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svg" ContentType="image/svg+xml"/>
  <Default Extension="tiff" ContentType="image/tiff"/>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comments6.xml" ContentType="application/vnd.openxmlformats-officedocument.spreadsheetml.comments+xml"/>
  <Override PartName="/xl/drawings/drawing9.xml" ContentType="application/vnd.openxmlformats-officedocument.drawing+xml"/>
  <Override PartName="/xl/comments7.xml" ContentType="application/vnd.openxmlformats-officedocument.spreadsheetml.comments+xml"/>
  <Override PartName="/xl/drawings/drawing10.xml" ContentType="application/vnd.openxmlformats-officedocument.drawing+xml"/>
  <Override PartName="/xl/comments8.xml" ContentType="application/vnd.openxmlformats-officedocument.spreadsheetml.comments+xml"/>
  <Override PartName="/xl/drawings/drawing11.xml" ContentType="application/vnd.openxmlformats-officedocument.drawing+xml"/>
  <Override PartName="/xl/comments9.xml" ContentType="application/vnd.openxmlformats-officedocument.spreadsheetml.comments+xml"/>
  <Override PartName="/xl/drawings/drawing12.xml" ContentType="application/vnd.openxmlformats-officedocument.drawing+xml"/>
  <Override PartName="/xl/comments10.xml" ContentType="application/vnd.openxmlformats-officedocument.spreadsheetml.comments+xml"/>
  <Override PartName="/xl/drawings/drawing13.xml" ContentType="application/vnd.openxmlformats-officedocument.drawing+xml"/>
  <Override PartName="/xl/comments11.xml" ContentType="application/vnd.openxmlformats-officedocument.spreadsheetml.comments+xml"/>
  <Override PartName="/xl/drawings/drawing14.xml" ContentType="application/vnd.openxmlformats-officedocument.drawing+xml"/>
  <Override PartName="/xl/comments12.xml" ContentType="application/vnd.openxmlformats-officedocument.spreadsheetml.comments+xml"/>
  <Override PartName="/xl/drawings/drawing15.xml" ContentType="application/vnd.openxmlformats-officedocument.drawing+xml"/>
  <Override PartName="/xl/comments13.xml" ContentType="application/vnd.openxmlformats-officedocument.spreadsheetml.comments+xml"/>
  <Override PartName="/xl/drawings/drawing16.xml" ContentType="application/vnd.openxmlformats-officedocument.drawing+xml"/>
  <Override PartName="/xl/comments14.xml" ContentType="application/vnd.openxmlformats-officedocument.spreadsheetml.comments+xml"/>
  <Override PartName="/xl/drawings/drawing17.xml" ContentType="application/vnd.openxmlformats-officedocument.drawing+xml"/>
  <Override PartName="/xl/comments15.xml" ContentType="application/vnd.openxmlformats-officedocument.spreadsheetml.comments+xml"/>
  <Override PartName="/xl/drawings/drawing18.xml" ContentType="application/vnd.openxmlformats-officedocument.drawing+xml"/>
  <Override PartName="/xl/comments16.xml" ContentType="application/vnd.openxmlformats-officedocument.spreadsheetml.comments+xml"/>
  <Override PartName="/xl/drawings/drawing19.xml" ContentType="application/vnd.openxmlformats-officedocument.drawing+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drawings/drawing20.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chart3.xml" ContentType="application/vnd.openxmlformats-officedocument.drawingml.chart+xml"/>
  <Override PartName="/xl/theme/themeOverride1.xml" ContentType="application/vnd.openxmlformats-officedocument.themeOverride+xml"/>
  <Override PartName="/xl/drawings/drawing21.xml" ContentType="application/vnd.openxmlformats-officedocument.drawing+xml"/>
  <Override PartName="/xl/ctrlProps/ctrlProp4.xml" ContentType="application/vnd.ms-excel.controlproperties+xml"/>
  <Override PartName="/xl/charts/chart4.xml" ContentType="application/vnd.openxmlformats-officedocument.drawingml.chart+xml"/>
  <Override PartName="/xl/charts/chart5.xml" ContentType="application/vnd.openxmlformats-officedocument.drawingml.chart+xml"/>
  <Override PartName="/xl/charts/style2.xml" ContentType="application/vnd.ms-office.chartstyle+xml"/>
  <Override PartName="/xl/charts/colors2.xml" ContentType="application/vnd.ms-office.chartcolorstyle+xml"/>
  <Override PartName="/xl/charts/chart6.xml" ContentType="application/vnd.openxmlformats-officedocument.drawingml.chart+xml"/>
  <Override PartName="/xl/charts/chart7.xml" ContentType="application/vnd.openxmlformats-officedocument.drawingml.chart+xml"/>
  <Override PartName="/xl/drawings/drawing22.xml" ContentType="application/vnd.openxmlformats-officedocument.drawing+xml"/>
  <Override PartName="/xl/charts/chart8.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3.xml" ContentType="application/vnd.openxmlformats-officedocument.drawing+xml"/>
  <Override PartName="/xl/ctrlProps/ctrlProp5.xml" ContentType="application/vnd.ms-excel.controlproperties+xml"/>
  <Override PartName="/xl/comments21.xml" ContentType="application/vnd.openxmlformats-officedocument.spreadsheetml.comment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omments22.xml" ContentType="application/vnd.openxmlformats-officedocument.spreadsheetml.comments+xml"/>
  <Override PartName="/xl/drawings/drawing27.xml" ContentType="application/vnd.openxmlformats-officedocument.drawing+xml"/>
  <Override PartName="/xl/comments23.xml" ContentType="application/vnd.openxmlformats-officedocument.spreadsheetml.comments+xml"/>
  <Override PartName="/xl/comments24.xml" ContentType="application/vnd.openxmlformats-officedocument.spreadsheetml.comments+xml"/>
  <Override PartName="/xl/drawings/drawing28.xml" ContentType="application/vnd.openxmlformats-officedocument.drawing+xml"/>
  <Override PartName="/xl/tables/table1.xml" ContentType="application/vnd.openxmlformats-officedocument.spreadsheetml.table+xml"/>
  <Override PartName="/xl/comments25.xml" ContentType="application/vnd.openxmlformats-officedocument.spreadsheetml.comments+xml"/>
  <Override PartName="/xl/drawings/drawing29.xml" ContentType="application/vnd.openxmlformats-officedocument.drawing+xml"/>
  <Override PartName="/xl/comments26.xml" ContentType="application/vnd.openxmlformats-officedocument.spreadsheetml.comments+xml"/>
  <Override PartName="/xl/drawings/drawing30.xml" ContentType="application/vnd.openxmlformats-officedocument.drawing+xml"/>
  <Override PartName="/xl/comments27.xml" ContentType="application/vnd.openxmlformats-officedocument.spreadsheetml.comments+xml"/>
  <Override PartName="/xl/drawings/drawing31.xml" ContentType="application/vnd.openxmlformats-officedocument.drawing+xml"/>
  <Override PartName="/xl/comments2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mc:AlternateContent xmlns:mc="http://schemas.openxmlformats.org/markup-compatibility/2006">
    <mc:Choice Requires="x15">
      <x15ac:absPath xmlns:x15ac="http://schemas.microsoft.com/office/spreadsheetml/2010/11/ac" url="C:\Users\plangevi\Downloads\"/>
    </mc:Choice>
  </mc:AlternateContent>
  <xr:revisionPtr revIDLastSave="0" documentId="13_ncr:1_{3851F096-266E-49E6-B94F-03D8852D3A38}" xr6:coauthVersionLast="47" xr6:coauthVersionMax="47" xr10:uidLastSave="{00000000-0000-0000-0000-000000000000}"/>
  <workbookProtection workbookAlgorithmName="SHA-512" workbookHashValue="OGNJ9INLLrPpClj2sb3vl5Zbk5AcQ+PC91J+wQPx6fMgK1D0D41nBTf02ca5L8akUcXrH2/g+gfnP18M3J+ITg==" workbookSaltValue="V1IbGZ3mRupDQn1EZt5t0g==" workbookSpinCount="100000" lockStructure="1"/>
  <bookViews>
    <workbookView xWindow="-108" yWindow="-108" windowWidth="23256" windowHeight="12456" tabRatio="917" activeTab="4" xr2:uid="{00000000-000D-0000-FFFF-FFFF00000000}"/>
  </bookViews>
  <sheets>
    <sheet name="Cover_Couverture" sheetId="34" r:id="rId1"/>
    <sheet name="License" sheetId="38" r:id="rId2"/>
    <sheet name="Introduction" sheetId="25" r:id="rId3"/>
    <sheet name="Introduction-FR" sheetId="37" state="hidden" r:id="rId4"/>
    <sheet name="USER INPUT SHEET" sheetId="23" r:id="rId5"/>
    <sheet name="Conctete Selections" sheetId="61" state="hidden" r:id="rId6"/>
    <sheet name="Footings &amp; Slabs" sheetId="2" r:id="rId7"/>
    <sheet name="Foundation Walls" sheetId="3" r:id="rId8"/>
    <sheet name="Structural Elements" sheetId="6" r:id="rId9"/>
    <sheet name="Ext. Walls" sheetId="4" r:id="rId10"/>
    <sheet name="Ext. Wall Systems" sheetId="5" r:id="rId11"/>
    <sheet name="Party Walls" sheetId="30" r:id="rId12"/>
    <sheet name="Cladding" sheetId="7" r:id="rId13"/>
    <sheet name="Windows" sheetId="12" r:id="rId14"/>
    <sheet name="Int. Walls" sheetId="8" r:id="rId15"/>
    <sheet name="Floors" sheetId="9" r:id="rId16"/>
    <sheet name="Ceilings" sheetId="10" r:id="rId17"/>
    <sheet name="Roof" sheetId="11" r:id="rId18"/>
    <sheet name="Garage" sheetId="29" r:id="rId19"/>
    <sheet name="User-Defined" sheetId="27" r:id="rId20"/>
    <sheet name="REVIEW" sheetId="21" r:id="rId21"/>
    <sheet name="Translation-EN" sheetId="59" state="hidden" r:id="rId22"/>
    <sheet name="Translation-FR" sheetId="60" state="hidden" r:id="rId23"/>
    <sheet name="RESULTS" sheetId="63" r:id="rId24"/>
    <sheet name="RESULTS OLD" sheetId="18" state="hidden" r:id="rId25"/>
    <sheet name="SCENARIOS" sheetId="31" r:id="rId26"/>
    <sheet name="Scenarios-DB" sheetId="32" state="hidden" r:id="rId27"/>
    <sheet name="Glossary" sheetId="28" r:id="rId28"/>
    <sheet name="Glossaire" sheetId="36" state="hidden" r:id="rId29"/>
    <sheet name="Energy GHG" sheetId="24" r:id="rId30"/>
    <sheet name="NBC Emissions Factors" sheetId="64" state="hidden" r:id="rId31"/>
    <sheet name="H2K Emissions Factors" sheetId="65" state="hidden" r:id="rId32"/>
    <sheet name="Cell Sizes" sheetId="66" state="hidden" r:id="rId33"/>
    <sheet name="Element Properties" sheetId="58" state="hidden" r:id="rId34"/>
    <sheet name="Data" sheetId="20" state="hidden" r:id="rId35"/>
    <sheet name="Master sheet" sheetId="13" state="hidden" r:id="rId36"/>
    <sheet name="Composite Master Sheet" sheetId="14" state="hidden" r:id="rId37"/>
    <sheet name="Windows Methodology" sheetId="26" state="hidden" r:id="rId38"/>
    <sheet name="Dropdown Lists" sheetId="15" state="hidden" r:id="rId39"/>
    <sheet name="Setting" sheetId="33" state="hidden" r:id="rId40"/>
    <sheet name="MCE2_operational_carbon_2050" sheetId="62" state="hidden" r:id="rId41"/>
    <sheet name="Formulas &amp; Formats" sheetId="16" state="hidden" r:id="rId42"/>
  </sheets>
  <functionGroups builtInGroupCount="19"/>
  <definedNames>
    <definedName name="_xlnm._FilterDatabase" localSheetId="35" hidden="1">'Master sheet'!$A$1:$BD$596</definedName>
    <definedName name="_xlnm._FilterDatabase" localSheetId="21" hidden="1">'Translation-EN'!$A$2:$H$2811</definedName>
    <definedName name="_xleta.AGGREGATE" hidden="1" xlm="1">#NAME?</definedName>
    <definedName name="_xleta.N" hidden="1" xlm="1">#NAME?</definedName>
    <definedName name="_xleta.NA" hidden="1" xlm="1">#NAME?</definedName>
    <definedName name="_xleta.NOT" hidden="1" xlm="1">#NAME?</definedName>
    <definedName name="_xleta.OR" hidden="1" xlm="1">#NAME?</definedName>
    <definedName name="_xleta.REDUCE" hidden="1" xlm="1">#NAME?</definedName>
    <definedName name="_xleta.SHEET" hidden="1" xlm="1">#NAME?</definedName>
    <definedName name="DataRow_1" localSheetId="25">OFFSET(SCENARIOS!$C$24,0,0,1,MAX(COUNTIF(SCENARIOS!$C$23:$N$23,"??*"),1))</definedName>
    <definedName name="DataRow_10" localSheetId="25">OFFSET(SCENARIOS!$C$33,0,0,1,MAX(COUNTIF(SCENARIOS!$C$23:$N$23,"??*"),1))</definedName>
    <definedName name="DataRow_11" localSheetId="25">OFFSET(SCENARIOS!$C$34,0,0,1,MAX(COUNTIF(SCENARIOS!$C$23:$N$23,"??*"),1))</definedName>
    <definedName name="DataRow_12" localSheetId="25">OFFSET(SCENARIOS!$C$35,0,0,1,MAX(COUNTIF(SCENARIOS!$C$23:$N$23,"??*"),1))</definedName>
    <definedName name="DataRow_13" localSheetId="25">OFFSET(SCENARIOS!$C$36,0,0,1,MAX(COUNTIF(SCENARIOS!$C$23:$N$23,"??*"),1))</definedName>
    <definedName name="DataRow_14" localSheetId="25">OFFSET(SCENARIOS!$C$37,0,0,1,MAX(COUNTIF(SCENARIOS!$C$23:$N$23,"??*"),1))</definedName>
    <definedName name="DataRow_2" localSheetId="25">OFFSET(SCENARIOS!$C$25,0,0,1,MAX(COUNTIF(SCENARIOS!$C$23:$N$23,"??*"),1))</definedName>
    <definedName name="DataRow_3" localSheetId="25">OFFSET(SCENARIOS!$C$26,0,0,1,MAX(COUNTIF(SCENARIOS!$C$23:$N$23,"??*"),1))</definedName>
    <definedName name="DataRow_4" localSheetId="25">OFFSET(SCENARIOS!$C$27,0,0,1,MAX(COUNTIF(SCENARIOS!$C$23:$N$23,"??*"),1))</definedName>
    <definedName name="DataRow_5" localSheetId="25">OFFSET(SCENARIOS!$C$28,0,0,1,MAX(COUNTIF(SCENARIOS!$C$23:$N$23,"??*"),1))</definedName>
    <definedName name="DataRow_6" localSheetId="25">OFFSET(SCENARIOS!$C$29,0,0,1,MAX(COUNTIF(SCENARIOS!$C$23:$N$23,"??*"),1))</definedName>
    <definedName name="DataRow_7" localSheetId="25">OFFSET(SCENARIOS!$C$30,0,0,1,MAX(COUNTIF(SCENARIOS!$C$23:$N$23,"??*"),1))</definedName>
    <definedName name="DataRow_8" localSheetId="25">OFFSET(SCENARIOS!$C$31,0,0,1,MAX(COUNTIF(SCENARIOS!$C$23:$N$23,"??*"),1))</definedName>
    <definedName name="DataRow_9" localSheetId="25">OFFSET(SCENARIOS!$C$32,0,0,1,MAX(COUNTIF(SCENARIOS!$C$23:$N$23,"??*"),1))</definedName>
    <definedName name="DataRowA_1" localSheetId="25">SCENARIOS!$C$39:$N$39</definedName>
    <definedName name="DataRowA_10" localSheetId="25">SCENARIOS!$C$48:$N$48</definedName>
    <definedName name="DataRowA_11" localSheetId="25">SCENARIOS!$C$49:$N$49</definedName>
    <definedName name="DataRowA_12" localSheetId="25">SCENARIOS!$C$50:$N$50</definedName>
    <definedName name="DataRowA_13" localSheetId="25">SCENARIOS!$C$51:$N$51</definedName>
    <definedName name="DataRowA_14" localSheetId="25">SCENARIOS!$C$52:$N$52</definedName>
    <definedName name="DataRowA_2" localSheetId="25">SCENARIOS!$C$40:$N$40</definedName>
    <definedName name="DataRowA_3" localSheetId="25">SCENARIOS!$C$41:$N$41</definedName>
    <definedName name="DataRowA_4" localSheetId="25">SCENARIOS!$C$42:$N$42</definedName>
    <definedName name="DataRowA_5" localSheetId="25">SCENARIOS!$C$43:$N$43</definedName>
    <definedName name="DataRowA_6" localSheetId="25">SCENARIOS!$C$44:$N$44</definedName>
    <definedName name="DataRowA_7" localSheetId="25">SCENARIOS!$C$45:$N$45</definedName>
    <definedName name="DataRowA_8" localSheetId="25">SCENARIOS!$C$46:$N$46</definedName>
    <definedName name="DataRowA_9" localSheetId="25">SCENARIOS!$C$47:$N$47</definedName>
    <definedName name="_xlnm.Print_Area" localSheetId="23">RESULTS!$A$1:$L$130</definedName>
    <definedName name="rng_bio_carbon_storg">Setting!$B$8</definedName>
    <definedName name="rng_biogenic_storage" localSheetId="35">'Master sheet'!$AS$2</definedName>
    <definedName name="rng_component_sheets">'Dropdown Lists'!$K$2:$K$14</definedName>
    <definedName name="rng_date_on_file">Setting!$B$10</definedName>
    <definedName name="rng_exclude_base_load_for_nbc" localSheetId="4">'USER INPUT SHEET'!$P$17</definedName>
    <definedName name="rng_language" localSheetId="39">Setting!$B$6</definedName>
    <definedName name="rng_material_index_col" localSheetId="19">'User-Defined'!$U$6</definedName>
    <definedName name="rng_prev_emission_selection" localSheetId="23">RESULTS!$A$1</definedName>
    <definedName name="rng_previous_province">'Conctete Selections'!$F$1</definedName>
    <definedName name="rng_province" localSheetId="4">'USER INPUT SHEET'!$I$15</definedName>
    <definedName name="rng_rvalue_e1" localSheetId="9">'Ext. Walls'!$E$151</definedName>
    <definedName name="rng_rvalue_e1_1" localSheetId="9">'Ext. Walls'!$E$152</definedName>
    <definedName name="rng_rvalue_e1_2" localSheetId="9">'Ext. Walls'!$E$157</definedName>
    <definedName name="rng_rvalue_e1_3" localSheetId="9">'Ext. Walls'!$E$163</definedName>
    <definedName name="rng_rvalue_e1_4" localSheetId="9">'Ext. Walls'!$E$172</definedName>
    <definedName name="rng_rvalue_e1_5" localSheetId="9">'Ext. Walls'!$E$177</definedName>
    <definedName name="rng_rvalue_e1_6" localSheetId="9">'Ext. Walls'!$E$181</definedName>
    <definedName name="rng_rvalue_e1_7" localSheetId="9">'Ext. Walls'!$E$186</definedName>
    <definedName name="rng_rvalue_e1_8" localSheetId="9">'Ext. Walls'!$E$189</definedName>
    <definedName name="rng_rvalue_e1_9" localSheetId="9">'Ext. Walls'!$E$191</definedName>
    <definedName name="rng_rvalue_e1_a1" localSheetId="9">'Ext. Walls'!$E$170</definedName>
    <definedName name="rng_rvalue_e2" localSheetId="9">'Ext. Walls'!$E$200</definedName>
    <definedName name="rng_rvalue_e2_1" localSheetId="9">'Ext. Walls'!$E$201</definedName>
    <definedName name="rng_rvalue_e2_2" localSheetId="9">'Ext. Walls'!$E$211</definedName>
    <definedName name="rng_rvalue_e2_3" localSheetId="9">'Ext. Walls'!$E$222</definedName>
    <definedName name="rng_rvalue_e2_4" localSheetId="9">'Ext. Walls'!$E$227</definedName>
    <definedName name="rng_rvalue_e2_5" localSheetId="9">'Ext. Walls'!$E$232</definedName>
    <definedName name="rng_rvalue_e2_6" localSheetId="9">'Ext. Walls'!$E$242</definedName>
    <definedName name="rng_rvalue_e2_7" localSheetId="9">'Ext. Walls'!$E$244</definedName>
    <definedName name="rng_rvalue_f1" localSheetId="6">'Footings &amp; Slabs'!$E$75</definedName>
    <definedName name="rng_rvalue_f1_1" localSheetId="6">'Footings &amp; Slabs'!$E$76</definedName>
    <definedName name="rng_rvalue_f1_2" localSheetId="6">'Footings &amp; Slabs'!$E$86</definedName>
    <definedName name="rng_rvalue_f1_3" localSheetId="6">'Footings &amp; Slabs'!$E$91</definedName>
    <definedName name="rng_rvalue_f1_4" localSheetId="6">'Footings &amp; Slabs'!$E$97</definedName>
    <definedName name="rng_rvalue_f1_5" localSheetId="6">'Footings &amp; Slabs'!$E$99</definedName>
    <definedName name="rng_rvalue_f1_6" localSheetId="6">'Footings &amp; Slabs'!$E$105</definedName>
    <definedName name="rng_rvalue_g1" localSheetId="18">Garage!$E$199</definedName>
    <definedName name="rng_rvalue_g1_1" localSheetId="18">Garage!$E$200</definedName>
    <definedName name="rng_rvalue_g1_2" localSheetId="18">Garage!$E$205</definedName>
    <definedName name="rng_rvalue_g1_3" localSheetId="18">Garage!$E$211</definedName>
    <definedName name="rng_rvalue_g1_4" localSheetId="18">Garage!$E$220</definedName>
    <definedName name="rng_rvalue_g1_5" localSheetId="18">Garage!$E$225</definedName>
    <definedName name="rng_rvalue_g1_6" localSheetId="18">Garage!$E$229</definedName>
    <definedName name="rng_rvalue_g1_7" localSheetId="18">Garage!$E$234</definedName>
    <definedName name="rng_rvalue_g1_8" localSheetId="18">Garage!$E$237</definedName>
    <definedName name="rng_rvalue_g1_9" localSheetId="18">Garage!$E$239</definedName>
    <definedName name="rng_rvalue_g1_a1" localSheetId="18">Garage!$E$218</definedName>
    <definedName name="rng_rvalue_g2" localSheetId="18">Garage!$E$248</definedName>
    <definedName name="rng_rvalue_g2_1" localSheetId="18">Garage!$E$249</definedName>
    <definedName name="rng_rvalue_g2_2" localSheetId="18">Garage!$E$259</definedName>
    <definedName name="rng_rvalue_g2_3" localSheetId="18">Garage!$E$270</definedName>
    <definedName name="rng_rvalue_g2_4" localSheetId="18">Garage!$E$275</definedName>
    <definedName name="rng_rvalue_g2_5" localSheetId="18">Garage!$E$280</definedName>
    <definedName name="rng_rvalue_g2_6" localSheetId="18">Garage!$E$286</definedName>
    <definedName name="rng_rvalue_g2_7" localSheetId="18">Garage!$E$288</definedName>
    <definedName name="rng_rvalue_g3" localSheetId="18">Garage!$E$291</definedName>
    <definedName name="rng_rvalue_g3_1" localSheetId="18">Garage!$E$292</definedName>
    <definedName name="rng_rvalue_g3_2" localSheetId="18">Garage!$E$297</definedName>
    <definedName name="rng_rvalue_g3_3" localSheetId="18">Garage!$E$301</definedName>
    <definedName name="rng_rvalue_g3_4" localSheetId="18">Garage!$E$308</definedName>
    <definedName name="rng_rvalue_g3_5" localSheetId="18">Garage!$E$313</definedName>
    <definedName name="rng_rvalue_g3_6" localSheetId="18">Garage!$E$315</definedName>
    <definedName name="rng_rvalue_g3_7" localSheetId="18">Garage!$E$319</definedName>
    <definedName name="rng_rvalue_g3_8" localSheetId="18">Garage!$E$322</definedName>
    <definedName name="rng_rvalue_g3_9" localSheetId="18">Garage!$E$324</definedName>
    <definedName name="rng_rvalue_i1" localSheetId="14">'Int. Walls'!$E$56</definedName>
    <definedName name="rng_rvalue_i1_1" localSheetId="14">'Int. Walls'!$E$57</definedName>
    <definedName name="rng_rvalue_i1_2" localSheetId="14">'Int. Walls'!$E$62</definedName>
    <definedName name="rng_rvalue_i1_3" localSheetId="14">'Int. Walls'!$E$66</definedName>
    <definedName name="rng_rvalue_i1_4" localSheetId="14">'Int. Walls'!$E$69</definedName>
    <definedName name="rng_rvalue_i1_5" localSheetId="14">'Int. Walls'!$E$74</definedName>
    <definedName name="rng_rvalue_i1_6" localSheetId="14">'Int. Walls'!$E$78</definedName>
    <definedName name="rng_rvalue_i1_7" localSheetId="14">'Int. Walls'!$E$83</definedName>
    <definedName name="rng_rvalue_i1_8" localSheetId="14">'Int. Walls'!$E$86</definedName>
    <definedName name="rng_rvalue_i1_9" localSheetId="14">'Int. Walls'!$E$88</definedName>
    <definedName name="rng_rvalue_l1" localSheetId="15">Floors!$E$107</definedName>
    <definedName name="rng_rvalue_l1_1" localSheetId="15">Floors!$E$108</definedName>
    <definedName name="rng_rvalue_l1_10" localSheetId="15">Floors!$E$148</definedName>
    <definedName name="rng_rvalue_l1_2" localSheetId="15">Floors!$E$113</definedName>
    <definedName name="rng_rvalue_l1_3" localSheetId="15">Floors!$E$119</definedName>
    <definedName name="rng_rvalue_l1_4" localSheetId="15">Floors!$E$127</definedName>
    <definedName name="rng_rvalue_l1_5" localSheetId="15">Floors!$E$129</definedName>
    <definedName name="rng_rvalue_l1_6" localSheetId="15">Floors!$E$132</definedName>
    <definedName name="rng_rvalue_l1_7" localSheetId="15">Floors!$E$134</definedName>
    <definedName name="rng_rvalue_l1_8" localSheetId="15">Floors!$E$140</definedName>
    <definedName name="rng_rvalue_l1_9" localSheetId="15">Floors!$E$142</definedName>
    <definedName name="rng_rvalue_p1" localSheetId="11">'Party Walls'!$E$113</definedName>
    <definedName name="rng_rvalue_p1_1" localSheetId="11">'Party Walls'!$E$114</definedName>
    <definedName name="rng_rvalue_p1_2" localSheetId="11">'Party Walls'!$E$119</definedName>
    <definedName name="rng_rvalue_p1_3" localSheetId="11">'Party Walls'!$E$125</definedName>
    <definedName name="rng_rvalue_p1_4" localSheetId="11">'Party Walls'!$E$130</definedName>
    <definedName name="rng_rvalue_p1_5" localSheetId="11">'Party Walls'!$E$135</definedName>
    <definedName name="rng_rvalue_p1_6" localSheetId="11">'Party Walls'!$E$139</definedName>
    <definedName name="rng_rvalue_p1_7" localSheetId="11">'Party Walls'!$E$144</definedName>
    <definedName name="rng_rvalue_p1_8" localSheetId="11">'Party Walls'!$E$147</definedName>
    <definedName name="rng_rvalue_p1_9" localSheetId="11">'Party Walls'!$E$149</definedName>
    <definedName name="rng_rvalue_p1_p1" localSheetId="11">'Party Walls'!$E$128</definedName>
    <definedName name="rng_rvalue_p2" localSheetId="11">'Party Walls'!$E$158</definedName>
    <definedName name="rng_rvalue_p2_1" localSheetId="11">'Party Walls'!$E$159</definedName>
    <definedName name="rng_rvalue_p2_2" localSheetId="11">'Party Walls'!$E$169</definedName>
    <definedName name="rng_rvalue_p2_3" localSheetId="11">'Party Walls'!$E$180</definedName>
    <definedName name="rng_rvalue_p2_4" localSheetId="11">'Party Walls'!$E$185</definedName>
    <definedName name="rng_rvalue_p2_5" localSheetId="11">'Party Walls'!$E$190</definedName>
    <definedName name="rng_rvalue_p2_6" localSheetId="11">'Party Walls'!$E$192</definedName>
    <definedName name="rng_rvalue_r1" localSheetId="17">Roof!$E$144</definedName>
    <definedName name="rng_rvalue_r1_1" localSheetId="17">Roof!$E$145</definedName>
    <definedName name="rng_rvalue_r1_10" localSheetId="17">Roof!$E$183</definedName>
    <definedName name="rng_rvalue_r1_2" localSheetId="17">Roof!$E$150</definedName>
    <definedName name="rng_rvalue_r1_3" localSheetId="17">Roof!$E$156</definedName>
    <definedName name="rng_rvalue_r1_4" localSheetId="17">Roof!$E$163</definedName>
    <definedName name="rng_rvalue_r1_5" localSheetId="17">Roof!$E$165</definedName>
    <definedName name="rng_rvalue_r1_6" localSheetId="17">Roof!$E$168</definedName>
    <definedName name="rng_rvalue_r1_7" localSheetId="17">Roof!$E$170</definedName>
    <definedName name="rng_rvalue_r1_8" localSheetId="17">Roof!$E$175</definedName>
    <definedName name="rng_rvalue_r1_9" localSheetId="17">Roof!$E$177</definedName>
    <definedName name="rng_rvalue_r2" localSheetId="17">Roof!$E$190</definedName>
    <definedName name="rng_rvalue_r2_1" localSheetId="17">Roof!$E$191</definedName>
    <definedName name="rng_rvalue_r2_2" localSheetId="17">Roof!$E$201</definedName>
    <definedName name="rng_rvalue_r2_3" localSheetId="17">Roof!$E$212</definedName>
    <definedName name="rng_rvalue_r2_4" localSheetId="17">Roof!$E$217</definedName>
    <definedName name="rng_rvalue_r2_5" localSheetId="17">Roof!$E$233</definedName>
    <definedName name="rng_rvalue_r2_6" localSheetId="17">Roof!$E$238</definedName>
    <definedName name="rng_rvalue_w1" localSheetId="7">'Foundation Walls'!$E$48</definedName>
    <definedName name="rng_rvalue_w1_1" localSheetId="7">'Foundation Walls'!$E$49</definedName>
    <definedName name="rng_rvalue_w1_2" localSheetId="7">'Foundation Walls'!$E$64</definedName>
    <definedName name="rng_rvalue_w1_3" localSheetId="7">'Foundation Walls'!$E$69</definedName>
    <definedName name="rng_rvalue_w1_4" localSheetId="7">'Foundation Walls'!$E$79</definedName>
    <definedName name="rng_rvalue_w1_5" localSheetId="7">'Foundation Walls'!$E$83</definedName>
    <definedName name="rng_rvalue_w1_6" localSheetId="7">'Foundation Walls'!$E$85</definedName>
    <definedName name="rng_rvalue_w1_7" localSheetId="7">'Foundation Walls'!$E$88</definedName>
    <definedName name="rng_rvalue_w1_a1" localSheetId="7">'Foundation Walls'!$E$59</definedName>
    <definedName name="rng_rvalue_w2" localSheetId="7">'Foundation Walls'!$E$177</definedName>
    <definedName name="rng_rvalue_w2_1" localSheetId="7">'Foundation Walls'!$E$178</definedName>
    <definedName name="rng_rvalue_w2_2" localSheetId="7">'Foundation Walls'!$E$181</definedName>
    <definedName name="rng_rvalue_w2_3" localSheetId="7">'Foundation Walls'!$E$186</definedName>
    <definedName name="rng_rvalue_w2_4" localSheetId="7">'Foundation Walls'!$E$191</definedName>
    <definedName name="rng_rvalue_w2_5" localSheetId="7">'Foundation Walls'!$E$199</definedName>
    <definedName name="rng_rvalue_w2_6" localSheetId="7">'Foundation Walls'!$E$207</definedName>
    <definedName name="rng_rvalue_w2_7" localSheetId="7">'Foundation Walls'!$E$211</definedName>
    <definedName name="rng_rvalue_w2_a1" localSheetId="7">'Foundation Walls'!$E$201</definedName>
    <definedName name="rng_tk_cl1" localSheetId="12">Cladding!$E$57</definedName>
    <definedName name="rng_tk_concrete_foundation2" localSheetId="18">Garage!$F$58</definedName>
    <definedName name="rng_tk_concrete_slab_floors" localSheetId="6">'Footings &amp; Slabs'!$F$47</definedName>
    <definedName name="rng_tk_concrete_slab_floors2" localSheetId="18">Garage!$F$9</definedName>
    <definedName name="rng_tk_concrete_walls" localSheetId="7">'Foundation Walls'!$F$5</definedName>
    <definedName name="rng_tk_crushed_stone_base" localSheetId="6">'Footings &amp; Slabs'!$F$5</definedName>
    <definedName name="rng_tk_crushed_stone_base2" localSheetId="18">Garage!$F$6</definedName>
    <definedName name="rng_tk_ew1" localSheetId="9">'Ext. Walls'!$E$5</definedName>
    <definedName name="rng_tk_ew2" localSheetId="9">'Ext. Walls'!$E$34</definedName>
    <definedName name="rng_tk_ew3" localSheetId="9">'Ext. Walls'!$E$40</definedName>
    <definedName name="rng_tk_fl1" localSheetId="15">Floors!$E$5</definedName>
    <definedName name="rng_tk_fl2" localSheetId="15">Floors!$E$39</definedName>
    <definedName name="rng_tk_fw1" localSheetId="7">'Foundation Walls'!$E$145</definedName>
    <definedName name="rng_tk_fw2" localSheetId="7">'Foundation Walls'!$E$174</definedName>
    <definedName name="rng_tk_gr0">Garage!$E$119</definedName>
    <definedName name="rng_tk_gr1" localSheetId="18">Garage!$E$148</definedName>
    <definedName name="rng_tk_gr5" localSheetId="18">Garage!$E$381</definedName>
    <definedName name="rng_tk_gr6" localSheetId="18">Garage!$E$459</definedName>
    <definedName name="rng_tk_gr7" localSheetId="18">Garage!$E$541</definedName>
    <definedName name="rng_tk_iw1" localSheetId="14">'Int. Walls'!$E$5</definedName>
    <definedName name="rng_tk_iw2" localSheetId="14">'Int. Walls'!$E$27</definedName>
    <definedName name="rng_tk_pw1" localSheetId="11">'Party Walls'!$E$6</definedName>
    <definedName name="rng_tk_pw3" localSheetId="11">'Party Walls'!$E$35</definedName>
    <definedName name="rng_tk_rf1" localSheetId="17">Roof!$E$5</definedName>
    <definedName name="rng_tk_rf2" localSheetId="17">Roof!$E$96</definedName>
    <definedName name="rng_tk_rf3" localSheetId="17">Roof!$K$144</definedName>
    <definedName name="rng_tk_rf4" localSheetId="17">Roof!$K$190</definedName>
    <definedName name="sheet_codes_and_names" localSheetId="39">Setting!$E$6</definedName>
    <definedName name="sheet_codes_and_names">Setting!$E$6:$G$36</definedName>
    <definedName name="spacing">'Dropdown Lists'!$B$2:$B$3</definedName>
    <definedName name="thickness">'Dropdown Lists'!$A$2:$A$3</definedName>
    <definedName name="Type1_1" localSheetId="25">OFFSET(SCENARIOS!$C$24,0,0,1,COUNTA(SCENARIOS!$9:$9))*(OFFSET(SCENARIOS!$C$9,0,0,1,COUNTA(SCENARIOS!$9:$9))&lt;&gt;"Name of Scenario Here")</definedName>
    <definedName name="Type1_10" localSheetId="25">OFFSET(SCENARIOS!$C$33,0,0,1,COUNTA(SCENARIOS!$9:$9))*(OFFSET(SCENARIOS!$C$9,0,0,1,COUNTA(SCENARIOS!$9:$9))&lt;&gt;"Name of Scenario Here")</definedName>
    <definedName name="Type1_11" localSheetId="25">OFFSET(SCENARIOS!$C$34,0,0,1,COUNTA(SCENARIOS!$9:$9))*(OFFSET(SCENARIOS!$C$9,0,0,1,COUNTA(SCENARIOS!$9:$9))&lt;&gt;"Name of Scenario Here")</definedName>
    <definedName name="Type1_12" localSheetId="25">OFFSET(SCENARIOS!$C$35,0,0,1,COUNTA(SCENARIOS!$9:$9))*(OFFSET(SCENARIOS!$C$9,0,0,1,COUNTA(SCENARIOS!$9:$9))&lt;&gt;"Name of Scenario Here")</definedName>
    <definedName name="Type1_13" localSheetId="25">OFFSET(SCENARIOS!$C$36,0,0,1,COUNTA(SCENARIOS!$9:$9))*(OFFSET(SCENARIOS!$C$9,0,0,1,COUNTA(SCENARIOS!$9:$9))&lt;&gt;"Name of Scenario Here")</definedName>
    <definedName name="Type1_14" localSheetId="25">OFFSET(SCENARIOS!$C$37,0,0,1,COUNTA(SCENARIOS!$9:$9))*(OFFSET(SCENARIOS!$C$9,0,0,1,COUNTA(SCENARIOS!$9:$9))&lt;&gt;"Name of Scenario Here")</definedName>
    <definedName name="Type1_2" localSheetId="25">OFFSET(SCENARIOS!$C$25,0,0,1,COUNTA(SCENARIOS!$9:$9))*(OFFSET(SCENARIOS!$C$9,0,0,1,COUNTA(SCENARIOS!$9:$9))&lt;&gt;"Name of Scenario Here")</definedName>
    <definedName name="Type1_3" localSheetId="25">OFFSET(SCENARIOS!$C$26,0,0,1,COUNTA(SCENARIOS!$9:$9))*(OFFSET(SCENARIOS!$C$9,0,0,1,COUNTA(SCENARIOS!$9:$9))&lt;&gt;"Name of Scenario Here")</definedName>
    <definedName name="Type1_4" localSheetId="25">OFFSET(SCENARIOS!$C$27,0,0,1,COUNTA(SCENARIOS!$9:$9))*(OFFSET(SCENARIOS!$C$9,0,0,1,COUNTA(SCENARIOS!$9:$9))&lt;&gt;"Name of Scenario Here")</definedName>
    <definedName name="Type1_5" localSheetId="25">OFFSET(SCENARIOS!$C$28,0,0,1,COUNTA(SCENARIOS!$9:$9))*(OFFSET(SCENARIOS!$C$9,0,0,1,COUNTA(SCENARIOS!$9:$9))&lt;&gt;"Name of Scenario Here")</definedName>
    <definedName name="Type1_6" localSheetId="25">OFFSET(SCENARIOS!$C$29,0,0,1,COUNTA(SCENARIOS!$9:$9))*(OFFSET(SCENARIOS!$C$9,0,0,1,COUNTA(SCENARIOS!$9:$9))&lt;&gt;"Name of Scenario Here")</definedName>
    <definedName name="Type1_7" localSheetId="25">OFFSET(SCENARIOS!$C$30,0,0,1,COUNTA(SCENARIOS!$9:$9))*(OFFSET(SCENARIOS!$C$9,0,0,1,COUNTA(SCENARIOS!$9:$9))&lt;&gt;"Name of Scenario Here")</definedName>
    <definedName name="Type1_8" localSheetId="25">OFFSET(SCENARIOS!$C$31,0,0,1,COUNTA(SCENARIOS!$9:$9))*(OFFSET(SCENARIOS!$C$9,0,0,1,COUNTA(SCENARIOS!$9:$9))&lt;&gt;"Name of Scenario Here")</definedName>
    <definedName name="Type1_9" localSheetId="25">OFFSET(SCENARIOS!$C$32,0,0,1,COUNTA(SCENARIOS!$9:$9))*(OFFSET(SCENARIOS!$C$9,0,0,1,COUNTA(SCENARIOS!$9:$9))&lt;&gt;"Name of Scenario Here")</definedName>
    <definedName name="X_Axis" localSheetId="25">IF(SCENARIOS!$C$9:$M$9="Name of Scenario Here","",SCENARIOS!$C$9:$M$9)</definedName>
    <definedName name="X_Axis2" localSheetId="25">OFFSET(SCENARIOS!$C$22,0,0,2,MAX(COUNTIF(SCENARIOS!$C$23:$N$23,"??*"),1))</definedName>
    <definedName name="X_Axis3" localSheetId="25">SCENARIOS!$C$22:$N$23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52" i="66" l="1"/>
  <c r="B51" i="66"/>
  <c r="D1383" i="60"/>
  <c r="C1383" i="60"/>
  <c r="B1383" i="60"/>
  <c r="A1383" i="60"/>
  <c r="D1382" i="60"/>
  <c r="C1382" i="60"/>
  <c r="B1382" i="60"/>
  <c r="A1382" i="60"/>
  <c r="D1381" i="60"/>
  <c r="C1381" i="60"/>
  <c r="B1381" i="60"/>
  <c r="A1381" i="60"/>
  <c r="D1380" i="60"/>
  <c r="C1380" i="60"/>
  <c r="B1380" i="60"/>
  <c r="A1380" i="60"/>
  <c r="D1379" i="60"/>
  <c r="C1379" i="60"/>
  <c r="B1379" i="60"/>
  <c r="A1379" i="60"/>
  <c r="E1383" i="60"/>
  <c r="E1382" i="60"/>
  <c r="E1381" i="60"/>
  <c r="E1380" i="60"/>
  <c r="E1379" i="60"/>
  <c r="E1377" i="60"/>
  <c r="E1376" i="60"/>
  <c r="E1375" i="60"/>
  <c r="E1374" i="60"/>
  <c r="E1373" i="60"/>
  <c r="E1383" i="59"/>
  <c r="E1382" i="59"/>
  <c r="E1381" i="59"/>
  <c r="E1380" i="59"/>
  <c r="E1379" i="59"/>
  <c r="E1377" i="59"/>
  <c r="E1376" i="59"/>
  <c r="E1375" i="59"/>
  <c r="E1374" i="59"/>
  <c r="E1373" i="59"/>
  <c r="D1377" i="60"/>
  <c r="C1377" i="60"/>
  <c r="B1377" i="60"/>
  <c r="A1377" i="60"/>
  <c r="D1376" i="60"/>
  <c r="C1376" i="60"/>
  <c r="B1376" i="60"/>
  <c r="A1376" i="60"/>
  <c r="D1375" i="60"/>
  <c r="C1375" i="60"/>
  <c r="B1375" i="60"/>
  <c r="A1375" i="60"/>
  <c r="D1374" i="60"/>
  <c r="C1374" i="60"/>
  <c r="B1374" i="60"/>
  <c r="A1374" i="60"/>
  <c r="D1373" i="60"/>
  <c r="C1373" i="60"/>
  <c r="B1373" i="60"/>
  <c r="A1373" i="60"/>
  <c r="B44" i="66"/>
  <c r="B50" i="66"/>
  <c r="B98" i="66"/>
  <c r="B97" i="66"/>
  <c r="J20" i="58"/>
  <c r="J19" i="58"/>
  <c r="I20" i="58"/>
  <c r="I19" i="58"/>
  <c r="B89" i="66"/>
  <c r="B67" i="66"/>
  <c r="B66" i="66"/>
  <c r="B49" i="66"/>
  <c r="B41" i="66"/>
  <c r="B40" i="66"/>
  <c r="B43" i="66"/>
  <c r="B42" i="66"/>
  <c r="L296" i="29"/>
  <c r="L295" i="29"/>
  <c r="E293" i="29"/>
  <c r="D293" i="29"/>
  <c r="E296" i="29"/>
  <c r="D296" i="29"/>
  <c r="K296" i="29" s="1"/>
  <c r="I296" i="29" s="1"/>
  <c r="E295" i="29"/>
  <c r="D295" i="29"/>
  <c r="K295" i="29" s="1"/>
  <c r="I295" i="29" s="1"/>
  <c r="E294" i="29"/>
  <c r="D294" i="29"/>
  <c r="K294" i="29" s="1"/>
  <c r="C296" i="29"/>
  <c r="O296" i="29"/>
  <c r="J296" i="29"/>
  <c r="C295" i="29"/>
  <c r="O295" i="29"/>
  <c r="J295" i="29"/>
  <c r="C294" i="29"/>
  <c r="O294" i="29"/>
  <c r="J294" i="29"/>
  <c r="O293" i="29"/>
  <c r="J293" i="29"/>
  <c r="O292" i="29"/>
  <c r="D292" i="29"/>
  <c r="E149" i="11"/>
  <c r="E148" i="11"/>
  <c r="E147" i="11"/>
  <c r="E112" i="9"/>
  <c r="D112" i="9"/>
  <c r="L112" i="9" s="1"/>
  <c r="E111" i="9"/>
  <c r="D111" i="9"/>
  <c r="K111" i="9" s="1"/>
  <c r="D109" i="9"/>
  <c r="D110" i="9"/>
  <c r="L110" i="9" s="1"/>
  <c r="E110" i="9"/>
  <c r="E59" i="8"/>
  <c r="Q149" i="11"/>
  <c r="Q148" i="11"/>
  <c r="Q147" i="11"/>
  <c r="C149" i="11"/>
  <c r="O149" i="11"/>
  <c r="J149" i="11"/>
  <c r="C148" i="11"/>
  <c r="O148" i="11"/>
  <c r="J148" i="11"/>
  <c r="C147" i="11"/>
  <c r="O147" i="11"/>
  <c r="J147" i="11"/>
  <c r="O145" i="11"/>
  <c r="D145" i="11"/>
  <c r="C112" i="9"/>
  <c r="O112" i="9"/>
  <c r="J112" i="9"/>
  <c r="C111" i="9"/>
  <c r="O111" i="9"/>
  <c r="J111" i="9"/>
  <c r="C110" i="9"/>
  <c r="O110" i="9"/>
  <c r="J110" i="9"/>
  <c r="O109" i="9"/>
  <c r="J109" i="9"/>
  <c r="E109" i="9"/>
  <c r="O108" i="9"/>
  <c r="D108" i="9"/>
  <c r="N23" i="31"/>
  <c r="M23" i="31"/>
  <c r="L23" i="31"/>
  <c r="K23" i="31"/>
  <c r="J23" i="31"/>
  <c r="I23" i="31"/>
  <c r="H23" i="31"/>
  <c r="G23" i="31"/>
  <c r="F23" i="31"/>
  <c r="E23" i="31"/>
  <c r="D23" i="31"/>
  <c r="C23" i="31"/>
  <c r="D3647" i="60"/>
  <c r="D3646" i="60"/>
  <c r="D3645" i="60"/>
  <c r="D3644" i="60"/>
  <c r="D3643" i="60"/>
  <c r="D3642" i="60"/>
  <c r="D3641" i="60"/>
  <c r="D3640" i="60"/>
  <c r="D3639" i="60"/>
  <c r="D3638" i="60"/>
  <c r="D3637" i="60"/>
  <c r="D3636" i="60"/>
  <c r="D3635" i="60"/>
  <c r="D3634" i="60"/>
  <c r="D3633" i="60"/>
  <c r="D3632" i="60"/>
  <c r="D3631" i="60"/>
  <c r="D3630" i="60"/>
  <c r="D3629" i="60"/>
  <c r="D3628" i="60"/>
  <c r="D3627" i="60"/>
  <c r="D3626" i="60"/>
  <c r="D3625" i="60"/>
  <c r="D3624" i="60"/>
  <c r="D3623" i="60"/>
  <c r="D3622" i="60"/>
  <c r="D3621" i="60"/>
  <c r="D3620" i="60"/>
  <c r="D3619" i="60"/>
  <c r="D3618" i="60"/>
  <c r="D3617" i="60"/>
  <c r="D3616" i="60"/>
  <c r="D3615" i="60"/>
  <c r="D3614" i="60"/>
  <c r="D3613" i="60"/>
  <c r="D3612" i="60"/>
  <c r="D3611" i="60"/>
  <c r="D3610" i="60"/>
  <c r="D3609" i="60"/>
  <c r="D3608" i="60"/>
  <c r="D3607" i="60"/>
  <c r="D3606" i="60"/>
  <c r="D3605" i="60"/>
  <c r="D3604" i="60"/>
  <c r="D3603" i="60"/>
  <c r="D3602" i="60"/>
  <c r="D3601" i="60"/>
  <c r="D3600" i="60"/>
  <c r="D3599" i="60"/>
  <c r="D3598" i="60"/>
  <c r="D3597" i="60"/>
  <c r="D3596" i="60"/>
  <c r="D3595" i="60"/>
  <c r="D3594" i="60"/>
  <c r="D3593" i="60"/>
  <c r="D3592" i="60"/>
  <c r="D3591" i="60"/>
  <c r="D3590" i="60"/>
  <c r="D3589" i="60"/>
  <c r="D3588" i="60"/>
  <c r="D3587" i="60"/>
  <c r="D3586" i="60"/>
  <c r="D3585" i="60"/>
  <c r="D3584" i="60"/>
  <c r="D3583" i="60"/>
  <c r="D3582" i="60"/>
  <c r="D3581" i="60"/>
  <c r="D3580" i="60"/>
  <c r="D3579" i="60"/>
  <c r="D3578" i="60"/>
  <c r="D3577" i="60"/>
  <c r="D3576" i="60"/>
  <c r="D3575" i="60"/>
  <c r="D3574" i="60"/>
  <c r="D3573" i="60"/>
  <c r="D3572" i="60"/>
  <c r="D3571" i="60"/>
  <c r="D3570" i="60"/>
  <c r="D3569" i="60"/>
  <c r="D3568" i="60"/>
  <c r="D3567" i="60"/>
  <c r="D3566" i="60"/>
  <c r="D3565" i="60"/>
  <c r="D3564" i="60"/>
  <c r="D3563" i="60"/>
  <c r="D3562" i="60"/>
  <c r="D3561" i="60"/>
  <c r="D3560" i="60"/>
  <c r="D3559" i="60"/>
  <c r="D3558" i="60"/>
  <c r="D3557" i="60"/>
  <c r="D3556" i="60"/>
  <c r="D3555" i="60"/>
  <c r="D3554" i="60"/>
  <c r="D3553" i="60"/>
  <c r="D3552" i="60"/>
  <c r="D3551" i="60"/>
  <c r="D3550" i="60"/>
  <c r="D3549" i="60"/>
  <c r="D3548" i="60"/>
  <c r="D3547" i="60"/>
  <c r="D3546" i="60"/>
  <c r="D3545" i="60"/>
  <c r="D3544" i="60"/>
  <c r="D3543" i="60"/>
  <c r="D3542" i="60"/>
  <c r="D3541" i="60"/>
  <c r="D3540" i="60"/>
  <c r="D3539" i="60"/>
  <c r="D3538" i="60"/>
  <c r="D3537" i="60"/>
  <c r="D3536" i="60"/>
  <c r="D3535" i="60"/>
  <c r="D3534" i="60"/>
  <c r="D3533" i="60"/>
  <c r="D3532" i="60"/>
  <c r="D3531" i="60"/>
  <c r="D3530" i="60"/>
  <c r="D3529" i="60"/>
  <c r="D3528" i="60"/>
  <c r="D3527" i="60"/>
  <c r="D3526" i="60"/>
  <c r="D3525" i="60"/>
  <c r="D3524" i="60"/>
  <c r="D3523" i="60"/>
  <c r="D3522" i="60"/>
  <c r="D3521" i="60"/>
  <c r="D3520" i="60"/>
  <c r="D3519" i="60"/>
  <c r="D3518" i="60"/>
  <c r="D3517" i="60"/>
  <c r="D3516" i="60"/>
  <c r="D3515" i="60"/>
  <c r="D3514" i="60"/>
  <c r="D3513" i="60"/>
  <c r="D3512" i="60"/>
  <c r="D3511" i="60"/>
  <c r="D3510" i="60"/>
  <c r="D3509" i="60"/>
  <c r="D3508" i="60"/>
  <c r="D3507" i="60"/>
  <c r="D3506" i="60"/>
  <c r="D3505" i="60"/>
  <c r="D3504" i="60"/>
  <c r="D3503" i="60"/>
  <c r="D3502" i="60"/>
  <c r="D3501" i="60"/>
  <c r="D3500" i="60"/>
  <c r="D3499" i="60"/>
  <c r="D3498" i="60"/>
  <c r="D3497" i="60"/>
  <c r="D3496" i="60"/>
  <c r="D3495" i="60"/>
  <c r="D3494" i="60"/>
  <c r="D3493" i="60"/>
  <c r="D3492" i="60"/>
  <c r="D3491" i="60"/>
  <c r="D3490" i="60"/>
  <c r="D3489" i="60"/>
  <c r="D3488" i="60"/>
  <c r="D3487" i="60"/>
  <c r="D3486" i="60"/>
  <c r="D3485" i="60"/>
  <c r="D3484" i="60"/>
  <c r="D3483" i="60"/>
  <c r="D3482" i="60"/>
  <c r="D3481" i="60"/>
  <c r="D3480" i="60"/>
  <c r="D3479" i="60"/>
  <c r="D3478" i="60"/>
  <c r="D3477" i="60"/>
  <c r="D3476" i="60"/>
  <c r="D3475" i="60"/>
  <c r="D3474" i="60"/>
  <c r="D3473" i="60"/>
  <c r="D3472" i="60"/>
  <c r="D3471" i="60"/>
  <c r="D3470" i="60"/>
  <c r="D3469" i="60"/>
  <c r="D3468" i="60"/>
  <c r="D3467" i="60"/>
  <c r="D3466" i="60"/>
  <c r="D3465" i="60"/>
  <c r="D3464" i="60"/>
  <c r="D3463" i="60"/>
  <c r="D3462" i="60"/>
  <c r="D3461" i="60"/>
  <c r="D3460" i="60"/>
  <c r="D3459" i="60"/>
  <c r="D3458" i="60"/>
  <c r="D3457" i="60"/>
  <c r="D3456" i="60"/>
  <c r="D3455" i="60"/>
  <c r="D3454" i="60"/>
  <c r="D3453" i="60"/>
  <c r="D3452" i="60"/>
  <c r="D3451" i="60"/>
  <c r="D3450" i="60"/>
  <c r="D3449" i="60"/>
  <c r="D3448" i="60"/>
  <c r="D3447" i="60"/>
  <c r="D3446" i="60"/>
  <c r="D3445" i="60"/>
  <c r="D3444" i="60"/>
  <c r="D3443" i="60"/>
  <c r="D3442" i="60"/>
  <c r="D3441" i="60"/>
  <c r="D3440" i="60"/>
  <c r="D3439" i="60"/>
  <c r="D3438" i="60"/>
  <c r="D3437" i="60"/>
  <c r="D3436" i="60"/>
  <c r="D3435" i="60"/>
  <c r="D3434" i="60"/>
  <c r="D3433" i="60"/>
  <c r="D3432" i="60"/>
  <c r="D3431" i="60"/>
  <c r="D3430" i="60"/>
  <c r="D3429" i="60"/>
  <c r="D3428" i="60"/>
  <c r="D3427" i="60"/>
  <c r="D3426" i="60"/>
  <c r="D3425" i="60"/>
  <c r="D3424" i="60"/>
  <c r="D3423" i="60"/>
  <c r="D3422" i="60"/>
  <c r="D3421" i="60"/>
  <c r="D3420" i="60"/>
  <c r="D3419" i="60"/>
  <c r="D3418" i="60"/>
  <c r="D3417" i="60"/>
  <c r="D3416" i="60"/>
  <c r="D3415" i="60"/>
  <c r="D3414" i="60"/>
  <c r="D3413" i="60"/>
  <c r="D3412" i="60"/>
  <c r="D3411" i="60"/>
  <c r="D3410" i="60"/>
  <c r="D3409" i="60"/>
  <c r="D3408" i="60"/>
  <c r="D3407" i="60"/>
  <c r="D3406" i="60"/>
  <c r="D3405" i="60"/>
  <c r="D3404" i="60"/>
  <c r="D3403" i="60"/>
  <c r="D3402" i="60"/>
  <c r="D3401" i="60"/>
  <c r="D3400" i="60"/>
  <c r="D3399" i="60"/>
  <c r="D3398" i="60"/>
  <c r="D3397" i="60"/>
  <c r="D3396" i="60"/>
  <c r="D3395" i="60"/>
  <c r="D3394" i="60"/>
  <c r="D3393" i="60"/>
  <c r="D3392" i="60"/>
  <c r="D3391" i="60"/>
  <c r="D3390" i="60"/>
  <c r="D3389" i="60"/>
  <c r="D3388" i="60"/>
  <c r="D3387" i="60"/>
  <c r="D3386" i="60"/>
  <c r="D3385" i="60"/>
  <c r="D3384" i="60"/>
  <c r="D3383" i="60"/>
  <c r="D3382" i="60"/>
  <c r="D3381" i="60"/>
  <c r="D3380" i="60"/>
  <c r="D3379" i="60"/>
  <c r="D3378" i="60"/>
  <c r="D3377" i="60"/>
  <c r="D3376" i="60"/>
  <c r="D3375" i="60"/>
  <c r="D3374" i="60"/>
  <c r="D3373" i="60"/>
  <c r="D3372" i="60"/>
  <c r="D3371" i="60"/>
  <c r="D3370" i="60"/>
  <c r="D3369" i="60"/>
  <c r="D3368" i="60"/>
  <c r="D3367" i="60"/>
  <c r="D3366" i="60"/>
  <c r="D3365" i="60"/>
  <c r="D3364" i="60"/>
  <c r="D3363" i="60"/>
  <c r="D3362" i="60"/>
  <c r="D3361" i="60"/>
  <c r="D3360" i="60"/>
  <c r="D3359" i="60"/>
  <c r="D3358" i="60"/>
  <c r="D3357" i="60"/>
  <c r="D3356" i="60"/>
  <c r="D3355" i="60"/>
  <c r="D3354" i="60"/>
  <c r="D3353" i="60"/>
  <c r="D3352" i="60"/>
  <c r="D3351" i="60"/>
  <c r="D3350" i="60"/>
  <c r="D3349" i="60"/>
  <c r="D3348" i="60"/>
  <c r="D3347" i="60"/>
  <c r="D3346" i="60"/>
  <c r="D3345" i="60"/>
  <c r="D3344" i="60"/>
  <c r="D3343" i="60"/>
  <c r="D3342" i="60"/>
  <c r="D3341" i="60"/>
  <c r="D3340" i="60"/>
  <c r="D3339" i="60"/>
  <c r="D3338" i="60"/>
  <c r="D3337" i="60"/>
  <c r="D3336" i="60"/>
  <c r="D3335" i="60"/>
  <c r="D3334" i="60"/>
  <c r="D3333" i="60"/>
  <c r="D3332" i="60"/>
  <c r="D3331" i="60"/>
  <c r="D3330" i="60"/>
  <c r="D3329" i="60"/>
  <c r="D3328" i="60"/>
  <c r="D3327" i="60"/>
  <c r="D3326" i="60"/>
  <c r="D3325" i="60"/>
  <c r="D3324" i="60"/>
  <c r="D3323" i="60"/>
  <c r="D3322" i="60"/>
  <c r="D3321" i="60"/>
  <c r="D3320" i="60"/>
  <c r="D3319" i="60"/>
  <c r="D3318" i="60"/>
  <c r="D3317" i="60"/>
  <c r="D3316" i="60"/>
  <c r="D3315" i="60"/>
  <c r="D3314" i="60"/>
  <c r="D3313" i="60"/>
  <c r="D3312" i="60"/>
  <c r="D3311" i="60"/>
  <c r="D3310" i="60"/>
  <c r="D3309" i="60"/>
  <c r="D3308" i="60"/>
  <c r="D3307" i="60"/>
  <c r="D3306" i="60"/>
  <c r="D3305" i="60"/>
  <c r="D3304" i="60"/>
  <c r="D3303" i="60"/>
  <c r="D3302" i="60"/>
  <c r="D3301" i="60"/>
  <c r="D3300" i="60"/>
  <c r="D3299" i="60"/>
  <c r="D3298" i="60"/>
  <c r="D3297" i="60"/>
  <c r="D3296" i="60"/>
  <c r="D3295" i="60"/>
  <c r="D3294" i="60"/>
  <c r="D3293" i="60"/>
  <c r="D3292" i="60"/>
  <c r="D3291" i="60"/>
  <c r="D3290" i="60"/>
  <c r="D3289" i="60"/>
  <c r="D3288" i="60"/>
  <c r="D3287" i="60"/>
  <c r="D3286" i="60"/>
  <c r="D3285" i="60"/>
  <c r="D3284" i="60"/>
  <c r="D3283" i="60"/>
  <c r="D3282" i="60"/>
  <c r="D3281" i="60"/>
  <c r="D3280" i="60"/>
  <c r="D3279" i="60"/>
  <c r="D3278" i="60"/>
  <c r="D3277" i="60"/>
  <c r="D3276" i="60"/>
  <c r="D3275" i="60"/>
  <c r="D3274" i="60"/>
  <c r="D3273" i="60"/>
  <c r="D3272" i="60"/>
  <c r="D3271" i="60"/>
  <c r="D3270" i="60"/>
  <c r="D3269" i="60"/>
  <c r="D3268" i="60"/>
  <c r="D3267" i="60"/>
  <c r="D3266" i="60"/>
  <c r="D3265" i="60"/>
  <c r="D3264" i="60"/>
  <c r="D3263" i="60"/>
  <c r="D3262" i="60"/>
  <c r="D3261" i="60"/>
  <c r="D3260" i="60"/>
  <c r="D3259" i="60"/>
  <c r="D3258" i="60"/>
  <c r="D3257" i="60"/>
  <c r="D3256" i="60"/>
  <c r="D3255" i="60"/>
  <c r="D3254" i="60"/>
  <c r="D3253" i="60"/>
  <c r="D3252" i="60"/>
  <c r="D3251" i="60"/>
  <c r="D3250" i="60"/>
  <c r="D3249" i="60"/>
  <c r="D3248" i="60"/>
  <c r="D3247" i="60"/>
  <c r="D3246" i="60"/>
  <c r="D3245" i="60"/>
  <c r="D3244" i="60"/>
  <c r="D3243" i="60"/>
  <c r="D3242" i="60"/>
  <c r="D3241" i="60"/>
  <c r="D3240" i="60"/>
  <c r="D3239" i="60"/>
  <c r="D3238" i="60"/>
  <c r="D3237" i="60"/>
  <c r="D3236" i="60"/>
  <c r="D3235" i="60"/>
  <c r="D3234" i="60"/>
  <c r="D3233" i="60"/>
  <c r="D3232" i="60"/>
  <c r="D3231" i="60"/>
  <c r="D3230" i="60"/>
  <c r="D3229" i="60"/>
  <c r="D3228" i="60"/>
  <c r="D3227" i="60"/>
  <c r="D3226" i="60"/>
  <c r="D3225" i="60"/>
  <c r="D3224" i="60"/>
  <c r="D3223" i="60"/>
  <c r="D3222" i="60"/>
  <c r="D3221" i="60"/>
  <c r="D3220" i="60"/>
  <c r="D3219" i="60"/>
  <c r="D3218" i="60"/>
  <c r="D3217" i="60"/>
  <c r="D3216" i="60"/>
  <c r="D3215" i="60"/>
  <c r="D3214" i="60"/>
  <c r="D3213" i="60"/>
  <c r="D3212" i="60"/>
  <c r="D3211" i="60"/>
  <c r="D3210" i="60"/>
  <c r="D3209" i="60"/>
  <c r="D3208" i="60"/>
  <c r="D3207" i="60"/>
  <c r="D3206" i="60"/>
  <c r="D3205" i="60"/>
  <c r="D3204" i="60"/>
  <c r="D3203" i="60"/>
  <c r="D3202" i="60"/>
  <c r="D3201" i="60"/>
  <c r="D3200" i="60"/>
  <c r="D3199" i="60"/>
  <c r="D3198" i="60"/>
  <c r="D3197" i="60"/>
  <c r="D3196" i="60"/>
  <c r="D3195" i="60"/>
  <c r="D3194" i="60"/>
  <c r="D3193" i="60"/>
  <c r="D3192" i="60"/>
  <c r="D3191" i="60"/>
  <c r="D3190" i="60"/>
  <c r="D3189" i="60"/>
  <c r="D3188" i="60"/>
  <c r="D3187" i="60"/>
  <c r="D3186" i="60"/>
  <c r="D3185" i="60"/>
  <c r="D3184" i="60"/>
  <c r="D3183" i="60"/>
  <c r="D3182" i="60"/>
  <c r="D3181" i="60"/>
  <c r="D3180" i="60"/>
  <c r="D3179" i="60"/>
  <c r="D3178" i="60"/>
  <c r="D3177" i="60"/>
  <c r="D3176" i="60"/>
  <c r="D3175" i="60"/>
  <c r="D3174" i="60"/>
  <c r="D3173" i="60"/>
  <c r="D3172" i="60"/>
  <c r="D3171" i="60"/>
  <c r="D3170" i="60"/>
  <c r="D3169" i="60"/>
  <c r="D3168" i="60"/>
  <c r="D3167" i="60"/>
  <c r="D3166" i="60"/>
  <c r="D3165" i="60"/>
  <c r="D3164" i="60"/>
  <c r="D3163" i="60"/>
  <c r="D3162" i="60"/>
  <c r="D3161" i="60"/>
  <c r="D3160" i="60"/>
  <c r="D3159" i="60"/>
  <c r="D3158" i="60"/>
  <c r="D3157" i="60"/>
  <c r="D3156" i="60"/>
  <c r="D3155" i="60"/>
  <c r="D3154" i="60"/>
  <c r="D3153" i="60"/>
  <c r="D3152" i="60"/>
  <c r="D3151" i="60"/>
  <c r="D3150" i="60"/>
  <c r="D3149" i="60"/>
  <c r="D3148" i="60"/>
  <c r="D3147" i="60"/>
  <c r="D3146" i="60"/>
  <c r="D3145" i="60"/>
  <c r="D3144" i="60"/>
  <c r="D3143" i="60"/>
  <c r="D3142" i="60"/>
  <c r="D3141" i="60"/>
  <c r="D3140" i="60"/>
  <c r="D3139" i="60"/>
  <c r="D3138" i="60"/>
  <c r="D3137" i="60"/>
  <c r="D3136" i="60"/>
  <c r="D3135" i="60"/>
  <c r="D3134" i="60"/>
  <c r="D3133" i="60"/>
  <c r="D3132" i="60"/>
  <c r="D3131" i="60"/>
  <c r="D3130" i="60"/>
  <c r="D3129" i="60"/>
  <c r="D3128" i="60"/>
  <c r="D3127" i="60"/>
  <c r="D3126" i="60"/>
  <c r="D3125" i="60"/>
  <c r="D3124" i="60"/>
  <c r="D3123" i="60"/>
  <c r="D3122" i="60"/>
  <c r="D3121" i="60"/>
  <c r="D3120" i="60"/>
  <c r="D3119" i="60"/>
  <c r="D3118" i="60"/>
  <c r="D3117" i="60"/>
  <c r="D3116" i="60"/>
  <c r="D3115" i="60"/>
  <c r="D3114" i="60"/>
  <c r="D3113" i="60"/>
  <c r="D3112" i="60"/>
  <c r="D3111" i="60"/>
  <c r="D3110" i="60"/>
  <c r="D3109" i="60"/>
  <c r="D3108" i="60"/>
  <c r="D3107" i="60"/>
  <c r="D3106" i="60"/>
  <c r="D3105" i="60"/>
  <c r="D3104" i="60"/>
  <c r="D3103" i="60"/>
  <c r="D3102" i="60"/>
  <c r="D3101" i="60"/>
  <c r="D3100" i="60"/>
  <c r="D3099" i="60"/>
  <c r="D3098" i="60"/>
  <c r="D3097" i="60"/>
  <c r="D3096" i="60"/>
  <c r="D3095" i="60"/>
  <c r="D3094" i="60"/>
  <c r="D3093" i="60"/>
  <c r="D3092" i="60"/>
  <c r="D3091" i="60"/>
  <c r="D3090" i="60"/>
  <c r="D3089" i="60"/>
  <c r="D3088" i="60"/>
  <c r="D3087" i="60"/>
  <c r="D3086" i="60"/>
  <c r="D3085" i="60"/>
  <c r="D3084" i="60"/>
  <c r="D3083" i="60"/>
  <c r="D3082" i="60"/>
  <c r="D3081" i="60"/>
  <c r="D3080" i="60"/>
  <c r="D3079" i="60"/>
  <c r="D3078" i="60"/>
  <c r="D3077" i="60"/>
  <c r="D3076" i="60"/>
  <c r="D3075" i="60"/>
  <c r="D3074" i="60"/>
  <c r="D3073" i="60"/>
  <c r="D3072" i="60"/>
  <c r="D3071" i="60"/>
  <c r="D3070" i="60"/>
  <c r="D3069" i="60"/>
  <c r="D3068" i="60"/>
  <c r="D3067" i="60"/>
  <c r="D3066" i="60"/>
  <c r="D3065" i="60"/>
  <c r="D3064" i="60"/>
  <c r="D3063" i="60"/>
  <c r="D3062" i="60"/>
  <c r="D3061" i="60"/>
  <c r="D3060" i="60"/>
  <c r="D3059" i="60"/>
  <c r="D3058" i="60"/>
  <c r="D3057" i="60"/>
  <c r="D3056" i="60"/>
  <c r="D3055" i="60"/>
  <c r="D3054" i="60"/>
  <c r="D3053" i="60"/>
  <c r="D3052" i="60"/>
  <c r="D3051" i="60"/>
  <c r="D3050" i="60"/>
  <c r="D3049" i="60"/>
  <c r="D3048" i="60"/>
  <c r="D3047" i="60"/>
  <c r="D3046" i="60"/>
  <c r="D3045" i="60"/>
  <c r="D3044" i="60"/>
  <c r="D3043" i="60"/>
  <c r="D3042" i="60"/>
  <c r="D3041" i="60"/>
  <c r="D3040" i="60"/>
  <c r="D3039" i="60"/>
  <c r="D3038" i="60"/>
  <c r="D3037" i="60"/>
  <c r="D3036" i="60"/>
  <c r="D3035" i="60"/>
  <c r="D3034" i="60"/>
  <c r="D3033" i="60"/>
  <c r="D3032" i="60"/>
  <c r="D3031" i="60"/>
  <c r="D3030" i="60"/>
  <c r="D3029" i="60"/>
  <c r="D3028" i="60"/>
  <c r="D3027" i="60"/>
  <c r="D3026" i="60"/>
  <c r="D3025" i="60"/>
  <c r="D3024" i="60"/>
  <c r="D3023" i="60"/>
  <c r="D3022" i="60"/>
  <c r="D3021" i="60"/>
  <c r="D3020" i="60"/>
  <c r="D3019" i="60"/>
  <c r="D3018" i="60"/>
  <c r="D3017" i="60"/>
  <c r="D3016" i="60"/>
  <c r="D3015" i="60"/>
  <c r="D3014" i="60"/>
  <c r="D3013" i="60"/>
  <c r="D3012" i="60"/>
  <c r="D3011" i="60"/>
  <c r="D3010" i="60"/>
  <c r="D3009" i="60"/>
  <c r="D3008" i="60"/>
  <c r="D3007" i="60"/>
  <c r="D3006" i="60"/>
  <c r="D3005" i="60"/>
  <c r="D3004" i="60"/>
  <c r="D3003" i="60"/>
  <c r="D3002" i="60"/>
  <c r="D3001" i="60"/>
  <c r="D3000" i="60"/>
  <c r="D2999" i="60"/>
  <c r="D2998" i="60"/>
  <c r="D2997" i="60"/>
  <c r="D2996" i="60"/>
  <c r="D2995" i="60"/>
  <c r="D2994" i="60"/>
  <c r="D2993" i="60"/>
  <c r="D2992" i="60"/>
  <c r="D2991" i="60"/>
  <c r="D2990" i="60"/>
  <c r="D2989" i="60"/>
  <c r="D2988" i="60"/>
  <c r="D2987" i="60"/>
  <c r="D2986" i="60"/>
  <c r="D2985" i="60"/>
  <c r="D2984" i="60"/>
  <c r="D2983" i="60"/>
  <c r="D2982" i="60"/>
  <c r="D2981" i="60"/>
  <c r="D2980" i="60"/>
  <c r="D2979" i="60"/>
  <c r="D2978" i="60"/>
  <c r="D2977" i="60"/>
  <c r="D2976" i="60"/>
  <c r="D2975" i="60"/>
  <c r="D2974" i="60"/>
  <c r="D2973" i="60"/>
  <c r="D2972" i="60"/>
  <c r="D2971" i="60"/>
  <c r="D2970" i="60"/>
  <c r="D2969" i="60"/>
  <c r="D2968" i="60"/>
  <c r="D2967" i="60"/>
  <c r="D2966" i="60"/>
  <c r="D2965" i="60"/>
  <c r="D2964" i="60"/>
  <c r="D2963" i="60"/>
  <c r="D2962" i="60"/>
  <c r="D2961" i="60"/>
  <c r="D2960" i="60"/>
  <c r="D2959" i="60"/>
  <c r="D2958" i="60"/>
  <c r="D2957" i="60"/>
  <c r="D2956" i="60"/>
  <c r="D2955" i="60"/>
  <c r="D2954" i="60"/>
  <c r="D2953" i="60"/>
  <c r="D2952" i="60"/>
  <c r="D2951" i="60"/>
  <c r="D2950" i="60"/>
  <c r="D2949" i="60"/>
  <c r="D2948" i="60"/>
  <c r="D2947" i="60"/>
  <c r="D2946" i="60"/>
  <c r="D2945" i="60"/>
  <c r="D2944" i="60"/>
  <c r="D2943" i="60"/>
  <c r="D2942" i="60"/>
  <c r="D2941" i="60"/>
  <c r="D2940" i="60"/>
  <c r="D2939" i="60"/>
  <c r="D2938" i="60"/>
  <c r="D2937" i="60"/>
  <c r="D2936" i="60"/>
  <c r="D2935" i="60"/>
  <c r="D2934" i="60"/>
  <c r="D2933" i="60"/>
  <c r="D2932" i="60"/>
  <c r="D2931" i="60"/>
  <c r="D2930" i="60"/>
  <c r="D2929" i="60"/>
  <c r="D2928" i="60"/>
  <c r="D2927" i="60"/>
  <c r="D2926" i="60"/>
  <c r="D2925" i="60"/>
  <c r="D2924" i="60"/>
  <c r="D2923" i="60"/>
  <c r="D2922" i="60"/>
  <c r="D2921" i="60"/>
  <c r="D2920" i="60"/>
  <c r="D2919" i="60"/>
  <c r="D2918" i="60"/>
  <c r="D2917" i="60"/>
  <c r="D2916" i="60"/>
  <c r="D2915" i="60"/>
  <c r="D2914" i="60"/>
  <c r="D2913" i="60"/>
  <c r="D2912" i="60"/>
  <c r="D2911" i="60"/>
  <c r="D2910" i="60"/>
  <c r="D2909" i="60"/>
  <c r="D2908" i="60"/>
  <c r="D2907" i="60"/>
  <c r="D2906" i="60"/>
  <c r="D2905" i="60"/>
  <c r="D2904" i="60"/>
  <c r="D2903" i="60"/>
  <c r="D2902" i="60"/>
  <c r="D2901" i="60"/>
  <c r="D2900" i="60"/>
  <c r="D2899" i="60"/>
  <c r="D2898" i="60"/>
  <c r="D2897" i="60"/>
  <c r="D2896" i="60"/>
  <c r="D2895" i="60"/>
  <c r="D2894" i="60"/>
  <c r="D2893" i="60"/>
  <c r="D2892" i="60"/>
  <c r="D2891" i="60"/>
  <c r="D2890" i="60"/>
  <c r="D2889" i="60"/>
  <c r="D2888" i="60"/>
  <c r="D2887" i="60"/>
  <c r="D2886" i="60"/>
  <c r="D2885" i="60"/>
  <c r="D2884" i="60"/>
  <c r="D2883" i="60"/>
  <c r="D2882" i="60"/>
  <c r="D2881" i="60"/>
  <c r="D2880" i="60"/>
  <c r="D2879" i="60"/>
  <c r="D2878" i="60"/>
  <c r="D2877" i="60"/>
  <c r="D2876" i="60"/>
  <c r="D2875" i="60"/>
  <c r="D2874" i="60"/>
  <c r="D2873" i="60"/>
  <c r="D2872" i="60"/>
  <c r="D2871" i="60"/>
  <c r="D2870" i="60"/>
  <c r="D2869" i="60"/>
  <c r="D2868" i="60"/>
  <c r="D2867" i="60"/>
  <c r="D2866" i="60"/>
  <c r="D2865" i="60"/>
  <c r="D2864" i="60"/>
  <c r="D2863" i="60"/>
  <c r="D2862" i="60"/>
  <c r="D2861" i="60"/>
  <c r="D2860" i="60"/>
  <c r="D2859" i="60"/>
  <c r="D2858" i="60"/>
  <c r="D2857" i="60"/>
  <c r="D2856" i="60"/>
  <c r="D2855" i="60"/>
  <c r="D2854" i="60"/>
  <c r="D2853" i="60"/>
  <c r="D2852" i="60"/>
  <c r="D2851" i="60"/>
  <c r="D2850" i="60"/>
  <c r="D2849" i="60"/>
  <c r="D2848" i="60"/>
  <c r="D2847" i="60"/>
  <c r="D2846" i="60"/>
  <c r="D2845" i="60"/>
  <c r="D2844" i="60"/>
  <c r="D2843" i="60"/>
  <c r="D2842" i="60"/>
  <c r="D2841" i="60"/>
  <c r="D2840" i="60"/>
  <c r="D2839" i="60"/>
  <c r="D2838" i="60"/>
  <c r="D2837" i="60"/>
  <c r="D2836" i="60"/>
  <c r="D2835" i="60"/>
  <c r="D2834" i="60"/>
  <c r="D2833" i="60"/>
  <c r="D2832" i="60"/>
  <c r="D2831" i="60"/>
  <c r="D2830" i="60"/>
  <c r="D2829" i="60"/>
  <c r="D2828" i="60"/>
  <c r="D2827" i="60"/>
  <c r="D2826" i="60"/>
  <c r="D2825" i="60"/>
  <c r="D2824" i="60"/>
  <c r="D2823" i="60"/>
  <c r="D2822" i="60"/>
  <c r="D2821" i="60"/>
  <c r="D2820" i="60"/>
  <c r="D2819" i="60"/>
  <c r="D2818" i="60"/>
  <c r="D2817" i="60"/>
  <c r="D2816" i="60"/>
  <c r="D2815" i="60"/>
  <c r="D2814" i="60"/>
  <c r="D2813" i="60"/>
  <c r="D2812" i="60"/>
  <c r="D2811" i="60"/>
  <c r="D2810" i="60"/>
  <c r="D2809" i="60"/>
  <c r="D2808" i="60"/>
  <c r="D2807" i="60"/>
  <c r="D2806" i="60"/>
  <c r="D2805" i="60"/>
  <c r="D2804" i="60"/>
  <c r="D2803" i="60"/>
  <c r="D2802" i="60"/>
  <c r="D2801" i="60"/>
  <c r="D2800" i="60"/>
  <c r="D2799" i="60"/>
  <c r="D2798" i="60"/>
  <c r="D2797" i="60"/>
  <c r="D2796" i="60"/>
  <c r="D2795" i="60"/>
  <c r="D2794" i="60"/>
  <c r="D2793" i="60"/>
  <c r="D2792" i="60"/>
  <c r="D2791" i="60"/>
  <c r="D2790" i="60"/>
  <c r="D2789" i="60"/>
  <c r="D2788" i="60"/>
  <c r="D2787" i="60"/>
  <c r="D2786" i="60"/>
  <c r="D2785" i="60"/>
  <c r="D2784" i="60"/>
  <c r="D2783" i="60"/>
  <c r="D2782" i="60"/>
  <c r="D2781" i="60"/>
  <c r="D2780" i="60"/>
  <c r="D2779" i="60"/>
  <c r="D2778" i="60"/>
  <c r="D2777" i="60"/>
  <c r="D2776" i="60"/>
  <c r="D2775" i="60"/>
  <c r="D2774" i="60"/>
  <c r="D2773" i="60"/>
  <c r="D2772" i="60"/>
  <c r="D2771" i="60"/>
  <c r="D2770" i="60"/>
  <c r="D2769" i="60"/>
  <c r="D2768" i="60"/>
  <c r="D2767" i="60"/>
  <c r="D2766" i="60"/>
  <c r="D2765" i="60"/>
  <c r="D2764" i="60"/>
  <c r="D2763" i="60"/>
  <c r="D2762" i="60"/>
  <c r="D2761" i="60"/>
  <c r="D2760" i="60"/>
  <c r="D2759" i="60"/>
  <c r="D2758" i="60"/>
  <c r="D2757" i="60"/>
  <c r="D2756" i="60"/>
  <c r="D2755" i="60"/>
  <c r="D2754" i="60"/>
  <c r="D2753" i="60"/>
  <c r="D2752" i="60"/>
  <c r="D2751" i="60"/>
  <c r="D2750" i="60"/>
  <c r="D2749" i="60"/>
  <c r="D2748" i="60"/>
  <c r="D2747" i="60"/>
  <c r="D2746" i="60"/>
  <c r="D2745" i="60"/>
  <c r="D2744" i="60"/>
  <c r="D2743" i="60"/>
  <c r="D2742" i="60"/>
  <c r="D2741" i="60"/>
  <c r="D2740" i="60"/>
  <c r="D2739" i="60"/>
  <c r="D2738" i="60"/>
  <c r="D2737" i="60"/>
  <c r="D2736" i="60"/>
  <c r="D2735" i="60"/>
  <c r="D2734" i="60"/>
  <c r="D2733" i="60"/>
  <c r="D2732" i="60"/>
  <c r="D2731" i="60"/>
  <c r="D2730" i="60"/>
  <c r="D2729" i="60"/>
  <c r="D2728" i="60"/>
  <c r="D2727" i="60"/>
  <c r="D2726" i="60"/>
  <c r="D2725" i="60"/>
  <c r="D2724" i="60"/>
  <c r="D2723" i="60"/>
  <c r="D2722" i="60"/>
  <c r="D2721" i="60"/>
  <c r="D2720" i="60"/>
  <c r="D2719" i="60"/>
  <c r="D2718" i="60"/>
  <c r="D2717" i="60"/>
  <c r="D2716" i="60"/>
  <c r="D2715" i="60"/>
  <c r="D2714" i="60"/>
  <c r="D2713" i="60"/>
  <c r="D2712" i="60"/>
  <c r="D2711" i="60"/>
  <c r="D2710" i="60"/>
  <c r="D2709" i="60"/>
  <c r="D2708" i="60"/>
  <c r="D2707" i="60"/>
  <c r="D2706" i="60"/>
  <c r="D2705" i="60"/>
  <c r="D2704" i="60"/>
  <c r="D2703" i="60"/>
  <c r="D2702" i="60"/>
  <c r="D2701" i="60"/>
  <c r="D2700" i="60"/>
  <c r="D2699" i="60"/>
  <c r="D2698" i="60"/>
  <c r="D2697" i="60"/>
  <c r="D2696" i="60"/>
  <c r="D2695" i="60"/>
  <c r="D2694" i="60"/>
  <c r="D2693" i="60"/>
  <c r="D2692" i="60"/>
  <c r="D2691" i="60"/>
  <c r="D2690" i="60"/>
  <c r="D2689" i="60"/>
  <c r="D2688" i="60"/>
  <c r="D2687" i="60"/>
  <c r="D2686" i="60"/>
  <c r="D2685" i="60"/>
  <c r="D2684" i="60"/>
  <c r="D2683" i="60"/>
  <c r="D2682" i="60"/>
  <c r="D2681" i="60"/>
  <c r="D2680" i="60"/>
  <c r="D2679" i="60"/>
  <c r="D2678" i="60"/>
  <c r="D2677" i="60"/>
  <c r="D2676" i="60"/>
  <c r="D2675" i="60"/>
  <c r="D2674" i="60"/>
  <c r="D2673" i="60"/>
  <c r="D2672" i="60"/>
  <c r="D2671" i="60"/>
  <c r="D2670" i="60"/>
  <c r="D2669" i="60"/>
  <c r="D2668" i="60"/>
  <c r="D2667" i="60"/>
  <c r="D2666" i="60"/>
  <c r="D2665" i="60"/>
  <c r="D2664" i="60"/>
  <c r="D2663" i="60"/>
  <c r="D2662" i="60"/>
  <c r="D2661" i="60"/>
  <c r="D2660" i="60"/>
  <c r="D2659" i="60"/>
  <c r="D2658" i="60"/>
  <c r="D2657" i="60"/>
  <c r="D2656" i="60"/>
  <c r="D2655" i="60"/>
  <c r="D2654" i="60"/>
  <c r="D2653" i="60"/>
  <c r="D2652" i="60"/>
  <c r="D2651" i="60"/>
  <c r="D2650" i="60"/>
  <c r="D2649" i="60"/>
  <c r="D2648" i="60"/>
  <c r="D2647" i="60"/>
  <c r="D2646" i="60"/>
  <c r="D2645" i="60"/>
  <c r="D2644" i="60"/>
  <c r="D2643" i="60"/>
  <c r="D2642" i="60"/>
  <c r="D2641" i="60"/>
  <c r="D2640" i="60"/>
  <c r="D2639" i="60"/>
  <c r="D2638" i="60"/>
  <c r="D2637" i="60"/>
  <c r="D2636" i="60"/>
  <c r="D2635" i="60"/>
  <c r="D2634" i="60"/>
  <c r="D2633" i="60"/>
  <c r="D2632" i="60"/>
  <c r="D2631" i="60"/>
  <c r="D2630" i="60"/>
  <c r="D2629" i="60"/>
  <c r="D2628" i="60"/>
  <c r="D2627" i="60"/>
  <c r="D2626" i="60"/>
  <c r="D2625" i="60"/>
  <c r="D2624" i="60"/>
  <c r="D2623" i="60"/>
  <c r="D2622" i="60"/>
  <c r="D2621" i="60"/>
  <c r="D2620" i="60"/>
  <c r="D2619" i="60"/>
  <c r="D2618" i="60"/>
  <c r="D2617" i="60"/>
  <c r="D2616" i="60"/>
  <c r="D2615" i="60"/>
  <c r="D2614" i="60"/>
  <c r="D2613" i="60"/>
  <c r="D2612" i="60"/>
  <c r="D2611" i="60"/>
  <c r="D2610" i="60"/>
  <c r="D2609" i="60"/>
  <c r="D2608" i="60"/>
  <c r="D2607" i="60"/>
  <c r="D2606" i="60"/>
  <c r="D2605" i="60"/>
  <c r="D2604" i="60"/>
  <c r="D2603" i="60"/>
  <c r="D2602" i="60"/>
  <c r="D2601" i="60"/>
  <c r="D2600" i="60"/>
  <c r="D2599" i="60"/>
  <c r="D2598" i="60"/>
  <c r="D2597" i="60"/>
  <c r="D2596" i="60"/>
  <c r="D2595" i="60"/>
  <c r="D2594" i="60"/>
  <c r="D2593" i="60"/>
  <c r="D2592" i="60"/>
  <c r="D2591" i="60"/>
  <c r="D2590" i="60"/>
  <c r="D2589" i="60"/>
  <c r="D2588" i="60"/>
  <c r="D2587" i="60"/>
  <c r="D2586" i="60"/>
  <c r="D2585" i="60"/>
  <c r="D2584" i="60"/>
  <c r="D2583" i="60"/>
  <c r="D2582" i="60"/>
  <c r="D2581" i="60"/>
  <c r="D2580" i="60"/>
  <c r="D2579" i="60"/>
  <c r="D2578" i="60"/>
  <c r="D2577" i="60"/>
  <c r="D2576" i="60"/>
  <c r="D2575" i="60"/>
  <c r="D2574" i="60"/>
  <c r="D2573" i="60"/>
  <c r="D2572" i="60"/>
  <c r="D2571" i="60"/>
  <c r="D2570" i="60"/>
  <c r="D2569" i="60"/>
  <c r="D2568" i="60"/>
  <c r="D2567" i="60"/>
  <c r="D2566" i="60"/>
  <c r="D2565" i="60"/>
  <c r="D2564" i="60"/>
  <c r="D2563" i="60"/>
  <c r="D2562" i="60"/>
  <c r="D2561" i="60"/>
  <c r="D2560" i="60"/>
  <c r="D2559" i="60"/>
  <c r="D2558" i="60"/>
  <c r="D2557" i="60"/>
  <c r="D2556" i="60"/>
  <c r="D2555" i="60"/>
  <c r="D2554" i="60"/>
  <c r="D2553" i="60"/>
  <c r="D2552" i="60"/>
  <c r="D2551" i="60"/>
  <c r="D2550" i="60"/>
  <c r="D2549" i="60"/>
  <c r="D2548" i="60"/>
  <c r="D2547" i="60"/>
  <c r="D2546" i="60"/>
  <c r="D2545" i="60"/>
  <c r="D2544" i="60"/>
  <c r="D2543" i="60"/>
  <c r="D2542" i="60"/>
  <c r="D2541" i="60"/>
  <c r="D2540" i="60"/>
  <c r="D2539" i="60"/>
  <c r="D2538" i="60"/>
  <c r="D2537" i="60"/>
  <c r="D2536" i="60"/>
  <c r="D2535" i="60"/>
  <c r="D2534" i="60"/>
  <c r="D2533" i="60"/>
  <c r="D2532" i="60"/>
  <c r="D2531" i="60"/>
  <c r="D2530" i="60"/>
  <c r="D2529" i="60"/>
  <c r="D2528" i="60"/>
  <c r="D2527" i="60"/>
  <c r="D2526" i="60"/>
  <c r="D2525" i="60"/>
  <c r="D2524" i="60"/>
  <c r="D2523" i="60"/>
  <c r="D2522" i="60"/>
  <c r="D2521" i="60"/>
  <c r="D2520" i="60"/>
  <c r="D2519" i="60"/>
  <c r="D2518" i="60"/>
  <c r="D2517" i="60"/>
  <c r="D2516" i="60"/>
  <c r="D2515" i="60"/>
  <c r="D2514" i="60"/>
  <c r="D2513" i="60"/>
  <c r="D2512" i="60"/>
  <c r="D2511" i="60"/>
  <c r="D2510" i="60"/>
  <c r="D2509" i="60"/>
  <c r="D2508" i="60"/>
  <c r="D2507" i="60"/>
  <c r="D2506" i="60"/>
  <c r="D2505" i="60"/>
  <c r="D2504" i="60"/>
  <c r="D2503" i="60"/>
  <c r="D2502" i="60"/>
  <c r="D2501" i="60"/>
  <c r="D2500" i="60"/>
  <c r="D2499" i="60"/>
  <c r="D2498" i="60"/>
  <c r="D2497" i="60"/>
  <c r="D2496" i="60"/>
  <c r="D2495" i="60"/>
  <c r="D2494" i="60"/>
  <c r="D2493" i="60"/>
  <c r="D2492" i="60"/>
  <c r="D2491" i="60"/>
  <c r="D2490" i="60"/>
  <c r="D2489" i="60"/>
  <c r="D2488" i="60"/>
  <c r="D2487" i="60"/>
  <c r="D2486" i="60"/>
  <c r="D2485" i="60"/>
  <c r="D2484" i="60"/>
  <c r="D2483" i="60"/>
  <c r="D2482" i="60"/>
  <c r="D2481" i="60"/>
  <c r="D2480" i="60"/>
  <c r="D2479" i="60"/>
  <c r="D2478" i="60"/>
  <c r="D2477" i="60"/>
  <c r="D2476" i="60"/>
  <c r="D2475" i="60"/>
  <c r="D2474" i="60"/>
  <c r="D2473" i="60"/>
  <c r="D2472" i="60"/>
  <c r="D2471" i="60"/>
  <c r="D2470" i="60"/>
  <c r="D2469" i="60"/>
  <c r="D2468" i="60"/>
  <c r="D2467" i="60"/>
  <c r="D2466" i="60"/>
  <c r="D2465" i="60"/>
  <c r="D2464" i="60"/>
  <c r="D2463" i="60"/>
  <c r="D2462" i="60"/>
  <c r="D2461" i="60"/>
  <c r="D2460" i="60"/>
  <c r="D2459" i="60"/>
  <c r="D2458" i="60"/>
  <c r="D2457" i="60"/>
  <c r="D2456" i="60"/>
  <c r="D2455" i="60"/>
  <c r="D2454" i="60"/>
  <c r="D2453" i="60"/>
  <c r="D2452" i="60"/>
  <c r="D2451" i="60"/>
  <c r="D2450" i="60"/>
  <c r="D2449" i="60"/>
  <c r="D2448" i="60"/>
  <c r="D2447" i="60"/>
  <c r="D2446" i="60"/>
  <c r="D2445" i="60"/>
  <c r="D2444" i="60"/>
  <c r="D2443" i="60"/>
  <c r="D2442" i="60"/>
  <c r="D2441" i="60"/>
  <c r="D2440" i="60"/>
  <c r="D2439" i="60"/>
  <c r="D2438" i="60"/>
  <c r="D2437" i="60"/>
  <c r="D2436" i="60"/>
  <c r="D2435" i="60"/>
  <c r="D2434" i="60"/>
  <c r="D2433" i="60"/>
  <c r="D2432" i="60"/>
  <c r="D2431" i="60"/>
  <c r="D2430" i="60"/>
  <c r="D2429" i="60"/>
  <c r="D2428" i="60"/>
  <c r="D2427" i="60"/>
  <c r="D2426" i="60"/>
  <c r="D2425" i="60"/>
  <c r="D2424" i="60"/>
  <c r="D2423" i="60"/>
  <c r="D2422" i="60"/>
  <c r="D2421" i="60"/>
  <c r="D2420" i="60"/>
  <c r="D2419" i="60"/>
  <c r="D2418" i="60"/>
  <c r="D2417" i="60"/>
  <c r="D2416" i="60"/>
  <c r="D2415" i="60"/>
  <c r="D2414" i="60"/>
  <c r="D2413" i="60"/>
  <c r="D2412" i="60"/>
  <c r="D2411" i="60"/>
  <c r="D2410" i="60"/>
  <c r="D2409" i="60"/>
  <c r="D2408" i="60"/>
  <c r="D2407" i="60"/>
  <c r="D2406" i="60"/>
  <c r="D2405" i="60"/>
  <c r="D2404" i="60"/>
  <c r="D2403" i="60"/>
  <c r="D2402" i="60"/>
  <c r="D2401" i="60"/>
  <c r="D2400" i="60"/>
  <c r="D2399" i="60"/>
  <c r="D2398" i="60"/>
  <c r="D2397" i="60"/>
  <c r="D2396" i="60"/>
  <c r="D2395" i="60"/>
  <c r="D2394" i="60"/>
  <c r="D2393" i="60"/>
  <c r="D2392" i="60"/>
  <c r="D2391" i="60"/>
  <c r="D2390" i="60"/>
  <c r="D2389" i="60"/>
  <c r="D2388" i="60"/>
  <c r="D2387" i="60"/>
  <c r="D2386" i="60"/>
  <c r="D2385" i="60"/>
  <c r="D2384" i="60"/>
  <c r="D2383" i="60"/>
  <c r="D2382" i="60"/>
  <c r="D2381" i="60"/>
  <c r="D2380" i="60"/>
  <c r="D2379" i="60"/>
  <c r="D2378" i="60"/>
  <c r="D2377" i="60"/>
  <c r="D2376" i="60"/>
  <c r="D2375" i="60"/>
  <c r="D2374" i="60"/>
  <c r="D2373" i="60"/>
  <c r="D2372" i="60"/>
  <c r="D2371" i="60"/>
  <c r="D2370" i="60"/>
  <c r="D2369" i="60"/>
  <c r="D2368" i="60"/>
  <c r="D2367" i="60"/>
  <c r="D2366" i="60"/>
  <c r="D2365" i="60"/>
  <c r="D2364" i="60"/>
  <c r="D2363" i="60"/>
  <c r="D2362" i="60"/>
  <c r="D2361" i="60"/>
  <c r="D2360" i="60"/>
  <c r="D2359" i="60"/>
  <c r="D2358" i="60"/>
  <c r="D2357" i="60"/>
  <c r="D2356" i="60"/>
  <c r="D2355" i="60"/>
  <c r="D2354" i="60"/>
  <c r="D2353" i="60"/>
  <c r="D2352" i="60"/>
  <c r="D2351" i="60"/>
  <c r="D2350" i="60"/>
  <c r="D2349" i="60"/>
  <c r="D2348" i="60"/>
  <c r="D2347" i="60"/>
  <c r="D2346" i="60"/>
  <c r="D2345" i="60"/>
  <c r="D2344" i="60"/>
  <c r="D2343" i="60"/>
  <c r="D2342" i="60"/>
  <c r="D2341" i="60"/>
  <c r="D2340" i="60"/>
  <c r="D2339" i="60"/>
  <c r="D2338" i="60"/>
  <c r="D2337" i="60"/>
  <c r="D2336" i="60"/>
  <c r="D2335" i="60"/>
  <c r="D2334" i="60"/>
  <c r="D2333" i="60"/>
  <c r="D2332" i="60"/>
  <c r="D2331" i="60"/>
  <c r="D2330" i="60"/>
  <c r="D2329" i="60"/>
  <c r="D2328" i="60"/>
  <c r="D2327" i="60"/>
  <c r="D2326" i="60"/>
  <c r="D2325" i="60"/>
  <c r="D2324" i="60"/>
  <c r="D2323" i="60"/>
  <c r="D2322" i="60"/>
  <c r="D2321" i="60"/>
  <c r="D2320" i="60"/>
  <c r="D2319" i="60"/>
  <c r="D2318" i="60"/>
  <c r="D2317" i="60"/>
  <c r="D2316" i="60"/>
  <c r="D2315" i="60"/>
  <c r="D2314" i="60"/>
  <c r="D2313" i="60"/>
  <c r="D2312" i="60"/>
  <c r="D2311" i="60"/>
  <c r="D2310" i="60"/>
  <c r="D2309" i="60"/>
  <c r="D2308" i="60"/>
  <c r="D2307" i="60"/>
  <c r="D2306" i="60"/>
  <c r="D2305" i="60"/>
  <c r="D2304" i="60"/>
  <c r="D2303" i="60"/>
  <c r="D2302" i="60"/>
  <c r="D2301" i="60"/>
  <c r="D2300" i="60"/>
  <c r="D2299" i="60"/>
  <c r="D2298" i="60"/>
  <c r="D2297" i="60"/>
  <c r="D2296" i="60"/>
  <c r="D2295" i="60"/>
  <c r="D2294" i="60"/>
  <c r="D2293" i="60"/>
  <c r="D2292" i="60"/>
  <c r="D2291" i="60"/>
  <c r="D2290" i="60"/>
  <c r="D2289" i="60"/>
  <c r="D2288" i="60"/>
  <c r="D2287" i="60"/>
  <c r="D2286" i="60"/>
  <c r="D2285" i="60"/>
  <c r="D2284" i="60"/>
  <c r="D2283" i="60"/>
  <c r="D2282" i="60"/>
  <c r="D2281" i="60"/>
  <c r="D2280" i="60"/>
  <c r="D2279" i="60"/>
  <c r="D2278" i="60"/>
  <c r="D2277" i="60"/>
  <c r="D2276" i="60"/>
  <c r="D2275" i="60"/>
  <c r="D2274" i="60"/>
  <c r="D2273" i="60"/>
  <c r="D2272" i="60"/>
  <c r="D2271" i="60"/>
  <c r="D2270" i="60"/>
  <c r="D2269" i="60"/>
  <c r="D2268" i="60"/>
  <c r="D2267" i="60"/>
  <c r="D2266" i="60"/>
  <c r="D2265" i="60"/>
  <c r="D2264" i="60"/>
  <c r="D2263" i="60"/>
  <c r="D2262" i="60"/>
  <c r="D2261" i="60"/>
  <c r="D2260" i="60"/>
  <c r="D2259" i="60"/>
  <c r="D2258" i="60"/>
  <c r="D2257" i="60"/>
  <c r="D2256" i="60"/>
  <c r="D2255" i="60"/>
  <c r="D2254" i="60"/>
  <c r="D2253" i="60"/>
  <c r="D2252" i="60"/>
  <c r="D2251" i="60"/>
  <c r="D2250" i="60"/>
  <c r="D2249" i="60"/>
  <c r="D2248" i="60"/>
  <c r="D2247" i="60"/>
  <c r="D2246" i="60"/>
  <c r="D2245" i="60"/>
  <c r="D2244" i="60"/>
  <c r="D2243" i="60"/>
  <c r="D2242" i="60"/>
  <c r="D2241" i="60"/>
  <c r="D2240" i="60"/>
  <c r="D2239" i="60"/>
  <c r="D2238" i="60"/>
  <c r="D2237" i="60"/>
  <c r="D2236" i="60"/>
  <c r="D2235" i="60"/>
  <c r="D2234" i="60"/>
  <c r="D2233" i="60"/>
  <c r="D2232" i="60"/>
  <c r="D2231" i="60"/>
  <c r="D2230" i="60"/>
  <c r="D2229" i="60"/>
  <c r="D2228" i="60"/>
  <c r="D2227" i="60"/>
  <c r="D2226" i="60"/>
  <c r="D2225" i="60"/>
  <c r="D2224" i="60"/>
  <c r="D2223" i="60"/>
  <c r="D2222" i="60"/>
  <c r="D2221" i="60"/>
  <c r="D2220" i="60"/>
  <c r="D2219" i="60"/>
  <c r="D2218" i="60"/>
  <c r="D2217" i="60"/>
  <c r="D2216" i="60"/>
  <c r="D2215" i="60"/>
  <c r="D2214" i="60"/>
  <c r="D2213" i="60"/>
  <c r="D2212" i="60"/>
  <c r="D2211" i="60"/>
  <c r="D2210" i="60"/>
  <c r="D2209" i="60"/>
  <c r="D2208" i="60"/>
  <c r="D2207" i="60"/>
  <c r="D2206" i="60"/>
  <c r="D2205" i="60"/>
  <c r="D2204" i="60"/>
  <c r="D2203" i="60"/>
  <c r="D2202" i="60"/>
  <c r="D2201" i="60"/>
  <c r="D2200" i="60"/>
  <c r="D2199" i="60"/>
  <c r="D2198" i="60"/>
  <c r="D2197" i="60"/>
  <c r="D2196" i="60"/>
  <c r="D2195" i="60"/>
  <c r="D2194" i="60"/>
  <c r="D2193" i="60"/>
  <c r="D2192" i="60"/>
  <c r="D2191" i="60"/>
  <c r="D2190" i="60"/>
  <c r="D2189" i="60"/>
  <c r="D2188" i="60"/>
  <c r="D2187" i="60"/>
  <c r="D2186" i="60"/>
  <c r="D2185" i="60"/>
  <c r="D2184" i="60"/>
  <c r="D2183" i="60"/>
  <c r="D2182" i="60"/>
  <c r="D2181" i="60"/>
  <c r="D2180" i="60"/>
  <c r="D2179" i="60"/>
  <c r="D2178" i="60"/>
  <c r="D2177" i="60"/>
  <c r="D2176" i="60"/>
  <c r="D2175" i="60"/>
  <c r="D2174" i="60"/>
  <c r="D2173" i="60"/>
  <c r="D2172" i="60"/>
  <c r="D2171" i="60"/>
  <c r="D2170" i="60"/>
  <c r="D2169" i="60"/>
  <c r="D2168" i="60"/>
  <c r="D2167" i="60"/>
  <c r="D2166" i="60"/>
  <c r="D2165" i="60"/>
  <c r="D2164" i="60"/>
  <c r="D2163" i="60"/>
  <c r="D2162" i="60"/>
  <c r="D2161" i="60"/>
  <c r="D2160" i="60"/>
  <c r="D2159" i="60"/>
  <c r="D2158" i="60"/>
  <c r="D2157" i="60"/>
  <c r="D2156" i="60"/>
  <c r="D2155" i="60"/>
  <c r="D2154" i="60"/>
  <c r="D2153" i="60"/>
  <c r="D2152" i="60"/>
  <c r="D2151" i="60"/>
  <c r="D2150" i="60"/>
  <c r="D2149" i="60"/>
  <c r="D2148" i="60"/>
  <c r="D2147" i="60"/>
  <c r="D2146" i="60"/>
  <c r="D2145" i="60"/>
  <c r="D2144" i="60"/>
  <c r="D2143" i="60"/>
  <c r="D2142" i="60"/>
  <c r="D2141" i="60"/>
  <c r="D2140" i="60"/>
  <c r="D2139" i="60"/>
  <c r="D2138" i="60"/>
  <c r="D2137" i="60"/>
  <c r="D2136" i="60"/>
  <c r="D2135" i="60"/>
  <c r="D2134" i="60"/>
  <c r="D2133" i="60"/>
  <c r="D2132" i="60"/>
  <c r="D2131" i="60"/>
  <c r="D2130" i="60"/>
  <c r="D2129" i="60"/>
  <c r="D2128" i="60"/>
  <c r="D2127" i="60"/>
  <c r="D2126" i="60"/>
  <c r="D2125" i="60"/>
  <c r="D2124" i="60"/>
  <c r="D2123" i="60"/>
  <c r="D2122" i="60"/>
  <c r="D2121" i="60"/>
  <c r="D2120" i="60"/>
  <c r="D2119" i="60"/>
  <c r="D2118" i="60"/>
  <c r="D2117" i="60"/>
  <c r="D2116" i="60"/>
  <c r="D2115" i="60"/>
  <c r="D2114" i="60"/>
  <c r="D2113" i="60"/>
  <c r="D2112" i="60"/>
  <c r="D2111" i="60"/>
  <c r="D2110" i="60"/>
  <c r="D2109" i="60"/>
  <c r="D2108" i="60"/>
  <c r="D2107" i="60"/>
  <c r="D2106" i="60"/>
  <c r="D2105" i="60"/>
  <c r="D2104" i="60"/>
  <c r="D2103" i="60"/>
  <c r="D2102" i="60"/>
  <c r="D2101" i="60"/>
  <c r="D2100" i="60"/>
  <c r="D2099" i="60"/>
  <c r="D2098" i="60"/>
  <c r="D2097" i="60"/>
  <c r="D2096" i="60"/>
  <c r="D2095" i="60"/>
  <c r="D2094" i="60"/>
  <c r="D2093" i="60"/>
  <c r="D2092" i="60"/>
  <c r="D2091" i="60"/>
  <c r="D2090" i="60"/>
  <c r="D2089" i="60"/>
  <c r="D2088" i="60"/>
  <c r="D2087" i="60"/>
  <c r="D2086" i="60"/>
  <c r="D2085" i="60"/>
  <c r="D2084" i="60"/>
  <c r="D2083" i="60"/>
  <c r="D2082" i="60"/>
  <c r="D2081" i="60"/>
  <c r="D2080" i="60"/>
  <c r="D2079" i="60"/>
  <c r="D2078" i="60"/>
  <c r="D2077" i="60"/>
  <c r="D2076" i="60"/>
  <c r="D2075" i="60"/>
  <c r="D2074" i="60"/>
  <c r="D2073" i="60"/>
  <c r="D2072" i="60"/>
  <c r="D2071" i="60"/>
  <c r="D2070" i="60"/>
  <c r="D2069" i="60"/>
  <c r="D2068" i="60"/>
  <c r="D2067" i="60"/>
  <c r="D2066" i="60"/>
  <c r="D2065" i="60"/>
  <c r="D2064" i="60"/>
  <c r="D2063" i="60"/>
  <c r="D2062" i="60"/>
  <c r="D2061" i="60"/>
  <c r="D2060" i="60"/>
  <c r="D2059" i="60"/>
  <c r="D2058" i="60"/>
  <c r="D2057" i="60"/>
  <c r="D2056" i="60"/>
  <c r="D2055" i="60"/>
  <c r="D2054" i="60"/>
  <c r="D2053" i="60"/>
  <c r="D2052" i="60"/>
  <c r="D2051" i="60"/>
  <c r="D2050" i="60"/>
  <c r="D2049" i="60"/>
  <c r="D2048" i="60"/>
  <c r="D2047" i="60"/>
  <c r="D2046" i="60"/>
  <c r="D2045" i="60"/>
  <c r="D2044" i="60"/>
  <c r="D2043" i="60"/>
  <c r="D2042" i="60"/>
  <c r="D2041" i="60"/>
  <c r="D2040" i="60"/>
  <c r="D2039" i="60"/>
  <c r="D2038" i="60"/>
  <c r="D2037" i="60"/>
  <c r="D2036" i="60"/>
  <c r="D2035" i="60"/>
  <c r="D2034" i="60"/>
  <c r="D2033" i="60"/>
  <c r="D2032" i="60"/>
  <c r="D2031" i="60"/>
  <c r="D2030" i="60"/>
  <c r="D2029" i="60"/>
  <c r="D2028" i="60"/>
  <c r="D2027" i="60"/>
  <c r="D2026" i="60"/>
  <c r="D2025" i="60"/>
  <c r="D2024" i="60"/>
  <c r="D2023" i="60"/>
  <c r="D2022" i="60"/>
  <c r="D2021" i="60"/>
  <c r="D2020" i="60"/>
  <c r="D2019" i="60"/>
  <c r="D2018" i="60"/>
  <c r="D2017" i="60"/>
  <c r="D2016" i="60"/>
  <c r="D2015" i="60"/>
  <c r="D2014" i="60"/>
  <c r="D2013" i="60"/>
  <c r="D2012" i="60"/>
  <c r="D2011" i="60"/>
  <c r="D2010" i="60"/>
  <c r="D2009" i="60"/>
  <c r="D2008" i="60"/>
  <c r="D2007" i="60"/>
  <c r="D2006" i="60"/>
  <c r="D2005" i="60"/>
  <c r="D2004" i="60"/>
  <c r="D2003" i="60"/>
  <c r="D2002" i="60"/>
  <c r="D2001" i="60"/>
  <c r="D2000" i="60"/>
  <c r="D1999" i="60"/>
  <c r="D1998" i="60"/>
  <c r="D1997" i="60"/>
  <c r="D1996" i="60"/>
  <c r="D1995" i="60"/>
  <c r="D1994" i="60"/>
  <c r="D1993" i="60"/>
  <c r="D1992" i="60"/>
  <c r="D1991" i="60"/>
  <c r="D1990" i="60"/>
  <c r="D1989" i="60"/>
  <c r="D1988" i="60"/>
  <c r="D1987" i="60"/>
  <c r="D1986" i="60"/>
  <c r="D1985" i="60"/>
  <c r="D1984" i="60"/>
  <c r="D1983" i="60"/>
  <c r="D1982" i="60"/>
  <c r="D1981" i="60"/>
  <c r="D1980" i="60"/>
  <c r="D1979" i="60"/>
  <c r="D1978" i="60"/>
  <c r="D1977" i="60"/>
  <c r="D1976" i="60"/>
  <c r="D1975" i="60"/>
  <c r="D1974" i="60"/>
  <c r="D1973" i="60"/>
  <c r="D1972" i="60"/>
  <c r="D1971" i="60"/>
  <c r="D1970" i="60"/>
  <c r="D1969" i="60"/>
  <c r="D1968" i="60"/>
  <c r="D1967" i="60"/>
  <c r="D1966" i="60"/>
  <c r="D1965" i="60"/>
  <c r="D1964" i="60"/>
  <c r="D1963" i="60"/>
  <c r="D1962" i="60"/>
  <c r="D1961" i="60"/>
  <c r="D1960" i="60"/>
  <c r="D1959" i="60"/>
  <c r="D1958" i="60"/>
  <c r="D1957" i="60"/>
  <c r="D1956" i="60"/>
  <c r="D1955" i="60"/>
  <c r="D1954" i="60"/>
  <c r="D1953" i="60"/>
  <c r="D1952" i="60"/>
  <c r="D1951" i="60"/>
  <c r="D1950" i="60"/>
  <c r="D1949" i="60"/>
  <c r="D1948" i="60"/>
  <c r="D1947" i="60"/>
  <c r="D1946" i="60"/>
  <c r="D1945" i="60"/>
  <c r="D1944" i="60"/>
  <c r="D1943" i="60"/>
  <c r="D1942" i="60"/>
  <c r="D1941" i="60"/>
  <c r="D1940" i="60"/>
  <c r="D1939" i="60"/>
  <c r="D1938" i="60"/>
  <c r="D1937" i="60"/>
  <c r="D1936" i="60"/>
  <c r="D1935" i="60"/>
  <c r="D1934" i="60"/>
  <c r="D1933" i="60"/>
  <c r="D1932" i="60"/>
  <c r="D1931" i="60"/>
  <c r="D1930" i="60"/>
  <c r="D1929" i="60"/>
  <c r="D1928" i="60"/>
  <c r="D1927" i="60"/>
  <c r="D1926" i="60"/>
  <c r="D1925" i="60"/>
  <c r="D1924" i="60"/>
  <c r="D1923" i="60"/>
  <c r="D1922" i="60"/>
  <c r="D1921" i="60"/>
  <c r="D1920" i="60"/>
  <c r="D1919" i="60"/>
  <c r="D1918" i="60"/>
  <c r="D1917" i="60"/>
  <c r="D1916" i="60"/>
  <c r="D1915" i="60"/>
  <c r="D1914" i="60"/>
  <c r="D1913" i="60"/>
  <c r="D1912" i="60"/>
  <c r="D1911" i="60"/>
  <c r="D1910" i="60"/>
  <c r="D1909" i="60"/>
  <c r="D1908" i="60"/>
  <c r="D1907" i="60"/>
  <c r="D1906" i="60"/>
  <c r="D1905" i="60"/>
  <c r="D1904" i="60"/>
  <c r="D1903" i="60"/>
  <c r="D1902" i="60"/>
  <c r="D1901" i="60"/>
  <c r="D1900" i="60"/>
  <c r="D1899" i="60"/>
  <c r="D1898" i="60"/>
  <c r="D1897" i="60"/>
  <c r="D1896" i="60"/>
  <c r="D1895" i="60"/>
  <c r="D1894" i="60"/>
  <c r="D1893" i="60"/>
  <c r="D1892" i="60"/>
  <c r="D1891" i="60"/>
  <c r="D1890" i="60"/>
  <c r="D1889" i="60"/>
  <c r="D1888" i="60"/>
  <c r="D1887" i="60"/>
  <c r="D1886" i="60"/>
  <c r="D1885" i="60"/>
  <c r="D1884" i="60"/>
  <c r="D1883" i="60"/>
  <c r="D1882" i="60"/>
  <c r="D1881" i="60"/>
  <c r="D1880" i="60"/>
  <c r="D1879" i="60"/>
  <c r="D1878" i="60"/>
  <c r="D1877" i="60"/>
  <c r="D1876" i="60"/>
  <c r="D1875" i="60"/>
  <c r="D1874" i="60"/>
  <c r="D1873" i="60"/>
  <c r="D1872" i="60"/>
  <c r="D1871" i="60"/>
  <c r="D1870" i="60"/>
  <c r="D1869" i="60"/>
  <c r="D1868" i="60"/>
  <c r="D1867" i="60"/>
  <c r="D1866" i="60"/>
  <c r="D1865" i="60"/>
  <c r="D1864" i="60"/>
  <c r="D1863" i="60"/>
  <c r="D1862" i="60"/>
  <c r="D1861" i="60"/>
  <c r="D1860" i="60"/>
  <c r="D1859" i="60"/>
  <c r="D1858" i="60"/>
  <c r="D1857" i="60"/>
  <c r="D1856" i="60"/>
  <c r="D1855" i="60"/>
  <c r="D1854" i="60"/>
  <c r="D1853" i="60"/>
  <c r="D1852" i="60"/>
  <c r="D1851" i="60"/>
  <c r="D1850" i="60"/>
  <c r="D1849" i="60"/>
  <c r="D1848" i="60"/>
  <c r="D1847" i="60"/>
  <c r="D1846" i="60"/>
  <c r="D1845" i="60"/>
  <c r="D1844" i="60"/>
  <c r="D1843" i="60"/>
  <c r="D1842" i="60"/>
  <c r="D1841" i="60"/>
  <c r="D1840" i="60"/>
  <c r="D1839" i="60"/>
  <c r="D1838" i="60"/>
  <c r="D1837" i="60"/>
  <c r="D1836" i="60"/>
  <c r="D1835" i="60"/>
  <c r="D1834" i="60"/>
  <c r="D1833" i="60"/>
  <c r="D1832" i="60"/>
  <c r="D1831" i="60"/>
  <c r="D1830" i="60"/>
  <c r="D1829" i="60"/>
  <c r="D1828" i="60"/>
  <c r="D1827" i="60"/>
  <c r="D1826" i="60"/>
  <c r="D1825" i="60"/>
  <c r="D1824" i="60"/>
  <c r="D1823" i="60"/>
  <c r="D1822" i="60"/>
  <c r="D1821" i="60"/>
  <c r="D1820" i="60"/>
  <c r="D1819" i="60"/>
  <c r="D1818" i="60"/>
  <c r="D1817" i="60"/>
  <c r="D1816" i="60"/>
  <c r="D1815" i="60"/>
  <c r="D1814" i="60"/>
  <c r="D1813" i="60"/>
  <c r="D1812" i="60"/>
  <c r="D1811" i="60"/>
  <c r="D1810" i="60"/>
  <c r="D1809" i="60"/>
  <c r="D1808" i="60"/>
  <c r="D1807" i="60"/>
  <c r="D1806" i="60"/>
  <c r="D1805" i="60"/>
  <c r="D1804" i="60"/>
  <c r="D1803" i="60"/>
  <c r="D1802" i="60"/>
  <c r="D1801" i="60"/>
  <c r="D1800" i="60"/>
  <c r="D1799" i="60"/>
  <c r="D1798" i="60"/>
  <c r="D1797" i="60"/>
  <c r="D1796" i="60"/>
  <c r="D1795" i="60"/>
  <c r="D1794" i="60"/>
  <c r="D1793" i="60"/>
  <c r="D1792" i="60"/>
  <c r="D1791" i="60"/>
  <c r="D1790" i="60"/>
  <c r="D1789" i="60"/>
  <c r="D1788" i="60"/>
  <c r="D1787" i="60"/>
  <c r="D1786" i="60"/>
  <c r="D1785" i="60"/>
  <c r="D1784" i="60"/>
  <c r="D1783" i="60"/>
  <c r="D1782" i="60"/>
  <c r="D1781" i="60"/>
  <c r="D1780" i="60"/>
  <c r="D1779" i="60"/>
  <c r="D1778" i="60"/>
  <c r="D1777" i="60"/>
  <c r="D1776" i="60"/>
  <c r="D1775" i="60"/>
  <c r="D1774" i="60"/>
  <c r="D1773" i="60"/>
  <c r="D1772" i="60"/>
  <c r="D1771" i="60"/>
  <c r="D1770" i="60"/>
  <c r="D1769" i="60"/>
  <c r="D1768" i="60"/>
  <c r="D1767" i="60"/>
  <c r="D1766" i="60"/>
  <c r="D1765" i="60"/>
  <c r="D1764" i="60"/>
  <c r="D1763" i="60"/>
  <c r="D1762" i="60"/>
  <c r="D1761" i="60"/>
  <c r="D1760" i="60"/>
  <c r="D1759" i="60"/>
  <c r="D1758" i="60"/>
  <c r="D1757" i="60"/>
  <c r="D1756" i="60"/>
  <c r="D1755" i="60"/>
  <c r="D1754" i="60"/>
  <c r="D1753" i="60"/>
  <c r="D1752" i="60"/>
  <c r="D1751" i="60"/>
  <c r="D1750" i="60"/>
  <c r="D1749" i="60"/>
  <c r="D1748" i="60"/>
  <c r="D1747" i="60"/>
  <c r="D1746" i="60"/>
  <c r="D1745" i="60"/>
  <c r="D1744" i="60"/>
  <c r="D1743" i="60"/>
  <c r="D1742" i="60"/>
  <c r="D1741" i="60"/>
  <c r="D1740" i="60"/>
  <c r="D1739" i="60"/>
  <c r="D1738" i="60"/>
  <c r="D1737" i="60"/>
  <c r="D1736" i="60"/>
  <c r="D1735" i="60"/>
  <c r="D1734" i="60"/>
  <c r="D1733" i="60"/>
  <c r="D1732" i="60"/>
  <c r="D1731" i="60"/>
  <c r="D1730" i="60"/>
  <c r="D1729" i="60"/>
  <c r="D1728" i="60"/>
  <c r="D1727" i="60"/>
  <c r="D1726" i="60"/>
  <c r="D1725" i="60"/>
  <c r="D1724" i="60"/>
  <c r="D1723" i="60"/>
  <c r="D1722" i="60"/>
  <c r="D1721" i="60"/>
  <c r="D1720" i="60"/>
  <c r="D1719" i="60"/>
  <c r="D1718" i="60"/>
  <c r="D1717" i="60"/>
  <c r="D1716" i="60"/>
  <c r="D1715" i="60"/>
  <c r="D1714" i="60"/>
  <c r="D1713" i="60"/>
  <c r="D1712" i="60"/>
  <c r="D1711" i="60"/>
  <c r="D1710" i="60"/>
  <c r="D1709" i="60"/>
  <c r="D1708" i="60"/>
  <c r="D1707" i="60"/>
  <c r="D1706" i="60"/>
  <c r="D1705" i="60"/>
  <c r="D1704" i="60"/>
  <c r="D1703" i="60"/>
  <c r="D1702" i="60"/>
  <c r="D1701" i="60"/>
  <c r="D1700" i="60"/>
  <c r="D1699" i="60"/>
  <c r="D1698" i="60"/>
  <c r="D1697" i="60"/>
  <c r="D1696" i="60"/>
  <c r="D1695" i="60"/>
  <c r="D1694" i="60"/>
  <c r="D1693" i="60"/>
  <c r="D1692" i="60"/>
  <c r="D1691" i="60"/>
  <c r="D1690" i="60"/>
  <c r="D1689" i="60"/>
  <c r="D1688" i="60"/>
  <c r="D1687" i="60"/>
  <c r="D1686" i="60"/>
  <c r="D1685" i="60"/>
  <c r="D1684" i="60"/>
  <c r="D1683" i="60"/>
  <c r="D1682" i="60"/>
  <c r="D1681" i="60"/>
  <c r="D1680" i="60"/>
  <c r="D1679" i="60"/>
  <c r="D1678" i="60"/>
  <c r="D1677" i="60"/>
  <c r="D1676" i="60"/>
  <c r="D1675" i="60"/>
  <c r="D1674" i="60"/>
  <c r="D1673" i="60"/>
  <c r="D1672" i="60"/>
  <c r="D1671" i="60"/>
  <c r="D1670" i="60"/>
  <c r="D1669" i="60"/>
  <c r="D1668" i="60"/>
  <c r="D1667" i="60"/>
  <c r="D1666" i="60"/>
  <c r="D1665" i="60"/>
  <c r="D1664" i="60"/>
  <c r="D1663" i="60"/>
  <c r="D1662" i="60"/>
  <c r="D1661" i="60"/>
  <c r="D1660" i="60"/>
  <c r="D1659" i="60"/>
  <c r="D1658" i="60"/>
  <c r="D1657" i="60"/>
  <c r="D1656" i="60"/>
  <c r="D1655" i="60"/>
  <c r="D1654" i="60"/>
  <c r="D1653" i="60"/>
  <c r="D1652" i="60"/>
  <c r="D1651" i="60"/>
  <c r="D1650" i="60"/>
  <c r="D1649" i="60"/>
  <c r="D1648" i="60"/>
  <c r="D1647" i="60"/>
  <c r="D1646" i="60"/>
  <c r="D1645" i="60"/>
  <c r="D1644" i="60"/>
  <c r="D1643" i="60"/>
  <c r="D1642" i="60"/>
  <c r="D1641" i="60"/>
  <c r="D1640" i="60"/>
  <c r="D1639" i="60"/>
  <c r="D1638" i="60"/>
  <c r="D1637" i="60"/>
  <c r="D1636" i="60"/>
  <c r="D1635" i="60"/>
  <c r="D1634" i="60"/>
  <c r="D1633" i="60"/>
  <c r="D1632" i="60"/>
  <c r="D1631" i="60"/>
  <c r="D1630" i="60"/>
  <c r="D1629" i="60"/>
  <c r="D1628" i="60"/>
  <c r="D1627" i="60"/>
  <c r="D1626" i="60"/>
  <c r="D1625" i="60"/>
  <c r="D1624" i="60"/>
  <c r="D1623" i="60"/>
  <c r="D1622" i="60"/>
  <c r="D1621" i="60"/>
  <c r="D1620" i="60"/>
  <c r="D1619" i="60"/>
  <c r="D1618" i="60"/>
  <c r="D1617" i="60"/>
  <c r="D1616" i="60"/>
  <c r="D1615" i="60"/>
  <c r="D1614" i="60"/>
  <c r="D1613" i="60"/>
  <c r="D1612" i="60"/>
  <c r="D1611" i="60"/>
  <c r="D1610" i="60"/>
  <c r="D1609" i="60"/>
  <c r="D1608" i="60"/>
  <c r="D1607" i="60"/>
  <c r="D1606" i="60"/>
  <c r="D1605" i="60"/>
  <c r="D1604" i="60"/>
  <c r="D1603" i="60"/>
  <c r="D1602" i="60"/>
  <c r="D1601" i="60"/>
  <c r="D1600" i="60"/>
  <c r="D1599" i="60"/>
  <c r="D1598" i="60"/>
  <c r="D1597" i="60"/>
  <c r="D1596" i="60"/>
  <c r="D1595" i="60"/>
  <c r="D1594" i="60"/>
  <c r="D1593" i="60"/>
  <c r="D1592" i="60"/>
  <c r="D1591" i="60"/>
  <c r="D1590" i="60"/>
  <c r="D1589" i="60"/>
  <c r="D1588" i="60"/>
  <c r="D1587" i="60"/>
  <c r="D1586" i="60"/>
  <c r="D1585" i="60"/>
  <c r="D1584" i="60"/>
  <c r="D1583" i="60"/>
  <c r="D1582" i="60"/>
  <c r="D1581" i="60"/>
  <c r="D1580" i="60"/>
  <c r="D1579" i="60"/>
  <c r="D1578" i="60"/>
  <c r="D1577" i="60"/>
  <c r="D1576" i="60"/>
  <c r="D1575" i="60"/>
  <c r="D1574" i="60"/>
  <c r="D1573" i="60"/>
  <c r="D1572" i="60"/>
  <c r="D1571" i="60"/>
  <c r="D1570" i="60"/>
  <c r="D1569" i="60"/>
  <c r="D1568" i="60"/>
  <c r="D1567" i="60"/>
  <c r="D1566" i="60"/>
  <c r="D1565" i="60"/>
  <c r="D1564" i="60"/>
  <c r="D1563" i="60"/>
  <c r="D1562" i="60"/>
  <c r="D1561" i="60"/>
  <c r="D1560" i="60"/>
  <c r="D1559" i="60"/>
  <c r="D1558" i="60"/>
  <c r="D1557" i="60"/>
  <c r="D1556" i="60"/>
  <c r="D1555" i="60"/>
  <c r="D1554" i="60"/>
  <c r="D1553" i="60"/>
  <c r="D1552" i="60"/>
  <c r="D1551" i="60"/>
  <c r="D1550" i="60"/>
  <c r="D1549" i="60"/>
  <c r="D1548" i="60"/>
  <c r="D1547" i="60"/>
  <c r="D1546" i="60"/>
  <c r="D1545" i="60"/>
  <c r="D1544" i="60"/>
  <c r="D1543" i="60"/>
  <c r="D1542" i="60"/>
  <c r="D1541" i="60"/>
  <c r="D1540" i="60"/>
  <c r="D1539" i="60"/>
  <c r="D1538" i="60"/>
  <c r="D1537" i="60"/>
  <c r="D1536" i="60"/>
  <c r="D1535" i="60"/>
  <c r="D1534" i="60"/>
  <c r="D1533" i="60"/>
  <c r="D1532" i="60"/>
  <c r="D1531" i="60"/>
  <c r="D1530" i="60"/>
  <c r="D1529" i="60"/>
  <c r="D1528" i="60"/>
  <c r="D1527" i="60"/>
  <c r="D1526" i="60"/>
  <c r="D1525" i="60"/>
  <c r="D1524" i="60"/>
  <c r="D1523" i="60"/>
  <c r="D1522" i="60"/>
  <c r="D1521" i="60"/>
  <c r="D1520" i="60"/>
  <c r="D1519" i="60"/>
  <c r="D1518" i="60"/>
  <c r="D1517" i="60"/>
  <c r="D1516" i="60"/>
  <c r="D1515" i="60"/>
  <c r="D1514" i="60"/>
  <c r="D1513" i="60"/>
  <c r="D1512" i="60"/>
  <c r="D1511" i="60"/>
  <c r="D1510" i="60"/>
  <c r="D1509" i="60"/>
  <c r="D1508" i="60"/>
  <c r="D1507" i="60"/>
  <c r="D1506" i="60"/>
  <c r="D1505" i="60"/>
  <c r="D1504" i="60"/>
  <c r="D1503" i="60"/>
  <c r="D1502" i="60"/>
  <c r="D1501" i="60"/>
  <c r="D1500" i="60"/>
  <c r="D1499" i="60"/>
  <c r="D1498" i="60"/>
  <c r="D1497" i="60"/>
  <c r="D1496" i="60"/>
  <c r="D1495" i="60"/>
  <c r="D1494" i="60"/>
  <c r="D1493" i="60"/>
  <c r="D1492" i="60"/>
  <c r="D1491" i="60"/>
  <c r="D1490" i="60"/>
  <c r="D1489" i="60"/>
  <c r="D1488" i="60"/>
  <c r="D1487" i="60"/>
  <c r="D1486" i="60"/>
  <c r="D1485" i="60"/>
  <c r="D1484" i="60"/>
  <c r="D1483" i="60"/>
  <c r="D1482" i="60"/>
  <c r="D1481" i="60"/>
  <c r="D1480" i="60"/>
  <c r="D1479" i="60"/>
  <c r="D1478" i="60"/>
  <c r="D1477" i="60"/>
  <c r="D1476" i="60"/>
  <c r="D1475" i="60"/>
  <c r="D1474" i="60"/>
  <c r="D1473" i="60"/>
  <c r="D1472" i="60"/>
  <c r="D1471" i="60"/>
  <c r="D1470" i="60"/>
  <c r="D1469" i="60"/>
  <c r="D1468" i="60"/>
  <c r="D1467" i="60"/>
  <c r="D1466" i="60"/>
  <c r="D1465" i="60"/>
  <c r="D1464" i="60"/>
  <c r="D1463" i="60"/>
  <c r="D1462" i="60"/>
  <c r="D1461" i="60"/>
  <c r="D1460" i="60"/>
  <c r="D1459" i="60"/>
  <c r="D1458" i="60"/>
  <c r="D1457" i="60"/>
  <c r="D1456" i="60"/>
  <c r="D1455" i="60"/>
  <c r="D1454" i="60"/>
  <c r="D1453" i="60"/>
  <c r="D1452" i="60"/>
  <c r="D1451" i="60"/>
  <c r="D1450" i="60"/>
  <c r="D1449" i="60"/>
  <c r="D1448" i="60"/>
  <c r="D1447" i="60"/>
  <c r="D1446" i="60"/>
  <c r="D1445" i="60"/>
  <c r="D1444" i="60"/>
  <c r="D1443" i="60"/>
  <c r="D1442" i="60"/>
  <c r="D1441" i="60"/>
  <c r="D1440" i="60"/>
  <c r="D1439" i="60"/>
  <c r="D1438" i="60"/>
  <c r="D1437" i="60"/>
  <c r="D1436" i="60"/>
  <c r="D1435" i="60"/>
  <c r="D1434" i="60"/>
  <c r="D1433" i="60"/>
  <c r="D1432" i="60"/>
  <c r="D1431" i="60"/>
  <c r="D1430" i="60"/>
  <c r="D1429" i="60"/>
  <c r="D1428" i="60"/>
  <c r="D1427" i="60"/>
  <c r="D1426" i="60"/>
  <c r="D1425" i="60"/>
  <c r="D1424" i="60"/>
  <c r="D1423" i="60"/>
  <c r="D1422" i="60"/>
  <c r="D1421" i="60"/>
  <c r="D1420" i="60"/>
  <c r="D1419" i="60"/>
  <c r="D1418" i="60"/>
  <c r="D1417" i="60"/>
  <c r="D1416" i="60"/>
  <c r="D1415" i="60"/>
  <c r="D1414" i="60"/>
  <c r="D1413" i="60"/>
  <c r="D1412" i="60"/>
  <c r="D1411" i="60"/>
  <c r="D1410" i="60"/>
  <c r="D1409" i="60"/>
  <c r="D1408" i="60"/>
  <c r="D1407" i="60"/>
  <c r="D1406" i="60"/>
  <c r="D1405" i="60"/>
  <c r="D1404" i="60"/>
  <c r="D1403" i="60"/>
  <c r="D1402" i="60"/>
  <c r="D1401" i="60"/>
  <c r="D1400" i="60"/>
  <c r="D1399" i="60"/>
  <c r="D1398" i="60"/>
  <c r="D1397" i="60"/>
  <c r="D1396" i="60"/>
  <c r="D1395" i="60"/>
  <c r="D1394" i="60"/>
  <c r="D1393" i="60"/>
  <c r="D1392" i="60"/>
  <c r="D1391" i="60"/>
  <c r="D1390" i="60"/>
  <c r="D1389" i="60"/>
  <c r="D1388" i="60"/>
  <c r="D1387" i="60"/>
  <c r="D1386" i="60"/>
  <c r="D1385" i="60"/>
  <c r="D1384" i="60"/>
  <c r="D1378" i="60"/>
  <c r="D1372" i="60"/>
  <c r="D1371" i="60"/>
  <c r="D1370" i="60"/>
  <c r="D1369" i="60"/>
  <c r="D1368" i="60"/>
  <c r="D1367" i="60"/>
  <c r="D1366" i="60"/>
  <c r="D1365" i="60"/>
  <c r="D1364" i="60"/>
  <c r="D1363" i="60"/>
  <c r="D1362" i="60"/>
  <c r="D1361" i="60"/>
  <c r="D1360" i="60"/>
  <c r="D1359" i="60"/>
  <c r="D1358" i="60"/>
  <c r="D1357" i="60"/>
  <c r="D1356" i="60"/>
  <c r="D1355" i="60"/>
  <c r="D1354" i="60"/>
  <c r="D1353" i="60"/>
  <c r="D1352" i="60"/>
  <c r="D1351" i="60"/>
  <c r="D1350" i="60"/>
  <c r="D1349" i="60"/>
  <c r="D1348" i="60"/>
  <c r="D1347" i="60"/>
  <c r="D1346" i="60"/>
  <c r="D1345" i="60"/>
  <c r="D1344" i="60"/>
  <c r="D1343" i="60"/>
  <c r="D1342" i="60"/>
  <c r="D1341" i="60"/>
  <c r="D1340" i="60"/>
  <c r="D1339" i="60"/>
  <c r="D1338" i="60"/>
  <c r="D1337" i="60"/>
  <c r="D1336" i="60"/>
  <c r="D1335" i="60"/>
  <c r="D1334" i="60"/>
  <c r="D1333" i="60"/>
  <c r="D1332" i="60"/>
  <c r="D1331" i="60"/>
  <c r="D1330" i="60"/>
  <c r="D1329" i="60"/>
  <c r="D1328" i="60"/>
  <c r="D1327" i="60"/>
  <c r="D1326" i="60"/>
  <c r="D1325" i="60"/>
  <c r="D1324" i="60"/>
  <c r="D1323" i="60"/>
  <c r="D1322" i="60"/>
  <c r="D1321" i="60"/>
  <c r="D1320" i="60"/>
  <c r="D1319" i="60"/>
  <c r="D1318" i="60"/>
  <c r="D1317" i="60"/>
  <c r="D1316" i="60"/>
  <c r="D1315" i="60"/>
  <c r="D1314" i="60"/>
  <c r="D1313" i="60"/>
  <c r="D1312" i="60"/>
  <c r="D1311" i="60"/>
  <c r="D1310" i="60"/>
  <c r="D1309" i="60"/>
  <c r="D1308" i="60"/>
  <c r="D1307" i="60"/>
  <c r="D1306" i="60"/>
  <c r="D1305" i="60"/>
  <c r="D1304" i="60"/>
  <c r="D1303" i="60"/>
  <c r="D1302" i="60"/>
  <c r="D1301" i="60"/>
  <c r="D1300" i="60"/>
  <c r="D1299" i="60"/>
  <c r="D1298" i="60"/>
  <c r="D1297" i="60"/>
  <c r="D1296" i="60"/>
  <c r="D1295" i="60"/>
  <c r="D1294" i="60"/>
  <c r="D1293" i="60"/>
  <c r="D1292" i="60"/>
  <c r="D1291" i="60"/>
  <c r="D1290" i="60"/>
  <c r="D1289" i="60"/>
  <c r="D1288" i="60"/>
  <c r="D1287" i="60"/>
  <c r="D1286" i="60"/>
  <c r="D1285" i="60"/>
  <c r="D1284" i="60"/>
  <c r="D1283" i="60"/>
  <c r="D1282" i="60"/>
  <c r="D1281" i="60"/>
  <c r="D1280" i="60"/>
  <c r="D1279" i="60"/>
  <c r="D1278" i="60"/>
  <c r="D1277" i="60"/>
  <c r="D1276" i="60"/>
  <c r="D1275" i="60"/>
  <c r="D1274" i="60"/>
  <c r="D1273" i="60"/>
  <c r="D1272" i="60"/>
  <c r="D1271" i="60"/>
  <c r="D1270" i="60"/>
  <c r="D1269" i="60"/>
  <c r="D1268" i="60"/>
  <c r="D1267" i="60"/>
  <c r="D1266" i="60"/>
  <c r="D1265" i="60"/>
  <c r="D1264" i="60"/>
  <c r="D1263" i="60"/>
  <c r="D1262" i="60"/>
  <c r="D1261" i="60"/>
  <c r="D1260" i="60"/>
  <c r="D1259" i="60"/>
  <c r="D1258" i="60"/>
  <c r="D1257" i="60"/>
  <c r="D1256" i="60"/>
  <c r="D1255" i="60"/>
  <c r="D1254" i="60"/>
  <c r="D1253" i="60"/>
  <c r="D1252" i="60"/>
  <c r="D1251" i="60"/>
  <c r="D1250" i="60"/>
  <c r="D1249" i="60"/>
  <c r="D1248" i="60"/>
  <c r="D1247" i="60"/>
  <c r="D1246" i="60"/>
  <c r="D1245" i="60"/>
  <c r="D1244" i="60"/>
  <c r="D1243" i="60"/>
  <c r="D1242" i="60"/>
  <c r="D1241" i="60"/>
  <c r="D1240" i="60"/>
  <c r="D1239" i="60"/>
  <c r="D1238" i="60"/>
  <c r="D1237" i="60"/>
  <c r="D1236" i="60"/>
  <c r="D1235" i="60"/>
  <c r="D1234" i="60"/>
  <c r="D1233" i="60"/>
  <c r="D1232" i="60"/>
  <c r="D1231" i="60"/>
  <c r="D1230" i="60"/>
  <c r="D1229" i="60"/>
  <c r="D1228" i="60"/>
  <c r="D1227" i="60"/>
  <c r="D1226" i="60"/>
  <c r="D1225" i="60"/>
  <c r="D1224" i="60"/>
  <c r="D1223" i="60"/>
  <c r="D1222" i="60"/>
  <c r="D1221" i="60"/>
  <c r="D1220" i="60"/>
  <c r="D1219" i="60"/>
  <c r="D1218" i="60"/>
  <c r="D1217" i="60"/>
  <c r="D1216" i="60"/>
  <c r="D1215" i="60"/>
  <c r="D1214" i="60"/>
  <c r="D1213" i="60"/>
  <c r="D1212" i="60"/>
  <c r="D1211" i="60"/>
  <c r="D1210" i="60"/>
  <c r="D1209" i="60"/>
  <c r="D1208" i="60"/>
  <c r="D1207" i="60"/>
  <c r="D1206" i="60"/>
  <c r="D1205" i="60"/>
  <c r="D1204" i="60"/>
  <c r="D1203" i="60"/>
  <c r="D1202" i="60"/>
  <c r="D1201" i="60"/>
  <c r="D1200" i="60"/>
  <c r="D1199" i="60"/>
  <c r="D1198" i="60"/>
  <c r="D1197" i="60"/>
  <c r="D1196" i="60"/>
  <c r="D1195" i="60"/>
  <c r="D1194" i="60"/>
  <c r="D1193" i="60"/>
  <c r="D1192" i="60"/>
  <c r="D1191" i="60"/>
  <c r="D1190" i="60"/>
  <c r="D1189" i="60"/>
  <c r="D1188" i="60"/>
  <c r="D1187" i="60"/>
  <c r="D1186" i="60"/>
  <c r="D1185" i="60"/>
  <c r="D1184" i="60"/>
  <c r="D1183" i="60"/>
  <c r="D1182" i="60"/>
  <c r="D1181" i="60"/>
  <c r="D1180" i="60"/>
  <c r="D1179" i="60"/>
  <c r="D1178" i="60"/>
  <c r="D1177" i="60"/>
  <c r="D1176" i="60"/>
  <c r="D1175" i="60"/>
  <c r="D1174" i="60"/>
  <c r="D1173" i="60"/>
  <c r="D1172" i="60"/>
  <c r="D1171" i="60"/>
  <c r="D1170" i="60"/>
  <c r="D1169" i="60"/>
  <c r="D1168" i="60"/>
  <c r="D1167" i="60"/>
  <c r="D1166" i="60"/>
  <c r="D1165" i="60"/>
  <c r="D1164" i="60"/>
  <c r="D1163" i="60"/>
  <c r="D1162" i="60"/>
  <c r="D1161" i="60"/>
  <c r="D1160" i="60"/>
  <c r="D1159" i="60"/>
  <c r="D1158" i="60"/>
  <c r="D1157" i="60"/>
  <c r="D1156" i="60"/>
  <c r="D1155" i="60"/>
  <c r="D1154" i="60"/>
  <c r="D1153" i="60"/>
  <c r="D1152" i="60"/>
  <c r="D1151" i="60"/>
  <c r="D1150" i="60"/>
  <c r="D1149" i="60"/>
  <c r="D1148" i="60"/>
  <c r="D1147" i="60"/>
  <c r="D1146" i="60"/>
  <c r="D1145" i="60"/>
  <c r="D1144" i="60"/>
  <c r="D1143" i="60"/>
  <c r="D1142" i="60"/>
  <c r="D1141" i="60"/>
  <c r="D1140" i="60"/>
  <c r="D1139" i="60"/>
  <c r="D1138" i="60"/>
  <c r="D1137" i="60"/>
  <c r="D1136" i="60"/>
  <c r="D1135" i="60"/>
  <c r="D1134" i="60"/>
  <c r="D1133" i="60"/>
  <c r="D1132" i="60"/>
  <c r="D1131" i="60"/>
  <c r="D1130" i="60"/>
  <c r="D1129" i="60"/>
  <c r="D1128" i="60"/>
  <c r="D1127" i="60"/>
  <c r="D1126" i="60"/>
  <c r="D1125" i="60"/>
  <c r="D1124" i="60"/>
  <c r="D1123" i="60"/>
  <c r="D1122" i="60"/>
  <c r="D1121" i="60"/>
  <c r="D1120" i="60"/>
  <c r="D1119" i="60"/>
  <c r="D1118" i="60"/>
  <c r="D1117" i="60"/>
  <c r="D1116" i="60"/>
  <c r="D1115" i="60"/>
  <c r="D1114" i="60"/>
  <c r="D1113" i="60"/>
  <c r="D1112" i="60"/>
  <c r="D1111" i="60"/>
  <c r="D1110" i="60"/>
  <c r="D1109" i="60"/>
  <c r="D1108" i="60"/>
  <c r="D1107" i="60"/>
  <c r="D1106" i="60"/>
  <c r="D1105" i="60"/>
  <c r="D1104" i="60"/>
  <c r="D1103" i="60"/>
  <c r="D1102" i="60"/>
  <c r="D1101" i="60"/>
  <c r="D1100" i="60"/>
  <c r="D1099" i="60"/>
  <c r="D1098" i="60"/>
  <c r="D1097" i="60"/>
  <c r="D1096" i="60"/>
  <c r="D1095" i="60"/>
  <c r="D1094" i="60"/>
  <c r="D1093" i="60"/>
  <c r="D1092" i="60"/>
  <c r="D1091" i="60"/>
  <c r="D1090" i="60"/>
  <c r="D1089" i="60"/>
  <c r="D1088" i="60"/>
  <c r="D1087" i="60"/>
  <c r="D1086" i="60"/>
  <c r="D1085" i="60"/>
  <c r="D1084" i="60"/>
  <c r="D1083" i="60"/>
  <c r="D1082" i="60"/>
  <c r="D1081" i="60"/>
  <c r="D1080" i="60"/>
  <c r="D1079" i="60"/>
  <c r="D1078" i="60"/>
  <c r="D1077" i="60"/>
  <c r="D1076" i="60"/>
  <c r="D1075" i="60"/>
  <c r="D1074" i="60"/>
  <c r="D1073" i="60"/>
  <c r="D1072" i="60"/>
  <c r="D1071" i="60"/>
  <c r="D1070" i="60"/>
  <c r="D1069" i="60"/>
  <c r="D1068" i="60"/>
  <c r="D1067" i="60"/>
  <c r="D1066" i="60"/>
  <c r="D1065" i="60"/>
  <c r="D1064" i="60"/>
  <c r="D1063" i="60"/>
  <c r="D1062" i="60"/>
  <c r="D1061" i="60"/>
  <c r="D1060" i="60"/>
  <c r="D1059" i="60"/>
  <c r="D1058" i="60"/>
  <c r="D1057" i="60"/>
  <c r="D1056" i="60"/>
  <c r="D1055" i="60"/>
  <c r="D1054" i="60"/>
  <c r="D1053" i="60"/>
  <c r="D1052" i="60"/>
  <c r="D1051" i="60"/>
  <c r="D1050" i="60"/>
  <c r="D1049" i="60"/>
  <c r="D1048" i="60"/>
  <c r="D1047" i="60"/>
  <c r="D1046" i="60"/>
  <c r="D1045" i="60"/>
  <c r="D1044" i="60"/>
  <c r="D1043" i="60"/>
  <c r="D1042" i="60"/>
  <c r="D1041" i="60"/>
  <c r="D1040" i="60"/>
  <c r="D1039" i="60"/>
  <c r="D1038" i="60"/>
  <c r="D1037" i="60"/>
  <c r="D1036" i="60"/>
  <c r="D1035" i="60"/>
  <c r="D1034" i="60"/>
  <c r="D1033" i="60"/>
  <c r="D1032" i="60"/>
  <c r="D1031" i="60"/>
  <c r="D1030" i="60"/>
  <c r="D1029" i="60"/>
  <c r="D1028" i="60"/>
  <c r="D1027" i="60"/>
  <c r="D1026" i="60"/>
  <c r="D1025" i="60"/>
  <c r="D1024" i="60"/>
  <c r="D1023" i="60"/>
  <c r="D1022" i="60"/>
  <c r="D1021" i="60"/>
  <c r="D1020" i="60"/>
  <c r="D1019" i="60"/>
  <c r="D1018" i="60"/>
  <c r="D1017" i="60"/>
  <c r="D1016" i="60"/>
  <c r="D1015" i="60"/>
  <c r="D1014" i="60"/>
  <c r="D1013" i="60"/>
  <c r="D1012" i="60"/>
  <c r="D1011" i="60"/>
  <c r="D1010" i="60"/>
  <c r="D1009" i="60"/>
  <c r="D1008" i="60"/>
  <c r="D1007" i="60"/>
  <c r="D1006" i="60"/>
  <c r="D1005" i="60"/>
  <c r="D1004" i="60"/>
  <c r="D1003" i="60"/>
  <c r="D1002" i="60"/>
  <c r="D1001" i="60"/>
  <c r="D1000" i="60"/>
  <c r="D999" i="60"/>
  <c r="D998" i="60"/>
  <c r="D997" i="60"/>
  <c r="D996" i="60"/>
  <c r="D995" i="60"/>
  <c r="D994" i="60"/>
  <c r="D993" i="60"/>
  <c r="D992" i="60"/>
  <c r="D991" i="60"/>
  <c r="D990" i="60"/>
  <c r="D989" i="60"/>
  <c r="D988" i="60"/>
  <c r="D987" i="60"/>
  <c r="D986" i="60"/>
  <c r="D985" i="60"/>
  <c r="D984" i="60"/>
  <c r="D983" i="60"/>
  <c r="D982" i="60"/>
  <c r="D981" i="60"/>
  <c r="D980" i="60"/>
  <c r="D979" i="60"/>
  <c r="D978" i="60"/>
  <c r="D977" i="60"/>
  <c r="D976" i="60"/>
  <c r="D975" i="60"/>
  <c r="D974" i="60"/>
  <c r="D973" i="60"/>
  <c r="D972" i="60"/>
  <c r="D971" i="60"/>
  <c r="D970" i="60"/>
  <c r="D969" i="60"/>
  <c r="D968" i="60"/>
  <c r="D967" i="60"/>
  <c r="D966" i="60"/>
  <c r="D965" i="60"/>
  <c r="D964" i="60"/>
  <c r="D963" i="60"/>
  <c r="D962" i="60"/>
  <c r="D961" i="60"/>
  <c r="D960" i="60"/>
  <c r="D959" i="60"/>
  <c r="D958" i="60"/>
  <c r="D957" i="60"/>
  <c r="D956" i="60"/>
  <c r="D955" i="60"/>
  <c r="D954" i="60"/>
  <c r="D953" i="60"/>
  <c r="D952" i="60"/>
  <c r="D951" i="60"/>
  <c r="D950" i="60"/>
  <c r="D949" i="60"/>
  <c r="D948" i="60"/>
  <c r="D947" i="60"/>
  <c r="D946" i="60"/>
  <c r="D945" i="60"/>
  <c r="D944" i="60"/>
  <c r="D943" i="60"/>
  <c r="D942" i="60"/>
  <c r="D941" i="60"/>
  <c r="D940" i="60"/>
  <c r="D939" i="60"/>
  <c r="D938" i="60"/>
  <c r="D937" i="60"/>
  <c r="D936" i="60"/>
  <c r="D935" i="60"/>
  <c r="D934" i="60"/>
  <c r="D933" i="60"/>
  <c r="D932" i="60"/>
  <c r="D931" i="60"/>
  <c r="D930" i="60"/>
  <c r="D929" i="60"/>
  <c r="D928" i="60"/>
  <c r="D927" i="60"/>
  <c r="D926" i="60"/>
  <c r="D925" i="60"/>
  <c r="D924" i="60"/>
  <c r="D923" i="60"/>
  <c r="D922" i="60"/>
  <c r="D921" i="60"/>
  <c r="D920" i="60"/>
  <c r="D919" i="60"/>
  <c r="D918" i="60"/>
  <c r="D917" i="60"/>
  <c r="D916" i="60"/>
  <c r="D915" i="60"/>
  <c r="D914" i="60"/>
  <c r="D913" i="60"/>
  <c r="D912" i="60"/>
  <c r="D911" i="60"/>
  <c r="D910" i="60"/>
  <c r="D909" i="60"/>
  <c r="D908" i="60"/>
  <c r="D907" i="60"/>
  <c r="D906" i="60"/>
  <c r="D905" i="60"/>
  <c r="D904" i="60"/>
  <c r="D903" i="60"/>
  <c r="D902" i="60"/>
  <c r="D901" i="60"/>
  <c r="D900" i="60"/>
  <c r="D899" i="60"/>
  <c r="D898" i="60"/>
  <c r="D897" i="60"/>
  <c r="D896" i="60"/>
  <c r="D895" i="60"/>
  <c r="D894" i="60"/>
  <c r="D893" i="60"/>
  <c r="D892" i="60"/>
  <c r="D891" i="60"/>
  <c r="D890" i="60"/>
  <c r="D889" i="60"/>
  <c r="D888" i="60"/>
  <c r="D887" i="60"/>
  <c r="D886" i="60"/>
  <c r="D885" i="60"/>
  <c r="D884" i="60"/>
  <c r="D883" i="60"/>
  <c r="D882" i="60"/>
  <c r="D881" i="60"/>
  <c r="D880" i="60"/>
  <c r="D879" i="60"/>
  <c r="D878" i="60"/>
  <c r="D877" i="60"/>
  <c r="D876" i="60"/>
  <c r="D875" i="60"/>
  <c r="D874" i="60"/>
  <c r="D873" i="60"/>
  <c r="D872" i="60"/>
  <c r="D871" i="60"/>
  <c r="D870" i="60"/>
  <c r="D869" i="60"/>
  <c r="D868" i="60"/>
  <c r="D867" i="60"/>
  <c r="D866" i="60"/>
  <c r="D865" i="60"/>
  <c r="D864" i="60"/>
  <c r="D863" i="60"/>
  <c r="D862" i="60"/>
  <c r="D861" i="60"/>
  <c r="D860" i="60"/>
  <c r="D859" i="60"/>
  <c r="D858" i="60"/>
  <c r="D857" i="60"/>
  <c r="D856" i="60"/>
  <c r="D855" i="60"/>
  <c r="D854" i="60"/>
  <c r="D853" i="60"/>
  <c r="D852" i="60"/>
  <c r="D851" i="60"/>
  <c r="D850" i="60"/>
  <c r="D849" i="60"/>
  <c r="D848" i="60"/>
  <c r="D847" i="60"/>
  <c r="D846" i="60"/>
  <c r="D845" i="60"/>
  <c r="D844" i="60"/>
  <c r="D843" i="60"/>
  <c r="D842" i="60"/>
  <c r="D841" i="60"/>
  <c r="D840" i="60"/>
  <c r="D839" i="60"/>
  <c r="D838" i="60"/>
  <c r="D837" i="60"/>
  <c r="D836" i="60"/>
  <c r="D835" i="60"/>
  <c r="D834" i="60"/>
  <c r="D833" i="60"/>
  <c r="D832" i="60"/>
  <c r="D831" i="60"/>
  <c r="D830" i="60"/>
  <c r="D829" i="60"/>
  <c r="D828" i="60"/>
  <c r="D827" i="60"/>
  <c r="D826" i="60"/>
  <c r="D825" i="60"/>
  <c r="D824" i="60"/>
  <c r="D823" i="60"/>
  <c r="D822" i="60"/>
  <c r="D821" i="60"/>
  <c r="D820" i="60"/>
  <c r="D819" i="60"/>
  <c r="D818" i="60"/>
  <c r="D817" i="60"/>
  <c r="D816" i="60"/>
  <c r="D815" i="60"/>
  <c r="D814" i="60"/>
  <c r="D813" i="60"/>
  <c r="D812" i="60"/>
  <c r="D811" i="60"/>
  <c r="D810" i="60"/>
  <c r="D809" i="60"/>
  <c r="D808" i="60"/>
  <c r="D807" i="60"/>
  <c r="D806" i="60"/>
  <c r="D805" i="60"/>
  <c r="D804" i="60"/>
  <c r="D803" i="60"/>
  <c r="D802" i="60"/>
  <c r="D801" i="60"/>
  <c r="D800" i="60"/>
  <c r="D799" i="60"/>
  <c r="D798" i="60"/>
  <c r="D797" i="60"/>
  <c r="D796" i="60"/>
  <c r="D795" i="60"/>
  <c r="D794" i="60"/>
  <c r="D793" i="60"/>
  <c r="D792" i="60"/>
  <c r="D791" i="60"/>
  <c r="D790" i="60"/>
  <c r="D789" i="60"/>
  <c r="D788" i="60"/>
  <c r="D787" i="60"/>
  <c r="D786" i="60"/>
  <c r="D785" i="60"/>
  <c r="D784" i="60"/>
  <c r="D783" i="60"/>
  <c r="D782" i="60"/>
  <c r="D781" i="60"/>
  <c r="D780" i="60"/>
  <c r="D779" i="60"/>
  <c r="D778" i="60"/>
  <c r="D777" i="60"/>
  <c r="D776" i="60"/>
  <c r="D775" i="60"/>
  <c r="D774" i="60"/>
  <c r="D773" i="60"/>
  <c r="D772" i="60"/>
  <c r="D771" i="60"/>
  <c r="D770" i="60"/>
  <c r="D769" i="60"/>
  <c r="D768" i="60"/>
  <c r="D767" i="60"/>
  <c r="D766" i="60"/>
  <c r="D765" i="60"/>
  <c r="D764" i="60"/>
  <c r="D763" i="60"/>
  <c r="D762" i="60"/>
  <c r="D761" i="60"/>
  <c r="D760" i="60"/>
  <c r="D759" i="60"/>
  <c r="D758" i="60"/>
  <c r="D757" i="60"/>
  <c r="D756" i="60"/>
  <c r="D755" i="60"/>
  <c r="D754" i="60"/>
  <c r="D753" i="60"/>
  <c r="D752" i="60"/>
  <c r="D751" i="60"/>
  <c r="D750" i="60"/>
  <c r="D749" i="60"/>
  <c r="D748" i="60"/>
  <c r="D747" i="60"/>
  <c r="D746" i="60"/>
  <c r="D745" i="60"/>
  <c r="D744" i="60"/>
  <c r="D743" i="60"/>
  <c r="D742" i="60"/>
  <c r="D741" i="60"/>
  <c r="D740" i="60"/>
  <c r="D739" i="60"/>
  <c r="D738" i="60"/>
  <c r="D737" i="60"/>
  <c r="D736" i="60"/>
  <c r="D735" i="60"/>
  <c r="D734" i="60"/>
  <c r="D733" i="60"/>
  <c r="D732" i="60"/>
  <c r="D731" i="60"/>
  <c r="D730" i="60"/>
  <c r="D729" i="60"/>
  <c r="D728" i="60"/>
  <c r="D727" i="60"/>
  <c r="D726" i="60"/>
  <c r="D725" i="60"/>
  <c r="D724" i="60"/>
  <c r="D723" i="60"/>
  <c r="D722" i="60"/>
  <c r="D721" i="60"/>
  <c r="D720" i="60"/>
  <c r="D719" i="60"/>
  <c r="D718" i="60"/>
  <c r="D717" i="60"/>
  <c r="D716" i="60"/>
  <c r="D715" i="60"/>
  <c r="D714" i="60"/>
  <c r="D713" i="60"/>
  <c r="D712" i="60"/>
  <c r="D711" i="60"/>
  <c r="D710" i="60"/>
  <c r="D709" i="60"/>
  <c r="D708" i="60"/>
  <c r="D707" i="60"/>
  <c r="D706" i="60"/>
  <c r="D705" i="60"/>
  <c r="D704" i="60"/>
  <c r="D703" i="60"/>
  <c r="D702" i="60"/>
  <c r="D701" i="60"/>
  <c r="D700" i="60"/>
  <c r="D699" i="60"/>
  <c r="D698" i="60"/>
  <c r="D697" i="60"/>
  <c r="D696" i="60"/>
  <c r="D695" i="60"/>
  <c r="D694" i="60"/>
  <c r="D693" i="60"/>
  <c r="D692" i="60"/>
  <c r="D691" i="60"/>
  <c r="D690" i="60"/>
  <c r="D689" i="60"/>
  <c r="D688" i="60"/>
  <c r="D687" i="60"/>
  <c r="D686" i="60"/>
  <c r="D685" i="60"/>
  <c r="D684" i="60"/>
  <c r="D683" i="60"/>
  <c r="D682" i="60"/>
  <c r="D681" i="60"/>
  <c r="D680" i="60"/>
  <c r="D679" i="60"/>
  <c r="D678" i="60"/>
  <c r="D677" i="60"/>
  <c r="D676" i="60"/>
  <c r="D675" i="60"/>
  <c r="D674" i="60"/>
  <c r="D673" i="60"/>
  <c r="D672" i="60"/>
  <c r="D671" i="60"/>
  <c r="D670" i="60"/>
  <c r="D669" i="60"/>
  <c r="D668" i="60"/>
  <c r="D667" i="60"/>
  <c r="D666" i="60"/>
  <c r="D665" i="60"/>
  <c r="D664" i="60"/>
  <c r="D663" i="60"/>
  <c r="D662" i="60"/>
  <c r="D661" i="60"/>
  <c r="D660" i="60"/>
  <c r="D659" i="60"/>
  <c r="D658" i="60"/>
  <c r="D657" i="60"/>
  <c r="D656" i="60"/>
  <c r="D655" i="60"/>
  <c r="D654" i="60"/>
  <c r="D653" i="60"/>
  <c r="D652" i="60"/>
  <c r="D651" i="60"/>
  <c r="D650" i="60"/>
  <c r="D649" i="60"/>
  <c r="D648" i="60"/>
  <c r="D647" i="60"/>
  <c r="D646" i="60"/>
  <c r="D645" i="60"/>
  <c r="D644" i="60"/>
  <c r="D643" i="60"/>
  <c r="D642" i="60"/>
  <c r="D641" i="60"/>
  <c r="D640" i="60"/>
  <c r="D639" i="60"/>
  <c r="D638" i="60"/>
  <c r="D637" i="60"/>
  <c r="D636" i="60"/>
  <c r="D635" i="60"/>
  <c r="D634" i="60"/>
  <c r="D633" i="60"/>
  <c r="D632" i="60"/>
  <c r="D631" i="60"/>
  <c r="D630" i="60"/>
  <c r="D629" i="60"/>
  <c r="D628" i="60"/>
  <c r="D627" i="60"/>
  <c r="D626" i="60"/>
  <c r="D625" i="60"/>
  <c r="D624" i="60"/>
  <c r="D623" i="60"/>
  <c r="D622" i="60"/>
  <c r="D621" i="60"/>
  <c r="D620" i="60"/>
  <c r="D619" i="60"/>
  <c r="D618" i="60"/>
  <c r="D617" i="60"/>
  <c r="D616" i="60"/>
  <c r="D615" i="60"/>
  <c r="D614" i="60"/>
  <c r="D613" i="60"/>
  <c r="D612" i="60"/>
  <c r="D611" i="60"/>
  <c r="D610" i="60"/>
  <c r="D609" i="60"/>
  <c r="D608" i="60"/>
  <c r="D607" i="60"/>
  <c r="D606" i="60"/>
  <c r="D605" i="60"/>
  <c r="D604" i="60"/>
  <c r="D603" i="60"/>
  <c r="D602" i="60"/>
  <c r="D601" i="60"/>
  <c r="D600" i="60"/>
  <c r="D599" i="60"/>
  <c r="D598" i="60"/>
  <c r="D597" i="60"/>
  <c r="D596" i="60"/>
  <c r="D595" i="60"/>
  <c r="D594" i="60"/>
  <c r="D593" i="60"/>
  <c r="D592" i="60"/>
  <c r="D591" i="60"/>
  <c r="D590" i="60"/>
  <c r="D589" i="60"/>
  <c r="D588" i="60"/>
  <c r="D587" i="60"/>
  <c r="D586" i="60"/>
  <c r="D585" i="60"/>
  <c r="D584" i="60"/>
  <c r="D583" i="60"/>
  <c r="D582" i="60"/>
  <c r="D581" i="60"/>
  <c r="D580" i="60"/>
  <c r="D579" i="60"/>
  <c r="D578" i="60"/>
  <c r="D577" i="60"/>
  <c r="D576" i="60"/>
  <c r="D575" i="60"/>
  <c r="D574" i="60"/>
  <c r="D573" i="60"/>
  <c r="D572" i="60"/>
  <c r="D571" i="60"/>
  <c r="D570" i="60"/>
  <c r="D569" i="60"/>
  <c r="D568" i="60"/>
  <c r="D567" i="60"/>
  <c r="D566" i="60"/>
  <c r="D565" i="60"/>
  <c r="D564" i="60"/>
  <c r="D563" i="60"/>
  <c r="D562" i="60"/>
  <c r="D561" i="60"/>
  <c r="D560" i="60"/>
  <c r="D559" i="60"/>
  <c r="D558" i="60"/>
  <c r="D557" i="60"/>
  <c r="D556" i="60"/>
  <c r="D555" i="60"/>
  <c r="D554" i="60"/>
  <c r="D553" i="60"/>
  <c r="D552" i="60"/>
  <c r="D551" i="60"/>
  <c r="D550" i="60"/>
  <c r="D549" i="60"/>
  <c r="D548" i="60"/>
  <c r="D547" i="60"/>
  <c r="D546" i="60"/>
  <c r="D545" i="60"/>
  <c r="D544" i="60"/>
  <c r="D543" i="60"/>
  <c r="D542" i="60"/>
  <c r="D541" i="60"/>
  <c r="D540" i="60"/>
  <c r="D539" i="60"/>
  <c r="D538" i="60"/>
  <c r="D537" i="60"/>
  <c r="D536" i="60"/>
  <c r="D535" i="60"/>
  <c r="D534" i="60"/>
  <c r="D533" i="60"/>
  <c r="D532" i="60"/>
  <c r="D531" i="60"/>
  <c r="D530" i="60"/>
  <c r="D529" i="60"/>
  <c r="D528" i="60"/>
  <c r="D527" i="60"/>
  <c r="D526" i="60"/>
  <c r="D525" i="60"/>
  <c r="D524" i="60"/>
  <c r="D523" i="60"/>
  <c r="D522" i="60"/>
  <c r="D521" i="60"/>
  <c r="D520" i="60"/>
  <c r="D519" i="60"/>
  <c r="D518" i="60"/>
  <c r="D517" i="60"/>
  <c r="D516" i="60"/>
  <c r="D515" i="60"/>
  <c r="D514" i="60"/>
  <c r="D513" i="60"/>
  <c r="D512" i="60"/>
  <c r="D511" i="60"/>
  <c r="D510" i="60"/>
  <c r="D509" i="60"/>
  <c r="D508" i="60"/>
  <c r="D507" i="60"/>
  <c r="D506" i="60"/>
  <c r="D505" i="60"/>
  <c r="D504" i="60"/>
  <c r="D503" i="60"/>
  <c r="D502" i="60"/>
  <c r="D501" i="60"/>
  <c r="D500" i="60"/>
  <c r="D499" i="60"/>
  <c r="D498" i="60"/>
  <c r="D497" i="60"/>
  <c r="D496" i="60"/>
  <c r="D495" i="60"/>
  <c r="D494" i="60"/>
  <c r="D493" i="60"/>
  <c r="D492" i="60"/>
  <c r="D491" i="60"/>
  <c r="D490" i="60"/>
  <c r="D489" i="60"/>
  <c r="D488" i="60"/>
  <c r="D487" i="60"/>
  <c r="D486" i="60"/>
  <c r="D485" i="60"/>
  <c r="D484" i="60"/>
  <c r="D483" i="60"/>
  <c r="D482" i="60"/>
  <c r="D481" i="60"/>
  <c r="D480" i="60"/>
  <c r="D479" i="60"/>
  <c r="D478" i="60"/>
  <c r="D477" i="60"/>
  <c r="D476" i="60"/>
  <c r="D475" i="60"/>
  <c r="D474" i="60"/>
  <c r="D473" i="60"/>
  <c r="D472" i="60"/>
  <c r="D471" i="60"/>
  <c r="D470" i="60"/>
  <c r="D469" i="60"/>
  <c r="D468" i="60"/>
  <c r="D467" i="60"/>
  <c r="D466" i="60"/>
  <c r="D465" i="60"/>
  <c r="D464" i="60"/>
  <c r="D463" i="60"/>
  <c r="D462" i="60"/>
  <c r="D461" i="60"/>
  <c r="D460" i="60"/>
  <c r="D459" i="60"/>
  <c r="D458" i="60"/>
  <c r="D457" i="60"/>
  <c r="D456" i="60"/>
  <c r="D455" i="60"/>
  <c r="D454" i="60"/>
  <c r="D453" i="60"/>
  <c r="D452" i="60"/>
  <c r="D451" i="60"/>
  <c r="D450" i="60"/>
  <c r="D449" i="60"/>
  <c r="D448" i="60"/>
  <c r="D447" i="60"/>
  <c r="D446" i="60"/>
  <c r="D445" i="60"/>
  <c r="D444" i="60"/>
  <c r="D443" i="60"/>
  <c r="D442" i="60"/>
  <c r="D441" i="60"/>
  <c r="D440" i="60"/>
  <c r="D439" i="60"/>
  <c r="D438" i="60"/>
  <c r="D437" i="60"/>
  <c r="D436" i="60"/>
  <c r="D435" i="60"/>
  <c r="D434" i="60"/>
  <c r="D433" i="60"/>
  <c r="D432" i="60"/>
  <c r="D431" i="60"/>
  <c r="D430" i="60"/>
  <c r="D429" i="60"/>
  <c r="D428" i="60"/>
  <c r="D427" i="60"/>
  <c r="D426" i="60"/>
  <c r="D425" i="60"/>
  <c r="D424" i="60"/>
  <c r="D423" i="60"/>
  <c r="D422" i="60"/>
  <c r="D421" i="60"/>
  <c r="D420" i="60"/>
  <c r="D419" i="60"/>
  <c r="D418" i="60"/>
  <c r="D417" i="60"/>
  <c r="D416" i="60"/>
  <c r="D415" i="60"/>
  <c r="D414" i="60"/>
  <c r="D413" i="60"/>
  <c r="D412" i="60"/>
  <c r="D411" i="60"/>
  <c r="D410" i="60"/>
  <c r="D409" i="60"/>
  <c r="D408" i="60"/>
  <c r="D407" i="60"/>
  <c r="D406" i="60"/>
  <c r="D405" i="60"/>
  <c r="D404" i="60"/>
  <c r="D403" i="60"/>
  <c r="D402" i="60"/>
  <c r="D401" i="60"/>
  <c r="D400" i="60"/>
  <c r="D399" i="60"/>
  <c r="D398" i="60"/>
  <c r="D397" i="60"/>
  <c r="D396" i="60"/>
  <c r="D395" i="60"/>
  <c r="D394" i="60"/>
  <c r="D393" i="60"/>
  <c r="D392" i="60"/>
  <c r="D391" i="60"/>
  <c r="D390" i="60"/>
  <c r="D389" i="60"/>
  <c r="D388" i="60"/>
  <c r="D387" i="60"/>
  <c r="D386" i="60"/>
  <c r="D385" i="60"/>
  <c r="D384" i="60"/>
  <c r="D383" i="60"/>
  <c r="D382" i="60"/>
  <c r="D381" i="60"/>
  <c r="D380" i="60"/>
  <c r="D379" i="60"/>
  <c r="D378" i="60"/>
  <c r="D377" i="60"/>
  <c r="D376" i="60"/>
  <c r="D375" i="60"/>
  <c r="D374" i="60"/>
  <c r="D373" i="60"/>
  <c r="D372" i="60"/>
  <c r="D371" i="60"/>
  <c r="D370" i="60"/>
  <c r="D369" i="60"/>
  <c r="D368" i="60"/>
  <c r="D367" i="60"/>
  <c r="D366" i="60"/>
  <c r="D365" i="60"/>
  <c r="D364" i="60"/>
  <c r="D363" i="60"/>
  <c r="D362" i="60"/>
  <c r="D361" i="60"/>
  <c r="D360" i="60"/>
  <c r="D359" i="60"/>
  <c r="D358" i="60"/>
  <c r="D357" i="60"/>
  <c r="D356" i="60"/>
  <c r="D355" i="60"/>
  <c r="D354" i="60"/>
  <c r="D353" i="60"/>
  <c r="D352" i="60"/>
  <c r="D351" i="60"/>
  <c r="D350" i="60"/>
  <c r="D349" i="60"/>
  <c r="D348" i="60"/>
  <c r="D347" i="60"/>
  <c r="D346" i="60"/>
  <c r="D345" i="60"/>
  <c r="D344" i="60"/>
  <c r="D343" i="60"/>
  <c r="D342" i="60"/>
  <c r="D341" i="60"/>
  <c r="D340" i="60"/>
  <c r="D339" i="60"/>
  <c r="D338" i="60"/>
  <c r="D337" i="60"/>
  <c r="D336" i="60"/>
  <c r="D335" i="60"/>
  <c r="D334" i="60"/>
  <c r="D333" i="60"/>
  <c r="D332" i="60"/>
  <c r="D331" i="60"/>
  <c r="D330" i="60"/>
  <c r="D329" i="60"/>
  <c r="D328" i="60"/>
  <c r="D327" i="60"/>
  <c r="D326" i="60"/>
  <c r="D325" i="60"/>
  <c r="D324" i="60"/>
  <c r="D323" i="60"/>
  <c r="D322" i="60"/>
  <c r="D321" i="60"/>
  <c r="D320" i="60"/>
  <c r="D319" i="60"/>
  <c r="D318" i="60"/>
  <c r="D317" i="60"/>
  <c r="D316" i="60"/>
  <c r="D315" i="60"/>
  <c r="D314" i="60"/>
  <c r="D313" i="60"/>
  <c r="D312" i="60"/>
  <c r="D311" i="60"/>
  <c r="D310" i="60"/>
  <c r="D309" i="60"/>
  <c r="D308" i="60"/>
  <c r="D307" i="60"/>
  <c r="D306" i="60"/>
  <c r="D305" i="60"/>
  <c r="D304" i="60"/>
  <c r="D303" i="60"/>
  <c r="D302" i="60"/>
  <c r="D301" i="60"/>
  <c r="D300" i="60"/>
  <c r="D299" i="60"/>
  <c r="D298" i="60"/>
  <c r="D297" i="60"/>
  <c r="D296" i="60"/>
  <c r="D295" i="60"/>
  <c r="D294" i="60"/>
  <c r="D293" i="60"/>
  <c r="D292" i="60"/>
  <c r="D291" i="60"/>
  <c r="D290" i="60"/>
  <c r="D289" i="60"/>
  <c r="D288" i="60"/>
  <c r="D287" i="60"/>
  <c r="D286" i="60"/>
  <c r="D285" i="60"/>
  <c r="D284" i="60"/>
  <c r="D283" i="60"/>
  <c r="D282" i="60"/>
  <c r="D281" i="60"/>
  <c r="D280" i="60"/>
  <c r="D279" i="60"/>
  <c r="D278" i="60"/>
  <c r="D277" i="60"/>
  <c r="D276" i="60"/>
  <c r="D275" i="60"/>
  <c r="D274" i="60"/>
  <c r="D273" i="60"/>
  <c r="D272" i="60"/>
  <c r="D271" i="60"/>
  <c r="D270" i="60"/>
  <c r="D269" i="60"/>
  <c r="D268" i="60"/>
  <c r="D267" i="60"/>
  <c r="D266" i="60"/>
  <c r="D265" i="60"/>
  <c r="D264" i="60"/>
  <c r="D263" i="60"/>
  <c r="D262" i="60"/>
  <c r="D261" i="60"/>
  <c r="D260" i="60"/>
  <c r="D259" i="60"/>
  <c r="D258" i="60"/>
  <c r="D257" i="60"/>
  <c r="D256" i="60"/>
  <c r="D255" i="60"/>
  <c r="D254" i="60"/>
  <c r="D253" i="60"/>
  <c r="D252" i="60"/>
  <c r="D251" i="60"/>
  <c r="D250" i="60"/>
  <c r="D249" i="60"/>
  <c r="D248" i="60"/>
  <c r="D247" i="60"/>
  <c r="D246" i="60"/>
  <c r="D245" i="60"/>
  <c r="D244" i="60"/>
  <c r="D243" i="60"/>
  <c r="D242" i="60"/>
  <c r="D241" i="60"/>
  <c r="D240" i="60"/>
  <c r="D239" i="60"/>
  <c r="D238" i="60"/>
  <c r="D237" i="60"/>
  <c r="D236" i="60"/>
  <c r="D235" i="60"/>
  <c r="D234" i="60"/>
  <c r="D233" i="60"/>
  <c r="D232" i="60"/>
  <c r="D231" i="60"/>
  <c r="D230" i="60"/>
  <c r="D229" i="60"/>
  <c r="D228" i="60"/>
  <c r="D227" i="60"/>
  <c r="D226" i="60"/>
  <c r="D225" i="60"/>
  <c r="D224" i="60"/>
  <c r="D223" i="60"/>
  <c r="D222" i="60"/>
  <c r="D221" i="60"/>
  <c r="D220" i="60"/>
  <c r="D219" i="60"/>
  <c r="D218" i="60"/>
  <c r="D217" i="60"/>
  <c r="D216" i="60"/>
  <c r="D215" i="60"/>
  <c r="D214" i="60"/>
  <c r="D213" i="60"/>
  <c r="D212" i="60"/>
  <c r="D211" i="60"/>
  <c r="D210" i="60"/>
  <c r="D209" i="60"/>
  <c r="D208" i="60"/>
  <c r="D207" i="60"/>
  <c r="D206" i="60"/>
  <c r="D205" i="60"/>
  <c r="D204" i="60"/>
  <c r="D203" i="60"/>
  <c r="D202" i="60"/>
  <c r="D201" i="60"/>
  <c r="D200" i="60"/>
  <c r="D199" i="60"/>
  <c r="D198" i="60"/>
  <c r="D197" i="60"/>
  <c r="D196" i="60"/>
  <c r="D195" i="60"/>
  <c r="D194" i="60"/>
  <c r="D193" i="60"/>
  <c r="D192" i="60"/>
  <c r="D191" i="60"/>
  <c r="D190" i="60"/>
  <c r="D189" i="60"/>
  <c r="D188" i="60"/>
  <c r="D187" i="60"/>
  <c r="D186" i="60"/>
  <c r="D185" i="60"/>
  <c r="D184" i="60"/>
  <c r="D183" i="60"/>
  <c r="D182" i="60"/>
  <c r="D181" i="60"/>
  <c r="D180" i="60"/>
  <c r="D179" i="60"/>
  <c r="D178" i="60"/>
  <c r="D177" i="60"/>
  <c r="D176" i="60"/>
  <c r="D175" i="60"/>
  <c r="D174" i="60"/>
  <c r="D173" i="60"/>
  <c r="D172" i="60"/>
  <c r="D171" i="60"/>
  <c r="D170" i="60"/>
  <c r="D169" i="60"/>
  <c r="D168" i="60"/>
  <c r="D167" i="60"/>
  <c r="D166" i="60"/>
  <c r="D165" i="60"/>
  <c r="D164" i="60"/>
  <c r="D163" i="60"/>
  <c r="D162" i="60"/>
  <c r="D161" i="60"/>
  <c r="D160" i="60"/>
  <c r="D159" i="60"/>
  <c r="D158" i="60"/>
  <c r="D157" i="60"/>
  <c r="D156" i="60"/>
  <c r="D155" i="60"/>
  <c r="D154" i="60"/>
  <c r="D153" i="60"/>
  <c r="D152" i="60"/>
  <c r="D151" i="60"/>
  <c r="D150" i="60"/>
  <c r="D149" i="60"/>
  <c r="D148" i="60"/>
  <c r="D147" i="60"/>
  <c r="D146" i="60"/>
  <c r="D145" i="60"/>
  <c r="D144" i="60"/>
  <c r="D143" i="60"/>
  <c r="D142" i="60"/>
  <c r="D141" i="60"/>
  <c r="D140" i="60"/>
  <c r="D139" i="60"/>
  <c r="D138" i="60"/>
  <c r="D137" i="60"/>
  <c r="D136" i="60"/>
  <c r="D135" i="60"/>
  <c r="D134" i="60"/>
  <c r="D133" i="60"/>
  <c r="D132" i="60"/>
  <c r="D131" i="60"/>
  <c r="D130" i="60"/>
  <c r="D129" i="60"/>
  <c r="D128" i="60"/>
  <c r="D127" i="60"/>
  <c r="D126" i="60"/>
  <c r="D125" i="60"/>
  <c r="D124" i="60"/>
  <c r="D123" i="60"/>
  <c r="D122" i="60"/>
  <c r="D121" i="60"/>
  <c r="D120" i="60"/>
  <c r="D119" i="60"/>
  <c r="D118" i="60"/>
  <c r="D117" i="60"/>
  <c r="D116" i="60"/>
  <c r="D115" i="60"/>
  <c r="D114" i="60"/>
  <c r="D113" i="60"/>
  <c r="D112" i="60"/>
  <c r="D111" i="60"/>
  <c r="D110" i="60"/>
  <c r="D109" i="60"/>
  <c r="D108" i="60"/>
  <c r="D107" i="60"/>
  <c r="D106" i="60"/>
  <c r="D105" i="60"/>
  <c r="D104" i="60"/>
  <c r="D103" i="60"/>
  <c r="D102" i="60"/>
  <c r="D101" i="60"/>
  <c r="D100" i="60"/>
  <c r="D99" i="60"/>
  <c r="D98" i="60"/>
  <c r="D97" i="60"/>
  <c r="D96" i="60"/>
  <c r="D95" i="60"/>
  <c r="D94" i="60"/>
  <c r="D93" i="60"/>
  <c r="D92" i="60"/>
  <c r="D91" i="60"/>
  <c r="D90" i="60"/>
  <c r="D89" i="60"/>
  <c r="D88" i="60"/>
  <c r="D87" i="60"/>
  <c r="D86" i="60"/>
  <c r="D85" i="60"/>
  <c r="D84" i="60"/>
  <c r="D83" i="60"/>
  <c r="D82" i="60"/>
  <c r="D81" i="60"/>
  <c r="D80" i="60"/>
  <c r="D79" i="60"/>
  <c r="D78" i="60"/>
  <c r="D77" i="60"/>
  <c r="D76" i="60"/>
  <c r="D75" i="60"/>
  <c r="D74" i="60"/>
  <c r="D73" i="60"/>
  <c r="D72" i="60"/>
  <c r="D71" i="60"/>
  <c r="D70" i="60"/>
  <c r="D69" i="60"/>
  <c r="D68" i="60"/>
  <c r="D67" i="60"/>
  <c r="D66" i="60"/>
  <c r="D65" i="60"/>
  <c r="D64" i="60"/>
  <c r="D63" i="60"/>
  <c r="D62" i="60"/>
  <c r="D61" i="60"/>
  <c r="D60" i="60"/>
  <c r="D59" i="60"/>
  <c r="D58" i="60"/>
  <c r="D57" i="60"/>
  <c r="D56" i="60"/>
  <c r="D55" i="60"/>
  <c r="D54" i="60"/>
  <c r="D53" i="60"/>
  <c r="D52" i="60"/>
  <c r="D51" i="60"/>
  <c r="D50" i="60"/>
  <c r="D49" i="60"/>
  <c r="D48" i="60"/>
  <c r="D47" i="60"/>
  <c r="D46" i="60"/>
  <c r="D45" i="60"/>
  <c r="D44" i="60"/>
  <c r="D43" i="60"/>
  <c r="D42" i="60"/>
  <c r="D41" i="60"/>
  <c r="D40" i="60"/>
  <c r="D39" i="60"/>
  <c r="D38" i="60"/>
  <c r="D37" i="60"/>
  <c r="D36" i="60"/>
  <c r="D35" i="60"/>
  <c r="D34" i="60"/>
  <c r="D33" i="60"/>
  <c r="D32" i="60"/>
  <c r="D31" i="60"/>
  <c r="D30" i="60"/>
  <c r="D29" i="60"/>
  <c r="D28" i="60"/>
  <c r="D27" i="60"/>
  <c r="D26" i="60"/>
  <c r="D25" i="60"/>
  <c r="D24" i="60"/>
  <c r="D23" i="60"/>
  <c r="D22" i="60"/>
  <c r="D21" i="60"/>
  <c r="D20" i="60"/>
  <c r="D19" i="60"/>
  <c r="D18" i="60"/>
  <c r="D17" i="60"/>
  <c r="D16" i="60"/>
  <c r="D15" i="60"/>
  <c r="D14" i="60"/>
  <c r="D13" i="60"/>
  <c r="D12" i="60"/>
  <c r="D11" i="60"/>
  <c r="D10" i="60"/>
  <c r="D9" i="60"/>
  <c r="D8" i="60"/>
  <c r="D7" i="60"/>
  <c r="D6" i="60"/>
  <c r="D5" i="60"/>
  <c r="D4" i="60"/>
  <c r="C3647" i="60"/>
  <c r="B3647" i="60"/>
  <c r="A3647" i="60"/>
  <c r="C3646" i="60"/>
  <c r="B3646" i="60"/>
  <c r="A3646" i="60"/>
  <c r="C3645" i="60"/>
  <c r="B3645" i="60"/>
  <c r="A3645" i="60"/>
  <c r="C3644" i="60"/>
  <c r="B3644" i="60"/>
  <c r="A3644" i="60"/>
  <c r="C3643" i="60"/>
  <c r="B3643" i="60"/>
  <c r="A3643" i="60"/>
  <c r="C3642" i="60"/>
  <c r="B3642" i="60"/>
  <c r="A3642" i="60"/>
  <c r="C3641" i="60"/>
  <c r="B3641" i="60"/>
  <c r="A3641" i="60"/>
  <c r="C3640" i="60"/>
  <c r="B3640" i="60"/>
  <c r="A3640" i="60"/>
  <c r="C3639" i="60"/>
  <c r="B3639" i="60"/>
  <c r="A3639" i="60"/>
  <c r="C3638" i="60"/>
  <c r="B3638" i="60"/>
  <c r="A3638" i="60"/>
  <c r="C3637" i="60"/>
  <c r="B3637" i="60"/>
  <c r="A3637" i="60"/>
  <c r="C3636" i="60"/>
  <c r="B3636" i="60"/>
  <c r="A3636" i="60"/>
  <c r="C3635" i="60"/>
  <c r="B3635" i="60"/>
  <c r="A3635" i="60"/>
  <c r="C3634" i="60"/>
  <c r="B3634" i="60"/>
  <c r="A3634" i="60"/>
  <c r="C3633" i="60"/>
  <c r="B3633" i="60"/>
  <c r="A3633" i="60"/>
  <c r="C3632" i="60"/>
  <c r="B3632" i="60"/>
  <c r="A3632" i="60"/>
  <c r="C3631" i="60"/>
  <c r="B3631" i="60"/>
  <c r="A3631" i="60"/>
  <c r="C3630" i="60"/>
  <c r="B3630" i="60"/>
  <c r="A3630" i="60"/>
  <c r="C3629" i="60"/>
  <c r="B3629" i="60"/>
  <c r="A3629" i="60"/>
  <c r="C3628" i="60"/>
  <c r="B3628" i="60"/>
  <c r="A3628" i="60"/>
  <c r="C3627" i="60"/>
  <c r="B3627" i="60"/>
  <c r="A3627" i="60"/>
  <c r="C3626" i="60"/>
  <c r="B3626" i="60"/>
  <c r="A3626" i="60"/>
  <c r="C3625" i="60"/>
  <c r="B3625" i="60"/>
  <c r="A3625" i="60"/>
  <c r="C3624" i="60"/>
  <c r="B3624" i="60"/>
  <c r="A3624" i="60"/>
  <c r="C3623" i="60"/>
  <c r="B3623" i="60"/>
  <c r="A3623" i="60"/>
  <c r="C3622" i="60"/>
  <c r="B3622" i="60"/>
  <c r="A3622" i="60"/>
  <c r="C3621" i="60"/>
  <c r="B3621" i="60"/>
  <c r="A3621" i="60"/>
  <c r="C3620" i="60"/>
  <c r="B3620" i="60"/>
  <c r="A3620" i="60"/>
  <c r="C3619" i="60"/>
  <c r="B3619" i="60"/>
  <c r="A3619" i="60"/>
  <c r="C3618" i="60"/>
  <c r="B3618" i="60"/>
  <c r="A3618" i="60"/>
  <c r="C3617" i="60"/>
  <c r="B3617" i="60"/>
  <c r="A3617" i="60"/>
  <c r="C3616" i="60"/>
  <c r="B3616" i="60"/>
  <c r="A3616" i="60"/>
  <c r="C3615" i="60"/>
  <c r="B3615" i="60"/>
  <c r="A3615" i="60"/>
  <c r="C3614" i="60"/>
  <c r="B3614" i="60"/>
  <c r="A3614" i="60"/>
  <c r="C3613" i="60"/>
  <c r="B3613" i="60"/>
  <c r="A3613" i="60"/>
  <c r="C3612" i="60"/>
  <c r="B3612" i="60"/>
  <c r="A3612" i="60"/>
  <c r="C3611" i="60"/>
  <c r="B3611" i="60"/>
  <c r="A3611" i="60"/>
  <c r="C3610" i="60"/>
  <c r="B3610" i="60"/>
  <c r="A3610" i="60"/>
  <c r="C3609" i="60"/>
  <c r="B3609" i="60"/>
  <c r="A3609" i="60"/>
  <c r="C3608" i="60"/>
  <c r="B3608" i="60"/>
  <c r="A3608" i="60"/>
  <c r="C3607" i="60"/>
  <c r="B3607" i="60"/>
  <c r="A3607" i="60"/>
  <c r="C3606" i="60"/>
  <c r="B3606" i="60"/>
  <c r="A3606" i="60"/>
  <c r="C3605" i="60"/>
  <c r="B3605" i="60"/>
  <c r="A3605" i="60"/>
  <c r="C3604" i="60"/>
  <c r="B3604" i="60"/>
  <c r="A3604" i="60"/>
  <c r="C3603" i="60"/>
  <c r="B3603" i="60"/>
  <c r="A3603" i="60"/>
  <c r="C3602" i="60"/>
  <c r="B3602" i="60"/>
  <c r="A3602" i="60"/>
  <c r="C3601" i="60"/>
  <c r="B3601" i="60"/>
  <c r="A3601" i="60"/>
  <c r="C3600" i="60"/>
  <c r="B3600" i="60"/>
  <c r="A3600" i="60"/>
  <c r="C3599" i="60"/>
  <c r="B3599" i="60"/>
  <c r="A3599" i="60"/>
  <c r="C3598" i="60"/>
  <c r="B3598" i="60"/>
  <c r="A3598" i="60"/>
  <c r="C3597" i="60"/>
  <c r="B3597" i="60"/>
  <c r="A3597" i="60"/>
  <c r="C3596" i="60"/>
  <c r="B3596" i="60"/>
  <c r="A3596" i="60"/>
  <c r="C3595" i="60"/>
  <c r="B3595" i="60"/>
  <c r="A3595" i="60"/>
  <c r="C3594" i="60"/>
  <c r="B3594" i="60"/>
  <c r="A3594" i="60"/>
  <c r="C3593" i="60"/>
  <c r="B3593" i="60"/>
  <c r="A3593" i="60"/>
  <c r="C3592" i="60"/>
  <c r="B3592" i="60"/>
  <c r="A3592" i="60"/>
  <c r="C3591" i="60"/>
  <c r="B3591" i="60"/>
  <c r="A3591" i="60"/>
  <c r="C3590" i="60"/>
  <c r="B3590" i="60"/>
  <c r="A3590" i="60"/>
  <c r="C3589" i="60"/>
  <c r="B3589" i="60"/>
  <c r="A3589" i="60"/>
  <c r="C3588" i="60"/>
  <c r="B3588" i="60"/>
  <c r="A3588" i="60"/>
  <c r="C3587" i="60"/>
  <c r="B3587" i="60"/>
  <c r="A3587" i="60"/>
  <c r="C3586" i="60"/>
  <c r="B3586" i="60"/>
  <c r="A3586" i="60"/>
  <c r="C3585" i="60"/>
  <c r="B3585" i="60"/>
  <c r="A3585" i="60"/>
  <c r="C3584" i="60"/>
  <c r="B3584" i="60"/>
  <c r="A3584" i="60"/>
  <c r="C3583" i="60"/>
  <c r="B3583" i="60"/>
  <c r="A3583" i="60"/>
  <c r="C3582" i="60"/>
  <c r="B3582" i="60"/>
  <c r="A3582" i="60"/>
  <c r="C3581" i="60"/>
  <c r="B3581" i="60"/>
  <c r="A3581" i="60"/>
  <c r="C3580" i="60"/>
  <c r="B3580" i="60"/>
  <c r="A3580" i="60"/>
  <c r="C3579" i="60"/>
  <c r="B3579" i="60"/>
  <c r="A3579" i="60"/>
  <c r="C3578" i="60"/>
  <c r="B3578" i="60"/>
  <c r="A3578" i="60"/>
  <c r="C3577" i="60"/>
  <c r="B3577" i="60"/>
  <c r="A3577" i="60"/>
  <c r="C3576" i="60"/>
  <c r="B3576" i="60"/>
  <c r="A3576" i="60"/>
  <c r="C3575" i="60"/>
  <c r="B3575" i="60"/>
  <c r="A3575" i="60"/>
  <c r="C3574" i="60"/>
  <c r="B3574" i="60"/>
  <c r="A3574" i="60"/>
  <c r="C3573" i="60"/>
  <c r="B3573" i="60"/>
  <c r="A3573" i="60"/>
  <c r="C3572" i="60"/>
  <c r="B3572" i="60"/>
  <c r="A3572" i="60"/>
  <c r="C3571" i="60"/>
  <c r="B3571" i="60"/>
  <c r="A3571" i="60"/>
  <c r="C3570" i="60"/>
  <c r="B3570" i="60"/>
  <c r="A3570" i="60"/>
  <c r="C3569" i="60"/>
  <c r="B3569" i="60"/>
  <c r="A3569" i="60"/>
  <c r="C3568" i="60"/>
  <c r="B3568" i="60"/>
  <c r="A3568" i="60"/>
  <c r="C3567" i="60"/>
  <c r="B3567" i="60"/>
  <c r="A3567" i="60"/>
  <c r="C3566" i="60"/>
  <c r="B3566" i="60"/>
  <c r="A3566" i="60"/>
  <c r="C3565" i="60"/>
  <c r="B3565" i="60"/>
  <c r="A3565" i="60"/>
  <c r="C3564" i="60"/>
  <c r="B3564" i="60"/>
  <c r="A3564" i="60"/>
  <c r="C3563" i="60"/>
  <c r="B3563" i="60"/>
  <c r="A3563" i="60"/>
  <c r="C3562" i="60"/>
  <c r="B3562" i="60"/>
  <c r="A3562" i="60"/>
  <c r="C3561" i="60"/>
  <c r="B3561" i="60"/>
  <c r="A3561" i="60"/>
  <c r="C3560" i="60"/>
  <c r="B3560" i="60"/>
  <c r="A3560" i="60"/>
  <c r="C3559" i="60"/>
  <c r="B3559" i="60"/>
  <c r="A3559" i="60"/>
  <c r="C3558" i="60"/>
  <c r="B3558" i="60"/>
  <c r="A3558" i="60"/>
  <c r="C3557" i="60"/>
  <c r="B3557" i="60"/>
  <c r="A3557" i="60"/>
  <c r="C3556" i="60"/>
  <c r="B3556" i="60"/>
  <c r="A3556" i="60"/>
  <c r="C3555" i="60"/>
  <c r="B3555" i="60"/>
  <c r="A3555" i="60"/>
  <c r="C3554" i="60"/>
  <c r="B3554" i="60"/>
  <c r="A3554" i="60"/>
  <c r="C3553" i="60"/>
  <c r="B3553" i="60"/>
  <c r="A3553" i="60"/>
  <c r="C3552" i="60"/>
  <c r="B3552" i="60"/>
  <c r="A3552" i="60"/>
  <c r="C3551" i="60"/>
  <c r="B3551" i="60"/>
  <c r="A3551" i="60"/>
  <c r="C3550" i="60"/>
  <c r="B3550" i="60"/>
  <c r="A3550" i="60"/>
  <c r="C3549" i="60"/>
  <c r="B3549" i="60"/>
  <c r="A3549" i="60"/>
  <c r="C3548" i="60"/>
  <c r="B3548" i="60"/>
  <c r="A3548" i="60"/>
  <c r="C3547" i="60"/>
  <c r="B3547" i="60"/>
  <c r="A3547" i="60"/>
  <c r="C3546" i="60"/>
  <c r="B3546" i="60"/>
  <c r="A3546" i="60"/>
  <c r="C3545" i="60"/>
  <c r="B3545" i="60"/>
  <c r="A3545" i="60"/>
  <c r="C3544" i="60"/>
  <c r="B3544" i="60"/>
  <c r="A3544" i="60"/>
  <c r="C3543" i="60"/>
  <c r="B3543" i="60"/>
  <c r="A3543" i="60"/>
  <c r="C3542" i="60"/>
  <c r="B3542" i="60"/>
  <c r="A3542" i="60"/>
  <c r="C3541" i="60"/>
  <c r="B3541" i="60"/>
  <c r="A3541" i="60"/>
  <c r="C3540" i="60"/>
  <c r="B3540" i="60"/>
  <c r="A3540" i="60"/>
  <c r="C3539" i="60"/>
  <c r="B3539" i="60"/>
  <c r="A3539" i="60"/>
  <c r="C3538" i="60"/>
  <c r="B3538" i="60"/>
  <c r="A3538" i="60"/>
  <c r="C3537" i="60"/>
  <c r="B3537" i="60"/>
  <c r="A3537" i="60"/>
  <c r="C3536" i="60"/>
  <c r="B3536" i="60"/>
  <c r="A3536" i="60"/>
  <c r="C3535" i="60"/>
  <c r="B3535" i="60"/>
  <c r="A3535" i="60"/>
  <c r="C3534" i="60"/>
  <c r="B3534" i="60"/>
  <c r="A3534" i="60"/>
  <c r="C3533" i="60"/>
  <c r="B3533" i="60"/>
  <c r="A3533" i="60"/>
  <c r="C3532" i="60"/>
  <c r="B3532" i="60"/>
  <c r="A3532" i="60"/>
  <c r="C3531" i="60"/>
  <c r="B3531" i="60"/>
  <c r="A3531" i="60"/>
  <c r="C3530" i="60"/>
  <c r="B3530" i="60"/>
  <c r="A3530" i="60"/>
  <c r="C3529" i="60"/>
  <c r="B3529" i="60"/>
  <c r="A3529" i="60"/>
  <c r="C3528" i="60"/>
  <c r="B3528" i="60"/>
  <c r="A3528" i="60"/>
  <c r="C3527" i="60"/>
  <c r="B3527" i="60"/>
  <c r="A3527" i="60"/>
  <c r="C3526" i="60"/>
  <c r="B3526" i="60"/>
  <c r="A3526" i="60"/>
  <c r="C3525" i="60"/>
  <c r="B3525" i="60"/>
  <c r="A3525" i="60"/>
  <c r="C3524" i="60"/>
  <c r="B3524" i="60"/>
  <c r="A3524" i="60"/>
  <c r="C3523" i="60"/>
  <c r="B3523" i="60"/>
  <c r="A3523" i="60"/>
  <c r="C3522" i="60"/>
  <c r="B3522" i="60"/>
  <c r="A3522" i="60"/>
  <c r="C3521" i="60"/>
  <c r="B3521" i="60"/>
  <c r="A3521" i="60"/>
  <c r="C3520" i="60"/>
  <c r="B3520" i="60"/>
  <c r="A3520" i="60"/>
  <c r="C3519" i="60"/>
  <c r="B3519" i="60"/>
  <c r="A3519" i="60"/>
  <c r="C3518" i="60"/>
  <c r="B3518" i="60"/>
  <c r="A3518" i="60"/>
  <c r="C3517" i="60"/>
  <c r="B3517" i="60"/>
  <c r="A3517" i="60"/>
  <c r="C3516" i="60"/>
  <c r="B3516" i="60"/>
  <c r="A3516" i="60"/>
  <c r="C3515" i="60"/>
  <c r="B3515" i="60"/>
  <c r="A3515" i="60"/>
  <c r="C3514" i="60"/>
  <c r="B3514" i="60"/>
  <c r="A3514" i="60"/>
  <c r="C3513" i="60"/>
  <c r="B3513" i="60"/>
  <c r="A3513" i="60"/>
  <c r="C3512" i="60"/>
  <c r="B3512" i="60"/>
  <c r="A3512" i="60"/>
  <c r="C3511" i="60"/>
  <c r="B3511" i="60"/>
  <c r="A3511" i="60"/>
  <c r="C3510" i="60"/>
  <c r="B3510" i="60"/>
  <c r="A3510" i="60"/>
  <c r="C3509" i="60"/>
  <c r="B3509" i="60"/>
  <c r="A3509" i="60"/>
  <c r="C3508" i="60"/>
  <c r="B3508" i="60"/>
  <c r="A3508" i="60"/>
  <c r="C3507" i="60"/>
  <c r="B3507" i="60"/>
  <c r="A3507" i="60"/>
  <c r="C3506" i="60"/>
  <c r="B3506" i="60"/>
  <c r="A3506" i="60"/>
  <c r="C3505" i="60"/>
  <c r="B3505" i="60"/>
  <c r="A3505" i="60"/>
  <c r="C3504" i="60"/>
  <c r="B3504" i="60"/>
  <c r="A3504" i="60"/>
  <c r="C3503" i="60"/>
  <c r="B3503" i="60"/>
  <c r="A3503" i="60"/>
  <c r="C3502" i="60"/>
  <c r="B3502" i="60"/>
  <c r="A3502" i="60"/>
  <c r="C3501" i="60"/>
  <c r="B3501" i="60"/>
  <c r="A3501" i="60"/>
  <c r="C3500" i="60"/>
  <c r="B3500" i="60"/>
  <c r="A3500" i="60"/>
  <c r="C3499" i="60"/>
  <c r="B3499" i="60"/>
  <c r="A3499" i="60"/>
  <c r="C3498" i="60"/>
  <c r="B3498" i="60"/>
  <c r="A3498" i="60"/>
  <c r="C3497" i="60"/>
  <c r="B3497" i="60"/>
  <c r="A3497" i="60"/>
  <c r="C3496" i="60"/>
  <c r="B3496" i="60"/>
  <c r="A3496" i="60"/>
  <c r="C3495" i="60"/>
  <c r="B3495" i="60"/>
  <c r="A3495" i="60"/>
  <c r="C3494" i="60"/>
  <c r="B3494" i="60"/>
  <c r="A3494" i="60"/>
  <c r="C3493" i="60"/>
  <c r="B3493" i="60"/>
  <c r="A3493" i="60"/>
  <c r="C3492" i="60"/>
  <c r="B3492" i="60"/>
  <c r="A3492" i="60"/>
  <c r="C3491" i="60"/>
  <c r="B3491" i="60"/>
  <c r="A3491" i="60"/>
  <c r="C3490" i="60"/>
  <c r="B3490" i="60"/>
  <c r="A3490" i="60"/>
  <c r="C3489" i="60"/>
  <c r="B3489" i="60"/>
  <c r="A3489" i="60"/>
  <c r="C3488" i="60"/>
  <c r="B3488" i="60"/>
  <c r="A3488" i="60"/>
  <c r="C3487" i="60"/>
  <c r="B3487" i="60"/>
  <c r="A3487" i="60"/>
  <c r="C3486" i="60"/>
  <c r="B3486" i="60"/>
  <c r="A3486" i="60"/>
  <c r="C3485" i="60"/>
  <c r="B3485" i="60"/>
  <c r="A3485" i="60"/>
  <c r="C3484" i="60"/>
  <c r="B3484" i="60"/>
  <c r="A3484" i="60"/>
  <c r="C3483" i="60"/>
  <c r="B3483" i="60"/>
  <c r="A3483" i="60"/>
  <c r="C3482" i="60"/>
  <c r="B3482" i="60"/>
  <c r="A3482" i="60"/>
  <c r="C3481" i="60"/>
  <c r="B3481" i="60"/>
  <c r="A3481" i="60"/>
  <c r="C3480" i="60"/>
  <c r="B3480" i="60"/>
  <c r="A3480" i="60"/>
  <c r="C3479" i="60"/>
  <c r="B3479" i="60"/>
  <c r="A3479" i="60"/>
  <c r="C3478" i="60"/>
  <c r="B3478" i="60"/>
  <c r="A3478" i="60"/>
  <c r="C3477" i="60"/>
  <c r="B3477" i="60"/>
  <c r="A3477" i="60"/>
  <c r="C3476" i="60"/>
  <c r="B3476" i="60"/>
  <c r="A3476" i="60"/>
  <c r="C3475" i="60"/>
  <c r="B3475" i="60"/>
  <c r="A3475" i="60"/>
  <c r="C3474" i="60"/>
  <c r="B3474" i="60"/>
  <c r="A3474" i="60"/>
  <c r="C3473" i="60"/>
  <c r="B3473" i="60"/>
  <c r="A3473" i="60"/>
  <c r="C3472" i="60"/>
  <c r="B3472" i="60"/>
  <c r="A3472" i="60"/>
  <c r="C3471" i="60"/>
  <c r="B3471" i="60"/>
  <c r="A3471" i="60"/>
  <c r="C3470" i="60"/>
  <c r="B3470" i="60"/>
  <c r="A3470" i="60"/>
  <c r="C3469" i="60"/>
  <c r="B3469" i="60"/>
  <c r="A3469" i="60"/>
  <c r="C3468" i="60"/>
  <c r="B3468" i="60"/>
  <c r="A3468" i="60"/>
  <c r="C3467" i="60"/>
  <c r="B3467" i="60"/>
  <c r="A3467" i="60"/>
  <c r="C3466" i="60"/>
  <c r="B3466" i="60"/>
  <c r="A3466" i="60"/>
  <c r="C3465" i="60"/>
  <c r="B3465" i="60"/>
  <c r="A3465" i="60"/>
  <c r="C3464" i="60"/>
  <c r="B3464" i="60"/>
  <c r="A3464" i="60"/>
  <c r="C3463" i="60"/>
  <c r="B3463" i="60"/>
  <c r="A3463" i="60"/>
  <c r="C3462" i="60"/>
  <c r="B3462" i="60"/>
  <c r="A3462" i="60"/>
  <c r="C3461" i="60"/>
  <c r="B3461" i="60"/>
  <c r="A3461" i="60"/>
  <c r="C3460" i="60"/>
  <c r="B3460" i="60"/>
  <c r="A3460" i="60"/>
  <c r="C3459" i="60"/>
  <c r="B3459" i="60"/>
  <c r="A3459" i="60"/>
  <c r="C3458" i="60"/>
  <c r="B3458" i="60"/>
  <c r="A3458" i="60"/>
  <c r="C3457" i="60"/>
  <c r="B3457" i="60"/>
  <c r="A3457" i="60"/>
  <c r="C3456" i="60"/>
  <c r="B3456" i="60"/>
  <c r="A3456" i="60"/>
  <c r="C3455" i="60"/>
  <c r="B3455" i="60"/>
  <c r="A3455" i="60"/>
  <c r="C3454" i="60"/>
  <c r="B3454" i="60"/>
  <c r="A3454" i="60"/>
  <c r="C3453" i="60"/>
  <c r="B3453" i="60"/>
  <c r="A3453" i="60"/>
  <c r="C3452" i="60"/>
  <c r="B3452" i="60"/>
  <c r="A3452" i="60"/>
  <c r="C3451" i="60"/>
  <c r="B3451" i="60"/>
  <c r="A3451" i="60"/>
  <c r="C3450" i="60"/>
  <c r="B3450" i="60"/>
  <c r="A3450" i="60"/>
  <c r="C3449" i="60"/>
  <c r="B3449" i="60"/>
  <c r="A3449" i="60"/>
  <c r="C3448" i="60"/>
  <c r="B3448" i="60"/>
  <c r="A3448" i="60"/>
  <c r="C3447" i="60"/>
  <c r="B3447" i="60"/>
  <c r="A3447" i="60"/>
  <c r="C3446" i="60"/>
  <c r="B3446" i="60"/>
  <c r="A3446" i="60"/>
  <c r="C3445" i="60"/>
  <c r="B3445" i="60"/>
  <c r="A3445" i="60"/>
  <c r="C3444" i="60"/>
  <c r="B3444" i="60"/>
  <c r="A3444" i="60"/>
  <c r="C3443" i="60"/>
  <c r="B3443" i="60"/>
  <c r="A3443" i="60"/>
  <c r="C3442" i="60"/>
  <c r="B3442" i="60"/>
  <c r="A3442" i="60"/>
  <c r="C3441" i="60"/>
  <c r="B3441" i="60"/>
  <c r="A3441" i="60"/>
  <c r="C3440" i="60"/>
  <c r="B3440" i="60"/>
  <c r="A3440" i="60"/>
  <c r="C3439" i="60"/>
  <c r="B3439" i="60"/>
  <c r="A3439" i="60"/>
  <c r="C3438" i="60"/>
  <c r="B3438" i="60"/>
  <c r="A3438" i="60"/>
  <c r="C3437" i="60"/>
  <c r="B3437" i="60"/>
  <c r="A3437" i="60"/>
  <c r="C3436" i="60"/>
  <c r="B3436" i="60"/>
  <c r="A3436" i="60"/>
  <c r="C3435" i="60"/>
  <c r="B3435" i="60"/>
  <c r="A3435" i="60"/>
  <c r="C3434" i="60"/>
  <c r="B3434" i="60"/>
  <c r="A3434" i="60"/>
  <c r="C3433" i="60"/>
  <c r="B3433" i="60"/>
  <c r="A3433" i="60"/>
  <c r="C3432" i="60"/>
  <c r="B3432" i="60"/>
  <c r="A3432" i="60"/>
  <c r="C3431" i="60"/>
  <c r="B3431" i="60"/>
  <c r="A3431" i="60"/>
  <c r="C3430" i="60"/>
  <c r="B3430" i="60"/>
  <c r="A3430" i="60"/>
  <c r="C3429" i="60"/>
  <c r="B3429" i="60"/>
  <c r="A3429" i="60"/>
  <c r="C3428" i="60"/>
  <c r="B3428" i="60"/>
  <c r="A3428" i="60"/>
  <c r="C3427" i="60"/>
  <c r="B3427" i="60"/>
  <c r="A3427" i="60"/>
  <c r="C3426" i="60"/>
  <c r="B3426" i="60"/>
  <c r="A3426" i="60"/>
  <c r="C3425" i="60"/>
  <c r="B3425" i="60"/>
  <c r="A3425" i="60"/>
  <c r="C3424" i="60"/>
  <c r="B3424" i="60"/>
  <c r="A3424" i="60"/>
  <c r="C3423" i="60"/>
  <c r="B3423" i="60"/>
  <c r="A3423" i="60"/>
  <c r="C3422" i="60"/>
  <c r="B3422" i="60"/>
  <c r="A3422" i="60"/>
  <c r="C3421" i="60"/>
  <c r="B3421" i="60"/>
  <c r="A3421" i="60"/>
  <c r="C3420" i="60"/>
  <c r="B3420" i="60"/>
  <c r="A3420" i="60"/>
  <c r="C3419" i="60"/>
  <c r="B3419" i="60"/>
  <c r="A3419" i="60"/>
  <c r="C3418" i="60"/>
  <c r="B3418" i="60"/>
  <c r="A3418" i="60"/>
  <c r="C3417" i="60"/>
  <c r="B3417" i="60"/>
  <c r="A3417" i="60"/>
  <c r="C3416" i="60"/>
  <c r="B3416" i="60"/>
  <c r="A3416" i="60"/>
  <c r="C3415" i="60"/>
  <c r="B3415" i="60"/>
  <c r="A3415" i="60"/>
  <c r="C3414" i="60"/>
  <c r="B3414" i="60"/>
  <c r="A3414" i="60"/>
  <c r="C3413" i="60"/>
  <c r="B3413" i="60"/>
  <c r="A3413" i="60"/>
  <c r="C3412" i="60"/>
  <c r="B3412" i="60"/>
  <c r="A3412" i="60"/>
  <c r="C3411" i="60"/>
  <c r="B3411" i="60"/>
  <c r="A3411" i="60"/>
  <c r="C3410" i="60"/>
  <c r="B3410" i="60"/>
  <c r="A3410" i="60"/>
  <c r="C3409" i="60"/>
  <c r="B3409" i="60"/>
  <c r="A3409" i="60"/>
  <c r="C3408" i="60"/>
  <c r="B3408" i="60"/>
  <c r="A3408" i="60"/>
  <c r="C3407" i="60"/>
  <c r="B3407" i="60"/>
  <c r="A3407" i="60"/>
  <c r="C3406" i="60"/>
  <c r="B3406" i="60"/>
  <c r="A3406" i="60"/>
  <c r="C3405" i="60"/>
  <c r="B3405" i="60"/>
  <c r="A3405" i="60"/>
  <c r="C3404" i="60"/>
  <c r="B3404" i="60"/>
  <c r="A3404" i="60"/>
  <c r="C3403" i="60"/>
  <c r="B3403" i="60"/>
  <c r="A3403" i="60"/>
  <c r="C3402" i="60"/>
  <c r="B3402" i="60"/>
  <c r="A3402" i="60"/>
  <c r="C3401" i="60"/>
  <c r="B3401" i="60"/>
  <c r="A3401" i="60"/>
  <c r="C3400" i="60"/>
  <c r="B3400" i="60"/>
  <c r="A3400" i="60"/>
  <c r="C3399" i="60"/>
  <c r="B3399" i="60"/>
  <c r="A3399" i="60"/>
  <c r="C3398" i="60"/>
  <c r="B3398" i="60"/>
  <c r="A3398" i="60"/>
  <c r="C3397" i="60"/>
  <c r="B3397" i="60"/>
  <c r="A3397" i="60"/>
  <c r="C3396" i="60"/>
  <c r="B3396" i="60"/>
  <c r="A3396" i="60"/>
  <c r="C3395" i="60"/>
  <c r="B3395" i="60"/>
  <c r="A3395" i="60"/>
  <c r="C3394" i="60"/>
  <c r="B3394" i="60"/>
  <c r="A3394" i="60"/>
  <c r="C3393" i="60"/>
  <c r="B3393" i="60"/>
  <c r="A3393" i="60"/>
  <c r="C3392" i="60"/>
  <c r="B3392" i="60"/>
  <c r="A3392" i="60"/>
  <c r="C3391" i="60"/>
  <c r="B3391" i="60"/>
  <c r="A3391" i="60"/>
  <c r="C3390" i="60"/>
  <c r="B3390" i="60"/>
  <c r="A3390" i="60"/>
  <c r="C3389" i="60"/>
  <c r="B3389" i="60"/>
  <c r="A3389" i="60"/>
  <c r="C3388" i="60"/>
  <c r="B3388" i="60"/>
  <c r="A3388" i="60"/>
  <c r="C3387" i="60"/>
  <c r="B3387" i="60"/>
  <c r="A3387" i="60"/>
  <c r="C3386" i="60"/>
  <c r="B3386" i="60"/>
  <c r="A3386" i="60"/>
  <c r="C3385" i="60"/>
  <c r="B3385" i="60"/>
  <c r="A3385" i="60"/>
  <c r="C3384" i="60"/>
  <c r="B3384" i="60"/>
  <c r="A3384" i="60"/>
  <c r="C3383" i="60"/>
  <c r="B3383" i="60"/>
  <c r="A3383" i="60"/>
  <c r="C3382" i="60"/>
  <c r="B3382" i="60"/>
  <c r="A3382" i="60"/>
  <c r="C3381" i="60"/>
  <c r="B3381" i="60"/>
  <c r="A3381" i="60"/>
  <c r="C3380" i="60"/>
  <c r="B3380" i="60"/>
  <c r="A3380" i="60"/>
  <c r="C3379" i="60"/>
  <c r="B3379" i="60"/>
  <c r="A3379" i="60"/>
  <c r="C3378" i="60"/>
  <c r="B3378" i="60"/>
  <c r="A3378" i="60"/>
  <c r="C3377" i="60"/>
  <c r="B3377" i="60"/>
  <c r="A3377" i="60"/>
  <c r="C3376" i="60"/>
  <c r="B3376" i="60"/>
  <c r="A3376" i="60"/>
  <c r="C3375" i="60"/>
  <c r="B3375" i="60"/>
  <c r="A3375" i="60"/>
  <c r="C3374" i="60"/>
  <c r="B3374" i="60"/>
  <c r="A3374" i="60"/>
  <c r="C3373" i="60"/>
  <c r="B3373" i="60"/>
  <c r="A3373" i="60"/>
  <c r="C3372" i="60"/>
  <c r="B3372" i="60"/>
  <c r="A3372" i="60"/>
  <c r="C3371" i="60"/>
  <c r="B3371" i="60"/>
  <c r="A3371" i="60"/>
  <c r="C3370" i="60"/>
  <c r="B3370" i="60"/>
  <c r="A3370" i="60"/>
  <c r="C3369" i="60"/>
  <c r="B3369" i="60"/>
  <c r="A3369" i="60"/>
  <c r="C3368" i="60"/>
  <c r="B3368" i="60"/>
  <c r="A3368" i="60"/>
  <c r="C3367" i="60"/>
  <c r="B3367" i="60"/>
  <c r="A3367" i="60"/>
  <c r="C3366" i="60"/>
  <c r="B3366" i="60"/>
  <c r="A3366" i="60"/>
  <c r="C3365" i="60"/>
  <c r="B3365" i="60"/>
  <c r="A3365" i="60"/>
  <c r="C3364" i="60"/>
  <c r="B3364" i="60"/>
  <c r="A3364" i="60"/>
  <c r="C3363" i="60"/>
  <c r="B3363" i="60"/>
  <c r="A3363" i="60"/>
  <c r="C3362" i="60"/>
  <c r="B3362" i="60"/>
  <c r="A3362" i="60"/>
  <c r="C3361" i="60"/>
  <c r="B3361" i="60"/>
  <c r="A3361" i="60"/>
  <c r="C3360" i="60"/>
  <c r="B3360" i="60"/>
  <c r="A3360" i="60"/>
  <c r="C3359" i="60"/>
  <c r="B3359" i="60"/>
  <c r="A3359" i="60"/>
  <c r="C3358" i="60"/>
  <c r="B3358" i="60"/>
  <c r="A3358" i="60"/>
  <c r="C3357" i="60"/>
  <c r="B3357" i="60"/>
  <c r="A3357" i="60"/>
  <c r="C3356" i="60"/>
  <c r="B3356" i="60"/>
  <c r="A3356" i="60"/>
  <c r="C3355" i="60"/>
  <c r="B3355" i="60"/>
  <c r="A3355" i="60"/>
  <c r="C3354" i="60"/>
  <c r="B3354" i="60"/>
  <c r="A3354" i="60"/>
  <c r="C3353" i="60"/>
  <c r="B3353" i="60"/>
  <c r="A3353" i="60"/>
  <c r="C3352" i="60"/>
  <c r="B3352" i="60"/>
  <c r="A3352" i="60"/>
  <c r="C3351" i="60"/>
  <c r="B3351" i="60"/>
  <c r="A3351" i="60"/>
  <c r="C3350" i="60"/>
  <c r="B3350" i="60"/>
  <c r="A3350" i="60"/>
  <c r="C3349" i="60"/>
  <c r="B3349" i="60"/>
  <c r="A3349" i="60"/>
  <c r="C3348" i="60"/>
  <c r="B3348" i="60"/>
  <c r="A3348" i="60"/>
  <c r="C3347" i="60"/>
  <c r="B3347" i="60"/>
  <c r="A3347" i="60"/>
  <c r="C3346" i="60"/>
  <c r="B3346" i="60"/>
  <c r="A3346" i="60"/>
  <c r="C3345" i="60"/>
  <c r="B3345" i="60"/>
  <c r="A3345" i="60"/>
  <c r="C3344" i="60"/>
  <c r="B3344" i="60"/>
  <c r="A3344" i="60"/>
  <c r="C3343" i="60"/>
  <c r="B3343" i="60"/>
  <c r="A3343" i="60"/>
  <c r="C3342" i="60"/>
  <c r="B3342" i="60"/>
  <c r="A3342" i="60"/>
  <c r="C3341" i="60"/>
  <c r="B3341" i="60"/>
  <c r="A3341" i="60"/>
  <c r="C3340" i="60"/>
  <c r="B3340" i="60"/>
  <c r="A3340" i="60"/>
  <c r="C3339" i="60"/>
  <c r="B3339" i="60"/>
  <c r="A3339" i="60"/>
  <c r="C3338" i="60"/>
  <c r="B3338" i="60"/>
  <c r="A3338" i="60"/>
  <c r="C3337" i="60"/>
  <c r="B3337" i="60"/>
  <c r="A3337" i="60"/>
  <c r="C3336" i="60"/>
  <c r="B3336" i="60"/>
  <c r="A3336" i="60"/>
  <c r="C3335" i="60"/>
  <c r="B3335" i="60"/>
  <c r="A3335" i="60"/>
  <c r="C3334" i="60"/>
  <c r="B3334" i="60"/>
  <c r="A3334" i="60"/>
  <c r="C3333" i="60"/>
  <c r="B3333" i="60"/>
  <c r="A3333" i="60"/>
  <c r="C3332" i="60"/>
  <c r="B3332" i="60"/>
  <c r="A3332" i="60"/>
  <c r="C3331" i="60"/>
  <c r="B3331" i="60"/>
  <c r="A3331" i="60"/>
  <c r="C3330" i="60"/>
  <c r="B3330" i="60"/>
  <c r="A3330" i="60"/>
  <c r="C3329" i="60"/>
  <c r="B3329" i="60"/>
  <c r="A3329" i="60"/>
  <c r="C3328" i="60"/>
  <c r="B3328" i="60"/>
  <c r="A3328" i="60"/>
  <c r="C3327" i="60"/>
  <c r="B3327" i="60"/>
  <c r="A3327" i="60"/>
  <c r="C3326" i="60"/>
  <c r="B3326" i="60"/>
  <c r="A3326" i="60"/>
  <c r="C3325" i="60"/>
  <c r="B3325" i="60"/>
  <c r="A3325" i="60"/>
  <c r="C3324" i="60"/>
  <c r="B3324" i="60"/>
  <c r="A3324" i="60"/>
  <c r="C3323" i="60"/>
  <c r="B3323" i="60"/>
  <c r="A3323" i="60"/>
  <c r="C3322" i="60"/>
  <c r="B3322" i="60"/>
  <c r="A3322" i="60"/>
  <c r="C3321" i="60"/>
  <c r="B3321" i="60"/>
  <c r="A3321" i="60"/>
  <c r="C3320" i="60"/>
  <c r="B3320" i="60"/>
  <c r="A3320" i="60"/>
  <c r="C3319" i="60"/>
  <c r="B3319" i="60"/>
  <c r="A3319" i="60"/>
  <c r="C3318" i="60"/>
  <c r="B3318" i="60"/>
  <c r="A3318" i="60"/>
  <c r="C3317" i="60"/>
  <c r="B3317" i="60"/>
  <c r="A3317" i="60"/>
  <c r="C3316" i="60"/>
  <c r="B3316" i="60"/>
  <c r="A3316" i="60"/>
  <c r="C3315" i="60"/>
  <c r="B3315" i="60"/>
  <c r="A3315" i="60"/>
  <c r="C3314" i="60"/>
  <c r="B3314" i="60"/>
  <c r="A3314" i="60"/>
  <c r="C3313" i="60"/>
  <c r="B3313" i="60"/>
  <c r="A3313" i="60"/>
  <c r="C3312" i="60"/>
  <c r="B3312" i="60"/>
  <c r="A3312" i="60"/>
  <c r="C3311" i="60"/>
  <c r="B3311" i="60"/>
  <c r="A3311" i="60"/>
  <c r="C3310" i="60"/>
  <c r="B3310" i="60"/>
  <c r="A3310" i="60"/>
  <c r="C3309" i="60"/>
  <c r="B3309" i="60"/>
  <c r="A3309" i="60"/>
  <c r="C3308" i="60"/>
  <c r="B3308" i="60"/>
  <c r="A3308" i="60"/>
  <c r="C3307" i="60"/>
  <c r="B3307" i="60"/>
  <c r="A3307" i="60"/>
  <c r="C3306" i="60"/>
  <c r="B3306" i="60"/>
  <c r="A3306" i="60"/>
  <c r="C3305" i="60"/>
  <c r="B3305" i="60"/>
  <c r="A3305" i="60"/>
  <c r="C3304" i="60"/>
  <c r="B3304" i="60"/>
  <c r="A3304" i="60"/>
  <c r="C3303" i="60"/>
  <c r="B3303" i="60"/>
  <c r="A3303" i="60"/>
  <c r="C3302" i="60"/>
  <c r="B3302" i="60"/>
  <c r="A3302" i="60"/>
  <c r="C3301" i="60"/>
  <c r="B3301" i="60"/>
  <c r="A3301" i="60"/>
  <c r="C3300" i="60"/>
  <c r="B3300" i="60"/>
  <c r="A3300" i="60"/>
  <c r="C3299" i="60"/>
  <c r="B3299" i="60"/>
  <c r="A3299" i="60"/>
  <c r="C3298" i="60"/>
  <c r="B3298" i="60"/>
  <c r="A3298" i="60"/>
  <c r="C3297" i="60"/>
  <c r="B3297" i="60"/>
  <c r="A3297" i="60"/>
  <c r="C3296" i="60"/>
  <c r="B3296" i="60"/>
  <c r="A3296" i="60"/>
  <c r="C3295" i="60"/>
  <c r="B3295" i="60"/>
  <c r="A3295" i="60"/>
  <c r="C3294" i="60"/>
  <c r="B3294" i="60"/>
  <c r="A3294" i="60"/>
  <c r="C3293" i="60"/>
  <c r="B3293" i="60"/>
  <c r="A3293" i="60"/>
  <c r="C3292" i="60"/>
  <c r="B3292" i="60"/>
  <c r="A3292" i="60"/>
  <c r="C3291" i="60"/>
  <c r="B3291" i="60"/>
  <c r="A3291" i="60"/>
  <c r="C3290" i="60"/>
  <c r="B3290" i="60"/>
  <c r="A3290" i="60"/>
  <c r="C3289" i="60"/>
  <c r="B3289" i="60"/>
  <c r="A3289" i="60"/>
  <c r="C3288" i="60"/>
  <c r="B3288" i="60"/>
  <c r="A3288" i="60"/>
  <c r="C3287" i="60"/>
  <c r="B3287" i="60"/>
  <c r="A3287" i="60"/>
  <c r="C3286" i="60"/>
  <c r="B3286" i="60"/>
  <c r="A3286" i="60"/>
  <c r="C3285" i="60"/>
  <c r="B3285" i="60"/>
  <c r="A3285" i="60"/>
  <c r="C3284" i="60"/>
  <c r="B3284" i="60"/>
  <c r="A3284" i="60"/>
  <c r="C3283" i="60"/>
  <c r="B3283" i="60"/>
  <c r="A3283" i="60"/>
  <c r="C3282" i="60"/>
  <c r="B3282" i="60"/>
  <c r="A3282" i="60"/>
  <c r="C3281" i="60"/>
  <c r="B3281" i="60"/>
  <c r="A3281" i="60"/>
  <c r="C3280" i="60"/>
  <c r="B3280" i="60"/>
  <c r="A3280" i="60"/>
  <c r="C3279" i="60"/>
  <c r="B3279" i="60"/>
  <c r="A3279" i="60"/>
  <c r="C3278" i="60"/>
  <c r="B3278" i="60"/>
  <c r="A3278" i="60"/>
  <c r="C3277" i="60"/>
  <c r="B3277" i="60"/>
  <c r="A3277" i="60"/>
  <c r="C3276" i="60"/>
  <c r="B3276" i="60"/>
  <c r="A3276" i="60"/>
  <c r="C3275" i="60"/>
  <c r="B3275" i="60"/>
  <c r="A3275" i="60"/>
  <c r="C3274" i="60"/>
  <c r="B3274" i="60"/>
  <c r="A3274" i="60"/>
  <c r="C3273" i="60"/>
  <c r="B3273" i="60"/>
  <c r="A3273" i="60"/>
  <c r="C3272" i="60"/>
  <c r="B3272" i="60"/>
  <c r="A3272" i="60"/>
  <c r="C3271" i="60"/>
  <c r="B3271" i="60"/>
  <c r="A3271" i="60"/>
  <c r="C3270" i="60"/>
  <c r="B3270" i="60"/>
  <c r="A3270" i="60"/>
  <c r="C3269" i="60"/>
  <c r="B3269" i="60"/>
  <c r="A3269" i="60"/>
  <c r="C3268" i="60"/>
  <c r="B3268" i="60"/>
  <c r="A3268" i="60"/>
  <c r="C3267" i="60"/>
  <c r="B3267" i="60"/>
  <c r="A3267" i="60"/>
  <c r="C3266" i="60"/>
  <c r="B3266" i="60"/>
  <c r="A3266" i="60"/>
  <c r="C3265" i="60"/>
  <c r="B3265" i="60"/>
  <c r="A3265" i="60"/>
  <c r="C3264" i="60"/>
  <c r="B3264" i="60"/>
  <c r="A3264" i="60"/>
  <c r="C3263" i="60"/>
  <c r="B3263" i="60"/>
  <c r="A3263" i="60"/>
  <c r="C3262" i="60"/>
  <c r="B3262" i="60"/>
  <c r="A3262" i="60"/>
  <c r="C3261" i="60"/>
  <c r="B3261" i="60"/>
  <c r="A3261" i="60"/>
  <c r="C3260" i="60"/>
  <c r="B3260" i="60"/>
  <c r="A3260" i="60"/>
  <c r="C3259" i="60"/>
  <c r="B3259" i="60"/>
  <c r="A3259" i="60"/>
  <c r="C3258" i="60"/>
  <c r="B3258" i="60"/>
  <c r="A3258" i="60"/>
  <c r="C3257" i="60"/>
  <c r="B3257" i="60"/>
  <c r="A3257" i="60"/>
  <c r="C3256" i="60"/>
  <c r="B3256" i="60"/>
  <c r="A3256" i="60"/>
  <c r="C3255" i="60"/>
  <c r="B3255" i="60"/>
  <c r="A3255" i="60"/>
  <c r="C3254" i="60"/>
  <c r="B3254" i="60"/>
  <c r="A3254" i="60"/>
  <c r="C3253" i="60"/>
  <c r="B3253" i="60"/>
  <c r="A3253" i="60"/>
  <c r="C3252" i="60"/>
  <c r="B3252" i="60"/>
  <c r="A3252" i="60"/>
  <c r="C3251" i="60"/>
  <c r="B3251" i="60"/>
  <c r="A3251" i="60"/>
  <c r="C3250" i="60"/>
  <c r="B3250" i="60"/>
  <c r="A3250" i="60"/>
  <c r="C3249" i="60"/>
  <c r="B3249" i="60"/>
  <c r="A3249" i="60"/>
  <c r="C3248" i="60"/>
  <c r="B3248" i="60"/>
  <c r="A3248" i="60"/>
  <c r="C3247" i="60"/>
  <c r="B3247" i="60"/>
  <c r="A3247" i="60"/>
  <c r="C3246" i="60"/>
  <c r="B3246" i="60"/>
  <c r="A3246" i="60"/>
  <c r="C3245" i="60"/>
  <c r="B3245" i="60"/>
  <c r="A3245" i="60"/>
  <c r="C3244" i="60"/>
  <c r="B3244" i="60"/>
  <c r="A3244" i="60"/>
  <c r="C3243" i="60"/>
  <c r="B3243" i="60"/>
  <c r="A3243" i="60"/>
  <c r="C3242" i="60"/>
  <c r="B3242" i="60"/>
  <c r="A3242" i="60"/>
  <c r="C3241" i="60"/>
  <c r="B3241" i="60"/>
  <c r="A3241" i="60"/>
  <c r="C3240" i="60"/>
  <c r="B3240" i="60"/>
  <c r="A3240" i="60"/>
  <c r="C3239" i="60"/>
  <c r="B3239" i="60"/>
  <c r="A3239" i="60"/>
  <c r="C3238" i="60"/>
  <c r="B3238" i="60"/>
  <c r="A3238" i="60"/>
  <c r="C3237" i="60"/>
  <c r="B3237" i="60"/>
  <c r="A3237" i="60"/>
  <c r="C3236" i="60"/>
  <c r="B3236" i="60"/>
  <c r="A3236" i="60"/>
  <c r="C3235" i="60"/>
  <c r="B3235" i="60"/>
  <c r="A3235" i="60"/>
  <c r="C3234" i="60"/>
  <c r="B3234" i="60"/>
  <c r="A3234" i="60"/>
  <c r="C3233" i="60"/>
  <c r="B3233" i="60"/>
  <c r="A3233" i="60"/>
  <c r="C3232" i="60"/>
  <c r="B3232" i="60"/>
  <c r="A3232" i="60"/>
  <c r="C3231" i="60"/>
  <c r="B3231" i="60"/>
  <c r="A3231" i="60"/>
  <c r="C3230" i="60"/>
  <c r="B3230" i="60"/>
  <c r="A3230" i="60"/>
  <c r="C3229" i="60"/>
  <c r="B3229" i="60"/>
  <c r="A3229" i="60"/>
  <c r="C3228" i="60"/>
  <c r="B3228" i="60"/>
  <c r="A3228" i="60"/>
  <c r="C3227" i="60"/>
  <c r="B3227" i="60"/>
  <c r="A3227" i="60"/>
  <c r="C3226" i="60"/>
  <c r="B3226" i="60"/>
  <c r="A3226" i="60"/>
  <c r="C3225" i="60"/>
  <c r="B3225" i="60"/>
  <c r="A3225" i="60"/>
  <c r="C3224" i="60"/>
  <c r="B3224" i="60"/>
  <c r="A3224" i="60"/>
  <c r="C3223" i="60"/>
  <c r="B3223" i="60"/>
  <c r="A3223" i="60"/>
  <c r="C3222" i="60"/>
  <c r="B3222" i="60"/>
  <c r="A3222" i="60"/>
  <c r="C3221" i="60"/>
  <c r="B3221" i="60"/>
  <c r="A3221" i="60"/>
  <c r="C3220" i="60"/>
  <c r="B3220" i="60"/>
  <c r="A3220" i="60"/>
  <c r="C3219" i="60"/>
  <c r="B3219" i="60"/>
  <c r="A3219" i="60"/>
  <c r="C3218" i="60"/>
  <c r="B3218" i="60"/>
  <c r="A3218" i="60"/>
  <c r="C3217" i="60"/>
  <c r="B3217" i="60"/>
  <c r="A3217" i="60"/>
  <c r="C3216" i="60"/>
  <c r="B3216" i="60"/>
  <c r="A3216" i="60"/>
  <c r="C3215" i="60"/>
  <c r="B3215" i="60"/>
  <c r="A3215" i="60"/>
  <c r="C3214" i="60"/>
  <c r="B3214" i="60"/>
  <c r="A3214" i="60"/>
  <c r="C3213" i="60"/>
  <c r="B3213" i="60"/>
  <c r="A3213" i="60"/>
  <c r="C3212" i="60"/>
  <c r="B3212" i="60"/>
  <c r="A3212" i="60"/>
  <c r="C3211" i="60"/>
  <c r="B3211" i="60"/>
  <c r="A3211" i="60"/>
  <c r="C3210" i="60"/>
  <c r="B3210" i="60"/>
  <c r="A3210" i="60"/>
  <c r="C3209" i="60"/>
  <c r="B3209" i="60"/>
  <c r="A3209" i="60"/>
  <c r="C3208" i="60"/>
  <c r="B3208" i="60"/>
  <c r="A3208" i="60"/>
  <c r="C3207" i="60"/>
  <c r="B3207" i="60"/>
  <c r="A3207" i="60"/>
  <c r="C3206" i="60"/>
  <c r="B3206" i="60"/>
  <c r="A3206" i="60"/>
  <c r="C3205" i="60"/>
  <c r="B3205" i="60"/>
  <c r="A3205" i="60"/>
  <c r="C3204" i="60"/>
  <c r="B3204" i="60"/>
  <c r="A3204" i="60"/>
  <c r="C3203" i="60"/>
  <c r="B3203" i="60"/>
  <c r="A3203" i="60"/>
  <c r="C3202" i="60"/>
  <c r="B3202" i="60"/>
  <c r="A3202" i="60"/>
  <c r="C3201" i="60"/>
  <c r="B3201" i="60"/>
  <c r="A3201" i="60"/>
  <c r="C3200" i="60"/>
  <c r="B3200" i="60"/>
  <c r="A3200" i="60"/>
  <c r="C3199" i="60"/>
  <c r="B3199" i="60"/>
  <c r="A3199" i="60"/>
  <c r="C3198" i="60"/>
  <c r="B3198" i="60"/>
  <c r="A3198" i="60"/>
  <c r="C3197" i="60"/>
  <c r="B3197" i="60"/>
  <c r="A3197" i="60"/>
  <c r="C3196" i="60"/>
  <c r="B3196" i="60"/>
  <c r="A3196" i="60"/>
  <c r="C3195" i="60"/>
  <c r="B3195" i="60"/>
  <c r="A3195" i="60"/>
  <c r="C3194" i="60"/>
  <c r="B3194" i="60"/>
  <c r="A3194" i="60"/>
  <c r="C3193" i="60"/>
  <c r="B3193" i="60"/>
  <c r="A3193" i="60"/>
  <c r="C3192" i="60"/>
  <c r="B3192" i="60"/>
  <c r="A3192" i="60"/>
  <c r="C3191" i="60"/>
  <c r="B3191" i="60"/>
  <c r="A3191" i="60"/>
  <c r="C3190" i="60"/>
  <c r="B3190" i="60"/>
  <c r="A3190" i="60"/>
  <c r="C3189" i="60"/>
  <c r="B3189" i="60"/>
  <c r="A3189" i="60"/>
  <c r="C3188" i="60"/>
  <c r="B3188" i="60"/>
  <c r="A3188" i="60"/>
  <c r="C3187" i="60"/>
  <c r="B3187" i="60"/>
  <c r="A3187" i="60"/>
  <c r="C3186" i="60"/>
  <c r="B3186" i="60"/>
  <c r="A3186" i="60"/>
  <c r="C3185" i="60"/>
  <c r="B3185" i="60"/>
  <c r="A3185" i="60"/>
  <c r="C3184" i="60"/>
  <c r="B3184" i="60"/>
  <c r="A3184" i="60"/>
  <c r="C3183" i="60"/>
  <c r="B3183" i="60"/>
  <c r="A3183" i="60"/>
  <c r="C3182" i="60"/>
  <c r="B3182" i="60"/>
  <c r="A3182" i="60"/>
  <c r="C3181" i="60"/>
  <c r="B3181" i="60"/>
  <c r="A3181" i="60"/>
  <c r="C3180" i="60"/>
  <c r="B3180" i="60"/>
  <c r="A3180" i="60"/>
  <c r="C3179" i="60"/>
  <c r="B3179" i="60"/>
  <c r="A3179" i="60"/>
  <c r="C3178" i="60"/>
  <c r="B3178" i="60"/>
  <c r="A3178" i="60"/>
  <c r="C3177" i="60"/>
  <c r="B3177" i="60"/>
  <c r="A3177" i="60"/>
  <c r="C3176" i="60"/>
  <c r="B3176" i="60"/>
  <c r="A3176" i="60"/>
  <c r="C3175" i="60"/>
  <c r="B3175" i="60"/>
  <c r="A3175" i="60"/>
  <c r="C3174" i="60"/>
  <c r="B3174" i="60"/>
  <c r="A3174" i="60"/>
  <c r="C3173" i="60"/>
  <c r="B3173" i="60"/>
  <c r="A3173" i="60"/>
  <c r="C3172" i="60"/>
  <c r="B3172" i="60"/>
  <c r="A3172" i="60"/>
  <c r="C3171" i="60"/>
  <c r="B3171" i="60"/>
  <c r="A3171" i="60"/>
  <c r="C3170" i="60"/>
  <c r="B3170" i="60"/>
  <c r="A3170" i="60"/>
  <c r="C3169" i="60"/>
  <c r="B3169" i="60"/>
  <c r="A3169" i="60"/>
  <c r="C3168" i="60"/>
  <c r="B3168" i="60"/>
  <c r="A3168" i="60"/>
  <c r="C3167" i="60"/>
  <c r="B3167" i="60"/>
  <c r="A3167" i="60"/>
  <c r="C3166" i="60"/>
  <c r="B3166" i="60"/>
  <c r="A3166" i="60"/>
  <c r="C3165" i="60"/>
  <c r="B3165" i="60"/>
  <c r="A3165" i="60"/>
  <c r="C3164" i="60"/>
  <c r="B3164" i="60"/>
  <c r="A3164" i="60"/>
  <c r="C3163" i="60"/>
  <c r="B3163" i="60"/>
  <c r="A3163" i="60"/>
  <c r="C3162" i="60"/>
  <c r="B3162" i="60"/>
  <c r="A3162" i="60"/>
  <c r="C3161" i="60"/>
  <c r="B3161" i="60"/>
  <c r="A3161" i="60"/>
  <c r="C3160" i="60"/>
  <c r="B3160" i="60"/>
  <c r="A3160" i="60"/>
  <c r="C3159" i="60"/>
  <c r="B3159" i="60"/>
  <c r="A3159" i="60"/>
  <c r="C3158" i="60"/>
  <c r="B3158" i="60"/>
  <c r="A3158" i="60"/>
  <c r="C3157" i="60"/>
  <c r="B3157" i="60"/>
  <c r="A3157" i="60"/>
  <c r="C3156" i="60"/>
  <c r="B3156" i="60"/>
  <c r="A3156" i="60"/>
  <c r="C3155" i="60"/>
  <c r="B3155" i="60"/>
  <c r="A3155" i="60"/>
  <c r="C3154" i="60"/>
  <c r="B3154" i="60"/>
  <c r="A3154" i="60"/>
  <c r="C3153" i="60"/>
  <c r="B3153" i="60"/>
  <c r="A3153" i="60"/>
  <c r="C3152" i="60"/>
  <c r="B3152" i="60"/>
  <c r="A3152" i="60"/>
  <c r="C3151" i="60"/>
  <c r="B3151" i="60"/>
  <c r="A3151" i="60"/>
  <c r="C3150" i="60"/>
  <c r="B3150" i="60"/>
  <c r="A3150" i="60"/>
  <c r="C3149" i="60"/>
  <c r="B3149" i="60"/>
  <c r="A3149" i="60"/>
  <c r="C3148" i="60"/>
  <c r="B3148" i="60"/>
  <c r="A3148" i="60"/>
  <c r="C3147" i="60"/>
  <c r="B3147" i="60"/>
  <c r="A3147" i="60"/>
  <c r="C3146" i="60"/>
  <c r="B3146" i="60"/>
  <c r="A3146" i="60"/>
  <c r="C3145" i="60"/>
  <c r="B3145" i="60"/>
  <c r="A3145" i="60"/>
  <c r="C3144" i="60"/>
  <c r="B3144" i="60"/>
  <c r="A3144" i="60"/>
  <c r="C3143" i="60"/>
  <c r="B3143" i="60"/>
  <c r="A3143" i="60"/>
  <c r="C3142" i="60"/>
  <c r="B3142" i="60"/>
  <c r="A3142" i="60"/>
  <c r="C3141" i="60"/>
  <c r="B3141" i="60"/>
  <c r="A3141" i="60"/>
  <c r="C3140" i="60"/>
  <c r="B3140" i="60"/>
  <c r="A3140" i="60"/>
  <c r="C3139" i="60"/>
  <c r="B3139" i="60"/>
  <c r="A3139" i="60"/>
  <c r="C3138" i="60"/>
  <c r="B3138" i="60"/>
  <c r="A3138" i="60"/>
  <c r="C3137" i="60"/>
  <c r="B3137" i="60"/>
  <c r="A3137" i="60"/>
  <c r="C3136" i="60"/>
  <c r="B3136" i="60"/>
  <c r="A3136" i="60"/>
  <c r="C3135" i="60"/>
  <c r="B3135" i="60"/>
  <c r="A3135" i="60"/>
  <c r="C3134" i="60"/>
  <c r="B3134" i="60"/>
  <c r="A3134" i="60"/>
  <c r="C3133" i="60"/>
  <c r="B3133" i="60"/>
  <c r="A3133" i="60"/>
  <c r="C3132" i="60"/>
  <c r="B3132" i="60"/>
  <c r="A3132" i="60"/>
  <c r="C3131" i="60"/>
  <c r="B3131" i="60"/>
  <c r="A3131" i="60"/>
  <c r="C3130" i="60"/>
  <c r="B3130" i="60"/>
  <c r="A3130" i="60"/>
  <c r="C3129" i="60"/>
  <c r="B3129" i="60"/>
  <c r="A3129" i="60"/>
  <c r="C3128" i="60"/>
  <c r="B3128" i="60"/>
  <c r="A3128" i="60"/>
  <c r="C3127" i="60"/>
  <c r="B3127" i="60"/>
  <c r="A3127" i="60"/>
  <c r="C3126" i="60"/>
  <c r="B3126" i="60"/>
  <c r="A3126" i="60"/>
  <c r="C3125" i="60"/>
  <c r="B3125" i="60"/>
  <c r="A3125" i="60"/>
  <c r="C3124" i="60"/>
  <c r="B3124" i="60"/>
  <c r="A3124" i="60"/>
  <c r="C3123" i="60"/>
  <c r="B3123" i="60"/>
  <c r="A3123" i="60"/>
  <c r="C3122" i="60"/>
  <c r="B3122" i="60"/>
  <c r="A3122" i="60"/>
  <c r="C3121" i="60"/>
  <c r="B3121" i="60"/>
  <c r="A3121" i="60"/>
  <c r="C3120" i="60"/>
  <c r="B3120" i="60"/>
  <c r="A3120" i="60"/>
  <c r="C3119" i="60"/>
  <c r="B3119" i="60"/>
  <c r="A3119" i="60"/>
  <c r="C3118" i="60"/>
  <c r="B3118" i="60"/>
  <c r="A3118" i="60"/>
  <c r="C3117" i="60"/>
  <c r="B3117" i="60"/>
  <c r="A3117" i="60"/>
  <c r="C3116" i="60"/>
  <c r="B3116" i="60"/>
  <c r="A3116" i="60"/>
  <c r="C3115" i="60"/>
  <c r="B3115" i="60"/>
  <c r="A3115" i="60"/>
  <c r="C3114" i="60"/>
  <c r="B3114" i="60"/>
  <c r="A3114" i="60"/>
  <c r="C3113" i="60"/>
  <c r="B3113" i="60"/>
  <c r="A3113" i="60"/>
  <c r="C3112" i="60"/>
  <c r="B3112" i="60"/>
  <c r="A3112" i="60"/>
  <c r="C3111" i="60"/>
  <c r="B3111" i="60"/>
  <c r="A3111" i="60"/>
  <c r="C3110" i="60"/>
  <c r="B3110" i="60"/>
  <c r="A3110" i="60"/>
  <c r="C3109" i="60"/>
  <c r="B3109" i="60"/>
  <c r="A3109" i="60"/>
  <c r="C3108" i="60"/>
  <c r="B3108" i="60"/>
  <c r="A3108" i="60"/>
  <c r="C3107" i="60"/>
  <c r="B3107" i="60"/>
  <c r="A3107" i="60"/>
  <c r="C3106" i="60"/>
  <c r="B3106" i="60"/>
  <c r="A3106" i="60"/>
  <c r="C3105" i="60"/>
  <c r="B3105" i="60"/>
  <c r="A3105" i="60"/>
  <c r="C3104" i="60"/>
  <c r="B3104" i="60"/>
  <c r="A3104" i="60"/>
  <c r="C3103" i="60"/>
  <c r="B3103" i="60"/>
  <c r="A3103" i="60"/>
  <c r="C3102" i="60"/>
  <c r="B3102" i="60"/>
  <c r="A3102" i="60"/>
  <c r="C3101" i="60"/>
  <c r="B3101" i="60"/>
  <c r="A3101" i="60"/>
  <c r="C3100" i="60"/>
  <c r="B3100" i="60"/>
  <c r="A3100" i="60"/>
  <c r="C3099" i="60"/>
  <c r="B3099" i="60"/>
  <c r="A3099" i="60"/>
  <c r="C3098" i="60"/>
  <c r="B3098" i="60"/>
  <c r="A3098" i="60"/>
  <c r="C3097" i="60"/>
  <c r="B3097" i="60"/>
  <c r="A3097" i="60"/>
  <c r="C3096" i="60"/>
  <c r="B3096" i="60"/>
  <c r="A3096" i="60"/>
  <c r="C3095" i="60"/>
  <c r="B3095" i="60"/>
  <c r="A3095" i="60"/>
  <c r="C3094" i="60"/>
  <c r="B3094" i="60"/>
  <c r="A3094" i="60"/>
  <c r="C3093" i="60"/>
  <c r="B3093" i="60"/>
  <c r="A3093" i="60"/>
  <c r="C3092" i="60"/>
  <c r="B3092" i="60"/>
  <c r="A3092" i="60"/>
  <c r="C3091" i="60"/>
  <c r="B3091" i="60"/>
  <c r="A3091" i="60"/>
  <c r="C3090" i="60"/>
  <c r="B3090" i="60"/>
  <c r="A3090" i="60"/>
  <c r="C3089" i="60"/>
  <c r="B3089" i="60"/>
  <c r="A3089" i="60"/>
  <c r="C3088" i="60"/>
  <c r="B3088" i="60"/>
  <c r="A3088" i="60"/>
  <c r="C3087" i="60"/>
  <c r="B3087" i="60"/>
  <c r="A3087" i="60"/>
  <c r="C3086" i="60"/>
  <c r="B3086" i="60"/>
  <c r="A3086" i="60"/>
  <c r="C3085" i="60"/>
  <c r="B3085" i="60"/>
  <c r="A3085" i="60"/>
  <c r="C3084" i="60"/>
  <c r="B3084" i="60"/>
  <c r="A3084" i="60"/>
  <c r="C3083" i="60"/>
  <c r="B3083" i="60"/>
  <c r="A3083" i="60"/>
  <c r="C3082" i="60"/>
  <c r="B3082" i="60"/>
  <c r="A3082" i="60"/>
  <c r="C3081" i="60"/>
  <c r="B3081" i="60"/>
  <c r="A3081" i="60"/>
  <c r="C3080" i="60"/>
  <c r="B3080" i="60"/>
  <c r="A3080" i="60"/>
  <c r="C3079" i="60"/>
  <c r="B3079" i="60"/>
  <c r="A3079" i="60"/>
  <c r="C3078" i="60"/>
  <c r="B3078" i="60"/>
  <c r="A3078" i="60"/>
  <c r="C3077" i="60"/>
  <c r="B3077" i="60"/>
  <c r="A3077" i="60"/>
  <c r="C3076" i="60"/>
  <c r="B3076" i="60"/>
  <c r="A3076" i="60"/>
  <c r="C3075" i="60"/>
  <c r="B3075" i="60"/>
  <c r="A3075" i="60"/>
  <c r="C3074" i="60"/>
  <c r="B3074" i="60"/>
  <c r="A3074" i="60"/>
  <c r="C3073" i="60"/>
  <c r="B3073" i="60"/>
  <c r="A3073" i="60"/>
  <c r="C3072" i="60"/>
  <c r="B3072" i="60"/>
  <c r="A3072" i="60"/>
  <c r="C3071" i="60"/>
  <c r="B3071" i="60"/>
  <c r="A3071" i="60"/>
  <c r="C3070" i="60"/>
  <c r="B3070" i="60"/>
  <c r="A3070" i="60"/>
  <c r="C3069" i="60"/>
  <c r="B3069" i="60"/>
  <c r="A3069" i="60"/>
  <c r="C3068" i="60"/>
  <c r="B3068" i="60"/>
  <c r="A3068" i="60"/>
  <c r="C3067" i="60"/>
  <c r="B3067" i="60"/>
  <c r="A3067" i="60"/>
  <c r="C3066" i="60"/>
  <c r="B3066" i="60"/>
  <c r="A3066" i="60"/>
  <c r="C3065" i="60"/>
  <c r="B3065" i="60"/>
  <c r="A3065" i="60"/>
  <c r="C3064" i="60"/>
  <c r="B3064" i="60"/>
  <c r="A3064" i="60"/>
  <c r="C3063" i="60"/>
  <c r="B3063" i="60"/>
  <c r="A3063" i="60"/>
  <c r="C3062" i="60"/>
  <c r="B3062" i="60"/>
  <c r="A3062" i="60"/>
  <c r="C3061" i="60"/>
  <c r="B3061" i="60"/>
  <c r="A3061" i="60"/>
  <c r="C3060" i="60"/>
  <c r="B3060" i="60"/>
  <c r="A3060" i="60"/>
  <c r="C3059" i="60"/>
  <c r="B3059" i="60"/>
  <c r="A3059" i="60"/>
  <c r="C3058" i="60"/>
  <c r="B3058" i="60"/>
  <c r="A3058" i="60"/>
  <c r="C3057" i="60"/>
  <c r="B3057" i="60"/>
  <c r="A3057" i="60"/>
  <c r="C3056" i="60"/>
  <c r="B3056" i="60"/>
  <c r="A3056" i="60"/>
  <c r="C3055" i="60"/>
  <c r="B3055" i="60"/>
  <c r="A3055" i="60"/>
  <c r="C3054" i="60"/>
  <c r="B3054" i="60"/>
  <c r="A3054" i="60"/>
  <c r="C3053" i="60"/>
  <c r="B3053" i="60"/>
  <c r="A3053" i="60"/>
  <c r="C3052" i="60"/>
  <c r="B3052" i="60"/>
  <c r="A3052" i="60"/>
  <c r="C3051" i="60"/>
  <c r="B3051" i="60"/>
  <c r="A3051" i="60"/>
  <c r="C3050" i="60"/>
  <c r="B3050" i="60"/>
  <c r="A3050" i="60"/>
  <c r="C3049" i="60"/>
  <c r="B3049" i="60"/>
  <c r="A3049" i="60"/>
  <c r="C3048" i="60"/>
  <c r="B3048" i="60"/>
  <c r="A3048" i="60"/>
  <c r="C3047" i="60"/>
  <c r="B3047" i="60"/>
  <c r="A3047" i="60"/>
  <c r="C3046" i="60"/>
  <c r="B3046" i="60"/>
  <c r="A3046" i="60"/>
  <c r="C3045" i="60"/>
  <c r="B3045" i="60"/>
  <c r="A3045" i="60"/>
  <c r="C3044" i="60"/>
  <c r="B3044" i="60"/>
  <c r="A3044" i="60"/>
  <c r="C3043" i="60"/>
  <c r="B3043" i="60"/>
  <c r="A3043" i="60"/>
  <c r="C3042" i="60"/>
  <c r="B3042" i="60"/>
  <c r="A3042" i="60"/>
  <c r="C3041" i="60"/>
  <c r="B3041" i="60"/>
  <c r="A3041" i="60"/>
  <c r="C3040" i="60"/>
  <c r="B3040" i="60"/>
  <c r="A3040" i="60"/>
  <c r="C3039" i="60"/>
  <c r="B3039" i="60"/>
  <c r="A3039" i="60"/>
  <c r="C3038" i="60"/>
  <c r="B3038" i="60"/>
  <c r="A3038" i="60"/>
  <c r="C3037" i="60"/>
  <c r="B3037" i="60"/>
  <c r="A3037" i="60"/>
  <c r="C3036" i="60"/>
  <c r="B3036" i="60"/>
  <c r="A3036" i="60"/>
  <c r="C3035" i="60"/>
  <c r="B3035" i="60"/>
  <c r="A3035" i="60"/>
  <c r="C3034" i="60"/>
  <c r="B3034" i="60"/>
  <c r="A3034" i="60"/>
  <c r="C3033" i="60"/>
  <c r="B3033" i="60"/>
  <c r="A3033" i="60"/>
  <c r="C3032" i="60"/>
  <c r="B3032" i="60"/>
  <c r="A3032" i="60"/>
  <c r="C3031" i="60"/>
  <c r="B3031" i="60"/>
  <c r="A3031" i="60"/>
  <c r="C3030" i="60"/>
  <c r="B3030" i="60"/>
  <c r="A3030" i="60"/>
  <c r="C3029" i="60"/>
  <c r="B3029" i="60"/>
  <c r="A3029" i="60"/>
  <c r="C3028" i="60"/>
  <c r="B3028" i="60"/>
  <c r="A3028" i="60"/>
  <c r="C3027" i="60"/>
  <c r="B3027" i="60"/>
  <c r="A3027" i="60"/>
  <c r="C3026" i="60"/>
  <c r="B3026" i="60"/>
  <c r="A3026" i="60"/>
  <c r="C3025" i="60"/>
  <c r="B3025" i="60"/>
  <c r="A3025" i="60"/>
  <c r="C3024" i="60"/>
  <c r="B3024" i="60"/>
  <c r="A3024" i="60"/>
  <c r="C3023" i="60"/>
  <c r="B3023" i="60"/>
  <c r="A3023" i="60"/>
  <c r="C3022" i="60"/>
  <c r="B3022" i="60"/>
  <c r="A3022" i="60"/>
  <c r="C3021" i="60"/>
  <c r="B3021" i="60"/>
  <c r="A3021" i="60"/>
  <c r="C3020" i="60"/>
  <c r="B3020" i="60"/>
  <c r="A3020" i="60"/>
  <c r="C3019" i="60"/>
  <c r="B3019" i="60"/>
  <c r="A3019" i="60"/>
  <c r="C3018" i="60"/>
  <c r="B3018" i="60"/>
  <c r="A3018" i="60"/>
  <c r="C3017" i="60"/>
  <c r="B3017" i="60"/>
  <c r="A3017" i="60"/>
  <c r="C3016" i="60"/>
  <c r="B3016" i="60"/>
  <c r="A3016" i="60"/>
  <c r="C3015" i="60"/>
  <c r="B3015" i="60"/>
  <c r="A3015" i="60"/>
  <c r="C3014" i="60"/>
  <c r="B3014" i="60"/>
  <c r="A3014" i="60"/>
  <c r="C3013" i="60"/>
  <c r="B3013" i="60"/>
  <c r="A3013" i="60"/>
  <c r="C3012" i="60"/>
  <c r="B3012" i="60"/>
  <c r="A3012" i="60"/>
  <c r="C3011" i="60"/>
  <c r="B3011" i="60"/>
  <c r="A3011" i="60"/>
  <c r="C3010" i="60"/>
  <c r="B3010" i="60"/>
  <c r="A3010" i="60"/>
  <c r="C3009" i="60"/>
  <c r="B3009" i="60"/>
  <c r="A3009" i="60"/>
  <c r="C3008" i="60"/>
  <c r="B3008" i="60"/>
  <c r="A3008" i="60"/>
  <c r="C3007" i="60"/>
  <c r="B3007" i="60"/>
  <c r="A3007" i="60"/>
  <c r="C3006" i="60"/>
  <c r="B3006" i="60"/>
  <c r="A3006" i="60"/>
  <c r="C3005" i="60"/>
  <c r="B3005" i="60"/>
  <c r="A3005" i="60"/>
  <c r="C3004" i="60"/>
  <c r="B3004" i="60"/>
  <c r="A3004" i="60"/>
  <c r="C3003" i="60"/>
  <c r="B3003" i="60"/>
  <c r="A3003" i="60"/>
  <c r="C3002" i="60"/>
  <c r="B3002" i="60"/>
  <c r="A3002" i="60"/>
  <c r="C3001" i="60"/>
  <c r="B3001" i="60"/>
  <c r="A3001" i="60"/>
  <c r="C3000" i="60"/>
  <c r="B3000" i="60"/>
  <c r="A3000" i="60"/>
  <c r="C2999" i="60"/>
  <c r="B2999" i="60"/>
  <c r="A2999" i="60"/>
  <c r="C2998" i="60"/>
  <c r="B2998" i="60"/>
  <c r="A2998" i="60"/>
  <c r="C2997" i="60"/>
  <c r="B2997" i="60"/>
  <c r="A2997" i="60"/>
  <c r="C2996" i="60"/>
  <c r="B2996" i="60"/>
  <c r="A2996" i="60"/>
  <c r="C2995" i="60"/>
  <c r="B2995" i="60"/>
  <c r="A2995" i="60"/>
  <c r="C2994" i="60"/>
  <c r="B2994" i="60"/>
  <c r="A2994" i="60"/>
  <c r="C2993" i="60"/>
  <c r="B2993" i="60"/>
  <c r="A2993" i="60"/>
  <c r="C2992" i="60"/>
  <c r="B2992" i="60"/>
  <c r="A2992" i="60"/>
  <c r="C2991" i="60"/>
  <c r="B2991" i="60"/>
  <c r="A2991" i="60"/>
  <c r="C2990" i="60"/>
  <c r="B2990" i="60"/>
  <c r="A2990" i="60"/>
  <c r="C2989" i="60"/>
  <c r="B2989" i="60"/>
  <c r="A2989" i="60"/>
  <c r="C2988" i="60"/>
  <c r="B2988" i="60"/>
  <c r="A2988" i="60"/>
  <c r="C2987" i="60"/>
  <c r="B2987" i="60"/>
  <c r="A2987" i="60"/>
  <c r="C2986" i="60"/>
  <c r="B2986" i="60"/>
  <c r="A2986" i="60"/>
  <c r="C2985" i="60"/>
  <c r="B2985" i="60"/>
  <c r="A2985" i="60"/>
  <c r="C2984" i="60"/>
  <c r="B2984" i="60"/>
  <c r="A2984" i="60"/>
  <c r="C2983" i="60"/>
  <c r="B2983" i="60"/>
  <c r="A2983" i="60"/>
  <c r="C2982" i="60"/>
  <c r="B2982" i="60"/>
  <c r="A2982" i="60"/>
  <c r="C2981" i="60"/>
  <c r="B2981" i="60"/>
  <c r="A2981" i="60"/>
  <c r="C2980" i="60"/>
  <c r="B2980" i="60"/>
  <c r="A2980" i="60"/>
  <c r="C2979" i="60"/>
  <c r="B2979" i="60"/>
  <c r="A2979" i="60"/>
  <c r="C2978" i="60"/>
  <c r="B2978" i="60"/>
  <c r="A2978" i="60"/>
  <c r="C2977" i="60"/>
  <c r="B2977" i="60"/>
  <c r="A2977" i="60"/>
  <c r="C2976" i="60"/>
  <c r="B2976" i="60"/>
  <c r="A2976" i="60"/>
  <c r="C2975" i="60"/>
  <c r="B2975" i="60"/>
  <c r="A2975" i="60"/>
  <c r="C2974" i="60"/>
  <c r="B2974" i="60"/>
  <c r="A2974" i="60"/>
  <c r="C2973" i="60"/>
  <c r="B2973" i="60"/>
  <c r="A2973" i="60"/>
  <c r="C2972" i="60"/>
  <c r="B2972" i="60"/>
  <c r="A2972" i="60"/>
  <c r="C2971" i="60"/>
  <c r="B2971" i="60"/>
  <c r="A2971" i="60"/>
  <c r="C2970" i="60"/>
  <c r="B2970" i="60"/>
  <c r="A2970" i="60"/>
  <c r="C2969" i="60"/>
  <c r="B2969" i="60"/>
  <c r="A2969" i="60"/>
  <c r="C2968" i="60"/>
  <c r="B2968" i="60"/>
  <c r="A2968" i="60"/>
  <c r="C2967" i="60"/>
  <c r="B2967" i="60"/>
  <c r="A2967" i="60"/>
  <c r="C2966" i="60"/>
  <c r="B2966" i="60"/>
  <c r="A2966" i="60"/>
  <c r="C2965" i="60"/>
  <c r="B2965" i="60"/>
  <c r="A2965" i="60"/>
  <c r="C2964" i="60"/>
  <c r="B2964" i="60"/>
  <c r="A2964" i="60"/>
  <c r="C2963" i="60"/>
  <c r="B2963" i="60"/>
  <c r="A2963" i="60"/>
  <c r="C2962" i="60"/>
  <c r="B2962" i="60"/>
  <c r="A2962" i="60"/>
  <c r="C2961" i="60"/>
  <c r="B2961" i="60"/>
  <c r="A2961" i="60"/>
  <c r="C2960" i="60"/>
  <c r="B2960" i="60"/>
  <c r="A2960" i="60"/>
  <c r="C2959" i="60"/>
  <c r="B2959" i="60"/>
  <c r="A2959" i="60"/>
  <c r="C2958" i="60"/>
  <c r="B2958" i="60"/>
  <c r="A2958" i="60"/>
  <c r="C2957" i="60"/>
  <c r="B2957" i="60"/>
  <c r="A2957" i="60"/>
  <c r="C2956" i="60"/>
  <c r="B2956" i="60"/>
  <c r="A2956" i="60"/>
  <c r="C2955" i="60"/>
  <c r="B2955" i="60"/>
  <c r="A2955" i="60"/>
  <c r="C2954" i="60"/>
  <c r="B2954" i="60"/>
  <c r="A2954" i="60"/>
  <c r="C2953" i="60"/>
  <c r="B2953" i="60"/>
  <c r="A2953" i="60"/>
  <c r="C2952" i="60"/>
  <c r="B2952" i="60"/>
  <c r="A2952" i="60"/>
  <c r="C2951" i="60"/>
  <c r="B2951" i="60"/>
  <c r="A2951" i="60"/>
  <c r="C2950" i="60"/>
  <c r="B2950" i="60"/>
  <c r="A2950" i="60"/>
  <c r="C2949" i="60"/>
  <c r="B2949" i="60"/>
  <c r="A2949" i="60"/>
  <c r="C2948" i="60"/>
  <c r="B2948" i="60"/>
  <c r="A2948" i="60"/>
  <c r="C2947" i="60"/>
  <c r="B2947" i="60"/>
  <c r="A2947" i="60"/>
  <c r="C2946" i="60"/>
  <c r="B2946" i="60"/>
  <c r="A2946" i="60"/>
  <c r="C2945" i="60"/>
  <c r="B2945" i="60"/>
  <c r="A2945" i="60"/>
  <c r="C2944" i="60"/>
  <c r="B2944" i="60"/>
  <c r="A2944" i="60"/>
  <c r="C2943" i="60"/>
  <c r="B2943" i="60"/>
  <c r="A2943" i="60"/>
  <c r="C2942" i="60"/>
  <c r="B2942" i="60"/>
  <c r="A2942" i="60"/>
  <c r="C2941" i="60"/>
  <c r="B2941" i="60"/>
  <c r="A2941" i="60"/>
  <c r="C2940" i="60"/>
  <c r="B2940" i="60"/>
  <c r="A2940" i="60"/>
  <c r="C2939" i="60"/>
  <c r="B2939" i="60"/>
  <c r="A2939" i="60"/>
  <c r="C2938" i="60"/>
  <c r="B2938" i="60"/>
  <c r="A2938" i="60"/>
  <c r="C2937" i="60"/>
  <c r="B2937" i="60"/>
  <c r="A2937" i="60"/>
  <c r="C2936" i="60"/>
  <c r="B2936" i="60"/>
  <c r="A2936" i="60"/>
  <c r="C2935" i="60"/>
  <c r="B2935" i="60"/>
  <c r="A2935" i="60"/>
  <c r="C2934" i="60"/>
  <c r="B2934" i="60"/>
  <c r="A2934" i="60"/>
  <c r="C2933" i="60"/>
  <c r="B2933" i="60"/>
  <c r="A2933" i="60"/>
  <c r="C2932" i="60"/>
  <c r="B2932" i="60"/>
  <c r="A2932" i="60"/>
  <c r="C2931" i="60"/>
  <c r="B2931" i="60"/>
  <c r="A2931" i="60"/>
  <c r="C2930" i="60"/>
  <c r="B2930" i="60"/>
  <c r="A2930" i="60"/>
  <c r="C2929" i="60"/>
  <c r="B2929" i="60"/>
  <c r="A2929" i="60"/>
  <c r="C2928" i="60"/>
  <c r="B2928" i="60"/>
  <c r="A2928" i="60"/>
  <c r="C2927" i="60"/>
  <c r="B2927" i="60"/>
  <c r="A2927" i="60"/>
  <c r="C2926" i="60"/>
  <c r="B2926" i="60"/>
  <c r="A2926" i="60"/>
  <c r="C2925" i="60"/>
  <c r="B2925" i="60"/>
  <c r="A2925" i="60"/>
  <c r="C2924" i="60"/>
  <c r="B2924" i="60"/>
  <c r="A2924" i="60"/>
  <c r="C2923" i="60"/>
  <c r="B2923" i="60"/>
  <c r="A2923" i="60"/>
  <c r="C2922" i="60"/>
  <c r="B2922" i="60"/>
  <c r="A2922" i="60"/>
  <c r="C2921" i="60"/>
  <c r="B2921" i="60"/>
  <c r="A2921" i="60"/>
  <c r="C2920" i="60"/>
  <c r="B2920" i="60"/>
  <c r="A2920" i="60"/>
  <c r="C2919" i="60"/>
  <c r="B2919" i="60"/>
  <c r="A2919" i="60"/>
  <c r="C2918" i="60"/>
  <c r="B2918" i="60"/>
  <c r="A2918" i="60"/>
  <c r="C2917" i="60"/>
  <c r="B2917" i="60"/>
  <c r="A2917" i="60"/>
  <c r="C2916" i="60"/>
  <c r="B2916" i="60"/>
  <c r="A2916" i="60"/>
  <c r="C2915" i="60"/>
  <c r="B2915" i="60"/>
  <c r="A2915" i="60"/>
  <c r="C2914" i="60"/>
  <c r="B2914" i="60"/>
  <c r="A2914" i="60"/>
  <c r="C2913" i="60"/>
  <c r="B2913" i="60"/>
  <c r="A2913" i="60"/>
  <c r="C2912" i="60"/>
  <c r="B2912" i="60"/>
  <c r="A2912" i="60"/>
  <c r="C2911" i="60"/>
  <c r="B2911" i="60"/>
  <c r="A2911" i="60"/>
  <c r="C2910" i="60"/>
  <c r="B2910" i="60"/>
  <c r="A2910" i="60"/>
  <c r="C2909" i="60"/>
  <c r="B2909" i="60"/>
  <c r="A2909" i="60"/>
  <c r="C2908" i="60"/>
  <c r="B2908" i="60"/>
  <c r="A2908" i="60"/>
  <c r="C2907" i="60"/>
  <c r="B2907" i="60"/>
  <c r="A2907" i="60"/>
  <c r="C2906" i="60"/>
  <c r="B2906" i="60"/>
  <c r="A2906" i="60"/>
  <c r="C2905" i="60"/>
  <c r="B2905" i="60"/>
  <c r="A2905" i="60"/>
  <c r="C2904" i="60"/>
  <c r="B2904" i="60"/>
  <c r="A2904" i="60"/>
  <c r="C2903" i="60"/>
  <c r="B2903" i="60"/>
  <c r="A2903" i="60"/>
  <c r="C2902" i="60"/>
  <c r="B2902" i="60"/>
  <c r="A2902" i="60"/>
  <c r="C2901" i="60"/>
  <c r="B2901" i="60"/>
  <c r="A2901" i="60"/>
  <c r="C2900" i="60"/>
  <c r="B2900" i="60"/>
  <c r="A2900" i="60"/>
  <c r="C2899" i="60"/>
  <c r="B2899" i="60"/>
  <c r="A2899" i="60"/>
  <c r="C2898" i="60"/>
  <c r="B2898" i="60"/>
  <c r="A2898" i="60"/>
  <c r="C2897" i="60"/>
  <c r="B2897" i="60"/>
  <c r="A2897" i="60"/>
  <c r="C2896" i="60"/>
  <c r="B2896" i="60"/>
  <c r="A2896" i="60"/>
  <c r="C2895" i="60"/>
  <c r="B2895" i="60"/>
  <c r="A2895" i="60"/>
  <c r="C2894" i="60"/>
  <c r="B2894" i="60"/>
  <c r="A2894" i="60"/>
  <c r="C2893" i="60"/>
  <c r="B2893" i="60"/>
  <c r="A2893" i="60"/>
  <c r="C2892" i="60"/>
  <c r="B2892" i="60"/>
  <c r="A2892" i="60"/>
  <c r="C2891" i="60"/>
  <c r="B2891" i="60"/>
  <c r="A2891" i="60"/>
  <c r="C2890" i="60"/>
  <c r="B2890" i="60"/>
  <c r="A2890" i="60"/>
  <c r="C2889" i="60"/>
  <c r="B2889" i="60"/>
  <c r="A2889" i="60"/>
  <c r="C2888" i="60"/>
  <c r="B2888" i="60"/>
  <c r="A2888" i="60"/>
  <c r="C2887" i="60"/>
  <c r="B2887" i="60"/>
  <c r="A2887" i="60"/>
  <c r="C2886" i="60"/>
  <c r="B2886" i="60"/>
  <c r="A2886" i="60"/>
  <c r="C2885" i="60"/>
  <c r="B2885" i="60"/>
  <c r="A2885" i="60"/>
  <c r="C2884" i="60"/>
  <c r="B2884" i="60"/>
  <c r="A2884" i="60"/>
  <c r="C2883" i="60"/>
  <c r="B2883" i="60"/>
  <c r="A2883" i="60"/>
  <c r="C2882" i="60"/>
  <c r="B2882" i="60"/>
  <c r="A2882" i="60"/>
  <c r="C2881" i="60"/>
  <c r="B2881" i="60"/>
  <c r="A2881" i="60"/>
  <c r="C2880" i="60"/>
  <c r="B2880" i="60"/>
  <c r="A2880" i="60"/>
  <c r="C2879" i="60"/>
  <c r="B2879" i="60"/>
  <c r="A2879" i="60"/>
  <c r="C2878" i="60"/>
  <c r="B2878" i="60"/>
  <c r="A2878" i="60"/>
  <c r="C2877" i="60"/>
  <c r="B2877" i="60"/>
  <c r="A2877" i="60"/>
  <c r="C2876" i="60"/>
  <c r="B2876" i="60"/>
  <c r="A2876" i="60"/>
  <c r="C2875" i="60"/>
  <c r="B2875" i="60"/>
  <c r="A2875" i="60"/>
  <c r="C2874" i="60"/>
  <c r="B2874" i="60"/>
  <c r="A2874" i="60"/>
  <c r="C2873" i="60"/>
  <c r="B2873" i="60"/>
  <c r="A2873" i="60"/>
  <c r="C2872" i="60"/>
  <c r="B2872" i="60"/>
  <c r="A2872" i="60"/>
  <c r="C2871" i="60"/>
  <c r="B2871" i="60"/>
  <c r="A2871" i="60"/>
  <c r="C2870" i="60"/>
  <c r="B2870" i="60"/>
  <c r="A2870" i="60"/>
  <c r="C2869" i="60"/>
  <c r="B2869" i="60"/>
  <c r="A2869" i="60"/>
  <c r="C2868" i="60"/>
  <c r="B2868" i="60"/>
  <c r="A2868" i="60"/>
  <c r="C2867" i="60"/>
  <c r="B2867" i="60"/>
  <c r="A2867" i="60"/>
  <c r="C2866" i="60"/>
  <c r="B2866" i="60"/>
  <c r="A2866" i="60"/>
  <c r="C2865" i="60"/>
  <c r="B2865" i="60"/>
  <c r="A2865" i="60"/>
  <c r="C2864" i="60"/>
  <c r="B2864" i="60"/>
  <c r="A2864" i="60"/>
  <c r="C2863" i="60"/>
  <c r="B2863" i="60"/>
  <c r="A2863" i="60"/>
  <c r="C2862" i="60"/>
  <c r="B2862" i="60"/>
  <c r="A2862" i="60"/>
  <c r="C2861" i="60"/>
  <c r="B2861" i="60"/>
  <c r="A2861" i="60"/>
  <c r="C2860" i="60"/>
  <c r="B2860" i="60"/>
  <c r="A2860" i="60"/>
  <c r="C2859" i="60"/>
  <c r="B2859" i="60"/>
  <c r="A2859" i="60"/>
  <c r="C2858" i="60"/>
  <c r="B2858" i="60"/>
  <c r="A2858" i="60"/>
  <c r="C2857" i="60"/>
  <c r="B2857" i="60"/>
  <c r="A2857" i="60"/>
  <c r="C2856" i="60"/>
  <c r="B2856" i="60"/>
  <c r="A2856" i="60"/>
  <c r="C2855" i="60"/>
  <c r="B2855" i="60"/>
  <c r="A2855" i="60"/>
  <c r="C2854" i="60"/>
  <c r="B2854" i="60"/>
  <c r="A2854" i="60"/>
  <c r="C2853" i="60"/>
  <c r="B2853" i="60"/>
  <c r="A2853" i="60"/>
  <c r="C2852" i="60"/>
  <c r="B2852" i="60"/>
  <c r="A2852" i="60"/>
  <c r="C2851" i="60"/>
  <c r="B2851" i="60"/>
  <c r="A2851" i="60"/>
  <c r="C2850" i="60"/>
  <c r="B2850" i="60"/>
  <c r="A2850" i="60"/>
  <c r="C2849" i="60"/>
  <c r="B2849" i="60"/>
  <c r="A2849" i="60"/>
  <c r="C2848" i="60"/>
  <c r="B2848" i="60"/>
  <c r="A2848" i="60"/>
  <c r="C2847" i="60"/>
  <c r="B2847" i="60"/>
  <c r="A2847" i="60"/>
  <c r="C2846" i="60"/>
  <c r="B2846" i="60"/>
  <c r="A2846" i="60"/>
  <c r="C2845" i="60"/>
  <c r="B2845" i="60"/>
  <c r="A2845" i="60"/>
  <c r="C2844" i="60"/>
  <c r="B2844" i="60"/>
  <c r="A2844" i="60"/>
  <c r="C2843" i="60"/>
  <c r="B2843" i="60"/>
  <c r="A2843" i="60"/>
  <c r="C2842" i="60"/>
  <c r="B2842" i="60"/>
  <c r="A2842" i="60"/>
  <c r="C2841" i="60"/>
  <c r="B2841" i="60"/>
  <c r="A2841" i="60"/>
  <c r="C2840" i="60"/>
  <c r="B2840" i="60"/>
  <c r="A2840" i="60"/>
  <c r="C2839" i="60"/>
  <c r="B2839" i="60"/>
  <c r="A2839" i="60"/>
  <c r="C2838" i="60"/>
  <c r="B2838" i="60"/>
  <c r="A2838" i="60"/>
  <c r="C2837" i="60"/>
  <c r="B2837" i="60"/>
  <c r="A2837" i="60"/>
  <c r="C2836" i="60"/>
  <c r="B2836" i="60"/>
  <c r="A2836" i="60"/>
  <c r="C2835" i="60"/>
  <c r="B2835" i="60"/>
  <c r="A2835" i="60"/>
  <c r="C2834" i="60"/>
  <c r="B2834" i="60"/>
  <c r="A2834" i="60"/>
  <c r="C2833" i="60"/>
  <c r="B2833" i="60"/>
  <c r="A2833" i="60"/>
  <c r="C2832" i="60"/>
  <c r="B2832" i="60"/>
  <c r="A2832" i="60"/>
  <c r="C2831" i="60"/>
  <c r="B2831" i="60"/>
  <c r="A2831" i="60"/>
  <c r="C2830" i="60"/>
  <c r="B2830" i="60"/>
  <c r="A2830" i="60"/>
  <c r="C2829" i="60"/>
  <c r="B2829" i="60"/>
  <c r="A2829" i="60"/>
  <c r="C2828" i="60"/>
  <c r="B2828" i="60"/>
  <c r="A2828" i="60"/>
  <c r="C2827" i="60"/>
  <c r="B2827" i="60"/>
  <c r="A2827" i="60"/>
  <c r="C2826" i="60"/>
  <c r="B2826" i="60"/>
  <c r="A2826" i="60"/>
  <c r="C2825" i="60"/>
  <c r="B2825" i="60"/>
  <c r="A2825" i="60"/>
  <c r="C2824" i="60"/>
  <c r="B2824" i="60"/>
  <c r="A2824" i="60"/>
  <c r="C2823" i="60"/>
  <c r="B2823" i="60"/>
  <c r="A2823" i="60"/>
  <c r="C2822" i="60"/>
  <c r="B2822" i="60"/>
  <c r="A2822" i="60"/>
  <c r="C2821" i="60"/>
  <c r="B2821" i="60"/>
  <c r="A2821" i="60"/>
  <c r="C2820" i="60"/>
  <c r="B2820" i="60"/>
  <c r="A2820" i="60"/>
  <c r="C2819" i="60"/>
  <c r="B2819" i="60"/>
  <c r="A2819" i="60"/>
  <c r="C2818" i="60"/>
  <c r="B2818" i="60"/>
  <c r="A2818" i="60"/>
  <c r="C2817" i="60"/>
  <c r="B2817" i="60"/>
  <c r="A2817" i="60"/>
  <c r="C2816" i="60"/>
  <c r="B2816" i="60"/>
  <c r="A2816" i="60"/>
  <c r="C2815" i="60"/>
  <c r="B2815" i="60"/>
  <c r="A2815" i="60"/>
  <c r="C2814" i="60"/>
  <c r="B2814" i="60"/>
  <c r="A2814" i="60"/>
  <c r="C2813" i="60"/>
  <c r="B2813" i="60"/>
  <c r="A2813" i="60"/>
  <c r="C2812" i="60"/>
  <c r="B2812" i="60"/>
  <c r="A2812" i="60"/>
  <c r="C2811" i="60"/>
  <c r="B2811" i="60"/>
  <c r="A2811" i="60"/>
  <c r="C2810" i="60"/>
  <c r="B2810" i="60"/>
  <c r="A2810" i="60"/>
  <c r="C2809" i="60"/>
  <c r="B2809" i="60"/>
  <c r="A2809" i="60"/>
  <c r="C2808" i="60"/>
  <c r="B2808" i="60"/>
  <c r="A2808" i="60"/>
  <c r="C2807" i="60"/>
  <c r="B2807" i="60"/>
  <c r="A2807" i="60"/>
  <c r="C2806" i="60"/>
  <c r="B2806" i="60"/>
  <c r="A2806" i="60"/>
  <c r="C2805" i="60"/>
  <c r="B2805" i="60"/>
  <c r="A2805" i="60"/>
  <c r="C2804" i="60"/>
  <c r="B2804" i="60"/>
  <c r="A2804" i="60"/>
  <c r="C2803" i="60"/>
  <c r="B2803" i="60"/>
  <c r="A2803" i="60"/>
  <c r="C2802" i="60"/>
  <c r="B2802" i="60"/>
  <c r="A2802" i="60"/>
  <c r="C2801" i="60"/>
  <c r="B2801" i="60"/>
  <c r="A2801" i="60"/>
  <c r="C2800" i="60"/>
  <c r="B2800" i="60"/>
  <c r="A2800" i="60"/>
  <c r="C2799" i="60"/>
  <c r="B2799" i="60"/>
  <c r="A2799" i="60"/>
  <c r="C2798" i="60"/>
  <c r="B2798" i="60"/>
  <c r="A2798" i="60"/>
  <c r="C2797" i="60"/>
  <c r="B2797" i="60"/>
  <c r="A2797" i="60"/>
  <c r="C2796" i="60"/>
  <c r="B2796" i="60"/>
  <c r="A2796" i="60"/>
  <c r="C2795" i="60"/>
  <c r="B2795" i="60"/>
  <c r="A2795" i="60"/>
  <c r="C2794" i="60"/>
  <c r="B2794" i="60"/>
  <c r="A2794" i="60"/>
  <c r="C2793" i="60"/>
  <c r="B2793" i="60"/>
  <c r="A2793" i="60"/>
  <c r="C2792" i="60"/>
  <c r="B2792" i="60"/>
  <c r="A2792" i="60"/>
  <c r="C2791" i="60"/>
  <c r="B2791" i="60"/>
  <c r="A2791" i="60"/>
  <c r="C2790" i="60"/>
  <c r="B2790" i="60"/>
  <c r="A2790" i="60"/>
  <c r="C2789" i="60"/>
  <c r="B2789" i="60"/>
  <c r="A2789" i="60"/>
  <c r="C2788" i="60"/>
  <c r="B2788" i="60"/>
  <c r="A2788" i="60"/>
  <c r="C2787" i="60"/>
  <c r="B2787" i="60"/>
  <c r="A2787" i="60"/>
  <c r="C2786" i="60"/>
  <c r="B2786" i="60"/>
  <c r="A2786" i="60"/>
  <c r="C2785" i="60"/>
  <c r="B2785" i="60"/>
  <c r="A2785" i="60"/>
  <c r="C2784" i="60"/>
  <c r="B2784" i="60"/>
  <c r="A2784" i="60"/>
  <c r="C2783" i="60"/>
  <c r="B2783" i="60"/>
  <c r="A2783" i="60"/>
  <c r="C2782" i="60"/>
  <c r="B2782" i="60"/>
  <c r="A2782" i="60"/>
  <c r="C2781" i="60"/>
  <c r="B2781" i="60"/>
  <c r="A2781" i="60"/>
  <c r="C2780" i="60"/>
  <c r="B2780" i="60"/>
  <c r="A2780" i="60"/>
  <c r="C2779" i="60"/>
  <c r="B2779" i="60"/>
  <c r="A2779" i="60"/>
  <c r="C2778" i="60"/>
  <c r="B2778" i="60"/>
  <c r="A2778" i="60"/>
  <c r="C2777" i="60"/>
  <c r="B2777" i="60"/>
  <c r="A2777" i="60"/>
  <c r="C2776" i="60"/>
  <c r="B2776" i="60"/>
  <c r="A2776" i="60"/>
  <c r="C2775" i="60"/>
  <c r="B2775" i="60"/>
  <c r="A2775" i="60"/>
  <c r="C2774" i="60"/>
  <c r="B2774" i="60"/>
  <c r="A2774" i="60"/>
  <c r="C2773" i="60"/>
  <c r="B2773" i="60"/>
  <c r="A2773" i="60"/>
  <c r="C2772" i="60"/>
  <c r="B2772" i="60"/>
  <c r="A2772" i="60"/>
  <c r="C2771" i="60"/>
  <c r="B2771" i="60"/>
  <c r="A2771" i="60"/>
  <c r="C2770" i="60"/>
  <c r="B2770" i="60"/>
  <c r="A2770" i="60"/>
  <c r="C2769" i="60"/>
  <c r="B2769" i="60"/>
  <c r="A2769" i="60"/>
  <c r="C2768" i="60"/>
  <c r="B2768" i="60"/>
  <c r="A2768" i="60"/>
  <c r="C2767" i="60"/>
  <c r="B2767" i="60"/>
  <c r="A2767" i="60"/>
  <c r="C2766" i="60"/>
  <c r="B2766" i="60"/>
  <c r="A2766" i="60"/>
  <c r="C2765" i="60"/>
  <c r="B2765" i="60"/>
  <c r="A2765" i="60"/>
  <c r="C2764" i="60"/>
  <c r="B2764" i="60"/>
  <c r="A2764" i="60"/>
  <c r="C2763" i="60"/>
  <c r="B2763" i="60"/>
  <c r="A2763" i="60"/>
  <c r="C2762" i="60"/>
  <c r="B2762" i="60"/>
  <c r="A2762" i="60"/>
  <c r="C2761" i="60"/>
  <c r="B2761" i="60"/>
  <c r="A2761" i="60"/>
  <c r="C2760" i="60"/>
  <c r="B2760" i="60"/>
  <c r="A2760" i="60"/>
  <c r="C2759" i="60"/>
  <c r="B2759" i="60"/>
  <c r="A2759" i="60"/>
  <c r="C2758" i="60"/>
  <c r="B2758" i="60"/>
  <c r="A2758" i="60"/>
  <c r="C2757" i="60"/>
  <c r="B2757" i="60"/>
  <c r="A2757" i="60"/>
  <c r="C2756" i="60"/>
  <c r="B2756" i="60"/>
  <c r="A2756" i="60"/>
  <c r="C2755" i="60"/>
  <c r="B2755" i="60"/>
  <c r="A2755" i="60"/>
  <c r="C2754" i="60"/>
  <c r="B2754" i="60"/>
  <c r="A2754" i="60"/>
  <c r="C2753" i="60"/>
  <c r="B2753" i="60"/>
  <c r="A2753" i="60"/>
  <c r="C2752" i="60"/>
  <c r="B2752" i="60"/>
  <c r="A2752" i="60"/>
  <c r="C2751" i="60"/>
  <c r="B2751" i="60"/>
  <c r="A2751" i="60"/>
  <c r="C2750" i="60"/>
  <c r="B2750" i="60"/>
  <c r="A2750" i="60"/>
  <c r="C2749" i="60"/>
  <c r="B2749" i="60"/>
  <c r="A2749" i="60"/>
  <c r="C2748" i="60"/>
  <c r="B2748" i="60"/>
  <c r="A2748" i="60"/>
  <c r="C2747" i="60"/>
  <c r="B2747" i="60"/>
  <c r="A2747" i="60"/>
  <c r="C2746" i="60"/>
  <c r="B2746" i="60"/>
  <c r="A2746" i="60"/>
  <c r="C2745" i="60"/>
  <c r="B2745" i="60"/>
  <c r="A2745" i="60"/>
  <c r="C2744" i="60"/>
  <c r="B2744" i="60"/>
  <c r="A2744" i="60"/>
  <c r="C2743" i="60"/>
  <c r="B2743" i="60"/>
  <c r="A2743" i="60"/>
  <c r="C2742" i="60"/>
  <c r="B2742" i="60"/>
  <c r="A2742" i="60"/>
  <c r="C2741" i="60"/>
  <c r="B2741" i="60"/>
  <c r="A2741" i="60"/>
  <c r="C2740" i="60"/>
  <c r="B2740" i="60"/>
  <c r="A2740" i="60"/>
  <c r="C2739" i="60"/>
  <c r="B2739" i="60"/>
  <c r="A2739" i="60"/>
  <c r="C2738" i="60"/>
  <c r="B2738" i="60"/>
  <c r="A2738" i="60"/>
  <c r="C2737" i="60"/>
  <c r="B2737" i="60"/>
  <c r="A2737" i="60"/>
  <c r="C2736" i="60"/>
  <c r="B2736" i="60"/>
  <c r="A2736" i="60"/>
  <c r="C2735" i="60"/>
  <c r="B2735" i="60"/>
  <c r="A2735" i="60"/>
  <c r="C2734" i="60"/>
  <c r="B2734" i="60"/>
  <c r="A2734" i="60"/>
  <c r="C2733" i="60"/>
  <c r="B2733" i="60"/>
  <c r="A2733" i="60"/>
  <c r="C2732" i="60"/>
  <c r="B2732" i="60"/>
  <c r="A2732" i="60"/>
  <c r="C2731" i="60"/>
  <c r="B2731" i="60"/>
  <c r="A2731" i="60"/>
  <c r="C2730" i="60"/>
  <c r="B2730" i="60"/>
  <c r="A2730" i="60"/>
  <c r="C2729" i="60"/>
  <c r="B2729" i="60"/>
  <c r="A2729" i="60"/>
  <c r="C2728" i="60"/>
  <c r="B2728" i="60"/>
  <c r="A2728" i="60"/>
  <c r="C2727" i="60"/>
  <c r="B2727" i="60"/>
  <c r="A2727" i="60"/>
  <c r="C2726" i="60"/>
  <c r="B2726" i="60"/>
  <c r="A2726" i="60"/>
  <c r="C2725" i="60"/>
  <c r="B2725" i="60"/>
  <c r="A2725" i="60"/>
  <c r="C2724" i="60"/>
  <c r="B2724" i="60"/>
  <c r="A2724" i="60"/>
  <c r="C2723" i="60"/>
  <c r="B2723" i="60"/>
  <c r="A2723" i="60"/>
  <c r="C2722" i="60"/>
  <c r="B2722" i="60"/>
  <c r="A2722" i="60"/>
  <c r="C2721" i="60"/>
  <c r="B2721" i="60"/>
  <c r="A2721" i="60"/>
  <c r="C2720" i="60"/>
  <c r="B2720" i="60"/>
  <c r="A2720" i="60"/>
  <c r="C2719" i="60"/>
  <c r="B2719" i="60"/>
  <c r="A2719" i="60"/>
  <c r="C2718" i="60"/>
  <c r="B2718" i="60"/>
  <c r="A2718" i="60"/>
  <c r="C2717" i="60"/>
  <c r="B2717" i="60"/>
  <c r="A2717" i="60"/>
  <c r="C2716" i="60"/>
  <c r="B2716" i="60"/>
  <c r="A2716" i="60"/>
  <c r="C2715" i="60"/>
  <c r="B2715" i="60"/>
  <c r="A2715" i="60"/>
  <c r="C2714" i="60"/>
  <c r="B2714" i="60"/>
  <c r="A2714" i="60"/>
  <c r="C2713" i="60"/>
  <c r="B2713" i="60"/>
  <c r="A2713" i="60"/>
  <c r="C2712" i="60"/>
  <c r="B2712" i="60"/>
  <c r="A2712" i="60"/>
  <c r="C2711" i="60"/>
  <c r="B2711" i="60"/>
  <c r="A2711" i="60"/>
  <c r="C2710" i="60"/>
  <c r="B2710" i="60"/>
  <c r="A2710" i="60"/>
  <c r="C2709" i="60"/>
  <c r="B2709" i="60"/>
  <c r="A2709" i="60"/>
  <c r="C2708" i="60"/>
  <c r="B2708" i="60"/>
  <c r="A2708" i="60"/>
  <c r="C2707" i="60"/>
  <c r="B2707" i="60"/>
  <c r="A2707" i="60"/>
  <c r="C2706" i="60"/>
  <c r="B2706" i="60"/>
  <c r="A2706" i="60"/>
  <c r="C2705" i="60"/>
  <c r="B2705" i="60"/>
  <c r="A2705" i="60"/>
  <c r="C2704" i="60"/>
  <c r="B2704" i="60"/>
  <c r="A2704" i="60"/>
  <c r="C2703" i="60"/>
  <c r="B2703" i="60"/>
  <c r="A2703" i="60"/>
  <c r="C2702" i="60"/>
  <c r="B2702" i="60"/>
  <c r="A2702" i="60"/>
  <c r="C2701" i="60"/>
  <c r="B2701" i="60"/>
  <c r="A2701" i="60"/>
  <c r="C2700" i="60"/>
  <c r="B2700" i="60"/>
  <c r="A2700" i="60"/>
  <c r="C2699" i="60"/>
  <c r="B2699" i="60"/>
  <c r="A2699" i="60"/>
  <c r="C2698" i="60"/>
  <c r="B2698" i="60"/>
  <c r="A2698" i="60"/>
  <c r="C2697" i="60"/>
  <c r="B2697" i="60"/>
  <c r="A2697" i="60"/>
  <c r="C2696" i="60"/>
  <c r="B2696" i="60"/>
  <c r="A2696" i="60"/>
  <c r="C2695" i="60"/>
  <c r="B2695" i="60"/>
  <c r="A2695" i="60"/>
  <c r="C2694" i="60"/>
  <c r="B2694" i="60"/>
  <c r="A2694" i="60"/>
  <c r="C2693" i="60"/>
  <c r="B2693" i="60"/>
  <c r="A2693" i="60"/>
  <c r="C2692" i="60"/>
  <c r="B2692" i="60"/>
  <c r="A2692" i="60"/>
  <c r="C2691" i="60"/>
  <c r="B2691" i="60"/>
  <c r="A2691" i="60"/>
  <c r="C2690" i="60"/>
  <c r="B2690" i="60"/>
  <c r="A2690" i="60"/>
  <c r="C2689" i="60"/>
  <c r="B2689" i="60"/>
  <c r="A2689" i="60"/>
  <c r="C2688" i="60"/>
  <c r="B2688" i="60"/>
  <c r="A2688" i="60"/>
  <c r="C2687" i="60"/>
  <c r="B2687" i="60"/>
  <c r="A2687" i="60"/>
  <c r="C2686" i="60"/>
  <c r="B2686" i="60"/>
  <c r="A2686" i="60"/>
  <c r="C2685" i="60"/>
  <c r="B2685" i="60"/>
  <c r="A2685" i="60"/>
  <c r="C2684" i="60"/>
  <c r="B2684" i="60"/>
  <c r="A2684" i="60"/>
  <c r="C2683" i="60"/>
  <c r="B2683" i="60"/>
  <c r="A2683" i="60"/>
  <c r="C2682" i="60"/>
  <c r="B2682" i="60"/>
  <c r="A2682" i="60"/>
  <c r="C2681" i="60"/>
  <c r="B2681" i="60"/>
  <c r="A2681" i="60"/>
  <c r="C2680" i="60"/>
  <c r="B2680" i="60"/>
  <c r="A2680" i="60"/>
  <c r="C2679" i="60"/>
  <c r="B2679" i="60"/>
  <c r="A2679" i="60"/>
  <c r="C2678" i="60"/>
  <c r="B2678" i="60"/>
  <c r="A2678" i="60"/>
  <c r="C2677" i="60"/>
  <c r="B2677" i="60"/>
  <c r="A2677" i="60"/>
  <c r="C2676" i="60"/>
  <c r="B2676" i="60"/>
  <c r="A2676" i="60"/>
  <c r="C2675" i="60"/>
  <c r="B2675" i="60"/>
  <c r="A2675" i="60"/>
  <c r="C2674" i="60"/>
  <c r="B2674" i="60"/>
  <c r="A2674" i="60"/>
  <c r="C2673" i="60"/>
  <c r="B2673" i="60"/>
  <c r="A2673" i="60"/>
  <c r="C2672" i="60"/>
  <c r="B2672" i="60"/>
  <c r="A2672" i="60"/>
  <c r="C2671" i="60"/>
  <c r="B2671" i="60"/>
  <c r="A2671" i="60"/>
  <c r="C2670" i="60"/>
  <c r="B2670" i="60"/>
  <c r="A2670" i="60"/>
  <c r="C2669" i="60"/>
  <c r="B2669" i="60"/>
  <c r="A2669" i="60"/>
  <c r="C2668" i="60"/>
  <c r="B2668" i="60"/>
  <c r="A2668" i="60"/>
  <c r="C2667" i="60"/>
  <c r="B2667" i="60"/>
  <c r="A2667" i="60"/>
  <c r="C2666" i="60"/>
  <c r="B2666" i="60"/>
  <c r="A2666" i="60"/>
  <c r="C2665" i="60"/>
  <c r="B2665" i="60"/>
  <c r="A2665" i="60"/>
  <c r="C2664" i="60"/>
  <c r="B2664" i="60"/>
  <c r="A2664" i="60"/>
  <c r="C2663" i="60"/>
  <c r="B2663" i="60"/>
  <c r="A2663" i="60"/>
  <c r="C2662" i="60"/>
  <c r="B2662" i="60"/>
  <c r="A2662" i="60"/>
  <c r="C2661" i="60"/>
  <c r="B2661" i="60"/>
  <c r="A2661" i="60"/>
  <c r="C2660" i="60"/>
  <c r="B2660" i="60"/>
  <c r="A2660" i="60"/>
  <c r="C2659" i="60"/>
  <c r="B2659" i="60"/>
  <c r="A2659" i="60"/>
  <c r="C2658" i="60"/>
  <c r="B2658" i="60"/>
  <c r="A2658" i="60"/>
  <c r="C2657" i="60"/>
  <c r="B2657" i="60"/>
  <c r="A2657" i="60"/>
  <c r="C2656" i="60"/>
  <c r="B2656" i="60"/>
  <c r="A2656" i="60"/>
  <c r="C2655" i="60"/>
  <c r="B2655" i="60"/>
  <c r="A2655" i="60"/>
  <c r="C2654" i="60"/>
  <c r="B2654" i="60"/>
  <c r="A2654" i="60"/>
  <c r="C2653" i="60"/>
  <c r="B2653" i="60"/>
  <c r="A2653" i="60"/>
  <c r="C2652" i="60"/>
  <c r="B2652" i="60"/>
  <c r="A2652" i="60"/>
  <c r="C2651" i="60"/>
  <c r="B2651" i="60"/>
  <c r="A2651" i="60"/>
  <c r="C2650" i="60"/>
  <c r="B2650" i="60"/>
  <c r="A2650" i="60"/>
  <c r="C2649" i="60"/>
  <c r="B2649" i="60"/>
  <c r="A2649" i="60"/>
  <c r="C2648" i="60"/>
  <c r="B2648" i="60"/>
  <c r="A2648" i="60"/>
  <c r="C2647" i="60"/>
  <c r="B2647" i="60"/>
  <c r="A2647" i="60"/>
  <c r="C2646" i="60"/>
  <c r="B2646" i="60"/>
  <c r="A2646" i="60"/>
  <c r="C2645" i="60"/>
  <c r="B2645" i="60"/>
  <c r="A2645" i="60"/>
  <c r="C2644" i="60"/>
  <c r="B2644" i="60"/>
  <c r="A2644" i="60"/>
  <c r="C2643" i="60"/>
  <c r="B2643" i="60"/>
  <c r="A2643" i="60"/>
  <c r="C2642" i="60"/>
  <c r="B2642" i="60"/>
  <c r="A2642" i="60"/>
  <c r="C2641" i="60"/>
  <c r="B2641" i="60"/>
  <c r="A2641" i="60"/>
  <c r="C2640" i="60"/>
  <c r="B2640" i="60"/>
  <c r="A2640" i="60"/>
  <c r="C2639" i="60"/>
  <c r="B2639" i="60"/>
  <c r="A2639" i="60"/>
  <c r="C2638" i="60"/>
  <c r="B2638" i="60"/>
  <c r="A2638" i="60"/>
  <c r="C2637" i="60"/>
  <c r="B2637" i="60"/>
  <c r="A2637" i="60"/>
  <c r="C2636" i="60"/>
  <c r="B2636" i="60"/>
  <c r="A2636" i="60"/>
  <c r="C2635" i="60"/>
  <c r="B2635" i="60"/>
  <c r="A2635" i="60"/>
  <c r="C2634" i="60"/>
  <c r="B2634" i="60"/>
  <c r="A2634" i="60"/>
  <c r="C2633" i="60"/>
  <c r="B2633" i="60"/>
  <c r="A2633" i="60"/>
  <c r="C2632" i="60"/>
  <c r="B2632" i="60"/>
  <c r="A2632" i="60"/>
  <c r="C2631" i="60"/>
  <c r="B2631" i="60"/>
  <c r="A2631" i="60"/>
  <c r="C2630" i="60"/>
  <c r="B2630" i="60"/>
  <c r="A2630" i="60"/>
  <c r="C2629" i="60"/>
  <c r="B2629" i="60"/>
  <c r="A2629" i="60"/>
  <c r="C2628" i="60"/>
  <c r="B2628" i="60"/>
  <c r="A2628" i="60"/>
  <c r="C2627" i="60"/>
  <c r="B2627" i="60"/>
  <c r="A2627" i="60"/>
  <c r="C2626" i="60"/>
  <c r="B2626" i="60"/>
  <c r="A2626" i="60"/>
  <c r="C2625" i="60"/>
  <c r="B2625" i="60"/>
  <c r="A2625" i="60"/>
  <c r="C2624" i="60"/>
  <c r="B2624" i="60"/>
  <c r="A2624" i="60"/>
  <c r="C2623" i="60"/>
  <c r="B2623" i="60"/>
  <c r="A2623" i="60"/>
  <c r="C2622" i="60"/>
  <c r="B2622" i="60"/>
  <c r="A2622" i="60"/>
  <c r="C2621" i="60"/>
  <c r="B2621" i="60"/>
  <c r="A2621" i="60"/>
  <c r="C2620" i="60"/>
  <c r="B2620" i="60"/>
  <c r="A2620" i="60"/>
  <c r="C2619" i="60"/>
  <c r="B2619" i="60"/>
  <c r="A2619" i="60"/>
  <c r="C2618" i="60"/>
  <c r="B2618" i="60"/>
  <c r="A2618" i="60"/>
  <c r="C2617" i="60"/>
  <c r="B2617" i="60"/>
  <c r="A2617" i="60"/>
  <c r="C2616" i="60"/>
  <c r="B2616" i="60"/>
  <c r="A2616" i="60"/>
  <c r="C2615" i="60"/>
  <c r="B2615" i="60"/>
  <c r="A2615" i="60"/>
  <c r="C2614" i="60"/>
  <c r="B2614" i="60"/>
  <c r="A2614" i="60"/>
  <c r="C2613" i="60"/>
  <c r="B2613" i="60"/>
  <c r="A2613" i="60"/>
  <c r="C2612" i="60"/>
  <c r="B2612" i="60"/>
  <c r="A2612" i="60"/>
  <c r="C2611" i="60"/>
  <c r="B2611" i="60"/>
  <c r="A2611" i="60"/>
  <c r="C2610" i="60"/>
  <c r="B2610" i="60"/>
  <c r="A2610" i="60"/>
  <c r="C2609" i="60"/>
  <c r="B2609" i="60"/>
  <c r="A2609" i="60"/>
  <c r="C2608" i="60"/>
  <c r="B2608" i="60"/>
  <c r="A2608" i="60"/>
  <c r="C2607" i="60"/>
  <c r="B2607" i="60"/>
  <c r="A2607" i="60"/>
  <c r="C2606" i="60"/>
  <c r="B2606" i="60"/>
  <c r="A2606" i="60"/>
  <c r="C2605" i="60"/>
  <c r="B2605" i="60"/>
  <c r="A2605" i="60"/>
  <c r="C2604" i="60"/>
  <c r="B2604" i="60"/>
  <c r="A2604" i="60"/>
  <c r="C2603" i="60"/>
  <c r="B2603" i="60"/>
  <c r="A2603" i="60"/>
  <c r="C2602" i="60"/>
  <c r="B2602" i="60"/>
  <c r="A2602" i="60"/>
  <c r="C2601" i="60"/>
  <c r="B2601" i="60"/>
  <c r="A2601" i="60"/>
  <c r="C2600" i="60"/>
  <c r="B2600" i="60"/>
  <c r="A2600" i="60"/>
  <c r="C2599" i="60"/>
  <c r="B2599" i="60"/>
  <c r="A2599" i="60"/>
  <c r="C2598" i="60"/>
  <c r="B2598" i="60"/>
  <c r="A2598" i="60"/>
  <c r="C2597" i="60"/>
  <c r="B2597" i="60"/>
  <c r="A2597" i="60"/>
  <c r="C2596" i="60"/>
  <c r="B2596" i="60"/>
  <c r="A2596" i="60"/>
  <c r="C2595" i="60"/>
  <c r="B2595" i="60"/>
  <c r="A2595" i="60"/>
  <c r="C2594" i="60"/>
  <c r="B2594" i="60"/>
  <c r="A2594" i="60"/>
  <c r="C2593" i="60"/>
  <c r="B2593" i="60"/>
  <c r="A2593" i="60"/>
  <c r="C2592" i="60"/>
  <c r="B2592" i="60"/>
  <c r="A2592" i="60"/>
  <c r="C2591" i="60"/>
  <c r="B2591" i="60"/>
  <c r="A2591" i="60"/>
  <c r="C2590" i="60"/>
  <c r="B2590" i="60"/>
  <c r="A2590" i="60"/>
  <c r="C2589" i="60"/>
  <c r="B2589" i="60"/>
  <c r="A2589" i="60"/>
  <c r="C2588" i="60"/>
  <c r="B2588" i="60"/>
  <c r="A2588" i="60"/>
  <c r="C2587" i="60"/>
  <c r="B2587" i="60"/>
  <c r="A2587" i="60"/>
  <c r="C2586" i="60"/>
  <c r="B2586" i="60"/>
  <c r="A2586" i="60"/>
  <c r="C2585" i="60"/>
  <c r="B2585" i="60"/>
  <c r="A2585" i="60"/>
  <c r="C2584" i="60"/>
  <c r="B2584" i="60"/>
  <c r="A2584" i="60"/>
  <c r="C2583" i="60"/>
  <c r="B2583" i="60"/>
  <c r="A2583" i="60"/>
  <c r="C2582" i="60"/>
  <c r="B2582" i="60"/>
  <c r="A2582" i="60"/>
  <c r="C2581" i="60"/>
  <c r="B2581" i="60"/>
  <c r="A2581" i="60"/>
  <c r="C2580" i="60"/>
  <c r="B2580" i="60"/>
  <c r="A2580" i="60"/>
  <c r="C2579" i="60"/>
  <c r="B2579" i="60"/>
  <c r="A2579" i="60"/>
  <c r="C2578" i="60"/>
  <c r="B2578" i="60"/>
  <c r="A2578" i="60"/>
  <c r="C2577" i="60"/>
  <c r="B2577" i="60"/>
  <c r="A2577" i="60"/>
  <c r="C2576" i="60"/>
  <c r="B2576" i="60"/>
  <c r="A2576" i="60"/>
  <c r="C2575" i="60"/>
  <c r="B2575" i="60"/>
  <c r="A2575" i="60"/>
  <c r="C2574" i="60"/>
  <c r="B2574" i="60"/>
  <c r="A2574" i="60"/>
  <c r="C2573" i="60"/>
  <c r="B2573" i="60"/>
  <c r="A2573" i="60"/>
  <c r="C2572" i="60"/>
  <c r="B2572" i="60"/>
  <c r="A2572" i="60"/>
  <c r="C2571" i="60"/>
  <c r="B2571" i="60"/>
  <c r="A2571" i="60"/>
  <c r="C2570" i="60"/>
  <c r="B2570" i="60"/>
  <c r="A2570" i="60"/>
  <c r="C2569" i="60"/>
  <c r="B2569" i="60"/>
  <c r="A2569" i="60"/>
  <c r="C2568" i="60"/>
  <c r="B2568" i="60"/>
  <c r="A2568" i="60"/>
  <c r="C2567" i="60"/>
  <c r="B2567" i="60"/>
  <c r="A2567" i="60"/>
  <c r="C2566" i="60"/>
  <c r="B2566" i="60"/>
  <c r="A2566" i="60"/>
  <c r="C2565" i="60"/>
  <c r="B2565" i="60"/>
  <c r="A2565" i="60"/>
  <c r="C2564" i="60"/>
  <c r="B2564" i="60"/>
  <c r="A2564" i="60"/>
  <c r="C2563" i="60"/>
  <c r="B2563" i="60"/>
  <c r="A2563" i="60"/>
  <c r="C2562" i="60"/>
  <c r="B2562" i="60"/>
  <c r="A2562" i="60"/>
  <c r="C2561" i="60"/>
  <c r="B2561" i="60"/>
  <c r="A2561" i="60"/>
  <c r="C2560" i="60"/>
  <c r="B2560" i="60"/>
  <c r="A2560" i="60"/>
  <c r="C2559" i="60"/>
  <c r="B2559" i="60"/>
  <c r="A2559" i="60"/>
  <c r="C2558" i="60"/>
  <c r="B2558" i="60"/>
  <c r="A2558" i="60"/>
  <c r="C2557" i="60"/>
  <c r="B2557" i="60"/>
  <c r="A2557" i="60"/>
  <c r="C2556" i="60"/>
  <c r="B2556" i="60"/>
  <c r="A2556" i="60"/>
  <c r="C2555" i="60"/>
  <c r="B2555" i="60"/>
  <c r="A2555" i="60"/>
  <c r="C2554" i="60"/>
  <c r="B2554" i="60"/>
  <c r="A2554" i="60"/>
  <c r="C2553" i="60"/>
  <c r="B2553" i="60"/>
  <c r="A2553" i="60"/>
  <c r="C2552" i="60"/>
  <c r="B2552" i="60"/>
  <c r="A2552" i="60"/>
  <c r="C2551" i="60"/>
  <c r="B2551" i="60"/>
  <c r="A2551" i="60"/>
  <c r="C2550" i="60"/>
  <c r="B2550" i="60"/>
  <c r="A2550" i="60"/>
  <c r="C2549" i="60"/>
  <c r="B2549" i="60"/>
  <c r="A2549" i="60"/>
  <c r="C2548" i="60"/>
  <c r="B2548" i="60"/>
  <c r="A2548" i="60"/>
  <c r="C2547" i="60"/>
  <c r="B2547" i="60"/>
  <c r="A2547" i="60"/>
  <c r="C2546" i="60"/>
  <c r="B2546" i="60"/>
  <c r="A2546" i="60"/>
  <c r="C2545" i="60"/>
  <c r="B2545" i="60"/>
  <c r="A2545" i="60"/>
  <c r="C2544" i="60"/>
  <c r="B2544" i="60"/>
  <c r="A2544" i="60"/>
  <c r="C2543" i="60"/>
  <c r="B2543" i="60"/>
  <c r="A2543" i="60"/>
  <c r="C2542" i="60"/>
  <c r="B2542" i="60"/>
  <c r="A2542" i="60"/>
  <c r="C2541" i="60"/>
  <c r="B2541" i="60"/>
  <c r="A2541" i="60"/>
  <c r="C2540" i="60"/>
  <c r="B2540" i="60"/>
  <c r="A2540" i="60"/>
  <c r="C2539" i="60"/>
  <c r="B2539" i="60"/>
  <c r="A2539" i="60"/>
  <c r="C2538" i="60"/>
  <c r="B2538" i="60"/>
  <c r="A2538" i="60"/>
  <c r="C2537" i="60"/>
  <c r="B2537" i="60"/>
  <c r="A2537" i="60"/>
  <c r="C2536" i="60"/>
  <c r="B2536" i="60"/>
  <c r="A2536" i="60"/>
  <c r="C2535" i="60"/>
  <c r="B2535" i="60"/>
  <c r="A2535" i="60"/>
  <c r="C2534" i="60"/>
  <c r="B2534" i="60"/>
  <c r="A2534" i="60"/>
  <c r="C2533" i="60"/>
  <c r="B2533" i="60"/>
  <c r="A2533" i="60"/>
  <c r="C2532" i="60"/>
  <c r="B2532" i="60"/>
  <c r="A2532" i="60"/>
  <c r="C2531" i="60"/>
  <c r="B2531" i="60"/>
  <c r="A2531" i="60"/>
  <c r="C2530" i="60"/>
  <c r="B2530" i="60"/>
  <c r="A2530" i="60"/>
  <c r="C2529" i="60"/>
  <c r="B2529" i="60"/>
  <c r="A2529" i="60"/>
  <c r="C2528" i="60"/>
  <c r="B2528" i="60"/>
  <c r="A2528" i="60"/>
  <c r="C2527" i="60"/>
  <c r="B2527" i="60"/>
  <c r="A2527" i="60"/>
  <c r="C2526" i="60"/>
  <c r="B2526" i="60"/>
  <c r="A2526" i="60"/>
  <c r="C2525" i="60"/>
  <c r="B2525" i="60"/>
  <c r="A2525" i="60"/>
  <c r="C2524" i="60"/>
  <c r="B2524" i="60"/>
  <c r="A2524" i="60"/>
  <c r="C2523" i="60"/>
  <c r="B2523" i="60"/>
  <c r="A2523" i="60"/>
  <c r="C2522" i="60"/>
  <c r="B2522" i="60"/>
  <c r="A2522" i="60"/>
  <c r="C2521" i="60"/>
  <c r="B2521" i="60"/>
  <c r="A2521" i="60"/>
  <c r="C2520" i="60"/>
  <c r="B2520" i="60"/>
  <c r="A2520" i="60"/>
  <c r="C2519" i="60"/>
  <c r="B2519" i="60"/>
  <c r="A2519" i="60"/>
  <c r="C2518" i="60"/>
  <c r="B2518" i="60"/>
  <c r="A2518" i="60"/>
  <c r="C2517" i="60"/>
  <c r="B2517" i="60"/>
  <c r="A2517" i="60"/>
  <c r="C2516" i="60"/>
  <c r="B2516" i="60"/>
  <c r="A2516" i="60"/>
  <c r="C2515" i="60"/>
  <c r="B2515" i="60"/>
  <c r="A2515" i="60"/>
  <c r="C2514" i="60"/>
  <c r="B2514" i="60"/>
  <c r="A2514" i="60"/>
  <c r="C2513" i="60"/>
  <c r="B2513" i="60"/>
  <c r="A2513" i="60"/>
  <c r="C2512" i="60"/>
  <c r="B2512" i="60"/>
  <c r="A2512" i="60"/>
  <c r="C2511" i="60"/>
  <c r="B2511" i="60"/>
  <c r="A2511" i="60"/>
  <c r="C2510" i="60"/>
  <c r="B2510" i="60"/>
  <c r="A2510" i="60"/>
  <c r="C2509" i="60"/>
  <c r="B2509" i="60"/>
  <c r="A2509" i="60"/>
  <c r="C2508" i="60"/>
  <c r="B2508" i="60"/>
  <c r="A2508" i="60"/>
  <c r="C2507" i="60"/>
  <c r="B2507" i="60"/>
  <c r="A2507" i="60"/>
  <c r="C2506" i="60"/>
  <c r="B2506" i="60"/>
  <c r="A2506" i="60"/>
  <c r="C2505" i="60"/>
  <c r="B2505" i="60"/>
  <c r="A2505" i="60"/>
  <c r="C2504" i="60"/>
  <c r="B2504" i="60"/>
  <c r="A2504" i="60"/>
  <c r="C2503" i="60"/>
  <c r="B2503" i="60"/>
  <c r="A2503" i="60"/>
  <c r="C2502" i="60"/>
  <c r="B2502" i="60"/>
  <c r="A2502" i="60"/>
  <c r="C2501" i="60"/>
  <c r="B2501" i="60"/>
  <c r="A2501" i="60"/>
  <c r="C2500" i="60"/>
  <c r="B2500" i="60"/>
  <c r="A2500" i="60"/>
  <c r="C2499" i="60"/>
  <c r="B2499" i="60"/>
  <c r="A2499" i="60"/>
  <c r="C2498" i="60"/>
  <c r="B2498" i="60"/>
  <c r="A2498" i="60"/>
  <c r="C2497" i="60"/>
  <c r="B2497" i="60"/>
  <c r="A2497" i="60"/>
  <c r="C2496" i="60"/>
  <c r="B2496" i="60"/>
  <c r="A2496" i="60"/>
  <c r="C2495" i="60"/>
  <c r="B2495" i="60"/>
  <c r="A2495" i="60"/>
  <c r="C2494" i="60"/>
  <c r="B2494" i="60"/>
  <c r="A2494" i="60"/>
  <c r="C2493" i="60"/>
  <c r="B2493" i="60"/>
  <c r="A2493" i="60"/>
  <c r="C2492" i="60"/>
  <c r="B2492" i="60"/>
  <c r="A2492" i="60"/>
  <c r="C2491" i="60"/>
  <c r="B2491" i="60"/>
  <c r="A2491" i="60"/>
  <c r="C2490" i="60"/>
  <c r="B2490" i="60"/>
  <c r="A2490" i="60"/>
  <c r="C2489" i="60"/>
  <c r="B2489" i="60"/>
  <c r="A2489" i="60"/>
  <c r="C2488" i="60"/>
  <c r="B2488" i="60"/>
  <c r="A2488" i="60"/>
  <c r="C2487" i="60"/>
  <c r="B2487" i="60"/>
  <c r="A2487" i="60"/>
  <c r="C2486" i="60"/>
  <c r="B2486" i="60"/>
  <c r="A2486" i="60"/>
  <c r="C2485" i="60"/>
  <c r="B2485" i="60"/>
  <c r="A2485" i="60"/>
  <c r="C2484" i="60"/>
  <c r="B2484" i="60"/>
  <c r="A2484" i="60"/>
  <c r="C2483" i="60"/>
  <c r="B2483" i="60"/>
  <c r="A2483" i="60"/>
  <c r="C2482" i="60"/>
  <c r="B2482" i="60"/>
  <c r="A2482" i="60"/>
  <c r="C2481" i="60"/>
  <c r="B2481" i="60"/>
  <c r="A2481" i="60"/>
  <c r="C2480" i="60"/>
  <c r="B2480" i="60"/>
  <c r="A2480" i="60"/>
  <c r="C2479" i="60"/>
  <c r="B2479" i="60"/>
  <c r="A2479" i="60"/>
  <c r="C2478" i="60"/>
  <c r="B2478" i="60"/>
  <c r="A2478" i="60"/>
  <c r="C2477" i="60"/>
  <c r="B2477" i="60"/>
  <c r="A2477" i="60"/>
  <c r="C2476" i="60"/>
  <c r="B2476" i="60"/>
  <c r="A2476" i="60"/>
  <c r="C2475" i="60"/>
  <c r="B2475" i="60"/>
  <c r="A2475" i="60"/>
  <c r="C2474" i="60"/>
  <c r="B2474" i="60"/>
  <c r="A2474" i="60"/>
  <c r="C2473" i="60"/>
  <c r="B2473" i="60"/>
  <c r="A2473" i="60"/>
  <c r="C2472" i="60"/>
  <c r="B2472" i="60"/>
  <c r="A2472" i="60"/>
  <c r="C2471" i="60"/>
  <c r="B2471" i="60"/>
  <c r="A2471" i="60"/>
  <c r="C2470" i="60"/>
  <c r="B2470" i="60"/>
  <c r="A2470" i="60"/>
  <c r="C2469" i="60"/>
  <c r="B2469" i="60"/>
  <c r="A2469" i="60"/>
  <c r="C2468" i="60"/>
  <c r="B2468" i="60"/>
  <c r="A2468" i="60"/>
  <c r="C2467" i="60"/>
  <c r="B2467" i="60"/>
  <c r="A2467" i="60"/>
  <c r="C2466" i="60"/>
  <c r="B2466" i="60"/>
  <c r="A2466" i="60"/>
  <c r="C2465" i="60"/>
  <c r="B2465" i="60"/>
  <c r="A2465" i="60"/>
  <c r="C2464" i="60"/>
  <c r="B2464" i="60"/>
  <c r="A2464" i="60"/>
  <c r="C2463" i="60"/>
  <c r="B2463" i="60"/>
  <c r="A2463" i="60"/>
  <c r="C2462" i="60"/>
  <c r="B2462" i="60"/>
  <c r="A2462" i="60"/>
  <c r="C2461" i="60"/>
  <c r="B2461" i="60"/>
  <c r="A2461" i="60"/>
  <c r="C2460" i="60"/>
  <c r="B2460" i="60"/>
  <c r="A2460" i="60"/>
  <c r="C2459" i="60"/>
  <c r="B2459" i="60"/>
  <c r="A2459" i="60"/>
  <c r="C2458" i="60"/>
  <c r="B2458" i="60"/>
  <c r="A2458" i="60"/>
  <c r="C2457" i="60"/>
  <c r="B2457" i="60"/>
  <c r="A2457" i="60"/>
  <c r="C2456" i="60"/>
  <c r="B2456" i="60"/>
  <c r="A2456" i="60"/>
  <c r="C2455" i="60"/>
  <c r="B2455" i="60"/>
  <c r="A2455" i="60"/>
  <c r="C2454" i="60"/>
  <c r="B2454" i="60"/>
  <c r="A2454" i="60"/>
  <c r="C2453" i="60"/>
  <c r="B2453" i="60"/>
  <c r="A2453" i="60"/>
  <c r="C2452" i="60"/>
  <c r="B2452" i="60"/>
  <c r="A2452" i="60"/>
  <c r="C2451" i="60"/>
  <c r="B2451" i="60"/>
  <c r="A2451" i="60"/>
  <c r="C2450" i="60"/>
  <c r="B2450" i="60"/>
  <c r="A2450" i="60"/>
  <c r="C2449" i="60"/>
  <c r="B2449" i="60"/>
  <c r="A2449" i="60"/>
  <c r="C2448" i="60"/>
  <c r="B2448" i="60"/>
  <c r="A2448" i="60"/>
  <c r="C2447" i="60"/>
  <c r="B2447" i="60"/>
  <c r="A2447" i="60"/>
  <c r="C2446" i="60"/>
  <c r="B2446" i="60"/>
  <c r="A2446" i="60"/>
  <c r="C2445" i="60"/>
  <c r="B2445" i="60"/>
  <c r="A2445" i="60"/>
  <c r="C2444" i="60"/>
  <c r="B2444" i="60"/>
  <c r="A2444" i="60"/>
  <c r="C2443" i="60"/>
  <c r="B2443" i="60"/>
  <c r="A2443" i="60"/>
  <c r="C2442" i="60"/>
  <c r="B2442" i="60"/>
  <c r="A2442" i="60"/>
  <c r="C2441" i="60"/>
  <c r="B2441" i="60"/>
  <c r="A2441" i="60"/>
  <c r="C2440" i="60"/>
  <c r="B2440" i="60"/>
  <c r="A2440" i="60"/>
  <c r="C2439" i="60"/>
  <c r="B2439" i="60"/>
  <c r="A2439" i="60"/>
  <c r="C2438" i="60"/>
  <c r="B2438" i="60"/>
  <c r="A2438" i="60"/>
  <c r="C2437" i="60"/>
  <c r="B2437" i="60"/>
  <c r="A2437" i="60"/>
  <c r="C2436" i="60"/>
  <c r="B2436" i="60"/>
  <c r="A2436" i="60"/>
  <c r="C2435" i="60"/>
  <c r="B2435" i="60"/>
  <c r="A2435" i="60"/>
  <c r="C2434" i="60"/>
  <c r="B2434" i="60"/>
  <c r="A2434" i="60"/>
  <c r="C2433" i="60"/>
  <c r="B2433" i="60"/>
  <c r="A2433" i="60"/>
  <c r="C2432" i="60"/>
  <c r="B2432" i="60"/>
  <c r="A2432" i="60"/>
  <c r="C2431" i="60"/>
  <c r="B2431" i="60"/>
  <c r="A2431" i="60"/>
  <c r="C2430" i="60"/>
  <c r="B2430" i="60"/>
  <c r="A2430" i="60"/>
  <c r="C2429" i="60"/>
  <c r="B2429" i="60"/>
  <c r="A2429" i="60"/>
  <c r="C2428" i="60"/>
  <c r="B2428" i="60"/>
  <c r="A2428" i="60"/>
  <c r="C2427" i="60"/>
  <c r="B2427" i="60"/>
  <c r="A2427" i="60"/>
  <c r="C2426" i="60"/>
  <c r="B2426" i="60"/>
  <c r="A2426" i="60"/>
  <c r="C2425" i="60"/>
  <c r="B2425" i="60"/>
  <c r="A2425" i="60"/>
  <c r="C2424" i="60"/>
  <c r="B2424" i="60"/>
  <c r="A2424" i="60"/>
  <c r="C2423" i="60"/>
  <c r="B2423" i="60"/>
  <c r="A2423" i="60"/>
  <c r="C2422" i="60"/>
  <c r="B2422" i="60"/>
  <c r="A2422" i="60"/>
  <c r="C2421" i="60"/>
  <c r="B2421" i="60"/>
  <c r="A2421" i="60"/>
  <c r="C2420" i="60"/>
  <c r="B2420" i="60"/>
  <c r="A2420" i="60"/>
  <c r="C2419" i="60"/>
  <c r="B2419" i="60"/>
  <c r="A2419" i="60"/>
  <c r="C2418" i="60"/>
  <c r="B2418" i="60"/>
  <c r="A2418" i="60"/>
  <c r="C2417" i="60"/>
  <c r="B2417" i="60"/>
  <c r="A2417" i="60"/>
  <c r="C2416" i="60"/>
  <c r="B2416" i="60"/>
  <c r="A2416" i="60"/>
  <c r="C2415" i="60"/>
  <c r="B2415" i="60"/>
  <c r="A2415" i="60"/>
  <c r="C2414" i="60"/>
  <c r="B2414" i="60"/>
  <c r="A2414" i="60"/>
  <c r="C2413" i="60"/>
  <c r="B2413" i="60"/>
  <c r="A2413" i="60"/>
  <c r="C2412" i="60"/>
  <c r="B2412" i="60"/>
  <c r="A2412" i="60"/>
  <c r="C2411" i="60"/>
  <c r="B2411" i="60"/>
  <c r="A2411" i="60"/>
  <c r="C2410" i="60"/>
  <c r="B2410" i="60"/>
  <c r="A2410" i="60"/>
  <c r="C2409" i="60"/>
  <c r="B2409" i="60"/>
  <c r="A2409" i="60"/>
  <c r="C2408" i="60"/>
  <c r="B2408" i="60"/>
  <c r="A2408" i="60"/>
  <c r="C2407" i="60"/>
  <c r="B2407" i="60"/>
  <c r="A2407" i="60"/>
  <c r="C2406" i="60"/>
  <c r="B2406" i="60"/>
  <c r="A2406" i="60"/>
  <c r="C2405" i="60"/>
  <c r="B2405" i="60"/>
  <c r="A2405" i="60"/>
  <c r="C2404" i="60"/>
  <c r="B2404" i="60"/>
  <c r="A2404" i="60"/>
  <c r="C2403" i="60"/>
  <c r="B2403" i="60"/>
  <c r="A2403" i="60"/>
  <c r="C2402" i="60"/>
  <c r="B2402" i="60"/>
  <c r="A2402" i="60"/>
  <c r="C2401" i="60"/>
  <c r="B2401" i="60"/>
  <c r="A2401" i="60"/>
  <c r="C2400" i="60"/>
  <c r="B2400" i="60"/>
  <c r="A2400" i="60"/>
  <c r="C2399" i="60"/>
  <c r="B2399" i="60"/>
  <c r="A2399" i="60"/>
  <c r="C2398" i="60"/>
  <c r="B2398" i="60"/>
  <c r="A2398" i="60"/>
  <c r="C2397" i="60"/>
  <c r="B2397" i="60"/>
  <c r="A2397" i="60"/>
  <c r="C2396" i="60"/>
  <c r="B2396" i="60"/>
  <c r="A2396" i="60"/>
  <c r="C2395" i="60"/>
  <c r="B2395" i="60"/>
  <c r="A2395" i="60"/>
  <c r="C2394" i="60"/>
  <c r="B2394" i="60"/>
  <c r="A2394" i="60"/>
  <c r="C2393" i="60"/>
  <c r="B2393" i="60"/>
  <c r="A2393" i="60"/>
  <c r="C2392" i="60"/>
  <c r="B2392" i="60"/>
  <c r="A2392" i="60"/>
  <c r="C2391" i="60"/>
  <c r="B2391" i="60"/>
  <c r="A2391" i="60"/>
  <c r="C2390" i="60"/>
  <c r="B2390" i="60"/>
  <c r="A2390" i="60"/>
  <c r="C2389" i="60"/>
  <c r="B2389" i="60"/>
  <c r="A2389" i="60"/>
  <c r="C2388" i="60"/>
  <c r="B2388" i="60"/>
  <c r="A2388" i="60"/>
  <c r="C2387" i="60"/>
  <c r="B2387" i="60"/>
  <c r="A2387" i="60"/>
  <c r="C2386" i="60"/>
  <c r="B2386" i="60"/>
  <c r="A2386" i="60"/>
  <c r="C2385" i="60"/>
  <c r="B2385" i="60"/>
  <c r="A2385" i="60"/>
  <c r="C2384" i="60"/>
  <c r="B2384" i="60"/>
  <c r="A2384" i="60"/>
  <c r="C2383" i="60"/>
  <c r="B2383" i="60"/>
  <c r="A2383" i="60"/>
  <c r="C2382" i="60"/>
  <c r="B2382" i="60"/>
  <c r="A2382" i="60"/>
  <c r="C2381" i="60"/>
  <c r="B2381" i="60"/>
  <c r="A2381" i="60"/>
  <c r="C2380" i="60"/>
  <c r="B2380" i="60"/>
  <c r="A2380" i="60"/>
  <c r="C2379" i="60"/>
  <c r="B2379" i="60"/>
  <c r="A2379" i="60"/>
  <c r="C2378" i="60"/>
  <c r="B2378" i="60"/>
  <c r="A2378" i="60"/>
  <c r="C2377" i="60"/>
  <c r="B2377" i="60"/>
  <c r="A2377" i="60"/>
  <c r="C2376" i="60"/>
  <c r="B2376" i="60"/>
  <c r="A2376" i="60"/>
  <c r="C2375" i="60"/>
  <c r="B2375" i="60"/>
  <c r="A2375" i="60"/>
  <c r="C2374" i="60"/>
  <c r="B2374" i="60"/>
  <c r="A2374" i="60"/>
  <c r="C2373" i="60"/>
  <c r="B2373" i="60"/>
  <c r="A2373" i="60"/>
  <c r="C2372" i="60"/>
  <c r="B2372" i="60"/>
  <c r="A2372" i="60"/>
  <c r="C2371" i="60"/>
  <c r="B2371" i="60"/>
  <c r="A2371" i="60"/>
  <c r="C2370" i="60"/>
  <c r="B2370" i="60"/>
  <c r="A2370" i="60"/>
  <c r="C2369" i="60"/>
  <c r="B2369" i="60"/>
  <c r="A2369" i="60"/>
  <c r="C2368" i="60"/>
  <c r="B2368" i="60"/>
  <c r="A2368" i="60"/>
  <c r="C2367" i="60"/>
  <c r="B2367" i="60"/>
  <c r="A2367" i="60"/>
  <c r="C2366" i="60"/>
  <c r="B2366" i="60"/>
  <c r="A2366" i="60"/>
  <c r="C2365" i="60"/>
  <c r="B2365" i="60"/>
  <c r="A2365" i="60"/>
  <c r="C2364" i="60"/>
  <c r="B2364" i="60"/>
  <c r="A2364" i="60"/>
  <c r="C2363" i="60"/>
  <c r="B2363" i="60"/>
  <c r="A2363" i="60"/>
  <c r="C2362" i="60"/>
  <c r="B2362" i="60"/>
  <c r="A2362" i="60"/>
  <c r="C2361" i="60"/>
  <c r="B2361" i="60"/>
  <c r="A2361" i="60"/>
  <c r="C2360" i="60"/>
  <c r="B2360" i="60"/>
  <c r="A2360" i="60"/>
  <c r="C2359" i="60"/>
  <c r="B2359" i="60"/>
  <c r="A2359" i="60"/>
  <c r="C2358" i="60"/>
  <c r="B2358" i="60"/>
  <c r="A2358" i="60"/>
  <c r="C2357" i="60"/>
  <c r="B2357" i="60"/>
  <c r="A2357" i="60"/>
  <c r="C2356" i="60"/>
  <c r="B2356" i="60"/>
  <c r="A2356" i="60"/>
  <c r="C2355" i="60"/>
  <c r="B2355" i="60"/>
  <c r="A2355" i="60"/>
  <c r="C2354" i="60"/>
  <c r="B2354" i="60"/>
  <c r="A2354" i="60"/>
  <c r="C2353" i="60"/>
  <c r="B2353" i="60"/>
  <c r="A2353" i="60"/>
  <c r="C2352" i="60"/>
  <c r="B2352" i="60"/>
  <c r="A2352" i="60"/>
  <c r="C2351" i="60"/>
  <c r="B2351" i="60"/>
  <c r="A2351" i="60"/>
  <c r="C2350" i="60"/>
  <c r="B2350" i="60"/>
  <c r="A2350" i="60"/>
  <c r="C2349" i="60"/>
  <c r="B2349" i="60"/>
  <c r="A2349" i="60"/>
  <c r="C2348" i="60"/>
  <c r="B2348" i="60"/>
  <c r="A2348" i="60"/>
  <c r="C2347" i="60"/>
  <c r="B2347" i="60"/>
  <c r="A2347" i="60"/>
  <c r="C2346" i="60"/>
  <c r="B2346" i="60"/>
  <c r="A2346" i="60"/>
  <c r="C2345" i="60"/>
  <c r="B2345" i="60"/>
  <c r="A2345" i="60"/>
  <c r="C2344" i="60"/>
  <c r="B2344" i="60"/>
  <c r="A2344" i="60"/>
  <c r="C2343" i="60"/>
  <c r="B2343" i="60"/>
  <c r="A2343" i="60"/>
  <c r="C2342" i="60"/>
  <c r="B2342" i="60"/>
  <c r="A2342" i="60"/>
  <c r="C2341" i="60"/>
  <c r="B2341" i="60"/>
  <c r="A2341" i="60"/>
  <c r="C2340" i="60"/>
  <c r="B2340" i="60"/>
  <c r="A2340" i="60"/>
  <c r="C2339" i="60"/>
  <c r="B2339" i="60"/>
  <c r="A2339" i="60"/>
  <c r="C2338" i="60"/>
  <c r="B2338" i="60"/>
  <c r="A2338" i="60"/>
  <c r="C2337" i="60"/>
  <c r="B2337" i="60"/>
  <c r="A2337" i="60"/>
  <c r="C2336" i="60"/>
  <c r="B2336" i="60"/>
  <c r="A2336" i="60"/>
  <c r="C2335" i="60"/>
  <c r="B2335" i="60"/>
  <c r="A2335" i="60"/>
  <c r="C2334" i="60"/>
  <c r="B2334" i="60"/>
  <c r="A2334" i="60"/>
  <c r="C2333" i="60"/>
  <c r="B2333" i="60"/>
  <c r="A2333" i="60"/>
  <c r="C2332" i="60"/>
  <c r="B2332" i="60"/>
  <c r="A2332" i="60"/>
  <c r="C2331" i="60"/>
  <c r="B2331" i="60"/>
  <c r="A2331" i="60"/>
  <c r="C2330" i="60"/>
  <c r="B2330" i="60"/>
  <c r="A2330" i="60"/>
  <c r="C2329" i="60"/>
  <c r="B2329" i="60"/>
  <c r="A2329" i="60"/>
  <c r="C2328" i="60"/>
  <c r="B2328" i="60"/>
  <c r="A2328" i="60"/>
  <c r="C2327" i="60"/>
  <c r="B2327" i="60"/>
  <c r="A2327" i="60"/>
  <c r="C2326" i="60"/>
  <c r="B2326" i="60"/>
  <c r="A2326" i="60"/>
  <c r="C2325" i="60"/>
  <c r="B2325" i="60"/>
  <c r="A2325" i="60"/>
  <c r="C2324" i="60"/>
  <c r="B2324" i="60"/>
  <c r="A2324" i="60"/>
  <c r="C2323" i="60"/>
  <c r="B2323" i="60"/>
  <c r="A2323" i="60"/>
  <c r="C2322" i="60"/>
  <c r="B2322" i="60"/>
  <c r="A2322" i="60"/>
  <c r="C2321" i="60"/>
  <c r="B2321" i="60"/>
  <c r="A2321" i="60"/>
  <c r="C2320" i="60"/>
  <c r="B2320" i="60"/>
  <c r="A2320" i="60"/>
  <c r="C2319" i="60"/>
  <c r="B2319" i="60"/>
  <c r="A2319" i="60"/>
  <c r="C2318" i="60"/>
  <c r="B2318" i="60"/>
  <c r="A2318" i="60"/>
  <c r="C2317" i="60"/>
  <c r="B2317" i="60"/>
  <c r="A2317" i="60"/>
  <c r="C2316" i="60"/>
  <c r="B2316" i="60"/>
  <c r="A2316" i="60"/>
  <c r="C2315" i="60"/>
  <c r="B2315" i="60"/>
  <c r="A2315" i="60"/>
  <c r="C2314" i="60"/>
  <c r="B2314" i="60"/>
  <c r="A2314" i="60"/>
  <c r="C2313" i="60"/>
  <c r="B2313" i="60"/>
  <c r="A2313" i="60"/>
  <c r="C2312" i="60"/>
  <c r="B2312" i="60"/>
  <c r="A2312" i="60"/>
  <c r="C2311" i="60"/>
  <c r="B2311" i="60"/>
  <c r="A2311" i="60"/>
  <c r="C2310" i="60"/>
  <c r="B2310" i="60"/>
  <c r="A2310" i="60"/>
  <c r="C2309" i="60"/>
  <c r="B2309" i="60"/>
  <c r="A2309" i="60"/>
  <c r="C2308" i="60"/>
  <c r="B2308" i="60"/>
  <c r="A2308" i="60"/>
  <c r="C2307" i="60"/>
  <c r="B2307" i="60"/>
  <c r="A2307" i="60"/>
  <c r="C2306" i="60"/>
  <c r="B2306" i="60"/>
  <c r="A2306" i="60"/>
  <c r="C2305" i="60"/>
  <c r="B2305" i="60"/>
  <c r="A2305" i="60"/>
  <c r="C2304" i="60"/>
  <c r="B2304" i="60"/>
  <c r="A2304" i="60"/>
  <c r="C2303" i="60"/>
  <c r="B2303" i="60"/>
  <c r="A2303" i="60"/>
  <c r="C2302" i="60"/>
  <c r="B2302" i="60"/>
  <c r="A2302" i="60"/>
  <c r="C2301" i="60"/>
  <c r="B2301" i="60"/>
  <c r="A2301" i="60"/>
  <c r="C2300" i="60"/>
  <c r="B2300" i="60"/>
  <c r="A2300" i="60"/>
  <c r="C2299" i="60"/>
  <c r="B2299" i="60"/>
  <c r="A2299" i="60"/>
  <c r="C2298" i="60"/>
  <c r="B2298" i="60"/>
  <c r="A2298" i="60"/>
  <c r="C2297" i="60"/>
  <c r="B2297" i="60"/>
  <c r="A2297" i="60"/>
  <c r="C2296" i="60"/>
  <c r="B2296" i="60"/>
  <c r="A2296" i="60"/>
  <c r="C2295" i="60"/>
  <c r="B2295" i="60"/>
  <c r="A2295" i="60"/>
  <c r="C2294" i="60"/>
  <c r="B2294" i="60"/>
  <c r="A2294" i="60"/>
  <c r="C2293" i="60"/>
  <c r="B2293" i="60"/>
  <c r="A2293" i="60"/>
  <c r="C2292" i="60"/>
  <c r="B2292" i="60"/>
  <c r="A2292" i="60"/>
  <c r="C2291" i="60"/>
  <c r="B2291" i="60"/>
  <c r="A2291" i="60"/>
  <c r="C2290" i="60"/>
  <c r="B2290" i="60"/>
  <c r="A2290" i="60"/>
  <c r="C2289" i="60"/>
  <c r="B2289" i="60"/>
  <c r="A2289" i="60"/>
  <c r="C2288" i="60"/>
  <c r="B2288" i="60"/>
  <c r="A2288" i="60"/>
  <c r="C2287" i="60"/>
  <c r="B2287" i="60"/>
  <c r="A2287" i="60"/>
  <c r="C2286" i="60"/>
  <c r="B2286" i="60"/>
  <c r="A2286" i="60"/>
  <c r="C2285" i="60"/>
  <c r="B2285" i="60"/>
  <c r="A2285" i="60"/>
  <c r="C2284" i="60"/>
  <c r="B2284" i="60"/>
  <c r="A2284" i="60"/>
  <c r="C2283" i="60"/>
  <c r="B2283" i="60"/>
  <c r="A2283" i="60"/>
  <c r="C2282" i="60"/>
  <c r="B2282" i="60"/>
  <c r="A2282" i="60"/>
  <c r="C2281" i="60"/>
  <c r="B2281" i="60"/>
  <c r="A2281" i="60"/>
  <c r="C2280" i="60"/>
  <c r="B2280" i="60"/>
  <c r="A2280" i="60"/>
  <c r="C2279" i="60"/>
  <c r="B2279" i="60"/>
  <c r="A2279" i="60"/>
  <c r="C2278" i="60"/>
  <c r="B2278" i="60"/>
  <c r="A2278" i="60"/>
  <c r="C2277" i="60"/>
  <c r="B2277" i="60"/>
  <c r="A2277" i="60"/>
  <c r="C2276" i="60"/>
  <c r="B2276" i="60"/>
  <c r="A2276" i="60"/>
  <c r="C2275" i="60"/>
  <c r="B2275" i="60"/>
  <c r="A2275" i="60"/>
  <c r="C2274" i="60"/>
  <c r="B2274" i="60"/>
  <c r="A2274" i="60"/>
  <c r="C2273" i="60"/>
  <c r="B2273" i="60"/>
  <c r="A2273" i="60"/>
  <c r="C2272" i="60"/>
  <c r="B2272" i="60"/>
  <c r="A2272" i="60"/>
  <c r="C2271" i="60"/>
  <c r="B2271" i="60"/>
  <c r="A2271" i="60"/>
  <c r="C2270" i="60"/>
  <c r="B2270" i="60"/>
  <c r="A2270" i="60"/>
  <c r="C2269" i="60"/>
  <c r="B2269" i="60"/>
  <c r="A2269" i="60"/>
  <c r="C2268" i="60"/>
  <c r="B2268" i="60"/>
  <c r="A2268" i="60"/>
  <c r="C2267" i="60"/>
  <c r="B2267" i="60"/>
  <c r="A2267" i="60"/>
  <c r="C2266" i="60"/>
  <c r="B2266" i="60"/>
  <c r="A2266" i="60"/>
  <c r="C2265" i="60"/>
  <c r="B2265" i="60"/>
  <c r="A2265" i="60"/>
  <c r="C2264" i="60"/>
  <c r="B2264" i="60"/>
  <c r="A2264" i="60"/>
  <c r="C2263" i="60"/>
  <c r="B2263" i="60"/>
  <c r="A2263" i="60"/>
  <c r="C2262" i="60"/>
  <c r="B2262" i="60"/>
  <c r="A2262" i="60"/>
  <c r="C2261" i="60"/>
  <c r="B2261" i="60"/>
  <c r="A2261" i="60"/>
  <c r="C2260" i="60"/>
  <c r="B2260" i="60"/>
  <c r="A2260" i="60"/>
  <c r="C2259" i="60"/>
  <c r="B2259" i="60"/>
  <c r="A2259" i="60"/>
  <c r="C2258" i="60"/>
  <c r="B2258" i="60"/>
  <c r="A2258" i="60"/>
  <c r="C2257" i="60"/>
  <c r="B2257" i="60"/>
  <c r="A2257" i="60"/>
  <c r="C2256" i="60"/>
  <c r="B2256" i="60"/>
  <c r="A2256" i="60"/>
  <c r="C2255" i="60"/>
  <c r="B2255" i="60"/>
  <c r="A2255" i="60"/>
  <c r="C2254" i="60"/>
  <c r="B2254" i="60"/>
  <c r="A2254" i="60"/>
  <c r="C2253" i="60"/>
  <c r="B2253" i="60"/>
  <c r="A2253" i="60"/>
  <c r="C2252" i="60"/>
  <c r="B2252" i="60"/>
  <c r="A2252" i="60"/>
  <c r="C2251" i="60"/>
  <c r="B2251" i="60"/>
  <c r="A2251" i="60"/>
  <c r="C2250" i="60"/>
  <c r="B2250" i="60"/>
  <c r="A2250" i="60"/>
  <c r="C2249" i="60"/>
  <c r="B2249" i="60"/>
  <c r="A2249" i="60"/>
  <c r="C2248" i="60"/>
  <c r="B2248" i="60"/>
  <c r="A2248" i="60"/>
  <c r="C2247" i="60"/>
  <c r="B2247" i="60"/>
  <c r="A2247" i="60"/>
  <c r="C2246" i="60"/>
  <c r="B2246" i="60"/>
  <c r="A2246" i="60"/>
  <c r="C2245" i="60"/>
  <c r="B2245" i="60"/>
  <c r="A2245" i="60"/>
  <c r="C2244" i="60"/>
  <c r="B2244" i="60"/>
  <c r="A2244" i="60"/>
  <c r="C2243" i="60"/>
  <c r="B2243" i="60"/>
  <c r="A2243" i="60"/>
  <c r="C2242" i="60"/>
  <c r="B2242" i="60"/>
  <c r="A2242" i="60"/>
  <c r="C2241" i="60"/>
  <c r="B2241" i="60"/>
  <c r="A2241" i="60"/>
  <c r="C2240" i="60"/>
  <c r="B2240" i="60"/>
  <c r="A2240" i="60"/>
  <c r="C2239" i="60"/>
  <c r="B2239" i="60"/>
  <c r="A2239" i="60"/>
  <c r="C2238" i="60"/>
  <c r="B2238" i="60"/>
  <c r="A2238" i="60"/>
  <c r="C2237" i="60"/>
  <c r="B2237" i="60"/>
  <c r="A2237" i="60"/>
  <c r="C2236" i="60"/>
  <c r="B2236" i="60"/>
  <c r="A2236" i="60"/>
  <c r="C2235" i="60"/>
  <c r="B2235" i="60"/>
  <c r="A2235" i="60"/>
  <c r="C2234" i="60"/>
  <c r="B2234" i="60"/>
  <c r="A2234" i="60"/>
  <c r="C2233" i="60"/>
  <c r="B2233" i="60"/>
  <c r="A2233" i="60"/>
  <c r="C2232" i="60"/>
  <c r="B2232" i="60"/>
  <c r="A2232" i="60"/>
  <c r="C2231" i="60"/>
  <c r="B2231" i="60"/>
  <c r="A2231" i="60"/>
  <c r="C2230" i="60"/>
  <c r="B2230" i="60"/>
  <c r="A2230" i="60"/>
  <c r="C2229" i="60"/>
  <c r="B2229" i="60"/>
  <c r="A2229" i="60"/>
  <c r="C2228" i="60"/>
  <c r="B2228" i="60"/>
  <c r="A2228" i="60"/>
  <c r="C2227" i="60"/>
  <c r="B2227" i="60"/>
  <c r="A2227" i="60"/>
  <c r="C2226" i="60"/>
  <c r="B2226" i="60"/>
  <c r="A2226" i="60"/>
  <c r="C2225" i="60"/>
  <c r="B2225" i="60"/>
  <c r="A2225" i="60"/>
  <c r="C2224" i="60"/>
  <c r="B2224" i="60"/>
  <c r="A2224" i="60"/>
  <c r="C2223" i="60"/>
  <c r="B2223" i="60"/>
  <c r="A2223" i="60"/>
  <c r="C2222" i="60"/>
  <c r="B2222" i="60"/>
  <c r="A2222" i="60"/>
  <c r="C2221" i="60"/>
  <c r="B2221" i="60"/>
  <c r="A2221" i="60"/>
  <c r="C2220" i="60"/>
  <c r="B2220" i="60"/>
  <c r="A2220" i="60"/>
  <c r="C2219" i="60"/>
  <c r="B2219" i="60"/>
  <c r="A2219" i="60"/>
  <c r="C2218" i="60"/>
  <c r="B2218" i="60"/>
  <c r="A2218" i="60"/>
  <c r="C2217" i="60"/>
  <c r="B2217" i="60"/>
  <c r="A2217" i="60"/>
  <c r="C2216" i="60"/>
  <c r="B2216" i="60"/>
  <c r="A2216" i="60"/>
  <c r="C2215" i="60"/>
  <c r="B2215" i="60"/>
  <c r="A2215" i="60"/>
  <c r="C2214" i="60"/>
  <c r="B2214" i="60"/>
  <c r="A2214" i="60"/>
  <c r="C2213" i="60"/>
  <c r="B2213" i="60"/>
  <c r="A2213" i="60"/>
  <c r="C2212" i="60"/>
  <c r="B2212" i="60"/>
  <c r="A2212" i="60"/>
  <c r="C2211" i="60"/>
  <c r="B2211" i="60"/>
  <c r="A2211" i="60"/>
  <c r="C2210" i="60"/>
  <c r="B2210" i="60"/>
  <c r="A2210" i="60"/>
  <c r="C2209" i="60"/>
  <c r="B2209" i="60"/>
  <c r="A2209" i="60"/>
  <c r="C2208" i="60"/>
  <c r="B2208" i="60"/>
  <c r="A2208" i="60"/>
  <c r="C2207" i="60"/>
  <c r="B2207" i="60"/>
  <c r="A2207" i="60"/>
  <c r="C2206" i="60"/>
  <c r="B2206" i="60"/>
  <c r="A2206" i="60"/>
  <c r="C2205" i="60"/>
  <c r="B2205" i="60"/>
  <c r="A2205" i="60"/>
  <c r="C2204" i="60"/>
  <c r="B2204" i="60"/>
  <c r="A2204" i="60"/>
  <c r="C2203" i="60"/>
  <c r="B2203" i="60"/>
  <c r="A2203" i="60"/>
  <c r="C2202" i="60"/>
  <c r="B2202" i="60"/>
  <c r="A2202" i="60"/>
  <c r="C2201" i="60"/>
  <c r="B2201" i="60"/>
  <c r="A2201" i="60"/>
  <c r="C2200" i="60"/>
  <c r="B2200" i="60"/>
  <c r="A2200" i="60"/>
  <c r="C2199" i="60"/>
  <c r="B2199" i="60"/>
  <c r="A2199" i="60"/>
  <c r="C2198" i="60"/>
  <c r="B2198" i="60"/>
  <c r="A2198" i="60"/>
  <c r="C2197" i="60"/>
  <c r="B2197" i="60"/>
  <c r="A2197" i="60"/>
  <c r="C2196" i="60"/>
  <c r="B2196" i="60"/>
  <c r="A2196" i="60"/>
  <c r="C2195" i="60"/>
  <c r="B2195" i="60"/>
  <c r="A2195" i="60"/>
  <c r="C2194" i="60"/>
  <c r="B2194" i="60"/>
  <c r="A2194" i="60"/>
  <c r="C2193" i="60"/>
  <c r="B2193" i="60"/>
  <c r="A2193" i="60"/>
  <c r="C2192" i="60"/>
  <c r="B2192" i="60"/>
  <c r="A2192" i="60"/>
  <c r="C2191" i="60"/>
  <c r="B2191" i="60"/>
  <c r="A2191" i="60"/>
  <c r="C2190" i="60"/>
  <c r="B2190" i="60"/>
  <c r="A2190" i="60"/>
  <c r="C2189" i="60"/>
  <c r="B2189" i="60"/>
  <c r="A2189" i="60"/>
  <c r="C2188" i="60"/>
  <c r="B2188" i="60"/>
  <c r="A2188" i="60"/>
  <c r="C2187" i="60"/>
  <c r="B2187" i="60"/>
  <c r="A2187" i="60"/>
  <c r="C2186" i="60"/>
  <c r="B2186" i="60"/>
  <c r="A2186" i="60"/>
  <c r="C2185" i="60"/>
  <c r="B2185" i="60"/>
  <c r="A2185" i="60"/>
  <c r="C2184" i="60"/>
  <c r="B2184" i="60"/>
  <c r="A2184" i="60"/>
  <c r="C2183" i="60"/>
  <c r="B2183" i="60"/>
  <c r="A2183" i="60"/>
  <c r="C2182" i="60"/>
  <c r="B2182" i="60"/>
  <c r="A2182" i="60"/>
  <c r="C2181" i="60"/>
  <c r="B2181" i="60"/>
  <c r="A2181" i="60"/>
  <c r="C2180" i="60"/>
  <c r="B2180" i="60"/>
  <c r="A2180" i="60"/>
  <c r="C2179" i="60"/>
  <c r="B2179" i="60"/>
  <c r="A2179" i="60"/>
  <c r="C2178" i="60"/>
  <c r="B2178" i="60"/>
  <c r="A2178" i="60"/>
  <c r="C2177" i="60"/>
  <c r="B2177" i="60"/>
  <c r="A2177" i="60"/>
  <c r="C2176" i="60"/>
  <c r="B2176" i="60"/>
  <c r="A2176" i="60"/>
  <c r="C2175" i="60"/>
  <c r="B2175" i="60"/>
  <c r="A2175" i="60"/>
  <c r="C2174" i="60"/>
  <c r="B2174" i="60"/>
  <c r="A2174" i="60"/>
  <c r="C2173" i="60"/>
  <c r="B2173" i="60"/>
  <c r="A2173" i="60"/>
  <c r="C2172" i="60"/>
  <c r="B2172" i="60"/>
  <c r="A2172" i="60"/>
  <c r="C2171" i="60"/>
  <c r="B2171" i="60"/>
  <c r="A2171" i="60"/>
  <c r="C2170" i="60"/>
  <c r="B2170" i="60"/>
  <c r="A2170" i="60"/>
  <c r="C2169" i="60"/>
  <c r="B2169" i="60"/>
  <c r="A2169" i="60"/>
  <c r="C2168" i="60"/>
  <c r="B2168" i="60"/>
  <c r="A2168" i="60"/>
  <c r="C2167" i="60"/>
  <c r="B2167" i="60"/>
  <c r="A2167" i="60"/>
  <c r="C2166" i="60"/>
  <c r="B2166" i="60"/>
  <c r="A2166" i="60"/>
  <c r="C2165" i="60"/>
  <c r="B2165" i="60"/>
  <c r="A2165" i="60"/>
  <c r="C2164" i="60"/>
  <c r="B2164" i="60"/>
  <c r="A2164" i="60"/>
  <c r="C2163" i="60"/>
  <c r="B2163" i="60"/>
  <c r="A2163" i="60"/>
  <c r="C2162" i="60"/>
  <c r="B2162" i="60"/>
  <c r="A2162" i="60"/>
  <c r="C2161" i="60"/>
  <c r="B2161" i="60"/>
  <c r="A2161" i="60"/>
  <c r="C2160" i="60"/>
  <c r="B2160" i="60"/>
  <c r="A2160" i="60"/>
  <c r="C2159" i="60"/>
  <c r="B2159" i="60"/>
  <c r="A2159" i="60"/>
  <c r="C2158" i="60"/>
  <c r="B2158" i="60"/>
  <c r="A2158" i="60"/>
  <c r="C2157" i="60"/>
  <c r="B2157" i="60"/>
  <c r="A2157" i="60"/>
  <c r="C2156" i="60"/>
  <c r="B2156" i="60"/>
  <c r="A2156" i="60"/>
  <c r="C2155" i="60"/>
  <c r="B2155" i="60"/>
  <c r="A2155" i="60"/>
  <c r="C2154" i="60"/>
  <c r="B2154" i="60"/>
  <c r="A2154" i="60"/>
  <c r="C2153" i="60"/>
  <c r="B2153" i="60"/>
  <c r="A2153" i="60"/>
  <c r="C2152" i="60"/>
  <c r="B2152" i="60"/>
  <c r="A2152" i="60"/>
  <c r="C2151" i="60"/>
  <c r="B2151" i="60"/>
  <c r="A2151" i="60"/>
  <c r="C2150" i="60"/>
  <c r="B2150" i="60"/>
  <c r="A2150" i="60"/>
  <c r="C2149" i="60"/>
  <c r="B2149" i="60"/>
  <c r="A2149" i="60"/>
  <c r="C2148" i="60"/>
  <c r="B2148" i="60"/>
  <c r="A2148" i="60"/>
  <c r="C2147" i="60"/>
  <c r="B2147" i="60"/>
  <c r="A2147" i="60"/>
  <c r="C2146" i="60"/>
  <c r="B2146" i="60"/>
  <c r="A2146" i="60"/>
  <c r="C2145" i="60"/>
  <c r="B2145" i="60"/>
  <c r="A2145" i="60"/>
  <c r="C2144" i="60"/>
  <c r="B2144" i="60"/>
  <c r="A2144" i="60"/>
  <c r="C2143" i="60"/>
  <c r="B2143" i="60"/>
  <c r="A2143" i="60"/>
  <c r="C2142" i="60"/>
  <c r="B2142" i="60"/>
  <c r="A2142" i="60"/>
  <c r="C2141" i="60"/>
  <c r="B2141" i="60"/>
  <c r="A2141" i="60"/>
  <c r="C2140" i="60"/>
  <c r="B2140" i="60"/>
  <c r="A2140" i="60"/>
  <c r="C2139" i="60"/>
  <c r="B2139" i="60"/>
  <c r="A2139" i="60"/>
  <c r="C2138" i="60"/>
  <c r="B2138" i="60"/>
  <c r="A2138" i="60"/>
  <c r="C2137" i="60"/>
  <c r="B2137" i="60"/>
  <c r="A2137" i="60"/>
  <c r="C2136" i="60"/>
  <c r="B2136" i="60"/>
  <c r="A2136" i="60"/>
  <c r="C2135" i="60"/>
  <c r="B2135" i="60"/>
  <c r="A2135" i="60"/>
  <c r="C2134" i="60"/>
  <c r="B2134" i="60"/>
  <c r="A2134" i="60"/>
  <c r="C2133" i="60"/>
  <c r="B2133" i="60"/>
  <c r="A2133" i="60"/>
  <c r="C2132" i="60"/>
  <c r="B2132" i="60"/>
  <c r="A2132" i="60"/>
  <c r="C2131" i="60"/>
  <c r="B2131" i="60"/>
  <c r="A2131" i="60"/>
  <c r="C2130" i="60"/>
  <c r="B2130" i="60"/>
  <c r="A2130" i="60"/>
  <c r="C2129" i="60"/>
  <c r="B2129" i="60"/>
  <c r="A2129" i="60"/>
  <c r="C2128" i="60"/>
  <c r="B2128" i="60"/>
  <c r="A2128" i="60"/>
  <c r="C2127" i="60"/>
  <c r="B2127" i="60"/>
  <c r="A2127" i="60"/>
  <c r="C2126" i="60"/>
  <c r="B2126" i="60"/>
  <c r="A2126" i="60"/>
  <c r="C2125" i="60"/>
  <c r="B2125" i="60"/>
  <c r="A2125" i="60"/>
  <c r="C2124" i="60"/>
  <c r="B2124" i="60"/>
  <c r="A2124" i="60"/>
  <c r="C2123" i="60"/>
  <c r="B2123" i="60"/>
  <c r="A2123" i="60"/>
  <c r="C2122" i="60"/>
  <c r="B2122" i="60"/>
  <c r="A2122" i="60"/>
  <c r="C2121" i="60"/>
  <c r="B2121" i="60"/>
  <c r="A2121" i="60"/>
  <c r="C2120" i="60"/>
  <c r="B2120" i="60"/>
  <c r="A2120" i="60"/>
  <c r="C2119" i="60"/>
  <c r="B2119" i="60"/>
  <c r="A2119" i="60"/>
  <c r="C2118" i="60"/>
  <c r="B2118" i="60"/>
  <c r="A2118" i="60"/>
  <c r="C2117" i="60"/>
  <c r="B2117" i="60"/>
  <c r="A2117" i="60"/>
  <c r="C2116" i="60"/>
  <c r="B2116" i="60"/>
  <c r="A2116" i="60"/>
  <c r="C2115" i="60"/>
  <c r="B2115" i="60"/>
  <c r="A2115" i="60"/>
  <c r="C2114" i="60"/>
  <c r="B2114" i="60"/>
  <c r="A2114" i="60"/>
  <c r="C2113" i="60"/>
  <c r="B2113" i="60"/>
  <c r="A2113" i="60"/>
  <c r="C2112" i="60"/>
  <c r="B2112" i="60"/>
  <c r="A2112" i="60"/>
  <c r="C2111" i="60"/>
  <c r="B2111" i="60"/>
  <c r="A2111" i="60"/>
  <c r="C2110" i="60"/>
  <c r="B2110" i="60"/>
  <c r="A2110" i="60"/>
  <c r="C2109" i="60"/>
  <c r="B2109" i="60"/>
  <c r="A2109" i="60"/>
  <c r="C2108" i="60"/>
  <c r="B2108" i="60"/>
  <c r="A2108" i="60"/>
  <c r="C2107" i="60"/>
  <c r="B2107" i="60"/>
  <c r="A2107" i="60"/>
  <c r="C2106" i="60"/>
  <c r="B2106" i="60"/>
  <c r="A2106" i="60"/>
  <c r="C2105" i="60"/>
  <c r="B2105" i="60"/>
  <c r="A2105" i="60"/>
  <c r="C2104" i="60"/>
  <c r="B2104" i="60"/>
  <c r="A2104" i="60"/>
  <c r="C2103" i="60"/>
  <c r="B2103" i="60"/>
  <c r="A2103" i="60"/>
  <c r="C2102" i="60"/>
  <c r="B2102" i="60"/>
  <c r="A2102" i="60"/>
  <c r="C2101" i="60"/>
  <c r="B2101" i="60"/>
  <c r="A2101" i="60"/>
  <c r="C2100" i="60"/>
  <c r="B2100" i="60"/>
  <c r="A2100" i="60"/>
  <c r="C2099" i="60"/>
  <c r="B2099" i="60"/>
  <c r="A2099" i="60"/>
  <c r="C2098" i="60"/>
  <c r="B2098" i="60"/>
  <c r="A2098" i="60"/>
  <c r="C2097" i="60"/>
  <c r="B2097" i="60"/>
  <c r="A2097" i="60"/>
  <c r="C2096" i="60"/>
  <c r="B2096" i="60"/>
  <c r="A2096" i="60"/>
  <c r="C2095" i="60"/>
  <c r="B2095" i="60"/>
  <c r="A2095" i="60"/>
  <c r="C2094" i="60"/>
  <c r="B2094" i="60"/>
  <c r="A2094" i="60"/>
  <c r="C2093" i="60"/>
  <c r="B2093" i="60"/>
  <c r="A2093" i="60"/>
  <c r="C2092" i="60"/>
  <c r="B2092" i="60"/>
  <c r="A2092" i="60"/>
  <c r="C2091" i="60"/>
  <c r="B2091" i="60"/>
  <c r="A2091" i="60"/>
  <c r="C2090" i="60"/>
  <c r="B2090" i="60"/>
  <c r="A2090" i="60"/>
  <c r="C2089" i="60"/>
  <c r="B2089" i="60"/>
  <c r="A2089" i="60"/>
  <c r="C2088" i="60"/>
  <c r="B2088" i="60"/>
  <c r="A2088" i="60"/>
  <c r="C2087" i="60"/>
  <c r="B2087" i="60"/>
  <c r="A2087" i="60"/>
  <c r="C2086" i="60"/>
  <c r="B2086" i="60"/>
  <c r="A2086" i="60"/>
  <c r="C2085" i="60"/>
  <c r="B2085" i="60"/>
  <c r="A2085" i="60"/>
  <c r="C2084" i="60"/>
  <c r="B2084" i="60"/>
  <c r="A2084" i="60"/>
  <c r="C2083" i="60"/>
  <c r="B2083" i="60"/>
  <c r="A2083" i="60"/>
  <c r="C2082" i="60"/>
  <c r="B2082" i="60"/>
  <c r="A2082" i="60"/>
  <c r="C2081" i="60"/>
  <c r="B2081" i="60"/>
  <c r="A2081" i="60"/>
  <c r="C2080" i="60"/>
  <c r="B2080" i="60"/>
  <c r="A2080" i="60"/>
  <c r="C2079" i="60"/>
  <c r="B2079" i="60"/>
  <c r="A2079" i="60"/>
  <c r="C2078" i="60"/>
  <c r="B2078" i="60"/>
  <c r="A2078" i="60"/>
  <c r="C2077" i="60"/>
  <c r="B2077" i="60"/>
  <c r="A2077" i="60"/>
  <c r="C2076" i="60"/>
  <c r="B2076" i="60"/>
  <c r="A2076" i="60"/>
  <c r="C2075" i="60"/>
  <c r="B2075" i="60"/>
  <c r="A2075" i="60"/>
  <c r="C2074" i="60"/>
  <c r="B2074" i="60"/>
  <c r="A2074" i="60"/>
  <c r="C2073" i="60"/>
  <c r="B2073" i="60"/>
  <c r="A2073" i="60"/>
  <c r="C2072" i="60"/>
  <c r="B2072" i="60"/>
  <c r="A2072" i="60"/>
  <c r="C2071" i="60"/>
  <c r="B2071" i="60"/>
  <c r="A2071" i="60"/>
  <c r="C2070" i="60"/>
  <c r="B2070" i="60"/>
  <c r="A2070" i="60"/>
  <c r="C2069" i="60"/>
  <c r="B2069" i="60"/>
  <c r="A2069" i="60"/>
  <c r="C2068" i="60"/>
  <c r="B2068" i="60"/>
  <c r="A2068" i="60"/>
  <c r="C2067" i="60"/>
  <c r="B2067" i="60"/>
  <c r="A2067" i="60"/>
  <c r="C2066" i="60"/>
  <c r="B2066" i="60"/>
  <c r="A2066" i="60"/>
  <c r="C2065" i="60"/>
  <c r="B2065" i="60"/>
  <c r="A2065" i="60"/>
  <c r="C2064" i="60"/>
  <c r="B2064" i="60"/>
  <c r="A2064" i="60"/>
  <c r="C2063" i="60"/>
  <c r="B2063" i="60"/>
  <c r="A2063" i="60"/>
  <c r="C2062" i="60"/>
  <c r="B2062" i="60"/>
  <c r="A2062" i="60"/>
  <c r="C2061" i="60"/>
  <c r="B2061" i="60"/>
  <c r="A2061" i="60"/>
  <c r="C2060" i="60"/>
  <c r="B2060" i="60"/>
  <c r="A2060" i="60"/>
  <c r="C2059" i="60"/>
  <c r="B2059" i="60"/>
  <c r="A2059" i="60"/>
  <c r="C2058" i="60"/>
  <c r="B2058" i="60"/>
  <c r="A2058" i="60"/>
  <c r="C2057" i="60"/>
  <c r="B2057" i="60"/>
  <c r="A2057" i="60"/>
  <c r="C2056" i="60"/>
  <c r="B2056" i="60"/>
  <c r="A2056" i="60"/>
  <c r="C2055" i="60"/>
  <c r="B2055" i="60"/>
  <c r="A2055" i="60"/>
  <c r="C2054" i="60"/>
  <c r="B2054" i="60"/>
  <c r="A2054" i="60"/>
  <c r="C2053" i="60"/>
  <c r="B2053" i="60"/>
  <c r="A2053" i="60"/>
  <c r="C2052" i="60"/>
  <c r="B2052" i="60"/>
  <c r="A2052" i="60"/>
  <c r="C2051" i="60"/>
  <c r="B2051" i="60"/>
  <c r="A2051" i="60"/>
  <c r="C2050" i="60"/>
  <c r="B2050" i="60"/>
  <c r="A2050" i="60"/>
  <c r="C2049" i="60"/>
  <c r="B2049" i="60"/>
  <c r="A2049" i="60"/>
  <c r="C2048" i="60"/>
  <c r="B2048" i="60"/>
  <c r="A2048" i="60"/>
  <c r="C2047" i="60"/>
  <c r="B2047" i="60"/>
  <c r="A2047" i="60"/>
  <c r="C2046" i="60"/>
  <c r="B2046" i="60"/>
  <c r="A2046" i="60"/>
  <c r="C2045" i="60"/>
  <c r="B2045" i="60"/>
  <c r="A2045" i="60"/>
  <c r="C2044" i="60"/>
  <c r="B2044" i="60"/>
  <c r="A2044" i="60"/>
  <c r="C2043" i="60"/>
  <c r="B2043" i="60"/>
  <c r="A2043" i="60"/>
  <c r="C2042" i="60"/>
  <c r="B2042" i="60"/>
  <c r="A2042" i="60"/>
  <c r="C2041" i="60"/>
  <c r="B2041" i="60"/>
  <c r="A2041" i="60"/>
  <c r="C2040" i="60"/>
  <c r="B2040" i="60"/>
  <c r="A2040" i="60"/>
  <c r="C2039" i="60"/>
  <c r="B2039" i="60"/>
  <c r="A2039" i="60"/>
  <c r="C2038" i="60"/>
  <c r="B2038" i="60"/>
  <c r="A2038" i="60"/>
  <c r="C2037" i="60"/>
  <c r="B2037" i="60"/>
  <c r="A2037" i="60"/>
  <c r="C2036" i="60"/>
  <c r="B2036" i="60"/>
  <c r="A2036" i="60"/>
  <c r="C2035" i="60"/>
  <c r="B2035" i="60"/>
  <c r="A2035" i="60"/>
  <c r="C2034" i="60"/>
  <c r="B2034" i="60"/>
  <c r="A2034" i="60"/>
  <c r="C2033" i="60"/>
  <c r="B2033" i="60"/>
  <c r="A2033" i="60"/>
  <c r="C2032" i="60"/>
  <c r="B2032" i="60"/>
  <c r="A2032" i="60"/>
  <c r="C2031" i="60"/>
  <c r="B2031" i="60"/>
  <c r="A2031" i="60"/>
  <c r="C2030" i="60"/>
  <c r="B2030" i="60"/>
  <c r="A2030" i="60"/>
  <c r="C2029" i="60"/>
  <c r="B2029" i="60"/>
  <c r="A2029" i="60"/>
  <c r="C2028" i="60"/>
  <c r="B2028" i="60"/>
  <c r="A2028" i="60"/>
  <c r="C2027" i="60"/>
  <c r="B2027" i="60"/>
  <c r="A2027" i="60"/>
  <c r="C2026" i="60"/>
  <c r="B2026" i="60"/>
  <c r="A2026" i="60"/>
  <c r="C2025" i="60"/>
  <c r="B2025" i="60"/>
  <c r="A2025" i="60"/>
  <c r="C2024" i="60"/>
  <c r="B2024" i="60"/>
  <c r="A2024" i="60"/>
  <c r="C2023" i="60"/>
  <c r="B2023" i="60"/>
  <c r="A2023" i="60"/>
  <c r="C2022" i="60"/>
  <c r="B2022" i="60"/>
  <c r="A2022" i="60"/>
  <c r="C2021" i="60"/>
  <c r="B2021" i="60"/>
  <c r="A2021" i="60"/>
  <c r="C2020" i="60"/>
  <c r="B2020" i="60"/>
  <c r="A2020" i="60"/>
  <c r="C2019" i="60"/>
  <c r="B2019" i="60"/>
  <c r="A2019" i="60"/>
  <c r="C2018" i="60"/>
  <c r="B2018" i="60"/>
  <c r="A2018" i="60"/>
  <c r="C2017" i="60"/>
  <c r="B2017" i="60"/>
  <c r="A2017" i="60"/>
  <c r="C2016" i="60"/>
  <c r="B2016" i="60"/>
  <c r="A2016" i="60"/>
  <c r="C2015" i="60"/>
  <c r="B2015" i="60"/>
  <c r="A2015" i="60"/>
  <c r="C2014" i="60"/>
  <c r="B2014" i="60"/>
  <c r="A2014" i="60"/>
  <c r="C2013" i="60"/>
  <c r="B2013" i="60"/>
  <c r="A2013" i="60"/>
  <c r="C2012" i="60"/>
  <c r="B2012" i="60"/>
  <c r="A2012" i="60"/>
  <c r="C2011" i="60"/>
  <c r="B2011" i="60"/>
  <c r="A2011" i="60"/>
  <c r="C2010" i="60"/>
  <c r="B2010" i="60"/>
  <c r="A2010" i="60"/>
  <c r="C2009" i="60"/>
  <c r="B2009" i="60"/>
  <c r="A2009" i="60"/>
  <c r="C2008" i="60"/>
  <c r="B2008" i="60"/>
  <c r="A2008" i="60"/>
  <c r="C2007" i="60"/>
  <c r="B2007" i="60"/>
  <c r="A2007" i="60"/>
  <c r="C2006" i="60"/>
  <c r="B2006" i="60"/>
  <c r="A2006" i="60"/>
  <c r="C2005" i="60"/>
  <c r="B2005" i="60"/>
  <c r="A2005" i="60"/>
  <c r="C2004" i="60"/>
  <c r="B2004" i="60"/>
  <c r="A2004" i="60"/>
  <c r="C2003" i="60"/>
  <c r="B2003" i="60"/>
  <c r="A2003" i="60"/>
  <c r="C2002" i="60"/>
  <c r="B2002" i="60"/>
  <c r="A2002" i="60"/>
  <c r="C2001" i="60"/>
  <c r="B2001" i="60"/>
  <c r="A2001" i="60"/>
  <c r="C2000" i="60"/>
  <c r="B2000" i="60"/>
  <c r="A2000" i="60"/>
  <c r="C1999" i="60"/>
  <c r="B1999" i="60"/>
  <c r="A1999" i="60"/>
  <c r="C1998" i="60"/>
  <c r="B1998" i="60"/>
  <c r="A1998" i="60"/>
  <c r="C1997" i="60"/>
  <c r="B1997" i="60"/>
  <c r="A1997" i="60"/>
  <c r="C1996" i="60"/>
  <c r="B1996" i="60"/>
  <c r="A1996" i="60"/>
  <c r="C1995" i="60"/>
  <c r="B1995" i="60"/>
  <c r="A1995" i="60"/>
  <c r="C1994" i="60"/>
  <c r="B1994" i="60"/>
  <c r="A1994" i="60"/>
  <c r="C1993" i="60"/>
  <c r="B1993" i="60"/>
  <c r="A1993" i="60"/>
  <c r="C1992" i="60"/>
  <c r="B1992" i="60"/>
  <c r="A1992" i="60"/>
  <c r="C1991" i="60"/>
  <c r="B1991" i="60"/>
  <c r="A1991" i="60"/>
  <c r="C1990" i="60"/>
  <c r="B1990" i="60"/>
  <c r="A1990" i="60"/>
  <c r="C1989" i="60"/>
  <c r="B1989" i="60"/>
  <c r="A1989" i="60"/>
  <c r="C1988" i="60"/>
  <c r="B1988" i="60"/>
  <c r="A1988" i="60"/>
  <c r="C1987" i="60"/>
  <c r="B1987" i="60"/>
  <c r="A1987" i="60"/>
  <c r="C1986" i="60"/>
  <c r="B1986" i="60"/>
  <c r="A1986" i="60"/>
  <c r="C1985" i="60"/>
  <c r="B1985" i="60"/>
  <c r="A1985" i="60"/>
  <c r="C1984" i="60"/>
  <c r="B1984" i="60"/>
  <c r="A1984" i="60"/>
  <c r="C1983" i="60"/>
  <c r="B1983" i="60"/>
  <c r="A1983" i="60"/>
  <c r="C1982" i="60"/>
  <c r="B1982" i="60"/>
  <c r="A1982" i="60"/>
  <c r="C1981" i="60"/>
  <c r="B1981" i="60"/>
  <c r="A1981" i="60"/>
  <c r="C1980" i="60"/>
  <c r="B1980" i="60"/>
  <c r="A1980" i="60"/>
  <c r="C1979" i="60"/>
  <c r="B1979" i="60"/>
  <c r="A1979" i="60"/>
  <c r="C1978" i="60"/>
  <c r="B1978" i="60"/>
  <c r="A1978" i="60"/>
  <c r="C1977" i="60"/>
  <c r="B1977" i="60"/>
  <c r="A1977" i="60"/>
  <c r="C1976" i="60"/>
  <c r="B1976" i="60"/>
  <c r="A1976" i="60"/>
  <c r="C1975" i="60"/>
  <c r="B1975" i="60"/>
  <c r="A1975" i="60"/>
  <c r="C1974" i="60"/>
  <c r="B1974" i="60"/>
  <c r="A1974" i="60"/>
  <c r="C1973" i="60"/>
  <c r="B1973" i="60"/>
  <c r="A1973" i="60"/>
  <c r="C1972" i="60"/>
  <c r="B1972" i="60"/>
  <c r="A1972" i="60"/>
  <c r="C1971" i="60"/>
  <c r="B1971" i="60"/>
  <c r="A1971" i="60"/>
  <c r="C1970" i="60"/>
  <c r="B1970" i="60"/>
  <c r="A1970" i="60"/>
  <c r="C1969" i="60"/>
  <c r="B1969" i="60"/>
  <c r="A1969" i="60"/>
  <c r="C1968" i="60"/>
  <c r="B1968" i="60"/>
  <c r="A1968" i="60"/>
  <c r="C1967" i="60"/>
  <c r="B1967" i="60"/>
  <c r="A1967" i="60"/>
  <c r="C1966" i="60"/>
  <c r="B1966" i="60"/>
  <c r="A1966" i="60"/>
  <c r="C1965" i="60"/>
  <c r="B1965" i="60"/>
  <c r="A1965" i="60"/>
  <c r="C1964" i="60"/>
  <c r="B1964" i="60"/>
  <c r="A1964" i="60"/>
  <c r="C1963" i="60"/>
  <c r="B1963" i="60"/>
  <c r="A1963" i="60"/>
  <c r="C1962" i="60"/>
  <c r="B1962" i="60"/>
  <c r="A1962" i="60"/>
  <c r="C1961" i="60"/>
  <c r="B1961" i="60"/>
  <c r="A1961" i="60"/>
  <c r="C1960" i="60"/>
  <c r="B1960" i="60"/>
  <c r="A1960" i="60"/>
  <c r="C1959" i="60"/>
  <c r="B1959" i="60"/>
  <c r="A1959" i="60"/>
  <c r="C1958" i="60"/>
  <c r="B1958" i="60"/>
  <c r="A1958" i="60"/>
  <c r="C1957" i="60"/>
  <c r="B1957" i="60"/>
  <c r="A1957" i="60"/>
  <c r="C1956" i="60"/>
  <c r="B1956" i="60"/>
  <c r="A1956" i="60"/>
  <c r="C1955" i="60"/>
  <c r="B1955" i="60"/>
  <c r="A1955" i="60"/>
  <c r="C1954" i="60"/>
  <c r="B1954" i="60"/>
  <c r="A1954" i="60"/>
  <c r="C1953" i="60"/>
  <c r="B1953" i="60"/>
  <c r="A1953" i="60"/>
  <c r="C1952" i="60"/>
  <c r="B1952" i="60"/>
  <c r="A1952" i="60"/>
  <c r="C1951" i="60"/>
  <c r="B1951" i="60"/>
  <c r="A1951" i="60"/>
  <c r="C1950" i="60"/>
  <c r="B1950" i="60"/>
  <c r="A1950" i="60"/>
  <c r="C1949" i="60"/>
  <c r="B1949" i="60"/>
  <c r="A1949" i="60"/>
  <c r="C1948" i="60"/>
  <c r="B1948" i="60"/>
  <c r="A1948" i="60"/>
  <c r="C1947" i="60"/>
  <c r="B1947" i="60"/>
  <c r="A1947" i="60"/>
  <c r="C1946" i="60"/>
  <c r="B1946" i="60"/>
  <c r="A1946" i="60"/>
  <c r="C1945" i="60"/>
  <c r="B1945" i="60"/>
  <c r="A1945" i="60"/>
  <c r="C1944" i="60"/>
  <c r="B1944" i="60"/>
  <c r="A1944" i="60"/>
  <c r="C1943" i="60"/>
  <c r="B1943" i="60"/>
  <c r="A1943" i="60"/>
  <c r="C1942" i="60"/>
  <c r="B1942" i="60"/>
  <c r="A1942" i="60"/>
  <c r="C1941" i="60"/>
  <c r="B1941" i="60"/>
  <c r="A1941" i="60"/>
  <c r="C1940" i="60"/>
  <c r="B1940" i="60"/>
  <c r="A1940" i="60"/>
  <c r="C1939" i="60"/>
  <c r="B1939" i="60"/>
  <c r="A1939" i="60"/>
  <c r="C1938" i="60"/>
  <c r="B1938" i="60"/>
  <c r="A1938" i="60"/>
  <c r="C1937" i="60"/>
  <c r="B1937" i="60"/>
  <c r="A1937" i="60"/>
  <c r="C1936" i="60"/>
  <c r="B1936" i="60"/>
  <c r="A1936" i="60"/>
  <c r="C1935" i="60"/>
  <c r="B1935" i="60"/>
  <c r="A1935" i="60"/>
  <c r="C1934" i="60"/>
  <c r="B1934" i="60"/>
  <c r="A1934" i="60"/>
  <c r="C1933" i="60"/>
  <c r="B1933" i="60"/>
  <c r="A1933" i="60"/>
  <c r="C1932" i="60"/>
  <c r="B1932" i="60"/>
  <c r="A1932" i="60"/>
  <c r="C1931" i="60"/>
  <c r="B1931" i="60"/>
  <c r="A1931" i="60"/>
  <c r="C1930" i="60"/>
  <c r="B1930" i="60"/>
  <c r="A1930" i="60"/>
  <c r="C1929" i="60"/>
  <c r="B1929" i="60"/>
  <c r="A1929" i="60"/>
  <c r="C1928" i="60"/>
  <c r="B1928" i="60"/>
  <c r="A1928" i="60"/>
  <c r="C1927" i="60"/>
  <c r="B1927" i="60"/>
  <c r="A1927" i="60"/>
  <c r="C1926" i="60"/>
  <c r="B1926" i="60"/>
  <c r="A1926" i="60"/>
  <c r="C1925" i="60"/>
  <c r="B1925" i="60"/>
  <c r="A1925" i="60"/>
  <c r="C1924" i="60"/>
  <c r="B1924" i="60"/>
  <c r="A1924" i="60"/>
  <c r="C1923" i="60"/>
  <c r="B1923" i="60"/>
  <c r="A1923" i="60"/>
  <c r="C1922" i="60"/>
  <c r="B1922" i="60"/>
  <c r="A1922" i="60"/>
  <c r="C1921" i="60"/>
  <c r="B1921" i="60"/>
  <c r="A1921" i="60"/>
  <c r="C1920" i="60"/>
  <c r="B1920" i="60"/>
  <c r="A1920" i="60"/>
  <c r="C1919" i="60"/>
  <c r="B1919" i="60"/>
  <c r="A1919" i="60"/>
  <c r="C1918" i="60"/>
  <c r="B1918" i="60"/>
  <c r="A1918" i="60"/>
  <c r="C1917" i="60"/>
  <c r="B1917" i="60"/>
  <c r="A1917" i="60"/>
  <c r="C1916" i="60"/>
  <c r="B1916" i="60"/>
  <c r="A1916" i="60"/>
  <c r="C1915" i="60"/>
  <c r="B1915" i="60"/>
  <c r="A1915" i="60"/>
  <c r="C1914" i="60"/>
  <c r="B1914" i="60"/>
  <c r="A1914" i="60"/>
  <c r="C1913" i="60"/>
  <c r="B1913" i="60"/>
  <c r="A1913" i="60"/>
  <c r="C1912" i="60"/>
  <c r="B1912" i="60"/>
  <c r="A1912" i="60"/>
  <c r="C1911" i="60"/>
  <c r="B1911" i="60"/>
  <c r="A1911" i="60"/>
  <c r="C1910" i="60"/>
  <c r="B1910" i="60"/>
  <c r="A1910" i="60"/>
  <c r="C1909" i="60"/>
  <c r="B1909" i="60"/>
  <c r="A1909" i="60"/>
  <c r="C1908" i="60"/>
  <c r="B1908" i="60"/>
  <c r="A1908" i="60"/>
  <c r="C1907" i="60"/>
  <c r="B1907" i="60"/>
  <c r="A1907" i="60"/>
  <c r="C1906" i="60"/>
  <c r="B1906" i="60"/>
  <c r="A1906" i="60"/>
  <c r="C1905" i="60"/>
  <c r="B1905" i="60"/>
  <c r="A1905" i="60"/>
  <c r="C1904" i="60"/>
  <c r="B1904" i="60"/>
  <c r="A1904" i="60"/>
  <c r="C1903" i="60"/>
  <c r="B1903" i="60"/>
  <c r="A1903" i="60"/>
  <c r="C1902" i="60"/>
  <c r="B1902" i="60"/>
  <c r="A1902" i="60"/>
  <c r="C1901" i="60"/>
  <c r="B1901" i="60"/>
  <c r="A1901" i="60"/>
  <c r="C1900" i="60"/>
  <c r="B1900" i="60"/>
  <c r="A1900" i="60"/>
  <c r="C1899" i="60"/>
  <c r="B1899" i="60"/>
  <c r="A1899" i="60"/>
  <c r="C1898" i="60"/>
  <c r="B1898" i="60"/>
  <c r="A1898" i="60"/>
  <c r="C1897" i="60"/>
  <c r="B1897" i="60"/>
  <c r="A1897" i="60"/>
  <c r="C1896" i="60"/>
  <c r="B1896" i="60"/>
  <c r="A1896" i="60"/>
  <c r="C1895" i="60"/>
  <c r="B1895" i="60"/>
  <c r="A1895" i="60"/>
  <c r="C1894" i="60"/>
  <c r="B1894" i="60"/>
  <c r="A1894" i="60"/>
  <c r="C1893" i="60"/>
  <c r="B1893" i="60"/>
  <c r="A1893" i="60"/>
  <c r="C1892" i="60"/>
  <c r="B1892" i="60"/>
  <c r="A1892" i="60"/>
  <c r="C1891" i="60"/>
  <c r="B1891" i="60"/>
  <c r="A1891" i="60"/>
  <c r="C1890" i="60"/>
  <c r="B1890" i="60"/>
  <c r="A1890" i="60"/>
  <c r="C1889" i="60"/>
  <c r="B1889" i="60"/>
  <c r="A1889" i="60"/>
  <c r="C1888" i="60"/>
  <c r="B1888" i="60"/>
  <c r="A1888" i="60"/>
  <c r="C1887" i="60"/>
  <c r="B1887" i="60"/>
  <c r="A1887" i="60"/>
  <c r="C1886" i="60"/>
  <c r="B1886" i="60"/>
  <c r="A1886" i="60"/>
  <c r="C1885" i="60"/>
  <c r="B1885" i="60"/>
  <c r="A1885" i="60"/>
  <c r="C1884" i="60"/>
  <c r="B1884" i="60"/>
  <c r="A1884" i="60"/>
  <c r="C1883" i="60"/>
  <c r="B1883" i="60"/>
  <c r="A1883" i="60"/>
  <c r="C1882" i="60"/>
  <c r="B1882" i="60"/>
  <c r="A1882" i="60"/>
  <c r="C1881" i="60"/>
  <c r="B1881" i="60"/>
  <c r="A1881" i="60"/>
  <c r="C1880" i="60"/>
  <c r="B1880" i="60"/>
  <c r="A1880" i="60"/>
  <c r="C1879" i="60"/>
  <c r="B1879" i="60"/>
  <c r="A1879" i="60"/>
  <c r="C1878" i="60"/>
  <c r="B1878" i="60"/>
  <c r="A1878" i="60"/>
  <c r="C1877" i="60"/>
  <c r="B1877" i="60"/>
  <c r="A1877" i="60"/>
  <c r="C1876" i="60"/>
  <c r="B1876" i="60"/>
  <c r="A1876" i="60"/>
  <c r="C1875" i="60"/>
  <c r="B1875" i="60"/>
  <c r="A1875" i="60"/>
  <c r="C1874" i="60"/>
  <c r="B1874" i="60"/>
  <c r="A1874" i="60"/>
  <c r="C1873" i="60"/>
  <c r="B1873" i="60"/>
  <c r="A1873" i="60"/>
  <c r="C1872" i="60"/>
  <c r="B1872" i="60"/>
  <c r="A1872" i="60"/>
  <c r="C1871" i="60"/>
  <c r="B1871" i="60"/>
  <c r="A1871" i="60"/>
  <c r="C1870" i="60"/>
  <c r="B1870" i="60"/>
  <c r="A1870" i="60"/>
  <c r="C1869" i="60"/>
  <c r="B1869" i="60"/>
  <c r="A1869" i="60"/>
  <c r="C1868" i="60"/>
  <c r="B1868" i="60"/>
  <c r="A1868" i="60"/>
  <c r="C1867" i="60"/>
  <c r="B1867" i="60"/>
  <c r="A1867" i="60"/>
  <c r="C1866" i="60"/>
  <c r="B1866" i="60"/>
  <c r="A1866" i="60"/>
  <c r="C1865" i="60"/>
  <c r="B1865" i="60"/>
  <c r="A1865" i="60"/>
  <c r="C1864" i="60"/>
  <c r="B1864" i="60"/>
  <c r="A1864" i="60"/>
  <c r="C1863" i="60"/>
  <c r="B1863" i="60"/>
  <c r="A1863" i="60"/>
  <c r="C1862" i="60"/>
  <c r="B1862" i="60"/>
  <c r="A1862" i="60"/>
  <c r="C1861" i="60"/>
  <c r="B1861" i="60"/>
  <c r="A1861" i="60"/>
  <c r="C1860" i="60"/>
  <c r="B1860" i="60"/>
  <c r="A1860" i="60"/>
  <c r="C1859" i="60"/>
  <c r="B1859" i="60"/>
  <c r="A1859" i="60"/>
  <c r="C1858" i="60"/>
  <c r="B1858" i="60"/>
  <c r="A1858" i="60"/>
  <c r="C1857" i="60"/>
  <c r="B1857" i="60"/>
  <c r="A1857" i="60"/>
  <c r="C1856" i="60"/>
  <c r="B1856" i="60"/>
  <c r="A1856" i="60"/>
  <c r="C1855" i="60"/>
  <c r="B1855" i="60"/>
  <c r="A1855" i="60"/>
  <c r="C1854" i="60"/>
  <c r="B1854" i="60"/>
  <c r="A1854" i="60"/>
  <c r="C1853" i="60"/>
  <c r="B1853" i="60"/>
  <c r="A1853" i="60"/>
  <c r="C1852" i="60"/>
  <c r="B1852" i="60"/>
  <c r="A1852" i="60"/>
  <c r="C1851" i="60"/>
  <c r="B1851" i="60"/>
  <c r="A1851" i="60"/>
  <c r="C1850" i="60"/>
  <c r="B1850" i="60"/>
  <c r="A1850" i="60"/>
  <c r="C1849" i="60"/>
  <c r="B1849" i="60"/>
  <c r="A1849" i="60"/>
  <c r="C1848" i="60"/>
  <c r="B1848" i="60"/>
  <c r="A1848" i="60"/>
  <c r="C1847" i="60"/>
  <c r="B1847" i="60"/>
  <c r="A1847" i="60"/>
  <c r="C1846" i="60"/>
  <c r="B1846" i="60"/>
  <c r="A1846" i="60"/>
  <c r="C1845" i="60"/>
  <c r="B1845" i="60"/>
  <c r="A1845" i="60"/>
  <c r="C1844" i="60"/>
  <c r="B1844" i="60"/>
  <c r="A1844" i="60"/>
  <c r="C1843" i="60"/>
  <c r="B1843" i="60"/>
  <c r="A1843" i="60"/>
  <c r="C1842" i="60"/>
  <c r="B1842" i="60"/>
  <c r="A1842" i="60"/>
  <c r="C1841" i="60"/>
  <c r="B1841" i="60"/>
  <c r="A1841" i="60"/>
  <c r="C1840" i="60"/>
  <c r="B1840" i="60"/>
  <c r="A1840" i="60"/>
  <c r="C1839" i="60"/>
  <c r="B1839" i="60"/>
  <c r="A1839" i="60"/>
  <c r="C1838" i="60"/>
  <c r="B1838" i="60"/>
  <c r="A1838" i="60"/>
  <c r="C1837" i="60"/>
  <c r="B1837" i="60"/>
  <c r="A1837" i="60"/>
  <c r="C1836" i="60"/>
  <c r="B1836" i="60"/>
  <c r="A1836" i="60"/>
  <c r="C1835" i="60"/>
  <c r="B1835" i="60"/>
  <c r="A1835" i="60"/>
  <c r="C1834" i="60"/>
  <c r="B1834" i="60"/>
  <c r="A1834" i="60"/>
  <c r="C1833" i="60"/>
  <c r="B1833" i="60"/>
  <c r="A1833" i="60"/>
  <c r="C1832" i="60"/>
  <c r="B1832" i="60"/>
  <c r="A1832" i="60"/>
  <c r="C1831" i="60"/>
  <c r="B1831" i="60"/>
  <c r="A1831" i="60"/>
  <c r="C1830" i="60"/>
  <c r="B1830" i="60"/>
  <c r="A1830" i="60"/>
  <c r="C1829" i="60"/>
  <c r="B1829" i="60"/>
  <c r="A1829" i="60"/>
  <c r="C1828" i="60"/>
  <c r="B1828" i="60"/>
  <c r="A1828" i="60"/>
  <c r="C1827" i="60"/>
  <c r="B1827" i="60"/>
  <c r="A1827" i="60"/>
  <c r="C1826" i="60"/>
  <c r="B1826" i="60"/>
  <c r="A1826" i="60"/>
  <c r="C1825" i="60"/>
  <c r="B1825" i="60"/>
  <c r="A1825" i="60"/>
  <c r="C1824" i="60"/>
  <c r="B1824" i="60"/>
  <c r="A1824" i="60"/>
  <c r="C1823" i="60"/>
  <c r="B1823" i="60"/>
  <c r="A1823" i="60"/>
  <c r="C1822" i="60"/>
  <c r="B1822" i="60"/>
  <c r="A1822" i="60"/>
  <c r="C1821" i="60"/>
  <c r="B1821" i="60"/>
  <c r="A1821" i="60"/>
  <c r="C1820" i="60"/>
  <c r="B1820" i="60"/>
  <c r="A1820" i="60"/>
  <c r="C1819" i="60"/>
  <c r="B1819" i="60"/>
  <c r="A1819" i="60"/>
  <c r="C1818" i="60"/>
  <c r="B1818" i="60"/>
  <c r="A1818" i="60"/>
  <c r="C1817" i="60"/>
  <c r="B1817" i="60"/>
  <c r="A1817" i="60"/>
  <c r="C1816" i="60"/>
  <c r="B1816" i="60"/>
  <c r="A1816" i="60"/>
  <c r="C1815" i="60"/>
  <c r="B1815" i="60"/>
  <c r="A1815" i="60"/>
  <c r="C1814" i="60"/>
  <c r="B1814" i="60"/>
  <c r="A1814" i="60"/>
  <c r="C1813" i="60"/>
  <c r="B1813" i="60"/>
  <c r="A1813" i="60"/>
  <c r="C1812" i="60"/>
  <c r="B1812" i="60"/>
  <c r="A1812" i="60"/>
  <c r="C1811" i="60"/>
  <c r="B1811" i="60"/>
  <c r="A1811" i="60"/>
  <c r="C1810" i="60"/>
  <c r="B1810" i="60"/>
  <c r="A1810" i="60"/>
  <c r="C1809" i="60"/>
  <c r="B1809" i="60"/>
  <c r="A1809" i="60"/>
  <c r="C1808" i="60"/>
  <c r="B1808" i="60"/>
  <c r="A1808" i="60"/>
  <c r="C1807" i="60"/>
  <c r="B1807" i="60"/>
  <c r="A1807" i="60"/>
  <c r="C1806" i="60"/>
  <c r="B1806" i="60"/>
  <c r="A1806" i="60"/>
  <c r="C1805" i="60"/>
  <c r="B1805" i="60"/>
  <c r="A1805" i="60"/>
  <c r="C1804" i="60"/>
  <c r="B1804" i="60"/>
  <c r="A1804" i="60"/>
  <c r="C1803" i="60"/>
  <c r="B1803" i="60"/>
  <c r="A1803" i="60"/>
  <c r="C1802" i="60"/>
  <c r="B1802" i="60"/>
  <c r="A1802" i="60"/>
  <c r="C1801" i="60"/>
  <c r="B1801" i="60"/>
  <c r="A1801" i="60"/>
  <c r="C1800" i="60"/>
  <c r="B1800" i="60"/>
  <c r="A1800" i="60"/>
  <c r="C1799" i="60"/>
  <c r="B1799" i="60"/>
  <c r="A1799" i="60"/>
  <c r="C1798" i="60"/>
  <c r="B1798" i="60"/>
  <c r="A1798" i="60"/>
  <c r="C1797" i="60"/>
  <c r="B1797" i="60"/>
  <c r="A1797" i="60"/>
  <c r="C1796" i="60"/>
  <c r="B1796" i="60"/>
  <c r="A1796" i="60"/>
  <c r="C1795" i="60"/>
  <c r="B1795" i="60"/>
  <c r="A1795" i="60"/>
  <c r="C1794" i="60"/>
  <c r="B1794" i="60"/>
  <c r="A1794" i="60"/>
  <c r="C1793" i="60"/>
  <c r="B1793" i="60"/>
  <c r="A1793" i="60"/>
  <c r="C1792" i="60"/>
  <c r="B1792" i="60"/>
  <c r="A1792" i="60"/>
  <c r="C1791" i="60"/>
  <c r="B1791" i="60"/>
  <c r="A1791" i="60"/>
  <c r="C1790" i="60"/>
  <c r="B1790" i="60"/>
  <c r="A1790" i="60"/>
  <c r="C1789" i="60"/>
  <c r="B1789" i="60"/>
  <c r="A1789" i="60"/>
  <c r="C1788" i="60"/>
  <c r="B1788" i="60"/>
  <c r="A1788" i="60"/>
  <c r="C1787" i="60"/>
  <c r="B1787" i="60"/>
  <c r="A1787" i="60"/>
  <c r="C1786" i="60"/>
  <c r="B1786" i="60"/>
  <c r="A1786" i="60"/>
  <c r="C1785" i="60"/>
  <c r="B1785" i="60"/>
  <c r="A1785" i="60"/>
  <c r="C1784" i="60"/>
  <c r="B1784" i="60"/>
  <c r="A1784" i="60"/>
  <c r="C1783" i="60"/>
  <c r="B1783" i="60"/>
  <c r="A1783" i="60"/>
  <c r="C1782" i="60"/>
  <c r="B1782" i="60"/>
  <c r="A1782" i="60"/>
  <c r="C1781" i="60"/>
  <c r="B1781" i="60"/>
  <c r="A1781" i="60"/>
  <c r="C1780" i="60"/>
  <c r="B1780" i="60"/>
  <c r="A1780" i="60"/>
  <c r="C1779" i="60"/>
  <c r="B1779" i="60"/>
  <c r="A1779" i="60"/>
  <c r="C1778" i="60"/>
  <c r="B1778" i="60"/>
  <c r="A1778" i="60"/>
  <c r="C1777" i="60"/>
  <c r="B1777" i="60"/>
  <c r="A1777" i="60"/>
  <c r="C1776" i="60"/>
  <c r="B1776" i="60"/>
  <c r="A1776" i="60"/>
  <c r="C1775" i="60"/>
  <c r="B1775" i="60"/>
  <c r="A1775" i="60"/>
  <c r="C1774" i="60"/>
  <c r="B1774" i="60"/>
  <c r="A1774" i="60"/>
  <c r="C1773" i="60"/>
  <c r="B1773" i="60"/>
  <c r="A1773" i="60"/>
  <c r="C1772" i="60"/>
  <c r="B1772" i="60"/>
  <c r="A1772" i="60"/>
  <c r="C1771" i="60"/>
  <c r="B1771" i="60"/>
  <c r="A1771" i="60"/>
  <c r="C1770" i="60"/>
  <c r="B1770" i="60"/>
  <c r="A1770" i="60"/>
  <c r="C1769" i="60"/>
  <c r="B1769" i="60"/>
  <c r="A1769" i="60"/>
  <c r="C1768" i="60"/>
  <c r="B1768" i="60"/>
  <c r="A1768" i="60"/>
  <c r="C1767" i="60"/>
  <c r="B1767" i="60"/>
  <c r="A1767" i="60"/>
  <c r="C1766" i="60"/>
  <c r="B1766" i="60"/>
  <c r="A1766" i="60"/>
  <c r="C1765" i="60"/>
  <c r="B1765" i="60"/>
  <c r="A1765" i="60"/>
  <c r="C1764" i="60"/>
  <c r="B1764" i="60"/>
  <c r="A1764" i="60"/>
  <c r="C1763" i="60"/>
  <c r="B1763" i="60"/>
  <c r="A1763" i="60"/>
  <c r="C1762" i="60"/>
  <c r="B1762" i="60"/>
  <c r="A1762" i="60"/>
  <c r="C1761" i="60"/>
  <c r="B1761" i="60"/>
  <c r="A1761" i="60"/>
  <c r="C1760" i="60"/>
  <c r="B1760" i="60"/>
  <c r="A1760" i="60"/>
  <c r="C1759" i="60"/>
  <c r="B1759" i="60"/>
  <c r="A1759" i="60"/>
  <c r="C1758" i="60"/>
  <c r="B1758" i="60"/>
  <c r="A1758" i="60"/>
  <c r="C1757" i="60"/>
  <c r="B1757" i="60"/>
  <c r="A1757" i="60"/>
  <c r="C1756" i="60"/>
  <c r="B1756" i="60"/>
  <c r="A1756" i="60"/>
  <c r="C1755" i="60"/>
  <c r="B1755" i="60"/>
  <c r="A1755" i="60"/>
  <c r="C1754" i="60"/>
  <c r="B1754" i="60"/>
  <c r="A1754" i="60"/>
  <c r="C1753" i="60"/>
  <c r="B1753" i="60"/>
  <c r="A1753" i="60"/>
  <c r="C1752" i="60"/>
  <c r="B1752" i="60"/>
  <c r="A1752" i="60"/>
  <c r="C1751" i="60"/>
  <c r="B1751" i="60"/>
  <c r="A1751" i="60"/>
  <c r="C1750" i="60"/>
  <c r="B1750" i="60"/>
  <c r="A1750" i="60"/>
  <c r="C1749" i="60"/>
  <c r="B1749" i="60"/>
  <c r="A1749" i="60"/>
  <c r="C1748" i="60"/>
  <c r="B1748" i="60"/>
  <c r="A1748" i="60"/>
  <c r="C1747" i="60"/>
  <c r="B1747" i="60"/>
  <c r="A1747" i="60"/>
  <c r="C1746" i="60"/>
  <c r="B1746" i="60"/>
  <c r="A1746" i="60"/>
  <c r="C1745" i="60"/>
  <c r="B1745" i="60"/>
  <c r="A1745" i="60"/>
  <c r="C1744" i="60"/>
  <c r="B1744" i="60"/>
  <c r="A1744" i="60"/>
  <c r="C1743" i="60"/>
  <c r="B1743" i="60"/>
  <c r="A1743" i="60"/>
  <c r="C1742" i="60"/>
  <c r="B1742" i="60"/>
  <c r="A1742" i="60"/>
  <c r="C1741" i="60"/>
  <c r="B1741" i="60"/>
  <c r="A1741" i="60"/>
  <c r="C1740" i="60"/>
  <c r="B1740" i="60"/>
  <c r="A1740" i="60"/>
  <c r="C1739" i="60"/>
  <c r="B1739" i="60"/>
  <c r="A1739" i="60"/>
  <c r="C1738" i="60"/>
  <c r="B1738" i="60"/>
  <c r="A1738" i="60"/>
  <c r="C1737" i="60"/>
  <c r="B1737" i="60"/>
  <c r="A1737" i="60"/>
  <c r="C1736" i="60"/>
  <c r="B1736" i="60"/>
  <c r="A1736" i="60"/>
  <c r="C1735" i="60"/>
  <c r="B1735" i="60"/>
  <c r="A1735" i="60"/>
  <c r="C1734" i="60"/>
  <c r="B1734" i="60"/>
  <c r="A1734" i="60"/>
  <c r="C1733" i="60"/>
  <c r="B1733" i="60"/>
  <c r="A1733" i="60"/>
  <c r="C1732" i="60"/>
  <c r="B1732" i="60"/>
  <c r="A1732" i="60"/>
  <c r="C1731" i="60"/>
  <c r="B1731" i="60"/>
  <c r="A1731" i="60"/>
  <c r="C1730" i="60"/>
  <c r="B1730" i="60"/>
  <c r="A1730" i="60"/>
  <c r="C1729" i="60"/>
  <c r="B1729" i="60"/>
  <c r="A1729" i="60"/>
  <c r="C1728" i="60"/>
  <c r="B1728" i="60"/>
  <c r="A1728" i="60"/>
  <c r="C1727" i="60"/>
  <c r="B1727" i="60"/>
  <c r="A1727" i="60"/>
  <c r="C1726" i="60"/>
  <c r="B1726" i="60"/>
  <c r="A1726" i="60"/>
  <c r="C1725" i="60"/>
  <c r="B1725" i="60"/>
  <c r="A1725" i="60"/>
  <c r="C1724" i="60"/>
  <c r="B1724" i="60"/>
  <c r="A1724" i="60"/>
  <c r="C1723" i="60"/>
  <c r="B1723" i="60"/>
  <c r="A1723" i="60"/>
  <c r="C1722" i="60"/>
  <c r="B1722" i="60"/>
  <c r="A1722" i="60"/>
  <c r="C1721" i="60"/>
  <c r="B1721" i="60"/>
  <c r="A1721" i="60"/>
  <c r="C1720" i="60"/>
  <c r="B1720" i="60"/>
  <c r="A1720" i="60"/>
  <c r="C1719" i="60"/>
  <c r="B1719" i="60"/>
  <c r="A1719" i="60"/>
  <c r="C1718" i="60"/>
  <c r="B1718" i="60"/>
  <c r="A1718" i="60"/>
  <c r="C1717" i="60"/>
  <c r="B1717" i="60"/>
  <c r="A1717" i="60"/>
  <c r="C1716" i="60"/>
  <c r="B1716" i="60"/>
  <c r="A1716" i="60"/>
  <c r="C1715" i="60"/>
  <c r="B1715" i="60"/>
  <c r="A1715" i="60"/>
  <c r="C1714" i="60"/>
  <c r="B1714" i="60"/>
  <c r="A1714" i="60"/>
  <c r="C1713" i="60"/>
  <c r="B1713" i="60"/>
  <c r="A1713" i="60"/>
  <c r="C1712" i="60"/>
  <c r="B1712" i="60"/>
  <c r="A1712" i="60"/>
  <c r="C1711" i="60"/>
  <c r="B1711" i="60"/>
  <c r="A1711" i="60"/>
  <c r="C1710" i="60"/>
  <c r="B1710" i="60"/>
  <c r="A1710" i="60"/>
  <c r="C1709" i="60"/>
  <c r="B1709" i="60"/>
  <c r="A1709" i="60"/>
  <c r="C1708" i="60"/>
  <c r="B1708" i="60"/>
  <c r="A1708" i="60"/>
  <c r="C1707" i="60"/>
  <c r="B1707" i="60"/>
  <c r="A1707" i="60"/>
  <c r="C1706" i="60"/>
  <c r="B1706" i="60"/>
  <c r="A1706" i="60"/>
  <c r="C1705" i="60"/>
  <c r="B1705" i="60"/>
  <c r="A1705" i="60"/>
  <c r="C1704" i="60"/>
  <c r="B1704" i="60"/>
  <c r="A1704" i="60"/>
  <c r="C1703" i="60"/>
  <c r="B1703" i="60"/>
  <c r="A1703" i="60"/>
  <c r="C1702" i="60"/>
  <c r="B1702" i="60"/>
  <c r="A1702" i="60"/>
  <c r="C1701" i="60"/>
  <c r="B1701" i="60"/>
  <c r="A1701" i="60"/>
  <c r="C1700" i="60"/>
  <c r="B1700" i="60"/>
  <c r="A1700" i="60"/>
  <c r="C1699" i="60"/>
  <c r="B1699" i="60"/>
  <c r="A1699" i="60"/>
  <c r="C1698" i="60"/>
  <c r="B1698" i="60"/>
  <c r="A1698" i="60"/>
  <c r="C1697" i="60"/>
  <c r="B1697" i="60"/>
  <c r="A1697" i="60"/>
  <c r="C1696" i="60"/>
  <c r="B1696" i="60"/>
  <c r="A1696" i="60"/>
  <c r="C1695" i="60"/>
  <c r="B1695" i="60"/>
  <c r="A1695" i="60"/>
  <c r="C1694" i="60"/>
  <c r="B1694" i="60"/>
  <c r="A1694" i="60"/>
  <c r="C1693" i="60"/>
  <c r="B1693" i="60"/>
  <c r="A1693" i="60"/>
  <c r="C1692" i="60"/>
  <c r="B1692" i="60"/>
  <c r="A1692" i="60"/>
  <c r="C1691" i="60"/>
  <c r="B1691" i="60"/>
  <c r="A1691" i="60"/>
  <c r="C1690" i="60"/>
  <c r="B1690" i="60"/>
  <c r="A1690" i="60"/>
  <c r="C1689" i="60"/>
  <c r="B1689" i="60"/>
  <c r="A1689" i="60"/>
  <c r="C1688" i="60"/>
  <c r="B1688" i="60"/>
  <c r="A1688" i="60"/>
  <c r="C1687" i="60"/>
  <c r="B1687" i="60"/>
  <c r="A1687" i="60"/>
  <c r="C1686" i="60"/>
  <c r="B1686" i="60"/>
  <c r="A1686" i="60"/>
  <c r="C1685" i="60"/>
  <c r="B1685" i="60"/>
  <c r="A1685" i="60"/>
  <c r="C1684" i="60"/>
  <c r="B1684" i="60"/>
  <c r="A1684" i="60"/>
  <c r="C1683" i="60"/>
  <c r="B1683" i="60"/>
  <c r="A1683" i="60"/>
  <c r="C1682" i="60"/>
  <c r="B1682" i="60"/>
  <c r="A1682" i="60"/>
  <c r="C1681" i="60"/>
  <c r="B1681" i="60"/>
  <c r="A1681" i="60"/>
  <c r="C1680" i="60"/>
  <c r="B1680" i="60"/>
  <c r="A1680" i="60"/>
  <c r="C1679" i="60"/>
  <c r="B1679" i="60"/>
  <c r="A1679" i="60"/>
  <c r="C1678" i="60"/>
  <c r="B1678" i="60"/>
  <c r="A1678" i="60"/>
  <c r="C1677" i="60"/>
  <c r="B1677" i="60"/>
  <c r="A1677" i="60"/>
  <c r="C1676" i="60"/>
  <c r="B1676" i="60"/>
  <c r="A1676" i="60"/>
  <c r="C1675" i="60"/>
  <c r="B1675" i="60"/>
  <c r="A1675" i="60"/>
  <c r="C1674" i="60"/>
  <c r="B1674" i="60"/>
  <c r="A1674" i="60"/>
  <c r="C1673" i="60"/>
  <c r="B1673" i="60"/>
  <c r="A1673" i="60"/>
  <c r="C1672" i="60"/>
  <c r="B1672" i="60"/>
  <c r="A1672" i="60"/>
  <c r="C1671" i="60"/>
  <c r="B1671" i="60"/>
  <c r="A1671" i="60"/>
  <c r="C1670" i="60"/>
  <c r="B1670" i="60"/>
  <c r="A1670" i="60"/>
  <c r="C1669" i="60"/>
  <c r="B1669" i="60"/>
  <c r="A1669" i="60"/>
  <c r="C1668" i="60"/>
  <c r="B1668" i="60"/>
  <c r="A1668" i="60"/>
  <c r="C1667" i="60"/>
  <c r="B1667" i="60"/>
  <c r="A1667" i="60"/>
  <c r="C1666" i="60"/>
  <c r="B1666" i="60"/>
  <c r="A1666" i="60"/>
  <c r="C1665" i="60"/>
  <c r="B1665" i="60"/>
  <c r="A1665" i="60"/>
  <c r="C1664" i="60"/>
  <c r="B1664" i="60"/>
  <c r="A1664" i="60"/>
  <c r="C1663" i="60"/>
  <c r="B1663" i="60"/>
  <c r="A1663" i="60"/>
  <c r="C1662" i="60"/>
  <c r="B1662" i="60"/>
  <c r="A1662" i="60"/>
  <c r="C1661" i="60"/>
  <c r="B1661" i="60"/>
  <c r="A1661" i="60"/>
  <c r="C1660" i="60"/>
  <c r="B1660" i="60"/>
  <c r="A1660" i="60"/>
  <c r="C1659" i="60"/>
  <c r="B1659" i="60"/>
  <c r="A1659" i="60"/>
  <c r="C1658" i="60"/>
  <c r="B1658" i="60"/>
  <c r="A1658" i="60"/>
  <c r="C1657" i="60"/>
  <c r="B1657" i="60"/>
  <c r="A1657" i="60"/>
  <c r="C1656" i="60"/>
  <c r="B1656" i="60"/>
  <c r="A1656" i="60"/>
  <c r="C1655" i="60"/>
  <c r="B1655" i="60"/>
  <c r="A1655" i="60"/>
  <c r="C1654" i="60"/>
  <c r="B1654" i="60"/>
  <c r="A1654" i="60"/>
  <c r="C1653" i="60"/>
  <c r="B1653" i="60"/>
  <c r="A1653" i="60"/>
  <c r="C1652" i="60"/>
  <c r="B1652" i="60"/>
  <c r="A1652" i="60"/>
  <c r="C1651" i="60"/>
  <c r="B1651" i="60"/>
  <c r="A1651" i="60"/>
  <c r="C1650" i="60"/>
  <c r="B1650" i="60"/>
  <c r="A1650" i="60"/>
  <c r="C1649" i="60"/>
  <c r="B1649" i="60"/>
  <c r="A1649" i="60"/>
  <c r="C1648" i="60"/>
  <c r="B1648" i="60"/>
  <c r="A1648" i="60"/>
  <c r="C1647" i="60"/>
  <c r="B1647" i="60"/>
  <c r="A1647" i="60"/>
  <c r="C1646" i="60"/>
  <c r="B1646" i="60"/>
  <c r="A1646" i="60"/>
  <c r="C1645" i="60"/>
  <c r="B1645" i="60"/>
  <c r="A1645" i="60"/>
  <c r="C1644" i="60"/>
  <c r="B1644" i="60"/>
  <c r="A1644" i="60"/>
  <c r="C1643" i="60"/>
  <c r="B1643" i="60"/>
  <c r="A1643" i="60"/>
  <c r="C1642" i="60"/>
  <c r="B1642" i="60"/>
  <c r="A1642" i="60"/>
  <c r="C1641" i="60"/>
  <c r="B1641" i="60"/>
  <c r="A1641" i="60"/>
  <c r="C1640" i="60"/>
  <c r="B1640" i="60"/>
  <c r="A1640" i="60"/>
  <c r="C1639" i="60"/>
  <c r="B1639" i="60"/>
  <c r="A1639" i="60"/>
  <c r="C1638" i="60"/>
  <c r="B1638" i="60"/>
  <c r="A1638" i="60"/>
  <c r="C1637" i="60"/>
  <c r="B1637" i="60"/>
  <c r="A1637" i="60"/>
  <c r="C1636" i="60"/>
  <c r="B1636" i="60"/>
  <c r="A1636" i="60"/>
  <c r="C1635" i="60"/>
  <c r="B1635" i="60"/>
  <c r="A1635" i="60"/>
  <c r="C1634" i="60"/>
  <c r="B1634" i="60"/>
  <c r="A1634" i="60"/>
  <c r="C1633" i="60"/>
  <c r="B1633" i="60"/>
  <c r="A1633" i="60"/>
  <c r="C1632" i="60"/>
  <c r="B1632" i="60"/>
  <c r="A1632" i="60"/>
  <c r="C1631" i="60"/>
  <c r="B1631" i="60"/>
  <c r="A1631" i="60"/>
  <c r="C1630" i="60"/>
  <c r="B1630" i="60"/>
  <c r="A1630" i="60"/>
  <c r="C1629" i="60"/>
  <c r="B1629" i="60"/>
  <c r="A1629" i="60"/>
  <c r="C1628" i="60"/>
  <c r="B1628" i="60"/>
  <c r="A1628" i="60"/>
  <c r="C1627" i="60"/>
  <c r="B1627" i="60"/>
  <c r="A1627" i="60"/>
  <c r="C1626" i="60"/>
  <c r="B1626" i="60"/>
  <c r="A1626" i="60"/>
  <c r="C1625" i="60"/>
  <c r="B1625" i="60"/>
  <c r="A1625" i="60"/>
  <c r="C1624" i="60"/>
  <c r="B1624" i="60"/>
  <c r="A1624" i="60"/>
  <c r="C1623" i="60"/>
  <c r="B1623" i="60"/>
  <c r="A1623" i="60"/>
  <c r="C1622" i="60"/>
  <c r="B1622" i="60"/>
  <c r="A1622" i="60"/>
  <c r="C1621" i="60"/>
  <c r="B1621" i="60"/>
  <c r="A1621" i="60"/>
  <c r="C1620" i="60"/>
  <c r="B1620" i="60"/>
  <c r="A1620" i="60"/>
  <c r="C1619" i="60"/>
  <c r="B1619" i="60"/>
  <c r="A1619" i="60"/>
  <c r="C1618" i="60"/>
  <c r="B1618" i="60"/>
  <c r="A1618" i="60"/>
  <c r="C1617" i="60"/>
  <c r="B1617" i="60"/>
  <c r="A1617" i="60"/>
  <c r="C1616" i="60"/>
  <c r="B1616" i="60"/>
  <c r="A1616" i="60"/>
  <c r="C1615" i="60"/>
  <c r="B1615" i="60"/>
  <c r="A1615" i="60"/>
  <c r="C1614" i="60"/>
  <c r="B1614" i="60"/>
  <c r="A1614" i="60"/>
  <c r="C1613" i="60"/>
  <c r="B1613" i="60"/>
  <c r="A1613" i="60"/>
  <c r="C1612" i="60"/>
  <c r="B1612" i="60"/>
  <c r="A1612" i="60"/>
  <c r="C1611" i="60"/>
  <c r="B1611" i="60"/>
  <c r="A1611" i="60"/>
  <c r="C1610" i="60"/>
  <c r="B1610" i="60"/>
  <c r="A1610" i="60"/>
  <c r="C1609" i="60"/>
  <c r="B1609" i="60"/>
  <c r="A1609" i="60"/>
  <c r="C1608" i="60"/>
  <c r="B1608" i="60"/>
  <c r="A1608" i="60"/>
  <c r="C1607" i="60"/>
  <c r="B1607" i="60"/>
  <c r="A1607" i="60"/>
  <c r="C1606" i="60"/>
  <c r="B1606" i="60"/>
  <c r="A1606" i="60"/>
  <c r="C1605" i="60"/>
  <c r="B1605" i="60"/>
  <c r="A1605" i="60"/>
  <c r="C1604" i="60"/>
  <c r="B1604" i="60"/>
  <c r="A1604" i="60"/>
  <c r="C1603" i="60"/>
  <c r="B1603" i="60"/>
  <c r="A1603" i="60"/>
  <c r="C1602" i="60"/>
  <c r="B1602" i="60"/>
  <c r="A1602" i="60"/>
  <c r="C1601" i="60"/>
  <c r="B1601" i="60"/>
  <c r="A1601" i="60"/>
  <c r="C1600" i="60"/>
  <c r="B1600" i="60"/>
  <c r="A1600" i="60"/>
  <c r="C1599" i="60"/>
  <c r="B1599" i="60"/>
  <c r="A1599" i="60"/>
  <c r="C1598" i="60"/>
  <c r="B1598" i="60"/>
  <c r="A1598" i="60"/>
  <c r="C1597" i="60"/>
  <c r="B1597" i="60"/>
  <c r="A1597" i="60"/>
  <c r="C1596" i="60"/>
  <c r="B1596" i="60"/>
  <c r="A1596" i="60"/>
  <c r="C1595" i="60"/>
  <c r="B1595" i="60"/>
  <c r="A1595" i="60"/>
  <c r="C1594" i="60"/>
  <c r="B1594" i="60"/>
  <c r="A1594" i="60"/>
  <c r="C1593" i="60"/>
  <c r="B1593" i="60"/>
  <c r="A1593" i="60"/>
  <c r="C1592" i="60"/>
  <c r="B1592" i="60"/>
  <c r="A1592" i="60"/>
  <c r="C1591" i="60"/>
  <c r="B1591" i="60"/>
  <c r="A1591" i="60"/>
  <c r="C1590" i="60"/>
  <c r="B1590" i="60"/>
  <c r="A1590" i="60"/>
  <c r="C1589" i="60"/>
  <c r="B1589" i="60"/>
  <c r="A1589" i="60"/>
  <c r="C1588" i="60"/>
  <c r="B1588" i="60"/>
  <c r="A1588" i="60"/>
  <c r="C1587" i="60"/>
  <c r="B1587" i="60"/>
  <c r="A1587" i="60"/>
  <c r="C1586" i="60"/>
  <c r="B1586" i="60"/>
  <c r="A1586" i="60"/>
  <c r="C1585" i="60"/>
  <c r="B1585" i="60"/>
  <c r="A1585" i="60"/>
  <c r="C1584" i="60"/>
  <c r="B1584" i="60"/>
  <c r="A1584" i="60"/>
  <c r="C1583" i="60"/>
  <c r="B1583" i="60"/>
  <c r="A1583" i="60"/>
  <c r="C1582" i="60"/>
  <c r="B1582" i="60"/>
  <c r="A1582" i="60"/>
  <c r="C1581" i="60"/>
  <c r="B1581" i="60"/>
  <c r="A1581" i="60"/>
  <c r="C1580" i="60"/>
  <c r="B1580" i="60"/>
  <c r="A1580" i="60"/>
  <c r="C1579" i="60"/>
  <c r="B1579" i="60"/>
  <c r="A1579" i="60"/>
  <c r="C1578" i="60"/>
  <c r="B1578" i="60"/>
  <c r="A1578" i="60"/>
  <c r="C1577" i="60"/>
  <c r="B1577" i="60"/>
  <c r="A1577" i="60"/>
  <c r="C1576" i="60"/>
  <c r="B1576" i="60"/>
  <c r="A1576" i="60"/>
  <c r="C1575" i="60"/>
  <c r="B1575" i="60"/>
  <c r="A1575" i="60"/>
  <c r="C1574" i="60"/>
  <c r="B1574" i="60"/>
  <c r="A1574" i="60"/>
  <c r="C1573" i="60"/>
  <c r="B1573" i="60"/>
  <c r="A1573" i="60"/>
  <c r="C1572" i="60"/>
  <c r="B1572" i="60"/>
  <c r="A1572" i="60"/>
  <c r="C1571" i="60"/>
  <c r="B1571" i="60"/>
  <c r="A1571" i="60"/>
  <c r="C1570" i="60"/>
  <c r="B1570" i="60"/>
  <c r="A1570" i="60"/>
  <c r="C1569" i="60"/>
  <c r="B1569" i="60"/>
  <c r="A1569" i="60"/>
  <c r="C1568" i="60"/>
  <c r="B1568" i="60"/>
  <c r="A1568" i="60"/>
  <c r="C1567" i="60"/>
  <c r="B1567" i="60"/>
  <c r="A1567" i="60"/>
  <c r="C1566" i="60"/>
  <c r="B1566" i="60"/>
  <c r="A1566" i="60"/>
  <c r="C1565" i="60"/>
  <c r="B1565" i="60"/>
  <c r="A1565" i="60"/>
  <c r="C1564" i="60"/>
  <c r="B1564" i="60"/>
  <c r="A1564" i="60"/>
  <c r="C1563" i="60"/>
  <c r="B1563" i="60"/>
  <c r="A1563" i="60"/>
  <c r="C1562" i="60"/>
  <c r="B1562" i="60"/>
  <c r="A1562" i="60"/>
  <c r="C1561" i="60"/>
  <c r="B1561" i="60"/>
  <c r="A1561" i="60"/>
  <c r="C1560" i="60"/>
  <c r="B1560" i="60"/>
  <c r="A1560" i="60"/>
  <c r="C1559" i="60"/>
  <c r="B1559" i="60"/>
  <c r="A1559" i="60"/>
  <c r="C1558" i="60"/>
  <c r="B1558" i="60"/>
  <c r="A1558" i="60"/>
  <c r="C1557" i="60"/>
  <c r="B1557" i="60"/>
  <c r="A1557" i="60"/>
  <c r="C1556" i="60"/>
  <c r="B1556" i="60"/>
  <c r="A1556" i="60"/>
  <c r="C1555" i="60"/>
  <c r="B1555" i="60"/>
  <c r="A1555" i="60"/>
  <c r="C1554" i="60"/>
  <c r="B1554" i="60"/>
  <c r="A1554" i="60"/>
  <c r="C1553" i="60"/>
  <c r="B1553" i="60"/>
  <c r="A1553" i="60"/>
  <c r="C1552" i="60"/>
  <c r="B1552" i="60"/>
  <c r="A1552" i="60"/>
  <c r="C1551" i="60"/>
  <c r="B1551" i="60"/>
  <c r="A1551" i="60"/>
  <c r="C1550" i="60"/>
  <c r="B1550" i="60"/>
  <c r="A1550" i="60"/>
  <c r="C1549" i="60"/>
  <c r="B1549" i="60"/>
  <c r="A1549" i="60"/>
  <c r="C1548" i="60"/>
  <c r="B1548" i="60"/>
  <c r="A1548" i="60"/>
  <c r="C1547" i="60"/>
  <c r="B1547" i="60"/>
  <c r="A1547" i="60"/>
  <c r="C1546" i="60"/>
  <c r="B1546" i="60"/>
  <c r="A1546" i="60"/>
  <c r="C1545" i="60"/>
  <c r="B1545" i="60"/>
  <c r="A1545" i="60"/>
  <c r="C1544" i="60"/>
  <c r="B1544" i="60"/>
  <c r="A1544" i="60"/>
  <c r="C1543" i="60"/>
  <c r="B1543" i="60"/>
  <c r="A1543" i="60"/>
  <c r="C1542" i="60"/>
  <c r="B1542" i="60"/>
  <c r="A1542" i="60"/>
  <c r="C1541" i="60"/>
  <c r="B1541" i="60"/>
  <c r="A1541" i="60"/>
  <c r="C1540" i="60"/>
  <c r="B1540" i="60"/>
  <c r="A1540" i="60"/>
  <c r="C1539" i="60"/>
  <c r="B1539" i="60"/>
  <c r="A1539" i="60"/>
  <c r="C1538" i="60"/>
  <c r="B1538" i="60"/>
  <c r="A1538" i="60"/>
  <c r="C1537" i="60"/>
  <c r="B1537" i="60"/>
  <c r="A1537" i="60"/>
  <c r="C1536" i="60"/>
  <c r="B1536" i="60"/>
  <c r="A1536" i="60"/>
  <c r="C1535" i="60"/>
  <c r="B1535" i="60"/>
  <c r="A1535" i="60"/>
  <c r="C1534" i="60"/>
  <c r="B1534" i="60"/>
  <c r="A1534" i="60"/>
  <c r="C1533" i="60"/>
  <c r="B1533" i="60"/>
  <c r="A1533" i="60"/>
  <c r="C1532" i="60"/>
  <c r="B1532" i="60"/>
  <c r="A1532" i="60"/>
  <c r="C1531" i="60"/>
  <c r="B1531" i="60"/>
  <c r="A1531" i="60"/>
  <c r="C1530" i="60"/>
  <c r="B1530" i="60"/>
  <c r="A1530" i="60"/>
  <c r="C1529" i="60"/>
  <c r="B1529" i="60"/>
  <c r="A1529" i="60"/>
  <c r="C1528" i="60"/>
  <c r="B1528" i="60"/>
  <c r="A1528" i="60"/>
  <c r="C1527" i="60"/>
  <c r="B1527" i="60"/>
  <c r="A1527" i="60"/>
  <c r="C1526" i="60"/>
  <c r="B1526" i="60"/>
  <c r="A1526" i="60"/>
  <c r="C1525" i="60"/>
  <c r="B1525" i="60"/>
  <c r="A1525" i="60"/>
  <c r="C1524" i="60"/>
  <c r="B1524" i="60"/>
  <c r="A1524" i="60"/>
  <c r="C1523" i="60"/>
  <c r="B1523" i="60"/>
  <c r="A1523" i="60"/>
  <c r="C1522" i="60"/>
  <c r="B1522" i="60"/>
  <c r="A1522" i="60"/>
  <c r="C1521" i="60"/>
  <c r="B1521" i="60"/>
  <c r="A1521" i="60"/>
  <c r="C1520" i="60"/>
  <c r="B1520" i="60"/>
  <c r="A1520" i="60"/>
  <c r="C1519" i="60"/>
  <c r="B1519" i="60"/>
  <c r="A1519" i="60"/>
  <c r="C1518" i="60"/>
  <c r="B1518" i="60"/>
  <c r="A1518" i="60"/>
  <c r="C1517" i="60"/>
  <c r="B1517" i="60"/>
  <c r="A1517" i="60"/>
  <c r="C1516" i="60"/>
  <c r="B1516" i="60"/>
  <c r="A1516" i="60"/>
  <c r="C1515" i="60"/>
  <c r="B1515" i="60"/>
  <c r="A1515" i="60"/>
  <c r="C1514" i="60"/>
  <c r="B1514" i="60"/>
  <c r="A1514" i="60"/>
  <c r="C1513" i="60"/>
  <c r="B1513" i="60"/>
  <c r="A1513" i="60"/>
  <c r="C1512" i="60"/>
  <c r="B1512" i="60"/>
  <c r="A1512" i="60"/>
  <c r="C1511" i="60"/>
  <c r="B1511" i="60"/>
  <c r="A1511" i="60"/>
  <c r="C1510" i="60"/>
  <c r="B1510" i="60"/>
  <c r="A1510" i="60"/>
  <c r="C1509" i="60"/>
  <c r="B1509" i="60"/>
  <c r="A1509" i="60"/>
  <c r="C1508" i="60"/>
  <c r="B1508" i="60"/>
  <c r="A1508" i="60"/>
  <c r="C1507" i="60"/>
  <c r="B1507" i="60"/>
  <c r="A1507" i="60"/>
  <c r="C1506" i="60"/>
  <c r="B1506" i="60"/>
  <c r="A1506" i="60"/>
  <c r="C1505" i="60"/>
  <c r="B1505" i="60"/>
  <c r="A1505" i="60"/>
  <c r="C1504" i="60"/>
  <c r="B1504" i="60"/>
  <c r="A1504" i="60"/>
  <c r="C1503" i="60"/>
  <c r="B1503" i="60"/>
  <c r="A1503" i="60"/>
  <c r="C1502" i="60"/>
  <c r="B1502" i="60"/>
  <c r="A1502" i="60"/>
  <c r="C1501" i="60"/>
  <c r="B1501" i="60"/>
  <c r="A1501" i="60"/>
  <c r="C1500" i="60"/>
  <c r="B1500" i="60"/>
  <c r="A1500" i="60"/>
  <c r="C1499" i="60"/>
  <c r="B1499" i="60"/>
  <c r="A1499" i="60"/>
  <c r="C1498" i="60"/>
  <c r="B1498" i="60"/>
  <c r="A1498" i="60"/>
  <c r="C1497" i="60"/>
  <c r="B1497" i="60"/>
  <c r="A1497" i="60"/>
  <c r="C1496" i="60"/>
  <c r="B1496" i="60"/>
  <c r="A1496" i="60"/>
  <c r="C1495" i="60"/>
  <c r="B1495" i="60"/>
  <c r="A1495" i="60"/>
  <c r="C1494" i="60"/>
  <c r="B1494" i="60"/>
  <c r="A1494" i="60"/>
  <c r="C1493" i="60"/>
  <c r="B1493" i="60"/>
  <c r="A1493" i="60"/>
  <c r="C1492" i="60"/>
  <c r="B1492" i="60"/>
  <c r="A1492" i="60"/>
  <c r="C1491" i="60"/>
  <c r="B1491" i="60"/>
  <c r="A1491" i="60"/>
  <c r="C1490" i="60"/>
  <c r="B1490" i="60"/>
  <c r="A1490" i="60"/>
  <c r="C1489" i="60"/>
  <c r="B1489" i="60"/>
  <c r="A1489" i="60"/>
  <c r="C1488" i="60"/>
  <c r="B1488" i="60"/>
  <c r="A1488" i="60"/>
  <c r="C1487" i="60"/>
  <c r="B1487" i="60"/>
  <c r="A1487" i="60"/>
  <c r="C1486" i="60"/>
  <c r="B1486" i="60"/>
  <c r="A1486" i="60"/>
  <c r="C1485" i="60"/>
  <c r="B1485" i="60"/>
  <c r="A1485" i="60"/>
  <c r="C1484" i="60"/>
  <c r="B1484" i="60"/>
  <c r="A1484" i="60"/>
  <c r="C1483" i="60"/>
  <c r="B1483" i="60"/>
  <c r="A1483" i="60"/>
  <c r="C1482" i="60"/>
  <c r="B1482" i="60"/>
  <c r="A1482" i="60"/>
  <c r="C1481" i="60"/>
  <c r="B1481" i="60"/>
  <c r="A1481" i="60"/>
  <c r="C1480" i="60"/>
  <c r="B1480" i="60"/>
  <c r="A1480" i="60"/>
  <c r="C1479" i="60"/>
  <c r="B1479" i="60"/>
  <c r="A1479" i="60"/>
  <c r="C1478" i="60"/>
  <c r="B1478" i="60"/>
  <c r="A1478" i="60"/>
  <c r="C1477" i="60"/>
  <c r="B1477" i="60"/>
  <c r="A1477" i="60"/>
  <c r="C1476" i="60"/>
  <c r="B1476" i="60"/>
  <c r="A1476" i="60"/>
  <c r="C1475" i="60"/>
  <c r="B1475" i="60"/>
  <c r="A1475" i="60"/>
  <c r="C1474" i="60"/>
  <c r="B1474" i="60"/>
  <c r="A1474" i="60"/>
  <c r="C1473" i="60"/>
  <c r="B1473" i="60"/>
  <c r="A1473" i="60"/>
  <c r="C1472" i="60"/>
  <c r="B1472" i="60"/>
  <c r="A1472" i="60"/>
  <c r="C1471" i="60"/>
  <c r="B1471" i="60"/>
  <c r="A1471" i="60"/>
  <c r="C1470" i="60"/>
  <c r="B1470" i="60"/>
  <c r="A1470" i="60"/>
  <c r="C1469" i="60"/>
  <c r="B1469" i="60"/>
  <c r="A1469" i="60"/>
  <c r="C1468" i="60"/>
  <c r="B1468" i="60"/>
  <c r="A1468" i="60"/>
  <c r="C1467" i="60"/>
  <c r="B1467" i="60"/>
  <c r="A1467" i="60"/>
  <c r="C1466" i="60"/>
  <c r="B1466" i="60"/>
  <c r="A1466" i="60"/>
  <c r="C1465" i="60"/>
  <c r="B1465" i="60"/>
  <c r="A1465" i="60"/>
  <c r="C1464" i="60"/>
  <c r="B1464" i="60"/>
  <c r="A1464" i="60"/>
  <c r="C1463" i="60"/>
  <c r="B1463" i="60"/>
  <c r="A1463" i="60"/>
  <c r="C1462" i="60"/>
  <c r="B1462" i="60"/>
  <c r="A1462" i="60"/>
  <c r="C1461" i="60"/>
  <c r="B1461" i="60"/>
  <c r="A1461" i="60"/>
  <c r="C1460" i="60"/>
  <c r="B1460" i="60"/>
  <c r="A1460" i="60"/>
  <c r="C1459" i="60"/>
  <c r="B1459" i="60"/>
  <c r="A1459" i="60"/>
  <c r="C1458" i="60"/>
  <c r="B1458" i="60"/>
  <c r="A1458" i="60"/>
  <c r="C1457" i="60"/>
  <c r="B1457" i="60"/>
  <c r="A1457" i="60"/>
  <c r="C1456" i="60"/>
  <c r="B1456" i="60"/>
  <c r="A1456" i="60"/>
  <c r="C1455" i="60"/>
  <c r="B1455" i="60"/>
  <c r="A1455" i="60"/>
  <c r="C1454" i="60"/>
  <c r="B1454" i="60"/>
  <c r="A1454" i="60"/>
  <c r="C1453" i="60"/>
  <c r="B1453" i="60"/>
  <c r="A1453" i="60"/>
  <c r="C1452" i="60"/>
  <c r="B1452" i="60"/>
  <c r="A1452" i="60"/>
  <c r="C1451" i="60"/>
  <c r="B1451" i="60"/>
  <c r="A1451" i="60"/>
  <c r="C1450" i="60"/>
  <c r="B1450" i="60"/>
  <c r="A1450" i="60"/>
  <c r="C1449" i="60"/>
  <c r="B1449" i="60"/>
  <c r="A1449" i="60"/>
  <c r="C1448" i="60"/>
  <c r="B1448" i="60"/>
  <c r="A1448" i="60"/>
  <c r="C1447" i="60"/>
  <c r="B1447" i="60"/>
  <c r="A1447" i="60"/>
  <c r="C1446" i="60"/>
  <c r="B1446" i="60"/>
  <c r="A1446" i="60"/>
  <c r="C1445" i="60"/>
  <c r="B1445" i="60"/>
  <c r="A1445" i="60"/>
  <c r="C1444" i="60"/>
  <c r="B1444" i="60"/>
  <c r="A1444" i="60"/>
  <c r="C1443" i="60"/>
  <c r="B1443" i="60"/>
  <c r="A1443" i="60"/>
  <c r="C1442" i="60"/>
  <c r="B1442" i="60"/>
  <c r="A1442" i="60"/>
  <c r="C1441" i="60"/>
  <c r="B1441" i="60"/>
  <c r="A1441" i="60"/>
  <c r="C1440" i="60"/>
  <c r="B1440" i="60"/>
  <c r="A1440" i="60"/>
  <c r="C1439" i="60"/>
  <c r="B1439" i="60"/>
  <c r="A1439" i="60"/>
  <c r="C1438" i="60"/>
  <c r="B1438" i="60"/>
  <c r="A1438" i="60"/>
  <c r="C1437" i="60"/>
  <c r="B1437" i="60"/>
  <c r="A1437" i="60"/>
  <c r="C1436" i="60"/>
  <c r="B1436" i="60"/>
  <c r="A1436" i="60"/>
  <c r="C1435" i="60"/>
  <c r="B1435" i="60"/>
  <c r="A1435" i="60"/>
  <c r="C1434" i="60"/>
  <c r="B1434" i="60"/>
  <c r="A1434" i="60"/>
  <c r="C1433" i="60"/>
  <c r="B1433" i="60"/>
  <c r="A1433" i="60"/>
  <c r="C1432" i="60"/>
  <c r="B1432" i="60"/>
  <c r="A1432" i="60"/>
  <c r="C1431" i="60"/>
  <c r="B1431" i="60"/>
  <c r="A1431" i="60"/>
  <c r="C1430" i="60"/>
  <c r="B1430" i="60"/>
  <c r="A1430" i="60"/>
  <c r="C1429" i="60"/>
  <c r="B1429" i="60"/>
  <c r="A1429" i="60"/>
  <c r="C1428" i="60"/>
  <c r="B1428" i="60"/>
  <c r="A1428" i="60"/>
  <c r="C1427" i="60"/>
  <c r="B1427" i="60"/>
  <c r="A1427" i="60"/>
  <c r="C1426" i="60"/>
  <c r="B1426" i="60"/>
  <c r="A1426" i="60"/>
  <c r="C1425" i="60"/>
  <c r="B1425" i="60"/>
  <c r="A1425" i="60"/>
  <c r="C1424" i="60"/>
  <c r="B1424" i="60"/>
  <c r="A1424" i="60"/>
  <c r="C1423" i="60"/>
  <c r="B1423" i="60"/>
  <c r="A1423" i="60"/>
  <c r="C1422" i="60"/>
  <c r="B1422" i="60"/>
  <c r="A1422" i="60"/>
  <c r="C1421" i="60"/>
  <c r="B1421" i="60"/>
  <c r="A1421" i="60"/>
  <c r="C1420" i="60"/>
  <c r="B1420" i="60"/>
  <c r="A1420" i="60"/>
  <c r="C1419" i="60"/>
  <c r="B1419" i="60"/>
  <c r="A1419" i="60"/>
  <c r="C1418" i="60"/>
  <c r="B1418" i="60"/>
  <c r="A1418" i="60"/>
  <c r="C1417" i="60"/>
  <c r="B1417" i="60"/>
  <c r="A1417" i="60"/>
  <c r="C1416" i="60"/>
  <c r="B1416" i="60"/>
  <c r="A1416" i="60"/>
  <c r="C1415" i="60"/>
  <c r="B1415" i="60"/>
  <c r="A1415" i="60"/>
  <c r="C1414" i="60"/>
  <c r="B1414" i="60"/>
  <c r="A1414" i="60"/>
  <c r="C1413" i="60"/>
  <c r="B1413" i="60"/>
  <c r="A1413" i="60"/>
  <c r="C1412" i="60"/>
  <c r="B1412" i="60"/>
  <c r="A1412" i="60"/>
  <c r="C1411" i="60"/>
  <c r="B1411" i="60"/>
  <c r="A1411" i="60"/>
  <c r="C1410" i="60"/>
  <c r="B1410" i="60"/>
  <c r="A1410" i="60"/>
  <c r="C1409" i="60"/>
  <c r="B1409" i="60"/>
  <c r="A1409" i="60"/>
  <c r="C1408" i="60"/>
  <c r="B1408" i="60"/>
  <c r="A1408" i="60"/>
  <c r="C1407" i="60"/>
  <c r="B1407" i="60"/>
  <c r="A1407" i="60"/>
  <c r="C1406" i="60"/>
  <c r="B1406" i="60"/>
  <c r="A1406" i="60"/>
  <c r="C1405" i="60"/>
  <c r="B1405" i="60"/>
  <c r="A1405" i="60"/>
  <c r="C1404" i="60"/>
  <c r="B1404" i="60"/>
  <c r="A1404" i="60"/>
  <c r="C1403" i="60"/>
  <c r="B1403" i="60"/>
  <c r="A1403" i="60"/>
  <c r="C1402" i="60"/>
  <c r="B1402" i="60"/>
  <c r="A1402" i="60"/>
  <c r="C1401" i="60"/>
  <c r="B1401" i="60"/>
  <c r="A1401" i="60"/>
  <c r="C1400" i="60"/>
  <c r="B1400" i="60"/>
  <c r="A1400" i="60"/>
  <c r="C1399" i="60"/>
  <c r="B1399" i="60"/>
  <c r="A1399" i="60"/>
  <c r="C1398" i="60"/>
  <c r="B1398" i="60"/>
  <c r="A1398" i="60"/>
  <c r="C1397" i="60"/>
  <c r="B1397" i="60"/>
  <c r="A1397" i="60"/>
  <c r="C1396" i="60"/>
  <c r="B1396" i="60"/>
  <c r="A1396" i="60"/>
  <c r="C1395" i="60"/>
  <c r="B1395" i="60"/>
  <c r="A1395" i="60"/>
  <c r="C1394" i="60"/>
  <c r="B1394" i="60"/>
  <c r="A1394" i="60"/>
  <c r="C1393" i="60"/>
  <c r="B1393" i="60"/>
  <c r="A1393" i="60"/>
  <c r="C1392" i="60"/>
  <c r="B1392" i="60"/>
  <c r="A1392" i="60"/>
  <c r="C1391" i="60"/>
  <c r="B1391" i="60"/>
  <c r="A1391" i="60"/>
  <c r="C1390" i="60"/>
  <c r="B1390" i="60"/>
  <c r="A1390" i="60"/>
  <c r="C1389" i="60"/>
  <c r="B1389" i="60"/>
  <c r="A1389" i="60"/>
  <c r="C1388" i="60"/>
  <c r="B1388" i="60"/>
  <c r="A1388" i="60"/>
  <c r="C1387" i="60"/>
  <c r="B1387" i="60"/>
  <c r="A1387" i="60"/>
  <c r="C1386" i="60"/>
  <c r="B1386" i="60"/>
  <c r="A1386" i="60"/>
  <c r="C1385" i="60"/>
  <c r="B1385" i="60"/>
  <c r="A1385" i="60"/>
  <c r="C1384" i="60"/>
  <c r="B1384" i="60"/>
  <c r="A1384" i="60"/>
  <c r="C1378" i="60"/>
  <c r="B1378" i="60"/>
  <c r="A1378" i="60"/>
  <c r="C1372" i="60"/>
  <c r="B1372" i="60"/>
  <c r="A1372" i="60"/>
  <c r="C1371" i="60"/>
  <c r="B1371" i="60"/>
  <c r="A1371" i="60"/>
  <c r="C1370" i="60"/>
  <c r="B1370" i="60"/>
  <c r="A1370" i="60"/>
  <c r="C1369" i="60"/>
  <c r="B1369" i="60"/>
  <c r="A1369" i="60"/>
  <c r="C1368" i="60"/>
  <c r="B1368" i="60"/>
  <c r="A1368" i="60"/>
  <c r="C1367" i="60"/>
  <c r="B1367" i="60"/>
  <c r="A1367" i="60"/>
  <c r="C1366" i="60"/>
  <c r="B1366" i="60"/>
  <c r="A1366" i="60"/>
  <c r="C1365" i="60"/>
  <c r="B1365" i="60"/>
  <c r="A1365" i="60"/>
  <c r="C1364" i="60"/>
  <c r="B1364" i="60"/>
  <c r="A1364" i="60"/>
  <c r="C1363" i="60"/>
  <c r="B1363" i="60"/>
  <c r="A1363" i="60"/>
  <c r="C1362" i="60"/>
  <c r="B1362" i="60"/>
  <c r="A1362" i="60"/>
  <c r="C1361" i="60"/>
  <c r="B1361" i="60"/>
  <c r="A1361" i="60"/>
  <c r="C1360" i="60"/>
  <c r="B1360" i="60"/>
  <c r="A1360" i="60"/>
  <c r="C1359" i="60"/>
  <c r="B1359" i="60"/>
  <c r="A1359" i="60"/>
  <c r="C1358" i="60"/>
  <c r="B1358" i="60"/>
  <c r="A1358" i="60"/>
  <c r="C1357" i="60"/>
  <c r="B1357" i="60"/>
  <c r="A1357" i="60"/>
  <c r="C1356" i="60"/>
  <c r="B1356" i="60"/>
  <c r="A1356" i="60"/>
  <c r="C1355" i="60"/>
  <c r="B1355" i="60"/>
  <c r="A1355" i="60"/>
  <c r="C1354" i="60"/>
  <c r="B1354" i="60"/>
  <c r="A1354" i="60"/>
  <c r="C1353" i="60"/>
  <c r="B1353" i="60"/>
  <c r="A1353" i="60"/>
  <c r="C1352" i="60"/>
  <c r="B1352" i="60"/>
  <c r="A1352" i="60"/>
  <c r="C1351" i="60"/>
  <c r="B1351" i="60"/>
  <c r="A1351" i="60"/>
  <c r="C1350" i="60"/>
  <c r="B1350" i="60"/>
  <c r="A1350" i="60"/>
  <c r="C1349" i="60"/>
  <c r="B1349" i="60"/>
  <c r="A1349" i="60"/>
  <c r="C1348" i="60"/>
  <c r="B1348" i="60"/>
  <c r="A1348" i="60"/>
  <c r="C1347" i="60"/>
  <c r="B1347" i="60"/>
  <c r="A1347" i="60"/>
  <c r="C1346" i="60"/>
  <c r="B1346" i="60"/>
  <c r="A1346" i="60"/>
  <c r="C1345" i="60"/>
  <c r="B1345" i="60"/>
  <c r="A1345" i="60"/>
  <c r="C1344" i="60"/>
  <c r="B1344" i="60"/>
  <c r="A1344" i="60"/>
  <c r="C1343" i="60"/>
  <c r="B1343" i="60"/>
  <c r="A1343" i="60"/>
  <c r="C1342" i="60"/>
  <c r="B1342" i="60"/>
  <c r="A1342" i="60"/>
  <c r="C1341" i="60"/>
  <c r="B1341" i="60"/>
  <c r="A1341" i="60"/>
  <c r="C1340" i="60"/>
  <c r="B1340" i="60"/>
  <c r="A1340" i="60"/>
  <c r="C1339" i="60"/>
  <c r="B1339" i="60"/>
  <c r="A1339" i="60"/>
  <c r="C1338" i="60"/>
  <c r="B1338" i="60"/>
  <c r="A1338" i="60"/>
  <c r="C1337" i="60"/>
  <c r="B1337" i="60"/>
  <c r="A1337" i="60"/>
  <c r="C1336" i="60"/>
  <c r="B1336" i="60"/>
  <c r="A1336" i="60"/>
  <c r="C1335" i="60"/>
  <c r="B1335" i="60"/>
  <c r="A1335" i="60"/>
  <c r="C1334" i="60"/>
  <c r="B1334" i="60"/>
  <c r="A1334" i="60"/>
  <c r="C1333" i="60"/>
  <c r="B1333" i="60"/>
  <c r="A1333" i="60"/>
  <c r="C1332" i="60"/>
  <c r="B1332" i="60"/>
  <c r="A1332" i="60"/>
  <c r="C1331" i="60"/>
  <c r="B1331" i="60"/>
  <c r="A1331" i="60"/>
  <c r="C1330" i="60"/>
  <c r="B1330" i="60"/>
  <c r="A1330" i="60"/>
  <c r="C1329" i="60"/>
  <c r="B1329" i="60"/>
  <c r="A1329" i="60"/>
  <c r="C1328" i="60"/>
  <c r="B1328" i="60"/>
  <c r="A1328" i="60"/>
  <c r="C1327" i="60"/>
  <c r="B1327" i="60"/>
  <c r="A1327" i="60"/>
  <c r="C1326" i="60"/>
  <c r="B1326" i="60"/>
  <c r="A1326" i="60"/>
  <c r="C1325" i="60"/>
  <c r="B1325" i="60"/>
  <c r="A1325" i="60"/>
  <c r="C1324" i="60"/>
  <c r="B1324" i="60"/>
  <c r="A1324" i="60"/>
  <c r="C1323" i="60"/>
  <c r="B1323" i="60"/>
  <c r="A1323" i="60"/>
  <c r="C1322" i="60"/>
  <c r="B1322" i="60"/>
  <c r="A1322" i="60"/>
  <c r="C1321" i="60"/>
  <c r="B1321" i="60"/>
  <c r="A1321" i="60"/>
  <c r="C1320" i="60"/>
  <c r="B1320" i="60"/>
  <c r="A1320" i="60"/>
  <c r="C1319" i="60"/>
  <c r="B1319" i="60"/>
  <c r="A1319" i="60"/>
  <c r="C1318" i="60"/>
  <c r="B1318" i="60"/>
  <c r="A1318" i="60"/>
  <c r="C1317" i="60"/>
  <c r="B1317" i="60"/>
  <c r="A1317" i="60"/>
  <c r="C1316" i="60"/>
  <c r="B1316" i="60"/>
  <c r="A1316" i="60"/>
  <c r="C1315" i="60"/>
  <c r="B1315" i="60"/>
  <c r="A1315" i="60"/>
  <c r="C1314" i="60"/>
  <c r="B1314" i="60"/>
  <c r="A1314" i="60"/>
  <c r="C1313" i="60"/>
  <c r="B1313" i="60"/>
  <c r="A1313" i="60"/>
  <c r="C1312" i="60"/>
  <c r="B1312" i="60"/>
  <c r="A1312" i="60"/>
  <c r="C1311" i="60"/>
  <c r="B1311" i="60"/>
  <c r="A1311" i="60"/>
  <c r="C1310" i="60"/>
  <c r="B1310" i="60"/>
  <c r="A1310" i="60"/>
  <c r="C1309" i="60"/>
  <c r="B1309" i="60"/>
  <c r="A1309" i="60"/>
  <c r="C1308" i="60"/>
  <c r="B1308" i="60"/>
  <c r="A1308" i="60"/>
  <c r="C1307" i="60"/>
  <c r="B1307" i="60"/>
  <c r="A1307" i="60"/>
  <c r="C1306" i="60"/>
  <c r="B1306" i="60"/>
  <c r="A1306" i="60"/>
  <c r="C1305" i="60"/>
  <c r="B1305" i="60"/>
  <c r="A1305" i="60"/>
  <c r="C1304" i="60"/>
  <c r="B1304" i="60"/>
  <c r="A1304" i="60"/>
  <c r="C1303" i="60"/>
  <c r="B1303" i="60"/>
  <c r="A1303" i="60"/>
  <c r="C1302" i="60"/>
  <c r="B1302" i="60"/>
  <c r="A1302" i="60"/>
  <c r="C1301" i="60"/>
  <c r="B1301" i="60"/>
  <c r="A1301" i="60"/>
  <c r="C1300" i="60"/>
  <c r="B1300" i="60"/>
  <c r="A1300" i="60"/>
  <c r="C1299" i="60"/>
  <c r="B1299" i="60"/>
  <c r="A1299" i="60"/>
  <c r="C1298" i="60"/>
  <c r="B1298" i="60"/>
  <c r="A1298" i="60"/>
  <c r="C1297" i="60"/>
  <c r="B1297" i="60"/>
  <c r="A1297" i="60"/>
  <c r="C1296" i="60"/>
  <c r="B1296" i="60"/>
  <c r="A1296" i="60"/>
  <c r="C1295" i="60"/>
  <c r="B1295" i="60"/>
  <c r="A1295" i="60"/>
  <c r="C1294" i="60"/>
  <c r="B1294" i="60"/>
  <c r="A1294" i="60"/>
  <c r="C1293" i="60"/>
  <c r="B1293" i="60"/>
  <c r="A1293" i="60"/>
  <c r="C1292" i="60"/>
  <c r="B1292" i="60"/>
  <c r="A1292" i="60"/>
  <c r="C1291" i="60"/>
  <c r="B1291" i="60"/>
  <c r="A1291" i="60"/>
  <c r="C1290" i="60"/>
  <c r="B1290" i="60"/>
  <c r="A1290" i="60"/>
  <c r="C1289" i="60"/>
  <c r="B1289" i="60"/>
  <c r="A1289" i="60"/>
  <c r="C1288" i="60"/>
  <c r="B1288" i="60"/>
  <c r="A1288" i="60"/>
  <c r="C1287" i="60"/>
  <c r="B1287" i="60"/>
  <c r="A1287" i="60"/>
  <c r="C1286" i="60"/>
  <c r="B1286" i="60"/>
  <c r="A1286" i="60"/>
  <c r="C1285" i="60"/>
  <c r="B1285" i="60"/>
  <c r="A1285" i="60"/>
  <c r="C1284" i="60"/>
  <c r="B1284" i="60"/>
  <c r="A1284" i="60"/>
  <c r="C1283" i="60"/>
  <c r="B1283" i="60"/>
  <c r="A1283" i="60"/>
  <c r="C1282" i="60"/>
  <c r="B1282" i="60"/>
  <c r="A1282" i="60"/>
  <c r="C1281" i="60"/>
  <c r="B1281" i="60"/>
  <c r="A1281" i="60"/>
  <c r="C1280" i="60"/>
  <c r="B1280" i="60"/>
  <c r="A1280" i="60"/>
  <c r="C1279" i="60"/>
  <c r="B1279" i="60"/>
  <c r="A1279" i="60"/>
  <c r="C1278" i="60"/>
  <c r="B1278" i="60"/>
  <c r="A1278" i="60"/>
  <c r="C1277" i="60"/>
  <c r="B1277" i="60"/>
  <c r="A1277" i="60"/>
  <c r="C1276" i="60"/>
  <c r="B1276" i="60"/>
  <c r="A1276" i="60"/>
  <c r="C1275" i="60"/>
  <c r="B1275" i="60"/>
  <c r="A1275" i="60"/>
  <c r="C1274" i="60"/>
  <c r="B1274" i="60"/>
  <c r="A1274" i="60"/>
  <c r="C1273" i="60"/>
  <c r="B1273" i="60"/>
  <c r="A1273" i="60"/>
  <c r="C1272" i="60"/>
  <c r="B1272" i="60"/>
  <c r="A1272" i="60"/>
  <c r="C1271" i="60"/>
  <c r="B1271" i="60"/>
  <c r="A1271" i="60"/>
  <c r="C1270" i="60"/>
  <c r="B1270" i="60"/>
  <c r="A1270" i="60"/>
  <c r="C1269" i="60"/>
  <c r="B1269" i="60"/>
  <c r="A1269" i="60"/>
  <c r="C1268" i="60"/>
  <c r="B1268" i="60"/>
  <c r="A1268" i="60"/>
  <c r="C1267" i="60"/>
  <c r="B1267" i="60"/>
  <c r="A1267" i="60"/>
  <c r="C1266" i="60"/>
  <c r="B1266" i="60"/>
  <c r="A1266" i="60"/>
  <c r="C1265" i="60"/>
  <c r="B1265" i="60"/>
  <c r="A1265" i="60"/>
  <c r="C1264" i="60"/>
  <c r="B1264" i="60"/>
  <c r="A1264" i="60"/>
  <c r="C1263" i="60"/>
  <c r="B1263" i="60"/>
  <c r="A1263" i="60"/>
  <c r="C1262" i="60"/>
  <c r="B1262" i="60"/>
  <c r="A1262" i="60"/>
  <c r="C1261" i="60"/>
  <c r="B1261" i="60"/>
  <c r="A1261" i="60"/>
  <c r="C1260" i="60"/>
  <c r="B1260" i="60"/>
  <c r="A1260" i="60"/>
  <c r="C1259" i="60"/>
  <c r="B1259" i="60"/>
  <c r="A1259" i="60"/>
  <c r="C1258" i="60"/>
  <c r="B1258" i="60"/>
  <c r="A1258" i="60"/>
  <c r="C1257" i="60"/>
  <c r="B1257" i="60"/>
  <c r="A1257" i="60"/>
  <c r="C1256" i="60"/>
  <c r="B1256" i="60"/>
  <c r="A1256" i="60"/>
  <c r="C1255" i="60"/>
  <c r="B1255" i="60"/>
  <c r="A1255" i="60"/>
  <c r="C1254" i="60"/>
  <c r="B1254" i="60"/>
  <c r="A1254" i="60"/>
  <c r="C1253" i="60"/>
  <c r="B1253" i="60"/>
  <c r="A1253" i="60"/>
  <c r="C1252" i="60"/>
  <c r="B1252" i="60"/>
  <c r="A1252" i="60"/>
  <c r="C1251" i="60"/>
  <c r="B1251" i="60"/>
  <c r="A1251" i="60"/>
  <c r="C1250" i="60"/>
  <c r="B1250" i="60"/>
  <c r="A1250" i="60"/>
  <c r="C1249" i="60"/>
  <c r="B1249" i="60"/>
  <c r="A1249" i="60"/>
  <c r="C1248" i="60"/>
  <c r="B1248" i="60"/>
  <c r="A1248" i="60"/>
  <c r="C1247" i="60"/>
  <c r="B1247" i="60"/>
  <c r="A1247" i="60"/>
  <c r="C1246" i="60"/>
  <c r="B1246" i="60"/>
  <c r="A1246" i="60"/>
  <c r="C1245" i="60"/>
  <c r="B1245" i="60"/>
  <c r="A1245" i="60"/>
  <c r="C1244" i="60"/>
  <c r="B1244" i="60"/>
  <c r="A1244" i="60"/>
  <c r="C1243" i="60"/>
  <c r="B1243" i="60"/>
  <c r="A1243" i="60"/>
  <c r="C1242" i="60"/>
  <c r="B1242" i="60"/>
  <c r="A1242" i="60"/>
  <c r="C1241" i="60"/>
  <c r="B1241" i="60"/>
  <c r="A1241" i="60"/>
  <c r="C1240" i="60"/>
  <c r="B1240" i="60"/>
  <c r="A1240" i="60"/>
  <c r="C1239" i="60"/>
  <c r="B1239" i="60"/>
  <c r="A1239" i="60"/>
  <c r="C1238" i="60"/>
  <c r="B1238" i="60"/>
  <c r="A1238" i="60"/>
  <c r="C1237" i="60"/>
  <c r="B1237" i="60"/>
  <c r="A1237" i="60"/>
  <c r="C1236" i="60"/>
  <c r="B1236" i="60"/>
  <c r="A1236" i="60"/>
  <c r="C1235" i="60"/>
  <c r="B1235" i="60"/>
  <c r="A1235" i="60"/>
  <c r="C1234" i="60"/>
  <c r="B1234" i="60"/>
  <c r="A1234" i="60"/>
  <c r="C1233" i="60"/>
  <c r="B1233" i="60"/>
  <c r="A1233" i="60"/>
  <c r="C1232" i="60"/>
  <c r="B1232" i="60"/>
  <c r="A1232" i="60"/>
  <c r="C1231" i="60"/>
  <c r="B1231" i="60"/>
  <c r="A1231" i="60"/>
  <c r="C1230" i="60"/>
  <c r="B1230" i="60"/>
  <c r="A1230" i="60"/>
  <c r="C1229" i="60"/>
  <c r="B1229" i="60"/>
  <c r="A1229" i="60"/>
  <c r="C1228" i="60"/>
  <c r="B1228" i="60"/>
  <c r="A1228" i="60"/>
  <c r="C1227" i="60"/>
  <c r="B1227" i="60"/>
  <c r="A1227" i="60"/>
  <c r="C1226" i="60"/>
  <c r="B1226" i="60"/>
  <c r="A1226" i="60"/>
  <c r="C1225" i="60"/>
  <c r="B1225" i="60"/>
  <c r="A1225" i="60"/>
  <c r="C1224" i="60"/>
  <c r="B1224" i="60"/>
  <c r="A1224" i="60"/>
  <c r="C1223" i="60"/>
  <c r="B1223" i="60"/>
  <c r="A1223" i="60"/>
  <c r="C1222" i="60"/>
  <c r="B1222" i="60"/>
  <c r="A1222" i="60"/>
  <c r="C1221" i="60"/>
  <c r="B1221" i="60"/>
  <c r="A1221" i="60"/>
  <c r="C1220" i="60"/>
  <c r="B1220" i="60"/>
  <c r="A1220" i="60"/>
  <c r="C1219" i="60"/>
  <c r="B1219" i="60"/>
  <c r="A1219" i="60"/>
  <c r="C1218" i="60"/>
  <c r="B1218" i="60"/>
  <c r="A1218" i="60"/>
  <c r="C1217" i="60"/>
  <c r="B1217" i="60"/>
  <c r="A1217" i="60"/>
  <c r="C1216" i="60"/>
  <c r="B1216" i="60"/>
  <c r="A1216" i="60"/>
  <c r="C1215" i="60"/>
  <c r="B1215" i="60"/>
  <c r="A1215" i="60"/>
  <c r="C1214" i="60"/>
  <c r="B1214" i="60"/>
  <c r="A1214" i="60"/>
  <c r="C1213" i="60"/>
  <c r="B1213" i="60"/>
  <c r="A1213" i="60"/>
  <c r="C1212" i="60"/>
  <c r="B1212" i="60"/>
  <c r="A1212" i="60"/>
  <c r="C1211" i="60"/>
  <c r="B1211" i="60"/>
  <c r="A1211" i="60"/>
  <c r="C1210" i="60"/>
  <c r="B1210" i="60"/>
  <c r="A1210" i="60"/>
  <c r="C1209" i="60"/>
  <c r="B1209" i="60"/>
  <c r="A1209" i="60"/>
  <c r="C1208" i="60"/>
  <c r="B1208" i="60"/>
  <c r="A1208" i="60"/>
  <c r="C1207" i="60"/>
  <c r="B1207" i="60"/>
  <c r="A1207" i="60"/>
  <c r="C1206" i="60"/>
  <c r="B1206" i="60"/>
  <c r="A1206" i="60"/>
  <c r="C1205" i="60"/>
  <c r="B1205" i="60"/>
  <c r="A1205" i="60"/>
  <c r="C1204" i="60"/>
  <c r="B1204" i="60"/>
  <c r="A1204" i="60"/>
  <c r="C1203" i="60"/>
  <c r="B1203" i="60"/>
  <c r="A1203" i="60"/>
  <c r="C1202" i="60"/>
  <c r="B1202" i="60"/>
  <c r="A1202" i="60"/>
  <c r="C1201" i="60"/>
  <c r="B1201" i="60"/>
  <c r="A1201" i="60"/>
  <c r="C1200" i="60"/>
  <c r="B1200" i="60"/>
  <c r="A1200" i="60"/>
  <c r="C1199" i="60"/>
  <c r="B1199" i="60"/>
  <c r="A1199" i="60"/>
  <c r="C1198" i="60"/>
  <c r="B1198" i="60"/>
  <c r="A1198" i="60"/>
  <c r="C1197" i="60"/>
  <c r="B1197" i="60"/>
  <c r="A1197" i="60"/>
  <c r="C1196" i="60"/>
  <c r="B1196" i="60"/>
  <c r="A1196" i="60"/>
  <c r="C1195" i="60"/>
  <c r="B1195" i="60"/>
  <c r="A1195" i="60"/>
  <c r="C1194" i="60"/>
  <c r="B1194" i="60"/>
  <c r="A1194" i="60"/>
  <c r="C1193" i="60"/>
  <c r="B1193" i="60"/>
  <c r="A1193" i="60"/>
  <c r="C1192" i="60"/>
  <c r="B1192" i="60"/>
  <c r="A1192" i="60"/>
  <c r="C1191" i="60"/>
  <c r="B1191" i="60"/>
  <c r="A1191" i="60"/>
  <c r="C1190" i="60"/>
  <c r="B1190" i="60"/>
  <c r="A1190" i="60"/>
  <c r="C1189" i="60"/>
  <c r="B1189" i="60"/>
  <c r="A1189" i="60"/>
  <c r="C1188" i="60"/>
  <c r="B1188" i="60"/>
  <c r="A1188" i="60"/>
  <c r="C1187" i="60"/>
  <c r="B1187" i="60"/>
  <c r="A1187" i="60"/>
  <c r="C1186" i="60"/>
  <c r="B1186" i="60"/>
  <c r="A1186" i="60"/>
  <c r="C1185" i="60"/>
  <c r="B1185" i="60"/>
  <c r="A1185" i="60"/>
  <c r="C1184" i="60"/>
  <c r="B1184" i="60"/>
  <c r="A1184" i="60"/>
  <c r="C1183" i="60"/>
  <c r="B1183" i="60"/>
  <c r="A1183" i="60"/>
  <c r="C1182" i="60"/>
  <c r="B1182" i="60"/>
  <c r="A1182" i="60"/>
  <c r="C1181" i="60"/>
  <c r="B1181" i="60"/>
  <c r="A1181" i="60"/>
  <c r="C1180" i="60"/>
  <c r="B1180" i="60"/>
  <c r="A1180" i="60"/>
  <c r="C1179" i="60"/>
  <c r="B1179" i="60"/>
  <c r="A1179" i="60"/>
  <c r="C1178" i="60"/>
  <c r="B1178" i="60"/>
  <c r="A1178" i="60"/>
  <c r="C1177" i="60"/>
  <c r="B1177" i="60"/>
  <c r="A1177" i="60"/>
  <c r="C1176" i="60"/>
  <c r="B1176" i="60"/>
  <c r="A1176" i="60"/>
  <c r="C1175" i="60"/>
  <c r="B1175" i="60"/>
  <c r="A1175" i="60"/>
  <c r="C1174" i="60"/>
  <c r="B1174" i="60"/>
  <c r="A1174" i="60"/>
  <c r="C1173" i="60"/>
  <c r="B1173" i="60"/>
  <c r="A1173" i="60"/>
  <c r="C1172" i="60"/>
  <c r="B1172" i="60"/>
  <c r="A1172" i="60"/>
  <c r="C1171" i="60"/>
  <c r="B1171" i="60"/>
  <c r="A1171" i="60"/>
  <c r="C1170" i="60"/>
  <c r="B1170" i="60"/>
  <c r="A1170" i="60"/>
  <c r="C1169" i="60"/>
  <c r="B1169" i="60"/>
  <c r="A1169" i="60"/>
  <c r="C1168" i="60"/>
  <c r="B1168" i="60"/>
  <c r="A1168" i="60"/>
  <c r="C1167" i="60"/>
  <c r="B1167" i="60"/>
  <c r="A1167" i="60"/>
  <c r="C1166" i="60"/>
  <c r="B1166" i="60"/>
  <c r="A1166" i="60"/>
  <c r="C1165" i="60"/>
  <c r="B1165" i="60"/>
  <c r="A1165" i="60"/>
  <c r="C1164" i="60"/>
  <c r="B1164" i="60"/>
  <c r="A1164" i="60"/>
  <c r="C1163" i="60"/>
  <c r="B1163" i="60"/>
  <c r="A1163" i="60"/>
  <c r="C1162" i="60"/>
  <c r="B1162" i="60"/>
  <c r="A1162" i="60"/>
  <c r="C1161" i="60"/>
  <c r="B1161" i="60"/>
  <c r="A1161" i="60"/>
  <c r="C1160" i="60"/>
  <c r="B1160" i="60"/>
  <c r="A1160" i="60"/>
  <c r="C1159" i="60"/>
  <c r="B1159" i="60"/>
  <c r="A1159" i="60"/>
  <c r="C1158" i="60"/>
  <c r="B1158" i="60"/>
  <c r="A1158" i="60"/>
  <c r="C1157" i="60"/>
  <c r="B1157" i="60"/>
  <c r="A1157" i="60"/>
  <c r="C1156" i="60"/>
  <c r="B1156" i="60"/>
  <c r="A1156" i="60"/>
  <c r="C1155" i="60"/>
  <c r="B1155" i="60"/>
  <c r="A1155" i="60"/>
  <c r="C1154" i="60"/>
  <c r="B1154" i="60"/>
  <c r="A1154" i="60"/>
  <c r="C1153" i="60"/>
  <c r="B1153" i="60"/>
  <c r="A1153" i="60"/>
  <c r="C1152" i="60"/>
  <c r="B1152" i="60"/>
  <c r="A1152" i="60"/>
  <c r="C1151" i="60"/>
  <c r="B1151" i="60"/>
  <c r="A1151" i="60"/>
  <c r="C1150" i="60"/>
  <c r="B1150" i="60"/>
  <c r="A1150" i="60"/>
  <c r="C1149" i="60"/>
  <c r="B1149" i="60"/>
  <c r="A1149" i="60"/>
  <c r="C1148" i="60"/>
  <c r="B1148" i="60"/>
  <c r="A1148" i="60"/>
  <c r="C1147" i="60"/>
  <c r="B1147" i="60"/>
  <c r="A1147" i="60"/>
  <c r="C1146" i="60"/>
  <c r="B1146" i="60"/>
  <c r="A1146" i="60"/>
  <c r="C1145" i="60"/>
  <c r="B1145" i="60"/>
  <c r="A1145" i="60"/>
  <c r="C1144" i="60"/>
  <c r="B1144" i="60"/>
  <c r="A1144" i="60"/>
  <c r="C1143" i="60"/>
  <c r="B1143" i="60"/>
  <c r="A1143" i="60"/>
  <c r="C1142" i="60"/>
  <c r="B1142" i="60"/>
  <c r="A1142" i="60"/>
  <c r="C1141" i="60"/>
  <c r="B1141" i="60"/>
  <c r="A1141" i="60"/>
  <c r="C1140" i="60"/>
  <c r="B1140" i="60"/>
  <c r="A1140" i="60"/>
  <c r="C1139" i="60"/>
  <c r="B1139" i="60"/>
  <c r="A1139" i="60"/>
  <c r="C1138" i="60"/>
  <c r="B1138" i="60"/>
  <c r="A1138" i="60"/>
  <c r="C1137" i="60"/>
  <c r="B1137" i="60"/>
  <c r="A1137" i="60"/>
  <c r="C1136" i="60"/>
  <c r="B1136" i="60"/>
  <c r="A1136" i="60"/>
  <c r="C1135" i="60"/>
  <c r="B1135" i="60"/>
  <c r="A1135" i="60"/>
  <c r="C1134" i="60"/>
  <c r="B1134" i="60"/>
  <c r="A1134" i="60"/>
  <c r="C1133" i="60"/>
  <c r="B1133" i="60"/>
  <c r="A1133" i="60"/>
  <c r="C1132" i="60"/>
  <c r="B1132" i="60"/>
  <c r="A1132" i="60"/>
  <c r="C1131" i="60"/>
  <c r="B1131" i="60"/>
  <c r="A1131" i="60"/>
  <c r="C1130" i="60"/>
  <c r="B1130" i="60"/>
  <c r="A1130" i="60"/>
  <c r="C1129" i="60"/>
  <c r="B1129" i="60"/>
  <c r="A1129" i="60"/>
  <c r="C1128" i="60"/>
  <c r="B1128" i="60"/>
  <c r="A1128" i="60"/>
  <c r="C1127" i="60"/>
  <c r="B1127" i="60"/>
  <c r="A1127" i="60"/>
  <c r="C1126" i="60"/>
  <c r="B1126" i="60"/>
  <c r="A1126" i="60"/>
  <c r="C1125" i="60"/>
  <c r="B1125" i="60"/>
  <c r="A1125" i="60"/>
  <c r="C1124" i="60"/>
  <c r="B1124" i="60"/>
  <c r="A1124" i="60"/>
  <c r="C1123" i="60"/>
  <c r="B1123" i="60"/>
  <c r="A1123" i="60"/>
  <c r="C1122" i="60"/>
  <c r="B1122" i="60"/>
  <c r="A1122" i="60"/>
  <c r="C1121" i="60"/>
  <c r="B1121" i="60"/>
  <c r="A1121" i="60"/>
  <c r="C1120" i="60"/>
  <c r="B1120" i="60"/>
  <c r="A1120" i="60"/>
  <c r="C1119" i="60"/>
  <c r="B1119" i="60"/>
  <c r="A1119" i="60"/>
  <c r="C1118" i="60"/>
  <c r="B1118" i="60"/>
  <c r="A1118" i="60"/>
  <c r="C1117" i="60"/>
  <c r="B1117" i="60"/>
  <c r="A1117" i="60"/>
  <c r="C1116" i="60"/>
  <c r="B1116" i="60"/>
  <c r="A1116" i="60"/>
  <c r="C1115" i="60"/>
  <c r="B1115" i="60"/>
  <c r="A1115" i="60"/>
  <c r="C1114" i="60"/>
  <c r="B1114" i="60"/>
  <c r="A1114" i="60"/>
  <c r="C1113" i="60"/>
  <c r="B1113" i="60"/>
  <c r="A1113" i="60"/>
  <c r="C1112" i="60"/>
  <c r="B1112" i="60"/>
  <c r="A1112" i="60"/>
  <c r="C1111" i="60"/>
  <c r="B1111" i="60"/>
  <c r="A1111" i="60"/>
  <c r="C1110" i="60"/>
  <c r="B1110" i="60"/>
  <c r="A1110" i="60"/>
  <c r="C1109" i="60"/>
  <c r="B1109" i="60"/>
  <c r="A1109" i="60"/>
  <c r="C1108" i="60"/>
  <c r="B1108" i="60"/>
  <c r="A1108" i="60"/>
  <c r="C1107" i="60"/>
  <c r="B1107" i="60"/>
  <c r="A1107" i="60"/>
  <c r="C1106" i="60"/>
  <c r="B1106" i="60"/>
  <c r="A1106" i="60"/>
  <c r="C1105" i="60"/>
  <c r="B1105" i="60"/>
  <c r="A1105" i="60"/>
  <c r="C1104" i="60"/>
  <c r="B1104" i="60"/>
  <c r="A1104" i="60"/>
  <c r="C1103" i="60"/>
  <c r="B1103" i="60"/>
  <c r="A1103" i="60"/>
  <c r="C1102" i="60"/>
  <c r="B1102" i="60"/>
  <c r="A1102" i="60"/>
  <c r="C1101" i="60"/>
  <c r="B1101" i="60"/>
  <c r="A1101" i="60"/>
  <c r="C1100" i="60"/>
  <c r="B1100" i="60"/>
  <c r="A1100" i="60"/>
  <c r="C1099" i="60"/>
  <c r="B1099" i="60"/>
  <c r="A1099" i="60"/>
  <c r="C1098" i="60"/>
  <c r="B1098" i="60"/>
  <c r="A1098" i="60"/>
  <c r="C1097" i="60"/>
  <c r="B1097" i="60"/>
  <c r="A1097" i="60"/>
  <c r="C1096" i="60"/>
  <c r="B1096" i="60"/>
  <c r="A1096" i="60"/>
  <c r="C1095" i="60"/>
  <c r="B1095" i="60"/>
  <c r="A1095" i="60"/>
  <c r="C1094" i="60"/>
  <c r="B1094" i="60"/>
  <c r="A1094" i="60"/>
  <c r="C1093" i="60"/>
  <c r="B1093" i="60"/>
  <c r="A1093" i="60"/>
  <c r="C1092" i="60"/>
  <c r="B1092" i="60"/>
  <c r="A1092" i="60"/>
  <c r="C1091" i="60"/>
  <c r="B1091" i="60"/>
  <c r="A1091" i="60"/>
  <c r="C1090" i="60"/>
  <c r="B1090" i="60"/>
  <c r="A1090" i="60"/>
  <c r="C1089" i="60"/>
  <c r="B1089" i="60"/>
  <c r="A1089" i="60"/>
  <c r="C1088" i="60"/>
  <c r="B1088" i="60"/>
  <c r="A1088" i="60"/>
  <c r="C1087" i="60"/>
  <c r="B1087" i="60"/>
  <c r="A1087" i="60"/>
  <c r="C1086" i="60"/>
  <c r="B1086" i="60"/>
  <c r="A1086" i="60"/>
  <c r="C1085" i="60"/>
  <c r="B1085" i="60"/>
  <c r="A1085" i="60"/>
  <c r="C1084" i="60"/>
  <c r="B1084" i="60"/>
  <c r="A1084" i="60"/>
  <c r="C1083" i="60"/>
  <c r="B1083" i="60"/>
  <c r="A1083" i="60"/>
  <c r="C1082" i="60"/>
  <c r="B1082" i="60"/>
  <c r="A1082" i="60"/>
  <c r="C1081" i="60"/>
  <c r="B1081" i="60"/>
  <c r="A1081" i="60"/>
  <c r="C1080" i="60"/>
  <c r="B1080" i="60"/>
  <c r="A1080" i="60"/>
  <c r="C1079" i="60"/>
  <c r="B1079" i="60"/>
  <c r="A1079" i="60"/>
  <c r="C1078" i="60"/>
  <c r="B1078" i="60"/>
  <c r="A1078" i="60"/>
  <c r="C1077" i="60"/>
  <c r="B1077" i="60"/>
  <c r="A1077" i="60"/>
  <c r="C1076" i="60"/>
  <c r="B1076" i="60"/>
  <c r="A1076" i="60"/>
  <c r="C1075" i="60"/>
  <c r="B1075" i="60"/>
  <c r="A1075" i="60"/>
  <c r="C1074" i="60"/>
  <c r="B1074" i="60"/>
  <c r="A1074" i="60"/>
  <c r="C1073" i="60"/>
  <c r="B1073" i="60"/>
  <c r="A1073" i="60"/>
  <c r="C1072" i="60"/>
  <c r="B1072" i="60"/>
  <c r="A1072" i="60"/>
  <c r="C1071" i="60"/>
  <c r="B1071" i="60"/>
  <c r="A1071" i="60"/>
  <c r="C1070" i="60"/>
  <c r="B1070" i="60"/>
  <c r="A1070" i="60"/>
  <c r="C1069" i="60"/>
  <c r="B1069" i="60"/>
  <c r="A1069" i="60"/>
  <c r="C1068" i="60"/>
  <c r="B1068" i="60"/>
  <c r="A1068" i="60"/>
  <c r="C1067" i="60"/>
  <c r="B1067" i="60"/>
  <c r="A1067" i="60"/>
  <c r="C1066" i="60"/>
  <c r="B1066" i="60"/>
  <c r="A1066" i="60"/>
  <c r="C1065" i="60"/>
  <c r="B1065" i="60"/>
  <c r="A1065" i="60"/>
  <c r="C1064" i="60"/>
  <c r="B1064" i="60"/>
  <c r="A1064" i="60"/>
  <c r="C1063" i="60"/>
  <c r="B1063" i="60"/>
  <c r="A1063" i="60"/>
  <c r="C1062" i="60"/>
  <c r="B1062" i="60"/>
  <c r="A1062" i="60"/>
  <c r="C1061" i="60"/>
  <c r="B1061" i="60"/>
  <c r="A1061" i="60"/>
  <c r="C1060" i="60"/>
  <c r="B1060" i="60"/>
  <c r="A1060" i="60"/>
  <c r="C1059" i="60"/>
  <c r="B1059" i="60"/>
  <c r="A1059" i="60"/>
  <c r="C1058" i="60"/>
  <c r="B1058" i="60"/>
  <c r="A1058" i="60"/>
  <c r="C1057" i="60"/>
  <c r="B1057" i="60"/>
  <c r="A1057" i="60"/>
  <c r="C1056" i="60"/>
  <c r="B1056" i="60"/>
  <c r="A1056" i="60"/>
  <c r="C1055" i="60"/>
  <c r="B1055" i="60"/>
  <c r="A1055" i="60"/>
  <c r="C1054" i="60"/>
  <c r="B1054" i="60"/>
  <c r="A1054" i="60"/>
  <c r="C1053" i="60"/>
  <c r="B1053" i="60"/>
  <c r="A1053" i="60"/>
  <c r="C1052" i="60"/>
  <c r="B1052" i="60"/>
  <c r="A1052" i="60"/>
  <c r="C1051" i="60"/>
  <c r="B1051" i="60"/>
  <c r="A1051" i="60"/>
  <c r="C1050" i="60"/>
  <c r="B1050" i="60"/>
  <c r="A1050" i="60"/>
  <c r="C1049" i="60"/>
  <c r="B1049" i="60"/>
  <c r="A1049" i="60"/>
  <c r="C1048" i="60"/>
  <c r="B1048" i="60"/>
  <c r="A1048" i="60"/>
  <c r="C1047" i="60"/>
  <c r="B1047" i="60"/>
  <c r="A1047" i="60"/>
  <c r="C1046" i="60"/>
  <c r="B1046" i="60"/>
  <c r="A1046" i="60"/>
  <c r="C1045" i="60"/>
  <c r="B1045" i="60"/>
  <c r="A1045" i="60"/>
  <c r="C1044" i="60"/>
  <c r="B1044" i="60"/>
  <c r="A1044" i="60"/>
  <c r="C1043" i="60"/>
  <c r="B1043" i="60"/>
  <c r="A1043" i="60"/>
  <c r="C1042" i="60"/>
  <c r="B1042" i="60"/>
  <c r="A1042" i="60"/>
  <c r="C1041" i="60"/>
  <c r="B1041" i="60"/>
  <c r="A1041" i="60"/>
  <c r="C1040" i="60"/>
  <c r="B1040" i="60"/>
  <c r="A1040" i="60"/>
  <c r="C1039" i="60"/>
  <c r="B1039" i="60"/>
  <c r="A1039" i="60"/>
  <c r="C1038" i="60"/>
  <c r="B1038" i="60"/>
  <c r="A1038" i="60"/>
  <c r="C1037" i="60"/>
  <c r="B1037" i="60"/>
  <c r="A1037" i="60"/>
  <c r="C1036" i="60"/>
  <c r="B1036" i="60"/>
  <c r="A1036" i="60"/>
  <c r="C1035" i="60"/>
  <c r="B1035" i="60"/>
  <c r="A1035" i="60"/>
  <c r="C1034" i="60"/>
  <c r="B1034" i="60"/>
  <c r="A1034" i="60"/>
  <c r="C1033" i="60"/>
  <c r="B1033" i="60"/>
  <c r="A1033" i="60"/>
  <c r="C1032" i="60"/>
  <c r="B1032" i="60"/>
  <c r="A1032" i="60"/>
  <c r="C1031" i="60"/>
  <c r="B1031" i="60"/>
  <c r="A1031" i="60"/>
  <c r="C1030" i="60"/>
  <c r="B1030" i="60"/>
  <c r="A1030" i="60"/>
  <c r="C1029" i="60"/>
  <c r="B1029" i="60"/>
  <c r="A1029" i="60"/>
  <c r="C1028" i="60"/>
  <c r="B1028" i="60"/>
  <c r="A1028" i="60"/>
  <c r="C1027" i="60"/>
  <c r="B1027" i="60"/>
  <c r="A1027" i="60"/>
  <c r="C1026" i="60"/>
  <c r="B1026" i="60"/>
  <c r="A1026" i="60"/>
  <c r="C1025" i="60"/>
  <c r="B1025" i="60"/>
  <c r="A1025" i="60"/>
  <c r="C1024" i="60"/>
  <c r="B1024" i="60"/>
  <c r="A1024" i="60"/>
  <c r="C1023" i="60"/>
  <c r="B1023" i="60"/>
  <c r="A1023" i="60"/>
  <c r="C1022" i="60"/>
  <c r="B1022" i="60"/>
  <c r="A1022" i="60"/>
  <c r="C1021" i="60"/>
  <c r="B1021" i="60"/>
  <c r="A1021" i="60"/>
  <c r="C1020" i="60"/>
  <c r="B1020" i="60"/>
  <c r="A1020" i="60"/>
  <c r="C1019" i="60"/>
  <c r="B1019" i="60"/>
  <c r="A1019" i="60"/>
  <c r="C1018" i="60"/>
  <c r="B1018" i="60"/>
  <c r="A1018" i="60"/>
  <c r="C1017" i="60"/>
  <c r="B1017" i="60"/>
  <c r="A1017" i="60"/>
  <c r="C1016" i="60"/>
  <c r="B1016" i="60"/>
  <c r="A1016" i="60"/>
  <c r="C1015" i="60"/>
  <c r="B1015" i="60"/>
  <c r="A1015" i="60"/>
  <c r="C1014" i="60"/>
  <c r="B1014" i="60"/>
  <c r="A1014" i="60"/>
  <c r="C1013" i="60"/>
  <c r="B1013" i="60"/>
  <c r="A1013" i="60"/>
  <c r="C1012" i="60"/>
  <c r="B1012" i="60"/>
  <c r="A1012" i="60"/>
  <c r="C1011" i="60"/>
  <c r="B1011" i="60"/>
  <c r="A1011" i="60"/>
  <c r="C1010" i="60"/>
  <c r="B1010" i="60"/>
  <c r="A1010" i="60"/>
  <c r="C1009" i="60"/>
  <c r="B1009" i="60"/>
  <c r="A1009" i="60"/>
  <c r="C1008" i="60"/>
  <c r="B1008" i="60"/>
  <c r="A1008" i="60"/>
  <c r="C1007" i="60"/>
  <c r="B1007" i="60"/>
  <c r="A1007" i="60"/>
  <c r="C1006" i="60"/>
  <c r="B1006" i="60"/>
  <c r="A1006" i="60"/>
  <c r="C1005" i="60"/>
  <c r="B1005" i="60"/>
  <c r="A1005" i="60"/>
  <c r="C1004" i="60"/>
  <c r="B1004" i="60"/>
  <c r="A1004" i="60"/>
  <c r="C1003" i="60"/>
  <c r="B1003" i="60"/>
  <c r="A1003" i="60"/>
  <c r="C1002" i="60"/>
  <c r="B1002" i="60"/>
  <c r="A1002" i="60"/>
  <c r="C1001" i="60"/>
  <c r="B1001" i="60"/>
  <c r="A1001" i="60"/>
  <c r="C1000" i="60"/>
  <c r="B1000" i="60"/>
  <c r="A1000" i="60"/>
  <c r="C999" i="60"/>
  <c r="B999" i="60"/>
  <c r="A999" i="60"/>
  <c r="C998" i="60"/>
  <c r="B998" i="60"/>
  <c r="A998" i="60"/>
  <c r="C997" i="60"/>
  <c r="B997" i="60"/>
  <c r="A997" i="60"/>
  <c r="C996" i="60"/>
  <c r="B996" i="60"/>
  <c r="A996" i="60"/>
  <c r="C995" i="60"/>
  <c r="B995" i="60"/>
  <c r="A995" i="60"/>
  <c r="C994" i="60"/>
  <c r="B994" i="60"/>
  <c r="A994" i="60"/>
  <c r="C993" i="60"/>
  <c r="B993" i="60"/>
  <c r="A993" i="60"/>
  <c r="C992" i="60"/>
  <c r="B992" i="60"/>
  <c r="A992" i="60"/>
  <c r="C991" i="60"/>
  <c r="B991" i="60"/>
  <c r="A991" i="60"/>
  <c r="C990" i="60"/>
  <c r="B990" i="60"/>
  <c r="A990" i="60"/>
  <c r="C989" i="60"/>
  <c r="B989" i="60"/>
  <c r="A989" i="60"/>
  <c r="C988" i="60"/>
  <c r="B988" i="60"/>
  <c r="A988" i="60"/>
  <c r="C987" i="60"/>
  <c r="B987" i="60"/>
  <c r="A987" i="60"/>
  <c r="C986" i="60"/>
  <c r="B986" i="60"/>
  <c r="A986" i="60"/>
  <c r="C985" i="60"/>
  <c r="B985" i="60"/>
  <c r="A985" i="60"/>
  <c r="C984" i="60"/>
  <c r="B984" i="60"/>
  <c r="A984" i="60"/>
  <c r="C983" i="60"/>
  <c r="B983" i="60"/>
  <c r="A983" i="60"/>
  <c r="C982" i="60"/>
  <c r="B982" i="60"/>
  <c r="A982" i="60"/>
  <c r="C981" i="60"/>
  <c r="B981" i="60"/>
  <c r="A981" i="60"/>
  <c r="C980" i="60"/>
  <c r="B980" i="60"/>
  <c r="A980" i="60"/>
  <c r="C979" i="60"/>
  <c r="B979" i="60"/>
  <c r="A979" i="60"/>
  <c r="C978" i="60"/>
  <c r="B978" i="60"/>
  <c r="A978" i="60"/>
  <c r="C977" i="60"/>
  <c r="B977" i="60"/>
  <c r="A977" i="60"/>
  <c r="C976" i="60"/>
  <c r="B976" i="60"/>
  <c r="A976" i="60"/>
  <c r="C975" i="60"/>
  <c r="B975" i="60"/>
  <c r="A975" i="60"/>
  <c r="C974" i="60"/>
  <c r="B974" i="60"/>
  <c r="A974" i="60"/>
  <c r="C973" i="60"/>
  <c r="B973" i="60"/>
  <c r="A973" i="60"/>
  <c r="C972" i="60"/>
  <c r="B972" i="60"/>
  <c r="A972" i="60"/>
  <c r="C971" i="60"/>
  <c r="B971" i="60"/>
  <c r="A971" i="60"/>
  <c r="C970" i="60"/>
  <c r="B970" i="60"/>
  <c r="A970" i="60"/>
  <c r="C969" i="60"/>
  <c r="B969" i="60"/>
  <c r="A969" i="60"/>
  <c r="C968" i="60"/>
  <c r="B968" i="60"/>
  <c r="A968" i="60"/>
  <c r="C967" i="60"/>
  <c r="B967" i="60"/>
  <c r="A967" i="60"/>
  <c r="C966" i="60"/>
  <c r="B966" i="60"/>
  <c r="A966" i="60"/>
  <c r="C965" i="60"/>
  <c r="B965" i="60"/>
  <c r="A965" i="60"/>
  <c r="C964" i="60"/>
  <c r="B964" i="60"/>
  <c r="A964" i="60"/>
  <c r="C963" i="60"/>
  <c r="B963" i="60"/>
  <c r="A963" i="60"/>
  <c r="C962" i="60"/>
  <c r="B962" i="60"/>
  <c r="A962" i="60"/>
  <c r="C961" i="60"/>
  <c r="B961" i="60"/>
  <c r="A961" i="60"/>
  <c r="C960" i="60"/>
  <c r="B960" i="60"/>
  <c r="A960" i="60"/>
  <c r="C959" i="60"/>
  <c r="B959" i="60"/>
  <c r="A959" i="60"/>
  <c r="C958" i="60"/>
  <c r="B958" i="60"/>
  <c r="A958" i="60"/>
  <c r="C957" i="60"/>
  <c r="B957" i="60"/>
  <c r="A957" i="60"/>
  <c r="C956" i="60"/>
  <c r="B956" i="60"/>
  <c r="A956" i="60"/>
  <c r="C955" i="60"/>
  <c r="B955" i="60"/>
  <c r="A955" i="60"/>
  <c r="C954" i="60"/>
  <c r="B954" i="60"/>
  <c r="A954" i="60"/>
  <c r="C953" i="60"/>
  <c r="B953" i="60"/>
  <c r="A953" i="60"/>
  <c r="C952" i="60"/>
  <c r="B952" i="60"/>
  <c r="A952" i="60"/>
  <c r="C951" i="60"/>
  <c r="B951" i="60"/>
  <c r="A951" i="60"/>
  <c r="C950" i="60"/>
  <c r="B950" i="60"/>
  <c r="A950" i="60"/>
  <c r="C949" i="60"/>
  <c r="B949" i="60"/>
  <c r="A949" i="60"/>
  <c r="C948" i="60"/>
  <c r="B948" i="60"/>
  <c r="A948" i="60"/>
  <c r="C947" i="60"/>
  <c r="B947" i="60"/>
  <c r="A947" i="60"/>
  <c r="C946" i="60"/>
  <c r="B946" i="60"/>
  <c r="A946" i="60"/>
  <c r="C945" i="60"/>
  <c r="B945" i="60"/>
  <c r="A945" i="60"/>
  <c r="C944" i="60"/>
  <c r="B944" i="60"/>
  <c r="A944" i="60"/>
  <c r="C943" i="60"/>
  <c r="B943" i="60"/>
  <c r="A943" i="60"/>
  <c r="C942" i="60"/>
  <c r="B942" i="60"/>
  <c r="A942" i="60"/>
  <c r="C941" i="60"/>
  <c r="B941" i="60"/>
  <c r="A941" i="60"/>
  <c r="C940" i="60"/>
  <c r="B940" i="60"/>
  <c r="A940" i="60"/>
  <c r="C939" i="60"/>
  <c r="B939" i="60"/>
  <c r="A939" i="60"/>
  <c r="C938" i="60"/>
  <c r="B938" i="60"/>
  <c r="A938" i="60"/>
  <c r="C937" i="60"/>
  <c r="B937" i="60"/>
  <c r="A937" i="60"/>
  <c r="C936" i="60"/>
  <c r="B936" i="60"/>
  <c r="A936" i="60"/>
  <c r="C935" i="60"/>
  <c r="B935" i="60"/>
  <c r="A935" i="60"/>
  <c r="C934" i="60"/>
  <c r="B934" i="60"/>
  <c r="A934" i="60"/>
  <c r="C933" i="60"/>
  <c r="B933" i="60"/>
  <c r="A933" i="60"/>
  <c r="C932" i="60"/>
  <c r="B932" i="60"/>
  <c r="A932" i="60"/>
  <c r="C931" i="60"/>
  <c r="B931" i="60"/>
  <c r="A931" i="60"/>
  <c r="C930" i="60"/>
  <c r="B930" i="60"/>
  <c r="A930" i="60"/>
  <c r="C929" i="60"/>
  <c r="B929" i="60"/>
  <c r="A929" i="60"/>
  <c r="C928" i="60"/>
  <c r="B928" i="60"/>
  <c r="A928" i="60"/>
  <c r="C927" i="60"/>
  <c r="B927" i="60"/>
  <c r="A927" i="60"/>
  <c r="C926" i="60"/>
  <c r="B926" i="60"/>
  <c r="A926" i="60"/>
  <c r="C925" i="60"/>
  <c r="B925" i="60"/>
  <c r="A925" i="60"/>
  <c r="C924" i="60"/>
  <c r="B924" i="60"/>
  <c r="A924" i="60"/>
  <c r="C923" i="60"/>
  <c r="B923" i="60"/>
  <c r="A923" i="60"/>
  <c r="C922" i="60"/>
  <c r="B922" i="60"/>
  <c r="A922" i="60"/>
  <c r="C921" i="60"/>
  <c r="B921" i="60"/>
  <c r="A921" i="60"/>
  <c r="C920" i="60"/>
  <c r="B920" i="60"/>
  <c r="A920" i="60"/>
  <c r="C919" i="60"/>
  <c r="B919" i="60"/>
  <c r="A919" i="60"/>
  <c r="C918" i="60"/>
  <c r="B918" i="60"/>
  <c r="A918" i="60"/>
  <c r="C917" i="60"/>
  <c r="B917" i="60"/>
  <c r="A917" i="60"/>
  <c r="C916" i="60"/>
  <c r="B916" i="60"/>
  <c r="A916" i="60"/>
  <c r="C915" i="60"/>
  <c r="B915" i="60"/>
  <c r="A915" i="60"/>
  <c r="C914" i="60"/>
  <c r="B914" i="60"/>
  <c r="A914" i="60"/>
  <c r="C913" i="60"/>
  <c r="B913" i="60"/>
  <c r="A913" i="60"/>
  <c r="C912" i="60"/>
  <c r="B912" i="60"/>
  <c r="A912" i="60"/>
  <c r="C911" i="60"/>
  <c r="B911" i="60"/>
  <c r="A911" i="60"/>
  <c r="C910" i="60"/>
  <c r="B910" i="60"/>
  <c r="A910" i="60"/>
  <c r="C909" i="60"/>
  <c r="B909" i="60"/>
  <c r="A909" i="60"/>
  <c r="C908" i="60"/>
  <c r="B908" i="60"/>
  <c r="A908" i="60"/>
  <c r="C907" i="60"/>
  <c r="B907" i="60"/>
  <c r="A907" i="60"/>
  <c r="C906" i="60"/>
  <c r="B906" i="60"/>
  <c r="A906" i="60"/>
  <c r="C905" i="60"/>
  <c r="B905" i="60"/>
  <c r="A905" i="60"/>
  <c r="C904" i="60"/>
  <c r="B904" i="60"/>
  <c r="A904" i="60"/>
  <c r="C903" i="60"/>
  <c r="B903" i="60"/>
  <c r="A903" i="60"/>
  <c r="C902" i="60"/>
  <c r="B902" i="60"/>
  <c r="A902" i="60"/>
  <c r="C901" i="60"/>
  <c r="B901" i="60"/>
  <c r="A901" i="60"/>
  <c r="C900" i="60"/>
  <c r="B900" i="60"/>
  <c r="A900" i="60"/>
  <c r="C899" i="60"/>
  <c r="B899" i="60"/>
  <c r="A899" i="60"/>
  <c r="C898" i="60"/>
  <c r="B898" i="60"/>
  <c r="A898" i="60"/>
  <c r="C897" i="60"/>
  <c r="B897" i="60"/>
  <c r="A897" i="60"/>
  <c r="C896" i="60"/>
  <c r="B896" i="60"/>
  <c r="A896" i="60"/>
  <c r="C895" i="60"/>
  <c r="B895" i="60"/>
  <c r="A895" i="60"/>
  <c r="C894" i="60"/>
  <c r="B894" i="60"/>
  <c r="A894" i="60"/>
  <c r="C893" i="60"/>
  <c r="B893" i="60"/>
  <c r="A893" i="60"/>
  <c r="C892" i="60"/>
  <c r="B892" i="60"/>
  <c r="A892" i="60"/>
  <c r="C891" i="60"/>
  <c r="B891" i="60"/>
  <c r="A891" i="60"/>
  <c r="C890" i="60"/>
  <c r="B890" i="60"/>
  <c r="A890" i="60"/>
  <c r="C889" i="60"/>
  <c r="B889" i="60"/>
  <c r="A889" i="60"/>
  <c r="C888" i="60"/>
  <c r="B888" i="60"/>
  <c r="A888" i="60"/>
  <c r="C887" i="60"/>
  <c r="B887" i="60"/>
  <c r="A887" i="60"/>
  <c r="C886" i="60"/>
  <c r="B886" i="60"/>
  <c r="A886" i="60"/>
  <c r="C885" i="60"/>
  <c r="B885" i="60"/>
  <c r="A885" i="60"/>
  <c r="C884" i="60"/>
  <c r="B884" i="60"/>
  <c r="A884" i="60"/>
  <c r="C883" i="60"/>
  <c r="B883" i="60"/>
  <c r="A883" i="60"/>
  <c r="C882" i="60"/>
  <c r="B882" i="60"/>
  <c r="A882" i="60"/>
  <c r="C881" i="60"/>
  <c r="B881" i="60"/>
  <c r="A881" i="60"/>
  <c r="C880" i="60"/>
  <c r="B880" i="60"/>
  <c r="A880" i="60"/>
  <c r="C879" i="60"/>
  <c r="B879" i="60"/>
  <c r="A879" i="60"/>
  <c r="C878" i="60"/>
  <c r="B878" i="60"/>
  <c r="A878" i="60"/>
  <c r="C877" i="60"/>
  <c r="B877" i="60"/>
  <c r="A877" i="60"/>
  <c r="C876" i="60"/>
  <c r="B876" i="60"/>
  <c r="A876" i="60"/>
  <c r="C875" i="60"/>
  <c r="B875" i="60"/>
  <c r="A875" i="60"/>
  <c r="C874" i="60"/>
  <c r="B874" i="60"/>
  <c r="A874" i="60"/>
  <c r="C873" i="60"/>
  <c r="B873" i="60"/>
  <c r="A873" i="60"/>
  <c r="C872" i="60"/>
  <c r="B872" i="60"/>
  <c r="A872" i="60"/>
  <c r="C871" i="60"/>
  <c r="B871" i="60"/>
  <c r="A871" i="60"/>
  <c r="C870" i="60"/>
  <c r="B870" i="60"/>
  <c r="A870" i="60"/>
  <c r="C869" i="60"/>
  <c r="B869" i="60"/>
  <c r="A869" i="60"/>
  <c r="C868" i="60"/>
  <c r="B868" i="60"/>
  <c r="A868" i="60"/>
  <c r="C867" i="60"/>
  <c r="B867" i="60"/>
  <c r="A867" i="60"/>
  <c r="C866" i="60"/>
  <c r="B866" i="60"/>
  <c r="A866" i="60"/>
  <c r="C865" i="60"/>
  <c r="B865" i="60"/>
  <c r="A865" i="60"/>
  <c r="C864" i="60"/>
  <c r="B864" i="60"/>
  <c r="A864" i="60"/>
  <c r="C863" i="60"/>
  <c r="B863" i="60"/>
  <c r="A863" i="60"/>
  <c r="C862" i="60"/>
  <c r="B862" i="60"/>
  <c r="A862" i="60"/>
  <c r="C861" i="60"/>
  <c r="B861" i="60"/>
  <c r="A861" i="60"/>
  <c r="C860" i="60"/>
  <c r="B860" i="60"/>
  <c r="A860" i="60"/>
  <c r="C859" i="60"/>
  <c r="B859" i="60"/>
  <c r="A859" i="60"/>
  <c r="C858" i="60"/>
  <c r="B858" i="60"/>
  <c r="A858" i="60"/>
  <c r="C857" i="60"/>
  <c r="B857" i="60"/>
  <c r="A857" i="60"/>
  <c r="C856" i="60"/>
  <c r="B856" i="60"/>
  <c r="A856" i="60"/>
  <c r="C855" i="60"/>
  <c r="B855" i="60"/>
  <c r="A855" i="60"/>
  <c r="C854" i="60"/>
  <c r="B854" i="60"/>
  <c r="A854" i="60"/>
  <c r="C853" i="60"/>
  <c r="B853" i="60"/>
  <c r="A853" i="60"/>
  <c r="C852" i="60"/>
  <c r="B852" i="60"/>
  <c r="A852" i="60"/>
  <c r="C851" i="60"/>
  <c r="B851" i="60"/>
  <c r="A851" i="60"/>
  <c r="C850" i="60"/>
  <c r="B850" i="60"/>
  <c r="A850" i="60"/>
  <c r="C849" i="60"/>
  <c r="B849" i="60"/>
  <c r="A849" i="60"/>
  <c r="C848" i="60"/>
  <c r="B848" i="60"/>
  <c r="A848" i="60"/>
  <c r="C847" i="60"/>
  <c r="B847" i="60"/>
  <c r="A847" i="60"/>
  <c r="C846" i="60"/>
  <c r="B846" i="60"/>
  <c r="A846" i="60"/>
  <c r="C845" i="60"/>
  <c r="B845" i="60"/>
  <c r="A845" i="60"/>
  <c r="C844" i="60"/>
  <c r="B844" i="60"/>
  <c r="A844" i="60"/>
  <c r="C843" i="60"/>
  <c r="B843" i="60"/>
  <c r="A843" i="60"/>
  <c r="C842" i="60"/>
  <c r="B842" i="60"/>
  <c r="A842" i="60"/>
  <c r="C841" i="60"/>
  <c r="B841" i="60"/>
  <c r="A841" i="60"/>
  <c r="C840" i="60"/>
  <c r="B840" i="60"/>
  <c r="A840" i="60"/>
  <c r="C839" i="60"/>
  <c r="B839" i="60"/>
  <c r="A839" i="60"/>
  <c r="C838" i="60"/>
  <c r="B838" i="60"/>
  <c r="A838" i="60"/>
  <c r="C837" i="60"/>
  <c r="B837" i="60"/>
  <c r="A837" i="60"/>
  <c r="C836" i="60"/>
  <c r="B836" i="60"/>
  <c r="A836" i="60"/>
  <c r="C835" i="60"/>
  <c r="B835" i="60"/>
  <c r="A835" i="60"/>
  <c r="C834" i="60"/>
  <c r="B834" i="60"/>
  <c r="A834" i="60"/>
  <c r="C833" i="60"/>
  <c r="B833" i="60"/>
  <c r="A833" i="60"/>
  <c r="C832" i="60"/>
  <c r="B832" i="60"/>
  <c r="A832" i="60"/>
  <c r="C831" i="60"/>
  <c r="B831" i="60"/>
  <c r="A831" i="60"/>
  <c r="C830" i="60"/>
  <c r="B830" i="60"/>
  <c r="A830" i="60"/>
  <c r="C829" i="60"/>
  <c r="B829" i="60"/>
  <c r="A829" i="60"/>
  <c r="C828" i="60"/>
  <c r="B828" i="60"/>
  <c r="A828" i="60"/>
  <c r="C827" i="60"/>
  <c r="B827" i="60"/>
  <c r="A827" i="60"/>
  <c r="C826" i="60"/>
  <c r="B826" i="60"/>
  <c r="A826" i="60"/>
  <c r="C825" i="60"/>
  <c r="B825" i="60"/>
  <c r="A825" i="60"/>
  <c r="C824" i="60"/>
  <c r="B824" i="60"/>
  <c r="A824" i="60"/>
  <c r="C823" i="60"/>
  <c r="B823" i="60"/>
  <c r="A823" i="60"/>
  <c r="C822" i="60"/>
  <c r="B822" i="60"/>
  <c r="A822" i="60"/>
  <c r="C821" i="60"/>
  <c r="B821" i="60"/>
  <c r="A821" i="60"/>
  <c r="C820" i="60"/>
  <c r="B820" i="60"/>
  <c r="A820" i="60"/>
  <c r="C819" i="60"/>
  <c r="B819" i="60"/>
  <c r="A819" i="60"/>
  <c r="C818" i="60"/>
  <c r="B818" i="60"/>
  <c r="A818" i="60"/>
  <c r="C817" i="60"/>
  <c r="B817" i="60"/>
  <c r="A817" i="60"/>
  <c r="C816" i="60"/>
  <c r="B816" i="60"/>
  <c r="A816" i="60"/>
  <c r="C815" i="60"/>
  <c r="B815" i="60"/>
  <c r="A815" i="60"/>
  <c r="C814" i="60"/>
  <c r="B814" i="60"/>
  <c r="A814" i="60"/>
  <c r="C813" i="60"/>
  <c r="B813" i="60"/>
  <c r="A813" i="60"/>
  <c r="C812" i="60"/>
  <c r="B812" i="60"/>
  <c r="A812" i="60"/>
  <c r="C811" i="60"/>
  <c r="B811" i="60"/>
  <c r="A811" i="60"/>
  <c r="C810" i="60"/>
  <c r="B810" i="60"/>
  <c r="A810" i="60"/>
  <c r="C809" i="60"/>
  <c r="B809" i="60"/>
  <c r="A809" i="60"/>
  <c r="C808" i="60"/>
  <c r="B808" i="60"/>
  <c r="A808" i="60"/>
  <c r="C807" i="60"/>
  <c r="B807" i="60"/>
  <c r="A807" i="60"/>
  <c r="C806" i="60"/>
  <c r="B806" i="60"/>
  <c r="A806" i="60"/>
  <c r="C805" i="60"/>
  <c r="B805" i="60"/>
  <c r="A805" i="60"/>
  <c r="C804" i="60"/>
  <c r="B804" i="60"/>
  <c r="A804" i="60"/>
  <c r="C803" i="60"/>
  <c r="B803" i="60"/>
  <c r="A803" i="60"/>
  <c r="C802" i="60"/>
  <c r="B802" i="60"/>
  <c r="A802" i="60"/>
  <c r="C801" i="60"/>
  <c r="B801" i="60"/>
  <c r="A801" i="60"/>
  <c r="C800" i="60"/>
  <c r="B800" i="60"/>
  <c r="A800" i="60"/>
  <c r="C799" i="60"/>
  <c r="B799" i="60"/>
  <c r="A799" i="60"/>
  <c r="C798" i="60"/>
  <c r="B798" i="60"/>
  <c r="A798" i="60"/>
  <c r="C797" i="60"/>
  <c r="B797" i="60"/>
  <c r="A797" i="60"/>
  <c r="C796" i="60"/>
  <c r="B796" i="60"/>
  <c r="A796" i="60"/>
  <c r="C795" i="60"/>
  <c r="B795" i="60"/>
  <c r="A795" i="60"/>
  <c r="C794" i="60"/>
  <c r="B794" i="60"/>
  <c r="A794" i="60"/>
  <c r="C793" i="60"/>
  <c r="B793" i="60"/>
  <c r="A793" i="60"/>
  <c r="C792" i="60"/>
  <c r="B792" i="60"/>
  <c r="A792" i="60"/>
  <c r="C791" i="60"/>
  <c r="B791" i="60"/>
  <c r="A791" i="60"/>
  <c r="C790" i="60"/>
  <c r="B790" i="60"/>
  <c r="A790" i="60"/>
  <c r="C789" i="60"/>
  <c r="B789" i="60"/>
  <c r="A789" i="60"/>
  <c r="C788" i="60"/>
  <c r="B788" i="60"/>
  <c r="A788" i="60"/>
  <c r="C787" i="60"/>
  <c r="B787" i="60"/>
  <c r="A787" i="60"/>
  <c r="C786" i="60"/>
  <c r="B786" i="60"/>
  <c r="A786" i="60"/>
  <c r="C785" i="60"/>
  <c r="B785" i="60"/>
  <c r="A785" i="60"/>
  <c r="C784" i="60"/>
  <c r="B784" i="60"/>
  <c r="A784" i="60"/>
  <c r="C783" i="60"/>
  <c r="B783" i="60"/>
  <c r="A783" i="60"/>
  <c r="C782" i="60"/>
  <c r="B782" i="60"/>
  <c r="A782" i="60"/>
  <c r="C781" i="60"/>
  <c r="B781" i="60"/>
  <c r="A781" i="60"/>
  <c r="C780" i="60"/>
  <c r="B780" i="60"/>
  <c r="A780" i="60"/>
  <c r="C779" i="60"/>
  <c r="B779" i="60"/>
  <c r="A779" i="60"/>
  <c r="C778" i="60"/>
  <c r="B778" i="60"/>
  <c r="A778" i="60"/>
  <c r="C777" i="60"/>
  <c r="B777" i="60"/>
  <c r="A777" i="60"/>
  <c r="C776" i="60"/>
  <c r="B776" i="60"/>
  <c r="A776" i="60"/>
  <c r="C775" i="60"/>
  <c r="B775" i="60"/>
  <c r="A775" i="60"/>
  <c r="C774" i="60"/>
  <c r="B774" i="60"/>
  <c r="A774" i="60"/>
  <c r="C773" i="60"/>
  <c r="B773" i="60"/>
  <c r="A773" i="60"/>
  <c r="C772" i="60"/>
  <c r="B772" i="60"/>
  <c r="A772" i="60"/>
  <c r="C771" i="60"/>
  <c r="B771" i="60"/>
  <c r="A771" i="60"/>
  <c r="C770" i="60"/>
  <c r="B770" i="60"/>
  <c r="A770" i="60"/>
  <c r="C769" i="60"/>
  <c r="B769" i="60"/>
  <c r="A769" i="60"/>
  <c r="C768" i="60"/>
  <c r="B768" i="60"/>
  <c r="A768" i="60"/>
  <c r="C767" i="60"/>
  <c r="B767" i="60"/>
  <c r="A767" i="60"/>
  <c r="C766" i="60"/>
  <c r="B766" i="60"/>
  <c r="A766" i="60"/>
  <c r="C765" i="60"/>
  <c r="B765" i="60"/>
  <c r="A765" i="60"/>
  <c r="C764" i="60"/>
  <c r="B764" i="60"/>
  <c r="A764" i="60"/>
  <c r="C763" i="60"/>
  <c r="B763" i="60"/>
  <c r="A763" i="60"/>
  <c r="C762" i="60"/>
  <c r="B762" i="60"/>
  <c r="A762" i="60"/>
  <c r="C761" i="60"/>
  <c r="B761" i="60"/>
  <c r="A761" i="60"/>
  <c r="C760" i="60"/>
  <c r="B760" i="60"/>
  <c r="A760" i="60"/>
  <c r="C759" i="60"/>
  <c r="B759" i="60"/>
  <c r="A759" i="60"/>
  <c r="C758" i="60"/>
  <c r="B758" i="60"/>
  <c r="A758" i="60"/>
  <c r="C757" i="60"/>
  <c r="B757" i="60"/>
  <c r="A757" i="60"/>
  <c r="C756" i="60"/>
  <c r="B756" i="60"/>
  <c r="A756" i="60"/>
  <c r="C755" i="60"/>
  <c r="B755" i="60"/>
  <c r="A755" i="60"/>
  <c r="C754" i="60"/>
  <c r="B754" i="60"/>
  <c r="A754" i="60"/>
  <c r="C753" i="60"/>
  <c r="B753" i="60"/>
  <c r="A753" i="60"/>
  <c r="C752" i="60"/>
  <c r="B752" i="60"/>
  <c r="A752" i="60"/>
  <c r="C751" i="60"/>
  <c r="B751" i="60"/>
  <c r="A751" i="60"/>
  <c r="C750" i="60"/>
  <c r="B750" i="60"/>
  <c r="A750" i="60"/>
  <c r="C749" i="60"/>
  <c r="B749" i="60"/>
  <c r="A749" i="60"/>
  <c r="C748" i="60"/>
  <c r="B748" i="60"/>
  <c r="A748" i="60"/>
  <c r="C747" i="60"/>
  <c r="B747" i="60"/>
  <c r="A747" i="60"/>
  <c r="C746" i="60"/>
  <c r="B746" i="60"/>
  <c r="A746" i="60"/>
  <c r="C745" i="60"/>
  <c r="B745" i="60"/>
  <c r="A745" i="60"/>
  <c r="C744" i="60"/>
  <c r="B744" i="60"/>
  <c r="A744" i="60"/>
  <c r="C743" i="60"/>
  <c r="B743" i="60"/>
  <c r="A743" i="60"/>
  <c r="C742" i="60"/>
  <c r="B742" i="60"/>
  <c r="A742" i="60"/>
  <c r="C741" i="60"/>
  <c r="B741" i="60"/>
  <c r="A741" i="60"/>
  <c r="C740" i="60"/>
  <c r="B740" i="60"/>
  <c r="A740" i="60"/>
  <c r="C739" i="60"/>
  <c r="B739" i="60"/>
  <c r="A739" i="60"/>
  <c r="C738" i="60"/>
  <c r="B738" i="60"/>
  <c r="A738" i="60"/>
  <c r="C737" i="60"/>
  <c r="B737" i="60"/>
  <c r="A737" i="60"/>
  <c r="C736" i="60"/>
  <c r="B736" i="60"/>
  <c r="A736" i="60"/>
  <c r="C735" i="60"/>
  <c r="B735" i="60"/>
  <c r="A735" i="60"/>
  <c r="C734" i="60"/>
  <c r="B734" i="60"/>
  <c r="A734" i="60"/>
  <c r="C733" i="60"/>
  <c r="B733" i="60"/>
  <c r="A733" i="60"/>
  <c r="C732" i="60"/>
  <c r="B732" i="60"/>
  <c r="A732" i="60"/>
  <c r="C731" i="60"/>
  <c r="B731" i="60"/>
  <c r="A731" i="60"/>
  <c r="C730" i="60"/>
  <c r="B730" i="60"/>
  <c r="A730" i="60"/>
  <c r="C729" i="60"/>
  <c r="B729" i="60"/>
  <c r="A729" i="60"/>
  <c r="C728" i="60"/>
  <c r="B728" i="60"/>
  <c r="A728" i="60"/>
  <c r="C727" i="60"/>
  <c r="B727" i="60"/>
  <c r="A727" i="60"/>
  <c r="C726" i="60"/>
  <c r="B726" i="60"/>
  <c r="A726" i="60"/>
  <c r="C725" i="60"/>
  <c r="B725" i="60"/>
  <c r="A725" i="60"/>
  <c r="C724" i="60"/>
  <c r="B724" i="60"/>
  <c r="A724" i="60"/>
  <c r="C723" i="60"/>
  <c r="B723" i="60"/>
  <c r="A723" i="60"/>
  <c r="C722" i="60"/>
  <c r="B722" i="60"/>
  <c r="A722" i="60"/>
  <c r="C721" i="60"/>
  <c r="B721" i="60"/>
  <c r="A721" i="60"/>
  <c r="C720" i="60"/>
  <c r="B720" i="60"/>
  <c r="A720" i="60"/>
  <c r="C719" i="60"/>
  <c r="B719" i="60"/>
  <c r="A719" i="60"/>
  <c r="C718" i="60"/>
  <c r="B718" i="60"/>
  <c r="A718" i="60"/>
  <c r="C717" i="60"/>
  <c r="B717" i="60"/>
  <c r="A717" i="60"/>
  <c r="C716" i="60"/>
  <c r="B716" i="60"/>
  <c r="A716" i="60"/>
  <c r="C715" i="60"/>
  <c r="B715" i="60"/>
  <c r="A715" i="60"/>
  <c r="C714" i="60"/>
  <c r="B714" i="60"/>
  <c r="A714" i="60"/>
  <c r="C713" i="60"/>
  <c r="B713" i="60"/>
  <c r="A713" i="60"/>
  <c r="C712" i="60"/>
  <c r="B712" i="60"/>
  <c r="A712" i="60"/>
  <c r="C711" i="60"/>
  <c r="B711" i="60"/>
  <c r="A711" i="60"/>
  <c r="C710" i="60"/>
  <c r="B710" i="60"/>
  <c r="A710" i="60"/>
  <c r="C709" i="60"/>
  <c r="B709" i="60"/>
  <c r="A709" i="60"/>
  <c r="C708" i="60"/>
  <c r="B708" i="60"/>
  <c r="A708" i="60"/>
  <c r="C707" i="60"/>
  <c r="B707" i="60"/>
  <c r="A707" i="60"/>
  <c r="C706" i="60"/>
  <c r="B706" i="60"/>
  <c r="A706" i="60"/>
  <c r="C705" i="60"/>
  <c r="B705" i="60"/>
  <c r="A705" i="60"/>
  <c r="C704" i="60"/>
  <c r="B704" i="60"/>
  <c r="A704" i="60"/>
  <c r="C703" i="60"/>
  <c r="B703" i="60"/>
  <c r="A703" i="60"/>
  <c r="C702" i="60"/>
  <c r="B702" i="60"/>
  <c r="A702" i="60"/>
  <c r="C701" i="60"/>
  <c r="B701" i="60"/>
  <c r="A701" i="60"/>
  <c r="C700" i="60"/>
  <c r="B700" i="60"/>
  <c r="A700" i="60"/>
  <c r="C699" i="60"/>
  <c r="B699" i="60"/>
  <c r="A699" i="60"/>
  <c r="C698" i="60"/>
  <c r="B698" i="60"/>
  <c r="A698" i="60"/>
  <c r="C697" i="60"/>
  <c r="B697" i="60"/>
  <c r="A697" i="60"/>
  <c r="C696" i="60"/>
  <c r="B696" i="60"/>
  <c r="A696" i="60"/>
  <c r="C695" i="60"/>
  <c r="B695" i="60"/>
  <c r="A695" i="60"/>
  <c r="C694" i="60"/>
  <c r="B694" i="60"/>
  <c r="A694" i="60"/>
  <c r="C693" i="60"/>
  <c r="B693" i="60"/>
  <c r="A693" i="60"/>
  <c r="C692" i="60"/>
  <c r="B692" i="60"/>
  <c r="A692" i="60"/>
  <c r="C691" i="60"/>
  <c r="B691" i="60"/>
  <c r="A691" i="60"/>
  <c r="C690" i="60"/>
  <c r="B690" i="60"/>
  <c r="A690" i="60"/>
  <c r="C689" i="60"/>
  <c r="B689" i="60"/>
  <c r="A689" i="60"/>
  <c r="C688" i="60"/>
  <c r="B688" i="60"/>
  <c r="A688" i="60"/>
  <c r="C687" i="60"/>
  <c r="B687" i="60"/>
  <c r="A687" i="60"/>
  <c r="C686" i="60"/>
  <c r="B686" i="60"/>
  <c r="A686" i="60"/>
  <c r="C685" i="60"/>
  <c r="B685" i="60"/>
  <c r="A685" i="60"/>
  <c r="C684" i="60"/>
  <c r="B684" i="60"/>
  <c r="A684" i="60"/>
  <c r="C683" i="60"/>
  <c r="B683" i="60"/>
  <c r="A683" i="60"/>
  <c r="C682" i="60"/>
  <c r="B682" i="60"/>
  <c r="A682" i="60"/>
  <c r="C681" i="60"/>
  <c r="B681" i="60"/>
  <c r="A681" i="60"/>
  <c r="C680" i="60"/>
  <c r="B680" i="60"/>
  <c r="A680" i="60"/>
  <c r="C679" i="60"/>
  <c r="B679" i="60"/>
  <c r="A679" i="60"/>
  <c r="C678" i="60"/>
  <c r="B678" i="60"/>
  <c r="A678" i="60"/>
  <c r="C677" i="60"/>
  <c r="B677" i="60"/>
  <c r="A677" i="60"/>
  <c r="C676" i="60"/>
  <c r="B676" i="60"/>
  <c r="A676" i="60"/>
  <c r="C675" i="60"/>
  <c r="B675" i="60"/>
  <c r="A675" i="60"/>
  <c r="C674" i="60"/>
  <c r="B674" i="60"/>
  <c r="A674" i="60"/>
  <c r="C673" i="60"/>
  <c r="B673" i="60"/>
  <c r="A673" i="60"/>
  <c r="C672" i="60"/>
  <c r="B672" i="60"/>
  <c r="A672" i="60"/>
  <c r="C671" i="60"/>
  <c r="B671" i="60"/>
  <c r="A671" i="60"/>
  <c r="C670" i="60"/>
  <c r="B670" i="60"/>
  <c r="A670" i="60"/>
  <c r="C669" i="60"/>
  <c r="B669" i="60"/>
  <c r="A669" i="60"/>
  <c r="C668" i="60"/>
  <c r="B668" i="60"/>
  <c r="A668" i="60"/>
  <c r="C667" i="60"/>
  <c r="B667" i="60"/>
  <c r="A667" i="60"/>
  <c r="C666" i="60"/>
  <c r="B666" i="60"/>
  <c r="A666" i="60"/>
  <c r="C665" i="60"/>
  <c r="B665" i="60"/>
  <c r="A665" i="60"/>
  <c r="C664" i="60"/>
  <c r="B664" i="60"/>
  <c r="A664" i="60"/>
  <c r="C663" i="60"/>
  <c r="B663" i="60"/>
  <c r="A663" i="60"/>
  <c r="C662" i="60"/>
  <c r="B662" i="60"/>
  <c r="A662" i="60"/>
  <c r="C661" i="60"/>
  <c r="B661" i="60"/>
  <c r="A661" i="60"/>
  <c r="C660" i="60"/>
  <c r="B660" i="60"/>
  <c r="A660" i="60"/>
  <c r="C659" i="60"/>
  <c r="B659" i="60"/>
  <c r="A659" i="60"/>
  <c r="C658" i="60"/>
  <c r="B658" i="60"/>
  <c r="A658" i="60"/>
  <c r="C657" i="60"/>
  <c r="B657" i="60"/>
  <c r="A657" i="60"/>
  <c r="C656" i="60"/>
  <c r="B656" i="60"/>
  <c r="A656" i="60"/>
  <c r="C655" i="60"/>
  <c r="B655" i="60"/>
  <c r="A655" i="60"/>
  <c r="C654" i="60"/>
  <c r="B654" i="60"/>
  <c r="A654" i="60"/>
  <c r="C653" i="60"/>
  <c r="B653" i="60"/>
  <c r="A653" i="60"/>
  <c r="C652" i="60"/>
  <c r="B652" i="60"/>
  <c r="A652" i="60"/>
  <c r="C651" i="60"/>
  <c r="B651" i="60"/>
  <c r="A651" i="60"/>
  <c r="C650" i="60"/>
  <c r="B650" i="60"/>
  <c r="A650" i="60"/>
  <c r="C649" i="60"/>
  <c r="B649" i="60"/>
  <c r="A649" i="60"/>
  <c r="C648" i="60"/>
  <c r="B648" i="60"/>
  <c r="A648" i="60"/>
  <c r="C647" i="60"/>
  <c r="B647" i="60"/>
  <c r="A647" i="60"/>
  <c r="C646" i="60"/>
  <c r="B646" i="60"/>
  <c r="A646" i="60"/>
  <c r="C645" i="60"/>
  <c r="B645" i="60"/>
  <c r="A645" i="60"/>
  <c r="C644" i="60"/>
  <c r="B644" i="60"/>
  <c r="A644" i="60"/>
  <c r="C643" i="60"/>
  <c r="B643" i="60"/>
  <c r="A643" i="60"/>
  <c r="C642" i="60"/>
  <c r="B642" i="60"/>
  <c r="A642" i="60"/>
  <c r="C641" i="60"/>
  <c r="B641" i="60"/>
  <c r="A641" i="60"/>
  <c r="C640" i="60"/>
  <c r="B640" i="60"/>
  <c r="A640" i="60"/>
  <c r="C639" i="60"/>
  <c r="B639" i="60"/>
  <c r="A639" i="60"/>
  <c r="C638" i="60"/>
  <c r="B638" i="60"/>
  <c r="A638" i="60"/>
  <c r="C637" i="60"/>
  <c r="B637" i="60"/>
  <c r="A637" i="60"/>
  <c r="C636" i="60"/>
  <c r="B636" i="60"/>
  <c r="A636" i="60"/>
  <c r="C635" i="60"/>
  <c r="B635" i="60"/>
  <c r="A635" i="60"/>
  <c r="C634" i="60"/>
  <c r="B634" i="60"/>
  <c r="A634" i="60"/>
  <c r="C633" i="60"/>
  <c r="B633" i="60"/>
  <c r="A633" i="60"/>
  <c r="C632" i="60"/>
  <c r="B632" i="60"/>
  <c r="A632" i="60"/>
  <c r="C631" i="60"/>
  <c r="B631" i="60"/>
  <c r="A631" i="60"/>
  <c r="C630" i="60"/>
  <c r="B630" i="60"/>
  <c r="A630" i="60"/>
  <c r="C629" i="60"/>
  <c r="B629" i="60"/>
  <c r="A629" i="60"/>
  <c r="C628" i="60"/>
  <c r="B628" i="60"/>
  <c r="A628" i="60"/>
  <c r="C627" i="60"/>
  <c r="B627" i="60"/>
  <c r="A627" i="60"/>
  <c r="C626" i="60"/>
  <c r="B626" i="60"/>
  <c r="A626" i="60"/>
  <c r="C625" i="60"/>
  <c r="B625" i="60"/>
  <c r="A625" i="60"/>
  <c r="C624" i="60"/>
  <c r="B624" i="60"/>
  <c r="A624" i="60"/>
  <c r="C623" i="60"/>
  <c r="B623" i="60"/>
  <c r="A623" i="60"/>
  <c r="C622" i="60"/>
  <c r="B622" i="60"/>
  <c r="A622" i="60"/>
  <c r="C621" i="60"/>
  <c r="B621" i="60"/>
  <c r="A621" i="60"/>
  <c r="C620" i="60"/>
  <c r="B620" i="60"/>
  <c r="A620" i="60"/>
  <c r="C619" i="60"/>
  <c r="B619" i="60"/>
  <c r="A619" i="60"/>
  <c r="C618" i="60"/>
  <c r="B618" i="60"/>
  <c r="A618" i="60"/>
  <c r="C617" i="60"/>
  <c r="B617" i="60"/>
  <c r="A617" i="60"/>
  <c r="C616" i="60"/>
  <c r="B616" i="60"/>
  <c r="A616" i="60"/>
  <c r="C615" i="60"/>
  <c r="B615" i="60"/>
  <c r="A615" i="60"/>
  <c r="C614" i="60"/>
  <c r="B614" i="60"/>
  <c r="A614" i="60"/>
  <c r="C613" i="60"/>
  <c r="B613" i="60"/>
  <c r="A613" i="60"/>
  <c r="C612" i="60"/>
  <c r="B612" i="60"/>
  <c r="A612" i="60"/>
  <c r="C611" i="60"/>
  <c r="B611" i="60"/>
  <c r="A611" i="60"/>
  <c r="C610" i="60"/>
  <c r="B610" i="60"/>
  <c r="A610" i="60"/>
  <c r="C609" i="60"/>
  <c r="B609" i="60"/>
  <c r="A609" i="60"/>
  <c r="C608" i="60"/>
  <c r="B608" i="60"/>
  <c r="A608" i="60"/>
  <c r="C607" i="60"/>
  <c r="B607" i="60"/>
  <c r="A607" i="60"/>
  <c r="C606" i="60"/>
  <c r="B606" i="60"/>
  <c r="A606" i="60"/>
  <c r="C605" i="60"/>
  <c r="B605" i="60"/>
  <c r="A605" i="60"/>
  <c r="C604" i="60"/>
  <c r="B604" i="60"/>
  <c r="A604" i="60"/>
  <c r="C603" i="60"/>
  <c r="B603" i="60"/>
  <c r="A603" i="60"/>
  <c r="C602" i="60"/>
  <c r="B602" i="60"/>
  <c r="A602" i="60"/>
  <c r="C601" i="60"/>
  <c r="B601" i="60"/>
  <c r="A601" i="60"/>
  <c r="C600" i="60"/>
  <c r="B600" i="60"/>
  <c r="A600" i="60"/>
  <c r="C599" i="60"/>
  <c r="B599" i="60"/>
  <c r="A599" i="60"/>
  <c r="C598" i="60"/>
  <c r="B598" i="60"/>
  <c r="A598" i="60"/>
  <c r="C597" i="60"/>
  <c r="B597" i="60"/>
  <c r="A597" i="60"/>
  <c r="C596" i="60"/>
  <c r="B596" i="60"/>
  <c r="A596" i="60"/>
  <c r="C595" i="60"/>
  <c r="B595" i="60"/>
  <c r="A595" i="60"/>
  <c r="C594" i="60"/>
  <c r="B594" i="60"/>
  <c r="A594" i="60"/>
  <c r="C593" i="60"/>
  <c r="B593" i="60"/>
  <c r="A593" i="60"/>
  <c r="C592" i="60"/>
  <c r="B592" i="60"/>
  <c r="A592" i="60"/>
  <c r="C591" i="60"/>
  <c r="B591" i="60"/>
  <c r="A591" i="60"/>
  <c r="C590" i="60"/>
  <c r="B590" i="60"/>
  <c r="A590" i="60"/>
  <c r="C589" i="60"/>
  <c r="B589" i="60"/>
  <c r="A589" i="60"/>
  <c r="C588" i="60"/>
  <c r="B588" i="60"/>
  <c r="A588" i="60"/>
  <c r="C587" i="60"/>
  <c r="B587" i="60"/>
  <c r="A587" i="60"/>
  <c r="C586" i="60"/>
  <c r="B586" i="60"/>
  <c r="A586" i="60"/>
  <c r="C585" i="60"/>
  <c r="B585" i="60"/>
  <c r="A585" i="60"/>
  <c r="C584" i="60"/>
  <c r="B584" i="60"/>
  <c r="A584" i="60"/>
  <c r="C583" i="60"/>
  <c r="B583" i="60"/>
  <c r="A583" i="60"/>
  <c r="C582" i="60"/>
  <c r="B582" i="60"/>
  <c r="A582" i="60"/>
  <c r="C581" i="60"/>
  <c r="B581" i="60"/>
  <c r="A581" i="60"/>
  <c r="C580" i="60"/>
  <c r="B580" i="60"/>
  <c r="A580" i="60"/>
  <c r="C579" i="60"/>
  <c r="B579" i="60"/>
  <c r="A579" i="60"/>
  <c r="C578" i="60"/>
  <c r="B578" i="60"/>
  <c r="A578" i="60"/>
  <c r="C577" i="60"/>
  <c r="B577" i="60"/>
  <c r="A577" i="60"/>
  <c r="C576" i="60"/>
  <c r="B576" i="60"/>
  <c r="A576" i="60"/>
  <c r="C575" i="60"/>
  <c r="B575" i="60"/>
  <c r="A575" i="60"/>
  <c r="C574" i="60"/>
  <c r="B574" i="60"/>
  <c r="A574" i="60"/>
  <c r="C573" i="60"/>
  <c r="B573" i="60"/>
  <c r="A573" i="60"/>
  <c r="C572" i="60"/>
  <c r="B572" i="60"/>
  <c r="A572" i="60"/>
  <c r="C571" i="60"/>
  <c r="B571" i="60"/>
  <c r="A571" i="60"/>
  <c r="C570" i="60"/>
  <c r="B570" i="60"/>
  <c r="A570" i="60"/>
  <c r="C569" i="60"/>
  <c r="B569" i="60"/>
  <c r="A569" i="60"/>
  <c r="C568" i="60"/>
  <c r="B568" i="60"/>
  <c r="A568" i="60"/>
  <c r="C567" i="60"/>
  <c r="B567" i="60"/>
  <c r="A567" i="60"/>
  <c r="C566" i="60"/>
  <c r="B566" i="60"/>
  <c r="A566" i="60"/>
  <c r="C565" i="60"/>
  <c r="B565" i="60"/>
  <c r="A565" i="60"/>
  <c r="C564" i="60"/>
  <c r="B564" i="60"/>
  <c r="A564" i="60"/>
  <c r="C563" i="60"/>
  <c r="B563" i="60"/>
  <c r="A563" i="60"/>
  <c r="C562" i="60"/>
  <c r="B562" i="60"/>
  <c r="A562" i="60"/>
  <c r="C561" i="60"/>
  <c r="B561" i="60"/>
  <c r="A561" i="60"/>
  <c r="C560" i="60"/>
  <c r="B560" i="60"/>
  <c r="A560" i="60"/>
  <c r="C559" i="60"/>
  <c r="B559" i="60"/>
  <c r="A559" i="60"/>
  <c r="C558" i="60"/>
  <c r="B558" i="60"/>
  <c r="A558" i="60"/>
  <c r="C557" i="60"/>
  <c r="B557" i="60"/>
  <c r="A557" i="60"/>
  <c r="C556" i="60"/>
  <c r="B556" i="60"/>
  <c r="A556" i="60"/>
  <c r="C555" i="60"/>
  <c r="B555" i="60"/>
  <c r="A555" i="60"/>
  <c r="C554" i="60"/>
  <c r="B554" i="60"/>
  <c r="A554" i="60"/>
  <c r="C553" i="60"/>
  <c r="B553" i="60"/>
  <c r="A553" i="60"/>
  <c r="C552" i="60"/>
  <c r="B552" i="60"/>
  <c r="A552" i="60"/>
  <c r="C551" i="60"/>
  <c r="B551" i="60"/>
  <c r="A551" i="60"/>
  <c r="C550" i="60"/>
  <c r="B550" i="60"/>
  <c r="A550" i="60"/>
  <c r="C549" i="60"/>
  <c r="B549" i="60"/>
  <c r="A549" i="60"/>
  <c r="C548" i="60"/>
  <c r="B548" i="60"/>
  <c r="A548" i="60"/>
  <c r="C547" i="60"/>
  <c r="B547" i="60"/>
  <c r="A547" i="60"/>
  <c r="C546" i="60"/>
  <c r="B546" i="60"/>
  <c r="A546" i="60"/>
  <c r="C545" i="60"/>
  <c r="B545" i="60"/>
  <c r="A545" i="60"/>
  <c r="C544" i="60"/>
  <c r="B544" i="60"/>
  <c r="A544" i="60"/>
  <c r="C543" i="60"/>
  <c r="B543" i="60"/>
  <c r="A543" i="60"/>
  <c r="C542" i="60"/>
  <c r="B542" i="60"/>
  <c r="A542" i="60"/>
  <c r="C541" i="60"/>
  <c r="B541" i="60"/>
  <c r="A541" i="60"/>
  <c r="C540" i="60"/>
  <c r="B540" i="60"/>
  <c r="A540" i="60"/>
  <c r="C539" i="60"/>
  <c r="B539" i="60"/>
  <c r="A539" i="60"/>
  <c r="C538" i="60"/>
  <c r="B538" i="60"/>
  <c r="A538" i="60"/>
  <c r="C537" i="60"/>
  <c r="B537" i="60"/>
  <c r="A537" i="60"/>
  <c r="C536" i="60"/>
  <c r="B536" i="60"/>
  <c r="A536" i="60"/>
  <c r="C535" i="60"/>
  <c r="B535" i="60"/>
  <c r="A535" i="60"/>
  <c r="C534" i="60"/>
  <c r="B534" i="60"/>
  <c r="A534" i="60"/>
  <c r="C533" i="60"/>
  <c r="B533" i="60"/>
  <c r="A533" i="60"/>
  <c r="C532" i="60"/>
  <c r="B532" i="60"/>
  <c r="A532" i="60"/>
  <c r="C531" i="60"/>
  <c r="B531" i="60"/>
  <c r="A531" i="60"/>
  <c r="C530" i="60"/>
  <c r="B530" i="60"/>
  <c r="A530" i="60"/>
  <c r="C529" i="60"/>
  <c r="B529" i="60"/>
  <c r="A529" i="60"/>
  <c r="C528" i="60"/>
  <c r="B528" i="60"/>
  <c r="A528" i="60"/>
  <c r="C527" i="60"/>
  <c r="B527" i="60"/>
  <c r="A527" i="60"/>
  <c r="C526" i="60"/>
  <c r="B526" i="60"/>
  <c r="A526" i="60"/>
  <c r="C525" i="60"/>
  <c r="B525" i="60"/>
  <c r="A525" i="60"/>
  <c r="C524" i="60"/>
  <c r="B524" i="60"/>
  <c r="A524" i="60"/>
  <c r="C523" i="60"/>
  <c r="B523" i="60"/>
  <c r="A523" i="60"/>
  <c r="C522" i="60"/>
  <c r="B522" i="60"/>
  <c r="A522" i="60"/>
  <c r="C521" i="60"/>
  <c r="B521" i="60"/>
  <c r="A521" i="60"/>
  <c r="C520" i="60"/>
  <c r="B520" i="60"/>
  <c r="A520" i="60"/>
  <c r="C519" i="60"/>
  <c r="B519" i="60"/>
  <c r="A519" i="60"/>
  <c r="C518" i="60"/>
  <c r="B518" i="60"/>
  <c r="A518" i="60"/>
  <c r="C517" i="60"/>
  <c r="B517" i="60"/>
  <c r="A517" i="60"/>
  <c r="C516" i="60"/>
  <c r="B516" i="60"/>
  <c r="A516" i="60"/>
  <c r="C515" i="60"/>
  <c r="B515" i="60"/>
  <c r="A515" i="60"/>
  <c r="C514" i="60"/>
  <c r="B514" i="60"/>
  <c r="A514" i="60"/>
  <c r="C513" i="60"/>
  <c r="B513" i="60"/>
  <c r="A513" i="60"/>
  <c r="C512" i="60"/>
  <c r="B512" i="60"/>
  <c r="A512" i="60"/>
  <c r="C511" i="60"/>
  <c r="B511" i="60"/>
  <c r="A511" i="60"/>
  <c r="C510" i="60"/>
  <c r="B510" i="60"/>
  <c r="A510" i="60"/>
  <c r="C509" i="60"/>
  <c r="B509" i="60"/>
  <c r="A509" i="60"/>
  <c r="C508" i="60"/>
  <c r="B508" i="60"/>
  <c r="A508" i="60"/>
  <c r="C507" i="60"/>
  <c r="B507" i="60"/>
  <c r="A507" i="60"/>
  <c r="C506" i="60"/>
  <c r="B506" i="60"/>
  <c r="A506" i="60"/>
  <c r="C505" i="60"/>
  <c r="B505" i="60"/>
  <c r="A505" i="60"/>
  <c r="C504" i="60"/>
  <c r="B504" i="60"/>
  <c r="A504" i="60"/>
  <c r="C503" i="60"/>
  <c r="B503" i="60"/>
  <c r="A503" i="60"/>
  <c r="C502" i="60"/>
  <c r="B502" i="60"/>
  <c r="A502" i="60"/>
  <c r="C501" i="60"/>
  <c r="B501" i="60"/>
  <c r="A501" i="60"/>
  <c r="C500" i="60"/>
  <c r="B500" i="60"/>
  <c r="A500" i="60"/>
  <c r="C499" i="60"/>
  <c r="B499" i="60"/>
  <c r="A499" i="60"/>
  <c r="C498" i="60"/>
  <c r="B498" i="60"/>
  <c r="A498" i="60"/>
  <c r="C497" i="60"/>
  <c r="B497" i="60"/>
  <c r="A497" i="60"/>
  <c r="C496" i="60"/>
  <c r="B496" i="60"/>
  <c r="A496" i="60"/>
  <c r="C495" i="60"/>
  <c r="B495" i="60"/>
  <c r="A495" i="60"/>
  <c r="C494" i="60"/>
  <c r="B494" i="60"/>
  <c r="A494" i="60"/>
  <c r="C493" i="60"/>
  <c r="B493" i="60"/>
  <c r="A493" i="60"/>
  <c r="C492" i="60"/>
  <c r="B492" i="60"/>
  <c r="A492" i="60"/>
  <c r="C491" i="60"/>
  <c r="B491" i="60"/>
  <c r="A491" i="60"/>
  <c r="C490" i="60"/>
  <c r="B490" i="60"/>
  <c r="A490" i="60"/>
  <c r="C489" i="60"/>
  <c r="B489" i="60"/>
  <c r="A489" i="60"/>
  <c r="C488" i="60"/>
  <c r="B488" i="60"/>
  <c r="A488" i="60"/>
  <c r="C487" i="60"/>
  <c r="B487" i="60"/>
  <c r="A487" i="60"/>
  <c r="C486" i="60"/>
  <c r="B486" i="60"/>
  <c r="A486" i="60"/>
  <c r="C485" i="60"/>
  <c r="B485" i="60"/>
  <c r="A485" i="60"/>
  <c r="C484" i="60"/>
  <c r="B484" i="60"/>
  <c r="A484" i="60"/>
  <c r="C483" i="60"/>
  <c r="B483" i="60"/>
  <c r="A483" i="60"/>
  <c r="C482" i="60"/>
  <c r="B482" i="60"/>
  <c r="A482" i="60"/>
  <c r="C481" i="60"/>
  <c r="B481" i="60"/>
  <c r="A481" i="60"/>
  <c r="C480" i="60"/>
  <c r="B480" i="60"/>
  <c r="A480" i="60"/>
  <c r="C479" i="60"/>
  <c r="B479" i="60"/>
  <c r="A479" i="60"/>
  <c r="C478" i="60"/>
  <c r="B478" i="60"/>
  <c r="A478" i="60"/>
  <c r="C477" i="60"/>
  <c r="B477" i="60"/>
  <c r="A477" i="60"/>
  <c r="C476" i="60"/>
  <c r="B476" i="60"/>
  <c r="A476" i="60"/>
  <c r="C475" i="60"/>
  <c r="B475" i="60"/>
  <c r="A475" i="60"/>
  <c r="C474" i="60"/>
  <c r="B474" i="60"/>
  <c r="A474" i="60"/>
  <c r="C473" i="60"/>
  <c r="B473" i="60"/>
  <c r="A473" i="60"/>
  <c r="C472" i="60"/>
  <c r="B472" i="60"/>
  <c r="A472" i="60"/>
  <c r="C471" i="60"/>
  <c r="B471" i="60"/>
  <c r="A471" i="60"/>
  <c r="C470" i="60"/>
  <c r="B470" i="60"/>
  <c r="A470" i="60"/>
  <c r="C469" i="60"/>
  <c r="B469" i="60"/>
  <c r="A469" i="60"/>
  <c r="C468" i="60"/>
  <c r="B468" i="60"/>
  <c r="A468" i="60"/>
  <c r="C467" i="60"/>
  <c r="B467" i="60"/>
  <c r="A467" i="60"/>
  <c r="C466" i="60"/>
  <c r="B466" i="60"/>
  <c r="A466" i="60"/>
  <c r="C465" i="60"/>
  <c r="B465" i="60"/>
  <c r="A465" i="60"/>
  <c r="C464" i="60"/>
  <c r="B464" i="60"/>
  <c r="A464" i="60"/>
  <c r="C463" i="60"/>
  <c r="B463" i="60"/>
  <c r="A463" i="60"/>
  <c r="C462" i="60"/>
  <c r="B462" i="60"/>
  <c r="A462" i="60"/>
  <c r="C461" i="60"/>
  <c r="B461" i="60"/>
  <c r="A461" i="60"/>
  <c r="C460" i="60"/>
  <c r="B460" i="60"/>
  <c r="A460" i="60"/>
  <c r="C459" i="60"/>
  <c r="B459" i="60"/>
  <c r="A459" i="60"/>
  <c r="C458" i="60"/>
  <c r="B458" i="60"/>
  <c r="A458" i="60"/>
  <c r="C457" i="60"/>
  <c r="B457" i="60"/>
  <c r="A457" i="60"/>
  <c r="C456" i="60"/>
  <c r="B456" i="60"/>
  <c r="A456" i="60"/>
  <c r="C455" i="60"/>
  <c r="B455" i="60"/>
  <c r="A455" i="60"/>
  <c r="C454" i="60"/>
  <c r="B454" i="60"/>
  <c r="A454" i="60"/>
  <c r="C453" i="60"/>
  <c r="B453" i="60"/>
  <c r="A453" i="60"/>
  <c r="C452" i="60"/>
  <c r="B452" i="60"/>
  <c r="A452" i="60"/>
  <c r="C451" i="60"/>
  <c r="B451" i="60"/>
  <c r="A451" i="60"/>
  <c r="C450" i="60"/>
  <c r="B450" i="60"/>
  <c r="A450" i="60"/>
  <c r="C449" i="60"/>
  <c r="B449" i="60"/>
  <c r="A449" i="60"/>
  <c r="C448" i="60"/>
  <c r="B448" i="60"/>
  <c r="A448" i="60"/>
  <c r="C447" i="60"/>
  <c r="B447" i="60"/>
  <c r="A447" i="60"/>
  <c r="C446" i="60"/>
  <c r="B446" i="60"/>
  <c r="A446" i="60"/>
  <c r="C445" i="60"/>
  <c r="B445" i="60"/>
  <c r="A445" i="60"/>
  <c r="C444" i="60"/>
  <c r="B444" i="60"/>
  <c r="A444" i="60"/>
  <c r="C443" i="60"/>
  <c r="B443" i="60"/>
  <c r="A443" i="60"/>
  <c r="C442" i="60"/>
  <c r="B442" i="60"/>
  <c r="A442" i="60"/>
  <c r="C441" i="60"/>
  <c r="B441" i="60"/>
  <c r="A441" i="60"/>
  <c r="C440" i="60"/>
  <c r="B440" i="60"/>
  <c r="A440" i="60"/>
  <c r="C439" i="60"/>
  <c r="B439" i="60"/>
  <c r="A439" i="60"/>
  <c r="C438" i="60"/>
  <c r="B438" i="60"/>
  <c r="A438" i="60"/>
  <c r="C437" i="60"/>
  <c r="B437" i="60"/>
  <c r="A437" i="60"/>
  <c r="C436" i="60"/>
  <c r="B436" i="60"/>
  <c r="A436" i="60"/>
  <c r="C435" i="60"/>
  <c r="B435" i="60"/>
  <c r="A435" i="60"/>
  <c r="C434" i="60"/>
  <c r="B434" i="60"/>
  <c r="A434" i="60"/>
  <c r="C433" i="60"/>
  <c r="B433" i="60"/>
  <c r="A433" i="60"/>
  <c r="C432" i="60"/>
  <c r="B432" i="60"/>
  <c r="A432" i="60"/>
  <c r="C431" i="60"/>
  <c r="B431" i="60"/>
  <c r="A431" i="60"/>
  <c r="C430" i="60"/>
  <c r="B430" i="60"/>
  <c r="A430" i="60"/>
  <c r="C429" i="60"/>
  <c r="B429" i="60"/>
  <c r="A429" i="60"/>
  <c r="C428" i="60"/>
  <c r="B428" i="60"/>
  <c r="A428" i="60"/>
  <c r="C427" i="60"/>
  <c r="B427" i="60"/>
  <c r="A427" i="60"/>
  <c r="C426" i="60"/>
  <c r="B426" i="60"/>
  <c r="A426" i="60"/>
  <c r="C425" i="60"/>
  <c r="B425" i="60"/>
  <c r="A425" i="60"/>
  <c r="C424" i="60"/>
  <c r="B424" i="60"/>
  <c r="A424" i="60"/>
  <c r="C423" i="60"/>
  <c r="B423" i="60"/>
  <c r="A423" i="60"/>
  <c r="C422" i="60"/>
  <c r="B422" i="60"/>
  <c r="A422" i="60"/>
  <c r="C421" i="60"/>
  <c r="B421" i="60"/>
  <c r="A421" i="60"/>
  <c r="C420" i="60"/>
  <c r="B420" i="60"/>
  <c r="A420" i="60"/>
  <c r="C419" i="60"/>
  <c r="B419" i="60"/>
  <c r="A419" i="60"/>
  <c r="C418" i="60"/>
  <c r="B418" i="60"/>
  <c r="A418" i="60"/>
  <c r="C417" i="60"/>
  <c r="B417" i="60"/>
  <c r="A417" i="60"/>
  <c r="C416" i="60"/>
  <c r="B416" i="60"/>
  <c r="A416" i="60"/>
  <c r="C415" i="60"/>
  <c r="B415" i="60"/>
  <c r="A415" i="60"/>
  <c r="C414" i="60"/>
  <c r="B414" i="60"/>
  <c r="A414" i="60"/>
  <c r="C413" i="60"/>
  <c r="B413" i="60"/>
  <c r="A413" i="60"/>
  <c r="C412" i="60"/>
  <c r="B412" i="60"/>
  <c r="A412" i="60"/>
  <c r="C411" i="60"/>
  <c r="B411" i="60"/>
  <c r="A411" i="60"/>
  <c r="C410" i="60"/>
  <c r="B410" i="60"/>
  <c r="A410" i="60"/>
  <c r="C409" i="60"/>
  <c r="B409" i="60"/>
  <c r="A409" i="60"/>
  <c r="C408" i="60"/>
  <c r="B408" i="60"/>
  <c r="A408" i="60"/>
  <c r="C407" i="60"/>
  <c r="B407" i="60"/>
  <c r="A407" i="60"/>
  <c r="C406" i="60"/>
  <c r="B406" i="60"/>
  <c r="A406" i="60"/>
  <c r="C405" i="60"/>
  <c r="B405" i="60"/>
  <c r="A405" i="60"/>
  <c r="C404" i="60"/>
  <c r="B404" i="60"/>
  <c r="A404" i="60"/>
  <c r="C403" i="60"/>
  <c r="B403" i="60"/>
  <c r="A403" i="60"/>
  <c r="C402" i="60"/>
  <c r="B402" i="60"/>
  <c r="A402" i="60"/>
  <c r="C401" i="60"/>
  <c r="B401" i="60"/>
  <c r="A401" i="60"/>
  <c r="C400" i="60"/>
  <c r="B400" i="60"/>
  <c r="A400" i="60"/>
  <c r="C399" i="60"/>
  <c r="B399" i="60"/>
  <c r="A399" i="60"/>
  <c r="C398" i="60"/>
  <c r="B398" i="60"/>
  <c r="A398" i="60"/>
  <c r="C397" i="60"/>
  <c r="B397" i="60"/>
  <c r="A397" i="60"/>
  <c r="C396" i="60"/>
  <c r="B396" i="60"/>
  <c r="A396" i="60"/>
  <c r="C395" i="60"/>
  <c r="B395" i="60"/>
  <c r="A395" i="60"/>
  <c r="C394" i="60"/>
  <c r="B394" i="60"/>
  <c r="A394" i="60"/>
  <c r="C393" i="60"/>
  <c r="B393" i="60"/>
  <c r="A393" i="60"/>
  <c r="C392" i="60"/>
  <c r="B392" i="60"/>
  <c r="A392" i="60"/>
  <c r="C391" i="60"/>
  <c r="B391" i="60"/>
  <c r="A391" i="60"/>
  <c r="C390" i="60"/>
  <c r="B390" i="60"/>
  <c r="A390" i="60"/>
  <c r="C389" i="60"/>
  <c r="B389" i="60"/>
  <c r="A389" i="60"/>
  <c r="C388" i="60"/>
  <c r="B388" i="60"/>
  <c r="A388" i="60"/>
  <c r="C387" i="60"/>
  <c r="B387" i="60"/>
  <c r="A387" i="60"/>
  <c r="C386" i="60"/>
  <c r="B386" i="60"/>
  <c r="A386" i="60"/>
  <c r="C385" i="60"/>
  <c r="B385" i="60"/>
  <c r="A385" i="60"/>
  <c r="C384" i="60"/>
  <c r="B384" i="60"/>
  <c r="A384" i="60"/>
  <c r="C383" i="60"/>
  <c r="B383" i="60"/>
  <c r="A383" i="60"/>
  <c r="C382" i="60"/>
  <c r="B382" i="60"/>
  <c r="A382" i="60"/>
  <c r="C381" i="60"/>
  <c r="B381" i="60"/>
  <c r="A381" i="60"/>
  <c r="C380" i="60"/>
  <c r="B380" i="60"/>
  <c r="A380" i="60"/>
  <c r="C379" i="60"/>
  <c r="B379" i="60"/>
  <c r="A379" i="60"/>
  <c r="C378" i="60"/>
  <c r="B378" i="60"/>
  <c r="A378" i="60"/>
  <c r="C377" i="60"/>
  <c r="B377" i="60"/>
  <c r="A377" i="60"/>
  <c r="C376" i="60"/>
  <c r="B376" i="60"/>
  <c r="A376" i="60"/>
  <c r="C375" i="60"/>
  <c r="B375" i="60"/>
  <c r="A375" i="60"/>
  <c r="C374" i="60"/>
  <c r="B374" i="60"/>
  <c r="A374" i="60"/>
  <c r="C373" i="60"/>
  <c r="B373" i="60"/>
  <c r="A373" i="60"/>
  <c r="C372" i="60"/>
  <c r="B372" i="60"/>
  <c r="A372" i="60"/>
  <c r="C371" i="60"/>
  <c r="B371" i="60"/>
  <c r="A371" i="60"/>
  <c r="C370" i="60"/>
  <c r="B370" i="60"/>
  <c r="A370" i="60"/>
  <c r="C369" i="60"/>
  <c r="B369" i="60"/>
  <c r="A369" i="60"/>
  <c r="C368" i="60"/>
  <c r="B368" i="60"/>
  <c r="A368" i="60"/>
  <c r="C367" i="60"/>
  <c r="B367" i="60"/>
  <c r="A367" i="60"/>
  <c r="C366" i="60"/>
  <c r="B366" i="60"/>
  <c r="A366" i="60"/>
  <c r="C365" i="60"/>
  <c r="B365" i="60"/>
  <c r="A365" i="60"/>
  <c r="C364" i="60"/>
  <c r="B364" i="60"/>
  <c r="A364" i="60"/>
  <c r="C363" i="60"/>
  <c r="B363" i="60"/>
  <c r="A363" i="60"/>
  <c r="C362" i="60"/>
  <c r="B362" i="60"/>
  <c r="A362" i="60"/>
  <c r="C361" i="60"/>
  <c r="B361" i="60"/>
  <c r="A361" i="60"/>
  <c r="C360" i="60"/>
  <c r="B360" i="60"/>
  <c r="A360" i="60"/>
  <c r="C359" i="60"/>
  <c r="B359" i="60"/>
  <c r="A359" i="60"/>
  <c r="C358" i="60"/>
  <c r="B358" i="60"/>
  <c r="A358" i="60"/>
  <c r="C357" i="60"/>
  <c r="B357" i="60"/>
  <c r="A357" i="60"/>
  <c r="C356" i="60"/>
  <c r="B356" i="60"/>
  <c r="A356" i="60"/>
  <c r="C355" i="60"/>
  <c r="B355" i="60"/>
  <c r="A355" i="60"/>
  <c r="C354" i="60"/>
  <c r="B354" i="60"/>
  <c r="A354" i="60"/>
  <c r="C353" i="60"/>
  <c r="B353" i="60"/>
  <c r="A353" i="60"/>
  <c r="C352" i="60"/>
  <c r="B352" i="60"/>
  <c r="A352" i="60"/>
  <c r="C351" i="60"/>
  <c r="B351" i="60"/>
  <c r="A351" i="60"/>
  <c r="C350" i="60"/>
  <c r="B350" i="60"/>
  <c r="A350" i="60"/>
  <c r="C349" i="60"/>
  <c r="B349" i="60"/>
  <c r="A349" i="60"/>
  <c r="C348" i="60"/>
  <c r="B348" i="60"/>
  <c r="A348" i="60"/>
  <c r="C347" i="60"/>
  <c r="B347" i="60"/>
  <c r="A347" i="60"/>
  <c r="C346" i="60"/>
  <c r="B346" i="60"/>
  <c r="A346" i="60"/>
  <c r="C345" i="60"/>
  <c r="B345" i="60"/>
  <c r="A345" i="60"/>
  <c r="C344" i="60"/>
  <c r="B344" i="60"/>
  <c r="A344" i="60"/>
  <c r="C343" i="60"/>
  <c r="B343" i="60"/>
  <c r="A343" i="60"/>
  <c r="C342" i="60"/>
  <c r="B342" i="60"/>
  <c r="A342" i="60"/>
  <c r="C341" i="60"/>
  <c r="B341" i="60"/>
  <c r="A341" i="60"/>
  <c r="C340" i="60"/>
  <c r="B340" i="60"/>
  <c r="A340" i="60"/>
  <c r="C339" i="60"/>
  <c r="B339" i="60"/>
  <c r="A339" i="60"/>
  <c r="C338" i="60"/>
  <c r="B338" i="60"/>
  <c r="A338" i="60"/>
  <c r="C337" i="60"/>
  <c r="B337" i="60"/>
  <c r="A337" i="60"/>
  <c r="C336" i="60"/>
  <c r="B336" i="60"/>
  <c r="A336" i="60"/>
  <c r="C335" i="60"/>
  <c r="B335" i="60"/>
  <c r="A335" i="60"/>
  <c r="C334" i="60"/>
  <c r="B334" i="60"/>
  <c r="A334" i="60"/>
  <c r="C333" i="60"/>
  <c r="B333" i="60"/>
  <c r="A333" i="60"/>
  <c r="C332" i="60"/>
  <c r="B332" i="60"/>
  <c r="A332" i="60"/>
  <c r="C331" i="60"/>
  <c r="B331" i="60"/>
  <c r="A331" i="60"/>
  <c r="C330" i="60"/>
  <c r="B330" i="60"/>
  <c r="A330" i="60"/>
  <c r="C329" i="60"/>
  <c r="B329" i="60"/>
  <c r="A329" i="60"/>
  <c r="C328" i="60"/>
  <c r="B328" i="60"/>
  <c r="A328" i="60"/>
  <c r="C327" i="60"/>
  <c r="B327" i="60"/>
  <c r="A327" i="60"/>
  <c r="C326" i="60"/>
  <c r="B326" i="60"/>
  <c r="A326" i="60"/>
  <c r="C325" i="60"/>
  <c r="B325" i="60"/>
  <c r="A325" i="60"/>
  <c r="C324" i="60"/>
  <c r="B324" i="60"/>
  <c r="A324" i="60"/>
  <c r="C323" i="60"/>
  <c r="B323" i="60"/>
  <c r="A323" i="60"/>
  <c r="C322" i="60"/>
  <c r="B322" i="60"/>
  <c r="A322" i="60"/>
  <c r="C321" i="60"/>
  <c r="B321" i="60"/>
  <c r="A321" i="60"/>
  <c r="C320" i="60"/>
  <c r="B320" i="60"/>
  <c r="A320" i="60"/>
  <c r="C319" i="60"/>
  <c r="B319" i="60"/>
  <c r="A319" i="60"/>
  <c r="C318" i="60"/>
  <c r="B318" i="60"/>
  <c r="A318" i="60"/>
  <c r="C317" i="60"/>
  <c r="B317" i="60"/>
  <c r="A317" i="60"/>
  <c r="C316" i="60"/>
  <c r="B316" i="60"/>
  <c r="A316" i="60"/>
  <c r="C315" i="60"/>
  <c r="B315" i="60"/>
  <c r="A315" i="60"/>
  <c r="C314" i="60"/>
  <c r="B314" i="60"/>
  <c r="A314" i="60"/>
  <c r="C313" i="60"/>
  <c r="B313" i="60"/>
  <c r="A313" i="60"/>
  <c r="C312" i="60"/>
  <c r="B312" i="60"/>
  <c r="A312" i="60"/>
  <c r="C311" i="60"/>
  <c r="B311" i="60"/>
  <c r="A311" i="60"/>
  <c r="C310" i="60"/>
  <c r="B310" i="60"/>
  <c r="A310" i="60"/>
  <c r="C309" i="60"/>
  <c r="B309" i="60"/>
  <c r="A309" i="60"/>
  <c r="C308" i="60"/>
  <c r="B308" i="60"/>
  <c r="A308" i="60"/>
  <c r="C307" i="60"/>
  <c r="B307" i="60"/>
  <c r="A307" i="60"/>
  <c r="C306" i="60"/>
  <c r="B306" i="60"/>
  <c r="A306" i="60"/>
  <c r="C305" i="60"/>
  <c r="B305" i="60"/>
  <c r="A305" i="60"/>
  <c r="C304" i="60"/>
  <c r="B304" i="60"/>
  <c r="A304" i="60"/>
  <c r="C303" i="60"/>
  <c r="B303" i="60"/>
  <c r="A303" i="60"/>
  <c r="C302" i="60"/>
  <c r="B302" i="60"/>
  <c r="A302" i="60"/>
  <c r="C301" i="60"/>
  <c r="B301" i="60"/>
  <c r="A301" i="60"/>
  <c r="C300" i="60"/>
  <c r="B300" i="60"/>
  <c r="A300" i="60"/>
  <c r="C299" i="60"/>
  <c r="B299" i="60"/>
  <c r="A299" i="60"/>
  <c r="C298" i="60"/>
  <c r="B298" i="60"/>
  <c r="A298" i="60"/>
  <c r="C297" i="60"/>
  <c r="B297" i="60"/>
  <c r="A297" i="60"/>
  <c r="C296" i="60"/>
  <c r="B296" i="60"/>
  <c r="A296" i="60"/>
  <c r="C295" i="60"/>
  <c r="B295" i="60"/>
  <c r="A295" i="60"/>
  <c r="C294" i="60"/>
  <c r="B294" i="60"/>
  <c r="A294" i="60"/>
  <c r="C293" i="60"/>
  <c r="B293" i="60"/>
  <c r="A293" i="60"/>
  <c r="C292" i="60"/>
  <c r="B292" i="60"/>
  <c r="A292" i="60"/>
  <c r="C291" i="60"/>
  <c r="B291" i="60"/>
  <c r="A291" i="60"/>
  <c r="C290" i="60"/>
  <c r="B290" i="60"/>
  <c r="A290" i="60"/>
  <c r="C289" i="60"/>
  <c r="B289" i="60"/>
  <c r="A289" i="60"/>
  <c r="C288" i="60"/>
  <c r="B288" i="60"/>
  <c r="A288" i="60"/>
  <c r="C287" i="60"/>
  <c r="B287" i="60"/>
  <c r="A287" i="60"/>
  <c r="C286" i="60"/>
  <c r="B286" i="60"/>
  <c r="A286" i="60"/>
  <c r="C285" i="60"/>
  <c r="B285" i="60"/>
  <c r="A285" i="60"/>
  <c r="C284" i="60"/>
  <c r="B284" i="60"/>
  <c r="A284" i="60"/>
  <c r="C283" i="60"/>
  <c r="B283" i="60"/>
  <c r="A283" i="60"/>
  <c r="C282" i="60"/>
  <c r="B282" i="60"/>
  <c r="A282" i="60"/>
  <c r="C281" i="60"/>
  <c r="B281" i="60"/>
  <c r="A281" i="60"/>
  <c r="C280" i="60"/>
  <c r="B280" i="60"/>
  <c r="A280" i="60"/>
  <c r="C279" i="60"/>
  <c r="B279" i="60"/>
  <c r="A279" i="60"/>
  <c r="C278" i="60"/>
  <c r="B278" i="60"/>
  <c r="A278" i="60"/>
  <c r="C277" i="60"/>
  <c r="B277" i="60"/>
  <c r="A277" i="60"/>
  <c r="C276" i="60"/>
  <c r="B276" i="60"/>
  <c r="A276" i="60"/>
  <c r="C275" i="60"/>
  <c r="B275" i="60"/>
  <c r="A275" i="60"/>
  <c r="C274" i="60"/>
  <c r="B274" i="60"/>
  <c r="A274" i="60"/>
  <c r="C273" i="60"/>
  <c r="B273" i="60"/>
  <c r="A273" i="60"/>
  <c r="C272" i="60"/>
  <c r="B272" i="60"/>
  <c r="A272" i="60"/>
  <c r="C271" i="60"/>
  <c r="B271" i="60"/>
  <c r="A271" i="60"/>
  <c r="C270" i="60"/>
  <c r="B270" i="60"/>
  <c r="A270" i="60"/>
  <c r="C269" i="60"/>
  <c r="B269" i="60"/>
  <c r="A269" i="60"/>
  <c r="C268" i="60"/>
  <c r="B268" i="60"/>
  <c r="A268" i="60"/>
  <c r="C267" i="60"/>
  <c r="B267" i="60"/>
  <c r="A267" i="60"/>
  <c r="C266" i="60"/>
  <c r="B266" i="60"/>
  <c r="A266" i="60"/>
  <c r="C265" i="60"/>
  <c r="B265" i="60"/>
  <c r="A265" i="60"/>
  <c r="C264" i="60"/>
  <c r="B264" i="60"/>
  <c r="A264" i="60"/>
  <c r="C263" i="60"/>
  <c r="B263" i="60"/>
  <c r="A263" i="60"/>
  <c r="C262" i="60"/>
  <c r="B262" i="60"/>
  <c r="A262" i="60"/>
  <c r="C261" i="60"/>
  <c r="B261" i="60"/>
  <c r="A261" i="60"/>
  <c r="C260" i="60"/>
  <c r="B260" i="60"/>
  <c r="A260" i="60"/>
  <c r="C259" i="60"/>
  <c r="B259" i="60"/>
  <c r="A259" i="60"/>
  <c r="C258" i="60"/>
  <c r="B258" i="60"/>
  <c r="A258" i="60"/>
  <c r="C257" i="60"/>
  <c r="B257" i="60"/>
  <c r="A257" i="60"/>
  <c r="C256" i="60"/>
  <c r="B256" i="60"/>
  <c r="A256" i="60"/>
  <c r="C255" i="60"/>
  <c r="B255" i="60"/>
  <c r="A255" i="60"/>
  <c r="C254" i="60"/>
  <c r="B254" i="60"/>
  <c r="A254" i="60"/>
  <c r="C253" i="60"/>
  <c r="B253" i="60"/>
  <c r="A253" i="60"/>
  <c r="C252" i="60"/>
  <c r="B252" i="60"/>
  <c r="A252" i="60"/>
  <c r="C251" i="60"/>
  <c r="B251" i="60"/>
  <c r="A251" i="60"/>
  <c r="C250" i="60"/>
  <c r="B250" i="60"/>
  <c r="A250" i="60"/>
  <c r="C249" i="60"/>
  <c r="B249" i="60"/>
  <c r="A249" i="60"/>
  <c r="C248" i="60"/>
  <c r="B248" i="60"/>
  <c r="A248" i="60"/>
  <c r="C247" i="60"/>
  <c r="B247" i="60"/>
  <c r="A247" i="60"/>
  <c r="C246" i="60"/>
  <c r="B246" i="60"/>
  <c r="A246" i="60"/>
  <c r="C245" i="60"/>
  <c r="B245" i="60"/>
  <c r="A245" i="60"/>
  <c r="C244" i="60"/>
  <c r="B244" i="60"/>
  <c r="A244" i="60"/>
  <c r="C243" i="60"/>
  <c r="B243" i="60"/>
  <c r="A243" i="60"/>
  <c r="C242" i="60"/>
  <c r="B242" i="60"/>
  <c r="A242" i="60"/>
  <c r="C241" i="60"/>
  <c r="B241" i="60"/>
  <c r="A241" i="60"/>
  <c r="C240" i="60"/>
  <c r="B240" i="60"/>
  <c r="A240" i="60"/>
  <c r="C239" i="60"/>
  <c r="B239" i="60"/>
  <c r="A239" i="60"/>
  <c r="C238" i="60"/>
  <c r="B238" i="60"/>
  <c r="A238" i="60"/>
  <c r="C237" i="60"/>
  <c r="B237" i="60"/>
  <c r="A237" i="60"/>
  <c r="C236" i="60"/>
  <c r="B236" i="60"/>
  <c r="A236" i="60"/>
  <c r="C235" i="60"/>
  <c r="B235" i="60"/>
  <c r="A235" i="60"/>
  <c r="C234" i="60"/>
  <c r="B234" i="60"/>
  <c r="A234" i="60"/>
  <c r="C233" i="60"/>
  <c r="B233" i="60"/>
  <c r="A233" i="60"/>
  <c r="C232" i="60"/>
  <c r="B232" i="60"/>
  <c r="A232" i="60"/>
  <c r="C231" i="60"/>
  <c r="B231" i="60"/>
  <c r="A231" i="60"/>
  <c r="C230" i="60"/>
  <c r="B230" i="60"/>
  <c r="A230" i="60"/>
  <c r="C229" i="60"/>
  <c r="B229" i="60"/>
  <c r="A229" i="60"/>
  <c r="C228" i="60"/>
  <c r="B228" i="60"/>
  <c r="A228" i="60"/>
  <c r="C227" i="60"/>
  <c r="B227" i="60"/>
  <c r="A227" i="60"/>
  <c r="C226" i="60"/>
  <c r="B226" i="60"/>
  <c r="A226" i="60"/>
  <c r="C225" i="60"/>
  <c r="B225" i="60"/>
  <c r="A225" i="60"/>
  <c r="C224" i="60"/>
  <c r="B224" i="60"/>
  <c r="A224" i="60"/>
  <c r="C223" i="60"/>
  <c r="B223" i="60"/>
  <c r="A223" i="60"/>
  <c r="C222" i="60"/>
  <c r="B222" i="60"/>
  <c r="A222" i="60"/>
  <c r="C221" i="60"/>
  <c r="B221" i="60"/>
  <c r="A221" i="60"/>
  <c r="C220" i="60"/>
  <c r="B220" i="60"/>
  <c r="A220" i="60"/>
  <c r="C219" i="60"/>
  <c r="B219" i="60"/>
  <c r="A219" i="60"/>
  <c r="C218" i="60"/>
  <c r="B218" i="60"/>
  <c r="A218" i="60"/>
  <c r="C217" i="60"/>
  <c r="B217" i="60"/>
  <c r="A217" i="60"/>
  <c r="C216" i="60"/>
  <c r="B216" i="60"/>
  <c r="A216" i="60"/>
  <c r="C215" i="60"/>
  <c r="B215" i="60"/>
  <c r="A215" i="60"/>
  <c r="C214" i="60"/>
  <c r="B214" i="60"/>
  <c r="A214" i="60"/>
  <c r="C213" i="60"/>
  <c r="B213" i="60"/>
  <c r="A213" i="60"/>
  <c r="C212" i="60"/>
  <c r="B212" i="60"/>
  <c r="A212" i="60"/>
  <c r="C211" i="60"/>
  <c r="B211" i="60"/>
  <c r="A211" i="60"/>
  <c r="C210" i="60"/>
  <c r="B210" i="60"/>
  <c r="A210" i="60"/>
  <c r="C209" i="60"/>
  <c r="B209" i="60"/>
  <c r="A209" i="60"/>
  <c r="C208" i="60"/>
  <c r="B208" i="60"/>
  <c r="A208" i="60"/>
  <c r="C207" i="60"/>
  <c r="B207" i="60"/>
  <c r="A207" i="60"/>
  <c r="C206" i="60"/>
  <c r="B206" i="60"/>
  <c r="A206" i="60"/>
  <c r="C205" i="60"/>
  <c r="B205" i="60"/>
  <c r="A205" i="60"/>
  <c r="C204" i="60"/>
  <c r="B204" i="60"/>
  <c r="A204" i="60"/>
  <c r="C203" i="60"/>
  <c r="B203" i="60"/>
  <c r="A203" i="60"/>
  <c r="C202" i="60"/>
  <c r="B202" i="60"/>
  <c r="A202" i="60"/>
  <c r="C201" i="60"/>
  <c r="B201" i="60"/>
  <c r="A201" i="60"/>
  <c r="C200" i="60"/>
  <c r="B200" i="60"/>
  <c r="A200" i="60"/>
  <c r="C199" i="60"/>
  <c r="B199" i="60"/>
  <c r="A199" i="60"/>
  <c r="C198" i="60"/>
  <c r="B198" i="60"/>
  <c r="A198" i="60"/>
  <c r="C197" i="60"/>
  <c r="B197" i="60"/>
  <c r="A197" i="60"/>
  <c r="C196" i="60"/>
  <c r="B196" i="60"/>
  <c r="A196" i="60"/>
  <c r="C195" i="60"/>
  <c r="B195" i="60"/>
  <c r="A195" i="60"/>
  <c r="C194" i="60"/>
  <c r="B194" i="60"/>
  <c r="A194" i="60"/>
  <c r="C193" i="60"/>
  <c r="B193" i="60"/>
  <c r="A193" i="60"/>
  <c r="C192" i="60"/>
  <c r="B192" i="60"/>
  <c r="A192" i="60"/>
  <c r="C191" i="60"/>
  <c r="B191" i="60"/>
  <c r="A191" i="60"/>
  <c r="C190" i="60"/>
  <c r="B190" i="60"/>
  <c r="A190" i="60"/>
  <c r="C189" i="60"/>
  <c r="B189" i="60"/>
  <c r="A189" i="60"/>
  <c r="C188" i="60"/>
  <c r="B188" i="60"/>
  <c r="A188" i="60"/>
  <c r="C187" i="60"/>
  <c r="B187" i="60"/>
  <c r="A187" i="60"/>
  <c r="C186" i="60"/>
  <c r="B186" i="60"/>
  <c r="A186" i="60"/>
  <c r="C185" i="60"/>
  <c r="B185" i="60"/>
  <c r="A185" i="60"/>
  <c r="C184" i="60"/>
  <c r="B184" i="60"/>
  <c r="A184" i="60"/>
  <c r="C183" i="60"/>
  <c r="B183" i="60"/>
  <c r="A183" i="60"/>
  <c r="C182" i="60"/>
  <c r="B182" i="60"/>
  <c r="A182" i="60"/>
  <c r="C181" i="60"/>
  <c r="B181" i="60"/>
  <c r="A181" i="60"/>
  <c r="C180" i="60"/>
  <c r="B180" i="60"/>
  <c r="A180" i="60"/>
  <c r="C179" i="60"/>
  <c r="B179" i="60"/>
  <c r="A179" i="60"/>
  <c r="C178" i="60"/>
  <c r="B178" i="60"/>
  <c r="A178" i="60"/>
  <c r="C177" i="60"/>
  <c r="B177" i="60"/>
  <c r="A177" i="60"/>
  <c r="C176" i="60"/>
  <c r="B176" i="60"/>
  <c r="A176" i="60"/>
  <c r="C175" i="60"/>
  <c r="B175" i="60"/>
  <c r="A175" i="60"/>
  <c r="C174" i="60"/>
  <c r="B174" i="60"/>
  <c r="A174" i="60"/>
  <c r="C173" i="60"/>
  <c r="B173" i="60"/>
  <c r="A173" i="60"/>
  <c r="C172" i="60"/>
  <c r="B172" i="60"/>
  <c r="A172" i="60"/>
  <c r="C171" i="60"/>
  <c r="B171" i="60"/>
  <c r="A171" i="60"/>
  <c r="C170" i="60"/>
  <c r="B170" i="60"/>
  <c r="A170" i="60"/>
  <c r="C169" i="60"/>
  <c r="B169" i="60"/>
  <c r="A169" i="60"/>
  <c r="C168" i="60"/>
  <c r="B168" i="60"/>
  <c r="A168" i="60"/>
  <c r="C167" i="60"/>
  <c r="B167" i="60"/>
  <c r="A167" i="60"/>
  <c r="C166" i="60"/>
  <c r="B166" i="60"/>
  <c r="A166" i="60"/>
  <c r="C165" i="60"/>
  <c r="B165" i="60"/>
  <c r="A165" i="60"/>
  <c r="C164" i="60"/>
  <c r="B164" i="60"/>
  <c r="A164" i="60"/>
  <c r="C163" i="60"/>
  <c r="B163" i="60"/>
  <c r="A163" i="60"/>
  <c r="C162" i="60"/>
  <c r="B162" i="60"/>
  <c r="A162" i="60"/>
  <c r="C161" i="60"/>
  <c r="B161" i="60"/>
  <c r="A161" i="60"/>
  <c r="C160" i="60"/>
  <c r="B160" i="60"/>
  <c r="A160" i="60"/>
  <c r="C159" i="60"/>
  <c r="B159" i="60"/>
  <c r="A159" i="60"/>
  <c r="C158" i="60"/>
  <c r="B158" i="60"/>
  <c r="A158" i="60"/>
  <c r="C157" i="60"/>
  <c r="B157" i="60"/>
  <c r="A157" i="60"/>
  <c r="C156" i="60"/>
  <c r="B156" i="60"/>
  <c r="A156" i="60"/>
  <c r="C155" i="60"/>
  <c r="B155" i="60"/>
  <c r="A155" i="60"/>
  <c r="C154" i="60"/>
  <c r="B154" i="60"/>
  <c r="A154" i="60"/>
  <c r="C153" i="60"/>
  <c r="B153" i="60"/>
  <c r="A153" i="60"/>
  <c r="C152" i="60"/>
  <c r="B152" i="60"/>
  <c r="A152" i="60"/>
  <c r="C151" i="60"/>
  <c r="B151" i="60"/>
  <c r="A151" i="60"/>
  <c r="C150" i="60"/>
  <c r="B150" i="60"/>
  <c r="A150" i="60"/>
  <c r="C149" i="60"/>
  <c r="B149" i="60"/>
  <c r="A149" i="60"/>
  <c r="C148" i="60"/>
  <c r="B148" i="60"/>
  <c r="A148" i="60"/>
  <c r="C147" i="60"/>
  <c r="B147" i="60"/>
  <c r="A147" i="60"/>
  <c r="C146" i="60"/>
  <c r="B146" i="60"/>
  <c r="A146" i="60"/>
  <c r="C145" i="60"/>
  <c r="B145" i="60"/>
  <c r="A145" i="60"/>
  <c r="C144" i="60"/>
  <c r="B144" i="60"/>
  <c r="A144" i="60"/>
  <c r="C143" i="60"/>
  <c r="B143" i="60"/>
  <c r="A143" i="60"/>
  <c r="C142" i="60"/>
  <c r="B142" i="60"/>
  <c r="A142" i="60"/>
  <c r="C141" i="60"/>
  <c r="B141" i="60"/>
  <c r="A141" i="60"/>
  <c r="C140" i="60"/>
  <c r="B140" i="60"/>
  <c r="A140" i="60"/>
  <c r="C139" i="60"/>
  <c r="B139" i="60"/>
  <c r="A139" i="60"/>
  <c r="C138" i="60"/>
  <c r="B138" i="60"/>
  <c r="A138" i="60"/>
  <c r="C137" i="60"/>
  <c r="B137" i="60"/>
  <c r="A137" i="60"/>
  <c r="C136" i="60"/>
  <c r="B136" i="60"/>
  <c r="A136" i="60"/>
  <c r="C135" i="60"/>
  <c r="B135" i="60"/>
  <c r="A135" i="60"/>
  <c r="C134" i="60"/>
  <c r="B134" i="60"/>
  <c r="A134" i="60"/>
  <c r="C133" i="60"/>
  <c r="B133" i="60"/>
  <c r="A133" i="60"/>
  <c r="C132" i="60"/>
  <c r="B132" i="60"/>
  <c r="A132" i="60"/>
  <c r="C131" i="60"/>
  <c r="B131" i="60"/>
  <c r="A131" i="60"/>
  <c r="C130" i="60"/>
  <c r="B130" i="60"/>
  <c r="A130" i="60"/>
  <c r="C129" i="60"/>
  <c r="B129" i="60"/>
  <c r="A129" i="60"/>
  <c r="C128" i="60"/>
  <c r="B128" i="60"/>
  <c r="A128" i="60"/>
  <c r="C127" i="60"/>
  <c r="B127" i="60"/>
  <c r="A127" i="60"/>
  <c r="C126" i="60"/>
  <c r="B126" i="60"/>
  <c r="A126" i="60"/>
  <c r="C125" i="60"/>
  <c r="B125" i="60"/>
  <c r="A125" i="60"/>
  <c r="C124" i="60"/>
  <c r="B124" i="60"/>
  <c r="A124" i="60"/>
  <c r="C123" i="60"/>
  <c r="B123" i="60"/>
  <c r="A123" i="60"/>
  <c r="C122" i="60"/>
  <c r="B122" i="60"/>
  <c r="A122" i="60"/>
  <c r="C121" i="60"/>
  <c r="B121" i="60"/>
  <c r="A121" i="60"/>
  <c r="C120" i="60"/>
  <c r="B120" i="60"/>
  <c r="A120" i="60"/>
  <c r="C119" i="60"/>
  <c r="B119" i="60"/>
  <c r="A119" i="60"/>
  <c r="C118" i="60"/>
  <c r="B118" i="60"/>
  <c r="A118" i="60"/>
  <c r="C117" i="60"/>
  <c r="B117" i="60"/>
  <c r="A117" i="60"/>
  <c r="C116" i="60"/>
  <c r="B116" i="60"/>
  <c r="A116" i="60"/>
  <c r="C115" i="60"/>
  <c r="B115" i="60"/>
  <c r="A115" i="60"/>
  <c r="C114" i="60"/>
  <c r="B114" i="60"/>
  <c r="A114" i="60"/>
  <c r="C113" i="60"/>
  <c r="B113" i="60"/>
  <c r="A113" i="60"/>
  <c r="C112" i="60"/>
  <c r="B112" i="60"/>
  <c r="A112" i="60"/>
  <c r="C111" i="60"/>
  <c r="B111" i="60"/>
  <c r="A111" i="60"/>
  <c r="C110" i="60"/>
  <c r="B110" i="60"/>
  <c r="A110" i="60"/>
  <c r="C109" i="60"/>
  <c r="B109" i="60"/>
  <c r="A109" i="60"/>
  <c r="C108" i="60"/>
  <c r="B108" i="60"/>
  <c r="A108" i="60"/>
  <c r="C107" i="60"/>
  <c r="B107" i="60"/>
  <c r="A107" i="60"/>
  <c r="C106" i="60"/>
  <c r="B106" i="60"/>
  <c r="A106" i="60"/>
  <c r="C105" i="60"/>
  <c r="B105" i="60"/>
  <c r="A105" i="60"/>
  <c r="C104" i="60"/>
  <c r="B104" i="60"/>
  <c r="A104" i="60"/>
  <c r="C103" i="60"/>
  <c r="B103" i="60"/>
  <c r="A103" i="60"/>
  <c r="C102" i="60"/>
  <c r="B102" i="60"/>
  <c r="A102" i="60"/>
  <c r="C101" i="60"/>
  <c r="B101" i="60"/>
  <c r="A101" i="60"/>
  <c r="C100" i="60"/>
  <c r="B100" i="60"/>
  <c r="A100" i="60"/>
  <c r="C99" i="60"/>
  <c r="B99" i="60"/>
  <c r="A99" i="60"/>
  <c r="C98" i="60"/>
  <c r="B98" i="60"/>
  <c r="A98" i="60"/>
  <c r="C97" i="60"/>
  <c r="B97" i="60"/>
  <c r="A97" i="60"/>
  <c r="C96" i="60"/>
  <c r="B96" i="60"/>
  <c r="A96" i="60"/>
  <c r="C95" i="60"/>
  <c r="B95" i="60"/>
  <c r="A95" i="60"/>
  <c r="C94" i="60"/>
  <c r="B94" i="60"/>
  <c r="A94" i="60"/>
  <c r="C93" i="60"/>
  <c r="B93" i="60"/>
  <c r="A93" i="60"/>
  <c r="C92" i="60"/>
  <c r="B92" i="60"/>
  <c r="A92" i="60"/>
  <c r="C91" i="60"/>
  <c r="B91" i="60"/>
  <c r="A91" i="60"/>
  <c r="C90" i="60"/>
  <c r="B90" i="60"/>
  <c r="A90" i="60"/>
  <c r="C89" i="60"/>
  <c r="B89" i="60"/>
  <c r="A89" i="60"/>
  <c r="C88" i="60"/>
  <c r="B88" i="60"/>
  <c r="A88" i="60"/>
  <c r="C87" i="60"/>
  <c r="B87" i="60"/>
  <c r="A87" i="60"/>
  <c r="C86" i="60"/>
  <c r="B86" i="60"/>
  <c r="A86" i="60"/>
  <c r="C85" i="60"/>
  <c r="B85" i="60"/>
  <c r="A85" i="60"/>
  <c r="C84" i="60"/>
  <c r="B84" i="60"/>
  <c r="A84" i="60"/>
  <c r="C83" i="60"/>
  <c r="B83" i="60"/>
  <c r="A83" i="60"/>
  <c r="C82" i="60"/>
  <c r="B82" i="60"/>
  <c r="A82" i="60"/>
  <c r="C81" i="60"/>
  <c r="B81" i="60"/>
  <c r="A81" i="60"/>
  <c r="C80" i="60"/>
  <c r="B80" i="60"/>
  <c r="A80" i="60"/>
  <c r="C79" i="60"/>
  <c r="B79" i="60"/>
  <c r="A79" i="60"/>
  <c r="C78" i="60"/>
  <c r="B78" i="60"/>
  <c r="A78" i="60"/>
  <c r="C77" i="60"/>
  <c r="B77" i="60"/>
  <c r="A77" i="60"/>
  <c r="C76" i="60"/>
  <c r="B76" i="60"/>
  <c r="A76" i="60"/>
  <c r="C75" i="60"/>
  <c r="B75" i="60"/>
  <c r="A75" i="60"/>
  <c r="C74" i="60"/>
  <c r="B74" i="60"/>
  <c r="A74" i="60"/>
  <c r="C73" i="60"/>
  <c r="B73" i="60"/>
  <c r="A73" i="60"/>
  <c r="C72" i="60"/>
  <c r="B72" i="60"/>
  <c r="A72" i="60"/>
  <c r="C71" i="60"/>
  <c r="B71" i="60"/>
  <c r="A71" i="60"/>
  <c r="C70" i="60"/>
  <c r="B70" i="60"/>
  <c r="A70" i="60"/>
  <c r="C69" i="60"/>
  <c r="B69" i="60"/>
  <c r="A69" i="60"/>
  <c r="C68" i="60"/>
  <c r="B68" i="60"/>
  <c r="A68" i="60"/>
  <c r="C67" i="60"/>
  <c r="B67" i="60"/>
  <c r="A67" i="60"/>
  <c r="C66" i="60"/>
  <c r="B66" i="60"/>
  <c r="A66" i="60"/>
  <c r="C65" i="60"/>
  <c r="B65" i="60"/>
  <c r="A65" i="60"/>
  <c r="C64" i="60"/>
  <c r="B64" i="60"/>
  <c r="A64" i="60"/>
  <c r="C63" i="60"/>
  <c r="B63" i="60"/>
  <c r="A63" i="60"/>
  <c r="C62" i="60"/>
  <c r="B62" i="60"/>
  <c r="A62" i="60"/>
  <c r="C61" i="60"/>
  <c r="B61" i="60"/>
  <c r="A61" i="60"/>
  <c r="C60" i="60"/>
  <c r="B60" i="60"/>
  <c r="A60" i="60"/>
  <c r="C59" i="60"/>
  <c r="B59" i="60"/>
  <c r="A59" i="60"/>
  <c r="C58" i="60"/>
  <c r="B58" i="60"/>
  <c r="A58" i="60"/>
  <c r="C57" i="60"/>
  <c r="B57" i="60"/>
  <c r="A57" i="60"/>
  <c r="C56" i="60"/>
  <c r="B56" i="60"/>
  <c r="A56" i="60"/>
  <c r="C55" i="60"/>
  <c r="B55" i="60"/>
  <c r="A55" i="60"/>
  <c r="C54" i="60"/>
  <c r="B54" i="60"/>
  <c r="A54" i="60"/>
  <c r="C53" i="60"/>
  <c r="B53" i="60"/>
  <c r="A53" i="60"/>
  <c r="C52" i="60"/>
  <c r="B52" i="60"/>
  <c r="A52" i="60"/>
  <c r="C51" i="60"/>
  <c r="B51" i="60"/>
  <c r="A51" i="60"/>
  <c r="C50" i="60"/>
  <c r="B50" i="60"/>
  <c r="A50" i="60"/>
  <c r="C49" i="60"/>
  <c r="B49" i="60"/>
  <c r="A49" i="60"/>
  <c r="C48" i="60"/>
  <c r="B48" i="60"/>
  <c r="A48" i="60"/>
  <c r="C47" i="60"/>
  <c r="B47" i="60"/>
  <c r="A47" i="60"/>
  <c r="C46" i="60"/>
  <c r="B46" i="60"/>
  <c r="A46" i="60"/>
  <c r="C45" i="60"/>
  <c r="B45" i="60"/>
  <c r="A45" i="60"/>
  <c r="C44" i="60"/>
  <c r="B44" i="60"/>
  <c r="A44" i="60"/>
  <c r="C43" i="60"/>
  <c r="B43" i="60"/>
  <c r="A43" i="60"/>
  <c r="C42" i="60"/>
  <c r="B42" i="60"/>
  <c r="A42" i="60"/>
  <c r="C41" i="60"/>
  <c r="B41" i="60"/>
  <c r="A41" i="60"/>
  <c r="C40" i="60"/>
  <c r="B40" i="60"/>
  <c r="A40" i="60"/>
  <c r="C39" i="60"/>
  <c r="B39" i="60"/>
  <c r="A39" i="60"/>
  <c r="C38" i="60"/>
  <c r="B38" i="60"/>
  <c r="A38" i="60"/>
  <c r="C37" i="60"/>
  <c r="B37" i="60"/>
  <c r="A37" i="60"/>
  <c r="C36" i="60"/>
  <c r="B36" i="60"/>
  <c r="A36" i="60"/>
  <c r="C35" i="60"/>
  <c r="B35" i="60"/>
  <c r="A35" i="60"/>
  <c r="C34" i="60"/>
  <c r="B34" i="60"/>
  <c r="A34" i="60"/>
  <c r="C33" i="60"/>
  <c r="B33" i="60"/>
  <c r="A33" i="60"/>
  <c r="C32" i="60"/>
  <c r="B32" i="60"/>
  <c r="A32" i="60"/>
  <c r="C31" i="60"/>
  <c r="B31" i="60"/>
  <c r="A31" i="60"/>
  <c r="C30" i="60"/>
  <c r="B30" i="60"/>
  <c r="A30" i="60"/>
  <c r="C29" i="60"/>
  <c r="B29" i="60"/>
  <c r="A29" i="60"/>
  <c r="C28" i="60"/>
  <c r="B28" i="60"/>
  <c r="A28" i="60"/>
  <c r="C27" i="60"/>
  <c r="B27" i="60"/>
  <c r="A27" i="60"/>
  <c r="C26" i="60"/>
  <c r="B26" i="60"/>
  <c r="A26" i="60"/>
  <c r="C25" i="60"/>
  <c r="B25" i="60"/>
  <c r="A25" i="60"/>
  <c r="C24" i="60"/>
  <c r="B24" i="60"/>
  <c r="A24" i="60"/>
  <c r="C23" i="60"/>
  <c r="B23" i="60"/>
  <c r="A23" i="60"/>
  <c r="C22" i="60"/>
  <c r="B22" i="60"/>
  <c r="A22" i="60"/>
  <c r="C21" i="60"/>
  <c r="B21" i="60"/>
  <c r="A21" i="60"/>
  <c r="C20" i="60"/>
  <c r="B20" i="60"/>
  <c r="A20" i="60"/>
  <c r="C19" i="60"/>
  <c r="B19" i="60"/>
  <c r="A19" i="60"/>
  <c r="C18" i="60"/>
  <c r="B18" i="60"/>
  <c r="A18" i="60"/>
  <c r="C17" i="60"/>
  <c r="B17" i="60"/>
  <c r="A17" i="60"/>
  <c r="C16" i="60"/>
  <c r="B16" i="60"/>
  <c r="A16" i="60"/>
  <c r="C15" i="60"/>
  <c r="B15" i="60"/>
  <c r="A15" i="60"/>
  <c r="C14" i="60"/>
  <c r="B14" i="60"/>
  <c r="A14" i="60"/>
  <c r="C13" i="60"/>
  <c r="B13" i="60"/>
  <c r="A13" i="60"/>
  <c r="C12" i="60"/>
  <c r="B12" i="60"/>
  <c r="A12" i="60"/>
  <c r="C11" i="60"/>
  <c r="B11" i="60"/>
  <c r="A11" i="60"/>
  <c r="C10" i="60"/>
  <c r="B10" i="60"/>
  <c r="A10" i="60"/>
  <c r="C9" i="60"/>
  <c r="B9" i="60"/>
  <c r="A9" i="60"/>
  <c r="C8" i="60"/>
  <c r="B8" i="60"/>
  <c r="A8" i="60"/>
  <c r="C7" i="60"/>
  <c r="B7" i="60"/>
  <c r="A7" i="60"/>
  <c r="C6" i="60"/>
  <c r="B6" i="60"/>
  <c r="A6" i="60"/>
  <c r="C5" i="60"/>
  <c r="B5" i="60"/>
  <c r="A5" i="60"/>
  <c r="C4" i="60"/>
  <c r="B4" i="60"/>
  <c r="A4" i="60"/>
  <c r="J13" i="58"/>
  <c r="I13" i="58"/>
  <c r="J12" i="58"/>
  <c r="I12" i="58"/>
  <c r="J10" i="58"/>
  <c r="I10" i="58"/>
  <c r="J9" i="58"/>
  <c r="I9" i="58"/>
  <c r="J18" i="58"/>
  <c r="I18" i="58"/>
  <c r="J17" i="58"/>
  <c r="I17" i="58"/>
  <c r="J16" i="58"/>
  <c r="I16" i="58"/>
  <c r="J15" i="58"/>
  <c r="I15" i="58"/>
  <c r="J11" i="58"/>
  <c r="I11" i="58"/>
  <c r="J7" i="58"/>
  <c r="I7" i="58"/>
  <c r="E28" i="60"/>
  <c r="E3529" i="60"/>
  <c r="E3529" i="59"/>
  <c r="E1227" i="60"/>
  <c r="E1226" i="60"/>
  <c r="E1225" i="60"/>
  <c r="E1227" i="59"/>
  <c r="E1226" i="59"/>
  <c r="E1225" i="59"/>
  <c r="E1222" i="60"/>
  <c r="E1221" i="60"/>
  <c r="E1220" i="60"/>
  <c r="E1219" i="60"/>
  <c r="E1210" i="60"/>
  <c r="E1209" i="60"/>
  <c r="E1208" i="60"/>
  <c r="E1207" i="60"/>
  <c r="E1206" i="60"/>
  <c r="E1222" i="59"/>
  <c r="E1221" i="59"/>
  <c r="E1220" i="59"/>
  <c r="E1219" i="59"/>
  <c r="E1210" i="59"/>
  <c r="E1209" i="59"/>
  <c r="E1208" i="59"/>
  <c r="E1207" i="59"/>
  <c r="E1206" i="59"/>
  <c r="E1186" i="60"/>
  <c r="E1185" i="60"/>
  <c r="E1101" i="60"/>
  <c r="E1100" i="60"/>
  <c r="E1099" i="60"/>
  <c r="E1098" i="60"/>
  <c r="E1186" i="59"/>
  <c r="E1185" i="59"/>
  <c r="E1101" i="59"/>
  <c r="E1100" i="59"/>
  <c r="E1099" i="59"/>
  <c r="E1098" i="59"/>
  <c r="E781" i="60"/>
  <c r="E780" i="60"/>
  <c r="E781" i="59"/>
  <c r="E780" i="59"/>
  <c r="E572" i="60"/>
  <c r="E571" i="60"/>
  <c r="E570" i="60"/>
  <c r="E569" i="60"/>
  <c r="E572" i="59"/>
  <c r="E571" i="59"/>
  <c r="E570" i="59"/>
  <c r="E569" i="59"/>
  <c r="E425" i="60"/>
  <c r="E424" i="60"/>
  <c r="E423" i="60"/>
  <c r="E422" i="60"/>
  <c r="E425" i="59"/>
  <c r="E424" i="59"/>
  <c r="E423" i="59"/>
  <c r="E422" i="59"/>
  <c r="C3" i="60"/>
  <c r="E1257" i="60"/>
  <c r="E1040" i="60"/>
  <c r="E942" i="60"/>
  <c r="E912" i="60"/>
  <c r="E832" i="60"/>
  <c r="E770" i="60"/>
  <c r="E746" i="60"/>
  <c r="E701" i="60"/>
  <c r="E560" i="60"/>
  <c r="E514" i="60"/>
  <c r="E411" i="60"/>
  <c r="E381" i="60"/>
  <c r="E265" i="60"/>
  <c r="E1257" i="59"/>
  <c r="E1040" i="59"/>
  <c r="E942" i="59"/>
  <c r="E912" i="59"/>
  <c r="E832" i="59"/>
  <c r="E770" i="59"/>
  <c r="E746" i="59"/>
  <c r="E701" i="59"/>
  <c r="E560" i="59"/>
  <c r="E514" i="59"/>
  <c r="E411" i="59"/>
  <c r="E381" i="59"/>
  <c r="E265" i="59"/>
  <c r="C36" i="3"/>
  <c r="C35" i="3"/>
  <c r="AR566" i="13"/>
  <c r="O34" i="3" s="1"/>
  <c r="O35" i="3"/>
  <c r="D35" i="3"/>
  <c r="L35" i="3" s="1"/>
  <c r="J35" i="3"/>
  <c r="E35" i="3"/>
  <c r="C34" i="3"/>
  <c r="A425" i="13"/>
  <c r="D34" i="3"/>
  <c r="K34" i="3" s="1"/>
  <c r="J34" i="3"/>
  <c r="E34" i="3"/>
  <c r="AT2" i="13"/>
  <c r="AT3" i="13"/>
  <c r="AT4" i="13"/>
  <c r="AT5" i="13"/>
  <c r="AT6" i="13"/>
  <c r="AT7" i="13"/>
  <c r="AT8" i="13"/>
  <c r="AT9" i="13"/>
  <c r="AT10" i="13"/>
  <c r="AT11" i="13"/>
  <c r="AT12" i="13"/>
  <c r="AT13" i="13"/>
  <c r="B5" i="66" s="1" a="1"/>
  <c r="B5" i="66" s="1"/>
  <c r="AT14" i="13"/>
  <c r="AT15" i="13"/>
  <c r="AT16" i="13"/>
  <c r="AT17" i="13"/>
  <c r="AT18" i="13"/>
  <c r="AT19" i="13"/>
  <c r="AT20" i="13"/>
  <c r="AT21" i="13"/>
  <c r="AT22" i="13"/>
  <c r="AT23" i="13"/>
  <c r="AT24" i="13"/>
  <c r="AT25" i="13"/>
  <c r="AT26" i="13"/>
  <c r="AT27" i="13"/>
  <c r="AT28" i="13"/>
  <c r="AT29" i="13"/>
  <c r="AT30" i="13"/>
  <c r="AT31" i="13"/>
  <c r="AT32" i="13"/>
  <c r="AT33" i="13"/>
  <c r="AT34" i="13"/>
  <c r="AT35" i="13"/>
  <c r="AT36" i="13"/>
  <c r="AT37" i="13"/>
  <c r="AT38" i="13"/>
  <c r="AT39" i="13"/>
  <c r="AT40" i="13"/>
  <c r="AT41" i="13"/>
  <c r="AT42" i="13"/>
  <c r="AT43" i="13"/>
  <c r="AT44" i="13"/>
  <c r="AT45" i="13"/>
  <c r="AT46" i="13"/>
  <c r="AT47" i="13"/>
  <c r="AT48" i="13"/>
  <c r="AT49" i="13"/>
  <c r="AT50" i="13"/>
  <c r="AT51" i="13"/>
  <c r="AT52" i="13"/>
  <c r="AT53" i="13"/>
  <c r="AT54" i="13"/>
  <c r="AT55" i="13"/>
  <c r="AT56" i="13"/>
  <c r="AT57" i="13"/>
  <c r="AT58" i="13"/>
  <c r="AT59" i="13"/>
  <c r="AT60" i="13"/>
  <c r="AT61" i="13"/>
  <c r="AT62" i="13"/>
  <c r="AT63" i="13"/>
  <c r="AT64" i="13"/>
  <c r="AT65" i="13"/>
  <c r="AT66" i="13"/>
  <c r="AT67" i="13"/>
  <c r="AT68" i="13"/>
  <c r="AT69" i="13"/>
  <c r="AT70" i="13"/>
  <c r="AT71" i="13"/>
  <c r="AT72" i="13"/>
  <c r="AT73" i="13"/>
  <c r="AT74" i="13"/>
  <c r="AT75" i="13"/>
  <c r="AT76" i="13"/>
  <c r="AT77" i="13"/>
  <c r="AT78" i="13"/>
  <c r="AT79" i="13"/>
  <c r="AT80" i="13"/>
  <c r="AT81" i="13"/>
  <c r="AT82" i="13"/>
  <c r="AT83" i="13"/>
  <c r="AT84" i="13"/>
  <c r="AT85" i="13"/>
  <c r="AT86" i="13"/>
  <c r="AT87" i="13"/>
  <c r="AT88" i="13"/>
  <c r="AT89" i="13"/>
  <c r="AT90" i="13"/>
  <c r="AT91" i="13"/>
  <c r="AT92" i="13"/>
  <c r="AT93" i="13"/>
  <c r="AT94" i="13"/>
  <c r="AT95" i="13"/>
  <c r="AT96" i="13"/>
  <c r="AT97" i="13"/>
  <c r="AT98" i="13"/>
  <c r="AT99" i="13"/>
  <c r="AT100" i="13"/>
  <c r="AT101" i="13"/>
  <c r="AT102" i="13"/>
  <c r="AT103" i="13"/>
  <c r="AT104" i="13"/>
  <c r="AT105" i="13"/>
  <c r="AT106" i="13"/>
  <c r="AT107" i="13"/>
  <c r="AT108" i="13"/>
  <c r="AT109" i="13"/>
  <c r="AT110" i="13"/>
  <c r="AT111" i="13"/>
  <c r="AT112" i="13"/>
  <c r="AT113" i="13"/>
  <c r="AT114" i="13"/>
  <c r="AT115" i="13"/>
  <c r="AT116" i="13"/>
  <c r="AT117" i="13"/>
  <c r="AT118" i="13"/>
  <c r="AT119" i="13"/>
  <c r="AT120" i="13"/>
  <c r="AT121" i="13"/>
  <c r="C26" i="3" s="1" a="1"/>
  <c r="C26" i="3" s="1"/>
  <c r="AT122" i="13"/>
  <c r="AT123" i="13"/>
  <c r="AT124" i="13"/>
  <c r="AT125" i="13"/>
  <c r="AT126" i="13"/>
  <c r="AT127" i="13"/>
  <c r="AT128" i="13"/>
  <c r="AT129" i="13"/>
  <c r="AT130" i="13"/>
  <c r="AT131" i="13"/>
  <c r="AT132" i="13"/>
  <c r="AT133" i="13"/>
  <c r="AT134" i="13"/>
  <c r="AT135" i="13"/>
  <c r="AT136" i="13"/>
  <c r="AT137" i="13"/>
  <c r="AT138" i="13"/>
  <c r="AT139" i="13"/>
  <c r="AT140" i="13"/>
  <c r="AT141" i="13"/>
  <c r="AT142" i="13"/>
  <c r="AT143" i="13"/>
  <c r="AT144" i="13"/>
  <c r="AT145" i="13"/>
  <c r="AT146" i="13"/>
  <c r="AT147" i="13"/>
  <c r="AT148" i="13"/>
  <c r="AT149" i="13"/>
  <c r="AT150" i="13"/>
  <c r="AT151" i="13"/>
  <c r="AT152" i="13"/>
  <c r="AT153" i="13"/>
  <c r="AT154" i="13"/>
  <c r="AT155" i="13"/>
  <c r="AT156" i="13"/>
  <c r="AT157" i="13"/>
  <c r="AT158" i="13"/>
  <c r="AT159" i="13"/>
  <c r="AT160" i="13"/>
  <c r="AT161" i="13"/>
  <c r="AT162" i="13"/>
  <c r="AT163" i="13"/>
  <c r="AT164" i="13"/>
  <c r="AT165" i="13"/>
  <c r="AT166" i="13"/>
  <c r="AT167" i="13"/>
  <c r="AT168" i="13"/>
  <c r="AT169" i="13"/>
  <c r="AT170" i="13"/>
  <c r="AT171" i="13"/>
  <c r="AT172" i="13"/>
  <c r="AT173" i="13"/>
  <c r="AT174" i="13"/>
  <c r="AT175" i="13"/>
  <c r="AT176" i="13"/>
  <c r="AT177" i="13"/>
  <c r="AT178" i="13"/>
  <c r="AT179" i="13"/>
  <c r="AT180" i="13"/>
  <c r="AT181" i="13"/>
  <c r="AT182" i="13"/>
  <c r="AT183" i="13"/>
  <c r="AT184" i="13"/>
  <c r="AT185" i="13"/>
  <c r="AT186" i="13"/>
  <c r="AT187" i="13"/>
  <c r="AT188" i="13"/>
  <c r="AT189" i="13"/>
  <c r="AT190" i="13"/>
  <c r="AT191" i="13"/>
  <c r="AT192" i="13"/>
  <c r="AT193" i="13"/>
  <c r="AT194" i="13"/>
  <c r="AT195" i="13"/>
  <c r="AT196" i="13"/>
  <c r="AT197" i="13"/>
  <c r="AT198" i="13"/>
  <c r="AT199" i="13"/>
  <c r="AT200" i="13"/>
  <c r="AT201" i="13"/>
  <c r="AT202" i="13"/>
  <c r="AT203" i="13"/>
  <c r="AT204" i="13"/>
  <c r="AT205" i="13"/>
  <c r="AT206" i="13"/>
  <c r="AT207" i="13"/>
  <c r="AT208" i="13"/>
  <c r="AT209" i="13"/>
  <c r="AT210" i="13"/>
  <c r="AT211" i="13"/>
  <c r="AT212" i="13"/>
  <c r="AT213" i="13"/>
  <c r="AT214" i="13"/>
  <c r="AT215" i="13"/>
  <c r="AT216" i="13"/>
  <c r="AT217" i="13"/>
  <c r="AT218" i="13"/>
  <c r="AT219" i="13"/>
  <c r="AT220" i="13"/>
  <c r="AT221" i="13"/>
  <c r="AT222" i="13"/>
  <c r="AT223" i="13"/>
  <c r="AT224" i="13"/>
  <c r="AT225" i="13"/>
  <c r="AT226" i="13"/>
  <c r="AT227" i="13"/>
  <c r="AT228" i="13"/>
  <c r="AT229" i="13"/>
  <c r="AT230" i="13"/>
  <c r="AT231" i="13"/>
  <c r="AT232" i="13"/>
  <c r="AT233" i="13"/>
  <c r="AT234" i="13"/>
  <c r="AT235" i="13"/>
  <c r="AT236" i="13"/>
  <c r="AT237" i="13"/>
  <c r="AT238" i="13"/>
  <c r="AT239" i="13"/>
  <c r="AT240" i="13"/>
  <c r="AT241" i="13"/>
  <c r="AT242" i="13"/>
  <c r="AT243" i="13"/>
  <c r="AT244" i="13"/>
  <c r="AT245" i="13"/>
  <c r="AT246" i="13"/>
  <c r="AT247" i="13"/>
  <c r="AT248" i="13"/>
  <c r="AT249" i="13"/>
  <c r="AT250" i="13"/>
  <c r="AT251" i="13"/>
  <c r="AT252" i="13"/>
  <c r="AT253" i="13"/>
  <c r="AT254" i="13"/>
  <c r="AT255" i="13"/>
  <c r="AT256" i="13"/>
  <c r="AT257" i="13"/>
  <c r="AT258" i="13"/>
  <c r="AT259" i="13"/>
  <c r="AT260" i="13"/>
  <c r="AT261" i="13"/>
  <c r="AT262" i="13"/>
  <c r="AT263" i="13"/>
  <c r="AT264" i="13"/>
  <c r="AT265" i="13"/>
  <c r="AT266" i="13"/>
  <c r="AT267" i="13"/>
  <c r="AT268" i="13"/>
  <c r="AT269" i="13"/>
  <c r="AT270" i="13"/>
  <c r="AT271" i="13"/>
  <c r="AT272" i="13"/>
  <c r="AT273" i="13"/>
  <c r="AT274" i="13"/>
  <c r="AT275" i="13"/>
  <c r="AT276" i="13"/>
  <c r="AT277" i="13"/>
  <c r="AT278" i="13"/>
  <c r="AT279" i="13"/>
  <c r="AT280" i="13"/>
  <c r="AT281" i="13"/>
  <c r="AT282" i="13"/>
  <c r="AT283" i="13"/>
  <c r="AT284" i="13"/>
  <c r="AT285" i="13"/>
  <c r="AT286" i="13"/>
  <c r="AT287" i="13"/>
  <c r="AT288" i="13"/>
  <c r="AT289" i="13"/>
  <c r="AT290" i="13"/>
  <c r="AT291" i="13"/>
  <c r="AT292" i="13"/>
  <c r="AT293" i="13"/>
  <c r="AT294" i="13"/>
  <c r="AT295" i="13"/>
  <c r="AT296" i="13"/>
  <c r="AT297" i="13"/>
  <c r="AT298" i="13"/>
  <c r="AT299" i="13"/>
  <c r="AT300" i="13"/>
  <c r="AT301" i="13"/>
  <c r="AT302" i="13"/>
  <c r="AT303" i="13"/>
  <c r="AT304" i="13"/>
  <c r="AT305" i="13"/>
  <c r="AT306" i="13"/>
  <c r="AT307" i="13"/>
  <c r="AT308" i="13"/>
  <c r="AT309" i="13"/>
  <c r="AT310" i="13"/>
  <c r="AT311" i="13"/>
  <c r="AT312" i="13"/>
  <c r="AT313" i="13"/>
  <c r="AT314" i="13"/>
  <c r="AT315" i="13"/>
  <c r="AT316" i="13"/>
  <c r="AT317" i="13"/>
  <c r="AT318" i="13"/>
  <c r="AT319" i="13"/>
  <c r="AT320" i="13"/>
  <c r="AT321" i="13"/>
  <c r="AT322" i="13"/>
  <c r="AT323" i="13"/>
  <c r="AT324" i="13"/>
  <c r="AT325" i="13"/>
  <c r="AT326" i="13"/>
  <c r="AT327" i="13"/>
  <c r="AT328" i="13"/>
  <c r="AT329" i="13"/>
  <c r="AT330" i="13"/>
  <c r="AT331" i="13"/>
  <c r="AT332" i="13"/>
  <c r="AT333" i="13"/>
  <c r="AT334" i="13"/>
  <c r="AT335" i="13"/>
  <c r="AT336" i="13"/>
  <c r="AT337" i="13"/>
  <c r="AT338" i="13"/>
  <c r="AT339" i="13"/>
  <c r="AT340" i="13"/>
  <c r="AT341" i="13"/>
  <c r="AT342" i="13"/>
  <c r="AT343" i="13"/>
  <c r="AT344" i="13"/>
  <c r="AT345" i="13"/>
  <c r="AT346" i="13"/>
  <c r="AT347" i="13"/>
  <c r="AT348" i="13"/>
  <c r="AT349" i="13"/>
  <c r="AT350" i="13"/>
  <c r="AT351" i="13"/>
  <c r="AT352" i="13"/>
  <c r="AT353" i="13"/>
  <c r="AT354" i="13"/>
  <c r="AT355" i="13"/>
  <c r="AT356" i="13"/>
  <c r="AT357" i="13"/>
  <c r="AT358" i="13"/>
  <c r="AT359" i="13"/>
  <c r="AT360" i="13"/>
  <c r="AT361" i="13"/>
  <c r="AT362" i="13"/>
  <c r="AT363" i="13"/>
  <c r="AT364" i="13"/>
  <c r="AT365" i="13"/>
  <c r="AT366" i="13"/>
  <c r="AT367" i="13"/>
  <c r="AT368" i="13"/>
  <c r="AT369" i="13"/>
  <c r="AT370" i="13"/>
  <c r="AT371" i="13"/>
  <c r="AT372" i="13"/>
  <c r="AT373" i="13"/>
  <c r="AT374" i="13"/>
  <c r="AT375" i="13"/>
  <c r="AT376" i="13"/>
  <c r="AT377" i="13"/>
  <c r="AT378" i="13"/>
  <c r="AT379" i="13"/>
  <c r="AT380" i="13"/>
  <c r="AT381" i="13"/>
  <c r="AT382" i="13"/>
  <c r="AT383" i="13"/>
  <c r="AT384" i="13"/>
  <c r="AT385" i="13"/>
  <c r="AT386" i="13"/>
  <c r="AT387" i="13"/>
  <c r="AT388" i="13"/>
  <c r="AT389" i="13"/>
  <c r="AT390" i="13"/>
  <c r="AT391" i="13"/>
  <c r="AT392" i="13"/>
  <c r="AT393" i="13"/>
  <c r="AT394" i="13"/>
  <c r="AT395" i="13"/>
  <c r="AT396" i="13"/>
  <c r="AT397" i="13"/>
  <c r="AT398" i="13"/>
  <c r="AT399" i="13"/>
  <c r="AT400" i="13"/>
  <c r="AT401" i="13"/>
  <c r="AT402" i="13"/>
  <c r="AT403" i="13"/>
  <c r="AT404" i="13"/>
  <c r="AT405" i="13"/>
  <c r="AT406" i="13"/>
  <c r="AT407" i="13"/>
  <c r="AT408" i="13"/>
  <c r="AT409" i="13"/>
  <c r="AT410" i="13"/>
  <c r="AT411" i="13"/>
  <c r="AT412" i="13"/>
  <c r="AT413" i="13"/>
  <c r="AT414" i="13"/>
  <c r="AT415" i="13"/>
  <c r="AT416" i="13"/>
  <c r="AT417" i="13"/>
  <c r="AT418" i="13"/>
  <c r="AT419" i="13"/>
  <c r="AT420" i="13"/>
  <c r="AT421" i="13"/>
  <c r="AT422" i="13"/>
  <c r="AT423" i="13"/>
  <c r="AT424" i="13"/>
  <c r="AT425" i="13"/>
  <c r="AT426" i="13"/>
  <c r="AT427" i="13"/>
  <c r="AT428" i="13"/>
  <c r="AT429" i="13"/>
  <c r="AT430" i="13"/>
  <c r="AT431" i="13"/>
  <c r="AT432" i="13"/>
  <c r="AT433" i="13"/>
  <c r="AT434" i="13"/>
  <c r="AT435" i="13"/>
  <c r="AT436" i="13"/>
  <c r="AT437" i="13"/>
  <c r="AT438" i="13"/>
  <c r="AT439" i="13"/>
  <c r="AT440" i="13"/>
  <c r="AT441" i="13"/>
  <c r="AT442" i="13"/>
  <c r="AT443" i="13"/>
  <c r="AT444" i="13"/>
  <c r="AT445" i="13"/>
  <c r="AT446" i="13"/>
  <c r="AT447" i="13"/>
  <c r="AT448" i="13"/>
  <c r="AT449" i="13"/>
  <c r="AT450" i="13"/>
  <c r="AT451" i="13"/>
  <c r="AT452" i="13"/>
  <c r="AT453" i="13"/>
  <c r="AT454" i="13"/>
  <c r="AT455" i="13"/>
  <c r="AT456" i="13"/>
  <c r="AT457" i="13"/>
  <c r="AT458" i="13"/>
  <c r="AT459" i="13"/>
  <c r="AT460" i="13"/>
  <c r="AT461" i="13"/>
  <c r="AT462" i="13"/>
  <c r="AT463" i="13"/>
  <c r="AT464" i="13"/>
  <c r="AT465" i="13"/>
  <c r="AT466" i="13"/>
  <c r="AT467" i="13"/>
  <c r="AT468" i="13"/>
  <c r="AT469" i="13"/>
  <c r="AT470" i="13"/>
  <c r="AT471" i="13"/>
  <c r="AT472" i="13"/>
  <c r="AT473" i="13"/>
  <c r="AT474" i="13"/>
  <c r="AT475" i="13"/>
  <c r="AT476" i="13"/>
  <c r="AT477" i="13"/>
  <c r="AT478" i="13"/>
  <c r="AT479" i="13"/>
  <c r="AT480" i="13"/>
  <c r="AT481" i="13"/>
  <c r="AT482" i="13"/>
  <c r="AT483" i="13"/>
  <c r="AT484" i="13"/>
  <c r="AT485" i="13"/>
  <c r="AT486" i="13"/>
  <c r="AT487" i="13"/>
  <c r="AT488" i="13"/>
  <c r="AT489" i="13"/>
  <c r="AT490" i="13"/>
  <c r="AT491" i="13"/>
  <c r="AT492" i="13"/>
  <c r="AT493" i="13"/>
  <c r="AT494" i="13"/>
  <c r="AT495" i="13"/>
  <c r="AT496" i="13"/>
  <c r="AT497" i="13"/>
  <c r="AT498" i="13"/>
  <c r="AT499" i="13"/>
  <c r="AT500" i="13"/>
  <c r="AT501" i="13"/>
  <c r="AT502" i="13"/>
  <c r="AT503" i="13"/>
  <c r="AT504" i="13"/>
  <c r="AT505" i="13"/>
  <c r="AT506" i="13"/>
  <c r="AT507" i="13"/>
  <c r="AT508" i="13"/>
  <c r="AT509" i="13"/>
  <c r="AT510" i="13"/>
  <c r="AT511" i="13"/>
  <c r="AT512" i="13"/>
  <c r="AT513" i="13"/>
  <c r="AT514" i="13"/>
  <c r="AT515" i="13"/>
  <c r="AT516" i="13"/>
  <c r="AT517" i="13"/>
  <c r="AT518" i="13"/>
  <c r="AT519" i="13"/>
  <c r="AT520" i="13"/>
  <c r="AT521" i="13"/>
  <c r="AT522" i="13"/>
  <c r="AT523" i="13"/>
  <c r="AT524" i="13"/>
  <c r="AT525" i="13"/>
  <c r="AT526" i="13"/>
  <c r="AT527" i="13"/>
  <c r="AT528" i="13"/>
  <c r="AT529" i="13"/>
  <c r="AT530" i="13"/>
  <c r="AT531" i="13"/>
  <c r="AT532" i="13"/>
  <c r="AT533" i="13"/>
  <c r="AT534" i="13"/>
  <c r="AT535" i="13"/>
  <c r="AT536" i="13"/>
  <c r="AT537" i="13"/>
  <c r="AT538" i="13"/>
  <c r="AT539" i="13"/>
  <c r="AT540" i="13"/>
  <c r="AT541" i="13"/>
  <c r="AT542" i="13"/>
  <c r="AT543" i="13"/>
  <c r="AT544" i="13"/>
  <c r="AT545" i="13"/>
  <c r="AT546" i="13"/>
  <c r="AT547" i="13"/>
  <c r="AT548" i="13"/>
  <c r="AT549" i="13"/>
  <c r="AT550" i="13"/>
  <c r="AT551" i="13"/>
  <c r="AT552" i="13"/>
  <c r="AT553" i="13"/>
  <c r="AT554" i="13"/>
  <c r="AT555" i="13"/>
  <c r="AT556" i="13"/>
  <c r="AT557" i="13"/>
  <c r="AT558" i="13"/>
  <c r="AT559" i="13"/>
  <c r="AT560" i="13"/>
  <c r="AT561" i="13"/>
  <c r="AT562" i="13"/>
  <c r="AT563" i="13"/>
  <c r="AT564" i="13"/>
  <c r="AT565" i="13"/>
  <c r="AT566" i="13"/>
  <c r="AT567" i="13"/>
  <c r="AT568" i="13"/>
  <c r="AT569" i="13"/>
  <c r="AT570" i="13"/>
  <c r="AT571" i="13"/>
  <c r="AT572" i="13"/>
  <c r="AT573" i="13"/>
  <c r="AT574" i="13"/>
  <c r="AT575" i="13"/>
  <c r="AT576" i="13"/>
  <c r="AT577" i="13"/>
  <c r="AT578" i="13"/>
  <c r="AT579" i="13"/>
  <c r="AT580" i="13"/>
  <c r="C70" i="4" s="1" a="1"/>
  <c r="C70" i="4" s="1"/>
  <c r="AT581" i="13"/>
  <c r="AT582" i="13"/>
  <c r="AT583" i="13"/>
  <c r="AT584" i="13"/>
  <c r="AT585" i="13"/>
  <c r="AT586" i="13"/>
  <c r="AT587" i="13"/>
  <c r="AT588" i="13"/>
  <c r="AT589" i="13"/>
  <c r="AT590" i="13"/>
  <c r="AT591" i="13"/>
  <c r="AT592" i="13"/>
  <c r="AT593" i="13"/>
  <c r="AT594" i="13"/>
  <c r="AT595" i="13"/>
  <c r="AT596" i="13"/>
  <c r="AT597" i="13"/>
  <c r="AT598" i="13"/>
  <c r="AT599" i="13"/>
  <c r="AT600" i="13"/>
  <c r="AT601" i="13"/>
  <c r="AT602" i="13"/>
  <c r="AT603" i="13"/>
  <c r="AT604" i="13"/>
  <c r="AT605" i="13"/>
  <c r="AT606" i="13"/>
  <c r="AT607" i="13"/>
  <c r="AT608" i="13"/>
  <c r="AT609" i="13"/>
  <c r="AT610" i="13"/>
  <c r="AT611" i="13"/>
  <c r="AT612" i="13"/>
  <c r="AT613" i="13"/>
  <c r="AT614" i="13"/>
  <c r="AT615" i="13"/>
  <c r="AT616" i="13"/>
  <c r="AT617" i="13"/>
  <c r="AT618" i="13"/>
  <c r="AT619" i="13"/>
  <c r="AT620" i="13"/>
  <c r="AT621" i="13"/>
  <c r="AT622" i="13"/>
  <c r="AT623" i="13"/>
  <c r="AT624" i="13"/>
  <c r="AT625" i="13"/>
  <c r="AT626" i="13"/>
  <c r="AT627" i="13"/>
  <c r="AT628" i="13"/>
  <c r="AT629" i="13"/>
  <c r="AT630" i="13"/>
  <c r="AT631" i="13"/>
  <c r="AT632" i="13"/>
  <c r="AT633" i="13"/>
  <c r="AT634" i="13"/>
  <c r="AT635" i="13"/>
  <c r="AT636" i="13"/>
  <c r="AT637" i="13"/>
  <c r="AT638" i="13"/>
  <c r="AT639" i="13"/>
  <c r="AT640" i="13"/>
  <c r="AT641" i="13"/>
  <c r="AT642" i="13"/>
  <c r="AT643" i="13"/>
  <c r="AT644" i="13"/>
  <c r="AT645" i="13"/>
  <c r="AT646" i="13"/>
  <c r="AT647" i="13"/>
  <c r="AT648" i="13"/>
  <c r="AT649" i="13"/>
  <c r="AT650" i="13"/>
  <c r="AT651" i="13"/>
  <c r="AT652" i="13"/>
  <c r="AT653" i="13"/>
  <c r="AT654" i="13"/>
  <c r="AT655" i="13"/>
  <c r="AT656" i="13"/>
  <c r="AT657" i="13"/>
  <c r="AT658" i="13"/>
  <c r="AT659" i="13"/>
  <c r="AT660" i="13"/>
  <c r="AT661" i="13"/>
  <c r="AT662" i="13"/>
  <c r="AT663" i="13"/>
  <c r="AT664" i="13"/>
  <c r="AT665" i="13"/>
  <c r="AT666" i="13"/>
  <c r="AT667" i="13"/>
  <c r="AT668" i="13"/>
  <c r="C55" i="9"/>
  <c r="D55" i="9"/>
  <c r="K55" i="9" s="1"/>
  <c r="C507" i="29"/>
  <c r="D507" i="29"/>
  <c r="K507" i="29"/>
  <c r="C506" i="29"/>
  <c r="D506" i="29"/>
  <c r="K506" i="29"/>
  <c r="C505" i="29"/>
  <c r="D505" i="29"/>
  <c r="K505" i="29" s="1"/>
  <c r="C504" i="29"/>
  <c r="D504" i="29"/>
  <c r="K504" i="29" s="1"/>
  <c r="C503" i="29"/>
  <c r="D503" i="29"/>
  <c r="K503" i="29"/>
  <c r="C502" i="29"/>
  <c r="D502" i="29"/>
  <c r="K502" i="29"/>
  <c r="C246" i="11"/>
  <c r="AG668" i="13"/>
  <c r="AA668" i="13"/>
  <c r="D246" i="11"/>
  <c r="K246" i="11" s="1"/>
  <c r="C245" i="11"/>
  <c r="AG667" i="13"/>
  <c r="AA667" i="13"/>
  <c r="D245" i="11"/>
  <c r="K245" i="11" s="1"/>
  <c r="C244" i="11"/>
  <c r="AG666" i="13"/>
  <c r="AA666" i="13"/>
  <c r="D244" i="11"/>
  <c r="L244" i="11" s="1"/>
  <c r="C243" i="11"/>
  <c r="AG665" i="13"/>
  <c r="AA665" i="13"/>
  <c r="D243" i="11"/>
  <c r="C242" i="11"/>
  <c r="AG664" i="13"/>
  <c r="AA664" i="13"/>
  <c r="D242" i="11"/>
  <c r="L242" i="11" s="1"/>
  <c r="C53" i="11"/>
  <c r="D53" i="11"/>
  <c r="K53" i="11" s="1"/>
  <c r="C52" i="11"/>
  <c r="D52" i="11"/>
  <c r="K52" i="11" s="1"/>
  <c r="C51" i="11"/>
  <c r="D51" i="11"/>
  <c r="K51" i="11" s="1"/>
  <c r="C50" i="11"/>
  <c r="D50" i="11"/>
  <c r="K50" i="11" s="1"/>
  <c r="C49" i="11"/>
  <c r="D49" i="11"/>
  <c r="K49" i="11" s="1"/>
  <c r="C48" i="11"/>
  <c r="D48" i="11"/>
  <c r="K48" i="11" s="1"/>
  <c r="C61" i="9"/>
  <c r="D61" i="9"/>
  <c r="K61" i="9" s="1"/>
  <c r="C60" i="9"/>
  <c r="D60" i="9"/>
  <c r="K60" i="9" s="1"/>
  <c r="C59" i="9"/>
  <c r="D59" i="9"/>
  <c r="L59" i="9" s="1"/>
  <c r="C58" i="9"/>
  <c r="D58" i="9"/>
  <c r="K58" i="9" s="1"/>
  <c r="C57" i="9"/>
  <c r="D57" i="9"/>
  <c r="K57" i="9" s="1"/>
  <c r="C56" i="9"/>
  <c r="D56" i="9"/>
  <c r="K56" i="9" s="1"/>
  <c r="C36" i="9"/>
  <c r="D36" i="9"/>
  <c r="K36" i="9" s="1"/>
  <c r="C35" i="9"/>
  <c r="D35" i="9"/>
  <c r="K35" i="9" s="1"/>
  <c r="C34" i="9"/>
  <c r="D34" i="9"/>
  <c r="K34" i="9" s="1"/>
  <c r="C33" i="9"/>
  <c r="D33" i="9"/>
  <c r="K33" i="9" s="1"/>
  <c r="C32" i="9"/>
  <c r="D32" i="9"/>
  <c r="K32" i="9" s="1"/>
  <c r="C31" i="9"/>
  <c r="D31" i="9"/>
  <c r="K31" i="9" s="1"/>
  <c r="K17" i="63"/>
  <c r="J81" i="20"/>
  <c r="I81" i="20" s="1" a="1"/>
  <c r="I81" i="20" s="1"/>
  <c r="J217" i="20"/>
  <c r="F217" i="20" s="1" a="1"/>
  <c r="F217" i="20" s="1"/>
  <c r="J177" i="20"/>
  <c r="F186" i="20" s="1" a="1"/>
  <c r="F186" i="20" s="1"/>
  <c r="J3" i="20"/>
  <c r="F26" i="20" s="1" a="1"/>
  <c r="F26" i="20" s="1"/>
  <c r="D540" i="29"/>
  <c r="D539" i="29"/>
  <c r="D538" i="29"/>
  <c r="D536" i="29"/>
  <c r="D535" i="29"/>
  <c r="D534" i="29"/>
  <c r="D533" i="29"/>
  <c r="D532" i="29"/>
  <c r="D531" i="29"/>
  <c r="D530" i="29"/>
  <c r="D529" i="29"/>
  <c r="D527" i="29"/>
  <c r="D526" i="29"/>
  <c r="D525" i="29"/>
  <c r="O4" i="30"/>
  <c r="O21" i="20" s="1"/>
  <c r="N52" i="31"/>
  <c r="M52" i="31"/>
  <c r="N51" i="31"/>
  <c r="M51" i="31"/>
  <c r="N50" i="31"/>
  <c r="M50" i="31"/>
  <c r="N49" i="31"/>
  <c r="M49" i="31"/>
  <c r="N48" i="31"/>
  <c r="M48" i="31"/>
  <c r="N47" i="31"/>
  <c r="M47" i="31"/>
  <c r="N46" i="31"/>
  <c r="M46" i="31"/>
  <c r="N45" i="31"/>
  <c r="M45" i="31"/>
  <c r="N44" i="31"/>
  <c r="M44" i="31"/>
  <c r="N43" i="31"/>
  <c r="M43" i="31"/>
  <c r="N42" i="31"/>
  <c r="M42" i="31"/>
  <c r="N41" i="31"/>
  <c r="M41" i="31"/>
  <c r="N40" i="31"/>
  <c r="M40" i="31"/>
  <c r="N39" i="31"/>
  <c r="M39" i="31"/>
  <c r="L52" i="31"/>
  <c r="K52" i="31"/>
  <c r="L51" i="31"/>
  <c r="K51" i="31"/>
  <c r="L50" i="31"/>
  <c r="K50" i="31"/>
  <c r="L49" i="31"/>
  <c r="K49" i="31"/>
  <c r="L48" i="31"/>
  <c r="K48" i="31"/>
  <c r="L47" i="31"/>
  <c r="K47" i="31"/>
  <c r="L46" i="31"/>
  <c r="K46" i="31"/>
  <c r="L45" i="31"/>
  <c r="K45" i="31"/>
  <c r="L44" i="31"/>
  <c r="K44" i="31"/>
  <c r="L43" i="31"/>
  <c r="K43" i="31"/>
  <c r="L42" i="31"/>
  <c r="K42" i="31"/>
  <c r="L41" i="31"/>
  <c r="K41" i="31"/>
  <c r="L40" i="31"/>
  <c r="K40" i="31"/>
  <c r="L39" i="31"/>
  <c r="K39" i="31"/>
  <c r="J52" i="31"/>
  <c r="I52" i="31"/>
  <c r="J51" i="31"/>
  <c r="I51" i="31"/>
  <c r="J50" i="31"/>
  <c r="I50" i="31"/>
  <c r="J49" i="31"/>
  <c r="I49" i="31"/>
  <c r="J48" i="31"/>
  <c r="I48" i="31"/>
  <c r="J47" i="31"/>
  <c r="I47" i="31"/>
  <c r="J46" i="31"/>
  <c r="I46" i="31"/>
  <c r="J45" i="31"/>
  <c r="I45" i="31"/>
  <c r="J44" i="31"/>
  <c r="I44" i="31"/>
  <c r="J43" i="31"/>
  <c r="I43" i="31"/>
  <c r="J42" i="31"/>
  <c r="I42" i="31"/>
  <c r="J41" i="31"/>
  <c r="I41" i="31"/>
  <c r="J40" i="31"/>
  <c r="I40" i="31"/>
  <c r="J39" i="31"/>
  <c r="I39" i="31"/>
  <c r="H52" i="31"/>
  <c r="G52" i="31"/>
  <c r="H51" i="31"/>
  <c r="G51" i="31"/>
  <c r="H50" i="31"/>
  <c r="G50" i="31"/>
  <c r="H49" i="31"/>
  <c r="G49" i="31"/>
  <c r="H48" i="31"/>
  <c r="G48" i="31"/>
  <c r="H47" i="31"/>
  <c r="G47" i="31"/>
  <c r="H46" i="31"/>
  <c r="G46" i="31"/>
  <c r="H45" i="31"/>
  <c r="G45" i="31"/>
  <c r="H44" i="31"/>
  <c r="G44" i="31"/>
  <c r="H43" i="31"/>
  <c r="G43" i="31"/>
  <c r="H42" i="31"/>
  <c r="G42" i="31"/>
  <c r="H41" i="31"/>
  <c r="G41" i="31"/>
  <c r="H40" i="31"/>
  <c r="G40" i="31"/>
  <c r="H39" i="31"/>
  <c r="G39" i="31"/>
  <c r="F52" i="31"/>
  <c r="E52" i="31"/>
  <c r="F51" i="31"/>
  <c r="E51" i="31"/>
  <c r="F50" i="31"/>
  <c r="E50" i="31"/>
  <c r="F49" i="31"/>
  <c r="E49" i="31"/>
  <c r="F48" i="31"/>
  <c r="E48" i="31"/>
  <c r="F47" i="31"/>
  <c r="E47" i="31"/>
  <c r="F46" i="31"/>
  <c r="E46" i="31"/>
  <c r="F45" i="31"/>
  <c r="E45" i="31"/>
  <c r="F44" i="31"/>
  <c r="E44" i="31"/>
  <c r="F43" i="31"/>
  <c r="E43" i="31"/>
  <c r="F42" i="31"/>
  <c r="E42" i="31"/>
  <c r="F41" i="31"/>
  <c r="E41" i="31"/>
  <c r="F40" i="31"/>
  <c r="E40" i="31"/>
  <c r="F39" i="31"/>
  <c r="E39" i="31"/>
  <c r="D52" i="31"/>
  <c r="D51" i="31"/>
  <c r="D50" i="31"/>
  <c r="D49" i="31"/>
  <c r="D48" i="31"/>
  <c r="D47" i="31"/>
  <c r="D46" i="31"/>
  <c r="D45" i="31"/>
  <c r="D44" i="31"/>
  <c r="D43" i="31"/>
  <c r="D42" i="31"/>
  <c r="D41" i="31"/>
  <c r="D40" i="31"/>
  <c r="D39" i="31"/>
  <c r="C40" i="31"/>
  <c r="C41" i="31"/>
  <c r="C42" i="31"/>
  <c r="C43" i="31"/>
  <c r="C44" i="31"/>
  <c r="C45" i="31"/>
  <c r="C46" i="31"/>
  <c r="C47" i="31"/>
  <c r="C48" i="31"/>
  <c r="C49" i="31"/>
  <c r="C50" i="31"/>
  <c r="C51" i="31"/>
  <c r="C52" i="31"/>
  <c r="C39" i="31"/>
  <c r="B52" i="31"/>
  <c r="B51" i="31"/>
  <c r="B50" i="31"/>
  <c r="B49" i="31"/>
  <c r="B48" i="31"/>
  <c r="B47" i="31"/>
  <c r="B46" i="31"/>
  <c r="B45" i="31"/>
  <c r="B44" i="31"/>
  <c r="B43" i="31"/>
  <c r="B42" i="31"/>
  <c r="B41" i="31"/>
  <c r="B40" i="31"/>
  <c r="B39" i="31"/>
  <c r="M22" i="31"/>
  <c r="K22" i="31"/>
  <c r="I22" i="31"/>
  <c r="G22" i="31"/>
  <c r="E22" i="31"/>
  <c r="C22" i="31"/>
  <c r="F300" i="20" a="1"/>
  <c r="F300" i="20" s="1"/>
  <c r="H6" i="29"/>
  <c r="H9" i="29"/>
  <c r="H58" i="29"/>
  <c r="F196" i="20" a="1"/>
  <c r="F196" i="20" s="1"/>
  <c r="F193" i="20" a="1"/>
  <c r="F193" i="20" s="1"/>
  <c r="F191" i="20" a="1"/>
  <c r="F191" i="20" s="1"/>
  <c r="F189" i="20" a="1"/>
  <c r="F189" i="20" s="1"/>
  <c r="F188" i="20" a="1"/>
  <c r="F188" i="20" s="1"/>
  <c r="F187" i="20" a="1"/>
  <c r="F187" i="20" s="1"/>
  <c r="F184" i="20" a="1"/>
  <c r="F184" i="20" s="1"/>
  <c r="F181" i="20" a="1"/>
  <c r="F181" i="20" s="1"/>
  <c r="F179" i="20" a="1"/>
  <c r="F179" i="20" s="1"/>
  <c r="F177" i="20" a="1"/>
  <c r="F177" i="20" s="1"/>
  <c r="F172" i="20" a="1"/>
  <c r="F172" i="20" s="1"/>
  <c r="F157" i="20" a="1"/>
  <c r="F157" i="20" s="1"/>
  <c r="F155" i="20" a="1"/>
  <c r="F155" i="20" s="1"/>
  <c r="F153" i="20" a="1"/>
  <c r="F153" i="20" s="1"/>
  <c r="F133" i="20" a="1"/>
  <c r="F133" i="20" s="1"/>
  <c r="F131" i="20" a="1"/>
  <c r="F131" i="20" s="1"/>
  <c r="F129" i="20" a="1"/>
  <c r="F129" i="20" s="1"/>
  <c r="J95" i="20"/>
  <c r="F110" i="20" s="1" a="1"/>
  <c r="F110" i="20" s="1"/>
  <c r="F103" i="20" a="1"/>
  <c r="F103" i="20" s="1"/>
  <c r="F97" i="20" a="1"/>
  <c r="F97" i="20" s="1"/>
  <c r="J61" i="20"/>
  <c r="F78" i="20" s="1" a="1"/>
  <c r="F78" i="20" s="1"/>
  <c r="F75" i="20" a="1"/>
  <c r="F75" i="20" s="1"/>
  <c r="F73" i="20" a="1"/>
  <c r="F73" i="20" s="1"/>
  <c r="F69" i="20" a="1"/>
  <c r="F69" i="20" s="1"/>
  <c r="F68" i="20" a="1"/>
  <c r="F68" i="20" s="1"/>
  <c r="F67" i="20" a="1"/>
  <c r="F67" i="20" s="1"/>
  <c r="F62" i="20" a="1"/>
  <c r="F62" i="20" s="1"/>
  <c r="H5" i="3"/>
  <c r="F27" i="20" a="1"/>
  <c r="F27" i="20" s="1"/>
  <c r="F24" i="20" a="1"/>
  <c r="F24" i="20" s="1"/>
  <c r="F23" i="20" a="1"/>
  <c r="F23" i="20" s="1"/>
  <c r="F22" i="20" a="1"/>
  <c r="F22" i="20" s="1"/>
  <c r="F20" i="20" a="1"/>
  <c r="F20" i="20" s="1"/>
  <c r="F19" i="20" a="1"/>
  <c r="F19" i="20" s="1"/>
  <c r="F18" i="20" a="1"/>
  <c r="F18" i="20" s="1"/>
  <c r="F17" i="20" a="1"/>
  <c r="F17" i="20" s="1"/>
  <c r="F16" i="20" a="1"/>
  <c r="F16" i="20" s="1"/>
  <c r="F15" i="20" a="1"/>
  <c r="F15" i="20" s="1"/>
  <c r="F12" i="20" a="1"/>
  <c r="F12" i="20" s="1"/>
  <c r="F11" i="20" a="1"/>
  <c r="F11" i="20" s="1"/>
  <c r="F10" i="20" a="1"/>
  <c r="F10" i="20" s="1"/>
  <c r="F8" i="20" a="1"/>
  <c r="F8" i="20" s="1"/>
  <c r="F7" i="20" a="1"/>
  <c r="F7" i="20" s="1"/>
  <c r="F6" i="20" a="1"/>
  <c r="F6" i="20" s="1"/>
  <c r="F5" i="20" a="1"/>
  <c r="F5" i="20" s="1"/>
  <c r="J540" i="29"/>
  <c r="E540" i="29"/>
  <c r="C540" i="29"/>
  <c r="O540" i="29"/>
  <c r="J539" i="29"/>
  <c r="E539" i="29"/>
  <c r="C539" i="29"/>
  <c r="O539" i="29"/>
  <c r="O538" i="29"/>
  <c r="J538" i="29"/>
  <c r="E538" i="29"/>
  <c r="O537" i="29"/>
  <c r="J536" i="29"/>
  <c r="E536" i="29"/>
  <c r="C536" i="29"/>
  <c r="O536" i="29"/>
  <c r="J535" i="29"/>
  <c r="E535" i="29"/>
  <c r="C535" i="29"/>
  <c r="O535" i="29"/>
  <c r="J534" i="29"/>
  <c r="E534" i="29"/>
  <c r="C534" i="29"/>
  <c r="O534" i="29"/>
  <c r="J533" i="29"/>
  <c r="E533" i="29"/>
  <c r="C533" i="29"/>
  <c r="O533" i="29"/>
  <c r="J532" i="29"/>
  <c r="E532" i="29"/>
  <c r="C532" i="29"/>
  <c r="O532" i="29"/>
  <c r="J531" i="29"/>
  <c r="E531" i="29"/>
  <c r="C531" i="29"/>
  <c r="O531" i="29"/>
  <c r="J530" i="29"/>
  <c r="E530" i="29"/>
  <c r="C530" i="29"/>
  <c r="O530" i="29"/>
  <c r="O529" i="29"/>
  <c r="J529" i="29"/>
  <c r="E529" i="29"/>
  <c r="O528" i="29"/>
  <c r="J527" i="29"/>
  <c r="E527" i="29"/>
  <c r="C527" i="29"/>
  <c r="O527" i="29"/>
  <c r="J526" i="29"/>
  <c r="E526" i="29"/>
  <c r="C526" i="29"/>
  <c r="O526" i="29"/>
  <c r="J525" i="29"/>
  <c r="E525" i="29"/>
  <c r="C525" i="29"/>
  <c r="O525" i="29"/>
  <c r="J524" i="29"/>
  <c r="E524" i="29"/>
  <c r="D524" i="29"/>
  <c r="C524" i="29"/>
  <c r="C60" i="11"/>
  <c r="C56" i="11"/>
  <c r="O56" i="11"/>
  <c r="C58" i="11"/>
  <c r="C57" i="11"/>
  <c r="C61" i="11"/>
  <c r="Q62" i="11"/>
  <c r="J62" i="11"/>
  <c r="E62" i="11"/>
  <c r="D62" i="11"/>
  <c r="C62" i="11"/>
  <c r="O62" i="11"/>
  <c r="Q61" i="11"/>
  <c r="J61" i="11"/>
  <c r="E61" i="11"/>
  <c r="D61" i="11"/>
  <c r="O61" i="11"/>
  <c r="Q60" i="11"/>
  <c r="J60" i="11"/>
  <c r="E60" i="11"/>
  <c r="D60" i="11"/>
  <c r="O60" i="11"/>
  <c r="O59" i="11"/>
  <c r="C38" i="10"/>
  <c r="O38" i="10"/>
  <c r="Q37" i="10"/>
  <c r="J37" i="10"/>
  <c r="E37" i="10"/>
  <c r="C37" i="10"/>
  <c r="O37" i="10"/>
  <c r="H20" i="33"/>
  <c r="A281" i="20"/>
  <c r="A280" i="20"/>
  <c r="A279" i="20"/>
  <c r="A278" i="20"/>
  <c r="A277" i="20"/>
  <c r="A276" i="20"/>
  <c r="A275" i="20"/>
  <c r="A274" i="20"/>
  <c r="A273" i="20"/>
  <c r="A272" i="20"/>
  <c r="A271" i="20"/>
  <c r="A270" i="20"/>
  <c r="A269" i="20"/>
  <c r="A268" i="20"/>
  <c r="A267" i="20"/>
  <c r="E2902" i="60"/>
  <c r="E2893" i="60"/>
  <c r="D98" i="2"/>
  <c r="C98" i="2"/>
  <c r="D146" i="11"/>
  <c r="D149" i="11" s="1"/>
  <c r="AR358" i="13"/>
  <c r="AR4" i="13"/>
  <c r="E146" i="11"/>
  <c r="J146" i="11"/>
  <c r="Q146" i="11"/>
  <c r="AR140" i="13"/>
  <c r="AR569" i="13"/>
  <c r="H74" i="15"/>
  <c r="B45" i="66"/>
  <c r="C282" i="29"/>
  <c r="C235" i="11"/>
  <c r="C191" i="30"/>
  <c r="C234" i="4"/>
  <c r="C71" i="3"/>
  <c r="C93" i="2"/>
  <c r="AK2" i="14"/>
  <c r="AK3" i="14"/>
  <c r="Z12" i="14" s="1"/>
  <c r="E12" i="14" s="1"/>
  <c r="AK4" i="14"/>
  <c r="AK5" i="14"/>
  <c r="AK6" i="14"/>
  <c r="C196" i="20" a="1"/>
  <c r="C196" i="20" s="1"/>
  <c r="C194" i="20" a="1"/>
  <c r="C194" i="20" s="1"/>
  <c r="C193" i="20" a="1"/>
  <c r="C193" i="20" s="1"/>
  <c r="C192" i="20" a="1"/>
  <c r="C192" i="20"/>
  <c r="C191" i="20" a="1"/>
  <c r="C191" i="20" s="1"/>
  <c r="C190" i="20" a="1"/>
  <c r="C190" i="20" s="1"/>
  <c r="C188" i="20" a="1"/>
  <c r="C188" i="20" s="1"/>
  <c r="C187" i="20" a="1"/>
  <c r="C187" i="20" s="1"/>
  <c r="C186" i="20" a="1"/>
  <c r="C186" i="20" s="1"/>
  <c r="C185" i="20" a="1"/>
  <c r="C185" i="20"/>
  <c r="C184" i="20" a="1"/>
  <c r="C184" i="20" s="1"/>
  <c r="C182" i="20" a="1"/>
  <c r="C182" i="20" s="1"/>
  <c r="C181" i="20" a="1"/>
  <c r="C181" i="20" s="1"/>
  <c r="C180" i="20" a="1"/>
  <c r="C180" i="20" s="1"/>
  <c r="C179" i="20" a="1"/>
  <c r="C179" i="20" s="1"/>
  <c r="C178" i="20" a="1"/>
  <c r="C178" i="20"/>
  <c r="J151" i="20"/>
  <c r="B171" i="20" a="1"/>
  <c r="B171" i="20" s="1"/>
  <c r="C174" i="20" a="1"/>
  <c r="C174" i="20" s="1"/>
  <c r="C169" i="20" a="1"/>
  <c r="C169" i="20"/>
  <c r="C168" i="20" a="1"/>
  <c r="C168" i="20" s="1"/>
  <c r="C162" i="20" a="1"/>
  <c r="C162" i="20"/>
  <c r="C161" i="20" a="1"/>
  <c r="C161" i="20" s="1"/>
  <c r="C153" i="20" a="1"/>
  <c r="C153" i="20"/>
  <c r="J115" i="20"/>
  <c r="F121" i="20" s="1" a="1"/>
  <c r="F121" i="20" s="1"/>
  <c r="C131" i="20" a="1"/>
  <c r="C131" i="20"/>
  <c r="C128" i="20" a="1"/>
  <c r="C128" i="20" s="1"/>
  <c r="C124" i="20" a="1"/>
  <c r="C124" i="20" s="1"/>
  <c r="C122" i="20" a="1"/>
  <c r="C122" i="20" s="1"/>
  <c r="C120" i="20" a="1"/>
  <c r="C120" i="20" s="1"/>
  <c r="C115" i="20" a="1"/>
  <c r="C115" i="20" s="1"/>
  <c r="C111" i="20" a="1"/>
  <c r="C111" i="20" s="1"/>
  <c r="C107" i="20" a="1"/>
  <c r="C107" i="20" s="1"/>
  <c r="C104" i="20" a="1"/>
  <c r="C104" i="20" s="1"/>
  <c r="C103" i="20" a="1"/>
  <c r="C103" i="20" s="1"/>
  <c r="C100" i="20" a="1"/>
  <c r="C100" i="20" s="1"/>
  <c r="C74" i="20" a="1"/>
  <c r="C74" i="20" s="1"/>
  <c r="C73" i="20" a="1"/>
  <c r="C73" i="20" s="1"/>
  <c r="C70" i="20" a="1"/>
  <c r="C70" i="20" s="1"/>
  <c r="C66" i="20" a="1"/>
  <c r="C66" i="20" s="1"/>
  <c r="C65" i="20" a="1"/>
  <c r="C65" i="20" s="1"/>
  <c r="C62" i="20" a="1"/>
  <c r="C62" i="20" s="1"/>
  <c r="C61" i="20" a="1"/>
  <c r="C61" i="20" s="1"/>
  <c r="C284" i="20" a="1"/>
  <c r="C284" i="20" s="1"/>
  <c r="C288" i="20" a="1"/>
  <c r="C288" i="20"/>
  <c r="C290" i="20" a="1"/>
  <c r="C290" i="20" s="1"/>
  <c r="C292" i="20" a="1"/>
  <c r="C292" i="20" s="1"/>
  <c r="C296" i="20" a="1"/>
  <c r="C296" i="20"/>
  <c r="C297" i="20" a="1"/>
  <c r="C297" i="20" s="1"/>
  <c r="C298" i="20" a="1"/>
  <c r="C298" i="20" s="1"/>
  <c r="H5" i="2"/>
  <c r="H47" i="2"/>
  <c r="AG412" i="13"/>
  <c r="AG411" i="13"/>
  <c r="AG410" i="13"/>
  <c r="AG409" i="13"/>
  <c r="AG408" i="13"/>
  <c r="AG407" i="13"/>
  <c r="AG425" i="13"/>
  <c r="AG423" i="13"/>
  <c r="AG414" i="13"/>
  <c r="AG258" i="13"/>
  <c r="AG260" i="13"/>
  <c r="AG256" i="13"/>
  <c r="AG241" i="13"/>
  <c r="AG240" i="13"/>
  <c r="AG238" i="13"/>
  <c r="AG237" i="13"/>
  <c r="O507" i="29"/>
  <c r="A53" i="13"/>
  <c r="A363" i="13"/>
  <c r="A359" i="13"/>
  <c r="A42" i="13"/>
  <c r="A29" i="13"/>
  <c r="A349" i="13"/>
  <c r="A140" i="13"/>
  <c r="A4" i="13"/>
  <c r="A358" i="13"/>
  <c r="AG421" i="13"/>
  <c r="AA421" i="13"/>
  <c r="L507" i="29"/>
  <c r="O506" i="29"/>
  <c r="AG420" i="13"/>
  <c r="AA420" i="13"/>
  <c r="L506" i="29"/>
  <c r="AA414" i="13"/>
  <c r="C501" i="29"/>
  <c r="D501" i="29"/>
  <c r="C500" i="29"/>
  <c r="D500" i="29"/>
  <c r="K500" i="29" s="1"/>
  <c r="K501" i="29"/>
  <c r="C499" i="29"/>
  <c r="D499" i="29"/>
  <c r="L499" i="29" s="1"/>
  <c r="C498" i="29"/>
  <c r="D498" i="29"/>
  <c r="K498" i="29" s="1"/>
  <c r="AA425" i="13"/>
  <c r="D496" i="29"/>
  <c r="C129" i="30"/>
  <c r="D129" i="30"/>
  <c r="K129" i="30" s="1"/>
  <c r="L129" i="30"/>
  <c r="D128" i="30"/>
  <c r="AA407" i="13"/>
  <c r="AA260" i="13"/>
  <c r="I11" i="14"/>
  <c r="L11" i="14"/>
  <c r="M11" i="14"/>
  <c r="P11" i="14"/>
  <c r="AG441" i="13"/>
  <c r="A567" i="13"/>
  <c r="A568" i="13"/>
  <c r="A569" i="13"/>
  <c r="A580" i="13"/>
  <c r="A555" i="13"/>
  <c r="A556" i="13"/>
  <c r="A551" i="13"/>
  <c r="A584" i="13"/>
  <c r="C173" i="11"/>
  <c r="D173" i="11"/>
  <c r="D8" i="29"/>
  <c r="C8" i="29"/>
  <c r="P4" i="6"/>
  <c r="O4" i="6"/>
  <c r="P4" i="3"/>
  <c r="O4" i="3"/>
  <c r="O17" i="20" s="1"/>
  <c r="P4" i="2"/>
  <c r="O4" i="2"/>
  <c r="P4" i="4"/>
  <c r="O4" i="4"/>
  <c r="O19" i="20" s="1"/>
  <c r="P4" i="5"/>
  <c r="O4" i="5"/>
  <c r="P4" i="30"/>
  <c r="H13" i="33"/>
  <c r="P4" i="7"/>
  <c r="O4" i="7"/>
  <c r="P4" i="12"/>
  <c r="O4" i="12"/>
  <c r="P4" i="8"/>
  <c r="O4" i="8"/>
  <c r="O4" i="10"/>
  <c r="O26" i="20" s="1"/>
  <c r="H18" i="33"/>
  <c r="P4" i="10"/>
  <c r="P4" i="11"/>
  <c r="O4" i="11"/>
  <c r="O27" i="20" s="1"/>
  <c r="H19" i="33"/>
  <c r="P4" i="27"/>
  <c r="Q4" i="27"/>
  <c r="O4" i="9"/>
  <c r="P4" i="9"/>
  <c r="AR594" i="13"/>
  <c r="AR548" i="13"/>
  <c r="O426" i="29" s="1"/>
  <c r="AR336" i="13"/>
  <c r="O108" i="29" s="1"/>
  <c r="AR582" i="13"/>
  <c r="O98" i="29" s="1"/>
  <c r="AR161" i="13"/>
  <c r="O17" i="6" s="1"/>
  <c r="AR160" i="13"/>
  <c r="O96" i="29" s="1"/>
  <c r="AR192" i="13"/>
  <c r="O15" i="6" s="1"/>
  <c r="AR191" i="13"/>
  <c r="O14" i="6" s="1"/>
  <c r="AR305" i="13"/>
  <c r="AA305" i="13"/>
  <c r="BE305" i="13"/>
  <c r="M305" i="13"/>
  <c r="AG242" i="13"/>
  <c r="AG259" i="13"/>
  <c r="AA259" i="13"/>
  <c r="AG257" i="13"/>
  <c r="AG255" i="13"/>
  <c r="AA255" i="13"/>
  <c r="AG250" i="13"/>
  <c r="AA250" i="13"/>
  <c r="AG249" i="13"/>
  <c r="AA249" i="13"/>
  <c r="AG248" i="13"/>
  <c r="AA248" i="13"/>
  <c r="AG247" i="13"/>
  <c r="AA247" i="13"/>
  <c r="AG246" i="13"/>
  <c r="AA246" i="13"/>
  <c r="AG593" i="13"/>
  <c r="AA593" i="13"/>
  <c r="AG592" i="13"/>
  <c r="AA592" i="13"/>
  <c r="AG591" i="13"/>
  <c r="AA591" i="13"/>
  <c r="AG590" i="13"/>
  <c r="AA590" i="13"/>
  <c r="AG589" i="13"/>
  <c r="AA589" i="13"/>
  <c r="AG582" i="13"/>
  <c r="AA582" i="13"/>
  <c r="AG424" i="13"/>
  <c r="AA424" i="13"/>
  <c r="AA423" i="13"/>
  <c r="AG422" i="13"/>
  <c r="AA422" i="13"/>
  <c r="AG419" i="13"/>
  <c r="AA419" i="13"/>
  <c r="AG418" i="13"/>
  <c r="AA418" i="13"/>
  <c r="AG417" i="13"/>
  <c r="AA417" i="13"/>
  <c r="AG416" i="13"/>
  <c r="AA416" i="13"/>
  <c r="AG413" i="13"/>
  <c r="AA413" i="13"/>
  <c r="AA412" i="13"/>
  <c r="AA411" i="13"/>
  <c r="AA410" i="13"/>
  <c r="AA409" i="13"/>
  <c r="AA408" i="13"/>
  <c r="AG406" i="13"/>
  <c r="AA406" i="13"/>
  <c r="AG405" i="13"/>
  <c r="AA405" i="13"/>
  <c r="AG382" i="13"/>
  <c r="AA382" i="13"/>
  <c r="AG380" i="13"/>
  <c r="AA380" i="13"/>
  <c r="AG376" i="13"/>
  <c r="AA376" i="13"/>
  <c r="AG374" i="13"/>
  <c r="AA374" i="13"/>
  <c r="AG266" i="13"/>
  <c r="AA266" i="13"/>
  <c r="AG265" i="13"/>
  <c r="AA265" i="13"/>
  <c r="AG264" i="13"/>
  <c r="AA264" i="13"/>
  <c r="AG263" i="13"/>
  <c r="AA263" i="13"/>
  <c r="AG262" i="13"/>
  <c r="AA262" i="13"/>
  <c r="AG261" i="13"/>
  <c r="AA261" i="13"/>
  <c r="AA258" i="13"/>
  <c r="AA257" i="13"/>
  <c r="AA256" i="13"/>
  <c r="AG253" i="13"/>
  <c r="AA253" i="13"/>
  <c r="AG252" i="13"/>
  <c r="AA252" i="13"/>
  <c r="AG244" i="13"/>
  <c r="AA244" i="13"/>
  <c r="AG243" i="13"/>
  <c r="AA243" i="13"/>
  <c r="AA242" i="13"/>
  <c r="AA241" i="13"/>
  <c r="AA240" i="13"/>
  <c r="AA239" i="13"/>
  <c r="AA238" i="13"/>
  <c r="AA237" i="13"/>
  <c r="AA236" i="13"/>
  <c r="AG195" i="13"/>
  <c r="AA195" i="13"/>
  <c r="AG194" i="13"/>
  <c r="AA194" i="13"/>
  <c r="AG192" i="13"/>
  <c r="AA192" i="13"/>
  <c r="AG191" i="13"/>
  <c r="AA191" i="13"/>
  <c r="AG175" i="13"/>
  <c r="AA175" i="13"/>
  <c r="AG174" i="13"/>
  <c r="AA174" i="13"/>
  <c r="AG173" i="13"/>
  <c r="AA173" i="13"/>
  <c r="AG172" i="13"/>
  <c r="AA172" i="13"/>
  <c r="AG166" i="13"/>
  <c r="AA166" i="13"/>
  <c r="AG165" i="13"/>
  <c r="AA165" i="13"/>
  <c r="AG164" i="13"/>
  <c r="AA164" i="13"/>
  <c r="AG163" i="13"/>
  <c r="AA163" i="13"/>
  <c r="AG162" i="13"/>
  <c r="AA162" i="13"/>
  <c r="AG161" i="13"/>
  <c r="AA161" i="13"/>
  <c r="AG160" i="13"/>
  <c r="AA160" i="13"/>
  <c r="AG114" i="13"/>
  <c r="AA114" i="13"/>
  <c r="AG113" i="13"/>
  <c r="AA113" i="13"/>
  <c r="AG112" i="13"/>
  <c r="AA112" i="13"/>
  <c r="AG111" i="13"/>
  <c r="AA111" i="13"/>
  <c r="AG110" i="13"/>
  <c r="AA110" i="13"/>
  <c r="AG109" i="13"/>
  <c r="AA109" i="13"/>
  <c r="AG108" i="13"/>
  <c r="AA108" i="13"/>
  <c r="AG107" i="13"/>
  <c r="AA107" i="13"/>
  <c r="AG44" i="13"/>
  <c r="AA44" i="13"/>
  <c r="AG43" i="13"/>
  <c r="AA43" i="13"/>
  <c r="AI7" i="14"/>
  <c r="AK7" i="14"/>
  <c r="AI6" i="14"/>
  <c r="AI5" i="14"/>
  <c r="AI4" i="14"/>
  <c r="AI3" i="14"/>
  <c r="AI2" i="14"/>
  <c r="AA663" i="13"/>
  <c r="AA662" i="13"/>
  <c r="AA661" i="13"/>
  <c r="AA660" i="13"/>
  <c r="AA659" i="13"/>
  <c r="AA658" i="13"/>
  <c r="AA657" i="13"/>
  <c r="AA656" i="13"/>
  <c r="AA655" i="13"/>
  <c r="AA654" i="13"/>
  <c r="AA653" i="13"/>
  <c r="AA652" i="13"/>
  <c r="AA651" i="13"/>
  <c r="AA650" i="13"/>
  <c r="AA649" i="13"/>
  <c r="AA648" i="13"/>
  <c r="AA647" i="13"/>
  <c r="AA646" i="13"/>
  <c r="AA645" i="13"/>
  <c r="AA644" i="13"/>
  <c r="AA643" i="13"/>
  <c r="AA642" i="13"/>
  <c r="AA641" i="13"/>
  <c r="AA640" i="13"/>
  <c r="AA639" i="13"/>
  <c r="AA638" i="13"/>
  <c r="AA637" i="13"/>
  <c r="AA636" i="13"/>
  <c r="AA635" i="13"/>
  <c r="AA634" i="13"/>
  <c r="AA633" i="13"/>
  <c r="AA632" i="13"/>
  <c r="AA631" i="13"/>
  <c r="AA630" i="13"/>
  <c r="AA629" i="13"/>
  <c r="AA628" i="13"/>
  <c r="AA627" i="13"/>
  <c r="AA626" i="13"/>
  <c r="AA625" i="13"/>
  <c r="AA624" i="13"/>
  <c r="AA623" i="13"/>
  <c r="AA622" i="13"/>
  <c r="AA621" i="13"/>
  <c r="AA620" i="13"/>
  <c r="AA619" i="13"/>
  <c r="AA618" i="13"/>
  <c r="AA617" i="13"/>
  <c r="AA616" i="13"/>
  <c r="AA615" i="13"/>
  <c r="AA613" i="13"/>
  <c r="AA612" i="13"/>
  <c r="AA611" i="13"/>
  <c r="AA610" i="13"/>
  <c r="AA609" i="13"/>
  <c r="AA608" i="13"/>
  <c r="AA607" i="13"/>
  <c r="AA606" i="13"/>
  <c r="AA605" i="13"/>
  <c r="AA598" i="13"/>
  <c r="AA597" i="13"/>
  <c r="AA596" i="13"/>
  <c r="AA594" i="13"/>
  <c r="AA588" i="13"/>
  <c r="AA587" i="13"/>
  <c r="AA586" i="13"/>
  <c r="AA584" i="13"/>
  <c r="AA583" i="13"/>
  <c r="AA581" i="13"/>
  <c r="AA580" i="13"/>
  <c r="AA579" i="13"/>
  <c r="AA578" i="13"/>
  <c r="AA577" i="13"/>
  <c r="AA576" i="13"/>
  <c r="AA575" i="13"/>
  <c r="AA574" i="13"/>
  <c r="AA573" i="13"/>
  <c r="AA572" i="13"/>
  <c r="AA571" i="13"/>
  <c r="AA569" i="13"/>
  <c r="AA568" i="13"/>
  <c r="AA567" i="13"/>
  <c r="AA566" i="13"/>
  <c r="AA565" i="13"/>
  <c r="AA564" i="13"/>
  <c r="AA563" i="13"/>
  <c r="AA562" i="13"/>
  <c r="AA556" i="13"/>
  <c r="AA555" i="13"/>
  <c r="AA553" i="13"/>
  <c r="AA552" i="13"/>
  <c r="AA551" i="13"/>
  <c r="AA548" i="13"/>
  <c r="AA547" i="13"/>
  <c r="AA545" i="13"/>
  <c r="AA544" i="13"/>
  <c r="AA543" i="13"/>
  <c r="AA542" i="13"/>
  <c r="AA541" i="13"/>
  <c r="AA540" i="13"/>
  <c r="AA539" i="13"/>
  <c r="AA538" i="13"/>
  <c r="AA537" i="13"/>
  <c r="AA536" i="13"/>
  <c r="AA535" i="13"/>
  <c r="AA534" i="13"/>
  <c r="AA533" i="13"/>
  <c r="AA532" i="13"/>
  <c r="AA531" i="13"/>
  <c r="AA530" i="13"/>
  <c r="AA529" i="13"/>
  <c r="AA528" i="13"/>
  <c r="AA527" i="13"/>
  <c r="AA526" i="13"/>
  <c r="AA525" i="13"/>
  <c r="AA524" i="13"/>
  <c r="AA523" i="13"/>
  <c r="AA522" i="13"/>
  <c r="AA521" i="13"/>
  <c r="AA520" i="13"/>
  <c r="AA519" i="13"/>
  <c r="AA518" i="13"/>
  <c r="AA517" i="13"/>
  <c r="AA516" i="13"/>
  <c r="AA515" i="13"/>
  <c r="AA514" i="13"/>
  <c r="AA513" i="13"/>
  <c r="AA512" i="13"/>
  <c r="AA511" i="13"/>
  <c r="AA510" i="13"/>
  <c r="AA509" i="13"/>
  <c r="AA508" i="13"/>
  <c r="AA507" i="13"/>
  <c r="AA506" i="13"/>
  <c r="AA505" i="13"/>
  <c r="AA504" i="13"/>
  <c r="AA503" i="13"/>
  <c r="AA502" i="13"/>
  <c r="AA501" i="13"/>
  <c r="AA500" i="13"/>
  <c r="AA499" i="13"/>
  <c r="AA498" i="13"/>
  <c r="AA497" i="13"/>
  <c r="AA496" i="13"/>
  <c r="AA495" i="13"/>
  <c r="AA494" i="13"/>
  <c r="AA493" i="13"/>
  <c r="AA492" i="13"/>
  <c r="AA491" i="13"/>
  <c r="AA490" i="13"/>
  <c r="AA489" i="13"/>
  <c r="AA488" i="13"/>
  <c r="AA487" i="13"/>
  <c r="AA486" i="13"/>
  <c r="AA485" i="13"/>
  <c r="AA484" i="13"/>
  <c r="AA483" i="13"/>
  <c r="AA482" i="13"/>
  <c r="AA481" i="13"/>
  <c r="AA480" i="13"/>
  <c r="AA479" i="13"/>
  <c r="AA478" i="13"/>
  <c r="AA477" i="13"/>
  <c r="AA476" i="13"/>
  <c r="AA475" i="13"/>
  <c r="AA474" i="13"/>
  <c r="AA473" i="13"/>
  <c r="AA472" i="13"/>
  <c r="AA471" i="13"/>
  <c r="AA470" i="13"/>
  <c r="AA469" i="13"/>
  <c r="AA468" i="13"/>
  <c r="AA467" i="13"/>
  <c r="AA466" i="13"/>
  <c r="AA465" i="13"/>
  <c r="AA464" i="13"/>
  <c r="AA463" i="13"/>
  <c r="AA462" i="13"/>
  <c r="AA461" i="13"/>
  <c r="AA460" i="13"/>
  <c r="AA459" i="13"/>
  <c r="AA458" i="13"/>
  <c r="AA457" i="13"/>
  <c r="AA456" i="13"/>
  <c r="AA455" i="13"/>
  <c r="AA454" i="13"/>
  <c r="AA453" i="13"/>
  <c r="AA452" i="13"/>
  <c r="AA451" i="13"/>
  <c r="AA450" i="13"/>
  <c r="AA449" i="13"/>
  <c r="AA448" i="13"/>
  <c r="AA447" i="13"/>
  <c r="AA446" i="13"/>
  <c r="AA445" i="13"/>
  <c r="AA444" i="13"/>
  <c r="AA443" i="13"/>
  <c r="AA431" i="13"/>
  <c r="AA430" i="13"/>
  <c r="AA429" i="13"/>
  <c r="AA415" i="13"/>
  <c r="AA404" i="13"/>
  <c r="AA381" i="13"/>
  <c r="AA379" i="13"/>
  <c r="AA378" i="13"/>
  <c r="AA377" i="13"/>
  <c r="AA375" i="13"/>
  <c r="AA373" i="13"/>
  <c r="AA372" i="13"/>
  <c r="AA371" i="13"/>
  <c r="AA370" i="13"/>
  <c r="AA369" i="13"/>
  <c r="AA368" i="13"/>
  <c r="AA367" i="13"/>
  <c r="AA366" i="13"/>
  <c r="AA365" i="13"/>
  <c r="AA364" i="13"/>
  <c r="AA363" i="13"/>
  <c r="AA362" i="13"/>
  <c r="AA361" i="13"/>
  <c r="AA360" i="13"/>
  <c r="AA359" i="13"/>
  <c r="AA358" i="13"/>
  <c r="AA357" i="13"/>
  <c r="AA356" i="13"/>
  <c r="AA355" i="13"/>
  <c r="AA354" i="13"/>
  <c r="AA353" i="13"/>
  <c r="AA350" i="13"/>
  <c r="AA349" i="13"/>
  <c r="AA348" i="13"/>
  <c r="AA347" i="13"/>
  <c r="AA346" i="13"/>
  <c r="AA345" i="13"/>
  <c r="AA344" i="13"/>
  <c r="AA343" i="13"/>
  <c r="AA342" i="13"/>
  <c r="AA341" i="13"/>
  <c r="AA340" i="13"/>
  <c r="AA339" i="13"/>
  <c r="AA338" i="13"/>
  <c r="AA337" i="13"/>
  <c r="AA336" i="13"/>
  <c r="AA335" i="13"/>
  <c r="AA334" i="13"/>
  <c r="AA333" i="13"/>
  <c r="AA332" i="13"/>
  <c r="AA331" i="13"/>
  <c r="AA330" i="13"/>
  <c r="AA329" i="13"/>
  <c r="AA328" i="13"/>
  <c r="AA327" i="13"/>
  <c r="AA326" i="13"/>
  <c r="AA325" i="13"/>
  <c r="AA324" i="13"/>
  <c r="AA323" i="13"/>
  <c r="AA322" i="13"/>
  <c r="AA321" i="13"/>
  <c r="AA320" i="13"/>
  <c r="AA319" i="13"/>
  <c r="AA318" i="13"/>
  <c r="AA317" i="13"/>
  <c r="AA316" i="13"/>
  <c r="AA315" i="13"/>
  <c r="AA314" i="13"/>
  <c r="AA313" i="13"/>
  <c r="AA312" i="13"/>
  <c r="AA311" i="13"/>
  <c r="AA310" i="13"/>
  <c r="AA309" i="13"/>
  <c r="AA308" i="13"/>
  <c r="AA307" i="13"/>
  <c r="AA306" i="13"/>
  <c r="AA304" i="13"/>
  <c r="AA303" i="13"/>
  <c r="AA302" i="13"/>
  <c r="AA301" i="13"/>
  <c r="AA300" i="13"/>
  <c r="AA299" i="13"/>
  <c r="AA298" i="13"/>
  <c r="AA297" i="13"/>
  <c r="AA296" i="13"/>
  <c r="AA295" i="13"/>
  <c r="AA294" i="13"/>
  <c r="AA293" i="13"/>
  <c r="AA292" i="13"/>
  <c r="AA291" i="13"/>
  <c r="AA290" i="13"/>
  <c r="AA289" i="13"/>
  <c r="AA288" i="13"/>
  <c r="AA287" i="13"/>
  <c r="AA286" i="13"/>
  <c r="AA285" i="13"/>
  <c r="AA284" i="13"/>
  <c r="AA283" i="13"/>
  <c r="AA282" i="13"/>
  <c r="AA281" i="13"/>
  <c r="AA280" i="13"/>
  <c r="AA279" i="13"/>
  <c r="AA278" i="13"/>
  <c r="AA277" i="13"/>
  <c r="AA276" i="13"/>
  <c r="AA275" i="13"/>
  <c r="AA274" i="13"/>
  <c r="AA273" i="13"/>
  <c r="AA272" i="13"/>
  <c r="AA271" i="13"/>
  <c r="AA270" i="13"/>
  <c r="AA269" i="13"/>
  <c r="AA268" i="13"/>
  <c r="AA267" i="13"/>
  <c r="AA254" i="13"/>
  <c r="AA251" i="13"/>
  <c r="AA245" i="13"/>
  <c r="AA234" i="13"/>
  <c r="AA233" i="13"/>
  <c r="AA232" i="13"/>
  <c r="AA231" i="13"/>
  <c r="AA230" i="13"/>
  <c r="AA229" i="13"/>
  <c r="AA228" i="13"/>
  <c r="AA227" i="13"/>
  <c r="AA226" i="13"/>
  <c r="AA225" i="13"/>
  <c r="AA224" i="13"/>
  <c r="AA223" i="13"/>
  <c r="AA222" i="13"/>
  <c r="AA221" i="13"/>
  <c r="AA220" i="13"/>
  <c r="AA219" i="13"/>
  <c r="AA218" i="13"/>
  <c r="AA217" i="13"/>
  <c r="AA216" i="13"/>
  <c r="AA215" i="13"/>
  <c r="AA214" i="13"/>
  <c r="AA213" i="13"/>
  <c r="AA212" i="13"/>
  <c r="AA211" i="13"/>
  <c r="AA210" i="13"/>
  <c r="AA209" i="13"/>
  <c r="AA197" i="13"/>
  <c r="AA196" i="13"/>
  <c r="AA193" i="13"/>
  <c r="AA190" i="13"/>
  <c r="AA189" i="13"/>
  <c r="AA176" i="13"/>
  <c r="AA171" i="13"/>
  <c r="AA170" i="13"/>
  <c r="AA169" i="13"/>
  <c r="AA168" i="13"/>
  <c r="AA167" i="13"/>
  <c r="AA159" i="13"/>
  <c r="AA158" i="13"/>
  <c r="AA157" i="13"/>
  <c r="AA156" i="13"/>
  <c r="AA155" i="13"/>
  <c r="AA154" i="13"/>
  <c r="AA153" i="13"/>
  <c r="AA152" i="13"/>
  <c r="AA151" i="13"/>
  <c r="AA150" i="13"/>
  <c r="AA149" i="13"/>
  <c r="AA148" i="13"/>
  <c r="AA147" i="13"/>
  <c r="AA146" i="13"/>
  <c r="AA145" i="13"/>
  <c r="AA144" i="13"/>
  <c r="AA143" i="13"/>
  <c r="AA142" i="13"/>
  <c r="AA141" i="13"/>
  <c r="AA140" i="13"/>
  <c r="AA134" i="13"/>
  <c r="AA133" i="13"/>
  <c r="AA132" i="13"/>
  <c r="AA131" i="13"/>
  <c r="AA130" i="13"/>
  <c r="AA129" i="13"/>
  <c r="AA128" i="13"/>
  <c r="AA127" i="13"/>
  <c r="AA126" i="13"/>
  <c r="AA125" i="13"/>
  <c r="AA124" i="13"/>
  <c r="AA123" i="13"/>
  <c r="AA122" i="13"/>
  <c r="AA121" i="13"/>
  <c r="AA120" i="13"/>
  <c r="AA119" i="13"/>
  <c r="AA118" i="13"/>
  <c r="AA117" i="13"/>
  <c r="AA116" i="13"/>
  <c r="AA115" i="13"/>
  <c r="AA102" i="13"/>
  <c r="AA101" i="13"/>
  <c r="AA100" i="13"/>
  <c r="AA99" i="13"/>
  <c r="AA98" i="13"/>
  <c r="AA97" i="13"/>
  <c r="AA96" i="13"/>
  <c r="AA95" i="13"/>
  <c r="AA94" i="13"/>
  <c r="AA93" i="13"/>
  <c r="AA92" i="13"/>
  <c r="AA91" i="13"/>
  <c r="AA90" i="13"/>
  <c r="AA89" i="13"/>
  <c r="AA88" i="13"/>
  <c r="AA87" i="13"/>
  <c r="AA86" i="13"/>
  <c r="AA85" i="13"/>
  <c r="AA84" i="13"/>
  <c r="AA83" i="13"/>
  <c r="AA82" i="13"/>
  <c r="AA81" i="13"/>
  <c r="AA80" i="13"/>
  <c r="AA79" i="13"/>
  <c r="AA77" i="13"/>
  <c r="AA74" i="13"/>
  <c r="AA73" i="13"/>
  <c r="AA72" i="13"/>
  <c r="AA71" i="13"/>
  <c r="AA70" i="13"/>
  <c r="AA69" i="13"/>
  <c r="AA68" i="13"/>
  <c r="AA67" i="13"/>
  <c r="AA66" i="13"/>
  <c r="AA65" i="13"/>
  <c r="AA64" i="13"/>
  <c r="AA63" i="13"/>
  <c r="AA62" i="13"/>
  <c r="AA61" i="13"/>
  <c r="AA60" i="13"/>
  <c r="AA59" i="13"/>
  <c r="AA58" i="13"/>
  <c r="AA57" i="13"/>
  <c r="AA56" i="13"/>
  <c r="AA55" i="13"/>
  <c r="AA54" i="13"/>
  <c r="AA53" i="13"/>
  <c r="AA52" i="13"/>
  <c r="AA51" i="13"/>
  <c r="AA50" i="13"/>
  <c r="AA49" i="13"/>
  <c r="AA41" i="13"/>
  <c r="AA40" i="13"/>
  <c r="AA39" i="13"/>
  <c r="AA38" i="13"/>
  <c r="AA37" i="13"/>
  <c r="AA36" i="13"/>
  <c r="AA35" i="13"/>
  <c r="AA34" i="13"/>
  <c r="AA33" i="13"/>
  <c r="AA32" i="13"/>
  <c r="AA31" i="13"/>
  <c r="AA30" i="13"/>
  <c r="AA29" i="13"/>
  <c r="AA25" i="13"/>
  <c r="AA24" i="13"/>
  <c r="AA23" i="13"/>
  <c r="AA22" i="13"/>
  <c r="AA21" i="13"/>
  <c r="AA20" i="13"/>
  <c r="AA19" i="13"/>
  <c r="AA18" i="13"/>
  <c r="AA17" i="13"/>
  <c r="AA16" i="13"/>
  <c r="AA15" i="13"/>
  <c r="AA14" i="13"/>
  <c r="AA13" i="13"/>
  <c r="AA12" i="13"/>
  <c r="AA11" i="13"/>
  <c r="AA10" i="13"/>
  <c r="AA9" i="13"/>
  <c r="AA8" i="13"/>
  <c r="AA7" i="13"/>
  <c r="AA6" i="13"/>
  <c r="AA5" i="13"/>
  <c r="AA4" i="13"/>
  <c r="AA3" i="13"/>
  <c r="AA2" i="13"/>
  <c r="E3567" i="60"/>
  <c r="E3566" i="60"/>
  <c r="E3565" i="60"/>
  <c r="E3564" i="60"/>
  <c r="E2469" i="60"/>
  <c r="E2469" i="59"/>
  <c r="E2465" i="60"/>
  <c r="E2465" i="59"/>
  <c r="E2438" i="60"/>
  <c r="E2438" i="59"/>
  <c r="E3634" i="60"/>
  <c r="E3608" i="60"/>
  <c r="E3524" i="60"/>
  <c r="E3495" i="60"/>
  <c r="E3634" i="59"/>
  <c r="E3608" i="59"/>
  <c r="E3524" i="59"/>
  <c r="E3495" i="59"/>
  <c r="E3641" i="59"/>
  <c r="E3615" i="59"/>
  <c r="E3526" i="59"/>
  <c r="E3496" i="59"/>
  <c r="E3641" i="60"/>
  <c r="E3615" i="60"/>
  <c r="E3526" i="60"/>
  <c r="E3496" i="60"/>
  <c r="E3639" i="60"/>
  <c r="E3613" i="60"/>
  <c r="E3527" i="60"/>
  <c r="E3497" i="60"/>
  <c r="E2427" i="60"/>
  <c r="E3639" i="59"/>
  <c r="E3613" i="59"/>
  <c r="E3527" i="59"/>
  <c r="E3497" i="59"/>
  <c r="E2427" i="59"/>
  <c r="E3631" i="59"/>
  <c r="E3605" i="59"/>
  <c r="E3531" i="59"/>
  <c r="E3500" i="59"/>
  <c r="E2424" i="59"/>
  <c r="E3631" i="60"/>
  <c r="E3605" i="60"/>
  <c r="E3531" i="60"/>
  <c r="E3500" i="60"/>
  <c r="E2424" i="60"/>
  <c r="E3501" i="60"/>
  <c r="E3632" i="60"/>
  <c r="E3606" i="60"/>
  <c r="E3532" i="60"/>
  <c r="E3501" i="59"/>
  <c r="E3632" i="59"/>
  <c r="E3606" i="59"/>
  <c r="E3532" i="59"/>
  <c r="E2435" i="60"/>
  <c r="E2434" i="60"/>
  <c r="E2432" i="60"/>
  <c r="E2431" i="60"/>
  <c r="E2429" i="60"/>
  <c r="E2428" i="60"/>
  <c r="E2426" i="60"/>
  <c r="E2425" i="60"/>
  <c r="E2423" i="60"/>
  <c r="E2422" i="60"/>
  <c r="E2420" i="60"/>
  <c r="E2435" i="59"/>
  <c r="E2432" i="59"/>
  <c r="E2429" i="59"/>
  <c r="E2426" i="59"/>
  <c r="E2423" i="59"/>
  <c r="E2420" i="59"/>
  <c r="E2434" i="59"/>
  <c r="E2431" i="59"/>
  <c r="E2428" i="59"/>
  <c r="E2425" i="59"/>
  <c r="E2422" i="59"/>
  <c r="E2301" i="60"/>
  <c r="E2301" i="59"/>
  <c r="E2305" i="59"/>
  <c r="E2305" i="60"/>
  <c r="E2152" i="60"/>
  <c r="E2152" i="59"/>
  <c r="E2150" i="60"/>
  <c r="E2150" i="59"/>
  <c r="E2111" i="60"/>
  <c r="E2109" i="60"/>
  <c r="E2112" i="60"/>
  <c r="E2110" i="60"/>
  <c r="E2111" i="59"/>
  <c r="E2109" i="59"/>
  <c r="E2112" i="59"/>
  <c r="E2110" i="59"/>
  <c r="E2106" i="60"/>
  <c r="E2106" i="59"/>
  <c r="E44" i="15"/>
  <c r="E43" i="15"/>
  <c r="E42" i="15"/>
  <c r="E41" i="15"/>
  <c r="E40" i="15"/>
  <c r="E39" i="15"/>
  <c r="E45" i="15"/>
  <c r="E46" i="15"/>
  <c r="E47" i="15"/>
  <c r="E48" i="15"/>
  <c r="E49" i="15"/>
  <c r="E50" i="15"/>
  <c r="E51" i="15"/>
  <c r="E52" i="15"/>
  <c r="E53" i="15"/>
  <c r="E54" i="15"/>
  <c r="E55" i="15"/>
  <c r="E56" i="15"/>
  <c r="E57" i="15"/>
  <c r="E58" i="15"/>
  <c r="E59" i="15"/>
  <c r="E60" i="15"/>
  <c r="E61" i="15"/>
  <c r="E62" i="15"/>
  <c r="E63" i="15"/>
  <c r="E64" i="15"/>
  <c r="E65" i="15"/>
  <c r="E66" i="15"/>
  <c r="E67" i="15"/>
  <c r="E68" i="15"/>
  <c r="E69" i="15"/>
  <c r="E70" i="15"/>
  <c r="E71" i="15"/>
  <c r="E72" i="15"/>
  <c r="E73" i="15"/>
  <c r="E74" i="15"/>
  <c r="E75" i="15"/>
  <c r="E76" i="15"/>
  <c r="E77" i="15"/>
  <c r="E78" i="15"/>
  <c r="E79" i="15"/>
  <c r="E80" i="15"/>
  <c r="E81" i="15"/>
  <c r="E82" i="15"/>
  <c r="E83" i="15"/>
  <c r="E84" i="15"/>
  <c r="E85" i="15"/>
  <c r="E86" i="15"/>
  <c r="E87" i="15"/>
  <c r="E88" i="15"/>
  <c r="E89" i="15"/>
  <c r="E90" i="15"/>
  <c r="E91" i="15"/>
  <c r="E92" i="15"/>
  <c r="E93" i="15"/>
  <c r="E94" i="15"/>
  <c r="E95" i="15"/>
  <c r="E96" i="15"/>
  <c r="E97" i="15"/>
  <c r="E98" i="15"/>
  <c r="E99" i="15"/>
  <c r="E100" i="15"/>
  <c r="E101" i="15"/>
  <c r="E102" i="15"/>
  <c r="E103" i="15"/>
  <c r="E104" i="15"/>
  <c r="E105" i="15"/>
  <c r="E106" i="15"/>
  <c r="E107" i="15"/>
  <c r="E108" i="15"/>
  <c r="E109" i="15"/>
  <c r="E110" i="15"/>
  <c r="E111" i="15"/>
  <c r="E112" i="15"/>
  <c r="E113" i="15"/>
  <c r="E114" i="15"/>
  <c r="E115" i="15"/>
  <c r="E116" i="15"/>
  <c r="E117" i="15"/>
  <c r="E118" i="15"/>
  <c r="E119" i="15"/>
  <c r="E120" i="15"/>
  <c r="E121" i="15"/>
  <c r="E122" i="15"/>
  <c r="E123" i="15"/>
  <c r="E124" i="15"/>
  <c r="E125" i="15"/>
  <c r="E126" i="15"/>
  <c r="E127" i="15"/>
  <c r="E128" i="15"/>
  <c r="E129" i="15"/>
  <c r="E130" i="15"/>
  <c r="E131" i="15"/>
  <c r="E132" i="15"/>
  <c r="E133" i="15"/>
  <c r="E134" i="15"/>
  <c r="E135" i="15"/>
  <c r="E136" i="15"/>
  <c r="E137" i="15"/>
  <c r="E138" i="15"/>
  <c r="E139" i="15"/>
  <c r="E140" i="15"/>
  <c r="E141" i="15"/>
  <c r="E142" i="15"/>
  <c r="E143" i="15"/>
  <c r="E144" i="15"/>
  <c r="E145" i="15"/>
  <c r="E146" i="15"/>
  <c r="E147" i="15"/>
  <c r="J494" i="29"/>
  <c r="E494" i="29"/>
  <c r="D494" i="29"/>
  <c r="J493" i="29"/>
  <c r="E493" i="29"/>
  <c r="D493" i="29"/>
  <c r="J492" i="29"/>
  <c r="E492" i="29"/>
  <c r="D492" i="29"/>
  <c r="J491" i="29"/>
  <c r="E491" i="29"/>
  <c r="D491" i="29"/>
  <c r="J490" i="29"/>
  <c r="E490" i="29"/>
  <c r="D490" i="29"/>
  <c r="J489" i="29"/>
  <c r="E489" i="29"/>
  <c r="D489" i="29"/>
  <c r="J487" i="29"/>
  <c r="E487" i="29"/>
  <c r="D487" i="29"/>
  <c r="J486" i="29"/>
  <c r="E486" i="29"/>
  <c r="D486" i="29"/>
  <c r="J485" i="29"/>
  <c r="E485" i="29"/>
  <c r="D485" i="29"/>
  <c r="J484" i="29"/>
  <c r="E484" i="29"/>
  <c r="D484" i="29"/>
  <c r="J483" i="29"/>
  <c r="E483" i="29"/>
  <c r="D483" i="29"/>
  <c r="J482" i="29"/>
  <c r="E482" i="29"/>
  <c r="D482" i="29"/>
  <c r="J480" i="29"/>
  <c r="E480" i="29"/>
  <c r="D480" i="29"/>
  <c r="J479" i="29"/>
  <c r="E479" i="29"/>
  <c r="D479" i="29"/>
  <c r="J478" i="29"/>
  <c r="E478" i="29"/>
  <c r="D478" i="29"/>
  <c r="J477" i="29"/>
  <c r="E477" i="29"/>
  <c r="D477" i="29"/>
  <c r="J476" i="29"/>
  <c r="E476" i="29"/>
  <c r="D476" i="29"/>
  <c r="J475" i="29"/>
  <c r="E475" i="29"/>
  <c r="D475" i="29"/>
  <c r="J473" i="29"/>
  <c r="E473" i="29"/>
  <c r="D473" i="29"/>
  <c r="J472" i="29"/>
  <c r="E472" i="29"/>
  <c r="D472" i="29"/>
  <c r="J471" i="29"/>
  <c r="E471" i="29"/>
  <c r="D471" i="29"/>
  <c r="J470" i="29"/>
  <c r="E470" i="29"/>
  <c r="D470" i="29"/>
  <c r="J469" i="29"/>
  <c r="E469" i="29"/>
  <c r="D469" i="29"/>
  <c r="J468" i="29"/>
  <c r="E468" i="29"/>
  <c r="D468" i="29"/>
  <c r="J466" i="29"/>
  <c r="E466" i="29"/>
  <c r="D466" i="29"/>
  <c r="J465" i="29"/>
  <c r="E465" i="29"/>
  <c r="D465" i="29"/>
  <c r="J464" i="29"/>
  <c r="E464" i="29"/>
  <c r="D464" i="29"/>
  <c r="J463" i="29"/>
  <c r="E463" i="29"/>
  <c r="D463" i="29"/>
  <c r="J462" i="29"/>
  <c r="E462" i="29"/>
  <c r="D462" i="29"/>
  <c r="J461" i="29"/>
  <c r="E461" i="29"/>
  <c r="D461" i="29"/>
  <c r="C494" i="29"/>
  <c r="O494" i="29"/>
  <c r="C493" i="29"/>
  <c r="O493" i="29"/>
  <c r="C492" i="29"/>
  <c r="O492" i="29"/>
  <c r="C491" i="29"/>
  <c r="O491" i="29"/>
  <c r="C490" i="29"/>
  <c r="O490" i="29"/>
  <c r="C489" i="29"/>
  <c r="O489" i="29"/>
  <c r="C487" i="29"/>
  <c r="O487" i="29"/>
  <c r="C486" i="29"/>
  <c r="O486" i="29"/>
  <c r="C485" i="29"/>
  <c r="O485" i="29"/>
  <c r="C484" i="29"/>
  <c r="O484" i="29"/>
  <c r="C483" i="29"/>
  <c r="O483" i="29"/>
  <c r="C482" i="29"/>
  <c r="O482" i="29"/>
  <c r="C480" i="29"/>
  <c r="O480" i="29"/>
  <c r="C479" i="29"/>
  <c r="O479" i="29"/>
  <c r="C478" i="29"/>
  <c r="O478" i="29"/>
  <c r="C477" i="29"/>
  <c r="O477" i="29"/>
  <c r="C476" i="29"/>
  <c r="O476" i="29"/>
  <c r="C475" i="29"/>
  <c r="O475" i="29"/>
  <c r="C473" i="29"/>
  <c r="O473" i="29"/>
  <c r="C472" i="29"/>
  <c r="O472" i="29"/>
  <c r="C471" i="29"/>
  <c r="O471" i="29"/>
  <c r="C470" i="29"/>
  <c r="O470" i="29"/>
  <c r="C469" i="29"/>
  <c r="O469" i="29"/>
  <c r="C468" i="29"/>
  <c r="O468" i="29"/>
  <c r="C466" i="29"/>
  <c r="O466" i="29"/>
  <c r="C465" i="29"/>
  <c r="O465" i="29"/>
  <c r="C464" i="29"/>
  <c r="O464" i="29"/>
  <c r="C463" i="29"/>
  <c r="O463" i="29"/>
  <c r="C462" i="29"/>
  <c r="O462" i="29"/>
  <c r="C461" i="29"/>
  <c r="O461" i="29"/>
  <c r="C454" i="29"/>
  <c r="O454" i="29"/>
  <c r="C453" i="29"/>
  <c r="O453" i="29"/>
  <c r="C452" i="29"/>
  <c r="O452" i="29"/>
  <c r="C451" i="29"/>
  <c r="O451" i="29"/>
  <c r="C450" i="29"/>
  <c r="O450" i="29"/>
  <c r="C449" i="29"/>
  <c r="J454" i="29"/>
  <c r="E454" i="29"/>
  <c r="D454" i="29"/>
  <c r="J453" i="29"/>
  <c r="E453" i="29"/>
  <c r="D453" i="29"/>
  <c r="J452" i="29"/>
  <c r="E452" i="29"/>
  <c r="D452" i="29"/>
  <c r="J451" i="29"/>
  <c r="E451" i="29"/>
  <c r="D451" i="29"/>
  <c r="J450" i="29"/>
  <c r="E450" i="29"/>
  <c r="D450" i="29"/>
  <c r="C413" i="29"/>
  <c r="O413" i="29"/>
  <c r="C412" i="29"/>
  <c r="O412" i="29"/>
  <c r="C411" i="29"/>
  <c r="O411" i="29"/>
  <c r="C410" i="29"/>
  <c r="O410" i="29"/>
  <c r="C409" i="29"/>
  <c r="O409" i="29"/>
  <c r="C408" i="29"/>
  <c r="J413" i="29"/>
  <c r="E413" i="29"/>
  <c r="D413" i="29"/>
  <c r="J412" i="29"/>
  <c r="E412" i="29"/>
  <c r="D412" i="29"/>
  <c r="J411" i="29"/>
  <c r="E411" i="29"/>
  <c r="D411" i="29"/>
  <c r="J410" i="29"/>
  <c r="E410" i="29"/>
  <c r="D410" i="29"/>
  <c r="J409" i="29"/>
  <c r="E409" i="29"/>
  <c r="D409" i="29"/>
  <c r="J395" i="29"/>
  <c r="E395" i="29"/>
  <c r="D395" i="29"/>
  <c r="J394" i="29"/>
  <c r="E394" i="29"/>
  <c r="D394" i="29"/>
  <c r="J393" i="29"/>
  <c r="E393" i="29"/>
  <c r="D393" i="29"/>
  <c r="J392" i="29"/>
  <c r="E392" i="29"/>
  <c r="D392" i="29"/>
  <c r="J391" i="29"/>
  <c r="E391" i="29"/>
  <c r="D391" i="29"/>
  <c r="J390" i="29"/>
  <c r="E390" i="29"/>
  <c r="D390" i="29"/>
  <c r="J388" i="29"/>
  <c r="E388" i="29"/>
  <c r="D388" i="29"/>
  <c r="J387" i="29"/>
  <c r="E387" i="29"/>
  <c r="D387" i="29"/>
  <c r="J386" i="29"/>
  <c r="E386" i="29"/>
  <c r="D386" i="29"/>
  <c r="J385" i="29"/>
  <c r="E385" i="29"/>
  <c r="D385" i="29"/>
  <c r="J384" i="29"/>
  <c r="E384" i="29"/>
  <c r="D384" i="29"/>
  <c r="J383" i="29"/>
  <c r="E383" i="29"/>
  <c r="D383" i="29"/>
  <c r="C395" i="29"/>
  <c r="O395" i="29"/>
  <c r="C394" i="29"/>
  <c r="O394" i="29"/>
  <c r="C393" i="29"/>
  <c r="O393" i="29"/>
  <c r="C392" i="29"/>
  <c r="O392" i="29"/>
  <c r="C391" i="29"/>
  <c r="O391" i="29"/>
  <c r="C390" i="29"/>
  <c r="O390" i="29"/>
  <c r="C388" i="29"/>
  <c r="O388" i="29"/>
  <c r="C387" i="29"/>
  <c r="O387" i="29"/>
  <c r="C386" i="29"/>
  <c r="O386" i="29"/>
  <c r="C385" i="29"/>
  <c r="O385" i="29"/>
  <c r="C384" i="29"/>
  <c r="O384" i="29"/>
  <c r="C383" i="29"/>
  <c r="O383" i="29"/>
  <c r="C345" i="29"/>
  <c r="O345" i="29"/>
  <c r="C344" i="29"/>
  <c r="O344" i="29"/>
  <c r="C343" i="29"/>
  <c r="O343" i="29"/>
  <c r="C342" i="29"/>
  <c r="O342" i="29"/>
  <c r="C341" i="29"/>
  <c r="O341" i="29"/>
  <c r="C340" i="29"/>
  <c r="J345" i="29"/>
  <c r="E345" i="29"/>
  <c r="D345" i="29"/>
  <c r="J344" i="29"/>
  <c r="E344" i="29"/>
  <c r="D344" i="29"/>
  <c r="J343" i="29"/>
  <c r="E343" i="29"/>
  <c r="D343" i="29"/>
  <c r="J342" i="29"/>
  <c r="E342" i="29"/>
  <c r="D342" i="29"/>
  <c r="J341" i="29"/>
  <c r="E341" i="29"/>
  <c r="D341" i="29"/>
  <c r="J147" i="29"/>
  <c r="E147" i="29"/>
  <c r="D147" i="29"/>
  <c r="J146" i="29"/>
  <c r="E146" i="29"/>
  <c r="D146" i="29"/>
  <c r="J145" i="29"/>
  <c r="E145" i="29"/>
  <c r="D145" i="29"/>
  <c r="J144" i="29"/>
  <c r="E144" i="29"/>
  <c r="D144" i="29"/>
  <c r="J143" i="29"/>
  <c r="E143" i="29"/>
  <c r="D143" i="29"/>
  <c r="J142" i="29"/>
  <c r="E142" i="29"/>
  <c r="D142" i="29"/>
  <c r="J140" i="29"/>
  <c r="E140" i="29"/>
  <c r="D140" i="29"/>
  <c r="J139" i="29"/>
  <c r="E139" i="29"/>
  <c r="D139" i="29"/>
  <c r="J138" i="29"/>
  <c r="E138" i="29"/>
  <c r="D138" i="29"/>
  <c r="J137" i="29"/>
  <c r="E137" i="29"/>
  <c r="D137" i="29"/>
  <c r="J136" i="29"/>
  <c r="E136" i="29"/>
  <c r="D136" i="29"/>
  <c r="J135" i="29"/>
  <c r="E135" i="29"/>
  <c r="D135" i="29"/>
  <c r="J133" i="29"/>
  <c r="E133" i="29"/>
  <c r="D133" i="29"/>
  <c r="J132" i="29"/>
  <c r="E132" i="29"/>
  <c r="D132" i="29"/>
  <c r="J131" i="29"/>
  <c r="E131" i="29"/>
  <c r="D131" i="29"/>
  <c r="J130" i="29"/>
  <c r="E130" i="29"/>
  <c r="D130" i="29"/>
  <c r="J129" i="29"/>
  <c r="E129" i="29"/>
  <c r="D129" i="29"/>
  <c r="J128" i="29"/>
  <c r="E128" i="29"/>
  <c r="D128" i="29"/>
  <c r="J126" i="29"/>
  <c r="E126" i="29"/>
  <c r="D126" i="29"/>
  <c r="J125" i="29"/>
  <c r="E125" i="29"/>
  <c r="D125" i="29"/>
  <c r="J124" i="29"/>
  <c r="E124" i="29"/>
  <c r="D124" i="29"/>
  <c r="J123" i="29"/>
  <c r="E123" i="29"/>
  <c r="D123" i="29"/>
  <c r="J122" i="29"/>
  <c r="E122" i="29"/>
  <c r="D122" i="29"/>
  <c r="J121" i="29"/>
  <c r="E121" i="29"/>
  <c r="D121" i="29"/>
  <c r="C147" i="29"/>
  <c r="O147" i="29"/>
  <c r="C146" i="29"/>
  <c r="O146" i="29"/>
  <c r="C145" i="29"/>
  <c r="O145" i="29"/>
  <c r="C144" i="29"/>
  <c r="O144" i="29"/>
  <c r="C143" i="29"/>
  <c r="O143" i="29"/>
  <c r="C142" i="29"/>
  <c r="O142" i="29"/>
  <c r="C140" i="29"/>
  <c r="O140" i="29"/>
  <c r="C139" i="29"/>
  <c r="O139" i="29"/>
  <c r="C138" i="29"/>
  <c r="O138" i="29"/>
  <c r="C137" i="29"/>
  <c r="O137" i="29"/>
  <c r="C136" i="29"/>
  <c r="O136" i="29"/>
  <c r="C135" i="29"/>
  <c r="O135" i="29"/>
  <c r="C133" i="29"/>
  <c r="O133" i="29"/>
  <c r="C132" i="29"/>
  <c r="O132" i="29"/>
  <c r="C131" i="29"/>
  <c r="O131" i="29"/>
  <c r="C130" i="29"/>
  <c r="O130" i="29"/>
  <c r="C129" i="29"/>
  <c r="O129" i="29"/>
  <c r="C128" i="29"/>
  <c r="O128" i="29"/>
  <c r="C126" i="29"/>
  <c r="O126" i="29"/>
  <c r="C125" i="29"/>
  <c r="O125" i="29"/>
  <c r="C124" i="29"/>
  <c r="O124" i="29"/>
  <c r="C123" i="29"/>
  <c r="O123" i="29"/>
  <c r="C122" i="29"/>
  <c r="O122" i="29"/>
  <c r="C121" i="29"/>
  <c r="O121" i="29"/>
  <c r="C93" i="29"/>
  <c r="O93" i="29"/>
  <c r="C92" i="29"/>
  <c r="O92" i="29"/>
  <c r="C91" i="29"/>
  <c r="O91" i="29"/>
  <c r="C90" i="29"/>
  <c r="O90" i="29"/>
  <c r="C89" i="29"/>
  <c r="O89" i="29"/>
  <c r="C88" i="29"/>
  <c r="J93" i="29"/>
  <c r="E93" i="29"/>
  <c r="D93" i="29"/>
  <c r="J92" i="29"/>
  <c r="E92" i="29"/>
  <c r="D92" i="29"/>
  <c r="J91" i="29"/>
  <c r="E91" i="29"/>
  <c r="D91" i="29"/>
  <c r="J90" i="29"/>
  <c r="E90" i="29"/>
  <c r="D90" i="29"/>
  <c r="J89" i="29"/>
  <c r="E89" i="29"/>
  <c r="D89" i="29"/>
  <c r="J562" i="29"/>
  <c r="E562" i="29"/>
  <c r="D562" i="29"/>
  <c r="J561" i="29"/>
  <c r="E561" i="29"/>
  <c r="D561" i="29"/>
  <c r="J560" i="29"/>
  <c r="E560" i="29"/>
  <c r="D560" i="29"/>
  <c r="J559" i="29"/>
  <c r="E559" i="29"/>
  <c r="D559" i="29"/>
  <c r="J558" i="29"/>
  <c r="E558" i="29"/>
  <c r="D558" i="29"/>
  <c r="J557" i="29"/>
  <c r="E557" i="29"/>
  <c r="D557" i="29"/>
  <c r="J555" i="29"/>
  <c r="E555" i="29"/>
  <c r="D555" i="29"/>
  <c r="J554" i="29"/>
  <c r="E554" i="29"/>
  <c r="D554" i="29"/>
  <c r="J553" i="29"/>
  <c r="E553" i="29"/>
  <c r="D553" i="29"/>
  <c r="J552" i="29"/>
  <c r="E552" i="29"/>
  <c r="D552" i="29"/>
  <c r="J551" i="29"/>
  <c r="E551" i="29"/>
  <c r="D551" i="29"/>
  <c r="J550" i="29"/>
  <c r="E550" i="29"/>
  <c r="D550" i="29"/>
  <c r="J548" i="29"/>
  <c r="E548" i="29"/>
  <c r="D548" i="29"/>
  <c r="J547" i="29"/>
  <c r="E547" i="29"/>
  <c r="D547" i="29"/>
  <c r="J546" i="29"/>
  <c r="E546" i="29"/>
  <c r="D546" i="29"/>
  <c r="J545" i="29"/>
  <c r="E545" i="29"/>
  <c r="D545" i="29"/>
  <c r="J544" i="29"/>
  <c r="E544" i="29"/>
  <c r="D544" i="29"/>
  <c r="J543" i="29"/>
  <c r="E543" i="29"/>
  <c r="D543" i="29"/>
  <c r="C562" i="29"/>
  <c r="O562" i="29"/>
  <c r="C561" i="29"/>
  <c r="O561" i="29"/>
  <c r="C560" i="29"/>
  <c r="O560" i="29"/>
  <c r="C559" i="29"/>
  <c r="O559" i="29"/>
  <c r="C558" i="29"/>
  <c r="O558" i="29"/>
  <c r="C557" i="29"/>
  <c r="O557" i="29"/>
  <c r="C555" i="29"/>
  <c r="O555" i="29"/>
  <c r="C554" i="29"/>
  <c r="O554" i="29"/>
  <c r="C553" i="29"/>
  <c r="O553" i="29"/>
  <c r="C552" i="29"/>
  <c r="O552" i="29"/>
  <c r="C551" i="29"/>
  <c r="O551" i="29"/>
  <c r="C550" i="29"/>
  <c r="O550" i="29"/>
  <c r="C548" i="29"/>
  <c r="O548" i="29"/>
  <c r="C547" i="29"/>
  <c r="O547" i="29"/>
  <c r="C546" i="29"/>
  <c r="O546" i="29"/>
  <c r="C545" i="29"/>
  <c r="O545" i="29"/>
  <c r="C544" i="29"/>
  <c r="O544" i="29"/>
  <c r="C543" i="29"/>
  <c r="O543" i="29"/>
  <c r="Q117" i="11"/>
  <c r="J117" i="11"/>
  <c r="E117" i="11"/>
  <c r="D117" i="11"/>
  <c r="Q116" i="11"/>
  <c r="J116" i="11"/>
  <c r="E116" i="11"/>
  <c r="D116" i="11"/>
  <c r="Q115" i="11"/>
  <c r="J115" i="11"/>
  <c r="E115" i="11"/>
  <c r="D115" i="11"/>
  <c r="Q114" i="11"/>
  <c r="J114" i="11"/>
  <c r="E114" i="11"/>
  <c r="D114" i="11"/>
  <c r="Q113" i="11"/>
  <c r="J113" i="11"/>
  <c r="E113" i="11"/>
  <c r="D113" i="11"/>
  <c r="K113" i="11" s="1"/>
  <c r="Q112" i="11"/>
  <c r="J112" i="11"/>
  <c r="E112" i="11"/>
  <c r="D112" i="11"/>
  <c r="Q110" i="11"/>
  <c r="J110" i="11"/>
  <c r="E110" i="11"/>
  <c r="D110" i="11"/>
  <c r="Q109" i="11"/>
  <c r="J109" i="11"/>
  <c r="E109" i="11"/>
  <c r="D109" i="11"/>
  <c r="Q108" i="11"/>
  <c r="J108" i="11"/>
  <c r="E108" i="11"/>
  <c r="D108" i="11"/>
  <c r="Q107" i="11"/>
  <c r="J107" i="11"/>
  <c r="E107" i="11"/>
  <c r="D107" i="11"/>
  <c r="Q106" i="11"/>
  <c r="J106" i="11"/>
  <c r="E106" i="11"/>
  <c r="D106" i="11"/>
  <c r="L106" i="11" s="1"/>
  <c r="Q105" i="11"/>
  <c r="J105" i="11"/>
  <c r="E105" i="11"/>
  <c r="D105" i="11"/>
  <c r="Q103" i="11"/>
  <c r="J103" i="11"/>
  <c r="E103" i="11"/>
  <c r="D103" i="11"/>
  <c r="Q102" i="11"/>
  <c r="J102" i="11"/>
  <c r="E102" i="11"/>
  <c r="D102" i="11"/>
  <c r="Q101" i="11"/>
  <c r="J101" i="11"/>
  <c r="E101" i="11"/>
  <c r="D101" i="11"/>
  <c r="Q100" i="11"/>
  <c r="J100" i="11"/>
  <c r="E100" i="11"/>
  <c r="D100" i="11"/>
  <c r="Q99" i="11"/>
  <c r="J99" i="11"/>
  <c r="E99" i="11"/>
  <c r="D99" i="11"/>
  <c r="L99" i="11" s="1"/>
  <c r="Q98" i="11"/>
  <c r="J98" i="11"/>
  <c r="E98" i="11"/>
  <c r="D98" i="11"/>
  <c r="C117" i="11"/>
  <c r="O117" i="11"/>
  <c r="C116" i="11"/>
  <c r="O116" i="11"/>
  <c r="C115" i="11"/>
  <c r="O115" i="11"/>
  <c r="C114" i="11"/>
  <c r="O114" i="11"/>
  <c r="C113" i="11"/>
  <c r="O113" i="11"/>
  <c r="C112" i="11"/>
  <c r="O112" i="11"/>
  <c r="C110" i="11"/>
  <c r="O110" i="11"/>
  <c r="C109" i="11"/>
  <c r="O109" i="11"/>
  <c r="C108" i="11"/>
  <c r="O108" i="11"/>
  <c r="C107" i="11"/>
  <c r="O107" i="11"/>
  <c r="C106" i="11"/>
  <c r="O106" i="11"/>
  <c r="C105" i="11"/>
  <c r="O105" i="11"/>
  <c r="C103" i="11"/>
  <c r="O103" i="11"/>
  <c r="C102" i="11"/>
  <c r="O102" i="11"/>
  <c r="C101" i="11"/>
  <c r="O101" i="11"/>
  <c r="C100" i="11"/>
  <c r="O100" i="11"/>
  <c r="C99" i="11"/>
  <c r="O99" i="11"/>
  <c r="C98" i="11"/>
  <c r="O98" i="11"/>
  <c r="Q40" i="11"/>
  <c r="J40" i="11"/>
  <c r="E40" i="11"/>
  <c r="D40" i="11"/>
  <c r="Q39" i="11"/>
  <c r="J39" i="11"/>
  <c r="E39" i="11"/>
  <c r="D39" i="11"/>
  <c r="Q38" i="11"/>
  <c r="J38" i="11"/>
  <c r="E38" i="11"/>
  <c r="D38" i="11"/>
  <c r="Q37" i="11"/>
  <c r="J37" i="11"/>
  <c r="E37" i="11"/>
  <c r="D37" i="11"/>
  <c r="Q36" i="11"/>
  <c r="J36" i="11"/>
  <c r="E36" i="11"/>
  <c r="D36" i="11"/>
  <c r="K36" i="11" s="1"/>
  <c r="Q35" i="11"/>
  <c r="J35" i="11"/>
  <c r="E35" i="11"/>
  <c r="D35" i="11"/>
  <c r="Q33" i="11"/>
  <c r="J33" i="11"/>
  <c r="E33" i="11"/>
  <c r="D33" i="11"/>
  <c r="Q32" i="11"/>
  <c r="J32" i="11"/>
  <c r="E32" i="11"/>
  <c r="D32" i="11"/>
  <c r="Q31" i="11"/>
  <c r="J31" i="11"/>
  <c r="E31" i="11"/>
  <c r="D31" i="11"/>
  <c r="Q30" i="11"/>
  <c r="J30" i="11"/>
  <c r="E30" i="11"/>
  <c r="D30" i="11"/>
  <c r="Q29" i="11"/>
  <c r="J29" i="11"/>
  <c r="E29" i="11"/>
  <c r="D29" i="11"/>
  <c r="K29" i="11" s="1"/>
  <c r="Q28" i="11"/>
  <c r="J28" i="11"/>
  <c r="E28" i="11"/>
  <c r="D28" i="11"/>
  <c r="Q26" i="11"/>
  <c r="J26" i="11"/>
  <c r="E26" i="11"/>
  <c r="D26" i="11"/>
  <c r="Q25" i="11"/>
  <c r="J25" i="11"/>
  <c r="E25" i="11"/>
  <c r="D25" i="11"/>
  <c r="Q24" i="11"/>
  <c r="J24" i="11"/>
  <c r="E24" i="11"/>
  <c r="D24" i="11"/>
  <c r="Q23" i="11"/>
  <c r="J23" i="11"/>
  <c r="E23" i="11"/>
  <c r="D23" i="11"/>
  <c r="Q22" i="11"/>
  <c r="J22" i="11"/>
  <c r="E22" i="11"/>
  <c r="D22" i="11"/>
  <c r="K22" i="11" s="1"/>
  <c r="Q21" i="11"/>
  <c r="J21" i="11"/>
  <c r="E21" i="11"/>
  <c r="D21" i="11"/>
  <c r="Q19" i="11"/>
  <c r="J19" i="11"/>
  <c r="E19" i="11"/>
  <c r="D19" i="11"/>
  <c r="Q18" i="11"/>
  <c r="J18" i="11"/>
  <c r="E18" i="11"/>
  <c r="D18" i="11"/>
  <c r="Q17" i="11"/>
  <c r="J17" i="11"/>
  <c r="E17" i="11"/>
  <c r="D17" i="11"/>
  <c r="Q16" i="11"/>
  <c r="J16" i="11"/>
  <c r="E16" i="11"/>
  <c r="D16" i="11"/>
  <c r="Q15" i="11"/>
  <c r="J15" i="11"/>
  <c r="E15" i="11"/>
  <c r="D15" i="11"/>
  <c r="L15" i="11" s="1"/>
  <c r="Q14" i="11"/>
  <c r="J14" i="11"/>
  <c r="E14" i="11"/>
  <c r="D14" i="11"/>
  <c r="Q12" i="11"/>
  <c r="J12" i="11"/>
  <c r="E12" i="11"/>
  <c r="D12" i="11"/>
  <c r="Q11" i="11"/>
  <c r="J11" i="11"/>
  <c r="E11" i="11"/>
  <c r="D11" i="11"/>
  <c r="Q10" i="11"/>
  <c r="J10" i="11"/>
  <c r="E10" i="11"/>
  <c r="D10" i="11"/>
  <c r="Q9" i="11"/>
  <c r="J9" i="11"/>
  <c r="E9" i="11"/>
  <c r="D9" i="11"/>
  <c r="Q8" i="11"/>
  <c r="J8" i="11"/>
  <c r="E8" i="11"/>
  <c r="D8" i="11"/>
  <c r="K8" i="11" s="1"/>
  <c r="Q7" i="11"/>
  <c r="J7" i="11"/>
  <c r="E7" i="11"/>
  <c r="D7" i="11"/>
  <c r="C40" i="11"/>
  <c r="O40" i="11"/>
  <c r="C39" i="11"/>
  <c r="O39" i="11"/>
  <c r="C38" i="11"/>
  <c r="O38" i="11"/>
  <c r="C37" i="11"/>
  <c r="O37" i="11"/>
  <c r="C36" i="11"/>
  <c r="O36" i="11"/>
  <c r="C35" i="11"/>
  <c r="O35" i="11"/>
  <c r="C33" i="11"/>
  <c r="O33" i="11"/>
  <c r="C32" i="11"/>
  <c r="O32" i="11"/>
  <c r="C31" i="11"/>
  <c r="O31" i="11"/>
  <c r="C30" i="11"/>
  <c r="O30" i="11"/>
  <c r="C29" i="11"/>
  <c r="O29" i="11"/>
  <c r="C28" i="11"/>
  <c r="O28" i="11"/>
  <c r="C26" i="11"/>
  <c r="O26" i="11"/>
  <c r="C25" i="11"/>
  <c r="O25" i="11"/>
  <c r="C24" i="11"/>
  <c r="O24" i="11"/>
  <c r="C23" i="11"/>
  <c r="O23" i="11"/>
  <c r="C22" i="11"/>
  <c r="O22" i="11"/>
  <c r="C21" i="11"/>
  <c r="O21" i="11"/>
  <c r="C19" i="11"/>
  <c r="O19" i="11"/>
  <c r="C18" i="11"/>
  <c r="O18" i="11"/>
  <c r="C17" i="11"/>
  <c r="O17" i="11"/>
  <c r="C16" i="11"/>
  <c r="O16" i="11"/>
  <c r="C15" i="11"/>
  <c r="O15" i="11"/>
  <c r="C14" i="11"/>
  <c r="O14" i="11"/>
  <c r="C12" i="11"/>
  <c r="O12" i="11"/>
  <c r="C11" i="11"/>
  <c r="O11" i="11"/>
  <c r="C10" i="11"/>
  <c r="O10" i="11"/>
  <c r="C9" i="11"/>
  <c r="O9" i="11"/>
  <c r="C8" i="11"/>
  <c r="O8" i="11"/>
  <c r="C7" i="11"/>
  <c r="O7" i="11"/>
  <c r="C23" i="10"/>
  <c r="O23" i="10"/>
  <c r="C22" i="10"/>
  <c r="O22" i="10"/>
  <c r="C21" i="10"/>
  <c r="O21" i="10"/>
  <c r="C20" i="10"/>
  <c r="O20" i="10"/>
  <c r="C19" i="10"/>
  <c r="O19" i="10"/>
  <c r="C18" i="10"/>
  <c r="O18" i="10"/>
  <c r="Q23" i="10"/>
  <c r="J23" i="10"/>
  <c r="E23" i="10"/>
  <c r="Q22" i="10"/>
  <c r="J22" i="10"/>
  <c r="E22" i="10"/>
  <c r="Q21" i="10"/>
  <c r="J21" i="10"/>
  <c r="E21" i="10"/>
  <c r="Q20" i="10"/>
  <c r="J20" i="10"/>
  <c r="E20" i="10"/>
  <c r="Q19" i="10"/>
  <c r="J19" i="10"/>
  <c r="E19" i="10"/>
  <c r="J26" i="9"/>
  <c r="E26" i="9"/>
  <c r="D26" i="9"/>
  <c r="L26" i="9" s="1"/>
  <c r="J25" i="9"/>
  <c r="E25" i="9"/>
  <c r="D25" i="9"/>
  <c r="L25" i="9" s="1"/>
  <c r="J24" i="9"/>
  <c r="E24" i="9"/>
  <c r="D24" i="9"/>
  <c r="K24" i="9" s="1"/>
  <c r="J23" i="9"/>
  <c r="E23" i="9"/>
  <c r="D23" i="9"/>
  <c r="J22" i="9"/>
  <c r="E22" i="9"/>
  <c r="D22" i="9"/>
  <c r="J21" i="9"/>
  <c r="E21" i="9"/>
  <c r="D21" i="9"/>
  <c r="J19" i="9"/>
  <c r="E19" i="9"/>
  <c r="D19" i="9"/>
  <c r="K19" i="9" s="1"/>
  <c r="J18" i="9"/>
  <c r="E18" i="9"/>
  <c r="D18" i="9"/>
  <c r="J17" i="9"/>
  <c r="E17" i="9"/>
  <c r="D17" i="9"/>
  <c r="J16" i="9"/>
  <c r="E16" i="9"/>
  <c r="D16" i="9"/>
  <c r="J15" i="9"/>
  <c r="E15" i="9"/>
  <c r="D15" i="9"/>
  <c r="L15" i="9" s="1"/>
  <c r="J14" i="9"/>
  <c r="E14" i="9"/>
  <c r="D14" i="9"/>
  <c r="K14" i="9" s="1"/>
  <c r="J12" i="9"/>
  <c r="E12" i="9"/>
  <c r="D12" i="9"/>
  <c r="J11" i="9"/>
  <c r="E11" i="9"/>
  <c r="D11" i="9"/>
  <c r="J10" i="9"/>
  <c r="E10" i="9"/>
  <c r="D10" i="9"/>
  <c r="L10" i="9" s="1"/>
  <c r="J9" i="9"/>
  <c r="E9" i="9"/>
  <c r="D9" i="9"/>
  <c r="J8" i="9"/>
  <c r="E8" i="9"/>
  <c r="D8" i="9"/>
  <c r="J7" i="9"/>
  <c r="E7" i="9"/>
  <c r="D7" i="9"/>
  <c r="K7" i="9" s="1"/>
  <c r="C26" i="9"/>
  <c r="O26" i="9"/>
  <c r="C25" i="9"/>
  <c r="O25" i="9"/>
  <c r="C24" i="9"/>
  <c r="C23" i="9"/>
  <c r="C22" i="9"/>
  <c r="C21" i="9"/>
  <c r="C19" i="9"/>
  <c r="C18" i="9"/>
  <c r="C17" i="9"/>
  <c r="C16" i="9"/>
  <c r="C15" i="9"/>
  <c r="C14" i="9"/>
  <c r="C12" i="9"/>
  <c r="C11" i="9"/>
  <c r="C10" i="9"/>
  <c r="C9" i="9"/>
  <c r="C8" i="9"/>
  <c r="O8" i="9"/>
  <c r="C7" i="9"/>
  <c r="C28" i="7"/>
  <c r="D28" i="7"/>
  <c r="C54" i="9"/>
  <c r="C53" i="9"/>
  <c r="C52" i="9"/>
  <c r="O52" i="9"/>
  <c r="C51" i="9"/>
  <c r="C50" i="9"/>
  <c r="C49" i="9"/>
  <c r="J54" i="9"/>
  <c r="E54" i="9"/>
  <c r="D54" i="9"/>
  <c r="L54" i="9" s="1"/>
  <c r="J53" i="9"/>
  <c r="E53" i="9"/>
  <c r="D53" i="9"/>
  <c r="L53" i="9" s="1"/>
  <c r="J52" i="9"/>
  <c r="E52" i="9"/>
  <c r="D52" i="9"/>
  <c r="K52" i="9" s="1"/>
  <c r="J51" i="9"/>
  <c r="E51" i="9"/>
  <c r="D51" i="9"/>
  <c r="K51" i="9" s="1"/>
  <c r="J50" i="9"/>
  <c r="E50" i="9"/>
  <c r="D50" i="9"/>
  <c r="L50" i="9" s="1"/>
  <c r="C49" i="8"/>
  <c r="C48" i="8"/>
  <c r="C47" i="8"/>
  <c r="C46" i="8"/>
  <c r="C45" i="8"/>
  <c r="D45" i="8"/>
  <c r="L45" i="8"/>
  <c r="K45" i="8"/>
  <c r="C44" i="8"/>
  <c r="J49" i="8"/>
  <c r="E49" i="8"/>
  <c r="D49" i="8"/>
  <c r="J48" i="8"/>
  <c r="E48" i="8"/>
  <c r="D48" i="8"/>
  <c r="J47" i="8"/>
  <c r="E47" i="8"/>
  <c r="D47" i="8"/>
  <c r="J46" i="8"/>
  <c r="E46" i="8"/>
  <c r="D46" i="8"/>
  <c r="J45" i="8"/>
  <c r="E45" i="8"/>
  <c r="J26" i="8"/>
  <c r="E26" i="8"/>
  <c r="D26" i="8"/>
  <c r="J25" i="8"/>
  <c r="E25" i="8"/>
  <c r="D25" i="8"/>
  <c r="J24" i="8"/>
  <c r="E24" i="8"/>
  <c r="D24" i="8"/>
  <c r="K24" i="8" s="1"/>
  <c r="J23" i="8"/>
  <c r="E23" i="8"/>
  <c r="D23" i="8"/>
  <c r="J22" i="8"/>
  <c r="E22" i="8"/>
  <c r="D22" i="8"/>
  <c r="J21" i="8"/>
  <c r="E21" i="8"/>
  <c r="D21" i="8"/>
  <c r="J19" i="8"/>
  <c r="E19" i="8"/>
  <c r="D19" i="8"/>
  <c r="J18" i="8"/>
  <c r="E18" i="8"/>
  <c r="D18" i="8"/>
  <c r="J17" i="8"/>
  <c r="E17" i="8"/>
  <c r="D17" i="8"/>
  <c r="J16" i="8"/>
  <c r="E16" i="8"/>
  <c r="D16" i="8"/>
  <c r="J15" i="8"/>
  <c r="E15" i="8"/>
  <c r="D15" i="8"/>
  <c r="K15" i="8" s="1"/>
  <c r="J14" i="8"/>
  <c r="E14" i="8"/>
  <c r="D14" i="8"/>
  <c r="L14" i="8" s="1"/>
  <c r="J12" i="8"/>
  <c r="E12" i="8"/>
  <c r="D12" i="8"/>
  <c r="J11" i="8"/>
  <c r="E11" i="8"/>
  <c r="D11" i="8"/>
  <c r="J10" i="8"/>
  <c r="E10" i="8"/>
  <c r="D10" i="8"/>
  <c r="J9" i="8"/>
  <c r="E9" i="8"/>
  <c r="D9" i="8"/>
  <c r="J8" i="8"/>
  <c r="E8" i="8"/>
  <c r="D8" i="8"/>
  <c r="J7" i="8"/>
  <c r="E7" i="8"/>
  <c r="D7" i="8"/>
  <c r="C7" i="8"/>
  <c r="C8" i="8"/>
  <c r="C9" i="8"/>
  <c r="C10" i="8"/>
  <c r="O10" i="8"/>
  <c r="C11" i="8"/>
  <c r="C12" i="8"/>
  <c r="O12" i="8"/>
  <c r="C26" i="8"/>
  <c r="C25" i="8"/>
  <c r="C24" i="8"/>
  <c r="O24" i="8"/>
  <c r="C23" i="8"/>
  <c r="O23" i="8"/>
  <c r="C22" i="8"/>
  <c r="O22" i="8"/>
  <c r="C21" i="8"/>
  <c r="C19" i="8"/>
  <c r="C18" i="8"/>
  <c r="C17" i="8"/>
  <c r="C16" i="8"/>
  <c r="C15" i="8"/>
  <c r="C14" i="8"/>
  <c r="O14" i="8"/>
  <c r="E71" i="7"/>
  <c r="D71" i="7"/>
  <c r="E70" i="7"/>
  <c r="D70" i="7"/>
  <c r="E69" i="7"/>
  <c r="D69" i="7"/>
  <c r="E68" i="7"/>
  <c r="D68" i="7"/>
  <c r="E67" i="7"/>
  <c r="D67" i="7"/>
  <c r="E66" i="7"/>
  <c r="D66" i="7"/>
  <c r="K66" i="7" s="1"/>
  <c r="J71" i="7"/>
  <c r="J70" i="7"/>
  <c r="J69" i="7"/>
  <c r="J68" i="7"/>
  <c r="J67" i="7"/>
  <c r="J66" i="7"/>
  <c r="E34" i="30"/>
  <c r="D34" i="30"/>
  <c r="K34" i="30" s="1"/>
  <c r="E33" i="30"/>
  <c r="D33" i="30"/>
  <c r="E32" i="30"/>
  <c r="D32" i="30"/>
  <c r="K32" i="30" s="1"/>
  <c r="E31" i="30"/>
  <c r="D31" i="30"/>
  <c r="E30" i="30"/>
  <c r="D30" i="30"/>
  <c r="E29" i="30"/>
  <c r="D29" i="30"/>
  <c r="E27" i="30"/>
  <c r="D27" i="30"/>
  <c r="E26" i="30"/>
  <c r="D26" i="30"/>
  <c r="E25" i="30"/>
  <c r="D25" i="30"/>
  <c r="E24" i="30"/>
  <c r="D24" i="30"/>
  <c r="E23" i="30"/>
  <c r="D23" i="30"/>
  <c r="K23" i="30" s="1"/>
  <c r="E22" i="30"/>
  <c r="D22" i="30"/>
  <c r="E20" i="30"/>
  <c r="D20" i="30"/>
  <c r="L20" i="30" s="1"/>
  <c r="E19" i="30"/>
  <c r="D19" i="30"/>
  <c r="E18" i="30"/>
  <c r="D18" i="30"/>
  <c r="E17" i="30"/>
  <c r="D17" i="30"/>
  <c r="L17" i="30" s="1"/>
  <c r="E16" i="30"/>
  <c r="D16" i="30"/>
  <c r="E15" i="30"/>
  <c r="D15" i="30"/>
  <c r="E13" i="30"/>
  <c r="D13" i="30"/>
  <c r="E12" i="30"/>
  <c r="D12" i="30"/>
  <c r="E11" i="30"/>
  <c r="D11" i="30"/>
  <c r="E10" i="30"/>
  <c r="D10" i="30"/>
  <c r="E9" i="30"/>
  <c r="D9" i="30"/>
  <c r="E8" i="30"/>
  <c r="D8" i="30"/>
  <c r="J34" i="30"/>
  <c r="J33" i="30"/>
  <c r="J32" i="30"/>
  <c r="J31" i="30"/>
  <c r="J30" i="30"/>
  <c r="J29" i="30"/>
  <c r="J27" i="30"/>
  <c r="J26" i="30"/>
  <c r="J25" i="30"/>
  <c r="J24" i="30"/>
  <c r="J23" i="30"/>
  <c r="J22" i="30"/>
  <c r="J20" i="30"/>
  <c r="J19" i="30"/>
  <c r="J18" i="30"/>
  <c r="J17" i="30"/>
  <c r="J16" i="30"/>
  <c r="J15" i="30"/>
  <c r="J13" i="30"/>
  <c r="J12" i="30"/>
  <c r="J11" i="30"/>
  <c r="J10" i="30"/>
  <c r="J9" i="30"/>
  <c r="J8" i="30"/>
  <c r="E33" i="4"/>
  <c r="D33" i="4"/>
  <c r="E32" i="4"/>
  <c r="D32" i="4"/>
  <c r="E31" i="4"/>
  <c r="D31" i="4"/>
  <c r="L31" i="4" s="1"/>
  <c r="E30" i="4"/>
  <c r="D30" i="4"/>
  <c r="E29" i="4"/>
  <c r="D29" i="4"/>
  <c r="K29" i="4" s="1"/>
  <c r="E28" i="4"/>
  <c r="D28" i="4"/>
  <c r="E26" i="4"/>
  <c r="D26" i="4"/>
  <c r="E25" i="4"/>
  <c r="D25" i="4"/>
  <c r="E24" i="4"/>
  <c r="D24" i="4"/>
  <c r="L24" i="4" s="1"/>
  <c r="E23" i="4"/>
  <c r="D23" i="4"/>
  <c r="E22" i="4"/>
  <c r="D22" i="4"/>
  <c r="E21" i="4"/>
  <c r="D21" i="4"/>
  <c r="E19" i="4"/>
  <c r="D19" i="4"/>
  <c r="L19" i="4" s="1"/>
  <c r="E18" i="4"/>
  <c r="D18" i="4"/>
  <c r="L18" i="4" s="1"/>
  <c r="E17" i="4"/>
  <c r="D17" i="4"/>
  <c r="L17" i="4" s="1"/>
  <c r="E16" i="4"/>
  <c r="D16" i="4"/>
  <c r="K16" i="4" s="1"/>
  <c r="E15" i="4"/>
  <c r="D15" i="4"/>
  <c r="K15" i="4" s="1"/>
  <c r="E14" i="4"/>
  <c r="D14" i="4"/>
  <c r="E12" i="4"/>
  <c r="D12" i="4"/>
  <c r="E11" i="4"/>
  <c r="D11" i="4"/>
  <c r="E10" i="4"/>
  <c r="D10" i="4"/>
  <c r="L10" i="4" s="1"/>
  <c r="E9" i="4"/>
  <c r="D9" i="4"/>
  <c r="E8" i="4"/>
  <c r="D8" i="4"/>
  <c r="E7" i="4"/>
  <c r="D7" i="4"/>
  <c r="J33" i="4"/>
  <c r="J32" i="4"/>
  <c r="J31" i="4"/>
  <c r="J30" i="4"/>
  <c r="J29" i="4"/>
  <c r="J28" i="4"/>
  <c r="J26" i="4"/>
  <c r="J25" i="4"/>
  <c r="J24" i="4"/>
  <c r="J23" i="4"/>
  <c r="J22" i="4"/>
  <c r="J21" i="4"/>
  <c r="J19" i="4"/>
  <c r="J18" i="4"/>
  <c r="J17" i="4"/>
  <c r="J16" i="4"/>
  <c r="J15" i="4"/>
  <c r="J14" i="4"/>
  <c r="J12" i="4"/>
  <c r="J11" i="4"/>
  <c r="J10" i="4"/>
  <c r="J9" i="4"/>
  <c r="J8" i="4"/>
  <c r="J7" i="4"/>
  <c r="J173" i="3"/>
  <c r="E173" i="3"/>
  <c r="D173" i="3"/>
  <c r="L173" i="3" s="1"/>
  <c r="J172" i="3"/>
  <c r="E172" i="3"/>
  <c r="D172" i="3"/>
  <c r="L172" i="3" s="1"/>
  <c r="J171" i="3"/>
  <c r="E171" i="3"/>
  <c r="D171" i="3"/>
  <c r="K171" i="3" s="1"/>
  <c r="J170" i="3"/>
  <c r="E170" i="3"/>
  <c r="D170" i="3"/>
  <c r="J169" i="3"/>
  <c r="E169" i="3"/>
  <c r="D169" i="3"/>
  <c r="J166" i="3"/>
  <c r="E166" i="3"/>
  <c r="D166" i="3"/>
  <c r="K166" i="3" s="1"/>
  <c r="J165" i="3"/>
  <c r="E165" i="3"/>
  <c r="D165" i="3"/>
  <c r="K165" i="3" s="1"/>
  <c r="J164" i="3"/>
  <c r="E164" i="3"/>
  <c r="D164" i="3"/>
  <c r="J163" i="3"/>
  <c r="E163" i="3"/>
  <c r="D163" i="3"/>
  <c r="K163" i="3" s="1"/>
  <c r="J162" i="3"/>
  <c r="E162" i="3"/>
  <c r="D162" i="3"/>
  <c r="K162" i="3" s="1"/>
  <c r="J159" i="3"/>
  <c r="E159" i="3"/>
  <c r="D159" i="3"/>
  <c r="J158" i="3"/>
  <c r="E158" i="3"/>
  <c r="D158" i="3"/>
  <c r="J157" i="3"/>
  <c r="E157" i="3"/>
  <c r="D157" i="3"/>
  <c r="J156" i="3"/>
  <c r="E156" i="3"/>
  <c r="D156" i="3"/>
  <c r="K156" i="3" s="1"/>
  <c r="J155" i="3"/>
  <c r="E155" i="3"/>
  <c r="D155" i="3"/>
  <c r="J261" i="3"/>
  <c r="E261" i="3"/>
  <c r="D261" i="3"/>
  <c r="J260" i="3"/>
  <c r="E260" i="3"/>
  <c r="D260" i="3"/>
  <c r="K260" i="3" s="1"/>
  <c r="J259" i="3"/>
  <c r="E259" i="3"/>
  <c r="D259" i="3"/>
  <c r="J258" i="3"/>
  <c r="E258" i="3"/>
  <c r="D258" i="3"/>
  <c r="J257" i="3"/>
  <c r="E257" i="3"/>
  <c r="D257" i="3"/>
  <c r="E256" i="3"/>
  <c r="D256" i="3"/>
  <c r="L256" i="3" s="1"/>
  <c r="J256" i="3"/>
  <c r="C261" i="3"/>
  <c r="C260" i="3"/>
  <c r="C259" i="3"/>
  <c r="C258" i="3"/>
  <c r="C257" i="3"/>
  <c r="C256" i="3"/>
  <c r="J64" i="7"/>
  <c r="E64" i="7"/>
  <c r="D64" i="7"/>
  <c r="J63" i="7"/>
  <c r="E63" i="7"/>
  <c r="D63" i="7"/>
  <c r="J62" i="7"/>
  <c r="E62" i="7"/>
  <c r="D62" i="7"/>
  <c r="J61" i="7"/>
  <c r="E61" i="7"/>
  <c r="D61" i="7"/>
  <c r="J60" i="7"/>
  <c r="E60" i="7"/>
  <c r="D60" i="7"/>
  <c r="J59" i="7"/>
  <c r="E59" i="7"/>
  <c r="D59" i="7"/>
  <c r="C71" i="7"/>
  <c r="C70" i="7"/>
  <c r="C69" i="7"/>
  <c r="C68" i="7"/>
  <c r="C67" i="7"/>
  <c r="C66" i="7"/>
  <c r="C64" i="7"/>
  <c r="C63" i="7"/>
  <c r="C62" i="7"/>
  <c r="C61" i="7"/>
  <c r="C60" i="7"/>
  <c r="C59" i="7"/>
  <c r="C21" i="7"/>
  <c r="C20" i="7"/>
  <c r="C19" i="7"/>
  <c r="C18" i="7"/>
  <c r="C17" i="7"/>
  <c r="C16" i="7"/>
  <c r="J20" i="7"/>
  <c r="E20" i="7"/>
  <c r="D20" i="7"/>
  <c r="J19" i="7"/>
  <c r="E19" i="7"/>
  <c r="D19" i="7"/>
  <c r="J18" i="7"/>
  <c r="E18" i="7"/>
  <c r="D18" i="7"/>
  <c r="L18" i="7" s="1"/>
  <c r="J17" i="7"/>
  <c r="E17" i="7"/>
  <c r="D17" i="7"/>
  <c r="J16" i="7"/>
  <c r="E16" i="7"/>
  <c r="D16" i="7"/>
  <c r="C89" i="7"/>
  <c r="C88" i="7"/>
  <c r="C87" i="7"/>
  <c r="C86" i="7"/>
  <c r="C85" i="7"/>
  <c r="C84" i="7"/>
  <c r="J89" i="7"/>
  <c r="E89" i="7"/>
  <c r="D89" i="7"/>
  <c r="L89" i="7" s="1"/>
  <c r="J88" i="7"/>
  <c r="E88" i="7"/>
  <c r="D88" i="7"/>
  <c r="J87" i="7"/>
  <c r="E87" i="7"/>
  <c r="D87" i="7"/>
  <c r="J86" i="7"/>
  <c r="E86" i="7"/>
  <c r="D86" i="7"/>
  <c r="K86" i="7" s="1"/>
  <c r="J85" i="7"/>
  <c r="E85" i="7"/>
  <c r="D85" i="7"/>
  <c r="C211" i="30"/>
  <c r="C210" i="30"/>
  <c r="C209" i="30"/>
  <c r="C208" i="30"/>
  <c r="C207" i="30"/>
  <c r="C206" i="30"/>
  <c r="J211" i="30"/>
  <c r="E211" i="30"/>
  <c r="D211" i="30"/>
  <c r="J210" i="30"/>
  <c r="E210" i="30"/>
  <c r="D210" i="30"/>
  <c r="J209" i="30"/>
  <c r="E209" i="30"/>
  <c r="D209" i="30"/>
  <c r="J208" i="30"/>
  <c r="E208" i="30"/>
  <c r="D208" i="30"/>
  <c r="J207" i="30"/>
  <c r="E207" i="30"/>
  <c r="D207" i="30"/>
  <c r="C13" i="6"/>
  <c r="C12" i="6"/>
  <c r="C11" i="6"/>
  <c r="C10" i="6"/>
  <c r="C9" i="6"/>
  <c r="C8" i="6"/>
  <c r="J13" i="6"/>
  <c r="E13" i="6"/>
  <c r="D13" i="6"/>
  <c r="J12" i="6"/>
  <c r="E12" i="6"/>
  <c r="D12" i="6"/>
  <c r="J11" i="6"/>
  <c r="E11" i="6"/>
  <c r="D11" i="6"/>
  <c r="J10" i="6"/>
  <c r="E10" i="6"/>
  <c r="D10" i="6"/>
  <c r="J9" i="6"/>
  <c r="E9" i="6"/>
  <c r="D9" i="6"/>
  <c r="C34" i="30"/>
  <c r="C33" i="30"/>
  <c r="C32" i="30"/>
  <c r="C31" i="30"/>
  <c r="C30" i="30"/>
  <c r="C29" i="30"/>
  <c r="C27" i="30"/>
  <c r="C26" i="30"/>
  <c r="C25" i="30"/>
  <c r="C24" i="30"/>
  <c r="C23" i="30"/>
  <c r="C22" i="30"/>
  <c r="C20" i="30"/>
  <c r="C19" i="30"/>
  <c r="C18" i="30"/>
  <c r="C17" i="30"/>
  <c r="C16" i="30"/>
  <c r="C15" i="30"/>
  <c r="C13" i="30"/>
  <c r="C12" i="30"/>
  <c r="C11" i="30"/>
  <c r="C10" i="30"/>
  <c r="C9" i="30"/>
  <c r="C8" i="30"/>
  <c r="C33" i="4"/>
  <c r="C32" i="4"/>
  <c r="C31" i="4"/>
  <c r="C30" i="4"/>
  <c r="C29" i="4"/>
  <c r="C28" i="4"/>
  <c r="C26" i="4"/>
  <c r="C25" i="4"/>
  <c r="C24" i="4"/>
  <c r="C23" i="4"/>
  <c r="C22" i="4"/>
  <c r="C21" i="4"/>
  <c r="C19" i="4"/>
  <c r="C18" i="4"/>
  <c r="C17" i="4"/>
  <c r="C16" i="4"/>
  <c r="C15" i="4"/>
  <c r="C14" i="4"/>
  <c r="C12" i="4"/>
  <c r="C11" i="4"/>
  <c r="C10" i="4"/>
  <c r="C9" i="4"/>
  <c r="C8" i="4"/>
  <c r="C7" i="4"/>
  <c r="J34" i="4"/>
  <c r="C173" i="3"/>
  <c r="C172" i="3"/>
  <c r="C171" i="3"/>
  <c r="C170" i="3"/>
  <c r="C169" i="3"/>
  <c r="C168" i="3"/>
  <c r="J168" i="3"/>
  <c r="E168" i="3"/>
  <c r="D168" i="3"/>
  <c r="K168" i="3" s="1"/>
  <c r="C166" i="3"/>
  <c r="C165" i="3"/>
  <c r="C164" i="3"/>
  <c r="C163" i="3"/>
  <c r="C162" i="3"/>
  <c r="C161" i="3"/>
  <c r="J161" i="3"/>
  <c r="E161" i="3"/>
  <c r="D161" i="3"/>
  <c r="C159" i="3"/>
  <c r="C158" i="3"/>
  <c r="C157" i="3"/>
  <c r="C156" i="3"/>
  <c r="C155" i="3"/>
  <c r="C154" i="3"/>
  <c r="J154" i="3"/>
  <c r="E154" i="3"/>
  <c r="D154" i="3"/>
  <c r="K154" i="3" s="1"/>
  <c r="C152" i="3"/>
  <c r="C151" i="3"/>
  <c r="C150" i="3"/>
  <c r="C149" i="3"/>
  <c r="C148" i="3"/>
  <c r="J152" i="3"/>
  <c r="E152" i="3"/>
  <c r="D152" i="3"/>
  <c r="L152" i="3" s="1"/>
  <c r="J151" i="3"/>
  <c r="E151" i="3"/>
  <c r="D151" i="3"/>
  <c r="J150" i="3"/>
  <c r="E150" i="3"/>
  <c r="D150" i="3"/>
  <c r="K150" i="3" s="1"/>
  <c r="J149" i="3"/>
  <c r="E149" i="3"/>
  <c r="D149" i="3"/>
  <c r="J148" i="3"/>
  <c r="E148" i="3"/>
  <c r="D148" i="3"/>
  <c r="C147" i="3"/>
  <c r="A407" i="13"/>
  <c r="A412" i="13"/>
  <c r="A411" i="13"/>
  <c r="A410" i="13"/>
  <c r="A409" i="13"/>
  <c r="A408" i="13"/>
  <c r="A423" i="13"/>
  <c r="A414" i="13"/>
  <c r="C91" i="7"/>
  <c r="C213" i="30"/>
  <c r="C234" i="30"/>
  <c r="C90" i="4"/>
  <c r="C263" i="3"/>
  <c r="A260" i="13"/>
  <c r="A258" i="13"/>
  <c r="A256" i="13"/>
  <c r="C455" i="29"/>
  <c r="J511" i="29"/>
  <c r="E511" i="29"/>
  <c r="D511" i="29"/>
  <c r="J163" i="29"/>
  <c r="E163" i="29"/>
  <c r="D163" i="29"/>
  <c r="Q57" i="11"/>
  <c r="J57" i="11"/>
  <c r="E57" i="11"/>
  <c r="D57" i="11"/>
  <c r="J44" i="9"/>
  <c r="E44" i="9"/>
  <c r="D44" i="9"/>
  <c r="J223" i="30"/>
  <c r="E223" i="30"/>
  <c r="D223" i="30"/>
  <c r="J79" i="4"/>
  <c r="E79" i="4"/>
  <c r="D79" i="4"/>
  <c r="K79" i="4" s="1"/>
  <c r="A241" i="13"/>
  <c r="C512" i="29"/>
  <c r="A240" i="13"/>
  <c r="C511" i="29"/>
  <c r="O511" i="29"/>
  <c r="J161" i="29"/>
  <c r="E161" i="29"/>
  <c r="D161" i="29"/>
  <c r="J221" i="30"/>
  <c r="E221" i="30"/>
  <c r="D221" i="30"/>
  <c r="C77" i="4"/>
  <c r="J77" i="4"/>
  <c r="E77" i="4"/>
  <c r="D77" i="4"/>
  <c r="K77" i="4" s="1"/>
  <c r="A238" i="13"/>
  <c r="C161" i="29"/>
  <c r="O161" i="29"/>
  <c r="A237" i="13"/>
  <c r="C160" i="29"/>
  <c r="J26" i="58"/>
  <c r="I26" i="58"/>
  <c r="J25" i="58"/>
  <c r="I25" i="58"/>
  <c r="E660" i="60"/>
  <c r="E651" i="60"/>
  <c r="E650" i="60"/>
  <c r="J4" i="58"/>
  <c r="I4" i="58"/>
  <c r="E29" i="60"/>
  <c r="E29" i="59"/>
  <c r="J5" i="58"/>
  <c r="J6" i="58"/>
  <c r="I6" i="58"/>
  <c r="I5" i="58"/>
  <c r="J14" i="58"/>
  <c r="I14" i="58"/>
  <c r="C221" i="30"/>
  <c r="C51" i="8"/>
  <c r="C46" i="9"/>
  <c r="C24" i="10"/>
  <c r="O24" i="10"/>
  <c r="C174" i="29"/>
  <c r="C415" i="29"/>
  <c r="C44" i="9"/>
  <c r="C220" i="30"/>
  <c r="C162" i="29"/>
  <c r="C163" i="29"/>
  <c r="O163" i="29"/>
  <c r="C222" i="30"/>
  <c r="C223" i="30"/>
  <c r="C76" i="4"/>
  <c r="C78" i="4"/>
  <c r="O57" i="11"/>
  <c r="C79" i="4"/>
  <c r="O58" i="11"/>
  <c r="C43" i="9"/>
  <c r="D289" i="29"/>
  <c r="D112" i="30"/>
  <c r="D111" i="30"/>
  <c r="D110" i="30"/>
  <c r="D109" i="30"/>
  <c r="D108" i="30"/>
  <c r="D107" i="30"/>
  <c r="D106" i="30"/>
  <c r="D105" i="30"/>
  <c r="D103" i="30"/>
  <c r="D102" i="30"/>
  <c r="D101" i="30"/>
  <c r="D100" i="30"/>
  <c r="D99" i="30"/>
  <c r="D98" i="30"/>
  <c r="D97" i="30"/>
  <c r="D96" i="30"/>
  <c r="D94" i="30"/>
  <c r="D93" i="30"/>
  <c r="D92" i="30"/>
  <c r="D91" i="30"/>
  <c r="D90" i="30"/>
  <c r="D89" i="30"/>
  <c r="D88" i="30"/>
  <c r="D87" i="30"/>
  <c r="D85" i="30"/>
  <c r="D84" i="30"/>
  <c r="D83" i="30"/>
  <c r="D82" i="30"/>
  <c r="D81" i="30"/>
  <c r="D79" i="30"/>
  <c r="D78" i="30"/>
  <c r="D77" i="30"/>
  <c r="L77" i="30" s="1"/>
  <c r="D76" i="30"/>
  <c r="D75" i="30"/>
  <c r="D74" i="30"/>
  <c r="D73" i="30"/>
  <c r="D206" i="3"/>
  <c r="L206" i="3" s="1"/>
  <c r="D205" i="3"/>
  <c r="D204" i="3"/>
  <c r="D203" i="3"/>
  <c r="D202" i="3"/>
  <c r="B21" i="24"/>
  <c r="F541" i="29"/>
  <c r="F459" i="29"/>
  <c r="F381" i="29"/>
  <c r="F148" i="29"/>
  <c r="F119" i="29"/>
  <c r="F5" i="11"/>
  <c r="F96" i="11"/>
  <c r="F39" i="9"/>
  <c r="F5" i="9"/>
  <c r="F27" i="8"/>
  <c r="F5" i="8"/>
  <c r="F57" i="7"/>
  <c r="F35" i="30"/>
  <c r="F6" i="30"/>
  <c r="F174" i="3"/>
  <c r="F145" i="3"/>
  <c r="AR596" i="13"/>
  <c r="AR595" i="13"/>
  <c r="AR588" i="13"/>
  <c r="AR587" i="13"/>
  <c r="AR586" i="13"/>
  <c r="AR585" i="13"/>
  <c r="O184" i="4" s="1"/>
  <c r="AR584" i="13"/>
  <c r="AR581" i="13"/>
  <c r="O230" i="4" s="1"/>
  <c r="AR580" i="13"/>
  <c r="AR579" i="13"/>
  <c r="AR578" i="13"/>
  <c r="AR577" i="13"/>
  <c r="AR576" i="13"/>
  <c r="AR575" i="13"/>
  <c r="AR570" i="13"/>
  <c r="O214" i="4" s="1"/>
  <c r="AR568" i="13"/>
  <c r="AR567" i="13"/>
  <c r="AR565" i="13"/>
  <c r="O36" i="2" s="1"/>
  <c r="AR564" i="13"/>
  <c r="O49" i="29" s="1"/>
  <c r="AR563" i="13"/>
  <c r="O11" i="7" s="1"/>
  <c r="AR562" i="13"/>
  <c r="O334" i="29" s="1"/>
  <c r="AR561" i="13"/>
  <c r="O63" i="5" s="1"/>
  <c r="C63" i="5"/>
  <c r="AR559" i="13"/>
  <c r="AR558" i="13"/>
  <c r="AR557" i="13"/>
  <c r="O348" i="29" s="1"/>
  <c r="AR556" i="13"/>
  <c r="AR555" i="13"/>
  <c r="AR554" i="13"/>
  <c r="O82" i="9" s="1"/>
  <c r="AR553" i="13"/>
  <c r="O125" i="11" s="1"/>
  <c r="AR552" i="13"/>
  <c r="O137" i="2" s="1"/>
  <c r="AR551" i="13"/>
  <c r="AR550" i="13"/>
  <c r="O404" i="29" s="1"/>
  <c r="AR549" i="13"/>
  <c r="O248" i="3" s="1"/>
  <c r="AR547" i="13"/>
  <c r="O153" i="11" s="1"/>
  <c r="AR546" i="13"/>
  <c r="O123" i="2" s="1"/>
  <c r="AR545" i="13"/>
  <c r="O97" i="9" s="1"/>
  <c r="AR544" i="13"/>
  <c r="AR543" i="13"/>
  <c r="AR542" i="13"/>
  <c r="AR541" i="13"/>
  <c r="AR540" i="13"/>
  <c r="AR539" i="13"/>
  <c r="AR538" i="13"/>
  <c r="AR537" i="13"/>
  <c r="AR536" i="13"/>
  <c r="AR535" i="13"/>
  <c r="AR534" i="13"/>
  <c r="AR533" i="13"/>
  <c r="AR532" i="13"/>
  <c r="AR531" i="13"/>
  <c r="AR530" i="13"/>
  <c r="AR529" i="13"/>
  <c r="AR528" i="13"/>
  <c r="AR527" i="13"/>
  <c r="AR526" i="13"/>
  <c r="AR525" i="13"/>
  <c r="AR524" i="13"/>
  <c r="AR523" i="13"/>
  <c r="AR522" i="13"/>
  <c r="AR521" i="13"/>
  <c r="AR520" i="13"/>
  <c r="AR519" i="13"/>
  <c r="AR518" i="13"/>
  <c r="AR517" i="13"/>
  <c r="AR516" i="13"/>
  <c r="AR515" i="13"/>
  <c r="AR514" i="13"/>
  <c r="AR513" i="13"/>
  <c r="AR512" i="13"/>
  <c r="AR511" i="13"/>
  <c r="AR510" i="13"/>
  <c r="AR509" i="13"/>
  <c r="AR508" i="13"/>
  <c r="AR507" i="13"/>
  <c r="AR506" i="13"/>
  <c r="AR505" i="13"/>
  <c r="AR504" i="13"/>
  <c r="AR503" i="13"/>
  <c r="AR502" i="13"/>
  <c r="AR501" i="13"/>
  <c r="AR500" i="13"/>
  <c r="AR499" i="13"/>
  <c r="AR498" i="13"/>
  <c r="AR497" i="13"/>
  <c r="AR496" i="13"/>
  <c r="AR495" i="13"/>
  <c r="AR494" i="13"/>
  <c r="AR493" i="13"/>
  <c r="AR492" i="13"/>
  <c r="O141" i="3" s="1"/>
  <c r="AR491" i="13"/>
  <c r="AR490" i="13"/>
  <c r="AR489" i="13"/>
  <c r="AR488" i="13"/>
  <c r="AR487" i="13"/>
  <c r="AR486" i="13"/>
  <c r="AR485" i="13"/>
  <c r="AR484" i="13"/>
  <c r="AR483" i="13"/>
  <c r="AR482" i="13"/>
  <c r="AR481" i="13"/>
  <c r="AR480" i="13"/>
  <c r="AR479" i="13"/>
  <c r="AR478" i="13"/>
  <c r="AR477" i="13"/>
  <c r="AR476" i="13"/>
  <c r="AR475" i="13"/>
  <c r="AR474" i="13"/>
  <c r="AR473" i="13"/>
  <c r="AR472" i="13"/>
  <c r="AR471" i="13"/>
  <c r="AR470" i="13"/>
  <c r="AR469" i="13"/>
  <c r="AR468" i="13"/>
  <c r="AR467" i="13"/>
  <c r="AR466" i="13"/>
  <c r="AR465" i="13"/>
  <c r="AR464" i="13"/>
  <c r="AR463" i="13"/>
  <c r="AR462" i="13"/>
  <c r="AR461" i="13"/>
  <c r="AR460" i="13"/>
  <c r="AR459" i="13"/>
  <c r="AR458" i="13"/>
  <c r="AR457" i="13"/>
  <c r="AR456" i="13"/>
  <c r="AR455" i="13"/>
  <c r="AR454" i="13"/>
  <c r="AR453" i="13"/>
  <c r="AR452" i="13"/>
  <c r="AR451" i="13"/>
  <c r="AR450" i="13"/>
  <c r="AR449" i="13"/>
  <c r="AR448" i="13"/>
  <c r="AR447" i="13"/>
  <c r="AR446" i="13"/>
  <c r="AR445" i="13"/>
  <c r="AR444" i="13"/>
  <c r="AR443" i="13"/>
  <c r="AR441" i="13"/>
  <c r="O47" i="3" s="1"/>
  <c r="C47" i="3"/>
  <c r="AR436" i="13"/>
  <c r="AR435" i="13"/>
  <c r="AR434" i="13"/>
  <c r="AR433" i="13"/>
  <c r="AR432" i="13"/>
  <c r="O91" i="3" s="1"/>
  <c r="AR428" i="13"/>
  <c r="O209" i="3" s="1"/>
  <c r="AR427" i="13"/>
  <c r="O178" i="11" s="1"/>
  <c r="AR426" i="13"/>
  <c r="AR424" i="13"/>
  <c r="AR422" i="13"/>
  <c r="AR415" i="13"/>
  <c r="AR413" i="13"/>
  <c r="AR406" i="13"/>
  <c r="AR405" i="13"/>
  <c r="AR404" i="13"/>
  <c r="AR400" i="13"/>
  <c r="AR395" i="13"/>
  <c r="AR394" i="13"/>
  <c r="AR393" i="13"/>
  <c r="O171" i="30" s="1"/>
  <c r="AR392" i="13"/>
  <c r="AR390" i="13"/>
  <c r="AR389" i="13"/>
  <c r="AR388" i="13"/>
  <c r="AR387" i="13"/>
  <c r="AR386" i="13"/>
  <c r="O145" i="9" s="1"/>
  <c r="AR383" i="13"/>
  <c r="AR381" i="13"/>
  <c r="AR379" i="13"/>
  <c r="AR375" i="13"/>
  <c r="AR373" i="13"/>
  <c r="AR371" i="13"/>
  <c r="AR367" i="13"/>
  <c r="AR366" i="13"/>
  <c r="AR365" i="13"/>
  <c r="AR364" i="13"/>
  <c r="O31" i="7" s="1"/>
  <c r="AR363" i="13"/>
  <c r="AR362" i="13"/>
  <c r="AR360" i="13"/>
  <c r="AR359" i="13"/>
  <c r="AR354" i="13"/>
  <c r="AR353" i="13"/>
  <c r="O372" i="29" s="1"/>
  <c r="AR352" i="13"/>
  <c r="AR351" i="13"/>
  <c r="AR350" i="13"/>
  <c r="AR349" i="13"/>
  <c r="AR348" i="13"/>
  <c r="AR347" i="13"/>
  <c r="AR346" i="13"/>
  <c r="O30" i="8" s="1"/>
  <c r="AR345" i="13"/>
  <c r="AR344" i="13"/>
  <c r="O176" i="3" s="1"/>
  <c r="AR343" i="13"/>
  <c r="AR342" i="13"/>
  <c r="O152" i="29" s="1"/>
  <c r="AR341" i="13"/>
  <c r="AR340" i="13"/>
  <c r="AR339" i="13"/>
  <c r="O42" i="30" s="1"/>
  <c r="AR338" i="13"/>
  <c r="AR337" i="13"/>
  <c r="O39" i="4" s="1"/>
  <c r="AR334" i="13"/>
  <c r="AR324" i="13"/>
  <c r="AR323" i="13"/>
  <c r="AR322" i="13"/>
  <c r="AR321" i="13"/>
  <c r="AR320" i="13"/>
  <c r="AR319" i="13"/>
  <c r="AR318" i="13"/>
  <c r="AR317" i="13"/>
  <c r="AR316" i="13"/>
  <c r="AR314" i="13"/>
  <c r="O169" i="11" s="1"/>
  <c r="AR311" i="13"/>
  <c r="AR308" i="13"/>
  <c r="O86" i="3" s="1"/>
  <c r="AR304" i="13"/>
  <c r="O78" i="11" s="1"/>
  <c r="AR303" i="13"/>
  <c r="O105" i="9" s="1"/>
  <c r="C105" i="9"/>
  <c r="AR302" i="13"/>
  <c r="AR300" i="13"/>
  <c r="AR298" i="13"/>
  <c r="AR294" i="13"/>
  <c r="O524" i="29" s="1"/>
  <c r="AR292" i="13"/>
  <c r="AR291" i="13"/>
  <c r="O33" i="7" s="1"/>
  <c r="AR290" i="13"/>
  <c r="AR289" i="13"/>
  <c r="AR288" i="13"/>
  <c r="AR286" i="13"/>
  <c r="O219" i="11" s="1"/>
  <c r="AR285" i="13"/>
  <c r="AR275" i="13"/>
  <c r="AR273" i="13"/>
  <c r="AR272" i="13"/>
  <c r="AR270" i="13"/>
  <c r="AR269" i="13"/>
  <c r="AR267" i="13"/>
  <c r="AR259" i="13"/>
  <c r="AR257" i="13"/>
  <c r="AR255" i="13"/>
  <c r="AR254" i="13"/>
  <c r="AR252" i="13"/>
  <c r="O45" i="9" s="1"/>
  <c r="C45" i="9"/>
  <c r="AR251" i="13"/>
  <c r="AR246" i="13"/>
  <c r="O164" i="29" s="1"/>
  <c r="AR245" i="13"/>
  <c r="AR242" i="13"/>
  <c r="O225" i="30" s="1"/>
  <c r="AR239" i="13"/>
  <c r="AR236" i="13"/>
  <c r="AR233" i="13"/>
  <c r="AR231" i="13"/>
  <c r="AR230" i="13"/>
  <c r="AR228" i="13"/>
  <c r="AR227" i="13"/>
  <c r="AR226" i="13"/>
  <c r="AR225" i="13"/>
  <c r="O16" i="10" s="1"/>
  <c r="AR223" i="13"/>
  <c r="AR222" i="13"/>
  <c r="O360" i="29" s="1"/>
  <c r="AR220" i="13"/>
  <c r="AR218" i="13"/>
  <c r="AR216" i="13"/>
  <c r="AR214" i="13"/>
  <c r="AR212" i="13"/>
  <c r="AR211" i="13"/>
  <c r="O589" i="29" s="1"/>
  <c r="AR210" i="13"/>
  <c r="AR209" i="13"/>
  <c r="AR208" i="13"/>
  <c r="AR207" i="13"/>
  <c r="AR206" i="13"/>
  <c r="AR205" i="13"/>
  <c r="O85" i="9" s="1"/>
  <c r="AR201" i="13"/>
  <c r="AR200" i="13"/>
  <c r="AR197" i="13"/>
  <c r="AR196" i="13"/>
  <c r="AR193" i="13"/>
  <c r="AR190" i="13"/>
  <c r="AR189" i="13"/>
  <c r="AR176" i="13"/>
  <c r="O56" i="29" s="1"/>
  <c r="AR173" i="13"/>
  <c r="AR172" i="13"/>
  <c r="O116" i="2" s="1"/>
  <c r="AR171" i="13"/>
  <c r="AR170" i="13"/>
  <c r="O100" i="4" s="1"/>
  <c r="AR167" i="13"/>
  <c r="AR156" i="13"/>
  <c r="AR154" i="13"/>
  <c r="AR153" i="13"/>
  <c r="AR152" i="13"/>
  <c r="AR151" i="13"/>
  <c r="AR148" i="13"/>
  <c r="AR147" i="13"/>
  <c r="AR146" i="13"/>
  <c r="O159" i="4" s="1"/>
  <c r="AR142" i="13"/>
  <c r="AR141" i="13"/>
  <c r="AR139" i="13"/>
  <c r="AR138" i="13"/>
  <c r="AR137" i="13"/>
  <c r="AR136" i="13"/>
  <c r="O141" i="11" s="1"/>
  <c r="AR135" i="13"/>
  <c r="O140" i="11" s="1"/>
  <c r="AR130" i="13"/>
  <c r="AR129" i="13"/>
  <c r="AR124" i="13"/>
  <c r="AR123" i="13"/>
  <c r="AR122" i="13"/>
  <c r="O522" i="29" s="1"/>
  <c r="AR120" i="13"/>
  <c r="AR119" i="13"/>
  <c r="O12" i="10" s="1"/>
  <c r="AR118" i="13"/>
  <c r="O440" i="29" s="1"/>
  <c r="AR117" i="13"/>
  <c r="AR116" i="13"/>
  <c r="AR115" i="13"/>
  <c r="AR114" i="13"/>
  <c r="O66" i="9" s="1"/>
  <c r="AR113" i="13"/>
  <c r="O65" i="9" s="1"/>
  <c r="AR107" i="13"/>
  <c r="AR106" i="13"/>
  <c r="O140" i="2" s="1"/>
  <c r="AR105" i="13"/>
  <c r="AR103" i="13"/>
  <c r="AR102" i="13"/>
  <c r="AR101" i="13"/>
  <c r="AR100" i="13"/>
  <c r="AR99" i="13"/>
  <c r="AR98" i="13"/>
  <c r="AR97" i="13"/>
  <c r="AR96" i="13"/>
  <c r="AR95" i="13"/>
  <c r="AR94" i="13"/>
  <c r="AR93" i="13"/>
  <c r="AR92" i="13"/>
  <c r="AR91" i="13"/>
  <c r="AR90" i="13"/>
  <c r="AR89" i="13"/>
  <c r="AR88" i="13"/>
  <c r="AR87" i="13"/>
  <c r="AR86" i="13"/>
  <c r="AR85" i="13"/>
  <c r="AR84" i="13"/>
  <c r="AR83" i="13"/>
  <c r="AR82" i="13"/>
  <c r="AR81" i="13"/>
  <c r="AR80" i="13"/>
  <c r="AR79" i="13"/>
  <c r="AR71" i="13"/>
  <c r="AR70" i="13"/>
  <c r="AR67" i="13"/>
  <c r="AR66" i="13"/>
  <c r="AR65" i="13"/>
  <c r="AR62" i="13"/>
  <c r="AR60" i="13"/>
  <c r="AR59" i="13"/>
  <c r="AR58" i="13"/>
  <c r="O143" i="11" s="1"/>
  <c r="AR55" i="13"/>
  <c r="AR54" i="13"/>
  <c r="AR53" i="13"/>
  <c r="AR51" i="13"/>
  <c r="AR50" i="13"/>
  <c r="O108" i="4" s="1"/>
  <c r="AR49" i="13"/>
  <c r="O251" i="30" s="1"/>
  <c r="AR48" i="13"/>
  <c r="O139" i="9" s="1"/>
  <c r="AR47" i="13"/>
  <c r="O138" i="9" s="1"/>
  <c r="AR46" i="13"/>
  <c r="AR45" i="13"/>
  <c r="O133" i="30" s="1"/>
  <c r="AR44" i="13"/>
  <c r="O50" i="8" s="1"/>
  <c r="AR43" i="13"/>
  <c r="AR42" i="13"/>
  <c r="AR41" i="13"/>
  <c r="AR37" i="13"/>
  <c r="AR36" i="13"/>
  <c r="O331" i="29" s="1"/>
  <c r="AR35" i="13"/>
  <c r="O9" i="7" s="1"/>
  <c r="AR34" i="13"/>
  <c r="O332" i="29" s="1"/>
  <c r="AR31" i="13"/>
  <c r="AR30" i="13"/>
  <c r="AR29" i="13"/>
  <c r="AR26" i="13"/>
  <c r="AR25" i="13"/>
  <c r="O123" i="11" s="1"/>
  <c r="AR24" i="13"/>
  <c r="O122" i="11" s="1"/>
  <c r="AR23" i="13"/>
  <c r="O121" i="11" s="1"/>
  <c r="AR22" i="13"/>
  <c r="O124" i="11" s="1"/>
  <c r="AR13" i="13"/>
  <c r="AR12" i="13"/>
  <c r="AR11" i="13"/>
  <c r="AR10" i="13"/>
  <c r="AR9" i="13"/>
  <c r="AR8" i="13"/>
  <c r="AR7" i="13"/>
  <c r="AR6" i="13"/>
  <c r="AR5" i="13"/>
  <c r="O7" i="2" s="1"/>
  <c r="E3643" i="60"/>
  <c r="E3642" i="60"/>
  <c r="E3640" i="60"/>
  <c r="E3638" i="60"/>
  <c r="E3637" i="60"/>
  <c r="E3636" i="60"/>
  <c r="E3635" i="60"/>
  <c r="E3633" i="60"/>
  <c r="E3629" i="60"/>
  <c r="E3628" i="60"/>
  <c r="E3627" i="60"/>
  <c r="E3626" i="60"/>
  <c r="E3624" i="60"/>
  <c r="E3623" i="60"/>
  <c r="E3622" i="60"/>
  <c r="E3621" i="60"/>
  <c r="E3620" i="60"/>
  <c r="E3619" i="60"/>
  <c r="E3617" i="60"/>
  <c r="E3616" i="60"/>
  <c r="E3614" i="60"/>
  <c r="E3612" i="60"/>
  <c r="E3611" i="60"/>
  <c r="E3610" i="60"/>
  <c r="E3609" i="60"/>
  <c r="E3607" i="60"/>
  <c r="E3603" i="60"/>
  <c r="E3600" i="60"/>
  <c r="E3586" i="60"/>
  <c r="E3585" i="60"/>
  <c r="E3584" i="60"/>
  <c r="E3583" i="60"/>
  <c r="E3582" i="60"/>
  <c r="E3581" i="60"/>
  <c r="E3580" i="60"/>
  <c r="E3579" i="60"/>
  <c r="E3578" i="60"/>
  <c r="E3577" i="60"/>
  <c r="E3576" i="60"/>
  <c r="E3575" i="60"/>
  <c r="E3574" i="60"/>
  <c r="E3572" i="60"/>
  <c r="E3571" i="60"/>
  <c r="E3570" i="60"/>
  <c r="E3569" i="60"/>
  <c r="E3562" i="60"/>
  <c r="E3561" i="60"/>
  <c r="E3536" i="60"/>
  <c r="E3535" i="60"/>
  <c r="E3533" i="60"/>
  <c r="E3530" i="60"/>
  <c r="E3528" i="60"/>
  <c r="E3522" i="60"/>
  <c r="E3520" i="60"/>
  <c r="E3518" i="60"/>
  <c r="E3516" i="60"/>
  <c r="E3515" i="60"/>
  <c r="E3625" i="60"/>
  <c r="E3514" i="60"/>
  <c r="E3513" i="60"/>
  <c r="E3512" i="60"/>
  <c r="E3511" i="60"/>
  <c r="E3486" i="60"/>
  <c r="E3510" i="60"/>
  <c r="E3643" i="59"/>
  <c r="E3642" i="59"/>
  <c r="E3640" i="59"/>
  <c r="E3638" i="59"/>
  <c r="E3637" i="59"/>
  <c r="E3636" i="59"/>
  <c r="E3635" i="59"/>
  <c r="E3633" i="59"/>
  <c r="E3629" i="59"/>
  <c r="E3628" i="59"/>
  <c r="E3627" i="59"/>
  <c r="E3626" i="59"/>
  <c r="E3624" i="59"/>
  <c r="E3623" i="59"/>
  <c r="E3622" i="59"/>
  <c r="E3621" i="59"/>
  <c r="E3620" i="59"/>
  <c r="E3619" i="59"/>
  <c r="E3617" i="59"/>
  <c r="E3616" i="59"/>
  <c r="E3614" i="59"/>
  <c r="E3612" i="59"/>
  <c r="E3611" i="59"/>
  <c r="E3610" i="59"/>
  <c r="E3609" i="59"/>
  <c r="E3607" i="59"/>
  <c r="E3603" i="59"/>
  <c r="E3600" i="59"/>
  <c r="E3586" i="59"/>
  <c r="E3585" i="59"/>
  <c r="E3584" i="59"/>
  <c r="E3583" i="59"/>
  <c r="E3582" i="59"/>
  <c r="E3581" i="59"/>
  <c r="E3580" i="59"/>
  <c r="E3579" i="59"/>
  <c r="E3578" i="59"/>
  <c r="E3577" i="59"/>
  <c r="E3576" i="59"/>
  <c r="E3575" i="59"/>
  <c r="E3574" i="59"/>
  <c r="E3572" i="59"/>
  <c r="E3571" i="59"/>
  <c r="E3570" i="59"/>
  <c r="E3569" i="59"/>
  <c r="E3567" i="59"/>
  <c r="E3566" i="59"/>
  <c r="E3565" i="59"/>
  <c r="E3564" i="59"/>
  <c r="E3562" i="59"/>
  <c r="E3561" i="59"/>
  <c r="E3536" i="59"/>
  <c r="E3535" i="59"/>
  <c r="E3533" i="59"/>
  <c r="E3530" i="59"/>
  <c r="E3528" i="59"/>
  <c r="E3522" i="59"/>
  <c r="E3520" i="59"/>
  <c r="E3518" i="59"/>
  <c r="E3516" i="59"/>
  <c r="E3515" i="59"/>
  <c r="E3625" i="59"/>
  <c r="E3514" i="59"/>
  <c r="E3513" i="59"/>
  <c r="E3512" i="59"/>
  <c r="E3511" i="59"/>
  <c r="E3486" i="59"/>
  <c r="E3510" i="59"/>
  <c r="E3485" i="60"/>
  <c r="E3484" i="60"/>
  <c r="E3483" i="60"/>
  <c r="E3482" i="60"/>
  <c r="E3481" i="60"/>
  <c r="E3480" i="60"/>
  <c r="E3479" i="60"/>
  <c r="E3478" i="60"/>
  <c r="E3477" i="60"/>
  <c r="E3476" i="60"/>
  <c r="E3475" i="60"/>
  <c r="E3474" i="60"/>
  <c r="E3473" i="60"/>
  <c r="E3472" i="60"/>
  <c r="E3471" i="60"/>
  <c r="E3470" i="60"/>
  <c r="E3469" i="60"/>
  <c r="E3468" i="60"/>
  <c r="E3467" i="60"/>
  <c r="E3466" i="60"/>
  <c r="E3465" i="60"/>
  <c r="E3464" i="60"/>
  <c r="E3463" i="60"/>
  <c r="E3462" i="60"/>
  <c r="E3461" i="60"/>
  <c r="E3460" i="60"/>
  <c r="E3459" i="60"/>
  <c r="E3458" i="60"/>
  <c r="E3457" i="60"/>
  <c r="E3456" i="60"/>
  <c r="E3455" i="60"/>
  <c r="E3454" i="60"/>
  <c r="E3453" i="60"/>
  <c r="E3452" i="60"/>
  <c r="E3451" i="60"/>
  <c r="E3450" i="60"/>
  <c r="E3449" i="60"/>
  <c r="E3448" i="60"/>
  <c r="E3447" i="60"/>
  <c r="E3446" i="60"/>
  <c r="E3445" i="60"/>
  <c r="E3444" i="60"/>
  <c r="E3443" i="60"/>
  <c r="E3442" i="60"/>
  <c r="E3441" i="60"/>
  <c r="E3440" i="60"/>
  <c r="E3439" i="60"/>
  <c r="E3438" i="60"/>
  <c r="E3437" i="60"/>
  <c r="E3436" i="60"/>
  <c r="E3435" i="60"/>
  <c r="E3434" i="60"/>
  <c r="E3433" i="60"/>
  <c r="E3432" i="60"/>
  <c r="E3431" i="60"/>
  <c r="E3430" i="60"/>
  <c r="E3429" i="60"/>
  <c r="E3428" i="60"/>
  <c r="E3427" i="60"/>
  <c r="E3426" i="60"/>
  <c r="E3425" i="60"/>
  <c r="E3424" i="60"/>
  <c r="E3423" i="60"/>
  <c r="E3422" i="60"/>
  <c r="E3421" i="60"/>
  <c r="E3420" i="60"/>
  <c r="E3419" i="60"/>
  <c r="E3418" i="60"/>
  <c r="E3417" i="60"/>
  <c r="E3416" i="60"/>
  <c r="E3415" i="60"/>
  <c r="E3414" i="60"/>
  <c r="E3413" i="60"/>
  <c r="E3412" i="60"/>
  <c r="E3411" i="60"/>
  <c r="E3410" i="60"/>
  <c r="E3409" i="60"/>
  <c r="E3408" i="60"/>
  <c r="E3407" i="60"/>
  <c r="E3406" i="60"/>
  <c r="E3405" i="60"/>
  <c r="E3404" i="60"/>
  <c r="E3403" i="60"/>
  <c r="E3402" i="60"/>
  <c r="E3401" i="60"/>
  <c r="E3400" i="60"/>
  <c r="E3399" i="60"/>
  <c r="E3398" i="60"/>
  <c r="E3397" i="60"/>
  <c r="E3396" i="60"/>
  <c r="E3395" i="60"/>
  <c r="E3394" i="60"/>
  <c r="E3393" i="60"/>
  <c r="E3392" i="60"/>
  <c r="E3391" i="60"/>
  <c r="E3390" i="60"/>
  <c r="E3389" i="60"/>
  <c r="E3388" i="60"/>
  <c r="E3387" i="60"/>
  <c r="E3386" i="60"/>
  <c r="E3385" i="60"/>
  <c r="E3384" i="60"/>
  <c r="E3383" i="60"/>
  <c r="E3382" i="60"/>
  <c r="E3381" i="60"/>
  <c r="E3380" i="60"/>
  <c r="E3379" i="60"/>
  <c r="E3378" i="60"/>
  <c r="E3377" i="60"/>
  <c r="E3376" i="60"/>
  <c r="E3375" i="60"/>
  <c r="E3374" i="60"/>
  <c r="E3373" i="60"/>
  <c r="E3372" i="60"/>
  <c r="E3371" i="60"/>
  <c r="E3370" i="60"/>
  <c r="E3369" i="60"/>
  <c r="E3368" i="60"/>
  <c r="E3367" i="60"/>
  <c r="E3366" i="60"/>
  <c r="E3365" i="60"/>
  <c r="E3364" i="60"/>
  <c r="E3363" i="60"/>
  <c r="E3362" i="60"/>
  <c r="E3361" i="60"/>
  <c r="E3360" i="60"/>
  <c r="E3359" i="60"/>
  <c r="E3358" i="60"/>
  <c r="E3357" i="60"/>
  <c r="E3356" i="60"/>
  <c r="E3355" i="60"/>
  <c r="E3354" i="60"/>
  <c r="E3353" i="60"/>
  <c r="E3352" i="60"/>
  <c r="E3351" i="60"/>
  <c r="E3350" i="60"/>
  <c r="E3349" i="60"/>
  <c r="E3348" i="60"/>
  <c r="E3347" i="60"/>
  <c r="E3346" i="60"/>
  <c r="E3344" i="60"/>
  <c r="E3343" i="60"/>
  <c r="E3342" i="60"/>
  <c r="E3341" i="60"/>
  <c r="E3340" i="60"/>
  <c r="E3339" i="60"/>
  <c r="E3338" i="60"/>
  <c r="E3337" i="60"/>
  <c r="E3336" i="60"/>
  <c r="E3335" i="60"/>
  <c r="E3334" i="60"/>
  <c r="E3333" i="60"/>
  <c r="E3332" i="60"/>
  <c r="E3331" i="60"/>
  <c r="E3330" i="60"/>
  <c r="E3329" i="60"/>
  <c r="E3327" i="60"/>
  <c r="E3326" i="60"/>
  <c r="E3325" i="60"/>
  <c r="E3324" i="60"/>
  <c r="E3323" i="60"/>
  <c r="E3322" i="60"/>
  <c r="E3321" i="60"/>
  <c r="E3319" i="60"/>
  <c r="E3318" i="60"/>
  <c r="E3317" i="60"/>
  <c r="E3316" i="60"/>
  <c r="E3315" i="60"/>
  <c r="E3314" i="60"/>
  <c r="E3313" i="60"/>
  <c r="E3312" i="60"/>
  <c r="E3311" i="60"/>
  <c r="E3310" i="60"/>
  <c r="E3309" i="60"/>
  <c r="E3308" i="60"/>
  <c r="E3307" i="60"/>
  <c r="E3306" i="60"/>
  <c r="E3305" i="60"/>
  <c r="E3303" i="60"/>
  <c r="E3302" i="60"/>
  <c r="E3301" i="60"/>
  <c r="E3300" i="60"/>
  <c r="E3299" i="60"/>
  <c r="E3298" i="60"/>
  <c r="E3297" i="60"/>
  <c r="E3295" i="60"/>
  <c r="E3294" i="60"/>
  <c r="E3293" i="60"/>
  <c r="E3292" i="60"/>
  <c r="E3291" i="60"/>
  <c r="E3290" i="60"/>
  <c r="E3289" i="60"/>
  <c r="E3288" i="60"/>
  <c r="E3287" i="60"/>
  <c r="E3286" i="60"/>
  <c r="E3284" i="60"/>
  <c r="E3283" i="60"/>
  <c r="E3281" i="60"/>
  <c r="E3280" i="60"/>
  <c r="E3279" i="60"/>
  <c r="E3278" i="60"/>
  <c r="E3277" i="60"/>
  <c r="E3276" i="60"/>
  <c r="E3275" i="60"/>
  <c r="E3272" i="60"/>
  <c r="E3271" i="60"/>
  <c r="E3270" i="60"/>
  <c r="E3269" i="60"/>
  <c r="E3268" i="60"/>
  <c r="E3267" i="60"/>
  <c r="E3266" i="60"/>
  <c r="E3265" i="60"/>
  <c r="E3264" i="60"/>
  <c r="E3263" i="60"/>
  <c r="E3262" i="60"/>
  <c r="E3261" i="60"/>
  <c r="E3260" i="60"/>
  <c r="E3259" i="60"/>
  <c r="E3258" i="60"/>
  <c r="E3257" i="60"/>
  <c r="E3256" i="60"/>
  <c r="E3255" i="60"/>
  <c r="E3254" i="60"/>
  <c r="E3253" i="60"/>
  <c r="E3252" i="60"/>
  <c r="E3251" i="60"/>
  <c r="E3250" i="60"/>
  <c r="E3249" i="60"/>
  <c r="E3248" i="60"/>
  <c r="E3247" i="60"/>
  <c r="E3246" i="60"/>
  <c r="E3245" i="60"/>
  <c r="E3244" i="60"/>
  <c r="E3243" i="60"/>
  <c r="E3242" i="60"/>
  <c r="E3241" i="60"/>
  <c r="E3240" i="60"/>
  <c r="E3239" i="60"/>
  <c r="E3238" i="60"/>
  <c r="E3237" i="60"/>
  <c r="E3236" i="60"/>
  <c r="E3235" i="60"/>
  <c r="E3234" i="60"/>
  <c r="E3233" i="60"/>
  <c r="E3232" i="60"/>
  <c r="E3229" i="60"/>
  <c r="E3227" i="60"/>
  <c r="E3225" i="60"/>
  <c r="E3224" i="60"/>
  <c r="E3223" i="60"/>
  <c r="E3222" i="60"/>
  <c r="E3221" i="60"/>
  <c r="E3220" i="60"/>
  <c r="E3219" i="60"/>
  <c r="E3218" i="60"/>
  <c r="E3217" i="60"/>
  <c r="E3216" i="60"/>
  <c r="E3215" i="60"/>
  <c r="E3214" i="60"/>
  <c r="E3212" i="60"/>
  <c r="E3211" i="60"/>
  <c r="E3210" i="60"/>
  <c r="E3209" i="60"/>
  <c r="E3208" i="60"/>
  <c r="E3207" i="60"/>
  <c r="E3206" i="60"/>
  <c r="E3205" i="60"/>
  <c r="E3204" i="60"/>
  <c r="E3203" i="60"/>
  <c r="E3198" i="60"/>
  <c r="E3197" i="60"/>
  <c r="E3196" i="60"/>
  <c r="E3194" i="60"/>
  <c r="E3193" i="60"/>
  <c r="E3192" i="60"/>
  <c r="E3190" i="60"/>
  <c r="E3189" i="60"/>
  <c r="E3188" i="60"/>
  <c r="E3186" i="60"/>
  <c r="E3185" i="60"/>
  <c r="E3184" i="60"/>
  <c r="E3177" i="60"/>
  <c r="E3176" i="60"/>
  <c r="E3173" i="60"/>
  <c r="E3172" i="60"/>
  <c r="E3169" i="60"/>
  <c r="E3164" i="60"/>
  <c r="E3162" i="60"/>
  <c r="E3161" i="60"/>
  <c r="E3160" i="60"/>
  <c r="E3158" i="60"/>
  <c r="E3157" i="60"/>
  <c r="E3156" i="60"/>
  <c r="E3155" i="60"/>
  <c r="E3154" i="60"/>
  <c r="E3153" i="60"/>
  <c r="E3152" i="60"/>
  <c r="E3150" i="60"/>
  <c r="E3149" i="60"/>
  <c r="E3148" i="60"/>
  <c r="E3146" i="60"/>
  <c r="E3145" i="60"/>
  <c r="E3142" i="60"/>
  <c r="E3141" i="60"/>
  <c r="E3140" i="60"/>
  <c r="E3138" i="60"/>
  <c r="E3137" i="60"/>
  <c r="E3136" i="60"/>
  <c r="E3134" i="60"/>
  <c r="E3133" i="60"/>
  <c r="E3130" i="60"/>
  <c r="E3129" i="60"/>
  <c r="E3128" i="60"/>
  <c r="E3126" i="60"/>
  <c r="E3125" i="60"/>
  <c r="E3124" i="60"/>
  <c r="E3122" i="60"/>
  <c r="E3121" i="60"/>
  <c r="E3120" i="60"/>
  <c r="E3118" i="60"/>
  <c r="E3117" i="60"/>
  <c r="E3116" i="60"/>
  <c r="E3114" i="60"/>
  <c r="E3113" i="60"/>
  <c r="E3110" i="60"/>
  <c r="E3109" i="60"/>
  <c r="E3106" i="60"/>
  <c r="E3103" i="60"/>
  <c r="E3102" i="60"/>
  <c r="E3096" i="60"/>
  <c r="E3093" i="60"/>
  <c r="E3092" i="60"/>
  <c r="E3089" i="60"/>
  <c r="E3088" i="60"/>
  <c r="E3086" i="60"/>
  <c r="E3085" i="60"/>
  <c r="E3083" i="60"/>
  <c r="E3082" i="60"/>
  <c r="E3080" i="60"/>
  <c r="E3077" i="60"/>
  <c r="E3075" i="60"/>
  <c r="E3073" i="60"/>
  <c r="E3072" i="60"/>
  <c r="E3070" i="60"/>
  <c r="E3069" i="60"/>
  <c r="E3066" i="60"/>
  <c r="E3062" i="60"/>
  <c r="E3061" i="60"/>
  <c r="E3058" i="60"/>
  <c r="E3057" i="60"/>
  <c r="E3056" i="60"/>
  <c r="E3054" i="60"/>
  <c r="E3052" i="60"/>
  <c r="E3050" i="60"/>
  <c r="E3049" i="60"/>
  <c r="E3048" i="60"/>
  <c r="E3046" i="60"/>
  <c r="E3045" i="60"/>
  <c r="E3042" i="60"/>
  <c r="E3041" i="60"/>
  <c r="E3040" i="60"/>
  <c r="E3038" i="60"/>
  <c r="E3037" i="60"/>
  <c r="E3031" i="60"/>
  <c r="E3030" i="60"/>
  <c r="E3024" i="60"/>
  <c r="E3017" i="60"/>
  <c r="E3013" i="60"/>
  <c r="E3012" i="60"/>
  <c r="E3009" i="60"/>
  <c r="E3005" i="60"/>
  <c r="E3004" i="60"/>
  <c r="E3003" i="60"/>
  <c r="E3001" i="60"/>
  <c r="E3000" i="60"/>
  <c r="E2997" i="60"/>
  <c r="E2991" i="60"/>
  <c r="E2989" i="60"/>
  <c r="E2988" i="60"/>
  <c r="E2987" i="60"/>
  <c r="E2984" i="60"/>
  <c r="E2983" i="60"/>
  <c r="E2981" i="60"/>
  <c r="E2980" i="60"/>
  <c r="E2979" i="60"/>
  <c r="E2976" i="60"/>
  <c r="E2975" i="60"/>
  <c r="E2973" i="60"/>
  <c r="E2972" i="60"/>
  <c r="E2971" i="60"/>
  <c r="E2968" i="60"/>
  <c r="E2967" i="60"/>
  <c r="E2964" i="60"/>
  <c r="E2957" i="60"/>
  <c r="E2955" i="60"/>
  <c r="E2953" i="60"/>
  <c r="E2952" i="60"/>
  <c r="E2949" i="60"/>
  <c r="E2948" i="60"/>
  <c r="E2946" i="60"/>
  <c r="E2945" i="60"/>
  <c r="E2942" i="60"/>
  <c r="E2940" i="60"/>
  <c r="E2939" i="60"/>
  <c r="E2938" i="60"/>
  <c r="E2937" i="60"/>
  <c r="E2936" i="60"/>
  <c r="E2935" i="60"/>
  <c r="E2933" i="60"/>
  <c r="E2932" i="60"/>
  <c r="E2931" i="60"/>
  <c r="E2928" i="60"/>
  <c r="E2925" i="60"/>
  <c r="E2924" i="60"/>
  <c r="E2921" i="60"/>
  <c r="E2920" i="60"/>
  <c r="E2918" i="60"/>
  <c r="E2917" i="60"/>
  <c r="E2916" i="60"/>
  <c r="E2914" i="60"/>
  <c r="E2913" i="60"/>
  <c r="E2912" i="60"/>
  <c r="E2909" i="60"/>
  <c r="E2904" i="60"/>
  <c r="E2903" i="60"/>
  <c r="E2896" i="60"/>
  <c r="E2894" i="60"/>
  <c r="E2887" i="60"/>
  <c r="E2884" i="60"/>
  <c r="E2881" i="60"/>
  <c r="E2880" i="60"/>
  <c r="E2879" i="60"/>
  <c r="E2878" i="60"/>
  <c r="E2877" i="60"/>
  <c r="E2876" i="60"/>
  <c r="E2875" i="60"/>
  <c r="E2874" i="60"/>
  <c r="E2872" i="60"/>
  <c r="E2871" i="60"/>
  <c r="E2870" i="60"/>
  <c r="E2869" i="60"/>
  <c r="E2868" i="60"/>
  <c r="E2867" i="60"/>
  <c r="E2866" i="60"/>
  <c r="E2863" i="60"/>
  <c r="E2862" i="60"/>
  <c r="E2861" i="60"/>
  <c r="E2860" i="60"/>
  <c r="E2859" i="60"/>
  <c r="E2855" i="60"/>
  <c r="E2848" i="60"/>
  <c r="E2847" i="60"/>
  <c r="E2843" i="60"/>
  <c r="E2840" i="60"/>
  <c r="E2836" i="60"/>
  <c r="E2833" i="60"/>
  <c r="E2832" i="60"/>
  <c r="E2830" i="60"/>
  <c r="E2829" i="60"/>
  <c r="E2827" i="60"/>
  <c r="E2825" i="60"/>
  <c r="E2821" i="60"/>
  <c r="E2820" i="60"/>
  <c r="E2818" i="60"/>
  <c r="E2814" i="60"/>
  <c r="E2813" i="60"/>
  <c r="E2810" i="60"/>
  <c r="E2807" i="60"/>
  <c r="E2806" i="60"/>
  <c r="E2805" i="60"/>
  <c r="E2803" i="60"/>
  <c r="E2802" i="60"/>
  <c r="E2799" i="60"/>
  <c r="E2798" i="60"/>
  <c r="E2797" i="60"/>
  <c r="E2796" i="60"/>
  <c r="E2795" i="60"/>
  <c r="E2794" i="60"/>
  <c r="E2793" i="60"/>
  <c r="E2792" i="60"/>
  <c r="E2791" i="60"/>
  <c r="E2790" i="60"/>
  <c r="E2789" i="60"/>
  <c r="E2788" i="60"/>
  <c r="E2787" i="60"/>
  <c r="E2786" i="60"/>
  <c r="E2785" i="60"/>
  <c r="E2784" i="60"/>
  <c r="E2783" i="60"/>
  <c r="E2782" i="60"/>
  <c r="E2781" i="60"/>
  <c r="E2780" i="60"/>
  <c r="E2779" i="60"/>
  <c r="E2778" i="60"/>
  <c r="E2777" i="60"/>
  <c r="E2776" i="60"/>
  <c r="E2775" i="60"/>
  <c r="E2772" i="60"/>
  <c r="E2771" i="60"/>
  <c r="E2770" i="60"/>
  <c r="E2769" i="60"/>
  <c r="E2768" i="60"/>
  <c r="E2767" i="60"/>
  <c r="E2766" i="60"/>
  <c r="E2765" i="60"/>
  <c r="E2764" i="60"/>
  <c r="E2763" i="60"/>
  <c r="E2762" i="60"/>
  <c r="E2761" i="60"/>
  <c r="E2760" i="60"/>
  <c r="E2759" i="60"/>
  <c r="E2758" i="60"/>
  <c r="E2757" i="60"/>
  <c r="E2756" i="60"/>
  <c r="E2755" i="60"/>
  <c r="E2754" i="60"/>
  <c r="E2753" i="60"/>
  <c r="E2752" i="60"/>
  <c r="E2751" i="60"/>
  <c r="E2750" i="60"/>
  <c r="E2749" i="60"/>
  <c r="E2748" i="60"/>
  <c r="E2747" i="60"/>
  <c r="E2746" i="60"/>
  <c r="E2745" i="60"/>
  <c r="E2744" i="60"/>
  <c r="E2743" i="60"/>
  <c r="E2742" i="60"/>
  <c r="E2741" i="60"/>
  <c r="E2740" i="60"/>
  <c r="E2739" i="60"/>
  <c r="E2738" i="60"/>
  <c r="E2737" i="60"/>
  <c r="E2736" i="60"/>
  <c r="E2735" i="60"/>
  <c r="E2734" i="60"/>
  <c r="E2733" i="60"/>
  <c r="E2732" i="60"/>
  <c r="E2731" i="60"/>
  <c r="E2730" i="60"/>
  <c r="E2727" i="60"/>
  <c r="E2726" i="60"/>
  <c r="E2725" i="60"/>
  <c r="E2723" i="60"/>
  <c r="E2722" i="60"/>
  <c r="E2720" i="60"/>
  <c r="E2719" i="60"/>
  <c r="E2717" i="60"/>
  <c r="E2716" i="60"/>
  <c r="E2715" i="60"/>
  <c r="E2714" i="60"/>
  <c r="E2713" i="60"/>
  <c r="E2711" i="60"/>
  <c r="E2710" i="60"/>
  <c r="E2708" i="60"/>
  <c r="E2707" i="60"/>
  <c r="E2705" i="60"/>
  <c r="E2704" i="60"/>
  <c r="E2703" i="60"/>
  <c r="E2702" i="60"/>
  <c r="E2701" i="60"/>
  <c r="E2699" i="60"/>
  <c r="E2698" i="60"/>
  <c r="E2696" i="60"/>
  <c r="E2695" i="60"/>
  <c r="E2691" i="60"/>
  <c r="E2690" i="60"/>
  <c r="E2689" i="60"/>
  <c r="E2688" i="60"/>
  <c r="E2687" i="60"/>
  <c r="E2686" i="60"/>
  <c r="E2685" i="60"/>
  <c r="E2684" i="60"/>
  <c r="E2683" i="60"/>
  <c r="E2682" i="60"/>
  <c r="E2681" i="60"/>
  <c r="E2680" i="60"/>
  <c r="E2679" i="60"/>
  <c r="E2678" i="60"/>
  <c r="E2677" i="60"/>
  <c r="E2676" i="60"/>
  <c r="E2675" i="60"/>
  <c r="E2674" i="60"/>
  <c r="E2673" i="60"/>
  <c r="E2672" i="60"/>
  <c r="E2671" i="60"/>
  <c r="E2670" i="60"/>
  <c r="E2669" i="60"/>
  <c r="E2668" i="60"/>
  <c r="E2667" i="60"/>
  <c r="E2666" i="60"/>
  <c r="E2665" i="60"/>
  <c r="E2664" i="60"/>
  <c r="E2663" i="60"/>
  <c r="E2662" i="60"/>
  <c r="E2661" i="60"/>
  <c r="E2660" i="60"/>
  <c r="E2659" i="60"/>
  <c r="E2658" i="60"/>
  <c r="E2657" i="60"/>
  <c r="E2656" i="60"/>
  <c r="E2655" i="60"/>
  <c r="E2654" i="60"/>
  <c r="E2653" i="60"/>
  <c r="E2652" i="60"/>
  <c r="E2651" i="60"/>
  <c r="E2650" i="60"/>
  <c r="E2649" i="60"/>
  <c r="E2646" i="60"/>
  <c r="E2645" i="60"/>
  <c r="E2644" i="60"/>
  <c r="E2642" i="60"/>
  <c r="E2641" i="60"/>
  <c r="E2640" i="60"/>
  <c r="E2639" i="60"/>
  <c r="E2638" i="60"/>
  <c r="E2637" i="60"/>
  <c r="E2636" i="60"/>
  <c r="E2635" i="60"/>
  <c r="E2634" i="60"/>
  <c r="E2633" i="60"/>
  <c r="E2632" i="60"/>
  <c r="E2631" i="60"/>
  <c r="E2630" i="60"/>
  <c r="E2629" i="60"/>
  <c r="E2627" i="60"/>
  <c r="E2626" i="60"/>
  <c r="E2625" i="60"/>
  <c r="E2624" i="60"/>
  <c r="E2623" i="60"/>
  <c r="E2622" i="60"/>
  <c r="E2621" i="60"/>
  <c r="E2620" i="60"/>
  <c r="E2619" i="60"/>
  <c r="E2618" i="60"/>
  <c r="E2617" i="60"/>
  <c r="E2616" i="60"/>
  <c r="E2615" i="60"/>
  <c r="E2614" i="60"/>
  <c r="E2612" i="60"/>
  <c r="E2611" i="60"/>
  <c r="E2610" i="60"/>
  <c r="E2609" i="60"/>
  <c r="E2608" i="60"/>
  <c r="E2607" i="60"/>
  <c r="E2606" i="60"/>
  <c r="E2605" i="60"/>
  <c r="E2604" i="60"/>
  <c r="E2601" i="60"/>
  <c r="E2600" i="60"/>
  <c r="E2599" i="60"/>
  <c r="E2597" i="60"/>
  <c r="E2596" i="60"/>
  <c r="E2594" i="60"/>
  <c r="E2593" i="60"/>
  <c r="E2591" i="60"/>
  <c r="E2590" i="60"/>
  <c r="E2588" i="60"/>
  <c r="E2587" i="60"/>
  <c r="E2585" i="60"/>
  <c r="E2584" i="60"/>
  <c r="E2582" i="60"/>
  <c r="E2581" i="60"/>
  <c r="E2579" i="60"/>
  <c r="E2578" i="60"/>
  <c r="E2576" i="60"/>
  <c r="E2575" i="60"/>
  <c r="E2573" i="60"/>
  <c r="E2572" i="60"/>
  <c r="E2570" i="60"/>
  <c r="E2569" i="60"/>
  <c r="E2567" i="60"/>
  <c r="E2566" i="60"/>
  <c r="E2564" i="60"/>
  <c r="E2563" i="60"/>
  <c r="E2561" i="60"/>
  <c r="E2560" i="60"/>
  <c r="E2555" i="60"/>
  <c r="E2554" i="60"/>
  <c r="E2552" i="60"/>
  <c r="E2551" i="60"/>
  <c r="E2549" i="60"/>
  <c r="E2548" i="60"/>
  <c r="E2546" i="60"/>
  <c r="E2545" i="60"/>
  <c r="E2543" i="60"/>
  <c r="E2542" i="60"/>
  <c r="E2540" i="60"/>
  <c r="E2539" i="60"/>
  <c r="E2537" i="60"/>
  <c r="E2536" i="60"/>
  <c r="E2534" i="60"/>
  <c r="E2533" i="60"/>
  <c r="E2531" i="60"/>
  <c r="E2530" i="60"/>
  <c r="E2528" i="60"/>
  <c r="E2527" i="60"/>
  <c r="E2525" i="60"/>
  <c r="E2524" i="60"/>
  <c r="E2522" i="60"/>
  <c r="E2521" i="60"/>
  <c r="E2519" i="60"/>
  <c r="E2518" i="60"/>
  <c r="E2516" i="60"/>
  <c r="E2515" i="60"/>
  <c r="E2513" i="60"/>
  <c r="E2512" i="60"/>
  <c r="E2510" i="60"/>
  <c r="E2509" i="60"/>
  <c r="E2507" i="60"/>
  <c r="E2506" i="60"/>
  <c r="E2504" i="60"/>
  <c r="E2503" i="60"/>
  <c r="E2501" i="60"/>
  <c r="E2500" i="60"/>
  <c r="E2498" i="60"/>
  <c r="E2497" i="60"/>
  <c r="E2492" i="60"/>
  <c r="E2491" i="60"/>
  <c r="E2490" i="60"/>
  <c r="E2489" i="60"/>
  <c r="E2488" i="60"/>
  <c r="E2487" i="60"/>
  <c r="E2486" i="60"/>
  <c r="E2485" i="60"/>
  <c r="E2484" i="60"/>
  <c r="E2483" i="60"/>
  <c r="E2479" i="60"/>
  <c r="E2477" i="60"/>
  <c r="E2476" i="60"/>
  <c r="E2474" i="60"/>
  <c r="E2462" i="60"/>
  <c r="E2461" i="60"/>
  <c r="E2460" i="60"/>
  <c r="E2458" i="60"/>
  <c r="E2457" i="60"/>
  <c r="E2456" i="60"/>
  <c r="E2453" i="60"/>
  <c r="E2452" i="60"/>
  <c r="E2450" i="60"/>
  <c r="E2449" i="60"/>
  <c r="E2448" i="60"/>
  <c r="E2446" i="60"/>
  <c r="E2445" i="60"/>
  <c r="E2444" i="60"/>
  <c r="E2441" i="60"/>
  <c r="E2418" i="60"/>
  <c r="E2414" i="60"/>
  <c r="E2413" i="60"/>
  <c r="E2410" i="60"/>
  <c r="E2409" i="60"/>
  <c r="E2406" i="60"/>
  <c r="E2405" i="60"/>
  <c r="E2402" i="60"/>
  <c r="E2401" i="60"/>
  <c r="E2398" i="60"/>
  <c r="E2397" i="60"/>
  <c r="E2394" i="60"/>
  <c r="E2393" i="60"/>
  <c r="E2389" i="60"/>
  <c r="E2386" i="60"/>
  <c r="E2380" i="60"/>
  <c r="E2375" i="60"/>
  <c r="E2374" i="60"/>
  <c r="E2370" i="60"/>
  <c r="E2369" i="60"/>
  <c r="E2368" i="60"/>
  <c r="E2367" i="60"/>
  <c r="E2366" i="60"/>
  <c r="E2365" i="60"/>
  <c r="E2364" i="60"/>
  <c r="E2361" i="60"/>
  <c r="E2359" i="60"/>
  <c r="E2357" i="60"/>
  <c r="E2353" i="60"/>
  <c r="E2352" i="60"/>
  <c r="E2346" i="60"/>
  <c r="E2343" i="60"/>
  <c r="E2342" i="60"/>
  <c r="E2339" i="60"/>
  <c r="E2338" i="60"/>
  <c r="E2330" i="60"/>
  <c r="E2329" i="60"/>
  <c r="E2328" i="60"/>
  <c r="E2325" i="60"/>
  <c r="E2322" i="60"/>
  <c r="E2316" i="60"/>
  <c r="E2315" i="60"/>
  <c r="E2314" i="60"/>
  <c r="E2312" i="60"/>
  <c r="E2311" i="60"/>
  <c r="E2309" i="60"/>
  <c r="E2307" i="60"/>
  <c r="E2296" i="60"/>
  <c r="E2289" i="60"/>
  <c r="E2288" i="60"/>
  <c r="E2286" i="60"/>
  <c r="E2285" i="60"/>
  <c r="E2283" i="60"/>
  <c r="E2282" i="60"/>
  <c r="E2280" i="60"/>
  <c r="E2279" i="60"/>
  <c r="E2277" i="60"/>
  <c r="E2276" i="60"/>
  <c r="E2274" i="60"/>
  <c r="E2273" i="60"/>
  <c r="E2271" i="60"/>
  <c r="E2270" i="60"/>
  <c r="E2268" i="60"/>
  <c r="E2267" i="60"/>
  <c r="E2262" i="60"/>
  <c r="E2260" i="60"/>
  <c r="E2243" i="60"/>
  <c r="E2242" i="60"/>
  <c r="E2241" i="60"/>
  <c r="E2236" i="60"/>
  <c r="E2234" i="60"/>
  <c r="E2219" i="60"/>
  <c r="E2221" i="60"/>
  <c r="E2217" i="60"/>
  <c r="E2216" i="60"/>
  <c r="E2215" i="60"/>
  <c r="E2214" i="60"/>
  <c r="E2212" i="60"/>
  <c r="E2211" i="60"/>
  <c r="E2210" i="60"/>
  <c r="E2209" i="60"/>
  <c r="E2208" i="60"/>
  <c r="E2207" i="60"/>
  <c r="E2204" i="60"/>
  <c r="E2203" i="60"/>
  <c r="E2201" i="60"/>
  <c r="E2200" i="60"/>
  <c r="E2199" i="60"/>
  <c r="E2197" i="60"/>
  <c r="E2196" i="60"/>
  <c r="E2195" i="60"/>
  <c r="E2194" i="60"/>
  <c r="E2192" i="60"/>
  <c r="E2191" i="60"/>
  <c r="E2188" i="60"/>
  <c r="E2186" i="60"/>
  <c r="E2183" i="60"/>
  <c r="E2179" i="60"/>
  <c r="E2178" i="60"/>
  <c r="E2175" i="60"/>
  <c r="E2170" i="60"/>
  <c r="E2169" i="60"/>
  <c r="E2168" i="60"/>
  <c r="E2166" i="60"/>
  <c r="E2165" i="60"/>
  <c r="E2162" i="60"/>
  <c r="E2161" i="60"/>
  <c r="E2160" i="60"/>
  <c r="E2159" i="60"/>
  <c r="E2158" i="60"/>
  <c r="E2157" i="60"/>
  <c r="E2156" i="60"/>
  <c r="E2153" i="60"/>
  <c r="E2151" i="60"/>
  <c r="E2149" i="60"/>
  <c r="E2145" i="60"/>
  <c r="E2144" i="60"/>
  <c r="E2142" i="60"/>
  <c r="E2141" i="60"/>
  <c r="E2139" i="60"/>
  <c r="E2138" i="60"/>
  <c r="E2137" i="60"/>
  <c r="E2136" i="60"/>
  <c r="E2134" i="60"/>
  <c r="E2133" i="60"/>
  <c r="E2132" i="60"/>
  <c r="E2131" i="60"/>
  <c r="E2130" i="60"/>
  <c r="E2129" i="60"/>
  <c r="E2128" i="60"/>
  <c r="E2127" i="60"/>
  <c r="E2125" i="60"/>
  <c r="E2121" i="60"/>
  <c r="E2120" i="60"/>
  <c r="E2116" i="60"/>
  <c r="E2108" i="60"/>
  <c r="E2103" i="60"/>
  <c r="E2097" i="60"/>
  <c r="E2095" i="60"/>
  <c r="E2094" i="60"/>
  <c r="E2093" i="60"/>
  <c r="E2091" i="60"/>
  <c r="E2089" i="60"/>
  <c r="E2084" i="60"/>
  <c r="E2083" i="60"/>
  <c r="E2082" i="60"/>
  <c r="E2081" i="60"/>
  <c r="E2080" i="60"/>
  <c r="E2079" i="60"/>
  <c r="E2078" i="60"/>
  <c r="E2077" i="60"/>
  <c r="E2076" i="60"/>
  <c r="E2073" i="60"/>
  <c r="E2072" i="60"/>
  <c r="E2069" i="60"/>
  <c r="E2068" i="60"/>
  <c r="E2065" i="60"/>
  <c r="E2057" i="60"/>
  <c r="E2043" i="60"/>
  <c r="E2042" i="60"/>
  <c r="E2039" i="60"/>
  <c r="E2036" i="60"/>
  <c r="E2035" i="60"/>
  <c r="E2032" i="60"/>
  <c r="E2031" i="60"/>
  <c r="E2025" i="60"/>
  <c r="E2024" i="60"/>
  <c r="E2018" i="60"/>
  <c r="E2015" i="60"/>
  <c r="E2014" i="60"/>
  <c r="E2012" i="60"/>
  <c r="E2008" i="60"/>
  <c r="E2007" i="60"/>
  <c r="E2005" i="60"/>
  <c r="E2004" i="60"/>
  <c r="E2003" i="60"/>
  <c r="E2002" i="60"/>
  <c r="E2000" i="60"/>
  <c r="E1996" i="60"/>
  <c r="E1995" i="60"/>
  <c r="E1994" i="60"/>
  <c r="E1991" i="60"/>
  <c r="E1982" i="60"/>
  <c r="E1973" i="60"/>
  <c r="E1970" i="60"/>
  <c r="E1964" i="60"/>
  <c r="E1963" i="60"/>
  <c r="E1960" i="60"/>
  <c r="E1955" i="60"/>
  <c r="E1954" i="60"/>
  <c r="E1952" i="60"/>
  <c r="E1951" i="60"/>
  <c r="E1948" i="60"/>
  <c r="E1946" i="60"/>
  <c r="E1945" i="60"/>
  <c r="E1943" i="60"/>
  <c r="E1941" i="60"/>
  <c r="E1939" i="60"/>
  <c r="E1938" i="60"/>
  <c r="E1933" i="60"/>
  <c r="E1932" i="60"/>
  <c r="E1929" i="60"/>
  <c r="E1928" i="60"/>
  <c r="E1925" i="60"/>
  <c r="E1924" i="60"/>
  <c r="E1917" i="60"/>
  <c r="E1916" i="60"/>
  <c r="E1913" i="60"/>
  <c r="E1912" i="60"/>
  <c r="E1909" i="60"/>
  <c r="E1905" i="60"/>
  <c r="E1901" i="60"/>
  <c r="E1897" i="60"/>
  <c r="E1896" i="60"/>
  <c r="E1890" i="60"/>
  <c r="E1889" i="60"/>
  <c r="E1884" i="60"/>
  <c r="E1883" i="60"/>
  <c r="E1882" i="60"/>
  <c r="E1881" i="60"/>
  <c r="E1879" i="60"/>
  <c r="E1878" i="60"/>
  <c r="E1877" i="60"/>
  <c r="E1874" i="60"/>
  <c r="E1873" i="60"/>
  <c r="E1867" i="60"/>
  <c r="E1866" i="60"/>
  <c r="E1864" i="60"/>
  <c r="E1863" i="60"/>
  <c r="E1861" i="60"/>
  <c r="E1860" i="60"/>
  <c r="E1852" i="60"/>
  <c r="E1851" i="60"/>
  <c r="E1844" i="60"/>
  <c r="E1840" i="60"/>
  <c r="E1837" i="60"/>
  <c r="E1836" i="60"/>
  <c r="E1835" i="60"/>
  <c r="E1833" i="60"/>
  <c r="E1832" i="60"/>
  <c r="E1830" i="60"/>
  <c r="E1829" i="60"/>
  <c r="E1828" i="60"/>
  <c r="E1826" i="60"/>
  <c r="E1825" i="60"/>
  <c r="E1822" i="60"/>
  <c r="E1809" i="60"/>
  <c r="E1808" i="60"/>
  <c r="E1806" i="60"/>
  <c r="E1805" i="60"/>
  <c r="E1803" i="60"/>
  <c r="E1802" i="60"/>
  <c r="E1800" i="60"/>
  <c r="E1799" i="60"/>
  <c r="E1794" i="60"/>
  <c r="E1793" i="60"/>
  <c r="E1791" i="60"/>
  <c r="E1790" i="60"/>
  <c r="E1788" i="60"/>
  <c r="E1787" i="60"/>
  <c r="E1785" i="60"/>
  <c r="E1784" i="60"/>
  <c r="E1782" i="60"/>
  <c r="E1781" i="60"/>
  <c r="E1779" i="60"/>
  <c r="E1778" i="60"/>
  <c r="E1776" i="60"/>
  <c r="E1775" i="60"/>
  <c r="E1773" i="60"/>
  <c r="E1772" i="60"/>
  <c r="E1770" i="60"/>
  <c r="E1769" i="60"/>
  <c r="E1767" i="60"/>
  <c r="E1766" i="60"/>
  <c r="E1764" i="60"/>
  <c r="E1763" i="60"/>
  <c r="E1761" i="60"/>
  <c r="E1760" i="60"/>
  <c r="E1758" i="60"/>
  <c r="E1757" i="60"/>
  <c r="E1755" i="60"/>
  <c r="E1754" i="60"/>
  <c r="E1752" i="60"/>
  <c r="E1751" i="60"/>
  <c r="E1749" i="60"/>
  <c r="E1748" i="60"/>
  <c r="E1746" i="60"/>
  <c r="E1745" i="60"/>
  <c r="E1728" i="60"/>
  <c r="E1722" i="60"/>
  <c r="E1721" i="60"/>
  <c r="E1717" i="60"/>
  <c r="E1716" i="60"/>
  <c r="E1715" i="60"/>
  <c r="E1714" i="60"/>
  <c r="E1713" i="60"/>
  <c r="E1712" i="60"/>
  <c r="E1711" i="60"/>
  <c r="E1710" i="60"/>
  <c r="E1709" i="60"/>
  <c r="E1707" i="60"/>
  <c r="E1705" i="60"/>
  <c r="E1704" i="60"/>
  <c r="E1702" i="60"/>
  <c r="E1698" i="60"/>
  <c r="E1686" i="60"/>
  <c r="E1685" i="60"/>
  <c r="E1675" i="60"/>
  <c r="E1674" i="60"/>
  <c r="E1666" i="60"/>
  <c r="E1665" i="60"/>
  <c r="E1648" i="60"/>
  <c r="E1645" i="60"/>
  <c r="E1642" i="60"/>
  <c r="E1639" i="60"/>
  <c r="E1638" i="60"/>
  <c r="E1637" i="60"/>
  <c r="E1630" i="60"/>
  <c r="E1629" i="60"/>
  <c r="E1628" i="60"/>
  <c r="E1625" i="60"/>
  <c r="E1622" i="60"/>
  <c r="E1621" i="60"/>
  <c r="E1615" i="60"/>
  <c r="E1611" i="60"/>
  <c r="E1610" i="60"/>
  <c r="E1609" i="60"/>
  <c r="E1604" i="60"/>
  <c r="E1603" i="60"/>
  <c r="E1601" i="60"/>
  <c r="E1600" i="60"/>
  <c r="E1597" i="60"/>
  <c r="E1596" i="60"/>
  <c r="E1593" i="60"/>
  <c r="E1591" i="60"/>
  <c r="E1590" i="60"/>
  <c r="E1588" i="60"/>
  <c r="E1587" i="60"/>
  <c r="E1585" i="60"/>
  <c r="E1584" i="60"/>
  <c r="E1582" i="60"/>
  <c r="E1581" i="60"/>
  <c r="E1579" i="60"/>
  <c r="E1578" i="60"/>
  <c r="E1576" i="60"/>
  <c r="E1575" i="60"/>
  <c r="E1572" i="60"/>
  <c r="E3485" i="59"/>
  <c r="E3484" i="59"/>
  <c r="E3483" i="59"/>
  <c r="E3482" i="59"/>
  <c r="E3481" i="59"/>
  <c r="E3480" i="59"/>
  <c r="E3479" i="59"/>
  <c r="E3478" i="59"/>
  <c r="E3477" i="59"/>
  <c r="E3476" i="59"/>
  <c r="E3475" i="59"/>
  <c r="E3474" i="59"/>
  <c r="E3473" i="59"/>
  <c r="E3472" i="59"/>
  <c r="E3471" i="59"/>
  <c r="E3470" i="59"/>
  <c r="E3469" i="59"/>
  <c r="E3468" i="59"/>
  <c r="E3467" i="59"/>
  <c r="E3466" i="59"/>
  <c r="E3465" i="59"/>
  <c r="E3464" i="59"/>
  <c r="E3463" i="59"/>
  <c r="E3462" i="59"/>
  <c r="E3461" i="59"/>
  <c r="E3460" i="59"/>
  <c r="E3459" i="59"/>
  <c r="E3458" i="59"/>
  <c r="E3457" i="59"/>
  <c r="E3456" i="59"/>
  <c r="E3455" i="59"/>
  <c r="E3454" i="59"/>
  <c r="E3453" i="59"/>
  <c r="E3452" i="59"/>
  <c r="E3451" i="59"/>
  <c r="E3450" i="59"/>
  <c r="E3449" i="59"/>
  <c r="E3448" i="59"/>
  <c r="E3447" i="59"/>
  <c r="E3446" i="59"/>
  <c r="E3445" i="59"/>
  <c r="E3444" i="59"/>
  <c r="E3443" i="59"/>
  <c r="E3442" i="59"/>
  <c r="E3441" i="59"/>
  <c r="E3440" i="59"/>
  <c r="E3439" i="59"/>
  <c r="E3438" i="59"/>
  <c r="E3437" i="59"/>
  <c r="E3436" i="59"/>
  <c r="E3435" i="59"/>
  <c r="E3434" i="59"/>
  <c r="E3433" i="59"/>
  <c r="E3432" i="59"/>
  <c r="E3431" i="59"/>
  <c r="E3430" i="59"/>
  <c r="E3429" i="59"/>
  <c r="E3428" i="59"/>
  <c r="E3427" i="59"/>
  <c r="E3426" i="59"/>
  <c r="E3425" i="59"/>
  <c r="E3424" i="59"/>
  <c r="E3423" i="59"/>
  <c r="E3422" i="59"/>
  <c r="E3421" i="59"/>
  <c r="E3420" i="59"/>
  <c r="E3419" i="59"/>
  <c r="E3418" i="59"/>
  <c r="E3417" i="59"/>
  <c r="E3416" i="59"/>
  <c r="E3415" i="59"/>
  <c r="E3414" i="59"/>
  <c r="E3413" i="59"/>
  <c r="E3412" i="59"/>
  <c r="E3411" i="59"/>
  <c r="E3410" i="59"/>
  <c r="E3409" i="59"/>
  <c r="E3408" i="59"/>
  <c r="E3407" i="59"/>
  <c r="E3406" i="59"/>
  <c r="E3405" i="59"/>
  <c r="E3404" i="59"/>
  <c r="E3403" i="59"/>
  <c r="E3402" i="59"/>
  <c r="E3401" i="59"/>
  <c r="E3400" i="59"/>
  <c r="E3399" i="59"/>
  <c r="E3398" i="59"/>
  <c r="E3397" i="59"/>
  <c r="E3396" i="59"/>
  <c r="E3395" i="59"/>
  <c r="E3394" i="59"/>
  <c r="E3393" i="59"/>
  <c r="E3392" i="59"/>
  <c r="E3391" i="59"/>
  <c r="E3390" i="59"/>
  <c r="E3389" i="59"/>
  <c r="E3388" i="59"/>
  <c r="E3387" i="59"/>
  <c r="E3386" i="59"/>
  <c r="E3385" i="59"/>
  <c r="E3384" i="59"/>
  <c r="E3383" i="59"/>
  <c r="E3382" i="59"/>
  <c r="E3381" i="59"/>
  <c r="E3380" i="59"/>
  <c r="E3379" i="59"/>
  <c r="E3378" i="59"/>
  <c r="E3377" i="59"/>
  <c r="E3376" i="59"/>
  <c r="E3375" i="59"/>
  <c r="E3374" i="59"/>
  <c r="E3373" i="59"/>
  <c r="E3372" i="59"/>
  <c r="E3371" i="59"/>
  <c r="E3370" i="59"/>
  <c r="E3369" i="59"/>
  <c r="E3368" i="59"/>
  <c r="E3367" i="59"/>
  <c r="E3366" i="59"/>
  <c r="E3365" i="59"/>
  <c r="E3364" i="59"/>
  <c r="E3363" i="59"/>
  <c r="E3362" i="59"/>
  <c r="E3361" i="59"/>
  <c r="E3360" i="59"/>
  <c r="E3359" i="59"/>
  <c r="E3358" i="59"/>
  <c r="E3357" i="59"/>
  <c r="E3356" i="59"/>
  <c r="E3355" i="59"/>
  <c r="E3354" i="59"/>
  <c r="E3353" i="59"/>
  <c r="E3352" i="59"/>
  <c r="E3351" i="59"/>
  <c r="E3350" i="59"/>
  <c r="E3349" i="59"/>
  <c r="E3348" i="59"/>
  <c r="E3347" i="59"/>
  <c r="E3346" i="59"/>
  <c r="E3344" i="59"/>
  <c r="E3343" i="59"/>
  <c r="E3342" i="59"/>
  <c r="E3341" i="59"/>
  <c r="E3340" i="59"/>
  <c r="E3339" i="59"/>
  <c r="E3338" i="59"/>
  <c r="E3337" i="59"/>
  <c r="E3336" i="59"/>
  <c r="E3335" i="59"/>
  <c r="E3334" i="59"/>
  <c r="E3333" i="59"/>
  <c r="E3332" i="59"/>
  <c r="E3331" i="59"/>
  <c r="E3330" i="59"/>
  <c r="E3329" i="59"/>
  <c r="E3327" i="59"/>
  <c r="E3326" i="59"/>
  <c r="E3325" i="59"/>
  <c r="E3324" i="59"/>
  <c r="E3323" i="59"/>
  <c r="E3322" i="59"/>
  <c r="E3321" i="59"/>
  <c r="E3319" i="59"/>
  <c r="E3318" i="59"/>
  <c r="E3317" i="59"/>
  <c r="E3316" i="59"/>
  <c r="E3315" i="59"/>
  <c r="E3314" i="59"/>
  <c r="E3313" i="59"/>
  <c r="E3312" i="59"/>
  <c r="E3311" i="59"/>
  <c r="E3310" i="59"/>
  <c r="E3309" i="59"/>
  <c r="E3308" i="59"/>
  <c r="E3307" i="59"/>
  <c r="E3306" i="59"/>
  <c r="E3305" i="59"/>
  <c r="E3303" i="59"/>
  <c r="E3302" i="59"/>
  <c r="E3301" i="59"/>
  <c r="E3300" i="59"/>
  <c r="E3299" i="59"/>
  <c r="E3298" i="59"/>
  <c r="E3297" i="59"/>
  <c r="E3295" i="59"/>
  <c r="E3294" i="59"/>
  <c r="E3293" i="59"/>
  <c r="E3292" i="59"/>
  <c r="E3291" i="59"/>
  <c r="E3290" i="59"/>
  <c r="E3289" i="59"/>
  <c r="E3288" i="59"/>
  <c r="E3287" i="59"/>
  <c r="E3286" i="59"/>
  <c r="E3284" i="59"/>
  <c r="E3283" i="59"/>
  <c r="E3281" i="59"/>
  <c r="E3280" i="59"/>
  <c r="E3279" i="59"/>
  <c r="E3278" i="59"/>
  <c r="E3277" i="59"/>
  <c r="E3276" i="59"/>
  <c r="E3275" i="59"/>
  <c r="E3272" i="59"/>
  <c r="E3271" i="59"/>
  <c r="E3270" i="59"/>
  <c r="E3269" i="59"/>
  <c r="E3268" i="59"/>
  <c r="E3267" i="59"/>
  <c r="E3266" i="59"/>
  <c r="E3265" i="59"/>
  <c r="E3264" i="59"/>
  <c r="E3263" i="59"/>
  <c r="E3262" i="59"/>
  <c r="E3261" i="59"/>
  <c r="E3260" i="59"/>
  <c r="E3259" i="59"/>
  <c r="E3258" i="59"/>
  <c r="E3257" i="59"/>
  <c r="E3256" i="59"/>
  <c r="E3255" i="59"/>
  <c r="E3254" i="59"/>
  <c r="E3253" i="59"/>
  <c r="E3252" i="59"/>
  <c r="E3251" i="59"/>
  <c r="E3250" i="59"/>
  <c r="E3249" i="59"/>
  <c r="E3248" i="59"/>
  <c r="E3247" i="59"/>
  <c r="E3246" i="59"/>
  <c r="E3245" i="59"/>
  <c r="E3244" i="59"/>
  <c r="E3243" i="59"/>
  <c r="E3242" i="59"/>
  <c r="E3241" i="59"/>
  <c r="E3240" i="59"/>
  <c r="E3239" i="59"/>
  <c r="E3238" i="59"/>
  <c r="E3237" i="59"/>
  <c r="E3236" i="59"/>
  <c r="E3235" i="59"/>
  <c r="E3234" i="59"/>
  <c r="E3233" i="59"/>
  <c r="E3232" i="59"/>
  <c r="E3229" i="59"/>
  <c r="E3227" i="59"/>
  <c r="E3225" i="59"/>
  <c r="E3224" i="59"/>
  <c r="E3223" i="59"/>
  <c r="E3222" i="59"/>
  <c r="E3221" i="59"/>
  <c r="E3220" i="59"/>
  <c r="E3219" i="59"/>
  <c r="E3218" i="59"/>
  <c r="E3217" i="59"/>
  <c r="E3216" i="59"/>
  <c r="E3215" i="59"/>
  <c r="E3214" i="59"/>
  <c r="E3212" i="59"/>
  <c r="E3211" i="59"/>
  <c r="E3210" i="59"/>
  <c r="E3209" i="59"/>
  <c r="E3208" i="59"/>
  <c r="E3207" i="59"/>
  <c r="E3206" i="59"/>
  <c r="E3205" i="59"/>
  <c r="E3204" i="59"/>
  <c r="E3203" i="59"/>
  <c r="E3198" i="59"/>
  <c r="E3197" i="59"/>
  <c r="E3196" i="59"/>
  <c r="E3194" i="59"/>
  <c r="E3193" i="59"/>
  <c r="E3192" i="59"/>
  <c r="E3190" i="59"/>
  <c r="E3189" i="59"/>
  <c r="E3188" i="59"/>
  <c r="E3186" i="59"/>
  <c r="E3185" i="59"/>
  <c r="E3184" i="59"/>
  <c r="E3177" i="59"/>
  <c r="E3176" i="59"/>
  <c r="E3173" i="59"/>
  <c r="E3172" i="59"/>
  <c r="E3169" i="59"/>
  <c r="E3164" i="59"/>
  <c r="E3162" i="59"/>
  <c r="E3161" i="59"/>
  <c r="E3160" i="59"/>
  <c r="E3158" i="59"/>
  <c r="E3157" i="59"/>
  <c r="E3156" i="59"/>
  <c r="E3155" i="59"/>
  <c r="E3154" i="59"/>
  <c r="E3153" i="59"/>
  <c r="E3152" i="59"/>
  <c r="E3150" i="59"/>
  <c r="E3149" i="59"/>
  <c r="E3148" i="59"/>
  <c r="E3146" i="59"/>
  <c r="E3145" i="59"/>
  <c r="E3142" i="59"/>
  <c r="E3141" i="59"/>
  <c r="E3140" i="59"/>
  <c r="E3138" i="59"/>
  <c r="E3137" i="59"/>
  <c r="E3136" i="59"/>
  <c r="E3134" i="59"/>
  <c r="E3133" i="59"/>
  <c r="E3130" i="59"/>
  <c r="E3129" i="59"/>
  <c r="E3128" i="59"/>
  <c r="E3126" i="59"/>
  <c r="E3125" i="59"/>
  <c r="E3124" i="59"/>
  <c r="E3122" i="59"/>
  <c r="E3121" i="59"/>
  <c r="E3118" i="59"/>
  <c r="E3117" i="59"/>
  <c r="E3116" i="59"/>
  <c r="E3114" i="59"/>
  <c r="E3113" i="59"/>
  <c r="E3110" i="59"/>
  <c r="E3109" i="59"/>
  <c r="E3106" i="59"/>
  <c r="E3103" i="59"/>
  <c r="E3102" i="59"/>
  <c r="E3096" i="59"/>
  <c r="E3093" i="59"/>
  <c r="E3092" i="59"/>
  <c r="E3089" i="59"/>
  <c r="E3088" i="59"/>
  <c r="E3086" i="59"/>
  <c r="E3085" i="59"/>
  <c r="E3083" i="59"/>
  <c r="E3082" i="59"/>
  <c r="E3080" i="59"/>
  <c r="E3077" i="59"/>
  <c r="E3075" i="59"/>
  <c r="E3073" i="59"/>
  <c r="E3072" i="59"/>
  <c r="E3070" i="59"/>
  <c r="E3066" i="59"/>
  <c r="E3062" i="59"/>
  <c r="E3061" i="59"/>
  <c r="E3058" i="59"/>
  <c r="E3057" i="59"/>
  <c r="E3056" i="59"/>
  <c r="E3054" i="59"/>
  <c r="E3052" i="59"/>
  <c r="E3050" i="59"/>
  <c r="E3049" i="59"/>
  <c r="E3048" i="59"/>
  <c r="E3046" i="59"/>
  <c r="E3045" i="59"/>
  <c r="E3042" i="59"/>
  <c r="E3041" i="59"/>
  <c r="E3040" i="59"/>
  <c r="E3038" i="59"/>
  <c r="E3031" i="59"/>
  <c r="E3030" i="59"/>
  <c r="E3024" i="59"/>
  <c r="E3017" i="59"/>
  <c r="E3013" i="59"/>
  <c r="E3012" i="59"/>
  <c r="E3009" i="59"/>
  <c r="E3005" i="59"/>
  <c r="E3004" i="59"/>
  <c r="E3003" i="59"/>
  <c r="E3001" i="59"/>
  <c r="E3000" i="59"/>
  <c r="E2997" i="59"/>
  <c r="E2991" i="59"/>
  <c r="E2989" i="59"/>
  <c r="E2988" i="59"/>
  <c r="E2987" i="59"/>
  <c r="E2984" i="59"/>
  <c r="E2983" i="59"/>
  <c r="E2981" i="59"/>
  <c r="E2980" i="59"/>
  <c r="E2979" i="59"/>
  <c r="E2976" i="59"/>
  <c r="E2975" i="59"/>
  <c r="E2973" i="59"/>
  <c r="E2972" i="59"/>
  <c r="E2971" i="59"/>
  <c r="E2968" i="59"/>
  <c r="E2967" i="59"/>
  <c r="E2964" i="59"/>
  <c r="E2957" i="59"/>
  <c r="E2955" i="59"/>
  <c r="E2953" i="59"/>
  <c r="E2952" i="59"/>
  <c r="E2949" i="59"/>
  <c r="E2948" i="59"/>
  <c r="E2946" i="59"/>
  <c r="E2945" i="59"/>
  <c r="E2942" i="59"/>
  <c r="E2940" i="59"/>
  <c r="E2939" i="59"/>
  <c r="E2938" i="59"/>
  <c r="E2937" i="59"/>
  <c r="E2936" i="59"/>
  <c r="E2935" i="59"/>
  <c r="E2933" i="59"/>
  <c r="E2932" i="59"/>
  <c r="E2931" i="59"/>
  <c r="E2928" i="59"/>
  <c r="E2925" i="59"/>
  <c r="E2924" i="59"/>
  <c r="E2921" i="59"/>
  <c r="E2920" i="59"/>
  <c r="E2918" i="59"/>
  <c r="E2917" i="59"/>
  <c r="E2916" i="59"/>
  <c r="E2914" i="59"/>
  <c r="E2913" i="59"/>
  <c r="E2912" i="59"/>
  <c r="E2909" i="59"/>
  <c r="E2904" i="59"/>
  <c r="E2903" i="59"/>
  <c r="E2902" i="59"/>
  <c r="E2894" i="59"/>
  <c r="E2893" i="59"/>
  <c r="E2887" i="59"/>
  <c r="E2884" i="59"/>
  <c r="E2881" i="59"/>
  <c r="E2880" i="59"/>
  <c r="E2879" i="59"/>
  <c r="E2878" i="59"/>
  <c r="E2877" i="59"/>
  <c r="E2876" i="59"/>
  <c r="E2875" i="59"/>
  <c r="E2874" i="59"/>
  <c r="E2872" i="59"/>
  <c r="E2871" i="59"/>
  <c r="E2870" i="59"/>
  <c r="E2869" i="59"/>
  <c r="E2868" i="59"/>
  <c r="E2867" i="59"/>
  <c r="E2866" i="59"/>
  <c r="E2863" i="59"/>
  <c r="E2862" i="59"/>
  <c r="E2861" i="59"/>
  <c r="E2860" i="59"/>
  <c r="E2859" i="59"/>
  <c r="E2855" i="59"/>
  <c r="E2848" i="59"/>
  <c r="E2847" i="59"/>
  <c r="E2843" i="59"/>
  <c r="E2840" i="59"/>
  <c r="E2836" i="59"/>
  <c r="E2833" i="59"/>
  <c r="E2832" i="59"/>
  <c r="E2830" i="59"/>
  <c r="E2829" i="59"/>
  <c r="E2827" i="59"/>
  <c r="E2825" i="59"/>
  <c r="E2821" i="59"/>
  <c r="E2820" i="59"/>
  <c r="E2818" i="59"/>
  <c r="E2814" i="59"/>
  <c r="E2813" i="59"/>
  <c r="E2810" i="59"/>
  <c r="E2807" i="59"/>
  <c r="E2806" i="59"/>
  <c r="E2805" i="59"/>
  <c r="E2803" i="59"/>
  <c r="E2802" i="59"/>
  <c r="E2799" i="59"/>
  <c r="E2798" i="59"/>
  <c r="E2797" i="59"/>
  <c r="E2796" i="59"/>
  <c r="E2795" i="59"/>
  <c r="E2794" i="59"/>
  <c r="E2793" i="59"/>
  <c r="E2792" i="59"/>
  <c r="E2791" i="59"/>
  <c r="E2790" i="59"/>
  <c r="E2789" i="59"/>
  <c r="E2788" i="59"/>
  <c r="E2787" i="59"/>
  <c r="E2786" i="59"/>
  <c r="E2785" i="59"/>
  <c r="E2784" i="59"/>
  <c r="E2783" i="59"/>
  <c r="E2782" i="59"/>
  <c r="E2781" i="59"/>
  <c r="E2780" i="59"/>
  <c r="E2779" i="59"/>
  <c r="E2778" i="59"/>
  <c r="E2777" i="59"/>
  <c r="E2776" i="59"/>
  <c r="E2775" i="59"/>
  <c r="E2772" i="59"/>
  <c r="E2771" i="59"/>
  <c r="E2770" i="59"/>
  <c r="E2769" i="59"/>
  <c r="E2768" i="59"/>
  <c r="E2767" i="59"/>
  <c r="E2766" i="59"/>
  <c r="E2765" i="59"/>
  <c r="E2764" i="59"/>
  <c r="E2763" i="59"/>
  <c r="E2762" i="59"/>
  <c r="E2761" i="59"/>
  <c r="E2760" i="59"/>
  <c r="E2759" i="59"/>
  <c r="E2758" i="59"/>
  <c r="E2757" i="59"/>
  <c r="E2756" i="59"/>
  <c r="E2755" i="59"/>
  <c r="E2754" i="59"/>
  <c r="E2753" i="59"/>
  <c r="E2752" i="59"/>
  <c r="E2751" i="59"/>
  <c r="E2750" i="59"/>
  <c r="E2749" i="59"/>
  <c r="E2748" i="59"/>
  <c r="E2747" i="59"/>
  <c r="E2746" i="59"/>
  <c r="E2745" i="59"/>
  <c r="E2744" i="59"/>
  <c r="E2743" i="59"/>
  <c r="E2742" i="59"/>
  <c r="E2741" i="59"/>
  <c r="E2740" i="59"/>
  <c r="E2739" i="59"/>
  <c r="E2738" i="59"/>
  <c r="E2737" i="59"/>
  <c r="E2736" i="59"/>
  <c r="E2735" i="59"/>
  <c r="E2734" i="59"/>
  <c r="E2733" i="59"/>
  <c r="E2732" i="59"/>
  <c r="E2731" i="59"/>
  <c r="E2730" i="59"/>
  <c r="E2727" i="59"/>
  <c r="E2726" i="59"/>
  <c r="E2725" i="59"/>
  <c r="E2723" i="59"/>
  <c r="E2722" i="59"/>
  <c r="E2720" i="59"/>
  <c r="E2719" i="59"/>
  <c r="E2717" i="59"/>
  <c r="E2716" i="59"/>
  <c r="E2715" i="59"/>
  <c r="E2714" i="59"/>
  <c r="E2713" i="59"/>
  <c r="E2711" i="59"/>
  <c r="E2710" i="59"/>
  <c r="E2708" i="59"/>
  <c r="E2707" i="59"/>
  <c r="E2705" i="59"/>
  <c r="E2704" i="59"/>
  <c r="E2703" i="59"/>
  <c r="E2702" i="59"/>
  <c r="E2701" i="59"/>
  <c r="E2699" i="59"/>
  <c r="E2698" i="59"/>
  <c r="E2696" i="59"/>
  <c r="E2695" i="59"/>
  <c r="E2691" i="59"/>
  <c r="E2690" i="59"/>
  <c r="E2689" i="59"/>
  <c r="E2688" i="59"/>
  <c r="E2687" i="59"/>
  <c r="E2686" i="59"/>
  <c r="E2685" i="59"/>
  <c r="E2684" i="59"/>
  <c r="E2683" i="59"/>
  <c r="E2682" i="59"/>
  <c r="E2681" i="59"/>
  <c r="E2680" i="59"/>
  <c r="E2679" i="59"/>
  <c r="E2678" i="59"/>
  <c r="E2677" i="59"/>
  <c r="E2676" i="59"/>
  <c r="E2675" i="59"/>
  <c r="E2674" i="59"/>
  <c r="E2673" i="59"/>
  <c r="E2672" i="59"/>
  <c r="E2671" i="59"/>
  <c r="E2670" i="59"/>
  <c r="E2669" i="59"/>
  <c r="E2668" i="59"/>
  <c r="E2667" i="59"/>
  <c r="E2666" i="59"/>
  <c r="E2665" i="59"/>
  <c r="E2664" i="59"/>
  <c r="E2663" i="59"/>
  <c r="E2662" i="59"/>
  <c r="E2661" i="59"/>
  <c r="E2660" i="59"/>
  <c r="E2659" i="59"/>
  <c r="E2658" i="59"/>
  <c r="E2657" i="59"/>
  <c r="E2656" i="59"/>
  <c r="E2655" i="59"/>
  <c r="E2654" i="59"/>
  <c r="E2653" i="59"/>
  <c r="E2652" i="59"/>
  <c r="E2651" i="59"/>
  <c r="E2650" i="59"/>
  <c r="E2649" i="59"/>
  <c r="E2646" i="59"/>
  <c r="E2645" i="59"/>
  <c r="E2644" i="59"/>
  <c r="E2642" i="59"/>
  <c r="E2641" i="59"/>
  <c r="E2640" i="59"/>
  <c r="E2639" i="59"/>
  <c r="E2638" i="59"/>
  <c r="E2637" i="59"/>
  <c r="E2636" i="59"/>
  <c r="E2635" i="59"/>
  <c r="E2634" i="59"/>
  <c r="E2633" i="59"/>
  <c r="E2632" i="59"/>
  <c r="E2631" i="59"/>
  <c r="E2630" i="59"/>
  <c r="E2629" i="59"/>
  <c r="E2627" i="59"/>
  <c r="E2626" i="59"/>
  <c r="E2625" i="59"/>
  <c r="E2624" i="59"/>
  <c r="E2623" i="59"/>
  <c r="E2622" i="59"/>
  <c r="E2621" i="59"/>
  <c r="E2620" i="59"/>
  <c r="E2619" i="59"/>
  <c r="E2618" i="59"/>
  <c r="E2617" i="59"/>
  <c r="E2616" i="59"/>
  <c r="E2615" i="59"/>
  <c r="E2614" i="59"/>
  <c r="E2612" i="59"/>
  <c r="E2611" i="59"/>
  <c r="E2610" i="59"/>
  <c r="E2609" i="59"/>
  <c r="E2608" i="59"/>
  <c r="E2607" i="59"/>
  <c r="E2606" i="59"/>
  <c r="E2605" i="59"/>
  <c r="E2604" i="59"/>
  <c r="E2601" i="59"/>
  <c r="E2600" i="59"/>
  <c r="E2599" i="59"/>
  <c r="E2597" i="59"/>
  <c r="E2596" i="59"/>
  <c r="E2594" i="59"/>
  <c r="E2593" i="59"/>
  <c r="E2591" i="59"/>
  <c r="E2590" i="59"/>
  <c r="E2588" i="59"/>
  <c r="E2587" i="59"/>
  <c r="E2585" i="59"/>
  <c r="E2584" i="59"/>
  <c r="E2582" i="59"/>
  <c r="E2581" i="59"/>
  <c r="E2579" i="59"/>
  <c r="E2578" i="59"/>
  <c r="E2576" i="59"/>
  <c r="E2575" i="59"/>
  <c r="E2573" i="59"/>
  <c r="E2572" i="59"/>
  <c r="E2570" i="59"/>
  <c r="E2569" i="59"/>
  <c r="E2567" i="59"/>
  <c r="E2566" i="59"/>
  <c r="E2564" i="59"/>
  <c r="E2563" i="59"/>
  <c r="E2561" i="59"/>
  <c r="E2560" i="59"/>
  <c r="E2555" i="59"/>
  <c r="E2554" i="59"/>
  <c r="E2552" i="59"/>
  <c r="E2551" i="59"/>
  <c r="E2549" i="59"/>
  <c r="E2548" i="59"/>
  <c r="E2546" i="59"/>
  <c r="E2545" i="59"/>
  <c r="E2543" i="59"/>
  <c r="E2542" i="59"/>
  <c r="E2540" i="59"/>
  <c r="E2539" i="59"/>
  <c r="E2537" i="59"/>
  <c r="E2536" i="59"/>
  <c r="E2534" i="59"/>
  <c r="E2533" i="59"/>
  <c r="E2531" i="59"/>
  <c r="E2530" i="59"/>
  <c r="E2528" i="59"/>
  <c r="E2527" i="59"/>
  <c r="E2525" i="59"/>
  <c r="E2524" i="59"/>
  <c r="E2522" i="59"/>
  <c r="E2521" i="59"/>
  <c r="E2519" i="59"/>
  <c r="E2518" i="59"/>
  <c r="E2516" i="59"/>
  <c r="E2515" i="59"/>
  <c r="E2513" i="59"/>
  <c r="E2512" i="59"/>
  <c r="E2510" i="59"/>
  <c r="E2509" i="59"/>
  <c r="E2507" i="59"/>
  <c r="E2506" i="59"/>
  <c r="E2504" i="59"/>
  <c r="E2503" i="59"/>
  <c r="E2501" i="59"/>
  <c r="E2500" i="59"/>
  <c r="E2498" i="59"/>
  <c r="E2497" i="59"/>
  <c r="E2492" i="59"/>
  <c r="E2491" i="59"/>
  <c r="E2490" i="59"/>
  <c r="E2489" i="59"/>
  <c r="E2488" i="59"/>
  <c r="E2487" i="59"/>
  <c r="E2486" i="59"/>
  <c r="E2485" i="59"/>
  <c r="E2484" i="59"/>
  <c r="E2483" i="59"/>
  <c r="E2479" i="59"/>
  <c r="E2477" i="59"/>
  <c r="E2476" i="59"/>
  <c r="E2474" i="59"/>
  <c r="E2462" i="59"/>
  <c r="E2461" i="59"/>
  <c r="E2460" i="59"/>
  <c r="E2458" i="59"/>
  <c r="E2457" i="59"/>
  <c r="E2456" i="59"/>
  <c r="E2453" i="59"/>
  <c r="E2452" i="59"/>
  <c r="E2450" i="59"/>
  <c r="E2449" i="59"/>
  <c r="E2448" i="59"/>
  <c r="E2446" i="59"/>
  <c r="E2445" i="59"/>
  <c r="E2444" i="59"/>
  <c r="E2441" i="59"/>
  <c r="E2418" i="59"/>
  <c r="E2414" i="59"/>
  <c r="E2413" i="59"/>
  <c r="E2410" i="59"/>
  <c r="E2409" i="59"/>
  <c r="E2406" i="59"/>
  <c r="E2405" i="59"/>
  <c r="E2402" i="59"/>
  <c r="E2401" i="59"/>
  <c r="E2398" i="59"/>
  <c r="E2397" i="59"/>
  <c r="E2394" i="59"/>
  <c r="E2393" i="59"/>
  <c r="E2389" i="59"/>
  <c r="E2386" i="59"/>
  <c r="E2380" i="59"/>
  <c r="E2375" i="59"/>
  <c r="E2374" i="59"/>
  <c r="E2370" i="59"/>
  <c r="E2369" i="59"/>
  <c r="E2368" i="59"/>
  <c r="E2367" i="59"/>
  <c r="E2366" i="59"/>
  <c r="E2365" i="59"/>
  <c r="E2364" i="59"/>
  <c r="E2361" i="59"/>
  <c r="E2359" i="59"/>
  <c r="E2357" i="59"/>
  <c r="E2353" i="59"/>
  <c r="E2352" i="59"/>
  <c r="E2346" i="59"/>
  <c r="E2343" i="59"/>
  <c r="E2342" i="59"/>
  <c r="E2339" i="59"/>
  <c r="E2338" i="59"/>
  <c r="E2330" i="59"/>
  <c r="E2329" i="59"/>
  <c r="E2328" i="59"/>
  <c r="E2322" i="59"/>
  <c r="E2316" i="59"/>
  <c r="E2315" i="59"/>
  <c r="E2314" i="59"/>
  <c r="E2312" i="59"/>
  <c r="E2311" i="59"/>
  <c r="E2309" i="59"/>
  <c r="E2307" i="59"/>
  <c r="E2296" i="59"/>
  <c r="E2289" i="59"/>
  <c r="E2288" i="59"/>
  <c r="E2286" i="59"/>
  <c r="E2285" i="59"/>
  <c r="E2283" i="59"/>
  <c r="E2282" i="59"/>
  <c r="E2280" i="59"/>
  <c r="E2279" i="59"/>
  <c r="E2277" i="59"/>
  <c r="E2276" i="59"/>
  <c r="E2274" i="59"/>
  <c r="E2273" i="59"/>
  <c r="E2271" i="59"/>
  <c r="E2270" i="59"/>
  <c r="E2268" i="59"/>
  <c r="E2267" i="59"/>
  <c r="E2262" i="59"/>
  <c r="E2260" i="59"/>
  <c r="E2243" i="59"/>
  <c r="E2242" i="59"/>
  <c r="E2241" i="59"/>
  <c r="E2236" i="59"/>
  <c r="E2234" i="59"/>
  <c r="E2221" i="59"/>
  <c r="E2219" i="59"/>
  <c r="E2217" i="59"/>
  <c r="E2216" i="59"/>
  <c r="E2215" i="59"/>
  <c r="E2214" i="59"/>
  <c r="E2212" i="59"/>
  <c r="E2211" i="59"/>
  <c r="E2210" i="59"/>
  <c r="E2209" i="59"/>
  <c r="E2208" i="59"/>
  <c r="E2207" i="59"/>
  <c r="E2204" i="59"/>
  <c r="E2203" i="59"/>
  <c r="E2201" i="59"/>
  <c r="E2200" i="59"/>
  <c r="E2199" i="59"/>
  <c r="E2197" i="59"/>
  <c r="E2196" i="59"/>
  <c r="E2195" i="59"/>
  <c r="E2194" i="59"/>
  <c r="E2192" i="59"/>
  <c r="E2191" i="59"/>
  <c r="E2188" i="59"/>
  <c r="E2186" i="59"/>
  <c r="E2183" i="59"/>
  <c r="E2179" i="59"/>
  <c r="E2178" i="59"/>
  <c r="E2175" i="59"/>
  <c r="E2170" i="59"/>
  <c r="E2169" i="59"/>
  <c r="E2168" i="59"/>
  <c r="E2166" i="59"/>
  <c r="E2165" i="59"/>
  <c r="E2162" i="59"/>
  <c r="E2161" i="59"/>
  <c r="E2160" i="59"/>
  <c r="E2159" i="59"/>
  <c r="E2158" i="59"/>
  <c r="E2157" i="59"/>
  <c r="E2156" i="59"/>
  <c r="E2153" i="59"/>
  <c r="E2151" i="59"/>
  <c r="E2149" i="59"/>
  <c r="E2145" i="59"/>
  <c r="E2144" i="59"/>
  <c r="E2142" i="59"/>
  <c r="E2141" i="59"/>
  <c r="E2139" i="59"/>
  <c r="E2138" i="59"/>
  <c r="E2137" i="59"/>
  <c r="E2136" i="59"/>
  <c r="E2134" i="59"/>
  <c r="E2133" i="59"/>
  <c r="E2132" i="59"/>
  <c r="E2131" i="59"/>
  <c r="E2130" i="59"/>
  <c r="E2129" i="59"/>
  <c r="E2128" i="59"/>
  <c r="E2127" i="59"/>
  <c r="E2125" i="59"/>
  <c r="E2121" i="59"/>
  <c r="E2120" i="59"/>
  <c r="E2116" i="59"/>
  <c r="E2108" i="59"/>
  <c r="E2103" i="59"/>
  <c r="E2097" i="59"/>
  <c r="E2095" i="59"/>
  <c r="E2094" i="59"/>
  <c r="E2093" i="59"/>
  <c r="E2091" i="59"/>
  <c r="E2089" i="59"/>
  <c r="E2084" i="59"/>
  <c r="E2083" i="59"/>
  <c r="E2082" i="59"/>
  <c r="E2081" i="59"/>
  <c r="E2080" i="59"/>
  <c r="E2079" i="59"/>
  <c r="E2078" i="59"/>
  <c r="E2077" i="59"/>
  <c r="E2076" i="59"/>
  <c r="E2073" i="59"/>
  <c r="E2072" i="59"/>
  <c r="E2069" i="59"/>
  <c r="E2068" i="59"/>
  <c r="E2065" i="59"/>
  <c r="E2057" i="59"/>
  <c r="E2043" i="59"/>
  <c r="E2042" i="59"/>
  <c r="E2039" i="59"/>
  <c r="E2036" i="59"/>
  <c r="E2035" i="59"/>
  <c r="E2032" i="59"/>
  <c r="E2031" i="59"/>
  <c r="E2025" i="59"/>
  <c r="E2024" i="59"/>
  <c r="E2018" i="59"/>
  <c r="E2015" i="59"/>
  <c r="E2014" i="59"/>
  <c r="E2012" i="59"/>
  <c r="E2008" i="59"/>
  <c r="E2007" i="59"/>
  <c r="E2005" i="59"/>
  <c r="E2004" i="59"/>
  <c r="E2003" i="59"/>
  <c r="E2002" i="59"/>
  <c r="E2000" i="59"/>
  <c r="E1996" i="59"/>
  <c r="E1995" i="59"/>
  <c r="E1994" i="59"/>
  <c r="E1991" i="59"/>
  <c r="E1982" i="59"/>
  <c r="E1973" i="59"/>
  <c r="E1970" i="59"/>
  <c r="E1964" i="59"/>
  <c r="E1963" i="59"/>
  <c r="E1960" i="59"/>
  <c r="E1955" i="59"/>
  <c r="E1954" i="59"/>
  <c r="E1952" i="59"/>
  <c r="E1951" i="59"/>
  <c r="E1948" i="59"/>
  <c r="E1946" i="59"/>
  <c r="E1945" i="59"/>
  <c r="E1943" i="59"/>
  <c r="E1941" i="59"/>
  <c r="E1939" i="59"/>
  <c r="E1938" i="59"/>
  <c r="E1933" i="59"/>
  <c r="E1932" i="59"/>
  <c r="E1929" i="59"/>
  <c r="E1928" i="59"/>
  <c r="E1925" i="59"/>
  <c r="E1924" i="59"/>
  <c r="E1917" i="59"/>
  <c r="E1916" i="59"/>
  <c r="E1913" i="59"/>
  <c r="E1912" i="59"/>
  <c r="E1909" i="59"/>
  <c r="E1905" i="59"/>
  <c r="E1901" i="59"/>
  <c r="E1897" i="59"/>
  <c r="E1896" i="59"/>
  <c r="E1890" i="59"/>
  <c r="E1889" i="59"/>
  <c r="E1884" i="59"/>
  <c r="E1883" i="59"/>
  <c r="E1882" i="59"/>
  <c r="E1881" i="59"/>
  <c r="E1879" i="59"/>
  <c r="E1878" i="59"/>
  <c r="E1877" i="59"/>
  <c r="E1874" i="59"/>
  <c r="E1873" i="59"/>
  <c r="E1867" i="59"/>
  <c r="E1866" i="59"/>
  <c r="E1864" i="59"/>
  <c r="E1863" i="59"/>
  <c r="E1861" i="59"/>
  <c r="E1860" i="59"/>
  <c r="E1852" i="59"/>
  <c r="E1851" i="59"/>
  <c r="E1844" i="59"/>
  <c r="E1840" i="59"/>
  <c r="E1837" i="59"/>
  <c r="E1836" i="59"/>
  <c r="E1835" i="59"/>
  <c r="E1833" i="59"/>
  <c r="E1832" i="59"/>
  <c r="E1830" i="59"/>
  <c r="E1829" i="59"/>
  <c r="E1828" i="59"/>
  <c r="E1826" i="59"/>
  <c r="E1825" i="59"/>
  <c r="E1822" i="59"/>
  <c r="E1809" i="59"/>
  <c r="E1808" i="59"/>
  <c r="E1806" i="59"/>
  <c r="E1805" i="59"/>
  <c r="E1803" i="59"/>
  <c r="E1802" i="59"/>
  <c r="E1800" i="59"/>
  <c r="E1799" i="59"/>
  <c r="E1794" i="59"/>
  <c r="E1793" i="59"/>
  <c r="E1791" i="59"/>
  <c r="E1790" i="59"/>
  <c r="E1788" i="59"/>
  <c r="E1787" i="59"/>
  <c r="E1785" i="59"/>
  <c r="E1784" i="59"/>
  <c r="E1782" i="59"/>
  <c r="E1781" i="59"/>
  <c r="E1779" i="59"/>
  <c r="E1778" i="59"/>
  <c r="E1776" i="59"/>
  <c r="E1775" i="59"/>
  <c r="E1773" i="59"/>
  <c r="E1772" i="59"/>
  <c r="E1770" i="59"/>
  <c r="E1769" i="59"/>
  <c r="E1767" i="59"/>
  <c r="E1766" i="59"/>
  <c r="E1764" i="59"/>
  <c r="E1763" i="59"/>
  <c r="E1761" i="59"/>
  <c r="E1760" i="59"/>
  <c r="E1758" i="59"/>
  <c r="E1757" i="59"/>
  <c r="E1755" i="59"/>
  <c r="E1754" i="59"/>
  <c r="E1752" i="59"/>
  <c r="E1751" i="59"/>
  <c r="E1749" i="59"/>
  <c r="E1748" i="59"/>
  <c r="E1746" i="59"/>
  <c r="E1745" i="59"/>
  <c r="E1728" i="59"/>
  <c r="E1722" i="59"/>
  <c r="E1721" i="59"/>
  <c r="E1717" i="59"/>
  <c r="E1716" i="59"/>
  <c r="E1715" i="59"/>
  <c r="E1714" i="59"/>
  <c r="E1713" i="59"/>
  <c r="E1712" i="59"/>
  <c r="E1711" i="59"/>
  <c r="E1710" i="59"/>
  <c r="E1709" i="59"/>
  <c r="E1707" i="59"/>
  <c r="E1705" i="59"/>
  <c r="E1704" i="59"/>
  <c r="E1702" i="59"/>
  <c r="E1698" i="59"/>
  <c r="E1686" i="59"/>
  <c r="E1685" i="59"/>
  <c r="E1675" i="59"/>
  <c r="E1674" i="59"/>
  <c r="E1666" i="59"/>
  <c r="E1648" i="59"/>
  <c r="E1645" i="59"/>
  <c r="E1642" i="59"/>
  <c r="E1638" i="59"/>
  <c r="E1637" i="59"/>
  <c r="E1630" i="59"/>
  <c r="E1629" i="59"/>
  <c r="E1628" i="59"/>
  <c r="E1625" i="59"/>
  <c r="E1622" i="59"/>
  <c r="E1621" i="59"/>
  <c r="E1615" i="59"/>
  <c r="E1611" i="59"/>
  <c r="E1610" i="59"/>
  <c r="E1609" i="59"/>
  <c r="E1604" i="59"/>
  <c r="E1603" i="59"/>
  <c r="E1601" i="59"/>
  <c r="E1600" i="59"/>
  <c r="E1597" i="59"/>
  <c r="E1596" i="59"/>
  <c r="E1593" i="59"/>
  <c r="E1591" i="59"/>
  <c r="E1590" i="59"/>
  <c r="E1588" i="59"/>
  <c r="E1587" i="59"/>
  <c r="E1585" i="59"/>
  <c r="E1584" i="59"/>
  <c r="E1582" i="59"/>
  <c r="E1581" i="59"/>
  <c r="E1579" i="59"/>
  <c r="E1578" i="59"/>
  <c r="E1576" i="59"/>
  <c r="E1575" i="59"/>
  <c r="E1572" i="59"/>
  <c r="E1405" i="60"/>
  <c r="E1404" i="60"/>
  <c r="E1403" i="60"/>
  <c r="E1402" i="60"/>
  <c r="E1397" i="60"/>
  <c r="E1405" i="59"/>
  <c r="E1404" i="59"/>
  <c r="E1403" i="59"/>
  <c r="E1402" i="59"/>
  <c r="E1397" i="59"/>
  <c r="E1455" i="60"/>
  <c r="E1454" i="60"/>
  <c r="E1455" i="59"/>
  <c r="E1454" i="59"/>
  <c r="E1191" i="60"/>
  <c r="E1191" i="59"/>
  <c r="E1151" i="60"/>
  <c r="E1151" i="59"/>
  <c r="E1150" i="60"/>
  <c r="E1149" i="60"/>
  <c r="E1148" i="60"/>
  <c r="E1149" i="59"/>
  <c r="E1150" i="59"/>
  <c r="E1148" i="59"/>
  <c r="E495" i="59"/>
  <c r="E1126" i="60"/>
  <c r="E1126" i="59"/>
  <c r="E1112" i="60"/>
  <c r="E1112" i="59"/>
  <c r="E1091" i="60"/>
  <c r="E1091" i="59"/>
  <c r="E1021" i="60"/>
  <c r="E1020" i="60"/>
  <c r="E1021" i="59"/>
  <c r="E1020" i="59"/>
  <c r="D324" i="29"/>
  <c r="D322" i="29"/>
  <c r="D319" i="29"/>
  <c r="D315" i="29"/>
  <c r="D313" i="29"/>
  <c r="D308" i="29"/>
  <c r="D301" i="29"/>
  <c r="D297" i="29"/>
  <c r="D286" i="29"/>
  <c r="D280" i="29"/>
  <c r="D275" i="29"/>
  <c r="D270" i="29"/>
  <c r="D259" i="29"/>
  <c r="D249" i="29"/>
  <c r="D239" i="29"/>
  <c r="D237" i="29"/>
  <c r="D234" i="29"/>
  <c r="D229" i="29"/>
  <c r="D225" i="29"/>
  <c r="D220" i="29"/>
  <c r="D218" i="29"/>
  <c r="D211" i="29"/>
  <c r="D205" i="29"/>
  <c r="D200" i="29"/>
  <c r="D183" i="11"/>
  <c r="D177" i="11"/>
  <c r="D175" i="11"/>
  <c r="D170" i="11"/>
  <c r="D168" i="11"/>
  <c r="D165" i="11"/>
  <c r="D163" i="11"/>
  <c r="D156" i="11"/>
  <c r="D150" i="11"/>
  <c r="D233" i="11"/>
  <c r="D217" i="11"/>
  <c r="D212" i="11"/>
  <c r="D201" i="11"/>
  <c r="D191" i="11"/>
  <c r="D148" i="9"/>
  <c r="D142" i="9"/>
  <c r="D140" i="9"/>
  <c r="D134" i="9"/>
  <c r="D132" i="9"/>
  <c r="D129" i="9"/>
  <c r="D127" i="9"/>
  <c r="D119" i="9"/>
  <c r="D113" i="9"/>
  <c r="D88" i="8"/>
  <c r="D86" i="8"/>
  <c r="D83" i="8"/>
  <c r="D78" i="8"/>
  <c r="D74" i="8"/>
  <c r="D69" i="8"/>
  <c r="D66" i="8"/>
  <c r="D62" i="8"/>
  <c r="D57" i="8"/>
  <c r="D190" i="30"/>
  <c r="D185" i="30"/>
  <c r="D180" i="30"/>
  <c r="D169" i="30"/>
  <c r="D159" i="30"/>
  <c r="D149" i="30"/>
  <c r="D147" i="30"/>
  <c r="D144" i="30"/>
  <c r="D139" i="30"/>
  <c r="D135" i="30"/>
  <c r="D130" i="30"/>
  <c r="D125" i="30"/>
  <c r="D119" i="30"/>
  <c r="D114" i="30"/>
  <c r="E969" i="60"/>
  <c r="E968" i="60"/>
  <c r="E969" i="59"/>
  <c r="E968" i="59"/>
  <c r="E967" i="60"/>
  <c r="E967" i="59"/>
  <c r="E966" i="60"/>
  <c r="E966" i="59"/>
  <c r="E962" i="60"/>
  <c r="E962" i="59"/>
  <c r="E924" i="60"/>
  <c r="E924" i="59"/>
  <c r="E895" i="60"/>
  <c r="E893" i="60"/>
  <c r="E890" i="60"/>
  <c r="E887" i="60"/>
  <c r="E885" i="60"/>
  <c r="E883" i="60"/>
  <c r="E881" i="60"/>
  <c r="E878" i="60"/>
  <c r="E875" i="60"/>
  <c r="E872" i="60"/>
  <c r="E895" i="59"/>
  <c r="E893" i="59"/>
  <c r="E890" i="59"/>
  <c r="E887" i="59"/>
  <c r="E885" i="59"/>
  <c r="E883" i="59"/>
  <c r="E881" i="59"/>
  <c r="E878" i="59"/>
  <c r="E875" i="59"/>
  <c r="E872" i="59"/>
  <c r="E861" i="60"/>
  <c r="E861" i="59"/>
  <c r="E815" i="60"/>
  <c r="E813" i="60"/>
  <c r="E811" i="60"/>
  <c r="E809" i="60"/>
  <c r="E806" i="60"/>
  <c r="E803" i="60"/>
  <c r="E801" i="60"/>
  <c r="E798" i="60"/>
  <c r="E795" i="60"/>
  <c r="E815" i="59"/>
  <c r="E813" i="59"/>
  <c r="E811" i="59"/>
  <c r="E809" i="59"/>
  <c r="E806" i="59"/>
  <c r="E803" i="59"/>
  <c r="E801" i="59"/>
  <c r="E798" i="59"/>
  <c r="E795" i="59"/>
  <c r="E729" i="60"/>
  <c r="E729" i="59"/>
  <c r="E660" i="59"/>
  <c r="E651" i="59"/>
  <c r="E650" i="59"/>
  <c r="E647" i="60"/>
  <c r="E644" i="60"/>
  <c r="E641" i="60"/>
  <c r="E638" i="60"/>
  <c r="E635" i="60"/>
  <c r="E630" i="60"/>
  <c r="E628" i="60"/>
  <c r="E626" i="60"/>
  <c r="E624" i="60"/>
  <c r="E621" i="60"/>
  <c r="E647" i="59"/>
  <c r="E644" i="59"/>
  <c r="E641" i="59"/>
  <c r="E638" i="59"/>
  <c r="E635" i="59"/>
  <c r="E630" i="59"/>
  <c r="E628" i="59"/>
  <c r="E626" i="59"/>
  <c r="E624" i="59"/>
  <c r="E621" i="59"/>
  <c r="E618" i="60"/>
  <c r="E618" i="59"/>
  <c r="E616" i="60"/>
  <c r="E615" i="59"/>
  <c r="E616" i="59"/>
  <c r="E615" i="60"/>
  <c r="E612" i="60"/>
  <c r="E612" i="59"/>
  <c r="E605" i="60"/>
  <c r="E604" i="60"/>
  <c r="E603" i="60"/>
  <c r="E602" i="60"/>
  <c r="E601" i="60"/>
  <c r="E600" i="60"/>
  <c r="E599" i="60"/>
  <c r="E598" i="60"/>
  <c r="E597" i="60"/>
  <c r="E596" i="60"/>
  <c r="E595" i="60"/>
  <c r="E605" i="59"/>
  <c r="E604" i="59"/>
  <c r="E603" i="59"/>
  <c r="E602" i="59"/>
  <c r="E601" i="59"/>
  <c r="E600" i="59"/>
  <c r="E599" i="59"/>
  <c r="E598" i="59"/>
  <c r="E597" i="59"/>
  <c r="E596" i="59"/>
  <c r="E595" i="59"/>
  <c r="E496" i="60"/>
  <c r="E495" i="60"/>
  <c r="E496" i="59"/>
  <c r="E880" i="60"/>
  <c r="E995" i="60"/>
  <c r="E880" i="59"/>
  <c r="E466" i="60"/>
  <c r="E465" i="60"/>
  <c r="E464" i="60"/>
  <c r="E463" i="60"/>
  <c r="E466" i="59"/>
  <c r="E465" i="59"/>
  <c r="E464" i="59"/>
  <c r="E463" i="59"/>
  <c r="E1259" i="60"/>
  <c r="E1259" i="59"/>
  <c r="E634" i="59"/>
  <c r="E356" i="60"/>
  <c r="E356" i="59"/>
  <c r="E354" i="60"/>
  <c r="E353" i="60"/>
  <c r="E354" i="59"/>
  <c r="E353" i="59"/>
  <c r="E471" i="60"/>
  <c r="E470" i="60"/>
  <c r="E471" i="59"/>
  <c r="E470" i="59"/>
  <c r="E491" i="60"/>
  <c r="E490" i="60"/>
  <c r="E491" i="59"/>
  <c r="E490" i="59"/>
  <c r="E282" i="60"/>
  <c r="E281" i="60"/>
  <c r="E280" i="60"/>
  <c r="E279" i="60"/>
  <c r="E282" i="59"/>
  <c r="E281" i="59"/>
  <c r="E280" i="59"/>
  <c r="E279" i="59"/>
  <c r="E493" i="60"/>
  <c r="E493" i="59"/>
  <c r="E757" i="59"/>
  <c r="E253" i="59"/>
  <c r="E368" i="59"/>
  <c r="E1356" i="60"/>
  <c r="E1356" i="59"/>
  <c r="E1358" i="60"/>
  <c r="E1357" i="60"/>
  <c r="E1355" i="60"/>
  <c r="E1358" i="59"/>
  <c r="E1357" i="59"/>
  <c r="E1355" i="59"/>
  <c r="E1042" i="60"/>
  <c r="E1042" i="59"/>
  <c r="E944" i="60"/>
  <c r="E944" i="59"/>
  <c r="E914" i="60"/>
  <c r="E914" i="59"/>
  <c r="E834" i="60"/>
  <c r="E834" i="59"/>
  <c r="E772" i="60"/>
  <c r="E772" i="59"/>
  <c r="E748" i="60"/>
  <c r="E748" i="59"/>
  <c r="E703" i="60"/>
  <c r="E703" i="59"/>
  <c r="E562" i="60"/>
  <c r="E562" i="59"/>
  <c r="E516" i="60"/>
  <c r="E516" i="59"/>
  <c r="E413" i="60"/>
  <c r="E413" i="59"/>
  <c r="E383" i="60"/>
  <c r="E267" i="60"/>
  <c r="E383" i="59"/>
  <c r="E267" i="59"/>
  <c r="H32" i="33"/>
  <c r="H31" i="33"/>
  <c r="A219" i="13"/>
  <c r="B10" i="33"/>
  <c r="A2" i="23"/>
  <c r="A659" i="13"/>
  <c r="H94" i="15"/>
  <c r="D53" i="29"/>
  <c r="D52" i="29"/>
  <c r="D51" i="29"/>
  <c r="D50" i="29"/>
  <c r="D49" i="29"/>
  <c r="E45" i="29"/>
  <c r="E46" i="29"/>
  <c r="D48" i="23"/>
  <c r="D37" i="29" s="1"/>
  <c r="D46" i="29"/>
  <c r="D45" i="29"/>
  <c r="E38" i="29"/>
  <c r="E37" i="29"/>
  <c r="D38" i="29"/>
  <c r="A2" i="37"/>
  <c r="A2" i="36"/>
  <c r="A2" i="25"/>
  <c r="A2" i="28"/>
  <c r="D56" i="29"/>
  <c r="D44" i="29"/>
  <c r="D43" i="29"/>
  <c r="D42" i="29"/>
  <c r="D41" i="29"/>
  <c r="D40" i="29"/>
  <c r="E44" i="29"/>
  <c r="E43" i="29"/>
  <c r="E42" i="29"/>
  <c r="E41" i="29"/>
  <c r="E40" i="29"/>
  <c r="E36" i="29"/>
  <c r="E35" i="29"/>
  <c r="E34" i="29"/>
  <c r="E33" i="29"/>
  <c r="E32" i="29"/>
  <c r="D36" i="29"/>
  <c r="D35" i="29"/>
  <c r="D34" i="29"/>
  <c r="D36" i="3"/>
  <c r="K36" i="3" s="1"/>
  <c r="D33" i="3"/>
  <c r="D32" i="3"/>
  <c r="E46" i="2"/>
  <c r="D46" i="2"/>
  <c r="D39" i="2"/>
  <c r="K39" i="2" s="1"/>
  <c r="D38" i="2"/>
  <c r="K38" i="2" s="1"/>
  <c r="D37" i="2"/>
  <c r="D36" i="2"/>
  <c r="D35" i="2"/>
  <c r="L35" i="2" s="1"/>
  <c r="Q38" i="10"/>
  <c r="J38" i="10"/>
  <c r="E38" i="10"/>
  <c r="Q36" i="10"/>
  <c r="J36" i="10"/>
  <c r="E36" i="10"/>
  <c r="Q35" i="10"/>
  <c r="J35" i="10"/>
  <c r="E35" i="10"/>
  <c r="Q34" i="10"/>
  <c r="J34" i="10"/>
  <c r="E34" i="10"/>
  <c r="Q33" i="10"/>
  <c r="J33" i="10"/>
  <c r="E33" i="10"/>
  <c r="Q32" i="10"/>
  <c r="J32" i="10"/>
  <c r="E32" i="10"/>
  <c r="Q31" i="10"/>
  <c r="J31" i="10"/>
  <c r="E31" i="10"/>
  <c r="Q30" i="10"/>
  <c r="J30" i="10"/>
  <c r="E30" i="10"/>
  <c r="Q27" i="10"/>
  <c r="J27" i="10"/>
  <c r="E27" i="10"/>
  <c r="Q91" i="11"/>
  <c r="J91" i="11"/>
  <c r="E91" i="11"/>
  <c r="D91" i="11"/>
  <c r="Q90" i="11"/>
  <c r="J90" i="11"/>
  <c r="E90" i="11"/>
  <c r="D90" i="11"/>
  <c r="Q89" i="11"/>
  <c r="J89" i="11"/>
  <c r="E89" i="11"/>
  <c r="D89" i="11"/>
  <c r="Q88" i="11"/>
  <c r="J88" i="11"/>
  <c r="E88" i="11"/>
  <c r="D88" i="11"/>
  <c r="Q95" i="11"/>
  <c r="J95" i="11"/>
  <c r="E95" i="11"/>
  <c r="D95" i="11"/>
  <c r="Q94" i="11"/>
  <c r="J94" i="11"/>
  <c r="E94" i="11"/>
  <c r="D94" i="11"/>
  <c r="Q93" i="11"/>
  <c r="J93" i="11"/>
  <c r="E93" i="11"/>
  <c r="D93" i="11"/>
  <c r="Q87" i="11"/>
  <c r="J87" i="11"/>
  <c r="E87" i="11"/>
  <c r="D87" i="11"/>
  <c r="Q86" i="11"/>
  <c r="J86" i="11"/>
  <c r="E86" i="11"/>
  <c r="D86" i="11"/>
  <c r="Q85" i="11"/>
  <c r="J85" i="11"/>
  <c r="E85" i="11"/>
  <c r="D85" i="11"/>
  <c r="Q84" i="11"/>
  <c r="J84" i="11"/>
  <c r="E84" i="11"/>
  <c r="D84" i="11"/>
  <c r="J59" i="8"/>
  <c r="D59" i="8"/>
  <c r="J60" i="8"/>
  <c r="E60" i="8"/>
  <c r="D60" i="8"/>
  <c r="J77" i="3"/>
  <c r="E77" i="3"/>
  <c r="D77" i="3"/>
  <c r="J240" i="4"/>
  <c r="E240" i="4"/>
  <c r="D240" i="4"/>
  <c r="J76" i="3"/>
  <c r="E76" i="3"/>
  <c r="D76" i="3"/>
  <c r="J238" i="4"/>
  <c r="E238" i="4"/>
  <c r="D238" i="4"/>
  <c r="J74" i="3"/>
  <c r="E74" i="3"/>
  <c r="D74" i="3"/>
  <c r="J236" i="4"/>
  <c r="E236" i="4"/>
  <c r="D236" i="4"/>
  <c r="J235" i="4"/>
  <c r="E235" i="4"/>
  <c r="D235" i="4"/>
  <c r="J282" i="20"/>
  <c r="F295" i="20" s="1" a="1"/>
  <c r="F295" i="20" s="1"/>
  <c r="G285" i="20" a="1"/>
  <c r="G285" i="20" s="1"/>
  <c r="G283" i="20" a="1"/>
  <c r="G283" i="20" s="1"/>
  <c r="G282" i="20" a="1"/>
  <c r="G282" i="20"/>
  <c r="J95" i="2"/>
  <c r="E95" i="2"/>
  <c r="D95" i="2"/>
  <c r="J93" i="2"/>
  <c r="E93" i="2"/>
  <c r="D93" i="2"/>
  <c r="J402" i="29"/>
  <c r="E402" i="29"/>
  <c r="D402" i="29"/>
  <c r="J38" i="8"/>
  <c r="E38" i="8"/>
  <c r="D38" i="8"/>
  <c r="J78" i="7"/>
  <c r="E78" i="7"/>
  <c r="D78" i="7"/>
  <c r="J200" i="30"/>
  <c r="E200" i="30"/>
  <c r="D200" i="30"/>
  <c r="J250" i="3"/>
  <c r="E250" i="3"/>
  <c r="D250" i="3"/>
  <c r="J92" i="2"/>
  <c r="E92" i="2"/>
  <c r="D92" i="2"/>
  <c r="J27" i="27"/>
  <c r="J26" i="27"/>
  <c r="J25" i="27"/>
  <c r="J24" i="27"/>
  <c r="J23" i="27"/>
  <c r="Q211" i="11"/>
  <c r="Q210" i="11"/>
  <c r="Q209" i="11"/>
  <c r="Q208" i="11"/>
  <c r="Q207" i="11"/>
  <c r="Q206" i="11"/>
  <c r="Q205" i="11"/>
  <c r="Q204" i="11"/>
  <c r="Q200" i="11"/>
  <c r="Q199" i="11"/>
  <c r="Q198" i="11"/>
  <c r="Q197" i="11"/>
  <c r="Q196" i="11"/>
  <c r="Q195" i="11"/>
  <c r="Q194" i="11"/>
  <c r="Q193" i="11"/>
  <c r="Q133" i="11"/>
  <c r="Q132" i="11"/>
  <c r="Q131" i="11"/>
  <c r="Q130" i="11"/>
  <c r="Q129" i="11"/>
  <c r="Q128" i="11"/>
  <c r="Q127" i="11"/>
  <c r="Q126" i="11"/>
  <c r="Q25" i="10"/>
  <c r="Q13" i="10"/>
  <c r="Q245" i="11"/>
  <c r="J245" i="11"/>
  <c r="E245" i="11"/>
  <c r="M668" i="13"/>
  <c r="A668" i="13"/>
  <c r="M667" i="13"/>
  <c r="A667" i="13"/>
  <c r="C68" i="5"/>
  <c r="M666" i="13"/>
  <c r="A666" i="13"/>
  <c r="M665" i="13"/>
  <c r="A665" i="13"/>
  <c r="F154" i="15"/>
  <c r="M664" i="13"/>
  <c r="A664" i="13"/>
  <c r="F153" i="15"/>
  <c r="J68" i="5"/>
  <c r="E68" i="5"/>
  <c r="D68" i="5"/>
  <c r="C66" i="5"/>
  <c r="O243" i="11"/>
  <c r="C69" i="5"/>
  <c r="O245" i="11"/>
  <c r="B95" i="66"/>
  <c r="F156" i="15"/>
  <c r="C65" i="5"/>
  <c r="B96" i="66"/>
  <c r="F157" i="15"/>
  <c r="O242" i="11"/>
  <c r="B94" i="66"/>
  <c r="F155" i="15"/>
  <c r="C67" i="5"/>
  <c r="H300" i="20" a="1"/>
  <c r="H300" i="20" s="1"/>
  <c r="H299" i="20" a="1"/>
  <c r="H299" i="20" s="1"/>
  <c r="H298" i="20" a="1"/>
  <c r="H298" i="20" s="1"/>
  <c r="H297" i="20" a="1"/>
  <c r="H297" i="20" s="1"/>
  <c r="H296" i="20" a="1"/>
  <c r="H296" i="20" s="1"/>
  <c r="H295" i="20" a="1"/>
  <c r="H295" i="20" s="1"/>
  <c r="H294" i="20" a="1"/>
  <c r="H294" i="20" s="1"/>
  <c r="H293" i="20" a="1"/>
  <c r="H293" i="20" s="1"/>
  <c r="H292" i="20" a="1"/>
  <c r="H292" i="20" s="1"/>
  <c r="H291" i="20" a="1"/>
  <c r="H291" i="20"/>
  <c r="H290" i="20" a="1"/>
  <c r="H290" i="20"/>
  <c r="H289" i="20" a="1"/>
  <c r="H289" i="20"/>
  <c r="H288" i="20" a="1"/>
  <c r="H288" i="20" s="1"/>
  <c r="H287" i="20" a="1"/>
  <c r="H287" i="20" s="1"/>
  <c r="H286" i="20" a="1"/>
  <c r="H286" i="20"/>
  <c r="H285" i="20" a="1"/>
  <c r="H285" i="20" s="1"/>
  <c r="H284" i="20" a="1"/>
  <c r="H284" i="20" s="1"/>
  <c r="H283" i="20" a="1"/>
  <c r="H283" i="20" s="1"/>
  <c r="H282" i="20" a="1"/>
  <c r="H282" i="20" s="1"/>
  <c r="H241" i="20" a="1"/>
  <c r="H241" i="20" s="1"/>
  <c r="H240" i="20" a="1"/>
  <c r="H240" i="20" s="1"/>
  <c r="H239" i="20" a="1"/>
  <c r="H239" i="20" s="1"/>
  <c r="H238" i="20" a="1"/>
  <c r="H238" i="20"/>
  <c r="H237" i="20" a="1"/>
  <c r="H237" i="20"/>
  <c r="H236" i="20" a="1"/>
  <c r="H236" i="20"/>
  <c r="H235" i="20" a="1"/>
  <c r="H235" i="20" s="1"/>
  <c r="H234" i="20" a="1"/>
  <c r="H234" i="20" s="1"/>
  <c r="H233" i="20" a="1"/>
  <c r="H233" i="20"/>
  <c r="H232" i="20" a="1"/>
  <c r="H232" i="20" s="1"/>
  <c r="H231" i="20" a="1"/>
  <c r="H231" i="20" s="1"/>
  <c r="H230" i="20" a="1"/>
  <c r="H230" i="20"/>
  <c r="H229" i="20" a="1"/>
  <c r="H229" i="20" s="1"/>
  <c r="H228" i="20" a="1"/>
  <c r="H228" i="20"/>
  <c r="H227" i="20" a="1"/>
  <c r="H227" i="20" s="1"/>
  <c r="H226" i="20" a="1"/>
  <c r="H226" i="20" s="1"/>
  <c r="H225" i="20" a="1"/>
  <c r="H225" i="20"/>
  <c r="H224" i="20" a="1"/>
  <c r="H224" i="20"/>
  <c r="H223" i="20" a="1"/>
  <c r="H223" i="20" s="1"/>
  <c r="H222" i="20" a="1"/>
  <c r="H222" i="20"/>
  <c r="H221" i="20" a="1"/>
  <c r="H221" i="20" s="1"/>
  <c r="H220" i="20" a="1"/>
  <c r="H220" i="20"/>
  <c r="H219" i="20" a="1"/>
  <c r="H219" i="20" s="1"/>
  <c r="H218" i="20" a="1"/>
  <c r="H218" i="20" s="1"/>
  <c r="H217" i="20" a="1"/>
  <c r="H217" i="20" s="1"/>
  <c r="H216" i="20" a="1"/>
  <c r="H216" i="20" s="1"/>
  <c r="H215" i="20" a="1"/>
  <c r="H215" i="20" s="1"/>
  <c r="H214" i="20" a="1"/>
  <c r="H214" i="20" s="1"/>
  <c r="H213" i="20" a="1"/>
  <c r="H213" i="20" s="1"/>
  <c r="H212" i="20" a="1"/>
  <c r="H212" i="20" s="1"/>
  <c r="H211" i="20" a="1"/>
  <c r="H211" i="20" s="1"/>
  <c r="H210" i="20" a="1"/>
  <c r="H210" i="20" s="1"/>
  <c r="H209" i="20" a="1"/>
  <c r="H209" i="20" s="1"/>
  <c r="H208" i="20" a="1"/>
  <c r="H208" i="20" s="1"/>
  <c r="H207" i="20" a="1"/>
  <c r="H207" i="20" s="1"/>
  <c r="H206" i="20" a="1"/>
  <c r="H206" i="20" s="1"/>
  <c r="H205" i="20" a="1"/>
  <c r="H205" i="20" s="1"/>
  <c r="H204" i="20" a="1"/>
  <c r="H204" i="20" s="1"/>
  <c r="H203" i="20" a="1"/>
  <c r="H203" i="20" s="1"/>
  <c r="H202" i="20" a="1"/>
  <c r="H202" i="20" s="1"/>
  <c r="H201" i="20" a="1"/>
  <c r="H201" i="20" s="1"/>
  <c r="H200" i="20" a="1"/>
  <c r="H200" i="20" s="1"/>
  <c r="H199" i="20" a="1"/>
  <c r="H199" i="20" s="1"/>
  <c r="H198" i="20" a="1"/>
  <c r="H198" i="20" s="1"/>
  <c r="H197" i="20" a="1"/>
  <c r="H197" i="20" s="1"/>
  <c r="H196" i="20" a="1"/>
  <c r="H196" i="20"/>
  <c r="H195" i="20" a="1"/>
  <c r="H195" i="20"/>
  <c r="H194" i="20" a="1"/>
  <c r="H194" i="20" s="1"/>
  <c r="H193" i="20" a="1"/>
  <c r="H193" i="20"/>
  <c r="H192" i="20" a="1"/>
  <c r="H192" i="20" s="1"/>
  <c r="H191" i="20" a="1"/>
  <c r="H191" i="20" s="1"/>
  <c r="H190" i="20" a="1"/>
  <c r="H190" i="20"/>
  <c r="H189" i="20" a="1"/>
  <c r="H189" i="20" s="1"/>
  <c r="H188" i="20" a="1"/>
  <c r="H188" i="20" s="1"/>
  <c r="H187" i="20" a="1"/>
  <c r="H187" i="20" s="1"/>
  <c r="H186" i="20" a="1"/>
  <c r="H186" i="20" s="1"/>
  <c r="H185" i="20" a="1"/>
  <c r="H185" i="20" s="1"/>
  <c r="H184" i="20" a="1"/>
  <c r="H184" i="20" s="1"/>
  <c r="H183" i="20" a="1"/>
  <c r="H183" i="20" s="1"/>
  <c r="H182" i="20" a="1"/>
  <c r="H182" i="20"/>
  <c r="H181" i="20" a="1"/>
  <c r="H181" i="20" s="1"/>
  <c r="H180" i="20" a="1"/>
  <c r="H180" i="20"/>
  <c r="H179" i="20" a="1"/>
  <c r="H179" i="20" s="1"/>
  <c r="H178" i="20" a="1"/>
  <c r="H178" i="20"/>
  <c r="H177" i="20" a="1"/>
  <c r="H177" i="20"/>
  <c r="H176" i="20" a="1"/>
  <c r="H176" i="20" s="1"/>
  <c r="H175" i="20" a="1"/>
  <c r="H175" i="20" s="1"/>
  <c r="H174" i="20" a="1"/>
  <c r="H174" i="20" s="1"/>
  <c r="H173" i="20" a="1"/>
  <c r="H173" i="20" s="1"/>
  <c r="H172" i="20" a="1"/>
  <c r="H172" i="20" s="1"/>
  <c r="H171" i="20" a="1"/>
  <c r="H171" i="20" s="1"/>
  <c r="H170" i="20" a="1"/>
  <c r="H170" i="20" s="1"/>
  <c r="H169" i="20" a="1"/>
  <c r="H169" i="20" s="1"/>
  <c r="H168" i="20" a="1"/>
  <c r="H168" i="20" s="1"/>
  <c r="H167" i="20" a="1"/>
  <c r="H167" i="20" s="1"/>
  <c r="H166" i="20" a="1"/>
  <c r="H166" i="20" s="1"/>
  <c r="H165" i="20" a="1"/>
  <c r="H165" i="20"/>
  <c r="H164" i="20" a="1"/>
  <c r="H164" i="20" s="1"/>
  <c r="H163" i="20" a="1"/>
  <c r="H163" i="20" s="1"/>
  <c r="H162" i="20" a="1"/>
  <c r="H162" i="20" s="1"/>
  <c r="H161" i="20" a="1"/>
  <c r="H161" i="20" s="1"/>
  <c r="H160" i="20" a="1"/>
  <c r="H160" i="20"/>
  <c r="H159" i="20" a="1"/>
  <c r="H159" i="20" s="1"/>
  <c r="H158" i="20" a="1"/>
  <c r="H158" i="20" s="1"/>
  <c r="H157" i="20" a="1"/>
  <c r="H157" i="20" s="1"/>
  <c r="H156" i="20" a="1"/>
  <c r="H156" i="20" s="1"/>
  <c r="H155" i="20" a="1"/>
  <c r="H155" i="20" s="1"/>
  <c r="H154" i="20" a="1"/>
  <c r="H154" i="20" s="1"/>
  <c r="H153" i="20" a="1"/>
  <c r="H153" i="20"/>
  <c r="H152" i="20" a="1"/>
  <c r="H152" i="20"/>
  <c r="H151" i="20" a="1"/>
  <c r="H151" i="20" s="1"/>
  <c r="J137" i="20"/>
  <c r="I150" i="20" s="1" a="1"/>
  <c r="I150" i="20" s="1"/>
  <c r="H150" i="20" a="1"/>
  <c r="H150" i="20" s="1"/>
  <c r="H149" i="20" a="1"/>
  <c r="H149" i="20" s="1"/>
  <c r="H148" i="20" a="1"/>
  <c r="H148" i="20" s="1"/>
  <c r="H147" i="20" a="1"/>
  <c r="H147" i="20" s="1"/>
  <c r="H146" i="20" a="1"/>
  <c r="H146" i="20" s="1"/>
  <c r="I145" i="20" a="1"/>
  <c r="I145" i="20" s="1"/>
  <c r="H145" i="20" a="1"/>
  <c r="H145" i="20" s="1"/>
  <c r="H144" i="20" a="1"/>
  <c r="H144" i="20" s="1"/>
  <c r="H143" i="20" a="1"/>
  <c r="H143" i="20" s="1"/>
  <c r="H142" i="20" a="1"/>
  <c r="H142" i="20"/>
  <c r="H141" i="20" a="1"/>
  <c r="H141" i="20" s="1"/>
  <c r="I140" i="20" a="1"/>
  <c r="I140" i="20" s="1"/>
  <c r="H140" i="20" a="1"/>
  <c r="H140" i="20" s="1"/>
  <c r="H139" i="20" a="1"/>
  <c r="H139" i="20"/>
  <c r="H138" i="20" a="1"/>
  <c r="H138" i="20"/>
  <c r="H137" i="20" a="1"/>
  <c r="H137" i="20" s="1"/>
  <c r="H136" i="20" a="1"/>
  <c r="H136" i="20" s="1"/>
  <c r="H135" i="20" a="1"/>
  <c r="H135" i="20"/>
  <c r="H134" i="20" a="1"/>
  <c r="H134" i="20" s="1"/>
  <c r="H133" i="20" a="1"/>
  <c r="H133" i="20" s="1"/>
  <c r="H132" i="20" a="1"/>
  <c r="H132" i="20" s="1"/>
  <c r="H131" i="20" a="1"/>
  <c r="H131" i="20" s="1"/>
  <c r="H130" i="20" a="1"/>
  <c r="H130" i="20"/>
  <c r="H129" i="20" a="1"/>
  <c r="H129" i="20" s="1"/>
  <c r="H128" i="20" a="1"/>
  <c r="H128" i="20"/>
  <c r="H127" i="20" a="1"/>
  <c r="H127" i="20" s="1"/>
  <c r="H126" i="20" a="1"/>
  <c r="H126" i="20" s="1"/>
  <c r="H125" i="20" a="1"/>
  <c r="H125" i="20" s="1"/>
  <c r="H124" i="20" a="1"/>
  <c r="H124" i="20" s="1"/>
  <c r="H123" i="20" a="1"/>
  <c r="H123" i="20" s="1"/>
  <c r="H122" i="20" a="1"/>
  <c r="H122" i="20"/>
  <c r="H121" i="20" a="1"/>
  <c r="H121" i="20" s="1"/>
  <c r="H120" i="20" a="1"/>
  <c r="H120" i="20" s="1"/>
  <c r="H119" i="20" a="1"/>
  <c r="H119" i="20" s="1"/>
  <c r="H118" i="20" a="1"/>
  <c r="H118" i="20" s="1"/>
  <c r="H117" i="20" a="1"/>
  <c r="H117" i="20"/>
  <c r="H116" i="20" a="1"/>
  <c r="H116" i="20" s="1"/>
  <c r="H115" i="20" a="1"/>
  <c r="H115" i="20" s="1"/>
  <c r="H114" i="20" a="1"/>
  <c r="H114" i="20" s="1"/>
  <c r="H113" i="20" a="1"/>
  <c r="H113" i="20" s="1"/>
  <c r="H112" i="20" a="1"/>
  <c r="H112" i="20" s="1"/>
  <c r="H111" i="20" a="1"/>
  <c r="H111" i="20" s="1"/>
  <c r="H110" i="20" a="1"/>
  <c r="H110" i="20" s="1"/>
  <c r="H109" i="20" a="1"/>
  <c r="H109" i="20" s="1"/>
  <c r="H108" i="20" a="1"/>
  <c r="H108" i="20" s="1"/>
  <c r="H107" i="20" a="1"/>
  <c r="H107" i="20" s="1"/>
  <c r="H106" i="20" a="1"/>
  <c r="H106" i="20" s="1"/>
  <c r="H105" i="20" a="1"/>
  <c r="H105" i="20" s="1"/>
  <c r="H104" i="20" a="1"/>
  <c r="H104" i="20"/>
  <c r="H103" i="20" a="1"/>
  <c r="H103" i="20" s="1"/>
  <c r="H102" i="20" a="1"/>
  <c r="H102" i="20" s="1"/>
  <c r="H101" i="20" a="1"/>
  <c r="H101" i="20" s="1"/>
  <c r="H100" i="20" a="1"/>
  <c r="H100" i="20" s="1"/>
  <c r="H99" i="20" a="1"/>
  <c r="H99" i="20"/>
  <c r="H98" i="20" a="1"/>
  <c r="H98" i="20" s="1"/>
  <c r="H97" i="20" a="1"/>
  <c r="H97" i="20" s="1"/>
  <c r="H96" i="20" a="1"/>
  <c r="H96" i="20" s="1"/>
  <c r="H95" i="20" a="1"/>
  <c r="H95" i="20" s="1"/>
  <c r="H94" i="20" a="1"/>
  <c r="H94" i="20" s="1"/>
  <c r="H93" i="20" a="1"/>
  <c r="H93" i="20" s="1"/>
  <c r="H92" i="20" a="1"/>
  <c r="H92" i="20" s="1"/>
  <c r="H91" i="20" a="1"/>
  <c r="H91" i="20" s="1"/>
  <c r="H90" i="20" a="1"/>
  <c r="H90" i="20" s="1"/>
  <c r="H89" i="20" a="1"/>
  <c r="H89" i="20"/>
  <c r="H88" i="20" a="1"/>
  <c r="H88" i="20" s="1"/>
  <c r="H87" i="20" a="1"/>
  <c r="H87" i="20" s="1"/>
  <c r="H86" i="20" a="1"/>
  <c r="H86" i="20" s="1"/>
  <c r="H85" i="20" a="1"/>
  <c r="H85" i="20" s="1"/>
  <c r="H84" i="20" a="1"/>
  <c r="H84" i="20"/>
  <c r="H83" i="20" a="1"/>
  <c r="H83" i="20" s="1"/>
  <c r="H82" i="20" a="1"/>
  <c r="H82" i="20" s="1"/>
  <c r="H81" i="20" a="1"/>
  <c r="H81" i="20" s="1"/>
  <c r="H80" i="20" a="1"/>
  <c r="H80" i="20" s="1"/>
  <c r="H79" i="20" a="1"/>
  <c r="H79" i="20" s="1"/>
  <c r="H78" i="20" a="1"/>
  <c r="H78" i="20" s="1"/>
  <c r="H77" i="20" a="1"/>
  <c r="H77" i="20" s="1"/>
  <c r="H76" i="20" a="1"/>
  <c r="H76" i="20" s="1"/>
  <c r="H75" i="20" a="1"/>
  <c r="H75" i="20"/>
  <c r="H74" i="20" a="1"/>
  <c r="H74" i="20" s="1"/>
  <c r="H73" i="20" a="1"/>
  <c r="H73" i="20" s="1"/>
  <c r="H72" i="20" a="1"/>
  <c r="H72" i="20" s="1"/>
  <c r="H71" i="20" a="1"/>
  <c r="H71" i="20" s="1"/>
  <c r="H70" i="20" a="1"/>
  <c r="H70" i="20" s="1"/>
  <c r="H69" i="20" a="1"/>
  <c r="H69" i="20"/>
  <c r="H68" i="20" a="1"/>
  <c r="H68" i="20" s="1"/>
  <c r="H67" i="20" a="1"/>
  <c r="H67" i="20" s="1"/>
  <c r="H66" i="20" a="1"/>
  <c r="H66" i="20" s="1"/>
  <c r="H65" i="20" a="1"/>
  <c r="H65" i="20" s="1"/>
  <c r="H64" i="20" a="1"/>
  <c r="H64" i="20" s="1"/>
  <c r="H63" i="20" a="1"/>
  <c r="H63" i="20" s="1"/>
  <c r="H62" i="20" a="1"/>
  <c r="H62" i="20" s="1"/>
  <c r="H61" i="20" a="1"/>
  <c r="H61" i="20" s="1"/>
  <c r="H60" i="20" a="1"/>
  <c r="H60" i="20" s="1"/>
  <c r="H59" i="20" a="1"/>
  <c r="H59" i="20"/>
  <c r="H58" i="20" a="1"/>
  <c r="H58" i="20" s="1"/>
  <c r="H57" i="20" a="1"/>
  <c r="H57" i="20" s="1"/>
  <c r="H56" i="20" a="1"/>
  <c r="H56" i="20" s="1"/>
  <c r="H55" i="20" a="1"/>
  <c r="H55" i="20" s="1"/>
  <c r="H54" i="20" a="1"/>
  <c r="H54" i="20" s="1"/>
  <c r="H53" i="20" a="1"/>
  <c r="H53" i="20" s="1"/>
  <c r="H52" i="20" a="1"/>
  <c r="H52" i="20"/>
  <c r="J98" i="9"/>
  <c r="E98" i="9"/>
  <c r="D98" i="9"/>
  <c r="J97" i="9"/>
  <c r="E97" i="9"/>
  <c r="D97" i="9"/>
  <c r="J96" i="9"/>
  <c r="E96" i="9"/>
  <c r="D96" i="9"/>
  <c r="J133" i="2"/>
  <c r="E133" i="2"/>
  <c r="D133" i="2"/>
  <c r="J137" i="2"/>
  <c r="E137" i="2"/>
  <c r="D137" i="2"/>
  <c r="J136" i="2"/>
  <c r="E136" i="2"/>
  <c r="D136" i="2"/>
  <c r="J135" i="2"/>
  <c r="E135" i="2"/>
  <c r="D135" i="2"/>
  <c r="Q236" i="11"/>
  <c r="J236" i="11"/>
  <c r="E236" i="11"/>
  <c r="J284" i="29"/>
  <c r="E284" i="29"/>
  <c r="D284" i="29"/>
  <c r="J283" i="29"/>
  <c r="E283" i="29"/>
  <c r="D283" i="29"/>
  <c r="J241" i="4"/>
  <c r="E241" i="4"/>
  <c r="D241" i="4"/>
  <c r="J239" i="4"/>
  <c r="E239" i="4"/>
  <c r="D239" i="4"/>
  <c r="J237" i="4"/>
  <c r="E237" i="4"/>
  <c r="D237" i="4"/>
  <c r="L237" i="4" s="1"/>
  <c r="J99" i="9"/>
  <c r="E99" i="9"/>
  <c r="D99" i="9"/>
  <c r="J138" i="2"/>
  <c r="E138" i="2"/>
  <c r="D138" i="2"/>
  <c r="J93" i="9"/>
  <c r="E93" i="9"/>
  <c r="D93" i="9"/>
  <c r="K93" i="9" s="1"/>
  <c r="J131" i="2"/>
  <c r="E131" i="2"/>
  <c r="D131" i="2"/>
  <c r="K131" i="2" s="1"/>
  <c r="J96" i="2"/>
  <c r="E96" i="2"/>
  <c r="D96" i="2"/>
  <c r="L96" i="2" s="1"/>
  <c r="J285" i="29"/>
  <c r="E285" i="29"/>
  <c r="D285" i="29"/>
  <c r="Q237" i="11"/>
  <c r="J237" i="11"/>
  <c r="E237" i="11"/>
  <c r="J75" i="3"/>
  <c r="E75" i="3"/>
  <c r="D75" i="3"/>
  <c r="L75" i="3" s="1"/>
  <c r="J73" i="3"/>
  <c r="E73" i="3"/>
  <c r="D73" i="3"/>
  <c r="L73" i="3" s="1"/>
  <c r="C68" i="8"/>
  <c r="C127" i="30"/>
  <c r="M663" i="13"/>
  <c r="A663" i="13"/>
  <c r="F152" i="15"/>
  <c r="M662" i="13"/>
  <c r="A662" i="13"/>
  <c r="F151" i="15"/>
  <c r="M661" i="13"/>
  <c r="A661" i="13"/>
  <c r="C95" i="9"/>
  <c r="V660" i="13"/>
  <c r="M660" i="13"/>
  <c r="A660" i="13"/>
  <c r="C134" i="2"/>
  <c r="F150" i="15"/>
  <c r="H95" i="15"/>
  <c r="C135" i="2"/>
  <c r="C96" i="9"/>
  <c r="C138" i="2"/>
  <c r="C99" i="9"/>
  <c r="A658" i="13"/>
  <c r="A657" i="13"/>
  <c r="H92" i="15"/>
  <c r="A656" i="13"/>
  <c r="A655" i="13"/>
  <c r="A654" i="13"/>
  <c r="H89" i="15"/>
  <c r="A653" i="13"/>
  <c r="H88" i="15"/>
  <c r="A652" i="13"/>
  <c r="H87" i="15"/>
  <c r="A651" i="13"/>
  <c r="A650" i="13"/>
  <c r="A649" i="13"/>
  <c r="A648" i="13"/>
  <c r="H83" i="15"/>
  <c r="A647" i="13"/>
  <c r="H82" i="15"/>
  <c r="A646" i="13"/>
  <c r="H81" i="15"/>
  <c r="A645" i="13"/>
  <c r="H80" i="15"/>
  <c r="H85" i="15"/>
  <c r="C238" i="4"/>
  <c r="H86" i="15"/>
  <c r="C76" i="3"/>
  <c r="H90" i="15"/>
  <c r="C77" i="3"/>
  <c r="C240" i="4"/>
  <c r="B46" i="66"/>
  <c r="H91" i="15"/>
  <c r="C241" i="4"/>
  <c r="C96" i="2"/>
  <c r="H84" i="15"/>
  <c r="C74" i="3"/>
  <c r="C237" i="11"/>
  <c r="O237" i="11"/>
  <c r="H93" i="15"/>
  <c r="C67" i="8"/>
  <c r="C126" i="30"/>
  <c r="C307" i="29"/>
  <c r="O307" i="29"/>
  <c r="C198" i="3"/>
  <c r="C126" i="9"/>
  <c r="C217" i="29"/>
  <c r="O217" i="29"/>
  <c r="C162" i="11"/>
  <c r="C169" i="4"/>
  <c r="C303" i="29"/>
  <c r="O303" i="29"/>
  <c r="C213" i="29"/>
  <c r="O213" i="29"/>
  <c r="C194" i="3"/>
  <c r="C165" i="4"/>
  <c r="C122" i="9"/>
  <c r="C158" i="11"/>
  <c r="C306" i="29"/>
  <c r="O306" i="29"/>
  <c r="C168" i="4"/>
  <c r="C125" i="9"/>
  <c r="C161" i="11"/>
  <c r="C216" i="29"/>
  <c r="O216" i="29"/>
  <c r="C197" i="3"/>
  <c r="C302" i="29"/>
  <c r="C157" i="11"/>
  <c r="C212" i="29"/>
  <c r="C164" i="4"/>
  <c r="C121" i="9"/>
  <c r="C193" i="3"/>
  <c r="C304" i="29"/>
  <c r="O304" i="29"/>
  <c r="C214" i="29"/>
  <c r="O214" i="29"/>
  <c r="C195" i="3"/>
  <c r="C166" i="4"/>
  <c r="C123" i="9"/>
  <c r="C159" i="11"/>
  <c r="C283" i="29"/>
  <c r="C78" i="3"/>
  <c r="C284" i="29"/>
  <c r="C237" i="4"/>
  <c r="C305" i="29"/>
  <c r="O305" i="29"/>
  <c r="C167" i="4"/>
  <c r="C124" i="9"/>
  <c r="C160" i="11"/>
  <c r="C215" i="29"/>
  <c r="O215" i="29"/>
  <c r="C196" i="3"/>
  <c r="C236" i="11"/>
  <c r="O236" i="11"/>
  <c r="C75" i="3"/>
  <c r="C239" i="4"/>
  <c r="C285" i="29"/>
  <c r="C35" i="24"/>
  <c r="E88" i="29"/>
  <c r="D88" i="29"/>
  <c r="J88" i="29"/>
  <c r="J94" i="29"/>
  <c r="E94" i="29"/>
  <c r="D94" i="29"/>
  <c r="E18" i="10"/>
  <c r="Q18" i="10"/>
  <c r="J18" i="10"/>
  <c r="E449" i="29"/>
  <c r="D449" i="29"/>
  <c r="J449" i="29"/>
  <c r="E408" i="29"/>
  <c r="D408" i="29"/>
  <c r="J408" i="29"/>
  <c r="E340" i="29"/>
  <c r="D340" i="29"/>
  <c r="J340" i="29"/>
  <c r="E49" i="9"/>
  <c r="D49" i="9"/>
  <c r="J49" i="9"/>
  <c r="E44" i="8"/>
  <c r="D44" i="8"/>
  <c r="J44" i="8"/>
  <c r="E84" i="7"/>
  <c r="D84" i="7"/>
  <c r="J84" i="7"/>
  <c r="E21" i="7"/>
  <c r="D21" i="7"/>
  <c r="J21" i="7"/>
  <c r="E206" i="30"/>
  <c r="D206" i="30"/>
  <c r="J206" i="30"/>
  <c r="E8" i="6"/>
  <c r="D8" i="6"/>
  <c r="J8" i="6"/>
  <c r="J14" i="6"/>
  <c r="E14" i="6"/>
  <c r="D14" i="6"/>
  <c r="AF582" i="13"/>
  <c r="AD424" i="13"/>
  <c r="AD422" i="13"/>
  <c r="AF192" i="13"/>
  <c r="AF191" i="13"/>
  <c r="AF172" i="13"/>
  <c r="E98" i="2"/>
  <c r="J98" i="2"/>
  <c r="D17" i="65"/>
  <c r="D16" i="65"/>
  <c r="D15" i="65"/>
  <c r="D14" i="65"/>
  <c r="D13" i="65"/>
  <c r="D12" i="65"/>
  <c r="D11" i="65"/>
  <c r="D10" i="65"/>
  <c r="D9" i="65"/>
  <c r="D8" i="65"/>
  <c r="D7" i="65"/>
  <c r="D6" i="65"/>
  <c r="D5" i="65"/>
  <c r="D17" i="64"/>
  <c r="D16" i="64"/>
  <c r="D15" i="64"/>
  <c r="D14" i="64"/>
  <c r="D13" i="64"/>
  <c r="D12" i="64"/>
  <c r="D11" i="64"/>
  <c r="D10" i="64"/>
  <c r="D9" i="64"/>
  <c r="D8" i="64"/>
  <c r="D7" i="64"/>
  <c r="D6" i="64"/>
  <c r="D5" i="64"/>
  <c r="E60" i="3"/>
  <c r="D60" i="3"/>
  <c r="E63" i="3"/>
  <c r="D63" i="3"/>
  <c r="E62" i="3"/>
  <c r="D62" i="3"/>
  <c r="E61" i="3"/>
  <c r="D61" i="3"/>
  <c r="J63" i="3"/>
  <c r="J62" i="3"/>
  <c r="J61" i="3"/>
  <c r="J60" i="3"/>
  <c r="D59" i="3"/>
  <c r="Q67" i="11"/>
  <c r="J67" i="11"/>
  <c r="E67" i="11"/>
  <c r="D67" i="11"/>
  <c r="Q66" i="11"/>
  <c r="J66" i="11"/>
  <c r="E66" i="11"/>
  <c r="D66" i="11"/>
  <c r="Q65" i="11"/>
  <c r="J65" i="11"/>
  <c r="E65" i="11"/>
  <c r="D65" i="11"/>
  <c r="Q64" i="11"/>
  <c r="J64" i="11"/>
  <c r="E64" i="11"/>
  <c r="D64" i="11"/>
  <c r="L64" i="11" s="1"/>
  <c r="J219" i="29"/>
  <c r="E219" i="29"/>
  <c r="D219" i="29"/>
  <c r="Q164" i="11"/>
  <c r="J164" i="11"/>
  <c r="E164" i="11"/>
  <c r="J129" i="30"/>
  <c r="E129" i="30"/>
  <c r="J171" i="4"/>
  <c r="E171" i="4"/>
  <c r="D171" i="4"/>
  <c r="D170" i="4"/>
  <c r="J87" i="9"/>
  <c r="E87" i="9"/>
  <c r="D87" i="9"/>
  <c r="J82" i="9"/>
  <c r="E82" i="9"/>
  <c r="D82" i="9"/>
  <c r="J86" i="9"/>
  <c r="E86" i="9"/>
  <c r="D86" i="9"/>
  <c r="L86" i="9" s="1"/>
  <c r="J125" i="2"/>
  <c r="E125" i="2"/>
  <c r="D125" i="2"/>
  <c r="J124" i="2"/>
  <c r="E124" i="2"/>
  <c r="D124" i="2"/>
  <c r="J289" i="29"/>
  <c r="E289" i="29"/>
  <c r="D288" i="29"/>
  <c r="Q239" i="11"/>
  <c r="J239" i="11"/>
  <c r="E239" i="11"/>
  <c r="D238" i="11"/>
  <c r="J193" i="30"/>
  <c r="E193" i="30"/>
  <c r="D193" i="30"/>
  <c r="L193" i="30" s="1"/>
  <c r="D192" i="30"/>
  <c r="J245" i="4"/>
  <c r="E245" i="4"/>
  <c r="D245" i="4"/>
  <c r="K245" i="4" s="1"/>
  <c r="D244" i="4"/>
  <c r="J84" i="3"/>
  <c r="E84" i="3"/>
  <c r="D84" i="3"/>
  <c r="J106" i="2"/>
  <c r="E106" i="2"/>
  <c r="D106" i="2"/>
  <c r="J48" i="11"/>
  <c r="J103" i="30"/>
  <c r="E103" i="30"/>
  <c r="J102" i="30"/>
  <c r="E102" i="30"/>
  <c r="J101" i="30"/>
  <c r="E101" i="30"/>
  <c r="J100" i="30"/>
  <c r="E100" i="30"/>
  <c r="J99" i="30"/>
  <c r="E99" i="30"/>
  <c r="J98" i="30"/>
  <c r="E98" i="30"/>
  <c r="J97" i="30"/>
  <c r="E97" i="30"/>
  <c r="J141" i="4"/>
  <c r="E141" i="4"/>
  <c r="D141" i="4"/>
  <c r="J140" i="4"/>
  <c r="E140" i="4"/>
  <c r="D140" i="4"/>
  <c r="J139" i="4"/>
  <c r="E139" i="4"/>
  <c r="D139" i="4"/>
  <c r="J138" i="4"/>
  <c r="E138" i="4"/>
  <c r="D138" i="4"/>
  <c r="K138" i="4" s="1"/>
  <c r="J137" i="4"/>
  <c r="E137" i="4"/>
  <c r="D137" i="4"/>
  <c r="J136" i="4"/>
  <c r="E136" i="4"/>
  <c r="D136" i="4"/>
  <c r="J135" i="4"/>
  <c r="E135" i="4"/>
  <c r="D135" i="4"/>
  <c r="J112" i="30"/>
  <c r="E112" i="30"/>
  <c r="J111" i="30"/>
  <c r="E111" i="30"/>
  <c r="J110" i="30"/>
  <c r="E110" i="30"/>
  <c r="J109" i="30"/>
  <c r="E109" i="30"/>
  <c r="J108" i="30"/>
  <c r="E108" i="30"/>
  <c r="J107" i="30"/>
  <c r="E107" i="30"/>
  <c r="J106" i="30"/>
  <c r="E106" i="30"/>
  <c r="J150" i="4"/>
  <c r="E150" i="4"/>
  <c r="D150" i="4"/>
  <c r="L150" i="4" s="1"/>
  <c r="J149" i="4"/>
  <c r="E149" i="4"/>
  <c r="D149" i="4"/>
  <c r="J148" i="4"/>
  <c r="E148" i="4"/>
  <c r="D148" i="4"/>
  <c r="J147" i="4"/>
  <c r="E147" i="4"/>
  <c r="D147" i="4"/>
  <c r="K147" i="4" s="1"/>
  <c r="J146" i="4"/>
  <c r="E146" i="4"/>
  <c r="D146" i="4"/>
  <c r="K146" i="4" s="1"/>
  <c r="J145" i="4"/>
  <c r="E145" i="4"/>
  <c r="D145" i="4"/>
  <c r="L145" i="4" s="1"/>
  <c r="J144" i="4"/>
  <c r="E144" i="4"/>
  <c r="D144" i="4"/>
  <c r="J79" i="30"/>
  <c r="E79" i="30"/>
  <c r="J78" i="30"/>
  <c r="E78" i="30"/>
  <c r="J77" i="30"/>
  <c r="E77" i="30"/>
  <c r="E81" i="30"/>
  <c r="J81" i="30"/>
  <c r="J76" i="30"/>
  <c r="E76" i="30"/>
  <c r="J75" i="30"/>
  <c r="E75" i="30"/>
  <c r="J74" i="30"/>
  <c r="E74" i="30"/>
  <c r="J117" i="4"/>
  <c r="E117" i="4"/>
  <c r="D117" i="4"/>
  <c r="L117" i="4" s="1"/>
  <c r="J116" i="4"/>
  <c r="E116" i="4"/>
  <c r="D116" i="4"/>
  <c r="K116" i="4" s="1"/>
  <c r="J115" i="4"/>
  <c r="E115" i="4"/>
  <c r="D115" i="4"/>
  <c r="J114" i="4"/>
  <c r="E114" i="4"/>
  <c r="D114" i="4"/>
  <c r="J113" i="4"/>
  <c r="E113" i="4"/>
  <c r="D113" i="4"/>
  <c r="J112" i="4"/>
  <c r="E112" i="4"/>
  <c r="D112" i="4"/>
  <c r="J85" i="30"/>
  <c r="E85" i="30"/>
  <c r="J84" i="30"/>
  <c r="E84" i="30"/>
  <c r="J83" i="30"/>
  <c r="E83" i="30"/>
  <c r="J82" i="30"/>
  <c r="E82" i="30"/>
  <c r="J123" i="4"/>
  <c r="E123" i="4"/>
  <c r="D123" i="4"/>
  <c r="L123" i="4" s="1"/>
  <c r="J122" i="4"/>
  <c r="E122" i="4"/>
  <c r="D122" i="4"/>
  <c r="J121" i="4"/>
  <c r="E121" i="4"/>
  <c r="D121" i="4"/>
  <c r="J120" i="4"/>
  <c r="E120" i="4"/>
  <c r="D120" i="4"/>
  <c r="J105" i="30"/>
  <c r="E105" i="30"/>
  <c r="J96" i="30"/>
  <c r="E96" i="30"/>
  <c r="J94" i="30"/>
  <c r="E94" i="30"/>
  <c r="J93" i="30"/>
  <c r="E93" i="30"/>
  <c r="J92" i="30"/>
  <c r="E92" i="30"/>
  <c r="J91" i="30"/>
  <c r="E91" i="30"/>
  <c r="J90" i="30"/>
  <c r="E90" i="30"/>
  <c r="J89" i="30"/>
  <c r="E89" i="30"/>
  <c r="J88" i="30"/>
  <c r="E88" i="30"/>
  <c r="J87" i="30"/>
  <c r="E87" i="30"/>
  <c r="J73" i="30"/>
  <c r="E73" i="30"/>
  <c r="J71" i="30"/>
  <c r="J132" i="4"/>
  <c r="E132" i="4"/>
  <c r="D132" i="4"/>
  <c r="K132" i="4" s="1"/>
  <c r="J131" i="4"/>
  <c r="E131" i="4"/>
  <c r="D131" i="4"/>
  <c r="J130" i="4"/>
  <c r="E130" i="4"/>
  <c r="D130" i="4"/>
  <c r="J129" i="4"/>
  <c r="E129" i="4"/>
  <c r="D129" i="4"/>
  <c r="J128" i="4"/>
  <c r="E128" i="4"/>
  <c r="D128" i="4"/>
  <c r="J127" i="4"/>
  <c r="E127" i="4"/>
  <c r="D127" i="4"/>
  <c r="L127" i="4" s="1"/>
  <c r="J126" i="4"/>
  <c r="E126" i="4"/>
  <c r="D126" i="4"/>
  <c r="J239" i="3"/>
  <c r="E239" i="3"/>
  <c r="D239" i="3"/>
  <c r="J238" i="3"/>
  <c r="E238" i="3"/>
  <c r="D238" i="3"/>
  <c r="L238" i="3" s="1"/>
  <c r="J237" i="3"/>
  <c r="E237" i="3"/>
  <c r="D237" i="3"/>
  <c r="J236" i="3"/>
  <c r="E236" i="3"/>
  <c r="D236" i="3"/>
  <c r="J243" i="3"/>
  <c r="E243" i="3"/>
  <c r="D243" i="3"/>
  <c r="K243" i="3" s="1"/>
  <c r="J242" i="3"/>
  <c r="E242" i="3"/>
  <c r="D242" i="3"/>
  <c r="J112" i="2"/>
  <c r="E112" i="2"/>
  <c r="D112" i="2"/>
  <c r="K112" i="2" s="1"/>
  <c r="J224" i="3"/>
  <c r="E224" i="3"/>
  <c r="D224" i="3"/>
  <c r="J233" i="3"/>
  <c r="E233" i="3"/>
  <c r="D233" i="3"/>
  <c r="J232" i="3"/>
  <c r="E232" i="3"/>
  <c r="D232" i="3"/>
  <c r="J231" i="3"/>
  <c r="E231" i="3"/>
  <c r="D231" i="3"/>
  <c r="J230" i="3"/>
  <c r="E230" i="3"/>
  <c r="D230" i="3"/>
  <c r="J229" i="3"/>
  <c r="E229" i="3"/>
  <c r="D229" i="3"/>
  <c r="K229" i="3" s="1"/>
  <c r="J228" i="3"/>
  <c r="E228" i="3"/>
  <c r="D228" i="3"/>
  <c r="J227" i="3"/>
  <c r="E227" i="3"/>
  <c r="D227" i="3"/>
  <c r="J226" i="3"/>
  <c r="E226" i="3"/>
  <c r="D226" i="3"/>
  <c r="J225" i="3"/>
  <c r="E225" i="3"/>
  <c r="D225" i="3"/>
  <c r="K225" i="3" s="1"/>
  <c r="J506" i="29"/>
  <c r="E506" i="29"/>
  <c r="J505" i="29"/>
  <c r="E505" i="29"/>
  <c r="J504" i="29"/>
  <c r="E504" i="29"/>
  <c r="J503" i="29"/>
  <c r="E503" i="29"/>
  <c r="J502" i="29"/>
  <c r="E502" i="29"/>
  <c r="J501" i="29"/>
  <c r="E501" i="29"/>
  <c r="Q52" i="11"/>
  <c r="J52" i="11"/>
  <c r="E52" i="11"/>
  <c r="Q51" i="11"/>
  <c r="J51" i="11"/>
  <c r="E51" i="11"/>
  <c r="Q50" i="11"/>
  <c r="J50" i="11"/>
  <c r="E50" i="11"/>
  <c r="Q49" i="11"/>
  <c r="J49" i="11"/>
  <c r="E49" i="11"/>
  <c r="Q48" i="11"/>
  <c r="E48" i="11"/>
  <c r="Q47" i="11"/>
  <c r="J47" i="11"/>
  <c r="E47" i="11"/>
  <c r="D47" i="11"/>
  <c r="K47" i="11" s="1"/>
  <c r="J35" i="9"/>
  <c r="E35" i="9"/>
  <c r="J34" i="9"/>
  <c r="E34" i="9"/>
  <c r="J33" i="9"/>
  <c r="E33" i="9"/>
  <c r="J32" i="9"/>
  <c r="E32" i="9"/>
  <c r="J31" i="9"/>
  <c r="E31" i="9"/>
  <c r="J30" i="9"/>
  <c r="E30" i="9"/>
  <c r="D30" i="9"/>
  <c r="J268" i="29"/>
  <c r="E268" i="29"/>
  <c r="D268" i="29"/>
  <c r="J267" i="29"/>
  <c r="E267" i="29"/>
  <c r="D267" i="29"/>
  <c r="J266" i="29"/>
  <c r="E266" i="29"/>
  <c r="D266" i="29"/>
  <c r="J265" i="29"/>
  <c r="E265" i="29"/>
  <c r="D265" i="29"/>
  <c r="J264" i="29"/>
  <c r="E264" i="29"/>
  <c r="D264" i="29"/>
  <c r="J263" i="29"/>
  <c r="E263" i="29"/>
  <c r="D263" i="29"/>
  <c r="J262" i="29"/>
  <c r="E262" i="29"/>
  <c r="D262" i="29"/>
  <c r="J210" i="11"/>
  <c r="E210" i="11"/>
  <c r="J209" i="11"/>
  <c r="E209" i="11"/>
  <c r="J208" i="11"/>
  <c r="E208" i="11"/>
  <c r="J207" i="11"/>
  <c r="E207" i="11"/>
  <c r="J206" i="11"/>
  <c r="E206" i="11"/>
  <c r="J205" i="11"/>
  <c r="E205" i="11"/>
  <c r="J204" i="11"/>
  <c r="E204" i="11"/>
  <c r="J178" i="30"/>
  <c r="E178" i="30"/>
  <c r="D178" i="30"/>
  <c r="J177" i="30"/>
  <c r="E177" i="30"/>
  <c r="D177" i="30"/>
  <c r="J176" i="30"/>
  <c r="E176" i="30"/>
  <c r="D176" i="30"/>
  <c r="J175" i="30"/>
  <c r="E175" i="30"/>
  <c r="D175" i="30"/>
  <c r="J174" i="30"/>
  <c r="E174" i="30"/>
  <c r="D174" i="30"/>
  <c r="J173" i="30"/>
  <c r="E173" i="30"/>
  <c r="D173" i="30"/>
  <c r="J172" i="30"/>
  <c r="E172" i="30"/>
  <c r="D172" i="30"/>
  <c r="J220" i="4"/>
  <c r="E220" i="4"/>
  <c r="D220" i="4"/>
  <c r="L220" i="4" s="1"/>
  <c r="J219" i="4"/>
  <c r="E219" i="4"/>
  <c r="D219" i="4"/>
  <c r="J218" i="4"/>
  <c r="E218" i="4"/>
  <c r="D218" i="4"/>
  <c r="K218" i="4" s="1"/>
  <c r="J217" i="4"/>
  <c r="E217" i="4"/>
  <c r="D217" i="4"/>
  <c r="L217" i="4" s="1"/>
  <c r="J216" i="4"/>
  <c r="E216" i="4"/>
  <c r="D216" i="4"/>
  <c r="J215" i="4"/>
  <c r="E215" i="4"/>
  <c r="D215" i="4"/>
  <c r="J214" i="4"/>
  <c r="E214" i="4"/>
  <c r="D214" i="4"/>
  <c r="L214" i="4" s="1"/>
  <c r="J227" i="29"/>
  <c r="E227" i="29"/>
  <c r="D227" i="29"/>
  <c r="J76" i="8"/>
  <c r="E76" i="8"/>
  <c r="D76" i="8"/>
  <c r="J137" i="30"/>
  <c r="E137" i="30"/>
  <c r="D137" i="30"/>
  <c r="J179" i="4"/>
  <c r="E179" i="4"/>
  <c r="D179" i="4"/>
  <c r="J434" i="29"/>
  <c r="E434" i="29"/>
  <c r="D434" i="29"/>
  <c r="J435" i="29"/>
  <c r="E435" i="29"/>
  <c r="D435" i="29"/>
  <c r="J433" i="29"/>
  <c r="E433" i="29"/>
  <c r="D433" i="29"/>
  <c r="J432" i="29"/>
  <c r="E432" i="29"/>
  <c r="D432" i="29"/>
  <c r="J431" i="29"/>
  <c r="E431" i="29"/>
  <c r="D431" i="29"/>
  <c r="J430" i="29"/>
  <c r="E430" i="29"/>
  <c r="D430" i="29"/>
  <c r="J429" i="29"/>
  <c r="E429" i="29"/>
  <c r="D429" i="29"/>
  <c r="J428" i="29"/>
  <c r="E428" i="29"/>
  <c r="D428" i="29"/>
  <c r="J24" i="12"/>
  <c r="E24" i="12"/>
  <c r="D24" i="12"/>
  <c r="K24" i="12" s="1"/>
  <c r="J23" i="12"/>
  <c r="E23" i="12"/>
  <c r="D23" i="12"/>
  <c r="K23" i="12" s="1"/>
  <c r="J22" i="12"/>
  <c r="E22" i="12"/>
  <c r="D22" i="12"/>
  <c r="J21" i="12"/>
  <c r="E21" i="12"/>
  <c r="D21" i="12"/>
  <c r="L21" i="12" s="1"/>
  <c r="J20" i="12"/>
  <c r="E20" i="12"/>
  <c r="D20" i="12"/>
  <c r="L20" i="12" s="1"/>
  <c r="J19" i="12"/>
  <c r="E19" i="12"/>
  <c r="D19" i="12"/>
  <c r="J18" i="12"/>
  <c r="E18" i="12"/>
  <c r="D18" i="12"/>
  <c r="D43" i="2"/>
  <c r="D42" i="2"/>
  <c r="D29" i="29"/>
  <c r="D28" i="29"/>
  <c r="J29" i="29"/>
  <c r="E29" i="29"/>
  <c r="J28" i="29"/>
  <c r="E28" i="29"/>
  <c r="J43" i="2"/>
  <c r="E43" i="2"/>
  <c r="J42" i="2"/>
  <c r="E42" i="2"/>
  <c r="Q80" i="11"/>
  <c r="J80" i="11"/>
  <c r="E80" i="11"/>
  <c r="D80" i="11"/>
  <c r="Q81" i="11"/>
  <c r="J81" i="11"/>
  <c r="E81" i="11"/>
  <c r="D81" i="11"/>
  <c r="J41" i="9"/>
  <c r="E41" i="9"/>
  <c r="D41" i="9"/>
  <c r="J116" i="29"/>
  <c r="J117" i="29"/>
  <c r="J115" i="29"/>
  <c r="J114" i="29"/>
  <c r="J113" i="29"/>
  <c r="J112" i="29"/>
  <c r="J111" i="29"/>
  <c r="J110" i="29"/>
  <c r="J109" i="29"/>
  <c r="J37" i="6"/>
  <c r="J36" i="6"/>
  <c r="J35" i="6"/>
  <c r="J34" i="6"/>
  <c r="J33" i="6"/>
  <c r="J32" i="6"/>
  <c r="J31" i="6"/>
  <c r="J30" i="6"/>
  <c r="J29" i="6"/>
  <c r="J52" i="29"/>
  <c r="E52" i="29"/>
  <c r="R38" i="2"/>
  <c r="J38" i="2"/>
  <c r="E38" i="2"/>
  <c r="Q231" i="11"/>
  <c r="J231" i="11"/>
  <c r="E231" i="11"/>
  <c r="Q230" i="11"/>
  <c r="J230" i="11"/>
  <c r="E230" i="11"/>
  <c r="Q229" i="11"/>
  <c r="J229" i="11"/>
  <c r="E229" i="11"/>
  <c r="Q228" i="11"/>
  <c r="J228" i="11"/>
  <c r="E228" i="11"/>
  <c r="Q227" i="11"/>
  <c r="J227" i="11"/>
  <c r="E227" i="11"/>
  <c r="Q226" i="11"/>
  <c r="J226" i="11"/>
  <c r="E226" i="11"/>
  <c r="Q225" i="11"/>
  <c r="J225" i="11"/>
  <c r="E225" i="11"/>
  <c r="Q224" i="11"/>
  <c r="J224" i="11"/>
  <c r="E224" i="11"/>
  <c r="Q223" i="11"/>
  <c r="J223" i="11"/>
  <c r="E223" i="11"/>
  <c r="Q222" i="11"/>
  <c r="J222" i="11"/>
  <c r="E222" i="11"/>
  <c r="Q221" i="11"/>
  <c r="J221" i="11"/>
  <c r="E221" i="11"/>
  <c r="J181" i="29"/>
  <c r="E181" i="29"/>
  <c r="D181" i="29"/>
  <c r="J180" i="29"/>
  <c r="E180" i="29"/>
  <c r="D180" i="29"/>
  <c r="J179" i="29"/>
  <c r="E179" i="29"/>
  <c r="D179" i="29"/>
  <c r="J178" i="29"/>
  <c r="E178" i="29"/>
  <c r="D178" i="29"/>
  <c r="J177" i="29"/>
  <c r="E177" i="29"/>
  <c r="D177" i="29"/>
  <c r="J176" i="29"/>
  <c r="E176" i="29"/>
  <c r="D176" i="29"/>
  <c r="J60" i="9"/>
  <c r="E60" i="9"/>
  <c r="J59" i="9"/>
  <c r="E59" i="9"/>
  <c r="J58" i="9"/>
  <c r="E58" i="9"/>
  <c r="J57" i="9"/>
  <c r="E57" i="9"/>
  <c r="J56" i="9"/>
  <c r="E56" i="9"/>
  <c r="J55" i="9"/>
  <c r="E55" i="9"/>
  <c r="Q26" i="10"/>
  <c r="J26" i="10"/>
  <c r="E26" i="10"/>
  <c r="J54" i="8"/>
  <c r="E54" i="8"/>
  <c r="D54" i="8"/>
  <c r="J94" i="7"/>
  <c r="E94" i="7"/>
  <c r="D94" i="7"/>
  <c r="L94" i="7" s="1"/>
  <c r="J216" i="30"/>
  <c r="E216" i="30"/>
  <c r="D216" i="30"/>
  <c r="J241" i="30"/>
  <c r="E241" i="30"/>
  <c r="D241" i="30"/>
  <c r="J240" i="30"/>
  <c r="E240" i="30"/>
  <c r="D240" i="30"/>
  <c r="K240" i="30" s="1"/>
  <c r="J239" i="30"/>
  <c r="E239" i="30"/>
  <c r="D239" i="30"/>
  <c r="J238" i="30"/>
  <c r="E238" i="30"/>
  <c r="D238" i="30"/>
  <c r="J237" i="30"/>
  <c r="E237" i="30"/>
  <c r="D237" i="30"/>
  <c r="K237" i="30" s="1"/>
  <c r="I237" i="30" s="1"/>
  <c r="J236" i="30"/>
  <c r="E236" i="30"/>
  <c r="D236" i="30"/>
  <c r="J97" i="4"/>
  <c r="E97" i="4"/>
  <c r="D97" i="4"/>
  <c r="J96" i="4"/>
  <c r="E96" i="4"/>
  <c r="D96" i="4"/>
  <c r="J95" i="4"/>
  <c r="E95" i="4"/>
  <c r="D95" i="4"/>
  <c r="J94" i="4"/>
  <c r="E94" i="4"/>
  <c r="D94" i="4"/>
  <c r="K94" i="4" s="1"/>
  <c r="J93" i="4"/>
  <c r="E93" i="4"/>
  <c r="D93" i="4"/>
  <c r="K93" i="4" s="1"/>
  <c r="J92" i="4"/>
  <c r="E92" i="4"/>
  <c r="D92" i="4"/>
  <c r="K92" i="4" s="1"/>
  <c r="J271" i="3"/>
  <c r="E271" i="3"/>
  <c r="D271" i="3"/>
  <c r="J270" i="3"/>
  <c r="E270" i="3"/>
  <c r="D270" i="3"/>
  <c r="K270" i="3" s="1"/>
  <c r="J269" i="3"/>
  <c r="E269" i="3"/>
  <c r="D269" i="3"/>
  <c r="L269" i="3" s="1"/>
  <c r="J268" i="3"/>
  <c r="E268" i="3"/>
  <c r="D268" i="3"/>
  <c r="J267" i="3"/>
  <c r="E267" i="3"/>
  <c r="D267" i="3"/>
  <c r="L267" i="3" s="1"/>
  <c r="J266" i="3"/>
  <c r="E266" i="3"/>
  <c r="D266" i="3"/>
  <c r="K266" i="3" s="1"/>
  <c r="J172" i="29"/>
  <c r="E172" i="29"/>
  <c r="D172" i="29"/>
  <c r="J171" i="29"/>
  <c r="E171" i="29"/>
  <c r="D171" i="29"/>
  <c r="J170" i="29"/>
  <c r="E170" i="29"/>
  <c r="D170" i="29"/>
  <c r="J169" i="29"/>
  <c r="E169" i="29"/>
  <c r="D169" i="29"/>
  <c r="J232" i="30"/>
  <c r="E232" i="30"/>
  <c r="D232" i="30"/>
  <c r="J231" i="30"/>
  <c r="E231" i="30"/>
  <c r="D231" i="30"/>
  <c r="J230" i="30"/>
  <c r="E230" i="30"/>
  <c r="D230" i="30"/>
  <c r="J229" i="30"/>
  <c r="E229" i="30"/>
  <c r="D229" i="30"/>
  <c r="J88" i="4"/>
  <c r="E88" i="4"/>
  <c r="D88" i="4"/>
  <c r="K88" i="4" s="1"/>
  <c r="J87" i="4"/>
  <c r="E87" i="4"/>
  <c r="D87" i="4"/>
  <c r="J86" i="4"/>
  <c r="E86" i="4"/>
  <c r="D86" i="4"/>
  <c r="J85" i="4"/>
  <c r="E85" i="4"/>
  <c r="D85" i="4"/>
  <c r="K85" i="4" s="1"/>
  <c r="J166" i="29"/>
  <c r="E166" i="29"/>
  <c r="D166" i="29"/>
  <c r="J165" i="29"/>
  <c r="E165" i="29"/>
  <c r="D165" i="29"/>
  <c r="J226" i="30"/>
  <c r="E226" i="30"/>
  <c r="D226" i="30"/>
  <c r="J225" i="30"/>
  <c r="E225" i="30"/>
  <c r="D225" i="30"/>
  <c r="J82" i="4"/>
  <c r="E82" i="4"/>
  <c r="D82" i="4"/>
  <c r="J81" i="4"/>
  <c r="E81" i="4"/>
  <c r="D81" i="4"/>
  <c r="L81" i="4" s="1"/>
  <c r="J72" i="3"/>
  <c r="E72" i="3"/>
  <c r="D72" i="3"/>
  <c r="J71" i="3"/>
  <c r="E71" i="3"/>
  <c r="D71" i="3"/>
  <c r="J94" i="2"/>
  <c r="E94" i="2"/>
  <c r="D94" i="2"/>
  <c r="J585" i="29"/>
  <c r="E585" i="29"/>
  <c r="D585" i="29"/>
  <c r="J584" i="29"/>
  <c r="E584" i="29"/>
  <c r="D584" i="29"/>
  <c r="J583" i="29"/>
  <c r="E583" i="29"/>
  <c r="D583" i="29"/>
  <c r="C583" i="29"/>
  <c r="L583" i="29"/>
  <c r="J582" i="29"/>
  <c r="E582" i="29"/>
  <c r="D582" i="29"/>
  <c r="J364" i="29"/>
  <c r="E364" i="29"/>
  <c r="D364" i="29"/>
  <c r="J363" i="29"/>
  <c r="E363" i="29"/>
  <c r="D363" i="29"/>
  <c r="J362" i="29"/>
  <c r="E362" i="29"/>
  <c r="D362" i="29"/>
  <c r="J361" i="29"/>
  <c r="E361" i="29"/>
  <c r="D361" i="29"/>
  <c r="J40" i="7"/>
  <c r="E40" i="7"/>
  <c r="D40" i="7"/>
  <c r="J39" i="7"/>
  <c r="E39" i="7"/>
  <c r="D39" i="7"/>
  <c r="J38" i="7"/>
  <c r="E38" i="7"/>
  <c r="D38" i="7"/>
  <c r="J37" i="7"/>
  <c r="E37" i="7"/>
  <c r="D37" i="7"/>
  <c r="J88" i="9"/>
  <c r="E88" i="9"/>
  <c r="D88" i="9"/>
  <c r="K88" i="9" s="1"/>
  <c r="J126" i="2"/>
  <c r="E126" i="2"/>
  <c r="D126" i="2"/>
  <c r="L126" i="2" s="1"/>
  <c r="J373" i="29"/>
  <c r="E373" i="29"/>
  <c r="D373" i="29"/>
  <c r="J372" i="29"/>
  <c r="E372" i="29"/>
  <c r="D372" i="29"/>
  <c r="J49" i="7"/>
  <c r="E49" i="7"/>
  <c r="D49" i="7"/>
  <c r="L49" i="7" s="1"/>
  <c r="J48" i="7"/>
  <c r="E48" i="7"/>
  <c r="D48" i="7"/>
  <c r="J104" i="29"/>
  <c r="E104" i="29"/>
  <c r="D104" i="29"/>
  <c r="J103" i="29"/>
  <c r="E103" i="29"/>
  <c r="D103" i="29"/>
  <c r="J24" i="6"/>
  <c r="E24" i="6"/>
  <c r="D24" i="6"/>
  <c r="J23" i="6"/>
  <c r="E23" i="6"/>
  <c r="D23" i="6"/>
  <c r="J245" i="29"/>
  <c r="E245" i="29"/>
  <c r="D245" i="29"/>
  <c r="L245" i="29" s="1"/>
  <c r="C245" i="29"/>
  <c r="AA183" i="13"/>
  <c r="J244" i="29"/>
  <c r="E244" i="29"/>
  <c r="D244" i="29"/>
  <c r="J246" i="29"/>
  <c r="E246" i="29"/>
  <c r="D246" i="29"/>
  <c r="J243" i="29"/>
  <c r="E243" i="29"/>
  <c r="D243" i="29"/>
  <c r="Q188" i="11"/>
  <c r="J188" i="11"/>
  <c r="E188" i="11"/>
  <c r="Q187" i="11"/>
  <c r="J187" i="11"/>
  <c r="E187" i="11"/>
  <c r="Q186" i="11"/>
  <c r="J186" i="11"/>
  <c r="E186" i="11"/>
  <c r="Q153" i="9"/>
  <c r="J153" i="9"/>
  <c r="E153" i="9"/>
  <c r="D153" i="9"/>
  <c r="Q152" i="9"/>
  <c r="J152" i="9"/>
  <c r="E152" i="9"/>
  <c r="D152" i="9"/>
  <c r="K152" i="9" s="1"/>
  <c r="Q151" i="9"/>
  <c r="J151" i="9"/>
  <c r="E151" i="9"/>
  <c r="D151" i="9"/>
  <c r="K151" i="9" s="1"/>
  <c r="J95" i="8"/>
  <c r="E95" i="8"/>
  <c r="D95" i="8"/>
  <c r="J94" i="8"/>
  <c r="E94" i="8"/>
  <c r="D94" i="8"/>
  <c r="J93" i="8"/>
  <c r="E93" i="8"/>
  <c r="D93" i="8"/>
  <c r="J92" i="8"/>
  <c r="E92" i="8"/>
  <c r="D92" i="8"/>
  <c r="J156" i="30"/>
  <c r="E156" i="30"/>
  <c r="D156" i="30"/>
  <c r="J155" i="30"/>
  <c r="E155" i="30"/>
  <c r="D155" i="30"/>
  <c r="J154" i="30"/>
  <c r="E154" i="30"/>
  <c r="D154" i="30"/>
  <c r="J153" i="30"/>
  <c r="E153" i="30"/>
  <c r="D153" i="30"/>
  <c r="J198" i="4"/>
  <c r="E198" i="4"/>
  <c r="D198" i="4"/>
  <c r="J197" i="4"/>
  <c r="E197" i="4"/>
  <c r="D197" i="4"/>
  <c r="J196" i="4"/>
  <c r="E196" i="4"/>
  <c r="D196" i="4"/>
  <c r="J195" i="4"/>
  <c r="E195" i="4"/>
  <c r="D195" i="4"/>
  <c r="L195" i="4" s="1"/>
  <c r="J218" i="3"/>
  <c r="E218" i="3"/>
  <c r="D218" i="3"/>
  <c r="K218" i="3" s="1"/>
  <c r="J217" i="3"/>
  <c r="E217" i="3"/>
  <c r="D217" i="3"/>
  <c r="J216" i="3"/>
  <c r="E216" i="3"/>
  <c r="D216" i="3"/>
  <c r="J215" i="3"/>
  <c r="E215" i="3"/>
  <c r="D215" i="3"/>
  <c r="K215" i="3" s="1"/>
  <c r="J232" i="29"/>
  <c r="E232" i="29"/>
  <c r="D232" i="29"/>
  <c r="Q181" i="11"/>
  <c r="J181" i="11"/>
  <c r="E181" i="11"/>
  <c r="Q146" i="9"/>
  <c r="J146" i="9"/>
  <c r="E146" i="9"/>
  <c r="D146" i="9"/>
  <c r="J81" i="8"/>
  <c r="E81" i="8"/>
  <c r="D81" i="8"/>
  <c r="J142" i="30"/>
  <c r="E142" i="30"/>
  <c r="D142" i="30"/>
  <c r="J184" i="4"/>
  <c r="E184" i="4"/>
  <c r="D184" i="4"/>
  <c r="L184" i="4" s="1"/>
  <c r="J79" i="9"/>
  <c r="E79" i="9"/>
  <c r="D79" i="9"/>
  <c r="J117" i="2"/>
  <c r="E117" i="2"/>
  <c r="D117" i="2"/>
  <c r="L117" i="2" s="1"/>
  <c r="J518" i="29"/>
  <c r="E518" i="29"/>
  <c r="D518" i="29"/>
  <c r="J517" i="29"/>
  <c r="E517" i="29"/>
  <c r="D517" i="29"/>
  <c r="J516" i="29"/>
  <c r="E516" i="29"/>
  <c r="D516" i="29"/>
  <c r="J515" i="29"/>
  <c r="E515" i="29"/>
  <c r="D515" i="29"/>
  <c r="J188" i="29"/>
  <c r="E188" i="29"/>
  <c r="D188" i="29"/>
  <c r="J187" i="29"/>
  <c r="E187" i="29"/>
  <c r="D187" i="29"/>
  <c r="J186" i="29"/>
  <c r="E186" i="29"/>
  <c r="D186" i="29"/>
  <c r="J185" i="29"/>
  <c r="E185" i="29"/>
  <c r="D185" i="29"/>
  <c r="Q73" i="11"/>
  <c r="J73" i="11"/>
  <c r="E73" i="11"/>
  <c r="D73" i="11"/>
  <c r="Q72" i="11"/>
  <c r="J72" i="11"/>
  <c r="E72" i="11"/>
  <c r="D72" i="11"/>
  <c r="Q71" i="11"/>
  <c r="J71" i="11"/>
  <c r="E71" i="11"/>
  <c r="D71" i="11"/>
  <c r="Q70" i="11"/>
  <c r="J70" i="11"/>
  <c r="E70" i="11"/>
  <c r="D70" i="11"/>
  <c r="L70" i="11" s="1"/>
  <c r="J248" i="30"/>
  <c r="E248" i="30"/>
  <c r="D248" i="30"/>
  <c r="J247" i="30"/>
  <c r="E247" i="30"/>
  <c r="D247" i="30"/>
  <c r="L247" i="30" s="1"/>
  <c r="J246" i="30"/>
  <c r="E246" i="30"/>
  <c r="D246" i="30"/>
  <c r="J245" i="30"/>
  <c r="E245" i="30"/>
  <c r="D245" i="30"/>
  <c r="J104" i="4"/>
  <c r="E104" i="4"/>
  <c r="D104" i="4"/>
  <c r="K104" i="4" s="1"/>
  <c r="J103" i="4"/>
  <c r="E103" i="4"/>
  <c r="D103" i="4"/>
  <c r="K103" i="4" s="1"/>
  <c r="J102" i="4"/>
  <c r="E102" i="4"/>
  <c r="D102" i="4"/>
  <c r="L102" i="4" s="1"/>
  <c r="J101" i="4"/>
  <c r="E101" i="4"/>
  <c r="D101" i="4"/>
  <c r="J102" i="29"/>
  <c r="E102" i="29"/>
  <c r="D102" i="29"/>
  <c r="J101" i="29"/>
  <c r="E101" i="29"/>
  <c r="D101" i="29"/>
  <c r="J100" i="29"/>
  <c r="E100" i="29"/>
  <c r="D100" i="29"/>
  <c r="J99" i="29"/>
  <c r="E99" i="29"/>
  <c r="D99" i="29"/>
  <c r="J98" i="29"/>
  <c r="E98" i="29"/>
  <c r="D98" i="29"/>
  <c r="J22" i="6"/>
  <c r="E22" i="6"/>
  <c r="D22" i="6"/>
  <c r="J21" i="6"/>
  <c r="E21" i="6"/>
  <c r="D21" i="6"/>
  <c r="J20" i="6"/>
  <c r="E20" i="6"/>
  <c r="D20" i="6"/>
  <c r="J19" i="6"/>
  <c r="E19" i="6"/>
  <c r="D19" i="6"/>
  <c r="J18" i="6"/>
  <c r="E18" i="6"/>
  <c r="D18" i="6"/>
  <c r="J103" i="2"/>
  <c r="E103" i="2"/>
  <c r="D103" i="2"/>
  <c r="J102" i="2"/>
  <c r="E102" i="2"/>
  <c r="D102" i="2"/>
  <c r="J101" i="2"/>
  <c r="E101" i="2"/>
  <c r="D101" i="2"/>
  <c r="L101" i="2" s="1"/>
  <c r="J209" i="29"/>
  <c r="E209" i="29"/>
  <c r="D209" i="29"/>
  <c r="J208" i="29"/>
  <c r="E208" i="29"/>
  <c r="D208" i="29"/>
  <c r="Q154" i="11"/>
  <c r="J154" i="11"/>
  <c r="E154" i="11"/>
  <c r="Q153" i="11"/>
  <c r="J153" i="11"/>
  <c r="E153" i="11"/>
  <c r="Q117" i="9"/>
  <c r="J117" i="9"/>
  <c r="E117" i="9"/>
  <c r="D117" i="9"/>
  <c r="K117" i="9" s="1"/>
  <c r="Q116" i="9"/>
  <c r="J116" i="9"/>
  <c r="E116" i="9"/>
  <c r="D116" i="9"/>
  <c r="J123" i="30"/>
  <c r="E123" i="30"/>
  <c r="D123" i="30"/>
  <c r="L123" i="30" s="1"/>
  <c r="J122" i="30"/>
  <c r="E122" i="30"/>
  <c r="D122" i="30"/>
  <c r="J161" i="4"/>
  <c r="E161" i="4"/>
  <c r="D161" i="4"/>
  <c r="J160" i="4"/>
  <c r="E160" i="4"/>
  <c r="D160" i="4"/>
  <c r="J205" i="3"/>
  <c r="E205" i="3"/>
  <c r="J204" i="3"/>
  <c r="E204" i="3"/>
  <c r="J206" i="3"/>
  <c r="E206" i="3"/>
  <c r="J203" i="3"/>
  <c r="E203" i="3"/>
  <c r="J202" i="3"/>
  <c r="E202" i="3"/>
  <c r="D201" i="3"/>
  <c r="J287" i="29"/>
  <c r="E287" i="29"/>
  <c r="D287" i="29"/>
  <c r="D242" i="4"/>
  <c r="D243" i="4"/>
  <c r="K243" i="4" s="1"/>
  <c r="E243" i="4"/>
  <c r="J243" i="4"/>
  <c r="J89" i="3"/>
  <c r="E89" i="3"/>
  <c r="D89" i="3"/>
  <c r="D88" i="3"/>
  <c r="J203" i="29"/>
  <c r="E203" i="29"/>
  <c r="D203" i="29"/>
  <c r="J202" i="29"/>
  <c r="E202" i="29"/>
  <c r="D202" i="29"/>
  <c r="J117" i="30"/>
  <c r="E117" i="30"/>
  <c r="D117" i="30"/>
  <c r="K117" i="30" s="1"/>
  <c r="J116" i="30"/>
  <c r="E116" i="30"/>
  <c r="D116" i="30"/>
  <c r="J155" i="4"/>
  <c r="E155" i="4"/>
  <c r="D155" i="4"/>
  <c r="K155" i="4" s="1"/>
  <c r="J154" i="4"/>
  <c r="E154" i="4"/>
  <c r="D154" i="4"/>
  <c r="L154" i="4" s="1"/>
  <c r="J184" i="3"/>
  <c r="E184" i="3"/>
  <c r="D184" i="3"/>
  <c r="K184" i="3" s="1"/>
  <c r="J183" i="3"/>
  <c r="E183" i="3"/>
  <c r="D183" i="3"/>
  <c r="L183" i="3" s="1"/>
  <c r="J352" i="29"/>
  <c r="E352" i="29"/>
  <c r="D352" i="29"/>
  <c r="J351" i="29"/>
  <c r="E351" i="29"/>
  <c r="D351" i="29"/>
  <c r="J350" i="29"/>
  <c r="E350" i="29"/>
  <c r="D350" i="29"/>
  <c r="J349" i="29"/>
  <c r="E349" i="29"/>
  <c r="D349" i="29"/>
  <c r="J28" i="7"/>
  <c r="E28" i="7"/>
  <c r="J27" i="7"/>
  <c r="E27" i="7"/>
  <c r="D27" i="7"/>
  <c r="J26" i="7"/>
  <c r="E26" i="7"/>
  <c r="D26" i="7"/>
  <c r="J25" i="7"/>
  <c r="E25" i="7"/>
  <c r="D25" i="7"/>
  <c r="J257" i="29"/>
  <c r="E257" i="29"/>
  <c r="D257" i="29"/>
  <c r="J256" i="29"/>
  <c r="E256" i="29"/>
  <c r="D256" i="29"/>
  <c r="J255" i="29"/>
  <c r="E255" i="29"/>
  <c r="D255" i="29"/>
  <c r="J254" i="29"/>
  <c r="E254" i="29"/>
  <c r="D254" i="29"/>
  <c r="J253" i="29"/>
  <c r="E253" i="29"/>
  <c r="D253" i="29"/>
  <c r="L253" i="29" s="1"/>
  <c r="C253" i="29"/>
  <c r="J252" i="29"/>
  <c r="E252" i="29"/>
  <c r="D252" i="29"/>
  <c r="J251" i="29"/>
  <c r="E251" i="29"/>
  <c r="D251" i="29"/>
  <c r="J199" i="11"/>
  <c r="E199" i="11"/>
  <c r="J198" i="11"/>
  <c r="E198" i="11"/>
  <c r="J197" i="11"/>
  <c r="E197" i="11"/>
  <c r="J196" i="11"/>
  <c r="E196" i="11"/>
  <c r="J195" i="11"/>
  <c r="E195" i="11"/>
  <c r="J194" i="11"/>
  <c r="E194" i="11"/>
  <c r="J193" i="11"/>
  <c r="E193" i="11"/>
  <c r="J167" i="30"/>
  <c r="E167" i="30"/>
  <c r="D167" i="30"/>
  <c r="L167" i="30" s="1"/>
  <c r="J166" i="30"/>
  <c r="E166" i="30"/>
  <c r="D166" i="30"/>
  <c r="J165" i="30"/>
  <c r="E165" i="30"/>
  <c r="D165" i="30"/>
  <c r="J164" i="30"/>
  <c r="E164" i="30"/>
  <c r="D164" i="30"/>
  <c r="J163" i="30"/>
  <c r="E163" i="30"/>
  <c r="D163" i="30"/>
  <c r="L163" i="30" s="1"/>
  <c r="J162" i="30"/>
  <c r="E162" i="30"/>
  <c r="D162" i="30"/>
  <c r="J161" i="30"/>
  <c r="E161" i="30"/>
  <c r="D161" i="30"/>
  <c r="J209" i="4"/>
  <c r="E209" i="4"/>
  <c r="D209" i="4"/>
  <c r="L209" i="4" s="1"/>
  <c r="J208" i="4"/>
  <c r="E208" i="4"/>
  <c r="D208" i="4"/>
  <c r="J207" i="4"/>
  <c r="E207" i="4"/>
  <c r="D207" i="4"/>
  <c r="J206" i="4"/>
  <c r="E206" i="4"/>
  <c r="D206" i="4"/>
  <c r="J205" i="4"/>
  <c r="E205" i="4"/>
  <c r="D205" i="4"/>
  <c r="J204" i="4"/>
  <c r="E204" i="4"/>
  <c r="D204" i="4"/>
  <c r="J203" i="4"/>
  <c r="E203" i="4"/>
  <c r="D203" i="4"/>
  <c r="K203" i="4" s="1"/>
  <c r="J57" i="3"/>
  <c r="E57" i="3"/>
  <c r="D57" i="3"/>
  <c r="L57" i="3" s="1"/>
  <c r="J56" i="3"/>
  <c r="E56" i="3"/>
  <c r="D56" i="3"/>
  <c r="J55" i="3"/>
  <c r="E55" i="3"/>
  <c r="D55" i="3"/>
  <c r="J54" i="3"/>
  <c r="E54" i="3"/>
  <c r="D54" i="3"/>
  <c r="J53" i="3"/>
  <c r="E53" i="3"/>
  <c r="D53" i="3"/>
  <c r="L53" i="3" s="1"/>
  <c r="J52" i="3"/>
  <c r="E52" i="3"/>
  <c r="D52" i="3"/>
  <c r="L52" i="3" s="1"/>
  <c r="J51" i="3"/>
  <c r="E51" i="3"/>
  <c r="D51" i="3"/>
  <c r="J84" i="2"/>
  <c r="E84" i="2"/>
  <c r="D84" i="2"/>
  <c r="L84" i="2" s="1"/>
  <c r="J83" i="2"/>
  <c r="E83" i="2"/>
  <c r="D83" i="2"/>
  <c r="K83" i="2" s="1"/>
  <c r="J82" i="2"/>
  <c r="E82" i="2"/>
  <c r="D82" i="2"/>
  <c r="L82" i="2" s="1"/>
  <c r="J81" i="2"/>
  <c r="E81" i="2"/>
  <c r="D81" i="2"/>
  <c r="J80" i="2"/>
  <c r="E80" i="2"/>
  <c r="D80" i="2"/>
  <c r="J79" i="2"/>
  <c r="E79" i="2"/>
  <c r="D79" i="2"/>
  <c r="J78" i="2"/>
  <c r="E78" i="2"/>
  <c r="D78" i="2"/>
  <c r="K78" i="2" s="1"/>
  <c r="J379" i="29"/>
  <c r="E379" i="29"/>
  <c r="D379" i="29"/>
  <c r="J378" i="29"/>
  <c r="E378" i="29"/>
  <c r="D378" i="29"/>
  <c r="J377" i="29"/>
  <c r="E377" i="29"/>
  <c r="D377" i="29"/>
  <c r="J376" i="29"/>
  <c r="E376" i="29"/>
  <c r="D376" i="29"/>
  <c r="J55" i="7"/>
  <c r="E55" i="7"/>
  <c r="D55" i="7"/>
  <c r="K55" i="7" s="1"/>
  <c r="J54" i="7"/>
  <c r="E54" i="7"/>
  <c r="D54" i="7"/>
  <c r="L54" i="7" s="1"/>
  <c r="J53" i="7"/>
  <c r="E53" i="7"/>
  <c r="D53" i="7"/>
  <c r="J52" i="7"/>
  <c r="E52" i="7"/>
  <c r="D52" i="7"/>
  <c r="J404" i="29"/>
  <c r="E404" i="29"/>
  <c r="D404" i="29"/>
  <c r="J13" i="10"/>
  <c r="E13" i="10"/>
  <c r="J40" i="8"/>
  <c r="E40" i="8"/>
  <c r="D40" i="8"/>
  <c r="J80" i="7"/>
  <c r="E80" i="7"/>
  <c r="D80" i="7"/>
  <c r="K80" i="7" s="1"/>
  <c r="J202" i="30"/>
  <c r="E202" i="30"/>
  <c r="D202" i="30"/>
  <c r="J252" i="3"/>
  <c r="E252" i="3"/>
  <c r="D252" i="3"/>
  <c r="K252" i="3" s="1"/>
  <c r="J70" i="9"/>
  <c r="E70" i="9"/>
  <c r="D70" i="9"/>
  <c r="J69" i="9"/>
  <c r="E69" i="9"/>
  <c r="D69" i="9"/>
  <c r="K69" i="9" s="1"/>
  <c r="J68" i="9"/>
  <c r="E68" i="9"/>
  <c r="D68" i="9"/>
  <c r="J67" i="9"/>
  <c r="E67" i="9"/>
  <c r="D67" i="9"/>
  <c r="K67" i="9" s="1"/>
  <c r="J66" i="9"/>
  <c r="E66" i="9"/>
  <c r="D66" i="9"/>
  <c r="L66" i="9" s="1"/>
  <c r="J82" i="29"/>
  <c r="E82" i="29"/>
  <c r="D82" i="29"/>
  <c r="J81" i="29"/>
  <c r="E81" i="29"/>
  <c r="D81" i="29"/>
  <c r="J80" i="29"/>
  <c r="E80" i="29"/>
  <c r="D80" i="29"/>
  <c r="J79" i="29"/>
  <c r="E79" i="29"/>
  <c r="D79" i="29"/>
  <c r="J78" i="29"/>
  <c r="E78" i="29"/>
  <c r="D78" i="29"/>
  <c r="J197" i="29"/>
  <c r="E197" i="29"/>
  <c r="D197" i="29"/>
  <c r="J196" i="29"/>
  <c r="E196" i="29"/>
  <c r="D196" i="29"/>
  <c r="J195" i="29"/>
  <c r="E195" i="29"/>
  <c r="D195" i="29"/>
  <c r="J194" i="29"/>
  <c r="E194" i="29"/>
  <c r="D194" i="29"/>
  <c r="J193" i="29"/>
  <c r="E193" i="29"/>
  <c r="D193" i="29"/>
  <c r="J52" i="30"/>
  <c r="E52" i="30"/>
  <c r="D52" i="30"/>
  <c r="J51" i="30"/>
  <c r="E51" i="30"/>
  <c r="D51" i="30"/>
  <c r="J50" i="30"/>
  <c r="E50" i="30"/>
  <c r="D50" i="30"/>
  <c r="L50" i="30" s="1"/>
  <c r="J49" i="30"/>
  <c r="E49" i="30"/>
  <c r="D49" i="30"/>
  <c r="J48" i="30"/>
  <c r="E48" i="30"/>
  <c r="D48" i="30"/>
  <c r="J55" i="4"/>
  <c r="E55" i="4"/>
  <c r="D55" i="4"/>
  <c r="J54" i="4"/>
  <c r="E54" i="4"/>
  <c r="D54" i="4"/>
  <c r="J53" i="4"/>
  <c r="E53" i="4"/>
  <c r="D53" i="4"/>
  <c r="K53" i="4" s="1"/>
  <c r="J52" i="4"/>
  <c r="E52" i="4"/>
  <c r="D52" i="4"/>
  <c r="J51" i="4"/>
  <c r="E51" i="4"/>
  <c r="D51" i="4"/>
  <c r="L51" i="4" s="1"/>
  <c r="J44" i="3"/>
  <c r="E44" i="3"/>
  <c r="D44" i="3"/>
  <c r="K44" i="3" s="1"/>
  <c r="J43" i="3"/>
  <c r="E43" i="3"/>
  <c r="D43" i="3"/>
  <c r="J42" i="3"/>
  <c r="E42" i="3"/>
  <c r="D42" i="3"/>
  <c r="J41" i="3"/>
  <c r="E41" i="3"/>
  <c r="D41" i="3"/>
  <c r="J40" i="3"/>
  <c r="E40" i="3"/>
  <c r="D40" i="3"/>
  <c r="L40" i="3" s="1"/>
  <c r="J336" i="29"/>
  <c r="E336" i="29"/>
  <c r="D336" i="29"/>
  <c r="J335" i="29"/>
  <c r="E335" i="29"/>
  <c r="D335" i="29"/>
  <c r="J12" i="7"/>
  <c r="E12" i="7"/>
  <c r="D12" i="7"/>
  <c r="J11" i="7"/>
  <c r="E11" i="7"/>
  <c r="D11" i="7"/>
  <c r="L11" i="7" s="1"/>
  <c r="J456" i="29"/>
  <c r="E456" i="29"/>
  <c r="D456" i="29"/>
  <c r="J417" i="29"/>
  <c r="E417" i="29"/>
  <c r="D417" i="29"/>
  <c r="J25" i="10"/>
  <c r="E25" i="10"/>
  <c r="J53" i="8"/>
  <c r="E53" i="8"/>
  <c r="D53" i="8"/>
  <c r="L53" i="8" s="1"/>
  <c r="J93" i="7"/>
  <c r="E93" i="7"/>
  <c r="D93" i="7"/>
  <c r="J215" i="30"/>
  <c r="E215" i="30"/>
  <c r="D215" i="30"/>
  <c r="J265" i="3"/>
  <c r="E265" i="3"/>
  <c r="D265" i="3"/>
  <c r="L265" i="3" s="1"/>
  <c r="J264" i="3"/>
  <c r="E264" i="3"/>
  <c r="D264" i="3"/>
  <c r="L264" i="3" s="1"/>
  <c r="E36" i="3"/>
  <c r="E33" i="3"/>
  <c r="E32" i="3"/>
  <c r="J577" i="29"/>
  <c r="E577" i="29"/>
  <c r="D577" i="29"/>
  <c r="J576" i="29"/>
  <c r="E576" i="29"/>
  <c r="D576" i="29"/>
  <c r="J575" i="29"/>
  <c r="E575" i="29"/>
  <c r="D575" i="29"/>
  <c r="J574" i="29"/>
  <c r="E574" i="29"/>
  <c r="D574" i="29"/>
  <c r="J573" i="29"/>
  <c r="E573" i="29"/>
  <c r="D573" i="29"/>
  <c r="J572" i="29"/>
  <c r="E572" i="29"/>
  <c r="D572" i="29"/>
  <c r="J571" i="29"/>
  <c r="E571" i="29"/>
  <c r="D571" i="29"/>
  <c r="J132" i="11"/>
  <c r="E132" i="11"/>
  <c r="D132" i="11"/>
  <c r="L132" i="11" s="1"/>
  <c r="J131" i="11"/>
  <c r="E131" i="11"/>
  <c r="D131" i="11"/>
  <c r="L131" i="11" s="1"/>
  <c r="J130" i="11"/>
  <c r="E130" i="11"/>
  <c r="D130" i="11"/>
  <c r="J129" i="11"/>
  <c r="E129" i="11"/>
  <c r="D129" i="11"/>
  <c r="J128" i="11"/>
  <c r="E128" i="11"/>
  <c r="D128" i="11"/>
  <c r="J127" i="11"/>
  <c r="E127" i="11"/>
  <c r="D127" i="11"/>
  <c r="J126" i="11"/>
  <c r="E126" i="11"/>
  <c r="D126" i="11"/>
  <c r="J570" i="29"/>
  <c r="E570" i="29"/>
  <c r="D570" i="29"/>
  <c r="J133" i="11"/>
  <c r="E133" i="11"/>
  <c r="D133" i="11"/>
  <c r="K133" i="11" s="1"/>
  <c r="J36" i="3"/>
  <c r="J33" i="3"/>
  <c r="J32" i="3"/>
  <c r="E143" i="4"/>
  <c r="D143" i="4"/>
  <c r="E134" i="4"/>
  <c r="D134" i="4"/>
  <c r="E125" i="4"/>
  <c r="D125" i="4"/>
  <c r="E119" i="4"/>
  <c r="D119" i="4"/>
  <c r="E111" i="4"/>
  <c r="D111" i="4"/>
  <c r="J143" i="4"/>
  <c r="J134" i="4"/>
  <c r="J125" i="4"/>
  <c r="J119" i="4"/>
  <c r="J111" i="4"/>
  <c r="D151" i="4"/>
  <c r="J151" i="4"/>
  <c r="J241" i="3"/>
  <c r="E241" i="3"/>
  <c r="D241" i="3"/>
  <c r="J235" i="3"/>
  <c r="E235" i="3"/>
  <c r="D235" i="3"/>
  <c r="J222" i="3"/>
  <c r="E222" i="3"/>
  <c r="D222" i="3"/>
  <c r="E223" i="3"/>
  <c r="D223" i="3"/>
  <c r="J223" i="3"/>
  <c r="J110" i="2"/>
  <c r="E110" i="2"/>
  <c r="D110" i="2"/>
  <c r="J109" i="2"/>
  <c r="E109" i="2"/>
  <c r="D109" i="2"/>
  <c r="A644" i="13"/>
  <c r="A643" i="13"/>
  <c r="F148" i="15"/>
  <c r="A642" i="13"/>
  <c r="A641" i="13"/>
  <c r="A640" i="13"/>
  <c r="A639" i="13"/>
  <c r="A638" i="13"/>
  <c r="A637" i="13"/>
  <c r="F142" i="15"/>
  <c r="A636" i="13"/>
  <c r="A635" i="13"/>
  <c r="F140" i="15"/>
  <c r="A634" i="13"/>
  <c r="F139" i="15"/>
  <c r="A633" i="13"/>
  <c r="F138" i="15"/>
  <c r="A632" i="13"/>
  <c r="F137" i="15"/>
  <c r="A631" i="13"/>
  <c r="F136" i="15"/>
  <c r="A630" i="13"/>
  <c r="F135" i="15"/>
  <c r="A629" i="13"/>
  <c r="F134" i="15"/>
  <c r="A628" i="13"/>
  <c r="F133" i="15"/>
  <c r="A627" i="13"/>
  <c r="F132" i="15"/>
  <c r="A626" i="13"/>
  <c r="F131" i="15"/>
  <c r="A625" i="13"/>
  <c r="F130" i="15"/>
  <c r="A624" i="13"/>
  <c r="A623" i="13"/>
  <c r="A622" i="13"/>
  <c r="A621" i="13"/>
  <c r="A620" i="13"/>
  <c r="A619" i="13"/>
  <c r="F124" i="15"/>
  <c r="A618" i="13"/>
  <c r="F123" i="15"/>
  <c r="A617" i="13"/>
  <c r="A616" i="13"/>
  <c r="A615" i="13"/>
  <c r="A614" i="13"/>
  <c r="A613" i="13"/>
  <c r="F118" i="15"/>
  <c r="A612" i="13"/>
  <c r="F117" i="15"/>
  <c r="A611" i="13"/>
  <c r="A610" i="13"/>
  <c r="A609" i="13"/>
  <c r="A608" i="13"/>
  <c r="F113" i="15"/>
  <c r="A607" i="13"/>
  <c r="F112" i="15"/>
  <c r="A606" i="13"/>
  <c r="A605" i="13"/>
  <c r="H79" i="15"/>
  <c r="AA604" i="13"/>
  <c r="A604" i="13"/>
  <c r="F110" i="15"/>
  <c r="AA603" i="13"/>
  <c r="A603" i="13"/>
  <c r="F109" i="15"/>
  <c r="AA602" i="13"/>
  <c r="A602" i="13"/>
  <c r="F108" i="15"/>
  <c r="AA601" i="13"/>
  <c r="A601" i="13"/>
  <c r="F107" i="15"/>
  <c r="A600" i="13"/>
  <c r="A599" i="13"/>
  <c r="A393" i="13"/>
  <c r="A394" i="13"/>
  <c r="A395" i="13"/>
  <c r="A396" i="13"/>
  <c r="H60" i="15"/>
  <c r="A397" i="13"/>
  <c r="A398" i="13"/>
  <c r="H62" i="15"/>
  <c r="A246" i="13"/>
  <c r="A188" i="13"/>
  <c r="H34" i="15"/>
  <c r="A187" i="13"/>
  <c r="H33" i="15"/>
  <c r="A113" i="13"/>
  <c r="A598" i="13"/>
  <c r="A597" i="13"/>
  <c r="F106" i="15"/>
  <c r="A593" i="13"/>
  <c r="A592" i="13"/>
  <c r="A591" i="13"/>
  <c r="A590" i="13"/>
  <c r="A589" i="13"/>
  <c r="AD560" i="13"/>
  <c r="AF560" i="13"/>
  <c r="AA560" i="13"/>
  <c r="A560" i="13"/>
  <c r="B65" i="66"/>
  <c r="AD421" i="13"/>
  <c r="A421" i="13"/>
  <c r="G21" i="15"/>
  <c r="AD420" i="13"/>
  <c r="A420" i="13"/>
  <c r="G20" i="15"/>
  <c r="AD419" i="13"/>
  <c r="A419" i="13"/>
  <c r="G19" i="15"/>
  <c r="AD418" i="13"/>
  <c r="A418" i="13"/>
  <c r="G18" i="15"/>
  <c r="AD417" i="13"/>
  <c r="A417" i="13"/>
  <c r="G17" i="15"/>
  <c r="AD416" i="13"/>
  <c r="A416" i="13"/>
  <c r="G16" i="15"/>
  <c r="AA403" i="13"/>
  <c r="A403" i="13"/>
  <c r="H66" i="15"/>
  <c r="AA402" i="13"/>
  <c r="A402" i="13"/>
  <c r="H65" i="15"/>
  <c r="AA401" i="13"/>
  <c r="A401" i="13"/>
  <c r="AA399" i="13"/>
  <c r="A399" i="13"/>
  <c r="H63" i="15"/>
  <c r="AA398" i="13"/>
  <c r="AA397" i="13"/>
  <c r="AA396" i="13"/>
  <c r="AD391" i="13"/>
  <c r="AF391" i="13"/>
  <c r="AA391" i="13"/>
  <c r="A391" i="13"/>
  <c r="H58" i="15"/>
  <c r="A369" i="13"/>
  <c r="F76" i="15"/>
  <c r="A368" i="13"/>
  <c r="F75" i="15"/>
  <c r="A361" i="13"/>
  <c r="A357" i="13"/>
  <c r="A356" i="13"/>
  <c r="A355" i="13"/>
  <c r="A335" i="13"/>
  <c r="A333" i="13"/>
  <c r="G13" i="15"/>
  <c r="A332" i="13"/>
  <c r="G12" i="15"/>
  <c r="A331" i="13"/>
  <c r="G11" i="15"/>
  <c r="A330" i="13"/>
  <c r="G10" i="15"/>
  <c r="A329" i="13"/>
  <c r="G9" i="15"/>
  <c r="A328" i="13"/>
  <c r="G8" i="15"/>
  <c r="A327" i="13"/>
  <c r="G7" i="15"/>
  <c r="A326" i="13"/>
  <c r="G6" i="15"/>
  <c r="A325" i="13"/>
  <c r="G5" i="15"/>
  <c r="A301" i="13"/>
  <c r="G4" i="15"/>
  <c r="A299" i="13"/>
  <c r="G3" i="15"/>
  <c r="A287" i="13"/>
  <c r="A284" i="13"/>
  <c r="A283" i="13"/>
  <c r="A282" i="13"/>
  <c r="A281" i="13"/>
  <c r="A280" i="13"/>
  <c r="A279" i="13"/>
  <c r="A278" i="13"/>
  <c r="A277" i="13"/>
  <c r="A276" i="13"/>
  <c r="A274" i="13"/>
  <c r="A271" i="13"/>
  <c r="A268" i="13"/>
  <c r="T266" i="13"/>
  <c r="A266" i="13"/>
  <c r="F62" i="15"/>
  <c r="T265" i="13"/>
  <c r="A265" i="13"/>
  <c r="F61" i="15"/>
  <c r="A264" i="13"/>
  <c r="AD263" i="13"/>
  <c r="A263" i="13"/>
  <c r="F59" i="15"/>
  <c r="AD262" i="13"/>
  <c r="A262" i="13"/>
  <c r="F58" i="15"/>
  <c r="AD261" i="13"/>
  <c r="A261" i="13"/>
  <c r="AD253" i="13"/>
  <c r="A253" i="13"/>
  <c r="AD250" i="13"/>
  <c r="A250" i="13"/>
  <c r="AD249" i="13"/>
  <c r="A249" i="13"/>
  <c r="A248" i="13"/>
  <c r="F56" i="15"/>
  <c r="A247" i="13"/>
  <c r="F55" i="15"/>
  <c r="A244" i="13"/>
  <c r="A243" i="13"/>
  <c r="A234" i="13"/>
  <c r="A232" i="13"/>
  <c r="A229" i="13"/>
  <c r="A224" i="13"/>
  <c r="F53" i="15"/>
  <c r="A221" i="13"/>
  <c r="F51" i="15"/>
  <c r="A217" i="13"/>
  <c r="A215" i="13"/>
  <c r="F48" i="15"/>
  <c r="A213" i="13"/>
  <c r="F47" i="15"/>
  <c r="AD204" i="13"/>
  <c r="AF204" i="13"/>
  <c r="AA204" i="13"/>
  <c r="A204" i="13"/>
  <c r="F44" i="15"/>
  <c r="AD203" i="13"/>
  <c r="AF203" i="13"/>
  <c r="AA203" i="13"/>
  <c r="A203" i="13"/>
  <c r="AD202" i="13"/>
  <c r="AF202" i="13"/>
  <c r="AA202" i="13"/>
  <c r="A202" i="13"/>
  <c r="F42" i="15"/>
  <c r="AA199" i="13"/>
  <c r="A199" i="13"/>
  <c r="AA198" i="13"/>
  <c r="A198" i="13"/>
  <c r="A195" i="13"/>
  <c r="E37" i="15"/>
  <c r="AF194" i="13"/>
  <c r="A194" i="13"/>
  <c r="E36" i="15"/>
  <c r="AD186" i="13"/>
  <c r="AA186" i="13"/>
  <c r="A186" i="13"/>
  <c r="H32" i="15"/>
  <c r="AD185" i="13"/>
  <c r="AA185" i="13"/>
  <c r="A185" i="13"/>
  <c r="H31" i="15"/>
  <c r="AD184" i="13"/>
  <c r="AA184" i="13"/>
  <c r="A184" i="13"/>
  <c r="H30" i="15"/>
  <c r="AD183" i="13"/>
  <c r="A183" i="13"/>
  <c r="H29" i="15"/>
  <c r="AD182" i="13"/>
  <c r="AA182" i="13"/>
  <c r="A182" i="13"/>
  <c r="AA180" i="13"/>
  <c r="A180" i="13"/>
  <c r="AA179" i="13"/>
  <c r="A179" i="13"/>
  <c r="AA178" i="13"/>
  <c r="A178" i="13"/>
  <c r="A175" i="13"/>
  <c r="F41" i="15"/>
  <c r="A174" i="13"/>
  <c r="F40" i="15"/>
  <c r="A169" i="13"/>
  <c r="F37" i="15"/>
  <c r="A168" i="13"/>
  <c r="A166" i="13"/>
  <c r="E33" i="15"/>
  <c r="A165" i="13"/>
  <c r="E32" i="15"/>
  <c r="A164" i="13"/>
  <c r="E31" i="15"/>
  <c r="A163" i="13"/>
  <c r="E30" i="15"/>
  <c r="A162" i="13"/>
  <c r="E29" i="15"/>
  <c r="A159" i="13"/>
  <c r="A158" i="13"/>
  <c r="A157" i="13"/>
  <c r="A155" i="13"/>
  <c r="A150" i="13"/>
  <c r="A149" i="13"/>
  <c r="H21" i="15"/>
  <c r="A145" i="13"/>
  <c r="A144" i="13"/>
  <c r="A143" i="13"/>
  <c r="A134" i="13"/>
  <c r="H15" i="15"/>
  <c r="A133" i="13"/>
  <c r="H14" i="15"/>
  <c r="A132" i="13"/>
  <c r="A131" i="13"/>
  <c r="H12" i="15"/>
  <c r="A128" i="13"/>
  <c r="H11" i="15"/>
  <c r="A127" i="13"/>
  <c r="H10" i="15"/>
  <c r="A126" i="13"/>
  <c r="H9" i="15"/>
  <c r="A125" i="13"/>
  <c r="H8" i="15"/>
  <c r="A121" i="13"/>
  <c r="F35" i="15"/>
  <c r="AD112" i="13"/>
  <c r="A112" i="13"/>
  <c r="C71" i="9"/>
  <c r="AD111" i="13"/>
  <c r="A111" i="13"/>
  <c r="C69" i="9"/>
  <c r="AD110" i="13"/>
  <c r="A110" i="13"/>
  <c r="C68" i="9"/>
  <c r="AD109" i="13"/>
  <c r="A109" i="13"/>
  <c r="C67" i="9"/>
  <c r="AD108" i="13"/>
  <c r="A108" i="13"/>
  <c r="C70" i="9"/>
  <c r="AF104" i="13"/>
  <c r="AA104" i="13"/>
  <c r="A104" i="13"/>
  <c r="H7" i="15"/>
  <c r="A72" i="13"/>
  <c r="A69" i="13"/>
  <c r="A68" i="13"/>
  <c r="A64" i="13"/>
  <c r="A63" i="13"/>
  <c r="A61" i="13"/>
  <c r="A56" i="13"/>
  <c r="A52" i="13"/>
  <c r="F26" i="15"/>
  <c r="A33" i="13"/>
  <c r="A32" i="13"/>
  <c r="AD28" i="13"/>
  <c r="AA28" i="13"/>
  <c r="A28" i="13"/>
  <c r="AD27" i="13"/>
  <c r="AA27" i="13"/>
  <c r="A27" i="13"/>
  <c r="B53" i="66"/>
  <c r="A21" i="13"/>
  <c r="F9" i="15"/>
  <c r="A20" i="13"/>
  <c r="F8" i="15"/>
  <c r="A19" i="13"/>
  <c r="F7" i="15"/>
  <c r="A18" i="13"/>
  <c r="F6" i="15"/>
  <c r="A17" i="13"/>
  <c r="F5" i="15"/>
  <c r="A16" i="13"/>
  <c r="F4" i="15"/>
  <c r="A15" i="13"/>
  <c r="F3" i="15"/>
  <c r="A22" i="13"/>
  <c r="F10" i="15"/>
  <c r="M22" i="13"/>
  <c r="A23" i="13"/>
  <c r="F11" i="15"/>
  <c r="M23" i="13"/>
  <c r="A24" i="13"/>
  <c r="F12" i="15"/>
  <c r="M24" i="13"/>
  <c r="A25" i="13"/>
  <c r="F13" i="15"/>
  <c r="M25" i="13"/>
  <c r="A26" i="13"/>
  <c r="T26" i="13"/>
  <c r="M26" i="13"/>
  <c r="F14" i="15"/>
  <c r="M29" i="13"/>
  <c r="A30" i="13"/>
  <c r="M30" i="13"/>
  <c r="A14" i="13"/>
  <c r="B64" i="66"/>
  <c r="F16" i="15"/>
  <c r="B38" i="66"/>
  <c r="H22" i="15"/>
  <c r="B82" i="66"/>
  <c r="F43" i="15"/>
  <c r="B81" i="66"/>
  <c r="B57" i="66"/>
  <c r="F60" i="15"/>
  <c r="C223" i="11"/>
  <c r="O223" i="11"/>
  <c r="H41" i="15"/>
  <c r="C229" i="11"/>
  <c r="O229" i="11"/>
  <c r="H49" i="15"/>
  <c r="C81" i="11"/>
  <c r="O81" i="11"/>
  <c r="F69" i="15"/>
  <c r="F126" i="15"/>
  <c r="C91" i="11"/>
  <c r="O91" i="11"/>
  <c r="H61" i="15"/>
  <c r="B75" i="66"/>
  <c r="F111" i="15"/>
  <c r="F143" i="15"/>
  <c r="C32" i="10"/>
  <c r="O32" i="10"/>
  <c r="C101" i="2"/>
  <c r="H24" i="15"/>
  <c r="H36" i="15"/>
  <c r="C236" i="4"/>
  <c r="C95" i="2"/>
  <c r="C27" i="10"/>
  <c r="O27" i="10"/>
  <c r="F57" i="15"/>
  <c r="C225" i="11"/>
  <c r="O225" i="11"/>
  <c r="H43" i="15"/>
  <c r="B25" i="66"/>
  <c r="H52" i="15"/>
  <c r="B85" i="66"/>
  <c r="F72" i="15"/>
  <c r="F120" i="15"/>
  <c r="C88" i="11"/>
  <c r="O88" i="11"/>
  <c r="F128" i="15"/>
  <c r="C86" i="11"/>
  <c r="O86" i="11"/>
  <c r="F144" i="15"/>
  <c r="C33" i="10"/>
  <c r="O33" i="10"/>
  <c r="C104" i="2"/>
  <c r="H23" i="15"/>
  <c r="C224" i="11"/>
  <c r="O224" i="11"/>
  <c r="B93" i="66"/>
  <c r="H42" i="15"/>
  <c r="C102" i="2"/>
  <c r="H25" i="15"/>
  <c r="B35" i="66"/>
  <c r="H28" i="15"/>
  <c r="C128" i="9"/>
  <c r="H37" i="15"/>
  <c r="C227" i="11"/>
  <c r="O227" i="11"/>
  <c r="H44" i="15"/>
  <c r="F121" i="15"/>
  <c r="C89" i="11"/>
  <c r="O89" i="11"/>
  <c r="F129" i="15"/>
  <c r="C87" i="11"/>
  <c r="O87" i="11"/>
  <c r="F145" i="15"/>
  <c r="C34" i="10"/>
  <c r="O34" i="10"/>
  <c r="C231" i="11"/>
  <c r="O231" i="11"/>
  <c r="H50" i="15"/>
  <c r="C59" i="8"/>
  <c r="H17" i="15"/>
  <c r="C103" i="2"/>
  <c r="H26" i="15"/>
  <c r="C230" i="11"/>
  <c r="O230" i="11"/>
  <c r="H45" i="15"/>
  <c r="B48" i="66"/>
  <c r="H64" i="15"/>
  <c r="B101" i="66"/>
  <c r="F114" i="15"/>
  <c r="F122" i="15"/>
  <c r="C90" i="11"/>
  <c r="O90" i="11"/>
  <c r="F146" i="15"/>
  <c r="C35" i="10"/>
  <c r="O35" i="10"/>
  <c r="B55" i="66"/>
  <c r="H13" i="15"/>
  <c r="H35" i="15"/>
  <c r="C235" i="4"/>
  <c r="C82" i="11"/>
  <c r="O82" i="11"/>
  <c r="B92" i="66"/>
  <c r="F70" i="15"/>
  <c r="F119" i="15"/>
  <c r="C31" i="10"/>
  <c r="O31" i="10"/>
  <c r="F127" i="15"/>
  <c r="C94" i="11"/>
  <c r="O94" i="11"/>
  <c r="B99" i="66"/>
  <c r="F2" i="15"/>
  <c r="B83" i="66"/>
  <c r="F28" i="15"/>
  <c r="C60" i="8"/>
  <c r="H18" i="15"/>
  <c r="B32" i="66"/>
  <c r="H27" i="15"/>
  <c r="C232" i="11"/>
  <c r="O232" i="11"/>
  <c r="H46" i="15"/>
  <c r="H59" i="15"/>
  <c r="B102" i="66"/>
  <c r="F115" i="15"/>
  <c r="F147" i="15"/>
  <c r="C36" i="10"/>
  <c r="O36" i="10"/>
  <c r="B59" i="66"/>
  <c r="F49" i="15"/>
  <c r="C221" i="11"/>
  <c r="O221" i="11"/>
  <c r="H39" i="15"/>
  <c r="C226" i="11"/>
  <c r="O226" i="11"/>
  <c r="H47" i="15"/>
  <c r="C41" i="9"/>
  <c r="G14" i="15"/>
  <c r="B103" i="66"/>
  <c r="B76" i="66"/>
  <c r="F116" i="15"/>
  <c r="C61" i="8"/>
  <c r="H19" i="15"/>
  <c r="B63" i="66"/>
  <c r="F15" i="15"/>
  <c r="C222" i="11"/>
  <c r="O222" i="11"/>
  <c r="H40" i="15"/>
  <c r="C228" i="11"/>
  <c r="O228" i="11"/>
  <c r="H48" i="15"/>
  <c r="C80" i="11"/>
  <c r="O80" i="11"/>
  <c r="F68" i="15"/>
  <c r="F125" i="15"/>
  <c r="C85" i="11"/>
  <c r="O85" i="11"/>
  <c r="F141" i="15"/>
  <c r="C95" i="11"/>
  <c r="O95" i="11"/>
  <c r="F149" i="15"/>
  <c r="F50" i="15"/>
  <c r="C73" i="3"/>
  <c r="C131" i="2"/>
  <c r="C93" i="9"/>
  <c r="C133" i="11"/>
  <c r="O133" i="11"/>
  <c r="C578" i="29"/>
  <c r="O578" i="29"/>
  <c r="C86" i="9"/>
  <c r="C124" i="2"/>
  <c r="C242" i="3"/>
  <c r="C108" i="30"/>
  <c r="C146" i="4"/>
  <c r="C132" i="11"/>
  <c r="O132" i="11"/>
  <c r="C577" i="29"/>
  <c r="O577" i="29"/>
  <c r="C79" i="29"/>
  <c r="O79" i="29"/>
  <c r="C49" i="30"/>
  <c r="C194" i="29"/>
  <c r="O194" i="29"/>
  <c r="C41" i="3"/>
  <c r="C52" i="4"/>
  <c r="C54" i="3"/>
  <c r="C196" i="11"/>
  <c r="O196" i="11"/>
  <c r="C206" i="4"/>
  <c r="C254" i="29"/>
  <c r="O254" i="29"/>
  <c r="C164" i="30"/>
  <c r="C81" i="2"/>
  <c r="C210" i="29"/>
  <c r="C155" i="11"/>
  <c r="C118" i="9"/>
  <c r="C124" i="30"/>
  <c r="C162" i="4"/>
  <c r="C206" i="3"/>
  <c r="C20" i="6"/>
  <c r="C100" i="29"/>
  <c r="O100" i="29"/>
  <c r="C248" i="30"/>
  <c r="C518" i="29"/>
  <c r="O518" i="29"/>
  <c r="C104" i="4"/>
  <c r="C73" i="11"/>
  <c r="O73" i="11"/>
  <c r="C188" i="29"/>
  <c r="O188" i="29"/>
  <c r="C83" i="4"/>
  <c r="C167" i="29"/>
  <c r="C227" i="30"/>
  <c r="C67" i="11"/>
  <c r="O67" i="11"/>
  <c r="C172" i="29"/>
  <c r="O172" i="29"/>
  <c r="C232" i="30"/>
  <c r="C88" i="4"/>
  <c r="C179" i="29"/>
  <c r="O179" i="29"/>
  <c r="C269" i="3"/>
  <c r="C239" i="30"/>
  <c r="C95" i="4"/>
  <c r="C110" i="29"/>
  <c r="C30" i="6"/>
  <c r="C268" i="29"/>
  <c r="C178" i="30"/>
  <c r="C210" i="11"/>
  <c r="O210" i="11"/>
  <c r="C220" i="4"/>
  <c r="O50" i="11"/>
  <c r="C349" i="29"/>
  <c r="C25" i="7"/>
  <c r="C376" i="29"/>
  <c r="C52" i="7"/>
  <c r="C352" i="29"/>
  <c r="C21" i="12"/>
  <c r="C431" i="29"/>
  <c r="C127" i="4"/>
  <c r="C89" i="30"/>
  <c r="C225" i="3"/>
  <c r="C107" i="30"/>
  <c r="C145" i="4"/>
  <c r="C90" i="30"/>
  <c r="C128" i="4"/>
  <c r="C226" i="3"/>
  <c r="C92" i="30"/>
  <c r="C130" i="4"/>
  <c r="C230" i="3"/>
  <c r="C432" i="29"/>
  <c r="C22" i="12"/>
  <c r="C123" i="4"/>
  <c r="C85" i="30"/>
  <c r="C231" i="3"/>
  <c r="C23" i="6"/>
  <c r="C103" i="29"/>
  <c r="C207" i="11"/>
  <c r="O207" i="11"/>
  <c r="C217" i="4"/>
  <c r="C265" i="29"/>
  <c r="C175" i="30"/>
  <c r="C109" i="30"/>
  <c r="C147" i="4"/>
  <c r="C188" i="11"/>
  <c r="C154" i="30"/>
  <c r="C244" i="29"/>
  <c r="C196" i="4"/>
  <c r="C216" i="3"/>
  <c r="C153" i="9"/>
  <c r="C93" i="8"/>
  <c r="C373" i="29"/>
  <c r="C49" i="7"/>
  <c r="C89" i="9"/>
  <c r="C127" i="2"/>
  <c r="C94" i="2"/>
  <c r="C72" i="3"/>
  <c r="C113" i="29"/>
  <c r="C33" i="6"/>
  <c r="C206" i="11"/>
  <c r="O206" i="11"/>
  <c r="C174" i="30"/>
  <c r="C216" i="4"/>
  <c r="C264" i="29"/>
  <c r="C434" i="29"/>
  <c r="C24" i="12"/>
  <c r="C115" i="4"/>
  <c r="C77" i="30"/>
  <c r="C110" i="30"/>
  <c r="C148" i="4"/>
  <c r="C243" i="3"/>
  <c r="C150" i="4"/>
  <c r="C112" i="30"/>
  <c r="C94" i="30"/>
  <c r="C132" i="4"/>
  <c r="C110" i="2"/>
  <c r="C233" i="3"/>
  <c r="C218" i="3"/>
  <c r="C95" i="8"/>
  <c r="C156" i="30"/>
  <c r="C198" i="4"/>
  <c r="C246" i="29"/>
  <c r="C101" i="30"/>
  <c r="C139" i="4"/>
  <c r="C55" i="3"/>
  <c r="C197" i="11"/>
  <c r="O197" i="11"/>
  <c r="C82" i="2"/>
  <c r="C207" i="4"/>
  <c r="C255" i="29"/>
  <c r="C165" i="30"/>
  <c r="C112" i="29"/>
  <c r="C32" i="6"/>
  <c r="C336" i="29"/>
  <c r="C12" i="7"/>
  <c r="C81" i="7"/>
  <c r="C203" i="30"/>
  <c r="C405" i="29"/>
  <c r="O405" i="29"/>
  <c r="C253" i="3"/>
  <c r="C41" i="8"/>
  <c r="C14" i="10"/>
  <c r="O14" i="10"/>
  <c r="C80" i="9"/>
  <c r="C118" i="2"/>
  <c r="C64" i="11"/>
  <c r="O64" i="11"/>
  <c r="C229" i="30"/>
  <c r="C169" i="29"/>
  <c r="C85" i="4"/>
  <c r="C93" i="4"/>
  <c r="C418" i="29"/>
  <c r="O418" i="29"/>
  <c r="C55" i="8"/>
  <c r="C237" i="30"/>
  <c r="C457" i="29"/>
  <c r="O457" i="29"/>
  <c r="C217" i="30"/>
  <c r="C177" i="29"/>
  <c r="C95" i="7"/>
  <c r="C267" i="3"/>
  <c r="C181" i="29"/>
  <c r="C241" i="30"/>
  <c r="C97" i="4"/>
  <c r="C271" i="3"/>
  <c r="C63" i="3"/>
  <c r="C189" i="30"/>
  <c r="C231" i="4"/>
  <c r="C279" i="29"/>
  <c r="C34" i="6"/>
  <c r="C114" i="29"/>
  <c r="C218" i="4"/>
  <c r="C266" i="29"/>
  <c r="C176" i="30"/>
  <c r="C208" i="11"/>
  <c r="O208" i="11"/>
  <c r="O48" i="11"/>
  <c r="O52" i="11"/>
  <c r="C378" i="29"/>
  <c r="C54" i="7"/>
  <c r="C247" i="30"/>
  <c r="C517" i="29"/>
  <c r="C103" i="4"/>
  <c r="C187" i="29"/>
  <c r="C72" i="11"/>
  <c r="O72" i="11"/>
  <c r="C205" i="11"/>
  <c r="O205" i="11"/>
  <c r="C215" i="4"/>
  <c r="C263" i="29"/>
  <c r="C173" i="30"/>
  <c r="C350" i="29"/>
  <c r="C26" i="7"/>
  <c r="C243" i="4"/>
  <c r="C89" i="3"/>
  <c r="C287" i="29"/>
  <c r="O287" i="29"/>
  <c r="C435" i="29"/>
  <c r="C25" i="12"/>
  <c r="C144" i="4"/>
  <c r="C106" i="30"/>
  <c r="C149" i="4"/>
  <c r="C111" i="30"/>
  <c r="C239" i="3"/>
  <c r="C141" i="4"/>
  <c r="C112" i="2"/>
  <c r="C103" i="30"/>
  <c r="C205" i="3"/>
  <c r="C209" i="29"/>
  <c r="C154" i="11"/>
  <c r="C117" i="9"/>
  <c r="C123" i="30"/>
  <c r="C161" i="4"/>
  <c r="C377" i="29"/>
  <c r="C53" i="7"/>
  <c r="C433" i="29"/>
  <c r="C23" i="12"/>
  <c r="C140" i="4"/>
  <c r="C102" i="30"/>
  <c r="C573" i="29"/>
  <c r="C128" i="11"/>
  <c r="O128" i="11"/>
  <c r="C198" i="11"/>
  <c r="O198" i="11"/>
  <c r="C208" i="4"/>
  <c r="C256" i="29"/>
  <c r="C166" i="30"/>
  <c r="C83" i="2"/>
  <c r="C56" i="3"/>
  <c r="C92" i="8"/>
  <c r="C187" i="11"/>
  <c r="C153" i="30"/>
  <c r="C243" i="29"/>
  <c r="C195" i="4"/>
  <c r="C215" i="3"/>
  <c r="C152" i="9"/>
  <c r="C127" i="11"/>
  <c r="O127" i="11"/>
  <c r="C572" i="29"/>
  <c r="C26" i="10"/>
  <c r="O26" i="10"/>
  <c r="C94" i="7"/>
  <c r="C266" i="3"/>
  <c r="C54" i="8"/>
  <c r="C216" i="30"/>
  <c r="C84" i="3"/>
  <c r="C245" i="4"/>
  <c r="C289" i="29"/>
  <c r="O289" i="29"/>
  <c r="C106" i="2"/>
  <c r="C239" i="11"/>
  <c r="O239" i="11"/>
  <c r="C193" i="30"/>
  <c r="C251" i="29"/>
  <c r="C78" i="2"/>
  <c r="C193" i="11"/>
  <c r="O193" i="11"/>
  <c r="C161" i="30"/>
  <c r="C51" i="3"/>
  <c r="C203" i="4"/>
  <c r="C202" i="29"/>
  <c r="C116" i="30"/>
  <c r="C154" i="4"/>
  <c r="C183" i="3"/>
  <c r="C154" i="9"/>
  <c r="C157" i="30"/>
  <c r="C96" i="8"/>
  <c r="C247" i="29"/>
  <c r="C189" i="11"/>
  <c r="C219" i="3"/>
  <c r="C199" i="4"/>
  <c r="C374" i="29"/>
  <c r="O374" i="29"/>
  <c r="C50" i="7"/>
  <c r="C369" i="29"/>
  <c r="O369" i="29"/>
  <c r="C45" i="7"/>
  <c r="C590" i="29"/>
  <c r="O590" i="29"/>
  <c r="C164" i="11"/>
  <c r="C171" i="4"/>
  <c r="C219" i="29"/>
  <c r="O219" i="29"/>
  <c r="C52" i="29"/>
  <c r="C38" i="2"/>
  <c r="C115" i="29"/>
  <c r="C35" i="6"/>
  <c r="C43" i="2"/>
  <c r="C29" i="29"/>
  <c r="C249" i="30"/>
  <c r="C519" i="29"/>
  <c r="O519" i="29"/>
  <c r="C105" i="4"/>
  <c r="C189" i="29"/>
  <c r="O189" i="29"/>
  <c r="C74" i="11"/>
  <c r="O74" i="11"/>
  <c r="C428" i="29"/>
  <c r="C18" i="12"/>
  <c r="C126" i="4"/>
  <c r="C88" i="30"/>
  <c r="C223" i="3"/>
  <c r="C135" i="4"/>
  <c r="C97" i="30"/>
  <c r="C236" i="3"/>
  <c r="C98" i="30"/>
  <c r="C136" i="4"/>
  <c r="C91" i="30"/>
  <c r="C129" i="4"/>
  <c r="C227" i="3"/>
  <c r="C516" i="29"/>
  <c r="C246" i="30"/>
  <c r="C102" i="4"/>
  <c r="C186" i="29"/>
  <c r="C71" i="11"/>
  <c r="O71" i="11"/>
  <c r="C113" i="4"/>
  <c r="C75" i="30"/>
  <c r="C56" i="7"/>
  <c r="C380" i="29"/>
  <c r="O380" i="29"/>
  <c r="C114" i="4"/>
  <c r="C76" i="30"/>
  <c r="C45" i="3"/>
  <c r="C198" i="29"/>
  <c r="C56" i="4"/>
  <c r="C83" i="29"/>
  <c r="C53" i="30"/>
  <c r="C13" i="7"/>
  <c r="C337" i="29"/>
  <c r="O337" i="29"/>
  <c r="C51" i="30"/>
  <c r="C43" i="3"/>
  <c r="C54" i="4"/>
  <c r="C196" i="29"/>
  <c r="C81" i="29"/>
  <c r="C210" i="4"/>
  <c r="C258" i="29"/>
  <c r="C85" i="2"/>
  <c r="C58" i="3"/>
  <c r="C168" i="30"/>
  <c r="C200" i="11"/>
  <c r="O200" i="11"/>
  <c r="C575" i="29"/>
  <c r="C130" i="11"/>
  <c r="O130" i="11"/>
  <c r="C129" i="2"/>
  <c r="C91" i="9"/>
  <c r="C79" i="2"/>
  <c r="C162" i="30"/>
  <c r="C52" i="3"/>
  <c r="C194" i="11"/>
  <c r="O194" i="11"/>
  <c r="C204" i="4"/>
  <c r="C252" i="29"/>
  <c r="C203" i="29"/>
  <c r="C117" i="30"/>
  <c r="C155" i="4"/>
  <c r="C184" i="3"/>
  <c r="C21" i="6"/>
  <c r="C101" i="29"/>
  <c r="C19" i="6"/>
  <c r="C99" i="29"/>
  <c r="C233" i="29"/>
  <c r="C82" i="8"/>
  <c r="C182" i="11"/>
  <c r="C147" i="9"/>
  <c r="C185" i="4"/>
  <c r="C143" i="30"/>
  <c r="C210" i="3"/>
  <c r="C582" i="29"/>
  <c r="C361" i="29"/>
  <c r="C37" i="7"/>
  <c r="C166" i="29"/>
  <c r="C226" i="30"/>
  <c r="C82" i="4"/>
  <c r="C66" i="11"/>
  <c r="O66" i="11"/>
  <c r="C171" i="29"/>
  <c r="C231" i="30"/>
  <c r="C87" i="4"/>
  <c r="C268" i="3"/>
  <c r="C178" i="29"/>
  <c r="C238" i="30"/>
  <c r="C94" i="4"/>
  <c r="C242" i="30"/>
  <c r="C98" i="4"/>
  <c r="C272" i="3"/>
  <c r="C182" i="29"/>
  <c r="C39" i="2"/>
  <c r="C53" i="29"/>
  <c r="C36" i="6"/>
  <c r="C116" i="29"/>
  <c r="C42" i="2"/>
  <c r="C28" i="29"/>
  <c r="C219" i="4"/>
  <c r="C267" i="29"/>
  <c r="C209" i="11"/>
  <c r="O209" i="11"/>
  <c r="C177" i="30"/>
  <c r="O49" i="11"/>
  <c r="O53" i="11"/>
  <c r="C379" i="29"/>
  <c r="C55" i="7"/>
  <c r="C351" i="29"/>
  <c r="C27" i="7"/>
  <c r="C429" i="29"/>
  <c r="C19" i="12"/>
  <c r="C82" i="30"/>
  <c r="C120" i="4"/>
  <c r="C224" i="3"/>
  <c r="C116" i="4"/>
  <c r="C78" i="30"/>
  <c r="C237" i="3"/>
  <c r="C99" i="30"/>
  <c r="C137" i="4"/>
  <c r="C121" i="4"/>
  <c r="C83" i="30"/>
  <c r="C228" i="3"/>
  <c r="C50" i="30"/>
  <c r="C42" i="3"/>
  <c r="C195" i="29"/>
  <c r="C80" i="29"/>
  <c r="C53" i="4"/>
  <c r="C209" i="4"/>
  <c r="C257" i="29"/>
  <c r="C84" i="2"/>
  <c r="C167" i="30"/>
  <c r="C199" i="11"/>
  <c r="O199" i="11"/>
  <c r="C57" i="3"/>
  <c r="C104" i="29"/>
  <c r="C24" i="6"/>
  <c r="C585" i="29"/>
  <c r="C364" i="29"/>
  <c r="C40" i="7"/>
  <c r="C111" i="29"/>
  <c r="C31" i="6"/>
  <c r="C44" i="3"/>
  <c r="C197" i="29"/>
  <c r="C55" i="4"/>
  <c r="C82" i="29"/>
  <c r="C52" i="30"/>
  <c r="C79" i="9"/>
  <c r="C117" i="2"/>
  <c r="C41" i="7"/>
  <c r="C365" i="29"/>
  <c r="O365" i="29"/>
  <c r="C586" i="29"/>
  <c r="O586" i="29"/>
  <c r="C65" i="11"/>
  <c r="O65" i="11"/>
  <c r="C86" i="4"/>
  <c r="C230" i="30"/>
  <c r="C170" i="29"/>
  <c r="C180" i="29"/>
  <c r="C240" i="30"/>
  <c r="C96" i="4"/>
  <c r="C270" i="3"/>
  <c r="C221" i="4"/>
  <c r="C179" i="30"/>
  <c r="C211" i="11"/>
  <c r="O211" i="11"/>
  <c r="C269" i="29"/>
  <c r="O51" i="11"/>
  <c r="C29" i="7"/>
  <c r="C353" i="29"/>
  <c r="O353" i="29"/>
  <c r="C131" i="4"/>
  <c r="C93" i="30"/>
  <c r="C109" i="2"/>
  <c r="C232" i="3"/>
  <c r="C265" i="3"/>
  <c r="C53" i="8"/>
  <c r="C456" i="29"/>
  <c r="C25" i="10"/>
  <c r="O25" i="10"/>
  <c r="C93" i="7"/>
  <c r="C417" i="29"/>
  <c r="C215" i="30"/>
  <c r="C574" i="29"/>
  <c r="C129" i="11"/>
  <c r="O129" i="11"/>
  <c r="C102" i="29"/>
  <c r="C22" i="6"/>
  <c r="C571" i="29"/>
  <c r="C126" i="11"/>
  <c r="O126" i="11"/>
  <c r="C131" i="11"/>
  <c r="O131" i="11"/>
  <c r="C576" i="29"/>
  <c r="C51" i="4"/>
  <c r="C78" i="29"/>
  <c r="C48" i="30"/>
  <c r="C40" i="3"/>
  <c r="C193" i="29"/>
  <c r="C163" i="30"/>
  <c r="C205" i="4"/>
  <c r="C53" i="3"/>
  <c r="C195" i="11"/>
  <c r="O195" i="11"/>
  <c r="C80" i="2"/>
  <c r="C118" i="30"/>
  <c r="C156" i="4"/>
  <c r="C185" i="3"/>
  <c r="C204" i="29"/>
  <c r="C197" i="4"/>
  <c r="C217" i="3"/>
  <c r="C155" i="30"/>
  <c r="C94" i="8"/>
  <c r="C105" i="29"/>
  <c r="C25" i="6"/>
  <c r="C88" i="9"/>
  <c r="C126" i="2"/>
  <c r="C362" i="29"/>
  <c r="C38" i="7"/>
  <c r="C29" i="6"/>
  <c r="C109" i="29"/>
  <c r="C117" i="29"/>
  <c r="C37" i="6"/>
  <c r="C176" i="11"/>
  <c r="C141" i="9"/>
  <c r="C200" i="3"/>
  <c r="C77" i="8"/>
  <c r="C228" i="29"/>
  <c r="C180" i="4"/>
  <c r="C138" i="30"/>
  <c r="C186" i="11"/>
  <c r="C151" i="9"/>
  <c r="C430" i="29"/>
  <c r="C20" i="12"/>
  <c r="C74" i="30"/>
  <c r="C112" i="4"/>
  <c r="C117" i="4"/>
  <c r="C79" i="30"/>
  <c r="C100" i="30"/>
  <c r="C238" i="3"/>
  <c r="C138" i="4"/>
  <c r="C122" i="4"/>
  <c r="C84" i="30"/>
  <c r="C229" i="3"/>
  <c r="C363" i="29"/>
  <c r="O363" i="29"/>
  <c r="C39" i="7"/>
  <c r="C584" i="29"/>
  <c r="O584" i="29"/>
  <c r="AD26" i="13"/>
  <c r="AA26" i="13"/>
  <c r="G67" i="18"/>
  <c r="E67" i="18"/>
  <c r="C67" i="18"/>
  <c r="G66" i="18"/>
  <c r="E66" i="18"/>
  <c r="C66" i="18"/>
  <c r="J52" i="20"/>
  <c r="F54" i="20" s="1" a="1"/>
  <c r="F54" i="20" s="1"/>
  <c r="J197" i="20"/>
  <c r="F208" i="20" s="1" a="1"/>
  <c r="F208" i="20" s="1"/>
  <c r="D596" i="29"/>
  <c r="D594" i="29"/>
  <c r="D593" i="29"/>
  <c r="D590" i="29"/>
  <c r="D589" i="29"/>
  <c r="D586" i="29"/>
  <c r="D581" i="29"/>
  <c r="D578" i="29"/>
  <c r="D569" i="29"/>
  <c r="D568" i="29"/>
  <c r="D567" i="29"/>
  <c r="D566" i="29"/>
  <c r="D523" i="29"/>
  <c r="D522" i="29"/>
  <c r="D519" i="29"/>
  <c r="D514" i="29"/>
  <c r="D512" i="29"/>
  <c r="D510" i="29"/>
  <c r="D457" i="29"/>
  <c r="D455" i="29"/>
  <c r="D448" i="29"/>
  <c r="D447" i="29"/>
  <c r="D445" i="29"/>
  <c r="D444" i="29"/>
  <c r="D441" i="29"/>
  <c r="D440" i="29"/>
  <c r="D427" i="29"/>
  <c r="D426" i="29"/>
  <c r="D424" i="29"/>
  <c r="D423" i="29"/>
  <c r="D422" i="29"/>
  <c r="D421" i="29"/>
  <c r="D418" i="29"/>
  <c r="D416" i="29"/>
  <c r="D415" i="29"/>
  <c r="D414" i="29"/>
  <c r="D407" i="29"/>
  <c r="D405" i="29"/>
  <c r="D403" i="29"/>
  <c r="D400" i="29"/>
  <c r="D399" i="29"/>
  <c r="D380" i="29"/>
  <c r="D374" i="29"/>
  <c r="D371" i="29"/>
  <c r="D369" i="29"/>
  <c r="D368" i="29"/>
  <c r="D365" i="29"/>
  <c r="D360" i="29"/>
  <c r="D357" i="29"/>
  <c r="D355" i="29"/>
  <c r="D353" i="29"/>
  <c r="D348" i="29"/>
  <c r="D339" i="29"/>
  <c r="D337" i="29"/>
  <c r="D334" i="29"/>
  <c r="D333" i="29"/>
  <c r="D332" i="29"/>
  <c r="D331" i="29"/>
  <c r="D327" i="29"/>
  <c r="D326" i="29"/>
  <c r="D323" i="29"/>
  <c r="D321" i="29"/>
  <c r="D320" i="29"/>
  <c r="D318" i="29"/>
  <c r="D317" i="29"/>
  <c r="D316" i="29"/>
  <c r="D314" i="29"/>
  <c r="D312" i="29"/>
  <c r="D311" i="29"/>
  <c r="D310" i="29"/>
  <c r="D307" i="29"/>
  <c r="D306" i="29"/>
  <c r="D305" i="29"/>
  <c r="D304" i="29"/>
  <c r="D303" i="29"/>
  <c r="D302" i="29"/>
  <c r="D300" i="29"/>
  <c r="D299" i="29"/>
  <c r="D282" i="29"/>
  <c r="D279" i="29"/>
  <c r="D278" i="29"/>
  <c r="D277" i="29"/>
  <c r="D274" i="29"/>
  <c r="D273" i="29"/>
  <c r="D272" i="29"/>
  <c r="D269" i="29"/>
  <c r="D261" i="29"/>
  <c r="D258" i="29"/>
  <c r="D247" i="29"/>
  <c r="D242" i="29"/>
  <c r="L242" i="29" s="1"/>
  <c r="D241" i="29"/>
  <c r="D238" i="29"/>
  <c r="D236" i="29"/>
  <c r="D235" i="29"/>
  <c r="D233" i="29"/>
  <c r="D231" i="29"/>
  <c r="D230" i="29"/>
  <c r="D228" i="29"/>
  <c r="D224" i="29"/>
  <c r="D223" i="29"/>
  <c r="D222" i="29"/>
  <c r="D217" i="29"/>
  <c r="D216" i="29"/>
  <c r="D215" i="29"/>
  <c r="D214" i="29"/>
  <c r="D213" i="29"/>
  <c r="D212" i="29"/>
  <c r="D210" i="29"/>
  <c r="D207" i="29"/>
  <c r="D204" i="29"/>
  <c r="D198" i="29"/>
  <c r="D189" i="29"/>
  <c r="D184" i="29"/>
  <c r="D182" i="29"/>
  <c r="D175" i="29"/>
  <c r="D174" i="29"/>
  <c r="D167" i="29"/>
  <c r="D164" i="29"/>
  <c r="D162" i="29"/>
  <c r="D160" i="29"/>
  <c r="D157" i="29"/>
  <c r="D156" i="29"/>
  <c r="D153" i="29"/>
  <c r="D152" i="29"/>
  <c r="D151" i="29"/>
  <c r="D105" i="29"/>
  <c r="D97" i="29"/>
  <c r="D96" i="29"/>
  <c r="D95" i="29"/>
  <c r="D83" i="29"/>
  <c r="D25" i="29"/>
  <c r="D24" i="29"/>
  <c r="D23" i="29"/>
  <c r="D22" i="29"/>
  <c r="D21" i="29"/>
  <c r="D20" i="29"/>
  <c r="D19" i="29"/>
  <c r="D17" i="29"/>
  <c r="D16" i="29"/>
  <c r="D15" i="29"/>
  <c r="D14" i="29"/>
  <c r="D13" i="29"/>
  <c r="D12" i="29"/>
  <c r="D11" i="29"/>
  <c r="D143" i="11"/>
  <c r="D141" i="11"/>
  <c r="D140" i="11"/>
  <c r="D137" i="11"/>
  <c r="D135" i="11"/>
  <c r="D125" i="11"/>
  <c r="D124" i="11"/>
  <c r="D123" i="11"/>
  <c r="D122" i="11"/>
  <c r="D121" i="11"/>
  <c r="D82" i="11"/>
  <c r="D79" i="11"/>
  <c r="L79" i="11" s="1"/>
  <c r="D78" i="11"/>
  <c r="D77" i="11"/>
  <c r="D74" i="11"/>
  <c r="D69" i="11"/>
  <c r="D58" i="11"/>
  <c r="D56" i="11"/>
  <c r="D46" i="11"/>
  <c r="D45" i="11"/>
  <c r="D44" i="11"/>
  <c r="D42" i="11"/>
  <c r="D36" i="23"/>
  <c r="D9" i="10" s="1"/>
  <c r="D154" i="9"/>
  <c r="L154" i="9" s="1"/>
  <c r="D150" i="9"/>
  <c r="D147" i="9"/>
  <c r="L147" i="9" s="1"/>
  <c r="D145" i="9"/>
  <c r="D144" i="9"/>
  <c r="D143" i="9"/>
  <c r="D141" i="9"/>
  <c r="L141" i="9" s="1"/>
  <c r="D139" i="9"/>
  <c r="D138" i="9"/>
  <c r="D137" i="9"/>
  <c r="L137" i="9" s="1"/>
  <c r="D136" i="9"/>
  <c r="D133" i="9"/>
  <c r="D131" i="9"/>
  <c r="D130" i="9"/>
  <c r="D128" i="9"/>
  <c r="K128" i="9" s="1"/>
  <c r="D126" i="9"/>
  <c r="D125" i="9"/>
  <c r="D124" i="9"/>
  <c r="D123" i="9"/>
  <c r="K123" i="9" s="1"/>
  <c r="D122" i="9"/>
  <c r="D121" i="9"/>
  <c r="K121" i="9" s="1"/>
  <c r="D118" i="9"/>
  <c r="D115" i="9"/>
  <c r="D106" i="9"/>
  <c r="D105" i="9"/>
  <c r="K105" i="9" s="1"/>
  <c r="D103" i="9"/>
  <c r="D101" i="9"/>
  <c r="L101" i="9" s="1"/>
  <c r="D95" i="9"/>
  <c r="K95" i="9" s="1"/>
  <c r="D91" i="9"/>
  <c r="L91" i="9" s="1"/>
  <c r="D89" i="9"/>
  <c r="D85" i="9"/>
  <c r="D84" i="9"/>
  <c r="D80" i="9"/>
  <c r="L80" i="9" s="1"/>
  <c r="D78" i="9"/>
  <c r="D74" i="9"/>
  <c r="K74" i="9" s="1"/>
  <c r="D71" i="9"/>
  <c r="D65" i="9"/>
  <c r="D48" i="9"/>
  <c r="D47" i="9"/>
  <c r="D46" i="9"/>
  <c r="D45" i="9"/>
  <c r="D43" i="9"/>
  <c r="L43" i="9" s="1"/>
  <c r="D38" i="9"/>
  <c r="D29" i="9"/>
  <c r="L29" i="9" s="1"/>
  <c r="D28" i="9"/>
  <c r="D96" i="8"/>
  <c r="D91" i="8"/>
  <c r="D90" i="8"/>
  <c r="D87" i="8"/>
  <c r="D85" i="8"/>
  <c r="D84" i="8"/>
  <c r="D82" i="8"/>
  <c r="D80" i="8"/>
  <c r="D79" i="8"/>
  <c r="D77" i="8"/>
  <c r="D73" i="8"/>
  <c r="D72" i="8"/>
  <c r="D71" i="8"/>
  <c r="D68" i="8"/>
  <c r="D67" i="8"/>
  <c r="D65" i="8"/>
  <c r="D64" i="8"/>
  <c r="D61" i="8"/>
  <c r="D55" i="8"/>
  <c r="D52" i="8"/>
  <c r="D51" i="8"/>
  <c r="D50" i="8"/>
  <c r="D43" i="8"/>
  <c r="D41" i="8"/>
  <c r="D39" i="8"/>
  <c r="D36" i="8"/>
  <c r="D35" i="8"/>
  <c r="D31" i="8"/>
  <c r="D30" i="8"/>
  <c r="D25" i="12"/>
  <c r="L25" i="12" s="1"/>
  <c r="D17" i="12"/>
  <c r="D16" i="12"/>
  <c r="D14" i="12"/>
  <c r="D13" i="12"/>
  <c r="L13" i="12" s="1"/>
  <c r="D12" i="12"/>
  <c r="D11" i="12"/>
  <c r="D9" i="12"/>
  <c r="D8" i="12"/>
  <c r="D7" i="12"/>
  <c r="D95" i="7"/>
  <c r="L95" i="7" s="1"/>
  <c r="D92" i="7"/>
  <c r="D91" i="7"/>
  <c r="D90" i="7"/>
  <c r="D83" i="7"/>
  <c r="L83" i="7" s="1"/>
  <c r="D81" i="7"/>
  <c r="L81" i="7" s="1"/>
  <c r="D79" i="7"/>
  <c r="D76" i="7"/>
  <c r="K76" i="7" s="1"/>
  <c r="D75" i="7"/>
  <c r="D56" i="7"/>
  <c r="L56" i="7" s="1"/>
  <c r="D50" i="7"/>
  <c r="D47" i="7"/>
  <c r="D45" i="7"/>
  <c r="L45" i="7" s="1"/>
  <c r="D44" i="7"/>
  <c r="K44" i="7" s="1"/>
  <c r="D41" i="7"/>
  <c r="L41" i="7" s="1"/>
  <c r="D36" i="7"/>
  <c r="D33" i="7"/>
  <c r="L33" i="7" s="1"/>
  <c r="D31" i="7"/>
  <c r="D29" i="7"/>
  <c r="L29" i="7" s="1"/>
  <c r="D24" i="7"/>
  <c r="L24" i="7" s="1"/>
  <c r="D15" i="7"/>
  <c r="D13" i="7"/>
  <c r="L13" i="7" s="1"/>
  <c r="D10" i="7"/>
  <c r="D9" i="7"/>
  <c r="D8" i="7"/>
  <c r="D7" i="7"/>
  <c r="D307" i="30"/>
  <c r="D306" i="30"/>
  <c r="D305" i="30"/>
  <c r="D304" i="30"/>
  <c r="D303" i="30"/>
  <c r="D302" i="30"/>
  <c r="D301" i="30"/>
  <c r="D299" i="30"/>
  <c r="D298" i="30"/>
  <c r="D297" i="30"/>
  <c r="D296" i="30"/>
  <c r="D295" i="30"/>
  <c r="D294" i="30"/>
  <c r="D293" i="30"/>
  <c r="D291" i="30"/>
  <c r="D290" i="30"/>
  <c r="D289" i="30"/>
  <c r="D288" i="30"/>
  <c r="D287" i="30"/>
  <c r="D286" i="30"/>
  <c r="D285" i="30"/>
  <c r="D283" i="30"/>
  <c r="D282" i="30"/>
  <c r="D281" i="30"/>
  <c r="D280" i="30"/>
  <c r="D278" i="30"/>
  <c r="D277" i="30"/>
  <c r="D276" i="30"/>
  <c r="D275" i="30"/>
  <c r="D274" i="30"/>
  <c r="D273" i="30"/>
  <c r="D272" i="30"/>
  <c r="D270" i="30"/>
  <c r="D269" i="30"/>
  <c r="D268" i="30"/>
  <c r="D267" i="30"/>
  <c r="D266" i="30"/>
  <c r="D265" i="30"/>
  <c r="D264" i="30"/>
  <c r="D262" i="30"/>
  <c r="D261" i="30"/>
  <c r="D260" i="30"/>
  <c r="D259" i="30"/>
  <c r="D258" i="30"/>
  <c r="D257" i="30"/>
  <c r="D256" i="30"/>
  <c r="D254" i="30"/>
  <c r="D252" i="30"/>
  <c r="D251" i="30"/>
  <c r="D249" i="30"/>
  <c r="K249" i="30" s="1"/>
  <c r="D244" i="30"/>
  <c r="L244" i="30" s="1"/>
  <c r="D242" i="30"/>
  <c r="D235" i="30"/>
  <c r="D234" i="30"/>
  <c r="D227" i="30"/>
  <c r="D224" i="30"/>
  <c r="D222" i="30"/>
  <c r="D220" i="30"/>
  <c r="D217" i="30"/>
  <c r="D214" i="30"/>
  <c r="D213" i="30"/>
  <c r="D212" i="30"/>
  <c r="D205" i="30"/>
  <c r="K205" i="30" s="1"/>
  <c r="D203" i="30"/>
  <c r="D201" i="30"/>
  <c r="L201" i="30" s="1"/>
  <c r="D198" i="30"/>
  <c r="D197" i="30"/>
  <c r="D191" i="30"/>
  <c r="D189" i="30"/>
  <c r="D188" i="30"/>
  <c r="D187" i="30"/>
  <c r="D184" i="30"/>
  <c r="D183" i="30"/>
  <c r="D182" i="30"/>
  <c r="D179" i="30"/>
  <c r="D171" i="30"/>
  <c r="D168" i="30"/>
  <c r="L168" i="30" s="1"/>
  <c r="D157" i="30"/>
  <c r="L157" i="30" s="1"/>
  <c r="D152" i="30"/>
  <c r="D151" i="30"/>
  <c r="D148" i="30"/>
  <c r="D146" i="30"/>
  <c r="D145" i="30"/>
  <c r="D143" i="30"/>
  <c r="D141" i="30"/>
  <c r="D140" i="30"/>
  <c r="D138" i="30"/>
  <c r="K138" i="30" s="1"/>
  <c r="D134" i="30"/>
  <c r="D133" i="30"/>
  <c r="K133" i="30" s="1"/>
  <c r="D132" i="30"/>
  <c r="D127" i="30"/>
  <c r="D126" i="30"/>
  <c r="D124" i="30"/>
  <c r="D121" i="30"/>
  <c r="D118" i="30"/>
  <c r="D53" i="30"/>
  <c r="D44" i="30"/>
  <c r="D43" i="30"/>
  <c r="D42" i="30"/>
  <c r="D39" i="30"/>
  <c r="D38" i="30"/>
  <c r="L38" i="30" s="1"/>
  <c r="I38" i="30" s="1"/>
  <c r="D69" i="5"/>
  <c r="D67" i="5"/>
  <c r="K67" i="5" s="1"/>
  <c r="D66" i="5"/>
  <c r="K66" i="5" s="1"/>
  <c r="D65" i="5"/>
  <c r="D63" i="5"/>
  <c r="D62" i="5"/>
  <c r="D35" i="5"/>
  <c r="D34" i="5"/>
  <c r="D33" i="5"/>
  <c r="D32" i="5"/>
  <c r="D30" i="5"/>
  <c r="D29" i="5"/>
  <c r="D28" i="5"/>
  <c r="D27" i="5"/>
  <c r="D26" i="5"/>
  <c r="D25" i="5"/>
  <c r="D24" i="5"/>
  <c r="D22" i="5"/>
  <c r="D21" i="5"/>
  <c r="D20" i="5"/>
  <c r="D19" i="5"/>
  <c r="D18" i="5"/>
  <c r="D17" i="5"/>
  <c r="D16" i="5"/>
  <c r="D14" i="5"/>
  <c r="D13" i="5"/>
  <c r="D12" i="5"/>
  <c r="D11" i="5"/>
  <c r="D10" i="5"/>
  <c r="D9" i="5"/>
  <c r="D8" i="5"/>
  <c r="D234" i="4"/>
  <c r="D231" i="4"/>
  <c r="L231" i="4" s="1"/>
  <c r="D230" i="4"/>
  <c r="K230" i="4" s="1"/>
  <c r="D229" i="4"/>
  <c r="L229" i="4" s="1"/>
  <c r="D226" i="4"/>
  <c r="D225" i="4"/>
  <c r="D224" i="4"/>
  <c r="D221" i="4"/>
  <c r="D213" i="4"/>
  <c r="D210" i="4"/>
  <c r="D199" i="4"/>
  <c r="D194" i="4"/>
  <c r="D193" i="4"/>
  <c r="D190" i="4"/>
  <c r="D188" i="4"/>
  <c r="D187" i="4"/>
  <c r="D185" i="4"/>
  <c r="L185" i="4" s="1"/>
  <c r="D183" i="4"/>
  <c r="D182" i="4"/>
  <c r="D180" i="4"/>
  <c r="K180" i="4" s="1"/>
  <c r="D176" i="4"/>
  <c r="D175" i="4"/>
  <c r="D174" i="4"/>
  <c r="L174" i="4" s="1"/>
  <c r="D169" i="4"/>
  <c r="D168" i="4"/>
  <c r="L168" i="4" s="1"/>
  <c r="D167" i="4"/>
  <c r="K167" i="4" s="1"/>
  <c r="D166" i="4"/>
  <c r="K166" i="4" s="1"/>
  <c r="D165" i="4"/>
  <c r="D164" i="4"/>
  <c r="L164" i="4" s="1"/>
  <c r="D162" i="4"/>
  <c r="D159" i="4"/>
  <c r="D156" i="4"/>
  <c r="D108" i="4"/>
  <c r="D107" i="4"/>
  <c r="D105" i="4"/>
  <c r="L105" i="4" s="1"/>
  <c r="D100" i="4"/>
  <c r="D98" i="4"/>
  <c r="D91" i="4"/>
  <c r="D90" i="4"/>
  <c r="L90" i="4" s="1"/>
  <c r="D83" i="4"/>
  <c r="L83" i="4" s="1"/>
  <c r="D80" i="4"/>
  <c r="L80" i="4" s="1"/>
  <c r="D78" i="4"/>
  <c r="D76" i="4"/>
  <c r="K76" i="4" s="1"/>
  <c r="D56" i="4"/>
  <c r="D47" i="4"/>
  <c r="D46" i="4"/>
  <c r="D42" i="4"/>
  <c r="D41" i="4"/>
  <c r="D39" i="4"/>
  <c r="D38" i="4"/>
  <c r="D37" i="4"/>
  <c r="D25" i="6"/>
  <c r="D17" i="6"/>
  <c r="D16" i="6"/>
  <c r="D15" i="6"/>
  <c r="D272" i="3"/>
  <c r="D263" i="3"/>
  <c r="D262" i="3"/>
  <c r="D255" i="3"/>
  <c r="L255" i="3" s="1"/>
  <c r="D253" i="3"/>
  <c r="D251" i="3"/>
  <c r="D248" i="3"/>
  <c r="D247" i="3"/>
  <c r="D219" i="3"/>
  <c r="L219" i="3" s="1"/>
  <c r="D214" i="3"/>
  <c r="L214" i="3" s="1"/>
  <c r="D213" i="3"/>
  <c r="L213" i="3" s="1"/>
  <c r="D210" i="3"/>
  <c r="K210" i="3" s="1"/>
  <c r="D209" i="3"/>
  <c r="D208" i="3"/>
  <c r="D200" i="3"/>
  <c r="D198" i="3"/>
  <c r="D197" i="3"/>
  <c r="D196" i="3"/>
  <c r="K196" i="3" s="1"/>
  <c r="D195" i="3"/>
  <c r="D194" i="3"/>
  <c r="D193" i="3"/>
  <c r="D190" i="3"/>
  <c r="D189" i="3"/>
  <c r="D188" i="3"/>
  <c r="D185" i="3"/>
  <c r="L185" i="3" s="1"/>
  <c r="D180" i="3"/>
  <c r="D179" i="3"/>
  <c r="D176" i="3"/>
  <c r="D147" i="3"/>
  <c r="D120" i="3"/>
  <c r="D119" i="3"/>
  <c r="D118" i="3"/>
  <c r="D117" i="3"/>
  <c r="D91" i="3"/>
  <c r="D87" i="3"/>
  <c r="D86" i="3"/>
  <c r="D82" i="3"/>
  <c r="L82" i="3" s="1"/>
  <c r="D81" i="3"/>
  <c r="D78" i="3"/>
  <c r="D68" i="3"/>
  <c r="K68" i="3" s="1"/>
  <c r="D67" i="3"/>
  <c r="D66" i="3"/>
  <c r="D58" i="3"/>
  <c r="D47" i="3"/>
  <c r="D45" i="3"/>
  <c r="D142" i="2"/>
  <c r="L142" i="2" s="1"/>
  <c r="D140" i="2"/>
  <c r="D134" i="2"/>
  <c r="D129" i="2"/>
  <c r="D127" i="2"/>
  <c r="D123" i="2"/>
  <c r="D122" i="2"/>
  <c r="L122" i="2" s="1"/>
  <c r="D120" i="2"/>
  <c r="D118" i="2"/>
  <c r="L118" i="2" s="1"/>
  <c r="D116" i="2"/>
  <c r="K116" i="2" s="1"/>
  <c r="D104" i="2"/>
  <c r="K104" i="2" s="1"/>
  <c r="D90" i="2"/>
  <c r="D89" i="2"/>
  <c r="K89" i="2" s="1"/>
  <c r="D88" i="2"/>
  <c r="D85" i="2"/>
  <c r="L85" i="2" s="1"/>
  <c r="D74" i="2"/>
  <c r="L74" i="2" s="1"/>
  <c r="D71" i="2"/>
  <c r="D70" i="2"/>
  <c r="D69" i="2"/>
  <c r="D68" i="2"/>
  <c r="D67" i="2"/>
  <c r="D66" i="2"/>
  <c r="D65" i="2"/>
  <c r="D63" i="2"/>
  <c r="D62" i="2"/>
  <c r="D61" i="2"/>
  <c r="D60" i="2"/>
  <c r="D59" i="2"/>
  <c r="D58" i="2"/>
  <c r="D57" i="2"/>
  <c r="D55" i="2"/>
  <c r="D54" i="2"/>
  <c r="D53" i="2"/>
  <c r="D52" i="2"/>
  <c r="D51" i="2"/>
  <c r="D50" i="2"/>
  <c r="D49" i="2"/>
  <c r="D28" i="23"/>
  <c r="D22" i="2" s="1"/>
  <c r="D7" i="2"/>
  <c r="J40" i="58"/>
  <c r="J39" i="58"/>
  <c r="J38" i="58"/>
  <c r="J37" i="58"/>
  <c r="J36" i="58"/>
  <c r="J35" i="58"/>
  <c r="J34" i="58"/>
  <c r="J33" i="58"/>
  <c r="J32" i="58"/>
  <c r="J31" i="58"/>
  <c r="J30" i="58"/>
  <c r="J29" i="58"/>
  <c r="J28" i="58"/>
  <c r="J27" i="58"/>
  <c r="J24" i="58"/>
  <c r="J23" i="58"/>
  <c r="J22" i="58"/>
  <c r="J21" i="58"/>
  <c r="J8" i="58"/>
  <c r="I40" i="58"/>
  <c r="I39" i="58"/>
  <c r="I38" i="58"/>
  <c r="I37" i="58"/>
  <c r="I36" i="58"/>
  <c r="I35" i="58"/>
  <c r="I34" i="58"/>
  <c r="I33" i="58"/>
  <c r="I32" i="58"/>
  <c r="I31" i="58"/>
  <c r="I30" i="58"/>
  <c r="I29" i="58"/>
  <c r="I28" i="58"/>
  <c r="I27" i="58"/>
  <c r="I24" i="58"/>
  <c r="I23" i="58"/>
  <c r="I22" i="58"/>
  <c r="I21" i="58"/>
  <c r="I8" i="58"/>
  <c r="N2" i="61"/>
  <c r="M2" i="61"/>
  <c r="L2" i="61"/>
  <c r="K2" i="61"/>
  <c r="J2" i="61"/>
  <c r="I2" i="61"/>
  <c r="H2" i="61"/>
  <c r="G2" i="61"/>
  <c r="F2" i="61"/>
  <c r="E2" i="61"/>
  <c r="D2" i="61"/>
  <c r="C2" i="61"/>
  <c r="B2" i="61"/>
  <c r="E1143" i="60"/>
  <c r="E1015" i="60"/>
  <c r="E642" i="60"/>
  <c r="E489" i="60"/>
  <c r="E294" i="60"/>
  <c r="E1143" i="59"/>
  <c r="E1015" i="59"/>
  <c r="E642" i="59"/>
  <c r="E489" i="59"/>
  <c r="E294" i="59"/>
  <c r="E1183" i="60"/>
  <c r="E1182" i="60"/>
  <c r="E1183" i="59"/>
  <c r="E1182" i="59"/>
  <c r="E965" i="59"/>
  <c r="E965" i="60"/>
  <c r="E674" i="60"/>
  <c r="E674" i="59"/>
  <c r="E672" i="60"/>
  <c r="E671" i="60"/>
  <c r="E670" i="60"/>
  <c r="E669" i="60"/>
  <c r="E672" i="59"/>
  <c r="E671" i="59"/>
  <c r="E670" i="59"/>
  <c r="E669" i="59"/>
  <c r="E667" i="59"/>
  <c r="E667" i="60"/>
  <c r="E685" i="59"/>
  <c r="E684" i="59"/>
  <c r="E683" i="59"/>
  <c r="E682" i="59"/>
  <c r="E685" i="60"/>
  <c r="E684" i="60"/>
  <c r="E683" i="60"/>
  <c r="E682" i="60"/>
  <c r="E530" i="59"/>
  <c r="E675" i="59"/>
  <c r="E541" i="59"/>
  <c r="E540" i="59"/>
  <c r="E539" i="59"/>
  <c r="E538" i="59"/>
  <c r="E541" i="60"/>
  <c r="E540" i="60"/>
  <c r="E539" i="60"/>
  <c r="E538" i="60"/>
  <c r="E530" i="60"/>
  <c r="E675" i="60"/>
  <c r="E527" i="60"/>
  <c r="E526" i="60"/>
  <c r="E525" i="60"/>
  <c r="E524" i="60"/>
  <c r="E522" i="60"/>
  <c r="E527" i="59"/>
  <c r="E526" i="59"/>
  <c r="E525" i="59"/>
  <c r="E524" i="59"/>
  <c r="E522" i="59"/>
  <c r="E323" i="60"/>
  <c r="E321" i="60"/>
  <c r="E309" i="60"/>
  <c r="E308" i="60"/>
  <c r="E307" i="60"/>
  <c r="E306" i="60"/>
  <c r="E304" i="60"/>
  <c r="E309" i="59"/>
  <c r="E308" i="59"/>
  <c r="E307" i="59"/>
  <c r="E306" i="59"/>
  <c r="E323" i="59"/>
  <c r="E321" i="59"/>
  <c r="E304" i="59"/>
  <c r="E322" i="60"/>
  <c r="E322" i="59"/>
  <c r="E320" i="59"/>
  <c r="E320" i="60"/>
  <c r="E312" i="60"/>
  <c r="E312" i="59"/>
  <c r="A3" i="60"/>
  <c r="D3" i="60"/>
  <c r="B3" i="60"/>
  <c r="E1551" i="60"/>
  <c r="E1548" i="60"/>
  <c r="E1544" i="60"/>
  <c r="E1541" i="60"/>
  <c r="E1528" i="60"/>
  <c r="E1522" i="60"/>
  <c r="E1504" i="60"/>
  <c r="E1501" i="60"/>
  <c r="E1497" i="60"/>
  <c r="E1493" i="60"/>
  <c r="E1489" i="60"/>
  <c r="E1478" i="60"/>
  <c r="E1472" i="60"/>
  <c r="E1471" i="60"/>
  <c r="E1463" i="60"/>
  <c r="E1445" i="60"/>
  <c r="E1444" i="60"/>
  <c r="E1438" i="60"/>
  <c r="E1436" i="60"/>
  <c r="E1434" i="60"/>
  <c r="E1432" i="60"/>
  <c r="E1305" i="60"/>
  <c r="E1304" i="60"/>
  <c r="E1288" i="60"/>
  <c r="E1287" i="60"/>
  <c r="E1282" i="60"/>
  <c r="E1281" i="60"/>
  <c r="E1280" i="60"/>
  <c r="E1275" i="60"/>
  <c r="E1274" i="60"/>
  <c r="E1271" i="60"/>
  <c r="E1270" i="60"/>
  <c r="E1267" i="60"/>
  <c r="E1266" i="60"/>
  <c r="E1255" i="60"/>
  <c r="E1253" i="60"/>
  <c r="E1251" i="60"/>
  <c r="E1249" i="60"/>
  <c r="E1248" i="60"/>
  <c r="E1247" i="60"/>
  <c r="E1246" i="60"/>
  <c r="E1245" i="60"/>
  <c r="E1244" i="60"/>
  <c r="E1238" i="60"/>
  <c r="E1237" i="60"/>
  <c r="E1236" i="60"/>
  <c r="E1235" i="60"/>
  <c r="E1234" i="60"/>
  <c r="E1233" i="60"/>
  <c r="E1232" i="60"/>
  <c r="E1231" i="60"/>
  <c r="E1230" i="60"/>
  <c r="E1229" i="60"/>
  <c r="E1228" i="60"/>
  <c r="E1224" i="60"/>
  <c r="E1223" i="60"/>
  <c r="E1218" i="60"/>
  <c r="E1217" i="60"/>
  <c r="E1216" i="60"/>
  <c r="E1215" i="60"/>
  <c r="E1214" i="60"/>
  <c r="E1213" i="60"/>
  <c r="E1212" i="60"/>
  <c r="E1211" i="60"/>
  <c r="E1205" i="60"/>
  <c r="E1204" i="60"/>
  <c r="E1202" i="60"/>
  <c r="E1201" i="60"/>
  <c r="E1200" i="60"/>
  <c r="E1199" i="60"/>
  <c r="E1198" i="60"/>
  <c r="E1195" i="60"/>
  <c r="E1194" i="60"/>
  <c r="E1192" i="60"/>
  <c r="E1190" i="60"/>
  <c r="E1189" i="60"/>
  <c r="E1188" i="60"/>
  <c r="E1184" i="60"/>
  <c r="E1181" i="60"/>
  <c r="E1180" i="60"/>
  <c r="E1179" i="60"/>
  <c r="E1178" i="60"/>
  <c r="E1177" i="60"/>
  <c r="E1176" i="60"/>
  <c r="E1175" i="60"/>
  <c r="E1174" i="60"/>
  <c r="E1173" i="60"/>
  <c r="E1172" i="60"/>
  <c r="E1171" i="60"/>
  <c r="E1170" i="60"/>
  <c r="E1169" i="60"/>
  <c r="E1167" i="60"/>
  <c r="E1166" i="60"/>
  <c r="E1165" i="60"/>
  <c r="E1164" i="60"/>
  <c r="E1163" i="60"/>
  <c r="E1162" i="60"/>
  <c r="E1161" i="60"/>
  <c r="E1160" i="60"/>
  <c r="E1159" i="60"/>
  <c r="E1158" i="60"/>
  <c r="E1155" i="60"/>
  <c r="E1154" i="60"/>
  <c r="E1146" i="60"/>
  <c r="E1142" i="60"/>
  <c r="E1141" i="60"/>
  <c r="E1140" i="60"/>
  <c r="E1139" i="60"/>
  <c r="E1138" i="60"/>
  <c r="E1135" i="60"/>
  <c r="E1134" i="60"/>
  <c r="E1133" i="60"/>
  <c r="E1132" i="60"/>
  <c r="E1131" i="60"/>
  <c r="E1130" i="60"/>
  <c r="E1129" i="60"/>
  <c r="E1128" i="60"/>
  <c r="E1127" i="60"/>
  <c r="E1125" i="60"/>
  <c r="E1122" i="60"/>
  <c r="E1121" i="60"/>
  <c r="E1118" i="60"/>
  <c r="E1114" i="60"/>
  <c r="E1113" i="60"/>
  <c r="E1111" i="60"/>
  <c r="E1110" i="60"/>
  <c r="E1109" i="60"/>
  <c r="E1108" i="60"/>
  <c r="E1107" i="60"/>
  <c r="E1106" i="60"/>
  <c r="E1105" i="60"/>
  <c r="E1104" i="60"/>
  <c r="E1103" i="60"/>
  <c r="E1102" i="60"/>
  <c r="E1097" i="60"/>
  <c r="E1096" i="60"/>
  <c r="E1095" i="60"/>
  <c r="E1094" i="60"/>
  <c r="E1092" i="60"/>
  <c r="E1090" i="60"/>
  <c r="E1089" i="60"/>
  <c r="E1088" i="60"/>
  <c r="E1087" i="60"/>
  <c r="E1086" i="60"/>
  <c r="E1081" i="60"/>
  <c r="E1079" i="60"/>
  <c r="E1078" i="60"/>
  <c r="E1077" i="60"/>
  <c r="E1076" i="60"/>
  <c r="E1075" i="60"/>
  <c r="E1072" i="60"/>
  <c r="E1071" i="60"/>
  <c r="E1070" i="60"/>
  <c r="E1069" i="60"/>
  <c r="E1068" i="60"/>
  <c r="E1067" i="60"/>
  <c r="E1065" i="60"/>
  <c r="E1064" i="60"/>
  <c r="E1063" i="60"/>
  <c r="E1062" i="60"/>
  <c r="E1061" i="60"/>
  <c r="E1060" i="60"/>
  <c r="E1058" i="60"/>
  <c r="E1056" i="60"/>
  <c r="E1055" i="60"/>
  <c r="E1054" i="60"/>
  <c r="E1053" i="60"/>
  <c r="E1052" i="60"/>
  <c r="E1050" i="60"/>
  <c r="E1049" i="60"/>
  <c r="E1048" i="60"/>
  <c r="E1047" i="60"/>
  <c r="E1038" i="60"/>
  <c r="E1036" i="60"/>
  <c r="E1034" i="60"/>
  <c r="E1032" i="60"/>
  <c r="E1031" i="60"/>
  <c r="E1030" i="60"/>
  <c r="E1029" i="60"/>
  <c r="E1028" i="60"/>
  <c r="E1027" i="60"/>
  <c r="E1026" i="60"/>
  <c r="E1018" i="60"/>
  <c r="E1014" i="60"/>
  <c r="E1013" i="60"/>
  <c r="E1012" i="60"/>
  <c r="E1011" i="60"/>
  <c r="E1010" i="60"/>
  <c r="E1008" i="60"/>
  <c r="E1005" i="60"/>
  <c r="E1003" i="60"/>
  <c r="E1002" i="60"/>
  <c r="E1000" i="60"/>
  <c r="E998" i="60"/>
  <c r="E997" i="60"/>
  <c r="E996" i="60"/>
  <c r="E993" i="60"/>
  <c r="E991" i="60"/>
  <c r="E989" i="60"/>
  <c r="E971" i="60"/>
  <c r="E958" i="60"/>
  <c r="E956" i="60"/>
  <c r="E949" i="60"/>
  <c r="E940" i="60"/>
  <c r="E938" i="60"/>
  <c r="E936" i="60"/>
  <c r="E934" i="60"/>
  <c r="E933" i="60"/>
  <c r="E932" i="60"/>
  <c r="E931" i="60"/>
  <c r="E930" i="60"/>
  <c r="E929" i="60"/>
  <c r="E921" i="60"/>
  <c r="E919" i="60"/>
  <c r="E910" i="60"/>
  <c r="E908" i="60"/>
  <c r="E906" i="60"/>
  <c r="E904" i="60"/>
  <c r="E903" i="60"/>
  <c r="E902" i="60"/>
  <c r="E901" i="60"/>
  <c r="E900" i="60"/>
  <c r="E899" i="60"/>
  <c r="E892" i="60"/>
  <c r="E889" i="60"/>
  <c r="E886" i="60"/>
  <c r="E884" i="60"/>
  <c r="E882" i="60"/>
  <c r="E877" i="60"/>
  <c r="E871" i="60"/>
  <c r="E868" i="60"/>
  <c r="E867" i="60"/>
  <c r="E866" i="60"/>
  <c r="E865" i="60"/>
  <c r="E864" i="60"/>
  <c r="E862" i="60"/>
  <c r="E859" i="60"/>
  <c r="E858" i="60"/>
  <c r="E855" i="60"/>
  <c r="E848" i="60"/>
  <c r="E839" i="60"/>
  <c r="E830" i="60"/>
  <c r="E828" i="60"/>
  <c r="E826" i="60"/>
  <c r="E824" i="60"/>
  <c r="E823" i="60"/>
  <c r="E822" i="60"/>
  <c r="E821" i="60"/>
  <c r="E820" i="60"/>
  <c r="E819" i="60"/>
  <c r="E816" i="60"/>
  <c r="E814" i="60"/>
  <c r="E812" i="60"/>
  <c r="E810" i="60"/>
  <c r="E808" i="60"/>
  <c r="E807" i="60"/>
  <c r="E805" i="60"/>
  <c r="E804" i="60"/>
  <c r="E802" i="60"/>
  <c r="E800" i="60"/>
  <c r="E796" i="60"/>
  <c r="E794" i="60"/>
  <c r="E793" i="60"/>
  <c r="E792" i="60"/>
  <c r="E790" i="60"/>
  <c r="E788" i="60"/>
  <c r="E787" i="60"/>
  <c r="E786" i="60"/>
  <c r="E785" i="60"/>
  <c r="E784" i="60"/>
  <c r="E783" i="60"/>
  <c r="E778" i="60"/>
  <c r="E777" i="60"/>
  <c r="E776" i="60"/>
  <c r="E768" i="60"/>
  <c r="E766" i="60"/>
  <c r="E764" i="60"/>
  <c r="E762" i="60"/>
  <c r="E761" i="60"/>
  <c r="E760" i="60"/>
  <c r="E759" i="60"/>
  <c r="E758" i="60"/>
  <c r="E757" i="60"/>
  <c r="E744" i="60"/>
  <c r="E742" i="60"/>
  <c r="E740" i="60"/>
  <c r="E738" i="60"/>
  <c r="E737" i="60"/>
  <c r="E736" i="60"/>
  <c r="E735" i="60"/>
  <c r="E734" i="60"/>
  <c r="E733" i="60"/>
  <c r="E730" i="60"/>
  <c r="E728" i="60"/>
  <c r="E727" i="60"/>
  <c r="E726" i="60"/>
  <c r="E699" i="60"/>
  <c r="E697" i="60"/>
  <c r="E695" i="60"/>
  <c r="E693" i="60"/>
  <c r="E692" i="60"/>
  <c r="E691" i="60"/>
  <c r="E690" i="60"/>
  <c r="E689" i="60"/>
  <c r="E688" i="60"/>
  <c r="E676" i="60"/>
  <c r="E673" i="60"/>
  <c r="E668" i="60"/>
  <c r="E666" i="60"/>
  <c r="E665" i="60"/>
  <c r="E663" i="60"/>
  <c r="E662" i="60"/>
  <c r="E661" i="60"/>
  <c r="E659" i="60"/>
  <c r="E658" i="60"/>
  <c r="E657" i="60"/>
  <c r="E655" i="60"/>
  <c r="E653" i="60"/>
  <c r="E646" i="60"/>
  <c r="E640" i="60"/>
  <c r="E639" i="60"/>
  <c r="E637" i="60"/>
  <c r="E636" i="60"/>
  <c r="E634" i="60"/>
  <c r="E631" i="60"/>
  <c r="E629" i="60"/>
  <c r="E627" i="60"/>
  <c r="E625" i="60"/>
  <c r="E623" i="60"/>
  <c r="E622" i="60"/>
  <c r="E620" i="60"/>
  <c r="E619" i="60"/>
  <c r="E617" i="60"/>
  <c r="E614" i="60"/>
  <c r="E610" i="60"/>
  <c r="E609" i="60"/>
  <c r="E608" i="60"/>
  <c r="E594" i="60"/>
  <c r="E593" i="60"/>
  <c r="E592" i="60"/>
  <c r="E591" i="60"/>
  <c r="E583" i="60"/>
  <c r="E581" i="60"/>
  <c r="E578" i="60"/>
  <c r="E577" i="60"/>
  <c r="E576" i="60"/>
  <c r="E575" i="60"/>
  <c r="E574" i="60"/>
  <c r="E573" i="60"/>
  <c r="E568" i="60"/>
  <c r="E558" i="60"/>
  <c r="E556" i="60"/>
  <c r="E554" i="60"/>
  <c r="E552" i="60"/>
  <c r="E551" i="60"/>
  <c r="E550" i="60"/>
  <c r="E549" i="60"/>
  <c r="E548" i="60"/>
  <c r="E547" i="60"/>
  <c r="E528" i="60"/>
  <c r="E523" i="60"/>
  <c r="E521" i="60"/>
  <c r="E520" i="60"/>
  <c r="E512" i="60"/>
  <c r="E510" i="60"/>
  <c r="E508" i="60"/>
  <c r="E506" i="60"/>
  <c r="E505" i="60"/>
  <c r="E504" i="60"/>
  <c r="E503" i="60"/>
  <c r="E502" i="60"/>
  <c r="E501" i="60"/>
  <c r="E492" i="60"/>
  <c r="E488" i="60"/>
  <c r="E487" i="60"/>
  <c r="E486" i="60"/>
  <c r="E485" i="60"/>
  <c r="E484" i="60"/>
  <c r="E476" i="60"/>
  <c r="E474" i="60"/>
  <c r="E472" i="60"/>
  <c r="E468" i="60"/>
  <c r="E467" i="60"/>
  <c r="E449" i="60"/>
  <c r="E448" i="60"/>
  <c r="E446" i="60"/>
  <c r="E434" i="60"/>
  <c r="E433" i="60"/>
  <c r="E428" i="60"/>
  <c r="E427" i="60"/>
  <c r="E421" i="60"/>
  <c r="E420" i="60"/>
  <c r="E418" i="60"/>
  <c r="E409" i="60"/>
  <c r="E407" i="60"/>
  <c r="E405" i="60"/>
  <c r="E403" i="60"/>
  <c r="E402" i="60"/>
  <c r="E401" i="60"/>
  <c r="E400" i="60"/>
  <c r="E399" i="60"/>
  <c r="E398" i="60"/>
  <c r="E379" i="60"/>
  <c r="E377" i="60"/>
  <c r="E375" i="60"/>
  <c r="E373" i="60"/>
  <c r="E372" i="60"/>
  <c r="E371" i="60"/>
  <c r="E370" i="60"/>
  <c r="E369" i="60"/>
  <c r="E368" i="60"/>
  <c r="E338" i="60"/>
  <c r="E333" i="60"/>
  <c r="E311" i="60"/>
  <c r="E299" i="60"/>
  <c r="E295" i="60"/>
  <c r="E290" i="60"/>
  <c r="E278" i="60"/>
  <c r="E277" i="60"/>
  <c r="E276" i="60"/>
  <c r="E275" i="60"/>
  <c r="E274" i="60"/>
  <c r="E273" i="60"/>
  <c r="E272" i="60"/>
  <c r="E263" i="60"/>
  <c r="E261" i="60"/>
  <c r="E259" i="60"/>
  <c r="E257" i="60"/>
  <c r="E256" i="60"/>
  <c r="E255" i="60"/>
  <c r="E254" i="60"/>
  <c r="E253" i="60"/>
  <c r="E252" i="60"/>
  <c r="E217" i="60"/>
  <c r="E216" i="60"/>
  <c r="E215" i="60"/>
  <c r="E214" i="60"/>
  <c r="E213" i="60"/>
  <c r="E212" i="60"/>
  <c r="E211" i="60"/>
  <c r="E208" i="60"/>
  <c r="E198" i="60"/>
  <c r="E196" i="60"/>
  <c r="E172" i="60"/>
  <c r="E164" i="60"/>
  <c r="E162" i="60"/>
  <c r="E160" i="60"/>
  <c r="E159" i="60"/>
  <c r="E154" i="60"/>
  <c r="E150" i="60"/>
  <c r="E148" i="60"/>
  <c r="E147" i="60"/>
  <c r="E143" i="60"/>
  <c r="E142" i="60"/>
  <c r="E141" i="60"/>
  <c r="E130" i="60"/>
  <c r="E129" i="60"/>
  <c r="E128" i="60"/>
  <c r="E126" i="60"/>
  <c r="E70" i="60"/>
  <c r="E40" i="60"/>
  <c r="E1551" i="59"/>
  <c r="E1548" i="59"/>
  <c r="E1544" i="59"/>
  <c r="E1541" i="59"/>
  <c r="E1528" i="59"/>
  <c r="E1522" i="59"/>
  <c r="E1504" i="59"/>
  <c r="E1501" i="59"/>
  <c r="E1497" i="59"/>
  <c r="E1493" i="59"/>
  <c r="E1489" i="59"/>
  <c r="E1478" i="59"/>
  <c r="E1472" i="59"/>
  <c r="E1471" i="59"/>
  <c r="E1463" i="59"/>
  <c r="E1445" i="59"/>
  <c r="E1444" i="59"/>
  <c r="E1438" i="59"/>
  <c r="E1436" i="59"/>
  <c r="E1434" i="59"/>
  <c r="E1432" i="59"/>
  <c r="E1305" i="59"/>
  <c r="E1304" i="59"/>
  <c r="E1288" i="59"/>
  <c r="E1287" i="59"/>
  <c r="E1282" i="59"/>
  <c r="E1281" i="59"/>
  <c r="E1280" i="59"/>
  <c r="E1275" i="59"/>
  <c r="E1274" i="59"/>
  <c r="E1271" i="59"/>
  <c r="E1270" i="59"/>
  <c r="E1267" i="59"/>
  <c r="E1266" i="59"/>
  <c r="E1255" i="59"/>
  <c r="E1253" i="59"/>
  <c r="E1251" i="59"/>
  <c r="E1249" i="59"/>
  <c r="E1248" i="59"/>
  <c r="E1247" i="59"/>
  <c r="E1246" i="59"/>
  <c r="E1245" i="59"/>
  <c r="E1244" i="59"/>
  <c r="E1238" i="59"/>
  <c r="E1237" i="59"/>
  <c r="E1236" i="59"/>
  <c r="E1235" i="59"/>
  <c r="E1234" i="59"/>
  <c r="E1233" i="59"/>
  <c r="E1232" i="59"/>
  <c r="E1231" i="59"/>
  <c r="E1230" i="59"/>
  <c r="E1229" i="59"/>
  <c r="E1228" i="59"/>
  <c r="E1224" i="59"/>
  <c r="E1223" i="59"/>
  <c r="E1218" i="59"/>
  <c r="E1217" i="59"/>
  <c r="E1216" i="59"/>
  <c r="E1215" i="59"/>
  <c r="E1214" i="59"/>
  <c r="E1213" i="59"/>
  <c r="E1212" i="59"/>
  <c r="E1211" i="59"/>
  <c r="E1205" i="59"/>
  <c r="E1204" i="59"/>
  <c r="E1202" i="59"/>
  <c r="E1201" i="59"/>
  <c r="E1200" i="59"/>
  <c r="E1199" i="59"/>
  <c r="E1198" i="59"/>
  <c r="E1195" i="59"/>
  <c r="E1194" i="59"/>
  <c r="E1192" i="59"/>
  <c r="E1190" i="59"/>
  <c r="E1189" i="59"/>
  <c r="E1188" i="59"/>
  <c r="E1184" i="59"/>
  <c r="E1181" i="59"/>
  <c r="E1180" i="59"/>
  <c r="E1179" i="59"/>
  <c r="E1178" i="59"/>
  <c r="E1177" i="59"/>
  <c r="E1176" i="59"/>
  <c r="E1175" i="59"/>
  <c r="E1174" i="59"/>
  <c r="E1173" i="59"/>
  <c r="E1172" i="59"/>
  <c r="E1171" i="59"/>
  <c r="E1170" i="59"/>
  <c r="E1169" i="59"/>
  <c r="E1167" i="59"/>
  <c r="E1166" i="59"/>
  <c r="E1165" i="59"/>
  <c r="E1164" i="59"/>
  <c r="E1163" i="59"/>
  <c r="E1162" i="59"/>
  <c r="E1161" i="59"/>
  <c r="E1160" i="59"/>
  <c r="E1159" i="59"/>
  <c r="E1158" i="59"/>
  <c r="E1157" i="59"/>
  <c r="E1156" i="59"/>
  <c r="E1155" i="59"/>
  <c r="E1154" i="59"/>
  <c r="E1147" i="59"/>
  <c r="E1146" i="59"/>
  <c r="E1145" i="59"/>
  <c r="E1144" i="59"/>
  <c r="E1142" i="59"/>
  <c r="E1141" i="59"/>
  <c r="E1140" i="59"/>
  <c r="E1139" i="59"/>
  <c r="E1138" i="59"/>
  <c r="E1135" i="59"/>
  <c r="E1134" i="59"/>
  <c r="E1133" i="59"/>
  <c r="E1132" i="59"/>
  <c r="E1131" i="59"/>
  <c r="E1130" i="59"/>
  <c r="E1129" i="59"/>
  <c r="E1128" i="59"/>
  <c r="E1127" i="59"/>
  <c r="E1125" i="59"/>
  <c r="E1124" i="59"/>
  <c r="E1123" i="59"/>
  <c r="E1122" i="59"/>
  <c r="E1121" i="59"/>
  <c r="E1118" i="59"/>
  <c r="E1114" i="59"/>
  <c r="E1113" i="59"/>
  <c r="E1111" i="59"/>
  <c r="E1110" i="59"/>
  <c r="E1109" i="59"/>
  <c r="E1108" i="59"/>
  <c r="E1107" i="59"/>
  <c r="E1106" i="59"/>
  <c r="E1105" i="59"/>
  <c r="E1104" i="59"/>
  <c r="E1103" i="59"/>
  <c r="E1102" i="59"/>
  <c r="E1097" i="59"/>
  <c r="E1096" i="59"/>
  <c r="E1095" i="59"/>
  <c r="E1094" i="59"/>
  <c r="E1092" i="59"/>
  <c r="E1090" i="59"/>
  <c r="E1089" i="59"/>
  <c r="E1088" i="59"/>
  <c r="E1087" i="59"/>
  <c r="E1086" i="59"/>
  <c r="E1081" i="59"/>
  <c r="E1079" i="59"/>
  <c r="E1078" i="59"/>
  <c r="E1077" i="59"/>
  <c r="E1076" i="59"/>
  <c r="E1075" i="59"/>
  <c r="E1072" i="59"/>
  <c r="E1071" i="59"/>
  <c r="E1070" i="59"/>
  <c r="E1069" i="59"/>
  <c r="E1068" i="59"/>
  <c r="E1067" i="59"/>
  <c r="E1065" i="59"/>
  <c r="E1064" i="59"/>
  <c r="E1063" i="59"/>
  <c r="E1062" i="59"/>
  <c r="E1061" i="59"/>
  <c r="E1060" i="59"/>
  <c r="E1058" i="59"/>
  <c r="E1056" i="59"/>
  <c r="E1055" i="59"/>
  <c r="E1054" i="59"/>
  <c r="E1053" i="59"/>
  <c r="E1052" i="59"/>
  <c r="E1050" i="59"/>
  <c r="E1049" i="59"/>
  <c r="E1048" i="59"/>
  <c r="E1047" i="59"/>
  <c r="E1038" i="59"/>
  <c r="E1036" i="59"/>
  <c r="E1034" i="59"/>
  <c r="E1032" i="59"/>
  <c r="E1031" i="59"/>
  <c r="E1030" i="59"/>
  <c r="E1029" i="59"/>
  <c r="E1028" i="59"/>
  <c r="E1027" i="59"/>
  <c r="E1026" i="59"/>
  <c r="E1019" i="59"/>
  <c r="E1018" i="59"/>
  <c r="E1017" i="59"/>
  <c r="E1016" i="59"/>
  <c r="E1014" i="59"/>
  <c r="E1013" i="59"/>
  <c r="E1012" i="59"/>
  <c r="E1011" i="59"/>
  <c r="E1010" i="59"/>
  <c r="E1008" i="59"/>
  <c r="E1005" i="59"/>
  <c r="E1003" i="59"/>
  <c r="E1002" i="59"/>
  <c r="E1000" i="59"/>
  <c r="E998" i="59"/>
  <c r="E997" i="59"/>
  <c r="E996" i="59"/>
  <c r="E995" i="59"/>
  <c r="E993" i="59"/>
  <c r="E991" i="59"/>
  <c r="E989" i="59"/>
  <c r="E971" i="59"/>
  <c r="E958" i="59"/>
  <c r="E956" i="59"/>
  <c r="E949" i="59"/>
  <c r="E940" i="59"/>
  <c r="E938" i="59"/>
  <c r="E936" i="59"/>
  <c r="E934" i="59"/>
  <c r="E933" i="59"/>
  <c r="E932" i="59"/>
  <c r="E931" i="59"/>
  <c r="E930" i="59"/>
  <c r="E929" i="59"/>
  <c r="E921" i="59"/>
  <c r="E919" i="59"/>
  <c r="E910" i="59"/>
  <c r="E908" i="59"/>
  <c r="E906" i="59"/>
  <c r="E904" i="59"/>
  <c r="E903" i="59"/>
  <c r="E902" i="59"/>
  <c r="E901" i="59"/>
  <c r="E900" i="59"/>
  <c r="E899" i="59"/>
  <c r="E892" i="59"/>
  <c r="E889" i="59"/>
  <c r="E886" i="59"/>
  <c r="E884" i="59"/>
  <c r="E882" i="59"/>
  <c r="E877" i="59"/>
  <c r="E871" i="59"/>
  <c r="E868" i="59"/>
  <c r="E867" i="59"/>
  <c r="E866" i="59"/>
  <c r="E865" i="59"/>
  <c r="E864" i="59"/>
  <c r="E862" i="59"/>
  <c r="E859" i="59"/>
  <c r="E858" i="59"/>
  <c r="E855" i="59"/>
  <c r="E848" i="59"/>
  <c r="E839" i="59"/>
  <c r="E830" i="59"/>
  <c r="E828" i="59"/>
  <c r="E826" i="59"/>
  <c r="E824" i="59"/>
  <c r="E823" i="59"/>
  <c r="E822" i="59"/>
  <c r="E821" i="59"/>
  <c r="E820" i="59"/>
  <c r="E819" i="59"/>
  <c r="E816" i="59"/>
  <c r="E814" i="59"/>
  <c r="E812" i="59"/>
  <c r="E810" i="59"/>
  <c r="E808" i="59"/>
  <c r="E807" i="59"/>
  <c r="E805" i="59"/>
  <c r="E804" i="59"/>
  <c r="E802" i="59"/>
  <c r="E800" i="59"/>
  <c r="E799" i="59"/>
  <c r="E797" i="59"/>
  <c r="E796" i="59"/>
  <c r="E794" i="59"/>
  <c r="E793" i="59"/>
  <c r="E792" i="59"/>
  <c r="E790" i="59"/>
  <c r="E788" i="59"/>
  <c r="E787" i="59"/>
  <c r="E786" i="59"/>
  <c r="E785" i="59"/>
  <c r="E784" i="59"/>
  <c r="E783" i="59"/>
  <c r="E778" i="59"/>
  <c r="E777" i="59"/>
  <c r="E776" i="59"/>
  <c r="E768" i="59"/>
  <c r="E766" i="59"/>
  <c r="E764" i="59"/>
  <c r="E762" i="59"/>
  <c r="E761" i="59"/>
  <c r="E760" i="59"/>
  <c r="E759" i="59"/>
  <c r="E758" i="59"/>
  <c r="E744" i="59"/>
  <c r="E742" i="59"/>
  <c r="E740" i="59"/>
  <c r="E738" i="59"/>
  <c r="E737" i="59"/>
  <c r="E736" i="59"/>
  <c r="E735" i="59"/>
  <c r="E734" i="59"/>
  <c r="E733" i="59"/>
  <c r="E730" i="59"/>
  <c r="E728" i="59"/>
  <c r="E727" i="59"/>
  <c r="E726" i="59"/>
  <c r="E699" i="59"/>
  <c r="E697" i="59"/>
  <c r="E695" i="59"/>
  <c r="E693" i="59"/>
  <c r="E692" i="59"/>
  <c r="E691" i="59"/>
  <c r="E690" i="59"/>
  <c r="E689" i="59"/>
  <c r="E688" i="59"/>
  <c r="E676" i="59"/>
  <c r="E673" i="59"/>
  <c r="E668" i="59"/>
  <c r="E666" i="59"/>
  <c r="E665" i="59"/>
  <c r="E663" i="59"/>
  <c r="E662" i="59"/>
  <c r="E661" i="59"/>
  <c r="E659" i="59"/>
  <c r="E658" i="59"/>
  <c r="E657" i="59"/>
  <c r="E655" i="59"/>
  <c r="E653" i="59"/>
  <c r="E648" i="59"/>
  <c r="E646" i="59"/>
  <c r="E645" i="59"/>
  <c r="E643" i="59"/>
  <c r="E640" i="59"/>
  <c r="E639" i="59"/>
  <c r="E637" i="59"/>
  <c r="E636" i="59"/>
  <c r="E631" i="59"/>
  <c r="E629" i="59"/>
  <c r="E627" i="59"/>
  <c r="E625" i="59"/>
  <c r="E623" i="59"/>
  <c r="E622" i="59"/>
  <c r="E620" i="59"/>
  <c r="E619" i="59"/>
  <c r="E617" i="59"/>
  <c r="E614" i="59"/>
  <c r="E613" i="59"/>
  <c r="E611" i="59"/>
  <c r="E610" i="59"/>
  <c r="E609" i="59"/>
  <c r="E608" i="59"/>
  <c r="E594" i="59"/>
  <c r="E593" i="59"/>
  <c r="E592" i="59"/>
  <c r="E591" i="59"/>
  <c r="E583" i="59"/>
  <c r="E581" i="59"/>
  <c r="E578" i="59"/>
  <c r="E577" i="59"/>
  <c r="E576" i="59"/>
  <c r="E575" i="59"/>
  <c r="E574" i="59"/>
  <c r="E573" i="59"/>
  <c r="E568" i="59"/>
  <c r="E558" i="59"/>
  <c r="E556" i="59"/>
  <c r="E554" i="59"/>
  <c r="E552" i="59"/>
  <c r="E551" i="59"/>
  <c r="E550" i="59"/>
  <c r="E549" i="59"/>
  <c r="E548" i="59"/>
  <c r="E547" i="59"/>
  <c r="E528" i="59"/>
  <c r="E523" i="59"/>
  <c r="E521" i="59"/>
  <c r="E520" i="59"/>
  <c r="E512" i="59"/>
  <c r="E510" i="59"/>
  <c r="E508" i="59"/>
  <c r="E506" i="59"/>
  <c r="E505" i="59"/>
  <c r="E504" i="59"/>
  <c r="E503" i="59"/>
  <c r="E502" i="59"/>
  <c r="E501" i="59"/>
  <c r="E492" i="59"/>
  <c r="E488" i="59"/>
  <c r="E487" i="59"/>
  <c r="E486" i="59"/>
  <c r="E485" i="59"/>
  <c r="E484" i="59"/>
  <c r="E476" i="59"/>
  <c r="E474" i="59"/>
  <c r="E472" i="59"/>
  <c r="E468" i="59"/>
  <c r="E467" i="59"/>
  <c r="E449" i="59"/>
  <c r="E448" i="59"/>
  <c r="E446" i="59"/>
  <c r="E434" i="59"/>
  <c r="E433" i="59"/>
  <c r="E428" i="59"/>
  <c r="E427" i="59"/>
  <c r="E421" i="59"/>
  <c r="E420" i="59"/>
  <c r="E418" i="59"/>
  <c r="E409" i="59"/>
  <c r="E407" i="59"/>
  <c r="E405" i="59"/>
  <c r="E403" i="59"/>
  <c r="E402" i="59"/>
  <c r="E401" i="59"/>
  <c r="E400" i="59"/>
  <c r="E399" i="59"/>
  <c r="E398" i="59"/>
  <c r="E379" i="59"/>
  <c r="E377" i="59"/>
  <c r="E375" i="59"/>
  <c r="E373" i="59"/>
  <c r="E372" i="59"/>
  <c r="E371" i="59"/>
  <c r="E370" i="59"/>
  <c r="E369" i="59"/>
  <c r="E338" i="59"/>
  <c r="E333" i="59"/>
  <c r="E311" i="59"/>
  <c r="E299" i="59"/>
  <c r="E295" i="59"/>
  <c r="E290" i="59"/>
  <c r="E278" i="59"/>
  <c r="E277" i="59"/>
  <c r="E276" i="59"/>
  <c r="E275" i="59"/>
  <c r="E274" i="59"/>
  <c r="E273" i="59"/>
  <c r="E272" i="59"/>
  <c r="E263" i="59"/>
  <c r="E261" i="59"/>
  <c r="E259" i="59"/>
  <c r="E257" i="59"/>
  <c r="E256" i="59"/>
  <c r="E255" i="59"/>
  <c r="E254" i="59"/>
  <c r="E252" i="59"/>
  <c r="E217" i="59"/>
  <c r="E216" i="59"/>
  <c r="E215" i="59"/>
  <c r="E214" i="59"/>
  <c r="E213" i="59"/>
  <c r="E212" i="59"/>
  <c r="E211" i="59"/>
  <c r="E208" i="59"/>
  <c r="E198" i="59"/>
  <c r="E196" i="59"/>
  <c r="E172" i="59"/>
  <c r="E164" i="59"/>
  <c r="E162" i="59"/>
  <c r="E160" i="59"/>
  <c r="E159" i="59"/>
  <c r="E154" i="59"/>
  <c r="E150" i="59"/>
  <c r="E148" i="59"/>
  <c r="E147" i="59"/>
  <c r="E143" i="59"/>
  <c r="E142" i="59"/>
  <c r="E141" i="59"/>
  <c r="E130" i="59"/>
  <c r="E129" i="59"/>
  <c r="E128" i="59"/>
  <c r="E126" i="59"/>
  <c r="E70" i="59"/>
  <c r="E40" i="59"/>
  <c r="E6" i="5"/>
  <c r="E127" i="3"/>
  <c r="E126" i="3"/>
  <c r="E125" i="3"/>
  <c r="E124" i="3"/>
  <c r="E123" i="3"/>
  <c r="E122" i="3"/>
  <c r="E39" i="3"/>
  <c r="E74" i="29"/>
  <c r="E73" i="29"/>
  <c r="E72" i="29"/>
  <c r="E71" i="29"/>
  <c r="E70" i="29"/>
  <c r="E69" i="29"/>
  <c r="E68" i="29"/>
  <c r="E66" i="29"/>
  <c r="E65" i="29"/>
  <c r="E64" i="29"/>
  <c r="E63" i="29"/>
  <c r="E62" i="29"/>
  <c r="E61" i="29"/>
  <c r="E60" i="29"/>
  <c r="E25" i="29"/>
  <c r="E24" i="29"/>
  <c r="E23" i="29"/>
  <c r="E22" i="29"/>
  <c r="E21" i="29"/>
  <c r="E20" i="29"/>
  <c r="E19" i="29"/>
  <c r="E17" i="29"/>
  <c r="E16" i="29"/>
  <c r="E15" i="29"/>
  <c r="E14" i="29"/>
  <c r="E13" i="29"/>
  <c r="E12" i="29"/>
  <c r="E11" i="29"/>
  <c r="E307" i="30"/>
  <c r="E306" i="30"/>
  <c r="E305" i="30"/>
  <c r="E304" i="30"/>
  <c r="E303" i="30"/>
  <c r="E302" i="30"/>
  <c r="E301" i="30"/>
  <c r="E299" i="30"/>
  <c r="E298" i="30"/>
  <c r="E297" i="30"/>
  <c r="E296" i="30"/>
  <c r="E295" i="30"/>
  <c r="E294" i="30"/>
  <c r="E293" i="30"/>
  <c r="E291" i="30"/>
  <c r="E290" i="30"/>
  <c r="E289" i="30"/>
  <c r="E288" i="30"/>
  <c r="E287" i="30"/>
  <c r="E286" i="30"/>
  <c r="E285" i="30"/>
  <c r="E280" i="30"/>
  <c r="E278" i="30"/>
  <c r="E277" i="30"/>
  <c r="E276" i="30"/>
  <c r="E275" i="30"/>
  <c r="E274" i="30"/>
  <c r="E273" i="30"/>
  <c r="E272" i="30"/>
  <c r="E270" i="30"/>
  <c r="E269" i="30"/>
  <c r="E268" i="30"/>
  <c r="E267" i="30"/>
  <c r="E266" i="30"/>
  <c r="E265" i="30"/>
  <c r="E264" i="30"/>
  <c r="E262" i="30"/>
  <c r="E261" i="30"/>
  <c r="E260" i="30"/>
  <c r="E259" i="30"/>
  <c r="E258" i="30"/>
  <c r="E257" i="30"/>
  <c r="E256" i="30"/>
  <c r="D59" i="5"/>
  <c r="D58" i="5"/>
  <c r="D57" i="5"/>
  <c r="D56" i="5"/>
  <c r="D55" i="5"/>
  <c r="D54" i="5"/>
  <c r="D53" i="5"/>
  <c r="D51" i="5"/>
  <c r="D50" i="5"/>
  <c r="D49" i="5"/>
  <c r="D48" i="5"/>
  <c r="D47" i="5"/>
  <c r="D46" i="5"/>
  <c r="D45" i="5"/>
  <c r="E59" i="5"/>
  <c r="E58" i="5"/>
  <c r="E57" i="5"/>
  <c r="E56" i="5"/>
  <c r="E55" i="5"/>
  <c r="E54" i="5"/>
  <c r="E53" i="5"/>
  <c r="E51" i="5"/>
  <c r="E50" i="5"/>
  <c r="E49" i="5"/>
  <c r="E48" i="5"/>
  <c r="E47" i="5"/>
  <c r="E46" i="5"/>
  <c r="E45" i="5"/>
  <c r="E43" i="5"/>
  <c r="E42" i="5"/>
  <c r="E41" i="5"/>
  <c r="E40" i="5"/>
  <c r="E39" i="5"/>
  <c r="E38" i="5"/>
  <c r="E37" i="5"/>
  <c r="E35" i="5"/>
  <c r="E34" i="5"/>
  <c r="E33" i="5"/>
  <c r="E32" i="5"/>
  <c r="E30" i="5"/>
  <c r="E29" i="5"/>
  <c r="E28" i="5"/>
  <c r="E27" i="5"/>
  <c r="E26" i="5"/>
  <c r="E25" i="5"/>
  <c r="E24" i="5"/>
  <c r="E22" i="5"/>
  <c r="E21" i="5"/>
  <c r="E20" i="5"/>
  <c r="E19" i="5"/>
  <c r="E18" i="5"/>
  <c r="E17" i="5"/>
  <c r="E16" i="5"/>
  <c r="E14" i="5"/>
  <c r="E13" i="5"/>
  <c r="E12" i="5"/>
  <c r="E11" i="5"/>
  <c r="E10" i="5"/>
  <c r="E9" i="5"/>
  <c r="E8" i="5"/>
  <c r="E144" i="3"/>
  <c r="E143" i="3"/>
  <c r="E142" i="3"/>
  <c r="E141" i="3"/>
  <c r="E140" i="3"/>
  <c r="E139" i="3"/>
  <c r="E138" i="3"/>
  <c r="E136" i="3"/>
  <c r="E135" i="3"/>
  <c r="E134" i="3"/>
  <c r="E133" i="3"/>
  <c r="E132" i="3"/>
  <c r="E131" i="3"/>
  <c r="E130" i="3"/>
  <c r="E128" i="3"/>
  <c r="E120" i="3"/>
  <c r="E119" i="3"/>
  <c r="E118" i="3"/>
  <c r="E117" i="3"/>
  <c r="E115" i="3"/>
  <c r="E114" i="3"/>
  <c r="E113" i="3"/>
  <c r="E112" i="3"/>
  <c r="E111" i="3"/>
  <c r="E110" i="3"/>
  <c r="E109" i="3"/>
  <c r="E107" i="3"/>
  <c r="E106" i="3"/>
  <c r="E105" i="3"/>
  <c r="E104" i="3"/>
  <c r="E103" i="3"/>
  <c r="E102" i="3"/>
  <c r="E101" i="3"/>
  <c r="E99" i="3"/>
  <c r="E98" i="3"/>
  <c r="E97" i="3"/>
  <c r="E96" i="3"/>
  <c r="E95" i="3"/>
  <c r="E94" i="3"/>
  <c r="E93" i="3"/>
  <c r="E45" i="3"/>
  <c r="E29" i="3"/>
  <c r="E28" i="3"/>
  <c r="E27" i="3"/>
  <c r="E26" i="3"/>
  <c r="E25" i="3"/>
  <c r="E24" i="3"/>
  <c r="E23" i="3"/>
  <c r="E21" i="3"/>
  <c r="E20" i="3"/>
  <c r="E19" i="3"/>
  <c r="E18" i="3"/>
  <c r="E17" i="3"/>
  <c r="E16" i="3"/>
  <c r="E15" i="3"/>
  <c r="E13" i="3"/>
  <c r="E12" i="3"/>
  <c r="E11" i="3"/>
  <c r="E10" i="3"/>
  <c r="E9" i="3"/>
  <c r="E8" i="3"/>
  <c r="E7" i="3"/>
  <c r="E74" i="2"/>
  <c r="E71" i="2"/>
  <c r="E70" i="2"/>
  <c r="E69" i="2"/>
  <c r="E68" i="2"/>
  <c r="E67" i="2"/>
  <c r="E66" i="2"/>
  <c r="E65" i="2"/>
  <c r="E63" i="2"/>
  <c r="E62" i="2"/>
  <c r="E61" i="2"/>
  <c r="E60" i="2"/>
  <c r="E59" i="2"/>
  <c r="E58" i="2"/>
  <c r="E57" i="2"/>
  <c r="E55" i="2"/>
  <c r="E54" i="2"/>
  <c r="E53" i="2"/>
  <c r="E52" i="2"/>
  <c r="E51" i="2"/>
  <c r="E50" i="2"/>
  <c r="E49" i="2"/>
  <c r="E7" i="2"/>
  <c r="E235" i="11"/>
  <c r="E234" i="11"/>
  <c r="E232" i="11"/>
  <c r="E220" i="11"/>
  <c r="E219" i="11"/>
  <c r="E218" i="11"/>
  <c r="E216" i="11"/>
  <c r="E215" i="11"/>
  <c r="E214" i="11"/>
  <c r="E213" i="11"/>
  <c r="E211" i="11"/>
  <c r="E203" i="11"/>
  <c r="E202" i="11"/>
  <c r="E200" i="11"/>
  <c r="E192" i="11"/>
  <c r="E169" i="11"/>
  <c r="E167" i="11"/>
  <c r="E166" i="11"/>
  <c r="E154" i="9"/>
  <c r="E150" i="9"/>
  <c r="E149" i="9"/>
  <c r="E147" i="9"/>
  <c r="E145" i="9"/>
  <c r="E144" i="9"/>
  <c r="E143" i="9"/>
  <c r="E141" i="9"/>
  <c r="E139" i="9"/>
  <c r="E138" i="9"/>
  <c r="E137" i="9"/>
  <c r="E136" i="9"/>
  <c r="E135" i="9"/>
  <c r="E133" i="9"/>
  <c r="E131" i="9"/>
  <c r="E130" i="9"/>
  <c r="E128" i="9"/>
  <c r="E126" i="9"/>
  <c r="E125" i="9"/>
  <c r="E124" i="9"/>
  <c r="E123" i="9"/>
  <c r="E122" i="9"/>
  <c r="E121" i="9"/>
  <c r="E120" i="9"/>
  <c r="E118" i="9"/>
  <c r="E115" i="9"/>
  <c r="E114" i="9"/>
  <c r="E217" i="30"/>
  <c r="E214" i="30"/>
  <c r="E213" i="30"/>
  <c r="E212" i="30"/>
  <c r="E205" i="30"/>
  <c r="E44" i="30"/>
  <c r="E43" i="30"/>
  <c r="E42" i="30"/>
  <c r="E41" i="30"/>
  <c r="E39" i="30"/>
  <c r="E38" i="30"/>
  <c r="E37" i="30"/>
  <c r="E32" i="2"/>
  <c r="E31" i="2"/>
  <c r="E30" i="2"/>
  <c r="E29" i="2"/>
  <c r="E28" i="2"/>
  <c r="E27" i="2"/>
  <c r="E26" i="2"/>
  <c r="E24" i="2"/>
  <c r="E23" i="2"/>
  <c r="E22" i="2"/>
  <c r="E21" i="2"/>
  <c r="E20" i="2"/>
  <c r="E19" i="2"/>
  <c r="E18" i="2"/>
  <c r="E16" i="2"/>
  <c r="E15" i="2"/>
  <c r="E14" i="2"/>
  <c r="E13" i="2"/>
  <c r="E12" i="2"/>
  <c r="E11" i="2"/>
  <c r="E10" i="2"/>
  <c r="T181" i="13"/>
  <c r="AA181" i="13"/>
  <c r="M181" i="13"/>
  <c r="A181" i="13"/>
  <c r="A2" i="13"/>
  <c r="A3" i="13"/>
  <c r="H2" i="15"/>
  <c r="M2" i="13"/>
  <c r="T3" i="13"/>
  <c r="M3" i="13"/>
  <c r="M4" i="13"/>
  <c r="V4" i="13"/>
  <c r="A5" i="13"/>
  <c r="M5" i="13"/>
  <c r="A6" i="13"/>
  <c r="M6" i="13"/>
  <c r="A7" i="13"/>
  <c r="M7" i="13"/>
  <c r="A8" i="13"/>
  <c r="M8" i="13"/>
  <c r="A9" i="13"/>
  <c r="M9" i="13"/>
  <c r="A10" i="13"/>
  <c r="M10" i="13"/>
  <c r="A11" i="13"/>
  <c r="M11" i="13"/>
  <c r="A12" i="13"/>
  <c r="M12" i="13"/>
  <c r="A13" i="13"/>
  <c r="M13" i="13"/>
  <c r="C124" i="11"/>
  <c r="C568" i="29"/>
  <c r="A31" i="13"/>
  <c r="M31" i="13"/>
  <c r="AL31" i="13"/>
  <c r="A34" i="13"/>
  <c r="M34" i="13"/>
  <c r="AL34" i="13"/>
  <c r="A35" i="13"/>
  <c r="M35" i="13"/>
  <c r="AL35" i="13"/>
  <c r="A36" i="13"/>
  <c r="F19" i="15"/>
  <c r="M36" i="13"/>
  <c r="AL36" i="13"/>
  <c r="A37" i="13"/>
  <c r="E2" i="15"/>
  <c r="M37" i="13"/>
  <c r="A38" i="13"/>
  <c r="M38" i="13"/>
  <c r="A39" i="13"/>
  <c r="F21" i="15"/>
  <c r="M39" i="13"/>
  <c r="A40" i="13"/>
  <c r="F22" i="15"/>
  <c r="M40" i="13"/>
  <c r="A41" i="13"/>
  <c r="M41" i="13"/>
  <c r="AA42" i="13"/>
  <c r="M42" i="13"/>
  <c r="A43" i="13"/>
  <c r="M43" i="13"/>
  <c r="V43" i="13"/>
  <c r="AD43" i="13"/>
  <c r="A44" i="13"/>
  <c r="M44" i="13"/>
  <c r="V44" i="13"/>
  <c r="AD44" i="13"/>
  <c r="A45" i="13"/>
  <c r="M45" i="13"/>
  <c r="AD45" i="13"/>
  <c r="AA45" i="13"/>
  <c r="A46" i="13"/>
  <c r="H4" i="15"/>
  <c r="M46" i="13"/>
  <c r="AD46" i="13"/>
  <c r="AA46" i="13"/>
  <c r="A47" i="13"/>
  <c r="H5" i="15"/>
  <c r="M47" i="13"/>
  <c r="AD47" i="13"/>
  <c r="AA47" i="13"/>
  <c r="A48" i="13"/>
  <c r="C139" i="9"/>
  <c r="M48" i="13"/>
  <c r="AD48" i="13"/>
  <c r="AA48" i="13"/>
  <c r="A49" i="13"/>
  <c r="F24" i="15"/>
  <c r="M49" i="13"/>
  <c r="A50" i="13"/>
  <c r="M50" i="13"/>
  <c r="A51" i="13"/>
  <c r="M51" i="13"/>
  <c r="M53" i="13"/>
  <c r="A54" i="13"/>
  <c r="M54" i="13"/>
  <c r="A55" i="13"/>
  <c r="M55" i="13"/>
  <c r="A57" i="13"/>
  <c r="M57" i="13"/>
  <c r="A58" i="13"/>
  <c r="M58" i="13"/>
  <c r="A59" i="13"/>
  <c r="M59" i="13"/>
  <c r="A60" i="13"/>
  <c r="M60" i="13"/>
  <c r="A62" i="13"/>
  <c r="A65" i="13"/>
  <c r="M65" i="13"/>
  <c r="A66" i="13"/>
  <c r="M66" i="13"/>
  <c r="A67" i="13"/>
  <c r="A70" i="13"/>
  <c r="M70" i="13"/>
  <c r="A71" i="13"/>
  <c r="M71" i="13"/>
  <c r="A73" i="13"/>
  <c r="M73" i="13"/>
  <c r="A74" i="13"/>
  <c r="M74" i="13"/>
  <c r="A75" i="13"/>
  <c r="M75" i="13"/>
  <c r="AA75" i="13"/>
  <c r="A76" i="13"/>
  <c r="M76" i="13"/>
  <c r="AA76" i="13"/>
  <c r="A77" i="13"/>
  <c r="T77" i="13"/>
  <c r="M77" i="13"/>
  <c r="A78" i="13"/>
  <c r="F31" i="15"/>
  <c r="M78" i="13"/>
  <c r="N78" i="13"/>
  <c r="AA78" i="13"/>
  <c r="A79" i="13"/>
  <c r="E3" i="15"/>
  <c r="M79" i="13"/>
  <c r="A80" i="13"/>
  <c r="E4" i="15"/>
  <c r="M80" i="13"/>
  <c r="A81" i="13"/>
  <c r="E5" i="15"/>
  <c r="K81" i="13"/>
  <c r="M81" i="13"/>
  <c r="A82" i="13"/>
  <c r="E6" i="15"/>
  <c r="K82" i="13"/>
  <c r="M82" i="13"/>
  <c r="A83" i="13"/>
  <c r="E7" i="15"/>
  <c r="K83" i="13"/>
  <c r="M83" i="13"/>
  <c r="A84" i="13"/>
  <c r="E8" i="15"/>
  <c r="K84" i="13"/>
  <c r="M84" i="13"/>
  <c r="A85" i="13"/>
  <c r="E9" i="15"/>
  <c r="K85" i="13"/>
  <c r="M85" i="13"/>
  <c r="A86" i="13"/>
  <c r="E10" i="15"/>
  <c r="M86" i="13"/>
  <c r="A87" i="13"/>
  <c r="E11" i="15"/>
  <c r="K87" i="13"/>
  <c r="M87" i="13"/>
  <c r="A88" i="13"/>
  <c r="E12" i="15"/>
  <c r="K88" i="13"/>
  <c r="M88" i="13"/>
  <c r="A89" i="13"/>
  <c r="E13" i="15"/>
  <c r="K89" i="13"/>
  <c r="M89" i="13"/>
  <c r="A90" i="13"/>
  <c r="E14" i="15"/>
  <c r="K90" i="13"/>
  <c r="M90" i="13"/>
  <c r="A91" i="13"/>
  <c r="E15" i="15"/>
  <c r="K91" i="13"/>
  <c r="M91" i="13"/>
  <c r="A92" i="13"/>
  <c r="E16" i="15"/>
  <c r="M92" i="13"/>
  <c r="A93" i="13"/>
  <c r="E17" i="15"/>
  <c r="K93" i="13"/>
  <c r="M93" i="13"/>
  <c r="A94" i="13"/>
  <c r="E18" i="15"/>
  <c r="K94" i="13"/>
  <c r="M94" i="13"/>
  <c r="A95" i="13"/>
  <c r="E19" i="15"/>
  <c r="K95" i="13"/>
  <c r="M95" i="13"/>
  <c r="A96" i="13"/>
  <c r="E20" i="15"/>
  <c r="K96" i="13"/>
  <c r="M96" i="13"/>
  <c r="A97" i="13"/>
  <c r="E21" i="15"/>
  <c r="K97" i="13"/>
  <c r="M97" i="13"/>
  <c r="A98" i="13"/>
  <c r="E22" i="15"/>
  <c r="M98" i="13"/>
  <c r="A99" i="13"/>
  <c r="E23" i="15"/>
  <c r="M99" i="13"/>
  <c r="A100" i="13"/>
  <c r="E24" i="15"/>
  <c r="K100" i="13"/>
  <c r="M100" i="13"/>
  <c r="A101" i="13"/>
  <c r="E25" i="15"/>
  <c r="M101" i="13"/>
  <c r="A102" i="13"/>
  <c r="E26" i="15"/>
  <c r="M102" i="13"/>
  <c r="A103" i="13"/>
  <c r="M103" i="13"/>
  <c r="AF103" i="13"/>
  <c r="AA103" i="13"/>
  <c r="A105" i="13"/>
  <c r="M105" i="13"/>
  <c r="AF105" i="13"/>
  <c r="AA105" i="13"/>
  <c r="A106" i="13"/>
  <c r="M106" i="13"/>
  <c r="AF106" i="13"/>
  <c r="AA106" i="13"/>
  <c r="A107" i="13"/>
  <c r="M107" i="13"/>
  <c r="AD107" i="13"/>
  <c r="M113" i="13"/>
  <c r="AD113" i="13"/>
  <c r="A114" i="13"/>
  <c r="M114" i="13"/>
  <c r="AD114" i="13"/>
  <c r="A115" i="13"/>
  <c r="M115" i="13"/>
  <c r="A116" i="13"/>
  <c r="M116" i="13"/>
  <c r="A117" i="13"/>
  <c r="M117" i="13"/>
  <c r="A118" i="13"/>
  <c r="M118" i="13"/>
  <c r="A119" i="13"/>
  <c r="M119" i="13"/>
  <c r="A120" i="13"/>
  <c r="M120" i="13"/>
  <c r="A122" i="13"/>
  <c r="M122" i="13"/>
  <c r="A123" i="13"/>
  <c r="M123" i="13"/>
  <c r="A124" i="13"/>
  <c r="M124" i="13"/>
  <c r="A129" i="13"/>
  <c r="M129" i="13"/>
  <c r="A130" i="13"/>
  <c r="M130" i="13"/>
  <c r="A135" i="13"/>
  <c r="C140" i="11"/>
  <c r="R135" i="13"/>
  <c r="A136" i="13"/>
  <c r="C594" i="29"/>
  <c r="R136" i="13"/>
  <c r="AD136" i="13"/>
  <c r="AA136" i="13"/>
  <c r="A137" i="13"/>
  <c r="R137" i="13"/>
  <c r="AD137" i="13"/>
  <c r="AA137" i="13"/>
  <c r="A138" i="13"/>
  <c r="M138" i="13"/>
  <c r="T138" i="13"/>
  <c r="AD138" i="13"/>
  <c r="AA138" i="13"/>
  <c r="A139" i="13"/>
  <c r="M139" i="13"/>
  <c r="T139" i="13"/>
  <c r="AD139" i="13"/>
  <c r="AA139" i="13"/>
  <c r="M140" i="13"/>
  <c r="A141" i="13"/>
  <c r="M141" i="13"/>
  <c r="A142" i="13"/>
  <c r="M142" i="13"/>
  <c r="A146" i="13"/>
  <c r="H20" i="15"/>
  <c r="M146" i="13"/>
  <c r="A147" i="13"/>
  <c r="M147" i="13"/>
  <c r="A148" i="13"/>
  <c r="M148" i="13"/>
  <c r="A151" i="13"/>
  <c r="M151" i="13"/>
  <c r="A152" i="13"/>
  <c r="M152" i="13"/>
  <c r="A153" i="13"/>
  <c r="M153" i="13"/>
  <c r="A154" i="13"/>
  <c r="M154" i="13"/>
  <c r="A156" i="13"/>
  <c r="M156" i="13"/>
  <c r="A160" i="13"/>
  <c r="M160" i="13"/>
  <c r="AD160" i="13"/>
  <c r="A161" i="13"/>
  <c r="E28" i="15"/>
  <c r="M161" i="13"/>
  <c r="AD161" i="13"/>
  <c r="A167" i="13"/>
  <c r="M167" i="13"/>
  <c r="A170" i="13"/>
  <c r="M170" i="13"/>
  <c r="A171" i="13"/>
  <c r="M171" i="13"/>
  <c r="A172" i="13"/>
  <c r="M172" i="13"/>
  <c r="A173" i="13"/>
  <c r="M173" i="13"/>
  <c r="AF173" i="13"/>
  <c r="A176" i="13"/>
  <c r="G2" i="15"/>
  <c r="T176" i="13"/>
  <c r="M176" i="13"/>
  <c r="A177" i="13"/>
  <c r="K177" i="13"/>
  <c r="M177" i="13"/>
  <c r="AA177" i="13"/>
  <c r="M187" i="13"/>
  <c r="T187" i="13"/>
  <c r="AA187" i="13"/>
  <c r="C213" i="3"/>
  <c r="O213" i="3"/>
  <c r="T188" i="13"/>
  <c r="AA188" i="13"/>
  <c r="M188" i="13"/>
  <c r="A189" i="13"/>
  <c r="M189" i="13"/>
  <c r="A190" i="13"/>
  <c r="M190" i="13"/>
  <c r="AD190" i="13"/>
  <c r="A191" i="13"/>
  <c r="E34" i="15"/>
  <c r="A192" i="13"/>
  <c r="M192" i="13"/>
  <c r="AD192" i="13"/>
  <c r="A193" i="13"/>
  <c r="M193" i="13"/>
  <c r="AD193" i="13"/>
  <c r="A196" i="13"/>
  <c r="M196" i="13"/>
  <c r="A197" i="13"/>
  <c r="M197" i="13"/>
  <c r="T197" i="13"/>
  <c r="A200" i="13"/>
  <c r="M200" i="13"/>
  <c r="AA200" i="13"/>
  <c r="A201" i="13"/>
  <c r="AA201" i="13"/>
  <c r="M201" i="13"/>
  <c r="A205" i="13"/>
  <c r="F45" i="15"/>
  <c r="AA205" i="13"/>
  <c r="M205" i="13"/>
  <c r="A206" i="13"/>
  <c r="AA206" i="13"/>
  <c r="A207" i="13"/>
  <c r="M207" i="13"/>
  <c r="AA207" i="13"/>
  <c r="A208" i="13"/>
  <c r="M208" i="13"/>
  <c r="AA208" i="13"/>
  <c r="A209" i="13"/>
  <c r="M209" i="13"/>
  <c r="A210" i="13"/>
  <c r="E38" i="15"/>
  <c r="R210" i="13"/>
  <c r="T210" i="13"/>
  <c r="A211" i="13"/>
  <c r="F46" i="15"/>
  <c r="M211" i="13"/>
  <c r="A212" i="13"/>
  <c r="M212" i="13"/>
  <c r="A214" i="13"/>
  <c r="M214" i="13"/>
  <c r="A216" i="13"/>
  <c r="M216" i="13"/>
  <c r="A218" i="13"/>
  <c r="M218" i="13"/>
  <c r="A220" i="13"/>
  <c r="M220" i="13"/>
  <c r="A222" i="13"/>
  <c r="M222" i="13"/>
  <c r="A223" i="13"/>
  <c r="M223" i="13"/>
  <c r="A225" i="13"/>
  <c r="M225" i="13"/>
  <c r="A226" i="13"/>
  <c r="M226" i="13"/>
  <c r="W226" i="13"/>
  <c r="A227" i="13"/>
  <c r="M227" i="13"/>
  <c r="W227" i="13"/>
  <c r="A228" i="13"/>
  <c r="I7" i="14"/>
  <c r="M228" i="13"/>
  <c r="W228" i="13"/>
  <c r="A230" i="13"/>
  <c r="M230" i="13"/>
  <c r="W230" i="13"/>
  <c r="A231" i="13"/>
  <c r="M231" i="13"/>
  <c r="W231" i="13"/>
  <c r="A233" i="13"/>
  <c r="M233" i="13"/>
  <c r="A235" i="13"/>
  <c r="H38" i="15"/>
  <c r="M235" i="13"/>
  <c r="V235" i="13"/>
  <c r="AA235" i="13"/>
  <c r="A236" i="13"/>
  <c r="M236" i="13"/>
  <c r="T236" i="13"/>
  <c r="AD236" i="13"/>
  <c r="A239" i="13"/>
  <c r="M239" i="13"/>
  <c r="T239" i="13"/>
  <c r="AD239" i="13"/>
  <c r="A242" i="13"/>
  <c r="B100" i="66"/>
  <c r="A245" i="13"/>
  <c r="M245" i="13"/>
  <c r="AD245" i="13"/>
  <c r="C164" i="29"/>
  <c r="A251" i="13"/>
  <c r="M251" i="13"/>
  <c r="T251" i="13"/>
  <c r="AD251" i="13"/>
  <c r="A252" i="13"/>
  <c r="B77" i="66"/>
  <c r="A254" i="13"/>
  <c r="M254" i="13"/>
  <c r="T254" i="13"/>
  <c r="AD254" i="13"/>
  <c r="A255" i="13"/>
  <c r="M255" i="13"/>
  <c r="T255" i="13"/>
  <c r="AD255" i="13"/>
  <c r="A257" i="13"/>
  <c r="C47" i="9"/>
  <c r="O47" i="9"/>
  <c r="M257" i="13"/>
  <c r="T257" i="13"/>
  <c r="AD257" i="13"/>
  <c r="A259" i="13"/>
  <c r="M259" i="13"/>
  <c r="T259" i="13"/>
  <c r="AD259" i="13"/>
  <c r="A267" i="13"/>
  <c r="A269" i="13"/>
  <c r="M269" i="13"/>
  <c r="A270" i="13"/>
  <c r="W270" i="13"/>
  <c r="A272" i="13"/>
  <c r="M272" i="13"/>
  <c r="A273" i="13"/>
  <c r="M273" i="13"/>
  <c r="A275" i="13"/>
  <c r="M275" i="13"/>
  <c r="A285" i="13"/>
  <c r="M285" i="13"/>
  <c r="A286" i="13"/>
  <c r="H51" i="15"/>
  <c r="W286" i="13"/>
  <c r="A288" i="13"/>
  <c r="M288" i="13"/>
  <c r="A289" i="13"/>
  <c r="M289" i="13"/>
  <c r="A290" i="13"/>
  <c r="M290" i="13"/>
  <c r="A291" i="13"/>
  <c r="A292" i="13"/>
  <c r="M292" i="13"/>
  <c r="A293" i="13"/>
  <c r="T293" i="13"/>
  <c r="M293" i="13"/>
  <c r="A294" i="13"/>
  <c r="M294" i="13"/>
  <c r="A295" i="13"/>
  <c r="M295" i="13"/>
  <c r="A296" i="13"/>
  <c r="T296" i="13"/>
  <c r="M296" i="13"/>
  <c r="A297" i="13"/>
  <c r="T297" i="13"/>
  <c r="M297" i="13"/>
  <c r="A298" i="13"/>
  <c r="M298" i="13"/>
  <c r="A300" i="13"/>
  <c r="M9" i="14"/>
  <c r="M300" i="13"/>
  <c r="A302" i="13"/>
  <c r="M302" i="13"/>
  <c r="A303" i="13"/>
  <c r="M303" i="13"/>
  <c r="A304" i="13"/>
  <c r="F66" i="15"/>
  <c r="M304" i="13"/>
  <c r="A305" i="13"/>
  <c r="A306" i="13"/>
  <c r="A307" i="13"/>
  <c r="M307" i="13"/>
  <c r="A308" i="13"/>
  <c r="W308" i="13"/>
  <c r="A309" i="13"/>
  <c r="M309" i="13"/>
  <c r="A310" i="13"/>
  <c r="M310" i="13"/>
  <c r="A311" i="13"/>
  <c r="H54" i="15"/>
  <c r="W311" i="13"/>
  <c r="A312" i="13"/>
  <c r="M312" i="13"/>
  <c r="A313" i="13"/>
  <c r="M313" i="13"/>
  <c r="A314" i="13"/>
  <c r="A315" i="13"/>
  <c r="M315" i="13"/>
  <c r="A316" i="13"/>
  <c r="M316" i="13"/>
  <c r="A317" i="13"/>
  <c r="M317" i="13"/>
  <c r="A318" i="13"/>
  <c r="M318" i="13"/>
  <c r="A319" i="13"/>
  <c r="M319" i="13"/>
  <c r="A320" i="13"/>
  <c r="M320" i="13"/>
  <c r="A321" i="13"/>
  <c r="M321" i="13"/>
  <c r="A322" i="13"/>
  <c r="M322" i="13"/>
  <c r="A323" i="13"/>
  <c r="M323" i="13"/>
  <c r="A324" i="13"/>
  <c r="M324" i="13"/>
  <c r="A334" i="13"/>
  <c r="T334" i="13"/>
  <c r="M334" i="13"/>
  <c r="A336" i="13"/>
  <c r="M336" i="13"/>
  <c r="A337" i="13"/>
  <c r="A338" i="13"/>
  <c r="M338" i="13"/>
  <c r="A339" i="13"/>
  <c r="C151" i="29"/>
  <c r="A340" i="13"/>
  <c r="M340" i="13"/>
  <c r="A341" i="13"/>
  <c r="M341" i="13"/>
  <c r="A342" i="13"/>
  <c r="M342" i="13"/>
  <c r="A343" i="13"/>
  <c r="M343" i="13"/>
  <c r="A344" i="13"/>
  <c r="C31" i="8"/>
  <c r="A345" i="13"/>
  <c r="T345" i="13"/>
  <c r="M345" i="13"/>
  <c r="A346" i="13"/>
  <c r="A347" i="13"/>
  <c r="T347" i="13"/>
  <c r="M347" i="13"/>
  <c r="A348" i="13"/>
  <c r="T348" i="13"/>
  <c r="M348" i="13"/>
  <c r="T349" i="13"/>
  <c r="M349" i="13"/>
  <c r="A350" i="13"/>
  <c r="T350" i="13"/>
  <c r="M350" i="13"/>
  <c r="A351" i="13"/>
  <c r="M351" i="13"/>
  <c r="T351" i="13"/>
  <c r="AA351" i="13"/>
  <c r="V351" i="13"/>
  <c r="A352" i="13"/>
  <c r="W352" i="13"/>
  <c r="M352" i="13"/>
  <c r="AF352" i="13"/>
  <c r="A353" i="13"/>
  <c r="F67" i="15"/>
  <c r="M353" i="13"/>
  <c r="A354" i="13"/>
  <c r="M354" i="13"/>
  <c r="H56" i="15"/>
  <c r="M358" i="13"/>
  <c r="F71" i="15"/>
  <c r="M359" i="13"/>
  <c r="A360" i="13"/>
  <c r="M360" i="13"/>
  <c r="A362" i="13"/>
  <c r="M362" i="13"/>
  <c r="M363" i="13"/>
  <c r="A364" i="13"/>
  <c r="A365" i="13"/>
  <c r="M365" i="13"/>
  <c r="A366" i="13"/>
  <c r="M366" i="13"/>
  <c r="A367" i="13"/>
  <c r="M367" i="13"/>
  <c r="A370" i="13"/>
  <c r="M370" i="13"/>
  <c r="A371" i="13"/>
  <c r="M371" i="13"/>
  <c r="T371" i="13"/>
  <c r="AD371" i="13"/>
  <c r="A372" i="13"/>
  <c r="M372" i="13"/>
  <c r="A373" i="13"/>
  <c r="M373" i="13"/>
  <c r="T373" i="13"/>
  <c r="AD373" i="13"/>
  <c r="A374" i="13"/>
  <c r="M374" i="13"/>
  <c r="A375" i="13"/>
  <c r="M375" i="13"/>
  <c r="T375" i="13"/>
  <c r="AD375" i="13"/>
  <c r="A376" i="13"/>
  <c r="M376" i="13"/>
  <c r="A377" i="13"/>
  <c r="M377" i="13"/>
  <c r="A378" i="13"/>
  <c r="M378" i="13"/>
  <c r="A379" i="13"/>
  <c r="M379" i="13"/>
  <c r="T379" i="13"/>
  <c r="AD379" i="13"/>
  <c r="A380" i="13"/>
  <c r="M380" i="13"/>
  <c r="A381" i="13"/>
  <c r="M381" i="13"/>
  <c r="T381" i="13"/>
  <c r="AD381" i="13"/>
  <c r="A382" i="13"/>
  <c r="M382" i="13"/>
  <c r="A383" i="13"/>
  <c r="AD383" i="13"/>
  <c r="A384" i="13"/>
  <c r="F85" i="15"/>
  <c r="K384" i="13"/>
  <c r="AM384" i="13"/>
  <c r="T384" i="13"/>
  <c r="A385" i="13"/>
  <c r="K385" i="13"/>
  <c r="AM385" i="13"/>
  <c r="T385" i="13"/>
  <c r="A386" i="13"/>
  <c r="H57" i="15"/>
  <c r="T386" i="13"/>
  <c r="AD386" i="13"/>
  <c r="AF386" i="13"/>
  <c r="AA386" i="13"/>
  <c r="V386" i="13"/>
  <c r="A387" i="13"/>
  <c r="T387" i="13"/>
  <c r="AD387" i="13"/>
  <c r="AF387" i="13"/>
  <c r="A388" i="13"/>
  <c r="T388" i="13"/>
  <c r="AD388" i="13"/>
  <c r="AF388" i="13"/>
  <c r="A389" i="13"/>
  <c r="M389" i="13"/>
  <c r="T389" i="13"/>
  <c r="AD389" i="13"/>
  <c r="AF389" i="13"/>
  <c r="AA389" i="13"/>
  <c r="A390" i="13"/>
  <c r="T390" i="13"/>
  <c r="AD390" i="13"/>
  <c r="AF390" i="13"/>
  <c r="A392" i="13"/>
  <c r="W392" i="13"/>
  <c r="T392" i="13"/>
  <c r="AD392" i="13"/>
  <c r="AF392" i="13"/>
  <c r="AA392" i="13"/>
  <c r="C261" i="29"/>
  <c r="K393" i="13"/>
  <c r="T393" i="13"/>
  <c r="AD393" i="13"/>
  <c r="AF393" i="13"/>
  <c r="AA393" i="13"/>
  <c r="V393" i="13"/>
  <c r="T394" i="13"/>
  <c r="AD394" i="13"/>
  <c r="AF394" i="13"/>
  <c r="AA394" i="13"/>
  <c r="M394" i="13"/>
  <c r="T395" i="13"/>
  <c r="AD395" i="13"/>
  <c r="AF395" i="13"/>
  <c r="M395" i="13"/>
  <c r="A400" i="13"/>
  <c r="T400" i="13"/>
  <c r="AD400" i="13"/>
  <c r="AF400" i="13"/>
  <c r="A404" i="13"/>
  <c r="M404" i="13"/>
  <c r="AD404" i="13"/>
  <c r="A405" i="13"/>
  <c r="M405" i="13"/>
  <c r="R405" i="13"/>
  <c r="AD405" i="13"/>
  <c r="S405" i="13"/>
  <c r="AC405" i="13"/>
  <c r="A406" i="13"/>
  <c r="M406" i="13"/>
  <c r="AD406" i="13"/>
  <c r="A413" i="13"/>
  <c r="M413" i="13"/>
  <c r="AD413" i="13"/>
  <c r="A415" i="13"/>
  <c r="M415" i="13"/>
  <c r="AD415" i="13"/>
  <c r="A422" i="13"/>
  <c r="M422" i="13"/>
  <c r="A424" i="13"/>
  <c r="M424" i="13"/>
  <c r="A426" i="13"/>
  <c r="M426" i="13"/>
  <c r="AD426" i="13"/>
  <c r="AA426" i="13"/>
  <c r="A427" i="13"/>
  <c r="M427" i="13"/>
  <c r="AD427" i="13"/>
  <c r="AA427" i="13"/>
  <c r="A428" i="13"/>
  <c r="M428" i="13"/>
  <c r="AD428" i="13"/>
  <c r="AA428" i="13"/>
  <c r="A429" i="13"/>
  <c r="K429" i="13"/>
  <c r="M429" i="13"/>
  <c r="A430" i="13"/>
  <c r="M430" i="13"/>
  <c r="A431" i="13"/>
  <c r="M431" i="13"/>
  <c r="A432" i="13"/>
  <c r="N432" i="13"/>
  <c r="AB432" i="13"/>
  <c r="A433" i="13"/>
  <c r="N433" i="13"/>
  <c r="AB433" i="13"/>
  <c r="A434" i="13"/>
  <c r="N434" i="13"/>
  <c r="AB434" i="13"/>
  <c r="A435" i="13"/>
  <c r="N435" i="13"/>
  <c r="AB435" i="13"/>
  <c r="A436" i="13"/>
  <c r="N436" i="13"/>
  <c r="AB436" i="13"/>
  <c r="A437" i="13"/>
  <c r="F88" i="15"/>
  <c r="N437" i="13"/>
  <c r="AB437" i="13"/>
  <c r="A438" i="13"/>
  <c r="N438" i="13"/>
  <c r="AB438" i="13"/>
  <c r="A439" i="13"/>
  <c r="N439" i="13"/>
  <c r="AB439" i="13"/>
  <c r="A440" i="13"/>
  <c r="F91" i="15"/>
  <c r="N440" i="13"/>
  <c r="AB440" i="13"/>
  <c r="A441" i="13"/>
  <c r="F92" i="15"/>
  <c r="N441" i="13"/>
  <c r="AB441" i="13"/>
  <c r="A442" i="13"/>
  <c r="F93" i="15"/>
  <c r="N442" i="13"/>
  <c r="AB442" i="13"/>
  <c r="A443" i="13"/>
  <c r="M443" i="13"/>
  <c r="A444" i="13"/>
  <c r="M444" i="13"/>
  <c r="A445" i="13"/>
  <c r="M445" i="13"/>
  <c r="A446" i="13"/>
  <c r="M446" i="13"/>
  <c r="A447" i="13"/>
  <c r="M447" i="13"/>
  <c r="A448" i="13"/>
  <c r="M448" i="13"/>
  <c r="A449" i="13"/>
  <c r="M449" i="13"/>
  <c r="A450" i="13"/>
  <c r="M450" i="13"/>
  <c r="A451" i="13"/>
  <c r="M451" i="13"/>
  <c r="A452" i="13"/>
  <c r="M452" i="13"/>
  <c r="A453" i="13"/>
  <c r="M453" i="13"/>
  <c r="A454" i="13"/>
  <c r="M454" i="13"/>
  <c r="A455" i="13"/>
  <c r="M455" i="13"/>
  <c r="A456" i="13"/>
  <c r="M456" i="13"/>
  <c r="A457" i="13"/>
  <c r="M457" i="13"/>
  <c r="A458" i="13"/>
  <c r="M458" i="13"/>
  <c r="A459" i="13"/>
  <c r="M459" i="13"/>
  <c r="A460" i="13"/>
  <c r="M460" i="13"/>
  <c r="A461" i="13"/>
  <c r="M461" i="13"/>
  <c r="A462" i="13"/>
  <c r="M462" i="13"/>
  <c r="A463" i="13"/>
  <c r="M463" i="13"/>
  <c r="A464" i="13"/>
  <c r="M464" i="13"/>
  <c r="A465" i="13"/>
  <c r="M465" i="13"/>
  <c r="A466" i="13"/>
  <c r="M466" i="13"/>
  <c r="A467" i="13"/>
  <c r="M467" i="13"/>
  <c r="A468" i="13"/>
  <c r="M468" i="13"/>
  <c r="A469" i="13"/>
  <c r="M469" i="13"/>
  <c r="A470" i="13"/>
  <c r="M470" i="13"/>
  <c r="A471" i="13"/>
  <c r="M471" i="13"/>
  <c r="A472" i="13"/>
  <c r="M472" i="13"/>
  <c r="A473" i="13"/>
  <c r="M473" i="13"/>
  <c r="A474" i="13"/>
  <c r="M474" i="13"/>
  <c r="A475" i="13"/>
  <c r="M475" i="13"/>
  <c r="A476" i="13"/>
  <c r="M476" i="13"/>
  <c r="A477" i="13"/>
  <c r="M477" i="13"/>
  <c r="A478" i="13"/>
  <c r="M478" i="13"/>
  <c r="A479" i="13"/>
  <c r="M479" i="13"/>
  <c r="A480" i="13"/>
  <c r="M480" i="13"/>
  <c r="A481" i="13"/>
  <c r="M481" i="13"/>
  <c r="A482" i="13"/>
  <c r="M482" i="13"/>
  <c r="A483" i="13"/>
  <c r="M483" i="13"/>
  <c r="A484" i="13"/>
  <c r="M484" i="13"/>
  <c r="A485" i="13"/>
  <c r="M485" i="13"/>
  <c r="A486" i="13"/>
  <c r="M486" i="13"/>
  <c r="A487" i="13"/>
  <c r="M487" i="13"/>
  <c r="A488" i="13"/>
  <c r="M488" i="13"/>
  <c r="A489" i="13"/>
  <c r="M489" i="13"/>
  <c r="A490" i="13"/>
  <c r="M490" i="13"/>
  <c r="A491" i="13"/>
  <c r="M491" i="13"/>
  <c r="A492" i="13"/>
  <c r="M492" i="13"/>
  <c r="A493" i="13"/>
  <c r="M493" i="13"/>
  <c r="A494" i="13"/>
  <c r="M494" i="13"/>
  <c r="A495" i="13"/>
  <c r="M495" i="13"/>
  <c r="A496" i="13"/>
  <c r="M496" i="13"/>
  <c r="A497" i="13"/>
  <c r="M497" i="13"/>
  <c r="A498" i="13"/>
  <c r="M498" i="13"/>
  <c r="A499" i="13"/>
  <c r="M499" i="13"/>
  <c r="A500" i="13"/>
  <c r="M500" i="13"/>
  <c r="A501" i="13"/>
  <c r="M501" i="13"/>
  <c r="A502" i="13"/>
  <c r="M502" i="13"/>
  <c r="A503" i="13"/>
  <c r="M503" i="13"/>
  <c r="A504" i="13"/>
  <c r="M504" i="13"/>
  <c r="A505" i="13"/>
  <c r="M505" i="13"/>
  <c r="A506" i="13"/>
  <c r="M506" i="13"/>
  <c r="A507" i="13"/>
  <c r="M507" i="13"/>
  <c r="A508" i="13"/>
  <c r="M508" i="13"/>
  <c r="A509" i="13"/>
  <c r="M509" i="13"/>
  <c r="A510" i="13"/>
  <c r="M510" i="13"/>
  <c r="A511" i="13"/>
  <c r="M511" i="13"/>
  <c r="A512" i="13"/>
  <c r="M512" i="13"/>
  <c r="A513" i="13"/>
  <c r="M513" i="13"/>
  <c r="A514" i="13"/>
  <c r="M514" i="13"/>
  <c r="A515" i="13"/>
  <c r="M515" i="13"/>
  <c r="A516" i="13"/>
  <c r="M516" i="13"/>
  <c r="A517" i="13"/>
  <c r="M517" i="13"/>
  <c r="A518" i="13"/>
  <c r="M518" i="13"/>
  <c r="A519" i="13"/>
  <c r="M519" i="13"/>
  <c r="A520" i="13"/>
  <c r="M520" i="13"/>
  <c r="A521" i="13"/>
  <c r="M521" i="13"/>
  <c r="A522" i="13"/>
  <c r="M522" i="13"/>
  <c r="A523" i="13"/>
  <c r="M523" i="13"/>
  <c r="A524" i="13"/>
  <c r="M524" i="13"/>
  <c r="A525" i="13"/>
  <c r="M525" i="13"/>
  <c r="A526" i="13"/>
  <c r="M526" i="13"/>
  <c r="A527" i="13"/>
  <c r="M527" i="13"/>
  <c r="A528" i="13"/>
  <c r="M528" i="13"/>
  <c r="A529" i="13"/>
  <c r="M529" i="13"/>
  <c r="A530" i="13"/>
  <c r="M530" i="13"/>
  <c r="A531" i="13"/>
  <c r="M531" i="13"/>
  <c r="A532" i="13"/>
  <c r="M532" i="13"/>
  <c r="A533" i="13"/>
  <c r="M533" i="13"/>
  <c r="A534" i="13"/>
  <c r="M534" i="13"/>
  <c r="A535" i="13"/>
  <c r="M535" i="13"/>
  <c r="A536" i="13"/>
  <c r="M536" i="13"/>
  <c r="A537" i="13"/>
  <c r="M537" i="13"/>
  <c r="A538" i="13"/>
  <c r="M538" i="13"/>
  <c r="A539" i="13"/>
  <c r="M539" i="13"/>
  <c r="A540" i="13"/>
  <c r="M540" i="13"/>
  <c r="A541" i="13"/>
  <c r="M541" i="13"/>
  <c r="A542" i="13"/>
  <c r="M542" i="13"/>
  <c r="A543" i="13"/>
  <c r="M543" i="13"/>
  <c r="A544" i="13"/>
  <c r="M544" i="13"/>
  <c r="A545" i="13"/>
  <c r="A546" i="13"/>
  <c r="F95" i="15"/>
  <c r="AA546" i="13"/>
  <c r="A547" i="13"/>
  <c r="A548" i="13"/>
  <c r="A549" i="13"/>
  <c r="T549" i="13"/>
  <c r="AD549" i="13"/>
  <c r="AF549" i="13"/>
  <c r="AA549" i="13"/>
  <c r="A550" i="13"/>
  <c r="T550" i="13"/>
  <c r="AD550" i="13"/>
  <c r="AF550" i="13"/>
  <c r="AA550" i="13"/>
  <c r="A552" i="13"/>
  <c r="F98" i="15"/>
  <c r="A553" i="13"/>
  <c r="F99" i="15"/>
  <c r="A554" i="13"/>
  <c r="AD554" i="13"/>
  <c r="AF554" i="13"/>
  <c r="AA554" i="13"/>
  <c r="F101" i="15"/>
  <c r="F102" i="15"/>
  <c r="A557" i="13"/>
  <c r="C24" i="7"/>
  <c r="T557" i="13"/>
  <c r="AD557" i="13"/>
  <c r="AF557" i="13"/>
  <c r="AA557" i="13"/>
  <c r="A558" i="13"/>
  <c r="AD558" i="13"/>
  <c r="AF558" i="13"/>
  <c r="AA558" i="13"/>
  <c r="A559" i="13"/>
  <c r="AD559" i="13"/>
  <c r="AF559" i="13"/>
  <c r="AA559" i="13"/>
  <c r="A561" i="13"/>
  <c r="T561" i="13"/>
  <c r="AD561" i="13"/>
  <c r="AF561" i="13"/>
  <c r="AA561" i="13"/>
  <c r="V561" i="13"/>
  <c r="A562" i="13"/>
  <c r="AL562" i="13"/>
  <c r="A563" i="13"/>
  <c r="AL563" i="13"/>
  <c r="A564" i="13"/>
  <c r="A565" i="13"/>
  <c r="A566" i="13"/>
  <c r="G27" i="15"/>
  <c r="G28" i="15"/>
  <c r="G29" i="15"/>
  <c r="A570" i="13"/>
  <c r="W570" i="13"/>
  <c r="AD570" i="13"/>
  <c r="AF570" i="13"/>
  <c r="AA570" i="13"/>
  <c r="A571" i="13"/>
  <c r="W571" i="13"/>
  <c r="A572" i="13"/>
  <c r="W572" i="13"/>
  <c r="A573" i="13"/>
  <c r="W573" i="13"/>
  <c r="A574" i="13"/>
  <c r="W574" i="13"/>
  <c r="A575" i="13"/>
  <c r="W575" i="13"/>
  <c r="A576" i="13"/>
  <c r="W576" i="13"/>
  <c r="A577" i="13"/>
  <c r="W577" i="13"/>
  <c r="A578" i="13"/>
  <c r="W578" i="13"/>
  <c r="A579" i="13"/>
  <c r="W579" i="13"/>
  <c r="W580" i="13"/>
  <c r="A581" i="13"/>
  <c r="H75" i="15"/>
  <c r="W581" i="13"/>
  <c r="A582" i="13"/>
  <c r="A583" i="13"/>
  <c r="W583" i="13"/>
  <c r="H77" i="15"/>
  <c r="W584" i="13"/>
  <c r="A585" i="13"/>
  <c r="H78" i="15"/>
  <c r="T585" i="13"/>
  <c r="V585" i="13"/>
  <c r="AF585" i="13"/>
  <c r="AA585" i="13"/>
  <c r="A586" i="13"/>
  <c r="A587" i="13"/>
  <c r="A588" i="13"/>
  <c r="A594" i="13"/>
  <c r="C427" i="29"/>
  <c r="T594" i="13"/>
  <c r="A595" i="13"/>
  <c r="AA595" i="13"/>
  <c r="A596" i="13"/>
  <c r="T596" i="13"/>
  <c r="D149" i="9"/>
  <c r="D150" i="30"/>
  <c r="E150" i="30"/>
  <c r="D131" i="30"/>
  <c r="E131" i="30"/>
  <c r="J427" i="29"/>
  <c r="E427" i="29"/>
  <c r="J426" i="29"/>
  <c r="E426" i="29"/>
  <c r="J17" i="12"/>
  <c r="E17" i="12"/>
  <c r="J16" i="12"/>
  <c r="E16" i="12"/>
  <c r="J105" i="29"/>
  <c r="E105" i="29"/>
  <c r="J278" i="30"/>
  <c r="J277" i="30"/>
  <c r="J276" i="30"/>
  <c r="J275" i="30"/>
  <c r="J274" i="30"/>
  <c r="J273" i="30"/>
  <c r="J272" i="30"/>
  <c r="J270" i="30"/>
  <c r="J269" i="30"/>
  <c r="J268" i="30"/>
  <c r="J267" i="30"/>
  <c r="J266" i="30"/>
  <c r="J265" i="30"/>
  <c r="J264" i="30"/>
  <c r="D136" i="3"/>
  <c r="D105" i="3"/>
  <c r="J307" i="30"/>
  <c r="J306" i="30"/>
  <c r="J305" i="30"/>
  <c r="J304" i="30"/>
  <c r="J303" i="30"/>
  <c r="J302" i="30"/>
  <c r="J301" i="30"/>
  <c r="J299" i="30"/>
  <c r="J298" i="30"/>
  <c r="J297" i="30"/>
  <c r="J296" i="30"/>
  <c r="J295" i="30"/>
  <c r="J294" i="30"/>
  <c r="J293" i="30"/>
  <c r="J291" i="30"/>
  <c r="J59" i="5"/>
  <c r="J58" i="5"/>
  <c r="J57" i="5"/>
  <c r="J56" i="5"/>
  <c r="J55" i="5"/>
  <c r="J54" i="5"/>
  <c r="J53" i="5"/>
  <c r="J51" i="5"/>
  <c r="J50" i="5"/>
  <c r="J49" i="5"/>
  <c r="J48" i="5"/>
  <c r="J47" i="5"/>
  <c r="J46" i="5"/>
  <c r="J45" i="5"/>
  <c r="J30" i="5"/>
  <c r="J29" i="5"/>
  <c r="J28" i="5"/>
  <c r="J27" i="5"/>
  <c r="J26" i="5"/>
  <c r="J25" i="5"/>
  <c r="J24" i="5"/>
  <c r="J22" i="5"/>
  <c r="J21" i="5"/>
  <c r="J20" i="5"/>
  <c r="J19" i="5"/>
  <c r="J18" i="5"/>
  <c r="J17" i="5"/>
  <c r="J16" i="5"/>
  <c r="J144" i="3"/>
  <c r="D144" i="3"/>
  <c r="J143" i="3"/>
  <c r="D143" i="3"/>
  <c r="J142" i="3"/>
  <c r="D142" i="3"/>
  <c r="J141" i="3"/>
  <c r="D141" i="3"/>
  <c r="J140" i="3"/>
  <c r="D140" i="3"/>
  <c r="J139" i="3"/>
  <c r="D139" i="3"/>
  <c r="J138" i="3"/>
  <c r="D138" i="3"/>
  <c r="J136" i="3"/>
  <c r="J135" i="3"/>
  <c r="D135" i="3"/>
  <c r="J134" i="3"/>
  <c r="D134" i="3"/>
  <c r="J133" i="3"/>
  <c r="D133" i="3"/>
  <c r="J132" i="3"/>
  <c r="D132" i="3"/>
  <c r="J131" i="3"/>
  <c r="D131" i="3"/>
  <c r="J130" i="3"/>
  <c r="D130" i="3"/>
  <c r="J115" i="3"/>
  <c r="D115" i="3"/>
  <c r="J114" i="3"/>
  <c r="D114" i="3"/>
  <c r="J113" i="3"/>
  <c r="D113" i="3"/>
  <c r="J112" i="3"/>
  <c r="D112" i="3"/>
  <c r="J111" i="3"/>
  <c r="D111" i="3"/>
  <c r="J110" i="3"/>
  <c r="D110" i="3"/>
  <c r="J109" i="3"/>
  <c r="D109" i="3"/>
  <c r="J107" i="3"/>
  <c r="D107" i="3"/>
  <c r="J106" i="3"/>
  <c r="D106" i="3"/>
  <c r="J105" i="3"/>
  <c r="J104" i="3"/>
  <c r="D104" i="3"/>
  <c r="J103" i="3"/>
  <c r="D103" i="3"/>
  <c r="J102" i="3"/>
  <c r="D102" i="3"/>
  <c r="J101" i="3"/>
  <c r="D101" i="3"/>
  <c r="K101" i="3" s="1"/>
  <c r="I101" i="3" s="1"/>
  <c r="J445" i="29"/>
  <c r="E445" i="29"/>
  <c r="J405" i="29"/>
  <c r="E405" i="29"/>
  <c r="Q14" i="10"/>
  <c r="J14" i="10"/>
  <c r="E14" i="10"/>
  <c r="J41" i="8"/>
  <c r="E41" i="8"/>
  <c r="J81" i="7"/>
  <c r="E81" i="7"/>
  <c r="J203" i="30"/>
  <c r="E203" i="30"/>
  <c r="J253" i="3"/>
  <c r="E253" i="3"/>
  <c r="Q118" i="9"/>
  <c r="J118" i="9"/>
  <c r="J290" i="30"/>
  <c r="J261" i="30"/>
  <c r="J127" i="3"/>
  <c r="D127" i="3"/>
  <c r="J98" i="3"/>
  <c r="D98" i="3"/>
  <c r="J70" i="2"/>
  <c r="J62" i="2"/>
  <c r="J54" i="2"/>
  <c r="J73" i="29"/>
  <c r="D73" i="29"/>
  <c r="J65" i="29"/>
  <c r="D65" i="29"/>
  <c r="J45" i="29"/>
  <c r="J37" i="29"/>
  <c r="J24" i="29"/>
  <c r="J16" i="29"/>
  <c r="J69" i="30"/>
  <c r="D69" i="30"/>
  <c r="J61" i="30"/>
  <c r="D61" i="30"/>
  <c r="J13" i="5"/>
  <c r="J42" i="5"/>
  <c r="D42" i="5"/>
  <c r="J72" i="4"/>
  <c r="D72" i="4"/>
  <c r="J64" i="4"/>
  <c r="D64" i="4"/>
  <c r="J28" i="3"/>
  <c r="D28" i="3"/>
  <c r="J20" i="3"/>
  <c r="D20" i="3"/>
  <c r="J12" i="3"/>
  <c r="D12" i="3"/>
  <c r="J31" i="2"/>
  <c r="J23" i="2"/>
  <c r="J15" i="2"/>
  <c r="D43" i="5"/>
  <c r="D21" i="3"/>
  <c r="D128" i="3"/>
  <c r="E380" i="29"/>
  <c r="J380" i="29"/>
  <c r="J56" i="7"/>
  <c r="E56" i="7"/>
  <c r="J17" i="6"/>
  <c r="E17" i="6"/>
  <c r="J63" i="5"/>
  <c r="E63" i="5"/>
  <c r="J424" i="29"/>
  <c r="E424" i="29"/>
  <c r="J9" i="12"/>
  <c r="E9" i="12"/>
  <c r="C16" i="10"/>
  <c r="C137" i="11"/>
  <c r="C46" i="4"/>
  <c r="D27" i="3"/>
  <c r="C331" i="29"/>
  <c r="J217" i="29"/>
  <c r="E217" i="29"/>
  <c r="J216" i="29"/>
  <c r="E216" i="29"/>
  <c r="J215" i="29"/>
  <c r="E215" i="29"/>
  <c r="J214" i="29"/>
  <c r="E214" i="29"/>
  <c r="J213" i="29"/>
  <c r="E213" i="29"/>
  <c r="J307" i="29"/>
  <c r="E307" i="29"/>
  <c r="J306" i="29"/>
  <c r="E306" i="29"/>
  <c r="J305" i="29"/>
  <c r="E305" i="29"/>
  <c r="J304" i="29"/>
  <c r="E304" i="29"/>
  <c r="J303" i="29"/>
  <c r="E303" i="29"/>
  <c r="Q162" i="11"/>
  <c r="J162" i="11"/>
  <c r="E162" i="11"/>
  <c r="Q161" i="11"/>
  <c r="J161" i="11"/>
  <c r="E161" i="11"/>
  <c r="Q160" i="11"/>
  <c r="J160" i="11"/>
  <c r="E160" i="11"/>
  <c r="Q159" i="11"/>
  <c r="J159" i="11"/>
  <c r="E159" i="11"/>
  <c r="Q158" i="11"/>
  <c r="J158" i="11"/>
  <c r="E158" i="11"/>
  <c r="Q126" i="9"/>
  <c r="J126" i="9"/>
  <c r="Q125" i="9"/>
  <c r="J125" i="9"/>
  <c r="Q124" i="9"/>
  <c r="J124" i="9"/>
  <c r="Q123" i="9"/>
  <c r="J123" i="9"/>
  <c r="Q122" i="9"/>
  <c r="J122" i="9"/>
  <c r="J68" i="8"/>
  <c r="E68" i="8"/>
  <c r="J127" i="30"/>
  <c r="E127" i="30"/>
  <c r="J169" i="4"/>
  <c r="E169" i="4"/>
  <c r="J168" i="4"/>
  <c r="E168" i="4"/>
  <c r="J167" i="4"/>
  <c r="E167" i="4"/>
  <c r="J166" i="4"/>
  <c r="E166" i="4"/>
  <c r="J165" i="4"/>
  <c r="E165" i="4"/>
  <c r="J198" i="3"/>
  <c r="E198" i="3"/>
  <c r="J197" i="3"/>
  <c r="E197" i="3"/>
  <c r="J196" i="3"/>
  <c r="E196" i="3"/>
  <c r="J195" i="3"/>
  <c r="E195" i="3"/>
  <c r="J194" i="3"/>
  <c r="E194" i="3"/>
  <c r="J274" i="29"/>
  <c r="E274" i="29"/>
  <c r="J273" i="29"/>
  <c r="E273" i="29"/>
  <c r="J272" i="29"/>
  <c r="E272" i="29"/>
  <c r="Q216" i="11"/>
  <c r="J216" i="11"/>
  <c r="Q215" i="11"/>
  <c r="J215" i="11"/>
  <c r="Q214" i="11"/>
  <c r="J214" i="11"/>
  <c r="J184" i="30"/>
  <c r="E184" i="30"/>
  <c r="J183" i="30"/>
  <c r="E183" i="30"/>
  <c r="J182" i="30"/>
  <c r="E182" i="30"/>
  <c r="J226" i="4"/>
  <c r="E226" i="4"/>
  <c r="J225" i="4"/>
  <c r="E225" i="4"/>
  <c r="J224" i="4"/>
  <c r="E224" i="4"/>
  <c r="J68" i="3"/>
  <c r="E68" i="3"/>
  <c r="J67" i="3"/>
  <c r="E67" i="3"/>
  <c r="J66" i="3"/>
  <c r="E66" i="3"/>
  <c r="J90" i="2"/>
  <c r="E90" i="2"/>
  <c r="J89" i="2"/>
  <c r="E89" i="2"/>
  <c r="J88" i="2"/>
  <c r="E88" i="2"/>
  <c r="Q166" i="11"/>
  <c r="J166" i="11"/>
  <c r="Q130" i="9"/>
  <c r="J130" i="9"/>
  <c r="J84" i="8"/>
  <c r="E84" i="8"/>
  <c r="J145" i="30"/>
  <c r="E145" i="30"/>
  <c r="J187" i="4"/>
  <c r="E187" i="4"/>
  <c r="J179" i="3"/>
  <c r="E179" i="3"/>
  <c r="J86" i="3"/>
  <c r="E86" i="3"/>
  <c r="J320" i="29"/>
  <c r="E320" i="29"/>
  <c r="J235" i="29"/>
  <c r="E235" i="29"/>
  <c r="J323" i="29"/>
  <c r="E323" i="29"/>
  <c r="Q169" i="11"/>
  <c r="J169" i="11"/>
  <c r="Q133" i="9"/>
  <c r="J133" i="9"/>
  <c r="J87" i="8"/>
  <c r="E87" i="8"/>
  <c r="J148" i="30"/>
  <c r="E148" i="30"/>
  <c r="J190" i="4"/>
  <c r="E190" i="4"/>
  <c r="Q220" i="11"/>
  <c r="J220" i="11"/>
  <c r="J188" i="30"/>
  <c r="E188" i="30"/>
  <c r="J230" i="4"/>
  <c r="E230" i="4"/>
  <c r="J278" i="29"/>
  <c r="E278" i="29"/>
  <c r="J184" i="29"/>
  <c r="E184" i="29"/>
  <c r="J514" i="29"/>
  <c r="E514" i="29"/>
  <c r="Q69" i="11"/>
  <c r="J69" i="11"/>
  <c r="E69" i="11"/>
  <c r="J244" i="30"/>
  <c r="E244" i="30"/>
  <c r="J100" i="4"/>
  <c r="E100" i="4"/>
  <c r="J51" i="29"/>
  <c r="E51" i="29"/>
  <c r="J50" i="29"/>
  <c r="E50" i="29"/>
  <c r="J49" i="29"/>
  <c r="E49" i="29"/>
  <c r="R37" i="2"/>
  <c r="J37" i="2"/>
  <c r="E37" i="2"/>
  <c r="R36" i="2"/>
  <c r="J36" i="2"/>
  <c r="E36" i="2"/>
  <c r="R35" i="2"/>
  <c r="J35" i="2"/>
  <c r="E35" i="2"/>
  <c r="J334" i="29"/>
  <c r="E334" i="29"/>
  <c r="J333" i="29"/>
  <c r="E333" i="29"/>
  <c r="J10" i="7"/>
  <c r="E10" i="7"/>
  <c r="J9" i="7"/>
  <c r="E9" i="7"/>
  <c r="J348" i="29"/>
  <c r="E348" i="29"/>
  <c r="J24" i="7"/>
  <c r="E24" i="7"/>
  <c r="Q124" i="11"/>
  <c r="J124" i="11"/>
  <c r="E124" i="11"/>
  <c r="J569" i="29"/>
  <c r="E569" i="29"/>
  <c r="J441" i="29"/>
  <c r="E441" i="29"/>
  <c r="J440" i="29"/>
  <c r="E440" i="29"/>
  <c r="J400" i="29"/>
  <c r="E400" i="29"/>
  <c r="J399" i="29"/>
  <c r="E399" i="29"/>
  <c r="Q9" i="10"/>
  <c r="J9" i="10"/>
  <c r="E9" i="10"/>
  <c r="Q8" i="10"/>
  <c r="J8" i="10"/>
  <c r="E8" i="10"/>
  <c r="J36" i="8"/>
  <c r="E36" i="8"/>
  <c r="J35" i="8"/>
  <c r="E35" i="8"/>
  <c r="J76" i="7"/>
  <c r="E76" i="7"/>
  <c r="J75" i="7"/>
  <c r="E75" i="7"/>
  <c r="J198" i="30"/>
  <c r="E198" i="30"/>
  <c r="J197" i="30"/>
  <c r="E197" i="30"/>
  <c r="J248" i="3"/>
  <c r="E248" i="3"/>
  <c r="J247" i="3"/>
  <c r="E247" i="3"/>
  <c r="J123" i="2"/>
  <c r="E123" i="2"/>
  <c r="B21" i="27"/>
  <c r="B20" i="27"/>
  <c r="B19" i="27"/>
  <c r="D190" i="11"/>
  <c r="D144" i="11"/>
  <c r="D107" i="9"/>
  <c r="D56" i="8"/>
  <c r="D158" i="30"/>
  <c r="D113" i="30"/>
  <c r="D232" i="4"/>
  <c r="D227" i="4"/>
  <c r="D222" i="4"/>
  <c r="D211" i="4"/>
  <c r="D201" i="4"/>
  <c r="D200" i="4"/>
  <c r="D191" i="4"/>
  <c r="D189" i="4"/>
  <c r="D186" i="4"/>
  <c r="D181" i="4"/>
  <c r="D177" i="4"/>
  <c r="D172" i="4"/>
  <c r="D163" i="4"/>
  <c r="D157" i="4"/>
  <c r="D152" i="4"/>
  <c r="D79" i="3"/>
  <c r="D69" i="3"/>
  <c r="D64" i="3"/>
  <c r="D49" i="3"/>
  <c r="D48" i="3"/>
  <c r="D211" i="3"/>
  <c r="D207" i="3"/>
  <c r="D199" i="3"/>
  <c r="D191" i="3"/>
  <c r="D186" i="3"/>
  <c r="D181" i="3"/>
  <c r="D178" i="3"/>
  <c r="D177" i="3"/>
  <c r="D85" i="3"/>
  <c r="D83" i="3"/>
  <c r="D105" i="2"/>
  <c r="D99" i="2"/>
  <c r="D97" i="2"/>
  <c r="D91" i="2"/>
  <c r="D86" i="2"/>
  <c r="D76" i="2"/>
  <c r="D75" i="2"/>
  <c r="D291" i="29"/>
  <c r="D248" i="29"/>
  <c r="D199" i="29"/>
  <c r="E47" i="30"/>
  <c r="AA5" i="23"/>
  <c r="AA4" i="23"/>
  <c r="AF5" i="23"/>
  <c r="AF4" i="23"/>
  <c r="U5" i="23"/>
  <c r="U4" i="23"/>
  <c r="E83" i="7"/>
  <c r="E283" i="30"/>
  <c r="E282" i="30"/>
  <c r="X39" i="23"/>
  <c r="S21" i="27"/>
  <c r="S20" i="27"/>
  <c r="S19" i="27"/>
  <c r="S17" i="27"/>
  <c r="S16" i="27"/>
  <c r="S15" i="27"/>
  <c r="S13" i="27"/>
  <c r="S12" i="27"/>
  <c r="S11" i="27"/>
  <c r="S9" i="27"/>
  <c r="S8" i="27"/>
  <c r="S7" i="27"/>
  <c r="H30" i="33"/>
  <c r="H29" i="33"/>
  <c r="H28" i="33"/>
  <c r="H27" i="33"/>
  <c r="H26" i="33"/>
  <c r="H25" i="33"/>
  <c r="H24" i="33"/>
  <c r="H23" i="33"/>
  <c r="H22" i="33"/>
  <c r="H21" i="33"/>
  <c r="N29" i="20"/>
  <c r="A256" i="20"/>
  <c r="A239" i="20"/>
  <c r="A213" i="20"/>
  <c r="H17" i="33"/>
  <c r="K11" i="15"/>
  <c r="H16" i="33"/>
  <c r="N24" i="20"/>
  <c r="H15" i="33"/>
  <c r="K9" i="15"/>
  <c r="H14" i="33"/>
  <c r="N22" i="20"/>
  <c r="A95" i="20"/>
  <c r="H12" i="33"/>
  <c r="A82" i="20"/>
  <c r="H11" i="33"/>
  <c r="N19" i="20"/>
  <c r="H10" i="33"/>
  <c r="A58" i="20"/>
  <c r="H9" i="33"/>
  <c r="K3" i="15"/>
  <c r="H8" i="33"/>
  <c r="A8" i="20"/>
  <c r="H7" i="33"/>
  <c r="H6" i="33"/>
  <c r="K14" i="15"/>
  <c r="A248" i="20"/>
  <c r="A9" i="20"/>
  <c r="A19" i="20"/>
  <c r="D192" i="11"/>
  <c r="D195" i="11" s="1"/>
  <c r="L195" i="11" s="1"/>
  <c r="U14" i="14"/>
  <c r="U13" i="14"/>
  <c r="U12" i="14"/>
  <c r="U11" i="14"/>
  <c r="U10" i="14"/>
  <c r="U9" i="14"/>
  <c r="U8" i="14"/>
  <c r="U7" i="14"/>
  <c r="U6" i="14"/>
  <c r="U5" i="14"/>
  <c r="U4" i="14"/>
  <c r="U3" i="14"/>
  <c r="Q14" i="14"/>
  <c r="Q13" i="14"/>
  <c r="Q12" i="14"/>
  <c r="Q11" i="14"/>
  <c r="Q10" i="14"/>
  <c r="Q9" i="14"/>
  <c r="Q8" i="14"/>
  <c r="Q7" i="14"/>
  <c r="Q6" i="14"/>
  <c r="Q5" i="14"/>
  <c r="Q4" i="14"/>
  <c r="Q3" i="14"/>
  <c r="U2" i="14"/>
  <c r="Q2" i="14"/>
  <c r="I14" i="14"/>
  <c r="I13" i="14"/>
  <c r="M14" i="14"/>
  <c r="M13" i="14"/>
  <c r="M12" i="14"/>
  <c r="M6" i="14"/>
  <c r="M5" i="14"/>
  <c r="M4" i="14"/>
  <c r="M3" i="14"/>
  <c r="E14" i="14"/>
  <c r="E13" i="14"/>
  <c r="B25" i="24"/>
  <c r="B24" i="24"/>
  <c r="B32" i="62" s="1"/>
  <c r="C32" i="62" s="1"/>
  <c r="D32" i="62" s="1"/>
  <c r="E32" i="62" s="1"/>
  <c r="F32" i="62" s="1"/>
  <c r="G32" i="62" s="1"/>
  <c r="H32" i="62" s="1"/>
  <c r="I32" i="62" s="1"/>
  <c r="J32" i="62" s="1"/>
  <c r="K32" i="62" s="1"/>
  <c r="L32" i="62" s="1"/>
  <c r="M32" i="62" s="1"/>
  <c r="N32" i="62" s="1"/>
  <c r="O32" i="62" s="1"/>
  <c r="P32" i="62" s="1"/>
  <c r="Q32" i="62" s="1"/>
  <c r="R32" i="62" s="1"/>
  <c r="S32" i="62" s="1"/>
  <c r="T32" i="62" s="1"/>
  <c r="U32" i="62" s="1"/>
  <c r="V32" i="62" s="1"/>
  <c r="W32" i="62" s="1"/>
  <c r="X32" i="62" s="1"/>
  <c r="Y32" i="62" s="1"/>
  <c r="Z32" i="62" s="1"/>
  <c r="AA32" i="62" s="1"/>
  <c r="AB32" i="62" s="1"/>
  <c r="AC32" i="62" s="1"/>
  <c r="B23" i="24"/>
  <c r="B67" i="62" s="1"/>
  <c r="C67" i="62" s="1"/>
  <c r="D67" i="62" s="1"/>
  <c r="E67" i="62" s="1"/>
  <c r="F67" i="62" s="1"/>
  <c r="G67" i="62" s="1"/>
  <c r="H67" i="62" s="1"/>
  <c r="I67" i="62" s="1"/>
  <c r="J67" i="62" s="1"/>
  <c r="K67" i="62" s="1"/>
  <c r="L67" i="62" s="1"/>
  <c r="M67" i="62" s="1"/>
  <c r="N67" i="62" s="1"/>
  <c r="O67" i="62" s="1"/>
  <c r="P67" i="62" s="1"/>
  <c r="Q67" i="62" s="1"/>
  <c r="R67" i="62" s="1"/>
  <c r="S67" i="62" s="1"/>
  <c r="T67" i="62" s="1"/>
  <c r="U67" i="62" s="1"/>
  <c r="V67" i="62" s="1"/>
  <c r="W67" i="62" s="1"/>
  <c r="X67" i="62" s="1"/>
  <c r="Y67" i="62" s="1"/>
  <c r="Z67" i="62" s="1"/>
  <c r="AA67" i="62" s="1"/>
  <c r="AB67" i="62" s="1"/>
  <c r="AC67" i="62" s="1"/>
  <c r="D100" i="2"/>
  <c r="E100" i="2"/>
  <c r="E104" i="2"/>
  <c r="D115" i="2"/>
  <c r="E115" i="2"/>
  <c r="E116" i="2"/>
  <c r="E118" i="2"/>
  <c r="D73" i="4"/>
  <c r="D71" i="4"/>
  <c r="D70" i="4"/>
  <c r="D69" i="4"/>
  <c r="D68" i="4"/>
  <c r="D67" i="4"/>
  <c r="D65" i="4"/>
  <c r="D63" i="4"/>
  <c r="D62" i="4"/>
  <c r="D61" i="4"/>
  <c r="D60" i="4"/>
  <c r="D59" i="4"/>
  <c r="S27" i="27"/>
  <c r="S26" i="27"/>
  <c r="S25" i="27"/>
  <c r="S24" i="27"/>
  <c r="S23" i="27"/>
  <c r="D201" i="29"/>
  <c r="D206" i="29"/>
  <c r="D221" i="29"/>
  <c r="D226" i="29"/>
  <c r="D240" i="29"/>
  <c r="D281" i="29"/>
  <c r="D276" i="29"/>
  <c r="D271" i="29"/>
  <c r="D260" i="29"/>
  <c r="D250" i="29"/>
  <c r="D325" i="29"/>
  <c r="D309" i="29"/>
  <c r="D298" i="29"/>
  <c r="J327" i="29"/>
  <c r="E327" i="29"/>
  <c r="J326" i="29"/>
  <c r="E326" i="29"/>
  <c r="J325" i="29"/>
  <c r="E325" i="29"/>
  <c r="J321" i="29"/>
  <c r="E321" i="29"/>
  <c r="J318" i="29"/>
  <c r="E318" i="29"/>
  <c r="J317" i="29"/>
  <c r="E317" i="29"/>
  <c r="J316" i="29"/>
  <c r="E316" i="29"/>
  <c r="J314" i="29"/>
  <c r="E314" i="29"/>
  <c r="J312" i="29"/>
  <c r="E312" i="29"/>
  <c r="J311" i="29"/>
  <c r="E311" i="29"/>
  <c r="J310" i="29"/>
  <c r="E310" i="29"/>
  <c r="J309" i="29"/>
  <c r="E309" i="29"/>
  <c r="J302" i="29"/>
  <c r="E302" i="29"/>
  <c r="J300" i="29"/>
  <c r="E300" i="29"/>
  <c r="J299" i="29"/>
  <c r="E299" i="29"/>
  <c r="J298" i="29"/>
  <c r="E298" i="29"/>
  <c r="J291" i="29"/>
  <c r="J282" i="29"/>
  <c r="E282" i="29"/>
  <c r="J281" i="29"/>
  <c r="E281" i="29"/>
  <c r="J279" i="29"/>
  <c r="E279" i="29"/>
  <c r="J277" i="29"/>
  <c r="E277" i="29"/>
  <c r="J276" i="29"/>
  <c r="E276" i="29"/>
  <c r="J271" i="29"/>
  <c r="E271" i="29"/>
  <c r="J269" i="29"/>
  <c r="E269" i="29"/>
  <c r="J261" i="29"/>
  <c r="E261" i="29"/>
  <c r="J260" i="29"/>
  <c r="E260" i="29"/>
  <c r="J258" i="29"/>
  <c r="E258" i="29"/>
  <c r="J250" i="29"/>
  <c r="E250" i="29"/>
  <c r="E247" i="29"/>
  <c r="J242" i="29"/>
  <c r="E242" i="29"/>
  <c r="J241" i="29"/>
  <c r="E241" i="29"/>
  <c r="J240" i="29"/>
  <c r="E240" i="29"/>
  <c r="J238" i="29"/>
  <c r="E238" i="29"/>
  <c r="J236" i="29"/>
  <c r="E236" i="29"/>
  <c r="J233" i="29"/>
  <c r="E233" i="29"/>
  <c r="J231" i="29"/>
  <c r="E231" i="29"/>
  <c r="J230" i="29"/>
  <c r="E230" i="29"/>
  <c r="J228" i="29"/>
  <c r="E228" i="29"/>
  <c r="J226" i="29"/>
  <c r="E226" i="29"/>
  <c r="J224" i="29"/>
  <c r="E224" i="29"/>
  <c r="J223" i="29"/>
  <c r="E223" i="29"/>
  <c r="J222" i="29"/>
  <c r="E222" i="29"/>
  <c r="J221" i="29"/>
  <c r="E221" i="29"/>
  <c r="J212" i="29"/>
  <c r="E212" i="29"/>
  <c r="J210" i="29"/>
  <c r="E210" i="29"/>
  <c r="J207" i="29"/>
  <c r="E207" i="29"/>
  <c r="J206" i="29"/>
  <c r="E206" i="29"/>
  <c r="J204" i="29"/>
  <c r="E204" i="29"/>
  <c r="E201" i="29"/>
  <c r="D74" i="7"/>
  <c r="D56" i="30"/>
  <c r="J73" i="4"/>
  <c r="J71" i="4"/>
  <c r="J70" i="4"/>
  <c r="J69" i="4"/>
  <c r="J68" i="4"/>
  <c r="J67" i="4"/>
  <c r="J65" i="4"/>
  <c r="J63" i="4"/>
  <c r="J62" i="4"/>
  <c r="J61" i="4"/>
  <c r="J60" i="4"/>
  <c r="J59" i="4"/>
  <c r="D50" i="4"/>
  <c r="D45" i="4"/>
  <c r="D36" i="4"/>
  <c r="E83" i="29"/>
  <c r="E77" i="29"/>
  <c r="D43" i="7"/>
  <c r="D35" i="7"/>
  <c r="D23" i="7"/>
  <c r="E281" i="30"/>
  <c r="E254" i="30"/>
  <c r="E251" i="30"/>
  <c r="E249" i="30"/>
  <c r="E242" i="30"/>
  <c r="E235" i="30"/>
  <c r="E234" i="30"/>
  <c r="E227" i="30"/>
  <c r="E224" i="30"/>
  <c r="E222" i="30"/>
  <c r="E220" i="30"/>
  <c r="E201" i="30"/>
  <c r="E196" i="30"/>
  <c r="E157" i="30"/>
  <c r="E152" i="30"/>
  <c r="E151" i="30"/>
  <c r="E146" i="30"/>
  <c r="E143" i="30"/>
  <c r="E141" i="30"/>
  <c r="E140" i="30"/>
  <c r="E138" i="30"/>
  <c r="E136" i="30"/>
  <c r="E134" i="30"/>
  <c r="E133" i="30"/>
  <c r="E132" i="30"/>
  <c r="E126" i="30"/>
  <c r="E124" i="30"/>
  <c r="E121" i="30"/>
  <c r="E120" i="30"/>
  <c r="E118" i="30"/>
  <c r="E115" i="30"/>
  <c r="E53" i="30"/>
  <c r="D47" i="30"/>
  <c r="E252" i="30"/>
  <c r="E191" i="30"/>
  <c r="E189" i="30"/>
  <c r="E187" i="30"/>
  <c r="E186" i="30"/>
  <c r="D186" i="30"/>
  <c r="E181" i="30"/>
  <c r="D181" i="30"/>
  <c r="E168" i="30"/>
  <c r="E160" i="30"/>
  <c r="D160" i="30"/>
  <c r="E171" i="30"/>
  <c r="E170" i="30"/>
  <c r="D170" i="30"/>
  <c r="E179" i="30"/>
  <c r="J191" i="30"/>
  <c r="J189" i="30"/>
  <c r="J187" i="30"/>
  <c r="J186" i="30"/>
  <c r="J181" i="30"/>
  <c r="J179" i="30"/>
  <c r="J171" i="30"/>
  <c r="J170" i="30"/>
  <c r="J168" i="30"/>
  <c r="J160" i="30"/>
  <c r="J158" i="30"/>
  <c r="D70" i="30"/>
  <c r="D68" i="30"/>
  <c r="D67" i="30"/>
  <c r="D66" i="30"/>
  <c r="D65" i="30"/>
  <c r="D64" i="30"/>
  <c r="D62" i="30"/>
  <c r="D60" i="30"/>
  <c r="D59" i="30"/>
  <c r="D58" i="30"/>
  <c r="D57" i="30"/>
  <c r="J70" i="30"/>
  <c r="J68" i="30"/>
  <c r="J67" i="30"/>
  <c r="J66" i="30"/>
  <c r="J65" i="30"/>
  <c r="J64" i="30"/>
  <c r="J62" i="30"/>
  <c r="J60" i="30"/>
  <c r="J59" i="30"/>
  <c r="J58" i="30"/>
  <c r="J53" i="30"/>
  <c r="J47" i="30"/>
  <c r="J45" i="30"/>
  <c r="J289" i="30"/>
  <c r="J288" i="30"/>
  <c r="J287" i="30"/>
  <c r="J285" i="30"/>
  <c r="J283" i="30"/>
  <c r="J281" i="30"/>
  <c r="J280" i="30"/>
  <c r="J262" i="30"/>
  <c r="J260" i="30"/>
  <c r="J259" i="30"/>
  <c r="J257" i="30"/>
  <c r="J256" i="30"/>
  <c r="J252" i="30"/>
  <c r="J105" i="4"/>
  <c r="E105" i="4"/>
  <c r="J249" i="30"/>
  <c r="J242" i="30"/>
  <c r="J235" i="30"/>
  <c r="J234" i="30"/>
  <c r="J227" i="30"/>
  <c r="J224" i="30"/>
  <c r="J222" i="30"/>
  <c r="J220" i="30"/>
  <c r="J218" i="30"/>
  <c r="D196" i="30"/>
  <c r="J217" i="30"/>
  <c r="J214" i="30"/>
  <c r="J213" i="30"/>
  <c r="J212" i="30"/>
  <c r="J205" i="30"/>
  <c r="J201" i="30"/>
  <c r="J196" i="30"/>
  <c r="D37" i="30"/>
  <c r="D41" i="30"/>
  <c r="J39" i="30"/>
  <c r="J38" i="30"/>
  <c r="J37" i="30"/>
  <c r="J44" i="30"/>
  <c r="J43" i="30"/>
  <c r="J42" i="30"/>
  <c r="J41" i="30"/>
  <c r="J35" i="30"/>
  <c r="J157" i="30"/>
  <c r="J152" i="30"/>
  <c r="J151" i="30"/>
  <c r="J150" i="30"/>
  <c r="J146" i="30"/>
  <c r="J143" i="30"/>
  <c r="J141" i="30"/>
  <c r="J140" i="30"/>
  <c r="J138" i="30"/>
  <c r="J136" i="30"/>
  <c r="D136" i="30"/>
  <c r="J134" i="30"/>
  <c r="J133" i="30"/>
  <c r="J132" i="30"/>
  <c r="J131" i="30"/>
  <c r="J126" i="30"/>
  <c r="J124" i="30"/>
  <c r="J121" i="30"/>
  <c r="J120" i="30"/>
  <c r="D120" i="30"/>
  <c r="J118" i="30"/>
  <c r="J115" i="30"/>
  <c r="D115" i="30"/>
  <c r="J113" i="30"/>
  <c r="D233" i="4"/>
  <c r="D228" i="4"/>
  <c r="D223" i="4"/>
  <c r="D212" i="4"/>
  <c r="D202" i="4"/>
  <c r="D192" i="4"/>
  <c r="D178" i="4"/>
  <c r="D173" i="4"/>
  <c r="D158" i="4"/>
  <c r="D153" i="4"/>
  <c r="E496" i="29"/>
  <c r="E498" i="29"/>
  <c r="E499" i="29"/>
  <c r="E500" i="29"/>
  <c r="E507" i="29"/>
  <c r="E457" i="29"/>
  <c r="E455" i="29"/>
  <c r="E448" i="29"/>
  <c r="E447" i="29"/>
  <c r="E444" i="29"/>
  <c r="E443" i="29"/>
  <c r="E439" i="29"/>
  <c r="E423" i="29"/>
  <c r="E422" i="29"/>
  <c r="E421" i="29"/>
  <c r="E418" i="29"/>
  <c r="E416" i="29"/>
  <c r="E415" i="29"/>
  <c r="E414" i="29"/>
  <c r="E407" i="29"/>
  <c r="E403" i="29"/>
  <c r="E398" i="29"/>
  <c r="E374" i="29"/>
  <c r="E371" i="29"/>
  <c r="E369" i="29"/>
  <c r="E368" i="29"/>
  <c r="E367" i="29"/>
  <c r="E365" i="29"/>
  <c r="E360" i="29"/>
  <c r="E359" i="29"/>
  <c r="E357" i="29"/>
  <c r="E355" i="29"/>
  <c r="E353" i="29"/>
  <c r="E347" i="29"/>
  <c r="E339" i="29"/>
  <c r="E337" i="29"/>
  <c r="E332" i="29"/>
  <c r="E331" i="29"/>
  <c r="E198" i="29"/>
  <c r="E192" i="29"/>
  <c r="E189" i="29"/>
  <c r="E182" i="29"/>
  <c r="E175" i="29"/>
  <c r="E174" i="29"/>
  <c r="E167" i="29"/>
  <c r="E164" i="29"/>
  <c r="E162" i="29"/>
  <c r="E160" i="29"/>
  <c r="E157" i="29"/>
  <c r="E156" i="29"/>
  <c r="E155" i="29"/>
  <c r="E153" i="29"/>
  <c r="E152" i="29"/>
  <c r="E150" i="29"/>
  <c r="E151" i="29"/>
  <c r="D155" i="29"/>
  <c r="J157" i="29"/>
  <c r="J156" i="29"/>
  <c r="J155" i="29"/>
  <c r="C36" i="16"/>
  <c r="C35" i="16"/>
  <c r="C34" i="16"/>
  <c r="C33" i="16"/>
  <c r="G23" i="16"/>
  <c r="C23" i="16"/>
  <c r="G22" i="16"/>
  <c r="C22" i="16"/>
  <c r="C21" i="16"/>
  <c r="C41" i="26"/>
  <c r="C33" i="26"/>
  <c r="C34" i="26"/>
  <c r="G11" i="26"/>
  <c r="D19" i="26"/>
  <c r="D18" i="26"/>
  <c r="D17" i="26"/>
  <c r="D16" i="26"/>
  <c r="E15" i="26"/>
  <c r="D15" i="26"/>
  <c r="E14" i="26"/>
  <c r="D14" i="26"/>
  <c r="E13" i="26"/>
  <c r="D13" i="26"/>
  <c r="E12" i="26"/>
  <c r="D12" i="26"/>
  <c r="D10" i="26"/>
  <c r="D9" i="26"/>
  <c r="A204" i="14"/>
  <c r="A203" i="14"/>
  <c r="A179" i="14"/>
  <c r="X139" i="14"/>
  <c r="T138" i="14"/>
  <c r="X138" i="14"/>
  <c r="M138" i="14"/>
  <c r="A137" i="14"/>
  <c r="A136" i="14"/>
  <c r="A134" i="14"/>
  <c r="A129" i="14"/>
  <c r="A128" i="14"/>
  <c r="A123" i="14"/>
  <c r="A122" i="14"/>
  <c r="B22" i="24"/>
  <c r="AD141" i="15"/>
  <c r="K27" i="27"/>
  <c r="K26" i="27"/>
  <c r="K25" i="27"/>
  <c r="K24" i="27"/>
  <c r="K23" i="27"/>
  <c r="K20" i="27"/>
  <c r="K17" i="27"/>
  <c r="K16" i="27"/>
  <c r="K13" i="27"/>
  <c r="K12" i="27"/>
  <c r="K11" i="27"/>
  <c r="K9" i="27"/>
  <c r="K7" i="27"/>
  <c r="J596" i="29"/>
  <c r="E596" i="29"/>
  <c r="J594" i="29"/>
  <c r="E594" i="29"/>
  <c r="J593" i="29"/>
  <c r="E593" i="29"/>
  <c r="J592" i="29"/>
  <c r="E592" i="29"/>
  <c r="D592" i="29"/>
  <c r="J590" i="29"/>
  <c r="E590" i="29"/>
  <c r="J589" i="29"/>
  <c r="E589" i="29"/>
  <c r="J588" i="29"/>
  <c r="E588" i="29"/>
  <c r="D588" i="29"/>
  <c r="J586" i="29"/>
  <c r="E586" i="29"/>
  <c r="J581" i="29"/>
  <c r="E581" i="29"/>
  <c r="J580" i="29"/>
  <c r="E580" i="29"/>
  <c r="D580" i="29"/>
  <c r="J578" i="29"/>
  <c r="E578" i="29"/>
  <c r="E568" i="29"/>
  <c r="J567" i="29"/>
  <c r="E567" i="29"/>
  <c r="J566" i="29"/>
  <c r="E566" i="29"/>
  <c r="E565" i="29"/>
  <c r="D565" i="29"/>
  <c r="E523" i="29"/>
  <c r="E522" i="29"/>
  <c r="J519" i="29"/>
  <c r="E519" i="29"/>
  <c r="E512" i="29"/>
  <c r="E510" i="29"/>
  <c r="J507" i="29"/>
  <c r="J500" i="29"/>
  <c r="J499" i="29"/>
  <c r="J498" i="29"/>
  <c r="J457" i="29"/>
  <c r="J455" i="29"/>
  <c r="J448" i="29"/>
  <c r="J447" i="29"/>
  <c r="J444" i="29"/>
  <c r="J443" i="29"/>
  <c r="D443" i="29"/>
  <c r="D439" i="29"/>
  <c r="J423" i="29"/>
  <c r="J422" i="29"/>
  <c r="J418" i="29"/>
  <c r="J416" i="29"/>
  <c r="J415" i="29"/>
  <c r="J414" i="29"/>
  <c r="J407" i="29"/>
  <c r="J403" i="29"/>
  <c r="D398" i="29"/>
  <c r="J374" i="29"/>
  <c r="J371" i="29"/>
  <c r="J369" i="29"/>
  <c r="J368" i="29"/>
  <c r="J367" i="29"/>
  <c r="D367" i="29"/>
  <c r="J365" i="29"/>
  <c r="J360" i="29"/>
  <c r="J359" i="29"/>
  <c r="D359" i="29"/>
  <c r="J357" i="29"/>
  <c r="J355" i="29"/>
  <c r="J353" i="29"/>
  <c r="J347" i="29"/>
  <c r="D347" i="29"/>
  <c r="J339" i="29"/>
  <c r="J337" i="29"/>
  <c r="J332" i="29"/>
  <c r="J198" i="29"/>
  <c r="J192" i="29"/>
  <c r="D192" i="29"/>
  <c r="J190" i="29"/>
  <c r="J189" i="29"/>
  <c r="J182" i="29"/>
  <c r="J175" i="29"/>
  <c r="J174" i="29"/>
  <c r="J167" i="29"/>
  <c r="J164" i="29"/>
  <c r="J162" i="29"/>
  <c r="J158" i="29"/>
  <c r="J153" i="29"/>
  <c r="J152" i="29"/>
  <c r="J151" i="29"/>
  <c r="J150" i="29"/>
  <c r="D150" i="29"/>
  <c r="J148" i="29"/>
  <c r="J108" i="29"/>
  <c r="J97" i="29"/>
  <c r="E97" i="29"/>
  <c r="J96" i="29"/>
  <c r="E96" i="29"/>
  <c r="J95" i="29"/>
  <c r="E95" i="29"/>
  <c r="E87" i="29"/>
  <c r="D87" i="29"/>
  <c r="J83" i="29"/>
  <c r="J77" i="29"/>
  <c r="D77" i="29"/>
  <c r="J74" i="29"/>
  <c r="D74" i="29"/>
  <c r="J72" i="29"/>
  <c r="D72" i="29"/>
  <c r="J71" i="29"/>
  <c r="D71" i="29"/>
  <c r="J70" i="29"/>
  <c r="D70" i="29"/>
  <c r="J69" i="29"/>
  <c r="D69" i="29"/>
  <c r="J68" i="29"/>
  <c r="D68" i="29"/>
  <c r="J66" i="29"/>
  <c r="D66" i="29"/>
  <c r="J64" i="29"/>
  <c r="D64" i="29"/>
  <c r="J63" i="29"/>
  <c r="D63" i="29"/>
  <c r="J62" i="29"/>
  <c r="D62" i="29"/>
  <c r="J61" i="29"/>
  <c r="D61" i="29"/>
  <c r="D60" i="29"/>
  <c r="J56" i="29"/>
  <c r="J53" i="29"/>
  <c r="E53" i="29"/>
  <c r="J46" i="29"/>
  <c r="J44" i="29"/>
  <c r="J43" i="29"/>
  <c r="J42" i="29"/>
  <c r="J41" i="29"/>
  <c r="J40" i="29"/>
  <c r="J38" i="29"/>
  <c r="J36" i="29"/>
  <c r="J35" i="29"/>
  <c r="J34" i="29"/>
  <c r="J33" i="29"/>
  <c r="J25" i="29"/>
  <c r="J23" i="29"/>
  <c r="J22" i="29"/>
  <c r="J21" i="29"/>
  <c r="J20" i="29"/>
  <c r="J19" i="29"/>
  <c r="J17" i="29"/>
  <c r="J15" i="29"/>
  <c r="J14" i="29"/>
  <c r="J13" i="29"/>
  <c r="J12" i="29"/>
  <c r="Q246" i="11"/>
  <c r="J246" i="11"/>
  <c r="E246" i="11"/>
  <c r="Q244" i="11"/>
  <c r="J244" i="11"/>
  <c r="E244" i="11"/>
  <c r="Q243" i="11"/>
  <c r="J243" i="11"/>
  <c r="E243" i="11"/>
  <c r="Q242" i="11"/>
  <c r="E242" i="11"/>
  <c r="Q235" i="11"/>
  <c r="J235" i="11"/>
  <c r="Q234" i="11"/>
  <c r="J234" i="11"/>
  <c r="Q232" i="11"/>
  <c r="J232" i="11"/>
  <c r="Q219" i="11"/>
  <c r="J219" i="11"/>
  <c r="Q218" i="11"/>
  <c r="J218" i="11"/>
  <c r="Q213" i="11"/>
  <c r="J213" i="11"/>
  <c r="J211" i="11"/>
  <c r="Q203" i="11"/>
  <c r="J203" i="11"/>
  <c r="Q202" i="11"/>
  <c r="J202" i="11"/>
  <c r="J200" i="11"/>
  <c r="Q192" i="11"/>
  <c r="J192" i="11"/>
  <c r="Q189" i="11"/>
  <c r="J189" i="11"/>
  <c r="E189" i="11"/>
  <c r="Q185" i="11"/>
  <c r="J185" i="11"/>
  <c r="E185" i="11"/>
  <c r="Q184" i="11"/>
  <c r="J184" i="11"/>
  <c r="E184" i="11"/>
  <c r="Q182" i="11"/>
  <c r="J182" i="11"/>
  <c r="E182" i="11"/>
  <c r="Q180" i="11"/>
  <c r="J180" i="11"/>
  <c r="E180" i="11"/>
  <c r="Q179" i="11"/>
  <c r="J179" i="11"/>
  <c r="E179" i="11"/>
  <c r="Q178" i="11"/>
  <c r="J178" i="11"/>
  <c r="E178" i="11"/>
  <c r="Q176" i="11"/>
  <c r="J176" i="11"/>
  <c r="E176" i="11"/>
  <c r="Q174" i="11"/>
  <c r="J174" i="11"/>
  <c r="E174" i="11"/>
  <c r="Q173" i="11"/>
  <c r="J173" i="11"/>
  <c r="E173" i="11"/>
  <c r="Q172" i="11"/>
  <c r="J172" i="11"/>
  <c r="E172" i="11"/>
  <c r="Q171" i="11"/>
  <c r="J171" i="11"/>
  <c r="E171" i="11"/>
  <c r="Q167" i="11"/>
  <c r="J167" i="11"/>
  <c r="Q157" i="11"/>
  <c r="J157" i="11"/>
  <c r="E157" i="11"/>
  <c r="Q155" i="11"/>
  <c r="J155" i="11"/>
  <c r="E155" i="11"/>
  <c r="Q152" i="11"/>
  <c r="J152" i="11"/>
  <c r="E152" i="11"/>
  <c r="Q151" i="11"/>
  <c r="J151" i="11"/>
  <c r="E151" i="11"/>
  <c r="Q143" i="11"/>
  <c r="J143" i="11"/>
  <c r="E143" i="11"/>
  <c r="Q141" i="11"/>
  <c r="J141" i="11"/>
  <c r="E141" i="11"/>
  <c r="Q140" i="11"/>
  <c r="J140" i="11"/>
  <c r="E140" i="11"/>
  <c r="Q139" i="11"/>
  <c r="J139" i="11"/>
  <c r="E139" i="11"/>
  <c r="D139" i="11"/>
  <c r="Q137" i="11"/>
  <c r="J137" i="11"/>
  <c r="E137" i="11"/>
  <c r="Q135" i="11"/>
  <c r="J135" i="11"/>
  <c r="E135" i="11"/>
  <c r="Q125" i="11"/>
  <c r="J125" i="11"/>
  <c r="E125" i="11"/>
  <c r="Q123" i="11"/>
  <c r="J123" i="11"/>
  <c r="E123" i="11"/>
  <c r="Q122" i="11"/>
  <c r="J122" i="11"/>
  <c r="E122" i="11"/>
  <c r="Q121" i="11"/>
  <c r="J121" i="11"/>
  <c r="E121" i="11"/>
  <c r="Q120" i="11"/>
  <c r="E120" i="11"/>
  <c r="D120" i="11"/>
  <c r="Q82" i="11"/>
  <c r="J82" i="11"/>
  <c r="E82" i="11"/>
  <c r="Q79" i="11"/>
  <c r="J79" i="11"/>
  <c r="E79" i="11"/>
  <c r="Q78" i="11"/>
  <c r="E78" i="11"/>
  <c r="Q77" i="11"/>
  <c r="E77" i="11"/>
  <c r="Q74" i="11"/>
  <c r="J74" i="11"/>
  <c r="E74" i="11"/>
  <c r="Q58" i="11"/>
  <c r="E58" i="11"/>
  <c r="Q56" i="11"/>
  <c r="E56" i="11"/>
  <c r="Q53" i="11"/>
  <c r="J53" i="11"/>
  <c r="E53" i="11"/>
  <c r="Q46" i="11"/>
  <c r="J46" i="11"/>
  <c r="E46" i="11"/>
  <c r="Q45" i="11"/>
  <c r="J45" i="11"/>
  <c r="E45" i="11"/>
  <c r="Q44" i="11"/>
  <c r="J44" i="11"/>
  <c r="E44" i="11"/>
  <c r="Q42" i="11"/>
  <c r="E42" i="11"/>
  <c r="Q24" i="10"/>
  <c r="E24" i="10"/>
  <c r="Q17" i="10"/>
  <c r="J17" i="10"/>
  <c r="E17" i="10"/>
  <c r="Q16" i="10"/>
  <c r="J16" i="10"/>
  <c r="E16" i="10"/>
  <c r="Q12" i="10"/>
  <c r="J12" i="10"/>
  <c r="E12" i="10"/>
  <c r="Q11" i="10"/>
  <c r="E11" i="10"/>
  <c r="Q7" i="10"/>
  <c r="E7" i="10"/>
  <c r="Q154" i="9"/>
  <c r="J154" i="9"/>
  <c r="Q150" i="9"/>
  <c r="J150" i="9"/>
  <c r="Q149" i="9"/>
  <c r="J149" i="9"/>
  <c r="Q147" i="9"/>
  <c r="J147" i="9"/>
  <c r="Q145" i="9"/>
  <c r="J145" i="9"/>
  <c r="Q144" i="9"/>
  <c r="J144" i="9"/>
  <c r="Q143" i="9"/>
  <c r="J143" i="9"/>
  <c r="Q141" i="9"/>
  <c r="J141" i="9"/>
  <c r="Q139" i="9"/>
  <c r="J139" i="9"/>
  <c r="Q138" i="9"/>
  <c r="J138" i="9"/>
  <c r="Q137" i="9"/>
  <c r="J137" i="9"/>
  <c r="Q136" i="9"/>
  <c r="J136" i="9"/>
  <c r="Q135" i="9"/>
  <c r="J135" i="9"/>
  <c r="D135" i="9"/>
  <c r="Q132" i="9"/>
  <c r="Q131" i="9"/>
  <c r="J131" i="9"/>
  <c r="Q128" i="9"/>
  <c r="J128" i="9"/>
  <c r="Q121" i="9"/>
  <c r="J121" i="9"/>
  <c r="Q120" i="9"/>
  <c r="J120" i="9"/>
  <c r="D120" i="9"/>
  <c r="Q115" i="9"/>
  <c r="J115" i="9"/>
  <c r="Q114" i="9"/>
  <c r="J114" i="9"/>
  <c r="D114" i="9"/>
  <c r="J106" i="9"/>
  <c r="E106" i="9"/>
  <c r="J105" i="9"/>
  <c r="E105" i="9"/>
  <c r="J103" i="9"/>
  <c r="E103" i="9"/>
  <c r="J101" i="9"/>
  <c r="E101" i="9"/>
  <c r="J95" i="9"/>
  <c r="E95" i="9"/>
  <c r="J91" i="9"/>
  <c r="E91" i="9"/>
  <c r="J89" i="9"/>
  <c r="E89" i="9"/>
  <c r="J85" i="9"/>
  <c r="E85" i="9"/>
  <c r="J84" i="9"/>
  <c r="E84" i="9"/>
  <c r="E83" i="9"/>
  <c r="D83" i="9"/>
  <c r="J80" i="9"/>
  <c r="E80" i="9"/>
  <c r="J78" i="9"/>
  <c r="E78" i="9"/>
  <c r="E77" i="9"/>
  <c r="D77" i="9"/>
  <c r="J74" i="9"/>
  <c r="J71" i="9"/>
  <c r="E71" i="9"/>
  <c r="J65" i="9"/>
  <c r="E65" i="9"/>
  <c r="J64" i="9"/>
  <c r="E64" i="9"/>
  <c r="D64" i="9"/>
  <c r="J61" i="9"/>
  <c r="E61" i="9"/>
  <c r="J48" i="9"/>
  <c r="E48" i="9"/>
  <c r="E47" i="9"/>
  <c r="J46" i="9"/>
  <c r="E46" i="9"/>
  <c r="J45" i="9"/>
  <c r="E45" i="9"/>
  <c r="E43" i="9"/>
  <c r="J38" i="9"/>
  <c r="E38" i="9"/>
  <c r="J36" i="9"/>
  <c r="E36" i="9"/>
  <c r="E29" i="9"/>
  <c r="J28" i="9"/>
  <c r="E28" i="9"/>
  <c r="J96" i="8"/>
  <c r="E96" i="8"/>
  <c r="E91" i="8"/>
  <c r="J90" i="8"/>
  <c r="E90" i="8"/>
  <c r="J89" i="8"/>
  <c r="E89" i="8"/>
  <c r="D89" i="8"/>
  <c r="J85" i="8"/>
  <c r="E85" i="8"/>
  <c r="J82" i="8"/>
  <c r="E82" i="8"/>
  <c r="J80" i="8"/>
  <c r="E80" i="8"/>
  <c r="J79" i="8"/>
  <c r="E79" i="8"/>
  <c r="J77" i="8"/>
  <c r="E77" i="8"/>
  <c r="J75" i="8"/>
  <c r="E75" i="8"/>
  <c r="D75" i="8"/>
  <c r="J73" i="8"/>
  <c r="E73" i="8"/>
  <c r="J72" i="8"/>
  <c r="E72" i="8"/>
  <c r="J71" i="8"/>
  <c r="E71" i="8"/>
  <c r="J70" i="8"/>
  <c r="E70" i="8"/>
  <c r="D70" i="8"/>
  <c r="E67" i="8"/>
  <c r="J65" i="8"/>
  <c r="E65" i="8"/>
  <c r="J64" i="8"/>
  <c r="E64" i="8"/>
  <c r="J63" i="8"/>
  <c r="E63" i="8"/>
  <c r="D63" i="8"/>
  <c r="J61" i="8"/>
  <c r="E61" i="8"/>
  <c r="J58" i="8"/>
  <c r="E58" i="8"/>
  <c r="D58" i="8"/>
  <c r="J56" i="8"/>
  <c r="J55" i="8"/>
  <c r="E55" i="8"/>
  <c r="J52" i="8"/>
  <c r="E52" i="8"/>
  <c r="J51" i="8"/>
  <c r="E51" i="8"/>
  <c r="J50" i="8"/>
  <c r="E50" i="8"/>
  <c r="J43" i="8"/>
  <c r="E43" i="8"/>
  <c r="J39" i="8"/>
  <c r="E39" i="8"/>
  <c r="E34" i="8"/>
  <c r="D34" i="8"/>
  <c r="J31" i="8"/>
  <c r="E31" i="8"/>
  <c r="J30" i="8"/>
  <c r="E30" i="8"/>
  <c r="J29" i="8"/>
  <c r="E29" i="8"/>
  <c r="D29" i="8"/>
  <c r="J25" i="12"/>
  <c r="E25" i="12"/>
  <c r="J14" i="12"/>
  <c r="E14" i="12"/>
  <c r="J13" i="12"/>
  <c r="E13" i="12"/>
  <c r="E12" i="12"/>
  <c r="E11" i="12"/>
  <c r="J8" i="12"/>
  <c r="E8" i="12"/>
  <c r="J7" i="12"/>
  <c r="E7" i="12"/>
  <c r="E6" i="12"/>
  <c r="D6" i="12"/>
  <c r="L6" i="12" s="1"/>
  <c r="J95" i="7"/>
  <c r="E95" i="7"/>
  <c r="J92" i="7"/>
  <c r="E92" i="7"/>
  <c r="J91" i="7"/>
  <c r="E91" i="7"/>
  <c r="J90" i="7"/>
  <c r="E90" i="7"/>
  <c r="J83" i="7"/>
  <c r="J79" i="7"/>
  <c r="E79" i="7"/>
  <c r="E74" i="7"/>
  <c r="J50" i="7"/>
  <c r="E50" i="7"/>
  <c r="J47" i="7"/>
  <c r="E47" i="7"/>
  <c r="J45" i="7"/>
  <c r="E45" i="7"/>
  <c r="J44" i="7"/>
  <c r="E44" i="7"/>
  <c r="J43" i="7"/>
  <c r="E43" i="7"/>
  <c r="J41" i="7"/>
  <c r="E41" i="7"/>
  <c r="J36" i="7"/>
  <c r="E36" i="7"/>
  <c r="E35" i="7"/>
  <c r="J33" i="7"/>
  <c r="E33" i="7"/>
  <c r="E31" i="7"/>
  <c r="J29" i="7"/>
  <c r="E29" i="7"/>
  <c r="J23" i="7"/>
  <c r="E23" i="7"/>
  <c r="J15" i="7"/>
  <c r="E15" i="7"/>
  <c r="E13" i="7"/>
  <c r="E8" i="7"/>
  <c r="E7" i="7"/>
  <c r="J69" i="5"/>
  <c r="E69" i="5"/>
  <c r="J67" i="5"/>
  <c r="E67" i="5"/>
  <c r="J66" i="5"/>
  <c r="E66" i="5"/>
  <c r="J65" i="5"/>
  <c r="E65" i="5"/>
  <c r="J62" i="5"/>
  <c r="E62" i="5"/>
  <c r="J43" i="5"/>
  <c r="J41" i="5"/>
  <c r="D41" i="5"/>
  <c r="J40" i="5"/>
  <c r="D40" i="5"/>
  <c r="D39" i="5"/>
  <c r="J38" i="5"/>
  <c r="D38" i="5"/>
  <c r="J37" i="5"/>
  <c r="D37" i="5"/>
  <c r="J35" i="5"/>
  <c r="J34" i="5"/>
  <c r="J14" i="5"/>
  <c r="J12" i="5"/>
  <c r="J11" i="5"/>
  <c r="J9" i="5"/>
  <c r="J8" i="5"/>
  <c r="D6" i="5"/>
  <c r="J56" i="4"/>
  <c r="E56" i="4"/>
  <c r="J50" i="4"/>
  <c r="E50" i="4"/>
  <c r="J48" i="4"/>
  <c r="J47" i="4"/>
  <c r="E47" i="4"/>
  <c r="J46" i="4"/>
  <c r="E46" i="4"/>
  <c r="J45" i="4"/>
  <c r="E45" i="4"/>
  <c r="J43" i="4"/>
  <c r="J234" i="4"/>
  <c r="E234" i="4"/>
  <c r="J233" i="4"/>
  <c r="E233" i="4"/>
  <c r="J231" i="4"/>
  <c r="E231" i="4"/>
  <c r="J229" i="4"/>
  <c r="E229" i="4"/>
  <c r="J228" i="4"/>
  <c r="E228" i="4"/>
  <c r="E223" i="4"/>
  <c r="J221" i="4"/>
  <c r="E221" i="4"/>
  <c r="J213" i="4"/>
  <c r="E213" i="4"/>
  <c r="E212" i="4"/>
  <c r="E210" i="4"/>
  <c r="E202" i="4"/>
  <c r="J200" i="4"/>
  <c r="E199" i="4"/>
  <c r="J194" i="4"/>
  <c r="E194" i="4"/>
  <c r="J193" i="4"/>
  <c r="E193" i="4"/>
  <c r="J192" i="4"/>
  <c r="E192" i="4"/>
  <c r="J188" i="4"/>
  <c r="E188" i="4"/>
  <c r="J185" i="4"/>
  <c r="E185" i="4"/>
  <c r="J183" i="4"/>
  <c r="E183" i="4"/>
  <c r="J182" i="4"/>
  <c r="E182" i="4"/>
  <c r="J180" i="4"/>
  <c r="E180" i="4"/>
  <c r="J178" i="4"/>
  <c r="E178" i="4"/>
  <c r="J176" i="4"/>
  <c r="E176" i="4"/>
  <c r="J175" i="4"/>
  <c r="E175" i="4"/>
  <c r="J174" i="4"/>
  <c r="E174" i="4"/>
  <c r="J173" i="4"/>
  <c r="E173" i="4"/>
  <c r="J164" i="4"/>
  <c r="E164" i="4"/>
  <c r="J162" i="4"/>
  <c r="E162" i="4"/>
  <c r="J159" i="4"/>
  <c r="E159" i="4"/>
  <c r="J158" i="4"/>
  <c r="E158" i="4"/>
  <c r="J156" i="4"/>
  <c r="E156" i="4"/>
  <c r="E153" i="4"/>
  <c r="J108" i="4"/>
  <c r="E108" i="4"/>
  <c r="J107" i="4"/>
  <c r="E107" i="4"/>
  <c r="J98" i="4"/>
  <c r="E98" i="4"/>
  <c r="J91" i="4"/>
  <c r="E91" i="4"/>
  <c r="E90" i="4"/>
  <c r="J83" i="4"/>
  <c r="E83" i="4"/>
  <c r="J80" i="4"/>
  <c r="E80" i="4"/>
  <c r="J78" i="4"/>
  <c r="E78" i="4"/>
  <c r="E76" i="4"/>
  <c r="J74" i="4"/>
  <c r="J42" i="4"/>
  <c r="E42" i="4"/>
  <c r="J41" i="4"/>
  <c r="E41" i="4"/>
  <c r="J40" i="4"/>
  <c r="J39" i="4"/>
  <c r="E39" i="4"/>
  <c r="J38" i="4"/>
  <c r="E38" i="4"/>
  <c r="J37" i="4"/>
  <c r="E37" i="4"/>
  <c r="J36" i="4"/>
  <c r="E36" i="4"/>
  <c r="J28" i="6"/>
  <c r="J25" i="6"/>
  <c r="E25" i="6"/>
  <c r="J16" i="6"/>
  <c r="E16" i="6"/>
  <c r="E15" i="6"/>
  <c r="E7" i="6"/>
  <c r="D7" i="6"/>
  <c r="J272" i="3"/>
  <c r="E272" i="3"/>
  <c r="J263" i="3"/>
  <c r="E263" i="3"/>
  <c r="J262" i="3"/>
  <c r="E262" i="3"/>
  <c r="J255" i="3"/>
  <c r="E255" i="3"/>
  <c r="J251" i="3"/>
  <c r="E251" i="3"/>
  <c r="E246" i="3"/>
  <c r="D246" i="3"/>
  <c r="J244" i="3"/>
  <c r="J219" i="3"/>
  <c r="E219" i="3"/>
  <c r="J214" i="3"/>
  <c r="E214" i="3"/>
  <c r="J213" i="3"/>
  <c r="E213" i="3"/>
  <c r="J212" i="3"/>
  <c r="E212" i="3"/>
  <c r="D212" i="3"/>
  <c r="J210" i="3"/>
  <c r="E210" i="3"/>
  <c r="J209" i="3"/>
  <c r="E209" i="3"/>
  <c r="J208" i="3"/>
  <c r="E208" i="3"/>
  <c r="J200" i="3"/>
  <c r="E200" i="3"/>
  <c r="J193" i="3"/>
  <c r="E193" i="3"/>
  <c r="J192" i="3"/>
  <c r="E192" i="3"/>
  <c r="D192" i="3"/>
  <c r="J190" i="3"/>
  <c r="E190" i="3"/>
  <c r="J189" i="3"/>
  <c r="E189" i="3"/>
  <c r="E188" i="3"/>
  <c r="E187" i="3"/>
  <c r="D187" i="3"/>
  <c r="J185" i="3"/>
  <c r="E185" i="3"/>
  <c r="E182" i="3"/>
  <c r="D182" i="3"/>
  <c r="J180" i="3"/>
  <c r="E180" i="3"/>
  <c r="J177" i="3"/>
  <c r="J176" i="3"/>
  <c r="E176" i="3"/>
  <c r="J174" i="3"/>
  <c r="J147" i="3"/>
  <c r="E147" i="3"/>
  <c r="J126" i="3"/>
  <c r="D126" i="3"/>
  <c r="J125" i="3"/>
  <c r="D125" i="3"/>
  <c r="J124" i="3"/>
  <c r="D124" i="3"/>
  <c r="J123" i="3"/>
  <c r="D123" i="3"/>
  <c r="J122" i="3"/>
  <c r="D122" i="3"/>
  <c r="J120" i="3"/>
  <c r="J119" i="3"/>
  <c r="J117" i="3"/>
  <c r="J99" i="3"/>
  <c r="D99" i="3"/>
  <c r="J97" i="3"/>
  <c r="D97" i="3"/>
  <c r="J96" i="3"/>
  <c r="D96" i="3"/>
  <c r="J95" i="3"/>
  <c r="D95" i="3"/>
  <c r="J94" i="3"/>
  <c r="D94" i="3"/>
  <c r="J93" i="3"/>
  <c r="D93" i="3"/>
  <c r="J91" i="3"/>
  <c r="J87" i="3"/>
  <c r="E87" i="3"/>
  <c r="J82" i="3"/>
  <c r="E82" i="3"/>
  <c r="J81" i="3"/>
  <c r="E81" i="3"/>
  <c r="J80" i="3"/>
  <c r="E80" i="3"/>
  <c r="D80" i="3"/>
  <c r="J78" i="3"/>
  <c r="E78" i="3"/>
  <c r="J70" i="3"/>
  <c r="E70" i="3"/>
  <c r="D70" i="3"/>
  <c r="J65" i="3"/>
  <c r="E65" i="3"/>
  <c r="D65" i="3"/>
  <c r="J58" i="3"/>
  <c r="E58" i="3"/>
  <c r="E50" i="3"/>
  <c r="D50" i="3"/>
  <c r="J47" i="3"/>
  <c r="E47" i="3"/>
  <c r="J45" i="3"/>
  <c r="J39" i="3"/>
  <c r="D39" i="3"/>
  <c r="J29" i="3"/>
  <c r="D29" i="3"/>
  <c r="J27" i="3"/>
  <c r="J26" i="3"/>
  <c r="D26" i="3"/>
  <c r="J25" i="3"/>
  <c r="D25" i="3"/>
  <c r="J24" i="3"/>
  <c r="D24" i="3"/>
  <c r="J23" i="3"/>
  <c r="D23" i="3"/>
  <c r="J21" i="3"/>
  <c r="J19" i="3"/>
  <c r="D19" i="3"/>
  <c r="J18" i="3"/>
  <c r="D18" i="3"/>
  <c r="J17" i="3"/>
  <c r="D17" i="3"/>
  <c r="D16" i="3"/>
  <c r="J15" i="3"/>
  <c r="D15" i="3"/>
  <c r="J13" i="3"/>
  <c r="D13" i="3"/>
  <c r="J11" i="3"/>
  <c r="D11" i="3"/>
  <c r="J10" i="3"/>
  <c r="D10" i="3"/>
  <c r="J9" i="3"/>
  <c r="D9" i="3"/>
  <c r="D8" i="3"/>
  <c r="D7" i="3"/>
  <c r="J142" i="2"/>
  <c r="E142" i="2"/>
  <c r="J140" i="2"/>
  <c r="E140" i="2"/>
  <c r="J134" i="2"/>
  <c r="E134" i="2"/>
  <c r="J129" i="2"/>
  <c r="E129" i="2"/>
  <c r="J127" i="2"/>
  <c r="E127" i="2"/>
  <c r="J122" i="2"/>
  <c r="E122" i="2"/>
  <c r="J121" i="2"/>
  <c r="E121" i="2"/>
  <c r="D121" i="2"/>
  <c r="J120" i="2"/>
  <c r="E120" i="2"/>
  <c r="J118" i="2"/>
  <c r="J116" i="2"/>
  <c r="J115" i="2"/>
  <c r="J104" i="2"/>
  <c r="J100" i="2"/>
  <c r="E87" i="2"/>
  <c r="D87" i="2"/>
  <c r="J86" i="2"/>
  <c r="J85" i="2"/>
  <c r="E85" i="2"/>
  <c r="E77" i="2"/>
  <c r="D77" i="2"/>
  <c r="J74" i="2"/>
  <c r="J71" i="2"/>
  <c r="J69" i="2"/>
  <c r="J68" i="2"/>
  <c r="J67" i="2"/>
  <c r="J63" i="2"/>
  <c r="J61" i="2"/>
  <c r="J60" i="2"/>
  <c r="J59" i="2"/>
  <c r="J58" i="2"/>
  <c r="J57" i="2"/>
  <c r="J53" i="2"/>
  <c r="J52" i="2"/>
  <c r="J51" i="2"/>
  <c r="R46" i="2"/>
  <c r="J46" i="2"/>
  <c r="R39" i="2"/>
  <c r="J39" i="2"/>
  <c r="E39" i="2"/>
  <c r="J32" i="2"/>
  <c r="J30" i="2"/>
  <c r="J29" i="2"/>
  <c r="J28" i="2"/>
  <c r="J27" i="2"/>
  <c r="J26" i="2"/>
  <c r="J24" i="2"/>
  <c r="J22" i="2"/>
  <c r="J21" i="2"/>
  <c r="J20" i="2"/>
  <c r="J19" i="2"/>
  <c r="J18" i="2"/>
  <c r="J16" i="2"/>
  <c r="J14" i="2"/>
  <c r="J13" i="2"/>
  <c r="J11" i="2"/>
  <c r="C123" i="11"/>
  <c r="C7" i="7"/>
  <c r="C174" i="4"/>
  <c r="J60" i="29"/>
  <c r="C214" i="3"/>
  <c r="O214" i="3"/>
  <c r="F13" i="26"/>
  <c r="F14" i="26"/>
  <c r="F12" i="26"/>
  <c r="F15" i="26"/>
  <c r="D11" i="26"/>
  <c r="E292" i="20" a="1"/>
  <c r="E292" i="20" s="1"/>
  <c r="J568" i="29"/>
  <c r="J11" i="12"/>
  <c r="J49" i="2"/>
  <c r="J16" i="3"/>
  <c r="J7" i="7"/>
  <c r="J39" i="5"/>
  <c r="J56" i="30"/>
  <c r="J512" i="29"/>
  <c r="J258" i="30"/>
  <c r="J247" i="29"/>
  <c r="J8" i="3"/>
  <c r="J7" i="3"/>
  <c r="J50" i="3"/>
  <c r="J118" i="3"/>
  <c r="J128" i="3"/>
  <c r="J182" i="3"/>
  <c r="J187" i="3"/>
  <c r="J188" i="3"/>
  <c r="J246" i="3"/>
  <c r="K15" i="27"/>
  <c r="K8" i="27"/>
  <c r="J496" i="29"/>
  <c r="J57" i="30"/>
  <c r="C35" i="26"/>
  <c r="G14" i="26"/>
  <c r="G12" i="26"/>
  <c r="G15" i="26"/>
  <c r="G13" i="26"/>
  <c r="J510" i="29"/>
  <c r="J331" i="29"/>
  <c r="J77" i="11"/>
  <c r="J58" i="11"/>
  <c r="J13" i="7"/>
  <c r="J31" i="7"/>
  <c r="J67" i="8"/>
  <c r="J11" i="29"/>
  <c r="J8" i="7"/>
  <c r="J523" i="29"/>
  <c r="J6" i="12"/>
  <c r="J65" i="2"/>
  <c r="J10" i="5"/>
  <c r="J42" i="11"/>
  <c r="J90" i="4"/>
  <c r="J11" i="10"/>
  <c r="J78" i="11"/>
  <c r="J55" i="2"/>
  <c r="J50" i="2"/>
  <c r="J8" i="29"/>
  <c r="J421" i="29"/>
  <c r="J47" i="9"/>
  <c r="J76" i="4"/>
  <c r="J199" i="4"/>
  <c r="J12" i="12"/>
  <c r="J29" i="9"/>
  <c r="J15" i="6"/>
  <c r="J66" i="2"/>
  <c r="J210" i="4"/>
  <c r="J286" i="30"/>
  <c r="K21" i="27"/>
  <c r="J160" i="29"/>
  <c r="K19" i="27"/>
  <c r="J251" i="30"/>
  <c r="J522" i="29"/>
  <c r="J12" i="2"/>
  <c r="J24" i="10"/>
  <c r="J91" i="8"/>
  <c r="J43" i="9"/>
  <c r="J6" i="5"/>
  <c r="J398" i="29"/>
  <c r="J202" i="4"/>
  <c r="J34" i="8"/>
  <c r="J201" i="29"/>
  <c r="J120" i="11"/>
  <c r="J439" i="29"/>
  <c r="J74" i="7"/>
  <c r="J77" i="9"/>
  <c r="J87" i="2"/>
  <c r="J83" i="9"/>
  <c r="J7" i="10"/>
  <c r="J77" i="2"/>
  <c r="J223" i="4"/>
  <c r="J7" i="6"/>
  <c r="J565" i="29"/>
  <c r="J153" i="4"/>
  <c r="J87" i="29"/>
  <c r="J35" i="7"/>
  <c r="J10" i="2"/>
  <c r="J32" i="5"/>
  <c r="J254" i="30"/>
  <c r="J212" i="4"/>
  <c r="J32" i="29"/>
  <c r="J282" i="30"/>
  <c r="J242" i="11"/>
  <c r="J33" i="5"/>
  <c r="C205" i="30"/>
  <c r="C83" i="7"/>
  <c r="C407" i="29"/>
  <c r="C447" i="29"/>
  <c r="C255" i="3"/>
  <c r="C43" i="8"/>
  <c r="C589" i="29"/>
  <c r="C44" i="7"/>
  <c r="C368" i="29"/>
  <c r="C65" i="9"/>
  <c r="C75" i="7"/>
  <c r="O7" i="8"/>
  <c r="O51" i="9"/>
  <c r="O12" i="9"/>
  <c r="O10" i="9"/>
  <c r="O54" i="9"/>
  <c r="O45" i="8"/>
  <c r="O46" i="8"/>
  <c r="O8" i="8"/>
  <c r="K46" i="8"/>
  <c r="I46" i="8" s="1"/>
  <c r="O9" i="9"/>
  <c r="O19" i="9"/>
  <c r="O53" i="9"/>
  <c r="K47" i="8"/>
  <c r="O9" i="8"/>
  <c r="O48" i="8"/>
  <c r="O16" i="8"/>
  <c r="O49" i="9"/>
  <c r="O18" i="9"/>
  <c r="O11" i="9"/>
  <c r="O47" i="8"/>
  <c r="O22" i="9"/>
  <c r="O28" i="7"/>
  <c r="O7" i="9"/>
  <c r="O17" i="8"/>
  <c r="O21" i="9"/>
  <c r="O15" i="8"/>
  <c r="O17" i="9"/>
  <c r="O18" i="8"/>
  <c r="O16" i="9"/>
  <c r="O44" i="8"/>
  <c r="O49" i="8"/>
  <c r="O21" i="8"/>
  <c r="L47" i="8"/>
  <c r="O19" i="8"/>
  <c r="L22" i="9"/>
  <c r="K17" i="9"/>
  <c r="L19" i="9"/>
  <c r="K53" i="9"/>
  <c r="K49" i="8"/>
  <c r="L26" i="8"/>
  <c r="L15" i="8"/>
  <c r="K10" i="8"/>
  <c r="L12" i="8"/>
  <c r="O23" i="9"/>
  <c r="K25" i="9"/>
  <c r="L51" i="9"/>
  <c r="K18" i="8"/>
  <c r="K22" i="8"/>
  <c r="O50" i="9"/>
  <c r="O11" i="8"/>
  <c r="L48" i="8"/>
  <c r="K25" i="8"/>
  <c r="K14" i="8"/>
  <c r="L16" i="8"/>
  <c r="K11" i="8"/>
  <c r="L23" i="8"/>
  <c r="K19" i="8"/>
  <c r="K22" i="9"/>
  <c r="L24" i="9"/>
  <c r="K50" i="9"/>
  <c r="L49" i="8"/>
  <c r="K26" i="8"/>
  <c r="L17" i="8"/>
  <c r="K12" i="8"/>
  <c r="K7" i="8"/>
  <c r="I7" i="8" s="1"/>
  <c r="O15" i="9"/>
  <c r="K26" i="9"/>
  <c r="I26" i="9" s="1"/>
  <c r="L24" i="8"/>
  <c r="O26" i="8"/>
  <c r="L21" i="8"/>
  <c r="K16" i="8"/>
  <c r="L18" i="8"/>
  <c r="L7" i="8"/>
  <c r="K15" i="9"/>
  <c r="K8" i="8"/>
  <c r="O14" i="9"/>
  <c r="O25" i="8"/>
  <c r="K10" i="9"/>
  <c r="L12" i="9"/>
  <c r="I12" i="9" s="1"/>
  <c r="L22" i="8"/>
  <c r="K17" i="8"/>
  <c r="L19" i="8"/>
  <c r="L8" i="8"/>
  <c r="L46" i="8"/>
  <c r="L9" i="8"/>
  <c r="L17" i="9"/>
  <c r="O24" i="9"/>
  <c r="L7" i="9"/>
  <c r="L52" i="9"/>
  <c r="K48" i="8"/>
  <c r="K23" i="8"/>
  <c r="L25" i="8"/>
  <c r="I25" i="8" s="1"/>
  <c r="K9" i="8"/>
  <c r="L11" i="8"/>
  <c r="K21" i="8"/>
  <c r="K12" i="9"/>
  <c r="L10" i="8"/>
  <c r="O155" i="3"/>
  <c r="O63" i="7"/>
  <c r="K27" i="30"/>
  <c r="L163" i="3"/>
  <c r="I163" i="3" s="1"/>
  <c r="K30" i="30"/>
  <c r="K11" i="4"/>
  <c r="O206" i="30"/>
  <c r="O150" i="3"/>
  <c r="O9" i="4"/>
  <c r="O19" i="30"/>
  <c r="O91" i="7"/>
  <c r="L32" i="4"/>
  <c r="K24" i="30"/>
  <c r="O61" i="7"/>
  <c r="O8" i="4"/>
  <c r="O10" i="6"/>
  <c r="L13" i="30"/>
  <c r="O147" i="3"/>
  <c r="L16" i="30"/>
  <c r="K63" i="7"/>
  <c r="K87" i="7"/>
  <c r="L209" i="30"/>
  <c r="K12" i="6"/>
  <c r="K148" i="3"/>
  <c r="K152" i="3"/>
  <c r="I152" i="3" s="1"/>
  <c r="K11" i="30"/>
  <c r="O19" i="4"/>
  <c r="O213" i="30"/>
  <c r="O60" i="7"/>
  <c r="O154" i="3"/>
  <c r="K9" i="6"/>
  <c r="O23" i="30"/>
  <c r="O208" i="30"/>
  <c r="O17" i="7"/>
  <c r="L62" i="7"/>
  <c r="L168" i="3"/>
  <c r="O210" i="30"/>
  <c r="O67" i="7"/>
  <c r="O164" i="3"/>
  <c r="K31" i="30"/>
  <c r="I31" i="30" s="1"/>
  <c r="O89" i="7"/>
  <c r="O88" i="7"/>
  <c r="L63" i="7"/>
  <c r="I63" i="7" s="1"/>
  <c r="L155" i="3"/>
  <c r="O16" i="4"/>
  <c r="O8" i="30"/>
  <c r="O26" i="30"/>
  <c r="O156" i="3"/>
  <c r="O151" i="3"/>
  <c r="L11" i="30"/>
  <c r="O18" i="30"/>
  <c r="L29" i="30"/>
  <c r="L30" i="30"/>
  <c r="I30" i="30" s="1"/>
  <c r="L165" i="3"/>
  <c r="L22" i="30"/>
  <c r="O87" i="7"/>
  <c r="O162" i="3"/>
  <c r="O211" i="30"/>
  <c r="L19" i="30"/>
  <c r="O166" i="3"/>
  <c r="O31" i="4"/>
  <c r="O207" i="30"/>
  <c r="O173" i="3"/>
  <c r="O23" i="4"/>
  <c r="O15" i="30"/>
  <c r="O33" i="30"/>
  <c r="O70" i="7"/>
  <c r="O19" i="7"/>
  <c r="K172" i="3"/>
  <c r="I172" i="3" s="1"/>
  <c r="K13" i="30"/>
  <c r="O148" i="3"/>
  <c r="L34" i="30"/>
  <c r="K17" i="7"/>
  <c r="L87" i="7"/>
  <c r="K208" i="30"/>
  <c r="L12" i="6"/>
  <c r="L148" i="3"/>
  <c r="K155" i="3"/>
  <c r="O85" i="7"/>
  <c r="O257" i="3"/>
  <c r="K29" i="30"/>
  <c r="O20" i="30"/>
  <c r="K22" i="30"/>
  <c r="O22" i="4"/>
  <c r="K24" i="4"/>
  <c r="K258" i="3"/>
  <c r="L13" i="6"/>
  <c r="O26" i="4"/>
  <c r="O24" i="30"/>
  <c r="K151" i="3"/>
  <c r="O90" i="4"/>
  <c r="L159" i="3"/>
  <c r="O149" i="3"/>
  <c r="O170" i="3"/>
  <c r="L11" i="4"/>
  <c r="O64" i="7"/>
  <c r="K33" i="30"/>
  <c r="K16" i="30"/>
  <c r="L59" i="7"/>
  <c r="K9" i="30"/>
  <c r="K13" i="6"/>
  <c r="O29" i="4"/>
  <c r="K61" i="7"/>
  <c r="I61" i="7" s="1"/>
  <c r="K8" i="30"/>
  <c r="K26" i="30"/>
  <c r="O158" i="3"/>
  <c r="O12" i="6"/>
  <c r="L18" i="30"/>
  <c r="O18" i="4"/>
  <c r="O256" i="3"/>
  <c r="O159" i="3"/>
  <c r="O171" i="3"/>
  <c r="O21" i="4"/>
  <c r="O12" i="30"/>
  <c r="O31" i="30"/>
  <c r="O68" i="7"/>
  <c r="O77" i="4"/>
  <c r="K19" i="30"/>
  <c r="K31" i="4"/>
  <c r="O69" i="7"/>
  <c r="L15" i="30"/>
  <c r="O169" i="3"/>
  <c r="O11" i="6"/>
  <c r="O15" i="4"/>
  <c r="O33" i="4"/>
  <c r="O25" i="30"/>
  <c r="O8" i="6"/>
  <c r="O261" i="3"/>
  <c r="L258" i="3"/>
  <c r="I258" i="3" s="1"/>
  <c r="K18" i="7"/>
  <c r="K19" i="7"/>
  <c r="K211" i="30"/>
  <c r="K207" i="30"/>
  <c r="L9" i="6"/>
  <c r="L154" i="3"/>
  <c r="I154" i="3" s="1"/>
  <c r="O7" i="4"/>
  <c r="O25" i="4"/>
  <c r="O17" i="30"/>
  <c r="O27" i="30"/>
  <c r="O17" i="4"/>
  <c r="K18" i="4"/>
  <c r="L171" i="3"/>
  <c r="O12" i="4"/>
  <c r="O32" i="4"/>
  <c r="O260" i="3"/>
  <c r="L10" i="6"/>
  <c r="L27" i="30"/>
  <c r="K17" i="4"/>
  <c r="O30" i="30"/>
  <c r="L12" i="30"/>
  <c r="L10" i="30"/>
  <c r="O172" i="3"/>
  <c r="O161" i="3"/>
  <c r="L16" i="4"/>
  <c r="L8" i="30"/>
  <c r="L26" i="30"/>
  <c r="O86" i="7"/>
  <c r="O168" i="3"/>
  <c r="K18" i="30"/>
  <c r="I18" i="30" s="1"/>
  <c r="O234" i="30"/>
  <c r="K20" i="30"/>
  <c r="K12" i="30"/>
  <c r="I12" i="30" s="1"/>
  <c r="O157" i="3"/>
  <c r="O10" i="30"/>
  <c r="O66" i="7"/>
  <c r="K173" i="3"/>
  <c r="K15" i="30"/>
  <c r="L33" i="30"/>
  <c r="O9" i="30"/>
  <c r="O20" i="7"/>
  <c r="L32" i="30"/>
  <c r="K25" i="30"/>
  <c r="I25" i="30" s="1"/>
  <c r="O209" i="30"/>
  <c r="K59" i="7"/>
  <c r="L61" i="7"/>
  <c r="L19" i="7"/>
  <c r="K89" i="7"/>
  <c r="I89" i="7" s="1"/>
  <c r="L211" i="30"/>
  <c r="L207" i="30"/>
  <c r="K10" i="6"/>
  <c r="O9" i="6"/>
  <c r="O21" i="7"/>
  <c r="O84" i="7"/>
  <c r="O152" i="3"/>
  <c r="K159" i="3"/>
  <c r="L31" i="30"/>
  <c r="L66" i="7"/>
  <c r="O14" i="4"/>
  <c r="L169" i="3"/>
  <c r="L150" i="3"/>
  <c r="O13" i="30"/>
  <c r="O62" i="7"/>
  <c r="L17" i="7"/>
  <c r="L210" i="30"/>
  <c r="K17" i="30"/>
  <c r="O18" i="7"/>
  <c r="O11" i="30"/>
  <c r="O163" i="3"/>
  <c r="O29" i="30"/>
  <c r="K10" i="4"/>
  <c r="O165" i="3"/>
  <c r="O11" i="4"/>
  <c r="O30" i="4"/>
  <c r="O22" i="30"/>
  <c r="O13" i="6"/>
  <c r="O258" i="3"/>
  <c r="K157" i="3"/>
  <c r="K10" i="30"/>
  <c r="L23" i="30"/>
  <c r="K32" i="4"/>
  <c r="L24" i="30"/>
  <c r="O16" i="7"/>
  <c r="O263" i="3"/>
  <c r="L9" i="30"/>
  <c r="O28" i="4"/>
  <c r="O259" i="3"/>
  <c r="O24" i="4"/>
  <c r="O16" i="30"/>
  <c r="O34" i="30"/>
  <c r="O71" i="7"/>
  <c r="K62" i="7"/>
  <c r="L86" i="7"/>
  <c r="K209" i="30"/>
  <c r="I209" i="30" s="1"/>
  <c r="L11" i="6"/>
  <c r="L151" i="3"/>
  <c r="O59" i="7"/>
  <c r="O32" i="30"/>
  <c r="L208" i="30"/>
  <c r="K210" i="30"/>
  <c r="O10" i="4"/>
  <c r="L157" i="3"/>
  <c r="K169" i="3"/>
  <c r="L25" i="30"/>
  <c r="K11" i="6"/>
  <c r="O46" i="9"/>
  <c r="O79" i="4"/>
  <c r="O76" i="4"/>
  <c r="O51" i="8"/>
  <c r="O220" i="30"/>
  <c r="O222" i="30"/>
  <c r="O223" i="30"/>
  <c r="O44" i="9"/>
  <c r="O78" i="4"/>
  <c r="O221" i="30"/>
  <c r="O43" i="9"/>
  <c r="O66" i="5"/>
  <c r="O246" i="11"/>
  <c r="O244" i="11"/>
  <c r="O68" i="5"/>
  <c r="O69" i="5"/>
  <c r="O67" i="5"/>
  <c r="O65" i="5"/>
  <c r="O95" i="9"/>
  <c r="O127" i="30"/>
  <c r="O68" i="8"/>
  <c r="O135" i="2"/>
  <c r="O98" i="2"/>
  <c r="O134" i="2"/>
  <c r="O99" i="9"/>
  <c r="O138" i="2"/>
  <c r="O96" i="9"/>
  <c r="O193" i="3"/>
  <c r="O238" i="4"/>
  <c r="O67" i="8"/>
  <c r="O78" i="3"/>
  <c r="O239" i="4"/>
  <c r="O237" i="4"/>
  <c r="O167" i="4"/>
  <c r="O165" i="4"/>
  <c r="O96" i="2"/>
  <c r="O76" i="3"/>
  <c r="O196" i="3"/>
  <c r="O124" i="9"/>
  <c r="O126" i="9"/>
  <c r="O125" i="9"/>
  <c r="O126" i="30"/>
  <c r="O123" i="9"/>
  <c r="O166" i="4"/>
  <c r="O195" i="3"/>
  <c r="O197" i="3"/>
  <c r="O198" i="3"/>
  <c r="O169" i="4"/>
  <c r="O164" i="4"/>
  <c r="O122" i="9"/>
  <c r="O74" i="3"/>
  <c r="O194" i="3"/>
  <c r="O121" i="9"/>
  <c r="O168" i="4"/>
  <c r="O241" i="4"/>
  <c r="O240" i="4"/>
  <c r="O77" i="3"/>
  <c r="O75" i="3"/>
  <c r="O67" i="9"/>
  <c r="O71" i="9"/>
  <c r="O68" i="9"/>
  <c r="O70" i="9"/>
  <c r="O69" i="9"/>
  <c r="O138" i="4"/>
  <c r="O237" i="3"/>
  <c r="O204" i="4"/>
  <c r="O171" i="4"/>
  <c r="O103" i="30"/>
  <c r="O41" i="8"/>
  <c r="O123" i="4"/>
  <c r="O49" i="30"/>
  <c r="O232" i="3"/>
  <c r="O136" i="4"/>
  <c r="O153" i="30"/>
  <c r="O63" i="3"/>
  <c r="O72" i="3"/>
  <c r="O83" i="4"/>
  <c r="O82" i="4"/>
  <c r="O98" i="30"/>
  <c r="O271" i="3"/>
  <c r="O94" i="2"/>
  <c r="O59" i="8"/>
  <c r="O51" i="30"/>
  <c r="O51" i="3"/>
  <c r="O156" i="30"/>
  <c r="O25" i="7"/>
  <c r="O79" i="30"/>
  <c r="O131" i="4"/>
  <c r="O85" i="2"/>
  <c r="O157" i="30"/>
  <c r="O243" i="4"/>
  <c r="O82" i="2"/>
  <c r="O89" i="30"/>
  <c r="O131" i="2"/>
  <c r="O34" i="9"/>
  <c r="O209" i="4"/>
  <c r="O82" i="8"/>
  <c r="O105" i="4"/>
  <c r="O140" i="4"/>
  <c r="O237" i="30"/>
  <c r="O29" i="6"/>
  <c r="O98" i="4"/>
  <c r="O56" i="7"/>
  <c r="O216" i="30"/>
  <c r="O110" i="30"/>
  <c r="O95" i="4"/>
  <c r="O229" i="3"/>
  <c r="O99" i="30"/>
  <c r="O129" i="30"/>
  <c r="O205" i="3"/>
  <c r="O85" i="30"/>
  <c r="O112" i="4"/>
  <c r="O53" i="7"/>
  <c r="O126" i="2"/>
  <c r="O89" i="3"/>
  <c r="O141" i="9"/>
  <c r="O60" i="9"/>
  <c r="O270" i="3"/>
  <c r="O61" i="8"/>
  <c r="O109" i="30"/>
  <c r="O122" i="4"/>
  <c r="O265" i="3"/>
  <c r="O27" i="7"/>
  <c r="O219" i="3"/>
  <c r="O25" i="12"/>
  <c r="O90" i="30"/>
  <c r="O86" i="9"/>
  <c r="O78" i="30"/>
  <c r="O18" i="12"/>
  <c r="O216" i="3"/>
  <c r="O206" i="3"/>
  <c r="O53" i="3"/>
  <c r="O167" i="30"/>
  <c r="O185" i="4"/>
  <c r="O217" i="30"/>
  <c r="O196" i="4"/>
  <c r="O162" i="4"/>
  <c r="O102" i="2"/>
  <c r="O37" i="6"/>
  <c r="O39" i="2"/>
  <c r="O76" i="30"/>
  <c r="O150" i="4"/>
  <c r="O41" i="9"/>
  <c r="O138" i="30"/>
  <c r="O179" i="30"/>
  <c r="O161" i="30"/>
  <c r="O95" i="8"/>
  <c r="O121" i="4"/>
  <c r="O117" i="30"/>
  <c r="O118" i="2"/>
  <c r="O23" i="6"/>
  <c r="O52" i="4"/>
  <c r="O94" i="8"/>
  <c r="O55" i="4"/>
  <c r="O87" i="4"/>
  <c r="O227" i="3"/>
  <c r="O215" i="3"/>
  <c r="O128" i="9"/>
  <c r="O84" i="30"/>
  <c r="O53" i="8"/>
  <c r="O199" i="4"/>
  <c r="O144" i="4"/>
  <c r="O32" i="6"/>
  <c r="O128" i="4"/>
  <c r="O124" i="2"/>
  <c r="O239" i="30"/>
  <c r="O183" i="3"/>
  <c r="O104" i="2"/>
  <c r="O93" i="4"/>
  <c r="O164" i="30"/>
  <c r="O269" i="3"/>
  <c r="O238" i="30"/>
  <c r="O93" i="30"/>
  <c r="O225" i="3"/>
  <c r="O79" i="2"/>
  <c r="O48" i="30"/>
  <c r="O81" i="2"/>
  <c r="O20" i="12"/>
  <c r="O116" i="30"/>
  <c r="O101" i="30"/>
  <c r="O43" i="2"/>
  <c r="O85" i="4"/>
  <c r="O50" i="30"/>
  <c r="O21" i="6"/>
  <c r="O35" i="6"/>
  <c r="O161" i="4"/>
  <c r="O217" i="4"/>
  <c r="O206" i="4"/>
  <c r="O88" i="9"/>
  <c r="O79" i="9"/>
  <c r="O57" i="9"/>
  <c r="O102" i="4"/>
  <c r="O218" i="4"/>
  <c r="O88" i="4"/>
  <c r="O230" i="30"/>
  <c r="O114" i="4"/>
  <c r="O245" i="4"/>
  <c r="O35" i="9"/>
  <c r="O243" i="3"/>
  <c r="O30" i="6"/>
  <c r="O238" i="3"/>
  <c r="O82" i="30"/>
  <c r="O91" i="9"/>
  <c r="O50" i="7"/>
  <c r="O149" i="4"/>
  <c r="O12" i="7"/>
  <c r="O92" i="30"/>
  <c r="O108" i="30"/>
  <c r="O197" i="4"/>
  <c r="O118" i="30"/>
  <c r="O24" i="6"/>
  <c r="O223" i="3"/>
  <c r="O166" i="30"/>
  <c r="O248" i="30"/>
  <c r="O95" i="2"/>
  <c r="O74" i="30"/>
  <c r="O32" i="9"/>
  <c r="O154" i="4"/>
  <c r="O173" i="30"/>
  <c r="O139" i="4"/>
  <c r="O21" i="12"/>
  <c r="O31" i="9"/>
  <c r="O33" i="6"/>
  <c r="O36" i="9"/>
  <c r="O80" i="2"/>
  <c r="O267" i="3"/>
  <c r="O176" i="30"/>
  <c r="O93" i="9"/>
  <c r="O130" i="4"/>
  <c r="O37" i="7"/>
  <c r="O236" i="4"/>
  <c r="O200" i="3"/>
  <c r="O240" i="30"/>
  <c r="O56" i="4"/>
  <c r="O193" i="30"/>
  <c r="O54" i="7"/>
  <c r="O132" i="4"/>
  <c r="O220" i="4"/>
  <c r="O112" i="2"/>
  <c r="O253" i="3"/>
  <c r="O22" i="12"/>
  <c r="O42" i="3"/>
  <c r="O215" i="30"/>
  <c r="O116" i="4"/>
  <c r="O52" i="3"/>
  <c r="O141" i="4"/>
  <c r="O101" i="2"/>
  <c r="O40" i="7"/>
  <c r="O226" i="30"/>
  <c r="O236" i="3"/>
  <c r="O92" i="8"/>
  <c r="O97" i="4"/>
  <c r="O127" i="2"/>
  <c r="O25" i="6"/>
  <c r="O52" i="30"/>
  <c r="O246" i="30"/>
  <c r="O216" i="4"/>
  <c r="O232" i="30"/>
  <c r="O117" i="4"/>
  <c r="O154" i="9"/>
  <c r="O26" i="7"/>
  <c r="O127" i="4"/>
  <c r="O73" i="3"/>
  <c r="O41" i="7"/>
  <c r="O40" i="3"/>
  <c r="O53" i="4"/>
  <c r="O23" i="12"/>
  <c r="O55" i="8"/>
  <c r="O147" i="4"/>
  <c r="O77" i="8"/>
  <c r="O96" i="4"/>
  <c r="O42" i="2"/>
  <c r="O247" i="30"/>
  <c r="O110" i="2"/>
  <c r="O38" i="7"/>
  <c r="O242" i="30"/>
  <c r="O54" i="8"/>
  <c r="O29" i="7"/>
  <c r="O55" i="3"/>
  <c r="O88" i="30"/>
  <c r="O175" i="30"/>
  <c r="O117" i="2"/>
  <c r="O96" i="8"/>
  <c r="O93" i="7"/>
  <c r="O146" i="4"/>
  <c r="O83" i="2"/>
  <c r="O61" i="9"/>
  <c r="O113" i="4"/>
  <c r="O266" i="3"/>
  <c r="O115" i="4"/>
  <c r="O58" i="9"/>
  <c r="O103" i="2"/>
  <c r="O165" i="30"/>
  <c r="O145" i="4"/>
  <c r="O143" i="30"/>
  <c r="O109" i="2"/>
  <c r="O55" i="7"/>
  <c r="O168" i="30"/>
  <c r="O107" i="30"/>
  <c r="O205" i="4"/>
  <c r="O84" i="2"/>
  <c r="O147" i="9"/>
  <c r="O56" i="9"/>
  <c r="O124" i="30"/>
  <c r="O51" i="4"/>
  <c r="O185" i="3"/>
  <c r="O97" i="30"/>
  <c r="O56" i="3"/>
  <c r="O241" i="30"/>
  <c r="O89" i="9"/>
  <c r="O104" i="4"/>
  <c r="O180" i="4"/>
  <c r="O221" i="4"/>
  <c r="O219" i="4"/>
  <c r="O13" i="7"/>
  <c r="O103" i="4"/>
  <c r="O218" i="3"/>
  <c r="O33" i="9"/>
  <c r="O22" i="6"/>
  <c r="O137" i="4"/>
  <c r="O80" i="9"/>
  <c r="O231" i="3"/>
  <c r="O41" i="3"/>
  <c r="O75" i="30"/>
  <c r="O77" i="30"/>
  <c r="O227" i="30"/>
  <c r="O210" i="4"/>
  <c r="O24" i="12"/>
  <c r="O100" i="30"/>
  <c r="O207" i="4"/>
  <c r="O111" i="30"/>
  <c r="O233" i="3"/>
  <c r="O217" i="3"/>
  <c r="O44" i="3"/>
  <c r="O91" i="30"/>
  <c r="O189" i="30"/>
  <c r="O54" i="4"/>
  <c r="O215" i="4"/>
  <c r="O52" i="7"/>
  <c r="O151" i="9"/>
  <c r="O177" i="30"/>
  <c r="O43" i="3"/>
  <c r="O203" i="4"/>
  <c r="O198" i="4"/>
  <c r="O31" i="6"/>
  <c r="O228" i="3"/>
  <c r="O184" i="3"/>
  <c r="O123" i="30"/>
  <c r="O229" i="30"/>
  <c r="O163" i="30"/>
  <c r="O102" i="30"/>
  <c r="O154" i="30"/>
  <c r="O118" i="9"/>
  <c r="O86" i="4"/>
  <c r="O272" i="3"/>
  <c r="O84" i="3"/>
  <c r="O148" i="4"/>
  <c r="O60" i="8"/>
  <c r="O19" i="12"/>
  <c r="O129" i="2"/>
  <c r="O106" i="30"/>
  <c r="O226" i="3"/>
  <c r="O242" i="3"/>
  <c r="O59" i="9"/>
  <c r="O155" i="30"/>
  <c r="O231" i="30"/>
  <c r="O129" i="4"/>
  <c r="O195" i="4"/>
  <c r="O231" i="4"/>
  <c r="O93" i="8"/>
  <c r="O19" i="6"/>
  <c r="O94" i="7"/>
  <c r="O39" i="7"/>
  <c r="O81" i="7"/>
  <c r="O156" i="4"/>
  <c r="O49" i="7"/>
  <c r="O78" i="2"/>
  <c r="O57" i="3"/>
  <c r="O210" i="3"/>
  <c r="O126" i="4"/>
  <c r="O208" i="4"/>
  <c r="O95" i="7"/>
  <c r="O153" i="9"/>
  <c r="O20" i="6"/>
  <c r="O94" i="30"/>
  <c r="O45" i="3"/>
  <c r="O106" i="2"/>
  <c r="O112" i="30"/>
  <c r="O178" i="30"/>
  <c r="O94" i="4"/>
  <c r="O224" i="3"/>
  <c r="O162" i="30"/>
  <c r="O45" i="7"/>
  <c r="O239" i="3"/>
  <c r="O203" i="30"/>
  <c r="O230" i="3"/>
  <c r="O83" i="30"/>
  <c r="O155" i="4"/>
  <c r="O38" i="2"/>
  <c r="O117" i="9"/>
  <c r="O54" i="3"/>
  <c r="O55" i="9"/>
  <c r="O268" i="3"/>
  <c r="O152" i="9"/>
  <c r="O34" i="6"/>
  <c r="O174" i="30"/>
  <c r="O36" i="6"/>
  <c r="O235" i="4"/>
  <c r="O58" i="3"/>
  <c r="O120" i="4"/>
  <c r="O135" i="4"/>
  <c r="O53" i="30"/>
  <c r="O249" i="30"/>
  <c r="C224" i="29"/>
  <c r="C138" i="9"/>
  <c r="K223" i="30"/>
  <c r="L223" i="30"/>
  <c r="L221" i="30"/>
  <c r="L77" i="4"/>
  <c r="K221" i="30"/>
  <c r="B16" i="66"/>
  <c r="G25" i="15"/>
  <c r="F103" i="15"/>
  <c r="C79" i="8"/>
  <c r="H67" i="15"/>
  <c r="C14" i="12"/>
  <c r="F84" i="15"/>
  <c r="C7" i="12"/>
  <c r="O7" i="12"/>
  <c r="B69" i="66"/>
  <c r="F78" i="15"/>
  <c r="C33" i="7"/>
  <c r="K33" i="7"/>
  <c r="F63" i="15"/>
  <c r="B47" i="66"/>
  <c r="F38" i="15"/>
  <c r="C96" i="29"/>
  <c r="E27" i="15"/>
  <c r="C444" i="29"/>
  <c r="F34" i="15"/>
  <c r="C188" i="4"/>
  <c r="B37" i="66"/>
  <c r="H76" i="15"/>
  <c r="B15" i="66"/>
  <c r="G24" i="15"/>
  <c r="C281" i="30"/>
  <c r="O281" i="30"/>
  <c r="F89" i="15"/>
  <c r="E8" i="14"/>
  <c r="F86" i="15"/>
  <c r="C323" i="29"/>
  <c r="H55" i="15"/>
  <c r="C596" i="29"/>
  <c r="F29" i="15"/>
  <c r="B78" i="66"/>
  <c r="F27" i="15"/>
  <c r="C183" i="30"/>
  <c r="H73" i="15"/>
  <c r="B13" i="66"/>
  <c r="F100" i="15"/>
  <c r="B74" i="66"/>
  <c r="F96" i="15"/>
  <c r="B72" i="66"/>
  <c r="F82" i="15"/>
  <c r="C28" i="6"/>
  <c r="G15" i="15"/>
  <c r="C247" i="3"/>
  <c r="F33" i="15"/>
  <c r="C190" i="3"/>
  <c r="H6" i="15"/>
  <c r="B56" i="66"/>
  <c r="H71" i="15"/>
  <c r="B62" i="66"/>
  <c r="F105" i="15"/>
  <c r="B54" i="66"/>
  <c r="H70" i="15"/>
  <c r="B39" i="66"/>
  <c r="F87" i="15"/>
  <c r="C423" i="29"/>
  <c r="O423" i="29"/>
  <c r="B70" i="66"/>
  <c r="F79" i="15"/>
  <c r="F64" i="15"/>
  <c r="C135" i="11"/>
  <c r="B58" i="66"/>
  <c r="F52" i="15"/>
  <c r="C140" i="2"/>
  <c r="B86" i="66"/>
  <c r="F32" i="15"/>
  <c r="C72" i="8"/>
  <c r="H3" i="15"/>
  <c r="B79" i="66"/>
  <c r="F23" i="15"/>
  <c r="C142" i="2"/>
  <c r="B20" i="66"/>
  <c r="F20" i="15"/>
  <c r="C9" i="7"/>
  <c r="B61" i="66"/>
  <c r="F18" i="15"/>
  <c r="C68" i="3"/>
  <c r="H72" i="15"/>
  <c r="C11" i="12"/>
  <c r="O11" i="12"/>
  <c r="B71" i="66"/>
  <c r="F81" i="15"/>
  <c r="C31" i="7"/>
  <c r="F74" i="15"/>
  <c r="C78" i="9"/>
  <c r="F39" i="15"/>
  <c r="C522" i="29"/>
  <c r="F36" i="15"/>
  <c r="C10" i="7"/>
  <c r="F104" i="15"/>
  <c r="B87" i="66"/>
  <c r="F97" i="15"/>
  <c r="C214" i="11"/>
  <c r="B19" i="66"/>
  <c r="H69" i="15"/>
  <c r="C231" i="29"/>
  <c r="H68" i="15"/>
  <c r="C13" i="12"/>
  <c r="O13" i="12"/>
  <c r="B73" i="66"/>
  <c r="F83" i="15"/>
  <c r="B68" i="66"/>
  <c r="F77" i="15"/>
  <c r="C166" i="11"/>
  <c r="H53" i="15"/>
  <c r="B88" i="66"/>
  <c r="F65" i="15"/>
  <c r="B18" i="66"/>
  <c r="F30" i="15"/>
  <c r="C108" i="4"/>
  <c r="F25" i="15"/>
  <c r="B14" i="66"/>
  <c r="F94" i="15"/>
  <c r="C119" i="3"/>
  <c r="F90" i="15"/>
  <c r="C9" i="12"/>
  <c r="O9" i="12"/>
  <c r="F80" i="15"/>
  <c r="B84" i="66"/>
  <c r="F73" i="15"/>
  <c r="C15" i="6"/>
  <c r="E35" i="15"/>
  <c r="H16" i="15"/>
  <c r="B60" i="66"/>
  <c r="F17" i="15"/>
  <c r="B17" i="66"/>
  <c r="G26" i="15"/>
  <c r="B80" i="66"/>
  <c r="G22" i="15"/>
  <c r="B36" i="66"/>
  <c r="F54" i="15"/>
  <c r="B23" i="66" a="1"/>
  <c r="B23" i="66" s="1"/>
  <c r="B22" i="66" a="1"/>
  <c r="B22" i="66" s="1"/>
  <c r="B21" i="66" a="1"/>
  <c r="B21" i="66" s="1"/>
  <c r="B7" i="66" a="1"/>
  <c r="B7" i="66" s="1"/>
  <c r="B6" i="66" a="1"/>
  <c r="B6" i="66" s="1"/>
  <c r="B9" i="66" a="1"/>
  <c r="B9" i="66" s="1"/>
  <c r="B8" i="66" a="1"/>
  <c r="B8" i="66" s="1"/>
  <c r="A141" i="20"/>
  <c r="A116" i="20"/>
  <c r="A243" i="20"/>
  <c r="A132" i="20"/>
  <c r="A119" i="20"/>
  <c r="A67" i="20"/>
  <c r="A122" i="20"/>
  <c r="A57" i="20"/>
  <c r="A121" i="20"/>
  <c r="A120" i="20"/>
  <c r="A262" i="20"/>
  <c r="A245" i="20"/>
  <c r="A266" i="20"/>
  <c r="A254" i="20"/>
  <c r="A261" i="20"/>
  <c r="A250" i="20"/>
  <c r="A246" i="20"/>
  <c r="A253" i="20"/>
  <c r="A252" i="20"/>
  <c r="A263" i="20"/>
  <c r="A257" i="20"/>
  <c r="A259" i="20"/>
  <c r="A264" i="20"/>
  <c r="A104" i="20"/>
  <c r="A214" i="20"/>
  <c r="A206" i="20"/>
  <c r="K12" i="15"/>
  <c r="A197" i="20"/>
  <c r="A232" i="20"/>
  <c r="A255" i="20"/>
  <c r="A12" i="20"/>
  <c r="A216" i="20"/>
  <c r="A247" i="20"/>
  <c r="A18" i="20"/>
  <c r="A114" i="20"/>
  <c r="A110" i="20"/>
  <c r="A237" i="20"/>
  <c r="A217" i="20"/>
  <c r="A112" i="20"/>
  <c r="A60" i="20"/>
  <c r="A29" i="20"/>
  <c r="A236" i="20"/>
  <c r="A226" i="20"/>
  <c r="A209" i="20"/>
  <c r="A200" i="20"/>
  <c r="A126" i="20"/>
  <c r="A231" i="20"/>
  <c r="A149" i="20"/>
  <c r="A52" i="20"/>
  <c r="A228" i="20"/>
  <c r="A235" i="20"/>
  <c r="A210" i="20"/>
  <c r="A201" i="20"/>
  <c r="A212" i="20"/>
  <c r="A219" i="20"/>
  <c r="A202" i="20"/>
  <c r="A215" i="20"/>
  <c r="A198" i="20"/>
  <c r="A59" i="20"/>
  <c r="A221" i="20"/>
  <c r="A204" i="20"/>
  <c r="A211" i="20"/>
  <c r="A186" i="20"/>
  <c r="A207" i="20"/>
  <c r="A208" i="20"/>
  <c r="A205" i="20"/>
  <c r="A140" i="20"/>
  <c r="A203" i="20"/>
  <c r="A238" i="20"/>
  <c r="A43" i="20"/>
  <c r="A48" i="20"/>
  <c r="A101" i="20"/>
  <c r="A188" i="20"/>
  <c r="A227" i="20"/>
  <c r="A240" i="20"/>
  <c r="A62" i="20"/>
  <c r="N27" i="20"/>
  <c r="A32" i="20"/>
  <c r="A183" i="20"/>
  <c r="A50" i="20"/>
  <c r="A39" i="20"/>
  <c r="A229" i="20"/>
  <c r="A234" i="20"/>
  <c r="A98" i="20"/>
  <c r="A185" i="20"/>
  <c r="A224" i="20"/>
  <c r="A230" i="20"/>
  <c r="A71" i="20"/>
  <c r="A42" i="20"/>
  <c r="A31" i="20"/>
  <c r="A46" i="20"/>
  <c r="A108" i="20"/>
  <c r="A187" i="20"/>
  <c r="A218" i="20"/>
  <c r="A241" i="20"/>
  <c r="A113" i="20"/>
  <c r="A30" i="20"/>
  <c r="A220" i="20"/>
  <c r="A107" i="20"/>
  <c r="A233" i="20"/>
  <c r="A97" i="20"/>
  <c r="K13" i="15"/>
  <c r="A33" i="20"/>
  <c r="A37" i="20"/>
  <c r="A181" i="20"/>
  <c r="A99" i="20"/>
  <c r="A225" i="20"/>
  <c r="O29" i="20"/>
  <c r="F32" i="24"/>
  <c r="G30" i="24"/>
  <c r="B68" i="62"/>
  <c r="C68" i="62" s="1"/>
  <c r="D68" i="62" s="1"/>
  <c r="E68" i="62" s="1"/>
  <c r="F68" i="62" s="1"/>
  <c r="G68" i="62" s="1"/>
  <c r="H68" i="62" s="1"/>
  <c r="I68" i="62" s="1"/>
  <c r="J68" i="62" s="1"/>
  <c r="K68" i="62" s="1"/>
  <c r="L68" i="62" s="1"/>
  <c r="M68" i="62" s="1"/>
  <c r="N68" i="62" s="1"/>
  <c r="O68" i="62" s="1"/>
  <c r="P68" i="62" s="1"/>
  <c r="Q68" i="62" s="1"/>
  <c r="R68" i="62" s="1"/>
  <c r="S68" i="62" s="1"/>
  <c r="T68" i="62" s="1"/>
  <c r="U68" i="62" s="1"/>
  <c r="V68" i="62" s="1"/>
  <c r="W68" i="62" s="1"/>
  <c r="X68" i="62" s="1"/>
  <c r="Y68" i="62" s="1"/>
  <c r="Z68" i="62" s="1"/>
  <c r="AA68" i="62" s="1"/>
  <c r="AB68" i="62" s="1"/>
  <c r="AC68" i="62" s="1"/>
  <c r="D22" i="24"/>
  <c r="D28" i="24"/>
  <c r="D31" i="24"/>
  <c r="D25" i="24"/>
  <c r="D23" i="24"/>
  <c r="D30" i="24"/>
  <c r="D21" i="24"/>
  <c r="D33" i="24"/>
  <c r="B29" i="62"/>
  <c r="C29" i="62" s="1"/>
  <c r="D29" i="62" s="1"/>
  <c r="E29" i="62" s="1"/>
  <c r="F29" i="62" s="1"/>
  <c r="G29" i="62" s="1"/>
  <c r="H29" i="62" s="1"/>
  <c r="I29" i="62" s="1"/>
  <c r="J29" i="62" s="1"/>
  <c r="K29" i="62" s="1"/>
  <c r="L29" i="62" s="1"/>
  <c r="M29" i="62" s="1"/>
  <c r="N29" i="62" s="1"/>
  <c r="O29" i="62" s="1"/>
  <c r="P29" i="62" s="1"/>
  <c r="Q29" i="62" s="1"/>
  <c r="R29" i="62" s="1"/>
  <c r="S29" i="62" s="1"/>
  <c r="T29" i="62" s="1"/>
  <c r="U29" i="62" s="1"/>
  <c r="V29" i="62" s="1"/>
  <c r="W29" i="62" s="1"/>
  <c r="X29" i="62" s="1"/>
  <c r="Y29" i="62" s="1"/>
  <c r="Z29" i="62" s="1"/>
  <c r="AA29" i="62" s="1"/>
  <c r="AB29" i="62" s="1"/>
  <c r="AC29" i="62" s="1"/>
  <c r="B17" i="62"/>
  <c r="C17" i="62" s="1"/>
  <c r="D17" i="62" s="1"/>
  <c r="E17" i="62" s="1"/>
  <c r="F17" i="62" s="1"/>
  <c r="G17" i="62" s="1"/>
  <c r="H17" i="62" s="1"/>
  <c r="I17" i="62" s="1"/>
  <c r="J17" i="62" s="1"/>
  <c r="K17" i="62" s="1"/>
  <c r="L17" i="62" s="1"/>
  <c r="M17" i="62" s="1"/>
  <c r="N17" i="62" s="1"/>
  <c r="O17" i="62" s="1"/>
  <c r="P17" i="62" s="1"/>
  <c r="Q17" i="62" s="1"/>
  <c r="R17" i="62" s="1"/>
  <c r="S17" i="62" s="1"/>
  <c r="T17" i="62" s="1"/>
  <c r="U17" i="62" s="1"/>
  <c r="V17" i="62" s="1"/>
  <c r="W17" i="62" s="1"/>
  <c r="X17" i="62" s="1"/>
  <c r="Y17" i="62" s="1"/>
  <c r="Z17" i="62" s="1"/>
  <c r="AA17" i="62" s="1"/>
  <c r="AB17" i="62" s="1"/>
  <c r="AC17" i="62" s="1"/>
  <c r="B77" i="62"/>
  <c r="C77" i="62" s="1"/>
  <c r="D77" i="62" s="1"/>
  <c r="E77" i="62" s="1"/>
  <c r="F77" i="62" s="1"/>
  <c r="G77" i="62" s="1"/>
  <c r="H77" i="62" s="1"/>
  <c r="I77" i="62" s="1"/>
  <c r="J77" i="62" s="1"/>
  <c r="K77" i="62" s="1"/>
  <c r="L77" i="62" s="1"/>
  <c r="M77" i="62" s="1"/>
  <c r="N77" i="62" s="1"/>
  <c r="O77" i="62" s="1"/>
  <c r="P77" i="62" s="1"/>
  <c r="Q77" i="62" s="1"/>
  <c r="R77" i="62" s="1"/>
  <c r="S77" i="62" s="1"/>
  <c r="T77" i="62" s="1"/>
  <c r="U77" i="62" s="1"/>
  <c r="V77" i="62" s="1"/>
  <c r="W77" i="62" s="1"/>
  <c r="X77" i="62" s="1"/>
  <c r="Y77" i="62" s="1"/>
  <c r="Z77" i="62" s="1"/>
  <c r="AA77" i="62" s="1"/>
  <c r="AB77" i="62" s="1"/>
  <c r="AC77" i="62" s="1"/>
  <c r="B59" i="62"/>
  <c r="C59" i="62" s="1"/>
  <c r="D59" i="62" s="1"/>
  <c r="E59" i="62" s="1"/>
  <c r="F59" i="62" s="1"/>
  <c r="G59" i="62" s="1"/>
  <c r="H59" i="62" s="1"/>
  <c r="I59" i="62" s="1"/>
  <c r="J59" i="62" s="1"/>
  <c r="K59" i="62" s="1"/>
  <c r="L59" i="62" s="1"/>
  <c r="M59" i="62" s="1"/>
  <c r="N59" i="62" s="1"/>
  <c r="O59" i="62" s="1"/>
  <c r="P59" i="62" s="1"/>
  <c r="Q59" i="62" s="1"/>
  <c r="R59" i="62" s="1"/>
  <c r="S59" i="62" s="1"/>
  <c r="T59" i="62" s="1"/>
  <c r="U59" i="62" s="1"/>
  <c r="V59" i="62" s="1"/>
  <c r="W59" i="62" s="1"/>
  <c r="X59" i="62" s="1"/>
  <c r="Y59" i="62" s="1"/>
  <c r="Z59" i="62" s="1"/>
  <c r="AA59" i="62" s="1"/>
  <c r="AB59" i="62" s="1"/>
  <c r="AC59" i="62" s="1"/>
  <c r="B5" i="62"/>
  <c r="C5" i="62" s="1"/>
  <c r="D5" i="62" s="1"/>
  <c r="E5" i="62" s="1"/>
  <c r="F5" i="62" s="1"/>
  <c r="G5" i="62" s="1"/>
  <c r="H5" i="62" s="1"/>
  <c r="I5" i="62" s="1"/>
  <c r="J5" i="62" s="1"/>
  <c r="K5" i="62" s="1"/>
  <c r="L5" i="62" s="1"/>
  <c r="M5" i="62" s="1"/>
  <c r="N5" i="62" s="1"/>
  <c r="O5" i="62" s="1"/>
  <c r="P5" i="62" s="1"/>
  <c r="Q5" i="62" s="1"/>
  <c r="R5" i="62" s="1"/>
  <c r="S5" i="62" s="1"/>
  <c r="T5" i="62" s="1"/>
  <c r="U5" i="62" s="1"/>
  <c r="V5" i="62" s="1"/>
  <c r="W5" i="62" s="1"/>
  <c r="X5" i="62" s="1"/>
  <c r="Y5" i="62" s="1"/>
  <c r="Z5" i="62" s="1"/>
  <c r="AA5" i="62" s="1"/>
  <c r="AB5" i="62" s="1"/>
  <c r="AC5" i="62" s="1"/>
  <c r="B175" i="20" a="1"/>
  <c r="B175" i="20"/>
  <c r="I173" i="20" a="1"/>
  <c r="I173" i="20"/>
  <c r="I169" i="20" a="1"/>
  <c r="I169" i="20" s="1"/>
  <c r="I165" i="20" a="1"/>
  <c r="I165" i="20"/>
  <c r="I161" i="20" a="1"/>
  <c r="I161" i="20" s="1"/>
  <c r="I157" i="20" a="1"/>
  <c r="I157" i="20"/>
  <c r="I153" i="20" a="1"/>
  <c r="I153" i="20"/>
  <c r="I176" i="20" a="1"/>
  <c r="I176" i="20"/>
  <c r="I172" i="20" a="1"/>
  <c r="I172" i="20" s="1"/>
  <c r="I168" i="20" a="1"/>
  <c r="I168" i="20"/>
  <c r="I164" i="20" a="1"/>
  <c r="I164" i="20" s="1"/>
  <c r="I160" i="20" a="1"/>
  <c r="I160" i="20"/>
  <c r="I156" i="20" a="1"/>
  <c r="I156" i="20"/>
  <c r="I152" i="20" a="1"/>
  <c r="I152" i="20"/>
  <c r="I170" i="20" a="1"/>
  <c r="I170" i="20" s="1"/>
  <c r="I162" i="20" a="1"/>
  <c r="I162" i="20" s="1"/>
  <c r="I154" i="20" a="1"/>
  <c r="I154" i="20"/>
  <c r="I175" i="20" a="1"/>
  <c r="I175" i="20" s="1"/>
  <c r="I171" i="20" a="1"/>
  <c r="I171" i="20"/>
  <c r="I167" i="20" a="1"/>
  <c r="I167" i="20"/>
  <c r="I163" i="20" a="1"/>
  <c r="I163" i="20" s="1"/>
  <c r="I159" i="20" a="1"/>
  <c r="I159" i="20" s="1"/>
  <c r="I155" i="20" a="1"/>
  <c r="I155" i="20" s="1"/>
  <c r="I151" i="20" a="1"/>
  <c r="I151" i="20" s="1"/>
  <c r="I174" i="20" a="1"/>
  <c r="I174" i="20"/>
  <c r="I166" i="20" a="1"/>
  <c r="I166" i="20"/>
  <c r="I158" i="20" a="1"/>
  <c r="I158" i="20" s="1"/>
  <c r="E164" i="20" a="1"/>
  <c r="E164" i="20" s="1"/>
  <c r="I136" i="20" a="1"/>
  <c r="I136" i="20" s="1"/>
  <c r="I132" i="20" a="1"/>
  <c r="I132" i="20" s="1"/>
  <c r="I128" i="20" a="1"/>
  <c r="I128" i="20" s="1"/>
  <c r="I124" i="20" a="1"/>
  <c r="I124" i="20" s="1"/>
  <c r="I120" i="20" a="1"/>
  <c r="I120" i="20" s="1"/>
  <c r="I116" i="20" a="1"/>
  <c r="I116" i="20" s="1"/>
  <c r="I135" i="20" a="1"/>
  <c r="I135" i="20" s="1"/>
  <c r="I131" i="20" a="1"/>
  <c r="I131" i="20" s="1"/>
  <c r="I127" i="20" a="1"/>
  <c r="I127" i="20" s="1"/>
  <c r="I119" i="20" a="1"/>
  <c r="I119" i="20" s="1"/>
  <c r="I126" i="20" a="1"/>
  <c r="I126" i="20" s="1"/>
  <c r="I122" i="20" a="1"/>
  <c r="I122" i="20" s="1"/>
  <c r="I118" i="20" a="1"/>
  <c r="I118" i="20" s="1"/>
  <c r="I133" i="20" a="1"/>
  <c r="I133" i="20" s="1"/>
  <c r="I129" i="20" a="1"/>
  <c r="I129" i="20" s="1"/>
  <c r="I134" i="20" a="1"/>
  <c r="I134" i="20" s="1"/>
  <c r="I130" i="20" a="1"/>
  <c r="I130" i="20" s="1"/>
  <c r="I115" i="20" a="1"/>
  <c r="I115" i="20" s="1"/>
  <c r="I125" i="20" a="1"/>
  <c r="I125" i="20" s="1"/>
  <c r="I121" i="20" a="1"/>
  <c r="I121" i="20" s="1"/>
  <c r="H48" i="20" a="1"/>
  <c r="H48" i="20" s="1"/>
  <c r="H40" i="20" a="1"/>
  <c r="H40" i="20" s="1"/>
  <c r="H32" i="20" a="1"/>
  <c r="H32" i="20"/>
  <c r="H35" i="20" a="1"/>
  <c r="H35" i="20" s="1"/>
  <c r="H28" i="20" a="1"/>
  <c r="H28" i="20" s="1"/>
  <c r="H47" i="20" a="1"/>
  <c r="H47" i="20" s="1"/>
  <c r="H43" i="20" a="1"/>
  <c r="H43" i="20" s="1"/>
  <c r="H31" i="20" a="1"/>
  <c r="H31" i="20" s="1"/>
  <c r="H50" i="20" a="1"/>
  <c r="H50" i="20" s="1"/>
  <c r="H42" i="20" a="1"/>
  <c r="H42" i="20" s="1"/>
  <c r="H38" i="20" a="1"/>
  <c r="H38" i="20" s="1"/>
  <c r="H34" i="20" a="1"/>
  <c r="H34" i="20" s="1"/>
  <c r="H29" i="20" a="1"/>
  <c r="H29" i="20" s="1"/>
  <c r="H46" i="20" a="1"/>
  <c r="H46" i="20" s="1"/>
  <c r="H49" i="20" a="1"/>
  <c r="H49" i="20"/>
  <c r="H41" i="20" a="1"/>
  <c r="H41" i="20" s="1"/>
  <c r="H33" i="20" a="1"/>
  <c r="H33" i="20" s="1"/>
  <c r="H37" i="20" a="1"/>
  <c r="H37" i="20" s="1"/>
  <c r="H44" i="20" a="1"/>
  <c r="H44" i="20" s="1"/>
  <c r="H36" i="20" a="1"/>
  <c r="H36" i="20" s="1"/>
  <c r="H39" i="20" a="1"/>
  <c r="H39" i="20" s="1"/>
  <c r="H30" i="20" a="1"/>
  <c r="H30" i="20" s="1"/>
  <c r="H27" i="20" a="1"/>
  <c r="H27" i="20" s="1"/>
  <c r="H19" i="20" a="1"/>
  <c r="H19" i="20" s="1"/>
  <c r="H11" i="20" a="1"/>
  <c r="H11" i="20" s="1"/>
  <c r="H3" i="20" a="1"/>
  <c r="H3" i="20" s="1"/>
  <c r="H4" i="20" a="1"/>
  <c r="H4" i="20" s="1"/>
  <c r="H26" i="20" a="1"/>
  <c r="H26" i="20" s="1"/>
  <c r="H18" i="20" a="1"/>
  <c r="H18" i="20" s="1"/>
  <c r="H10" i="20" a="1"/>
  <c r="H10" i="20"/>
  <c r="H15" i="20" a="1"/>
  <c r="H15" i="20" s="1"/>
  <c r="H25" i="20" a="1"/>
  <c r="H25" i="20" s="1"/>
  <c r="H17" i="20" a="1"/>
  <c r="H17" i="20" s="1"/>
  <c r="H9" i="20" a="1"/>
  <c r="H9" i="20" s="1"/>
  <c r="H7" i="20" a="1"/>
  <c r="H7" i="20" s="1"/>
  <c r="H24" i="20" a="1"/>
  <c r="H24" i="20"/>
  <c r="H16" i="20" a="1"/>
  <c r="H16" i="20" s="1"/>
  <c r="H8" i="20" a="1"/>
  <c r="H8" i="20" s="1"/>
  <c r="H23" i="20" a="1"/>
  <c r="H23" i="20" s="1"/>
  <c r="H22" i="20" a="1"/>
  <c r="H22" i="20" s="1"/>
  <c r="H14" i="20" a="1"/>
  <c r="H14" i="20" s="1"/>
  <c r="H6" i="20" a="1"/>
  <c r="H6" i="20" s="1"/>
  <c r="H12" i="20" a="1"/>
  <c r="H12" i="20" s="1"/>
  <c r="H21" i="20" a="1"/>
  <c r="H21" i="20" s="1"/>
  <c r="H13" i="20" a="1"/>
  <c r="H13" i="20" s="1"/>
  <c r="H5" i="20" a="1"/>
  <c r="H5" i="20"/>
  <c r="H20" i="20" a="1"/>
  <c r="H20" i="20" s="1"/>
  <c r="I288" i="20" a="1"/>
  <c r="I288" i="20"/>
  <c r="I285" i="20" a="1"/>
  <c r="I285" i="20"/>
  <c r="I294" i="20" a="1"/>
  <c r="I294" i="20"/>
  <c r="I291" i="20" a="1"/>
  <c r="I291" i="20"/>
  <c r="I290" i="20" a="1"/>
  <c r="I290" i="20"/>
  <c r="I287" i="20" a="1"/>
  <c r="I287" i="20"/>
  <c r="I286" i="20" a="1"/>
  <c r="I286" i="20" s="1"/>
  <c r="I283" i="20" a="1"/>
  <c r="I283" i="20" s="1"/>
  <c r="I298" i="20" a="1"/>
  <c r="I298" i="20" s="1"/>
  <c r="I295" i="20" a="1"/>
  <c r="I295" i="20" s="1"/>
  <c r="I300" i="20" a="1"/>
  <c r="I300" i="20"/>
  <c r="I297" i="20" a="1"/>
  <c r="I297" i="20"/>
  <c r="I296" i="20" a="1"/>
  <c r="I296" i="20" s="1"/>
  <c r="I293" i="20" a="1"/>
  <c r="I293" i="20" s="1"/>
  <c r="I292" i="20" a="1"/>
  <c r="I292" i="20" s="1"/>
  <c r="I289" i="20" a="1"/>
  <c r="I289" i="20" s="1"/>
  <c r="I282" i="20" a="1"/>
  <c r="I282" i="20"/>
  <c r="I299" i="20" a="1"/>
  <c r="I299" i="20"/>
  <c r="L189" i="30"/>
  <c r="C120" i="3"/>
  <c r="L7" i="7"/>
  <c r="L118" i="30"/>
  <c r="L44" i="7"/>
  <c r="I44" i="7" s="1"/>
  <c r="L43" i="8"/>
  <c r="L253" i="3"/>
  <c r="C137" i="2"/>
  <c r="C98" i="9"/>
  <c r="L31" i="8"/>
  <c r="L143" i="30"/>
  <c r="L67" i="8"/>
  <c r="L124" i="9"/>
  <c r="L125" i="9"/>
  <c r="K75" i="3"/>
  <c r="I75" i="3" s="1"/>
  <c r="L128" i="9"/>
  <c r="I128" i="9" s="1"/>
  <c r="L75" i="30"/>
  <c r="L117" i="9"/>
  <c r="L33" i="6"/>
  <c r="L215" i="3"/>
  <c r="L131" i="2"/>
  <c r="I131" i="2" s="1"/>
  <c r="L54" i="8"/>
  <c r="L175" i="30"/>
  <c r="I175" i="30" s="1"/>
  <c r="L94" i="8"/>
  <c r="L98" i="30"/>
  <c r="L91" i="30"/>
  <c r="L48" i="30"/>
  <c r="K96" i="2"/>
  <c r="L35" i="6"/>
  <c r="L174" i="30"/>
  <c r="L243" i="4"/>
  <c r="I243" i="4" s="1"/>
  <c r="L51" i="30"/>
  <c r="L78" i="30"/>
  <c r="L111" i="30"/>
  <c r="L93" i="8"/>
  <c r="L205" i="4"/>
  <c r="L52" i="30"/>
  <c r="L166" i="30"/>
  <c r="L93" i="9"/>
  <c r="I93" i="9" s="1"/>
  <c r="L90" i="30"/>
  <c r="L173" i="30"/>
  <c r="L153" i="30"/>
  <c r="L32" i="6"/>
  <c r="L107" i="30"/>
  <c r="L100" i="30"/>
  <c r="L82" i="8"/>
  <c r="L176" i="30"/>
  <c r="L239" i="3"/>
  <c r="L109" i="30"/>
  <c r="L95" i="8"/>
  <c r="K73" i="3"/>
  <c r="L79" i="30"/>
  <c r="L44" i="3"/>
  <c r="L117" i="30"/>
  <c r="I117" i="30" s="1"/>
  <c r="L245" i="4"/>
  <c r="K193" i="30"/>
  <c r="L53" i="4"/>
  <c r="L178" i="30"/>
  <c r="L38" i="2"/>
  <c r="I38" i="2" s="1"/>
  <c r="L218" i="4"/>
  <c r="I218" i="4" s="1"/>
  <c r="L85" i="30"/>
  <c r="L151" i="9"/>
  <c r="L146" i="4"/>
  <c r="L248" i="30"/>
  <c r="L116" i="30"/>
  <c r="L246" i="30"/>
  <c r="L110" i="2"/>
  <c r="L41" i="8"/>
  <c r="L31" i="6"/>
  <c r="L89" i="30"/>
  <c r="L74" i="30"/>
  <c r="L96" i="8"/>
  <c r="L92" i="8"/>
  <c r="L215" i="30"/>
  <c r="L161" i="30"/>
  <c r="L92" i="30"/>
  <c r="L232" i="3"/>
  <c r="I232" i="3" s="1"/>
  <c r="L83" i="30"/>
  <c r="L106" i="30"/>
  <c r="L24" i="12"/>
  <c r="L88" i="30"/>
  <c r="L205" i="3"/>
  <c r="L138" i="4"/>
  <c r="I138" i="4" s="1"/>
  <c r="L162" i="30"/>
  <c r="L164" i="30"/>
  <c r="L49" i="30"/>
  <c r="L99" i="30"/>
  <c r="L101" i="30"/>
  <c r="L165" i="30"/>
  <c r="I165" i="30" s="1"/>
  <c r="L94" i="30"/>
  <c r="L83" i="2"/>
  <c r="L78" i="2"/>
  <c r="L108" i="30"/>
  <c r="L77" i="8"/>
  <c r="L76" i="30"/>
  <c r="L84" i="30"/>
  <c r="L155" i="30"/>
  <c r="L82" i="30"/>
  <c r="L97" i="30"/>
  <c r="L112" i="30"/>
  <c r="L206" i="4"/>
  <c r="L37" i="6"/>
  <c r="L102" i="30"/>
  <c r="L36" i="6"/>
  <c r="L216" i="30"/>
  <c r="L34" i="6"/>
  <c r="L93" i="30"/>
  <c r="L30" i="6"/>
  <c r="L177" i="30"/>
  <c r="L156" i="30"/>
  <c r="L29" i="6"/>
  <c r="L103" i="30"/>
  <c r="L116" i="4"/>
  <c r="I116" i="4" s="1"/>
  <c r="L154" i="30"/>
  <c r="L88" i="9"/>
  <c r="L110" i="30"/>
  <c r="L28" i="7"/>
  <c r="L45" i="3"/>
  <c r="L127" i="30"/>
  <c r="L179" i="30"/>
  <c r="C136" i="2"/>
  <c r="C97" i="9"/>
  <c r="L249" i="30"/>
  <c r="I249" i="30" s="1"/>
  <c r="L124" i="30"/>
  <c r="L53" i="30"/>
  <c r="L180" i="4"/>
  <c r="L203" i="30"/>
  <c r="B154" i="20" a="1"/>
  <c r="B154" i="20"/>
  <c r="E168" i="20" a="1"/>
  <c r="E168" i="20" s="1"/>
  <c r="E175" i="20" a="1"/>
  <c r="E175" i="20" s="1"/>
  <c r="B151" i="20" a="1"/>
  <c r="B151" i="20"/>
  <c r="G193" i="20" a="1"/>
  <c r="G193" i="20"/>
  <c r="G180" i="20" a="1"/>
  <c r="G180" i="20"/>
  <c r="G192" i="20" a="1"/>
  <c r="G192" i="20"/>
  <c r="G186" i="20" a="1"/>
  <c r="G186" i="20"/>
  <c r="G179" i="20" a="1"/>
  <c r="G179" i="20"/>
  <c r="G191" i="20" a="1"/>
  <c r="G191" i="20"/>
  <c r="G185" i="20" a="1"/>
  <c r="G185" i="20"/>
  <c r="G178" i="20" a="1"/>
  <c r="G178" i="20"/>
  <c r="G195" i="20" a="1"/>
  <c r="G195" i="20"/>
  <c r="G177" i="20" a="1"/>
  <c r="G177" i="20"/>
  <c r="G190" i="20" a="1"/>
  <c r="G190" i="20"/>
  <c r="G184" i="20" a="1"/>
  <c r="G184" i="20"/>
  <c r="G196" i="20" a="1"/>
  <c r="G196" i="20"/>
  <c r="G189" i="20" a="1"/>
  <c r="G189" i="20"/>
  <c r="G183" i="20" a="1"/>
  <c r="G183" i="20"/>
  <c r="G182" i="20" a="1"/>
  <c r="G182" i="20"/>
  <c r="G194" i="20" a="1"/>
  <c r="G194" i="20"/>
  <c r="G187" i="20" a="1"/>
  <c r="G187" i="20"/>
  <c r="G181" i="20" a="1"/>
  <c r="G181" i="20"/>
  <c r="G188" i="20" a="1"/>
  <c r="G188" i="20"/>
  <c r="B298" i="20" a="1"/>
  <c r="B298" i="20"/>
  <c r="A298" i="20" s="1"/>
  <c r="B300" i="20" a="1"/>
  <c r="B300" i="20" s="1"/>
  <c r="A300" i="20" s="1"/>
  <c r="G166" i="20" a="1"/>
  <c r="G166" i="20"/>
  <c r="G158" i="20" a="1"/>
  <c r="G158" i="20"/>
  <c r="G174" i="20" a="1"/>
  <c r="G174" i="20"/>
  <c r="G172" i="20" a="1"/>
  <c r="G172" i="20"/>
  <c r="G165" i="20" a="1"/>
  <c r="G165" i="20"/>
  <c r="G157" i="20" a="1"/>
  <c r="G157" i="20"/>
  <c r="G171" i="20" a="1"/>
  <c r="G171" i="20"/>
  <c r="G164" i="20" a="1"/>
  <c r="G164" i="20"/>
  <c r="G156" i="20" a="1"/>
  <c r="G156" i="20"/>
  <c r="G170" i="20" a="1"/>
  <c r="G170" i="20"/>
  <c r="G163" i="20" a="1"/>
  <c r="G163" i="20"/>
  <c r="G155" i="20" a="1"/>
  <c r="G155" i="20"/>
  <c r="G168" i="20" a="1"/>
  <c r="G168" i="20"/>
  <c r="G176" i="20" a="1"/>
  <c r="G176" i="20"/>
  <c r="G169" i="20" a="1"/>
  <c r="G169" i="20"/>
  <c r="G162" i="20" a="1"/>
  <c r="G162" i="20"/>
  <c r="G154" i="20" a="1"/>
  <c r="G154" i="20"/>
  <c r="G160" i="20" a="1"/>
  <c r="G160" i="20"/>
  <c r="G175" i="20" a="1"/>
  <c r="G175" i="20"/>
  <c r="G161" i="20" a="1"/>
  <c r="G161" i="20"/>
  <c r="G153" i="20" a="1"/>
  <c r="G153" i="20"/>
  <c r="G173" i="20" a="1"/>
  <c r="G173" i="20"/>
  <c r="G167" i="20" a="1"/>
  <c r="G167" i="20"/>
  <c r="G159" i="20" a="1"/>
  <c r="G159" i="20"/>
  <c r="G151" i="20" a="1"/>
  <c r="G151" i="20"/>
  <c r="G152" i="20" a="1"/>
  <c r="G152" i="20"/>
  <c r="B287" i="20" a="1"/>
  <c r="B287" i="20"/>
  <c r="A287" i="20" s="1"/>
  <c r="B297" i="20" a="1"/>
  <c r="B297" i="20" s="1"/>
  <c r="A297" i="20" s="1"/>
  <c r="E284" i="20" a="1"/>
  <c r="E284" i="20" s="1"/>
  <c r="G134" i="20" a="1"/>
  <c r="G134" i="20" s="1"/>
  <c r="G126" i="20" a="1"/>
  <c r="G126" i="20" s="1"/>
  <c r="G118" i="20" a="1"/>
  <c r="G118" i="20"/>
  <c r="G136" i="20" a="1"/>
  <c r="G136" i="20"/>
  <c r="G133" i="20" a="1"/>
  <c r="G133" i="20"/>
  <c r="G125" i="20" a="1"/>
  <c r="G125" i="20"/>
  <c r="G117" i="20" a="1"/>
  <c r="G117" i="20" s="1"/>
  <c r="G128" i="20" a="1"/>
  <c r="G128" i="20"/>
  <c r="G132" i="20" a="1"/>
  <c r="G132" i="20"/>
  <c r="G124" i="20" a="1"/>
  <c r="G124" i="20" s="1"/>
  <c r="G116" i="20" a="1"/>
  <c r="G116" i="20" s="1"/>
  <c r="G131" i="20" a="1"/>
  <c r="G131" i="20" s="1"/>
  <c r="G123" i="20" a="1"/>
  <c r="G123" i="20" s="1"/>
  <c r="G115" i="20" a="1"/>
  <c r="G115" i="20"/>
  <c r="G130" i="20" a="1"/>
  <c r="G130" i="20" s="1"/>
  <c r="G122" i="20" a="1"/>
  <c r="G122" i="20"/>
  <c r="G129" i="20" a="1"/>
  <c r="G129" i="20"/>
  <c r="G121" i="20" a="1"/>
  <c r="G121" i="20"/>
  <c r="G120" i="20" a="1"/>
  <c r="G120" i="20" s="1"/>
  <c r="G135" i="20" a="1"/>
  <c r="G135" i="20" s="1"/>
  <c r="G127" i="20" a="1"/>
  <c r="G127" i="20"/>
  <c r="G119" i="20" a="1"/>
  <c r="G119" i="20"/>
  <c r="B290" i="20" a="1"/>
  <c r="B290" i="20" s="1"/>
  <c r="A290" i="20" s="1"/>
  <c r="E298" i="20" a="1"/>
  <c r="E298" i="20" s="1"/>
  <c r="G76" i="20" a="1"/>
  <c r="G76" i="20" s="1"/>
  <c r="G68" i="20" a="1"/>
  <c r="G68" i="20" s="1"/>
  <c r="G70" i="20" a="1"/>
  <c r="G70" i="20" s="1"/>
  <c r="G75" i="20" a="1"/>
  <c r="G75" i="20" s="1"/>
  <c r="G67" i="20" a="1"/>
  <c r="G67" i="20" s="1"/>
  <c r="G74" i="20" a="1"/>
  <c r="G74" i="20" s="1"/>
  <c r="G66" i="20" a="1"/>
  <c r="G66" i="20" s="1"/>
  <c r="G73" i="20" a="1"/>
  <c r="G73" i="20" s="1"/>
  <c r="G65" i="20" a="1"/>
  <c r="G65" i="20" s="1"/>
  <c r="G80" i="20" a="1"/>
  <c r="G80" i="20"/>
  <c r="G72" i="20" a="1"/>
  <c r="G72" i="20" s="1"/>
  <c r="G64" i="20" a="1"/>
  <c r="G64" i="20" s="1"/>
  <c r="G79" i="20" a="1"/>
  <c r="G79" i="20" s="1"/>
  <c r="G71" i="20" a="1"/>
  <c r="G71" i="20" s="1"/>
  <c r="G63" i="20" a="1"/>
  <c r="G63" i="20"/>
  <c r="G62" i="20" a="1"/>
  <c r="G62" i="20" s="1"/>
  <c r="G77" i="20" a="1"/>
  <c r="G77" i="20"/>
  <c r="G69" i="20" a="1"/>
  <c r="G69" i="20" s="1"/>
  <c r="G61" i="20" a="1"/>
  <c r="G61" i="20" s="1"/>
  <c r="G78" i="20" a="1"/>
  <c r="G78" i="20" s="1"/>
  <c r="O71" i="3"/>
  <c r="L55" i="9"/>
  <c r="L93" i="4"/>
  <c r="L270" i="3"/>
  <c r="L240" i="30"/>
  <c r="L94" i="4"/>
  <c r="I94" i="4" s="1"/>
  <c r="L238" i="30"/>
  <c r="L241" i="30"/>
  <c r="L239" i="30"/>
  <c r="L58" i="9"/>
  <c r="I58" i="9" s="1"/>
  <c r="K86" i="9"/>
  <c r="L56" i="9"/>
  <c r="L60" i="9"/>
  <c r="L57" i="9"/>
  <c r="I57" i="9" s="1"/>
  <c r="L237" i="30"/>
  <c r="C51" i="29"/>
  <c r="C202" i="30"/>
  <c r="C13" i="10"/>
  <c r="C404" i="29"/>
  <c r="C80" i="7"/>
  <c r="C252" i="3"/>
  <c r="C40" i="8"/>
  <c r="C145" i="9"/>
  <c r="C179" i="4"/>
  <c r="C137" i="30"/>
  <c r="C76" i="8"/>
  <c r="C227" i="29"/>
  <c r="C278" i="29"/>
  <c r="C62" i="3"/>
  <c r="C50" i="29"/>
  <c r="C33" i="3"/>
  <c r="C94" i="29"/>
  <c r="C14" i="6"/>
  <c r="C181" i="11"/>
  <c r="C142" i="30"/>
  <c r="C232" i="29"/>
  <c r="C81" i="8"/>
  <c r="C184" i="4"/>
  <c r="C146" i="9"/>
  <c r="C49" i="29"/>
  <c r="C32" i="3"/>
  <c r="C219" i="11"/>
  <c r="C61" i="3"/>
  <c r="K11" i="14"/>
  <c r="C236" i="30"/>
  <c r="O236" i="30"/>
  <c r="C92" i="4"/>
  <c r="O92" i="4"/>
  <c r="C176" i="29"/>
  <c r="O176" i="29"/>
  <c r="C207" i="29"/>
  <c r="C203" i="3"/>
  <c r="C47" i="11"/>
  <c r="O47" i="11"/>
  <c r="C30" i="9"/>
  <c r="O30" i="9"/>
  <c r="C123" i="2"/>
  <c r="C70" i="11"/>
  <c r="C245" i="30"/>
  <c r="C515" i="29"/>
  <c r="C101" i="4"/>
  <c r="C185" i="29"/>
  <c r="C18" i="6"/>
  <c r="C98" i="29"/>
  <c r="C120" i="2"/>
  <c r="C82" i="9"/>
  <c r="C47" i="4"/>
  <c r="C66" i="9"/>
  <c r="C106" i="9"/>
  <c r="O106" i="9"/>
  <c r="C264" i="3"/>
  <c r="O264" i="3"/>
  <c r="C82" i="3"/>
  <c r="C204" i="11"/>
  <c r="C214" i="4"/>
  <c r="C262" i="29"/>
  <c r="C172" i="30"/>
  <c r="C11" i="7"/>
  <c r="C335" i="29"/>
  <c r="C125" i="11"/>
  <c r="C570" i="29"/>
  <c r="C208" i="29"/>
  <c r="C153" i="11"/>
  <c r="C116" i="9"/>
  <c r="C122" i="30"/>
  <c r="C160" i="4"/>
  <c r="C204" i="3"/>
  <c r="C372" i="29"/>
  <c r="C48" i="7"/>
  <c r="C165" i="29"/>
  <c r="C81" i="4"/>
  <c r="C225" i="30"/>
  <c r="L15" i="6"/>
  <c r="L34" i="9"/>
  <c r="L35" i="9"/>
  <c r="L33" i="9"/>
  <c r="L31" i="9"/>
  <c r="L53" i="7"/>
  <c r="L36" i="9"/>
  <c r="L61" i="9"/>
  <c r="L55" i="8"/>
  <c r="A51" i="20"/>
  <c r="A34" i="20"/>
  <c r="A56" i="20"/>
  <c r="A54" i="20"/>
  <c r="A106" i="20"/>
  <c r="A105" i="20"/>
  <c r="A143" i="20"/>
  <c r="K7" i="15"/>
  <c r="N23" i="20"/>
  <c r="N17" i="20"/>
  <c r="A35" i="20"/>
  <c r="A10" i="20"/>
  <c r="A40" i="20"/>
  <c r="A38" i="20"/>
  <c r="A260" i="20"/>
  <c r="A196" i="20"/>
  <c r="A100" i="20"/>
  <c r="A258" i="20"/>
  <c r="A194" i="20"/>
  <c r="A265" i="20"/>
  <c r="A89" i="20"/>
  <c r="A222" i="20"/>
  <c r="A102" i="20"/>
  <c r="A128" i="20"/>
  <c r="K4" i="15"/>
  <c r="N28" i="20"/>
  <c r="N18" i="20"/>
  <c r="A36" i="20"/>
  <c r="A11" i="20"/>
  <c r="A49" i="20"/>
  <c r="A55" i="20"/>
  <c r="A53" i="20"/>
  <c r="A244" i="20"/>
  <c r="A180" i="20"/>
  <c r="A251" i="20"/>
  <c r="A147" i="20"/>
  <c r="A242" i="20"/>
  <c r="A146" i="20"/>
  <c r="A249" i="20"/>
  <c r="A145" i="20"/>
  <c r="A184" i="20"/>
  <c r="A223" i="20"/>
  <c r="A103" i="20"/>
  <c r="A109" i="20"/>
  <c r="A28" i="20"/>
  <c r="A41" i="20"/>
  <c r="A47" i="20"/>
  <c r="A45" i="20"/>
  <c r="A148" i="20"/>
  <c r="A139" i="20"/>
  <c r="A138" i="20"/>
  <c r="A137" i="20"/>
  <c r="A144" i="20"/>
  <c r="A44" i="20"/>
  <c r="A150" i="20"/>
  <c r="N16" i="20"/>
  <c r="N21" i="20"/>
  <c r="A142" i="20"/>
  <c r="A61" i="20"/>
  <c r="A124" i="20"/>
  <c r="A179" i="20"/>
  <c r="A75" i="20"/>
  <c r="A130" i="20"/>
  <c r="A193" i="20"/>
  <c r="A192" i="20"/>
  <c r="A134" i="20"/>
  <c r="A70" i="20"/>
  <c r="A72" i="20"/>
  <c r="A189" i="20"/>
  <c r="A177" i="20"/>
  <c r="A168" i="20"/>
  <c r="A118" i="20"/>
  <c r="A64" i="20"/>
  <c r="A133" i="20"/>
  <c r="N20" i="20"/>
  <c r="N25" i="20"/>
  <c r="A131" i="20"/>
  <c r="A153" i="20"/>
  <c r="A136" i="20"/>
  <c r="K8" i="15"/>
  <c r="A125" i="20"/>
  <c r="A76" i="20"/>
  <c r="A123" i="20"/>
  <c r="A81" i="20"/>
  <c r="A190" i="20"/>
  <c r="A80" i="20"/>
  <c r="A127" i="20"/>
  <c r="A88" i="20"/>
  <c r="A117" i="20"/>
  <c r="A68" i="20"/>
  <c r="A115" i="20"/>
  <c r="A178" i="20"/>
  <c r="A74" i="20"/>
  <c r="A73" i="20"/>
  <c r="A158" i="20"/>
  <c r="A94" i="20"/>
  <c r="A63" i="20"/>
  <c r="A135" i="20"/>
  <c r="A195" i="20"/>
  <c r="A66" i="20"/>
  <c r="A129" i="20"/>
  <c r="A65" i="20"/>
  <c r="A86" i="20"/>
  <c r="A79" i="20"/>
  <c r="K5" i="15"/>
  <c r="A69" i="20"/>
  <c r="A78" i="20"/>
  <c r="K10" i="15"/>
  <c r="A77" i="20"/>
  <c r="A160" i="20"/>
  <c r="A151" i="20"/>
  <c r="A4" i="20"/>
  <c r="A3" i="20"/>
  <c r="A21" i="20"/>
  <c r="A85" i="20"/>
  <c r="A164" i="20"/>
  <c r="A171" i="20"/>
  <c r="A152" i="20"/>
  <c r="A22" i="20"/>
  <c r="A13" i="20"/>
  <c r="A156" i="20"/>
  <c r="A92" i="20"/>
  <c r="A163" i="20"/>
  <c r="A167" i="20"/>
  <c r="A87" i="20"/>
  <c r="K6" i="15"/>
  <c r="N26" i="20"/>
  <c r="A23" i="20"/>
  <c r="A14" i="20"/>
  <c r="A5" i="20"/>
  <c r="A165" i="20"/>
  <c r="A84" i="20"/>
  <c r="A155" i="20"/>
  <c r="A91" i="20"/>
  <c r="A170" i="20"/>
  <c r="A159" i="20"/>
  <c r="A173" i="20"/>
  <c r="A172" i="20"/>
  <c r="A24" i="20"/>
  <c r="A15" i="20"/>
  <c r="A6" i="20"/>
  <c r="A157" i="20"/>
  <c r="A83" i="20"/>
  <c r="A162" i="20"/>
  <c r="A182" i="20"/>
  <c r="A191" i="20"/>
  <c r="A199" i="20"/>
  <c r="A96" i="20"/>
  <c r="A20" i="20"/>
  <c r="A25" i="20"/>
  <c r="A16" i="20"/>
  <c r="A7" i="20"/>
  <c r="A154" i="20"/>
  <c r="A90" i="20"/>
  <c r="A169" i="20"/>
  <c r="A174" i="20"/>
  <c r="K2" i="15"/>
  <c r="A111" i="20"/>
  <c r="A93" i="20"/>
  <c r="A27" i="20"/>
  <c r="A26" i="20"/>
  <c r="A17" i="20"/>
  <c r="A161" i="20"/>
  <c r="A176" i="20"/>
  <c r="A166" i="20"/>
  <c r="A175" i="20"/>
  <c r="D164" i="11"/>
  <c r="L242" i="30"/>
  <c r="L217" i="30"/>
  <c r="L213" i="30"/>
  <c r="I213" i="30" s="1"/>
  <c r="K102" i="30"/>
  <c r="I102" i="30" s="1"/>
  <c r="K107" i="30"/>
  <c r="K84" i="30"/>
  <c r="K92" i="30"/>
  <c r="K76" i="30"/>
  <c r="K91" i="30"/>
  <c r="K109" i="30"/>
  <c r="I109" i="30" s="1"/>
  <c r="K103" i="30"/>
  <c r="K97" i="30"/>
  <c r="K96" i="30" s="1"/>
  <c r="K106" i="30"/>
  <c r="I106" i="30" s="1"/>
  <c r="K79" i="30"/>
  <c r="K88" i="30"/>
  <c r="K83" i="30"/>
  <c r="K77" i="30"/>
  <c r="K85" i="30"/>
  <c r="K74" i="30"/>
  <c r="K89" i="30"/>
  <c r="K150" i="4"/>
  <c r="K78" i="30"/>
  <c r="I78" i="30" s="1"/>
  <c r="K117" i="4"/>
  <c r="K111" i="30"/>
  <c r="K239" i="3"/>
  <c r="I239" i="3" s="1"/>
  <c r="K75" i="30"/>
  <c r="K90" i="30"/>
  <c r="K82" i="30"/>
  <c r="K101" i="30"/>
  <c r="K112" i="30"/>
  <c r="K93" i="30"/>
  <c r="K98" i="30"/>
  <c r="K100" i="30"/>
  <c r="K110" i="30"/>
  <c r="I110" i="30" s="1"/>
  <c r="K99" i="30"/>
  <c r="K108" i="30"/>
  <c r="K94" i="30"/>
  <c r="K232" i="3"/>
  <c r="L229" i="30"/>
  <c r="L230" i="30"/>
  <c r="K178" i="30"/>
  <c r="I178" i="30" s="1"/>
  <c r="K32" i="6"/>
  <c r="L25" i="6"/>
  <c r="K217" i="4"/>
  <c r="I217" i="4" s="1"/>
  <c r="K36" i="6"/>
  <c r="K267" i="3"/>
  <c r="I267" i="3" s="1"/>
  <c r="L231" i="30"/>
  <c r="L24" i="6"/>
  <c r="K35" i="6"/>
  <c r="K31" i="6"/>
  <c r="K216" i="30"/>
  <c r="I216" i="30" s="1"/>
  <c r="L88" i="4"/>
  <c r="K126" i="2"/>
  <c r="L226" i="30"/>
  <c r="L227" i="30"/>
  <c r="K173" i="30"/>
  <c r="I173" i="30" s="1"/>
  <c r="K54" i="8"/>
  <c r="I54" i="8" s="1"/>
  <c r="K241" i="30"/>
  <c r="K226" i="30"/>
  <c r="L22" i="6"/>
  <c r="K174" i="30"/>
  <c r="K34" i="6"/>
  <c r="I34" i="6" s="1"/>
  <c r="K30" i="6"/>
  <c r="K229" i="30"/>
  <c r="L85" i="4"/>
  <c r="L21" i="6"/>
  <c r="K175" i="30"/>
  <c r="K239" i="30"/>
  <c r="K230" i="30"/>
  <c r="K154" i="30"/>
  <c r="I154" i="30" s="1"/>
  <c r="L232" i="30"/>
  <c r="K176" i="30"/>
  <c r="K33" i="6"/>
  <c r="K29" i="6"/>
  <c r="K94" i="7"/>
  <c r="K238" i="30"/>
  <c r="K231" i="30"/>
  <c r="K23" i="6"/>
  <c r="K94" i="8"/>
  <c r="L20" i="6"/>
  <c r="K177" i="30"/>
  <c r="K37" i="6"/>
  <c r="K19" i="6"/>
  <c r="K153" i="30"/>
  <c r="I153" i="30" s="1"/>
  <c r="K21" i="6"/>
  <c r="K205" i="4"/>
  <c r="K52" i="30"/>
  <c r="I52" i="30" s="1"/>
  <c r="K48" i="30"/>
  <c r="I48" i="30" s="1"/>
  <c r="K53" i="8"/>
  <c r="L23" i="6"/>
  <c r="K95" i="8"/>
  <c r="K20" i="6"/>
  <c r="K123" i="30"/>
  <c r="K206" i="4"/>
  <c r="K164" i="30"/>
  <c r="K246" i="30"/>
  <c r="K93" i="8"/>
  <c r="K22" i="6"/>
  <c r="I22" i="6" s="1"/>
  <c r="K205" i="3"/>
  <c r="I205" i="3" s="1"/>
  <c r="K206" i="3"/>
  <c r="I206" i="3" s="1"/>
  <c r="K82" i="2"/>
  <c r="K51" i="30"/>
  <c r="K49" i="30"/>
  <c r="K92" i="8"/>
  <c r="K163" i="30"/>
  <c r="K154" i="4"/>
  <c r="K50" i="30"/>
  <c r="K215" i="30"/>
  <c r="I215" i="30" s="1"/>
  <c r="K24" i="6"/>
  <c r="K162" i="30"/>
  <c r="I162" i="30" s="1"/>
  <c r="K195" i="4"/>
  <c r="I195" i="4" s="1"/>
  <c r="K165" i="30"/>
  <c r="K209" i="4"/>
  <c r="I209" i="4" s="1"/>
  <c r="K161" i="30"/>
  <c r="K53" i="3"/>
  <c r="K269" i="3"/>
  <c r="I269" i="3" s="1"/>
  <c r="K156" i="30"/>
  <c r="K57" i="3"/>
  <c r="K84" i="2"/>
  <c r="I84" i="2" s="1"/>
  <c r="K167" i="30"/>
  <c r="L19" i="6"/>
  <c r="K155" i="30"/>
  <c r="K117" i="2"/>
  <c r="K248" i="30"/>
  <c r="K101" i="2"/>
  <c r="I101" i="2" s="1"/>
  <c r="K51" i="4"/>
  <c r="K166" i="30"/>
  <c r="K232" i="30"/>
  <c r="K116" i="30"/>
  <c r="I116" i="30" s="1"/>
  <c r="D186" i="11"/>
  <c r="D187" i="11"/>
  <c r="D188" i="11"/>
  <c r="K188" i="11" s="1"/>
  <c r="D181" i="11"/>
  <c r="K247" i="30"/>
  <c r="D189" i="11"/>
  <c r="L189" i="11" s="1"/>
  <c r="D153" i="11"/>
  <c r="L153" i="11" s="1"/>
  <c r="D154" i="11"/>
  <c r="E69" i="20" a="1"/>
  <c r="E69" i="20" s="1"/>
  <c r="D69" i="20" s="1"/>
  <c r="B80" i="20" a="1"/>
  <c r="B80" i="20" s="1"/>
  <c r="C62" i="5"/>
  <c r="K53" i="7"/>
  <c r="K54" i="7"/>
  <c r="K28" i="7"/>
  <c r="K110" i="2"/>
  <c r="D151" i="11"/>
  <c r="D171" i="11"/>
  <c r="D184" i="11"/>
  <c r="B188" i="20" a="1"/>
  <c r="B188" i="20"/>
  <c r="B193" i="20" a="1"/>
  <c r="B193" i="20"/>
  <c r="B180" i="20" a="1"/>
  <c r="B180" i="20"/>
  <c r="B190" i="20" a="1"/>
  <c r="B190" i="20" s="1"/>
  <c r="B187" i="20" a="1"/>
  <c r="B187" i="20"/>
  <c r="B195" i="20" a="1"/>
  <c r="B195" i="20"/>
  <c r="B133" i="20" a="1"/>
  <c r="B133" i="20" s="1"/>
  <c r="B136" i="20" a="1"/>
  <c r="B136" i="20" s="1"/>
  <c r="B125" i="20" a="1"/>
  <c r="B125" i="20" s="1"/>
  <c r="E127" i="20" a="1"/>
  <c r="E127" i="20" s="1"/>
  <c r="D166" i="11"/>
  <c r="D158" i="11"/>
  <c r="D152" i="11"/>
  <c r="L152" i="11" s="1"/>
  <c r="D162" i="11"/>
  <c r="D179" i="11"/>
  <c r="L179" i="11" s="1"/>
  <c r="D172" i="11"/>
  <c r="K172" i="11" s="1"/>
  <c r="D155" i="11"/>
  <c r="D157" i="11"/>
  <c r="D174" i="11"/>
  <c r="D159" i="11"/>
  <c r="D167" i="11"/>
  <c r="D160" i="11"/>
  <c r="D176" i="11"/>
  <c r="D161" i="11"/>
  <c r="D169" i="11"/>
  <c r="D178" i="11"/>
  <c r="D180" i="11"/>
  <c r="L180" i="11" s="1"/>
  <c r="D182" i="11"/>
  <c r="L182" i="11" s="1"/>
  <c r="D185" i="11"/>
  <c r="E130" i="20" a="1"/>
  <c r="E130" i="20" s="1"/>
  <c r="E115" i="20" a="1"/>
  <c r="E115" i="20" s="1"/>
  <c r="B122" i="20" a="1"/>
  <c r="B122" i="20" s="1"/>
  <c r="B121" i="20" a="1"/>
  <c r="B121" i="20" s="1"/>
  <c r="B116" i="20" a="1"/>
  <c r="B116" i="20"/>
  <c r="B132" i="20" a="1"/>
  <c r="B132" i="20" s="1"/>
  <c r="E123" i="20" a="1"/>
  <c r="E123" i="20" s="1"/>
  <c r="B126" i="20" a="1"/>
  <c r="B126" i="20" s="1"/>
  <c r="E132" i="20" a="1"/>
  <c r="E132" i="20" s="1"/>
  <c r="E129" i="20" a="1"/>
  <c r="E129" i="20" s="1"/>
  <c r="D129" i="20" s="1"/>
  <c r="B117" i="20" a="1"/>
  <c r="B117" i="20" s="1"/>
  <c r="E119" i="20" a="1"/>
  <c r="E119" i="20" s="1"/>
  <c r="B123" i="20" a="1"/>
  <c r="B123" i="20"/>
  <c r="B118" i="20" a="1"/>
  <c r="B118" i="20" s="1"/>
  <c r="B119" i="20" a="1"/>
  <c r="B119" i="20"/>
  <c r="E135" i="20" a="1"/>
  <c r="E135" i="20" s="1"/>
  <c r="E117" i="20" a="1"/>
  <c r="E117" i="20" s="1"/>
  <c r="E118" i="20" a="1"/>
  <c r="E118" i="20" s="1"/>
  <c r="B135" i="20" a="1"/>
  <c r="B135" i="20" s="1"/>
  <c r="E120" i="20" a="1"/>
  <c r="E120" i="20" s="1"/>
  <c r="E125" i="20" a="1"/>
  <c r="E125" i="20" s="1"/>
  <c r="E136" i="20" a="1"/>
  <c r="E136" i="20" s="1"/>
  <c r="E124" i="20" a="1"/>
  <c r="E124" i="20" s="1"/>
  <c r="E126" i="20" a="1"/>
  <c r="E126" i="20" s="1"/>
  <c r="B128" i="20" a="1"/>
  <c r="B128" i="20"/>
  <c r="E131" i="20" a="1"/>
  <c r="E131" i="20" s="1"/>
  <c r="D131" i="20" s="1"/>
  <c r="E122" i="20" a="1"/>
  <c r="E122" i="20" s="1"/>
  <c r="E116" i="20" a="1"/>
  <c r="E116" i="20" s="1"/>
  <c r="B131" i="20" a="1"/>
  <c r="B131" i="20" s="1"/>
  <c r="E121" i="20" a="1"/>
  <c r="E121" i="20" s="1"/>
  <c r="B124" i="20" a="1"/>
  <c r="B124" i="20"/>
  <c r="B120" i="20" a="1"/>
  <c r="B120" i="20" s="1"/>
  <c r="B127" i="20" a="1"/>
  <c r="B127" i="20"/>
  <c r="B134" i="20" a="1"/>
  <c r="B134" i="20"/>
  <c r="E128" i="20" a="1"/>
  <c r="E128" i="20" s="1"/>
  <c r="E134" i="20" a="1"/>
  <c r="E134" i="20" s="1"/>
  <c r="B115" i="20" a="1"/>
  <c r="B115" i="20" s="1"/>
  <c r="B130" i="20" a="1"/>
  <c r="B130" i="20" s="1"/>
  <c r="C74" i="9"/>
  <c r="O74" i="9"/>
  <c r="C74" i="2"/>
  <c r="C252" i="30"/>
  <c r="C348" i="29"/>
  <c r="C117" i="3"/>
  <c r="O117" i="3"/>
  <c r="C32" i="5"/>
  <c r="O32" i="5"/>
  <c r="C229" i="4"/>
  <c r="C280" i="30"/>
  <c r="O280" i="30"/>
  <c r="C421" i="29"/>
  <c r="O421" i="29"/>
  <c r="C38" i="30"/>
  <c r="C88" i="2"/>
  <c r="O88" i="2"/>
  <c r="C156" i="29"/>
  <c r="C355" i="29"/>
  <c r="C73" i="8"/>
  <c r="C176" i="4"/>
  <c r="C174" i="11"/>
  <c r="C134" i="30"/>
  <c r="C312" i="29"/>
  <c r="C176" i="3"/>
  <c r="C42" i="30"/>
  <c r="C214" i="30"/>
  <c r="O214" i="30"/>
  <c r="C189" i="3"/>
  <c r="C6" i="12"/>
  <c r="C77" i="11"/>
  <c r="C37" i="4"/>
  <c r="C52" i="8"/>
  <c r="O52" i="8"/>
  <c r="C175" i="4"/>
  <c r="C187" i="4"/>
  <c r="I2" i="14"/>
  <c r="L2" i="14"/>
  <c r="E2" i="14"/>
  <c r="H2" i="14"/>
  <c r="M2" i="14"/>
  <c r="P2" i="14"/>
  <c r="C133" i="30"/>
  <c r="C311" i="29"/>
  <c r="C116" i="2"/>
  <c r="C371" i="29"/>
  <c r="O371" i="29"/>
  <c r="C223" i="29"/>
  <c r="C47" i="7"/>
  <c r="O47" i="7"/>
  <c r="C86" i="3"/>
  <c r="C101" i="9"/>
  <c r="C333" i="29"/>
  <c r="C416" i="29"/>
  <c r="O416" i="29"/>
  <c r="C145" i="30"/>
  <c r="C172" i="11"/>
  <c r="C179" i="3"/>
  <c r="C235" i="29"/>
  <c r="C92" i="7"/>
  <c r="O92" i="7"/>
  <c r="C136" i="9"/>
  <c r="C141" i="11"/>
  <c r="C37" i="2"/>
  <c r="C7" i="2"/>
  <c r="C209" i="3"/>
  <c r="C30" i="8"/>
  <c r="C190" i="4"/>
  <c r="C121" i="30"/>
  <c r="C66" i="3"/>
  <c r="O66" i="3"/>
  <c r="C100" i="4"/>
  <c r="C224" i="4"/>
  <c r="O224" i="4"/>
  <c r="C183" i="4"/>
  <c r="C179" i="11"/>
  <c r="M8" i="14"/>
  <c r="P8" i="14"/>
  <c r="C91" i="4"/>
  <c r="O91" i="4"/>
  <c r="C581" i="29"/>
  <c r="C399" i="29"/>
  <c r="C36" i="7"/>
  <c r="C440" i="29"/>
  <c r="C143" i="11"/>
  <c r="C8" i="10"/>
  <c r="C360" i="29"/>
  <c r="C35" i="8"/>
  <c r="C197" i="30"/>
  <c r="E10" i="14"/>
  <c r="K25" i="6"/>
  <c r="I25" i="6" s="1"/>
  <c r="O234" i="4"/>
  <c r="O62" i="5"/>
  <c r="C424" i="29"/>
  <c r="O424" i="29"/>
  <c r="C17" i="12"/>
  <c r="C84" i="9"/>
  <c r="K77" i="8"/>
  <c r="K253" i="3"/>
  <c r="C203" i="11"/>
  <c r="C277" i="29"/>
  <c r="C282" i="30"/>
  <c r="O282" i="30"/>
  <c r="C44" i="30"/>
  <c r="C48" i="9"/>
  <c r="O48" i="9"/>
  <c r="C213" i="4"/>
  <c r="C34" i="5"/>
  <c r="O34" i="5"/>
  <c r="C38" i="4"/>
  <c r="C193" i="4"/>
  <c r="O193" i="4"/>
  <c r="C39" i="4"/>
  <c r="C357" i="29"/>
  <c r="C43" i="30"/>
  <c r="C152" i="29"/>
  <c r="C422" i="29"/>
  <c r="O422" i="29"/>
  <c r="C153" i="29"/>
  <c r="C445" i="29"/>
  <c r="C171" i="30"/>
  <c r="C81" i="3"/>
  <c r="C36" i="8"/>
  <c r="C44" i="11"/>
  <c r="O44" i="11"/>
  <c r="C67" i="3"/>
  <c r="O67" i="3"/>
  <c r="C41" i="4"/>
  <c r="O41" i="4"/>
  <c r="C45" i="11"/>
  <c r="O45" i="11"/>
  <c r="C248" i="3"/>
  <c r="C46" i="11"/>
  <c r="O46" i="11"/>
  <c r="C9" i="10"/>
  <c r="C76" i="7"/>
  <c r="C89" i="2"/>
  <c r="O89" i="2"/>
  <c r="C28" i="9"/>
  <c r="O28" i="9"/>
  <c r="C400" i="29"/>
  <c r="C225" i="4"/>
  <c r="O225" i="4"/>
  <c r="C42" i="4"/>
  <c r="O42" i="4"/>
  <c r="C198" i="30"/>
  <c r="C29" i="9"/>
  <c r="O29" i="9"/>
  <c r="C441" i="29"/>
  <c r="C215" i="11"/>
  <c r="O215" i="11"/>
  <c r="C273" i="29"/>
  <c r="O273" i="29"/>
  <c r="C510" i="29"/>
  <c r="O510" i="29"/>
  <c r="C226" i="4"/>
  <c r="O226" i="4"/>
  <c r="C251" i="3"/>
  <c r="C184" i="29"/>
  <c r="C220" i="11"/>
  <c r="C235" i="30"/>
  <c r="O235" i="30"/>
  <c r="C152" i="11"/>
  <c r="C16" i="6"/>
  <c r="C175" i="29"/>
  <c r="O175" i="29"/>
  <c r="C182" i="4"/>
  <c r="C69" i="11"/>
  <c r="C118" i="3"/>
  <c r="O118" i="3"/>
  <c r="C208" i="3"/>
  <c r="C38" i="9"/>
  <c r="O38" i="9"/>
  <c r="C159" i="4"/>
  <c r="C33" i="5"/>
  <c r="O33" i="5"/>
  <c r="C79" i="7"/>
  <c r="C244" i="30"/>
  <c r="C90" i="2"/>
  <c r="O90" i="2"/>
  <c r="C230" i="4"/>
  <c r="C12" i="10"/>
  <c r="C115" i="9"/>
  <c r="C299" i="29"/>
  <c r="C514" i="29"/>
  <c r="C39" i="30"/>
  <c r="C194" i="4"/>
  <c r="O194" i="4"/>
  <c r="C152" i="30"/>
  <c r="O152" i="30"/>
  <c r="C157" i="29"/>
  <c r="C327" i="29"/>
  <c r="O327" i="29"/>
  <c r="L11" i="27"/>
  <c r="K122" i="9"/>
  <c r="C283" i="30"/>
  <c r="O283" i="30"/>
  <c r="C35" i="5"/>
  <c r="O35" i="5"/>
  <c r="C242" i="29"/>
  <c r="O242" i="29"/>
  <c r="C334" i="29"/>
  <c r="C569" i="29"/>
  <c r="C91" i="8"/>
  <c r="O91" i="8"/>
  <c r="C73" i="4" a="1"/>
  <c r="C73" i="4" s="1"/>
  <c r="P9" i="14"/>
  <c r="O24" i="20"/>
  <c r="E64" i="20" a="1"/>
  <c r="E64" i="20" s="1"/>
  <c r="B64" i="20" a="1"/>
  <c r="B64" i="20"/>
  <c r="B63" i="20" a="1"/>
  <c r="B63" i="20" s="1"/>
  <c r="E73" i="20" a="1"/>
  <c r="E73" i="20" s="1"/>
  <c r="B73" i="20" a="1"/>
  <c r="B73" i="20" s="1"/>
  <c r="E75" i="20" a="1"/>
  <c r="E75" i="20" s="1"/>
  <c r="E72" i="20" a="1"/>
  <c r="E72" i="20" s="1"/>
  <c r="B66" i="20" a="1"/>
  <c r="B66" i="20" s="1"/>
  <c r="B79" i="20" a="1"/>
  <c r="B79" i="20" s="1"/>
  <c r="B70" i="20" a="1"/>
  <c r="B70" i="20"/>
  <c r="E78" i="20" a="1"/>
  <c r="E78" i="20" s="1"/>
  <c r="D78" i="20" s="1"/>
  <c r="E65" i="20" a="1"/>
  <c r="E65" i="20" s="1"/>
  <c r="B68" i="20" a="1"/>
  <c r="B68" i="20" s="1"/>
  <c r="E74" i="20" a="1"/>
  <c r="E74" i="20" s="1"/>
  <c r="B78" i="20" a="1"/>
  <c r="B78" i="20"/>
  <c r="B75" i="20" a="1"/>
  <c r="B75" i="20" s="1"/>
  <c r="B74" i="20" a="1"/>
  <c r="B74" i="20" s="1"/>
  <c r="E66" i="20" a="1"/>
  <c r="E66" i="20" s="1"/>
  <c r="E80" i="20" a="1"/>
  <c r="E80" i="20" s="1"/>
  <c r="B69" i="20" a="1"/>
  <c r="B69" i="20" s="1"/>
  <c r="B65" i="20" a="1"/>
  <c r="B65" i="20" s="1"/>
  <c r="B71" i="20" a="1"/>
  <c r="B71" i="20" s="1"/>
  <c r="B62" i="20" a="1"/>
  <c r="B62" i="20" s="1"/>
  <c r="E77" i="20" a="1"/>
  <c r="E77" i="20" s="1"/>
  <c r="E79" i="20" a="1"/>
  <c r="E79" i="20" s="1"/>
  <c r="E61" i="20" a="1"/>
  <c r="E61" i="20" s="1"/>
  <c r="B61" i="20" a="1"/>
  <c r="B61" i="20" s="1"/>
  <c r="B77" i="20" a="1"/>
  <c r="B77" i="20" s="1"/>
  <c r="B72" i="20" a="1"/>
  <c r="B72" i="20" s="1"/>
  <c r="E68" i="20" a="1"/>
  <c r="E68" i="20" s="1"/>
  <c r="D68" i="20" s="1"/>
  <c r="E76" i="20" a="1"/>
  <c r="E76" i="20" s="1"/>
  <c r="E63" i="20" a="1"/>
  <c r="E63" i="20" s="1"/>
  <c r="E71" i="20" a="1"/>
  <c r="E71" i="20" s="1"/>
  <c r="E62" i="20" a="1"/>
  <c r="E62" i="20" s="1"/>
  <c r="E151" i="20" a="1"/>
  <c r="E151" i="20" s="1"/>
  <c r="B160" i="20" a="1"/>
  <c r="B160" i="20" s="1"/>
  <c r="E169" i="20" a="1"/>
  <c r="E169" i="20" s="1"/>
  <c r="E159" i="20" a="1"/>
  <c r="E159" i="20" s="1"/>
  <c r="B158" i="20" a="1"/>
  <c r="B158" i="20" s="1"/>
  <c r="B159" i="20" a="1"/>
  <c r="B159" i="20"/>
  <c r="B172" i="20" a="1"/>
  <c r="B172" i="20"/>
  <c r="B155" i="20" a="1"/>
  <c r="B155" i="20" s="1"/>
  <c r="E155" i="20" a="1"/>
  <c r="E155" i="20" s="1"/>
  <c r="B167" i="20" a="1"/>
  <c r="B167" i="20" s="1"/>
  <c r="E165" i="20" a="1"/>
  <c r="E165" i="20" s="1"/>
  <c r="B156" i="20" a="1"/>
  <c r="B156" i="20"/>
  <c r="E153" i="20" a="1"/>
  <c r="E153" i="20" s="1"/>
  <c r="B169" i="20" a="1"/>
  <c r="B169" i="20"/>
  <c r="B152" i="20" a="1"/>
  <c r="B152" i="20"/>
  <c r="B164" i="20" a="1"/>
  <c r="B164" i="20" s="1"/>
  <c r="B162" i="20" a="1"/>
  <c r="B162" i="20" s="1"/>
  <c r="E176" i="20" a="1"/>
  <c r="E176" i="20" s="1"/>
  <c r="B153" i="20" a="1"/>
  <c r="B153" i="20" s="1"/>
  <c r="B166" i="20" a="1"/>
  <c r="B166" i="20" s="1"/>
  <c r="B168" i="20" a="1"/>
  <c r="B168" i="20"/>
  <c r="B165" i="20" a="1"/>
  <c r="B165" i="20"/>
  <c r="E167" i="20" a="1"/>
  <c r="E167" i="20" s="1"/>
  <c r="E170" i="20" a="1"/>
  <c r="E170" i="20" s="1"/>
  <c r="B170" i="20" a="1"/>
  <c r="B170" i="20"/>
  <c r="E160" i="20" a="1"/>
  <c r="E160" i="20" s="1"/>
  <c r="B157" i="20" a="1"/>
  <c r="B157" i="20" s="1"/>
  <c r="E171" i="20" a="1"/>
  <c r="E171" i="20" s="1"/>
  <c r="B173" i="20" a="1"/>
  <c r="B173" i="20" s="1"/>
  <c r="E174" i="20" a="1"/>
  <c r="E174" i="20" s="1"/>
  <c r="E158" i="20" a="1"/>
  <c r="E158" i="20" s="1"/>
  <c r="B176" i="20" a="1"/>
  <c r="B176" i="20" s="1"/>
  <c r="E152" i="20" a="1"/>
  <c r="E152" i="20" s="1"/>
  <c r="E154" i="20" a="1"/>
  <c r="E154" i="20" s="1"/>
  <c r="E162" i="20" a="1"/>
  <c r="E162" i="20" s="1"/>
  <c r="E173" i="20" a="1"/>
  <c r="E173" i="20" s="1"/>
  <c r="B163" i="20" a="1"/>
  <c r="B163" i="20"/>
  <c r="E172" i="20" a="1"/>
  <c r="E172" i="20" s="1"/>
  <c r="B161" i="20" a="1"/>
  <c r="B161" i="20"/>
  <c r="E157" i="20" a="1"/>
  <c r="E157" i="20" s="1"/>
  <c r="D157" i="20" s="1"/>
  <c r="E166" i="20" a="1"/>
  <c r="E166" i="20" s="1"/>
  <c r="E163" i="20" a="1"/>
  <c r="E163" i="20" s="1"/>
  <c r="E156" i="20" a="1"/>
  <c r="E156" i="20" s="1"/>
  <c r="B174" i="20" a="1"/>
  <c r="B174" i="20" s="1"/>
  <c r="B189" i="20" a="1"/>
  <c r="B189" i="20" s="1"/>
  <c r="B184" i="20" a="1"/>
  <c r="B184" i="20"/>
  <c r="B191" i="20" a="1"/>
  <c r="B191" i="20"/>
  <c r="B192" i="20" a="1"/>
  <c r="B192" i="20" s="1"/>
  <c r="B178" i="20" a="1"/>
  <c r="B178" i="20"/>
  <c r="B186" i="20" a="1"/>
  <c r="B186" i="20"/>
  <c r="B183" i="20" a="1"/>
  <c r="B183" i="20"/>
  <c r="B185" i="20" a="1"/>
  <c r="B185" i="20"/>
  <c r="B181" i="20" a="1"/>
  <c r="B181" i="20" s="1"/>
  <c r="B179" i="20" a="1"/>
  <c r="B179" i="20" s="1"/>
  <c r="B196" i="20" a="1"/>
  <c r="B196" i="20" s="1"/>
  <c r="B194" i="20" a="1"/>
  <c r="B194" i="20" s="1"/>
  <c r="B177" i="20" a="1"/>
  <c r="B177" i="20" s="1"/>
  <c r="B293" i="20" a="1"/>
  <c r="B293" i="20" s="1"/>
  <c r="A293" i="20" s="1"/>
  <c r="E290" i="20" a="1"/>
  <c r="E290" i="20" s="1"/>
  <c r="E295" i="20" a="1"/>
  <c r="E295" i="20" s="1"/>
  <c r="B284" i="20" a="1"/>
  <c r="B284" i="20"/>
  <c r="A284" i="20" s="1"/>
  <c r="B282" i="20" a="1"/>
  <c r="B282" i="20" s="1"/>
  <c r="A282" i="20" s="1"/>
  <c r="B294" i="20" a="1"/>
  <c r="B294" i="20"/>
  <c r="A294" i="20" s="1"/>
  <c r="E296" i="20" a="1"/>
  <c r="E296" i="20" s="1"/>
  <c r="E287" i="20" a="1"/>
  <c r="E287" i="20" s="1"/>
  <c r="B295" i="20" a="1"/>
  <c r="B295" i="20" s="1"/>
  <c r="A295" i="20"/>
  <c r="E297" i="20" a="1"/>
  <c r="E297" i="20" s="1"/>
  <c r="E282" i="20" a="1"/>
  <c r="E282" i="20" s="1"/>
  <c r="E294" i="20" a="1"/>
  <c r="E294" i="20" s="1"/>
  <c r="B292" i="20" a="1"/>
  <c r="B292" i="20"/>
  <c r="A292" i="20" s="1"/>
  <c r="B289" i="20" a="1"/>
  <c r="B289" i="20" s="1"/>
  <c r="A289" i="20" s="1"/>
  <c r="B283" i="20" a="1"/>
  <c r="B283" i="20" s="1"/>
  <c r="A283" i="20" s="1"/>
  <c r="E289" i="20" a="1"/>
  <c r="E289" i="20" s="1"/>
  <c r="E286" i="20" a="1"/>
  <c r="E286" i="20" s="1"/>
  <c r="E300" i="20" a="1"/>
  <c r="E300" i="20" s="1"/>
  <c r="B286" i="20" a="1"/>
  <c r="B286" i="20" s="1"/>
  <c r="A286" i="20" s="1"/>
  <c r="B288" i="20" a="1"/>
  <c r="B288" i="20"/>
  <c r="A288" i="20" s="1"/>
  <c r="E299" i="20" a="1"/>
  <c r="E299" i="20" s="1"/>
  <c r="E285" i="20" a="1"/>
  <c r="E285" i="20" s="1"/>
  <c r="B299" i="20" a="1"/>
  <c r="B299" i="20"/>
  <c r="A299" i="20"/>
  <c r="E291" i="20" a="1"/>
  <c r="E291" i="20" s="1"/>
  <c r="B291" i="20" a="1"/>
  <c r="B291" i="20" s="1"/>
  <c r="A291" i="20" s="1"/>
  <c r="B285" i="20" a="1"/>
  <c r="B285" i="20"/>
  <c r="A285" i="20" s="1"/>
  <c r="B296" i="20" a="1"/>
  <c r="B296" i="20" s="1"/>
  <c r="A296" i="20"/>
  <c r="E288" i="20" a="1"/>
  <c r="E288" i="20" s="1"/>
  <c r="E283" i="20" a="1"/>
  <c r="E283" i="20" s="1"/>
  <c r="B182" i="20" a="1"/>
  <c r="B182" i="20"/>
  <c r="B129" i="20" a="1"/>
  <c r="B129" i="20"/>
  <c r="E133" i="20" a="1"/>
  <c r="E133" i="20" s="1"/>
  <c r="D133" i="20" s="1"/>
  <c r="O23" i="20"/>
  <c r="C108" i="29"/>
  <c r="I4" i="14"/>
  <c r="I5" i="14"/>
  <c r="L5" i="14"/>
  <c r="I3" i="14"/>
  <c r="K3" i="14"/>
  <c r="I6" i="14"/>
  <c r="L6" i="14"/>
  <c r="C121" i="11"/>
  <c r="C566" i="29"/>
  <c r="C123" i="3" a="1"/>
  <c r="C123" i="3" s="1"/>
  <c r="C65" i="30" a="1"/>
  <c r="C65" i="30" s="1"/>
  <c r="K65" i="30" s="1"/>
  <c r="I65" i="30" s="1"/>
  <c r="C15" i="3" a="1"/>
  <c r="C15" i="3" s="1"/>
  <c r="C42" i="5" a="1"/>
  <c r="C42" i="5" s="1"/>
  <c r="C67" i="30" a="1"/>
  <c r="C67" i="30"/>
  <c r="C62" i="4" a="1"/>
  <c r="C62" i="4" s="1"/>
  <c r="K62" i="4" s="1"/>
  <c r="I62" i="4" s="1"/>
  <c r="C9" i="3" a="1"/>
  <c r="C9" i="3" s="1"/>
  <c r="C25" i="3" a="1"/>
  <c r="C25" i="3" s="1"/>
  <c r="C61" i="29" a="1"/>
  <c r="C61" i="29" s="1"/>
  <c r="C16" i="3" a="1"/>
  <c r="C16" i="3" s="1"/>
  <c r="C64" i="30" a="1"/>
  <c r="C64" i="30" s="1"/>
  <c r="K64" i="30" s="1"/>
  <c r="I64" i="30" s="1"/>
  <c r="C68" i="30" a="1"/>
  <c r="C68" i="30" s="1"/>
  <c r="C40" i="5" a="1"/>
  <c r="C40" i="5"/>
  <c r="C62" i="29" a="1"/>
  <c r="C62" i="29" s="1"/>
  <c r="C57" i="30" a="1"/>
  <c r="C57" i="30" s="1"/>
  <c r="K57" i="30" s="1"/>
  <c r="I57" i="30" s="1"/>
  <c r="C69" i="29" a="1"/>
  <c r="C69" i="29" s="1"/>
  <c r="K69" i="29" s="1"/>
  <c r="I69" i="29" s="1"/>
  <c r="C28" i="3" a="1"/>
  <c r="C28" i="3" s="1"/>
  <c r="C65" i="29" a="1"/>
  <c r="C65" i="29" s="1"/>
  <c r="C69" i="4" a="1"/>
  <c r="C69" i="4" s="1"/>
  <c r="K69" i="4" s="1"/>
  <c r="I69" i="4" s="1"/>
  <c r="C58" i="30" a="1"/>
  <c r="C58" i="30" s="1"/>
  <c r="K58" i="30" s="1"/>
  <c r="I58" i="30" s="1"/>
  <c r="C60" i="4" a="1"/>
  <c r="C60" i="4" s="1"/>
  <c r="K60" i="4" s="1"/>
  <c r="I60" i="4" s="1"/>
  <c r="C23" i="3" a="1"/>
  <c r="C23" i="3" s="1"/>
  <c r="C20" i="3" a="1"/>
  <c r="C20" i="3" s="1"/>
  <c r="C64" i="4" a="1"/>
  <c r="C64" i="4"/>
  <c r="K64" i="4" s="1"/>
  <c r="I64" i="4" s="1"/>
  <c r="C71" i="29" a="1"/>
  <c r="C71" i="29" s="1"/>
  <c r="C59" i="30" a="1"/>
  <c r="C59" i="30" s="1"/>
  <c r="K59" i="30" s="1"/>
  <c r="I59" i="30" s="1"/>
  <c r="C17" i="3" a="1"/>
  <c r="C17" i="3" s="1"/>
  <c r="C144" i="3" a="1"/>
  <c r="C144" i="3"/>
  <c r="C135" i="3" a="1"/>
  <c r="C135" i="3" s="1"/>
  <c r="C24" i="3" a="1"/>
  <c r="C24" i="3" s="1"/>
  <c r="K24" i="3" s="1"/>
  <c r="I24" i="3" s="1"/>
  <c r="C127" i="3" a="1"/>
  <c r="C127" i="3" s="1"/>
  <c r="K127" i="3" s="1"/>
  <c r="I127" i="3" s="1"/>
  <c r="C10" i="3" a="1"/>
  <c r="C10" i="3" s="1"/>
  <c r="C125" i="3" a="1"/>
  <c r="C125" i="3" s="1"/>
  <c r="C66" i="30" a="1"/>
  <c r="C66" i="30" s="1"/>
  <c r="K66" i="30" s="1"/>
  <c r="I66" i="30" s="1"/>
  <c r="C95" i="3" a="1"/>
  <c r="C95" i="3" s="1"/>
  <c r="C8" i="3" a="1"/>
  <c r="C8" i="3" s="1"/>
  <c r="C59" i="4" a="1"/>
  <c r="C59" i="4" s="1"/>
  <c r="K59" i="4" s="1"/>
  <c r="I59" i="4" s="1"/>
  <c r="C67" i="4" a="1"/>
  <c r="C67" i="4" s="1"/>
  <c r="K67" i="4" s="1"/>
  <c r="I67" i="4" s="1"/>
  <c r="C73" i="29" a="1"/>
  <c r="C73" i="29" s="1"/>
  <c r="C61" i="30" a="1"/>
  <c r="C61" i="30" s="1"/>
  <c r="K61" i="30" s="1"/>
  <c r="I61" i="30" s="1"/>
  <c r="C70" i="29" a="1"/>
  <c r="C70" i="29" s="1"/>
  <c r="K70" i="29" s="1"/>
  <c r="I70" i="29" s="1"/>
  <c r="C124" i="3" a="1"/>
  <c r="C124" i="3" s="1"/>
  <c r="C69" i="30" a="1"/>
  <c r="C69" i="30" s="1"/>
  <c r="C98" i="3" a="1"/>
  <c r="C98" i="3" s="1"/>
  <c r="C19" i="3" a="1"/>
  <c r="C19" i="3" s="1"/>
  <c r="C63" i="29" a="1"/>
  <c r="C63" i="29" s="1"/>
  <c r="C61" i="4" a="1"/>
  <c r="C61" i="4"/>
  <c r="C96" i="3" a="1"/>
  <c r="C96" i="3" s="1"/>
  <c r="K96" i="3" s="1"/>
  <c r="I96" i="3" s="1"/>
  <c r="C72" i="29" a="1"/>
  <c r="C72" i="29" s="1"/>
  <c r="C72" i="4" a="1"/>
  <c r="C72" i="4" s="1"/>
  <c r="K72" i="4" s="1"/>
  <c r="I72" i="4" s="1"/>
  <c r="L21" i="27"/>
  <c r="C68" i="29" a="1"/>
  <c r="C68" i="29" s="1"/>
  <c r="C46" i="2"/>
  <c r="C56" i="29"/>
  <c r="C448" i="29"/>
  <c r="C212" i="30"/>
  <c r="C17" i="10"/>
  <c r="C15" i="7"/>
  <c r="C339" i="29"/>
  <c r="C50" i="8"/>
  <c r="C262" i="3"/>
  <c r="C90" i="7"/>
  <c r="C68" i="4" a="1"/>
  <c r="C68" i="4" s="1"/>
  <c r="K68" i="4" s="1"/>
  <c r="I68" i="4" s="1"/>
  <c r="C414" i="29"/>
  <c r="L20" i="27"/>
  <c r="L9" i="27"/>
  <c r="L8" i="27"/>
  <c r="K247" i="3"/>
  <c r="K7" i="7"/>
  <c r="K164" i="29"/>
  <c r="K72" i="8"/>
  <c r="I72" i="8" s="1"/>
  <c r="K125" i="9"/>
  <c r="K185" i="3"/>
  <c r="I185" i="3" s="1"/>
  <c r="K217" i="30"/>
  <c r="I217" i="30" s="1"/>
  <c r="K11" i="12"/>
  <c r="I11" i="12" s="1"/>
  <c r="L7" i="14"/>
  <c r="K31" i="7"/>
  <c r="K224" i="29"/>
  <c r="C39" i="5" a="1"/>
  <c r="C39" i="5" s="1"/>
  <c r="K39" i="5" s="1"/>
  <c r="I39" i="5" s="1"/>
  <c r="K303" i="29"/>
  <c r="C87" i="3"/>
  <c r="O87" i="3"/>
  <c r="C180" i="3"/>
  <c r="O180" i="3"/>
  <c r="C146" i="30"/>
  <c r="O146" i="30"/>
  <c r="C35" i="2"/>
  <c r="C94" i="3" a="1"/>
  <c r="C94" i="3" s="1"/>
  <c r="K15" i="6"/>
  <c r="I15" i="6" s="1"/>
  <c r="C139" i="3" a="1"/>
  <c r="C139" i="3" s="1"/>
  <c r="M392" i="13"/>
  <c r="K43" i="8"/>
  <c r="I43" i="8" s="1"/>
  <c r="E7" i="14"/>
  <c r="C11" i="3" a="1"/>
  <c r="C11" i="3" s="1"/>
  <c r="C63" i="4" a="1"/>
  <c r="C63" i="4" s="1"/>
  <c r="K63" i="4" s="1"/>
  <c r="I63" i="4" s="1"/>
  <c r="C97" i="3" a="1"/>
  <c r="C97" i="3" s="1"/>
  <c r="C60" i="30" a="1"/>
  <c r="C60" i="30" s="1"/>
  <c r="K60" i="30" s="1"/>
  <c r="I60" i="30" s="1"/>
  <c r="C64" i="29" a="1"/>
  <c r="C64" i="29" s="1"/>
  <c r="C60" i="29" a="1"/>
  <c r="C60" i="29" s="1"/>
  <c r="K60" i="29" s="1"/>
  <c r="I60" i="29" s="1"/>
  <c r="C93" i="3" a="1"/>
  <c r="C93" i="3" s="1"/>
  <c r="C122" i="3" a="1"/>
  <c r="C122" i="3" s="1"/>
  <c r="C56" i="30" a="1"/>
  <c r="C56" i="30" s="1"/>
  <c r="C7" i="3" a="1"/>
  <c r="C7" i="3" s="1"/>
  <c r="C37" i="5" a="1"/>
  <c r="C37" i="5" s="1"/>
  <c r="C107" i="4"/>
  <c r="C251" i="30"/>
  <c r="C332" i="29"/>
  <c r="C8" i="7"/>
  <c r="K45" i="3"/>
  <c r="I45" i="3" s="1"/>
  <c r="K118" i="2"/>
  <c r="I118" i="2" s="1"/>
  <c r="K31" i="8"/>
  <c r="K179" i="30"/>
  <c r="K13" i="7"/>
  <c r="I13" i="7" s="1"/>
  <c r="C41" i="5" a="1"/>
  <c r="C41" i="5" s="1"/>
  <c r="C91" i="3"/>
  <c r="C6" i="5"/>
  <c r="C254" i="30"/>
  <c r="C523" i="29"/>
  <c r="C78" i="11"/>
  <c r="C17" i="29" a="1"/>
  <c r="C17" i="29" s="1"/>
  <c r="C274" i="29"/>
  <c r="C184" i="30"/>
  <c r="AD135" i="13"/>
  <c r="AA135" i="13"/>
  <c r="M135" i="13"/>
  <c r="C188" i="3"/>
  <c r="C222" i="29"/>
  <c r="C71" i="8"/>
  <c r="C310" i="29"/>
  <c r="C137" i="9"/>
  <c r="L19" i="27"/>
  <c r="K151" i="29"/>
  <c r="K96" i="29"/>
  <c r="C8" i="12"/>
  <c r="O8" i="12"/>
  <c r="C318" i="29"/>
  <c r="K143" i="30"/>
  <c r="C593" i="29"/>
  <c r="I10" i="14"/>
  <c r="L10" i="14"/>
  <c r="I9" i="14"/>
  <c r="L9" i="14"/>
  <c r="K13" i="12"/>
  <c r="I13" i="12" s="1"/>
  <c r="C132" i="30"/>
  <c r="C224" i="30"/>
  <c r="C80" i="4"/>
  <c r="K53" i="30"/>
  <c r="C122" i="2"/>
  <c r="C85" i="9"/>
  <c r="C95" i="29"/>
  <c r="C17" i="6"/>
  <c r="C97" i="29"/>
  <c r="C12" i="12"/>
  <c r="C21" i="3" a="1"/>
  <c r="C21" i="3" s="1"/>
  <c r="C54" i="5" a="1"/>
  <c r="C54" i="5" s="1"/>
  <c r="C49" i="5" a="1"/>
  <c r="C49" i="5" s="1"/>
  <c r="K49" i="5" s="1"/>
  <c r="I49" i="5" s="1"/>
  <c r="M137" i="13"/>
  <c r="C126" i="3" a="1"/>
  <c r="C126" i="3" s="1"/>
  <c r="C238" i="29"/>
  <c r="C107" i="3" a="1"/>
  <c r="C107" i="3" s="1"/>
  <c r="O107" i="3" s="1"/>
  <c r="C12" i="3" a="1"/>
  <c r="C12" i="3" s="1"/>
  <c r="C130" i="3" a="1"/>
  <c r="C130" i="3" s="1"/>
  <c r="K130" i="3" s="1"/>
  <c r="I130" i="3" s="1"/>
  <c r="C33" i="29" a="1"/>
  <c r="C33" i="29" s="1"/>
  <c r="C301" i="30" a="1"/>
  <c r="C301" i="30" s="1"/>
  <c r="K301" i="30" s="1"/>
  <c r="O20" i="20"/>
  <c r="C79" i="11"/>
  <c r="C71" i="2" a="1"/>
  <c r="C71" i="2" s="1"/>
  <c r="O71" i="2" s="1"/>
  <c r="C63" i="2" a="1"/>
  <c r="C63" i="2" s="1"/>
  <c r="C18" i="2" a="1"/>
  <c r="C18" i="2" s="1"/>
  <c r="C48" i="5" a="1"/>
  <c r="C48" i="5" s="1"/>
  <c r="C111" i="3" a="1"/>
  <c r="C111" i="3" s="1"/>
  <c r="K111" i="3" s="1"/>
  <c r="I111" i="3" s="1"/>
  <c r="C104" i="3" a="1"/>
  <c r="C104" i="3" s="1"/>
  <c r="C101" i="3" a="1"/>
  <c r="C101" i="3" s="1"/>
  <c r="C128" i="3" a="1"/>
  <c r="C128" i="3" s="1"/>
  <c r="C38" i="5" a="1"/>
  <c r="C38" i="5" s="1"/>
  <c r="K38" i="5" s="1"/>
  <c r="I38" i="5" s="1"/>
  <c r="C32" i="2" a="1"/>
  <c r="C32" i="2" s="1"/>
  <c r="C24" i="2" a="1"/>
  <c r="C24" i="2" s="1"/>
  <c r="O24" i="2" s="1"/>
  <c r="C136" i="3" a="1"/>
  <c r="C136" i="3" s="1"/>
  <c r="C57" i="5" a="1"/>
  <c r="C57" i="5" s="1"/>
  <c r="C53" i="5" a="1"/>
  <c r="C53" i="5" s="1"/>
  <c r="C141" i="3" a="1"/>
  <c r="C141" i="3" s="1"/>
  <c r="C132" i="3" a="1"/>
  <c r="C132" i="3" s="1"/>
  <c r="C113" i="3" a="1"/>
  <c r="C113" i="3" s="1"/>
  <c r="C47" i="5" a="1"/>
  <c r="C47" i="5" s="1"/>
  <c r="K47" i="5" s="1"/>
  <c r="I47" i="5" s="1"/>
  <c r="C143" i="3" a="1"/>
  <c r="C143" i="3" s="1"/>
  <c r="C138" i="3" a="1"/>
  <c r="C138" i="3" s="1"/>
  <c r="C115" i="3" a="1"/>
  <c r="C115" i="3" s="1"/>
  <c r="C43" i="5" a="1"/>
  <c r="C43" i="5" s="1"/>
  <c r="K43" i="5" s="1"/>
  <c r="I43" i="5" s="1"/>
  <c r="C105" i="3" a="1"/>
  <c r="C105" i="3" s="1"/>
  <c r="K105" i="3" s="1"/>
  <c r="I105" i="3" s="1"/>
  <c r="C56" i="5" a="1"/>
  <c r="C56" i="5" s="1"/>
  <c r="K56" i="5" s="1"/>
  <c r="I56" i="5" s="1"/>
  <c r="C51" i="5" a="1"/>
  <c r="C51" i="5" s="1"/>
  <c r="C134" i="3" a="1"/>
  <c r="C134" i="3" s="1"/>
  <c r="K134" i="3" s="1"/>
  <c r="I134" i="3" s="1"/>
  <c r="C110" i="3" a="1"/>
  <c r="C110" i="3" s="1"/>
  <c r="K110" i="3" s="1"/>
  <c r="I110" i="3" s="1"/>
  <c r="C103" i="3" a="1"/>
  <c r="C103" i="3" s="1"/>
  <c r="C99" i="3" a="1"/>
  <c r="C99" i="3" s="1"/>
  <c r="C62" i="30" a="1"/>
  <c r="C62" i="30" s="1"/>
  <c r="C27" i="3" a="1"/>
  <c r="C27" i="3" s="1"/>
  <c r="K27" i="3" s="1"/>
  <c r="I27" i="3" s="1"/>
  <c r="C140" i="3" a="1"/>
  <c r="C140" i="3" s="1"/>
  <c r="C112" i="3" a="1"/>
  <c r="C112" i="3" s="1"/>
  <c r="C106" i="3" a="1"/>
  <c r="C106" i="3" s="1"/>
  <c r="K106" i="3" s="1"/>
  <c r="I106" i="3"/>
  <c r="C13" i="3" a="1"/>
  <c r="C13" i="3" s="1"/>
  <c r="O13" i="3" s="1"/>
  <c r="C74" i="29" a="1"/>
  <c r="C74" i="29" s="1"/>
  <c r="C66" i="29" a="1"/>
  <c r="C66" i="29" s="1"/>
  <c r="K66" i="29" s="1"/>
  <c r="I66" i="29" s="1"/>
  <c r="C299" i="30" a="1"/>
  <c r="C299" i="30" s="1"/>
  <c r="L299" i="30" s="1"/>
  <c r="C55" i="5" a="1"/>
  <c r="C55" i="5"/>
  <c r="K55" i="5" s="1"/>
  <c r="I55" i="5" s="1"/>
  <c r="C50" i="5" a="1"/>
  <c r="C50" i="5" s="1"/>
  <c r="C45" i="5" a="1"/>
  <c r="C45" i="5" s="1"/>
  <c r="K45" i="5" s="1"/>
  <c r="I45" i="5" s="1"/>
  <c r="C142" i="3" a="1"/>
  <c r="C142" i="3" s="1"/>
  <c r="K142" i="3" s="1"/>
  <c r="I142" i="3" s="1"/>
  <c r="C114" i="3" a="1"/>
  <c r="C114" i="3"/>
  <c r="K114" i="3" s="1"/>
  <c r="I114" i="3" s="1"/>
  <c r="C29" i="3" a="1"/>
  <c r="C29" i="3" s="1"/>
  <c r="K29" i="3" s="1"/>
  <c r="I29" i="3" s="1"/>
  <c r="C65" i="4" a="1"/>
  <c r="C65" i="4" s="1"/>
  <c r="C58" i="5" a="1"/>
  <c r="C58" i="5" s="1"/>
  <c r="K58" i="5" s="1"/>
  <c r="I58" i="5" s="1"/>
  <c r="C59" i="5" a="1"/>
  <c r="C59" i="5" s="1"/>
  <c r="C133" i="3" a="1"/>
  <c r="C133" i="3" s="1"/>
  <c r="K133" i="3" s="1"/>
  <c r="I133" i="3" s="1"/>
  <c r="C109" i="3" a="1"/>
  <c r="C109" i="3" s="1"/>
  <c r="K109" i="3" s="1"/>
  <c r="I109" i="3" s="1"/>
  <c r="C70" i="30" a="1"/>
  <c r="C70" i="30" s="1"/>
  <c r="C236" i="29"/>
  <c r="O236" i="29"/>
  <c r="C131" i="9"/>
  <c r="O131" i="9"/>
  <c r="C321" i="29"/>
  <c r="O321" i="29"/>
  <c r="C167" i="11"/>
  <c r="O167" i="11"/>
  <c r="C36" i="2"/>
  <c r="C103" i="9"/>
  <c r="O103" i="9"/>
  <c r="C567" i="29"/>
  <c r="C122" i="11"/>
  <c r="K203" i="30"/>
  <c r="K81" i="7"/>
  <c r="K55" i="8"/>
  <c r="I55" i="8" s="1"/>
  <c r="K213" i="30"/>
  <c r="O18" i="20"/>
  <c r="C39" i="8"/>
  <c r="C201" i="30"/>
  <c r="C403" i="29"/>
  <c r="K302" i="29"/>
  <c r="K126" i="30"/>
  <c r="K118" i="30"/>
  <c r="O25" i="20"/>
  <c r="K82" i="8"/>
  <c r="C316" i="29"/>
  <c r="I8" i="14"/>
  <c r="L8" i="14"/>
  <c r="K124" i="30"/>
  <c r="I124" i="30" s="1"/>
  <c r="C148" i="30"/>
  <c r="C230" i="29"/>
  <c r="C68" i="2" a="1"/>
  <c r="C68" i="2" s="1"/>
  <c r="C14" i="2" a="1"/>
  <c r="C14" i="2" s="1"/>
  <c r="C140" i="30"/>
  <c r="C64" i="8"/>
  <c r="C84" i="8"/>
  <c r="C143" i="9"/>
  <c r="C178" i="11"/>
  <c r="AA395" i="13"/>
  <c r="K304" i="29"/>
  <c r="M210" i="13"/>
  <c r="C67" i="2" a="1"/>
  <c r="C67" i="2" s="1"/>
  <c r="C187" i="30"/>
  <c r="C87" i="8"/>
  <c r="C169" i="11"/>
  <c r="M136" i="13"/>
  <c r="C19" i="29" a="1"/>
  <c r="C19" i="29" s="1"/>
  <c r="C307" i="30" a="1"/>
  <c r="C307" i="30" s="1"/>
  <c r="O307" i="30" s="1"/>
  <c r="C25" i="29" a="1"/>
  <c r="C25" i="29" s="1"/>
  <c r="K25" i="29" s="1"/>
  <c r="C55" i="2" a="1"/>
  <c r="C55" i="2" s="1"/>
  <c r="K55" i="2" s="1"/>
  <c r="C43" i="29" a="1"/>
  <c r="C43" i="29" s="1"/>
  <c r="O22" i="20"/>
  <c r="AA384" i="13"/>
  <c r="M384" i="13"/>
  <c r="AA388" i="13"/>
  <c r="M388" i="13"/>
  <c r="C21" i="2" a="1"/>
  <c r="C21" i="2" s="1"/>
  <c r="C296" i="30" a="1"/>
  <c r="C296" i="30" s="1"/>
  <c r="L296" i="30" s="1"/>
  <c r="E9" i="14"/>
  <c r="E6" i="14"/>
  <c r="C57" i="2" a="1"/>
  <c r="C57" i="2" s="1"/>
  <c r="C46" i="29" a="1"/>
  <c r="C46" i="29" s="1"/>
  <c r="K46" i="29" s="1"/>
  <c r="C133" i="9"/>
  <c r="K214" i="29"/>
  <c r="M10" i="14"/>
  <c r="P10" i="14"/>
  <c r="O2" i="14"/>
  <c r="C16" i="2" a="1"/>
  <c r="C16" i="2" s="1"/>
  <c r="O16" i="2" s="1"/>
  <c r="C141" i="30"/>
  <c r="K216" i="29"/>
  <c r="M7" i="14"/>
  <c r="P7" i="14"/>
  <c r="C291" i="30" a="1"/>
  <c r="C291" i="30"/>
  <c r="C317" i="29"/>
  <c r="E5" i="14"/>
  <c r="G5" i="14"/>
  <c r="B5" i="14" s="1"/>
  <c r="M435" i="13" s="1"/>
  <c r="C26" i="2" a="1"/>
  <c r="C26" i="2" s="1"/>
  <c r="C188" i="30"/>
  <c r="C85" i="8"/>
  <c r="O85" i="8"/>
  <c r="C216" i="11"/>
  <c r="O216" i="11"/>
  <c r="C320" i="29"/>
  <c r="K185" i="4"/>
  <c r="I185" i="4" s="1"/>
  <c r="K83" i="7"/>
  <c r="I83" i="7" s="1"/>
  <c r="K213" i="3"/>
  <c r="O235" i="11"/>
  <c r="O191" i="30"/>
  <c r="K127" i="30"/>
  <c r="K7" i="14"/>
  <c r="M387" i="13"/>
  <c r="AA387" i="13"/>
  <c r="C326" i="29"/>
  <c r="O326" i="29"/>
  <c r="C151" i="30"/>
  <c r="O151" i="30"/>
  <c r="C150" i="9"/>
  <c r="O150" i="9"/>
  <c r="C241" i="29"/>
  <c r="O241" i="29"/>
  <c r="C185" i="11"/>
  <c r="O185" i="11"/>
  <c r="C90" i="8"/>
  <c r="O90" i="8"/>
  <c r="M393" i="13"/>
  <c r="C36" i="29" a="1"/>
  <c r="C36" i="29" s="1"/>
  <c r="K36" i="29" s="1"/>
  <c r="C15" i="29" a="1"/>
  <c r="C15" i="29" s="1"/>
  <c r="C289" i="30" a="1"/>
  <c r="C289" i="30" s="1"/>
  <c r="C53" i="2" a="1"/>
  <c r="C53" i="2" s="1"/>
  <c r="L53" i="2" s="1"/>
  <c r="C41" i="29" a="1"/>
  <c r="C41" i="29" s="1"/>
  <c r="C20" i="29" a="1"/>
  <c r="C20" i="29" s="1"/>
  <c r="K20" i="29" s="1"/>
  <c r="C19" i="2" a="1"/>
  <c r="C19" i="2" s="1"/>
  <c r="C58" i="2" a="1"/>
  <c r="C58" i="2" s="1"/>
  <c r="C294" i="30" a="1"/>
  <c r="C294" i="30" s="1"/>
  <c r="C131" i="3" a="1"/>
  <c r="C131" i="3" s="1"/>
  <c r="K131" i="3" s="1"/>
  <c r="I131" i="3" s="1"/>
  <c r="K307" i="29"/>
  <c r="C16" i="12"/>
  <c r="C426" i="29"/>
  <c r="O9" i="14"/>
  <c r="C102" i="3" a="1"/>
  <c r="C102" i="3" s="1"/>
  <c r="K102" i="3" s="1"/>
  <c r="I102" i="3" s="1"/>
  <c r="C46" i="5" a="1"/>
  <c r="C46" i="5" s="1"/>
  <c r="K46" i="5" s="1"/>
  <c r="I46" i="5" s="1"/>
  <c r="C272" i="29"/>
  <c r="O272" i="29"/>
  <c r="C182" i="30"/>
  <c r="O182" i="30"/>
  <c r="M400" i="13"/>
  <c r="AA400" i="13"/>
  <c r="C314" i="29"/>
  <c r="C180" i="11"/>
  <c r="K183" i="30"/>
  <c r="K141" i="9"/>
  <c r="I141" i="9" s="1"/>
  <c r="M390" i="13"/>
  <c r="AA390" i="13"/>
  <c r="M385" i="13"/>
  <c r="AA385" i="13"/>
  <c r="AA383" i="13"/>
  <c r="M383" i="13"/>
  <c r="AF383" i="13"/>
  <c r="C11" i="29" a="1"/>
  <c r="C11" i="29" s="1"/>
  <c r="C32" i="29" a="1"/>
  <c r="C32" i="29" s="1"/>
  <c r="C285" i="30" a="1"/>
  <c r="C285" i="30"/>
  <c r="K285" i="30" s="1"/>
  <c r="C10" i="2" a="1"/>
  <c r="C10" i="2" s="1"/>
  <c r="C49" i="2" a="1"/>
  <c r="C49" i="2" s="1"/>
  <c r="K49" i="2" s="1"/>
  <c r="C80" i="8"/>
  <c r="C70" i="2" a="1"/>
  <c r="C70" i="2" s="1"/>
  <c r="O70" i="2" s="1"/>
  <c r="C31" i="2" a="1"/>
  <c r="C31" i="2" s="1"/>
  <c r="O31" i="2" s="1"/>
  <c r="C35" i="29" a="1"/>
  <c r="C35" i="29" s="1"/>
  <c r="L35" i="29" s="1"/>
  <c r="C14" i="29" a="1"/>
  <c r="C14" i="29" s="1"/>
  <c r="K14" i="29" s="1"/>
  <c r="C52" i="2" a="1"/>
  <c r="C52" i="2" s="1"/>
  <c r="K52" i="2" s="1"/>
  <c r="C65" i="8"/>
  <c r="C300" i="29"/>
  <c r="E3" i="14"/>
  <c r="AA352" i="13"/>
  <c r="C288" i="30" a="1"/>
  <c r="C288" i="30" s="1"/>
  <c r="C306" i="30" a="1"/>
  <c r="C306" i="30" s="1"/>
  <c r="C130" i="9"/>
  <c r="E4" i="14"/>
  <c r="C21" i="29" a="1"/>
  <c r="C21" i="29" s="1"/>
  <c r="K21" i="29" s="1"/>
  <c r="C42" i="29" a="1"/>
  <c r="C42" i="29" s="1"/>
  <c r="K42" i="29" s="1"/>
  <c r="C20" i="2" a="1"/>
  <c r="C20" i="2" s="1"/>
  <c r="C295" i="30" a="1"/>
  <c r="C295" i="30" s="1"/>
  <c r="C59" i="2" a="1"/>
  <c r="C59" i="2" s="1"/>
  <c r="C16" i="29" a="1"/>
  <c r="C16" i="29" s="1"/>
  <c r="O16" i="29" s="1"/>
  <c r="C37" i="29" a="1"/>
  <c r="C37" i="29" s="1"/>
  <c r="K37" i="29" s="1"/>
  <c r="C15" i="2" a="1"/>
  <c r="C15" i="2" s="1"/>
  <c r="O15" i="2" s="1"/>
  <c r="C54" i="2" a="1"/>
  <c r="C54" i="2" s="1"/>
  <c r="C290" i="30" a="1"/>
  <c r="C290" i="30" s="1"/>
  <c r="L290" i="30" s="1"/>
  <c r="C34" i="29" a="1"/>
  <c r="C34" i="29" s="1"/>
  <c r="K34" i="29" s="1"/>
  <c r="C13" i="29" a="1"/>
  <c r="C13" i="29" s="1"/>
  <c r="C12" i="2" a="1"/>
  <c r="C12" i="2" s="1"/>
  <c r="C51" i="2" a="1"/>
  <c r="C51" i="2" s="1"/>
  <c r="L51" i="2" s="1"/>
  <c r="C287" i="30" a="1"/>
  <c r="C287" i="30" s="1"/>
  <c r="L287" i="30" s="1"/>
  <c r="C144" i="9"/>
  <c r="C69" i="2" a="1"/>
  <c r="C69" i="2" s="1"/>
  <c r="C305" i="30" a="1"/>
  <c r="C305" i="30" s="1"/>
  <c r="C30" i="2" a="1"/>
  <c r="C30" i="2" s="1"/>
  <c r="C13" i="2" a="1"/>
  <c r="C13" i="2"/>
  <c r="C66" i="2" a="1"/>
  <c r="C66" i="2" s="1"/>
  <c r="L66" i="2" s="1"/>
  <c r="C27" i="2" a="1"/>
  <c r="C27" i="2"/>
  <c r="C302" i="30" a="1"/>
  <c r="C302" i="30" s="1"/>
  <c r="K302" i="30" s="1"/>
  <c r="C44" i="29" a="1"/>
  <c r="C44" i="29" s="1"/>
  <c r="K44" i="29" s="1"/>
  <c r="C23" i="29" a="1"/>
  <c r="C23" i="29" s="1"/>
  <c r="C297" i="30" a="1"/>
  <c r="C297" i="30" s="1"/>
  <c r="L297" i="30" s="1"/>
  <c r="C22" i="2" a="1"/>
  <c r="C22" i="2" s="1"/>
  <c r="C61" i="2" a="1"/>
  <c r="C61" i="2" s="1"/>
  <c r="L61" i="2" s="1"/>
  <c r="C45" i="29" a="1"/>
  <c r="C45" i="29" s="1"/>
  <c r="C24" i="29" a="1"/>
  <c r="C24" i="29" s="1"/>
  <c r="C29" i="2" a="1"/>
  <c r="C29" i="2" s="1"/>
  <c r="C298" i="30" a="1"/>
  <c r="C298" i="30" s="1"/>
  <c r="O298" i="30" s="1"/>
  <c r="C12" i="29" a="1"/>
  <c r="C12" i="29" s="1"/>
  <c r="L12" i="29" s="1"/>
  <c r="C286" i="30" a="1"/>
  <c r="C286" i="30" s="1"/>
  <c r="C304" i="30" a="1"/>
  <c r="C304" i="30"/>
  <c r="L304" i="30" s="1"/>
  <c r="C62" i="2" a="1"/>
  <c r="C62" i="2" s="1"/>
  <c r="O62" i="2" s="1"/>
  <c r="C50" i="2" a="1"/>
  <c r="C50" i="2" s="1"/>
  <c r="C11" i="2" a="1"/>
  <c r="C11" i="2" s="1"/>
  <c r="C23" i="2" a="1"/>
  <c r="C23" i="2" s="1"/>
  <c r="O23" i="2" s="1"/>
  <c r="C28" i="2" a="1"/>
  <c r="C28" i="2" s="1"/>
  <c r="C303" i="30" a="1"/>
  <c r="C303" i="30" s="1"/>
  <c r="C22" i="29" a="1"/>
  <c r="C22" i="29"/>
  <c r="L22" i="29" s="1"/>
  <c r="C60" i="2" a="1"/>
  <c r="C60" i="2"/>
  <c r="K60" i="2" s="1"/>
  <c r="C65" i="2" a="1"/>
  <c r="C65" i="2" s="1"/>
  <c r="C293" i="30" a="1"/>
  <c r="C293" i="30" s="1"/>
  <c r="K293" i="30" s="1"/>
  <c r="C40" i="29" a="1"/>
  <c r="C40" i="29" s="1"/>
  <c r="L40" i="29" s="1"/>
  <c r="C38" i="29" a="1"/>
  <c r="C38" i="29" s="1"/>
  <c r="L31" i="7"/>
  <c r="L72" i="8"/>
  <c r="I24" i="4"/>
  <c r="I66" i="7"/>
  <c r="I17" i="4"/>
  <c r="I13" i="30"/>
  <c r="I173" i="3"/>
  <c r="I9" i="8"/>
  <c r="I18" i="7"/>
  <c r="I14" i="8"/>
  <c r="I7" i="9"/>
  <c r="I155" i="3"/>
  <c r="I26" i="8"/>
  <c r="I19" i="9"/>
  <c r="I24" i="30"/>
  <c r="I34" i="30"/>
  <c r="I10" i="6"/>
  <c r="I12" i="6"/>
  <c r="I12" i="8"/>
  <c r="I50" i="9"/>
  <c r="I17" i="9"/>
  <c r="I210" i="30"/>
  <c r="I24" i="9"/>
  <c r="I11" i="6"/>
  <c r="I15" i="8"/>
  <c r="I9" i="6"/>
  <c r="I23" i="30"/>
  <c r="I18" i="8"/>
  <c r="I49" i="8"/>
  <c r="I27" i="30"/>
  <c r="I18" i="4"/>
  <c r="I19" i="7"/>
  <c r="I16" i="30"/>
  <c r="I86" i="7"/>
  <c r="O6" i="12"/>
  <c r="O74" i="2"/>
  <c r="L16" i="12"/>
  <c r="L37" i="2"/>
  <c r="K93" i="2"/>
  <c r="I22" i="30"/>
  <c r="I87" i="7"/>
  <c r="I53" i="9"/>
  <c r="L12" i="12"/>
  <c r="O12" i="12"/>
  <c r="L93" i="2"/>
  <c r="I157" i="3"/>
  <c r="I207" i="30"/>
  <c r="I26" i="30"/>
  <c r="I17" i="7"/>
  <c r="I150" i="3"/>
  <c r="I171" i="3"/>
  <c r="I22" i="9"/>
  <c r="I22" i="8"/>
  <c r="I25" i="9"/>
  <c r="I10" i="8"/>
  <c r="I51" i="9"/>
  <c r="L11" i="12"/>
  <c r="I62" i="7"/>
  <c r="I32" i="4"/>
  <c r="I33" i="30"/>
  <c r="I211" i="30"/>
  <c r="I148" i="3"/>
  <c r="I10" i="9"/>
  <c r="I16" i="8"/>
  <c r="L138" i="9"/>
  <c r="I168" i="3"/>
  <c r="I15" i="30"/>
  <c r="I20" i="30"/>
  <c r="I31" i="4"/>
  <c r="I16" i="4"/>
  <c r="I23" i="8"/>
  <c r="I15" i="9"/>
  <c r="L17" i="12"/>
  <c r="L36" i="3"/>
  <c r="U9" i="27" a="1"/>
  <c r="U9" i="27" s="1"/>
  <c r="L188" i="4"/>
  <c r="O188" i="4"/>
  <c r="I17" i="30"/>
  <c r="I24" i="8"/>
  <c r="L33" i="3"/>
  <c r="I32" i="30"/>
  <c r="I208" i="30"/>
  <c r="I10" i="4"/>
  <c r="I52" i="9"/>
  <c r="K37" i="5"/>
  <c r="I37" i="5" s="1"/>
  <c r="K12" i="3"/>
  <c r="I12" i="3" s="1"/>
  <c r="K7" i="3"/>
  <c r="I7" i="3" s="1"/>
  <c r="L231" i="29"/>
  <c r="L96" i="29"/>
  <c r="K231" i="29"/>
  <c r="I231" i="29" s="1"/>
  <c r="K522" i="29"/>
  <c r="K423" i="29"/>
  <c r="L522" i="29"/>
  <c r="L423" i="29"/>
  <c r="L323" i="29"/>
  <c r="K138" i="9"/>
  <c r="K79" i="8"/>
  <c r="L79" i="8"/>
  <c r="L28" i="6"/>
  <c r="I28" i="6" s="1"/>
  <c r="K28" i="6"/>
  <c r="K188" i="4"/>
  <c r="L247" i="3"/>
  <c r="L68" i="3"/>
  <c r="I221" i="30"/>
  <c r="I77" i="4"/>
  <c r="U11" i="27" a="1"/>
  <c r="U11" i="27" s="1"/>
  <c r="U13" i="27" a="1"/>
  <c r="U13" i="27" s="1"/>
  <c r="U12" i="27" a="1"/>
  <c r="U12" i="27" s="1"/>
  <c r="L300" i="29"/>
  <c r="K316" i="29"/>
  <c r="K238" i="29"/>
  <c r="K339" i="29"/>
  <c r="L569" i="29"/>
  <c r="L334" i="29"/>
  <c r="L327" i="29"/>
  <c r="K299" i="29"/>
  <c r="L400" i="29"/>
  <c r="L39" i="4"/>
  <c r="K90" i="4"/>
  <c r="L360" i="29"/>
  <c r="L66" i="3"/>
  <c r="L371" i="29"/>
  <c r="K187" i="4"/>
  <c r="L189" i="3"/>
  <c r="K348" i="29"/>
  <c r="L48" i="7"/>
  <c r="L570" i="29"/>
  <c r="K188" i="3"/>
  <c r="L403" i="29"/>
  <c r="K332" i="29"/>
  <c r="I332" i="29" s="1"/>
  <c r="K414" i="29"/>
  <c r="K184" i="29"/>
  <c r="L78" i="4"/>
  <c r="K421" i="29"/>
  <c r="L372" i="29"/>
  <c r="K98" i="29"/>
  <c r="K30" i="9"/>
  <c r="L150" i="9"/>
  <c r="L272" i="29"/>
  <c r="L271" i="29" s="1"/>
  <c r="L326" i="29"/>
  <c r="K317" i="29"/>
  <c r="L321" i="29"/>
  <c r="K97" i="29"/>
  <c r="K242" i="29"/>
  <c r="K159" i="4"/>
  <c r="K251" i="3"/>
  <c r="K441" i="29"/>
  <c r="K67" i="3"/>
  <c r="L153" i="29"/>
  <c r="L234" i="4"/>
  <c r="L73" i="8"/>
  <c r="L204" i="3"/>
  <c r="L335" i="29"/>
  <c r="K18" i="6"/>
  <c r="L61" i="3"/>
  <c r="K566" i="29"/>
  <c r="K422" i="29"/>
  <c r="K190" i="4"/>
  <c r="K311" i="29"/>
  <c r="K355" i="29"/>
  <c r="L232" i="29"/>
  <c r="L145" i="9"/>
  <c r="L131" i="9"/>
  <c r="K320" i="29"/>
  <c r="K230" i="29"/>
  <c r="L236" i="29"/>
  <c r="L274" i="29"/>
  <c r="K157" i="29"/>
  <c r="L230" i="4"/>
  <c r="K510" i="29"/>
  <c r="L76" i="7"/>
  <c r="L152" i="29"/>
  <c r="L36" i="7"/>
  <c r="L30" i="8"/>
  <c r="L29" i="8" s="1"/>
  <c r="K416" i="29"/>
  <c r="L176" i="3"/>
  <c r="K156" i="29"/>
  <c r="L203" i="3"/>
  <c r="L84" i="7"/>
  <c r="L278" i="29"/>
  <c r="L40" i="8"/>
  <c r="L71" i="3"/>
  <c r="K567" i="29"/>
  <c r="K318" i="29"/>
  <c r="K310" i="29"/>
  <c r="L399" i="29"/>
  <c r="K223" i="29"/>
  <c r="L105" i="9"/>
  <c r="K37" i="4"/>
  <c r="K312" i="29"/>
  <c r="I312" i="29" s="1"/>
  <c r="K229" i="4"/>
  <c r="L116" i="9"/>
  <c r="L262" i="29"/>
  <c r="K66" i="9"/>
  <c r="L515" i="29"/>
  <c r="K49" i="29"/>
  <c r="L252" i="3"/>
  <c r="I252" i="3" s="1"/>
  <c r="K51" i="29"/>
  <c r="L103" i="9"/>
  <c r="K224" i="4"/>
  <c r="L235" i="29"/>
  <c r="L333" i="29"/>
  <c r="K176" i="29"/>
  <c r="L80" i="7"/>
  <c r="L90" i="8"/>
  <c r="L241" i="29"/>
  <c r="L84" i="8"/>
  <c r="K222" i="29"/>
  <c r="L514" i="29"/>
  <c r="L225" i="4"/>
  <c r="K248" i="3"/>
  <c r="L248" i="3"/>
  <c r="K357" i="29"/>
  <c r="L35" i="8"/>
  <c r="K581" i="29"/>
  <c r="L208" i="29"/>
  <c r="L82" i="9"/>
  <c r="L227" i="29"/>
  <c r="L404" i="29"/>
  <c r="L182" i="30"/>
  <c r="K251" i="30"/>
  <c r="K212" i="30"/>
  <c r="K214" i="30"/>
  <c r="K236" i="30"/>
  <c r="L235" i="30"/>
  <c r="K145" i="30"/>
  <c r="L187" i="30"/>
  <c r="K132" i="30"/>
  <c r="L42" i="30"/>
  <c r="L197" i="30"/>
  <c r="L134" i="30"/>
  <c r="L245" i="30"/>
  <c r="L148" i="30"/>
  <c r="L188" i="30"/>
  <c r="K141" i="30"/>
  <c r="L39" i="30"/>
  <c r="L151" i="30"/>
  <c r="K140" i="30"/>
  <c r="L184" i="30"/>
  <c r="K121" i="30"/>
  <c r="L137" i="30"/>
  <c r="L202" i="30"/>
  <c r="L43" i="30"/>
  <c r="K252" i="30"/>
  <c r="K137" i="30"/>
  <c r="L122" i="30"/>
  <c r="L172" i="30"/>
  <c r="L142" i="30"/>
  <c r="K50" i="29"/>
  <c r="K145" i="9"/>
  <c r="K232" i="29"/>
  <c r="K48" i="7"/>
  <c r="I48" i="7" s="1"/>
  <c r="I108" i="30"/>
  <c r="K570" i="29"/>
  <c r="I21" i="20" a="1"/>
  <c r="I21" i="20" s="1"/>
  <c r="I13" i="20" a="1"/>
  <c r="I13" i="20" s="1"/>
  <c r="I5" i="20" a="1"/>
  <c r="I5" i="20" s="1"/>
  <c r="I4" i="20" a="1"/>
  <c r="I4" i="20" s="1"/>
  <c r="I19" i="20" a="1"/>
  <c r="I19" i="20" s="1"/>
  <c r="I3" i="20" a="1"/>
  <c r="I3" i="20" s="1"/>
  <c r="I26" i="20" a="1"/>
  <c r="I26" i="20" s="1"/>
  <c r="I10" i="20" a="1"/>
  <c r="I10" i="20" s="1"/>
  <c r="I25" i="20" a="1"/>
  <c r="I25" i="20" s="1"/>
  <c r="I9" i="20" a="1"/>
  <c r="I9" i="20" s="1"/>
  <c r="I16" i="20" a="1"/>
  <c r="I16" i="20" s="1"/>
  <c r="I15" i="20" a="1"/>
  <c r="I15" i="20" s="1"/>
  <c r="I14" i="20" a="1"/>
  <c r="I14" i="20" s="1"/>
  <c r="I20" i="20" a="1"/>
  <c r="I20" i="20" s="1"/>
  <c r="I12" i="20" a="1"/>
  <c r="I12" i="20" s="1"/>
  <c r="I11" i="20" a="1"/>
  <c r="I11" i="20" s="1"/>
  <c r="I18" i="20" a="1"/>
  <c r="I18" i="20" s="1"/>
  <c r="I17" i="20" a="1"/>
  <c r="I17" i="20" s="1"/>
  <c r="I24" i="20" a="1"/>
  <c r="I24" i="20" s="1"/>
  <c r="I8" i="20" a="1"/>
  <c r="I8" i="20" s="1"/>
  <c r="I23" i="20" a="1"/>
  <c r="I23" i="20" s="1"/>
  <c r="I7" i="20" a="1"/>
  <c r="I7" i="20" s="1"/>
  <c r="I22" i="20" a="1"/>
  <c r="I22" i="20" s="1"/>
  <c r="I6" i="20" a="1"/>
  <c r="I6" i="20" s="1"/>
  <c r="I27" i="20" a="1"/>
  <c r="I27" i="20" s="1"/>
  <c r="K172" i="30"/>
  <c r="K82" i="3"/>
  <c r="K278" i="29"/>
  <c r="K122" i="30"/>
  <c r="I122" i="30" s="1"/>
  <c r="K40" i="8"/>
  <c r="K203" i="3"/>
  <c r="K71" i="3"/>
  <c r="I93" i="30"/>
  <c r="K245" i="30"/>
  <c r="K335" i="29"/>
  <c r="K372" i="29"/>
  <c r="L225" i="30"/>
  <c r="K33" i="3"/>
  <c r="K225" i="30"/>
  <c r="I73" i="3"/>
  <c r="K137" i="2"/>
  <c r="I137" i="2" s="1"/>
  <c r="L137" i="2"/>
  <c r="K202" i="30"/>
  <c r="K142" i="30"/>
  <c r="I142" i="30" s="1"/>
  <c r="K97" i="9"/>
  <c r="L97" i="9"/>
  <c r="K136" i="2"/>
  <c r="L136" i="2"/>
  <c r="K207" i="29"/>
  <c r="K204" i="3"/>
  <c r="K184" i="4"/>
  <c r="K116" i="9"/>
  <c r="I116" i="9" s="1"/>
  <c r="K91" i="8"/>
  <c r="L91" i="8"/>
  <c r="K52" i="8"/>
  <c r="L52" i="8"/>
  <c r="L81" i="8"/>
  <c r="K61" i="8"/>
  <c r="L61" i="8"/>
  <c r="L90" i="2"/>
  <c r="L36" i="8"/>
  <c r="K92" i="7"/>
  <c r="L92" i="7"/>
  <c r="L567" i="29"/>
  <c r="I567" i="29" s="1"/>
  <c r="L273" i="29"/>
  <c r="L80" i="8"/>
  <c r="K17" i="6"/>
  <c r="L17" i="6"/>
  <c r="L8" i="7"/>
  <c r="K35" i="2"/>
  <c r="K90" i="7"/>
  <c r="L90" i="7"/>
  <c r="L448" i="29"/>
  <c r="L581" i="29"/>
  <c r="K87" i="8"/>
  <c r="L87" i="8"/>
  <c r="L97" i="29"/>
  <c r="K50" i="8"/>
  <c r="L50" i="8"/>
  <c r="L79" i="7"/>
  <c r="L184" i="29"/>
  <c r="L65" i="8"/>
  <c r="K143" i="9"/>
  <c r="L143" i="9"/>
  <c r="L85" i="9"/>
  <c r="K71" i="8"/>
  <c r="L71" i="8"/>
  <c r="K46" i="2"/>
  <c r="L46" i="2"/>
  <c r="L84" i="9"/>
  <c r="L144" i="9"/>
  <c r="L130" i="9"/>
  <c r="K122" i="2"/>
  <c r="L15" i="7"/>
  <c r="K16" i="6"/>
  <c r="L16" i="6"/>
  <c r="L89" i="2"/>
  <c r="L7" i="2"/>
  <c r="I7" i="2" s="1"/>
  <c r="L74" i="9"/>
  <c r="K120" i="2"/>
  <c r="I120" i="2" s="1"/>
  <c r="L120" i="2"/>
  <c r="K146" i="9"/>
  <c r="L146" i="9"/>
  <c r="L76" i="8"/>
  <c r="L75" i="8" s="1"/>
  <c r="L85" i="8"/>
  <c r="K64" i="8"/>
  <c r="L64" i="8"/>
  <c r="L63" i="8" s="1"/>
  <c r="L39" i="8"/>
  <c r="K36" i="2"/>
  <c r="L36" i="2"/>
  <c r="L88" i="2"/>
  <c r="L422" i="29"/>
  <c r="E11" i="20" a="1"/>
  <c r="E11" i="20" s="1"/>
  <c r="G20" i="20" a="1"/>
  <c r="G20" i="20" s="1"/>
  <c r="G12" i="20" a="1"/>
  <c r="G12" i="20" s="1"/>
  <c r="G4" i="20" a="1"/>
  <c r="G4" i="20" s="1"/>
  <c r="G27" i="20" a="1"/>
  <c r="G27" i="20" s="1"/>
  <c r="G19" i="20" a="1"/>
  <c r="G19" i="20" s="1"/>
  <c r="G11" i="20" a="1"/>
  <c r="G11" i="20" s="1"/>
  <c r="G3" i="20" a="1"/>
  <c r="G3" i="20" s="1"/>
  <c r="G14" i="20" a="1"/>
  <c r="G14" i="20" s="1"/>
  <c r="G26" i="20" a="1"/>
  <c r="G26" i="20"/>
  <c r="G18" i="20" a="1"/>
  <c r="G18" i="20" s="1"/>
  <c r="G10" i="20" a="1"/>
  <c r="G10" i="20" s="1"/>
  <c r="G25" i="20" a="1"/>
  <c r="G25" i="20" s="1"/>
  <c r="G17" i="20" a="1"/>
  <c r="G17" i="20" s="1"/>
  <c r="G9" i="20" a="1"/>
  <c r="G9" i="20"/>
  <c r="G24" i="20" a="1"/>
  <c r="G24" i="20" s="1"/>
  <c r="G16" i="20" a="1"/>
  <c r="G16" i="20" s="1"/>
  <c r="G8" i="20" a="1"/>
  <c r="G8" i="20" s="1"/>
  <c r="G23" i="20" a="1"/>
  <c r="G23" i="20" s="1"/>
  <c r="G15" i="20" a="1"/>
  <c r="G15" i="20" s="1"/>
  <c r="G7" i="20" a="1"/>
  <c r="G7" i="20" s="1"/>
  <c r="G6" i="20" a="1"/>
  <c r="G6" i="20"/>
  <c r="G21" i="20" a="1"/>
  <c r="G21" i="20" s="1"/>
  <c r="G13" i="20" a="1"/>
  <c r="G13" i="20" s="1"/>
  <c r="G5" i="20" a="1"/>
  <c r="G5" i="20" s="1"/>
  <c r="G22" i="20" a="1"/>
  <c r="G22" i="20" s="1"/>
  <c r="L188" i="3"/>
  <c r="L86" i="3"/>
  <c r="L62" i="3"/>
  <c r="L251" i="3"/>
  <c r="L87" i="3"/>
  <c r="L67" i="3"/>
  <c r="L165" i="29"/>
  <c r="L593" i="29"/>
  <c r="L207" i="29"/>
  <c r="L566" i="29"/>
  <c r="L445" i="29"/>
  <c r="L357" i="29"/>
  <c r="L426" i="29"/>
  <c r="L157" i="29"/>
  <c r="L156" i="29"/>
  <c r="L223" i="29"/>
  <c r="L416" i="29"/>
  <c r="L317" i="29"/>
  <c r="L414" i="29"/>
  <c r="L355" i="29"/>
  <c r="L299" i="29"/>
  <c r="L50" i="29"/>
  <c r="L348" i="29"/>
  <c r="I348" i="29" s="1"/>
  <c r="L339" i="29"/>
  <c r="L441" i="29"/>
  <c r="L49" i="29"/>
  <c r="K108" i="29"/>
  <c r="L108" i="29"/>
  <c r="L56" i="29"/>
  <c r="L238" i="29"/>
  <c r="L440" i="29"/>
  <c r="L332" i="29"/>
  <c r="K515" i="29"/>
  <c r="L51" i="29"/>
  <c r="L310" i="29"/>
  <c r="K404" i="29"/>
  <c r="K262" i="29"/>
  <c r="K227" i="29"/>
  <c r="I227" i="29" s="1"/>
  <c r="L318" i="29"/>
  <c r="L316" i="29"/>
  <c r="L314" i="29"/>
  <c r="L312" i="29"/>
  <c r="L311" i="29"/>
  <c r="L523" i="29"/>
  <c r="K185" i="29"/>
  <c r="L185" i="29"/>
  <c r="L277" i="29"/>
  <c r="L276" i="29" s="1"/>
  <c r="L421" i="29"/>
  <c r="L222" i="29"/>
  <c r="L320" i="29"/>
  <c r="L230" i="29"/>
  <c r="L173" i="11"/>
  <c r="L44" i="30"/>
  <c r="L251" i="30"/>
  <c r="L145" i="30"/>
  <c r="L214" i="30"/>
  <c r="L191" i="30"/>
  <c r="L171" i="30"/>
  <c r="L170" i="30" s="1"/>
  <c r="L141" i="30"/>
  <c r="L212" i="30"/>
  <c r="L198" i="30"/>
  <c r="L133" i="30"/>
  <c r="L140" i="30"/>
  <c r="L146" i="30"/>
  <c r="L121" i="30"/>
  <c r="L152" i="30"/>
  <c r="L252" i="30"/>
  <c r="L132" i="30"/>
  <c r="L179" i="4"/>
  <c r="L178" i="4" s="1"/>
  <c r="L190" i="4"/>
  <c r="L160" i="4"/>
  <c r="L159" i="4"/>
  <c r="L183" i="4"/>
  <c r="L194" i="4"/>
  <c r="L226" i="4"/>
  <c r="L193" i="4"/>
  <c r="L37" i="4"/>
  <c r="L182" i="4"/>
  <c r="L187" i="4"/>
  <c r="L100" i="4"/>
  <c r="L224" i="4"/>
  <c r="L38" i="4"/>
  <c r="I238" i="30"/>
  <c r="I33" i="9"/>
  <c r="K208" i="29"/>
  <c r="K165" i="29"/>
  <c r="K179" i="4"/>
  <c r="K178" i="4" s="1"/>
  <c r="K214" i="4"/>
  <c r="I34" i="9"/>
  <c r="K82" i="9"/>
  <c r="I82" i="9" s="1"/>
  <c r="K62" i="3"/>
  <c r="K81" i="8"/>
  <c r="I81" i="8" s="1"/>
  <c r="K76" i="8"/>
  <c r="K75" i="8" s="1"/>
  <c r="I35" i="9"/>
  <c r="K11" i="7"/>
  <c r="K160" i="4"/>
  <c r="K264" i="3"/>
  <c r="I264" i="3" s="1"/>
  <c r="I129" i="30"/>
  <c r="L18" i="6"/>
  <c r="L236" i="30"/>
  <c r="K14" i="6"/>
  <c r="L14" i="6"/>
  <c r="K8" i="6"/>
  <c r="L8" i="6"/>
  <c r="K94" i="29"/>
  <c r="L94" i="29"/>
  <c r="K61" i="3"/>
  <c r="I193" i="30"/>
  <c r="K206" i="30"/>
  <c r="L206" i="30"/>
  <c r="K84" i="7"/>
  <c r="I54" i="7"/>
  <c r="L176" i="29"/>
  <c r="K44" i="8"/>
  <c r="L44" i="8"/>
  <c r="L98" i="29"/>
  <c r="I98" i="29" s="1"/>
  <c r="L30" i="9"/>
  <c r="L92" i="4"/>
  <c r="I92" i="4" s="1"/>
  <c r="L49" i="9"/>
  <c r="K49" i="9"/>
  <c r="I86" i="9"/>
  <c r="L28" i="9"/>
  <c r="L41" i="4"/>
  <c r="K29" i="9"/>
  <c r="I29" i="9" s="1"/>
  <c r="L147" i="3"/>
  <c r="I147" i="3" s="1"/>
  <c r="L42" i="4"/>
  <c r="I31" i="9"/>
  <c r="I53" i="7"/>
  <c r="K424" i="29"/>
  <c r="L424" i="29"/>
  <c r="K95" i="29"/>
  <c r="L95" i="29"/>
  <c r="I103" i="30"/>
  <c r="I36" i="9"/>
  <c r="I20" i="6"/>
  <c r="I155" i="30"/>
  <c r="K91" i="7"/>
  <c r="L91" i="7"/>
  <c r="I24" i="6"/>
  <c r="K51" i="8"/>
  <c r="L51" i="8"/>
  <c r="I117" i="4"/>
  <c r="I37" i="6"/>
  <c r="I117" i="9"/>
  <c r="L175" i="29"/>
  <c r="L510" i="29"/>
  <c r="I51" i="30"/>
  <c r="I229" i="30"/>
  <c r="I230" i="30"/>
  <c r="L234" i="30"/>
  <c r="I232" i="30"/>
  <c r="I177" i="30"/>
  <c r="L91" i="4"/>
  <c r="I57" i="3"/>
  <c r="I248" i="30"/>
  <c r="I92" i="30"/>
  <c r="I49" i="30"/>
  <c r="I90" i="30"/>
  <c r="I51" i="4"/>
  <c r="I24" i="12"/>
  <c r="I50" i="30"/>
  <c r="I174" i="30"/>
  <c r="I156" i="30"/>
  <c r="I83" i="2"/>
  <c r="L220" i="30"/>
  <c r="L45" i="9"/>
  <c r="L222" i="30"/>
  <c r="I35" i="6"/>
  <c r="I146" i="4"/>
  <c r="I44" i="3"/>
  <c r="I88" i="30"/>
  <c r="I117" i="2"/>
  <c r="I154" i="4"/>
  <c r="I163" i="30"/>
  <c r="I82" i="2"/>
  <c r="I56" i="9"/>
  <c r="I151" i="9"/>
  <c r="I31" i="6"/>
  <c r="I32" i="6"/>
  <c r="I79" i="30"/>
  <c r="I53" i="3"/>
  <c r="I53" i="4"/>
  <c r="I29" i="6"/>
  <c r="I85" i="4"/>
  <c r="I60" i="9"/>
  <c r="I150" i="4"/>
  <c r="I166" i="30"/>
  <c r="I78" i="2"/>
  <c r="I123" i="30"/>
  <c r="I53" i="8"/>
  <c r="I23" i="6"/>
  <c r="I94" i="7"/>
  <c r="I33" i="6"/>
  <c r="I226" i="30"/>
  <c r="I55" i="9"/>
  <c r="I98" i="30"/>
  <c r="I107" i="30"/>
  <c r="I164" i="30"/>
  <c r="I205" i="4"/>
  <c r="I21" i="6"/>
  <c r="I126" i="2"/>
  <c r="K48" i="9"/>
  <c r="L48" i="9"/>
  <c r="I19" i="6"/>
  <c r="I83" i="30"/>
  <c r="I84" i="30"/>
  <c r="K224" i="30"/>
  <c r="L224" i="30"/>
  <c r="L46" i="9"/>
  <c r="I88" i="4"/>
  <c r="I82" i="30"/>
  <c r="I77" i="30"/>
  <c r="I91" i="30"/>
  <c r="K134" i="30"/>
  <c r="K74" i="2"/>
  <c r="I74" i="2" s="1"/>
  <c r="K220" i="30"/>
  <c r="K195" i="3"/>
  <c r="K176" i="3"/>
  <c r="K43" i="9"/>
  <c r="K28" i="9"/>
  <c r="K173" i="11"/>
  <c r="K79" i="7"/>
  <c r="K37" i="2"/>
  <c r="K41" i="7"/>
  <c r="I41" i="7"/>
  <c r="K6" i="12"/>
  <c r="K514" i="29"/>
  <c r="I28" i="7"/>
  <c r="K168" i="4"/>
  <c r="I168" i="4" s="1"/>
  <c r="K84" i="9"/>
  <c r="E16" i="20" a="1"/>
  <c r="E16" i="20" s="1"/>
  <c r="D16" i="20" s="1"/>
  <c r="E9" i="20" a="1"/>
  <c r="E9" i="20" s="1"/>
  <c r="E12" i="20" a="1"/>
  <c r="E12" i="20" s="1"/>
  <c r="B9" i="20" a="1"/>
  <c r="B9" i="20" s="1"/>
  <c r="K234" i="30"/>
  <c r="I234" i="30" s="1"/>
  <c r="K41" i="4"/>
  <c r="K83" i="4"/>
  <c r="I83" i="4" s="1"/>
  <c r="K78" i="4"/>
  <c r="E26" i="20" a="1"/>
  <c r="E26" i="20" s="1"/>
  <c r="D26" i="20" s="1"/>
  <c r="B26" i="20" a="1"/>
  <c r="B26" i="20" s="1"/>
  <c r="B13" i="20" a="1"/>
  <c r="B13" i="20"/>
  <c r="B12" i="20" a="1"/>
  <c r="B12" i="20" s="1"/>
  <c r="B20" i="20" a="1"/>
  <c r="B20" i="20" s="1"/>
  <c r="B22" i="20" a="1"/>
  <c r="B22" i="20" s="1"/>
  <c r="E27" i="20" a="1"/>
  <c r="E27" i="20" s="1"/>
  <c r="E18" i="20" a="1"/>
  <c r="E18" i="20" s="1"/>
  <c r="D18" i="20" s="1"/>
  <c r="I110" i="2"/>
  <c r="B6" i="20" a="1"/>
  <c r="B6" i="20" s="1"/>
  <c r="E8" i="20" a="1"/>
  <c r="E8" i="20" s="1"/>
  <c r="D8" i="20" s="1"/>
  <c r="B8" i="20" a="1"/>
  <c r="B8" i="20" s="1"/>
  <c r="E7" i="20" a="1"/>
  <c r="E7" i="20" s="1"/>
  <c r="E24" i="20" a="1"/>
  <c r="E24" i="20" s="1"/>
  <c r="K101" i="9"/>
  <c r="K227" i="30"/>
  <c r="I227" i="30" s="1"/>
  <c r="K189" i="3"/>
  <c r="K38" i="30"/>
  <c r="K586" i="29"/>
  <c r="I586" i="29" s="1"/>
  <c r="K91" i="4"/>
  <c r="K219" i="3"/>
  <c r="I219" i="3" s="1"/>
  <c r="K277" i="29"/>
  <c r="K399" i="29"/>
  <c r="K225" i="4"/>
  <c r="B10" i="20" a="1"/>
  <c r="B10" i="20" s="1"/>
  <c r="E19" i="20" a="1"/>
  <c r="E19" i="20" s="1"/>
  <c r="D19" i="20" s="1"/>
  <c r="B11" i="20" a="1"/>
  <c r="B11" i="20" s="1"/>
  <c r="B24" i="20" a="1"/>
  <c r="B24" i="20" s="1"/>
  <c r="B7" i="20" a="1"/>
  <c r="B7" i="20" s="1"/>
  <c r="E21" i="20" a="1"/>
  <c r="E21" i="20" s="1"/>
  <c r="B17" i="20" a="1"/>
  <c r="B17" i="20" s="1"/>
  <c r="E14" i="20" a="1"/>
  <c r="E14" i="20" s="1"/>
  <c r="E25" i="20" a="1"/>
  <c r="E25" i="20" s="1"/>
  <c r="E23" i="20" a="1"/>
  <c r="E23" i="20" s="1"/>
  <c r="E13" i="20" a="1"/>
  <c r="E13" i="20" s="1"/>
  <c r="E6" i="20" a="1"/>
  <c r="E6" i="20" s="1"/>
  <c r="D6" i="20" s="1"/>
  <c r="B25" i="20" a="1"/>
  <c r="B25" i="20" s="1"/>
  <c r="B16" i="20" a="1"/>
  <c r="B16" i="20" s="1"/>
  <c r="E20" i="20" a="1"/>
  <c r="E20" i="20" s="1"/>
  <c r="D20" i="20" s="1"/>
  <c r="E5" i="20" a="1"/>
  <c r="E5" i="20" s="1"/>
  <c r="D5" i="20" s="1"/>
  <c r="E17" i="20" a="1"/>
  <c r="E17" i="20" s="1"/>
  <c r="D17" i="20" s="1"/>
  <c r="B18" i="20" a="1"/>
  <c r="B18" i="20" s="1"/>
  <c r="B19" i="20" a="1"/>
  <c r="B19" i="20" s="1"/>
  <c r="B23" i="20" a="1"/>
  <c r="B23" i="20"/>
  <c r="B3" i="20" a="1"/>
  <c r="B3" i="20" s="1"/>
  <c r="B4" i="20" a="1"/>
  <c r="B4" i="20" s="1"/>
  <c r="B5" i="20" a="1"/>
  <c r="B5" i="20" s="1"/>
  <c r="B15" i="20" a="1"/>
  <c r="B15" i="20" s="1"/>
  <c r="B14" i="20" a="1"/>
  <c r="B14" i="20"/>
  <c r="E22" i="20" a="1"/>
  <c r="E22" i="20" s="1"/>
  <c r="E15" i="20" a="1"/>
  <c r="E15" i="20" s="1"/>
  <c r="K88" i="2"/>
  <c r="B27" i="20" a="1"/>
  <c r="B27" i="20" s="1"/>
  <c r="E10" i="20" a="1"/>
  <c r="E10" i="20" s="1"/>
  <c r="D10" i="20" s="1"/>
  <c r="B21" i="20" a="1"/>
  <c r="B21" i="20" s="1"/>
  <c r="K189" i="29"/>
  <c r="K152" i="29"/>
  <c r="K353" i="29"/>
  <c r="K445" i="29"/>
  <c r="K45" i="7"/>
  <c r="K43" i="7" s="1"/>
  <c r="K73" i="8"/>
  <c r="K30" i="8"/>
  <c r="K235" i="29"/>
  <c r="K153" i="29"/>
  <c r="I153" i="29" s="1"/>
  <c r="K147" i="3"/>
  <c r="O8" i="14"/>
  <c r="K90" i="2"/>
  <c r="K569" i="29"/>
  <c r="K400" i="29"/>
  <c r="I400" i="29" s="1"/>
  <c r="K242" i="30"/>
  <c r="I242" i="30" s="1"/>
  <c r="K360" i="29"/>
  <c r="K273" i="29"/>
  <c r="K197" i="30"/>
  <c r="K333" i="29"/>
  <c r="K66" i="3"/>
  <c r="K42" i="30"/>
  <c r="K56" i="7"/>
  <c r="I56" i="7" s="1"/>
  <c r="K380" i="29"/>
  <c r="K68" i="8"/>
  <c r="K5" i="14"/>
  <c r="K334" i="29"/>
  <c r="K137" i="9"/>
  <c r="I137" i="9" s="1"/>
  <c r="K6" i="14"/>
  <c r="K198" i="30"/>
  <c r="K440" i="29"/>
  <c r="K183" i="4"/>
  <c r="K235" i="30"/>
  <c r="K39" i="4"/>
  <c r="K86" i="3"/>
  <c r="I203" i="30"/>
  <c r="K2" i="14"/>
  <c r="K43" i="30"/>
  <c r="K36" i="8"/>
  <c r="K182" i="4"/>
  <c r="I182" i="4" s="1"/>
  <c r="K371" i="29"/>
  <c r="K44" i="30"/>
  <c r="G10" i="14"/>
  <c r="K7" i="2"/>
  <c r="E3" i="20" a="1"/>
  <c r="E3" i="20" s="1"/>
  <c r="K38" i="4"/>
  <c r="K168" i="30"/>
  <c r="K35" i="8"/>
  <c r="K194" i="3"/>
  <c r="K15" i="7"/>
  <c r="K56" i="29"/>
  <c r="I81" i="7"/>
  <c r="K222" i="30"/>
  <c r="K369" i="29"/>
  <c r="K100" i="4"/>
  <c r="K39" i="30"/>
  <c r="K37" i="30" s="1"/>
  <c r="K17" i="12"/>
  <c r="L3" i="14"/>
  <c r="C3" i="14" s="1"/>
  <c r="AA433" i="13" s="1"/>
  <c r="K194" i="4"/>
  <c r="K226" i="4"/>
  <c r="K41" i="8"/>
  <c r="K448" i="29"/>
  <c r="I448" i="29" s="1"/>
  <c r="K91" i="9"/>
  <c r="I91" i="9" s="1"/>
  <c r="K171" i="30"/>
  <c r="K234" i="4"/>
  <c r="K126" i="9"/>
  <c r="K36" i="7"/>
  <c r="K175" i="29"/>
  <c r="I175" i="29" s="1"/>
  <c r="I61" i="9"/>
  <c r="K193" i="4"/>
  <c r="I193" i="4" s="1"/>
  <c r="K152" i="30"/>
  <c r="K46" i="9"/>
  <c r="K327" i="29"/>
  <c r="K45" i="9"/>
  <c r="K169" i="4"/>
  <c r="K42" i="4"/>
  <c r="K187" i="30"/>
  <c r="E4" i="20" a="1"/>
  <c r="E4" i="20" s="1"/>
  <c r="I253" i="3"/>
  <c r="I125" i="9"/>
  <c r="I31" i="8"/>
  <c r="K84" i="8"/>
  <c r="K146" i="30"/>
  <c r="K403" i="29"/>
  <c r="O10" i="14"/>
  <c r="K9" i="14"/>
  <c r="G9" i="14"/>
  <c r="G7" i="14"/>
  <c r="K67" i="8"/>
  <c r="H7" i="14"/>
  <c r="K148" i="30"/>
  <c r="O7" i="14"/>
  <c r="U7" i="27" a="1"/>
  <c r="U7" i="27" s="1"/>
  <c r="L76" i="4"/>
  <c r="K10" i="14"/>
  <c r="B10" i="14" s="1"/>
  <c r="M440" i="13" s="1"/>
  <c r="I53" i="30"/>
  <c r="U8" i="27" a="1"/>
  <c r="U8" i="27" s="1"/>
  <c r="K188" i="30"/>
  <c r="K593" i="29"/>
  <c r="K157" i="30"/>
  <c r="I157" i="30" s="1"/>
  <c r="K87" i="3"/>
  <c r="K4" i="14"/>
  <c r="L4" i="14"/>
  <c r="H5" i="14"/>
  <c r="K85" i="8"/>
  <c r="K12" i="12"/>
  <c r="K85" i="9"/>
  <c r="L43" i="7"/>
  <c r="K523" i="29"/>
  <c r="K8" i="7"/>
  <c r="K184" i="30"/>
  <c r="K8" i="14"/>
  <c r="K80" i="4"/>
  <c r="K274" i="29"/>
  <c r="I274" i="29" s="1"/>
  <c r="K204" i="29"/>
  <c r="K193" i="3"/>
  <c r="K594" i="29"/>
  <c r="K96" i="8"/>
  <c r="I96" i="8" s="1"/>
  <c r="K201" i="30"/>
  <c r="K418" i="29"/>
  <c r="H9" i="14"/>
  <c r="K39" i="8"/>
  <c r="K321" i="29"/>
  <c r="K131" i="9"/>
  <c r="K103" i="9"/>
  <c r="I103" i="9" s="1"/>
  <c r="K236" i="29"/>
  <c r="H6" i="14"/>
  <c r="G6" i="14"/>
  <c r="G2" i="14"/>
  <c r="K189" i="30"/>
  <c r="K300" i="29"/>
  <c r="K80" i="8"/>
  <c r="K426" i="29"/>
  <c r="K326" i="29"/>
  <c r="U19" i="27" a="1"/>
  <c r="U19" i="27" s="1"/>
  <c r="U20" i="27" a="1"/>
  <c r="U20" i="27" s="1"/>
  <c r="K124" i="9"/>
  <c r="H4" i="14"/>
  <c r="C4" i="14" s="1"/>
  <c r="AA434" i="13" s="1"/>
  <c r="G4" i="14"/>
  <c r="K306" i="29"/>
  <c r="K182" i="30"/>
  <c r="K16" i="12"/>
  <c r="K144" i="9"/>
  <c r="K130" i="9"/>
  <c r="K228" i="29"/>
  <c r="K90" i="8"/>
  <c r="K191" i="30"/>
  <c r="K212" i="29"/>
  <c r="K210" i="29"/>
  <c r="K233" i="29"/>
  <c r="O11" i="14"/>
  <c r="H3" i="14"/>
  <c r="G3" i="14"/>
  <c r="B3" i="14" s="1"/>
  <c r="M433" i="13" s="1"/>
  <c r="K65" i="8"/>
  <c r="H8" i="14"/>
  <c r="H10" i="14"/>
  <c r="K314" i="29"/>
  <c r="K261" i="29"/>
  <c r="K241" i="29"/>
  <c r="G8" i="14"/>
  <c r="K215" i="29"/>
  <c r="K213" i="29"/>
  <c r="K217" i="29"/>
  <c r="K150" i="9"/>
  <c r="K272" i="29"/>
  <c r="K151" i="30"/>
  <c r="K305" i="29"/>
  <c r="U21" i="27" a="1"/>
  <c r="U21" i="27" s="1"/>
  <c r="I423" i="29"/>
  <c r="I82" i="3"/>
  <c r="K250" i="3"/>
  <c r="I84" i="7"/>
  <c r="L68" i="5"/>
  <c r="J7" i="2"/>
  <c r="L115" i="30"/>
  <c r="J56" i="11"/>
  <c r="O16" i="20"/>
  <c r="L67" i="5"/>
  <c r="L69" i="5"/>
  <c r="K68" i="5"/>
  <c r="L66" i="5"/>
  <c r="K69" i="5"/>
  <c r="L430" i="29"/>
  <c r="L362" i="29"/>
  <c r="L540" i="29"/>
  <c r="K540" i="29"/>
  <c r="I540" i="29" s="1"/>
  <c r="L539" i="29"/>
  <c r="K539" i="29"/>
  <c r="I539" i="29" s="1"/>
  <c r="K536" i="29"/>
  <c r="L536" i="29"/>
  <c r="L535" i="29"/>
  <c r="K535" i="29"/>
  <c r="L534" i="29"/>
  <c r="K534" i="29"/>
  <c r="L533" i="29"/>
  <c r="K533" i="29"/>
  <c r="L532" i="29"/>
  <c r="K532" i="29"/>
  <c r="L531" i="29"/>
  <c r="K531" i="29"/>
  <c r="K530" i="29"/>
  <c r="L530" i="29"/>
  <c r="I506" i="29"/>
  <c r="L303" i="29"/>
  <c r="L213" i="29"/>
  <c r="O167" i="29"/>
  <c r="K167" i="29"/>
  <c r="I167" i="29" s="1"/>
  <c r="L164" i="29"/>
  <c r="I164" i="29" s="1"/>
  <c r="L151" i="29"/>
  <c r="I151" i="29" s="1"/>
  <c r="K179" i="29"/>
  <c r="K188" i="29"/>
  <c r="K79" i="29"/>
  <c r="I79" i="29" s="1"/>
  <c r="L78" i="29"/>
  <c r="L576" i="29"/>
  <c r="K518" i="29"/>
  <c r="K254" i="29"/>
  <c r="K194" i="29"/>
  <c r="L193" i="29"/>
  <c r="K577" i="29"/>
  <c r="L571" i="29"/>
  <c r="K596" i="29"/>
  <c r="L594" i="29"/>
  <c r="K323" i="29"/>
  <c r="L306" i="29"/>
  <c r="L261" i="29"/>
  <c r="L167" i="29"/>
  <c r="L527" i="29"/>
  <c r="K527" i="29"/>
  <c r="L526" i="29"/>
  <c r="K526" i="29"/>
  <c r="L525" i="29"/>
  <c r="K525" i="29"/>
  <c r="L524" i="29"/>
  <c r="K524" i="29"/>
  <c r="L268" i="29"/>
  <c r="L265" i="29"/>
  <c r="L264" i="29"/>
  <c r="L434" i="29"/>
  <c r="L435" i="29"/>
  <c r="L429" i="29"/>
  <c r="L428" i="29"/>
  <c r="L29" i="29"/>
  <c r="L28" i="29"/>
  <c r="L181" i="29"/>
  <c r="L180" i="29"/>
  <c r="L179" i="29"/>
  <c r="L178" i="29"/>
  <c r="L177" i="29"/>
  <c r="L585" i="29"/>
  <c r="L361" i="29"/>
  <c r="L373" i="29"/>
  <c r="L188" i="29"/>
  <c r="L187" i="29"/>
  <c r="L352" i="29"/>
  <c r="L349" i="29"/>
  <c r="L257" i="29"/>
  <c r="L255" i="29"/>
  <c r="L254" i="29"/>
  <c r="L194" i="29"/>
  <c r="L575" i="29"/>
  <c r="L574" i="29"/>
  <c r="L573" i="29"/>
  <c r="L572" i="29"/>
  <c r="L267" i="29"/>
  <c r="L266" i="29"/>
  <c r="L263" i="29"/>
  <c r="L433" i="29"/>
  <c r="L432" i="29"/>
  <c r="L431" i="29"/>
  <c r="L582" i="29"/>
  <c r="L364" i="29"/>
  <c r="L244" i="29"/>
  <c r="L246" i="29"/>
  <c r="L243" i="29"/>
  <c r="L518" i="29"/>
  <c r="L517" i="29"/>
  <c r="L516" i="29"/>
  <c r="L186" i="29"/>
  <c r="L209" i="29"/>
  <c r="L203" i="29"/>
  <c r="L202" i="29"/>
  <c r="L351" i="29"/>
  <c r="L350" i="29"/>
  <c r="L256" i="29"/>
  <c r="L252" i="29"/>
  <c r="L251" i="29"/>
  <c r="L82" i="29"/>
  <c r="L81" i="29"/>
  <c r="L80" i="29"/>
  <c r="L79" i="29"/>
  <c r="L197" i="29"/>
  <c r="L196" i="29"/>
  <c r="L195" i="29"/>
  <c r="L336" i="29"/>
  <c r="L456" i="29"/>
  <c r="L417" i="29"/>
  <c r="L577" i="29"/>
  <c r="L586" i="29"/>
  <c r="L418" i="29"/>
  <c r="I418" i="29" s="1"/>
  <c r="L380" i="29"/>
  <c r="L369" i="29"/>
  <c r="L353" i="29"/>
  <c r="L172" i="29"/>
  <c r="K172" i="29"/>
  <c r="L100" i="29"/>
  <c r="K100" i="29"/>
  <c r="K53" i="29"/>
  <c r="O302" i="29"/>
  <c r="L302" i="29"/>
  <c r="I302" i="29" s="1"/>
  <c r="O212" i="29"/>
  <c r="L212" i="29"/>
  <c r="I212" i="29" s="1"/>
  <c r="O283" i="29"/>
  <c r="K283" i="29"/>
  <c r="L283" i="29"/>
  <c r="O284" i="29"/>
  <c r="L284" i="29"/>
  <c r="K284" i="29"/>
  <c r="O285" i="29"/>
  <c r="L285" i="29"/>
  <c r="K285" i="29"/>
  <c r="L219" i="29"/>
  <c r="K219" i="29"/>
  <c r="K584" i="29"/>
  <c r="L584" i="29"/>
  <c r="L363" i="29"/>
  <c r="K363" i="29"/>
  <c r="K287" i="29"/>
  <c r="L287" i="29"/>
  <c r="O210" i="29"/>
  <c r="L210" i="29"/>
  <c r="O110" i="29"/>
  <c r="K110" i="29"/>
  <c r="L110" i="29"/>
  <c r="O268" i="29"/>
  <c r="K268" i="29"/>
  <c r="O349" i="29"/>
  <c r="K349" i="29"/>
  <c r="O376" i="29"/>
  <c r="L376" i="29"/>
  <c r="K376" i="29"/>
  <c r="O352" i="29"/>
  <c r="K352" i="29"/>
  <c r="O431" i="29"/>
  <c r="K431" i="29"/>
  <c r="O432" i="29"/>
  <c r="K432" i="29"/>
  <c r="O103" i="29"/>
  <c r="K103" i="29"/>
  <c r="L103" i="29"/>
  <c r="O265" i="29"/>
  <c r="K265" i="29"/>
  <c r="O244" i="29"/>
  <c r="K244" i="29"/>
  <c r="O373" i="29"/>
  <c r="K373" i="29"/>
  <c r="O113" i="29"/>
  <c r="L113" i="29"/>
  <c r="K113" i="29"/>
  <c r="O264" i="29"/>
  <c r="K264" i="29"/>
  <c r="O434" i="29"/>
  <c r="K434" i="29"/>
  <c r="I434" i="29" s="1"/>
  <c r="O246" i="29"/>
  <c r="K246" i="29"/>
  <c r="O255" i="29"/>
  <c r="K255" i="29"/>
  <c r="O112" i="29"/>
  <c r="L112" i="29"/>
  <c r="K112" i="29"/>
  <c r="O336" i="29"/>
  <c r="K336" i="29"/>
  <c r="O169" i="29"/>
  <c r="L169" i="29"/>
  <c r="K169" i="29"/>
  <c r="O177" i="29"/>
  <c r="K177" i="29"/>
  <c r="O181" i="29"/>
  <c r="K181" i="29"/>
  <c r="O279" i="29"/>
  <c r="L279" i="29"/>
  <c r="K279" i="29"/>
  <c r="O114" i="29"/>
  <c r="K114" i="29"/>
  <c r="I114" i="29" s="1"/>
  <c r="L114" i="29"/>
  <c r="O266" i="29"/>
  <c r="K266" i="29"/>
  <c r="O378" i="29"/>
  <c r="L378" i="29"/>
  <c r="K378" i="29"/>
  <c r="O517" i="29"/>
  <c r="K517" i="29"/>
  <c r="I517" i="29"/>
  <c r="O187" i="29"/>
  <c r="K187" i="29"/>
  <c r="O263" i="29"/>
  <c r="K263" i="29"/>
  <c r="O350" i="29"/>
  <c r="K350" i="29"/>
  <c r="O435" i="29"/>
  <c r="K435" i="29"/>
  <c r="O209" i="29"/>
  <c r="K209" i="29"/>
  <c r="O377" i="29"/>
  <c r="L377" i="29"/>
  <c r="K377" i="29"/>
  <c r="O433" i="29"/>
  <c r="K433" i="29"/>
  <c r="O573" i="29"/>
  <c r="K573" i="29"/>
  <c r="O256" i="29"/>
  <c r="K256" i="29"/>
  <c r="O243" i="29"/>
  <c r="K243" i="29"/>
  <c r="I243" i="29" s="1"/>
  <c r="O572" i="29"/>
  <c r="K572" i="29"/>
  <c r="O251" i="29"/>
  <c r="K251" i="29"/>
  <c r="O202" i="29"/>
  <c r="K202" i="29"/>
  <c r="O247" i="29"/>
  <c r="K247" i="29"/>
  <c r="L247" i="29"/>
  <c r="O52" i="29"/>
  <c r="L52" i="29"/>
  <c r="K52" i="29"/>
  <c r="O115" i="29"/>
  <c r="L115" i="29"/>
  <c r="K115" i="29"/>
  <c r="O29" i="29"/>
  <c r="K29" i="29"/>
  <c r="O428" i="29"/>
  <c r="K428" i="29"/>
  <c r="O516" i="29"/>
  <c r="K516" i="29"/>
  <c r="O186" i="29"/>
  <c r="K186" i="29"/>
  <c r="O198" i="29"/>
  <c r="L198" i="29"/>
  <c r="K198" i="29"/>
  <c r="O83" i="29"/>
  <c r="L83" i="29"/>
  <c r="K83" i="29"/>
  <c r="O196" i="29"/>
  <c r="K196" i="29"/>
  <c r="O81" i="29"/>
  <c r="K81" i="29"/>
  <c r="O258" i="29"/>
  <c r="L258" i="29"/>
  <c r="K258" i="29"/>
  <c r="O575" i="29"/>
  <c r="K575" i="29"/>
  <c r="O252" i="29"/>
  <c r="K252" i="29"/>
  <c r="O203" i="29"/>
  <c r="K203" i="29"/>
  <c r="O101" i="29"/>
  <c r="K101" i="29"/>
  <c r="L101" i="29"/>
  <c r="O99" i="29"/>
  <c r="L99" i="29"/>
  <c r="K99" i="29"/>
  <c r="O233" i="29"/>
  <c r="L233" i="29"/>
  <c r="O582" i="29"/>
  <c r="K582" i="29"/>
  <c r="O361" i="29"/>
  <c r="K361" i="29"/>
  <c r="I361" i="29" s="1"/>
  <c r="O166" i="29"/>
  <c r="K166" i="29"/>
  <c r="L166" i="29"/>
  <c r="O171" i="29"/>
  <c r="K171" i="29"/>
  <c r="L171" i="29"/>
  <c r="O178" i="29"/>
  <c r="K178" i="29"/>
  <c r="O182" i="29"/>
  <c r="L182" i="29"/>
  <c r="K182" i="29"/>
  <c r="O53" i="29"/>
  <c r="L53" i="29"/>
  <c r="O116" i="29"/>
  <c r="L116" i="29"/>
  <c r="K116" i="29"/>
  <c r="O28" i="29"/>
  <c r="K28" i="29"/>
  <c r="O267" i="29"/>
  <c r="K267" i="29"/>
  <c r="O379" i="29"/>
  <c r="K379" i="29"/>
  <c r="L379" i="29"/>
  <c r="O351" i="29"/>
  <c r="K351" i="29"/>
  <c r="O429" i="29"/>
  <c r="K429" i="29"/>
  <c r="O195" i="29"/>
  <c r="K195" i="29"/>
  <c r="O80" i="29"/>
  <c r="K80" i="29"/>
  <c r="O257" i="29"/>
  <c r="K257" i="29"/>
  <c r="O104" i="29"/>
  <c r="L104" i="29"/>
  <c r="K104" i="29"/>
  <c r="O585" i="29"/>
  <c r="K585" i="29"/>
  <c r="O364" i="29"/>
  <c r="K364" i="29"/>
  <c r="I364" i="29" s="1"/>
  <c r="O111" i="29"/>
  <c r="K111" i="29"/>
  <c r="L111" i="29"/>
  <c r="O197" i="29"/>
  <c r="K197" i="29"/>
  <c r="O82" i="29"/>
  <c r="K82" i="29"/>
  <c r="O170" i="29"/>
  <c r="L170" i="29"/>
  <c r="K170" i="29"/>
  <c r="O180" i="29"/>
  <c r="K180" i="29"/>
  <c r="I180" i="29" s="1"/>
  <c r="O269" i="29"/>
  <c r="K269" i="29"/>
  <c r="L269" i="29"/>
  <c r="O456" i="29"/>
  <c r="K456" i="29"/>
  <c r="O417" i="29"/>
  <c r="K417" i="29"/>
  <c r="O574" i="29"/>
  <c r="K574" i="29"/>
  <c r="O102" i="29"/>
  <c r="L102" i="29"/>
  <c r="K102" i="29"/>
  <c r="O571" i="29"/>
  <c r="K571" i="29"/>
  <c r="O576" i="29"/>
  <c r="K576" i="29"/>
  <c r="I576" i="29" s="1"/>
  <c r="O78" i="29"/>
  <c r="K78" i="29"/>
  <c r="O193" i="29"/>
  <c r="K193" i="29"/>
  <c r="O253" i="29"/>
  <c r="K253" i="29"/>
  <c r="O204" i="29"/>
  <c r="L204" i="29"/>
  <c r="O245" i="29"/>
  <c r="K245" i="29"/>
  <c r="O105" i="29"/>
  <c r="L105" i="29"/>
  <c r="K105" i="29"/>
  <c r="I105" i="29" s="1"/>
  <c r="O583" i="29"/>
  <c r="K583" i="29"/>
  <c r="I583" i="29" s="1"/>
  <c r="O362" i="29"/>
  <c r="K362" i="29"/>
  <c r="I362" i="29" s="1"/>
  <c r="O109" i="29"/>
  <c r="L109" i="29"/>
  <c r="K109" i="29"/>
  <c r="O117" i="29"/>
  <c r="L117" i="29"/>
  <c r="K117" i="29"/>
  <c r="O228" i="29"/>
  <c r="L228" i="29"/>
  <c r="O430" i="29"/>
  <c r="K430" i="29"/>
  <c r="L590" i="29"/>
  <c r="K590" i="29"/>
  <c r="L589" i="29"/>
  <c r="K589" i="29"/>
  <c r="I589" i="29" s="1"/>
  <c r="K578" i="29"/>
  <c r="L578" i="29"/>
  <c r="K568" i="29"/>
  <c r="L568" i="29"/>
  <c r="L519" i="29"/>
  <c r="K519" i="29"/>
  <c r="L457" i="29"/>
  <c r="K457" i="29"/>
  <c r="K447" i="29"/>
  <c r="L447" i="29"/>
  <c r="L427" i="29"/>
  <c r="K427" i="29"/>
  <c r="K407" i="29"/>
  <c r="L407" i="29"/>
  <c r="L405" i="29"/>
  <c r="K405" i="29"/>
  <c r="K374" i="29"/>
  <c r="L374" i="29"/>
  <c r="L368" i="29"/>
  <c r="K368" i="29"/>
  <c r="K365" i="29"/>
  <c r="L365" i="29"/>
  <c r="K337" i="29"/>
  <c r="L337" i="29"/>
  <c r="K331" i="29"/>
  <c r="I331" i="29" s="1"/>
  <c r="L331" i="29"/>
  <c r="L596" i="29"/>
  <c r="L224" i="29"/>
  <c r="K61" i="29"/>
  <c r="I61" i="29" s="1"/>
  <c r="K65" i="29"/>
  <c r="I65" i="29" s="1"/>
  <c r="K63" i="29"/>
  <c r="I63" i="29" s="1"/>
  <c r="K72" i="29"/>
  <c r="I72" i="29" s="1"/>
  <c r="K68" i="29"/>
  <c r="I68" i="29" s="1"/>
  <c r="K64" i="29"/>
  <c r="I64" i="29" s="1"/>
  <c r="K282" i="29"/>
  <c r="O282" i="29"/>
  <c r="L282" i="29"/>
  <c r="H257" i="20" a="1"/>
  <c r="H257" i="20"/>
  <c r="H252" i="20" a="1"/>
  <c r="H252" i="20" s="1"/>
  <c r="H273" i="20" a="1"/>
  <c r="H273" i="20" s="1"/>
  <c r="H248" i="20" a="1"/>
  <c r="H248" i="20" s="1"/>
  <c r="H280" i="20" a="1"/>
  <c r="H280" i="20"/>
  <c r="H262" i="20" a="1"/>
  <c r="H262" i="20" s="1"/>
  <c r="H270" i="20" a="1"/>
  <c r="H270" i="20" s="1"/>
  <c r="H255" i="20" a="1"/>
  <c r="H255" i="20" s="1"/>
  <c r="H265" i="20" a="1"/>
  <c r="H265" i="20" s="1"/>
  <c r="H272" i="20" a="1"/>
  <c r="H272" i="20" s="1"/>
  <c r="H279" i="20" a="1"/>
  <c r="H279" i="20" s="1"/>
  <c r="H263" i="20" a="1"/>
  <c r="H263" i="20" s="1"/>
  <c r="H242" i="20" a="1"/>
  <c r="H242" i="20" s="1"/>
  <c r="H256" i="20" a="1"/>
  <c r="H256" i="20"/>
  <c r="H260" i="20" a="1"/>
  <c r="H260" i="20" s="1"/>
  <c r="H278" i="20" a="1"/>
  <c r="H278" i="20" s="1"/>
  <c r="H268" i="20" a="1"/>
  <c r="H268" i="20"/>
  <c r="H245" i="20" a="1"/>
  <c r="H245" i="20" s="1"/>
  <c r="H261" i="20" a="1"/>
  <c r="H261" i="20" s="1"/>
  <c r="H247" i="20" a="1"/>
  <c r="H247" i="20" s="1"/>
  <c r="H267" i="20" a="1"/>
  <c r="H267" i="20" s="1"/>
  <c r="H277" i="20" a="1"/>
  <c r="H277" i="20" s="1"/>
  <c r="H254" i="20" a="1"/>
  <c r="H254" i="20" s="1"/>
  <c r="H249" i="20" a="1"/>
  <c r="H249" i="20" s="1"/>
  <c r="H244" i="20" a="1"/>
  <c r="H244" i="20" s="1"/>
  <c r="H243" i="20" a="1"/>
  <c r="H243" i="20"/>
  <c r="H276" i="20" a="1"/>
  <c r="H276" i="20" s="1"/>
  <c r="H258" i="20" a="1"/>
  <c r="H258" i="20" s="1"/>
  <c r="H250" i="20" a="1"/>
  <c r="H250" i="20" s="1"/>
  <c r="H281" i="20" a="1"/>
  <c r="H281" i="20"/>
  <c r="H264" i="20" a="1"/>
  <c r="H264" i="20" s="1"/>
  <c r="H275" i="20" a="1"/>
  <c r="H275" i="20" s="1"/>
  <c r="H251" i="20" a="1"/>
  <c r="H251" i="20" s="1"/>
  <c r="H253" i="20" a="1"/>
  <c r="H253" i="20" s="1"/>
  <c r="H259" i="20" a="1"/>
  <c r="H259" i="20" s="1"/>
  <c r="H271" i="20" a="1"/>
  <c r="H271" i="20" s="1"/>
  <c r="H269" i="20" a="1"/>
  <c r="H269" i="20" s="1"/>
  <c r="H274" i="20" a="1"/>
  <c r="H274" i="20" s="1"/>
  <c r="H266" i="20" a="1"/>
  <c r="H266" i="20" s="1"/>
  <c r="H246" i="20" a="1"/>
  <c r="H246" i="20" s="1"/>
  <c r="K17" i="29"/>
  <c r="O505" i="29"/>
  <c r="L505" i="29"/>
  <c r="I505" i="29" s="1"/>
  <c r="L504" i="29"/>
  <c r="I504" i="29" s="1"/>
  <c r="O504" i="29"/>
  <c r="L503" i="29"/>
  <c r="I503" i="29" s="1"/>
  <c r="O503" i="29"/>
  <c r="L502" i="29"/>
  <c r="I502" i="29" s="1"/>
  <c r="O502" i="29"/>
  <c r="O501" i="29"/>
  <c r="L501" i="29"/>
  <c r="I501" i="29" s="1"/>
  <c r="L500" i="29"/>
  <c r="I500" i="29" s="1"/>
  <c r="O500" i="29"/>
  <c r="K499" i="29"/>
  <c r="I499" i="29" s="1"/>
  <c r="O499" i="29"/>
  <c r="L498" i="29"/>
  <c r="I498" i="29" s="1"/>
  <c r="O498" i="29"/>
  <c r="K8" i="29"/>
  <c r="L8" i="29"/>
  <c r="I8" i="29" s="1"/>
  <c r="L494" i="29"/>
  <c r="K494" i="29"/>
  <c r="L493" i="29"/>
  <c r="K493" i="29"/>
  <c r="K492" i="29"/>
  <c r="L492" i="29"/>
  <c r="L491" i="29"/>
  <c r="K491" i="29"/>
  <c r="K490" i="29"/>
  <c r="L490" i="29"/>
  <c r="L489" i="29"/>
  <c r="K489" i="29"/>
  <c r="L487" i="29"/>
  <c r="K487" i="29"/>
  <c r="K486" i="29"/>
  <c r="L486" i="29"/>
  <c r="L485" i="29"/>
  <c r="K485" i="29"/>
  <c r="K484" i="29"/>
  <c r="L484" i="29"/>
  <c r="L483" i="29"/>
  <c r="K483" i="29"/>
  <c r="L482" i="29"/>
  <c r="K482" i="29"/>
  <c r="L480" i="29"/>
  <c r="I480" i="29" s="1"/>
  <c r="K480" i="29"/>
  <c r="L479" i="29"/>
  <c r="K479" i="29"/>
  <c r="L478" i="29"/>
  <c r="K478" i="29"/>
  <c r="L477" i="29"/>
  <c r="K477" i="29"/>
  <c r="K476" i="29"/>
  <c r="L476" i="29"/>
  <c r="L475" i="29"/>
  <c r="K475" i="29"/>
  <c r="K473" i="29"/>
  <c r="L473" i="29"/>
  <c r="L472" i="29"/>
  <c r="K472" i="29"/>
  <c r="K471" i="29"/>
  <c r="L471" i="29"/>
  <c r="K470" i="29"/>
  <c r="L470" i="29"/>
  <c r="K469" i="29"/>
  <c r="L469" i="29"/>
  <c r="K468" i="29"/>
  <c r="L468" i="29"/>
  <c r="K466" i="29"/>
  <c r="I466" i="29" s="1"/>
  <c r="L466" i="29"/>
  <c r="K465" i="29"/>
  <c r="L465" i="29"/>
  <c r="L464" i="29"/>
  <c r="K464" i="29"/>
  <c r="K463" i="29"/>
  <c r="L463" i="29"/>
  <c r="L462" i="29"/>
  <c r="K462" i="29"/>
  <c r="I462" i="29" s="1"/>
  <c r="L461" i="29"/>
  <c r="K461" i="29"/>
  <c r="L449" i="29"/>
  <c r="K449" i="29"/>
  <c r="O449" i="29"/>
  <c r="K454" i="29"/>
  <c r="L454" i="29"/>
  <c r="L453" i="29"/>
  <c r="K453" i="29"/>
  <c r="L452" i="29"/>
  <c r="K452" i="29"/>
  <c r="I452" i="29" s="1"/>
  <c r="K451" i="29"/>
  <c r="L451" i="29"/>
  <c r="L450" i="29"/>
  <c r="K450" i="29"/>
  <c r="K408" i="29"/>
  <c r="L408" i="29"/>
  <c r="O408" i="29"/>
  <c r="L413" i="29"/>
  <c r="K413" i="29"/>
  <c r="K412" i="29"/>
  <c r="L412" i="29"/>
  <c r="K411" i="29"/>
  <c r="L411" i="29"/>
  <c r="L410" i="29"/>
  <c r="K410" i="29"/>
  <c r="L409" i="29"/>
  <c r="K409" i="29"/>
  <c r="L395" i="29"/>
  <c r="K395" i="29"/>
  <c r="K394" i="29"/>
  <c r="L394" i="29"/>
  <c r="K393" i="29"/>
  <c r="L393" i="29"/>
  <c r="L392" i="29"/>
  <c r="K392" i="29"/>
  <c r="I392" i="29" s="1"/>
  <c r="L391" i="29"/>
  <c r="K391" i="29"/>
  <c r="L390" i="29"/>
  <c r="K390" i="29"/>
  <c r="L388" i="29"/>
  <c r="K388" i="29"/>
  <c r="K387" i="29"/>
  <c r="L387" i="29"/>
  <c r="K386" i="29"/>
  <c r="L386" i="29"/>
  <c r="L385" i="29"/>
  <c r="K385" i="29"/>
  <c r="K384" i="29"/>
  <c r="I384" i="29" s="1"/>
  <c r="L384" i="29"/>
  <c r="K383" i="29"/>
  <c r="L383" i="29"/>
  <c r="L340" i="29"/>
  <c r="O340" i="29"/>
  <c r="K340" i="29"/>
  <c r="K345" i="29"/>
  <c r="L345" i="29"/>
  <c r="L344" i="29"/>
  <c r="K344" i="29"/>
  <c r="K343" i="29"/>
  <c r="L343" i="29"/>
  <c r="L342" i="29"/>
  <c r="K342" i="29"/>
  <c r="K341" i="29"/>
  <c r="L341" i="29"/>
  <c r="L147" i="29"/>
  <c r="K147" i="29"/>
  <c r="K146" i="29"/>
  <c r="L146" i="29"/>
  <c r="K145" i="29"/>
  <c r="L145" i="29"/>
  <c r="L144" i="29"/>
  <c r="K144" i="29"/>
  <c r="K143" i="29"/>
  <c r="L143" i="29"/>
  <c r="K142" i="29"/>
  <c r="L142" i="29"/>
  <c r="K140" i="29"/>
  <c r="L140" i="29"/>
  <c r="L139" i="29"/>
  <c r="K139" i="29"/>
  <c r="K138" i="29"/>
  <c r="L138" i="29"/>
  <c r="L137" i="29"/>
  <c r="K137" i="29"/>
  <c r="L136" i="29"/>
  <c r="K136" i="29"/>
  <c r="K135" i="29"/>
  <c r="L135" i="29"/>
  <c r="K133" i="29"/>
  <c r="L133" i="29"/>
  <c r="K132" i="29"/>
  <c r="L132" i="29"/>
  <c r="L131" i="29"/>
  <c r="K131" i="29"/>
  <c r="K130" i="29"/>
  <c r="L130" i="29"/>
  <c r="K129" i="29"/>
  <c r="L129" i="29"/>
  <c r="K128" i="29"/>
  <c r="L128" i="29"/>
  <c r="K126" i="29"/>
  <c r="L126" i="29"/>
  <c r="K125" i="29"/>
  <c r="L125" i="29"/>
  <c r="L124" i="29"/>
  <c r="K124" i="29"/>
  <c r="K123" i="29"/>
  <c r="L123" i="29"/>
  <c r="L122" i="29"/>
  <c r="K122" i="29"/>
  <c r="K121" i="29"/>
  <c r="L121" i="29"/>
  <c r="K88" i="29"/>
  <c r="L88" i="29"/>
  <c r="O88" i="29"/>
  <c r="L93" i="29"/>
  <c r="K93" i="29"/>
  <c r="I93" i="29" s="1"/>
  <c r="K92" i="29"/>
  <c r="L92" i="29"/>
  <c r="L91" i="29"/>
  <c r="K91" i="29"/>
  <c r="L90" i="29"/>
  <c r="K90" i="29"/>
  <c r="K89" i="29"/>
  <c r="L89" i="29"/>
  <c r="L562" i="29"/>
  <c r="K562" i="29"/>
  <c r="L561" i="29"/>
  <c r="K561" i="29"/>
  <c r="L560" i="29"/>
  <c r="K560" i="29"/>
  <c r="L559" i="29"/>
  <c r="I559" i="29" s="1"/>
  <c r="K559" i="29"/>
  <c r="L558" i="29"/>
  <c r="K558" i="29"/>
  <c r="K557" i="29"/>
  <c r="L557" i="29"/>
  <c r="L555" i="29"/>
  <c r="K555" i="29"/>
  <c r="L554" i="29"/>
  <c r="K554" i="29"/>
  <c r="I554" i="29" s="1"/>
  <c r="K553" i="29"/>
  <c r="L553" i="29"/>
  <c r="I553" i="29" s="1"/>
  <c r="K552" i="29"/>
  <c r="L552" i="29"/>
  <c r="L551" i="29"/>
  <c r="K551" i="29"/>
  <c r="L550" i="29"/>
  <c r="K550" i="29"/>
  <c r="K548" i="29"/>
  <c r="L548" i="29"/>
  <c r="L547" i="29"/>
  <c r="K547" i="29"/>
  <c r="K546" i="29"/>
  <c r="L546" i="29"/>
  <c r="I546" i="29" s="1"/>
  <c r="L545" i="29"/>
  <c r="K545" i="29"/>
  <c r="L544" i="29"/>
  <c r="K544" i="29"/>
  <c r="K543" i="29"/>
  <c r="L543" i="29"/>
  <c r="L455" i="29"/>
  <c r="O455" i="29"/>
  <c r="K455" i="29"/>
  <c r="L511" i="29"/>
  <c r="K511" i="29"/>
  <c r="L163" i="29"/>
  <c r="K163" i="29"/>
  <c r="L512" i="29"/>
  <c r="K512" i="29"/>
  <c r="O512" i="29"/>
  <c r="L161" i="29"/>
  <c r="K161" i="29"/>
  <c r="L160" i="29"/>
  <c r="K160" i="29"/>
  <c r="O160" i="29"/>
  <c r="L174" i="29"/>
  <c r="K174" i="29"/>
  <c r="O174" i="29"/>
  <c r="K415" i="29"/>
  <c r="O415" i="29"/>
  <c r="L415" i="29"/>
  <c r="L162" i="29"/>
  <c r="O162" i="29"/>
  <c r="K162" i="29"/>
  <c r="K289" i="29"/>
  <c r="L289" i="29"/>
  <c r="L62" i="11"/>
  <c r="K62" i="11"/>
  <c r="L61" i="11"/>
  <c r="K61" i="11"/>
  <c r="L60" i="11"/>
  <c r="K60" i="11"/>
  <c r="E241" i="20" a="1"/>
  <c r="E241" i="20" s="1"/>
  <c r="B224" i="20" a="1"/>
  <c r="B224" i="20" s="1"/>
  <c r="B235" i="20" a="1"/>
  <c r="B235" i="20"/>
  <c r="E239" i="20" a="1"/>
  <c r="E239" i="20" s="1"/>
  <c r="B219" i="20" a="1"/>
  <c r="B219" i="20"/>
  <c r="B227" i="20" a="1"/>
  <c r="B227" i="20"/>
  <c r="E231" i="20" a="1"/>
  <c r="E231" i="20" s="1"/>
  <c r="E229" i="20" a="1"/>
  <c r="E229" i="20" s="1"/>
  <c r="E220" i="20" a="1"/>
  <c r="E220" i="20" s="1"/>
  <c r="B236" i="20" a="1"/>
  <c r="B236" i="20" s="1"/>
  <c r="B220" i="20" a="1"/>
  <c r="B220" i="20"/>
  <c r="E237" i="20" a="1"/>
  <c r="E237" i="20" s="1"/>
  <c r="E226" i="20" a="1"/>
  <c r="E226" i="20" s="1"/>
  <c r="B228" i="20" a="1"/>
  <c r="B228" i="20" s="1"/>
  <c r="C241" i="20" a="1"/>
  <c r="C241" i="20" s="1"/>
  <c r="C236" i="20" a="1"/>
  <c r="C236" i="20"/>
  <c r="C233" i="20" a="1"/>
  <c r="C233" i="20" s="1"/>
  <c r="C230" i="20" a="1"/>
  <c r="C230" i="20"/>
  <c r="C226" i="20" a="1"/>
  <c r="C226" i="20"/>
  <c r="C223" i="20" a="1"/>
  <c r="C223" i="20" s="1"/>
  <c r="C217" i="20" a="1"/>
  <c r="C217" i="20" s="1"/>
  <c r="E227" i="20" a="1"/>
  <c r="E227" i="20" s="1"/>
  <c r="E234" i="20" a="1"/>
  <c r="E234" i="20" s="1"/>
  <c r="E240" i="20" a="1"/>
  <c r="E240" i="20" s="1"/>
  <c r="E232" i="20" a="1"/>
  <c r="E232" i="20" s="1"/>
  <c r="B239" i="20" a="1"/>
  <c r="B239" i="20"/>
  <c r="E219" i="20" a="1"/>
  <c r="E219" i="20" s="1"/>
  <c r="B229" i="20" a="1"/>
  <c r="B229" i="20"/>
  <c r="C218" i="20" a="1"/>
  <c r="C218" i="20"/>
  <c r="C240" i="20" a="1"/>
  <c r="C240" i="20" s="1"/>
  <c r="C234" i="20" a="1"/>
  <c r="C234" i="20" s="1"/>
  <c r="C229" i="20" a="1"/>
  <c r="C229" i="20"/>
  <c r="C224" i="20" a="1"/>
  <c r="C224" i="20" s="1"/>
  <c r="C220" i="20" a="1"/>
  <c r="C220" i="20"/>
  <c r="B232" i="20" a="1"/>
  <c r="B232" i="20"/>
  <c r="E236" i="20" a="1"/>
  <c r="E236" i="20" s="1"/>
  <c r="B218" i="20" a="1"/>
  <c r="B218" i="20"/>
  <c r="B226" i="20" a="1"/>
  <c r="B226" i="20" s="1"/>
  <c r="E228" i="20" a="1"/>
  <c r="E228" i="20" s="1"/>
  <c r="B231" i="20" a="1"/>
  <c r="B231" i="20" s="1"/>
  <c r="E225" i="20" a="1"/>
  <c r="E225" i="20" s="1"/>
  <c r="B230" i="20" a="1"/>
  <c r="B230" i="20" s="1"/>
  <c r="E238" i="20" a="1"/>
  <c r="E238" i="20" s="1"/>
  <c r="B241" i="20" a="1"/>
  <c r="B241" i="20" s="1"/>
  <c r="B223" i="20" a="1"/>
  <c r="B223" i="20" s="1"/>
  <c r="B234" i="20" a="1"/>
  <c r="B234" i="20"/>
  <c r="C238" i="20" a="1"/>
  <c r="C238" i="20" s="1"/>
  <c r="C231" i="20" a="1"/>
  <c r="C231" i="20"/>
  <c r="C228" i="20" a="1"/>
  <c r="C228" i="20"/>
  <c r="C225" i="20" a="1"/>
  <c r="C225" i="20" s="1"/>
  <c r="C222" i="20" a="1"/>
  <c r="C222" i="20" s="1"/>
  <c r="C219" i="20" a="1"/>
  <c r="C219" i="20"/>
  <c r="B217" i="20" a="1"/>
  <c r="B217" i="20" s="1"/>
  <c r="B238" i="20" a="1"/>
  <c r="B238" i="20"/>
  <c r="E222" i="20" a="1"/>
  <c r="E222" i="20" s="1"/>
  <c r="B221" i="20" a="1"/>
  <c r="B221" i="20" s="1"/>
  <c r="B240" i="20" a="1"/>
  <c r="B240" i="20"/>
  <c r="E233" i="20" a="1"/>
  <c r="E233" i="20" s="1"/>
  <c r="B225" i="20" a="1"/>
  <c r="B225" i="20"/>
  <c r="B233" i="20" a="1"/>
  <c r="B233" i="20" s="1"/>
  <c r="E221" i="20" a="1"/>
  <c r="E221" i="20" s="1"/>
  <c r="E230" i="20" a="1"/>
  <c r="E230" i="20" s="1"/>
  <c r="E223" i="20" a="1"/>
  <c r="E223" i="20" s="1"/>
  <c r="E218" i="20" a="1"/>
  <c r="E218" i="20" s="1"/>
  <c r="B237" i="20" a="1"/>
  <c r="B237" i="20" s="1"/>
  <c r="E235" i="20" a="1"/>
  <c r="E235" i="20" s="1"/>
  <c r="E217" i="20" a="1"/>
  <c r="E217" i="20" s="1"/>
  <c r="C239" i="20" a="1"/>
  <c r="C239" i="20"/>
  <c r="C237" i="20" a="1"/>
  <c r="C237" i="20" s="1"/>
  <c r="C235" i="20" a="1"/>
  <c r="C235" i="20"/>
  <c r="C232" i="20" a="1"/>
  <c r="C232" i="20"/>
  <c r="C227" i="20" a="1"/>
  <c r="C227" i="20" s="1"/>
  <c r="C221" i="20" a="1"/>
  <c r="C221" i="20" s="1"/>
  <c r="L186" i="11"/>
  <c r="L187" i="11"/>
  <c r="L154" i="11"/>
  <c r="I154" i="11" s="1"/>
  <c r="L162" i="11"/>
  <c r="L155" i="11"/>
  <c r="L161" i="11"/>
  <c r="B222" i="20" a="1"/>
  <c r="B222" i="20" s="1"/>
  <c r="E224" i="20" a="1"/>
  <c r="E224" i="20" s="1"/>
  <c r="K181" i="11"/>
  <c r="I181" i="11" s="1"/>
  <c r="L181" i="11"/>
  <c r="K153" i="11"/>
  <c r="K166" i="11"/>
  <c r="I166" i="11" s="1"/>
  <c r="L166" i="11"/>
  <c r="K152" i="11"/>
  <c r="I152" i="11"/>
  <c r="K179" i="11"/>
  <c r="L172" i="11"/>
  <c r="L174" i="11"/>
  <c r="K174" i="11"/>
  <c r="L167" i="11"/>
  <c r="K167" i="11"/>
  <c r="L178" i="11"/>
  <c r="K178" i="11"/>
  <c r="K180" i="11"/>
  <c r="L185" i="11"/>
  <c r="K185" i="11"/>
  <c r="I185" i="11" s="1"/>
  <c r="I226" i="20" a="1"/>
  <c r="I226" i="20" s="1"/>
  <c r="I230" i="20" a="1"/>
  <c r="I230" i="20" s="1"/>
  <c r="I234" i="20" a="1"/>
  <c r="I234" i="20" s="1"/>
  <c r="I238" i="20" a="1"/>
  <c r="I238" i="20" s="1"/>
  <c r="G218" i="20" a="1"/>
  <c r="G218" i="20"/>
  <c r="G224" i="20" a="1"/>
  <c r="G224" i="20" s="1"/>
  <c r="G230" i="20" a="1"/>
  <c r="G230" i="20"/>
  <c r="G238" i="20" a="1"/>
  <c r="G238" i="20"/>
  <c r="G236" i="20" a="1"/>
  <c r="G236" i="20" s="1"/>
  <c r="I241" i="20" a="1"/>
  <c r="I241" i="20" s="1"/>
  <c r="G228" i="20" a="1"/>
  <c r="G228" i="20" s="1"/>
  <c r="G219" i="20" a="1"/>
  <c r="G219" i="20" s="1"/>
  <c r="I224" i="20" a="1"/>
  <c r="I224" i="20" s="1"/>
  <c r="G237" i="20" a="1"/>
  <c r="G237" i="20"/>
  <c r="G234" i="20" a="1"/>
  <c r="G234" i="20"/>
  <c r="G217" i="20" a="1"/>
  <c r="G217" i="20" s="1"/>
  <c r="I221" i="20" a="1"/>
  <c r="I221" i="20" s="1"/>
  <c r="G220" i="20" a="1"/>
  <c r="G220" i="20" s="1"/>
  <c r="G229" i="20" a="1"/>
  <c r="G229" i="20" s="1"/>
  <c r="G235" i="20" a="1"/>
  <c r="G235" i="20"/>
  <c r="G225" i="20" a="1"/>
  <c r="G225" i="20" s="1"/>
  <c r="G241" i="20" a="1"/>
  <c r="G241" i="20"/>
  <c r="I228" i="20" a="1"/>
  <c r="I228" i="20" s="1"/>
  <c r="I218" i="20" a="1"/>
  <c r="I218" i="20" s="1"/>
  <c r="I220" i="20" a="1"/>
  <c r="I220" i="20" s="1"/>
  <c r="I239" i="20" a="1"/>
  <c r="I239" i="20" s="1"/>
  <c r="I222" i="20" a="1"/>
  <c r="I222" i="20" s="1"/>
  <c r="I235" i="20" a="1"/>
  <c r="I235" i="20" s="1"/>
  <c r="G232" i="20" a="1"/>
  <c r="G232" i="20"/>
  <c r="G223" i="20" a="1"/>
  <c r="G223" i="20" s="1"/>
  <c r="G226" i="20" a="1"/>
  <c r="G226" i="20"/>
  <c r="G239" i="20" a="1"/>
  <c r="G239" i="20"/>
  <c r="I231" i="20" a="1"/>
  <c r="I231" i="20" s="1"/>
  <c r="I227" i="20" a="1"/>
  <c r="I227" i="20" s="1"/>
  <c r="I223" i="20" a="1"/>
  <c r="I223" i="20" s="1"/>
  <c r="I232" i="20" a="1"/>
  <c r="I232" i="20" s="1"/>
  <c r="G240" i="20" a="1"/>
  <c r="G240" i="20"/>
  <c r="I236" i="20" a="1"/>
  <c r="I236" i="20" s="1"/>
  <c r="G231" i="20" a="1"/>
  <c r="G231" i="20"/>
  <c r="I240" i="20" a="1"/>
  <c r="I240" i="20" s="1"/>
  <c r="I217" i="20" a="1"/>
  <c r="I217" i="20" s="1"/>
  <c r="I225" i="20" a="1"/>
  <c r="I225" i="20" s="1"/>
  <c r="I229" i="20" a="1"/>
  <c r="I229" i="20" s="1"/>
  <c r="I233" i="20" a="1"/>
  <c r="I233" i="20" s="1"/>
  <c r="I237" i="20" a="1"/>
  <c r="I237" i="20" s="1"/>
  <c r="I219" i="20" a="1"/>
  <c r="I219" i="20" s="1"/>
  <c r="G221" i="20" a="1"/>
  <c r="G221" i="20"/>
  <c r="G227" i="20" a="1"/>
  <c r="G227" i="20" s="1"/>
  <c r="G233" i="20" a="1"/>
  <c r="G233" i="20"/>
  <c r="G222" i="20" a="1"/>
  <c r="G222" i="20"/>
  <c r="K117" i="11"/>
  <c r="L117" i="11"/>
  <c r="K116" i="11"/>
  <c r="L116" i="11"/>
  <c r="L115" i="11"/>
  <c r="K115" i="11"/>
  <c r="K114" i="11"/>
  <c r="L114" i="11"/>
  <c r="L113" i="11"/>
  <c r="K112" i="11"/>
  <c r="L112" i="11"/>
  <c r="L110" i="11"/>
  <c r="K110" i="11"/>
  <c r="L109" i="11"/>
  <c r="K109" i="11"/>
  <c r="K108" i="11"/>
  <c r="L108" i="11"/>
  <c r="K107" i="11"/>
  <c r="L107" i="11"/>
  <c r="K106" i="11"/>
  <c r="I106" i="11" s="1"/>
  <c r="K105" i="11"/>
  <c r="L105" i="11"/>
  <c r="K103" i="11"/>
  <c r="L103" i="11"/>
  <c r="K102" i="11"/>
  <c r="L102" i="11"/>
  <c r="L101" i="11"/>
  <c r="K101" i="11"/>
  <c r="L100" i="11"/>
  <c r="K100" i="11"/>
  <c r="K99" i="11"/>
  <c r="K98" i="11"/>
  <c r="L98" i="11"/>
  <c r="L40" i="11"/>
  <c r="K40" i="11"/>
  <c r="L39" i="11"/>
  <c r="K39" i="11"/>
  <c r="K38" i="11"/>
  <c r="L38" i="11"/>
  <c r="I38" i="11" s="1"/>
  <c r="L37" i="11"/>
  <c r="K37" i="11"/>
  <c r="L36" i="11"/>
  <c r="L35" i="11"/>
  <c r="K35" i="11"/>
  <c r="L33" i="11"/>
  <c r="K33" i="11"/>
  <c r="K32" i="11"/>
  <c r="L32" i="11"/>
  <c r="I32" i="11" s="1"/>
  <c r="K31" i="11"/>
  <c r="L31" i="11"/>
  <c r="K30" i="11"/>
  <c r="L30" i="11"/>
  <c r="L29" i="11"/>
  <c r="I29" i="11" s="1"/>
  <c r="K28" i="11"/>
  <c r="L28" i="11"/>
  <c r="K26" i="11"/>
  <c r="L26" i="11"/>
  <c r="L25" i="11"/>
  <c r="K25" i="11"/>
  <c r="L24" i="11"/>
  <c r="K24" i="11"/>
  <c r="K23" i="11"/>
  <c r="L23" i="11"/>
  <c r="I23" i="11" s="1"/>
  <c r="L22" i="11"/>
  <c r="I22" i="11" s="1"/>
  <c r="L21" i="11"/>
  <c r="K21" i="11"/>
  <c r="L19" i="11"/>
  <c r="K19" i="11"/>
  <c r="K18" i="11"/>
  <c r="L18" i="11"/>
  <c r="K17" i="11"/>
  <c r="L17" i="11"/>
  <c r="I17" i="11" s="1"/>
  <c r="K16" i="11"/>
  <c r="L16" i="11"/>
  <c r="K15" i="11"/>
  <c r="I15" i="11" s="1"/>
  <c r="K14" i="11"/>
  <c r="L14" i="11"/>
  <c r="L12" i="11"/>
  <c r="K12" i="11"/>
  <c r="L11" i="11"/>
  <c r="K11" i="11"/>
  <c r="I11" i="11" s="1"/>
  <c r="L10" i="11"/>
  <c r="K10" i="11"/>
  <c r="K9" i="11"/>
  <c r="L9" i="11"/>
  <c r="L8" i="11"/>
  <c r="K7" i="11"/>
  <c r="L7" i="11"/>
  <c r="K57" i="11"/>
  <c r="L57" i="11"/>
  <c r="K162" i="11"/>
  <c r="I162" i="11" s="1"/>
  <c r="O162" i="11"/>
  <c r="L158" i="11"/>
  <c r="O158" i="11"/>
  <c r="K158" i="11"/>
  <c r="K161" i="11"/>
  <c r="O161" i="11"/>
  <c r="L157" i="11"/>
  <c r="K157" i="11"/>
  <c r="O157" i="11"/>
  <c r="K159" i="11"/>
  <c r="O159" i="11"/>
  <c r="L159" i="11"/>
  <c r="I159" i="11" s="1"/>
  <c r="O160" i="11"/>
  <c r="L160" i="11"/>
  <c r="K160" i="11"/>
  <c r="I160" i="11" s="1"/>
  <c r="K67" i="11"/>
  <c r="L67" i="11"/>
  <c r="K66" i="11"/>
  <c r="L66" i="11"/>
  <c r="L65" i="11"/>
  <c r="K65" i="11"/>
  <c r="K64" i="11"/>
  <c r="L52" i="11"/>
  <c r="I52" i="11" s="1"/>
  <c r="L51" i="11"/>
  <c r="I51" i="11" s="1"/>
  <c r="L50" i="11"/>
  <c r="I50" i="11" s="1"/>
  <c r="L49" i="11"/>
  <c r="I49" i="11" s="1"/>
  <c r="L48" i="11"/>
  <c r="I48" i="11" s="1"/>
  <c r="L47" i="11"/>
  <c r="K80" i="11"/>
  <c r="L80" i="11"/>
  <c r="L81" i="11"/>
  <c r="K81" i="11"/>
  <c r="L73" i="11"/>
  <c r="K73" i="11"/>
  <c r="L72" i="11"/>
  <c r="K72" i="11"/>
  <c r="I72" i="11" s="1"/>
  <c r="L71" i="11"/>
  <c r="K71" i="11"/>
  <c r="K70" i="11"/>
  <c r="I70" i="11" s="1"/>
  <c r="K132" i="11"/>
  <c r="I132" i="11" s="1"/>
  <c r="L130" i="11"/>
  <c r="K130" i="11"/>
  <c r="L129" i="11"/>
  <c r="K129" i="11"/>
  <c r="L128" i="11"/>
  <c r="K128" i="11"/>
  <c r="L126" i="11"/>
  <c r="K126" i="11"/>
  <c r="I126" i="11" s="1"/>
  <c r="L133" i="11"/>
  <c r="K155" i="11"/>
  <c r="O155" i="11"/>
  <c r="L188" i="11"/>
  <c r="O188" i="11"/>
  <c r="O154" i="11"/>
  <c r="K154" i="11"/>
  <c r="O187" i="11"/>
  <c r="K187" i="11"/>
  <c r="O189" i="11"/>
  <c r="K189" i="11"/>
  <c r="L164" i="11"/>
  <c r="K164" i="11"/>
  <c r="O164" i="11"/>
  <c r="O182" i="11"/>
  <c r="K182" i="11"/>
  <c r="K176" i="11"/>
  <c r="L176" i="11"/>
  <c r="O176" i="11"/>
  <c r="K186" i="11"/>
  <c r="O186" i="11"/>
  <c r="K143" i="11"/>
  <c r="L143" i="11"/>
  <c r="K141" i="11"/>
  <c r="L141" i="11"/>
  <c r="L140" i="11"/>
  <c r="K140" i="11"/>
  <c r="L137" i="11"/>
  <c r="K137" i="11"/>
  <c r="K135" i="11"/>
  <c r="L135" i="11"/>
  <c r="K125" i="11"/>
  <c r="L125" i="11"/>
  <c r="K124" i="11"/>
  <c r="L124" i="11"/>
  <c r="K123" i="11"/>
  <c r="L123" i="11"/>
  <c r="K122" i="11"/>
  <c r="L122" i="11"/>
  <c r="K79" i="11"/>
  <c r="K78" i="11"/>
  <c r="L78" i="11"/>
  <c r="I78" i="11" s="1"/>
  <c r="L77" i="11"/>
  <c r="K77" i="11"/>
  <c r="K74" i="11"/>
  <c r="L74" i="11"/>
  <c r="K69" i="11"/>
  <c r="L69" i="11"/>
  <c r="L58" i="11"/>
  <c r="K58" i="11"/>
  <c r="L56" i="11"/>
  <c r="K56" i="11"/>
  <c r="L53" i="11"/>
  <c r="I53" i="11" s="1"/>
  <c r="K46" i="11"/>
  <c r="I46" i="11" s="1"/>
  <c r="L46" i="11"/>
  <c r="K45" i="11"/>
  <c r="L45" i="11"/>
  <c r="L44" i="11"/>
  <c r="K44" i="11"/>
  <c r="D225" i="11"/>
  <c r="K225" i="11" s="1"/>
  <c r="D213" i="11"/>
  <c r="D199" i="11"/>
  <c r="L199" i="11" s="1"/>
  <c r="D206" i="11"/>
  <c r="K206" i="11" s="1"/>
  <c r="D215" i="11"/>
  <c r="K215" i="11" s="1"/>
  <c r="D223" i="11"/>
  <c r="D207" i="11"/>
  <c r="D231" i="11"/>
  <c r="L231" i="11" s="1"/>
  <c r="D235" i="11"/>
  <c r="D236" i="11"/>
  <c r="K236" i="11" s="1"/>
  <c r="D193" i="11"/>
  <c r="L193" i="11" s="1"/>
  <c r="D210" i="11"/>
  <c r="K210" i="11" s="1"/>
  <c r="D220" i="11"/>
  <c r="L220" i="11" s="1"/>
  <c r="D218" i="11"/>
  <c r="D208" i="11"/>
  <c r="D227" i="11"/>
  <c r="L227" i="11" s="1"/>
  <c r="D194" i="11"/>
  <c r="D232" i="11"/>
  <c r="K232" i="11" s="1"/>
  <c r="D203" i="11"/>
  <c r="L203" i="11" s="1"/>
  <c r="D200" i="11"/>
  <c r="D237" i="11"/>
  <c r="K237" i="11" s="1"/>
  <c r="D224" i="11"/>
  <c r="L224" i="11" s="1"/>
  <c r="D204" i="11"/>
  <c r="K204" i="11" s="1"/>
  <c r="D221" i="11"/>
  <c r="D196" i="11"/>
  <c r="L196" i="11" s="1"/>
  <c r="D205" i="11"/>
  <c r="D214" i="11"/>
  <c r="D222" i="11"/>
  <c r="K222" i="11" s="1"/>
  <c r="D239" i="11"/>
  <c r="K239" i="11" s="1"/>
  <c r="D234" i="11"/>
  <c r="L9" i="10"/>
  <c r="K9" i="10"/>
  <c r="K98" i="2"/>
  <c r="L98" i="2"/>
  <c r="O146" i="11"/>
  <c r="C496" i="29"/>
  <c r="P21" i="27"/>
  <c r="P20" i="27"/>
  <c r="P19" i="27"/>
  <c r="P18" i="27"/>
  <c r="P17" i="27"/>
  <c r="P16" i="27"/>
  <c r="P15" i="27"/>
  <c r="P14" i="27"/>
  <c r="P13" i="27"/>
  <c r="P12" i="27"/>
  <c r="P11" i="27"/>
  <c r="P10" i="27"/>
  <c r="P9" i="27"/>
  <c r="P8" i="27"/>
  <c r="P7" i="27"/>
  <c r="O220" i="29"/>
  <c r="O168" i="29"/>
  <c r="O84" i="29"/>
  <c r="O201" i="11"/>
  <c r="O93" i="11"/>
  <c r="O460" i="29"/>
  <c r="O420" i="29"/>
  <c r="O354" i="29"/>
  <c r="O270" i="29"/>
  <c r="O211" i="29"/>
  <c r="O155" i="29"/>
  <c r="O192" i="11"/>
  <c r="O92" i="11"/>
  <c r="O43" i="11"/>
  <c r="O467" i="29"/>
  <c r="O397" i="29"/>
  <c r="O330" i="29"/>
  <c r="O218" i="29"/>
  <c r="O192" i="29"/>
  <c r="O48" i="29"/>
  <c r="O184" i="11"/>
  <c r="O34" i="11"/>
  <c r="O474" i="29"/>
  <c r="O458" i="29"/>
  <c r="O396" i="29"/>
  <c r="O319" i="29"/>
  <c r="O275" i="29"/>
  <c r="O199" i="29"/>
  <c r="O191" i="29"/>
  <c r="O150" i="29"/>
  <c r="O18" i="29"/>
  <c r="O190" i="11"/>
  <c r="O41" i="11"/>
  <c r="O549" i="29"/>
  <c r="O488" i="29"/>
  <c r="O248" i="29"/>
  <c r="O226" i="29"/>
  <c r="O87" i="29"/>
  <c r="O165" i="11"/>
  <c r="O96" i="11"/>
  <c r="O564" i="29"/>
  <c r="O521" i="29"/>
  <c r="O443" i="29"/>
  <c r="O225" i="29"/>
  <c r="O86" i="29"/>
  <c r="O30" i="29"/>
  <c r="O142" i="11"/>
  <c r="O111" i="11"/>
  <c r="O6" i="11"/>
  <c r="O497" i="29"/>
  <c r="O425" i="29"/>
  <c r="O240" i="11"/>
  <c r="O77" i="9"/>
  <c r="O38" i="8"/>
  <c r="O263" i="30"/>
  <c r="O186" i="30"/>
  <c r="O63" i="30"/>
  <c r="O301" i="29"/>
  <c r="O77" i="29"/>
  <c r="O118" i="11"/>
  <c r="O94" i="9"/>
  <c r="O37" i="8"/>
  <c r="O255" i="30"/>
  <c r="O160" i="30"/>
  <c r="O579" i="29"/>
  <c r="O291" i="29"/>
  <c r="O15" i="10"/>
  <c r="O87" i="9"/>
  <c r="O56" i="8"/>
  <c r="O82" i="7"/>
  <c r="O159" i="30"/>
  <c r="O520" i="29"/>
  <c r="O75" i="11"/>
  <c r="O39" i="9"/>
  <c r="O43" i="7"/>
  <c r="O115" i="30"/>
  <c r="O253" i="30"/>
  <c r="O338" i="29"/>
  <c r="O54" i="29"/>
  <c r="O63" i="8"/>
  <c r="O250" i="30"/>
  <c r="O136" i="30"/>
  <c r="O328" i="29"/>
  <c r="O68" i="11"/>
  <c r="O114" i="9"/>
  <c r="O89" i="8"/>
  <c r="O42" i="7"/>
  <c r="O149" i="30"/>
  <c r="O41" i="30"/>
  <c r="O139" i="11"/>
  <c r="O72" i="9"/>
  <c r="O88" i="8"/>
  <c r="O13" i="8"/>
  <c r="O32" i="7"/>
  <c r="O30" i="7"/>
  <c r="O222" i="4"/>
  <c r="O186" i="4"/>
  <c r="O43" i="4"/>
  <c r="O86" i="8"/>
  <c r="O237" i="29"/>
  <c r="O129" i="9"/>
  <c r="O181" i="30"/>
  <c r="O170" i="4"/>
  <c r="O300" i="30"/>
  <c r="O190" i="30"/>
  <c r="O20" i="8"/>
  <c r="O227" i="4"/>
  <c r="O143" i="4"/>
  <c r="O242" i="4"/>
  <c r="O120" i="30"/>
  <c r="O118" i="4"/>
  <c r="O50" i="4"/>
  <c r="O34" i="4"/>
  <c r="O147" i="30"/>
  <c r="O73" i="30"/>
  <c r="O157" i="4"/>
  <c r="O109" i="4"/>
  <c r="O36" i="4"/>
  <c r="O71" i="30"/>
  <c r="O271" i="30"/>
  <c r="O232" i="4"/>
  <c r="O212" i="11"/>
  <c r="O21" i="30"/>
  <c r="O234" i="3"/>
  <c r="O192" i="3"/>
  <c r="O41" i="2"/>
  <c r="O97" i="2"/>
  <c r="O191" i="3"/>
  <c r="O59" i="3"/>
  <c r="O86" i="2"/>
  <c r="O220" i="3"/>
  <c r="O240" i="3"/>
  <c r="O187" i="3"/>
  <c r="O108" i="2"/>
  <c r="O77" i="2"/>
  <c r="O212" i="3"/>
  <c r="O116" i="3"/>
  <c r="O133" i="2"/>
  <c r="O121" i="3"/>
  <c r="O246" i="3"/>
  <c r="O75" i="2"/>
  <c r="O201" i="3"/>
  <c r="O111" i="2"/>
  <c r="O221" i="3"/>
  <c r="O100" i="3"/>
  <c r="O38" i="3"/>
  <c r="O105" i="2"/>
  <c r="O182" i="3"/>
  <c r="O11" i="10"/>
  <c r="O92" i="9"/>
  <c r="O6" i="9"/>
  <c r="O32" i="8"/>
  <c r="O78" i="7"/>
  <c r="O135" i="30"/>
  <c r="O402" i="29"/>
  <c r="O148" i="9"/>
  <c r="O100" i="9"/>
  <c r="O37" i="9"/>
  <c r="O15" i="12"/>
  <c r="O22" i="7"/>
  <c r="O28" i="8"/>
  <c r="O87" i="30"/>
  <c r="O75" i="4"/>
  <c r="O106" i="4"/>
  <c r="O173" i="4"/>
  <c r="O65" i="7"/>
  <c r="O14" i="30"/>
  <c r="O211" i="4"/>
  <c r="O74" i="4"/>
  <c r="O15" i="5"/>
  <c r="O58" i="7"/>
  <c r="O35" i="7"/>
  <c r="O135" i="9"/>
  <c r="O158" i="30"/>
  <c r="O45" i="30"/>
  <c r="O481" i="29"/>
  <c r="O39" i="29"/>
  <c r="O134" i="9"/>
  <c r="O83" i="9"/>
  <c r="O6" i="8"/>
  <c r="O14" i="7"/>
  <c r="O114" i="30"/>
  <c r="O366" i="29"/>
  <c r="O10" i="10"/>
  <c r="O132" i="9"/>
  <c r="O62" i="9"/>
  <c r="O29" i="8"/>
  <c r="O70" i="8"/>
  <c r="O163" i="4"/>
  <c r="O7" i="6"/>
  <c r="O85" i="29"/>
  <c r="O27" i="8"/>
  <c r="O28" i="30"/>
  <c r="O152" i="4"/>
  <c r="O23" i="5"/>
  <c r="O97" i="11"/>
  <c r="O180" i="30"/>
  <c r="O202" i="4"/>
  <c r="O99" i="4"/>
  <c r="O124" i="4"/>
  <c r="O57" i="7"/>
  <c r="O61" i="5"/>
  <c r="O142" i="4"/>
  <c r="O58" i="4"/>
  <c r="O159" i="29"/>
  <c r="O315" i="29"/>
  <c r="O119" i="30"/>
  <c r="O36" i="30"/>
  <c r="O192" i="4"/>
  <c r="O89" i="4"/>
  <c r="O26" i="6"/>
  <c r="O48" i="4"/>
  <c r="O142" i="9"/>
  <c r="O131" i="30"/>
  <c r="O95" i="30"/>
  <c r="O233" i="4"/>
  <c r="O30" i="3"/>
  <c r="O64" i="2"/>
  <c r="O37" i="3"/>
  <c r="O241" i="3"/>
  <c r="O22" i="3"/>
  <c r="O8" i="2"/>
  <c r="O31" i="3"/>
  <c r="O207" i="3"/>
  <c r="O178" i="3"/>
  <c r="O14" i="3"/>
  <c r="O100" i="2"/>
  <c r="O64" i="3"/>
  <c r="O186" i="3"/>
  <c r="O85" i="3"/>
  <c r="O107" i="2"/>
  <c r="O47" i="2"/>
  <c r="O139" i="2"/>
  <c r="O137" i="3"/>
  <c r="O48" i="3"/>
  <c r="O45" i="2"/>
  <c r="O80" i="3"/>
  <c r="O175" i="3"/>
  <c r="O83" i="3"/>
  <c r="O113" i="2"/>
  <c r="O33" i="2"/>
  <c r="O40" i="30"/>
  <c r="O119" i="4"/>
  <c r="O219" i="30"/>
  <c r="O37" i="30"/>
  <c r="O134" i="4"/>
  <c r="O13" i="4"/>
  <c r="O72" i="30"/>
  <c r="O196" i="30"/>
  <c r="O60" i="5"/>
  <c r="O178" i="4"/>
  <c r="O49" i="4"/>
  <c r="O170" i="30"/>
  <c r="O73" i="7"/>
  <c r="O36" i="5"/>
  <c r="O172" i="4"/>
  <c r="O191" i="4"/>
  <c r="O254" i="3"/>
  <c r="O181" i="3"/>
  <c r="O119" i="2"/>
  <c r="O9" i="2"/>
  <c r="O121" i="2"/>
  <c r="O88" i="3"/>
  <c r="O56" i="2"/>
  <c r="O250" i="3"/>
  <c r="O146" i="3"/>
  <c r="O128" i="2"/>
  <c r="O92" i="2"/>
  <c r="O79" i="3"/>
  <c r="O177" i="3"/>
  <c r="O49" i="3"/>
  <c r="O99" i="2"/>
  <c r="O76" i="2"/>
  <c r="O90" i="3"/>
  <c r="O222" i="3"/>
  <c r="O114" i="2"/>
  <c r="O244" i="3"/>
  <c r="O245" i="3"/>
  <c r="O202" i="3"/>
  <c r="O46" i="3"/>
  <c r="O44" i="2"/>
  <c r="O70" i="3"/>
  <c r="O68" i="3"/>
  <c r="O214" i="11"/>
  <c r="C42" i="11"/>
  <c r="G23" i="15"/>
  <c r="O93" i="2"/>
  <c r="O119" i="3"/>
  <c r="L240" i="4"/>
  <c r="K74" i="3"/>
  <c r="L74" i="3"/>
  <c r="K240" i="4"/>
  <c r="I240" i="4" s="1"/>
  <c r="K76" i="3"/>
  <c r="L76" i="3"/>
  <c r="L77" i="3"/>
  <c r="K238" i="4"/>
  <c r="K77" i="3"/>
  <c r="L238" i="4"/>
  <c r="O509" i="29"/>
  <c r="O401" i="29"/>
  <c r="O375" i="29"/>
  <c r="O346" i="29"/>
  <c r="O308" i="29"/>
  <c r="O288" i="29"/>
  <c r="O280" i="29"/>
  <c r="O271" i="29"/>
  <c r="O158" i="29"/>
  <c r="O76" i="29"/>
  <c r="O175" i="11"/>
  <c r="O138" i="11"/>
  <c r="O28" i="10"/>
  <c r="O508" i="29"/>
  <c r="O438" i="29"/>
  <c r="O382" i="29"/>
  <c r="O322" i="29"/>
  <c r="O260" i="29"/>
  <c r="O183" i="29"/>
  <c r="O120" i="29"/>
  <c r="O27" i="29"/>
  <c r="O171" i="11"/>
  <c r="O84" i="11"/>
  <c r="O591" i="29"/>
  <c r="O437" i="29"/>
  <c r="O389" i="29"/>
  <c r="O276" i="29"/>
  <c r="O154" i="29"/>
  <c r="O67" i="29"/>
  <c r="O26" i="29"/>
  <c r="O191" i="11"/>
  <c r="O150" i="11"/>
  <c r="O136" i="11"/>
  <c r="O580" i="29"/>
  <c r="O436" i="29"/>
  <c r="O329" i="29"/>
  <c r="O286" i="29"/>
  <c r="O250" i="29"/>
  <c r="O173" i="29"/>
  <c r="O134" i="29"/>
  <c r="O59" i="29"/>
  <c r="O233" i="11"/>
  <c r="O183" i="11"/>
  <c r="O565" i="29"/>
  <c r="O446" i="29"/>
  <c r="O359" i="29"/>
  <c r="O205" i="29"/>
  <c r="O148" i="29"/>
  <c r="O57" i="29"/>
  <c r="O31" i="29"/>
  <c r="O9" i="29"/>
  <c r="O144" i="11"/>
  <c r="O104" i="11"/>
  <c r="O55" i="11"/>
  <c r="O556" i="29"/>
  <c r="O495" i="29"/>
  <c r="O367" i="29"/>
  <c r="O239" i="29"/>
  <c r="O213" i="11"/>
  <c r="O76" i="11"/>
  <c r="O30" i="10"/>
  <c r="O190" i="29"/>
  <c r="O120" i="9"/>
  <c r="O83" i="8"/>
  <c r="O72" i="7"/>
  <c r="O243" i="30"/>
  <c r="O169" i="30"/>
  <c r="O86" i="30"/>
  <c r="O347" i="29"/>
  <c r="O238" i="11"/>
  <c r="O163" i="11"/>
  <c r="O127" i="9"/>
  <c r="O76" i="9"/>
  <c r="O46" i="7"/>
  <c r="O194" i="30"/>
  <c r="O139" i="30"/>
  <c r="O47" i="30"/>
  <c r="O141" i="29"/>
  <c r="O104" i="9"/>
  <c r="O40" i="9"/>
  <c r="O66" i="8"/>
  <c r="O10" i="12"/>
  <c r="O233" i="30"/>
  <c r="O46" i="30"/>
  <c r="O29" i="10"/>
  <c r="O33" i="8"/>
  <c r="O34" i="7"/>
  <c r="O150" i="30"/>
  <c r="O249" i="29"/>
  <c r="O149" i="9"/>
  <c r="O73" i="9"/>
  <c r="O75" i="8"/>
  <c r="O192" i="30"/>
  <c r="O563" i="29"/>
  <c r="O325" i="29"/>
  <c r="O81" i="9"/>
  <c r="O74" i="8"/>
  <c r="O51" i="7"/>
  <c r="O20" i="9"/>
  <c r="O130" i="30"/>
  <c r="O212" i="4"/>
  <c r="O113" i="30"/>
  <c r="O279" i="30"/>
  <c r="O90" i="9"/>
  <c r="O104" i="30"/>
  <c r="O228" i="4"/>
  <c r="O177" i="4"/>
  <c r="O10" i="29"/>
  <c r="O80" i="30"/>
  <c r="O181" i="4"/>
  <c r="O111" i="4"/>
  <c r="O27" i="4"/>
  <c r="O199" i="30"/>
  <c r="O244" i="4"/>
  <c r="O158" i="4"/>
  <c r="O27" i="6"/>
  <c r="O42" i="8"/>
  <c r="O96" i="30"/>
  <c r="O200" i="4"/>
  <c r="O125" i="4"/>
  <c r="O20" i="4"/>
  <c r="O52" i="5"/>
  <c r="O189" i="4"/>
  <c r="O218" i="30"/>
  <c r="O223" i="4"/>
  <c r="O144" i="30"/>
  <c r="O211" i="3"/>
  <c r="O60" i="3"/>
  <c r="O92" i="3"/>
  <c r="O199" i="3"/>
  <c r="O174" i="3"/>
  <c r="O249" i="3"/>
  <c r="O145" i="3"/>
  <c r="O115" i="2"/>
  <c r="O72" i="2"/>
  <c r="O108" i="3"/>
  <c r="O132" i="2"/>
  <c r="O34" i="2"/>
  <c r="O235" i="3"/>
  <c r="O129" i="3"/>
  <c r="O125" i="2"/>
  <c r="O17" i="2"/>
  <c r="O120" i="3"/>
  <c r="L193" i="3"/>
  <c r="L166" i="4"/>
  <c r="I166" i="4" s="1"/>
  <c r="L189" i="29"/>
  <c r="L214" i="29"/>
  <c r="L304" i="29"/>
  <c r="I304" i="29"/>
  <c r="L194" i="3"/>
  <c r="L167" i="4"/>
  <c r="L215" i="29"/>
  <c r="L305" i="29"/>
  <c r="L216" i="29"/>
  <c r="L196" i="3"/>
  <c r="I196" i="3" s="1"/>
  <c r="L169" i="4"/>
  <c r="L126" i="30"/>
  <c r="L217" i="29"/>
  <c r="I217" i="29"/>
  <c r="L307" i="29"/>
  <c r="I307" i="29" s="1"/>
  <c r="O218" i="11"/>
  <c r="O20" i="11"/>
  <c r="O592" i="29"/>
  <c r="O398" i="29"/>
  <c r="O297" i="29"/>
  <c r="O234" i="29"/>
  <c r="O201" i="29"/>
  <c r="O75" i="29"/>
  <c r="O217" i="11"/>
  <c r="O151" i="11"/>
  <c r="O63" i="11"/>
  <c r="O27" i="11"/>
  <c r="O459" i="29"/>
  <c r="O419" i="29"/>
  <c r="O381" i="29"/>
  <c r="O259" i="29"/>
  <c r="O200" i="29"/>
  <c r="O127" i="29"/>
  <c r="O119" i="29"/>
  <c r="O234" i="11"/>
  <c r="O170" i="11"/>
  <c r="O83" i="11"/>
  <c r="O229" i="29"/>
  <c r="O118" i="29"/>
  <c r="O47" i="29"/>
  <c r="O241" i="11"/>
  <c r="O168" i="11"/>
  <c r="O587" i="29"/>
  <c r="O541" i="29"/>
  <c r="O406" i="29"/>
  <c r="O290" i="29"/>
  <c r="O240" i="29"/>
  <c r="O177" i="11"/>
  <c r="O120" i="11"/>
  <c r="O358" i="29"/>
  <c r="O313" i="29"/>
  <c r="O107" i="29"/>
  <c r="O55" i="29"/>
  <c r="O156" i="11"/>
  <c r="O119" i="11"/>
  <c r="O54" i="11"/>
  <c r="O588" i="29"/>
  <c r="O149" i="29"/>
  <c r="O107" i="9"/>
  <c r="O42" i="9"/>
  <c r="O58" i="8"/>
  <c r="O292" i="30"/>
  <c r="O195" i="30"/>
  <c r="O128" i="30"/>
  <c r="O35" i="30"/>
  <c r="O221" i="29"/>
  <c r="O202" i="11"/>
  <c r="O119" i="9"/>
  <c r="O57" i="8"/>
  <c r="O284" i="30"/>
  <c r="O185" i="30"/>
  <c r="O55" i="30"/>
  <c r="O64" i="5"/>
  <c r="O542" i="29"/>
  <c r="O58" i="29"/>
  <c r="O140" i="9"/>
  <c r="O75" i="9"/>
  <c r="O78" i="8"/>
  <c r="O34" i="8"/>
  <c r="O54" i="30"/>
  <c r="O106" i="29"/>
  <c r="O13" i="11"/>
  <c r="O64" i="9"/>
  <c r="O204" i="30"/>
  <c r="O125" i="30"/>
  <c r="O513" i="29"/>
  <c r="O206" i="29"/>
  <c r="O102" i="9"/>
  <c r="O63" i="9"/>
  <c r="O62" i="8"/>
  <c r="O23" i="7"/>
  <c r="O442" i="29"/>
  <c r="O281" i="29"/>
  <c r="O113" i="9"/>
  <c r="O13" i="9"/>
  <c r="O77" i="7"/>
  <c r="O134" i="11"/>
  <c r="O105" i="30"/>
  <c r="O153" i="4"/>
  <c r="O44" i="5"/>
  <c r="O69" i="8"/>
  <c r="O81" i="30"/>
  <c r="O84" i="4"/>
  <c r="O35" i="4"/>
  <c r="O200" i="30"/>
  <c r="O151" i="4"/>
  <c r="O66" i="4"/>
  <c r="O45" i="4"/>
  <c r="O201" i="4"/>
  <c r="O110" i="4"/>
  <c r="O40" i="4"/>
  <c r="O228" i="30"/>
  <c r="O7" i="10"/>
  <c r="O31" i="5"/>
  <c r="O133" i="4"/>
  <c r="O57" i="4"/>
  <c r="O309" i="29"/>
  <c r="O27" i="9"/>
  <c r="O7" i="5"/>
  <c r="O44" i="4"/>
  <c r="O74" i="7"/>
  <c r="O69" i="3"/>
  <c r="O87" i="2"/>
  <c r="O40" i="2"/>
  <c r="O50" i="3"/>
  <c r="O48" i="2"/>
  <c r="O130" i="2"/>
  <c r="O153" i="3"/>
  <c r="O6" i="3"/>
  <c r="O91" i="2"/>
  <c r="O73" i="2"/>
  <c r="O160" i="3"/>
  <c r="O39" i="3"/>
  <c r="O25" i="2"/>
  <c r="O167" i="3"/>
  <c r="O65" i="3"/>
  <c r="O141" i="2"/>
  <c r="L195" i="3"/>
  <c r="I195" i="3"/>
  <c r="M21" i="27"/>
  <c r="M11" i="27"/>
  <c r="M20" i="27"/>
  <c r="J20" i="27" s="1"/>
  <c r="M9" i="27"/>
  <c r="J9" i="27" s="1"/>
  <c r="M19" i="27"/>
  <c r="M8" i="27"/>
  <c r="J8" i="27"/>
  <c r="M15" i="27"/>
  <c r="M17" i="27"/>
  <c r="M7" i="27"/>
  <c r="M16" i="27"/>
  <c r="M13" i="27"/>
  <c r="M12" i="27"/>
  <c r="L134" i="2"/>
  <c r="K99" i="9"/>
  <c r="K138" i="2"/>
  <c r="L68" i="8"/>
  <c r="L95" i="9"/>
  <c r="I95" i="9"/>
  <c r="L241" i="4"/>
  <c r="L96" i="9"/>
  <c r="L138" i="2"/>
  <c r="K96" i="9"/>
  <c r="K135" i="2"/>
  <c r="L135" i="2"/>
  <c r="L99" i="9"/>
  <c r="K241" i="4"/>
  <c r="L123" i="9"/>
  <c r="I123" i="9" s="1"/>
  <c r="L126" i="9"/>
  <c r="L122" i="9"/>
  <c r="L16" i="27"/>
  <c r="L13" i="27"/>
  <c r="L17" i="27"/>
  <c r="J17" i="27" s="1"/>
  <c r="L15" i="27"/>
  <c r="P6" i="27"/>
  <c r="K24" i="7"/>
  <c r="I24" i="7" s="1"/>
  <c r="K105" i="4"/>
  <c r="I105" i="4" s="1"/>
  <c r="L12" i="27"/>
  <c r="K134" i="2"/>
  <c r="O274" i="29"/>
  <c r="O184" i="30"/>
  <c r="L7" i="27"/>
  <c r="O370" i="29"/>
  <c r="O595" i="29"/>
  <c r="O439" i="29"/>
  <c r="O356" i="29"/>
  <c r="O324" i="29"/>
  <c r="O298" i="29"/>
  <c r="K91" i="11"/>
  <c r="L91" i="11"/>
  <c r="L236" i="4"/>
  <c r="K236" i="4"/>
  <c r="K95" i="2"/>
  <c r="L95" i="2"/>
  <c r="K88" i="11"/>
  <c r="L88" i="11"/>
  <c r="K86" i="11"/>
  <c r="L86" i="11"/>
  <c r="K89" i="11"/>
  <c r="L89" i="11"/>
  <c r="L87" i="11"/>
  <c r="K87" i="11"/>
  <c r="K59" i="8"/>
  <c r="L59" i="8"/>
  <c r="K90" i="11"/>
  <c r="L90" i="11"/>
  <c r="K235" i="4"/>
  <c r="L235" i="4"/>
  <c r="K94" i="11"/>
  <c r="L94" i="11"/>
  <c r="L60" i="8"/>
  <c r="K60" i="8"/>
  <c r="L85" i="11"/>
  <c r="K85" i="11"/>
  <c r="L95" i="11"/>
  <c r="K95" i="11"/>
  <c r="L14" i="12"/>
  <c r="O14" i="12"/>
  <c r="K14" i="12"/>
  <c r="K444" i="29"/>
  <c r="L444" i="29"/>
  <c r="L183" i="30"/>
  <c r="O183" i="30"/>
  <c r="K140" i="2"/>
  <c r="L140" i="2"/>
  <c r="K142" i="2"/>
  <c r="I142" i="2" s="1"/>
  <c r="O142" i="2"/>
  <c r="K73" i="4"/>
  <c r="I73" i="4" s="1"/>
  <c r="O73" i="4"/>
  <c r="K144" i="3"/>
  <c r="I144" i="3" s="1"/>
  <c r="O144" i="3"/>
  <c r="K21" i="3"/>
  <c r="I21" i="3" s="1"/>
  <c r="O21" i="3"/>
  <c r="L301" i="30"/>
  <c r="I301" i="30" s="1"/>
  <c r="L63" i="2"/>
  <c r="K63" i="2"/>
  <c r="O63" i="2"/>
  <c r="K128" i="3"/>
  <c r="I128" i="3" s="1"/>
  <c r="O128" i="3"/>
  <c r="O32" i="2"/>
  <c r="O43" i="5"/>
  <c r="K51" i="5"/>
  <c r="I51" i="5" s="1"/>
  <c r="O51" i="5"/>
  <c r="K99" i="3"/>
  <c r="I99" i="3" s="1"/>
  <c r="O99" i="3"/>
  <c r="K62" i="30"/>
  <c r="I62" i="30" s="1"/>
  <c r="O62" i="30"/>
  <c r="K74" i="29"/>
  <c r="I74" i="29" s="1"/>
  <c r="O74" i="29"/>
  <c r="K59" i="5"/>
  <c r="I59" i="5" s="1"/>
  <c r="O59" i="5"/>
  <c r="K70" i="30"/>
  <c r="I70" i="30" s="1"/>
  <c r="O70" i="30"/>
  <c r="K67" i="2"/>
  <c r="I67" i="2" s="1"/>
  <c r="L67" i="2"/>
  <c r="K19" i="29"/>
  <c r="L19" i="29"/>
  <c r="K307" i="30"/>
  <c r="L307" i="30"/>
  <c r="O25" i="29"/>
  <c r="K296" i="30"/>
  <c r="L46" i="29"/>
  <c r="I46" i="29" s="1"/>
  <c r="O46" i="29"/>
  <c r="L36" i="29"/>
  <c r="L15" i="29"/>
  <c r="K15" i="29"/>
  <c r="K41" i="29"/>
  <c r="L41" i="29"/>
  <c r="L14" i="29"/>
  <c r="L59" i="2"/>
  <c r="L16" i="29"/>
  <c r="L37" i="29"/>
  <c r="L34" i="29"/>
  <c r="K69" i="2"/>
  <c r="L305" i="30"/>
  <c r="K22" i="2"/>
  <c r="K61" i="2"/>
  <c r="I61" i="2" s="1"/>
  <c r="L298" i="30"/>
  <c r="K62" i="2"/>
  <c r="L62" i="2"/>
  <c r="K303" i="30"/>
  <c r="L303" i="30"/>
  <c r="K40" i="29"/>
  <c r="I40" i="29" s="1"/>
  <c r="I178" i="20" a="1"/>
  <c r="I178" i="20" s="1"/>
  <c r="I188" i="20" a="1"/>
  <c r="I188" i="20" s="1"/>
  <c r="I184" i="20" a="1"/>
  <c r="I184" i="20" s="1"/>
  <c r="I180" i="20" a="1"/>
  <c r="I180" i="20" s="1"/>
  <c r="I185" i="20" a="1"/>
  <c r="I185" i="20" s="1"/>
  <c r="I181" i="20" a="1"/>
  <c r="I181" i="20" s="1"/>
  <c r="I177" i="20" a="1"/>
  <c r="I177" i="20" s="1"/>
  <c r="I196" i="20" a="1"/>
  <c r="I196" i="20" s="1"/>
  <c r="I192" i="20" a="1"/>
  <c r="I192" i="20" s="1"/>
  <c r="I194" i="20" a="1"/>
  <c r="I194" i="20" s="1"/>
  <c r="I190" i="20" a="1"/>
  <c r="I190" i="20" s="1"/>
  <c r="I186" i="20" a="1"/>
  <c r="I186" i="20" s="1"/>
  <c r="I182" i="20" a="1"/>
  <c r="I182" i="20" s="1"/>
  <c r="I187" i="20" a="1"/>
  <c r="I187" i="20"/>
  <c r="I183" i="20" a="1"/>
  <c r="I183" i="20" s="1"/>
  <c r="I179" i="20" a="1"/>
  <c r="I179" i="20" s="1"/>
  <c r="I193" i="20" a="1"/>
  <c r="I193" i="20"/>
  <c r="I191" i="20" a="1"/>
  <c r="I191" i="20" s="1"/>
  <c r="I189" i="20" a="1"/>
  <c r="I189" i="20" s="1"/>
  <c r="I195" i="20" a="1"/>
  <c r="I195" i="20" s="1"/>
  <c r="I75" i="20" a="1"/>
  <c r="I75" i="20" s="1"/>
  <c r="I71" i="20" a="1"/>
  <c r="I71" i="20" s="1"/>
  <c r="I63" i="20" a="1"/>
  <c r="I63" i="20" s="1"/>
  <c r="I74" i="20" a="1"/>
  <c r="I74" i="20" s="1"/>
  <c r="I70" i="20" a="1"/>
  <c r="I70" i="20" s="1"/>
  <c r="I62" i="20" a="1"/>
  <c r="I62" i="20" s="1"/>
  <c r="I61" i="20" a="1"/>
  <c r="I61" i="20" s="1"/>
  <c r="I73" i="20" a="1"/>
  <c r="I73" i="20" s="1"/>
  <c r="I67" i="20" a="1"/>
  <c r="I67" i="20" s="1"/>
  <c r="I78" i="20" a="1"/>
  <c r="I78" i="20" s="1"/>
  <c r="I66" i="20" a="1"/>
  <c r="I66" i="20" s="1"/>
  <c r="I77" i="20" a="1"/>
  <c r="I77" i="20" s="1"/>
  <c r="I69" i="20" a="1"/>
  <c r="I69" i="20" s="1"/>
  <c r="I65" i="20" a="1"/>
  <c r="I65" i="20" s="1"/>
  <c r="I76" i="20" a="1"/>
  <c r="I76" i="20" s="1"/>
  <c r="I80" i="20" a="1"/>
  <c r="I80" i="20" s="1"/>
  <c r="I79" i="20" a="1"/>
  <c r="I79" i="20" s="1"/>
  <c r="I64" i="20" a="1"/>
  <c r="I64" i="20" s="1"/>
  <c r="I72" i="20" a="1"/>
  <c r="I72" i="20" s="1"/>
  <c r="I68" i="20" a="1"/>
  <c r="I68" i="20" s="1"/>
  <c r="G286" i="20" a="1"/>
  <c r="G286" i="20" s="1"/>
  <c r="G291" i="20" a="1"/>
  <c r="G291" i="20"/>
  <c r="G300" i="20" a="1"/>
  <c r="G300" i="20"/>
  <c r="G299" i="20" a="1"/>
  <c r="G299" i="20"/>
  <c r="G298" i="20" a="1"/>
  <c r="G298" i="20" s="1"/>
  <c r="G297" i="20" a="1"/>
  <c r="G297" i="20"/>
  <c r="G296" i="20" a="1"/>
  <c r="G296" i="20" s="1"/>
  <c r="G295" i="20" a="1"/>
  <c r="G295" i="20"/>
  <c r="G294" i="20" a="1"/>
  <c r="G294" i="20"/>
  <c r="G293" i="20" a="1"/>
  <c r="G293" i="20"/>
  <c r="G292" i="20" a="1"/>
  <c r="G292" i="20" s="1"/>
  <c r="G290" i="20" a="1"/>
  <c r="G290" i="20"/>
  <c r="G289" i="20" a="1"/>
  <c r="G289" i="20" s="1"/>
  <c r="G288" i="20" a="1"/>
  <c r="G288" i="20"/>
  <c r="G287" i="20" a="1"/>
  <c r="G287" i="20"/>
  <c r="G139" i="20" a="1"/>
  <c r="G139" i="20"/>
  <c r="G141" i="20" a="1"/>
  <c r="G141" i="20" s="1"/>
  <c r="G150" i="20" a="1"/>
  <c r="G150" i="20"/>
  <c r="C139" i="20" a="1"/>
  <c r="C139" i="20" s="1"/>
  <c r="C138" i="20" a="1"/>
  <c r="C138" i="20"/>
  <c r="E142" i="20" a="1"/>
  <c r="E142" i="20" s="1"/>
  <c r="B145" i="20" a="1"/>
  <c r="B145" i="20"/>
  <c r="E140" i="20" a="1"/>
  <c r="E140" i="20" s="1"/>
  <c r="E145" i="20" a="1"/>
  <c r="E145" i="20" s="1"/>
  <c r="B143" i="20" a="1"/>
  <c r="B143" i="20" s="1"/>
  <c r="E139" i="20" a="1"/>
  <c r="E139" i="20" s="1"/>
  <c r="E138" i="20" a="1"/>
  <c r="E138" i="20" s="1"/>
  <c r="B150" i="20" a="1"/>
  <c r="B150" i="20" s="1"/>
  <c r="C150" i="20" a="1"/>
  <c r="C150" i="20"/>
  <c r="C149" i="20" a="1"/>
  <c r="C149" i="20"/>
  <c r="C148" i="20" a="1"/>
  <c r="C148" i="20"/>
  <c r="C147" i="20" a="1"/>
  <c r="C147" i="20" s="1"/>
  <c r="C146" i="20" a="1"/>
  <c r="C146" i="20"/>
  <c r="C145" i="20" a="1"/>
  <c r="C145" i="20" s="1"/>
  <c r="C144" i="20" a="1"/>
  <c r="C144" i="20"/>
  <c r="C143" i="20" a="1"/>
  <c r="C143" i="20"/>
  <c r="C142" i="20" a="1"/>
  <c r="C142" i="20"/>
  <c r="C141" i="20" a="1"/>
  <c r="C141" i="20" s="1"/>
  <c r="C140" i="20" a="1"/>
  <c r="C140" i="20"/>
  <c r="C137" i="20" a="1"/>
  <c r="C137" i="20"/>
  <c r="E143" i="20" a="1"/>
  <c r="E143" i="20" s="1"/>
  <c r="B141" i="20" a="1"/>
  <c r="B141" i="20"/>
  <c r="B144" i="20" a="1"/>
  <c r="B144" i="20"/>
  <c r="G143" i="20" a="1"/>
  <c r="G143" i="20"/>
  <c r="B146" i="20" a="1"/>
  <c r="B146" i="20"/>
  <c r="E148" i="20" a="1"/>
  <c r="E148" i="20"/>
  <c r="E150" i="20" a="1"/>
  <c r="E150" i="20" s="1"/>
  <c r="E146" i="20" a="1"/>
  <c r="E146" i="20" s="1"/>
  <c r="G147" i="20" a="1"/>
  <c r="G147" i="20"/>
  <c r="E144" i="20" a="1"/>
  <c r="E144" i="20" s="1"/>
  <c r="G137" i="20" a="1"/>
  <c r="G137" i="20"/>
  <c r="G146" i="20" a="1"/>
  <c r="G146" i="20" s="1"/>
  <c r="G140" i="20" a="1"/>
  <c r="G140" i="20"/>
  <c r="B140" i="20" a="1"/>
  <c r="B140" i="20"/>
  <c r="B139" i="20" a="1"/>
  <c r="B139" i="20" s="1"/>
  <c r="E149" i="20" a="1"/>
  <c r="E149" i="20" s="1"/>
  <c r="B148" i="20" a="1"/>
  <c r="B148" i="20"/>
  <c r="B138" i="20" a="1"/>
  <c r="B138" i="20"/>
  <c r="B137" i="20" a="1"/>
  <c r="B137" i="20"/>
  <c r="B149" i="20" a="1"/>
  <c r="B149" i="20" s="1"/>
  <c r="B142" i="20" a="1"/>
  <c r="B142" i="20"/>
  <c r="G148" i="20" a="1"/>
  <c r="G148" i="20" s="1"/>
  <c r="B147" i="20" a="1"/>
  <c r="B147" i="20"/>
  <c r="G138" i="20" a="1"/>
  <c r="G138" i="20"/>
  <c r="E147" i="20" a="1"/>
  <c r="E147" i="20" s="1"/>
  <c r="E137" i="20" a="1"/>
  <c r="E137" i="20" s="1"/>
  <c r="G144" i="20" a="1"/>
  <c r="G144" i="20" s="1"/>
  <c r="G149" i="20" a="1"/>
  <c r="G149" i="20"/>
  <c r="G142" i="20" a="1"/>
  <c r="G142" i="20" s="1"/>
  <c r="G145" i="20" a="1"/>
  <c r="G145" i="20"/>
  <c r="E141" i="20" a="1"/>
  <c r="E141" i="20" s="1"/>
  <c r="C52" i="20" a="1"/>
  <c r="C52" i="20" s="1"/>
  <c r="C53" i="20" a="1"/>
  <c r="C53" i="20"/>
  <c r="C55" i="20" a="1"/>
  <c r="C55" i="20" s="1"/>
  <c r="C56" i="20" a="1"/>
  <c r="C56" i="20"/>
  <c r="G59" i="20" a="1"/>
  <c r="G59" i="20" s="1"/>
  <c r="B60" i="20" a="1"/>
  <c r="B60" i="20"/>
  <c r="E56" i="20" a="1"/>
  <c r="E56" i="20" s="1"/>
  <c r="B56" i="20" a="1"/>
  <c r="B56" i="20"/>
  <c r="E57" i="20" a="1"/>
  <c r="E57" i="20" s="1"/>
  <c r="C57" i="20" a="1"/>
  <c r="C57" i="20" s="1"/>
  <c r="C58" i="20" a="1"/>
  <c r="C58" i="20"/>
  <c r="C60" i="20" a="1"/>
  <c r="C60" i="20" s="1"/>
  <c r="B52" i="20" a="1"/>
  <c r="B52" i="20"/>
  <c r="G53" i="20" a="1"/>
  <c r="G53" i="20" s="1"/>
  <c r="G58" i="20" a="1"/>
  <c r="G58" i="20"/>
  <c r="G60" i="20" a="1"/>
  <c r="G60" i="20"/>
  <c r="I58" i="20" a="1"/>
  <c r="I58" i="20"/>
  <c r="E52" i="20" a="1"/>
  <c r="E52" i="20" s="1"/>
  <c r="C54" i="20" a="1"/>
  <c r="C54" i="20" s="1"/>
  <c r="B58" i="20" a="1"/>
  <c r="B58" i="20"/>
  <c r="B54" i="20" a="1"/>
  <c r="B54" i="20"/>
  <c r="G55" i="20" a="1"/>
  <c r="G55" i="20"/>
  <c r="E53" i="20" a="1"/>
  <c r="E53" i="20" s="1"/>
  <c r="B57" i="20" a="1"/>
  <c r="B57" i="20"/>
  <c r="E60" i="20" a="1"/>
  <c r="E60" i="20" s="1"/>
  <c r="B55" i="20" a="1"/>
  <c r="B55" i="20" s="1"/>
  <c r="G57" i="20" a="1"/>
  <c r="G57" i="20"/>
  <c r="B53" i="20" a="1"/>
  <c r="B53" i="20"/>
  <c r="B59" i="20" a="1"/>
  <c r="B59" i="20"/>
  <c r="E55" i="20" a="1"/>
  <c r="E55" i="20" s="1"/>
  <c r="E58" i="20" a="1"/>
  <c r="E58" i="20"/>
  <c r="I57" i="20" a="1"/>
  <c r="I57" i="20" s="1"/>
  <c r="I53" i="20" a="1"/>
  <c r="I53" i="20"/>
  <c r="I54" i="20" a="1"/>
  <c r="I54" i="20" s="1"/>
  <c r="I55" i="20" a="1"/>
  <c r="I55" i="20"/>
  <c r="I60" i="20" a="1"/>
  <c r="I60" i="20"/>
  <c r="I56" i="20" a="1"/>
  <c r="I56" i="20" s="1"/>
  <c r="I52" i="20" a="1"/>
  <c r="I52" i="20"/>
  <c r="I59" i="20" a="1"/>
  <c r="I59" i="20" s="1"/>
  <c r="E59" i="20" a="1"/>
  <c r="E59" i="20" s="1"/>
  <c r="G54" i="20" a="1"/>
  <c r="G54" i="20"/>
  <c r="G52" i="20" a="1"/>
  <c r="G52" i="20"/>
  <c r="C59" i="20" a="1"/>
  <c r="C59" i="20"/>
  <c r="E54" i="20" a="1"/>
  <c r="E54" i="20"/>
  <c r="D54" i="20" s="1"/>
  <c r="G56" i="20" a="1"/>
  <c r="G56" i="20" s="1"/>
  <c r="D155" i="20"/>
  <c r="D172" i="20"/>
  <c r="D153" i="20"/>
  <c r="D300" i="20"/>
  <c r="D295" i="20"/>
  <c r="D73" i="20"/>
  <c r="G97" i="20" a="1"/>
  <c r="G97" i="20" s="1"/>
  <c r="G110" i="20" a="1"/>
  <c r="G110" i="20" s="1"/>
  <c r="G98" i="20" a="1"/>
  <c r="G98" i="20" s="1"/>
  <c r="G99" i="20" a="1"/>
  <c r="G99" i="20"/>
  <c r="G106" i="20" a="1"/>
  <c r="G106" i="20"/>
  <c r="G112" i="20" a="1"/>
  <c r="G112" i="20" s="1"/>
  <c r="G111" i="20" a="1"/>
  <c r="G111" i="20" s="1"/>
  <c r="I113" i="20" a="1"/>
  <c r="I113" i="20" s="1"/>
  <c r="I109" i="20" a="1"/>
  <c r="I109" i="20" s="1"/>
  <c r="I101" i="20" a="1"/>
  <c r="I101" i="20" s="1"/>
  <c r="B112" i="20" a="1"/>
  <c r="B112" i="20" s="1"/>
  <c r="E107" i="20" a="1"/>
  <c r="E107" i="20" s="1"/>
  <c r="E108" i="20" a="1"/>
  <c r="E108" i="20" s="1"/>
  <c r="E109" i="20" a="1"/>
  <c r="E109" i="20" s="1"/>
  <c r="B107" i="20" a="1"/>
  <c r="B107" i="20" s="1"/>
  <c r="B111" i="20" a="1"/>
  <c r="B111" i="20"/>
  <c r="B104" i="20" a="1"/>
  <c r="B104" i="20" s="1"/>
  <c r="I97" i="20" a="1"/>
  <c r="I97" i="20" s="1"/>
  <c r="I112" i="20" a="1"/>
  <c r="I112" i="20" s="1"/>
  <c r="I108" i="20" a="1"/>
  <c r="I108" i="20" s="1"/>
  <c r="I104" i="20" a="1"/>
  <c r="I104" i="20"/>
  <c r="G105" i="20" a="1"/>
  <c r="G105" i="20"/>
  <c r="I100" i="20" a="1"/>
  <c r="I100" i="20"/>
  <c r="I96" i="20" a="1"/>
  <c r="I96" i="20" s="1"/>
  <c r="I111" i="20" a="1"/>
  <c r="I111" i="20" s="1"/>
  <c r="I103" i="20" a="1"/>
  <c r="I103" i="20" s="1"/>
  <c r="I99" i="20" a="1"/>
  <c r="I99" i="20"/>
  <c r="I95" i="20" a="1"/>
  <c r="I95" i="20" s="1"/>
  <c r="I110" i="20" a="1"/>
  <c r="I110" i="20"/>
  <c r="I102" i="20" a="1"/>
  <c r="I102" i="20"/>
  <c r="E102" i="20" a="1"/>
  <c r="E102" i="20" s="1"/>
  <c r="B99" i="20" a="1"/>
  <c r="B99" i="20" s="1"/>
  <c r="B98" i="20" a="1"/>
  <c r="B98" i="20" s="1"/>
  <c r="E112" i="20" a="1"/>
  <c r="E112" i="20" s="1"/>
  <c r="B109" i="20" a="1"/>
  <c r="B109" i="20" s="1"/>
  <c r="B96" i="20" a="1"/>
  <c r="B96" i="20"/>
  <c r="E106" i="20" a="1"/>
  <c r="E106" i="20" s="1"/>
  <c r="B105" i="20" a="1"/>
  <c r="B105" i="20" s="1"/>
  <c r="B97" i="20" a="1"/>
  <c r="B97" i="20"/>
  <c r="B102" i="20" a="1"/>
  <c r="B102" i="20" s="1"/>
  <c r="E97" i="20" a="1"/>
  <c r="E97" i="20" s="1"/>
  <c r="E105" i="20" a="1"/>
  <c r="E105" i="20" s="1"/>
  <c r="B106" i="20" a="1"/>
  <c r="B106" i="20" s="1"/>
  <c r="E98" i="20" a="1"/>
  <c r="E98" i="20" s="1"/>
  <c r="B101" i="20" a="1"/>
  <c r="B101" i="20"/>
  <c r="E111" i="20" a="1"/>
  <c r="E111" i="20" s="1"/>
  <c r="E99" i="20" a="1"/>
  <c r="E99" i="20" s="1"/>
  <c r="E96" i="20" a="1"/>
  <c r="E96" i="20" s="1"/>
  <c r="E110" i="20" a="1"/>
  <c r="E110" i="20" s="1"/>
  <c r="D110" i="20" s="1"/>
  <c r="E103" i="20" a="1"/>
  <c r="E103" i="20" s="1"/>
  <c r="D103" i="20" s="1"/>
  <c r="B113" i="20" a="1"/>
  <c r="B113" i="20" s="1"/>
  <c r="B103" i="20" a="1"/>
  <c r="B103" i="20" s="1"/>
  <c r="E113" i="20" a="1"/>
  <c r="E113" i="20" s="1"/>
  <c r="B114" i="20" a="1"/>
  <c r="B114" i="20"/>
  <c r="B100" i="20" a="1"/>
  <c r="B100" i="20"/>
  <c r="E101" i="20" a="1"/>
  <c r="E101" i="20" s="1"/>
  <c r="E114" i="20" a="1"/>
  <c r="E114" i="20" s="1"/>
  <c r="B108" i="20" a="1"/>
  <c r="B108" i="20" s="1"/>
  <c r="G100" i="20" a="1"/>
  <c r="G100" i="20"/>
  <c r="G102" i="20" a="1"/>
  <c r="G102" i="20" s="1"/>
  <c r="G108" i="20" a="1"/>
  <c r="G108" i="20" s="1"/>
  <c r="G113" i="20" a="1"/>
  <c r="G113" i="20" s="1"/>
  <c r="I105" i="20" a="1"/>
  <c r="I105" i="20" s="1"/>
  <c r="I107" i="20" a="1"/>
  <c r="I107" i="20" s="1"/>
  <c r="I114" i="20" a="1"/>
  <c r="I114" i="20" s="1"/>
  <c r="I106" i="20" a="1"/>
  <c r="I106" i="20" s="1"/>
  <c r="I98" i="20" a="1"/>
  <c r="I98" i="20" s="1"/>
  <c r="B110" i="20" a="1"/>
  <c r="B110" i="20"/>
  <c r="E104" i="20" a="1"/>
  <c r="E104" i="20" s="1"/>
  <c r="E100" i="20" a="1"/>
  <c r="E100" i="20" s="1"/>
  <c r="E95" i="20" a="1"/>
  <c r="E95" i="20" s="1"/>
  <c r="B95" i="20" a="1"/>
  <c r="B95" i="20" s="1"/>
  <c r="G101" i="20" a="1"/>
  <c r="G101" i="20"/>
  <c r="G95" i="20" a="1"/>
  <c r="G95" i="20" s="1"/>
  <c r="G103" i="20" a="1"/>
  <c r="G103" i="20" s="1"/>
  <c r="G109" i="20" a="1"/>
  <c r="G109" i="20" s="1"/>
  <c r="G114" i="20" a="1"/>
  <c r="G114" i="20" s="1"/>
  <c r="G96" i="20" a="1"/>
  <c r="G96" i="20"/>
  <c r="G104" i="20" a="1"/>
  <c r="G104" i="20"/>
  <c r="G107" i="20" a="1"/>
  <c r="G107" i="20"/>
  <c r="E799" i="60"/>
  <c r="E613" i="60"/>
  <c r="E797" i="60"/>
  <c r="E611" i="60"/>
  <c r="E1145" i="60"/>
  <c r="E1017" i="60"/>
  <c r="E645" i="60"/>
  <c r="E1144" i="60"/>
  <c r="E1016" i="60"/>
  <c r="E643" i="60"/>
  <c r="E1147" i="60"/>
  <c r="E1019" i="60"/>
  <c r="E648" i="60"/>
  <c r="E1157" i="60"/>
  <c r="E1124" i="60"/>
  <c r="E1156" i="60"/>
  <c r="E1123" i="60"/>
  <c r="I210" i="29"/>
  <c r="I279" i="29"/>
  <c r="I405" i="29"/>
  <c r="I283" i="29"/>
  <c r="I584" i="29"/>
  <c r="I247" i="29"/>
  <c r="I111" i="29"/>
  <c r="I412" i="29"/>
  <c r="I133" i="29"/>
  <c r="I130" i="29"/>
  <c r="I16" i="11"/>
  <c r="I8" i="11"/>
  <c r="K231" i="11"/>
  <c r="I231" i="11" s="1"/>
  <c r="L236" i="11"/>
  <c r="K203" i="11"/>
  <c r="I37" i="11"/>
  <c r="I7" i="11"/>
  <c r="O496" i="29"/>
  <c r="K496" i="29"/>
  <c r="L496" i="29"/>
  <c r="O42" i="11"/>
  <c r="U15" i="27" a="1"/>
  <c r="U15" i="27" s="1"/>
  <c r="U17" i="27" a="1"/>
  <c r="U17" i="27" s="1"/>
  <c r="U16" i="27" a="1"/>
  <c r="U16" i="27" s="1"/>
  <c r="I85" i="11"/>
  <c r="I90" i="11"/>
  <c r="O36" i="3"/>
  <c r="O28" i="3"/>
  <c r="O143" i="3"/>
  <c r="O58" i="5"/>
  <c r="O114" i="3"/>
  <c r="O135" i="3"/>
  <c r="O72" i="4"/>
  <c r="O50" i="5"/>
  <c r="O69" i="30"/>
  <c r="O20" i="3"/>
  <c r="O98" i="3"/>
  <c r="O61" i="30"/>
  <c r="O127" i="3"/>
  <c r="O64" i="4"/>
  <c r="O12" i="3"/>
  <c r="O37" i="29"/>
  <c r="O42" i="5"/>
  <c r="O54" i="2"/>
  <c r="O65" i="29"/>
  <c r="C5" i="20" a="1"/>
  <c r="C5" i="20" s="1"/>
  <c r="C6" i="20" a="1"/>
  <c r="C6" i="20" s="1"/>
  <c r="C7" i="20" a="1"/>
  <c r="C7" i="20" s="1"/>
  <c r="C8" i="20" a="1"/>
  <c r="C8" i="20" s="1"/>
  <c r="C9" i="20" a="1"/>
  <c r="C9" i="20" s="1"/>
  <c r="C10" i="20" a="1"/>
  <c r="C10" i="20" s="1"/>
  <c r="C11" i="20" a="1"/>
  <c r="C11" i="20" s="1"/>
  <c r="C12" i="20" a="1"/>
  <c r="C12" i="20" s="1"/>
  <c r="C13" i="20" a="1"/>
  <c r="C13" i="20" s="1"/>
  <c r="C14" i="20" a="1"/>
  <c r="C14" i="20" s="1"/>
  <c r="C15" i="20" a="1"/>
  <c r="C15" i="20" s="1"/>
  <c r="C16" i="20" a="1"/>
  <c r="C16" i="20" s="1"/>
  <c r="C17" i="20" a="1"/>
  <c r="C17" i="20" s="1"/>
  <c r="C18" i="20" a="1"/>
  <c r="C18" i="20" s="1"/>
  <c r="C19" i="20" a="1"/>
  <c r="C19" i="20" s="1"/>
  <c r="C20" i="20" a="1"/>
  <c r="C20" i="20" s="1"/>
  <c r="C21" i="20" a="1"/>
  <c r="C21" i="20" s="1"/>
  <c r="C22" i="20" a="1"/>
  <c r="C22" i="20" s="1"/>
  <c r="C23" i="20" a="1"/>
  <c r="C23" i="20" s="1"/>
  <c r="C24" i="20" a="1"/>
  <c r="C24" i="20" s="1"/>
  <c r="C25" i="20" a="1"/>
  <c r="C25" i="20" s="1"/>
  <c r="C26" i="20" a="1"/>
  <c r="C26" i="20" s="1"/>
  <c r="C27" i="20" a="1"/>
  <c r="C27" i="20" s="1"/>
  <c r="E179" i="20" a="1"/>
  <c r="E179" i="20" s="1"/>
  <c r="E180" i="20" a="1"/>
  <c r="E180" i="20" s="1"/>
  <c r="E181" i="20" a="1"/>
  <c r="E181" i="20"/>
  <c r="D181" i="20" s="1"/>
  <c r="E182" i="20" a="1"/>
  <c r="E182" i="20" s="1"/>
  <c r="E183" i="20" a="1"/>
  <c r="E183" i="20" s="1"/>
  <c r="E184" i="20" a="1"/>
  <c r="E184" i="20" s="1"/>
  <c r="D184" i="20" s="1"/>
  <c r="E185" i="20" a="1"/>
  <c r="E185" i="20" s="1"/>
  <c r="E186" i="20" a="1"/>
  <c r="E186" i="20" s="1"/>
  <c r="D186" i="20" s="1"/>
  <c r="E187" i="20" a="1"/>
  <c r="E187" i="20" s="1"/>
  <c r="D187" i="20" s="1"/>
  <c r="E188" i="20" a="1"/>
  <c r="E188" i="20"/>
  <c r="D188" i="20" s="1"/>
  <c r="E189" i="20" a="1"/>
  <c r="E189" i="20" s="1"/>
  <c r="D189" i="20" s="1"/>
  <c r="E190" i="20" a="1"/>
  <c r="E190" i="20" s="1"/>
  <c r="E191" i="20" a="1"/>
  <c r="E191" i="20" s="1"/>
  <c r="D191" i="20" s="1"/>
  <c r="E192" i="20" a="1"/>
  <c r="E192" i="20" s="1"/>
  <c r="E193" i="20" a="1"/>
  <c r="E193" i="20" s="1"/>
  <c r="D193" i="20" s="1"/>
  <c r="E194" i="20" a="1"/>
  <c r="E194" i="20" s="1"/>
  <c r="E195" i="20" a="1"/>
  <c r="E195" i="20" s="1"/>
  <c r="E196" i="20" a="1"/>
  <c r="E196" i="20" s="1"/>
  <c r="D196" i="20" s="1"/>
  <c r="F219" i="20" a="1"/>
  <c r="F219" i="20" s="1"/>
  <c r="F220" i="20" a="1"/>
  <c r="F220" i="20" s="1"/>
  <c r="F221" i="20" a="1"/>
  <c r="F221" i="20" s="1"/>
  <c r="F222" i="20" a="1"/>
  <c r="F222" i="20" s="1"/>
  <c r="F223" i="20" a="1"/>
  <c r="F223" i="20" s="1"/>
  <c r="F224" i="20" a="1"/>
  <c r="F224" i="20" s="1"/>
  <c r="F225" i="20" a="1"/>
  <c r="F225" i="20" s="1"/>
  <c r="F226" i="20" a="1"/>
  <c r="F226" i="20" s="1"/>
  <c r="F227" i="20" a="1"/>
  <c r="F227" i="20" s="1"/>
  <c r="F228" i="20" a="1"/>
  <c r="F228" i="20" s="1"/>
  <c r="F229" i="20" a="1"/>
  <c r="F229" i="20" s="1"/>
  <c r="F230" i="20" a="1"/>
  <c r="F230" i="20" s="1"/>
  <c r="F231" i="20" a="1"/>
  <c r="F231" i="20" s="1"/>
  <c r="F232" i="20" a="1"/>
  <c r="F232" i="20" s="1"/>
  <c r="F233" i="20" a="1"/>
  <c r="F233" i="20" s="1"/>
  <c r="F234" i="20" a="1"/>
  <c r="F234" i="20" s="1"/>
  <c r="F235" i="20" a="1"/>
  <c r="F235" i="20" s="1"/>
  <c r="F236" i="20" a="1"/>
  <c r="F236" i="20" s="1"/>
  <c r="F237" i="20" a="1"/>
  <c r="F237" i="20" s="1"/>
  <c r="F238" i="20" a="1"/>
  <c r="F238" i="20" s="1"/>
  <c r="F239" i="20" a="1"/>
  <c r="F239" i="20" s="1"/>
  <c r="F240" i="20" a="1"/>
  <c r="F240" i="20" s="1"/>
  <c r="F241" i="20" a="1"/>
  <c r="F241" i="20" s="1"/>
  <c r="I86" i="20" a="1"/>
  <c r="I86" i="20" s="1"/>
  <c r="B89" i="20" a="1"/>
  <c r="B89" i="20" s="1"/>
  <c r="Z83" i="62" a="1"/>
  <c r="B82" i="62" a="1"/>
  <c r="Z82" i="62" a="1"/>
  <c r="W83" i="62" a="1"/>
  <c r="E83" i="62" a="1"/>
  <c r="O82" i="62" a="1"/>
  <c r="F83" i="62" a="1"/>
  <c r="Q82" i="62" a="1"/>
  <c r="N83" i="62" a="1"/>
  <c r="D83" i="62" a="1"/>
  <c r="O83" i="62" a="1"/>
  <c r="W82" i="62" a="1"/>
  <c r="K83" i="62" a="1"/>
  <c r="N82" i="62" a="1"/>
  <c r="G83" i="62" a="1"/>
  <c r="C82" i="62" a="1"/>
  <c r="Q83" i="62" a="1"/>
  <c r="R82" i="62" a="1"/>
  <c r="L82" i="62" a="1"/>
  <c r="H82" i="62" a="1"/>
  <c r="K82" i="62" a="1"/>
  <c r="X83" i="62" a="1"/>
  <c r="X82" i="62" a="1"/>
  <c r="G82" i="62" a="1"/>
  <c r="S82" i="62" a="1"/>
  <c r="M83" i="62" a="1"/>
  <c r="L83" i="62" a="1"/>
  <c r="I82" i="62" a="1"/>
  <c r="AB82" i="62" a="1"/>
  <c r="T83" i="62" a="1"/>
  <c r="V82" i="62" a="1"/>
  <c r="Y83" i="62" a="1"/>
  <c r="S83" i="62" a="1"/>
  <c r="R83" i="62" a="1"/>
  <c r="AB83" i="62" a="1"/>
  <c r="AA82" i="62" a="1"/>
  <c r="F82" i="62" a="1"/>
  <c r="B83" i="62" a="1"/>
  <c r="C83" i="62" a="1"/>
  <c r="J82" i="62" a="1"/>
  <c r="I83" i="62" a="1"/>
  <c r="U82" i="62" a="1"/>
  <c r="Y82" i="62" a="1"/>
  <c r="E82" i="62" a="1"/>
  <c r="V83" i="62" a="1"/>
  <c r="M82" i="62" a="1"/>
  <c r="AA83" i="62" a="1"/>
  <c r="D82" i="62" a="1"/>
  <c r="J83" i="62" a="1"/>
  <c r="U83" i="62" a="1"/>
  <c r="P82" i="62" a="1"/>
  <c r="P83" i="62" a="1"/>
  <c r="T82" i="62" a="1"/>
  <c r="H83" i="62" a="1"/>
  <c r="D144" i="20" l="1"/>
  <c r="L58" i="8"/>
  <c r="I49" i="29"/>
  <c r="I570" i="29"/>
  <c r="I496" i="29"/>
  <c r="D148" i="20"/>
  <c r="L200" i="30"/>
  <c r="I251" i="3"/>
  <c r="I316" i="29"/>
  <c r="I296" i="30"/>
  <c r="D185" i="20"/>
  <c r="K68" i="30"/>
  <c r="I68" i="30" s="1"/>
  <c r="I92" i="8"/>
  <c r="I239" i="30"/>
  <c r="I100" i="30"/>
  <c r="L104" i="4"/>
  <c r="I104" i="4" s="1"/>
  <c r="L104" i="2"/>
  <c r="I104" i="2" s="1"/>
  <c r="L78" i="9"/>
  <c r="K78" i="9"/>
  <c r="I78" i="9" s="1"/>
  <c r="I240" i="30"/>
  <c r="L137" i="4"/>
  <c r="K137" i="4"/>
  <c r="I141" i="20" a="1"/>
  <c r="I141" i="20" s="1"/>
  <c r="I146" i="20" a="1"/>
  <c r="I146" i="20" s="1"/>
  <c r="I66" i="11"/>
  <c r="I109" i="11"/>
  <c r="I342" i="29"/>
  <c r="I368" i="29"/>
  <c r="I457" i="29"/>
  <c r="I379" i="29"/>
  <c r="K260" i="29"/>
  <c r="I191" i="30"/>
  <c r="I67" i="8"/>
  <c r="I86" i="3"/>
  <c r="I95" i="29"/>
  <c r="K202" i="3"/>
  <c r="I214" i="30"/>
  <c r="K56" i="30"/>
  <c r="I56" i="30" s="1"/>
  <c r="K29" i="7"/>
  <c r="I29" i="7" s="1"/>
  <c r="I76" i="30"/>
  <c r="L205" i="30"/>
  <c r="I205" i="30" s="1"/>
  <c r="L103" i="4"/>
  <c r="I103" i="4" s="1"/>
  <c r="L138" i="30"/>
  <c r="L136" i="30" s="1"/>
  <c r="L39" i="7"/>
  <c r="K39" i="7"/>
  <c r="L242" i="3"/>
  <c r="K242" i="3"/>
  <c r="K128" i="4"/>
  <c r="L128" i="4"/>
  <c r="J11" i="27"/>
  <c r="D147" i="20"/>
  <c r="J21" i="27"/>
  <c r="I24" i="11"/>
  <c r="I415" i="29"/>
  <c r="K325" i="29"/>
  <c r="I49" i="9"/>
  <c r="I416" i="29"/>
  <c r="K69" i="30"/>
  <c r="I69" i="30" s="1"/>
  <c r="B56" i="62"/>
  <c r="C56" i="62" s="1"/>
  <c r="D56" i="62" s="1"/>
  <c r="E56" i="62" s="1"/>
  <c r="F56" i="62" s="1"/>
  <c r="G56" i="62" s="1"/>
  <c r="H56" i="62" s="1"/>
  <c r="I56" i="62" s="1"/>
  <c r="J56" i="62" s="1"/>
  <c r="K56" i="62" s="1"/>
  <c r="L56" i="62" s="1"/>
  <c r="M56" i="62" s="1"/>
  <c r="N56" i="62" s="1"/>
  <c r="O56" i="62" s="1"/>
  <c r="P56" i="62" s="1"/>
  <c r="Q56" i="62" s="1"/>
  <c r="R56" i="62" s="1"/>
  <c r="S56" i="62" s="1"/>
  <c r="T56" i="62" s="1"/>
  <c r="U56" i="62" s="1"/>
  <c r="V56" i="62" s="1"/>
  <c r="W56" i="62" s="1"/>
  <c r="X56" i="62" s="1"/>
  <c r="Y56" i="62" s="1"/>
  <c r="Z56" i="62" s="1"/>
  <c r="AA56" i="62" s="1"/>
  <c r="AB56" i="62" s="1"/>
  <c r="AC56" i="62" s="1"/>
  <c r="I21" i="8"/>
  <c r="I215" i="3"/>
  <c r="K113" i="4"/>
  <c r="I113" i="4" s="1"/>
  <c r="L113" i="4"/>
  <c r="I137" i="20" a="1"/>
  <c r="I137" i="20" s="1"/>
  <c r="F52" i="20" a="1"/>
  <c r="F52" i="20" s="1"/>
  <c r="D52" i="20" s="1"/>
  <c r="I85" i="30"/>
  <c r="I147" i="20" a="1"/>
  <c r="I147" i="20" s="1"/>
  <c r="F53" i="20" a="1"/>
  <c r="F53" i="20" s="1"/>
  <c r="D53" i="20" s="1"/>
  <c r="I76" i="3"/>
  <c r="I58" i="11"/>
  <c r="I122" i="11"/>
  <c r="I140" i="11"/>
  <c r="I67" i="11"/>
  <c r="I10" i="11"/>
  <c r="I25" i="11"/>
  <c r="I112" i="11"/>
  <c r="I174" i="29"/>
  <c r="I575" i="29"/>
  <c r="I187" i="30"/>
  <c r="I183" i="4"/>
  <c r="L181" i="30"/>
  <c r="K305" i="30"/>
  <c r="I101" i="30"/>
  <c r="I94" i="30"/>
  <c r="I82" i="8"/>
  <c r="I19" i="8"/>
  <c r="K79" i="2"/>
  <c r="L79" i="2"/>
  <c r="I142" i="20" a="1"/>
  <c r="I142" i="20" s="1"/>
  <c r="I30" i="6"/>
  <c r="I143" i="30"/>
  <c r="I138" i="20" a="1"/>
  <c r="I138" i="20" s="1"/>
  <c r="I148" i="20" a="1"/>
  <c r="I148" i="20" s="1"/>
  <c r="I596" i="29"/>
  <c r="I532" i="29"/>
  <c r="I11" i="8"/>
  <c r="B26" i="62"/>
  <c r="C26" i="62" s="1"/>
  <c r="D26" i="62" s="1"/>
  <c r="E26" i="62" s="1"/>
  <c r="F26" i="62" s="1"/>
  <c r="G26" i="62" s="1"/>
  <c r="H26" i="62" s="1"/>
  <c r="I26" i="62" s="1"/>
  <c r="J26" i="62" s="1"/>
  <c r="K26" i="62" s="1"/>
  <c r="L26" i="62" s="1"/>
  <c r="M26" i="62" s="1"/>
  <c r="N26" i="62" s="1"/>
  <c r="O26" i="62" s="1"/>
  <c r="P26" i="62" s="1"/>
  <c r="Q26" i="62" s="1"/>
  <c r="R26" i="62" s="1"/>
  <c r="S26" i="62" s="1"/>
  <c r="T26" i="62" s="1"/>
  <c r="U26" i="62" s="1"/>
  <c r="V26" i="62" s="1"/>
  <c r="W26" i="62" s="1"/>
  <c r="X26" i="62" s="1"/>
  <c r="Y26" i="62" s="1"/>
  <c r="Z26" i="62" s="1"/>
  <c r="AA26" i="62" s="1"/>
  <c r="AB26" i="62" s="1"/>
  <c r="AC26" i="62" s="1"/>
  <c r="B44" i="62"/>
  <c r="C44" i="62" s="1"/>
  <c r="D44" i="62" s="1"/>
  <c r="E44" i="62" s="1"/>
  <c r="F44" i="62" s="1"/>
  <c r="G44" i="62" s="1"/>
  <c r="H44" i="62" s="1"/>
  <c r="I44" i="62" s="1"/>
  <c r="J44" i="62" s="1"/>
  <c r="K44" i="62" s="1"/>
  <c r="L44" i="62" s="1"/>
  <c r="M44" i="62" s="1"/>
  <c r="N44" i="62" s="1"/>
  <c r="O44" i="62" s="1"/>
  <c r="P44" i="62" s="1"/>
  <c r="Q44" i="62" s="1"/>
  <c r="R44" i="62" s="1"/>
  <c r="S44" i="62" s="1"/>
  <c r="T44" i="62" s="1"/>
  <c r="U44" i="62" s="1"/>
  <c r="V44" i="62" s="1"/>
  <c r="W44" i="62" s="1"/>
  <c r="X44" i="62" s="1"/>
  <c r="Y44" i="62" s="1"/>
  <c r="Z44" i="62" s="1"/>
  <c r="AA44" i="62" s="1"/>
  <c r="AB44" i="62" s="1"/>
  <c r="AC44" i="62" s="1"/>
  <c r="I124" i="11"/>
  <c r="I143" i="11"/>
  <c r="I125" i="29"/>
  <c r="I132" i="29"/>
  <c r="I345" i="29"/>
  <c r="I413" i="29"/>
  <c r="I477" i="29"/>
  <c r="I246" i="29"/>
  <c r="I284" i="29"/>
  <c r="I172" i="29"/>
  <c r="I150" i="9"/>
  <c r="I421" i="29"/>
  <c r="I404" i="29"/>
  <c r="I90" i="7"/>
  <c r="K244" i="30"/>
  <c r="K57" i="5"/>
  <c r="I57" i="5" s="1"/>
  <c r="K67" i="30"/>
  <c r="I67" i="30" s="1"/>
  <c r="D288" i="20"/>
  <c r="I93" i="8"/>
  <c r="L184" i="3"/>
  <c r="B49" i="62"/>
  <c r="C49" i="62" s="1"/>
  <c r="D49" i="62" s="1"/>
  <c r="E49" i="62" s="1"/>
  <c r="F49" i="62" s="1"/>
  <c r="G49" i="62" s="1"/>
  <c r="H49" i="62" s="1"/>
  <c r="I49" i="62" s="1"/>
  <c r="J49" i="62" s="1"/>
  <c r="K49" i="62" s="1"/>
  <c r="L49" i="62" s="1"/>
  <c r="M49" i="62" s="1"/>
  <c r="N49" i="62" s="1"/>
  <c r="O49" i="62" s="1"/>
  <c r="P49" i="62" s="1"/>
  <c r="Q49" i="62" s="1"/>
  <c r="R49" i="62" s="1"/>
  <c r="S49" i="62" s="1"/>
  <c r="T49" i="62" s="1"/>
  <c r="U49" i="62" s="1"/>
  <c r="V49" i="62" s="1"/>
  <c r="W49" i="62" s="1"/>
  <c r="X49" i="62" s="1"/>
  <c r="Y49" i="62" s="1"/>
  <c r="Z49" i="62" s="1"/>
  <c r="AA49" i="62" s="1"/>
  <c r="AB49" i="62" s="1"/>
  <c r="AC49" i="62" s="1"/>
  <c r="I159" i="3"/>
  <c r="B57" i="62"/>
  <c r="C57" i="62" s="1"/>
  <c r="D57" i="62" s="1"/>
  <c r="E57" i="62" s="1"/>
  <c r="F57" i="62" s="1"/>
  <c r="G57" i="62" s="1"/>
  <c r="H57" i="62" s="1"/>
  <c r="I57" i="62" s="1"/>
  <c r="J57" i="62" s="1"/>
  <c r="K57" i="62" s="1"/>
  <c r="L57" i="62" s="1"/>
  <c r="M57" i="62" s="1"/>
  <c r="N57" i="62" s="1"/>
  <c r="O57" i="62" s="1"/>
  <c r="P57" i="62" s="1"/>
  <c r="Q57" i="62" s="1"/>
  <c r="R57" i="62" s="1"/>
  <c r="S57" i="62" s="1"/>
  <c r="T57" i="62" s="1"/>
  <c r="U57" i="62" s="1"/>
  <c r="V57" i="62" s="1"/>
  <c r="W57" i="62" s="1"/>
  <c r="X57" i="62" s="1"/>
  <c r="Y57" i="62" s="1"/>
  <c r="Z57" i="62" s="1"/>
  <c r="AA57" i="62" s="1"/>
  <c r="AB57" i="62" s="1"/>
  <c r="AC57" i="62" s="1"/>
  <c r="H23" i="24"/>
  <c r="B9" i="62"/>
  <c r="C9" i="62" s="1"/>
  <c r="D9" i="62" s="1"/>
  <c r="E9" i="62" s="1"/>
  <c r="F9" i="62" s="1"/>
  <c r="G9" i="62" s="1"/>
  <c r="H9" i="62" s="1"/>
  <c r="I9" i="62" s="1"/>
  <c r="J9" i="62" s="1"/>
  <c r="K9" i="62" s="1"/>
  <c r="L9" i="62" s="1"/>
  <c r="M9" i="62" s="1"/>
  <c r="N9" i="62" s="1"/>
  <c r="O9" i="62" s="1"/>
  <c r="P9" i="62" s="1"/>
  <c r="Q9" i="62" s="1"/>
  <c r="R9" i="62" s="1"/>
  <c r="S9" i="62" s="1"/>
  <c r="T9" i="62" s="1"/>
  <c r="U9" i="62" s="1"/>
  <c r="V9" i="62" s="1"/>
  <c r="W9" i="62" s="1"/>
  <c r="X9" i="62" s="1"/>
  <c r="Y9" i="62" s="1"/>
  <c r="Z9" i="62" s="1"/>
  <c r="AA9" i="62" s="1"/>
  <c r="AB9" i="62" s="1"/>
  <c r="AC9" i="62" s="1"/>
  <c r="I149" i="20" a="1"/>
  <c r="I149" i="20" s="1"/>
  <c r="I167" i="30"/>
  <c r="I139" i="20" a="1"/>
  <c r="I139" i="20" s="1"/>
  <c r="I126" i="29"/>
  <c r="I41" i="8"/>
  <c r="I334" i="29"/>
  <c r="I50" i="29"/>
  <c r="D296" i="20"/>
  <c r="D171" i="20"/>
  <c r="L81" i="30"/>
  <c r="I77" i="11"/>
  <c r="I125" i="11"/>
  <c r="I128" i="11"/>
  <c r="I543" i="29"/>
  <c r="I282" i="29"/>
  <c r="I585" i="29"/>
  <c r="I573" i="29"/>
  <c r="I233" i="29"/>
  <c r="I15" i="7"/>
  <c r="I569" i="29"/>
  <c r="I176" i="3"/>
  <c r="L116" i="2"/>
  <c r="L115" i="2" s="1"/>
  <c r="D125" i="20"/>
  <c r="I223" i="30"/>
  <c r="D292" i="20"/>
  <c r="F60" i="20" a="1"/>
  <c r="F60" i="20" s="1"/>
  <c r="D60" i="20" s="1"/>
  <c r="F59" i="20" a="1"/>
  <c r="F59" i="20" s="1"/>
  <c r="D59" i="20" s="1"/>
  <c r="F55" i="20" a="1"/>
  <c r="F55" i="20" s="1"/>
  <c r="F58" i="20" a="1"/>
  <c r="F58" i="20" s="1"/>
  <c r="D58" i="20" s="1"/>
  <c r="F57" i="20" a="1"/>
  <c r="F57" i="20" s="1"/>
  <c r="F56" i="20" a="1"/>
  <c r="F56" i="20" s="1"/>
  <c r="D56" i="20" s="1"/>
  <c r="F150" i="20" a="1"/>
  <c r="F150" i="20" s="1"/>
  <c r="F138" i="20" a="1"/>
  <c r="F138" i="20" s="1"/>
  <c r="D138" i="20" s="1"/>
  <c r="F149" i="20" a="1"/>
  <c r="F149" i="20" s="1"/>
  <c r="D149" i="20" s="1"/>
  <c r="F137" i="20" a="1"/>
  <c r="F137" i="20" s="1"/>
  <c r="D137" i="20" s="1"/>
  <c r="F147" i="20" a="1"/>
  <c r="F147" i="20" s="1"/>
  <c r="F146" i="20" a="1"/>
  <c r="F146" i="20" s="1"/>
  <c r="D146" i="20" s="1"/>
  <c r="F144" i="20" a="1"/>
  <c r="F144" i="20" s="1"/>
  <c r="F142" i="20" a="1"/>
  <c r="F142" i="20" s="1"/>
  <c r="D142" i="20" s="1"/>
  <c r="I144" i="20" a="1"/>
  <c r="I144" i="20" s="1"/>
  <c r="F148" i="20" a="1"/>
  <c r="F148" i="20" s="1"/>
  <c r="F145" i="20" a="1"/>
  <c r="F145" i="20" s="1"/>
  <c r="D145" i="20" s="1"/>
  <c r="F143" i="20" a="1"/>
  <c r="F143" i="20" s="1"/>
  <c r="D143" i="20" s="1"/>
  <c r="I143" i="20" a="1"/>
  <c r="I143" i="20" s="1"/>
  <c r="F141" i="20" a="1"/>
  <c r="F141" i="20" s="1"/>
  <c r="D141" i="20" s="1"/>
  <c r="F140" i="20" a="1"/>
  <c r="F140" i="20" s="1"/>
  <c r="D140" i="20" s="1"/>
  <c r="F139" i="20" a="1"/>
  <c r="F139" i="20" s="1"/>
  <c r="D139" i="20" s="1"/>
  <c r="I165" i="3"/>
  <c r="D177" i="20"/>
  <c r="J242" i="20"/>
  <c r="P4" i="29"/>
  <c r="O4" i="29"/>
  <c r="O28" i="20" s="1"/>
  <c r="I135" i="11"/>
  <c r="I116" i="11"/>
  <c r="I551" i="29"/>
  <c r="I558" i="29"/>
  <c r="I383" i="29"/>
  <c r="I390" i="29"/>
  <c r="I486" i="29"/>
  <c r="I574" i="29"/>
  <c r="I90" i="4"/>
  <c r="I34" i="29"/>
  <c r="I77" i="8"/>
  <c r="L43" i="3"/>
  <c r="K43" i="3"/>
  <c r="D24" i="24"/>
  <c r="B23" i="62"/>
  <c r="C23" i="62" s="1"/>
  <c r="D23" i="62" s="1"/>
  <c r="E23" i="62" s="1"/>
  <c r="F23" i="62" s="1"/>
  <c r="G23" i="62" s="1"/>
  <c r="H23" i="62" s="1"/>
  <c r="I23" i="62" s="1"/>
  <c r="J23" i="62" s="1"/>
  <c r="K23" i="62" s="1"/>
  <c r="L23" i="62" s="1"/>
  <c r="M23" i="62" s="1"/>
  <c r="N23" i="62" s="1"/>
  <c r="O23" i="62" s="1"/>
  <c r="P23" i="62" s="1"/>
  <c r="Q23" i="62" s="1"/>
  <c r="R23" i="62" s="1"/>
  <c r="S23" i="62" s="1"/>
  <c r="T23" i="62" s="1"/>
  <c r="U23" i="62" s="1"/>
  <c r="V23" i="62" s="1"/>
  <c r="W23" i="62" s="1"/>
  <c r="X23" i="62" s="1"/>
  <c r="Y23" i="62" s="1"/>
  <c r="Z23" i="62" s="1"/>
  <c r="AA23" i="62" s="1"/>
  <c r="AB23" i="62" s="1"/>
  <c r="AC23" i="62" s="1"/>
  <c r="B47" i="62"/>
  <c r="C47" i="62" s="1"/>
  <c r="D47" i="62" s="1"/>
  <c r="E47" i="62" s="1"/>
  <c r="F47" i="62" s="1"/>
  <c r="G47" i="62" s="1"/>
  <c r="H47" i="62" s="1"/>
  <c r="I47" i="62" s="1"/>
  <c r="J47" i="62" s="1"/>
  <c r="K47" i="62" s="1"/>
  <c r="L47" i="62" s="1"/>
  <c r="M47" i="62" s="1"/>
  <c r="N47" i="62" s="1"/>
  <c r="O47" i="62" s="1"/>
  <c r="P47" i="62" s="1"/>
  <c r="Q47" i="62" s="1"/>
  <c r="R47" i="62" s="1"/>
  <c r="S47" i="62" s="1"/>
  <c r="T47" i="62" s="1"/>
  <c r="U47" i="62" s="1"/>
  <c r="V47" i="62" s="1"/>
  <c r="W47" i="62" s="1"/>
  <c r="X47" i="62" s="1"/>
  <c r="Y47" i="62" s="1"/>
  <c r="Z47" i="62" s="1"/>
  <c r="AA47" i="62" s="1"/>
  <c r="AB47" i="62" s="1"/>
  <c r="AC47" i="62" s="1"/>
  <c r="B65" i="62"/>
  <c r="C65" i="62" s="1"/>
  <c r="D65" i="62" s="1"/>
  <c r="E65" i="62" s="1"/>
  <c r="F65" i="62" s="1"/>
  <c r="G65" i="62" s="1"/>
  <c r="H65" i="62" s="1"/>
  <c r="I65" i="62" s="1"/>
  <c r="J65" i="62" s="1"/>
  <c r="K65" i="62" s="1"/>
  <c r="L65" i="62" s="1"/>
  <c r="M65" i="62" s="1"/>
  <c r="N65" i="62" s="1"/>
  <c r="O65" i="62" s="1"/>
  <c r="P65" i="62" s="1"/>
  <c r="Q65" i="62" s="1"/>
  <c r="R65" i="62" s="1"/>
  <c r="S65" i="62" s="1"/>
  <c r="T65" i="62" s="1"/>
  <c r="U65" i="62" s="1"/>
  <c r="V65" i="62" s="1"/>
  <c r="W65" i="62" s="1"/>
  <c r="X65" i="62" s="1"/>
  <c r="Y65" i="62" s="1"/>
  <c r="Z65" i="62" s="1"/>
  <c r="AA65" i="62" s="1"/>
  <c r="AB65" i="62" s="1"/>
  <c r="AC65" i="62" s="1"/>
  <c r="I45" i="8"/>
  <c r="C116" i="20" a="1"/>
  <c r="C116" i="20" s="1"/>
  <c r="C132" i="20" a="1"/>
  <c r="C132" i="20" s="1"/>
  <c r="F174" i="20" a="1"/>
  <c r="F174" i="20" s="1"/>
  <c r="F162" i="20" a="1"/>
  <c r="F162" i="20" s="1"/>
  <c r="F173" i="20" a="1"/>
  <c r="F173" i="20" s="1"/>
  <c r="F161" i="20" a="1"/>
  <c r="F161" i="20" s="1"/>
  <c r="F171" i="20" a="1"/>
  <c r="F171" i="20" s="1"/>
  <c r="F159" i="20" a="1"/>
  <c r="F159" i="20" s="1"/>
  <c r="D159" i="20" s="1"/>
  <c r="F170" i="20" a="1"/>
  <c r="F170" i="20" s="1"/>
  <c r="F158" i="20" a="1"/>
  <c r="F158" i="20" s="1"/>
  <c r="C172" i="20" a="1"/>
  <c r="C172" i="20" s="1"/>
  <c r="C166" i="20" a="1"/>
  <c r="C166" i="20" s="1"/>
  <c r="C160" i="20" a="1"/>
  <c r="C160" i="20" s="1"/>
  <c r="C154" i="20" a="1"/>
  <c r="C154" i="20" s="1"/>
  <c r="E161" i="20" a="1"/>
  <c r="E161" i="20" s="1"/>
  <c r="D161" i="20" s="1"/>
  <c r="F168" i="20" a="1"/>
  <c r="F168" i="20" s="1"/>
  <c r="D168" i="20" s="1"/>
  <c r="F156" i="20" a="1"/>
  <c r="F156" i="20" s="1"/>
  <c r="F166" i="20" a="1"/>
  <c r="F166" i="20" s="1"/>
  <c r="D166" i="20" s="1"/>
  <c r="F154" i="20" a="1"/>
  <c r="F154" i="20" s="1"/>
  <c r="D154" i="20" s="1"/>
  <c r="C176" i="20" a="1"/>
  <c r="C176" i="20" s="1"/>
  <c r="C170" i="20" a="1"/>
  <c r="C170" i="20" s="1"/>
  <c r="C164" i="20" a="1"/>
  <c r="C164" i="20" s="1"/>
  <c r="C158" i="20" a="1"/>
  <c r="C158" i="20" s="1"/>
  <c r="C152" i="20" a="1"/>
  <c r="C152" i="20" s="1"/>
  <c r="F136" i="20" a="1"/>
  <c r="F136" i="20" s="1"/>
  <c r="D136" i="20" s="1"/>
  <c r="F160" i="20" a="1"/>
  <c r="F160" i="20" s="1"/>
  <c r="D160" i="20" s="1"/>
  <c r="C287" i="20" a="1"/>
  <c r="C287" i="20" s="1"/>
  <c r="C125" i="20" a="1"/>
  <c r="C125" i="20" s="1"/>
  <c r="C133" i="20" a="1"/>
  <c r="C133" i="20" s="1"/>
  <c r="C155" i="20" a="1"/>
  <c r="C155" i="20" s="1"/>
  <c r="F115" i="20" a="1"/>
  <c r="F115" i="20" s="1"/>
  <c r="D115" i="20" s="1"/>
  <c r="F163" i="20" a="1"/>
  <c r="F163" i="20" s="1"/>
  <c r="D163" i="20" s="1"/>
  <c r="F283" i="20" a="1"/>
  <c r="F283" i="20" s="1"/>
  <c r="D283" i="20" s="1"/>
  <c r="C294" i="20" a="1"/>
  <c r="C294" i="20" s="1"/>
  <c r="C118" i="20" a="1"/>
  <c r="C118" i="20" s="1"/>
  <c r="C163" i="20" a="1"/>
  <c r="C163" i="20" s="1"/>
  <c r="C171" i="20" a="1"/>
  <c r="C171" i="20" s="1"/>
  <c r="F116" i="20" a="1"/>
  <c r="F116" i="20" s="1"/>
  <c r="D116" i="20" s="1"/>
  <c r="F164" i="20" a="1"/>
  <c r="F164" i="20" s="1"/>
  <c r="D164" i="20" s="1"/>
  <c r="F286" i="20" a="1"/>
  <c r="F286" i="20" s="1"/>
  <c r="D286" i="20" s="1"/>
  <c r="C286" i="20" a="1"/>
  <c r="C286" i="20" s="1"/>
  <c r="C126" i="20" a="1"/>
  <c r="C126" i="20" s="1"/>
  <c r="C134" i="20" a="1"/>
  <c r="C134" i="20" s="1"/>
  <c r="C156" i="20" a="1"/>
  <c r="C156" i="20" s="1"/>
  <c r="F117" i="20" a="1"/>
  <c r="F117" i="20" s="1"/>
  <c r="D117" i="20" s="1"/>
  <c r="F165" i="20" a="1"/>
  <c r="F165" i="20" s="1"/>
  <c r="D165" i="20" s="1"/>
  <c r="F287" i="20" a="1"/>
  <c r="F287" i="20" s="1"/>
  <c r="D287" i="20" s="1"/>
  <c r="C293" i="20" a="1"/>
  <c r="C293" i="20" s="1"/>
  <c r="C285" i="20" a="1"/>
  <c r="C285" i="20" s="1"/>
  <c r="C119" i="20" a="1"/>
  <c r="C119" i="20" s="1"/>
  <c r="C127" i="20" a="1"/>
  <c r="C127" i="20" s="1"/>
  <c r="C173" i="20" a="1"/>
  <c r="C173" i="20" s="1"/>
  <c r="F119" i="20" a="1"/>
  <c r="F119" i="20" s="1"/>
  <c r="D119" i="20" s="1"/>
  <c r="F167" i="20" a="1"/>
  <c r="F167" i="20" s="1"/>
  <c r="D167" i="20" s="1"/>
  <c r="F288" i="20" a="1"/>
  <c r="F288" i="20" s="1"/>
  <c r="C300" i="20" a="1"/>
  <c r="C300" i="20" s="1"/>
  <c r="C136" i="20" a="1"/>
  <c r="C136" i="20" s="1"/>
  <c r="C157" i="20" a="1"/>
  <c r="C157" i="20" s="1"/>
  <c r="C165" i="20" a="1"/>
  <c r="C165" i="20" s="1"/>
  <c r="F169" i="20" a="1"/>
  <c r="F169" i="20" s="1"/>
  <c r="D169" i="20" s="1"/>
  <c r="F292" i="20" a="1"/>
  <c r="F292" i="20" s="1"/>
  <c r="K8" i="9"/>
  <c r="I8" i="9" s="1"/>
  <c r="L8" i="9"/>
  <c r="F126" i="20" a="1"/>
  <c r="F126" i="20" s="1"/>
  <c r="F125" i="20" a="1"/>
  <c r="F125" i="20" s="1"/>
  <c r="F135" i="20" a="1"/>
  <c r="F135" i="20" s="1"/>
  <c r="D135" i="20" s="1"/>
  <c r="F123" i="20" a="1"/>
  <c r="F123" i="20" s="1"/>
  <c r="D123" i="20" s="1"/>
  <c r="C135" i="20" a="1"/>
  <c r="C135" i="20" s="1"/>
  <c r="C129" i="20" a="1"/>
  <c r="C129" i="20" s="1"/>
  <c r="C123" i="20" a="1"/>
  <c r="C123" i="20" s="1"/>
  <c r="C117" i="20" a="1"/>
  <c r="C117" i="20" s="1"/>
  <c r="F134" i="20" a="1"/>
  <c r="F134" i="20" s="1"/>
  <c r="D134" i="20" s="1"/>
  <c r="F122" i="20" a="1"/>
  <c r="F122" i="20" s="1"/>
  <c r="D122" i="20" s="1"/>
  <c r="I123" i="20" a="1"/>
  <c r="I123" i="20" s="1"/>
  <c r="I117" i="20" a="1"/>
  <c r="I117" i="20" s="1"/>
  <c r="F132" i="20" a="1"/>
  <c r="F132" i="20" s="1"/>
  <c r="D132" i="20" s="1"/>
  <c r="F120" i="20" a="1"/>
  <c r="F120" i="20" s="1"/>
  <c r="D120" i="20" s="1"/>
  <c r="F130" i="20" a="1"/>
  <c r="F130" i="20" s="1"/>
  <c r="D130" i="20" s="1"/>
  <c r="F118" i="20" a="1"/>
  <c r="F118" i="20" s="1"/>
  <c r="D118" i="20" s="1"/>
  <c r="F124" i="20" a="1"/>
  <c r="F124" i="20" s="1"/>
  <c r="D124" i="20" s="1"/>
  <c r="K140" i="3"/>
  <c r="I140" i="3" s="1"/>
  <c r="K61" i="4"/>
  <c r="I61" i="4" s="1"/>
  <c r="K71" i="29"/>
  <c r="I71" i="29" s="1"/>
  <c r="K62" i="29"/>
  <c r="I62" i="29" s="1"/>
  <c r="D121" i="20"/>
  <c r="I112" i="30"/>
  <c r="F297" i="20" a="1"/>
  <c r="F297" i="20" s="1"/>
  <c r="D297" i="20" s="1"/>
  <c r="F285" i="20" a="1"/>
  <c r="F285" i="20" s="1"/>
  <c r="D285" i="20" s="1"/>
  <c r="F296" i="20" a="1"/>
  <c r="F296" i="20" s="1"/>
  <c r="F284" i="20" a="1"/>
  <c r="F284" i="20" s="1"/>
  <c r="D284" i="20" s="1"/>
  <c r="F294" i="20" a="1"/>
  <c r="F294" i="20" s="1"/>
  <c r="D294" i="20" s="1"/>
  <c r="F282" i="20" a="1"/>
  <c r="F282" i="20" s="1"/>
  <c r="D282" i="20" s="1"/>
  <c r="C283" i="20" a="1"/>
  <c r="C283" i="20" s="1"/>
  <c r="C289" i="20" a="1"/>
  <c r="C289" i="20" s="1"/>
  <c r="C295" i="20" a="1"/>
  <c r="C295" i="20" s="1"/>
  <c r="F293" i="20" a="1"/>
  <c r="F293" i="20" s="1"/>
  <c r="G284" i="20" a="1"/>
  <c r="G284" i="20" s="1"/>
  <c r="E293" i="20" a="1"/>
  <c r="E293" i="20" s="1"/>
  <c r="I284" i="20" a="1"/>
  <c r="I284" i="20" s="1"/>
  <c r="F291" i="20" a="1"/>
  <c r="F291" i="20" s="1"/>
  <c r="D291" i="20" s="1"/>
  <c r="F290" i="20" a="1"/>
  <c r="F290" i="20" s="1"/>
  <c r="D290" i="20" s="1"/>
  <c r="F289" i="20" a="1"/>
  <c r="F289" i="20" s="1"/>
  <c r="D289" i="20" s="1"/>
  <c r="D32" i="29"/>
  <c r="L32" i="29" s="1"/>
  <c r="I32" i="29" s="1"/>
  <c r="C299" i="20" a="1"/>
  <c r="C299" i="20" s="1"/>
  <c r="C291" i="20" a="1"/>
  <c r="C291" i="20" s="1"/>
  <c r="C121" i="20" a="1"/>
  <c r="C121" i="20" s="1"/>
  <c r="C167" i="20" a="1"/>
  <c r="C167" i="20" s="1"/>
  <c r="F127" i="20" a="1"/>
  <c r="F127" i="20" s="1"/>
  <c r="D127" i="20" s="1"/>
  <c r="F151" i="20" a="1"/>
  <c r="F151" i="20" s="1"/>
  <c r="D151" i="20" s="1"/>
  <c r="F175" i="20" a="1"/>
  <c r="F175" i="20" s="1"/>
  <c r="D175" i="20" s="1"/>
  <c r="F298" i="20" a="1"/>
  <c r="F298" i="20" s="1"/>
  <c r="D298" i="20" s="1"/>
  <c r="D33" i="29"/>
  <c r="C282" i="20" a="1"/>
  <c r="C282" i="20" s="1"/>
  <c r="C130" i="20" a="1"/>
  <c r="C130" i="20" s="1"/>
  <c r="C151" i="20" a="1"/>
  <c r="C151" i="20" s="1"/>
  <c r="C159" i="20" a="1"/>
  <c r="C159" i="20" s="1"/>
  <c r="C175" i="20" a="1"/>
  <c r="C175" i="20" s="1"/>
  <c r="J28" i="20"/>
  <c r="G43" i="20" s="1" a="1"/>
  <c r="G43" i="20" s="1"/>
  <c r="H51" i="20" a="1"/>
  <c r="H51" i="20" s="1"/>
  <c r="H45" i="20" a="1"/>
  <c r="H45" i="20" s="1"/>
  <c r="F128" i="20" a="1"/>
  <c r="F128" i="20" s="1"/>
  <c r="D128" i="20" s="1"/>
  <c r="F152" i="20" a="1"/>
  <c r="F152" i="20" s="1"/>
  <c r="D152" i="20" s="1"/>
  <c r="F176" i="20" a="1"/>
  <c r="F176" i="20" s="1"/>
  <c r="D176" i="20" s="1"/>
  <c r="F299" i="20" a="1"/>
  <c r="F299" i="20" s="1"/>
  <c r="D299" i="20" s="1"/>
  <c r="L294" i="29"/>
  <c r="I294" i="29" s="1"/>
  <c r="D19" i="10"/>
  <c r="D33" i="10"/>
  <c r="D20" i="10"/>
  <c r="D34" i="10"/>
  <c r="K70" i="4"/>
  <c r="I70" i="4" s="1"/>
  <c r="D21" i="10"/>
  <c r="D35" i="10"/>
  <c r="C69" i="20" a="1"/>
  <c r="C69" i="20" s="1"/>
  <c r="F9" i="20" a="1"/>
  <c r="F9" i="20" s="1"/>
  <c r="D9" i="20" s="1"/>
  <c r="F21" i="20" a="1"/>
  <c r="F21" i="20" s="1"/>
  <c r="F74" i="20" a="1"/>
  <c r="F74" i="20" s="1"/>
  <c r="D74" i="20" s="1"/>
  <c r="F178" i="20" a="1"/>
  <c r="F178" i="20" s="1"/>
  <c r="F190" i="20" a="1"/>
  <c r="F190" i="20" s="1"/>
  <c r="D190" i="20" s="1"/>
  <c r="F4" i="20" a="1"/>
  <c r="F4" i="20" s="1"/>
  <c r="D4" i="20" s="1"/>
  <c r="D22" i="10"/>
  <c r="D36" i="10"/>
  <c r="F3" i="20" a="1"/>
  <c r="F3" i="20" s="1"/>
  <c r="C4" i="20" a="1"/>
  <c r="C4" i="20" s="1"/>
  <c r="D23" i="10"/>
  <c r="D37" i="10"/>
  <c r="F180" i="20" a="1"/>
  <c r="F180" i="20" s="1"/>
  <c r="F192" i="20" a="1"/>
  <c r="F192" i="20" s="1"/>
  <c r="D192" i="20" s="1"/>
  <c r="C3" i="20" a="1"/>
  <c r="C3" i="20" s="1"/>
  <c r="D24" i="10"/>
  <c r="D38" i="10"/>
  <c r="D25" i="10"/>
  <c r="D7" i="10"/>
  <c r="C78" i="20" a="1"/>
  <c r="C78" i="20" s="1"/>
  <c r="F13" i="20" a="1"/>
  <c r="F13" i="20" s="1"/>
  <c r="D13" i="20" s="1"/>
  <c r="F25" i="20" a="1"/>
  <c r="F25" i="20" s="1"/>
  <c r="D25" i="20" s="1"/>
  <c r="F98" i="20" a="1"/>
  <c r="F98" i="20" s="1"/>
  <c r="F182" i="20" a="1"/>
  <c r="F182" i="20" s="1"/>
  <c r="D182" i="20" s="1"/>
  <c r="F194" i="20" a="1"/>
  <c r="F194" i="20" s="1"/>
  <c r="D194" i="20" s="1"/>
  <c r="E178" i="20" a="1"/>
  <c r="E178" i="20" s="1"/>
  <c r="D178" i="20" s="1"/>
  <c r="D26" i="10"/>
  <c r="D8" i="10"/>
  <c r="C96" i="20" a="1"/>
  <c r="C96" i="20" s="1"/>
  <c r="C177" i="20" a="1"/>
  <c r="C177" i="20" s="1"/>
  <c r="C183" i="20" a="1"/>
  <c r="C183" i="20" s="1"/>
  <c r="C189" i="20" a="1"/>
  <c r="C189" i="20" s="1"/>
  <c r="C195" i="20" a="1"/>
  <c r="C195" i="20" s="1"/>
  <c r="F14" i="20" a="1"/>
  <c r="F14" i="20" s="1"/>
  <c r="D14" i="20" s="1"/>
  <c r="F102" i="20" a="1"/>
  <c r="F102" i="20" s="1"/>
  <c r="F183" i="20" a="1"/>
  <c r="F183" i="20" s="1"/>
  <c r="D183" i="20" s="1"/>
  <c r="F195" i="20" a="1"/>
  <c r="F195" i="20" s="1"/>
  <c r="D195" i="20" s="1"/>
  <c r="E177" i="20" a="1"/>
  <c r="E177" i="20" s="1"/>
  <c r="D27" i="10"/>
  <c r="D11" i="10"/>
  <c r="L111" i="9"/>
  <c r="D16" i="10"/>
  <c r="D30" i="10"/>
  <c r="D12" i="10"/>
  <c r="F63" i="20" a="1"/>
  <c r="F63" i="20" s="1"/>
  <c r="D63" i="20" s="1"/>
  <c r="F114" i="20" a="1"/>
  <c r="F114" i="20" s="1"/>
  <c r="D114" i="20" s="1"/>
  <c r="F185" i="20" a="1"/>
  <c r="F185" i="20" s="1"/>
  <c r="F218" i="20" a="1"/>
  <c r="F218" i="20" s="1"/>
  <c r="D218" i="20" s="1"/>
  <c r="D17" i="10"/>
  <c r="D31" i="10"/>
  <c r="D13" i="10"/>
  <c r="D18" i="10"/>
  <c r="D32" i="10"/>
  <c r="D14" i="10"/>
  <c r="B202" i="20" a="1"/>
  <c r="B202" i="20" s="1"/>
  <c r="G214" i="20" a="1"/>
  <c r="G214" i="20" s="1"/>
  <c r="B199" i="20" a="1"/>
  <c r="B199" i="20" s="1"/>
  <c r="I201" i="20" a="1"/>
  <c r="I201" i="20" s="1"/>
  <c r="F197" i="20" a="1"/>
  <c r="F197" i="20" s="1"/>
  <c r="E207" i="20" a="1"/>
  <c r="E207" i="20" s="1"/>
  <c r="F198" i="20" a="1"/>
  <c r="F198" i="20" s="1"/>
  <c r="I208" i="20" a="1"/>
  <c r="I208" i="20" s="1"/>
  <c r="G203" i="20" a="1"/>
  <c r="G203" i="20" s="1"/>
  <c r="C213" i="20" a="1"/>
  <c r="C213" i="20" s="1"/>
  <c r="C199" i="20" a="1"/>
  <c r="C199" i="20" s="1"/>
  <c r="I212" i="20" a="1"/>
  <c r="I212" i="20" s="1"/>
  <c r="B206" i="20" a="1"/>
  <c r="B206" i="20" s="1"/>
  <c r="G210" i="20" a="1"/>
  <c r="G210" i="20" s="1"/>
  <c r="B204" i="20" a="1"/>
  <c r="B204" i="20" s="1"/>
  <c r="O29" i="2"/>
  <c r="O112" i="3"/>
  <c r="B211" i="20" a="1"/>
  <c r="B211" i="20" s="1"/>
  <c r="C206" i="20" a="1"/>
  <c r="C206" i="20" s="1"/>
  <c r="F210" i="20" a="1"/>
  <c r="F210" i="20" s="1"/>
  <c r="F203" i="20" a="1"/>
  <c r="F203" i="20" s="1"/>
  <c r="I202" i="20" a="1"/>
  <c r="I202" i="20" s="1"/>
  <c r="G216" i="20" a="1"/>
  <c r="G216" i="20" s="1"/>
  <c r="E202" i="20" a="1"/>
  <c r="E202" i="20" s="1"/>
  <c r="G198" i="20" a="1"/>
  <c r="G198" i="20" s="1"/>
  <c r="B197" i="20" a="1"/>
  <c r="B197" i="20" s="1"/>
  <c r="I203" i="20" a="1"/>
  <c r="I203" i="20" s="1"/>
  <c r="F209" i="20" a="1"/>
  <c r="F209" i="20" s="1"/>
  <c r="G212" i="20" a="1"/>
  <c r="G212" i="20" s="1"/>
  <c r="G202" i="20" a="1"/>
  <c r="G202" i="20" s="1"/>
  <c r="B200" i="20" a="1"/>
  <c r="B200" i="20" s="1"/>
  <c r="I215" i="20" a="1"/>
  <c r="I215" i="20" s="1"/>
  <c r="C201" i="20" a="1"/>
  <c r="C201" i="20" s="1"/>
  <c r="C208" i="20" a="1"/>
  <c r="C208" i="20" s="1"/>
  <c r="B215" i="20" a="1"/>
  <c r="B215" i="20" s="1"/>
  <c r="G207" i="20" a="1"/>
  <c r="G207" i="20" s="1"/>
  <c r="B207" i="20" a="1"/>
  <c r="B207" i="20" s="1"/>
  <c r="E214" i="20" a="1"/>
  <c r="E214" i="20" s="1"/>
  <c r="G199" i="20" a="1"/>
  <c r="G199" i="20" s="1"/>
  <c r="B216" i="20" a="1"/>
  <c r="B216" i="20" s="1"/>
  <c r="I204" i="20" a="1"/>
  <c r="I204" i="20" s="1"/>
  <c r="F211" i="20" a="1"/>
  <c r="F211" i="20" s="1"/>
  <c r="E215" i="20" a="1"/>
  <c r="E215" i="20" s="1"/>
  <c r="E197" i="20" a="1"/>
  <c r="E197" i="20" s="1"/>
  <c r="E201" i="20" a="1"/>
  <c r="E201" i="20" s="1"/>
  <c r="I216" i="20" a="1"/>
  <c r="I216" i="20" s="1"/>
  <c r="C202" i="20" a="1"/>
  <c r="C202" i="20" s="1"/>
  <c r="C209" i="20" a="1"/>
  <c r="C209" i="20" s="1"/>
  <c r="F199" i="20" a="1"/>
  <c r="F199" i="20" s="1"/>
  <c r="I213" i="20" a="1"/>
  <c r="I213" i="20" s="1"/>
  <c r="C216" i="20" a="1"/>
  <c r="C216" i="20" s="1"/>
  <c r="B201" i="20" a="1"/>
  <c r="B201" i="20" s="1"/>
  <c r="G213" i="20" a="1"/>
  <c r="G213" i="20" s="1"/>
  <c r="G204" i="20" a="1"/>
  <c r="G204" i="20" s="1"/>
  <c r="G211" i="20" a="1"/>
  <c r="G211" i="20" s="1"/>
  <c r="C200" i="20" a="1"/>
  <c r="C200" i="20" s="1"/>
  <c r="C207" i="20" a="1"/>
  <c r="C207" i="20" s="1"/>
  <c r="C214" i="20" a="1"/>
  <c r="C214" i="20" s="1"/>
  <c r="C215" i="20" a="1"/>
  <c r="C215" i="20" s="1"/>
  <c r="F215" i="20" a="1"/>
  <c r="F215" i="20" s="1"/>
  <c r="B209" i="20" a="1"/>
  <c r="B209" i="20" s="1"/>
  <c r="G208" i="20" a="1"/>
  <c r="G208" i="20" s="1"/>
  <c r="B203" i="20" a="1"/>
  <c r="B203" i="20" s="1"/>
  <c r="E206" i="20" a="1"/>
  <c r="E206" i="20" s="1"/>
  <c r="G200" i="20" a="1"/>
  <c r="G200" i="20" s="1"/>
  <c r="E203" i="20" a="1"/>
  <c r="E203" i="20" s="1"/>
  <c r="I205" i="20" a="1"/>
  <c r="I205" i="20" s="1"/>
  <c r="E211" i="20" a="1"/>
  <c r="E211" i="20" s="1"/>
  <c r="E212" i="20" a="1"/>
  <c r="E212" i="20" s="1"/>
  <c r="E209" i="20" a="1"/>
  <c r="E209" i="20" s="1"/>
  <c r="E205" i="20" a="1"/>
  <c r="E205" i="20" s="1"/>
  <c r="G215" i="20" a="1"/>
  <c r="G215" i="20" s="1"/>
  <c r="E198" i="20" a="1"/>
  <c r="E198" i="20" s="1"/>
  <c r="I198" i="20" a="1"/>
  <c r="I198" i="20" s="1"/>
  <c r="C203" i="20" a="1"/>
  <c r="C203" i="20" s="1"/>
  <c r="C211" i="20" a="1"/>
  <c r="C211" i="20" s="1"/>
  <c r="E200" i="20" a="1"/>
  <c r="E200" i="20" s="1"/>
  <c r="I207" i="20" a="1"/>
  <c r="I207" i="20" s="1"/>
  <c r="B205" i="20" a="1"/>
  <c r="B205" i="20" s="1"/>
  <c r="E204" i="20" a="1"/>
  <c r="E204" i="20" s="1"/>
  <c r="I206" i="20" a="1"/>
  <c r="I206" i="20" s="1"/>
  <c r="G206" i="20" a="1"/>
  <c r="G206" i="20" s="1"/>
  <c r="B210" i="20" a="1"/>
  <c r="B210" i="20" s="1"/>
  <c r="I200" i="20" a="1"/>
  <c r="I200" i="20" s="1"/>
  <c r="E208" i="20" a="1"/>
  <c r="E208" i="20" s="1"/>
  <c r="D208" i="20" s="1"/>
  <c r="B208" i="20" a="1"/>
  <c r="B208" i="20" s="1"/>
  <c r="B213" i="20" a="1"/>
  <c r="B213" i="20" s="1"/>
  <c r="G201" i="20" a="1"/>
  <c r="G201" i="20" s="1"/>
  <c r="I214" i="20" a="1"/>
  <c r="I214" i="20" s="1"/>
  <c r="C205" i="20" a="1"/>
  <c r="C205" i="20" s="1"/>
  <c r="C212" i="20" a="1"/>
  <c r="C212" i="20" s="1"/>
  <c r="I197" i="20" a="1"/>
  <c r="I197" i="20" s="1"/>
  <c r="C197" i="20" a="1"/>
  <c r="C197" i="20" s="1"/>
  <c r="F200" i="20" a="1"/>
  <c r="F200" i="20" s="1"/>
  <c r="F212" i="20" a="1"/>
  <c r="F212" i="20" s="1"/>
  <c r="D212" i="20" s="1"/>
  <c r="F201" i="20" a="1"/>
  <c r="F201" i="20" s="1"/>
  <c r="F213" i="20" a="1"/>
  <c r="F213" i="20" s="1"/>
  <c r="F202" i="20" a="1"/>
  <c r="F202" i="20" s="1"/>
  <c r="F214" i="20" a="1"/>
  <c r="F214" i="20" s="1"/>
  <c r="F204" i="20" a="1"/>
  <c r="F204" i="20" s="1"/>
  <c r="F216" i="20" a="1"/>
  <c r="F216" i="20" s="1"/>
  <c r="I199" i="20" a="1"/>
  <c r="I199" i="20" s="1"/>
  <c r="B212" i="20" a="1"/>
  <c r="B212" i="20" s="1"/>
  <c r="G197" i="20" a="1"/>
  <c r="G197" i="20" s="1"/>
  <c r="I209" i="20" a="1"/>
  <c r="I209" i="20" s="1"/>
  <c r="E210" i="20" a="1"/>
  <c r="E210" i="20" s="1"/>
  <c r="D210" i="20" s="1"/>
  <c r="B214" i="20" a="1"/>
  <c r="B214" i="20" s="1"/>
  <c r="G209" i="20" a="1"/>
  <c r="G209" i="20" s="1"/>
  <c r="E213" i="20" a="1"/>
  <c r="E213" i="20" s="1"/>
  <c r="D213" i="20" s="1"/>
  <c r="B198" i="20" a="1"/>
  <c r="B198" i="20" s="1"/>
  <c r="F205" i="20" a="1"/>
  <c r="F205" i="20" s="1"/>
  <c r="I211" i="20" a="1"/>
  <c r="I211" i="20" s="1"/>
  <c r="E199" i="20" a="1"/>
  <c r="E199" i="20" s="1"/>
  <c r="I210" i="20" a="1"/>
  <c r="I210" i="20" s="1"/>
  <c r="E216" i="20" a="1"/>
  <c r="E216" i="20" s="1"/>
  <c r="G205" i="20" a="1"/>
  <c r="G205" i="20" s="1"/>
  <c r="C198" i="20" a="1"/>
  <c r="C198" i="20" s="1"/>
  <c r="C204" i="20" a="1"/>
  <c r="C204" i="20" s="1"/>
  <c r="C210" i="20" a="1"/>
  <c r="C210" i="20" s="1"/>
  <c r="F206" i="20" a="1"/>
  <c r="F206" i="20" s="1"/>
  <c r="F207" i="20" a="1"/>
  <c r="F207" i="20" s="1"/>
  <c r="I9" i="10"/>
  <c r="O65" i="2"/>
  <c r="O26" i="3"/>
  <c r="D204" i="20"/>
  <c r="O203" i="11"/>
  <c r="O68" i="2"/>
  <c r="B33" i="20" a="1"/>
  <c r="B33" i="20" s="1"/>
  <c r="B29" i="20" a="1"/>
  <c r="B29" i="20" s="1"/>
  <c r="G50" i="20" a="1"/>
  <c r="G50" i="20" s="1"/>
  <c r="E37" i="20" a="1"/>
  <c r="E37" i="20" s="1"/>
  <c r="I44" i="20" a="1"/>
  <c r="I44" i="20" s="1"/>
  <c r="B40" i="20" a="1"/>
  <c r="B40" i="20" s="1"/>
  <c r="E28" i="20" a="1"/>
  <c r="E28" i="20" s="1"/>
  <c r="G44" i="20" a="1"/>
  <c r="G44" i="20" s="1"/>
  <c r="I40" i="20" a="1"/>
  <c r="I40" i="20" s="1"/>
  <c r="C50" i="20" a="1"/>
  <c r="C50" i="20" s="1"/>
  <c r="B50" i="20" a="1"/>
  <c r="B50" i="20" s="1"/>
  <c r="G51" i="20" a="1"/>
  <c r="G51" i="20" s="1"/>
  <c r="E45" i="20" a="1"/>
  <c r="E45" i="20" s="1"/>
  <c r="I36" i="20" a="1"/>
  <c r="I36" i="20" s="1"/>
  <c r="E33" i="20" a="1"/>
  <c r="E33" i="20" s="1"/>
  <c r="I32" i="20" a="1"/>
  <c r="I32" i="20" s="1"/>
  <c r="G48" i="20" a="1"/>
  <c r="G48" i="20" s="1"/>
  <c r="B46" i="20" a="1"/>
  <c r="B46" i="20" s="1"/>
  <c r="G40" i="20" a="1"/>
  <c r="G40" i="20" s="1"/>
  <c r="I51" i="20" a="1"/>
  <c r="I51" i="20" s="1"/>
  <c r="G35" i="20" a="1"/>
  <c r="G35" i="20" s="1"/>
  <c r="I47" i="20" a="1"/>
  <c r="I47" i="20" s="1"/>
  <c r="I45" i="20" a="1"/>
  <c r="I45" i="20" s="1"/>
  <c r="E35" i="20" a="1"/>
  <c r="E35" i="20" s="1"/>
  <c r="G36" i="20" a="1"/>
  <c r="G36" i="20" s="1"/>
  <c r="B32" i="20" a="1"/>
  <c r="B32" i="20" s="1"/>
  <c r="F34" i="20" a="1"/>
  <c r="F34" i="20" s="1"/>
  <c r="C43" i="20" a="1"/>
  <c r="C43" i="20" s="1"/>
  <c r="F33" i="20" a="1"/>
  <c r="F33" i="20" s="1"/>
  <c r="C34" i="20" a="1"/>
  <c r="C34" i="20" s="1"/>
  <c r="G34" i="20" a="1"/>
  <c r="G34" i="20" s="1"/>
  <c r="I43" i="20" a="1"/>
  <c r="I43" i="20" s="1"/>
  <c r="I41" i="20" a="1"/>
  <c r="I41" i="20" s="1"/>
  <c r="D24" i="20"/>
  <c r="D97" i="20"/>
  <c r="D102" i="20"/>
  <c r="D22" i="20"/>
  <c r="F270" i="20" a="1"/>
  <c r="F270" i="20" s="1"/>
  <c r="F79" i="20" a="1"/>
  <c r="F79" i="20" s="1"/>
  <c r="D79" i="20" s="1"/>
  <c r="D23" i="20"/>
  <c r="D21" i="20"/>
  <c r="D27" i="20"/>
  <c r="C77" i="20" a="1"/>
  <c r="C77" i="20" s="1"/>
  <c r="F80" i="20" a="1"/>
  <c r="F80" i="20" s="1"/>
  <c r="D80" i="20" s="1"/>
  <c r="D62" i="20"/>
  <c r="C95" i="20" a="1"/>
  <c r="C95" i="20" s="1"/>
  <c r="F61" i="20" a="1"/>
  <c r="F61" i="20" s="1"/>
  <c r="D61" i="20" s="1"/>
  <c r="F96" i="20" a="1"/>
  <c r="F96" i="20" s="1"/>
  <c r="D96" i="20" s="1"/>
  <c r="I68" i="3"/>
  <c r="I105" i="9"/>
  <c r="I184" i="4"/>
  <c r="I277" i="29"/>
  <c r="L298" i="29"/>
  <c r="L232" i="11"/>
  <c r="L42" i="29"/>
  <c r="K136" i="3"/>
  <c r="I136" i="3" s="1"/>
  <c r="O136" i="3"/>
  <c r="L21" i="29"/>
  <c r="I21" i="29" s="1"/>
  <c r="I123" i="11"/>
  <c r="K287" i="30"/>
  <c r="I287" i="30" s="1"/>
  <c r="I257" i="29"/>
  <c r="K398" i="29"/>
  <c r="I242" i="29"/>
  <c r="I184" i="29"/>
  <c r="I138" i="9"/>
  <c r="K54" i="2"/>
  <c r="I54" i="2" s="1"/>
  <c r="L54" i="2"/>
  <c r="I137" i="29"/>
  <c r="I451" i="29"/>
  <c r="I196" i="29"/>
  <c r="L60" i="2"/>
  <c r="I69" i="11"/>
  <c r="K151" i="11"/>
  <c r="K22" i="29"/>
  <c r="K35" i="29"/>
  <c r="I35" i="29" s="1"/>
  <c r="O299" i="30"/>
  <c r="I572" i="29"/>
  <c r="I137" i="30"/>
  <c r="I236" i="30"/>
  <c r="L202" i="3"/>
  <c r="I202" i="3" s="1"/>
  <c r="I18" i="6"/>
  <c r="I123" i="29"/>
  <c r="I38" i="4"/>
  <c r="I445" i="29"/>
  <c r="L293" i="30"/>
  <c r="L302" i="30"/>
  <c r="I302" i="30" s="1"/>
  <c r="I203" i="29"/>
  <c r="C10" i="14"/>
  <c r="AA440" i="13" s="1"/>
  <c r="L283" i="30" s="1"/>
  <c r="K65" i="2"/>
  <c r="I87" i="8"/>
  <c r="I141" i="11"/>
  <c r="K51" i="2"/>
  <c r="I51" i="2" s="1"/>
  <c r="I303" i="30"/>
  <c r="K299" i="30"/>
  <c r="I299" i="30" s="1"/>
  <c r="K107" i="3"/>
  <c r="I107" i="3" s="1"/>
  <c r="I99" i="9"/>
  <c r="I238" i="4"/>
  <c r="I107" i="11"/>
  <c r="I161" i="29"/>
  <c r="I464" i="29"/>
  <c r="I268" i="29"/>
  <c r="I73" i="8"/>
  <c r="K246" i="3"/>
  <c r="I224" i="4"/>
  <c r="I230" i="29"/>
  <c r="K286" i="30"/>
  <c r="L286" i="30"/>
  <c r="L20" i="29"/>
  <c r="J12" i="27"/>
  <c r="L133" i="2"/>
  <c r="I128" i="29"/>
  <c r="I135" i="29"/>
  <c r="I99" i="29"/>
  <c r="I52" i="29"/>
  <c r="I171" i="30"/>
  <c r="I360" i="29"/>
  <c r="I45" i="7"/>
  <c r="I220" i="30"/>
  <c r="I108" i="29"/>
  <c r="L169" i="11"/>
  <c r="K169" i="11"/>
  <c r="I102" i="29"/>
  <c r="I247" i="3"/>
  <c r="I188" i="11"/>
  <c r="I59" i="8"/>
  <c r="I96" i="9"/>
  <c r="I545" i="29"/>
  <c r="I337" i="29"/>
  <c r="I170" i="29"/>
  <c r="I166" i="29"/>
  <c r="K34" i="8"/>
  <c r="I35" i="8"/>
  <c r="I310" i="29"/>
  <c r="I122" i="2"/>
  <c r="L199" i="4"/>
  <c r="K199" i="4"/>
  <c r="L101" i="4"/>
  <c r="K101" i="4"/>
  <c r="O17" i="29"/>
  <c r="L17" i="29"/>
  <c r="I17" i="29" s="1"/>
  <c r="L47" i="30"/>
  <c r="K209" i="3"/>
  <c r="L209" i="3"/>
  <c r="L221" i="4"/>
  <c r="K221" i="4"/>
  <c r="I221" i="4" s="1"/>
  <c r="K153" i="9"/>
  <c r="L153" i="9"/>
  <c r="L94" i="2"/>
  <c r="K94" i="2"/>
  <c r="K140" i="4"/>
  <c r="L140" i="4"/>
  <c r="I47" i="11"/>
  <c r="I113" i="11"/>
  <c r="I89" i="30"/>
  <c r="K52" i="7"/>
  <c r="L52" i="7"/>
  <c r="L56" i="3"/>
  <c r="K56" i="3"/>
  <c r="L103" i="2"/>
  <c r="K103" i="2"/>
  <c r="K112" i="4"/>
  <c r="L112" i="4"/>
  <c r="L85" i="7"/>
  <c r="K85" i="7"/>
  <c r="L23" i="12"/>
  <c r="I47" i="8"/>
  <c r="K122" i="3"/>
  <c r="I122" i="3" s="1"/>
  <c r="K190" i="3"/>
  <c r="L190" i="3"/>
  <c r="L187" i="3" s="1"/>
  <c r="K38" i="9"/>
  <c r="L38" i="9"/>
  <c r="I38" i="9" s="1"/>
  <c r="I270" i="3"/>
  <c r="K98" i="9"/>
  <c r="L98" i="9"/>
  <c r="L23" i="4"/>
  <c r="K23" i="4"/>
  <c r="L30" i="4"/>
  <c r="K30" i="4"/>
  <c r="I30" i="4" s="1"/>
  <c r="L71" i="7"/>
  <c r="K71" i="7"/>
  <c r="D226" i="11"/>
  <c r="D219" i="11"/>
  <c r="D209" i="11"/>
  <c r="K209" i="11" s="1"/>
  <c r="D197" i="11"/>
  <c r="I351" i="29"/>
  <c r="I287" i="29"/>
  <c r="I525" i="29"/>
  <c r="I577" i="29"/>
  <c r="K402" i="29"/>
  <c r="K170" i="30"/>
  <c r="K154" i="9"/>
  <c r="I154" i="9" s="1"/>
  <c r="I189" i="29"/>
  <c r="K81" i="4"/>
  <c r="I81" i="4" s="1"/>
  <c r="I92" i="7"/>
  <c r="I355" i="29"/>
  <c r="I188" i="4"/>
  <c r="K165" i="4"/>
  <c r="L165" i="4"/>
  <c r="K89" i="9"/>
  <c r="K87" i="9" s="1"/>
  <c r="L89" i="9"/>
  <c r="L87" i="9" s="1"/>
  <c r="L228" i="3"/>
  <c r="K228" i="3"/>
  <c r="I228" i="3" s="1"/>
  <c r="I128" i="4"/>
  <c r="I245" i="4"/>
  <c r="K26" i="3"/>
  <c r="I26" i="3" s="1"/>
  <c r="D198" i="11"/>
  <c r="K198" i="11" s="1"/>
  <c r="D228" i="11"/>
  <c r="K228" i="11" s="1"/>
  <c r="D202" i="11"/>
  <c r="D229" i="11"/>
  <c r="K229" i="11" s="1"/>
  <c r="I137" i="11"/>
  <c r="I129" i="11"/>
  <c r="I81" i="11"/>
  <c r="I169" i="29"/>
  <c r="I363" i="29"/>
  <c r="I263" i="29"/>
  <c r="I352" i="29"/>
  <c r="I526" i="29"/>
  <c r="B6" i="14"/>
  <c r="M436" i="13" s="1"/>
  <c r="K81" i="30"/>
  <c r="I36" i="8"/>
  <c r="I132" i="30"/>
  <c r="K25" i="3"/>
  <c r="I25" i="3" s="1"/>
  <c r="K52" i="3"/>
  <c r="I52" i="3" s="1"/>
  <c r="K102" i="4"/>
  <c r="I102" i="4" s="1"/>
  <c r="I97" i="30"/>
  <c r="K19" i="4"/>
  <c r="I19" i="4" s="1"/>
  <c r="I17" i="8"/>
  <c r="I179" i="30"/>
  <c r="I151" i="3"/>
  <c r="L26" i="7"/>
  <c r="K26" i="7"/>
  <c r="K72" i="3"/>
  <c r="L72" i="3"/>
  <c r="L271" i="3"/>
  <c r="K271" i="3"/>
  <c r="L239" i="4"/>
  <c r="L233" i="4" s="1"/>
  <c r="K239" i="4"/>
  <c r="I239" i="4" s="1"/>
  <c r="I74" i="3"/>
  <c r="I228" i="29"/>
  <c r="L120" i="30"/>
  <c r="I145" i="9"/>
  <c r="K255" i="3"/>
  <c r="I255" i="3" s="1"/>
  <c r="I122" i="9"/>
  <c r="I214" i="29"/>
  <c r="D230" i="11"/>
  <c r="K230" i="11" s="1"/>
  <c r="D211" i="11"/>
  <c r="D216" i="11"/>
  <c r="L216" i="11" s="1"/>
  <c r="I31" i="11"/>
  <c r="I102" i="11"/>
  <c r="I162" i="29"/>
  <c r="I548" i="29"/>
  <c r="I88" i="29"/>
  <c r="I147" i="29"/>
  <c r="I340" i="29"/>
  <c r="I264" i="29"/>
  <c r="I380" i="29"/>
  <c r="I527" i="29"/>
  <c r="I535" i="29"/>
  <c r="I371" i="29"/>
  <c r="I333" i="29"/>
  <c r="I88" i="9"/>
  <c r="I422" i="29"/>
  <c r="K113" i="3"/>
  <c r="I113" i="3" s="1"/>
  <c r="I247" i="30"/>
  <c r="I99" i="30"/>
  <c r="I246" i="30"/>
  <c r="L210" i="3"/>
  <c r="I210" i="3" s="1"/>
  <c r="I13" i="6"/>
  <c r="K256" i="3"/>
  <c r="I256" i="3" s="1"/>
  <c r="C18" i="3" a="1"/>
  <c r="C18" i="3" s="1"/>
  <c r="K18" i="3" s="1"/>
  <c r="I18" i="3" s="1"/>
  <c r="C71" i="4" a="1"/>
  <c r="C71" i="4" s="1"/>
  <c r="K71" i="4" s="1"/>
  <c r="I71" i="4" s="1"/>
  <c r="C278" i="30" a="1"/>
  <c r="C278" i="30" s="1"/>
  <c r="C262" i="30" a="1"/>
  <c r="C262" i="30" s="1"/>
  <c r="I465" i="29"/>
  <c r="I432" i="29"/>
  <c r="I536" i="29"/>
  <c r="I213" i="29"/>
  <c r="C6" i="14"/>
  <c r="AA436" i="13" s="1"/>
  <c r="C5" i="14"/>
  <c r="AA435" i="13" s="1"/>
  <c r="I41" i="4"/>
  <c r="I157" i="29"/>
  <c r="L50" i="2"/>
  <c r="L22" i="2"/>
  <c r="I22" i="2" s="1"/>
  <c r="L69" i="2"/>
  <c r="I69" i="2" s="1"/>
  <c r="K59" i="2"/>
  <c r="I59" i="2" s="1"/>
  <c r="K50" i="5"/>
  <c r="I50" i="5" s="1"/>
  <c r="I74" i="30"/>
  <c r="I111" i="30"/>
  <c r="I8" i="30"/>
  <c r="I48" i="8"/>
  <c r="L34" i="3"/>
  <c r="I94" i="8"/>
  <c r="I241" i="30"/>
  <c r="I161" i="30"/>
  <c r="I19" i="30"/>
  <c r="I11" i="4"/>
  <c r="I231" i="30"/>
  <c r="L32" i="9"/>
  <c r="I32" i="9" s="1"/>
  <c r="L152" i="9"/>
  <c r="I152" i="9" s="1"/>
  <c r="L203" i="4"/>
  <c r="I203" i="4" s="1"/>
  <c r="L79" i="4"/>
  <c r="I79" i="4" s="1"/>
  <c r="I10" i="30"/>
  <c r="L156" i="3"/>
  <c r="I156" i="3" s="1"/>
  <c r="D293" i="20"/>
  <c r="L289" i="30"/>
  <c r="K289" i="30"/>
  <c r="L45" i="29"/>
  <c r="O45" i="29"/>
  <c r="K45" i="29"/>
  <c r="O56" i="5"/>
  <c r="L49" i="2"/>
  <c r="I49" i="2" s="1"/>
  <c r="I178" i="11"/>
  <c r="I124" i="29"/>
  <c r="I131" i="29"/>
  <c r="I138" i="29"/>
  <c r="I145" i="29"/>
  <c r="I385" i="29"/>
  <c r="I411" i="29"/>
  <c r="I51" i="8"/>
  <c r="K291" i="30"/>
  <c r="L291" i="30"/>
  <c r="I291" i="30" s="1"/>
  <c r="O291" i="30"/>
  <c r="I37" i="29"/>
  <c r="L285" i="30"/>
  <c r="I285" i="30" s="1"/>
  <c r="K115" i="3"/>
  <c r="I115" i="3" s="1"/>
  <c r="O115" i="3"/>
  <c r="I66" i="5"/>
  <c r="I79" i="11"/>
  <c r="I171" i="29"/>
  <c r="I61" i="3"/>
  <c r="I427" i="29"/>
  <c r="L25" i="29"/>
  <c r="O29" i="3"/>
  <c r="I241" i="4"/>
  <c r="L214" i="11"/>
  <c r="K214" i="11"/>
  <c r="K235" i="11"/>
  <c r="L235" i="11"/>
  <c r="L234" i="11" s="1"/>
  <c r="L139" i="11"/>
  <c r="I65" i="11"/>
  <c r="I14" i="11"/>
  <c r="I21" i="11"/>
  <c r="I28" i="11"/>
  <c r="I98" i="11"/>
  <c r="I174" i="11"/>
  <c r="I256" i="29"/>
  <c r="I424" i="29"/>
  <c r="I223" i="29"/>
  <c r="K294" i="30"/>
  <c r="L294" i="30"/>
  <c r="I33" i="3"/>
  <c r="L196" i="30"/>
  <c r="K139" i="11"/>
  <c r="I43" i="7"/>
  <c r="I35" i="2"/>
  <c r="K65" i="4"/>
  <c r="I65" i="4" s="1"/>
  <c r="O65" i="4"/>
  <c r="I547" i="29"/>
  <c r="I115" i="29"/>
  <c r="I73" i="11"/>
  <c r="I455" i="29"/>
  <c r="K38" i="8"/>
  <c r="L237" i="11"/>
  <c r="I237" i="11" s="1"/>
  <c r="I236" i="11"/>
  <c r="I110" i="11"/>
  <c r="K35" i="5"/>
  <c r="K120" i="3"/>
  <c r="L295" i="30"/>
  <c r="I295" i="30" s="1"/>
  <c r="K295" i="30"/>
  <c r="I61" i="8"/>
  <c r="I60" i="8"/>
  <c r="I135" i="2"/>
  <c r="I391" i="29"/>
  <c r="I487" i="29"/>
  <c r="I197" i="29"/>
  <c r="L77" i="29"/>
  <c r="O306" i="30"/>
  <c r="L306" i="30"/>
  <c r="K306" i="30"/>
  <c r="I306" i="30" s="1"/>
  <c r="K43" i="29"/>
  <c r="L43" i="29"/>
  <c r="I232" i="11"/>
  <c r="K13" i="3"/>
  <c r="I13" i="3" s="1"/>
  <c r="I407" i="29"/>
  <c r="I484" i="29"/>
  <c r="I203" i="11"/>
  <c r="L205" i="11"/>
  <c r="K205" i="11"/>
  <c r="I417" i="29"/>
  <c r="K304" i="30"/>
  <c r="I304" i="30" s="1"/>
  <c r="K84" i="11"/>
  <c r="I216" i="29"/>
  <c r="I78" i="29"/>
  <c r="O106" i="3"/>
  <c r="L228" i="11"/>
  <c r="I228" i="11" s="1"/>
  <c r="K290" i="30"/>
  <c r="I290" i="30" s="1"/>
  <c r="I144" i="29"/>
  <c r="I343" i="29"/>
  <c r="I461" i="29"/>
  <c r="I179" i="11"/>
  <c r="K105" i="30"/>
  <c r="L87" i="30"/>
  <c r="I93" i="2"/>
  <c r="I89" i="2"/>
  <c r="J16" i="27"/>
  <c r="I77" i="3"/>
  <c r="I45" i="11"/>
  <c r="I36" i="11"/>
  <c r="I121" i="29"/>
  <c r="I341" i="29"/>
  <c r="I374" i="29"/>
  <c r="I433" i="29"/>
  <c r="I80" i="29"/>
  <c r="I514" i="29"/>
  <c r="K65" i="3"/>
  <c r="L44" i="29"/>
  <c r="I44" i="29" s="1"/>
  <c r="I167" i="4"/>
  <c r="I71" i="11"/>
  <c r="I90" i="29"/>
  <c r="I409" i="29"/>
  <c r="I472" i="29"/>
  <c r="I479" i="29"/>
  <c r="I117" i="29"/>
  <c r="I336" i="29"/>
  <c r="I188" i="29"/>
  <c r="C8" i="14"/>
  <c r="AA438" i="13" s="1"/>
  <c r="I130" i="9"/>
  <c r="I39" i="8"/>
  <c r="C7" i="14"/>
  <c r="AA437" i="13" s="1"/>
  <c r="I353" i="29"/>
  <c r="I78" i="4"/>
  <c r="I6" i="12"/>
  <c r="L96" i="30"/>
  <c r="I71" i="8"/>
  <c r="I441" i="29"/>
  <c r="I12" i="12"/>
  <c r="I189" i="11"/>
  <c r="I142" i="29"/>
  <c r="L221" i="29"/>
  <c r="I202" i="29"/>
  <c r="I428" i="29"/>
  <c r="I430" i="29"/>
  <c r="I19" i="29"/>
  <c r="L92" i="2"/>
  <c r="I187" i="11"/>
  <c r="L184" i="11"/>
  <c r="I91" i="29"/>
  <c r="I450" i="29"/>
  <c r="I178" i="29"/>
  <c r="K276" i="29"/>
  <c r="I276" i="29" s="1"/>
  <c r="I69" i="5"/>
  <c r="I84" i="8"/>
  <c r="I46" i="9"/>
  <c r="K133" i="2"/>
  <c r="I130" i="11"/>
  <c r="I64" i="11"/>
  <c r="I57" i="11"/>
  <c r="I12" i="11"/>
  <c r="I19" i="11"/>
  <c r="I26" i="11"/>
  <c r="I33" i="11"/>
  <c r="I40" i="11"/>
  <c r="I289" i="29"/>
  <c r="I555" i="29"/>
  <c r="I139" i="29"/>
  <c r="I146" i="29"/>
  <c r="I483" i="29"/>
  <c r="I490" i="29"/>
  <c r="I244" i="29"/>
  <c r="I594" i="29"/>
  <c r="B4" i="14"/>
  <c r="M434" i="13" s="1"/>
  <c r="I85" i="8"/>
  <c r="I235" i="29"/>
  <c r="I188" i="3"/>
  <c r="I79" i="7"/>
  <c r="I136" i="2"/>
  <c r="I335" i="29"/>
  <c r="L73" i="30"/>
  <c r="I429" i="29"/>
  <c r="I116" i="29"/>
  <c r="I209" i="29"/>
  <c r="L281" i="29"/>
  <c r="I518" i="29"/>
  <c r="I300" i="29"/>
  <c r="C9" i="14"/>
  <c r="AA439" i="13" s="1"/>
  <c r="I8" i="7"/>
  <c r="I148" i="30"/>
  <c r="I178" i="4"/>
  <c r="I235" i="30"/>
  <c r="K155" i="29"/>
  <c r="I189" i="3"/>
  <c r="I339" i="29"/>
  <c r="K143" i="3"/>
  <c r="I143" i="3" s="1"/>
  <c r="K47" i="30"/>
  <c r="I47" i="30" s="1"/>
  <c r="K41" i="5"/>
  <c r="I41" i="5" s="1"/>
  <c r="K40" i="5"/>
  <c r="I40" i="5" s="1"/>
  <c r="K21" i="12"/>
  <c r="I21" i="12" s="1"/>
  <c r="K265" i="3"/>
  <c r="I265" i="3" s="1"/>
  <c r="K40" i="3"/>
  <c r="I40" i="3" s="1"/>
  <c r="L39" i="2"/>
  <c r="I39" i="2" s="1"/>
  <c r="L147" i="4"/>
  <c r="I147" i="4" s="1"/>
  <c r="H26" i="24"/>
  <c r="G27" i="24"/>
  <c r="I183" i="30"/>
  <c r="I68" i="8"/>
  <c r="J19" i="27"/>
  <c r="I126" i="30"/>
  <c r="I115" i="11"/>
  <c r="I552" i="29"/>
  <c r="I129" i="29"/>
  <c r="I136" i="29"/>
  <c r="I408" i="29"/>
  <c r="I478" i="29"/>
  <c r="I365" i="29"/>
  <c r="I447" i="29"/>
  <c r="I101" i="29"/>
  <c r="I378" i="29"/>
  <c r="I181" i="29"/>
  <c r="I255" i="29"/>
  <c r="L206" i="29"/>
  <c r="I189" i="30"/>
  <c r="I42" i="4"/>
  <c r="I39" i="30"/>
  <c r="I225" i="4"/>
  <c r="I96" i="30"/>
  <c r="I8" i="6"/>
  <c r="L87" i="2"/>
  <c r="I372" i="29"/>
  <c r="I252" i="30"/>
  <c r="L186" i="30"/>
  <c r="I248" i="3"/>
  <c r="K164" i="4"/>
  <c r="I164" i="4" s="1"/>
  <c r="K85" i="2"/>
  <c r="I85" i="2" s="1"/>
  <c r="L69" i="9"/>
  <c r="I69" i="9" s="1"/>
  <c r="L121" i="9"/>
  <c r="I121" i="9" s="1"/>
  <c r="G28" i="24"/>
  <c r="K15" i="3"/>
  <c r="I15" i="3" s="1"/>
  <c r="K93" i="3"/>
  <c r="I93" i="3" s="1"/>
  <c r="K68" i="9"/>
  <c r="L68" i="9"/>
  <c r="L82" i="4"/>
  <c r="K82" i="4"/>
  <c r="I93" i="4"/>
  <c r="L97" i="4"/>
  <c r="K97" i="4"/>
  <c r="L122" i="4"/>
  <c r="K122" i="4"/>
  <c r="L136" i="4"/>
  <c r="K136" i="4"/>
  <c r="L84" i="3"/>
  <c r="K84" i="3"/>
  <c r="I96" i="2"/>
  <c r="K75" i="7"/>
  <c r="L75" i="7"/>
  <c r="L74" i="7" s="1"/>
  <c r="I23" i="12"/>
  <c r="L22" i="4"/>
  <c r="K22" i="4"/>
  <c r="K54" i="4"/>
  <c r="I54" i="4" s="1"/>
  <c r="L54" i="4"/>
  <c r="K25" i="7"/>
  <c r="L25" i="7"/>
  <c r="L89" i="3"/>
  <c r="K89" i="3"/>
  <c r="K161" i="4"/>
  <c r="I161" i="4" s="1"/>
  <c r="L161" i="4"/>
  <c r="K141" i="4"/>
  <c r="L141" i="4"/>
  <c r="L9" i="4"/>
  <c r="K9" i="4"/>
  <c r="I9" i="4" s="1"/>
  <c r="L160" i="30"/>
  <c r="K240" i="29"/>
  <c r="I124" i="9"/>
  <c r="I204" i="29"/>
  <c r="I222" i="30"/>
  <c r="I133" i="30"/>
  <c r="I318" i="29"/>
  <c r="L155" i="29"/>
  <c r="L70" i="8"/>
  <c r="L325" i="29"/>
  <c r="I39" i="4"/>
  <c r="K95" i="7"/>
  <c r="I95" i="7" s="1"/>
  <c r="K80" i="9"/>
  <c r="I80" i="9" s="1"/>
  <c r="K123" i="4"/>
  <c r="I123" i="4" s="1"/>
  <c r="L105" i="30"/>
  <c r="K237" i="4"/>
  <c r="I237" i="4" s="1"/>
  <c r="I29" i="30"/>
  <c r="K10" i="3"/>
  <c r="I10" i="3" s="1"/>
  <c r="G24" i="24"/>
  <c r="B80" i="62"/>
  <c r="B62" i="62"/>
  <c r="C62" i="62" s="1"/>
  <c r="D62" i="62" s="1"/>
  <c r="E62" i="62" s="1"/>
  <c r="F62" i="62" s="1"/>
  <c r="G62" i="62" s="1"/>
  <c r="H62" i="62" s="1"/>
  <c r="I62" i="62" s="1"/>
  <c r="J62" i="62" s="1"/>
  <c r="K62" i="62" s="1"/>
  <c r="L62" i="62" s="1"/>
  <c r="M62" i="62" s="1"/>
  <c r="N62" i="62" s="1"/>
  <c r="O62" i="62" s="1"/>
  <c r="P62" i="62" s="1"/>
  <c r="Q62" i="62" s="1"/>
  <c r="R62" i="62" s="1"/>
  <c r="S62" i="62" s="1"/>
  <c r="T62" i="62" s="1"/>
  <c r="U62" i="62" s="1"/>
  <c r="V62" i="62" s="1"/>
  <c r="W62" i="62" s="1"/>
  <c r="X62" i="62" s="1"/>
  <c r="Y62" i="62" s="1"/>
  <c r="Z62" i="62" s="1"/>
  <c r="AA62" i="62" s="1"/>
  <c r="AB62" i="62" s="1"/>
  <c r="AC62" i="62" s="1"/>
  <c r="G33" i="24"/>
  <c r="B50" i="62"/>
  <c r="C50" i="62" s="1"/>
  <c r="D50" i="62" s="1"/>
  <c r="E50" i="62" s="1"/>
  <c r="F50" i="62" s="1"/>
  <c r="G50" i="62" s="1"/>
  <c r="H50" i="62" s="1"/>
  <c r="I50" i="62" s="1"/>
  <c r="J50" i="62" s="1"/>
  <c r="K50" i="62" s="1"/>
  <c r="L50" i="62" s="1"/>
  <c r="M50" i="62" s="1"/>
  <c r="N50" i="62" s="1"/>
  <c r="O50" i="62" s="1"/>
  <c r="P50" i="62" s="1"/>
  <c r="Q50" i="62" s="1"/>
  <c r="R50" i="62" s="1"/>
  <c r="S50" i="62" s="1"/>
  <c r="T50" i="62" s="1"/>
  <c r="U50" i="62" s="1"/>
  <c r="V50" i="62" s="1"/>
  <c r="W50" i="62" s="1"/>
  <c r="X50" i="62" s="1"/>
  <c r="Y50" i="62" s="1"/>
  <c r="Z50" i="62" s="1"/>
  <c r="AA50" i="62" s="1"/>
  <c r="AB50" i="62" s="1"/>
  <c r="AC50" i="62" s="1"/>
  <c r="G31" i="24"/>
  <c r="B8" i="62"/>
  <c r="C8" i="62" s="1"/>
  <c r="D8" i="62" s="1"/>
  <c r="E8" i="62" s="1"/>
  <c r="F8" i="62" s="1"/>
  <c r="G8" i="62" s="1"/>
  <c r="H8" i="62" s="1"/>
  <c r="I8" i="62" s="1"/>
  <c r="J8" i="62" s="1"/>
  <c r="K8" i="62" s="1"/>
  <c r="L8" i="62" s="1"/>
  <c r="M8" i="62" s="1"/>
  <c r="N8" i="62" s="1"/>
  <c r="O8" i="62" s="1"/>
  <c r="P8" i="62" s="1"/>
  <c r="Q8" i="62" s="1"/>
  <c r="R8" i="62" s="1"/>
  <c r="S8" i="62" s="1"/>
  <c r="T8" i="62" s="1"/>
  <c r="U8" i="62" s="1"/>
  <c r="V8" i="62" s="1"/>
  <c r="W8" i="62" s="1"/>
  <c r="X8" i="62" s="1"/>
  <c r="Y8" i="62" s="1"/>
  <c r="Z8" i="62" s="1"/>
  <c r="AA8" i="62" s="1"/>
  <c r="AB8" i="62" s="1"/>
  <c r="AC8" i="62" s="1"/>
  <c r="G29" i="24"/>
  <c r="G35" i="24" s="1"/>
  <c r="AH4" i="20" s="1"/>
  <c r="AH5" i="20" s="1"/>
  <c r="AH6" i="20" s="1"/>
  <c r="AH7" i="20" s="1"/>
  <c r="AH8" i="20" s="1"/>
  <c r="AH9" i="20" s="1"/>
  <c r="AH10" i="20" s="1"/>
  <c r="AH11" i="20" s="1"/>
  <c r="AH12" i="20" s="1"/>
  <c r="AH13" i="20" s="1"/>
  <c r="AH14" i="20" s="1"/>
  <c r="AH15" i="20" s="1"/>
  <c r="AH16" i="20" s="1"/>
  <c r="AH17" i="20" s="1"/>
  <c r="AH18" i="20" s="1"/>
  <c r="AH19" i="20" s="1"/>
  <c r="AH20" i="20" s="1"/>
  <c r="AH21" i="20" s="1"/>
  <c r="AH22" i="20" s="1"/>
  <c r="AH23" i="20" s="1"/>
  <c r="AH24" i="20" s="1"/>
  <c r="AH25" i="20" s="1"/>
  <c r="AH26" i="20" s="1"/>
  <c r="AH27" i="20" s="1"/>
  <c r="AH28" i="20" s="1"/>
  <c r="AH29" i="20" s="1"/>
  <c r="AH30" i="20" s="1"/>
  <c r="AH31" i="20" s="1"/>
  <c r="AH32" i="20" s="1"/>
  <c r="AH33" i="20" s="1"/>
  <c r="G26" i="24"/>
  <c r="B20" i="62"/>
  <c r="C20" i="62" s="1"/>
  <c r="D20" i="62" s="1"/>
  <c r="E20" i="62" s="1"/>
  <c r="F20" i="62" s="1"/>
  <c r="G20" i="62" s="1"/>
  <c r="H20" i="62" s="1"/>
  <c r="I20" i="62" s="1"/>
  <c r="J20" i="62" s="1"/>
  <c r="K20" i="62" s="1"/>
  <c r="L20" i="62" s="1"/>
  <c r="M20" i="62" s="1"/>
  <c r="N20" i="62" s="1"/>
  <c r="O20" i="62" s="1"/>
  <c r="P20" i="62" s="1"/>
  <c r="Q20" i="62" s="1"/>
  <c r="R20" i="62" s="1"/>
  <c r="S20" i="62" s="1"/>
  <c r="T20" i="62" s="1"/>
  <c r="U20" i="62" s="1"/>
  <c r="V20" i="62" s="1"/>
  <c r="W20" i="62" s="1"/>
  <c r="X20" i="62" s="1"/>
  <c r="Y20" i="62" s="1"/>
  <c r="Z20" i="62" s="1"/>
  <c r="AA20" i="62" s="1"/>
  <c r="AB20" i="62" s="1"/>
  <c r="AC20" i="62" s="1"/>
  <c r="G23" i="24"/>
  <c r="B38" i="62"/>
  <c r="C38" i="62" s="1"/>
  <c r="D38" i="62" s="1"/>
  <c r="E38" i="62" s="1"/>
  <c r="F38" i="62" s="1"/>
  <c r="G38" i="62" s="1"/>
  <c r="H38" i="62" s="1"/>
  <c r="I38" i="62" s="1"/>
  <c r="J38" i="62" s="1"/>
  <c r="K38" i="62" s="1"/>
  <c r="L38" i="62" s="1"/>
  <c r="M38" i="62" s="1"/>
  <c r="N38" i="62" s="1"/>
  <c r="O38" i="62" s="1"/>
  <c r="P38" i="62" s="1"/>
  <c r="Q38" i="62" s="1"/>
  <c r="R38" i="62" s="1"/>
  <c r="S38" i="62" s="1"/>
  <c r="T38" i="62" s="1"/>
  <c r="U38" i="62" s="1"/>
  <c r="V38" i="62" s="1"/>
  <c r="W38" i="62" s="1"/>
  <c r="X38" i="62" s="1"/>
  <c r="Y38" i="62" s="1"/>
  <c r="Z38" i="62" s="1"/>
  <c r="AA38" i="62" s="1"/>
  <c r="AB38" i="62" s="1"/>
  <c r="AC38" i="62" s="1"/>
  <c r="K135" i="3"/>
  <c r="I135" i="3" s="1"/>
  <c r="L58" i="3"/>
  <c r="K58" i="3"/>
  <c r="L12" i="7"/>
  <c r="K12" i="7"/>
  <c r="I12" i="7" s="1"/>
  <c r="K41" i="3"/>
  <c r="L41" i="3"/>
  <c r="L55" i="4"/>
  <c r="K55" i="4"/>
  <c r="K86" i="4"/>
  <c r="L86" i="4"/>
  <c r="L95" i="4"/>
  <c r="K95" i="4"/>
  <c r="L120" i="4"/>
  <c r="K120" i="4"/>
  <c r="I11" i="30"/>
  <c r="H22" i="24"/>
  <c r="B69" i="62"/>
  <c r="C69" i="62" s="1"/>
  <c r="D69" i="62" s="1"/>
  <c r="E69" i="62" s="1"/>
  <c r="F69" i="62" s="1"/>
  <c r="G69" i="62" s="1"/>
  <c r="H69" i="62" s="1"/>
  <c r="I69" i="62" s="1"/>
  <c r="J69" i="62" s="1"/>
  <c r="K69" i="62" s="1"/>
  <c r="L69" i="62" s="1"/>
  <c r="M69" i="62" s="1"/>
  <c r="N69" i="62" s="1"/>
  <c r="O69" i="62" s="1"/>
  <c r="P69" i="62" s="1"/>
  <c r="Q69" i="62" s="1"/>
  <c r="R69" i="62" s="1"/>
  <c r="S69" i="62" s="1"/>
  <c r="T69" i="62" s="1"/>
  <c r="U69" i="62" s="1"/>
  <c r="V69" i="62" s="1"/>
  <c r="W69" i="62" s="1"/>
  <c r="X69" i="62" s="1"/>
  <c r="Y69" i="62" s="1"/>
  <c r="Z69" i="62" s="1"/>
  <c r="AA69" i="62" s="1"/>
  <c r="AB69" i="62" s="1"/>
  <c r="AC69" i="62" s="1"/>
  <c r="B15" i="62"/>
  <c r="C15" i="62" s="1"/>
  <c r="D15" i="62" s="1"/>
  <c r="E15" i="62" s="1"/>
  <c r="F15" i="62" s="1"/>
  <c r="G15" i="62" s="1"/>
  <c r="H15" i="62" s="1"/>
  <c r="I15" i="62" s="1"/>
  <c r="J15" i="62" s="1"/>
  <c r="K15" i="62" s="1"/>
  <c r="L15" i="62" s="1"/>
  <c r="M15" i="62" s="1"/>
  <c r="N15" i="62" s="1"/>
  <c r="O15" i="62" s="1"/>
  <c r="P15" i="62" s="1"/>
  <c r="Q15" i="62" s="1"/>
  <c r="R15" i="62" s="1"/>
  <c r="S15" i="62" s="1"/>
  <c r="T15" i="62" s="1"/>
  <c r="U15" i="62" s="1"/>
  <c r="V15" i="62" s="1"/>
  <c r="W15" i="62" s="1"/>
  <c r="X15" i="62" s="1"/>
  <c r="Y15" i="62" s="1"/>
  <c r="Z15" i="62" s="1"/>
  <c r="AA15" i="62" s="1"/>
  <c r="AB15" i="62" s="1"/>
  <c r="AC15" i="62" s="1"/>
  <c r="B45" i="62"/>
  <c r="C45" i="62" s="1"/>
  <c r="D45" i="62" s="1"/>
  <c r="E45" i="62" s="1"/>
  <c r="F45" i="62" s="1"/>
  <c r="G45" i="62" s="1"/>
  <c r="H45" i="62" s="1"/>
  <c r="I45" i="62" s="1"/>
  <c r="J45" i="62" s="1"/>
  <c r="K45" i="62" s="1"/>
  <c r="L45" i="62" s="1"/>
  <c r="M45" i="62" s="1"/>
  <c r="N45" i="62" s="1"/>
  <c r="O45" i="62" s="1"/>
  <c r="P45" i="62" s="1"/>
  <c r="Q45" i="62" s="1"/>
  <c r="R45" i="62" s="1"/>
  <c r="S45" i="62" s="1"/>
  <c r="T45" i="62" s="1"/>
  <c r="U45" i="62" s="1"/>
  <c r="V45" i="62" s="1"/>
  <c r="W45" i="62" s="1"/>
  <c r="X45" i="62" s="1"/>
  <c r="Y45" i="62" s="1"/>
  <c r="Z45" i="62" s="1"/>
  <c r="AA45" i="62" s="1"/>
  <c r="AB45" i="62" s="1"/>
  <c r="AC45" i="62" s="1"/>
  <c r="H27" i="24"/>
  <c r="H25" i="24"/>
  <c r="L47" i="9"/>
  <c r="K47" i="9"/>
  <c r="I101" i="9"/>
  <c r="K216" i="3"/>
  <c r="L216" i="3"/>
  <c r="K40" i="7"/>
  <c r="L40" i="7"/>
  <c r="K129" i="4"/>
  <c r="L129" i="4"/>
  <c r="L25" i="4"/>
  <c r="K25" i="4"/>
  <c r="L11" i="9"/>
  <c r="K11" i="9"/>
  <c r="I206" i="4"/>
  <c r="L198" i="3"/>
  <c r="K198" i="3"/>
  <c r="I198" i="3" s="1"/>
  <c r="L65" i="9"/>
  <c r="K65" i="9"/>
  <c r="K26" i="4"/>
  <c r="L26" i="4"/>
  <c r="L33" i="4"/>
  <c r="K33" i="4"/>
  <c r="I431" i="29"/>
  <c r="I435" i="29"/>
  <c r="I254" i="29"/>
  <c r="I65" i="8"/>
  <c r="I144" i="9"/>
  <c r="I36" i="7"/>
  <c r="I48" i="9"/>
  <c r="I44" i="8"/>
  <c r="I51" i="29"/>
  <c r="I50" i="8"/>
  <c r="L228" i="4"/>
  <c r="K25" i="12"/>
  <c r="I25" i="12" s="1"/>
  <c r="K147" i="9"/>
  <c r="I147" i="9" s="1"/>
  <c r="K231" i="4"/>
  <c r="I231" i="4" s="1"/>
  <c r="K49" i="7"/>
  <c r="I49" i="7" s="1"/>
  <c r="L266" i="3"/>
  <c r="I266" i="3" s="1"/>
  <c r="L229" i="3"/>
  <c r="I229" i="3" s="1"/>
  <c r="H28" i="24"/>
  <c r="G25" i="24"/>
  <c r="L29" i="4"/>
  <c r="I29" i="4" s="1"/>
  <c r="K103" i="3"/>
  <c r="I103" i="3" s="1"/>
  <c r="K238" i="3"/>
  <c r="I238" i="3" s="1"/>
  <c r="I253" i="29"/>
  <c r="L240" i="29"/>
  <c r="K20" i="12"/>
  <c r="I20" i="12" s="1"/>
  <c r="I169" i="3"/>
  <c r="K104" i="3"/>
  <c r="I104" i="3" s="1"/>
  <c r="K53" i="5"/>
  <c r="I53" i="5" s="1"/>
  <c r="O67" i="2"/>
  <c r="C256" i="30" a="1"/>
  <c r="C256" i="30" s="1"/>
  <c r="C265" i="30" a="1"/>
  <c r="C265" i="30" s="1"/>
  <c r="B12" i="66" a="1"/>
  <c r="B12" i="66" s="1"/>
  <c r="C266" i="30" a="1"/>
  <c r="C266" i="30" s="1"/>
  <c r="L293" i="29"/>
  <c r="I127" i="30"/>
  <c r="K54" i="5"/>
  <c r="I54" i="5" s="1"/>
  <c r="K95" i="3"/>
  <c r="I95" i="3" s="1"/>
  <c r="D158" i="20"/>
  <c r="D170" i="20"/>
  <c r="I75" i="30"/>
  <c r="L132" i="4"/>
  <c r="I132" i="4" s="1"/>
  <c r="I8" i="8"/>
  <c r="C260" i="30" a="1"/>
  <c r="C260" i="30" s="1"/>
  <c r="C17" i="5" a="1"/>
  <c r="C17" i="5" s="1"/>
  <c r="K17" i="5" s="1"/>
  <c r="C26" i="5" a="1"/>
  <c r="C26" i="5" s="1"/>
  <c r="K26" i="5" s="1"/>
  <c r="C264" i="30" a="1"/>
  <c r="C264" i="30" s="1"/>
  <c r="K112" i="3"/>
  <c r="I112" i="3" s="1"/>
  <c r="K141" i="3"/>
  <c r="I141" i="3" s="1"/>
  <c r="K125" i="3"/>
  <c r="I125" i="3" s="1"/>
  <c r="C2" i="14"/>
  <c r="AA432" i="13" s="1"/>
  <c r="K124" i="3"/>
  <c r="I124" i="3" s="1"/>
  <c r="K183" i="3"/>
  <c r="K87" i="30"/>
  <c r="I87" i="30" s="1"/>
  <c r="I95" i="8"/>
  <c r="B24" i="66" a="1"/>
  <c r="B24" i="66" s="1"/>
  <c r="K54" i="9"/>
  <c r="I54" i="9" s="1"/>
  <c r="C13" i="5" a="1"/>
  <c r="C13" i="5" s="1"/>
  <c r="L13" i="5" s="1"/>
  <c r="B4" i="66" a="1"/>
  <c r="B4" i="66" s="1"/>
  <c r="C14" i="5" a="1"/>
  <c r="C14" i="5" s="1"/>
  <c r="L14" i="5" s="1"/>
  <c r="C273" i="30" a="1"/>
  <c r="C273" i="30" s="1"/>
  <c r="C29" i="5" a="1"/>
  <c r="C29" i="5" s="1"/>
  <c r="K242" i="11"/>
  <c r="I242" i="11" s="1"/>
  <c r="K110" i="9"/>
  <c r="I110" i="9" s="1"/>
  <c r="I206" i="30"/>
  <c r="L150" i="30"/>
  <c r="I311" i="29"/>
  <c r="I165" i="29"/>
  <c r="L149" i="9"/>
  <c r="I31" i="7"/>
  <c r="K138" i="3"/>
  <c r="I138" i="3" s="1"/>
  <c r="K48" i="5"/>
  <c r="I48" i="5" s="1"/>
  <c r="I7" i="7"/>
  <c r="K28" i="3"/>
  <c r="I28" i="3" s="1"/>
  <c r="D162" i="20"/>
  <c r="I36" i="6"/>
  <c r="D26" i="24"/>
  <c r="L162" i="3"/>
  <c r="K244" i="11"/>
  <c r="I244" i="11" s="1"/>
  <c r="I507" i="29"/>
  <c r="K35" i="3"/>
  <c r="I35" i="3" s="1"/>
  <c r="O95" i="29"/>
  <c r="E25" i="24"/>
  <c r="B30" i="62"/>
  <c r="C30" i="62" s="1"/>
  <c r="D30" i="62" s="1"/>
  <c r="E30" i="62" s="1"/>
  <c r="F30" i="62" s="1"/>
  <c r="G30" i="62" s="1"/>
  <c r="H30" i="62" s="1"/>
  <c r="I30" i="62" s="1"/>
  <c r="J30" i="62" s="1"/>
  <c r="K30" i="62" s="1"/>
  <c r="L30" i="62" s="1"/>
  <c r="M30" i="62" s="1"/>
  <c r="N30" i="62" s="1"/>
  <c r="O30" i="62" s="1"/>
  <c r="P30" i="62" s="1"/>
  <c r="Q30" i="62" s="1"/>
  <c r="R30" i="62" s="1"/>
  <c r="S30" i="62" s="1"/>
  <c r="T30" i="62" s="1"/>
  <c r="U30" i="62" s="1"/>
  <c r="V30" i="62" s="1"/>
  <c r="W30" i="62" s="1"/>
  <c r="X30" i="62" s="1"/>
  <c r="Y30" i="62" s="1"/>
  <c r="Z30" i="62" s="1"/>
  <c r="AA30" i="62" s="1"/>
  <c r="AB30" i="62" s="1"/>
  <c r="AC30" i="62" s="1"/>
  <c r="B24" i="62"/>
  <c r="C24" i="62" s="1"/>
  <c r="D24" i="62" s="1"/>
  <c r="E24" i="62" s="1"/>
  <c r="F24" i="62" s="1"/>
  <c r="G24" i="62" s="1"/>
  <c r="H24" i="62" s="1"/>
  <c r="I24" i="62" s="1"/>
  <c r="J24" i="62" s="1"/>
  <c r="K24" i="62" s="1"/>
  <c r="L24" i="62" s="1"/>
  <c r="M24" i="62" s="1"/>
  <c r="N24" i="62" s="1"/>
  <c r="O24" i="62" s="1"/>
  <c r="P24" i="62" s="1"/>
  <c r="Q24" i="62" s="1"/>
  <c r="R24" i="62" s="1"/>
  <c r="S24" i="62" s="1"/>
  <c r="T24" i="62" s="1"/>
  <c r="U24" i="62" s="1"/>
  <c r="V24" i="62" s="1"/>
  <c r="W24" i="62" s="1"/>
  <c r="X24" i="62" s="1"/>
  <c r="Y24" i="62" s="1"/>
  <c r="Z24" i="62" s="1"/>
  <c r="AA24" i="62" s="1"/>
  <c r="AB24" i="62" s="1"/>
  <c r="AC24" i="62" s="1"/>
  <c r="E32" i="24"/>
  <c r="E30" i="24"/>
  <c r="B6" i="62"/>
  <c r="E29" i="24"/>
  <c r="E22" i="24"/>
  <c r="E21" i="24"/>
  <c r="B60" i="62"/>
  <c r="C60" i="62" s="1"/>
  <c r="D60" i="62" s="1"/>
  <c r="E60" i="62" s="1"/>
  <c r="F60" i="62" s="1"/>
  <c r="G60" i="62" s="1"/>
  <c r="H60" i="62" s="1"/>
  <c r="I60" i="62" s="1"/>
  <c r="J60" i="62" s="1"/>
  <c r="K60" i="62" s="1"/>
  <c r="L60" i="62" s="1"/>
  <c r="M60" i="62" s="1"/>
  <c r="N60" i="62" s="1"/>
  <c r="O60" i="62" s="1"/>
  <c r="P60" i="62" s="1"/>
  <c r="Q60" i="62" s="1"/>
  <c r="R60" i="62" s="1"/>
  <c r="S60" i="62" s="1"/>
  <c r="T60" i="62" s="1"/>
  <c r="U60" i="62" s="1"/>
  <c r="V60" i="62" s="1"/>
  <c r="W60" i="62" s="1"/>
  <c r="X60" i="62" s="1"/>
  <c r="Y60" i="62" s="1"/>
  <c r="Z60" i="62" s="1"/>
  <c r="AA60" i="62" s="1"/>
  <c r="AB60" i="62" s="1"/>
  <c r="AC60" i="62" s="1"/>
  <c r="B78" i="62"/>
  <c r="B36" i="62"/>
  <c r="C36" i="62" s="1"/>
  <c r="D36" i="62" s="1"/>
  <c r="E36" i="62" s="1"/>
  <c r="F36" i="62" s="1"/>
  <c r="G36" i="62" s="1"/>
  <c r="H36" i="62" s="1"/>
  <c r="I36" i="62" s="1"/>
  <c r="J36" i="62" s="1"/>
  <c r="K36" i="62" s="1"/>
  <c r="L36" i="62" s="1"/>
  <c r="M36" i="62" s="1"/>
  <c r="N36" i="62" s="1"/>
  <c r="O36" i="62" s="1"/>
  <c r="P36" i="62" s="1"/>
  <c r="Q36" i="62" s="1"/>
  <c r="R36" i="62" s="1"/>
  <c r="S36" i="62" s="1"/>
  <c r="T36" i="62" s="1"/>
  <c r="U36" i="62" s="1"/>
  <c r="V36" i="62" s="1"/>
  <c r="W36" i="62" s="1"/>
  <c r="X36" i="62" s="1"/>
  <c r="Y36" i="62" s="1"/>
  <c r="Z36" i="62" s="1"/>
  <c r="AA36" i="62" s="1"/>
  <c r="AB36" i="62" s="1"/>
  <c r="AC36" i="62" s="1"/>
  <c r="B12" i="62"/>
  <c r="C12" i="62" s="1"/>
  <c r="D12" i="62" s="1"/>
  <c r="E12" i="62" s="1"/>
  <c r="F12" i="62" s="1"/>
  <c r="G12" i="62" s="1"/>
  <c r="H12" i="62" s="1"/>
  <c r="I12" i="62" s="1"/>
  <c r="J12" i="62" s="1"/>
  <c r="K12" i="62" s="1"/>
  <c r="L12" i="62" s="1"/>
  <c r="M12" i="62" s="1"/>
  <c r="N12" i="62" s="1"/>
  <c r="O12" i="62" s="1"/>
  <c r="P12" i="62" s="1"/>
  <c r="Q12" i="62" s="1"/>
  <c r="R12" i="62" s="1"/>
  <c r="S12" i="62" s="1"/>
  <c r="T12" i="62" s="1"/>
  <c r="U12" i="62" s="1"/>
  <c r="V12" i="62" s="1"/>
  <c r="W12" i="62" s="1"/>
  <c r="X12" i="62" s="1"/>
  <c r="Y12" i="62" s="1"/>
  <c r="Z12" i="62" s="1"/>
  <c r="AA12" i="62" s="1"/>
  <c r="AB12" i="62" s="1"/>
  <c r="AC12" i="62" s="1"/>
  <c r="B72" i="62"/>
  <c r="C72" i="62" s="1"/>
  <c r="D72" i="62" s="1"/>
  <c r="E72" i="62" s="1"/>
  <c r="F72" i="62" s="1"/>
  <c r="G72" i="62" s="1"/>
  <c r="H72" i="62" s="1"/>
  <c r="I72" i="62" s="1"/>
  <c r="J72" i="62" s="1"/>
  <c r="K72" i="62" s="1"/>
  <c r="L72" i="62" s="1"/>
  <c r="M72" i="62" s="1"/>
  <c r="N72" i="62" s="1"/>
  <c r="O72" i="62" s="1"/>
  <c r="P72" i="62" s="1"/>
  <c r="Q72" i="62" s="1"/>
  <c r="R72" i="62" s="1"/>
  <c r="S72" i="62" s="1"/>
  <c r="T72" i="62" s="1"/>
  <c r="U72" i="62" s="1"/>
  <c r="V72" i="62" s="1"/>
  <c r="W72" i="62" s="1"/>
  <c r="X72" i="62" s="1"/>
  <c r="Y72" i="62" s="1"/>
  <c r="Z72" i="62" s="1"/>
  <c r="AA72" i="62" s="1"/>
  <c r="AB72" i="62" s="1"/>
  <c r="AC72" i="62" s="1"/>
  <c r="B18" i="62"/>
  <c r="C18" i="62" s="1"/>
  <c r="D18" i="62" s="1"/>
  <c r="E18" i="62" s="1"/>
  <c r="F18" i="62" s="1"/>
  <c r="G18" i="62" s="1"/>
  <c r="H18" i="62" s="1"/>
  <c r="I18" i="62" s="1"/>
  <c r="J18" i="62" s="1"/>
  <c r="K18" i="62" s="1"/>
  <c r="L18" i="62" s="1"/>
  <c r="M18" i="62" s="1"/>
  <c r="N18" i="62" s="1"/>
  <c r="O18" i="62" s="1"/>
  <c r="P18" i="62" s="1"/>
  <c r="Q18" i="62" s="1"/>
  <c r="R18" i="62" s="1"/>
  <c r="S18" i="62" s="1"/>
  <c r="T18" i="62" s="1"/>
  <c r="U18" i="62" s="1"/>
  <c r="V18" i="62" s="1"/>
  <c r="W18" i="62" s="1"/>
  <c r="X18" i="62" s="1"/>
  <c r="Y18" i="62" s="1"/>
  <c r="Z18" i="62" s="1"/>
  <c r="AA18" i="62" s="1"/>
  <c r="AB18" i="62" s="1"/>
  <c r="AC18" i="62" s="1"/>
  <c r="B66" i="62"/>
  <c r="C66" i="62" s="1"/>
  <c r="D66" i="62" s="1"/>
  <c r="E66" i="62" s="1"/>
  <c r="F66" i="62" s="1"/>
  <c r="G66" i="62" s="1"/>
  <c r="H66" i="62" s="1"/>
  <c r="I66" i="62" s="1"/>
  <c r="J66" i="62" s="1"/>
  <c r="K66" i="62" s="1"/>
  <c r="L66" i="62" s="1"/>
  <c r="M66" i="62" s="1"/>
  <c r="N66" i="62" s="1"/>
  <c r="O66" i="62" s="1"/>
  <c r="P66" i="62" s="1"/>
  <c r="Q66" i="62" s="1"/>
  <c r="R66" i="62" s="1"/>
  <c r="S66" i="62" s="1"/>
  <c r="T66" i="62" s="1"/>
  <c r="U66" i="62" s="1"/>
  <c r="V66" i="62" s="1"/>
  <c r="W66" i="62" s="1"/>
  <c r="X66" i="62" s="1"/>
  <c r="Y66" i="62" s="1"/>
  <c r="Z66" i="62" s="1"/>
  <c r="AA66" i="62" s="1"/>
  <c r="AB66" i="62" s="1"/>
  <c r="AC66" i="62" s="1"/>
  <c r="AD65" i="62" s="1"/>
  <c r="E23" i="24"/>
  <c r="B54" i="62"/>
  <c r="C54" i="62" s="1"/>
  <c r="D54" i="62" s="1"/>
  <c r="E54" i="62" s="1"/>
  <c r="F54" i="62" s="1"/>
  <c r="G54" i="62" s="1"/>
  <c r="H54" i="62" s="1"/>
  <c r="I54" i="62" s="1"/>
  <c r="J54" i="62" s="1"/>
  <c r="K54" i="62" s="1"/>
  <c r="L54" i="62" s="1"/>
  <c r="M54" i="62" s="1"/>
  <c r="N54" i="62" s="1"/>
  <c r="O54" i="62" s="1"/>
  <c r="P54" i="62" s="1"/>
  <c r="Q54" i="62" s="1"/>
  <c r="R54" i="62" s="1"/>
  <c r="S54" i="62" s="1"/>
  <c r="T54" i="62" s="1"/>
  <c r="U54" i="62" s="1"/>
  <c r="V54" i="62" s="1"/>
  <c r="W54" i="62" s="1"/>
  <c r="X54" i="62" s="1"/>
  <c r="Y54" i="62" s="1"/>
  <c r="Z54" i="62" s="1"/>
  <c r="AA54" i="62" s="1"/>
  <c r="AB54" i="62" s="1"/>
  <c r="AC54" i="62" s="1"/>
  <c r="B48" i="62"/>
  <c r="C48" i="62" s="1"/>
  <c r="D48" i="62" s="1"/>
  <c r="E48" i="62" s="1"/>
  <c r="F48" i="62" s="1"/>
  <c r="G48" i="62" s="1"/>
  <c r="H48" i="62" s="1"/>
  <c r="I48" i="62" s="1"/>
  <c r="J48" i="62" s="1"/>
  <c r="K48" i="62" s="1"/>
  <c r="L48" i="62" s="1"/>
  <c r="M48" i="62" s="1"/>
  <c r="N48" i="62" s="1"/>
  <c r="O48" i="62" s="1"/>
  <c r="P48" i="62" s="1"/>
  <c r="Q48" i="62" s="1"/>
  <c r="R48" i="62" s="1"/>
  <c r="S48" i="62" s="1"/>
  <c r="T48" i="62" s="1"/>
  <c r="U48" i="62" s="1"/>
  <c r="V48" i="62" s="1"/>
  <c r="W48" i="62" s="1"/>
  <c r="X48" i="62" s="1"/>
  <c r="Y48" i="62" s="1"/>
  <c r="Z48" i="62" s="1"/>
  <c r="AA48" i="62" s="1"/>
  <c r="AB48" i="62" s="1"/>
  <c r="AC48" i="62" s="1"/>
  <c r="B42" i="62"/>
  <c r="C42" i="62" s="1"/>
  <c r="D42" i="62" s="1"/>
  <c r="E42" i="62" s="1"/>
  <c r="F42" i="62" s="1"/>
  <c r="G42" i="62" s="1"/>
  <c r="H42" i="62" s="1"/>
  <c r="I42" i="62" s="1"/>
  <c r="J42" i="62" s="1"/>
  <c r="K42" i="62" s="1"/>
  <c r="L42" i="62" s="1"/>
  <c r="M42" i="62" s="1"/>
  <c r="N42" i="62" s="1"/>
  <c r="O42" i="62" s="1"/>
  <c r="P42" i="62" s="1"/>
  <c r="Q42" i="62" s="1"/>
  <c r="R42" i="62" s="1"/>
  <c r="S42" i="62" s="1"/>
  <c r="T42" i="62" s="1"/>
  <c r="U42" i="62" s="1"/>
  <c r="V42" i="62" s="1"/>
  <c r="W42" i="62" s="1"/>
  <c r="X42" i="62" s="1"/>
  <c r="Y42" i="62" s="1"/>
  <c r="Z42" i="62" s="1"/>
  <c r="AA42" i="62" s="1"/>
  <c r="AB42" i="62" s="1"/>
  <c r="AC42" i="62" s="1"/>
  <c r="E28" i="24"/>
  <c r="E33" i="24"/>
  <c r="E31" i="24"/>
  <c r="E26" i="24"/>
  <c r="K58" i="2"/>
  <c r="L58" i="2"/>
  <c r="L71" i="2"/>
  <c r="K71" i="2"/>
  <c r="L127" i="2"/>
  <c r="L125" i="2" s="1"/>
  <c r="K127" i="2"/>
  <c r="K81" i="3"/>
  <c r="L81" i="3"/>
  <c r="L80" i="3" s="1"/>
  <c r="L180" i="3"/>
  <c r="K180" i="3"/>
  <c r="L208" i="3"/>
  <c r="K208" i="3"/>
  <c r="K263" i="3"/>
  <c r="L263" i="3"/>
  <c r="K47" i="4"/>
  <c r="L47" i="4"/>
  <c r="L108" i="4"/>
  <c r="K108" i="4"/>
  <c r="K176" i="4"/>
  <c r="I176" i="4" s="1"/>
  <c r="L176" i="4"/>
  <c r="L213" i="4"/>
  <c r="K213" i="4"/>
  <c r="K65" i="5"/>
  <c r="L65" i="5"/>
  <c r="L10" i="7"/>
  <c r="K10" i="7"/>
  <c r="I10" i="7" s="1"/>
  <c r="L50" i="7"/>
  <c r="K50" i="7"/>
  <c r="L8" i="12"/>
  <c r="K8" i="12"/>
  <c r="L115" i="9"/>
  <c r="L114" i="9" s="1"/>
  <c r="K115" i="9"/>
  <c r="K136" i="9"/>
  <c r="L136" i="9"/>
  <c r="K42" i="11"/>
  <c r="L42" i="11"/>
  <c r="K121" i="11"/>
  <c r="L121" i="11"/>
  <c r="I198" i="29"/>
  <c r="L192" i="29"/>
  <c r="L38" i="29"/>
  <c r="O38" i="29"/>
  <c r="K24" i="29"/>
  <c r="O24" i="29"/>
  <c r="K73" i="29"/>
  <c r="I73" i="29" s="1"/>
  <c r="O73" i="29"/>
  <c r="L127" i="11"/>
  <c r="K127" i="11"/>
  <c r="L18" i="12"/>
  <c r="K18" i="12"/>
  <c r="I18" i="12" s="1"/>
  <c r="K215" i="4"/>
  <c r="I215" i="4" s="1"/>
  <c r="L215" i="4"/>
  <c r="L219" i="4"/>
  <c r="K219" i="4"/>
  <c r="L230" i="3"/>
  <c r="K230" i="3"/>
  <c r="K236" i="3"/>
  <c r="L236" i="3"/>
  <c r="L235" i="3" s="1"/>
  <c r="K130" i="4"/>
  <c r="L130" i="4"/>
  <c r="L148" i="4"/>
  <c r="K148" i="4"/>
  <c r="I148" i="4" s="1"/>
  <c r="I492" i="29"/>
  <c r="I61" i="11"/>
  <c r="I18" i="11"/>
  <c r="I440" i="29"/>
  <c r="L439" i="29"/>
  <c r="O66" i="29"/>
  <c r="K131" i="11"/>
  <c r="I131" i="11" s="1"/>
  <c r="K529" i="29"/>
  <c r="I530" i="29"/>
  <c r="K131" i="30"/>
  <c r="I134" i="30"/>
  <c r="L197" i="4"/>
  <c r="K197" i="4"/>
  <c r="K37" i="7"/>
  <c r="L37" i="7"/>
  <c r="K22" i="12"/>
  <c r="L22" i="12"/>
  <c r="L226" i="3"/>
  <c r="K226" i="3"/>
  <c r="L224" i="3"/>
  <c r="K224" i="3"/>
  <c r="L126" i="4"/>
  <c r="K126" i="4"/>
  <c r="L144" i="4"/>
  <c r="K144" i="4"/>
  <c r="L171" i="4"/>
  <c r="K171" i="4"/>
  <c r="K63" i="3"/>
  <c r="L63" i="3"/>
  <c r="L60" i="3" s="1"/>
  <c r="L32" i="3"/>
  <c r="K32" i="3"/>
  <c r="I454" i="29"/>
  <c r="I414" i="29"/>
  <c r="I471" i="29"/>
  <c r="I163" i="29"/>
  <c r="D55" i="20"/>
  <c r="I52" i="8"/>
  <c r="L221" i="11"/>
  <c r="K221" i="11"/>
  <c r="L208" i="11"/>
  <c r="K208" i="11"/>
  <c r="I208" i="11" s="1"/>
  <c r="K223" i="11"/>
  <c r="L223" i="11"/>
  <c r="L347" i="29"/>
  <c r="L217" i="3"/>
  <c r="K217" i="3"/>
  <c r="K21" i="7"/>
  <c r="L21" i="7"/>
  <c r="I235" i="4"/>
  <c r="K233" i="4"/>
  <c r="I377" i="29"/>
  <c r="I219" i="29"/>
  <c r="I98" i="2"/>
  <c r="I186" i="29"/>
  <c r="I110" i="29"/>
  <c r="I44" i="30"/>
  <c r="I36" i="2"/>
  <c r="I46" i="2"/>
  <c r="I194" i="4"/>
  <c r="I94" i="29"/>
  <c r="I97" i="9"/>
  <c r="K288" i="30"/>
  <c r="I288" i="30" s="1"/>
  <c r="L288" i="30"/>
  <c r="I92" i="29"/>
  <c r="L565" i="29"/>
  <c r="I510" i="29"/>
  <c r="L215" i="11"/>
  <c r="L213" i="11" s="1"/>
  <c r="I494" i="29"/>
  <c r="K224" i="11"/>
  <c r="I224" i="11" s="1"/>
  <c r="L206" i="11"/>
  <c r="I206" i="11" s="1"/>
  <c r="I63" i="2"/>
  <c r="I14" i="12"/>
  <c r="I88" i="11"/>
  <c r="I157" i="11"/>
  <c r="I475" i="29"/>
  <c r="I482" i="29"/>
  <c r="I245" i="29"/>
  <c r="I182" i="29"/>
  <c r="I376" i="29"/>
  <c r="I28" i="9"/>
  <c r="I40" i="8"/>
  <c r="L38" i="8"/>
  <c r="I38" i="8" s="1"/>
  <c r="K309" i="29"/>
  <c r="I30" i="9"/>
  <c r="I265" i="29"/>
  <c r="L260" i="29"/>
  <c r="I260" i="29" s="1"/>
  <c r="I278" i="29"/>
  <c r="K139" i="3"/>
  <c r="I139" i="3" s="1"/>
  <c r="I267" i="29"/>
  <c r="I29" i="29"/>
  <c r="I67" i="5"/>
  <c r="I179" i="4"/>
  <c r="L41" i="30"/>
  <c r="K23" i="29"/>
  <c r="L23" i="29"/>
  <c r="I20" i="29"/>
  <c r="L204" i="11"/>
  <c r="I204" i="11" s="1"/>
  <c r="L226" i="29"/>
  <c r="I224" i="29"/>
  <c r="L65" i="2"/>
  <c r="I65" i="2" s="1"/>
  <c r="I182" i="11"/>
  <c r="I393" i="29"/>
  <c r="K192" i="29"/>
  <c r="I557" i="29"/>
  <c r="I387" i="29"/>
  <c r="I469" i="29"/>
  <c r="K195" i="11"/>
  <c r="I195" i="11" s="1"/>
  <c r="I14" i="29"/>
  <c r="K92" i="2"/>
  <c r="I92" i="2" s="1"/>
  <c r="I95" i="2"/>
  <c r="I138" i="2"/>
  <c r="I114" i="11"/>
  <c r="I544" i="29"/>
  <c r="K87" i="29"/>
  <c r="L588" i="29"/>
  <c r="L201" i="29"/>
  <c r="I80" i="8"/>
  <c r="B7" i="14"/>
  <c r="M437" i="13" s="1"/>
  <c r="I251" i="30"/>
  <c r="L11" i="29"/>
  <c r="K11" i="29"/>
  <c r="O55" i="2"/>
  <c r="L55" i="2"/>
  <c r="I55" i="2" s="1"/>
  <c r="I81" i="29"/>
  <c r="I86" i="11"/>
  <c r="I519" i="29"/>
  <c r="I53" i="29"/>
  <c r="K220" i="11"/>
  <c r="K200" i="11"/>
  <c r="L200" i="11"/>
  <c r="K193" i="11"/>
  <c r="I62" i="2"/>
  <c r="K58" i="8"/>
  <c r="L239" i="11"/>
  <c r="I239" i="11" s="1"/>
  <c r="I215" i="29"/>
  <c r="L87" i="29"/>
  <c r="K271" i="29"/>
  <c r="I271" i="29" s="1"/>
  <c r="I168" i="30"/>
  <c r="K160" i="30"/>
  <c r="L7" i="6"/>
  <c r="O290" i="30"/>
  <c r="L230" i="11"/>
  <c r="I230" i="11" s="1"/>
  <c r="K32" i="29"/>
  <c r="L84" i="11"/>
  <c r="I134" i="2"/>
  <c r="D150" i="20"/>
  <c r="I42" i="29"/>
  <c r="J7" i="27"/>
  <c r="J13" i="27"/>
  <c r="K194" i="11"/>
  <c r="L194" i="11"/>
  <c r="I164" i="11"/>
  <c r="I101" i="11"/>
  <c r="I108" i="11"/>
  <c r="I60" i="11"/>
  <c r="I512" i="29"/>
  <c r="I187" i="29"/>
  <c r="I97" i="29"/>
  <c r="L36" i="4"/>
  <c r="I64" i="8"/>
  <c r="K63" i="8"/>
  <c r="I63" i="8" s="1"/>
  <c r="I121" i="30"/>
  <c r="I286" i="30"/>
  <c r="I103" i="11"/>
  <c r="L529" i="29"/>
  <c r="I170" i="30"/>
  <c r="I159" i="4"/>
  <c r="I30" i="8"/>
  <c r="K29" i="8"/>
  <c r="I29" i="8" s="1"/>
  <c r="I320" i="29"/>
  <c r="I293" i="30"/>
  <c r="K115" i="30"/>
  <c r="I115" i="30" s="1"/>
  <c r="I118" i="30"/>
  <c r="I581" i="29"/>
  <c r="I90" i="8"/>
  <c r="L89" i="8"/>
  <c r="I232" i="29"/>
  <c r="I325" i="29"/>
  <c r="L65" i="3"/>
  <c r="I65" i="3" s="1"/>
  <c r="I305" i="30"/>
  <c r="I236" i="4"/>
  <c r="I99" i="11"/>
  <c r="I349" i="29"/>
  <c r="I350" i="29"/>
  <c r="I16" i="12"/>
  <c r="I131" i="9"/>
  <c r="I80" i="4"/>
  <c r="O304" i="30"/>
  <c r="K580" i="29"/>
  <c r="K538" i="29"/>
  <c r="I161" i="11"/>
  <c r="L151" i="11"/>
  <c r="I186" i="11"/>
  <c r="I562" i="29"/>
  <c r="I344" i="29"/>
  <c r="I410" i="29"/>
  <c r="I449" i="29"/>
  <c r="I473" i="29"/>
  <c r="I103" i="29"/>
  <c r="I323" i="29"/>
  <c r="I182" i="30"/>
  <c r="I321" i="29"/>
  <c r="I225" i="30"/>
  <c r="I203" i="3"/>
  <c r="L150" i="29"/>
  <c r="I213" i="3"/>
  <c r="K109" i="2"/>
  <c r="L109" i="2"/>
  <c r="K81" i="2"/>
  <c r="L81" i="2"/>
  <c r="K51" i="3"/>
  <c r="L51" i="3"/>
  <c r="L55" i="3"/>
  <c r="K55" i="3"/>
  <c r="K204" i="4"/>
  <c r="L204" i="4"/>
  <c r="L208" i="4"/>
  <c r="K208" i="4"/>
  <c r="K102" i="2"/>
  <c r="L102" i="2"/>
  <c r="I101" i="4"/>
  <c r="L41" i="9"/>
  <c r="K41" i="9"/>
  <c r="I41" i="9" s="1"/>
  <c r="L115" i="4"/>
  <c r="K115" i="4"/>
  <c r="L149" i="3"/>
  <c r="K149" i="3"/>
  <c r="L88" i="7"/>
  <c r="K88" i="7"/>
  <c r="L16" i="7"/>
  <c r="K16" i="7"/>
  <c r="L20" i="7"/>
  <c r="K20" i="7"/>
  <c r="K60" i="7"/>
  <c r="L60" i="7"/>
  <c r="K64" i="7"/>
  <c r="L64" i="7"/>
  <c r="K257" i="3"/>
  <c r="L257" i="3"/>
  <c r="K261" i="3"/>
  <c r="L261" i="3"/>
  <c r="K158" i="3"/>
  <c r="L158" i="3"/>
  <c r="K164" i="3"/>
  <c r="L164" i="3"/>
  <c r="L170" i="3"/>
  <c r="K170" i="3"/>
  <c r="I170" i="3" s="1"/>
  <c r="L7" i="4"/>
  <c r="K7" i="4"/>
  <c r="K14" i="4"/>
  <c r="L14" i="4"/>
  <c r="L21" i="4"/>
  <c r="K21" i="4"/>
  <c r="L28" i="4"/>
  <c r="K28" i="4"/>
  <c r="K69" i="7"/>
  <c r="L69" i="7"/>
  <c r="I25" i="29"/>
  <c r="L443" i="29"/>
  <c r="J15" i="27"/>
  <c r="I194" i="3"/>
  <c r="I80" i="11"/>
  <c r="I155" i="11"/>
  <c r="I62" i="11"/>
  <c r="I511" i="29"/>
  <c r="I143" i="29"/>
  <c r="I395" i="29"/>
  <c r="I491" i="29"/>
  <c r="I109" i="29"/>
  <c r="I571" i="29"/>
  <c r="I269" i="29"/>
  <c r="L367" i="29"/>
  <c r="I179" i="29"/>
  <c r="I534" i="29"/>
  <c r="I68" i="5"/>
  <c r="K226" i="29"/>
  <c r="B9" i="14"/>
  <c r="M439" i="13" s="1"/>
  <c r="I43" i="9"/>
  <c r="K73" i="30"/>
  <c r="I212" i="30"/>
  <c r="I229" i="4"/>
  <c r="I155" i="29"/>
  <c r="L155" i="4"/>
  <c r="L55" i="7"/>
  <c r="I55" i="7" s="1"/>
  <c r="K126" i="3"/>
  <c r="I126" i="3" s="1"/>
  <c r="I533" i="29"/>
  <c r="K592" i="29"/>
  <c r="I593" i="29"/>
  <c r="I198" i="30"/>
  <c r="K41" i="30"/>
  <c r="I37" i="2"/>
  <c r="I214" i="4"/>
  <c r="I100" i="4"/>
  <c r="I262" i="29"/>
  <c r="I426" i="29"/>
  <c r="I16" i="6"/>
  <c r="K136" i="30"/>
  <c r="I357" i="29"/>
  <c r="I176" i="29"/>
  <c r="L402" i="29"/>
  <c r="L112" i="2"/>
  <c r="I112" i="2" s="1"/>
  <c r="K129" i="2"/>
  <c r="L129" i="2"/>
  <c r="L272" i="3"/>
  <c r="K272" i="3"/>
  <c r="I272" i="3" s="1"/>
  <c r="L56" i="4"/>
  <c r="K56" i="4"/>
  <c r="K156" i="4"/>
  <c r="L156" i="4"/>
  <c r="I180" i="4"/>
  <c r="L9" i="12"/>
  <c r="K9" i="12"/>
  <c r="K118" i="9"/>
  <c r="K114" i="9" s="1"/>
  <c r="L118" i="9"/>
  <c r="L93" i="7"/>
  <c r="K93" i="7"/>
  <c r="K198" i="4"/>
  <c r="I198" i="4" s="1"/>
  <c r="L198" i="4"/>
  <c r="K38" i="7"/>
  <c r="L38" i="7"/>
  <c r="L19" i="12"/>
  <c r="K19" i="12"/>
  <c r="L216" i="4"/>
  <c r="K216" i="4"/>
  <c r="K227" i="3"/>
  <c r="L227" i="3"/>
  <c r="K231" i="3"/>
  <c r="L231" i="3"/>
  <c r="K237" i="3"/>
  <c r="I237" i="3" s="1"/>
  <c r="L237" i="3"/>
  <c r="K131" i="4"/>
  <c r="L131" i="4"/>
  <c r="L149" i="4"/>
  <c r="K149" i="4"/>
  <c r="L44" i="9"/>
  <c r="K44" i="9"/>
  <c r="L161" i="3"/>
  <c r="K161" i="3"/>
  <c r="I161" i="3" s="1"/>
  <c r="L8" i="4"/>
  <c r="K8" i="4"/>
  <c r="K70" i="7"/>
  <c r="I70" i="7" s="1"/>
  <c r="L70" i="7"/>
  <c r="L9" i="9"/>
  <c r="K9" i="9"/>
  <c r="K18" i="9"/>
  <c r="L18" i="9"/>
  <c r="L23" i="9"/>
  <c r="K23" i="9"/>
  <c r="K220" i="4"/>
  <c r="I220" i="4" s="1"/>
  <c r="K127" i="4"/>
  <c r="I127" i="4" s="1"/>
  <c r="D27" i="2"/>
  <c r="D26" i="2"/>
  <c r="D12" i="2"/>
  <c r="D24" i="2"/>
  <c r="L162" i="4"/>
  <c r="L158" i="4" s="1"/>
  <c r="K162" i="4"/>
  <c r="L139" i="9"/>
  <c r="K139" i="9"/>
  <c r="D174" i="20"/>
  <c r="I83" i="29"/>
  <c r="K250" i="29"/>
  <c r="I100" i="29"/>
  <c r="I252" i="29"/>
  <c r="I305" i="29"/>
  <c r="B2" i="14"/>
  <c r="M432" i="13" s="1"/>
  <c r="I146" i="30"/>
  <c r="K36" i="4"/>
  <c r="I117" i="11"/>
  <c r="I160" i="29"/>
  <c r="I560" i="29"/>
  <c r="I122" i="29"/>
  <c r="I386" i="29"/>
  <c r="I468" i="29"/>
  <c r="I568" i="29"/>
  <c r="I193" i="29"/>
  <c r="I195" i="29"/>
  <c r="I28" i="29"/>
  <c r="I373" i="29"/>
  <c r="I194" i="29"/>
  <c r="I314" i="29"/>
  <c r="I87" i="3"/>
  <c r="I369" i="29"/>
  <c r="K60" i="3"/>
  <c r="I62" i="3"/>
  <c r="I523" i="29"/>
  <c r="I71" i="3"/>
  <c r="I79" i="8"/>
  <c r="I96" i="29"/>
  <c r="K145" i="4"/>
  <c r="I145" i="4" s="1"/>
  <c r="L15" i="4"/>
  <c r="I15" i="4" s="1"/>
  <c r="K97" i="3"/>
  <c r="I97" i="3" s="1"/>
  <c r="I9" i="11"/>
  <c r="I30" i="11"/>
  <c r="I100" i="11"/>
  <c r="I388" i="29"/>
  <c r="I453" i="29"/>
  <c r="I463" i="29"/>
  <c r="I489" i="29"/>
  <c r="I104" i="29"/>
  <c r="I258" i="29"/>
  <c r="I285" i="29"/>
  <c r="K83" i="9"/>
  <c r="K186" i="30"/>
  <c r="I186" i="30" s="1"/>
  <c r="I126" i="9"/>
  <c r="I91" i="4"/>
  <c r="K78" i="7"/>
  <c r="I11" i="7"/>
  <c r="I273" i="29"/>
  <c r="I91" i="8"/>
  <c r="I98" i="9"/>
  <c r="I36" i="3"/>
  <c r="L34" i="8"/>
  <c r="I34" i="8" s="1"/>
  <c r="L78" i="7"/>
  <c r="I204" i="3"/>
  <c r="I187" i="4"/>
  <c r="I238" i="29"/>
  <c r="L246" i="3"/>
  <c r="I246" i="3" s="1"/>
  <c r="I522" i="29"/>
  <c r="K132" i="3"/>
  <c r="I132" i="3" s="1"/>
  <c r="L218" i="3"/>
  <c r="I218" i="3" s="1"/>
  <c r="I33" i="7"/>
  <c r="D126" i="20"/>
  <c r="L243" i="3"/>
  <c r="K181" i="30"/>
  <c r="I181" i="30" s="1"/>
  <c r="I327" i="29"/>
  <c r="I56" i="29"/>
  <c r="I224" i="30"/>
  <c r="I208" i="29"/>
  <c r="I185" i="29"/>
  <c r="I202" i="30"/>
  <c r="I245" i="30"/>
  <c r="I172" i="30"/>
  <c r="I140" i="30"/>
  <c r="K94" i="3"/>
  <c r="I94" i="3" s="1"/>
  <c r="K174" i="4"/>
  <c r="I174" i="4" s="1"/>
  <c r="K16" i="3"/>
  <c r="I16" i="3" s="1"/>
  <c r="L67" i="9"/>
  <c r="I67" i="9" s="1"/>
  <c r="H21" i="24"/>
  <c r="L250" i="3"/>
  <c r="I250" i="3" s="1"/>
  <c r="I236" i="29"/>
  <c r="I299" i="29"/>
  <c r="L225" i="3"/>
  <c r="I225" i="3" s="1"/>
  <c r="B51" i="62"/>
  <c r="C51" i="62" s="1"/>
  <c r="D51" i="62" s="1"/>
  <c r="E51" i="62" s="1"/>
  <c r="F51" i="62" s="1"/>
  <c r="G51" i="62" s="1"/>
  <c r="H51" i="62" s="1"/>
  <c r="I51" i="62" s="1"/>
  <c r="J51" i="62" s="1"/>
  <c r="K51" i="62" s="1"/>
  <c r="L51" i="62" s="1"/>
  <c r="M51" i="62" s="1"/>
  <c r="N51" i="62" s="1"/>
  <c r="O51" i="62" s="1"/>
  <c r="P51" i="62" s="1"/>
  <c r="Q51" i="62" s="1"/>
  <c r="R51" i="62" s="1"/>
  <c r="S51" i="62" s="1"/>
  <c r="T51" i="62" s="1"/>
  <c r="U51" i="62" s="1"/>
  <c r="V51" i="62" s="1"/>
  <c r="W51" i="62" s="1"/>
  <c r="X51" i="62" s="1"/>
  <c r="Y51" i="62" s="1"/>
  <c r="Z51" i="62" s="1"/>
  <c r="AA51" i="62" s="1"/>
  <c r="AB51" i="62" s="1"/>
  <c r="AC51" i="62" s="1"/>
  <c r="I162" i="3"/>
  <c r="H12" i="14"/>
  <c r="C12" i="14" s="1"/>
  <c r="AA442" i="13" s="1"/>
  <c r="L62" i="5" s="1"/>
  <c r="G12" i="14"/>
  <c r="B12" i="14" s="1"/>
  <c r="M442" i="13" s="1"/>
  <c r="K62" i="5" s="1"/>
  <c r="H24" i="24"/>
  <c r="H32" i="24"/>
  <c r="B39" i="62"/>
  <c r="C39" i="62" s="1"/>
  <c r="D39" i="62" s="1"/>
  <c r="E39" i="62" s="1"/>
  <c r="F39" i="62" s="1"/>
  <c r="G39" i="62" s="1"/>
  <c r="H39" i="62" s="1"/>
  <c r="I39" i="62" s="1"/>
  <c r="J39" i="62" s="1"/>
  <c r="K39" i="62" s="1"/>
  <c r="L39" i="62" s="1"/>
  <c r="M39" i="62" s="1"/>
  <c r="N39" i="62" s="1"/>
  <c r="O39" i="62" s="1"/>
  <c r="P39" i="62" s="1"/>
  <c r="Q39" i="62" s="1"/>
  <c r="R39" i="62" s="1"/>
  <c r="S39" i="62" s="1"/>
  <c r="T39" i="62" s="1"/>
  <c r="U39" i="62" s="1"/>
  <c r="V39" i="62" s="1"/>
  <c r="W39" i="62" s="1"/>
  <c r="X39" i="62" s="1"/>
  <c r="Y39" i="62" s="1"/>
  <c r="Z39" i="62" s="1"/>
  <c r="AA39" i="62" s="1"/>
  <c r="AB39" i="62" s="1"/>
  <c r="AC39" i="62" s="1"/>
  <c r="H31" i="24"/>
  <c r="B21" i="62"/>
  <c r="C21" i="62" s="1"/>
  <c r="D21" i="62" s="1"/>
  <c r="E21" i="62" s="1"/>
  <c r="F21" i="62" s="1"/>
  <c r="G21" i="62" s="1"/>
  <c r="H21" i="62" s="1"/>
  <c r="I21" i="62" s="1"/>
  <c r="J21" i="62" s="1"/>
  <c r="K21" i="62" s="1"/>
  <c r="L21" i="62" s="1"/>
  <c r="M21" i="62" s="1"/>
  <c r="N21" i="62" s="1"/>
  <c r="O21" i="62" s="1"/>
  <c r="P21" i="62" s="1"/>
  <c r="Q21" i="62" s="1"/>
  <c r="R21" i="62" s="1"/>
  <c r="S21" i="62" s="1"/>
  <c r="T21" i="62" s="1"/>
  <c r="U21" i="62" s="1"/>
  <c r="V21" i="62" s="1"/>
  <c r="W21" i="62" s="1"/>
  <c r="X21" i="62" s="1"/>
  <c r="Y21" i="62" s="1"/>
  <c r="Z21" i="62" s="1"/>
  <c r="AA21" i="62" s="1"/>
  <c r="AB21" i="62" s="1"/>
  <c r="AC21" i="62" s="1"/>
  <c r="H30" i="24"/>
  <c r="B33" i="62"/>
  <c r="C33" i="62" s="1"/>
  <c r="D33" i="62" s="1"/>
  <c r="E33" i="62" s="1"/>
  <c r="F33" i="62" s="1"/>
  <c r="G33" i="62" s="1"/>
  <c r="H33" i="62" s="1"/>
  <c r="I33" i="62" s="1"/>
  <c r="J33" i="62" s="1"/>
  <c r="K33" i="62" s="1"/>
  <c r="L33" i="62" s="1"/>
  <c r="M33" i="62" s="1"/>
  <c r="N33" i="62" s="1"/>
  <c r="O33" i="62" s="1"/>
  <c r="P33" i="62" s="1"/>
  <c r="Q33" i="62" s="1"/>
  <c r="R33" i="62" s="1"/>
  <c r="S33" i="62" s="1"/>
  <c r="T33" i="62" s="1"/>
  <c r="U33" i="62" s="1"/>
  <c r="V33" i="62" s="1"/>
  <c r="W33" i="62" s="1"/>
  <c r="X33" i="62" s="1"/>
  <c r="Y33" i="62" s="1"/>
  <c r="Z33" i="62" s="1"/>
  <c r="AA33" i="62" s="1"/>
  <c r="AB33" i="62" s="1"/>
  <c r="AC33" i="62" s="1"/>
  <c r="B75" i="62"/>
  <c r="C75" i="62" s="1"/>
  <c r="D75" i="62" s="1"/>
  <c r="E75" i="62" s="1"/>
  <c r="F75" i="62" s="1"/>
  <c r="G75" i="62" s="1"/>
  <c r="H75" i="62" s="1"/>
  <c r="I75" i="62" s="1"/>
  <c r="J75" i="62" s="1"/>
  <c r="K75" i="62" s="1"/>
  <c r="L75" i="62" s="1"/>
  <c r="M75" i="62" s="1"/>
  <c r="N75" i="62" s="1"/>
  <c r="O75" i="62" s="1"/>
  <c r="P75" i="62" s="1"/>
  <c r="Q75" i="62" s="1"/>
  <c r="R75" i="62" s="1"/>
  <c r="S75" i="62" s="1"/>
  <c r="T75" i="62" s="1"/>
  <c r="U75" i="62" s="1"/>
  <c r="V75" i="62" s="1"/>
  <c r="W75" i="62" s="1"/>
  <c r="X75" i="62" s="1"/>
  <c r="Y75" i="62" s="1"/>
  <c r="Z75" i="62" s="1"/>
  <c r="AA75" i="62" s="1"/>
  <c r="AB75" i="62" s="1"/>
  <c r="AC75" i="62" s="1"/>
  <c r="H29" i="24"/>
  <c r="B63" i="62"/>
  <c r="C63" i="62" s="1"/>
  <c r="D63" i="62" s="1"/>
  <c r="E63" i="62" s="1"/>
  <c r="F63" i="62" s="1"/>
  <c r="G63" i="62" s="1"/>
  <c r="H63" i="62" s="1"/>
  <c r="I63" i="62" s="1"/>
  <c r="J63" i="62" s="1"/>
  <c r="K63" i="62" s="1"/>
  <c r="L63" i="62" s="1"/>
  <c r="M63" i="62" s="1"/>
  <c r="N63" i="62" s="1"/>
  <c r="O63" i="62" s="1"/>
  <c r="P63" i="62" s="1"/>
  <c r="Q63" i="62" s="1"/>
  <c r="R63" i="62" s="1"/>
  <c r="S63" i="62" s="1"/>
  <c r="T63" i="62" s="1"/>
  <c r="U63" i="62" s="1"/>
  <c r="V63" i="62" s="1"/>
  <c r="W63" i="62" s="1"/>
  <c r="X63" i="62" s="1"/>
  <c r="Y63" i="62" s="1"/>
  <c r="Z63" i="62" s="1"/>
  <c r="AA63" i="62" s="1"/>
  <c r="AB63" i="62" s="1"/>
  <c r="AC63" i="62" s="1"/>
  <c r="H33" i="24"/>
  <c r="B81" i="62"/>
  <c r="B27" i="62"/>
  <c r="C27" i="62" s="1"/>
  <c r="D27" i="62" s="1"/>
  <c r="E27" i="62" s="1"/>
  <c r="F27" i="62" s="1"/>
  <c r="G27" i="62" s="1"/>
  <c r="H27" i="62" s="1"/>
  <c r="I27" i="62" s="1"/>
  <c r="J27" i="62" s="1"/>
  <c r="K27" i="62" s="1"/>
  <c r="L27" i="62" s="1"/>
  <c r="M27" i="62" s="1"/>
  <c r="N27" i="62" s="1"/>
  <c r="O27" i="62" s="1"/>
  <c r="P27" i="62" s="1"/>
  <c r="Q27" i="62" s="1"/>
  <c r="R27" i="62" s="1"/>
  <c r="S27" i="62" s="1"/>
  <c r="T27" i="62" s="1"/>
  <c r="U27" i="62" s="1"/>
  <c r="V27" i="62" s="1"/>
  <c r="W27" i="62" s="1"/>
  <c r="X27" i="62" s="1"/>
  <c r="Y27" i="62" s="1"/>
  <c r="Z27" i="62" s="1"/>
  <c r="AA27" i="62" s="1"/>
  <c r="AB27" i="62" s="1"/>
  <c r="AC27" i="62" s="1"/>
  <c r="L98" i="4"/>
  <c r="K98" i="4"/>
  <c r="K223" i="3"/>
  <c r="L223" i="3"/>
  <c r="L70" i="9"/>
  <c r="K70" i="9"/>
  <c r="L79" i="9"/>
  <c r="L77" i="9" s="1"/>
  <c r="K79" i="9"/>
  <c r="L124" i="2"/>
  <c r="K124" i="2"/>
  <c r="K197" i="3"/>
  <c r="L197" i="3"/>
  <c r="L192" i="3" s="1"/>
  <c r="L8" i="5"/>
  <c r="K196" i="4"/>
  <c r="L196" i="4"/>
  <c r="L192" i="4" s="1"/>
  <c r="L233" i="3"/>
  <c r="K233" i="3"/>
  <c r="L67" i="7"/>
  <c r="K67" i="7"/>
  <c r="L16" i="9"/>
  <c r="K16" i="9"/>
  <c r="L21" i="9"/>
  <c r="K21" i="9"/>
  <c r="K80" i="2"/>
  <c r="L80" i="2"/>
  <c r="L77" i="2" s="1"/>
  <c r="L54" i="3"/>
  <c r="K54" i="3"/>
  <c r="K207" i="4"/>
  <c r="L207" i="4"/>
  <c r="L42" i="2"/>
  <c r="K42" i="2"/>
  <c r="L114" i="4"/>
  <c r="K114" i="4"/>
  <c r="O20" i="2"/>
  <c r="L57" i="2"/>
  <c r="K12" i="4"/>
  <c r="L12" i="4"/>
  <c r="K68" i="7"/>
  <c r="L68" i="7"/>
  <c r="L19" i="5"/>
  <c r="C11" i="5" a="1"/>
  <c r="C11" i="5" s="1"/>
  <c r="K11" i="5" s="1"/>
  <c r="C28" i="5" a="1"/>
  <c r="C28" i="5" s="1"/>
  <c r="K28" i="5" s="1"/>
  <c r="C268" i="30" a="1"/>
  <c r="C268" i="30" s="1"/>
  <c r="O19" i="29"/>
  <c r="K59" i="9"/>
  <c r="I59" i="9" s="1"/>
  <c r="C12" i="5" a="1"/>
  <c r="C12" i="5" s="1"/>
  <c r="K12" i="5" s="1"/>
  <c r="C269" i="30" a="1"/>
  <c r="C269" i="30" s="1"/>
  <c r="L245" i="11"/>
  <c r="I245" i="11" s="1"/>
  <c r="C16" i="5" a="1"/>
  <c r="C16" i="5" s="1"/>
  <c r="K16" i="5" s="1"/>
  <c r="C30" i="5" a="1"/>
  <c r="C30" i="5" s="1"/>
  <c r="C274" i="30" a="1"/>
  <c r="C274" i="30" s="1"/>
  <c r="I34" i="3"/>
  <c r="C27" i="5" a="1"/>
  <c r="C27" i="5" s="1"/>
  <c r="C270" i="30" a="1"/>
  <c r="C270" i="30" s="1"/>
  <c r="C22" i="5" a="1"/>
  <c r="C22" i="5" s="1"/>
  <c r="C257" i="30" a="1"/>
  <c r="C257" i="30" s="1"/>
  <c r="C261" i="30" a="1"/>
  <c r="C261" i="30" s="1"/>
  <c r="C272" i="30" a="1"/>
  <c r="C272" i="30" s="1"/>
  <c r="Z11" i="14"/>
  <c r="E11" i="14" s="1"/>
  <c r="C18" i="5" a="1"/>
  <c r="C18" i="5" s="1"/>
  <c r="K18" i="5" s="1"/>
  <c r="C277" i="30" a="1"/>
  <c r="C277" i="30" s="1"/>
  <c r="C19" i="5" a="1"/>
  <c r="C19" i="5" s="1"/>
  <c r="K19" i="5" s="1"/>
  <c r="C258" i="30" a="1"/>
  <c r="C258" i="30" s="1"/>
  <c r="B53" i="62"/>
  <c r="C53" i="62" s="1"/>
  <c r="D53" i="62" s="1"/>
  <c r="E53" i="62" s="1"/>
  <c r="F53" i="62" s="1"/>
  <c r="G53" i="62" s="1"/>
  <c r="H53" i="62" s="1"/>
  <c r="I53" i="62" s="1"/>
  <c r="J53" i="62" s="1"/>
  <c r="K53" i="62" s="1"/>
  <c r="L53" i="62" s="1"/>
  <c r="M53" i="62" s="1"/>
  <c r="N53" i="62" s="1"/>
  <c r="O53" i="62" s="1"/>
  <c r="P53" i="62" s="1"/>
  <c r="Q53" i="62" s="1"/>
  <c r="R53" i="62" s="1"/>
  <c r="S53" i="62" s="1"/>
  <c r="T53" i="62" s="1"/>
  <c r="U53" i="62" s="1"/>
  <c r="V53" i="62" s="1"/>
  <c r="W53" i="62" s="1"/>
  <c r="X53" i="62" s="1"/>
  <c r="Y53" i="62" s="1"/>
  <c r="Z53" i="62" s="1"/>
  <c r="AA53" i="62" s="1"/>
  <c r="AB53" i="62" s="1"/>
  <c r="AC53" i="62" s="1"/>
  <c r="D32" i="24"/>
  <c r="B14" i="62"/>
  <c r="C14" i="62" s="1"/>
  <c r="D14" i="62" s="1"/>
  <c r="E14" i="62" s="1"/>
  <c r="F14" i="62" s="1"/>
  <c r="G14" i="62" s="1"/>
  <c r="H14" i="62" s="1"/>
  <c r="I14" i="62" s="1"/>
  <c r="J14" i="62" s="1"/>
  <c r="K14" i="62" s="1"/>
  <c r="L14" i="62" s="1"/>
  <c r="M14" i="62" s="1"/>
  <c r="N14" i="62" s="1"/>
  <c r="O14" i="62" s="1"/>
  <c r="P14" i="62" s="1"/>
  <c r="Q14" i="62" s="1"/>
  <c r="R14" i="62" s="1"/>
  <c r="S14" i="62" s="1"/>
  <c r="T14" i="62" s="1"/>
  <c r="U14" i="62" s="1"/>
  <c r="V14" i="62" s="1"/>
  <c r="W14" i="62" s="1"/>
  <c r="X14" i="62" s="1"/>
  <c r="Y14" i="62" s="1"/>
  <c r="Z14" i="62" s="1"/>
  <c r="AA14" i="62" s="1"/>
  <c r="AB14" i="62" s="1"/>
  <c r="AC14" i="62" s="1"/>
  <c r="B74" i="62"/>
  <c r="C74" i="62" s="1"/>
  <c r="D74" i="62" s="1"/>
  <c r="E74" i="62" s="1"/>
  <c r="F74" i="62" s="1"/>
  <c r="G74" i="62" s="1"/>
  <c r="H74" i="62" s="1"/>
  <c r="I74" i="62" s="1"/>
  <c r="J74" i="62" s="1"/>
  <c r="K74" i="62" s="1"/>
  <c r="L74" i="62" s="1"/>
  <c r="M74" i="62" s="1"/>
  <c r="N74" i="62" s="1"/>
  <c r="O74" i="62" s="1"/>
  <c r="P74" i="62" s="1"/>
  <c r="Q74" i="62" s="1"/>
  <c r="R74" i="62" s="1"/>
  <c r="S74" i="62" s="1"/>
  <c r="T74" i="62" s="1"/>
  <c r="U74" i="62" s="1"/>
  <c r="V74" i="62" s="1"/>
  <c r="W74" i="62" s="1"/>
  <c r="X74" i="62" s="1"/>
  <c r="Y74" i="62" s="1"/>
  <c r="Z74" i="62" s="1"/>
  <c r="AA74" i="62" s="1"/>
  <c r="AB74" i="62" s="1"/>
  <c r="AC74" i="62" s="1"/>
  <c r="G32" i="24"/>
  <c r="L166" i="3"/>
  <c r="I166" i="3" s="1"/>
  <c r="B10" i="66" a="1"/>
  <c r="B10" i="66" s="1"/>
  <c r="C20" i="5" a="1"/>
  <c r="C20" i="5" s="1"/>
  <c r="K20" i="5" s="1"/>
  <c r="C259" i="30" a="1"/>
  <c r="C259" i="30" s="1"/>
  <c r="C276" i="30" a="1"/>
  <c r="C276" i="30" s="1"/>
  <c r="C21" i="5" a="1"/>
  <c r="C21" i="5" s="1"/>
  <c r="L21" i="5" s="1"/>
  <c r="D173" i="20"/>
  <c r="I176" i="30"/>
  <c r="C8" i="5" a="1"/>
  <c r="C8" i="5" s="1"/>
  <c r="K8" i="5" s="1"/>
  <c r="C24" i="5" a="1"/>
  <c r="C24" i="5" s="1"/>
  <c r="I111" i="9"/>
  <c r="K19" i="3"/>
  <c r="I19" i="3" s="1"/>
  <c r="D156" i="20"/>
  <c r="B71" i="62"/>
  <c r="C71" i="62" s="1"/>
  <c r="D71" i="62" s="1"/>
  <c r="E71" i="62" s="1"/>
  <c r="F71" i="62" s="1"/>
  <c r="G71" i="62" s="1"/>
  <c r="H71" i="62" s="1"/>
  <c r="I71" i="62" s="1"/>
  <c r="J71" i="62" s="1"/>
  <c r="K71" i="62" s="1"/>
  <c r="L71" i="62" s="1"/>
  <c r="M71" i="62" s="1"/>
  <c r="N71" i="62" s="1"/>
  <c r="O71" i="62" s="1"/>
  <c r="P71" i="62" s="1"/>
  <c r="Q71" i="62" s="1"/>
  <c r="R71" i="62" s="1"/>
  <c r="S71" i="62" s="1"/>
  <c r="T71" i="62" s="1"/>
  <c r="U71" i="62" s="1"/>
  <c r="V71" i="62" s="1"/>
  <c r="W71" i="62" s="1"/>
  <c r="X71" i="62" s="1"/>
  <c r="Y71" i="62" s="1"/>
  <c r="Z71" i="62" s="1"/>
  <c r="AA71" i="62" s="1"/>
  <c r="AB71" i="62" s="1"/>
  <c r="AC71" i="62" s="1"/>
  <c r="D27" i="24"/>
  <c r="G21" i="24"/>
  <c r="L30" i="5"/>
  <c r="C9" i="5" a="1"/>
  <c r="C9" i="5" s="1"/>
  <c r="K9" i="5" s="1"/>
  <c r="C25" i="5" a="1"/>
  <c r="C25" i="5" s="1"/>
  <c r="K25" i="5" s="1"/>
  <c r="K11" i="3"/>
  <c r="I11" i="3" s="1"/>
  <c r="K214" i="3"/>
  <c r="I214" i="3" s="1"/>
  <c r="K98" i="3"/>
  <c r="I98" i="3" s="1"/>
  <c r="K8" i="3"/>
  <c r="I8" i="3" s="1"/>
  <c r="K23" i="3"/>
  <c r="I23" i="3" s="1"/>
  <c r="B41" i="62"/>
  <c r="C41" i="62" s="1"/>
  <c r="D41" i="62" s="1"/>
  <c r="E41" i="62" s="1"/>
  <c r="F41" i="62" s="1"/>
  <c r="G41" i="62" s="1"/>
  <c r="H41" i="62" s="1"/>
  <c r="I41" i="62" s="1"/>
  <c r="J41" i="62" s="1"/>
  <c r="K41" i="62" s="1"/>
  <c r="L41" i="62" s="1"/>
  <c r="M41" i="62" s="1"/>
  <c r="N41" i="62" s="1"/>
  <c r="O41" i="62" s="1"/>
  <c r="P41" i="62" s="1"/>
  <c r="Q41" i="62" s="1"/>
  <c r="R41" i="62" s="1"/>
  <c r="S41" i="62" s="1"/>
  <c r="T41" i="62" s="1"/>
  <c r="U41" i="62" s="1"/>
  <c r="V41" i="62" s="1"/>
  <c r="W41" i="62" s="1"/>
  <c r="X41" i="62" s="1"/>
  <c r="Y41" i="62" s="1"/>
  <c r="Z41" i="62" s="1"/>
  <c r="AA41" i="62" s="1"/>
  <c r="AB41" i="62" s="1"/>
  <c r="AC41" i="62" s="1"/>
  <c r="B11" i="62"/>
  <c r="C11" i="62" s="1"/>
  <c r="D11" i="62" s="1"/>
  <c r="E11" i="62" s="1"/>
  <c r="F11" i="62" s="1"/>
  <c r="G11" i="62" s="1"/>
  <c r="H11" i="62" s="1"/>
  <c r="I11" i="62" s="1"/>
  <c r="J11" i="62" s="1"/>
  <c r="K11" i="62" s="1"/>
  <c r="L11" i="62" s="1"/>
  <c r="M11" i="62" s="1"/>
  <c r="N11" i="62" s="1"/>
  <c r="O11" i="62" s="1"/>
  <c r="P11" i="62" s="1"/>
  <c r="Q11" i="62" s="1"/>
  <c r="R11" i="62" s="1"/>
  <c r="S11" i="62" s="1"/>
  <c r="T11" i="62" s="1"/>
  <c r="U11" i="62" s="1"/>
  <c r="V11" i="62" s="1"/>
  <c r="W11" i="62" s="1"/>
  <c r="X11" i="62" s="1"/>
  <c r="Y11" i="62" s="1"/>
  <c r="Z11" i="62" s="1"/>
  <c r="AA11" i="62" s="1"/>
  <c r="AB11" i="62" s="1"/>
  <c r="AC11" i="62" s="1"/>
  <c r="B35" i="62"/>
  <c r="C35" i="62" s="1"/>
  <c r="D35" i="62" s="1"/>
  <c r="E35" i="62" s="1"/>
  <c r="F35" i="62" s="1"/>
  <c r="G35" i="62" s="1"/>
  <c r="H35" i="62" s="1"/>
  <c r="I35" i="62" s="1"/>
  <c r="J35" i="62" s="1"/>
  <c r="K35" i="62" s="1"/>
  <c r="L35" i="62" s="1"/>
  <c r="M35" i="62" s="1"/>
  <c r="N35" i="62" s="1"/>
  <c r="O35" i="62" s="1"/>
  <c r="P35" i="62" s="1"/>
  <c r="Q35" i="62" s="1"/>
  <c r="R35" i="62" s="1"/>
  <c r="S35" i="62" s="1"/>
  <c r="T35" i="62" s="1"/>
  <c r="U35" i="62" s="1"/>
  <c r="V35" i="62" s="1"/>
  <c r="W35" i="62" s="1"/>
  <c r="X35" i="62" s="1"/>
  <c r="Y35" i="62" s="1"/>
  <c r="Z35" i="62" s="1"/>
  <c r="AA35" i="62" s="1"/>
  <c r="AB35" i="62" s="1"/>
  <c r="AC35" i="62" s="1"/>
  <c r="D29" i="24"/>
  <c r="D35" i="24" s="1"/>
  <c r="AE4" i="20" s="1"/>
  <c r="AE5" i="20" s="1"/>
  <c r="AE6" i="20" s="1"/>
  <c r="AE7" i="20" s="1"/>
  <c r="AE8" i="20" s="1"/>
  <c r="AE9" i="20" s="1"/>
  <c r="AE10" i="20" s="1"/>
  <c r="AE11" i="20" s="1"/>
  <c r="AE12" i="20" s="1"/>
  <c r="AE13" i="20" s="1"/>
  <c r="AE14" i="20" s="1"/>
  <c r="AE15" i="20" s="1"/>
  <c r="AE16" i="20" s="1"/>
  <c r="AE17" i="20" s="1"/>
  <c r="AE18" i="20" s="1"/>
  <c r="AE19" i="20" s="1"/>
  <c r="AE20" i="20" s="1"/>
  <c r="AE21" i="20" s="1"/>
  <c r="AE22" i="20" s="1"/>
  <c r="AE23" i="20" s="1"/>
  <c r="AE24" i="20" s="1"/>
  <c r="AE25" i="20" s="1"/>
  <c r="AE26" i="20" s="1"/>
  <c r="AE27" i="20" s="1"/>
  <c r="AE28" i="20" s="1"/>
  <c r="AE29" i="20" s="1"/>
  <c r="AE30" i="20" s="1"/>
  <c r="AE31" i="20" s="1"/>
  <c r="AE32" i="20" s="1"/>
  <c r="AE33" i="20" s="1"/>
  <c r="G22" i="24"/>
  <c r="L18" i="5"/>
  <c r="C10" i="5" a="1"/>
  <c r="C10" i="5" s="1"/>
  <c r="I176" i="11"/>
  <c r="K171" i="11"/>
  <c r="L171" i="11"/>
  <c r="I171" i="11" s="1"/>
  <c r="I173" i="11"/>
  <c r="O7" i="7"/>
  <c r="D221" i="20"/>
  <c r="I153" i="11"/>
  <c r="D234" i="20"/>
  <c r="D231" i="20"/>
  <c r="D219" i="20"/>
  <c r="D223" i="20"/>
  <c r="D239" i="20"/>
  <c r="D217" i="20"/>
  <c r="D224" i="20"/>
  <c r="D241" i="20"/>
  <c r="O8" i="7"/>
  <c r="O295" i="30"/>
  <c r="D228" i="20"/>
  <c r="D235" i="20"/>
  <c r="D226" i="20"/>
  <c r="D237" i="20"/>
  <c r="D229" i="20"/>
  <c r="O311" i="29"/>
  <c r="O122" i="2"/>
  <c r="O172" i="11"/>
  <c r="O213" i="4"/>
  <c r="D236" i="20"/>
  <c r="O189" i="3"/>
  <c r="D233" i="20"/>
  <c r="O175" i="4"/>
  <c r="O261" i="29"/>
  <c r="O220" i="11"/>
  <c r="O569" i="29"/>
  <c r="O355" i="29"/>
  <c r="O72" i="8"/>
  <c r="D230" i="20"/>
  <c r="D222" i="20"/>
  <c r="O81" i="3"/>
  <c r="D227" i="20"/>
  <c r="O45" i="5"/>
  <c r="D240" i="20"/>
  <c r="O8" i="29"/>
  <c r="O67" i="4"/>
  <c r="D220" i="20"/>
  <c r="O15" i="3"/>
  <c r="O47" i="4"/>
  <c r="D232" i="20"/>
  <c r="O414" i="29"/>
  <c r="D238" i="20"/>
  <c r="O223" i="29"/>
  <c r="O69" i="4"/>
  <c r="O133" i="9"/>
  <c r="O136" i="9"/>
  <c r="O264" i="30"/>
  <c r="F89" i="20" a="1"/>
  <c r="F89" i="20" s="1"/>
  <c r="I82" i="20" a="1"/>
  <c r="I82" i="20" s="1"/>
  <c r="F88" i="20" a="1"/>
  <c r="F88" i="20" s="1"/>
  <c r="G81" i="20" a="1"/>
  <c r="G81" i="20" s="1"/>
  <c r="F87" i="20" a="1"/>
  <c r="F87" i="20" s="1"/>
  <c r="F83" i="20" a="1"/>
  <c r="F83" i="20" s="1"/>
  <c r="B81" i="20" a="1"/>
  <c r="B81" i="20" s="1"/>
  <c r="F94" i="20" a="1"/>
  <c r="F94" i="20" s="1"/>
  <c r="F82" i="20" a="1"/>
  <c r="F82" i="20" s="1"/>
  <c r="F93" i="20" a="1"/>
  <c r="F93" i="20" s="1"/>
  <c r="F81" i="20" a="1"/>
  <c r="F81" i="20" s="1"/>
  <c r="B82" i="20" a="1"/>
  <c r="B82" i="20" s="1"/>
  <c r="F92" i="20" a="1"/>
  <c r="F92" i="20" s="1"/>
  <c r="F91" i="20" a="1"/>
  <c r="F91" i="20" s="1"/>
  <c r="E81" i="20" a="1"/>
  <c r="E81" i="20" s="1"/>
  <c r="C93" i="20" a="1"/>
  <c r="C93" i="20" s="1"/>
  <c r="G82" i="20" a="1"/>
  <c r="G82" i="20" s="1"/>
  <c r="F90" i="20" a="1"/>
  <c r="F90" i="20" s="1"/>
  <c r="F86" i="20" a="1"/>
  <c r="F86" i="20" s="1"/>
  <c r="F85" i="20" a="1"/>
  <c r="F85" i="20" s="1"/>
  <c r="F84" i="20" a="1"/>
  <c r="F84" i="20" s="1"/>
  <c r="C89" i="20" a="1"/>
  <c r="C89" i="20" s="1"/>
  <c r="C83" i="20" a="1"/>
  <c r="C83" i="20" s="1"/>
  <c r="C88" i="20" a="1"/>
  <c r="C88" i="20" s="1"/>
  <c r="E82" i="20" a="1"/>
  <c r="E82" i="20" s="1"/>
  <c r="B85" i="20" a="1"/>
  <c r="B85" i="20" s="1"/>
  <c r="B90" i="20" a="1"/>
  <c r="B90" i="20" s="1"/>
  <c r="E89" i="20" a="1"/>
  <c r="E89" i="20" s="1"/>
  <c r="I87" i="20" a="1"/>
  <c r="I87" i="20" s="1"/>
  <c r="I92" i="20" a="1"/>
  <c r="I92" i="20" s="1"/>
  <c r="G93" i="20" a="1"/>
  <c r="G93" i="20" s="1"/>
  <c r="C92" i="20" a="1"/>
  <c r="C92" i="20" s="1"/>
  <c r="C90" i="20" a="1"/>
  <c r="C90" i="20" s="1"/>
  <c r="B87" i="20" a="1"/>
  <c r="B87" i="20" s="1"/>
  <c r="I91" i="20" a="1"/>
  <c r="I91" i="20" s="1"/>
  <c r="C84" i="20" a="1"/>
  <c r="C84" i="20" s="1"/>
  <c r="E83" i="20" a="1"/>
  <c r="E83" i="20" s="1"/>
  <c r="I84" i="20" a="1"/>
  <c r="I84" i="20" s="1"/>
  <c r="G86" i="20" a="1"/>
  <c r="G86" i="20" s="1"/>
  <c r="B88" i="20" a="1"/>
  <c r="B88" i="20" s="1"/>
  <c r="C85" i="20" a="1"/>
  <c r="C85" i="20" s="1"/>
  <c r="C91" i="20" a="1"/>
  <c r="C91" i="20" s="1"/>
  <c r="G83" i="20" a="1"/>
  <c r="G83" i="20" s="1"/>
  <c r="G91" i="20" a="1"/>
  <c r="G91" i="20" s="1"/>
  <c r="E85" i="20" a="1"/>
  <c r="E85" i="20" s="1"/>
  <c r="E92" i="20" a="1"/>
  <c r="E92" i="20" s="1"/>
  <c r="I89" i="20" a="1"/>
  <c r="I89" i="20" s="1"/>
  <c r="E84" i="20" a="1"/>
  <c r="E84" i="20" s="1"/>
  <c r="G84" i="20" a="1"/>
  <c r="G84" i="20" s="1"/>
  <c r="B86" i="20" a="1"/>
  <c r="B86" i="20" s="1"/>
  <c r="I90" i="20" a="1"/>
  <c r="I90" i="20" s="1"/>
  <c r="G92" i="20" a="1"/>
  <c r="G92" i="20" s="1"/>
  <c r="E93" i="20" a="1"/>
  <c r="E93" i="20" s="1"/>
  <c r="B83" i="20" a="1"/>
  <c r="B83" i="20" s="1"/>
  <c r="G89" i="20" a="1"/>
  <c r="G89" i="20" s="1"/>
  <c r="E87" i="20" a="1"/>
  <c r="E87" i="20" s="1"/>
  <c r="E91" i="20" a="1"/>
  <c r="E91" i="20" s="1"/>
  <c r="B91" i="20" a="1"/>
  <c r="B91" i="20" s="1"/>
  <c r="C86" i="20" a="1"/>
  <c r="C86" i="20" s="1"/>
  <c r="E88" i="20" a="1"/>
  <c r="E88" i="20" s="1"/>
  <c r="C87" i="20" a="1"/>
  <c r="C87" i="20" s="1"/>
  <c r="E94" i="20" a="1"/>
  <c r="E94" i="20" s="1"/>
  <c r="D94" i="20" s="1"/>
  <c r="E90" i="20" a="1"/>
  <c r="E90" i="20" s="1"/>
  <c r="E86" i="20" a="1"/>
  <c r="E86" i="20" s="1"/>
  <c r="G85" i="20" a="1"/>
  <c r="G85" i="20" s="1"/>
  <c r="B92" i="20" a="1"/>
  <c r="B92" i="20" s="1"/>
  <c r="I88" i="20" a="1"/>
  <c r="I88" i="20" s="1"/>
  <c r="I93" i="20" a="1"/>
  <c r="I93" i="20" s="1"/>
  <c r="G87" i="20" a="1"/>
  <c r="G87" i="20" s="1"/>
  <c r="I94" i="20" a="1"/>
  <c r="I94" i="20" s="1"/>
  <c r="C81" i="20" a="1"/>
  <c r="C81" i="20" s="1"/>
  <c r="G88" i="20" a="1"/>
  <c r="G88" i="20" s="1"/>
  <c r="C82" i="20" a="1"/>
  <c r="C82" i="20" s="1"/>
  <c r="C94" i="20" a="1"/>
  <c r="C94" i="20" s="1"/>
  <c r="G90" i="20" a="1"/>
  <c r="G90" i="20" s="1"/>
  <c r="J1" i="20"/>
  <c r="I83" i="20" a="1"/>
  <c r="I83" i="20" s="1"/>
  <c r="G94" i="20" a="1"/>
  <c r="G94" i="20" s="1"/>
  <c r="I85" i="20" a="1"/>
  <c r="I85" i="20" s="1"/>
  <c r="B93" i="20" a="1"/>
  <c r="B93" i="20" s="1"/>
  <c r="B94" i="20" a="1"/>
  <c r="B94" i="20" s="1"/>
  <c r="B84" i="20" a="1"/>
  <c r="B84" i="20" s="1"/>
  <c r="D12" i="20"/>
  <c r="D11" i="20"/>
  <c r="I15" i="29"/>
  <c r="D75" i="20"/>
  <c r="D7" i="20"/>
  <c r="O71" i="8"/>
  <c r="O222" i="29"/>
  <c r="D3" i="20"/>
  <c r="I43" i="29"/>
  <c r="D98" i="20"/>
  <c r="I22" i="29"/>
  <c r="C39" i="20" a="1"/>
  <c r="C39" i="20" s="1"/>
  <c r="F45" i="20" a="1"/>
  <c r="F45" i="20" s="1"/>
  <c r="D45" i="20" s="1"/>
  <c r="F108" i="20" a="1"/>
  <c r="F108" i="20" s="1"/>
  <c r="D108" i="20" s="1"/>
  <c r="F246" i="20" a="1"/>
  <c r="F246" i="20" s="1"/>
  <c r="F276" i="20" a="1"/>
  <c r="F276" i="20" s="1"/>
  <c r="C108" i="20" a="1"/>
  <c r="C108" i="20" s="1"/>
  <c r="F46" i="20" a="1"/>
  <c r="F46" i="20" s="1"/>
  <c r="F109" i="20" a="1"/>
  <c r="F109" i="20" s="1"/>
  <c r="D109" i="20" s="1"/>
  <c r="F247" i="20" a="1"/>
  <c r="F247" i="20" s="1"/>
  <c r="F277" i="20" a="1"/>
  <c r="F277" i="20" s="1"/>
  <c r="C42" i="20" a="1"/>
  <c r="C42" i="20" s="1"/>
  <c r="F252" i="20" a="1"/>
  <c r="F252" i="20" s="1"/>
  <c r="F44" i="20" a="1"/>
  <c r="F44" i="20" s="1"/>
  <c r="F32" i="20" a="1"/>
  <c r="F32" i="20" s="1"/>
  <c r="C49" i="20" a="1"/>
  <c r="C49" i="20" s="1"/>
  <c r="C41" i="20" a="1"/>
  <c r="C41" i="20" s="1"/>
  <c r="C33" i="20" a="1"/>
  <c r="C33" i="20" s="1"/>
  <c r="F43" i="20" a="1"/>
  <c r="F43" i="20" s="1"/>
  <c r="F31" i="20" a="1"/>
  <c r="F31" i="20" s="1"/>
  <c r="C48" i="20" a="1"/>
  <c r="C48" i="20" s="1"/>
  <c r="F42" i="20" a="1"/>
  <c r="F42" i="20" s="1"/>
  <c r="F30" i="20" a="1"/>
  <c r="F30" i="20" s="1"/>
  <c r="C40" i="20" a="1"/>
  <c r="C40" i="20" s="1"/>
  <c r="C32" i="20" a="1"/>
  <c r="C32" i="20" s="1"/>
  <c r="B44" i="20" a="1"/>
  <c r="B44" i="20" s="1"/>
  <c r="B34" i="20" a="1"/>
  <c r="B34" i="20" s="1"/>
  <c r="B39" i="20" a="1"/>
  <c r="B39" i="20" s="1"/>
  <c r="G31" i="20" a="1"/>
  <c r="G31" i="20" s="1"/>
  <c r="G46" i="20" a="1"/>
  <c r="G46" i="20" s="1"/>
  <c r="I31" i="20" a="1"/>
  <c r="I31" i="20" s="1"/>
  <c r="F50" i="20" a="1"/>
  <c r="F50" i="20" s="1"/>
  <c r="F38" i="20" a="1"/>
  <c r="F38" i="20" s="1"/>
  <c r="C45" i="20" a="1"/>
  <c r="C45" i="20" s="1"/>
  <c r="C37" i="20" a="1"/>
  <c r="C37" i="20" s="1"/>
  <c r="C29" i="20" a="1"/>
  <c r="C29" i="20" s="1"/>
  <c r="F49" i="20" a="1"/>
  <c r="F49" i="20" s="1"/>
  <c r="F37" i="20" a="1"/>
  <c r="F37" i="20" s="1"/>
  <c r="D37" i="20" s="1"/>
  <c r="C36" i="20" a="1"/>
  <c r="C36" i="20" s="1"/>
  <c r="F48" i="20" a="1"/>
  <c r="F48" i="20" s="1"/>
  <c r="F36" i="20" a="1"/>
  <c r="F36" i="20" s="1"/>
  <c r="C44" i="20" a="1"/>
  <c r="C44" i="20" s="1"/>
  <c r="C28" i="20" a="1"/>
  <c r="C28" i="20" s="1"/>
  <c r="F47" i="20" a="1"/>
  <c r="F47" i="20" s="1"/>
  <c r="F35" i="20" a="1"/>
  <c r="F35" i="20" s="1"/>
  <c r="F281" i="20" a="1"/>
  <c r="F281" i="20" s="1"/>
  <c r="F269" i="20" a="1"/>
  <c r="F269" i="20" s="1"/>
  <c r="F257" i="20" a="1"/>
  <c r="F257" i="20" s="1"/>
  <c r="F245" i="20" a="1"/>
  <c r="F245" i="20" s="1"/>
  <c r="F280" i="20" a="1"/>
  <c r="F280" i="20" s="1"/>
  <c r="F268" i="20" a="1"/>
  <c r="F268" i="20" s="1"/>
  <c r="F256" i="20" a="1"/>
  <c r="F256" i="20" s="1"/>
  <c r="F244" i="20" a="1"/>
  <c r="F244" i="20" s="1"/>
  <c r="F279" i="20" a="1"/>
  <c r="F279" i="20" s="1"/>
  <c r="F267" i="20" a="1"/>
  <c r="F267" i="20" s="1"/>
  <c r="F255" i="20" a="1"/>
  <c r="F255" i="20" s="1"/>
  <c r="F243" i="20" a="1"/>
  <c r="F243" i="20" s="1"/>
  <c r="G280" i="20" a="1"/>
  <c r="G280" i="20" s="1"/>
  <c r="F275" i="20" a="1"/>
  <c r="F275" i="20" s="1"/>
  <c r="F263" i="20" a="1"/>
  <c r="F263" i="20" s="1"/>
  <c r="F251" i="20" a="1"/>
  <c r="F251" i="20" s="1"/>
  <c r="F274" i="20" a="1"/>
  <c r="F274" i="20" s="1"/>
  <c r="F262" i="20" a="1"/>
  <c r="F262" i="20" s="1"/>
  <c r="F250" i="20" a="1"/>
  <c r="F250" i="20" s="1"/>
  <c r="F273" i="20" a="1"/>
  <c r="F273" i="20" s="1"/>
  <c r="F261" i="20" a="1"/>
  <c r="F261" i="20" s="1"/>
  <c r="F249" i="20" a="1"/>
  <c r="F249" i="20" s="1"/>
  <c r="F272" i="20" a="1"/>
  <c r="F272" i="20" s="1"/>
  <c r="F260" i="20" a="1"/>
  <c r="F260" i="20" s="1"/>
  <c r="F248" i="20" a="1"/>
  <c r="F248" i="20" s="1"/>
  <c r="C46" i="20" a="1"/>
  <c r="C46" i="20" s="1"/>
  <c r="F113" i="20" a="1"/>
  <c r="F113" i="20" s="1"/>
  <c r="D113" i="20" s="1"/>
  <c r="F101" i="20" a="1"/>
  <c r="F101" i="20" s="1"/>
  <c r="D101" i="20" s="1"/>
  <c r="F112" i="20" a="1"/>
  <c r="F112" i="20" s="1"/>
  <c r="D112" i="20" s="1"/>
  <c r="F100" i="20" a="1"/>
  <c r="F100" i="20" s="1"/>
  <c r="D100" i="20" s="1"/>
  <c r="C110" i="20" a="1"/>
  <c r="C110" i="20" s="1"/>
  <c r="C102" i="20" a="1"/>
  <c r="C102" i="20" s="1"/>
  <c r="F111" i="20" a="1"/>
  <c r="F111" i="20" s="1"/>
  <c r="D111" i="20" s="1"/>
  <c r="F99" i="20" a="1"/>
  <c r="F99" i="20" s="1"/>
  <c r="D99" i="20" s="1"/>
  <c r="C109" i="20" a="1"/>
  <c r="C109" i="20" s="1"/>
  <c r="C101" i="20" a="1"/>
  <c r="C101" i="20" s="1"/>
  <c r="F107" i="20" a="1"/>
  <c r="F107" i="20" s="1"/>
  <c r="D107" i="20" s="1"/>
  <c r="F95" i="20" a="1"/>
  <c r="F95" i="20" s="1"/>
  <c r="D95" i="20" s="1"/>
  <c r="C106" i="20" a="1"/>
  <c r="C106" i="20" s="1"/>
  <c r="F106" i="20" a="1"/>
  <c r="F106" i="20" s="1"/>
  <c r="D106" i="20" s="1"/>
  <c r="C114" i="20" a="1"/>
  <c r="C114" i="20" s="1"/>
  <c r="C98" i="20" a="1"/>
  <c r="C98" i="20" s="1"/>
  <c r="F105" i="20" a="1"/>
  <c r="F105" i="20" s="1"/>
  <c r="D105" i="20" s="1"/>
  <c r="C113" i="20" a="1"/>
  <c r="C113" i="20" s="1"/>
  <c r="C105" i="20" a="1"/>
  <c r="C105" i="20" s="1"/>
  <c r="C97" i="20" a="1"/>
  <c r="C97" i="20" s="1"/>
  <c r="F104" i="20" a="1"/>
  <c r="F104" i="20" s="1"/>
  <c r="D104" i="20" s="1"/>
  <c r="F254" i="20" a="1"/>
  <c r="F254" i="20" s="1"/>
  <c r="C30" i="20" a="1"/>
  <c r="C30" i="20" s="1"/>
  <c r="C112" i="20" a="1"/>
  <c r="C112" i="20" s="1"/>
  <c r="F28" i="20" a="1"/>
  <c r="F28" i="20" s="1"/>
  <c r="F258" i="20" a="1"/>
  <c r="F258" i="20" s="1"/>
  <c r="D15" i="20"/>
  <c r="C31" i="20" a="1"/>
  <c r="C31" i="20" s="1"/>
  <c r="C47" i="20" a="1"/>
  <c r="C47" i="20" s="1"/>
  <c r="C99" i="20" a="1"/>
  <c r="C99" i="20" s="1"/>
  <c r="F29" i="20" a="1"/>
  <c r="F29" i="20" s="1"/>
  <c r="F259" i="20" a="1"/>
  <c r="F259" i="20" s="1"/>
  <c r="C67" i="20" a="1"/>
  <c r="C67" i="20" s="1"/>
  <c r="C75" i="20" a="1"/>
  <c r="C75" i="20" s="1"/>
  <c r="F70" i="20" a="1"/>
  <c r="F70" i="20" s="1"/>
  <c r="C76" i="20" a="1"/>
  <c r="C76" i="20" s="1"/>
  <c r="F71" i="20" a="1"/>
  <c r="F71" i="20" s="1"/>
  <c r="D71" i="20" s="1"/>
  <c r="C68" i="20" a="1"/>
  <c r="C68" i="20" s="1"/>
  <c r="F72" i="20" a="1"/>
  <c r="F72" i="20" s="1"/>
  <c r="D72" i="20" s="1"/>
  <c r="B76" i="20" a="1"/>
  <c r="B76" i="20" s="1"/>
  <c r="B67" i="20" a="1"/>
  <c r="B67" i="20" s="1"/>
  <c r="E67" i="20" a="1"/>
  <c r="E67" i="20" s="1"/>
  <c r="E70" i="20" a="1"/>
  <c r="E70" i="20" s="1"/>
  <c r="C63" i="20" a="1"/>
  <c r="C63" i="20" s="1"/>
  <c r="C71" i="20" a="1"/>
  <c r="C71" i="20" s="1"/>
  <c r="C79" i="20" a="1"/>
  <c r="C79" i="20" s="1"/>
  <c r="F64" i="20" a="1"/>
  <c r="F64" i="20" s="1"/>
  <c r="D64" i="20" s="1"/>
  <c r="F76" i="20" a="1"/>
  <c r="F76" i="20" s="1"/>
  <c r="D76" i="20" s="1"/>
  <c r="C64" i="20" a="1"/>
  <c r="C64" i="20" s="1"/>
  <c r="C72" i="20" a="1"/>
  <c r="C72" i="20" s="1"/>
  <c r="F65" i="20" a="1"/>
  <c r="F65" i="20" s="1"/>
  <c r="D65" i="20" s="1"/>
  <c r="F77" i="20" a="1"/>
  <c r="F77" i="20" s="1"/>
  <c r="D77" i="20" s="1"/>
  <c r="C80" i="20" a="1"/>
  <c r="C80" i="20" s="1"/>
  <c r="F66" i="20" a="1"/>
  <c r="F66" i="20" s="1"/>
  <c r="D225" i="20"/>
  <c r="D180" i="20"/>
  <c r="D179" i="20"/>
  <c r="I94" i="11"/>
  <c r="K93" i="11"/>
  <c r="K234" i="11"/>
  <c r="I221" i="11"/>
  <c r="D57" i="20"/>
  <c r="I36" i="29"/>
  <c r="L68" i="2"/>
  <c r="K68" i="2"/>
  <c r="K70" i="2"/>
  <c r="L70" i="2"/>
  <c r="K123" i="2"/>
  <c r="L123" i="2"/>
  <c r="L121" i="2" s="1"/>
  <c r="K78" i="3"/>
  <c r="K70" i="3" s="1"/>
  <c r="L78" i="3"/>
  <c r="K179" i="3"/>
  <c r="L179" i="3"/>
  <c r="K200" i="3"/>
  <c r="L200" i="3"/>
  <c r="K262" i="3"/>
  <c r="L262" i="3"/>
  <c r="L46" i="4"/>
  <c r="L45" i="4" s="1"/>
  <c r="K46" i="4"/>
  <c r="K107" i="4"/>
  <c r="L107" i="4"/>
  <c r="L175" i="4"/>
  <c r="L173" i="4" s="1"/>
  <c r="K175" i="4"/>
  <c r="L210" i="4"/>
  <c r="L202" i="4" s="1"/>
  <c r="K210" i="4"/>
  <c r="L10" i="5"/>
  <c r="K10" i="5"/>
  <c r="L24" i="5"/>
  <c r="K24" i="5"/>
  <c r="L63" i="5"/>
  <c r="K63" i="5"/>
  <c r="K9" i="7"/>
  <c r="L9" i="7"/>
  <c r="K47" i="7"/>
  <c r="L47" i="7"/>
  <c r="L7" i="12"/>
  <c r="K7" i="12"/>
  <c r="L71" i="9"/>
  <c r="L64" i="9" s="1"/>
  <c r="K71" i="9"/>
  <c r="L106" i="9"/>
  <c r="K106" i="9"/>
  <c r="K133" i="9"/>
  <c r="L133" i="9"/>
  <c r="K82" i="11"/>
  <c r="L82" i="11"/>
  <c r="L42" i="3"/>
  <c r="L39" i="3" s="1"/>
  <c r="K42" i="3"/>
  <c r="L52" i="4"/>
  <c r="L50" i="4" s="1"/>
  <c r="K52" i="4"/>
  <c r="I193" i="11"/>
  <c r="K184" i="11"/>
  <c r="I184" i="11" s="1"/>
  <c r="I89" i="29"/>
  <c r="I394" i="29"/>
  <c r="I476" i="29"/>
  <c r="K281" i="29"/>
  <c r="I281" i="29" s="1"/>
  <c r="I193" i="3"/>
  <c r="K32" i="5"/>
  <c r="K280" i="30"/>
  <c r="K117" i="3"/>
  <c r="K199" i="11"/>
  <c r="I199" i="11" s="1"/>
  <c r="I151" i="11"/>
  <c r="K347" i="29"/>
  <c r="I133" i="11"/>
  <c r="I566" i="29"/>
  <c r="K565" i="29"/>
  <c r="I565" i="29" s="1"/>
  <c r="I84" i="11"/>
  <c r="I444" i="29"/>
  <c r="K443" i="29"/>
  <c r="I133" i="2"/>
  <c r="I226" i="4"/>
  <c r="L223" i="4"/>
  <c r="L398" i="29"/>
  <c r="I398" i="29" s="1"/>
  <c r="I399" i="29"/>
  <c r="L250" i="29"/>
  <c r="I251" i="29"/>
  <c r="I90" i="2"/>
  <c r="K87" i="2"/>
  <c r="I87" i="2" s="1"/>
  <c r="I160" i="4"/>
  <c r="K201" i="29"/>
  <c r="I201" i="29" s="1"/>
  <c r="K50" i="2"/>
  <c r="I50" i="2" s="1"/>
  <c r="I41" i="29"/>
  <c r="I91" i="11"/>
  <c r="I60" i="2"/>
  <c r="K227" i="11"/>
  <c r="I227" i="11" s="1"/>
  <c r="L24" i="29"/>
  <c r="K53" i="2"/>
  <c r="I53" i="2" s="1"/>
  <c r="L35" i="5"/>
  <c r="I35" i="5" s="1"/>
  <c r="L120" i="3"/>
  <c r="I120" i="3" s="1"/>
  <c r="K6" i="5"/>
  <c r="K254" i="30"/>
  <c r="K91" i="3"/>
  <c r="L93" i="11"/>
  <c r="K207" i="11"/>
  <c r="L207" i="11"/>
  <c r="I82" i="29"/>
  <c r="K77" i="29"/>
  <c r="I77" i="29" s="1"/>
  <c r="K282" i="30"/>
  <c r="K34" i="5"/>
  <c r="K119" i="3"/>
  <c r="I58" i="8"/>
  <c r="I220" i="11"/>
  <c r="I294" i="30"/>
  <c r="I140" i="2"/>
  <c r="I87" i="11"/>
  <c r="I223" i="11"/>
  <c r="K200" i="30"/>
  <c r="I200" i="30" s="1"/>
  <c r="I201" i="30"/>
  <c r="K196" i="11"/>
  <c r="L210" i="11"/>
  <c r="I210" i="11" s="1"/>
  <c r="K57" i="2"/>
  <c r="I307" i="30"/>
  <c r="I95" i="11"/>
  <c r="I180" i="11"/>
  <c r="K588" i="29"/>
  <c r="I590" i="29"/>
  <c r="K13" i="29"/>
  <c r="L13" i="29"/>
  <c r="L225" i="11"/>
  <c r="I225" i="11" s="1"/>
  <c r="I172" i="11"/>
  <c r="K38" i="29"/>
  <c r="K298" i="30"/>
  <c r="I298" i="30" s="1"/>
  <c r="I158" i="11"/>
  <c r="K120" i="30"/>
  <c r="I120" i="30" s="1"/>
  <c r="K359" i="29"/>
  <c r="K367" i="29"/>
  <c r="I367" i="29" s="1"/>
  <c r="K16" i="29"/>
  <c r="I16" i="29" s="1"/>
  <c r="I89" i="11"/>
  <c r="I56" i="11"/>
  <c r="I105" i="11"/>
  <c r="I167" i="11"/>
  <c r="I140" i="29"/>
  <c r="I470" i="29"/>
  <c r="I456" i="29"/>
  <c r="I582" i="29"/>
  <c r="I177" i="29"/>
  <c r="I524" i="29"/>
  <c r="I326" i="29"/>
  <c r="K89" i="8"/>
  <c r="I85" i="9"/>
  <c r="I230" i="4"/>
  <c r="I241" i="29"/>
  <c r="I403" i="29"/>
  <c r="I152" i="30"/>
  <c r="I207" i="29"/>
  <c r="K206" i="29"/>
  <c r="I206" i="29" s="1"/>
  <c r="I550" i="29"/>
  <c r="I561" i="29"/>
  <c r="L592" i="29"/>
  <c r="I592" i="29" s="1"/>
  <c r="I266" i="29"/>
  <c r="K283" i="30"/>
  <c r="I283" i="30" s="1"/>
  <c r="I197" i="30"/>
  <c r="K298" i="29"/>
  <c r="I298" i="29" s="1"/>
  <c r="I188" i="30"/>
  <c r="L83" i="9"/>
  <c r="K120" i="9"/>
  <c r="K196" i="30"/>
  <c r="I196" i="30" s="1"/>
  <c r="I261" i="29"/>
  <c r="I76" i="7"/>
  <c r="K74" i="7"/>
  <c r="I14" i="6"/>
  <c r="I75" i="8"/>
  <c r="K223" i="4"/>
  <c r="I44" i="11"/>
  <c r="I184" i="30"/>
  <c r="K150" i="30"/>
  <c r="I150" i="30" s="1"/>
  <c r="I151" i="30"/>
  <c r="I306" i="29"/>
  <c r="I39" i="11"/>
  <c r="I485" i="29"/>
  <c r="I37" i="4"/>
  <c r="I80" i="7"/>
  <c r="K70" i="8"/>
  <c r="I70" i="8" s="1"/>
  <c r="I222" i="29"/>
  <c r="K221" i="29"/>
  <c r="I221" i="29" s="1"/>
  <c r="I74" i="11"/>
  <c r="I578" i="29"/>
  <c r="I67" i="3"/>
  <c r="I169" i="4"/>
  <c r="K115" i="2"/>
  <c r="I115" i="2" s="1"/>
  <c r="I116" i="2"/>
  <c r="I145" i="30"/>
  <c r="L359" i="29"/>
  <c r="L209" i="11"/>
  <c r="I209" i="11" s="1"/>
  <c r="K12" i="29"/>
  <c r="I12" i="29" s="1"/>
  <c r="K297" i="30"/>
  <c r="I297" i="30" s="1"/>
  <c r="K66" i="2"/>
  <c r="I66" i="2" s="1"/>
  <c r="L52" i="2"/>
  <c r="I52" i="2" s="1"/>
  <c r="K192" i="3"/>
  <c r="K150" i="29"/>
  <c r="I150" i="29" s="1"/>
  <c r="I84" i="9"/>
  <c r="I45" i="9"/>
  <c r="I234" i="4"/>
  <c r="I43" i="30"/>
  <c r="I88" i="2"/>
  <c r="L131" i="30"/>
  <c r="I131" i="30" s="1"/>
  <c r="L37" i="30"/>
  <c r="I37" i="30" s="1"/>
  <c r="I190" i="4"/>
  <c r="L222" i="11"/>
  <c r="I222" i="11" s="1"/>
  <c r="I35" i="11"/>
  <c r="I493" i="29"/>
  <c r="I113" i="29"/>
  <c r="I272" i="29"/>
  <c r="I76" i="8"/>
  <c r="I42" i="30"/>
  <c r="I17" i="12"/>
  <c r="I66" i="3"/>
  <c r="I141" i="30"/>
  <c r="I156" i="29"/>
  <c r="B8" i="14"/>
  <c r="M438" i="13" s="1"/>
  <c r="I76" i="4"/>
  <c r="I91" i="7"/>
  <c r="I515" i="29"/>
  <c r="I17" i="6"/>
  <c r="I66" i="9"/>
  <c r="I112" i="29"/>
  <c r="I531" i="29"/>
  <c r="I244" i="30"/>
  <c r="L212" i="4"/>
  <c r="I317" i="29"/>
  <c r="I516" i="29"/>
  <c r="L538" i="29"/>
  <c r="I538" i="29" s="1"/>
  <c r="K439" i="29"/>
  <c r="I439" i="29" s="1"/>
  <c r="I73" i="30"/>
  <c r="I143" i="9"/>
  <c r="L580" i="29"/>
  <c r="I580" i="29" s="1"/>
  <c r="I152" i="29"/>
  <c r="I74" i="9"/>
  <c r="L309" i="29"/>
  <c r="I309" i="29" s="1"/>
  <c r="K27" i="7"/>
  <c r="L27" i="7"/>
  <c r="L23" i="7" s="1"/>
  <c r="K87" i="4"/>
  <c r="L87" i="4"/>
  <c r="L268" i="3"/>
  <c r="K268" i="3"/>
  <c r="I268" i="3" s="1"/>
  <c r="L96" i="4"/>
  <c r="K96" i="4"/>
  <c r="I96" i="4" s="1"/>
  <c r="L43" i="2"/>
  <c r="K43" i="2"/>
  <c r="K121" i="4"/>
  <c r="L121" i="4"/>
  <c r="L119" i="4" s="1"/>
  <c r="L135" i="4"/>
  <c r="K135" i="4"/>
  <c r="K139" i="4"/>
  <c r="L139" i="4"/>
  <c r="L106" i="2"/>
  <c r="K106" i="2"/>
  <c r="I106" i="2" s="1"/>
  <c r="K7" i="6"/>
  <c r="I7" i="6" s="1"/>
  <c r="I146" i="9"/>
  <c r="I303" i="29"/>
  <c r="K17" i="3"/>
  <c r="I17" i="3" s="1"/>
  <c r="K9" i="3"/>
  <c r="I9" i="3" s="1"/>
  <c r="K20" i="3"/>
  <c r="I20" i="3" s="1"/>
  <c r="O30" i="20"/>
  <c r="N21" i="23" s="1"/>
  <c r="K42" i="5"/>
  <c r="I42" i="5" s="1"/>
  <c r="I59" i="7"/>
  <c r="D11" i="2"/>
  <c r="D13" i="2"/>
  <c r="D21" i="2"/>
  <c r="D18" i="2"/>
  <c r="D23" i="2"/>
  <c r="D10" i="2"/>
  <c r="D32" i="2"/>
  <c r="D29" i="2"/>
  <c r="D15" i="2"/>
  <c r="D30" i="2"/>
  <c r="D28" i="2"/>
  <c r="K123" i="3"/>
  <c r="I123" i="3" s="1"/>
  <c r="F24" i="24"/>
  <c r="F23" i="24"/>
  <c r="F30" i="24"/>
  <c r="B79" i="62"/>
  <c r="F26" i="24"/>
  <c r="I26" i="24" s="1"/>
  <c r="B43" i="62"/>
  <c r="C43" i="62" s="1"/>
  <c r="D43" i="62" s="1"/>
  <c r="E43" i="62" s="1"/>
  <c r="F43" i="62" s="1"/>
  <c r="G43" i="62" s="1"/>
  <c r="H43" i="62" s="1"/>
  <c r="I43" i="62" s="1"/>
  <c r="J43" i="62" s="1"/>
  <c r="K43" i="62" s="1"/>
  <c r="L43" i="62" s="1"/>
  <c r="M43" i="62" s="1"/>
  <c r="N43" i="62" s="1"/>
  <c r="O43" i="62" s="1"/>
  <c r="P43" i="62" s="1"/>
  <c r="Q43" i="62" s="1"/>
  <c r="R43" i="62" s="1"/>
  <c r="S43" i="62" s="1"/>
  <c r="T43" i="62" s="1"/>
  <c r="U43" i="62" s="1"/>
  <c r="V43" i="62" s="1"/>
  <c r="W43" i="62" s="1"/>
  <c r="X43" i="62" s="1"/>
  <c r="Y43" i="62" s="1"/>
  <c r="Z43" i="62" s="1"/>
  <c r="AA43" i="62" s="1"/>
  <c r="AB43" i="62" s="1"/>
  <c r="AC43" i="62" s="1"/>
  <c r="AD41" i="62" s="1"/>
  <c r="B61" i="62"/>
  <c r="C61" i="62" s="1"/>
  <c r="D61" i="62" s="1"/>
  <c r="E61" i="62" s="1"/>
  <c r="F61" i="62" s="1"/>
  <c r="G61" i="62" s="1"/>
  <c r="H61" i="62" s="1"/>
  <c r="I61" i="62" s="1"/>
  <c r="J61" i="62" s="1"/>
  <c r="K61" i="62" s="1"/>
  <c r="L61" i="62" s="1"/>
  <c r="M61" i="62" s="1"/>
  <c r="N61" i="62" s="1"/>
  <c r="O61" i="62" s="1"/>
  <c r="P61" i="62" s="1"/>
  <c r="Q61" i="62" s="1"/>
  <c r="R61" i="62" s="1"/>
  <c r="S61" i="62" s="1"/>
  <c r="T61" i="62" s="1"/>
  <c r="U61" i="62" s="1"/>
  <c r="V61" i="62" s="1"/>
  <c r="W61" i="62" s="1"/>
  <c r="X61" i="62" s="1"/>
  <c r="Y61" i="62" s="1"/>
  <c r="Z61" i="62" s="1"/>
  <c r="AA61" i="62" s="1"/>
  <c r="AB61" i="62" s="1"/>
  <c r="AC61" i="62" s="1"/>
  <c r="AD59" i="62" s="1"/>
  <c r="B37" i="62"/>
  <c r="C37" i="62" s="1"/>
  <c r="D37" i="62" s="1"/>
  <c r="E37" i="62" s="1"/>
  <c r="F37" i="62" s="1"/>
  <c r="G37" i="62" s="1"/>
  <c r="H37" i="62" s="1"/>
  <c r="I37" i="62" s="1"/>
  <c r="J37" i="62" s="1"/>
  <c r="K37" i="62" s="1"/>
  <c r="L37" i="62" s="1"/>
  <c r="M37" i="62" s="1"/>
  <c r="N37" i="62" s="1"/>
  <c r="O37" i="62" s="1"/>
  <c r="P37" i="62" s="1"/>
  <c r="Q37" i="62" s="1"/>
  <c r="R37" i="62" s="1"/>
  <c r="S37" i="62" s="1"/>
  <c r="T37" i="62" s="1"/>
  <c r="U37" i="62" s="1"/>
  <c r="V37" i="62" s="1"/>
  <c r="W37" i="62" s="1"/>
  <c r="X37" i="62" s="1"/>
  <c r="Y37" i="62" s="1"/>
  <c r="Z37" i="62" s="1"/>
  <c r="AA37" i="62" s="1"/>
  <c r="AB37" i="62" s="1"/>
  <c r="AC37" i="62" s="1"/>
  <c r="B25" i="62"/>
  <c r="C25" i="62" s="1"/>
  <c r="D25" i="62" s="1"/>
  <c r="E25" i="62" s="1"/>
  <c r="F25" i="62" s="1"/>
  <c r="G25" i="62" s="1"/>
  <c r="H25" i="62" s="1"/>
  <c r="I25" i="62" s="1"/>
  <c r="J25" i="62" s="1"/>
  <c r="K25" i="62" s="1"/>
  <c r="L25" i="62" s="1"/>
  <c r="M25" i="62" s="1"/>
  <c r="N25" i="62" s="1"/>
  <c r="O25" i="62" s="1"/>
  <c r="P25" i="62" s="1"/>
  <c r="Q25" i="62" s="1"/>
  <c r="R25" i="62" s="1"/>
  <c r="S25" i="62" s="1"/>
  <c r="T25" i="62" s="1"/>
  <c r="U25" i="62" s="1"/>
  <c r="V25" i="62" s="1"/>
  <c r="W25" i="62" s="1"/>
  <c r="X25" i="62" s="1"/>
  <c r="Y25" i="62" s="1"/>
  <c r="Z25" i="62" s="1"/>
  <c r="AA25" i="62" s="1"/>
  <c r="AB25" i="62" s="1"/>
  <c r="AC25" i="62" s="1"/>
  <c r="F27" i="24"/>
  <c r="F33" i="24"/>
  <c r="F31" i="24"/>
  <c r="B31" i="62"/>
  <c r="C31" i="62" s="1"/>
  <c r="D31" i="62" s="1"/>
  <c r="E31" i="62" s="1"/>
  <c r="F31" i="62" s="1"/>
  <c r="G31" i="62" s="1"/>
  <c r="H31" i="62" s="1"/>
  <c r="I31" i="62" s="1"/>
  <c r="J31" i="62" s="1"/>
  <c r="K31" i="62" s="1"/>
  <c r="L31" i="62" s="1"/>
  <c r="M31" i="62" s="1"/>
  <c r="N31" i="62" s="1"/>
  <c r="O31" i="62" s="1"/>
  <c r="P31" i="62" s="1"/>
  <c r="Q31" i="62" s="1"/>
  <c r="R31" i="62" s="1"/>
  <c r="S31" i="62" s="1"/>
  <c r="T31" i="62" s="1"/>
  <c r="U31" i="62" s="1"/>
  <c r="V31" i="62" s="1"/>
  <c r="W31" i="62" s="1"/>
  <c r="X31" i="62" s="1"/>
  <c r="Y31" i="62" s="1"/>
  <c r="Z31" i="62" s="1"/>
  <c r="AA31" i="62" s="1"/>
  <c r="AB31" i="62" s="1"/>
  <c r="AC31" i="62" s="1"/>
  <c r="AD29" i="62" s="1"/>
  <c r="B55" i="62"/>
  <c r="C55" i="62" s="1"/>
  <c r="D55" i="62" s="1"/>
  <c r="E55" i="62" s="1"/>
  <c r="F55" i="62" s="1"/>
  <c r="G55" i="62" s="1"/>
  <c r="H55" i="62" s="1"/>
  <c r="I55" i="62" s="1"/>
  <c r="J55" i="62" s="1"/>
  <c r="K55" i="62" s="1"/>
  <c r="L55" i="62" s="1"/>
  <c r="M55" i="62" s="1"/>
  <c r="N55" i="62" s="1"/>
  <c r="O55" i="62" s="1"/>
  <c r="P55" i="62" s="1"/>
  <c r="Q55" i="62" s="1"/>
  <c r="R55" i="62" s="1"/>
  <c r="S55" i="62" s="1"/>
  <c r="T55" i="62" s="1"/>
  <c r="U55" i="62" s="1"/>
  <c r="V55" i="62" s="1"/>
  <c r="W55" i="62" s="1"/>
  <c r="X55" i="62" s="1"/>
  <c r="Y55" i="62" s="1"/>
  <c r="Z55" i="62" s="1"/>
  <c r="AA55" i="62" s="1"/>
  <c r="AB55" i="62" s="1"/>
  <c r="AC55" i="62" s="1"/>
  <c r="F28" i="24"/>
  <c r="I28" i="24" s="1"/>
  <c r="F25" i="24"/>
  <c r="I25" i="24" s="1"/>
  <c r="B19" i="62"/>
  <c r="C19" i="62" s="1"/>
  <c r="D19" i="62" s="1"/>
  <c r="E19" i="62" s="1"/>
  <c r="F19" i="62" s="1"/>
  <c r="G19" i="62" s="1"/>
  <c r="H19" i="62" s="1"/>
  <c r="I19" i="62" s="1"/>
  <c r="J19" i="62" s="1"/>
  <c r="K19" i="62" s="1"/>
  <c r="L19" i="62" s="1"/>
  <c r="M19" i="62" s="1"/>
  <c r="N19" i="62" s="1"/>
  <c r="O19" i="62" s="1"/>
  <c r="P19" i="62" s="1"/>
  <c r="Q19" i="62" s="1"/>
  <c r="R19" i="62" s="1"/>
  <c r="S19" i="62" s="1"/>
  <c r="T19" i="62" s="1"/>
  <c r="U19" i="62" s="1"/>
  <c r="V19" i="62" s="1"/>
  <c r="W19" i="62" s="1"/>
  <c r="X19" i="62" s="1"/>
  <c r="Y19" i="62" s="1"/>
  <c r="Z19" i="62" s="1"/>
  <c r="AA19" i="62" s="1"/>
  <c r="AB19" i="62" s="1"/>
  <c r="AC19" i="62" s="1"/>
  <c r="AD17" i="62" s="1"/>
  <c r="F21" i="24"/>
  <c r="B13" i="62"/>
  <c r="C13" i="62" s="1"/>
  <c r="D13" i="62" s="1"/>
  <c r="E13" i="62" s="1"/>
  <c r="F13" i="62" s="1"/>
  <c r="G13" i="62" s="1"/>
  <c r="H13" i="62" s="1"/>
  <c r="I13" i="62" s="1"/>
  <c r="J13" i="62" s="1"/>
  <c r="K13" i="62" s="1"/>
  <c r="L13" i="62" s="1"/>
  <c r="M13" i="62" s="1"/>
  <c r="N13" i="62" s="1"/>
  <c r="O13" i="62" s="1"/>
  <c r="P13" i="62" s="1"/>
  <c r="Q13" i="62" s="1"/>
  <c r="R13" i="62" s="1"/>
  <c r="S13" i="62" s="1"/>
  <c r="T13" i="62" s="1"/>
  <c r="U13" i="62" s="1"/>
  <c r="V13" i="62" s="1"/>
  <c r="W13" i="62" s="1"/>
  <c r="X13" i="62" s="1"/>
  <c r="Y13" i="62" s="1"/>
  <c r="Z13" i="62" s="1"/>
  <c r="AA13" i="62" s="1"/>
  <c r="AB13" i="62" s="1"/>
  <c r="AC13" i="62" s="1"/>
  <c r="AD11" i="62" s="1"/>
  <c r="F22" i="24"/>
  <c r="D19" i="2"/>
  <c r="B73" i="62"/>
  <c r="C73" i="62" s="1"/>
  <c r="D73" i="62" s="1"/>
  <c r="E73" i="62" s="1"/>
  <c r="F73" i="62" s="1"/>
  <c r="G73" i="62" s="1"/>
  <c r="H73" i="62" s="1"/>
  <c r="I73" i="62" s="1"/>
  <c r="J73" i="62" s="1"/>
  <c r="K73" i="62" s="1"/>
  <c r="L73" i="62" s="1"/>
  <c r="M73" i="62" s="1"/>
  <c r="N73" i="62" s="1"/>
  <c r="O73" i="62" s="1"/>
  <c r="P73" i="62" s="1"/>
  <c r="Q73" i="62" s="1"/>
  <c r="R73" i="62" s="1"/>
  <c r="S73" i="62" s="1"/>
  <c r="T73" i="62" s="1"/>
  <c r="U73" i="62" s="1"/>
  <c r="V73" i="62" s="1"/>
  <c r="W73" i="62" s="1"/>
  <c r="X73" i="62" s="1"/>
  <c r="Y73" i="62" s="1"/>
  <c r="Z73" i="62" s="1"/>
  <c r="AA73" i="62" s="1"/>
  <c r="AB73" i="62" s="1"/>
  <c r="AC73" i="62" s="1"/>
  <c r="AD71" i="62" s="1"/>
  <c r="F29" i="24"/>
  <c r="F35" i="24" s="1"/>
  <c r="AG4" i="20" s="1"/>
  <c r="AG5" i="20" s="1"/>
  <c r="AG6" i="20" s="1"/>
  <c r="AG7" i="20" s="1"/>
  <c r="AG8" i="20" s="1"/>
  <c r="AG9" i="20" s="1"/>
  <c r="AG10" i="20" s="1"/>
  <c r="AG11" i="20" s="1"/>
  <c r="AG12" i="20" s="1"/>
  <c r="AG13" i="20" s="1"/>
  <c r="AG14" i="20" s="1"/>
  <c r="AG15" i="20" s="1"/>
  <c r="AG16" i="20" s="1"/>
  <c r="AG17" i="20" s="1"/>
  <c r="AG18" i="20" s="1"/>
  <c r="AG19" i="20" s="1"/>
  <c r="AG20" i="20" s="1"/>
  <c r="AG21" i="20" s="1"/>
  <c r="AG22" i="20" s="1"/>
  <c r="AG23" i="20" s="1"/>
  <c r="AG24" i="20" s="1"/>
  <c r="AG25" i="20" s="1"/>
  <c r="AG26" i="20" s="1"/>
  <c r="AG27" i="20" s="1"/>
  <c r="AG28" i="20" s="1"/>
  <c r="AG29" i="20" s="1"/>
  <c r="AG30" i="20" s="1"/>
  <c r="AG31" i="20" s="1"/>
  <c r="AG32" i="20" s="1"/>
  <c r="AG33" i="20" s="1"/>
  <c r="D14" i="2"/>
  <c r="B7" i="62"/>
  <c r="C7" i="62" s="1"/>
  <c r="D7" i="62" s="1"/>
  <c r="E7" i="62" s="1"/>
  <c r="F7" i="62" s="1"/>
  <c r="G7" i="62" s="1"/>
  <c r="H7" i="62" s="1"/>
  <c r="I7" i="62" s="1"/>
  <c r="J7" i="62" s="1"/>
  <c r="K7" i="62" s="1"/>
  <c r="L7" i="62" s="1"/>
  <c r="M7" i="62" s="1"/>
  <c r="N7" i="62" s="1"/>
  <c r="O7" i="62" s="1"/>
  <c r="P7" i="62" s="1"/>
  <c r="Q7" i="62" s="1"/>
  <c r="R7" i="62" s="1"/>
  <c r="S7" i="62" s="1"/>
  <c r="T7" i="62" s="1"/>
  <c r="U7" i="62" s="1"/>
  <c r="V7" i="62" s="1"/>
  <c r="W7" i="62" s="1"/>
  <c r="X7" i="62" s="1"/>
  <c r="Y7" i="62" s="1"/>
  <c r="Z7" i="62" s="1"/>
  <c r="AA7" i="62" s="1"/>
  <c r="AB7" i="62" s="1"/>
  <c r="AC7" i="62" s="1"/>
  <c r="D20" i="2"/>
  <c r="D31" i="2"/>
  <c r="D16" i="2"/>
  <c r="K259" i="3"/>
  <c r="L259" i="3"/>
  <c r="O109" i="3"/>
  <c r="O32" i="29"/>
  <c r="O140" i="3"/>
  <c r="K243" i="11"/>
  <c r="L243" i="11"/>
  <c r="L11" i="5"/>
  <c r="O51" i="2"/>
  <c r="L27" i="5"/>
  <c r="L149" i="11"/>
  <c r="K149" i="11"/>
  <c r="O63" i="4"/>
  <c r="O69" i="2"/>
  <c r="L260" i="3"/>
  <c r="I260" i="3" s="1"/>
  <c r="L14" i="9"/>
  <c r="I14" i="9" s="1"/>
  <c r="L17" i="5"/>
  <c r="I17" i="5" s="1"/>
  <c r="O65" i="30"/>
  <c r="O43" i="29"/>
  <c r="L20" i="5"/>
  <c r="L109" i="9"/>
  <c r="I9" i="30"/>
  <c r="E24" i="24"/>
  <c r="E35" i="24" s="1"/>
  <c r="AF4" i="20" s="1"/>
  <c r="AF5" i="20" s="1"/>
  <c r="AF6" i="20" s="1"/>
  <c r="AF7" i="20" s="1"/>
  <c r="AF8" i="20" s="1"/>
  <c r="AF9" i="20" s="1"/>
  <c r="AF10" i="20" s="1"/>
  <c r="AF11" i="20" s="1"/>
  <c r="AF12" i="20" s="1"/>
  <c r="AF13" i="20" s="1"/>
  <c r="AF14" i="20" s="1"/>
  <c r="AF15" i="20" s="1"/>
  <c r="AF16" i="20" s="1"/>
  <c r="AF17" i="20" s="1"/>
  <c r="AF18" i="20" s="1"/>
  <c r="AF19" i="20" s="1"/>
  <c r="AF20" i="20" s="1"/>
  <c r="AF21" i="20" s="1"/>
  <c r="AF22" i="20" s="1"/>
  <c r="AF23" i="20" s="1"/>
  <c r="AF24" i="20" s="1"/>
  <c r="AF25" i="20" s="1"/>
  <c r="AF26" i="20" s="1"/>
  <c r="AF27" i="20" s="1"/>
  <c r="AF28" i="20" s="1"/>
  <c r="AF29" i="20" s="1"/>
  <c r="AF30" i="20" s="1"/>
  <c r="AF31" i="20" s="1"/>
  <c r="AF32" i="20" s="1"/>
  <c r="AF33" i="20" s="1"/>
  <c r="E27" i="24"/>
  <c r="L9" i="5"/>
  <c r="I9" i="5" s="1"/>
  <c r="L22" i="5"/>
  <c r="O27" i="2"/>
  <c r="O288" i="30"/>
  <c r="K293" i="29"/>
  <c r="I293" i="29" s="1"/>
  <c r="K112" i="9"/>
  <c r="I112" i="9" s="1"/>
  <c r="C275" i="30" a="1"/>
  <c r="C275" i="30" s="1"/>
  <c r="O47" i="5"/>
  <c r="B11" i="66" a="1"/>
  <c r="B11" i="66" s="1"/>
  <c r="L246" i="11"/>
  <c r="I246" i="11" s="1"/>
  <c r="C267" i="30" a="1"/>
  <c r="C267" i="30" s="1"/>
  <c r="O267" i="30" s="1"/>
  <c r="D147" i="11"/>
  <c r="O44" i="29"/>
  <c r="D148" i="11"/>
  <c r="O123" i="3"/>
  <c r="O57" i="2"/>
  <c r="O46" i="2"/>
  <c r="O39" i="5"/>
  <c r="O16" i="5"/>
  <c r="O63" i="29"/>
  <c r="O41" i="5"/>
  <c r="O101" i="3"/>
  <c r="O14" i="2"/>
  <c r="O40" i="29"/>
  <c r="O277" i="29"/>
  <c r="O68" i="29"/>
  <c r="O61" i="3"/>
  <c r="O187" i="30"/>
  <c r="O62" i="3"/>
  <c r="O293" i="30"/>
  <c r="O130" i="3"/>
  <c r="O229" i="4"/>
  <c r="O77" i="11"/>
  <c r="O18" i="2"/>
  <c r="O278" i="29"/>
  <c r="O64" i="30"/>
  <c r="O188" i="30"/>
  <c r="O13" i="29"/>
  <c r="O101" i="9"/>
  <c r="O34" i="29"/>
  <c r="O95" i="3"/>
  <c r="O53" i="5"/>
  <c r="O58" i="30"/>
  <c r="O258" i="30"/>
  <c r="O272" i="30"/>
  <c r="O9" i="3"/>
  <c r="O12" i="2"/>
  <c r="O138" i="3"/>
  <c r="O201" i="30"/>
  <c r="O301" i="30"/>
  <c r="O61" i="4"/>
  <c r="O24" i="5"/>
  <c r="O594" i="29"/>
  <c r="O252" i="30"/>
  <c r="O62" i="29"/>
  <c r="O23" i="3"/>
  <c r="O124" i="3"/>
  <c r="O287" i="30"/>
  <c r="O26" i="2"/>
  <c r="O187" i="4"/>
  <c r="O59" i="2"/>
  <c r="O567" i="29"/>
  <c r="O570" i="29"/>
  <c r="O68" i="4"/>
  <c r="O310" i="29"/>
  <c r="O17" i="5"/>
  <c r="O566" i="29"/>
  <c r="O142" i="3"/>
  <c r="O259" i="30"/>
  <c r="O50" i="29"/>
  <c r="O96" i="3"/>
  <c r="O254" i="30"/>
  <c r="O137" i="11"/>
  <c r="O76" i="7"/>
  <c r="O139" i="3"/>
  <c r="O14" i="29"/>
  <c r="O25" i="5"/>
  <c r="O9" i="10"/>
  <c r="O79" i="7"/>
  <c r="O320" i="29"/>
  <c r="O10" i="5"/>
  <c r="O39" i="8"/>
  <c r="O160" i="4"/>
  <c r="O43" i="8"/>
  <c r="O78" i="9"/>
  <c r="O125" i="3"/>
  <c r="O62" i="4"/>
  <c r="O66" i="2"/>
  <c r="O255" i="3"/>
  <c r="O6" i="5"/>
  <c r="O198" i="30"/>
  <c r="O33" i="3"/>
  <c r="O40" i="5"/>
  <c r="O10" i="3"/>
  <c r="O54" i="5"/>
  <c r="O302" i="30"/>
  <c r="O447" i="29"/>
  <c r="O36" i="8"/>
  <c r="O13" i="2"/>
  <c r="O52" i="2"/>
  <c r="O24" i="3"/>
  <c r="O83" i="7"/>
  <c r="O35" i="29"/>
  <c r="O110" i="3"/>
  <c r="O44" i="7"/>
  <c r="O407" i="29"/>
  <c r="O79" i="11"/>
  <c r="O441" i="29"/>
  <c r="O24" i="7"/>
  <c r="O11" i="5"/>
  <c r="O59" i="30"/>
  <c r="O273" i="30"/>
  <c r="O368" i="29"/>
  <c r="O205" i="30"/>
  <c r="O400" i="29"/>
  <c r="O179" i="3"/>
  <c r="O204" i="3"/>
  <c r="O107" i="4"/>
  <c r="O444" i="29"/>
  <c r="O84" i="8"/>
  <c r="O130" i="9"/>
  <c r="O137" i="9"/>
  <c r="O294" i="30"/>
  <c r="O16" i="3"/>
  <c r="O113" i="3"/>
  <c r="O98" i="9"/>
  <c r="O262" i="29"/>
  <c r="O69" i="29"/>
  <c r="O333" i="29"/>
  <c r="O188" i="3"/>
  <c r="O131" i="3"/>
  <c r="O57" i="5"/>
  <c r="O27" i="3"/>
  <c r="O174" i="4"/>
  <c r="O20" i="29"/>
  <c r="O102" i="3"/>
  <c r="O28" i="5"/>
  <c r="O265" i="30"/>
  <c r="O46" i="5"/>
  <c r="O132" i="30"/>
  <c r="O41" i="29"/>
  <c r="O58" i="2"/>
  <c r="O31" i="8"/>
  <c r="O19" i="2"/>
  <c r="O276" i="30"/>
  <c r="O224" i="30"/>
  <c r="O145" i="30"/>
  <c r="O403" i="29"/>
  <c r="O38" i="5"/>
  <c r="O399" i="29"/>
  <c r="O22" i="2"/>
  <c r="O33" i="29"/>
  <c r="O61" i="29"/>
  <c r="O134" i="3"/>
  <c r="O286" i="30"/>
  <c r="O72" i="29"/>
  <c r="O305" i="30"/>
  <c r="O80" i="4"/>
  <c r="O39" i="30"/>
  <c r="O82" i="3"/>
  <c r="O16" i="6"/>
  <c r="O157" i="29"/>
  <c r="O30" i="2"/>
  <c r="O251" i="3"/>
  <c r="O235" i="29"/>
  <c r="O166" i="11"/>
  <c r="O122" i="30"/>
  <c r="O593" i="29"/>
  <c r="O37" i="4"/>
  <c r="O208" i="29"/>
  <c r="O43" i="30"/>
  <c r="O81" i="4"/>
  <c r="O40" i="8"/>
  <c r="O184" i="29"/>
  <c r="O35" i="8"/>
  <c r="O357" i="29"/>
  <c r="O448" i="29"/>
  <c r="O126" i="3"/>
  <c r="O165" i="29"/>
  <c r="O148" i="30"/>
  <c r="O64" i="29"/>
  <c r="O55" i="5"/>
  <c r="O17" i="10"/>
  <c r="O262" i="3"/>
  <c r="O53" i="2"/>
  <c r="O36" i="29"/>
  <c r="O25" i="3"/>
  <c r="O46" i="4"/>
  <c r="O190" i="4"/>
  <c r="O252" i="3"/>
  <c r="O13" i="10"/>
  <c r="O212" i="30"/>
  <c r="O15" i="29"/>
  <c r="O111" i="3"/>
  <c r="O87" i="8"/>
  <c r="O90" i="7"/>
  <c r="O260" i="30"/>
  <c r="O26" i="5"/>
  <c r="O238" i="29"/>
  <c r="O445" i="29"/>
  <c r="O274" i="30"/>
  <c r="O80" i="7"/>
  <c r="O339" i="29"/>
  <c r="O12" i="5"/>
  <c r="O97" i="3"/>
  <c r="O28" i="2"/>
  <c r="O15" i="7"/>
  <c r="O289" i="30"/>
  <c r="O11" i="3"/>
  <c r="O303" i="30"/>
  <c r="O323" i="29"/>
  <c r="O38" i="4"/>
  <c r="O202" i="30"/>
  <c r="O60" i="30"/>
  <c r="O153" i="29"/>
  <c r="O17" i="3"/>
  <c r="O66" i="30"/>
  <c r="O596" i="29"/>
  <c r="O42" i="29"/>
  <c r="O266" i="30"/>
  <c r="O76" i="8"/>
  <c r="O179" i="4"/>
  <c r="O173" i="11"/>
  <c r="O18" i="5"/>
  <c r="O180" i="11"/>
  <c r="O132" i="3"/>
  <c r="O21" i="29"/>
  <c r="O103" i="3"/>
  <c r="O70" i="29"/>
  <c r="O44" i="30"/>
  <c r="O314" i="29"/>
  <c r="O318" i="29"/>
  <c r="O48" i="7"/>
  <c r="O137" i="30"/>
  <c r="O204" i="11"/>
  <c r="O181" i="11"/>
  <c r="O227" i="29"/>
  <c r="O172" i="30"/>
  <c r="O81" i="8"/>
  <c r="O36" i="7"/>
  <c r="O247" i="3"/>
  <c r="O12" i="29"/>
  <c r="O49" i="5"/>
  <c r="O75" i="7"/>
  <c r="O257" i="30"/>
  <c r="O11" i="2"/>
  <c r="O71" i="4"/>
  <c r="O297" i="30"/>
  <c r="O197" i="30"/>
  <c r="O514" i="29"/>
  <c r="O135" i="11"/>
  <c r="O523" i="29"/>
  <c r="O94" i="3"/>
  <c r="O20" i="5"/>
  <c r="O60" i="4"/>
  <c r="O268" i="30"/>
  <c r="O50" i="2"/>
  <c r="O23" i="29"/>
  <c r="O68" i="30"/>
  <c r="O8" i="10"/>
  <c r="O69" i="11"/>
  <c r="O581" i="29"/>
  <c r="O57" i="30"/>
  <c r="O19" i="3"/>
  <c r="O8" i="3"/>
  <c r="O105" i="3"/>
  <c r="O61" i="2"/>
  <c r="O244" i="30"/>
  <c r="O9" i="5"/>
  <c r="O146" i="9"/>
  <c r="O38" i="30"/>
  <c r="O183" i="4"/>
  <c r="O300" i="29"/>
  <c r="O51" i="29"/>
  <c r="O8" i="5"/>
  <c r="O136" i="2"/>
  <c r="O120" i="2"/>
  <c r="O59" i="4"/>
  <c r="O207" i="29"/>
  <c r="O70" i="4"/>
  <c r="O285" i="30"/>
  <c r="O568" i="29"/>
  <c r="O67" i="30"/>
  <c r="O64" i="8"/>
  <c r="O156" i="29"/>
  <c r="O10" i="2"/>
  <c r="O256" i="30"/>
  <c r="O122" i="3"/>
  <c r="O60" i="2"/>
  <c r="O299" i="29"/>
  <c r="O176" i="4"/>
  <c r="O56" i="30"/>
  <c r="O11" i="29"/>
  <c r="O18" i="3"/>
  <c r="O21" i="2"/>
  <c r="O203" i="3"/>
  <c r="O10" i="7"/>
  <c r="O134" i="30"/>
  <c r="O104" i="3"/>
  <c r="O312" i="29"/>
  <c r="O60" i="29"/>
  <c r="O224" i="29"/>
  <c r="O19" i="5"/>
  <c r="O22" i="29"/>
  <c r="O121" i="30"/>
  <c r="O18" i="6"/>
  <c r="O48" i="5"/>
  <c r="O73" i="8"/>
  <c r="O7" i="3"/>
  <c r="O93" i="3"/>
  <c r="O190" i="3"/>
  <c r="O71" i="29"/>
  <c r="O133" i="3"/>
  <c r="O152" i="11"/>
  <c r="O37" i="5"/>
  <c r="O115" i="9"/>
  <c r="O174" i="11"/>
  <c r="O49" i="2"/>
  <c r="O296" i="30"/>
  <c r="O65" i="8"/>
  <c r="O32" i="3"/>
  <c r="O116" i="9"/>
  <c r="O16" i="12"/>
  <c r="O37" i="2"/>
  <c r="O151" i="29"/>
  <c r="O143" i="9"/>
  <c r="O316" i="29"/>
  <c r="O230" i="29"/>
  <c r="O79" i="8"/>
  <c r="O140" i="30"/>
  <c r="O208" i="3"/>
  <c r="O182" i="4"/>
  <c r="O179" i="11"/>
  <c r="O231" i="29"/>
  <c r="O80" i="8"/>
  <c r="O28" i="6"/>
  <c r="O141" i="30"/>
  <c r="O84" i="9"/>
  <c r="O317" i="29"/>
  <c r="O144" i="9"/>
  <c r="O335" i="29"/>
  <c r="O35" i="2"/>
  <c r="O142" i="30"/>
  <c r="O232" i="29"/>
  <c r="O97" i="29"/>
  <c r="I32" i="24"/>
  <c r="X83" i="62"/>
  <c r="Q83" i="62"/>
  <c r="O83" i="62"/>
  <c r="K83" i="62"/>
  <c r="Y82" i="62"/>
  <c r="I82" i="62"/>
  <c r="B82" i="62"/>
  <c r="Z82" i="62"/>
  <c r="H83" i="62"/>
  <c r="G83" i="62"/>
  <c r="G82" i="62"/>
  <c r="P82" i="62"/>
  <c r="K82" i="62"/>
  <c r="S82" i="62"/>
  <c r="AB83" i="62"/>
  <c r="AC83" i="62" s="1"/>
  <c r="AA83" i="62"/>
  <c r="V83" i="62"/>
  <c r="R83" i="62"/>
  <c r="L83" i="62"/>
  <c r="J83" i="62"/>
  <c r="F83" i="62"/>
  <c r="E83" i="62"/>
  <c r="H82" i="62"/>
  <c r="D82" i="62"/>
  <c r="U82" i="62"/>
  <c r="W83" i="62"/>
  <c r="B83" i="62"/>
  <c r="Q82" i="62"/>
  <c r="T82" i="62"/>
  <c r="L82" i="62"/>
  <c r="S83" i="62"/>
  <c r="N83" i="62"/>
  <c r="M83" i="62"/>
  <c r="AA82" i="62"/>
  <c r="E82" i="62"/>
  <c r="AB82" i="62"/>
  <c r="Z83" i="62"/>
  <c r="I83" i="62"/>
  <c r="C83" i="62"/>
  <c r="N82" i="62"/>
  <c r="F82" i="62"/>
  <c r="O82" i="62"/>
  <c r="Y83" i="62"/>
  <c r="V82" i="62"/>
  <c r="X82" i="62"/>
  <c r="C82" i="62"/>
  <c r="U83" i="62"/>
  <c r="T83" i="62"/>
  <c r="P83" i="62"/>
  <c r="D83" i="62"/>
  <c r="J82" i="62"/>
  <c r="W82" i="62"/>
  <c r="M82" i="62"/>
  <c r="R82" i="62"/>
  <c r="O94" i="29"/>
  <c r="O17" i="12"/>
  <c r="O427" i="29"/>
  <c r="O101" i="4"/>
  <c r="O245" i="30"/>
  <c r="O70" i="11"/>
  <c r="O185" i="29"/>
  <c r="O515" i="29"/>
  <c r="B86" i="62" a="1"/>
  <c r="B87" i="62" a="1"/>
  <c r="B84" i="62" a="1"/>
  <c r="B85" i="62" a="1"/>
  <c r="I149" i="11" l="1"/>
  <c r="I57" i="2"/>
  <c r="D272" i="20"/>
  <c r="D255" i="20"/>
  <c r="D47" i="20"/>
  <c r="D50" i="20"/>
  <c r="D31" i="20"/>
  <c r="D46" i="20"/>
  <c r="K149" i="9"/>
  <c r="B51" i="20" a="1"/>
  <c r="B51" i="20" s="1"/>
  <c r="I39" i="20" a="1"/>
  <c r="I39" i="20" s="1"/>
  <c r="I49" i="20" a="1"/>
  <c r="I49" i="20" s="1"/>
  <c r="E29" i="20" a="1"/>
  <c r="E29" i="20" s="1"/>
  <c r="E50" i="20" a="1"/>
  <c r="E50" i="20" s="1"/>
  <c r="F40" i="20" a="1"/>
  <c r="F40" i="20" s="1"/>
  <c r="F51" i="20" a="1"/>
  <c r="F51" i="20" s="1"/>
  <c r="K13" i="10"/>
  <c r="I13" i="10" s="1"/>
  <c r="L13" i="10"/>
  <c r="K27" i="10"/>
  <c r="I27" i="10" s="1"/>
  <c r="L27" i="10"/>
  <c r="L26" i="10"/>
  <c r="K26" i="10"/>
  <c r="I26" i="10" s="1"/>
  <c r="K33" i="29"/>
  <c r="I33" i="29" s="1"/>
  <c r="L33" i="29"/>
  <c r="I138" i="30"/>
  <c r="D249" i="20"/>
  <c r="D267" i="20"/>
  <c r="L31" i="10"/>
  <c r="L30" i="10" s="1"/>
  <c r="K31" i="10"/>
  <c r="AD53" i="62"/>
  <c r="I23" i="24"/>
  <c r="I83" i="9"/>
  <c r="I38" i="29"/>
  <c r="I106" i="9"/>
  <c r="I24" i="5"/>
  <c r="D29" i="20"/>
  <c r="D261" i="20"/>
  <c r="D279" i="20"/>
  <c r="D276" i="20"/>
  <c r="I55" i="3"/>
  <c r="K216" i="11"/>
  <c r="I153" i="9"/>
  <c r="C38" i="20" a="1"/>
  <c r="C38" i="20" s="1"/>
  <c r="E43" i="20" a="1"/>
  <c r="E43" i="20" s="1"/>
  <c r="G30" i="20" a="1"/>
  <c r="G30" i="20" s="1"/>
  <c r="E38" i="20" a="1"/>
  <c r="E38" i="20" s="1"/>
  <c r="F39" i="20" a="1"/>
  <c r="F39" i="20" s="1"/>
  <c r="I42" i="20" a="1"/>
  <c r="I42" i="20" s="1"/>
  <c r="L17" i="10"/>
  <c r="K17" i="10"/>
  <c r="I17" i="10" s="1"/>
  <c r="F278" i="20" a="1"/>
  <c r="F278" i="20" s="1"/>
  <c r="F253" i="20" a="1"/>
  <c r="F253" i="20" s="1"/>
  <c r="F242" i="20" a="1"/>
  <c r="F242" i="20" s="1"/>
  <c r="F271" i="20" a="1"/>
  <c r="F271" i="20" s="1"/>
  <c r="F265" i="20" a="1"/>
  <c r="F265" i="20" s="1"/>
  <c r="F264" i="20" a="1"/>
  <c r="F264" i="20" s="1"/>
  <c r="E280" i="20" a="1"/>
  <c r="E280" i="20" s="1"/>
  <c r="G277" i="20" a="1"/>
  <c r="G277" i="20" s="1"/>
  <c r="B275" i="20" a="1"/>
  <c r="B275" i="20" s="1"/>
  <c r="C264" i="20" a="1"/>
  <c r="C264" i="20" s="1"/>
  <c r="C253" i="20" a="1"/>
  <c r="C253" i="20" s="1"/>
  <c r="C242" i="20" a="1"/>
  <c r="C242" i="20" s="1"/>
  <c r="B244" i="20" a="1"/>
  <c r="B244" i="20" s="1"/>
  <c r="C268" i="20" a="1"/>
  <c r="C268" i="20" s="1"/>
  <c r="I258" i="20" a="1"/>
  <c r="I258" i="20" s="1"/>
  <c r="G246" i="20" a="1"/>
  <c r="G246" i="20" s="1"/>
  <c r="B255" i="20" a="1"/>
  <c r="B255" i="20" s="1"/>
  <c r="E272" i="20" a="1"/>
  <c r="E272" i="20" s="1"/>
  <c r="E246" i="20" a="1"/>
  <c r="E246" i="20" s="1"/>
  <c r="E267" i="20" a="1"/>
  <c r="E267" i="20" s="1"/>
  <c r="B252" i="20" a="1"/>
  <c r="B252" i="20" s="1"/>
  <c r="G250" i="20" a="1"/>
  <c r="G250" i="20" s="1"/>
  <c r="E245" i="20" a="1"/>
  <c r="E245" i="20" s="1"/>
  <c r="C280" i="20" a="1"/>
  <c r="C280" i="20" s="1"/>
  <c r="E277" i="20" a="1"/>
  <c r="E277" i="20" s="1"/>
  <c r="G274" i="20" a="1"/>
  <c r="G274" i="20" s="1"/>
  <c r="C252" i="20" a="1"/>
  <c r="C252" i="20" s="1"/>
  <c r="E259" i="20" a="1"/>
  <c r="E259" i="20" s="1"/>
  <c r="D259" i="20" s="1"/>
  <c r="B262" i="20" a="1"/>
  <c r="B262" i="20" s="1"/>
  <c r="B268" i="20" a="1"/>
  <c r="B268" i="20" s="1"/>
  <c r="G245" i="20" a="1"/>
  <c r="G245" i="20" s="1"/>
  <c r="E253" i="20" a="1"/>
  <c r="E253" i="20" s="1"/>
  <c r="D253" i="20" s="1"/>
  <c r="I266" i="20" a="1"/>
  <c r="I266" i="20" s="1"/>
  <c r="B264" i="20" a="1"/>
  <c r="B264" i="20" s="1"/>
  <c r="C267" i="20" a="1"/>
  <c r="C267" i="20" s="1"/>
  <c r="B261" i="20" a="1"/>
  <c r="B261" i="20" s="1"/>
  <c r="B269" i="20" a="1"/>
  <c r="B269" i="20" s="1"/>
  <c r="G256" i="20" a="1"/>
  <c r="G256" i="20" s="1"/>
  <c r="B280" i="20" a="1"/>
  <c r="B280" i="20" s="1"/>
  <c r="C277" i="20" a="1"/>
  <c r="C277" i="20" s="1"/>
  <c r="E274" i="20" a="1"/>
  <c r="E274" i="20" s="1"/>
  <c r="C263" i="20" a="1"/>
  <c r="C263" i="20" s="1"/>
  <c r="C251" i="20" a="1"/>
  <c r="C251" i="20" s="1"/>
  <c r="E249" i="20" a="1"/>
  <c r="E249" i="20" s="1"/>
  <c r="G267" i="20" a="1"/>
  <c r="G267" i="20" s="1"/>
  <c r="E252" i="20" a="1"/>
  <c r="E252" i="20" s="1"/>
  <c r="I250" i="20" a="1"/>
  <c r="I250" i="20" s="1"/>
  <c r="I265" i="20" a="1"/>
  <c r="I265" i="20" s="1"/>
  <c r="E262" i="20" a="1"/>
  <c r="E262" i="20" s="1"/>
  <c r="I254" i="20" a="1"/>
  <c r="I254" i="20" s="1"/>
  <c r="E254" i="20" a="1"/>
  <c r="E254" i="20" s="1"/>
  <c r="B267" i="20" a="1"/>
  <c r="B267" i="20" s="1"/>
  <c r="B271" i="20" a="1"/>
  <c r="B271" i="20" s="1"/>
  <c r="F266" i="20" a="1"/>
  <c r="F266" i="20" s="1"/>
  <c r="E279" i="20" a="1"/>
  <c r="E279" i="20" s="1"/>
  <c r="G276" i="20" a="1"/>
  <c r="G276" i="20" s="1"/>
  <c r="B274" i="20" a="1"/>
  <c r="B274" i="20" s="1"/>
  <c r="C260" i="20" a="1"/>
  <c r="C260" i="20" s="1"/>
  <c r="C249" i="20" a="1"/>
  <c r="C249" i="20" s="1"/>
  <c r="I264" i="20" a="1"/>
  <c r="I264" i="20" s="1"/>
  <c r="E244" i="20" a="1"/>
  <c r="E244" i="20" s="1"/>
  <c r="B272" i="20" a="1"/>
  <c r="B272" i="20" s="1"/>
  <c r="C271" i="20" a="1"/>
  <c r="C271" i="20" s="1"/>
  <c r="G254" i="20" a="1"/>
  <c r="G254" i="20" s="1"/>
  <c r="I249" i="20" a="1"/>
  <c r="I249" i="20" s="1"/>
  <c r="I256" i="20" a="1"/>
  <c r="I256" i="20" s="1"/>
  <c r="I261" i="20" a="1"/>
  <c r="I261" i="20" s="1"/>
  <c r="B260" i="20" a="1"/>
  <c r="B260" i="20" s="1"/>
  <c r="E242" i="20" a="1"/>
  <c r="E242" i="20" s="1"/>
  <c r="D242" i="20" s="1"/>
  <c r="G261" i="20" a="1"/>
  <c r="G261" i="20" s="1"/>
  <c r="B257" i="20" a="1"/>
  <c r="B257" i="20" s="1"/>
  <c r="C279" i="20" a="1"/>
  <c r="C279" i="20" s="1"/>
  <c r="E276" i="20" a="1"/>
  <c r="E276" i="20" s="1"/>
  <c r="G273" i="20" a="1"/>
  <c r="G273" i="20" s="1"/>
  <c r="I255" i="20" a="1"/>
  <c r="I255" i="20" s="1"/>
  <c r="E271" i="20" a="1"/>
  <c r="E271" i="20" s="1"/>
  <c r="D271" i="20" s="1"/>
  <c r="I253" i="20" a="1"/>
  <c r="I253" i="20" s="1"/>
  <c r="G259" i="20" a="1"/>
  <c r="G259" i="20" s="1"/>
  <c r="B263" i="20" a="1"/>
  <c r="B263" i="20" s="1"/>
  <c r="G249" i="20" a="1"/>
  <c r="G249" i="20" s="1"/>
  <c r="E248" i="20" a="1"/>
  <c r="E248" i="20" s="1"/>
  <c r="G255" i="20" a="1"/>
  <c r="G255" i="20" s="1"/>
  <c r="G278" i="20" a="1"/>
  <c r="G278" i="20" s="1"/>
  <c r="B276" i="20" a="1"/>
  <c r="B276" i="20" s="1"/>
  <c r="E273" i="20" a="1"/>
  <c r="E273" i="20" s="1"/>
  <c r="C258" i="20" a="1"/>
  <c r="C258" i="20" s="1"/>
  <c r="C247" i="20" a="1"/>
  <c r="C247" i="20" s="1"/>
  <c r="E250" i="20" a="1"/>
  <c r="E250" i="20" s="1"/>
  <c r="B270" i="20" a="1"/>
  <c r="B270" i="20" s="1"/>
  <c r="I245" i="20" a="1"/>
  <c r="I245" i="20" s="1"/>
  <c r="E266" i="20" a="1"/>
  <c r="E266" i="20" s="1"/>
  <c r="D266" i="20" s="1"/>
  <c r="B254" i="20" a="1"/>
  <c r="B254" i="20" s="1"/>
  <c r="G253" i="20" a="1"/>
  <c r="G253" i="20" s="1"/>
  <c r="B249" i="20" a="1"/>
  <c r="B249" i="20" s="1"/>
  <c r="E281" i="20" a="1"/>
  <c r="E281" i="20" s="1"/>
  <c r="C278" i="20" a="1"/>
  <c r="C278" i="20" s="1"/>
  <c r="B273" i="20" a="1"/>
  <c r="B273" i="20" s="1"/>
  <c r="C256" i="20" a="1"/>
  <c r="C256" i="20" s="1"/>
  <c r="C245" i="20" a="1"/>
  <c r="C245" i="20" s="1"/>
  <c r="G252" i="20" a="1"/>
  <c r="G252" i="20" s="1"/>
  <c r="B246" i="20" a="1"/>
  <c r="B246" i="20" s="1"/>
  <c r="C269" i="20" a="1"/>
  <c r="C269" i="20" s="1"/>
  <c r="I259" i="20" a="1"/>
  <c r="I259" i="20" s="1"/>
  <c r="I244" i="20" a="1"/>
  <c r="I244" i="20" s="1"/>
  <c r="E265" i="20" a="1"/>
  <c r="E265" i="20" s="1"/>
  <c r="D265" i="20" s="1"/>
  <c r="E261" i="20" a="1"/>
  <c r="E261" i="20" s="1"/>
  <c r="G242" i="20" a="1"/>
  <c r="G242" i="20" s="1"/>
  <c r="E257" i="20" a="1"/>
  <c r="E257" i="20" s="1"/>
  <c r="G266" i="20" a="1"/>
  <c r="G266" i="20" s="1"/>
  <c r="C281" i="20" a="1"/>
  <c r="C281" i="20" s="1"/>
  <c r="B278" i="20" a="1"/>
  <c r="B278" i="20" s="1"/>
  <c r="E275" i="20" a="1"/>
  <c r="E275" i="20" s="1"/>
  <c r="C266" i="20" a="1"/>
  <c r="C266" i="20" s="1"/>
  <c r="C255" i="20" a="1"/>
  <c r="C255" i="20" s="1"/>
  <c r="C244" i="20" a="1"/>
  <c r="C244" i="20" s="1"/>
  <c r="G258" i="20" a="1"/>
  <c r="G258" i="20" s="1"/>
  <c r="B245" i="20" a="1"/>
  <c r="B245" i="20" s="1"/>
  <c r="G268" i="20" a="1"/>
  <c r="G268" i="20" s="1"/>
  <c r="I251" i="20" a="1"/>
  <c r="I251" i="20" s="1"/>
  <c r="B258" i="20" a="1"/>
  <c r="B258" i="20" s="1"/>
  <c r="I247" i="20" a="1"/>
  <c r="I247" i="20" s="1"/>
  <c r="E247" i="20" a="1"/>
  <c r="E247" i="20" s="1"/>
  <c r="G269" i="20" a="1"/>
  <c r="G269" i="20" s="1"/>
  <c r="B266" i="20" a="1"/>
  <c r="B266" i="20" s="1"/>
  <c r="B242" i="20" a="1"/>
  <c r="B242" i="20" s="1"/>
  <c r="G263" i="20" a="1"/>
  <c r="G263" i="20" s="1"/>
  <c r="B243" i="20" a="1"/>
  <c r="B243" i="20" s="1"/>
  <c r="E255" i="20" a="1"/>
  <c r="E255" i="20" s="1"/>
  <c r="B251" i="20" a="1"/>
  <c r="B251" i="20" s="1"/>
  <c r="C272" i="20" a="1"/>
  <c r="C272" i="20" s="1"/>
  <c r="B247" i="20" a="1"/>
  <c r="B247" i="20" s="1"/>
  <c r="C275" i="20" a="1"/>
  <c r="C275" i="20" s="1"/>
  <c r="C243" i="20" a="1"/>
  <c r="C243" i="20" s="1"/>
  <c r="E268" i="20" a="1"/>
  <c r="E268" i="20" s="1"/>
  <c r="I246" i="20" a="1"/>
  <c r="I246" i="20" s="1"/>
  <c r="G251" i="20" a="1"/>
  <c r="G251" i="20" s="1"/>
  <c r="B259" i="20" a="1"/>
  <c r="B259" i="20" s="1"/>
  <c r="G281" i="20" a="1"/>
  <c r="G281" i="20" s="1"/>
  <c r="C273" i="20" a="1"/>
  <c r="C273" i="20" s="1"/>
  <c r="G247" i="20" a="1"/>
  <c r="G247" i="20" s="1"/>
  <c r="I252" i="20" a="1"/>
  <c r="I252" i="20" s="1"/>
  <c r="I263" i="20" a="1"/>
  <c r="I263" i="20" s="1"/>
  <c r="G244" i="20" a="1"/>
  <c r="G244" i="20" s="1"/>
  <c r="E251" i="20" a="1"/>
  <c r="E251" i="20" s="1"/>
  <c r="B281" i="20" a="1"/>
  <c r="B281" i="20" s="1"/>
  <c r="C265" i="20" a="1"/>
  <c r="C265" i="20" s="1"/>
  <c r="G257" i="20" a="1"/>
  <c r="G257" i="20" s="1"/>
  <c r="I243" i="20" a="1"/>
  <c r="I243" i="20" s="1"/>
  <c r="E256" i="20" a="1"/>
  <c r="E256" i="20" s="1"/>
  <c r="B253" i="20" a="1"/>
  <c r="B253" i="20" s="1"/>
  <c r="G279" i="20" a="1"/>
  <c r="G279" i="20" s="1"/>
  <c r="C262" i="20" a="1"/>
  <c r="C262" i="20" s="1"/>
  <c r="I242" i="20" a="1"/>
  <c r="I242" i="20" s="1"/>
  <c r="B250" i="20" a="1"/>
  <c r="B250" i="20" s="1"/>
  <c r="B279" i="20" a="1"/>
  <c r="B279" i="20" s="1"/>
  <c r="C259" i="20" a="1"/>
  <c r="C259" i="20" s="1"/>
  <c r="E243" i="20" a="1"/>
  <c r="E243" i="20" s="1"/>
  <c r="G264" i="20" a="1"/>
  <c r="G264" i="20" s="1"/>
  <c r="B248" i="20" a="1"/>
  <c r="B248" i="20" s="1"/>
  <c r="E264" i="20" a="1"/>
  <c r="E264" i="20" s="1"/>
  <c r="D264" i="20" s="1"/>
  <c r="E278" i="20" a="1"/>
  <c r="E278" i="20" s="1"/>
  <c r="D278" i="20" s="1"/>
  <c r="C257" i="20" a="1"/>
  <c r="C257" i="20" s="1"/>
  <c r="E263" i="20" a="1"/>
  <c r="E263" i="20" s="1"/>
  <c r="G262" i="20" a="1"/>
  <c r="G262" i="20" s="1"/>
  <c r="B256" i="20" a="1"/>
  <c r="B256" i="20" s="1"/>
  <c r="C250" i="20" a="1"/>
  <c r="C250" i="20" s="1"/>
  <c r="C270" i="20" a="1"/>
  <c r="C270" i="20" s="1"/>
  <c r="G272" i="20" a="1"/>
  <c r="G272" i="20" s="1"/>
  <c r="G275" i="20" a="1"/>
  <c r="G275" i="20" s="1"/>
  <c r="C246" i="20" a="1"/>
  <c r="C246" i="20" s="1"/>
  <c r="E269" i="20" a="1"/>
  <c r="E269" i="20" s="1"/>
  <c r="E260" i="20" a="1"/>
  <c r="E260" i="20" s="1"/>
  <c r="E270" i="20" a="1"/>
  <c r="E270" i="20" s="1"/>
  <c r="C274" i="20" a="1"/>
  <c r="C274" i="20" s="1"/>
  <c r="G271" i="20" a="1"/>
  <c r="G271" i="20" s="1"/>
  <c r="G265" i="20" a="1"/>
  <c r="G265" i="20" s="1"/>
  <c r="C254" i="20" a="1"/>
  <c r="C254" i="20" s="1"/>
  <c r="G248" i="20" a="1"/>
  <c r="G248" i="20" s="1"/>
  <c r="B265" i="20" a="1"/>
  <c r="B265" i="20" s="1"/>
  <c r="C261" i="20" a="1"/>
  <c r="C261" i="20" s="1"/>
  <c r="B277" i="20" a="1"/>
  <c r="B277" i="20" s="1"/>
  <c r="I257" i="20" a="1"/>
  <c r="I257" i="20" s="1"/>
  <c r="E258" i="20" a="1"/>
  <c r="E258" i="20" s="1"/>
  <c r="C276" i="20" a="1"/>
  <c r="C276" i="20" s="1"/>
  <c r="C248" i="20" a="1"/>
  <c r="C248" i="20" s="1"/>
  <c r="G270" i="20" a="1"/>
  <c r="G270" i="20" s="1"/>
  <c r="I260" i="20" a="1"/>
  <c r="I260" i="20" s="1"/>
  <c r="G243" i="20" a="1"/>
  <c r="G243" i="20" s="1"/>
  <c r="G260" i="20" a="1"/>
  <c r="G260" i="20" s="1"/>
  <c r="I262" i="20" a="1"/>
  <c r="I262" i="20" s="1"/>
  <c r="I248" i="20" a="1"/>
  <c r="I248" i="20" s="1"/>
  <c r="K37" i="10"/>
  <c r="I37" i="10" s="1"/>
  <c r="L37" i="10"/>
  <c r="D273" i="20"/>
  <c r="D244" i="20"/>
  <c r="D36" i="20"/>
  <c r="D246" i="20"/>
  <c r="K109" i="9"/>
  <c r="I31" i="24"/>
  <c r="I139" i="4"/>
  <c r="I87" i="4"/>
  <c r="I24" i="29"/>
  <c r="I250" i="29"/>
  <c r="I347" i="29"/>
  <c r="D250" i="20"/>
  <c r="D256" i="20"/>
  <c r="D48" i="20"/>
  <c r="I8" i="4"/>
  <c r="I93" i="7"/>
  <c r="I68" i="9"/>
  <c r="L229" i="11"/>
  <c r="I229" i="11" s="1"/>
  <c r="G29" i="20" a="1"/>
  <c r="G29" i="20" s="1"/>
  <c r="E39" i="20" a="1"/>
  <c r="E39" i="20" s="1"/>
  <c r="B47" i="20" a="1"/>
  <c r="B47" i="20" s="1"/>
  <c r="I34" i="20" a="1"/>
  <c r="I34" i="20" s="1"/>
  <c r="I38" i="20" a="1"/>
  <c r="I38" i="20" s="1"/>
  <c r="L23" i="10"/>
  <c r="K23" i="10"/>
  <c r="I23" i="10" s="1"/>
  <c r="L35" i="10"/>
  <c r="K35" i="10"/>
  <c r="I35" i="10" s="1"/>
  <c r="D262" i="20"/>
  <c r="D268" i="20"/>
  <c r="D32" i="20"/>
  <c r="I45" i="29"/>
  <c r="L21" i="10"/>
  <c r="K21" i="10"/>
  <c r="I21" i="10" s="1"/>
  <c r="E40" i="20" a="1"/>
  <c r="E40" i="20" s="1"/>
  <c r="D40" i="20" s="1"/>
  <c r="I46" i="20" a="1"/>
  <c r="I46" i="20" s="1"/>
  <c r="E34" i="20" a="1"/>
  <c r="E34" i="20" s="1"/>
  <c r="D34" i="20" s="1"/>
  <c r="I33" i="20" a="1"/>
  <c r="I33" i="20" s="1"/>
  <c r="B43" i="20" a="1"/>
  <c r="B43" i="20" s="1"/>
  <c r="I29" i="20" a="1"/>
  <c r="I29" i="20" s="1"/>
  <c r="E47" i="20" a="1"/>
  <c r="E47" i="20" s="1"/>
  <c r="B41" i="20" a="1"/>
  <c r="B41" i="20" s="1"/>
  <c r="E44" i="20" a="1"/>
  <c r="E44" i="20" s="1"/>
  <c r="G45" i="20" a="1"/>
  <c r="G45" i="20" s="1"/>
  <c r="G37" i="20" a="1"/>
  <c r="G37" i="20" s="1"/>
  <c r="B37" i="20" a="1"/>
  <c r="B37" i="20" s="1"/>
  <c r="G47" i="20" a="1"/>
  <c r="G47" i="20" s="1"/>
  <c r="E48" i="20" a="1"/>
  <c r="E48" i="20" s="1"/>
  <c r="I35" i="20" a="1"/>
  <c r="I35" i="20" s="1"/>
  <c r="E42" i="20" a="1"/>
  <c r="E42" i="20" s="1"/>
  <c r="G49" i="20" a="1"/>
  <c r="G49" i="20" s="1"/>
  <c r="G42" i="20" a="1"/>
  <c r="G42" i="20" s="1"/>
  <c r="E46" i="20" a="1"/>
  <c r="E46" i="20" s="1"/>
  <c r="B30" i="20" a="1"/>
  <c r="B30" i="20" s="1"/>
  <c r="I50" i="20" a="1"/>
  <c r="I50" i="20" s="1"/>
  <c r="I48" i="20" a="1"/>
  <c r="I48" i="20" s="1"/>
  <c r="D280" i="20"/>
  <c r="D44" i="20"/>
  <c r="I240" i="29"/>
  <c r="I25" i="7"/>
  <c r="D270" i="20"/>
  <c r="B31" i="20" a="1"/>
  <c r="B31" i="20" s="1"/>
  <c r="B36" i="20" a="1"/>
  <c r="B36" i="20" s="1"/>
  <c r="B48" i="20" a="1"/>
  <c r="B48" i="20" s="1"/>
  <c r="G33" i="20" a="1"/>
  <c r="G33" i="20" s="1"/>
  <c r="G32" i="20" a="1"/>
  <c r="G32" i="20" s="1"/>
  <c r="G41" i="20" a="1"/>
  <c r="G41" i="20" s="1"/>
  <c r="B38" i="20" a="1"/>
  <c r="B38" i="20" s="1"/>
  <c r="K12" i="10"/>
  <c r="L12" i="10"/>
  <c r="L11" i="10" s="1"/>
  <c r="K36" i="10"/>
  <c r="I36" i="10" s="1"/>
  <c r="L36" i="10"/>
  <c r="L34" i="10"/>
  <c r="K34" i="10"/>
  <c r="I34" i="10" s="1"/>
  <c r="D274" i="20"/>
  <c r="AD23" i="62"/>
  <c r="I234" i="11"/>
  <c r="D258" i="20"/>
  <c r="D251" i="20"/>
  <c r="D245" i="20"/>
  <c r="D49" i="20"/>
  <c r="D252" i="20"/>
  <c r="AD35" i="62"/>
  <c r="I74" i="7"/>
  <c r="I89" i="8"/>
  <c r="I588" i="29"/>
  <c r="L70" i="3"/>
  <c r="D28" i="20"/>
  <c r="D263" i="20"/>
  <c r="D257" i="20"/>
  <c r="H35" i="24"/>
  <c r="AI4" i="20" s="1"/>
  <c r="AI5" i="20" s="1"/>
  <c r="AI6" i="20" s="1"/>
  <c r="AI7" i="20" s="1"/>
  <c r="AI8" i="20" s="1"/>
  <c r="AI9" i="20" s="1"/>
  <c r="AI10" i="20" s="1"/>
  <c r="AI11" i="20" s="1"/>
  <c r="AI12" i="20" s="1"/>
  <c r="AI13" i="20" s="1"/>
  <c r="AI14" i="20" s="1"/>
  <c r="AI15" i="20" s="1"/>
  <c r="AI16" i="20" s="1"/>
  <c r="AI17" i="20" s="1"/>
  <c r="AI18" i="20" s="1"/>
  <c r="AI19" i="20" s="1"/>
  <c r="AI20" i="20" s="1"/>
  <c r="AI21" i="20" s="1"/>
  <c r="AI22" i="20" s="1"/>
  <c r="AI23" i="20" s="1"/>
  <c r="AI24" i="20" s="1"/>
  <c r="AI25" i="20" s="1"/>
  <c r="AI26" i="20" s="1"/>
  <c r="AI27" i="20" s="1"/>
  <c r="AI28" i="20" s="1"/>
  <c r="AI29" i="20" s="1"/>
  <c r="AI30" i="20" s="1"/>
  <c r="AI31" i="20" s="1"/>
  <c r="AI32" i="20" s="1"/>
  <c r="AI33" i="20" s="1"/>
  <c r="I402" i="29"/>
  <c r="L100" i="2"/>
  <c r="I208" i="3"/>
  <c r="I122" i="4"/>
  <c r="K228" i="4"/>
  <c r="I228" i="4" s="1"/>
  <c r="L198" i="11"/>
  <c r="I198" i="11" s="1"/>
  <c r="I23" i="4"/>
  <c r="I85" i="7"/>
  <c r="E31" i="20" a="1"/>
  <c r="E31" i="20" s="1"/>
  <c r="G39" i="20" a="1"/>
  <c r="G39" i="20" s="1"/>
  <c r="G28" i="20" a="1"/>
  <c r="G28" i="20" s="1"/>
  <c r="B45" i="20" a="1"/>
  <c r="B45" i="20" s="1"/>
  <c r="B42" i="20" a="1"/>
  <c r="B42" i="20" s="1"/>
  <c r="E51" i="20" a="1"/>
  <c r="E51" i="20" s="1"/>
  <c r="D51" i="20" s="1"/>
  <c r="E30" i="20" a="1"/>
  <c r="E30" i="20" s="1"/>
  <c r="L22" i="10"/>
  <c r="K22" i="10"/>
  <c r="I22" i="10" s="1"/>
  <c r="K20" i="10"/>
  <c r="I20" i="10" s="1"/>
  <c r="L20" i="10"/>
  <c r="I79" i="2"/>
  <c r="K241" i="3"/>
  <c r="I242" i="3"/>
  <c r="L14" i="10"/>
  <c r="K14" i="10"/>
  <c r="I14" i="10" s="1"/>
  <c r="L16" i="10"/>
  <c r="K16" i="10"/>
  <c r="I16" i="10" s="1"/>
  <c r="L25" i="10"/>
  <c r="K25" i="10"/>
  <c r="I25" i="10" s="1"/>
  <c r="K33" i="10"/>
  <c r="I33" i="10" s="1"/>
  <c r="L33" i="10"/>
  <c r="I184" i="3"/>
  <c r="L182" i="3"/>
  <c r="D275" i="20"/>
  <c r="D269" i="20"/>
  <c r="D277" i="20"/>
  <c r="I21" i="24"/>
  <c r="I443" i="29"/>
  <c r="D248" i="20"/>
  <c r="D281" i="20"/>
  <c r="D42" i="20"/>
  <c r="D247" i="20"/>
  <c r="I226" i="29"/>
  <c r="I72" i="3"/>
  <c r="I140" i="4"/>
  <c r="B35" i="20" a="1"/>
  <c r="B35" i="20" s="1"/>
  <c r="E41" i="20" a="1"/>
  <c r="E41" i="20" s="1"/>
  <c r="D41" i="20" s="1"/>
  <c r="C35" i="20" a="1"/>
  <c r="C35" i="20" s="1"/>
  <c r="I30" i="20" a="1"/>
  <c r="I30" i="20" s="1"/>
  <c r="E49" i="20" a="1"/>
  <c r="E49" i="20" s="1"/>
  <c r="E36" i="20" a="1"/>
  <c r="E36" i="20" s="1"/>
  <c r="E32" i="20" a="1"/>
  <c r="E32" i="20" s="1"/>
  <c r="L32" i="10"/>
  <c r="K32" i="10"/>
  <c r="I32" i="10" s="1"/>
  <c r="L38" i="10"/>
  <c r="K38" i="10"/>
  <c r="I38" i="10" s="1"/>
  <c r="K19" i="10"/>
  <c r="I19" i="10" s="1"/>
  <c r="L19" i="10"/>
  <c r="I39" i="7"/>
  <c r="I137" i="4"/>
  <c r="K158" i="4"/>
  <c r="D254" i="20"/>
  <c r="D260" i="20"/>
  <c r="D243" i="20"/>
  <c r="I136" i="30"/>
  <c r="I32" i="3"/>
  <c r="I226" i="3"/>
  <c r="I26" i="7"/>
  <c r="I81" i="30"/>
  <c r="I94" i="2"/>
  <c r="G38" i="20" a="1"/>
  <c r="G38" i="20" s="1"/>
  <c r="I37" i="20" a="1"/>
  <c r="I37" i="20" s="1"/>
  <c r="I28" i="20" a="1"/>
  <c r="I28" i="20" s="1"/>
  <c r="B28" i="20" a="1"/>
  <c r="B28" i="20" s="1"/>
  <c r="B49" i="20" a="1"/>
  <c r="B49" i="20" s="1"/>
  <c r="C51" i="20" a="1"/>
  <c r="C51" i="20" s="1"/>
  <c r="F41" i="20" a="1"/>
  <c r="F41" i="20" s="1"/>
  <c r="L18" i="10"/>
  <c r="K18" i="10"/>
  <c r="I18" i="10" s="1"/>
  <c r="L8" i="10"/>
  <c r="L7" i="10" s="1"/>
  <c r="K8" i="10"/>
  <c r="K24" i="10"/>
  <c r="I24" i="10" s="1"/>
  <c r="L24" i="10"/>
  <c r="I43" i="3"/>
  <c r="D197" i="20"/>
  <c r="D200" i="20"/>
  <c r="D207" i="20"/>
  <c r="D198" i="20"/>
  <c r="D201" i="20"/>
  <c r="D209" i="20"/>
  <c r="D203" i="20"/>
  <c r="D199" i="20"/>
  <c r="D202" i="20"/>
  <c r="D214" i="20"/>
  <c r="D205" i="20"/>
  <c r="D216" i="20"/>
  <c r="D215" i="20"/>
  <c r="C74" i="21" a="1"/>
  <c r="C74" i="21" s="1"/>
  <c r="D211" i="20"/>
  <c r="H248" i="21" a="1"/>
  <c r="H248" i="21" s="1"/>
  <c r="C175" i="21" a="1"/>
  <c r="C175" i="21" s="1"/>
  <c r="F263" i="21" a="1"/>
  <c r="F263" i="21" s="1"/>
  <c r="F90" i="21" a="1"/>
  <c r="F90" i="21" s="1"/>
  <c r="D206" i="20"/>
  <c r="F8" i="21" a="1"/>
  <c r="F8" i="21" s="1"/>
  <c r="C183" i="21" a="1"/>
  <c r="C183" i="21" s="1"/>
  <c r="G37" i="21" a="1"/>
  <c r="G37" i="21" s="1"/>
  <c r="E199" i="21" a="1"/>
  <c r="E199" i="21" s="1"/>
  <c r="E26" i="21" a="1"/>
  <c r="E26" i="21" s="1"/>
  <c r="H113" i="21" a="1"/>
  <c r="H113" i="21" s="1"/>
  <c r="H110" i="21" a="1"/>
  <c r="H110" i="21" s="1"/>
  <c r="H134" i="21" a="1"/>
  <c r="H134" i="21" s="1"/>
  <c r="I22" i="24"/>
  <c r="I30" i="24"/>
  <c r="I33" i="24"/>
  <c r="C96" i="21" a="1"/>
  <c r="C96" i="21" s="1"/>
  <c r="H153" i="21" a="1"/>
  <c r="H153" i="21" s="1"/>
  <c r="C277" i="21" a="1"/>
  <c r="C277" i="21" s="1"/>
  <c r="G124" i="21" a="1"/>
  <c r="G124" i="21" s="1"/>
  <c r="C242" i="21" a="1"/>
  <c r="C242" i="21" s="1"/>
  <c r="E275" i="21" a="1"/>
  <c r="E275" i="21" s="1"/>
  <c r="F52" i="21" a="1"/>
  <c r="F52" i="21" s="1"/>
  <c r="F253" i="21" a="1"/>
  <c r="F253" i="21" s="1"/>
  <c r="H239" i="21" a="1"/>
  <c r="H239" i="21" s="1"/>
  <c r="H63" i="21" a="1"/>
  <c r="H63" i="21" s="1"/>
  <c r="D35" i="20"/>
  <c r="D38" i="20"/>
  <c r="D39" i="20"/>
  <c r="F287" i="21" a="1"/>
  <c r="F287" i="21" s="1"/>
  <c r="E262" i="21" a="1"/>
  <c r="E262" i="21" s="1"/>
  <c r="C188" i="21" a="1"/>
  <c r="C188" i="21" s="1"/>
  <c r="C190" i="21" a="1"/>
  <c r="C190" i="21" s="1"/>
  <c r="F64" i="21" a="1"/>
  <c r="F64" i="21" s="1"/>
  <c r="F268" i="21" a="1"/>
  <c r="F268" i="21" s="1"/>
  <c r="H181" i="21" a="1"/>
  <c r="H181" i="21" s="1"/>
  <c r="H142" i="21" a="1"/>
  <c r="H142" i="21" s="1"/>
  <c r="C258" i="21" a="1"/>
  <c r="C258" i="21" s="1"/>
  <c r="F135" i="21" a="1"/>
  <c r="F135" i="21" s="1"/>
  <c r="H111" i="21" a="1"/>
  <c r="H111" i="21" s="1"/>
  <c r="H126" i="21" a="1"/>
  <c r="H126" i="21" s="1"/>
  <c r="H174" i="21" a="1"/>
  <c r="H174" i="21" s="1"/>
  <c r="D43" i="20"/>
  <c r="D33" i="20"/>
  <c r="C50" i="21" a="1"/>
  <c r="C50" i="21" s="1"/>
  <c r="F55" i="21" a="1"/>
  <c r="F55" i="21" s="1"/>
  <c r="E178" i="21" a="1"/>
  <c r="E178" i="21" s="1"/>
  <c r="E121" i="21" a="1"/>
  <c r="E121" i="21" s="1"/>
  <c r="E130" i="21" a="1"/>
  <c r="E130" i="21" s="1"/>
  <c r="F184" i="21" a="1"/>
  <c r="F184" i="21" s="1"/>
  <c r="E133" i="21" a="1"/>
  <c r="E133" i="21" s="1"/>
  <c r="E116" i="21" a="1"/>
  <c r="E116" i="21" s="1"/>
  <c r="C191" i="21" a="1"/>
  <c r="C191" i="21" s="1"/>
  <c r="F281" i="21" a="1"/>
  <c r="F281" i="21" s="1"/>
  <c r="F300" i="21" a="1"/>
  <c r="F300" i="21" s="1"/>
  <c r="H208" i="21" a="1"/>
  <c r="H208" i="21" s="1"/>
  <c r="H204" i="21" a="1"/>
  <c r="H204" i="21" s="1"/>
  <c r="G226" i="21" a="1"/>
  <c r="G226" i="21" s="1"/>
  <c r="F234" i="21" a="1"/>
  <c r="F234" i="21" s="1"/>
  <c r="C220" i="21" a="1"/>
  <c r="C220" i="21" s="1"/>
  <c r="F114" i="21" a="1"/>
  <c r="F114" i="21" s="1"/>
  <c r="E166" i="21" a="1"/>
  <c r="E166" i="21" s="1"/>
  <c r="C223" i="21" a="1"/>
  <c r="C223" i="21" s="1"/>
  <c r="E277" i="21" a="1"/>
  <c r="E277" i="21" s="1"/>
  <c r="C285" i="21" a="1"/>
  <c r="C285" i="21" s="1"/>
  <c r="F41" i="21" a="1"/>
  <c r="F41" i="21" s="1"/>
  <c r="M12" i="20" a="1"/>
  <c r="M12" i="20" s="1"/>
  <c r="E100" i="21" a="1"/>
  <c r="E100" i="21" s="1"/>
  <c r="E206" i="21" a="1"/>
  <c r="E206" i="21" s="1"/>
  <c r="C107" i="21" a="1"/>
  <c r="C107" i="21" s="1"/>
  <c r="C89" i="21" a="1"/>
  <c r="C89" i="21" s="1"/>
  <c r="F53" i="21" a="1"/>
  <c r="F53" i="21" s="1"/>
  <c r="E86" i="21" a="1"/>
  <c r="E86" i="21" s="1"/>
  <c r="H44" i="21" a="1"/>
  <c r="H44" i="21" s="1"/>
  <c r="F126" i="21" a="1"/>
  <c r="F126" i="21" s="1"/>
  <c r="E266" i="21" a="1"/>
  <c r="E266" i="21" s="1"/>
  <c r="C162" i="21" a="1"/>
  <c r="C162" i="21" s="1"/>
  <c r="C125" i="21" a="1"/>
  <c r="C125" i="21" s="1"/>
  <c r="E42" i="21" a="1"/>
  <c r="E42" i="21" s="1"/>
  <c r="F125" i="21" a="1"/>
  <c r="F125" i="21" s="1"/>
  <c r="E192" i="21" a="1"/>
  <c r="E192" i="21" s="1"/>
  <c r="H39" i="21" a="1"/>
  <c r="H39" i="21" s="1"/>
  <c r="D93" i="20"/>
  <c r="C69" i="21" a="1"/>
  <c r="C69" i="21" s="1"/>
  <c r="F149" i="21" a="1"/>
  <c r="F149" i="21" s="1"/>
  <c r="H266" i="21" a="1"/>
  <c r="H266" i="21" s="1"/>
  <c r="F276" i="21" a="1"/>
  <c r="F276" i="21" s="1"/>
  <c r="I20" i="5"/>
  <c r="E139" i="21" a="1"/>
  <c r="E139" i="21" s="1"/>
  <c r="C252" i="21" a="1"/>
  <c r="C252" i="21" s="1"/>
  <c r="C121" i="21" a="1"/>
  <c r="C121" i="21" s="1"/>
  <c r="E66" i="21" a="1"/>
  <c r="E66" i="21" s="1"/>
  <c r="F69" i="21" a="1"/>
  <c r="F69" i="21" s="1"/>
  <c r="E283" i="21" a="1"/>
  <c r="E283" i="21" s="1"/>
  <c r="E175" i="21" a="1"/>
  <c r="E175" i="21" s="1"/>
  <c r="C165" i="21" a="1"/>
  <c r="C165" i="21" s="1"/>
  <c r="C62" i="21" a="1"/>
  <c r="C62" i="21" s="1"/>
  <c r="F267" i="21" a="1"/>
  <c r="F267" i="21" s="1"/>
  <c r="F56" i="21" a="1"/>
  <c r="F56" i="21" s="1"/>
  <c r="E38" i="21" a="1"/>
  <c r="E38" i="21" s="1"/>
  <c r="H233" i="21" a="1"/>
  <c r="H233" i="21" s="1"/>
  <c r="E144" i="21" a="1"/>
  <c r="E144" i="21" s="1"/>
  <c r="F163" i="21" a="1"/>
  <c r="F163" i="21" s="1"/>
  <c r="H95" i="21" a="1"/>
  <c r="H95" i="21" s="1"/>
  <c r="H182" i="21" a="1"/>
  <c r="H182" i="21" s="1"/>
  <c r="H198" i="21" a="1"/>
  <c r="H198" i="21" s="1"/>
  <c r="I233" i="3"/>
  <c r="I199" i="4"/>
  <c r="F211" i="21" a="1"/>
  <c r="F211" i="21" s="1"/>
  <c r="H108" i="21" a="1"/>
  <c r="H108" i="21" s="1"/>
  <c r="H24" i="21" a="1"/>
  <c r="H24" i="21" s="1"/>
  <c r="H234" i="21" a="1"/>
  <c r="H234" i="21" s="1"/>
  <c r="I21" i="4"/>
  <c r="I88" i="7"/>
  <c r="I11" i="9"/>
  <c r="I89" i="3"/>
  <c r="I205" i="11"/>
  <c r="K219" i="11"/>
  <c r="I219" i="11" s="1"/>
  <c r="L219" i="11"/>
  <c r="I56" i="3"/>
  <c r="K202" i="11"/>
  <c r="H294" i="21" a="1"/>
  <c r="H294" i="21" s="1"/>
  <c r="L120" i="11"/>
  <c r="L226" i="11"/>
  <c r="K226" i="11"/>
  <c r="E17" i="21" a="1"/>
  <c r="E17" i="21" s="1"/>
  <c r="F255" i="21" a="1"/>
  <c r="F255" i="21" s="1"/>
  <c r="F164" i="21" a="1"/>
  <c r="F164" i="21" s="1"/>
  <c r="E190" i="21" a="1"/>
  <c r="E190" i="21" s="1"/>
  <c r="E187" i="21" a="1"/>
  <c r="E187" i="21" s="1"/>
  <c r="C296" i="21" a="1"/>
  <c r="C296" i="21" s="1"/>
  <c r="C114" i="21" a="1"/>
  <c r="C114" i="21" s="1"/>
  <c r="C232" i="21" a="1"/>
  <c r="C232" i="21" s="1"/>
  <c r="C266" i="21" a="1"/>
  <c r="C266" i="21" s="1"/>
  <c r="F258" i="21" a="1"/>
  <c r="F258" i="21" s="1"/>
  <c r="F65" i="21" a="1"/>
  <c r="F65" i="21" s="1"/>
  <c r="F150" i="21" a="1"/>
  <c r="F150" i="21" s="1"/>
  <c r="F166" i="21" a="1"/>
  <c r="F166" i="21" s="1"/>
  <c r="H92" i="21" a="1"/>
  <c r="H92" i="21" s="1"/>
  <c r="F179" i="21" a="1"/>
  <c r="F179" i="21" s="1"/>
  <c r="H177" i="21" a="1"/>
  <c r="H177" i="21" s="1"/>
  <c r="H76" i="21" a="1"/>
  <c r="H76" i="21" s="1"/>
  <c r="H256" i="21" a="1"/>
  <c r="H256" i="21" s="1"/>
  <c r="D86" i="20"/>
  <c r="D89" i="20"/>
  <c r="I204" i="4"/>
  <c r="L262" i="30"/>
  <c r="K262" i="30"/>
  <c r="O262" i="30"/>
  <c r="I71" i="7"/>
  <c r="I190" i="3"/>
  <c r="I52" i="7"/>
  <c r="I169" i="11"/>
  <c r="L278" i="30"/>
  <c r="K278" i="30"/>
  <c r="O278" i="30"/>
  <c r="I209" i="3"/>
  <c r="I130" i="4"/>
  <c r="I42" i="11"/>
  <c r="I65" i="5"/>
  <c r="I87" i="9"/>
  <c r="I289" i="30"/>
  <c r="H25" i="21" a="1"/>
  <c r="H25" i="21" s="1"/>
  <c r="H33" i="21" a="1"/>
  <c r="H33" i="21" s="1"/>
  <c r="I197" i="3"/>
  <c r="L211" i="11"/>
  <c r="K211" i="11"/>
  <c r="I271" i="3"/>
  <c r="C234" i="21" a="1"/>
  <c r="C234" i="21" s="1"/>
  <c r="C173" i="21" a="1"/>
  <c r="C173" i="21" s="1"/>
  <c r="F76" i="21" a="1"/>
  <c r="F76" i="21" s="1"/>
  <c r="F254" i="21" a="1"/>
  <c r="F254" i="21" s="1"/>
  <c r="E205" i="21" a="1"/>
  <c r="E205" i="21" s="1"/>
  <c r="C261" i="21" a="1"/>
  <c r="C261" i="21" s="1"/>
  <c r="C269" i="21" a="1"/>
  <c r="C269" i="21" s="1"/>
  <c r="E168" i="21" a="1"/>
  <c r="E168" i="21" s="1"/>
  <c r="E19" i="21" a="1"/>
  <c r="E19" i="21" s="1"/>
  <c r="F88" i="21" a="1"/>
  <c r="F88" i="21" s="1"/>
  <c r="F197" i="21" a="1"/>
  <c r="F197" i="21" s="1"/>
  <c r="F257" i="21" a="1"/>
  <c r="F257" i="21" s="1"/>
  <c r="E112" i="21" a="1"/>
  <c r="E112" i="21" s="1"/>
  <c r="F242" i="21" a="1"/>
  <c r="F242" i="21" s="1"/>
  <c r="H20" i="21" a="1"/>
  <c r="H20" i="21" s="1"/>
  <c r="F3" i="21" a="1"/>
  <c r="F3" i="21" s="1"/>
  <c r="H10" i="21" a="1"/>
  <c r="H10" i="21" s="1"/>
  <c r="H51" i="21" a="1"/>
  <c r="H51" i="21" s="1"/>
  <c r="H96" i="21" a="1"/>
  <c r="H96" i="21" s="1"/>
  <c r="H213" i="21" a="1"/>
  <c r="H213" i="21" s="1"/>
  <c r="I26" i="4"/>
  <c r="I359" i="29"/>
  <c r="C275" i="21" a="1"/>
  <c r="C275" i="21" s="1"/>
  <c r="E186" i="21" a="1"/>
  <c r="E186" i="21" s="1"/>
  <c r="M5" i="20" a="1"/>
  <c r="M5" i="20" s="1"/>
  <c r="N5" i="20" s="1"/>
  <c r="F185" i="21" a="1"/>
  <c r="F185" i="21" s="1"/>
  <c r="E225" i="21" a="1"/>
  <c r="E225" i="21" s="1"/>
  <c r="F271" i="21" a="1"/>
  <c r="F271" i="21" s="1"/>
  <c r="F180" i="21" a="1"/>
  <c r="F180" i="21" s="1"/>
  <c r="I120" i="9"/>
  <c r="I82" i="11"/>
  <c r="I9" i="7"/>
  <c r="I107" i="4"/>
  <c r="C271" i="21" a="1"/>
  <c r="C271" i="21" s="1"/>
  <c r="I63" i="5"/>
  <c r="E217" i="21" a="1"/>
  <c r="E217" i="21" s="1"/>
  <c r="C284" i="21" a="1"/>
  <c r="C284" i="21" s="1"/>
  <c r="C216" i="21" a="1"/>
  <c r="C216" i="21" s="1"/>
  <c r="C174" i="21" a="1"/>
  <c r="C174" i="21" s="1"/>
  <c r="C109" i="21" a="1"/>
  <c r="C109" i="21" s="1"/>
  <c r="C43" i="21" a="1"/>
  <c r="C43" i="21" s="1"/>
  <c r="E14" i="21" a="1"/>
  <c r="E14" i="21" s="1"/>
  <c r="F148" i="21" a="1"/>
  <c r="F148" i="21" s="1"/>
  <c r="F252" i="21" a="1"/>
  <c r="F252" i="21" s="1"/>
  <c r="F201" i="21" a="1"/>
  <c r="F201" i="21" s="1"/>
  <c r="F46" i="21" a="1"/>
  <c r="F46" i="21" s="1"/>
  <c r="H132" i="21" a="1"/>
  <c r="H132" i="21" s="1"/>
  <c r="F203" i="21" a="1"/>
  <c r="F203" i="21" s="1"/>
  <c r="H101" i="21" a="1"/>
  <c r="H101" i="21" s="1"/>
  <c r="H90" i="21" a="1"/>
  <c r="H90" i="21" s="1"/>
  <c r="H193" i="21" a="1"/>
  <c r="H193" i="21" s="1"/>
  <c r="E124" i="21" a="1"/>
  <c r="E124" i="21" s="1"/>
  <c r="C217" i="21" a="1"/>
  <c r="C217" i="21" s="1"/>
  <c r="I41" i="30"/>
  <c r="L120" i="9"/>
  <c r="I230" i="3"/>
  <c r="I97" i="4"/>
  <c r="I235" i="11"/>
  <c r="I89" i="9"/>
  <c r="F167" i="21" a="1"/>
  <c r="F167" i="21" s="1"/>
  <c r="F31" i="21" a="1"/>
  <c r="F31" i="21" s="1"/>
  <c r="H179" i="21" a="1"/>
  <c r="H179" i="21" s="1"/>
  <c r="F218" i="21" a="1"/>
  <c r="F218" i="21" s="1"/>
  <c r="H168" i="21" a="1"/>
  <c r="H168" i="21" s="1"/>
  <c r="H143" i="21" a="1"/>
  <c r="H143" i="21" s="1"/>
  <c r="D92" i="20"/>
  <c r="E78" i="21" a="1"/>
  <c r="E78" i="21" s="1"/>
  <c r="F105" i="21" a="1"/>
  <c r="F105" i="21" s="1"/>
  <c r="F261" i="21" a="1"/>
  <c r="F261" i="21" s="1"/>
  <c r="I69" i="7"/>
  <c r="I164" i="3"/>
  <c r="I21" i="7"/>
  <c r="I216" i="3"/>
  <c r="I165" i="4"/>
  <c r="I112" i="4"/>
  <c r="E161" i="21" a="1"/>
  <c r="E161" i="21" s="1"/>
  <c r="C129" i="21" a="1"/>
  <c r="C129" i="21" s="1"/>
  <c r="C104" i="21" a="1"/>
  <c r="C104" i="21" s="1"/>
  <c r="F196" i="21" a="1"/>
  <c r="F196" i="21" s="1"/>
  <c r="F283" i="21" a="1"/>
  <c r="F283" i="21" s="1"/>
  <c r="F152" i="21" a="1"/>
  <c r="F152" i="21" s="1"/>
  <c r="F13" i="21" a="1"/>
  <c r="F13" i="21" s="1"/>
  <c r="H65" i="21" a="1"/>
  <c r="H65" i="21" s="1"/>
  <c r="H183" i="21" a="1"/>
  <c r="H183" i="21" s="1"/>
  <c r="L134" i="4"/>
  <c r="E218" i="21" a="1"/>
  <c r="E218" i="21" s="1"/>
  <c r="C147" i="21" a="1"/>
  <c r="C147" i="21" s="1"/>
  <c r="C155" i="21" a="1"/>
  <c r="C155" i="21" s="1"/>
  <c r="F286" i="21" a="1"/>
  <c r="F286" i="21" s="1"/>
  <c r="F233" i="21" a="1"/>
  <c r="F233" i="21" s="1"/>
  <c r="F54" i="21" a="1"/>
  <c r="F54" i="21" s="1"/>
  <c r="F57" i="21" a="1"/>
  <c r="F57" i="21" s="1"/>
  <c r="F134" i="21" a="1"/>
  <c r="F134" i="21" s="1"/>
  <c r="F25" i="21" a="1"/>
  <c r="F25" i="21" s="1"/>
  <c r="F158" i="21" a="1"/>
  <c r="F158" i="21" s="1"/>
  <c r="F98" i="21" a="1"/>
  <c r="F98" i="21" s="1"/>
  <c r="H201" i="21" a="1"/>
  <c r="H201" i="21" s="1"/>
  <c r="I70" i="9"/>
  <c r="I149" i="4"/>
  <c r="I19" i="12"/>
  <c r="L12" i="5"/>
  <c r="I12" i="5" s="1"/>
  <c r="I37" i="7"/>
  <c r="I82" i="4"/>
  <c r="I214" i="11"/>
  <c r="L197" i="11"/>
  <c r="L192" i="11" s="1"/>
  <c r="K197" i="11"/>
  <c r="I103" i="2"/>
  <c r="K187" i="3"/>
  <c r="I187" i="3" s="1"/>
  <c r="B86" i="62"/>
  <c r="C91" i="21" a="1"/>
  <c r="C91" i="21" s="1"/>
  <c r="H66" i="21" a="1"/>
  <c r="H66" i="21" s="1"/>
  <c r="I60" i="3"/>
  <c r="L264" i="30"/>
  <c r="K264" i="30"/>
  <c r="I33" i="4"/>
  <c r="I84" i="3"/>
  <c r="H48" i="21" a="1"/>
  <c r="H48" i="21" s="1"/>
  <c r="L25" i="5"/>
  <c r="O13" i="5"/>
  <c r="K13" i="5"/>
  <c r="L26" i="5"/>
  <c r="I26" i="5" s="1"/>
  <c r="H125" i="21" a="1"/>
  <c r="H125" i="21" s="1"/>
  <c r="H253" i="21" a="1"/>
  <c r="H253" i="21" s="1"/>
  <c r="C295" i="21" a="1"/>
  <c r="C295" i="21" s="1"/>
  <c r="H97" i="21" a="1"/>
  <c r="H97" i="21" s="1"/>
  <c r="H112" i="21" a="1"/>
  <c r="H112" i="21" s="1"/>
  <c r="I28" i="4"/>
  <c r="I158" i="3"/>
  <c r="I109" i="2"/>
  <c r="I194" i="11"/>
  <c r="I11" i="29"/>
  <c r="I180" i="3"/>
  <c r="I129" i="4"/>
  <c r="I41" i="3"/>
  <c r="I136" i="4"/>
  <c r="L260" i="30"/>
  <c r="K260" i="30"/>
  <c r="L266" i="30"/>
  <c r="K266" i="30"/>
  <c r="I266" i="30" s="1"/>
  <c r="I29" i="24"/>
  <c r="I192" i="3"/>
  <c r="E289" i="21" a="1"/>
  <c r="E289" i="21" s="1"/>
  <c r="E274" i="21" a="1"/>
  <c r="E274" i="21" s="1"/>
  <c r="E278" i="21" a="1"/>
  <c r="E278" i="21" s="1"/>
  <c r="C140" i="21" a="1"/>
  <c r="C140" i="21" s="1"/>
  <c r="C178" i="21" a="1"/>
  <c r="C178" i="21" s="1"/>
  <c r="C11" i="21" a="1"/>
  <c r="C11" i="21" s="1"/>
  <c r="C226" i="21" a="1"/>
  <c r="C226" i="21" s="1"/>
  <c r="C137" i="21" a="1"/>
  <c r="C137" i="21" s="1"/>
  <c r="C182" i="21" a="1"/>
  <c r="C182" i="21" s="1"/>
  <c r="E257" i="21" a="1"/>
  <c r="E257" i="21" s="1"/>
  <c r="E212" i="21" a="1"/>
  <c r="E212" i="21" s="1"/>
  <c r="E237" i="21" a="1"/>
  <c r="E237" i="21" s="1"/>
  <c r="F249" i="21" a="1"/>
  <c r="F249" i="21" s="1"/>
  <c r="F221" i="21" a="1"/>
  <c r="F221" i="21" s="1"/>
  <c r="F186" i="21" a="1"/>
  <c r="F186" i="21" s="1"/>
  <c r="D186" i="21" s="1"/>
  <c r="F39" i="21" a="1"/>
  <c r="F39" i="21" s="1"/>
  <c r="E154" i="21" a="1"/>
  <c r="E154" i="21" s="1"/>
  <c r="F151" i="21" a="1"/>
  <c r="F151" i="21" s="1"/>
  <c r="H291" i="21" a="1"/>
  <c r="H291" i="21" s="1"/>
  <c r="H237" i="21" a="1"/>
  <c r="H237" i="21" s="1"/>
  <c r="F194" i="21" a="1"/>
  <c r="F194" i="21" s="1"/>
  <c r="H261" i="21" a="1"/>
  <c r="H261" i="21" s="1"/>
  <c r="H23" i="21" a="1"/>
  <c r="H23" i="21" s="1"/>
  <c r="H102" i="21" a="1"/>
  <c r="H102" i="21" s="1"/>
  <c r="H188" i="21" a="1"/>
  <c r="H188" i="21" s="1"/>
  <c r="H43" i="21" a="1"/>
  <c r="H43" i="21" s="1"/>
  <c r="H226" i="21" a="1"/>
  <c r="H226" i="21" s="1"/>
  <c r="I68" i="7"/>
  <c r="I196" i="4"/>
  <c r="I36" i="4"/>
  <c r="I131" i="4"/>
  <c r="I38" i="7"/>
  <c r="I160" i="30"/>
  <c r="I65" i="9"/>
  <c r="I40" i="7"/>
  <c r="E109" i="21" a="1"/>
  <c r="E109" i="21" s="1"/>
  <c r="E127" i="21" a="1"/>
  <c r="E127" i="21" s="1"/>
  <c r="E215" i="21" a="1"/>
  <c r="E215" i="21" s="1"/>
  <c r="C198" i="21" a="1"/>
  <c r="C198" i="21" s="1"/>
  <c r="C81" i="21" a="1"/>
  <c r="C81" i="21" s="1"/>
  <c r="C40" i="21" a="1"/>
  <c r="C40" i="21" s="1"/>
  <c r="C149" i="21" a="1"/>
  <c r="C149" i="21" s="1"/>
  <c r="C230" i="21" a="1"/>
  <c r="C230" i="21" s="1"/>
  <c r="E239" i="21" a="1"/>
  <c r="E239" i="21" s="1"/>
  <c r="E248" i="21" a="1"/>
  <c r="E248" i="21" s="1"/>
  <c r="E23" i="21" a="1"/>
  <c r="E23" i="21" s="1"/>
  <c r="F266" i="21" a="1"/>
  <c r="F266" i="21" s="1"/>
  <c r="F235" i="21" a="1"/>
  <c r="F235" i="21" s="1"/>
  <c r="F236" i="21" a="1"/>
  <c r="F236" i="21" s="1"/>
  <c r="F9" i="21" a="1"/>
  <c r="F9" i="21" s="1"/>
  <c r="E209" i="21" a="1"/>
  <c r="E209" i="21" s="1"/>
  <c r="F133" i="21" a="1"/>
  <c r="F133" i="21" s="1"/>
  <c r="H267" i="21" a="1"/>
  <c r="H267" i="21" s="1"/>
  <c r="H206" i="21" a="1"/>
  <c r="H206" i="21" s="1"/>
  <c r="F229" i="21" a="1"/>
  <c r="F229" i="21" s="1"/>
  <c r="H16" i="21" a="1"/>
  <c r="H16" i="21" s="1"/>
  <c r="H36" i="21" a="1"/>
  <c r="H36" i="21" s="1"/>
  <c r="H129" i="21" a="1"/>
  <c r="H129" i="21" s="1"/>
  <c r="H203" i="21" a="1"/>
  <c r="H203" i="21" s="1"/>
  <c r="H79" i="21" a="1"/>
  <c r="H79" i="21" s="1"/>
  <c r="H276" i="21" a="1"/>
  <c r="H276" i="21" s="1"/>
  <c r="I98" i="4"/>
  <c r="I78" i="7"/>
  <c r="I149" i="3"/>
  <c r="L265" i="30"/>
  <c r="K265" i="30"/>
  <c r="I120" i="4"/>
  <c r="I58" i="3"/>
  <c r="I22" i="4"/>
  <c r="I139" i="11"/>
  <c r="H91" i="21" a="1"/>
  <c r="H91" i="21" s="1"/>
  <c r="H224" i="21" a="1"/>
  <c r="H224" i="21" s="1"/>
  <c r="E8" i="21" a="1"/>
  <c r="E8" i="21" s="1"/>
  <c r="D88" i="20"/>
  <c r="D84" i="20"/>
  <c r="K182" i="3"/>
  <c r="I182" i="3" s="1"/>
  <c r="I183" i="3"/>
  <c r="L256" i="30"/>
  <c r="K256" i="30"/>
  <c r="C80" i="62"/>
  <c r="L117" i="3"/>
  <c r="I117" i="3" s="1"/>
  <c r="L280" i="30"/>
  <c r="I280" i="30" s="1"/>
  <c r="L32" i="5"/>
  <c r="I32" i="5" s="1"/>
  <c r="H155" i="21" a="1"/>
  <c r="H155" i="21" s="1"/>
  <c r="H284" i="21" a="1"/>
  <c r="H284" i="21" s="1"/>
  <c r="H115" i="21" a="1"/>
  <c r="H115" i="21" s="1"/>
  <c r="H166" i="21" a="1"/>
  <c r="H166" i="21" s="1"/>
  <c r="I87" i="29"/>
  <c r="I95" i="4"/>
  <c r="I141" i="4"/>
  <c r="L282" i="30"/>
  <c r="I282" i="30" s="1"/>
  <c r="L119" i="3"/>
  <c r="I119" i="3" s="1"/>
  <c r="L34" i="5"/>
  <c r="H232" i="21" a="1"/>
  <c r="H232" i="21" s="1"/>
  <c r="H173" i="21" a="1"/>
  <c r="H173" i="21" s="1"/>
  <c r="H139" i="21" a="1"/>
  <c r="H139" i="21" s="1"/>
  <c r="H220" i="21" a="1"/>
  <c r="H220" i="21" s="1"/>
  <c r="I13" i="5"/>
  <c r="I62" i="5"/>
  <c r="I231" i="3"/>
  <c r="I64" i="7"/>
  <c r="L50" i="3"/>
  <c r="L91" i="3"/>
  <c r="I91" i="3" s="1"/>
  <c r="L6" i="5"/>
  <c r="I6" i="5" s="1"/>
  <c r="L254" i="30"/>
  <c r="I254" i="30" s="1"/>
  <c r="I47" i="9"/>
  <c r="H151" i="21" a="1"/>
  <c r="H151" i="21" s="1"/>
  <c r="H72" i="21" a="1"/>
  <c r="H72" i="21" s="1"/>
  <c r="K29" i="5"/>
  <c r="O29" i="5"/>
  <c r="L33" i="5"/>
  <c r="L281" i="30"/>
  <c r="L118" i="3"/>
  <c r="E253" i="21" a="1"/>
  <c r="E253" i="21" s="1"/>
  <c r="E271" i="21" a="1"/>
  <c r="E271" i="21" s="1"/>
  <c r="D271" i="21" s="1"/>
  <c r="C195" i="21" a="1"/>
  <c r="C195" i="21" s="1"/>
  <c r="C272" i="21" a="1"/>
  <c r="C272" i="21" s="1"/>
  <c r="C239" i="21" a="1"/>
  <c r="C239" i="21" s="1"/>
  <c r="C136" i="21" a="1"/>
  <c r="C136" i="21" s="1"/>
  <c r="C133" i="21" a="1"/>
  <c r="C133" i="21" s="1"/>
  <c r="E258" i="21" a="1"/>
  <c r="E258" i="21" s="1"/>
  <c r="F239" i="21" a="1"/>
  <c r="F239" i="21" s="1"/>
  <c r="F112" i="21" a="1"/>
  <c r="F112" i="21" s="1"/>
  <c r="F77" i="21" a="1"/>
  <c r="F77" i="21" s="1"/>
  <c r="F66" i="21" a="1"/>
  <c r="F66" i="21" s="1"/>
  <c r="F232" i="21" a="1"/>
  <c r="F232" i="21" s="1"/>
  <c r="E85" i="21" a="1"/>
  <c r="E85" i="21" s="1"/>
  <c r="F104" i="21" a="1"/>
  <c r="F104" i="21" s="1"/>
  <c r="F175" i="21" a="1"/>
  <c r="F175" i="21" s="1"/>
  <c r="H68" i="21" a="1"/>
  <c r="H68" i="21" s="1"/>
  <c r="F206" i="21" a="1"/>
  <c r="F206" i="21" s="1"/>
  <c r="F187" i="21" a="1"/>
  <c r="F187" i="21" s="1"/>
  <c r="H207" i="21" a="1"/>
  <c r="H207" i="21" s="1"/>
  <c r="H231" i="21" a="1"/>
  <c r="H231" i="21" s="1"/>
  <c r="H167" i="21" a="1"/>
  <c r="H167" i="21" s="1"/>
  <c r="H293" i="21" a="1"/>
  <c r="H293" i="21" s="1"/>
  <c r="H163" i="21" a="1"/>
  <c r="H163" i="21" s="1"/>
  <c r="H14" i="21" a="1"/>
  <c r="H14" i="21" s="1"/>
  <c r="L111" i="4"/>
  <c r="I23" i="29"/>
  <c r="L273" i="30"/>
  <c r="K273" i="30"/>
  <c r="I86" i="4"/>
  <c r="I75" i="7"/>
  <c r="I149" i="9"/>
  <c r="I34" i="5"/>
  <c r="I27" i="24"/>
  <c r="I43" i="2"/>
  <c r="E265" i="21" a="1"/>
  <c r="E265" i="21" s="1"/>
  <c r="C267" i="21" a="1"/>
  <c r="C267" i="21" s="1"/>
  <c r="C47" i="21" a="1"/>
  <c r="C47" i="21" s="1"/>
  <c r="C259" i="21" a="1"/>
  <c r="C259" i="21" s="1"/>
  <c r="C208" i="21" a="1"/>
  <c r="C208" i="21" s="1"/>
  <c r="E204" i="21" a="1"/>
  <c r="E204" i="21" s="1"/>
  <c r="F251" i="21" a="1"/>
  <c r="F251" i="21" s="1"/>
  <c r="F124" i="21" a="1"/>
  <c r="F124" i="21" s="1"/>
  <c r="D124" i="21" s="1"/>
  <c r="F89" i="21" a="1"/>
  <c r="F89" i="21" s="1"/>
  <c r="F78" i="21" a="1"/>
  <c r="F78" i="21" s="1"/>
  <c r="F216" i="21" a="1"/>
  <c r="F216" i="21" s="1"/>
  <c r="F71" i="21" a="1"/>
  <c r="F71" i="21" s="1"/>
  <c r="F79" i="21" a="1"/>
  <c r="F79" i="21" s="1"/>
  <c r="H296" i="21" a="1"/>
  <c r="H296" i="21" s="1"/>
  <c r="F243" i="21" a="1"/>
  <c r="F243" i="21" s="1"/>
  <c r="F259" i="21" a="1"/>
  <c r="F259" i="21" s="1"/>
  <c r="H255" i="21" a="1"/>
  <c r="H255" i="21" s="1"/>
  <c r="H279" i="21" a="1"/>
  <c r="H279" i="21" s="1"/>
  <c r="H278" i="21" a="1"/>
  <c r="H278" i="21" s="1"/>
  <c r="H162" i="21" a="1"/>
  <c r="H162" i="21" s="1"/>
  <c r="F123" i="21" a="1"/>
  <c r="F123" i="21" s="1"/>
  <c r="H99" i="21" a="1"/>
  <c r="H99" i="21" s="1"/>
  <c r="L29" i="5"/>
  <c r="I29" i="5" s="1"/>
  <c r="I42" i="2"/>
  <c r="I67" i="7"/>
  <c r="I81" i="2"/>
  <c r="I263" i="3"/>
  <c r="I58" i="2"/>
  <c r="O14" i="5"/>
  <c r="K14" i="5"/>
  <c r="I14" i="5" s="1"/>
  <c r="I25" i="4"/>
  <c r="I55" i="4"/>
  <c r="I105" i="30"/>
  <c r="B84" i="62"/>
  <c r="B87" i="62"/>
  <c r="C204" i="21" a="1"/>
  <c r="C204" i="21" s="1"/>
  <c r="L259" i="30"/>
  <c r="K259" i="30"/>
  <c r="L277" i="30"/>
  <c r="K277" i="30"/>
  <c r="O277" i="30"/>
  <c r="L135" i="9"/>
  <c r="F96" i="21" a="1"/>
  <c r="F96" i="21" s="1"/>
  <c r="H195" i="21" a="1"/>
  <c r="H195" i="21" s="1"/>
  <c r="I18" i="5"/>
  <c r="I12" i="4"/>
  <c r="K77" i="2"/>
  <c r="I77" i="2" s="1"/>
  <c r="I80" i="2"/>
  <c r="L28" i="5"/>
  <c r="I28" i="5" s="1"/>
  <c r="I18" i="9"/>
  <c r="I16" i="7"/>
  <c r="K100" i="2"/>
  <c r="I100" i="2" s="1"/>
  <c r="I102" i="2"/>
  <c r="I215" i="11"/>
  <c r="I217" i="3"/>
  <c r="I236" i="3"/>
  <c r="K235" i="3"/>
  <c r="I235" i="3" s="1"/>
  <c r="I136" i="9"/>
  <c r="K135" i="9"/>
  <c r="C78" i="62"/>
  <c r="F44" i="21" a="1"/>
  <c r="F44" i="21" s="1"/>
  <c r="H274" i="21" a="1"/>
  <c r="H274" i="21" s="1"/>
  <c r="H17" i="21" a="1"/>
  <c r="H17" i="21" s="1"/>
  <c r="H11" i="14"/>
  <c r="C11" i="14" s="1"/>
  <c r="AA441" i="13" s="1"/>
  <c r="L47" i="3" s="1"/>
  <c r="G11" i="14"/>
  <c r="B11" i="14" s="1"/>
  <c r="M441" i="13" s="1"/>
  <c r="K47" i="3" s="1"/>
  <c r="L269" i="30"/>
  <c r="K269" i="30"/>
  <c r="O269" i="30"/>
  <c r="I21" i="9"/>
  <c r="I162" i="4"/>
  <c r="I9" i="9"/>
  <c r="I208" i="4"/>
  <c r="L212" i="3"/>
  <c r="I115" i="9"/>
  <c r="I213" i="4"/>
  <c r="K212" i="4"/>
  <c r="I212" i="4" s="1"/>
  <c r="E13" i="21" a="1"/>
  <c r="E13" i="21" s="1"/>
  <c r="C192" i="21" a="1"/>
  <c r="C192" i="21" s="1"/>
  <c r="L272" i="30"/>
  <c r="K272" i="30"/>
  <c r="I272" i="30" s="1"/>
  <c r="C81" i="62"/>
  <c r="I243" i="3"/>
  <c r="L241" i="3"/>
  <c r="I241" i="3" s="1"/>
  <c r="I156" i="4"/>
  <c r="K153" i="4"/>
  <c r="K212" i="3"/>
  <c r="I63" i="3"/>
  <c r="I22" i="12"/>
  <c r="I71" i="9"/>
  <c r="I10" i="5"/>
  <c r="E241" i="21" a="1"/>
  <c r="E241" i="21" s="1"/>
  <c r="E163" i="21" a="1"/>
  <c r="E163" i="21" s="1"/>
  <c r="D163" i="21" s="1"/>
  <c r="E197" i="21" a="1"/>
  <c r="E197" i="21" s="1"/>
  <c r="C126" i="21" a="1"/>
  <c r="C126" i="21" s="1"/>
  <c r="C64" i="21" a="1"/>
  <c r="C64" i="21" s="1"/>
  <c r="C274" i="21" a="1"/>
  <c r="C274" i="21" s="1"/>
  <c r="C56" i="21" a="1"/>
  <c r="C56" i="21" s="1"/>
  <c r="C101" i="21" a="1"/>
  <c r="C101" i="21" s="1"/>
  <c r="C253" i="21" a="1"/>
  <c r="C253" i="21" s="1"/>
  <c r="C93" i="21" a="1"/>
  <c r="C93" i="21" s="1"/>
  <c r="E92" i="21" a="1"/>
  <c r="E92" i="21" s="1"/>
  <c r="E31" i="21" a="1"/>
  <c r="E31" i="21" s="1"/>
  <c r="F275" i="21" a="1"/>
  <c r="F275" i="21" s="1"/>
  <c r="F100" i="21" a="1"/>
  <c r="F100" i="21" s="1"/>
  <c r="D100" i="21" s="1"/>
  <c r="F5" i="21" a="1"/>
  <c r="F5" i="21" s="1"/>
  <c r="F209" i="21" a="1"/>
  <c r="F209" i="21" s="1"/>
  <c r="F102" i="21" a="1"/>
  <c r="F102" i="21" s="1"/>
  <c r="F285" i="21" a="1"/>
  <c r="F285" i="21" s="1"/>
  <c r="F24" i="21" a="1"/>
  <c r="F24" i="21" s="1"/>
  <c r="E279" i="21" a="1"/>
  <c r="E279" i="21" s="1"/>
  <c r="F86" i="21" a="1"/>
  <c r="F86" i="21" s="1"/>
  <c r="F7" i="21" a="1"/>
  <c r="F7" i="21" s="1"/>
  <c r="F107" i="21" a="1"/>
  <c r="F107" i="21" s="1"/>
  <c r="H86" i="21" a="1"/>
  <c r="H86" i="21" s="1"/>
  <c r="F224" i="21" a="1"/>
  <c r="F224" i="21" s="1"/>
  <c r="F240" i="21" a="1"/>
  <c r="F240" i="21" s="1"/>
  <c r="H192" i="21" a="1"/>
  <c r="H192" i="21" s="1"/>
  <c r="H141" i="21" a="1"/>
  <c r="H141" i="21" s="1"/>
  <c r="H89" i="21" a="1"/>
  <c r="H89" i="21" s="1"/>
  <c r="H38" i="21" a="1"/>
  <c r="H38" i="21" s="1"/>
  <c r="H269" i="21" a="1"/>
  <c r="H269" i="21" s="1"/>
  <c r="H103" i="21" a="1"/>
  <c r="H103" i="21" s="1"/>
  <c r="H228" i="21" a="1"/>
  <c r="H228" i="21" s="1"/>
  <c r="H6" i="21" a="1"/>
  <c r="H6" i="21" s="1"/>
  <c r="H145" i="21" a="1"/>
  <c r="H145" i="21" s="1"/>
  <c r="I8" i="5"/>
  <c r="L261" i="30"/>
  <c r="K261" i="30"/>
  <c r="O261" i="30"/>
  <c r="K111" i="4"/>
  <c r="I111" i="4" s="1"/>
  <c r="I114" i="4"/>
  <c r="I16" i="9"/>
  <c r="I124" i="2"/>
  <c r="L24" i="2"/>
  <c r="K24" i="2"/>
  <c r="I56" i="4"/>
  <c r="L153" i="4"/>
  <c r="I155" i="4"/>
  <c r="I261" i="3"/>
  <c r="I200" i="11"/>
  <c r="K35" i="7"/>
  <c r="I35" i="7" s="1"/>
  <c r="I171" i="4"/>
  <c r="L35" i="7"/>
  <c r="I219" i="4"/>
  <c r="I8" i="12"/>
  <c r="H119" i="21" a="1"/>
  <c r="H119" i="21" s="1"/>
  <c r="H30" i="21" a="1"/>
  <c r="H30" i="21" s="1"/>
  <c r="H84" i="21" a="1"/>
  <c r="H84" i="21" s="1"/>
  <c r="L257" i="30"/>
  <c r="K257" i="30"/>
  <c r="L12" i="2"/>
  <c r="K12" i="2"/>
  <c r="K192" i="4"/>
  <c r="I192" i="4" s="1"/>
  <c r="I81" i="3"/>
  <c r="K80" i="3"/>
  <c r="I80" i="3" s="1"/>
  <c r="AD47" i="62"/>
  <c r="I158" i="4"/>
  <c r="I7" i="12"/>
  <c r="I210" i="4"/>
  <c r="F207" i="21" a="1"/>
  <c r="F207" i="21" s="1"/>
  <c r="F117" i="21" a="1"/>
  <c r="F117" i="21" s="1"/>
  <c r="F129" i="21" a="1"/>
  <c r="F129" i="21" s="1"/>
  <c r="I25" i="5"/>
  <c r="L16" i="5"/>
  <c r="I16" i="5" s="1"/>
  <c r="K22" i="5"/>
  <c r="I22" i="5" s="1"/>
  <c r="O22" i="5"/>
  <c r="L268" i="30"/>
  <c r="K268" i="30"/>
  <c r="I268" i="30" s="1"/>
  <c r="K77" i="9"/>
  <c r="I77" i="9" s="1"/>
  <c r="I79" i="9"/>
  <c r="K26" i="2"/>
  <c r="L26" i="2"/>
  <c r="I14" i="4"/>
  <c r="I257" i="3"/>
  <c r="K143" i="4"/>
  <c r="I144" i="4"/>
  <c r="I197" i="4"/>
  <c r="I50" i="7"/>
  <c r="I108" i="4"/>
  <c r="I127" i="2"/>
  <c r="K125" i="2"/>
  <c r="I125" i="2" s="1"/>
  <c r="W6" i="62"/>
  <c r="AA6" i="62"/>
  <c r="D6" i="62"/>
  <c r="J6" i="62"/>
  <c r="L6" i="62"/>
  <c r="S6" i="62"/>
  <c r="O6" i="62"/>
  <c r="Q6" i="62"/>
  <c r="X6" i="62"/>
  <c r="N6" i="62"/>
  <c r="U6" i="62"/>
  <c r="I6" i="62"/>
  <c r="T6" i="62"/>
  <c r="AB6" i="62"/>
  <c r="AC6" i="62" s="1"/>
  <c r="AD5" i="62" s="1"/>
  <c r="P6" i="62"/>
  <c r="Y6" i="62"/>
  <c r="V6" i="62"/>
  <c r="F6" i="62"/>
  <c r="C6" i="62"/>
  <c r="E6" i="62"/>
  <c r="M6" i="62"/>
  <c r="G6" i="62"/>
  <c r="H6" i="62"/>
  <c r="Z6" i="62"/>
  <c r="R6" i="62"/>
  <c r="K6" i="62"/>
  <c r="F43" i="21" a="1"/>
  <c r="F43" i="21" s="1"/>
  <c r="L270" i="30"/>
  <c r="K270" i="30"/>
  <c r="O270" i="30"/>
  <c r="L27" i="2"/>
  <c r="K27" i="2"/>
  <c r="I7" i="4"/>
  <c r="I115" i="4"/>
  <c r="I233" i="4"/>
  <c r="L143" i="4"/>
  <c r="H227" i="21" a="1"/>
  <c r="H227" i="21" s="1"/>
  <c r="H57" i="21" a="1"/>
  <c r="H57" i="21" s="1"/>
  <c r="K27" i="5"/>
  <c r="I27" i="5" s="1"/>
  <c r="O27" i="5"/>
  <c r="I126" i="4"/>
  <c r="K125" i="4"/>
  <c r="H223" i="21" a="1"/>
  <c r="H223" i="21" s="1"/>
  <c r="H171" i="21" a="1"/>
  <c r="H171" i="21" s="1"/>
  <c r="H124" i="21" a="1"/>
  <c r="H124" i="21" s="1"/>
  <c r="H194" i="21" a="1"/>
  <c r="H194" i="21" s="1"/>
  <c r="D90" i="20"/>
  <c r="I207" i="4"/>
  <c r="I227" i="3"/>
  <c r="I118" i="9"/>
  <c r="I129" i="2"/>
  <c r="I51" i="3"/>
  <c r="K50" i="3"/>
  <c r="I50" i="3" s="1"/>
  <c r="L125" i="4"/>
  <c r="I121" i="11"/>
  <c r="K120" i="11"/>
  <c r="I120" i="11" s="1"/>
  <c r="I47" i="4"/>
  <c r="I71" i="2"/>
  <c r="F183" i="21" a="1"/>
  <c r="F183" i="21" s="1"/>
  <c r="F127" i="21" a="1"/>
  <c r="F127" i="21" s="1"/>
  <c r="F227" i="21" a="1"/>
  <c r="F227" i="21" s="1"/>
  <c r="F165" i="21" a="1"/>
  <c r="F165" i="21" s="1"/>
  <c r="E97" i="21" a="1"/>
  <c r="E97" i="21" s="1"/>
  <c r="E242" i="21" a="1"/>
  <c r="E242" i="21" s="1"/>
  <c r="C213" i="21" a="1"/>
  <c r="C213" i="21" s="1"/>
  <c r="C287" i="21" a="1"/>
  <c r="C287" i="21" s="1"/>
  <c r="C35" i="21" a="1"/>
  <c r="C35" i="21" s="1"/>
  <c r="C279" i="21" a="1"/>
  <c r="C279" i="21" s="1"/>
  <c r="C172" i="21" a="1"/>
  <c r="C172" i="21" s="1"/>
  <c r="C281" i="21" a="1"/>
  <c r="C281" i="21" s="1"/>
  <c r="C194" i="21" a="1"/>
  <c r="C194" i="21" s="1"/>
  <c r="C212" i="21" a="1"/>
  <c r="C212" i="21" s="1"/>
  <c r="F238" i="21" a="1"/>
  <c r="F238" i="21" s="1"/>
  <c r="F4" i="21" a="1"/>
  <c r="F4" i="21" s="1"/>
  <c r="F208" i="21" a="1"/>
  <c r="F208" i="21" s="1"/>
  <c r="F101" i="21" a="1"/>
  <c r="F101" i="21" s="1"/>
  <c r="F6" i="21" a="1"/>
  <c r="F6" i="21" s="1"/>
  <c r="F210" i="21" a="1"/>
  <c r="F210" i="21" s="1"/>
  <c r="F168" i="21" a="1"/>
  <c r="F168" i="21" s="1"/>
  <c r="E68" i="21" a="1"/>
  <c r="E68" i="21" s="1"/>
  <c r="F256" i="21" a="1"/>
  <c r="F256" i="21" s="1"/>
  <c r="F214" i="21" a="1"/>
  <c r="F214" i="21" s="1"/>
  <c r="F109" i="21" a="1"/>
  <c r="F109" i="21" s="1"/>
  <c r="F130" i="21" a="1"/>
  <c r="F130" i="21" s="1"/>
  <c r="F245" i="21" a="1"/>
  <c r="F245" i="21" s="1"/>
  <c r="F195" i="21" a="1"/>
  <c r="F195" i="21" s="1"/>
  <c r="H56" i="21" a="1"/>
  <c r="H56" i="21" s="1"/>
  <c r="H200" i="21" a="1"/>
  <c r="H200" i="21" s="1"/>
  <c r="H22" i="21" a="1"/>
  <c r="H22" i="21" s="1"/>
  <c r="H280" i="21" a="1"/>
  <c r="H280" i="21" s="1"/>
  <c r="H218" i="21" a="1"/>
  <c r="H218" i="21" s="1"/>
  <c r="H246" i="21" a="1"/>
  <c r="H246" i="21" s="1"/>
  <c r="H259" i="21" a="1"/>
  <c r="H259" i="21" s="1"/>
  <c r="H123" i="21" a="1"/>
  <c r="H123" i="21" s="1"/>
  <c r="H58" i="21" a="1"/>
  <c r="H58" i="21" s="1"/>
  <c r="H73" i="21" a="1"/>
  <c r="H73" i="21" s="1"/>
  <c r="F67" i="21" a="1"/>
  <c r="F67" i="21" s="1"/>
  <c r="K21" i="5"/>
  <c r="I21" i="5" s="1"/>
  <c r="O21" i="5"/>
  <c r="L258" i="30"/>
  <c r="K258" i="30"/>
  <c r="L274" i="30"/>
  <c r="K274" i="30"/>
  <c r="I54" i="3"/>
  <c r="L222" i="3"/>
  <c r="I23" i="9"/>
  <c r="I44" i="9"/>
  <c r="I216" i="4"/>
  <c r="I9" i="12"/>
  <c r="I60" i="7"/>
  <c r="I192" i="29"/>
  <c r="I224" i="3"/>
  <c r="I127" i="11"/>
  <c r="I223" i="4"/>
  <c r="I13" i="29"/>
  <c r="I93" i="11"/>
  <c r="I109" i="9"/>
  <c r="I11" i="5"/>
  <c r="I70" i="3"/>
  <c r="F198" i="21" a="1"/>
  <c r="F198" i="21" s="1"/>
  <c r="F230" i="21" a="1"/>
  <c r="F230" i="21" s="1"/>
  <c r="E254" i="21" a="1"/>
  <c r="E254" i="21" s="1"/>
  <c r="C249" i="21" a="1"/>
  <c r="C249" i="21" s="1"/>
  <c r="C180" i="21" a="1"/>
  <c r="C180" i="21" s="1"/>
  <c r="C66" i="21" a="1"/>
  <c r="C66" i="21" s="1"/>
  <c r="C154" i="21" a="1"/>
  <c r="C154" i="21" s="1"/>
  <c r="C196" i="21" a="1"/>
  <c r="C196" i="21" s="1"/>
  <c r="C73" i="21" a="1"/>
  <c r="C73" i="21" s="1"/>
  <c r="C218" i="21" a="1"/>
  <c r="C218" i="21" s="1"/>
  <c r="E30" i="21" a="1"/>
  <c r="E30" i="21" s="1"/>
  <c r="F274" i="21" a="1"/>
  <c r="F274" i="21" s="1"/>
  <c r="F40" i="21" a="1"/>
  <c r="F40" i="21" s="1"/>
  <c r="F220" i="21" a="1"/>
  <c r="F220" i="21" s="1"/>
  <c r="F113" i="21" a="1"/>
  <c r="F113" i="21" s="1"/>
  <c r="F42" i="21" a="1"/>
  <c r="F42" i="21" s="1"/>
  <c r="F222" i="21" a="1"/>
  <c r="F222" i="21" s="1"/>
  <c r="F153" i="21" a="1"/>
  <c r="F153" i="21" s="1"/>
  <c r="E102" i="21" a="1"/>
  <c r="E102" i="21" s="1"/>
  <c r="F182" i="21" a="1"/>
  <c r="F182" i="21" s="1"/>
  <c r="F199" i="21" a="1"/>
  <c r="F199" i="21" s="1"/>
  <c r="F94" i="21" a="1"/>
  <c r="F94" i="21" s="1"/>
  <c r="F273" i="21" a="1"/>
  <c r="F273" i="21" s="1"/>
  <c r="F36" i="21" a="1"/>
  <c r="F36" i="21" s="1"/>
  <c r="H82" i="21" a="1"/>
  <c r="H82" i="21" s="1"/>
  <c r="H263" i="21" a="1"/>
  <c r="H263" i="21" s="1"/>
  <c r="H74" i="21" a="1"/>
  <c r="H74" i="21" s="1"/>
  <c r="H236" i="21" a="1"/>
  <c r="H236" i="21" s="1"/>
  <c r="H258" i="21" a="1"/>
  <c r="H258" i="21" s="1"/>
  <c r="H283" i="21" a="1"/>
  <c r="H283" i="21" s="1"/>
  <c r="H80" i="21" a="1"/>
  <c r="H80" i="21" s="1"/>
  <c r="H34" i="21" a="1"/>
  <c r="H34" i="21" s="1"/>
  <c r="F116" i="21" a="1"/>
  <c r="F116" i="21" s="1"/>
  <c r="H71" i="21" a="1"/>
  <c r="H71" i="21" s="1"/>
  <c r="D83" i="20"/>
  <c r="D82" i="20"/>
  <c r="L276" i="30"/>
  <c r="K276" i="30"/>
  <c r="I19" i="5"/>
  <c r="O30" i="5"/>
  <c r="K30" i="5"/>
  <c r="I30" i="5" s="1"/>
  <c r="K222" i="3"/>
  <c r="I223" i="3"/>
  <c r="I139" i="9"/>
  <c r="I20" i="7"/>
  <c r="I529" i="29"/>
  <c r="N22" i="23"/>
  <c r="O21" i="23"/>
  <c r="C14" i="63" s="1"/>
  <c r="E49" i="21" a="1"/>
  <c r="E49" i="21" s="1"/>
  <c r="E84" i="21" a="1"/>
  <c r="E84" i="21" s="1"/>
  <c r="E104" i="21" a="1"/>
  <c r="E104" i="21" s="1"/>
  <c r="E125" i="21" a="1"/>
  <c r="E125" i="21" s="1"/>
  <c r="D125" i="21" s="1"/>
  <c r="E198" i="21" a="1"/>
  <c r="E198" i="21" s="1"/>
  <c r="E153" i="21" a="1"/>
  <c r="E153" i="21" s="1"/>
  <c r="E207" i="21" a="1"/>
  <c r="E207" i="21" s="1"/>
  <c r="E236" i="21" a="1"/>
  <c r="E236" i="21" s="1"/>
  <c r="C128" i="21" a="1"/>
  <c r="C128" i="21" s="1"/>
  <c r="G270" i="21" a="1"/>
  <c r="G270" i="21" s="1"/>
  <c r="E174" i="21" a="1"/>
  <c r="E174" i="21" s="1"/>
  <c r="E114" i="21" a="1"/>
  <c r="E114" i="21" s="1"/>
  <c r="E263" i="21" a="1"/>
  <c r="E263" i="21" s="1"/>
  <c r="D263" i="21" s="1"/>
  <c r="G183" i="21" a="1"/>
  <c r="G183" i="21" s="1"/>
  <c r="E220" i="21" a="1"/>
  <c r="E220" i="21" s="1"/>
  <c r="E252" i="21" a="1"/>
  <c r="E252" i="21" s="1"/>
  <c r="E201" i="21" a="1"/>
  <c r="E201" i="21" s="1"/>
  <c r="E134" i="21" a="1"/>
  <c r="E134" i="21" s="1"/>
  <c r="D134" i="21" s="1"/>
  <c r="E159" i="21" a="1"/>
  <c r="E159" i="21" s="1"/>
  <c r="E290" i="21" a="1"/>
  <c r="E290" i="21" s="1"/>
  <c r="C7" i="21" a="1"/>
  <c r="C7" i="21" s="1"/>
  <c r="C135" i="21" a="1"/>
  <c r="C135" i="21" s="1"/>
  <c r="C209" i="21" a="1"/>
  <c r="C209" i="21" s="1"/>
  <c r="E246" i="21" a="1"/>
  <c r="E246" i="21" s="1"/>
  <c r="E256" i="21" a="1"/>
  <c r="E256" i="21" s="1"/>
  <c r="E119" i="21" a="1"/>
  <c r="E119" i="21" s="1"/>
  <c r="E123" i="21" a="1"/>
  <c r="E123" i="21" s="1"/>
  <c r="E142" i="21" a="1"/>
  <c r="E142" i="21" s="1"/>
  <c r="E202" i="21" a="1"/>
  <c r="E202" i="21" s="1"/>
  <c r="E145" i="21" a="1"/>
  <c r="E145" i="21" s="1"/>
  <c r="E146" i="21" a="1"/>
  <c r="E146" i="21" s="1"/>
  <c r="E211" i="21" a="1"/>
  <c r="E211" i="21" s="1"/>
  <c r="C106" i="21" a="1"/>
  <c r="C106" i="21" s="1"/>
  <c r="E101" i="21" a="1"/>
  <c r="E101" i="21" s="1"/>
  <c r="C270" i="21" a="1"/>
  <c r="C270" i="21" s="1"/>
  <c r="C288" i="21" a="1"/>
  <c r="C288" i="21" s="1"/>
  <c r="C201" i="21" a="1"/>
  <c r="C201" i="21" s="1"/>
  <c r="C130" i="21" a="1"/>
  <c r="C130" i="21" s="1"/>
  <c r="C282" i="21" a="1"/>
  <c r="C282" i="21" s="1"/>
  <c r="C211" i="21" a="1"/>
  <c r="C211" i="21" s="1"/>
  <c r="C244" i="21" a="1"/>
  <c r="C244" i="21" s="1"/>
  <c r="C145" i="21" a="1"/>
  <c r="C145" i="21" s="1"/>
  <c r="C86" i="21" a="1"/>
  <c r="C86" i="21" s="1"/>
  <c r="C240" i="21" a="1"/>
  <c r="C240" i="21" s="1"/>
  <c r="E152" i="21" a="1"/>
  <c r="E152" i="21" s="1"/>
  <c r="E221" i="21" a="1"/>
  <c r="E221" i="21" s="1"/>
  <c r="E43" i="21" a="1"/>
  <c r="E43" i="21" s="1"/>
  <c r="E62" i="21" a="1"/>
  <c r="E62" i="21" s="1"/>
  <c r="E140" i="21" a="1"/>
  <c r="E140" i="21" s="1"/>
  <c r="E141" i="21" a="1"/>
  <c r="E141" i="21" s="1"/>
  <c r="E191" i="21" a="1"/>
  <c r="E191" i="21" s="1"/>
  <c r="E280" i="21" a="1"/>
  <c r="E280" i="21" s="1"/>
  <c r="E180" i="21" a="1"/>
  <c r="E180" i="21" s="1"/>
  <c r="E210" i="21" a="1"/>
  <c r="E210" i="21" s="1"/>
  <c r="E214" i="21" a="1"/>
  <c r="E214" i="21" s="1"/>
  <c r="E157" i="21" a="1"/>
  <c r="E157" i="21" s="1"/>
  <c r="E158" i="21" a="1"/>
  <c r="E158" i="21" s="1"/>
  <c r="E79" i="21" a="1"/>
  <c r="E79" i="21" s="1"/>
  <c r="E223" i="21" a="1"/>
  <c r="E223" i="21" s="1"/>
  <c r="C83" i="21" a="1"/>
  <c r="C83" i="21" s="1"/>
  <c r="C264" i="21" a="1"/>
  <c r="C264" i="21" s="1"/>
  <c r="C31" i="21" a="1"/>
  <c r="C31" i="21" s="1"/>
  <c r="C286" i="21" a="1"/>
  <c r="C286" i="21" s="1"/>
  <c r="C293" i="21" a="1"/>
  <c r="C293" i="21" s="1"/>
  <c r="C219" i="21" a="1"/>
  <c r="C219" i="21" s="1"/>
  <c r="C150" i="21" a="1"/>
  <c r="C150" i="21" s="1"/>
  <c r="C171" i="21" a="1"/>
  <c r="C171" i="21" s="1"/>
  <c r="C299" i="21" a="1"/>
  <c r="C299" i="21" s="1"/>
  <c r="C227" i="21" a="1"/>
  <c r="C227" i="21" s="1"/>
  <c r="C256" i="21" a="1"/>
  <c r="C256" i="21" s="1"/>
  <c r="C221" i="21" a="1"/>
  <c r="C221" i="21" s="1"/>
  <c r="C157" i="21" a="1"/>
  <c r="C157" i="21" s="1"/>
  <c r="C98" i="21" a="1"/>
  <c r="C98" i="21" s="1"/>
  <c r="E136" i="21" a="1"/>
  <c r="E136" i="21" s="1"/>
  <c r="E203" i="21" a="1"/>
  <c r="E203" i="21" s="1"/>
  <c r="M4" i="20" a="1"/>
  <c r="M4" i="20" s="1"/>
  <c r="P4" i="20" s="1"/>
  <c r="E55" i="21" a="1"/>
  <c r="E55" i="21" s="1"/>
  <c r="E74" i="21" a="1"/>
  <c r="E74" i="21" s="1"/>
  <c r="E160" i="21" a="1"/>
  <c r="E160" i="21" s="1"/>
  <c r="E162" i="21" a="1"/>
  <c r="E162" i="21" s="1"/>
  <c r="E272" i="21" a="1"/>
  <c r="E272" i="21" s="1"/>
  <c r="E273" i="21" a="1"/>
  <c r="E273" i="21" s="1"/>
  <c r="E73" i="21" a="1"/>
  <c r="E73" i="21" s="1"/>
  <c r="E12" i="21" a="1"/>
  <c r="E12" i="21" s="1"/>
  <c r="E208" i="21" a="1"/>
  <c r="E208" i="21" s="1"/>
  <c r="E46" i="21" a="1"/>
  <c r="E46" i="21" s="1"/>
  <c r="E44" i="21" a="1"/>
  <c r="E44" i="21" s="1"/>
  <c r="E148" i="21" a="1"/>
  <c r="E148" i="21" s="1"/>
  <c r="D148" i="21" s="1"/>
  <c r="E50" i="21" a="1"/>
  <c r="E50" i="21" s="1"/>
  <c r="E235" i="21" a="1"/>
  <c r="E235" i="21" s="1"/>
  <c r="C59" i="21" a="1"/>
  <c r="C59" i="21" s="1"/>
  <c r="C166" i="21" a="1"/>
  <c r="C166" i="21" s="1"/>
  <c r="C280" i="21" a="1"/>
  <c r="C280" i="21" s="1"/>
  <c r="E167" i="21" a="1"/>
  <c r="E167" i="21" s="1"/>
  <c r="E264" i="21" a="1"/>
  <c r="E264" i="21" s="1"/>
  <c r="E90" i="21" a="1"/>
  <c r="E90" i="21" s="1"/>
  <c r="D90" i="21" s="1"/>
  <c r="E16" i="21" a="1"/>
  <c r="E16" i="21" s="1"/>
  <c r="C39" i="21" a="1"/>
  <c r="C39" i="21" s="1"/>
  <c r="E170" i="21" a="1"/>
  <c r="E170" i="21" s="1"/>
  <c r="C123" i="21" a="1"/>
  <c r="C123" i="21" s="1"/>
  <c r="C10" i="21" a="1"/>
  <c r="C10" i="21" s="1"/>
  <c r="C4" i="21" a="1"/>
  <c r="C4" i="21" s="1"/>
  <c r="C122" i="21" a="1"/>
  <c r="C122" i="21" s="1"/>
  <c r="E67" i="21" a="1"/>
  <c r="E67" i="21" s="1"/>
  <c r="E188" i="21" a="1"/>
  <c r="E188" i="21" s="1"/>
  <c r="M6" i="20" a="1"/>
  <c r="M6" i="20" s="1"/>
  <c r="N6" i="20" s="1"/>
  <c r="E234" i="21" a="1"/>
  <c r="E234" i="21" s="1"/>
  <c r="E238" i="21" a="1"/>
  <c r="E238" i="21" s="1"/>
  <c r="E181" i="21" a="1"/>
  <c r="E181" i="21" s="1"/>
  <c r="E182" i="21" a="1"/>
  <c r="E182" i="21" s="1"/>
  <c r="C141" i="21" a="1"/>
  <c r="C141" i="21" s="1"/>
  <c r="C255" i="21" a="1"/>
  <c r="C255" i="21" s="1"/>
  <c r="C263" i="21" a="1"/>
  <c r="C263" i="21" s="1"/>
  <c r="C158" i="21" a="1"/>
  <c r="C158" i="21" s="1"/>
  <c r="C156" i="21" a="1"/>
  <c r="C156" i="21" s="1"/>
  <c r="E107" i="21" a="1"/>
  <c r="E107" i="21" s="1"/>
  <c r="E120" i="21" a="1"/>
  <c r="E120" i="21" s="1"/>
  <c r="E6" i="21" a="1"/>
  <c r="E6" i="21" s="1"/>
  <c r="E176" i="21" a="1"/>
  <c r="E176" i="21" s="1"/>
  <c r="E213" i="21" a="1"/>
  <c r="E213" i="21" s="1"/>
  <c r="E244" i="21" a="1"/>
  <c r="E244" i="21" s="1"/>
  <c r="E5" i="21" a="1"/>
  <c r="E5" i="21" s="1"/>
  <c r="E88" i="21" a="1"/>
  <c r="E88" i="21" s="1"/>
  <c r="E129" i="21" a="1"/>
  <c r="E129" i="21" s="1"/>
  <c r="E45" i="21" a="1"/>
  <c r="E45" i="21" s="1"/>
  <c r="E261" i="21" a="1"/>
  <c r="E261" i="21" s="1"/>
  <c r="F155" i="21" a="1"/>
  <c r="F155" i="21" s="1"/>
  <c r="D66" i="20"/>
  <c r="D67" i="20"/>
  <c r="E295" i="21" a="1"/>
  <c r="E295" i="21" s="1"/>
  <c r="E27" i="21" a="1"/>
  <c r="E27" i="21" s="1"/>
  <c r="E294" i="21" a="1"/>
  <c r="E294" i="21" s="1"/>
  <c r="E156" i="21" a="1"/>
  <c r="E156" i="21" s="1"/>
  <c r="E155" i="21" a="1"/>
  <c r="E155" i="21" s="1"/>
  <c r="E76" i="21" a="1"/>
  <c r="E76" i="21" s="1"/>
  <c r="E131" i="21" a="1"/>
  <c r="E131" i="21" s="1"/>
  <c r="E41" i="21" a="1"/>
  <c r="E41" i="21" s="1"/>
  <c r="E296" i="21" a="1"/>
  <c r="E296" i="21" s="1"/>
  <c r="E10" i="21" a="1"/>
  <c r="E10" i="21" s="1"/>
  <c r="E25" i="21" a="1"/>
  <c r="E25" i="21" s="1"/>
  <c r="E128" i="21" a="1"/>
  <c r="E128" i="21" s="1"/>
  <c r="E89" i="21" a="1"/>
  <c r="E89" i="21" s="1"/>
  <c r="E63" i="21" a="1"/>
  <c r="E63" i="21" s="1"/>
  <c r="E232" i="21" a="1"/>
  <c r="E232" i="21" s="1"/>
  <c r="M9" i="20" a="1"/>
  <c r="M9" i="20" s="1"/>
  <c r="E58" i="21" a="1"/>
  <c r="E58" i="21" s="1"/>
  <c r="E72" i="21" a="1"/>
  <c r="E72" i="21" s="1"/>
  <c r="E15" i="21" a="1"/>
  <c r="E15" i="21" s="1"/>
  <c r="E99" i="21" a="1"/>
  <c r="E99" i="21" s="1"/>
  <c r="E33" i="21" a="1"/>
  <c r="E33" i="21" s="1"/>
  <c r="E64" i="21" a="1"/>
  <c r="E64" i="21" s="1"/>
  <c r="D64" i="21" s="1"/>
  <c r="E29" i="21" a="1"/>
  <c r="E29" i="21" s="1"/>
  <c r="E57" i="21" a="1"/>
  <c r="E57" i="21" s="1"/>
  <c r="E59" i="21" a="1"/>
  <c r="E59" i="21" s="1"/>
  <c r="E9" i="21" a="1"/>
  <c r="E9" i="21" s="1"/>
  <c r="E172" i="21" a="1"/>
  <c r="E172" i="21" s="1"/>
  <c r="E32" i="21" a="1"/>
  <c r="E32" i="21" s="1"/>
  <c r="E11" i="21" a="1"/>
  <c r="E11" i="21" s="1"/>
  <c r="E138" i="21" a="1"/>
  <c r="E138" i="21" s="1"/>
  <c r="E96" i="21" a="1"/>
  <c r="E96" i="21" s="1"/>
  <c r="E40" i="21" a="1"/>
  <c r="E40" i="21" s="1"/>
  <c r="E77" i="21" a="1"/>
  <c r="E77" i="21" s="1"/>
  <c r="E39" i="21" a="1"/>
  <c r="E39" i="21" s="1"/>
  <c r="E110" i="21" a="1"/>
  <c r="E110" i="21" s="1"/>
  <c r="E1" i="20"/>
  <c r="E298" i="21" a="1"/>
  <c r="E298" i="21" s="1"/>
  <c r="E82" i="21" a="1"/>
  <c r="E82" i="21" s="1"/>
  <c r="E137" i="21" a="1"/>
  <c r="E137" i="21" s="1"/>
  <c r="E285" i="21" a="1"/>
  <c r="E285" i="21" s="1"/>
  <c r="E297" i="21" a="1"/>
  <c r="E297" i="21" s="1"/>
  <c r="E173" i="21" a="1"/>
  <c r="E173" i="21" s="1"/>
  <c r="E224" i="21" a="1"/>
  <c r="E224" i="21" s="1"/>
  <c r="E165" i="21" a="1"/>
  <c r="E165" i="21" s="1"/>
  <c r="E245" i="21" a="1"/>
  <c r="E245" i="21" s="1"/>
  <c r="E4" i="21" a="1"/>
  <c r="E4" i="21" s="1"/>
  <c r="E35" i="21" a="1"/>
  <c r="E35" i="21" s="1"/>
  <c r="E83" i="21" a="1"/>
  <c r="E83" i="21" s="1"/>
  <c r="E284" i="21" a="1"/>
  <c r="E284" i="21" s="1"/>
  <c r="E7" i="21" a="1"/>
  <c r="E7" i="21" s="1"/>
  <c r="E135" i="21" a="1"/>
  <c r="E135" i="21" s="1"/>
  <c r="D135" i="21" s="1"/>
  <c r="E222" i="21" a="1"/>
  <c r="E222" i="21" s="1"/>
  <c r="E184" i="21" a="1"/>
  <c r="E184" i="21" s="1"/>
  <c r="D184" i="21" s="1"/>
  <c r="E117" i="21" a="1"/>
  <c r="E117" i="21" s="1"/>
  <c r="E260" i="21" a="1"/>
  <c r="E260" i="21" s="1"/>
  <c r="E282" i="21" a="1"/>
  <c r="E282" i="21" s="1"/>
  <c r="E149" i="21" a="1"/>
  <c r="E149" i="21" s="1"/>
  <c r="E196" i="21" a="1"/>
  <c r="E196" i="21" s="1"/>
  <c r="E143" i="21" a="1"/>
  <c r="E143" i="21" s="1"/>
  <c r="E219" i="21" a="1"/>
  <c r="E219" i="21" s="1"/>
  <c r="E270" i="21" a="1"/>
  <c r="E270" i="21" s="1"/>
  <c r="E20" i="21" a="1"/>
  <c r="E20" i="21" s="1"/>
  <c r="E65" i="21" a="1"/>
  <c r="E65" i="21" s="1"/>
  <c r="D65" i="21" s="1"/>
  <c r="E267" i="21" a="1"/>
  <c r="E267" i="21" s="1"/>
  <c r="D267" i="21" s="1"/>
  <c r="E299" i="21" a="1"/>
  <c r="E299" i="21" s="1"/>
  <c r="E291" i="21" a="1"/>
  <c r="E291" i="21" s="1"/>
  <c r="E150" i="21" a="1"/>
  <c r="E150" i="21" s="1"/>
  <c r="D150" i="21" s="1"/>
  <c r="E240" i="21" a="1"/>
  <c r="E240" i="21" s="1"/>
  <c r="E233" i="21" a="1"/>
  <c r="E233" i="21" s="1"/>
  <c r="E75" i="21" a="1"/>
  <c r="E75" i="21" s="1"/>
  <c r="M8" i="20" a="1"/>
  <c r="M8" i="20" s="1"/>
  <c r="E81" i="21" a="1"/>
  <c r="E81" i="21" s="1"/>
  <c r="E177" i="21" a="1"/>
  <c r="E177" i="21" s="1"/>
  <c r="E228" i="21" a="1"/>
  <c r="E228" i="21" s="1"/>
  <c r="E111" i="21" a="1"/>
  <c r="E111" i="21" s="1"/>
  <c r="E147" i="21" a="1"/>
  <c r="E147" i="21" s="1"/>
  <c r="E105" i="21" a="1"/>
  <c r="E105" i="21" s="1"/>
  <c r="E164" i="21" a="1"/>
  <c r="E164" i="21" s="1"/>
  <c r="D164" i="21" s="1"/>
  <c r="E216" i="21" a="1"/>
  <c r="E216" i="21" s="1"/>
  <c r="M7" i="20" a="1"/>
  <c r="M7" i="20" s="1"/>
  <c r="O7" i="20" s="1"/>
  <c r="E34" i="21" a="1"/>
  <c r="E34" i="21" s="1"/>
  <c r="E231" i="21" a="1"/>
  <c r="E231" i="21" s="1"/>
  <c r="M3" i="20" a="1"/>
  <c r="M3" i="20" s="1"/>
  <c r="O3" i="20" s="1"/>
  <c r="E185" i="21" a="1"/>
  <c r="E185" i="21" s="1"/>
  <c r="E80" i="21" a="1"/>
  <c r="E80" i="21" s="1"/>
  <c r="E276" i="21" a="1"/>
  <c r="E276" i="21" s="1"/>
  <c r="D276" i="21" s="1"/>
  <c r="E56" i="21" a="1"/>
  <c r="E56" i="21" s="1"/>
  <c r="D56" i="21" s="1"/>
  <c r="E61" i="21" a="1"/>
  <c r="E61" i="21" s="1"/>
  <c r="E24" i="21" a="1"/>
  <c r="E24" i="21" s="1"/>
  <c r="G108" i="21" a="1"/>
  <c r="G108" i="21" s="1"/>
  <c r="G206" i="21" a="1"/>
  <c r="G206" i="21" s="1"/>
  <c r="G209" i="21" a="1"/>
  <c r="G209" i="21" s="1"/>
  <c r="G148" i="21" a="1"/>
  <c r="G148" i="21" s="1"/>
  <c r="G126" i="21" a="1"/>
  <c r="G126" i="21" s="1"/>
  <c r="G223" i="21" a="1"/>
  <c r="G223" i="21" s="1"/>
  <c r="G224" i="21" a="1"/>
  <c r="G224" i="21" s="1"/>
  <c r="G141" i="21" a="1"/>
  <c r="G141" i="21" s="1"/>
  <c r="G240" i="21" a="1"/>
  <c r="G240" i="21" s="1"/>
  <c r="G241" i="21" a="1"/>
  <c r="G241" i="21" s="1"/>
  <c r="G273" i="21" a="1"/>
  <c r="G273" i="21" s="1"/>
  <c r="G12" i="21" a="1"/>
  <c r="G12" i="21" s="1"/>
  <c r="G204" i="21" a="1"/>
  <c r="G204" i="21" s="1"/>
  <c r="G113" i="21" a="1"/>
  <c r="G113" i="21" s="1"/>
  <c r="G220" i="21" a="1"/>
  <c r="G220" i="21" s="1"/>
  <c r="G218" i="21" a="1"/>
  <c r="G218" i="21" s="1"/>
  <c r="G237" i="21" a="1"/>
  <c r="G237" i="21" s="1"/>
  <c r="G45" i="21" a="1"/>
  <c r="G45" i="21" s="1"/>
  <c r="G239" i="21" a="1"/>
  <c r="G239" i="21" s="1"/>
  <c r="G280" i="21" a="1"/>
  <c r="G280" i="21" s="1"/>
  <c r="G236" i="21" a="1"/>
  <c r="G236" i="21" s="1"/>
  <c r="G257" i="21" a="1"/>
  <c r="G257" i="21" s="1"/>
  <c r="G60" i="21" a="1"/>
  <c r="G60" i="21" s="1"/>
  <c r="G260" i="21" a="1"/>
  <c r="G260" i="21" s="1"/>
  <c r="G161" i="21" a="1"/>
  <c r="G161" i="21" s="1"/>
  <c r="G203" i="21" a="1"/>
  <c r="G203" i="21" s="1"/>
  <c r="G18" i="21" a="1"/>
  <c r="G18" i="21" s="1"/>
  <c r="G143" i="21" a="1"/>
  <c r="G143" i="21" s="1"/>
  <c r="G112" i="21" a="1"/>
  <c r="G112" i="21" s="1"/>
  <c r="G171" i="21" a="1"/>
  <c r="G171" i="21" s="1"/>
  <c r="G256" i="21" a="1"/>
  <c r="G256" i="21" s="1"/>
  <c r="G25" i="21" a="1"/>
  <c r="G25" i="21" s="1"/>
  <c r="G19" i="21" a="1"/>
  <c r="G19" i="21" s="1"/>
  <c r="G116" i="21" a="1"/>
  <c r="G116" i="21" s="1"/>
  <c r="G176" i="21" a="1"/>
  <c r="G176" i="21" s="1"/>
  <c r="G76" i="21" a="1"/>
  <c r="G76" i="21" s="1"/>
  <c r="G147" i="21" a="1"/>
  <c r="G147" i="21" s="1"/>
  <c r="G217" i="21" a="1"/>
  <c r="G217" i="21" s="1"/>
  <c r="G296" i="21" a="1"/>
  <c r="G296" i="21" s="1"/>
  <c r="G67" i="21" a="1"/>
  <c r="G67" i="21" s="1"/>
  <c r="G248" i="21" a="1"/>
  <c r="G248" i="21" s="1"/>
  <c r="G186" i="21" a="1"/>
  <c r="G186" i="21" s="1"/>
  <c r="G254" i="21" a="1"/>
  <c r="G254" i="21" s="1"/>
  <c r="G263" i="21" a="1"/>
  <c r="G263" i="21" s="1"/>
  <c r="G52" i="21" a="1"/>
  <c r="G52" i="21" s="1"/>
  <c r="G135" i="21" a="1"/>
  <c r="G135" i="21" s="1"/>
  <c r="G193" i="21" a="1"/>
  <c r="G193" i="21" s="1"/>
  <c r="G283" i="21" a="1"/>
  <c r="G283" i="21" s="1"/>
  <c r="G98" i="21" a="1"/>
  <c r="G98" i="21" s="1"/>
  <c r="G267" i="21" a="1"/>
  <c r="G267" i="21" s="1"/>
  <c r="G131" i="21" a="1"/>
  <c r="G131" i="21" s="1"/>
  <c r="G40" i="21" a="1"/>
  <c r="G40" i="21" s="1"/>
  <c r="G123" i="21" a="1"/>
  <c r="G123" i="21" s="1"/>
  <c r="G181" i="21" a="1"/>
  <c r="G181" i="21" s="1"/>
  <c r="G269" i="21" a="1"/>
  <c r="G269" i="21" s="1"/>
  <c r="G115" i="21" a="1"/>
  <c r="G115" i="21" s="1"/>
  <c r="G86" i="21" a="1"/>
  <c r="G86" i="21" s="1"/>
  <c r="G279" i="21" a="1"/>
  <c r="G279" i="21" s="1"/>
  <c r="G28" i="21" a="1"/>
  <c r="G28" i="21" s="1"/>
  <c r="G111" i="21" a="1"/>
  <c r="G111" i="21" s="1"/>
  <c r="G169" i="21" a="1"/>
  <c r="G169" i="21" s="1"/>
  <c r="G255" i="21" a="1"/>
  <c r="G255" i="21" s="1"/>
  <c r="G130" i="21" a="1"/>
  <c r="G130" i="21" s="1"/>
  <c r="G149" i="21" a="1"/>
  <c r="G149" i="21" s="1"/>
  <c r="G288" i="21" a="1"/>
  <c r="G288" i="21" s="1"/>
  <c r="G4" i="21" a="1"/>
  <c r="G4" i="21" s="1"/>
  <c r="G75" i="21" a="1"/>
  <c r="G75" i="21" s="1"/>
  <c r="G145" i="21" a="1"/>
  <c r="G145" i="21" s="1"/>
  <c r="G210" i="21" a="1"/>
  <c r="G210" i="21" s="1"/>
  <c r="G163" i="21" a="1"/>
  <c r="G163" i="21" s="1"/>
  <c r="G166" i="21" a="1"/>
  <c r="G166" i="21" s="1"/>
  <c r="G259" i="21" a="1"/>
  <c r="G259" i="21" s="1"/>
  <c r="G287" i="21" a="1"/>
  <c r="G287" i="21" s="1"/>
  <c r="G51" i="21" a="1"/>
  <c r="G51" i="21" s="1"/>
  <c r="G133" i="21" a="1"/>
  <c r="G133" i="21" s="1"/>
  <c r="G244" i="21" a="1"/>
  <c r="G244" i="21" s="1"/>
  <c r="G178" i="21" a="1"/>
  <c r="G178" i="21" s="1"/>
  <c r="G290" i="21" a="1"/>
  <c r="G290" i="21" s="1"/>
  <c r="G70" i="21" a="1"/>
  <c r="G70" i="21" s="1"/>
  <c r="G78" i="21" a="1"/>
  <c r="G78" i="21" s="1"/>
  <c r="G196" i="21" a="1"/>
  <c r="G196" i="21" s="1"/>
  <c r="G272" i="21" a="1"/>
  <c r="G272" i="21" s="1"/>
  <c r="G39" i="21" a="1"/>
  <c r="G39" i="21" s="1"/>
  <c r="G121" i="21" a="1"/>
  <c r="G121" i="21" s="1"/>
  <c r="G264" i="21" a="1"/>
  <c r="G264" i="21" s="1"/>
  <c r="G194" i="21" a="1"/>
  <c r="G194" i="21" s="1"/>
  <c r="G278" i="21" a="1"/>
  <c r="G278" i="21" s="1"/>
  <c r="G102" i="21" a="1"/>
  <c r="G102" i="21" s="1"/>
  <c r="G156" i="21" a="1"/>
  <c r="G156" i="21" s="1"/>
  <c r="G184" i="21" a="1"/>
  <c r="G184" i="21" s="1"/>
  <c r="G258" i="21" a="1"/>
  <c r="G258" i="21" s="1"/>
  <c r="G27" i="21" a="1"/>
  <c r="G27" i="21" s="1"/>
  <c r="G109" i="21" a="1"/>
  <c r="G109" i="21" s="1"/>
  <c r="G285" i="21" a="1"/>
  <c r="G285" i="21" s="1"/>
  <c r="G211" i="21" a="1"/>
  <c r="G211" i="21" s="1"/>
  <c r="G266" i="21" a="1"/>
  <c r="G266" i="21" s="1"/>
  <c r="G139" i="21" a="1"/>
  <c r="G139" i="21" s="1"/>
  <c r="G172" i="21" a="1"/>
  <c r="G172" i="21" s="1"/>
  <c r="G219" i="21" a="1"/>
  <c r="G219" i="21" s="1"/>
  <c r="G3" i="21" a="1"/>
  <c r="G3" i="21" s="1"/>
  <c r="G73" i="21" a="1"/>
  <c r="G73" i="21" s="1"/>
  <c r="G265" i="21" a="1"/>
  <c r="G265" i="21" s="1"/>
  <c r="G262" i="21" a="1"/>
  <c r="G262" i="21" s="1"/>
  <c r="G55" i="21" a="1"/>
  <c r="G55" i="21" s="1"/>
  <c r="G261" i="21" a="1"/>
  <c r="G261" i="21" s="1"/>
  <c r="G136" i="21" a="1"/>
  <c r="G136" i="21" s="1"/>
  <c r="G195" i="21" a="1"/>
  <c r="G195" i="21" s="1"/>
  <c r="G284" i="21" a="1"/>
  <c r="G284" i="21" s="1"/>
  <c r="G49" i="21" a="1"/>
  <c r="G49" i="21" s="1"/>
  <c r="G238" i="21" a="1"/>
  <c r="G238" i="21" s="1"/>
  <c r="C3" i="21" a="1"/>
  <c r="C3" i="21" s="1"/>
  <c r="C116" i="21" a="1"/>
  <c r="C116" i="21" s="1"/>
  <c r="C248" i="21" a="1"/>
  <c r="C248" i="21" s="1"/>
  <c r="C146" i="21" a="1"/>
  <c r="C146" i="21" s="1"/>
  <c r="C241" i="21" a="1"/>
  <c r="C241" i="21" s="1"/>
  <c r="C97" i="21" a="1"/>
  <c r="C97" i="21" s="1"/>
  <c r="C197" i="21" a="1"/>
  <c r="C197" i="21" s="1"/>
  <c r="C53" i="21" a="1"/>
  <c r="C53" i="21" s="1"/>
  <c r="C160" i="21" a="1"/>
  <c r="C160" i="21" s="1"/>
  <c r="C139" i="21" a="1"/>
  <c r="C139" i="21" s="1"/>
  <c r="C262" i="21" a="1"/>
  <c r="C262" i="21" s="1"/>
  <c r="C152" i="21" a="1"/>
  <c r="C152" i="21" s="1"/>
  <c r="C278" i="21" a="1"/>
  <c r="C278" i="21" s="1"/>
  <c r="C134" i="21" a="1"/>
  <c r="C134" i="21" s="1"/>
  <c r="C229" i="21" a="1"/>
  <c r="C229" i="21" s="1"/>
  <c r="C85" i="21" a="1"/>
  <c r="C85" i="21" s="1"/>
  <c r="C185" i="21" a="1"/>
  <c r="C185" i="21" s="1"/>
  <c r="C41" i="21" a="1"/>
  <c r="C41" i="21" s="1"/>
  <c r="C148" i="21" a="1"/>
  <c r="C148" i="21" s="1"/>
  <c r="C119" i="21" a="1"/>
  <c r="C119" i="21" s="1"/>
  <c r="C246" i="21" a="1"/>
  <c r="C246" i="21" s="1"/>
  <c r="C189" i="21" a="1"/>
  <c r="C189" i="21" s="1"/>
  <c r="C222" i="21" a="1"/>
  <c r="C222" i="21" s="1"/>
  <c r="C23" i="21" a="1"/>
  <c r="C23" i="21" s="1"/>
  <c r="C112" i="21" a="1"/>
  <c r="C112" i="21" s="1"/>
  <c r="C236" i="21" a="1"/>
  <c r="C236" i="21" s="1"/>
  <c r="C250" i="21" a="1"/>
  <c r="C250" i="21" s="1"/>
  <c r="C44" i="21" a="1"/>
  <c r="C44" i="21" s="1"/>
  <c r="C159" i="21" a="1"/>
  <c r="C159" i="21" s="1"/>
  <c r="C32" i="21" a="1"/>
  <c r="C32" i="21" s="1"/>
  <c r="C254" i="21" a="1"/>
  <c r="C254" i="21" s="1"/>
  <c r="C110" i="21" a="1"/>
  <c r="C110" i="21" s="1"/>
  <c r="C205" i="21" a="1"/>
  <c r="C205" i="21" s="1"/>
  <c r="C61" i="21" a="1"/>
  <c r="C61" i="21" s="1"/>
  <c r="C161" i="21" a="1"/>
  <c r="C161" i="21" s="1"/>
  <c r="C268" i="21" a="1"/>
  <c r="C268" i="21" s="1"/>
  <c r="C124" i="21" a="1"/>
  <c r="C124" i="21" s="1"/>
  <c r="C88" i="21" a="1"/>
  <c r="C88" i="21" s="1"/>
  <c r="C210" i="21" a="1"/>
  <c r="C210" i="21" s="1"/>
  <c r="C153" i="21" a="1"/>
  <c r="C153" i="21" s="1"/>
  <c r="C186" i="21" a="1"/>
  <c r="C186" i="21" s="1"/>
  <c r="C292" i="21" a="1"/>
  <c r="C292" i="21" s="1"/>
  <c r="C80" i="21" a="1"/>
  <c r="C80" i="21" s="1"/>
  <c r="C200" i="21" a="1"/>
  <c r="C200" i="21" s="1"/>
  <c r="C214" i="21" a="1"/>
  <c r="C214" i="21" s="1"/>
  <c r="C19" i="21" a="1"/>
  <c r="C19" i="21" s="1"/>
  <c r="E226" i="21" a="1"/>
  <c r="E226" i="21" s="1"/>
  <c r="E169" i="21" a="1"/>
  <c r="E169" i="21" s="1"/>
  <c r="E91" i="21" a="1"/>
  <c r="E91" i="21" s="1"/>
  <c r="E287" i="21" a="1"/>
  <c r="E287" i="21" s="1"/>
  <c r="D287" i="21" s="1"/>
  <c r="C215" i="21" a="1"/>
  <c r="C215" i="21" s="1"/>
  <c r="C237" i="21" a="1"/>
  <c r="C237" i="21" s="1"/>
  <c r="C207" i="21" a="1"/>
  <c r="C207" i="21" s="1"/>
  <c r="C247" i="21" a="1"/>
  <c r="C247" i="21" s="1"/>
  <c r="C233" i="21" a="1"/>
  <c r="C233" i="21" s="1"/>
  <c r="C169" i="21" a="1"/>
  <c r="C169" i="21" s="1"/>
  <c r="C228" i="21" a="1"/>
  <c r="C228" i="21" s="1"/>
  <c r="E122" i="21" a="1"/>
  <c r="E122" i="21" s="1"/>
  <c r="E300" i="21" a="1"/>
  <c r="E300" i="21" s="1"/>
  <c r="D300" i="21" s="1"/>
  <c r="E87" i="21" a="1"/>
  <c r="E87" i="21" s="1"/>
  <c r="E189" i="21" a="1"/>
  <c r="E189" i="21" s="1"/>
  <c r="E71" i="21" a="1"/>
  <c r="E71" i="21" s="1"/>
  <c r="E28" i="21" a="1"/>
  <c r="E28" i="21" s="1"/>
  <c r="E103" i="21" a="1"/>
  <c r="E103" i="21" s="1"/>
  <c r="E247" i="21" a="1"/>
  <c r="E247" i="21" s="1"/>
  <c r="E269" i="21" a="1"/>
  <c r="E269" i="21" s="1"/>
  <c r="C76" i="21" a="1"/>
  <c r="C76" i="21" s="1"/>
  <c r="C235" i="21" a="1"/>
  <c r="C235" i="21" s="1"/>
  <c r="C22" i="21" a="1"/>
  <c r="C22" i="21" s="1"/>
  <c r="C202" i="21" a="1"/>
  <c r="C202" i="21" s="1"/>
  <c r="C225" i="21" a="1"/>
  <c r="C225" i="21" s="1"/>
  <c r="C16" i="21" a="1"/>
  <c r="C16" i="21" s="1"/>
  <c r="C65" i="21" a="1"/>
  <c r="C65" i="21" s="1"/>
  <c r="C245" i="21" a="1"/>
  <c r="C245" i="21" s="1"/>
  <c r="C181" i="21" a="1"/>
  <c r="C181" i="21" s="1"/>
  <c r="E250" i="21" a="1"/>
  <c r="E250" i="21" s="1"/>
  <c r="E193" i="21" a="1"/>
  <c r="E193" i="21" s="1"/>
  <c r="E194" i="21" a="1"/>
  <c r="E194" i="21" s="1"/>
  <c r="E115" i="21" a="1"/>
  <c r="E115" i="21" s="1"/>
  <c r="E259" i="21" a="1"/>
  <c r="E259" i="21" s="1"/>
  <c r="E251" i="21" a="1"/>
  <c r="E251" i="21" s="1"/>
  <c r="C177" i="21" a="1"/>
  <c r="C177" i="21" s="1"/>
  <c r="C92" i="21" a="1"/>
  <c r="C92" i="21" s="1"/>
  <c r="C251" i="21" a="1"/>
  <c r="C251" i="21" s="1"/>
  <c r="C34" i="21" a="1"/>
  <c r="C34" i="21" s="1"/>
  <c r="C273" i="21" a="1"/>
  <c r="C273" i="21" s="1"/>
  <c r="C238" i="21" a="1"/>
  <c r="C238" i="21" s="1"/>
  <c r="C243" i="21" a="1"/>
  <c r="C243" i="21" s="1"/>
  <c r="C28" i="21" a="1"/>
  <c r="C28" i="21" s="1"/>
  <c r="C283" i="21" a="1"/>
  <c r="C283" i="21" s="1"/>
  <c r="C77" i="21" a="1"/>
  <c r="C77" i="21" s="1"/>
  <c r="C257" i="21" a="1"/>
  <c r="C257" i="21" s="1"/>
  <c r="C193" i="21" a="1"/>
  <c r="C193" i="21" s="1"/>
  <c r="C170" i="21" a="1"/>
  <c r="C170" i="21" s="1"/>
  <c r="C117" i="21" a="1"/>
  <c r="C117" i="21" s="1"/>
  <c r="E93" i="21" a="1"/>
  <c r="E93" i="21" s="1"/>
  <c r="E106" i="21" a="1"/>
  <c r="E106" i="21" s="1"/>
  <c r="E18" i="21" a="1"/>
  <c r="E18" i="21" s="1"/>
  <c r="E195" i="21" a="1"/>
  <c r="E195" i="21" s="1"/>
  <c r="E243" i="21" a="1"/>
  <c r="E243" i="21" s="1"/>
  <c r="E21" i="21" a="1"/>
  <c r="E21" i="21" s="1"/>
  <c r="E22" i="21" a="1"/>
  <c r="E22" i="21" s="1"/>
  <c r="E108" i="21" a="1"/>
  <c r="E108" i="21" s="1"/>
  <c r="E200" i="21" a="1"/>
  <c r="E200" i="21" s="1"/>
  <c r="E60" i="21" a="1"/>
  <c r="E60" i="21" s="1"/>
  <c r="E288" i="21" a="1"/>
  <c r="E288" i="21" s="1"/>
  <c r="C9" i="21" a="1"/>
  <c r="C9" i="21" s="1"/>
  <c r="E268" i="21" a="1"/>
  <c r="E268" i="21" s="1"/>
  <c r="E36" i="21" a="1"/>
  <c r="E36" i="21" s="1"/>
  <c r="E37" i="21" a="1"/>
  <c r="E37" i="21" s="1"/>
  <c r="E126" i="21" a="1"/>
  <c r="E126" i="21" s="1"/>
  <c r="D126" i="21" s="1"/>
  <c r="E227" i="21" a="1"/>
  <c r="E227" i="21" s="1"/>
  <c r="E95" i="21" a="1"/>
  <c r="E95" i="21" s="1"/>
  <c r="E47" i="21" a="1"/>
  <c r="E47" i="21" s="1"/>
  <c r="E118" i="21" a="1"/>
  <c r="E118" i="21" s="1"/>
  <c r="G295" i="21" a="1"/>
  <c r="G295" i="21" s="1"/>
  <c r="E3" i="21" a="1"/>
  <c r="E3" i="21" s="1"/>
  <c r="E52" i="21" a="1"/>
  <c r="E52" i="21" s="1"/>
  <c r="E53" i="21" a="1"/>
  <c r="E53" i="21" s="1"/>
  <c r="E171" i="21" a="1"/>
  <c r="E171" i="21" s="1"/>
  <c r="E255" i="21" a="1"/>
  <c r="E255" i="21" s="1"/>
  <c r="E113" i="21" a="1"/>
  <c r="E113" i="21" s="1"/>
  <c r="E98" i="21" a="1"/>
  <c r="E98" i="21" s="1"/>
  <c r="E94" i="21" a="1"/>
  <c r="E94" i="21" s="1"/>
  <c r="E286" i="21" a="1"/>
  <c r="E286" i="21" s="1"/>
  <c r="E229" i="21" a="1"/>
  <c r="E229" i="21" s="1"/>
  <c r="E230" i="21" a="1"/>
  <c r="E230" i="21" s="1"/>
  <c r="E151" i="21" a="1"/>
  <c r="E151" i="21" s="1"/>
  <c r="E179" i="21" a="1"/>
  <c r="E179" i="21" s="1"/>
  <c r="C231" i="21" a="1"/>
  <c r="C231" i="21" s="1"/>
  <c r="C142" i="21" a="1"/>
  <c r="C142" i="21" s="1"/>
  <c r="C164" i="21" a="1"/>
  <c r="C164" i="21" s="1"/>
  <c r="C95" i="21" a="1"/>
  <c r="C95" i="21" s="1"/>
  <c r="C48" i="21" a="1"/>
  <c r="C48" i="21" s="1"/>
  <c r="C203" i="21" a="1"/>
  <c r="C203" i="21" s="1"/>
  <c r="C138" i="21" a="1"/>
  <c r="C138" i="21" s="1"/>
  <c r="C71" i="21" a="1"/>
  <c r="C71" i="21" s="1"/>
  <c r="C184" i="21" a="1"/>
  <c r="C184" i="21" s="1"/>
  <c r="C113" i="21" a="1"/>
  <c r="C113" i="21" s="1"/>
  <c r="C49" i="21" a="1"/>
  <c r="C49" i="21" s="1"/>
  <c r="C265" i="21" a="1"/>
  <c r="C265" i="21" s="1"/>
  <c r="C206" i="21" a="1"/>
  <c r="C206" i="21" s="1"/>
  <c r="C45" i="21" a="1"/>
  <c r="C45" i="21" s="1"/>
  <c r="C68" i="21" a="1"/>
  <c r="C68" i="21" s="1"/>
  <c r="E54" i="21" a="1"/>
  <c r="E54" i="21" s="1"/>
  <c r="E292" i="21" a="1"/>
  <c r="E292" i="21" s="1"/>
  <c r="E48" i="21" a="1"/>
  <c r="E48" i="21" s="1"/>
  <c r="E293" i="21" a="1"/>
  <c r="E293" i="21" s="1"/>
  <c r="E51" i="21" a="1"/>
  <c r="E51" i="21" s="1"/>
  <c r="E69" i="21" a="1"/>
  <c r="E69" i="21" s="1"/>
  <c r="E70" i="21" a="1"/>
  <c r="E70" i="21" s="1"/>
  <c r="E249" i="21" a="1"/>
  <c r="E249" i="21" s="1"/>
  <c r="E281" i="21" a="1"/>
  <c r="E281" i="21" s="1"/>
  <c r="D281" i="21" s="1"/>
  <c r="E132" i="21" a="1"/>
  <c r="E132" i="21" s="1"/>
  <c r="E183" i="21" a="1"/>
  <c r="E183" i="21" s="1"/>
  <c r="F12" i="21" a="1"/>
  <c r="F12" i="21" s="1"/>
  <c r="F92" i="21" a="1"/>
  <c r="F92" i="21" s="1"/>
  <c r="G188" i="21" a="1"/>
  <c r="G188" i="21" s="1"/>
  <c r="C5" i="21" a="1"/>
  <c r="C5" i="21" s="1"/>
  <c r="H70" i="21" a="1"/>
  <c r="H70" i="21" s="1"/>
  <c r="F226" i="21" a="1"/>
  <c r="F226" i="21" s="1"/>
  <c r="F246" i="21" a="1"/>
  <c r="F246" i="21" s="1"/>
  <c r="F299" i="21" a="1"/>
  <c r="F299" i="21" s="1"/>
  <c r="F136" i="21" a="1"/>
  <c r="F136" i="21" s="1"/>
  <c r="F298" i="21" a="1"/>
  <c r="F298" i="21" s="1"/>
  <c r="F137" i="21" a="1"/>
  <c r="F137" i="21" s="1"/>
  <c r="F297" i="21" a="1"/>
  <c r="F297" i="21" s="1"/>
  <c r="F138" i="21" a="1"/>
  <c r="F138" i="21" s="1"/>
  <c r="F269" i="21" a="1"/>
  <c r="F269" i="21" s="1"/>
  <c r="F120" i="21" a="1"/>
  <c r="F120" i="21" s="1"/>
  <c r="F280" i="21" a="1"/>
  <c r="F280" i="21" s="1"/>
  <c r="F23" i="21" a="1"/>
  <c r="F23" i="21" s="1"/>
  <c r="F103" i="21" a="1"/>
  <c r="F103" i="21" s="1"/>
  <c r="H45" i="21" a="1"/>
  <c r="H45" i="21" s="1"/>
  <c r="H85" i="21" a="1"/>
  <c r="H85" i="21" s="1"/>
  <c r="F177" i="21" a="1"/>
  <c r="F177" i="21" s="1"/>
  <c r="F228" i="21" a="1"/>
  <c r="F228" i="21" s="1"/>
  <c r="F84" i="21" a="1"/>
  <c r="F84" i="21" s="1"/>
  <c r="H41" i="21" a="1"/>
  <c r="H41" i="21" s="1"/>
  <c r="H225" i="21" a="1"/>
  <c r="H225" i="21" s="1"/>
  <c r="H62" i="21" a="1"/>
  <c r="H62" i="21" s="1"/>
  <c r="H100" i="21" a="1"/>
  <c r="H100" i="21" s="1"/>
  <c r="H184" i="21" a="1"/>
  <c r="H184" i="21" s="1"/>
  <c r="H64" i="21" a="1"/>
  <c r="H64" i="21" s="1"/>
  <c r="H197" i="21" a="1"/>
  <c r="H197" i="21" s="1"/>
  <c r="H270" i="21" a="1"/>
  <c r="H270" i="21" s="1"/>
  <c r="H187" i="21" a="1"/>
  <c r="H187" i="21" s="1"/>
  <c r="H176" i="21" a="1"/>
  <c r="H176" i="21" s="1"/>
  <c r="H78" i="21" a="1"/>
  <c r="H78" i="21" s="1"/>
  <c r="H285" i="21" a="1"/>
  <c r="H285" i="21" s="1"/>
  <c r="H32" i="21" a="1"/>
  <c r="H32" i="21" s="1"/>
  <c r="H252" i="21" a="1"/>
  <c r="H252" i="21" s="1"/>
  <c r="B42" i="21" a="1"/>
  <c r="B42" i="21" s="1"/>
  <c r="A42" i="21" s="1"/>
  <c r="B160" i="21" a="1"/>
  <c r="B160" i="21" s="1"/>
  <c r="A160" i="21" s="1"/>
  <c r="B16" i="21" a="1"/>
  <c r="B16" i="21" s="1"/>
  <c r="A16" i="21" s="1"/>
  <c r="B131" i="21" a="1"/>
  <c r="B131" i="21" s="1"/>
  <c r="A131" i="21" s="1"/>
  <c r="B252" i="21" a="1"/>
  <c r="B252" i="21" s="1"/>
  <c r="A252" i="21" s="1"/>
  <c r="B69" i="21" a="1"/>
  <c r="B69" i="21" s="1"/>
  <c r="A69" i="21" s="1"/>
  <c r="B174" i="21" a="1"/>
  <c r="B174" i="21" s="1"/>
  <c r="A174" i="21" s="1"/>
  <c r="B292" i="21" a="1"/>
  <c r="B292" i="21" s="1"/>
  <c r="A292" i="21" s="1"/>
  <c r="B148" i="21" a="1"/>
  <c r="B148" i="21" s="1"/>
  <c r="A148" i="21" s="1"/>
  <c r="B4" i="21" a="1"/>
  <c r="B4" i="21" s="1"/>
  <c r="A4" i="21" s="1"/>
  <c r="B117" i="21" a="1"/>
  <c r="B117" i="21" s="1"/>
  <c r="A117" i="21" s="1"/>
  <c r="B237" i="21" a="1"/>
  <c r="B237" i="21" s="1"/>
  <c r="A237" i="21" s="1"/>
  <c r="B55" i="21" a="1"/>
  <c r="B55" i="21" s="1"/>
  <c r="A55" i="21" s="1"/>
  <c r="B280" i="21" a="1"/>
  <c r="B280" i="21" s="1"/>
  <c r="A280" i="21" s="1"/>
  <c r="B136" i="21" a="1"/>
  <c r="B136" i="21" s="1"/>
  <c r="A136" i="21" s="1"/>
  <c r="B289" i="21" a="1"/>
  <c r="B289" i="21" s="1"/>
  <c r="A289" i="21" s="1"/>
  <c r="B103" i="21" a="1"/>
  <c r="B103" i="21" s="1"/>
  <c r="A103" i="21" s="1"/>
  <c r="B219" i="21" a="1"/>
  <c r="B219" i="21" s="1"/>
  <c r="A219" i="21" s="1"/>
  <c r="B39" i="21" a="1"/>
  <c r="B39" i="21" s="1"/>
  <c r="A39" i="21" s="1"/>
  <c r="B294" i="21" a="1"/>
  <c r="B294" i="21" s="1"/>
  <c r="A294" i="21" s="1"/>
  <c r="B150" i="21" a="1"/>
  <c r="B150" i="21" s="1"/>
  <c r="A150" i="21" s="1"/>
  <c r="B268" i="21" a="1"/>
  <c r="B268" i="21" s="1"/>
  <c r="A268" i="21" s="1"/>
  <c r="B124" i="21" a="1"/>
  <c r="B124" i="21" s="1"/>
  <c r="A124" i="21" s="1"/>
  <c r="B274" i="21" a="1"/>
  <c r="B274" i="21" s="1"/>
  <c r="A274" i="21" s="1"/>
  <c r="B87" i="21" a="1"/>
  <c r="B87" i="21" s="1"/>
  <c r="A87" i="21" s="1"/>
  <c r="B204" i="21" a="1"/>
  <c r="B204" i="21" s="1"/>
  <c r="A204" i="21" s="1"/>
  <c r="B26" i="21" a="1"/>
  <c r="B26" i="21" s="1"/>
  <c r="A26" i="21" s="1"/>
  <c r="B114" i="21" a="1"/>
  <c r="B114" i="21" s="1"/>
  <c r="A114" i="21" s="1"/>
  <c r="B232" i="21" a="1"/>
  <c r="B232" i="21" s="1"/>
  <c r="A232" i="21" s="1"/>
  <c r="B88" i="21" a="1"/>
  <c r="B88" i="21" s="1"/>
  <c r="A88" i="21" s="1"/>
  <c r="B226" i="21" a="1"/>
  <c r="B226" i="21" s="1"/>
  <c r="A226" i="21" s="1"/>
  <c r="B45" i="21" a="1"/>
  <c r="B45" i="21" s="1"/>
  <c r="A45" i="21" s="1"/>
  <c r="B156" i="21" a="1"/>
  <c r="B156" i="21" s="1"/>
  <c r="A156" i="21" s="1"/>
  <c r="B90" i="21" a="1"/>
  <c r="B90" i="21" s="1"/>
  <c r="A90" i="21" s="1"/>
  <c r="B208" i="21" a="1"/>
  <c r="B208" i="21" s="1"/>
  <c r="A208" i="21" s="1"/>
  <c r="B64" i="21" a="1"/>
  <c r="B64" i="21" s="1"/>
  <c r="A64" i="21" s="1"/>
  <c r="B193" i="21" a="1"/>
  <c r="B193" i="21" s="1"/>
  <c r="A193" i="21" s="1"/>
  <c r="B18" i="21" a="1"/>
  <c r="B18" i="21" s="1"/>
  <c r="A18" i="21" s="1"/>
  <c r="B127" i="21" a="1"/>
  <c r="B127" i="21" s="1"/>
  <c r="A127" i="21" s="1"/>
  <c r="B196" i="21" a="1"/>
  <c r="B196" i="21" s="1"/>
  <c r="A196" i="21" s="1"/>
  <c r="B52" i="21" a="1"/>
  <c r="B52" i="21" s="1"/>
  <c r="A52" i="21" s="1"/>
  <c r="B178" i="21" a="1"/>
  <c r="B178" i="21" s="1"/>
  <c r="A178" i="21" s="1"/>
  <c r="B5" i="21" a="1"/>
  <c r="B5" i="21" s="1"/>
  <c r="A5" i="21" s="1"/>
  <c r="B111" i="21" a="1"/>
  <c r="B111" i="21" s="1"/>
  <c r="A111" i="21" s="1"/>
  <c r="D30" i="20"/>
  <c r="C127" i="21" a="1"/>
  <c r="C127" i="21" s="1"/>
  <c r="C176" i="21" a="1"/>
  <c r="C176" i="21" s="1"/>
  <c r="C144" i="21" a="1"/>
  <c r="C144" i="21" s="1"/>
  <c r="C42" i="21" a="1"/>
  <c r="C42" i="21" s="1"/>
  <c r="H40" i="21" a="1"/>
  <c r="H40" i="21" s="1"/>
  <c r="B97" i="21" a="1"/>
  <c r="B97" i="21" s="1"/>
  <c r="A97" i="21" s="1"/>
  <c r="B247" i="21" a="1"/>
  <c r="B247" i="21" s="1"/>
  <c r="A247" i="21" s="1"/>
  <c r="C199" i="21" a="1"/>
  <c r="C199" i="21" s="1"/>
  <c r="C102" i="21" a="1"/>
  <c r="C102" i="21" s="1"/>
  <c r="C51" i="21" a="1"/>
  <c r="C51" i="21" s="1"/>
  <c r="C151" i="21" a="1"/>
  <c r="C151" i="21" s="1"/>
  <c r="B285" i="21" a="1"/>
  <c r="B285" i="21" s="1"/>
  <c r="A285" i="21" s="1"/>
  <c r="F250" i="21" a="1"/>
  <c r="F250" i="21" s="1"/>
  <c r="F270" i="21" a="1"/>
  <c r="F270" i="21" s="1"/>
  <c r="F16" i="21" a="1"/>
  <c r="F16" i="21" s="1"/>
  <c r="F160" i="21" a="1"/>
  <c r="F160" i="21" s="1"/>
  <c r="F17" i="21" a="1"/>
  <c r="F17" i="21" s="1"/>
  <c r="D17" i="21" s="1"/>
  <c r="F161" i="21" a="1"/>
  <c r="F161" i="21" s="1"/>
  <c r="F18" i="21" a="1"/>
  <c r="F18" i="21" s="1"/>
  <c r="F162" i="21" a="1"/>
  <c r="F162" i="21" s="1"/>
  <c r="F260" i="21" a="1"/>
  <c r="F260" i="21" s="1"/>
  <c r="F87" i="21" a="1"/>
  <c r="F87" i="21" s="1"/>
  <c r="F215" i="21" a="1"/>
  <c r="F215" i="21" s="1"/>
  <c r="F37" i="21" a="1"/>
  <c r="F37" i="21" s="1"/>
  <c r="F223" i="21" a="1"/>
  <c r="F223" i="21" s="1"/>
  <c r="F80" i="21" a="1"/>
  <c r="F80" i="21" s="1"/>
  <c r="H290" i="21" a="1"/>
  <c r="H290" i="21" s="1"/>
  <c r="F106" i="21" a="1"/>
  <c r="F106" i="21" s="1"/>
  <c r="F225" i="21" a="1"/>
  <c r="F225" i="21" s="1"/>
  <c r="D225" i="21" s="1"/>
  <c r="F248" i="21" a="1"/>
  <c r="F248" i="21" s="1"/>
  <c r="F202" i="21" a="1"/>
  <c r="F202" i="21" s="1"/>
  <c r="H29" i="21" a="1"/>
  <c r="H29" i="21" s="1"/>
  <c r="H273" i="21" a="1"/>
  <c r="H273" i="21" s="1"/>
  <c r="H114" i="21" a="1"/>
  <c r="H114" i="21" s="1"/>
  <c r="H230" i="21" a="1"/>
  <c r="H230" i="21" s="1"/>
  <c r="H250" i="21" a="1"/>
  <c r="H250" i="21" s="1"/>
  <c r="H104" i="21" a="1"/>
  <c r="H104" i="21" s="1"/>
  <c r="H245" i="21" a="1"/>
  <c r="H245" i="21" s="1"/>
  <c r="H7" i="21" a="1"/>
  <c r="H7" i="21" s="1"/>
  <c r="H235" i="21" a="1"/>
  <c r="H235" i="21" s="1"/>
  <c r="H106" i="21" a="1"/>
  <c r="H106" i="21" s="1"/>
  <c r="H144" i="21" a="1"/>
  <c r="H144" i="21" s="1"/>
  <c r="H196" i="21" a="1"/>
  <c r="H196" i="21" s="1"/>
  <c r="H191" i="21" a="1"/>
  <c r="H191" i="21" s="1"/>
  <c r="F264" i="21" a="1"/>
  <c r="F264" i="21" s="1"/>
  <c r="H178" i="21" a="1"/>
  <c r="H178" i="21" s="1"/>
  <c r="C6" i="21" a="1"/>
  <c r="C6" i="21" s="1"/>
  <c r="C111" i="21" a="1"/>
  <c r="C111" i="21" s="1"/>
  <c r="C57" i="21" a="1"/>
  <c r="C57" i="21" s="1"/>
  <c r="C17" i="21" a="1"/>
  <c r="C17" i="21" s="1"/>
  <c r="C297" i="21" a="1"/>
  <c r="C297" i="21" s="1"/>
  <c r="B161" i="21" a="1"/>
  <c r="B161" i="21" s="1"/>
  <c r="A161" i="21" s="1"/>
  <c r="F284" i="21" a="1"/>
  <c r="F284" i="21" s="1"/>
  <c r="F262" i="21" a="1"/>
  <c r="F262" i="21" s="1"/>
  <c r="F282" i="21" a="1"/>
  <c r="F282" i="21" s="1"/>
  <c r="F28" i="21" a="1"/>
  <c r="F28" i="21" s="1"/>
  <c r="F172" i="21" a="1"/>
  <c r="F172" i="21" s="1"/>
  <c r="F29" i="21" a="1"/>
  <c r="F29" i="21" s="1"/>
  <c r="F173" i="21" a="1"/>
  <c r="F173" i="21" s="1"/>
  <c r="F30" i="21" a="1"/>
  <c r="F30" i="21" s="1"/>
  <c r="F174" i="21" a="1"/>
  <c r="F174" i="21" s="1"/>
  <c r="F277" i="21" a="1"/>
  <c r="F277" i="21" s="1"/>
  <c r="D277" i="21" s="1"/>
  <c r="F72" i="21" a="1"/>
  <c r="F72" i="21" s="1"/>
  <c r="F200" i="21" a="1"/>
  <c r="F200" i="21" s="1"/>
  <c r="F22" i="21" a="1"/>
  <c r="F22" i="21" s="1"/>
  <c r="F205" i="21" a="1"/>
  <c r="F205" i="21" s="1"/>
  <c r="D205" i="21" s="1"/>
  <c r="F49" i="21" a="1"/>
  <c r="F49" i="21" s="1"/>
  <c r="H262" i="21" a="1"/>
  <c r="H262" i="21" s="1"/>
  <c r="H157" i="21" a="1"/>
  <c r="H157" i="21" s="1"/>
  <c r="F244" i="21" a="1"/>
  <c r="F244" i="21" s="1"/>
  <c r="F278" i="21" a="1"/>
  <c r="F278" i="21" s="1"/>
  <c r="F217" i="21" a="1"/>
  <c r="F217" i="21" s="1"/>
  <c r="H42" i="21" a="1"/>
  <c r="H42" i="21" s="1"/>
  <c r="H288" i="21" a="1"/>
  <c r="H288" i="21" s="1"/>
  <c r="H128" i="21" a="1"/>
  <c r="H128" i="21" s="1"/>
  <c r="H299" i="21" a="1"/>
  <c r="H299" i="21" s="1"/>
  <c r="H265" i="21" a="1"/>
  <c r="H265" i="21" s="1"/>
  <c r="H117" i="21" a="1"/>
  <c r="H117" i="21" s="1"/>
  <c r="H257" i="21" a="1"/>
  <c r="H257" i="21" s="1"/>
  <c r="H19" i="21" a="1"/>
  <c r="H19" i="21" s="1"/>
  <c r="H247" i="21" a="1"/>
  <c r="H247" i="21" s="1"/>
  <c r="H83" i="21" a="1"/>
  <c r="H83" i="21" s="1"/>
  <c r="H53" i="21" a="1"/>
  <c r="H53" i="21" s="1"/>
  <c r="H172" i="21" a="1"/>
  <c r="H172" i="21" s="1"/>
  <c r="H138" i="21" a="1"/>
  <c r="H138" i="21" s="1"/>
  <c r="F144" i="21" a="1"/>
  <c r="F144" i="21" s="1"/>
  <c r="D144" i="21" s="1"/>
  <c r="H287" i="21" a="1"/>
  <c r="H287" i="21" s="1"/>
  <c r="C27" i="21" a="1"/>
  <c r="C27" i="21" s="1"/>
  <c r="C291" i="21" a="1"/>
  <c r="C291" i="21" s="1"/>
  <c r="C13" i="21" a="1"/>
  <c r="C13" i="21" s="1"/>
  <c r="B40" i="21" a="1"/>
  <c r="B40" i="21" s="1"/>
  <c r="A40" i="21" s="1"/>
  <c r="F154" i="21" a="1"/>
  <c r="F154" i="21" s="1"/>
  <c r="F83" i="21" a="1"/>
  <c r="F83" i="21" s="1"/>
  <c r="F48" i="21" a="1"/>
  <c r="F48" i="21" s="1"/>
  <c r="F11" i="21" a="1"/>
  <c r="F11" i="21" s="1"/>
  <c r="F128" i="21" a="1"/>
  <c r="F128" i="21" s="1"/>
  <c r="F74" i="21" a="1"/>
  <c r="F74" i="21" s="1"/>
  <c r="F34" i="21" a="1"/>
  <c r="F34" i="21" s="1"/>
  <c r="F291" i="21" a="1"/>
  <c r="F291" i="21" s="1"/>
  <c r="F1" i="20"/>
  <c r="F241" i="21" a="1"/>
  <c r="F241" i="21" s="1"/>
  <c r="F91" i="21" a="1"/>
  <c r="F91" i="21" s="1"/>
  <c r="F45" i="21" a="1"/>
  <c r="F45" i="21" s="1"/>
  <c r="F292" i="21" a="1"/>
  <c r="F292" i="21" s="1"/>
  <c r="F219" i="21" a="1"/>
  <c r="F219" i="21" s="1"/>
  <c r="F82" i="21" a="1"/>
  <c r="F82" i="21" s="1"/>
  <c r="F35" i="21" a="1"/>
  <c r="F35" i="21" s="1"/>
  <c r="F295" i="21" a="1"/>
  <c r="F295" i="21" s="1"/>
  <c r="F204" i="21" a="1"/>
  <c r="F204" i="21" s="1"/>
  <c r="F81" i="21" a="1"/>
  <c r="F81" i="21" s="1"/>
  <c r="F33" i="21" a="1"/>
  <c r="F33" i="21" s="1"/>
  <c r="F296" i="21" a="1"/>
  <c r="F296" i="21" s="1"/>
  <c r="F141" i="21" a="1"/>
  <c r="F141" i="21" s="1"/>
  <c r="F75" i="21" a="1"/>
  <c r="F75" i="21" s="1"/>
  <c r="F32" i="21" a="1"/>
  <c r="F32" i="21" s="1"/>
  <c r="F140" i="21" a="1"/>
  <c r="F140" i="21" s="1"/>
  <c r="F73" i="21" a="1"/>
  <c r="F73" i="21" s="1"/>
  <c r="F27" i="21" a="1"/>
  <c r="F27" i="21" s="1"/>
  <c r="F139" i="21" a="1"/>
  <c r="F139" i="21" s="1"/>
  <c r="D139" i="21" s="1"/>
  <c r="F63" i="21" a="1"/>
  <c r="F63" i="21" s="1"/>
  <c r="F26" i="21" a="1"/>
  <c r="F26" i="21" s="1"/>
  <c r="F121" i="21" a="1"/>
  <c r="F121" i="21" s="1"/>
  <c r="F62" i="21" a="1"/>
  <c r="F62" i="21" s="1"/>
  <c r="F20" i="21" a="1"/>
  <c r="F20" i="21" s="1"/>
  <c r="F110" i="21" a="1"/>
  <c r="F110" i="21" s="1"/>
  <c r="F10" i="21" a="1"/>
  <c r="F10" i="21" s="1"/>
  <c r="F111" i="21" a="1"/>
  <c r="F111" i="21" s="1"/>
  <c r="F289" i="21" a="1"/>
  <c r="F289" i="21" s="1"/>
  <c r="F108" i="21" a="1"/>
  <c r="F108" i="21" s="1"/>
  <c r="F290" i="21" a="1"/>
  <c r="F290" i="21" s="1"/>
  <c r="F97" i="21" a="1"/>
  <c r="F97" i="21" s="1"/>
  <c r="F93" i="21" a="1"/>
  <c r="F93" i="21" s="1"/>
  <c r="F60" i="21" a="1"/>
  <c r="F60" i="21" s="1"/>
  <c r="F59" i="21" a="1"/>
  <c r="F59" i="21" s="1"/>
  <c r="F58" i="21" a="1"/>
  <c r="F58" i="21" s="1"/>
  <c r="F47" i="21" a="1"/>
  <c r="F47" i="21" s="1"/>
  <c r="F50" i="21" a="1"/>
  <c r="F50" i="21" s="1"/>
  <c r="F19" i="21" a="1"/>
  <c r="F19" i="21" s="1"/>
  <c r="D19" i="21" s="1"/>
  <c r="F15" i="21" a="1"/>
  <c r="F15" i="21" s="1"/>
  <c r="F288" i="21" a="1"/>
  <c r="F288" i="21" s="1"/>
  <c r="F169" i="21" a="1"/>
  <c r="F169" i="21" s="1"/>
  <c r="F147" i="21" a="1"/>
  <c r="F147" i="21" s="1"/>
  <c r="F21" i="21" a="1"/>
  <c r="F21" i="21" s="1"/>
  <c r="F146" i="21" a="1"/>
  <c r="F146" i="21" s="1"/>
  <c r="F192" i="21" a="1"/>
  <c r="F192" i="21" s="1"/>
  <c r="F294" i="21" a="1"/>
  <c r="F294" i="21" s="1"/>
  <c r="F61" i="21" a="1"/>
  <c r="F61" i="21" s="1"/>
  <c r="F265" i="21" a="1"/>
  <c r="F265" i="21" s="1"/>
  <c r="M13" i="20" a="1"/>
  <c r="M13" i="20" s="1"/>
  <c r="N13" i="20" s="1"/>
  <c r="F181" i="21" a="1"/>
  <c r="F181" i="21" s="1"/>
  <c r="F38" i="21" a="1"/>
  <c r="F38" i="21" s="1"/>
  <c r="F231" i="21" a="1"/>
  <c r="F231" i="21" s="1"/>
  <c r="F95" i="21" a="1"/>
  <c r="F95" i="21" s="1"/>
  <c r="M11" i="20" a="1"/>
  <c r="M11" i="20" s="1"/>
  <c r="N11" i="20" s="1"/>
  <c r="E119" i="63" s="1"/>
  <c r="F188" i="21" a="1"/>
  <c r="F188" i="21" s="1"/>
  <c r="F99" i="21" a="1"/>
  <c r="F99" i="21" s="1"/>
  <c r="F132" i="21" a="1"/>
  <c r="F132" i="21" s="1"/>
  <c r="F193" i="21" a="1"/>
  <c r="F193" i="21" s="1"/>
  <c r="F191" i="21" a="1"/>
  <c r="F191" i="21" s="1"/>
  <c r="F171" i="21" a="1"/>
  <c r="F171" i="21" s="1"/>
  <c r="F131" i="21" a="1"/>
  <c r="F131" i="21" s="1"/>
  <c r="F142" i="21" a="1"/>
  <c r="F142" i="21" s="1"/>
  <c r="F70" i="21" a="1"/>
  <c r="F70" i="21" s="1"/>
  <c r="F279" i="21" a="1"/>
  <c r="F279" i="21" s="1"/>
  <c r="F119" i="21" a="1"/>
  <c r="F119" i="21" s="1"/>
  <c r="F156" i="21" a="1"/>
  <c r="F156" i="21" s="1"/>
  <c r="F122" i="21" a="1"/>
  <c r="F122" i="21" s="1"/>
  <c r="F14" i="21" a="1"/>
  <c r="F14" i="21" s="1"/>
  <c r="D14" i="21" s="1"/>
  <c r="F159" i="21" a="1"/>
  <c r="F159" i="21" s="1"/>
  <c r="F170" i="21" a="1"/>
  <c r="F170" i="21" s="1"/>
  <c r="F51" i="21" a="1"/>
  <c r="F51" i="21" s="1"/>
  <c r="F247" i="21" a="1"/>
  <c r="F247" i="21" s="1"/>
  <c r="F178" i="21" a="1"/>
  <c r="F178" i="21" s="1"/>
  <c r="D178" i="21" s="1"/>
  <c r="F176" i="21" a="1"/>
  <c r="F176" i="21" s="1"/>
  <c r="F189" i="21" a="1"/>
  <c r="F189" i="21" s="1"/>
  <c r="F157" i="21" a="1"/>
  <c r="F157" i="21" s="1"/>
  <c r="F85" i="21" a="1"/>
  <c r="F85" i="21" s="1"/>
  <c r="F115" i="21" a="1"/>
  <c r="F115" i="21" s="1"/>
  <c r="F68" i="21" a="1"/>
  <c r="F68" i="21" s="1"/>
  <c r="F237" i="21" a="1"/>
  <c r="F237" i="21" s="1"/>
  <c r="F213" i="21" a="1"/>
  <c r="F213" i="21" s="1"/>
  <c r="F212" i="21" a="1"/>
  <c r="F212" i="21" s="1"/>
  <c r="F272" i="21" a="1"/>
  <c r="F272" i="21" s="1"/>
  <c r="F143" i="21" a="1"/>
  <c r="F143" i="21" s="1"/>
  <c r="F293" i="21" a="1"/>
  <c r="F293" i="21" s="1"/>
  <c r="F190" i="21" a="1"/>
  <c r="F190" i="21" s="1"/>
  <c r="D190" i="21" s="1"/>
  <c r="F118" i="21" a="1"/>
  <c r="F118" i="21" s="1"/>
  <c r="C276" i="21" a="1"/>
  <c r="C276" i="21" s="1"/>
  <c r="C289" i="21" a="1"/>
  <c r="C289" i="21" s="1"/>
  <c r="C33" i="21" a="1"/>
  <c r="C33" i="21" s="1"/>
  <c r="C30" i="21" a="1"/>
  <c r="C30" i="21" s="1"/>
  <c r="B184" i="21" a="1"/>
  <c r="B184" i="21" s="1"/>
  <c r="A184" i="21" s="1"/>
  <c r="C70" i="21" a="1"/>
  <c r="C70" i="21" s="1"/>
  <c r="C260" i="21" a="1"/>
  <c r="C260" i="21" s="1"/>
  <c r="C167" i="21" a="1"/>
  <c r="C167" i="21" s="1"/>
  <c r="C87" i="21" a="1"/>
  <c r="C87" i="21" s="1"/>
  <c r="C90" i="21" a="1"/>
  <c r="C90" i="21" s="1"/>
  <c r="B66" i="21" a="1"/>
  <c r="B66" i="21" s="1"/>
  <c r="A66" i="21" s="1"/>
  <c r="C29" i="21" a="1"/>
  <c r="C29" i="21" s="1"/>
  <c r="C187" i="21" a="1"/>
  <c r="C187" i="21" s="1"/>
  <c r="C163" i="21" a="1"/>
  <c r="C163" i="21" s="1"/>
  <c r="C294" i="21" a="1"/>
  <c r="C294" i="21" s="1"/>
  <c r="C120" i="21" a="1"/>
  <c r="C120" i="21" s="1"/>
  <c r="C300" i="21" a="1"/>
  <c r="C300" i="21" s="1"/>
  <c r="B210" i="21" a="1"/>
  <c r="B210" i="21" s="1"/>
  <c r="A210" i="21" s="1"/>
  <c r="C26" i="21" a="1"/>
  <c r="C26" i="21" s="1"/>
  <c r="C168" i="21" a="1"/>
  <c r="C168" i="21" s="1"/>
  <c r="C99" i="21" a="1"/>
  <c r="C99" i="21" s="1"/>
  <c r="C18" i="21" a="1"/>
  <c r="C18" i="21" s="1"/>
  <c r="C179" i="21" a="1"/>
  <c r="C179" i="21" s="1"/>
  <c r="B199" i="21" a="1"/>
  <c r="B199" i="21" s="1"/>
  <c r="A199" i="21" s="1"/>
  <c r="C290" i="21" a="1"/>
  <c r="C290" i="21" s="1"/>
  <c r="C54" i="21" a="1"/>
  <c r="C54" i="21" s="1"/>
  <c r="C20" i="21" a="1"/>
  <c r="C20" i="21" s="1"/>
  <c r="F145" i="21" a="1"/>
  <c r="F145" i="21" s="1"/>
  <c r="D70" i="20"/>
  <c r="C84" i="21" a="1"/>
  <c r="C84" i="21" s="1"/>
  <c r="C38" i="21" a="1"/>
  <c r="C38" i="21" s="1"/>
  <c r="C37" i="21" a="1"/>
  <c r="C37" i="21" s="1"/>
  <c r="C14" i="21" a="1"/>
  <c r="C14" i="21" s="1"/>
  <c r="C132" i="21" a="1"/>
  <c r="C132" i="21" s="1"/>
  <c r="C46" i="21" a="1"/>
  <c r="C46" i="21" s="1"/>
  <c r="C55" i="21" a="1"/>
  <c r="C55" i="21" s="1"/>
  <c r="C79" i="21" a="1"/>
  <c r="C79" i="21" s="1"/>
  <c r="C94" i="21" a="1"/>
  <c r="C94" i="21" s="1"/>
  <c r="C100" i="21" a="1"/>
  <c r="C100" i="21" s="1"/>
  <c r="C63" i="21" a="1"/>
  <c r="C63" i="21" s="1"/>
  <c r="C72" i="21" a="1"/>
  <c r="C72" i="21" s="1"/>
  <c r="C131" i="21" a="1"/>
  <c r="C131" i="21" s="1"/>
  <c r="C15" i="21" a="1"/>
  <c r="C15" i="21" s="1"/>
  <c r="C82" i="21" a="1"/>
  <c r="C82" i="21" s="1"/>
  <c r="C105" i="21" a="1"/>
  <c r="C105" i="21" s="1"/>
  <c r="C103" i="21" a="1"/>
  <c r="C103" i="21" s="1"/>
  <c r="C60" i="21" a="1"/>
  <c r="C60" i="21" s="1"/>
  <c r="C115" i="21" a="1"/>
  <c r="C115" i="21" s="1"/>
  <c r="C36" i="21" a="1"/>
  <c r="C36" i="21" s="1"/>
  <c r="C75" i="21" a="1"/>
  <c r="C75" i="21" s="1"/>
  <c r="C67" i="21" a="1"/>
  <c r="C67" i="21" s="1"/>
  <c r="C108" i="21" a="1"/>
  <c r="C108" i="21" s="1"/>
  <c r="C58" i="21" a="1"/>
  <c r="C58" i="21" s="1"/>
  <c r="C78" i="21" a="1"/>
  <c r="C78" i="21" s="1"/>
  <c r="C298" i="21" a="1"/>
  <c r="C298" i="21" s="1"/>
  <c r="C224" i="21" a="1"/>
  <c r="C224" i="21" s="1"/>
  <c r="C24" i="21" a="1"/>
  <c r="C24" i="21" s="1"/>
  <c r="C12" i="21" a="1"/>
  <c r="C12" i="21" s="1"/>
  <c r="C52" i="21" a="1"/>
  <c r="C52" i="21" s="1"/>
  <c r="C25" i="21" a="1"/>
  <c r="C25" i="21" s="1"/>
  <c r="C143" i="21" a="1"/>
  <c r="C143" i="21" s="1"/>
  <c r="H60" i="21" a="1"/>
  <c r="H60" i="21" s="1"/>
  <c r="H241" i="21" a="1"/>
  <c r="H241" i="21" s="1"/>
  <c r="H190" i="21" a="1"/>
  <c r="H190" i="21" s="1"/>
  <c r="H26" i="21" a="1"/>
  <c r="H26" i="21" s="1"/>
  <c r="H52" i="21" a="1"/>
  <c r="H52" i="21" s="1"/>
  <c r="H54" i="21" a="1"/>
  <c r="H54" i="21" s="1"/>
  <c r="H146" i="21" a="1"/>
  <c r="H146" i="21" s="1"/>
  <c r="H254" i="21" a="1"/>
  <c r="H254" i="21" s="1"/>
  <c r="H164" i="21" a="1"/>
  <c r="H164" i="21" s="1"/>
  <c r="H13" i="21" a="1"/>
  <c r="H13" i="21" s="1"/>
  <c r="H149" i="21" a="1"/>
  <c r="H149" i="21" s="1"/>
  <c r="H271" i="21" a="1"/>
  <c r="H271" i="21" s="1"/>
  <c r="H127" i="21" a="1"/>
  <c r="H127" i="21" s="1"/>
  <c r="H282" i="21" a="1"/>
  <c r="H282" i="21" s="1"/>
  <c r="H281" i="21" a="1"/>
  <c r="H281" i="21" s="1"/>
  <c r="H251" i="21" a="1"/>
  <c r="H251" i="21" s="1"/>
  <c r="H77" i="21" a="1"/>
  <c r="H77" i="21" s="1"/>
  <c r="H35" i="21" a="1"/>
  <c r="H35" i="21" s="1"/>
  <c r="H116" i="21" a="1"/>
  <c r="H116" i="21" s="1"/>
  <c r="H140" i="21" a="1"/>
  <c r="H140" i="21" s="1"/>
  <c r="H154" i="21" a="1"/>
  <c r="H154" i="21" s="1"/>
  <c r="H300" i="21" a="1"/>
  <c r="H300" i="21" s="1"/>
  <c r="H240" i="21" a="1"/>
  <c r="H240" i="21" s="1"/>
  <c r="H69" i="21" a="1"/>
  <c r="H69" i="21" s="1"/>
  <c r="H289" i="21" a="1"/>
  <c r="H289" i="21" s="1"/>
  <c r="H297" i="21" a="1"/>
  <c r="H297" i="21" s="1"/>
  <c r="H21" i="21" a="1"/>
  <c r="H21" i="21" s="1"/>
  <c r="H205" i="21" a="1"/>
  <c r="H205" i="21" s="1"/>
  <c r="H229" i="21" a="1"/>
  <c r="H229" i="21" s="1"/>
  <c r="H46" i="21" a="1"/>
  <c r="H46" i="21" s="1"/>
  <c r="H107" i="21" a="1"/>
  <c r="H107" i="21" s="1"/>
  <c r="H189" i="21" a="1"/>
  <c r="H189" i="21" s="1"/>
  <c r="H272" i="21" a="1"/>
  <c r="H272" i="21" s="1"/>
  <c r="H295" i="21" a="1"/>
  <c r="H295" i="21" s="1"/>
  <c r="H4" i="21" a="1"/>
  <c r="H4" i="21" s="1"/>
  <c r="H150" i="21" a="1"/>
  <c r="H150" i="21" s="1"/>
  <c r="H214" i="21" a="1"/>
  <c r="H214" i="21" s="1"/>
  <c r="H161" i="21" a="1"/>
  <c r="H161" i="21" s="1"/>
  <c r="H268" i="21" a="1"/>
  <c r="H268" i="21" s="1"/>
  <c r="H94" i="21" a="1"/>
  <c r="H94" i="21" s="1"/>
  <c r="H28" i="21" a="1"/>
  <c r="H28" i="21" s="1"/>
  <c r="H5" i="21" a="1"/>
  <c r="H5" i="21" s="1"/>
  <c r="H120" i="21" a="1"/>
  <c r="H120" i="21" s="1"/>
  <c r="H81" i="21" a="1"/>
  <c r="H81" i="21" s="1"/>
  <c r="H244" i="21" a="1"/>
  <c r="H244" i="21" s="1"/>
  <c r="H277" i="21" a="1"/>
  <c r="H277" i="21" s="1"/>
  <c r="H211" i="21" a="1"/>
  <c r="H211" i="21" s="1"/>
  <c r="H67" i="21" a="1"/>
  <c r="H67" i="21" s="1"/>
  <c r="H222" i="21" a="1"/>
  <c r="H222" i="21" s="1"/>
  <c r="H221" i="21" a="1"/>
  <c r="H221" i="21" s="1"/>
  <c r="H170" i="21" a="1"/>
  <c r="H170" i="21" s="1"/>
  <c r="H12" i="21" a="1"/>
  <c r="H12" i="21" s="1"/>
  <c r="H217" i="21" a="1"/>
  <c r="H217" i="21" s="1"/>
  <c r="H50" i="21" a="1"/>
  <c r="H50" i="21" s="1"/>
  <c r="H264" i="21" a="1"/>
  <c r="H264" i="21" s="1"/>
  <c r="H88" i="21" a="1"/>
  <c r="H88" i="21" s="1"/>
  <c r="H61" i="21" a="1"/>
  <c r="H61" i="21" s="1"/>
  <c r="H160" i="21" a="1"/>
  <c r="H160" i="21" s="1"/>
  <c r="H3" i="21" a="1"/>
  <c r="H3" i="21" s="1"/>
  <c r="H133" i="21" a="1"/>
  <c r="H133" i="21" s="1"/>
  <c r="H135" i="21" a="1"/>
  <c r="H135" i="21" s="1"/>
  <c r="H137" i="21" a="1"/>
  <c r="H137" i="21" s="1"/>
  <c r="H260" i="21" a="1"/>
  <c r="H260" i="21" s="1"/>
  <c r="H47" i="21" a="1"/>
  <c r="H47" i="21" s="1"/>
  <c r="H243" i="21" a="1"/>
  <c r="H243" i="21" s="1"/>
  <c r="H219" i="21" a="1"/>
  <c r="H219" i="21" s="1"/>
  <c r="H165" i="21" a="1"/>
  <c r="H165" i="21" s="1"/>
  <c r="H105" i="21" a="1"/>
  <c r="H105" i="21" s="1"/>
  <c r="H8" i="21" a="1"/>
  <c r="H8" i="21" s="1"/>
  <c r="H15" i="21" a="1"/>
  <c r="H15" i="21" s="1"/>
  <c r="H199" i="21" a="1"/>
  <c r="H199" i="21" s="1"/>
  <c r="H55" i="21" a="1"/>
  <c r="H55" i="21" s="1"/>
  <c r="H210" i="21" a="1"/>
  <c r="H210" i="21" s="1"/>
  <c r="H209" i="21" a="1"/>
  <c r="H209" i="21" s="1"/>
  <c r="H156" i="21" a="1"/>
  <c r="H156" i="21" s="1"/>
  <c r="H298" i="21" a="1"/>
  <c r="H298" i="21" s="1"/>
  <c r="H202" i="21" a="1"/>
  <c r="H202" i="21" s="1"/>
  <c r="H37" i="21" a="1"/>
  <c r="H37" i="21" s="1"/>
  <c r="H249" i="21" a="1"/>
  <c r="H249" i="21" s="1"/>
  <c r="H75" i="21" a="1"/>
  <c r="H75" i="21" s="1"/>
  <c r="H9" i="21" a="1"/>
  <c r="H9" i="21" s="1"/>
  <c r="H147" i="21" a="1"/>
  <c r="H147" i="21" s="1"/>
  <c r="H18" i="21" a="1"/>
  <c r="H18" i="21" s="1"/>
  <c r="H180" i="21" a="1"/>
  <c r="H180" i="21" s="1"/>
  <c r="H158" i="21" a="1"/>
  <c r="H158" i="21" s="1"/>
  <c r="H159" i="21" a="1"/>
  <c r="H159" i="21" s="1"/>
  <c r="H136" i="21" a="1"/>
  <c r="H136" i="21" s="1"/>
  <c r="H292" i="21" a="1"/>
  <c r="H292" i="21" s="1"/>
  <c r="H118" i="21" a="1"/>
  <c r="H118" i="21" s="1"/>
  <c r="H27" i="21" a="1"/>
  <c r="H27" i="21" s="1"/>
  <c r="H275" i="21" a="1"/>
  <c r="H275" i="21" s="1"/>
  <c r="H98" i="21" a="1"/>
  <c r="H98" i="21" s="1"/>
  <c r="H148" i="21" a="1"/>
  <c r="H148" i="21" s="1"/>
  <c r="H122" i="21" a="1"/>
  <c r="H122" i="21" s="1"/>
  <c r="H59" i="21" a="1"/>
  <c r="H59" i="21" s="1"/>
  <c r="H175" i="21" a="1"/>
  <c r="H175" i="21" s="1"/>
  <c r="H31" i="21" a="1"/>
  <c r="H31" i="21" s="1"/>
  <c r="H186" i="21" a="1"/>
  <c r="H186" i="21" s="1"/>
  <c r="H185" i="21" a="1"/>
  <c r="H185" i="21" s="1"/>
  <c r="H130" i="21" a="1"/>
  <c r="H130" i="21" s="1"/>
  <c r="H215" i="21" a="1"/>
  <c r="H215" i="21" s="1"/>
  <c r="H169" i="21" a="1"/>
  <c r="H169" i="21" s="1"/>
  <c r="H11" i="21" a="1"/>
  <c r="H11" i="21" s="1"/>
  <c r="H216" i="21" a="1"/>
  <c r="H216" i="21" s="1"/>
  <c r="H49" i="21" a="1"/>
  <c r="H49" i="21" s="1"/>
  <c r="H87" i="21" a="1"/>
  <c r="H87" i="21" s="1"/>
  <c r="H121" i="21" a="1"/>
  <c r="H121" i="21" s="1"/>
  <c r="H152" i="21" a="1"/>
  <c r="H152" i="21" s="1"/>
  <c r="H109" i="21" a="1"/>
  <c r="H109" i="21" s="1"/>
  <c r="H238" i="21" a="1"/>
  <c r="H238" i="21" s="1"/>
  <c r="H212" i="21" a="1"/>
  <c r="H212" i="21" s="1"/>
  <c r="H93" i="21" a="1"/>
  <c r="H93" i="21" s="1"/>
  <c r="H242" i="21" a="1"/>
  <c r="H242" i="21" s="1"/>
  <c r="H131" i="21" a="1"/>
  <c r="H131" i="21" s="1"/>
  <c r="C8" i="21" a="1"/>
  <c r="C8" i="21" s="1"/>
  <c r="C21" i="21" a="1"/>
  <c r="C21" i="21" s="1"/>
  <c r="C118" i="21" a="1"/>
  <c r="C118" i="21" s="1"/>
  <c r="B78" i="21" a="1"/>
  <c r="B78" i="21" s="1"/>
  <c r="A78" i="21" s="1"/>
  <c r="B222" i="21" a="1"/>
  <c r="B222" i="21" s="1"/>
  <c r="A222" i="21" s="1"/>
  <c r="B211" i="21" a="1"/>
  <c r="B211" i="21" s="1"/>
  <c r="A211" i="21" s="1"/>
  <c r="G43" i="21" a="1"/>
  <c r="G43" i="21" s="1"/>
  <c r="G83" i="21" a="1"/>
  <c r="G83" i="21" s="1"/>
  <c r="G297" i="21" a="1"/>
  <c r="G297" i="21" s="1"/>
  <c r="G200" i="21" a="1"/>
  <c r="G200" i="21" s="1"/>
  <c r="G104" i="21" a="1"/>
  <c r="G104" i="21" s="1"/>
  <c r="G213" i="21" a="1"/>
  <c r="G213" i="21" s="1"/>
  <c r="G170" i="21" a="1"/>
  <c r="G170" i="21" s="1"/>
  <c r="G106" i="21" a="1"/>
  <c r="G106" i="21" s="1"/>
  <c r="G152" i="21" a="1"/>
  <c r="G152" i="21" s="1"/>
  <c r="G235" i="21" a="1"/>
  <c r="G235" i="21" s="1"/>
  <c r="G137" i="21" a="1"/>
  <c r="G137" i="21" s="1"/>
  <c r="G158" i="21" a="1"/>
  <c r="G158" i="21" s="1"/>
  <c r="B234" i="21" a="1"/>
  <c r="B234" i="21" s="1"/>
  <c r="A234" i="21" s="1"/>
  <c r="B223" i="21" a="1"/>
  <c r="B223" i="21" s="1"/>
  <c r="A223" i="21" s="1"/>
  <c r="G44" i="21" a="1"/>
  <c r="G44" i="21" s="1"/>
  <c r="G125" i="21" a="1"/>
  <c r="G125" i="21" s="1"/>
  <c r="G32" i="21" a="1"/>
  <c r="G32" i="21" s="1"/>
  <c r="G6" i="21" a="1"/>
  <c r="G6" i="21" s="1"/>
  <c r="G253" i="21" a="1"/>
  <c r="G253" i="21" s="1"/>
  <c r="G271" i="21" a="1"/>
  <c r="G271" i="21" s="1"/>
  <c r="G216" i="21" a="1"/>
  <c r="G216" i="21" s="1"/>
  <c r="G129" i="21" a="1"/>
  <c r="G129" i="21" s="1"/>
  <c r="G185" i="21" a="1"/>
  <c r="G185" i="21" s="1"/>
  <c r="G114" i="21" a="1"/>
  <c r="G114" i="21" s="1"/>
  <c r="G155" i="21" a="1"/>
  <c r="G155" i="21" s="1"/>
  <c r="G175" i="21" a="1"/>
  <c r="G175" i="21" s="1"/>
  <c r="G250" i="21" a="1"/>
  <c r="G250" i="21" s="1"/>
  <c r="G289" i="21" a="1"/>
  <c r="G289" i="21" s="1"/>
  <c r="G82" i="21" a="1"/>
  <c r="G82" i="21" s="1"/>
  <c r="G225" i="21" a="1"/>
  <c r="G225" i="21" s="1"/>
  <c r="G61" i="21" a="1"/>
  <c r="G61" i="21" s="1"/>
  <c r="G205" i="21" a="1"/>
  <c r="G205" i="21" s="1"/>
  <c r="G63" i="21" a="1"/>
  <c r="G63" i="21" s="1"/>
  <c r="G207" i="21" a="1"/>
  <c r="G207" i="21" s="1"/>
  <c r="G64" i="21" a="1"/>
  <c r="G64" i="21" s="1"/>
  <c r="G208" i="21" a="1"/>
  <c r="G208" i="21" s="1"/>
  <c r="G128" i="21" a="1"/>
  <c r="G128" i="21" s="1"/>
  <c r="G222" i="21" a="1"/>
  <c r="G222" i="21" s="1"/>
  <c r="G30" i="21" a="1"/>
  <c r="G30" i="21" s="1"/>
  <c r="G221" i="21" a="1"/>
  <c r="G221" i="21" s="1"/>
  <c r="B141" i="21" a="1"/>
  <c r="B141" i="21" s="1"/>
  <c r="A141" i="21" s="1"/>
  <c r="B31" i="21" a="1"/>
  <c r="B31" i="21" s="1"/>
  <c r="A31" i="21" s="1"/>
  <c r="B209" i="21" a="1"/>
  <c r="B209" i="21" s="1"/>
  <c r="A209" i="21" s="1"/>
  <c r="B76" i="21" a="1"/>
  <c r="B76" i="21" s="1"/>
  <c r="A76" i="21" s="1"/>
  <c r="B220" i="21" a="1"/>
  <c r="B220" i="21" s="1"/>
  <c r="A220" i="21" s="1"/>
  <c r="B102" i="21" a="1"/>
  <c r="B102" i="21" s="1"/>
  <c r="A102" i="21" s="1"/>
  <c r="B246" i="21" a="1"/>
  <c r="B246" i="21" s="1"/>
  <c r="A246" i="21" s="1"/>
  <c r="B235" i="21" a="1"/>
  <c r="B235" i="21" s="1"/>
  <c r="A235" i="21" s="1"/>
  <c r="G53" i="21" a="1"/>
  <c r="G53" i="21" s="1"/>
  <c r="G299" i="21" a="1"/>
  <c r="G299" i="21" s="1"/>
  <c r="G58" i="21" a="1"/>
  <c r="G58" i="21" s="1"/>
  <c r="G36" i="21" a="1"/>
  <c r="G36" i="21" s="1"/>
  <c r="G17" i="21" a="1"/>
  <c r="G17" i="21" s="1"/>
  <c r="G120" i="21" a="1"/>
  <c r="G120" i="21" s="1"/>
  <c r="G293" i="21" a="1"/>
  <c r="G293" i="21" s="1"/>
  <c r="G151" i="21" a="1"/>
  <c r="G151" i="21" s="1"/>
  <c r="G234" i="21" a="1"/>
  <c r="G234" i="21" s="1"/>
  <c r="G134" i="21" a="1"/>
  <c r="G134" i="21" s="1"/>
  <c r="G199" i="21" a="1"/>
  <c r="G199" i="21" s="1"/>
  <c r="G190" i="21" a="1"/>
  <c r="G190" i="21" s="1"/>
  <c r="D91" i="20"/>
  <c r="D85" i="20"/>
  <c r="B258" i="21" a="1"/>
  <c r="B258" i="21" s="1"/>
  <c r="A258" i="21" s="1"/>
  <c r="G21" i="21" a="1"/>
  <c r="G21" i="21" s="1"/>
  <c r="G23" i="21" a="1"/>
  <c r="G23" i="21" s="1"/>
  <c r="G94" i="21" a="1"/>
  <c r="G94" i="21" s="1"/>
  <c r="G62" i="21" a="1"/>
  <c r="G62" i="21" s="1"/>
  <c r="G42" i="21" a="1"/>
  <c r="G42" i="21" s="1"/>
  <c r="G142" i="21" a="1"/>
  <c r="G142" i="21" s="1"/>
  <c r="G127" i="21" a="1"/>
  <c r="G127" i="21" s="1"/>
  <c r="G182" i="21" a="1"/>
  <c r="G182" i="21" s="1"/>
  <c r="G10" i="21" a="1"/>
  <c r="G10" i="21" s="1"/>
  <c r="G154" i="21" a="1"/>
  <c r="G154" i="21" s="1"/>
  <c r="G251" i="21" a="1"/>
  <c r="G251" i="21" s="1"/>
  <c r="G80" i="21" a="1"/>
  <c r="G80" i="21" s="1"/>
  <c r="D87" i="20"/>
  <c r="B278" i="21" a="1"/>
  <c r="B278" i="21" s="1"/>
  <c r="A278" i="21" s="1"/>
  <c r="B261" i="21" a="1"/>
  <c r="B261" i="21" s="1"/>
  <c r="A261" i="21" s="1"/>
  <c r="B240" i="21" a="1"/>
  <c r="B240" i="21" s="1"/>
  <c r="A240" i="21" s="1"/>
  <c r="B221" i="21" a="1"/>
  <c r="B221" i="21" s="1"/>
  <c r="A221" i="21" s="1"/>
  <c r="B202" i="21" a="1"/>
  <c r="B202" i="21" s="1"/>
  <c r="A202" i="21" s="1"/>
  <c r="B182" i="21" a="1"/>
  <c r="B182" i="21" s="1"/>
  <c r="A182" i="21" s="1"/>
  <c r="B165" i="21" a="1"/>
  <c r="B165" i="21" s="1"/>
  <c r="A165" i="21" s="1"/>
  <c r="B144" i="21" a="1"/>
  <c r="B144" i="21" s="1"/>
  <c r="A144" i="21" s="1"/>
  <c r="B128" i="21" a="1"/>
  <c r="B128" i="21" s="1"/>
  <c r="A128" i="21" s="1"/>
  <c r="B109" i="21" a="1"/>
  <c r="B109" i="21" s="1"/>
  <c r="A109" i="21" s="1"/>
  <c r="B93" i="21" a="1"/>
  <c r="B93" i="21" s="1"/>
  <c r="A93" i="21" s="1"/>
  <c r="B75" i="21" a="1"/>
  <c r="B75" i="21" s="1"/>
  <c r="A75" i="21" s="1"/>
  <c r="B58" i="21" a="1"/>
  <c r="B58" i="21" s="1"/>
  <c r="A58" i="21" s="1"/>
  <c r="B41" i="21" a="1"/>
  <c r="B41" i="21" s="1"/>
  <c r="A41" i="21" s="1"/>
  <c r="B24" i="21" a="1"/>
  <c r="B24" i="21" s="1"/>
  <c r="A24" i="21" s="1"/>
  <c r="B10" i="21" a="1"/>
  <c r="B10" i="21" s="1"/>
  <c r="A10" i="21" s="1"/>
  <c r="B276" i="21" a="1"/>
  <c r="B276" i="21" s="1"/>
  <c r="A276" i="21" s="1"/>
  <c r="B255" i="21" a="1"/>
  <c r="B255" i="21" s="1"/>
  <c r="A255" i="21" s="1"/>
  <c r="B238" i="21" a="1"/>
  <c r="B238" i="21" s="1"/>
  <c r="A238" i="21" s="1"/>
  <c r="B217" i="21" a="1"/>
  <c r="B217" i="21" s="1"/>
  <c r="A217" i="21" s="1"/>
  <c r="B200" i="21" a="1"/>
  <c r="B200" i="21" s="1"/>
  <c r="A200" i="21" s="1"/>
  <c r="B180" i="21" a="1"/>
  <c r="B180" i="21" s="1"/>
  <c r="A180" i="21" s="1"/>
  <c r="B159" i="21" a="1"/>
  <c r="B159" i="21" s="1"/>
  <c r="A159" i="21" s="1"/>
  <c r="B142" i="21" a="1"/>
  <c r="B142" i="21" s="1"/>
  <c r="A142" i="21" s="1"/>
  <c r="B123" i="21" a="1"/>
  <c r="B123" i="21" s="1"/>
  <c r="A123" i="21" s="1"/>
  <c r="B107" i="21" a="1"/>
  <c r="B107" i="21" s="1"/>
  <c r="A107" i="21" s="1"/>
  <c r="B91" i="21" a="1"/>
  <c r="B91" i="21" s="1"/>
  <c r="A91" i="21" s="1"/>
  <c r="B293" i="21" a="1"/>
  <c r="B293" i="21" s="1"/>
  <c r="A293" i="21" s="1"/>
  <c r="B275" i="21" a="1"/>
  <c r="B275" i="21" s="1"/>
  <c r="A275" i="21" s="1"/>
  <c r="B254" i="21" a="1"/>
  <c r="B254" i="21" s="1"/>
  <c r="A254" i="21" s="1"/>
  <c r="B236" i="21" a="1"/>
  <c r="B236" i="21" s="1"/>
  <c r="A236" i="21" s="1"/>
  <c r="B216" i="21" a="1"/>
  <c r="B216" i="21" s="1"/>
  <c r="A216" i="21" s="1"/>
  <c r="B197" i="21" a="1"/>
  <c r="B197" i="21" s="1"/>
  <c r="A197" i="21" s="1"/>
  <c r="B179" i="21" a="1"/>
  <c r="B179" i="21" s="1"/>
  <c r="A179" i="21" s="1"/>
  <c r="B158" i="21" a="1"/>
  <c r="B158" i="21" s="1"/>
  <c r="A158" i="21" s="1"/>
  <c r="B140" i="21" a="1"/>
  <c r="B140" i="21" s="1"/>
  <c r="A140" i="21" s="1"/>
  <c r="B122" i="21" a="1"/>
  <c r="B122" i="21" s="1"/>
  <c r="A122" i="21" s="1"/>
  <c r="B106" i="21" a="1"/>
  <c r="B106" i="21" s="1"/>
  <c r="A106" i="21" s="1"/>
  <c r="B89" i="21" a="1"/>
  <c r="B89" i="21" s="1"/>
  <c r="A89" i="21" s="1"/>
  <c r="B71" i="21" a="1"/>
  <c r="B71" i="21" s="1"/>
  <c r="A71" i="21" s="1"/>
  <c r="B53" i="21" a="1"/>
  <c r="B53" i="21" s="1"/>
  <c r="A53" i="21" s="1"/>
  <c r="B36" i="21" a="1"/>
  <c r="B36" i="21" s="1"/>
  <c r="A36" i="21" s="1"/>
  <c r="B291" i="21" a="1"/>
  <c r="B291" i="21" s="1"/>
  <c r="A291" i="21" s="1"/>
  <c r="B273" i="21" a="1"/>
  <c r="B273" i="21" s="1"/>
  <c r="A273" i="21" s="1"/>
  <c r="B253" i="21" a="1"/>
  <c r="B253" i="21" s="1"/>
  <c r="A253" i="21" s="1"/>
  <c r="B233" i="21" a="1"/>
  <c r="B233" i="21" s="1"/>
  <c r="A233" i="21" s="1"/>
  <c r="B215" i="21" a="1"/>
  <c r="B215" i="21" s="1"/>
  <c r="A215" i="21" s="1"/>
  <c r="B195" i="21" a="1"/>
  <c r="B195" i="21" s="1"/>
  <c r="A195" i="21" s="1"/>
  <c r="B177" i="21" a="1"/>
  <c r="B177" i="21" s="1"/>
  <c r="A177" i="21" s="1"/>
  <c r="B157" i="21" a="1"/>
  <c r="B157" i="21" s="1"/>
  <c r="A157" i="21" s="1"/>
  <c r="B139" i="21" a="1"/>
  <c r="B139" i="21" s="1"/>
  <c r="A139" i="21" s="1"/>
  <c r="B121" i="21" a="1"/>
  <c r="B121" i="21" s="1"/>
  <c r="A121" i="21" s="1"/>
  <c r="B105" i="21" a="1"/>
  <c r="B105" i="21" s="1"/>
  <c r="A105" i="21" s="1"/>
  <c r="B86" i="21" a="1"/>
  <c r="B86" i="21" s="1"/>
  <c r="A86" i="21" s="1"/>
  <c r="B70" i="21" a="1"/>
  <c r="B70" i="21" s="1"/>
  <c r="A70" i="21" s="1"/>
  <c r="B51" i="21" a="1"/>
  <c r="B51" i="21" s="1"/>
  <c r="A51" i="21" s="1"/>
  <c r="B35" i="21" a="1"/>
  <c r="B35" i="21" s="1"/>
  <c r="A35" i="21" s="1"/>
  <c r="B287" i="21" a="1"/>
  <c r="B287" i="21" s="1"/>
  <c r="A287" i="21" s="1"/>
  <c r="B262" i="21" a="1"/>
  <c r="B262" i="21" s="1"/>
  <c r="A262" i="21" s="1"/>
  <c r="B229" i="21" a="1"/>
  <c r="B229" i="21" s="1"/>
  <c r="A229" i="21" s="1"/>
  <c r="B203" i="21" a="1"/>
  <c r="B203" i="21" s="1"/>
  <c r="A203" i="21" s="1"/>
  <c r="B170" i="21" a="1"/>
  <c r="B170" i="21" s="1"/>
  <c r="A170" i="21" s="1"/>
  <c r="B146" i="21" a="1"/>
  <c r="B146" i="21" s="1"/>
  <c r="A146" i="21" s="1"/>
  <c r="B286" i="21" a="1"/>
  <c r="B286" i="21" s="1"/>
  <c r="A286" i="21" s="1"/>
  <c r="B260" i="21" a="1"/>
  <c r="B260" i="21" s="1"/>
  <c r="A260" i="21" s="1"/>
  <c r="B228" i="21" a="1"/>
  <c r="B228" i="21" s="1"/>
  <c r="A228" i="21" s="1"/>
  <c r="B201" i="21" a="1"/>
  <c r="B201" i="21" s="1"/>
  <c r="A201" i="21" s="1"/>
  <c r="B169" i="21" a="1"/>
  <c r="B169" i="21" s="1"/>
  <c r="A169" i="21" s="1"/>
  <c r="B284" i="21" a="1"/>
  <c r="B284" i="21" s="1"/>
  <c r="A284" i="21" s="1"/>
  <c r="B251" i="21" a="1"/>
  <c r="B251" i="21" s="1"/>
  <c r="A251" i="21" s="1"/>
  <c r="B227" i="21" a="1"/>
  <c r="B227" i="21" s="1"/>
  <c r="A227" i="21" s="1"/>
  <c r="B194" i="21" a="1"/>
  <c r="B194" i="21" s="1"/>
  <c r="A194" i="21" s="1"/>
  <c r="B168" i="21" a="1"/>
  <c r="B168" i="21" s="1"/>
  <c r="A168" i="21" s="1"/>
  <c r="B137" i="21" a="1"/>
  <c r="B137" i="21" s="1"/>
  <c r="A137" i="21" s="1"/>
  <c r="B115" i="21" a="1"/>
  <c r="B115" i="21" s="1"/>
  <c r="A115" i="21" s="1"/>
  <c r="B85" i="21" a="1"/>
  <c r="B85" i="21" s="1"/>
  <c r="A85" i="21" s="1"/>
  <c r="B63" i="21" a="1"/>
  <c r="B63" i="21" s="1"/>
  <c r="A63" i="21" s="1"/>
  <c r="B43" i="21" a="1"/>
  <c r="B43" i="21" s="1"/>
  <c r="A43" i="21" s="1"/>
  <c r="B21" i="21" a="1"/>
  <c r="B21" i="21" s="1"/>
  <c r="A21" i="21" s="1"/>
  <c r="B6" i="21" a="1"/>
  <c r="B6" i="21" s="1"/>
  <c r="A6" i="21" s="1"/>
  <c r="B281" i="21" a="1"/>
  <c r="B281" i="21" s="1"/>
  <c r="A281" i="21" s="1"/>
  <c r="B250" i="21" a="1"/>
  <c r="B250" i="21" s="1"/>
  <c r="A250" i="21" s="1"/>
  <c r="B192" i="21" a="1"/>
  <c r="B192" i="21" s="1"/>
  <c r="A192" i="21" s="1"/>
  <c r="B167" i="21" a="1"/>
  <c r="B167" i="21" s="1"/>
  <c r="A167" i="21" s="1"/>
  <c r="B135" i="21" a="1"/>
  <c r="B135" i="21" s="1"/>
  <c r="A135" i="21" s="1"/>
  <c r="B84" i="21" a="1"/>
  <c r="B84" i="21" s="1"/>
  <c r="A84" i="21" s="1"/>
  <c r="B62" i="21" a="1"/>
  <c r="B62" i="21" s="1"/>
  <c r="A62" i="21" s="1"/>
  <c r="B38" i="21" a="1"/>
  <c r="B38" i="21" s="1"/>
  <c r="A38" i="21" s="1"/>
  <c r="B20" i="21" a="1"/>
  <c r="B20" i="21" s="1"/>
  <c r="A20" i="21" s="1"/>
  <c r="B57" i="21" a="1"/>
  <c r="B57" i="21" s="1"/>
  <c r="A57" i="21" s="1"/>
  <c r="B15" i="21" a="1"/>
  <c r="B15" i="21" s="1"/>
  <c r="A15" i="21" s="1"/>
  <c r="B297" i="21" a="1"/>
  <c r="B297" i="21" s="1"/>
  <c r="A297" i="21" s="1"/>
  <c r="B225" i="21" a="1"/>
  <c r="B225" i="21" s="1"/>
  <c r="A225" i="21" s="1"/>
  <c r="B113" i="21" a="1"/>
  <c r="B113" i="21" s="1"/>
  <c r="A113" i="21" s="1"/>
  <c r="B3" i="21" a="1"/>
  <c r="B3" i="21" s="1"/>
  <c r="A3" i="21" s="1"/>
  <c r="B79" i="21" a="1"/>
  <c r="B79" i="21" s="1"/>
  <c r="A79" i="21" s="1"/>
  <c r="B279" i="21" a="1"/>
  <c r="B279" i="21" s="1"/>
  <c r="A279" i="21" s="1"/>
  <c r="B249" i="21" a="1"/>
  <c r="B249" i="21" s="1"/>
  <c r="A249" i="21" s="1"/>
  <c r="B224" i="21" a="1"/>
  <c r="B224" i="21" s="1"/>
  <c r="A224" i="21" s="1"/>
  <c r="B191" i="21" a="1"/>
  <c r="B191" i="21" s="1"/>
  <c r="A191" i="21" s="1"/>
  <c r="B166" i="21" a="1"/>
  <c r="B166" i="21" s="1"/>
  <c r="A166" i="21" s="1"/>
  <c r="B134" i="21" a="1"/>
  <c r="B134" i="21" s="1"/>
  <c r="A134" i="21" s="1"/>
  <c r="B110" i="21" a="1"/>
  <c r="B110" i="21" s="1"/>
  <c r="A110" i="21" s="1"/>
  <c r="B82" i="21" a="1"/>
  <c r="B82" i="21" s="1"/>
  <c r="A82" i="21" s="1"/>
  <c r="B61" i="21" a="1"/>
  <c r="B61" i="21" s="1"/>
  <c r="A61" i="21" s="1"/>
  <c r="B37" i="21" a="1"/>
  <c r="B37" i="21" s="1"/>
  <c r="A37" i="21" s="1"/>
  <c r="B19" i="21" a="1"/>
  <c r="B19" i="21" s="1"/>
  <c r="A19" i="21" s="1"/>
  <c r="B295" i="21" a="1"/>
  <c r="B295" i="21" s="1"/>
  <c r="A295" i="21" s="1"/>
  <c r="B277" i="21" a="1"/>
  <c r="B277" i="21" s="1"/>
  <c r="A277" i="21" s="1"/>
  <c r="B218" i="21" a="1"/>
  <c r="B218" i="21" s="1"/>
  <c r="A218" i="21" s="1"/>
  <c r="B190" i="21" a="1"/>
  <c r="B190" i="21" s="1"/>
  <c r="A190" i="21" s="1"/>
  <c r="B164" i="21" a="1"/>
  <c r="B164" i="21" s="1"/>
  <c r="A164" i="21" s="1"/>
  <c r="B108" i="21" a="1"/>
  <c r="B108" i="21" s="1"/>
  <c r="A108" i="21" s="1"/>
  <c r="B81" i="21" a="1"/>
  <c r="B81" i="21" s="1"/>
  <c r="A81" i="21" s="1"/>
  <c r="B60" i="21" a="1"/>
  <c r="B60" i="21" s="1"/>
  <c r="A60" i="21" s="1"/>
  <c r="B34" i="21" a="1"/>
  <c r="B34" i="21" s="1"/>
  <c r="A34" i="21" s="1"/>
  <c r="B296" i="21" a="1"/>
  <c r="B296" i="21" s="1"/>
  <c r="A296" i="21" s="1"/>
  <c r="B188" i="21" a="1"/>
  <c r="B188" i="21" s="1"/>
  <c r="A188" i="21" s="1"/>
  <c r="B155" i="21" a="1"/>
  <c r="B155" i="21" s="1"/>
  <c r="A155" i="21" s="1"/>
  <c r="B80" i="21" a="1"/>
  <c r="B80" i="21" s="1"/>
  <c r="A80" i="21" s="1"/>
  <c r="B33" i="21" a="1"/>
  <c r="B33" i="21" s="1"/>
  <c r="A33" i="21" s="1"/>
  <c r="B14" i="21" a="1"/>
  <c r="B14" i="21" s="1"/>
  <c r="A14" i="21" s="1"/>
  <c r="B248" i="21" a="1"/>
  <c r="B248" i="21" s="1"/>
  <c r="A248" i="21" s="1"/>
  <c r="B133" i="21" a="1"/>
  <c r="B133" i="21" s="1"/>
  <c r="A133" i="21" s="1"/>
  <c r="B17" i="21" a="1"/>
  <c r="B17" i="21" s="1"/>
  <c r="A17" i="21" s="1"/>
  <c r="B104" i="21" a="1"/>
  <c r="B104" i="21" s="1"/>
  <c r="A104" i="21" s="1"/>
  <c r="B130" i="21" a="1"/>
  <c r="B130" i="21" s="1"/>
  <c r="A130" i="21" s="1"/>
  <c r="B56" i="21" a="1"/>
  <c r="B56" i="21" s="1"/>
  <c r="A56" i="21" s="1"/>
  <c r="B298" i="21" a="1"/>
  <c r="B298" i="21" s="1"/>
  <c r="A298" i="21" s="1"/>
  <c r="B272" i="21" a="1"/>
  <c r="B272" i="21" s="1"/>
  <c r="A272" i="21" s="1"/>
  <c r="B245" i="21" a="1"/>
  <c r="B245" i="21" s="1"/>
  <c r="A245" i="21" s="1"/>
  <c r="B214" i="21" a="1"/>
  <c r="B214" i="21" s="1"/>
  <c r="A214" i="21" s="1"/>
  <c r="B132" i="21" a="1"/>
  <c r="B132" i="21" s="1"/>
  <c r="A132" i="21" s="1"/>
  <c r="B101" i="21" a="1"/>
  <c r="B101" i="21" s="1"/>
  <c r="A101" i="21" s="1"/>
  <c r="B269" i="21" a="1"/>
  <c r="B269" i="21" s="1"/>
  <c r="A269" i="21" s="1"/>
  <c r="B243" i="21" a="1"/>
  <c r="B243" i="21" s="1"/>
  <c r="A243" i="21" s="1"/>
  <c r="B213" i="21" a="1"/>
  <c r="B213" i="21" s="1"/>
  <c r="A213" i="21" s="1"/>
  <c r="B185" i="21" a="1"/>
  <c r="B185" i="21" s="1"/>
  <c r="A185" i="21" s="1"/>
  <c r="B154" i="21" a="1"/>
  <c r="B154" i="21" s="1"/>
  <c r="A154" i="21" s="1"/>
  <c r="B32" i="21" a="1"/>
  <c r="B32" i="21" s="1"/>
  <c r="A32" i="21" s="1"/>
  <c r="B266" i="21" a="1"/>
  <c r="B266" i="21" s="1"/>
  <c r="A266" i="21" s="1"/>
  <c r="B242" i="21" a="1"/>
  <c r="B242" i="21" s="1"/>
  <c r="A242" i="21" s="1"/>
  <c r="B212" i="21" a="1"/>
  <c r="B212" i="21" s="1"/>
  <c r="A212" i="21" s="1"/>
  <c r="B183" i="21" a="1"/>
  <c r="B183" i="21" s="1"/>
  <c r="A183" i="21" s="1"/>
  <c r="B153" i="21" a="1"/>
  <c r="B153" i="21" s="1"/>
  <c r="A153" i="21" s="1"/>
  <c r="B181" i="21" a="1"/>
  <c r="B181" i="21" s="1"/>
  <c r="A181" i="21" s="1"/>
  <c r="B116" i="21" a="1"/>
  <c r="B116" i="21" s="1"/>
  <c r="A116" i="21" s="1"/>
  <c r="B65" i="21" a="1"/>
  <c r="B65" i="21" s="1"/>
  <c r="A65" i="21" s="1"/>
  <c r="B22" i="21" a="1"/>
  <c r="B22" i="21" s="1"/>
  <c r="A22" i="21" s="1"/>
  <c r="B290" i="21" a="1"/>
  <c r="B290" i="21" s="1"/>
  <c r="A290" i="21" s="1"/>
  <c r="B176" i="21" a="1"/>
  <c r="B176" i="21" s="1"/>
  <c r="A176" i="21" s="1"/>
  <c r="B99" i="21" a="1"/>
  <c r="B99" i="21" s="1"/>
  <c r="A99" i="21" s="1"/>
  <c r="B50" i="21" a="1"/>
  <c r="B50" i="21" s="1"/>
  <c r="A50" i="21" s="1"/>
  <c r="B13" i="21" a="1"/>
  <c r="B13" i="21" s="1"/>
  <c r="A13" i="21" s="1"/>
  <c r="B288" i="21" a="1"/>
  <c r="B288" i="21" s="1"/>
  <c r="A288" i="21" s="1"/>
  <c r="B173" i="21" a="1"/>
  <c r="B173" i="21" s="1"/>
  <c r="A173" i="21" s="1"/>
  <c r="B98" i="21" a="1"/>
  <c r="B98" i="21" s="1"/>
  <c r="A98" i="21" s="1"/>
  <c r="B49" i="21" a="1"/>
  <c r="B49" i="21" s="1"/>
  <c r="A49" i="21" s="1"/>
  <c r="B12" i="21" a="1"/>
  <c r="B12" i="21" s="1"/>
  <c r="A12" i="21" s="1"/>
  <c r="B265" i="21" a="1"/>
  <c r="B265" i="21" s="1"/>
  <c r="A265" i="21" s="1"/>
  <c r="B152" i="21" a="1"/>
  <c r="B152" i="21" s="1"/>
  <c r="A152" i="21" s="1"/>
  <c r="B96" i="21" a="1"/>
  <c r="B96" i="21" s="1"/>
  <c r="A96" i="21" s="1"/>
  <c r="B48" i="21" a="1"/>
  <c r="B48" i="21" s="1"/>
  <c r="A48" i="21" s="1"/>
  <c r="B11" i="21" a="1"/>
  <c r="B11" i="21" s="1"/>
  <c r="A11" i="21" s="1"/>
  <c r="B264" i="21" a="1"/>
  <c r="B264" i="21" s="1"/>
  <c r="A264" i="21" s="1"/>
  <c r="B149" i="21" a="1"/>
  <c r="B149" i="21" s="1"/>
  <c r="A149" i="21" s="1"/>
  <c r="B95" i="21" a="1"/>
  <c r="B95" i="21" s="1"/>
  <c r="A95" i="21" s="1"/>
  <c r="B47" i="21" a="1"/>
  <c r="B47" i="21" s="1"/>
  <c r="A47" i="21" s="1"/>
  <c r="B9" i="21" a="1"/>
  <c r="B9" i="21" s="1"/>
  <c r="A9" i="21" s="1"/>
  <c r="B263" i="21" a="1"/>
  <c r="B263" i="21" s="1"/>
  <c r="A263" i="21" s="1"/>
  <c r="B147" i="21" a="1"/>
  <c r="B147" i="21" s="1"/>
  <c r="A147" i="21" s="1"/>
  <c r="B94" i="21" a="1"/>
  <c r="B94" i="21" s="1"/>
  <c r="A94" i="21" s="1"/>
  <c r="B46" i="21" a="1"/>
  <c r="B46" i="21" s="1"/>
  <c r="A46" i="21" s="1"/>
  <c r="B8" i="21" a="1"/>
  <c r="B8" i="21" s="1"/>
  <c r="A8" i="21" s="1"/>
  <c r="B239" i="21" a="1"/>
  <c r="B239" i="21" s="1"/>
  <c r="A239" i="21" s="1"/>
  <c r="B143" i="21" a="1"/>
  <c r="B143" i="21" s="1"/>
  <c r="A143" i="21" s="1"/>
  <c r="B44" i="21" a="1"/>
  <c r="B44" i="21" s="1"/>
  <c r="A44" i="21" s="1"/>
  <c r="B7" i="21" a="1"/>
  <c r="B7" i="21" s="1"/>
  <c r="A7" i="21" s="1"/>
  <c r="B129" i="21" a="1"/>
  <c r="B129" i="21" s="1"/>
  <c r="A129" i="21" s="1"/>
  <c r="B77" i="21" a="1"/>
  <c r="B77" i="21" s="1"/>
  <c r="A77" i="21" s="1"/>
  <c r="B74" i="21" a="1"/>
  <c r="B74" i="21" s="1"/>
  <c r="A74" i="21" s="1"/>
  <c r="B29" i="21" a="1"/>
  <c r="B29" i="21" s="1"/>
  <c r="A29" i="21" s="1"/>
  <c r="B300" i="21" a="1"/>
  <c r="B300" i="21" s="1"/>
  <c r="A300" i="21" s="1"/>
  <c r="B207" i="21" a="1"/>
  <c r="B207" i="21" s="1"/>
  <c r="A207" i="21" s="1"/>
  <c r="B92" i="21" a="1"/>
  <c r="B92" i="21" s="1"/>
  <c r="A92" i="21" s="1"/>
  <c r="B299" i="21" a="1"/>
  <c r="B299" i="21" s="1"/>
  <c r="A299" i="21" s="1"/>
  <c r="B231" i="21" a="1"/>
  <c r="B231" i="21" s="1"/>
  <c r="A231" i="21" s="1"/>
  <c r="B30" i="21" a="1"/>
  <c r="B30" i="21" s="1"/>
  <c r="A30" i="21" s="1"/>
  <c r="B230" i="21" a="1"/>
  <c r="B230" i="21" s="1"/>
  <c r="A230" i="21" s="1"/>
  <c r="B125" i="21" a="1"/>
  <c r="B125" i="21" s="1"/>
  <c r="A125" i="21" s="1"/>
  <c r="B23" i="21" a="1"/>
  <c r="B23" i="21" s="1"/>
  <c r="A23" i="21" s="1"/>
  <c r="B206" i="21" a="1"/>
  <c r="B206" i="21" s="1"/>
  <c r="A206" i="21" s="1"/>
  <c r="B205" i="21" a="1"/>
  <c r="B205" i="21" s="1"/>
  <c r="A205" i="21" s="1"/>
  <c r="B120" i="21" a="1"/>
  <c r="B120" i="21" s="1"/>
  <c r="A120" i="21" s="1"/>
  <c r="B72" i="21" a="1"/>
  <c r="B72" i="21" s="1"/>
  <c r="A72" i="21" s="1"/>
  <c r="B119" i="21" a="1"/>
  <c r="B119" i="21" s="1"/>
  <c r="A119" i="21" s="1"/>
  <c r="B118" i="21" a="1"/>
  <c r="B118" i="21" s="1"/>
  <c r="A118" i="21" s="1"/>
  <c r="B67" i="21" a="1"/>
  <c r="B67" i="21" s="1"/>
  <c r="A67" i="21" s="1"/>
  <c r="B27" i="21" a="1"/>
  <c r="B27" i="21" s="1"/>
  <c r="A27" i="21" s="1"/>
  <c r="B25" i="21" a="1"/>
  <c r="B25" i="21" s="1"/>
  <c r="A25" i="21" s="1"/>
  <c r="B68" i="21" a="1"/>
  <c r="B68" i="21" s="1"/>
  <c r="A68" i="21" s="1"/>
  <c r="G274" i="21" a="1"/>
  <c r="G274" i="21" s="1"/>
  <c r="G247" i="21" a="1"/>
  <c r="G247" i="21" s="1"/>
  <c r="G50" i="21" a="1"/>
  <c r="G50" i="21" s="1"/>
  <c r="G192" i="21" a="1"/>
  <c r="G192" i="21" s="1"/>
  <c r="G85" i="21" a="1"/>
  <c r="G85" i="21" s="1"/>
  <c r="G230" i="21" a="1"/>
  <c r="G230" i="21" s="1"/>
  <c r="G87" i="21" a="1"/>
  <c r="G87" i="21" s="1"/>
  <c r="G232" i="21" a="1"/>
  <c r="G232" i="21" s="1"/>
  <c r="G88" i="21" a="1"/>
  <c r="G88" i="21" s="1"/>
  <c r="G233" i="21" a="1"/>
  <c r="G233" i="21" s="1"/>
  <c r="G189" i="21" a="1"/>
  <c r="G189" i="21" s="1"/>
  <c r="G300" i="21" a="1"/>
  <c r="G300" i="21" s="1"/>
  <c r="G291" i="21" a="1"/>
  <c r="G291" i="21" s="1"/>
  <c r="B171" i="21" a="1"/>
  <c r="B171" i="21" s="1"/>
  <c r="A171" i="21" s="1"/>
  <c r="B59" i="21" a="1"/>
  <c r="B59" i="21" s="1"/>
  <c r="A59" i="21" s="1"/>
  <c r="B241" i="21" a="1"/>
  <c r="B241" i="21" s="1"/>
  <c r="A241" i="21" s="1"/>
  <c r="B100" i="21" a="1"/>
  <c r="B100" i="21" s="1"/>
  <c r="A100" i="21" s="1"/>
  <c r="B244" i="21" a="1"/>
  <c r="B244" i="21" s="1"/>
  <c r="A244" i="21" s="1"/>
  <c r="B126" i="21" a="1"/>
  <c r="B126" i="21" s="1"/>
  <c r="A126" i="21" s="1"/>
  <c r="B270" i="21" a="1"/>
  <c r="B270" i="21" s="1"/>
  <c r="A270" i="21" s="1"/>
  <c r="B259" i="21" a="1"/>
  <c r="B259" i="21" s="1"/>
  <c r="A259" i="21" s="1"/>
  <c r="G74" i="21" a="1"/>
  <c r="G74" i="21" s="1"/>
  <c r="G56" i="21" a="1"/>
  <c r="G56" i="21" s="1"/>
  <c r="G164" i="21" a="1"/>
  <c r="G164" i="21" s="1"/>
  <c r="G7" i="21" a="1"/>
  <c r="G7" i="21" s="1"/>
  <c r="G72" i="21" a="1"/>
  <c r="G72" i="21" s="1"/>
  <c r="G167" i="21" a="1"/>
  <c r="G167" i="21" s="1"/>
  <c r="G150" i="21" a="1"/>
  <c r="G150" i="21" s="1"/>
  <c r="G231" i="21" a="1"/>
  <c r="G231" i="21" s="1"/>
  <c r="G31" i="21" a="1"/>
  <c r="G31" i="21" s="1"/>
  <c r="G198" i="21" a="1"/>
  <c r="G198" i="21" s="1"/>
  <c r="G252" i="21" a="1"/>
  <c r="G252" i="21" s="1"/>
  <c r="G95" i="21" a="1"/>
  <c r="G95" i="21" s="1"/>
  <c r="G286" i="21" a="1"/>
  <c r="G286" i="21" s="1"/>
  <c r="G227" i="21" a="1"/>
  <c r="G227" i="21" s="1"/>
  <c r="G34" i="21" a="1"/>
  <c r="G34" i="21" s="1"/>
  <c r="G242" i="21" a="1"/>
  <c r="G242" i="21" s="1"/>
  <c r="G97" i="21" a="1"/>
  <c r="G97" i="21" s="1"/>
  <c r="G243" i="21" a="1"/>
  <c r="G243" i="21" s="1"/>
  <c r="G99" i="21" a="1"/>
  <c r="G99" i="21" s="1"/>
  <c r="G245" i="21" a="1"/>
  <c r="G245" i="21" s="1"/>
  <c r="G100" i="21" a="1"/>
  <c r="G100" i="21" s="1"/>
  <c r="G246" i="21" a="1"/>
  <c r="G246" i="21" s="1"/>
  <c r="G282" i="21" a="1"/>
  <c r="G282" i="21" s="1"/>
  <c r="G281" i="21" a="1"/>
  <c r="G281" i="21" s="1"/>
  <c r="G174" i="21" a="1"/>
  <c r="G174" i="21" s="1"/>
  <c r="B189" i="21" a="1"/>
  <c r="B189" i="21" s="1"/>
  <c r="A189" i="21" s="1"/>
  <c r="B73" i="21" a="1"/>
  <c r="B73" i="21" s="1"/>
  <c r="A73" i="21" s="1"/>
  <c r="B257" i="21" a="1"/>
  <c r="B257" i="21" s="1"/>
  <c r="A257" i="21" s="1"/>
  <c r="B112" i="21" a="1"/>
  <c r="B112" i="21" s="1"/>
  <c r="A112" i="21" s="1"/>
  <c r="B256" i="21" a="1"/>
  <c r="B256" i="21" s="1"/>
  <c r="A256" i="21" s="1"/>
  <c r="B138" i="21" a="1"/>
  <c r="B138" i="21" s="1"/>
  <c r="A138" i="21" s="1"/>
  <c r="B282" i="21" a="1"/>
  <c r="B282" i="21" s="1"/>
  <c r="A282" i="21" s="1"/>
  <c r="B271" i="21" a="1"/>
  <c r="B271" i="21" s="1"/>
  <c r="A271" i="21" s="1"/>
  <c r="G79" i="21" a="1"/>
  <c r="G79" i="21" s="1"/>
  <c r="G84" i="21" a="1"/>
  <c r="G84" i="21" s="1"/>
  <c r="G1" i="20"/>
  <c r="G38" i="21" a="1"/>
  <c r="G38" i="21" s="1"/>
  <c r="G105" i="21" a="1"/>
  <c r="G105" i="21" s="1"/>
  <c r="G214" i="21" a="1"/>
  <c r="G214" i="21" s="1"/>
  <c r="G180" i="21" a="1"/>
  <c r="G180" i="21" s="1"/>
  <c r="G9" i="21" a="1"/>
  <c r="G9" i="21" s="1"/>
  <c r="G48" i="21" a="1"/>
  <c r="G48" i="21" s="1"/>
  <c r="G249" i="21" a="1"/>
  <c r="G249" i="21" s="1"/>
  <c r="G275" i="21" a="1"/>
  <c r="G275" i="21" s="1"/>
  <c r="G162" i="21" a="1"/>
  <c r="G162" i="21" s="1"/>
  <c r="B283" i="21" a="1"/>
  <c r="B283" i="21" s="1"/>
  <c r="A283" i="21" s="1"/>
  <c r="G81" i="21" a="1"/>
  <c r="G81" i="21" s="1"/>
  <c r="G138" i="21" a="1"/>
  <c r="G138" i="21" s="1"/>
  <c r="G5" i="21" a="1"/>
  <c r="G5" i="21" s="1"/>
  <c r="G65" i="21" a="1"/>
  <c r="G65" i="21" s="1"/>
  <c r="G268" i="21" a="1"/>
  <c r="G268" i="21" s="1"/>
  <c r="G276" i="21" a="1"/>
  <c r="G276" i="21" s="1"/>
  <c r="G229" i="21" a="1"/>
  <c r="G229" i="21" s="1"/>
  <c r="G29" i="21" a="1"/>
  <c r="G29" i="21" s="1"/>
  <c r="G69" i="21" a="1"/>
  <c r="G69" i="21" s="1"/>
  <c r="G14" i="21" a="1"/>
  <c r="G14" i="21" s="1"/>
  <c r="G294" i="21" a="1"/>
  <c r="G294" i="21" s="1"/>
  <c r="G177" i="21" a="1"/>
  <c r="G177" i="21" s="1"/>
  <c r="H286" i="21" a="1"/>
  <c r="H286" i="21" s="1"/>
  <c r="B162" i="21" a="1"/>
  <c r="B162" i="21" s="1"/>
  <c r="A162" i="21" s="1"/>
  <c r="B151" i="21" a="1"/>
  <c r="B151" i="21" s="1"/>
  <c r="A151" i="21" s="1"/>
  <c r="G117" i="21" a="1"/>
  <c r="G117" i="21" s="1"/>
  <c r="G298" i="21" a="1"/>
  <c r="G298" i="21" s="1"/>
  <c r="G35" i="21" a="1"/>
  <c r="G35" i="21" s="1"/>
  <c r="G103" i="21" a="1"/>
  <c r="G103" i="21" s="1"/>
  <c r="G77" i="21" a="1"/>
  <c r="G77" i="21" s="1"/>
  <c r="G144" i="21" a="1"/>
  <c r="G144" i="21" s="1"/>
  <c r="G8" i="21" a="1"/>
  <c r="G8" i="21" s="1"/>
  <c r="G47" i="21" a="1"/>
  <c r="G47" i="21" s="1"/>
  <c r="G90" i="21" a="1"/>
  <c r="G90" i="21" s="1"/>
  <c r="G33" i="21" a="1"/>
  <c r="G33" i="21" s="1"/>
  <c r="G187" i="21" a="1"/>
  <c r="G187" i="21" s="1"/>
  <c r="G179" i="21" a="1"/>
  <c r="G179" i="21" s="1"/>
  <c r="B163" i="21" a="1"/>
  <c r="B163" i="21" s="1"/>
  <c r="A163" i="21" s="1"/>
  <c r="G118" i="21" a="1"/>
  <c r="G118" i="21" s="1"/>
  <c r="G24" i="21" a="1"/>
  <c r="G24" i="21" s="1"/>
  <c r="G59" i="21" a="1"/>
  <c r="G59" i="21" s="1"/>
  <c r="G201" i="21" a="1"/>
  <c r="G201" i="21" s="1"/>
  <c r="G101" i="21" a="1"/>
  <c r="G101" i="21" s="1"/>
  <c r="G168" i="21" a="1"/>
  <c r="G168" i="21" s="1"/>
  <c r="G26" i="21" a="1"/>
  <c r="G26" i="21" s="1"/>
  <c r="G68" i="21" a="1"/>
  <c r="G68" i="21" s="1"/>
  <c r="G110" i="21" a="1"/>
  <c r="G110" i="21" s="1"/>
  <c r="G54" i="21" a="1"/>
  <c r="G54" i="21" s="1"/>
  <c r="G202" i="21" a="1"/>
  <c r="G202" i="21" s="1"/>
  <c r="G197" i="21" a="1"/>
  <c r="G197" i="21" s="1"/>
  <c r="D81" i="20"/>
  <c r="B186" i="21" a="1"/>
  <c r="B186" i="21" s="1"/>
  <c r="A186" i="21" s="1"/>
  <c r="B175" i="21" a="1"/>
  <c r="B175" i="21" s="1"/>
  <c r="A175" i="21" s="1"/>
  <c r="G122" i="21" a="1"/>
  <c r="G122" i="21" s="1"/>
  <c r="G57" i="21" a="1"/>
  <c r="G57" i="21" s="1"/>
  <c r="G96" i="21" a="1"/>
  <c r="G96" i="21" s="1"/>
  <c r="G11" i="21" a="1"/>
  <c r="G11" i="21" s="1"/>
  <c r="G119" i="21" a="1"/>
  <c r="G119" i="21" s="1"/>
  <c r="G215" i="21" a="1"/>
  <c r="G215" i="21" s="1"/>
  <c r="G46" i="21" a="1"/>
  <c r="G46" i="21" s="1"/>
  <c r="G89" i="21" a="1"/>
  <c r="G89" i="21" s="1"/>
  <c r="G132" i="21" a="1"/>
  <c r="G132" i="21" s="1"/>
  <c r="G71" i="21" a="1"/>
  <c r="G71" i="21" s="1"/>
  <c r="G173" i="21" a="1"/>
  <c r="G173" i="21" s="1"/>
  <c r="G212" i="21" a="1"/>
  <c r="G212" i="21" s="1"/>
  <c r="G228" i="21" a="1"/>
  <c r="G228" i="21" s="1"/>
  <c r="G146" i="21" a="1"/>
  <c r="G146" i="21" s="1"/>
  <c r="G13" i="21" a="1"/>
  <c r="G13" i="21" s="1"/>
  <c r="G157" i="21" a="1"/>
  <c r="G157" i="21" s="1"/>
  <c r="G15" i="21" a="1"/>
  <c r="G15" i="21" s="1"/>
  <c r="G159" i="21" a="1"/>
  <c r="G159" i="21" s="1"/>
  <c r="G16" i="21" a="1"/>
  <c r="G16" i="21" s="1"/>
  <c r="G160" i="21" a="1"/>
  <c r="G160" i="21" s="1"/>
  <c r="G191" i="21" a="1"/>
  <c r="G191" i="21" s="1"/>
  <c r="G93" i="21" a="1"/>
  <c r="G93" i="21" s="1"/>
  <c r="G277" i="21" a="1"/>
  <c r="G277" i="21" s="1"/>
  <c r="B83" i="21" a="1"/>
  <c r="B83" i="21" s="1"/>
  <c r="A83" i="21" s="1"/>
  <c r="B267" i="21" a="1"/>
  <c r="B267" i="21" s="1"/>
  <c r="A267" i="21" s="1"/>
  <c r="B145" i="21" a="1"/>
  <c r="B145" i="21" s="1"/>
  <c r="A145" i="21" s="1"/>
  <c r="B28" i="21" a="1"/>
  <c r="B28" i="21" s="1"/>
  <c r="A28" i="21" s="1"/>
  <c r="B172" i="21" a="1"/>
  <c r="B172" i="21" s="1"/>
  <c r="A172" i="21" s="1"/>
  <c r="B54" i="21" a="1"/>
  <c r="B54" i="21" s="1"/>
  <c r="A54" i="21" s="1"/>
  <c r="B198" i="21" a="1"/>
  <c r="B198" i="21" s="1"/>
  <c r="A198" i="21" s="1"/>
  <c r="B187" i="21" a="1"/>
  <c r="B187" i="21" s="1"/>
  <c r="A187" i="21" s="1"/>
  <c r="G20" i="21" a="1"/>
  <c r="G20" i="21" s="1"/>
  <c r="G22" i="21" a="1"/>
  <c r="G22" i="21" s="1"/>
  <c r="G91" i="21" a="1"/>
  <c r="G91" i="21" s="1"/>
  <c r="G165" i="21" a="1"/>
  <c r="G165" i="21" s="1"/>
  <c r="G41" i="21" a="1"/>
  <c r="G41" i="21" s="1"/>
  <c r="G140" i="21" a="1"/>
  <c r="G140" i="21" s="1"/>
  <c r="G292" i="21" a="1"/>
  <c r="G292" i="21" s="1"/>
  <c r="G66" i="21" a="1"/>
  <c r="G66" i="21" s="1"/>
  <c r="G107" i="21" a="1"/>
  <c r="G107" i="21" s="1"/>
  <c r="G153" i="21" a="1"/>
  <c r="G153" i="21" s="1"/>
  <c r="G92" i="21" a="1"/>
  <c r="G92" i="21" s="1"/>
  <c r="B85" i="62"/>
  <c r="K148" i="11"/>
  <c r="L148" i="11"/>
  <c r="K29" i="2"/>
  <c r="L29" i="2"/>
  <c r="K33" i="5"/>
  <c r="I33" i="5" s="1"/>
  <c r="K281" i="30"/>
  <c r="I281" i="30" s="1"/>
  <c r="K118" i="3"/>
  <c r="I118" i="3" s="1"/>
  <c r="L32" i="2"/>
  <c r="K32" i="2"/>
  <c r="L275" i="30"/>
  <c r="K275" i="30"/>
  <c r="O275" i="30"/>
  <c r="K11" i="2"/>
  <c r="L11" i="2"/>
  <c r="I24" i="24"/>
  <c r="N16" i="23" s="1"/>
  <c r="I114" i="9"/>
  <c r="K45" i="4"/>
  <c r="I45" i="4" s="1"/>
  <c r="I46" i="4"/>
  <c r="K28" i="2"/>
  <c r="L28" i="2"/>
  <c r="L30" i="2"/>
  <c r="K30" i="2"/>
  <c r="C120" i="63"/>
  <c r="N12" i="20"/>
  <c r="E120" i="63" s="1"/>
  <c r="O12" i="20"/>
  <c r="P12" i="20"/>
  <c r="G120" i="63" s="1"/>
  <c r="K121" i="2"/>
  <c r="I121" i="2" s="1"/>
  <c r="I123" i="2"/>
  <c r="K14" i="2"/>
  <c r="L14" i="2"/>
  <c r="K202" i="4"/>
  <c r="I202" i="4" s="1"/>
  <c r="L218" i="11"/>
  <c r="I243" i="11"/>
  <c r="I196" i="11"/>
  <c r="K192" i="11"/>
  <c r="I133" i="9"/>
  <c r="I70" i="2"/>
  <c r="K19" i="2"/>
  <c r="L19" i="2"/>
  <c r="K15" i="2"/>
  <c r="L15" i="2"/>
  <c r="I262" i="3"/>
  <c r="I68" i="2"/>
  <c r="I200" i="3"/>
  <c r="K147" i="11"/>
  <c r="L147" i="11"/>
  <c r="L10" i="2"/>
  <c r="K10" i="2"/>
  <c r="I10" i="2" s="1"/>
  <c r="C57" i="18"/>
  <c r="L31" i="2"/>
  <c r="K31" i="2"/>
  <c r="I31" i="2" s="1"/>
  <c r="C79" i="62"/>
  <c r="L18" i="2"/>
  <c r="K18" i="2"/>
  <c r="K119" i="4"/>
  <c r="I119" i="4" s="1"/>
  <c r="I121" i="4"/>
  <c r="I42" i="3"/>
  <c r="K39" i="3"/>
  <c r="I39" i="3" s="1"/>
  <c r="I175" i="4"/>
  <c r="K173" i="4"/>
  <c r="I173" i="4" s="1"/>
  <c r="I135" i="4"/>
  <c r="K134" i="4"/>
  <c r="I134" i="4" s="1"/>
  <c r="I259" i="3"/>
  <c r="I27" i="7"/>
  <c r="K23" i="7"/>
  <c r="I23" i="7" s="1"/>
  <c r="I52" i="4"/>
  <c r="K50" i="4"/>
  <c r="I50" i="4" s="1"/>
  <c r="L267" i="30"/>
  <c r="K267" i="30"/>
  <c r="L16" i="2"/>
  <c r="K16" i="2"/>
  <c r="I16" i="2" s="1"/>
  <c r="K23" i="2"/>
  <c r="L23" i="2"/>
  <c r="K64" i="9"/>
  <c r="I64" i="9" s="1"/>
  <c r="I179" i="3"/>
  <c r="L20" i="2"/>
  <c r="K20" i="2"/>
  <c r="L21" i="2"/>
  <c r="K21" i="2"/>
  <c r="I21" i="2" s="1"/>
  <c r="L202" i="11"/>
  <c r="I202" i="11" s="1"/>
  <c r="I47" i="7"/>
  <c r="I78" i="3"/>
  <c r="L13" i="2"/>
  <c r="K13" i="2"/>
  <c r="I207" i="11"/>
  <c r="K218" i="11"/>
  <c r="B28" i="24"/>
  <c r="F14" i="18"/>
  <c r="AD3" i="20"/>
  <c r="C15" i="63"/>
  <c r="C16" i="18"/>
  <c r="S3" i="20"/>
  <c r="C15" i="18"/>
  <c r="C84" i="62" a="1"/>
  <c r="C86" i="62" a="1"/>
  <c r="C85" i="62" a="1"/>
  <c r="C87" i="62" a="1"/>
  <c r="D26" i="21" l="1"/>
  <c r="I8" i="10"/>
  <c r="K7" i="10"/>
  <c r="I7" i="10" s="1"/>
  <c r="I12" i="10"/>
  <c r="K11" i="10"/>
  <c r="I11" i="10" s="1"/>
  <c r="K213" i="11"/>
  <c r="I213" i="11" s="1"/>
  <c r="I216" i="11"/>
  <c r="K30" i="10"/>
  <c r="I30" i="10" s="1"/>
  <c r="I31" i="10"/>
  <c r="D38" i="21"/>
  <c r="D199" i="21"/>
  <c r="D262" i="21"/>
  <c r="D8" i="21"/>
  <c r="D265" i="21"/>
  <c r="D54" i="21"/>
  <c r="D255" i="21"/>
  <c r="D41" i="21"/>
  <c r="D180" i="21"/>
  <c r="D266" i="21"/>
  <c r="D183" i="21"/>
  <c r="D44" i="21"/>
  <c r="D166" i="21"/>
  <c r="D154" i="21"/>
  <c r="D185" i="21"/>
  <c r="D42" i="21"/>
  <c r="D201" i="21"/>
  <c r="D259" i="21"/>
  <c r="D239" i="21"/>
  <c r="D206" i="21"/>
  <c r="D192" i="21"/>
  <c r="D283" i="21"/>
  <c r="D104" i="21"/>
  <c r="D55" i="21"/>
  <c r="D275" i="21"/>
  <c r="D52" i="21"/>
  <c r="D212" i="21"/>
  <c r="D179" i="21"/>
  <c r="D88" i="21"/>
  <c r="D105" i="21"/>
  <c r="D289" i="21"/>
  <c r="D286" i="21"/>
  <c r="D274" i="21"/>
  <c r="D174" i="21"/>
  <c r="D220" i="21"/>
  <c r="D13" i="21"/>
  <c r="D5" i="21"/>
  <c r="D234" i="21"/>
  <c r="D209" i="21"/>
  <c r="D121" i="21"/>
  <c r="D203" i="21"/>
  <c r="D53" i="21"/>
  <c r="D237" i="21"/>
  <c r="D217" i="21"/>
  <c r="D251" i="21"/>
  <c r="D46" i="21"/>
  <c r="D127" i="21"/>
  <c r="D69" i="21"/>
  <c r="D89" i="21"/>
  <c r="C59" i="18"/>
  <c r="D78" i="21"/>
  <c r="O4" i="20"/>
  <c r="D233" i="21"/>
  <c r="D258" i="21"/>
  <c r="C56" i="18"/>
  <c r="D230" i="21"/>
  <c r="D85" i="21"/>
  <c r="D246" i="21"/>
  <c r="D229" i="21"/>
  <c r="D194" i="21"/>
  <c r="D86" i="21"/>
  <c r="N4" i="20"/>
  <c r="E110" i="63" s="1"/>
  <c r="D210" i="21"/>
  <c r="D187" i="21"/>
  <c r="D153" i="21"/>
  <c r="D123" i="21"/>
  <c r="D222" i="21"/>
  <c r="D68" i="21"/>
  <c r="D188" i="21"/>
  <c r="D97" i="21"/>
  <c r="D278" i="21"/>
  <c r="D215" i="21"/>
  <c r="D249" i="21"/>
  <c r="D151" i="21"/>
  <c r="D232" i="21"/>
  <c r="D238" i="21"/>
  <c r="D208" i="21"/>
  <c r="D9" i="21"/>
  <c r="D214" i="21"/>
  <c r="D257" i="21"/>
  <c r="D129" i="21"/>
  <c r="D175" i="21"/>
  <c r="D160" i="21"/>
  <c r="D197" i="21"/>
  <c r="D248" i="21"/>
  <c r="D98" i="21"/>
  <c r="D196" i="21"/>
  <c r="D109" i="21"/>
  <c r="D66" i="21"/>
  <c r="D285" i="21"/>
  <c r="O5" i="20"/>
  <c r="P5" i="20"/>
  <c r="G57" i="18" s="1"/>
  <c r="D114" i="21"/>
  <c r="D167" i="21"/>
  <c r="C111" i="63"/>
  <c r="D227" i="21"/>
  <c r="D243" i="21"/>
  <c r="D25" i="21"/>
  <c r="D67" i="21"/>
  <c r="D158" i="21"/>
  <c r="D152" i="21"/>
  <c r="D242" i="21"/>
  <c r="D31" i="21"/>
  <c r="D211" i="21"/>
  <c r="D149" i="21"/>
  <c r="C110" i="63"/>
  <c r="D268" i="21"/>
  <c r="D216" i="21"/>
  <c r="D130" i="21"/>
  <c r="D253" i="21"/>
  <c r="D133" i="21"/>
  <c r="D224" i="21"/>
  <c r="D159" i="21"/>
  <c r="D204" i="21"/>
  <c r="D76" i="21"/>
  <c r="D252" i="21"/>
  <c r="D218" i="21"/>
  <c r="D112" i="21"/>
  <c r="D119" i="21"/>
  <c r="D162" i="21"/>
  <c r="D157" i="21"/>
  <c r="D23" i="21"/>
  <c r="D57" i="21"/>
  <c r="D279" i="21"/>
  <c r="D6" i="21"/>
  <c r="I259" i="30"/>
  <c r="D161" i="21"/>
  <c r="D116" i="21"/>
  <c r="I275" i="30"/>
  <c r="D241" i="21"/>
  <c r="D113" i="21"/>
  <c r="D71" i="21"/>
  <c r="D4" i="21"/>
  <c r="D39" i="21"/>
  <c r="D236" i="21"/>
  <c r="D168" i="21"/>
  <c r="D36" i="21"/>
  <c r="D245" i="21"/>
  <c r="D77" i="21"/>
  <c r="D261" i="21"/>
  <c r="D102" i="21"/>
  <c r="D165" i="21"/>
  <c r="D3" i="21"/>
  <c r="D254" i="21"/>
  <c r="D213" i="21"/>
  <c r="I262" i="30"/>
  <c r="I226" i="11"/>
  <c r="D32" i="21"/>
  <c r="D94" i="21"/>
  <c r="D79" i="21"/>
  <c r="I211" i="11"/>
  <c r="I278" i="30"/>
  <c r="I192" i="11"/>
  <c r="D280" i="21"/>
  <c r="D221" i="21"/>
  <c r="D101" i="21"/>
  <c r="I273" i="30"/>
  <c r="I197" i="11"/>
  <c r="D155" i="21"/>
  <c r="D191" i="21"/>
  <c r="D240" i="21"/>
  <c r="D235" i="21"/>
  <c r="I256" i="30"/>
  <c r="I264" i="30"/>
  <c r="C86" i="62"/>
  <c r="I125" i="4"/>
  <c r="P7" i="20"/>
  <c r="G113" i="63" s="1"/>
  <c r="D7" i="21"/>
  <c r="D256" i="21"/>
  <c r="I13" i="2"/>
  <c r="I18" i="2"/>
  <c r="D10" i="21"/>
  <c r="D195" i="21"/>
  <c r="D107" i="21"/>
  <c r="I269" i="30"/>
  <c r="I260" i="30"/>
  <c r="I24" i="2"/>
  <c r="I47" i="3"/>
  <c r="I277" i="30"/>
  <c r="D80" i="62"/>
  <c r="I28" i="2"/>
  <c r="D198" i="21"/>
  <c r="D99" i="21"/>
  <c r="D1" i="20"/>
  <c r="D24" i="21"/>
  <c r="I274" i="30"/>
  <c r="I265" i="30"/>
  <c r="C84" i="62"/>
  <c r="C87" i="62"/>
  <c r="D273" i="21"/>
  <c r="D43" i="21"/>
  <c r="I26" i="2"/>
  <c r="I11" i="2"/>
  <c r="I15" i="2"/>
  <c r="L146" i="11"/>
  <c r="I19" i="2"/>
  <c r="I148" i="11"/>
  <c r="C112" i="63"/>
  <c r="D92" i="21"/>
  <c r="I222" i="3"/>
  <c r="I212" i="3"/>
  <c r="I32" i="2"/>
  <c r="D40" i="21"/>
  <c r="D207" i="21"/>
  <c r="I258" i="30"/>
  <c r="I27" i="2"/>
  <c r="I153" i="4"/>
  <c r="D96" i="21"/>
  <c r="D117" i="21"/>
  <c r="D78" i="62"/>
  <c r="D30" i="21"/>
  <c r="D182" i="21"/>
  <c r="I276" i="30"/>
  <c r="I143" i="4"/>
  <c r="I12" i="2"/>
  <c r="I261" i="30"/>
  <c r="I135" i="9"/>
  <c r="I270" i="30"/>
  <c r="D81" i="62"/>
  <c r="I257" i="30"/>
  <c r="N7" i="20"/>
  <c r="E113" i="63" s="1"/>
  <c r="W4" i="20"/>
  <c r="Y4" i="20" s="1"/>
  <c r="D223" i="21"/>
  <c r="C113" i="63"/>
  <c r="C58" i="18"/>
  <c r="C14" i="18"/>
  <c r="O6" i="20"/>
  <c r="P6" i="20"/>
  <c r="G58" i="18" s="1"/>
  <c r="O13" i="20"/>
  <c r="C65" i="18"/>
  <c r="C121" i="63"/>
  <c r="P13" i="20"/>
  <c r="G65" i="18" s="1"/>
  <c r="D282" i="21"/>
  <c r="D260" i="21"/>
  <c r="D72" i="21"/>
  <c r="D138" i="21"/>
  <c r="D173" i="21"/>
  <c r="D299" i="21"/>
  <c r="C119" i="63"/>
  <c r="D70" i="21"/>
  <c r="D200" i="21"/>
  <c r="D118" i="21"/>
  <c r="D111" i="21"/>
  <c r="D18" i="21"/>
  <c r="D189" i="21"/>
  <c r="D171" i="21"/>
  <c r="D132" i="21"/>
  <c r="D34" i="21"/>
  <c r="P11" i="20"/>
  <c r="G119" i="63" s="1"/>
  <c r="D51" i="21"/>
  <c r="O11" i="20"/>
  <c r="D293" i="21"/>
  <c r="D22" i="21"/>
  <c r="D115" i="21"/>
  <c r="D297" i="21"/>
  <c r="D137" i="21"/>
  <c r="D193" i="21"/>
  <c r="D80" i="21"/>
  <c r="D270" i="21"/>
  <c r="D284" i="21"/>
  <c r="N3" i="20"/>
  <c r="E109" i="63" s="1"/>
  <c r="D37" i="21"/>
  <c r="P3" i="20"/>
  <c r="G109" i="63" s="1"/>
  <c r="D11" i="21"/>
  <c r="D250" i="21"/>
  <c r="E1" i="21"/>
  <c r="F14" i="63" s="1"/>
  <c r="D298" i="21"/>
  <c r="C109" i="63"/>
  <c r="D29" i="21"/>
  <c r="C55" i="18"/>
  <c r="D269" i="21"/>
  <c r="D48" i="21"/>
  <c r="D106" i="21"/>
  <c r="D228" i="21"/>
  <c r="D20" i="21"/>
  <c r="D82" i="21"/>
  <c r="D63" i="21"/>
  <c r="D27" i="21"/>
  <c r="D16" i="21"/>
  <c r="D146" i="21"/>
  <c r="D181" i="21"/>
  <c r="D288" i="21"/>
  <c r="D93" i="21"/>
  <c r="D91" i="21"/>
  <c r="D177" i="21"/>
  <c r="D59" i="21"/>
  <c r="D295" i="21"/>
  <c r="D176" i="21"/>
  <c r="D145" i="21"/>
  <c r="D74" i="21"/>
  <c r="D60" i="21"/>
  <c r="D87" i="21"/>
  <c r="D169" i="21"/>
  <c r="D81" i="21"/>
  <c r="D219" i="21"/>
  <c r="D83" i="21"/>
  <c r="D128" i="21"/>
  <c r="D264" i="21"/>
  <c r="D202" i="21"/>
  <c r="D292" i="21"/>
  <c r="F1" i="21"/>
  <c r="G14" i="63" s="1"/>
  <c r="D294" i="21"/>
  <c r="D226" i="21"/>
  <c r="C114" i="63"/>
  <c r="P8" i="20"/>
  <c r="N8" i="20"/>
  <c r="C60" i="18"/>
  <c r="O8" i="20"/>
  <c r="D143" i="21"/>
  <c r="D35" i="21"/>
  <c r="D110" i="21"/>
  <c r="D120" i="21"/>
  <c r="D136" i="21"/>
  <c r="D142" i="21"/>
  <c r="D47" i="21"/>
  <c r="D108" i="21"/>
  <c r="D122" i="21"/>
  <c r="D231" i="21"/>
  <c r="D75" i="21"/>
  <c r="D12" i="21"/>
  <c r="D141" i="21"/>
  <c r="D95" i="21"/>
  <c r="G1" i="21"/>
  <c r="I14" i="18" s="1"/>
  <c r="D33" i="21"/>
  <c r="D296" i="21"/>
  <c r="D73" i="21"/>
  <c r="D140" i="21"/>
  <c r="D290" i="21"/>
  <c r="D84" i="21"/>
  <c r="D21" i="21"/>
  <c r="D45" i="21"/>
  <c r="D49" i="21"/>
  <c r="D15" i="21"/>
  <c r="D131" i="21"/>
  <c r="D272" i="21"/>
  <c r="D62" i="21"/>
  <c r="I14" i="2"/>
  <c r="D172" i="21"/>
  <c r="D247" i="21"/>
  <c r="D291" i="21"/>
  <c r="D50" i="21"/>
  <c r="D103" i="21"/>
  <c r="D58" i="21"/>
  <c r="D170" i="21"/>
  <c r="D28" i="21"/>
  <c r="D61" i="21"/>
  <c r="D147" i="21"/>
  <c r="C115" i="63"/>
  <c r="P9" i="20"/>
  <c r="C61" i="18"/>
  <c r="O9" i="20"/>
  <c r="N9" i="20"/>
  <c r="D156" i="21"/>
  <c r="D244" i="21"/>
  <c r="C85" i="62"/>
  <c r="G56" i="18"/>
  <c r="G110" i="63"/>
  <c r="I29" i="2"/>
  <c r="I218" i="11"/>
  <c r="I267" i="30"/>
  <c r="D79" i="62"/>
  <c r="E57" i="18"/>
  <c r="E111" i="63"/>
  <c r="E58" i="18"/>
  <c r="E112" i="63"/>
  <c r="I23" i="2"/>
  <c r="K146" i="11"/>
  <c r="I147" i="11"/>
  <c r="E65" i="18"/>
  <c r="E121" i="63"/>
  <c r="K14" i="18"/>
  <c r="J14" i="63"/>
  <c r="T4" i="20"/>
  <c r="T5" i="20" s="1"/>
  <c r="T6" i="20" s="1"/>
  <c r="O16" i="23"/>
  <c r="I20" i="2"/>
  <c r="I30" i="2"/>
  <c r="S3" i="62"/>
  <c r="J3" i="62"/>
  <c r="L3" i="62"/>
  <c r="M3" i="62"/>
  <c r="O3" i="62"/>
  <c r="N3" i="62"/>
  <c r="Q3" i="62"/>
  <c r="K3" i="62"/>
  <c r="T3" i="62"/>
  <c r="D3" i="62"/>
  <c r="V3" i="62"/>
  <c r="B3" i="62"/>
  <c r="I3" i="62"/>
  <c r="F3" i="62"/>
  <c r="X3" i="62"/>
  <c r="C3" i="62"/>
  <c r="E3" i="62"/>
  <c r="H3" i="62"/>
  <c r="AB3" i="62"/>
  <c r="AC3" i="62" s="1"/>
  <c r="Z3" i="62"/>
  <c r="AA3" i="62"/>
  <c r="P3" i="62"/>
  <c r="U3" i="62"/>
  <c r="W3" i="62"/>
  <c r="G3" i="62"/>
  <c r="Y3" i="62"/>
  <c r="R3" i="62"/>
  <c r="AD33" i="20"/>
  <c r="AD12" i="20"/>
  <c r="AD19" i="20"/>
  <c r="AD17" i="20"/>
  <c r="AD4" i="20"/>
  <c r="AD28" i="20"/>
  <c r="AD6" i="20"/>
  <c r="AD21" i="20"/>
  <c r="AD15" i="20"/>
  <c r="AD29" i="20"/>
  <c r="AD7" i="20"/>
  <c r="AD18" i="20"/>
  <c r="AD14" i="20"/>
  <c r="AD31" i="20"/>
  <c r="AD11" i="20"/>
  <c r="AD26" i="20"/>
  <c r="AD27" i="20"/>
  <c r="AD30" i="20"/>
  <c r="AD9" i="20"/>
  <c r="AD20" i="20"/>
  <c r="AD32" i="20"/>
  <c r="AD24" i="20"/>
  <c r="AD10" i="20"/>
  <c r="AD23" i="20"/>
  <c r="AD25" i="20"/>
  <c r="AD13" i="20"/>
  <c r="AD8" i="20"/>
  <c r="AD22" i="20"/>
  <c r="AD16" i="20"/>
  <c r="AD5" i="20"/>
  <c r="S16" i="20"/>
  <c r="S18" i="20"/>
  <c r="S10" i="20"/>
  <c r="S25" i="20"/>
  <c r="S22" i="20"/>
  <c r="S9" i="20"/>
  <c r="S14" i="20"/>
  <c r="S26" i="20"/>
  <c r="S12" i="20"/>
  <c r="S29" i="20"/>
  <c r="S6" i="20"/>
  <c r="S4" i="20"/>
  <c r="S28" i="20"/>
  <c r="S31" i="20"/>
  <c r="S17" i="20"/>
  <c r="S5" i="20"/>
  <c r="S30" i="20"/>
  <c r="S15" i="20"/>
  <c r="S32" i="20"/>
  <c r="U3" i="20"/>
  <c r="S20" i="20"/>
  <c r="S11" i="20"/>
  <c r="S27" i="20"/>
  <c r="S23" i="20"/>
  <c r="S13" i="20"/>
  <c r="S19" i="20"/>
  <c r="S7" i="20"/>
  <c r="S33" i="20"/>
  <c r="S21" i="20"/>
  <c r="S24" i="20"/>
  <c r="S8" i="20"/>
  <c r="D86" i="62" a="1"/>
  <c r="D85" i="62" a="1"/>
  <c r="D84" i="62" a="1"/>
  <c r="D87" i="62" a="1"/>
  <c r="I146" i="11" l="1"/>
  <c r="X4" i="20"/>
  <c r="E56" i="18"/>
  <c r="G111" i="63"/>
  <c r="G59" i="18"/>
  <c r="D86" i="62"/>
  <c r="E59" i="18"/>
  <c r="E80" i="62"/>
  <c r="G112" i="63"/>
  <c r="D84" i="62"/>
  <c r="D87" i="62"/>
  <c r="E78" i="62"/>
  <c r="E81" i="62"/>
  <c r="G121" i="63"/>
  <c r="H14" i="18"/>
  <c r="E55" i="18"/>
  <c r="U5" i="20"/>
  <c r="G55" i="18"/>
  <c r="G14" i="18"/>
  <c r="D1" i="21"/>
  <c r="G114" i="63"/>
  <c r="G60" i="18"/>
  <c r="E115" i="63"/>
  <c r="E61" i="18"/>
  <c r="E60" i="18"/>
  <c r="E114" i="63"/>
  <c r="G61" i="18"/>
  <c r="G115" i="63"/>
  <c r="D85" i="62"/>
  <c r="E79" i="62"/>
  <c r="U4" i="20"/>
  <c r="L14" i="18"/>
  <c r="K14" i="63"/>
  <c r="U6" i="20"/>
  <c r="T7" i="20"/>
  <c r="E87" i="62" a="1"/>
  <c r="E85" i="62" a="1"/>
  <c r="E86" i="62" a="1"/>
  <c r="E84" i="62" a="1"/>
  <c r="E86" i="62" l="1"/>
  <c r="F80" i="62"/>
  <c r="E87" i="62"/>
  <c r="E84" i="62"/>
  <c r="F81" i="62"/>
  <c r="F78" i="62"/>
  <c r="E85" i="62"/>
  <c r="F79" i="62"/>
  <c r="U7" i="20"/>
  <c r="T8" i="20"/>
  <c r="F87" i="62" a="1"/>
  <c r="F85" i="62" a="1"/>
  <c r="F86" i="62" a="1"/>
  <c r="F84" i="62" a="1"/>
  <c r="F86" i="62" l="1"/>
  <c r="G80" i="62"/>
  <c r="F87" i="62"/>
  <c r="F84" i="62"/>
  <c r="G81" i="62"/>
  <c r="G78" i="62"/>
  <c r="F85" i="62"/>
  <c r="G79" i="62"/>
  <c r="U8" i="20"/>
  <c r="T9" i="20"/>
  <c r="G84" i="62" a="1"/>
  <c r="G86" i="62" a="1"/>
  <c r="G85" i="62" a="1"/>
  <c r="G87" i="62" a="1"/>
  <c r="G86" i="62" l="1"/>
  <c r="H80" i="62"/>
  <c r="G84" i="62"/>
  <c r="G87" i="62"/>
  <c r="H78" i="62"/>
  <c r="H81" i="62"/>
  <c r="G85" i="62"/>
  <c r="H79" i="62"/>
  <c r="U9" i="20"/>
  <c r="T10" i="20"/>
  <c r="H87" i="62" a="1"/>
  <c r="H85" i="62" a="1"/>
  <c r="H86" i="62" a="1"/>
  <c r="H84" i="62" a="1"/>
  <c r="H86" i="62" l="1"/>
  <c r="I80" i="62"/>
  <c r="H87" i="62"/>
  <c r="H84" i="62"/>
  <c r="I81" i="62"/>
  <c r="I78" i="62"/>
  <c r="H85" i="62"/>
  <c r="I79" i="62"/>
  <c r="U10" i="20"/>
  <c r="T11" i="20"/>
  <c r="I84" i="62" a="1"/>
  <c r="I86" i="62" a="1"/>
  <c r="I85" i="62" a="1"/>
  <c r="I87" i="62" a="1"/>
  <c r="I86" i="62" l="1"/>
  <c r="J80" i="62"/>
  <c r="I84" i="62"/>
  <c r="I87" i="62"/>
  <c r="J78" i="62"/>
  <c r="J81" i="62"/>
  <c r="I85" i="62"/>
  <c r="J79" i="62"/>
  <c r="T12" i="20"/>
  <c r="U11" i="20"/>
  <c r="J87" i="62" a="1"/>
  <c r="J85" i="62" a="1"/>
  <c r="J86" i="62" a="1"/>
  <c r="J84" i="62" a="1"/>
  <c r="J86" i="62" l="1"/>
  <c r="K80" i="62"/>
  <c r="J87" i="62"/>
  <c r="J84" i="62"/>
  <c r="K81" i="62"/>
  <c r="K78" i="62"/>
  <c r="J85" i="62"/>
  <c r="K79" i="62"/>
  <c r="U12" i="20"/>
  <c r="T13" i="20"/>
  <c r="K84" i="62" a="1"/>
  <c r="K87" i="62" a="1"/>
  <c r="K85" i="62" a="1"/>
  <c r="K86" i="62" a="1"/>
  <c r="K86" i="62" l="1"/>
  <c r="L80" i="62"/>
  <c r="K84" i="62"/>
  <c r="K87" i="62"/>
  <c r="L78" i="62"/>
  <c r="L81" i="62"/>
  <c r="K85" i="62"/>
  <c r="L79" i="62"/>
  <c r="T14" i="20"/>
  <c r="U13" i="20"/>
  <c r="L87" i="62" a="1"/>
  <c r="L85" i="62" a="1"/>
  <c r="L86" i="62" a="1"/>
  <c r="L84" i="62" a="1"/>
  <c r="L86" i="62" l="1"/>
  <c r="M80" i="62"/>
  <c r="L87" i="62"/>
  <c r="L84" i="62"/>
  <c r="M81" i="62"/>
  <c r="M78" i="62"/>
  <c r="L85" i="62"/>
  <c r="M79" i="62"/>
  <c r="T15" i="20"/>
  <c r="U14" i="20"/>
  <c r="M84" i="62" a="1"/>
  <c r="M87" i="62" a="1"/>
  <c r="M85" i="62" a="1"/>
  <c r="M86" i="62" a="1"/>
  <c r="M86" i="62" l="1"/>
  <c r="N80" i="62"/>
  <c r="M84" i="62"/>
  <c r="M87" i="62"/>
  <c r="N78" i="62"/>
  <c r="N81" i="62"/>
  <c r="M85" i="62"/>
  <c r="N79" i="62"/>
  <c r="U15" i="20"/>
  <c r="T16" i="20"/>
  <c r="N87" i="62" a="1"/>
  <c r="N84" i="62" a="1"/>
  <c r="N85" i="62" a="1"/>
  <c r="N86" i="62" a="1"/>
  <c r="N86" i="62" l="1"/>
  <c r="O80" i="62"/>
  <c r="N87" i="62"/>
  <c r="N84" i="62"/>
  <c r="O81" i="62"/>
  <c r="O78" i="62"/>
  <c r="N85" i="62"/>
  <c r="O79" i="62"/>
  <c r="U16" i="20"/>
  <c r="T17" i="20"/>
  <c r="O84" i="62" a="1"/>
  <c r="O85" i="62" a="1"/>
  <c r="O87" i="62" a="1"/>
  <c r="O86" i="62" a="1"/>
  <c r="O86" i="62" l="1"/>
  <c r="P80" i="62"/>
  <c r="O84" i="62"/>
  <c r="O87" i="62"/>
  <c r="P78" i="62"/>
  <c r="P81" i="62"/>
  <c r="O85" i="62"/>
  <c r="P79" i="62"/>
  <c r="U17" i="20"/>
  <c r="T18" i="20"/>
  <c r="P87" i="62" a="1"/>
  <c r="P85" i="62" a="1"/>
  <c r="P86" i="62" a="1"/>
  <c r="P84" i="62" a="1"/>
  <c r="P86" i="62" l="1"/>
  <c r="Q80" i="62"/>
  <c r="P87" i="62"/>
  <c r="P84" i="62"/>
  <c r="Q81" i="62"/>
  <c r="Q78" i="62"/>
  <c r="P85" i="62"/>
  <c r="Q79" i="62"/>
  <c r="T19" i="20"/>
  <c r="U18" i="20"/>
  <c r="Q84" i="62" a="1"/>
  <c r="Q86" i="62" a="1"/>
  <c r="Q85" i="62" a="1"/>
  <c r="Q87" i="62" a="1"/>
  <c r="Q86" i="62" l="1"/>
  <c r="R80" i="62"/>
  <c r="Q84" i="62"/>
  <c r="Q87" i="62"/>
  <c r="R78" i="62"/>
  <c r="R81" i="62"/>
  <c r="Q85" i="62"/>
  <c r="R79" i="62"/>
  <c r="U19" i="20"/>
  <c r="T20" i="20"/>
  <c r="R87" i="62" a="1"/>
  <c r="R86" i="62" a="1"/>
  <c r="R85" i="62" a="1"/>
  <c r="R84" i="62" a="1"/>
  <c r="R86" i="62" l="1"/>
  <c r="S80" i="62"/>
  <c r="R87" i="62"/>
  <c r="R84" i="62"/>
  <c r="S81" i="62"/>
  <c r="S78" i="62"/>
  <c r="R85" i="62"/>
  <c r="S79" i="62"/>
  <c r="U20" i="20"/>
  <c r="T21" i="20"/>
  <c r="S84" i="62" a="1"/>
  <c r="S86" i="62" a="1"/>
  <c r="S85" i="62" a="1"/>
  <c r="S87" i="62" a="1"/>
  <c r="S86" i="62" l="1"/>
  <c r="T80" i="62"/>
  <c r="S84" i="62"/>
  <c r="S87" i="62"/>
  <c r="T78" i="62"/>
  <c r="T81" i="62"/>
  <c r="S85" i="62"/>
  <c r="T79" i="62"/>
  <c r="T22" i="20"/>
  <c r="U21" i="20"/>
  <c r="T87" i="62" a="1"/>
  <c r="T86" i="62" a="1"/>
  <c r="T85" i="62" a="1"/>
  <c r="T84" i="62" a="1"/>
  <c r="T86" i="62" l="1"/>
  <c r="U80" i="62"/>
  <c r="T87" i="62"/>
  <c r="T84" i="62"/>
  <c r="U81" i="62"/>
  <c r="U78" i="62"/>
  <c r="T85" i="62"/>
  <c r="U79" i="62"/>
  <c r="T23" i="20"/>
  <c r="U22" i="20"/>
  <c r="U84" i="62" a="1"/>
  <c r="U86" i="62" a="1"/>
  <c r="U85" i="62" a="1"/>
  <c r="U87" i="62" a="1"/>
  <c r="U86" i="62" l="1"/>
  <c r="V80" i="62"/>
  <c r="U84" i="62"/>
  <c r="U87" i="62"/>
  <c r="V78" i="62"/>
  <c r="V81" i="62"/>
  <c r="U85" i="62"/>
  <c r="V79" i="62"/>
  <c r="T24" i="20"/>
  <c r="U23" i="20"/>
  <c r="V87" i="62" a="1"/>
  <c r="V86" i="62" a="1"/>
  <c r="V84" i="62" a="1"/>
  <c r="V85" i="62" a="1"/>
  <c r="V86" i="62" l="1"/>
  <c r="W80" i="62"/>
  <c r="V87" i="62"/>
  <c r="V84" i="62"/>
  <c r="W81" i="62"/>
  <c r="W78" i="62"/>
  <c r="V85" i="62"/>
  <c r="W79" i="62"/>
  <c r="U24" i="20"/>
  <c r="T25" i="20"/>
  <c r="W84" i="62" a="1"/>
  <c r="W85" i="62" a="1"/>
  <c r="W86" i="62" a="1"/>
  <c r="W87" i="62" a="1"/>
  <c r="W86" i="62" l="1"/>
  <c r="X80" i="62"/>
  <c r="W84" i="62"/>
  <c r="W87" i="62"/>
  <c r="X78" i="62"/>
  <c r="X81" i="62"/>
  <c r="W85" i="62"/>
  <c r="X79" i="62"/>
  <c r="U25" i="20"/>
  <c r="T26" i="20"/>
  <c r="X87" i="62" a="1"/>
  <c r="X85" i="62" a="1"/>
  <c r="X84" i="62" a="1"/>
  <c r="X86" i="62" a="1"/>
  <c r="X86" i="62" l="1"/>
  <c r="Y80" i="62"/>
  <c r="X87" i="62"/>
  <c r="X84" i="62"/>
  <c r="Y81" i="62"/>
  <c r="Y78" i="62"/>
  <c r="X85" i="62"/>
  <c r="Y79" i="62"/>
  <c r="T27" i="20"/>
  <c r="U26" i="20"/>
  <c r="Y84" i="62" a="1"/>
  <c r="Y87" i="62" a="1"/>
  <c r="Y85" i="62" a="1"/>
  <c r="Y86" i="62" a="1"/>
  <c r="Y86" i="62" l="1"/>
  <c r="Z80" i="62"/>
  <c r="Y84" i="62"/>
  <c r="Y87" i="62"/>
  <c r="Z78" i="62"/>
  <c r="Z81" i="62"/>
  <c r="Y85" i="62"/>
  <c r="Z79" i="62"/>
  <c r="U27" i="20"/>
  <c r="T28" i="20"/>
  <c r="Z87" i="62" a="1"/>
  <c r="Z85" i="62" a="1"/>
  <c r="Z86" i="62" a="1"/>
  <c r="Z84" i="62" a="1"/>
  <c r="Z86" i="62" l="1"/>
  <c r="AA80" i="62"/>
  <c r="Z87" i="62"/>
  <c r="Z84" i="62"/>
  <c r="AA81" i="62"/>
  <c r="AA78" i="62"/>
  <c r="Z85" i="62"/>
  <c r="AA79" i="62"/>
  <c r="T29" i="20"/>
  <c r="U28" i="20"/>
  <c r="AA86" i="62" a="1"/>
  <c r="AA87" i="62" a="1"/>
  <c r="AA84" i="62" a="1"/>
  <c r="AA85" i="62" a="1"/>
  <c r="AA86" i="62" l="1"/>
  <c r="AB80" i="62"/>
  <c r="AA87" i="62"/>
  <c r="AA84" i="62"/>
  <c r="AB81" i="62"/>
  <c r="AB78" i="62"/>
  <c r="AA85" i="62"/>
  <c r="AB79" i="62"/>
  <c r="T30" i="20"/>
  <c r="U29" i="20"/>
  <c r="AB84" i="62" a="1"/>
  <c r="AB85" i="62" a="1"/>
  <c r="AB86" i="62" a="1"/>
  <c r="AB87" i="62" a="1"/>
  <c r="AB86" i="62" l="1"/>
  <c r="AC86" i="62" s="1"/>
  <c r="AC80" i="62"/>
  <c r="AB84" i="62"/>
  <c r="AC84" i="62" s="1"/>
  <c r="AB87" i="62"/>
  <c r="AC87" i="62" s="1"/>
  <c r="AC78" i="62"/>
  <c r="AC81" i="62"/>
  <c r="AB85" i="62"/>
  <c r="AC85" i="62" s="1"/>
  <c r="AC79" i="62"/>
  <c r="U30" i="20"/>
  <c r="T31" i="20"/>
  <c r="AD83" i="62" l="1"/>
  <c r="AD77" i="62"/>
  <c r="T32" i="20"/>
  <c r="U31" i="20"/>
  <c r="T33" i="20" l="1"/>
  <c r="U33" i="20" s="1"/>
  <c r="U32" i="2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Hajir</author>
  </authors>
  <commentList>
    <comment ref="B46" authorId="0" shapeId="0" xr:uid="{8A57B5BB-93BB-419D-A10E-10E4BAB4E075}">
      <text>
        <r>
          <rPr>
            <b/>
            <sz val="9"/>
            <color indexed="81"/>
            <rFont val="Tahoma"/>
            <family val="2"/>
          </rPr>
          <t>Hajir:</t>
        </r>
        <r>
          <rPr>
            <sz val="9"/>
            <color indexed="81"/>
            <rFont val="Tahoma"/>
            <family val="2"/>
          </rPr>
          <t xml:space="preserve">
Removed - June 2025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Hajir H</author>
    <author>Erik Bowden</author>
  </authors>
  <commentList>
    <comment ref="B36" authorId="0" shapeId="0" xr:uid="{E45F926D-8A47-4F9D-9119-98EB8EB88D20}">
      <text>
        <r>
          <rPr>
            <sz val="9"/>
            <color indexed="81"/>
            <rFont val="Tahoma"/>
            <family val="2"/>
          </rPr>
          <t xml:space="preserve">Ceiling area calculation is derived from cells C20 and C21, users should ensure that these cells are populated correctly.  In instances where the basement ceiling is not covered, apply a ratio in the appropriate assembly to reflect the correct area value.  </t>
        </r>
      </text>
    </comment>
    <comment ref="G47" authorId="1" shapeId="0" xr:uid="{00000000-0006-0000-0600-000001000000}">
      <text>
        <r>
          <rPr>
            <u/>
            <sz val="11"/>
            <color indexed="81"/>
            <rFont val="Tahoma"/>
            <family val="2"/>
          </rPr>
          <t xml:space="preserve">
AREA VALUE INCLUDED IN:</t>
        </r>
        <r>
          <rPr>
            <sz val="11"/>
            <color indexed="81"/>
            <rFont val="Tahoma"/>
            <family val="2"/>
          </rPr>
          <t xml:space="preserve"> 
– </t>
        </r>
        <r>
          <rPr>
            <b/>
            <sz val="11"/>
            <color indexed="81"/>
            <rFont val="Tahoma"/>
            <family val="2"/>
          </rPr>
          <t>Exterior Wall Framing</t>
        </r>
        <r>
          <rPr>
            <sz val="11"/>
            <color indexed="81"/>
            <rFont val="Tahoma"/>
            <family val="2"/>
          </rPr>
          <t xml:space="preserve"> in the </t>
        </r>
        <r>
          <rPr>
            <b/>
            <sz val="11"/>
            <color indexed="81"/>
            <rFont val="Tahoma"/>
            <family val="2"/>
          </rPr>
          <t>Ext. Walls</t>
        </r>
        <r>
          <rPr>
            <sz val="11"/>
            <color indexed="81"/>
            <rFont val="Tahoma"/>
            <family val="2"/>
          </rPr>
          <t xml:space="preserve"> tab;
– </t>
        </r>
        <r>
          <rPr>
            <b/>
            <sz val="11"/>
            <color indexed="81"/>
            <rFont val="Tahoma"/>
            <family val="2"/>
          </rPr>
          <t xml:space="preserve">CMU Walls </t>
        </r>
        <r>
          <rPr>
            <sz val="11"/>
            <color indexed="81"/>
            <rFont val="Tahoma"/>
            <family val="2"/>
          </rPr>
          <t xml:space="preserve">in the </t>
        </r>
        <r>
          <rPr>
            <b/>
            <sz val="11"/>
            <color indexed="81"/>
            <rFont val="Tahoma"/>
            <family val="2"/>
          </rPr>
          <t>Ext. Walls</t>
        </r>
        <r>
          <rPr>
            <sz val="11"/>
            <color indexed="81"/>
            <rFont val="Tahoma"/>
            <family val="2"/>
          </rPr>
          <t xml:space="preserve"> tab;
– </t>
        </r>
        <r>
          <rPr>
            <b/>
            <sz val="11"/>
            <color indexed="81"/>
            <rFont val="Tahoma"/>
            <family val="2"/>
          </rPr>
          <t>Interior Cladding of Exterior walls</t>
        </r>
        <r>
          <rPr>
            <sz val="11"/>
            <color indexed="81"/>
            <rFont val="Tahoma"/>
            <family val="2"/>
          </rPr>
          <t xml:space="preserve"> area in the </t>
        </r>
        <r>
          <rPr>
            <b/>
            <sz val="11"/>
            <color indexed="81"/>
            <rFont val="Tahoma"/>
            <family val="2"/>
          </rPr>
          <t>Cladding</t>
        </r>
        <r>
          <rPr>
            <sz val="11"/>
            <color indexed="81"/>
            <rFont val="Tahoma"/>
            <family val="2"/>
          </rPr>
          <t xml:space="preserve"> tab;
– </t>
        </r>
        <r>
          <rPr>
            <b/>
            <sz val="11"/>
            <color indexed="81"/>
            <rFont val="Tahoma"/>
            <family val="2"/>
          </rPr>
          <t>Interior Cladding of</t>
        </r>
        <r>
          <rPr>
            <sz val="11"/>
            <color indexed="81"/>
            <rFont val="Tahoma"/>
            <family val="2"/>
          </rPr>
          <t xml:space="preserve"> </t>
        </r>
        <r>
          <rPr>
            <b/>
            <sz val="11"/>
            <color indexed="81"/>
            <rFont val="Tahoma"/>
            <family val="2"/>
          </rPr>
          <t>Interior Garage Walls</t>
        </r>
        <r>
          <rPr>
            <sz val="11"/>
            <color indexed="81"/>
            <rFont val="Tahoma"/>
            <family val="2"/>
          </rPr>
          <t xml:space="preserve"> area in the </t>
        </r>
        <r>
          <rPr>
            <b/>
            <sz val="11"/>
            <color indexed="81"/>
            <rFont val="Tahoma"/>
            <family val="2"/>
          </rPr>
          <t xml:space="preserve">Garage </t>
        </r>
        <r>
          <rPr>
            <sz val="11"/>
            <color indexed="81"/>
            <rFont val="Tahoma"/>
            <family val="2"/>
          </rPr>
          <t xml:space="preserve">tab;
– </t>
        </r>
        <r>
          <rPr>
            <b/>
            <sz val="11"/>
            <color indexed="81"/>
            <rFont val="Tahoma"/>
            <family val="2"/>
          </rPr>
          <t>Garage Attachment Wall Insulation</t>
        </r>
        <r>
          <rPr>
            <sz val="11"/>
            <color indexed="81"/>
            <rFont val="Tahoma"/>
            <family val="2"/>
          </rPr>
          <t xml:space="preserve"> area in the </t>
        </r>
        <r>
          <rPr>
            <b/>
            <sz val="11"/>
            <color indexed="81"/>
            <rFont val="Tahoma"/>
            <family val="2"/>
          </rPr>
          <t>Garage</t>
        </r>
        <r>
          <rPr>
            <sz val="11"/>
            <color indexed="81"/>
            <rFont val="Tahoma"/>
            <family val="2"/>
          </rPr>
          <t xml:space="preserve"> tab
</t>
        </r>
      </text>
    </comment>
    <comment ref="G55" authorId="1" shapeId="0" xr:uid="{00000000-0006-0000-0600-000002000000}">
      <text>
        <r>
          <rPr>
            <u/>
            <sz val="12"/>
            <color indexed="81"/>
            <rFont val="Tahoma"/>
            <family val="2"/>
          </rPr>
          <t xml:space="preserve">For HOT2000 users: </t>
        </r>
        <r>
          <rPr>
            <b/>
            <sz val="12"/>
            <color indexed="81"/>
            <rFont val="Tahoma"/>
            <family val="2"/>
          </rPr>
          <t xml:space="preserve">
</t>
        </r>
        <r>
          <rPr>
            <sz val="12"/>
            <color indexed="81"/>
            <rFont val="Tahoma"/>
            <family val="2"/>
          </rPr>
          <t xml:space="preserve">If the garage roof was modeled in HOT2000, the imported </t>
        </r>
        <r>
          <rPr>
            <b/>
            <sz val="12"/>
            <color indexed="81"/>
            <rFont val="Tahoma"/>
            <family val="2"/>
          </rPr>
          <t xml:space="preserve"> </t>
        </r>
        <r>
          <rPr>
            <sz val="12"/>
            <color indexed="81"/>
            <rFont val="Tahoma"/>
            <family val="2"/>
          </rPr>
          <t xml:space="preserve">total </t>
        </r>
        <r>
          <rPr>
            <b/>
            <sz val="12"/>
            <color indexed="81"/>
            <rFont val="Tahoma"/>
            <family val="2"/>
          </rPr>
          <t>ROOFING AREA</t>
        </r>
        <r>
          <rPr>
            <sz val="12"/>
            <color indexed="81"/>
            <rFont val="Tahoma"/>
            <family val="2"/>
          </rPr>
          <t xml:space="preserve"> value in the section above includes the modeled garage roof area. If the garage roof materials are different from the main roof, enter </t>
        </r>
        <r>
          <rPr>
            <b/>
            <sz val="12"/>
            <color indexed="81"/>
            <rFont val="Tahoma"/>
            <family val="2"/>
          </rPr>
          <t>GARAGE ROOFING AREA</t>
        </r>
        <r>
          <rPr>
            <sz val="12"/>
            <color indexed="81"/>
            <rFont val="Tahoma"/>
            <family val="2"/>
          </rPr>
          <t xml:space="preserve"> and manually subtract this value from the total</t>
        </r>
        <r>
          <rPr>
            <b/>
            <sz val="12"/>
            <color indexed="81"/>
            <rFont val="Tahoma"/>
            <family val="2"/>
          </rPr>
          <t xml:space="preserve"> ROOFING AREA</t>
        </r>
        <r>
          <rPr>
            <sz val="12"/>
            <color indexed="81"/>
            <rFont val="Tahoma"/>
            <family val="2"/>
          </rPr>
          <t xml:space="preserve"> above.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Hajir</author>
  </authors>
  <commentList>
    <comment ref="A1" authorId="0" shapeId="0" xr:uid="{876FA563-F3F0-463A-9F6D-BC38514CB102}">
      <text>
        <r>
          <rPr>
            <b/>
            <sz val="9"/>
            <color indexed="81"/>
            <rFont val="Tahoma"/>
            <family val="2"/>
          </rPr>
          <t xml:space="preserve">About this sheet:
</t>
        </r>
        <r>
          <rPr>
            <sz val="9"/>
            <color indexed="81"/>
            <rFont val="Tahoma"/>
            <family val="2"/>
          </rPr>
          <t>In this sheet, the values in column H of sheets for the concrete rows are saved. 
When users switch between provinces, the saved values are restored</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2E5EE77C-A273-41D3-A02D-FF4566A9F591}">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D4B4EBCB-735A-4499-921A-0FC582CFD338}">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154A4EEF-9764-4AD3-8E8D-6E487F006998}">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3354B0EB-D403-4273-9215-1BB017548151}">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423FFF31-41EF-430E-ACA5-C2FF6A40F686}">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0A26945B-B822-4C4C-8C00-10559D49301F}">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80A13F6E-CC6E-4F2A-A4A7-78006D7DD947}">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C7B51F27-2E85-4B4D-94BF-F385CDAA5233}">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9C72AC44-0CBC-4B61-8A10-CBD758C3278A}">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9F87276F-992E-423B-A05D-80642EE9E857}">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0175E58B-243D-4E95-88C7-4018B0337148}">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97190D37-3674-4105-9254-4688FD49D409}">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0D555640-0D3E-4C6B-B692-4BF24A689946}">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E80F9CE0-480C-4323-A815-88527D71C5BC}">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C7BCF558-C92C-4B01-A244-295C86BEAAF5}">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ABFB5C2A-BE42-40C9-82DE-DEDE8D9B1DBF}">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58CC9711-EF66-4F93-BC0A-58A7118D0AC6}">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68F4F9DA-67E8-4FEC-8116-309E0F9BDC8D}">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34A23B05-520E-4AD9-A7C0-7968B3A93680}">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89A26E48-AA79-42E6-8361-A5751AFDA8A7}">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57110774-5C55-4A12-A188-D7BCD7CAA6A0}">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C4F3E0EC-4C6F-41DF-B6DF-58FE206E048D}">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AF95318B-45C0-487E-BD43-C426D4075B6C}">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88AD00E0-6D6F-4D7A-8DD4-388621CA49D9}">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20A58ECE-538B-4B53-9CE8-D3A7F7A4625C}">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6882818A-CCBB-42B3-8F20-404C20946E46}">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Hajir H</author>
    <author>Hajir</author>
  </authors>
  <commentList>
    <comment ref="J3" authorId="0" shapeId="0" xr:uid="{082E5050-6487-4006-92C0-572CC4BE9AF3}">
      <text>
        <r>
          <rPr>
            <b/>
            <sz val="9"/>
            <color indexed="81"/>
            <rFont val="Tahoma"/>
            <family val="2"/>
          </rPr>
          <t>Hajir H:</t>
        </r>
        <r>
          <rPr>
            <sz val="9"/>
            <color indexed="81"/>
            <rFont val="Tahoma"/>
            <family val="2"/>
          </rPr>
          <t xml:space="preserve">
As of Jan 2026, this column is archived and the formulas in this column has no use</t>
        </r>
      </text>
    </comment>
    <comment ref="K3" authorId="0" shapeId="0" xr:uid="{374F0A9C-260C-42C5-B813-8F8B146A3463}">
      <text>
        <r>
          <rPr>
            <b/>
            <sz val="9"/>
            <color indexed="81"/>
            <rFont val="Tahoma"/>
            <family val="2"/>
          </rPr>
          <t>Hajir H:</t>
        </r>
        <r>
          <rPr>
            <sz val="9"/>
            <color indexed="81"/>
            <rFont val="Tahoma"/>
            <family val="2"/>
          </rPr>
          <t xml:space="preserve">
As of Jan 2026, this column is archived and the formulas in this column has no use</t>
        </r>
      </text>
    </comment>
    <comment ref="U6" authorId="1" shapeId="0" xr:uid="{00000000-0006-0000-1400-000001000000}">
      <text>
        <r>
          <rPr>
            <sz val="9"/>
            <color indexed="81"/>
            <rFont val="Tahoma"/>
            <family val="2"/>
          </rPr>
          <t>This column contains 
+ Number before comma: the index of the selected material in this row, which is used for translation purposes
+ Number after comma: the column number of the related material list in the Dropdown Lists sheet
+ Keep the second column blank which is used by the macro
Keep the second column blank which is used by the macro. The macro copies the first column to the second column.</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G1" authorId="0" shapeId="0" xr:uid="{9D897D01-8681-4DBC-A04A-AE043F4FBB58}">
      <text>
        <r>
          <rPr>
            <b/>
            <sz val="9"/>
            <color indexed="81"/>
            <rFont val="Tahoma"/>
            <family val="2"/>
          </rPr>
          <t>Hajir H:</t>
        </r>
        <r>
          <rPr>
            <sz val="9"/>
            <color indexed="81"/>
            <rFont val="Tahoma"/>
            <family val="2"/>
          </rPr>
          <t xml:space="preserve">
This column is archived and the formula inside it is void</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Hajir</author>
    <author>Hajir H</author>
    <author>Erik Bowden</author>
  </authors>
  <commentList>
    <comment ref="D2" authorId="0" shapeId="0" xr:uid="{79BE3600-9303-431A-B6A5-4C29C1D3007E}">
      <text>
        <r>
          <rPr>
            <sz val="9"/>
            <color indexed="81"/>
            <rFont val="Tahoma"/>
            <family val="2"/>
          </rPr>
          <t xml:space="preserve">This column contains additional info for example,
+ For “Range” type, you can set this column to True, then the macro copies the cell of that range as is, not just its values.
+ For “Shape” type, you can indicates what part of shape to be translated in this column
</t>
        </r>
      </text>
    </comment>
    <comment ref="E87" authorId="1" shapeId="0" xr:uid="{96EB7EB1-2EDC-4127-9EF9-65E9F229CD46}">
      <text>
        <r>
          <rPr>
            <sz val="9"/>
            <color indexed="81"/>
            <rFont val="Tahoma"/>
            <family val="2"/>
          </rPr>
          <t xml:space="preserve">Ceiling area calculation is derived from cells C20 and C21, users should ensure that these cells are populated correctly.  In instances where the basement ceiling is not covered, apply a ratio in the appropriate assembly to reflect the correct area value.  </t>
        </r>
      </text>
    </comment>
    <comment ref="E140" authorId="2" shapeId="0" xr:uid="{3578D50E-F513-4270-88A0-42C549ED1DF5}">
      <text>
        <r>
          <rPr>
            <u/>
            <sz val="11"/>
            <color indexed="81"/>
            <rFont val="Tahoma"/>
            <family val="2"/>
          </rPr>
          <t xml:space="preserve">
AREA VALUE INCLUDED IN:</t>
        </r>
        <r>
          <rPr>
            <sz val="11"/>
            <color indexed="81"/>
            <rFont val="Tahoma"/>
            <family val="2"/>
          </rPr>
          <t xml:space="preserve"> 
– </t>
        </r>
        <r>
          <rPr>
            <b/>
            <sz val="11"/>
            <color indexed="81"/>
            <rFont val="Tahoma"/>
            <family val="2"/>
          </rPr>
          <t>Exterior Wall Framing</t>
        </r>
        <r>
          <rPr>
            <sz val="11"/>
            <color indexed="81"/>
            <rFont val="Tahoma"/>
            <family val="2"/>
          </rPr>
          <t xml:space="preserve"> in the </t>
        </r>
        <r>
          <rPr>
            <b/>
            <sz val="11"/>
            <color indexed="81"/>
            <rFont val="Tahoma"/>
            <family val="2"/>
          </rPr>
          <t>Ext. Walls</t>
        </r>
        <r>
          <rPr>
            <sz val="11"/>
            <color indexed="81"/>
            <rFont val="Tahoma"/>
            <family val="2"/>
          </rPr>
          <t xml:space="preserve"> tab;
– </t>
        </r>
        <r>
          <rPr>
            <b/>
            <sz val="11"/>
            <color indexed="81"/>
            <rFont val="Tahoma"/>
            <family val="2"/>
          </rPr>
          <t xml:space="preserve">CMU Walls </t>
        </r>
        <r>
          <rPr>
            <sz val="11"/>
            <color indexed="81"/>
            <rFont val="Tahoma"/>
            <family val="2"/>
          </rPr>
          <t xml:space="preserve">in the </t>
        </r>
        <r>
          <rPr>
            <b/>
            <sz val="11"/>
            <color indexed="81"/>
            <rFont val="Tahoma"/>
            <family val="2"/>
          </rPr>
          <t>Ext. Walls</t>
        </r>
        <r>
          <rPr>
            <sz val="11"/>
            <color indexed="81"/>
            <rFont val="Tahoma"/>
            <family val="2"/>
          </rPr>
          <t xml:space="preserve"> tab;
– </t>
        </r>
        <r>
          <rPr>
            <b/>
            <sz val="11"/>
            <color indexed="81"/>
            <rFont val="Tahoma"/>
            <family val="2"/>
          </rPr>
          <t>Interior Cladding of Exterior walls</t>
        </r>
        <r>
          <rPr>
            <sz val="11"/>
            <color indexed="81"/>
            <rFont val="Tahoma"/>
            <family val="2"/>
          </rPr>
          <t xml:space="preserve"> area in the </t>
        </r>
        <r>
          <rPr>
            <b/>
            <sz val="11"/>
            <color indexed="81"/>
            <rFont val="Tahoma"/>
            <family val="2"/>
          </rPr>
          <t>Cladding</t>
        </r>
        <r>
          <rPr>
            <sz val="11"/>
            <color indexed="81"/>
            <rFont val="Tahoma"/>
            <family val="2"/>
          </rPr>
          <t xml:space="preserve"> tab;
– </t>
        </r>
        <r>
          <rPr>
            <b/>
            <sz val="11"/>
            <color indexed="81"/>
            <rFont val="Tahoma"/>
            <family val="2"/>
          </rPr>
          <t>Interior Cladding of</t>
        </r>
        <r>
          <rPr>
            <sz val="11"/>
            <color indexed="81"/>
            <rFont val="Tahoma"/>
            <family val="2"/>
          </rPr>
          <t xml:space="preserve"> </t>
        </r>
        <r>
          <rPr>
            <b/>
            <sz val="11"/>
            <color indexed="81"/>
            <rFont val="Tahoma"/>
            <family val="2"/>
          </rPr>
          <t>Interior Garage Walls</t>
        </r>
        <r>
          <rPr>
            <sz val="11"/>
            <color indexed="81"/>
            <rFont val="Tahoma"/>
            <family val="2"/>
          </rPr>
          <t xml:space="preserve"> area in the </t>
        </r>
        <r>
          <rPr>
            <b/>
            <sz val="11"/>
            <color indexed="81"/>
            <rFont val="Tahoma"/>
            <family val="2"/>
          </rPr>
          <t xml:space="preserve">Garage </t>
        </r>
        <r>
          <rPr>
            <sz val="11"/>
            <color indexed="81"/>
            <rFont val="Tahoma"/>
            <family val="2"/>
          </rPr>
          <t xml:space="preserve">tab;
– </t>
        </r>
        <r>
          <rPr>
            <b/>
            <sz val="11"/>
            <color indexed="81"/>
            <rFont val="Tahoma"/>
            <family val="2"/>
          </rPr>
          <t>Garage Attachment Wall Insulation</t>
        </r>
        <r>
          <rPr>
            <sz val="11"/>
            <color indexed="81"/>
            <rFont val="Tahoma"/>
            <family val="2"/>
          </rPr>
          <t xml:space="preserve"> area in the </t>
        </r>
        <r>
          <rPr>
            <b/>
            <sz val="11"/>
            <color indexed="81"/>
            <rFont val="Tahoma"/>
            <family val="2"/>
          </rPr>
          <t>Garage</t>
        </r>
        <r>
          <rPr>
            <sz val="11"/>
            <color indexed="81"/>
            <rFont val="Tahoma"/>
            <family val="2"/>
          </rPr>
          <t xml:space="preserve"> tab
</t>
        </r>
      </text>
    </comment>
    <comment ref="E149" authorId="2" shapeId="0" xr:uid="{409A542A-63D4-4BC8-916F-ABE40736B2EB}">
      <text>
        <r>
          <rPr>
            <u/>
            <sz val="12"/>
            <color indexed="81"/>
            <rFont val="Tahoma"/>
            <family val="2"/>
          </rPr>
          <t xml:space="preserve">For HOT2000 users: </t>
        </r>
        <r>
          <rPr>
            <b/>
            <sz val="12"/>
            <color indexed="81"/>
            <rFont val="Tahoma"/>
            <family val="2"/>
          </rPr>
          <t xml:space="preserve">
</t>
        </r>
        <r>
          <rPr>
            <sz val="12"/>
            <color indexed="81"/>
            <rFont val="Tahoma"/>
            <family val="2"/>
          </rPr>
          <t xml:space="preserve">If the garage roof was modeled in HOT2000, the imported </t>
        </r>
        <r>
          <rPr>
            <b/>
            <sz val="12"/>
            <color indexed="81"/>
            <rFont val="Tahoma"/>
            <family val="2"/>
          </rPr>
          <t xml:space="preserve"> </t>
        </r>
        <r>
          <rPr>
            <sz val="12"/>
            <color indexed="81"/>
            <rFont val="Tahoma"/>
            <family val="2"/>
          </rPr>
          <t xml:space="preserve">total </t>
        </r>
        <r>
          <rPr>
            <b/>
            <sz val="12"/>
            <color indexed="81"/>
            <rFont val="Tahoma"/>
            <family val="2"/>
          </rPr>
          <t>ROOFING AREA</t>
        </r>
        <r>
          <rPr>
            <sz val="12"/>
            <color indexed="81"/>
            <rFont val="Tahoma"/>
            <family val="2"/>
          </rPr>
          <t xml:space="preserve"> value in the section above includes the modeled garage roof area. If the garage roof materials are different from the main roof, enter </t>
        </r>
        <r>
          <rPr>
            <b/>
            <sz val="12"/>
            <color indexed="81"/>
            <rFont val="Tahoma"/>
            <family val="2"/>
          </rPr>
          <t>GARAGE ROOFING AREA</t>
        </r>
        <r>
          <rPr>
            <sz val="12"/>
            <color indexed="81"/>
            <rFont val="Tahoma"/>
            <family val="2"/>
          </rPr>
          <t xml:space="preserve"> and manually subtract this value from the total</t>
        </r>
        <r>
          <rPr>
            <b/>
            <sz val="12"/>
            <color indexed="81"/>
            <rFont val="Tahoma"/>
            <family val="2"/>
          </rPr>
          <t xml:space="preserve"> ROOFING AREA</t>
        </r>
        <r>
          <rPr>
            <sz val="12"/>
            <color indexed="81"/>
            <rFont val="Tahoma"/>
            <family val="2"/>
          </rPr>
          <t xml:space="preserve"> above. </t>
        </r>
      </text>
    </comment>
    <comment ref="E1749" authorId="2" shapeId="0" xr:uid="{9691CD8E-8B44-40BD-AAA5-ED7D23E0CC12}">
      <text>
        <r>
          <rPr>
            <b/>
            <sz val="9"/>
            <color indexed="81"/>
            <rFont val="Tahoma"/>
            <family val="2"/>
          </rPr>
          <t>Erik Bowden:</t>
        </r>
        <r>
          <rPr>
            <sz val="9"/>
            <color indexed="81"/>
            <rFont val="Tahoma"/>
            <family val="2"/>
          </rPr>
          <t xml:space="preserve">
Canadian Ready-Mixed Concrete Association</t>
        </r>
      </text>
    </comment>
    <comment ref="E1803" authorId="2" shapeId="0" xr:uid="{32A9327D-6A8D-40CC-9C7B-8BC58229114A}">
      <text>
        <r>
          <rPr>
            <b/>
            <sz val="9"/>
            <color indexed="81"/>
            <rFont val="Tahoma"/>
            <family val="2"/>
          </rPr>
          <t>Erik Bowden:</t>
        </r>
        <r>
          <rPr>
            <sz val="9"/>
            <color indexed="81"/>
            <rFont val="Tahoma"/>
            <family val="2"/>
          </rPr>
          <t xml:space="preserve">
National Ready-Mixed Concrete Association</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Hajir</author>
    <author>Hajir H</author>
    <author>Erik Bowden</author>
  </authors>
  <commentList>
    <comment ref="D2" authorId="0" shapeId="0" xr:uid="{9687F911-AA37-4747-B255-00BCDC98E5BB}">
      <text>
        <r>
          <rPr>
            <sz val="9"/>
            <color indexed="81"/>
            <rFont val="Tahoma"/>
            <family val="2"/>
          </rPr>
          <t xml:space="preserve">This column contains additional info for example,
+ For “Range” type, you can set this column to True, then the macro copies the cell of that range as is, not just its values.
+ For “Shape” type, you can indicates what part of shape to be translated in this column
</t>
        </r>
      </text>
    </comment>
    <comment ref="E87" authorId="1" shapeId="0" xr:uid="{F8FA062E-9CCC-4A8D-8F32-11A5FF7FC469}">
      <text>
        <r>
          <rPr>
            <sz val="9"/>
            <color indexed="81"/>
            <rFont val="Tahoma"/>
            <family val="2"/>
          </rPr>
          <t>Le calcul de la superficie du plafond est établi à partir des cellules C20 et C21; les utilisateurs doivent s’assurer que ces cellules sont correctement renseignées. Lorsque le plafond du sous-sol n’est pas couvert, un ratio doit être appliqué à l’assemblage approprié afin de refléter la valeur correcte de la superficie.</t>
        </r>
      </text>
    </comment>
    <comment ref="E140" authorId="2" shapeId="0" xr:uid="{9FE49CDD-71B4-4746-9990-6051B75A6CEB}">
      <text>
        <r>
          <rPr>
            <u/>
            <sz val="11"/>
            <color rgb="FF000000"/>
            <rFont val="Tahoma"/>
            <family val="2"/>
          </rPr>
          <t>VALEUR DE SURFACE INCLUSE :</t>
        </r>
        <r>
          <rPr>
            <sz val="11"/>
            <color rgb="FF000000"/>
            <rFont val="Tahoma"/>
            <family val="2"/>
          </rPr>
          <t xml:space="preserve"> 
</t>
        </r>
        <r>
          <rPr>
            <sz val="11"/>
            <color rgb="FF000000"/>
            <rFont val="Tahoma"/>
            <family val="2"/>
          </rPr>
          <t xml:space="preserve">– </t>
        </r>
        <r>
          <rPr>
            <b/>
            <sz val="11"/>
            <color rgb="FF000000"/>
            <rFont val="Tahoma"/>
            <family val="2"/>
          </rPr>
          <t>Encadrement des murs extérieurs</t>
        </r>
        <r>
          <rPr>
            <sz val="11"/>
            <color rgb="FF000000"/>
            <rFont val="Tahoma"/>
            <family val="2"/>
          </rPr>
          <t xml:space="preserve"> dans l'onglet </t>
        </r>
        <r>
          <rPr>
            <b/>
            <sz val="11"/>
            <color rgb="FF000000"/>
            <rFont val="Tahoma"/>
            <family val="2"/>
          </rPr>
          <t>Murs ext.</t>
        </r>
        <r>
          <rPr>
            <sz val="11"/>
            <color rgb="FF000000"/>
            <rFont val="Tahoma"/>
            <family val="2"/>
          </rPr>
          <t xml:space="preserve">;
</t>
        </r>
        <r>
          <rPr>
            <sz val="11"/>
            <color rgb="FF000000"/>
            <rFont val="Tahoma"/>
            <family val="2"/>
          </rPr>
          <t xml:space="preserve">– </t>
        </r>
        <r>
          <rPr>
            <b/>
            <sz val="11"/>
            <color rgb="FF000000"/>
            <rFont val="Tahoma"/>
            <family val="2"/>
          </rPr>
          <t xml:space="preserve">Murs en EMB </t>
        </r>
        <r>
          <rPr>
            <sz val="11"/>
            <color rgb="FF000000"/>
            <rFont val="Tahoma"/>
            <family val="2"/>
          </rPr>
          <t xml:space="preserve">dans l'onglet </t>
        </r>
        <r>
          <rPr>
            <b/>
            <sz val="11"/>
            <color rgb="FF000000"/>
            <rFont val="Tahoma"/>
            <family val="2"/>
          </rPr>
          <t>ExMurs ext.</t>
        </r>
        <r>
          <rPr>
            <sz val="11"/>
            <color rgb="FF000000"/>
            <rFont val="Tahoma"/>
            <family val="2"/>
          </rPr>
          <t xml:space="preserve">;
</t>
        </r>
        <r>
          <rPr>
            <sz val="11"/>
            <color rgb="FF000000"/>
            <rFont val="Tahoma"/>
            <family val="2"/>
          </rPr>
          <t xml:space="preserve">– </t>
        </r>
        <r>
          <rPr>
            <b/>
            <sz val="11"/>
            <color rgb="FF000000"/>
            <rFont val="Tahoma"/>
            <family val="2"/>
          </rPr>
          <t>Revêtement intérieur des murs extérieurs</t>
        </r>
        <r>
          <rPr>
            <sz val="11"/>
            <color rgb="FF000000"/>
            <rFont val="Tahoma"/>
            <family val="2"/>
          </rPr>
          <t xml:space="preserve"> dans l'onglet </t>
        </r>
        <r>
          <rPr>
            <b/>
            <sz val="11"/>
            <color rgb="FF000000"/>
            <rFont val="Tahoma"/>
            <family val="2"/>
          </rPr>
          <t>Revêtement</t>
        </r>
        <r>
          <rPr>
            <sz val="11"/>
            <color rgb="FF000000"/>
            <rFont val="Tahoma"/>
            <family val="2"/>
          </rPr>
          <t xml:space="preserve">;
</t>
        </r>
        <r>
          <rPr>
            <sz val="11"/>
            <color rgb="FF000000"/>
            <rFont val="Tahoma"/>
            <family val="2"/>
          </rPr>
          <t xml:space="preserve">– </t>
        </r>
        <r>
          <rPr>
            <b/>
            <sz val="11"/>
            <color rgb="FF000000"/>
            <rFont val="Tahoma"/>
            <family val="2"/>
          </rPr>
          <t>Revêtement intérieur des murs intérieurs du garage</t>
        </r>
        <r>
          <rPr>
            <sz val="11"/>
            <color rgb="FF000000"/>
            <rFont val="Tahoma"/>
            <family val="2"/>
          </rPr>
          <t xml:space="preserve"> dans l'onglet </t>
        </r>
        <r>
          <rPr>
            <b/>
            <sz val="11"/>
            <color rgb="FF000000"/>
            <rFont val="Tahoma"/>
            <family val="2"/>
          </rPr>
          <t>Garage</t>
        </r>
        <r>
          <rPr>
            <sz val="11"/>
            <color rgb="FF000000"/>
            <rFont val="Tahoma"/>
            <family val="2"/>
          </rPr>
          <t xml:space="preserve">;
</t>
        </r>
        <r>
          <rPr>
            <sz val="11"/>
            <color rgb="FF000000"/>
            <rFont val="Tahoma"/>
            <family val="2"/>
          </rPr>
          <t xml:space="preserve">– </t>
        </r>
        <r>
          <rPr>
            <b/>
            <sz val="11"/>
            <color rgb="FF000000"/>
            <rFont val="Tahoma"/>
            <family val="2"/>
          </rPr>
          <t>Zone d'isolation des murs de fixation du garage</t>
        </r>
        <r>
          <rPr>
            <sz val="11"/>
            <color rgb="FF000000"/>
            <rFont val="Tahoma"/>
            <family val="2"/>
          </rPr>
          <t xml:space="preserve"> dans l'onglet </t>
        </r>
        <r>
          <rPr>
            <b/>
            <sz val="11"/>
            <color rgb="FF000000"/>
            <rFont val="Tahoma"/>
            <family val="2"/>
          </rPr>
          <t>Garage.</t>
        </r>
        <r>
          <rPr>
            <sz val="11"/>
            <color rgb="FF000000"/>
            <rFont val="Tahoma"/>
            <family val="2"/>
          </rPr>
          <t xml:space="preserve">
</t>
        </r>
      </text>
    </comment>
    <comment ref="E149" authorId="2" shapeId="0" xr:uid="{C7317B8D-461C-4221-9E68-ADD71344E4D5}">
      <text>
        <r>
          <rPr>
            <sz val="12"/>
            <color rgb="FF000000"/>
            <rFont val="Tahoma"/>
            <family val="2"/>
          </rPr>
          <t xml:space="preserve">
</t>
        </r>
        <r>
          <rPr>
            <u/>
            <sz val="12"/>
            <color rgb="FF000000"/>
            <rFont val="Tahoma"/>
            <family val="2"/>
          </rPr>
          <t>Pour les utilisateurs de HOT2000 :</t>
        </r>
        <r>
          <rPr>
            <sz val="12"/>
            <color rgb="FF000000"/>
            <rFont val="Tahoma"/>
            <family val="2"/>
          </rPr>
          <t xml:space="preserve">
</t>
        </r>
        <r>
          <rPr>
            <sz val="12"/>
            <color rgb="FF000000"/>
            <rFont val="Tahoma"/>
            <family val="2"/>
          </rPr>
          <t xml:space="preserve">Si le toit du garage a été modélisé dans HOT2000,  la valeur de la </t>
        </r>
        <r>
          <rPr>
            <b/>
            <sz val="12"/>
            <color rgb="FF000000"/>
            <rFont val="Tahoma"/>
            <family val="2"/>
          </rPr>
          <t xml:space="preserve">superficie totale de la  TOITURE </t>
        </r>
        <r>
          <rPr>
            <sz val="12"/>
            <color rgb="FF000000"/>
            <rFont val="Tahoma"/>
            <family val="2"/>
          </rPr>
          <t xml:space="preserve">importée dans la section ci-dessus comprend la superficie modélisée du </t>
        </r>
        <r>
          <rPr>
            <b/>
            <sz val="12"/>
            <color rgb="FF000000"/>
            <rFont val="Tahoma"/>
            <family val="2"/>
          </rPr>
          <t>TOIT DU GARAGE</t>
        </r>
        <r>
          <rPr>
            <sz val="12"/>
            <color rgb="FF000000"/>
            <rFont val="Tahoma"/>
            <family val="2"/>
          </rPr>
          <t xml:space="preserve">.
</t>
        </r>
        <r>
          <rPr>
            <sz val="12"/>
            <color rgb="FF000000"/>
            <rFont val="Tahoma"/>
            <family val="2"/>
          </rPr>
          <t xml:space="preserve">Si les matériaux de la toiture du garage sont différents de ceux de la toiture principale, entrez la  </t>
        </r>
        <r>
          <rPr>
            <b/>
            <sz val="12"/>
            <color rgb="FF000000"/>
            <rFont val="Tahoma"/>
            <family val="2"/>
          </rPr>
          <t>SURFACE DE LA TOITURE DU GARAGE</t>
        </r>
        <r>
          <rPr>
            <sz val="12"/>
            <color rgb="FF000000"/>
            <rFont val="Tahoma"/>
            <family val="2"/>
          </rPr>
          <t xml:space="preserve"> et soustrayez manuellement cette valeur de la  </t>
        </r>
        <r>
          <rPr>
            <b/>
            <sz val="12"/>
            <color rgb="FF000000"/>
            <rFont val="Tahoma"/>
            <family val="2"/>
          </rPr>
          <t>SURFACE TOTALE DE LA TOITURE</t>
        </r>
        <r>
          <rPr>
            <sz val="12"/>
            <color rgb="FF000000"/>
            <rFont val="Tahoma"/>
            <family val="2"/>
          </rPr>
          <t xml:space="preserve"> ci-dessus.</t>
        </r>
      </text>
    </comment>
    <comment ref="E1749" authorId="2" shapeId="0" xr:uid="{E6708CA4-C77C-47A8-89C6-DF2A7838EE4B}">
      <text>
        <r>
          <rPr>
            <b/>
            <sz val="9"/>
            <color indexed="81"/>
            <rFont val="Tahoma"/>
            <family val="2"/>
          </rPr>
          <t>Erik Bowden:</t>
        </r>
        <r>
          <rPr>
            <sz val="9"/>
            <color indexed="81"/>
            <rFont val="Tahoma"/>
            <family val="2"/>
          </rPr>
          <t xml:space="preserve">
Association nationale du béton prémélangé</t>
        </r>
      </text>
    </comment>
    <comment ref="E1803" authorId="2" shapeId="0" xr:uid="{2929FF53-4458-483B-AA14-EC1967CD8DB2}">
      <text>
        <r>
          <rPr>
            <b/>
            <sz val="9"/>
            <color indexed="81"/>
            <rFont val="Tahoma"/>
            <family val="2"/>
          </rPr>
          <t>Erik Bowden:</t>
        </r>
        <r>
          <rPr>
            <sz val="9"/>
            <color indexed="81"/>
            <rFont val="Tahoma"/>
            <family val="2"/>
          </rPr>
          <t xml:space="preserve">
Association nationale du béton prémélangé</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Hajir</author>
  </authors>
  <commentList>
    <comment ref="A1" authorId="0" shapeId="0" xr:uid="{00000000-0006-0000-1800-000001000000}">
      <text>
        <r>
          <rPr>
            <sz val="9"/>
            <color indexed="81"/>
            <rFont val="Tahoma"/>
            <family val="2"/>
          </rPr>
          <t xml:space="preserve">**ABOUT THIS SHEET**
When to use this button?
Before using this workbook for the first time
When a new cell with an orange background for user entries is added. Clock to button to add the new cell to this sheet.
Please click the button below once. Before clicking the buttons,
+ Please make sure the language of the workbook is English, before clicking the button.
+ Clear the scenario names in the Scenario sheet. I.e. make the name of all scenarios equal to the blank scenario name, “Name of Scenario Here”
This sheet stores the address of all cells that are inputted by users. When users save a scenario, the value of those cells are stored in this sheet.
The purpose of the button in this sheet is to list the address of all cells whose value should be stored while saving a scenario.
</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Hajir</author>
  </authors>
  <commentList>
    <comment ref="A34" authorId="0" shapeId="0" xr:uid="{320E80C4-E9E4-4040-8C60-D019942DBF35}">
      <text>
        <r>
          <rPr>
            <sz val="9"/>
            <color indexed="81"/>
            <rFont val="Tahoma"/>
            <family val="2"/>
          </rPr>
          <t>If the values in Results sheet, H2K or NBC sheets are in K, then set the next cell to K to convert K values to G values. In calculations G values.
Note: This cell is covered by a white rectangle to make this hidden from users. This is updated only by admins.</t>
        </r>
      </text>
    </comment>
    <comment ref="B34" authorId="0" shapeId="0" xr:uid="{476F6EDC-983C-4F58-A488-31B833E0FD9A}">
      <text>
        <r>
          <rPr>
            <sz val="9"/>
            <color indexed="81"/>
            <rFont val="Tahoma"/>
            <family val="2"/>
          </rPr>
          <t>The value inside this cell should NOT be translated</t>
        </r>
      </text>
    </comment>
    <comment ref="C35" authorId="0" shapeId="0" xr:uid="{9A0597C8-F655-44AC-B42D-59391DE4665F}">
      <text>
        <r>
          <rPr>
            <sz val="9"/>
            <color indexed="81"/>
            <rFont val="Tahoma"/>
            <family val="2"/>
          </rPr>
          <t>Selected province
In this row, the data of the selected province (or its override value) is displayed</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Hajir</author>
  </authors>
  <commentList>
    <comment ref="A1" authorId="0" shapeId="0" xr:uid="{B397E664-DA46-4933-9C0C-CEBBD66C8B63}">
      <text>
        <r>
          <rPr>
            <sz val="9"/>
            <color indexed="81"/>
            <rFont val="Tahoma"/>
            <family val="2"/>
          </rPr>
          <t>This sheet contains information about the properties of cells for both English and French versions of the workbook. Because the size of text in French and English is different, after the translation the sizes should be adjusted according to this sheet
Column B cointains the cell value, and column E and G sets the cell height for English and French respectively. Column A is the sheet code name which is for reference and can be ignored
If the size of a cell is not found, then check the Element Properties sheet.</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Hajir</author>
  </authors>
  <commentList>
    <comment ref="A1" authorId="0" shapeId="0" xr:uid="{00000000-0006-0000-1C00-000001000000}">
      <text>
        <r>
          <rPr>
            <sz val="9"/>
            <color indexed="81"/>
            <rFont val="Tahoma"/>
            <family val="2"/>
          </rPr>
          <t>This sheet contains information about the properties of cells, buttons, and other elements for both English and French versions of the workbook. Because the size of text in French and English is different, after the translation the sizes should be adjusted according to this sheet
The Type and Address column are defined with similar style to the Translation sheet</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Hajir H</author>
    <author>Hajir</author>
  </authors>
  <commentList>
    <comment ref="E1" authorId="0" shapeId="0" xr:uid="{1ED84121-51D9-4807-95DF-49C22C8605F4}">
      <text>
        <r>
          <rPr>
            <sz val="9"/>
            <color indexed="81"/>
            <rFont val="Tahoma"/>
            <family val="2"/>
          </rPr>
          <t>kgCO2e EMISSIONS</t>
        </r>
      </text>
    </comment>
    <comment ref="F1" authorId="0" shapeId="0" xr:uid="{D4B4BA4F-26CF-43F2-8FA6-E5D01CF61AD4}">
      <text>
        <r>
          <rPr>
            <sz val="9"/>
            <color indexed="81"/>
            <rFont val="Tahoma"/>
            <family val="2"/>
          </rPr>
          <t>kgCO2 STORAGE</t>
        </r>
      </text>
    </comment>
    <comment ref="G1" authorId="1" shapeId="0" xr:uid="{D9D8265F-215E-4CA8-9788-A12ED6F1E30D}">
      <text>
        <r>
          <rPr>
            <sz val="9"/>
            <color indexed="81"/>
            <rFont val="Tahoma"/>
            <family val="2"/>
          </rPr>
          <t xml:space="preserve">Long cycle/Cycle long
This column in archived and the formula is this column is void
</t>
        </r>
        <r>
          <rPr>
            <b/>
            <sz val="9"/>
            <color indexed="81"/>
            <rFont val="Tahoma"/>
            <family val="2"/>
          </rPr>
          <t xml:space="preserve">UPDATE 2026 Feb
</t>
        </r>
        <r>
          <rPr>
            <sz val="9"/>
            <color indexed="81"/>
            <rFont val="Tahoma"/>
            <family val="2"/>
          </rPr>
          <t>This column is archived and the formulas are not valid because long cycle column is deleted.</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Hajir</author>
    <author>Erik Bowden</author>
    <author>Hajir H</author>
  </authors>
  <commentList>
    <comment ref="AS1" authorId="0" shapeId="0" xr:uid="{88C60A56-5E54-48A6-8FA0-C6E6569B86D8}">
      <text>
        <r>
          <rPr>
            <b/>
            <sz val="9"/>
            <color indexed="81"/>
            <rFont val="Tahoma"/>
            <family val="2"/>
          </rPr>
          <t>Biogenic Storage Adjustment Factor
Facteur d'ajustement du stockage biogénique</t>
        </r>
      </text>
    </comment>
    <comment ref="AT1" authorId="0" shapeId="0" xr:uid="{B23A5597-7A4A-4586-9E8C-4FF90B2E56C9}">
      <text>
        <r>
          <rPr>
            <sz val="9"/>
            <color indexed="81"/>
            <rFont val="Tahoma"/>
            <family val="2"/>
          </rPr>
          <t>Does the province in the USER INPUT SHEET match ones of the provinces?</t>
        </r>
      </text>
    </comment>
    <comment ref="C80" authorId="1" shapeId="0" xr:uid="{00000000-0006-0000-1D00-000001000000}">
      <text>
        <r>
          <rPr>
            <b/>
            <sz val="9"/>
            <color indexed="81"/>
            <rFont val="Tahoma"/>
            <family val="2"/>
          </rPr>
          <t>Erik Bowden:</t>
        </r>
        <r>
          <rPr>
            <sz val="9"/>
            <color indexed="81"/>
            <rFont val="Tahoma"/>
            <family val="2"/>
          </rPr>
          <t xml:space="preserve">
Canadian Ready-Mixed Concrete Association</t>
        </r>
      </text>
    </comment>
    <comment ref="C98" authorId="1" shapeId="0" xr:uid="{00000000-0006-0000-1D00-000002000000}">
      <text>
        <r>
          <rPr>
            <b/>
            <sz val="9"/>
            <color indexed="81"/>
            <rFont val="Tahoma"/>
            <family val="2"/>
          </rPr>
          <t>Erik Bowden:</t>
        </r>
        <r>
          <rPr>
            <sz val="9"/>
            <color indexed="81"/>
            <rFont val="Tahoma"/>
            <family val="2"/>
          </rPr>
          <t xml:space="preserve">
National Ready-Mixed Concrete Association</t>
        </r>
      </text>
    </comment>
    <comment ref="A219" authorId="2" shapeId="0" xr:uid="{01F119E3-AA21-400F-A851-EFD622D9D89B}">
      <text>
        <r>
          <rPr>
            <b/>
            <sz val="9"/>
            <color indexed="81"/>
            <rFont val="Tahoma"/>
            <family val="2"/>
          </rPr>
          <t>Hajir H:</t>
        </r>
        <r>
          <rPr>
            <sz val="9"/>
            <color indexed="81"/>
            <rFont val="Tahoma"/>
            <family val="2"/>
          </rPr>
          <t xml:space="preserve">
The brand used to be "Includes: Agway, Bailey, Behlen, Canam,DASS, DCM, Duchesne, EB, Exsteel, Ideal Roofing, Imperial, LKME, Manugypse, Metal Up, Scotia, Steel Tile Co, Steelway, Trebor, Vicwest, Vulcraft, Westform, Westman" but it got removed because it was too long (Mar 2025)</t>
        </r>
      </text>
    </comment>
    <comment ref="AA441" authorId="2" shapeId="0" xr:uid="{42220A1D-A3E9-4E0C-893C-FBFD52FCC144}">
      <text>
        <r>
          <rPr>
            <sz val="9"/>
            <color indexed="81"/>
            <rFont val="Tahoma"/>
            <family val="2"/>
          </rPr>
          <t>According to the answer ti question Q26-9 in the FAQ document, we added Storage Long Cycle to this cell</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AG1" authorId="0" shapeId="0" xr:uid="{C362446C-9850-49F7-A1D9-DCC2DAF04D13}">
      <text>
        <r>
          <rPr>
            <b/>
            <sz val="9"/>
            <color indexed="81"/>
            <rFont val="Tahoma"/>
            <family val="2"/>
          </rPr>
          <t xml:space="preserve">Product "Wood - SPF / Canadian Wood Council" has a different version for each province. Last column in this table indicates which product belongs to the selected province. </t>
        </r>
      </text>
    </comment>
    <comment ref="AK1" authorId="0" shapeId="0" xr:uid="{630EF21A-C2BB-462C-82BD-7EB13A4D852E}">
      <text>
        <r>
          <rPr>
            <b/>
            <sz val="9"/>
            <color indexed="81"/>
            <rFont val="Tahoma"/>
            <family val="2"/>
          </rPr>
          <t>The default value (if no province is selected) is the first row which is British Columbia</t>
        </r>
      </text>
    </comment>
    <comment ref="A3" authorId="0" shapeId="0" xr:uid="{2913C2CD-668A-4AFB-9CBD-9C4D6938E24C}">
      <text>
        <r>
          <rPr>
            <b/>
            <sz val="9"/>
            <color indexed="81"/>
            <rFont val="Tahoma"/>
            <family val="2"/>
          </rPr>
          <t>Hajir H:</t>
        </r>
        <r>
          <rPr>
            <sz val="9"/>
            <color indexed="81"/>
            <rFont val="Tahoma"/>
            <family val="2"/>
          </rPr>
          <t xml:space="preserve">
This is archived as of 2025. Instead, new SIP panels are added to the Master sheet. </t>
        </r>
      </text>
    </comment>
    <comment ref="A4" authorId="0" shapeId="0" xr:uid="{84C456F5-C40F-4FC1-A511-14E644D82668}">
      <text>
        <r>
          <rPr>
            <b/>
            <sz val="9"/>
            <color indexed="81"/>
            <rFont val="Tahoma"/>
            <family val="2"/>
          </rPr>
          <t>Hajir H:</t>
        </r>
        <r>
          <rPr>
            <sz val="9"/>
            <color indexed="81"/>
            <rFont val="Tahoma"/>
            <family val="2"/>
          </rPr>
          <t xml:space="preserve">
This is archived as of 2025. Instead, new SIP panels are added to the Master sheet. </t>
        </r>
      </text>
    </comment>
    <comment ref="A5" authorId="0" shapeId="0" xr:uid="{E7F5087D-5D0F-48D4-BB90-9A42A457646E}">
      <text>
        <r>
          <rPr>
            <b/>
            <sz val="9"/>
            <color indexed="81"/>
            <rFont val="Tahoma"/>
            <family val="2"/>
          </rPr>
          <t>Hajir H:</t>
        </r>
        <r>
          <rPr>
            <sz val="9"/>
            <color indexed="81"/>
            <rFont val="Tahoma"/>
            <family val="2"/>
          </rPr>
          <t xml:space="preserve">
This is archived as of 2025. Instead, new SIP panels are added to the Master sheet. </t>
        </r>
      </text>
    </comment>
    <comment ref="A6" authorId="0" shapeId="0" xr:uid="{7B939A80-CB96-4504-B0BF-432F19ADAD6A}">
      <text>
        <r>
          <rPr>
            <b/>
            <sz val="9"/>
            <color indexed="81"/>
            <rFont val="Tahoma"/>
            <family val="2"/>
          </rPr>
          <t>Hajir H:</t>
        </r>
        <r>
          <rPr>
            <sz val="9"/>
            <color indexed="81"/>
            <rFont val="Tahoma"/>
            <family val="2"/>
          </rPr>
          <t xml:space="preserve">
This is archived as of 2025. Instead, new SIP panels are added to the Master sheet. </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Hajir</author>
  </authors>
  <commentList>
    <comment ref="B6" authorId="0" shapeId="0" xr:uid="{00000000-0006-0000-2200-000001000000}">
      <text>
        <r>
          <rPr>
            <sz val="9"/>
            <color indexed="81"/>
            <rFont val="Tahoma"/>
            <family val="2"/>
          </rPr>
          <t>"english" or "french"</t>
        </r>
      </text>
    </comment>
    <comment ref="B8" authorId="0" shapeId="0" xr:uid="{8F739FB5-5CCF-483F-B473-E514E7D05F86}">
      <text>
        <r>
          <rPr>
            <b/>
            <sz val="9"/>
            <color indexed="81"/>
            <rFont val="Tahoma"/>
            <family val="2"/>
          </rPr>
          <t>Hajir:</t>
        </r>
        <r>
          <rPr>
            <sz val="9"/>
            <color indexed="81"/>
            <rFont val="Tahoma"/>
            <family val="2"/>
          </rPr>
          <t xml:space="preserve">
This cell is not used as of 2025 because we removed the toggle button in the User Input sheet</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Query - Summary" description="Connection to the 'Summary' query in the workbook." type="5" refreshedVersion="7" background="1" saveData="1">
    <dbPr connection="Provider=Microsoft.Mashup.OleDb.1;Data Source=$Workbook$;Location=Summary;Extended Properties=&quot;&quot;" command="SELECT * FROM [Summary]"/>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<sst xmlns="http://schemas.openxmlformats.org/spreadsheetml/2006/main" count="36976" uniqueCount="7870">
  <si>
    <r>
      <t>Note: kg/m</t>
    </r>
    <r>
      <rPr>
        <vertAlign val="superscript"/>
        <sz val="12"/>
        <color theme="0"/>
        <rFont val="Arial"/>
        <family val="2"/>
      </rPr>
      <t>2</t>
    </r>
    <r>
      <rPr>
        <sz val="12"/>
        <color theme="0"/>
        <rFont val="Arial"/>
        <family val="2"/>
      </rPr>
      <t xml:space="preserve"> comes from total kg divided by habitable floor area</t>
    </r>
  </si>
  <si>
    <t>YOUR DATA</t>
  </si>
  <si>
    <t>FOOTINGS, PADS &amp; PIERS</t>
  </si>
  <si>
    <t>m3</t>
  </si>
  <si>
    <t>FOUNDATION WALL AREA</t>
  </si>
  <si>
    <t>m2</t>
  </si>
  <si>
    <t>EXTERIOR WALL AREA</t>
  </si>
  <si>
    <t>INTERIOR WALL AREA</t>
  </si>
  <si>
    <t>WINDOW AREA</t>
  </si>
  <si>
    <t>Windows</t>
  </si>
  <si>
    <t>HEAVY TIMBER FRAMING</t>
  </si>
  <si>
    <t xml:space="preserve">SECTION 1 ➜ COMPONENT MATERIALS FOR </t>
  </si>
  <si>
    <t>FOUNDATION - FOOTINGS &amp; SLABS</t>
  </si>
  <si>
    <t>MATERIAL</t>
  </si>
  <si>
    <t>%</t>
  </si>
  <si>
    <t xml:space="preserve"> SELECT</t>
  </si>
  <si>
    <r>
      <t>NET kgCO</t>
    </r>
    <r>
      <rPr>
        <b/>
        <vertAlign val="subscript"/>
        <sz val="14"/>
        <color rgb="FFFFFFFF"/>
        <rFont val="Arial"/>
        <family val="2"/>
      </rPr>
      <t>2</t>
    </r>
    <r>
      <rPr>
        <b/>
        <sz val="14"/>
        <color rgb="FFFFFFFF"/>
        <rFont val="Arial"/>
        <family val="2"/>
      </rPr>
      <t>e EMISSIONS</t>
    </r>
  </si>
  <si>
    <r>
      <t>SELECTED MATERIAL kgCO</t>
    </r>
    <r>
      <rPr>
        <b/>
        <vertAlign val="subscript"/>
        <sz val="14"/>
        <color rgb="FFFFFFFF"/>
        <rFont val="Arial"/>
        <family val="2"/>
      </rPr>
      <t>2</t>
    </r>
    <r>
      <rPr>
        <b/>
        <sz val="14"/>
        <color rgb="FFFFFFFF"/>
        <rFont val="Arial"/>
        <family val="2"/>
      </rPr>
      <t>e CONTENT</t>
    </r>
  </si>
  <si>
    <t>CRUSHED STONE BASE</t>
  </si>
  <si>
    <t>THICKNESS:</t>
  </si>
  <si>
    <t>in</t>
  </si>
  <si>
    <t>=</t>
  </si>
  <si>
    <t>m</t>
  </si>
  <si>
    <t>FOOTINGS &amp; PADS</t>
  </si>
  <si>
    <t>REBAR</t>
  </si>
  <si>
    <t>HELICAL PIERS</t>
  </si>
  <si>
    <t>TOTAL LENGTH OF ALL PIERS:</t>
  </si>
  <si>
    <t>SLAB FLOOR(S)</t>
  </si>
  <si>
    <t>SUB-SLAB INSULATION</t>
  </si>
  <si>
    <t>BASEMENT FLOORING</t>
  </si>
  <si>
    <t>FLOORING - VARIOUS</t>
  </si>
  <si>
    <t xml:space="preserve">SECTION 2 ➜ COMPONENT MATERIALS FOR </t>
  </si>
  <si>
    <t>FOUNDATION - WALLS</t>
  </si>
  <si>
    <t>TREATED WOOD FOUNDATION</t>
  </si>
  <si>
    <t>CONTINUOUS INSULATION (Exterior and/or Interior)</t>
  </si>
  <si>
    <t>INSULATED CONCRETE FORMS (ICF) - EPS FOAM</t>
  </si>
  <si>
    <t>R-22 BLOCK - 2 LAYERS 2.75" EPS FOAM with 6.25" CONCRETE CORE</t>
  </si>
  <si>
    <t>INSULATED CONCRETE FORMS (ICF) - WOOD CHIP/CEMENT</t>
  </si>
  <si>
    <t>FRAMING SPACING:</t>
  </si>
  <si>
    <t>WOOD FRAME CONSTRUCTION</t>
  </si>
  <si>
    <t>2x4</t>
  </si>
  <si>
    <t>2x6</t>
  </si>
  <si>
    <t>2x8</t>
  </si>
  <si>
    <t>Double 2x4</t>
  </si>
  <si>
    <t>INTERIOR FRAMING - STEEL</t>
  </si>
  <si>
    <t>CAVITY INSULATION</t>
  </si>
  <si>
    <t>CELLULOSE INSULATION</t>
  </si>
  <si>
    <t>OTHER NATURAL FIBER INSULATIONS</t>
  </si>
  <si>
    <t>HIGH R-VALUE INSULATION</t>
  </si>
  <si>
    <t>INTERIOR WALL CLADDING</t>
  </si>
  <si>
    <t>OTHER CLADDING MATERIALS</t>
  </si>
  <si>
    <t xml:space="preserve">SECTION 3 ➜ COMPONENT MATERIALS FOR </t>
  </si>
  <si>
    <t>EXTERIOR WALLS - STRUCTURE &amp; INSULATION</t>
  </si>
  <si>
    <t>STEEL FRAME CONSTRUCTION</t>
  </si>
  <si>
    <t>WOOD I-BEAM (TJI) FRAMING</t>
  </si>
  <si>
    <t>STRUCTURAL SHEATHING</t>
  </si>
  <si>
    <t>OTHER NATURAL FIBER INSULATION</t>
  </si>
  <si>
    <t>CROSS LAMINATED TIMBER WALLS - 3-1/2" (90mm)</t>
  </si>
  <si>
    <t xml:space="preserve">SECTION 4 ➜ COMPONENT MATERIALS FOR </t>
  </si>
  <si>
    <t>EXTERIOR WALL SYSTEMS</t>
  </si>
  <si>
    <t>WOOD FRAME &amp; STRAW PANELS</t>
  </si>
  <si>
    <t>SIP PANELS - OSB &amp; EPS FOAM</t>
  </si>
  <si>
    <t xml:space="preserve">SECTION 5 ➜ COMPONENT MATERIALS FOR </t>
  </si>
  <si>
    <t>HEAVY STEEL COMPONENTS</t>
  </si>
  <si>
    <t xml:space="preserve">SECTION 6 ➜ COMPONENT MATERIALS FOR </t>
  </si>
  <si>
    <t>EXTERIOR WALLS - CLADDING</t>
  </si>
  <si>
    <t>EXTERIOR CLADDING</t>
  </si>
  <si>
    <t>WOOD CLADDING</t>
  </si>
  <si>
    <t>STRAPPING for RAIN SCREEN</t>
  </si>
  <si>
    <t>STRAPPING SPACING:</t>
  </si>
  <si>
    <t>INTERIOR CLADDING for EXTERIOR WALLS</t>
  </si>
  <si>
    <t xml:space="preserve">SECTION 7 ➜ COMPONENT MATERIALS FOR </t>
  </si>
  <si>
    <t>INTERIOR WALLS - STRUCTURE &amp; CLADDING</t>
  </si>
  <si>
    <t xml:space="preserve">SECTION 8 ➜ COMPONENT MATERIALS FOR </t>
  </si>
  <si>
    <t>FLOORS - STRUCTURE &amp; FLOORING</t>
  </si>
  <si>
    <t>WOOD FLOOR FRAMING</t>
  </si>
  <si>
    <t>WOOD I-JOIST FRAMING</t>
  </si>
  <si>
    <t>11-7/8"</t>
  </si>
  <si>
    <t>14"</t>
  </si>
  <si>
    <t>WOOD TRUSS FRAMING</t>
  </si>
  <si>
    <t>16"</t>
  </si>
  <si>
    <t>STEEL FLOOR FRAMING</t>
  </si>
  <si>
    <t>OPEN WEB STEEL JOIST</t>
  </si>
  <si>
    <t>FINISHED FLOORING</t>
  </si>
  <si>
    <t>OTHER FLOORING OPTIONS</t>
  </si>
  <si>
    <t xml:space="preserve">SECTION 9 ➜ COMPONENT MATERIALS FOR </t>
  </si>
  <si>
    <t>OTHER CEILING FINISHES</t>
  </si>
  <si>
    <t xml:space="preserve">SECTION 10 ➜ COMPONENT MATERIALS FOR </t>
  </si>
  <si>
    <t>2x10</t>
  </si>
  <si>
    <t>2x12</t>
  </si>
  <si>
    <t>ROOF DECKING</t>
  </si>
  <si>
    <t>WOOD SHEET PRODUCTS - 5/8"</t>
  </si>
  <si>
    <t>ROOF STRAPPING</t>
  </si>
  <si>
    <t>ROOFING</t>
  </si>
  <si>
    <t>OTHER ROOFING OPTIONS</t>
  </si>
  <si>
    <t>ROOF INSULATION</t>
  </si>
  <si>
    <t>INSULATED ROOFING PANELS</t>
  </si>
  <si>
    <t>SIP PANEL - EPS FOAM CORE with OSB</t>
  </si>
  <si>
    <t xml:space="preserve">SECTION 11 ➜ COMPONENT MATERIALS FOR </t>
  </si>
  <si>
    <t>DOUBLE PANE WINDOWS - GENERIC</t>
  </si>
  <si>
    <t>TRIPLE PANE WINDOWS - GENERIC</t>
  </si>
  <si>
    <t>WINDOWS - SPECIFIC MANUFACTURERS</t>
  </si>
  <si>
    <t>Product</t>
  </si>
  <si>
    <t>Material</t>
  </si>
  <si>
    <t>Brand</t>
  </si>
  <si>
    <t>Spec's</t>
  </si>
  <si>
    <t>CSI #</t>
  </si>
  <si>
    <t>Category</t>
  </si>
  <si>
    <t>Notes</t>
  </si>
  <si>
    <t>Country of Mfr</t>
  </si>
  <si>
    <t>Units: kgCO2e per</t>
  </si>
  <si>
    <t>EPD #</t>
  </si>
  <si>
    <t>Verifying agency</t>
  </si>
  <si>
    <t>Exp. Year</t>
  </si>
  <si>
    <t>Density</t>
  </si>
  <si>
    <t>Addn'l factors</t>
  </si>
  <si>
    <t>Biogenic carbon factor</t>
  </si>
  <si>
    <t xml:space="preserve">Length (m) </t>
  </si>
  <si>
    <t>Unit Volume (m3)</t>
  </si>
  <si>
    <t>R?/inch</t>
  </si>
  <si>
    <t>EU</t>
  </si>
  <si>
    <t>kg/m3</t>
  </si>
  <si>
    <t>IBU</t>
  </si>
  <si>
    <t>ACQ wood treatment</t>
  </si>
  <si>
    <t>USA &amp; CAN</t>
  </si>
  <si>
    <t>m2 surface area/1000 BF</t>
  </si>
  <si>
    <t>Adobe block</t>
  </si>
  <si>
    <t>Factory made</t>
  </si>
  <si>
    <t>Avg of site made and factory made</t>
  </si>
  <si>
    <t>USA</t>
  </si>
  <si>
    <t>24.22 blocks/m2 * 12.585 kg/block</t>
  </si>
  <si>
    <t>Aerogel blanket</t>
  </si>
  <si>
    <t>Aspen Aerogels</t>
  </si>
  <si>
    <t>kg CO2e/m2-RSI1</t>
  </si>
  <si>
    <t xml:space="preserve">S-P-00725 </t>
  </si>
  <si>
    <t>Renuables</t>
  </si>
  <si>
    <t>W/(mK)</t>
  </si>
  <si>
    <t>ASTM</t>
  </si>
  <si>
    <t>CAN</t>
  </si>
  <si>
    <t>Dupont</t>
  </si>
  <si>
    <t>Tyvek Fluid Applied Weather Barrier System - All components</t>
  </si>
  <si>
    <t>kg/m2</t>
  </si>
  <si>
    <t xml:space="preserve">4787059050.101.1 </t>
  </si>
  <si>
    <t>UL Env.</t>
  </si>
  <si>
    <t>54 Perms</t>
  </si>
  <si>
    <t xml:space="preserve">4787059050.102.1 </t>
  </si>
  <si>
    <t>GCP</t>
  </si>
  <si>
    <t>Perm-a-Barrier VPL liquid applied permeable barrier</t>
  </si>
  <si>
    <t>15 Perms, 40 mils thickness</t>
  </si>
  <si>
    <t>EPD-074</t>
  </si>
  <si>
    <t>Asphalt Shingles</t>
  </si>
  <si>
    <t>Includes: Atlas, BP, CertainTeed, GAF, IKO, Malarkey, Owens Corning, Pabco</t>
  </si>
  <si>
    <t>Incl. underlayment</t>
  </si>
  <si>
    <t xml:space="preserve">4787168709.101.1 </t>
  </si>
  <si>
    <t>GAF</t>
  </si>
  <si>
    <t>Timberline</t>
  </si>
  <si>
    <t>Installed</t>
  </si>
  <si>
    <t xml:space="preserve">EPD10397 </t>
  </si>
  <si>
    <t>NSF</t>
  </si>
  <si>
    <t>Owens Corning</t>
  </si>
  <si>
    <t>Duration</t>
  </si>
  <si>
    <t xml:space="preserve">4789400789.101.1 </t>
  </si>
  <si>
    <t>Oakridge</t>
  </si>
  <si>
    <t>4789400789.101.3</t>
  </si>
  <si>
    <t>Supreme</t>
  </si>
  <si>
    <t>4789400789.101.2</t>
  </si>
  <si>
    <t>Bamboo plywood</t>
  </si>
  <si>
    <t>Smith &amp; Fong</t>
  </si>
  <si>
    <t>Plyboo</t>
  </si>
  <si>
    <t>1/2" (12.7 mm)</t>
  </si>
  <si>
    <t>China</t>
  </si>
  <si>
    <t>EPD-072</t>
  </si>
  <si>
    <t>BioBased Tile</t>
  </si>
  <si>
    <t>Armstrong</t>
  </si>
  <si>
    <t>Non-PVC with BioStride polyester binder, Striations BBT and Migrations BBT</t>
  </si>
  <si>
    <t>EPD-003</t>
  </si>
  <si>
    <t>Arriscraft</t>
  </si>
  <si>
    <t>Contemporary Brick</t>
  </si>
  <si>
    <t>EPD-055</t>
  </si>
  <si>
    <t>EPD10051</t>
  </si>
  <si>
    <t>Brick, Clay</t>
  </si>
  <si>
    <t>Avg of 10 colors &amp; 2 kilns</t>
  </si>
  <si>
    <t>EPD-131</t>
  </si>
  <si>
    <t>EPD-132</t>
  </si>
  <si>
    <t>Carpet</t>
  </si>
  <si>
    <t>Achievable from EC3</t>
  </si>
  <si>
    <t>Achievable from 150 samples in the EC3 database</t>
  </si>
  <si>
    <t>EC3</t>
  </si>
  <si>
    <t>Average from 150 samples in the EC3 database</t>
  </si>
  <si>
    <t>Conservative from EC3</t>
  </si>
  <si>
    <t>Conservative from 150 samples in the EC3 database</t>
  </si>
  <si>
    <t>Interface</t>
  </si>
  <si>
    <t>Cquest BioX</t>
  </si>
  <si>
    <t>1.5 mm Modular tile carpet</t>
  </si>
  <si>
    <t>3/4" coverage</t>
  </si>
  <si>
    <t>FPInnovations</t>
  </si>
  <si>
    <t>m3/1000 BF</t>
  </si>
  <si>
    <t>kg/m2 at 0.01905 (3/4")</t>
  </si>
  <si>
    <t>kgC/m2</t>
  </si>
  <si>
    <t>Cedar Siding</t>
  </si>
  <si>
    <t>Western Red Cedar Lumber Assn</t>
  </si>
  <si>
    <t>Cellulose - batt</t>
  </si>
  <si>
    <t>CMS</t>
  </si>
  <si>
    <t>EcoCell</t>
  </si>
  <si>
    <t>R 3.6/inch</t>
  </si>
  <si>
    <t>CIM – 20191223 – 003</t>
  </si>
  <si>
    <t>Sustainable Minds</t>
  </si>
  <si>
    <t>kg/m2 at RSI1</t>
  </si>
  <si>
    <t>Cellulose - dense pack</t>
  </si>
  <si>
    <t>Includes AFT, Applegate, Can-Cell, Cell-Pak, Cleanfiber, Climatizer, Fiberlite, Igloo, ICC, Mason City, Nu-Wool, Soprema, Thermo-Kool</t>
  </si>
  <si>
    <t>R 3.7/inch</t>
  </si>
  <si>
    <t>CIM – 20191223 – 002</t>
  </si>
  <si>
    <t>Cellulose - loose fill</t>
  </si>
  <si>
    <t>Includes: AFT, Applegate, Can-Cell, Cell-Pak, Cleanfiber, Climatizer, Fiberlite, Igloo, ICC, Mason City, Nu-Wool, Soprema, Thermo-Kool</t>
  </si>
  <si>
    <t>0.04 m at RSI 1 avg of 12 companies</t>
  </si>
  <si>
    <t xml:space="preserve">CIM – 20191223 – 001 </t>
  </si>
  <si>
    <t>Cellulose - spray applied</t>
  </si>
  <si>
    <t>International Cellulose Corp.</t>
  </si>
  <si>
    <t>K-13, ThermoCon</t>
  </si>
  <si>
    <t>R 3.75/inch</t>
  </si>
  <si>
    <t>0.0384 m at RSI 1</t>
  </si>
  <si>
    <t>ICC – 20200122– 001</t>
  </si>
  <si>
    <t>Cement board 1/2"</t>
  </si>
  <si>
    <t>USG</t>
  </si>
  <si>
    <t>Durock (132)</t>
  </si>
  <si>
    <t>Durock (133)</t>
  </si>
  <si>
    <t>EPD-133</t>
  </si>
  <si>
    <t>Tile Council of North America</t>
  </si>
  <si>
    <t>Industry average. Includes dry-set, modified dry-set and improved modified dry-set cement mortar</t>
  </si>
  <si>
    <t>Ceramic tile</t>
  </si>
  <si>
    <t>Crossville</t>
  </si>
  <si>
    <t>Porcelain</t>
  </si>
  <si>
    <t>Standard grade</t>
  </si>
  <si>
    <t xml:space="preserve">4788863727.101.1 </t>
  </si>
  <si>
    <t>Porcelain, standard grade</t>
  </si>
  <si>
    <t xml:space="preserve">4786822856.101.1 </t>
  </si>
  <si>
    <t>Industry average. Includes porcelain, pressed, mosaic and quarry tile</t>
  </si>
  <si>
    <t xml:space="preserve">4786483078.101.1 </t>
  </si>
  <si>
    <t>Clay plaster</t>
  </si>
  <si>
    <t>Site mixed</t>
  </si>
  <si>
    <t>15 mm</t>
  </si>
  <si>
    <t>Melia et al LCA, 2014</t>
  </si>
  <si>
    <t>Clay roof tiles</t>
  </si>
  <si>
    <t>HISPALYT</t>
  </si>
  <si>
    <t>008-001</t>
  </si>
  <si>
    <t>GlobalEPD</t>
  </si>
  <si>
    <t>CMU - Light weight</t>
  </si>
  <si>
    <t>Angelus Block Co.</t>
  </si>
  <si>
    <t>8" Light weight blocks</t>
  </si>
  <si>
    <t>9 x 8 x 16 Precision</t>
  </si>
  <si>
    <t>Avg of 2000, 2800 &amp; 3750 psi</t>
  </si>
  <si>
    <t>EPD-011</t>
  </si>
  <si>
    <t>kg/m2 of wall</t>
  </si>
  <si>
    <t>Brampton Brick</t>
  </si>
  <si>
    <t>8" Carbon Cure Lightweight blocks</t>
  </si>
  <si>
    <t>Carbon Cure 15 MPa</t>
  </si>
  <si>
    <t>Canadian Concrete Masonry Producers Assn</t>
  </si>
  <si>
    <t>391 x 190 x 190 mm</t>
  </si>
  <si>
    <t>EPD-043</t>
  </si>
  <si>
    <t>CMU - Normal weight</t>
  </si>
  <si>
    <t>8" Normal weight blocks</t>
  </si>
  <si>
    <t>8 x 8 x 16 Precision</t>
  </si>
  <si>
    <t>EPD-010</t>
  </si>
  <si>
    <t>390 x 190 x 190 mm</t>
  </si>
  <si>
    <t>EPD-042</t>
  </si>
  <si>
    <t>Permacon</t>
  </si>
  <si>
    <t>NW STD 20CM GLPW</t>
  </si>
  <si>
    <t>7135-8939</t>
  </si>
  <si>
    <t>CSA</t>
  </si>
  <si>
    <t>CMU - Rammed earth</t>
  </si>
  <si>
    <t>Watershed Materials</t>
  </si>
  <si>
    <t>Watershed Block</t>
  </si>
  <si>
    <t xml:space="preserve">4% cement </t>
  </si>
  <si>
    <t>LCA Dahmen &amp; Kim, UBC</t>
  </si>
  <si>
    <t>blocks/m2</t>
  </si>
  <si>
    <t>Watershed ZeroBlock</t>
  </si>
  <si>
    <t>0% cement</t>
  </si>
  <si>
    <t>Cob wall</t>
  </si>
  <si>
    <t>18" (457 mm) avg. thickness</t>
  </si>
  <si>
    <t>Ben-Alon et al LCA, 2019</t>
  </si>
  <si>
    <t>Compressed earth block</t>
  </si>
  <si>
    <t>Stabilized with 6.5% NHL</t>
  </si>
  <si>
    <t>31.5 x 6 x 2.75 " (300 x 150 x 70 mm)</t>
  </si>
  <si>
    <t>Fernandes et al LCA, 2019</t>
  </si>
  <si>
    <t>Compressed straw board</t>
  </si>
  <si>
    <t>Stramit</t>
  </si>
  <si>
    <t>60 mm board</t>
  </si>
  <si>
    <t>R 3.9/inch</t>
  </si>
  <si>
    <t>Stramit LCA, 2019</t>
  </si>
  <si>
    <t>kg/m2 at 60mm</t>
  </si>
  <si>
    <t>EPD10298</t>
  </si>
  <si>
    <t>EPD10295</t>
  </si>
  <si>
    <t>EPD10296</t>
  </si>
  <si>
    <t>EPD10297</t>
  </si>
  <si>
    <t>Butler Concrete</t>
  </si>
  <si>
    <t>Avg of 19 different 25 Mpa mixes</t>
  </si>
  <si>
    <t>07/26/2020</t>
  </si>
  <si>
    <t>EPD10294</t>
  </si>
  <si>
    <t xml:space="preserve">Amorim </t>
  </si>
  <si>
    <t>Isolamentos</t>
  </si>
  <si>
    <t>R4/inch</t>
  </si>
  <si>
    <t>DAP 002:2016</t>
  </si>
  <si>
    <t>DAP Habitat</t>
  </si>
  <si>
    <t>kg/m2-RSI1</t>
  </si>
  <si>
    <t>Cork flooring</t>
  </si>
  <si>
    <t>Amorim</t>
  </si>
  <si>
    <t>Cork floating floor planks</t>
  </si>
  <si>
    <t xml:space="preserve">EPD-AMO-20150057-IAA1-EN </t>
  </si>
  <si>
    <t>European Resilient Flooring Manufacturers' Institute</t>
  </si>
  <si>
    <t>Includes: Altro, Amorim, Amtico, Artigo, Aspecta, BeauFlor, Dickson, Mflor, Forbo, Gerflor, IVC, Nora, Polyflor, Tarkett, Kahrs, Windmoller</t>
  </si>
  <si>
    <t>Cork floor tiles</t>
  </si>
  <si>
    <t xml:space="preserve">EPD-ERF-20180184-CCI1-EN </t>
  </si>
  <si>
    <t xml:space="preserve">Nordic </t>
  </si>
  <si>
    <t>X-Lam</t>
  </si>
  <si>
    <t>3-1/2" (90mm) thick</t>
  </si>
  <si>
    <t>August, 2018</t>
  </si>
  <si>
    <t>m thickness</t>
  </si>
  <si>
    <t>Structurlam</t>
  </si>
  <si>
    <t>CrossLam</t>
  </si>
  <si>
    <t xml:space="preserve">EPD124 </t>
  </si>
  <si>
    <t>Dowel Laminated Timber</t>
  </si>
  <si>
    <t>StructureCraft</t>
  </si>
  <si>
    <t>DowelLam</t>
  </si>
  <si>
    <t xml:space="preserve">EPD157 </t>
  </si>
  <si>
    <t>Drywall 1/2"</t>
  </si>
  <si>
    <t>CertainTeed</t>
  </si>
  <si>
    <t>AirRenew</t>
  </si>
  <si>
    <t>4786663719.107.0</t>
  </si>
  <si>
    <t>Easi-Lite</t>
  </si>
  <si>
    <t>4786663719.111.1</t>
  </si>
  <si>
    <t>M2Tech moisture resistant</t>
  </si>
  <si>
    <t>4786663719.114.1</t>
  </si>
  <si>
    <t>Pabco</t>
  </si>
  <si>
    <t>QuietRock</t>
  </si>
  <si>
    <t>QuietRock 1/2"</t>
  </si>
  <si>
    <t>EPD-156</t>
  </si>
  <si>
    <t>Drywall 5/8"</t>
  </si>
  <si>
    <t>Includes American Gypsum, CertainTeed, Continental, Georgia-Pacific, National Gypsum, Pabco, USG, CGC</t>
  </si>
  <si>
    <t>5/8"</t>
  </si>
  <si>
    <t xml:space="preserve">EPD 10270 </t>
  </si>
  <si>
    <t xml:space="preserve">4787352797.107.1 </t>
  </si>
  <si>
    <t>EPDM Roofing Membrane</t>
  </si>
  <si>
    <t>60 mils, Non-reinforced single ply</t>
  </si>
  <si>
    <t xml:space="preserve">4786842353.103.1 </t>
  </si>
  <si>
    <t>EPS foam board</t>
  </si>
  <si>
    <t>EPS Industry Alliance</t>
  </si>
  <si>
    <t>4787238561.101.2</t>
  </si>
  <si>
    <t xml:space="preserve">4787238561.101.1 </t>
  </si>
  <si>
    <t>EPS foam board with graphite</t>
  </si>
  <si>
    <t xml:space="preserve">BASF </t>
  </si>
  <si>
    <t>Neopor</t>
  </si>
  <si>
    <t>EPD10328</t>
  </si>
  <si>
    <t>BASF</t>
  </si>
  <si>
    <t>EPD10327</t>
  </si>
  <si>
    <t>Fiber Cement roofing</t>
  </si>
  <si>
    <t>Cembrit</t>
  </si>
  <si>
    <t>Corrugated sheets</t>
  </si>
  <si>
    <t xml:space="preserve">EPD-CEM-20160114-IAD1-EN </t>
  </si>
  <si>
    <t>Slates</t>
  </si>
  <si>
    <t xml:space="preserve">EPD-CEM-20160113-IAD1-EN </t>
  </si>
  <si>
    <t>Fibre-Cement</t>
  </si>
  <si>
    <t>5 mm</t>
  </si>
  <si>
    <t xml:space="preserve">EPD-MET-20140068-IAC1-EN </t>
  </si>
  <si>
    <t>Fiber Cement siding</t>
  </si>
  <si>
    <t>Patina</t>
  </si>
  <si>
    <t>MD-18011-EN</t>
  </si>
  <si>
    <t>epddanmark</t>
  </si>
  <si>
    <t>kg/m2 at 8mm</t>
  </si>
  <si>
    <t>Solid &amp; Express</t>
  </si>
  <si>
    <t>Fiberglass batt</t>
  </si>
  <si>
    <t>Sustainable Insulation</t>
  </si>
  <si>
    <t xml:space="preserve">4788647002.101.1 </t>
  </si>
  <si>
    <t>kg/m2 at RSI 1</t>
  </si>
  <si>
    <t>Knauf</t>
  </si>
  <si>
    <t>EcoBatt</t>
  </si>
  <si>
    <t>KNA-12032018-001</t>
  </si>
  <si>
    <t>EcoTouch Pink batt and roll</t>
  </si>
  <si>
    <t>4788548937.101.1</t>
  </si>
  <si>
    <t>Fiberglass loose fill</t>
  </si>
  <si>
    <t>InsulSafe, Optima, TruComfort</t>
  </si>
  <si>
    <t>R 2.6/inch</t>
  </si>
  <si>
    <t>Jet Stream ULTRA</t>
  </si>
  <si>
    <t>R 2.2/inch</t>
  </si>
  <si>
    <t>KNA-12032018-003</t>
  </si>
  <si>
    <t>AttiCat, ProCat, ProPink</t>
  </si>
  <si>
    <t>R 2.8/inch</t>
  </si>
  <si>
    <t>Foam glass aggregate</t>
  </si>
  <si>
    <t>Glasopor AS</t>
  </si>
  <si>
    <t>NEPD-1243-396-EN</t>
  </si>
  <si>
    <t>Norwegian EPD Foundation</t>
  </si>
  <si>
    <t>Hasopor</t>
  </si>
  <si>
    <t xml:space="preserve">S-P-01088 </t>
  </si>
  <si>
    <t>EPD International AB</t>
  </si>
  <si>
    <t>Glavel</t>
  </si>
  <si>
    <t xml:space="preserve">EPD-MIS-20150019-IAA2-DE </t>
  </si>
  <si>
    <t>Foam glass board</t>
  </si>
  <si>
    <t>Pittsburgh Corning Europe</t>
  </si>
  <si>
    <t>Foamglas T4</t>
  </si>
  <si>
    <t xml:space="preserve">EPD-PCE-2013256-IBA2-DE </t>
  </si>
  <si>
    <t>Foamglas W+F, Foamglas T3</t>
  </si>
  <si>
    <t xml:space="preserve">EPD-PCE-20150042-IBA1-DE </t>
  </si>
  <si>
    <t>Glued laminated timber</t>
  </si>
  <si>
    <t>American Wood Council &amp; Canadian Wood Council</t>
  </si>
  <si>
    <t xml:space="preserve">4788424634.104.1 </t>
  </si>
  <si>
    <t>Glulam Plus</t>
  </si>
  <si>
    <t xml:space="preserve">EPD125 </t>
  </si>
  <si>
    <t>Gypsum panels - glass mat</t>
  </si>
  <si>
    <t>1/2"</t>
  </si>
  <si>
    <t>EPD-038</t>
  </si>
  <si>
    <t>Securock ExoAir 430</t>
  </si>
  <si>
    <t xml:space="preserve">4787352797.110.1 </t>
  </si>
  <si>
    <t>Hardwood flooring</t>
  </si>
  <si>
    <t>Action Floor Systems</t>
  </si>
  <si>
    <t>25/32" x 3-1/4" FSC certified</t>
  </si>
  <si>
    <t>SCS-EPD-04591</t>
  </si>
  <si>
    <t>SCS Global</t>
  </si>
  <si>
    <t>mafi</t>
  </si>
  <si>
    <t>Natural Hardwood Planks</t>
  </si>
  <si>
    <t>4789456400.101.1</t>
  </si>
  <si>
    <t>kg/m2 at 3/4"</t>
  </si>
  <si>
    <t>Helical pier</t>
  </si>
  <si>
    <t>Generic</t>
  </si>
  <si>
    <t>11345278.101.1</t>
  </si>
  <si>
    <t>kg/m</t>
  </si>
  <si>
    <t>Hemp fiber batt</t>
  </si>
  <si>
    <t>NaturFibre</t>
  </si>
  <si>
    <t>Hemp Wool</t>
  </si>
  <si>
    <t>Zampori et al. LCA</t>
  </si>
  <si>
    <t>Hempcrete</t>
  </si>
  <si>
    <t>IsoHemp</t>
  </si>
  <si>
    <t>Europe</t>
  </si>
  <si>
    <t>R 2.1/inch</t>
  </si>
  <si>
    <t>April, 2018</t>
  </si>
  <si>
    <t>Uliege</t>
  </si>
  <si>
    <t>Arrigoni et al, 2017, LCA</t>
  </si>
  <si>
    <t>Arehart et al, 2020 LCA</t>
  </si>
  <si>
    <t>LVT</t>
  </si>
  <si>
    <t>4786462817.102.1</t>
  </si>
  <si>
    <t xml:space="preserve">4787193543.101.1 </t>
  </si>
  <si>
    <t>Laminated veneer lumber</t>
  </si>
  <si>
    <t xml:space="preserve">4788424634.105.1 </t>
  </si>
  <si>
    <t>RedBuilt</t>
  </si>
  <si>
    <t>RedLam</t>
  </si>
  <si>
    <t>SCS-EPD-04128</t>
  </si>
  <si>
    <t>Mapei</t>
  </si>
  <si>
    <t>MapeWall Muratura</t>
  </si>
  <si>
    <t>3/4" Natural Hydraulic Lime (NHL)</t>
  </si>
  <si>
    <t>Aggregate included</t>
  </si>
  <si>
    <t xml:space="preserve">EPD-FEI-20160017-IBG1-EN </t>
  </si>
  <si>
    <t>Diathonite Evolution</t>
  </si>
  <si>
    <t>S-P-00838</t>
  </si>
  <si>
    <t>Rina Services/Environdec</t>
  </si>
  <si>
    <t>Linoleum flooring</t>
  </si>
  <si>
    <t>2.5 mm sheet style linoleum</t>
  </si>
  <si>
    <t>EPD-0002</t>
  </si>
  <si>
    <t>Marmoleum</t>
  </si>
  <si>
    <t xml:space="preserve">12CA64879.101.1 </t>
  </si>
  <si>
    <t>Marmoleum Striato</t>
  </si>
  <si>
    <t xml:space="preserve">4789275679.141.1 </t>
  </si>
  <si>
    <t xml:space="preserve">Gerflor </t>
  </si>
  <si>
    <t>DLW Linoleum</t>
  </si>
  <si>
    <t>4.0 mm sheet style linoleum</t>
  </si>
  <si>
    <t xml:space="preserve">4788756650.101.1 </t>
  </si>
  <si>
    <t>Duracryl Corques</t>
  </si>
  <si>
    <t>Liquid Lino</t>
  </si>
  <si>
    <t>2.0 mm liquid applied</t>
  </si>
  <si>
    <t xml:space="preserve">EPD-NIBE-20181206-3522 </t>
  </si>
  <si>
    <t>NIBE Research</t>
  </si>
  <si>
    <t>Masonry cement</t>
  </si>
  <si>
    <t>Portland Cement Association</t>
  </si>
  <si>
    <t>Includes Argos, Buzzi, CalPortland, Capitol Aggregates, Cemex, Essroc, LafargeHolcim, Monarch, St. Mary's, Titan</t>
  </si>
  <si>
    <t xml:space="preserve">EPD 034 </t>
  </si>
  <si>
    <t>Metal Panels - Aluminum</t>
  </si>
  <si>
    <t>Includes: ATAS, DMI, Englert, Fabral,McElroy, Pac-Clad</t>
  </si>
  <si>
    <t>22 gauge</t>
  </si>
  <si>
    <t>4789289084.103.2</t>
  </si>
  <si>
    <t>Petersen Aluminum Corp</t>
  </si>
  <si>
    <t>PAC-CLAD</t>
  </si>
  <si>
    <t xml:space="preserve">4786652606.101.1 </t>
  </si>
  <si>
    <t>Metal Panels - Steel</t>
  </si>
  <si>
    <t>AEP Span</t>
  </si>
  <si>
    <t>All products</t>
  </si>
  <si>
    <t>24 gauge</t>
  </si>
  <si>
    <t>SCS-EPD-04462</t>
  </si>
  <si>
    <t>ArcelorMittal</t>
  </si>
  <si>
    <t xml:space="preserve">4787488168.101.1 </t>
  </si>
  <si>
    <t>Canadian Sheet Steel Building Institute</t>
  </si>
  <si>
    <t>Includes: Agway, Bailey, Behlen, Canam,DASS, DCM, Duchesne, EB, Exsteel, Ideal Roofing, Imperial, LKME, Manugypse, Metal Up, Scotia, Steel Tile Co, Steelway, Trebor, Vicwest, Vulcraft, Westform, Westman</t>
  </si>
  <si>
    <t>Includes all styles of panel and tile at 24 gauge</t>
  </si>
  <si>
    <t xml:space="preserve">4786662040.101.1 </t>
  </si>
  <si>
    <t>Metal Building Manufacturers Assn</t>
  </si>
  <si>
    <t>See all members</t>
  </si>
  <si>
    <t>Avg of roof and wall panels</t>
  </si>
  <si>
    <t xml:space="preserve">4786774590.103.1 </t>
  </si>
  <si>
    <t xml:space="preserve">4789289084.103.1 </t>
  </si>
  <si>
    <t>4786652606.101.2</t>
  </si>
  <si>
    <t>MgO board 1/2"</t>
  </si>
  <si>
    <t>North American MgO</t>
  </si>
  <si>
    <t>MagTech Ultra</t>
  </si>
  <si>
    <t>SCS-EPD-04873</t>
  </si>
  <si>
    <t>Mineral wool batt</t>
  </si>
  <si>
    <t>Thermafiber UltraBatt</t>
  </si>
  <si>
    <t>R 4.3/inch</t>
  </si>
  <si>
    <t xml:space="preserve">4788956323.103.1 </t>
  </si>
  <si>
    <t>Rockwool</t>
  </si>
  <si>
    <t>Safe'n'Sound, ComfortBatt</t>
  </si>
  <si>
    <t>R 3.8/inch</t>
  </si>
  <si>
    <t xml:space="preserve">4789092768.101.1 </t>
  </si>
  <si>
    <t>Mineral wool board - heavy density</t>
  </si>
  <si>
    <t xml:space="preserve">NAIMA </t>
  </si>
  <si>
    <t>Includes: Rolan, Armstrong, Rockwool, Thermafiber, American Rock Wool, IIG, Delta, USG</t>
  </si>
  <si>
    <t>R 4.2/inch</t>
  </si>
  <si>
    <t>4788703029.101.2</t>
  </si>
  <si>
    <t>Rockboard 60</t>
  </si>
  <si>
    <t>4789092768.101.2</t>
  </si>
  <si>
    <t>Mineral wool board - light density</t>
  </si>
  <si>
    <t xml:space="preserve">4788703029.101.1 </t>
  </si>
  <si>
    <t>Mineral wool loose fill</t>
  </si>
  <si>
    <t>R 3/inch</t>
  </si>
  <si>
    <t xml:space="preserve">4788703029.102.1 </t>
  </si>
  <si>
    <t>Mycelium board</t>
  </si>
  <si>
    <t>Mycofoam</t>
  </si>
  <si>
    <t>New York State Pollution Prevention Institute LCA, 2013</t>
  </si>
  <si>
    <t>OSB sheathing</t>
  </si>
  <si>
    <t xml:space="preserve">4788424634.101.1 </t>
  </si>
  <si>
    <t>kg/m2 at 1/2"</t>
  </si>
  <si>
    <t xml:space="preserve">Huber </t>
  </si>
  <si>
    <t>AdvanTech</t>
  </si>
  <si>
    <t>1/2" Sheathing</t>
  </si>
  <si>
    <t xml:space="preserve">4786451831.101.1 </t>
  </si>
  <si>
    <t>ZIP System</t>
  </si>
  <si>
    <t>7/16" Sheathing, protective barrier and tape</t>
  </si>
  <si>
    <t xml:space="preserve">4786451831.103.1 </t>
  </si>
  <si>
    <t>OSB subflooring</t>
  </si>
  <si>
    <t>19/32" Subflooring</t>
  </si>
  <si>
    <t>4786451831.101.2</t>
  </si>
  <si>
    <t>Plywood</t>
  </si>
  <si>
    <t xml:space="preserve">4788424634.103.1 </t>
  </si>
  <si>
    <t>Polyiso - roof boards</t>
  </si>
  <si>
    <t>Carlisle</t>
  </si>
  <si>
    <t>InsulBase, SecurShield, StormBase</t>
  </si>
  <si>
    <t>R 5.8/inch</t>
  </si>
  <si>
    <t>Hunter</t>
  </si>
  <si>
    <t>H-Shield products</t>
  </si>
  <si>
    <t xml:space="preserve">4788092227.101.1 </t>
  </si>
  <si>
    <t>PIMA</t>
  </si>
  <si>
    <t>Includes: Atlas, Firestone, GAF, Johns Manville, Rmax</t>
  </si>
  <si>
    <t xml:space="preserve">EPD10043 </t>
  </si>
  <si>
    <t>Versico</t>
  </si>
  <si>
    <t>VersiCore, SecurShield, DuraFaceR</t>
  </si>
  <si>
    <t xml:space="preserve">4787622255.104.1 </t>
  </si>
  <si>
    <t>Polyiso - wall boards</t>
  </si>
  <si>
    <t>Dow Chemical Company</t>
  </si>
  <si>
    <t>Tuff-R, Super Tuff-R, Thermax</t>
  </si>
  <si>
    <t>R 6.5/inch</t>
  </si>
  <si>
    <t xml:space="preserve">4786101271.101.1 </t>
  </si>
  <si>
    <t>Xci</t>
  </si>
  <si>
    <t xml:space="preserve">4788092227.102.1 </t>
  </si>
  <si>
    <t xml:space="preserve">EPD10042 </t>
  </si>
  <si>
    <t>Polypropylene siding</t>
  </si>
  <si>
    <t>Novik</t>
  </si>
  <si>
    <t>NovikStone, NovikShake</t>
  </si>
  <si>
    <t>Avg of 5 products</t>
  </si>
  <si>
    <t>4332-7381</t>
  </si>
  <si>
    <t xml:space="preserve">Vinyl Siding Institute </t>
  </si>
  <si>
    <t xml:space="preserve">4787108620.103.1 </t>
  </si>
  <si>
    <t>ICE database is 1.93, CDN database is 1.9</t>
  </si>
  <si>
    <t>ICE V3.0, 2019</t>
  </si>
  <si>
    <t>kg/m2 at 1.315 kg webbing per 0.4955 m2 block</t>
  </si>
  <si>
    <t>PVC Roofing Membrane</t>
  </si>
  <si>
    <t>CIFA</t>
  </si>
  <si>
    <t>Includes: Canadian General-Tower, Duro-Last, FiberTite</t>
  </si>
  <si>
    <t>48 mils</t>
  </si>
  <si>
    <t xml:space="preserve">EPD‐009 </t>
  </si>
  <si>
    <t>Rammed earth</t>
  </si>
  <si>
    <t>Stabilized with 3% NHL</t>
  </si>
  <si>
    <t>Includes hydraulic ramming on site</t>
  </si>
  <si>
    <t>Fernandes et al LCA, 2020</t>
  </si>
  <si>
    <t>m/1"</t>
  </si>
  <si>
    <t>Stabilized with 5% cement</t>
  </si>
  <si>
    <t>kg/m2-1"</t>
  </si>
  <si>
    <t>Stabilized with 8% cement</t>
  </si>
  <si>
    <t>ICE V3.0, 2020</t>
  </si>
  <si>
    <t>Rebar</t>
  </si>
  <si>
    <t>Concrete Reinforcing Steel Institute</t>
  </si>
  <si>
    <t>10M</t>
  </si>
  <si>
    <t>EPD 070</t>
  </si>
  <si>
    <t>15M</t>
  </si>
  <si>
    <t>EPD 069</t>
  </si>
  <si>
    <t>Rubber flooring</t>
  </si>
  <si>
    <t>ECOsurfaces</t>
  </si>
  <si>
    <t>SCS-EPD-03576</t>
  </si>
  <si>
    <t>Resilient Floor Covering Institute</t>
  </si>
  <si>
    <t>Includes tiles and rolls from American Biltrite, Armstrong, Burke, FLEXCO, Johnsonite, Mannington, Roppe, Tarkett</t>
  </si>
  <si>
    <t xml:space="preserve">4788753451.104.1 </t>
  </si>
  <si>
    <t>SBS Modified Bitumen Roofing</t>
  </si>
  <si>
    <t>ARMA</t>
  </si>
  <si>
    <t>Includes: CertainTeed, Firestone, GAF, Henry, IKO, Johns Mansville, Malarkey, Siplast, Soprema</t>
  </si>
  <si>
    <t xml:space="preserve">4787168709.104.1 </t>
  </si>
  <si>
    <t>SIP panel - EPS foam core</t>
  </si>
  <si>
    <t>7/16" OSB, Type II EPS</t>
  </si>
  <si>
    <t>SIP panel - Straw core</t>
  </si>
  <si>
    <t>Agriboard</t>
  </si>
  <si>
    <t>Agriboard 7-7/8"</t>
  </si>
  <si>
    <t>Beck LCA</t>
  </si>
  <si>
    <t>SPFA</t>
  </si>
  <si>
    <t>Includes: Accella, BASF, DAP, Demilec, Dow, Gaco Western, General Coatings, ICP, Icynene Lapolla, Johns Manville, NCFI, SES</t>
  </si>
  <si>
    <t>R 6.6/inch</t>
  </si>
  <si>
    <t>Spray polyurethane foam - Closed Cell (HFO)</t>
  </si>
  <si>
    <t>R 6.3/inch</t>
  </si>
  <si>
    <t>EPD-087</t>
  </si>
  <si>
    <t xml:space="preserve">EPD-085 </t>
  </si>
  <si>
    <t>R 4.1/inch</t>
  </si>
  <si>
    <t>Steel beam</t>
  </si>
  <si>
    <t>American Institute of Steel Construction</t>
  </si>
  <si>
    <t xml:space="preserve">4786979051.102.1 </t>
  </si>
  <si>
    <t>Steel joist, open web</t>
  </si>
  <si>
    <t>Steel Joist Institute</t>
  </si>
  <si>
    <t>4786052959.101.1</t>
  </si>
  <si>
    <t>Steel post</t>
  </si>
  <si>
    <t>11345278.101.2</t>
  </si>
  <si>
    <t>Steel studs - Load bearing</t>
  </si>
  <si>
    <t>ClarkDietrich</t>
  </si>
  <si>
    <t>600-S-137-54, 16 gauge</t>
  </si>
  <si>
    <t>EPD10057</t>
  </si>
  <si>
    <t>MarinoWARE</t>
  </si>
  <si>
    <t>Structural stud and track</t>
  </si>
  <si>
    <t xml:space="preserve">4786795523.101.1 </t>
  </si>
  <si>
    <t>MBA Building Supplies</t>
  </si>
  <si>
    <t>SCS-EPD-04104</t>
  </si>
  <si>
    <t>Scafco</t>
  </si>
  <si>
    <t>SCS-EPD05753</t>
  </si>
  <si>
    <t>Steel Recycling Institute</t>
  </si>
  <si>
    <t>SCS-EPD-03839</t>
  </si>
  <si>
    <t>Steel studs - Non-loadbearing</t>
  </si>
  <si>
    <t xml:space="preserve">EPD10056 </t>
  </si>
  <si>
    <t>9 studs/8x8 section</t>
  </si>
  <si>
    <t>72' = 21.95m</t>
  </si>
  <si>
    <t>21.95m/5.946m2</t>
  </si>
  <si>
    <t>Viper Stud Viper 20</t>
  </si>
  <si>
    <t>4786795523.101.0</t>
  </si>
  <si>
    <t xml:space="preserve">SCS-EPD-04103 </t>
  </si>
  <si>
    <t>SCS-EPD05752</t>
  </si>
  <si>
    <t>SCS-EPD-03838</t>
  </si>
  <si>
    <t>Straw Bale</t>
  </si>
  <si>
    <t>Wheat &amp; rye straw</t>
  </si>
  <si>
    <t>R 2.9/inch</t>
  </si>
  <si>
    <t>EPD-FASBA-2014-1-ECOINVENT</t>
  </si>
  <si>
    <t>Construction EPD GmbH</t>
  </si>
  <si>
    <t>W/mK</t>
  </si>
  <si>
    <t>Straw Panels</t>
  </si>
  <si>
    <t>EcoCocon</t>
  </si>
  <si>
    <t>VTT-CRM-158424-18</t>
  </si>
  <si>
    <t>VTT Technical Research Centre</t>
  </si>
  <si>
    <t>Sto</t>
  </si>
  <si>
    <t>Single application lifetime 10 years</t>
  </si>
  <si>
    <t>01-001</t>
  </si>
  <si>
    <t>Epsen</t>
  </si>
  <si>
    <t>TPO Roofing Membrane</t>
  </si>
  <si>
    <t>60 mils</t>
  </si>
  <si>
    <t>4787408569.102.1</t>
  </si>
  <si>
    <t>Vacuum Insulated Panel</t>
  </si>
  <si>
    <t>Vacupor</t>
  </si>
  <si>
    <t>R 30/inch</t>
  </si>
  <si>
    <t xml:space="preserve">EPD-POR-20140214-IBC1-EN </t>
  </si>
  <si>
    <t>Vinyl flooring</t>
  </si>
  <si>
    <t>Altro</t>
  </si>
  <si>
    <t>Altro Lavencia Click</t>
  </si>
  <si>
    <t>SCS-EPD-05047</t>
  </si>
  <si>
    <t>Altro Lavencia Plus</t>
  </si>
  <si>
    <t>SCS-EPD-05046</t>
  </si>
  <si>
    <t>Creation 70 CLIC</t>
  </si>
  <si>
    <t xml:space="preserve">4786877674.101.1 </t>
  </si>
  <si>
    <t>Includes tile products from Armstrong, Congoleum, Tarkett</t>
  </si>
  <si>
    <t xml:space="preserve">4788753451.105.1 </t>
  </si>
  <si>
    <t>Vinyl Siding</t>
  </si>
  <si>
    <t>Vinyl Siding Institute</t>
  </si>
  <si>
    <t>Double 4.5" products from: American Original, Associated Materials, CertainTeed, Novik, Ply Gem</t>
  </si>
  <si>
    <t>0.040" Double 4.5"</t>
  </si>
  <si>
    <t xml:space="preserve">4787108620.102.1 </t>
  </si>
  <si>
    <t>Bituthene</t>
  </si>
  <si>
    <t xml:space="preserve">EPD-073 </t>
  </si>
  <si>
    <t>Window - double pane</t>
  </si>
  <si>
    <t>Fiberglass frame</t>
  </si>
  <si>
    <t>Vinyl frame</t>
  </si>
  <si>
    <t>Wood frame</t>
  </si>
  <si>
    <t>Wood frame, aluminum cladding</t>
  </si>
  <si>
    <t>Andersen</t>
  </si>
  <si>
    <t>Fibrex</t>
  </si>
  <si>
    <t xml:space="preserve">4786100242.101.1 </t>
  </si>
  <si>
    <t>Window - triple pane</t>
  </si>
  <si>
    <t>Wood chip cement ICF</t>
  </si>
  <si>
    <t>Isospan</t>
  </si>
  <si>
    <t>Okopur</t>
  </si>
  <si>
    <t>79.5 kg/m2 of wood-chip block,213.4 kg/m2 of filling concrete</t>
  </si>
  <si>
    <t xml:space="preserve">EPD-ISOSPAN-2017-1-ECOINVENT </t>
  </si>
  <si>
    <t>Bau EPD GmbH</t>
  </si>
  <si>
    <t>Nexcem, Faswall</t>
  </si>
  <si>
    <t>12" R22 block</t>
  </si>
  <si>
    <t>LCA</t>
  </si>
  <si>
    <t>Armtec Ltd</t>
  </si>
  <si>
    <t>14" R28 block</t>
  </si>
  <si>
    <t>kg/m2 (17 kg/block * 5.382 blocks/m2)</t>
  </si>
  <si>
    <t>GUTEX</t>
  </si>
  <si>
    <t>ThermoFiber</t>
  </si>
  <si>
    <t xml:space="preserve">EPD-GTX-20140222-IBC2-EN </t>
  </si>
  <si>
    <t>Wood fiber batt</t>
  </si>
  <si>
    <t>ThermoFlex</t>
  </si>
  <si>
    <t>EPD-GTX-20180071-IBA1-DE</t>
  </si>
  <si>
    <t>Pavatex</t>
  </si>
  <si>
    <t>Pavaflex</t>
  </si>
  <si>
    <t xml:space="preserve">EPD-PAV-20150043-IBA2-EN </t>
  </si>
  <si>
    <t>Steico</t>
  </si>
  <si>
    <t>SteicoFlex</t>
  </si>
  <si>
    <t xml:space="preserve">EPD-STE-20150327-IBD1-EN </t>
  </si>
  <si>
    <t>Wood fiber board</t>
  </si>
  <si>
    <t>Includes: Georgia Pacific, Louisville, BPC, Temple-Inland, Blue Ridge, Int'l Bildrite</t>
  </si>
  <si>
    <t>R 2.7/inch</t>
  </si>
  <si>
    <t xml:space="preserve">4787319688.101.1 </t>
  </si>
  <si>
    <t>Multi-Therm</t>
  </si>
  <si>
    <t>Pavatherm</t>
  </si>
  <si>
    <t>R 3.4/inch</t>
  </si>
  <si>
    <t xml:space="preserve">EPD­PAV­2014197­CBG1­DE </t>
  </si>
  <si>
    <t>Special Dry</t>
  </si>
  <si>
    <t xml:space="preserve">4788424634.107.1 </t>
  </si>
  <si>
    <t>4788424634.102.1</t>
  </si>
  <si>
    <t>Roseburg</t>
  </si>
  <si>
    <t>Wood I joist</t>
  </si>
  <si>
    <t>kg/m at 11-7/8"</t>
  </si>
  <si>
    <t xml:space="preserve">4788424634.106.1 </t>
  </si>
  <si>
    <t>RFPI Joist</t>
  </si>
  <si>
    <t>Tectum</t>
  </si>
  <si>
    <t>2" (50.8 mm)</t>
  </si>
  <si>
    <t xml:space="preserve">4787863341.101.1 </t>
  </si>
  <si>
    <t>Wool batt</t>
  </si>
  <si>
    <t>Havelock Wool</t>
  </si>
  <si>
    <t>HW-20200605-001</t>
  </si>
  <si>
    <t>Wool loose fill</t>
  </si>
  <si>
    <t>R 4.4/inch</t>
  </si>
  <si>
    <t>HW-20200605-002</t>
  </si>
  <si>
    <t>XPS foam board</t>
  </si>
  <si>
    <t>R 5/inch</t>
  </si>
  <si>
    <t xml:space="preserve">4786548101.101.1 </t>
  </si>
  <si>
    <t>Composite Product</t>
  </si>
  <si>
    <t>Material1</t>
  </si>
  <si>
    <t>Material2</t>
  </si>
  <si>
    <t>Material3</t>
  </si>
  <si>
    <t>Material4</t>
  </si>
  <si>
    <t>Material5</t>
  </si>
  <si>
    <t>Thickness</t>
  </si>
  <si>
    <t>Spacing</t>
  </si>
  <si>
    <t>16" = 25%</t>
  </si>
  <si>
    <t>mm</t>
  </si>
  <si>
    <t>24" = 22%</t>
  </si>
  <si>
    <t>Wood dimensions in meters:</t>
  </si>
  <si>
    <t>7-1/4", 
R-29 Factor: 5.106</t>
  </si>
  <si>
    <t>9-1/2", 
R-38 Factor: 10.326</t>
  </si>
  <si>
    <t>11-7/8", 
R-48 Factor:13.043</t>
  </si>
  <si>
    <t>COLOURS</t>
  </si>
  <si>
    <t>FONTS</t>
  </si>
  <si>
    <t>FORMULAE</t>
  </si>
  <si>
    <t>a</t>
  </si>
  <si>
    <t>Title Row
(row ht 55)</t>
  </si>
  <si>
    <t>Header Row</t>
  </si>
  <si>
    <t>CO2E EMISSIONS</t>
  </si>
  <si>
    <t>Calibri 18 Bold</t>
  </si>
  <si>
    <t>NET kgCO2e EMISSIONS</t>
  </si>
  <si>
    <t>I6 = L6 - (M6 x N6)</t>
  </si>
  <si>
    <t>Worksheet Subtotal</t>
  </si>
  <si>
    <t>CO2 STORAGE</t>
  </si>
  <si>
    <t>L6 = D6 x $H$6 x G6/100 x Column M (C13) from Master Sheet</t>
  </si>
  <si>
    <t>Section Heading
(row ht 55)</t>
  </si>
  <si>
    <t>CO2 STORAGE FACTOR</t>
  </si>
  <si>
    <t>Calibri 18</t>
  </si>
  <si>
    <t>M6 = D x $H$6 x G6/100 x Column AA (C27) from Master Sheet</t>
  </si>
  <si>
    <t>Material Group Heading</t>
  </si>
  <si>
    <t>N6 = Column AC (C29) from Master Sheet</t>
  </si>
  <si>
    <t>User Input Cell</t>
  </si>
  <si>
    <t>L37 = D37 x ($E$35/5.678) x G37/100 x Column M(C13) from Master sheet</t>
  </si>
  <si>
    <t>Selected Material
(sheet total row ht 35)</t>
  </si>
  <si>
    <t>CO2 STORAGE (w R-Value)</t>
  </si>
  <si>
    <t>M37 = D37 x ($E$35/5.678) x G37/100 x Column AA (C27) from Master sheet</t>
  </si>
  <si>
    <t>Material Alternate Row Colour</t>
  </si>
  <si>
    <t>NOTE: The quantity for the cladding materials is:
H30*2 + H29</t>
  </si>
  <si>
    <t>AWC/CWC</t>
  </si>
  <si>
    <t>If you do not know the specific carbon footprint of your aggregate, chose the "AVERAGE" value</t>
  </si>
  <si>
    <t>Concrete mix specification makes a big difference in carbon footprint. The mix specifications here can be used to discuss low-carbon mix options with your supplier.</t>
  </si>
  <si>
    <t>Use % function to adjust for other gauges of steel studs.</t>
  </si>
  <si>
    <t>Use % function to adjust for other thicknesses of CLT panel.</t>
  </si>
  <si>
    <t>Use % function to adjust for other thicknesses of CMU.</t>
  </si>
  <si>
    <t>Use % function to adjust for different gauges of steel studs.</t>
  </si>
  <si>
    <t>Cedar Shingles/shakes</t>
  </si>
  <si>
    <t>R3.7/inch</t>
  </si>
  <si>
    <t xml:space="preserve">Mineral wool board </t>
  </si>
  <si>
    <t>Wood framing &amp; siding - Redwood</t>
  </si>
  <si>
    <t>Styrofoam SM</t>
  </si>
  <si>
    <t>VINYL SIDING</t>
  </si>
  <si>
    <t>Operational Carbon</t>
  </si>
  <si>
    <t>Address:</t>
  </si>
  <si>
    <t>City:</t>
  </si>
  <si>
    <t>Building Type:</t>
  </si>
  <si>
    <t>Storeys:</t>
  </si>
  <si>
    <t>Year Built:</t>
  </si>
  <si>
    <t>Heating Degree Days:</t>
  </si>
  <si>
    <t>Footing Width</t>
  </si>
  <si>
    <t>X</t>
  </si>
  <si>
    <t>Biogenic CO2 kg - full C value</t>
  </si>
  <si>
    <t>kg/m2 at 19/32"</t>
  </si>
  <si>
    <t>kg/m2 at 7/16"</t>
  </si>
  <si>
    <t>Framing factors:</t>
  </si>
  <si>
    <t xml:space="preserve">4787109018.102.1 </t>
  </si>
  <si>
    <t xml:space="preserve">4788647002.102.1 </t>
  </si>
  <si>
    <t xml:space="preserve">4786969381.105.1 </t>
  </si>
  <si>
    <t xml:space="preserve">4786969381.106.1 </t>
  </si>
  <si>
    <t>CO2e EMISSIONS</t>
  </si>
  <si>
    <t>CO2e EMISSIONS (w R-Value)</t>
  </si>
  <si>
    <t>9-1/2"</t>
  </si>
  <si>
    <t>Carbon content kgC/unit</t>
  </si>
  <si>
    <t>kgC/m</t>
  </si>
  <si>
    <t>% Carbon content (kgC/kg)</t>
  </si>
  <si>
    <t>WWF Storage Factor kgCO2/kgC</t>
  </si>
  <si>
    <t>TJI 230/360</t>
  </si>
  <si>
    <t>NRCan</t>
  </si>
  <si>
    <t>m2 at 0.0127 m (1/2")</t>
  </si>
  <si>
    <t>m2 at 0.01905 m (3/4")</t>
  </si>
  <si>
    <t>m2 RSI 1</t>
  </si>
  <si>
    <t>m2 at 15mm</t>
  </si>
  <si>
    <t>m2 at 8" block thickness</t>
  </si>
  <si>
    <t>m2 at 457 mm</t>
  </si>
  <si>
    <t>m2 at 6" block</t>
  </si>
  <si>
    <t>m2 at 3-1/2" thickness</t>
  </si>
  <si>
    <t>m2 at 8 mm (5/16")</t>
  </si>
  <si>
    <t>m of pier length</t>
  </si>
  <si>
    <t>m2 of ICF block</t>
  </si>
  <si>
    <t>m2 at 1"</t>
  </si>
  <si>
    <t>m2 at 3/4"</t>
  </si>
  <si>
    <t>m2 at RSI1</t>
  </si>
  <si>
    <t>m2 at 60mm</t>
  </si>
  <si>
    <t>m2-RSI1</t>
  </si>
  <si>
    <t>m2 product</t>
  </si>
  <si>
    <t>m2 at product thickness</t>
  </si>
  <si>
    <t>kg</t>
  </si>
  <si>
    <t>T</t>
  </si>
  <si>
    <t>1000 BF</t>
  </si>
  <si>
    <t>1m2 @ 10 mm</t>
  </si>
  <si>
    <t>9.29m2</t>
  </si>
  <si>
    <t>92.9m2</t>
  </si>
  <si>
    <t>block</t>
  </si>
  <si>
    <t>100m2</t>
  </si>
  <si>
    <t>m2 at 25 mm</t>
  </si>
  <si>
    <t>m2 surface area</t>
  </si>
  <si>
    <t>m2 at 8 " block</t>
  </si>
  <si>
    <t>m2 RSI1</t>
  </si>
  <si>
    <t>m at unit size</t>
  </si>
  <si>
    <t>Biogenic Storage kgCO2/unit</t>
  </si>
  <si>
    <t>Units</t>
  </si>
  <si>
    <t>EPD units kgCO2e per</t>
  </si>
  <si>
    <t>m at 11-7/8"</t>
  </si>
  <si>
    <t>20EQ gauge</t>
  </si>
  <si>
    <t>362-S-125-18, 20EQ gauge</t>
  </si>
  <si>
    <t>362-S-125-18, 20EQ gauge, ProSTUD, ProTRAK</t>
  </si>
  <si>
    <t>362VS125-18, 20EQ gauge</t>
  </si>
  <si>
    <t>m2 at 5 mm</t>
  </si>
  <si>
    <t>4 mm</t>
  </si>
  <si>
    <t>m2 at 4 mm</t>
  </si>
  <si>
    <t>6.5 mm</t>
  </si>
  <si>
    <t>m2 at 6.5 mm</t>
  </si>
  <si>
    <t>Thermal Cond. (k) for RSI</t>
  </si>
  <si>
    <t>Typical Eastern Canadian, solid, pre-finished</t>
  </si>
  <si>
    <t>3/4", 3 ply laminated solid, oil pre-finished</t>
  </si>
  <si>
    <t xml:space="preserve">Width (m) </t>
  </si>
  <si>
    <t>Exterior plaster cladding, 3/4"</t>
  </si>
  <si>
    <t>Steel Joist Spacing</t>
  </si>
  <si>
    <t>linear m</t>
  </si>
  <si>
    <t>12" 12K3 joist</t>
  </si>
  <si>
    <t>Stated EPD kgCO2e / unit</t>
  </si>
  <si>
    <t>Common Emissions kgCO2e/unit</t>
  </si>
  <si>
    <t>TJI Size</t>
  </si>
  <si>
    <t>EPD avg</t>
  </si>
  <si>
    <t>Ratio of density/m of TJI</t>
  </si>
  <si>
    <t>m3/m2</t>
  </si>
  <si>
    <t>M2 Emission</t>
  </si>
  <si>
    <t>M1 Emission</t>
  </si>
  <si>
    <t>M1 Storage</t>
  </si>
  <si>
    <t>M2 Storage</t>
  </si>
  <si>
    <t>M3 Emission</t>
  </si>
  <si>
    <t>M3 Storage</t>
  </si>
  <si>
    <t>M4 Emission</t>
  </si>
  <si>
    <t>M4 Storage</t>
  </si>
  <si>
    <t>M5 Emission</t>
  </si>
  <si>
    <t>M5 Storage</t>
  </si>
  <si>
    <t>kgCO2/kg storage</t>
  </si>
  <si>
    <t>3.5 x 0.216" (89 x 5.5 mm), Sched 40 STD</t>
  </si>
  <si>
    <t>Polypropylene ICF webbing</t>
  </si>
  <si>
    <t>3" Nominal Pipe, 3.5 x 3/16" (89 x 5.5 mm), 10" Helix, Sched 40 STD Galvanized steel</t>
  </si>
  <si>
    <t>UNIT</t>
  </si>
  <si>
    <t>4789639125.101.1</t>
  </si>
  <si>
    <t>4788721182.101.1</t>
  </si>
  <si>
    <t>m at 4"</t>
  </si>
  <si>
    <t>m at 6"</t>
  </si>
  <si>
    <r>
      <t>kgCO</t>
    </r>
    <r>
      <rPr>
        <b/>
        <vertAlign val="subscript"/>
        <sz val="14"/>
        <color rgb="FFFFFFFF"/>
        <rFont val="Arial"/>
        <family val="2"/>
      </rPr>
      <t>2</t>
    </r>
    <r>
      <rPr>
        <b/>
        <sz val="14"/>
        <color rgb="FFFFFFFF"/>
        <rFont val="Arial"/>
        <family val="2"/>
      </rPr>
      <t>e EMISSIONS</t>
    </r>
  </si>
  <si>
    <t>Steel Framing Factors</t>
  </si>
  <si>
    <t>Load Bearing Walls</t>
  </si>
  <si>
    <t>Use % to adjust if heavier gauge steel studs will be used. Framing factor based on 10' wall.</t>
  </si>
  <si>
    <t>Equivalent m of linear stud per m2 (to account for horizontal members in a typical 10' wall)</t>
  </si>
  <si>
    <t>Non Load Bearing Walls</t>
  </si>
  <si>
    <t>16" o.c.</t>
  </si>
  <si>
    <t>24" o.c.</t>
  </si>
  <si>
    <t>Factor for</t>
  </si>
  <si>
    <t>Vertical Studs only</t>
  </si>
  <si>
    <t>linear m of vertical studs per m2 of wall</t>
  </si>
  <si>
    <t>m2 at 0.0127 m</t>
  </si>
  <si>
    <t>kg/m2 at 0.0127 m</t>
  </si>
  <si>
    <t>Unit</t>
  </si>
  <si>
    <t>Units/m2</t>
  </si>
  <si>
    <t>WOOD CHIP CEMENT ICF 14" R-28 with MINERAL WOOL INSERTS (5 in. @ R4.2/in.), 15M REBAR</t>
  </si>
  <si>
    <t>WOOD CHIP CEMENT ICF 12" R-22 with MINERAL WOOL INSERTS, (3 in. @ R4.2/in.), 15M REBAR</t>
  </si>
  <si>
    <t>Step 1: Select ICF size</t>
  </si>
  <si>
    <t>CONCRETE REINFORCING BAR</t>
  </si>
  <si>
    <t>Fill volume of concrete: 0.105 m3/m2 of wall area</t>
  </si>
  <si>
    <t>Fill volume of concrete: 0.098 m3/m2 of wall area</t>
  </si>
  <si>
    <t>Fill volume of concrete: 0.15875 m3/m2 of wall area</t>
  </si>
  <si>
    <t>7/16"</t>
  </si>
  <si>
    <t>m2 at 0.0111 m (1/2")</t>
  </si>
  <si>
    <t>CONTINUOUS INSULATION (EXT. or INT.)</t>
  </si>
  <si>
    <t>ROOFING MEMBRANE</t>
  </si>
  <si>
    <t>Quebec Wood Export Bureau</t>
  </si>
  <si>
    <t>EPD 3409-8229</t>
  </si>
  <si>
    <t>CSA Group</t>
  </si>
  <si>
    <t>from Composite Master Sheet</t>
  </si>
  <si>
    <t>Incoming Unit</t>
  </si>
  <si>
    <t>0.085" Single 7" "Cedar" Shake</t>
  </si>
  <si>
    <t>Company (EPD Commissioner)</t>
  </si>
  <si>
    <t>Straw Bale Infill</t>
  </si>
  <si>
    <t>1 x 6 Boards</t>
  </si>
  <si>
    <t>100 ft2</t>
  </si>
  <si>
    <t>m2/100ft2</t>
  </si>
  <si>
    <t>3/4"</t>
  </si>
  <si>
    <t>ECO EPD Ref.No. 79</t>
  </si>
  <si>
    <t>1.82 m2</t>
  </si>
  <si>
    <t>kg pine/m2</t>
  </si>
  <si>
    <t>ECO EPD Ref.No. 81</t>
  </si>
  <si>
    <t>SP-00812</t>
  </si>
  <si>
    <t>kg reclaimed wood/m2</t>
  </si>
  <si>
    <t>m2 at 0.0159 m (5/8")</t>
  </si>
  <si>
    <t>kg/m2 at 5/8"</t>
  </si>
  <si>
    <t>Aggregate</t>
  </si>
  <si>
    <t>Avg construction aggregate (gravel &amp; sand)</t>
  </si>
  <si>
    <t>MT</t>
  </si>
  <si>
    <t>m2 at 0.0254 m (1")</t>
  </si>
  <si>
    <t xml:space="preserve">NRMCAEPD: 10020 </t>
  </si>
  <si>
    <t>Athena</t>
  </si>
  <si>
    <t>Kangley Rock &amp; Recycling</t>
  </si>
  <si>
    <t>EPD-079</t>
  </si>
  <si>
    <t>Martin Marietta</t>
  </si>
  <si>
    <t>EPD-063</t>
  </si>
  <si>
    <t>Polaris Mtls Corp.</t>
  </si>
  <si>
    <t xml:space="preserve">EPD-059 </t>
  </si>
  <si>
    <t>Vulcan Mtls Co.</t>
  </si>
  <si>
    <t>No number</t>
  </si>
  <si>
    <t>Climate Earth</t>
  </si>
  <si>
    <t>3-12" x 3/4" prefinished</t>
  </si>
  <si>
    <t>19/32"</t>
  </si>
  <si>
    <t>ASPHALT SHINGLES</t>
  </si>
  <si>
    <t>FIBER CEMENT ROOFING</t>
  </si>
  <si>
    <t>GYPSUM PANELS 1/2"</t>
  </si>
  <si>
    <t>FIBERGLASS BATT</t>
  </si>
  <si>
    <t>FIBERGLASS LOOSE FILL</t>
  </si>
  <si>
    <t>MINERAL WOOL BATT</t>
  </si>
  <si>
    <t>WOOD FIBER BATT</t>
  </si>
  <si>
    <t>HEMPCRETE LOOSE FILL</t>
  </si>
  <si>
    <t>24"</t>
  </si>
  <si>
    <t>36"</t>
  </si>
  <si>
    <t>Joists / m</t>
  </si>
  <si>
    <t>4787521006.104.1</t>
  </si>
  <si>
    <t>GLASBAC®RE, Nylon</t>
  </si>
  <si>
    <t>Modular tile carpet (closed loop recycling)</t>
  </si>
  <si>
    <t>4788873607.102.1</t>
  </si>
  <si>
    <t>ORIENTED STRAND BOARD</t>
  </si>
  <si>
    <t>PLYWOOD</t>
  </si>
  <si>
    <t>GYPSUM STRUCTURAL SHEATHING</t>
  </si>
  <si>
    <t>Factor</t>
  </si>
  <si>
    <t>SIP Panel</t>
  </si>
  <si>
    <t>5-1/2", R-22</t>
  </si>
  <si>
    <t>Composite Storage CO2/m2</t>
  </si>
  <si>
    <t>Composite Emissions co2</t>
  </si>
  <si>
    <t>SIP PANEL - R38 10.5" - EPS 9.5" @ R4/in. core, 2 sheets 1/2" OSB</t>
  </si>
  <si>
    <t>SIP PANEL - R48 12-7/8" - EPS 11.875" @ R4/in. core, 2 sheets 1/2" OSB</t>
  </si>
  <si>
    <t>SIP PANEL - R23 6.5" - EPS 5.5" @ R4/in. core, 2 sheets 1/2" OSB</t>
  </si>
  <si>
    <t>SIP PANEL - R30 8.25" - EPS 7.25" @ R4/in. core, 2 sheets 1/2" OSB</t>
  </si>
  <si>
    <t>TREATED WOOD FOUNDATION - 2x8 framing @ 16" OC, 3/4" plywood sheathing</t>
  </si>
  <si>
    <t>R 3.3/inch</t>
  </si>
  <si>
    <t>WOOD FRAME with STRAW BALE INFILL - 14" R-46, Double 2x4 @ 30" o/c</t>
  </si>
  <si>
    <t>Pac-Clad</t>
  </si>
  <si>
    <t>Cement mortar, tile</t>
  </si>
  <si>
    <t>kg/m3 masonry cement</t>
  </si>
  <si>
    <t>kg/m3 sand</t>
  </si>
  <si>
    <t>Masonry Mortar Mix</t>
  </si>
  <si>
    <t>3 parts avg sand</t>
  </si>
  <si>
    <t>1 part Masonry cement</t>
  </si>
  <si>
    <t>MidWest</t>
  </si>
  <si>
    <t>Interstate</t>
  </si>
  <si>
    <t>EPD10447</t>
  </si>
  <si>
    <t>Brick Industry Association</t>
  </si>
  <si>
    <t>US-Canada Industrywide Average</t>
  </si>
  <si>
    <t>PRé Consultants</t>
  </si>
  <si>
    <t>m3 of brick</t>
  </si>
  <si>
    <t xml:space="preserve">Height (m) </t>
  </si>
  <si>
    <t>Use outer dimensions of brick, ignore voids</t>
  </si>
  <si>
    <t>Brick, Clay, Generic Modular</t>
  </si>
  <si>
    <t>kgCO2/m3 mortar</t>
  </si>
  <si>
    <t>83% brick, 17% mortar</t>
  </si>
  <si>
    <t>87% brick, 13% mortar, plus 100% surface mortar @ 10mm</t>
  </si>
  <si>
    <t>EPD included mortar and ties</t>
  </si>
  <si>
    <t>Architectural Face Brick</t>
  </si>
  <si>
    <t>Avg Face Brick</t>
  </si>
  <si>
    <t>Avg Thin Face Brick</t>
  </si>
  <si>
    <t>3-5/8" x 2-3/4" x 7-5/8" (92 x 70 x 194 mm) incl. 3/8" mortar</t>
  </si>
  <si>
    <t>3-9/16" x 5/8" x 11-5/8" (90 x 16 mm x 295) incl. 3/8" mortar</t>
  </si>
  <si>
    <t>3-1/8" x 3-1/2" x any length, incl. mortar and ties</t>
  </si>
  <si>
    <t>US-Canada Industry Average</t>
  </si>
  <si>
    <t>3-5/8" x 2-3/4" x 7-5/8" incl. 3/8" mortar</t>
  </si>
  <si>
    <t>Footings &amp; Slabs</t>
  </si>
  <si>
    <t>AGGREGATE</t>
  </si>
  <si>
    <t>EPS FOAM BOARD</t>
  </si>
  <si>
    <t>XPS FOAM BOARD</t>
  </si>
  <si>
    <t>FOAMGLASS BOARD</t>
  </si>
  <si>
    <t>CORK BOARD</t>
  </si>
  <si>
    <t>HARDWOOD FLOORING</t>
  </si>
  <si>
    <t>TILE FLOORING</t>
  </si>
  <si>
    <t>VINYL FLOORING</t>
  </si>
  <si>
    <t>CATEGORY</t>
  </si>
  <si>
    <t>CORK FLOORING</t>
  </si>
  <si>
    <t>EPS FOAM</t>
  </si>
  <si>
    <t>XPS FOAM</t>
  </si>
  <si>
    <t>WOOD FIBER BOARD</t>
  </si>
  <si>
    <t>STEEL FRAMING, 2x4</t>
  </si>
  <si>
    <t>HEMPCRETE INSULATION</t>
  </si>
  <si>
    <t>DRYWALL 1/2"</t>
  </si>
  <si>
    <t>DRYWALL 5/8"</t>
  </si>
  <si>
    <t>CMU</t>
  </si>
  <si>
    <t>FIBERGLASS BLOWN-IN</t>
  </si>
  <si>
    <t>HEMPCRETE</t>
  </si>
  <si>
    <t>CROSS LAMINATED TIMBER</t>
  </si>
  <si>
    <t>STEEL FRAMING, 2x6</t>
  </si>
  <si>
    <t>BRICK</t>
  </si>
  <si>
    <t>FIBER CEMENT</t>
  </si>
  <si>
    <t>POLYPROPYLENE SIDING</t>
  </si>
  <si>
    <t>CLT FLOOR SYSTEM</t>
  </si>
  <si>
    <t>HARDWOOD 3/4"</t>
  </si>
  <si>
    <t>Specify the total length of all piers. Use % to adjust for different sized piers</t>
  </si>
  <si>
    <t>EPS foam board - AVERAGE</t>
  </si>
  <si>
    <t>Foam glass aggregate - AVERAGE</t>
  </si>
  <si>
    <t>Foam glass board - AVERAGE</t>
  </si>
  <si>
    <t>Hardwood flooring - AVERAGE</t>
  </si>
  <si>
    <t>Vinyl flooring - AVERAGE</t>
  </si>
  <si>
    <t>Tile flooring - AVERAGE</t>
  </si>
  <si>
    <t>CONCRETE WALLS</t>
  </si>
  <si>
    <t>Step 2: Select concrete fill option.</t>
  </si>
  <si>
    <t>Fiberglass batt - Foundation Wall Insulation - AVERAGE</t>
  </si>
  <si>
    <t>Cellulose - Foundation Wall Insulation - AVERAGE</t>
  </si>
  <si>
    <t>Mineral wool batt - Foundation Wall Insulation - AVERAGE</t>
  </si>
  <si>
    <t>Wood fiber batt - Foundation Wall Insulation - AVERAGE</t>
  </si>
  <si>
    <t>Hempcrete - Foundation Wall Insulation - AVERAGE</t>
  </si>
  <si>
    <t>Does not include any other framing members. To include these, use Wood Frame Construction section above to enter % of wall that is lumber.</t>
  </si>
  <si>
    <t>POLYISOCYANURATE FOAM BOARD</t>
  </si>
  <si>
    <t>PREFABRICATED PANELS</t>
  </si>
  <si>
    <t>STEEL PANEL SIDING</t>
  </si>
  <si>
    <t>ALUMINUM PANEL SIDING</t>
  </si>
  <si>
    <t>Drywall 1/2" Typical - Interior Cladding for Exterior Walls - AVERAGE</t>
  </si>
  <si>
    <t>Steel Framing - Interior Walls - AVERAGE</t>
  </si>
  <si>
    <t>Drywall 1/2" Typical - Interior Walls - AVERAGE</t>
  </si>
  <si>
    <t>Subcategory</t>
  </si>
  <si>
    <t>STRUCTURAL ELEMENTS</t>
  </si>
  <si>
    <t>STEEL POSTS &amp; BEAMS</t>
  </si>
  <si>
    <t>WOOD LUMBER FRAMING</t>
  </si>
  <si>
    <t>Ceramic tile flooring - AVERAGE</t>
  </si>
  <si>
    <t>Drywall 1/2" - Ceilings - AVERAGE</t>
  </si>
  <si>
    <t>Drywall 5/8" - Ceilings - AVERAGE</t>
  </si>
  <si>
    <t>CLADDING</t>
  </si>
  <si>
    <t>WOOD FRAMING</t>
  </si>
  <si>
    <t>Asphalt Shingles - Roofing - AVERAGE</t>
  </si>
  <si>
    <t>STEEL PANELS</t>
  </si>
  <si>
    <t>ALUMINUM PANELS</t>
  </si>
  <si>
    <t>Steel Panels - Roofing - AVERAGE</t>
  </si>
  <si>
    <t>Aluminum l Panels - Roofing - AVERAGE</t>
  </si>
  <si>
    <t>Fiber Cement roofing - AVERAGE</t>
  </si>
  <si>
    <t>Fiberglass batt - Roof Insulation - AVERAGE</t>
  </si>
  <si>
    <t>Fiberglass loose fill - Roof Insulation - AVERAGE</t>
  </si>
  <si>
    <t>Mineral wool batt - Roof Insulation - AVERAGE</t>
  </si>
  <si>
    <t>Cellulose - Roof Insulation - AVERAGE</t>
  </si>
  <si>
    <t>Wood fiber batt - Roof Insulation - AVERAGE</t>
  </si>
  <si>
    <t>SIP panel - Roof - AVERAGE</t>
  </si>
  <si>
    <t>Hempcrete - Roof Insulation - AVERAGE</t>
  </si>
  <si>
    <t>Ext. Walls</t>
  </si>
  <si>
    <t>Structural Elements</t>
  </si>
  <si>
    <t>Foundation Walls</t>
  </si>
  <si>
    <t>Ext. Wall Systems</t>
  </si>
  <si>
    <t>Cladding</t>
  </si>
  <si>
    <t>Int. Walls</t>
  </si>
  <si>
    <t>Floors</t>
  </si>
  <si>
    <t>Ceilings</t>
  </si>
  <si>
    <t>Roof</t>
  </si>
  <si>
    <t>TAB</t>
  </si>
  <si>
    <t>SECTION</t>
  </si>
  <si>
    <t>SELECTED MATERIALS</t>
  </si>
  <si>
    <t>SECTION 12 ➜ REVIEW</t>
  </si>
  <si>
    <t>Section</t>
  </si>
  <si>
    <t>Energy Consumption</t>
  </si>
  <si>
    <t>Province:</t>
  </si>
  <si>
    <t>Ontario</t>
  </si>
  <si>
    <t>Postal code:</t>
  </si>
  <si>
    <t>Evaluation date:</t>
  </si>
  <si>
    <t>File ID:</t>
  </si>
  <si>
    <t>AREA/
VOLUME</t>
  </si>
  <si>
    <t>Foundation wall, exterior continuous insulation, interior framing, interior insulation, interior wall finish</t>
  </si>
  <si>
    <t>FOUNDATION SLAB/FLOOR AREA</t>
  </si>
  <si>
    <t>Elec. kWh/yr</t>
  </si>
  <si>
    <t>Propane L/yr</t>
  </si>
  <si>
    <t>Oil L/yr</t>
  </si>
  <si>
    <t>Wood kg/yr</t>
  </si>
  <si>
    <r>
      <t>N. Gas m</t>
    </r>
    <r>
      <rPr>
        <b/>
        <vertAlign val="superscript"/>
        <sz val="12"/>
        <color theme="1"/>
        <rFont val="Arial"/>
        <family val="2"/>
      </rPr>
      <t>3</t>
    </r>
    <r>
      <rPr>
        <b/>
        <sz val="12"/>
        <color theme="1"/>
        <rFont val="Arial"/>
        <family val="2"/>
      </rPr>
      <t>/yr</t>
    </r>
  </si>
  <si>
    <t>J. D. Racusin</t>
  </si>
  <si>
    <t>R9.6/inch, White/Grey blanket</t>
  </si>
  <si>
    <t>R 4.6/inch, Type IX, 25 psi (Type 3, 140 kPa)</t>
  </si>
  <si>
    <t>R 4/inch, Type II, 15 psi (Type 2, 110 kPa)</t>
  </si>
  <si>
    <t>R 4.7/inch, Type IX</t>
  </si>
  <si>
    <t>R 4.7/inch, Type II, 15 psi (Type 2, 110 kPa)</t>
  </si>
  <si>
    <t>R 1.7/inch, 10-60 mm</t>
  </si>
  <si>
    <t>R 2.1/inch, Avg. of 9 mixes</t>
  </si>
  <si>
    <t>R 2.1/inch, Avg. mix using NHL &amp; PHL</t>
  </si>
  <si>
    <t>R 3.6/inch, 40, 60, 80, 100, 120, 140, 160, 180, 200 mm</t>
  </si>
  <si>
    <t>R 3.6/inch, 40, 120, 140, 160, 180, 200 mm</t>
  </si>
  <si>
    <t>PVC &amp; Wood composite</t>
  </si>
  <si>
    <t>BfCA Study (Tally)</t>
  </si>
  <si>
    <t>UEC of Windows - Study</t>
  </si>
  <si>
    <t>Builders for Climate Action</t>
  </si>
  <si>
    <t>Window Type</t>
  </si>
  <si>
    <t>ICE value</t>
  </si>
  <si>
    <t>Tally value (no bioC storage)</t>
  </si>
  <si>
    <t>Tally value (with bio C storage)</t>
  </si>
  <si>
    <t>Bio C storage</t>
  </si>
  <si>
    <t>Wood using SFP GWP factor</t>
  </si>
  <si>
    <t>glazing only 3-pane</t>
  </si>
  <si>
    <t>glazing is ~78% of total in a wood frame unit</t>
  </si>
  <si>
    <t>Cladding only</t>
  </si>
  <si>
    <t>aluminum extrusion - representative of Marvin, may be larger than other thinner units</t>
  </si>
  <si>
    <t>Wood frame only 3-pane</t>
  </si>
  <si>
    <t>This seems prety close to ICE's numbers - any chance those are for frame only?</t>
  </si>
  <si>
    <t>Wood Double Pane</t>
  </si>
  <si>
    <t>ICE seems impossibly low. Biogenic C slightly lower than wood frame  - this makes sense, small amount of unrecovered emissions balanced off by wood carbon</t>
  </si>
  <si>
    <t>Wood Triple Pane</t>
  </si>
  <si>
    <t>Bio C calculated by difference, not declared - minor discrepencies in framing btw 2 and 3 pane?</t>
  </si>
  <si>
    <t>Wood/Metal 2-pane</t>
  </si>
  <si>
    <t>Marvin's approach is extrusion replacing outer wood frame, as opposed to rolled material over wood; hence less wood bio C</t>
  </si>
  <si>
    <t>Wood/Metal 3-pane</t>
  </si>
  <si>
    <t>Vinyl 2-pane</t>
  </si>
  <si>
    <t>n/a</t>
  </si>
  <si>
    <t>checks out against ICE, seems about where I'd expect comp to wood only</t>
  </si>
  <si>
    <t>Vinyl 3-pane</t>
  </si>
  <si>
    <t>Fiberglass 2-pane</t>
  </si>
  <si>
    <t>Seems about where I'd expect compared to vinyl</t>
  </si>
  <si>
    <t>Fiberglass 3-pane</t>
  </si>
  <si>
    <t>Anderson Fibrex</t>
  </si>
  <si>
    <t>EUROPEAN FIBERGLASS - CLF FORUM</t>
  </si>
  <si>
    <t>All UEC values kgCO2e A1-A3 per sq m</t>
  </si>
  <si>
    <t>All windows 3' w x 4' h = 1.11484 m2</t>
  </si>
  <si>
    <t>Marvin Essential modeled for fiberglass and vinyl frames</t>
  </si>
  <si>
    <t>Marvin Ultimate modeled for wood and wood with aluminum clad frames</t>
  </si>
  <si>
    <t>Reverse CO2e calc from our numbers:</t>
  </si>
  <si>
    <t>SPF framing kg CO2e/m3</t>
  </si>
  <si>
    <t>from NA softwood LCA</t>
  </si>
  <si>
    <t>3-pane wood weight</t>
  </si>
  <si>
    <t>from Tally</t>
  </si>
  <si>
    <t>ave softwood density</t>
  </si>
  <si>
    <t>from Engineering Toolbox</t>
  </si>
  <si>
    <t>calculated approx volume</t>
  </si>
  <si>
    <t>approximate UEC</t>
  </si>
  <si>
    <t>kg CO2e</t>
  </si>
  <si>
    <t>Tally UEC</t>
  </si>
  <si>
    <t>from GaBi LCI: DE: Wooden frame (EN15804 A1-A3) ts (2017)</t>
  </si>
  <si>
    <t>Window dimensions:</t>
  </si>
  <si>
    <t>length</t>
  </si>
  <si>
    <t>area:</t>
  </si>
  <si>
    <t>in2</t>
  </si>
  <si>
    <t>gross area per frame (2 sides)</t>
  </si>
  <si>
    <t>metric conversion</t>
  </si>
  <si>
    <t>roughly equates to calculated volume above</t>
  </si>
  <si>
    <t>FLOOR CAVITY INSULATION</t>
  </si>
  <si>
    <t>Fiberglass loose fill - Floor Insulation - AVERAGE</t>
  </si>
  <si>
    <t>Mineral wool batt - Floor Insulation - AVERAGE</t>
  </si>
  <si>
    <t>Cellulose - Floor Insulation - AVERAGE</t>
  </si>
  <si>
    <t>Wood fiber batt - Floor Insulation - AVERAGE</t>
  </si>
  <si>
    <t>Hempcrete - Floor Insulation - AVERAGE</t>
  </si>
  <si>
    <t>EPD Note</t>
  </si>
  <si>
    <t>ICE</t>
  </si>
  <si>
    <t>Year</t>
  </si>
  <si>
    <r>
      <t>tonnes CO</t>
    </r>
    <r>
      <rPr>
        <b/>
        <vertAlign val="subscript"/>
        <sz val="12"/>
        <color theme="1"/>
        <rFont val="Arial"/>
        <family val="2"/>
      </rPr>
      <t>2</t>
    </r>
    <r>
      <rPr>
        <b/>
        <sz val="12"/>
        <color theme="1"/>
        <rFont val="Arial"/>
        <family val="2"/>
      </rPr>
      <t>e</t>
    </r>
  </si>
  <si>
    <r>
      <t>kg CO</t>
    </r>
    <r>
      <rPr>
        <b/>
        <vertAlign val="subscript"/>
        <sz val="12"/>
        <rFont val="Arial"/>
        <family val="2"/>
      </rPr>
      <t>2</t>
    </r>
    <r>
      <rPr>
        <b/>
        <sz val="12"/>
        <rFont val="Arial"/>
        <family val="2"/>
      </rPr>
      <t>e / m</t>
    </r>
    <r>
      <rPr>
        <b/>
        <vertAlign val="superscript"/>
        <sz val="12"/>
        <rFont val="Arial"/>
        <family val="2"/>
      </rPr>
      <t>2</t>
    </r>
  </si>
  <si>
    <t>Fiberglass batt - Floor Insulation - AVERAGE</t>
  </si>
  <si>
    <t>A1-B1</t>
  </si>
  <si>
    <t>LCA in Composite</t>
  </si>
  <si>
    <t>Nunavut</t>
  </si>
  <si>
    <t>Northwest Territories</t>
  </si>
  <si>
    <t>Renewables_GJ</t>
  </si>
  <si>
    <t>Yukon</t>
  </si>
  <si>
    <t>British Columbia</t>
  </si>
  <si>
    <t>Alberta</t>
  </si>
  <si>
    <t>Saskatchewan</t>
  </si>
  <si>
    <t>Manitoba</t>
  </si>
  <si>
    <t>Quebec</t>
  </si>
  <si>
    <t>Wood_Kg</t>
  </si>
  <si>
    <t>New Brunswick</t>
  </si>
  <si>
    <t>Propane_Litres</t>
  </si>
  <si>
    <t>Nova Scotia</t>
  </si>
  <si>
    <t>Oil_Litres</t>
  </si>
  <si>
    <t>Prince Edward Island</t>
  </si>
  <si>
    <t>Natural Gas_m3</t>
  </si>
  <si>
    <t>Newfoundland and Labrador</t>
  </si>
  <si>
    <t>Electricity_kWh</t>
  </si>
  <si>
    <t>Total</t>
  </si>
  <si>
    <t>Wood</t>
  </si>
  <si>
    <t>Propane</t>
  </si>
  <si>
    <t>Oil</t>
  </si>
  <si>
    <t>Natural Gas</t>
  </si>
  <si>
    <t>Electricity</t>
  </si>
  <si>
    <t>Province</t>
  </si>
  <si>
    <t>GHG Calculations Results</t>
  </si>
  <si>
    <t>GHG Factor Propane</t>
  </si>
  <si>
    <t>GHG Factor Oil</t>
  </si>
  <si>
    <t>GHG Factor Natural Gas</t>
  </si>
  <si>
    <t>GHG Factor Electricity</t>
  </si>
  <si>
    <r>
      <t>NET CARBON FOOTPRINT 
[kg CO</t>
    </r>
    <r>
      <rPr>
        <b/>
        <vertAlign val="subscript"/>
        <sz val="14"/>
        <color theme="0"/>
        <rFont val="Arial"/>
        <family val="2"/>
      </rPr>
      <t>2</t>
    </r>
    <r>
      <rPr>
        <b/>
        <sz val="14"/>
        <color theme="0"/>
        <rFont val="Arial"/>
        <family val="2"/>
      </rPr>
      <t>e]</t>
    </r>
  </si>
  <si>
    <r>
      <t>CARBON EMISSIONS 
[kg CO</t>
    </r>
    <r>
      <rPr>
        <b/>
        <vertAlign val="subscript"/>
        <sz val="14"/>
        <color theme="0"/>
        <rFont val="Arial"/>
        <family val="2"/>
      </rPr>
      <t>2</t>
    </r>
    <r>
      <rPr>
        <b/>
        <sz val="14"/>
        <color theme="0"/>
        <rFont val="Arial"/>
        <family val="2"/>
      </rPr>
      <t>e]</t>
    </r>
  </si>
  <si>
    <t>Overview and Context:</t>
  </si>
  <si>
    <t>By making informed material choices, a building with the same size, function and energy performance can dramatically reduce its MCEs. In fact, it is possible with materials available today to get the MCEs of buildings close to – and even below – zero. </t>
  </si>
  <si>
    <t>Data for calculations:</t>
  </si>
  <si>
    <t>NRCan has worked to ensure that all material comparisons are equivalent, using standard product sizes, code norms and best practice to make this an “apples to apples” comparison. </t>
  </si>
  <si>
    <t>1. All the data is based on publicly available Environmental Product Declarations (EPDs). </t>
  </si>
  <si>
    <t>The calculations used to create an EPD can be compared to calculating the fuel mileage for a car or truck. A series of assumptions and generic data are used to predict the carbon footprint of a material. The rules for making EPDs ensure that these assumptions are similar for all products in a particular category, but this does not necessarily guarantee that the actual figure is a perfect representation of the actual emissions from manufacturing the material.</t>
  </si>
  <si>
    <t>A range of uncertainty from 5-25% is typical in EPDs.</t>
  </si>
  <si>
    <t>2. Calculations may not reflect your practices.</t>
  </si>
  <si>
    <t>3. No waste factor for materials is included.</t>
  </si>
  <si>
    <t>Every construction project generates offcuts and waste. None of our calculations assume any waste factors due to the wide variation in on-site practices.</t>
  </si>
  <si>
    <t>If you would like your total emissions to reflect waste factors, you can add an appropriate percentage to each material category using the percentage function in Column F. </t>
  </si>
  <si>
    <t>4. We have not included data for all of the components in a building.</t>
  </si>
  <si>
    <t>There are many materials that will go into your building that are not included here:</t>
  </si>
  <si>
    <t>Mechanical, electrical and plumbing (MEP) systems and components</t>
  </si>
  <si>
    <t>Damp-proofing, air/vapour barriers and membranes</t>
  </si>
  <si>
    <t>Flashing, sealants, adhesives</t>
  </si>
  <si>
    <t>Fasteners</t>
  </si>
  <si>
    <t>Appliances and fixtures </t>
  </si>
  <si>
    <t>Millwork, cabinetry and stairs</t>
  </si>
  <si>
    <t>Paints, stains and surface finishes</t>
  </si>
  <si>
    <t>Getting building materials from the factory to the job site can add a significant quantity of emissions to the overall project. Typically, transportation to the construction site adds 5-10% to the total material emissions.</t>
  </si>
  <si>
    <t>We encourage you to understand your supply chains and to attempt to do your own transportation emission calculations. The emissions from a construction site are likewise difficult to estimate, but average between 5-10% of the total materials emissions, and will depend on emissions factors associated with the energy source on the job site (electricity grid versus diesel generator)</t>
  </si>
  <si>
    <t>6. No end of life emissions calculated</t>
  </si>
  <si>
    <t>7. No costing information.</t>
  </si>
  <si>
    <t>Material options with pastel highlights in column M have received their carbon emissions data from sources other than an EPD and are denoted by the following legend:</t>
  </si>
  <si>
    <t>Data source: LCA Study</t>
  </si>
  <si>
    <t>WOOD CHIP CEMENT ICF 14" R-27 with CORK BOARD INSERTS (5 in. @ R4/in.), 15M REBAR</t>
  </si>
  <si>
    <t>WOOD CHIP CEMENT ICF 12" R-21 with CORK BOARD INSERTS (3 in. @ R4/in.), 15M REBAR</t>
  </si>
  <si>
    <t>Common (Double Howe) Gabrel Roof</t>
  </si>
  <si>
    <t>Wood roof truss - prefabricated</t>
  </si>
  <si>
    <t>Wood floor truss - prefabricated</t>
  </si>
  <si>
    <t>Common (Warren, 45 deg) web pattern</t>
  </si>
  <si>
    <t>Top chord bearing, variable depth</t>
  </si>
  <si>
    <t>m3/linear m</t>
  </si>
  <si>
    <t>linear m of truss</t>
  </si>
  <si>
    <t>EPD 1725-6769</t>
  </si>
  <si>
    <t>2x6 Chords, 2x4 Webs, 4:12 Pitch, 40 ft span, 20" overhang</t>
  </si>
  <si>
    <t>Cork board insulation</t>
  </si>
  <si>
    <t>Specify an overall rebar length.</t>
  </si>
  <si>
    <t>Items selected</t>
  </si>
  <si>
    <t>CEILING FINISHES</t>
  </si>
  <si>
    <t>Total cubic metres of all footings, piers and posts</t>
  </si>
  <si>
    <t>Square metres</t>
  </si>
  <si>
    <t>Square metres (full area of glazing units)</t>
  </si>
  <si>
    <r>
      <t>Heated Floor Area (above grade, m</t>
    </r>
    <r>
      <rPr>
        <b/>
        <vertAlign val="superscript"/>
        <sz val="12"/>
        <rFont val="Arial"/>
        <family val="2"/>
      </rPr>
      <t>2</t>
    </r>
    <r>
      <rPr>
        <b/>
        <sz val="12"/>
        <rFont val="Arial"/>
        <family val="2"/>
      </rPr>
      <t>):</t>
    </r>
  </si>
  <si>
    <r>
      <t>Heated Floor Area (below grade, m</t>
    </r>
    <r>
      <rPr>
        <b/>
        <vertAlign val="superscript"/>
        <sz val="12"/>
        <rFont val="Arial"/>
        <family val="2"/>
      </rPr>
      <t>2</t>
    </r>
    <r>
      <rPr>
        <b/>
        <sz val="12"/>
        <rFont val="Arial"/>
        <family val="2"/>
      </rPr>
      <t>):</t>
    </r>
  </si>
  <si>
    <r>
      <t>m</t>
    </r>
    <r>
      <rPr>
        <b/>
        <vertAlign val="superscript"/>
        <sz val="12"/>
        <color theme="1"/>
        <rFont val="Arial"/>
        <family val="2"/>
      </rPr>
      <t>3</t>
    </r>
  </si>
  <si>
    <r>
      <t>m</t>
    </r>
    <r>
      <rPr>
        <b/>
        <vertAlign val="superscript"/>
        <sz val="12"/>
        <color theme="1"/>
        <rFont val="Arial"/>
        <family val="2"/>
      </rPr>
      <t>2</t>
    </r>
  </si>
  <si>
    <r>
      <rPr>
        <b/>
        <sz val="14"/>
        <color rgb="FF0094C8"/>
        <rFont val="Arial"/>
        <family val="2"/>
      </rPr>
      <t xml:space="preserve">      </t>
    </r>
    <r>
      <rPr>
        <b/>
        <sz val="14"/>
        <color theme="1"/>
        <rFont val="Arial"/>
        <family val="2"/>
      </rPr>
      <t xml:space="preserve">Import project data from HOT2000 </t>
    </r>
    <r>
      <rPr>
        <sz val="14"/>
        <color theme="1"/>
        <rFont val="Arial"/>
        <family val="2"/>
      </rPr>
      <t>(If no HOT2000 file, skip to Step 2)</t>
    </r>
  </si>
  <si>
    <r>
      <rPr>
        <b/>
        <sz val="14"/>
        <color rgb="FF0094C8"/>
        <rFont val="Arial"/>
        <family val="2"/>
      </rPr>
      <t xml:space="preserve">      </t>
    </r>
    <r>
      <rPr>
        <b/>
        <sz val="14"/>
        <color theme="1"/>
        <rFont val="Arial"/>
        <family val="2"/>
      </rPr>
      <t>Confirm or enter project information</t>
    </r>
  </si>
  <si>
    <t>Footing Length</t>
  </si>
  <si>
    <t>Footing Depth</t>
  </si>
  <si>
    <t>m2 @ 0.2m</t>
  </si>
  <si>
    <t>m2 RSI</t>
  </si>
  <si>
    <t>kg/m2 at 0.2m</t>
  </si>
  <si>
    <t>m2 at 1/2"</t>
  </si>
  <si>
    <t>m2 at 5/8"</t>
  </si>
  <si>
    <t>Serfas</t>
  </si>
  <si>
    <t>6" x 6" x 6/6g</t>
  </si>
  <si>
    <t>Norway</t>
  </si>
  <si>
    <t>NEPD-457-296-EN</t>
  </si>
  <si>
    <t>STEEL REINFORCING MESH</t>
  </si>
  <si>
    <t>WELDED WIRE MESH</t>
  </si>
  <si>
    <t>Stolit 1.0, Stolit 1.5, Stolit Freeform</t>
  </si>
  <si>
    <t>Acrylic Stucco Textured Finish</t>
  </si>
  <si>
    <t>Concrete - 0-25 MPa, Industry Average Benchmark</t>
  </si>
  <si>
    <t>CRMCA</t>
  </si>
  <si>
    <t>Can. Avg.</t>
  </si>
  <si>
    <t>Mix #3</t>
  </si>
  <si>
    <t>Concrete - 0-25 MPa, 0-14% FA/SL, GU</t>
  </si>
  <si>
    <t>Avg of #1 with and #2 without air</t>
  </si>
  <si>
    <t>Concrete - 0-25 MPa, 15-29% Fly Ash, GU</t>
  </si>
  <si>
    <t>Avg of #4 with and #6 without air</t>
  </si>
  <si>
    <t>Concrete - 0-25 MPa, 30-40% Fly Ash, GU</t>
  </si>
  <si>
    <t>Avg of #8 with and #10 without air</t>
  </si>
  <si>
    <t>Concrete - 0-25 MPa, 25-34% Slag, GU</t>
  </si>
  <si>
    <t>Avg of #12 with and #14 without air</t>
  </si>
  <si>
    <t>Concrete - 0-25 MPa, 35-50% Slag, GU</t>
  </si>
  <si>
    <t>Avg of #16 with and #18 without air</t>
  </si>
  <si>
    <t>Concrete - 26-30 MPa, Canadian Benchmark Average</t>
  </si>
  <si>
    <t>Mix #22</t>
  </si>
  <si>
    <t>Concrete - 26-30 MPa, 0-14% FA/SL, GU</t>
  </si>
  <si>
    <t>Avg of #20 with and #21 without air</t>
  </si>
  <si>
    <t>Concrete - 26-30 MPa, 15-29% Fly Ash, GU</t>
  </si>
  <si>
    <t>Avg of #23 with and #25 without air</t>
  </si>
  <si>
    <t>Concrete - 26-30 MPa, 30-40% Fly Ash, GU</t>
  </si>
  <si>
    <t>Avg of #27 with and #29 without air</t>
  </si>
  <si>
    <t>Concrete - 26-30 MPa, 25-34% Slag, GU</t>
  </si>
  <si>
    <t>Avg of #31 with and #33 without air</t>
  </si>
  <si>
    <t>Concrete - 26-30 MPa, 35-50% Slag, GU</t>
  </si>
  <si>
    <t>Avg of #35 with and #37 without air</t>
  </si>
  <si>
    <t>Concrete - 31-35 MPa, Canadian Benchmark Average</t>
  </si>
  <si>
    <t>Mix #41</t>
  </si>
  <si>
    <t>Concrete - 31-35 MPa, 0-14% FA/SL, GU</t>
  </si>
  <si>
    <t>Avg of #39 with and #40 without air</t>
  </si>
  <si>
    <t>Concrete - 31-35 MPa, 15-29% Fly Ash, GU</t>
  </si>
  <si>
    <t>Avg of #42 with and #44 without air</t>
  </si>
  <si>
    <t>Concrete - 31-35 MPa, 30-40% Fly Ash, GU</t>
  </si>
  <si>
    <t>Avg of #46 with and #48 without air</t>
  </si>
  <si>
    <t>Concrete - 31-35 MPa, 25-34% Slag, GU</t>
  </si>
  <si>
    <t>Avg of #50 with and #52 without air</t>
  </si>
  <si>
    <t>Concrete - 31-35 MPa, 35-50% Slag, GU</t>
  </si>
  <si>
    <t>Avg of #54 with and #56 without air</t>
  </si>
  <si>
    <t>Concrete - 20 MPa, Standard mix</t>
  </si>
  <si>
    <t>NRMCA</t>
  </si>
  <si>
    <t>3000-00-FA/SL</t>
  </si>
  <si>
    <t>Concrete - 20 MPa, 20-30% Fly Ash</t>
  </si>
  <si>
    <t>3000-20-FA</t>
  </si>
  <si>
    <t>Concrete - 20 MPa, 30-40% FA/SL</t>
  </si>
  <si>
    <t>3000-30-FA/SL</t>
  </si>
  <si>
    <t>Concrete - 20 MPa, 40-50% FA/SL mix</t>
  </si>
  <si>
    <t>3000-40-FA/SL</t>
  </si>
  <si>
    <t>Concrete - 20 MPa, &gt;50% SCM mix</t>
  </si>
  <si>
    <t>3000-50-FA/SL</t>
  </si>
  <si>
    <t>US Avg</t>
  </si>
  <si>
    <t>CONCRETE – 25 MPa or less</t>
  </si>
  <si>
    <t>CONCRETE – 26-30 MPa</t>
  </si>
  <si>
    <t>CONCRETE – 31-35 MPa</t>
  </si>
  <si>
    <t>EPS FOAM ICF R-23, 2 Sheets of 2.75" @ R4/in., 15M rebar (6" CONCRETE CORE must be added separately)</t>
  </si>
  <si>
    <t>Linoleum flooring - AVERAGE 2.5 mm</t>
  </si>
  <si>
    <t>Mineral wool board - AVERAGE</t>
  </si>
  <si>
    <t>Wood fiber board - AVERAGE</t>
  </si>
  <si>
    <t>Mineral wool board - light density – AVERAGE</t>
  </si>
  <si>
    <t>Drywall 1/2" - AVERAGE</t>
  </si>
  <si>
    <t>Steel Framing - AVERAGE</t>
  </si>
  <si>
    <t>Steel Framing - Load bearing - AVERAGE</t>
  </si>
  <si>
    <t>Fiberglass batt - AVERAGE</t>
  </si>
  <si>
    <t>Fiberglass loose fill - AVERAGE</t>
  </si>
  <si>
    <t>Cellulose - AVERAGE</t>
  </si>
  <si>
    <t>Wood fiber batt - AVERAGE</t>
  </si>
  <si>
    <t>Hempcrete - AVERAGE</t>
  </si>
  <si>
    <t>Polyisocyanurate - AVERAGE</t>
  </si>
  <si>
    <t>Cross Laminated Timber - AVERAGE</t>
  </si>
  <si>
    <t>Concrete Masonry Units - AVERAGE</t>
  </si>
  <si>
    <t>Step 1: Select ICF size and insulation</t>
  </si>
  <si>
    <t>Fiber Cement siding - AVERAGE</t>
  </si>
  <si>
    <t>Polypropylene siding - AVERAGE</t>
  </si>
  <si>
    <t>Steel Panel Siding - AVERAGE</t>
  </si>
  <si>
    <t>Aluminum Panel Siding - AVERAGE</t>
  </si>
  <si>
    <t>DOUBLE PANE WINDOWS</t>
  </si>
  <si>
    <t>TRIPLE PANE WINDOWS</t>
  </si>
  <si>
    <t>CLT Floor System – 3-1/2" (90 mm) AVERAGE</t>
  </si>
  <si>
    <t>CROSS-LAMINATED TIMBER</t>
  </si>
  <si>
    <t>NEEDS REVIEW</t>
  </si>
  <si>
    <t>Wood fiber - loose fill</t>
  </si>
  <si>
    <t>Wood biogenic carbon storage set to zero</t>
  </si>
  <si>
    <t>R-22/block</t>
  </si>
  <si>
    <t>R-28/block</t>
  </si>
  <si>
    <t>R-27.5/block</t>
  </si>
  <si>
    <t>Heavy timber framing members (e.g. posts and beams)</t>
  </si>
  <si>
    <t>Hot-rolled strucutural steel</t>
  </si>
  <si>
    <t>W200x31 (W8x21)</t>
  </si>
  <si>
    <t>W150x22 (W6x15)</t>
  </si>
  <si>
    <t>W200x22 (W8x15)</t>
  </si>
  <si>
    <t>W200x27 (W8x18)</t>
  </si>
  <si>
    <t>W250x25 (W10x17)</t>
  </si>
  <si>
    <t>W250x33 (W10x22)</t>
  </si>
  <si>
    <t>W250x39 (W10x26)</t>
  </si>
  <si>
    <t>W310x33 (W12x22)</t>
  </si>
  <si>
    <t>W310x39 (W12x26)</t>
  </si>
  <si>
    <t>Heavy Timber Framing - AVERAGE</t>
  </si>
  <si>
    <t>Steel Beam W Section – AVERAGE</t>
  </si>
  <si>
    <t>VOLUME</t>
  </si>
  <si>
    <t>LENGTH</t>
  </si>
  <si>
    <t>AREA</t>
  </si>
  <si>
    <t>Peer-reviewed LCA</t>
  </si>
  <si>
    <t>Christoforou et al LCA, 2016, Journal of Cleaner Production</t>
  </si>
  <si>
    <t>Bolin &amp; Smith, 2011, LCA Assessment of ACQ-treated lumber, Journal of Cleaner Production</t>
  </si>
  <si>
    <t>Peer-reviewed LCA, 2011</t>
  </si>
  <si>
    <t>Peer-reviewed LCA, 2016</t>
  </si>
  <si>
    <t>A1-B1, Expired 2019</t>
  </si>
  <si>
    <t>Indedpendent LCA</t>
  </si>
  <si>
    <t>ICE Database (UK)</t>
  </si>
  <si>
    <t>Independent LCA, 2013</t>
  </si>
  <si>
    <t>Peer-reviewed LCA, 2017</t>
  </si>
  <si>
    <t>Peer-reviewed LCA, 2020</t>
  </si>
  <si>
    <t>Peer-reviewed LCA, 2019</t>
  </si>
  <si>
    <t>Peer-reviewed LCA, 2014</t>
  </si>
  <si>
    <t>Multi-EPD average from EC3 Tool</t>
  </si>
  <si>
    <t>CarbonCure</t>
  </si>
  <si>
    <t>Data source: recently expired EPD</t>
  </si>
  <si>
    <t>Data source: ICE Database (UK)</t>
  </si>
  <si>
    <t>5. We have only included data for “cradle-to-gate” (A1-A3) emissions, not transportation to site, product use emissions/off-gassing or job site emissions.</t>
  </si>
  <si>
    <t xml:space="preserve">Data source: EPD includes phases A1-A3 and B1 (VOC off-gassing) </t>
  </si>
  <si>
    <t>Select beam section from drop-down menu and input linear metres for each component type, as values do not come from User Input Sheet.</t>
  </si>
  <si>
    <t>Site made</t>
  </si>
  <si>
    <t>Adapted from peer-reviewed LCA, 2019</t>
  </si>
  <si>
    <t>EARTHEN FLOOR</t>
  </si>
  <si>
    <t>CONCRETE SLAB FLOOR(S)</t>
  </si>
  <si>
    <t>OTHER SLAB FLOOR(S)</t>
  </si>
  <si>
    <t>Adapted by Erik Bowden from cob wall LCA study data</t>
  </si>
  <si>
    <t>kg straw/m2</t>
  </si>
  <si>
    <t>8" block wall</t>
  </si>
  <si>
    <t>Avg of site made and factory made (Cyprus)</t>
  </si>
  <si>
    <t>Cyprus</t>
  </si>
  <si>
    <t>User-Defined</t>
  </si>
  <si>
    <t>Override Province</t>
  </si>
  <si>
    <t>Override Value</t>
  </si>
  <si>
    <t>Information Source</t>
  </si>
  <si>
    <t>MCE</t>
  </si>
  <si>
    <t>Material Carbon Emissions</t>
  </si>
  <si>
    <t>EPD</t>
  </si>
  <si>
    <t>Environmental Product Declaration</t>
  </si>
  <si>
    <t>GHG</t>
  </si>
  <si>
    <t>Description</t>
  </si>
  <si>
    <t>Carbon dioxide equivalent emissions</t>
  </si>
  <si>
    <t>RSI</t>
  </si>
  <si>
    <t>R-Value</t>
  </si>
  <si>
    <t>Thermal Resistance in U.S./imperial units</t>
  </si>
  <si>
    <t>R-value/inch</t>
  </si>
  <si>
    <t>Thermal Resistance per area in SI units</t>
  </si>
  <si>
    <t>Net Zero Carbon</t>
  </si>
  <si>
    <t>Abbreviated Term</t>
  </si>
  <si>
    <t>Full Term</t>
  </si>
  <si>
    <t>Greenhouse Gas (Emissions)</t>
  </si>
  <si>
    <t>By combining the annual operational energy data from HOT2000 with this tool's estimate of their project's upfront MCEs, users will be able to review a plot of the cumulative carbon footprint of their home and renovation projects.</t>
  </si>
  <si>
    <t>Operational carbon emissions</t>
  </si>
  <si>
    <t>Assemblies</t>
  </si>
  <si>
    <t>Life Cycle Assessment</t>
  </si>
  <si>
    <t>Operational energy consumption</t>
  </si>
  <si>
    <t>Cradle-to-Gate</t>
  </si>
  <si>
    <t>Off-gassing</t>
  </si>
  <si>
    <t>N. Gas</t>
  </si>
  <si>
    <r>
      <t>A measure per unit area of resistance to heat flow through a material or assembly of materials in metric/SI units (m</t>
    </r>
    <r>
      <rPr>
        <vertAlign val="superscript"/>
        <sz val="12"/>
        <color theme="1"/>
        <rFont val="Arial"/>
        <family val="2"/>
      </rPr>
      <t>2</t>
    </r>
    <r>
      <rPr>
        <sz val="12"/>
        <color theme="1"/>
        <rFont val="Arial"/>
        <family val="2"/>
      </rPr>
      <t>·K/W or m</t>
    </r>
    <r>
      <rPr>
        <vertAlign val="superscript"/>
        <sz val="12"/>
        <color theme="1"/>
        <rFont val="Arial"/>
        <family val="2"/>
      </rPr>
      <t>2</t>
    </r>
    <r>
      <rPr>
        <sz val="12"/>
        <color theme="1"/>
        <rFont val="Arial"/>
        <family val="2"/>
      </rPr>
      <t>·°C/W).</t>
    </r>
  </si>
  <si>
    <t>Kilowatt-hours</t>
  </si>
  <si>
    <t>Fly Ash</t>
  </si>
  <si>
    <t>SL</t>
  </si>
  <si>
    <t>Slag</t>
  </si>
  <si>
    <t>FA</t>
  </si>
  <si>
    <t>GU</t>
  </si>
  <si>
    <t>General Use cement type</t>
  </si>
  <si>
    <t>MPa</t>
  </si>
  <si>
    <t>Megapascals</t>
  </si>
  <si>
    <t>Canadian Ready-Mixed Concrete Association</t>
  </si>
  <si>
    <t>Concrete Masonry Unit</t>
  </si>
  <si>
    <t>CLT</t>
  </si>
  <si>
    <t>Cross-Laminated Timber</t>
  </si>
  <si>
    <t>DLT</t>
  </si>
  <si>
    <t>Cob</t>
  </si>
  <si>
    <t>FSC</t>
  </si>
  <si>
    <t>Forest Stewardship Council</t>
  </si>
  <si>
    <t>HFC</t>
  </si>
  <si>
    <t>HFO</t>
  </si>
  <si>
    <t>Spray Polyurethane Foam Association</t>
  </si>
  <si>
    <t>Hydroflurocarbons</t>
  </si>
  <si>
    <t>Hydrofluoroolefins</t>
  </si>
  <si>
    <t>ICF</t>
  </si>
  <si>
    <t>Insulated Concrete Forms</t>
  </si>
  <si>
    <t>SPF</t>
  </si>
  <si>
    <t>MgO</t>
  </si>
  <si>
    <t>Magnesium Oxide</t>
  </si>
  <si>
    <t>LSL</t>
  </si>
  <si>
    <t>LVL</t>
  </si>
  <si>
    <t>Laminated Veneer Lumber</t>
  </si>
  <si>
    <t>Laminated Strand Lumber</t>
  </si>
  <si>
    <t>GLT or Glulam</t>
  </si>
  <si>
    <t>W Section</t>
  </si>
  <si>
    <t>Structural steel wide flange I-beam</t>
  </si>
  <si>
    <t>PSL</t>
  </si>
  <si>
    <t>Parallel Strand Lumber</t>
  </si>
  <si>
    <t xml:space="preserve">Spruce, Pine, Fir </t>
  </si>
  <si>
    <t>GWP</t>
  </si>
  <si>
    <t>Global Warming Potential</t>
  </si>
  <si>
    <t>Essentially the manufacturing phase, the cradle-to-gate lifecycle phases of a product or material include resource extraction/collection, transportation of materials to be processed, processing/manufacturing and packaging.</t>
  </si>
  <si>
    <t>EPD phases A1-A3</t>
  </si>
  <si>
    <t>t</t>
  </si>
  <si>
    <t>tonne or metric tonne</t>
  </si>
  <si>
    <t>One metric tonne, abbrebiated to 't', is a unit equivalent to 1000 kg. This is distinct from US Tons, Short Tons, etc.</t>
  </si>
  <si>
    <t>W-sections form a category of steel beam section profiles with a wide flanged I shape.</t>
  </si>
  <si>
    <t>A glass-like byproduct of smelting or refining ore. It is used as a Supplementary Cementitious Material (SCM) to replace cement content in concrete production.</t>
  </si>
  <si>
    <t>A group of similar tree species predominantly used for softwood lumber products in various regions of North America, particularly in the East of the continent.</t>
  </si>
  <si>
    <t>NZC</t>
  </si>
  <si>
    <r>
      <t>For embodied carbon, NZC means a parity has been reached of embodied carbon emissions (+) and biogenic carbon storage (-), resulting in a net zero balance of CO</t>
    </r>
    <r>
      <rPr>
        <vertAlign val="subscript"/>
        <sz val="12"/>
        <color theme="1"/>
        <rFont val="Arial"/>
        <family val="2"/>
      </rPr>
      <t>2</t>
    </r>
    <r>
      <rPr>
        <sz val="12"/>
        <color theme="1"/>
        <rFont val="Arial"/>
        <family val="2"/>
      </rPr>
      <t>e exchange with the atmosphere. For operational carbon, NZC means any carbon emissions from generating offsite energy consumed annually by the building are offset with carbon credits. Typically a NZ operating carbon building design will prioritize reducing energy consumption and produce on-site energy generation to meet all demand. Definitions and criteria will vary from these descriptions between certification systems and sources.</t>
    </r>
  </si>
  <si>
    <t>VOC evaporation</t>
  </si>
  <si>
    <t>Volatile organic compounds (VOCs) evaporate from some building materials over time, releasing them into the indoor and/or outdoor environment, potentially causing indoor air quality and climate concerns. Off-gassing also refers to the gases that release from some insulation types which use high GHG blowing-agents that leak from the cells during use.</t>
  </si>
  <si>
    <t>A traditional building material composed of clay-based soil, sand, and chopped straw. Cob walls are a vapour-open, monolithic, structural assembly, usually plastered on both sides with clay or lime plaster.</t>
  </si>
  <si>
    <t>A building material made with lime (CaO), water and hemp hurd. Hempcrete performs as a vapour-open, insulative-dominant material, with thermal mass properties. Performance and properties change with density and binder formulations. It can be used as infill insulation in walls, floors and roofs, or pre-formed into panels or blocks.</t>
  </si>
  <si>
    <t>Inventory of Carbon and Energy</t>
  </si>
  <si>
    <t>Database of embodied energy and carbon of building materials from the University of Bath (UK), Sustainable Energy Research Team. (https://www.bath.ac.uk/teams/sustainable-energy-research-team/)</t>
  </si>
  <si>
    <t>A metric system unit – power (kJ/s) multiplied by time (hours)  – used to measure electrical energy consumption.</t>
  </si>
  <si>
    <t>A transparent, independently verified delaration that quantifies the environmental impacts of the life cycle of a product to enable comparisons between products fulfilling the same function. The EPD methodology is based on the Life Cycle Assessment (LCA) tool that follows International Organization for Standardization (ISO) standards and product category rules (PCRs). This calculator uses the GWP values for phases A1-A3 from EPDs unless otherwise specified.</t>
  </si>
  <si>
    <t>A byproduct of coal-fired power production. It is used as a Supplementary Cementitious Material (SCM) to replace cement content in concrete production.</t>
  </si>
  <si>
    <t>Building envelope assemblies</t>
  </si>
  <si>
    <r>
      <t xml:space="preserve">Also known as </t>
    </r>
    <r>
      <rPr>
        <i/>
        <sz val="12"/>
        <color theme="1"/>
        <rFont val="Arial"/>
        <family val="2"/>
      </rPr>
      <t>operating carbon</t>
    </r>
    <r>
      <rPr>
        <sz val="12"/>
        <color theme="1"/>
        <rFont val="Arial"/>
        <family val="2"/>
      </rPr>
      <t xml:space="preserve">, </t>
    </r>
    <r>
      <rPr>
        <i/>
        <sz val="12"/>
        <color theme="1"/>
        <rFont val="Arial"/>
        <family val="2"/>
      </rPr>
      <t>carbon emissions</t>
    </r>
    <r>
      <rPr>
        <sz val="12"/>
        <color theme="1"/>
        <rFont val="Arial"/>
        <family val="2"/>
      </rPr>
      <t xml:space="preserve">, or simply </t>
    </r>
    <r>
      <rPr>
        <i/>
        <sz val="12"/>
        <color theme="1"/>
        <rFont val="Arial"/>
        <family val="2"/>
      </rPr>
      <t xml:space="preserve">emissions </t>
    </r>
    <r>
      <rPr>
        <sz val="12"/>
        <color theme="1"/>
        <rFont val="Arial"/>
        <family val="2"/>
      </rPr>
      <t xml:space="preserve">or </t>
    </r>
    <r>
      <rPr>
        <i/>
        <sz val="12"/>
        <color theme="1"/>
        <rFont val="Arial"/>
        <family val="2"/>
      </rPr>
      <t>carbon</t>
    </r>
    <r>
      <rPr>
        <sz val="12"/>
        <color theme="1"/>
        <rFont val="Arial"/>
        <family val="2"/>
      </rPr>
      <t>, terms that may implicitly exclude embodied carbon. Operation carbon is the mass quantity of CO</t>
    </r>
    <r>
      <rPr>
        <vertAlign val="subscript"/>
        <sz val="12"/>
        <color theme="1"/>
        <rFont val="Arial"/>
        <family val="2"/>
      </rPr>
      <t>2</t>
    </r>
    <r>
      <rPr>
        <sz val="12"/>
        <color theme="1"/>
        <rFont val="Arial"/>
        <family val="2"/>
      </rPr>
      <t>e emitted to generate (and sometimes transport) the operational energy consumed in the operation of the building. (see Energy Consumption)</t>
    </r>
  </si>
  <si>
    <t>The quantity of energy consumed annually (kW·h/yr) to operate the building over a given time period, usually a year. Operational energy typically includes, but is not limited to, heating, cooling, refrigeration, hot water, ventilation lighting, mechanical equipment and electronics. Often non-electric energy consumption is expressed as a mass or volume of fuel (e.g. wood, natural gas, propane, etc.) required to provide the energy consumed in that period.</t>
  </si>
  <si>
    <r>
      <t xml:space="preserve">Also known as </t>
    </r>
    <r>
      <rPr>
        <i/>
        <sz val="12"/>
        <color theme="1"/>
        <rFont val="Arial"/>
        <family val="2"/>
      </rPr>
      <t>life-cycle analysis</t>
    </r>
    <r>
      <rPr>
        <sz val="12"/>
        <color theme="1"/>
        <rFont val="Arial"/>
        <family val="2"/>
      </rPr>
      <t>, it is a methodology for assessing environmental impacts associated with all the stages of the life-cycle of a product, process, or service. For instance, in the case of a manufactured product, environmental impacts are assessed from raw material extraction and processing (cradle), through the product's manufacturing (gate), distribution and use, and recycling or final disposal of the materials (grave).</t>
    </r>
  </si>
  <si>
    <t>FSC is an international non-profit, multistakeholder organization that has developed rigorous procedures and global standards for voluntary forest certification systems established for forests and forest products.</t>
  </si>
  <si>
    <r>
      <t>kW</t>
    </r>
    <r>
      <rPr>
        <b/>
        <sz val="12"/>
        <color theme="1"/>
        <rFont val="Calibri"/>
        <family val="2"/>
      </rPr>
      <t>·</t>
    </r>
    <r>
      <rPr>
        <b/>
        <sz val="12"/>
        <color theme="1"/>
        <rFont val="Arial"/>
        <family val="2"/>
      </rPr>
      <t>h</t>
    </r>
  </si>
  <si>
    <t>Embodied Carbon in Construction Calculator</t>
  </si>
  <si>
    <t>An online carbon calculator tool from Building Transparency, developed by C-Change Labs. EC3 is used for counting and comparing embodied carbon of building materials with available EPDs.</t>
  </si>
  <si>
    <t>Glue Laminated Timber</t>
  </si>
  <si>
    <r>
      <t>The amount of uptake of the element carbon (C)</t>
    </r>
    <r>
      <rPr>
        <sz val="12"/>
        <color theme="1"/>
        <rFont val="Arial"/>
        <family val="2"/>
      </rPr>
      <t xml:space="preserve"> from the atmosphere during a biological process, such as photosynthesis.</t>
    </r>
    <r>
      <rPr>
        <sz val="12"/>
        <color theme="1"/>
        <rFont val="Arial"/>
        <family val="2"/>
      </rPr>
      <t xml:space="preserve"> Each mole of carbon (molar mass = 12) can be equated to one mole of carbon dioxide (molar mass = 44) removed from the atmosphere for the purpose of carbon accounting. Thus 1 carbon element contained in biomass represents 44/12, (approximately 3.67) molecules of biogenic CO</t>
    </r>
    <r>
      <rPr>
        <vertAlign val="subscript"/>
        <sz val="12"/>
        <color theme="1"/>
        <rFont val="Arial"/>
        <family val="2"/>
      </rPr>
      <t>2</t>
    </r>
    <r>
      <rPr>
        <sz val="12"/>
        <color theme="1"/>
        <rFont val="Arial"/>
        <family val="2"/>
      </rPr>
      <t xml:space="preserve"> sequestered from the atmosphere. The transformation of biomass (and its embodied “biogenic” carbon) into products represents in effect a removal of CO</t>
    </r>
    <r>
      <rPr>
        <vertAlign val="subscript"/>
        <sz val="12"/>
        <color theme="1"/>
        <rFont val="Arial"/>
        <family val="2"/>
      </rPr>
      <t>2</t>
    </r>
    <r>
      <rPr>
        <sz val="12"/>
        <color theme="1"/>
        <rFont val="Arial"/>
        <family val="2"/>
      </rPr>
      <t>, via its continued storage in the product over a period of time. These are counted as negative emissions.</t>
    </r>
  </si>
  <si>
    <r>
      <t>A measure per unit area of resistance to heat flow through a material or assembly of materials in I-P units (ft</t>
    </r>
    <r>
      <rPr>
        <vertAlign val="superscript"/>
        <sz val="12"/>
        <color theme="1"/>
        <rFont val="Arial"/>
        <family val="2"/>
      </rPr>
      <t>2</t>
    </r>
    <r>
      <rPr>
        <sz val="12"/>
        <color theme="1"/>
        <rFont val="Arial"/>
        <family val="2"/>
      </rPr>
      <t>·°F·h/BTU) in the U.S. and Canada, where</t>
    </r>
    <r>
      <rPr>
        <sz val="12"/>
        <color theme="1"/>
        <rFont val="Arial"/>
        <family val="2"/>
      </rPr>
      <t xml:space="preserve"> I-P stands for </t>
    </r>
    <r>
      <rPr>
        <i/>
        <sz val="12"/>
        <color theme="1"/>
        <rFont val="Arial"/>
        <family val="2"/>
      </rPr>
      <t>Inches and Pounds</t>
    </r>
    <r>
      <rPr>
        <sz val="12"/>
        <color theme="1"/>
        <rFont val="Arial"/>
        <family val="2"/>
      </rPr>
      <t xml:space="preserve">. R-Value is often communicated as R-value per inch of material thickness, or </t>
    </r>
    <r>
      <rPr>
        <i/>
        <sz val="12"/>
        <color theme="1"/>
        <rFont val="Arial"/>
        <family val="2"/>
      </rPr>
      <t>R per inch</t>
    </r>
    <r>
      <rPr>
        <sz val="12"/>
        <color theme="1"/>
        <rFont val="Arial"/>
        <family val="2"/>
      </rPr>
      <t xml:space="preserve">. </t>
    </r>
  </si>
  <si>
    <r>
      <t>CO</t>
    </r>
    <r>
      <rPr>
        <b/>
        <vertAlign val="subscript"/>
        <sz val="12"/>
        <color theme="1"/>
        <rFont val="Arial"/>
        <family val="2"/>
      </rPr>
      <t>2</t>
    </r>
    <r>
      <rPr>
        <b/>
        <sz val="12"/>
        <color theme="1"/>
        <rFont val="Arial"/>
        <family val="2"/>
      </rPr>
      <t>e Emissions or "Carbon"</t>
    </r>
  </si>
  <si>
    <r>
      <t>Carbon Storage or CO</t>
    </r>
    <r>
      <rPr>
        <b/>
        <vertAlign val="subscript"/>
        <sz val="12"/>
        <color theme="1"/>
        <rFont val="Arial"/>
        <family val="2"/>
      </rPr>
      <t>2</t>
    </r>
    <r>
      <rPr>
        <b/>
        <sz val="12"/>
        <color theme="1"/>
        <rFont val="Arial"/>
        <family val="2"/>
      </rPr>
      <t>e Storage</t>
    </r>
  </si>
  <si>
    <t>Biogenic carbon dioxide equivalent storage</t>
  </si>
  <si>
    <t>Assembly of building materials to form a wall, floor or roof unit. Can be prefabricated or site-built. May or may not include vapor, air, and water barriers.</t>
  </si>
  <si>
    <t>HEAVY TIMBER ELEMENTS</t>
  </si>
  <si>
    <t>Square metres (all levels; include basement ceiling if applicable)</t>
  </si>
  <si>
    <t>Slab, aggregate base, sub-slab insulation, basement flooring</t>
  </si>
  <si>
    <t>WINDOWS</t>
  </si>
  <si>
    <t>FOOTINGS, PIERS &amp; PADS</t>
  </si>
  <si>
    <t>Data source: other than EPD, LCA or database.</t>
  </si>
  <si>
    <r>
      <t>m</t>
    </r>
    <r>
      <rPr>
        <b/>
        <vertAlign val="superscript"/>
        <sz val="14"/>
        <color theme="0"/>
        <rFont val="Arial"/>
        <family val="2"/>
      </rPr>
      <t>2</t>
    </r>
  </si>
  <si>
    <t>CUSTOM AREA:</t>
  </si>
  <si>
    <t>CUSTOM LENGTH</t>
  </si>
  <si>
    <t>Ceiling cladding/coverings</t>
  </si>
  <si>
    <t>Floor framing, subfloor, floor insulation, flooring</t>
  </si>
  <si>
    <t>Roof insulation parallel to…</t>
  </si>
  <si>
    <t>Roof surface</t>
  </si>
  <si>
    <t>Ceiling surface</t>
  </si>
  <si>
    <t>RIGID ROOF INSULATION</t>
  </si>
  <si>
    <t>ROOF INSULATION AREA</t>
  </si>
  <si>
    <t>INSULATION PARALLEL TO:</t>
  </si>
  <si>
    <t>Lower Bound</t>
  </si>
  <si>
    <t>Upper Bound</t>
  </si>
  <si>
    <t>Location:</t>
  </si>
  <si>
    <t>Project Carbon Emissions Results</t>
  </si>
  <si>
    <t>FRAMED FLOOR AREA</t>
  </si>
  <si>
    <t>CEILING AREA</t>
  </si>
  <si>
    <t>ROOFING AREA</t>
  </si>
  <si>
    <t>Square metres (includes all levels, excludes basement slab, stairs and other openings)</t>
  </si>
  <si>
    <t>GARAGE</t>
  </si>
  <si>
    <t xml:space="preserve">SECTION 13 ➜ COMPONENT MATERIALS FOR </t>
  </si>
  <si>
    <t xml:space="preserve">SECTION 12 ➜ COMPONENT MATERIALS FOR </t>
  </si>
  <si>
    <t>Y/N?</t>
  </si>
  <si>
    <t>Yes</t>
  </si>
  <si>
    <t>No</t>
  </si>
  <si>
    <r>
      <t>m</t>
    </r>
    <r>
      <rPr>
        <vertAlign val="superscript"/>
        <sz val="12"/>
        <color theme="1"/>
        <rFont val="Arial"/>
        <family val="2"/>
      </rPr>
      <t>2</t>
    </r>
  </si>
  <si>
    <t>GARAGE FOUNDATION WALL AREA</t>
  </si>
  <si>
    <t>Garage foundation wall, interior framing, interior wall finish</t>
  </si>
  <si>
    <t>Slab, aggregate base</t>
  </si>
  <si>
    <t>GARAGE WINDOW AREA</t>
  </si>
  <si>
    <t>GARAGE FINISHED CEILING AREA</t>
  </si>
  <si>
    <t>GARAGE ROOFING AREA</t>
  </si>
  <si>
    <t>Framing, sheathing, exterior cladding, interior cladding</t>
  </si>
  <si>
    <t>CONCRETE FOUNDATION WALLS</t>
  </si>
  <si>
    <t>CONCRETE SLAB FLOOR</t>
  </si>
  <si>
    <t>INTERIOR CLADDING of GARAGE WALLS</t>
  </si>
  <si>
    <t>CMU FOUNDATION WALLS</t>
  </si>
  <si>
    <t>CMU EXTERIOR WALLS</t>
  </si>
  <si>
    <t>GARAGE ROOF</t>
  </si>
  <si>
    <t>GARAGE CEILING</t>
  </si>
  <si>
    <t>GARAGE CLADDING</t>
  </si>
  <si>
    <t>GARAGE FOUNDATION WALLS</t>
  </si>
  <si>
    <t>GARAGE FOOTINGS &amp; SLABS</t>
  </si>
  <si>
    <t>Garage</t>
  </si>
  <si>
    <t>GARAGE HEAVY TIMBERS</t>
  </si>
  <si>
    <t>Cubic metres of total wood volume in posts &amp; beams. (Heavy steel members input in Structural Elements tab)</t>
  </si>
  <si>
    <t>QUANTITY</t>
  </si>
  <si>
    <t>GARAGE CRUSHED STONE BASE</t>
  </si>
  <si>
    <t>GARAGE SLAB FLOOR</t>
  </si>
  <si>
    <t>GARAGE FOOTINGS &amp; PADS</t>
  </si>
  <si>
    <t>GARAGE REBAR</t>
  </si>
  <si>
    <t>GARAGE HELICAL PIERS</t>
  </si>
  <si>
    <t>GARAGE CONCRETE WALLS</t>
  </si>
  <si>
    <t>GARAGE CMU FOUNDATION WALLS</t>
  </si>
  <si>
    <t>GARAGE HEAVY STEEL COMPONENTS</t>
  </si>
  <si>
    <t>GARAGE WOOD FRAME WALLS</t>
  </si>
  <si>
    <t>GARAGE STEEL FRAME WALLS</t>
  </si>
  <si>
    <t>GARAGE WALL SHEATHING</t>
  </si>
  <si>
    <t>GARAGE CMU EXTERIOR WALLS</t>
  </si>
  <si>
    <t>GARAGE EXTERIOR CLADDING</t>
  </si>
  <si>
    <t>GARAGE STRAPPING for RAIN SCREEN</t>
  </si>
  <si>
    <t>GARAGE WINDOWS</t>
  </si>
  <si>
    <t>GARAGE CEILING CLADDING</t>
  </si>
  <si>
    <t>GARAGE WOOD ROOF FRAMING</t>
  </si>
  <si>
    <t>GARAGE ROOF DECKING</t>
  </si>
  <si>
    <t>GARAGE ROOFING MEMBRANE</t>
  </si>
  <si>
    <t>GARAGE ROOF STRAPPING</t>
  </si>
  <si>
    <t>GARAGE ROOFING</t>
  </si>
  <si>
    <t>PARTY WALL AREA</t>
  </si>
  <si>
    <t>HIGH R-VALUE INSULATIONS</t>
  </si>
  <si>
    <t>WOOD FRAME ROOF</t>
  </si>
  <si>
    <t>WOOD FRAME WALLS</t>
  </si>
  <si>
    <t>STEEL FRAME WALLS</t>
  </si>
  <si>
    <t>WOOD I-BEAM (TJI) FRAMED WALLS</t>
  </si>
  <si>
    <t>INTERIOR WALL INSULATION</t>
  </si>
  <si>
    <t>Scaled iIndicator</t>
  </si>
  <si>
    <t>Emissions</t>
  </si>
  <si>
    <t>Emissions Bar</t>
  </si>
  <si>
    <r>
      <t>tonnes CO</t>
    </r>
    <r>
      <rPr>
        <b/>
        <vertAlign val="subscript"/>
        <sz val="12"/>
        <color theme="1"/>
        <rFont val="Arial"/>
        <family val="2"/>
      </rPr>
      <t>2</t>
    </r>
    <r>
      <rPr>
        <b/>
        <sz val="12"/>
        <color theme="1"/>
        <rFont val="Arial"/>
        <family val="2"/>
      </rPr>
      <t>e</t>
    </r>
    <r>
      <rPr>
        <b/>
        <vertAlign val="subscript"/>
        <sz val="12"/>
        <color theme="1"/>
        <rFont val="Arial"/>
        <family val="2"/>
      </rPr>
      <t xml:space="preserve"> </t>
    </r>
    <r>
      <rPr>
        <b/>
        <sz val="12"/>
        <color theme="1"/>
        <rFont val="Arial"/>
        <family val="2"/>
      </rPr>
      <t>/ yr</t>
    </r>
  </si>
  <si>
    <r>
      <t>t CO</t>
    </r>
    <r>
      <rPr>
        <b/>
        <vertAlign val="subscript"/>
        <sz val="12"/>
        <color theme="1"/>
        <rFont val="Arial"/>
        <family val="2"/>
      </rPr>
      <t>2</t>
    </r>
    <r>
      <rPr>
        <b/>
        <sz val="12"/>
        <color theme="1"/>
        <rFont val="Arial"/>
        <family val="2"/>
      </rPr>
      <t>e</t>
    </r>
    <r>
      <rPr>
        <b/>
        <vertAlign val="subscript"/>
        <sz val="12"/>
        <color theme="1"/>
        <rFont val="Arial"/>
        <family val="2"/>
      </rPr>
      <t xml:space="preserve"> </t>
    </r>
    <r>
      <rPr>
        <b/>
        <sz val="12"/>
        <color theme="1"/>
        <rFont val="Arial"/>
        <family val="2"/>
      </rPr>
      <t>/ 30 yrs</t>
    </r>
  </si>
  <si>
    <t>Material Emissions</t>
  </si>
  <si>
    <t>Operational Emissions</t>
  </si>
  <si>
    <t>Project:</t>
  </si>
  <si>
    <t>Building Size:</t>
  </si>
  <si>
    <t>Chart information</t>
  </si>
  <si>
    <t>in. o/c</t>
  </si>
  <si>
    <t>3" cob, 1" clay plaster</t>
  </si>
  <si>
    <t>Earthen Floor</t>
  </si>
  <si>
    <t>CLAY-BASED FLOOR SYSTEM</t>
  </si>
  <si>
    <t>NET CARBON</t>
  </si>
  <si>
    <t>RANK</t>
  </si>
  <si>
    <r>
      <t>Embodied Carbon 
[kg CO</t>
    </r>
    <r>
      <rPr>
        <b/>
        <vertAlign val="subscript"/>
        <sz val="10"/>
        <rFont val="Arial"/>
        <family val="2"/>
      </rPr>
      <t>2</t>
    </r>
    <r>
      <rPr>
        <b/>
        <sz val="10"/>
        <rFont val="Arial"/>
        <family val="2"/>
      </rPr>
      <t>e]</t>
    </r>
  </si>
  <si>
    <t>PROJECT SUMMARY</t>
  </si>
  <si>
    <t>Evaluator:</t>
  </si>
  <si>
    <t>Rank</t>
  </si>
  <si>
    <t>TOTAL</t>
  </si>
  <si>
    <t>Exterior Walls</t>
  </si>
  <si>
    <t>Exterior Wall Systems</t>
  </si>
  <si>
    <t>Interior Walls</t>
  </si>
  <si>
    <t>PROJECT EMISSIONS TIMELINE</t>
  </si>
  <si>
    <r>
      <t>kg CO</t>
    </r>
    <r>
      <rPr>
        <b/>
        <vertAlign val="subscript"/>
        <sz val="9"/>
        <color theme="1"/>
        <rFont val="Arial"/>
        <family val="2"/>
      </rPr>
      <t>2</t>
    </r>
    <r>
      <rPr>
        <b/>
        <sz val="9"/>
        <color theme="1"/>
        <rFont val="Arial"/>
        <family val="2"/>
      </rPr>
      <t>e</t>
    </r>
  </si>
  <si>
    <t>RECOMMENDATIONS</t>
  </si>
  <si>
    <t>Square metres (all levels)</t>
  </si>
  <si>
    <t>GARAGE EXTERIOR WALL AREA</t>
  </si>
  <si>
    <t>GARAGE SLAB/FLOOR AREA</t>
  </si>
  <si>
    <t>PARTY WALLS</t>
  </si>
  <si>
    <t>PARTY WALL INSULATION</t>
  </si>
  <si>
    <t>INTERIOR CLADDING for PARTY WALLS</t>
  </si>
  <si>
    <t>PARTY WALL INTERIOR CLADDING</t>
  </si>
  <si>
    <t>PARTY WALL SHEATHING</t>
  </si>
  <si>
    <t>CEMENT BOARD</t>
  </si>
  <si>
    <t>PARTY WALL ICFs</t>
  </si>
  <si>
    <t>PARTY WALL SHEETING</t>
  </si>
  <si>
    <t>CMU WALL CONCRETE FILL</t>
  </si>
  <si>
    <t>CONCRETE VOLUME</t>
  </si>
  <si>
    <r>
      <t>m</t>
    </r>
    <r>
      <rPr>
        <b/>
        <vertAlign val="superscript"/>
        <sz val="14"/>
        <color theme="0"/>
        <rFont val="Arial"/>
        <family val="2"/>
      </rPr>
      <t>3</t>
    </r>
  </si>
  <si>
    <t>CMU PARTY WALLS</t>
  </si>
  <si>
    <t>CMU 8" - HOLLOW, NO GROUT</t>
  </si>
  <si>
    <t>CONCRETE MASONRY UNIT WALLS</t>
  </si>
  <si>
    <r>
      <rPr>
        <b/>
        <sz val="14"/>
        <color theme="5" tint="-0.249977111117893"/>
        <rFont val="Arial"/>
        <family val="2"/>
      </rPr>
      <t>Note:</t>
    </r>
    <r>
      <rPr>
        <sz val="14"/>
        <rFont val="Arial"/>
        <family val="2"/>
      </rPr>
      <t xml:space="preserve"> only include half the thickness of total party wall materials using either the percentage or R-value fields. (The other half belongs to the adjacent building.) </t>
    </r>
  </si>
  <si>
    <t>RIGID INSULATION</t>
  </si>
  <si>
    <t>Party wall framing, insulation, sheathing, interior cladding.</t>
  </si>
  <si>
    <r>
      <t>Exterior garage wall area (</t>
    </r>
    <r>
      <rPr>
        <sz val="12"/>
        <color rgb="FF000000"/>
        <rFont val="Arial"/>
        <family val="2"/>
      </rPr>
      <t xml:space="preserve">include gable area, exclude window &amp; door openings) </t>
    </r>
    <r>
      <rPr>
        <b/>
        <sz val="12"/>
        <color rgb="FF000000"/>
        <rFont val="Arial"/>
        <family val="2"/>
      </rPr>
      <t>Exclude</t>
    </r>
    <r>
      <rPr>
        <sz val="12"/>
        <color rgb="FF000000"/>
        <rFont val="Arial"/>
        <family val="2"/>
      </rPr>
      <t xml:space="preserve"> attached wall area</t>
    </r>
  </si>
  <si>
    <t>Square metres (exclude windows and doors). Only include foundation area additional to main building foundation</t>
  </si>
  <si>
    <t>Cubic metres. Only include volume additional to main building footings, pads and piers</t>
  </si>
  <si>
    <r>
      <t xml:space="preserve">Roof framing, decking, roofing. </t>
    </r>
    <r>
      <rPr>
        <u/>
        <sz val="12"/>
        <rFont val="Arial"/>
        <family val="2"/>
      </rPr>
      <t>HOT2000 users</t>
    </r>
    <r>
      <rPr>
        <sz val="12"/>
        <rFont val="Arial"/>
        <family val="2"/>
      </rPr>
      <t>:</t>
    </r>
    <r>
      <rPr>
        <sz val="12"/>
        <color rgb="FFFF0000"/>
        <rFont val="Arial"/>
        <family val="2"/>
      </rPr>
      <t xml:space="preserve"> </t>
    </r>
    <r>
      <rPr>
        <sz val="12"/>
        <rFont val="Arial"/>
        <family val="2"/>
      </rPr>
      <t>see Note</t>
    </r>
    <r>
      <rPr>
        <sz val="12"/>
        <color theme="1"/>
        <rFont val="Arial"/>
        <family val="2"/>
      </rPr>
      <t xml:space="preserve"> (hover cursor)</t>
    </r>
  </si>
  <si>
    <t>ATTACHED GARAGE WALL AREA</t>
  </si>
  <si>
    <r>
      <t xml:space="preserve">Enter garage measurements in the </t>
    </r>
    <r>
      <rPr>
        <b/>
        <sz val="12"/>
        <color theme="7" tint="-0.249977111117893"/>
        <rFont val="Arial"/>
        <family val="2"/>
      </rPr>
      <t>YELLOW</t>
    </r>
    <r>
      <rPr>
        <sz val="12"/>
        <color theme="1"/>
        <rFont val="Arial"/>
        <family val="2"/>
      </rPr>
      <t xml:space="preserve"> cells below. </t>
    </r>
  </si>
  <si>
    <r>
      <t xml:space="preserve">If this building includes a </t>
    </r>
    <r>
      <rPr>
        <b/>
        <sz val="12"/>
        <color theme="1"/>
        <rFont val="Arial"/>
        <family val="2"/>
      </rPr>
      <t>GARAGE</t>
    </r>
    <r>
      <rPr>
        <sz val="12"/>
        <color theme="1"/>
        <rFont val="Arial"/>
        <family val="2"/>
      </rPr>
      <t xml:space="preserve">, click the </t>
    </r>
    <r>
      <rPr>
        <b/>
        <sz val="12"/>
        <color theme="1"/>
        <rFont val="Arial"/>
        <family val="2"/>
      </rPr>
      <t>PLUS</t>
    </r>
    <r>
      <rPr>
        <sz val="12"/>
        <color theme="1"/>
        <rFont val="Arial"/>
        <family val="2"/>
      </rPr>
      <t xml:space="preserve"> symbol on the left to expand the Garage section. </t>
    </r>
  </si>
  <si>
    <r>
      <rPr>
        <b/>
        <sz val="14"/>
        <color rgb="FF0094C8"/>
        <rFont val="Arial"/>
        <family val="2"/>
      </rPr>
      <t xml:space="preserve">     </t>
    </r>
    <r>
      <rPr>
        <b/>
        <sz val="14"/>
        <color theme="1"/>
        <rFont val="Arial"/>
        <family val="2"/>
      </rPr>
      <t xml:space="preserve"> Review the selected materials in the REVIEW tab. </t>
    </r>
  </si>
  <si>
    <t xml:space="preserve">      View the carbon emissions report in the RESULTS tabs.</t>
  </si>
  <si>
    <r>
      <rPr>
        <b/>
        <sz val="14"/>
        <color rgb="FF0094C8"/>
        <rFont val="Arial"/>
        <family val="2"/>
      </rPr>
      <t xml:space="preserve">     </t>
    </r>
    <r>
      <rPr>
        <b/>
        <sz val="14"/>
        <color theme="1"/>
        <rFont val="Arial"/>
        <family val="2"/>
      </rPr>
      <t xml:space="preserve"> Define all building assemblies in the following building section tabs.</t>
    </r>
  </si>
  <si>
    <r>
      <t xml:space="preserve">HOT2000 values are imported to the </t>
    </r>
    <r>
      <rPr>
        <b/>
        <sz val="12"/>
        <color theme="4" tint="-0.249977111117893"/>
        <rFont val="Arial"/>
        <family val="2"/>
      </rPr>
      <t>BLUE</t>
    </r>
    <r>
      <rPr>
        <sz val="12"/>
        <color theme="1"/>
        <rFont val="Arial"/>
        <family val="2"/>
      </rPr>
      <t xml:space="preserve"> cells below. 
If no HOT2000 file imported, then enter values into the </t>
    </r>
    <r>
      <rPr>
        <b/>
        <sz val="12"/>
        <color theme="4" tint="-0.249977111117893"/>
        <rFont val="Arial"/>
        <family val="2"/>
      </rPr>
      <t>BLUE</t>
    </r>
    <r>
      <rPr>
        <sz val="12"/>
        <color theme="1"/>
        <rFont val="Arial"/>
        <family val="2"/>
      </rPr>
      <t xml:space="preserve"> cells. </t>
    </r>
  </si>
  <si>
    <r>
      <rPr>
        <sz val="12"/>
        <rFont val="Arial"/>
        <family val="2"/>
      </rPr>
      <t xml:space="preserve">For all </t>
    </r>
    <r>
      <rPr>
        <b/>
        <sz val="12"/>
        <color theme="7" tint="-0.249977111117893"/>
        <rFont val="Arial"/>
        <family val="2"/>
      </rPr>
      <t>YELLOW</t>
    </r>
    <r>
      <rPr>
        <sz val="12"/>
        <rFont val="Arial"/>
        <family val="2"/>
      </rPr>
      <t xml:space="preserve"> cells below, manually enter all relevant values. </t>
    </r>
    <r>
      <rPr>
        <b/>
        <sz val="12"/>
        <rFont val="Arial"/>
        <family val="2"/>
      </rPr>
      <t>Exclude</t>
    </r>
    <r>
      <rPr>
        <sz val="12"/>
        <rFont val="Arial"/>
        <family val="2"/>
      </rPr>
      <t xml:space="preserve"> any garage quantities.</t>
    </r>
  </si>
  <si>
    <t>GARAGE SLAB WIRE MESH</t>
  </si>
  <si>
    <t>SLAB REINFORCING MESH</t>
  </si>
  <si>
    <t>WELDED WIRE MESH (WWM)</t>
  </si>
  <si>
    <t>CUSTOM LENGTH:</t>
  </si>
  <si>
    <t>CONCRETE MASONRY UNITS</t>
  </si>
  <si>
    <t>CONCRETE FILL VOLUME</t>
  </si>
  <si>
    <t>MASONRY WALLS</t>
  </si>
  <si>
    <t>CONCRETE FILL for CMU WALLS</t>
  </si>
  <si>
    <t>Exterior wall framing, interior wall cladding, partition wall insulation (hover cursor for details)</t>
  </si>
  <si>
    <t>EXTERIOR GARAGE WALL INSULATION</t>
  </si>
  <si>
    <t>EXTERIOR GARAGE WALL CAVITY INSULATION</t>
  </si>
  <si>
    <t>EXTERIOR GARAGE WALL RIGID INSULATION</t>
  </si>
  <si>
    <t>GARAGE ATTACHMENT WALL INSULATION</t>
  </si>
  <si>
    <t>GARAGE ATTACHMENT WALL CAVITY INSULATION</t>
  </si>
  <si>
    <t>(Excludes attachment wall area)</t>
  </si>
  <si>
    <t>(Excludes attachment wall area, specified separately in section below)</t>
  </si>
  <si>
    <t>Square meters of wall area that partitions one dwelling from another. Used for row housing units, apartment units, etc.</t>
  </si>
  <si>
    <t>Total wall area (exclude windows and doors)</t>
  </si>
  <si>
    <t>Square metres (include full area of glazing units)</t>
  </si>
  <si>
    <t>Framing, insulation, sheathing, exterior cladding, interior cladding of exterior walls only</t>
  </si>
  <si>
    <t>Square metres (one side only) of all interior walls. Quantity will be doubled for cladding materials</t>
  </si>
  <si>
    <t>Roof framing,  decking, roofing, and insulation parallel to roof deck</t>
  </si>
  <si>
    <t>Square metres (Include sloped and flat roofs; exclude overhangs and gable ends)</t>
  </si>
  <si>
    <t>Roof insulation parallel to ceiling</t>
  </si>
  <si>
    <t>ROOF CAVITY INSULATION</t>
  </si>
  <si>
    <t>Party Walls</t>
  </si>
  <si>
    <t>FOUNDATION WALL CONTINUOUS INSULATION</t>
  </si>
  <si>
    <t>FOUNDATION WALL ICF - EPS FOAM</t>
  </si>
  <si>
    <t>FOUNDATION WALL ICF - WOOD CHIP/CEMENT</t>
  </si>
  <si>
    <t xml:space="preserve">INTERIOR FOUNDATION WALL FRAMING - WOOD </t>
  </si>
  <si>
    <t>INTERIOR FOUNDATION WALL FRAMING - STEEL</t>
  </si>
  <si>
    <t>FOUNDATION WALL INSULATION</t>
  </si>
  <si>
    <t>INTERIOR FOUNDATION WALL CLADDING</t>
  </si>
  <si>
    <t>USER-DEFINED MATERIALS</t>
  </si>
  <si>
    <t>Materials</t>
  </si>
  <si>
    <t>Operations</t>
  </si>
  <si>
    <t>ISO</t>
  </si>
  <si>
    <t>International Organization for Standardization</t>
  </si>
  <si>
    <t>An international standard-setting body composed of representatives from various national standards organizations</t>
  </si>
  <si>
    <r>
      <t>Gases responsible for radiative forcing that traps heat in the atmosphere causing increased global temperatures. Units: kg CO</t>
    </r>
    <r>
      <rPr>
        <vertAlign val="subscript"/>
        <sz val="12"/>
        <color theme="1"/>
        <rFont val="Arial"/>
        <family val="2"/>
      </rPr>
      <t>2</t>
    </r>
    <r>
      <rPr>
        <sz val="12"/>
        <color theme="1"/>
        <rFont val="Arial"/>
        <family val="2"/>
      </rPr>
      <t>e</t>
    </r>
  </si>
  <si>
    <t>There is currently limited data available in some of these categories and/or the quantities of materials and emissions would be quite similar (e.g. toilets and washing machines don’t have much variation in emissions for comparison according to the available data). </t>
  </si>
  <si>
    <t>It should be noted that some job site emissions (A5) and/or product use emissions (B1) have been included in MCE calculations for those materials that have a necessary, sizable and very predictable volume of emissions in those life cycle phases. Examples include emissions from site-mixed foam insulation and GHG off-gasing from some rigid insulations. These types of emissions are included in A5 or B1 in many EPDs but are more related to the static emission profile of the product than to construction site or product use specific activity.</t>
  </si>
  <si>
    <t>To override energy GHG intensities, use the Energy GHG tab.</t>
  </si>
  <si>
    <r>
      <t xml:space="preserve">Step 2: Select concrete fill option for the ICF wall system. </t>
    </r>
    <r>
      <rPr>
        <sz val="12"/>
        <color rgb="FF2E75B5"/>
        <rFont val="Arial"/>
        <family val="2"/>
      </rPr>
      <t>The quantity of concrete adapts to the ICF selected.</t>
    </r>
  </si>
  <si>
    <r>
      <t xml:space="preserve">Step 2: Select concrete fill option for the ICF wall system. </t>
    </r>
    <r>
      <rPr>
        <sz val="12"/>
        <color rgb="FF2E75B5"/>
        <rFont val="Arial"/>
        <family val="2"/>
      </rPr>
      <t>The quantity of concrete fill adapts to the form size selected.</t>
    </r>
  </si>
  <si>
    <t>MASONRY UNIT WALLS</t>
  </si>
  <si>
    <t>CMU Walls 8" Hollow, No Grout - AVERAGE</t>
  </si>
  <si>
    <t>If concrete grout and/or fill are being used for the CMU wall, be sure to add the volume of concrete separately.</t>
  </si>
  <si>
    <t>Use % function if multiple types of mass timber will be used.</t>
  </si>
  <si>
    <t>MASS TIMBER</t>
  </si>
  <si>
    <t>EXISTING DATABASE MATERIALS</t>
  </si>
  <si>
    <t>USER-DEFINED</t>
  </si>
  <si>
    <t>CUSTOM USER-DEFINED MATERIALS</t>
  </si>
  <si>
    <t>MATERIALS BY VOLUME</t>
  </si>
  <si>
    <t>MATERIALS BY AREA</t>
  </si>
  <si>
    <t>MATERIALS BY LENGTH</t>
  </si>
  <si>
    <r>
      <rPr>
        <b/>
        <sz val="14"/>
        <color theme="1"/>
        <rFont val="Arial"/>
        <family val="2"/>
      </rPr>
      <t xml:space="preserve">Note: </t>
    </r>
    <r>
      <rPr>
        <sz val="14"/>
        <color theme="1"/>
        <rFont val="Arial"/>
        <family val="2"/>
      </rPr>
      <t>User-Defined materials will be listed separately in summary reports.</t>
    </r>
  </si>
  <si>
    <t>Use % function to adjust for other thicknesses of CMU. If filled, enter fill volume in CONCRETE FILL for CMU WALLS below</t>
  </si>
  <si>
    <t>CMU 8" – HOLLOW, NO GROUT</t>
  </si>
  <si>
    <t>CMU 8" – hollow, no grout - AVERAGE</t>
  </si>
  <si>
    <t>Calculate the total concrete fill volume required for the CMU Wall area entered above.</t>
  </si>
  <si>
    <t>Use % function to adjust for other gauges of steel studs based on steel mass per unit length ratio.</t>
  </si>
  <si>
    <t>Concrete Masonry Units -  AVERAGE</t>
  </si>
  <si>
    <t>PARTY WALL FRAMING</t>
  </si>
  <si>
    <t>CONCRETE MASONRY UNIT PARTY WALLS</t>
  </si>
  <si>
    <t>BfCA</t>
  </si>
  <si>
    <t>INTERIOR WALL FRAMING</t>
  </si>
  <si>
    <t>SUBFLOORING</t>
  </si>
  <si>
    <t>FLOORS</t>
  </si>
  <si>
    <t>INTERIOR WALLS</t>
  </si>
  <si>
    <t>ROOF</t>
  </si>
  <si>
    <t xml:space="preserve">SECTION 14 ➜ COMPONENT MATERIALS FOR </t>
  </si>
  <si>
    <t>CEILINGS</t>
  </si>
  <si>
    <t>Use percent function to adjust wood volume relative to described roof design</t>
  </si>
  <si>
    <t>CMU Walls 8" Hollow, no grout - AVERAGE</t>
  </si>
  <si>
    <t>If concrete grout is being used in the CMU wall use the concrete wall area to specify the quantity of concrete fill being used in the CMUs.</t>
  </si>
  <si>
    <t>MASS TIMBER FRAMING</t>
  </si>
  <si>
    <t>GARAGE MASS TIMBER</t>
  </si>
  <si>
    <t>GARAGE EXTERIOR WALLS</t>
  </si>
  <si>
    <t>GARAGE HEAVY STRUCTURAL ELEMENTS</t>
  </si>
  <si>
    <t>A non-profit division of the Endeavour Centre and the developers of this tool.</t>
  </si>
  <si>
    <r>
      <rPr>
        <b/>
        <i/>
        <sz val="12"/>
        <color theme="1"/>
        <rFont val="Arial"/>
        <family val="2"/>
      </rPr>
      <t>Helpful Notes:</t>
    </r>
    <r>
      <rPr>
        <i/>
        <sz val="12"/>
        <color theme="1"/>
        <rFont val="Arial"/>
        <family val="2"/>
      </rPr>
      <t xml:space="preserve">
- See the </t>
    </r>
    <r>
      <rPr>
        <b/>
        <sz val="12"/>
        <color theme="1"/>
        <rFont val="Arial"/>
        <family val="2"/>
      </rPr>
      <t>Glossary</t>
    </r>
    <r>
      <rPr>
        <i/>
        <sz val="12"/>
        <color theme="1"/>
        <rFont val="Arial"/>
        <family val="2"/>
      </rPr>
      <t xml:space="preserve"> tab for descriptions of unfamiliar terms or acronyms.
- Use the </t>
    </r>
    <r>
      <rPr>
        <b/>
        <sz val="12"/>
        <color theme="1"/>
        <rFont val="Arial"/>
        <family val="2"/>
      </rPr>
      <t>User-Defined</t>
    </r>
    <r>
      <rPr>
        <i/>
        <sz val="12"/>
        <color theme="1"/>
        <rFont val="Arial"/>
        <family val="2"/>
      </rPr>
      <t xml:space="preserve"> tab for any materials you wish to add but that could not be included in the section tabs.
- To jump to a tab, right-click the arrows in the lower left corner and select the tab.
- All framing spacing is </t>
    </r>
    <r>
      <rPr>
        <b/>
        <i/>
        <sz val="12"/>
        <color theme="1"/>
        <rFont val="Arial"/>
        <family val="2"/>
      </rPr>
      <t>24</t>
    </r>
    <r>
      <rPr>
        <i/>
        <sz val="12"/>
        <color theme="1"/>
        <rFont val="Arial"/>
        <family val="2"/>
      </rPr>
      <t xml:space="preserve"> inches on centre by default, even when </t>
    </r>
    <r>
      <rPr>
        <b/>
        <i/>
        <sz val="12"/>
        <color theme="1"/>
        <rFont val="Arial"/>
        <family val="2"/>
      </rPr>
      <t>Framing Spacing</t>
    </r>
    <r>
      <rPr>
        <i/>
        <sz val="12"/>
        <color theme="1"/>
        <rFont val="Arial"/>
        <family val="2"/>
      </rPr>
      <t xml:space="preserve"> value is blank</t>
    </r>
  </si>
  <si>
    <t>Home description:</t>
  </si>
  <si>
    <t>Project Carbon Emissions Estimates</t>
  </si>
  <si>
    <t>EMISSIONS BY ELEMENT OF THE HOME</t>
  </si>
  <si>
    <t>How to use this TAB:</t>
  </si>
  <si>
    <t xml:space="preserve">1. Users can save scenarios to this page in order to compare results generated in the calculator.  </t>
  </si>
  <si>
    <t>Project Carbon Emissions Scenarios</t>
  </si>
  <si>
    <t xml:space="preserve">2. All data associated with the saved scenarios can be re-populated across the spreadsheet.  </t>
  </si>
  <si>
    <r>
      <rPr>
        <b/>
        <sz val="14"/>
        <color theme="5" tint="-0.499984740745262"/>
        <rFont val="Arial"/>
        <family val="2"/>
      </rPr>
      <t>Caution</t>
    </r>
    <r>
      <rPr>
        <sz val="14"/>
        <color theme="5" tint="-0.499984740745262"/>
        <rFont val="Arial"/>
        <family val="2"/>
      </rPr>
      <t>: Any user-defined options that have not been validated and approved will reduce the reliability of results.</t>
    </r>
    <r>
      <rPr>
        <sz val="14"/>
        <rFont val="Arial"/>
        <family val="2"/>
      </rPr>
      <t xml:space="preserve"> </t>
    </r>
  </si>
  <si>
    <t>Sheet Names</t>
  </si>
  <si>
    <t>Rows</t>
  </si>
  <si>
    <t>Columns</t>
  </si>
  <si>
    <t xml:space="preserve">4. Users can establish custom scenarios and apply these to different homes by loading a new geometry in the USER INPUT SHEET and clicking on the blue button on the left labeled "Recalculate all Scenarios".  </t>
  </si>
  <si>
    <t xml:space="preserve">5 . This will calculate new values associated with the updated geometry for each saved scenario below. </t>
  </si>
  <si>
    <t>Product ID</t>
  </si>
  <si>
    <t>Product ID of Material1</t>
  </si>
  <si>
    <t>Product ID of Material2</t>
  </si>
  <si>
    <t>Product ID of Material3</t>
  </si>
  <si>
    <t>Product ID of Material4</t>
  </si>
  <si>
    <t>Product ID of Material5</t>
  </si>
  <si>
    <t/>
  </si>
  <si>
    <t>This sheet acts as a setting page to set data such as dropdown items and other data used in the backend</t>
  </si>
  <si>
    <t>Sheet Code &amp; Names</t>
  </si>
  <si>
    <t>Sheet Code</t>
  </si>
  <si>
    <r>
      <t>Material Carbon Emissions Estimator (MCE</t>
    </r>
    <r>
      <rPr>
        <b/>
        <vertAlign val="superscript"/>
        <sz val="22"/>
        <color theme="0"/>
        <rFont val="Arial"/>
        <family val="2"/>
      </rPr>
      <t>2</t>
    </r>
    <r>
      <rPr>
        <b/>
        <sz val="22"/>
        <color theme="0"/>
        <rFont val="Arial"/>
        <family val="2"/>
      </rPr>
      <t>)</t>
    </r>
  </si>
  <si>
    <r>
      <t xml:space="preserve">1 - The results from this calculator are an </t>
    </r>
    <r>
      <rPr>
        <b/>
        <u/>
        <sz val="11"/>
        <color rgb="FF000000"/>
        <rFont val="Arial"/>
        <family val="2"/>
      </rPr>
      <t>estimate</t>
    </r>
    <r>
      <rPr>
        <b/>
        <sz val="11"/>
        <color rgb="FF000000"/>
        <rFont val="Arial"/>
        <family val="2"/>
      </rPr>
      <t xml:space="preserve"> of the material carbon emissions (MCEs) of your finished construction project.</t>
    </r>
    <r>
      <rPr>
        <sz val="11"/>
        <color rgb="FF000000"/>
        <rFont val="Arial"/>
        <family val="2"/>
      </rPr>
      <t xml:space="preserve"> These results can be considered in a similar vein as the results of a basic energy model for a home. Just as a simple energy model is a relatively good predictor of the comparative effectiveness of different efficiency strategies, such a model won’t necessarily tell you exactly how much energy the building will eventually use.  This calculator should be used to gauge the relative MCEs of different construction approaches to a home or renovation project. </t>
    </r>
  </si>
  <si>
    <r>
      <t xml:space="preserve">2 - This calculator is not intended to be used as a program or compliance tool.  </t>
    </r>
    <r>
      <rPr>
        <sz val="11"/>
        <color rgb="FF000000"/>
        <rFont val="Arial"/>
        <family val="2"/>
      </rPr>
      <t>The calculator is intended to provide the homebuilding and renovating industry with knowledge tools to support decisions regarding to the relative MCEs of different construction approaches.  </t>
    </r>
  </si>
  <si>
    <t>This calculator is designed to compare the greenhouse gas (GHG) emissions of different building materials for residential construction. The comparative results can help users to make material selections to reduce the carbon footprint of the homes and renovations they are planning. </t>
  </si>
  <si>
    <t>This calculator allows users to compare materials on a component-by-component basis, as well by whole assemblies. The majority of a building’s high impact materials are represented in the calculator. NRCan has included a wide range of structure and enclosure assemblies and materials, as well as the main cladding, sheathing and finishing materials for residential construction.</t>
  </si>
  <si>
    <t>This calculator focuses on material carbon emissions (MCEs - often referred to as “embodied carbon”) because the high volume of emissions arising directly from the harvesting and production of building materials, represents a key opportunity to drive major emission reductions. Low-rise residential buildings average 150-400 kg of GHGs per square metre of floor area (25-75 tonnes for a 2,000 square foot home). Multiplied across all of the low-rise residential buildings constructed each year in Canada, this produces emissions that are equivalent to approximately 2 coal fired power plants.</t>
  </si>
  <si>
    <t>Canada recognizes this considerable source of GHGs. This calculator is designed to support the homebuilding and renovation industries in making informed material choices to reduce up-front carbon emission.  </t>
  </si>
  <si>
    <t>This calculator is intended to open up a dialogue, and allows industry to take a leading role in moving the residential building industry from a driver of climate change, to a leader in carbon drawdown.</t>
  </si>
  <si>
    <t>The data for this calculator comes from published Environmental Product Declarations (EPDs). These documents provide the results of a “life cycle assessment” (LCA) that has been performed and reported according to product category rules (PCRs) defined and regulated by ISO standards. EPDs are performed or verified by a third party. EPDs cannot compare materials intended for different uses (ie. dimensional lumber to floor tiles). Even within the same product category, it can be difficult to compare EPD figures because the values expressed for each material may not be directly comparable (ie. kilograms of brick can’t be compared to square metres of wood siding). This calculator normalizes all of the values expressed in the source EPDs to ensure that appropriate types of materials are being compared in appropriate quantities (ie. square metres of brick and square metres of wood siding).</t>
  </si>
  <si>
    <t>Notes on the use of this calculator:</t>
  </si>
  <si>
    <t>Limitations of This Calculator</t>
  </si>
  <si>
    <t>It is important to note that this calculator has a number of limitations of which you should be aware. Please read this section carefully so that you are fully informed. </t>
  </si>
  <si>
    <t>There are several factors to keep in mind regarding this calculators’ accuracy:</t>
  </si>
  <si>
    <t>In order to make the calculator simple to use and to minimize the number of inputs, numerous assumptions have been made in the calculations for material quantities. To the best of our ability we have chosen factors that are well-established industry norms, but these norms may not reflect the actual design or execution of your building.</t>
  </si>
  <si>
    <t>While the quantities of materials we estimate in the calculator are unlikely to be a perfect match to your actual material use, the quantities are consistent between all the options we present. This means that the comparison of emissions between materials is accurate. For example, you may use more or less framing material than we have estimated for your project but the relative difference between the framing options as depicted by the calculator will be accurate.</t>
  </si>
  <si>
    <t>The total of all these missing elements could be quite sizable, so it shouldn’t be assumed that the results from this calculator accurately reflect the entire carbon footprint of the building. Even a carbon-banking result may actually be a net emitter if all of these materials were included in the total.</t>
  </si>
  <si>
    <t>NRCan will consider updating the calculator with EPDs in these categories as they become available.</t>
  </si>
  <si>
    <t xml:space="preserve">No attempt has been made to include material costs in this calculator. Builders should use external costing information to understand the impact of alternative materials in their own projects. </t>
  </si>
  <si>
    <t>Material Carbon Emissions Estimator (MCE2)</t>
  </si>
  <si>
    <t>License Agreement</t>
  </si>
  <si>
    <t>Accord de licence</t>
  </si>
  <si>
    <t>Sigle ou abréviation</t>
  </si>
  <si>
    <t>Terme en entier</t>
  </si>
  <si>
    <t>ACV</t>
  </si>
  <si>
    <t>Analyse du cycle de vie</t>
  </si>
  <si>
    <t>Également connu sous le nom d’analyse du cycle de vie, il s’agit d’une méthodologie permettant d’évaluer les impacts environnementaux associés à toutes les étapes du cycle de vie d’un produit, d’un processus ou d’un service. Par exemple, dans le cas d’un produit manufacturé, les impacts environnementaux sont évalués depuis l’extraction et le traitement des matières premières (berceau), en passant par la fabrication du produit (porte), la distribution et l’utilisation, et le recyclage ou l’élimination des matériaux (tombe).</t>
  </si>
  <si>
    <t>AMPP</t>
  </si>
  <si>
    <t>Association de la mousse de polyuréthane pulvérisée</t>
  </si>
  <si>
    <t>ANBP</t>
  </si>
  <si>
    <t>Association nationale du béton prémélangé</t>
  </si>
  <si>
    <t>BCP</t>
  </si>
  <si>
    <t>Bois à copeaux parallèles</t>
  </si>
  <si>
    <t>Une division à but non lucratif de l’Endeavour Centre et des développeurs de cet outil.</t>
  </si>
  <si>
    <t>BLC</t>
  </si>
  <si>
    <t>Bois lamellé-croisé</t>
  </si>
  <si>
    <t>Bois lamellé-collé</t>
  </si>
  <si>
    <t>BLCG</t>
  </si>
  <si>
    <t>Bois lamellé-collé à goujon</t>
  </si>
  <si>
    <t>BLCL</t>
  </si>
  <si>
    <t xml:space="preserve">Bois de longs copeaux lamellés </t>
  </si>
  <si>
    <t>BPS</t>
  </si>
  <si>
    <t>Bois en placage stratifié</t>
  </si>
  <si>
    <t>Brique de chanvre</t>
  </si>
  <si>
    <t>Un matériau de construction fait de chaux (CaO), d’eau et de chanvre. La brique de chanvre se comporte comme un matériau ouvert à la vapeur, à dominante isolante, avec des propriétés de masse thermique. Les performances et les propriétés changent en fonction de la densité et de la formulation des liants. Il peut être utilisé comme isolant de remplissage dans les murs, les planchers et les toits, ou préformé en panneaux ou en blocs.</t>
  </si>
  <si>
    <t>Carbone intrinsèque</t>
  </si>
  <si>
    <t>Phases A1-A3 de la DEP</t>
  </si>
  <si>
    <t>Essentiellement la phase de production, de l’extraction des matières premières à la fabrication, d’un produit ou d’un matériau comprennent l’extraction/collecte des ressources, le transport des matériaux à traiter, la transformation/fabrication et le conditionnement.</t>
  </si>
  <si>
    <t>Carbone opérationnel</t>
  </si>
  <si>
    <t>Émissions de carbone opérationnel</t>
  </si>
  <si>
    <t>CBI</t>
  </si>
  <si>
    <t>Coffrage à béton isolé</t>
  </si>
  <si>
    <t>CCIC</t>
  </si>
  <si>
    <t>Calculateur de carbone incorporé dans la construction</t>
  </si>
  <si>
    <t>Un outil de calcul du carbone en ligne de Building Transparency, développé par C-Change Labs. Le CCIC est utilisé pour compter et comparer le carbone incorporé des matériaux de construction avec les DEP disponibles.</t>
  </si>
  <si>
    <t>CNZ</t>
  </si>
  <si>
    <t>Carbone net zéro</t>
  </si>
  <si>
    <t>Consommation d’énergie</t>
  </si>
  <si>
    <t>La consommation d’énergie opérationnelle</t>
  </si>
  <si>
    <t>La quantité d’énergie consommée annuellement (kW-h/an) pour faire fonctionner le bâtiment sur une période donnée, généralement un an. L’énergie opérationnelle comprend généralement, mais pas exclusivement, le chauffage, le refroidissement, la réfrigération, l’eau chaude, la ventilation, l’éclairage, les équipements mécaniques et l’électronique. Souvent, la consommation d’énergie non électrique est exprimée en masse ou en volume de combustible (par exemple, bois, gaz naturel, propane, etc.) nécessaire pour fournir l’énergie consommée pendant cette période.</t>
  </si>
  <si>
    <t>CTU</t>
  </si>
  <si>
    <t>Type de ciment tout usage</t>
  </si>
  <si>
    <t>CV</t>
  </si>
  <si>
    <t>Cendres volantes</t>
  </si>
  <si>
    <t>Un sous-produit de la production d’électricité à partir du charbon. Il est utilisé comme matériau cimentaire supplémentaire (MCS) pour remplacer le ciment dans la production de béton.</t>
  </si>
  <si>
    <t>Dégagement gazeux</t>
  </si>
  <si>
    <t>Évaporation de COV</t>
  </si>
  <si>
    <t>Les composés organiques volatils (COV) s’évaporent de certains matériaux de construction au fil du temps, les libérant dans l’environnement intérieur et/ou extérieur, ce qui peut poser des problèmes de qualité de l’air intérieur et de climat. Le dégagement gazeux fait également référence aux gaz qui se dégagent de certains types d’isolation utilisant des agents gonflants à forte teneur en GES et qui s’échappent des cellules pendant l’utilisation.</t>
  </si>
  <si>
    <t>DEP</t>
  </si>
  <si>
    <t>Déclaration environnementale de produit</t>
  </si>
  <si>
    <t>Une déclaration transparente, vérifiée de manière indépendante, qui quantifie les impacts environnementaux du cycle de vie d’un produit afin de permettre des comparaisons entre des produits remplissant la même fonction. La méthodologie EPD est basée sur l’outil d’analyse du cycle de vie (ACV) qui suit les normes de l’Organisation internationale de normalisation (ISO) et les règles des catégories de produits (RCP; ce calculateur utilise les valeurs de PRP pour les phases A1-A3 des DEP, sauf indication contraire.</t>
  </si>
  <si>
    <t>ECM</t>
  </si>
  <si>
    <t>Émissions de carbone des matériaux</t>
  </si>
  <si>
    <t>EMB</t>
  </si>
  <si>
    <t>Élément de maçonnerie en béton</t>
  </si>
  <si>
    <r>
      <t>Émissions de CO</t>
    </r>
    <r>
      <rPr>
        <b/>
        <vertAlign val="subscript"/>
        <sz val="12"/>
        <color rgb="FF000000"/>
        <rFont val="Arial"/>
        <family val="2"/>
      </rPr>
      <t>2</t>
    </r>
    <r>
      <rPr>
        <b/>
        <sz val="12"/>
        <color rgb="FF000000"/>
        <rFont val="Arial"/>
        <family val="2"/>
      </rPr>
      <t>e ou de « carbone »</t>
    </r>
  </si>
  <si>
    <t>Émissions d’équivalent dioxyde de carbone</t>
  </si>
  <si>
    <t>Ensemble</t>
  </si>
  <si>
    <t>L’ensemble de l’enveloppe du bâtiment</t>
  </si>
  <si>
    <t>Plusieurs matériaux de construction utilisés ensemble pour former une paroi, un plancher ou un toit. Peut être préfabriqué ou construit sur place. Peut ou non inclure des barrières de vapeur, d’air ou d’eau.</t>
  </si>
  <si>
    <t>EPS</t>
  </si>
  <si>
    <t xml:space="preserve">Épicéa, pin, sapin </t>
  </si>
  <si>
    <t>Un groupe d’espèces d’arbres similaires utilisées principalement pour les produits de bois d’œuvre résineux dans diverses régions d’Amérique du Nord, en particulier dans l’Est du continent.</t>
  </si>
  <si>
    <t>Le FSC est une organisation internationale à but non lucratif et multipartite qui a développé des procédures rigoureuses et des normes mondiales pour les systèmes de certification forestière volontaire établis pour les forêts et les produits forestiers.</t>
  </si>
  <si>
    <t>GES</t>
  </si>
  <si>
    <t>Gaz à effet de serre (émissions)</t>
  </si>
  <si>
    <r>
      <t>Gaz responsables du forçage radiatif qui piège la chaleur dans l’atmosphère et provoque une augmentation des températures mondiales. Unités : kg de CO</t>
    </r>
    <r>
      <rPr>
        <vertAlign val="subscript"/>
        <sz val="12"/>
        <color rgb="FF000000"/>
        <rFont val="Arial"/>
        <family val="2"/>
      </rPr>
      <t>2</t>
    </r>
    <r>
      <rPr>
        <sz val="12"/>
        <color rgb="FF000000"/>
        <rFont val="Arial"/>
        <family val="2"/>
      </rPr>
      <t>e</t>
    </r>
  </si>
  <si>
    <t>GN</t>
  </si>
  <si>
    <t>Gaz naturel</t>
  </si>
  <si>
    <t>Hydroflurocarbones</t>
  </si>
  <si>
    <t>Hydrofluoroléfine</t>
  </si>
  <si>
    <t>Inventaire du carbone et de l’énergie</t>
  </si>
  <si>
    <t>Base de données sur l’énergie intrinsèque et le carbone des matériaux de construction de l’équipe de recherche sur l’énergie durable de l’université de Bath (Royaume-Uni). (https://www.bath.ac.uk/teams/sustainable-energy-research-team/)</t>
  </si>
  <si>
    <t>Organisation internationale de normalisation</t>
  </si>
  <si>
    <t>Organisme international de normalisation composé de représentants de divers organismes nationaux de normalisation.</t>
  </si>
  <si>
    <r>
      <t>kW</t>
    </r>
    <r>
      <rPr>
        <b/>
        <sz val="12"/>
        <color rgb="FF000000"/>
        <rFont val="Calibri"/>
        <family val="2"/>
      </rPr>
      <t>·</t>
    </r>
    <r>
      <rPr>
        <b/>
        <sz val="12"/>
        <color rgb="FF000000"/>
        <rFont val="Arial"/>
        <family val="2"/>
      </rPr>
      <t>h</t>
    </r>
  </si>
  <si>
    <t>Kilowattheure</t>
  </si>
  <si>
    <t>Unité du système métrique – puissance (kJ/s) multipliée par le temps (heures) – utilisée pour mesurer la consommation d’énergie électrique.</t>
  </si>
  <si>
    <t>MF</t>
  </si>
  <si>
    <t>Mâchefer</t>
  </si>
  <si>
    <t>Un sous-produit semblable à du verre provenant de la fonte ou de l’affinage du minerai. Il est utilisé comme matériau cimentaire supplémentaire (MCS) pour remplacer le ciment dans la production de béton.</t>
  </si>
  <si>
    <t>OM</t>
  </si>
  <si>
    <t>Oxyde de magnésium</t>
  </si>
  <si>
    <t>PRP</t>
  </si>
  <si>
    <t>Potentiel de réchauffement de la planète</t>
  </si>
  <si>
    <t>RTS</t>
  </si>
  <si>
    <t>Résistance thermique par surface en unités SI.</t>
  </si>
  <si>
    <r>
      <t>Mesure par unité de surface de la résistance au flux de chaleur à travers un matériau ou un assemblage de matériaux en unités métriques/SI (m</t>
    </r>
    <r>
      <rPr>
        <vertAlign val="superscript"/>
        <sz val="12"/>
        <color rgb="FF000000"/>
        <rFont val="Arial"/>
        <family val="2"/>
      </rPr>
      <t>2</t>
    </r>
    <r>
      <rPr>
        <sz val="12"/>
        <color rgb="FF000000"/>
        <rFont val="Arial"/>
        <family val="2"/>
      </rPr>
      <t>·K/W ou m</t>
    </r>
    <r>
      <rPr>
        <vertAlign val="superscript"/>
        <sz val="12"/>
        <color rgb="FF000000"/>
        <rFont val="Arial"/>
        <family val="2"/>
      </rPr>
      <t>2</t>
    </r>
    <r>
      <rPr>
        <sz val="12"/>
        <color rgb="FF000000"/>
        <rFont val="Arial"/>
        <family val="2"/>
      </rPr>
      <t>·°C/W).</t>
    </r>
  </si>
  <si>
    <t>Section W</t>
  </si>
  <si>
    <t>Poutre en I à ailes larges en acier de construction</t>
  </si>
  <si>
    <t>Les profilés W forment une catégorie de profilés de poutre en acier avec une forme en I à large rebord.</t>
  </si>
  <si>
    <r>
      <t>Stockage de carbone ou stockage de CO</t>
    </r>
    <r>
      <rPr>
        <b/>
        <vertAlign val="subscript"/>
        <sz val="12"/>
        <color rgb="FF000000"/>
        <rFont val="Arial"/>
        <family val="2"/>
      </rPr>
      <t>2</t>
    </r>
    <r>
      <rPr>
        <b/>
        <sz val="12"/>
        <color rgb="FF000000"/>
        <rFont val="Arial"/>
        <family val="2"/>
      </rPr>
      <t xml:space="preserve">e </t>
    </r>
  </si>
  <si>
    <t>Stockage d’équivalent dioxyde de carbone biogénique</t>
  </si>
  <si>
    <t>tonne ou tonne métrique</t>
  </si>
  <si>
    <t>Une tonne métrique équivaut à 1000 kg. Il s’agit d’une différence par rapport aux tonnes américaines, aux tonnes courtes, etc.</t>
  </si>
  <si>
    <t>Torchis</t>
  </si>
  <si>
    <t>Un matériau de construction traditionnel composé de terre argileuse, de sable et de paille hachée. Les murs en torchis sont un assemblage structurel monolithique ouvert à la vapeur, généralement enduit sur les deux faces d’un plâtre d’argile ou de chaux.</t>
  </si>
  <si>
    <t>Valeur R</t>
  </si>
  <si>
    <t>Résistance thermique en unités étasunienne/impériales</t>
  </si>
  <si>
    <t xml:space="preserve">Mesure par unité de surface de la résistance au flux de chaleur à travers un matériau ou un assemblage de matériaux en unités I-P (pi2– °F-h/BTU) aux États-Unis et au Canada, où I-P signifie Pouce (inches) et Livre (pound). La valeur R est souvent communiquée comme valeur R par pouce d’épaisseur du matériau, ou R par pouce. </t>
  </si>
  <si>
    <t>MCE is sometimes referred to informally as embodied carbon.  MCEs differ from embodied carbon in that MCEs include the emissions only from the product manufacturing stages (A1 to A3) of the building lifecycle (with a few exceptions), while embodied carbon includes all phases of the lifecycle except B6 (operational emissions) and B7 (operational water use).  This Materials Carbon Emissions Estimator calculates estimated MCEs</t>
  </si>
  <si>
    <t>Cradle-to-grave</t>
  </si>
  <si>
    <t>EPD phases A, B, and C</t>
  </si>
  <si>
    <t xml:space="preserve">Includes the full life cycle from extraction of raw materials from the Earth (the cradle, phase A1 – raw material supply) to the end of the end-of-life process (the grave, phase C4 – disposal).  Does not include phase D – benefits and loads beyond the lifecycle (e.g. recycling).  </t>
  </si>
  <si>
    <t>EC</t>
  </si>
  <si>
    <t>Embodied Carbon</t>
  </si>
  <si>
    <t>The lifecycle carbon emissions of the building materials.  Includes emissions from all lifecycle phases of the building except for B6 (operational emissions) and B7 (operational water use).</t>
  </si>
  <si>
    <t>Language:</t>
  </si>
  <si>
    <t>Notes sur l’utilisation de cet outil d’estimation</t>
  </si>
  <si>
    <t>Vue d’ensemble et contexte</t>
  </si>
  <si>
    <t>Cet outil d’estimation est conçu pour comparer les émissions de gaz à effet de serre (GES) de différents matériaux de construction pour la construction résidentielle. Les résultats comparatifs peuvent aider les utilisateurs à faire des choix de matériaux pour réduire l’empreinte carbone des maisons et des rénovations qu’ils envisagent.</t>
  </si>
  <si>
    <t>En combinant les données énergétiques opérationnelles annuelles de HOT2000 avec l’estimation par cet outil des ECM initiaux de leur projet, les utilisateurs pourront examiner un graphique de l’empreinte carbone cumulée de leur maison et de leurs projets de rénovation.</t>
  </si>
  <si>
    <t>Cet outil permet aux utilisateurs de comparer les matériaux sur une base composant par composant, ainsi que par ensembles entiers. La majorité des matériaux à fort impact d’un bâtiment sont représentés dans l’outil. RNCan a inclus une vaste gamme d’assemblages et de matériaux de structure et d’enceinte, ainsi que les principaux matériaux de revêtement, de gainage et de finition pour la construction résidentielle.</t>
  </si>
  <si>
    <t>Cet outil d’estimation porte sur les émissions de carbone des matériaux (ECM – souvent appelé « carbone incorporé ») parce que le volume élevé d’émissions provenant directement de la récolte et de la production de matériaux de construction représente une opportunité clé pour réduire considérablement les émissions. Les bâtiments résidentiels de faible hauteur émettent en moyenne 150 à 400 kg de GES par mètre carré de surface de plancher (25 à 75 tonnes pour une maison de 2 000 pieds carrés). Si l’on multiplie ces émissions par celles de tous les immeubles résidentiels de faible hauteur construits chaque année au Canada, on obtient des émissions équivalentes à celles d’environ deux centrales électriques au charbon.</t>
  </si>
  <si>
    <t>Le Canada reconnaît cette source considérable de GES. Cet outil est conçu pour aider les industries de la construction et de la rénovation de maisons à faire des choix de matériaux éclairés afin de réduire les émissions de carbone initiales.</t>
  </si>
  <si>
    <t>Cet outil d’estimation a pour but d’ouvrir le dialogue et de permettre à l’industrie de jouer un rôle de premier plan pour faire passer le secteur de la construction résidentielle du statut de moteur du changement climatique à celui de leader en matière de réduction des émissions de carbone.</t>
  </si>
  <si>
    <t>Données pour les calculs</t>
  </si>
  <si>
    <t>RNCan s’est efforcé de s’assurer que toutes les comparaisons de matériaux sont équivalentes, en utilisant des tailles de produits standard, des normes de code et des pratiques exemplaires pour faire en sorte qu’on « compare des pommes avec des pommes ».</t>
  </si>
  <si>
    <t>Les options de matériaux avec des surlignages pastel dans la colonne M ont reçu leurs données d’émissions de carbone de sources autres qu’une DEP et sont indiquées par la légende suivante :</t>
  </si>
  <si>
    <t>Source de données : la DEP comprend les phases A1-A3 et B1 (dégagement de COV).</t>
  </si>
  <si>
    <t>Source de données : base de données ICE (R. U.)</t>
  </si>
  <si>
    <t>Source des données : DEP récemment expiré</t>
  </si>
  <si>
    <t>Limites de l’outil</t>
  </si>
  <si>
    <t>Il est important de noter que cet outil présente un certain nombre de limites dont vous devez savoir. Veuillez lire attentivement cette section afin d’être pleinement informé.</t>
  </si>
  <si>
    <t>Il y a plusieurs facteurs à garder à l’esprit concernant la précision de cet outil d’estimation :</t>
  </si>
  <si>
    <t>1. Toutes les données sont basées sur des déclarations environnementales de produits (DEP) accessibles au public.</t>
  </si>
  <si>
    <t>Les calculs utilisés pour créer une DEP peuvent être comparés au calcul de la consommation de carburant d’une voiture ou d’un camion. Une série d’hypothèses et de données génériques sont utilisées pour prédire l’empreinte carbone d’un matériau. Les règles d’élaboration des DEP garantissent que ces hypothèses sont similaires pour tous les produits d’une catégorie donnée, mais cela ne garantit pas nécessairement que le chiffre réel soit une représentation parfaite des émissions effectives dues à la fabrication du matériau.</t>
  </si>
  <si>
    <t>Une fourchette d’incertitude de 5 à 25 % est typique des DEP.</t>
  </si>
  <si>
    <t>2. Les calculs peuvent ne pas refléter vos pratiques.</t>
  </si>
  <si>
    <t>Afin de rendre l’outil d’estimation simple à utiliser et de minimiser le nombre d’entrées, de nombreuses hypothèses ont été faites dans les calculs des quantités de matériaux. Dans la mesure de nos possibilités, nous avons choisi des facteurs qui sont des normes industrielles bien établies, mais ces normes peuvent ne pas refléter la conception ou l’exécution réelle de votre bâtiment.</t>
  </si>
  <si>
    <t>Bien qu’il soit peu probable que les quantités de matériaux que nous estimons dans l’outil correspondent parfaitement à votre utilisation réelle de matériaux, les quantités sont cohérentes entre toutes les options que nous présentons.
Cela signifie que la comparaison des émissions entre les matériaux est exacte. Par exemple, vous pouvez utiliser plus ou moins de matériaux d’encadrement que ce que nous avons estimé pour votre projet, mais la différence relative entre les options d’encadrement, telle qu’elle est représentée par l’outil, sera exacte.</t>
  </si>
  <si>
    <t>3. Aucun facteur de gaspillage pour les matériaux n’est inclus.</t>
  </si>
  <si>
    <t>Tout projet de construction génère des retailles et des déchets. Aucun de nos calculs ne suppose de facteurs de gaspillage en raison de la grande variation des pratiques sur site.</t>
  </si>
  <si>
    <t>Si vous souhaitez que vos émissions totales reflètent les facteurs de déchets, vous pouvez ajouter un pourcentage approprié à chaque catégorie de matériau en utilisant la fonction de pourcentage de la colonne F.</t>
  </si>
  <si>
    <t>4. Nous n’avons pas inclus de données pour tous les composants d’un bâtiment.</t>
  </si>
  <si>
    <t>Il y a beaucoup de matériaux qui entrent dans la construction de votre bâtiment et qui ne sont pas inclus ici :</t>
  </si>
  <si>
    <t>Imperméabilisation, pare-air/pare-vapeur et membranes</t>
  </si>
  <si>
    <t>Solins, mastics, adhésifs</t>
  </si>
  <si>
    <t>Attaches</t>
  </si>
  <si>
    <t>Appareils et accessoires</t>
  </si>
  <si>
    <t>Menuiserie, ébénisterie et escaliers</t>
  </si>
  <si>
    <t>Peintures, teintures et finitions de surface</t>
  </si>
  <si>
    <t>Les données disponibles sont actuellement limitées dans certaines de ces catégories ou les quantités de matériaux et d’émissions seraient assez similaires (par exemple, les toilettes et les machines à laver n’ont pas beaucoup de variation dans les émissions pour la comparaison selon les données disponibles).</t>
  </si>
  <si>
    <t>Le total de tous ces éléments manquants peut être assez important, il ne faut donc pas croire que les résultats de cet outil d’estimation reflètent avec précision l’empreinte carbone totale du bâtiment.
Même le résultat d’une banque de carbone peut en fait être un émetteur net si toutes ces matières étaient incluses dans le total.</t>
  </si>
  <si>
    <t>RNCan envisagera de mettre à jour l’outil d’estimation avec les DEP dans ces catégories dès qu’ils seront disponibles.</t>
  </si>
  <si>
    <t>5. Nous n’avons inclus que les données relatives aux émissions « du berceau à la porte » (A1-A3), et non le transport jusqu’au site, les émissions/le dégazage de l’utilisation du produit ou les émissions sur le chantier.</t>
  </si>
  <si>
    <t>Nous vous encourageons à comprendre vos chaînes d’approvisionnement et à essayer de faire vos propres calculs d’émissions de transport. Les émissions d’un chantier de construction sont également difficiles à estimer, mais représentent en moyenne entre 5 et 10 % des émissions totales des matériaux, et dépendent des facteurs d’émissions associés à la source d’énergie du chantier (réseau électrique ou générateur diesel).</t>
  </si>
  <si>
    <t>Il convient de noter que certaines émissions du chantier (A5) ou des émissions liées à l’utilisation du produit (B1) ont été incluses dans les calculs de l’ECM pour les matériaux dont le volume d’émissions est nécessaire, important et très prévisible au cours de ces phases du cycle de vie. Il s’agit par exemple des émissions provenant de la mousse isolante mélangée sur place et des gaz à effet de serre émis par certains isolants rigides. Ces types d’émissions sont inclus en A5 ou B1 dans de nombreuses DEP mais sont davantage liés au profil d’émission statique du produit qu’à une activité spécifique au site de construction ou à l’utilisation du produit.</t>
  </si>
  <si>
    <t>6. Aucune émission en fin de vie n’est calculée</t>
  </si>
  <si>
    <t>7. Aucune information sur les coûts.</t>
  </si>
  <si>
    <t>Aucune tentative n’a été faite pour inclure les coûts des matériaux dans cet outil d’estimation. Il incombe aux constructeurs de trouver des sources d’information sur les coûts pour comprendre l’impact des matériaux équivalents dans leurs propres projets.</t>
  </si>
  <si>
    <t>English Sheet Names</t>
  </si>
  <si>
    <t>French Sheet Names</t>
  </si>
  <si>
    <t>License</t>
  </si>
  <si>
    <t>USER INPUT SHEET</t>
  </si>
  <si>
    <t>REVIEW</t>
  </si>
  <si>
    <t>RESULTS</t>
  </si>
  <si>
    <t>SCENARIOS</t>
  </si>
  <si>
    <t>Energy GHG</t>
  </si>
  <si>
    <t>Master sheet</t>
  </si>
  <si>
    <t>Semelles et dalles</t>
  </si>
  <si>
    <t>Murs de fondation</t>
  </si>
  <si>
    <t>Éléments structuraux</t>
  </si>
  <si>
    <t>Murs ext.</t>
  </si>
  <si>
    <t>Systèmes de murs ext.</t>
  </si>
  <si>
    <t>Murs mitoyens</t>
  </si>
  <si>
    <t>Bardage</t>
  </si>
  <si>
    <t>Fenêtres</t>
  </si>
  <si>
    <t>Murs int.</t>
  </si>
  <si>
    <t>Planchers</t>
  </si>
  <si>
    <t>Plafonds</t>
  </si>
  <si>
    <t>Toit</t>
  </si>
  <si>
    <t>Défini par l’utilisateur</t>
  </si>
  <si>
    <t>REVOIR</t>
  </si>
  <si>
    <t>RÉSULTATS</t>
  </si>
  <si>
    <t>SCÉNARIOS</t>
  </si>
  <si>
    <t>English</t>
  </si>
  <si>
    <t>French</t>
  </si>
  <si>
    <t>GES Énergie</t>
  </si>
  <si>
    <t>Fiche principale</t>
  </si>
  <si>
    <t>Composite Master Sheet</t>
  </si>
  <si>
    <t>Fiche principale composite</t>
  </si>
  <si>
    <t>Data</t>
  </si>
  <si>
    <t>Données</t>
  </si>
  <si>
    <t>Windows Methodology</t>
  </si>
  <si>
    <t>Méthodes de fenestration</t>
  </si>
  <si>
    <t>Dropdown Lists</t>
  </si>
  <si>
    <t>Listes déroulantes</t>
  </si>
  <si>
    <t>NOTE: Do NOT remove this cell. Insert the new sheets above this cell. And make sure no sheet code is blank.</t>
  </si>
  <si>
    <r>
      <rPr>
        <sz val="10"/>
        <color theme="1"/>
        <rFont val="Arial"/>
        <family val="2"/>
      </rPr>
      <t xml:space="preserve">WHEREAS </t>
    </r>
    <r>
      <rPr>
        <b/>
        <sz val="10"/>
        <color theme="1"/>
        <rFont val="Arial"/>
        <family val="2"/>
      </rPr>
      <t xml:space="preserve">NRCAN </t>
    </r>
    <r>
      <rPr>
        <sz val="10"/>
        <color theme="1"/>
        <rFont val="Arial"/>
        <family val="2"/>
      </rPr>
      <t>HAS THE RIGHT TO GRANT A LICENSE FOR THE NRCAN MATERIALS EMISSIONS ESTIMATOR, AN EXCEL BASED MATERIALS EMISSIONS CALCULATOR THAT ALLOWS USERS TO ESTIMATE THE FIRST CARBON IMPACT OF THEIR HOMES, COMPARE THIS WITH THE OPERATIONAL CARBON ESTIMATES DERIVED FROM HOT2000, AND ENABLE INDUSTRY TO CONSIDER TRADE-OFFS ON MATERIAL SELECTIONS THAT WILL RESULT IN A LOWER CARBON FOOTPRINT OF THE HOME (hereinafter referred to as the “Software”)</t>
    </r>
  </si>
  <si>
    <r>
      <t xml:space="preserve">EN TÉLÉCHARGEANT, INSTALLANT, UTILISANT OU COPIANT LE LOGICIEL LE </t>
    </r>
    <r>
      <rPr>
        <b/>
        <sz val="10"/>
        <color theme="1"/>
        <rFont val="Arial"/>
        <family val="2"/>
      </rPr>
      <t>LICENCIÉ</t>
    </r>
    <r>
      <rPr>
        <sz val="10"/>
        <color theme="1"/>
        <rFont val="Arial"/>
        <family val="2"/>
      </rPr>
      <t xml:space="preserve"> CONVIENT PAR LES PRÉSENTES D’ADHÉRER AUX CONDITIONS GÉNÉRALES CI-DESSOUS:</t>
    </r>
  </si>
  <si>
    <t xml:space="preserve"> GRANT OF LICENSE</t>
  </si>
  <si>
    <t>OCTROI DE LA LICENCE</t>
  </si>
  <si>
    <r>
      <t xml:space="preserve"> Upon the terms and conditions hereinafter set forth, </t>
    </r>
    <r>
      <rPr>
        <b/>
        <sz val="10"/>
        <color theme="1"/>
        <rFont val="Arial"/>
        <family val="2"/>
      </rPr>
      <t xml:space="preserve">NRCan </t>
    </r>
    <r>
      <rPr>
        <sz val="10"/>
        <color theme="1"/>
        <rFont val="Arial"/>
        <family val="2"/>
      </rPr>
      <t xml:space="preserve">hereby grants to you, the </t>
    </r>
    <r>
      <rPr>
        <b/>
        <sz val="10"/>
        <color theme="1"/>
        <rFont val="Arial"/>
        <family val="2"/>
      </rPr>
      <t>Licensee</t>
    </r>
    <r>
      <rPr>
        <sz val="10"/>
        <color theme="1"/>
        <rFont val="Arial"/>
        <family val="2"/>
      </rPr>
      <t xml:space="preserve">, a non-exclusive license to use the Software. </t>
    </r>
  </si>
  <si>
    <r>
      <rPr>
        <sz val="10"/>
        <color theme="1"/>
        <rFont val="Arial"/>
        <family val="2"/>
      </rPr>
      <t xml:space="preserve">Aux termes des conditions générales énoncées ci-après, </t>
    </r>
    <r>
      <rPr>
        <b/>
        <sz val="10"/>
        <color theme="1"/>
        <rFont val="Arial"/>
        <family val="2"/>
      </rPr>
      <t>RNCan</t>
    </r>
    <r>
      <rPr>
        <sz val="10"/>
        <color theme="1"/>
        <rFont val="Arial"/>
        <family val="2"/>
      </rPr>
      <t xml:space="preserve"> accorde par les présentes, à vous le </t>
    </r>
    <r>
      <rPr>
        <b/>
        <sz val="10"/>
        <color theme="1"/>
        <rFont val="Arial"/>
        <family val="2"/>
      </rPr>
      <t>Licencié</t>
    </r>
    <r>
      <rPr>
        <sz val="10"/>
        <color theme="1"/>
        <rFont val="Arial"/>
        <family val="2"/>
      </rPr>
      <t>, une licence non exclusive d’utilisation du Logiciel.</t>
    </r>
  </si>
  <si>
    <r>
      <rPr>
        <sz val="10"/>
        <color rgb="FF000000"/>
        <rFont val="Arial"/>
        <family val="2"/>
      </rPr>
      <t xml:space="preserve">Le </t>
    </r>
    <r>
      <rPr>
        <b/>
        <sz val="10"/>
        <color rgb="FF000000"/>
        <rFont val="Arial"/>
        <family val="2"/>
      </rPr>
      <t xml:space="preserve">Licencié </t>
    </r>
    <r>
      <rPr>
        <sz val="10"/>
        <color rgb="FF000000"/>
        <rFont val="Arial"/>
        <family val="2"/>
      </rPr>
      <t xml:space="preserve">ne doit pas divulguer, modifier, vendre, prêter ou transférer le Logiciel, accorder une sous-licence à son égard ou en faire l’ingénierie inverse ni céder de toute autre manière à un tiers les droits prévus par le présent CLUF.
</t>
    </r>
  </si>
  <si>
    <r>
      <rPr>
        <sz val="10"/>
        <color rgb="FF000000"/>
        <rFont val="Arial"/>
        <family val="2"/>
      </rPr>
      <t xml:space="preserve"> Subject to Article 8.2, the </t>
    </r>
    <r>
      <rPr>
        <b/>
        <sz val="10"/>
        <color rgb="FF000000"/>
        <rFont val="Arial"/>
        <family val="2"/>
      </rPr>
      <t>Licensee</t>
    </r>
    <r>
      <rPr>
        <sz val="10"/>
        <color rgb="FF000000"/>
        <rFont val="Arial"/>
        <family val="2"/>
      </rPr>
      <t xml:space="preserve"> shall not make more than one (1) backup copy of the Software. The backup copy shall be held confidential and shall be used only for the purpose of backup.</t>
    </r>
  </si>
  <si>
    <r>
      <rPr>
        <sz val="10"/>
        <color rgb="FF000000"/>
        <rFont val="Arial"/>
        <family val="2"/>
      </rPr>
      <t xml:space="preserve">Sous réserve de l’article 8.2, le </t>
    </r>
    <r>
      <rPr>
        <b/>
        <sz val="10"/>
        <color rgb="FF000000"/>
        <rFont val="Arial"/>
        <family val="2"/>
      </rPr>
      <t xml:space="preserve">Licencié </t>
    </r>
    <r>
      <rPr>
        <sz val="10"/>
        <color rgb="FF000000"/>
        <rFont val="Arial"/>
        <family val="2"/>
      </rPr>
      <t xml:space="preserve">ne peut faire plus d’une (1) copie de sauvegarde du Logiciel. La copie de sauvegarde doit être tenue confidentielle et n’être utilisée qu’à des fins de sauvegarde.
</t>
    </r>
  </si>
  <si>
    <t xml:space="preserve"> TERM</t>
  </si>
  <si>
    <t>DURÉE</t>
  </si>
  <si>
    <r>
      <rPr>
        <sz val="10"/>
        <color theme="1"/>
        <rFont val="Arial"/>
        <family val="2"/>
      </rPr>
      <t xml:space="preserve"> This EULA shall come into force upon the first instance that the Software is used by the </t>
    </r>
    <r>
      <rPr>
        <b/>
        <sz val="10"/>
        <color theme="1"/>
        <rFont val="Arial"/>
        <family val="2"/>
      </rPr>
      <t xml:space="preserve">Licensee </t>
    </r>
    <r>
      <rPr>
        <sz val="10"/>
        <color theme="1"/>
        <rFont val="Arial"/>
        <family val="2"/>
      </rPr>
      <t xml:space="preserve">or comes into the possession of the </t>
    </r>
    <r>
      <rPr>
        <b/>
        <sz val="10"/>
        <color theme="1"/>
        <rFont val="Arial"/>
        <family val="2"/>
      </rPr>
      <t>Licensee</t>
    </r>
    <r>
      <rPr>
        <sz val="10"/>
        <color theme="1"/>
        <rFont val="Arial"/>
        <family val="2"/>
      </rPr>
      <t xml:space="preserve">, and shall remain in force until the </t>
    </r>
    <r>
      <rPr>
        <b/>
        <sz val="10"/>
        <color theme="1"/>
        <rFont val="Arial"/>
        <family val="2"/>
      </rPr>
      <t>Licensee</t>
    </r>
    <r>
      <rPr>
        <sz val="10"/>
        <color theme="1"/>
        <rFont val="Arial"/>
        <family val="2"/>
      </rPr>
      <t xml:space="preserve"> destroys all copies of the Software.</t>
    </r>
  </si>
  <si>
    <r>
      <rPr>
        <sz val="10"/>
        <color theme="1"/>
        <rFont val="Arial"/>
        <family val="2"/>
      </rPr>
      <t xml:space="preserve">Le présent CLUF entre en vigueur dès la première utilisation du Logiciel par le </t>
    </r>
    <r>
      <rPr>
        <b/>
        <sz val="10"/>
        <color theme="1"/>
        <rFont val="Arial"/>
        <family val="2"/>
      </rPr>
      <t xml:space="preserve">Licencié </t>
    </r>
    <r>
      <rPr>
        <sz val="10"/>
        <color theme="1"/>
        <rFont val="Arial"/>
        <family val="2"/>
      </rPr>
      <t xml:space="preserve">ou dès que le </t>
    </r>
    <r>
      <rPr>
        <b/>
        <sz val="10"/>
        <color theme="1"/>
        <rFont val="Arial"/>
        <family val="2"/>
      </rPr>
      <t xml:space="preserve">Licencié </t>
    </r>
    <r>
      <rPr>
        <sz val="10"/>
        <color theme="1"/>
        <rFont val="Arial"/>
        <family val="2"/>
      </rPr>
      <t xml:space="preserve">en prend possession et demeure en vigueur jusqu’à ce qu’il soit résilié par le </t>
    </r>
    <r>
      <rPr>
        <b/>
        <sz val="10"/>
        <color theme="1"/>
        <rFont val="Arial"/>
        <family val="2"/>
      </rPr>
      <t xml:space="preserve">Licencié </t>
    </r>
    <r>
      <rPr>
        <sz val="10"/>
        <color theme="1"/>
        <rFont val="Arial"/>
        <family val="2"/>
      </rPr>
      <t>à la suite de la destruction par celui-ci de toutes les copies du Logiciel.</t>
    </r>
  </si>
  <si>
    <t xml:space="preserve"> OBLIGATIONS OF THE LICENSEE</t>
  </si>
  <si>
    <t>OBLIGATIONS DU LICENCIÉ</t>
  </si>
  <si>
    <r>
      <rPr>
        <sz val="10"/>
        <color rgb="FF000000"/>
        <rFont val="Arial"/>
        <family val="2"/>
      </rPr>
      <t xml:space="preserve"> The </t>
    </r>
    <r>
      <rPr>
        <b/>
        <sz val="10"/>
        <color rgb="FF000000"/>
        <rFont val="Arial"/>
        <family val="2"/>
      </rPr>
      <t xml:space="preserve">Licensee </t>
    </r>
    <r>
      <rPr>
        <sz val="10"/>
        <color rgb="FF000000"/>
        <rFont val="Arial"/>
        <family val="2"/>
      </rPr>
      <t xml:space="preserve">shall not make any statement or representation indicating that </t>
    </r>
    <r>
      <rPr>
        <b/>
        <sz val="10"/>
        <color rgb="FF000000"/>
        <rFont val="Arial"/>
        <family val="2"/>
      </rPr>
      <t xml:space="preserve">NRCan </t>
    </r>
    <r>
      <rPr>
        <sz val="10"/>
        <color rgb="FF000000"/>
        <rFont val="Arial"/>
        <family val="2"/>
      </rPr>
      <t xml:space="preserve">or the Government of Canada endorses or approves any recommendation, study, report, product, service or course of action as a result of the </t>
    </r>
    <r>
      <rPr>
        <b/>
        <sz val="10"/>
        <color rgb="FF000000"/>
        <rFont val="Arial"/>
        <family val="2"/>
      </rPr>
      <t>Licensee</t>
    </r>
    <r>
      <rPr>
        <sz val="10"/>
        <color rgb="FF000000"/>
        <rFont val="Arial"/>
        <family val="2"/>
      </rPr>
      <t>'s use of the Software.</t>
    </r>
  </si>
  <si>
    <r>
      <rPr>
        <sz val="10"/>
        <color rgb="FF000000"/>
        <rFont val="Arial"/>
        <family val="2"/>
      </rPr>
      <t xml:space="preserve">Le </t>
    </r>
    <r>
      <rPr>
        <b/>
        <sz val="10"/>
        <color rgb="FF000000"/>
        <rFont val="Arial"/>
        <family val="2"/>
      </rPr>
      <t xml:space="preserve">Licencié </t>
    </r>
    <r>
      <rPr>
        <sz val="10"/>
        <color rgb="FF000000"/>
        <rFont val="Arial"/>
        <family val="2"/>
      </rPr>
      <t xml:space="preserve">ne doit faire aucune déclaration ni représentation indiquant que </t>
    </r>
    <r>
      <rPr>
        <b/>
        <sz val="10"/>
        <color rgb="FF000000"/>
        <rFont val="Arial"/>
        <family val="2"/>
      </rPr>
      <t>RNCan</t>
    </r>
    <r>
      <rPr>
        <sz val="10"/>
        <color rgb="FF000000"/>
        <rFont val="Arial"/>
        <family val="2"/>
      </rPr>
      <t xml:space="preserve"> ou le Gouvernement du Canada appuie ou approuve une recommandation, une étude, un rapport, un produit, un service ou une ligne de conduite à la suite de l’utilisation du Logiciel par le </t>
    </r>
    <r>
      <rPr>
        <b/>
        <sz val="10"/>
        <color rgb="FF000000"/>
        <rFont val="Arial"/>
        <family val="2"/>
      </rPr>
      <t>Licencié</t>
    </r>
    <r>
      <rPr>
        <sz val="10"/>
        <color rgb="FF000000"/>
        <rFont val="Arial"/>
        <family val="2"/>
      </rPr>
      <t xml:space="preserve">.
</t>
    </r>
  </si>
  <si>
    <t xml:space="preserve"> MAINTENANCE AND SUPPORT </t>
  </si>
  <si>
    <t xml:space="preserve"> MAINTENANCE ET SOUTIEN
</t>
  </si>
  <si>
    <r>
      <rPr>
        <sz val="10"/>
        <color rgb="FF000000"/>
        <rFont val="Arial"/>
        <family val="2"/>
      </rPr>
      <t xml:space="preserve">Les parties comprennent et conviennent que, bien que le </t>
    </r>
    <r>
      <rPr>
        <b/>
        <sz val="10"/>
        <color rgb="FF000000"/>
        <rFont val="Arial"/>
        <family val="2"/>
      </rPr>
      <t xml:space="preserve">Licencié </t>
    </r>
    <r>
      <rPr>
        <sz val="10"/>
        <color rgb="FF000000"/>
        <rFont val="Arial"/>
        <family val="2"/>
      </rPr>
      <t xml:space="preserve">puisse signaler à </t>
    </r>
    <r>
      <rPr>
        <b/>
        <sz val="10"/>
        <color rgb="FF000000"/>
        <rFont val="Arial"/>
        <family val="2"/>
      </rPr>
      <t>RNCan</t>
    </r>
    <r>
      <rPr>
        <sz val="10"/>
        <color rgb="FF000000"/>
        <rFont val="Arial"/>
        <family val="2"/>
      </rPr>
      <t xml:space="preserve"> tout bogue ou toute défectuosité technique du Logiciel, </t>
    </r>
    <r>
      <rPr>
        <b/>
        <sz val="10"/>
        <color rgb="FF000000"/>
        <rFont val="Arial"/>
        <family val="2"/>
      </rPr>
      <t>RNCan</t>
    </r>
    <r>
      <rPr>
        <sz val="10"/>
        <color rgb="FF000000"/>
        <rFont val="Arial"/>
        <family val="2"/>
      </rPr>
      <t xml:space="preserve"> n’est pas tenu de fournir un soutien technique, des services de maintenance, des services de mise à jour, des avis de vices cachés ni d’assurer la correction de défauts pour le Logiciel.
</t>
    </r>
  </si>
  <si>
    <t xml:space="preserve"> TITLE </t>
  </si>
  <si>
    <t xml:space="preserve"> TITRE
</t>
  </si>
  <si>
    <r>
      <rPr>
        <sz val="10"/>
        <color rgb="FF000000"/>
        <rFont val="Arial"/>
        <family val="2"/>
      </rPr>
      <t xml:space="preserve">The </t>
    </r>
    <r>
      <rPr>
        <b/>
        <sz val="10"/>
        <color rgb="FF000000"/>
        <rFont val="Arial"/>
        <family val="2"/>
      </rPr>
      <t xml:space="preserve">Licensee </t>
    </r>
    <r>
      <rPr>
        <sz val="10"/>
        <color rgb="FF000000"/>
        <rFont val="Arial"/>
        <family val="2"/>
      </rPr>
      <t xml:space="preserve">agrees that the Software is and shall at all times remain the property of </t>
    </r>
    <r>
      <rPr>
        <b/>
        <sz val="10"/>
        <color rgb="FF000000"/>
        <rFont val="Arial"/>
        <family val="2"/>
      </rPr>
      <t>NRCan</t>
    </r>
    <r>
      <rPr>
        <sz val="10"/>
        <color rgb="FF000000"/>
        <rFont val="Arial"/>
        <family val="2"/>
      </rPr>
      <t xml:space="preserve">. The </t>
    </r>
    <r>
      <rPr>
        <b/>
        <sz val="10"/>
        <color rgb="FF000000"/>
        <rFont val="Arial"/>
        <family val="2"/>
      </rPr>
      <t xml:space="preserve">Licensee </t>
    </r>
    <r>
      <rPr>
        <sz val="10"/>
        <color rgb="FF000000"/>
        <rFont val="Arial"/>
        <family val="2"/>
      </rPr>
      <t xml:space="preserve">shall have no right, title and interest therein or thereto, except as expressly set forth in this EULA. </t>
    </r>
  </si>
  <si>
    <r>
      <rPr>
        <sz val="10"/>
        <color rgb="FF000000"/>
        <rFont val="Arial"/>
        <family val="2"/>
      </rPr>
      <t xml:space="preserve">Le </t>
    </r>
    <r>
      <rPr>
        <b/>
        <sz val="10"/>
        <color rgb="FF000000"/>
        <rFont val="Arial"/>
        <family val="2"/>
      </rPr>
      <t xml:space="preserve">Licencié </t>
    </r>
    <r>
      <rPr>
        <sz val="10"/>
        <color rgb="FF000000"/>
        <rFont val="Arial"/>
        <family val="2"/>
      </rPr>
      <t xml:space="preserve">convient que le Logiciel est, et demeurera en tout temps, la propriété de </t>
    </r>
    <r>
      <rPr>
        <b/>
        <sz val="10"/>
        <color rgb="FF000000"/>
        <rFont val="Arial"/>
        <family val="2"/>
      </rPr>
      <t>RNCan</t>
    </r>
    <r>
      <rPr>
        <sz val="10"/>
        <color rgb="FF000000"/>
        <rFont val="Arial"/>
        <family val="2"/>
      </rPr>
      <t xml:space="preserve">. Le </t>
    </r>
    <r>
      <rPr>
        <b/>
        <sz val="10"/>
        <color rgb="FF000000"/>
        <rFont val="Arial"/>
        <family val="2"/>
      </rPr>
      <t xml:space="preserve">Licencié </t>
    </r>
    <r>
      <rPr>
        <sz val="10"/>
        <color rgb="FF000000"/>
        <rFont val="Arial"/>
        <family val="2"/>
      </rPr>
      <t>n’a aucun droit, titre ni intérêt à son égard et s’y afférant, sauf dans la mesure expressément prévue dans le présent CLUF.</t>
    </r>
  </si>
  <si>
    <r>
      <rPr>
        <sz val="10"/>
        <color rgb="FF000000"/>
        <rFont val="Arial"/>
        <family val="2"/>
      </rPr>
      <t xml:space="preserve"> The </t>
    </r>
    <r>
      <rPr>
        <b/>
        <sz val="10"/>
        <color rgb="FF000000"/>
        <rFont val="Arial"/>
        <family val="2"/>
      </rPr>
      <t>Licensee</t>
    </r>
    <r>
      <rPr>
        <sz val="10"/>
        <color rgb="FF000000"/>
        <rFont val="Arial"/>
        <family val="2"/>
      </rPr>
      <t xml:space="preserve"> acknowledges that the Software is protected under the Copyright Act.</t>
    </r>
  </si>
  <si>
    <r>
      <rPr>
        <sz val="10"/>
        <color rgb="FF000000"/>
        <rFont val="Arial"/>
        <family val="2"/>
      </rPr>
      <t xml:space="preserve">Le </t>
    </r>
    <r>
      <rPr>
        <b/>
        <sz val="10"/>
        <color rgb="FF000000"/>
        <rFont val="Arial"/>
        <family val="2"/>
      </rPr>
      <t>Licencié</t>
    </r>
    <r>
      <rPr>
        <sz val="10"/>
        <color rgb="FF000000"/>
        <rFont val="Arial"/>
        <family val="2"/>
      </rPr>
      <t xml:space="preserve"> reconnaît que le Logiciel est protégé par la Loi sur le droit d’auteur.</t>
    </r>
  </si>
  <si>
    <t xml:space="preserve"> WARRANTY AND INDEMNITY</t>
  </si>
  <si>
    <t>GARANTIE ET INDEMNISATION</t>
  </si>
  <si>
    <r>
      <rPr>
        <sz val="10"/>
        <color rgb="FF000000"/>
        <rFont val="Arial"/>
        <family val="2"/>
      </rPr>
      <t xml:space="preserve">Une licence est octroyée pour le Logiciel « tel quel ». </t>
    </r>
    <r>
      <rPr>
        <b/>
        <sz val="10"/>
        <color rgb="FF000000"/>
        <rFont val="Arial"/>
        <family val="2"/>
      </rPr>
      <t>RNCan</t>
    </r>
    <r>
      <rPr>
        <sz val="10"/>
        <color rgb="FF000000"/>
        <rFont val="Arial"/>
        <family val="2"/>
      </rPr>
      <t xml:space="preserve"> ne fait à l’égard du Logiciel aucune représentation ou garantie, expresse ou tacite, découlant de la loi ou d’autres sources, y compris, mais sans toutefois s’y limiter son efficacité, son intégralité, son exactitude ou son utilité à des fins particulières. </t>
    </r>
  </si>
  <si>
    <r>
      <rPr>
        <sz val="10"/>
        <color rgb="FF000000"/>
        <rFont val="Arial"/>
        <family val="2"/>
      </rPr>
      <t xml:space="preserve"> </t>
    </r>
    <r>
      <rPr>
        <b/>
        <sz val="10"/>
        <color rgb="FF000000"/>
        <rFont val="Arial"/>
        <family val="2"/>
      </rPr>
      <t xml:space="preserve">NRCan </t>
    </r>
    <r>
      <rPr>
        <sz val="10"/>
        <color rgb="FF000000"/>
        <rFont val="Arial"/>
        <family val="2"/>
      </rPr>
      <t xml:space="preserve">shall not be liable in respect of any claim, demand or action, irrespective of the nature of the cause of the claim, demand or action alleging any loss, injury or damages, direct or indirect, which may result from the </t>
    </r>
    <r>
      <rPr>
        <b/>
        <sz val="10"/>
        <color rgb="FF000000"/>
        <rFont val="Arial"/>
        <family val="2"/>
      </rPr>
      <t>Licensee’</t>
    </r>
    <r>
      <rPr>
        <sz val="10"/>
        <color rgb="FF000000"/>
        <rFont val="Arial"/>
        <family val="2"/>
      </rPr>
      <t xml:space="preserve">s use or possession of the Software. </t>
    </r>
    <r>
      <rPr>
        <b/>
        <sz val="10"/>
        <color rgb="FF000000"/>
        <rFont val="Arial"/>
        <family val="2"/>
      </rPr>
      <t xml:space="preserve">NRCan </t>
    </r>
    <r>
      <rPr>
        <sz val="10"/>
        <color rgb="FF000000"/>
        <rFont val="Arial"/>
        <family val="2"/>
      </rPr>
      <t xml:space="preserve">shall not be liable in any way for loss of revenue or contracts, or any other consequential loss of any kind resulting from the </t>
    </r>
    <r>
      <rPr>
        <b/>
        <sz val="10"/>
        <color rgb="FF000000"/>
        <rFont val="Arial"/>
        <family val="2"/>
      </rPr>
      <t>Licensee</t>
    </r>
    <r>
      <rPr>
        <sz val="10"/>
        <color rgb="FF000000"/>
        <rFont val="Arial"/>
        <family val="2"/>
      </rPr>
      <t xml:space="preserve">’s use or possession of the Software. </t>
    </r>
  </si>
  <si>
    <r>
      <rPr>
        <b/>
        <sz val="10"/>
        <color rgb="FF000000"/>
        <rFont val="Arial"/>
        <family val="2"/>
      </rPr>
      <t xml:space="preserve">RNCan </t>
    </r>
    <r>
      <rPr>
        <sz val="10"/>
        <color rgb="FF000000"/>
        <rFont val="Arial"/>
        <family val="2"/>
      </rPr>
      <t xml:space="preserve">ne peut être tenu responsable en cas de réclamations, de revendications ou d’actions en justice, quelle qu’en soit la nature de la cause, alléguant des pertes, des préjudices ou des dommages, directs ou indirects, pouvant résulter de la possession ou de l ’utilisation du Logiciel par le </t>
    </r>
    <r>
      <rPr>
        <b/>
        <sz val="10"/>
        <color rgb="FF000000"/>
        <rFont val="Arial"/>
        <family val="2"/>
      </rPr>
      <t>Licencié</t>
    </r>
    <r>
      <rPr>
        <sz val="10"/>
        <color rgb="FF000000"/>
        <rFont val="Arial"/>
        <family val="2"/>
      </rPr>
      <t xml:space="preserve">. </t>
    </r>
    <r>
      <rPr>
        <b/>
        <sz val="10"/>
        <color rgb="FF000000"/>
        <rFont val="Arial"/>
        <family val="2"/>
      </rPr>
      <t xml:space="preserve">RNCan </t>
    </r>
    <r>
      <rPr>
        <sz val="10"/>
        <color rgb="FF000000"/>
        <rFont val="Arial"/>
        <family val="2"/>
      </rPr>
      <t xml:space="preserve">ne peut aucunement être tenu responsable de la perte de revenus ou de contrats, ou de toute autre perte conséquente de quelque nature que ce soit, découlant de la possession ou de l ’utilisation du Logiciel par le </t>
    </r>
    <r>
      <rPr>
        <b/>
        <sz val="10"/>
        <color rgb="FF000000"/>
        <rFont val="Arial"/>
        <family val="2"/>
      </rPr>
      <t>Licencié</t>
    </r>
    <r>
      <rPr>
        <sz val="10"/>
        <color rgb="FF000000"/>
        <rFont val="Arial"/>
        <family val="2"/>
      </rPr>
      <t xml:space="preserve">. </t>
    </r>
  </si>
  <si>
    <r>
      <rPr>
        <sz val="10"/>
        <color rgb="FF000000"/>
        <rFont val="Arial"/>
        <family val="2"/>
      </rPr>
      <t xml:space="preserve"> The </t>
    </r>
    <r>
      <rPr>
        <b/>
        <sz val="10"/>
        <color rgb="FF000000"/>
        <rFont val="Arial"/>
        <family val="2"/>
      </rPr>
      <t xml:space="preserve">Licensee </t>
    </r>
    <r>
      <rPr>
        <sz val="10"/>
        <color rgb="FF000000"/>
        <rFont val="Arial"/>
        <family val="2"/>
      </rPr>
      <t xml:space="preserve">shall indemnify and defend </t>
    </r>
    <r>
      <rPr>
        <b/>
        <sz val="10"/>
        <color rgb="FF000000"/>
        <rFont val="Arial"/>
        <family val="2"/>
      </rPr>
      <t>NRCan</t>
    </r>
    <r>
      <rPr>
        <sz val="10"/>
        <color rgb="FF000000"/>
        <rFont val="Arial"/>
        <family val="2"/>
      </rPr>
      <t xml:space="preserve">, its employees, contractors, agents and suppliers, from and against all claims, demands, losses, damages, costs (including legal fees and costs on a substantial indemnity basis), actions, suits or proceedings brought by any third party, that are in any manner based upon, arising out of, or attributable to the use, possession, or performance of the Software by the </t>
    </r>
    <r>
      <rPr>
        <b/>
        <sz val="10"/>
        <color rgb="FF000000"/>
        <rFont val="Arial"/>
        <family val="2"/>
      </rPr>
      <t>Licensee</t>
    </r>
    <r>
      <rPr>
        <sz val="10"/>
        <color rgb="FF000000"/>
        <rFont val="Arial"/>
        <family val="2"/>
      </rPr>
      <t>, or it’s employees or agents.</t>
    </r>
  </si>
  <si>
    <r>
      <rPr>
        <sz val="10"/>
        <color rgb="FF000000"/>
        <rFont val="Arial"/>
        <family val="2"/>
      </rPr>
      <t xml:space="preserve"> Le </t>
    </r>
    <r>
      <rPr>
        <b/>
        <sz val="10"/>
        <color rgb="FF000000"/>
        <rFont val="Arial"/>
        <family val="2"/>
      </rPr>
      <t xml:space="preserve">Licencié </t>
    </r>
    <r>
      <rPr>
        <sz val="10"/>
        <color rgb="FF000000"/>
        <rFont val="Arial"/>
        <family val="2"/>
      </rPr>
      <t xml:space="preserve">indemnisera et défendra </t>
    </r>
    <r>
      <rPr>
        <b/>
        <sz val="10"/>
        <color rgb="FF000000"/>
        <rFont val="Arial"/>
        <family val="2"/>
      </rPr>
      <t>RNCan</t>
    </r>
    <r>
      <rPr>
        <sz val="10"/>
        <color rgb="FF000000"/>
        <rFont val="Arial"/>
        <family val="2"/>
      </rPr>
      <t xml:space="preserve">, ses employés, ses contractants, ses mandataires et ses fournisseurs en cas de réclamations, demandes, pertes, dommages, coûts (y compris les frais juridiques et les coûts sur une base d’indemnité substantielle), actions, poursuites ou procédures intentées par un tiers, étant de quelque manière que ce soit fondés sur, attribuables à ou issus de la possession, l’utilisation ou de la performance du Logiciel par le </t>
    </r>
    <r>
      <rPr>
        <b/>
        <sz val="10"/>
        <color rgb="FF000000"/>
        <rFont val="Arial"/>
        <family val="2"/>
      </rPr>
      <t>Licencié</t>
    </r>
    <r>
      <rPr>
        <sz val="10"/>
        <color rgb="FF000000"/>
        <rFont val="Arial"/>
        <family val="2"/>
      </rPr>
      <t>, ses employés ou ses mandataires.</t>
    </r>
  </si>
  <si>
    <t xml:space="preserve"> TERMINATION</t>
  </si>
  <si>
    <t>RÉSILIATION</t>
  </si>
  <si>
    <r>
      <rPr>
        <sz val="10"/>
        <color rgb="FF000000"/>
        <rFont val="Arial"/>
        <family val="2"/>
      </rPr>
      <t xml:space="preserve"> Subject to Article 8.2, if the </t>
    </r>
    <r>
      <rPr>
        <b/>
        <sz val="10"/>
        <color rgb="FF000000"/>
        <rFont val="Arial"/>
        <family val="2"/>
      </rPr>
      <t xml:space="preserve">Licensee </t>
    </r>
    <r>
      <rPr>
        <sz val="10"/>
        <color rgb="FF000000"/>
        <rFont val="Arial"/>
        <family val="2"/>
      </rPr>
      <t xml:space="preserve">breaches any obligation under this EULA and fails to remedy the breach within thirty (30) calendar days, the present EULA is deemed to be terminated immediately without any notice. </t>
    </r>
  </si>
  <si>
    <r>
      <rPr>
        <sz val="10"/>
        <color rgb="FF000000"/>
        <rFont val="Arial"/>
        <family val="2"/>
      </rPr>
      <t xml:space="preserve">Sous réserve de l’article 8.2, si le </t>
    </r>
    <r>
      <rPr>
        <b/>
        <sz val="10"/>
        <color rgb="FF000000"/>
        <rFont val="Arial"/>
        <family val="2"/>
      </rPr>
      <t xml:space="preserve">Licencié </t>
    </r>
    <r>
      <rPr>
        <sz val="10"/>
        <color rgb="FF000000"/>
        <rFont val="Arial"/>
        <family val="2"/>
      </rPr>
      <t>manque à une obligation en vertu du présent CLUF et n’y remédie pas dans un délai de trente (30) jours civils, le présent CLUF est réputé avoir été résilié immédiatement sans préavis.</t>
    </r>
  </si>
  <si>
    <t xml:space="preserve"> Notwithstanding any other provisions in this agreement, Articles 3.1 and 3.2 shall survive termination of this EULA.</t>
  </si>
  <si>
    <t xml:space="preserve"> Nonobstant toute autre disposition du présent contrat, les articles 3.1 et 3.2 restent en vigueur après la fin du présent CLUF.
</t>
  </si>
  <si>
    <t xml:space="preserve"> DESTRUCTION </t>
  </si>
  <si>
    <t>DESTRUCTION</t>
  </si>
  <si>
    <r>
      <rPr>
        <sz val="10"/>
        <color rgb="FF000000"/>
        <rFont val="Arial"/>
        <family val="2"/>
      </rPr>
      <t xml:space="preserve">Avant de céder, de vendre ou d’aliéner autrement un médium (électronique ou autre), le </t>
    </r>
    <r>
      <rPr>
        <b/>
        <sz val="10"/>
        <color rgb="FF000000"/>
        <rFont val="Arial"/>
        <family val="2"/>
      </rPr>
      <t>Licencié</t>
    </r>
    <r>
      <rPr>
        <sz val="10"/>
        <color rgb="FF000000"/>
        <rFont val="Arial"/>
        <family val="2"/>
      </rPr>
      <t xml:space="preserve"> doit effacer ou autrement détruire toute version du Logiciel contenue sur ce médium.
</t>
    </r>
  </si>
  <si>
    <r>
      <rPr>
        <sz val="10"/>
        <color rgb="FF000000"/>
        <rFont val="Arial"/>
        <family val="2"/>
      </rPr>
      <t xml:space="preserve"> Upon termination of the Agreement, the </t>
    </r>
    <r>
      <rPr>
        <b/>
        <sz val="10"/>
        <color rgb="FF000000"/>
        <rFont val="Arial"/>
        <family val="2"/>
      </rPr>
      <t>Licensee</t>
    </r>
    <r>
      <rPr>
        <sz val="10"/>
        <color rgb="FF000000"/>
        <rFont val="Arial"/>
        <family val="2"/>
      </rPr>
      <t xml:space="preserve"> agrees to either: </t>
    </r>
  </si>
  <si>
    <r>
      <rPr>
        <sz val="10"/>
        <color rgb="FF000000"/>
        <rFont val="Arial"/>
        <family val="2"/>
      </rPr>
      <t xml:space="preserve">À la résiliation ou à l’expiration du CLUF, le </t>
    </r>
    <r>
      <rPr>
        <b/>
        <sz val="10"/>
        <color rgb="FF000000"/>
        <rFont val="Arial"/>
        <family val="2"/>
      </rPr>
      <t>Licencié</t>
    </r>
    <r>
      <rPr>
        <sz val="10"/>
        <color rgb="FF000000"/>
        <rFont val="Arial"/>
        <family val="2"/>
      </rPr>
      <t xml:space="preserve"> convient de ce qui suit :</t>
    </r>
  </si>
  <si>
    <r>
      <rPr>
        <sz val="10"/>
        <color rgb="FF000000"/>
        <rFont val="Arial"/>
        <family val="2"/>
      </rPr>
      <t xml:space="preserve">(1) retourner immédiatement à </t>
    </r>
    <r>
      <rPr>
        <b/>
        <sz val="10"/>
        <color rgb="FF000000"/>
        <rFont val="Arial"/>
        <family val="2"/>
      </rPr>
      <t>RNCan</t>
    </r>
    <r>
      <rPr>
        <sz val="10"/>
        <color rgb="FF000000"/>
        <rFont val="Arial"/>
        <family val="2"/>
      </rPr>
      <t xml:space="preserve"> toutes les copies du Logiciel et toute documentation connexe, et effacer complètement ou détruire de toute autre manière la copie de sauvegarde du Logiciel prévue à l’article 1.3 sur le médium du Licencié, ou</t>
    </r>
  </si>
  <si>
    <t xml:space="preserve">(2) effacer complètement ou détruire de toute autre manière toutes les copies du Logiciel, y compris, sans toutefois s’y limiter, la copie de sauvegarde prévue à l’article 1.3, ainsi que toute documentation connexe sur le médium du Licencié.
</t>
  </si>
  <si>
    <t xml:space="preserve"> APPLICABLE LAW</t>
  </si>
  <si>
    <t xml:space="preserve"> DROIT APPLICABLE</t>
  </si>
  <si>
    <t xml:space="preserve"> This EULA shall be interpreted in accordance with the provincial or territorial laws in force in Ontario, Canada.</t>
  </si>
  <si>
    <t xml:space="preserve">  Le présent CLUF est interprété conformément aux lois provinciales ou territoriales en vigueur en Ontario, au Canada.</t>
  </si>
  <si>
    <t xml:space="preserve"> NOTICES </t>
  </si>
  <si>
    <t>AVIS</t>
  </si>
  <si>
    <r>
      <t xml:space="preserve">All notices, inquiries and other communications hereunder shall be in writing and shall be deemed to have been duly given once confirmation is received after sending to </t>
    </r>
    <r>
      <rPr>
        <b/>
        <sz val="10"/>
        <color rgb="FF000000"/>
        <rFont val="Arial"/>
        <family val="2"/>
      </rPr>
      <t>NRCan</t>
    </r>
    <r>
      <rPr>
        <sz val="10"/>
        <color rgb="FF000000"/>
        <rFont val="Arial"/>
        <family val="2"/>
      </rPr>
      <t>:</t>
    </r>
  </si>
  <si>
    <r>
      <rPr>
        <sz val="10"/>
        <color rgb="FF000000"/>
        <rFont val="Arial"/>
        <family val="2"/>
      </rPr>
      <t xml:space="preserve">Les avis, les demandes de renseignements et les autres communications mentionnées aux présentes doivent se faire par écrit et sont réputés avoir été dûment donnés une fois que </t>
    </r>
    <r>
      <rPr>
        <b/>
        <sz val="10"/>
        <color rgb="FF000000"/>
        <rFont val="Arial"/>
        <family val="2"/>
      </rPr>
      <t>RNCan</t>
    </r>
    <r>
      <rPr>
        <sz val="10"/>
        <color rgb="FF000000"/>
        <rFont val="Arial"/>
        <family val="2"/>
      </rPr>
      <t xml:space="preserve"> en a confirmé réception:</t>
    </r>
  </si>
  <si>
    <t>Natural Resources Canada</t>
  </si>
  <si>
    <t xml:space="preserve">Ressources naturelles Canada
</t>
  </si>
  <si>
    <t>Intellectual Property Division</t>
  </si>
  <si>
    <t xml:space="preserve">Division de la propriété intellectuelle
</t>
  </si>
  <si>
    <r>
      <rPr>
        <b/>
        <sz val="10"/>
        <color rgb="FF000000"/>
        <rFont val="Arial"/>
        <family val="2"/>
      </rPr>
      <t>NRCan</t>
    </r>
    <r>
      <rPr>
        <sz val="10"/>
        <color rgb="FF000000"/>
        <rFont val="Arial"/>
        <family val="2"/>
      </rPr>
      <t>.ipd-dpi.rncan@canada.ca</t>
    </r>
  </si>
  <si>
    <r>
      <t xml:space="preserve">BY DOWNLOADING, INSTALLING, USING OR COPYING THE SOFTWARE THE </t>
    </r>
    <r>
      <rPr>
        <b/>
        <sz val="10"/>
        <color theme="1"/>
        <rFont val="Arial"/>
        <family val="2"/>
      </rPr>
      <t xml:space="preserve">LICENSEE </t>
    </r>
    <r>
      <rPr>
        <sz val="10"/>
        <color theme="1"/>
        <rFont val="Arial"/>
        <family val="2"/>
      </rPr>
      <t xml:space="preserve">HEREBY AGREES TO ADHERE TO THE TERMS AND CONDITIONS BELOW:
</t>
    </r>
  </si>
  <si>
    <r>
      <t xml:space="preserve">ATTENDU QUE </t>
    </r>
    <r>
      <rPr>
        <b/>
        <sz val="10"/>
        <color theme="1"/>
        <rFont val="Arial"/>
        <family val="2"/>
      </rPr>
      <t>RNCAN</t>
    </r>
    <r>
      <rPr>
        <sz val="10"/>
        <color theme="1"/>
        <rFont val="Arial"/>
        <family val="2"/>
      </rPr>
      <t xml:space="preserve"> AFFIRME QU’IL A TOUS LES POUVOIRS NÉCESSAIRES POUR OCTROYER UNE LICENCE POUR UN ESTIMATEUR D'ÉMISSIONS DE MATIÈRES DE RNCAN, UN CALCULATEUR D'ÉMISSIONS DE MATIÈRES BASÉ SUR EXCEL QUI PERMET AUX UTILISATEURS D'ESTIMER LE PREMIER IMPACT DE CARBONE DE LEURS MAISONS, LE COMPARER AVEC LES ESTIMATIONS OPÉRATIONNELLES DE CARBONE DÉRIVÉES DE HOT2000, ET PERMET À L'INDUSTRIE D'ENVISAGER DES COMPROMIS SUR LES SÉLECTIONS DE MATÉRIAUX AFIN DE RÉDUIRE L'EMPREINTE DE CARBONE DE LA MAISON (ci-après appelé le « Logiciel »)
</t>
    </r>
  </si>
  <si>
    <r>
      <t xml:space="preserve">The </t>
    </r>
    <r>
      <rPr>
        <b/>
        <sz val="10"/>
        <color rgb="FF000000"/>
        <rFont val="Arial"/>
        <family val="2"/>
      </rPr>
      <t xml:space="preserve">Licensee </t>
    </r>
    <r>
      <rPr>
        <sz val="10"/>
        <color rgb="FF000000"/>
        <rFont val="Arial"/>
        <family val="2"/>
      </rPr>
      <t>shall not disclose, modify, sell, sublicense, loan, transfer, reverse-engineer the Software, or otherwise assign any rights under this EULA to any third party.</t>
    </r>
  </si>
  <si>
    <r>
      <t xml:space="preserve">The parties understand and agree that while the </t>
    </r>
    <r>
      <rPr>
        <b/>
        <sz val="10"/>
        <color rgb="FF000000"/>
        <rFont val="Arial"/>
        <family val="2"/>
      </rPr>
      <t xml:space="preserve">Licensee </t>
    </r>
    <r>
      <rPr>
        <sz val="10"/>
        <color rgb="FF000000"/>
        <rFont val="Arial"/>
        <family val="2"/>
      </rPr>
      <t xml:space="preserve">may report any bugs or technical malfunctions in the Software to </t>
    </r>
    <r>
      <rPr>
        <b/>
        <sz val="10"/>
        <color rgb="FF000000"/>
        <rFont val="Arial"/>
        <family val="2"/>
      </rPr>
      <t>NRCan</t>
    </r>
    <r>
      <rPr>
        <sz val="10"/>
        <color rgb="FF000000"/>
        <rFont val="Arial"/>
        <family val="2"/>
      </rPr>
      <t xml:space="preserve">, </t>
    </r>
    <r>
      <rPr>
        <b/>
        <sz val="10"/>
        <color rgb="FF000000"/>
        <rFont val="Arial"/>
        <family val="2"/>
      </rPr>
      <t xml:space="preserve">NRCan </t>
    </r>
    <r>
      <rPr>
        <sz val="10"/>
        <color rgb="FF000000"/>
        <rFont val="Arial"/>
        <family val="2"/>
      </rPr>
      <t>is under no obligation to provide technical support, maintenance services, update services, notices of latent defects, or correction of defects for the Software.</t>
    </r>
  </si>
  <si>
    <r>
      <t xml:space="preserve">The Software is licensed on an "AS IS" basis. </t>
    </r>
    <r>
      <rPr>
        <b/>
        <sz val="10"/>
        <color rgb="FF000000"/>
        <rFont val="Arial"/>
        <family val="2"/>
      </rPr>
      <t xml:space="preserve">NRCan </t>
    </r>
    <r>
      <rPr>
        <sz val="10"/>
        <color rgb="FF000000"/>
        <rFont val="Arial"/>
        <family val="2"/>
      </rPr>
      <t xml:space="preserve">makes no guarantees, representations, or warranties respecting the Software, either express or implied, arising by law or otherwise, including but not limited to effectiveness, completeness, accuracy, or fitness for a particular purpose. </t>
    </r>
  </si>
  <si>
    <r>
      <t xml:space="preserve"> Prior to assigning, selling or otherwise disposing of any media, the </t>
    </r>
    <r>
      <rPr>
        <b/>
        <sz val="10"/>
        <color rgb="FF000000"/>
        <rFont val="Arial"/>
        <family val="2"/>
      </rPr>
      <t xml:space="preserve">Licensee </t>
    </r>
    <r>
      <rPr>
        <sz val="10"/>
        <color rgb="FF000000"/>
        <rFont val="Arial"/>
        <family val="2"/>
      </rPr>
      <t xml:space="preserve">shall completely erase or otherwise destroy any Software contained on such media. </t>
    </r>
  </si>
  <si>
    <t>(2) Completely erase or otherwise destroy all copies of the Software, including but not limited to the backup copy provided for under Article 1.3, as well as any related documentation on the Licensee’s media.</t>
  </si>
  <si>
    <r>
      <t xml:space="preserve">(1) Return to </t>
    </r>
    <r>
      <rPr>
        <b/>
        <sz val="10"/>
        <color rgb="FF000000"/>
        <rFont val="Arial"/>
        <family val="2"/>
      </rPr>
      <t>NRCan</t>
    </r>
    <r>
      <rPr>
        <sz val="10"/>
        <color rgb="FF000000"/>
        <rFont val="Arial"/>
        <family val="2"/>
      </rPr>
      <t xml:space="preserve"> immediately all copies of the Software and any related documentation and completely erase or otherwise destroy the backup copy of the Software provided for under Article 1.3 on the </t>
    </r>
    <r>
      <rPr>
        <b/>
        <sz val="10"/>
        <color rgb="FF000000"/>
        <rFont val="Arial"/>
        <family val="2"/>
      </rPr>
      <t>Licensee’</t>
    </r>
    <r>
      <rPr>
        <sz val="10"/>
        <color rgb="FF000000"/>
        <rFont val="Arial"/>
        <family val="2"/>
      </rPr>
      <t xml:space="preserve">s media; or </t>
    </r>
  </si>
  <si>
    <t>Les émissions de carbone des matériaux (ECM) sont parfois appelé de manière informelle le carbone intrinsèque.  Les ECM diffèrent du carbone intrinsèque en ce sens que les ECM ne comprennent les émissions que des étapes de fabrication du produit (A1 à A3) du cycle de vie du bâtiment (à quelques exceptions près), tandis que le carbone intrinsèque comprend toutes les phases du cycle de vie, à l'exception de B6 (émissions opérationnelles) et B7 (utilisation opérationnelle de l'eau).  Cet estimateur d'émissions de carbone des matériaux calcule les EMC estimés</t>
  </si>
  <si>
    <t>Phases A, B et C de la DEP</t>
  </si>
  <si>
    <t xml:space="preserve">Comprend le cycle de vie complet depuis l'extraction des matières premières de la Terre (le berceau, phase A1 - approvisionnement en matières premières) jusqu'à la fin du processus de fin de vie (la tombe, phase C4 - élimination).  Ne comprend pas la phase D - avantages et charges au-delà du cycle de vie (par exemple, le recyclage).  </t>
  </si>
  <si>
    <t>CI</t>
  </si>
  <si>
    <t>Les émissions de carbone du cycle de vie des matériaux de construction.  Comprend les émissions de toutes les phases du cycle de vie du bâtiment, à l'exception de B6 (émissions opérationnelles) et B7 (utilisation opérationnelle de l'eau).</t>
  </si>
  <si>
    <t>Type</t>
  </si>
  <si>
    <t>Sheet</t>
  </si>
  <si>
    <t>Address</t>
  </si>
  <si>
    <t>Additional Info</t>
  </si>
  <si>
    <t>Value</t>
  </si>
  <si>
    <t>Comment/Title</t>
  </si>
  <si>
    <t>Range</t>
  </si>
  <si>
    <t>A2</t>
  </si>
  <si>
    <t>A3</t>
  </si>
  <si>
    <t>B2</t>
  </si>
  <si>
    <t>Button</t>
  </si>
  <si>
    <t>A4</t>
  </si>
  <si>
    <t>B4</t>
  </si>
  <si>
    <t>B3</t>
  </si>
  <si>
    <t>M3</t>
  </si>
  <si>
    <t>C4</t>
  </si>
  <si>
    <t>Shape</t>
  </si>
  <si>
    <t>Rounded Rectangle 1</t>
  </si>
  <si>
    <t>Press Here to import HOT2000 Data</t>
  </si>
  <si>
    <t>A10</t>
  </si>
  <si>
    <t>B10</t>
  </si>
  <si>
    <t>B11</t>
  </si>
  <si>
    <t>N11</t>
  </si>
  <si>
    <t>B12</t>
  </si>
  <si>
    <t>B13</t>
  </si>
  <si>
    <t>B14</t>
  </si>
  <si>
    <t>B15</t>
  </si>
  <si>
    <t>-</t>
  </si>
  <si>
    <t>N15</t>
  </si>
  <si>
    <t>B16</t>
  </si>
  <si>
    <t>B17</t>
  </si>
  <si>
    <t>B18</t>
  </si>
  <si>
    <t>A20</t>
  </si>
  <si>
    <t>B20</t>
  </si>
  <si>
    <t>B21</t>
  </si>
  <si>
    <t>C21</t>
  </si>
  <si>
    <t>B23</t>
  </si>
  <si>
    <t>B25</t>
  </si>
  <si>
    <t>B26</t>
  </si>
  <si>
    <t>B27</t>
  </si>
  <si>
    <t>B28</t>
  </si>
  <si>
    <t>B29</t>
  </si>
  <si>
    <t>B30</t>
  </si>
  <si>
    <t>B31</t>
  </si>
  <si>
    <t>B32</t>
  </si>
  <si>
    <t>B33</t>
  </si>
  <si>
    <t>B34</t>
  </si>
  <si>
    <t>B35</t>
  </si>
  <si>
    <t>Total exterior wall area (include gable ends; exclude window &amp; door openings). Exclude all garage wall, garage partition wall and party wall areas</t>
  </si>
  <si>
    <t>B37</t>
  </si>
  <si>
    <t>B38</t>
  </si>
  <si>
    <t>B39</t>
  </si>
  <si>
    <t>B40</t>
  </si>
  <si>
    <t>E40</t>
  </si>
  <si>
    <t>B42</t>
  </si>
  <si>
    <t>B43</t>
  </si>
  <si>
    <t>B45</t>
  </si>
  <si>
    <t>B46</t>
  </si>
  <si>
    <t>B47</t>
  </si>
  <si>
    <t>B48</t>
  </si>
  <si>
    <t>B49</t>
  </si>
  <si>
    <t>B50</t>
  </si>
  <si>
    <t>B51</t>
  </si>
  <si>
    <t>A54</t>
  </si>
  <si>
    <t>B54</t>
  </si>
  <si>
    <t>B57</t>
  </si>
  <si>
    <t>A60</t>
  </si>
  <si>
    <t>B63</t>
  </si>
  <si>
    <t>A1</t>
  </si>
  <si>
    <t>D1</t>
  </si>
  <si>
    <t>C3</t>
  </si>
  <si>
    <t>D3</t>
  </si>
  <si>
    <t>H3</t>
  </si>
  <si>
    <t>I3</t>
  </si>
  <si>
    <t>J3</t>
  </si>
  <si>
    <t>K3</t>
  </si>
  <si>
    <t>L3</t>
  </si>
  <si>
    <t>A5</t>
  </si>
  <si>
    <t>D5</t>
  </si>
  <si>
    <t>B6</t>
  </si>
  <si>
    <t>A7</t>
  </si>
  <si>
    <t>A12</t>
  </si>
  <si>
    <t>A14</t>
  </si>
  <si>
    <t>A21</t>
  </si>
  <si>
    <t>A28</t>
  </si>
  <si>
    <t>D34</t>
  </si>
  <si>
    <t>A38</t>
  </si>
  <si>
    <t>A41</t>
  </si>
  <si>
    <t>A43</t>
  </si>
  <si>
    <t>B52</t>
  </si>
  <si>
    <t>A53</t>
  </si>
  <si>
    <t>B59</t>
  </si>
  <si>
    <t>A66</t>
  </si>
  <si>
    <t>D69</t>
  </si>
  <si>
    <t>B74</t>
  </si>
  <si>
    <t>C75</t>
  </si>
  <si>
    <t>B79</t>
  </si>
  <si>
    <t>B81</t>
  </si>
  <si>
    <t>C82</t>
  </si>
  <si>
    <t>B86</t>
  </si>
  <si>
    <t>C87</t>
  </si>
  <si>
    <t>B90</t>
  </si>
  <si>
    <t>B93</t>
  </si>
  <si>
    <t>C94</t>
  </si>
  <si>
    <t>B98</t>
  </si>
  <si>
    <t>C100</t>
  </si>
  <si>
    <t>B104</t>
  </si>
  <si>
    <t>B109</t>
  </si>
  <si>
    <t>C110</t>
  </si>
  <si>
    <t>B117</t>
  </si>
  <si>
    <t>B123</t>
  </si>
  <si>
    <t>A27</t>
  </si>
  <si>
    <t>A29</t>
  </si>
  <si>
    <t>C29</t>
  </si>
  <si>
    <t>C44</t>
  </si>
  <si>
    <t>C49</t>
  </si>
  <si>
    <t>C53</t>
  </si>
  <si>
    <t>B58</t>
  </si>
  <si>
    <t>A63</t>
  </si>
  <si>
    <t>A64</t>
  </si>
  <si>
    <t>A65</t>
  </si>
  <si>
    <t>A71</t>
  </si>
  <si>
    <t>A76</t>
  </si>
  <si>
    <t>D82</t>
  </si>
  <si>
    <t>B83</t>
  </si>
  <si>
    <t>B87</t>
  </si>
  <si>
    <t>D88</t>
  </si>
  <si>
    <t>B89</t>
  </si>
  <si>
    <t>A90</t>
  </si>
  <si>
    <t>C90</t>
  </si>
  <si>
    <t>B96</t>
  </si>
  <si>
    <t>B99</t>
  </si>
  <si>
    <t>B113</t>
  </si>
  <si>
    <t>C114</t>
  </si>
  <si>
    <t>B118</t>
  </si>
  <si>
    <t>B122</t>
  </si>
  <si>
    <t>B127</t>
  </si>
  <si>
    <t>B131</t>
  </si>
  <si>
    <t>C132</t>
  </si>
  <si>
    <t>B140</t>
  </si>
  <si>
    <t>C7</t>
  </si>
  <si>
    <t>A13</t>
  </si>
  <si>
    <t>A15</t>
  </si>
  <si>
    <t>C15</t>
  </si>
  <si>
    <t>F5</t>
  </si>
  <si>
    <t>A11</t>
  </si>
  <si>
    <t>C13</t>
  </si>
  <si>
    <t>A19</t>
  </si>
  <si>
    <t>D19</t>
  </si>
  <si>
    <t>A22</t>
  </si>
  <si>
    <t>C24</t>
  </si>
  <si>
    <t>A25</t>
  </si>
  <si>
    <t>A31</t>
  </si>
  <si>
    <t>A37</t>
  </si>
  <si>
    <t>D37</t>
  </si>
  <si>
    <t>A39</t>
  </si>
  <si>
    <t>A52</t>
  </si>
  <si>
    <t>B53</t>
  </si>
  <si>
    <t>B62</t>
  </si>
  <si>
    <t>D68</t>
  </si>
  <si>
    <t>B69</t>
  </si>
  <si>
    <t>B82</t>
  </si>
  <si>
    <t>C83</t>
  </si>
  <si>
    <t>C88</t>
  </si>
  <si>
    <t>B101</t>
  </si>
  <si>
    <t>B110</t>
  </si>
  <si>
    <t>C111</t>
  </si>
  <si>
    <t>B114</t>
  </si>
  <si>
    <t>C115</t>
  </si>
  <si>
    <t>C121</t>
  </si>
  <si>
    <t>B125</t>
  </si>
  <si>
    <t>C126</t>
  </si>
  <si>
    <t>B130</t>
  </si>
  <si>
    <t>C131</t>
  </si>
  <si>
    <t>A134</t>
  </si>
  <si>
    <t>D134</t>
  </si>
  <si>
    <t>A6</t>
  </si>
  <si>
    <t>A18</t>
  </si>
  <si>
    <t>A24</t>
  </si>
  <si>
    <t>B8</t>
  </si>
  <si>
    <t>A16</t>
  </si>
  <si>
    <t>C22</t>
  </si>
  <si>
    <t>C31</t>
  </si>
  <si>
    <t>A32</t>
  </si>
  <si>
    <t>A40</t>
  </si>
  <si>
    <t>A47</t>
  </si>
  <si>
    <t>D54</t>
  </si>
  <si>
    <t>B55</t>
  </si>
  <si>
    <t>C56</t>
  </si>
  <si>
    <t>C61</t>
  </si>
  <si>
    <t>B68</t>
  </si>
  <si>
    <t>C69</t>
  </si>
  <si>
    <t>B73</t>
  </si>
  <si>
    <t>C74</t>
  </si>
  <si>
    <t>B84</t>
  </si>
  <si>
    <t>C91</t>
  </si>
  <si>
    <t>C97</t>
  </si>
  <si>
    <t>B100</t>
  </si>
  <si>
    <t>C101</t>
  </si>
  <si>
    <t>B106</t>
  </si>
  <si>
    <t>B111</t>
  </si>
  <si>
    <t>C112</t>
  </si>
  <si>
    <t>A120</t>
  </si>
  <si>
    <t>B128</t>
  </si>
  <si>
    <t>B143</t>
  </si>
  <si>
    <t>B155</t>
  </si>
  <si>
    <t>A158</t>
  </si>
  <si>
    <t>C16</t>
  </si>
  <si>
    <t>B19</t>
  </si>
  <si>
    <t>C26</t>
  </si>
  <si>
    <t>A45</t>
  </si>
  <si>
    <t>C12</t>
  </si>
  <si>
    <t>C20</t>
  </si>
  <si>
    <t>C41</t>
  </si>
  <si>
    <t>C59</t>
  </si>
  <si>
    <t>B64</t>
  </si>
  <si>
    <t>B72</t>
  </si>
  <si>
    <t>B75</t>
  </si>
  <si>
    <t>C76</t>
  </si>
  <si>
    <t>D16</t>
  </si>
  <si>
    <t>A26</t>
  </si>
  <si>
    <t>C28</t>
  </si>
  <si>
    <t>A35</t>
  </si>
  <si>
    <t>B36</t>
  </si>
  <si>
    <t>C37</t>
  </si>
  <si>
    <t>B41</t>
  </si>
  <si>
    <t>C42</t>
  </si>
  <si>
    <t>B66</t>
  </si>
  <si>
    <t>C73</t>
  </si>
  <si>
    <t>B77</t>
  </si>
  <si>
    <t>C78</t>
  </si>
  <si>
    <t>B88</t>
  </si>
  <si>
    <t>B91</t>
  </si>
  <si>
    <t>B94</t>
  </si>
  <si>
    <t>C95</t>
  </si>
  <si>
    <t>B105</t>
  </si>
  <si>
    <t>C39</t>
  </si>
  <si>
    <t>B56</t>
  </si>
  <si>
    <t>C57</t>
  </si>
  <si>
    <t>B61</t>
  </si>
  <si>
    <t>D63</t>
  </si>
  <si>
    <t>C65</t>
  </si>
  <si>
    <t>B78</t>
  </si>
  <si>
    <t>B80</t>
  </si>
  <si>
    <t>B92</t>
  </si>
  <si>
    <t>C93</t>
  </si>
  <si>
    <t>B97</t>
  </si>
  <si>
    <t>C104</t>
  </si>
  <si>
    <t>A110</t>
  </si>
  <si>
    <t>B121</t>
  </si>
  <si>
    <t>C122</t>
  </si>
  <si>
    <t>B126</t>
  </si>
  <si>
    <t>C127</t>
  </si>
  <si>
    <t>A135</t>
  </si>
  <si>
    <t>B136</t>
  </si>
  <si>
    <t>D6</t>
  </si>
  <si>
    <t>B7</t>
  </si>
  <si>
    <t>A8</t>
  </si>
  <si>
    <t>D28</t>
  </si>
  <si>
    <t>A33</t>
  </si>
  <si>
    <t>D46</t>
  </si>
  <si>
    <t>A48</t>
  </si>
  <si>
    <t>A50</t>
  </si>
  <si>
    <t>D50</t>
  </si>
  <si>
    <t>A56</t>
  </si>
  <si>
    <t>A78</t>
  </si>
  <si>
    <t>A81</t>
  </si>
  <si>
    <t>C81</t>
  </si>
  <si>
    <t>A89</t>
  </si>
  <si>
    <t>C89</t>
  </si>
  <si>
    <t>A93</t>
  </si>
  <si>
    <t>D93</t>
  </si>
  <si>
    <t>D99</t>
  </si>
  <si>
    <t>C108</t>
  </si>
  <si>
    <t>A114</t>
  </si>
  <si>
    <t>B124</t>
  </si>
  <si>
    <t>A127</t>
  </si>
  <si>
    <t>D136</t>
  </si>
  <si>
    <t>C143</t>
  </si>
  <si>
    <t>B150</t>
  </si>
  <si>
    <t>C151</t>
  </si>
  <si>
    <t>C156</t>
  </si>
  <si>
    <t>B161</t>
  </si>
  <si>
    <t>B169</t>
  </si>
  <si>
    <t>B172</t>
  </si>
  <si>
    <t>A177</t>
  </si>
  <si>
    <t>B178</t>
  </si>
  <si>
    <t>B188</t>
  </si>
  <si>
    <t>C194</t>
  </si>
  <si>
    <t>B198</t>
  </si>
  <si>
    <t>C199</t>
  </si>
  <si>
    <t>A202</t>
  </si>
  <si>
    <t>A203</t>
  </si>
  <si>
    <t>B204</t>
  </si>
  <si>
    <t>C205</t>
  </si>
  <si>
    <t>B209</t>
  </si>
  <si>
    <t>C210</t>
  </si>
  <si>
    <t>B217</t>
  </si>
  <si>
    <t>B222</t>
  </si>
  <si>
    <t>C240</t>
  </si>
  <si>
    <t>B246</t>
  </si>
  <si>
    <t>B252</t>
  </si>
  <si>
    <t>C256</t>
  </si>
  <si>
    <t>B261</t>
  </si>
  <si>
    <t>C274</t>
  </si>
  <si>
    <t>B277</t>
  </si>
  <si>
    <t>B286</t>
  </si>
  <si>
    <t>B328</t>
  </si>
  <si>
    <t>B337</t>
  </si>
  <si>
    <t>B364</t>
  </si>
  <si>
    <t>B369</t>
  </si>
  <si>
    <t>E2</t>
  </si>
  <si>
    <t>E3</t>
  </si>
  <si>
    <t>A9</t>
  </si>
  <si>
    <t>A23</t>
  </si>
  <si>
    <t>C1</t>
  </si>
  <si>
    <t>C2</t>
  </si>
  <si>
    <t>D2</t>
  </si>
  <si>
    <t>F2</t>
  </si>
  <si>
    <t>E5</t>
  </si>
  <si>
    <t>Rectangle 3</t>
  </si>
  <si>
    <t>Project Photo or Image Here
(Insert -&gt; Pictures) </t>
  </si>
  <si>
    <t>F12</t>
  </si>
  <si>
    <r>
      <t>tonnes CO</t>
    </r>
    <r>
      <rPr>
        <b/>
        <vertAlign val="subscript"/>
        <sz val="7"/>
        <color theme="1"/>
        <rFont val="Arial"/>
        <family val="2"/>
      </rPr>
      <t>2</t>
    </r>
    <r>
      <rPr>
        <b/>
        <sz val="7"/>
        <color theme="1"/>
        <rFont val="Arial"/>
        <family val="2"/>
      </rPr>
      <t>e</t>
    </r>
    <r>
      <rPr>
        <b/>
        <vertAlign val="subscript"/>
        <sz val="7"/>
        <color theme="1"/>
        <rFont val="Arial"/>
        <family val="2"/>
      </rPr>
      <t xml:space="preserve"> </t>
    </r>
    <r>
      <rPr>
        <b/>
        <sz val="7"/>
        <color theme="1"/>
        <rFont val="Arial"/>
        <family val="2"/>
      </rPr>
      <t>/ yr</t>
    </r>
  </si>
  <si>
    <r>
      <t>t CO</t>
    </r>
    <r>
      <rPr>
        <b/>
        <vertAlign val="subscript"/>
        <sz val="7"/>
        <color theme="1"/>
        <rFont val="Arial"/>
        <family val="2"/>
      </rPr>
      <t>2</t>
    </r>
    <r>
      <rPr>
        <b/>
        <sz val="7"/>
        <color theme="1"/>
        <rFont val="Arial"/>
        <family val="2"/>
      </rPr>
      <t>e</t>
    </r>
    <r>
      <rPr>
        <b/>
        <vertAlign val="subscript"/>
        <sz val="7"/>
        <color theme="1"/>
        <rFont val="Arial"/>
        <family val="2"/>
      </rPr>
      <t xml:space="preserve"> </t>
    </r>
    <r>
      <rPr>
        <b/>
        <sz val="7"/>
        <color theme="1"/>
        <rFont val="Arial"/>
        <family val="2"/>
      </rPr>
      <t>/ 30 yrs</t>
    </r>
  </si>
  <si>
    <t>Save This Scenario</t>
  </si>
  <si>
    <t>Group 4,Rectangle 35</t>
  </si>
  <si>
    <t>Shape inside another</t>
  </si>
  <si>
    <r>
      <t xml:space="preserve">  Material Carbon Intensity,</t>
    </r>
    <r>
      <rPr>
        <b/>
        <sz val="7"/>
        <color rgb="FF000000"/>
        <rFont val="Calibri"/>
        <family val="2"/>
        <scheme val="minor"/>
      </rPr>
      <t xml:space="preserve"> </t>
    </r>
    <r>
      <rPr>
        <sz val="5"/>
        <color rgb="FF000000"/>
        <rFont val="Calibri"/>
        <family val="2"/>
        <scheme val="minor"/>
      </rPr>
      <t>kg CO</t>
    </r>
    <r>
      <rPr>
        <vertAlign val="subscript"/>
        <sz val="5"/>
        <color rgb="FF000000"/>
        <rFont val="Calibri"/>
        <family val="2"/>
        <scheme val="minor"/>
      </rPr>
      <t>2</t>
    </r>
    <r>
      <rPr>
        <sz val="5"/>
        <color rgb="FF000000"/>
        <rFont val="Calibri"/>
        <family val="2"/>
        <scheme val="minor"/>
      </rPr>
      <t>/m</t>
    </r>
    <r>
      <rPr>
        <b/>
        <vertAlign val="superscript"/>
        <sz val="6"/>
        <color rgb="FF000000"/>
        <rFont val="Calibri"/>
        <family val="2"/>
        <scheme val="minor"/>
      </rPr>
      <t>2</t>
    </r>
  </si>
  <si>
    <t>Chart</t>
  </si>
  <si>
    <t>Title</t>
  </si>
  <si>
    <t>Cumulative Carbon Emissions</t>
  </si>
  <si>
    <t>Y-Axis Label</t>
  </si>
  <si>
    <r>
      <t xml:space="preserve">Global Warming Potential, </t>
    </r>
    <r>
      <rPr>
        <sz val="7"/>
        <color rgb="FF000000"/>
        <rFont val="Calibri"/>
        <family val="2"/>
        <scheme val="minor"/>
      </rPr>
      <t>tonnes CO</t>
    </r>
    <r>
      <rPr>
        <vertAlign val="subscript"/>
        <sz val="7"/>
        <color rgb="FF000000"/>
        <rFont val="Calibri"/>
        <family val="2"/>
        <scheme val="minor"/>
      </rPr>
      <t>2</t>
    </r>
    <r>
      <rPr>
        <sz val="7"/>
        <color rgb="FF000000"/>
        <rFont val="Calibri"/>
        <family val="2"/>
        <scheme val="minor"/>
      </rPr>
      <t>e</t>
    </r>
  </si>
  <si>
    <t>X-Axis Label</t>
  </si>
  <si>
    <t>Years</t>
  </si>
  <si>
    <r>
      <t>Marterial Carbon Emissions, kg CO</t>
    </r>
    <r>
      <rPr>
        <vertAlign val="subscript"/>
        <sz val="12"/>
        <color rgb="FF404040"/>
        <rFont val="Arial"/>
        <family val="2"/>
      </rPr>
      <t>2</t>
    </r>
    <r>
      <rPr>
        <sz val="12"/>
        <color rgb="FF404040"/>
        <rFont val="Arial"/>
        <family val="2"/>
      </rPr>
      <t>e</t>
    </r>
  </si>
  <si>
    <t>btn_reset_1</t>
  </si>
  <si>
    <t>Reset Calculator</t>
  </si>
  <si>
    <t>btn_delete_1</t>
  </si>
  <si>
    <t>Delete Scenario</t>
  </si>
  <si>
    <t>btn_reset_all</t>
  </si>
  <si>
    <t>Recalculate All Scenarios</t>
  </si>
  <si>
    <t>D4</t>
  </si>
  <si>
    <r>
      <t>MCE Total (tonnes CO</t>
    </r>
    <r>
      <rPr>
        <b/>
        <vertAlign val="subscript"/>
        <sz val="10"/>
        <color theme="1"/>
        <rFont val="Arial"/>
        <family val="2"/>
      </rPr>
      <t>2</t>
    </r>
    <r>
      <rPr>
        <b/>
        <sz val="10"/>
        <color theme="1"/>
        <rFont val="Arial"/>
        <family val="2"/>
      </rPr>
      <t>e)</t>
    </r>
  </si>
  <si>
    <t>B22</t>
  </si>
  <si>
    <t>B24</t>
  </si>
  <si>
    <t>B1</t>
  </si>
  <si>
    <t>E1</t>
  </si>
  <si>
    <t>F1</t>
  </si>
  <si>
    <t>G1</t>
  </si>
  <si>
    <t>H1</t>
  </si>
  <si>
    <t>J1</t>
  </si>
  <si>
    <t>J2</t>
  </si>
  <si>
    <t>I1</t>
  </si>
  <si>
    <t>K1</t>
  </si>
  <si>
    <t>L1</t>
  </si>
  <si>
    <t>M1</t>
  </si>
  <si>
    <t>O1</t>
  </si>
  <si>
    <t>P1</t>
  </si>
  <si>
    <t>Q1</t>
  </si>
  <si>
    <t>R1</t>
  </si>
  <si>
    <t>W3</t>
  </si>
  <si>
    <t>X3</t>
  </si>
  <si>
    <t>K16</t>
  </si>
  <si>
    <t>K17</t>
  </si>
  <si>
    <t>K18</t>
  </si>
  <si>
    <t>K19</t>
  </si>
  <si>
    <t>K20</t>
  </si>
  <si>
    <t>K21</t>
  </si>
  <si>
    <t>K22</t>
  </si>
  <si>
    <t>K23</t>
  </si>
  <si>
    <t>K24</t>
  </si>
  <si>
    <t>K25</t>
  </si>
  <si>
    <t>K26</t>
  </si>
  <si>
    <t>K27</t>
  </si>
  <si>
    <t>K28</t>
  </si>
  <si>
    <t>K29</t>
  </si>
  <si>
    <t>N1</t>
  </si>
  <si>
    <t>S1</t>
  </si>
  <si>
    <t>T1</t>
  </si>
  <si>
    <t>U1</t>
  </si>
  <si>
    <t>V1</t>
  </si>
  <si>
    <t>W1</t>
  </si>
  <si>
    <t>X1</t>
  </si>
  <si>
    <t>Y1</t>
  </si>
  <si>
    <t>Z1</t>
  </si>
  <si>
    <t>AA1</t>
  </si>
  <si>
    <t>AB1</t>
  </si>
  <si>
    <t>AC1</t>
  </si>
  <si>
    <t>AD1</t>
  </si>
  <si>
    <t>AE1</t>
  </si>
  <si>
    <t>AF1</t>
  </si>
  <si>
    <t>AG1</t>
  </si>
  <si>
    <t>AH1</t>
  </si>
  <si>
    <t>AI1</t>
  </si>
  <si>
    <t>AJ1</t>
  </si>
  <si>
    <t>AK1</t>
  </si>
  <si>
    <t>AL1</t>
  </si>
  <si>
    <t>AP1</t>
  </si>
  <si>
    <t>E4</t>
  </si>
  <si>
    <t>B5</t>
  </si>
  <si>
    <t>C6</t>
  </si>
  <si>
    <t>B9</t>
  </si>
  <si>
    <t>C10</t>
  </si>
  <si>
    <t>C11</t>
  </si>
  <si>
    <t>C14</t>
  </si>
  <si>
    <t>D14</t>
  </si>
  <si>
    <t>D15</t>
  </si>
  <si>
    <t>C17</t>
  </si>
  <si>
    <t>D17</t>
  </si>
  <si>
    <t>C18</t>
  </si>
  <si>
    <t>D18</t>
  </si>
  <si>
    <t>C19</t>
  </si>
  <si>
    <t>D20</t>
  </si>
  <si>
    <t>D21</t>
  </si>
  <si>
    <t>D22</t>
  </si>
  <si>
    <t>E22</t>
  </si>
  <si>
    <t>C23</t>
  </si>
  <si>
    <t>D23</t>
  </si>
  <si>
    <t>D24</t>
  </si>
  <si>
    <t>C25</t>
  </si>
  <si>
    <t>D25</t>
  </si>
  <si>
    <t>D27</t>
  </si>
  <si>
    <t>E28</t>
  </si>
  <si>
    <t>D29</t>
  </si>
  <si>
    <t>E29</t>
  </si>
  <si>
    <t>D30</t>
  </si>
  <si>
    <t>C32</t>
  </si>
  <si>
    <t>E32</t>
  </si>
  <si>
    <t>C33</t>
  </si>
  <si>
    <t>D33</t>
  </si>
  <si>
    <t>E33</t>
  </si>
  <si>
    <t>E34</t>
  </si>
  <si>
    <t>D35</t>
  </si>
  <si>
    <t>E35</t>
  </si>
  <si>
    <t>C36</t>
  </si>
  <si>
    <t>D36</t>
  </si>
  <si>
    <t>E36</t>
  </si>
  <si>
    <t>E38</t>
  </si>
  <si>
    <t>E39</t>
  </si>
  <si>
    <t>D40</t>
  </si>
  <si>
    <t>E42</t>
  </si>
  <si>
    <t>C43</t>
  </si>
  <si>
    <t>E43</t>
  </si>
  <si>
    <t>B44</t>
  </si>
  <si>
    <t>C45</t>
  </si>
  <si>
    <t>D45</t>
  </si>
  <si>
    <t>E45</t>
  </si>
  <si>
    <t>E46</t>
  </si>
  <si>
    <t>D47</t>
  </si>
  <si>
    <t>E47</t>
  </si>
  <si>
    <t>D49</t>
  </si>
  <si>
    <t>C50</t>
  </si>
  <si>
    <t>C52</t>
  </si>
  <si>
    <t>D52</t>
  </si>
  <si>
    <t>E56</t>
  </si>
  <si>
    <t>D57</t>
  </si>
  <si>
    <t>C58</t>
  </si>
  <si>
    <t>D58</t>
  </si>
  <si>
    <t>C60</t>
  </si>
  <si>
    <t>D61</t>
  </si>
  <si>
    <t>C62</t>
  </si>
  <si>
    <t>C63</t>
  </si>
  <si>
    <t>C64</t>
  </si>
  <si>
    <t>D64</t>
  </si>
  <si>
    <t>D66</t>
  </si>
  <si>
    <t>C68</t>
  </si>
  <si>
    <t>C72</t>
  </si>
  <si>
    <t>D72</t>
  </si>
  <si>
    <t>D73</t>
  </si>
  <si>
    <t>D74</t>
  </si>
  <si>
    <t>B76</t>
  </si>
  <si>
    <t>C77</t>
  </si>
  <si>
    <t>D77</t>
  </si>
  <si>
    <t>D78</t>
  </si>
  <si>
    <t>C79</t>
  </si>
  <si>
    <t>D79</t>
  </si>
  <si>
    <t>C80</t>
  </si>
  <si>
    <t>D80</t>
  </si>
  <si>
    <t>D81</t>
  </si>
  <si>
    <t>D83</t>
  </si>
  <si>
    <t>C84</t>
  </si>
  <si>
    <t>D84</t>
  </si>
  <si>
    <t>B85</t>
  </si>
  <si>
    <t>C85</t>
  </si>
  <si>
    <t>D85</t>
  </si>
  <si>
    <t>C86</t>
  </si>
  <si>
    <t>D86</t>
  </si>
  <si>
    <t>D87</t>
  </si>
  <si>
    <t>D89</t>
  </si>
  <si>
    <t>D90</t>
  </si>
  <si>
    <t>D91</t>
  </si>
  <si>
    <t>C92</t>
  </si>
  <si>
    <t>D92</t>
  </si>
  <si>
    <t>B95</t>
  </si>
  <si>
    <t>C96</t>
  </si>
  <si>
    <t>C98</t>
  </si>
  <si>
    <t>D98</t>
  </si>
  <si>
    <t>C99</t>
  </si>
  <si>
    <t>D100</t>
  </si>
  <si>
    <t>D101</t>
  </si>
  <si>
    <t>B102</t>
  </si>
  <si>
    <t>C102</t>
  </si>
  <si>
    <t>D102</t>
  </si>
  <si>
    <t>D104</t>
  </si>
  <si>
    <t>D105</t>
  </si>
  <si>
    <t>C106</t>
  </si>
  <si>
    <t>D106</t>
  </si>
  <si>
    <t>E106</t>
  </si>
  <si>
    <t>B108</t>
  </si>
  <si>
    <t>D108</t>
  </si>
  <si>
    <t>E108</t>
  </si>
  <si>
    <t>C109</t>
  </si>
  <si>
    <t>E109</t>
  </si>
  <si>
    <t>E110</t>
  </si>
  <si>
    <t>E111</t>
  </si>
  <si>
    <t>B112</t>
  </si>
  <si>
    <t>E112</t>
  </si>
  <si>
    <t>C113</t>
  </si>
  <si>
    <t>D113</t>
  </si>
  <si>
    <t>E113</t>
  </si>
  <si>
    <t>D115</t>
  </si>
  <si>
    <t>C118</t>
  </si>
  <si>
    <t>B119</t>
  </si>
  <si>
    <t>D119</t>
  </si>
  <si>
    <t>C120</t>
  </si>
  <si>
    <t>E121</t>
  </si>
  <si>
    <t>C125</t>
  </si>
  <si>
    <t>E125</t>
  </si>
  <si>
    <t>D126</t>
  </si>
  <si>
    <t>C128</t>
  </si>
  <si>
    <t>B129</t>
  </si>
  <si>
    <t>B132</t>
  </si>
  <si>
    <t>D132</t>
  </si>
  <si>
    <t>B133</t>
  </si>
  <si>
    <t>C133</t>
  </si>
  <si>
    <t>D133</t>
  </si>
  <si>
    <t>E133</t>
  </si>
  <si>
    <t>B134</t>
  </si>
  <si>
    <t>C134</t>
  </si>
  <si>
    <t>E134</t>
  </si>
  <si>
    <t>B135</t>
  </si>
  <si>
    <t>C135</t>
  </si>
  <si>
    <t>D135</t>
  </si>
  <si>
    <t>E135</t>
  </si>
  <si>
    <t>C136</t>
  </si>
  <si>
    <t>E136</t>
  </si>
  <si>
    <t>D138</t>
  </si>
  <si>
    <t>C140</t>
  </si>
  <si>
    <t>D140</t>
  </si>
  <si>
    <t>E140</t>
  </si>
  <si>
    <t>C141</t>
  </si>
  <si>
    <t>D143</t>
  </si>
  <si>
    <t>E143</t>
  </si>
  <si>
    <t>B144</t>
  </si>
  <si>
    <t>C144</t>
  </si>
  <si>
    <t>E144</t>
  </si>
  <si>
    <t>B145</t>
  </si>
  <si>
    <t>C145</t>
  </si>
  <si>
    <t>D145</t>
  </si>
  <si>
    <t>E145</t>
  </si>
  <si>
    <t>B146</t>
  </si>
  <si>
    <t>C146</t>
  </si>
  <si>
    <t>D146</t>
  </si>
  <si>
    <t>E146</t>
  </si>
  <si>
    <t>D148</t>
  </si>
  <si>
    <t>B149</t>
  </si>
  <si>
    <t>C149</t>
  </si>
  <si>
    <t>D149</t>
  </si>
  <si>
    <t>E149</t>
  </si>
  <si>
    <t>C150</t>
  </si>
  <si>
    <t>D150</t>
  </si>
  <si>
    <t>E150</t>
  </si>
  <si>
    <t>B153</t>
  </si>
  <si>
    <t>C155</t>
  </si>
  <si>
    <t>B157</t>
  </si>
  <si>
    <t>C157</t>
  </si>
  <si>
    <t>D157</t>
  </si>
  <si>
    <t>E157</t>
  </si>
  <si>
    <t>B158</t>
  </si>
  <si>
    <t>C158</t>
  </si>
  <si>
    <t>D158</t>
  </si>
  <si>
    <t>E158</t>
  </si>
  <si>
    <t>B159</t>
  </si>
  <si>
    <t>C159</t>
  </si>
  <si>
    <t>B160</t>
  </si>
  <si>
    <t>C160</t>
  </si>
  <si>
    <t>C161</t>
  </si>
  <si>
    <t>B162</t>
  </si>
  <si>
    <t>B163</t>
  </si>
  <si>
    <t>C163</t>
  </si>
  <si>
    <t>E163</t>
  </si>
  <si>
    <t>B165</t>
  </si>
  <si>
    <t>C165</t>
  </si>
  <si>
    <t>D165</t>
  </si>
  <si>
    <t>E165</t>
  </si>
  <si>
    <t>B167</t>
  </si>
  <si>
    <t>B168</t>
  </si>
  <si>
    <t>C168</t>
  </si>
  <si>
    <t>C169</t>
  </si>
  <si>
    <t>B170</t>
  </si>
  <si>
    <t>C170</t>
  </si>
  <si>
    <t>D170</t>
  </si>
  <si>
    <t>B174</t>
  </si>
  <si>
    <t>D174</t>
  </si>
  <si>
    <t>B175</t>
  </si>
  <si>
    <t>D175</t>
  </si>
  <si>
    <t>B176</t>
  </si>
  <si>
    <t>B177</t>
  </si>
  <si>
    <t>B181</t>
  </si>
  <si>
    <t>B183</t>
  </si>
  <si>
    <t>B184</t>
  </si>
  <si>
    <t>C184</t>
  </si>
  <si>
    <t>E184</t>
  </si>
  <si>
    <t>B185</t>
  </si>
  <si>
    <t>B186</t>
  </si>
  <si>
    <t>B187</t>
  </si>
  <si>
    <t>C188</t>
  </si>
  <si>
    <t>E188</t>
  </si>
  <si>
    <t>B191</t>
  </si>
  <si>
    <t>C191</t>
  </si>
  <si>
    <t>B192</t>
  </si>
  <si>
    <t>C192</t>
  </si>
  <si>
    <t>B194</t>
  </si>
  <si>
    <t>D194</t>
  </si>
  <si>
    <t>B195</t>
  </si>
  <si>
    <t>C195</t>
  </si>
  <si>
    <t>C198</t>
  </si>
  <si>
    <t>B199</t>
  </si>
  <si>
    <t>B201</t>
  </si>
  <si>
    <t>B202</t>
  </si>
  <si>
    <t>C202</t>
  </si>
  <si>
    <t>E202</t>
  </si>
  <si>
    <t>C204</t>
  </si>
  <si>
    <t>E204</t>
  </si>
  <si>
    <t>B205</t>
  </si>
  <si>
    <t>E205</t>
  </si>
  <si>
    <t>B206</t>
  </si>
  <si>
    <t>C206</t>
  </si>
  <si>
    <t>E206</t>
  </si>
  <si>
    <t>C209</t>
  </si>
  <si>
    <t>B210</t>
  </si>
  <si>
    <t>B211</t>
  </si>
  <si>
    <t>D211</t>
  </si>
  <si>
    <t>E211</t>
  </si>
  <si>
    <t>B213</t>
  </si>
  <si>
    <t>C213</t>
  </si>
  <si>
    <t>B215</t>
  </si>
  <si>
    <t>C215</t>
  </si>
  <si>
    <t>E215</t>
  </si>
  <si>
    <t>C217</t>
  </si>
  <si>
    <t>D217</t>
  </si>
  <si>
    <t>B219</t>
  </si>
  <si>
    <t>C219</t>
  </si>
  <si>
    <t>B221</t>
  </si>
  <si>
    <t>C221</t>
  </si>
  <si>
    <t>C222</t>
  </si>
  <si>
    <t>E222</t>
  </si>
  <si>
    <t>B224</t>
  </si>
  <si>
    <t>C224</t>
  </si>
  <si>
    <t>D224</t>
  </si>
  <si>
    <t>E224</t>
  </si>
  <si>
    <t>B229</t>
  </si>
  <si>
    <t>E229</t>
  </si>
  <si>
    <t>B232</t>
  </si>
  <si>
    <t>E232</t>
  </si>
  <si>
    <t>B234</t>
  </si>
  <si>
    <t>B235</t>
  </si>
  <si>
    <t>B237</t>
  </si>
  <si>
    <t>C237</t>
  </si>
  <si>
    <t>B238</t>
  </si>
  <si>
    <t>C238</t>
  </si>
  <si>
    <t>B240</t>
  </si>
  <si>
    <t>B241</t>
  </si>
  <si>
    <t>B242</t>
  </si>
  <si>
    <t>E242</t>
  </si>
  <si>
    <t>B243</t>
  </si>
  <si>
    <t>C243</t>
  </si>
  <si>
    <t>D243</t>
  </si>
  <si>
    <t>B244</t>
  </si>
  <si>
    <t>B247</t>
  </si>
  <si>
    <t>B248</t>
  </si>
  <si>
    <t>B249</t>
  </si>
  <si>
    <t>B253</t>
  </si>
  <si>
    <t>B256</t>
  </si>
  <si>
    <t>B258</t>
  </si>
  <si>
    <t>C258</t>
  </si>
  <si>
    <t>B260</t>
  </si>
  <si>
    <t>B264</t>
  </si>
  <si>
    <t>B268</t>
  </si>
  <si>
    <t>C27</t>
  </si>
  <si>
    <t>Scenario name</t>
  </si>
  <si>
    <t>Scenario Name</t>
  </si>
  <si>
    <t>Valeur</t>
  </si>
  <si>
    <t>Contenu de projet carbone</t>
  </si>
  <si>
    <t>Appuyez ici pour importer les données HOT2000</t>
  </si>
  <si>
    <t>Élec. kWh/an</t>
  </si>
  <si>
    <t>Remarque : le kg/m2 est calculé à partir du total de kg divisé par la surface habitable</t>
  </si>
  <si>
    <t>Propane, l/an</t>
  </si>
  <si>
    <t>Mazout, l/an</t>
  </si>
  <si>
    <t>Bois, kg/an</t>
  </si>
  <si>
    <t>Pour remplacer l’intensité des émissions de GES, utilisez l’onglet émission de GES (énergie).</t>
  </si>
  <si>
    <t>Émissions opérationnelles</t>
  </si>
  <si>
    <t>Adresse :</t>
  </si>
  <si>
    <t>Province :</t>
  </si>
  <si>
    <t>Ville :</t>
  </si>
  <si>
    <t>Code postal :</t>
  </si>
  <si>
    <t>Type de bâtiment :</t>
  </si>
  <si>
    <t>Date d’évaluation :</t>
  </si>
  <si>
    <t>Étages :</t>
  </si>
  <si>
    <t>ID du fichier :</t>
  </si>
  <si>
    <t>Émissions provenant de matériaux</t>
  </si>
  <si>
    <t>Année de construction :</t>
  </si>
  <si>
    <r>
      <t>tonnes CO</t>
    </r>
    <r>
      <rPr>
        <b/>
        <vertAlign val="subscript"/>
        <sz val="12"/>
        <color theme="1"/>
        <rFont val="Arial"/>
        <family val="2"/>
      </rPr>
      <t>2</t>
    </r>
    <r>
      <rPr>
        <b/>
        <sz val="12"/>
        <color theme="1"/>
        <rFont val="Arial"/>
        <family val="2"/>
      </rPr>
      <t>e</t>
    </r>
  </si>
  <si>
    <r>
      <t>kg CO</t>
    </r>
    <r>
      <rPr>
        <b/>
        <vertAlign val="subscript"/>
        <sz val="12"/>
        <rFont val="Arial"/>
        <family val="2"/>
      </rPr>
      <t>2</t>
    </r>
    <r>
      <rPr>
        <b/>
        <sz val="12"/>
        <rFont val="Arial"/>
        <family val="2"/>
      </rPr>
      <t>e/m</t>
    </r>
    <r>
      <rPr>
        <b/>
        <vertAlign val="superscript"/>
        <sz val="12"/>
        <rFont val="Arial"/>
        <family val="2"/>
      </rPr>
      <t>2</t>
    </r>
  </si>
  <si>
    <t>Nombre de degrés-jours de chauffage :</t>
  </si>
  <si>
    <r>
      <t xml:space="preserve">Les valeurs HOT2000 sont importées dans les cellules </t>
    </r>
    <r>
      <rPr>
        <b/>
        <sz val="11"/>
        <color theme="4"/>
        <rFont val="Arial"/>
        <family val="2"/>
      </rPr>
      <t>BLEUES</t>
    </r>
    <r>
      <rPr>
        <sz val="11"/>
        <color theme="1"/>
        <rFont val="Arial"/>
        <family val="2"/>
      </rPr>
      <t xml:space="preserve"> ci-dessous.
Si aucun fichier HOT2000 n'est importé, inscrire les valeurs dans les cellules </t>
    </r>
    <r>
      <rPr>
        <b/>
        <sz val="11"/>
        <color theme="4"/>
        <rFont val="Arial"/>
        <family val="2"/>
      </rPr>
      <t>BLEUES</t>
    </r>
    <r>
      <rPr>
        <sz val="11"/>
        <color theme="1"/>
        <rFont val="Arial"/>
        <family val="2"/>
      </rPr>
      <t>.</t>
    </r>
  </si>
  <si>
    <t>VOS DONNÉES</t>
  </si>
  <si>
    <t>AIRE/VOLUME</t>
  </si>
  <si>
    <t>UNITÉ</t>
  </si>
  <si>
    <t>SEMELLES, SOCLES ET PILIERS</t>
  </si>
  <si>
    <t>SURFACE DE MUR DE FONDATION</t>
  </si>
  <si>
    <t>SURFACE DE LA DALLE DE FONDATION/DU PLANCHER</t>
  </si>
  <si>
    <t>SURFACE DE MUR EXTÉRIEUR</t>
  </si>
  <si>
    <t>SURFACE DE FENÊTRES</t>
  </si>
  <si>
    <t>SURFACE DE MUR INTÉRIEUR</t>
  </si>
  <si>
    <t>AIRE DE PLANCHER ENCADRÉ</t>
  </si>
  <si>
    <t>SURFACE DE TOIT</t>
  </si>
  <si>
    <t>SURFACE D’ISOLATION DU TOIT</t>
  </si>
  <si>
    <t>ÉLÉMENTS EN BOIS LOURD</t>
  </si>
  <si>
    <t>SURFACE DE MUR MITOYEN</t>
  </si>
  <si>
    <t>Longueur de la semelle</t>
  </si>
  <si>
    <t>Profondeur de la semelle</t>
  </si>
  <si>
    <t>Largeur de la semelle</t>
  </si>
  <si>
    <t>Mur de fondation, isolation extérieure continue, charpente intérieure, isolation intérieure, finition des murs intérieurs</t>
  </si>
  <si>
    <t>Dalle, base d’agrégats, isolation de la sous-dalle, plancher de sous-sol</t>
  </si>
  <si>
    <t>Charpente, isolation, revêtement, bardage extérieur, revêtement intérieur des murs extérieurs uniquement</t>
  </si>
  <si>
    <t>Encadrement, isolation et revêtement intérieur des murs intérieurs</t>
  </si>
  <si>
    <t>Encadrement du plancher, sous-plancher, isolation du plancher, revêtement de sol</t>
  </si>
  <si>
    <t>Revêtement de plafond</t>
  </si>
  <si>
    <t>Charpente du toit, platelage, toiture et isolation parallèle à la terrasse du toit</t>
  </si>
  <si>
    <t>Isolation de la toiture parallèle au plafond</t>
  </si>
  <si>
    <t>Éléments de charpente en bois lourd (poteaux, poutres, etc.)</t>
  </si>
  <si>
    <t>Encadrement des murs mitoyens, isolation, revêtement, revêtement intérieur</t>
  </si>
  <si>
    <t>Total des mètres cubes de toutes les semelles, piliers et poteaux</t>
  </si>
  <si>
    <t>Surface totale du mur (sans les fenêtres et les portes)</t>
  </si>
  <si>
    <t>Mètres carrés</t>
  </si>
  <si>
    <t>Superficie totale des murs extérieurs (y compris les extrémités des pignons ; exclure les ouvertures de fenêtres et de portes). Exclure tous les murs de garage, les cloisons de garage et les murs mitoyens.</t>
  </si>
  <si>
    <t>Mètres carrés (y compris la surface totale des unités de vitrage)</t>
  </si>
  <si>
    <t>Mètres carrés (un seul côté) de tous les murs intérieurs. La quantité sera doublée pour les matériaux de revêtement.</t>
  </si>
  <si>
    <t>Mètres carrés (comprend tous les niveaux, exclut la dalle du sous-sol, les escaliers et autres ouvertures)</t>
  </si>
  <si>
    <t>Mètres carrés (tous les niveaux ; inclure le plafond du sous-sol, le cas échéant)</t>
  </si>
  <si>
    <t>Mètres carrés (inclure les toits en pente et les toits plats ; exclure les surplombs et les pignons)</t>
  </si>
  <si>
    <t>Mètres carrés d’isolation dans la cavité du toit. En général, cette surface est égale à celle du plancher du grenier ou du plafond du dernier étage.</t>
  </si>
  <si>
    <t>Mètres cubes du volume total de bois dans les poteaux et les poutres. (saisie des éléments en acier lourd dans l’onglet Éléments de structure)</t>
  </si>
  <si>
    <t>Mètres carrés de surface de mur qui séparent un logement d’un autre. Utilisé pour les logements en rangée, les appartements, etc.</t>
  </si>
  <si>
    <r>
      <t xml:space="preserve">Si ce bâtiment a un </t>
    </r>
    <r>
      <rPr>
        <b/>
        <sz val="11"/>
        <color theme="1"/>
        <rFont val="Arial"/>
        <family val="2"/>
      </rPr>
      <t>GARAGE</t>
    </r>
    <r>
      <rPr>
        <sz val="11"/>
        <color theme="1"/>
        <rFont val="Arial"/>
        <family val="2"/>
      </rPr>
      <t>, cliquez sur le symbole</t>
    </r>
    <r>
      <rPr>
        <b/>
        <sz val="11"/>
        <color theme="1"/>
        <rFont val="Arial"/>
        <family val="2"/>
      </rPr>
      <t xml:space="preserve"> PLUS </t>
    </r>
    <r>
      <rPr>
        <sz val="11"/>
        <color theme="1"/>
        <rFont val="Arial"/>
        <family val="2"/>
      </rPr>
      <t>à gauche pour faire ressortir la section pour le garage.</t>
    </r>
  </si>
  <si>
    <t>QUANTITÉ</t>
  </si>
  <si>
    <t>ZONE MURALE DU GARAGE ATTACHÉ</t>
  </si>
  <si>
    <t>SEMELLES ET SOCLES DU GARAGE</t>
  </si>
  <si>
    <t>SURFACE DE MUR DE FONDATION DU GARAGE</t>
  </si>
  <si>
    <t>SURFACE DE LA DALLE DE GARAGE/DU PLANCHER</t>
  </si>
  <si>
    <t>SURFACE DE MUR EXTÉRIEUR DU GARAGE</t>
  </si>
  <si>
    <t>SURFACE DE FENÊTRES DU GARAGE</t>
  </si>
  <si>
    <t>SURFACE DU PLAFOND FINI DU GARAGE</t>
  </si>
  <si>
    <t>SURFACE DE TOITURE DU GARAGE</t>
  </si>
  <si>
    <t>BOIS LOURDS DE GARAGE</t>
  </si>
  <si>
    <t>Encadrement des murs extérieurs, revêtement des murs intérieurs, isolation des cloisons (survoler le curseur pour plus de détails)</t>
  </si>
  <si>
    <t>Mur de fondation du garage, charpente intérieure, finition des murs intérieurs</t>
  </si>
  <si>
    <t>Dalle, base de granulats</t>
  </si>
  <si>
    <t>Charpente, revêtement, bardage extérieur, bardage intérieur</t>
  </si>
  <si>
    <t>Charpente de toit, platelage, couverture. Utilisateurs de HOT2000 : voir la note (survoler le curseur pour plus de détails)</t>
  </si>
  <si>
    <t>Mètres cubes. N’inclure que le volume supplémentaire aux semelles, socles et piliers du bâtiment principal.</t>
  </si>
  <si>
    <t>Mètres carrés (sans les fenêtres et les portes). N’inclure que la zone de fondation supplémentaire à la fondation du bâtiment principal.</t>
  </si>
  <si>
    <r>
      <t xml:space="preserve">Superficie du mur extérieur du garage (y compris la superficie du pignon, à l'exclusion des ouvertures de fenêtres et de portes) </t>
    </r>
    <r>
      <rPr>
        <b/>
        <sz val="12"/>
        <color rgb="FF000000"/>
        <rFont val="Arial"/>
        <family val="2"/>
      </rPr>
      <t xml:space="preserve"> SANS</t>
    </r>
    <r>
      <rPr>
        <sz val="12"/>
        <color rgb="FF000000"/>
        <rFont val="Arial"/>
        <family val="2"/>
      </rPr>
      <t xml:space="preserve"> les ouvertures de fenêtres et de portes.</t>
    </r>
  </si>
  <si>
    <t>Mètres carrés (surface totale des unités de vitrage)</t>
  </si>
  <si>
    <t>Mètres carrés (tous les niveaux)</t>
  </si>
  <si>
    <t>Mètres carrés (y compris les toits en pente et les toits plats ; sans les surplombs)</t>
  </si>
  <si>
    <t xml:space="preserve">      Définissez tous les assemblages de bâtiments dans les onglets de sections de bâtiments suivants.</t>
  </si>
  <si>
    <t xml:space="preserve">      Passez en revue les matériaux sélectionnés dans l’onglet RÉVISION.</t>
  </si>
  <si>
    <t xml:space="preserve">      Consultez le rapport sur les émissions de carbone dans les onglets RÉSULTATS.</t>
  </si>
  <si>
    <r>
      <rPr>
        <b/>
        <i/>
        <sz val="12"/>
        <color theme="1"/>
        <rFont val="Arial"/>
        <family val="2"/>
      </rPr>
      <t>Notes utiles :</t>
    </r>
    <r>
      <rPr>
        <i/>
        <sz val="12"/>
        <color theme="1"/>
        <rFont val="Arial"/>
        <family val="2"/>
      </rPr>
      <t xml:space="preserve">
- L'onglet  Glossaire contient une description des termes et sigles peu connus.
- Utilisez l'onglet </t>
    </r>
    <r>
      <rPr>
        <b/>
        <i/>
        <sz val="12"/>
        <color theme="1"/>
        <rFont val="Arial"/>
        <family val="2"/>
      </rPr>
      <t>Défini par l'utilisateur</t>
    </r>
    <r>
      <rPr>
        <i/>
        <sz val="12"/>
        <color theme="1"/>
        <rFont val="Arial"/>
        <family val="2"/>
      </rPr>
      <t xml:space="preserve">  pour tout matériel que vous souhaitez ajouter, mais qui n'a pas pu être inclus dans les onglets de section.
- Pour passer à un onglet, cliquez à droite sur les flèches dans le coin inférieur gauche et sélectionnez l'onglet.
- L'espacement des Charpentes est de </t>
    </r>
    <r>
      <rPr>
        <b/>
        <i/>
        <sz val="12"/>
        <color theme="1"/>
        <rFont val="Arial"/>
        <family val="2"/>
      </rPr>
      <t xml:space="preserve"> 24 </t>
    </r>
    <r>
      <rPr>
        <i/>
        <sz val="12"/>
        <color theme="1"/>
        <rFont val="Arial"/>
        <family val="2"/>
      </rPr>
      <t xml:space="preserve">pouces au centre par défaut, même si la valeur </t>
    </r>
    <r>
      <rPr>
        <b/>
        <i/>
        <sz val="12"/>
        <color theme="1"/>
        <rFont val="Arial"/>
        <family val="2"/>
      </rPr>
      <t xml:space="preserve"> Espacement des Charpentes</t>
    </r>
    <r>
      <rPr>
        <i/>
        <sz val="12"/>
        <color theme="1"/>
        <rFont val="Arial"/>
        <family val="2"/>
      </rPr>
      <t xml:space="preserve"> est vide.</t>
    </r>
  </si>
  <si>
    <t>SECTION 1 ➜ COMPOSANTS ET MATÉRIAUX POUR LES</t>
  </si>
  <si>
    <t>FONDATION – SEMELLES ET DALLES</t>
  </si>
  <si>
    <t>CATÉGORIE</t>
  </si>
  <si>
    <t>MATÉRIAU</t>
  </si>
  <si>
    <t xml:space="preserve"> SÉLECTIONNER</t>
  </si>
  <si>
    <r>
      <t>ÉMISSIONS NETTES kgCO</t>
    </r>
    <r>
      <rPr>
        <b/>
        <vertAlign val="subscript"/>
        <sz val="14"/>
        <color rgb="FFFFFFFF"/>
        <rFont val="Arial"/>
        <family val="2"/>
      </rPr>
      <t>2</t>
    </r>
    <r>
      <rPr>
        <b/>
        <sz val="14"/>
        <color rgb="FFFFFFFF"/>
        <rFont val="Arial"/>
        <family val="2"/>
      </rPr>
      <t>e</t>
    </r>
  </si>
  <si>
    <r>
      <t>CONTENU DE kgCO</t>
    </r>
    <r>
      <rPr>
        <b/>
        <vertAlign val="subscript"/>
        <sz val="14"/>
        <color rgb="FFFFFFFF"/>
        <rFont val="Arial"/>
        <family val="2"/>
      </rPr>
      <t>2</t>
    </r>
    <r>
      <rPr>
        <b/>
        <sz val="14"/>
        <color rgb="FFFFFFFF"/>
        <rFont val="Arial"/>
        <family val="2"/>
      </rPr>
      <t>e DANS LE MATÉRIAU SÉLECTIONNÉ</t>
    </r>
  </si>
  <si>
    <r>
      <t>ÉMISSIONS EN kgCO</t>
    </r>
    <r>
      <rPr>
        <b/>
        <vertAlign val="subscript"/>
        <sz val="14"/>
        <color rgb="FFFFFFFF"/>
        <rFont val="Arial"/>
        <family val="2"/>
      </rPr>
      <t>2</t>
    </r>
    <r>
      <rPr>
        <b/>
        <sz val="14"/>
        <color rgb="FFFFFFFF"/>
        <rFont val="Arial"/>
        <family val="2"/>
      </rPr>
      <t xml:space="preserve">e </t>
    </r>
  </si>
  <si>
    <t>BASE DE PIERRE CONCASSÉE</t>
  </si>
  <si>
    <t>ÉPAISSEUR :</t>
  </si>
  <si>
    <t>AGGRÉGAT</t>
  </si>
  <si>
    <t>Si vous ne connaissez pas l’empreinte carbone spécifique de votre agrégat, choisissez la valeur « MOYENNE ».</t>
  </si>
  <si>
    <t>SEMELLES, PILIERS ET SOCLES</t>
  </si>
  <si>
    <t>BÉTON –25 MPa ou moins</t>
  </si>
  <si>
    <t>Les spécifications du mélange de béton font une grande différence dans l’empreinte carbone. Les spécifications du mélange présentées ici peuvent être utilisées pour discuter des options de mélange à faible teneur en carbone avec votre fournisseur.</t>
  </si>
  <si>
    <t>BÉTON –26-30 MPa</t>
  </si>
  <si>
    <t>BÉTON –31-35 MPa</t>
  </si>
  <si>
    <t>BARRE D’ARMATURE</t>
  </si>
  <si>
    <t>LONGUEUR ADAPTÉE</t>
  </si>
  <si>
    <t>BARRE D’ARMATURE DE BÉTON</t>
  </si>
  <si>
    <t>Indiquez une longueur totale de barres d’armature.</t>
  </si>
  <si>
    <t>GRILLAGE D’ARMATURE EN ACIER</t>
  </si>
  <si>
    <t>SURFACE PERSONNALISÉE :</t>
  </si>
  <si>
    <t>GRILLAGE SOUDÉ</t>
  </si>
  <si>
    <t>PILIERS HÉLIQUES</t>
  </si>
  <si>
    <t>LA LONGUEUR TOTALE DE TOUS LES PILIERS :</t>
  </si>
  <si>
    <t>Indiquez la longueur totale de tous les piliers. Utiliser le % pour ajuster les différentes tailles de piliers.</t>
  </si>
  <si>
    <t>PLANCHERS EN DALLES DE BÉTON</t>
  </si>
  <si>
    <t>PLANCHERS EN DALLES (AUTRE MATÉRIAU)</t>
  </si>
  <si>
    <t>PLANCHER DE TERRE</t>
  </si>
  <si>
    <t>ISOLATION DE LA SOUS-DALLE</t>
  </si>
  <si>
    <t>PANNEAU DE MOUSSE EPS</t>
  </si>
  <si>
    <t>Panneau de mousse EPS – MOYENNE</t>
  </si>
  <si>
    <t>PANNEAU DE MOUSSE XPS</t>
  </si>
  <si>
    <t>PANNEAU DE LAINE MINÉRALE</t>
  </si>
  <si>
    <t xml:space="preserve"> AGRÉGAT DE MOUSSE DE VERRE</t>
  </si>
  <si>
    <t>Agrégat de mousse de verre – MOYENNE</t>
  </si>
  <si>
    <t>PANNEAU EN MOUSSE DE VERRE</t>
  </si>
  <si>
    <t>Panneau en mousse de verre – MOYENNE</t>
  </si>
  <si>
    <t>PANNEAU EN LIÈGE</t>
  </si>
  <si>
    <t>REVÊTEMENT DE SOL DU SOUS-SOL</t>
  </si>
  <si>
    <t>PLANCHER EN BOIS DUR</t>
  </si>
  <si>
    <t>Plancher en bois dur – MOYENNE</t>
  </si>
  <si>
    <t>REVÊTEMENT DE SOL EN LINOLÉUM</t>
  </si>
  <si>
    <t>Revêtement de sol en linoléum – MOYENNE 2,5 mm</t>
  </si>
  <si>
    <t>REVÊTEMENT DE SOL EN CARRELAGE</t>
  </si>
  <si>
    <t>Plancher en carrelage – MOYENNE</t>
  </si>
  <si>
    <t>REVÊTEMENT DE SOL EN VINYLE</t>
  </si>
  <si>
    <t>Revêtement de sol en vinyle – MOYENNE</t>
  </si>
  <si>
    <t>PLANCHER LAMELLÉ</t>
  </si>
  <si>
    <t>PLANCHER DE LIÈGE</t>
  </si>
  <si>
    <t>TAPIS</t>
  </si>
  <si>
    <t>PLANCHER – DIVERS</t>
  </si>
  <si>
    <t>SECTION 2 ➜ COMPOSANTS ET MATÉRIAUX POUR LES</t>
  </si>
  <si>
    <t>FONDATION – MURS</t>
  </si>
  <si>
    <t>MURS EN BÉTON</t>
  </si>
  <si>
    <t>MURS EN ÉLÉMENTS DE MAÇONNERIE</t>
  </si>
  <si>
    <t>ÉLÉMENTS DE MAÇONNERIE EN BÉTON</t>
  </si>
  <si>
    <t>Si un coulis de béton ou un remplissage sont utilisés pour le mur en EMB, assurez-vous d’ajouter le volume de béton séparément.</t>
  </si>
  <si>
    <t>Murs en EMB creux de 8 po, sans coulis – MOYENNE</t>
  </si>
  <si>
    <t>FONDATION EN BOIS TRAITÉ</t>
  </si>
  <si>
    <t xml:space="preserve"> </t>
  </si>
  <si>
    <t>ISOLATION CONTINUE (extérieure ou intérieure)</t>
  </si>
  <si>
    <t>MOUSSE EPS</t>
  </si>
  <si>
    <t>MOUSSE XPS</t>
  </si>
  <si>
    <t>Panneau de laine minérale – densité légère – MOYENNE</t>
  </si>
  <si>
    <t>PANNEAU DE FIBRES DE BOIS</t>
  </si>
  <si>
    <t>Panneau de fibres de bois – MOYENNE</t>
  </si>
  <si>
    <t>MOUSSE À PULVÉRISER – CELLULE FERMÉE</t>
  </si>
  <si>
    <t>COFFRAGES ISOLÉS EN BÉTON (CIB) – MOUSSE EPS</t>
  </si>
  <si>
    <t>Étape 1 : Sélectionnez la taille du CIB</t>
  </si>
  <si>
    <t>Étape 2 : Sélectionnez l’option de remplissage en béton.</t>
  </si>
  <si>
    <t>COFFRAGES ISOLÉS EN BÉTON (CIB) – COPEAUX DE BOIS/CIMENT</t>
  </si>
  <si>
    <r>
      <t>Étape 2 : Sélectionnez l'option de remplissage en béton pour le système de mur en CIB.</t>
    </r>
    <r>
      <rPr>
        <sz val="12"/>
        <color rgb="FF2E75B5"/>
        <rFont val="Arial"/>
        <family val="2"/>
      </rPr>
      <t xml:space="preserve"> La quantité de béton de remplissage s'adapte à la taille du coffrage choisi.</t>
    </r>
  </si>
  <si>
    <t>CHARPENTE INTÉRIEURE – BOIS</t>
  </si>
  <si>
    <t>L’ESPACEMENT DES CHARPENTES :</t>
  </si>
  <si>
    <t>CONSTRUCTION EN BOIS</t>
  </si>
  <si>
    <t>2x4 double</t>
  </si>
  <si>
    <t>CHARPENTE INTÉRIEURE – ACIER</t>
  </si>
  <si>
    <t>CHARPENTE D’ACIER, 2x4</t>
  </si>
  <si>
    <t>Utilisez le % pour ajuster si des montants en acier de plus gros calibre sont utilisés. Facteur d’encadrement basé sur un mur de 10 pi.</t>
  </si>
  <si>
    <t>Charpente en acier – MOYENNE</t>
  </si>
  <si>
    <t>ISOLATION DE LA CAVITÉ</t>
  </si>
  <si>
    <t>NATTE DE FIBRE DE VERRE</t>
  </si>
  <si>
    <t>ISOLATION EN CELLULOSE</t>
  </si>
  <si>
    <t>Cellulose – Isolation des murs de fondation – MOYENNE</t>
  </si>
  <si>
    <t>NATTE DE LAINE MINÉRALE</t>
  </si>
  <si>
    <t>NATTE DE FIBRES DE BOIS</t>
  </si>
  <si>
    <t>AUTRES ISOLANTS EN FIBRES NATURELLES</t>
  </si>
  <si>
    <t>ISOLATION EN BRIQUE DE CHANVRE</t>
  </si>
  <si>
    <t>ISOLATION À VALEUR R ÉLEVÉE</t>
  </si>
  <si>
    <t>BARDAGE DES MURS INTÉRIEURS</t>
  </si>
  <si>
    <t>CLOISONS SÈCHES 1/2 po</t>
  </si>
  <si>
    <t>CLOISONS SÈCHES 1/2 po – MOYENNE</t>
  </si>
  <si>
    <t>CLOISONS SÈCHES 5/8 po</t>
  </si>
  <si>
    <t>AUTRES MATÉRIAUX DE BARDAGE</t>
  </si>
  <si>
    <t>SECTION 3 ➜ COMPOSANTS ET MATÉRIAUX POUR LES</t>
  </si>
  <si>
    <t>ÉLÉMENTS STRUCTURAUX</t>
  </si>
  <si>
    <t>CHARPENTE EN BOIS LOURD</t>
  </si>
  <si>
    <t>BOIS MASSIF</t>
  </si>
  <si>
    <t>Utilisez la fonction % si plusieurs types de bois massifs sont utilisés.</t>
  </si>
  <si>
    <t>Charpente lourde en bois – MOYENNE</t>
  </si>
  <si>
    <t>COMPOSANTS LOURDS EN ACIER</t>
  </si>
  <si>
    <t>POTEAUX ET POUTRES EN ACIER</t>
  </si>
  <si>
    <t>Sélectionnez la section de la poutre dans le menu déroulant et saisissez les mètres linéaires pour chaque type de composant, car les valeurs ne proviennent pas de la feuille de saisie de l’utilisateur.</t>
  </si>
  <si>
    <t>Poutre en acier section W – MOYENNE</t>
  </si>
  <si>
    <t>SECTION 4 ➜ COMPOSANTS ET MATÉRIAUX POUR LES</t>
  </si>
  <si>
    <t>MURS À CHARPENTE EN BOIS</t>
  </si>
  <si>
    <t>po. o/ c</t>
  </si>
  <si>
    <t>MURS À CHARPENTE EN ACIER</t>
  </si>
  <si>
    <t>CHARPENTE D’ACIER, 2x6</t>
  </si>
  <si>
    <t>Utilisez la fonction % pour ajuster d’autres calibres de goujons en acier en fonction du rapport masse d’acier par unité de longueur.</t>
  </si>
  <si>
    <t>Charpente en acier – porteur – MOYENNE</t>
  </si>
  <si>
    <t>CHARPENTE DE POUTRES EN I EN BOIS (TJI)</t>
  </si>
  <si>
    <t>Ne comprend pas les autres éléments de la charpente. Pour les inclure, utilisez la section Construction à charpente de bois ci-dessus pour entrer le pourcentage du mur qui est en bois.</t>
  </si>
  <si>
    <t>MURS EN BOIS LAMINÉ CROISÉ –3-1/2 po (90 mm)</t>
  </si>
  <si>
    <t>BOIS LAMELLÉ-CROISÉ</t>
  </si>
  <si>
    <t>Bois lamellé-croisé – MOYENNE</t>
  </si>
  <si>
    <t>Utilisez la fonction % pour régler d’autres épaisseurs de panneaux de Bois lamellé-croisé (BLC).</t>
  </si>
  <si>
    <t>MURS EN ÉLÉMENTS DE MAÇONNERIE EN BÉTON</t>
  </si>
  <si>
    <t>EMB 8 po – CREUX, SANS COULIS</t>
  </si>
  <si>
    <t>EMB 8 po – creux, sans coulis – MOYENNE</t>
  </si>
  <si>
    <t>Utilisez la fonction % pour régler d’autres épaisseurs de EMB. Si c’est le cas, entrez le volume de remplissage dans la section REMPLISSAGE DU BÉTON pour les murs en EMB ci-dessous.</t>
  </si>
  <si>
    <t>REMPLISSAGE EN BÉTON POUR LES MURS EN EMB</t>
  </si>
  <si>
    <t>VOLUME DE BÉTON</t>
  </si>
  <si>
    <t>Calculez le volume total de béton de remplissage nécessaire pour la surface du mur en EMB saisie ci-dessus.</t>
  </si>
  <si>
    <t>PANNEAUX STRUCTURAUX</t>
  </si>
  <si>
    <t>PANNEAU À COPEAUX ORIENTÉS</t>
  </si>
  <si>
    <t>CONTREPLAQUÉ</t>
  </si>
  <si>
    <t>PANNEAUX STRUCTURAUX EN GYPSE</t>
  </si>
  <si>
    <t>PANNEAU DE CIMENT</t>
  </si>
  <si>
    <t>Natte en fibre de verre – MOYENNE</t>
  </si>
  <si>
    <t>FIBRE DE VERRE SOUFFLÉE</t>
  </si>
  <si>
    <t>Fibre de verre en vrac – MOYENNE</t>
  </si>
  <si>
    <t>Cellulose – MOYENNE</t>
  </si>
  <si>
    <t>Natte de fibres de bois – MOYENNE</t>
  </si>
  <si>
    <t>MOUSSE À PULVÉRISER – CELLULE OUVERTE</t>
  </si>
  <si>
    <t>BRIQUES DE CHANVRE</t>
  </si>
  <si>
    <t>Briques de chanvre – MOYENNE</t>
  </si>
  <si>
    <t>ISOLATION CONTINUE (EXT. ou INT.)</t>
  </si>
  <si>
    <t>PANNEAU DE MOUSSE POLYISOCYANURATE</t>
  </si>
  <si>
    <t>Polyisocyanurate – MOYENNE</t>
  </si>
  <si>
    <t>Panneau de laine minérale – MOYENNE</t>
  </si>
  <si>
    <t>SECTION 5 ➜ COMPOSANTS ET MATÉRIAUX POUR LES</t>
  </si>
  <si>
    <t>SYSTÈMES DE MUR EXTÉRIEUR</t>
  </si>
  <si>
    <t>Étape 1 : Choisir la taille et l’isolation des CIB</t>
  </si>
  <si>
    <r>
      <t>Étape 2 : Sélectionnez l'option de remplissage en béton pour le système de mur en CIB</t>
    </r>
    <r>
      <rPr>
        <sz val="12"/>
        <color rgb="FF2E75B5"/>
        <rFont val="Arial"/>
        <family val="2"/>
      </rPr>
      <t>. La quantité de béton s'adapte à la taille du CIB choisi.</t>
    </r>
  </si>
  <si>
    <t>PANNEAUX PRÉFABRIQUÉS</t>
  </si>
  <si>
    <t>CHARPENTE BOIS ET PANNEAUX DE PAILLE</t>
  </si>
  <si>
    <t>PANNEAUX STRUCTURELS ISOLÉS – MOUSSE OSB ET EPS</t>
  </si>
  <si>
    <t>SECTION 6 ➜ COMPOSANTS ET MATÉRIAUX POUR LES</t>
  </si>
  <si>
    <t>MURS MITOYENS</t>
  </si>
  <si>
    <r>
      <rPr>
        <b/>
        <sz val="14"/>
        <color theme="5" tint="-0.249977111117893"/>
        <rFont val="Arial"/>
        <family val="2"/>
      </rPr>
      <t>Note :</t>
    </r>
    <r>
      <rPr>
        <sz val="14"/>
        <rFont val="Arial"/>
        <family val="2"/>
      </rPr>
      <t xml:space="preserve"> n’incluez que la moitié de l’épaisseur des matériaux du mur mitoyen total en utilisant les champs de pourcentage ou de valeur R.
(L’autre moitié appartient au bâtiment adjacent).</t>
    </r>
  </si>
  <si>
    <t>CHARPENTE DE MUR MITOYEN</t>
  </si>
  <si>
    <t>Charpente en acier – murs intérieurs – MOYENNE</t>
  </si>
  <si>
    <t>Utilisez la fonction % pour vous adapter aux différents calibres des goujons en acier.</t>
  </si>
  <si>
    <t>Utilisez la fonction % pour vous adapter aux autres calibres des goujons en acier.</t>
  </si>
  <si>
    <t>MURS MITOYENS EN ÉLÉMENTS DE MAÇONNERIE EN BÉTON</t>
  </si>
  <si>
    <t>MURS MITOYENS EN EMB</t>
  </si>
  <si>
    <t>Murs en éléments de maçonnerie en béton</t>
  </si>
  <si>
    <t>Utilisez la fonction % pour régler d’autres épaisseurs de EMB.</t>
  </si>
  <si>
    <t>BÉTON DE REMPLISSAGE POUR MURS EN EMB</t>
  </si>
  <si>
    <t>VOLUME DE BÉTON DE REMPLISSAGE</t>
  </si>
  <si>
    <t>ISOLATION DE MUR MITOYEN</t>
  </si>
  <si>
    <t>ISOLATION RIGIDE</t>
  </si>
  <si>
    <t>REVÊTEMENT DE MUR MITOYEN</t>
  </si>
  <si>
    <t>REVÊTEMENT INTÉRIEUR pour les MURS MITOYENS</t>
  </si>
  <si>
    <t>Cloison sèche 1/2 po typique – Revêtement intérieur pour murs extérieurs - MOYENNE</t>
  </si>
  <si>
    <t>CIB DE MUR MITOYEN</t>
  </si>
  <si>
    <t>SECTION 7 ➜ COMPOSANTS ET MATÉRIAUX POUR LES</t>
  </si>
  <si>
    <t>MURS EXTÉRIEURS – BARDAGE</t>
  </si>
  <si>
    <t>BARDAGE EXTÉRIEUR</t>
  </si>
  <si>
    <t>BRIQUE</t>
  </si>
  <si>
    <t>BARDAGE EN BOIS</t>
  </si>
  <si>
    <t>FIBROCIMENT</t>
  </si>
  <si>
    <t>Bardage en fibrociment – MOYENNE</t>
  </si>
  <si>
    <t>REVÊTEMENT EN VINYLE</t>
  </si>
  <si>
    <t>REVÊTEMENT EN POLYPROPYLÈNE</t>
  </si>
  <si>
    <t>Revêtement en polypropylène – MOYENNE</t>
  </si>
  <si>
    <t>BARDAGE EN PANNEAUX D’ACIER</t>
  </si>
  <si>
    <t>Bardage en panneaux d’acier – MOYENNE</t>
  </si>
  <si>
    <t>BARDAGE EN PANNEAUX D’ALUMINIUM</t>
  </si>
  <si>
    <t>Bardage en panneaux d’aluminium – MOYENNE</t>
  </si>
  <si>
    <t>FINITIONS EN PLÂTRE</t>
  </si>
  <si>
    <t>Tasseau pour écran de pluie</t>
  </si>
  <si>
    <t>ESPACEMENT DES TASSEAUX</t>
  </si>
  <si>
    <t>REVÊTEMENT INTÉRIEUR pour les MURS EXTÉRIEURS</t>
  </si>
  <si>
    <t>SECTION 8 ➜ COMPOSANTS ET MATÉRIAUX POUR LES</t>
  </si>
  <si>
    <t>FENÊTRES</t>
  </si>
  <si>
    <t>FENÊTRES À DOUBLE VITRAGE</t>
  </si>
  <si>
    <t>FENÊTRES À TRIPLE VITRAGE</t>
  </si>
  <si>
    <t>FENÊTRES – FABRICANTS SPÉCIFIQUES</t>
  </si>
  <si>
    <t>SECTION 9 ➜ COMPOSANTS ET MATÉRIAUX POUR LES</t>
  </si>
  <si>
    <t>MURS INTÉRIEURS</t>
  </si>
  <si>
    <t>CONSTRUCTION À CHARPENTE EN ACIER</t>
  </si>
  <si>
    <t>SECTION 10 ➜ COMPOSANTS ET MATÉRIAUX POUR LES</t>
  </si>
  <si>
    <t>PLANCHERS</t>
  </si>
  <si>
    <t>ENCADREMENT DE PLANCHER EN BOIS</t>
  </si>
  <si>
    <t>CHARPENTE EN BOIS DE TYPE SOLIVE-I</t>
  </si>
  <si>
    <t>9-1/2 po</t>
  </si>
  <si>
    <t>CHARPENTE À TREILLIS EN BOIS</t>
  </si>
  <si>
    <t>CHARPENTE DE PLANCHER EN ACIER</t>
  </si>
  <si>
    <t>SOLIVE À ÂME OUVERTE EN ACIER</t>
  </si>
  <si>
    <t>SOUS-PLANCHER</t>
  </si>
  <si>
    <t>BOIS LAMELLÉ-CROISÉ (BLC)</t>
  </si>
  <si>
    <t>SYSTÈME DE PLANCHER EN BLC</t>
  </si>
  <si>
    <t>Système de plancher BLC – 3-1/2 (90 mm) – MOYENNE</t>
  </si>
  <si>
    <t>SYSTÈME DE PLANCHER À BASE D’ARGILE</t>
  </si>
  <si>
    <t>PLANCHER FINI</t>
  </si>
  <si>
    <t>BOIS DUR 3/4 po</t>
  </si>
  <si>
    <t>Revêtement de sol en carreaux de céramique – MOYENNE</t>
  </si>
  <si>
    <t>AUTRES OPTIONS DE REVÊTEMENT DE SOL</t>
  </si>
  <si>
    <t>ISOLATION DE LA CAVITÉ DE PLANCHER</t>
  </si>
  <si>
    <t>FIBRE DE VERRE EN VRAC</t>
  </si>
  <si>
    <t>Natte de laine minérale – Isolation du plancher – MOYENNE</t>
  </si>
  <si>
    <t>LAINE MINÉRALE EN VRAC</t>
  </si>
  <si>
    <t>Cellulose – Isolation de plancher – MOYENNE</t>
  </si>
  <si>
    <t>BRIQUES DE CHANVRE EN VRAC</t>
  </si>
  <si>
    <t>SECTION 11 ➜ COMPOSANTS ET MATÉRIAUX POUR LES</t>
  </si>
  <si>
    <t>PLAFONDS</t>
  </si>
  <si>
    <t>FNIS DE PLAFOND</t>
  </si>
  <si>
    <t>AUTRES FINIS DE PLAFOND</t>
  </si>
  <si>
    <t>SECTION 12 ➜ COMPOSANTS ET MATÉRIAUX POUR LES</t>
  </si>
  <si>
    <t>TOITS</t>
  </si>
  <si>
    <t>TOIT À CHARPENTE EN BOIS</t>
  </si>
  <si>
    <t>CHARPENTE EN BOIS</t>
  </si>
  <si>
    <t>Utilisez la fonction pourcentage pour ajuster le volume de bois par rapport à la conception décrite du toit.</t>
  </si>
  <si>
    <t>TERRASSE EN TOITURE</t>
  </si>
  <si>
    <t>PRODUITS EN FEUILLE DE BOIS –5/8 po</t>
  </si>
  <si>
    <t>PANNEAUX DE GYPSE 1/2 po</t>
  </si>
  <si>
    <t>MEMBRANE DE TOITURE</t>
  </si>
  <si>
    <t>GRADATION DE LA TOITURE</t>
  </si>
  <si>
    <t>GRADATION DU BOIS</t>
  </si>
  <si>
    <t>TOITURE</t>
  </si>
  <si>
    <t>BARDEAUX D’ASPHALTE</t>
  </si>
  <si>
    <t>PLAQUE DE TOITURE D’ACIER</t>
  </si>
  <si>
    <t>Plaque de toiture d’acier – toiture – MOYENNE</t>
  </si>
  <si>
    <t>PLAQUE DE TOITURE D'ALUMINIUM</t>
  </si>
  <si>
    <t>Bardage en plaque d’aluminium – MOYENNE</t>
  </si>
  <si>
    <t>TOITURE EN FIBROCIMENT</t>
  </si>
  <si>
    <t>AUTRES OPTIONS DE TOITURE</t>
  </si>
  <si>
    <t>ISOLATION DE LA CAVITÉ DE TOIT</t>
  </si>
  <si>
    <t>ISOLATION PARALLÈLE À :</t>
  </si>
  <si>
    <t>Surface du plafond</t>
  </si>
  <si>
    <t>Natte de laine minérale – Isolation du toit – MOYENNE</t>
  </si>
  <si>
    <t>Cellulose – Isolation de toit – MOYENNE</t>
  </si>
  <si>
    <t>BRISQUE DE CHANVRE – ISOLATION DE TOIT – MOYENNE</t>
  </si>
  <si>
    <t>Surface de toit</t>
  </si>
  <si>
    <t>PANNEAUX DE TOITURE ISOLÉS</t>
  </si>
  <si>
    <t>PANNEAU STRUCTUREL ISOLÉ –Noyau de mousse EPS avec OSB</t>
  </si>
  <si>
    <t>Panneau structurel isolé – toiture – MOYENNE</t>
  </si>
  <si>
    <t>SECTION 13 ➜ COMPOSANTS ET MATÉRIAUX POUR LE</t>
  </si>
  <si>
    <t>SEMELLES ET DALLES DU GARAGE</t>
  </si>
  <si>
    <t>PLANCHER EN DALLES DE BÉTON</t>
  </si>
  <si>
    <t>GRILLAGE DE RENFORCEMENT DES DALLES</t>
  </si>
  <si>
    <t>LONGUEUR ADAPTÉE :</t>
  </si>
  <si>
    <t>MURS DE FONDATION DU GARAGE</t>
  </si>
  <si>
    <t>MURS DE FONDATION EN BÉTON</t>
  </si>
  <si>
    <t>MURS DE FONDATION EN EMB</t>
  </si>
  <si>
    <t>Si un coulis de béton est utilisé dans le mur en EMB, utilisez la zone du mur en béton pour spécifier la quantité de remplissage en béton utilisée dans les EMB.</t>
  </si>
  <si>
    <t>Murs en EMB 8 po creux, sans coulis – MOYENNE</t>
  </si>
  <si>
    <t>ÉLÉMENTS STRUCTURELS LOURDS DU GARAGE</t>
  </si>
  <si>
    <t>CHARPENTE EN BOIS MASSIF</t>
  </si>
  <si>
    <t>MURS EXTÉRIEURS DU GARAGE</t>
  </si>
  <si>
    <t>MURS EXTÉRIEURS EN EMB</t>
  </si>
  <si>
    <t>EMB DE 8 po</t>
  </si>
  <si>
    <t>Éléments de maçonnerie en béton (EMB) – MOYENNE</t>
  </si>
  <si>
    <t>ISOLATION DE LA CAVITÉ D’UN MUR DE GARAGE EXTÉRIEUR</t>
  </si>
  <si>
    <t>(Ne comprend pas la surface du mur d’attache, spécifiée séparément dans la section ci-dessous)</t>
  </si>
  <si>
    <t>ISOLATION RIGIDE DU MUR EXTÉRIEUR DE GARAGE</t>
  </si>
  <si>
    <t>(Ne comprend pas la zone du mur d’attache)</t>
  </si>
  <si>
    <t>ISOLATION DES MURS DE L’ANNEXE DU GARAGE</t>
  </si>
  <si>
    <t>ISOLATION DES CAVITÉS DES MURS DE L’ANNEXE DU GARAGE</t>
  </si>
  <si>
    <t>REVÊTEMENT DE GARAGE</t>
  </si>
  <si>
    <t>REVÊTEMENT INTÉRIEUR pour les MURS DE GARAGE</t>
  </si>
  <si>
    <t>FENÊTRES DU GARAGE</t>
  </si>
  <si>
    <t>PLAFOND DU GARAGE</t>
  </si>
  <si>
    <t>REVÊTEMENT DU PLAFOND DU GARAGE</t>
  </si>
  <si>
    <t>TOIT DU GARAGE</t>
  </si>
  <si>
    <t>SECTION 14 ➜ COMPOSANTS ET MATÉRIAUX POUR LES</t>
  </si>
  <si>
    <t>MATÉRIAUX DÉFINIS PAR L’UTILISATEUR</t>
  </si>
  <si>
    <r>
      <rPr>
        <b/>
        <sz val="14"/>
        <color theme="4" tint="-0.249977111117893"/>
        <rFont val="Arial"/>
        <family val="2"/>
      </rPr>
      <t>INSTRUCTIONS POUR AJOUTER UN MATÉRIAU QUI NE FIGURE PAS DANS LA BASE DE DONNÉES :
(l'utilisateur doit avoir tous les renseignements requis en main)</t>
    </r>
    <r>
      <rPr>
        <b/>
        <sz val="14"/>
        <rFont val="Arial"/>
        <family val="2"/>
      </rPr>
      <t xml:space="preserve">
</t>
    </r>
    <r>
      <rPr>
        <sz val="14"/>
        <rFont val="Arial"/>
        <family val="2"/>
      </rPr>
      <t xml:space="preserve">Dans une ligne dont la catégorie est PERSONNALISÉ, </t>
    </r>
    <r>
      <rPr>
        <b/>
        <sz val="14"/>
        <rFont val="Arial"/>
        <family val="2"/>
      </rPr>
      <t xml:space="preserve">ENTREZ LES DONNÉES REQUISES </t>
    </r>
    <r>
      <rPr>
        <sz val="14"/>
        <rFont val="Arial"/>
        <family val="2"/>
      </rPr>
      <t>dans tous les champs</t>
    </r>
    <r>
      <rPr>
        <b/>
        <sz val="14"/>
        <rFont val="Arial"/>
        <family val="2"/>
      </rPr>
      <t xml:space="preserve"> JAUNE FONCÉ (CATÉGORIE, MATÉRIAU, QUANTITÉ, UNITÉ, % D'ÉMISSIONS KGCO2e, STOCKAGE DE kgCO2e)</t>
    </r>
    <r>
      <rPr>
        <sz val="14"/>
        <rFont val="Arial"/>
        <family val="2"/>
      </rPr>
      <t xml:space="preserve">.
- Utilisez uniquement les valeurs </t>
    </r>
    <r>
      <rPr>
        <b/>
        <sz val="14"/>
        <rFont val="Arial"/>
        <family val="2"/>
      </rPr>
      <t xml:space="preserve">A1-A3  </t>
    </r>
    <r>
      <rPr>
        <sz val="14"/>
        <rFont val="Arial"/>
        <family val="2"/>
      </rPr>
      <t>des DEP.
- Le fait de changer le nom de la catégorie ne déplace pas l'entrée vers un autre total de section de bâtiment.</t>
    </r>
  </si>
  <si>
    <t>Mise en garde : Toute option définie par l'utilisateur qui n'a pas été validée et approuvée réduira la fiabilité des résultats.</t>
  </si>
  <si>
    <t>MATÉRIAUX DE LA BASE DE DONNÉES EXISTANTE</t>
  </si>
  <si>
    <t>MATÉRIAUX PAR VOLUME</t>
  </si>
  <si>
    <t>MATÉRIAUX PAR SURFACE</t>
  </si>
  <si>
    <t>SURFACE</t>
  </si>
  <si>
    <t>MATÉRIAUX PAR LONGUEUR</t>
  </si>
  <si>
    <t>LONGUEUR</t>
  </si>
  <si>
    <t>MATÉRIAUX PERSONNALISÉS DÉFINIS PAR L’UTILISATEUR</t>
  </si>
  <si>
    <r>
      <rPr>
        <b/>
        <sz val="14"/>
        <color theme="1"/>
        <rFont val="Arial"/>
        <family val="2"/>
      </rPr>
      <t xml:space="preserve">Note : </t>
    </r>
    <r>
      <rPr>
        <sz val="14"/>
        <color theme="1"/>
        <rFont val="Arial"/>
        <family val="2"/>
      </rPr>
      <t>Les matériaux définis par l'utilisateur seront répertoriés séparément dans les rapports de synthèse.</t>
    </r>
  </si>
  <si>
    <t>SECTION 12 ➜ EXAMEN</t>
  </si>
  <si>
    <t>MATÉRIAUX SÉLECTIONNÉS</t>
  </si>
  <si>
    <r>
      <t>EMPREINTE CARBONE NETTE
[kg CO</t>
    </r>
    <r>
      <rPr>
        <b/>
        <vertAlign val="subscript"/>
        <sz val="14"/>
        <color theme="0"/>
        <rFont val="Arial"/>
        <family val="2"/>
      </rPr>
      <t>2</t>
    </r>
    <r>
      <rPr>
        <b/>
        <sz val="14"/>
        <color theme="0"/>
        <rFont val="Arial"/>
        <family val="2"/>
      </rPr>
      <t>e]</t>
    </r>
  </si>
  <si>
    <r>
      <t>ÉMISSIONS DE CARBONE
[kg CO</t>
    </r>
    <r>
      <rPr>
        <b/>
        <vertAlign val="subscript"/>
        <sz val="14"/>
        <color theme="0"/>
        <rFont val="Arial"/>
        <family val="2"/>
      </rPr>
      <t>2</t>
    </r>
    <r>
      <rPr>
        <b/>
        <sz val="14"/>
        <color theme="0"/>
        <rFont val="Arial"/>
        <family val="2"/>
      </rPr>
      <t>e]</t>
    </r>
  </si>
  <si>
    <t>Estimations d’émissions de carbone du projet</t>
  </si>
  <si>
    <t>RÉSUMÉ DU PROJET</t>
  </si>
  <si>
    <t>Projet :</t>
  </si>
  <si>
    <t>Évaluateur :</t>
  </si>
  <si>
    <t>Lieu :</t>
  </si>
  <si>
    <t>Description de la maison :</t>
  </si>
  <si>
    <t>Taille du bâtiment :</t>
  </si>
  <si>
    <t>Photo ou image du projet ici
(Insérer -&gt; Images) </t>
  </si>
  <si>
    <t>CALENDRIER D’ÉMISSION DU PROJET</t>
  </si>
  <si>
    <t>Informations sur le tableau</t>
  </si>
  <si>
    <t>Résultats des émissions de carbone du projet</t>
  </si>
  <si>
    <t>PAR ÉLÉMENT DE LA MAISON</t>
  </si>
  <si>
    <t>Classement</t>
  </si>
  <si>
    <r>
      <t>kg CO</t>
    </r>
    <r>
      <rPr>
        <b/>
        <vertAlign val="subscript"/>
        <sz val="9"/>
        <color theme="1"/>
        <rFont val="Arial"/>
        <family val="2"/>
      </rPr>
      <t>2</t>
    </r>
    <r>
      <rPr>
        <b/>
        <sz val="9"/>
        <color theme="1"/>
        <rFont val="Arial"/>
        <family val="2"/>
      </rPr>
      <t>e</t>
    </r>
  </si>
  <si>
    <t>Matériau</t>
  </si>
  <si>
    <t>RECOMMANDATIONS</t>
  </si>
  <si>
    <t>Enregistrer ce scénario</t>
  </si>
  <si>
    <r>
      <t xml:space="preserve">  Intensité de carbone des matériaux,</t>
    </r>
    <r>
      <rPr>
        <b/>
        <sz val="7"/>
        <color rgb="FF000000"/>
        <rFont val="Calibri"/>
        <family val="2"/>
        <scheme val="minor"/>
      </rPr>
      <t xml:space="preserve"> </t>
    </r>
    <r>
      <rPr>
        <sz val="5"/>
        <color rgb="FF000000"/>
        <rFont val="Calibri"/>
        <family val="2"/>
        <scheme val="minor"/>
      </rPr>
      <t>kg CO</t>
    </r>
    <r>
      <rPr>
        <vertAlign val="subscript"/>
        <sz val="5"/>
        <color rgb="FF000000"/>
        <rFont val="Calibri"/>
        <family val="2"/>
        <scheme val="minor"/>
      </rPr>
      <t>2</t>
    </r>
    <r>
      <rPr>
        <sz val="5"/>
        <color rgb="FF000000"/>
        <rFont val="Calibri"/>
        <family val="2"/>
        <scheme val="minor"/>
      </rPr>
      <t>/m</t>
    </r>
    <r>
      <rPr>
        <b/>
        <vertAlign val="superscript"/>
        <sz val="6"/>
        <color rgb="FF000000"/>
        <rFont val="Calibri"/>
        <family val="2"/>
        <scheme val="minor"/>
      </rPr>
      <t>2</t>
    </r>
  </si>
  <si>
    <t>Émissions de carbone cumulatives</t>
  </si>
  <si>
    <t>Potentiel de réchauffement de la planète (PRP), tonnes CO2e</t>
  </si>
  <si>
    <t>Années</t>
  </si>
  <si>
    <r>
      <t>Émissions de carbone des matériaux, kg CO</t>
    </r>
    <r>
      <rPr>
        <vertAlign val="subscript"/>
        <sz val="12"/>
        <color rgb="FF404040"/>
        <rFont val="Arial"/>
        <family val="2"/>
      </rPr>
      <t>2</t>
    </r>
    <r>
      <rPr>
        <sz val="12"/>
        <color rgb="FF404040"/>
        <rFont val="Arial"/>
        <family val="2"/>
      </rPr>
      <t>e</t>
    </r>
  </si>
  <si>
    <t>Réinitialiser le calculateur</t>
  </si>
  <si>
    <t>Supprimer le scénario</t>
  </si>
  <si>
    <t>Recalculer tous les scénarios</t>
  </si>
  <si>
    <t>Scénarios d’émissions de carbone du projet</t>
  </si>
  <si>
    <t>Comment utiliser cet onglet :</t>
  </si>
  <si>
    <t>1. Les utilisateurs peuvent enregistrer des scénarios sur cette page afin de comparer les résultats générés par la calculatrice.</t>
  </si>
  <si>
    <t>2. Toutes les données associées aux scénarios sauvegardés peuvent être réintroduites dans la feuille de calcul.</t>
  </si>
  <si>
    <t>3. Pour remplir un scénario dans l’outil d’estimation, les utilisateurs peuvent le sélectionner en cliquant sur le bouton vert intitulé « Calculateur de repos » sur la gauche.</t>
  </si>
  <si>
    <t>4. Les utilisateurs peuvent établir des scénarios personnalisés et les appliquer à différentes maisons en chargeant une nouvelle géométrie dans la FICHE D’ENTRÉE DE L’UTILISATEUR et en cliquant sur le bouton bleu à gauche intitulé « Recalculer tous les scénarios ».</t>
  </si>
  <si>
    <t>5 . Cela permettra de calculer les nouvelles valeurs associées à la géométrie mise à jour pour chaque scénario sauvegardé ci-dessous.</t>
  </si>
  <si>
    <t>Épaisseur</t>
  </si>
  <si>
    <t>Espacement</t>
  </si>
  <si>
    <t>Espacement des solives en acier</t>
  </si>
  <si>
    <t>Isolation de la toiture parallèle au...</t>
  </si>
  <si>
    <t>Options définies par l’utilisateur : VOLUME – m3</t>
  </si>
  <si>
    <t>Options définies par l’utilisateur : AIRE DE SURFACE – m2</t>
  </si>
  <si>
    <t>Options définies par l’utilisateur : Longueur – m</t>
  </si>
  <si>
    <t>Options définies par l’utilisateur : Valeur R et aire – m2 – RTS</t>
  </si>
  <si>
    <t>O/ N?</t>
  </si>
  <si>
    <t>Oui</t>
  </si>
  <si>
    <t>Non</t>
  </si>
  <si>
    <t>Articles sélectionnés</t>
  </si>
  <si>
    <t>CLASSEMENT</t>
  </si>
  <si>
    <t>CARBONE NET</t>
  </si>
  <si>
    <t>ONGLET</t>
  </si>
  <si>
    <t>Année</t>
  </si>
  <si>
    <t>Matériaux</t>
  </si>
  <si>
    <t>Opérations</t>
  </si>
  <si>
    <t>Émissions</t>
  </si>
  <si>
    <t>Barre d’émissions</t>
  </si>
  <si>
    <t>Échelle d’indicateur</t>
  </si>
  <si>
    <t>Limite inférieure</t>
  </si>
  <si>
    <t>Limite supérieure</t>
  </si>
  <si>
    <r>
      <t>Carbone intrinsèque
[kg CO</t>
    </r>
    <r>
      <rPr>
        <b/>
        <vertAlign val="subscript"/>
        <sz val="10"/>
        <rFont val="Arial"/>
        <family val="2"/>
      </rPr>
      <t>2</t>
    </r>
    <r>
      <rPr>
        <b/>
        <sz val="10"/>
        <rFont val="Arial"/>
        <family val="2"/>
      </rPr>
      <t>e]</t>
    </r>
  </si>
  <si>
    <t>Murs extérieurs</t>
  </si>
  <si>
    <t>Système de murs extérieurs</t>
  </si>
  <si>
    <t>Murs intérieurs</t>
  </si>
  <si>
    <t>Plancher</t>
  </si>
  <si>
    <t>Produit composite</t>
  </si>
  <si>
    <t>Émissions composites co2</t>
  </si>
  <si>
    <t>Stockage composite CO2/m2</t>
  </si>
  <si>
    <t>Unité</t>
  </si>
  <si>
    <t>Matériau 1</t>
  </si>
  <si>
    <t>Unité entrante</t>
  </si>
  <si>
    <t>Émission M1</t>
  </si>
  <si>
    <t>Stockage M1</t>
  </si>
  <si>
    <t>Matériau 2</t>
  </si>
  <si>
    <t>Émission M2</t>
  </si>
  <si>
    <t>Stockage M2</t>
  </si>
  <si>
    <t>Matériau 3</t>
  </si>
  <si>
    <t>Émission M3</t>
  </si>
  <si>
    <t>Stockage M3</t>
  </si>
  <si>
    <t>Matériel 4</t>
  </si>
  <si>
    <t>Émission M4</t>
  </si>
  <si>
    <t>Stockage M4</t>
  </si>
  <si>
    <t>Matériau 5</t>
  </si>
  <si>
    <t>Émission M5</t>
  </si>
  <si>
    <t>Stockage</t>
  </si>
  <si>
    <t>Identifiant de produit de matériau 1</t>
  </si>
  <si>
    <t>Identifiant de produit de matériau 2</t>
  </si>
  <si>
    <t>Identifiant de produit de matériau 3</t>
  </si>
  <si>
    <t>Identifiant de produit de matériau 4</t>
  </si>
  <si>
    <t>Identifiant de produit de matériau 5</t>
  </si>
  <si>
    <t>Mousse EPS CBI R-23, 2 feuilles de 2,75 po @ R4/po. @ R4/in., barre d’armature 15M (le noyau de béton de 6 po doit être ajouté séparément)</t>
  </si>
  <si>
    <t>PANNEAU STRUCTUREL ISOLÉ –R23 6,5 po – EPS 5,5 po @ R4/po, 2 feuilles d’OSB de 1/2 pouce</t>
  </si>
  <si>
    <t>PANNEAU STRUCTUREL ISOLÉ –R 30,25 po – EPS 7,25 po @ R4/po, 2 feuilles d’OSB de 1/2 pouce</t>
  </si>
  <si>
    <t>PANNEAU STRUCTUREL ISOLÉ –R38 10,5 po – EPS 9,5 po @ R4/po, 2 feuilles d’OSB de 1/2 pouce</t>
  </si>
  <si>
    <t>PANNEAU STRUCTUREL ISOLÉ –R48 12-7/8 po – EPS 11,875 po @ R4/po, 2 feuilles d’OSB de 1/2 pouce</t>
  </si>
  <si>
    <t>CIF en copeaux de bois et ciment 12 po R-22 avec INSERTS EN LAINE MINÉRALE, (3 po @ R4.2/pouce), BARRE D’ARMATURE 15M</t>
  </si>
  <si>
    <t>CIF en copeaux de bois et ciment 14 po R-28 avec INSERTS EN LAINE MINÉRALE, (5 po @ R4.2/pouce), BARRE D’ARMATURE 15M</t>
  </si>
  <si>
    <t>CIF en copeaux de bois et ciment 12 po R-21 avec INSERTS EN PANNEAU DE LIÈGE, (3 po @ R4.2/pouce), BARRE D’ARMATURE 15M</t>
  </si>
  <si>
    <t>CIF en copeaux de bois et ciment 14 po R-27 avec INSERTS EN PANNEAU DE LIÈGE, (5 po @ R4.2/pouce), BARRE D’ARMATURE 15M</t>
  </si>
  <si>
    <t>FONDATION EN BOIS TRAITÉ –charpente 2x8 à 16 po OC, revêtement en contreplaqué de 3/4 po.</t>
  </si>
  <si>
    <t>CADRE EN BOIS avec INFILLON DE BALLES DE FER – 14 po R-46, double 2x4 @ 30 po o/c</t>
  </si>
  <si>
    <t>Produit</t>
  </si>
  <si>
    <t>Société (Commissaire DEP)</t>
  </si>
  <si>
    <t>Marque</t>
  </si>
  <si>
    <t>Caractéristiques techniques</t>
  </si>
  <si>
    <t>No CSI</t>
  </si>
  <si>
    <t>Catégorie</t>
  </si>
  <si>
    <t>Pays de fabrication</t>
  </si>
  <si>
    <t>RNCan</t>
  </si>
  <si>
    <t>DEP déclaré kgCO2e/unité</t>
  </si>
  <si>
    <t>Unités DEP kgCO2e par</t>
  </si>
  <si>
    <t>Émissions communes kgCO2e/unité</t>
  </si>
  <si>
    <t>Unités : kgCO2e par</t>
  </si>
  <si>
    <t>No DEP</t>
  </si>
  <si>
    <t>Organisme de vérification</t>
  </si>
  <si>
    <t>Année d’exp.</t>
  </si>
  <si>
    <t>Densité</t>
  </si>
  <si>
    <t>Unités</t>
  </si>
  <si>
    <t>Facteurs additionnels</t>
  </si>
  <si>
    <t>Valeur R/po</t>
  </si>
  <si>
    <t>Cond. thermiques</t>
  </si>
  <si>
    <t>Facteur de carbone biogénique</t>
  </si>
  <si>
    <t>% Teneur en carbone (kgC/kg)</t>
  </si>
  <si>
    <t>Stockage biogénique kgCO2/unité</t>
  </si>
  <si>
    <t>Facteur de stockage WWF kgCO2/kgC</t>
  </si>
  <si>
    <t>Teneur en carbone kgC/unité</t>
  </si>
  <si>
    <t>CO2 biogénique en kg – valeur C complète</t>
  </si>
  <si>
    <t>Hauteur (m)</t>
  </si>
  <si>
    <t>Longueur (m)</t>
  </si>
  <si>
    <t>Largeur (m)</t>
  </si>
  <si>
    <t>Volume unitaire (m3)</t>
  </si>
  <si>
    <t>Unités/m2</t>
  </si>
  <si>
    <t>Identifiant de produit</t>
  </si>
  <si>
    <t>Notre DEP</t>
  </si>
  <si>
    <t>25 Perms</t>
  </si>
  <si>
    <t>SPRI</t>
  </si>
  <si>
    <t>Novalis</t>
  </si>
  <si>
    <t>Diasen</t>
  </si>
  <si>
    <t>Ecovative</t>
  </si>
  <si>
    <t>Porextherm</t>
  </si>
  <si>
    <t>Facteur de GES – Électricité</t>
  </si>
  <si>
    <t>Facteur de GES – Gaz naturel</t>
  </si>
  <si>
    <t>Facteur de GES – Mazout</t>
  </si>
  <si>
    <t>Facteur de GES – Propane</t>
  </si>
  <si>
    <t>Facteur de GES – Bois</t>
  </si>
  <si>
    <t>Terre-Neuve-et-Labrador</t>
  </si>
  <si>
    <t>Île-du-Prince-Édouard</t>
  </si>
  <si>
    <t>Nouvelle-Écosse</t>
  </si>
  <si>
    <t>Nouveau-Brunswick</t>
  </si>
  <si>
    <t>Québec</t>
  </si>
  <si>
    <t>Colombie-Britannique</t>
  </si>
  <si>
    <t>Territoires du Nord-Ouest</t>
  </si>
  <si>
    <t>Remplacer la province</t>
  </si>
  <si>
    <t>Remplacer la valeur</t>
  </si>
  <si>
    <t>Source d’information</t>
  </si>
  <si>
    <t>Résultats des calculs de GES</t>
  </si>
  <si>
    <t xml:space="preserve">Consommation de carburant à partir du fichier h2k </t>
  </si>
  <si>
    <t>Électricité</t>
  </si>
  <si>
    <t>Mazout</t>
  </si>
  <si>
    <t>Bois</t>
  </si>
  <si>
    <t>Électricité_kWh</t>
  </si>
  <si>
    <t>Gaz naturel_m3</t>
  </si>
  <si>
    <t>Mazout_Litres</t>
  </si>
  <si>
    <t>Bois_Kg</t>
  </si>
  <si>
    <t>Renouvelables_GJ</t>
  </si>
  <si>
    <t xml:space="preserve">RNCan tient à souligner la contribution fondamentale de Chris Magwood et de l’équipe de Builders for Climate Action. L’estimateur d’émissions de carbone des matériaux (MCE2) a été créé conjointement par l’équipe de Builders for Climate Action (https://www.buildersforclimateaction.org/) et RNCan. Il soutient la mission de Builders for Climate Action qui consiste à : « offrir aux générations futures nos meilleurs efforts pour freiner les pires effets du changement climatique par une action intelligente, coordonnée et efficace pour réduire les émissions du secteur tout en créant un monde juste et équitable » et le mandat de RNCan qui consiste à aider l’industrie à prendre des décisions éclairées en matière de performance énergétique et de réduction de carbone dans l’environnement bâti.  </t>
  </si>
  <si>
    <t>E15</t>
  </si>
  <si>
    <t>E17</t>
  </si>
  <si>
    <t>F17</t>
  </si>
  <si>
    <t>Tyvek HomeWrap</t>
  </si>
  <si>
    <t>StonePeak</t>
  </si>
  <si>
    <t>Revestimentos S.A.</t>
  </si>
  <si>
    <t>Mahaphant</t>
  </si>
  <si>
    <t>Misapor</t>
  </si>
  <si>
    <t>Forbo</t>
  </si>
  <si>
    <t>Gerflor</t>
  </si>
  <si>
    <t>NAIMA</t>
  </si>
  <si>
    <t>Huber</t>
  </si>
  <si>
    <t>Nordic</t>
  </si>
  <si>
    <t>Metal Construction Assn.</t>
  </si>
  <si>
    <t>Le transport des matériaux de construction de l’usine au chantier peut ajouter une quantité importante d’émissions au projet global. En général, le transport vers le site de construction ajoute 5 à 10 % aux émissions totales des matériaux.</t>
  </si>
  <si>
    <t>List of Assembly/Component Sheets</t>
  </si>
  <si>
    <t>Current Sheet Names</t>
  </si>
  <si>
    <t>Volume</t>
  </si>
  <si>
    <t>Area</t>
  </si>
  <si>
    <t>Length</t>
  </si>
  <si>
    <t>ft</t>
  </si>
  <si>
    <r>
      <t>m</t>
    </r>
    <r>
      <rPr>
        <b/>
        <vertAlign val="superscript"/>
        <sz val="12"/>
        <color theme="1"/>
        <rFont val="Arial"/>
        <family val="2"/>
      </rPr>
      <t xml:space="preserve">3 </t>
    </r>
    <r>
      <rPr>
        <b/>
        <sz val="12"/>
        <color theme="1"/>
        <rFont val="Wingdings"/>
        <charset val="2"/>
      </rPr>
      <t>à</t>
    </r>
  </si>
  <si>
    <r>
      <t>m</t>
    </r>
    <r>
      <rPr>
        <b/>
        <vertAlign val="superscript"/>
        <sz val="12"/>
        <color theme="1"/>
        <rFont val="Arial"/>
        <family val="2"/>
      </rPr>
      <t xml:space="preserve">2 </t>
    </r>
    <r>
      <rPr>
        <b/>
        <sz val="12"/>
        <color theme="1"/>
        <rFont val="Wingdings"/>
        <charset val="2"/>
      </rPr>
      <t>à</t>
    </r>
  </si>
  <si>
    <r>
      <t xml:space="preserve">m </t>
    </r>
    <r>
      <rPr>
        <b/>
        <sz val="12"/>
        <color theme="1"/>
        <rFont val="Wingdings"/>
        <charset val="2"/>
      </rPr>
      <t>à</t>
    </r>
  </si>
  <si>
    <r>
      <t>pi/ft</t>
    </r>
    <r>
      <rPr>
        <b/>
        <vertAlign val="superscript"/>
        <sz val="12"/>
        <color theme="1"/>
        <rFont val="Arial"/>
        <family val="2"/>
      </rPr>
      <t>2</t>
    </r>
  </si>
  <si>
    <r>
      <t>pi/ft</t>
    </r>
    <r>
      <rPr>
        <b/>
        <vertAlign val="superscript"/>
        <sz val="12"/>
        <color theme="1"/>
        <rFont val="Arial"/>
        <family val="2"/>
      </rPr>
      <t>3</t>
    </r>
  </si>
  <si>
    <t>Beam Length (M)</t>
  </si>
  <si>
    <t>Beam Depth (mm)</t>
  </si>
  <si>
    <t>Beam Width (mm)</t>
  </si>
  <si>
    <t>UNIT CONVERSIONS</t>
  </si>
  <si>
    <t>HEAVY TIMBER BEAM VOLUME CALCULATOR</t>
  </si>
  <si>
    <t>Q3</t>
  </si>
  <si>
    <t>N8</t>
  </si>
  <si>
    <t>P10</t>
  </si>
  <si>
    <t>O11</t>
  </si>
  <si>
    <t>N19</t>
  </si>
  <si>
    <t>Beam Volume (m3)</t>
  </si>
  <si>
    <t>A58</t>
  </si>
  <si>
    <t>A61</t>
  </si>
  <si>
    <t>F3</t>
  </si>
  <si>
    <t>N3</t>
  </si>
  <si>
    <t>CONVERSION D'UNITÉS DE MESURE</t>
  </si>
  <si>
    <r>
      <rPr>
        <sz val="12"/>
        <rFont val="Arial"/>
        <family val="2"/>
      </rPr>
      <t>Concernant toutes les cellules</t>
    </r>
    <r>
      <rPr>
        <b/>
        <sz val="12"/>
        <color theme="7" tint="-0.249977111117893"/>
        <rFont val="Arial"/>
        <family val="2"/>
      </rPr>
      <t xml:space="preserve"> JAUNES </t>
    </r>
    <r>
      <rPr>
        <sz val="12"/>
        <rFont val="Arial"/>
        <family val="2"/>
      </rPr>
      <t>ci-dessous, inscrire manuellement toutes les valeurs pertinentes</t>
    </r>
    <r>
      <rPr>
        <b/>
        <sz val="12"/>
        <rFont val="Arial"/>
        <family val="2"/>
      </rPr>
      <t>. Exclure</t>
    </r>
    <r>
      <rPr>
        <sz val="12"/>
        <rFont val="Arial"/>
        <family val="2"/>
      </rPr>
      <t xml:space="preserve"> les quantités relatives au garage.</t>
    </r>
  </si>
  <si>
    <t>CALCULATRICE DE VOLUME POUR  ÉLÉMENTS EN BOIS LOURD</t>
  </si>
  <si>
    <t>Attention : le bâtiment est modélisé avec un nombre particulier d'étages (&lt;~NoOfStoreys~&gt;). Veuillez spécifier manuellement la surface totale du plafond.</t>
  </si>
  <si>
    <t>Erreur : aucun résultat n'a été trouvé. Veuillez exécuter 'calculs' dans HOT2000 et réessayer.</t>
  </si>
  <si>
    <t>Erreur : Veuillez sélectionner un fichier .h2k</t>
  </si>
  <si>
    <t>Le scénario '&lt;~new_SCN_Name~&gt;' existe déjà. Veuillez sélectionner un nouveau nom.</t>
  </si>
  <si>
    <t>Vous avez déjà créé '&lt;~MAX_SCENARIOS~&gt;' scénarios. L'outil ne prend pas en charge les scénarios supplémentaires. Vous pouvez supprimer un scénario et réessayer.</t>
  </si>
  <si>
    <t>Le scénario '&lt;~scn_Name~&gt;' n'existe pas. Veuillez réessayer.</t>
  </si>
  <si>
    <t>Nom de scénario</t>
  </si>
  <si>
    <t>Le scénario '&lt;~scn_Name~&gt;' est introuvable. Veuillez réessayer.</t>
  </si>
  <si>
    <t>Etes-vous sûr de vouloir supprimer le scénario '&lt;~scn_Name~&gt;' ?</t>
  </si>
  <si>
    <t>L'adresse des cellules orange est enregistrée dans la feuille &lt;~scnDBSh.Name~&gt;.</t>
  </si>
  <si>
    <t>Veuillez entrer un nom pour votre scénario</t>
  </si>
  <si>
    <t>Sélectionnez un scénario</t>
  </si>
  <si>
    <t>Sélectionnez un scénario à supprimer</t>
  </si>
  <si>
    <t>Sélectionnez un scénario à restaurer</t>
  </si>
  <si>
    <t>Annuler</t>
  </si>
  <si>
    <t>Sélectionnez</t>
  </si>
  <si>
    <t>Sélectionnez l'isolation parmi la liste déroulante, entrez la valeur R (à gauche, en unités impériales) et la superficie (à droite, en mètres carrés).</t>
  </si>
  <si>
    <t>Indiquez la source d'information utilisée pour la valeur de remplacement. Un lien Internet est préférable, s'il est disponible.</t>
  </si>
  <si>
    <t>Material Index</t>
  </si>
  <si>
    <t>_User-Defined</t>
  </si>
  <si>
    <t>Ignore this row</t>
  </si>
  <si>
    <t>Clear This Sheet Only (User Input)</t>
  </si>
  <si>
    <t>Clear All (User Input and all Assembly Tabs)</t>
  </si>
  <si>
    <t>Superficie</t>
  </si>
  <si>
    <t>Longueur</t>
  </si>
  <si>
    <t>Effacer tout (entrée utilisateur et tous les fiches d'assemblage)</t>
  </si>
  <si>
    <t>Effacer cette fiche seulement (entrée utilisateur)</t>
  </si>
  <si>
    <t>EXTERIOR WALLS</t>
  </si>
  <si>
    <t>MURS EXTÉRIEURS</t>
  </si>
  <si>
    <t>Longueur de la poutre (M)</t>
  </si>
  <si>
    <t>Profondeur de la poutre (mm)</t>
  </si>
  <si>
    <t>Largeur de la poutre (mm)</t>
  </si>
  <si>
    <t>Volume de la poutre (m3)</t>
  </si>
  <si>
    <t xml:space="preserve">Surface du mur qui relie le garage au bâtiment (excluant les ouvertures et les murs extérieurs du garage).
Si le garage est détaché, laissez cette cellule vide. </t>
  </si>
  <si>
    <t>Sélectionnez une province dont vous voulez remplacer le facteur de GES, puis entrez la nouvelle valeur de l'intensité des GES dans la cellule correspondante ci-dessous.
Note : un seul type de carburant d'une province peut être remplacé à la fois.</t>
  </si>
  <si>
    <t>Ignore this cell of the Data sheet</t>
  </si>
  <si>
    <t>_Data</t>
  </si>
  <si>
    <t>File name:</t>
  </si>
  <si>
    <t>About this sheet</t>
  </si>
  <si>
    <t>Sheet code</t>
  </si>
  <si>
    <t>Width</t>
  </si>
  <si>
    <t>Height</t>
  </si>
  <si>
    <t>English version</t>
  </si>
  <si>
    <t>French version</t>
  </si>
  <si>
    <t>two_lines</t>
  </si>
  <si>
    <t>four_lines</t>
  </si>
  <si>
    <t>three_lines</t>
  </si>
  <si>
    <t>one_line</t>
  </si>
  <si>
    <t>five_lines</t>
  </si>
  <si>
    <t>French sheet name</t>
  </si>
  <si>
    <t>du berceau à la tombe</t>
  </si>
  <si>
    <t>Un moment s'il vous plaît…</t>
  </si>
  <si>
    <t>MATERIALS BY AREA &amp; R-VALUE</t>
  </si>
  <si>
    <t>,5</t>
  </si>
  <si>
    <t>,6</t>
  </si>
  <si>
    <t>,7</t>
  </si>
  <si>
    <t>,8</t>
  </si>
  <si>
    <t>MATÉRIAUX PAR SUPERFICIE ET VALEUR R</t>
  </si>
  <si>
    <t>Rounded Rectangle 1||Rectangle: Rounded Corners 1</t>
  </si>
  <si>
    <t>Rounded Rectangle 16||Rectangle: Rounded Corners 16</t>
  </si>
  <si>
    <t>Rounded Rectangle 15||Rectangle: Rounded Corners 15</t>
  </si>
  <si>
    <t>Rounded Rectangle 2||Rectangle: Rounded Corners 2</t>
  </si>
  <si>
    <t>Effacer cette fiche seulement</t>
  </si>
  <si>
    <t>Toutes les données sur la fiche "SCÉNARIOS" seront perdues.  Voulez-vous continuer ?</t>
  </si>
  <si>
    <t>Warning</t>
  </si>
  <si>
    <t>Alerte</t>
  </si>
  <si>
    <t>Sélectionnez le fichier de maison (h2k)</t>
  </si>
  <si>
    <t>Name of Scenario Here</t>
  </si>
  <si>
    <t>Project Carbon Content</t>
  </si>
  <si>
    <t>Step</t>
  </si>
  <si>
    <t>COMPONENT</t>
  </si>
  <si>
    <t>APPLICATION OF INPUT VALUE</t>
  </si>
  <si>
    <t>DESCRIPTION OF REQUIRED UNITS</t>
  </si>
  <si>
    <t>Framing, insulation and interior cladding of interior walls</t>
  </si>
  <si>
    <t>Square metres of insulation in the roof cavity. Typically this is equal to the attic floor or top floor ceiling area.</t>
  </si>
  <si>
    <t>Area of wall that attaches the garage to the building (excludes openings and exterior garage walls).
If the garage is detached, leave this cell blank.</t>
  </si>
  <si>
    <t>Square metres (Includes sloped and flat roofs; excludes overhangs)</t>
  </si>
  <si>
    <t>SECTION 1 ➜ COMPONENT MATERIALS FOR</t>
  </si>
  <si>
    <t>SELECT</t>
  </si>
  <si>
    <t>MINERAL WOOL BOARD</t>
  </si>
  <si>
    <t>FOAMGLASS AGGREGATE</t>
  </si>
  <si>
    <t>LINOLEUM FLOORING</t>
  </si>
  <si>
    <t>LAMINATE FLOORING</t>
  </si>
  <si>
    <t>CARPET</t>
  </si>
  <si>
    <t>SECTION 2 ➜ COMPONENT MATERIALS FOR</t>
  </si>
  <si>
    <t>SPRAY FOAM - CLOSED CELL</t>
  </si>
  <si>
    <t>INTERIOR FRAMING - WOOD</t>
  </si>
  <si>
    <t>SECTION 3 ➜ COMPONENT MATERIALS FOR</t>
  </si>
  <si>
    <t>SECTION 4 ➜ COMPONENT MATERIALS FOR</t>
  </si>
  <si>
    <t>SPRAY FOAM, CLOSED CELL</t>
  </si>
  <si>
    <t>SPRAY FOAM, OPEN CELL</t>
  </si>
  <si>
    <t>SECTION 5 ➜ COMPONENT MATERIALS FOR</t>
  </si>
  <si>
    <t>SECTION 6 ➜ COMPONENT MATERIALS FOR</t>
  </si>
  <si>
    <t>SECTION 7 ➜ COMPONENT MATERIALS FOR</t>
  </si>
  <si>
    <t>PLASTER FINISHES</t>
  </si>
  <si>
    <t>SECTION 8 ➜ COMPONENT MATERIALS FOR</t>
  </si>
  <si>
    <t>SECTION 9 ➜ COMPONENT MATERIALS FOR</t>
  </si>
  <si>
    <t>SECTION 10 ➜ COMPONENT MATERIALS FOR</t>
  </si>
  <si>
    <t>MINERAL WOOL LOOSE FILL</t>
  </si>
  <si>
    <t>SECTION 11 ➜ COMPONENT MATERIALS FOR</t>
  </si>
  <si>
    <t>SECTION 12 ➜ COMPONENT MATERIALS FOR</t>
  </si>
  <si>
    <t>WOOD STRAPPING</t>
  </si>
  <si>
    <t>SECTION 13 ➜ COMPONENT MATERIALS FOR</t>
  </si>
  <si>
    <t>CMU 8"</t>
  </si>
  <si>
    <t>SECTION 14 ➜ COMPONENT MATERIALS FOR</t>
  </si>
  <si>
    <t>1. Users can save scenarios to this page in order to compare results generated in the calculator.</t>
  </si>
  <si>
    <t>2. All data associated with the saved scenarios can be re-populated across the spreadsheet.</t>
  </si>
  <si>
    <t>4. Users can establish custom scenarios and apply these to different homes by loading a new geometry in the USER INPUT SHEET and clicking on the blue button on the left labeled "Recalculate all Scenarios".</t>
  </si>
  <si>
    <t>5 . This will calculate new values associated with the updated geometry for each saved scenario below.</t>
  </si>
  <si>
    <t>Height (m)</t>
  </si>
  <si>
    <t>Length (m)</t>
  </si>
  <si>
    <t>Width (m)</t>
  </si>
  <si>
    <t>Concrete</t>
  </si>
  <si>
    <t>EcoSmart Firecode</t>
  </si>
  <si>
    <t>Sheet style</t>
  </si>
  <si>
    <t>R 4/inch</t>
  </si>
  <si>
    <t>Foamular 250</t>
  </si>
  <si>
    <t>GHG Factor Wood</t>
  </si>
  <si>
    <t>Fuel consumption from h2k file</t>
  </si>
  <si>
    <t>Energy Generation</t>
  </si>
  <si>
    <t>Electricity generated on-site has already been subtracted from the total energy consumption in cell M9.</t>
  </si>
  <si>
    <t xml:space="preserve">When considering different scenarios, users should ensure that thermal resistances of assemblies are consistent, as these will determine the energy consumption of the home. Where these change, users should also revise the energy model and update the energy consumption values. </t>
  </si>
  <si>
    <r>
      <t xml:space="preserve">
</t>
    </r>
    <r>
      <rPr>
        <b/>
        <sz val="12"/>
        <color theme="1"/>
        <rFont val="Arial"/>
        <family val="2"/>
      </rPr>
      <t/>
    </r>
  </si>
  <si>
    <r>
      <t>Outil d’estimation d’émissions de carbone des matériaux (E</t>
    </r>
    <r>
      <rPr>
        <b/>
        <vertAlign val="superscript"/>
        <sz val="22"/>
        <color theme="0"/>
        <rFont val="Arial"/>
        <family val="2"/>
      </rPr>
      <t>2</t>
    </r>
    <r>
      <rPr>
        <b/>
        <sz val="22"/>
        <color theme="0"/>
        <rFont val="Arial"/>
        <family val="2"/>
      </rPr>
      <t>CM)</t>
    </r>
  </si>
  <si>
    <r>
      <t>Estimateur d'émissions de carbone des matériaux (E</t>
    </r>
    <r>
      <rPr>
        <b/>
        <vertAlign val="superscript"/>
        <sz val="22"/>
        <color theme="0"/>
        <rFont val="Arial"/>
        <family val="2"/>
      </rPr>
      <t>2</t>
    </r>
    <r>
      <rPr>
        <b/>
        <sz val="22"/>
        <color theme="0"/>
        <rFont val="Arial"/>
        <family val="2"/>
      </rPr>
      <t xml:space="preserve">CM) </t>
    </r>
  </si>
  <si>
    <r>
      <t xml:space="preserve">1 – Les résultats de cet outil sont une estimation des émissions de carbone des matériaux (ECM) de votre projet de construction fini.
</t>
    </r>
    <r>
      <rPr>
        <sz val="11"/>
        <color rgb="FF000000"/>
        <rFont val="Arial"/>
        <family val="2"/>
      </rPr>
      <t>Ces résultats peuvent être considérés de la même manière que les résultats d’un modèle énergétique de base pour une maison. De même qu’un modèle énergétique simple permet de prédire relativement bien l’efficacité comparative de différentes stratégies d’efficacité, un tel modèle ne vous dira pas nécessairement combien d’énergie le bâtiment consommera finalement. Cet outil d’estimation doit être utilisé pour évaluer les ECM relatives de différentes approches de construction pour un projet de maison ou de rénovation.</t>
    </r>
  </si>
  <si>
    <r>
      <t xml:space="preserve">2 – Cet outil n’est pas destiné à être utilisé comme un outil de programme ou de conformité. </t>
    </r>
    <r>
      <rPr>
        <sz val="11"/>
        <color rgb="FF000000"/>
        <rFont val="Arial"/>
        <family val="2"/>
      </rPr>
      <t>L’outil est destiné à fournir à l’industrie de la construction et de la rénovation de maisons des outils de connaissance pour soutenir les décisions concernant les ECM relatives de différentes approches de construction.</t>
    </r>
  </si>
  <si>
    <r>
      <t xml:space="preserve">3 - This calculator provides a range of possible material and construction technologies, but does not include every material available. </t>
    </r>
    <r>
      <rPr>
        <sz val="11"/>
        <color rgb="FF000000"/>
        <rFont val="Arial"/>
        <family val="2"/>
      </rPr>
      <t>Every effort has been made to include the most relevant information on common materials and systems at the time of publication.  Product manufacturers and suppliers whose product data is not included can provide NRCan with relevant Environmental Product Declaration (EPD) and product documentation, and these will be reviewed and included in a scheduled update (timing TBD).</t>
    </r>
  </si>
  <si>
    <r>
      <t xml:space="preserve">3 – Cet outil fournit une gamme de matériaux et de technologies de construction possibles, mais n’inclut pas tous les matériaux sur le marché. </t>
    </r>
    <r>
      <rPr>
        <sz val="11"/>
        <color rgb="FF000000"/>
        <rFont val="Arial"/>
        <family val="2"/>
      </rPr>
      <t>Tous les efforts ont été faits pour inclure les informations les plus pertinentes sur les matériaux et systèmes courants au moment de la publication. Les fabricants et les fournisseurs de produits dont les données ne sont pas incluses peuvent fournir à RNCan la documentation pertinente sur les Déclarations Environnementale de Produit (DEP) et les produits, qui sera examinée et incluse dans une mise à jour prévue (date à déterminer).</t>
    </r>
  </si>
  <si>
    <t>En choisissant les matériaux en connaissance de cause, un bâtiment ayant la même taille, la même fonction et la même performance énergétique peut réduire considérablement ses ECM. En fait, il est possible, avec les matériaux disponibles aujourd’hui, de faire en sorte que les ECM des bâtiments soient proches de zéro, voire inférieurs.</t>
  </si>
  <si>
    <t>Les données de cet outil d’estimation proviennent des déclarations environnementales de produits (DEP) publiées.
Ces documents fournissent les résultats d’une « analyse du cycle de vie » (ACV) qui a été réalisée et rapportée selon les règles de catégories de produits (RCP) définies et réglementées par les normes ISO. Les DEP sont réalisées ou vérifiées par une tierce partie. Les DEP ne peuvent pas comparer des matériaux destinés à des usages différents (par exemple, du bois de construction à des carreaux de sol). Même au sein d’une même catégorie de produits, il peut être difficile de comparer les chiffres de la DEP, car les valeurs exprimées pour chaque matériau peuvent ne pas être directement comparables (par exemple, les kilogrammes de briques ne peuvent être comparés aux mètres carrés de bardage en bois). Cet outil d’estimation normalise toutes les valeurs exprimées dans les DEP sources afin de s’assurer que les types de matériaux appropriés sont comparés dans les quantités appropriées (c’est-à-dire les mètres carrés de briques et les mètres carrés de bardage en bois).</t>
  </si>
  <si>
    <t>Source de données : étude ACV</t>
  </si>
  <si>
    <t>Source des données : autre que DEP, ACV ou base de données.</t>
  </si>
  <si>
    <t>Systèmes et composants mécaniques, électriques et de plomberie</t>
  </si>
  <si>
    <r>
      <t>Estimateur d'émissions de carbone des matériaux  (E</t>
    </r>
    <r>
      <rPr>
        <vertAlign val="superscript"/>
        <sz val="11"/>
        <color theme="1"/>
        <rFont val="Calibri"/>
        <family val="2"/>
        <scheme val="minor"/>
      </rPr>
      <t>2</t>
    </r>
    <r>
      <rPr>
        <sz val="11"/>
        <color theme="1"/>
        <rFont val="Calibri"/>
        <family val="2"/>
        <scheme val="minor"/>
      </rPr>
      <t>CM)</t>
    </r>
  </si>
  <si>
    <t>Notes on Energy Consumption</t>
  </si>
  <si>
    <t>Type notes here</t>
  </si>
  <si>
    <r>
      <t>ft</t>
    </r>
    <r>
      <rPr>
        <b/>
        <vertAlign val="superscript"/>
        <sz val="12"/>
        <color theme="1"/>
        <rFont val="Arial"/>
        <family val="2"/>
      </rPr>
      <t xml:space="preserve">3 </t>
    </r>
    <r>
      <rPr>
        <b/>
        <sz val="12"/>
        <color theme="1"/>
        <rFont val="Wingdings"/>
        <charset val="2"/>
      </rPr>
      <t>à</t>
    </r>
  </si>
  <si>
    <r>
      <t>ft</t>
    </r>
    <r>
      <rPr>
        <b/>
        <vertAlign val="superscript"/>
        <sz val="12"/>
        <color theme="1"/>
        <rFont val="Arial"/>
        <family val="2"/>
      </rPr>
      <t>2</t>
    </r>
    <r>
      <rPr>
        <b/>
        <sz val="12"/>
        <color theme="1"/>
        <rFont val="Wingdings"/>
        <charset val="2"/>
      </rPr>
      <t>à</t>
    </r>
  </si>
  <si>
    <r>
      <t xml:space="preserve">ft </t>
    </r>
    <r>
      <rPr>
        <b/>
        <sz val="12"/>
        <color theme="1"/>
        <rFont val="Wingdings"/>
        <charset val="2"/>
      </rPr>
      <t>à</t>
    </r>
  </si>
  <si>
    <r>
      <t>pi</t>
    </r>
    <r>
      <rPr>
        <b/>
        <vertAlign val="superscript"/>
        <sz val="12"/>
        <color theme="1"/>
        <rFont val="Arial"/>
        <family val="2"/>
      </rPr>
      <t>2</t>
    </r>
    <r>
      <rPr>
        <b/>
        <sz val="12"/>
        <color theme="1"/>
        <rFont val="Wingdings"/>
        <charset val="2"/>
      </rPr>
      <t>à</t>
    </r>
  </si>
  <si>
    <r>
      <t xml:space="preserve">pi </t>
    </r>
    <r>
      <rPr>
        <b/>
        <sz val="12"/>
        <color theme="1"/>
        <rFont val="Wingdings"/>
        <charset val="2"/>
      </rPr>
      <t>à</t>
    </r>
  </si>
  <si>
    <r>
      <t>pi</t>
    </r>
    <r>
      <rPr>
        <b/>
        <vertAlign val="superscript"/>
        <sz val="12"/>
        <color theme="1"/>
        <rFont val="Arial"/>
        <family val="2"/>
      </rPr>
      <t xml:space="preserve">3 </t>
    </r>
    <r>
      <rPr>
        <b/>
        <sz val="12"/>
        <color theme="1"/>
        <rFont val="Wingdings"/>
        <charset val="2"/>
      </rPr>
      <t>à</t>
    </r>
  </si>
  <si>
    <t>3. To populate a scenario in the estimator, users can select the scenario by clicking on the green button labeled "Reset Calculator" on the left.</t>
  </si>
  <si>
    <t xml:space="preserve">3. To populate a scenario in the estimator, users can select the scenario by clicking on the green button labeled "Reset Calculator" on the left. </t>
  </si>
  <si>
    <t>L'électricité produite sur place a déjà été soustraite de la consommation totale d'énergie dans la cellule M9.</t>
  </si>
  <si>
    <t>Lors de l'examen de différents scénarios, les utilisateurs doivent s'assurer que les résistances thermiques des assemblages sont constant, car elles détermineront la consommation énergétique de la maison. Lorsque ceux-ci changent, les utilisateurs doivent également réviser le modèle énergétique et mettre à jour les valeurs de consommation d'énergie.</t>
  </si>
  <si>
    <t>User or embodied carbon advisor to provide recommendations here…</t>
  </si>
  <si>
    <t>Génération d'énergie</t>
  </si>
  <si>
    <t>When considering different scenarios, users should ensure that thermal resistances of assemblies are consistent, as these will determine the energy consumption of the home. Where these change, users should also revise the energy model and update the energy consumption values.</t>
  </si>
  <si>
    <t>La consommation d'énergie reflète les valeurs de HOT2000, les utilisateurs doivent mettre à jour manuellement les valeurs s'ils utilisent un autre logiciel de modélisation.</t>
  </si>
  <si>
    <t xml:space="preserve">Energy consumption reflects values from HOT2000, users should manually update values if using a different modeling software. </t>
  </si>
  <si>
    <t>Notes sur la consommation d'énergie</t>
  </si>
  <si>
    <r>
      <rPr>
        <b/>
        <sz val="9"/>
        <color theme="1"/>
        <rFont val="Arial"/>
        <family val="2"/>
      </rPr>
      <t>Disclaimer:</t>
    </r>
    <r>
      <rPr>
        <sz val="9"/>
        <color theme="1"/>
        <rFont val="Arial"/>
        <family val="2"/>
      </rPr>
      <t xml:space="preserve">
Neither Natural Resources Canada nor any of its employees makes any warranty express or implied, or assumes any legal liability or responsibility for the accuracy, completeness or usefulness of its contents. Reference in the tool to any specific commercial product, process, service or organization does not necessarily constitute or imply endorsement, recommendation or favouring by Natural Resources Canada. The views and opinions of authors expressed in this tool do not necessarily state or reflect those of Natural Resources Canada.
Funding for this work was provided by Natural Resources Canada through the Program of Energy Research and Development, Green Infrastructure program and the Office of Energy Efficiency, Housing and Communities Division.
This spreadsheet has been optimized for use in Microsoft Windows Excel versions 2016 onwards. Running the software on legacy versions of Microsoft Excel or other operating systems may not work.</t>
    </r>
  </si>
  <si>
    <r>
      <rPr>
        <b/>
        <sz val="9"/>
        <color theme="1"/>
        <rFont val="Arial"/>
        <family val="2"/>
      </rPr>
      <t>Avertissement :</t>
    </r>
    <r>
      <rPr>
        <sz val="9"/>
        <color theme="1"/>
        <rFont val="Arial"/>
        <family val="2"/>
      </rPr>
      <t xml:space="preserve">
Ressources naturelles Canada et aucun de ses employés ne font aucune garantie, formelle ou tacite, et n’assument aucune responsabilité légale ou autre à l’égard de l’exactitude, de l’exhaustivité ou de l’utilité du contenu du rapport. Toute référence dans l'outil à quelque produit, processus, service ou organisation que ce soit ne constitue pas nécessairement une approbation, une recommandation ou une préférence de la part de Ressources naturelles Canada. Les points de vue et les opinions exprimés par les auteurs dans cet outil ne sont pas et ne reflètent pas nécessairement ceux de Ressources naturelles Canada. 
Ces travaux ont été réalisés grâce au financement fourni par Ressources naturelles Canada dans le cadre du Programme de recherche et de développement énergétiques, du programme Infrastructures vertes et de l’Office de l'efficacité énergétique, Division du logement et des collectivités.
Cette feuille de calcul a été optimisée pour être utilisée dans les versions 2016 et suivantes de Microsoft Windows Excel. L'exécution du logiciel sur des versions antérieures de Microsoft Excel ou d'autres systèmes d'exploitation pourrait ne pas fonctionner. </t>
    </r>
  </si>
  <si>
    <t>Biogenic Storage Adjustment Factor</t>
  </si>
  <si>
    <r>
      <rPr>
        <b/>
        <sz val="8"/>
        <color theme="4" tint="-0.249977111117893"/>
        <rFont val="Arial"/>
        <family val="2"/>
      </rPr>
      <t>Note: In grids with low carbon intensities, MCE</t>
    </r>
    <r>
      <rPr>
        <b/>
        <vertAlign val="superscript"/>
        <sz val="8"/>
        <color theme="4" tint="-0.249977111117893"/>
        <rFont val="Arial"/>
        <family val="2"/>
      </rPr>
      <t>2</t>
    </r>
    <r>
      <rPr>
        <b/>
        <sz val="8"/>
        <color theme="4" tint="-0.249977111117893"/>
        <rFont val="Arial"/>
        <family val="2"/>
      </rPr>
      <t xml:space="preserve"> users should consider energy efficiency measures to reduce overall loads on local and regional grids. </t>
    </r>
    <r>
      <rPr>
        <sz val="8"/>
        <rFont val="Arial"/>
        <family val="2"/>
      </rPr>
      <t xml:space="preserve">
The Cumulative Carbon Emissions chart offers a simplified view of the climate impact of materials manufacturing and building operations for the initial 30 years. This chart should be used as a directional guidepost for where to focus carbon reduction efforts, rather than as a predictive model for future emissions. There are several unknowns which may cause deviations from this model, some of which are described below. 
</t>
    </r>
    <r>
      <rPr>
        <u/>
        <sz val="8"/>
        <rFont val="Arial"/>
        <family val="2"/>
      </rPr>
      <t xml:space="preserve">
Notes on simplifying assumptions
</t>
    </r>
    <r>
      <rPr>
        <sz val="8"/>
        <rFont val="Arial"/>
        <family val="2"/>
      </rPr>
      <t>- Only the cradle-to-gate new construction material carbon emissions are modeled. Realistically, there would be some fluctuations in material carbon due to renovations, maintenance, material decomposition, etc. 
- The operational carbon emissions, the grey line, is shown to increase at the same annual rate. This too, in reality, will vary from year to year and especially as the building ages. 
- GHG emissions associated with fuels and electricity generation (by province or territory) are unchanging values. These values should be reasonably expected to change over time.</t>
    </r>
  </si>
  <si>
    <r>
      <rPr>
        <b/>
        <sz val="8"/>
        <color theme="4" tint="-0.249977111117893"/>
        <rFont val="Arial"/>
        <family val="2"/>
      </rPr>
      <t>Note : Dans les réseaux électrique à faible intensité de carbone, les utilisateurs de E</t>
    </r>
    <r>
      <rPr>
        <b/>
        <vertAlign val="superscript"/>
        <sz val="8"/>
        <color theme="4" tint="-0.249977111117893"/>
        <rFont val="Arial"/>
        <family val="2"/>
      </rPr>
      <t>2</t>
    </r>
    <r>
      <rPr>
        <b/>
        <sz val="8"/>
        <color theme="4" tint="-0.249977111117893"/>
        <rFont val="Arial"/>
        <family val="2"/>
      </rPr>
      <t>CM</t>
    </r>
    <r>
      <rPr>
        <b/>
        <vertAlign val="superscript"/>
        <sz val="8"/>
        <color theme="4" tint="-0.249977111117893"/>
        <rFont val="Arial"/>
        <family val="2"/>
      </rPr>
      <t xml:space="preserve"> </t>
    </r>
    <r>
      <rPr>
        <b/>
        <sz val="8"/>
        <color theme="4" tint="-0.249977111117893"/>
        <rFont val="Arial"/>
        <family val="2"/>
      </rPr>
      <t xml:space="preserve">devraient envisager des mesures d'efficacité énergétique afin de réduire les charges globales sur les réseaux locaux et régionaux.  </t>
    </r>
    <r>
      <rPr>
        <sz val="8"/>
        <rFont val="Arial"/>
        <family val="2"/>
      </rPr>
      <t xml:space="preserve">
Le tableau des émissions cumulées de carbone offre une vue simplifiée de l'impact climatique de la fabrication des matériaux et des opérations de construction pour les 30 premières années. Ce tableau doit être utilisé comme un guide pour orienter les efforts de réduction du carbone, plutôt que comme un modèle prédictif des émissions futures. Il existe plusieurs inconnues qui peuvent entraîner des écarts par rapport à ce modèle, dont certaines sont décrites ci-dessous.
</t>
    </r>
    <r>
      <rPr>
        <u/>
        <sz val="8"/>
        <rFont val="Arial"/>
        <family val="2"/>
      </rPr>
      <t xml:space="preserve">
Notes sur la simplification des hypothèses
</t>
    </r>
    <r>
      <rPr>
        <sz val="8"/>
        <rFont val="Arial"/>
        <family val="2"/>
      </rPr>
      <t>- Seules les émissions de carbone des matériaux de construction neufs du berceau à la porte sont modélisées. De manière réaliste, il y aurait des fluctuations dans le carbone matériel en raison des rénovations, de l'entretien, de la décomposition du matériel, etc.
- Les émissions de carbone opérationnelles, la ligne grise, augmentent au même rythme annuel. Cela aussi, en réalité, variera d'une année à l'autre et surtout à mesure que le bâtiment vieillit.
- Les émissions de GES associées aux combustibles et à la production d'électricité (par province ou territoire) sont des valeurs invariables. On peut raisonnablement s'attendre à ce que ces valeurs évoluent dans le temps.</t>
    </r>
  </si>
  <si>
    <t>Avg of East and West region</t>
  </si>
  <si>
    <t>EPD 338</t>
  </si>
  <si>
    <t>DLW Linoleum Acousticplus</t>
  </si>
  <si>
    <t>US</t>
  </si>
  <si>
    <t>m²</t>
  </si>
  <si>
    <t>UL Environment</t>
  </si>
  <si>
    <t>No biogenic carbon credited</t>
  </si>
  <si>
    <t>m2 @ 1/2"</t>
  </si>
  <si>
    <t>4789103593.101.1</t>
  </si>
  <si>
    <t>UL</t>
  </si>
  <si>
    <t>m2 @ 1/2'' / m3</t>
  </si>
  <si>
    <t>m2 @  7/16"</t>
  </si>
  <si>
    <t>4789103593.102.1</t>
  </si>
  <si>
    <t>kg/m2 at  7/16"</t>
  </si>
  <si>
    <t>m2 @ 7/16'' / m3</t>
  </si>
  <si>
    <t>m2 @ 19/32"</t>
  </si>
  <si>
    <t>m2 @ 19/32'' / m3</t>
  </si>
  <si>
    <t>GRF cellulosic facer</t>
  </si>
  <si>
    <t>US &amp; CA</t>
  </si>
  <si>
    <t>m2•RSI</t>
  </si>
  <si>
    <t>EPD 255</t>
  </si>
  <si>
    <t>ASTM International</t>
  </si>
  <si>
    <t>Polysio Roof insulation boards</t>
  </si>
  <si>
    <t>EPD 271</t>
  </si>
  <si>
    <t>Polysio Wall insulation boards</t>
  </si>
  <si>
    <t>EPD 253</t>
  </si>
  <si>
    <t>0.085" Single 7" wood Shake appearance</t>
  </si>
  <si>
    <t>EPD 327</t>
  </si>
  <si>
    <t>Spray polyurethane foam - Closed Cell - HFO gas filled</t>
  </si>
  <si>
    <t xml:space="preserve">EPD 070 </t>
  </si>
  <si>
    <t>Spray polyurethane foam - High Density - HFO gas filled</t>
  </si>
  <si>
    <t>Spray polyurethane foam - Open Cell - HFO gas</t>
  </si>
  <si>
    <t xml:space="preserve">Steel studs - Load bearing </t>
  </si>
  <si>
    <t>m of "2x6" stud</t>
  </si>
  <si>
    <t>4789752901.101.1</t>
  </si>
  <si>
    <t>600-S-137-54, 16 gauge, "2x6"</t>
  </si>
  <si>
    <t>4789995390.101.1</t>
  </si>
  <si>
    <t>362-S-125-18, 20EQ gauge, "2x4"</t>
  </si>
  <si>
    <t>m of "2x4" stud</t>
  </si>
  <si>
    <t>EPD 325</t>
  </si>
  <si>
    <t>35kg/m3</t>
  </si>
  <si>
    <t>EPD-GTX-20190018-IBA1-EN</t>
  </si>
  <si>
    <t>kg/m2•RSI</t>
  </si>
  <si>
    <t>EPD-GTX-20200178-IBC1-EN</t>
  </si>
  <si>
    <t>Concrete - 25 MPa, Quebec Baseline Average</t>
  </si>
  <si>
    <t>ABQ</t>
  </si>
  <si>
    <t>Can. Quebec Avg.</t>
  </si>
  <si>
    <t>Avg of Baseline with &amp; without air</t>
  </si>
  <si>
    <t>CA</t>
  </si>
  <si>
    <t>EPD 352</t>
  </si>
  <si>
    <t>Concrete - 25 MPa, 10% SL, GU</t>
  </si>
  <si>
    <t>Avg of Mix with &amp; without air</t>
  </si>
  <si>
    <t>Concrete - 25 MPa, 10% FA, GU</t>
  </si>
  <si>
    <t>Concrete - 25 MPa, 20% SL, GU</t>
  </si>
  <si>
    <t>Concrete - 25 MPa, 20% FA, GU</t>
  </si>
  <si>
    <t>Concrete - 25 MPa, 30% SL, GU</t>
  </si>
  <si>
    <t>Concrete - 25 MPa, 30% FA, GU</t>
  </si>
  <si>
    <t>Concrete - 30 MPa, Quebec Baseline Average</t>
  </si>
  <si>
    <t>Concrete - 30 MPa, 10% SL, GU</t>
  </si>
  <si>
    <t>Concrete - 30 MPa, 10% FA, GU</t>
  </si>
  <si>
    <t>Concrete - 30 MPa, 20% SL, GU</t>
  </si>
  <si>
    <t>Concrete - 30 MPa, 20% FA, GU</t>
  </si>
  <si>
    <t>Concrete - 30 MPa, 30% SL, GU</t>
  </si>
  <si>
    <t>Concrete - 30 MPa, 30% FA, GU</t>
  </si>
  <si>
    <t>Concrete - 35 MPa, Quebec Baseline Average</t>
  </si>
  <si>
    <t>Concrete - 35 MPa, 10% SL, GU</t>
  </si>
  <si>
    <t>Concrete - 35 MPa, 10% FA, GU</t>
  </si>
  <si>
    <t>Concrete - 35 MPa, 20% SL, GU</t>
  </si>
  <si>
    <t>Concrete - 35 MPa, 20% FA, GU</t>
  </si>
  <si>
    <t>Concrete - 35 MPa, 30% SL, GU</t>
  </si>
  <si>
    <t>Concrete - 35 MPa, 30% FA, GU</t>
  </si>
  <si>
    <t>Concrete - 25 MPa, GU</t>
  </si>
  <si>
    <t>RMCAO</t>
  </si>
  <si>
    <t>Can. Ontario Avg.</t>
  </si>
  <si>
    <t>Mix without air</t>
  </si>
  <si>
    <t>EPD 351</t>
  </si>
  <si>
    <t>Concrete - 25 MPa, 15% SL, GU</t>
  </si>
  <si>
    <t>Concrete - 25 MPa, 25% SL, GU</t>
  </si>
  <si>
    <t>Concrete - 25 MPa, 35% SL, GU</t>
  </si>
  <si>
    <t>Concrete - 25 MPa, 50% SL, GU</t>
  </si>
  <si>
    <t>Concrete - 30 MPa, GU</t>
  </si>
  <si>
    <t>Concrete - 30 MPa, 15% SL, GU</t>
  </si>
  <si>
    <t>Concrete - 30 MPa, 25% SL, GU</t>
  </si>
  <si>
    <t>Concrete - 30 MPa, 35% SL, GU</t>
  </si>
  <si>
    <t>Concrete - 30 MPa, 50% SL, GU</t>
  </si>
  <si>
    <t>Concrete - 35 MPa, GU</t>
  </si>
  <si>
    <t>Concrete - 35 MPa, 15% SL, GU</t>
  </si>
  <si>
    <t>Concrete - 35 MPa, 25% SL, GU</t>
  </si>
  <si>
    <t>Concrete - 35 MPa, 35% SL, GU</t>
  </si>
  <si>
    <t>Concrete - 35 MPa, 50% SL, GU</t>
  </si>
  <si>
    <t>SRMCA</t>
  </si>
  <si>
    <t>Can. Sask Avg.</t>
  </si>
  <si>
    <t>EPD 350</t>
  </si>
  <si>
    <t>Concrete - 25 MPa, 40% FA, GU</t>
  </si>
  <si>
    <t>Concrete - 30 MPa, 40% FA, GU</t>
  </si>
  <si>
    <t>Concrete - 35 MPa, 40% FA, GU</t>
  </si>
  <si>
    <t>MRMCA</t>
  </si>
  <si>
    <t>Can. Manitoba Avg.</t>
  </si>
  <si>
    <t>EPD 349</t>
  </si>
  <si>
    <t>BCRMCA</t>
  </si>
  <si>
    <t>Can. BC Avg.</t>
  </si>
  <si>
    <t>EPD 348</t>
  </si>
  <si>
    <t>Concrete - 25 MPa, 15% SCM, GU</t>
  </si>
  <si>
    <t>Concrete - 25 MPa, 25% SCM, GU</t>
  </si>
  <si>
    <t>Concrete - 25 MPa, 40% SCM, GU</t>
  </si>
  <si>
    <t>Concrete - 30 MPa, 15% SCM, GU</t>
  </si>
  <si>
    <t>Concrete - 30 MPa, 25% SCM, GU</t>
  </si>
  <si>
    <t>Concrete - 30 MPa, 40% SCM, GU</t>
  </si>
  <si>
    <t>Concrete - 35 MPa, 15% SCM, GU</t>
  </si>
  <si>
    <t>Concrete - 35 MPa, 25% SCM, GU</t>
  </si>
  <si>
    <t>Concrete - 35 MPa, 40% SCM, GU</t>
  </si>
  <si>
    <t>ACA</t>
  </si>
  <si>
    <t>Can. Atlantic Avg.</t>
  </si>
  <si>
    <t>EPD 347</t>
  </si>
  <si>
    <t>ARMCA</t>
  </si>
  <si>
    <t>Can. Alberta Avg.</t>
  </si>
  <si>
    <t>EPD 346</t>
  </si>
  <si>
    <t>Shaw - Patcraft</t>
  </si>
  <si>
    <t>Luxury Vinyl Tile</t>
  </si>
  <si>
    <t xml:space="preserve">2 - 5 mm </t>
  </si>
  <si>
    <t>4790050503.103.1</t>
  </si>
  <si>
    <t>g/mm2</t>
  </si>
  <si>
    <t>DLW Linoleum Compact</t>
  </si>
  <si>
    <t xml:space="preserve">4788756650.102.1 </t>
  </si>
  <si>
    <t>Johns Manville</t>
  </si>
  <si>
    <t>Climate Pro, Attic Protector, JM Spider PLUS (Canada)</t>
  </si>
  <si>
    <t>R 2.8/inch, Formaldehyde-free</t>
  </si>
  <si>
    <t>4789973160.110.1</t>
  </si>
  <si>
    <t>E-series (Average Double-hung/Awning/Picture)</t>
  </si>
  <si>
    <t>SCS-EPD-07201</t>
  </si>
  <si>
    <t>SCS Global Services</t>
  </si>
  <si>
    <t>National Gypsum</t>
  </si>
  <si>
    <t xml:space="preserve">Gold Bond XP Gypsum Board </t>
  </si>
  <si>
    <t>EPD10792</t>
  </si>
  <si>
    <t>kg/92.9m2</t>
  </si>
  <si>
    <t xml:space="preserve">Gold Bond XP Fire-Shield Gypsum Board </t>
  </si>
  <si>
    <t>5/8'' type X</t>
  </si>
  <si>
    <t>m2 @ 5/8"</t>
  </si>
  <si>
    <t>J+J Flooring</t>
  </si>
  <si>
    <t>Standard Back</t>
  </si>
  <si>
    <t>all Broadloom styles</t>
  </si>
  <si>
    <t>EPD10781</t>
  </si>
  <si>
    <t>Mannington</t>
  </si>
  <si>
    <t>2.5 mm Tile and Plank</t>
  </si>
  <si>
    <t>EPD10668</t>
  </si>
  <si>
    <t>Timberline Cool Series</t>
  </si>
  <si>
    <t>EPD10396</t>
  </si>
  <si>
    <t>Excl. Fasteners</t>
  </si>
  <si>
    <t>Legato Flooring</t>
  </si>
  <si>
    <t>liquid applied</t>
  </si>
  <si>
    <t>EPD10362</t>
  </si>
  <si>
    <t>kg/dm3</t>
  </si>
  <si>
    <t>Fireclay Tile</t>
  </si>
  <si>
    <t>Ceramic - recycled content</t>
  </si>
  <si>
    <t>Standard and Second grade</t>
  </si>
  <si>
    <t>recycled content</t>
  </si>
  <si>
    <t>EPD10355</t>
  </si>
  <si>
    <t>American Wonder Porcelain</t>
  </si>
  <si>
    <t>Procelain - recycled content</t>
  </si>
  <si>
    <t>EPD10277</t>
  </si>
  <si>
    <t>Equitone</t>
  </si>
  <si>
    <t>Pictura and Natura Pro</t>
  </si>
  <si>
    <t>8 mm (5/16")</t>
  </si>
  <si>
    <t>Global</t>
  </si>
  <si>
    <t>EPD-ETE-20190179-CCC1-EN</t>
  </si>
  <si>
    <t>Tectiva</t>
  </si>
  <si>
    <t>EPD-ETE-20190007-ICA1-EN</t>
  </si>
  <si>
    <t>Natura, Textura and Materia</t>
  </si>
  <si>
    <t>EPD-ELH-20180136-CAC1-EN</t>
  </si>
  <si>
    <t>Ecocoon</t>
  </si>
  <si>
    <t>Standard and Brace Panels</t>
  </si>
  <si>
    <t>40cm R16, panel only</t>
  </si>
  <si>
    <t>Wooden frame with straw filling</t>
  </si>
  <si>
    <t>EPD-2022-7601</t>
  </si>
  <si>
    <t>N.a.</t>
  </si>
  <si>
    <t>kg/m2 at 40cm</t>
  </si>
  <si>
    <t>SHAW</t>
  </si>
  <si>
    <t>Slender - Thin Face Brick</t>
  </si>
  <si>
    <t>2 1/4" x 1/2" x 7-1/2" (57 x 12.7 mm x 190) incl. 3/8" mortar</t>
  </si>
  <si>
    <t>EPD 359</t>
  </si>
  <si>
    <t>Nucor Corporation</t>
  </si>
  <si>
    <t>Canadian sizes</t>
  </si>
  <si>
    <t>North America</t>
  </si>
  <si>
    <t>4789793365.101.1</t>
  </si>
  <si>
    <t>20M</t>
  </si>
  <si>
    <t>ArcelorMittal Long Products Canada</t>
  </si>
  <si>
    <t>Canada</t>
  </si>
  <si>
    <t>4937-6316</t>
  </si>
  <si>
    <t>CSA Groups</t>
  </si>
  <si>
    <t>4789710952.101.1</t>
  </si>
  <si>
    <t>North American Fiberboard Association</t>
  </si>
  <si>
    <t>4789410886.101.1</t>
  </si>
  <si>
    <t>DuPont</t>
  </si>
  <si>
    <t>Styrofoam (Blue) (Legacy)</t>
  </si>
  <si>
    <t>R 5.6/inch</t>
  </si>
  <si>
    <t>Includes B1 offgasing</t>
  </si>
  <si>
    <t>4789559274.101.1</t>
  </si>
  <si>
    <t>Styrofoam (Grey, Reduced GWP)</t>
  </si>
  <si>
    <t>4789559274.102.1</t>
  </si>
  <si>
    <t>R 5.0/inch</t>
  </si>
  <si>
    <t>Soprema</t>
  </si>
  <si>
    <t>EPD-283</t>
  </si>
  <si>
    <t>ComfortBatt R14</t>
  </si>
  <si>
    <t>R 4.0/inch, 3.5"</t>
  </si>
  <si>
    <t>RSI (m2K/W)</t>
  </si>
  <si>
    <t>ComfortBatt R15</t>
  </si>
  <si>
    <t>R 4.3/inch, 3.5"</t>
  </si>
  <si>
    <t>ComfortBatt R22</t>
  </si>
  <si>
    <t>R 4.0/inch, 5.5"</t>
  </si>
  <si>
    <t>ComfortBatt R24</t>
  </si>
  <si>
    <t>R 4.4/inch, 5.5"</t>
  </si>
  <si>
    <t>ComfortBatt R24 SS</t>
  </si>
  <si>
    <t>R 4.0/inch, 6" Steel Studs</t>
  </si>
  <si>
    <t>Comfortboard 80</t>
  </si>
  <si>
    <t>4789092768.101.1</t>
  </si>
  <si>
    <t>Thermax</t>
  </si>
  <si>
    <t>4789559274.103.1</t>
  </si>
  <si>
    <t>Roseburg Forest Products</t>
  </si>
  <si>
    <t>RigidLam LVL</t>
  </si>
  <si>
    <t>4786969381.104.1</t>
  </si>
  <si>
    <t>Huntsman Building Solutions</t>
  </si>
  <si>
    <t>Heatlok HFO &amp; Heatlok Soya HFO</t>
  </si>
  <si>
    <t>4789773836.101.1</t>
  </si>
  <si>
    <t>Includes: Atlas, Firestone, GAF, Johns Manville, Rmax, Carlisle, Iko, Soprema</t>
  </si>
  <si>
    <t>EPD10466</t>
  </si>
  <si>
    <t>Wheat &amp; barley straw</t>
  </si>
  <si>
    <t>S-P-03854</t>
  </si>
  <si>
    <t>Engineered Wood Siding &amp; Trim</t>
  </si>
  <si>
    <t>LP</t>
  </si>
  <si>
    <t>SmartSide</t>
  </si>
  <si>
    <t>0.315" (8 mm)</t>
  </si>
  <si>
    <t>SFI sourced raw logs (aspen)</t>
  </si>
  <si>
    <t>m2 at 8 mm (0.315")</t>
  </si>
  <si>
    <t>EPD192</t>
  </si>
  <si>
    <t>0.375" (9.5 mm)</t>
  </si>
  <si>
    <t>m2 at 9.5 mm (0.375")</t>
  </si>
  <si>
    <t>m2 at 9.5 mm (3/8")</t>
  </si>
  <si>
    <t>0.530" (13.5 mm)</t>
  </si>
  <si>
    <t>m2 at 13.5 mm (0.530")</t>
  </si>
  <si>
    <t>Inline Fiberglass</t>
  </si>
  <si>
    <t>300 Series Tilt and Turn, 300 Series Fixed, 325 Series Awning/Casement, 325 Series Fixed, and 400 Series</t>
  </si>
  <si>
    <t>Assumed to be double-glazed</t>
  </si>
  <si>
    <t>m2 of window</t>
  </si>
  <si>
    <t>EPD 266</t>
  </si>
  <si>
    <t>kg/m2 window</t>
  </si>
  <si>
    <t>James Hardie</t>
  </si>
  <si>
    <t>HardiePanel®</t>
  </si>
  <si>
    <t>8 mm</t>
  </si>
  <si>
    <t>S-P-01432</t>
  </si>
  <si>
    <t>GlasRoc Sheathing gypsum board</t>
  </si>
  <si>
    <t xml:space="preserve">5/8" </t>
  </si>
  <si>
    <t>4789532059.140.1</t>
  </si>
  <si>
    <t>Province 1</t>
  </si>
  <si>
    <t>Province 2</t>
  </si>
  <si>
    <t>Province 3</t>
  </si>
  <si>
    <t>Province 4</t>
  </si>
  <si>
    <t>Province 5</t>
  </si>
  <si>
    <t>0-25</t>
  </si>
  <si>
    <t>26-30</t>
  </si>
  <si>
    <t>31-35</t>
  </si>
  <si>
    <t>Province Match</t>
  </si>
  <si>
    <t>Product ID per MPa &amp; Province</t>
  </si>
  <si>
    <t>(ARCHIVED 2023) CMU - Light weight</t>
  </si>
  <si>
    <t>(ARCHIVED 2023) CMU - Normal weight</t>
  </si>
  <si>
    <t>(ARCHIVED 2023) Linoleum flooring</t>
  </si>
  <si>
    <t>(ARCHIVED 2023) OSB sheathing</t>
  </si>
  <si>
    <t>(ARCHIVED 2023) OSB subflooring</t>
  </si>
  <si>
    <t>(ARCHIVED 2023) Polyiso - roof boards</t>
  </si>
  <si>
    <t>(ARCHIVED 2023) Polyiso - wall boards</t>
  </si>
  <si>
    <t>(ARCHIVED 2023) Polypropylene siding</t>
  </si>
  <si>
    <t>(ARCHIVED 2023) Spray polyurethane foam - Closed Cell (HFO)</t>
  </si>
  <si>
    <t>(ARCHIVED 2023) Spray polyurethane foam - High Density (HFO)</t>
  </si>
  <si>
    <t>(ARCHIVED 2023) Spray polyurethane foam - Open Cell (HFO)</t>
  </si>
  <si>
    <t>(ARCHIVED 2023) Steel studs - Load bearing</t>
  </si>
  <si>
    <t>(ARCHIVED 2023) Steel studs - Non-loadbearing</t>
  </si>
  <si>
    <t>(ARCHIVED 2023) Vinyl Siding</t>
  </si>
  <si>
    <t>(ARCHIVED 2023) Wood fiber - loose fill</t>
  </si>
  <si>
    <t>(ARCHIVED 2023) Wood fiber board</t>
  </si>
  <si>
    <t>SOPRA-XPS</t>
  </si>
  <si>
    <t>Laminated strand lumber (LSL)</t>
  </si>
  <si>
    <t>Drywall 5/8" Type X</t>
  </si>
  <si>
    <t xml:space="preserve">Foamular NGX 250 </t>
  </si>
  <si>
    <t>Laminated veneer lumber (LVL)</t>
  </si>
  <si>
    <t>SNaB (UK)</t>
  </si>
  <si>
    <t>Biocarbon from EPD</t>
  </si>
  <si>
    <t>From EPD</t>
  </si>
  <si>
    <t>46_Archived</t>
  </si>
  <si>
    <t>48_Archived</t>
  </si>
  <si>
    <t>134_Archived</t>
  </si>
  <si>
    <t>156_Archived</t>
  </si>
  <si>
    <t>157_Archived</t>
  </si>
  <si>
    <t>158_Archived</t>
  </si>
  <si>
    <t>162_Archived</t>
  </si>
  <si>
    <t>163_Archived</t>
  </si>
  <si>
    <t>167_Archived</t>
  </si>
  <si>
    <t>170_Archived</t>
  </si>
  <si>
    <t>184_Archived</t>
  </si>
  <si>
    <t>186_Archived</t>
  </si>
  <si>
    <t>188_Archived</t>
  </si>
  <si>
    <t>200_Archived</t>
  </si>
  <si>
    <t>201_Archived</t>
  </si>
  <si>
    <t>205_Archived</t>
  </si>
  <si>
    <t>206_Archived</t>
  </si>
  <si>
    <t>219_Archived</t>
  </si>
  <si>
    <t>238_Archived</t>
  </si>
  <si>
    <t>243_Archived</t>
  </si>
  <si>
    <t>126_Archived</t>
  </si>
  <si>
    <t>ENGINEERED WOOD SIDING</t>
  </si>
  <si>
    <t>(ARCHIVED 2023) XPS foam board</t>
  </si>
  <si>
    <t>International EPD® System</t>
  </si>
  <si>
    <t>Hardie VL Plank</t>
  </si>
  <si>
    <t>11 mm</t>
  </si>
  <si>
    <t>S-P-01432 Version 2.0</t>
  </si>
  <si>
    <t>kg/m2 at 11mm</t>
  </si>
  <si>
    <t>HardiePlank</t>
  </si>
  <si>
    <t>(ARCHIVED 2023) Laminated strand lumber</t>
  </si>
  <si>
    <t>R-VALUE:</t>
  </si>
  <si>
    <t>O8</t>
  </si>
  <si>
    <t>E52</t>
  </si>
  <si>
    <t>D53</t>
  </si>
  <si>
    <t>E57</t>
  </si>
  <si>
    <t>D94</t>
  </si>
  <si>
    <t>D109</t>
  </si>
  <si>
    <t>D114</t>
  </si>
  <si>
    <t>E114</t>
  </si>
  <si>
    <t>D118</t>
  </si>
  <si>
    <t>D121</t>
  </si>
  <si>
    <t>E126</t>
  </si>
  <si>
    <t>E127</t>
  </si>
  <si>
    <t>D128</t>
  </si>
  <si>
    <t>D155</t>
  </si>
  <si>
    <t>E155</t>
  </si>
  <si>
    <t>D161</t>
  </si>
  <si>
    <t>E161</t>
  </si>
  <si>
    <t>C172</t>
  </si>
  <si>
    <t>D172</t>
  </si>
  <si>
    <t>E172</t>
  </si>
  <si>
    <t>C174</t>
  </si>
  <si>
    <t>C175</t>
  </si>
  <si>
    <t>C176</t>
  </si>
  <si>
    <t>E176</t>
  </si>
  <si>
    <t>D184</t>
  </si>
  <si>
    <t>D185</t>
  </si>
  <si>
    <t>D186</t>
  </si>
  <si>
    <t>D187</t>
  </si>
  <si>
    <t>D204</t>
  </si>
  <si>
    <t>D205</t>
  </si>
  <si>
    <t>D206</t>
  </si>
  <si>
    <t>D209</t>
  </si>
  <si>
    <t>D210</t>
  </si>
  <si>
    <t>C211</t>
  </si>
  <si>
    <t>E213</t>
  </si>
  <si>
    <t>E217</t>
  </si>
  <si>
    <t>E219</t>
  </si>
  <si>
    <t>E221</t>
  </si>
  <si>
    <t>C226</t>
  </si>
  <si>
    <t>D229</t>
  </si>
  <si>
    <t>C232</t>
  </si>
  <si>
    <t>C234</t>
  </si>
  <si>
    <t>D234</t>
  </si>
  <si>
    <t>C235</t>
  </si>
  <si>
    <t>D235</t>
  </si>
  <si>
    <t>C261</t>
  </si>
  <si>
    <t>D261</t>
  </si>
  <si>
    <t>C264</t>
  </si>
  <si>
    <t>D264</t>
  </si>
  <si>
    <t>C268</t>
  </si>
  <si>
    <t>B271</t>
  </si>
  <si>
    <t>C271</t>
  </si>
  <si>
    <t>E271</t>
  </si>
  <si>
    <t>B274</t>
  </si>
  <si>
    <t>D274</t>
  </si>
  <si>
    <t>E274</t>
  </si>
  <si>
    <t>B275</t>
  </si>
  <si>
    <t>B276</t>
  </si>
  <si>
    <t>C276</t>
  </si>
  <si>
    <t>C277</t>
  </si>
  <si>
    <t>E277</t>
  </si>
  <si>
    <t>B279</t>
  </si>
  <si>
    <t>C279</t>
  </si>
  <si>
    <t>D279</t>
  </si>
  <si>
    <t>B280</t>
  </si>
  <si>
    <t>C280</t>
  </si>
  <si>
    <t>D280</t>
  </si>
  <si>
    <t>E280</t>
  </si>
  <si>
    <t>B284</t>
  </si>
  <si>
    <t>B287</t>
  </si>
  <si>
    <t>B291</t>
  </si>
  <si>
    <t>B294</t>
  </si>
  <si>
    <t>D294</t>
  </si>
  <si>
    <t>B296</t>
  </si>
  <si>
    <t>D296</t>
  </si>
  <si>
    <t>B297</t>
  </si>
  <si>
    <t>D297</t>
  </si>
  <si>
    <t>B299</t>
  </si>
  <si>
    <t>D299</t>
  </si>
  <si>
    <t>B301</t>
  </si>
  <si>
    <t>B303</t>
  </si>
  <si>
    <t>B304</t>
  </si>
  <si>
    <t>B325</t>
  </si>
  <si>
    <t>B326</t>
  </si>
  <si>
    <t>B329</t>
  </si>
  <si>
    <t>B330</t>
  </si>
  <si>
    <t>B332</t>
  </si>
  <si>
    <t>B333</t>
  </si>
  <si>
    <t>B335</t>
  </si>
  <si>
    <t>B339</t>
  </si>
  <si>
    <t>D339</t>
  </si>
  <si>
    <t>B342</t>
  </si>
  <si>
    <t>B346</t>
  </si>
  <si>
    <t>D346</t>
  </si>
  <si>
    <t>B349</t>
  </si>
  <si>
    <t>B356</t>
  </si>
  <si>
    <t>B357</t>
  </si>
  <si>
    <t>B361</t>
  </si>
  <si>
    <t>D361</t>
  </si>
  <si>
    <t>B363</t>
  </si>
  <si>
    <t>B370</t>
  </si>
  <si>
    <t>B377</t>
  </si>
  <si>
    <t>B378</t>
  </si>
  <si>
    <t>B384</t>
  </si>
  <si>
    <t>B386</t>
  </si>
  <si>
    <t>D386</t>
  </si>
  <si>
    <t>B391</t>
  </si>
  <si>
    <t>D391</t>
  </si>
  <si>
    <t>B396</t>
  </si>
  <si>
    <t>D396</t>
  </si>
  <si>
    <t>E396</t>
  </si>
  <si>
    <t>B398</t>
  </si>
  <si>
    <t>B399</t>
  </si>
  <si>
    <t>B402</t>
  </si>
  <si>
    <t>D402</t>
  </si>
  <si>
    <t>B403</t>
  </si>
  <si>
    <t>D403</t>
  </si>
  <si>
    <t>E403</t>
  </si>
  <si>
    <t>B405</t>
  </si>
  <si>
    <t>B407</t>
  </si>
  <si>
    <t>D407</t>
  </si>
  <si>
    <t>B408</t>
  </si>
  <si>
    <t>D408</t>
  </si>
  <si>
    <t>B409</t>
  </si>
  <si>
    <t>D409</t>
  </si>
  <si>
    <t>B411</t>
  </si>
  <si>
    <t>B412</t>
  </si>
  <si>
    <t>D412</t>
  </si>
  <si>
    <t>B413</t>
  </si>
  <si>
    <t>B416</t>
  </si>
  <si>
    <t>B417</t>
  </si>
  <si>
    <t>B418</t>
  </si>
  <si>
    <t>B419</t>
  </si>
  <si>
    <t>B420</t>
  </si>
  <si>
    <t>B421</t>
  </si>
  <si>
    <t>B423</t>
  </si>
  <si>
    <t>B425</t>
  </si>
  <si>
    <t>B427</t>
  </si>
  <si>
    <t>B428</t>
  </si>
  <si>
    <t>B431</t>
  </si>
  <si>
    <t>D431</t>
  </si>
  <si>
    <t>B432</t>
  </si>
  <si>
    <t>B433</t>
  </si>
  <si>
    <t>B434</t>
  </si>
  <si>
    <t>B435</t>
  </si>
  <si>
    <t>B436</t>
  </si>
  <si>
    <t>B437</t>
  </si>
  <si>
    <t>B438</t>
  </si>
  <si>
    <t>B439</t>
  </si>
  <si>
    <t>B440</t>
  </si>
  <si>
    <t>B441</t>
  </si>
  <si>
    <t>A30</t>
  </si>
  <si>
    <t>A55</t>
  </si>
  <si>
    <t>A105</t>
  </si>
  <si>
    <t>A118</t>
  </si>
  <si>
    <t>A70</t>
  </si>
  <si>
    <t>A73</t>
  </si>
  <si>
    <t>A96</t>
  </si>
  <si>
    <t>A97</t>
  </si>
  <si>
    <t>A102</t>
  </si>
  <si>
    <t>A125</t>
  </si>
  <si>
    <t>A131</t>
  </si>
  <si>
    <t>A133</t>
  </si>
  <si>
    <t>A138</t>
  </si>
  <si>
    <t>A179</t>
  </si>
  <si>
    <t>A149</t>
  </si>
  <si>
    <t>A175</t>
  </si>
  <si>
    <t>A176</t>
  </si>
  <si>
    <t>A208</t>
  </si>
  <si>
    <t>A57</t>
  </si>
  <si>
    <t>A187</t>
  </si>
  <si>
    <t>A195</t>
  </si>
  <si>
    <t>A62</t>
  </si>
  <si>
    <t>A74</t>
  </si>
  <si>
    <t>A83</t>
  </si>
  <si>
    <t>A91</t>
  </si>
  <si>
    <t>A100</t>
  </si>
  <si>
    <t>A106</t>
  </si>
  <si>
    <t>A112</t>
  </si>
  <si>
    <t>A122</t>
  </si>
  <si>
    <t>A141</t>
  </si>
  <si>
    <t>A144</t>
  </si>
  <si>
    <t>A150</t>
  </si>
  <si>
    <t>A199</t>
  </si>
  <si>
    <t>C292</t>
  </si>
  <si>
    <t>C304</t>
  </si>
  <si>
    <t>BARDAGE EN BOIS D'INGÉNIERIE</t>
  </si>
  <si>
    <t>Natte de fibre de verre – Isolation des murs de fondation – MOYENNE</t>
  </si>
  <si>
    <t>Natte de laine minérale – Isolation des murs de fondation – MOYENNE</t>
  </si>
  <si>
    <t>Natte de fibres de bois – Isolation des murs de fondation – MOYENNE</t>
  </si>
  <si>
    <t>Brique de chanvre – Isolation des murs de fondation – MOYENNE</t>
  </si>
  <si>
    <t>Cloison sèche 1/2 po typique – murs intérieurs – MOYENNE</t>
  </si>
  <si>
    <t>Natte de fibre de verre – Isolation de plancher – MOYENNE</t>
  </si>
  <si>
    <t>Fibre de verre en vrac – Isolation du plancher – MOYENNE</t>
  </si>
  <si>
    <t>Natte de fibres de bois – Isolation du plancher – MOYENNE</t>
  </si>
  <si>
    <t>Briques de chanvre – Isolation de plancher – MOYENNE</t>
  </si>
  <si>
    <t>Cloison sèche 1/2 po – Plafonds – MOYENNE</t>
  </si>
  <si>
    <t>Cloison sèche 5/8 po – Plafonds – MOYENNE</t>
  </si>
  <si>
    <t>Bardeaux d’asphalte – Toitures – MOYENNE</t>
  </si>
  <si>
    <t>Natte de fibre de verre – Isolation de toit – MOYENNE</t>
  </si>
  <si>
    <t>Fibre de verre en vrac – Isolation du toit – MOYENNE</t>
  </si>
  <si>
    <t>Natte de fibres de bois – Isolation du toit – MOYENNE</t>
  </si>
  <si>
    <t>Briques de chanvre – Isolation de toit – MOYENNE</t>
  </si>
  <si>
    <t>Province 1 - French</t>
  </si>
  <si>
    <t>Province 2 - French</t>
  </si>
  <si>
    <t>Province 3 - French</t>
  </si>
  <si>
    <t>Province 4 - French</t>
  </si>
  <si>
    <t>Province 5 - French</t>
  </si>
  <si>
    <t>Includes: MSL, Blue Ridge Fiberboard Inc.</t>
  </si>
  <si>
    <t>XPS foam board - AVERAGE</t>
  </si>
  <si>
    <t>Panneau de mousse XPS – MOYENNE</t>
  </si>
  <si>
    <t>Reduced GWP Grey Styrofoam™ (same as ST-100)</t>
  </si>
  <si>
    <t>4790979004.101.1</t>
  </si>
  <si>
    <t>Le changement de province modifie à la fois le facteur d'intensité des GES du réseau électrique et les mélanges de béton disponibles dans la région.  Si vous continuez, vos sélections actuelles de béton pour la &lt;~Province_Name~&gt; seront sauvegardées pour une utilisation ultérieure.  Vous devrez faire de nouvelles sélections de béton basées sur les mélanges disponibles dans la région pour la province de votre choix.</t>
  </si>
  <si>
    <t>Le changement de province modifie à la fois le facteur d'intensité des GES du réseau électrique et les mélanges de béton disponibles dans la région.  Les mélanges de béton sélectionnés précédemment pour la &lt;~Province_Name~&gt; seront chargés.</t>
  </si>
  <si>
    <t>About This Sheet</t>
  </si>
  <si>
    <t>Previously selected Province:</t>
  </si>
  <si>
    <t>For Search - EN</t>
  </si>
  <si>
    <t>For Search - FR</t>
  </si>
  <si>
    <t>© His Majesty the King in Right of Canada, as represented by the Minister of Natural Resources, 2023</t>
  </si>
  <si>
    <t>© Sa Majesté le Roi du chef du Canada, représentée par le ministre de Ressources naturelles, 2023</t>
  </si>
  <si>
    <t>November 2023</t>
  </si>
  <si>
    <t>Novembre 2023</t>
  </si>
  <si>
    <t>There are emission impacts at the end of life for a building component or a whole building, and these are important considerations when making climate-related material choices. Despite the value of considering "future emissions" today, this tool excludes end of life estimates for a few reasons:</t>
  </si>
  <si>
    <t xml:space="preserve">End of life scenarios for buildings and materials are difficult, if not impossible, to predict. Thus, focusing on the reasonably measurable and predictable cradle-to-gate phases greatly reduces uncertainty and speculation by excluding later life cycle phases. </t>
  </si>
  <si>
    <t>The data and methodology for counting end-of-life and replacement emissions is not as refined or widely available as today's A1-A3 emissions.</t>
  </si>
  <si>
    <t xml:space="preserve">The actual service life of a material or whole building is rarely the cause for replacement or demolition; instead factors like property value, aesthetics and planning issues tend to bring about the demise of materials and buildings, not the expected service life. </t>
  </si>
  <si>
    <t>When considering the 30-year project emissions timeline provided on the results page of MCE2, consider the potential need for replacement of materials that may not last 30 years. Estimates of replacement emissions can be made using today's A1-A3 values and adding them to the emissions timeline at an appropriate year.</t>
  </si>
  <si>
    <t>Il y a des impacts d'émissions en fin de vie pour une composante de bâtiment ou pour l'ensemble d'un bâtiment, et ceux-ci sont des considérations importantes lors du choix des matériaux liés au climat. Malgré la valeur de la prise en compte des "émissions futures" aujourd'hui, cet outil exclut les estimations en fin de vie pour quelques raisons :</t>
  </si>
  <si>
    <t>Les scénarios de fin de vie pour les bâtiments et les matériaux sont difficiles, voire impossibles, à prévoir. Ainsi, se concentrer sur les phases du berceau à la porte de l’usine raisonnablement mesurables et prévisibles réduit considérablement l'incertitude et la spéculation en excluant les phases ultérieures du cycle de vie.</t>
  </si>
  <si>
    <t>Les données et la méthodologie pour comptabiliser les émissions en fin de vie et de remplacement ne sont pas aussi affinées ou largement disponibles que les émissions A1-A3 d'aujourd'hui.</t>
  </si>
  <si>
    <t>La durée de vie effective d'un matériau ou d'un bâtiment entier est rarement la cause du remplacement ou de la démolition ; ce sont plutôt des facteurs tels que la valeur immobilière, l'esthétique et les problèmes de planification qui ont tendance à causer la disparition des matériaux et des bâtiments, et non la durée de vie prévue.</t>
  </si>
  <si>
    <t>Lorsque vous examinez le calendrier d’émission du projet sur 30 ans fourni sur la page de résultats de E2CM, tenez compte du besoin potentiel de remplacement des matériaux qui pourraient ne pas durer 30 ans. Des estimations des émissions de remplacement peuvent être réalisées en utilisant les valeurs A1-A3 d'aujourd'hui et en les ajoutant à la chronologie des émissions à l'année appropriée.</t>
  </si>
  <si>
    <t>Biogenic Carbon Storage - Virgin Timber</t>
  </si>
  <si>
    <t>Number of Bedrooms:</t>
  </si>
  <si>
    <t>Quantity</t>
  </si>
  <si>
    <t>27 Year Totals</t>
  </si>
  <si>
    <t>Material Embodied Carbon</t>
  </si>
  <si>
    <t>Alberta (kg/kWh)</t>
  </si>
  <si>
    <t xml:space="preserve">Electrical Grid Emissions </t>
  </si>
  <si>
    <t>Natural Gas Emissions</t>
  </si>
  <si>
    <t>Oil Emissions</t>
  </si>
  <si>
    <t>Propane Emissions</t>
  </si>
  <si>
    <t>Wood Emissions</t>
  </si>
  <si>
    <t>Electrical Grid Emissions</t>
  </si>
  <si>
    <t>Northwest Territory</t>
  </si>
  <si>
    <t>Yukon Territory</t>
  </si>
  <si>
    <t>Notes:</t>
  </si>
  <si>
    <t>The electricity grid intensities are calculated from Canada’s greenhouse gas and air pollutant emissions projections (https://publications.gc.ca/site/fra/9.866115/publication.html).</t>
  </si>
  <si>
    <t>The electricity grid intensities are computed by dividing electricity emissions by electricity sales from the utility grid within a province or territory. Electricity emissions are the sum of emissions from utility electricity production and emissions from industrial electricity sold to the utility grid (including emissions from electricity losses).</t>
  </si>
  <si>
    <t>This methodology implies that imports and exports of electricity are assumed to have an emissions intensity of zero while the electricity imported still contributes to the sales of electricity from the utility grid. This also means that emissions from exported electricity are attributed to the exporting province or territory.</t>
  </si>
  <si>
    <t>"x" indicates content suppressed in order to meet the confidentiality requirements of the Statistics Act.</t>
  </si>
  <si>
    <t>"0" Indicates data truncated due to rounding.</t>
  </si>
  <si>
    <t>-: no data.</t>
  </si>
  <si>
    <t>Selected Province</t>
  </si>
  <si>
    <t>Selected province row:</t>
  </si>
  <si>
    <t>Include Long Cycle</t>
  </si>
  <si>
    <t>Biogenic Storage Long Cycle kgCO2/unit</t>
  </si>
  <si>
    <t>CANADA NATIONAL GUIDELINES FOR WHOLE BUILDING LCA</t>
  </si>
  <si>
    <t>Project Notes:</t>
  </si>
  <si>
    <t>MCI per
Conditioned Floor area:</t>
  </si>
  <si>
    <t>kg CO2/m2 cfa</t>
  </si>
  <si>
    <t>MCI per Total Floor area:</t>
  </si>
  <si>
    <t>MCI per Bedrooms:</t>
  </si>
  <si>
    <t>Carbon Emmissions
tonnes CO2e</t>
  </si>
  <si>
    <t>Net Carbon Footprint
tonnes CO2e</t>
  </si>
  <si>
    <r>
      <t>Storage Short Cycle
tonnes CO</t>
    </r>
    <r>
      <rPr>
        <b/>
        <vertAlign val="subscript"/>
        <sz val="7"/>
        <color theme="1"/>
        <rFont val="Arial"/>
        <family val="2"/>
      </rPr>
      <t>2</t>
    </r>
  </si>
  <si>
    <r>
      <t>Storage Long Cycle
tonnes CO</t>
    </r>
    <r>
      <rPr>
        <b/>
        <vertAlign val="subscript"/>
        <sz val="7"/>
        <color theme="1"/>
        <rFont val="Arial"/>
        <family val="2"/>
      </rPr>
      <t>2</t>
    </r>
  </si>
  <si>
    <r>
      <t>STORAGE LONG CYCLE
[kg CO</t>
    </r>
    <r>
      <rPr>
        <b/>
        <vertAlign val="subscript"/>
        <sz val="14"/>
        <color theme="0"/>
        <rFont val="Arial"/>
        <family val="2"/>
      </rPr>
      <t>2</t>
    </r>
    <r>
      <rPr>
        <b/>
        <sz val="14"/>
        <color theme="0"/>
        <rFont val="Arial"/>
        <family val="2"/>
      </rPr>
      <t>e]</t>
    </r>
  </si>
  <si>
    <t>TOP 7 MOST IMPACTFUL MATERIALS</t>
  </si>
  <si>
    <t>TOP 3 HIGHEST CARBON STORING MATERIALS</t>
  </si>
  <si>
    <t>Results from MCE2 have the intended use of informing design and/or meeting requirements, if the requirements clearly indicated MCE2 as an acceptable tool. Results from MCE2 are not intended to be a performance declaration as defined by ISO 14044 and is not intended to support comparative assertions by the definitions of ISO 14044.</t>
  </si>
  <si>
    <t>Name of commisioner of the assessment:</t>
  </si>
  <si>
    <t>Name of assessor(s):</t>
  </si>
  <si>
    <t>Qualification(s) of assessor(s):</t>
  </si>
  <si>
    <t>Date of assessment:</t>
  </si>
  <si>
    <t>Verification:</t>
  </si>
  <si>
    <t>Name and contact of verifier:</t>
  </si>
  <si>
    <t>Functional equivalent:</t>
  </si>
  <si>
    <t>If other, please define:</t>
  </si>
  <si>
    <r>
      <rPr>
        <b/>
        <sz val="10"/>
        <color theme="1"/>
        <rFont val="Arial"/>
        <family val="2"/>
      </rPr>
      <t>Reference units</t>
    </r>
    <r>
      <rPr>
        <sz val="10"/>
        <color theme="1"/>
        <rFont val="Arial"/>
        <family val="2"/>
      </rPr>
      <t>: See Project Information above</t>
    </r>
  </si>
  <si>
    <r>
      <rPr>
        <b/>
        <sz val="10"/>
        <color theme="1"/>
        <rFont val="Arial"/>
        <family val="2"/>
      </rPr>
      <t>System boundary</t>
    </r>
    <r>
      <rPr>
        <sz val="10"/>
        <color theme="1"/>
        <rFont val="Arial"/>
        <family val="2"/>
      </rPr>
      <t xml:space="preserve">: LCA results include modules A1-A3 (cradle-to-gate analysis). All other modules not declared. </t>
    </r>
  </si>
  <si>
    <r>
      <rPr>
        <b/>
        <sz val="10"/>
        <color theme="1"/>
        <rFont val="Arial"/>
        <family val="2"/>
      </rPr>
      <t>Reference study period</t>
    </r>
    <r>
      <rPr>
        <sz val="10"/>
        <color theme="1"/>
        <rFont val="Arial"/>
        <family val="2"/>
      </rPr>
      <t>: Pre-construction and/or completion of construction only</t>
    </r>
  </si>
  <si>
    <r>
      <rPr>
        <b/>
        <sz val="10"/>
        <color theme="1"/>
        <rFont val="Arial"/>
        <family val="2"/>
      </rPr>
      <t>Scope of the building model</t>
    </r>
    <r>
      <rPr>
        <sz val="10"/>
        <color theme="1"/>
        <rFont val="Arial"/>
        <family val="2"/>
      </rPr>
      <t>: Material use only for product categories listed in MCE2</t>
    </r>
  </si>
  <si>
    <r>
      <rPr>
        <b/>
        <sz val="10"/>
        <color theme="1"/>
        <rFont val="Arial"/>
        <family val="2"/>
      </rPr>
      <t>Data sources</t>
    </r>
    <r>
      <rPr>
        <sz val="10"/>
        <color theme="1"/>
        <rFont val="Arial"/>
        <family val="2"/>
      </rPr>
      <t>: Type III EPDS, or as noted in Column M</t>
    </r>
  </si>
  <si>
    <r>
      <rPr>
        <b/>
        <sz val="10"/>
        <color theme="1"/>
        <rFont val="Arial"/>
        <family val="2"/>
      </rPr>
      <t>Delayed emissions</t>
    </r>
    <r>
      <rPr>
        <sz val="10"/>
        <color theme="1"/>
        <rFont val="Arial"/>
        <family val="2"/>
      </rPr>
      <t>: Climate effects of delayed emissions resulting from biogenic carbon do not include potential impacts of carbon released at end of product life.</t>
    </r>
  </si>
  <si>
    <t>(ARCHIVED 2025) Aggregate</t>
  </si>
  <si>
    <t>(ARCHIVED 2025) Air barrier</t>
  </si>
  <si>
    <t>(ARCHIVED 2025) Asphalt Shingles</t>
  </si>
  <si>
    <t>Asphalt Roofing Manufacturers Association</t>
  </si>
  <si>
    <t xml:space="preserve">Fiberglass Asphalt Shingles </t>
  </si>
  <si>
    <t>Includes: Atlas, CertainTeed, GAF, IKO, Pabco, Tamko</t>
  </si>
  <si>
    <t>4789862118.111.1</t>
  </si>
  <si>
    <t>Malarkey Roofing</t>
  </si>
  <si>
    <t>Ecoasis NEX</t>
  </si>
  <si>
    <t>4790050198.105.1</t>
  </si>
  <si>
    <t>Ecoasis Premium</t>
  </si>
  <si>
    <t>Dura-Seal</t>
  </si>
  <si>
    <t>4790050198.106.1</t>
  </si>
  <si>
    <t>Highlander NEX</t>
  </si>
  <si>
    <t>4790050198.104.1</t>
  </si>
  <si>
    <t>Legacy</t>
  </si>
  <si>
    <t>4790050198.101.1</t>
  </si>
  <si>
    <t>Vista</t>
  </si>
  <si>
    <t>4790050198.102.1</t>
  </si>
  <si>
    <t>Windsor</t>
  </si>
  <si>
    <t>4790050198.103.1</t>
  </si>
  <si>
    <t>(ARCHIVED 2025) Bamboo plywood</t>
  </si>
  <si>
    <t>Uncarved</t>
  </si>
  <si>
    <t>m2 @1/2"</t>
  </si>
  <si>
    <t>SmartEPD-2023-009-0024-01</t>
  </si>
  <si>
    <t>Smart EPD</t>
  </si>
  <si>
    <t>3/4" (19 mm)</t>
  </si>
  <si>
    <t>(ARCHIVED 2025) Brick, Calcium Silicate</t>
  </si>
  <si>
    <t>(ARCHIVED 2025) Brick, Cement</t>
  </si>
  <si>
    <t>Mutual Materials</t>
  </si>
  <si>
    <t>Avg Face Brick (plant Avg)</t>
  </si>
  <si>
    <t>EPD-540, EPD-539</t>
  </si>
  <si>
    <t>Avg Thin Face Brick, Columbia Plant</t>
  </si>
  <si>
    <t>2-1/2" x 5/8" x 7-1/2" (64 x 16 x 190 mm) incl. 3/8" mortar</t>
  </si>
  <si>
    <t>(ARCHIVED 2025) Carpet</t>
  </si>
  <si>
    <t>(ARCHIVED 2025) Cement mortar, tile</t>
  </si>
  <si>
    <t>Includes Mfrs: Ardex, Bostik, Cemenquin/Cement Pro LLC, Crest, Custom Building Products, HB Fuller, Interceramic, Laticrete, Mapei, Parex, Schluter</t>
  </si>
  <si>
    <t>Amount of mortar required to install 1 m2 of 450mm x 450mm tile with a 3mm joint width</t>
  </si>
  <si>
    <t>m² of tile</t>
  </si>
  <si>
    <t>4789883337.101.1</t>
  </si>
  <si>
    <t>(ARCHIVED 2025) Ceramic tile</t>
  </si>
  <si>
    <t xml:space="preserve">18.8 kg/m2 </t>
  </si>
  <si>
    <t>Includes: American Wonder, Arto, Crossville, Dal-Tile, Del Conca USA, Florida Tile, Interceramic, Ironrock, Porcelanite-Lamosa, Portobello Tile, Quarry Tile, StonePeak Ceramics, Vitromex USA</t>
  </si>
  <si>
    <t>4789101745.101.1</t>
  </si>
  <si>
    <t>(ARCHIVED 2025) CMU - Light weight</t>
  </si>
  <si>
    <t>Brampton Brick (Boehmers)</t>
  </si>
  <si>
    <t>8" CarboClave Block</t>
  </si>
  <si>
    <t xml:space="preserve">8 x 8 x 16 </t>
  </si>
  <si>
    <t>EPD-088</t>
  </si>
  <si>
    <t>Canadian Concrete Masonry Producers Assn, East Region</t>
  </si>
  <si>
    <t xml:space="preserve">15 MPa, 390 x 190 x 190 mm </t>
  </si>
  <si>
    <t>Includes: Basalite, Brampton Brick, Brown's Concrete, Canal Block, Casey Concrete, Century Concrete, Day &amp; Campbell, Cindercrete, Newcrete, Expocrete, Newtonbrook Block, Niagara Block, Richvale-York Block, Santerra Stonecraft, Shaw Brick, Simcoe Masonry, VJ Rice Concrete</t>
  </si>
  <si>
    <t>EPD-338</t>
  </si>
  <si>
    <t>Canadian Concrete Masonry Producers Assn, West Region</t>
  </si>
  <si>
    <t>A17</t>
  </si>
  <si>
    <t>(ARCHIVED 2025) CMU - Normal weight</t>
  </si>
  <si>
    <t>(ARCHIVED 2025) Cork board insulation</t>
  </si>
  <si>
    <t>Expanded Insulation Corkboard (ICB)</t>
  </si>
  <si>
    <t>R3.6-inch, 115 kg/m3</t>
  </si>
  <si>
    <t>EPD HUB-0281</t>
  </si>
  <si>
    <t>EPD Hub</t>
  </si>
  <si>
    <t>kg/m2 RSI1</t>
  </si>
  <si>
    <t>kg CO2e/m2•RSI</t>
  </si>
  <si>
    <t>(ARCHIVED 2025) Cork flooring</t>
  </si>
  <si>
    <t>(ARCHIVED 2025) Cross Laminated Timber</t>
  </si>
  <si>
    <t>Cross Laminated Timber (CLT)</t>
  </si>
  <si>
    <t>5960-4998</t>
  </si>
  <si>
    <t>m2 at 3.5"</t>
  </si>
  <si>
    <t>Element5</t>
  </si>
  <si>
    <t>Crosslam CLT</t>
  </si>
  <si>
    <t>EPD 408</t>
  </si>
  <si>
    <t>Kalesnikoff Lumber Co.</t>
  </si>
  <si>
    <t>EPD295</t>
  </si>
  <si>
    <t>Nordic Lam</t>
  </si>
  <si>
    <t>5915-5885</t>
  </si>
  <si>
    <t>Vaagen Timbers</t>
  </si>
  <si>
    <t>EPD 168</t>
  </si>
  <si>
    <t>A84</t>
  </si>
  <si>
    <t>(ARCHIVED 2025) Drywall 1/2"</t>
  </si>
  <si>
    <t>(ARCHIVED 2025) Drywall 5/8"</t>
  </si>
  <si>
    <t xml:space="preserve">Drywall 5/8" </t>
  </si>
  <si>
    <t xml:space="preserve">Sheetrock Brand EcoSmart Firecode X </t>
  </si>
  <si>
    <t>Type X</t>
  </si>
  <si>
    <t>1000 ft2</t>
  </si>
  <si>
    <t>EPD 216</t>
  </si>
  <si>
    <t>(ARCHIVED 2025) EPS foam board</t>
  </si>
  <si>
    <t>(ARCHIVED 2025) EPS foam board with graphite</t>
  </si>
  <si>
    <t>R 3.6/inch, Type I, 10 psi (70 kPa)</t>
  </si>
  <si>
    <t>Includes: Atlas Molded Products, Beaver Plastics, Insulfoam, Insulation Technology, Groupe Isolofoam, Le Groupe Legerlite, Plasti-Fab EPS, Polar Industries, Progressive Foam Technologies, Thermal Foams</t>
  </si>
  <si>
    <t>4790678084.101.1</t>
  </si>
  <si>
    <t>R 4.0/inch, Type II, 15 psi (100 kPa)</t>
  </si>
  <si>
    <t>KM2/w</t>
  </si>
  <si>
    <t>R 4.2/inch, Type IX, 25 psi (170 kPa)</t>
  </si>
  <si>
    <t>R 4.3/inch, Type XV, 60 psi (400 kPa)</t>
  </si>
  <si>
    <t>Neopor F 5200 Plus</t>
  </si>
  <si>
    <t>R 4.7-inch, Type IX, 25 psi</t>
  </si>
  <si>
    <t>Includes: Atlas Molded Products, Beaver Plastic, Insulfoam, Polar Central, Progressive Foam, Plastifab</t>
  </si>
  <si>
    <t>EPD10841</t>
  </si>
  <si>
    <t>Neopor F 5200 &amp; F 5300 Plus BMB</t>
  </si>
  <si>
    <t>EPD10842</t>
  </si>
  <si>
    <t>NSF Certification LLC</t>
  </si>
  <si>
    <t>R 4.7/inch, Type IX, 25 psi (Type 9, 175 kPa)</t>
  </si>
  <si>
    <t>A34</t>
  </si>
  <si>
    <t>(ARCHIVED 2025) Fiber Cement roofing</t>
  </si>
  <si>
    <t>(ARCHIVED 2025) Fiber Cement siding</t>
  </si>
  <si>
    <t>(ARCHIVED 2025) Fiberglass batt</t>
  </si>
  <si>
    <t>Unfaced, ComfortTherm, Cavity-SHIELD, FSK-25</t>
  </si>
  <si>
    <t>47899773160.101.1</t>
  </si>
  <si>
    <t>Includes : CertainTeed, Inc. Saint-Gobin, Johns Manville, Knauf Insulation North America, Owens Corning</t>
  </si>
  <si>
    <t>SmartEPD-2023-003-0010-01</t>
  </si>
  <si>
    <t xml:space="preserve">Fiberglass batt &amp; roll </t>
  </si>
  <si>
    <t xml:space="preserve"> Unfaced, PINK Next Gen Fiberglas</t>
  </si>
  <si>
    <t>R 3.6/inch avg.</t>
  </si>
  <si>
    <t>m²•RSI</t>
  </si>
  <si>
    <t>SCS-EPD-09348</t>
  </si>
  <si>
    <t>A36</t>
  </si>
  <si>
    <t>A42</t>
  </si>
  <si>
    <t>(ARCHIVED 2025) Fiberglass loose fill</t>
  </si>
  <si>
    <t>(ARCHIVED 2025) Foam glass aggregate</t>
  </si>
  <si>
    <t>(ARCHIVED 2025) Foam glass board</t>
  </si>
  <si>
    <t>R 3.28/inch</t>
  </si>
  <si>
    <t>SCS-EPD-09349</t>
  </si>
  <si>
    <t>(ARCHIVED 2025) Gypsum panels - glass mat</t>
  </si>
  <si>
    <t>(ARCHIVED 2025) Hardwood flooring</t>
  </si>
  <si>
    <t>(ARCHIVED 2025) Hemp fiber batt</t>
  </si>
  <si>
    <t>(ARCHIVED 2025) Hempcrete</t>
  </si>
  <si>
    <t>FOAMGLAS T4+</t>
  </si>
  <si>
    <t>R 3.5/inch</t>
  </si>
  <si>
    <t>Unfaced, Owned by Owens Corning</t>
  </si>
  <si>
    <t>EPD-PCE-20200299-IBB1-EN</t>
  </si>
  <si>
    <t>IBU - Institute Bauen und Umwelt e.V.</t>
  </si>
  <si>
    <t>FOAMGLAS F</t>
  </si>
  <si>
    <t>EPD-PCE-20200301-IBA1-EN</t>
  </si>
  <si>
    <t>FOAMGLAS S3</t>
  </si>
  <si>
    <t>R 3.2/inch</t>
  </si>
  <si>
    <t>EPD-PCE-20200302-IBA1-EN</t>
  </si>
  <si>
    <t>FOAMGLAS T3+</t>
  </si>
  <si>
    <t>R 4.0/inch</t>
  </si>
  <si>
    <t>EPD-PCE-20200300-IBB1-EN</t>
  </si>
  <si>
    <t>Glued Laminated Timber (Glulam)</t>
  </si>
  <si>
    <t>Colville, WA</t>
  </si>
  <si>
    <t>BC</t>
  </si>
  <si>
    <t>m³</t>
  </si>
  <si>
    <t>EPD296</t>
  </si>
  <si>
    <t>Western Archrib</t>
  </si>
  <si>
    <t>EPD246</t>
  </si>
  <si>
    <t>EPD247</t>
  </si>
  <si>
    <t>EPD 407</t>
  </si>
  <si>
    <t>Gypsum Association</t>
  </si>
  <si>
    <t>North American Industry Average</t>
  </si>
  <si>
    <t>EPD 206</t>
  </si>
  <si>
    <t>Georgia-Pacific</t>
  </si>
  <si>
    <t xml:space="preserve">DensGlass Sheathing </t>
  </si>
  <si>
    <t>EPD10358</t>
  </si>
  <si>
    <t>NSF Certification, LLC</t>
  </si>
  <si>
    <t>NWFA and Decorative Hardwoods Association</t>
  </si>
  <si>
    <t>Solid Wood Flooring</t>
  </si>
  <si>
    <t>Includes: Aacer, AHF Products, Allegheny Mountain Hardwood Flooring, Elite, Cumberland Lumber, Barefoot Flooring, Hull Forest Products, Lebanon Oak Flooring, Maxwell Hardwood Flooring, Mullican Hardwood Flooring, Roberts Flooring, Sheoga, Smith Flooring, WD</t>
  </si>
  <si>
    <t>EPD 393</t>
  </si>
  <si>
    <t>Wickham</t>
  </si>
  <si>
    <t>Solid Hardwood</t>
  </si>
  <si>
    <t>6742-7944</t>
  </si>
  <si>
    <t>EPD-197</t>
  </si>
  <si>
    <t>ASTM/CT Consultant / Vertima</t>
  </si>
  <si>
    <t>kg/m2 at 0.039 m</t>
  </si>
  <si>
    <t>Ekolution</t>
  </si>
  <si>
    <t>Hemp fiber insulation</t>
  </si>
  <si>
    <t>m2 @ 100 mm and 3.5 kg</t>
  </si>
  <si>
    <t>S-P-01961</t>
  </si>
  <si>
    <t>KOBE-cz</t>
  </si>
  <si>
    <t>ECO HempFlex</t>
  </si>
  <si>
    <t xml:space="preserve"> R 3.6/inch</t>
  </si>
  <si>
    <t>S-P-02290</t>
  </si>
  <si>
    <t>Hempcrete / Cast in-situ</t>
  </si>
  <si>
    <t>Hempcrete block</t>
  </si>
  <si>
    <t>Isohemp</t>
  </si>
  <si>
    <t xml:space="preserve">Hemp Block PAL36EX including mortar / 600 x 300 x 360 mm </t>
  </si>
  <si>
    <t>R 2/inch</t>
  </si>
  <si>
    <t>Include Mortar A5 emissions</t>
  </si>
  <si>
    <t>Belgium</t>
  </si>
  <si>
    <t>m2 @RSI 5.07</t>
  </si>
  <si>
    <t>EPD n° 21-0078-001.00.00</t>
  </si>
  <si>
    <t>B-EPD</t>
  </si>
  <si>
    <t>Senini</t>
  </si>
  <si>
    <t>Blocco Ambiente / 200 x 500 x 300 mm / 330 kg/m3</t>
  </si>
  <si>
    <t xml:space="preserve">20x50 cm x 8, 12, 20, 25, 30, 36 &amp; 40 cm </t>
  </si>
  <si>
    <t>m2 at 30 cm</t>
  </si>
  <si>
    <t>SEN-01_22</t>
  </si>
  <si>
    <t>EPDItaly</t>
  </si>
  <si>
    <t>Bio Beton Jet / 230 kg/m3</t>
  </si>
  <si>
    <t xml:space="preserve">R 2.7/inch </t>
  </si>
  <si>
    <t>20 x 50 x 30 cm</t>
  </si>
  <si>
    <t>Hempcrete dry fill</t>
  </si>
  <si>
    <t>Bio Beton Pronto / 190 kg/m3</t>
  </si>
  <si>
    <t>A44</t>
  </si>
  <si>
    <t>A46</t>
  </si>
  <si>
    <t>A49</t>
  </si>
  <si>
    <t>A51</t>
  </si>
  <si>
    <t>A59</t>
  </si>
  <si>
    <t>(ARCHIVED 2025) Laminate flooring</t>
  </si>
  <si>
    <t>(ARCHIVED 2025) Laminated veneer lumber (LVL)</t>
  </si>
  <si>
    <t>(ARCHIVED 2025) Lime Plaster</t>
  </si>
  <si>
    <t>(ARCHIVED 2025) Lime/Cork Plaster</t>
  </si>
  <si>
    <t>(ARCHIVED 2025) Linoleum flooring</t>
  </si>
  <si>
    <t>(ARCHIVED 2025) Liquid linoleum flooring</t>
  </si>
  <si>
    <t>(ARCHIVED 2025) Metal Panels - Aluminum</t>
  </si>
  <si>
    <t>(ARCHIVED 2025) Metal Panels - Steel</t>
  </si>
  <si>
    <t xml:space="preserve">Laminated veneer lumber (LVL) </t>
  </si>
  <si>
    <t>RedLam LVL</t>
  </si>
  <si>
    <t>SCS-EPD-07525</t>
  </si>
  <si>
    <t>Boise Cascade</t>
  </si>
  <si>
    <t>Versa-Lam</t>
  </si>
  <si>
    <t>EPD 169</t>
  </si>
  <si>
    <t>Lime/Cork Plaster (Ext. &amp; Int.)</t>
  </si>
  <si>
    <t>Diathonite Evolution, R3.2-inch</t>
  </si>
  <si>
    <t>m2 @0.01905 m (3/4")</t>
  </si>
  <si>
    <t>S-P-03516</t>
  </si>
  <si>
    <t>International EPD System</t>
  </si>
  <si>
    <t>Diathonite Thermactive.037, R3.9-inch</t>
  </si>
  <si>
    <t>Tarkett</t>
  </si>
  <si>
    <t xml:space="preserve">Lino Acoustic </t>
  </si>
  <si>
    <t>3.8 mm sheet style linoleum with polyurethane foam backing</t>
  </si>
  <si>
    <t xml:space="preserve">Includes : Veneto Silencio/Acoustic/Acoustiflor xf2 3,8mm 
Style Emme Silencio/Acoustic/Tonali Acoustiflor xf2 3,8mm 
Style Elle Silencio/Acoustic/ Lenza Acoustiflor xf2 3,8mm 
Etrusco Silencio/Acoustic/Acoustiflor xf2 3,8mm 
Trentino Silencio/Acoustic / Acoustiflor xf2 3,8mm 
Originale Silencio/Acoustic / Acoustiflor xf2 3,8mm 
</t>
  </si>
  <si>
    <t>4789356590.101.2</t>
  </si>
  <si>
    <t>Lino Veneto xf2, Etrusco, Style Elle|Emme, Veneto, Originale, LinoRail, Linosport</t>
  </si>
  <si>
    <t xml:space="preserve">Includes : Veneto xf2 2,5mm 
Etrusco xf2 2,5mm 
Style Elle / Lenza xf2 2,5mm 
Style Emme / Tonali xf2 2,5mm 
Trentino xf2 2,5mm 
Veneto Essenza 2,5mm 
Veneto Essenza+ 2,5mm 
Originale xf2 2,5mm 
Originale Minerale Essenza 2,5mm 
Originale Vegetale Essenza 2,5mm 
Originale Essenza+ 2,5mm 
Linoleum xf2 Bfl 2,5mm 
Veneto Sicuro xf2 R10 2,5mm 
LinoRail HL3 2,5mm 
Linosport xf2 2,5mm 
</t>
  </si>
  <si>
    <t>Veneto Acoustic Cork</t>
  </si>
  <si>
    <t>4.4 mm sheet style linoleum with cork backing</t>
  </si>
  <si>
    <t xml:space="preserve">Includes : Veneto Acoustic Cork xf2
</t>
  </si>
  <si>
    <t>Pac-Clad, all profiles</t>
  </si>
  <si>
    <t>20 gauge</t>
  </si>
  <si>
    <t>4789365778.101.1</t>
  </si>
  <si>
    <t>kg/100m2</t>
  </si>
  <si>
    <t>All roofing &amp; wall products</t>
  </si>
  <si>
    <t>100 m2</t>
  </si>
  <si>
    <t>SCS-EPD-07578</t>
  </si>
  <si>
    <t>XCarb RRP</t>
  </si>
  <si>
    <t>7740-1109</t>
  </si>
  <si>
    <t>4078-8004</t>
  </si>
  <si>
    <t xml:space="preserve">List of participating members: https://www.mbma.com/System_Members.html </t>
  </si>
  <si>
    <t>4789771662.103.1</t>
  </si>
  <si>
    <t>A67</t>
  </si>
  <si>
    <t>A68</t>
  </si>
  <si>
    <t>A69</t>
  </si>
  <si>
    <t>A72</t>
  </si>
  <si>
    <t>(ARCHIVED 2025) Mineral wool batt</t>
  </si>
  <si>
    <t>(ARCHIVED 2025) Mineral wool board - heavy density</t>
  </si>
  <si>
    <t>(ARCHIVED 2025) Mineral wool board</t>
  </si>
  <si>
    <t>(ARCHIVED 2025) Mineral wool board - light density</t>
  </si>
  <si>
    <t>(ARCHIVED 2025) Mineral wool loose fill</t>
  </si>
  <si>
    <t>Owens Corning, Johns Manville, Rolan</t>
  </si>
  <si>
    <t>99.9 kg/m3</t>
  </si>
  <si>
    <t xml:space="preserve">US  </t>
  </si>
  <si>
    <t>SmartEPD-2023-008-0023-01</t>
  </si>
  <si>
    <t>38.3 kg/m3</t>
  </si>
  <si>
    <t>SmartEPD-2023-008-0022-01</t>
  </si>
  <si>
    <t xml:space="preserve">USG, American Rockwool </t>
  </si>
  <si>
    <t>32.1 kg/m3</t>
  </si>
  <si>
    <t>SmartEPD-2023-008-0021-01</t>
  </si>
  <si>
    <t>FlameBlock® Fire-Rated</t>
  </si>
  <si>
    <t>7/16", coated 1 side</t>
  </si>
  <si>
    <t>Long Term Biogenic Carbon</t>
  </si>
  <si>
    <t>EPD 556</t>
  </si>
  <si>
    <t>kg/m2 at 7/16" coated 1-side</t>
  </si>
  <si>
    <t>LP® TopNotch® 350</t>
  </si>
  <si>
    <t>EPD 558</t>
  </si>
  <si>
    <t>OSB sheathing &amp; barrier</t>
  </si>
  <si>
    <t>ZIP System - Wall and Roof Sheathing</t>
  </si>
  <si>
    <t>kg/m2 at  5/8"</t>
  </si>
  <si>
    <t>kg/m2 at  1/2"</t>
  </si>
  <si>
    <t>WeatherLogic® Air &amp; Water Barrier</t>
  </si>
  <si>
    <t>m2 @  1/2"</t>
  </si>
  <si>
    <t>EPD 555</t>
  </si>
  <si>
    <t>LP Legacy® Premium</t>
  </si>
  <si>
    <t>m2 @  5/8"</t>
  </si>
  <si>
    <t>EPD 557</t>
  </si>
  <si>
    <t>m2 @ 5/8'' / m3</t>
  </si>
  <si>
    <t>A75</t>
  </si>
  <si>
    <t>A77</t>
  </si>
  <si>
    <t>A79</t>
  </si>
  <si>
    <t>A80</t>
  </si>
  <si>
    <t>A82</t>
  </si>
  <si>
    <t>British Columbia Average</t>
  </si>
  <si>
    <t>Includes : West Fraser Mills, Thompson River Veneer Products</t>
  </si>
  <si>
    <t>EP397</t>
  </si>
  <si>
    <t xml:space="preserve">Hardwood plywood. Includes:  walnut, alder, cherry, mahogany, oak, birch, maple faces </t>
  </si>
  <si>
    <t>4786969381.107.1</t>
  </si>
  <si>
    <t>softwood plywood</t>
  </si>
  <si>
    <t>m2 at 3/8"</t>
  </si>
  <si>
    <t>4786969381.102.1</t>
  </si>
  <si>
    <t>kg/m2 at 3/8"</t>
  </si>
  <si>
    <t>A85</t>
  </si>
  <si>
    <t>A86</t>
  </si>
  <si>
    <t>A87</t>
  </si>
  <si>
    <t>A88</t>
  </si>
  <si>
    <t>(ARCHIVED 2025) Polyiso - roof boards</t>
  </si>
  <si>
    <t>(ARCHIVED 2025) Polyiso - wall boards</t>
  </si>
  <si>
    <t>(ARCHIVED 2025) Polypropylene siding</t>
  </si>
  <si>
    <t>GRF facer / Type II R 5.6-inch, 16 psi</t>
  </si>
  <si>
    <t>H-Shield</t>
  </si>
  <si>
    <t>GRF facer / R 5.6/inch</t>
  </si>
  <si>
    <t>EPD10465</t>
  </si>
  <si>
    <t xml:space="preserve">EPD 270 </t>
  </si>
  <si>
    <t>Polyisocyanurate - roof boards</t>
  </si>
  <si>
    <t>CGF facer</t>
  </si>
  <si>
    <t>CGF facer / Type II R 5.6/inch, 16 psi</t>
  </si>
  <si>
    <t>EPD255</t>
  </si>
  <si>
    <t>H-Shield CG</t>
  </si>
  <si>
    <t>CGF facer R 5.8/inch</t>
  </si>
  <si>
    <t>CGF facer / Type II R 5.6-inch, 16 psi</t>
  </si>
  <si>
    <t>High density cover boards</t>
  </si>
  <si>
    <t>Type II, R 5.0-inch, 80 psi</t>
  </si>
  <si>
    <t>EPD254</t>
  </si>
  <si>
    <t>EPD 267</t>
  </si>
  <si>
    <t>Includes: Atlas, Firestone, GAF, Johns Manville, Carlisle, Iko, Soprema</t>
  </si>
  <si>
    <t>EPD10467</t>
  </si>
  <si>
    <t>EPD 268</t>
  </si>
  <si>
    <t xml:space="preserve">Carlisle </t>
  </si>
  <si>
    <t xml:space="preserve">R2+ Silver </t>
  </si>
  <si>
    <t>R 6.3/inch, 20 psi</t>
  </si>
  <si>
    <t>EPD273</t>
  </si>
  <si>
    <t>(ARCHIVED 2025) Rebar</t>
  </si>
  <si>
    <t>(ARCHIVED 2025) Rubber flooring</t>
  </si>
  <si>
    <t>Canadian sizes -98% recycled, EAF</t>
  </si>
  <si>
    <t>Includes: Evraz, CMC, Cascade, Steel Dynamics, Nucor</t>
  </si>
  <si>
    <t>EPD 362</t>
  </si>
  <si>
    <t>(ARCHIVED 2025) Spray polyurethane foam - Closed Cell (HFC)</t>
  </si>
  <si>
    <t>(ARCHIVED 2025) Spray polyurethane foam - High Density (HFC)</t>
  </si>
  <si>
    <t>(ARCHIVED 2025) Spray polyurethane foam - Open Cell (HFC)</t>
  </si>
  <si>
    <t>A92</t>
  </si>
  <si>
    <t>A94</t>
  </si>
  <si>
    <t>A95</t>
  </si>
  <si>
    <t>A98</t>
  </si>
  <si>
    <t>A99</t>
  </si>
  <si>
    <t>A101</t>
  </si>
  <si>
    <t>A103</t>
  </si>
  <si>
    <t>A104</t>
  </si>
  <si>
    <t>(ARCHIVED 2025) Steel beam</t>
  </si>
  <si>
    <t>4789556099.102.1</t>
  </si>
  <si>
    <t>(ARCHIVED 2025) Steel joist, open web</t>
  </si>
  <si>
    <t>Includes: Canam Steel, New Millenium Building Systems, Vulcraft/Nucor</t>
  </si>
  <si>
    <t>4789985166.101.1</t>
  </si>
  <si>
    <t>(ARCHIVED 2025) Steel studs - Load bearing</t>
  </si>
  <si>
    <t>(ARCHIVED 2025) Steel studs - Non-loadbearing</t>
  </si>
  <si>
    <t>(ARCHIVED 2025) Straw Bale</t>
  </si>
  <si>
    <t>(ARCHIVED 2025) Straw Panels</t>
  </si>
  <si>
    <t>(ARCHIVED 2025) TPO Roofing Membrane</t>
  </si>
  <si>
    <t>Sure-Weld</t>
  </si>
  <si>
    <t>ASTM-EPD425</t>
  </si>
  <si>
    <t>TPO roofing membrane</t>
  </si>
  <si>
    <t>Single Ply Roofing Industry</t>
  </si>
  <si>
    <t>45 mils</t>
  </si>
  <si>
    <t>Includes: Carlisle, Johns Manville, Holcim, IKO</t>
  </si>
  <si>
    <t>EPD 446</t>
  </si>
  <si>
    <t>(ARCHIVED 2025) Vinyl flooring</t>
  </si>
  <si>
    <t>Altro Lavencia</t>
  </si>
  <si>
    <t>3.0 mm</t>
  </si>
  <si>
    <t>SCS-EPD-07131</t>
  </si>
  <si>
    <t>g/m2</t>
  </si>
  <si>
    <t>(ARCHIVED 2025) Waterproofing membrane adhesive</t>
  </si>
  <si>
    <t>(ARCHIVED 2025) Welded wire mesh</t>
  </si>
  <si>
    <t>Welded wire reinforcement</t>
  </si>
  <si>
    <t>Insteel Industries</t>
  </si>
  <si>
    <t>EPD 585</t>
  </si>
  <si>
    <t>lb/100ft2</t>
  </si>
  <si>
    <t>4" x 4" x 6/6g</t>
  </si>
  <si>
    <t>(ARCHIVED 2025) Window - double pane</t>
  </si>
  <si>
    <t>(ARCHIVED 2025) Window - triple pane</t>
  </si>
  <si>
    <t>(ARCHIVED 2025) Wood chip cement ICF</t>
  </si>
  <si>
    <t>(ARCHIVED 2025) Wood fiber batt</t>
  </si>
  <si>
    <t>(ARCHIVED 2025) Wood fiber board</t>
  </si>
  <si>
    <t>Isolair, Isoroof, Isolair Multi</t>
  </si>
  <si>
    <t>R 3.3-inch / 200 kg/m3, 30-80 mm</t>
  </si>
  <si>
    <t>m3 @ 200 kg/m3</t>
  </si>
  <si>
    <t>EPD-PAV-20190182-ABA4-EN</t>
  </si>
  <si>
    <t>R 3.3-inch / 110 kg/m3</t>
  </si>
  <si>
    <t>m3 @ 110 kg/m3</t>
  </si>
  <si>
    <t>Pavawall GF, Pavawall Bloc, Pavawall GF XL</t>
  </si>
  <si>
    <t xml:space="preserve">R 3.3-inch / 130 kg/m3 </t>
  </si>
  <si>
    <t>Pavawall Smart, Pavawall Light, Pavawall FW</t>
  </si>
  <si>
    <t>R 3.3-inch / 115 kg/m3</t>
  </si>
  <si>
    <t>m3 @ 115 kg/m3</t>
  </si>
  <si>
    <t>(ARCHIVED 2025) Wood framing - Softwood</t>
  </si>
  <si>
    <t>STEICOprotect M dry, STEICOroof dry, STEICOspecial dry, STEICOtop</t>
  </si>
  <si>
    <t xml:space="preserve">R 3.6-inch, 140 kg/m3 </t>
  </si>
  <si>
    <t>STEICOprotect S dry, STEICOsafe 40, STEICOuniversal dry</t>
  </si>
  <si>
    <t>R 3.6-inch, 210 kg/m3</t>
  </si>
  <si>
    <t>STEICOtherm dry, STEICOprotect L dry, STEICOsafe</t>
  </si>
  <si>
    <t>R 3.6-inch, 110 kg/m3</t>
  </si>
  <si>
    <t>(ARCHIVED 2025) Wood I joist</t>
  </si>
  <si>
    <t>Wood I-joist</t>
  </si>
  <si>
    <t>Red I-45</t>
  </si>
  <si>
    <t>11.875" depth, 1.75 x 1.5" LVL flanges</t>
  </si>
  <si>
    <t>SCS-EPD-07524</t>
  </si>
  <si>
    <t xml:space="preserve">m </t>
  </si>
  <si>
    <t>14" depth, 1.75 x 1.5" LVL flanges</t>
  </si>
  <si>
    <t>16" depth, 1.75 x 1.5" LVL flanges</t>
  </si>
  <si>
    <t>Red I-65</t>
  </si>
  <si>
    <t>11.875" depth, 2.5 x 1.5" LVL flanges</t>
  </si>
  <si>
    <t>14" depth, 2.5 x 1.5" LVL flanges</t>
  </si>
  <si>
    <t>16" depth, 2.5 x 1.5" LVL flanges</t>
  </si>
  <si>
    <t>(ARCHIVED 2025) Wood wool boards</t>
  </si>
  <si>
    <t>A107</t>
  </si>
  <si>
    <t>A108</t>
  </si>
  <si>
    <t>A109</t>
  </si>
  <si>
    <t>A111</t>
  </si>
  <si>
    <t>A113</t>
  </si>
  <si>
    <t>A115</t>
  </si>
  <si>
    <t>A116</t>
  </si>
  <si>
    <t>A117</t>
  </si>
  <si>
    <t>A119</t>
  </si>
  <si>
    <t>A121</t>
  </si>
  <si>
    <t>A123</t>
  </si>
  <si>
    <t>A124</t>
  </si>
  <si>
    <t>A126</t>
  </si>
  <si>
    <t>A128</t>
  </si>
  <si>
    <t>A129</t>
  </si>
  <si>
    <t>A130</t>
  </si>
  <si>
    <t>A132</t>
  </si>
  <si>
    <t>Linea|Lunara sheets</t>
  </si>
  <si>
    <t>10 mm</t>
  </si>
  <si>
    <t>EPD-ETE-20190128-CCA1-EN</t>
  </si>
  <si>
    <t>kg/m2 at 10mm</t>
  </si>
  <si>
    <t>(ARCHIVED 2025) Engineered Wood Siding &amp; Trim</t>
  </si>
  <si>
    <t>0.354" (9 mm)</t>
  </si>
  <si>
    <t>m2 at 9 mm (0.354")</t>
  </si>
  <si>
    <t>EPD 597</t>
  </si>
  <si>
    <t>0.418" (10.6 mm)</t>
  </si>
  <si>
    <t>m2 at 10.6 mm (0.418")</t>
  </si>
  <si>
    <t>0.578" (14.7mm)</t>
  </si>
  <si>
    <t>m2 at 14.7 mm (0.578")</t>
  </si>
  <si>
    <t>BuilderSeries® Lap Siding</t>
  </si>
  <si>
    <t>9/32" (7.3 mm)</t>
  </si>
  <si>
    <t>m2 at 7.3 mm</t>
  </si>
  <si>
    <t>EPD 617</t>
  </si>
  <si>
    <t>m2 at 7.3  mm (9/32")</t>
  </si>
  <si>
    <t>SmartSide ExpertFinish</t>
  </si>
  <si>
    <t>3/8" (9.5 mm)</t>
  </si>
  <si>
    <t>m2 at 9.5 mm</t>
  </si>
  <si>
    <t>EPD 601</t>
  </si>
  <si>
    <t>DensGlass Sheathing</t>
  </si>
  <si>
    <t>EPD10268</t>
  </si>
  <si>
    <t>5/8" Type X</t>
  </si>
  <si>
    <t>Hardie Plank HZ10, Hardie Panel HZ10, Hardie Architectural Panel HZ10</t>
  </si>
  <si>
    <t>S-P-05037</t>
  </si>
  <si>
    <t>EPD International</t>
  </si>
  <si>
    <t>Hardie Plank HZ5, Hardie Panel HZ5, Hardie Architectural Panel HZ5</t>
  </si>
  <si>
    <t>Hardie Shingle HZ10</t>
  </si>
  <si>
    <t>6.3mm</t>
  </si>
  <si>
    <t>Hardie Shingle HZ5</t>
  </si>
  <si>
    <t>Fiberglass board</t>
  </si>
  <si>
    <t>Includes :  Johns Manville, Knauf, Owens Corning, CertainTeed</t>
  </si>
  <si>
    <t>R-3.2/inch</t>
  </si>
  <si>
    <t>SmartEPD-2023-003-0012-01</t>
  </si>
  <si>
    <t xml:space="preserve">Window - double-glazed </t>
  </si>
  <si>
    <t>AluQuebec</t>
  </si>
  <si>
    <t>Avg of fixed, casement, slider, hung, tilt &amp; turn, awning</t>
  </si>
  <si>
    <t>Aluminum frame</t>
  </si>
  <si>
    <t>7730-2734</t>
  </si>
  <si>
    <t>Arcadia</t>
  </si>
  <si>
    <t>CV200, T200 / Projected &amp; casement</t>
  </si>
  <si>
    <t>EFCO</t>
  </si>
  <si>
    <t>Xtherm, 5FXT, FX45, 6615, 6621, 6715, FX32, OG32, OG45 / Fixed</t>
  </si>
  <si>
    <t>Xtherm, 875V, 2700, 2701, 450G, 590X, 6725, PG32, PX32, WV410, WV430 / Projected &amp; casement</t>
  </si>
  <si>
    <t>Kawneer</t>
  </si>
  <si>
    <t>Optiq AA4325, 8225TL|TLF, 526, AA 6400|6500, NX-300|3000 / Projected &amp; casement</t>
  </si>
  <si>
    <t>4789733794.106.1</t>
  </si>
  <si>
    <t>OptiQ AA5450, TR-9100, 8400TL, AA6400|6500|6600 / Hung &amp; sliding</t>
  </si>
  <si>
    <t>4789733794.104.1</t>
  </si>
  <si>
    <t>Wasau</t>
  </si>
  <si>
    <t>INvent casement windows</t>
  </si>
  <si>
    <t>EPD 499</t>
  </si>
  <si>
    <t xml:space="preserve">INvent fixed windows </t>
  </si>
  <si>
    <t>A136</t>
  </si>
  <si>
    <t>A137</t>
  </si>
  <si>
    <t>A139</t>
  </si>
  <si>
    <t>A140</t>
  </si>
  <si>
    <t>A142</t>
  </si>
  <si>
    <t>A143</t>
  </si>
  <si>
    <t>A145</t>
  </si>
  <si>
    <t>A146</t>
  </si>
  <si>
    <t>A147</t>
  </si>
  <si>
    <t>A148</t>
  </si>
  <si>
    <t>A151</t>
  </si>
  <si>
    <t>A152</t>
  </si>
  <si>
    <t>A153</t>
  </si>
  <si>
    <t>A154</t>
  </si>
  <si>
    <t>A155</t>
  </si>
  <si>
    <t>A156</t>
  </si>
  <si>
    <t xml:space="preserve">7/16" </t>
  </si>
  <si>
    <t>R 3.6/inch, 40-200 mm</t>
  </si>
  <si>
    <t>BARRIERS AND MEMBRANES</t>
  </si>
  <si>
    <t>SHEET BARRIER</t>
  </si>
  <si>
    <t>LIQUID APPLIED BARRIER</t>
  </si>
  <si>
    <t>Int. Wall &amp; Ceiling Barrier, sheet</t>
  </si>
  <si>
    <t>Rothoblaas</t>
  </si>
  <si>
    <t>Vapor In Green 200 / Non-permeable</t>
  </si>
  <si>
    <t>0.35 mm</t>
  </si>
  <si>
    <t>0.4</t>
  </si>
  <si>
    <t>0.42</t>
  </si>
  <si>
    <t>2021M20141</t>
  </si>
  <si>
    <t>Sphera</t>
  </si>
  <si>
    <t>Ext. &amp; Int. Wall &amp; Roof Barrier, sheet</t>
  </si>
  <si>
    <t>Clima Control Net 160 / Moisture-variable</t>
  </si>
  <si>
    <t>0.5 mm</t>
  </si>
  <si>
    <t>0.9</t>
  </si>
  <si>
    <t>0.94</t>
  </si>
  <si>
    <t>Traspir EVO 160 / 12.3 Perms</t>
  </si>
  <si>
    <t>0.6</t>
  </si>
  <si>
    <t>0.63</t>
  </si>
  <si>
    <t>Traspir Vapor 225 / Non-permeable</t>
  </si>
  <si>
    <t>0.8 mm</t>
  </si>
  <si>
    <t>0.7</t>
  </si>
  <si>
    <t>0.70</t>
  </si>
  <si>
    <t>Ext. &amp; Int. Wall Barrier, sheet</t>
  </si>
  <si>
    <t>Traspir 110 / 101 Perms</t>
  </si>
  <si>
    <t>0.4 mm</t>
  </si>
  <si>
    <t>0.3</t>
  </si>
  <si>
    <t>0.32</t>
  </si>
  <si>
    <t>Traspir EVO UV 210 / 41.7 Perms</t>
  </si>
  <si>
    <t>0.3 mm</t>
  </si>
  <si>
    <t>1.4</t>
  </si>
  <si>
    <t>1.37</t>
  </si>
  <si>
    <t>Ext. Roof Barrier, sheet</t>
  </si>
  <si>
    <t>Traspir Weld EVO 360 / 17.5 Perms</t>
  </si>
  <si>
    <t>1.0 mm</t>
  </si>
  <si>
    <t>1.6</t>
  </si>
  <si>
    <t>1.58</t>
  </si>
  <si>
    <t>Ext. Wall &amp; Roof Barrier, adhesive</t>
  </si>
  <si>
    <t>Partel</t>
  </si>
  <si>
    <t>Exoperm Mono SA 250 / Permeable</t>
  </si>
  <si>
    <t>0.8</t>
  </si>
  <si>
    <t>0.81</t>
  </si>
  <si>
    <t>EPDIE-22-84</t>
  </si>
  <si>
    <t>Irish Green Building Council</t>
  </si>
  <si>
    <t>Ext. Wall &amp; Roof Barrier, liquid applied</t>
  </si>
  <si>
    <t>Barrithane VP / 11.1 Perms</t>
  </si>
  <si>
    <t>40 mils</t>
  </si>
  <si>
    <t>5.2</t>
  </si>
  <si>
    <t>5.18</t>
  </si>
  <si>
    <t>EPD10568</t>
  </si>
  <si>
    <t>1.498</t>
  </si>
  <si>
    <t>m2/kg</t>
  </si>
  <si>
    <t>Ext. Wall &amp; Roof Barrier, sheet</t>
  </si>
  <si>
    <t>Tyvek Monolayer 60 / Permeable</t>
  </si>
  <si>
    <t>0.28</t>
  </si>
  <si>
    <t>EPD-DUP-20210183-IBC1-EN</t>
  </si>
  <si>
    <t>0.058</t>
  </si>
  <si>
    <t>Exoperm Mono 150 / Permeable</t>
  </si>
  <si>
    <t>0.5</t>
  </si>
  <si>
    <t>0.54</t>
  </si>
  <si>
    <t>Ext. Wall barrier, adhesive</t>
  </si>
  <si>
    <t>Perm-a-Barrier / Non-permeable</t>
  </si>
  <si>
    <t>1 mm</t>
  </si>
  <si>
    <t>1.94</t>
  </si>
  <si>
    <t>EPD10787</t>
  </si>
  <si>
    <t>Ext. Wall Barrier, adhesive</t>
  </si>
  <si>
    <t>Sopraseal Stick 1100 T / Non-permeable</t>
  </si>
  <si>
    <t>1.9</t>
  </si>
  <si>
    <t>1.93</t>
  </si>
  <si>
    <t>EPD 509</t>
  </si>
  <si>
    <t>0.975</t>
  </si>
  <si>
    <t>Sopraseal Stick VP / 11-17 Perms</t>
  </si>
  <si>
    <t>0.6 mm</t>
  </si>
  <si>
    <t>1.2</t>
  </si>
  <si>
    <t>1.17</t>
  </si>
  <si>
    <t>EPD 512</t>
  </si>
  <si>
    <t>0.346</t>
  </si>
  <si>
    <t>Soprasolin HD / Non-permeable</t>
  </si>
  <si>
    <t>1.92</t>
  </si>
  <si>
    <t>1.025</t>
  </si>
  <si>
    <t>SOPRAVAP'R / Non-permeable</t>
  </si>
  <si>
    <t>1.5</t>
  </si>
  <si>
    <t>1.52</t>
  </si>
  <si>
    <t>0.763</t>
  </si>
  <si>
    <t>Ext. Wall barrier, liquid applied</t>
  </si>
  <si>
    <t>Perm-a-Barrier NPL 10 / Non-permeable</t>
  </si>
  <si>
    <t>4.8</t>
  </si>
  <si>
    <t>4.80</t>
  </si>
  <si>
    <t>EPD10786</t>
  </si>
  <si>
    <t>g/cm3</t>
  </si>
  <si>
    <t>0.001</t>
  </si>
  <si>
    <t>Perm-a-Barrier VPL / 20 Perms</t>
  </si>
  <si>
    <t>0.64 mm</t>
  </si>
  <si>
    <t>4.01</t>
  </si>
  <si>
    <t>Perm-a-Barrier VPL 50 RS / 13 Perms</t>
  </si>
  <si>
    <t>0.51 mm</t>
  </si>
  <si>
    <t>1.53</t>
  </si>
  <si>
    <t>Ext. Wall barrier, sheet</t>
  </si>
  <si>
    <t>Perm-a-Barrier NPS / Non-permeable</t>
  </si>
  <si>
    <t>0.46 mm</t>
  </si>
  <si>
    <t>1.12</t>
  </si>
  <si>
    <t>Ext. Wall Barrier, liquid applied</t>
  </si>
  <si>
    <t>Sopraseal LM 200 S / 0.6 Perm</t>
  </si>
  <si>
    <t>9.3</t>
  </si>
  <si>
    <t>9.27</t>
  </si>
  <si>
    <t>EPD 508</t>
  </si>
  <si>
    <t>2.014</t>
  </si>
  <si>
    <t>SOPRASEAL LM 204 VP / 10-17 Perms</t>
  </si>
  <si>
    <t>3.0</t>
  </si>
  <si>
    <t>2.99</t>
  </si>
  <si>
    <t>EPD 552</t>
  </si>
  <si>
    <t>0.569</t>
  </si>
  <si>
    <t>Ext. Waterproofing Barrier, adhesive</t>
  </si>
  <si>
    <t>MiraPLY V</t>
  </si>
  <si>
    <t>8.6</t>
  </si>
  <si>
    <t>8.55</t>
  </si>
  <si>
    <t>EPD10572</t>
  </si>
  <si>
    <t>0.471</t>
  </si>
  <si>
    <t>Ext. Waterproofing Barrier, liquid applied</t>
  </si>
  <si>
    <t>MiraSEAL &amp; MiraTITE</t>
  </si>
  <si>
    <t>8.4</t>
  </si>
  <si>
    <t>8.37</t>
  </si>
  <si>
    <t>0.484</t>
  </si>
  <si>
    <t>IZOPERM PLUS / Non-permeable</t>
  </si>
  <si>
    <t>EPDIE-22-83</t>
  </si>
  <si>
    <t>VARA PLUS / Moisture-variable</t>
  </si>
  <si>
    <t>0.37</t>
  </si>
  <si>
    <t>Clima Control 80 / Moisture-variable</t>
  </si>
  <si>
    <t>0.22 mm</t>
  </si>
  <si>
    <t>0.74</t>
  </si>
  <si>
    <t>Vapor in NET 140 / Non-permeable</t>
  </si>
  <si>
    <t>0.15 mm</t>
  </si>
  <si>
    <t>0.45</t>
  </si>
  <si>
    <t>SIGA</t>
  </si>
  <si>
    <t>Majrex 200 / Moisture-variable</t>
  </si>
  <si>
    <t>1.21</t>
  </si>
  <si>
    <t>EPD-SIG-20220185-CBA1-EN</t>
  </si>
  <si>
    <t>0.15</t>
  </si>
  <si>
    <t>Barrier, sheet</t>
  </si>
  <si>
    <t>Polyethylene sheet</t>
  </si>
  <si>
    <t>10 mil</t>
  </si>
  <si>
    <t>0.61</t>
  </si>
  <si>
    <t>From ICE Database V3</t>
  </si>
  <si>
    <t>NA</t>
  </si>
  <si>
    <t>0.233</t>
  </si>
  <si>
    <t>6 mil</t>
  </si>
  <si>
    <t>0.38</t>
  </si>
  <si>
    <t>0.147</t>
  </si>
  <si>
    <t>A157</t>
  </si>
  <si>
    <t>A159</t>
  </si>
  <si>
    <t>A160</t>
  </si>
  <si>
    <t>A161</t>
  </si>
  <si>
    <t>A162</t>
  </si>
  <si>
    <t>A163</t>
  </si>
  <si>
    <t>A164</t>
  </si>
  <si>
    <t>A165</t>
  </si>
  <si>
    <t>A166</t>
  </si>
  <si>
    <t>A167</t>
  </si>
  <si>
    <t>A168</t>
  </si>
  <si>
    <t>A169</t>
  </si>
  <si>
    <t>A170</t>
  </si>
  <si>
    <t>A171</t>
  </si>
  <si>
    <t>A172</t>
  </si>
  <si>
    <t>A173</t>
  </si>
  <si>
    <t>A174</t>
  </si>
  <si>
    <t>A178</t>
  </si>
  <si>
    <t>A180</t>
  </si>
  <si>
    <t>A181</t>
  </si>
  <si>
    <t>A182</t>
  </si>
  <si>
    <t>A183</t>
  </si>
  <si>
    <t>A184</t>
  </si>
  <si>
    <t>A185</t>
  </si>
  <si>
    <t>A186</t>
  </si>
  <si>
    <t>SELF-ADHERED BARRIER</t>
  </si>
  <si>
    <t>Sheet barrier - AVERAGE</t>
  </si>
  <si>
    <t>Liquid applied barrier - AVERAGE</t>
  </si>
  <si>
    <t>Self-adhered barrier - AVERAGE</t>
  </si>
  <si>
    <t>SHEET BARRIER PERMEABLE</t>
  </si>
  <si>
    <t>SHEET BARRIER MOISTURE-VARIABLE</t>
  </si>
  <si>
    <t>SHEET BARRIER NON-PERMEABLE</t>
  </si>
  <si>
    <t>Sheet barrier permeable - AVERAGE</t>
  </si>
  <si>
    <t>Sheet barrier moisture-variable - AVERAGE</t>
  </si>
  <si>
    <t>Sheet barrier non-permeable - AVERAGE</t>
  </si>
  <si>
    <t>CEILING SHEET BARRIER</t>
  </si>
  <si>
    <t>Ceiling sheet barrier - AVERAGE</t>
  </si>
  <si>
    <t>FIBERGLASS BOARD</t>
  </si>
  <si>
    <t>Fiberglass board - AVERAGE</t>
  </si>
  <si>
    <t>OSB SHEATHING &amp; BARRIER SYSTEM</t>
  </si>
  <si>
    <t>Cork board - AVERAGE</t>
  </si>
  <si>
    <t>CONTINUOUS INSULATION</t>
  </si>
  <si>
    <t>CONTINUOUS ROOF INSULATION</t>
  </si>
  <si>
    <t>Is unit in K or G?</t>
  </si>
  <si>
    <t>K</t>
  </si>
  <si>
    <t>Linoleum flooring - AVERAGE 4 mm</t>
  </si>
  <si>
    <t>The brand used to be "Includes: Agway, Bailey, Behlen, Canam,DASS, DCM, Duchesne, EB, Exsteel, Ideal Roofing, Imperial, LKME, Manugypse, Metal Up, Scotia, Steel Tile Co, Steelway, Trebor, Vicwest, Vulcraft, Westform, Westman" but it got removed because it was too long (Mar 2025)</t>
  </si>
  <si>
    <t>kgCo2e/m3</t>
  </si>
  <si>
    <t xml:space="preserve">Users can adjust the emissions factors that are used to calculate the operational emissions associated with the home based on various assumptions.  </t>
  </si>
  <si>
    <t>1 – HOT2000 v.12.13 emissions factors</t>
  </si>
  <si>
    <t>2 – NBC 2025 emissions factors</t>
  </si>
  <si>
    <t>3 – Users can override these values by manually entering the regional emissions factors provided by the Authority Having Jurisdiction in the cells above.</t>
  </si>
  <si>
    <t xml:space="preserve">Notes: </t>
  </si>
  <si>
    <r>
      <t>-</t>
    </r>
    <r>
      <rPr>
        <sz val="11"/>
        <color theme="1"/>
        <rFont val="Aptos"/>
        <family val="2"/>
      </rPr>
      <t xml:space="preserve"> In grids with low carbon emissions intensities, MCE2 users should consider energy efficiency measures to reduce overall loads on local and regional electrical distribution networks. </t>
    </r>
  </si>
  <si>
    <t xml:space="preserve">- Only the cradle-to-gate material carbon emissions are modeled for new construction elements. MCE2 does not consider material carbon over the life of the building due to renovations, maintenance, material replacement, or other factors. </t>
  </si>
  <si>
    <t xml:space="preserve">- GHG operational emissions provided, are estimates only. Several factors will impact the actual emissions of the home, especially in mixed grids where various fuels are used or where energy is imported across jurisdictions to generate supply for peak loads.   </t>
  </si>
  <si>
    <t>NBC 2025 - Proposed Change 2004</t>
  </si>
  <si>
    <t>Province/ Territory</t>
  </si>
  <si>
    <t>GHG Emissions Factors</t>
  </si>
  <si>
    <t>Utility Gas (Natural Gas)</t>
  </si>
  <si>
    <t xml:space="preserve">Heating Oil </t>
  </si>
  <si>
    <t>Diesel</t>
  </si>
  <si>
    <r>
      <t>(g CO</t>
    </r>
    <r>
      <rPr>
        <b/>
        <vertAlign val="subscript"/>
        <sz val="10"/>
        <color rgb="FF000000"/>
        <rFont val="Aptos"/>
        <family val="2"/>
      </rPr>
      <t>2</t>
    </r>
    <r>
      <rPr>
        <b/>
        <sz val="10"/>
        <color indexed="8"/>
        <rFont val="Aptos"/>
        <family val="2"/>
      </rPr>
      <t>e/kWh)</t>
    </r>
  </si>
  <si>
    <r>
      <t>(g CO</t>
    </r>
    <r>
      <rPr>
        <b/>
        <vertAlign val="subscript"/>
        <sz val="10"/>
        <color rgb="FF000000"/>
        <rFont val="Aptos"/>
        <family val="2"/>
      </rPr>
      <t>2</t>
    </r>
    <r>
      <rPr>
        <b/>
        <sz val="10"/>
        <color indexed="8"/>
        <rFont val="Aptos"/>
        <family val="2"/>
      </rPr>
      <t>e/M3)</t>
    </r>
  </si>
  <si>
    <r>
      <t>(g CO</t>
    </r>
    <r>
      <rPr>
        <b/>
        <vertAlign val="subscript"/>
        <sz val="10"/>
        <color rgb="FF000000"/>
        <rFont val="Aptos"/>
        <family val="2"/>
      </rPr>
      <t>2</t>
    </r>
    <r>
      <rPr>
        <b/>
        <sz val="10"/>
        <color indexed="8"/>
        <rFont val="Aptos"/>
        <family val="2"/>
      </rPr>
      <t>e/L)</t>
    </r>
  </si>
  <si>
    <r>
      <t>(g CO</t>
    </r>
    <r>
      <rPr>
        <b/>
        <vertAlign val="subscript"/>
        <sz val="10"/>
        <color rgb="FF000000"/>
        <rFont val="Aptos"/>
        <family val="2"/>
      </rPr>
      <t>2</t>
    </r>
    <r>
      <rPr>
        <b/>
        <sz val="10"/>
        <color indexed="8"/>
        <rFont val="Aptos"/>
        <family val="2"/>
      </rPr>
      <t>e.L)</t>
    </r>
  </si>
  <si>
    <t>Hot2000 v11.13 - Values</t>
  </si>
  <si>
    <t>Heating Oil</t>
  </si>
  <si>
    <r>
      <t>(g CO</t>
    </r>
    <r>
      <rPr>
        <b/>
        <vertAlign val="subscript"/>
        <sz val="11"/>
        <color theme="1"/>
        <rFont val="Calibri"/>
        <family val="2"/>
        <scheme val="minor"/>
      </rPr>
      <t>2</t>
    </r>
    <r>
      <rPr>
        <b/>
        <sz val="11"/>
        <color theme="1"/>
        <rFont val="Calibri"/>
        <family val="2"/>
        <scheme val="minor"/>
      </rPr>
      <t>e/kg)</t>
    </r>
  </si>
  <si>
    <t>Thermafiber SAFB (4pcf), Versaboard 40</t>
  </si>
  <si>
    <t>R 3.7-inch</t>
  </si>
  <si>
    <t>1.69</t>
  </si>
  <si>
    <t>4790011847.101.2</t>
  </si>
  <si>
    <t>2.5</t>
  </si>
  <si>
    <t>pcf</t>
  </si>
  <si>
    <t>3.7</t>
  </si>
  <si>
    <t>0.0389787027</t>
  </si>
  <si>
    <t>UltraBatt - Fire and Sound guard Plus R-15, R-30</t>
  </si>
  <si>
    <t>R 4.2-inch</t>
  </si>
  <si>
    <t>4.20000</t>
  </si>
  <si>
    <t>0.0343384</t>
  </si>
  <si>
    <t>UltraBatt - Fire and Sound guard Plus R-23</t>
  </si>
  <si>
    <t>1.09</t>
  </si>
  <si>
    <t>4.18000</t>
  </si>
  <si>
    <t>0.0345027</t>
  </si>
  <si>
    <t>UltraBatt - Fire and Sound guard Plus R-24</t>
  </si>
  <si>
    <t>R 4.0-inch</t>
  </si>
  <si>
    <t>1.25</t>
  </si>
  <si>
    <t>4.00000</t>
  </si>
  <si>
    <t>0.0360553</t>
  </si>
  <si>
    <t>Mineral wool board</t>
  </si>
  <si>
    <t>Thermafiber RainBarrier ci 80</t>
  </si>
  <si>
    <t>2.84</t>
  </si>
  <si>
    <t>4.2</t>
  </si>
  <si>
    <t>0.03433838095</t>
  </si>
  <si>
    <t>Thermafiber RainBarrier ci HC 140</t>
  </si>
  <si>
    <t>4.18</t>
  </si>
  <si>
    <t>Thermafiber RainBarrier ci HC 110</t>
  </si>
  <si>
    <t>R 4.3-inch</t>
  </si>
  <si>
    <t>3.19</t>
  </si>
  <si>
    <t>4.3</t>
  </si>
  <si>
    <t>0.03353981395</t>
  </si>
  <si>
    <t>ComfortBatt R-23</t>
  </si>
  <si>
    <t>1.60</t>
  </si>
  <si>
    <t>4790711618.101.2</t>
  </si>
  <si>
    <t>ComfortBatt R-24 (Steel Studs)</t>
  </si>
  <si>
    <t>1.42</t>
  </si>
  <si>
    <t>4.00</t>
  </si>
  <si>
    <t>ComfortBatt R-24 (Wood Studs)</t>
  </si>
  <si>
    <t>R 4.4-inch</t>
  </si>
  <si>
    <t>1.88</t>
  </si>
  <si>
    <t>4.40</t>
  </si>
  <si>
    <t>0.0327775</t>
  </si>
  <si>
    <t>Cavityrock</t>
  </si>
  <si>
    <t>2.37</t>
  </si>
  <si>
    <t>4.30</t>
  </si>
  <si>
    <t>Comfortboard 110</t>
  </si>
  <si>
    <t>6.54</t>
  </si>
  <si>
    <t>4.44</t>
  </si>
  <si>
    <t>4.20</t>
  </si>
  <si>
    <t>Toprock DD</t>
  </si>
  <si>
    <t>6.32</t>
  </si>
  <si>
    <t>Safe'n'Sound</t>
  </si>
  <si>
    <t>1.49</t>
  </si>
  <si>
    <t>2.64000</t>
  </si>
  <si>
    <t>0.089</t>
  </si>
  <si>
    <t>Foamit group</t>
  </si>
  <si>
    <t>191 kg/m3, 10-60 mm, R 1,5/inch</t>
  </si>
  <si>
    <t>S-P-07075</t>
  </si>
  <si>
    <t>The International EPD® System</t>
  </si>
  <si>
    <t>Luxury vinyl tile</t>
  </si>
  <si>
    <t>Looselay Flooring</t>
  </si>
  <si>
    <t>4.5 - 6mm</t>
  </si>
  <si>
    <t>Includes: AHF, Gerflor, HMTX, Karndean, Mohawk Group, NOX Corp, ROPPE, Shaw floors</t>
  </si>
  <si>
    <t>SCS-EPD-10147</t>
  </si>
  <si>
    <t>Gluedown</t>
  </si>
  <si>
    <t>1.5 - 4.5mm</t>
  </si>
  <si>
    <t>Includes: AHF, American Biltrite, Beauflor, Flexco, HMTX, Karndean, , Mannington, Nox, Roppe, Shaw floors, Six Degrees.</t>
  </si>
  <si>
    <t>SCS-EPD-10146</t>
  </si>
  <si>
    <t>Heterogeneous sheet</t>
  </si>
  <si>
    <t>2mm</t>
  </si>
  <si>
    <t>Includes: AHF, Beauflor, Congeoleum, Gerflor, HMTX, Lonseal, Mannington, Mohawk Group, Shaw floors.</t>
  </si>
  <si>
    <t>SCS-EPD-10144</t>
  </si>
  <si>
    <t>A188</t>
  </si>
  <si>
    <t>A189</t>
  </si>
  <si>
    <t>A190</t>
  </si>
  <si>
    <t>A191</t>
  </si>
  <si>
    <t>A192</t>
  </si>
  <si>
    <t>A193</t>
  </si>
  <si>
    <t>A194</t>
  </si>
  <si>
    <t>A196</t>
  </si>
  <si>
    <t>A197</t>
  </si>
  <si>
    <t>A198</t>
  </si>
  <si>
    <t>A200</t>
  </si>
  <si>
    <t>A201</t>
  </si>
  <si>
    <t>A204</t>
  </si>
  <si>
    <t>A205</t>
  </si>
  <si>
    <t>A206</t>
  </si>
  <si>
    <t>Laminate flooring - AVERAGE</t>
  </si>
  <si>
    <t>Row Index</t>
  </si>
  <si>
    <t>© His Majesty the king in Right of Canada, as represented by the Minister of Natural Resources, 2025</t>
  </si>
  <si>
    <t>© Sa Majesté le Roi du chef du Canada, représentée par le ministre de Ressources naturelles, 2025</t>
  </si>
  <si>
    <t>© His Majesty the King in Right of Canada, as represented by the Minister of Natural Resources, 2025</t>
  </si>
  <si>
    <t>SIP panels - EPS foam &amp; OSB</t>
  </si>
  <si>
    <t>SIPA</t>
  </si>
  <si>
    <t>Includes: ACME Panel, Enercept, Extreme Panel Technologies, FischerSIPS, Insulspan, Lamit, PorterCorp, Preflex, Premier Building Systems, Thermafoam R-Control, Urban Industries</t>
  </si>
  <si>
    <t>R-15 4.5" panel</t>
  </si>
  <si>
    <t>HUB-2458</t>
  </si>
  <si>
    <t>kg/m2 at R defined</t>
  </si>
  <si>
    <t>28.54</t>
  </si>
  <si>
    <t>R-23 6.5" panel</t>
  </si>
  <si>
    <t>R-30 8.25" panel</t>
  </si>
  <si>
    <t>R-38 10.25" panel</t>
  </si>
  <si>
    <t>R-45 12.25" panel</t>
  </si>
  <si>
    <t>A207</t>
  </si>
  <si>
    <t>A209</t>
  </si>
  <si>
    <t>A210</t>
  </si>
  <si>
    <t>A211</t>
  </si>
  <si>
    <t>Least negative values</t>
  </si>
  <si>
    <r>
      <rPr>
        <b/>
        <sz val="14"/>
        <color theme="4" tint="-0.249977111117893"/>
        <rFont val="Arial"/>
        <family val="2"/>
      </rPr>
      <t xml:space="preserve">INSTRUCTIONS FOR USING AN EXISTING DATABASE MATERIAL:         </t>
    </r>
    <r>
      <rPr>
        <b/>
        <sz val="12"/>
        <color theme="4" tint="-0.249977111117893"/>
        <rFont val="Arial"/>
        <family val="2"/>
      </rPr>
      <t>&lt;&lt; double-click &gt;&gt;</t>
    </r>
    <r>
      <rPr>
        <sz val="14"/>
        <color theme="1"/>
        <rFont val="Arial"/>
        <family val="2"/>
      </rPr>
      <t xml:space="preserve">
- Select material from LIGHT </t>
    </r>
    <r>
      <rPr>
        <b/>
        <sz val="14"/>
        <color theme="1"/>
        <rFont val="Arial"/>
        <family val="2"/>
      </rPr>
      <t>YELLOW</t>
    </r>
    <r>
      <rPr>
        <sz val="14"/>
        <color theme="1"/>
        <rFont val="Arial"/>
        <family val="2"/>
      </rPr>
      <t xml:space="preserve"> </t>
    </r>
    <r>
      <rPr>
        <b/>
        <sz val="14"/>
        <color theme="1"/>
        <rFont val="Arial"/>
        <family val="2"/>
      </rPr>
      <t>DROPDOWN</t>
    </r>
    <r>
      <rPr>
        <sz val="14"/>
        <color theme="1"/>
        <rFont val="Arial"/>
        <family val="2"/>
      </rPr>
      <t xml:space="preserve"> CELL (</t>
    </r>
    <r>
      <rPr>
        <b/>
        <sz val="14"/>
        <color theme="1"/>
        <rFont val="Arial"/>
        <family val="2"/>
      </rPr>
      <t xml:space="preserve">column C) </t>
    </r>
    <r>
      <rPr>
        <sz val="14"/>
        <color theme="1"/>
        <rFont val="Arial"/>
        <family val="2"/>
      </rPr>
      <t>matching the units of measurement for the material (volume, area, length, or R-value &amp; area)</t>
    </r>
    <r>
      <rPr>
        <b/>
        <sz val="14"/>
        <color theme="1"/>
        <rFont val="Arial"/>
        <family val="2"/>
      </rPr>
      <t xml:space="preserve">
- </t>
    </r>
    <r>
      <rPr>
        <sz val="14"/>
        <color theme="1"/>
        <rFont val="Arial"/>
        <family val="2"/>
      </rPr>
      <t xml:space="preserve">Enter all required inputs into </t>
    </r>
    <r>
      <rPr>
        <b/>
        <sz val="14"/>
        <color theme="1"/>
        <rFont val="Arial"/>
        <family val="2"/>
      </rPr>
      <t>DARK YELLOW</t>
    </r>
    <r>
      <rPr>
        <sz val="14"/>
        <color theme="1"/>
        <rFont val="Arial"/>
        <family val="2"/>
      </rPr>
      <t xml:space="preserve"> cells for that row, including '1' in select column.</t>
    </r>
    <r>
      <rPr>
        <b/>
        <sz val="14"/>
        <color theme="1"/>
        <rFont val="Arial"/>
        <family val="2"/>
      </rPr>
      <t xml:space="preserve">
</t>
    </r>
    <r>
      <rPr>
        <sz val="14"/>
        <color theme="1"/>
        <rFont val="Arial"/>
        <family val="2"/>
      </rPr>
      <t xml:space="preserve">- If adding insulation, enter its total </t>
    </r>
    <r>
      <rPr>
        <b/>
        <sz val="14"/>
        <color theme="1"/>
        <rFont val="Arial"/>
        <family val="2"/>
      </rPr>
      <t>R-VALUE</t>
    </r>
    <r>
      <rPr>
        <sz val="14"/>
        <color theme="1"/>
        <rFont val="Arial"/>
        <family val="2"/>
      </rPr>
      <t xml:space="preserve"> (I-P units) in </t>
    </r>
    <r>
      <rPr>
        <b/>
        <sz val="14"/>
        <color theme="1"/>
        <rFont val="Arial"/>
        <family val="2"/>
      </rPr>
      <t xml:space="preserve">column B &amp; surface area in column D. </t>
    </r>
    <r>
      <rPr>
        <sz val="14"/>
        <color theme="1"/>
        <rFont val="Arial"/>
        <family val="2"/>
      </rPr>
      <t xml:space="preserve"> 
- To add a material to a specific section, use the dropdown in column A.</t>
    </r>
  </si>
  <si>
    <t>Drywall 5/8" - AVERAGE</t>
  </si>
  <si>
    <t>(ARCHIVED 2025) SIP PANEL - R23 6.5" - EPS 5.5" @ R4/in. core, 2 sheets 1/2" OSB</t>
  </si>
  <si>
    <t>(ARCHIVED 2025) SIP PANEL - R30 8.25" - EPS 7.25" @ R4/in. core, 2 sheets 1/2" OSB</t>
  </si>
  <si>
    <t>(ARCHIVED 2025) SIP PANEL - R38 10.5" - EPS 9.5" @ R4/in. core, 2 sheets 1/2" OSB</t>
  </si>
  <si>
    <t>(ARCHIVED 2025) SIP PANEL - R48 12-7/8" - EPS 11.875" @ R4/in. core, 2 sheets 1/2" OSB</t>
  </si>
  <si>
    <t>Long Cycle</t>
  </si>
  <si>
    <t>Carbon Storage Long Cycle</t>
  </si>
  <si>
    <t>Short Cycle</t>
  </si>
  <si>
    <t>Carbon Storage Short Cycle</t>
  </si>
  <si>
    <t>Short-cycle carbon storage accounts for carbon stored in waste-stream feedstocks, agricultural and forestry by-products and purpose grown crops with a growth cycle of less than 10 years.</t>
  </si>
  <si>
    <t>Long cycle carbon storage comes from plants that have long (10 or more years) growth cycles, most commonly in products that use timber feedstocks. The longer growth cycle for timber and the complexities of measuring carbon flows in forest ecosystems can result in high levels of uncertainty in the storage of carbon from long growth cycle plants such as trees in buildings.
Standard life cycle assessment (LCA) methodologies—such as ISO 21930 and EN 15804—offer guidance on quantifying biogenic carbon storage in forest products but do not fully address several key uncertainties, including emissions from disturbed soils, decomposition of roots and residues, loss of sequestration from harvested trees, and delayed carbon uptake by new plantings.
Users should not include long cycle carbon storage unless the specified wood product meets at least one of the following criteria: recycled or reused wood; wood sourced from forest thinning, windfall, beetle kill or other "harvests of necessity"; or wood certified by an organization that explicitly addresses carbon flows.</t>
  </si>
  <si>
    <t>Choose steel beam section menu and input linear metres for each component type, as values do not come from User Input Sheet.</t>
  </si>
  <si>
    <t>Automated: User-defined options: VOLUME – m3</t>
  </si>
  <si>
    <t>Automated: User-defined options: SURFACE AREA – m2</t>
  </si>
  <si>
    <t>Automated: User-defined options: Length - m</t>
  </si>
  <si>
    <t>Automated: User-defined options: R-Value &amp; Area - m2-RSI</t>
  </si>
  <si>
    <r>
      <t>t CO</t>
    </r>
    <r>
      <rPr>
        <b/>
        <vertAlign val="subscript"/>
        <sz val="8"/>
        <color theme="1"/>
        <rFont val="Arial"/>
        <family val="2"/>
      </rPr>
      <t>2</t>
    </r>
    <r>
      <rPr>
        <b/>
        <sz val="8"/>
        <color theme="1"/>
        <rFont val="Arial"/>
        <family val="2"/>
      </rPr>
      <t>e</t>
    </r>
    <r>
      <rPr>
        <b/>
        <vertAlign val="subscript"/>
        <sz val="8"/>
        <color theme="1"/>
        <rFont val="Arial"/>
        <family val="2"/>
      </rPr>
      <t xml:space="preserve"> </t>
    </r>
    <r>
      <rPr>
        <b/>
        <sz val="8"/>
        <color theme="1"/>
        <rFont val="Arial"/>
        <family val="2"/>
      </rPr>
      <t xml:space="preserve">/ 30 yrs  </t>
    </r>
  </si>
  <si>
    <r>
      <t>Project Notes</t>
    </r>
    <r>
      <rPr>
        <sz val="8"/>
        <color theme="1"/>
        <rFont val="Arial"/>
        <family val="2"/>
      </rPr>
      <t xml:space="preserve">: </t>
    </r>
  </si>
  <si>
    <t>Drywall 5/8" Typical - Interior Cladding for Exterior Walls - AVERAGE</t>
  </si>
  <si>
    <t>Drywall 5/8" Typical - Interior Walls - AVERAGE</t>
  </si>
  <si>
    <r>
      <t>tonnes CO</t>
    </r>
    <r>
      <rPr>
        <b/>
        <vertAlign val="subscript"/>
        <sz val="8"/>
        <color theme="1"/>
        <rFont val="Arial"/>
        <family val="2"/>
      </rPr>
      <t>2</t>
    </r>
    <r>
      <rPr>
        <b/>
        <sz val="8"/>
        <color theme="1"/>
        <rFont val="Arial"/>
        <family val="2"/>
      </rPr>
      <t>e</t>
    </r>
    <r>
      <rPr>
        <b/>
        <vertAlign val="subscript"/>
        <sz val="8"/>
        <color theme="1"/>
        <rFont val="Arial"/>
        <family val="2"/>
      </rPr>
      <t xml:space="preserve"> </t>
    </r>
    <r>
      <rPr>
        <b/>
        <sz val="8"/>
        <color theme="1"/>
        <rFont val="Arial"/>
        <family val="2"/>
      </rPr>
      <t xml:space="preserve">/ yr   </t>
    </r>
  </si>
  <si>
    <t>TOP 7 MOST CARBON INTENSIVE MATERIALS</t>
  </si>
  <si>
    <r>
      <t>THIS END-USER LICENCE AGREEMENT (EULA) IS A LEGAL AGREEMENT BETWEEN YOU, THE END-USER, IN YOUR CAPACITY AS AN INDIVIDUAL AND/OR AS AN AGENT FOR YOUR COMPANY, INSTITUTION OR OTHER ENTITY (hereinafter referred to as the "</t>
    </r>
    <r>
      <rPr>
        <b/>
        <sz val="10"/>
        <color theme="1"/>
        <rFont val="Arial"/>
        <family val="2"/>
      </rPr>
      <t>Licensee</t>
    </r>
    <r>
      <rPr>
        <sz val="10"/>
        <color theme="1"/>
        <rFont val="Arial"/>
        <family val="2"/>
      </rPr>
      <t>"), AND HIS MAJESTY THE KING IN RIGHT OF CANADA AS REPRESENTED BY THE MINISTER OF NATURAL RESOURCES (hereinafter referred to as "</t>
    </r>
    <r>
      <rPr>
        <b/>
        <sz val="10"/>
        <color theme="1"/>
        <rFont val="Arial"/>
        <family val="2"/>
      </rPr>
      <t>NRCan</t>
    </r>
    <r>
      <rPr>
        <sz val="10"/>
        <color theme="1"/>
        <rFont val="Arial"/>
        <family val="2"/>
      </rPr>
      <t>")</t>
    </r>
  </si>
  <si>
    <r>
      <t xml:space="preserve"> The </t>
    </r>
    <r>
      <rPr>
        <b/>
        <sz val="10"/>
        <color rgb="FF000000"/>
        <rFont val="Arial"/>
        <family val="2"/>
      </rPr>
      <t>Licensee</t>
    </r>
    <r>
      <rPr>
        <sz val="10"/>
        <color rgb="FF000000"/>
        <rFont val="Arial"/>
        <family val="2"/>
      </rPr>
      <t xml:space="preserve">’s publications referring to the Software must state the origin of the Software using the following text: "NRCan’s Materials Emissions Estimator is owned by His Majesty the King in Right of Canada as represented by the Minister Natural Resources © 2025". The </t>
    </r>
    <r>
      <rPr>
        <b/>
        <sz val="10"/>
        <color rgb="FF000000"/>
        <rFont val="Arial"/>
        <family val="2"/>
      </rPr>
      <t xml:space="preserve">Licensee </t>
    </r>
    <r>
      <rPr>
        <sz val="10"/>
        <color rgb="FF000000"/>
        <rFont val="Arial"/>
        <family val="2"/>
      </rPr>
      <t xml:space="preserve">shall seek prior written approval for any other statements concerning </t>
    </r>
    <r>
      <rPr>
        <b/>
        <sz val="10"/>
        <color rgb="FF000000"/>
        <rFont val="Arial"/>
        <family val="2"/>
      </rPr>
      <t>NRCan</t>
    </r>
    <r>
      <rPr>
        <sz val="10"/>
        <color rgb="FF000000"/>
        <rFont val="Arial"/>
        <family val="2"/>
      </rPr>
      <t xml:space="preserve"> beyond the origin of the Software.</t>
    </r>
  </si>
  <si>
    <r>
      <rPr>
        <b/>
        <sz val="10"/>
        <color theme="1"/>
        <rFont val="Arial"/>
        <family val="2"/>
      </rPr>
      <t>Data sources</t>
    </r>
    <r>
      <rPr>
        <sz val="10"/>
        <color theme="1"/>
        <rFont val="Arial"/>
        <family val="2"/>
      </rPr>
      <t>: Type III EPDs, or as noted in Column M</t>
    </r>
  </si>
  <si>
    <t>Date on file</t>
  </si>
  <si>
    <t>GLOSSARY OF TERMS</t>
  </si>
  <si>
    <t>Date on file (French)</t>
  </si>
  <si>
    <t>Date on file (English)</t>
  </si>
  <si>
    <t>GLOSSAIRE</t>
  </si>
  <si>
    <t>NBC Emissions Factors</t>
  </si>
  <si>
    <t>H2K Emissions Factors</t>
  </si>
  <si>
    <t>Facteurs d’émission CNB</t>
  </si>
  <si>
    <t>Facteurs d’émission H2K</t>
  </si>
  <si>
    <t>La province sélectionnée n’a pas été trouvée dans la feuille des facteurs d’émission H2K</t>
  </si>
  <si>
    <t>La province sélectionnée n’a pas été trouvée dans la feuille des facteurs d’émission du CNB</t>
  </si>
  <si>
    <t xml:space="preserve">Les provinces suivantes sont manquantes dans la feuille GES ou H2K, '&lt;~scn_Name~&gt;' </t>
  </si>
  <si>
    <t xml:space="preserve">Les provinces suivantes sont manquantes dans la feuille GES ou NBC, '&lt;~scn_Name~&gt;' </t>
  </si>
  <si>
    <t>CNB 2025 - Modification proposée 2004</t>
  </si>
  <si>
    <t>Province/ Territoire</t>
  </si>
  <si>
    <t>Facteurs d’émission GES</t>
  </si>
  <si>
    <t>Gaz de réseau (gaz naturel)</t>
  </si>
  <si>
    <t>O3</t>
  </si>
  <si>
    <t>Inclure le cycle long</t>
  </si>
  <si>
    <t>Hot2000 v11.13 – Valeurs</t>
  </si>
  <si>
    <t>F6</t>
  </si>
  <si>
    <t>F7</t>
  </si>
  <si>
    <t>F8</t>
  </si>
  <si>
    <t>F9</t>
  </si>
  <si>
    <r>
      <t>Tonnes CO</t>
    </r>
    <r>
      <rPr>
        <vertAlign val="subscript"/>
        <sz val="8"/>
        <color theme="1"/>
        <rFont val="Arial"/>
        <family val="2"/>
      </rPr>
      <t>2</t>
    </r>
    <r>
      <rPr>
        <sz val="8"/>
        <color theme="1"/>
        <rFont val="Arial"/>
        <family val="2"/>
      </rPr>
      <t>e per bedroom</t>
    </r>
  </si>
  <si>
    <r>
      <t>Intensité carbone des matériaux, kg CO</t>
    </r>
    <r>
      <rPr>
        <b/>
        <vertAlign val="subscript"/>
        <sz val="10.5"/>
        <color rgb="FF000000"/>
        <rFont val="Arial"/>
        <family val="2"/>
      </rPr>
      <t>2</t>
    </r>
    <r>
      <rPr>
        <b/>
        <sz val="10.5"/>
        <color rgb="FF000000"/>
        <rFont val="Arial"/>
        <family val="2"/>
      </rPr>
      <t>/m²</t>
    </r>
  </si>
  <si>
    <t>Group 5,Rectangle 7</t>
  </si>
  <si>
    <t>K13</t>
  </si>
  <si>
    <t>F13</t>
  </si>
  <si>
    <t>G13</t>
  </si>
  <si>
    <r>
      <t>Carbon Emmissions
tonnes CO</t>
    </r>
    <r>
      <rPr>
        <b/>
        <vertAlign val="subscript"/>
        <sz val="7"/>
        <color theme="1"/>
        <rFont val="Arial"/>
        <family val="2"/>
      </rPr>
      <t>2</t>
    </r>
    <r>
      <rPr>
        <b/>
        <sz val="7"/>
        <color theme="1"/>
        <rFont val="Arial"/>
        <family val="2"/>
      </rPr>
      <t>e</t>
    </r>
  </si>
  <si>
    <r>
      <t>Émissions de carbone 
tonnes CO</t>
    </r>
    <r>
      <rPr>
        <b/>
        <vertAlign val="subscript"/>
        <sz val="7"/>
        <color theme="1"/>
        <rFont val="Arial"/>
        <family val="2"/>
      </rPr>
      <t>2</t>
    </r>
    <r>
      <rPr>
        <b/>
        <sz val="7"/>
        <color theme="1"/>
        <rFont val="Arial"/>
        <family val="2"/>
      </rPr>
      <t>é</t>
    </r>
  </si>
  <si>
    <t>F10</t>
  </si>
  <si>
    <t>IMC par
superficie chauffée :</t>
  </si>
  <si>
    <r>
      <t>kg CO</t>
    </r>
    <r>
      <rPr>
        <vertAlign val="subscript"/>
        <sz val="8"/>
        <color theme="1"/>
        <rFont val="Arial"/>
        <family val="2"/>
      </rPr>
      <t>2</t>
    </r>
    <r>
      <rPr>
        <sz val="8"/>
        <color theme="1"/>
        <rFont val="Arial"/>
        <family val="2"/>
      </rPr>
      <t>/m² scc</t>
    </r>
  </si>
  <si>
    <t>IMC par chambre :</t>
  </si>
  <si>
    <r>
      <t>Tonnes CO</t>
    </r>
    <r>
      <rPr>
        <vertAlign val="subscript"/>
        <sz val="8"/>
        <color theme="1"/>
        <rFont val="Arial"/>
        <family val="2"/>
      </rPr>
      <t>2</t>
    </r>
    <r>
      <rPr>
        <sz val="8"/>
        <color theme="1"/>
        <rFont val="Arial"/>
        <family val="2"/>
      </rPr>
      <t>é par chambre</t>
    </r>
  </si>
  <si>
    <t>L’utilisateur ou le conseiller en carbone incorporé doit fournir ici ses recommandations…</t>
  </si>
  <si>
    <t>Reference units: See Project Information above</t>
  </si>
  <si>
    <t>Reference study period: Pre-construction and/or completion of construction only</t>
  </si>
  <si>
    <t>Scope of the building model: Material use only for product categories listed in MCE2</t>
  </si>
  <si>
    <t>Data sources: Type III EPDs, or as noted in Column M</t>
  </si>
  <si>
    <t>Delayed emissions: Climate effects of delayed emissions resulting from biogenic carbon do not include potential impacts of carbon released at end of product life.</t>
  </si>
  <si>
    <t>DIRECTIVES NATIONALES DU CANADA POUR L’ACV DU BÂTIMENT ENTIER</t>
  </si>
  <si>
    <t>Les résultats du MCE2 ont pour but d’informer la conception et/ou de satisfaire les exigences, si celles-ci indiquent clairement que le E2CM est un outil acceptable. Les résultats du E2CM ne constituent pas une déclaration de performance telle que définie par la norme ISO 14044 ni ne sont destinés à soutenir des assertions comparatives selon les définitions de l’ISO 14044.</t>
  </si>
  <si>
    <t>Nom du commissaire de l’évaluation :</t>
  </si>
  <si>
    <t>Nom(s) de l’évaluateur/des évaluateurs :</t>
  </si>
  <si>
    <t>Qualification(s) de l’évaluateur/des évaluateurs :</t>
  </si>
  <si>
    <t>Date de l’évaluation :</t>
  </si>
  <si>
    <t>Vérification :</t>
  </si>
  <si>
    <t>Nom et contact du vérificateur :</t>
  </si>
  <si>
    <t>Équivalent fonctionnel :</t>
  </si>
  <si>
    <t>Si autre, veuillez définir :</t>
  </si>
  <si>
    <t>Unités de référence : Voir les informations du projet ci-dessus</t>
  </si>
  <si>
    <t>Limites du système : Les résultats de l’ACV incluent les modules A1-A3 (analyse du berceau à la porte). Tous les autres modules non déclarés</t>
  </si>
  <si>
    <t>Période d’étude de référence : Pré-construction et/ou seulement à la fin de la construction</t>
  </si>
  <si>
    <t>Sources de données : DEP de type III ou comme noté à la colonne M</t>
  </si>
  <si>
    <t>Émissions différées : Les effets climatiques des émissions différées provenant du carbone biogénique n’incluent pas les impacts potentiels du carbone libéré en fin de vie du produit.</t>
  </si>
  <si>
    <t>_RESULTS</t>
  </si>
  <si>
    <t>Ignore this translation (this cell is deleted)</t>
  </si>
  <si>
    <t>TRUE - Ignore this translation (this cell is deleted)</t>
  </si>
  <si>
    <t xml:space="preserve">- In grids with low carbon emissions intensities, MCE2 users should consider energy efficiency measures to reduce overall loads on local and regional electrical distribution networks. </t>
  </si>
  <si>
    <t>Les utilisateurs peuvent ajuster les facteurs d’émission utilisés pour calculer les émissions opérationnelles associées à la maison selon différentes hypothèses.</t>
  </si>
  <si>
    <t>1 – Facteurs d’émission HOT2000 v.12.13</t>
  </si>
  <si>
    <t>2 – Facteurs d’émission NBC 2025</t>
  </si>
  <si>
    <t>3 – Les utilisateurs peuvent modifier ces valeurs en saisissant manuellement les facteurs d’émission régionaux fournis par l’Autorité compétente dans les cellules ci-dessus.</t>
  </si>
  <si>
    <t>Notes :</t>
  </si>
  <si>
    <t>Dans les réseaux à faible intensité d’émissions de carbone, les utilisateurs de MCE2 devraient envisager des mesures d’efficacité énergétique pour réduire les charges globales sur les réseaux électriques locaux et régionaux.</t>
  </si>
  <si>
    <t>Seules les émissions de carbone des matériaux du berceau à la porte sont modélisées pour les nouveaux éléments de construction. E2CM ne prend pas en compte le carbone des matériaux sur la durée de vie du bâtiment en raison de rénovations, d’entretien, de remplacement ou d’autres facteurs.</t>
  </si>
  <si>
    <t>Les émissions opérationnelles GES fournies sont des estimations seulement. Plusieurs facteurs affecteront les émissions réelles de la maison, surtout dans des réseaux mixtes où divers combustibles sont utilisés ou lorsque de l’énergie est importée d’autres administrations pour combler les pics de demande.</t>
  </si>
  <si>
    <t>7 MATÉRIAUX LES PLUS INTENSIFS EN CARBONE</t>
  </si>
  <si>
    <t>G108</t>
  </si>
  <si>
    <t>E118</t>
  </si>
  <si>
    <t>G118</t>
  </si>
  <si>
    <t>3 MATÉRIAUX AVEC LA PLUS GRANDE CAPACITÉ DE STOCKAGE DU CARBONE</t>
  </si>
  <si>
    <r>
      <t>Material Carbon Intensity, kg CO</t>
    </r>
    <r>
      <rPr>
        <b/>
        <vertAlign val="subscript"/>
        <sz val="10.5"/>
        <color rgb="FF000000"/>
        <rFont val="Arial"/>
        <family val="2"/>
      </rPr>
      <t>2</t>
    </r>
    <r>
      <rPr>
        <b/>
        <sz val="10.5"/>
        <color rgb="FF000000"/>
        <rFont val="Arial"/>
        <family val="2"/>
      </rPr>
      <t>/m</t>
    </r>
    <r>
      <rPr>
        <b/>
        <vertAlign val="superscript"/>
        <sz val="10.5"/>
        <color rgb="FF000000"/>
        <rFont val="Arial"/>
        <family val="2"/>
      </rPr>
      <t>2</t>
    </r>
  </si>
  <si>
    <r>
      <t>kg CO</t>
    </r>
    <r>
      <rPr>
        <vertAlign val="subscript"/>
        <sz val="8"/>
        <color theme="1"/>
        <rFont val="Arial"/>
        <family val="2"/>
      </rPr>
      <t>2</t>
    </r>
    <r>
      <rPr>
        <sz val="8"/>
        <color theme="1"/>
        <rFont val="Arial"/>
        <family val="2"/>
      </rPr>
      <t>/m</t>
    </r>
    <r>
      <rPr>
        <vertAlign val="superscript"/>
        <sz val="8"/>
        <color theme="1"/>
        <rFont val="Arial"/>
        <family val="2"/>
      </rPr>
      <t>2</t>
    </r>
    <r>
      <rPr>
        <sz val="8"/>
        <color theme="1"/>
        <rFont val="Arial"/>
        <family val="2"/>
      </rPr>
      <t xml:space="preserve"> cfa</t>
    </r>
  </si>
  <si>
    <t>Chart 55</t>
  </si>
  <si>
    <t>Chart 11</t>
  </si>
  <si>
    <t>HOT2000</t>
  </si>
  <si>
    <t>NBC 2025</t>
  </si>
  <si>
    <t>User override</t>
  </si>
  <si>
    <r>
      <t>Electricity  (g CO</t>
    </r>
    <r>
      <rPr>
        <vertAlign val="subscript"/>
        <sz val="11"/>
        <color theme="1"/>
        <rFont val="Calibri"/>
        <family val="2"/>
        <scheme val="minor"/>
      </rPr>
      <t>2</t>
    </r>
    <r>
      <rPr>
        <sz val="11"/>
        <color theme="1"/>
        <rFont val="Calibri"/>
        <family val="2"/>
        <scheme val="minor"/>
      </rPr>
      <t>e/kWh)</t>
    </r>
  </si>
  <si>
    <r>
      <t>Oil (g CO</t>
    </r>
    <r>
      <rPr>
        <vertAlign val="subscript"/>
        <sz val="11"/>
        <color theme="1"/>
        <rFont val="Calibri"/>
        <family val="2"/>
        <scheme val="minor"/>
      </rPr>
      <t>2</t>
    </r>
    <r>
      <rPr>
        <sz val="11"/>
        <color theme="1"/>
        <rFont val="Calibri"/>
        <family val="2"/>
        <scheme val="minor"/>
      </rPr>
      <t>e/L)</t>
    </r>
  </si>
  <si>
    <r>
      <t>Propane (g CO</t>
    </r>
    <r>
      <rPr>
        <vertAlign val="subscript"/>
        <sz val="11"/>
        <color theme="1"/>
        <rFont val="Calibri"/>
        <family val="2"/>
        <scheme val="minor"/>
      </rPr>
      <t>2</t>
    </r>
    <r>
      <rPr>
        <sz val="11"/>
        <color theme="1"/>
        <rFont val="Calibri"/>
        <family val="2"/>
        <scheme val="minor"/>
      </rPr>
      <t>e/L)</t>
    </r>
  </si>
  <si>
    <r>
      <t>Wood (g CO</t>
    </r>
    <r>
      <rPr>
        <vertAlign val="subscript"/>
        <sz val="11"/>
        <color theme="1"/>
        <rFont val="Calibri"/>
        <family val="2"/>
        <scheme val="minor"/>
      </rPr>
      <t>2</t>
    </r>
    <r>
      <rPr>
        <sz val="11"/>
        <color theme="1"/>
        <rFont val="Calibri"/>
        <family val="2"/>
        <scheme val="minor"/>
      </rPr>
      <t>e/kg)</t>
    </r>
  </si>
  <si>
    <t>Group 18,Rectangle 20</t>
  </si>
  <si>
    <t>Group 18,Rectangle 21</t>
  </si>
  <si>
    <t>Group 18,Rectangle 24</t>
  </si>
  <si>
    <t>Group 18,Rectangle 25</t>
  </si>
  <si>
    <t>Group 18,Rectangle 28</t>
  </si>
  <si>
    <r>
      <t>Électricité (g CO</t>
    </r>
    <r>
      <rPr>
        <vertAlign val="subscript"/>
        <sz val="11"/>
        <color theme="1"/>
        <rFont val="Calibri"/>
        <family val="2"/>
        <scheme val="minor"/>
      </rPr>
      <t>2</t>
    </r>
    <r>
      <rPr>
        <sz val="11"/>
        <color theme="1"/>
        <rFont val="Calibri"/>
        <family val="2"/>
        <scheme val="minor"/>
      </rPr>
      <t>é/kWh)</t>
    </r>
  </si>
  <si>
    <r>
      <t>Gaz naturel (g CO</t>
    </r>
    <r>
      <rPr>
        <vertAlign val="subscript"/>
        <sz val="11"/>
        <color theme="1"/>
        <rFont val="Calibri"/>
        <family val="2"/>
        <scheme val="minor"/>
      </rPr>
      <t>2</t>
    </r>
    <r>
      <rPr>
        <sz val="11"/>
        <color theme="1"/>
        <rFont val="Calibri"/>
        <family val="2"/>
        <scheme val="minor"/>
      </rPr>
      <t>é/m³)</t>
    </r>
  </si>
  <si>
    <r>
      <t>Mazout (g CO</t>
    </r>
    <r>
      <rPr>
        <vertAlign val="subscript"/>
        <sz val="11"/>
        <color theme="1"/>
        <rFont val="Calibri"/>
        <family val="2"/>
        <scheme val="minor"/>
      </rPr>
      <t>2</t>
    </r>
    <r>
      <rPr>
        <sz val="11"/>
        <color theme="1"/>
        <rFont val="Calibri"/>
        <family val="2"/>
        <scheme val="minor"/>
      </rPr>
      <t>é/L)</t>
    </r>
  </si>
  <si>
    <r>
      <t>Propane (g CO</t>
    </r>
    <r>
      <rPr>
        <vertAlign val="subscript"/>
        <sz val="11"/>
        <color theme="1"/>
        <rFont val="Calibri"/>
        <family val="2"/>
        <scheme val="minor"/>
      </rPr>
      <t>2</t>
    </r>
    <r>
      <rPr>
        <sz val="11"/>
        <color theme="1"/>
        <rFont val="Calibri"/>
        <family val="2"/>
        <scheme val="minor"/>
      </rPr>
      <t>é/L)</t>
    </r>
  </si>
  <si>
    <r>
      <t>Bois (g CO</t>
    </r>
    <r>
      <rPr>
        <vertAlign val="subscript"/>
        <sz val="11"/>
        <color theme="1"/>
        <rFont val="Calibri"/>
        <family val="2"/>
        <scheme val="minor"/>
      </rPr>
      <t>2</t>
    </r>
    <r>
      <rPr>
        <sz val="11"/>
        <color theme="1"/>
        <rFont val="Calibri"/>
        <family val="2"/>
        <scheme val="minor"/>
      </rPr>
      <t>é/kg)</t>
    </r>
  </si>
  <si>
    <t>BARRIÈRES ET MEMBRANES</t>
  </si>
  <si>
    <t>BARRIÈRE EN FEUILLE</t>
  </si>
  <si>
    <t>BARRIÈRE APPLIQUÉE LIQUIDE</t>
  </si>
  <si>
    <t>Revêtement de sol en linoléum - MOYENNE 4 mm</t>
  </si>
  <si>
    <t>Parquet stratifié – MOYENNE</t>
  </si>
  <si>
    <t>C164</t>
  </si>
  <si>
    <t>B182</t>
  </si>
  <si>
    <t>C183</t>
  </si>
  <si>
    <t>PANNEAU FIBRE DE VERRE</t>
  </si>
  <si>
    <t>Barrière en feuille – MOYENNE</t>
  </si>
  <si>
    <t>Barrière appliquée liquide – MOYENNE</t>
  </si>
  <si>
    <t>BARRIÈRE AUTO-ADHÉSIVE</t>
  </si>
  <si>
    <t>Barrière auto-adhésive – MOYENNE</t>
  </si>
  <si>
    <t>Choisissez le menu de section poutre d’acier et saisissez le nombre de mètres linéaires pour chaque type de composant, car les valeurs ne proviennent pas de la feuille de saisie utilisateur.</t>
  </si>
  <si>
    <t>_Structural Elements</t>
  </si>
  <si>
    <t>Ignore this row, which is removed from the new version of the file</t>
  </si>
  <si>
    <t>C186</t>
  </si>
  <si>
    <t>Gypse 5/8" – MOYENNE</t>
  </si>
  <si>
    <t>B139</t>
  </si>
  <si>
    <t>C178</t>
  </si>
  <si>
    <t>A226</t>
  </si>
  <si>
    <t>SYSTÈME DE REVÊTEMENT ET BARRIÈRE OSB</t>
  </si>
  <si>
    <t>BARRIÈRE EN FEUILLE PERMÉABLE</t>
  </si>
  <si>
    <t>Barrière en feuille perméable – MOYENNE</t>
  </si>
  <si>
    <t>BARRIÈRE EN FEUILLE À PERMÉABILITÉ VARIABLE</t>
  </si>
  <si>
    <t>Barrière en feuille à perméabilité variable – MOYENNE</t>
  </si>
  <si>
    <t>BARRIÈRE EN FEUILLE NON PERMÉABLE</t>
  </si>
  <si>
    <t>Barrière en feuille non perméable – MOYENNE</t>
  </si>
  <si>
    <t>Panneau de fibre de verre – MOYENNE</t>
  </si>
  <si>
    <t>Panneau de liège – MOYENNE</t>
  </si>
  <si>
    <t>D32</t>
  </si>
  <si>
    <t>R93</t>
  </si>
  <si>
    <t>C166</t>
  </si>
  <si>
    <t>R230</t>
  </si>
  <si>
    <t>A256</t>
  </si>
  <si>
    <t>_Party Walls</t>
  </si>
  <si>
    <t>ISOLATION CONTINUE</t>
  </si>
  <si>
    <t>Gypse 5/8" typique – Parement intérieur pour murs extérieurs – MOYENNE</t>
  </si>
  <si>
    <t>Gypse 5/8" typique – Murs intérieurs – MOYENNE</t>
  </si>
  <si>
    <t>_Floors</t>
  </si>
  <si>
    <t>Plancher linoléum – MOYENNE 2,5 mm</t>
  </si>
  <si>
    <t>BARRIÈRE PLAFOND EN FEUILLE</t>
  </si>
  <si>
    <t>Barrière plafond en feuille – MOYENNE</t>
  </si>
  <si>
    <t>I95</t>
  </si>
  <si>
    <t>R145</t>
  </si>
  <si>
    <t>I143</t>
  </si>
  <si>
    <t>_Roof</t>
  </si>
  <si>
    <t>D9</t>
  </si>
  <si>
    <t>D26</t>
  </si>
  <si>
    <t>B166</t>
  </si>
  <si>
    <t>C182</t>
  </si>
  <si>
    <t>B225</t>
  </si>
  <si>
    <t>C247</t>
  </si>
  <si>
    <t>C253</t>
  </si>
  <si>
    <t>C331</t>
  </si>
  <si>
    <t>C342</t>
  </si>
  <si>
    <t>C361</t>
  </si>
  <si>
    <t>C397</t>
  </si>
  <si>
    <t>C401</t>
  </si>
  <si>
    <t>B444</t>
  </si>
  <si>
    <t>D448</t>
  </si>
  <si>
    <t>B449</t>
  </si>
  <si>
    <t>B454</t>
  </si>
  <si>
    <t>C455</t>
  </si>
  <si>
    <t>B469</t>
  </si>
  <si>
    <t>C470</t>
  </si>
  <si>
    <t>B477</t>
  </si>
  <si>
    <t>C478</t>
  </si>
  <si>
    <t>B481</t>
  </si>
  <si>
    <t>C482</t>
  </si>
  <si>
    <t>B485</t>
  </si>
  <si>
    <t>_Garage</t>
  </si>
  <si>
    <t>P3</t>
  </si>
  <si>
    <t>Portée du modèle du bâtiment : Matériaux seulement pour les catégories de produits listées dans E2CM</t>
  </si>
  <si>
    <r>
      <rPr>
        <b/>
        <sz val="10"/>
        <color theme="1"/>
        <rFont val="Arial"/>
        <family val="2"/>
      </rPr>
      <t>System boundary</t>
    </r>
    <r>
      <rPr>
        <sz val="10"/>
        <color theme="1"/>
        <rFont val="Arial"/>
        <family val="2"/>
      </rPr>
      <t>: LCA results include modules A1-A3 (cradle-to-gate analysis). All other modules not declared.</t>
    </r>
  </si>
  <si>
    <t>D123</t>
  </si>
  <si>
    <t>D159</t>
  </si>
  <si>
    <t>D171</t>
  </si>
  <si>
    <t>D42</t>
  </si>
  <si>
    <t>D96</t>
  </si>
  <si>
    <t>D120</t>
  </si>
  <si>
    <t>D129</t>
  </si>
  <si>
    <t>ISOLATION CONTINUE TOITURE</t>
  </si>
  <si>
    <t>_Int. Walls</t>
  </si>
  <si>
    <t>C265</t>
  </si>
  <si>
    <r>
      <rPr>
        <b/>
        <sz val="14"/>
        <color theme="4" tint="-0.249977111117893"/>
        <rFont val="Arial"/>
        <family val="2"/>
      </rPr>
      <t xml:space="preserve">INSTRUCTIONS POUR L'UTILISATION D'UN MATÉRIEL DE BASE DE DONNÉES EXISTANT :         </t>
    </r>
    <r>
      <rPr>
        <b/>
        <sz val="12"/>
        <color theme="4" tint="-0.249977111117893"/>
        <rFont val="Arial"/>
        <family val="2"/>
      </rPr>
      <t>&lt;&lt; double-cliquer &gt;&gt;</t>
    </r>
    <r>
      <rPr>
        <sz val="14"/>
        <color theme="1"/>
        <rFont val="Arial"/>
        <family val="2"/>
      </rPr>
      <t xml:space="preserve">
- Sélectionner le matériel à partir de la cellule ayant le </t>
    </r>
    <r>
      <rPr>
        <b/>
        <sz val="14"/>
        <color theme="1"/>
        <rFont val="Arial"/>
        <family val="2"/>
      </rPr>
      <t xml:space="preserve">MENU DÉROULANT JAUNE PÂLE (colonne C) </t>
    </r>
    <r>
      <rPr>
        <sz val="14"/>
        <color theme="1"/>
        <rFont val="Arial"/>
        <family val="2"/>
      </rPr>
      <t xml:space="preserve">qui correspond à l'unité de mesure du matériel (volume, aire, longueur ou valeur R et aire)
- Entrez tous les renseignements requis dans les cellules </t>
    </r>
    <r>
      <rPr>
        <b/>
        <sz val="14"/>
        <color theme="1"/>
        <rFont val="Arial"/>
        <family val="2"/>
      </rPr>
      <t xml:space="preserve">JAUNE FONCÉ </t>
    </r>
    <r>
      <rPr>
        <sz val="14"/>
        <color theme="1"/>
        <rFont val="Arial"/>
        <family val="2"/>
      </rPr>
      <t xml:space="preserve">pour cette ligne, y compris « 1 »dans la colonne de sélection.
- Si vous ajoutez de l'isolation, entrer sa </t>
    </r>
    <r>
      <rPr>
        <b/>
        <sz val="14"/>
        <color theme="1"/>
        <rFont val="Arial"/>
        <family val="2"/>
      </rPr>
      <t>VALEUR R</t>
    </r>
    <r>
      <rPr>
        <sz val="14"/>
        <color theme="1"/>
        <rFont val="Arial"/>
        <family val="2"/>
      </rPr>
      <t xml:space="preserve"> (unités I-P) totale dans la colonne B, et l'</t>
    </r>
    <r>
      <rPr>
        <b/>
        <sz val="14"/>
        <color theme="1"/>
        <rFont val="Arial"/>
        <family val="2"/>
      </rPr>
      <t xml:space="preserve">aire de surface dans la colonne D.
</t>
    </r>
    <r>
      <rPr>
        <sz val="14"/>
        <color theme="1"/>
        <rFont val="Arial"/>
        <family val="2"/>
      </rPr>
      <t xml:space="preserve">- Pour ajouter un matériau à une section spécifique, utilisez la liste déroulante de la colonne A.
</t>
    </r>
  </si>
  <si>
    <t>P2</t>
  </si>
  <si>
    <t>G2</t>
  </si>
  <si>
    <t>H2</t>
  </si>
  <si>
    <t xml:space="preserve">Quantité   </t>
  </si>
  <si>
    <r>
      <t>STOCKAGE CYCLE LONG [kg CO</t>
    </r>
    <r>
      <rPr>
        <b/>
        <vertAlign val="subscript"/>
        <sz val="14"/>
        <color theme="0"/>
        <rFont val="Arial"/>
        <family val="2"/>
      </rPr>
      <t>2</t>
    </r>
    <r>
      <rPr>
        <b/>
        <sz val="14"/>
        <color theme="0"/>
        <rFont val="Arial"/>
        <family val="2"/>
      </rPr>
      <t>é]</t>
    </r>
  </si>
  <si>
    <t>System boundary: LCA results include modules A1-A3 (cradle-to-gate analysis). All other modules not declared.</t>
  </si>
  <si>
    <t>Y3</t>
  </si>
  <si>
    <t>Z3</t>
  </si>
  <si>
    <t>AA3</t>
  </si>
  <si>
    <t>O15</t>
  </si>
  <si>
    <t>N30</t>
  </si>
  <si>
    <t>COMPOSANT</t>
  </si>
  <si>
    <t>Indice de rang</t>
  </si>
  <si>
    <t>L10</t>
  </si>
  <si>
    <t>Valeurs les moins négatives</t>
  </si>
  <si>
    <t>_USER INPUT SHEET</t>
  </si>
  <si>
    <t>Étape</t>
  </si>
  <si>
    <t>APPLICATION DE LA VALEUR D’ENTRÉE</t>
  </si>
  <si>
    <t>DESCRIPTION DES UNITÉS REQUISES</t>
  </si>
  <si>
    <t>Nombre de chambres à coucher :</t>
  </si>
  <si>
    <r>
      <t>N. Gas m</t>
    </r>
    <r>
      <rPr>
        <b/>
        <vertAlign val="superscript"/>
        <sz val="10"/>
        <color theme="1"/>
        <rFont val="Arial"/>
        <family val="2"/>
      </rPr>
      <t>3</t>
    </r>
    <r>
      <rPr>
        <b/>
        <sz val="10"/>
        <color theme="1"/>
        <rFont val="Arial"/>
        <family val="2"/>
      </rPr>
      <t>/yr</t>
    </r>
  </si>
  <si>
    <r>
      <t>Gaz nat. m</t>
    </r>
    <r>
      <rPr>
        <b/>
        <vertAlign val="superscript"/>
        <sz val="12"/>
        <color theme="1"/>
        <rFont val="Arial"/>
        <family val="2"/>
      </rPr>
      <t>3</t>
    </r>
    <r>
      <rPr>
        <b/>
        <sz val="12"/>
        <color theme="1"/>
        <rFont val="Arial"/>
        <family val="2"/>
      </rPr>
      <t>/an</t>
    </r>
  </si>
  <si>
    <r>
      <t>Gaz nat. m</t>
    </r>
    <r>
      <rPr>
        <b/>
        <vertAlign val="superscript"/>
        <sz val="10"/>
        <color theme="1"/>
        <rFont val="Arial"/>
        <family val="2"/>
      </rPr>
      <t>3</t>
    </r>
    <r>
      <rPr>
        <b/>
        <sz val="10"/>
        <color theme="1"/>
        <rFont val="Arial"/>
        <family val="2"/>
      </rPr>
      <t>/an</t>
    </r>
  </si>
  <si>
    <t>_Composite Master Sheet</t>
  </si>
  <si>
    <t>This product is archived</t>
  </si>
  <si>
    <t>qqq</t>
  </si>
  <si>
    <t>C34</t>
  </si>
  <si>
    <t>C35</t>
  </si>
  <si>
    <t>D39</t>
  </si>
  <si>
    <t>E44</t>
  </si>
  <si>
    <t>C48</t>
  </si>
  <si>
    <t>D48</t>
  </si>
  <si>
    <t>E48</t>
  </si>
  <si>
    <t>E53</t>
  </si>
  <si>
    <t>D56</t>
  </si>
  <si>
    <t>E61</t>
  </si>
  <si>
    <t>E63</t>
  </si>
  <si>
    <t>E64</t>
  </si>
  <si>
    <t>E68</t>
  </si>
  <si>
    <t>E69</t>
  </si>
  <si>
    <t>E72</t>
  </si>
  <si>
    <t>E75</t>
  </si>
  <si>
    <t>E76</t>
  </si>
  <si>
    <t>E77</t>
  </si>
  <si>
    <t>E78</t>
  </si>
  <si>
    <t>D95</t>
  </si>
  <si>
    <t>D97</t>
  </si>
  <si>
    <t>E104</t>
  </si>
  <si>
    <t>D111</t>
  </si>
  <si>
    <t>D112</t>
  </si>
  <si>
    <t>E128</t>
  </si>
  <si>
    <t>D131</t>
  </si>
  <si>
    <t>E131</t>
  </si>
  <si>
    <t>E132</t>
  </si>
  <si>
    <t>E159</t>
  </si>
  <si>
    <t>C162</t>
  </si>
  <si>
    <t>E162</t>
  </si>
  <si>
    <t>B164</t>
  </si>
  <si>
    <t>E164</t>
  </si>
  <si>
    <t>E166</t>
  </si>
  <si>
    <t>D168</t>
  </si>
  <si>
    <t>D169</t>
  </si>
  <si>
    <t>D178</t>
  </si>
  <si>
    <t>E178</t>
  </si>
  <si>
    <t>D182</t>
  </si>
  <si>
    <t>E182</t>
  </si>
  <si>
    <t>D183</t>
  </si>
  <si>
    <t>E183</t>
  </si>
  <si>
    <t>C185</t>
  </si>
  <si>
    <t>E185</t>
  </si>
  <si>
    <t>E186</t>
  </si>
  <si>
    <t>C187</t>
  </si>
  <si>
    <t>E187</t>
  </si>
  <si>
    <t>D188</t>
  </si>
  <si>
    <t>D195</t>
  </si>
  <si>
    <t>D198</t>
  </si>
  <si>
    <t>D199</t>
  </si>
  <si>
    <t>D202</t>
  </si>
  <si>
    <t>B203</t>
  </si>
  <si>
    <t>C203</t>
  </si>
  <si>
    <t>D203</t>
  </si>
  <si>
    <t>E203</t>
  </si>
  <si>
    <t>D213</t>
  </si>
  <si>
    <t>D215</t>
  </si>
  <si>
    <t>D219</t>
  </si>
  <si>
    <t>D221</t>
  </si>
  <si>
    <t>D222</t>
  </si>
  <si>
    <t>C225</t>
  </si>
  <si>
    <t>D225</t>
  </si>
  <si>
    <t>C229</t>
  </si>
  <si>
    <t>D232</t>
  </si>
  <si>
    <t>E234</t>
  </si>
  <si>
    <t>E235</t>
  </si>
  <si>
    <t>C242</t>
  </si>
  <si>
    <t>D242</t>
  </si>
  <si>
    <t>C244</t>
  </si>
  <si>
    <t>D244</t>
  </si>
  <si>
    <t>C246</t>
  </si>
  <si>
    <t>D246</t>
  </si>
  <si>
    <t>C248</t>
  </si>
  <si>
    <t>D248</t>
  </si>
  <si>
    <t>C249</t>
  </si>
  <si>
    <t>D249</t>
  </si>
  <si>
    <t>C252</t>
  </si>
  <si>
    <t>D271</t>
  </si>
  <si>
    <t>D276</t>
  </si>
  <si>
    <t>D277</t>
  </si>
  <si>
    <t>C284</t>
  </si>
  <si>
    <t>E284</t>
  </si>
  <si>
    <t>D287</t>
  </si>
  <si>
    <t>E287</t>
  </si>
  <si>
    <t>C294</t>
  </si>
  <si>
    <t>C299</t>
  </si>
  <si>
    <t>C301</t>
  </si>
  <si>
    <t>C325</t>
  </si>
  <si>
    <t>E325</t>
  </si>
  <si>
    <t>C326</t>
  </si>
  <si>
    <t>E326</t>
  </si>
  <si>
    <t>C328</t>
  </si>
  <si>
    <t>E328</t>
  </si>
  <si>
    <t>C329</t>
  </si>
  <si>
    <t>E329</t>
  </si>
  <si>
    <t>C330</t>
  </si>
  <si>
    <t>E330</t>
  </si>
  <si>
    <t>C332</t>
  </si>
  <si>
    <t>E332</t>
  </si>
  <si>
    <t>C335</t>
  </si>
  <si>
    <t>E335</t>
  </si>
  <si>
    <t>C337</t>
  </si>
  <si>
    <t>E337</t>
  </si>
  <si>
    <t>C339</t>
  </si>
  <si>
    <t>E339</t>
  </si>
  <si>
    <t>E342</t>
  </si>
  <si>
    <t>C346</t>
  </si>
  <si>
    <t>C349</t>
  </si>
  <si>
    <t>E349</t>
  </si>
  <si>
    <t>C356</t>
  </si>
  <si>
    <t>C357</t>
  </si>
  <si>
    <t>E357</t>
  </si>
  <si>
    <t>E370</t>
  </si>
  <si>
    <t>E377</t>
  </si>
  <si>
    <t>E378</t>
  </si>
  <si>
    <t>C384</t>
  </si>
  <si>
    <t>E384</t>
  </si>
  <si>
    <t>C386</t>
  </si>
  <si>
    <t>E386</t>
  </si>
  <si>
    <t>C391</t>
  </si>
  <si>
    <t>E391</t>
  </si>
  <si>
    <t>C396</t>
  </si>
  <si>
    <t>C398</t>
  </si>
  <si>
    <t>C399</t>
  </si>
  <si>
    <t>C402</t>
  </si>
  <si>
    <t>E402</t>
  </si>
  <si>
    <t>C403</t>
  </si>
  <si>
    <t>C405</t>
  </si>
  <si>
    <t>C407</t>
  </si>
  <si>
    <t>C408</t>
  </si>
  <si>
    <t>C409</t>
  </si>
  <si>
    <t>C411</t>
  </si>
  <si>
    <t>C412</t>
  </si>
  <si>
    <t>C427</t>
  </si>
  <si>
    <t>C428</t>
  </si>
  <si>
    <t>C431</t>
  </si>
  <si>
    <t>B442</t>
  </si>
  <si>
    <t>B443</t>
  </si>
  <si>
    <t>C443</t>
  </si>
  <si>
    <t>D443</t>
  </si>
  <si>
    <t>C444</t>
  </si>
  <si>
    <t>D444</t>
  </si>
  <si>
    <t>B445</t>
  </si>
  <si>
    <t>C445</t>
  </si>
  <si>
    <t>D445</t>
  </si>
  <si>
    <t>B446</t>
  </si>
  <si>
    <t>C446</t>
  </si>
  <si>
    <t>D446</t>
  </si>
  <si>
    <t>B447</t>
  </si>
  <si>
    <t>C447</t>
  </si>
  <si>
    <t>D447</t>
  </si>
  <si>
    <t>B448</t>
  </si>
  <si>
    <t>C448</t>
  </si>
  <si>
    <t>C449</t>
  </si>
  <si>
    <t>D449</t>
  </si>
  <si>
    <t>B450</t>
  </si>
  <si>
    <t>C450</t>
  </si>
  <si>
    <t>D450</t>
  </si>
  <si>
    <t>B451</t>
  </si>
  <si>
    <t>C451</t>
  </si>
  <si>
    <t>D451</t>
  </si>
  <si>
    <t>B452</t>
  </si>
  <si>
    <t>C452</t>
  </si>
  <si>
    <t>D452</t>
  </si>
  <si>
    <t>B453</t>
  </si>
  <si>
    <t>C453</t>
  </si>
  <si>
    <t>D453</t>
  </si>
  <si>
    <t>C454</t>
  </si>
  <si>
    <t>D454</t>
  </si>
  <si>
    <t>B455</t>
  </si>
  <si>
    <t>D455</t>
  </si>
  <si>
    <t>B456</t>
  </si>
  <si>
    <t>C456</t>
  </si>
  <si>
    <t>D456</t>
  </si>
  <si>
    <t>B457</t>
  </si>
  <si>
    <t>C457</t>
  </si>
  <si>
    <t>D457</t>
  </si>
  <si>
    <t>B458</t>
  </si>
  <si>
    <t>C458</t>
  </si>
  <si>
    <t>D458</t>
  </si>
  <si>
    <t>B459</t>
  </si>
  <si>
    <t>C459</t>
  </si>
  <si>
    <t>D459</t>
  </si>
  <si>
    <t>B460</t>
  </si>
  <si>
    <t>C460</t>
  </si>
  <si>
    <t>D460</t>
  </si>
  <si>
    <t>B461</t>
  </si>
  <si>
    <t>C461</t>
  </si>
  <si>
    <t>D461</t>
  </si>
  <si>
    <t>B462</t>
  </si>
  <si>
    <t>C462</t>
  </si>
  <si>
    <t>D462</t>
  </si>
  <si>
    <t>B463</t>
  </si>
  <si>
    <t>C463</t>
  </si>
  <si>
    <t>D463</t>
  </si>
  <si>
    <t>B464</t>
  </si>
  <si>
    <t>C464</t>
  </si>
  <si>
    <t>D464</t>
  </si>
  <si>
    <t>B465</t>
  </si>
  <si>
    <t>C465</t>
  </si>
  <si>
    <t>D465</t>
  </si>
  <si>
    <t>B466</t>
  </si>
  <si>
    <t>C466</t>
  </si>
  <si>
    <t>D466</t>
  </si>
  <si>
    <t>B467</t>
  </si>
  <si>
    <t>C467</t>
  </si>
  <si>
    <t>D467</t>
  </si>
  <si>
    <t>B468</t>
  </si>
  <si>
    <t>C468</t>
  </si>
  <si>
    <t>D468</t>
  </si>
  <si>
    <t>C469</t>
  </si>
  <si>
    <t>D469</t>
  </si>
  <si>
    <t>B470</t>
  </si>
  <si>
    <t>D470</t>
  </si>
  <si>
    <t>B471</t>
  </si>
  <si>
    <t>C471</t>
  </si>
  <si>
    <t>D471</t>
  </si>
  <si>
    <t>B472</t>
  </si>
  <si>
    <t>C472</t>
  </si>
  <si>
    <t>D472</t>
  </si>
  <si>
    <t>B473</t>
  </si>
  <si>
    <t>C473</t>
  </si>
  <si>
    <t>D473</t>
  </si>
  <si>
    <t>B474</t>
  </si>
  <si>
    <t>C474</t>
  </si>
  <si>
    <t>D474</t>
  </si>
  <si>
    <t>B475</t>
  </si>
  <si>
    <t>C475</t>
  </si>
  <si>
    <t>D475</t>
  </si>
  <si>
    <t>B476</t>
  </si>
  <si>
    <t>C476</t>
  </si>
  <si>
    <t>D476</t>
  </si>
  <si>
    <t>C477</t>
  </si>
  <si>
    <t>D477</t>
  </si>
  <si>
    <t>B478</t>
  </si>
  <si>
    <t>D478</t>
  </si>
  <si>
    <t>B479</t>
  </si>
  <si>
    <t>C479</t>
  </si>
  <si>
    <t>D479</t>
  </si>
  <si>
    <t>B480</t>
  </si>
  <si>
    <t>C480</t>
  </si>
  <si>
    <t>D480</t>
  </si>
  <si>
    <t>C481</t>
  </si>
  <si>
    <t>D481</t>
  </si>
  <si>
    <t>B482</t>
  </si>
  <si>
    <t>D482</t>
  </si>
  <si>
    <t>B483</t>
  </si>
  <si>
    <t>C483</t>
  </si>
  <si>
    <t>D483</t>
  </si>
  <si>
    <t>B484</t>
  </si>
  <si>
    <t>C484</t>
  </si>
  <si>
    <t>D484</t>
  </si>
  <si>
    <t>C485</t>
  </si>
  <si>
    <t>D485</t>
  </si>
  <si>
    <t>B486</t>
  </si>
  <si>
    <t>C486</t>
  </si>
  <si>
    <t>D486</t>
  </si>
  <si>
    <t>B487</t>
  </si>
  <si>
    <t>C487</t>
  </si>
  <si>
    <t>D487</t>
  </si>
  <si>
    <t>B488</t>
  </si>
  <si>
    <t>C488</t>
  </si>
  <si>
    <t>D488</t>
  </si>
  <si>
    <t>B489</t>
  </si>
  <si>
    <t>C489</t>
  </si>
  <si>
    <t>D489</t>
  </si>
  <si>
    <t>B490</t>
  </si>
  <si>
    <t>C490</t>
  </si>
  <si>
    <t>D490</t>
  </si>
  <si>
    <t>B491</t>
  </si>
  <si>
    <t>C491</t>
  </si>
  <si>
    <t>D491</t>
  </si>
  <si>
    <t>B492</t>
  </si>
  <si>
    <t>C492</t>
  </si>
  <si>
    <t>D492</t>
  </si>
  <si>
    <t>B493</t>
  </si>
  <si>
    <t>C493</t>
  </si>
  <si>
    <t>D493</t>
  </si>
  <si>
    <t>B494</t>
  </si>
  <si>
    <t>C494</t>
  </si>
  <si>
    <t>D494</t>
  </si>
  <si>
    <t>B495</t>
  </si>
  <si>
    <t>C495</t>
  </si>
  <si>
    <t>D495</t>
  </si>
  <si>
    <t>B496</t>
  </si>
  <si>
    <t>C496</t>
  </si>
  <si>
    <t>D496</t>
  </si>
  <si>
    <t>B497</t>
  </si>
  <si>
    <t>C497</t>
  </si>
  <si>
    <t>D497</t>
  </si>
  <si>
    <t>B498</t>
  </si>
  <si>
    <t>C498</t>
  </si>
  <si>
    <t>D498</t>
  </si>
  <si>
    <t>B499</t>
  </si>
  <si>
    <t>C499</t>
  </si>
  <si>
    <t>D499</t>
  </si>
  <si>
    <t>B500</t>
  </si>
  <si>
    <t>C500</t>
  </si>
  <si>
    <t>D500</t>
  </si>
  <si>
    <t>B501</t>
  </si>
  <si>
    <t>C501</t>
  </si>
  <si>
    <t>D501</t>
  </si>
  <si>
    <t>B502</t>
  </si>
  <si>
    <t>C502</t>
  </si>
  <si>
    <t>D502</t>
  </si>
  <si>
    <t>B503</t>
  </si>
  <si>
    <t>C503</t>
  </si>
  <si>
    <t>D503</t>
  </si>
  <si>
    <t>B504</t>
  </si>
  <si>
    <t>C504</t>
  </si>
  <si>
    <t>D504</t>
  </si>
  <si>
    <t>B505</t>
  </si>
  <si>
    <t>C505</t>
  </si>
  <si>
    <t>D505</t>
  </si>
  <si>
    <t>B506</t>
  </si>
  <si>
    <t>C506</t>
  </si>
  <si>
    <t>D506</t>
  </si>
  <si>
    <t>B507</t>
  </si>
  <si>
    <t>C507</t>
  </si>
  <si>
    <t>D507</t>
  </si>
  <si>
    <t>B508</t>
  </si>
  <si>
    <t>C508</t>
  </si>
  <si>
    <t>D508</t>
  </si>
  <si>
    <t>B509</t>
  </si>
  <si>
    <t>C509</t>
  </si>
  <si>
    <t>D509</t>
  </si>
  <si>
    <t>B510</t>
  </si>
  <si>
    <t>C510</t>
  </si>
  <si>
    <t>D510</t>
  </si>
  <si>
    <t>B511</t>
  </si>
  <si>
    <t>C511</t>
  </si>
  <si>
    <t>D511</t>
  </si>
  <si>
    <t>B512</t>
  </si>
  <si>
    <t>C512</t>
  </si>
  <si>
    <t>D512</t>
  </si>
  <si>
    <t>B513</t>
  </si>
  <si>
    <t>C513</t>
  </si>
  <si>
    <t>D513</t>
  </si>
  <si>
    <t>B514</t>
  </si>
  <si>
    <t>C514</t>
  </si>
  <si>
    <t>D514</t>
  </si>
  <si>
    <t>B515</t>
  </si>
  <si>
    <t>C515</t>
  </si>
  <si>
    <t>D515</t>
  </si>
  <si>
    <t>B516</t>
  </si>
  <si>
    <t>C516</t>
  </si>
  <si>
    <t>D516</t>
  </si>
  <si>
    <t>B517</t>
  </si>
  <si>
    <t>C517</t>
  </si>
  <si>
    <t>D517</t>
  </si>
  <si>
    <t>B518</t>
  </si>
  <si>
    <t>C518</t>
  </si>
  <si>
    <t>D518</t>
  </si>
  <si>
    <t>B519</t>
  </si>
  <si>
    <t>C519</t>
  </si>
  <si>
    <t>D519</t>
  </si>
  <si>
    <t>B520</t>
  </si>
  <si>
    <t>C520</t>
  </si>
  <si>
    <t>D520</t>
  </si>
  <si>
    <t>B521</t>
  </si>
  <si>
    <t>C521</t>
  </si>
  <si>
    <t>D521</t>
  </si>
  <si>
    <t>B522</t>
  </si>
  <si>
    <t>C522</t>
  </si>
  <si>
    <t>D522</t>
  </si>
  <si>
    <t>B523</t>
  </si>
  <si>
    <t>C523</t>
  </si>
  <si>
    <t>D523</t>
  </si>
  <si>
    <t>B524</t>
  </si>
  <si>
    <t>C524</t>
  </si>
  <si>
    <t>D524</t>
  </si>
  <si>
    <t>B525</t>
  </si>
  <si>
    <t>C525</t>
  </si>
  <si>
    <t>D525</t>
  </si>
  <si>
    <t>B526</t>
  </si>
  <si>
    <t>C526</t>
  </si>
  <si>
    <t>D526</t>
  </si>
  <si>
    <t>B527</t>
  </si>
  <si>
    <t>C527</t>
  </si>
  <si>
    <t>D527</t>
  </si>
  <si>
    <t>B528</t>
  </si>
  <si>
    <t>C528</t>
  </si>
  <si>
    <t>D528</t>
  </si>
  <si>
    <t>B529</t>
  </si>
  <si>
    <t>C529</t>
  </si>
  <si>
    <t>D529</t>
  </si>
  <si>
    <t>B530</t>
  </si>
  <si>
    <t>C530</t>
  </si>
  <si>
    <t>D530</t>
  </si>
  <si>
    <t>B531</t>
  </si>
  <si>
    <t>C531</t>
  </si>
  <si>
    <t>D531</t>
  </si>
  <si>
    <t>B532</t>
  </si>
  <si>
    <t>C532</t>
  </si>
  <si>
    <t>D532</t>
  </si>
  <si>
    <t>B533</t>
  </si>
  <si>
    <t>C533</t>
  </si>
  <si>
    <t>D533</t>
  </si>
  <si>
    <t>B534</t>
  </si>
  <si>
    <t>C534</t>
  </si>
  <si>
    <t>D534</t>
  </si>
  <si>
    <t>B535</t>
  </si>
  <si>
    <t>C535</t>
  </si>
  <si>
    <t>D535</t>
  </si>
  <si>
    <t>B536</t>
  </si>
  <si>
    <t>C536</t>
  </si>
  <si>
    <t>D536</t>
  </si>
  <si>
    <t>B537</t>
  </si>
  <si>
    <t>C537</t>
  </si>
  <si>
    <t>D537</t>
  </si>
  <si>
    <t>B538</t>
  </si>
  <si>
    <t>C538</t>
  </si>
  <si>
    <t>D538</t>
  </si>
  <si>
    <t>B539</t>
  </si>
  <si>
    <t>C539</t>
  </si>
  <si>
    <t>D539</t>
  </si>
  <si>
    <t>B540</t>
  </si>
  <si>
    <t>C540</t>
  </si>
  <si>
    <t>D540</t>
  </si>
  <si>
    <t>B541</t>
  </si>
  <si>
    <t>C541</t>
  </si>
  <si>
    <t>D541</t>
  </si>
  <si>
    <t>B544</t>
  </si>
  <si>
    <t>C544</t>
  </si>
  <si>
    <t>D544</t>
  </si>
  <si>
    <t>B545</t>
  </si>
  <si>
    <t>C545</t>
  </si>
  <si>
    <t>D545</t>
  </si>
  <si>
    <t>B546</t>
  </si>
  <si>
    <t>C546</t>
  </si>
  <si>
    <t>D546</t>
  </si>
  <si>
    <t>E546</t>
  </si>
  <si>
    <t>B547</t>
  </si>
  <si>
    <t>C547</t>
  </si>
  <si>
    <t>D547</t>
  </si>
  <si>
    <t>E547</t>
  </si>
  <si>
    <t>B548</t>
  </si>
  <si>
    <t>C548</t>
  </si>
  <si>
    <t>D548</t>
  </si>
  <si>
    <t>B549</t>
  </si>
  <si>
    <t>C549</t>
  </si>
  <si>
    <t>D549</t>
  </si>
  <si>
    <t>B550</t>
  </si>
  <si>
    <t>C550</t>
  </si>
  <si>
    <t>D550</t>
  </si>
  <si>
    <t>B551</t>
  </si>
  <si>
    <t>C551</t>
  </si>
  <si>
    <t>D551</t>
  </si>
  <si>
    <t>B552</t>
  </si>
  <si>
    <t>C552</t>
  </si>
  <si>
    <t>D552</t>
  </si>
  <si>
    <t>B553</t>
  </si>
  <si>
    <t>C553</t>
  </si>
  <si>
    <t>D553</t>
  </si>
  <si>
    <t>B554</t>
  </si>
  <si>
    <t>C554</t>
  </si>
  <si>
    <t>D554</t>
  </si>
  <si>
    <t>B557</t>
  </si>
  <si>
    <t>C557</t>
  </si>
  <si>
    <t>D557</t>
  </si>
  <si>
    <t>B564</t>
  </si>
  <si>
    <t>C564</t>
  </si>
  <si>
    <t>D564</t>
  </si>
  <si>
    <t>B565</t>
  </si>
  <si>
    <t>C565</t>
  </si>
  <si>
    <t>D565</t>
  </si>
  <si>
    <t>B566</t>
  </si>
  <si>
    <t>C566</t>
  </si>
  <si>
    <t>D566</t>
  </si>
  <si>
    <t>B567</t>
  </si>
  <si>
    <t>C567</t>
  </si>
  <si>
    <t>D567</t>
  </si>
  <si>
    <t>B568</t>
  </si>
  <si>
    <t>C568</t>
  </si>
  <si>
    <t>D568</t>
  </si>
  <si>
    <t>B569</t>
  </si>
  <si>
    <t>C569</t>
  </si>
  <si>
    <t>D569</t>
  </si>
  <si>
    <t>B573</t>
  </si>
  <si>
    <t>C573</t>
  </si>
  <si>
    <t>D573</t>
  </si>
  <si>
    <t>B574</t>
  </si>
  <si>
    <t>C574</t>
  </si>
  <si>
    <t>D574</t>
  </si>
  <si>
    <t>B580</t>
  </si>
  <si>
    <t>C580</t>
  </si>
  <si>
    <t>D580</t>
  </si>
  <si>
    <t>B581</t>
  </si>
  <si>
    <t>C581</t>
  </si>
  <si>
    <t>D581</t>
  </si>
  <si>
    <t>B582</t>
  </si>
  <si>
    <t>C582</t>
  </si>
  <si>
    <t>D582</t>
  </si>
  <si>
    <t>B585</t>
  </si>
  <si>
    <t>C585</t>
  </si>
  <si>
    <t>D585</t>
  </si>
  <si>
    <t>B589</t>
  </si>
  <si>
    <t>C589</t>
  </si>
  <si>
    <t>D589</t>
  </si>
  <si>
    <t>E589</t>
  </si>
  <si>
    <t>B590</t>
  </si>
  <si>
    <t>C590</t>
  </si>
  <si>
    <t>D590</t>
  </si>
  <si>
    <t>E590</t>
  </si>
  <si>
    <t>B591</t>
  </si>
  <si>
    <t>C591</t>
  </si>
  <si>
    <t>D591</t>
  </si>
  <si>
    <t>E591</t>
  </si>
  <si>
    <t>B592</t>
  </si>
  <si>
    <t>C592</t>
  </si>
  <si>
    <t>D592</t>
  </si>
  <si>
    <t>E592</t>
  </si>
  <si>
    <t>B593</t>
  </si>
  <si>
    <t>C593</t>
  </si>
  <si>
    <t>D593</t>
  </si>
  <si>
    <t>E593</t>
  </si>
  <si>
    <t>B594</t>
  </si>
  <si>
    <t>C594</t>
  </si>
  <si>
    <t>D594</t>
  </si>
  <si>
    <t>E594</t>
  </si>
  <si>
    <t>B596</t>
  </si>
  <si>
    <t>C596</t>
  </si>
  <si>
    <t>D596</t>
  </si>
  <si>
    <t>B597</t>
  </si>
  <si>
    <t>C597</t>
  </si>
  <si>
    <t>D597</t>
  </si>
  <si>
    <t>B598</t>
  </si>
  <si>
    <t>C598</t>
  </si>
  <si>
    <t>D598</t>
  </si>
  <si>
    <t>E598</t>
  </si>
  <si>
    <t>B601</t>
  </si>
  <si>
    <t>C601</t>
  </si>
  <si>
    <t>D601</t>
  </si>
  <si>
    <t>B602</t>
  </si>
  <si>
    <t>C602</t>
  </si>
  <si>
    <t>D602</t>
  </si>
  <si>
    <t>B603</t>
  </si>
  <si>
    <t>C603</t>
  </si>
  <si>
    <t>D603</t>
  </si>
  <si>
    <t>E603</t>
  </si>
  <si>
    <t>B604</t>
  </si>
  <si>
    <t>C604</t>
  </si>
  <si>
    <t>D604</t>
  </si>
  <si>
    <t>E604</t>
  </si>
  <si>
    <t>B605</t>
  </si>
  <si>
    <t>C605</t>
  </si>
  <si>
    <t>D605</t>
  </si>
  <si>
    <t>B606</t>
  </si>
  <si>
    <t>C606</t>
  </si>
  <si>
    <t>D606</t>
  </si>
  <si>
    <t>E606</t>
  </si>
  <si>
    <t>B607</t>
  </si>
  <si>
    <t>C607</t>
  </si>
  <si>
    <t>D607</t>
  </si>
  <si>
    <t>B608</t>
  </si>
  <si>
    <t>C608</t>
  </si>
  <si>
    <t>D608</t>
  </si>
  <si>
    <t>B609</t>
  </si>
  <si>
    <t>C609</t>
  </si>
  <si>
    <t>D609</t>
  </si>
  <si>
    <t>E609</t>
  </si>
  <si>
    <t>B610</t>
  </si>
  <si>
    <t>C610</t>
  </si>
  <si>
    <t>D610</t>
  </si>
  <si>
    <t>E610</t>
  </si>
  <si>
    <t>B611</t>
  </si>
  <si>
    <t>C611</t>
  </si>
  <si>
    <t>D611</t>
  </si>
  <si>
    <t>E611</t>
  </si>
  <si>
    <t>B612</t>
  </si>
  <si>
    <t>C612</t>
  </si>
  <si>
    <t>D612</t>
  </si>
  <si>
    <t>E612</t>
  </si>
  <si>
    <t>B613</t>
  </si>
  <si>
    <t>C613</t>
  </si>
  <si>
    <t>D613</t>
  </si>
  <si>
    <t>E613</t>
  </si>
  <si>
    <t>B614</t>
  </si>
  <si>
    <t>C614</t>
  </si>
  <si>
    <t>D614</t>
  </si>
  <si>
    <t>E614</t>
  </si>
  <si>
    <t>B615</t>
  </si>
  <si>
    <t>C615</t>
  </si>
  <si>
    <t>D615</t>
  </si>
  <si>
    <t>E615</t>
  </si>
  <si>
    <t>B616</t>
  </si>
  <si>
    <t>C616</t>
  </si>
  <si>
    <t>D616</t>
  </si>
  <si>
    <t>E616</t>
  </si>
  <si>
    <t>B617</t>
  </si>
  <si>
    <t>C617</t>
  </si>
  <si>
    <t>D617</t>
  </si>
  <si>
    <t>E617</t>
  </si>
  <si>
    <t>B618</t>
  </si>
  <si>
    <t>C618</t>
  </si>
  <si>
    <t>D618</t>
  </si>
  <si>
    <t>B619</t>
  </si>
  <si>
    <t>C619</t>
  </si>
  <si>
    <t>D619</t>
  </si>
  <si>
    <t>E619</t>
  </si>
  <si>
    <t>B620</t>
  </si>
  <si>
    <t>C620</t>
  </si>
  <si>
    <t>D620</t>
  </si>
  <si>
    <t>B621</t>
  </si>
  <si>
    <t>C621</t>
  </si>
  <si>
    <t>D621</t>
  </si>
  <si>
    <t>B622</t>
  </si>
  <si>
    <t>C622</t>
  </si>
  <si>
    <t>D622</t>
  </si>
  <si>
    <t>B623</t>
  </si>
  <si>
    <t>C623</t>
  </si>
  <si>
    <t>D623</t>
  </si>
  <si>
    <t>B624</t>
  </si>
  <si>
    <t>C624</t>
  </si>
  <si>
    <t>D624</t>
  </si>
  <si>
    <t>B625</t>
  </si>
  <si>
    <t>C625</t>
  </si>
  <si>
    <t>D625</t>
  </si>
  <si>
    <t>E625</t>
  </si>
  <si>
    <t>B626</t>
  </si>
  <si>
    <t>C626</t>
  </si>
  <si>
    <t>D626</t>
  </si>
  <si>
    <t>B627</t>
  </si>
  <si>
    <t>D627</t>
  </si>
  <si>
    <t>E627</t>
  </si>
  <si>
    <t>B628</t>
  </si>
  <si>
    <t>D628</t>
  </si>
  <si>
    <t>E628</t>
  </si>
  <si>
    <t>B629</t>
  </si>
  <si>
    <t>C629</t>
  </si>
  <si>
    <t>D629</t>
  </si>
  <si>
    <t>E629</t>
  </si>
  <si>
    <t>B630</t>
  </si>
  <si>
    <t>C630</t>
  </si>
  <si>
    <t>D630</t>
  </si>
  <si>
    <t>E630</t>
  </si>
  <si>
    <t>B631</t>
  </si>
  <si>
    <t>C631</t>
  </si>
  <si>
    <t>D631</t>
  </si>
  <si>
    <t>E631</t>
  </si>
  <si>
    <t>B632</t>
  </si>
  <si>
    <t>C632</t>
  </si>
  <si>
    <t>D632</t>
  </si>
  <si>
    <t>E632</t>
  </si>
  <si>
    <t>B633</t>
  </si>
  <si>
    <t>C633</t>
  </si>
  <si>
    <t>D633</t>
  </si>
  <si>
    <t>E633</t>
  </si>
  <si>
    <t>B634</t>
  </si>
  <si>
    <t>C634</t>
  </si>
  <si>
    <t>D634</t>
  </si>
  <si>
    <t>B635</t>
  </si>
  <si>
    <t>C635</t>
  </si>
  <si>
    <t>D635</t>
  </si>
  <si>
    <t>E635</t>
  </si>
  <si>
    <t>B636</t>
  </si>
  <si>
    <t>C636</t>
  </si>
  <si>
    <t>D636</t>
  </si>
  <si>
    <t>B637</t>
  </si>
  <si>
    <t>C637</t>
  </si>
  <si>
    <t>D637</t>
  </si>
  <si>
    <t>B638</t>
  </si>
  <si>
    <t>C638</t>
  </si>
  <si>
    <t>D638</t>
  </si>
  <si>
    <t>B639</t>
  </si>
  <si>
    <t>C639</t>
  </si>
  <si>
    <t>D639</t>
  </si>
  <si>
    <t>B640</t>
  </si>
  <si>
    <t>C640</t>
  </si>
  <si>
    <t>D640</t>
  </si>
  <si>
    <t>E640</t>
  </si>
  <si>
    <t>B641</t>
  </si>
  <si>
    <t>C641</t>
  </si>
  <si>
    <t>D641</t>
  </si>
  <si>
    <t>E641</t>
  </si>
  <si>
    <t>B642</t>
  </si>
  <si>
    <t>C642</t>
  </si>
  <si>
    <t>D642</t>
  </si>
  <si>
    <t>B643</t>
  </si>
  <si>
    <t>D643</t>
  </si>
  <si>
    <t>E643</t>
  </si>
  <si>
    <t>B644</t>
  </si>
  <si>
    <t>E644</t>
  </si>
  <si>
    <t>B645</t>
  </si>
  <si>
    <t>C645</t>
  </si>
  <si>
    <t>D645</t>
  </si>
  <si>
    <t>E645</t>
  </si>
  <si>
    <t>B646</t>
  </si>
  <si>
    <t>C646</t>
  </si>
  <si>
    <t>D646</t>
  </si>
  <si>
    <t>E646</t>
  </si>
  <si>
    <t>B647</t>
  </si>
  <si>
    <t>C647</t>
  </si>
  <si>
    <t>D647</t>
  </si>
  <si>
    <t>E647</t>
  </si>
  <si>
    <t>B648</t>
  </si>
  <si>
    <t>C648</t>
  </si>
  <si>
    <t>D648</t>
  </si>
  <si>
    <t>E648</t>
  </si>
  <si>
    <t>B649</t>
  </si>
  <si>
    <t>C649</t>
  </si>
  <si>
    <t>D649</t>
  </si>
  <si>
    <t>E649</t>
  </si>
  <si>
    <t>B650</t>
  </si>
  <si>
    <t>C650</t>
  </si>
  <si>
    <t>D650</t>
  </si>
  <si>
    <t>E650</t>
  </si>
  <si>
    <t>B651</t>
  </si>
  <si>
    <t>C651</t>
  </si>
  <si>
    <t>D651</t>
  </si>
  <si>
    <t>E651</t>
  </si>
  <si>
    <t>B652</t>
  </si>
  <si>
    <t>C652</t>
  </si>
  <si>
    <t>D652</t>
  </si>
  <si>
    <t>E652</t>
  </si>
  <si>
    <t>AR2</t>
  </si>
  <si>
    <t>AR3</t>
  </si>
  <si>
    <t>Formula</t>
  </si>
  <si>
    <t>AR4</t>
  </si>
  <si>
    <t xml:space="preserve">Expired </t>
  </si>
  <si>
    <t>AR5</t>
  </si>
  <si>
    <t>AR22</t>
  </si>
  <si>
    <t>AR23</t>
  </si>
  <si>
    <t>AR24</t>
  </si>
  <si>
    <t>AR25</t>
  </si>
  <si>
    <t>AR29</t>
  </si>
  <si>
    <t>AR34</t>
  </si>
  <si>
    <t>AR35</t>
  </si>
  <si>
    <t>AR36</t>
  </si>
  <si>
    <t>AR37</t>
  </si>
  <si>
    <t>AR38</t>
  </si>
  <si>
    <t>AR39</t>
  </si>
  <si>
    <t>AR40</t>
  </si>
  <si>
    <t>AR42</t>
  </si>
  <si>
    <t>AR43</t>
  </si>
  <si>
    <t>AR44</t>
  </si>
  <si>
    <t>AR45</t>
  </si>
  <si>
    <t>AR46</t>
  </si>
  <si>
    <t>AR47</t>
  </si>
  <si>
    <t>AR48</t>
  </si>
  <si>
    <t>AR49</t>
  </si>
  <si>
    <t>AR50</t>
  </si>
  <si>
    <t>AR53</t>
  </si>
  <si>
    <t>AR57</t>
  </si>
  <si>
    <t>AR58</t>
  </si>
  <si>
    <t>AR73</t>
  </si>
  <si>
    <t>AR74</t>
  </si>
  <si>
    <t>AR75</t>
  </si>
  <si>
    <t>AR76</t>
  </si>
  <si>
    <t>AR77</t>
  </si>
  <si>
    <t>AR78</t>
  </si>
  <si>
    <t>AR79</t>
  </si>
  <si>
    <t>AR80</t>
  </si>
  <si>
    <t>AR81</t>
  </si>
  <si>
    <t>AR82</t>
  </si>
  <si>
    <t>AR83</t>
  </si>
  <si>
    <t>AR84</t>
  </si>
  <si>
    <t>AR85</t>
  </si>
  <si>
    <t>AR86</t>
  </si>
  <si>
    <t>AR87</t>
  </si>
  <si>
    <t>AR88</t>
  </si>
  <si>
    <t>AR89</t>
  </si>
  <si>
    <t>AR90</t>
  </si>
  <si>
    <t>AR91</t>
  </si>
  <si>
    <t>AR92</t>
  </si>
  <si>
    <t>AR93</t>
  </si>
  <si>
    <t>AR94</t>
  </si>
  <si>
    <t>AR95</t>
  </si>
  <si>
    <t>AR96</t>
  </si>
  <si>
    <t>AR97</t>
  </si>
  <si>
    <t>AR98</t>
  </si>
  <si>
    <t>AR99</t>
  </si>
  <si>
    <t>AR100</t>
  </si>
  <si>
    <t>AR101</t>
  </si>
  <si>
    <t>AR102</t>
  </si>
  <si>
    <t>AR106</t>
  </si>
  <si>
    <t>AR113</t>
  </si>
  <si>
    <t>AR114</t>
  </si>
  <si>
    <t>AR118</t>
  </si>
  <si>
    <t>AR119</t>
  </si>
  <si>
    <t>AR122</t>
  </si>
  <si>
    <t>AR135</t>
  </si>
  <si>
    <t>AR136</t>
  </si>
  <si>
    <t>AR140</t>
  </si>
  <si>
    <t>AR146</t>
  </si>
  <si>
    <t>AR160</t>
  </si>
  <si>
    <t>AR161</t>
  </si>
  <si>
    <t>AR170</t>
  </si>
  <si>
    <t>AR172</t>
  </si>
  <si>
    <t>AR176</t>
  </si>
  <si>
    <t>AR187</t>
  </si>
  <si>
    <t>AR188</t>
  </si>
  <si>
    <t>AR191</t>
  </si>
  <si>
    <t>AR192</t>
  </si>
  <si>
    <t>AR205</t>
  </si>
  <si>
    <t>AR206</t>
  </si>
  <si>
    <t>AR209</t>
  </si>
  <si>
    <t>AR210</t>
  </si>
  <si>
    <t>AR211</t>
  </si>
  <si>
    <t>AR219</t>
  </si>
  <si>
    <t>AR222</t>
  </si>
  <si>
    <t>AR225</t>
  </si>
  <si>
    <t>AR235</t>
  </si>
  <si>
    <t>AR236</t>
  </si>
  <si>
    <t>AR237</t>
  </si>
  <si>
    <t>AR238</t>
  </si>
  <si>
    <t>AR242</t>
  </si>
  <si>
    <t>AR248</t>
  </si>
  <si>
    <t>AR251</t>
  </si>
  <si>
    <t>AR252</t>
  </si>
  <si>
    <t>AR253</t>
  </si>
  <si>
    <t>AR279</t>
  </si>
  <si>
    <t>AR284</t>
  </si>
  <si>
    <t>AR287</t>
  </si>
  <si>
    <t>AR296</t>
  </si>
  <si>
    <t>AR297</t>
  </si>
  <si>
    <t>AR298</t>
  </si>
  <si>
    <t>AR301</t>
  </si>
  <si>
    <t>AR304</t>
  </si>
  <si>
    <t>AR307</t>
  </si>
  <si>
    <t>AR329</t>
  </si>
  <si>
    <t>AR330</t>
  </si>
  <si>
    <t>AR332</t>
  </si>
  <si>
    <t>AR335</t>
  </si>
  <si>
    <t>AR337</t>
  </si>
  <si>
    <t>AR339</t>
  </si>
  <si>
    <t>AR342</t>
  </si>
  <si>
    <t>AR346</t>
  </si>
  <si>
    <t>AR351</t>
  </si>
  <si>
    <t>AR352</t>
  </si>
  <si>
    <t>AR356</t>
  </si>
  <si>
    <t>AR357</t>
  </si>
  <si>
    <t>AR370</t>
  </si>
  <si>
    <t>AR377</t>
  </si>
  <si>
    <t>AR378</t>
  </si>
  <si>
    <t>AR379</t>
  </si>
  <si>
    <t>AR386</t>
  </si>
  <si>
    <t>AR398</t>
  </si>
  <si>
    <t>AR399</t>
  </si>
  <si>
    <t>AR400</t>
  </si>
  <si>
    <t>AR408</t>
  </si>
  <si>
    <t>AR409</t>
  </si>
  <si>
    <t>AR411</t>
  </si>
  <si>
    <t>AR412</t>
  </si>
  <si>
    <t>AR416</t>
  </si>
  <si>
    <t>AR417</t>
  </si>
  <si>
    <t>AR418</t>
  </si>
  <si>
    <t>AR419</t>
  </si>
  <si>
    <t>AR420</t>
  </si>
  <si>
    <t>AR425</t>
  </si>
  <si>
    <t>AR427</t>
  </si>
  <si>
    <t>AR428</t>
  </si>
  <si>
    <t>AR429</t>
  </si>
  <si>
    <t>AR430</t>
  </si>
  <si>
    <t>AR431</t>
  </si>
  <si>
    <t>AR432</t>
  </si>
  <si>
    <t>AR433</t>
  </si>
  <si>
    <t>AR434</t>
  </si>
  <si>
    <t>AR435</t>
  </si>
  <si>
    <t>AR436</t>
  </si>
  <si>
    <t>AR437</t>
  </si>
  <si>
    <t>AR438</t>
  </si>
  <si>
    <t>AR439</t>
  </si>
  <si>
    <t>AR440</t>
  </si>
  <si>
    <t>AR441</t>
  </si>
  <si>
    <t>AR442</t>
  </si>
  <si>
    <t>AR443</t>
  </si>
  <si>
    <t>AR444</t>
  </si>
  <si>
    <t>AR445</t>
  </si>
  <si>
    <t>AR446</t>
  </si>
  <si>
    <t>AR447</t>
  </si>
  <si>
    <t>AR448</t>
  </si>
  <si>
    <t>AR449</t>
  </si>
  <si>
    <t>AR450</t>
  </si>
  <si>
    <t>AR451</t>
  </si>
  <si>
    <t>AR452</t>
  </si>
  <si>
    <t>AR453</t>
  </si>
  <si>
    <t>AR454</t>
  </si>
  <si>
    <t>AR455</t>
  </si>
  <si>
    <t>AR456</t>
  </si>
  <si>
    <t>AR457</t>
  </si>
  <si>
    <t>AR458</t>
  </si>
  <si>
    <t>AR459</t>
  </si>
  <si>
    <t>AR460</t>
  </si>
  <si>
    <t>AR461</t>
  </si>
  <si>
    <t>AR462</t>
  </si>
  <si>
    <t>AR463</t>
  </si>
  <si>
    <t>AR464</t>
  </si>
  <si>
    <t>AR465</t>
  </si>
  <si>
    <t>AR466</t>
  </si>
  <si>
    <t>AR467</t>
  </si>
  <si>
    <t>AR468</t>
  </si>
  <si>
    <t>AR469</t>
  </si>
  <si>
    <t>AR470</t>
  </si>
  <si>
    <t>AR471</t>
  </si>
  <si>
    <t>AR472</t>
  </si>
  <si>
    <t>AR473</t>
  </si>
  <si>
    <t>AR474</t>
  </si>
  <si>
    <t>AR475</t>
  </si>
  <si>
    <t>AR476</t>
  </si>
  <si>
    <t>AR477</t>
  </si>
  <si>
    <t>AR478</t>
  </si>
  <si>
    <t>AR479</t>
  </si>
  <si>
    <t>AR480</t>
  </si>
  <si>
    <t>AR481</t>
  </si>
  <si>
    <t>AR482</t>
  </si>
  <si>
    <t>AR483</t>
  </si>
  <si>
    <t>AR484</t>
  </si>
  <si>
    <t>AR485</t>
  </si>
  <si>
    <t>AR486</t>
  </si>
  <si>
    <t>AR487</t>
  </si>
  <si>
    <t>AR488</t>
  </si>
  <si>
    <t>AR489</t>
  </si>
  <si>
    <t>AR490</t>
  </si>
  <si>
    <t>AR491</t>
  </si>
  <si>
    <t>AR492</t>
  </si>
  <si>
    <t>AR493</t>
  </si>
  <si>
    <t>AR494</t>
  </si>
  <si>
    <t>AR495</t>
  </si>
  <si>
    <t>AR496</t>
  </si>
  <si>
    <t>AR497</t>
  </si>
  <si>
    <t>AR498</t>
  </si>
  <si>
    <t>AR499</t>
  </si>
  <si>
    <t>AR500</t>
  </si>
  <si>
    <t>AR501</t>
  </si>
  <si>
    <t>AR502</t>
  </si>
  <si>
    <t>AR503</t>
  </si>
  <si>
    <t>AR504</t>
  </si>
  <si>
    <t>AR505</t>
  </si>
  <si>
    <t>AR506</t>
  </si>
  <si>
    <t>AR507</t>
  </si>
  <si>
    <t>AR508</t>
  </si>
  <si>
    <t>AR509</t>
  </si>
  <si>
    <t>AR510</t>
  </si>
  <si>
    <t>AR511</t>
  </si>
  <si>
    <t>AR512</t>
  </si>
  <si>
    <t>AR513</t>
  </si>
  <si>
    <t>AR514</t>
  </si>
  <si>
    <t>AR515</t>
  </si>
  <si>
    <t>AR516</t>
  </si>
  <si>
    <t>AR517</t>
  </si>
  <si>
    <t>AR518</t>
  </si>
  <si>
    <t>AR519</t>
  </si>
  <si>
    <t>AR520</t>
  </si>
  <si>
    <t>AR521</t>
  </si>
  <si>
    <t>AR522</t>
  </si>
  <si>
    <t>AR523</t>
  </si>
  <si>
    <t>AR524</t>
  </si>
  <si>
    <t>AR525</t>
  </si>
  <si>
    <t>AR526</t>
  </si>
  <si>
    <t>AR527</t>
  </si>
  <si>
    <t>AR528</t>
  </si>
  <si>
    <t>AR529</t>
  </si>
  <si>
    <t>AR530</t>
  </si>
  <si>
    <t>AR531</t>
  </si>
  <si>
    <t>AR532</t>
  </si>
  <si>
    <t>AR533</t>
  </si>
  <si>
    <t>AR534</t>
  </si>
  <si>
    <t>AR535</t>
  </si>
  <si>
    <t>AR536</t>
  </si>
  <si>
    <t>AR537</t>
  </si>
  <si>
    <t>AR538</t>
  </si>
  <si>
    <t>AR539</t>
  </si>
  <si>
    <t>AR540</t>
  </si>
  <si>
    <t>AR541</t>
  </si>
  <si>
    <t>AR545</t>
  </si>
  <si>
    <t>AR546</t>
  </si>
  <si>
    <t>AR547</t>
  </si>
  <si>
    <t>AR548</t>
  </si>
  <si>
    <t>AR549</t>
  </si>
  <si>
    <t>AR550</t>
  </si>
  <si>
    <t>AR551</t>
  </si>
  <si>
    <t>AR552</t>
  </si>
  <si>
    <t>AR553</t>
  </si>
  <si>
    <t>AR554</t>
  </si>
  <si>
    <t>AR564</t>
  </si>
  <si>
    <t>AR565</t>
  </si>
  <si>
    <t>AR566</t>
  </si>
  <si>
    <t>AR568</t>
  </si>
  <si>
    <t>AR569</t>
  </si>
  <si>
    <t>AR578</t>
  </si>
  <si>
    <t>AR580</t>
  </si>
  <si>
    <t>Traitement du bois par ACQ</t>
  </si>
  <si>
    <t>Block d’adobe</t>
  </si>
  <si>
    <t>Mur de bloc de 8 pi</t>
  </si>
  <si>
    <t>Moyenne des produits fabriqués sur place et en usine (Chypre)</t>
  </si>
  <si>
    <t>Couverture d’aérogel</t>
  </si>
  <si>
    <t>R 9,6/pouce, couverture blanche/grise</t>
  </si>
  <si>
    <t>Agrégat</t>
  </si>
  <si>
    <t>Moyenne des agrégats de construction (gravier et sable)</t>
  </si>
  <si>
    <t>Bardeaux d’asphalte</t>
  </si>
  <si>
    <t>Association des fabricants de toitures en asphalte</t>
  </si>
  <si>
    <t>Bardeaux d’asphalte fibre de verre</t>
  </si>
  <si>
    <t>Durée</t>
  </si>
  <si>
    <t>Contreplaqué de bambou</t>
  </si>
  <si>
    <t>Tuile BioBased</t>
  </si>
  <si>
    <t>Non-PVC avec liant polyester BioStride, Striations BBT et Migrations BBT</t>
  </si>
  <si>
    <t>Brique, argile</t>
  </si>
  <si>
    <t>Brique de paremen (moyenne d’usine)</t>
  </si>
  <si>
    <t xml:space="preserve">3-5/8 po x 2-3/4 po x 7-5/8 po (92 x 70 x 194 mm), mortier de 3/8 po inclus3-5/8 po x 2-3/4 po x 7-5/8 po (92 x 70 x 194 mm) avec mortier de 3/8 po </t>
  </si>
  <si>
    <t>Brique mince de parement, usine Columbia</t>
  </si>
  <si>
    <t>2-1/2" x 5/8" x 7-1/2" (64 x 16 x 190 mm) incl. 3/8" de mortier</t>
  </si>
  <si>
    <t>Brique moyenne de façade</t>
  </si>
  <si>
    <t>Brique moyenne mince de façade</t>
  </si>
  <si>
    <t>3-9/16 po x 5/8 po x 11-5/8 po (90 x 16 mm x 295) avec mortier de 3/8 po.</t>
  </si>
  <si>
    <t>Brique, argile, générique modulaire</t>
  </si>
  <si>
    <t>Association de l’industrie de la brique</t>
  </si>
  <si>
    <t>Moyenne de l’industrie États-Unis–Canada</t>
  </si>
  <si>
    <t xml:space="preserve">3-5/8 po x 2-3/4 po x 7-5/8 po, avec mortier de 3/8 po </t>
  </si>
  <si>
    <t>Tapis</t>
  </si>
  <si>
    <t>Moyenne de 150 échantillons dans la base de données EC3</t>
  </si>
  <si>
    <t>Réalisable à partir d’EC3</t>
  </si>
  <si>
    <t>Réalisable à partir de 150 échantillons dans la base de données EC3</t>
  </si>
  <si>
    <t>Conservateur à partir d’EC3</t>
  </si>
  <si>
    <t>Conservateur à partir de 150 échantillons dans la base de données EC3</t>
  </si>
  <si>
    <t>1,5 mm Tapis à dalles modulaires</t>
  </si>
  <si>
    <t>Bardeaux/bardeaux en fentes en cèdre</t>
  </si>
  <si>
    <t>couverture 3/4 po.</t>
  </si>
  <si>
    <t>Bardage de cèdre</t>
  </si>
  <si>
    <t>Association du bois de cèdre rouge de l’Ouest</t>
  </si>
  <si>
    <t>Planches 1 x 6</t>
  </si>
  <si>
    <t>Cellulose – Natte</t>
  </si>
  <si>
    <t>R 3,6/po</t>
  </si>
  <si>
    <t>Cellulose – paquet dense</t>
  </si>
  <si>
    <t>Inclus : AFT, Applegate, Can-Cell, Cell-Pak, Cleanfiber, Climatizer, Fiberlite, Igloo, ICC, Mason City, Nu-Wool, Soprema, Thermo-Kool</t>
  </si>
  <si>
    <t>R 3,7/po</t>
  </si>
  <si>
    <t>Cellulose en vrac</t>
  </si>
  <si>
    <t>Cellulose – appliquée par pulvérisation</t>
  </si>
  <si>
    <t>R 3,75/po</t>
  </si>
  <si>
    <t>Panneau de ciment 1/2 po</t>
  </si>
  <si>
    <t>Mortier de ciment, carreaux</t>
  </si>
  <si>
    <t>Conseil du carrelage d’Amérique du Nord</t>
  </si>
  <si>
    <t>Inclut les fabricants : Ardex, Bostik, Cemenquin/Cement Pro LLC, Crest, Custom Building Products, HB Fuller, Interceramic, Laticrete, Mapei, Parex, Schluter</t>
  </si>
  <si>
    <t>Moyenne de l’industrie. Comprend les mortiers de ciment à prise sèche, à prise sèche modifiée et à prise sèche modifiée améliorée.</t>
  </si>
  <si>
    <t>Carreaux en céramique</t>
  </si>
  <si>
    <t>Porcelaine</t>
  </si>
  <si>
    <t>Grade standard</t>
  </si>
  <si>
    <t>Moyenne de l’industrie. Comprend les carreaux de porcelaine, les carreaux pressés, les mosaïques et les carreaux de carrière.</t>
  </si>
  <si>
    <t>18,8 kg/m2</t>
  </si>
  <si>
    <t>Plâtre d’argile</t>
  </si>
  <si>
    <t>Mélangé sur site</t>
  </si>
  <si>
    <t>15 mm</t>
  </si>
  <si>
    <t>Tuiles en terre cuite</t>
  </si>
  <si>
    <t>EMB –légers</t>
  </si>
  <si>
    <t>Bloc CarboClave 8"</t>
  </si>
  <si>
    <t>8 x 8 x 16</t>
  </si>
  <si>
    <t>Association canadienne des fabricants de maçonnerie de béton, région de l’Est</t>
  </si>
  <si>
    <t>Blocs légers de 8 po</t>
  </si>
  <si>
    <t>Bloc 15 MPa, 390 x 190 x 190 mm</t>
  </si>
  <si>
    <t>Association canadienne des fabricants de maçonnerie de béton, région de l’Ouest</t>
  </si>
  <si>
    <t>EMB –poids normal</t>
  </si>
  <si>
    <t>Blocs de poids normal de 8 po</t>
  </si>
  <si>
    <t>EMB –Terre battue</t>
  </si>
  <si>
    <t>Bloc Watershed</t>
  </si>
  <si>
    <t>ZeroBlock Watershed</t>
  </si>
  <si>
    <t>Plancher de terre</t>
  </si>
  <si>
    <t>Fabriqué sur le site</t>
  </si>
  <si>
    <t>3 po torchis, 1 po plâtre d’argile</t>
  </si>
  <si>
    <t>Mur de torchis</t>
  </si>
  <si>
    <t>18 po (457 mm) épaisseur moyenne</t>
  </si>
  <si>
    <t>Bloc de terre comprimée</t>
  </si>
  <si>
    <t>Fabriqué en usine</t>
  </si>
  <si>
    <t>Stabilisé avec 6,5 % de CHN</t>
  </si>
  <si>
    <t>31,5 x 6 x 2,75 po (300 x 150 x 70 mm)</t>
  </si>
  <si>
    <t>Panneau de paille comprimée</t>
  </si>
  <si>
    <t>Planche de 60 mm</t>
  </si>
  <si>
    <t>R 3,9/po</t>
  </si>
  <si>
    <t>Béton</t>
  </si>
  <si>
    <t>Moyenne de 19 mélanges différents de 25 MPa</t>
  </si>
  <si>
    <t>Béton – 0-25 MPa, référence moyenne de l’industrie</t>
  </si>
  <si>
    <t>Moy. can.</t>
  </si>
  <si>
    <t>Béton – 0-25 MPa, 0-14 % FA/SL, GU</t>
  </si>
  <si>
    <t>Béton – 0-25 MPa, 15-29 % de cendres volantes, GU</t>
  </si>
  <si>
    <t>Béton – 0-25 MPa, 30-40 % de cendres volantes, GU</t>
  </si>
  <si>
    <t>Béton – 0-25 MPa, 25-34 % de scories, GU</t>
  </si>
  <si>
    <t>Béton – 0-25 MPa, 35-50 % de scories, GU</t>
  </si>
  <si>
    <t>Béton – 26-30 MPa, moyenne de référence canadienne</t>
  </si>
  <si>
    <t>Béton – 26-30 MPa, 0-14 % FA/SL, GU</t>
  </si>
  <si>
    <t>Béton – 26-30 MPa, 15-29 % de cendres volantes, GU</t>
  </si>
  <si>
    <t>Béton – 26-30 MPa, 30-40 % de cendres volantes, GU</t>
  </si>
  <si>
    <t>Béton – 26-30 MPa, 25-34 % de scories, GU</t>
  </si>
  <si>
    <t>Béton – 26-30 MPa, 35-50 % de scories, GU</t>
  </si>
  <si>
    <t>Béton – 31-35 MPa, moyenne de référence canadienne</t>
  </si>
  <si>
    <t>Béton – 31-35 MPa, 0-14 % FA/SL, GU</t>
  </si>
  <si>
    <t>Béton – 31-35 MPa, 15-29 % de cendres volantes, GU</t>
  </si>
  <si>
    <t>Béton – 31-35 MPa, 30-40 % de cendres volantes, GU</t>
  </si>
  <si>
    <t>Béton – 31-35 MPa, 25-34 % de scories, GU</t>
  </si>
  <si>
    <t>Béton – 31-35 MPa, 35-50 % de scories, GU</t>
  </si>
  <si>
    <t>Béton – 20 MPa, mélange standard</t>
  </si>
  <si>
    <t>Moy. É.-U.</t>
  </si>
  <si>
    <t>Béton – 20 MPa, 20-30 % de cendres volantes</t>
  </si>
  <si>
    <t>Béton – 20 MPa, 30-40 % FA/SL</t>
  </si>
  <si>
    <t>Béton – 20 MPa mélange 40-50 % FA/SL</t>
  </si>
  <si>
    <t>Béton – 20 MPa, &gt;50 % de mélange SCM</t>
  </si>
  <si>
    <t>Isolation en panneaux de liège</t>
  </si>
  <si>
    <t>Panneau isolant en liège expansé (ICB)</t>
  </si>
  <si>
    <t>R3,6-pouce, 115 kg/m3</t>
  </si>
  <si>
    <t>Plancher de liège</t>
  </si>
  <si>
    <t>Institut européen des fabricants de revêtements de sol résilients</t>
  </si>
  <si>
    <t>Inclus : Altro, Amorim, Amtico, Artigo, Aspecta, BeauFlor, Dickson, Mflor, Forbo, Gerflor, IVC, Nora, Polyflor, Tarkett, Kahrs, Windmoller</t>
  </si>
  <si>
    <t>Carreaux de sol en liège</t>
  </si>
  <si>
    <t>Bois lamellé-croisé (CLT)</t>
  </si>
  <si>
    <t>X- Lam</t>
  </si>
  <si>
    <t>3-1/2 po (90 mm) d’épaisseur</t>
  </si>
  <si>
    <t>Cloisons sèches 1/2 po</t>
  </si>
  <si>
    <t>QuietRock 1/2 po</t>
  </si>
  <si>
    <t>Cloisons sèches 5/8 po</t>
  </si>
  <si>
    <t>Inclus : American Gypsum, CertainTeed, Continental, Georgia-Pacific, National Gypsum, Pabco, USG, CGC</t>
  </si>
  <si>
    <t>Sheetrock Brand EcoSmart Firecode X</t>
  </si>
  <si>
    <t>Membrane d’étanchéité EPDM</t>
  </si>
  <si>
    <t>Panneau en mousse EPS</t>
  </si>
  <si>
    <t>R 3,6/po, Type I, 10 psi (70 kPa)</t>
  </si>
  <si>
    <t>R 4,0/po, Type II, 15 psi (100 kPa)</t>
  </si>
  <si>
    <t>R 4,2/po, Type IX, 25 psi (170 kPa)</t>
  </si>
  <si>
    <t>R 4,3/po, Type XV, 60 psi (400 kPa)</t>
  </si>
  <si>
    <t>Panneau de mousse EPS avec graphite</t>
  </si>
  <si>
    <t>R 4,7-pouce, Type IX, 25 psi</t>
  </si>
  <si>
    <t>R 4,7/pouce, Type II, 15 psi (Type 2, 110 kPa)</t>
  </si>
  <si>
    <t>R 4,7/po, Type IX, 25 psi (Type 9, 175 kPa)</t>
  </si>
  <si>
    <t>Toiture en fibrociment</t>
  </si>
  <si>
    <t>Tôles ondulées</t>
  </si>
  <si>
    <t>6,5 mm</t>
  </si>
  <si>
    <t>Ardoises</t>
  </si>
  <si>
    <t>4 mm</t>
  </si>
  <si>
    <t>Natte en fibre de verre</t>
  </si>
  <si>
    <t>Isolation durable</t>
  </si>
  <si>
    <t>Non revêtus, ComfortTherm, Cavity-SHIELD, FSK-25</t>
  </si>
  <si>
    <t>R 3,4/po</t>
  </si>
  <si>
    <t>R 4,4/po</t>
  </si>
  <si>
    <t>Isolant en matelas et rouleau de fibre de verre</t>
  </si>
  <si>
    <t>Non revêtus, PINK Next Gen Fiberglas</t>
  </si>
  <si>
    <t>R 3,6/po moy.</t>
  </si>
  <si>
    <t>Fibre de verre en vrac</t>
  </si>
  <si>
    <t>R 2,6/po</t>
  </si>
  <si>
    <t>R 3,28/po</t>
  </si>
  <si>
    <t>Inclut : CertainTeed, Inc. Saint-Gobin, Johns Manville, Knauf Insulation North America, Owens Corning</t>
  </si>
  <si>
    <t>R 2,2/po</t>
  </si>
  <si>
    <t>Panneau de mousse de verre</t>
  </si>
  <si>
    <t>R 3,5/po</t>
  </si>
  <si>
    <t>R 2,9/po</t>
  </si>
  <si>
    <t>R 3,2/po</t>
  </si>
  <si>
    <t>R 4,0/po</t>
  </si>
  <si>
    <t>Conseil Américain et canadien du bois</t>
  </si>
  <si>
    <t>Bois lamellé-collé (Glulam)</t>
  </si>
  <si>
    <t>CB</t>
  </si>
  <si>
    <t>Panneaux de gypse – matelas de verre</t>
  </si>
  <si>
    <t>Association du gypse</t>
  </si>
  <si>
    <t>Moyenne de l'industrie nord-américaine</t>
  </si>
  <si>
    <t>Securock ExoAir 430</t>
  </si>
  <si>
    <t>Plancher en bois dur</t>
  </si>
  <si>
    <t>Planches de bois dur naturel</t>
  </si>
  <si>
    <t>3/4 po, massif laminé 3 plis, préfini à l’huile</t>
  </si>
  <si>
    <t>NWFA et Association des bois durs décoratifs</t>
  </si>
  <si>
    <t>Plancher de bois massif</t>
  </si>
  <si>
    <t>Bois franc massif</t>
  </si>
  <si>
    <t>Piliers héliques</t>
  </si>
  <si>
    <t>Générique</t>
  </si>
  <si>
    <t>Tuyau nominal 3 po, 3,5 x 3/16 po (89 x 5,5 mm), hélice 10 po, acier galvanisé Sched 40 STD</t>
  </si>
  <si>
    <t>Natte de fibres de chanvre</t>
  </si>
  <si>
    <t>Laine de chanvre</t>
  </si>
  <si>
    <t>Béton de chanvre / Coffrage sur place</t>
  </si>
  <si>
    <t>R 2,1/po</t>
  </si>
  <si>
    <t>Bloc de béton de chanvre</t>
  </si>
  <si>
    <t>Bloc Chanvre PAL36EX y compris mortier / 600 x 300 x 360 mm</t>
  </si>
  <si>
    <t>R 2/po</t>
  </si>
  <si>
    <t>Bio Béton Jet / 230 kg/m3</t>
  </si>
  <si>
    <t>R 2,7/po</t>
  </si>
  <si>
    <t>Granulés de béton de chanvre</t>
  </si>
  <si>
    <t>Bio Béton Pronto / 190 kg/m3</t>
  </si>
  <si>
    <t>R 2,/po, Moyenne de 9 mélanges</t>
  </si>
  <si>
    <t>États-Unis</t>
  </si>
  <si>
    <t>R 2,/po mélange moyen utilisant CHN et PHL</t>
  </si>
  <si>
    <t>Bois de longs copeaux lamellés</t>
  </si>
  <si>
    <t>Enduit chaux/ liège (Ext. &amp; Int.)</t>
  </si>
  <si>
    <t>Diathonite Evolution, R 3,2-pouce</t>
  </si>
  <si>
    <t>Diathonite Thermactive.037, R 3,9-pouce</t>
  </si>
  <si>
    <t>Revêtement de plancher en linoléum</t>
  </si>
  <si>
    <t>Lino Acoustic</t>
  </si>
  <si>
    <t>Feuille de linoléum acoustique 3,8 mm avec mousse PU</t>
  </si>
  <si>
    <t>linoléum en feuille de 2,5 mm</t>
  </si>
  <si>
    <t>Veneto Cork Acoustic</t>
  </si>
  <si>
    <t>Feuille de linoléum 4,4 mm avec liège</t>
  </si>
  <si>
    <t>linoléum en feuille de 4,0 mm</t>
  </si>
  <si>
    <t>Ciment de maçonnerie</t>
  </si>
  <si>
    <t>Association du ciment Portland</t>
  </si>
  <si>
    <t>Inclus : Argos, Buzzi, CalPortland, Capitol Aggregates, Cemex, Essroc, LafargeHolcim, Monarch, St. Mary's, Titan</t>
  </si>
  <si>
    <t>Mélange de mortier de maçonnerie</t>
  </si>
  <si>
    <t>1 part ciment de maçonnerie</t>
  </si>
  <si>
    <t>3 parts de sable ordinaire</t>
  </si>
  <si>
    <t>Panneaux métalliques – Aluminium</t>
  </si>
  <si>
    <t>Inclus : ATAS, DMI, Englert, Fabral, McElroy, Pac-Clad</t>
  </si>
  <si>
    <t>22 jauge</t>
  </si>
  <si>
    <t>Pac-Clad, tous profils</t>
  </si>
  <si>
    <t>Panneaux métalliques – acier</t>
  </si>
  <si>
    <t>Tous produits de toiture et de murs</t>
  </si>
  <si>
    <t>24 jauge</t>
  </si>
  <si>
    <t>Institut canadien de la tôle d’acier</t>
  </si>
  <si>
    <t>Inclus : Agway, Bailey, Behlen, Canam,DASS, DCM, Duchesne, EB, Exsteel, Ideal Roofing, Imperial, LKME, Manugypse, Metal Up, Scotia, Steel Tile Co, Steelway, Trebor, Vicwest, Vulcraft, Westform, Westman</t>
  </si>
  <si>
    <t>Association des fabricants de bâtiments métalliques</t>
  </si>
  <si>
    <t>Liste des membres participants : https://www.mbma.com/System_Members.html</t>
  </si>
  <si>
    <t>Panneau de MG 1/2 po</t>
  </si>
  <si>
    <t>MgO nord-américain</t>
  </si>
  <si>
    <t>Panneau de laine minérale – forte densité</t>
  </si>
  <si>
    <t>Panneau de laine minérale – faible densité</t>
  </si>
  <si>
    <t>Laine minérale en vrac</t>
  </si>
  <si>
    <t>USG, American Rockwool</t>
  </si>
  <si>
    <t>R 3/po</t>
  </si>
  <si>
    <t>Panneau de mycélium</t>
  </si>
  <si>
    <t>Panneau à copeaux orientés</t>
  </si>
  <si>
    <t>Panneau 1/2 po</t>
  </si>
  <si>
    <t>FlameBlock® Résistant au feu</t>
  </si>
  <si>
    <t>7/16", revêtu 1 côté</t>
  </si>
  <si>
    <t>7/16''</t>
  </si>
  <si>
    <t>0SB revêtement &amp; barrière</t>
  </si>
  <si>
    <t>ZIP System - Mur et Toiture</t>
  </si>
  <si>
    <t>Panneau à copeaux orientés pour sous-plancher</t>
  </si>
  <si>
    <t>Sous-plancher 19/32 po</t>
  </si>
  <si>
    <t>Contreplaqué</t>
  </si>
  <si>
    <t>Moyenne Colombie-Britannique</t>
  </si>
  <si>
    <t>Inclut : West Fraser Mills, Thompson River Veneer Products</t>
  </si>
  <si>
    <t>Panneau contreplaqué bois franc. Inclut : noyer, aulne, cerisier, acajou, chêne, bouleau, érable</t>
  </si>
  <si>
    <t>Contreplaqué bois résineux</t>
  </si>
  <si>
    <t>Polyiso – panneaux de toiture</t>
  </si>
  <si>
    <t>Revêtement GRF / Type II R 5,6'', 16 psi</t>
  </si>
  <si>
    <t>Inclus: Atlas, Firestone, GAF, Johns Manville, Rmax, Carlisle, Iko, Soprema</t>
  </si>
  <si>
    <t>Revêtement GRF / R 5,6/po</t>
  </si>
  <si>
    <t>Polyisocyanurate – panneaux toiture</t>
  </si>
  <si>
    <t>CGF facer / Type II R 5,6/po</t>
  </si>
  <si>
    <t>CGF facer R 5,8/po</t>
  </si>
  <si>
    <t>CGF facer / Type II R 5,6'', 16 psi</t>
  </si>
  <si>
    <t>Plaque de recouvrement haute densité</t>
  </si>
  <si>
    <t>Type II, R 5,0'', 80 psi</t>
  </si>
  <si>
    <t>Inclut : Atlas, Firestone, GAF, Johns Manville, Carlisle, Iko, Soprema</t>
  </si>
  <si>
    <t>Polyiso - panneaux de mur</t>
  </si>
  <si>
    <t>R2+ Silver</t>
  </si>
  <si>
    <t>R 6,3/po, 20 psi</t>
  </si>
  <si>
    <t>Revêtement en polypropylène</t>
  </si>
  <si>
    <t>Institut du parement en vinyle</t>
  </si>
  <si>
    <t>0,085 po bardeau de fente simple "Cèdre" 7 po</t>
  </si>
  <si>
    <t>Sangle CBI en polypropylène</t>
  </si>
  <si>
    <t>Membrane de toiture en PVC</t>
  </si>
  <si>
    <t>Inclus : Canadian General-Tower, Duro-Last, FiberTite</t>
  </si>
  <si>
    <t>Terre battue</t>
  </si>
  <si>
    <t>Stabilisé avec 3 % de CHN</t>
  </si>
  <si>
    <t>Stabilisé avec 5 % de ciment</t>
  </si>
  <si>
    <t>Stabilisé avec 8 % de ciment</t>
  </si>
  <si>
    <t>Barre d’armature</t>
  </si>
  <si>
    <t>Tailles canadiennes – 98 % recyclé, four EAF</t>
  </si>
  <si>
    <t>Revêtement de plancher en caoutchouc</t>
  </si>
  <si>
    <t>Institut du couvre-sol résilient</t>
  </si>
  <si>
    <t>Comprend des carreaux et des rouleaux d’American Biltrite, Armstrong, Burke, FLEXCO, Johnsonite, Mannington, Roppe et Tarkett.</t>
  </si>
  <si>
    <t>Toitures en bitume modifié SBS</t>
  </si>
  <si>
    <t>Inclus : CertainTeed, Firestone, GAF, Henry, IKO, Johns Mansville, Malarkey, Siplast, Soprema</t>
  </si>
  <si>
    <t xml:space="preserve">Panneau structurel isolé – Noyau de mousse EPS </t>
  </si>
  <si>
    <t>OSB 7/16 po, EPS de type II</t>
  </si>
  <si>
    <t>Panneau structurel isolé – Noyau de paille</t>
  </si>
  <si>
    <t>Agriboard 7-7/8 po</t>
  </si>
  <si>
    <t>R?/po</t>
  </si>
  <si>
    <t>Isolant mousse de polyuréthane giclée - structure alvéolaire fermée - à gas HFO</t>
  </si>
  <si>
    <t>R 6,6/po</t>
  </si>
  <si>
    <t>Isolant mousse de polyuréthane giclée - haute densité - à gas HFO</t>
  </si>
  <si>
    <t>Isolant mousse de polyuréthane giclée - structure alvéolaire ouverte - à gas HFO</t>
  </si>
  <si>
    <t>R 4,1/po</t>
  </si>
  <si>
    <t>Poutre en acier</t>
  </si>
  <si>
    <t>Poutrelle en acier, âme ouverte</t>
  </si>
  <si>
    <t>Inclut : Canam Steel, New Millenium Building Systems, Vulcraft/Nucor</t>
  </si>
  <si>
    <t xml:space="preserve">Poutrelle 12 po 12K3 </t>
  </si>
  <si>
    <t>Poteau en acier</t>
  </si>
  <si>
    <t>3,5 x 0,216 po (89 x 5,5 mm), Sched 40 STD</t>
  </si>
  <si>
    <t>Montants d’acier – porteurs</t>
  </si>
  <si>
    <t>600-S-137-54, 16 jauge</t>
  </si>
  <si>
    <t>Poteaux et rails structurels</t>
  </si>
  <si>
    <t>Goujons en acier – Non porteurs</t>
  </si>
  <si>
    <t>362VS125-18, 20EQ jauge</t>
  </si>
  <si>
    <t>Finition acrylique stucco texturée</t>
  </si>
  <si>
    <t>Stolit 1,0, Stolit 1,5, Stolit Freeform</t>
  </si>
  <si>
    <t>Membrane de toiture TPO</t>
  </si>
  <si>
    <t>Panneau à isolation sous vide</t>
  </si>
  <si>
    <t>R 30/po</t>
  </si>
  <si>
    <t>Revêtement de plancher en vinyle</t>
  </si>
  <si>
    <t>3,0 mm</t>
  </si>
  <si>
    <t>Comprend les produits de carrelage d’Armstrong, Congoleum, Tarkett.</t>
  </si>
  <si>
    <t>Revêtement en vinyle</t>
  </si>
  <si>
    <t>Produits Double 4,5 po de : American Original, Associated Materials, CertainTeed, Novik, Ply Gem</t>
  </si>
  <si>
    <t>0,040 po Double 4,5 po</t>
  </si>
  <si>
    <t>Treillis soudé</t>
  </si>
  <si>
    <t>6 po x 6 po x 6/6 g</t>
  </si>
  <si>
    <t>Fenêtre – sous-fenêtre double</t>
  </si>
  <si>
    <t>Cadre en fibre de verre</t>
  </si>
  <si>
    <t>Charpente en vinyle</t>
  </si>
  <si>
    <t>Charpente en bois</t>
  </si>
  <si>
    <t>Charpente en bois, revêtement en aluminium</t>
  </si>
  <si>
    <t>Fenêtre – sous-fenêtre triple</t>
  </si>
  <si>
    <t>Fenêtre – triple vitrage</t>
  </si>
  <si>
    <t>Bloc 12 po R22</t>
  </si>
  <si>
    <t>Bloc 14 po R28</t>
  </si>
  <si>
    <t>Fibre de bois – en vrac</t>
  </si>
  <si>
    <t>Natte de fibres de bois</t>
  </si>
  <si>
    <t>R 3,8/po</t>
  </si>
  <si>
    <t>Panneau de fibres de bois</t>
  </si>
  <si>
    <t>R 3,6/po, 40-200 mm</t>
  </si>
  <si>
    <t>R 3,3-po / 200 kg/m3, 30-80 mm</t>
  </si>
  <si>
    <t>R 3,3-po / 110 kg/m3</t>
  </si>
  <si>
    <t>R 3,3/po / 130 kg/m3</t>
  </si>
  <si>
    <t>R 3,3/po / 115 kg/m3</t>
  </si>
  <si>
    <t>R 3,6/po, 140 kg/m3</t>
  </si>
  <si>
    <t>R 3,6/po, 210 kg/m3</t>
  </si>
  <si>
    <t>R 3,6/po, 110 kg/m3</t>
  </si>
  <si>
    <t>Charpente et bardage en bois – Séquoia</t>
  </si>
  <si>
    <t>Poutrelle en I en bois</t>
  </si>
  <si>
    <t>Solives en I</t>
  </si>
  <si>
    <t>11,875'' profondeur, 1,75 x 1,5'' membrures LVL</t>
  </si>
  <si>
    <t>14'' profondeur, 1,75 x 1,5'' membrures LVL</t>
  </si>
  <si>
    <t>16'' profondeur, 1,75 x 1,5'' membrures LVL</t>
  </si>
  <si>
    <t>11,875'' profondeur, 2,5 x 1,5'' membrures LVL</t>
  </si>
  <si>
    <t>14'' profondeur, 2,5 x 1,5'' membrures LVL</t>
  </si>
  <si>
    <t>16'' profondeur, 2,5 x 1,5'' membrures LVL</t>
  </si>
  <si>
    <t>Poutrelle de plancher en bois – préfabriquée</t>
  </si>
  <si>
    <t>Modèle de toile commun (Warren, 45 deg)</t>
  </si>
  <si>
    <t>Palier de la membrure supérieure, profondeur variable</t>
  </si>
  <si>
    <t>Poutrelle de toit en bois – préfabriquée</t>
  </si>
  <si>
    <t>Cordes 2x6, toiles 2x4, pas de 4:12, portée de 40 pieds, porte-à-faux de 20 po.</t>
  </si>
  <si>
    <t>Natte de laine</t>
  </si>
  <si>
    <t>Laine en vrac</t>
  </si>
  <si>
    <t>Panneau en mousse XPS</t>
  </si>
  <si>
    <t>R 5/po</t>
  </si>
  <si>
    <t>De la feuille maîtresse composite</t>
  </si>
  <si>
    <t>Béton - 25 MPs, Moyenne de référence du Québec</t>
  </si>
  <si>
    <t>Can. Moyenne Québec</t>
  </si>
  <si>
    <t>Béton - 25 MPa, 10% SL, GU</t>
  </si>
  <si>
    <t>Béton -  25 MPa, 10% FA, GU</t>
  </si>
  <si>
    <t>Béton - 25 MPa, 20% SL, GU</t>
  </si>
  <si>
    <t>Béton - 25 MPa, 20% FA, GU</t>
  </si>
  <si>
    <t>Béton - 25 MPa, 30% SL, GU</t>
  </si>
  <si>
    <t>Béton - 25 MPa, 30% FA, GU</t>
  </si>
  <si>
    <t>Béton - 30 MPs, Moyenne de référence du Québec</t>
  </si>
  <si>
    <t>Béton - 30 MPa, 10% SL, GU</t>
  </si>
  <si>
    <t>Béton -  30 MPa, 10% FA, GU</t>
  </si>
  <si>
    <t>Béton - 30 MPa, 20% SL, GU</t>
  </si>
  <si>
    <t>Béton - 30 MPa, 20% FA, GU</t>
  </si>
  <si>
    <t>Béton - 30 MPa, 30% SL, GU</t>
  </si>
  <si>
    <t>Béton - 30 MPa, 30% FA, GU</t>
  </si>
  <si>
    <t>Béton - 35 MPs, Moyenne de référence du Québec</t>
  </si>
  <si>
    <t>Béton - 35 MPa, 10% SL, GU</t>
  </si>
  <si>
    <t>Béton -  35 MPa, 10% FA, GU</t>
  </si>
  <si>
    <t>Béton - 35 MPa, 20% SL, GU</t>
  </si>
  <si>
    <t>Béton - 35 MPa, 20% FA, GU</t>
  </si>
  <si>
    <t>Béton - 35 MPa, 30% SL, GU</t>
  </si>
  <si>
    <t>Béton - 35 MPa, 30% FA, GU</t>
  </si>
  <si>
    <t>Béton - 25 MPa, GU</t>
  </si>
  <si>
    <t>Can. Moyenne Ontario</t>
  </si>
  <si>
    <t>Béton - 25 MPa, 15% SL, GU</t>
  </si>
  <si>
    <t>Béton - 25 MPa, 25% SL, GU</t>
  </si>
  <si>
    <t>Béton - 25 MPa, 35% SL, GU</t>
  </si>
  <si>
    <t>Béton - 25 MPa, 50% SL, GU</t>
  </si>
  <si>
    <t>Béton - 30 MPa, GU</t>
  </si>
  <si>
    <t>Béton - 30 MPa, 15% SL, GU</t>
  </si>
  <si>
    <t>Béton - 30 MPa, 25% SL, GU</t>
  </si>
  <si>
    <t>Béton - 30 MPa, 35% SL, GU</t>
  </si>
  <si>
    <t>Béton - 30 MPa, 50% SL, GU</t>
  </si>
  <si>
    <t>Béton - 35 MPa, GU</t>
  </si>
  <si>
    <t>Béton - 35 MPa, 15% SL, GU</t>
  </si>
  <si>
    <t>Béton - 35 MPa, 25% SL, GU</t>
  </si>
  <si>
    <t>Béton - 35 MPa, 35% SL, GU</t>
  </si>
  <si>
    <t>Béton - 35 MPa, 50% SL, GU</t>
  </si>
  <si>
    <t>Can. Moyenne Saskatchewan</t>
  </si>
  <si>
    <t>Béton - 25 MPa, 40% FA, GU</t>
  </si>
  <si>
    <t>Béton - 30 MPa, 40% FA, GU</t>
  </si>
  <si>
    <t>Béton - 35 MPa, 40% FA, GU</t>
  </si>
  <si>
    <t>Can. Moyenne Manitoba</t>
  </si>
  <si>
    <t>Can. Moyenne Colombie Britanique</t>
  </si>
  <si>
    <t>Béton - 25 MPa, 15% SCM, GU</t>
  </si>
  <si>
    <t>Béton - 25 MPa, 25% SCM, GU</t>
  </si>
  <si>
    <t>Béton - 25 MPa, 40% SCM, GU</t>
  </si>
  <si>
    <t>Béton - 30 MPa, 15% SCM, GU</t>
  </si>
  <si>
    <t>Béton - 30 MPa, 25% SCM, GU</t>
  </si>
  <si>
    <t>Béton - 30 MPa, 40% SCM, GU</t>
  </si>
  <si>
    <t>Béton - 35 MPa, 15% SCM, GU</t>
  </si>
  <si>
    <t>Béton - 35 MPa, 25% SCM, GU</t>
  </si>
  <si>
    <t>Béton - 35 MPa, 40% SCM, GU</t>
  </si>
  <si>
    <t>Can. Moyenne prov. Atlantique</t>
  </si>
  <si>
    <t>Can. Moyenne Alberta</t>
  </si>
  <si>
    <t>Shaw – Patcraft</t>
  </si>
  <si>
    <t>Carreau de vinyle de luxe</t>
  </si>
  <si>
    <t>Linoleum Compact DLW</t>
  </si>
  <si>
    <t>Climate Pro, Protecteur de grenier, JM Spider PLUS (Canada)</t>
  </si>
  <si>
    <t>R 2,8/po, sans Formaldehyde</t>
  </si>
  <si>
    <t>Série-E (moyenne guillotine double/Auvent/Panoramique)</t>
  </si>
  <si>
    <t>Panneaux de gypse Gold Bond XP</t>
  </si>
  <si>
    <t>Gypse 5/8" Type X</t>
  </si>
  <si>
    <t>Panneaux de gypse Gold Bond XP pare-feu</t>
  </si>
  <si>
    <t>Envers standard</t>
  </si>
  <si>
    <t>Tapis style grande largeur</t>
  </si>
  <si>
    <t>Tuiles et planches 2,5 mm</t>
  </si>
  <si>
    <t>Bardeaux TimberlineMD CS</t>
  </si>
  <si>
    <t>Plancher Legato</t>
  </si>
  <si>
    <t>liquide appliqué</t>
  </si>
  <si>
    <t>Céramique – contenu recyclé</t>
  </si>
  <si>
    <t>Grade standard et second</t>
  </si>
  <si>
    <t>Porcelaine – contenu recyclé</t>
  </si>
  <si>
    <t>Bardage en fibrociment</t>
  </si>
  <si>
    <t>Pictura et Natura Pro</t>
  </si>
  <si>
    <t>Feuilles Linea|Lunara</t>
  </si>
  <si>
    <t>Panneaux de paille</t>
  </si>
  <si>
    <t>Panneaux standard et de renfort</t>
  </si>
  <si>
    <t>40cm R16, panneau seulement</t>
  </si>
  <si>
    <t>Mince – Brique à face mince</t>
  </si>
  <si>
    <t>2 1/4" x 1/2" x 7-1/2" (57 x 12.7 mm x 190) incl. 3/8" mortier</t>
  </si>
  <si>
    <t>Dimensions canadiennes</t>
  </si>
  <si>
    <t>ArcelorMittal Produits longs Canada</t>
  </si>
  <si>
    <t>Inclus : MSL, Blue Ridge Fiberboard Inc.</t>
  </si>
  <si>
    <t>Styrofoam gris à PPR réduit (même que ST-100)</t>
  </si>
  <si>
    <t>Panneau de laine minérale</t>
  </si>
  <si>
    <t>Isolant mousse de polyuréthane giclée – structure alvéolaire fermée (HFO)</t>
  </si>
  <si>
    <t>Airmétic HFO &amp; Airmétic Soya HFO</t>
  </si>
  <si>
    <t>Balle de paille</t>
  </si>
  <si>
    <t>Paille de blé et d'orge</t>
  </si>
  <si>
    <t>Bardage et moulures en bois d'ingénierie</t>
  </si>
  <si>
    <t>0,354" (9 mm)</t>
  </si>
  <si>
    <t>0,418" (10,6 mm)</t>
  </si>
  <si>
    <t>0,578" (14,7mm)</t>
  </si>
  <si>
    <t>BuilderSeries® Bardage à recouvrement</t>
  </si>
  <si>
    <t>9/32'' (7,3 mm)</t>
  </si>
  <si>
    <t>3/8" (9,5 mm)</t>
  </si>
  <si>
    <t>300 series oscillo-battante, 300 series fixed, 325 series auvent/battant, 325 series Fixed, et 400 series</t>
  </si>
  <si>
    <t xml:space="preserve">Panneaux de gypse GlasRoc </t>
  </si>
  <si>
    <t>Hardie Shinlge HZ10</t>
  </si>
  <si>
    <t>6,3 mm</t>
  </si>
  <si>
    <t>Panneau en fibre de verre</t>
  </si>
  <si>
    <t>Inclut : Johns Manville, Knauf, Owens Corning, CertainTeed</t>
  </si>
  <si>
    <t>R-3,2/po</t>
  </si>
  <si>
    <t>Fenêtre à double vitrage</t>
  </si>
  <si>
    <t>AluQuébec</t>
  </si>
  <si>
    <t>Moyenne des fixes, à battant, coulissant, guillotine, oscillo-battant, à auvent</t>
  </si>
  <si>
    <t>Cadre en aluminium</t>
  </si>
  <si>
    <t>CV200, T200 / À battant et projeté</t>
  </si>
  <si>
    <t>Xtherm, 5FXT, FX45, 6615, 6621, 6715, FX32, OG32, OG45 / Fixe</t>
  </si>
  <si>
    <t>Xtherm, 875V, 2700, 2701, 450G, 590X, 6725, PG32, PX32, WV410, WV430 / À battant et projeté</t>
  </si>
  <si>
    <t>Optiq AA4325, 8225TL|TLF, 526, AA 6400|6500, NX-300|3000 / À battant et projeté</t>
  </si>
  <si>
    <t>OptiQ AA5450, TR-9100, 8400TL, AA6400|6500|6600 / Oscillo-battant et coulissant</t>
  </si>
  <si>
    <t>Fenêtres à battant Invent</t>
  </si>
  <si>
    <t>Fenêtres fixes INvent</t>
  </si>
  <si>
    <t>Barrière pour murs et plafonds intérieurs, feuille</t>
  </si>
  <si>
    <t>Vapor In Green 200 / Non-perméable</t>
  </si>
  <si>
    <t>0,35 mm</t>
  </si>
  <si>
    <t>Barrière mur et toit, int. &amp; ext., feuille</t>
  </si>
  <si>
    <t>Clima Control Net 160 / À perméabilité variable</t>
  </si>
  <si>
    <t>0,5 mm</t>
  </si>
  <si>
    <t>Traspir EVO 160 / 12,3 Perms</t>
  </si>
  <si>
    <t>Traspir Vapor 225 / Non-perméable</t>
  </si>
  <si>
    <t>0,8 mm</t>
  </si>
  <si>
    <t>Barrière mur intérieur, feuille</t>
  </si>
  <si>
    <t>0,4 mm</t>
  </si>
  <si>
    <t>Traspir EVO UV 210 / 41,7 Perms</t>
  </si>
  <si>
    <t>0,3 mm</t>
  </si>
  <si>
    <t>Barrière de toit, ext., feuille</t>
  </si>
  <si>
    <t>Traspir Weld EVO 360 / 17,5 Perms</t>
  </si>
  <si>
    <t>1,0 mm</t>
  </si>
  <si>
    <t>Barrière mur et toit, ext., autocollante</t>
  </si>
  <si>
    <t>Exoperm Mono SA 250 / Perméable</t>
  </si>
  <si>
    <t>Barrière mur et toit, ext., application liquide</t>
  </si>
  <si>
    <t>Barrithane VP / 11,1 Perms</t>
  </si>
  <si>
    <t>Barrière mur et toit, ext., feuille</t>
  </si>
  <si>
    <t>Tyvek Monolayer 60 / Perméable</t>
  </si>
  <si>
    <t>Exoperm Mono 150 / Perméable</t>
  </si>
  <si>
    <t>Barrière mur ext., autocollante</t>
  </si>
  <si>
    <t>Perm-a-Barrier / Non-perméable</t>
  </si>
  <si>
    <t>Sopraseal Stick 1100 T / Non-perméable</t>
  </si>
  <si>
    <t>0,6 mm</t>
  </si>
  <si>
    <t>Soprasolin HD / Non-perméable</t>
  </si>
  <si>
    <t>SOPRAVAP'R / Non-perméable</t>
  </si>
  <si>
    <t>Barrière mur ext., application liquide</t>
  </si>
  <si>
    <t>Perm-a-Barrier NPL 10 / Non-perméable</t>
  </si>
  <si>
    <t>0,64 mm</t>
  </si>
  <si>
    <t>0,51 mm</t>
  </si>
  <si>
    <t>Barrière mur ext., feuille</t>
  </si>
  <si>
    <t>Perm-a-Barrier NPS / Non-perméable</t>
  </si>
  <si>
    <t>0,46 mm</t>
  </si>
  <si>
    <t>Sopraseal LM 200 S / 0,6 Perm</t>
  </si>
  <si>
    <t>Barrière d’étanchéité ext., autocollante</t>
  </si>
  <si>
    <t>Barrière d’étanchéité ext., application liquide</t>
  </si>
  <si>
    <t>IZOPERM PLUS / Non-perméable</t>
  </si>
  <si>
    <t>VARA PLUS / Perméabilité variable</t>
  </si>
  <si>
    <t>Clima Control 80 / Perméabilité variable</t>
  </si>
  <si>
    <t>0,22 mm</t>
  </si>
  <si>
    <t>Vapor in NET 140 / Non-perméable</t>
  </si>
  <si>
    <t>0,15 mm</t>
  </si>
  <si>
    <t>Majrex 200 / Perméabilité variable</t>
  </si>
  <si>
    <t>Barrière, feuille</t>
  </si>
  <si>
    <t>Feuille de polyéthylène</t>
  </si>
  <si>
    <t>Natte de laine minérale</t>
  </si>
  <si>
    <t>R 3,7/po</t>
  </si>
  <si>
    <t>UltraBatt – Garde-feu et acoustique Plus R-15, R-30</t>
  </si>
  <si>
    <t>R 4,2/po</t>
  </si>
  <si>
    <t>UltraBatt – Garde-feu et acoustique Plus R-23</t>
  </si>
  <si>
    <t>UltraBatt – Garde-feu et acoustique Plus R-24</t>
  </si>
  <si>
    <t>R 4,3/po</t>
  </si>
  <si>
    <t>ComfortBatt R-24 (Montants acier)</t>
  </si>
  <si>
    <t>ComfortBatt R-24 (Montants bois)</t>
  </si>
  <si>
    <t>R 4,4/po</t>
  </si>
  <si>
    <t>Agrégat de mousse de verre</t>
  </si>
  <si>
    <t>Groupe Foamit</t>
  </si>
  <si>
    <t>191 kg/m3, 10-60 mm, R 1,5/po</t>
  </si>
  <si>
    <t>Carreau vinyle de luxe</t>
  </si>
  <si>
    <t>Revêtement en lames, pose libre</t>
  </si>
  <si>
    <t>4,5 – 6 mm</t>
  </si>
  <si>
    <t>Collé</t>
  </si>
  <si>
    <t>1,5 – 4,5 mm</t>
  </si>
  <si>
    <t>Feuille hétérogène</t>
  </si>
  <si>
    <t>2 mm</t>
  </si>
  <si>
    <t>Panneaux SIP – mousse EPS &amp; OSB</t>
  </si>
  <si>
    <t>Inclut : ACME Panel, Enercept, Extreme Panel Technologies, FischerSIPS, Insulspan, Lamit, PorterCorp, Preflex, Premier Building Systems, Thermafoam R-Control, Urban Industries</t>
  </si>
  <si>
    <t>Panneau R-15 4,5"</t>
  </si>
  <si>
    <t>Panneau R-23 6,5"</t>
  </si>
  <si>
    <t>Panneau R-30 8,25"</t>
  </si>
  <si>
    <t>Panneau R-38 10,25"</t>
  </si>
  <si>
    <t>Panneau R-45 12,25"</t>
  </si>
  <si>
    <t>ACV révisée par les pairs, 2011</t>
  </si>
  <si>
    <t>ACV révisée par les pairs, 2016</t>
  </si>
  <si>
    <t>Expiré</t>
  </si>
  <si>
    <t>Moyenne multi-DEP, EC3 Tool</t>
  </si>
  <si>
    <t>ACV révisée par les pairs, 2014</t>
  </si>
  <si>
    <t>ACV révisée par les pairs</t>
  </si>
  <si>
    <t>Adapté d’une ACV révisée par les pairs, 2019</t>
  </si>
  <si>
    <t>ACV révisée par les pairs, 2019</t>
  </si>
  <si>
    <t>ACV révisée par les pairs, 2017</t>
  </si>
  <si>
    <t>ACV révisée par les pairs, 2020</t>
  </si>
  <si>
    <t>La marque utilisée était « Inclus : Agway, Bailey, Behlen, Canam, DASS, DCM, Duchesne, EB, Exsteel, Ideal Roofing, Imperial, LKME, Manugypse, Metal Up, Scotia, Steel Tile Co, Steelway, Trebor, Vicwest, Vulcraft, Westform, Westman » mais elle a été supprimée car elle était trop longue (mars 2025)</t>
  </si>
  <si>
    <t>ACV indépendante, 2013</t>
  </si>
  <si>
    <t>Base de données ICE (R.-U.)</t>
  </si>
  <si>
    <t>Étude BfCA (Tally)</t>
  </si>
  <si>
    <t>ACV indépendante</t>
  </si>
  <si>
    <t>ACV composite</t>
  </si>
  <si>
    <t>C8</t>
  </si>
  <si>
    <t>C9</t>
  </si>
  <si>
    <t>E20</t>
  </si>
  <si>
    <t>C30</t>
  </si>
  <si>
    <t xml:space="preserve">GHG Factor Wood </t>
  </si>
  <si>
    <t>C5</t>
  </si>
  <si>
    <t xml:space="preserve">Fuel consumption from h2k file </t>
  </si>
  <si>
    <t>F20</t>
  </si>
  <si>
    <t>G20</t>
  </si>
  <si>
    <t>H20</t>
  </si>
  <si>
    <t>I20</t>
  </si>
  <si>
    <t>Introduction</t>
  </si>
  <si>
    <t>TextBox 8</t>
  </si>
  <si>
    <t xml:space="preserve">NRCan would like to acknowledge the foundational contribution of Chris Magwood and the team at Builders for Climate Action.  The Material Carbon Emissions Estimator (MCE2) was co-created by the team at Builders for Climate Action (https://www.buildersforclimateaction.org/) and NRCan.  It supports their mission to: "offer future generations our best efforts to reign in the worst effects of climate change through smart, coordinated, and effective action to address emissions in the sector while making a world that is just and equitable." and NRCan's mandate of supporting industry in making informed decisions related to energy and carbon performance in the built environment.  </t>
  </si>
  <si>
    <t>MsgBox</t>
  </si>
  <si>
    <t>msgBVT</t>
  </si>
  <si>
    <t>Warning: the building is modeled with a special number of storeys (&lt;~NoOfStoreys~&gt;). Please input total ceiling area mannually.</t>
  </si>
  <si>
    <t>msgCTR</t>
  </si>
  <si>
    <t>Error: no results found. please run 'calculate' in HOT2000 and try again</t>
  </si>
  <si>
    <t>msgVIU</t>
  </si>
  <si>
    <t>Error: Please select a .h2k file</t>
  </si>
  <si>
    <t>msgXRT</t>
  </si>
  <si>
    <t>Scenario '&lt;~new_SCN_Name~&gt;' already exists. Please select a new name.</t>
  </si>
  <si>
    <t>msgCTI</t>
  </si>
  <si>
    <t>You already made '&lt;~MAX_SCENARIOS~&gt;' scenarios. The workbook does not support additional scenarios. You may want to delete a scenario and try again.</t>
  </si>
  <si>
    <t>msgMTD</t>
  </si>
  <si>
    <t>Scenario '&lt;~scn_Name~&gt;' does not exist. Please try again.</t>
  </si>
  <si>
    <t>msgUOQ</t>
  </si>
  <si>
    <t>Scenario '&lt;~scn_Name~&gt;' could not be found. Please try again.</t>
  </si>
  <si>
    <t>msgVCU</t>
  </si>
  <si>
    <t>Are you sure to delete Scenario '&lt;~scn_Name~&gt;'?</t>
  </si>
  <si>
    <t>msgUIM</t>
  </si>
  <si>
    <t>Address of orange cells are saved in the &lt;~scnDBSh.Name~&gt; sheet</t>
  </si>
  <si>
    <t>msgFVT</t>
  </si>
  <si>
    <t>Please enter a name for your scenario</t>
  </si>
  <si>
    <t>msgEVU</t>
  </si>
  <si>
    <t>Select house file (h2k)</t>
  </si>
  <si>
    <t>msgVRG</t>
  </si>
  <si>
    <t>msgCYT</t>
  </si>
  <si>
    <t>Changing the province changes both the GHG intensity factor of the electrical supply and the regionally available concrete mixes.  If you proceed, your current concrete selections for &lt;~Province_Name~&gt; will be saved for later use.  You will be required to make new concrete selections based on regionally available mixes for the province of choice.</t>
  </si>
  <si>
    <t>msgNTR</t>
  </si>
  <si>
    <t>Changing the province changes both the GHG intensity factor of the electrical supply and the regionally available concrete mixes.  Your previously selected concrete mixes for &lt;~Province_Name~&gt; will be loaded.</t>
  </si>
  <si>
    <t>Forms</t>
  </si>
  <si>
    <t>frmSelectScenario</t>
  </si>
  <si>
    <t>Select Scenario</t>
  </si>
  <si>
    <t>lblSelectScenToDelete</t>
  </si>
  <si>
    <t>delete</t>
  </si>
  <si>
    <t>Select a scenario to delete</t>
  </si>
  <si>
    <t>restore</t>
  </si>
  <si>
    <t>Select a scenario to restore</t>
  </si>
  <si>
    <t>cmdCancel</t>
  </si>
  <si>
    <t>Cancel</t>
  </si>
  <si>
    <t>cmdOk</t>
  </si>
  <si>
    <t>Select</t>
  </si>
  <si>
    <t>lblWaitMessage</t>
  </si>
  <si>
    <t>One moment please…</t>
  </si>
  <si>
    <t>Validation.InputMessage</t>
  </si>
  <si>
    <t>Select insulation from dropdown, enter R-value (left,imperial units) and surface area (right, square metres)</t>
  </si>
  <si>
    <t>Select a province's GHG factor to override then enter the new GHG intensity value in the correstponding cell below.
 Note: only one province's fuel type can be overridden at a time.</t>
  </si>
  <si>
    <t>F15</t>
  </si>
  <si>
    <t>G15</t>
  </si>
  <si>
    <t>H15</t>
  </si>
  <si>
    <t>Enter source of information used for override value. Web link preferrable, if available.</t>
  </si>
  <si>
    <t>G17</t>
  </si>
  <si>
    <t>H17</t>
  </si>
  <si>
    <t>Clear This Sheet Only</t>
  </si>
  <si>
    <t>msgWZR</t>
  </si>
  <si>
    <t>The selected province was not found in the H2K emission factors sheet</t>
  </si>
  <si>
    <t>msgWZS</t>
  </si>
  <si>
    <t>The selected province was not found in the NBC emission factors sheet</t>
  </si>
  <si>
    <t>msgWZT</t>
  </si>
  <si>
    <t xml:space="preserve">The following provinces are missing in the GHG or H2K sheet, '&lt;~scn_Name~&gt;' </t>
  </si>
  <si>
    <t>msgWZU</t>
  </si>
  <si>
    <t xml:space="preserve">The following provinces are missing in the GHG or NBC sheet, '&lt;~scn_Name~&gt;' </t>
  </si>
  <si>
    <t>G3</t>
  </si>
  <si>
    <t>F4</t>
  </si>
  <si>
    <t>G4</t>
  </si>
  <si>
    <t>_Master sheet</t>
  </si>
  <si>
    <t>I2</t>
  </si>
  <si>
    <t xml:space="preserve">Notes au projet : </t>
  </si>
  <si>
    <r>
      <t xml:space="preserve">LE PRÉSENT CONTRAT DE LICENCE D’UTILISATEUR FINAL (CLUF) EST UN ACCORD JURIDIQUE ENTRE VOUS, L’UTILISATEUR FINAL, EN VOTRE QUALITÉ DE PERSONNE PHYSIQUE ET/OU D’AGENT DE VOTRE ENTREPRISE, INSTITUTION OU AUTRE ENTITÉ (ci-après dénommé le « </t>
    </r>
    <r>
      <rPr>
        <b/>
        <sz val="10"/>
        <color theme="1"/>
        <rFont val="Arial"/>
        <family val="2"/>
      </rPr>
      <t>Licencié</t>
    </r>
    <r>
      <rPr>
        <sz val="10"/>
        <color theme="1"/>
        <rFont val="Arial"/>
        <family val="2"/>
      </rPr>
      <t xml:space="preserve"> »), ET SA MAJESTÉ LE ROI DU CHEF DU CANADA, REPRÉSENTÉE PAR LE MINISTRE DES RESSOURCES NATURELLES (ci -après dénommé « </t>
    </r>
    <r>
      <rPr>
        <b/>
        <sz val="10"/>
        <color theme="1"/>
        <rFont val="Arial"/>
        <family val="2"/>
      </rPr>
      <t>RNCan</t>
    </r>
    <r>
      <rPr>
        <sz val="10"/>
        <color theme="1"/>
        <rFont val="Arial"/>
        <family val="2"/>
      </rPr>
      <t xml:space="preserve"> »)
</t>
    </r>
  </si>
  <si>
    <r>
      <t xml:space="preserve">Les publications du </t>
    </r>
    <r>
      <rPr>
        <b/>
        <sz val="10"/>
        <color rgb="FF000000"/>
        <rFont val="Arial"/>
        <family val="2"/>
      </rPr>
      <t>Licencié</t>
    </r>
    <r>
      <rPr>
        <sz val="10"/>
        <color rgb="FF000000"/>
        <rFont val="Arial"/>
        <family val="2"/>
      </rPr>
      <t xml:space="preserve"> faisant référence au Logiciel doivent indiquer l’origine du Logiciel au moyen du texte suivant : « Le logiciel Estimateur D'Émissions De Matières appartient à Sa Majesté le Roi du chef du Canada représentée par le Ministre des Ressources naturelles © 2025 ». Le </t>
    </r>
    <r>
      <rPr>
        <b/>
        <sz val="10"/>
        <color rgb="FF000000"/>
        <rFont val="Arial"/>
        <family val="2"/>
      </rPr>
      <t xml:space="preserve">Licencié </t>
    </r>
    <r>
      <rPr>
        <sz val="10"/>
        <color rgb="FF000000"/>
        <rFont val="Arial"/>
        <family val="2"/>
      </rPr>
      <t xml:space="preserve">doit demandé l’approbation écrite préalable pour toute autre déclaration concernant </t>
    </r>
    <r>
      <rPr>
        <b/>
        <sz val="10"/>
        <color rgb="FF000000"/>
        <rFont val="Arial"/>
        <family val="2"/>
      </rPr>
      <t>RNCan</t>
    </r>
    <r>
      <rPr>
        <sz val="10"/>
        <color rgb="FF000000"/>
        <rFont val="Arial"/>
        <family val="2"/>
      </rPr>
      <t xml:space="preserve"> qui va au-delà de l’origine du Logiciel.</t>
    </r>
  </si>
  <si>
    <t>Cycle long</t>
  </si>
  <si>
    <t>Stockage de carbone cycle long</t>
  </si>
  <si>
    <t>Le stockage de carbone à long cycle provient de plantes ayant des cycles de croissance longs (10 ans ou plus), le plus souvent dans des produits issus de matières premières ligneuses. La durée de croissance plus longue du bois, ainsi que la complexité de la mesure des flux de carbone dans les écosystèmes forestiers, peuvent entraîner un niveau élevé d’incertitude quant au stockage de carbone provenant de plantes à long cycle de croissance, comme les arbres utilisés dans les bâtiments.
Les méthodologies d'analyse du cycle de vie standard (ACV) — telles que l’ISO 21930 et l’EN 15804 — offrent des directives sur la quantification du carbone biogénique stocké dans les produits forestiers mais n’abordent pas complètement certaines incertitudes clefs, notamment les émissions provenant des sols perturbés, la décomposition des racines et des résidus, la perte de séquestration des arbres coupés et la captation différée du carbone par les nouvelles plantations.
Il ne faut inclure le stockage du carbone du cycle long que si le produit en bois spécifié satisfait à au moins un des critères suivants : bois recyclé ou réemployé ; bois provenant de l’éclaircie forestière, de chablis, d’arbres tués par coléoptère ou autres « coupe d’urgence » ; ou bois certifié par un organisme qui tient explicitement compte des flux de carbone.</t>
  </si>
  <si>
    <t>Cycle court</t>
  </si>
  <si>
    <t>Stockage de carbone cycle court</t>
  </si>
  <si>
    <t>Le stockage de carbone à cycle court concerne le carbone stocké dans les sous-produits et déchets issus de la biomasse agricole et forestière ainsi que les cultures à cycle de croissance inférieur à 10 ans.</t>
  </si>
  <si>
    <t>po</t>
  </si>
  <si>
    <t>Group 18,Rectangle 19</t>
  </si>
  <si>
    <t>Group 30,Rectangle 31</t>
  </si>
  <si>
    <t>Group 42,Rectangle 43</t>
  </si>
  <si>
    <t>CNB 2025</t>
  </si>
  <si>
    <t>Remplacement par utilisateur</t>
  </si>
  <si>
    <t>Base Load</t>
  </si>
  <si>
    <t>Exclude Base Load for NBC:</t>
  </si>
  <si>
    <t>Base load excluded?</t>
  </si>
  <si>
    <t>Cell Value</t>
  </si>
  <si>
    <t>Note</t>
  </si>
  <si>
    <t>This is the French translation of the above line</t>
  </si>
  <si>
    <r>
      <t xml:space="preserve">    Importer les données du projet à partir de HOT2000 </t>
    </r>
    <r>
      <rPr>
        <sz val="14"/>
        <color theme="1"/>
        <rFont val="Arial"/>
        <family val="2"/>
      </rPr>
      <t>(si ce n’est pas le fichier HOT2000, passez à l’étape 2)</t>
    </r>
  </si>
  <si>
    <t>$N$18</t>
  </si>
  <si>
    <t>P7</t>
  </si>
  <si>
    <t>Charge de base</t>
  </si>
  <si>
    <t>P8</t>
  </si>
  <si>
    <t>Exclure la charge de base pour le CNB :</t>
  </si>
  <si>
    <t>Charge de base exclue ?</t>
  </si>
  <si>
    <t>$L$1</t>
  </si>
  <si>
    <t>$M$1</t>
  </si>
  <si>
    <t>$B$28</t>
  </si>
  <si>
    <t>(ARCHIVED 2026) OSB sheathing</t>
  </si>
  <si>
    <t>Canadian Wood Council -Eastern</t>
  </si>
  <si>
    <t>EPD 853</t>
  </si>
  <si>
    <t>Canadian Wood Council -Western</t>
  </si>
  <si>
    <t>154-1</t>
  </si>
  <si>
    <t>154-2</t>
  </si>
  <si>
    <t>m2 at 0.015875 m (5/8")</t>
  </si>
  <si>
    <t>155-1</t>
  </si>
  <si>
    <t>155-2</t>
  </si>
  <si>
    <t>(ARCHIVED 2026) Plywood</t>
  </si>
  <si>
    <t>Canadian Wood Council</t>
  </si>
  <si>
    <t>EPD 855</t>
  </si>
  <si>
    <t>159-1</t>
  </si>
  <si>
    <t>160old</t>
  </si>
  <si>
    <t>161old</t>
  </si>
  <si>
    <t>(ARCHIVED 2026) Wood I joist</t>
  </si>
  <si>
    <t>multiply by joists per m2</t>
  </si>
  <si>
    <t>m at 11 7/8"</t>
  </si>
  <si>
    <t>m at avg depth</t>
  </si>
  <si>
    <t>EPD 856</t>
  </si>
  <si>
    <t>kg/m at avg depth</t>
  </si>
  <si>
    <t>ratio to avg</t>
  </si>
  <si>
    <t>249old</t>
  </si>
  <si>
    <t>EPD 854</t>
  </si>
  <si>
    <t>(ARCHIVED 2026) Wood floor truss - prefabricated</t>
  </si>
  <si>
    <t>251old</t>
  </si>
  <si>
    <t>(ARCHIVED 2026) Wood roof truss - prefabricated</t>
  </si>
  <si>
    <t>Common (Double Howe) Gable Roof</t>
  </si>
  <si>
    <t>multiply by trusses per m2 of projected roof area</t>
  </si>
  <si>
    <t>252old</t>
  </si>
  <si>
    <t>(ARCHIVED 2026) Wood framing &amp; siding - SPF</t>
  </si>
  <si>
    <t>Wood - SPF</t>
  </si>
  <si>
    <t>EPD 845</t>
  </si>
  <si>
    <t>Atlantic Canada</t>
  </si>
  <si>
    <t>248-1</t>
  </si>
  <si>
    <t>248-2</t>
  </si>
  <si>
    <t>248-3</t>
  </si>
  <si>
    <t>248-4</t>
  </si>
  <si>
    <t>248-5</t>
  </si>
  <si>
    <t>248-6</t>
  </si>
  <si>
    <t>2x4 WOOD FRAME CONSTRUCTION</t>
  </si>
  <si>
    <t>2x6 WOOD FRAME CONSTRUCTION</t>
  </si>
  <si>
    <t>2x8 WOOD FRAME CONSTRUCTION</t>
  </si>
  <si>
    <t>Double 2x4 WOOD FRAME CONSTRUCTION</t>
  </si>
  <si>
    <t>1x4 STRAPPING for RAIN SCREEN</t>
  </si>
  <si>
    <t>2x4 STRAPPING for RAIN SCREEN</t>
  </si>
  <si>
    <t>2x3 WOOD FRAME CONSTRUCTION</t>
  </si>
  <si>
    <t>2X8 WOOD LUMBER FRAMING</t>
  </si>
  <si>
    <t>2X10 WOOD LUMBER FRAMING</t>
  </si>
  <si>
    <t>2X12 WOOD LUMBER FRAMING</t>
  </si>
  <si>
    <t>2x12 WOOD FRAMING</t>
  </si>
  <si>
    <t>2x10 WOOD FRAMING</t>
  </si>
  <si>
    <t>2x8 WOOD FRAMING</t>
  </si>
  <si>
    <t>2x6 WOOD FRAMING</t>
  </si>
  <si>
    <t>2x4 WOOD FRAMING</t>
  </si>
  <si>
    <t>1x3 WOOD STRAPPING</t>
  </si>
  <si>
    <t>1x4 WOOD STRAPPING</t>
  </si>
  <si>
    <t>2x4 WOOD STRAPPING</t>
  </si>
  <si>
    <t>C241</t>
  </si>
  <si>
    <t>E243</t>
  </si>
  <si>
    <t>E244</t>
  </si>
  <si>
    <t>D247</t>
  </si>
  <si>
    <t>B250</t>
  </si>
  <si>
    <t>C250</t>
  </si>
  <si>
    <t>D250</t>
  </si>
  <si>
    <t>E250</t>
  </si>
  <si>
    <t>D252</t>
  </si>
  <si>
    <t>E252</t>
  </si>
  <si>
    <t>D253</t>
  </si>
  <si>
    <t>C260</t>
  </si>
  <si>
    <t>B262</t>
  </si>
  <si>
    <t>C262</t>
  </si>
  <si>
    <t>D262</t>
  </si>
  <si>
    <t>B263</t>
  </si>
  <si>
    <t>C263</t>
  </si>
  <si>
    <t>D263</t>
  </si>
  <si>
    <t>B265</t>
  </si>
  <si>
    <t>D265</t>
  </si>
  <si>
    <t>B266</t>
  </si>
  <si>
    <t>C266</t>
  </si>
  <si>
    <t>D266</t>
  </si>
  <si>
    <t>D268</t>
  </si>
  <si>
    <t>E268</t>
  </si>
  <si>
    <t>E276</t>
  </si>
  <si>
    <t>B278</t>
  </si>
  <si>
    <t>C278</t>
  </si>
  <si>
    <t>D278</t>
  </si>
  <si>
    <t>E278</t>
  </si>
  <si>
    <t>E279</t>
  </si>
  <si>
    <t>B281</t>
  </si>
  <si>
    <t>C281</t>
  </si>
  <si>
    <t>D281</t>
  </si>
  <si>
    <t>E281</t>
  </si>
  <si>
    <t>B282</t>
  </si>
  <si>
    <t>C282</t>
  </si>
  <si>
    <t>D282</t>
  </si>
  <si>
    <t>E282</t>
  </si>
  <si>
    <t>B283</t>
  </si>
  <si>
    <t>C283</t>
  </si>
  <si>
    <t>D283</t>
  </si>
  <si>
    <t>D284</t>
  </si>
  <si>
    <t>C286</t>
  </si>
  <si>
    <t>D286</t>
  </si>
  <si>
    <t>C291</t>
  </si>
  <si>
    <t>E291</t>
  </si>
  <si>
    <t>B293</t>
  </si>
  <si>
    <t>AR293</t>
  </si>
  <si>
    <t>E294</t>
  </si>
  <si>
    <t>B295</t>
  </si>
  <si>
    <t>D295</t>
  </si>
  <si>
    <t>AR295</t>
  </si>
  <si>
    <t>D301</t>
  </si>
  <si>
    <t>C303</t>
  </si>
  <si>
    <t>D303</t>
  </si>
  <si>
    <t>D304</t>
  </si>
  <si>
    <t>B305</t>
  </si>
  <si>
    <t>E305</t>
  </si>
  <si>
    <t>B306</t>
  </si>
  <si>
    <t>C306</t>
  </si>
  <si>
    <t>D306</t>
  </si>
  <si>
    <t>E306</t>
  </si>
  <si>
    <t>AR306</t>
  </si>
  <si>
    <t>B308</t>
  </si>
  <si>
    <t>C308</t>
  </si>
  <si>
    <t>E308</t>
  </si>
  <si>
    <t>B311</t>
  </si>
  <si>
    <t>C311</t>
  </si>
  <si>
    <t>B314</t>
  </si>
  <si>
    <t>C314</t>
  </si>
  <si>
    <t>E314</t>
  </si>
  <si>
    <t>B327</t>
  </si>
  <si>
    <t>C327</t>
  </si>
  <si>
    <t>E327</t>
  </si>
  <si>
    <t>B331</t>
  </si>
  <si>
    <t>E331</t>
  </si>
  <si>
    <t>C333</t>
  </si>
  <si>
    <t>E333</t>
  </si>
  <si>
    <t>D335</t>
  </si>
  <si>
    <t>B336</t>
  </si>
  <si>
    <t>C336</t>
  </si>
  <si>
    <t>E336</t>
  </si>
  <si>
    <t>B344</t>
  </si>
  <si>
    <t>C344</t>
  </si>
  <si>
    <t>E344</t>
  </si>
  <si>
    <t>E346</t>
  </si>
  <si>
    <t>B353</t>
  </si>
  <si>
    <t>C353</t>
  </si>
  <si>
    <t>D353</t>
  </si>
  <si>
    <t>B355</t>
  </si>
  <si>
    <t>C355</t>
  </si>
  <si>
    <t>D355</t>
  </si>
  <si>
    <t>E355</t>
  </si>
  <si>
    <t>E356</t>
  </si>
  <si>
    <t>B358</t>
  </si>
  <si>
    <t>C358</t>
  </si>
  <si>
    <t>D358</t>
  </si>
  <si>
    <t>E358</t>
  </si>
  <si>
    <t>B359</t>
  </si>
  <si>
    <t>C359</t>
  </si>
  <si>
    <t>D359</t>
  </si>
  <si>
    <t>E361</t>
  </si>
  <si>
    <t>C363</t>
  </si>
  <si>
    <t>D363</t>
  </si>
  <si>
    <t>C364</t>
  </si>
  <si>
    <t>D364</t>
  </si>
  <si>
    <t>E364</t>
  </si>
  <si>
    <t>B368</t>
  </si>
  <si>
    <t>C368</t>
  </si>
  <si>
    <t>D368</t>
  </si>
  <si>
    <t>C369</t>
  </si>
  <si>
    <t>D369</t>
  </si>
  <si>
    <t>B372</t>
  </si>
  <si>
    <t>E372</t>
  </si>
  <si>
    <t>AR372</t>
  </si>
  <si>
    <t>B374</t>
  </si>
  <si>
    <t>E374</t>
  </si>
  <si>
    <t>AR374</t>
  </si>
  <si>
    <t>B376</t>
  </si>
  <si>
    <t>E376</t>
  </si>
  <si>
    <t>AR376</t>
  </si>
  <si>
    <t>B380</t>
  </si>
  <si>
    <t>E380</t>
  </si>
  <si>
    <t>AR380</t>
  </si>
  <si>
    <t>B382</t>
  </si>
  <si>
    <t>E382</t>
  </si>
  <si>
    <t>AR382</t>
  </si>
  <si>
    <t>AR384</t>
  </si>
  <si>
    <t>B385</t>
  </si>
  <si>
    <t>C385</t>
  </si>
  <si>
    <t>E385</t>
  </si>
  <si>
    <t>AR385</t>
  </si>
  <si>
    <t>B393</t>
  </si>
  <si>
    <t>C393</t>
  </si>
  <si>
    <t>D393</t>
  </si>
  <si>
    <t>E393</t>
  </si>
  <si>
    <t>B397</t>
  </si>
  <si>
    <t>D397</t>
  </si>
  <si>
    <t>E397</t>
  </si>
  <si>
    <t>D398</t>
  </si>
  <si>
    <t>E398</t>
  </si>
  <si>
    <t>D399</t>
  </si>
  <si>
    <t>E399</t>
  </si>
  <si>
    <t>B401</t>
  </si>
  <si>
    <t>D401</t>
  </si>
  <si>
    <t>E401</t>
  </si>
  <si>
    <t>B410</t>
  </si>
  <si>
    <t>C410</t>
  </si>
  <si>
    <t>D410</t>
  </si>
  <si>
    <t>D411</t>
  </si>
  <si>
    <t>B414</t>
  </si>
  <si>
    <t>C414</t>
  </si>
  <si>
    <t>E414</t>
  </si>
  <si>
    <t>C416</t>
  </si>
  <si>
    <t>D416</t>
  </si>
  <si>
    <t>E416</t>
  </si>
  <si>
    <t>C417</t>
  </si>
  <si>
    <t>D417</t>
  </si>
  <si>
    <t>E417</t>
  </si>
  <si>
    <t>C418</t>
  </si>
  <si>
    <t>D418</t>
  </si>
  <si>
    <t>E418</t>
  </si>
  <si>
    <t>C419</t>
  </si>
  <si>
    <t>D419</t>
  </si>
  <si>
    <t>E419</t>
  </si>
  <si>
    <t>C420</t>
  </si>
  <si>
    <t>D420</t>
  </si>
  <si>
    <t>E420</t>
  </si>
  <si>
    <t>C421</t>
  </si>
  <si>
    <t>D421</t>
  </si>
  <si>
    <t>E421</t>
  </si>
  <si>
    <t>C423</t>
  </si>
  <si>
    <t>D423</t>
  </si>
  <si>
    <t>E423</t>
  </si>
  <si>
    <t>C425</t>
  </si>
  <si>
    <t>D425</t>
  </si>
  <si>
    <t>E425</t>
  </si>
  <si>
    <t>E427</t>
  </si>
  <si>
    <t>E428</t>
  </si>
  <si>
    <t>E431</t>
  </si>
  <si>
    <t>B542</t>
  </si>
  <si>
    <t>C542</t>
  </si>
  <si>
    <t>D542</t>
  </si>
  <si>
    <t>B543</t>
  </si>
  <si>
    <t>C543</t>
  </si>
  <si>
    <t>D543</t>
  </si>
  <si>
    <t>E548</t>
  </si>
  <si>
    <t>E550</t>
  </si>
  <si>
    <t>E551</t>
  </si>
  <si>
    <t>E552</t>
  </si>
  <si>
    <t>E554</t>
  </si>
  <si>
    <t>B555</t>
  </si>
  <si>
    <t>C555</t>
  </si>
  <si>
    <t>D555</t>
  </si>
  <si>
    <t>E555</t>
  </si>
  <si>
    <t>B556</t>
  </si>
  <si>
    <t>C556</t>
  </si>
  <si>
    <t>D556</t>
  </si>
  <si>
    <t>E556</t>
  </si>
  <si>
    <t>B560</t>
  </si>
  <si>
    <t>C560</t>
  </si>
  <si>
    <t>D560</t>
  </si>
  <si>
    <t>E560</t>
  </si>
  <si>
    <t>B561</t>
  </si>
  <si>
    <t>C561</t>
  </si>
  <si>
    <t>D561</t>
  </si>
  <si>
    <t>E561</t>
  </si>
  <si>
    <t>B562</t>
  </si>
  <si>
    <t>C562</t>
  </si>
  <si>
    <t>D562</t>
  </si>
  <si>
    <t>E562</t>
  </si>
  <si>
    <t>B563</t>
  </si>
  <si>
    <t>C563</t>
  </si>
  <si>
    <t>D563</t>
  </si>
  <si>
    <t>E563</t>
  </si>
  <si>
    <t>B570</t>
  </si>
  <si>
    <t>C570</t>
  </si>
  <si>
    <t>D570</t>
  </si>
  <si>
    <t>AR573</t>
  </si>
  <si>
    <t>AR574</t>
  </si>
  <si>
    <t>B583</t>
  </si>
  <si>
    <t>C583</t>
  </si>
  <si>
    <t>D583</t>
  </si>
  <si>
    <t>AR583</t>
  </si>
  <si>
    <t>B584</t>
  </si>
  <si>
    <t>C584</t>
  </si>
  <si>
    <t>D584</t>
  </si>
  <si>
    <t>E605</t>
  </si>
  <si>
    <t>E607</t>
  </si>
  <si>
    <t>E608</t>
  </si>
  <si>
    <t>E618</t>
  </si>
  <si>
    <t>E620</t>
  </si>
  <si>
    <t>E622</t>
  </si>
  <si>
    <t>E626</t>
  </si>
  <si>
    <t>C627</t>
  </si>
  <si>
    <t>C628</t>
  </si>
  <si>
    <t>D644</t>
  </si>
  <si>
    <t>B653</t>
  </si>
  <si>
    <t>C653</t>
  </si>
  <si>
    <t>D653</t>
  </si>
  <si>
    <t>E653</t>
  </si>
  <si>
    <t>B654</t>
  </si>
  <si>
    <t>C654</t>
  </si>
  <si>
    <t>D654</t>
  </si>
  <si>
    <t>E654</t>
  </si>
  <si>
    <t>B655</t>
  </si>
  <si>
    <t>C655</t>
  </si>
  <si>
    <t>D655</t>
  </si>
  <si>
    <t>E655</t>
  </si>
  <si>
    <t>B656</t>
  </si>
  <si>
    <t>C656</t>
  </si>
  <si>
    <t>D656</t>
  </si>
  <si>
    <t>E656</t>
  </si>
  <si>
    <t>B657</t>
  </si>
  <si>
    <t>C657</t>
  </si>
  <si>
    <t>D657</t>
  </si>
  <si>
    <t>E657</t>
  </si>
  <si>
    <t>B658</t>
  </si>
  <si>
    <t>C658</t>
  </si>
  <si>
    <t>D658</t>
  </si>
  <si>
    <t>E658</t>
  </si>
  <si>
    <t>B659</t>
  </si>
  <si>
    <t>C659</t>
  </si>
  <si>
    <t>D659</t>
  </si>
  <si>
    <t>E659</t>
  </si>
  <si>
    <t>B660</t>
  </si>
  <si>
    <t>C660</t>
  </si>
  <si>
    <t>E660</t>
  </si>
  <si>
    <t>B661</t>
  </si>
  <si>
    <t>C661</t>
  </si>
  <si>
    <t>D661</t>
  </si>
  <si>
    <t>E661</t>
  </si>
  <si>
    <t>B662</t>
  </si>
  <si>
    <t>C662</t>
  </si>
  <si>
    <t>D662</t>
  </si>
  <si>
    <t>E662</t>
  </si>
  <si>
    <t>B663</t>
  </si>
  <si>
    <t>C663</t>
  </si>
  <si>
    <t>D663</t>
  </si>
  <si>
    <t>E663</t>
  </si>
  <si>
    <t>B664</t>
  </si>
  <si>
    <t>C664</t>
  </si>
  <si>
    <t>D664</t>
  </si>
  <si>
    <t>E664</t>
  </si>
  <si>
    <t>B665</t>
  </si>
  <si>
    <t>C665</t>
  </si>
  <si>
    <t>D665</t>
  </si>
  <si>
    <t>E665</t>
  </si>
  <si>
    <t>B666</t>
  </si>
  <si>
    <t>C666</t>
  </si>
  <si>
    <t>D666</t>
  </si>
  <si>
    <t>E666</t>
  </si>
  <si>
    <t>B667</t>
  </si>
  <si>
    <t>C667</t>
  </si>
  <si>
    <t>D667</t>
  </si>
  <si>
    <t>E667</t>
  </si>
  <si>
    <t>B668</t>
  </si>
  <si>
    <t>C668</t>
  </si>
  <si>
    <t>D668</t>
  </si>
  <si>
    <t>E668</t>
  </si>
  <si>
    <r>
      <t>kgCO</t>
    </r>
    <r>
      <rPr>
        <b/>
        <vertAlign val="subscript"/>
        <sz val="14"/>
        <color rgb="FFFFFFFF"/>
        <rFont val="Arial"/>
        <family val="2"/>
      </rPr>
      <t>2</t>
    </r>
    <r>
      <rPr>
        <b/>
        <sz val="14"/>
        <color rgb="FFFFFFFF"/>
        <rFont val="Arial"/>
        <family val="2"/>
      </rPr>
      <t>e EMISSIONS SUBTOTAL FOR FOUNDATION FOOTINGS &amp; SLAB</t>
    </r>
  </si>
  <si>
    <r>
      <t>kgCO</t>
    </r>
    <r>
      <rPr>
        <b/>
        <vertAlign val="subscript"/>
        <sz val="14"/>
        <color rgb="FFFFFFFF"/>
        <rFont val="Arial"/>
        <family val="2"/>
      </rPr>
      <t>2</t>
    </r>
    <r>
      <rPr>
        <b/>
        <sz val="14"/>
        <color rgb="FFFFFFFF"/>
        <rFont val="Arial"/>
        <family val="2"/>
      </rPr>
      <t xml:space="preserve"> STORAGE</t>
    </r>
  </si>
  <si>
    <r>
      <t>NET kgCO</t>
    </r>
    <r>
      <rPr>
        <b/>
        <vertAlign val="subscript"/>
        <sz val="14"/>
        <color theme="1"/>
        <rFont val="Arial"/>
        <family val="2"/>
      </rPr>
      <t>2</t>
    </r>
    <r>
      <rPr>
        <b/>
        <sz val="14"/>
        <color theme="1"/>
        <rFont val="Arial"/>
        <family val="2"/>
      </rPr>
      <t>e EMISSIONS</t>
    </r>
  </si>
  <si>
    <r>
      <t>SELECTED MATERIAL kgCO</t>
    </r>
    <r>
      <rPr>
        <b/>
        <vertAlign val="subscript"/>
        <sz val="14"/>
        <color theme="1"/>
        <rFont val="Arial"/>
        <family val="2"/>
      </rPr>
      <t>2</t>
    </r>
    <r>
      <rPr>
        <b/>
        <sz val="14"/>
        <color theme="1"/>
        <rFont val="Arial"/>
        <family val="2"/>
      </rPr>
      <t>e CONTENT</t>
    </r>
  </si>
  <si>
    <r>
      <t>kgCO</t>
    </r>
    <r>
      <rPr>
        <b/>
        <vertAlign val="subscript"/>
        <sz val="14"/>
        <color rgb="FFFFFFFF"/>
        <rFont val="Arial"/>
        <family val="2"/>
      </rPr>
      <t>2</t>
    </r>
    <r>
      <rPr>
        <b/>
        <sz val="14"/>
        <color rgb="FFFFFFFF"/>
        <rFont val="Arial"/>
        <family val="2"/>
      </rPr>
      <t>e STORAGE SUBTOTAL FOR FOUNDATION FOOTINGS &amp; SLAB</t>
    </r>
  </si>
  <si>
    <r>
      <t>Storage
tonnes CO</t>
    </r>
    <r>
      <rPr>
        <b/>
        <vertAlign val="subscript"/>
        <sz val="7"/>
        <color theme="1"/>
        <rFont val="Arial"/>
        <family val="2"/>
      </rPr>
      <t>2</t>
    </r>
  </si>
  <si>
    <r>
      <t>STORAGE
[kg CO</t>
    </r>
    <r>
      <rPr>
        <b/>
        <vertAlign val="subscript"/>
        <sz val="14"/>
        <color theme="0"/>
        <rFont val="Arial"/>
        <family val="2"/>
      </rPr>
      <t>2</t>
    </r>
    <r>
      <rPr>
        <b/>
        <sz val="14"/>
        <color theme="0"/>
        <rFont val="Arial"/>
        <family val="2"/>
      </rPr>
      <t>e]</t>
    </r>
  </si>
  <si>
    <t>Biogenic Storage Short/Long Cycle kgCO2/unit</t>
  </si>
  <si>
    <t>CARBON</t>
  </si>
  <si>
    <t>Highest storage</t>
  </si>
  <si>
    <t xml:space="preserve">  Note</t>
  </si>
  <si>
    <t>Row #</t>
  </si>
  <si>
    <t>Does proudct match province</t>
  </si>
  <si>
    <t>Product's province</t>
  </si>
  <si>
    <t>Quebec, Québec</t>
  </si>
  <si>
    <t>New Brunswick, Nouveau-Brunswick</t>
  </si>
  <si>
    <t>Alberta, Saskatchewan</t>
  </si>
  <si>
    <t>British Columbia, Colombie-Britannique, Yukon</t>
  </si>
  <si>
    <t>Ontario, Manitoba, Northwest Territories, Territoires du Nord-Ouest, Nunavut</t>
  </si>
  <si>
    <t>Newfoundland and Labrador, Terre-Neuve-et-Labrador, Prince Edward Island, Île-du-Prince-Édouard, Nova Scotia, Nouvelle-Écosse</t>
  </si>
  <si>
    <t>About the table on the right &gt;&gt;</t>
  </si>
  <si>
    <t>msgWNK</t>
  </si>
  <si>
    <t>msgWNL</t>
  </si>
  <si>
    <t>All data on the “SCENARIOS” tab will be lost.  Do you want to proceed? </t>
  </si>
  <si>
    <t xml:space="preserve">This action will delete all data on this sheet, including notes in column &lt;~note_column~&gt;.  Do you want to proceed? </t>
  </si>
  <si>
    <t>Restoring this scenario will delete all data from all assembly tabs, including notes in column &lt;~note_column~&gt;. Do you want to proceed? </t>
  </si>
  <si>
    <t>Cette action supprimera toutes les données de cette feuille, y compris les notes de la colonne &lt;~note_column~&gt;. Voulez-vous continuer ?</t>
  </si>
  <si>
    <t>La restauration de ce scénario supprimera toutes les données de tous les onglets d’assemblage, y compris les notes de la colonne &lt;~note_column~&gt;. Voulez-vous continuer ?</t>
  </si>
  <si>
    <t>(ARCHIVED 2025) SIP panel - EPS foam core</t>
  </si>
  <si>
    <r>
      <t>kgCO</t>
    </r>
    <r>
      <rPr>
        <b/>
        <vertAlign val="subscript"/>
        <sz val="14"/>
        <color rgb="FFFFFFFF"/>
        <rFont val="Arial"/>
        <family val="2"/>
      </rPr>
      <t>2</t>
    </r>
    <r>
      <rPr>
        <b/>
        <sz val="14"/>
        <color rgb="FFFFFFFF"/>
        <rFont val="Arial"/>
        <family val="2"/>
      </rPr>
      <t>e EMISSIONS SUBTOTAL FOR FOUNDATION WALLS</t>
    </r>
  </si>
  <si>
    <r>
      <t>kgCO</t>
    </r>
    <r>
      <rPr>
        <b/>
        <vertAlign val="subscript"/>
        <sz val="14"/>
        <color rgb="FFFFFFFF"/>
        <rFont val="Arial"/>
        <family val="2"/>
      </rPr>
      <t>2</t>
    </r>
    <r>
      <rPr>
        <b/>
        <sz val="14"/>
        <color rgb="FFFFFFFF"/>
        <rFont val="Arial"/>
        <family val="2"/>
      </rPr>
      <t>e STORAGE SUBTOTAL FOR FOUNDATION WALLS</t>
    </r>
  </si>
  <si>
    <r>
      <t>kgCO</t>
    </r>
    <r>
      <rPr>
        <b/>
        <vertAlign val="subscript"/>
        <sz val="14"/>
        <color rgb="FFFFFFFF"/>
        <rFont val="Arial"/>
        <family val="2"/>
      </rPr>
      <t>2</t>
    </r>
    <r>
      <rPr>
        <b/>
        <sz val="14"/>
        <color rgb="FFFFFFFF"/>
        <rFont val="Arial"/>
        <family val="2"/>
      </rPr>
      <t>e STORAGE SUBTOTAL FOR USER-DEFINED MATERIALS</t>
    </r>
  </si>
  <si>
    <r>
      <t>kgCO</t>
    </r>
    <r>
      <rPr>
        <b/>
        <vertAlign val="subscript"/>
        <sz val="14"/>
        <color rgb="FFFFFFFF"/>
        <rFont val="Arial"/>
        <family val="2"/>
      </rPr>
      <t>2</t>
    </r>
    <r>
      <rPr>
        <b/>
        <sz val="14"/>
        <color rgb="FFFFFFFF"/>
        <rFont val="Arial"/>
        <family val="2"/>
      </rPr>
      <t>e EMISSIONS SUBTOTAL FOR EXTERIOR WALLS</t>
    </r>
  </si>
  <si>
    <r>
      <t>kgCO</t>
    </r>
    <r>
      <rPr>
        <b/>
        <vertAlign val="subscript"/>
        <sz val="14"/>
        <color rgb="FFFFFFFF"/>
        <rFont val="Arial"/>
        <family val="2"/>
      </rPr>
      <t>2</t>
    </r>
    <r>
      <rPr>
        <b/>
        <sz val="14"/>
        <color rgb="FFFFFFFF"/>
        <rFont val="Arial"/>
        <family val="2"/>
      </rPr>
      <t>e EMISSIONS SUBTOTAL FOR EXTERIOR WALL SYSTEMS</t>
    </r>
  </si>
  <si>
    <r>
      <t>kgCO</t>
    </r>
    <r>
      <rPr>
        <b/>
        <vertAlign val="subscript"/>
        <sz val="14"/>
        <color rgb="FFFFFFFF"/>
        <rFont val="Arial"/>
        <family val="2"/>
      </rPr>
      <t>2</t>
    </r>
    <r>
      <rPr>
        <b/>
        <sz val="14"/>
        <color rgb="FFFFFFFF"/>
        <rFont val="Arial"/>
        <family val="2"/>
      </rPr>
      <t>e EMISSIONS SUBTOTAL FOR PARTY WALLS</t>
    </r>
  </si>
  <si>
    <r>
      <t>kgCO</t>
    </r>
    <r>
      <rPr>
        <b/>
        <vertAlign val="subscript"/>
        <sz val="14"/>
        <color rgb="FFFFFFFF"/>
        <rFont val="Arial"/>
        <family val="2"/>
      </rPr>
      <t>2</t>
    </r>
    <r>
      <rPr>
        <b/>
        <sz val="14"/>
        <color rgb="FFFFFFFF"/>
        <rFont val="Arial"/>
        <family val="2"/>
      </rPr>
      <t>e EMISSIONS SUBTOTAL FOR EXTERIOR WALLS CLADDING</t>
    </r>
  </si>
  <si>
    <r>
      <t>kgCO</t>
    </r>
    <r>
      <rPr>
        <b/>
        <vertAlign val="subscript"/>
        <sz val="14"/>
        <color rgb="FFFFFFFF"/>
        <rFont val="Arial"/>
        <family val="2"/>
      </rPr>
      <t>2</t>
    </r>
    <r>
      <rPr>
        <b/>
        <sz val="14"/>
        <color rgb="FFFFFFFF"/>
        <rFont val="Arial"/>
        <family val="2"/>
      </rPr>
      <t>e EMISSIONS SUBTOTAL FOR ROOF</t>
    </r>
  </si>
  <si>
    <r>
      <t>kgCO</t>
    </r>
    <r>
      <rPr>
        <b/>
        <vertAlign val="subscript"/>
        <sz val="14"/>
        <color rgb="FFFFFFFF"/>
        <rFont val="Arial"/>
        <family val="2"/>
      </rPr>
      <t>2</t>
    </r>
    <r>
      <rPr>
        <b/>
        <sz val="14"/>
        <color rgb="FFFFFFFF"/>
        <rFont val="Arial"/>
        <family val="2"/>
      </rPr>
      <t>e EMISSIONS SUBTOTAL FOR INTERIOR WALLS</t>
    </r>
  </si>
  <si>
    <r>
      <t>kgCO</t>
    </r>
    <r>
      <rPr>
        <b/>
        <vertAlign val="subscript"/>
        <sz val="14"/>
        <color rgb="FFFFFFFF"/>
        <rFont val="Arial"/>
        <family val="2"/>
      </rPr>
      <t>2</t>
    </r>
    <r>
      <rPr>
        <b/>
        <sz val="14"/>
        <color rgb="FFFFFFFF"/>
        <rFont val="Arial"/>
        <family val="2"/>
      </rPr>
      <t>e EMISSIONS SUBTOTAL FOR FLOORS</t>
    </r>
  </si>
  <si>
    <r>
      <t>kgCO</t>
    </r>
    <r>
      <rPr>
        <b/>
        <vertAlign val="subscript"/>
        <sz val="14"/>
        <color rgb="FFFFFFFF"/>
        <rFont val="Arial"/>
        <family val="2"/>
      </rPr>
      <t>2</t>
    </r>
    <r>
      <rPr>
        <b/>
        <sz val="14"/>
        <color rgb="FFFFFFFF"/>
        <rFont val="Arial"/>
        <family val="2"/>
      </rPr>
      <t>e EMISSIONS SUBTOTAL FOR CEILINGS</t>
    </r>
  </si>
  <si>
    <r>
      <t>kgCO</t>
    </r>
    <r>
      <rPr>
        <b/>
        <vertAlign val="subscript"/>
        <sz val="14"/>
        <color rgb="FFFFFFFF"/>
        <rFont val="Arial"/>
        <family val="2"/>
      </rPr>
      <t>2</t>
    </r>
    <r>
      <rPr>
        <b/>
        <sz val="14"/>
        <color rgb="FFFFFFFF"/>
        <rFont val="Arial"/>
        <family val="2"/>
      </rPr>
      <t>e EMISSIONS SUBTOTAL FOR GARAGE</t>
    </r>
  </si>
  <si>
    <r>
      <t>kgCO</t>
    </r>
    <r>
      <rPr>
        <b/>
        <vertAlign val="subscript"/>
        <sz val="14"/>
        <color rgb="FFFFFFFF"/>
        <rFont val="Arial"/>
        <family val="2"/>
      </rPr>
      <t>2</t>
    </r>
    <r>
      <rPr>
        <b/>
        <sz val="14"/>
        <color rgb="FFFFFFFF"/>
        <rFont val="Arial"/>
        <family val="2"/>
      </rPr>
      <t>e EMISSIONS SUBTOTAL FOR USER-DEFINED MATERIALS</t>
    </r>
  </si>
  <si>
    <r>
      <t>kgCO</t>
    </r>
    <r>
      <rPr>
        <b/>
        <vertAlign val="subscript"/>
        <sz val="14"/>
        <color rgb="FFFFFFFF"/>
        <rFont val="Arial"/>
        <family val="2"/>
      </rPr>
      <t>2</t>
    </r>
    <r>
      <rPr>
        <b/>
        <sz val="14"/>
        <color rgb="FFFFFFFF"/>
        <rFont val="Arial"/>
        <family val="2"/>
      </rPr>
      <t>e STORAGE SUBTOTAL FOR GARAGE</t>
    </r>
  </si>
  <si>
    <r>
      <t>kgCO</t>
    </r>
    <r>
      <rPr>
        <b/>
        <vertAlign val="subscript"/>
        <sz val="14"/>
        <color rgb="FFFFFFFF"/>
        <rFont val="Arial"/>
        <family val="2"/>
      </rPr>
      <t>2</t>
    </r>
    <r>
      <rPr>
        <b/>
        <sz val="14"/>
        <color rgb="FFFFFFFF"/>
        <rFont val="Arial"/>
        <family val="2"/>
      </rPr>
      <t>e STORAGE SUBTOTAL FOR CEILINGS</t>
    </r>
  </si>
  <si>
    <r>
      <t>kgCO</t>
    </r>
    <r>
      <rPr>
        <b/>
        <vertAlign val="subscript"/>
        <sz val="14"/>
        <color rgb="FFFFFFFF"/>
        <rFont val="Arial"/>
        <family val="2"/>
      </rPr>
      <t>2</t>
    </r>
    <r>
      <rPr>
        <b/>
        <sz val="14"/>
        <color rgb="FFFFFFFF"/>
        <rFont val="Arial"/>
        <family val="2"/>
      </rPr>
      <t>e STORAGE SUBTOTAL FOR FLOORS</t>
    </r>
  </si>
  <si>
    <r>
      <t>kgCO</t>
    </r>
    <r>
      <rPr>
        <b/>
        <vertAlign val="subscript"/>
        <sz val="14"/>
        <color rgb="FFFFFFFF"/>
        <rFont val="Arial"/>
        <family val="2"/>
      </rPr>
      <t>2</t>
    </r>
    <r>
      <rPr>
        <b/>
        <sz val="14"/>
        <color rgb="FFFFFFFF"/>
        <rFont val="Arial"/>
        <family val="2"/>
      </rPr>
      <t>e STORAGE SUBTOTAL FOR  INTERIOR WALLS</t>
    </r>
  </si>
  <si>
    <r>
      <t>kgCO</t>
    </r>
    <r>
      <rPr>
        <b/>
        <vertAlign val="subscript"/>
        <sz val="14"/>
        <color rgb="FFFFFFFF"/>
        <rFont val="Arial"/>
        <family val="2"/>
      </rPr>
      <t>2</t>
    </r>
    <r>
      <rPr>
        <b/>
        <sz val="14"/>
        <color rgb="FFFFFFFF"/>
        <rFont val="Arial"/>
        <family val="2"/>
      </rPr>
      <t>e STORAGE SUBTOTAL FOR WINDOWS</t>
    </r>
  </si>
  <si>
    <r>
      <t>kgCO</t>
    </r>
    <r>
      <rPr>
        <b/>
        <vertAlign val="subscript"/>
        <sz val="14"/>
        <color rgb="FFFFFFFF"/>
        <rFont val="Arial"/>
        <family val="2"/>
      </rPr>
      <t>2</t>
    </r>
    <r>
      <rPr>
        <b/>
        <sz val="14"/>
        <color rgb="FFFFFFFF"/>
        <rFont val="Arial"/>
        <family val="2"/>
      </rPr>
      <t>e STORAGE SUBTOTAL FOR ROOF</t>
    </r>
  </si>
  <si>
    <r>
      <t>kgCO</t>
    </r>
    <r>
      <rPr>
        <b/>
        <vertAlign val="subscript"/>
        <sz val="14"/>
        <color rgb="FFFFFFFF"/>
        <rFont val="Arial"/>
        <family val="2"/>
      </rPr>
      <t>2</t>
    </r>
    <r>
      <rPr>
        <b/>
        <sz val="14"/>
        <color rgb="FFFFFFFF"/>
        <rFont val="Arial"/>
        <family val="2"/>
      </rPr>
      <t>e STORAGE SUBTOTAL FOR PARTY WALLS</t>
    </r>
  </si>
  <si>
    <r>
      <t>kgCO</t>
    </r>
    <r>
      <rPr>
        <b/>
        <vertAlign val="subscript"/>
        <sz val="14"/>
        <color rgb="FFFFFFFF"/>
        <rFont val="Arial"/>
        <family val="2"/>
      </rPr>
      <t>2</t>
    </r>
    <r>
      <rPr>
        <b/>
        <sz val="14"/>
        <color rgb="FFFFFFFF"/>
        <rFont val="Arial"/>
        <family val="2"/>
      </rPr>
      <t>e STORAGE SUBTOTAL FOR EXTERIOR WALLS CLADDING</t>
    </r>
  </si>
  <si>
    <r>
      <t>kgCO</t>
    </r>
    <r>
      <rPr>
        <b/>
        <vertAlign val="subscript"/>
        <sz val="14"/>
        <color rgb="FFFFFFFF"/>
        <rFont val="Arial"/>
        <family val="2"/>
      </rPr>
      <t>2</t>
    </r>
    <r>
      <rPr>
        <b/>
        <sz val="14"/>
        <color rgb="FFFFFFFF"/>
        <rFont val="Arial"/>
        <family val="2"/>
      </rPr>
      <t>e STORAGE SUBTOTAL FOR EXTERIOR WALL SYSTEMS</t>
    </r>
  </si>
  <si>
    <r>
      <t>kgCO</t>
    </r>
    <r>
      <rPr>
        <b/>
        <vertAlign val="subscript"/>
        <sz val="14"/>
        <color rgb="FFFFFFFF"/>
        <rFont val="Arial"/>
        <family val="2"/>
      </rPr>
      <t>2</t>
    </r>
    <r>
      <rPr>
        <b/>
        <sz val="14"/>
        <color rgb="FFFFFFFF"/>
        <rFont val="Arial"/>
        <family val="2"/>
      </rPr>
      <t>e STORAGE SUBTOTAL FOR EXTERIOR WALLS</t>
    </r>
  </si>
  <si>
    <r>
      <t>kgCO</t>
    </r>
    <r>
      <rPr>
        <b/>
        <vertAlign val="subscript"/>
        <sz val="14"/>
        <color rgb="FFFFFFFF"/>
        <rFont val="Arial"/>
        <family val="2"/>
      </rPr>
      <t>2</t>
    </r>
    <r>
      <rPr>
        <b/>
        <sz val="14"/>
        <color rgb="FFFFFFFF"/>
        <rFont val="Arial"/>
        <family val="2"/>
      </rPr>
      <t>e EMISSIONS SUBTOTAL FOR HEAVY STRUCTURE ELEMENTS</t>
    </r>
  </si>
  <si>
    <r>
      <t>kgCO</t>
    </r>
    <r>
      <rPr>
        <b/>
        <vertAlign val="subscript"/>
        <sz val="14"/>
        <color rgb="FFFFFFFF"/>
        <rFont val="Arial"/>
        <family val="2"/>
      </rPr>
      <t>2</t>
    </r>
    <r>
      <rPr>
        <b/>
        <sz val="14"/>
        <color rgb="FFFFFFFF"/>
        <rFont val="Arial"/>
        <family val="2"/>
      </rPr>
      <t>e STORAGE SUBTOTAL FOR HEAVY STRUCTURE ELEMENTS</t>
    </r>
  </si>
  <si>
    <r>
      <t>INSTRUCTIONS:</t>
    </r>
    <r>
      <rPr>
        <sz val="14"/>
        <rFont val="Arial"/>
        <family val="2"/>
      </rPr>
      <t xml:space="preserve"> (double-click)</t>
    </r>
    <r>
      <rPr>
        <b/>
        <sz val="14"/>
        <rFont val="Arial"/>
        <family val="2"/>
      </rPr>
      <t xml:space="preserve">
</t>
    </r>
    <r>
      <rPr>
        <sz val="14"/>
        <rFont val="Arial"/>
        <family val="2"/>
      </rPr>
      <t xml:space="preserve">The </t>
    </r>
    <r>
      <rPr>
        <b/>
        <sz val="14"/>
        <rFont val="Arial"/>
        <family val="2"/>
      </rPr>
      <t>NET kgCO</t>
    </r>
    <r>
      <rPr>
        <b/>
        <vertAlign val="subscript"/>
        <sz val="14"/>
        <rFont val="Arial"/>
        <family val="2"/>
      </rPr>
      <t>2</t>
    </r>
    <r>
      <rPr>
        <b/>
        <sz val="14"/>
        <rFont val="Arial"/>
        <family val="2"/>
      </rPr>
      <t>e EMISSIONS</t>
    </r>
    <r>
      <rPr>
        <sz val="14"/>
        <rFont val="Arial"/>
        <family val="2"/>
      </rPr>
      <t xml:space="preserve"> column (Col. I) shows the global warming potential (GWP) of each material based on the information provided. </t>
    </r>
    <r>
      <rPr>
        <b/>
        <sz val="14"/>
        <rFont val="Arial"/>
        <family val="2"/>
      </rPr>
      <t xml:space="preserve">
</t>
    </r>
    <r>
      <rPr>
        <sz val="14"/>
        <rFont val="Arial"/>
        <family val="2"/>
      </rPr>
      <t xml:space="preserve">You must specify the </t>
    </r>
    <r>
      <rPr>
        <b/>
        <sz val="14"/>
        <rFont val="Arial"/>
        <family val="2"/>
      </rPr>
      <t>R-VALUE</t>
    </r>
    <r>
      <rPr>
        <sz val="14"/>
        <rFont val="Arial"/>
        <family val="2"/>
      </rPr>
      <t xml:space="preserve">, </t>
    </r>
    <r>
      <rPr>
        <b/>
        <sz val="14"/>
        <rFont val="Arial"/>
        <family val="2"/>
      </rPr>
      <t>THICKNESS</t>
    </r>
    <r>
      <rPr>
        <sz val="14"/>
        <rFont val="Arial"/>
        <family val="2"/>
      </rPr>
      <t xml:space="preserve">, </t>
    </r>
    <r>
      <rPr>
        <b/>
        <sz val="14"/>
        <rFont val="Arial"/>
        <family val="2"/>
      </rPr>
      <t>FRAMING SPACING</t>
    </r>
    <r>
      <rPr>
        <sz val="14"/>
        <rFont val="Arial"/>
        <family val="2"/>
      </rPr>
      <t xml:space="preserve"> or any other required information in areas highlighted in</t>
    </r>
    <r>
      <rPr>
        <b/>
        <sz val="14"/>
        <rFont val="Arial"/>
        <family val="2"/>
      </rPr>
      <t xml:space="preserve"> YELLOW.
</t>
    </r>
    <r>
      <rPr>
        <sz val="14"/>
        <rFont val="Arial"/>
        <family val="2"/>
      </rPr>
      <t xml:space="preserve">Enter "1" in the </t>
    </r>
    <r>
      <rPr>
        <b/>
        <sz val="14"/>
        <rFont val="Arial"/>
        <family val="2"/>
      </rPr>
      <t>SELECT</t>
    </r>
    <r>
      <rPr>
        <sz val="14"/>
        <rFont val="Arial"/>
        <family val="2"/>
      </rPr>
      <t xml:space="preserve"> column (Col. H) to add each material to your building. The net carbon emissions for the selected material will be highlighted in</t>
    </r>
    <r>
      <rPr>
        <b/>
        <sz val="14"/>
        <rFont val="Arial"/>
        <family val="2"/>
      </rPr>
      <t xml:space="preserve"> ORANGE. 
</t>
    </r>
    <r>
      <rPr>
        <sz val="14"/>
        <rFont val="Arial"/>
        <family val="2"/>
      </rPr>
      <t>Use the percentage values cell (Col. G) if necessary to adjust the material quantity present in the building</t>
    </r>
    <r>
      <rPr>
        <b/>
        <sz val="14"/>
        <rFont val="Arial"/>
        <family val="2"/>
      </rPr>
      <t xml:space="preserve">. 
</t>
    </r>
    <r>
      <rPr>
        <sz val="14"/>
        <rFont val="Arial"/>
        <family val="2"/>
      </rPr>
      <t xml:space="preserve">The carbon footprint of each selection will be added to the section </t>
    </r>
    <r>
      <rPr>
        <b/>
        <sz val="14"/>
        <rFont val="Arial"/>
        <family val="2"/>
      </rPr>
      <t>SUBTOTAL (top of Col. M)</t>
    </r>
    <r>
      <rPr>
        <sz val="14"/>
        <rFont val="Arial"/>
        <family val="2"/>
      </rPr>
      <t xml:space="preserve">  for this page, and for summary reporting.</t>
    </r>
  </si>
  <si>
    <r>
      <rPr>
        <b/>
        <sz val="14"/>
        <rFont val="Arial"/>
        <family val="2"/>
      </rPr>
      <t>INSTRUCTIONS :</t>
    </r>
    <r>
      <rPr>
        <sz val="14"/>
        <rFont val="Arial"/>
        <family val="2"/>
      </rPr>
      <t xml:space="preserve"> (double-cliquer)
La colonne  </t>
    </r>
    <r>
      <rPr>
        <b/>
        <sz val="14"/>
        <rFont val="Arial"/>
        <family val="2"/>
      </rPr>
      <t>ÉMISSIONS NETTES de kgCO</t>
    </r>
    <r>
      <rPr>
        <b/>
        <vertAlign val="subscript"/>
        <sz val="14"/>
        <rFont val="Arial"/>
        <family val="2"/>
      </rPr>
      <t>2</t>
    </r>
    <r>
      <rPr>
        <b/>
        <sz val="14"/>
        <rFont val="Arial"/>
        <family val="2"/>
      </rPr>
      <t>e</t>
    </r>
    <r>
      <rPr>
        <sz val="14"/>
        <rFont val="Arial"/>
        <family val="2"/>
      </rPr>
      <t xml:space="preserve">  (Col. I) indique le potentiel de réchauffement planétaire (PRP) de chaque matériau sur la base des informations fournies.
Vous devez spécifier la </t>
    </r>
    <r>
      <rPr>
        <b/>
        <sz val="14"/>
        <rFont val="Arial"/>
        <family val="2"/>
      </rPr>
      <t xml:space="preserve">VALEUR RE, L'ÉPAISSEUR, L'ESPACE DE CADRAGE </t>
    </r>
    <r>
      <rPr>
        <sz val="14"/>
        <rFont val="Arial"/>
        <family val="2"/>
      </rPr>
      <t xml:space="preserve">ou toute autre information requise dans les zones surlignées en </t>
    </r>
    <r>
      <rPr>
        <b/>
        <sz val="14"/>
        <rFont val="Arial"/>
        <family val="2"/>
      </rPr>
      <t>JAUNE.</t>
    </r>
    <r>
      <rPr>
        <sz val="14"/>
        <rFont val="Arial"/>
        <family val="2"/>
      </rPr>
      <t xml:space="preserve">
Entrez « 1 » dans la colonne </t>
    </r>
    <r>
      <rPr>
        <b/>
        <sz val="14"/>
        <rFont val="Arial"/>
        <family val="2"/>
      </rPr>
      <t xml:space="preserve">SÉLECTIONNER </t>
    </r>
    <r>
      <rPr>
        <sz val="14"/>
        <rFont val="Arial"/>
        <family val="2"/>
      </rPr>
      <t xml:space="preserve">(Col. H) pour ajouter chaque matériau à votre bâtiment. Les émissions nettes de carbone pour le matériau sélectionné seront mises en évidence en  </t>
    </r>
    <r>
      <rPr>
        <b/>
        <sz val="14"/>
        <rFont val="Arial"/>
        <family val="2"/>
      </rPr>
      <t>ORANGE.</t>
    </r>
    <r>
      <rPr>
        <sz val="14"/>
        <rFont val="Arial"/>
        <family val="2"/>
      </rPr>
      <t xml:space="preserve">
Utilisez la cellule des valeurs en pourcentage (Col. G) si nécessaire pour ajuster la quantité de matériaux présents dans le bâtiment.
L'empreinte carbone de chaque sélection sera ajoutée à la section </t>
    </r>
    <r>
      <rPr>
        <b/>
        <sz val="14"/>
        <rFont val="Arial"/>
        <family val="2"/>
      </rPr>
      <t>TOTAL PARTIEL</t>
    </r>
    <r>
      <rPr>
        <sz val="14"/>
        <rFont val="Arial"/>
        <family val="2"/>
      </rPr>
      <t xml:space="preserve"> (en haut de la Col. M) pour cette page et pour le rapport de synthèse.</t>
    </r>
  </si>
  <si>
    <r>
      <t>kgCO</t>
    </r>
    <r>
      <rPr>
        <b/>
        <vertAlign val="subscript"/>
        <sz val="14"/>
        <color rgb="FFFFFFFF"/>
        <rFont val="Arial"/>
        <family val="2"/>
      </rPr>
      <t>2</t>
    </r>
    <r>
      <rPr>
        <b/>
        <sz val="14"/>
        <color rgb="FFFFFFFF"/>
        <rFont val="Arial"/>
        <family val="2"/>
      </rPr>
      <t>e EMISSIONS SUBTOTAL FOR WINDOWS</t>
    </r>
  </si>
  <si>
    <r>
      <rPr>
        <b/>
        <sz val="14"/>
        <color theme="4" tint="-0.249977111117893"/>
        <rFont val="Arial"/>
        <family val="2"/>
      </rPr>
      <t>INSTRUCTIONS FOR ADDING A MATERIAL NOT IN THE DATABASE: 
(user must know all required information)</t>
    </r>
    <r>
      <rPr>
        <b/>
        <sz val="14"/>
        <rFont val="Arial"/>
        <family val="2"/>
      </rPr>
      <t xml:space="preserve">
</t>
    </r>
    <r>
      <rPr>
        <sz val="14"/>
        <rFont val="Arial"/>
        <family val="2"/>
      </rPr>
      <t xml:space="preserve">In a row with </t>
    </r>
    <r>
      <rPr>
        <b/>
        <sz val="14"/>
        <rFont val="Arial"/>
        <family val="2"/>
      </rPr>
      <t>CUSTOM</t>
    </r>
    <r>
      <rPr>
        <sz val="14"/>
        <rFont val="Arial"/>
        <family val="2"/>
      </rPr>
      <t xml:space="preserve"> as the category, </t>
    </r>
    <r>
      <rPr>
        <b/>
        <sz val="14"/>
        <rFont val="Arial"/>
        <family val="2"/>
      </rPr>
      <t>ENTER CUSTOM DATA</t>
    </r>
    <r>
      <rPr>
        <sz val="14"/>
        <rFont val="Arial"/>
        <family val="2"/>
      </rPr>
      <t xml:space="preserve"> into all </t>
    </r>
    <r>
      <rPr>
        <b/>
        <sz val="14"/>
        <rFont val="Arial"/>
        <family val="2"/>
      </rPr>
      <t>DARK YELLOW</t>
    </r>
    <r>
      <rPr>
        <sz val="14"/>
        <rFont val="Arial"/>
        <family val="2"/>
      </rPr>
      <t xml:space="preserve"> fields (</t>
    </r>
    <r>
      <rPr>
        <b/>
        <sz val="14"/>
        <rFont val="Arial"/>
        <family val="2"/>
      </rPr>
      <t>CATEGORY, MATERIAL, QUANITY, UNIT, %, kgCO</t>
    </r>
    <r>
      <rPr>
        <b/>
        <vertAlign val="subscript"/>
        <sz val="14"/>
        <rFont val="Arial"/>
        <family val="2"/>
      </rPr>
      <t>2</t>
    </r>
    <r>
      <rPr>
        <b/>
        <sz val="14"/>
        <rFont val="Arial"/>
        <family val="2"/>
      </rPr>
      <t>e EMISSIONS, kgCO</t>
    </r>
    <r>
      <rPr>
        <b/>
        <vertAlign val="subscript"/>
        <sz val="14"/>
        <rFont val="Arial"/>
        <family val="2"/>
      </rPr>
      <t>2</t>
    </r>
    <r>
      <rPr>
        <b/>
        <sz val="14"/>
        <rFont val="Arial"/>
        <family val="2"/>
      </rPr>
      <t>e STORAGE</t>
    </r>
    <r>
      <rPr>
        <sz val="14"/>
        <rFont val="Arial"/>
        <family val="2"/>
      </rPr>
      <t xml:space="preserve">). 
- Only use </t>
    </r>
    <r>
      <rPr>
        <b/>
        <sz val="14"/>
        <rFont val="Arial"/>
        <family val="2"/>
      </rPr>
      <t>A1-A3</t>
    </r>
    <r>
      <rPr>
        <sz val="14"/>
        <rFont val="Arial"/>
        <family val="2"/>
      </rPr>
      <t xml:space="preserve"> values from EPDs.
- Changing the category name does not move the entry to another building section total.</t>
    </r>
  </si>
  <si>
    <r>
      <t>Embodied Carbon per m</t>
    </r>
    <r>
      <rPr>
        <b/>
        <vertAlign val="superscript"/>
        <sz val="10"/>
        <color theme="1"/>
        <rFont val="Arial"/>
        <family val="2"/>
      </rPr>
      <t>2</t>
    </r>
    <r>
      <rPr>
        <b/>
        <sz val="10"/>
        <color theme="1"/>
        <rFont val="Arial"/>
        <family val="2"/>
      </rPr>
      <t xml:space="preserve"> (kg CO</t>
    </r>
    <r>
      <rPr>
        <b/>
        <vertAlign val="subscript"/>
        <sz val="10"/>
        <color theme="1"/>
        <rFont val="Arial"/>
        <family val="2"/>
      </rPr>
      <t>2</t>
    </r>
    <r>
      <rPr>
        <b/>
        <sz val="10"/>
        <color theme="1"/>
        <rFont val="Arial"/>
        <family val="2"/>
      </rPr>
      <t>e / m</t>
    </r>
    <r>
      <rPr>
        <b/>
        <vertAlign val="superscript"/>
        <sz val="10"/>
        <color theme="1"/>
        <rFont val="Arial"/>
        <family val="2"/>
      </rPr>
      <t>2</t>
    </r>
    <r>
      <rPr>
        <b/>
        <sz val="10"/>
        <color theme="1"/>
        <rFont val="Arial"/>
        <family val="2"/>
      </rPr>
      <t>)</t>
    </r>
  </si>
  <si>
    <r>
      <t>Footings &amp; Slabs (kg CO</t>
    </r>
    <r>
      <rPr>
        <b/>
        <vertAlign val="subscript"/>
        <sz val="10"/>
        <color theme="1"/>
        <rFont val="Arial"/>
        <family val="2"/>
      </rPr>
      <t>2</t>
    </r>
    <r>
      <rPr>
        <b/>
        <sz val="10"/>
        <color theme="1"/>
        <rFont val="Arial"/>
        <family val="2"/>
      </rPr>
      <t>e)</t>
    </r>
  </si>
  <si>
    <r>
      <t>Foundation Walls (kg CO</t>
    </r>
    <r>
      <rPr>
        <b/>
        <vertAlign val="subscript"/>
        <sz val="10"/>
        <color theme="1"/>
        <rFont val="Arial"/>
        <family val="2"/>
      </rPr>
      <t>2</t>
    </r>
    <r>
      <rPr>
        <b/>
        <sz val="10"/>
        <color theme="1"/>
        <rFont val="Arial"/>
        <family val="2"/>
      </rPr>
      <t>e)</t>
    </r>
  </si>
  <si>
    <r>
      <t>Structural Elements (kg CO</t>
    </r>
    <r>
      <rPr>
        <b/>
        <vertAlign val="subscript"/>
        <sz val="10"/>
        <color theme="1"/>
        <rFont val="Arial"/>
        <family val="2"/>
      </rPr>
      <t>2</t>
    </r>
    <r>
      <rPr>
        <b/>
        <sz val="10"/>
        <color theme="1"/>
        <rFont val="Arial"/>
        <family val="2"/>
      </rPr>
      <t>e)</t>
    </r>
  </si>
  <si>
    <r>
      <t>Ext. Walls (kg CO</t>
    </r>
    <r>
      <rPr>
        <b/>
        <vertAlign val="subscript"/>
        <sz val="10"/>
        <color theme="1"/>
        <rFont val="Arial"/>
        <family val="2"/>
      </rPr>
      <t>2</t>
    </r>
    <r>
      <rPr>
        <b/>
        <sz val="10"/>
        <color theme="1"/>
        <rFont val="Arial"/>
        <family val="2"/>
      </rPr>
      <t>e / m2)</t>
    </r>
  </si>
  <si>
    <r>
      <t>Ext. Wall Systems (kg CO</t>
    </r>
    <r>
      <rPr>
        <b/>
        <vertAlign val="subscript"/>
        <sz val="10"/>
        <color theme="1"/>
        <rFont val="Arial"/>
        <family val="2"/>
      </rPr>
      <t>2</t>
    </r>
    <r>
      <rPr>
        <b/>
        <sz val="10"/>
        <color theme="1"/>
        <rFont val="Arial"/>
        <family val="2"/>
      </rPr>
      <t>e)</t>
    </r>
  </si>
  <si>
    <r>
      <t>User-Defined (kg CO</t>
    </r>
    <r>
      <rPr>
        <b/>
        <vertAlign val="subscript"/>
        <sz val="10"/>
        <color theme="1"/>
        <rFont val="Arial"/>
        <family val="2"/>
      </rPr>
      <t>2</t>
    </r>
    <r>
      <rPr>
        <b/>
        <sz val="10"/>
        <color theme="1"/>
        <rFont val="Arial"/>
        <family val="2"/>
      </rPr>
      <t>e)</t>
    </r>
  </si>
  <si>
    <r>
      <t>Garage (kg CO</t>
    </r>
    <r>
      <rPr>
        <b/>
        <vertAlign val="subscript"/>
        <sz val="10"/>
        <color theme="1"/>
        <rFont val="Arial"/>
        <family val="2"/>
      </rPr>
      <t>2</t>
    </r>
    <r>
      <rPr>
        <b/>
        <sz val="10"/>
        <color theme="1"/>
        <rFont val="Arial"/>
        <family val="2"/>
      </rPr>
      <t>e)</t>
    </r>
  </si>
  <si>
    <r>
      <t>Roof (kg CO</t>
    </r>
    <r>
      <rPr>
        <b/>
        <vertAlign val="subscript"/>
        <sz val="10"/>
        <color theme="1"/>
        <rFont val="Arial"/>
        <family val="2"/>
      </rPr>
      <t>2</t>
    </r>
    <r>
      <rPr>
        <b/>
        <sz val="10"/>
        <color theme="1"/>
        <rFont val="Arial"/>
        <family val="2"/>
      </rPr>
      <t>e)</t>
    </r>
  </si>
  <si>
    <r>
      <t>Ceilings (kg CO</t>
    </r>
    <r>
      <rPr>
        <b/>
        <vertAlign val="subscript"/>
        <sz val="10"/>
        <color theme="1"/>
        <rFont val="Arial"/>
        <family val="2"/>
      </rPr>
      <t>2</t>
    </r>
    <r>
      <rPr>
        <b/>
        <sz val="10"/>
        <color theme="1"/>
        <rFont val="Arial"/>
        <family val="2"/>
      </rPr>
      <t>e)</t>
    </r>
  </si>
  <si>
    <r>
      <t>Floors (kg CO</t>
    </r>
    <r>
      <rPr>
        <b/>
        <vertAlign val="subscript"/>
        <sz val="10"/>
        <color theme="1"/>
        <rFont val="Arial"/>
        <family val="2"/>
      </rPr>
      <t>2</t>
    </r>
    <r>
      <rPr>
        <b/>
        <sz val="10"/>
        <color theme="1"/>
        <rFont val="Arial"/>
        <family val="2"/>
      </rPr>
      <t>e)</t>
    </r>
  </si>
  <si>
    <r>
      <t>Int. Walls (kg CO</t>
    </r>
    <r>
      <rPr>
        <b/>
        <vertAlign val="subscript"/>
        <sz val="10"/>
        <color theme="1"/>
        <rFont val="Arial"/>
        <family val="2"/>
      </rPr>
      <t>2</t>
    </r>
    <r>
      <rPr>
        <b/>
        <sz val="10"/>
        <color theme="1"/>
        <rFont val="Arial"/>
        <family val="2"/>
      </rPr>
      <t>e)</t>
    </r>
  </si>
  <si>
    <r>
      <t>Windows (kg CO</t>
    </r>
    <r>
      <rPr>
        <b/>
        <vertAlign val="subscript"/>
        <sz val="10"/>
        <color theme="1"/>
        <rFont val="Arial"/>
        <family val="2"/>
      </rPr>
      <t>2</t>
    </r>
    <r>
      <rPr>
        <b/>
        <sz val="10"/>
        <color theme="1"/>
        <rFont val="Arial"/>
        <family val="2"/>
      </rPr>
      <t>e)</t>
    </r>
  </si>
  <si>
    <r>
      <t>Cladding (kg CO</t>
    </r>
    <r>
      <rPr>
        <b/>
        <vertAlign val="subscript"/>
        <sz val="10"/>
        <color theme="1"/>
        <rFont val="Arial"/>
        <family val="2"/>
      </rPr>
      <t>2</t>
    </r>
    <r>
      <rPr>
        <b/>
        <sz val="10"/>
        <color theme="1"/>
        <rFont val="Arial"/>
        <family val="2"/>
      </rPr>
      <t>e)</t>
    </r>
  </si>
  <si>
    <r>
      <t>Party Walls (kg CO</t>
    </r>
    <r>
      <rPr>
        <b/>
        <vertAlign val="subscript"/>
        <sz val="10"/>
        <color theme="1"/>
        <rFont val="Arial"/>
        <family val="2"/>
      </rPr>
      <t>2</t>
    </r>
    <r>
      <rPr>
        <b/>
        <sz val="10"/>
        <color theme="1"/>
        <rFont val="Arial"/>
        <family val="2"/>
      </rPr>
      <t>e)</t>
    </r>
  </si>
  <si>
    <r>
      <t>Semelles et dalles (kg CO</t>
    </r>
    <r>
      <rPr>
        <b/>
        <vertAlign val="subscript"/>
        <sz val="10"/>
        <color theme="1"/>
        <rFont val="Arial"/>
        <family val="2"/>
      </rPr>
      <t>2</t>
    </r>
    <r>
      <rPr>
        <b/>
        <sz val="10"/>
        <color theme="1"/>
        <rFont val="Arial"/>
        <family val="2"/>
      </rPr>
      <t>e)</t>
    </r>
  </si>
  <si>
    <r>
      <t>Murs de fondation (kg CO</t>
    </r>
    <r>
      <rPr>
        <b/>
        <vertAlign val="subscript"/>
        <sz val="10"/>
        <color theme="1"/>
        <rFont val="Arial"/>
        <family val="2"/>
      </rPr>
      <t>2</t>
    </r>
    <r>
      <rPr>
        <b/>
        <sz val="10"/>
        <color theme="1"/>
        <rFont val="Arial"/>
        <family val="2"/>
      </rPr>
      <t>e)</t>
    </r>
  </si>
  <si>
    <r>
      <t>Éléments structurels (kg CO</t>
    </r>
    <r>
      <rPr>
        <b/>
        <vertAlign val="subscript"/>
        <sz val="10"/>
        <color theme="1"/>
        <rFont val="Arial"/>
        <family val="2"/>
      </rPr>
      <t>2</t>
    </r>
    <r>
      <rPr>
        <b/>
        <sz val="10"/>
        <color theme="1"/>
        <rFont val="Arial"/>
        <family val="2"/>
      </rPr>
      <t>e)</t>
    </r>
  </si>
  <si>
    <r>
      <t>Murs extérieurs (kg de CO</t>
    </r>
    <r>
      <rPr>
        <b/>
        <vertAlign val="subscript"/>
        <sz val="10"/>
        <color theme="1"/>
        <rFont val="Arial"/>
        <family val="2"/>
      </rPr>
      <t>2</t>
    </r>
    <r>
      <rPr>
        <b/>
        <sz val="10"/>
        <color theme="1"/>
        <rFont val="Arial"/>
        <family val="2"/>
      </rPr>
      <t>e/m</t>
    </r>
    <r>
      <rPr>
        <b/>
        <vertAlign val="superscript"/>
        <sz val="10"/>
        <color theme="1"/>
        <rFont val="Arial"/>
        <family val="2"/>
      </rPr>
      <t>2</t>
    </r>
    <r>
      <rPr>
        <b/>
        <sz val="10"/>
        <color theme="1"/>
        <rFont val="Arial"/>
        <family val="2"/>
      </rPr>
      <t>)</t>
    </r>
  </si>
  <si>
    <r>
      <t>Systèmes de murs extérieurs (kg CO</t>
    </r>
    <r>
      <rPr>
        <b/>
        <vertAlign val="subscript"/>
        <sz val="10"/>
        <color theme="1"/>
        <rFont val="Arial"/>
        <family val="2"/>
      </rPr>
      <t>2</t>
    </r>
    <r>
      <rPr>
        <b/>
        <sz val="10"/>
        <color theme="1"/>
        <rFont val="Arial"/>
        <family val="2"/>
      </rPr>
      <t>e)</t>
    </r>
  </si>
  <si>
    <r>
      <t>Murs mitoyens (kg CO</t>
    </r>
    <r>
      <rPr>
        <b/>
        <vertAlign val="subscript"/>
        <sz val="10"/>
        <color theme="1"/>
        <rFont val="Arial"/>
        <family val="2"/>
      </rPr>
      <t>2</t>
    </r>
    <r>
      <rPr>
        <b/>
        <sz val="10"/>
        <color theme="1"/>
        <rFont val="Arial"/>
        <family val="2"/>
      </rPr>
      <t>e)</t>
    </r>
  </si>
  <si>
    <r>
      <t>Bardage (kg de CO</t>
    </r>
    <r>
      <rPr>
        <b/>
        <vertAlign val="subscript"/>
        <sz val="10"/>
        <color theme="1"/>
        <rFont val="Arial"/>
        <family val="2"/>
      </rPr>
      <t>2</t>
    </r>
    <r>
      <rPr>
        <b/>
        <sz val="10"/>
        <color theme="1"/>
        <rFont val="Arial"/>
        <family val="2"/>
      </rPr>
      <t>e)</t>
    </r>
  </si>
  <si>
    <r>
      <t>Fenêtre (kg de CO</t>
    </r>
    <r>
      <rPr>
        <b/>
        <vertAlign val="subscript"/>
        <sz val="10"/>
        <color theme="1"/>
        <rFont val="Arial"/>
        <family val="2"/>
      </rPr>
      <t>2</t>
    </r>
    <r>
      <rPr>
        <b/>
        <sz val="10"/>
        <color theme="1"/>
        <rFont val="Arial"/>
        <family val="2"/>
      </rPr>
      <t>e)</t>
    </r>
  </si>
  <si>
    <r>
      <t>Murs intérieurs (kg CO</t>
    </r>
    <r>
      <rPr>
        <b/>
        <vertAlign val="subscript"/>
        <sz val="10"/>
        <color theme="1"/>
        <rFont val="Arial"/>
        <family val="2"/>
      </rPr>
      <t>2</t>
    </r>
    <r>
      <rPr>
        <b/>
        <sz val="10"/>
        <color theme="1"/>
        <rFont val="Arial"/>
        <family val="2"/>
      </rPr>
      <t>e)</t>
    </r>
  </si>
  <si>
    <r>
      <t>Plancher (kg de CO</t>
    </r>
    <r>
      <rPr>
        <b/>
        <vertAlign val="subscript"/>
        <sz val="10"/>
        <color theme="1"/>
        <rFont val="Arial"/>
        <family val="2"/>
      </rPr>
      <t>2</t>
    </r>
    <r>
      <rPr>
        <b/>
        <sz val="10"/>
        <color theme="1"/>
        <rFont val="Arial"/>
        <family val="2"/>
      </rPr>
      <t>e)</t>
    </r>
  </si>
  <si>
    <r>
      <t>Plafond (kg de CO</t>
    </r>
    <r>
      <rPr>
        <b/>
        <vertAlign val="subscript"/>
        <sz val="10"/>
        <color theme="1"/>
        <rFont val="Arial"/>
        <family val="2"/>
      </rPr>
      <t>2</t>
    </r>
    <r>
      <rPr>
        <b/>
        <sz val="10"/>
        <color theme="1"/>
        <rFont val="Arial"/>
        <family val="2"/>
      </rPr>
      <t>e)</t>
    </r>
  </si>
  <si>
    <r>
      <t>Toit (kg de CO</t>
    </r>
    <r>
      <rPr>
        <b/>
        <vertAlign val="subscript"/>
        <sz val="10"/>
        <color theme="1"/>
        <rFont val="Arial"/>
        <family val="2"/>
      </rPr>
      <t>2</t>
    </r>
    <r>
      <rPr>
        <b/>
        <sz val="10"/>
        <color theme="1"/>
        <rFont val="Arial"/>
        <family val="2"/>
      </rPr>
      <t>e)</t>
    </r>
  </si>
  <si>
    <r>
      <t>Garage (kg de CO</t>
    </r>
    <r>
      <rPr>
        <b/>
        <vertAlign val="subscript"/>
        <sz val="10"/>
        <color theme="1"/>
        <rFont val="Arial"/>
        <family val="2"/>
      </rPr>
      <t>2</t>
    </r>
    <r>
      <rPr>
        <b/>
        <sz val="10"/>
        <color theme="1"/>
        <rFont val="Arial"/>
        <family val="2"/>
      </rPr>
      <t>e)</t>
    </r>
  </si>
  <si>
    <r>
      <t>Défini par l’utilisateur (kg CO</t>
    </r>
    <r>
      <rPr>
        <b/>
        <vertAlign val="subscript"/>
        <sz val="10"/>
        <color theme="1"/>
        <rFont val="Arial"/>
        <family val="2"/>
      </rPr>
      <t>2</t>
    </r>
    <r>
      <rPr>
        <b/>
        <sz val="10"/>
        <color theme="1"/>
        <rFont val="Arial"/>
        <family val="2"/>
      </rPr>
      <t>e)</t>
    </r>
  </si>
  <si>
    <r>
      <t>Carbone intrinsèque par m</t>
    </r>
    <r>
      <rPr>
        <b/>
        <vertAlign val="superscript"/>
        <sz val="10"/>
        <color theme="1"/>
        <rFont val="Arial"/>
        <family val="2"/>
      </rPr>
      <t>2</t>
    </r>
    <r>
      <rPr>
        <b/>
        <sz val="10"/>
        <color theme="1"/>
        <rFont val="Arial"/>
        <family val="2"/>
      </rPr>
      <t xml:space="preserve"> (kg CO</t>
    </r>
    <r>
      <rPr>
        <b/>
        <vertAlign val="subscript"/>
        <sz val="10"/>
        <color theme="1"/>
        <rFont val="Arial"/>
        <family val="2"/>
      </rPr>
      <t>2</t>
    </r>
    <r>
      <rPr>
        <b/>
        <sz val="10"/>
        <color theme="1"/>
        <rFont val="Arial"/>
        <family val="2"/>
      </rPr>
      <t>e / m</t>
    </r>
    <r>
      <rPr>
        <b/>
        <vertAlign val="superscript"/>
        <sz val="10"/>
        <color theme="1"/>
        <rFont val="Arial"/>
        <family val="2"/>
      </rPr>
      <t>2</t>
    </r>
    <r>
      <rPr>
        <b/>
        <sz val="10"/>
        <color theme="1"/>
        <rFont val="Arial"/>
        <family val="2"/>
      </rPr>
      <t>)</t>
    </r>
  </si>
  <si>
    <r>
      <t>The impact of GHGs attributed to a material, process or system measured in units of kg of CO</t>
    </r>
    <r>
      <rPr>
        <vertAlign val="subscript"/>
        <sz val="12"/>
        <color theme="1"/>
        <rFont val="Arial"/>
        <family val="2"/>
      </rPr>
      <t>2</t>
    </r>
    <r>
      <rPr>
        <sz val="12"/>
        <color theme="1"/>
        <rFont val="Arial"/>
        <family val="2"/>
      </rPr>
      <t xml:space="preserve">e. (See </t>
    </r>
    <r>
      <rPr>
        <i/>
        <sz val="12"/>
        <color theme="1"/>
        <rFont val="Arial"/>
        <family val="2"/>
      </rPr>
      <t>Carbon dioxide equivalent</t>
    </r>
    <r>
      <rPr>
        <sz val="12"/>
        <color theme="1"/>
        <rFont val="Arial"/>
        <family val="2"/>
      </rPr>
      <t>)</t>
    </r>
  </si>
  <si>
    <r>
      <t>"Carbon", shorthand for carbon dioxide equivalent emissions, is the standard for measuring GWP attributed to a person, object, process or system with defined boundaries. In general, the term "carbon" may reference material carbon emissions, operational carbon emissions, or the sum of both. The unit is kilograms of CO</t>
    </r>
    <r>
      <rPr>
        <vertAlign val="subscript"/>
        <sz val="12"/>
        <color theme="1"/>
        <rFont val="Arial"/>
        <family val="2"/>
      </rPr>
      <t xml:space="preserve">2 </t>
    </r>
    <r>
      <rPr>
        <sz val="12"/>
        <color theme="1"/>
        <rFont val="Arial"/>
        <family val="2"/>
      </rPr>
      <t>equivalent by total mass or mass per unit (e.g. kg CO</t>
    </r>
    <r>
      <rPr>
        <vertAlign val="subscript"/>
        <sz val="12"/>
        <color theme="1"/>
        <rFont val="Arial"/>
        <family val="2"/>
      </rPr>
      <t>2</t>
    </r>
    <r>
      <rPr>
        <sz val="12"/>
        <color theme="1"/>
        <rFont val="Arial"/>
        <family val="2"/>
      </rPr>
      <t>e/m</t>
    </r>
    <r>
      <rPr>
        <vertAlign val="superscript"/>
        <sz val="12"/>
        <color theme="1"/>
        <rFont val="Arial"/>
        <family val="2"/>
      </rPr>
      <t>2</t>
    </r>
    <r>
      <rPr>
        <sz val="12"/>
        <color theme="1"/>
        <rFont val="Arial"/>
        <family val="2"/>
      </rPr>
      <t>). For any amount of any greenhouse gas in the atmosphere, it is the amount of CO</t>
    </r>
    <r>
      <rPr>
        <vertAlign val="subscript"/>
        <sz val="12"/>
        <color theme="1"/>
        <rFont val="Arial"/>
        <family val="2"/>
      </rPr>
      <t>2</t>
    </r>
    <r>
      <rPr>
        <sz val="12"/>
        <color theme="1"/>
        <rFont val="Arial"/>
        <family val="2"/>
      </rPr>
      <t xml:space="preserve"> which would warm the Earth as much as the amount of that particular gas. The GWP for CO</t>
    </r>
    <r>
      <rPr>
        <vertAlign val="subscript"/>
        <sz val="12"/>
        <color theme="1"/>
        <rFont val="Arial"/>
        <family val="2"/>
      </rPr>
      <t>2</t>
    </r>
    <r>
      <rPr>
        <sz val="12"/>
        <color theme="1"/>
        <rFont val="Arial"/>
        <family val="2"/>
      </rPr>
      <t xml:space="preserve"> is 1, since it is the baseline reference. For example, the GWP</t>
    </r>
    <r>
      <rPr>
        <vertAlign val="subscript"/>
        <sz val="12"/>
        <color theme="1"/>
        <rFont val="Arial"/>
        <family val="2"/>
      </rPr>
      <t>20</t>
    </r>
    <r>
      <rPr>
        <sz val="12"/>
        <color theme="1"/>
        <rFont val="Arial"/>
        <family val="2"/>
      </rPr>
      <t xml:space="preserve"> of HFC-23 gas is 12,000 kg CO</t>
    </r>
    <r>
      <rPr>
        <vertAlign val="subscript"/>
        <sz val="12"/>
        <color theme="1"/>
        <rFont val="Arial"/>
        <family val="2"/>
      </rPr>
      <t>2</t>
    </r>
    <r>
      <rPr>
        <sz val="12"/>
        <color theme="1"/>
        <rFont val="Arial"/>
        <family val="2"/>
      </rPr>
      <t>e, meaning 1 kg of HFC-23 in the atmosphere for 20 years has the same GWP as 12,000 kg of carbon dioxide gas. In this calculator the cradle-to-gate carbon attributed to the building or project is reported as a total and by unit floor area.</t>
    </r>
  </si>
  <si>
    <r>
      <t>« Carbone », abréviation d’émissions équivalentes de dioxyde de carbone, est la norme de mesure du PRP attribué à une personne, un objet, un processus ou un système aux limites définies. En général, le terme « carbone » peut faire référence aux émissions de carbone matérielles, aux émissions de carbone opérationnelles, ou à la somme des deux. L’unité est le kilogramme d’équivalent CO</t>
    </r>
    <r>
      <rPr>
        <vertAlign val="subscript"/>
        <sz val="12"/>
        <color rgb="FF000000"/>
        <rFont val="Arial"/>
        <family val="2"/>
      </rPr>
      <t>2</t>
    </r>
    <r>
      <rPr>
        <sz val="12"/>
        <color rgb="FF000000"/>
        <rFont val="Arial"/>
        <family val="2"/>
      </rPr>
      <t xml:space="preserve"> par masse totale ou masse par unité (par exemple, kg CO</t>
    </r>
    <r>
      <rPr>
        <vertAlign val="subscript"/>
        <sz val="12"/>
        <color rgb="FF000000"/>
        <rFont val="Arial"/>
        <family val="2"/>
      </rPr>
      <t>2</t>
    </r>
    <r>
      <rPr>
        <sz val="12"/>
        <color rgb="FF000000"/>
        <rFont val="Arial"/>
        <family val="2"/>
      </rPr>
      <t xml:space="preserve"> e/m</t>
    </r>
    <r>
      <rPr>
        <vertAlign val="superscript"/>
        <sz val="12"/>
        <color rgb="FF000000"/>
        <rFont val="Arial"/>
        <family val="2"/>
      </rPr>
      <t>2</t>
    </r>
    <r>
      <rPr>
        <sz val="12"/>
        <color rgb="FF000000"/>
        <rFont val="Arial"/>
        <family val="2"/>
      </rPr>
      <t>). Pour toute quantité de gaz à effet de serre dans l’atmosphère, c’est la quantité de CO</t>
    </r>
    <r>
      <rPr>
        <vertAlign val="subscript"/>
        <sz val="12"/>
        <color rgb="FF000000"/>
        <rFont val="Arial"/>
        <family val="2"/>
      </rPr>
      <t>2</t>
    </r>
    <r>
      <rPr>
        <sz val="12"/>
        <color rgb="FF000000"/>
        <rFont val="Arial"/>
        <family val="2"/>
      </rPr>
      <t xml:space="preserve"> qui réchaufferait la Terre autant que la quantité de ce gaz particulier. Le PRP du CO</t>
    </r>
    <r>
      <rPr>
        <vertAlign val="subscript"/>
        <sz val="12"/>
        <color rgb="FF000000"/>
        <rFont val="Arial"/>
        <family val="2"/>
      </rPr>
      <t>2</t>
    </r>
    <r>
      <rPr>
        <sz val="12"/>
        <color rgb="FF000000"/>
        <rFont val="Arial"/>
        <family val="2"/>
      </rPr>
      <t xml:space="preserve"> est de 1, puisqu’il s’agit de la référence de base. Par exemple, le PRP20 du gaz HFC-23 est de 12 000 kg CO</t>
    </r>
    <r>
      <rPr>
        <vertAlign val="subscript"/>
        <sz val="12"/>
        <color rgb="FF000000"/>
        <rFont val="Arial"/>
        <family val="2"/>
      </rPr>
      <t>2</t>
    </r>
    <r>
      <rPr>
        <sz val="12"/>
        <color rgb="FF000000"/>
        <rFont val="Arial"/>
        <family val="2"/>
      </rPr>
      <t>e, ce qui signifie que 1 kg de HFC-23 dans l’atmosphère pendant 20 ans a le même PRGPque 12 000 kg de gaz carbonique. Dans ce calculateur, le carbone du berceau à la porte attribué au bâtiment ou au projet est indiqué en tant que total et par unité de surface.</t>
    </r>
  </si>
  <si>
    <r>
      <t>L’impact des GES attribué à un matériau, un processus ou un système, mesuré en unités de kg de CO</t>
    </r>
    <r>
      <rPr>
        <vertAlign val="subscript"/>
        <sz val="12"/>
        <color rgb="FF000000"/>
        <rFont val="Arial"/>
        <family val="2"/>
      </rPr>
      <t>2</t>
    </r>
    <r>
      <rPr>
        <sz val="12"/>
        <color rgb="FF000000"/>
        <rFont val="Arial"/>
        <family val="2"/>
      </rPr>
      <t xml:space="preserve">e. (Voir </t>
    </r>
    <r>
      <rPr>
        <i/>
        <sz val="12"/>
        <color rgb="FF000000"/>
        <rFont val="Arial"/>
        <family val="2"/>
      </rPr>
      <t>Équivalent en dioxyde de carbone</t>
    </r>
    <r>
      <rPr>
        <sz val="12"/>
        <color rgb="FF000000"/>
        <rFont val="Arial"/>
        <family val="2"/>
      </rPr>
      <t>)</t>
    </r>
  </si>
  <si>
    <r>
      <t>La quantité d’absorption de l’élément carbone (C) de l’atmosphère au cours d’un processus biologique, tel que la photosynthèse. Chaque mole de carbone (masse molaire = 12) peut être assimilée à une mole de dioxyde de carbone (masse molaire = 44) retirée de l’atmosphère aux fins de la comptabilisation du carbone. Ainsi, un élément de carbone contenu dans la biomasse représente 44/12, (environ 3,67) molécules de CO</t>
    </r>
    <r>
      <rPr>
        <vertAlign val="subscript"/>
        <sz val="12"/>
        <color rgb="FF000000"/>
        <rFont val="Arial"/>
        <family val="2"/>
      </rPr>
      <t>2</t>
    </r>
    <r>
      <rPr>
        <sz val="12"/>
        <color rgb="FF000000"/>
        <rFont val="Arial"/>
        <family val="2"/>
      </rPr>
      <t xml:space="preserve"> biogénique séquestré de l’atmosphère. La transformation de la biomasse (et de son carbone « biogénique » incorporé) en produits représente en fait une élimination du CO</t>
    </r>
    <r>
      <rPr>
        <vertAlign val="subscript"/>
        <sz val="12"/>
        <color rgb="FF000000"/>
        <rFont val="Arial"/>
        <family val="2"/>
      </rPr>
      <t>2</t>
    </r>
    <r>
      <rPr>
        <sz val="12"/>
        <color rgb="FF000000"/>
        <rFont val="Arial"/>
        <family val="2"/>
      </rPr>
      <t>, par le biais de son stockage continu dans le produit pendant un certain temps. Ces émissions sont comptabilisées comme des émissions négatives.</t>
    </r>
  </si>
  <si>
    <r>
      <t>Également connu sous le nom d’émissions de carbone ou simplement d’émissions ou de carbone, des termes qui peuvent implicitement exclure le carbone incorporé. Le carbone d’exploitation est la quantité massique de CO</t>
    </r>
    <r>
      <rPr>
        <vertAlign val="subscript"/>
        <sz val="12"/>
        <color rgb="FF000000"/>
        <rFont val="Arial"/>
        <family val="2"/>
      </rPr>
      <t>2</t>
    </r>
    <r>
      <rPr>
        <sz val="12"/>
        <color rgb="FF000000"/>
        <rFont val="Arial"/>
        <family val="2"/>
      </rPr>
      <t xml:space="preserve"> émise pour générer (et parfois transporter) l’énergie d’exploitation consommée pour le fonctionnement du bâtiment. (voir la consommation d’énergie)</t>
    </r>
  </si>
  <si>
    <r>
      <t>Pour le carbone incorporé, NZC signifie qu’une parité a été atteinte entre les émissions de carbone incorporé (+) et le stockage de carbone biogénique (– ), ce qui se traduit par un solde net nul d’échange de CO</t>
    </r>
    <r>
      <rPr>
        <vertAlign val="subscript"/>
        <sz val="12"/>
        <color rgb="FF000000"/>
        <rFont val="Arial"/>
        <family val="2"/>
      </rPr>
      <t>2</t>
    </r>
    <r>
      <rPr>
        <sz val="12"/>
        <color rgb="FF000000"/>
        <rFont val="Arial"/>
        <family val="2"/>
      </rPr>
      <t xml:space="preserve"> avec l’atmosphère. Pour le carbone opérationnel, le CNZ signifie que toute émission de carbone provenant de la production d’énergie hors site consommée annuellement par le bâtiment est compensée par des crédits carbone. En général, la conception d’un bâtiment carboneutre donne la priorité à la réduction de la consommation d’énergie et à la production d’énergie sur place pour répondre à toute la demande. Les définitions et les critères varieront de ces descriptions entre les systèmes et les sources de certification.</t>
    </r>
  </si>
  <si>
    <t xml:space="preserve"> (2x4)</t>
  </si>
  <si>
    <t xml:space="preserve"> (2x6)</t>
  </si>
  <si>
    <t xml:space="preserve"> (2x8)</t>
  </si>
  <si>
    <t xml:space="preserve"> (Double 2x4)</t>
  </si>
  <si>
    <t xml:space="preserve"> (3/4")</t>
  </si>
  <si>
    <t xml:space="preserve"> (9-1/2")</t>
  </si>
  <si>
    <t xml:space="preserve"> (11-7/8")</t>
  </si>
  <si>
    <t xml:space="preserve"> (1x4)</t>
  </si>
  <si>
    <t xml:space="preserve"> (2x3)</t>
  </si>
  <si>
    <t xml:space="preserve"> (2X8)</t>
  </si>
  <si>
    <t xml:space="preserve"> (2X10)</t>
  </si>
  <si>
    <t xml:space="preserve"> (2X12)</t>
  </si>
  <si>
    <t xml:space="preserve"> (14")</t>
  </si>
  <si>
    <t xml:space="preserve"> (16")</t>
  </si>
  <si>
    <t xml:space="preserve"> (5/8")</t>
  </si>
  <si>
    <t xml:space="preserve"> (19/32")</t>
  </si>
  <si>
    <t xml:space="preserve"> (1/2")</t>
  </si>
  <si>
    <t xml:space="preserve"> (2x10)</t>
  </si>
  <si>
    <t xml:space="preserve"> (2x12)</t>
  </si>
  <si>
    <t xml:space="preserve"> (1x3)</t>
  </si>
  <si>
    <t>MATERIAL &amp;THICKNESS</t>
  </si>
  <si>
    <t>(ARCHIVED 2026) Rebar</t>
  </si>
  <si>
    <t xml:space="preserve">(ARCHIVED 2026) Mineral wool board </t>
  </si>
  <si>
    <t>(ARCHIVED 2026) Ceramic tile</t>
  </si>
  <si>
    <t>(ARCHIVED 2026) Vinyl flooring</t>
  </si>
  <si>
    <t>(ARCHIVED 2026) Carpet</t>
  </si>
  <si>
    <t>(ARCHIVED 2026) BioBased Tile</t>
  </si>
  <si>
    <t>(ARCHIVED 2026) Polyiso - wall boards</t>
  </si>
  <si>
    <t>(ARCHIVED 2026) Steel studs - Non-loadbearing</t>
  </si>
  <si>
    <t>(ARCHIVED 2026) Fiberglass batt</t>
  </si>
  <si>
    <t>(ARCHIVED 2026) Aerogel blanket</t>
  </si>
  <si>
    <t>(ARCHIVED 2026) Vacuum Insulated Panel</t>
  </si>
  <si>
    <t>Polyiso – panneaux muraux</t>
  </si>
  <si>
    <r>
      <t>Stockage
tonnes CO</t>
    </r>
    <r>
      <rPr>
        <b/>
        <vertAlign val="subscript"/>
        <sz val="7"/>
        <color theme="1"/>
        <rFont val="Arial"/>
        <family val="2"/>
      </rPr>
      <t>2</t>
    </r>
  </si>
  <si>
    <t>WOOD SHEET PRODUCTS - 1/2"</t>
  </si>
  <si>
    <t>Archived 2026</t>
  </si>
  <si>
    <t>Elec. kWh/yr (Consumption)</t>
  </si>
  <si>
    <t>Elec. kWh/yr (Base Load)</t>
  </si>
  <si>
    <t>Elec. kWh/yr (Generation)</t>
  </si>
  <si>
    <t>Exclude Base Load for NBC</t>
  </si>
  <si>
    <t>April 2026</t>
  </si>
  <si>
    <t>Avril 2026</t>
  </si>
  <si>
    <r>
      <t>Estimateur d'émissions de carbone des matériaux  (E</t>
    </r>
    <r>
      <rPr>
        <b/>
        <vertAlign val="superscript"/>
        <sz val="18"/>
        <color theme="1"/>
        <rFont val="Arial"/>
        <family val="2"/>
      </rPr>
      <t>2</t>
    </r>
    <r>
      <rPr>
        <b/>
        <sz val="18"/>
        <color theme="1"/>
        <rFont val="Arial"/>
        <family val="2"/>
      </rPr>
      <t>CM) V1.3</t>
    </r>
  </si>
  <si>
    <r>
      <t>Material Carbon Emissions Estimator (MCE</t>
    </r>
    <r>
      <rPr>
        <b/>
        <vertAlign val="superscript"/>
        <sz val="18"/>
        <color theme="1"/>
        <rFont val="Arial"/>
        <family val="2"/>
      </rPr>
      <t>2</t>
    </r>
    <r>
      <rPr>
        <b/>
        <sz val="18"/>
        <color theme="1"/>
        <rFont val="Arial"/>
        <family val="2"/>
      </rPr>
      <t>) 
V1.3</t>
    </r>
  </si>
  <si>
    <t>Note: The size of this row is adjusted so it can be displayed in different zooms</t>
  </si>
  <si>
    <t>Note: The height of this row is increased because at some zoom levels, the lines in column C of this row may break to additional lines</t>
  </si>
  <si>
    <t>_Footings &amp; Slabs</t>
  </si>
  <si>
    <t>STOCKAGE kgCO₂</t>
  </si>
  <si>
    <t>L2</t>
  </si>
  <si>
    <t>R3</t>
  </si>
  <si>
    <t>AC3</t>
  </si>
  <si>
    <t>S5</t>
  </si>
  <si>
    <t>Y5</t>
  </si>
  <si>
    <t>AD5</t>
  </si>
  <si>
    <t>N7</t>
  </si>
  <si>
    <t>Q7</t>
  </si>
  <si>
    <t>S7</t>
  </si>
  <si>
    <t>Q8</t>
  </si>
  <si>
    <t>S8</t>
  </si>
  <si>
    <t>P11</t>
  </si>
  <si>
    <t>S11</t>
  </si>
  <si>
    <t>N13</t>
  </si>
  <si>
    <t>N14</t>
  </si>
  <si>
    <t>F16</t>
  </si>
  <si>
    <t>P15</t>
  </si>
  <si>
    <t>F18</t>
  </si>
  <si>
    <t>N18</t>
  </si>
  <si>
    <t>F19</t>
  </si>
  <si>
    <t>O19</t>
  </si>
  <si>
    <t>F25</t>
  </si>
  <si>
    <t>N25</t>
  </si>
  <si>
    <t>Q25</t>
  </si>
  <si>
    <t>E26</t>
  </si>
  <si>
    <t>G26</t>
  </si>
  <si>
    <t>N26</t>
  </si>
  <si>
    <t>G28</t>
  </si>
  <si>
    <t>I28</t>
  </si>
  <si>
    <t>G30</t>
  </si>
  <si>
    <t>G31</t>
  </si>
  <si>
    <t>G32</t>
  </si>
  <si>
    <t>G33</t>
  </si>
  <si>
    <t>G34</t>
  </si>
  <si>
    <t>G35</t>
  </si>
  <si>
    <t>G36</t>
  </si>
  <si>
    <t>G37</t>
  </si>
  <si>
    <t>G38</t>
  </si>
  <si>
    <t>G39</t>
  </si>
  <si>
    <t>G40</t>
  </si>
  <si>
    <t>N28</t>
  </si>
  <si>
    <t>N31</t>
  </si>
  <si>
    <t>N32</t>
  </si>
  <si>
    <t>N33</t>
  </si>
  <si>
    <t>N34</t>
  </si>
  <si>
    <t>N35</t>
  </si>
  <si>
    <t>N36</t>
  </si>
  <si>
    <t>N37</t>
  </si>
  <si>
    <t>N38</t>
  </si>
  <si>
    <t>N39</t>
  </si>
  <si>
    <t>N40</t>
  </si>
  <si>
    <t>R37</t>
  </si>
  <si>
    <t>R38</t>
  </si>
  <si>
    <t>T38</t>
  </si>
  <si>
    <t>V38</t>
  </si>
  <si>
    <t>X38</t>
  </si>
  <si>
    <t>G45</t>
  </si>
  <si>
    <t>N45</t>
  </si>
  <si>
    <t>G47</t>
  </si>
  <si>
    <t>G48</t>
  </si>
  <si>
    <t>I48</t>
  </si>
  <si>
    <t>K48</t>
  </si>
  <si>
    <t>G50</t>
  </si>
  <si>
    <t>G51</t>
  </si>
  <si>
    <t>G52</t>
  </si>
  <si>
    <t>G53</t>
  </si>
  <si>
    <t>G54</t>
  </si>
  <si>
    <t>G55</t>
  </si>
  <si>
    <t>G56</t>
  </si>
  <si>
    <t>N47</t>
  </si>
  <si>
    <t>N48</t>
  </si>
  <si>
    <t>N50</t>
  </si>
  <si>
    <t>N51</t>
  </si>
  <si>
    <t>N52</t>
  </si>
  <si>
    <t>N53</t>
  </si>
  <si>
    <t>N54</t>
  </si>
  <si>
    <t>N55</t>
  </si>
  <si>
    <t>N56</t>
  </si>
  <si>
    <t>S14</t>
  </si>
  <si>
    <t>P17</t>
  </si>
  <si>
    <t>D44</t>
  </si>
  <si>
    <t>B141</t>
  </si>
  <si>
    <t>SOUS-TOTAL ÉMISSIONS (kgCO₂e) — SEMELLES ET DALLE DE FONDATION</t>
  </si>
  <si>
    <t>SOUS-TOTAL STOCKAGE (kgCO₂e) — SEMELLES ET DALLE DE FONDATION</t>
  </si>
  <si>
    <t>_Foundation Walls</t>
  </si>
  <si>
    <t>SOUS-TOTAL ÉMISSIONS (kgCO₂e) — MURS DE FONDATION</t>
  </si>
  <si>
    <t>SOUS-TOTAL STOCKAGE (kgCO₂e) — MURS DE FONDATION</t>
  </si>
  <si>
    <t>SOUS-TOTAL ÉMISSIONS (kgCO₂e) — ÉLÉMENTS STRUCTURAUX LOURDS</t>
  </si>
  <si>
    <t>SOUS-TOTAL STOCKAGE (kgCO₂e) — ÉLÉMENTS STRUCTURAUX LOURDS</t>
  </si>
  <si>
    <t>_Ext. Walls</t>
  </si>
  <si>
    <t>SOUS-TOTAL ÉMISSIONS (kgCO₂e) — MURS EXTÉRIEURS</t>
  </si>
  <si>
    <t>SOUS-TOTAL STOCKAGE (kgCO₂e) — MURS EXTÉRIEURS</t>
  </si>
  <si>
    <t>_Ext. Wall Systems</t>
  </si>
  <si>
    <t>SOUS-TOTAL ÉMISSIONS (kgCO₂e) — SYSTÈMES DE MURS EXTÉRIEURS</t>
  </si>
  <si>
    <t>SOUS-TOTAL STOCKAGE (kgCO₂e) — SYSTÈMES DE MURS EXTÉRIEURS</t>
  </si>
  <si>
    <t>SOUS-TOTAL ÉMISSIONS (kgCO₂e) — MURS MITOYENS</t>
  </si>
  <si>
    <t>SOUS-TOTAL STOCKAGE (kgCO₂e) — MURS MITOYENS</t>
  </si>
  <si>
    <t>_Cladding</t>
  </si>
  <si>
    <t>SOUS-TOTAL ÉMISSIONS (kgCO₂e) — REVÊTEMENT DES MURS EXTÉRIEURS</t>
  </si>
  <si>
    <t>SOUS-TOTAL STOCKAGE (kgCO₂e) — REVÊTEMENT DES MURS EXTÉRIEURS</t>
  </si>
  <si>
    <t>_Windows</t>
  </si>
  <si>
    <t>SOUS-TOTAL ÉMISSIONS (kgCO₂e) — FENÊTRES</t>
  </si>
  <si>
    <t>SOUS-TOTAL STOCKAGE (kgCO₂e) — FENÊTRES</t>
  </si>
  <si>
    <t>SOUS-TOTAL ÉMISSIONS (kgCO₂e) — MURS INTÉRIEURS</t>
  </si>
  <si>
    <t>SOUS-TOTAL STOCKAGE (kgCO₂e) — MURS INTÉRIEURS</t>
  </si>
  <si>
    <t>SOUS-TOTAL ÉMISSIONS (kgCO₂e) — PLANCHERS</t>
  </si>
  <si>
    <t>SOUS-TOTAL STOCKAGE (kgCO₂e) — PLANCHERS</t>
  </si>
  <si>
    <t>_Ceilings</t>
  </si>
  <si>
    <t>SOUS-TOTAL ÉMISSIONS (kgCO₂e) — PLAFONDS</t>
  </si>
  <si>
    <t>SOUS-TOTAL STOCKAGE (kgCO₂e) — PLAFONDS</t>
  </si>
  <si>
    <t>SOUS-TOTAL ÉMISSIONS (kgCO₂e) — TOITURE</t>
  </si>
  <si>
    <t>SOUS-TOTAL STOCKAGE (kgCO₂e) — TOITURE</t>
  </si>
  <si>
    <t>SOUS-TOTAL ÉMISSIONS (kgCO₂e) — GARAGE</t>
  </si>
  <si>
    <t>SOUS-TOTAL STOCKAGE (kgCO₂e) — GARAGE</t>
  </si>
  <si>
    <t>SOUS-TOTAL ÉMISSIONS (kgCO₂e) — MATÉRIAUX DÉFINIS PAR L’UTILISATEUR</t>
  </si>
  <si>
    <t>SOUS-TOTAL STOCKAGE (kgCO₂e) — MATÉRIAUX DÉFINIS PAR L’UTILISATEUR</t>
  </si>
  <si>
    <t>_REVIEW</t>
  </si>
  <si>
    <r>
      <t>STOCKAGE [kg CO</t>
    </r>
    <r>
      <rPr>
        <b/>
        <vertAlign val="subscript"/>
        <sz val="14"/>
        <color theme="0"/>
        <rFont val="Arial"/>
        <family val="2"/>
      </rPr>
      <t>2</t>
    </r>
    <r>
      <rPr>
        <b/>
        <sz val="14"/>
        <color theme="0"/>
        <rFont val="Arial"/>
        <family val="2"/>
      </rPr>
      <t>é]</t>
    </r>
  </si>
  <si>
    <t>Conseil canadien du bois-Ouest</t>
  </si>
  <si>
    <t>Conseil canadien du bois</t>
  </si>
  <si>
    <t>Canada atlantique</t>
  </si>
  <si>
    <t>Toit à deux versants (Double Howe)</t>
  </si>
  <si>
    <t>C70</t>
  </si>
  <si>
    <t>B137</t>
  </si>
  <si>
    <t>B207</t>
  </si>
  <si>
    <t>C212</t>
  </si>
  <si>
    <t>A220</t>
  </si>
  <si>
    <t>A244</t>
  </si>
  <si>
    <t>B245</t>
  </si>
  <si>
    <t>B254</t>
  </si>
  <si>
    <t>F34</t>
  </si>
  <si>
    <t>F40</t>
  </si>
  <si>
    <t>C119</t>
  </si>
  <si>
    <t>B142</t>
  </si>
  <si>
    <t>B152</t>
  </si>
  <si>
    <t>C153</t>
  </si>
  <si>
    <t>C173</t>
  </si>
  <si>
    <t>B189</t>
  </si>
  <si>
    <t>C223</t>
  </si>
  <si>
    <t>B227</t>
  </si>
  <si>
    <t>C228</t>
  </si>
  <si>
    <t>C233</t>
  </si>
  <si>
    <t>C47</t>
  </si>
  <si>
    <t>C105</t>
  </si>
  <si>
    <t>B147</t>
  </si>
  <si>
    <t>B180</t>
  </si>
  <si>
    <t>C181</t>
  </si>
  <si>
    <t>B190</t>
  </si>
  <si>
    <t>C196</t>
  </si>
  <si>
    <t>C200</t>
  </si>
  <si>
    <t>A218</t>
  </si>
  <si>
    <t>B228</t>
  </si>
  <si>
    <t>B233</t>
  </si>
  <si>
    <t>A253</t>
  </si>
  <si>
    <t>A254</t>
  </si>
  <si>
    <t>B255</t>
  </si>
  <si>
    <t>A264</t>
  </si>
  <si>
    <t>A272</t>
  </si>
  <si>
    <t>A279</t>
  </si>
  <si>
    <t>A280</t>
  </si>
  <si>
    <t>A285</t>
  </si>
  <si>
    <t>B292</t>
  </si>
  <si>
    <t>A293</t>
  </si>
  <si>
    <t>B300</t>
  </si>
  <si>
    <t>A301</t>
  </si>
  <si>
    <t>B65</t>
  </si>
  <si>
    <t>C38</t>
  </si>
  <si>
    <t>B138</t>
  </si>
  <si>
    <t>C139</t>
  </si>
  <si>
    <t>F144</t>
  </si>
  <si>
    <t>B173</t>
  </si>
  <si>
    <t>PRODUITS EN FEUILLE DE BOIS –1/2 po</t>
  </si>
  <si>
    <t>B120</t>
  </si>
  <si>
    <t>B67</t>
  </si>
  <si>
    <t>B107</t>
  </si>
  <si>
    <t>B154</t>
  </si>
  <si>
    <t>G199</t>
  </si>
  <si>
    <t>B200</t>
  </si>
  <si>
    <t>C201</t>
  </si>
  <si>
    <t>B218</t>
  </si>
  <si>
    <t>B220</t>
  </si>
  <si>
    <t>B239</t>
  </si>
  <si>
    <t>A248</t>
  </si>
  <si>
    <t>G248</t>
  </si>
  <si>
    <t>B259</t>
  </si>
  <si>
    <t>B270</t>
  </si>
  <si>
    <t>B288</t>
  </si>
  <si>
    <t>A290</t>
  </si>
  <si>
    <t>A291</t>
  </si>
  <si>
    <t>B319</t>
  </si>
  <si>
    <t>A420</t>
  </si>
  <si>
    <t>J12</t>
  </si>
  <si>
    <t>J13</t>
  </si>
  <si>
    <t>J17</t>
  </si>
  <si>
    <t>E6</t>
  </si>
  <si>
    <t>E7</t>
  </si>
  <si>
    <t>_SCENARIOS</t>
  </si>
  <si>
    <t>Exclure la charge de base pour le CNB</t>
  </si>
  <si>
    <r>
      <t xml:space="preserve">Inscrire les dimensions du garage dans les cellules </t>
    </r>
    <r>
      <rPr>
        <b/>
        <sz val="12"/>
        <color theme="7" tint="-0.249977111117893"/>
        <rFont val="Arial"/>
        <family val="2"/>
      </rPr>
      <t>JAUNES</t>
    </r>
    <r>
      <rPr>
        <sz val="12"/>
        <color theme="1"/>
        <rFont val="Arial"/>
        <family val="2"/>
      </rPr>
      <t xml:space="preserve"> ci-dessous. </t>
    </r>
  </si>
  <si>
    <r>
      <t>tonnes CO</t>
    </r>
    <r>
      <rPr>
        <b/>
        <vertAlign val="subscript"/>
        <sz val="7"/>
        <color theme="1"/>
        <rFont val="Arial"/>
        <family val="2"/>
      </rPr>
      <t>2</t>
    </r>
    <r>
      <rPr>
        <b/>
        <sz val="7"/>
        <color theme="1"/>
        <rFont val="Arial"/>
        <family val="2"/>
      </rPr>
      <t>e</t>
    </r>
    <r>
      <rPr>
        <b/>
        <vertAlign val="subscript"/>
        <sz val="7"/>
        <color theme="1"/>
        <rFont val="Arial"/>
        <family val="2"/>
      </rPr>
      <t xml:space="preserve"> </t>
    </r>
    <r>
      <rPr>
        <b/>
        <sz val="7"/>
        <color theme="1"/>
        <rFont val="Arial"/>
        <family val="2"/>
      </rPr>
      <t>/ an</t>
    </r>
  </si>
  <si>
    <r>
      <t>t CO</t>
    </r>
    <r>
      <rPr>
        <b/>
        <vertAlign val="subscript"/>
        <sz val="7"/>
        <color theme="1"/>
        <rFont val="Arial"/>
        <family val="2"/>
      </rPr>
      <t>2</t>
    </r>
    <r>
      <rPr>
        <b/>
        <sz val="7"/>
        <color theme="1"/>
        <rFont val="Arial"/>
        <family val="2"/>
      </rPr>
      <t>e</t>
    </r>
    <r>
      <rPr>
        <b/>
        <vertAlign val="subscript"/>
        <sz val="7"/>
        <color theme="1"/>
        <rFont val="Arial"/>
        <family val="2"/>
      </rPr>
      <t xml:space="preserve"> </t>
    </r>
    <r>
      <rPr>
        <b/>
        <sz val="7"/>
        <color theme="1"/>
        <rFont val="Arial"/>
        <family val="2"/>
      </rPr>
      <t>/ 30 ans</t>
    </r>
  </si>
  <si>
    <t>SURFACE DE PLAFOND</t>
  </si>
  <si>
    <t>VALEUR R :</t>
  </si>
  <si>
    <t>$D$26</t>
  </si>
  <si>
    <t>$P$15</t>
  </si>
  <si>
    <t>$O$18</t>
  </si>
  <si>
    <t>$B$19</t>
  </si>
  <si>
    <t>$C$68</t>
  </si>
  <si>
    <t>Confirm or enter project dimensions</t>
  </si>
  <si>
    <t>Confirm or enter project information</t>
  </si>
  <si>
    <t>Valider ou inscrire l’information sur le projet</t>
  </si>
  <si>
    <t>$B$31</t>
  </si>
  <si>
    <t>$B$56</t>
  </si>
  <si>
    <t>$B$52</t>
  </si>
  <si>
    <t>$B$51</t>
  </si>
  <si>
    <t>$B$53</t>
  </si>
  <si>
    <t>$B$54</t>
  </si>
  <si>
    <r>
      <t>tonnes CO</t>
    </r>
    <r>
      <rPr>
        <b/>
        <vertAlign val="subscript"/>
        <sz val="12"/>
        <color theme="1"/>
        <rFont val="Arial"/>
        <family val="2"/>
      </rPr>
      <t>2</t>
    </r>
    <r>
      <rPr>
        <b/>
        <sz val="12"/>
        <color theme="1"/>
        <rFont val="Arial"/>
        <family val="2"/>
      </rPr>
      <t>e/an</t>
    </r>
  </si>
  <si>
    <r>
      <t>t CO</t>
    </r>
    <r>
      <rPr>
        <b/>
        <vertAlign val="subscript"/>
        <sz val="12"/>
        <color theme="1"/>
        <rFont val="Arial"/>
        <family val="2"/>
      </rPr>
      <t>2</t>
    </r>
    <r>
      <rPr>
        <b/>
        <sz val="12"/>
        <color theme="1"/>
        <rFont val="Arial"/>
        <family val="2"/>
      </rPr>
      <t>e/30 ans</t>
    </r>
  </si>
  <si>
    <r>
      <t>(g CO</t>
    </r>
    <r>
      <rPr>
        <vertAlign val="subscript"/>
        <sz val="11"/>
        <color theme="1"/>
        <rFont val="Calibri"/>
        <family val="2"/>
        <scheme val="minor"/>
      </rPr>
      <t>2</t>
    </r>
    <r>
      <rPr>
        <sz val="11"/>
        <color theme="1"/>
        <rFont val="Calibri"/>
        <family val="2"/>
        <scheme val="minor"/>
      </rPr>
      <t>é/kg)</t>
    </r>
  </si>
  <si>
    <r>
      <t>(g CO</t>
    </r>
    <r>
      <rPr>
        <vertAlign val="subscript"/>
        <sz val="11"/>
        <color theme="1"/>
        <rFont val="Calibri"/>
        <family val="2"/>
        <scheme val="minor"/>
      </rPr>
      <t>2</t>
    </r>
    <r>
      <rPr>
        <sz val="11"/>
        <color theme="1"/>
        <rFont val="Calibri"/>
        <family val="2"/>
        <scheme val="minor"/>
      </rPr>
      <t>é.L)</t>
    </r>
  </si>
  <si>
    <r>
      <t>(g CO</t>
    </r>
    <r>
      <rPr>
        <vertAlign val="subscript"/>
        <sz val="11"/>
        <color theme="1"/>
        <rFont val="Calibri"/>
        <family val="2"/>
        <scheme val="minor"/>
      </rPr>
      <t>2</t>
    </r>
    <r>
      <rPr>
        <sz val="11"/>
        <color theme="1"/>
        <rFont val="Calibri"/>
        <family val="2"/>
        <scheme val="minor"/>
      </rPr>
      <t>é/L)</t>
    </r>
  </si>
  <si>
    <r>
      <t>(g CO</t>
    </r>
    <r>
      <rPr>
        <vertAlign val="subscript"/>
        <sz val="11"/>
        <color theme="1"/>
        <rFont val="Calibri"/>
        <family val="2"/>
        <scheme val="minor"/>
      </rPr>
      <t>2</t>
    </r>
    <r>
      <rPr>
        <sz val="11"/>
        <color theme="1"/>
        <rFont val="Calibri"/>
        <family val="2"/>
        <scheme val="minor"/>
      </rPr>
      <t>é/kWh)</t>
    </r>
  </si>
  <si>
    <r>
      <t>(g CO</t>
    </r>
    <r>
      <rPr>
        <vertAlign val="subscript"/>
        <sz val="11"/>
        <color theme="1"/>
        <rFont val="Calibri"/>
        <family val="2"/>
        <scheme val="minor"/>
      </rPr>
      <t>2</t>
    </r>
    <r>
      <rPr>
        <sz val="11"/>
        <color theme="1"/>
        <rFont val="Calibri"/>
        <family val="2"/>
        <scheme val="minor"/>
      </rPr>
      <t>é/m³)</t>
    </r>
  </si>
  <si>
    <r>
      <t>(g CO</t>
    </r>
    <r>
      <rPr>
        <vertAlign val="subscript"/>
        <sz val="11"/>
        <color theme="1"/>
        <rFont val="Calibri"/>
        <family val="2"/>
        <scheme val="minor"/>
      </rPr>
      <t>2</t>
    </r>
    <r>
      <rPr>
        <sz val="11"/>
        <color theme="1"/>
        <rFont val="Calibri"/>
        <family val="2"/>
        <scheme val="minor"/>
      </rPr>
      <t>e/kWh)</t>
    </r>
  </si>
  <si>
    <r>
      <t>(g CO</t>
    </r>
    <r>
      <rPr>
        <vertAlign val="subscript"/>
        <sz val="11"/>
        <color theme="1"/>
        <rFont val="Calibri"/>
        <family val="2"/>
        <scheme val="minor"/>
      </rPr>
      <t>2</t>
    </r>
    <r>
      <rPr>
        <sz val="11"/>
        <color theme="1"/>
        <rFont val="Calibri"/>
        <family val="2"/>
        <scheme val="minor"/>
      </rPr>
      <t>e/M3)</t>
    </r>
  </si>
  <si>
    <r>
      <t>(g CO</t>
    </r>
    <r>
      <rPr>
        <vertAlign val="subscript"/>
        <sz val="11"/>
        <color theme="1"/>
        <rFont val="Calibri"/>
        <family val="2"/>
        <scheme val="minor"/>
      </rPr>
      <t>2</t>
    </r>
    <r>
      <rPr>
        <sz val="11"/>
        <color theme="1"/>
        <rFont val="Calibri"/>
        <family val="2"/>
        <scheme val="minor"/>
      </rPr>
      <t>e/L)</t>
    </r>
  </si>
  <si>
    <r>
      <t>(g CO</t>
    </r>
    <r>
      <rPr>
        <vertAlign val="subscript"/>
        <sz val="11"/>
        <color theme="1"/>
        <rFont val="Calibri"/>
        <family val="2"/>
        <scheme val="minor"/>
      </rPr>
      <t>2</t>
    </r>
    <r>
      <rPr>
        <sz val="11"/>
        <color theme="1"/>
        <rFont val="Calibri"/>
        <family val="2"/>
        <scheme val="minor"/>
      </rPr>
      <t>e.L)</t>
    </r>
  </si>
  <si>
    <r>
      <t>(g CO</t>
    </r>
    <r>
      <rPr>
        <vertAlign val="subscript"/>
        <sz val="11"/>
        <color theme="1"/>
        <rFont val="Calibri"/>
        <family val="2"/>
        <scheme val="minor"/>
      </rPr>
      <t>2</t>
    </r>
    <r>
      <rPr>
        <sz val="11"/>
        <color theme="1"/>
        <rFont val="Calibri"/>
        <family val="2"/>
        <scheme val="minor"/>
      </rPr>
      <t>e/kg)</t>
    </r>
  </si>
  <si>
    <r>
      <t>Aire de plancher chauffée (au-dessus du niveau du sol, m</t>
    </r>
    <r>
      <rPr>
        <b/>
        <vertAlign val="superscript"/>
        <sz val="12"/>
        <rFont val="Arial"/>
        <family val="2"/>
      </rPr>
      <t>2</t>
    </r>
    <r>
      <rPr>
        <b/>
        <sz val="12"/>
        <rFont val="Arial"/>
        <family val="2"/>
      </rPr>
      <t>) :</t>
    </r>
  </si>
  <si>
    <r>
      <t>Aire de plancher chauffée (en dessous du niveau du sol, m</t>
    </r>
    <r>
      <rPr>
        <b/>
        <vertAlign val="superscript"/>
        <sz val="12"/>
        <rFont val="Arial"/>
        <family val="2"/>
      </rPr>
      <t>2</t>
    </r>
    <r>
      <rPr>
        <b/>
        <sz val="12"/>
        <rFont val="Arial"/>
        <family val="2"/>
      </rPr>
      <t>) :</t>
    </r>
  </si>
  <si>
    <t>Valider ou inscrire les dimensions du projet</t>
  </si>
  <si>
    <t>B148</t>
  </si>
  <si>
    <t>B156</t>
  </si>
  <si>
    <t>C171</t>
  </si>
  <si>
    <t>F190</t>
  </si>
  <si>
    <t>B212</t>
  </si>
  <si>
    <t>C218</t>
  </si>
  <si>
    <t>A240</t>
  </si>
  <si>
    <t>C298</t>
  </si>
  <si>
    <t>C309</t>
  </si>
  <si>
    <t>B313</t>
  </si>
  <si>
    <t>B315</t>
  </si>
  <si>
    <t>B322</t>
  </si>
  <si>
    <t>B324</t>
  </si>
  <si>
    <t>A328</t>
  </si>
  <si>
    <t>A329</t>
  </si>
  <si>
    <t>B338</t>
  </si>
  <si>
    <t>C347</t>
  </si>
  <si>
    <t>B354</t>
  </si>
  <si>
    <t>B366</t>
  </si>
  <si>
    <t>C367</t>
  </si>
  <si>
    <t>B375</t>
  </si>
  <si>
    <t>A381</t>
  </si>
  <si>
    <t>D381</t>
  </si>
  <si>
    <t>B389</t>
  </si>
  <si>
    <t>A396</t>
  </si>
  <si>
    <t>B406</t>
  </si>
  <si>
    <t>A419</t>
  </si>
  <si>
    <t>A425</t>
  </si>
  <si>
    <t>A436</t>
  </si>
  <si>
    <t>A437</t>
  </si>
  <si>
    <t>C439</t>
  </si>
  <si>
    <t>A458</t>
  </si>
  <si>
    <t>A459</t>
  </si>
  <si>
    <t>A508</t>
  </si>
  <si>
    <t>A520</t>
  </si>
  <si>
    <t>A541</t>
  </si>
  <si>
    <t>A563</t>
  </si>
  <si>
    <t>B579</t>
  </si>
  <si>
    <t>B587</t>
  </si>
  <si>
    <t>C588</t>
  </si>
  <si>
    <t>B595</t>
  </si>
  <si>
    <t>C293</t>
  </si>
  <si>
    <t>$C$41</t>
  </si>
  <si>
    <t>$C$42</t>
  </si>
  <si>
    <t>six_lines</t>
  </si>
  <si>
    <r>
      <t>Natural Gas (g CO</t>
    </r>
    <r>
      <rPr>
        <vertAlign val="subscript"/>
        <sz val="11"/>
        <color theme="1"/>
        <rFont val="Calibri"/>
        <family val="2"/>
        <scheme val="minor"/>
      </rPr>
      <t>2</t>
    </r>
    <r>
      <rPr>
        <sz val="11"/>
        <color theme="1"/>
        <rFont val="Calibri"/>
        <family val="2"/>
        <scheme val="minor"/>
      </rPr>
      <t>e/M</t>
    </r>
    <r>
      <rPr>
        <vertAlign val="superscript"/>
        <sz val="11"/>
        <color theme="1"/>
        <rFont val="Calibri"/>
        <family val="2"/>
        <scheme val="minor"/>
      </rPr>
      <t>3</t>
    </r>
    <r>
      <rPr>
        <sz val="11"/>
        <color theme="1"/>
        <rFont val="Calibri"/>
        <family val="2"/>
        <scheme val="minor"/>
      </rPr>
      <t>)</t>
    </r>
  </si>
  <si>
    <t>Group 30,Rectangle 32</t>
  </si>
  <si>
    <t>Group 30,Rectangle 33</t>
  </si>
  <si>
    <t>Group 30,Rectangle 36</t>
  </si>
  <si>
    <t>Group 30,Rectangle 37</t>
  </si>
  <si>
    <t>Group 30,Rectangle 40</t>
  </si>
  <si>
    <t>Group 42,Rectangle 44</t>
  </si>
  <si>
    <t>Group 42,Rectangle 45</t>
  </si>
  <si>
    <t>Group 42,Rectangle 48</t>
  </si>
  <si>
    <t>Group 42,Rectangle 49</t>
  </si>
  <si>
    <t>Group 42,Rectangle 52</t>
  </si>
  <si>
    <t>2x3 CONSTRUCTION EN BOIS</t>
  </si>
  <si>
    <t>2x4 CONSTRUCTION EN BOIS</t>
  </si>
  <si>
    <t>2x6 CONSTRUCTION EN BOIS</t>
  </si>
  <si>
    <t>2x8 CONSTRUCTION EN BOIS</t>
  </si>
  <si>
    <t>2x4 DOUBLE CONSTRUCTION EN BOIS</t>
  </si>
  <si>
    <t>1x4 TASSEAU POUR ÉCRAN DE PLUIE</t>
  </si>
  <si>
    <t>2x4 TASSEAU POUR ÉCRAN DE PLUIE</t>
  </si>
  <si>
    <t>2x8 ENCADREMENT DE PLANCHER EN BOIS</t>
  </si>
  <si>
    <t>2x10 ENCADREMENT DE PLANCHER EN BOIS</t>
  </si>
  <si>
    <t>2x12 ENCADREMENT DE PLANCHER EN BOIS</t>
  </si>
  <si>
    <t>2x4 CHARPENTE EN BOIS</t>
  </si>
  <si>
    <t>2x6 CHARPENTE EN BOIS</t>
  </si>
  <si>
    <t>2x8 CHARPENTE EN BOIS</t>
  </si>
  <si>
    <t>2x10 CHARPENTE EN BOIS</t>
  </si>
  <si>
    <t>2x12 CHARPENTE EN BOIS</t>
  </si>
  <si>
    <t>1x3 FOURURES DE BOIS</t>
  </si>
  <si>
    <t>1x4 FOURURES DE BOIS</t>
  </si>
  <si>
    <t>2x4 FOURURES DE BOIS</t>
  </si>
  <si>
    <t>Élec. kWh/an (Consommation)</t>
  </si>
  <si>
    <t>Élec. kWh/an (Charge de base)</t>
  </si>
  <si>
    <t>Élec. kWh/an (Génération)</t>
  </si>
  <si>
    <t>$B$13</t>
  </si>
  <si>
    <t>$B$20</t>
  </si>
  <si>
    <t>$B$24</t>
  </si>
  <si>
    <t>Conseil canadien du bois -Est</t>
  </si>
  <si>
    <t>bois SPF</t>
  </si>
  <si>
    <t>FEUILLE DE SAISIE</t>
  </si>
  <si>
    <t>Footings &amp; Slabs,10</t>
  </si>
  <si>
    <t>Footings &amp; Slabs,11</t>
  </si>
  <si>
    <t>Footings &amp; Slabs,12</t>
  </si>
  <si>
    <t>Footings &amp; Slabs,13</t>
  </si>
  <si>
    <t>Footings &amp; Slabs,14</t>
  </si>
  <si>
    <t>Footings &amp; Slabs,15</t>
  </si>
  <si>
    <t>Footings &amp; Slabs,16</t>
  </si>
  <si>
    <t>Footings &amp; Slabs,18</t>
  </si>
  <si>
    <t>Footings &amp; Slabs,19</t>
  </si>
  <si>
    <t>Footings &amp; Slabs,20</t>
  </si>
  <si>
    <t>Footings &amp; Slabs,21</t>
  </si>
  <si>
    <t>Footings &amp; Slabs,22</t>
  </si>
  <si>
    <t>Footings &amp; Slabs,23</t>
  </si>
  <si>
    <t>Footings &amp; Slabs,24</t>
  </si>
  <si>
    <t>Footings &amp; Slabs,26</t>
  </si>
  <si>
    <t>Footings &amp; Slabs,27</t>
  </si>
  <si>
    <t>Footings &amp; Slabs,28</t>
  </si>
  <si>
    <t>Footings &amp; Slabs,29</t>
  </si>
  <si>
    <t>Footings &amp; Slabs,30</t>
  </si>
  <si>
    <t>Footings &amp; Slabs,31</t>
  </si>
  <si>
    <t>Footings &amp; Slabs,32</t>
  </si>
  <si>
    <t>Footings &amp; Slabs,49</t>
  </si>
  <si>
    <t>Footings &amp; Slabs,50</t>
  </si>
  <si>
    <t>Footings &amp; Slabs,51</t>
  </si>
  <si>
    <t>Footings &amp; Slabs,52</t>
  </si>
  <si>
    <t>Footings &amp; Slabs,53</t>
  </si>
  <si>
    <t>Footings &amp; Slabs,54</t>
  </si>
  <si>
    <t>Footings &amp; Slabs,55</t>
  </si>
  <si>
    <t>Footings &amp; Slabs,57</t>
  </si>
  <si>
    <t>Footings &amp; Slabs,58</t>
  </si>
  <si>
    <t>Footings &amp; Slabs,59</t>
  </si>
  <si>
    <t>Footings &amp; Slabs,60</t>
  </si>
  <si>
    <t>Footings &amp; Slabs,61</t>
  </si>
  <si>
    <t>Footings &amp; Slabs,62</t>
  </si>
  <si>
    <t>Footings &amp; Slabs,63</t>
  </si>
  <si>
    <t>Footings &amp; Slabs,65</t>
  </si>
  <si>
    <t>Footings &amp; Slabs,66</t>
  </si>
  <si>
    <t>Footings &amp; Slabs,67</t>
  </si>
  <si>
    <t>Footings &amp; Slabs,68</t>
  </si>
  <si>
    <t>Footings &amp; Slabs,69</t>
  </si>
  <si>
    <t>Footings &amp; Slabs,70</t>
  </si>
  <si>
    <t>Footings &amp; Slabs,71</t>
  </si>
  <si>
    <t>Foundation Walls,7</t>
  </si>
  <si>
    <t>Foundation Walls,8</t>
  </si>
  <si>
    <t>Foundation Walls,9</t>
  </si>
  <si>
    <t>Foundation Walls,10</t>
  </si>
  <si>
    <t>Foundation Walls,11</t>
  </si>
  <si>
    <t>Foundation Walls,12</t>
  </si>
  <si>
    <t>Foundation Walls,13</t>
  </si>
  <si>
    <t>Foundation Walls,15</t>
  </si>
  <si>
    <t>Foundation Walls,16</t>
  </si>
  <si>
    <t>Foundation Walls,17</t>
  </si>
  <si>
    <t>Foundation Walls,18</t>
  </si>
  <si>
    <t>Foundation Walls,19</t>
  </si>
  <si>
    <t>Foundation Walls,20</t>
  </si>
  <si>
    <t>Foundation Walls,21</t>
  </si>
  <si>
    <t>Foundation Walls,23</t>
  </si>
  <si>
    <t>Foundation Walls,24</t>
  </si>
  <si>
    <t>Foundation Walls,25</t>
  </si>
  <si>
    <t>Foundation Walls,26</t>
  </si>
  <si>
    <t>Foundation Walls,27</t>
  </si>
  <si>
    <t>Foundation Walls,28</t>
  </si>
  <si>
    <t>Foundation Walls,29</t>
  </si>
  <si>
    <t>Foundation Walls,93</t>
  </si>
  <si>
    <t>Foundation Walls,94</t>
  </si>
  <si>
    <t>Foundation Walls,95</t>
  </si>
  <si>
    <t>Foundation Walls,96</t>
  </si>
  <si>
    <t>Foundation Walls,97</t>
  </si>
  <si>
    <t>Foundation Walls,98</t>
  </si>
  <si>
    <t>Foundation Walls,99</t>
  </si>
  <si>
    <t>Foundation Walls,101</t>
  </si>
  <si>
    <t>Foundation Walls,102</t>
  </si>
  <si>
    <t>Foundation Walls,103</t>
  </si>
  <si>
    <t>Foundation Walls,104</t>
  </si>
  <si>
    <t>Foundation Walls,105</t>
  </si>
  <si>
    <t>Foundation Walls,106</t>
  </si>
  <si>
    <t>Foundation Walls,107</t>
  </si>
  <si>
    <t>Foundation Walls,109</t>
  </si>
  <si>
    <t>Foundation Walls,110</t>
  </si>
  <si>
    <t>Foundation Walls,111</t>
  </si>
  <si>
    <t>Foundation Walls,112</t>
  </si>
  <si>
    <t>Foundation Walls,113</t>
  </si>
  <si>
    <t>Foundation Walls,114</t>
  </si>
  <si>
    <t>Foundation Walls,115</t>
  </si>
  <si>
    <t>Foundation Walls,122</t>
  </si>
  <si>
    <t>Foundation Walls,123</t>
  </si>
  <si>
    <t>Foundation Walls,124</t>
  </si>
  <si>
    <t>Foundation Walls,125</t>
  </si>
  <si>
    <t>Foundation Walls,126</t>
  </si>
  <si>
    <t>Foundation Walls,127</t>
  </si>
  <si>
    <t>Foundation Walls,128</t>
  </si>
  <si>
    <t>Foundation Walls,130</t>
  </si>
  <si>
    <t>Foundation Walls,131</t>
  </si>
  <si>
    <t>Foundation Walls,132</t>
  </si>
  <si>
    <t>Foundation Walls,133</t>
  </si>
  <si>
    <t>Foundation Walls,134</t>
  </si>
  <si>
    <t>Foundation Walls,135</t>
  </si>
  <si>
    <t>Foundation Walls,136</t>
  </si>
  <si>
    <t>Foundation Walls,138</t>
  </si>
  <si>
    <t>Foundation Walls,139</t>
  </si>
  <si>
    <t>Foundation Walls,140</t>
  </si>
  <si>
    <t>Foundation Walls,141</t>
  </si>
  <si>
    <t>Foundation Walls,142</t>
  </si>
  <si>
    <t>Foundation Walls,143</t>
  </si>
  <si>
    <t>Foundation Walls,144</t>
  </si>
  <si>
    <t>Ext. Walls,59</t>
  </si>
  <si>
    <t>Ext. Walls,60</t>
  </si>
  <si>
    <t>Ext. Walls,61</t>
  </si>
  <si>
    <t>Ext. Walls,62</t>
  </si>
  <si>
    <t>Ext. Walls,63</t>
  </si>
  <si>
    <t>Ext. Walls,64</t>
  </si>
  <si>
    <t>Ext. Walls,65</t>
  </si>
  <si>
    <t>Ext. Walls,67</t>
  </si>
  <si>
    <t>Ext. Walls,68</t>
  </si>
  <si>
    <t>Ext. Walls,69</t>
  </si>
  <si>
    <t>Ext. Walls,70</t>
  </si>
  <si>
    <t>Ext. Walls,71</t>
  </si>
  <si>
    <t>Ext. Walls,72</t>
  </si>
  <si>
    <t>Ext. Walls,73</t>
  </si>
  <si>
    <t>Ext. Wall Systems,8</t>
  </si>
  <si>
    <t>Ext. Wall Systems,9</t>
  </si>
  <si>
    <t>Ext. Wall Systems,10</t>
  </si>
  <si>
    <t>Ext. Wall Systems,11</t>
  </si>
  <si>
    <t>Ext. Wall Systems,12</t>
  </si>
  <si>
    <t>Ext. Wall Systems,13</t>
  </si>
  <si>
    <t>Ext. Wall Systems,14</t>
  </si>
  <si>
    <t>Ext. Wall Systems,16</t>
  </si>
  <si>
    <t>Ext. Wall Systems,17</t>
  </si>
  <si>
    <t>Ext. Wall Systems,18</t>
  </si>
  <si>
    <t>Ext. Wall Systems,19</t>
  </si>
  <si>
    <t>Ext. Wall Systems,20</t>
  </si>
  <si>
    <t>Ext. Wall Systems,21</t>
  </si>
  <si>
    <t>Ext. Wall Systems,22</t>
  </si>
  <si>
    <t>Ext. Wall Systems,24</t>
  </si>
  <si>
    <t>Ext. Wall Systems,25</t>
  </si>
  <si>
    <t>Ext. Wall Systems,26</t>
  </si>
  <si>
    <t>Ext. Wall Systems,27</t>
  </si>
  <si>
    <t>Ext. Wall Systems,28</t>
  </si>
  <si>
    <t>Ext. Wall Systems,29</t>
  </si>
  <si>
    <t>Ext. Wall Systems,30</t>
  </si>
  <si>
    <t>Ext. Wall Systems,37</t>
  </si>
  <si>
    <t>Ext. Wall Systems,38</t>
  </si>
  <si>
    <t>Ext. Wall Systems,39</t>
  </si>
  <si>
    <t>Ext. Wall Systems,40</t>
  </si>
  <si>
    <t>Ext. Wall Systems,41</t>
  </si>
  <si>
    <t>Ext. Wall Systems,42</t>
  </si>
  <si>
    <t>Ext. Wall Systems,43</t>
  </si>
  <si>
    <t>Ext. Wall Systems,45</t>
  </si>
  <si>
    <t>Ext. Wall Systems,46</t>
  </si>
  <si>
    <t>Ext. Wall Systems,47</t>
  </si>
  <si>
    <t>Ext. Wall Systems,48</t>
  </si>
  <si>
    <t>Ext. Wall Systems,49</t>
  </si>
  <si>
    <t>Ext. Wall Systems,50</t>
  </si>
  <si>
    <t>Ext. Wall Systems,51</t>
  </si>
  <si>
    <t>Ext. Wall Systems,53</t>
  </si>
  <si>
    <t>Ext. Wall Systems,54</t>
  </si>
  <si>
    <t>Ext. Wall Systems,55</t>
  </si>
  <si>
    <t>Ext. Wall Systems,56</t>
  </si>
  <si>
    <t>Ext. Wall Systems,57</t>
  </si>
  <si>
    <t>Ext. Wall Systems,58</t>
  </si>
  <si>
    <t>Ext. Wall Systems,59</t>
  </si>
  <si>
    <t>Party Walls,56</t>
  </si>
  <si>
    <t>Party Walls,57</t>
  </si>
  <si>
    <t>Party Walls,58</t>
  </si>
  <si>
    <t>Party Walls,59</t>
  </si>
  <si>
    <t>Party Walls,60</t>
  </si>
  <si>
    <t>Party Walls,61</t>
  </si>
  <si>
    <t>Party Walls,62</t>
  </si>
  <si>
    <t>Party Walls,64</t>
  </si>
  <si>
    <t>Party Walls,65</t>
  </si>
  <si>
    <t>Party Walls,66</t>
  </si>
  <si>
    <t>Party Walls,67</t>
  </si>
  <si>
    <t>Party Walls,68</t>
  </si>
  <si>
    <t>Party Walls,69</t>
  </si>
  <si>
    <t>Party Walls,70</t>
  </si>
  <si>
    <t>Party Walls,256</t>
  </si>
  <si>
    <t>Party Walls,257</t>
  </si>
  <si>
    <t>Party Walls,258</t>
  </si>
  <si>
    <t>Party Walls,259</t>
  </si>
  <si>
    <t>Party Walls,260</t>
  </si>
  <si>
    <t>Party Walls,261</t>
  </si>
  <si>
    <t>Party Walls,262</t>
  </si>
  <si>
    <t>Party Walls,264</t>
  </si>
  <si>
    <t>Party Walls,265</t>
  </si>
  <si>
    <t>Party Walls,266</t>
  </si>
  <si>
    <t>Party Walls,267</t>
  </si>
  <si>
    <t>Party Walls,268</t>
  </si>
  <si>
    <t>Party Walls,269</t>
  </si>
  <si>
    <t>Party Walls,270</t>
  </si>
  <si>
    <t>Party Walls,272</t>
  </si>
  <si>
    <t>Party Walls,273</t>
  </si>
  <si>
    <t>Party Walls,274</t>
  </si>
  <si>
    <t>Party Walls,275</t>
  </si>
  <si>
    <t>Party Walls,276</t>
  </si>
  <si>
    <t>Party Walls,277</t>
  </si>
  <si>
    <t>Party Walls,278</t>
  </si>
  <si>
    <t>Party Walls,285</t>
  </si>
  <si>
    <t>Party Walls,286</t>
  </si>
  <si>
    <t>Party Walls,287</t>
  </si>
  <si>
    <t>Party Walls,288</t>
  </si>
  <si>
    <t>Party Walls,289</t>
  </si>
  <si>
    <t>Party Walls,290</t>
  </si>
  <si>
    <t>Party Walls,291</t>
  </si>
  <si>
    <t>Party Walls,293</t>
  </si>
  <si>
    <t>Party Walls,294</t>
  </si>
  <si>
    <t>Party Walls,295</t>
  </si>
  <si>
    <t>Party Walls,296</t>
  </si>
  <si>
    <t>Party Walls,297</t>
  </si>
  <si>
    <t>Party Walls,298</t>
  </si>
  <si>
    <t>Party Walls,299</t>
  </si>
  <si>
    <t>Party Walls,301</t>
  </si>
  <si>
    <t>Party Walls,302</t>
  </si>
  <si>
    <t>Party Walls,303</t>
  </si>
  <si>
    <t>Garage,11</t>
  </si>
  <si>
    <t>Garage,12</t>
  </si>
  <si>
    <t>Garage,13</t>
  </si>
  <si>
    <t>Garage,14</t>
  </si>
  <si>
    <t>Garage,15</t>
  </si>
  <si>
    <t>Garage,16</t>
  </si>
  <si>
    <t>Garage,17</t>
  </si>
  <si>
    <t>Garage,19</t>
  </si>
  <si>
    <t>Garage,20</t>
  </si>
  <si>
    <t>Garage,21</t>
  </si>
  <si>
    <t>Garage,22</t>
  </si>
  <si>
    <t>Garage,23</t>
  </si>
  <si>
    <t>Garage,24</t>
  </si>
  <si>
    <t>Garage,25</t>
  </si>
  <si>
    <t>Garage,32</t>
  </si>
  <si>
    <t>Garage,33</t>
  </si>
  <si>
    <t>Garage,34</t>
  </si>
  <si>
    <t>Garage,35</t>
  </si>
  <si>
    <t>Garage,36</t>
  </si>
  <si>
    <t>Garage,37</t>
  </si>
  <si>
    <t>Garage,38</t>
  </si>
  <si>
    <t>Garage,40</t>
  </si>
  <si>
    <t>Garage,41</t>
  </si>
  <si>
    <t>Garage,42</t>
  </si>
  <si>
    <t>Garage,43</t>
  </si>
  <si>
    <t>Garage,44</t>
  </si>
  <si>
    <t>Garage,45</t>
  </si>
  <si>
    <t>Garage,46</t>
  </si>
  <si>
    <t>Garage,60</t>
  </si>
  <si>
    <t>Garage,61</t>
  </si>
  <si>
    <t>Garage,62</t>
  </si>
  <si>
    <t>Garage,63</t>
  </si>
  <si>
    <t>Garage,64</t>
  </si>
  <si>
    <t>Garage,65</t>
  </si>
  <si>
    <t>Garage,66</t>
  </si>
  <si>
    <t>Garage,68</t>
  </si>
  <si>
    <t>Garage,69</t>
  </si>
  <si>
    <t>Garage,70</t>
  </si>
  <si>
    <t>Garage,71</t>
  </si>
  <si>
    <t>Garage,72</t>
  </si>
  <si>
    <t>Garage,73</t>
  </si>
  <si>
    <t>Garage,74</t>
  </si>
  <si>
    <t>Party Walls,304</t>
  </si>
  <si>
    <t>Party Walls,305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</si>
</sst>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64" formatCode="_(* #,##0.00_);_(* \(#,##0.00\);_(* &quot;-&quot;??_);_(@_)"/>
    <numFmt numFmtId="165" formatCode="0.0000"/>
    <numFmt numFmtId="166" formatCode="_(* #,##0.0000_);_(* \(#,##0.0000\);_(* &quot;-&quot;??_);_(@_)"/>
    <numFmt numFmtId="167" formatCode="0.0"/>
    <numFmt numFmtId="168" formatCode="0.000"/>
    <numFmt numFmtId="169" formatCode="0.000000"/>
    <numFmt numFmtId="170" formatCode="#,##0.0"/>
    <numFmt numFmtId="171" formatCode="#,##0.000"/>
    <numFmt numFmtId="172" formatCode="yyyy/mm/dd;@"/>
    <numFmt numFmtId="173" formatCode="[=0]0;[&lt;100]0.0;0"/>
    <numFmt numFmtId="174" formatCode="[&lt;10]0.00;[&lt;100]0.0;0"/>
    <numFmt numFmtId="175" formatCode="0.00000"/>
    <numFmt numFmtId="176" formatCode="#,##0.0000"/>
    <numFmt numFmtId="177" formatCode="mmmm\,\ yyyy"/>
    <numFmt numFmtId="178" formatCode="[=0]0;[&lt;100]0.0;#,##0"/>
  </numFmts>
  <fonts count="341" x14ac:knownFonts="1">
    <font>
      <sz val="12"/>
      <color theme="1"/>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font>
    <font>
      <sz val="12"/>
      <name val="Arial"/>
      <family val="2"/>
    </font>
    <font>
      <sz val="12"/>
      <color theme="0"/>
      <name val="Arial"/>
      <family val="2"/>
    </font>
    <font>
      <sz val="14"/>
      <color theme="1"/>
      <name val="Calibri"/>
      <family val="2"/>
    </font>
    <font>
      <b/>
      <sz val="16"/>
      <color theme="1"/>
      <name val="Calibri"/>
      <family val="2"/>
    </font>
    <font>
      <sz val="14"/>
      <color theme="1"/>
      <name val="Arial"/>
      <family val="2"/>
    </font>
    <font>
      <b/>
      <sz val="18"/>
      <color theme="1"/>
      <name val="Arial"/>
      <family val="2"/>
    </font>
    <font>
      <b/>
      <sz val="20"/>
      <color theme="1"/>
      <name val="Roboto"/>
    </font>
    <font>
      <b/>
      <sz val="32"/>
      <color theme="1"/>
      <name val="Roboto"/>
    </font>
    <font>
      <b/>
      <sz val="14"/>
      <color rgb="FFFFFFFF"/>
      <name val="Arial"/>
      <family val="2"/>
    </font>
    <font>
      <b/>
      <sz val="20"/>
      <color theme="1"/>
      <name val="Arial"/>
      <family val="2"/>
    </font>
    <font>
      <b/>
      <sz val="18"/>
      <color theme="0"/>
      <name val="Arial"/>
      <family val="2"/>
    </font>
    <font>
      <b/>
      <sz val="14"/>
      <color theme="0"/>
      <name val="Arial"/>
      <family val="2"/>
    </font>
    <font>
      <b/>
      <sz val="14"/>
      <color theme="1"/>
      <name val="Arial"/>
      <family val="2"/>
    </font>
    <font>
      <b/>
      <sz val="18"/>
      <color rgb="FF7F7F7F"/>
      <name val="Arial"/>
      <family val="2"/>
    </font>
    <font>
      <b/>
      <sz val="18"/>
      <color rgb="FF00B050"/>
      <name val="Arial"/>
      <family val="2"/>
    </font>
    <font>
      <b/>
      <sz val="16"/>
      <color theme="1"/>
      <name val="Arial"/>
      <family val="2"/>
    </font>
    <font>
      <b/>
      <sz val="18"/>
      <color rgb="FF7F7F7F"/>
      <name val="Calibri"/>
      <family val="2"/>
    </font>
    <font>
      <b/>
      <sz val="18"/>
      <color rgb="FF00B050"/>
      <name val="Calibri"/>
      <family val="2"/>
    </font>
    <font>
      <b/>
      <sz val="12"/>
      <color theme="1"/>
      <name val="Calibri"/>
      <family val="2"/>
    </font>
    <font>
      <b/>
      <sz val="12"/>
      <color theme="1"/>
      <name val="Arial"/>
      <family val="2"/>
    </font>
    <font>
      <sz val="18"/>
      <color rgb="FF7F7F7F"/>
      <name val="Arial"/>
      <family val="2"/>
    </font>
    <font>
      <u/>
      <sz val="12"/>
      <color theme="10"/>
      <name val="Arial"/>
      <family val="2"/>
    </font>
    <font>
      <b/>
      <sz val="10"/>
      <color theme="1"/>
      <name val="Calibri"/>
      <family val="2"/>
    </font>
    <font>
      <sz val="10"/>
      <color theme="1"/>
      <name val="Calibri"/>
      <family val="2"/>
    </font>
    <font>
      <sz val="10"/>
      <color rgb="FF333333"/>
      <name val="Calibri"/>
      <family val="2"/>
    </font>
    <font>
      <sz val="18"/>
      <color theme="1"/>
      <name val="Calibri"/>
      <family val="2"/>
    </font>
    <font>
      <sz val="16"/>
      <color theme="1"/>
      <name val="Arial"/>
      <family val="2"/>
    </font>
    <font>
      <vertAlign val="superscript"/>
      <sz val="12"/>
      <color theme="0"/>
      <name val="Arial"/>
      <family val="2"/>
    </font>
    <font>
      <b/>
      <vertAlign val="subscript"/>
      <sz val="14"/>
      <color rgb="FFFFFFFF"/>
      <name val="Arial"/>
      <family val="2"/>
    </font>
    <font>
      <sz val="12"/>
      <color theme="1"/>
      <name val="Calibri"/>
      <family val="2"/>
    </font>
    <font>
      <sz val="12"/>
      <color theme="1"/>
      <name val="Arial"/>
      <family val="2"/>
    </font>
    <font>
      <b/>
      <sz val="16"/>
      <color rgb="FFFF6600"/>
      <name val="Arial"/>
      <family val="2"/>
    </font>
    <font>
      <b/>
      <sz val="12"/>
      <color rgb="FF2E75B5"/>
      <name val="Calibri"/>
      <family val="2"/>
    </font>
    <font>
      <b/>
      <sz val="12"/>
      <color rgb="FF2E75B5"/>
      <name val="Arial"/>
      <family val="2"/>
    </font>
    <font>
      <sz val="12"/>
      <name val="Arial"/>
      <family val="2"/>
    </font>
    <font>
      <sz val="8"/>
      <name val="Arial"/>
      <family val="2"/>
    </font>
    <font>
      <b/>
      <sz val="22"/>
      <color theme="0"/>
      <name val="Arial"/>
      <family val="2"/>
    </font>
    <font>
      <b/>
      <sz val="24"/>
      <color theme="0"/>
      <name val="Arial"/>
      <family val="2"/>
    </font>
    <font>
      <b/>
      <sz val="20"/>
      <color theme="0"/>
      <name val="Arial"/>
      <family val="2"/>
    </font>
    <font>
      <b/>
      <sz val="28"/>
      <color theme="0"/>
      <name val="Arial"/>
      <family val="2"/>
    </font>
    <font>
      <sz val="28"/>
      <color theme="0"/>
      <name val="Arial"/>
      <family val="2"/>
    </font>
    <font>
      <sz val="14"/>
      <color theme="0"/>
      <name val="Arial"/>
      <family val="2"/>
    </font>
    <font>
      <b/>
      <sz val="12"/>
      <name val="Arial"/>
      <family val="2"/>
    </font>
    <font>
      <b/>
      <vertAlign val="subscript"/>
      <sz val="12"/>
      <name val="Arial"/>
      <family val="2"/>
    </font>
    <font>
      <b/>
      <sz val="14"/>
      <name val="Arial"/>
      <family val="2"/>
    </font>
    <font>
      <b/>
      <u/>
      <sz val="16"/>
      <color theme="10"/>
      <name val="Arial"/>
      <family val="2"/>
    </font>
    <font>
      <b/>
      <sz val="16"/>
      <color theme="0"/>
      <name val="Arial"/>
      <family val="2"/>
    </font>
    <font>
      <b/>
      <sz val="12"/>
      <color theme="0"/>
      <name val="Arial"/>
      <family val="2"/>
    </font>
    <font>
      <b/>
      <sz val="11"/>
      <color theme="1"/>
      <name val="Arial"/>
      <family val="2"/>
    </font>
    <font>
      <sz val="12"/>
      <color rgb="FF000000"/>
      <name val="Arial"/>
      <family val="2"/>
    </font>
    <font>
      <b/>
      <sz val="12"/>
      <color rgb="FF000000"/>
      <name val="Arial"/>
      <family val="2"/>
    </font>
    <font>
      <b/>
      <sz val="18"/>
      <name val="Calibri"/>
      <family val="2"/>
    </font>
    <font>
      <b/>
      <sz val="18"/>
      <name val="Arial"/>
      <family val="2"/>
    </font>
    <font>
      <sz val="11"/>
      <color theme="1"/>
      <name val="Calibri"/>
      <family val="2"/>
    </font>
    <font>
      <sz val="11"/>
      <color theme="1"/>
      <name val="Arial"/>
      <family val="2"/>
    </font>
    <font>
      <b/>
      <sz val="12"/>
      <color theme="1"/>
      <name val="Calibri"/>
      <family val="2"/>
      <scheme val="minor"/>
    </font>
    <font>
      <sz val="12"/>
      <color theme="1"/>
      <name val="Calibri"/>
      <family val="2"/>
      <scheme val="major"/>
    </font>
    <font>
      <sz val="12"/>
      <name val="Calibri"/>
      <family val="2"/>
      <scheme val="major"/>
    </font>
    <font>
      <sz val="11"/>
      <color rgb="FF9C0006"/>
      <name val="Calibri"/>
      <family val="2"/>
      <scheme val="minor"/>
    </font>
    <font>
      <b/>
      <sz val="14"/>
      <name val="Calibri"/>
      <family val="2"/>
    </font>
    <font>
      <sz val="12"/>
      <color rgb="FF00B050"/>
      <name val="Calibri"/>
      <family val="2"/>
    </font>
    <font>
      <sz val="12"/>
      <color theme="1"/>
      <name val="Calibri"/>
      <family val="2"/>
      <scheme val="minor"/>
    </font>
    <font>
      <sz val="8"/>
      <name val="Arial"/>
      <family val="2"/>
    </font>
    <font>
      <b/>
      <sz val="14"/>
      <color theme="1"/>
      <name val="Calibri"/>
      <family val="2"/>
    </font>
    <font>
      <b/>
      <sz val="12"/>
      <color theme="8" tint="-0.249977111117893"/>
      <name val="Calibri"/>
      <family val="2"/>
    </font>
    <font>
      <b/>
      <sz val="12"/>
      <color theme="8" tint="-0.249977111117893"/>
      <name val="Arial"/>
      <family val="2"/>
    </font>
    <font>
      <sz val="12"/>
      <color theme="1"/>
      <name val="Arial"/>
      <family val="2"/>
    </font>
    <font>
      <b/>
      <sz val="12"/>
      <name val="Calibri"/>
      <family val="2"/>
      <scheme val="minor"/>
    </font>
    <font>
      <sz val="12"/>
      <name val="Calibri"/>
      <family val="2"/>
      <scheme val="minor"/>
    </font>
    <font>
      <sz val="11"/>
      <name val="Calibri"/>
      <family val="2"/>
      <scheme val="minor"/>
    </font>
    <font>
      <b/>
      <sz val="11"/>
      <color rgb="FFFFFFFF"/>
      <name val="Arial"/>
      <family val="2"/>
    </font>
    <font>
      <sz val="14"/>
      <color theme="1"/>
      <name val="Calibri"/>
      <family val="2"/>
      <scheme val="minor"/>
    </font>
    <font>
      <b/>
      <sz val="16"/>
      <color theme="1"/>
      <name val="Calibri"/>
      <family val="2"/>
      <scheme val="minor"/>
    </font>
    <font>
      <b/>
      <sz val="16"/>
      <name val="Arial"/>
      <family val="2"/>
    </font>
    <font>
      <sz val="14"/>
      <name val="Arial"/>
      <family val="2"/>
    </font>
    <font>
      <sz val="14"/>
      <name val="Calibri"/>
      <family val="2"/>
      <scheme val="minor"/>
    </font>
    <font>
      <sz val="9"/>
      <color theme="0"/>
      <name val="Arial"/>
      <family val="2"/>
    </font>
    <font>
      <b/>
      <vertAlign val="subscript"/>
      <sz val="12"/>
      <color theme="1"/>
      <name val="Arial"/>
      <family val="2"/>
    </font>
    <font>
      <b/>
      <vertAlign val="superscript"/>
      <sz val="12"/>
      <name val="Arial"/>
      <family val="2"/>
    </font>
    <font>
      <b/>
      <vertAlign val="superscript"/>
      <sz val="12"/>
      <color theme="1"/>
      <name val="Arial"/>
      <family val="2"/>
    </font>
    <font>
      <u/>
      <sz val="12"/>
      <name val="Calibri"/>
      <family val="2"/>
      <scheme val="major"/>
    </font>
    <font>
      <b/>
      <sz val="11"/>
      <color theme="1"/>
      <name val="Calibri"/>
      <family val="2"/>
      <scheme val="major"/>
    </font>
    <font>
      <sz val="11"/>
      <color theme="1"/>
      <name val="Calibri"/>
      <family val="2"/>
      <scheme val="major"/>
    </font>
    <font>
      <sz val="11"/>
      <name val="Calibri"/>
      <family val="2"/>
      <scheme val="major"/>
    </font>
    <font>
      <sz val="11"/>
      <color rgb="FF7F7F7F"/>
      <name val="Arial"/>
      <family val="2"/>
    </font>
    <font>
      <b/>
      <sz val="16"/>
      <color rgb="FF00B050"/>
      <name val="Arial"/>
      <family val="2"/>
    </font>
    <font>
      <b/>
      <sz val="11"/>
      <color theme="1"/>
      <name val="Calibri"/>
      <family val="2"/>
      <scheme val="minor"/>
    </font>
    <font>
      <sz val="11"/>
      <color theme="0"/>
      <name val="Calibri"/>
      <family val="2"/>
      <scheme val="minor"/>
    </font>
    <font>
      <b/>
      <sz val="16"/>
      <color rgb="FF7F7F7F"/>
      <name val="Arial"/>
      <family val="2"/>
    </font>
    <font>
      <sz val="16"/>
      <color rgb="FF00B050"/>
      <name val="Arial"/>
      <family val="2"/>
    </font>
    <font>
      <b/>
      <vertAlign val="subscript"/>
      <sz val="14"/>
      <color theme="0"/>
      <name val="Arial"/>
      <family val="2"/>
    </font>
    <font>
      <sz val="8"/>
      <color theme="0"/>
      <name val="Arial"/>
      <family val="2"/>
    </font>
    <font>
      <b/>
      <i/>
      <u/>
      <sz val="11"/>
      <color rgb="FF000000"/>
      <name val="Arial"/>
      <family val="2"/>
    </font>
    <font>
      <b/>
      <sz val="11"/>
      <color rgb="FF000000"/>
      <name val="Arial"/>
      <family val="2"/>
    </font>
    <font>
      <sz val="11"/>
      <color rgb="FF000000"/>
      <name val="Arial"/>
      <family val="2"/>
    </font>
    <font>
      <b/>
      <i/>
      <sz val="11"/>
      <color theme="1"/>
      <name val="Arial"/>
      <family val="2"/>
    </font>
    <font>
      <b/>
      <i/>
      <sz val="11"/>
      <color rgb="FF000000"/>
      <name val="Arial"/>
      <family val="2"/>
    </font>
    <font>
      <sz val="10"/>
      <color theme="1"/>
      <name val="Arial"/>
      <family val="2"/>
    </font>
    <font>
      <b/>
      <sz val="26"/>
      <color theme="1"/>
      <name val="Roboto"/>
    </font>
    <font>
      <b/>
      <sz val="26"/>
      <color theme="3" tint="0.499984740745262"/>
      <name val="Roboto"/>
    </font>
    <font>
      <b/>
      <sz val="12"/>
      <name val="Calibri"/>
      <family val="2"/>
      <scheme val="major"/>
    </font>
    <font>
      <b/>
      <u/>
      <sz val="12"/>
      <name val="Calibri"/>
      <family val="2"/>
      <scheme val="major"/>
    </font>
    <font>
      <b/>
      <sz val="26"/>
      <color theme="9"/>
      <name val="Roboto"/>
    </font>
    <font>
      <sz val="11"/>
      <color rgb="FF006100"/>
      <name val="Calibri"/>
      <family val="2"/>
      <scheme val="minor"/>
    </font>
    <font>
      <b/>
      <sz val="14"/>
      <color rgb="FF0094C8"/>
      <name val="Arial"/>
      <family val="2"/>
    </font>
    <font>
      <u/>
      <sz val="12"/>
      <color theme="10"/>
      <name val="Calibri"/>
      <family val="2"/>
      <scheme val="major"/>
    </font>
    <font>
      <b/>
      <sz val="16"/>
      <color theme="0"/>
      <name val="Calibri"/>
      <family val="2"/>
    </font>
    <font>
      <b/>
      <sz val="12"/>
      <color rgb="FF002060"/>
      <name val="Arial"/>
      <family val="2"/>
    </font>
    <font>
      <sz val="10"/>
      <color theme="1" tint="0.499984740745262"/>
      <name val="Arial"/>
      <family val="2"/>
    </font>
    <font>
      <b/>
      <sz val="20"/>
      <name val="Arial"/>
      <family val="2"/>
    </font>
    <font>
      <i/>
      <sz val="12"/>
      <color theme="1"/>
      <name val="Arial"/>
      <family val="2"/>
    </font>
    <font>
      <vertAlign val="superscript"/>
      <sz val="12"/>
      <color theme="1"/>
      <name val="Arial"/>
      <family val="2"/>
    </font>
    <font>
      <vertAlign val="subscript"/>
      <sz val="12"/>
      <color theme="1"/>
      <name val="Arial"/>
      <family val="2"/>
    </font>
    <font>
      <sz val="9"/>
      <color indexed="81"/>
      <name val="Tahoma"/>
      <family val="2"/>
    </font>
    <font>
      <b/>
      <sz val="9"/>
      <color indexed="81"/>
      <name val="Tahoma"/>
      <family val="2"/>
    </font>
    <font>
      <b/>
      <sz val="14"/>
      <color theme="5" tint="-0.499984740745262"/>
      <name val="Arial"/>
      <family val="2"/>
    </font>
    <font>
      <sz val="14"/>
      <color theme="5" tint="-0.499984740745262"/>
      <name val="Arial"/>
      <family val="2"/>
    </font>
    <font>
      <b/>
      <sz val="14"/>
      <color theme="4" tint="-0.249977111117893"/>
      <name val="Arial"/>
      <family val="2"/>
    </font>
    <font>
      <b/>
      <vertAlign val="superscript"/>
      <sz val="14"/>
      <color theme="0"/>
      <name val="Arial"/>
      <family val="2"/>
    </font>
    <font>
      <b/>
      <sz val="12"/>
      <color theme="4" tint="-0.249977111117893"/>
      <name val="Arial"/>
      <family val="2"/>
    </font>
    <font>
      <b/>
      <sz val="12"/>
      <color theme="7" tint="-0.249977111117893"/>
      <name val="Arial"/>
      <family val="2"/>
    </font>
    <font>
      <b/>
      <sz val="10"/>
      <color theme="1"/>
      <name val="Arial"/>
      <family val="2"/>
    </font>
    <font>
      <sz val="12"/>
      <color rgb="FFFF0000"/>
      <name val="Arial"/>
      <family val="2"/>
    </font>
    <font>
      <b/>
      <sz val="12"/>
      <color indexed="81"/>
      <name val="Tahoma"/>
      <family val="2"/>
    </font>
    <font>
      <sz val="12"/>
      <color indexed="81"/>
      <name val="Tahoma"/>
      <family val="2"/>
    </font>
    <font>
      <b/>
      <sz val="16"/>
      <color rgb="FF2E75B5"/>
      <name val="Calibri"/>
      <family val="2"/>
    </font>
    <font>
      <sz val="16"/>
      <color theme="1"/>
      <name val="Calibri"/>
      <family val="2"/>
    </font>
    <font>
      <b/>
      <sz val="20"/>
      <name val="Calibri"/>
      <family val="2"/>
    </font>
    <font>
      <sz val="11"/>
      <color indexed="81"/>
      <name val="Tahoma"/>
      <family val="2"/>
    </font>
    <font>
      <b/>
      <sz val="11"/>
      <color indexed="81"/>
      <name val="Tahoma"/>
      <family val="2"/>
    </font>
    <font>
      <b/>
      <sz val="10"/>
      <name val="Arial"/>
      <family val="2"/>
    </font>
    <font>
      <sz val="9"/>
      <color theme="1"/>
      <name val="Arial"/>
      <family val="2"/>
    </font>
    <font>
      <sz val="8"/>
      <color theme="1"/>
      <name val="Arial"/>
      <family val="2"/>
    </font>
    <font>
      <b/>
      <sz val="9"/>
      <color theme="1"/>
      <name val="Arial"/>
      <family val="2"/>
    </font>
    <font>
      <sz val="7.5"/>
      <color theme="1"/>
      <name val="Arial"/>
      <family val="2"/>
    </font>
    <font>
      <b/>
      <sz val="8"/>
      <color theme="1"/>
      <name val="Arial"/>
      <family val="2"/>
    </font>
    <font>
      <b/>
      <sz val="9"/>
      <name val="Arial"/>
      <family val="2"/>
    </font>
    <font>
      <sz val="12"/>
      <color theme="1" tint="0.34998626667073579"/>
      <name val="Arial"/>
      <family val="2"/>
    </font>
    <font>
      <b/>
      <vertAlign val="subscript"/>
      <sz val="10"/>
      <name val="Arial"/>
      <family val="2"/>
    </font>
    <font>
      <u/>
      <sz val="8"/>
      <name val="Arial"/>
      <family val="2"/>
    </font>
    <font>
      <sz val="10"/>
      <name val="Arial"/>
      <family val="2"/>
    </font>
    <font>
      <b/>
      <vertAlign val="subscript"/>
      <sz val="9"/>
      <color theme="1"/>
      <name val="Arial"/>
      <family val="2"/>
    </font>
    <font>
      <b/>
      <sz val="11"/>
      <name val="Arial"/>
      <family val="2"/>
    </font>
    <font>
      <u/>
      <sz val="12"/>
      <color indexed="81"/>
      <name val="Tahoma"/>
      <family val="2"/>
    </font>
    <font>
      <b/>
      <sz val="14"/>
      <color theme="5" tint="-0.249977111117893"/>
      <name val="Arial"/>
      <family val="2"/>
    </font>
    <font>
      <u/>
      <sz val="12"/>
      <name val="Arial"/>
      <family val="2"/>
    </font>
    <font>
      <u/>
      <sz val="11"/>
      <color indexed="81"/>
      <name val="Tahoma"/>
      <family val="2"/>
    </font>
    <font>
      <sz val="9"/>
      <name val="Arial"/>
      <family val="2"/>
    </font>
    <font>
      <b/>
      <i/>
      <sz val="12"/>
      <color theme="1"/>
      <name val="Arial"/>
      <family val="2"/>
    </font>
    <font>
      <b/>
      <sz val="11"/>
      <color rgb="FF2E75B5"/>
      <name val="Arial"/>
      <family val="2"/>
    </font>
    <font>
      <b/>
      <sz val="10"/>
      <color rgb="FF2E75B5"/>
      <name val="Arial"/>
      <family val="2"/>
    </font>
    <font>
      <sz val="12"/>
      <color rgb="FF2E75B5"/>
      <name val="Arial"/>
      <family val="2"/>
    </font>
    <font>
      <b/>
      <sz val="9"/>
      <color rgb="FF2E75B5"/>
      <name val="Arial"/>
      <family val="2"/>
    </font>
    <font>
      <sz val="11"/>
      <color rgb="FF2E75B5"/>
      <name val="Arial"/>
      <family val="2"/>
    </font>
    <font>
      <b/>
      <sz val="7"/>
      <color theme="1"/>
      <name val="Arial"/>
      <family val="2"/>
    </font>
    <font>
      <b/>
      <sz val="11"/>
      <color theme="1"/>
      <name val="Arial Black"/>
      <family val="2"/>
    </font>
    <font>
      <b/>
      <vertAlign val="superscript"/>
      <sz val="10"/>
      <color theme="1"/>
      <name val="Arial"/>
      <family val="2"/>
    </font>
    <font>
      <b/>
      <vertAlign val="superscript"/>
      <sz val="22"/>
      <color theme="0"/>
      <name val="Arial"/>
      <family val="2"/>
    </font>
    <font>
      <b/>
      <u/>
      <sz val="11"/>
      <color rgb="FF000000"/>
      <name val="Arial"/>
      <family val="2"/>
    </font>
    <font>
      <b/>
      <vertAlign val="superscript"/>
      <sz val="18"/>
      <color theme="1"/>
      <name val="Arial"/>
      <family val="2"/>
    </font>
    <font>
      <sz val="18"/>
      <color theme="1"/>
      <name val="Arial"/>
      <family val="2"/>
    </font>
    <font>
      <b/>
      <sz val="12"/>
      <color rgb="FFFFFFFF"/>
      <name val="Arial"/>
      <family val="2"/>
    </font>
    <font>
      <b/>
      <vertAlign val="subscript"/>
      <sz val="12"/>
      <color rgb="FF000000"/>
      <name val="Arial"/>
      <family val="2"/>
    </font>
    <font>
      <vertAlign val="subscript"/>
      <sz val="12"/>
      <color rgb="FF000000"/>
      <name val="Arial"/>
      <family val="2"/>
    </font>
    <font>
      <b/>
      <sz val="12"/>
      <color rgb="FF000000"/>
      <name val="Calibri"/>
      <family val="2"/>
    </font>
    <font>
      <i/>
      <sz val="12"/>
      <color rgb="FF000000"/>
      <name val="Arial"/>
      <family val="2"/>
    </font>
    <font>
      <vertAlign val="superscript"/>
      <sz val="12"/>
      <color rgb="FF000000"/>
      <name val="Arial"/>
      <family val="2"/>
    </font>
    <font>
      <sz val="10"/>
      <color rgb="FF000000"/>
      <name val="Arial"/>
      <family val="2"/>
    </font>
    <font>
      <b/>
      <sz val="10"/>
      <color rgb="FF000000"/>
      <name val="Arial"/>
      <family val="2"/>
    </font>
    <font>
      <b/>
      <vertAlign val="subscript"/>
      <sz val="7"/>
      <color theme="1"/>
      <name val="Arial"/>
      <family val="2"/>
    </font>
    <font>
      <b/>
      <sz val="6"/>
      <color rgb="FF000000"/>
      <name val="Calibri"/>
      <family val="2"/>
      <scheme val="minor"/>
    </font>
    <font>
      <b/>
      <sz val="7"/>
      <color rgb="FF000000"/>
      <name val="Calibri"/>
      <family val="2"/>
      <scheme val="minor"/>
    </font>
    <font>
      <sz val="5"/>
      <color rgb="FF000000"/>
      <name val="Calibri"/>
      <family val="2"/>
      <scheme val="minor"/>
    </font>
    <font>
      <vertAlign val="subscript"/>
      <sz val="5"/>
      <color rgb="FF000000"/>
      <name val="Calibri"/>
      <family val="2"/>
      <scheme val="minor"/>
    </font>
    <font>
      <b/>
      <vertAlign val="superscript"/>
      <sz val="6"/>
      <color rgb="FF000000"/>
      <name val="Calibri"/>
      <family val="2"/>
      <scheme val="minor"/>
    </font>
    <font>
      <sz val="8"/>
      <color rgb="FF000000"/>
      <name val="Calibri"/>
      <family val="2"/>
      <scheme val="minor"/>
    </font>
    <font>
      <sz val="7"/>
      <color rgb="FF000000"/>
      <name val="Calibri"/>
      <family val="2"/>
      <scheme val="minor"/>
    </font>
    <font>
      <vertAlign val="subscript"/>
      <sz val="7"/>
      <color rgb="FF000000"/>
      <name val="Calibri"/>
      <family val="2"/>
      <scheme val="minor"/>
    </font>
    <font>
      <sz val="12"/>
      <color rgb="FF404040"/>
      <name val="Arial"/>
      <family val="2"/>
    </font>
    <font>
      <vertAlign val="subscript"/>
      <sz val="12"/>
      <color rgb="FF404040"/>
      <name val="Arial"/>
      <family val="2"/>
    </font>
    <font>
      <b/>
      <vertAlign val="subscript"/>
      <sz val="10"/>
      <color theme="1"/>
      <name val="Arial"/>
      <family val="2"/>
    </font>
    <font>
      <b/>
      <sz val="11"/>
      <color theme="4"/>
      <name val="Arial"/>
      <family val="2"/>
    </font>
    <font>
      <u/>
      <sz val="11"/>
      <color rgb="FF000000"/>
      <name val="Tahoma"/>
      <family val="2"/>
    </font>
    <font>
      <sz val="11"/>
      <color rgb="FF000000"/>
      <name val="Tahoma"/>
      <family val="2"/>
    </font>
    <font>
      <b/>
      <sz val="11"/>
      <color rgb="FF000000"/>
      <name val="Tahoma"/>
      <family val="2"/>
    </font>
    <font>
      <sz val="12"/>
      <color rgb="FF000000"/>
      <name val="Tahoma"/>
      <family val="2"/>
    </font>
    <font>
      <u/>
      <sz val="12"/>
      <color rgb="FF000000"/>
      <name val="Tahoma"/>
      <family val="2"/>
    </font>
    <font>
      <b/>
      <sz val="12"/>
      <color rgb="FF000000"/>
      <name val="Tahoma"/>
      <family val="2"/>
    </font>
    <font>
      <b/>
      <sz val="12"/>
      <color theme="1"/>
      <name val="Wingdings"/>
      <charset val="2"/>
    </font>
    <font>
      <sz val="12"/>
      <color theme="2"/>
      <name val="Arial"/>
      <family val="2"/>
    </font>
    <font>
      <b/>
      <sz val="24"/>
      <color theme="9" tint="-0.499984740745262"/>
      <name val="Arial"/>
      <family val="2"/>
    </font>
    <font>
      <vertAlign val="superscript"/>
      <sz val="11"/>
      <color theme="1"/>
      <name val="Calibri"/>
      <family val="2"/>
      <scheme val="minor"/>
    </font>
    <font>
      <sz val="8"/>
      <color theme="1" tint="0.499984740745262"/>
      <name val="Arial"/>
      <family val="2"/>
    </font>
    <font>
      <sz val="12"/>
      <color rgb="FF333333"/>
      <name val="Calibri"/>
      <family val="2"/>
    </font>
    <font>
      <b/>
      <sz val="8"/>
      <color theme="4" tint="-0.249977111117893"/>
      <name val="Arial"/>
      <family val="2"/>
    </font>
    <font>
      <b/>
      <vertAlign val="superscript"/>
      <sz val="8"/>
      <color theme="4" tint="-0.249977111117893"/>
      <name val="Arial"/>
      <family val="2"/>
    </font>
    <font>
      <b/>
      <sz val="11"/>
      <color rgb="FFFF0000"/>
      <name val="Arial"/>
      <family val="2"/>
    </font>
    <font>
      <sz val="12"/>
      <color rgb="FF3F3F3F"/>
      <name val="Calibri"/>
      <family val="2"/>
      <scheme val="minor"/>
    </font>
    <font>
      <b/>
      <sz val="11"/>
      <color theme="0"/>
      <name val="Calibri"/>
      <family val="2"/>
      <scheme val="minor"/>
    </font>
    <font>
      <sz val="8"/>
      <color rgb="FF000000"/>
      <name val="Segoe UI"/>
      <family val="2"/>
    </font>
    <font>
      <b/>
      <vertAlign val="subscript"/>
      <sz val="8"/>
      <color theme="1"/>
      <name val="Arial"/>
      <family val="2"/>
    </font>
    <font>
      <i/>
      <sz val="9"/>
      <color theme="1"/>
      <name val="Arial"/>
      <family val="2"/>
    </font>
    <font>
      <sz val="11"/>
      <color theme="1"/>
      <name val="Aptos"/>
      <family val="2"/>
    </font>
    <font>
      <b/>
      <sz val="11"/>
      <color theme="1"/>
      <name val="Aptos"/>
      <family val="2"/>
    </font>
    <font>
      <b/>
      <sz val="14"/>
      <color theme="1"/>
      <name val="Calibri"/>
      <family val="2"/>
      <scheme val="minor"/>
    </font>
    <font>
      <b/>
      <sz val="10"/>
      <color indexed="8"/>
      <name val="Aptos"/>
      <family val="2"/>
    </font>
    <font>
      <b/>
      <vertAlign val="subscript"/>
      <sz val="10"/>
      <color rgb="FF000000"/>
      <name val="Aptos"/>
      <family val="2"/>
    </font>
    <font>
      <sz val="9"/>
      <color indexed="8"/>
      <name val="Aptos"/>
      <family val="2"/>
    </font>
    <font>
      <b/>
      <sz val="14"/>
      <color indexed="8"/>
      <name val="Calibri"/>
      <family val="2"/>
      <scheme val="major"/>
    </font>
    <font>
      <b/>
      <vertAlign val="subscript"/>
      <sz val="11"/>
      <color theme="1"/>
      <name val="Calibri"/>
      <family val="2"/>
      <scheme val="minor"/>
    </font>
    <font>
      <sz val="10"/>
      <color theme="1"/>
      <name val="Times New Roman"/>
      <family val="1"/>
    </font>
    <font>
      <b/>
      <sz val="14"/>
      <color theme="9"/>
      <name val="Roboto"/>
    </font>
    <font>
      <sz val="10"/>
      <color theme="1"/>
      <name val="Calibri"/>
      <family val="2"/>
      <scheme val="minor"/>
    </font>
    <font>
      <vertAlign val="subscript"/>
      <sz val="8"/>
      <color theme="1"/>
      <name val="Arial"/>
      <family val="2"/>
    </font>
    <font>
      <b/>
      <sz val="10.5"/>
      <color rgb="FF000000"/>
      <name val="Arial"/>
      <family val="2"/>
    </font>
    <font>
      <b/>
      <vertAlign val="subscript"/>
      <sz val="10.5"/>
      <color rgb="FF000000"/>
      <name val="Arial"/>
      <family val="2"/>
    </font>
    <font>
      <b/>
      <vertAlign val="superscript"/>
      <sz val="10.5"/>
      <color rgb="FF000000"/>
      <name val="Arial"/>
      <family val="2"/>
    </font>
    <font>
      <vertAlign val="superscript"/>
      <sz val="8"/>
      <color theme="1"/>
      <name val="Arial"/>
      <family val="2"/>
    </font>
    <font>
      <vertAlign val="subscript"/>
      <sz val="11"/>
      <color theme="1"/>
      <name val="Calibri"/>
      <family val="2"/>
      <scheme val="minor"/>
    </font>
    <font>
      <b/>
      <sz val="13"/>
      <color theme="0"/>
      <name val="Arial"/>
      <family val="2"/>
    </font>
    <font>
      <b/>
      <sz val="28"/>
      <color theme="1"/>
      <name val="Roboto"/>
    </font>
    <font>
      <b/>
      <vertAlign val="subscript"/>
      <sz val="14"/>
      <color theme="1"/>
      <name val="Arial"/>
      <family val="2"/>
    </font>
    <font>
      <b/>
      <vertAlign val="subscript"/>
      <sz val="14"/>
      <name val="Arial"/>
      <family val="2"/>
    </font>
    <font>
      <b/>
      <sz val="18"/>
      <color rgb="FF808080"/>
      <name val="Arial"/>
      <family val="2"/>
    </font>
    <font>
      <b/>
      <sz val="26"/>
      <color rgb="FF70AD47"/>
      <name val="Roboto"/>
    </font>
    <font>
      <b/>
      <sz val="18"/>
      <color rgb="FF70AD47"/>
      <name val="Arial"/>
      <family val="2"/>
    </font>
    <font>
      <b/>
      <sz val="10"/>
      <color theme="0"/>
      <name val="Arial"/>
      <family val="2"/>
    </font>
    <font>
      <sz val="12"/>
      <color theme="1"/>
      <name val="Arial"/>
      <family val="2"/>
    </font>
    <font>
      <b/>
      <sz val="20"/>
      <color rgb="FF00B050"/>
      <name val="Arial"/>
      <family val="2"/>
    </font>
    <font>
      <sz val="11"/>
      <color rgb="FFFF0000"/>
      <name val="Calibri"/>
      <family val="2"/>
      <scheme val="minor"/>
    </font>
  </fonts>
  <fills count="72">
    <fill>
      <patternFill patternType="none"/>
    </fill>
    <fill>
      <patternFill patternType="gray125"/>
    </fill>
    <fill>
      <patternFill patternType="solid">
        <fgColor rgb="FF2E75B5"/>
        <bgColor rgb="FF2E75B5"/>
      </patternFill>
    </fill>
    <fill>
      <patternFill patternType="solid">
        <fgColor theme="0"/>
        <bgColor theme="0"/>
      </patternFill>
    </fill>
    <fill>
      <patternFill patternType="solid">
        <fgColor rgb="FF3F3F3F"/>
        <bgColor rgb="FF3F3F3F"/>
      </patternFill>
    </fill>
    <fill>
      <patternFill patternType="solid">
        <fgColor rgb="FFD0CECE"/>
        <bgColor rgb="FFD0CECE"/>
      </patternFill>
    </fill>
    <fill>
      <patternFill patternType="solid">
        <fgColor rgb="FF5F5F5F"/>
        <bgColor rgb="FF5F5F5F"/>
      </patternFill>
    </fill>
    <fill>
      <patternFill patternType="solid">
        <fgColor rgb="FFFFCC66"/>
        <bgColor rgb="FFFFCC66"/>
      </patternFill>
    </fill>
    <fill>
      <patternFill patternType="solid">
        <fgColor rgb="FF9CC2E5"/>
        <bgColor rgb="FF9CC2E5"/>
      </patternFill>
    </fill>
    <fill>
      <patternFill patternType="solid">
        <fgColor rgb="FFD8D8D8"/>
        <bgColor rgb="FFD8D8D8"/>
      </patternFill>
    </fill>
    <fill>
      <patternFill patternType="solid">
        <fgColor rgb="FFC5E0B3"/>
        <bgColor rgb="FFC5E0B3"/>
      </patternFill>
    </fill>
    <fill>
      <patternFill patternType="solid">
        <fgColor rgb="FFBDD6EE"/>
        <bgColor rgb="FFBDD6EE"/>
      </patternFill>
    </fill>
    <fill>
      <patternFill patternType="solid">
        <fgColor rgb="FFFF3300"/>
        <bgColor rgb="FFFF3300"/>
      </patternFill>
    </fill>
    <fill>
      <patternFill patternType="solid">
        <fgColor theme="7" tint="0.79998168889431442"/>
        <bgColor indexed="64"/>
      </patternFill>
    </fill>
    <fill>
      <patternFill patternType="solid">
        <fgColor theme="4" tint="0.39997558519241921"/>
        <bgColor indexed="64"/>
      </patternFill>
    </fill>
    <fill>
      <patternFill patternType="solid">
        <fgColor theme="0" tint="-0.499984740745262"/>
        <bgColor indexed="64"/>
      </patternFill>
    </fill>
    <fill>
      <patternFill patternType="solid">
        <fgColor theme="5"/>
        <bgColor indexed="64"/>
      </patternFill>
    </fill>
    <fill>
      <patternFill patternType="solid">
        <fgColor rgb="FFFFC7CE"/>
      </patternFill>
    </fill>
    <fill>
      <patternFill patternType="solid">
        <fgColor rgb="FF92D050"/>
        <bgColor rgb="FFC8C8C8"/>
      </patternFill>
    </fill>
    <fill>
      <patternFill patternType="solid">
        <fgColor theme="8" tint="0.39997558519241921"/>
        <bgColor rgb="FFFFCC66"/>
      </patternFill>
    </fill>
    <fill>
      <patternFill patternType="solid">
        <fgColor theme="8" tint="0.39997558519241921"/>
        <bgColor rgb="FF9CC2E5"/>
      </patternFill>
    </fill>
    <fill>
      <patternFill patternType="solid">
        <fgColor rgb="FFCEE1F2"/>
        <bgColor indexed="64"/>
      </patternFill>
    </fill>
    <fill>
      <patternFill patternType="solid">
        <fgColor theme="0"/>
        <bgColor rgb="FF9CC2E5"/>
      </patternFill>
    </fill>
    <fill>
      <patternFill patternType="solid">
        <fgColor theme="0"/>
        <bgColor indexed="64"/>
      </patternFill>
    </fill>
    <fill>
      <patternFill patternType="solid">
        <fgColor theme="0"/>
        <bgColor theme="9" tint="0.79998168889431442"/>
      </patternFill>
    </fill>
    <fill>
      <patternFill patternType="solid">
        <fgColor theme="8" tint="-0.249977111117893"/>
        <bgColor rgb="FF5F5F5F"/>
      </patternFill>
    </fill>
    <fill>
      <patternFill patternType="solid">
        <fgColor theme="0"/>
        <bgColor rgb="FFD8D8D8"/>
      </patternFill>
    </fill>
    <fill>
      <patternFill patternType="solid">
        <fgColor theme="7"/>
        <bgColor indexed="64"/>
      </patternFill>
    </fill>
    <fill>
      <patternFill patternType="solid">
        <fgColor theme="3" tint="0.249977111117893"/>
        <bgColor indexed="64"/>
      </patternFill>
    </fill>
    <fill>
      <patternFill patternType="solid">
        <fgColor theme="4" tint="-0.499984740745262"/>
        <bgColor indexed="64"/>
      </patternFill>
    </fill>
    <fill>
      <patternFill patternType="solid">
        <fgColor rgb="FFFFCC66"/>
        <bgColor theme="0"/>
      </patternFill>
    </fill>
    <fill>
      <patternFill patternType="solid">
        <fgColor theme="9" tint="0.39997558519241921"/>
        <bgColor indexed="65"/>
      </patternFill>
    </fill>
    <fill>
      <patternFill patternType="solid">
        <fgColor rgb="FFE7F1F9"/>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rgb="FF92D05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1" tint="0.34998626667073579"/>
        <bgColor indexed="64"/>
      </patternFill>
    </fill>
    <fill>
      <patternFill patternType="solid">
        <fgColor rgb="FFCEE87C"/>
        <bgColor rgb="FFFEF2CB"/>
      </patternFill>
    </fill>
    <fill>
      <patternFill patternType="solid">
        <fgColor rgb="FFCEE87C"/>
        <bgColor indexed="64"/>
      </patternFill>
    </fill>
    <fill>
      <patternFill patternType="solid">
        <fgColor theme="5" tint="0.59999389629810485"/>
        <bgColor rgb="FFFEF2CB"/>
      </patternFill>
    </fill>
    <fill>
      <patternFill patternType="solid">
        <fgColor theme="5" tint="0.59999389629810485"/>
        <bgColor indexed="64"/>
      </patternFill>
    </fill>
    <fill>
      <patternFill patternType="solid">
        <fgColor rgb="FFC6EFCE"/>
      </patternFill>
    </fill>
    <fill>
      <patternFill patternType="solid">
        <fgColor rgb="FFFFCC66"/>
        <bgColor indexed="64"/>
      </patternFill>
    </fill>
    <fill>
      <patternFill patternType="solid">
        <fgColor theme="7" tint="0.59999389629810485"/>
        <bgColor rgb="FFFFCC66"/>
      </patternFill>
    </fill>
    <fill>
      <patternFill patternType="solid">
        <fgColor theme="0"/>
        <bgColor rgb="FF2E75B5"/>
      </patternFill>
    </fill>
    <fill>
      <patternFill patternType="solid">
        <fgColor theme="7" tint="0.39997558519241921"/>
        <bgColor theme="9" tint="0.79998168889431442"/>
      </patternFill>
    </fill>
    <fill>
      <patternFill patternType="solid">
        <fgColor rgb="FFDFD0F0"/>
        <bgColor indexed="64"/>
      </patternFill>
    </fill>
    <fill>
      <patternFill patternType="solid">
        <fgColor theme="6" tint="0.39997558519241921"/>
        <bgColor indexed="64"/>
      </patternFill>
    </fill>
    <fill>
      <patternFill patternType="solid">
        <fgColor theme="6" tint="0.39997558519241921"/>
        <bgColor theme="0"/>
      </patternFill>
    </fill>
    <fill>
      <patternFill patternType="solid">
        <fgColor theme="6" tint="0.39997558519241921"/>
        <bgColor rgb="FFFFCC66"/>
      </patternFill>
    </fill>
    <fill>
      <patternFill patternType="solid">
        <fgColor theme="8" tint="0.79998168889431442"/>
        <bgColor indexed="64"/>
      </patternFill>
    </fill>
    <fill>
      <patternFill patternType="solid">
        <fgColor rgb="FFFFFF00"/>
        <bgColor indexed="64"/>
      </patternFill>
    </fill>
    <fill>
      <patternFill patternType="solid">
        <fgColor theme="0"/>
        <bgColor rgb="FF5F5F5F"/>
      </patternFill>
    </fill>
    <fill>
      <patternFill patternType="solid">
        <fgColor theme="0" tint="-0.14999847407452621"/>
        <bgColor indexed="64"/>
      </patternFill>
    </fill>
    <fill>
      <patternFill patternType="solid">
        <fgColor theme="2" tint="-0.14999847407452621"/>
        <bgColor indexed="64"/>
      </patternFill>
    </fill>
    <fill>
      <patternFill patternType="solid">
        <fgColor rgb="FFD0CECE"/>
        <bgColor indexed="64"/>
      </patternFill>
    </fill>
    <fill>
      <patternFill patternType="solid">
        <fgColor rgb="FF808080"/>
        <bgColor rgb="FF808080"/>
      </patternFill>
    </fill>
    <fill>
      <patternFill patternType="solid">
        <fgColor rgb="FFFFFFFF"/>
        <bgColor rgb="FFFFFFFF"/>
      </patternFill>
    </fill>
    <fill>
      <patternFill patternType="solid">
        <fgColor rgb="FFFFC000"/>
        <bgColor indexed="64"/>
      </patternFill>
    </fill>
    <fill>
      <patternFill patternType="solid">
        <fgColor rgb="FF9CC2E5"/>
        <bgColor rgb="FF2E75B5"/>
      </patternFill>
    </fill>
    <fill>
      <patternFill patternType="solid">
        <fgColor theme="0" tint="-4.9989318521683403E-2"/>
        <bgColor indexed="64"/>
      </patternFill>
    </fill>
    <fill>
      <patternFill patternType="solid">
        <fgColor theme="2"/>
        <bgColor indexed="64"/>
      </patternFill>
    </fill>
    <fill>
      <patternFill patternType="solid">
        <fgColor theme="4" tint="-0.249977111117893"/>
        <bgColor indexed="64"/>
      </patternFill>
    </fill>
    <fill>
      <patternFill patternType="solid">
        <fgColor theme="1"/>
        <bgColor indexed="64"/>
      </patternFill>
    </fill>
    <fill>
      <patternFill patternType="solid">
        <fgColor theme="2" tint="-9.9978637043366805E-2"/>
        <bgColor indexed="64"/>
      </patternFill>
    </fill>
    <fill>
      <patternFill patternType="solid">
        <fgColor rgb="FFF7CAAC"/>
        <bgColor indexed="64"/>
      </patternFill>
    </fill>
    <fill>
      <patternFill patternType="solid">
        <fgColor theme="6" tint="0.79998168889431442"/>
        <bgColor indexed="64"/>
      </patternFill>
    </fill>
    <fill>
      <patternFill patternType="solid">
        <fgColor theme="2" tint="-4.9989318521683403E-2"/>
        <bgColor indexed="64"/>
      </patternFill>
    </fill>
    <fill>
      <patternFill patternType="solid">
        <fgColor theme="0" tint="-4.9989318521683403E-2"/>
        <bgColor rgb="FF5F5F5F"/>
      </patternFill>
    </fill>
    <fill>
      <patternFill patternType="solid">
        <fgColor theme="6" tint="0.59999389629810485"/>
        <bgColor indexed="64"/>
      </patternFill>
    </fill>
  </fills>
  <borders count="193">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dotted">
        <color rgb="FF000000"/>
      </top>
      <bottom style="dotted">
        <color rgb="FF000000"/>
      </bottom>
      <diagonal/>
    </border>
    <border>
      <left/>
      <right/>
      <top style="dotted">
        <color rgb="FF000000"/>
      </top>
      <bottom style="dotted">
        <color rgb="FF000000"/>
      </bottom>
      <diagonal/>
    </border>
    <border>
      <left style="thin">
        <color theme="0" tint="-0.249977111117893"/>
      </left>
      <right/>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top style="thin">
        <color indexed="64"/>
      </top>
      <bottom style="thin">
        <color indexed="64"/>
      </bottom>
      <diagonal/>
    </border>
    <border>
      <left style="thin">
        <color indexed="64"/>
      </left>
      <right/>
      <top style="dotted">
        <color rgb="FF000000"/>
      </top>
      <bottom style="dotted">
        <color rgb="FF000000"/>
      </bottom>
      <diagonal/>
    </border>
    <border>
      <left/>
      <right/>
      <top style="dotted">
        <color indexed="64"/>
      </top>
      <bottom style="dotted">
        <color rgb="FF000000"/>
      </bottom>
      <diagonal/>
    </border>
    <border>
      <left/>
      <right/>
      <top style="dotted">
        <color indexed="64"/>
      </top>
      <bottom style="dotted">
        <color indexed="64"/>
      </bottom>
      <diagonal/>
    </border>
    <border>
      <left/>
      <right/>
      <top style="dotted">
        <color rgb="FF000000"/>
      </top>
      <bottom style="dotted">
        <color indexed="64"/>
      </bottom>
      <diagonal/>
    </border>
    <border>
      <left/>
      <right style="thin">
        <color indexed="64"/>
      </right>
      <top style="dotted">
        <color rgb="FF000000"/>
      </top>
      <bottom style="dotted">
        <color indexed="64"/>
      </bottom>
      <diagonal/>
    </border>
    <border>
      <left style="thin">
        <color theme="6" tint="0.59999389629810485"/>
      </left>
      <right/>
      <top/>
      <bottom/>
      <diagonal/>
    </border>
    <border>
      <left/>
      <right style="thin">
        <color theme="6" tint="0.59999389629810485"/>
      </right>
      <top/>
      <bottom/>
      <diagonal/>
    </border>
    <border>
      <left style="thin">
        <color theme="6" tint="0.59999389629810485"/>
      </left>
      <right/>
      <top/>
      <bottom style="thin">
        <color theme="6" tint="0.59999389629810485"/>
      </bottom>
      <diagonal/>
    </border>
    <border>
      <left/>
      <right style="thin">
        <color theme="6" tint="0.59999389629810485"/>
      </right>
      <top/>
      <bottom style="thin">
        <color theme="6" tint="0.59999389629810485"/>
      </bottom>
      <diagonal/>
    </border>
    <border>
      <left style="thin">
        <color theme="6" tint="0.59999389629810485"/>
      </left>
      <right/>
      <top style="thin">
        <color theme="3" tint="0.499984740745262"/>
      </top>
      <bottom/>
      <diagonal/>
    </border>
    <border>
      <left/>
      <right style="thin">
        <color theme="6" tint="0.59999389629810485"/>
      </right>
      <top style="thin">
        <color theme="3" tint="0.499984740745262"/>
      </top>
      <bottom/>
      <diagonal/>
    </border>
    <border>
      <left/>
      <right/>
      <top/>
      <bottom style="thin">
        <color theme="0" tint="-0.249977111117893"/>
      </bottom>
      <diagonal/>
    </border>
    <border>
      <left/>
      <right/>
      <top/>
      <bottom style="thin">
        <color theme="6" tint="0.59999389629810485"/>
      </bottom>
      <diagonal/>
    </border>
    <border>
      <left/>
      <right style="thin">
        <color theme="3" tint="0.499984740745262"/>
      </right>
      <top/>
      <bottom/>
      <diagonal/>
    </border>
    <border>
      <left/>
      <right/>
      <top style="thin">
        <color theme="3" tint="0.499984740745262"/>
      </top>
      <bottom/>
      <diagonal/>
    </border>
    <border>
      <left style="thin">
        <color theme="3" tint="0.499984740745262"/>
      </left>
      <right/>
      <top/>
      <bottom/>
      <diagonal/>
    </border>
    <border>
      <left style="thin">
        <color theme="3" tint="0.499984740745262"/>
      </left>
      <right/>
      <top/>
      <bottom style="thin">
        <color theme="3" tint="0.499984740745262"/>
      </bottom>
      <diagonal/>
    </border>
    <border>
      <left style="thin">
        <color theme="2" tint="-0.14999847407452621"/>
      </left>
      <right style="thin">
        <color theme="2" tint="-0.14999847407452621"/>
      </right>
      <top style="thin">
        <color theme="2" tint="-0.14999847407452621"/>
      </top>
      <bottom style="thin">
        <color theme="2" tint="-0.14999847407452621"/>
      </bottom>
      <diagonal/>
    </border>
    <border>
      <left/>
      <right style="thin">
        <color theme="0" tint="-0.249977111117893"/>
      </right>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thin">
        <color theme="3" tint="0.499984740745262"/>
      </top>
      <bottom style="thin">
        <color theme="3" tint="0.499984740745262"/>
      </bottom>
      <diagonal/>
    </border>
    <border>
      <left/>
      <right/>
      <top/>
      <bottom style="thin">
        <color theme="3" tint="0.4999847407452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thin">
        <color rgb="FF000000"/>
      </left>
      <right style="thin">
        <color indexed="64"/>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theme="1" tint="0.499984740745262"/>
      </left>
      <right/>
      <top/>
      <bottom style="thin">
        <color theme="3" tint="0.499984740745262"/>
      </bottom>
      <diagonal/>
    </border>
    <border>
      <left style="thin">
        <color theme="1" tint="0.499984740745262"/>
      </left>
      <right/>
      <top style="thin">
        <color theme="3" tint="0.499984740745262"/>
      </top>
      <bottom style="thin">
        <color theme="3" tint="0.499984740745262"/>
      </bottom>
      <diagonal/>
    </border>
    <border>
      <left/>
      <right style="thin">
        <color theme="1" tint="0.499984740745262"/>
      </right>
      <top/>
      <bottom/>
      <diagonal/>
    </border>
    <border>
      <left/>
      <right style="thin">
        <color theme="1" tint="0.499984740745262"/>
      </right>
      <top/>
      <bottom style="thin">
        <color theme="6" tint="0.59999389629810485"/>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0"/>
      </left>
      <right style="thin">
        <color theme="0"/>
      </right>
      <top style="thin">
        <color theme="0"/>
      </top>
      <bottom style="thin">
        <color theme="0"/>
      </bottom>
      <diagonal/>
    </border>
    <border>
      <left style="thin">
        <color theme="2" tint="-0.14999847407452621"/>
      </left>
      <right/>
      <top style="thin">
        <color theme="2" tint="-0.14999847407452621"/>
      </top>
      <bottom style="thin">
        <color theme="2" tint="-0.14999847407452621"/>
      </bottom>
      <diagonal/>
    </border>
    <border>
      <left style="thin">
        <color theme="2" tint="-0.14999847407452621"/>
      </left>
      <right style="thin">
        <color theme="2" tint="-0.14999847407452621"/>
      </right>
      <top/>
      <bottom style="thin">
        <color theme="2" tint="-0.14999847407452621"/>
      </bottom>
      <diagonal/>
    </border>
    <border>
      <left style="thin">
        <color theme="0"/>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bottom style="thin">
        <color theme="0"/>
      </bottom>
      <diagonal/>
    </border>
    <border>
      <left style="thin">
        <color theme="6" tint="0.59999389629810485"/>
      </left>
      <right/>
      <top style="medium">
        <color indexed="64"/>
      </top>
      <bottom/>
      <diagonal/>
    </border>
    <border>
      <left/>
      <right style="thin">
        <color theme="6" tint="0.59999389629810485"/>
      </right>
      <top style="medium">
        <color indexed="64"/>
      </top>
      <bottom/>
      <diagonal/>
    </border>
    <border>
      <left style="mediumDashed">
        <color theme="3" tint="0.499984740745262"/>
      </left>
      <right style="mediumDashed">
        <color theme="3" tint="0.499984740745262"/>
      </right>
      <top style="mediumDashed">
        <color theme="3" tint="0.499984740745262"/>
      </top>
      <bottom style="mediumDashed">
        <color theme="3" tint="0.499984740745262"/>
      </bottom>
      <diagonal/>
    </border>
    <border>
      <left/>
      <right style="mediumDashed">
        <color theme="3" tint="0.499984740745262"/>
      </right>
      <top/>
      <bottom style="thin">
        <color theme="0" tint="-0.499984740745262"/>
      </bottom>
      <diagonal/>
    </border>
    <border>
      <left/>
      <right/>
      <top/>
      <bottom style="thin">
        <color theme="0" tint="-0.499984740745262"/>
      </bottom>
      <diagonal/>
    </border>
    <border>
      <left/>
      <right style="mediumDashed">
        <color theme="3" tint="0.499984740745262"/>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top style="thin">
        <color theme="0" tint="-0.499984740745262"/>
      </top>
      <bottom/>
      <diagonal/>
    </border>
    <border>
      <left style="thin">
        <color theme="0" tint="-0.499984740745262"/>
      </left>
      <right style="mediumDashed">
        <color theme="3" tint="0.499984740745262"/>
      </right>
      <top style="thin">
        <color theme="0" tint="-0.499984740745262"/>
      </top>
      <bottom style="thin">
        <color theme="0" tint="-0.499984740745262"/>
      </bottom>
      <diagonal/>
    </border>
    <border>
      <left/>
      <right style="thin">
        <color theme="0" tint="-0.499984740745262"/>
      </right>
      <top/>
      <bottom style="thin">
        <color theme="3" tint="0.499984740745262"/>
      </bottom>
      <diagonal/>
    </border>
    <border>
      <left style="thin">
        <color theme="0" tint="-0.499984740745262"/>
      </left>
      <right style="thin">
        <color theme="0" tint="-0.499984740745262"/>
      </right>
      <top/>
      <bottom style="thin">
        <color theme="3" tint="0.499984740745262"/>
      </bottom>
      <diagonal/>
    </border>
    <border>
      <left style="mediumDashed">
        <color theme="3" tint="0.499984740745262"/>
      </left>
      <right style="thin">
        <color theme="0" tint="-0.499984740745262"/>
      </right>
      <top/>
      <bottom style="thin">
        <color theme="3" tint="0.499984740745262"/>
      </bottom>
      <diagonal/>
    </border>
    <border>
      <left/>
      <right/>
      <top style="thin">
        <color theme="3" tint="0.499984740745262"/>
      </top>
      <bottom style="thin">
        <color theme="0" tint="-0.499984740745262"/>
      </bottom>
      <diagonal/>
    </border>
    <border>
      <left style="thin">
        <color theme="0"/>
      </left>
      <right style="thin">
        <color theme="0"/>
      </right>
      <top style="thin">
        <color theme="0"/>
      </top>
      <bottom style="thin">
        <color theme="0" tint="-0.499984740745262"/>
      </bottom>
      <diagonal/>
    </border>
    <border>
      <left style="thin">
        <color theme="0" tint="-0.499984740745262"/>
      </left>
      <right style="thin">
        <color theme="0" tint="-0.499984740745262"/>
      </right>
      <top/>
      <bottom/>
      <diagonal/>
    </border>
    <border>
      <left style="thin">
        <color theme="7"/>
      </left>
      <right style="thin">
        <color theme="7"/>
      </right>
      <top style="thin">
        <color theme="7"/>
      </top>
      <bottom style="thin">
        <color theme="7"/>
      </bottom>
      <diagonal/>
    </border>
    <border>
      <left style="thin">
        <color theme="7"/>
      </left>
      <right style="thin">
        <color theme="7"/>
      </right>
      <top/>
      <bottom style="thin">
        <color theme="7"/>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style="thin">
        <color theme="2" tint="-0.499984740745262"/>
      </top>
      <bottom style="thin">
        <color theme="2" tint="-0.499984740745262"/>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0"/>
      </left>
      <right/>
      <top/>
      <bottom style="thin">
        <color theme="3" tint="0.499984740745262"/>
      </bottom>
      <diagonal/>
    </border>
    <border>
      <left style="thin">
        <color theme="0"/>
      </left>
      <right style="thin">
        <color theme="0" tint="-0.499984740745262"/>
      </right>
      <top/>
      <bottom style="thin">
        <color theme="3" tint="0.499984740745262"/>
      </bottom>
      <diagonal/>
    </border>
    <border>
      <left style="medium">
        <color theme="1" tint="0.499984740745262"/>
      </left>
      <right/>
      <top/>
      <bottom/>
      <diagonal/>
    </border>
    <border>
      <left/>
      <right style="medium">
        <color theme="1" tint="0.499984740745262"/>
      </right>
      <top/>
      <bottom/>
      <diagonal/>
    </border>
    <border>
      <left style="medium">
        <color indexed="64"/>
      </left>
      <right/>
      <top style="thin">
        <color indexed="64"/>
      </top>
      <bottom style="medium">
        <color theme="1" tint="0.499984740745262"/>
      </bottom>
      <diagonal/>
    </border>
    <border>
      <left/>
      <right/>
      <top style="thin">
        <color indexed="64"/>
      </top>
      <bottom style="medium">
        <color theme="1" tint="0.499984740745262"/>
      </bottom>
      <diagonal/>
    </border>
    <border>
      <left/>
      <right/>
      <top style="thin">
        <color theme="3" tint="0.499984740745262"/>
      </top>
      <bottom style="thin">
        <color indexed="64"/>
      </bottom>
      <diagonal/>
    </border>
    <border>
      <left/>
      <right style="thin">
        <color theme="2" tint="-0.14999847407452621"/>
      </right>
      <top style="thin">
        <color theme="2" tint="-0.14999847407452621"/>
      </top>
      <bottom style="thin">
        <color theme="2" tint="-0.14999847407452621"/>
      </bottom>
      <diagonal/>
    </border>
    <border>
      <left style="thin">
        <color theme="2" tint="-0.14999847407452621"/>
      </left>
      <right style="thin">
        <color theme="2" tint="-0.14999847407452621"/>
      </right>
      <top style="thin">
        <color theme="2" tint="-0.14999847407452621"/>
      </top>
      <bottom/>
      <diagonal/>
    </border>
    <border>
      <left/>
      <right/>
      <top style="thin">
        <color theme="0"/>
      </top>
      <bottom/>
      <diagonal/>
    </border>
    <border>
      <left/>
      <right/>
      <top style="thin">
        <color theme="0"/>
      </top>
      <bottom style="thin">
        <color theme="0"/>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theme="0"/>
      </top>
      <bottom style="thin">
        <color theme="3" tint="0.499984740745262"/>
      </bottom>
      <diagonal/>
    </border>
    <border>
      <left/>
      <right/>
      <top style="thin">
        <color theme="3" tint="0.499984740745262"/>
      </top>
      <bottom style="thin">
        <color theme="0"/>
      </bottom>
      <diagonal/>
    </border>
    <border>
      <left/>
      <right style="thin">
        <color theme="0"/>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medium">
        <color indexed="64"/>
      </right>
      <top style="thin">
        <color indexed="64"/>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757171"/>
      </top>
      <bottom style="thin">
        <color rgb="FF75717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thin">
        <color indexed="64"/>
      </left>
      <right/>
      <top style="thin">
        <color indexed="64"/>
      </top>
      <bottom/>
      <diagonal/>
    </border>
    <border>
      <left/>
      <right/>
      <top style="thin">
        <color rgb="FF000000"/>
      </top>
      <bottom/>
      <diagonal/>
    </border>
    <border>
      <left style="thin">
        <color theme="1" tint="0.499984740745262"/>
      </left>
      <right/>
      <top style="thin">
        <color theme="3" tint="0.499984740745262"/>
      </top>
      <bottom/>
      <diagonal/>
    </border>
    <border>
      <left/>
      <right/>
      <top/>
      <bottom style="double">
        <color indexed="64"/>
      </bottom>
      <diagonal/>
    </border>
    <border>
      <left/>
      <right/>
      <top style="double">
        <color indexed="64"/>
      </top>
      <bottom style="thin">
        <color indexed="64"/>
      </bottom>
      <diagonal/>
    </border>
    <border>
      <left/>
      <right/>
      <top style="hair">
        <color indexed="64"/>
      </top>
      <bottom style="hair">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theme="8" tint="-0.499984740745262"/>
      </left>
      <right style="thin">
        <color theme="8" tint="-0.499984740745262"/>
      </right>
      <top style="thin">
        <color theme="8" tint="-0.499984740745262"/>
      </top>
      <bottom style="thin">
        <color theme="8" tint="-0.499984740745262"/>
      </bottom>
      <diagonal/>
    </border>
    <border>
      <left style="medium">
        <color theme="8" tint="-0.499984740745262"/>
      </left>
      <right style="thin">
        <color theme="8" tint="-0.499984740745262"/>
      </right>
      <top style="medium">
        <color theme="8" tint="-0.499984740745262"/>
      </top>
      <bottom style="thin">
        <color theme="8" tint="-0.499984740745262"/>
      </bottom>
      <diagonal/>
    </border>
    <border>
      <left style="thin">
        <color theme="8" tint="-0.499984740745262"/>
      </left>
      <right style="thin">
        <color theme="8" tint="-0.499984740745262"/>
      </right>
      <top style="medium">
        <color theme="8" tint="-0.499984740745262"/>
      </top>
      <bottom style="thin">
        <color theme="8" tint="-0.499984740745262"/>
      </bottom>
      <diagonal/>
    </border>
    <border>
      <left style="thin">
        <color theme="8" tint="-0.499984740745262"/>
      </left>
      <right style="medium">
        <color theme="8" tint="-0.499984740745262"/>
      </right>
      <top style="medium">
        <color theme="8" tint="-0.499984740745262"/>
      </top>
      <bottom style="thin">
        <color theme="8" tint="-0.499984740745262"/>
      </bottom>
      <diagonal/>
    </border>
    <border>
      <left style="medium">
        <color theme="8" tint="-0.499984740745262"/>
      </left>
      <right style="thin">
        <color theme="8" tint="-0.499984740745262"/>
      </right>
      <top style="thin">
        <color theme="8" tint="-0.499984740745262"/>
      </top>
      <bottom style="thin">
        <color theme="8" tint="-0.499984740745262"/>
      </bottom>
      <diagonal/>
    </border>
    <border>
      <left style="thin">
        <color theme="8" tint="-0.499984740745262"/>
      </left>
      <right style="medium">
        <color theme="8" tint="-0.499984740745262"/>
      </right>
      <top style="thin">
        <color theme="8" tint="-0.499984740745262"/>
      </top>
      <bottom style="thin">
        <color theme="8" tint="-0.499984740745262"/>
      </bottom>
      <diagonal/>
    </border>
    <border>
      <left style="medium">
        <color theme="8" tint="-0.499984740745262"/>
      </left>
      <right style="thin">
        <color theme="8" tint="-0.499984740745262"/>
      </right>
      <top style="thin">
        <color theme="8" tint="-0.499984740745262"/>
      </top>
      <bottom style="medium">
        <color theme="8" tint="-0.499984740745262"/>
      </bottom>
      <diagonal/>
    </border>
    <border>
      <left style="thin">
        <color theme="8" tint="-0.499984740745262"/>
      </left>
      <right style="thin">
        <color theme="8" tint="-0.499984740745262"/>
      </right>
      <top style="thin">
        <color theme="8" tint="-0.499984740745262"/>
      </top>
      <bottom style="medium">
        <color theme="8" tint="-0.499984740745262"/>
      </bottom>
      <diagonal/>
    </border>
    <border>
      <left style="thin">
        <color theme="8" tint="-0.499984740745262"/>
      </left>
      <right style="medium">
        <color theme="8" tint="-0.499984740745262"/>
      </right>
      <top style="thin">
        <color theme="8" tint="-0.499984740745262"/>
      </top>
      <bottom style="medium">
        <color theme="8" tint="-0.499984740745262"/>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rgb="FF000000"/>
      </left>
      <right/>
      <top style="thin">
        <color rgb="FF000000"/>
      </top>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top style="thin">
        <color indexed="64"/>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theme="0"/>
      </left>
      <right/>
      <top style="medium">
        <color theme="1" tint="0.499984740745262"/>
      </top>
      <bottom/>
      <diagonal/>
    </border>
    <border>
      <left/>
      <right style="thin">
        <color theme="0"/>
      </right>
      <top style="medium">
        <color theme="1" tint="0.499984740745262"/>
      </top>
      <bottom/>
      <diagonal/>
    </border>
    <border>
      <left style="thin">
        <color theme="8" tint="-0.499984740745262"/>
      </left>
      <right/>
      <top style="medium">
        <color theme="8" tint="-0.499984740745262"/>
      </top>
      <bottom style="thin">
        <color theme="8" tint="-0.499984740745262"/>
      </bottom>
      <diagonal/>
    </border>
    <border>
      <left/>
      <right style="thin">
        <color theme="8" tint="-0.499984740745262"/>
      </right>
      <top style="medium">
        <color theme="8" tint="-0.499984740745262"/>
      </top>
      <bottom style="thin">
        <color theme="8" tint="-0.499984740745262"/>
      </bottom>
      <diagonal/>
    </border>
    <border>
      <left style="thin">
        <color theme="8" tint="-0.499984740745262"/>
      </left>
      <right/>
      <top style="thin">
        <color theme="8" tint="-0.499984740745262"/>
      </top>
      <bottom/>
      <diagonal/>
    </border>
    <border>
      <left style="thin">
        <color theme="8" tint="-0.499984740745262"/>
      </left>
      <right/>
      <top/>
      <bottom/>
      <diagonal/>
    </border>
    <border>
      <left style="thin">
        <color theme="8" tint="-0.499984740745262"/>
      </left>
      <right/>
      <top/>
      <bottom style="medium">
        <color theme="8" tint="-0.499984740745262"/>
      </bottom>
      <diagonal/>
    </border>
    <border>
      <left/>
      <right style="medium">
        <color theme="8" tint="-0.499984740745262"/>
      </right>
      <top style="medium">
        <color theme="8" tint="-0.499984740745262"/>
      </top>
      <bottom style="thin">
        <color theme="8" tint="-0.499984740745262"/>
      </bottom>
      <diagonal/>
    </border>
    <border>
      <left style="thin">
        <color theme="8" tint="-0.499984740745262"/>
      </left>
      <right style="thin">
        <color theme="8" tint="-0.499984740745262"/>
      </right>
      <top style="thin">
        <color theme="8" tint="-0.499984740745262"/>
      </top>
      <bottom/>
      <diagonal/>
    </border>
    <border>
      <left style="thin">
        <color theme="8" tint="-0.499984740745262"/>
      </left>
      <right style="thin">
        <color theme="8" tint="-0.499984740745262"/>
      </right>
      <top/>
      <bottom/>
      <diagonal/>
    </border>
    <border>
      <left/>
      <right/>
      <top/>
      <bottom style="medium">
        <color theme="8" tint="-0.499984740745262"/>
      </bottom>
      <diagonal/>
    </border>
    <border>
      <left style="thin">
        <color theme="8" tint="-0.499984740745262"/>
      </left>
      <right style="thin">
        <color theme="8" tint="-0.499984740745262"/>
      </right>
      <top/>
      <bottom style="medium">
        <color theme="8" tint="-0.499984740745262"/>
      </bottom>
      <diagonal/>
    </border>
    <border>
      <left style="medium">
        <color theme="8" tint="-0.499984740745262"/>
      </left>
      <right style="thin">
        <color theme="8" tint="-0.499984740745262"/>
      </right>
      <top style="thin">
        <color theme="8" tint="-0.499984740745262"/>
      </top>
      <bottom/>
      <diagonal/>
    </border>
    <border>
      <left style="medium">
        <color theme="8" tint="-0.499984740745262"/>
      </left>
      <right style="thin">
        <color theme="8" tint="-0.499984740745262"/>
      </right>
      <top/>
      <bottom/>
      <diagonal/>
    </border>
    <border>
      <left style="medium">
        <color theme="8" tint="-0.499984740745262"/>
      </left>
      <right style="thin">
        <color theme="8" tint="-0.499984740745262"/>
      </right>
      <top/>
      <bottom style="medium">
        <color theme="8" tint="-0.499984740745262"/>
      </bottom>
      <diagonal/>
    </border>
    <border>
      <left style="medium">
        <color theme="8" tint="-0.499984740745262"/>
      </left>
      <right/>
      <top style="medium">
        <color theme="8" tint="-0.499984740745262"/>
      </top>
      <bottom/>
      <diagonal/>
    </border>
    <border>
      <left/>
      <right style="medium">
        <color theme="8" tint="-0.499984740745262"/>
      </right>
      <top style="medium">
        <color theme="8" tint="-0.499984740745262"/>
      </top>
      <bottom/>
      <diagonal/>
    </border>
    <border>
      <left style="medium">
        <color theme="8" tint="-0.499984740745262"/>
      </left>
      <right/>
      <top/>
      <bottom style="medium">
        <color theme="8" tint="-0.499984740745262"/>
      </bottom>
      <diagonal/>
    </border>
    <border>
      <left/>
      <right style="medium">
        <color theme="8" tint="-0.499984740745262"/>
      </right>
      <top/>
      <bottom style="medium">
        <color theme="8" tint="-0.499984740745262"/>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medium">
        <color theme="1" tint="0.499984740745262"/>
      </bottom>
      <diagonal/>
    </border>
    <border>
      <left/>
      <right/>
      <top style="thin">
        <color theme="0"/>
      </top>
      <bottom style="thin">
        <color indexed="64"/>
      </bottom>
      <diagonal/>
    </border>
  </borders>
  <cellStyleXfs count="44">
    <xf numFmtId="0" fontId="0" fillId="0" borderId="0"/>
    <xf numFmtId="0" fontId="132" fillId="0" borderId="0" applyNumberFormat="0" applyFill="0" applyBorder="0" applyAlignment="0" applyProtection="0"/>
    <xf numFmtId="0" fontId="169" fillId="17" borderId="0" applyNumberFormat="0" applyBorder="0" applyAlignment="0" applyProtection="0"/>
    <xf numFmtId="9" fontId="177" fillId="0" borderId="0" applyFont="0" applyFill="0" applyBorder="0" applyAlignment="0" applyProtection="0"/>
    <xf numFmtId="0" fontId="141" fillId="0" borderId="14"/>
    <xf numFmtId="0" fontId="158" fillId="15" borderId="14">
      <alignment vertical="center" wrapText="1"/>
    </xf>
    <xf numFmtId="0" fontId="141" fillId="23" borderId="29" applyNumberFormat="0" applyFont="0" applyAlignment="0">
      <alignment horizontal="left" vertical="center" wrapText="1"/>
    </xf>
    <xf numFmtId="0" fontId="177" fillId="0" borderId="14"/>
    <xf numFmtId="0" fontId="132" fillId="0" borderId="14" applyNumberFormat="0" applyFill="0" applyBorder="0" applyAlignment="0" applyProtection="0"/>
    <xf numFmtId="0" fontId="198" fillId="31" borderId="14" applyNumberFormat="0" applyBorder="0" applyAlignment="0" applyProtection="0"/>
    <xf numFmtId="0" fontId="214" fillId="43" borderId="0" applyNumberFormat="0" applyBorder="0" applyAlignment="0" applyProtection="0"/>
    <xf numFmtId="0" fontId="141" fillId="0" borderId="14"/>
    <xf numFmtId="0" fontId="278" fillId="0" borderId="14"/>
    <xf numFmtId="0" fontId="103" fillId="0" borderId="14"/>
    <xf numFmtId="0" fontId="165" fillId="0" borderId="14"/>
    <xf numFmtId="0" fontId="103" fillId="0" borderId="14"/>
    <xf numFmtId="0" fontId="102" fillId="0" borderId="14"/>
    <xf numFmtId="0" fontId="102" fillId="0" borderId="14"/>
    <xf numFmtId="0" fontId="101" fillId="0" borderId="14"/>
    <xf numFmtId="0" fontId="101" fillId="0" borderId="14"/>
    <xf numFmtId="0" fontId="100" fillId="0" borderId="14"/>
    <xf numFmtId="0" fontId="100" fillId="0" borderId="14"/>
    <xf numFmtId="0" fontId="100" fillId="0" borderId="14"/>
    <xf numFmtId="0" fontId="99" fillId="0" borderId="14"/>
    <xf numFmtId="0" fontId="99" fillId="0" borderId="14"/>
    <xf numFmtId="0" fontId="99" fillId="0" borderId="14"/>
    <xf numFmtId="0" fontId="98" fillId="0" borderId="14"/>
    <xf numFmtId="0" fontId="98" fillId="0" borderId="14"/>
    <xf numFmtId="0" fontId="98" fillId="0" borderId="14"/>
    <xf numFmtId="0" fontId="97" fillId="0" borderId="14"/>
    <xf numFmtId="0" fontId="97" fillId="0" borderId="14"/>
    <xf numFmtId="0" fontId="97" fillId="0" borderId="14"/>
    <xf numFmtId="0" fontId="96" fillId="0" borderId="14"/>
    <xf numFmtId="0" fontId="96" fillId="0" borderId="14"/>
    <xf numFmtId="0" fontId="96" fillId="0" borderId="14"/>
    <xf numFmtId="0" fontId="95" fillId="0" borderId="14"/>
    <xf numFmtId="0" fontId="95" fillId="0" borderId="14"/>
    <xf numFmtId="0" fontId="95" fillId="0" borderId="14"/>
    <xf numFmtId="0" fontId="94" fillId="0" borderId="14"/>
    <xf numFmtId="0" fontId="94" fillId="0" borderId="14"/>
    <xf numFmtId="0" fontId="94" fillId="0" borderId="14"/>
    <xf numFmtId="0" fontId="77" fillId="0" borderId="14"/>
    <xf numFmtId="0" fontId="76" fillId="0" borderId="14"/>
    <xf numFmtId="164" fontId="338" fillId="0" borderId="0" applyFont="0" applyFill="0" applyBorder="0" applyAlignment="0" applyProtection="0"/>
  </cellStyleXfs>
  <cellXfs count="1888">
    <xf numFmtId="0" fontId="0" fillId="0" borderId="0" xfId="0"/>
    <xf numFmtId="0" fontId="123" fillId="7" borderId="14" xfId="0" applyFont="1" applyFill="1" applyBorder="1" applyAlignment="1" applyProtection="1">
      <alignment horizontal="center" vertical="center" wrapText="1"/>
      <protection locked="0"/>
    </xf>
    <xf numFmtId="9" fontId="115" fillId="7" borderId="52" xfId="3" applyFont="1" applyFill="1" applyBorder="1" applyAlignment="1" applyProtection="1">
      <alignment horizontal="center" vertical="center" wrapText="1"/>
      <protection locked="0"/>
    </xf>
    <xf numFmtId="9" fontId="115" fillId="7" borderId="51" xfId="3" applyFont="1" applyFill="1" applyBorder="1" applyAlignment="1" applyProtection="1">
      <alignment horizontal="center" vertical="center" wrapText="1"/>
      <protection locked="0"/>
    </xf>
    <xf numFmtId="9" fontId="115" fillId="7" borderId="44" xfId="3" applyFont="1" applyFill="1" applyBorder="1" applyAlignment="1" applyProtection="1">
      <alignment horizontal="center" vertical="center" wrapText="1"/>
      <protection locked="0"/>
    </xf>
    <xf numFmtId="9" fontId="115" fillId="7" borderId="4" xfId="3" applyFont="1" applyFill="1" applyBorder="1" applyAlignment="1" applyProtection="1">
      <alignment horizontal="center" vertical="center" wrapText="1"/>
      <protection locked="0"/>
    </xf>
    <xf numFmtId="9" fontId="115" fillId="7" borderId="14" xfId="3" applyFont="1" applyFill="1" applyBorder="1" applyAlignment="1" applyProtection="1">
      <alignment horizontal="center" vertical="center" wrapText="1"/>
      <protection locked="0"/>
    </xf>
    <xf numFmtId="0" fontId="126" fillId="7" borderId="52" xfId="0" applyFont="1" applyFill="1" applyBorder="1" applyAlignment="1" applyProtection="1">
      <alignment horizontal="center" vertical="center"/>
      <protection locked="0"/>
    </xf>
    <xf numFmtId="0" fontId="126" fillId="7" borderId="51" xfId="0" applyFont="1" applyFill="1" applyBorder="1" applyAlignment="1" applyProtection="1">
      <alignment horizontal="center" vertical="center"/>
      <protection locked="0"/>
    </xf>
    <xf numFmtId="0" fontId="126" fillId="7" borderId="44" xfId="0" applyFont="1" applyFill="1" applyBorder="1" applyAlignment="1" applyProtection="1">
      <alignment horizontal="center" vertical="center"/>
      <protection locked="0"/>
    </xf>
    <xf numFmtId="0" fontId="126" fillId="7" borderId="14" xfId="0" applyFont="1" applyFill="1" applyBorder="1" applyAlignment="1" applyProtection="1">
      <alignment horizontal="center" vertical="center"/>
      <protection locked="0"/>
    </xf>
    <xf numFmtId="0" fontId="126" fillId="7" borderId="4" xfId="0" applyFont="1" applyFill="1" applyBorder="1" applyAlignment="1" applyProtection="1">
      <alignment horizontal="center" vertical="center"/>
      <protection locked="0"/>
    </xf>
    <xf numFmtId="2" fontId="122" fillId="2" borderId="14" xfId="0" applyNumberFormat="1" applyFont="1" applyFill="1" applyBorder="1" applyAlignment="1" applyProtection="1">
      <alignment horizontal="right" vertical="center"/>
      <protection hidden="1"/>
    </xf>
    <xf numFmtId="170" fontId="126" fillId="23" borderId="52" xfId="6" applyNumberFormat="1" applyFont="1" applyBorder="1" applyAlignment="1" applyProtection="1">
      <alignment horizontal="right" vertical="center" wrapText="1"/>
      <protection hidden="1"/>
    </xf>
    <xf numFmtId="0" fontId="113" fillId="23" borderId="52" xfId="6" applyFont="1" applyBorder="1" applyAlignment="1" applyProtection="1">
      <alignment vertical="center" wrapText="1"/>
      <protection hidden="1"/>
    </xf>
    <xf numFmtId="170" fontId="126" fillId="23" borderId="51" xfId="6" applyNumberFormat="1" applyFont="1" applyBorder="1" applyAlignment="1" applyProtection="1">
      <alignment horizontal="right" vertical="center" wrapText="1"/>
      <protection hidden="1"/>
    </xf>
    <xf numFmtId="0" fontId="113" fillId="23" borderId="51" xfId="6" applyFont="1" applyBorder="1" applyAlignment="1" applyProtection="1">
      <alignment vertical="center" wrapText="1"/>
      <protection hidden="1"/>
    </xf>
    <xf numFmtId="170" fontId="126" fillId="23" borderId="44" xfId="6" applyNumberFormat="1" applyFont="1" applyBorder="1" applyAlignment="1" applyProtection="1">
      <alignment horizontal="right" vertical="center" wrapText="1"/>
      <protection hidden="1"/>
    </xf>
    <xf numFmtId="0" fontId="113" fillId="23" borderId="44" xfId="6" applyFont="1" applyBorder="1" applyAlignment="1" applyProtection="1">
      <alignment vertical="center" wrapText="1"/>
      <protection hidden="1"/>
    </xf>
    <xf numFmtId="170" fontId="126" fillId="21" borderId="0" xfId="0" applyNumberFormat="1" applyFont="1" applyFill="1" applyAlignment="1" applyProtection="1">
      <alignment horizontal="right" vertical="center" wrapText="1"/>
      <protection hidden="1"/>
    </xf>
    <xf numFmtId="0" fontId="113" fillId="21" borderId="0" xfId="0" applyFont="1" applyFill="1" applyAlignment="1" applyProtection="1">
      <alignment vertical="center" wrapText="1"/>
      <protection hidden="1"/>
    </xf>
    <xf numFmtId="0" fontId="179" fillId="23" borderId="0" xfId="0" applyFont="1" applyFill="1" applyAlignment="1" applyProtection="1">
      <alignment vertical="center"/>
      <protection hidden="1"/>
    </xf>
    <xf numFmtId="170" fontId="126" fillId="23" borderId="14" xfId="6" applyNumberFormat="1" applyFont="1" applyBorder="1" applyAlignment="1" applyProtection="1">
      <alignment horizontal="right" vertical="center" wrapText="1"/>
      <protection hidden="1"/>
    </xf>
    <xf numFmtId="0" fontId="113" fillId="23" borderId="14" xfId="6" applyFont="1" applyBorder="1" applyAlignment="1" applyProtection="1">
      <alignment vertical="center" wrapText="1"/>
      <protection hidden="1"/>
    </xf>
    <xf numFmtId="0" fontId="122" fillId="2" borderId="14" xfId="0" applyFont="1" applyFill="1" applyBorder="1" applyAlignment="1" applyProtection="1">
      <alignment vertical="center"/>
      <protection hidden="1"/>
    </xf>
    <xf numFmtId="165" fontId="195" fillId="23" borderId="14" xfId="0" applyNumberFormat="1" applyFont="1" applyFill="1" applyBorder="1" applyAlignment="1" applyProtection="1">
      <alignment horizontal="center" vertical="center"/>
      <protection hidden="1"/>
    </xf>
    <xf numFmtId="0" fontId="179" fillId="23" borderId="0" xfId="0" applyFont="1" applyFill="1" applyProtection="1">
      <protection hidden="1"/>
    </xf>
    <xf numFmtId="0" fontId="186" fillId="23" borderId="0" xfId="0" applyFont="1" applyFill="1" applyProtection="1">
      <protection hidden="1"/>
    </xf>
    <xf numFmtId="0" fontId="179" fillId="23" borderId="14" xfId="0" applyFont="1" applyFill="1" applyBorder="1" applyAlignment="1" applyProtection="1">
      <alignment vertical="center"/>
      <protection hidden="1"/>
    </xf>
    <xf numFmtId="165" fontId="178" fillId="23" borderId="14" xfId="0" applyNumberFormat="1" applyFont="1" applyFill="1" applyBorder="1" applyAlignment="1" applyProtection="1">
      <alignment vertical="center"/>
      <protection hidden="1"/>
    </xf>
    <xf numFmtId="165" fontId="178" fillId="23" borderId="0" xfId="0" applyNumberFormat="1" applyFont="1" applyFill="1" applyAlignment="1" applyProtection="1">
      <alignment vertical="center"/>
      <protection hidden="1"/>
    </xf>
    <xf numFmtId="0" fontId="179" fillId="23" borderId="0" xfId="0" applyFont="1" applyFill="1" applyAlignment="1" applyProtection="1">
      <alignment wrapText="1"/>
      <protection hidden="1"/>
    </xf>
    <xf numFmtId="0" fontId="193" fillId="0" borderId="14" xfId="0" applyFont="1" applyBorder="1" applyAlignment="1" applyProtection="1">
      <alignment wrapText="1"/>
      <protection hidden="1"/>
    </xf>
    <xf numFmtId="1" fontId="167" fillId="0" borderId="14" xfId="0" applyNumberFormat="1" applyFont="1" applyBorder="1" applyProtection="1">
      <protection hidden="1"/>
    </xf>
    <xf numFmtId="167" fontId="167" fillId="0" borderId="14" xfId="0" applyNumberFormat="1" applyFont="1" applyBorder="1" applyProtection="1">
      <protection hidden="1"/>
    </xf>
    <xf numFmtId="1" fontId="192" fillId="0" borderId="14" xfId="0" applyNumberFormat="1" applyFont="1" applyBorder="1" applyProtection="1">
      <protection hidden="1"/>
    </xf>
    <xf numFmtId="1" fontId="194" fillId="23" borderId="14" xfId="0" applyNumberFormat="1" applyFont="1" applyFill="1" applyBorder="1" applyProtection="1">
      <protection hidden="1"/>
    </xf>
    <xf numFmtId="1" fontId="193" fillId="0" borderId="14" xfId="0" applyNumberFormat="1" applyFont="1" applyBorder="1" applyAlignment="1" applyProtection="1">
      <alignment wrapText="1"/>
      <protection hidden="1"/>
    </xf>
    <xf numFmtId="1" fontId="193" fillId="0" borderId="14" xfId="0" applyNumberFormat="1" applyFont="1" applyBorder="1" applyProtection="1">
      <protection hidden="1"/>
    </xf>
    <xf numFmtId="1" fontId="167" fillId="0" borderId="14" xfId="0" applyNumberFormat="1" applyFont="1" applyBorder="1" applyAlignment="1" applyProtection="1">
      <alignment horizontal="right"/>
      <protection hidden="1"/>
    </xf>
    <xf numFmtId="1" fontId="194" fillId="0" borderId="14" xfId="0" applyNumberFormat="1" applyFont="1" applyBorder="1" applyProtection="1">
      <protection hidden="1"/>
    </xf>
    <xf numFmtId="0" fontId="167" fillId="0" borderId="14" xfId="0" applyFont="1" applyBorder="1" applyProtection="1">
      <protection hidden="1"/>
    </xf>
    <xf numFmtId="0" fontId="167" fillId="0" borderId="59" xfId="0" applyFont="1" applyBorder="1" applyProtection="1">
      <protection hidden="1"/>
    </xf>
    <xf numFmtId="165" fontId="180" fillId="23" borderId="0" xfId="0" applyNumberFormat="1" applyFont="1" applyFill="1" applyAlignment="1" applyProtection="1">
      <alignment vertical="center"/>
      <protection hidden="1"/>
    </xf>
    <xf numFmtId="0" fontId="164" fillId="23" borderId="0" xfId="0" applyFont="1" applyFill="1" applyAlignment="1" applyProtection="1">
      <alignment vertical="center"/>
      <protection hidden="1"/>
    </xf>
    <xf numFmtId="165" fontId="180" fillId="23" borderId="14" xfId="0" applyNumberFormat="1" applyFont="1" applyFill="1" applyBorder="1" applyAlignment="1" applyProtection="1">
      <alignment vertical="center"/>
      <protection hidden="1"/>
    </xf>
    <xf numFmtId="0" fontId="118" fillId="5" borderId="14" xfId="0" applyFont="1" applyFill="1" applyBorder="1" applyAlignment="1" applyProtection="1">
      <alignment vertical="center" wrapText="1"/>
      <protection hidden="1"/>
    </xf>
    <xf numFmtId="3" fontId="209" fillId="0" borderId="70" xfId="0" applyNumberFormat="1" applyFont="1" applyBorder="1" applyAlignment="1" applyProtection="1">
      <alignment horizontal="center" vertical="center" wrapText="1"/>
      <protection hidden="1"/>
    </xf>
    <xf numFmtId="3" fontId="210" fillId="0" borderId="70" xfId="0" applyNumberFormat="1" applyFont="1" applyBorder="1" applyAlignment="1" applyProtection="1">
      <alignment horizontal="center" vertical="center" wrapText="1"/>
      <protection hidden="1"/>
    </xf>
    <xf numFmtId="0" fontId="168" fillId="0" borderId="4" xfId="0" applyFont="1" applyBorder="1" applyProtection="1">
      <protection hidden="1"/>
    </xf>
    <xf numFmtId="0" fontId="168" fillId="0" borderId="0" xfId="0" applyFont="1" applyAlignment="1" applyProtection="1">
      <alignment wrapText="1"/>
      <protection hidden="1"/>
    </xf>
    <xf numFmtId="0" fontId="168" fillId="0" borderId="4" xfId="0" applyFont="1" applyBorder="1" applyAlignment="1" applyProtection="1">
      <alignment wrapText="1"/>
      <protection hidden="1"/>
    </xf>
    <xf numFmtId="0" fontId="168" fillId="0" borderId="14" xfId="0" applyFont="1" applyBorder="1" applyProtection="1">
      <protection hidden="1"/>
    </xf>
    <xf numFmtId="0" fontId="168" fillId="0" borderId="0" xfId="0" applyFont="1" applyProtection="1">
      <protection hidden="1"/>
    </xf>
    <xf numFmtId="0" fontId="168" fillId="0" borderId="0" xfId="0" applyFont="1" applyAlignment="1" applyProtection="1">
      <alignment vertical="center"/>
      <protection hidden="1"/>
    </xf>
    <xf numFmtId="0" fontId="168" fillId="0" borderId="14" xfId="0" applyFont="1" applyBorder="1" applyAlignment="1" applyProtection="1">
      <alignment wrapText="1"/>
      <protection hidden="1"/>
    </xf>
    <xf numFmtId="0" fontId="168" fillId="0" borderId="0" xfId="2" applyFont="1" applyFill="1" applyAlignment="1" applyProtection="1">
      <alignment wrapText="1"/>
      <protection hidden="1"/>
    </xf>
    <xf numFmtId="169" fontId="168" fillId="0" borderId="0" xfId="0" applyNumberFormat="1" applyFont="1" applyAlignment="1" applyProtection="1">
      <alignment wrapText="1"/>
      <protection hidden="1"/>
    </xf>
    <xf numFmtId="2" fontId="168" fillId="0" borderId="0" xfId="0" applyNumberFormat="1" applyFont="1" applyProtection="1">
      <protection hidden="1"/>
    </xf>
    <xf numFmtId="0" fontId="191" fillId="0" borderId="0" xfId="0" applyFont="1" applyProtection="1">
      <protection hidden="1"/>
    </xf>
    <xf numFmtId="167" fontId="168" fillId="0" borderId="0" xfId="0" applyNumberFormat="1" applyFont="1" applyProtection="1">
      <protection hidden="1"/>
    </xf>
    <xf numFmtId="168" fontId="168" fillId="0" borderId="0" xfId="0" applyNumberFormat="1" applyFont="1" applyProtection="1">
      <protection hidden="1"/>
    </xf>
    <xf numFmtId="168" fontId="191" fillId="0" borderId="0" xfId="0" applyNumberFormat="1" applyFont="1" applyProtection="1">
      <protection hidden="1"/>
    </xf>
    <xf numFmtId="168" fontId="168" fillId="0" borderId="4" xfId="0" applyNumberFormat="1" applyFont="1" applyBorder="1" applyProtection="1">
      <protection hidden="1"/>
    </xf>
    <xf numFmtId="2" fontId="168" fillId="0" borderId="4" xfId="0" applyNumberFormat="1" applyFont="1" applyBorder="1" applyProtection="1">
      <protection hidden="1"/>
    </xf>
    <xf numFmtId="165" fontId="168" fillId="0" borderId="4" xfId="0" applyNumberFormat="1" applyFont="1" applyBorder="1" applyProtection="1">
      <protection hidden="1"/>
    </xf>
    <xf numFmtId="2" fontId="168" fillId="41" borderId="27" xfId="0" applyNumberFormat="1" applyFont="1" applyFill="1" applyBorder="1" applyAlignment="1" applyProtection="1">
      <alignment horizontal="center" vertical="center" wrapText="1"/>
      <protection hidden="1"/>
    </xf>
    <xf numFmtId="2" fontId="211" fillId="42" borderId="14" xfId="0" applyNumberFormat="1" applyFont="1" applyFill="1" applyBorder="1" applyProtection="1">
      <protection hidden="1"/>
    </xf>
    <xf numFmtId="2" fontId="211" fillId="42" borderId="4" xfId="0" applyNumberFormat="1" applyFont="1" applyFill="1" applyBorder="1" applyProtection="1">
      <protection hidden="1"/>
    </xf>
    <xf numFmtId="2" fontId="212" fillId="42" borderId="4" xfId="0" applyNumberFormat="1" applyFont="1" applyFill="1" applyBorder="1" applyProtection="1">
      <protection hidden="1"/>
    </xf>
    <xf numFmtId="2" fontId="211" fillId="42" borderId="14" xfId="0" applyNumberFormat="1" applyFont="1" applyFill="1" applyBorder="1" applyAlignment="1" applyProtection="1">
      <alignment wrapText="1"/>
      <protection hidden="1"/>
    </xf>
    <xf numFmtId="2" fontId="211" fillId="42" borderId="4" xfId="0" applyNumberFormat="1" applyFont="1" applyFill="1" applyBorder="1" applyAlignment="1" applyProtection="1">
      <alignment wrapText="1"/>
      <protection hidden="1"/>
    </xf>
    <xf numFmtId="2" fontId="211" fillId="42" borderId="0" xfId="0" applyNumberFormat="1" applyFont="1" applyFill="1" applyAlignment="1" applyProtection="1">
      <alignment wrapText="1"/>
      <protection hidden="1"/>
    </xf>
    <xf numFmtId="2" fontId="211" fillId="42" borderId="14" xfId="2" applyNumberFormat="1" applyFont="1" applyFill="1" applyBorder="1" applyAlignment="1" applyProtection="1">
      <alignment wrapText="1"/>
      <protection hidden="1"/>
    </xf>
    <xf numFmtId="2" fontId="211" fillId="42" borderId="4" xfId="2" applyNumberFormat="1" applyFont="1" applyFill="1" applyBorder="1" applyAlignment="1" applyProtection="1">
      <alignment wrapText="1"/>
      <protection hidden="1"/>
    </xf>
    <xf numFmtId="2" fontId="211" fillId="41" borderId="4" xfId="0" applyNumberFormat="1" applyFont="1" applyFill="1" applyBorder="1" applyProtection="1">
      <protection hidden="1"/>
    </xf>
    <xf numFmtId="2" fontId="211" fillId="42" borderId="0" xfId="0" applyNumberFormat="1" applyFont="1" applyFill="1" applyProtection="1">
      <protection hidden="1"/>
    </xf>
    <xf numFmtId="4" fontId="168" fillId="39" borderId="27" xfId="0" applyNumberFormat="1" applyFont="1" applyFill="1" applyBorder="1" applyAlignment="1" applyProtection="1">
      <alignment horizontal="center" vertical="center" wrapText="1"/>
      <protection hidden="1"/>
    </xf>
    <xf numFmtId="4" fontId="211" fillId="40" borderId="14" xfId="0" applyNumberFormat="1" applyFont="1" applyFill="1" applyBorder="1" applyProtection="1">
      <protection hidden="1"/>
    </xf>
    <xf numFmtId="4" fontId="211" fillId="40" borderId="4" xfId="0" applyNumberFormat="1" applyFont="1" applyFill="1" applyBorder="1" applyProtection="1">
      <protection hidden="1"/>
    </xf>
    <xf numFmtId="4" fontId="212" fillId="40" borderId="4" xfId="0" applyNumberFormat="1" applyFont="1" applyFill="1" applyBorder="1" applyProtection="1">
      <protection hidden="1"/>
    </xf>
    <xf numFmtId="4" fontId="211" fillId="40" borderId="14" xfId="0" applyNumberFormat="1" applyFont="1" applyFill="1" applyBorder="1" applyAlignment="1" applyProtection="1">
      <alignment wrapText="1"/>
      <protection hidden="1"/>
    </xf>
    <xf numFmtId="4" fontId="211" fillId="40" borderId="4" xfId="0" applyNumberFormat="1" applyFont="1" applyFill="1" applyBorder="1" applyAlignment="1" applyProtection="1">
      <alignment wrapText="1"/>
      <protection hidden="1"/>
    </xf>
    <xf numFmtId="4" fontId="211" fillId="40" borderId="0" xfId="0" applyNumberFormat="1" applyFont="1" applyFill="1" applyAlignment="1" applyProtection="1">
      <alignment wrapText="1"/>
      <protection hidden="1"/>
    </xf>
    <xf numFmtId="4" fontId="211" fillId="40" borderId="14" xfId="2" applyNumberFormat="1" applyFont="1" applyFill="1" applyBorder="1" applyAlignment="1" applyProtection="1">
      <alignment wrapText="1"/>
      <protection hidden="1"/>
    </xf>
    <xf numFmtId="4" fontId="211" fillId="40" borderId="4" xfId="2" applyNumberFormat="1" applyFont="1" applyFill="1" applyBorder="1" applyAlignment="1" applyProtection="1">
      <alignment wrapText="1"/>
      <protection hidden="1"/>
    </xf>
    <xf numFmtId="4" fontId="211" fillId="39" borderId="4" xfId="0" applyNumberFormat="1" applyFont="1" applyFill="1" applyBorder="1" applyProtection="1">
      <protection hidden="1"/>
    </xf>
    <xf numFmtId="4" fontId="211" fillId="40" borderId="0" xfId="0" applyNumberFormat="1" applyFont="1" applyFill="1" applyProtection="1">
      <protection hidden="1"/>
    </xf>
    <xf numFmtId="3" fontId="126" fillId="23" borderId="52" xfId="6" applyNumberFormat="1" applyFont="1" applyBorder="1" applyAlignment="1" applyProtection="1">
      <alignment horizontal="center" vertical="center" wrapText="1"/>
      <protection hidden="1"/>
    </xf>
    <xf numFmtId="3" fontId="116" fillId="23" borderId="52" xfId="6" applyNumberFormat="1" applyFont="1" applyBorder="1" applyAlignment="1" applyProtection="1">
      <alignment horizontal="center" vertical="center" wrapText="1"/>
      <protection hidden="1"/>
    </xf>
    <xf numFmtId="3" fontId="196" fillId="23" borderId="52" xfId="6" applyNumberFormat="1" applyFont="1" applyBorder="1" applyAlignment="1" applyProtection="1">
      <alignment horizontal="center" vertical="center"/>
      <protection hidden="1"/>
    </xf>
    <xf numFmtId="3" fontId="116" fillId="21" borderId="0" xfId="0" applyNumberFormat="1" applyFont="1" applyFill="1" applyAlignment="1" applyProtection="1">
      <alignment horizontal="center" vertical="center" wrapText="1"/>
      <protection hidden="1"/>
    </xf>
    <xf numFmtId="3" fontId="126" fillId="23" borderId="51" xfId="6" applyNumberFormat="1" applyFont="1" applyBorder="1" applyAlignment="1" applyProtection="1">
      <alignment horizontal="center" vertical="center" wrapText="1"/>
      <protection hidden="1"/>
    </xf>
    <xf numFmtId="3" fontId="116" fillId="23" borderId="51" xfId="6" applyNumberFormat="1" applyFont="1" applyBorder="1" applyAlignment="1" applyProtection="1">
      <alignment horizontal="center" vertical="center" wrapText="1"/>
      <protection hidden="1"/>
    </xf>
    <xf numFmtId="3" fontId="196" fillId="23" borderId="51" xfId="6" applyNumberFormat="1" applyFont="1" applyBorder="1" applyAlignment="1" applyProtection="1">
      <alignment horizontal="center" vertical="center"/>
      <protection hidden="1"/>
    </xf>
    <xf numFmtId="3" fontId="126" fillId="23" borderId="44" xfId="6" applyNumberFormat="1" applyFont="1" applyBorder="1" applyAlignment="1" applyProtection="1">
      <alignment horizontal="center" vertical="center" wrapText="1"/>
      <protection hidden="1"/>
    </xf>
    <xf numFmtId="3" fontId="116" fillId="23" borderId="44" xfId="6" applyNumberFormat="1" applyFont="1" applyBorder="1" applyAlignment="1" applyProtection="1">
      <alignment horizontal="center" vertical="center" wrapText="1"/>
      <protection hidden="1"/>
    </xf>
    <xf numFmtId="3" fontId="196" fillId="23" borderId="44" xfId="6" applyNumberFormat="1" applyFont="1" applyBorder="1" applyAlignment="1" applyProtection="1">
      <alignment horizontal="center" vertical="center"/>
      <protection hidden="1"/>
    </xf>
    <xf numFmtId="3" fontId="126" fillId="21" borderId="0" xfId="0" applyNumberFormat="1" applyFont="1" applyFill="1" applyAlignment="1" applyProtection="1">
      <alignment horizontal="center" vertical="center" wrapText="1"/>
      <protection hidden="1"/>
    </xf>
    <xf numFmtId="3" fontId="196" fillId="21" borderId="0" xfId="0" applyNumberFormat="1" applyFont="1" applyFill="1" applyAlignment="1" applyProtection="1">
      <alignment horizontal="center" vertical="center"/>
      <protection hidden="1"/>
    </xf>
    <xf numFmtId="3" fontId="126" fillId="23" borderId="14" xfId="6" applyNumberFormat="1" applyFont="1" applyBorder="1" applyAlignment="1" applyProtection="1">
      <alignment horizontal="center" vertical="center" wrapText="1"/>
      <protection hidden="1"/>
    </xf>
    <xf numFmtId="3" fontId="116" fillId="23" borderId="14" xfId="6" applyNumberFormat="1" applyFont="1" applyBorder="1" applyAlignment="1" applyProtection="1">
      <alignment horizontal="center" vertical="center" wrapText="1"/>
      <protection hidden="1"/>
    </xf>
    <xf numFmtId="3" fontId="196" fillId="23" borderId="14" xfId="6" applyNumberFormat="1" applyFont="1" applyBorder="1" applyAlignment="1" applyProtection="1">
      <alignment horizontal="center" vertical="center"/>
      <protection hidden="1"/>
    </xf>
    <xf numFmtId="3" fontId="123" fillId="2" borderId="14" xfId="0" applyNumberFormat="1" applyFont="1" applyFill="1" applyBorder="1" applyAlignment="1" applyProtection="1">
      <alignment vertical="center"/>
      <protection hidden="1"/>
    </xf>
    <xf numFmtId="3" fontId="126" fillId="0" borderId="52" xfId="0" applyNumberFormat="1" applyFont="1" applyBorder="1" applyAlignment="1" applyProtection="1">
      <alignment horizontal="center" vertical="center" wrapText="1"/>
      <protection hidden="1"/>
    </xf>
    <xf numFmtId="3" fontId="116" fillId="8" borderId="14" xfId="0" applyNumberFormat="1" applyFont="1" applyFill="1" applyBorder="1" applyAlignment="1" applyProtection="1">
      <alignment horizontal="center" vertical="center" wrapText="1"/>
      <protection hidden="1"/>
    </xf>
    <xf numFmtId="3" fontId="116" fillId="21" borderId="14" xfId="0" applyNumberFormat="1" applyFont="1" applyFill="1" applyBorder="1" applyAlignment="1" applyProtection="1">
      <alignment horizontal="center" vertical="center" wrapText="1"/>
      <protection hidden="1"/>
    </xf>
    <xf numFmtId="167" fontId="126" fillId="7" borderId="52" xfId="3" applyNumberFormat="1" applyFont="1" applyFill="1" applyBorder="1" applyAlignment="1" applyProtection="1">
      <alignment horizontal="right" vertical="center" wrapText="1"/>
      <protection locked="0"/>
    </xf>
    <xf numFmtId="0" fontId="130" fillId="23" borderId="14" xfId="0" applyFont="1" applyFill="1" applyBorder="1" applyAlignment="1" applyProtection="1">
      <alignment vertical="center"/>
      <protection hidden="1"/>
    </xf>
    <xf numFmtId="3" fontId="213" fillId="0" borderId="70" xfId="0" applyNumberFormat="1" applyFont="1" applyBorder="1" applyAlignment="1" applyProtection="1">
      <alignment horizontal="center" vertical="center" wrapText="1"/>
      <protection hidden="1"/>
    </xf>
    <xf numFmtId="0" fontId="159" fillId="23" borderId="14" xfId="0" applyFont="1" applyFill="1" applyBorder="1" applyAlignment="1" applyProtection="1">
      <alignment vertical="center"/>
      <protection hidden="1"/>
    </xf>
    <xf numFmtId="3" fontId="130" fillId="23" borderId="14" xfId="0" applyNumberFormat="1" applyFont="1" applyFill="1" applyBorder="1" applyAlignment="1" applyProtection="1">
      <alignment vertical="center"/>
      <protection hidden="1"/>
    </xf>
    <xf numFmtId="0" fontId="123" fillId="0" borderId="0" xfId="0" applyFont="1" applyAlignment="1" applyProtection="1">
      <alignment wrapText="1"/>
      <protection hidden="1"/>
    </xf>
    <xf numFmtId="0" fontId="123" fillId="11" borderId="4" xfId="0" applyFont="1" applyFill="1" applyBorder="1" applyAlignment="1" applyProtection="1">
      <alignment horizontal="center" wrapText="1"/>
      <protection hidden="1"/>
    </xf>
    <xf numFmtId="0" fontId="123" fillId="18" borderId="4" xfId="0" applyFont="1" applyFill="1" applyBorder="1" applyAlignment="1" applyProtection="1">
      <alignment horizontal="center" wrapText="1"/>
      <protection hidden="1"/>
    </xf>
    <xf numFmtId="0" fontId="123" fillId="0" borderId="0" xfId="0" applyFont="1" applyAlignment="1" applyProtection="1">
      <alignment horizontal="center" wrapText="1"/>
      <protection hidden="1"/>
    </xf>
    <xf numFmtId="0" fontId="123" fillId="0" borderId="21" xfId="0" applyFont="1" applyBorder="1" applyAlignment="1" applyProtection="1">
      <alignment horizontal="center" wrapText="1"/>
      <protection hidden="1"/>
    </xf>
    <xf numFmtId="9" fontId="123" fillId="0" borderId="0" xfId="0" applyNumberFormat="1" applyFont="1" applyAlignment="1" applyProtection="1">
      <alignment horizontal="center" wrapText="1"/>
      <protection hidden="1"/>
    </xf>
    <xf numFmtId="0" fontId="115" fillId="0" borderId="0" xfId="0" applyFont="1" applyAlignment="1" applyProtection="1">
      <alignment wrapText="1"/>
      <protection hidden="1"/>
    </xf>
    <xf numFmtId="0" fontId="130" fillId="0" borderId="17" xfId="0" applyFont="1" applyBorder="1" applyAlignment="1" applyProtection="1">
      <alignment vertical="center" wrapText="1"/>
      <protection hidden="1"/>
    </xf>
    <xf numFmtId="1" fontId="0" fillId="11" borderId="31" xfId="0" applyNumberFormat="1" applyFill="1" applyBorder="1" applyAlignment="1" applyProtection="1">
      <alignment horizontal="center" vertical="center"/>
      <protection hidden="1"/>
    </xf>
    <xf numFmtId="1" fontId="0" fillId="18" borderId="32" xfId="0" applyNumberFormat="1" applyFill="1" applyBorder="1" applyAlignment="1" applyProtection="1">
      <alignment horizontal="center" vertical="center"/>
      <protection hidden="1"/>
    </xf>
    <xf numFmtId="0" fontId="141" fillId="0" borderId="18" xfId="0" applyFont="1" applyBorder="1" applyAlignment="1" applyProtection="1">
      <alignment horizontal="center" vertical="center" wrapText="1"/>
      <protection hidden="1"/>
    </xf>
    <xf numFmtId="0" fontId="0" fillId="0" borderId="30" xfId="0" applyBorder="1" applyAlignment="1" applyProtection="1">
      <alignment horizontal="center" vertical="center" wrapText="1"/>
      <protection hidden="1"/>
    </xf>
    <xf numFmtId="0" fontId="0" fillId="0" borderId="33" xfId="0" applyBorder="1" applyAlignment="1" applyProtection="1">
      <alignment horizontal="center" vertical="center" wrapText="1"/>
      <protection hidden="1"/>
    </xf>
    <xf numFmtId="1" fontId="0" fillId="0" borderId="18" xfId="0" applyNumberFormat="1" applyBorder="1" applyAlignment="1" applyProtection="1">
      <alignment horizontal="center" vertical="center" wrapText="1"/>
      <protection hidden="1"/>
    </xf>
    <xf numFmtId="0" fontId="0" fillId="0" borderId="18" xfId="0" applyBorder="1" applyAlignment="1" applyProtection="1">
      <alignment horizontal="center" vertical="center" wrapText="1"/>
      <protection hidden="1"/>
    </xf>
    <xf numFmtId="0" fontId="141" fillId="0" borderId="0" xfId="0" applyFont="1" applyAlignment="1" applyProtection="1">
      <alignment vertical="center" wrapText="1"/>
      <protection hidden="1"/>
    </xf>
    <xf numFmtId="0" fontId="0" fillId="0" borderId="0" xfId="0" applyAlignment="1" applyProtection="1">
      <alignment wrapText="1"/>
      <protection hidden="1"/>
    </xf>
    <xf numFmtId="0" fontId="130" fillId="0" borderId="18" xfId="0" applyFont="1" applyBorder="1" applyAlignment="1" applyProtection="1">
      <alignment vertical="center" wrapText="1"/>
      <protection hidden="1"/>
    </xf>
    <xf numFmtId="1" fontId="0" fillId="0" borderId="14" xfId="0" applyNumberFormat="1" applyBorder="1" applyAlignment="1" applyProtection="1">
      <alignment horizontal="center" vertical="center"/>
      <protection hidden="1"/>
    </xf>
    <xf numFmtId="0" fontId="141" fillId="0" borderId="33" xfId="0" applyFont="1" applyBorder="1" applyAlignment="1" applyProtection="1">
      <alignment horizontal="center" vertical="center"/>
      <protection hidden="1"/>
    </xf>
    <xf numFmtId="1" fontId="0" fillId="0" borderId="33" xfId="0" applyNumberFormat="1" applyBorder="1" applyAlignment="1" applyProtection="1">
      <alignment horizontal="center" vertical="center"/>
      <protection hidden="1"/>
    </xf>
    <xf numFmtId="1" fontId="0" fillId="0" borderId="34" xfId="0" applyNumberFormat="1" applyBorder="1" applyAlignment="1" applyProtection="1">
      <alignment horizontal="center" vertical="center"/>
      <protection hidden="1"/>
    </xf>
    <xf numFmtId="0" fontId="0" fillId="0" borderId="33" xfId="0" applyBorder="1" applyAlignment="1" applyProtection="1">
      <alignment horizontal="center" vertical="center"/>
      <protection hidden="1"/>
    </xf>
    <xf numFmtId="1" fontId="0" fillId="0" borderId="0" xfId="0" applyNumberFormat="1" applyAlignment="1" applyProtection="1">
      <alignment horizontal="center"/>
      <protection hidden="1"/>
    </xf>
    <xf numFmtId="0" fontId="0" fillId="0" borderId="0" xfId="0" applyAlignment="1" applyProtection="1">
      <alignment horizontal="center"/>
      <protection hidden="1"/>
    </xf>
    <xf numFmtId="0" fontId="0" fillId="0" borderId="0" xfId="0" applyProtection="1">
      <protection hidden="1"/>
    </xf>
    <xf numFmtId="0" fontId="141" fillId="0" borderId="18" xfId="0" applyFont="1" applyBorder="1" applyAlignment="1" applyProtection="1">
      <alignment horizontal="center" vertical="center"/>
      <protection hidden="1"/>
    </xf>
    <xf numFmtId="1" fontId="0" fillId="0" borderId="18" xfId="0" applyNumberFormat="1" applyBorder="1" applyAlignment="1" applyProtection="1">
      <alignment horizontal="center" vertical="center"/>
      <protection hidden="1"/>
    </xf>
    <xf numFmtId="0" fontId="0" fillId="0" borderId="18" xfId="0" applyBorder="1" applyAlignment="1" applyProtection="1">
      <alignment horizontal="center" vertical="center"/>
      <protection hidden="1"/>
    </xf>
    <xf numFmtId="0" fontId="141" fillId="0" borderId="0" xfId="0" applyFont="1" applyAlignment="1" applyProtection="1">
      <alignment vertical="center"/>
      <protection hidden="1"/>
    </xf>
    <xf numFmtId="0" fontId="0" fillId="0" borderId="18" xfId="0" applyBorder="1" applyAlignment="1" applyProtection="1">
      <alignment horizontal="center"/>
      <protection hidden="1"/>
    </xf>
    <xf numFmtId="1" fontId="0" fillId="0" borderId="18" xfId="0" applyNumberFormat="1" applyBorder="1" applyAlignment="1" applyProtection="1">
      <alignment horizontal="center"/>
      <protection hidden="1"/>
    </xf>
    <xf numFmtId="0" fontId="130" fillId="0" borderId="0" xfId="0" applyFont="1" applyAlignment="1" applyProtection="1">
      <alignment wrapText="1"/>
      <protection hidden="1"/>
    </xf>
    <xf numFmtId="0" fontId="0" fillId="0" borderId="21" xfId="0" applyBorder="1" applyAlignment="1" applyProtection="1">
      <alignment horizontal="center" wrapText="1"/>
      <protection hidden="1"/>
    </xf>
    <xf numFmtId="0" fontId="0" fillId="0" borderId="21" xfId="0" applyBorder="1" applyAlignment="1" applyProtection="1">
      <alignment horizontal="center"/>
      <protection hidden="1"/>
    </xf>
    <xf numFmtId="0" fontId="0" fillId="16" borderId="0" xfId="0" applyFill="1" applyAlignment="1" applyProtection="1">
      <alignment horizontal="center"/>
      <protection hidden="1"/>
    </xf>
    <xf numFmtId="0" fontId="0" fillId="16" borderId="21" xfId="0" applyFill="1" applyBorder="1" applyAlignment="1" applyProtection="1">
      <alignment horizontal="center" wrapText="1"/>
      <protection hidden="1"/>
    </xf>
    <xf numFmtId="0" fontId="0" fillId="16" borderId="21" xfId="0" applyFill="1" applyBorder="1" applyAlignment="1" applyProtection="1">
      <alignment horizontal="center"/>
      <protection hidden="1"/>
    </xf>
    <xf numFmtId="0" fontId="0" fillId="16" borderId="0" xfId="0" applyFill="1" applyProtection="1">
      <protection hidden="1"/>
    </xf>
    <xf numFmtId="0" fontId="130" fillId="0" borderId="0" xfId="0" applyFont="1" applyAlignment="1" applyProtection="1">
      <alignment vertical="center" wrapText="1"/>
      <protection hidden="1"/>
    </xf>
    <xf numFmtId="0" fontId="0" fillId="0" borderId="21" xfId="0" applyBorder="1" applyProtection="1">
      <protection hidden="1"/>
    </xf>
    <xf numFmtId="0" fontId="168" fillId="10" borderId="1" xfId="0" applyFont="1" applyFill="1" applyBorder="1" applyAlignment="1" applyProtection="1">
      <alignment horizontal="center" vertical="center" wrapText="1"/>
      <protection hidden="1"/>
    </xf>
    <xf numFmtId="0" fontId="168" fillId="10" borderId="1" xfId="0" applyFont="1" applyFill="1" applyBorder="1" applyAlignment="1" applyProtection="1">
      <alignment horizontal="center" vertical="center" textRotation="90" wrapText="1"/>
      <protection hidden="1"/>
    </xf>
    <xf numFmtId="0" fontId="168" fillId="10" borderId="1" xfId="0" applyFont="1" applyFill="1" applyBorder="1" applyAlignment="1" applyProtection="1">
      <alignment horizontal="center" vertical="center" textRotation="90"/>
      <protection hidden="1"/>
    </xf>
    <xf numFmtId="0" fontId="168" fillId="10" borderId="15" xfId="0" applyFont="1" applyFill="1" applyBorder="1" applyAlignment="1" applyProtection="1">
      <alignment horizontal="center" vertical="center" wrapText="1"/>
      <protection hidden="1"/>
    </xf>
    <xf numFmtId="0" fontId="168" fillId="10" borderId="16" xfId="0" applyFont="1" applyFill="1" applyBorder="1" applyAlignment="1" applyProtection="1">
      <alignment horizontal="center" vertical="center" wrapText="1"/>
      <protection hidden="1"/>
    </xf>
    <xf numFmtId="171" fontId="168" fillId="10" borderId="15" xfId="0" applyNumberFormat="1" applyFont="1" applyFill="1" applyBorder="1" applyAlignment="1" applyProtection="1">
      <alignment horizontal="center" vertical="center" textRotation="90" wrapText="1"/>
      <protection hidden="1"/>
    </xf>
    <xf numFmtId="171" fontId="168" fillId="10" borderId="1" xfId="0" applyNumberFormat="1" applyFont="1" applyFill="1" applyBorder="1" applyAlignment="1" applyProtection="1">
      <alignment horizontal="center" vertical="center" textRotation="90" wrapText="1"/>
      <protection hidden="1"/>
    </xf>
    <xf numFmtId="0" fontId="168" fillId="10" borderId="63" xfId="0" applyFont="1" applyFill="1" applyBorder="1" applyAlignment="1" applyProtection="1">
      <alignment horizontal="center" vertical="center" wrapText="1"/>
      <protection hidden="1"/>
    </xf>
    <xf numFmtId="0" fontId="191" fillId="0" borderId="14" xfId="0" applyFont="1" applyBorder="1" applyProtection="1">
      <protection hidden="1"/>
    </xf>
    <xf numFmtId="0" fontId="191" fillId="0" borderId="14" xfId="1" applyFont="1" applyFill="1" applyBorder="1" applyAlignment="1" applyProtection="1">
      <protection hidden="1"/>
    </xf>
    <xf numFmtId="171" fontId="168" fillId="0" borderId="14" xfId="0" applyNumberFormat="1" applyFont="1" applyBorder="1" applyProtection="1">
      <protection hidden="1"/>
    </xf>
    <xf numFmtId="0" fontId="191" fillId="0" borderId="4" xfId="0" applyFont="1" applyBorder="1" applyProtection="1">
      <protection hidden="1"/>
    </xf>
    <xf numFmtId="171" fontId="168" fillId="0" borderId="0" xfId="0" applyNumberFormat="1" applyFont="1" applyProtection="1">
      <protection hidden="1"/>
    </xf>
    <xf numFmtId="0" fontId="191" fillId="0" borderId="0" xfId="0" applyFont="1" applyAlignment="1" applyProtection="1">
      <alignment wrapText="1"/>
      <protection hidden="1"/>
    </xf>
    <xf numFmtId="171" fontId="168" fillId="0" borderId="0" xfId="0" applyNumberFormat="1" applyFont="1" applyAlignment="1" applyProtection="1">
      <alignment wrapText="1"/>
      <protection hidden="1"/>
    </xf>
    <xf numFmtId="0" fontId="168" fillId="0" borderId="0" xfId="0" applyFont="1" applyAlignment="1" applyProtection="1">
      <alignment vertical="top" wrapText="1"/>
      <protection hidden="1"/>
    </xf>
    <xf numFmtId="0" fontId="191" fillId="0" borderId="4" xfId="0" applyFont="1" applyBorder="1" applyAlignment="1" applyProtection="1">
      <alignment wrapText="1"/>
      <protection hidden="1"/>
    </xf>
    <xf numFmtId="17" fontId="168" fillId="0" borderId="0" xfId="0" applyNumberFormat="1" applyFont="1" applyAlignment="1" applyProtection="1">
      <alignment wrapText="1"/>
      <protection hidden="1"/>
    </xf>
    <xf numFmtId="171" fontId="168" fillId="0" borderId="4" xfId="0" applyNumberFormat="1" applyFont="1" applyBorder="1" applyProtection="1">
      <protection hidden="1"/>
    </xf>
    <xf numFmtId="1" fontId="168" fillId="0" borderId="0" xfId="0" applyNumberFormat="1" applyFont="1" applyAlignment="1" applyProtection="1">
      <alignment wrapText="1"/>
      <protection hidden="1"/>
    </xf>
    <xf numFmtId="171" fontId="191" fillId="0" borderId="0" xfId="0" applyNumberFormat="1" applyFont="1" applyAlignment="1" applyProtection="1">
      <alignment wrapText="1"/>
      <protection hidden="1"/>
    </xf>
    <xf numFmtId="171" fontId="191" fillId="0" borderId="0" xfId="0" applyNumberFormat="1" applyFont="1" applyProtection="1">
      <protection hidden="1"/>
    </xf>
    <xf numFmtId="0" fontId="168" fillId="0" borderId="0" xfId="2" applyFont="1" applyFill="1" applyProtection="1">
      <protection hidden="1"/>
    </xf>
    <xf numFmtId="0" fontId="168" fillId="0" borderId="0" xfId="2" applyFont="1" applyFill="1" applyAlignment="1" applyProtection="1">
      <protection hidden="1"/>
    </xf>
    <xf numFmtId="171" fontId="168" fillId="0" borderId="0" xfId="2" applyNumberFormat="1" applyFont="1" applyFill="1" applyProtection="1">
      <protection hidden="1"/>
    </xf>
    <xf numFmtId="0" fontId="168" fillId="0" borderId="4" xfId="2" applyFont="1" applyFill="1" applyBorder="1" applyAlignment="1" applyProtection="1">
      <alignment wrapText="1"/>
      <protection hidden="1"/>
    </xf>
    <xf numFmtId="0" fontId="191" fillId="0" borderId="0" xfId="1" applyFont="1" applyFill="1" applyProtection="1">
      <protection hidden="1"/>
    </xf>
    <xf numFmtId="0" fontId="168" fillId="0" borderId="0" xfId="3" applyNumberFormat="1" applyFont="1" applyFill="1" applyAlignment="1" applyProtection="1">
      <protection hidden="1"/>
    </xf>
    <xf numFmtId="0" fontId="168" fillId="0" borderId="0" xfId="3" applyNumberFormat="1" applyFont="1" applyFill="1" applyProtection="1">
      <protection hidden="1"/>
    </xf>
    <xf numFmtId="0" fontId="0" fillId="0" borderId="14" xfId="7" applyFont="1" applyProtection="1">
      <protection hidden="1"/>
    </xf>
    <xf numFmtId="0" fontId="197" fillId="0" borderId="14" xfId="9" applyFont="1" applyFill="1" applyBorder="1" applyProtection="1">
      <protection hidden="1"/>
    </xf>
    <xf numFmtId="0" fontId="132" fillId="0" borderId="14" xfId="8" applyFill="1" applyBorder="1" applyAlignment="1" applyProtection="1">
      <alignment horizontal="center"/>
      <protection hidden="1"/>
    </xf>
    <xf numFmtId="0" fontId="177" fillId="0" borderId="14" xfId="7" applyProtection="1">
      <protection hidden="1"/>
    </xf>
    <xf numFmtId="0" fontId="197" fillId="34" borderId="24" xfId="7" applyFont="1" applyFill="1" applyBorder="1" applyProtection="1">
      <protection hidden="1"/>
    </xf>
    <xf numFmtId="0" fontId="197" fillId="34" borderId="24" xfId="7" applyFont="1" applyFill="1" applyBorder="1" applyAlignment="1" applyProtection="1">
      <alignment horizontal="left" vertical="top"/>
      <protection hidden="1"/>
    </xf>
    <xf numFmtId="1" fontId="177" fillId="33" borderId="24" xfId="7" applyNumberFormat="1" applyFill="1" applyBorder="1" applyAlignment="1" applyProtection="1">
      <alignment horizontal="left" vertical="top"/>
      <protection hidden="1"/>
    </xf>
    <xf numFmtId="165" fontId="177" fillId="0" borderId="24" xfId="7" applyNumberFormat="1" applyBorder="1" applyAlignment="1" applyProtection="1">
      <alignment horizontal="left" vertical="top"/>
      <protection hidden="1"/>
    </xf>
    <xf numFmtId="2" fontId="177" fillId="0" borderId="24" xfId="7" applyNumberFormat="1" applyBorder="1" applyAlignment="1" applyProtection="1">
      <alignment horizontal="left" vertical="top"/>
      <protection hidden="1"/>
    </xf>
    <xf numFmtId="0" fontId="197" fillId="0" borderId="14" xfId="7" applyFont="1" applyProtection="1">
      <protection hidden="1"/>
    </xf>
    <xf numFmtId="165" fontId="0" fillId="0" borderId="24" xfId="7" applyNumberFormat="1" applyFont="1" applyBorder="1" applyAlignment="1" applyProtection="1">
      <alignment horizontal="left" vertical="top"/>
      <protection hidden="1"/>
    </xf>
    <xf numFmtId="0" fontId="177" fillId="33" borderId="24" xfId="7" applyFill="1" applyBorder="1" applyAlignment="1" applyProtection="1">
      <alignment horizontal="left" vertical="top"/>
      <protection hidden="1"/>
    </xf>
    <xf numFmtId="0" fontId="0" fillId="0" borderId="14" xfId="7" applyFont="1" applyAlignment="1" applyProtection="1">
      <alignment horizontal="left" indent="1"/>
      <protection hidden="1"/>
    </xf>
    <xf numFmtId="0" fontId="0" fillId="0" borderId="14" xfId="7" applyFont="1" applyAlignment="1" applyProtection="1">
      <alignment horizontal="right" indent="1"/>
      <protection hidden="1"/>
    </xf>
    <xf numFmtId="0" fontId="181" fillId="25" borderId="47" xfId="0" applyFont="1" applyFill="1" applyBorder="1" applyAlignment="1" applyProtection="1">
      <alignment vertical="center" wrapText="1"/>
      <protection hidden="1"/>
    </xf>
    <xf numFmtId="0" fontId="181" fillId="25" borderId="47" xfId="0" applyFont="1" applyFill="1" applyBorder="1" applyAlignment="1" applyProtection="1">
      <alignment vertical="center"/>
      <protection hidden="1"/>
    </xf>
    <xf numFmtId="0" fontId="165" fillId="23" borderId="47" xfId="0" applyFont="1" applyFill="1" applyBorder="1" applyAlignment="1" applyProtection="1">
      <alignment vertical="center" wrapText="1"/>
      <protection hidden="1"/>
    </xf>
    <xf numFmtId="0" fontId="165" fillId="23" borderId="72" xfId="0" applyFont="1" applyFill="1" applyBorder="1" applyAlignment="1" applyProtection="1">
      <alignment vertical="center" wrapText="1"/>
      <protection hidden="1"/>
    </xf>
    <xf numFmtId="0" fontId="158" fillId="15" borderId="71" xfId="5" applyBorder="1" applyAlignment="1" applyProtection="1">
      <alignment horizontal="center" vertical="center" wrapText="1"/>
      <protection hidden="1"/>
    </xf>
    <xf numFmtId="0" fontId="159" fillId="0" borderId="14" xfId="4" applyFont="1" applyAlignment="1" applyProtection="1">
      <alignment wrapText="1"/>
      <protection hidden="1"/>
    </xf>
    <xf numFmtId="3" fontId="181" fillId="25" borderId="47" xfId="0" applyNumberFormat="1" applyFont="1" applyFill="1" applyBorder="1" applyAlignment="1" applyProtection="1">
      <alignment vertical="center" wrapText="1"/>
      <protection hidden="1"/>
    </xf>
    <xf numFmtId="0" fontId="158" fillId="15" borderId="14" xfId="5" applyAlignment="1" applyProtection="1">
      <alignment horizontal="center" vertical="center" wrapText="1"/>
      <protection hidden="1"/>
    </xf>
    <xf numFmtId="0" fontId="159" fillId="24" borderId="47" xfId="0" applyFont="1" applyFill="1" applyBorder="1" applyAlignment="1" applyProtection="1">
      <alignment vertical="center"/>
      <protection hidden="1"/>
    </xf>
    <xf numFmtId="0" fontId="165" fillId="24" borderId="47" xfId="0" applyFont="1" applyFill="1" applyBorder="1" applyAlignment="1" applyProtection="1">
      <alignment vertical="center"/>
      <protection hidden="1"/>
    </xf>
    <xf numFmtId="1" fontId="165" fillId="24" borderId="47" xfId="0" applyNumberFormat="1" applyFont="1" applyFill="1" applyBorder="1" applyAlignment="1" applyProtection="1">
      <alignment vertical="center"/>
      <protection hidden="1"/>
    </xf>
    <xf numFmtId="1" fontId="214" fillId="43" borderId="47" xfId="10" applyNumberFormat="1" applyBorder="1" applyAlignment="1" applyProtection="1">
      <alignment vertical="center"/>
      <protection hidden="1"/>
    </xf>
    <xf numFmtId="0" fontId="0" fillId="23" borderId="47" xfId="0" applyFill="1" applyBorder="1" applyAlignment="1" applyProtection="1">
      <alignment vertical="center"/>
      <protection hidden="1"/>
    </xf>
    <xf numFmtId="0" fontId="0" fillId="23" borderId="73" xfId="0" applyFill="1" applyBorder="1" applyProtection="1">
      <protection hidden="1"/>
    </xf>
    <xf numFmtId="167" fontId="165" fillId="0" borderId="14" xfId="4" applyNumberFormat="1" applyFont="1" applyProtection="1">
      <protection hidden="1"/>
    </xf>
    <xf numFmtId="0" fontId="165" fillId="0" borderId="14" xfId="4" applyFont="1" applyProtection="1">
      <protection hidden="1"/>
    </xf>
    <xf numFmtId="0" fontId="165" fillId="23" borderId="47" xfId="0" applyFont="1" applyFill="1" applyBorder="1" applyAlignment="1" applyProtection="1">
      <alignment vertical="center"/>
      <protection hidden="1"/>
    </xf>
    <xf numFmtId="0" fontId="0" fillId="23" borderId="47" xfId="0" applyFill="1" applyBorder="1" applyProtection="1">
      <protection hidden="1"/>
    </xf>
    <xf numFmtId="0" fontId="0" fillId="23" borderId="47" xfId="0" applyFill="1" applyBorder="1" applyAlignment="1" applyProtection="1">
      <alignment vertical="center" wrapText="1"/>
      <protection hidden="1"/>
    </xf>
    <xf numFmtId="0" fontId="159" fillId="23" borderId="47" xfId="0" applyFont="1" applyFill="1" applyBorder="1" applyAlignment="1" applyProtection="1">
      <alignment vertical="center"/>
      <protection hidden="1"/>
    </xf>
    <xf numFmtId="0" fontId="165" fillId="24" borderId="47" xfId="0" applyFont="1" applyFill="1" applyBorder="1" applyAlignment="1" applyProtection="1">
      <alignment vertical="center" wrapText="1"/>
      <protection hidden="1"/>
    </xf>
    <xf numFmtId="3" fontId="122" fillId="38" borderId="14" xfId="5" applyNumberFormat="1" applyFont="1" applyFill="1" applyAlignment="1" applyProtection="1">
      <alignment horizontal="center" vertical="center" wrapText="1"/>
      <protection hidden="1"/>
    </xf>
    <xf numFmtId="0" fontId="122" fillId="38" borderId="14" xfId="5" applyFont="1" applyFill="1" applyAlignment="1" applyProtection="1">
      <alignment horizontal="center" vertical="center" wrapText="1"/>
      <protection hidden="1"/>
    </xf>
    <xf numFmtId="167" fontId="123" fillId="14" borderId="27" xfId="4" applyNumberFormat="1" applyFont="1" applyFill="1" applyBorder="1" applyAlignment="1" applyProtection="1">
      <alignment horizontal="center" vertical="center"/>
      <protection locked="0"/>
    </xf>
    <xf numFmtId="167" fontId="123" fillId="14" borderId="75" xfId="4" applyNumberFormat="1" applyFont="1" applyFill="1" applyBorder="1" applyAlignment="1" applyProtection="1">
      <alignment horizontal="center" vertical="center"/>
      <protection locked="0"/>
    </xf>
    <xf numFmtId="167" fontId="123" fillId="44" borderId="27" xfId="4" applyNumberFormat="1" applyFont="1" applyFill="1" applyBorder="1" applyAlignment="1" applyProtection="1">
      <alignment horizontal="center" vertical="center"/>
      <protection locked="0"/>
    </xf>
    <xf numFmtId="2" fontId="130" fillId="44" borderId="27" xfId="4" applyNumberFormat="1" applyFont="1" applyFill="1" applyBorder="1" applyAlignment="1" applyProtection="1">
      <alignment horizontal="center" vertical="center"/>
      <protection locked="0"/>
    </xf>
    <xf numFmtId="0" fontId="130" fillId="14" borderId="27" xfId="4" applyFont="1" applyFill="1" applyBorder="1" applyAlignment="1" applyProtection="1">
      <alignment horizontal="center" vertical="center" wrapText="1"/>
      <protection locked="0"/>
    </xf>
    <xf numFmtId="15" fontId="168" fillId="0" borderId="0" xfId="0" applyNumberFormat="1" applyFont="1" applyProtection="1">
      <protection hidden="1"/>
    </xf>
    <xf numFmtId="172" fontId="168" fillId="0" borderId="0" xfId="0" applyNumberFormat="1" applyFont="1" applyAlignment="1" applyProtection="1">
      <alignment wrapText="1"/>
      <protection hidden="1"/>
    </xf>
    <xf numFmtId="0" fontId="216" fillId="0" borderId="14" xfId="8" applyFont="1" applyFill="1" applyProtection="1">
      <protection hidden="1"/>
    </xf>
    <xf numFmtId="15" fontId="168" fillId="0" borderId="0" xfId="0" applyNumberFormat="1" applyFont="1" applyAlignment="1" applyProtection="1">
      <alignment wrapText="1"/>
      <protection hidden="1"/>
    </xf>
    <xf numFmtId="165" fontId="168" fillId="0" borderId="0" xfId="0" applyNumberFormat="1" applyFont="1" applyProtection="1">
      <protection hidden="1"/>
    </xf>
    <xf numFmtId="167" fontId="168" fillId="0" borderId="0" xfId="0" applyNumberFormat="1" applyFont="1" applyAlignment="1" applyProtection="1">
      <alignment wrapText="1"/>
      <protection hidden="1"/>
    </xf>
    <xf numFmtId="170" fontId="126" fillId="23" borderId="0" xfId="0" applyNumberFormat="1" applyFont="1" applyFill="1" applyAlignment="1" applyProtection="1">
      <alignment horizontal="right" vertical="center" wrapText="1"/>
      <protection hidden="1"/>
    </xf>
    <xf numFmtId="0" fontId="113" fillId="23" borderId="0" xfId="0" applyFont="1" applyFill="1" applyAlignment="1" applyProtection="1">
      <alignment vertical="center" wrapText="1"/>
      <protection hidden="1"/>
    </xf>
    <xf numFmtId="3" fontId="126" fillId="23" borderId="0" xfId="0" applyNumberFormat="1" applyFont="1" applyFill="1" applyAlignment="1" applyProtection="1">
      <alignment horizontal="center" vertical="center" wrapText="1"/>
      <protection hidden="1"/>
    </xf>
    <xf numFmtId="3" fontId="116" fillId="23" borderId="0" xfId="0" applyNumberFormat="1" applyFont="1" applyFill="1" applyAlignment="1" applyProtection="1">
      <alignment horizontal="center" vertical="center" wrapText="1"/>
      <protection hidden="1"/>
    </xf>
    <xf numFmtId="3" fontId="196" fillId="23" borderId="0" xfId="0" applyNumberFormat="1" applyFont="1" applyFill="1" applyAlignment="1" applyProtection="1">
      <alignment horizontal="center" vertical="center"/>
      <protection hidden="1"/>
    </xf>
    <xf numFmtId="170" fontId="126" fillId="23" borderId="14" xfId="0" applyNumberFormat="1" applyFont="1" applyFill="1" applyBorder="1" applyAlignment="1" applyProtection="1">
      <alignment horizontal="right" vertical="center" wrapText="1"/>
      <protection hidden="1"/>
    </xf>
    <xf numFmtId="0" fontId="113" fillId="23" borderId="14" xfId="0" applyFont="1" applyFill="1" applyBorder="1" applyAlignment="1" applyProtection="1">
      <alignment vertical="center" wrapText="1"/>
      <protection hidden="1"/>
    </xf>
    <xf numFmtId="3" fontId="126" fillId="23" borderId="14" xfId="0" applyNumberFormat="1" applyFont="1" applyFill="1" applyBorder="1" applyAlignment="1" applyProtection="1">
      <alignment horizontal="center" vertical="center" wrapText="1"/>
      <protection hidden="1"/>
    </xf>
    <xf numFmtId="3" fontId="116" fillId="23" borderId="14" xfId="0" applyNumberFormat="1" applyFont="1" applyFill="1" applyBorder="1" applyAlignment="1" applyProtection="1">
      <alignment horizontal="center" vertical="center" wrapText="1"/>
      <protection hidden="1"/>
    </xf>
    <xf numFmtId="3" fontId="196" fillId="23" borderId="14" xfId="0" applyNumberFormat="1" applyFont="1" applyFill="1" applyBorder="1" applyAlignment="1" applyProtection="1">
      <alignment horizontal="center" vertical="center"/>
      <protection hidden="1"/>
    </xf>
    <xf numFmtId="0" fontId="106" fillId="23" borderId="0" xfId="0" applyFont="1" applyFill="1" applyProtection="1">
      <protection hidden="1"/>
    </xf>
    <xf numFmtId="0" fontId="106" fillId="23" borderId="14" xfId="0" applyFont="1" applyFill="1" applyBorder="1" applyProtection="1">
      <protection hidden="1"/>
    </xf>
    <xf numFmtId="0" fontId="106" fillId="23" borderId="0" xfId="0" applyFont="1" applyFill="1" applyAlignment="1" applyProtection="1">
      <alignment vertical="center"/>
      <protection hidden="1"/>
    </xf>
    <xf numFmtId="0" fontId="106" fillId="23" borderId="14" xfId="0" applyFont="1" applyFill="1" applyBorder="1" applyAlignment="1" applyProtection="1">
      <alignment vertical="center"/>
      <protection hidden="1"/>
    </xf>
    <xf numFmtId="0" fontId="153" fillId="45" borderId="80" xfId="0" applyFont="1" applyFill="1" applyBorder="1" applyAlignment="1" applyProtection="1">
      <alignment vertical="center" wrapText="1"/>
      <protection locked="0"/>
    </xf>
    <xf numFmtId="165" fontId="179" fillId="23" borderId="14" xfId="0" applyNumberFormat="1" applyFont="1" applyFill="1" applyBorder="1" applyAlignment="1" applyProtection="1">
      <alignment vertical="center"/>
      <protection hidden="1"/>
    </xf>
    <xf numFmtId="0" fontId="130" fillId="7" borderId="86" xfId="0" applyFont="1" applyFill="1" applyBorder="1" applyAlignment="1" applyProtection="1">
      <alignment horizontal="center" vertical="center" wrapText="1"/>
      <protection locked="0"/>
    </xf>
    <xf numFmtId="0" fontId="153" fillId="7" borderId="87" xfId="0" applyFont="1" applyFill="1" applyBorder="1" applyAlignment="1" applyProtection="1">
      <alignment vertical="center" wrapText="1"/>
      <protection locked="0"/>
    </xf>
    <xf numFmtId="170" fontId="184" fillId="7" borderId="88" xfId="0" applyNumberFormat="1" applyFont="1" applyFill="1" applyBorder="1" applyAlignment="1" applyProtection="1">
      <alignment vertical="center" wrapText="1"/>
      <protection locked="0"/>
    </xf>
    <xf numFmtId="170" fontId="184" fillId="7" borderId="89" xfId="0" applyNumberFormat="1" applyFont="1" applyFill="1" applyBorder="1" applyAlignment="1" applyProtection="1">
      <alignment vertical="center" wrapText="1"/>
      <protection locked="0"/>
    </xf>
    <xf numFmtId="170" fontId="126" fillId="23" borderId="90" xfId="6" applyNumberFormat="1" applyFont="1" applyBorder="1" applyAlignment="1" applyProtection="1">
      <alignment horizontal="right" vertical="center" wrapText="1"/>
      <protection hidden="1"/>
    </xf>
    <xf numFmtId="0" fontId="113" fillId="23" borderId="90" xfId="6" applyFont="1" applyBorder="1" applyAlignment="1" applyProtection="1">
      <alignment vertical="center" wrapText="1"/>
      <protection hidden="1"/>
    </xf>
    <xf numFmtId="9" fontId="115" fillId="7" borderId="90" xfId="3" applyFont="1" applyFill="1" applyBorder="1" applyAlignment="1" applyProtection="1">
      <alignment horizontal="center" vertical="center" wrapText="1"/>
      <protection locked="0"/>
    </xf>
    <xf numFmtId="0" fontId="126" fillId="7" borderId="90" xfId="0" applyFont="1" applyFill="1" applyBorder="1" applyAlignment="1" applyProtection="1">
      <alignment horizontal="center" vertical="center"/>
      <protection locked="0"/>
    </xf>
    <xf numFmtId="3" fontId="126" fillId="23" borderId="90" xfId="6" applyNumberFormat="1" applyFont="1" applyBorder="1" applyAlignment="1" applyProtection="1">
      <alignment horizontal="center" vertical="center" wrapText="1"/>
      <protection hidden="1"/>
    </xf>
    <xf numFmtId="3" fontId="116" fillId="23" borderId="90" xfId="6" applyNumberFormat="1" applyFont="1" applyBorder="1" applyAlignment="1" applyProtection="1">
      <alignment horizontal="center" vertical="center" wrapText="1"/>
      <protection hidden="1"/>
    </xf>
    <xf numFmtId="3" fontId="196" fillId="23" borderId="90" xfId="6" applyNumberFormat="1" applyFont="1" applyBorder="1" applyAlignment="1" applyProtection="1">
      <alignment horizontal="center" vertical="center"/>
      <protection hidden="1"/>
    </xf>
    <xf numFmtId="170" fontId="126" fillId="23" borderId="82" xfId="6" applyNumberFormat="1" applyFont="1" applyBorder="1" applyAlignment="1" applyProtection="1">
      <alignment horizontal="right" vertical="center" wrapText="1"/>
      <protection hidden="1"/>
    </xf>
    <xf numFmtId="0" fontId="113" fillId="23" borderId="82" xfId="6" applyFont="1" applyBorder="1" applyAlignment="1" applyProtection="1">
      <alignment vertical="center" wrapText="1"/>
      <protection hidden="1"/>
    </xf>
    <xf numFmtId="9" fontId="115" fillId="7" borderId="82" xfId="3" applyFont="1" applyFill="1" applyBorder="1" applyAlignment="1" applyProtection="1">
      <alignment horizontal="center" vertical="center" wrapText="1"/>
      <protection locked="0"/>
    </xf>
    <xf numFmtId="0" fontId="126" fillId="7" borderId="82" xfId="0" applyFont="1" applyFill="1" applyBorder="1" applyAlignment="1" applyProtection="1">
      <alignment horizontal="center" vertical="center"/>
      <protection locked="0"/>
    </xf>
    <xf numFmtId="3" fontId="126" fillId="23" borderId="82" xfId="6" applyNumberFormat="1" applyFont="1" applyBorder="1" applyAlignment="1" applyProtection="1">
      <alignment horizontal="center" vertical="center" wrapText="1"/>
      <protection hidden="1"/>
    </xf>
    <xf numFmtId="3" fontId="116" fillId="23" borderId="82" xfId="6" applyNumberFormat="1" applyFont="1" applyBorder="1" applyAlignment="1" applyProtection="1">
      <alignment horizontal="center" vertical="center" wrapText="1"/>
      <protection hidden="1"/>
    </xf>
    <xf numFmtId="3" fontId="196" fillId="23" borderId="82" xfId="6" applyNumberFormat="1" applyFont="1" applyBorder="1" applyAlignment="1" applyProtection="1">
      <alignment horizontal="center" vertical="center"/>
      <protection hidden="1"/>
    </xf>
    <xf numFmtId="0" fontId="168" fillId="0" borderId="0" xfId="0" applyFont="1" applyAlignment="1" applyProtection="1">
      <alignment horizontal="center"/>
      <protection hidden="1"/>
    </xf>
    <xf numFmtId="0" fontId="168" fillId="0" borderId="0" xfId="0" applyFont="1" applyAlignment="1" applyProtection="1">
      <alignment horizontal="center" wrapText="1"/>
      <protection hidden="1"/>
    </xf>
    <xf numFmtId="0" fontId="174" fillId="30" borderId="88" xfId="0" applyFont="1" applyFill="1" applyBorder="1" applyAlignment="1" applyProtection="1">
      <alignment vertical="center" wrapText="1"/>
      <protection locked="0"/>
    </xf>
    <xf numFmtId="9" fontId="123" fillId="7" borderId="88" xfId="3" applyFont="1" applyFill="1" applyBorder="1" applyAlignment="1" applyProtection="1">
      <alignment horizontal="center" vertical="center" wrapText="1"/>
      <protection locked="0"/>
    </xf>
    <xf numFmtId="1" fontId="214" fillId="0" borderId="47" xfId="10" applyNumberFormat="1" applyFill="1" applyBorder="1" applyAlignment="1" applyProtection="1">
      <alignment vertical="center"/>
      <protection hidden="1"/>
    </xf>
    <xf numFmtId="0" fontId="159" fillId="47" borderId="47" xfId="0" applyFont="1" applyFill="1" applyBorder="1" applyAlignment="1" applyProtection="1">
      <alignment vertical="center"/>
      <protection hidden="1"/>
    </xf>
    <xf numFmtId="0" fontId="141" fillId="0" borderId="14" xfId="7" applyFont="1" applyProtection="1">
      <protection hidden="1"/>
    </xf>
    <xf numFmtId="0" fontId="141" fillId="13" borderId="93" xfId="7" applyFont="1" applyFill="1" applyBorder="1" applyAlignment="1" applyProtection="1">
      <alignment vertical="top" wrapText="1"/>
      <protection hidden="1"/>
    </xf>
    <xf numFmtId="0" fontId="177" fillId="13" borderId="93" xfId="7" applyFill="1" applyBorder="1" applyAlignment="1" applyProtection="1">
      <alignment horizontal="left" vertical="top"/>
      <protection locked="0"/>
    </xf>
    <xf numFmtId="0" fontId="141" fillId="13" borderId="94" xfId="7" applyFont="1" applyFill="1" applyBorder="1" applyAlignment="1" applyProtection="1">
      <alignment vertical="top" wrapText="1"/>
      <protection hidden="1"/>
    </xf>
    <xf numFmtId="0" fontId="130" fillId="35" borderId="24" xfId="7" applyFont="1" applyFill="1" applyBorder="1" applyAlignment="1" applyProtection="1">
      <alignment wrapText="1"/>
      <protection hidden="1"/>
    </xf>
    <xf numFmtId="0" fontId="130" fillId="34" borderId="24" xfId="7" applyFont="1" applyFill="1" applyBorder="1" applyProtection="1">
      <protection hidden="1"/>
    </xf>
    <xf numFmtId="0" fontId="130" fillId="34" borderId="24" xfId="7" applyFont="1" applyFill="1" applyBorder="1" applyAlignment="1" applyProtection="1">
      <alignment horizontal="left" vertical="top"/>
      <protection hidden="1"/>
    </xf>
    <xf numFmtId="0" fontId="130" fillId="35" borderId="24" xfId="7" applyFont="1" applyFill="1" applyBorder="1" applyAlignment="1" applyProtection="1">
      <alignment vertical="top" wrapText="1"/>
      <protection hidden="1"/>
    </xf>
    <xf numFmtId="0" fontId="130" fillId="34" borderId="24" xfId="7" applyFont="1" applyFill="1" applyBorder="1" applyAlignment="1" applyProtection="1">
      <alignment vertical="top" wrapText="1"/>
      <protection hidden="1"/>
    </xf>
    <xf numFmtId="0" fontId="130" fillId="0" borderId="24" xfId="7" applyFont="1" applyBorder="1" applyAlignment="1" applyProtection="1">
      <alignment vertical="top" wrapText="1"/>
      <protection hidden="1"/>
    </xf>
    <xf numFmtId="0" fontId="177" fillId="13" borderId="94" xfId="7" applyFill="1" applyBorder="1" applyAlignment="1" applyProtection="1">
      <alignment horizontal="center" vertical="center" wrapText="1"/>
      <protection locked="0"/>
    </xf>
    <xf numFmtId="0" fontId="141" fillId="13" borderId="94" xfId="7" applyFont="1" applyFill="1" applyBorder="1" applyAlignment="1" applyProtection="1">
      <alignment horizontal="center" vertical="center" wrapText="1"/>
      <protection locked="0"/>
    </xf>
    <xf numFmtId="0" fontId="141" fillId="0" borderId="14" xfId="7" applyFont="1" applyAlignment="1" applyProtection="1">
      <alignment wrapText="1"/>
      <protection hidden="1"/>
    </xf>
    <xf numFmtId="0" fontId="0" fillId="0" borderId="14" xfId="7" applyFont="1" applyAlignment="1" applyProtection="1">
      <alignment wrapText="1"/>
      <protection hidden="1"/>
    </xf>
    <xf numFmtId="3" fontId="126" fillId="0" borderId="102" xfId="0" applyNumberFormat="1" applyFont="1" applyBorder="1" applyAlignment="1" applyProtection="1">
      <alignment horizontal="center" vertical="center" wrapText="1"/>
      <protection hidden="1"/>
    </xf>
    <xf numFmtId="3" fontId="126" fillId="0" borderId="103" xfId="0" applyNumberFormat="1" applyFont="1" applyBorder="1" applyAlignment="1" applyProtection="1">
      <alignment horizontal="center" vertical="center" wrapText="1"/>
      <protection hidden="1"/>
    </xf>
    <xf numFmtId="170" fontId="126" fillId="49" borderId="14" xfId="6" applyNumberFormat="1" applyFont="1" applyFill="1" applyBorder="1" applyAlignment="1" applyProtection="1">
      <alignment horizontal="right" vertical="center" wrapText="1"/>
      <protection hidden="1"/>
    </xf>
    <xf numFmtId="3" fontId="126" fillId="49" borderId="14" xfId="6" applyNumberFormat="1" applyFont="1" applyFill="1" applyBorder="1" applyAlignment="1" applyProtection="1">
      <alignment horizontal="center" vertical="center" wrapText="1"/>
      <protection hidden="1"/>
    </xf>
    <xf numFmtId="3" fontId="199" fillId="49" borderId="14" xfId="6" applyNumberFormat="1" applyFont="1" applyFill="1" applyBorder="1" applyAlignment="1" applyProtection="1">
      <alignment horizontal="center" vertical="center"/>
      <protection hidden="1"/>
    </xf>
    <xf numFmtId="3" fontId="196" fillId="49" borderId="14" xfId="6" applyNumberFormat="1" applyFont="1" applyFill="1" applyBorder="1" applyAlignment="1" applyProtection="1">
      <alignment horizontal="center" vertical="center"/>
      <protection hidden="1"/>
    </xf>
    <xf numFmtId="0" fontId="237" fillId="49" borderId="14" xfId="6" applyFont="1" applyFill="1" applyBorder="1" applyAlignment="1" applyProtection="1">
      <alignment vertical="center" wrapText="1"/>
      <protection hidden="1"/>
    </xf>
    <xf numFmtId="0" fontId="130" fillId="23" borderId="47" xfId="0" applyFont="1" applyFill="1" applyBorder="1" applyAlignment="1" applyProtection="1">
      <alignment vertical="center" wrapText="1"/>
      <protection hidden="1"/>
    </xf>
    <xf numFmtId="1" fontId="126" fillId="23" borderId="47" xfId="0" applyNumberFormat="1" applyFont="1" applyFill="1" applyBorder="1" applyAlignment="1" applyProtection="1">
      <alignment vertical="center" wrapText="1"/>
      <protection hidden="1"/>
    </xf>
    <xf numFmtId="170" fontId="126" fillId="23" borderId="108" xfId="6" applyNumberFormat="1" applyFont="1" applyBorder="1" applyAlignment="1" applyProtection="1">
      <alignment horizontal="right" vertical="center" wrapText="1"/>
      <protection hidden="1"/>
    </xf>
    <xf numFmtId="0" fontId="113" fillId="23" borderId="108" xfId="6" applyFont="1" applyBorder="1" applyAlignment="1" applyProtection="1">
      <alignment vertical="center" wrapText="1"/>
      <protection hidden="1"/>
    </xf>
    <xf numFmtId="9" fontId="115" fillId="7" borderId="108" xfId="3" applyFont="1" applyFill="1" applyBorder="1" applyAlignment="1" applyProtection="1">
      <alignment horizontal="center" vertical="center" wrapText="1"/>
      <protection locked="0"/>
    </xf>
    <xf numFmtId="0" fontId="126" fillId="7" borderId="108" xfId="0" applyFont="1" applyFill="1" applyBorder="1" applyAlignment="1" applyProtection="1">
      <alignment horizontal="center" vertical="center"/>
      <protection locked="0"/>
    </xf>
    <xf numFmtId="3" fontId="126" fillId="23" borderId="108" xfId="6" applyNumberFormat="1" applyFont="1" applyBorder="1" applyAlignment="1" applyProtection="1">
      <alignment horizontal="center" vertical="center" wrapText="1"/>
      <protection hidden="1"/>
    </xf>
    <xf numFmtId="3" fontId="116" fillId="23" borderId="108" xfId="6" applyNumberFormat="1" applyFont="1" applyBorder="1" applyAlignment="1" applyProtection="1">
      <alignment horizontal="center" vertical="center" wrapText="1"/>
      <protection hidden="1"/>
    </xf>
    <xf numFmtId="3" fontId="196" fillId="23" borderId="108" xfId="6" applyNumberFormat="1" applyFont="1" applyBorder="1" applyAlignment="1" applyProtection="1">
      <alignment horizontal="center" vertical="center"/>
      <protection hidden="1"/>
    </xf>
    <xf numFmtId="0" fontId="0" fillId="23" borderId="72" xfId="0" applyFill="1" applyBorder="1" applyAlignment="1" applyProtection="1">
      <alignment vertical="center"/>
      <protection hidden="1"/>
    </xf>
    <xf numFmtId="0" fontId="0" fillId="23" borderId="109" xfId="0" applyFill="1" applyBorder="1" applyAlignment="1" applyProtection="1">
      <alignment vertical="center"/>
      <protection hidden="1"/>
    </xf>
    <xf numFmtId="0" fontId="165" fillId="23" borderId="110" xfId="0" applyFont="1" applyFill="1" applyBorder="1" applyAlignment="1" applyProtection="1">
      <alignment vertical="center" wrapText="1"/>
      <protection hidden="1"/>
    </xf>
    <xf numFmtId="0" fontId="0" fillId="23" borderId="73" xfId="0" applyFill="1" applyBorder="1" applyAlignment="1" applyProtection="1">
      <alignment vertical="center"/>
      <protection hidden="1"/>
    </xf>
    <xf numFmtId="0" fontId="165" fillId="23" borderId="14" xfId="0" applyFont="1" applyFill="1" applyBorder="1" applyAlignment="1" applyProtection="1">
      <alignment vertical="center" wrapText="1"/>
      <protection hidden="1"/>
    </xf>
    <xf numFmtId="0" fontId="181" fillId="54" borderId="14" xfId="0" applyFont="1" applyFill="1" applyBorder="1" applyAlignment="1" applyProtection="1">
      <alignment vertical="center" wrapText="1"/>
      <protection hidden="1"/>
    </xf>
    <xf numFmtId="0" fontId="0" fillId="23" borderId="110" xfId="0" applyFill="1" applyBorder="1" applyAlignment="1" applyProtection="1">
      <alignment vertical="center"/>
      <protection hidden="1"/>
    </xf>
    <xf numFmtId="1" fontId="165" fillId="23" borderId="47" xfId="0" applyNumberFormat="1" applyFont="1" applyFill="1" applyBorder="1" applyAlignment="1" applyProtection="1">
      <alignment vertical="center"/>
      <protection hidden="1"/>
    </xf>
    <xf numFmtId="0" fontId="113" fillId="23" borderId="115" xfId="6" applyFont="1" applyBorder="1" applyAlignment="1" applyProtection="1">
      <alignment vertical="center" wrapText="1"/>
      <protection hidden="1"/>
    </xf>
    <xf numFmtId="0" fontId="113" fillId="23" borderId="116" xfId="6" applyFont="1" applyBorder="1" applyAlignment="1" applyProtection="1">
      <alignment vertical="center" wrapText="1"/>
      <protection hidden="1"/>
    </xf>
    <xf numFmtId="170" fontId="126" fillId="23" borderId="115" xfId="6" applyNumberFormat="1" applyFont="1" applyBorder="1" applyAlignment="1" applyProtection="1">
      <alignment horizontal="right" vertical="center" wrapText="1"/>
      <protection hidden="1"/>
    </xf>
    <xf numFmtId="9" fontId="115" fillId="7" borderId="115" xfId="3" applyFont="1" applyFill="1" applyBorder="1" applyAlignment="1" applyProtection="1">
      <alignment horizontal="center" vertical="center" wrapText="1"/>
      <protection locked="0"/>
    </xf>
    <xf numFmtId="0" fontId="126" fillId="7" borderId="115" xfId="0" applyFont="1" applyFill="1" applyBorder="1" applyAlignment="1" applyProtection="1">
      <alignment horizontal="center" vertical="center"/>
      <protection locked="0"/>
    </xf>
    <xf numFmtId="3" fontId="184" fillId="7" borderId="88" xfId="0" applyNumberFormat="1" applyFont="1" applyFill="1" applyBorder="1" applyAlignment="1" applyProtection="1">
      <alignment horizontal="center" vertical="center"/>
      <protection locked="0"/>
    </xf>
    <xf numFmtId="167" fontId="123" fillId="7" borderId="14" xfId="0" applyNumberFormat="1" applyFont="1" applyFill="1" applyBorder="1" applyAlignment="1" applyProtection="1">
      <alignment horizontal="center" vertical="center" wrapText="1"/>
      <protection locked="0"/>
    </xf>
    <xf numFmtId="2" fontId="122" fillId="2" borderId="14" xfId="0" applyNumberFormat="1" applyFont="1" applyFill="1" applyBorder="1" applyAlignment="1" applyProtection="1">
      <alignment vertical="center"/>
      <protection hidden="1"/>
    </xf>
    <xf numFmtId="2" fontId="147" fillId="0" borderId="14" xfId="4" applyNumberFormat="1" applyFont="1" applyAlignment="1" applyProtection="1">
      <alignment horizontal="center" vertical="center" wrapText="1"/>
      <protection hidden="1"/>
    </xf>
    <xf numFmtId="0" fontId="130" fillId="23" borderId="14" xfId="0" applyFont="1" applyFill="1" applyBorder="1" applyAlignment="1" applyProtection="1">
      <alignment vertical="center" wrapText="1"/>
      <protection hidden="1"/>
    </xf>
    <xf numFmtId="0" fontId="123" fillId="7" borderId="14" xfId="3" applyNumberFormat="1" applyFont="1" applyFill="1" applyBorder="1" applyAlignment="1" applyProtection="1">
      <alignment horizontal="center" vertical="center" wrapText="1"/>
      <protection locked="0"/>
    </xf>
    <xf numFmtId="0" fontId="182" fillId="7" borderId="129" xfId="0" applyFont="1" applyFill="1" applyBorder="1" applyAlignment="1" applyProtection="1">
      <alignment horizontal="center" vertical="center" wrapText="1"/>
      <protection locked="0"/>
    </xf>
    <xf numFmtId="9" fontId="113" fillId="8" borderId="14" xfId="3" applyFont="1" applyFill="1" applyBorder="1" applyAlignment="1" applyProtection="1">
      <alignment vertical="center" wrapText="1"/>
    </xf>
    <xf numFmtId="9" fontId="123" fillId="2" borderId="14" xfId="3" applyFont="1" applyFill="1" applyBorder="1" applyAlignment="1" applyProtection="1">
      <alignment vertical="center"/>
    </xf>
    <xf numFmtId="9" fontId="113" fillId="8" borderId="4" xfId="3" applyFont="1" applyFill="1" applyBorder="1" applyAlignment="1" applyProtection="1">
      <alignment vertical="center" wrapText="1"/>
    </xf>
    <xf numFmtId="9" fontId="122" fillId="2" borderId="14" xfId="3" applyFont="1" applyFill="1" applyBorder="1" applyAlignment="1" applyProtection="1">
      <alignment vertical="center"/>
    </xf>
    <xf numFmtId="9" fontId="126" fillId="8" borderId="14" xfId="3" applyFont="1" applyFill="1" applyBorder="1" applyAlignment="1" applyProtection="1">
      <alignment horizontal="right" vertical="center" wrapText="1"/>
    </xf>
    <xf numFmtId="9" fontId="115" fillId="8" borderId="14" xfId="3" applyFont="1" applyFill="1" applyBorder="1" applyAlignment="1" applyProtection="1">
      <alignment horizontal="center" vertical="center" wrapText="1"/>
    </xf>
    <xf numFmtId="9" fontId="126" fillId="8" borderId="4" xfId="3" applyFont="1" applyFill="1" applyBorder="1" applyAlignment="1" applyProtection="1">
      <alignment horizontal="right" vertical="center" wrapText="1"/>
    </xf>
    <xf numFmtId="9" fontId="127" fillId="8" borderId="4" xfId="3" applyFont="1" applyFill="1" applyBorder="1" applyAlignment="1" applyProtection="1">
      <alignment horizontal="center" vertical="center"/>
    </xf>
    <xf numFmtId="9" fontId="110" fillId="23" borderId="0" xfId="3" applyFont="1" applyFill="1" applyProtection="1"/>
    <xf numFmtId="9" fontId="0" fillId="23" borderId="0" xfId="3" applyFont="1" applyFill="1" applyProtection="1"/>
    <xf numFmtId="9" fontId="0" fillId="0" borderId="0" xfId="3" applyFont="1" applyProtection="1"/>
    <xf numFmtId="9" fontId="0" fillId="0" borderId="0" xfId="3" applyFont="1" applyAlignment="1" applyProtection="1"/>
    <xf numFmtId="9" fontId="127" fillId="8" borderId="14" xfId="3" applyFont="1" applyFill="1" applyBorder="1" applyAlignment="1" applyProtection="1">
      <alignment horizontal="center" vertical="center"/>
    </xf>
    <xf numFmtId="9" fontId="126" fillId="8" borderId="14" xfId="3" applyFont="1" applyFill="1" applyBorder="1" applyAlignment="1" applyProtection="1">
      <alignment horizontal="center" vertical="center" wrapText="1"/>
    </xf>
    <xf numFmtId="9" fontId="110" fillId="8" borderId="14" xfId="3" applyFont="1" applyFill="1" applyBorder="1" applyAlignment="1" applyProtection="1">
      <alignment vertical="center" wrapText="1"/>
    </xf>
    <xf numFmtId="9" fontId="115" fillId="8" borderId="4" xfId="3" applyFont="1" applyFill="1" applyBorder="1" applyAlignment="1" applyProtection="1">
      <alignment vertical="center" wrapText="1"/>
    </xf>
    <xf numFmtId="9" fontId="115" fillId="8" borderId="14" xfId="3" applyFont="1" applyFill="1" applyBorder="1" applyAlignment="1" applyProtection="1">
      <alignment vertical="center" wrapText="1"/>
    </xf>
    <xf numFmtId="9" fontId="126" fillId="8" borderId="4" xfId="3" applyFont="1" applyFill="1" applyBorder="1" applyAlignment="1" applyProtection="1">
      <alignment horizontal="center" vertical="center" wrapText="1"/>
    </xf>
    <xf numFmtId="9" fontId="110" fillId="0" borderId="0" xfId="3" applyFont="1" applyProtection="1"/>
    <xf numFmtId="9" fontId="115" fillId="8" borderId="4" xfId="3" applyFont="1" applyFill="1" applyBorder="1" applyAlignment="1" applyProtection="1">
      <alignment horizontal="center" vertical="center" wrapText="1"/>
    </xf>
    <xf numFmtId="9" fontId="115" fillId="19" borderId="14" xfId="3" applyFont="1" applyFill="1" applyBorder="1" applyAlignment="1" applyProtection="1">
      <alignment horizontal="center" vertical="center" wrapText="1"/>
    </xf>
    <xf numFmtId="9" fontId="115" fillId="19" borderId="4" xfId="3" applyFont="1" applyFill="1" applyBorder="1" applyAlignment="1" applyProtection="1">
      <alignment horizontal="center" vertical="center" wrapText="1"/>
    </xf>
    <xf numFmtId="9" fontId="137" fillId="51" borderId="14" xfId="3" applyFont="1" applyFill="1" applyBorder="1" applyAlignment="1" applyProtection="1">
      <alignment horizontal="center" vertical="center" wrapText="1"/>
    </xf>
    <xf numFmtId="1" fontId="148" fillId="27" borderId="24" xfId="4" applyNumberFormat="1" applyFont="1" applyFill="1" applyBorder="1" applyAlignment="1" applyProtection="1">
      <alignment horizontal="center" vertical="center" wrapText="1"/>
      <protection locked="0"/>
    </xf>
    <xf numFmtId="0" fontId="141" fillId="0" borderId="24" xfId="0" applyFont="1" applyBorder="1" applyProtection="1">
      <protection locked="0"/>
    </xf>
    <xf numFmtId="0" fontId="0" fillId="23" borderId="0" xfId="0" applyFill="1" applyProtection="1">
      <protection locked="0"/>
    </xf>
    <xf numFmtId="0" fontId="115" fillId="23" borderId="0" xfId="0" applyFont="1" applyFill="1" applyProtection="1">
      <protection locked="0"/>
    </xf>
    <xf numFmtId="0" fontId="0" fillId="23" borderId="14" xfId="0" applyFill="1" applyBorder="1" applyAlignment="1" applyProtection="1">
      <alignment vertical="center"/>
      <protection locked="0"/>
    </xf>
    <xf numFmtId="0" fontId="0" fillId="23" borderId="14" xfId="0" applyFill="1" applyBorder="1" applyProtection="1">
      <protection locked="0"/>
    </xf>
    <xf numFmtId="0" fontId="110" fillId="23" borderId="14" xfId="0" applyFont="1" applyFill="1" applyBorder="1" applyAlignment="1" applyProtection="1">
      <alignment vertical="center"/>
      <protection locked="0"/>
    </xf>
    <xf numFmtId="0" fontId="110" fillId="23" borderId="65" xfId="0" applyFont="1" applyFill="1" applyBorder="1" applyAlignment="1" applyProtection="1">
      <alignment vertical="center"/>
      <protection locked="0"/>
    </xf>
    <xf numFmtId="0" fontId="110" fillId="23" borderId="64" xfId="0" applyFont="1" applyFill="1" applyBorder="1" applyAlignment="1" applyProtection="1">
      <alignment vertical="center"/>
      <protection locked="0"/>
    </xf>
    <xf numFmtId="0" fontId="110" fillId="55" borderId="14" xfId="0" applyFont="1" applyFill="1" applyBorder="1" applyAlignment="1" applyProtection="1">
      <alignment vertical="center"/>
      <protection locked="0"/>
    </xf>
    <xf numFmtId="0" fontId="110" fillId="55" borderId="0" xfId="0" applyFont="1" applyFill="1" applyAlignment="1" applyProtection="1">
      <alignment vertical="center"/>
      <protection locked="0"/>
    </xf>
    <xf numFmtId="0" fontId="0" fillId="55" borderId="0" xfId="0" applyFill="1" applyProtection="1">
      <protection locked="0"/>
    </xf>
    <xf numFmtId="173" fontId="130" fillId="44" borderId="27" xfId="4" applyNumberFormat="1" applyFont="1" applyFill="1" applyBorder="1" applyAlignment="1" applyProtection="1">
      <alignment horizontal="center" vertical="center"/>
      <protection locked="0"/>
    </xf>
    <xf numFmtId="174" fontId="130" fillId="44" borderId="27" xfId="4" applyNumberFormat="1" applyFont="1" applyFill="1" applyBorder="1" applyAlignment="1" applyProtection="1">
      <alignment horizontal="center" vertical="center"/>
      <protection locked="0"/>
    </xf>
    <xf numFmtId="1" fontId="148" fillId="27" borderId="65" xfId="4" applyNumberFormat="1" applyFont="1" applyFill="1" applyBorder="1" applyAlignment="1" applyProtection="1">
      <alignment horizontal="center" vertical="center" wrapText="1"/>
      <protection locked="0"/>
    </xf>
    <xf numFmtId="14" fontId="168" fillId="0" borderId="14" xfId="0" applyNumberFormat="1" applyFont="1" applyBorder="1" applyAlignment="1" applyProtection="1">
      <alignment wrapText="1"/>
      <protection hidden="1"/>
    </xf>
    <xf numFmtId="175" fontId="168" fillId="0" borderId="0" xfId="0" applyNumberFormat="1" applyFont="1" applyProtection="1">
      <protection hidden="1"/>
    </xf>
    <xf numFmtId="175" fontId="168" fillId="0" borderId="14" xfId="0" applyNumberFormat="1" applyFont="1" applyBorder="1" applyProtection="1">
      <protection hidden="1"/>
    </xf>
    <xf numFmtId="167" fontId="168" fillId="0" borderId="4" xfId="0" applyNumberFormat="1" applyFont="1" applyBorder="1" applyProtection="1">
      <protection hidden="1"/>
    </xf>
    <xf numFmtId="169" fontId="168" fillId="0" borderId="0" xfId="0" applyNumberFormat="1" applyFont="1" applyProtection="1">
      <protection hidden="1"/>
    </xf>
    <xf numFmtId="176" fontId="168" fillId="0" borderId="0" xfId="0" applyNumberFormat="1" applyFont="1" applyProtection="1">
      <protection hidden="1"/>
    </xf>
    <xf numFmtId="0" fontId="168" fillId="0" borderId="0" xfId="0" quotePrefix="1" applyFont="1" applyProtection="1">
      <protection hidden="1"/>
    </xf>
    <xf numFmtId="1" fontId="168" fillId="10" borderId="1" xfId="0" applyNumberFormat="1" applyFont="1" applyFill="1" applyBorder="1" applyAlignment="1" applyProtection="1">
      <alignment horizontal="center" vertical="center" wrapText="1"/>
      <protection hidden="1"/>
    </xf>
    <xf numFmtId="1" fontId="168" fillId="0" borderId="14" xfId="0" applyNumberFormat="1" applyFont="1" applyBorder="1" applyProtection="1">
      <protection hidden="1"/>
    </xf>
    <xf numFmtId="1" fontId="168" fillId="0" borderId="0" xfId="0" applyNumberFormat="1" applyFont="1" applyProtection="1">
      <protection hidden="1"/>
    </xf>
    <xf numFmtId="1" fontId="168" fillId="0" borderId="4" xfId="0" applyNumberFormat="1" applyFont="1" applyBorder="1" applyProtection="1">
      <protection hidden="1"/>
    </xf>
    <xf numFmtId="1" fontId="168" fillId="0" borderId="0" xfId="2" applyNumberFormat="1" applyFont="1" applyFill="1" applyProtection="1">
      <protection hidden="1"/>
    </xf>
    <xf numFmtId="0" fontId="211" fillId="41" borderId="4" xfId="0" applyFont="1" applyFill="1" applyBorder="1" applyProtection="1">
      <protection hidden="1"/>
    </xf>
    <xf numFmtId="0" fontId="168" fillId="0" borderId="14" xfId="38" applyFont="1" applyAlignment="1" applyProtection="1">
      <alignment wrapText="1"/>
      <protection hidden="1"/>
    </xf>
    <xf numFmtId="9" fontId="172" fillId="44" borderId="27" xfId="3" applyFont="1" applyFill="1" applyBorder="1" applyAlignment="1" applyProtection="1">
      <alignment horizontal="center" vertical="center"/>
    </xf>
    <xf numFmtId="0" fontId="141" fillId="0" borderId="134" xfId="0" applyFont="1" applyBorder="1" applyProtection="1">
      <protection locked="0"/>
    </xf>
    <xf numFmtId="0" fontId="0" fillId="0" borderId="24" xfId="0" applyBorder="1" applyProtection="1">
      <protection locked="0"/>
    </xf>
    <xf numFmtId="3" fontId="213" fillId="0" borderId="14" xfId="0" applyNumberFormat="1" applyFont="1" applyBorder="1" applyAlignment="1" applyProtection="1">
      <alignment horizontal="center" vertical="center" wrapText="1"/>
      <protection hidden="1"/>
    </xf>
    <xf numFmtId="1" fontId="177" fillId="0" borderId="14" xfId="7" applyNumberFormat="1" applyAlignment="1" applyProtection="1">
      <alignment horizontal="left" vertical="top"/>
      <protection hidden="1"/>
    </xf>
    <xf numFmtId="0" fontId="191" fillId="0" borderId="14" xfId="0" applyFont="1" applyBorder="1" applyAlignment="1" applyProtection="1">
      <alignment wrapText="1"/>
      <protection hidden="1"/>
    </xf>
    <xf numFmtId="0" fontId="211" fillId="41" borderId="14" xfId="0" applyFont="1" applyFill="1" applyBorder="1" applyProtection="1">
      <protection hidden="1"/>
    </xf>
    <xf numFmtId="4" fontId="211" fillId="39" borderId="14" xfId="0" applyNumberFormat="1" applyFont="1" applyFill="1" applyBorder="1" applyProtection="1">
      <protection hidden="1"/>
    </xf>
    <xf numFmtId="0" fontId="168" fillId="0" borderId="14" xfId="0" applyFont="1" applyBorder="1" applyAlignment="1" applyProtection="1">
      <alignment horizontal="center"/>
      <protection hidden="1"/>
    </xf>
    <xf numFmtId="9" fontId="113" fillId="23" borderId="52" xfId="6" applyNumberFormat="1" applyFont="1" applyBorder="1" applyAlignment="1" applyProtection="1">
      <alignment vertical="center" wrapText="1"/>
      <protection hidden="1"/>
    </xf>
    <xf numFmtId="0" fontId="168" fillId="0" borderId="0" xfId="0" applyFont="1" applyAlignment="1" applyProtection="1">
      <alignment horizontal="left"/>
      <protection hidden="1"/>
    </xf>
    <xf numFmtId="0" fontId="141" fillId="68" borderId="24" xfId="7" applyFont="1" applyFill="1" applyBorder="1" applyAlignment="1" applyProtection="1">
      <alignment horizontal="left" indent="1"/>
      <protection hidden="1"/>
    </xf>
    <xf numFmtId="165" fontId="177" fillId="69" borderId="24" xfId="7" applyNumberFormat="1" applyFill="1" applyBorder="1" applyAlignment="1" applyProtection="1">
      <alignment horizontal="left" vertical="top"/>
      <protection hidden="1"/>
    </xf>
    <xf numFmtId="2" fontId="177" fillId="69" borderId="24" xfId="7" applyNumberFormat="1" applyFill="1" applyBorder="1" applyAlignment="1" applyProtection="1">
      <alignment horizontal="left" vertical="top"/>
      <protection hidden="1"/>
    </xf>
    <xf numFmtId="0" fontId="141" fillId="23" borderId="14" xfId="4" applyFill="1" applyProtection="1">
      <protection locked="0"/>
    </xf>
    <xf numFmtId="3" fontId="322" fillId="0" borderId="14" xfId="0" applyNumberFormat="1" applyFont="1" applyBorder="1" applyAlignment="1" applyProtection="1">
      <alignment horizontal="center" vertical="center" wrapText="1"/>
      <protection hidden="1"/>
    </xf>
    <xf numFmtId="1" fontId="165" fillId="0" borderId="47" xfId="0" applyNumberFormat="1" applyFont="1" applyBorder="1" applyAlignment="1" applyProtection="1">
      <alignment vertical="center"/>
      <protection hidden="1"/>
    </xf>
    <xf numFmtId="170" fontId="126" fillId="23" borderId="25" xfId="6" applyNumberFormat="1" applyFont="1" applyBorder="1" applyAlignment="1" applyProtection="1">
      <alignment horizontal="right" vertical="center" wrapText="1"/>
      <protection hidden="1"/>
    </xf>
    <xf numFmtId="0" fontId="113" fillId="23" borderId="25" xfId="6" applyFont="1" applyBorder="1" applyAlignment="1" applyProtection="1">
      <alignment vertical="center" wrapText="1"/>
      <protection hidden="1"/>
    </xf>
    <xf numFmtId="9" fontId="115" fillId="7" borderId="25" xfId="3" applyFont="1" applyFill="1" applyBorder="1" applyAlignment="1" applyProtection="1">
      <alignment horizontal="center" vertical="center" wrapText="1"/>
      <protection locked="0"/>
    </xf>
    <xf numFmtId="0" fontId="126" fillId="7" borderId="25" xfId="0" applyFont="1" applyFill="1" applyBorder="1" applyAlignment="1" applyProtection="1">
      <alignment horizontal="center" vertical="center"/>
      <protection locked="0"/>
    </xf>
    <xf numFmtId="3" fontId="126" fillId="23" borderId="25" xfId="6" applyNumberFormat="1" applyFont="1" applyBorder="1" applyAlignment="1" applyProtection="1">
      <alignment horizontal="center" vertical="center" wrapText="1"/>
      <protection hidden="1"/>
    </xf>
    <xf numFmtId="3" fontId="116" fillId="23" borderId="25" xfId="6" applyNumberFormat="1" applyFont="1" applyBorder="1" applyAlignment="1" applyProtection="1">
      <alignment horizontal="center" vertical="center" wrapText="1"/>
      <protection hidden="1"/>
    </xf>
    <xf numFmtId="3" fontId="196" fillId="23" borderId="25" xfId="6" applyNumberFormat="1" applyFont="1" applyBorder="1" applyAlignment="1" applyProtection="1">
      <alignment horizontal="center" vertical="center"/>
      <protection hidden="1"/>
    </xf>
    <xf numFmtId="173" fontId="121" fillId="0" borderId="14" xfId="4" applyNumberFormat="1" applyFont="1" applyAlignment="1" applyProtection="1">
      <alignment horizontal="center" vertical="center" wrapText="1"/>
      <protection hidden="1"/>
    </xf>
    <xf numFmtId="0" fontId="165" fillId="62" borderId="47" xfId="0" applyFont="1" applyFill="1" applyBorder="1" applyAlignment="1" applyProtection="1">
      <alignment vertical="center"/>
      <protection hidden="1"/>
    </xf>
    <xf numFmtId="1" fontId="165" fillId="62" borderId="47" xfId="0" applyNumberFormat="1" applyFont="1" applyFill="1" applyBorder="1" applyAlignment="1" applyProtection="1">
      <alignment vertical="center"/>
      <protection hidden="1"/>
    </xf>
    <xf numFmtId="9" fontId="113" fillId="23" borderId="14" xfId="6" applyNumberFormat="1" applyFont="1" applyBorder="1" applyAlignment="1" applyProtection="1">
      <alignment vertical="center" wrapText="1"/>
      <protection hidden="1"/>
    </xf>
    <xf numFmtId="9" fontId="113" fillId="23" borderId="51" xfId="6" applyNumberFormat="1" applyFont="1" applyBorder="1" applyAlignment="1" applyProtection="1">
      <alignment vertical="center" wrapText="1"/>
      <protection hidden="1"/>
    </xf>
    <xf numFmtId="14" fontId="168" fillId="0" borderId="0" xfId="0" applyNumberFormat="1" applyFont="1" applyAlignment="1" applyProtection="1">
      <alignment wrapText="1"/>
      <protection hidden="1"/>
    </xf>
    <xf numFmtId="49" fontId="168" fillId="0" borderId="14" xfId="38" applyNumberFormat="1" applyFont="1" applyAlignment="1" applyProtection="1">
      <alignment wrapText="1"/>
      <protection hidden="1"/>
    </xf>
    <xf numFmtId="0" fontId="123" fillId="44" borderId="24" xfId="4" applyFont="1" applyFill="1" applyBorder="1" applyAlignment="1" applyProtection="1">
      <alignment horizontal="center" vertical="center"/>
      <protection locked="0"/>
    </xf>
    <xf numFmtId="3" fontId="126" fillId="23" borderId="52" xfId="6" applyNumberFormat="1" applyFont="1" applyBorder="1" applyAlignment="1" applyProtection="1">
      <alignment horizontal="center" vertical="center"/>
      <protection hidden="1"/>
    </xf>
    <xf numFmtId="3" fontId="120" fillId="63" borderId="14" xfId="0" applyNumberFormat="1" applyFont="1" applyFill="1" applyBorder="1" applyAlignment="1" applyProtection="1">
      <alignment horizontal="center" vertical="center" wrapText="1"/>
      <protection hidden="1"/>
    </xf>
    <xf numFmtId="3" fontId="126" fillId="23" borderId="51" xfId="6" applyNumberFormat="1" applyFont="1" applyBorder="1" applyAlignment="1" applyProtection="1">
      <alignment horizontal="center" vertical="center"/>
      <protection hidden="1"/>
    </xf>
    <xf numFmtId="3" fontId="126" fillId="23" borderId="44" xfId="6" applyNumberFormat="1" applyFont="1" applyBorder="1" applyAlignment="1" applyProtection="1">
      <alignment horizontal="center" vertical="center"/>
      <protection hidden="1"/>
    </xf>
    <xf numFmtId="3" fontId="126" fillId="23" borderId="14" xfId="6" applyNumberFormat="1" applyFont="1" applyBorder="1" applyAlignment="1" applyProtection="1">
      <alignment horizontal="center" vertical="center"/>
      <protection hidden="1"/>
    </xf>
    <xf numFmtId="3" fontId="126" fillId="23" borderId="0" xfId="0" applyNumberFormat="1" applyFont="1" applyFill="1" applyAlignment="1" applyProtection="1">
      <alignment horizontal="center" vertical="center"/>
      <protection hidden="1"/>
    </xf>
    <xf numFmtId="3" fontId="126" fillId="21" borderId="0" xfId="0" applyNumberFormat="1" applyFont="1" applyFill="1" applyAlignment="1" applyProtection="1">
      <alignment horizontal="center" vertical="center"/>
      <protection hidden="1"/>
    </xf>
    <xf numFmtId="0" fontId="211" fillId="39" borderId="4" xfId="0" applyFont="1" applyFill="1" applyBorder="1" applyProtection="1">
      <protection hidden="1"/>
    </xf>
    <xf numFmtId="0" fontId="141" fillId="0" borderId="0" xfId="0" applyFont="1" applyAlignment="1" applyProtection="1">
      <alignment wrapText="1"/>
      <protection hidden="1"/>
    </xf>
    <xf numFmtId="0" fontId="141" fillId="0" borderId="0" xfId="0" applyFont="1" applyAlignment="1" applyProtection="1">
      <alignment horizontal="left" vertical="top" wrapText="1"/>
      <protection hidden="1"/>
    </xf>
    <xf numFmtId="0" fontId="0" fillId="0" borderId="0" xfId="0" applyAlignment="1" applyProtection="1">
      <alignment horizontal="left" vertical="top" wrapText="1"/>
      <protection hidden="1"/>
    </xf>
    <xf numFmtId="0" fontId="130" fillId="71" borderId="18" xfId="0" applyFont="1" applyFill="1" applyBorder="1" applyAlignment="1" applyProtection="1">
      <alignment vertical="center" wrapText="1"/>
      <protection hidden="1"/>
    </xf>
    <xf numFmtId="3" fontId="126" fillId="23" borderId="14" xfId="0" applyNumberFormat="1" applyFont="1" applyFill="1" applyBorder="1" applyAlignment="1" applyProtection="1">
      <alignment horizontal="center" vertical="center"/>
      <protection hidden="1"/>
    </xf>
    <xf numFmtId="3" fontId="126" fillId="23" borderId="90" xfId="6" applyNumberFormat="1" applyFont="1" applyBorder="1" applyAlignment="1" applyProtection="1">
      <alignment horizontal="center" vertical="center"/>
      <protection hidden="1"/>
    </xf>
    <xf numFmtId="3" fontId="126" fillId="23" borderId="25" xfId="6" applyNumberFormat="1" applyFont="1" applyBorder="1" applyAlignment="1" applyProtection="1">
      <alignment horizontal="center" vertical="center"/>
      <protection hidden="1"/>
    </xf>
    <xf numFmtId="3" fontId="126" fillId="23" borderId="108" xfId="6" applyNumberFormat="1" applyFont="1" applyBorder="1" applyAlignment="1" applyProtection="1">
      <alignment horizontal="center" vertical="center"/>
      <protection hidden="1"/>
    </xf>
    <xf numFmtId="3" fontId="126" fillId="23" borderId="82" xfId="6" applyNumberFormat="1" applyFont="1" applyBorder="1" applyAlignment="1" applyProtection="1">
      <alignment horizontal="center" vertical="center"/>
      <protection hidden="1"/>
    </xf>
    <xf numFmtId="3" fontId="126" fillId="49" borderId="14" xfId="6" applyNumberFormat="1" applyFont="1" applyFill="1" applyBorder="1" applyAlignment="1" applyProtection="1">
      <alignment horizontal="center" vertical="center"/>
      <protection hidden="1"/>
    </xf>
    <xf numFmtId="3" fontId="335" fillId="0" borderId="70" xfId="0" applyNumberFormat="1" applyFont="1" applyBorder="1" applyAlignment="1" applyProtection="1">
      <alignment horizontal="center" vertical="center" wrapText="1"/>
      <protection hidden="1"/>
    </xf>
    <xf numFmtId="1" fontId="130" fillId="44" borderId="29" xfId="4" applyNumberFormat="1" applyFont="1" applyFill="1" applyBorder="1" applyAlignment="1" applyProtection="1">
      <alignment horizontal="left" vertical="center"/>
      <protection locked="0"/>
    </xf>
    <xf numFmtId="3" fontId="339" fillId="23" borderId="52" xfId="6" applyNumberFormat="1" applyFont="1" applyBorder="1" applyAlignment="1" applyProtection="1">
      <alignment horizontal="center" vertical="center"/>
      <protection hidden="1"/>
    </xf>
    <xf numFmtId="3" fontId="339" fillId="23" borderId="14" xfId="6" applyNumberFormat="1" applyFont="1" applyBorder="1" applyAlignment="1" applyProtection="1">
      <alignment horizontal="center" vertical="center"/>
      <protection hidden="1"/>
    </xf>
    <xf numFmtId="14" fontId="168" fillId="0" borderId="0" xfId="0" applyNumberFormat="1" applyFont="1" applyProtection="1">
      <protection hidden="1"/>
    </xf>
    <xf numFmtId="0" fontId="159" fillId="52" borderId="24" xfId="7" applyFont="1" applyFill="1" applyBorder="1" applyAlignment="1" applyProtection="1">
      <alignment horizontal="center" vertical="center" wrapText="1"/>
      <protection hidden="1"/>
    </xf>
    <xf numFmtId="0" fontId="165" fillId="33" borderId="24" xfId="7" applyFont="1" applyFill="1" applyBorder="1" applyAlignment="1" applyProtection="1">
      <alignment horizontal="left" vertical="center" wrapText="1"/>
      <protection hidden="1"/>
    </xf>
    <xf numFmtId="0" fontId="141" fillId="23" borderId="14" xfId="4" applyFill="1"/>
    <xf numFmtId="0" fontId="242" fillId="23" borderId="14" xfId="4" applyFont="1" applyFill="1" applyAlignment="1">
      <alignment vertical="top" wrapText="1"/>
    </xf>
    <xf numFmtId="0" fontId="278" fillId="0" borderId="14" xfId="12"/>
    <xf numFmtId="0" fontId="279" fillId="0" borderId="14" xfId="12" applyFont="1" applyAlignment="1">
      <alignment vertical="top"/>
    </xf>
    <xf numFmtId="0" fontId="278" fillId="0" borderId="14" xfId="12" applyAlignment="1">
      <alignment vertical="top"/>
    </xf>
    <xf numFmtId="0" fontId="208" fillId="0" borderId="14" xfId="12" applyFont="1" applyAlignment="1">
      <alignment vertical="top" wrapText="1"/>
    </xf>
    <xf numFmtId="0" fontId="279" fillId="59" borderId="14" xfId="12" applyFont="1" applyFill="1" applyAlignment="1">
      <alignment horizontal="right"/>
    </xf>
    <xf numFmtId="0" fontId="232" fillId="0" borderId="14" xfId="12" applyFont="1" applyAlignment="1">
      <alignment vertical="top"/>
    </xf>
    <xf numFmtId="0" fontId="279" fillId="59" borderId="14" xfId="12" applyFont="1" applyFill="1" applyAlignment="1">
      <alignment horizontal="right" vertical="top"/>
    </xf>
    <xf numFmtId="0" fontId="208" fillId="0" borderId="14" xfId="12" applyFont="1" applyAlignment="1">
      <alignment vertical="top"/>
    </xf>
    <xf numFmtId="0" fontId="278" fillId="59" borderId="14" xfId="12" applyFill="1" applyAlignment="1">
      <alignment horizontal="right" vertical="top"/>
    </xf>
    <xf numFmtId="0" fontId="278" fillId="59" borderId="14" xfId="12" applyFill="1" applyAlignment="1">
      <alignment horizontal="left" vertical="top" wrapText="1"/>
    </xf>
    <xf numFmtId="0" fontId="232" fillId="0" borderId="14" xfId="12" applyFont="1" applyAlignment="1">
      <alignment vertical="top" wrapText="1"/>
    </xf>
    <xf numFmtId="0" fontId="208" fillId="0" borderId="14" xfId="12" applyFont="1" applyAlignment="1">
      <alignment horizontal="right" vertical="top"/>
    </xf>
    <xf numFmtId="0" fontId="232" fillId="0" borderId="14" xfId="12" applyFont="1"/>
    <xf numFmtId="49" fontId="278" fillId="59" borderId="14" xfId="12" applyNumberFormat="1" applyFill="1" applyAlignment="1">
      <alignment horizontal="left" vertical="top" wrapText="1"/>
    </xf>
    <xf numFmtId="0" fontId="278" fillId="59" borderId="14" xfId="12" applyFill="1" applyAlignment="1">
      <alignment horizontal="left" vertical="top"/>
    </xf>
    <xf numFmtId="0" fontId="300" fillId="0" borderId="14" xfId="4" applyFont="1" applyAlignment="1">
      <alignment horizontal="right" vertical="center"/>
    </xf>
    <xf numFmtId="0" fontId="141" fillId="63" borderId="14" xfId="4" applyFill="1"/>
    <xf numFmtId="0" fontId="141" fillId="23" borderId="14" xfId="4" applyFill="1" applyAlignment="1">
      <alignment horizontal="center"/>
    </xf>
    <xf numFmtId="0" fontId="141" fillId="23" borderId="14" xfId="4" applyFill="1" applyAlignment="1">
      <alignment wrapText="1"/>
    </xf>
    <xf numFmtId="0" fontId="202" fillId="64" borderId="14" xfId="4" applyFont="1" applyFill="1" applyAlignment="1">
      <alignment horizontal="center" vertical="center" textRotation="90" wrapText="1"/>
    </xf>
    <xf numFmtId="0" fontId="147" fillId="64" borderId="14" xfId="4" applyFont="1" applyFill="1" applyAlignment="1">
      <alignment horizontal="left" vertical="center"/>
    </xf>
    <xf numFmtId="0" fontId="148" fillId="64" borderId="14" xfId="4" applyFont="1" applyFill="1" applyAlignment="1">
      <alignment wrapText="1"/>
    </xf>
    <xf numFmtId="0" fontId="148" fillId="23" borderId="14" xfId="4" applyFont="1" applyFill="1" applyAlignment="1">
      <alignment vertical="center" wrapText="1"/>
    </xf>
    <xf numFmtId="0" fontId="203" fillId="23" borderId="14" xfId="4" applyFont="1" applyFill="1" applyAlignment="1">
      <alignment horizontal="left" vertical="center" wrapText="1"/>
    </xf>
    <xf numFmtId="0" fontId="204" fillId="23" borderId="14" xfId="4" applyFont="1" applyFill="1" applyAlignment="1">
      <alignment horizontal="left" wrapText="1"/>
    </xf>
    <xf numFmtId="0" fontId="206" fillId="23" borderId="14" xfId="4" applyFont="1" applyFill="1" applyAlignment="1">
      <alignment vertical="top" wrapText="1"/>
    </xf>
    <xf numFmtId="0" fontId="141" fillId="23" borderId="14" xfId="4" applyFill="1" applyAlignment="1">
      <alignment vertical="top"/>
    </xf>
    <xf numFmtId="0" fontId="205" fillId="23" borderId="14" xfId="4" applyFont="1" applyFill="1" applyAlignment="1">
      <alignment horizontal="left" wrapText="1"/>
    </xf>
    <xf numFmtId="0" fontId="207" fillId="23" borderId="14" xfId="4" applyFont="1" applyFill="1" applyAlignment="1">
      <alignment wrapText="1"/>
    </xf>
    <xf numFmtId="0" fontId="141" fillId="23" borderId="14" xfId="4" applyFill="1" applyAlignment="1">
      <alignment horizontal="left"/>
    </xf>
    <xf numFmtId="0" fontId="208" fillId="32" borderId="14" xfId="4" applyFont="1" applyFill="1" applyAlignment="1">
      <alignment horizontal="left" wrapText="1"/>
    </xf>
    <xf numFmtId="0" fontId="208" fillId="36" borderId="14" xfId="4" applyFont="1" applyFill="1" applyAlignment="1">
      <alignment horizontal="left" wrapText="1"/>
    </xf>
    <xf numFmtId="0" fontId="208" fillId="13" borderId="14" xfId="4" applyFont="1" applyFill="1" applyAlignment="1">
      <alignment horizontal="left" wrapText="1"/>
    </xf>
    <xf numFmtId="0" fontId="208" fillId="37" borderId="14" xfId="4" applyFont="1" applyFill="1" applyAlignment="1">
      <alignment horizontal="left" wrapText="1"/>
    </xf>
    <xf numFmtId="0" fontId="208" fillId="48" borderId="14" xfId="4" applyFont="1" applyFill="1" applyAlignment="1">
      <alignment horizontal="left" wrapText="1"/>
    </xf>
    <xf numFmtId="0" fontId="218" fillId="23" borderId="14" xfId="4" applyFont="1" applyFill="1" applyAlignment="1">
      <alignment horizontal="left" wrapText="1"/>
    </xf>
    <xf numFmtId="0" fontId="204" fillId="23" borderId="14" xfId="4" applyFont="1" applyFill="1" applyAlignment="1">
      <alignment vertical="center" wrapText="1"/>
    </xf>
    <xf numFmtId="0" fontId="165" fillId="23" borderId="14" xfId="4" applyFont="1" applyFill="1" applyAlignment="1">
      <alignment horizontal="left" wrapText="1"/>
    </xf>
    <xf numFmtId="0" fontId="141" fillId="23" borderId="14" xfId="4" applyFill="1" applyAlignment="1">
      <alignment horizontal="right"/>
    </xf>
    <xf numFmtId="0" fontId="205" fillId="23" borderId="14" xfId="4" quotePrefix="1" applyFont="1" applyFill="1" applyAlignment="1">
      <alignment horizontal="left" wrapText="1"/>
    </xf>
    <xf numFmtId="0" fontId="165" fillId="23" borderId="14" xfId="4" applyFont="1" applyFill="1" applyAlignment="1">
      <alignment wrapText="1"/>
    </xf>
    <xf numFmtId="0" fontId="141" fillId="0" borderId="14" xfId="11" applyAlignment="1">
      <alignment horizontal="left" vertical="center"/>
    </xf>
    <xf numFmtId="0" fontId="141" fillId="63" borderId="14" xfId="11" applyFill="1"/>
    <xf numFmtId="0" fontId="141" fillId="23" borderId="14" xfId="11" applyFill="1"/>
    <xf numFmtId="0" fontId="141" fillId="23" borderId="14" xfId="11" applyFill="1" applyAlignment="1">
      <alignment horizontal="center"/>
    </xf>
    <xf numFmtId="0" fontId="141" fillId="23" borderId="14" xfId="11" applyFill="1" applyAlignment="1">
      <alignment wrapText="1"/>
    </xf>
    <xf numFmtId="0" fontId="202" fillId="64" borderId="14" xfId="11" applyFont="1" applyFill="1" applyAlignment="1">
      <alignment horizontal="left" vertical="center" textRotation="90" wrapText="1"/>
    </xf>
    <xf numFmtId="0" fontId="147" fillId="64" borderId="14" xfId="11" applyFont="1" applyFill="1" applyAlignment="1">
      <alignment horizontal="left" vertical="center"/>
    </xf>
    <xf numFmtId="0" fontId="148" fillId="64" borderId="14" xfId="11" applyFont="1" applyFill="1" applyAlignment="1">
      <alignment wrapText="1"/>
    </xf>
    <xf numFmtId="0" fontId="148" fillId="23" borderId="14" xfId="11" applyFont="1" applyFill="1" applyAlignment="1">
      <alignment vertical="center" wrapText="1"/>
    </xf>
    <xf numFmtId="0" fontId="203" fillId="23" borderId="14" xfId="11" applyFont="1" applyFill="1" applyAlignment="1">
      <alignment horizontal="left" vertical="center" wrapText="1"/>
    </xf>
    <xf numFmtId="0" fontId="204" fillId="23" borderId="14" xfId="11" applyFont="1" applyFill="1" applyAlignment="1">
      <alignment horizontal="left" wrapText="1"/>
    </xf>
    <xf numFmtId="0" fontId="206" fillId="23" borderId="14" xfId="11" applyFont="1" applyFill="1" applyAlignment="1">
      <alignment vertical="top" wrapText="1"/>
    </xf>
    <xf numFmtId="0" fontId="141" fillId="23" borderId="14" xfId="11" applyFill="1" applyAlignment="1">
      <alignment vertical="top"/>
    </xf>
    <xf numFmtId="0" fontId="205" fillId="23" borderId="14" xfId="11" applyFont="1" applyFill="1" applyAlignment="1">
      <alignment horizontal="left" wrapText="1"/>
    </xf>
    <xf numFmtId="0" fontId="207" fillId="23" borderId="14" xfId="11" applyFont="1" applyFill="1" applyAlignment="1">
      <alignment wrapText="1"/>
    </xf>
    <xf numFmtId="0" fontId="141" fillId="23" borderId="14" xfId="11" applyFill="1" applyAlignment="1">
      <alignment horizontal="left"/>
    </xf>
    <xf numFmtId="0" fontId="208" fillId="32" borderId="14" xfId="11" applyFont="1" applyFill="1" applyAlignment="1">
      <alignment horizontal="left" wrapText="1"/>
    </xf>
    <xf numFmtId="0" fontId="208" fillId="36" borderId="14" xfId="11" applyFont="1" applyFill="1" applyAlignment="1">
      <alignment horizontal="left" wrapText="1"/>
    </xf>
    <xf numFmtId="0" fontId="208" fillId="13" borderId="14" xfId="11" applyFont="1" applyFill="1" applyAlignment="1">
      <alignment horizontal="left" wrapText="1"/>
    </xf>
    <xf numFmtId="0" fontId="208" fillId="37" borderId="14" xfId="11" applyFont="1" applyFill="1" applyAlignment="1">
      <alignment horizontal="left" wrapText="1"/>
    </xf>
    <xf numFmtId="0" fontId="208" fillId="48" borderId="14" xfId="11" applyFont="1" applyFill="1" applyAlignment="1">
      <alignment horizontal="left" wrapText="1"/>
    </xf>
    <xf numFmtId="0" fontId="218" fillId="23" borderId="14" xfId="11" applyFont="1" applyFill="1" applyAlignment="1">
      <alignment horizontal="left" wrapText="1"/>
    </xf>
    <xf numFmtId="0" fontId="204" fillId="23" borderId="14" xfId="11" applyFont="1" applyFill="1" applyAlignment="1">
      <alignment vertical="center" wrapText="1"/>
    </xf>
    <xf numFmtId="0" fontId="165" fillId="23" borderId="14" xfId="11" applyFont="1" applyFill="1" applyAlignment="1">
      <alignment horizontal="left" wrapText="1"/>
    </xf>
    <xf numFmtId="0" fontId="141" fillId="23" borderId="14" xfId="11" applyFill="1" applyAlignment="1">
      <alignment horizontal="right"/>
    </xf>
    <xf numFmtId="0" fontId="205" fillId="23" borderId="14" xfId="11" quotePrefix="1" applyFont="1" applyFill="1" applyAlignment="1">
      <alignment horizontal="left" wrapText="1"/>
    </xf>
    <xf numFmtId="0" fontId="165" fillId="23" borderId="14" xfId="11" applyFont="1" applyFill="1" applyAlignment="1">
      <alignment wrapText="1"/>
    </xf>
    <xf numFmtId="0" fontId="141" fillId="0" borderId="14" xfId="4"/>
    <xf numFmtId="0" fontId="141" fillId="0" borderId="14" xfId="4" applyAlignment="1">
      <alignment horizontal="center"/>
    </xf>
    <xf numFmtId="0" fontId="141" fillId="0" borderId="14" xfId="4" applyAlignment="1">
      <alignment wrapText="1"/>
    </xf>
    <xf numFmtId="0" fontId="141" fillId="0" borderId="14" xfId="4" applyAlignment="1">
      <alignment vertical="center"/>
    </xf>
    <xf numFmtId="0" fontId="158" fillId="15" borderId="74" xfId="4" applyFont="1" applyFill="1" applyBorder="1" applyAlignment="1">
      <alignment horizontal="center" vertical="center" wrapText="1"/>
    </xf>
    <xf numFmtId="0" fontId="158" fillId="15" borderId="14" xfId="4" applyFont="1" applyFill="1" applyAlignment="1">
      <alignment horizontal="center" vertical="center" wrapText="1"/>
    </xf>
    <xf numFmtId="0" fontId="187" fillId="64" borderId="14" xfId="4" applyFont="1" applyFill="1" applyAlignment="1">
      <alignment horizontal="center" vertical="center" wrapText="1"/>
    </xf>
    <xf numFmtId="0" fontId="150" fillId="0" borderId="14" xfId="4" applyFont="1" applyAlignment="1">
      <alignment vertical="center" wrapText="1"/>
    </xf>
    <xf numFmtId="0" fontId="158" fillId="0" borderId="23" xfId="4" applyFont="1" applyBorder="1" applyAlignment="1">
      <alignment horizontal="center" vertical="center" wrapText="1"/>
    </xf>
    <xf numFmtId="0" fontId="141" fillId="0" borderId="23" xfId="4" applyBorder="1"/>
    <xf numFmtId="0" fontId="187" fillId="64" borderId="14" xfId="4" applyFont="1" applyFill="1" applyAlignment="1">
      <alignment horizontal="center" vertical="center"/>
    </xf>
    <xf numFmtId="0" fontId="130" fillId="0" borderId="14" xfId="4" applyFont="1" applyAlignment="1">
      <alignment horizontal="center" vertical="center"/>
    </xf>
    <xf numFmtId="1" fontId="130" fillId="0" borderId="14" xfId="4" applyNumberFormat="1" applyFont="1" applyAlignment="1">
      <alignment horizontal="left" vertical="center"/>
    </xf>
    <xf numFmtId="173" fontId="123" fillId="14" borderId="27" xfId="4" applyNumberFormat="1" applyFont="1" applyFill="1" applyBorder="1" applyAlignment="1">
      <alignment horizontal="center" vertical="center"/>
    </xf>
    <xf numFmtId="0" fontId="157" fillId="0" borderId="23" xfId="4" applyFont="1" applyBorder="1" applyAlignment="1">
      <alignment horizontal="center" vertical="center"/>
    </xf>
    <xf numFmtId="0" fontId="157" fillId="0" borderId="23" xfId="4" applyFont="1" applyBorder="1" applyAlignment="1">
      <alignment vertical="center"/>
    </xf>
    <xf numFmtId="0" fontId="153" fillId="0" borderId="14" xfId="4" applyFont="1" applyAlignment="1">
      <alignment horizontal="left" vertical="center"/>
    </xf>
    <xf numFmtId="0" fontId="123" fillId="0" borderId="14" xfId="14" applyFont="1" applyAlignment="1">
      <alignment vertical="center"/>
    </xf>
    <xf numFmtId="0" fontId="116" fillId="0" borderId="14" xfId="4" applyFont="1" applyAlignment="1">
      <alignment vertical="top"/>
    </xf>
    <xf numFmtId="0" fontId="116" fillId="0" borderId="14" xfId="4" applyFont="1" applyAlignment="1">
      <alignment horizontal="center" vertical="top"/>
    </xf>
    <xf numFmtId="0" fontId="142" fillId="0" borderId="14" xfId="4" applyFont="1" applyAlignment="1">
      <alignment wrapText="1"/>
    </xf>
    <xf numFmtId="0" fontId="137" fillId="0" borderId="14" xfId="4" applyFont="1" applyAlignment="1">
      <alignment horizontal="center" wrapText="1"/>
    </xf>
    <xf numFmtId="0" fontId="137" fillId="0" borderId="14" xfId="4" applyFont="1"/>
    <xf numFmtId="0" fontId="152" fillId="0" borderId="14" xfId="4" applyFont="1"/>
    <xf numFmtId="0" fontId="152" fillId="0" borderId="14" xfId="4" applyFont="1" applyAlignment="1">
      <alignment horizontal="center"/>
    </xf>
    <xf numFmtId="0" fontId="130" fillId="0" borderId="24" xfId="4" applyFont="1" applyBorder="1" applyAlignment="1">
      <alignment horizontal="center" vertical="center"/>
    </xf>
    <xf numFmtId="0" fontId="130" fillId="0" borderId="24" xfId="14" applyFont="1" applyBorder="1" applyAlignment="1">
      <alignment horizontal="center" vertical="center" wrapText="1"/>
    </xf>
    <xf numFmtId="0" fontId="130" fillId="0" borderId="123" xfId="14" applyFont="1" applyBorder="1" applyAlignment="1">
      <alignment horizontal="center" vertical="center" wrapText="1"/>
    </xf>
    <xf numFmtId="0" fontId="141" fillId="0" borderId="14" xfId="4" applyAlignment="1">
      <alignment vertical="top" wrapText="1"/>
    </xf>
    <xf numFmtId="1" fontId="301" fillId="35" borderId="24" xfId="4" applyNumberFormat="1" applyFont="1" applyFill="1" applyBorder="1" applyAlignment="1">
      <alignment horizontal="center" vertical="center" wrapText="1"/>
    </xf>
    <xf numFmtId="0" fontId="219" fillId="0" borderId="14" xfId="4" applyFont="1" applyAlignment="1">
      <alignment vertical="top"/>
    </xf>
    <xf numFmtId="0" fontId="112" fillId="0" borderId="14" xfId="14" applyFont="1" applyAlignment="1">
      <alignment horizontal="center" vertical="center" wrapText="1"/>
    </xf>
    <xf numFmtId="0" fontId="141" fillId="0" borderId="14" xfId="4" applyAlignment="1">
      <alignment vertical="center" wrapText="1"/>
    </xf>
    <xf numFmtId="0" fontId="165" fillId="62" borderId="21" xfId="4" applyFont="1" applyFill="1" applyBorder="1" applyAlignment="1">
      <alignment vertical="center" wrapText="1"/>
    </xf>
    <xf numFmtId="0" fontId="165" fillId="62" borderId="14" xfId="4" applyFont="1" applyFill="1" applyAlignment="1">
      <alignment vertical="center" wrapText="1"/>
    </xf>
    <xf numFmtId="0" fontId="165" fillId="62" borderId="14" xfId="4" applyFont="1" applyFill="1"/>
    <xf numFmtId="0" fontId="165" fillId="62" borderId="22" xfId="4" applyFont="1" applyFill="1" applyBorder="1"/>
    <xf numFmtId="0" fontId="259" fillId="0" borderId="14" xfId="4" applyFont="1" applyAlignment="1">
      <alignment horizontal="center"/>
    </xf>
    <xf numFmtId="0" fontId="303" fillId="0" borderId="14" xfId="4" applyFont="1"/>
    <xf numFmtId="0" fontId="148" fillId="0" borderId="14" xfId="4" applyFont="1" applyAlignment="1">
      <alignment vertical="center" wrapText="1"/>
    </xf>
    <xf numFmtId="0" fontId="150" fillId="0" borderId="25" xfId="4" applyFont="1" applyBorder="1" applyAlignment="1">
      <alignment vertical="center" wrapText="1"/>
    </xf>
    <xf numFmtId="0" fontId="112" fillId="0" borderId="14" xfId="4" applyFont="1" applyAlignment="1">
      <alignment horizontal="center" vertical="center" wrapText="1"/>
    </xf>
    <xf numFmtId="0" fontId="111" fillId="0" borderId="14" xfId="4" applyFont="1"/>
    <xf numFmtId="0" fontId="123" fillId="0" borderId="77" xfId="14" applyFont="1" applyBorder="1" applyAlignment="1">
      <alignment vertical="center"/>
    </xf>
    <xf numFmtId="0" fontId="141" fillId="0" borderId="77" xfId="4" applyBorder="1"/>
    <xf numFmtId="0" fontId="141" fillId="0" borderId="77" xfId="4" applyBorder="1" applyAlignment="1">
      <alignment horizontal="center"/>
    </xf>
    <xf numFmtId="0" fontId="141" fillId="0" borderId="77" xfId="4" applyBorder="1" applyAlignment="1">
      <alignment wrapText="1"/>
    </xf>
    <xf numFmtId="0" fontId="112" fillId="0" borderId="14" xfId="4" applyFont="1" applyAlignment="1">
      <alignment vertical="center"/>
    </xf>
    <xf numFmtId="0" fontId="153" fillId="0" borderId="23" xfId="4" applyFont="1" applyBorder="1"/>
    <xf numFmtId="0" fontId="121" fillId="0" borderId="14" xfId="4" applyFont="1" applyAlignment="1">
      <alignment vertical="center"/>
    </xf>
    <xf numFmtId="0" fontId="163" fillId="0" borderId="23" xfId="4" applyFont="1" applyBorder="1"/>
    <xf numFmtId="0" fontId="130" fillId="0" borderId="24" xfId="14" applyFont="1" applyBorder="1" applyAlignment="1">
      <alignment horizontal="center" vertical="center"/>
    </xf>
    <xf numFmtId="0" fontId="159" fillId="0" borderId="14" xfId="4" applyFont="1" applyAlignment="1">
      <alignment horizontal="left" wrapText="1"/>
    </xf>
    <xf numFmtId="0" fontId="153" fillId="0" borderId="29" xfId="4" applyFont="1" applyBorder="1"/>
    <xf numFmtId="0" fontId="163" fillId="0" borderId="29" xfId="4" applyFont="1" applyBorder="1"/>
    <xf numFmtId="0" fontId="115" fillId="0" borderId="14" xfId="4" applyFont="1"/>
    <xf numFmtId="0" fontId="153" fillId="0" borderId="23" xfId="4" applyFont="1" applyBorder="1" applyAlignment="1">
      <alignment wrapText="1"/>
    </xf>
    <xf numFmtId="0" fontId="126" fillId="0" borderId="14" xfId="4" applyFont="1" applyAlignment="1">
      <alignment wrapText="1"/>
    </xf>
    <xf numFmtId="0" fontId="153" fillId="0" borderId="14" xfId="4" applyFont="1"/>
    <xf numFmtId="0" fontId="163" fillId="0" borderId="14" xfId="4" applyFont="1"/>
    <xf numFmtId="0" fontId="126" fillId="0" borderId="14" xfId="4" applyFont="1" applyAlignment="1">
      <alignment vertical="center" wrapText="1"/>
    </xf>
    <xf numFmtId="0" fontId="115" fillId="0" borderId="14" xfId="4" applyFont="1" applyAlignment="1">
      <alignment vertical="center"/>
    </xf>
    <xf numFmtId="0" fontId="157" fillId="0" borderId="14" xfId="4" applyFont="1" applyAlignment="1">
      <alignment horizontal="center" vertical="center"/>
    </xf>
    <xf numFmtId="0" fontId="157" fillId="0" borderId="14" xfId="4" applyFont="1" applyAlignment="1">
      <alignment vertical="center"/>
    </xf>
    <xf numFmtId="0" fontId="126" fillId="0" borderId="14" xfId="4" applyFont="1" applyAlignment="1">
      <alignment horizontal="left" vertical="center" wrapText="1"/>
    </xf>
    <xf numFmtId="0" fontId="155" fillId="0" borderId="14" xfId="4" applyFont="1"/>
    <xf numFmtId="0" fontId="123" fillId="0" borderId="14" xfId="4" applyFont="1"/>
    <xf numFmtId="0" fontId="123" fillId="0" borderId="14" xfId="4" applyFont="1" applyAlignment="1">
      <alignment horizontal="center"/>
    </xf>
    <xf numFmtId="0" fontId="156" fillId="0" borderId="14" xfId="4" applyFont="1" applyAlignment="1">
      <alignment wrapText="1"/>
    </xf>
    <xf numFmtId="0" fontId="153" fillId="0" borderId="14" xfId="4" applyFont="1" applyAlignment="1">
      <alignment horizontal="left" vertical="top"/>
    </xf>
    <xf numFmtId="0" fontId="158" fillId="0" borderId="14" xfId="4" applyFont="1" applyAlignment="1">
      <alignment vertical="center"/>
    </xf>
    <xf numFmtId="0" fontId="158" fillId="0" borderId="14" xfId="4" applyFont="1" applyAlignment="1">
      <alignment horizontal="center" vertical="center" wrapText="1"/>
    </xf>
    <xf numFmtId="0" fontId="158" fillId="0" borderId="14" xfId="4" applyFont="1" applyAlignment="1">
      <alignment horizontal="center" vertical="center"/>
    </xf>
    <xf numFmtId="0" fontId="158" fillId="0" borderId="14" xfId="4" applyFont="1" applyAlignment="1">
      <alignment horizontal="left" vertical="center" wrapText="1"/>
    </xf>
    <xf numFmtId="167" fontId="130" fillId="0" borderId="25" xfId="4" applyNumberFormat="1" applyFont="1" applyBorder="1" applyAlignment="1">
      <alignment horizontal="right" vertical="center"/>
    </xf>
    <xf numFmtId="0" fontId="159" fillId="0" borderId="25" xfId="4" applyFont="1" applyBorder="1" applyAlignment="1">
      <alignment horizontal="center" vertical="center" wrapText="1"/>
    </xf>
    <xf numFmtId="0" fontId="159" fillId="0" borderId="25" xfId="4" applyFont="1" applyBorder="1" applyAlignment="1">
      <alignment horizontal="center"/>
    </xf>
    <xf numFmtId="0" fontId="159" fillId="0" borderId="25" xfId="4" applyFont="1" applyBorder="1"/>
    <xf numFmtId="0" fontId="141" fillId="0" borderId="25" xfId="4" applyBorder="1" applyAlignment="1">
      <alignment wrapText="1"/>
    </xf>
    <xf numFmtId="0" fontId="141" fillId="0" borderId="25" xfId="4" applyBorder="1" applyAlignment="1">
      <alignment horizontal="left" vertical="center" wrapText="1"/>
    </xf>
    <xf numFmtId="167" fontId="130" fillId="0" borderId="23" xfId="4" applyNumberFormat="1" applyFont="1" applyBorder="1" applyAlignment="1">
      <alignment horizontal="right" vertical="center"/>
    </xf>
    <xf numFmtId="0" fontId="141" fillId="0" borderId="26" xfId="4" applyBorder="1" applyAlignment="1">
      <alignment horizontal="center" vertical="center"/>
    </xf>
    <xf numFmtId="0" fontId="141" fillId="0" borderId="28" xfId="4" applyBorder="1" applyAlignment="1">
      <alignment vertical="center" wrapText="1"/>
    </xf>
    <xf numFmtId="0" fontId="141" fillId="0" borderId="23" xfId="4" applyBorder="1" applyAlignment="1">
      <alignment vertical="center" wrapText="1"/>
    </xf>
    <xf numFmtId="1" fontId="116" fillId="0" borderId="14" xfId="4" applyNumberFormat="1" applyFont="1" applyAlignment="1">
      <alignment horizontal="center" vertical="center"/>
    </xf>
    <xf numFmtId="0" fontId="141" fillId="0" borderId="29" xfId="4" applyBorder="1" applyAlignment="1">
      <alignment horizontal="left" vertical="center"/>
    </xf>
    <xf numFmtId="0" fontId="141" fillId="0" borderId="14" xfId="4" applyAlignment="1">
      <alignment horizontal="left" vertical="center" wrapText="1"/>
    </xf>
    <xf numFmtId="0" fontId="141" fillId="0" borderId="29" xfId="4" applyBorder="1" applyAlignment="1">
      <alignment horizontal="left" vertical="center" wrapText="1"/>
    </xf>
    <xf numFmtId="167" fontId="130" fillId="0" borderId="29" xfId="4" applyNumberFormat="1" applyFont="1" applyBorder="1" applyAlignment="1">
      <alignment horizontal="right" vertical="center"/>
    </xf>
    <xf numFmtId="167" fontId="130" fillId="0" borderId="14" xfId="4" applyNumberFormat="1" applyFont="1" applyAlignment="1">
      <alignment horizontal="right" vertical="center"/>
    </xf>
    <xf numFmtId="167" fontId="130" fillId="0" borderId="49" xfId="4" applyNumberFormat="1" applyFont="1" applyBorder="1" applyAlignment="1">
      <alignment horizontal="right" vertical="center"/>
    </xf>
    <xf numFmtId="167" fontId="123" fillId="23" borderId="27" xfId="4" applyNumberFormat="1" applyFont="1" applyFill="1" applyBorder="1" applyAlignment="1">
      <alignment horizontal="center" vertical="center"/>
    </xf>
    <xf numFmtId="0" fontId="158" fillId="23" borderId="23" xfId="4" applyFont="1" applyFill="1" applyBorder="1" applyAlignment="1">
      <alignment wrapText="1"/>
    </xf>
    <xf numFmtId="0" fontId="141" fillId="23" borderId="23" xfId="4" applyFill="1" applyBorder="1" applyAlignment="1">
      <alignment wrapText="1"/>
    </xf>
    <xf numFmtId="167" fontId="130" fillId="0" borderId="50" xfId="4" applyNumberFormat="1" applyFont="1" applyBorder="1" applyAlignment="1">
      <alignment horizontal="right" vertical="center"/>
    </xf>
    <xf numFmtId="0" fontId="244" fillId="0" borderId="14" xfId="4" applyFont="1" applyAlignment="1">
      <alignment horizontal="center" vertical="center" wrapText="1"/>
    </xf>
    <xf numFmtId="0" fontId="244" fillId="0" borderId="14" xfId="4" applyFont="1" applyAlignment="1">
      <alignment horizontal="center"/>
    </xf>
    <xf numFmtId="0" fontId="242" fillId="0" borderId="14" xfId="4" applyFont="1"/>
    <xf numFmtId="0" fontId="130" fillId="0" borderId="57" xfId="4" applyFont="1" applyBorder="1" applyAlignment="1">
      <alignment horizontal="center" vertical="center"/>
    </xf>
    <xf numFmtId="174" fontId="123" fillId="14" borderId="27" xfId="4" applyNumberFormat="1" applyFont="1" applyFill="1" applyBorder="1" applyAlignment="1">
      <alignment horizontal="center" vertical="center"/>
    </xf>
    <xf numFmtId="0" fontId="161" fillId="0" borderId="14" xfId="4" applyFont="1" applyAlignment="1">
      <alignment vertical="center"/>
    </xf>
    <xf numFmtId="167" fontId="123" fillId="0" borderId="14" xfId="4" applyNumberFormat="1" applyFont="1" applyAlignment="1">
      <alignment horizontal="center" vertical="center"/>
    </xf>
    <xf numFmtId="0" fontId="141" fillId="0" borderId="14" xfId="4" applyAlignment="1">
      <alignment horizontal="left" vertical="center"/>
    </xf>
    <xf numFmtId="0" fontId="141" fillId="23" borderId="14" xfId="4" applyFill="1" applyAlignment="1">
      <alignment vertical="center"/>
    </xf>
    <xf numFmtId="0" fontId="158" fillId="0" borderId="14" xfId="4" applyFont="1" applyAlignment="1">
      <alignment horizontal="left" vertical="center"/>
    </xf>
    <xf numFmtId="0" fontId="141" fillId="0" borderId="49" xfId="4" applyBorder="1" applyAlignment="1">
      <alignment horizontal="left" vertical="center" wrapText="1"/>
    </xf>
    <xf numFmtId="0" fontId="141" fillId="0" borderId="29" xfId="4" applyBorder="1" applyAlignment="1">
      <alignment vertical="center" wrapText="1"/>
    </xf>
    <xf numFmtId="167" fontId="130" fillId="0" borderId="106" xfId="4" applyNumberFormat="1" applyFont="1" applyBorder="1" applyAlignment="1">
      <alignment horizontal="right" vertical="center"/>
    </xf>
    <xf numFmtId="0" fontId="141" fillId="0" borderId="107" xfId="4" applyBorder="1" applyAlignment="1">
      <alignment horizontal="left" vertical="center"/>
    </xf>
    <xf numFmtId="0" fontId="141" fillId="0" borderId="107" xfId="4" applyBorder="1" applyAlignment="1">
      <alignment horizontal="left" vertical="center" wrapText="1"/>
    </xf>
    <xf numFmtId="0" fontId="123" fillId="0" borderId="14" xfId="14" applyFont="1" applyAlignment="1">
      <alignment vertical="top"/>
    </xf>
    <xf numFmtId="0" fontId="215" fillId="0" borderId="14" xfId="4" applyFont="1" applyAlignment="1">
      <alignment vertical="top"/>
    </xf>
    <xf numFmtId="0" fontId="141" fillId="0" borderId="14" xfId="4" applyAlignment="1">
      <alignment horizontal="center" wrapText="1"/>
    </xf>
    <xf numFmtId="0" fontId="123" fillId="0" borderId="14" xfId="4" applyFont="1" applyAlignment="1">
      <alignment vertical="top"/>
    </xf>
    <xf numFmtId="0" fontId="130" fillId="36" borderId="134" xfId="0" applyFont="1" applyFill="1" applyBorder="1"/>
    <xf numFmtId="0" fontId="0" fillId="0" borderId="134" xfId="0" applyBorder="1"/>
    <xf numFmtId="0" fontId="141" fillId="0" borderId="134" xfId="0" applyFont="1" applyBorder="1"/>
    <xf numFmtId="0" fontId="141" fillId="52" borderId="135" xfId="0" applyFont="1" applyFill="1" applyBorder="1"/>
    <xf numFmtId="0" fontId="0" fillId="52" borderId="135" xfId="0" applyFill="1" applyBorder="1"/>
    <xf numFmtId="0" fontId="111" fillId="57" borderId="7" xfId="0" applyFont="1" applyFill="1" applyBorder="1"/>
    <xf numFmtId="0" fontId="0" fillId="23" borderId="0" xfId="0" applyFill="1"/>
    <xf numFmtId="0" fontId="0" fillId="23" borderId="0" xfId="0" applyFill="1" applyAlignment="1">
      <alignment horizontal="left"/>
    </xf>
    <xf numFmtId="0" fontId="115" fillId="23" borderId="0" xfId="0" applyFont="1" applyFill="1"/>
    <xf numFmtId="0" fontId="119" fillId="4" borderId="14" xfId="35" applyFont="1" applyFill="1" applyAlignment="1">
      <alignment horizontal="center" vertical="center" wrapText="1"/>
    </xf>
    <xf numFmtId="0" fontId="0" fillId="23" borderId="14" xfId="0" applyFill="1" applyBorder="1" applyAlignment="1">
      <alignment vertical="center"/>
    </xf>
    <xf numFmtId="0" fontId="0" fillId="23" borderId="14" xfId="0" applyFill="1" applyBorder="1"/>
    <xf numFmtId="0" fontId="111" fillId="0" borderId="14" xfId="0" applyFont="1" applyBorder="1"/>
    <xf numFmtId="0" fontId="185" fillId="0" borderId="6" xfId="0" applyFont="1" applyBorder="1" applyAlignment="1">
      <alignment horizontal="center"/>
    </xf>
    <xf numFmtId="0" fontId="185" fillId="23" borderId="6" xfId="0" applyFont="1" applyFill="1" applyBorder="1" applyAlignment="1">
      <alignment horizontal="center"/>
    </xf>
    <xf numFmtId="0" fontId="185" fillId="23" borderId="7" xfId="0" applyFont="1" applyFill="1" applyBorder="1" applyAlignment="1">
      <alignment horizontal="center"/>
    </xf>
    <xf numFmtId="170" fontId="122" fillId="2" borderId="14" xfId="0" applyNumberFormat="1" applyFont="1" applyFill="1" applyBorder="1" applyAlignment="1">
      <alignment horizontal="right" vertical="center" wrapText="1"/>
    </xf>
    <xf numFmtId="2" fontId="122" fillId="2" borderId="14" xfId="0" quotePrefix="1" applyNumberFormat="1" applyFont="1" applyFill="1" applyBorder="1" applyAlignment="1">
      <alignment horizontal="center" vertical="center" wrapText="1"/>
    </xf>
    <xf numFmtId="3" fontId="122" fillId="2" borderId="14" xfId="0" applyNumberFormat="1" applyFont="1" applyFill="1" applyBorder="1" applyAlignment="1">
      <alignment vertical="center"/>
    </xf>
    <xf numFmtId="3" fontId="110" fillId="2" borderId="14" xfId="0" applyNumberFormat="1" applyFont="1" applyFill="1" applyBorder="1" applyAlignment="1">
      <alignment vertical="center"/>
    </xf>
    <xf numFmtId="3" fontId="124" fillId="2" borderId="14" xfId="0" applyNumberFormat="1" applyFont="1" applyFill="1" applyBorder="1" applyAlignment="1">
      <alignment horizontal="center" vertical="center" wrapText="1"/>
    </xf>
    <xf numFmtId="3" fontId="125" fillId="2" borderId="14" xfId="0" applyNumberFormat="1" applyFont="1" applyFill="1" applyBorder="1" applyAlignment="1">
      <alignment horizontal="center" vertical="center" wrapText="1"/>
    </xf>
    <xf numFmtId="3" fontId="141" fillId="2" borderId="14" xfId="0" applyNumberFormat="1" applyFont="1" applyFill="1" applyBorder="1" applyAlignment="1">
      <alignment horizontal="left" vertical="center" wrapText="1"/>
    </xf>
    <xf numFmtId="0" fontId="110" fillId="0" borderId="14" xfId="0" applyFont="1" applyBorder="1" applyAlignment="1">
      <alignment horizontal="left" vertical="center"/>
    </xf>
    <xf numFmtId="0" fontId="110" fillId="23" borderId="14" xfId="0" applyFont="1" applyFill="1" applyBorder="1" applyAlignment="1">
      <alignment horizontal="left" vertical="center"/>
    </xf>
    <xf numFmtId="0" fontId="110" fillId="23" borderId="14" xfId="0" applyFont="1" applyFill="1" applyBorder="1" applyAlignment="1">
      <alignment vertical="center"/>
    </xf>
    <xf numFmtId="0" fontId="110" fillId="8" borderId="14" xfId="0" applyFont="1" applyFill="1" applyBorder="1" applyAlignment="1">
      <alignment vertical="center" wrapText="1"/>
    </xf>
    <xf numFmtId="170" fontId="126" fillId="8" borderId="14" xfId="0" applyNumberFormat="1" applyFont="1" applyFill="1" applyBorder="1" applyAlignment="1">
      <alignment horizontal="right" vertical="center" wrapText="1"/>
    </xf>
    <xf numFmtId="0" fontId="113" fillId="8" borderId="14" xfId="0" applyFont="1" applyFill="1" applyBorder="1" applyAlignment="1">
      <alignment vertical="center" wrapText="1"/>
    </xf>
    <xf numFmtId="3" fontId="126" fillId="8" borderId="14" xfId="0" applyNumberFormat="1" applyFont="1" applyFill="1" applyBorder="1" applyAlignment="1">
      <alignment horizontal="center" vertical="center" wrapText="1"/>
    </xf>
    <xf numFmtId="3" fontId="116" fillId="8" borderId="14" xfId="0" applyNumberFormat="1" applyFont="1" applyFill="1" applyBorder="1" applyAlignment="1">
      <alignment horizontal="center" vertical="center" wrapText="1"/>
    </xf>
    <xf numFmtId="3" fontId="127" fillId="8" borderId="14" xfId="0" applyNumberFormat="1" applyFont="1" applyFill="1" applyBorder="1" applyAlignment="1">
      <alignment horizontal="center" vertical="center"/>
    </xf>
    <xf numFmtId="3" fontId="128" fillId="8" borderId="14" xfId="0" applyNumberFormat="1" applyFont="1" applyFill="1" applyBorder="1" applyAlignment="1">
      <alignment horizontal="center" vertical="center"/>
    </xf>
    <xf numFmtId="3" fontId="110" fillId="8" borderId="14" xfId="0" applyNumberFormat="1" applyFont="1" applyFill="1" applyBorder="1" applyAlignment="1">
      <alignment horizontal="left" vertical="center"/>
    </xf>
    <xf numFmtId="0" fontId="130" fillId="23" borderId="52" xfId="6" applyFont="1" applyBorder="1" applyAlignment="1">
      <alignment vertical="center" wrapText="1"/>
    </xf>
    <xf numFmtId="0" fontId="115" fillId="23" borderId="52" xfId="6" applyFont="1" applyBorder="1" applyAlignment="1">
      <alignment vertical="center" wrapText="1"/>
    </xf>
    <xf numFmtId="170" fontId="123" fillId="2" borderId="14" xfId="0" applyNumberFormat="1" applyFont="1" applyFill="1" applyBorder="1" applyAlignment="1">
      <alignment vertical="center"/>
    </xf>
    <xf numFmtId="0" fontId="123" fillId="2" borderId="14" xfId="0" applyFont="1" applyFill="1" applyBorder="1" applyAlignment="1">
      <alignment vertical="center"/>
    </xf>
    <xf numFmtId="3" fontId="123" fillId="2" borderId="14" xfId="0" applyNumberFormat="1" applyFont="1" applyFill="1" applyBorder="1" applyAlignment="1">
      <alignment vertical="center"/>
    </xf>
    <xf numFmtId="3" fontId="126" fillId="2" borderId="14" xfId="0" applyNumberFormat="1" applyFont="1" applyFill="1" applyBorder="1" applyAlignment="1">
      <alignment vertical="center"/>
    </xf>
    <xf numFmtId="3" fontId="196" fillId="2" borderId="14" xfId="0" applyNumberFormat="1" applyFont="1" applyFill="1" applyBorder="1" applyAlignment="1">
      <alignment vertical="center"/>
    </xf>
    <xf numFmtId="3" fontId="141" fillId="2" borderId="14" xfId="0" applyNumberFormat="1" applyFont="1" applyFill="1" applyBorder="1" applyAlignment="1">
      <alignment horizontal="left" vertical="center"/>
    </xf>
    <xf numFmtId="0" fontId="114" fillId="23" borderId="14" xfId="0" applyFont="1" applyFill="1" applyBorder="1" applyAlignment="1">
      <alignment horizontal="left" vertical="center" wrapText="1"/>
    </xf>
    <xf numFmtId="170" fontId="126" fillId="8" borderId="4" xfId="0" applyNumberFormat="1" applyFont="1" applyFill="1" applyBorder="1" applyAlignment="1">
      <alignment horizontal="right" vertical="center" wrapText="1"/>
    </xf>
    <xf numFmtId="0" fontId="113" fillId="8" borderId="4" xfId="0" applyFont="1" applyFill="1" applyBorder="1" applyAlignment="1">
      <alignment vertical="center" wrapText="1"/>
    </xf>
    <xf numFmtId="3" fontId="126" fillId="8" borderId="4" xfId="0" applyNumberFormat="1" applyFont="1" applyFill="1" applyBorder="1" applyAlignment="1">
      <alignment horizontal="center" vertical="center" wrapText="1"/>
    </xf>
    <xf numFmtId="3" fontId="116" fillId="8" borderId="4" xfId="0" applyNumberFormat="1" applyFont="1" applyFill="1" applyBorder="1" applyAlignment="1">
      <alignment horizontal="center" vertical="center" wrapText="1"/>
    </xf>
    <xf numFmtId="3" fontId="126" fillId="8" borderId="4" xfId="0" applyNumberFormat="1" applyFont="1" applyFill="1" applyBorder="1" applyAlignment="1">
      <alignment horizontal="center" vertical="center"/>
    </xf>
    <xf numFmtId="3" fontId="196" fillId="8" borderId="4" xfId="0" applyNumberFormat="1" applyFont="1" applyFill="1" applyBorder="1" applyAlignment="1">
      <alignment horizontal="center" vertical="center"/>
    </xf>
    <xf numFmtId="3" fontId="141" fillId="8" borderId="14" xfId="0" applyNumberFormat="1" applyFont="1" applyFill="1" applyBorder="1" applyAlignment="1">
      <alignment horizontal="left" vertical="center"/>
    </xf>
    <xf numFmtId="165" fontId="131" fillId="23" borderId="14" xfId="0" applyNumberFormat="1" applyFont="1" applyFill="1" applyBorder="1" applyAlignment="1">
      <alignment horizontal="left" vertical="center"/>
    </xf>
    <xf numFmtId="0" fontId="110" fillId="23" borderId="0" xfId="0" applyFont="1" applyFill="1" applyAlignment="1">
      <alignment vertical="center"/>
    </xf>
    <xf numFmtId="0" fontId="0" fillId="23" borderId="0" xfId="0" applyFill="1" applyAlignment="1">
      <alignment vertical="center"/>
    </xf>
    <xf numFmtId="0" fontId="143" fillId="3" borderId="14" xfId="0" applyFont="1" applyFill="1" applyBorder="1" applyAlignment="1">
      <alignment horizontal="center" vertical="center" wrapText="1"/>
    </xf>
    <xf numFmtId="0" fontId="130" fillId="23" borderId="0" xfId="0" applyFont="1" applyFill="1" applyAlignment="1">
      <alignment vertical="center" wrapText="1"/>
    </xf>
    <xf numFmtId="0" fontId="115" fillId="23" borderId="0" xfId="0" applyFont="1" applyFill="1" applyAlignment="1">
      <alignment vertical="center" wrapText="1"/>
    </xf>
    <xf numFmtId="0" fontId="130" fillId="23" borderId="51" xfId="6" applyFont="1" applyBorder="1" applyAlignment="1">
      <alignment vertical="center" wrapText="1"/>
    </xf>
    <xf numFmtId="0" fontId="115" fillId="23" borderId="51" xfId="6" applyFont="1" applyBorder="1" applyAlignment="1">
      <alignment vertical="center" wrapText="1"/>
    </xf>
    <xf numFmtId="0" fontId="110" fillId="23" borderId="14" xfId="0" applyFont="1" applyFill="1" applyBorder="1" applyAlignment="1">
      <alignment horizontal="left" vertical="center" wrapText="1"/>
    </xf>
    <xf numFmtId="0" fontId="111" fillId="23" borderId="14" xfId="0" applyFont="1" applyFill="1" applyBorder="1" applyAlignment="1">
      <alignment horizontal="left"/>
    </xf>
    <xf numFmtId="0" fontId="130" fillId="23" borderId="44" xfId="6" applyFont="1" applyBorder="1" applyAlignment="1">
      <alignment vertical="center" wrapText="1"/>
    </xf>
    <xf numFmtId="0" fontId="115" fillId="23" borderId="44" xfId="6" applyFont="1" applyBorder="1" applyAlignment="1">
      <alignment vertical="center" wrapText="1"/>
    </xf>
    <xf numFmtId="2" fontId="126" fillId="8" borderId="14" xfId="0" applyNumberFormat="1" applyFont="1" applyFill="1" applyBorder="1" applyAlignment="1">
      <alignment horizontal="right" vertical="center" wrapText="1"/>
    </xf>
    <xf numFmtId="3" fontId="126" fillId="8" borderId="14" xfId="0" applyNumberFormat="1" applyFont="1" applyFill="1" applyBorder="1" applyAlignment="1">
      <alignment horizontal="center" vertical="center"/>
    </xf>
    <xf numFmtId="3" fontId="196" fillId="8" borderId="14" xfId="0" applyNumberFormat="1" applyFont="1" applyFill="1" applyBorder="1" applyAlignment="1">
      <alignment horizontal="center" vertical="center"/>
    </xf>
    <xf numFmtId="0" fontId="115" fillId="8" borderId="14" xfId="0" applyFont="1" applyFill="1" applyBorder="1" applyAlignment="1">
      <alignment vertical="center" wrapText="1"/>
    </xf>
    <xf numFmtId="0" fontId="126" fillId="8" borderId="14" xfId="0" applyFont="1" applyFill="1" applyBorder="1" applyAlignment="1">
      <alignment horizontal="center" vertical="center" wrapText="1"/>
    </xf>
    <xf numFmtId="3" fontId="141" fillId="8" borderId="14" xfId="0" applyNumberFormat="1" applyFont="1" applyFill="1" applyBorder="1" applyAlignment="1">
      <alignment horizontal="left" vertical="center" wrapText="1"/>
    </xf>
    <xf numFmtId="0" fontId="130" fillId="23" borderId="14" xfId="6" applyFont="1" applyBorder="1" applyAlignment="1">
      <alignment vertical="center" wrapText="1"/>
    </xf>
    <xf numFmtId="0" fontId="115" fillId="23" borderId="14" xfId="6" applyFont="1" applyBorder="1" applyAlignment="1">
      <alignment vertical="center" wrapText="1"/>
    </xf>
    <xf numFmtId="170" fontId="122" fillId="2" borderId="14" xfId="0" applyNumberFormat="1" applyFont="1" applyFill="1" applyBorder="1" applyAlignment="1">
      <alignment horizontal="right" vertical="center"/>
    </xf>
    <xf numFmtId="0" fontId="122" fillId="2" borderId="14" xfId="0" applyFont="1" applyFill="1" applyBorder="1" applyAlignment="1">
      <alignment vertical="center"/>
    </xf>
    <xf numFmtId="0" fontId="110" fillId="23" borderId="0" xfId="0" applyFont="1" applyFill="1" applyAlignment="1">
      <alignment horizontal="left" vertical="center"/>
    </xf>
    <xf numFmtId="0" fontId="110" fillId="8" borderId="4" xfId="0" applyFont="1" applyFill="1" applyBorder="1" applyAlignment="1">
      <alignment vertical="center" wrapText="1"/>
    </xf>
    <xf numFmtId="170" fontId="123" fillId="61" borderId="14" xfId="0" applyNumberFormat="1" applyFont="1" applyFill="1" applyBorder="1" applyAlignment="1">
      <alignment horizontal="right" vertical="center" wrapText="1"/>
    </xf>
    <xf numFmtId="2" fontId="126" fillId="8" borderId="4" xfId="0" applyNumberFormat="1" applyFont="1" applyFill="1" applyBorder="1" applyAlignment="1">
      <alignment horizontal="right" vertical="center" wrapText="1"/>
    </xf>
    <xf numFmtId="3" fontId="126" fillId="8" borderId="4" xfId="0" applyNumberFormat="1" applyFont="1" applyFill="1" applyBorder="1" applyAlignment="1">
      <alignment horizontal="right" vertical="center" wrapText="1"/>
    </xf>
    <xf numFmtId="0" fontId="110" fillId="3" borderId="14" xfId="0" applyFont="1" applyFill="1" applyBorder="1" applyAlignment="1">
      <alignment horizontal="center" vertical="center" wrapText="1"/>
    </xf>
    <xf numFmtId="0" fontId="130" fillId="21" borderId="0" xfId="0" applyFont="1" applyFill="1" applyAlignment="1">
      <alignment vertical="center" wrapText="1"/>
    </xf>
    <xf numFmtId="0" fontId="115" fillId="21" borderId="0" xfId="0" applyFont="1" applyFill="1" applyAlignment="1">
      <alignment vertical="center" wrapText="1"/>
    </xf>
    <xf numFmtId="3" fontId="126" fillId="8" borderId="14" xfId="0" applyNumberFormat="1" applyFont="1" applyFill="1" applyBorder="1" applyAlignment="1">
      <alignment horizontal="right" vertical="center" wrapText="1"/>
    </xf>
    <xf numFmtId="0" fontId="111" fillId="0" borderId="9" xfId="0" applyFont="1" applyBorder="1"/>
    <xf numFmtId="1" fontId="127" fillId="8" borderId="4" xfId="0" applyNumberFormat="1" applyFont="1" applyFill="1" applyBorder="1" applyAlignment="1">
      <alignment horizontal="center" vertical="center"/>
    </xf>
    <xf numFmtId="170" fontId="113" fillId="8" borderId="14" xfId="0" applyNumberFormat="1" applyFont="1" applyFill="1" applyBorder="1" applyAlignment="1">
      <alignment vertical="center" wrapText="1"/>
    </xf>
    <xf numFmtId="3" fontId="113" fillId="8" borderId="14" xfId="0" applyNumberFormat="1" applyFont="1" applyFill="1" applyBorder="1" applyAlignment="1">
      <alignment vertical="center" wrapText="1"/>
    </xf>
    <xf numFmtId="3" fontId="137" fillId="8" borderId="14" xfId="0" applyNumberFormat="1" applyFont="1" applyFill="1" applyBorder="1" applyAlignment="1">
      <alignment vertical="center" wrapText="1"/>
    </xf>
    <xf numFmtId="0" fontId="110" fillId="3" borderId="14" xfId="0" applyFont="1" applyFill="1" applyBorder="1" applyAlignment="1">
      <alignment vertical="center" wrapText="1"/>
    </xf>
    <xf numFmtId="0" fontId="110" fillId="23" borderId="0" xfId="0" applyFont="1" applyFill="1" applyAlignment="1">
      <alignment wrapText="1"/>
    </xf>
    <xf numFmtId="170" fontId="110" fillId="23" borderId="0" xfId="0" applyNumberFormat="1" applyFont="1" applyFill="1" applyAlignment="1">
      <alignment wrapText="1"/>
    </xf>
    <xf numFmtId="0" fontId="116" fillId="23" borderId="0" xfId="0" applyFont="1" applyFill="1" applyAlignment="1">
      <alignment horizontal="center" wrapText="1"/>
    </xf>
    <xf numFmtId="3" fontId="110" fillId="23" borderId="0" xfId="0" applyNumberFormat="1" applyFont="1" applyFill="1"/>
    <xf numFmtId="3" fontId="110" fillId="23" borderId="0" xfId="0" applyNumberFormat="1" applyFont="1" applyFill="1" applyAlignment="1">
      <alignment wrapText="1"/>
    </xf>
    <xf numFmtId="165" fontId="195" fillId="23" borderId="14" xfId="0" applyNumberFormat="1" applyFont="1" applyFill="1" applyBorder="1" applyAlignment="1">
      <alignment horizontal="center" vertical="center"/>
    </xf>
    <xf numFmtId="0" fontId="110" fillId="23" borderId="0" xfId="0" applyFont="1" applyFill="1"/>
    <xf numFmtId="0" fontId="110" fillId="23" borderId="0" xfId="0" applyFont="1" applyFill="1" applyAlignment="1">
      <alignment horizontal="left" vertical="center" wrapText="1"/>
    </xf>
    <xf numFmtId="170" fontId="0" fillId="23" borderId="0" xfId="0" applyNumberFormat="1" applyFill="1"/>
    <xf numFmtId="0" fontId="116" fillId="23" borderId="0" xfId="0" applyFont="1" applyFill="1" applyAlignment="1">
      <alignment horizontal="center"/>
    </xf>
    <xf numFmtId="3" fontId="0" fillId="23" borderId="0" xfId="0" applyNumberFormat="1" applyFill="1"/>
    <xf numFmtId="3" fontId="141" fillId="23" borderId="0" xfId="0" applyNumberFormat="1" applyFont="1" applyFill="1"/>
    <xf numFmtId="170" fontId="0" fillId="0" borderId="0" xfId="0" applyNumberFormat="1"/>
    <xf numFmtId="0" fontId="116" fillId="0" borderId="0" xfId="0" applyFont="1" applyAlignment="1">
      <alignment horizontal="center"/>
    </xf>
    <xf numFmtId="3" fontId="0" fillId="0" borderId="0" xfId="0" applyNumberFormat="1"/>
    <xf numFmtId="3" fontId="141" fillId="0" borderId="0" xfId="0" applyNumberFormat="1" applyFont="1"/>
    <xf numFmtId="0" fontId="118" fillId="5" borderId="14" xfId="0" applyFont="1" applyFill="1" applyBorder="1" applyAlignment="1">
      <alignment horizontal="left" vertical="center" wrapText="1"/>
    </xf>
    <xf numFmtId="0" fontId="180" fillId="23" borderId="0" xfId="0" applyFont="1" applyFill="1" applyAlignment="1">
      <alignment vertical="center"/>
    </xf>
    <xf numFmtId="2" fontId="122" fillId="2" borderId="14" xfId="0" quotePrefix="1" applyNumberFormat="1" applyFont="1" applyFill="1" applyBorder="1" applyAlignment="1">
      <alignment horizontal="center" vertical="center"/>
    </xf>
    <xf numFmtId="3" fontId="199" fillId="2" borderId="14" xfId="0" applyNumberFormat="1" applyFont="1" applyFill="1" applyBorder="1" applyAlignment="1">
      <alignment horizontal="center" vertical="center" wrapText="1"/>
    </xf>
    <xf numFmtId="3" fontId="196" fillId="2" borderId="14" xfId="0" applyNumberFormat="1" applyFont="1" applyFill="1" applyBorder="1" applyAlignment="1">
      <alignment horizontal="center" vertical="center" wrapText="1"/>
    </xf>
    <xf numFmtId="2" fontId="127" fillId="23" borderId="14" xfId="0" applyNumberFormat="1" applyFont="1" applyFill="1" applyBorder="1" applyAlignment="1">
      <alignment horizontal="center" vertical="center"/>
    </xf>
    <xf numFmtId="0" fontId="180" fillId="23" borderId="14" xfId="0" applyFont="1" applyFill="1" applyBorder="1" applyAlignment="1">
      <alignment vertical="center"/>
    </xf>
    <xf numFmtId="3" fontId="199" fillId="8" borderId="4" xfId="0" applyNumberFormat="1" applyFont="1" applyFill="1" applyBorder="1" applyAlignment="1">
      <alignment horizontal="center" vertical="center"/>
    </xf>
    <xf numFmtId="0" fontId="115" fillId="8" borderId="4" xfId="0" applyFont="1" applyFill="1" applyBorder="1" applyAlignment="1">
      <alignment vertical="center" wrapText="1"/>
    </xf>
    <xf numFmtId="165" fontId="180" fillId="23" borderId="0" xfId="0" applyNumberFormat="1" applyFont="1" applyFill="1" applyAlignment="1">
      <alignment vertical="center"/>
    </xf>
    <xf numFmtId="165" fontId="180" fillId="23" borderId="14" xfId="0" applyNumberFormat="1" applyFont="1" applyFill="1" applyBorder="1" applyAlignment="1">
      <alignment vertical="center"/>
    </xf>
    <xf numFmtId="3" fontId="199" fillId="8" borderId="14" xfId="0" applyNumberFormat="1" applyFont="1" applyFill="1" applyBorder="1" applyAlignment="1">
      <alignment horizontal="center" vertical="center"/>
    </xf>
    <xf numFmtId="0" fontId="179" fillId="23" borderId="14" xfId="0" applyFont="1" applyFill="1" applyBorder="1" applyAlignment="1">
      <alignment vertical="center"/>
    </xf>
    <xf numFmtId="0" fontId="110" fillId="22" borderId="14" xfId="0" applyFont="1" applyFill="1" applyBorder="1" applyAlignment="1">
      <alignment vertical="center" wrapText="1"/>
    </xf>
    <xf numFmtId="1" fontId="127" fillId="8" borderId="14" xfId="0" applyNumberFormat="1" applyFont="1" applyFill="1" applyBorder="1" applyAlignment="1">
      <alignment horizontal="center" vertical="center"/>
    </xf>
    <xf numFmtId="1" fontId="126" fillId="8" borderId="14" xfId="0" applyNumberFormat="1" applyFont="1" applyFill="1" applyBorder="1" applyAlignment="1">
      <alignment horizontal="center" vertical="center" wrapText="1"/>
    </xf>
    <xf numFmtId="0" fontId="126" fillId="8" borderId="14" xfId="0" applyFont="1" applyFill="1" applyBorder="1" applyAlignment="1">
      <alignment horizontal="center" vertical="center"/>
    </xf>
    <xf numFmtId="3" fontId="110" fillId="8" borderId="14" xfId="0" applyNumberFormat="1" applyFont="1" applyFill="1" applyBorder="1" applyAlignment="1">
      <alignment vertical="center" wrapText="1"/>
    </xf>
    <xf numFmtId="0" fontId="130" fillId="23" borderId="14" xfId="0" applyFont="1" applyFill="1" applyBorder="1" applyAlignment="1">
      <alignment vertical="center" wrapText="1"/>
    </xf>
    <xf numFmtId="0" fontId="115" fillId="23" borderId="14" xfId="0" applyFont="1" applyFill="1" applyBorder="1" applyAlignment="1">
      <alignment vertical="center" wrapText="1"/>
    </xf>
    <xf numFmtId="3" fontId="200" fillId="8" borderId="14" xfId="0" applyNumberFormat="1" applyFont="1" applyFill="1" applyBorder="1" applyAlignment="1">
      <alignment vertical="center" wrapText="1"/>
    </xf>
    <xf numFmtId="0" fontId="141" fillId="23" borderId="0" xfId="0" applyFont="1" applyFill="1" applyAlignment="1">
      <alignment vertical="center"/>
    </xf>
    <xf numFmtId="0" fontId="143" fillId="3" borderId="14" xfId="0" applyFont="1" applyFill="1" applyBorder="1" applyAlignment="1">
      <alignment vertical="center" wrapText="1"/>
    </xf>
    <xf numFmtId="0" fontId="115" fillId="20" borderId="14" xfId="0" applyFont="1" applyFill="1" applyBorder="1" applyAlignment="1">
      <alignment vertical="center" wrapText="1"/>
    </xf>
    <xf numFmtId="0" fontId="126" fillId="19" borderId="14" xfId="0" applyFont="1" applyFill="1" applyBorder="1" applyAlignment="1">
      <alignment horizontal="center" vertical="center" wrapText="1"/>
    </xf>
    <xf numFmtId="3" fontId="126" fillId="20" borderId="14" xfId="0" applyNumberFormat="1" applyFont="1" applyFill="1" applyBorder="1" applyAlignment="1">
      <alignment horizontal="center" vertical="center"/>
    </xf>
    <xf numFmtId="3" fontId="116" fillId="20" borderId="14" xfId="0" applyNumberFormat="1" applyFont="1" applyFill="1" applyBorder="1" applyAlignment="1">
      <alignment horizontal="center" vertical="center" wrapText="1"/>
    </xf>
    <xf numFmtId="3" fontId="196" fillId="20" borderId="14" xfId="0" applyNumberFormat="1" applyFont="1" applyFill="1" applyBorder="1" applyAlignment="1">
      <alignment horizontal="center" vertical="center"/>
    </xf>
    <xf numFmtId="0" fontId="110" fillId="22" borderId="14" xfId="0" applyFont="1" applyFill="1" applyBorder="1" applyAlignment="1">
      <alignment horizontal="center" vertical="center" wrapText="1"/>
    </xf>
    <xf numFmtId="0" fontId="123" fillId="22" borderId="14" xfId="0" applyFont="1" applyFill="1" applyBorder="1" applyAlignment="1">
      <alignment vertical="center" wrapText="1"/>
    </xf>
    <xf numFmtId="1" fontId="126" fillId="8" borderId="4" xfId="0" applyNumberFormat="1" applyFont="1" applyFill="1" applyBorder="1" applyAlignment="1">
      <alignment horizontal="center" vertical="center" wrapText="1"/>
    </xf>
    <xf numFmtId="0" fontId="110" fillId="3" borderId="8" xfId="0" applyFont="1" applyFill="1" applyBorder="1" applyAlignment="1">
      <alignment vertical="center" wrapText="1"/>
    </xf>
    <xf numFmtId="0" fontId="130" fillId="23" borderId="51" xfId="6" applyFont="1" applyBorder="1" applyAlignment="1">
      <alignment horizontal="center" vertical="center" wrapText="1"/>
    </xf>
    <xf numFmtId="0" fontId="130" fillId="23" borderId="90" xfId="6" applyFont="1" applyBorder="1" applyAlignment="1">
      <alignment vertical="center" wrapText="1"/>
    </xf>
    <xf numFmtId="0" fontId="115" fillId="23" borderId="90" xfId="6" applyFont="1" applyBorder="1" applyAlignment="1">
      <alignment vertical="center" wrapText="1"/>
    </xf>
    <xf numFmtId="0" fontId="110" fillId="3" borderId="82" xfId="0" applyFont="1" applyFill="1" applyBorder="1" applyAlignment="1">
      <alignment vertical="center" wrapText="1"/>
    </xf>
    <xf numFmtId="0" fontId="110" fillId="0" borderId="0" xfId="0" applyFont="1" applyAlignment="1">
      <alignment wrapText="1"/>
    </xf>
    <xf numFmtId="170" fontId="110" fillId="0" borderId="0" xfId="0" applyNumberFormat="1" applyFont="1" applyAlignment="1">
      <alignment wrapText="1"/>
    </xf>
    <xf numFmtId="0" fontId="110" fillId="0" borderId="0" xfId="0" applyFont="1"/>
    <xf numFmtId="3" fontId="110" fillId="0" borderId="0" xfId="0" applyNumberFormat="1" applyFont="1" applyAlignment="1">
      <alignment wrapText="1"/>
    </xf>
    <xf numFmtId="0" fontId="110" fillId="0" borderId="0" xfId="0" applyFont="1" applyAlignment="1">
      <alignment vertical="center"/>
    </xf>
    <xf numFmtId="0" fontId="179" fillId="23" borderId="0" xfId="0" applyFont="1" applyFill="1" applyAlignment="1">
      <alignment vertical="center"/>
    </xf>
    <xf numFmtId="0" fontId="186" fillId="23" borderId="0" xfId="0" applyFont="1" applyFill="1" applyAlignment="1">
      <alignment vertical="center"/>
    </xf>
    <xf numFmtId="3" fontId="199" fillId="2" borderId="14" xfId="0" applyNumberFormat="1" applyFont="1" applyFill="1" applyBorder="1" applyAlignment="1">
      <alignment vertical="center"/>
    </xf>
    <xf numFmtId="0" fontId="127" fillId="23" borderId="14" xfId="0" applyFont="1" applyFill="1" applyBorder="1" applyAlignment="1">
      <alignment horizontal="center" vertical="center"/>
    </xf>
    <xf numFmtId="0" fontId="179" fillId="23" borderId="14" xfId="0" applyFont="1" applyFill="1" applyBorder="1" applyAlignment="1">
      <alignment horizontal="center" vertical="center"/>
    </xf>
    <xf numFmtId="0" fontId="141" fillId="8" borderId="4" xfId="0" applyFont="1" applyFill="1" applyBorder="1" applyAlignment="1">
      <alignment vertical="center" wrapText="1"/>
    </xf>
    <xf numFmtId="0" fontId="126" fillId="8" borderId="4" xfId="0" applyFont="1" applyFill="1" applyBorder="1" applyAlignment="1">
      <alignment horizontal="center" vertical="center" wrapText="1"/>
    </xf>
    <xf numFmtId="0" fontId="170" fillId="23" borderId="0" xfId="0" applyFont="1" applyFill="1" applyAlignment="1">
      <alignment horizontal="center" vertical="center"/>
    </xf>
    <xf numFmtId="165" fontId="179" fillId="23" borderId="0" xfId="0" applyNumberFormat="1" applyFont="1" applyFill="1" applyAlignment="1">
      <alignment vertical="center"/>
    </xf>
    <xf numFmtId="0" fontId="141" fillId="8" borderId="14" xfId="0" applyFont="1" applyFill="1" applyBorder="1" applyAlignment="1">
      <alignment vertical="center" wrapText="1"/>
    </xf>
    <xf numFmtId="0" fontId="113" fillId="23" borderId="51" xfId="6" applyFont="1" applyBorder="1" applyAlignment="1">
      <alignment vertical="center" wrapText="1"/>
    </xf>
    <xf numFmtId="0" fontId="141" fillId="23" borderId="0" xfId="0" applyFont="1" applyFill="1" applyAlignment="1">
      <alignment wrapText="1"/>
    </xf>
    <xf numFmtId="3" fontId="171" fillId="23" borderId="0" xfId="0" applyNumberFormat="1" applyFont="1" applyFill="1" applyAlignment="1">
      <alignment wrapText="1"/>
    </xf>
    <xf numFmtId="0" fontId="141" fillId="23" borderId="0" xfId="0" applyFont="1" applyFill="1"/>
    <xf numFmtId="0" fontId="141" fillId="0" borderId="0" xfId="0" applyFont="1"/>
    <xf numFmtId="165" fontId="170" fillId="23" borderId="14" xfId="0" applyNumberFormat="1" applyFont="1" applyFill="1" applyBorder="1" applyAlignment="1">
      <alignment horizontal="center" vertical="center"/>
    </xf>
    <xf numFmtId="170" fontId="126" fillId="20" borderId="14" xfId="0" applyNumberFormat="1" applyFont="1" applyFill="1" applyBorder="1" applyAlignment="1">
      <alignment horizontal="right" vertical="center" wrapText="1"/>
    </xf>
    <xf numFmtId="0" fontId="159" fillId="23" borderId="0" xfId="0" applyFont="1" applyFill="1" applyAlignment="1">
      <alignment horizontal="center" vertical="center" wrapText="1"/>
    </xf>
    <xf numFmtId="0" fontId="159" fillId="26" borderId="14" xfId="0" applyFont="1" applyFill="1" applyBorder="1" applyAlignment="1">
      <alignment horizontal="center" vertical="center" wrapText="1"/>
    </xf>
    <xf numFmtId="0" fontId="141" fillId="23" borderId="14" xfId="0" applyFont="1" applyFill="1" applyBorder="1"/>
    <xf numFmtId="3" fontId="126" fillId="2" borderId="14" xfId="0" applyNumberFormat="1" applyFont="1" applyFill="1" applyBorder="1" applyAlignment="1">
      <alignment horizontal="center" vertical="center" wrapText="1"/>
    </xf>
    <xf numFmtId="0" fontId="113" fillId="20" borderId="14" xfId="0" applyFont="1" applyFill="1" applyBorder="1" applyAlignment="1">
      <alignment vertical="center" wrapText="1"/>
    </xf>
    <xf numFmtId="3" fontId="126" fillId="20" borderId="14" xfId="0" applyNumberFormat="1" applyFont="1" applyFill="1" applyBorder="1" applyAlignment="1">
      <alignment horizontal="center" vertical="center" wrapText="1"/>
    </xf>
    <xf numFmtId="165" fontId="179" fillId="23" borderId="14" xfId="0" applyNumberFormat="1" applyFont="1" applyFill="1" applyBorder="1" applyAlignment="1">
      <alignment vertical="center"/>
    </xf>
    <xf numFmtId="0" fontId="115" fillId="20" borderId="4" xfId="0" applyFont="1" applyFill="1" applyBorder="1" applyAlignment="1">
      <alignment vertical="center" wrapText="1"/>
    </xf>
    <xf numFmtId="0" fontId="126" fillId="19" borderId="4" xfId="0" applyFont="1" applyFill="1" applyBorder="1" applyAlignment="1">
      <alignment horizontal="center" vertical="center" wrapText="1"/>
    </xf>
    <xf numFmtId="3" fontId="126" fillId="20" borderId="4" xfId="0" applyNumberFormat="1" applyFont="1" applyFill="1" applyBorder="1" applyAlignment="1">
      <alignment horizontal="center" vertical="center"/>
    </xf>
    <xf numFmtId="3" fontId="116" fillId="20" borderId="4" xfId="0" applyNumberFormat="1" applyFont="1" applyFill="1" applyBorder="1" applyAlignment="1">
      <alignment horizontal="center" vertical="center" wrapText="1"/>
    </xf>
    <xf numFmtId="3" fontId="196" fillId="20" borderId="4" xfId="0" applyNumberFormat="1" applyFont="1" applyFill="1" applyBorder="1" applyAlignment="1">
      <alignment horizontal="center" vertical="center"/>
    </xf>
    <xf numFmtId="0" fontId="0" fillId="0" borderId="14" xfId="0" applyBorder="1"/>
    <xf numFmtId="0" fontId="110" fillId="0" borderId="0" xfId="0" applyFont="1" applyAlignment="1">
      <alignment horizontal="left" vertical="center"/>
    </xf>
    <xf numFmtId="0" fontId="172" fillId="23" borderId="0" xfId="0" applyFont="1" applyFill="1" applyAlignment="1">
      <alignment horizontal="left" vertical="center"/>
    </xf>
    <xf numFmtId="0" fontId="182" fillId="23" borderId="0" xfId="0" applyFont="1" applyFill="1" applyAlignment="1">
      <alignment horizontal="left" vertical="center"/>
    </xf>
    <xf numFmtId="0" fontId="172" fillId="23" borderId="14" xfId="0" applyFont="1" applyFill="1" applyBorder="1" applyAlignment="1">
      <alignment horizontal="left" vertical="center"/>
    </xf>
    <xf numFmtId="0" fontId="174" fillId="23" borderId="14" xfId="0" applyFont="1" applyFill="1" applyBorder="1" applyAlignment="1">
      <alignment horizontal="center" vertical="center"/>
    </xf>
    <xf numFmtId="165" fontId="179" fillId="23" borderId="0" xfId="0" applyNumberFormat="1" applyFont="1" applyFill="1" applyAlignment="1">
      <alignment horizontal="left" vertical="center"/>
    </xf>
    <xf numFmtId="0" fontId="130" fillId="23" borderId="25" xfId="6" applyFont="1" applyBorder="1" applyAlignment="1">
      <alignment vertical="center" wrapText="1"/>
    </xf>
    <xf numFmtId="0" fontId="115" fillId="23" borderId="25" xfId="6" applyFont="1" applyBorder="1" applyAlignment="1">
      <alignment vertical="center" wrapText="1"/>
    </xf>
    <xf numFmtId="165" fontId="179" fillId="23" borderId="14" xfId="0" applyNumberFormat="1" applyFont="1" applyFill="1" applyBorder="1" applyAlignment="1">
      <alignment horizontal="left" vertical="center"/>
    </xf>
    <xf numFmtId="0" fontId="141" fillId="23" borderId="4" xfId="0" applyFont="1" applyFill="1" applyBorder="1" applyAlignment="1">
      <alignment vertical="center"/>
    </xf>
    <xf numFmtId="0" fontId="141" fillId="23" borderId="82" xfId="0" applyFont="1" applyFill="1" applyBorder="1" applyAlignment="1">
      <alignment vertical="center"/>
    </xf>
    <xf numFmtId="0" fontId="185" fillId="54" borderId="14" xfId="35" applyFont="1" applyFill="1" applyAlignment="1">
      <alignment horizontal="left" vertical="center"/>
    </xf>
    <xf numFmtId="0" fontId="119" fillId="54" borderId="14" xfId="0" applyFont="1" applyFill="1" applyBorder="1" applyAlignment="1">
      <alignment horizontal="center"/>
    </xf>
    <xf numFmtId="170" fontId="111" fillId="23" borderId="14" xfId="0" applyNumberFormat="1" applyFont="1" applyFill="1" applyBorder="1"/>
    <xf numFmtId="0" fontId="111" fillId="23" borderId="14" xfId="0" applyFont="1" applyFill="1" applyBorder="1"/>
    <xf numFmtId="0" fontId="119" fillId="54" borderId="14" xfId="0" applyFont="1" applyFill="1" applyBorder="1" applyAlignment="1">
      <alignment horizontal="center" wrapText="1"/>
    </xf>
    <xf numFmtId="0" fontId="111" fillId="23" borderId="14" xfId="0" applyFont="1" applyFill="1" applyBorder="1" applyAlignment="1">
      <alignment textRotation="90"/>
    </xf>
    <xf numFmtId="3" fontId="111" fillId="23" borderId="14" xfId="0" applyNumberFormat="1" applyFont="1" applyFill="1" applyBorder="1"/>
    <xf numFmtId="0" fontId="0" fillId="23" borderId="14" xfId="0" applyFill="1" applyBorder="1" applyAlignment="1">
      <alignment horizontal="left"/>
    </xf>
    <xf numFmtId="0" fontId="115" fillId="23" borderId="115" xfId="6" applyFont="1" applyBorder="1" applyAlignment="1">
      <alignment vertical="center" wrapText="1"/>
    </xf>
    <xf numFmtId="0" fontId="123" fillId="22" borderId="117" xfId="0" applyFont="1" applyFill="1" applyBorder="1" applyAlignment="1">
      <alignment vertical="center" wrapText="1"/>
    </xf>
    <xf numFmtId="0" fontId="130" fillId="21" borderId="52" xfId="0" applyFont="1" applyFill="1" applyBorder="1" applyAlignment="1">
      <alignment vertical="center" wrapText="1"/>
    </xf>
    <xf numFmtId="0" fontId="130" fillId="23" borderId="108" xfId="6" applyFont="1" applyBorder="1" applyAlignment="1">
      <alignment vertical="center" wrapText="1"/>
    </xf>
    <xf numFmtId="0" fontId="115" fillId="23" borderId="108" xfId="6" applyFont="1" applyBorder="1" applyAlignment="1">
      <alignment vertical="center" wrapText="1"/>
    </xf>
    <xf numFmtId="0" fontId="110" fillId="23" borderId="14" xfId="0" applyFont="1" applyFill="1" applyBorder="1" applyAlignment="1">
      <alignment horizontal="center" vertical="center"/>
    </xf>
    <xf numFmtId="170" fontId="126" fillId="20" borderId="4" xfId="0" applyNumberFormat="1" applyFont="1" applyFill="1" applyBorder="1" applyAlignment="1">
      <alignment horizontal="right" vertical="center" wrapText="1"/>
    </xf>
    <xf numFmtId="0" fontId="113" fillId="20" borderId="4" xfId="0" applyFont="1" applyFill="1" applyBorder="1" applyAlignment="1">
      <alignment vertical="center" wrapText="1"/>
    </xf>
    <xf numFmtId="3" fontId="126" fillId="20" borderId="4" xfId="0" applyNumberFormat="1" applyFont="1" applyFill="1" applyBorder="1" applyAlignment="1">
      <alignment horizontal="center" vertical="center" wrapText="1"/>
    </xf>
    <xf numFmtId="0" fontId="110" fillId="23" borderId="14" xfId="0" applyFont="1" applyFill="1" applyBorder="1" applyAlignment="1">
      <alignment vertical="center" wrapText="1"/>
    </xf>
    <xf numFmtId="0" fontId="0" fillId="23" borderId="82" xfId="0" applyFill="1" applyBorder="1"/>
    <xf numFmtId="0" fontId="130" fillId="23" borderId="66" xfId="6" applyFont="1" applyBorder="1" applyAlignment="1">
      <alignment vertical="center" wrapText="1"/>
    </xf>
    <xf numFmtId="0" fontId="130" fillId="23" borderId="67" xfId="6" applyFont="1" applyBorder="1" applyAlignment="1">
      <alignment vertical="center" wrapText="1"/>
    </xf>
    <xf numFmtId="0" fontId="130" fillId="23" borderId="133" xfId="6" applyFont="1" applyBorder="1" applyAlignment="1">
      <alignment vertical="center" wrapText="1"/>
    </xf>
    <xf numFmtId="166" fontId="127" fillId="23" borderId="14" xfId="0" applyNumberFormat="1" applyFont="1" applyFill="1" applyBorder="1" applyAlignment="1">
      <alignment horizontal="center" vertical="center"/>
    </xf>
    <xf numFmtId="0" fontId="126" fillId="19" borderId="14" xfId="0" applyFont="1" applyFill="1" applyBorder="1" applyAlignment="1">
      <alignment horizontal="center" vertical="center"/>
    </xf>
    <xf numFmtId="165" fontId="162" fillId="23" borderId="14" xfId="0" applyNumberFormat="1" applyFont="1" applyFill="1" applyBorder="1" applyAlignment="1">
      <alignment horizontal="center" vertical="center"/>
    </xf>
    <xf numFmtId="0" fontId="110" fillId="23" borderId="0" xfId="0" applyFont="1" applyFill="1" applyAlignment="1">
      <alignment vertical="center" wrapText="1"/>
    </xf>
    <xf numFmtId="0" fontId="130" fillId="23" borderId="14" xfId="0" applyFont="1" applyFill="1" applyBorder="1" applyAlignment="1">
      <alignment horizontal="center" vertical="center"/>
    </xf>
    <xf numFmtId="0" fontId="114" fillId="23" borderId="14" xfId="0" applyFont="1" applyFill="1" applyBorder="1" applyAlignment="1">
      <alignment horizontal="left" vertical="center"/>
    </xf>
    <xf numFmtId="0" fontId="110" fillId="23" borderId="0" xfId="0" applyFont="1" applyFill="1" applyAlignment="1">
      <alignment horizontal="center" vertical="center" wrapText="1"/>
    </xf>
    <xf numFmtId="170" fontId="122" fillId="2" borderId="14" xfId="0" applyNumberFormat="1" applyFont="1" applyFill="1" applyBorder="1" applyAlignment="1">
      <alignment vertical="center"/>
    </xf>
    <xf numFmtId="0" fontId="130" fillId="23" borderId="82" xfId="6" applyFont="1" applyBorder="1" applyAlignment="1">
      <alignment vertical="center" wrapText="1"/>
    </xf>
    <xf numFmtId="0" fontId="115" fillId="23" borderId="82" xfId="6" applyFont="1" applyBorder="1" applyAlignment="1">
      <alignment vertical="center" wrapText="1"/>
    </xf>
    <xf numFmtId="165" fontId="186" fillId="23" borderId="0" xfId="0" applyNumberFormat="1" applyFont="1" applyFill="1" applyAlignment="1">
      <alignment vertical="center"/>
    </xf>
    <xf numFmtId="165" fontId="127" fillId="23" borderId="14" xfId="0" applyNumberFormat="1" applyFont="1" applyFill="1" applyBorder="1" applyAlignment="1">
      <alignment horizontal="center" vertical="center"/>
    </xf>
    <xf numFmtId="0" fontId="130" fillId="21" borderId="46" xfId="0" applyFont="1" applyFill="1" applyBorder="1" applyAlignment="1">
      <alignment vertical="center" wrapText="1"/>
    </xf>
    <xf numFmtId="0" fontId="110" fillId="0" borderId="71" xfId="0" applyFont="1" applyBorder="1" applyAlignment="1">
      <alignment vertical="center" wrapText="1"/>
    </xf>
    <xf numFmtId="0" fontId="0" fillId="0" borderId="71" xfId="0" applyBorder="1"/>
    <xf numFmtId="0" fontId="130" fillId="23" borderId="0" xfId="0" applyFont="1" applyFill="1" applyAlignment="1">
      <alignment horizontal="center" vertical="center"/>
    </xf>
    <xf numFmtId="0" fontId="0" fillId="0" borderId="97" xfId="0" applyBorder="1"/>
    <xf numFmtId="0" fontId="0" fillId="0" borderId="91" xfId="0" applyBorder="1"/>
    <xf numFmtId="165" fontId="131" fillId="23" borderId="14" xfId="0" applyNumberFormat="1" applyFont="1" applyFill="1" applyBorder="1" applyAlignment="1">
      <alignment horizontal="center" vertical="center"/>
    </xf>
    <xf numFmtId="0" fontId="110" fillId="23" borderId="0" xfId="0" applyFont="1" applyFill="1" applyAlignment="1">
      <alignment horizontal="center" vertical="center"/>
    </xf>
    <xf numFmtId="0" fontId="159" fillId="23" borderId="14" xfId="0" applyFont="1" applyFill="1" applyBorder="1" applyAlignment="1">
      <alignment horizontal="center" vertical="center" wrapText="1"/>
    </xf>
    <xf numFmtId="0" fontId="129" fillId="23" borderId="14" xfId="0" applyFont="1" applyFill="1" applyBorder="1" applyAlignment="1">
      <alignment vertical="center" wrapText="1"/>
    </xf>
    <xf numFmtId="0" fontId="129" fillId="23" borderId="0" xfId="0" applyFont="1" applyFill="1" applyAlignment="1">
      <alignment vertical="center" wrapText="1"/>
    </xf>
    <xf numFmtId="0" fontId="106" fillId="23" borderId="14" xfId="0" applyFont="1" applyFill="1" applyBorder="1"/>
    <xf numFmtId="0" fontId="104" fillId="23" borderId="0" xfId="0" applyFont="1" applyFill="1"/>
    <xf numFmtId="0" fontId="110" fillId="23" borderId="14" xfId="0" applyFont="1" applyFill="1" applyBorder="1" applyAlignment="1">
      <alignment horizontal="center" vertical="center" wrapText="1"/>
    </xf>
    <xf numFmtId="0" fontId="165" fillId="23" borderId="0" xfId="0" applyFont="1" applyFill="1"/>
    <xf numFmtId="0" fontId="165" fillId="23" borderId="14" xfId="0" applyFont="1" applyFill="1" applyBorder="1"/>
    <xf numFmtId="0" fontId="164" fillId="23" borderId="14" xfId="0" applyFont="1" applyFill="1" applyBorder="1" applyAlignment="1">
      <alignment horizontal="center" vertical="center"/>
    </xf>
    <xf numFmtId="0" fontId="164" fillId="23" borderId="14" xfId="0" applyFont="1" applyFill="1" applyBorder="1" applyAlignment="1">
      <alignment vertical="center"/>
    </xf>
    <xf numFmtId="165" fontId="163" fillId="23" borderId="0" xfId="0" applyNumberFormat="1" applyFont="1" applyFill="1" applyAlignment="1">
      <alignment horizontal="center" vertical="center"/>
    </xf>
    <xf numFmtId="0" fontId="164" fillId="23" borderId="0" xfId="0" applyFont="1" applyFill="1" applyAlignment="1">
      <alignment vertical="center"/>
    </xf>
    <xf numFmtId="0" fontId="106" fillId="23" borderId="0" xfId="0" applyFont="1" applyFill="1"/>
    <xf numFmtId="0" fontId="130" fillId="23" borderId="14" xfId="0" applyFont="1" applyFill="1" applyBorder="1" applyAlignment="1">
      <alignment horizontal="center" vertical="center" wrapText="1"/>
    </xf>
    <xf numFmtId="0" fontId="110" fillId="23" borderId="82" xfId="0" applyFont="1" applyFill="1" applyBorder="1" applyAlignment="1">
      <alignment vertical="center" wrapText="1"/>
    </xf>
    <xf numFmtId="0" fontId="106" fillId="23" borderId="14" xfId="0" applyFont="1" applyFill="1" applyBorder="1" applyAlignment="1">
      <alignment vertical="center"/>
    </xf>
    <xf numFmtId="0" fontId="106" fillId="23" borderId="14" xfId="0" applyFont="1" applyFill="1" applyBorder="1" applyAlignment="1">
      <alignment horizontal="center" vertical="center"/>
    </xf>
    <xf numFmtId="0" fontId="130" fillId="26" borderId="4" xfId="0" applyFont="1" applyFill="1" applyBorder="1" applyAlignment="1">
      <alignment horizontal="center" vertical="center" wrapText="1"/>
    </xf>
    <xf numFmtId="0" fontId="130" fillId="23" borderId="0" xfId="0" applyFont="1" applyFill="1" applyAlignment="1">
      <alignment horizontal="center" vertical="center" wrapText="1"/>
    </xf>
    <xf numFmtId="0" fontId="130" fillId="26" borderId="14" xfId="0" applyFont="1" applyFill="1" applyBorder="1" applyAlignment="1">
      <alignment horizontal="center" vertical="center" wrapText="1"/>
    </xf>
    <xf numFmtId="0" fontId="106" fillId="23" borderId="0" xfId="0" applyFont="1" applyFill="1" applyAlignment="1">
      <alignment vertical="center"/>
    </xf>
    <xf numFmtId="0" fontId="110" fillId="23" borderId="4" xfId="0" applyFont="1" applyFill="1" applyBorder="1" applyAlignment="1">
      <alignment vertical="center"/>
    </xf>
    <xf numFmtId="0" fontId="110" fillId="23" borderId="82" xfId="0" applyFont="1" applyFill="1" applyBorder="1" applyAlignment="1">
      <alignment vertical="center"/>
    </xf>
    <xf numFmtId="0" fontId="130" fillId="26" borderId="82" xfId="0" applyFont="1" applyFill="1" applyBorder="1" applyAlignment="1">
      <alignment horizontal="center" vertical="center" wrapText="1"/>
    </xf>
    <xf numFmtId="3" fontId="110" fillId="0" borderId="0" xfId="0" applyNumberFormat="1" applyFont="1"/>
    <xf numFmtId="0" fontId="238" fillId="50" borderId="14" xfId="0" applyFont="1" applyFill="1" applyBorder="1" applyAlignment="1">
      <alignment horizontal="left" vertical="center"/>
    </xf>
    <xf numFmtId="0" fontId="236" fillId="50" borderId="14" xfId="0" applyFont="1" applyFill="1" applyBorder="1" applyAlignment="1">
      <alignment horizontal="center" vertical="center" wrapText="1"/>
    </xf>
    <xf numFmtId="0" fontId="126" fillId="49" borderId="14" xfId="6" applyFont="1" applyFill="1" applyBorder="1" applyAlignment="1">
      <alignment vertical="center" wrapText="1"/>
    </xf>
    <xf numFmtId="0" fontId="137" fillId="49" borderId="14" xfId="6" applyFont="1" applyFill="1" applyBorder="1" applyAlignment="1">
      <alignment vertical="center" wrapText="1"/>
    </xf>
    <xf numFmtId="0" fontId="126" fillId="51" borderId="14" xfId="0" applyFont="1" applyFill="1" applyBorder="1" applyAlignment="1">
      <alignment horizontal="center" vertical="center"/>
    </xf>
    <xf numFmtId="0" fontId="158" fillId="2" borderId="85" xfId="0" applyFont="1" applyFill="1" applyBorder="1" applyAlignment="1">
      <alignment vertical="center"/>
    </xf>
    <xf numFmtId="0" fontId="112" fillId="2" borderId="14" xfId="0" applyFont="1" applyFill="1" applyBorder="1" applyAlignment="1">
      <alignment horizontal="center" vertical="center" wrapText="1"/>
    </xf>
    <xf numFmtId="3" fontId="199" fillId="20" borderId="4" xfId="0" applyNumberFormat="1" applyFont="1" applyFill="1" applyBorder="1" applyAlignment="1">
      <alignment horizontal="center" vertical="center"/>
    </xf>
    <xf numFmtId="0" fontId="105" fillId="23" borderId="0" xfId="0" applyFont="1" applyFill="1" applyAlignment="1">
      <alignment vertical="center"/>
    </xf>
    <xf numFmtId="0" fontId="105" fillId="23" borderId="14" xfId="0" applyFont="1" applyFill="1" applyBorder="1"/>
    <xf numFmtId="0" fontId="105" fillId="23" borderId="0" xfId="0" applyFont="1" applyFill="1"/>
    <xf numFmtId="0" fontId="174" fillId="3" borderId="88" xfId="0" applyFont="1" applyFill="1" applyBorder="1" applyAlignment="1">
      <alignment vertical="center" wrapText="1"/>
    </xf>
    <xf numFmtId="0" fontId="115" fillId="0" borderId="52" xfId="0" applyFont="1" applyBorder="1" applyAlignment="1">
      <alignment vertical="center" wrapText="1"/>
    </xf>
    <xf numFmtId="170" fontId="111" fillId="46" borderId="84" xfId="0" applyNumberFormat="1" applyFont="1" applyFill="1" applyBorder="1" applyAlignment="1">
      <alignment horizontal="right" vertical="center" wrapText="1"/>
    </xf>
    <xf numFmtId="0" fontId="111" fillId="57" borderId="14" xfId="0" applyFont="1" applyFill="1" applyBorder="1"/>
    <xf numFmtId="0" fontId="111" fillId="23" borderId="7" xfId="0" applyFont="1" applyFill="1" applyBorder="1"/>
    <xf numFmtId="0" fontId="115" fillId="23" borderId="0" xfId="0" applyFont="1" applyFill="1" applyAlignment="1">
      <alignment wrapText="1"/>
    </xf>
    <xf numFmtId="3" fontId="182" fillId="23" borderId="0" xfId="0" applyNumberFormat="1" applyFont="1" applyFill="1"/>
    <xf numFmtId="0" fontId="130" fillId="0" borderId="14" xfId="0" applyFont="1" applyBorder="1"/>
    <xf numFmtId="0" fontId="130" fillId="0" borderId="14" xfId="0" applyFont="1" applyBorder="1" applyAlignment="1">
      <alignment wrapText="1"/>
    </xf>
    <xf numFmtId="3" fontId="130" fillId="0" borderId="14" xfId="0" applyNumberFormat="1" applyFont="1" applyBorder="1"/>
    <xf numFmtId="3" fontId="0" fillId="0" borderId="14" xfId="0" applyNumberFormat="1" applyBorder="1"/>
    <xf numFmtId="0" fontId="94" fillId="23" borderId="14" xfId="38" applyFill="1"/>
    <xf numFmtId="0" fontId="94" fillId="0" borderId="14" xfId="38"/>
    <xf numFmtId="0" fontId="94" fillId="13" borderId="14" xfId="38" applyFill="1"/>
    <xf numFmtId="49" fontId="94" fillId="34" borderId="14" xfId="38" applyNumberFormat="1" applyFill="1"/>
    <xf numFmtId="49" fontId="94" fillId="36" borderId="14" xfId="38" applyNumberFormat="1" applyFill="1"/>
    <xf numFmtId="0" fontId="35" fillId="0" borderId="14" xfId="38" applyFont="1"/>
    <xf numFmtId="49" fontId="94" fillId="0" borderId="14" xfId="38" applyNumberFormat="1"/>
    <xf numFmtId="49" fontId="75" fillId="0" borderId="14" xfId="38" applyNumberFormat="1" applyFont="1"/>
    <xf numFmtId="0" fontId="57" fillId="0" borderId="14" xfId="38" applyFont="1"/>
    <xf numFmtId="49" fontId="78" fillId="0" borderId="14" xfId="38" applyNumberFormat="1" applyFont="1"/>
    <xf numFmtId="49" fontId="57" fillId="0" borderId="14" xfId="38" applyNumberFormat="1" applyFont="1"/>
    <xf numFmtId="0" fontId="34" fillId="0" borderId="14" xfId="38" applyFont="1"/>
    <xf numFmtId="0" fontId="47" fillId="0" borderId="14" xfId="38" applyFont="1"/>
    <xf numFmtId="0" fontId="94" fillId="0" borderId="14" xfId="39"/>
    <xf numFmtId="49" fontId="94" fillId="0" borderId="14" xfId="38" applyNumberFormat="1" applyAlignment="1">
      <alignment wrapText="1"/>
    </xf>
    <xf numFmtId="49" fontId="47" fillId="0" borderId="14" xfId="38" applyNumberFormat="1" applyFont="1"/>
    <xf numFmtId="0" fontId="46" fillId="0" borderId="14" xfId="38" applyFont="1"/>
    <xf numFmtId="0" fontId="9" fillId="0" borderId="14" xfId="38" applyFont="1"/>
    <xf numFmtId="0" fontId="33" fillId="0" borderId="14" xfId="38" applyFont="1"/>
    <xf numFmtId="0" fontId="165" fillId="0" borderId="14" xfId="14" applyAlignment="1">
      <alignment vertical="center" wrapText="1"/>
    </xf>
    <xf numFmtId="49" fontId="57" fillId="0" borderId="14" xfId="38" applyNumberFormat="1" applyFont="1" applyAlignment="1">
      <alignment wrapText="1"/>
    </xf>
    <xf numFmtId="0" fontId="31" fillId="0" borderId="14" xfId="38" applyFont="1"/>
    <xf numFmtId="0" fontId="73" fillId="0" borderId="14" xfId="38" applyFont="1"/>
    <xf numFmtId="0" fontId="36" fillId="0" borderId="14" xfId="38" applyFont="1"/>
    <xf numFmtId="0" fontId="38" fillId="0" borderId="14" xfId="38" applyFont="1"/>
    <xf numFmtId="0" fontId="93" fillId="0" borderId="14" xfId="38" applyFont="1"/>
    <xf numFmtId="49" fontId="93" fillId="0" borderId="14" xfId="38" applyNumberFormat="1" applyFont="1"/>
    <xf numFmtId="0" fontId="67" fillId="0" borderId="14" xfId="38" applyFont="1"/>
    <xf numFmtId="0" fontId="32" fillId="0" borderId="14" xfId="38" applyFont="1"/>
    <xf numFmtId="0" fontId="66" fillId="0" borderId="14" xfId="38" applyFont="1"/>
    <xf numFmtId="49" fontId="66" fillId="0" borderId="14" xfId="38" applyNumberFormat="1" applyFont="1"/>
    <xf numFmtId="49" fontId="86" fillId="0" borderId="14" xfId="38" applyNumberFormat="1" applyFont="1"/>
    <xf numFmtId="0" fontId="144" fillId="3" borderId="14" xfId="38" applyFont="1" applyFill="1" applyAlignment="1">
      <alignment horizontal="center" vertical="center" wrapText="1"/>
    </xf>
    <xf numFmtId="0" fontId="30" fillId="0" borderId="14" xfId="38" applyFont="1"/>
    <xf numFmtId="0" fontId="29" fillId="0" borderId="14" xfId="38" applyFont="1"/>
    <xf numFmtId="0" fontId="68" fillId="0" borderId="14" xfId="38" applyFont="1"/>
    <xf numFmtId="0" fontId="28" fillId="0" borderId="14" xfId="38" applyFont="1"/>
    <xf numFmtId="49" fontId="28" fillId="0" borderId="14" xfId="38" applyNumberFormat="1" applyFont="1"/>
    <xf numFmtId="0" fontId="65" fillId="0" borderId="14" xfId="38" applyFont="1"/>
    <xf numFmtId="49" fontId="65" fillId="0" borderId="14" xfId="38" applyNumberFormat="1" applyFont="1"/>
    <xf numFmtId="49" fontId="91" fillId="0" borderId="14" xfId="38" applyNumberFormat="1" applyFont="1"/>
    <xf numFmtId="49" fontId="67" fillId="0" borderId="14" xfId="38" applyNumberFormat="1" applyFont="1"/>
    <xf numFmtId="49" fontId="61" fillId="0" borderId="14" xfId="38" applyNumberFormat="1" applyFont="1"/>
    <xf numFmtId="0" fontId="92" fillId="0" borderId="14" xfId="38" applyFont="1"/>
    <xf numFmtId="0" fontId="81" fillId="0" borderId="14" xfId="38" applyFont="1"/>
    <xf numFmtId="0" fontId="185" fillId="54" borderId="14" xfId="38" applyFont="1" applyFill="1" applyAlignment="1">
      <alignment horizontal="left" vertical="center"/>
    </xf>
    <xf numFmtId="0" fontId="27" fillId="0" borderId="14" xfId="38" applyFont="1"/>
    <xf numFmtId="0" fontId="26" fillId="0" borderId="14" xfId="38" applyFont="1"/>
    <xf numFmtId="0" fontId="62" fillId="0" borderId="14" xfId="38" applyFont="1"/>
    <xf numFmtId="0" fontId="64" fillId="0" borderId="14" xfId="38" applyFont="1"/>
    <xf numFmtId="49" fontId="64" fillId="0" borderId="14" xfId="38" applyNumberFormat="1" applyFont="1"/>
    <xf numFmtId="0" fontId="63" fillId="0" borderId="14" xfId="38" applyFont="1"/>
    <xf numFmtId="49" fontId="63" fillId="0" borderId="14" xfId="38" applyNumberFormat="1" applyFont="1"/>
    <xf numFmtId="0" fontId="91" fillId="0" borderId="14" xfId="38" applyFont="1"/>
    <xf numFmtId="0" fontId="90" fillId="0" borderId="14" xfId="38" applyFont="1"/>
    <xf numFmtId="49" fontId="90" fillId="0" borderId="14" xfId="38" applyNumberFormat="1" applyFont="1"/>
    <xf numFmtId="0" fontId="25" fillId="0" borderId="14" xfId="38" applyFont="1"/>
    <xf numFmtId="0" fontId="24" fillId="0" borderId="14" xfId="38" applyFont="1"/>
    <xf numFmtId="49" fontId="62" fillId="0" borderId="14" xfId="38" applyNumberFormat="1" applyFont="1"/>
    <xf numFmtId="0" fontId="23" fillId="0" borderId="14" xfId="38" applyFont="1"/>
    <xf numFmtId="49" fontId="23" fillId="0" borderId="14" xfId="38" applyNumberFormat="1" applyFont="1"/>
    <xf numFmtId="0" fontId="22" fillId="0" borderId="14" xfId="38" applyFont="1"/>
    <xf numFmtId="0" fontId="21" fillId="0" borderId="14" xfId="38" applyFont="1"/>
    <xf numFmtId="0" fontId="6" fillId="0" borderId="14" xfId="38" applyFont="1"/>
    <xf numFmtId="0" fontId="20" fillId="0" borderId="14" xfId="38" applyFont="1"/>
    <xf numFmtId="49" fontId="20" fillId="0" borderId="14" xfId="38" applyNumberFormat="1" applyFont="1"/>
    <xf numFmtId="0" fontId="18" fillId="0" borderId="14" xfId="38" applyFont="1"/>
    <xf numFmtId="49" fontId="18" fillId="0" borderId="14" xfId="38" applyNumberFormat="1" applyFont="1"/>
    <xf numFmtId="0" fontId="89" fillId="0" borderId="14" xfId="38" applyFont="1"/>
    <xf numFmtId="0" fontId="19" fillId="0" borderId="14" xfId="38" applyFont="1"/>
    <xf numFmtId="0" fontId="61" fillId="0" borderId="14" xfId="38" applyFont="1"/>
    <xf numFmtId="0" fontId="17" fillId="0" borderId="14" xfId="38" applyFont="1"/>
    <xf numFmtId="0" fontId="16" fillId="0" borderId="14" xfId="38" applyFont="1"/>
    <xf numFmtId="49" fontId="88" fillId="0" borderId="14" xfId="38" applyNumberFormat="1" applyFont="1"/>
    <xf numFmtId="0" fontId="15" fillId="0" borderId="14" xfId="38" applyFont="1"/>
    <xf numFmtId="49" fontId="15" fillId="0" borderId="14" xfId="38" applyNumberFormat="1" applyFont="1"/>
    <xf numFmtId="0" fontId="87" fillId="0" borderId="14" xfId="38" applyFont="1"/>
    <xf numFmtId="0" fontId="60" fillId="0" borderId="14" xfId="38" applyFont="1"/>
    <xf numFmtId="49" fontId="59" fillId="0" borderId="14" xfId="38" applyNumberFormat="1" applyFont="1"/>
    <xf numFmtId="0" fontId="59" fillId="0" borderId="14" xfId="38" applyFont="1"/>
    <xf numFmtId="0" fontId="51" fillId="0" borderId="14" xfId="38" applyFont="1"/>
    <xf numFmtId="0" fontId="71" fillId="0" borderId="14" xfId="38" applyFont="1"/>
    <xf numFmtId="49" fontId="56" fillId="0" borderId="14" xfId="38" applyNumberFormat="1" applyFont="1"/>
    <xf numFmtId="0" fontId="94" fillId="0" borderId="14" xfId="38" applyAlignment="1">
      <alignment wrapText="1"/>
    </xf>
    <xf numFmtId="0" fontId="2" fillId="0" borderId="14" xfId="38" applyFont="1"/>
    <xf numFmtId="0" fontId="265" fillId="23" borderId="170" xfId="4" applyFont="1" applyFill="1" applyBorder="1" applyAlignment="1">
      <alignment horizontal="center" wrapText="1"/>
    </xf>
    <xf numFmtId="0" fontId="265" fillId="23" borderId="147" xfId="4" applyFont="1" applyFill="1" applyBorder="1" applyAlignment="1">
      <alignment horizontal="center" wrapText="1"/>
    </xf>
    <xf numFmtId="0" fontId="246" fillId="0" borderId="146" xfId="14" applyFont="1" applyBorder="1" applyAlignment="1">
      <alignment horizontal="center" vertical="center" wrapText="1"/>
    </xf>
    <xf numFmtId="0" fontId="246" fillId="0" borderId="148" xfId="14" applyFont="1" applyBorder="1" applyAlignment="1">
      <alignment horizontal="center" vertical="center" wrapText="1"/>
    </xf>
    <xf numFmtId="0" fontId="243" fillId="23" borderId="137" xfId="4" applyFont="1" applyFill="1" applyBorder="1" applyAlignment="1">
      <alignment horizontal="right" vertical="top" wrapText="1"/>
    </xf>
    <xf numFmtId="0" fontId="243" fillId="23" borderId="139" xfId="4" applyFont="1" applyFill="1" applyBorder="1" applyAlignment="1">
      <alignment vertical="center"/>
    </xf>
    <xf numFmtId="0" fontId="71" fillId="0" borderId="14" xfId="38" quotePrefix="1" applyFont="1"/>
    <xf numFmtId="0" fontId="146" fillId="23" borderId="14" xfId="38" applyFont="1" applyFill="1" applyAlignment="1">
      <alignment horizontal="left" vertical="top" wrapText="1"/>
    </xf>
    <xf numFmtId="0" fontId="70" fillId="0" borderId="14" xfId="38" applyFont="1"/>
    <xf numFmtId="0" fontId="244" fillId="55" borderId="29" xfId="38" applyFont="1" applyFill="1" applyBorder="1" applyAlignment="1">
      <alignment horizontal="center"/>
    </xf>
    <xf numFmtId="49" fontId="70" fillId="0" borderId="14" xfId="38" applyNumberFormat="1" applyFont="1"/>
    <xf numFmtId="0" fontId="244" fillId="55" borderId="29" xfId="41" applyFont="1" applyFill="1" applyBorder="1" applyAlignment="1">
      <alignment horizontal="center"/>
    </xf>
    <xf numFmtId="0" fontId="69" fillId="0" borderId="14" xfId="38" applyFont="1"/>
    <xf numFmtId="0" fontId="281" fillId="0" borderId="14" xfId="38" applyFont="1"/>
    <xf numFmtId="0" fontId="286" fillId="0" borderId="14" xfId="38" applyFont="1" applyAlignment="1">
      <alignment horizontal="center" vertical="center" readingOrder="1"/>
    </xf>
    <xf numFmtId="0" fontId="289" fillId="0" borderId="14" xfId="38" applyFont="1" applyAlignment="1">
      <alignment horizontal="center" vertical="center" readingOrder="1"/>
    </xf>
    <xf numFmtId="0" fontId="325" fillId="0" borderId="0" xfId="0" applyFont="1" applyAlignment="1">
      <alignment horizontal="center"/>
    </xf>
    <xf numFmtId="0" fontId="48" fillId="0" borderId="14" xfId="38" applyFont="1"/>
    <xf numFmtId="0" fontId="5" fillId="0" borderId="14" xfId="38" applyFont="1"/>
    <xf numFmtId="0" fontId="14" fillId="0" borderId="14" xfId="38" applyFont="1"/>
    <xf numFmtId="0" fontId="232" fillId="55" borderId="119" xfId="38" applyFont="1" applyFill="1" applyBorder="1" applyAlignment="1">
      <alignment vertical="center" wrapText="1"/>
    </xf>
    <xf numFmtId="0" fontId="232" fillId="55" borderId="118" xfId="38" applyFont="1" applyFill="1" applyBorder="1" applyAlignment="1">
      <alignment vertical="center" wrapText="1"/>
    </xf>
    <xf numFmtId="0" fontId="56" fillId="0" borderId="14" xfId="38" applyFont="1"/>
    <xf numFmtId="49" fontId="55" fillId="0" borderId="14" xfId="38" applyNumberFormat="1" applyFont="1"/>
    <xf numFmtId="0" fontId="232" fillId="60" borderId="24" xfId="35" applyFont="1" applyFill="1" applyBorder="1" applyAlignment="1">
      <alignment vertical="center" wrapText="1"/>
    </xf>
    <xf numFmtId="0" fontId="13" fillId="0" borderId="14" xfId="38" applyFont="1"/>
    <xf numFmtId="49" fontId="13" fillId="0" borderId="14" xfId="38" applyNumberFormat="1" applyFont="1"/>
    <xf numFmtId="0" fontId="232" fillId="23" borderId="119" xfId="35" applyFont="1" applyFill="1" applyBorder="1" applyAlignment="1">
      <alignment vertical="center" wrapText="1"/>
    </xf>
    <xf numFmtId="0" fontId="232" fillId="23" borderId="24" xfId="35" applyFont="1" applyFill="1" applyBorder="1" applyAlignment="1">
      <alignment vertical="center" wrapText="1"/>
    </xf>
    <xf numFmtId="0" fontId="49" fillId="0" borderId="14" xfId="38" applyFont="1"/>
    <xf numFmtId="49" fontId="49" fillId="0" borderId="14" xfId="38" applyNumberFormat="1" applyFont="1"/>
    <xf numFmtId="0" fontId="58" fillId="0" borderId="14" xfId="38" applyFont="1"/>
    <xf numFmtId="49" fontId="58" fillId="0" borderId="14" xfId="38" applyNumberFormat="1" applyFont="1"/>
    <xf numFmtId="0" fontId="241" fillId="23" borderId="64" xfId="5" applyFont="1" applyFill="1" applyBorder="1">
      <alignment vertical="center" wrapText="1"/>
    </xf>
    <xf numFmtId="0" fontId="55" fillId="0" borderId="14" xfId="38" applyFont="1"/>
    <xf numFmtId="0" fontId="54" fillId="0" borderId="14" xfId="38" applyFont="1"/>
    <xf numFmtId="0" fontId="94" fillId="53" borderId="14" xfId="38" applyFill="1"/>
    <xf numFmtId="0" fontId="44" fillId="53" borderId="14" xfId="38" applyFont="1" applyFill="1"/>
    <xf numFmtId="0" fontId="43" fillId="53" borderId="14" xfId="38" applyFont="1" applyFill="1"/>
    <xf numFmtId="49" fontId="43" fillId="0" borderId="14" xfId="38" applyNumberFormat="1" applyFont="1"/>
    <xf numFmtId="49" fontId="83" fillId="0" borderId="14" xfId="38" applyNumberFormat="1" applyFont="1"/>
    <xf numFmtId="0" fontId="43" fillId="0" borderId="14" xfId="38" applyFont="1"/>
    <xf numFmtId="49" fontId="37" fillId="0" borderId="14" xfId="38" applyNumberFormat="1" applyFont="1"/>
    <xf numFmtId="49" fontId="80" fillId="0" borderId="14" xfId="38" applyNumberFormat="1" applyFont="1"/>
    <xf numFmtId="0" fontId="79" fillId="53" borderId="14" xfId="38" applyFont="1" applyFill="1"/>
    <xf numFmtId="49" fontId="79" fillId="0" borderId="14" xfId="38" applyNumberFormat="1" applyFont="1"/>
    <xf numFmtId="49" fontId="72" fillId="0" borderId="14" xfId="38" applyNumberFormat="1" applyFont="1"/>
    <xf numFmtId="0" fontId="52" fillId="0" borderId="14" xfId="38" applyFont="1"/>
    <xf numFmtId="0" fontId="12" fillId="0" borderId="14" xfId="38" applyFont="1"/>
    <xf numFmtId="49" fontId="12" fillId="0" borderId="14" xfId="38" applyNumberFormat="1" applyFont="1"/>
    <xf numFmtId="49" fontId="41" fillId="0" borderId="14" xfId="38" applyNumberFormat="1" applyFont="1"/>
    <xf numFmtId="0" fontId="42" fillId="0" borderId="14" xfId="38" applyFont="1"/>
    <xf numFmtId="49" fontId="40" fillId="0" borderId="14" xfId="38" applyNumberFormat="1" applyFont="1"/>
    <xf numFmtId="49" fontId="7" fillId="0" borderId="14" xfId="38" applyNumberFormat="1" applyFont="1"/>
    <xf numFmtId="49" fontId="123" fillId="0" borderId="14" xfId="14" applyNumberFormat="1" applyFont="1" applyAlignment="1">
      <alignment vertical="center"/>
    </xf>
    <xf numFmtId="49" fontId="11" fillId="0" borderId="14" xfId="38" applyNumberFormat="1" applyFont="1"/>
    <xf numFmtId="49" fontId="130" fillId="0" borderId="24" xfId="14" applyNumberFormat="1" applyFont="1" applyBorder="1" applyAlignment="1">
      <alignment horizontal="center" vertical="center"/>
    </xf>
    <xf numFmtId="49" fontId="130" fillId="0" borderId="24" xfId="14" applyNumberFormat="1" applyFont="1" applyBorder="1" applyAlignment="1">
      <alignment horizontal="center" vertical="center" wrapText="1"/>
    </xf>
    <xf numFmtId="49" fontId="33" fillId="0" borderId="14" xfId="38" applyNumberFormat="1" applyFont="1"/>
    <xf numFmtId="49" fontId="165" fillId="0" borderId="14" xfId="38" applyNumberFormat="1" applyFont="1"/>
    <xf numFmtId="49" fontId="123" fillId="0" borderId="14" xfId="14" applyNumberFormat="1" applyFont="1" applyAlignment="1">
      <alignment vertical="top"/>
    </xf>
    <xf numFmtId="0" fontId="119" fillId="4" borderId="14" xfId="38" applyFont="1" applyFill="1" applyAlignment="1">
      <alignment horizontal="center" vertical="center" wrapText="1"/>
    </xf>
    <xf numFmtId="49" fontId="85" fillId="0" borderId="14" xfId="38" applyNumberFormat="1" applyFont="1"/>
    <xf numFmtId="49" fontId="119" fillId="4" borderId="14" xfId="38" applyNumberFormat="1" applyFont="1" applyFill="1" applyAlignment="1">
      <alignment horizontal="center" vertical="center" wrapText="1"/>
    </xf>
    <xf numFmtId="49" fontId="185" fillId="54" borderId="14" xfId="38" applyNumberFormat="1" applyFont="1" applyFill="1" applyAlignment="1">
      <alignment horizontal="left" vertical="center"/>
    </xf>
    <xf numFmtId="49" fontId="340" fillId="0" borderId="14" xfId="38" applyNumberFormat="1" applyFont="1"/>
    <xf numFmtId="49" fontId="10" fillId="0" borderId="14" xfId="38" applyNumberFormat="1" applyFont="1"/>
    <xf numFmtId="49" fontId="84" fillId="0" borderId="14" xfId="38" applyNumberFormat="1" applyFont="1"/>
    <xf numFmtId="49" fontId="4" fillId="0" borderId="14" xfId="38" applyNumberFormat="1" applyFont="1"/>
    <xf numFmtId="49" fontId="22" fillId="0" borderId="14" xfId="38" applyNumberFormat="1" applyFont="1"/>
    <xf numFmtId="49" fontId="50" fillId="0" borderId="14" xfId="38" applyNumberFormat="1" applyFont="1"/>
    <xf numFmtId="0" fontId="265" fillId="23" borderId="148" xfId="4" applyFont="1" applyFill="1" applyBorder="1" applyAlignment="1">
      <alignment horizontal="center" wrapText="1"/>
    </xf>
    <xf numFmtId="49" fontId="45" fillId="0" borderId="14" xfId="38" applyNumberFormat="1" applyFont="1"/>
    <xf numFmtId="49" fontId="244" fillId="55" borderId="29" xfId="38" applyNumberFormat="1" applyFont="1" applyFill="1" applyBorder="1" applyAlignment="1">
      <alignment horizontal="center"/>
    </xf>
    <xf numFmtId="49" fontId="244" fillId="55" borderId="29" xfId="41" applyNumberFormat="1" applyFont="1" applyFill="1" applyBorder="1" applyAlignment="1">
      <alignment horizontal="center"/>
    </xf>
    <xf numFmtId="0" fontId="325" fillId="0" borderId="0" xfId="0" applyFont="1" applyAlignment="1">
      <alignment horizontal="center" vertical="center"/>
    </xf>
    <xf numFmtId="49" fontId="14" fillId="0" borderId="14" xfId="38" applyNumberFormat="1" applyFont="1"/>
    <xf numFmtId="49" fontId="232" fillId="23" borderId="119" xfId="38" applyNumberFormat="1" applyFont="1" applyFill="1" applyBorder="1" applyAlignment="1">
      <alignment vertical="center" wrapText="1"/>
    </xf>
    <xf numFmtId="49" fontId="232" fillId="23" borderId="24" xfId="38" applyNumberFormat="1" applyFont="1" applyFill="1" applyBorder="1" applyAlignment="1">
      <alignment vertical="center" wrapText="1"/>
    </xf>
    <xf numFmtId="0" fontId="232" fillId="23" borderId="24" xfId="38" applyFont="1" applyFill="1" applyBorder="1" applyAlignment="1">
      <alignment vertical="center" wrapText="1"/>
    </xf>
    <xf numFmtId="49" fontId="241" fillId="23" borderId="64" xfId="5" applyNumberFormat="1" applyFont="1" applyFill="1" applyBorder="1">
      <alignment vertical="center" wrapText="1"/>
    </xf>
    <xf numFmtId="49" fontId="82" fillId="0" borderId="14" xfId="38" applyNumberFormat="1" applyFont="1"/>
    <xf numFmtId="49" fontId="3" fillId="0" borderId="14" xfId="38" applyNumberFormat="1" applyFont="1"/>
    <xf numFmtId="49" fontId="39" fillId="0" borderId="14" xfId="38" applyNumberFormat="1" applyFont="1"/>
    <xf numFmtId="0" fontId="205" fillId="0" borderId="14" xfId="38" applyFont="1" applyAlignment="1">
      <alignment wrapText="1"/>
    </xf>
    <xf numFmtId="0" fontId="79" fillId="0" borderId="14" xfId="38" applyFont="1"/>
    <xf numFmtId="0" fontId="164" fillId="0" borderId="14" xfId="4" applyFont="1" applyAlignment="1">
      <alignment wrapText="1"/>
    </xf>
    <xf numFmtId="0" fontId="164" fillId="0" borderId="14" xfId="4" applyFont="1"/>
    <xf numFmtId="49" fontId="94" fillId="0" borderId="14" xfId="40" applyNumberFormat="1"/>
    <xf numFmtId="49" fontId="74" fillId="0" borderId="14" xfId="38" applyNumberFormat="1" applyFont="1"/>
    <xf numFmtId="0" fontId="41" fillId="0" borderId="14" xfId="38" applyFont="1"/>
    <xf numFmtId="0" fontId="40" fillId="0" borderId="14" xfId="38" applyFont="1"/>
    <xf numFmtId="49" fontId="8" fillId="0" borderId="14" xfId="38" applyNumberFormat="1" applyFont="1"/>
    <xf numFmtId="49" fontId="53" fillId="0" borderId="14" xfId="38" applyNumberFormat="1" applyFont="1"/>
    <xf numFmtId="3" fontId="141" fillId="23" borderId="14" xfId="4" applyNumberFormat="1" applyFill="1"/>
    <xf numFmtId="0" fontId="266" fillId="23" borderId="14" xfId="4" applyFont="1" applyFill="1"/>
    <xf numFmtId="0" fontId="159" fillId="23" borderId="14" xfId="4" applyFont="1" applyFill="1"/>
    <xf numFmtId="0" fontId="130" fillId="0" borderId="14" xfId="4" applyFont="1" applyAlignment="1">
      <alignment horizontal="center" vertical="center" wrapText="1"/>
    </xf>
    <xf numFmtId="0" fontId="245" fillId="0" borderId="14" xfId="4" applyFont="1" applyAlignment="1">
      <alignment vertical="center"/>
    </xf>
    <xf numFmtId="0" fontId="130" fillId="0" borderId="14" xfId="4" applyFont="1" applyAlignment="1">
      <alignment vertical="center" wrapText="1"/>
    </xf>
    <xf numFmtId="1" fontId="141" fillId="23" borderId="14" xfId="4" applyNumberFormat="1" applyFill="1"/>
    <xf numFmtId="0" fontId="165" fillId="23" borderId="14" xfId="4" applyFont="1" applyFill="1"/>
    <xf numFmtId="2" fontId="147" fillId="0" borderId="14" xfId="4" applyNumberFormat="1" applyFont="1" applyAlignment="1">
      <alignment horizontal="center" vertical="center" wrapText="1"/>
    </xf>
    <xf numFmtId="167" fontId="147" fillId="0" borderId="14" xfId="4" applyNumberFormat="1" applyFont="1" applyAlignment="1">
      <alignment horizontal="center" vertical="center" wrapText="1"/>
    </xf>
    <xf numFmtId="0" fontId="265" fillId="0" borderId="14" xfId="14" applyFont="1" applyAlignment="1">
      <alignment horizontal="center" vertical="center" wrapText="1"/>
    </xf>
    <xf numFmtId="3" fontId="246" fillId="23" borderId="14" xfId="4" applyNumberFormat="1" applyFont="1" applyFill="1" applyAlignment="1">
      <alignment horizontal="right" vertical="center"/>
    </xf>
    <xf numFmtId="0" fontId="232" fillId="23" borderId="14" xfId="4" applyFont="1" applyFill="1" applyAlignment="1">
      <alignment wrapText="1"/>
    </xf>
    <xf numFmtId="2" fontId="232" fillId="23" borderId="138" xfId="4" quotePrefix="1" applyNumberFormat="1" applyFont="1" applyFill="1" applyBorder="1" applyAlignment="1">
      <alignment horizontal="center" vertical="center"/>
    </xf>
    <xf numFmtId="0" fontId="243" fillId="0" borderId="14" xfId="4" applyFont="1" applyAlignment="1">
      <alignment vertical="top" wrapText="1"/>
    </xf>
    <xf numFmtId="0" fontId="243" fillId="0" borderId="14" xfId="4" applyFont="1" applyAlignment="1">
      <alignment horizontal="right" vertical="top" wrapText="1"/>
    </xf>
    <xf numFmtId="0" fontId="232" fillId="0" borderId="14" xfId="4" applyFont="1" applyAlignment="1">
      <alignment vertical="top" wrapText="1"/>
    </xf>
    <xf numFmtId="173" fontId="121" fillId="0" borderId="14" xfId="4" applyNumberFormat="1" applyFont="1" applyAlignment="1">
      <alignment horizontal="center" vertical="center" wrapText="1"/>
    </xf>
    <xf numFmtId="0" fontId="157" fillId="0" borderId="14" xfId="4" applyFont="1" applyAlignment="1">
      <alignment horizontal="left"/>
    </xf>
    <xf numFmtId="0" fontId="330" fillId="15" borderId="14" xfId="4" applyFont="1" applyFill="1" applyAlignment="1">
      <alignment horizontal="left"/>
    </xf>
    <xf numFmtId="0" fontId="122" fillId="15" borderId="14" xfId="4" applyFont="1" applyFill="1" applyAlignment="1">
      <alignment horizontal="left"/>
    </xf>
    <xf numFmtId="0" fontId="157" fillId="15" borderId="14" xfId="4" applyFont="1" applyFill="1" applyAlignment="1">
      <alignment horizontal="left"/>
    </xf>
    <xf numFmtId="0" fontId="208" fillId="23" borderId="25" xfId="4" applyFont="1" applyFill="1" applyBorder="1"/>
    <xf numFmtId="0" fontId="208" fillId="23" borderId="14" xfId="4" applyFont="1" applyFill="1"/>
    <xf numFmtId="0" fontId="208" fillId="23" borderId="23" xfId="4" applyFont="1" applyFill="1" applyBorder="1"/>
    <xf numFmtId="0" fontId="208" fillId="23" borderId="56" xfId="4" applyFont="1" applyFill="1" applyBorder="1"/>
    <xf numFmtId="0" fontId="141" fillId="23" borderId="57" xfId="4" applyFill="1" applyBorder="1"/>
    <xf numFmtId="0" fontId="146" fillId="23" borderId="14" xfId="41" applyFont="1" applyFill="1" applyAlignment="1">
      <alignment vertical="top" wrapText="1"/>
    </xf>
    <xf numFmtId="0" fontId="157" fillId="64" borderId="14" xfId="4" applyFont="1" applyFill="1" applyAlignment="1">
      <alignment horizontal="left"/>
    </xf>
    <xf numFmtId="0" fontId="312" fillId="0" borderId="14" xfId="4" applyFont="1"/>
    <xf numFmtId="0" fontId="314" fillId="0" borderId="14" xfId="4" applyFont="1" applyAlignment="1">
      <alignment vertical="center"/>
    </xf>
    <xf numFmtId="0" fontId="244" fillId="55" borderId="65" xfId="4" applyFont="1" applyFill="1" applyBorder="1" applyAlignment="1">
      <alignment horizontal="center" wrapText="1"/>
    </xf>
    <xf numFmtId="0" fontId="243" fillId="23" borderId="21" xfId="4" applyFont="1" applyFill="1" applyBorder="1" applyAlignment="1">
      <alignment horizontal="center"/>
    </xf>
    <xf numFmtId="0" fontId="242" fillId="23" borderId="22" xfId="4" applyFont="1" applyFill="1" applyBorder="1"/>
    <xf numFmtId="3" fontId="243" fillId="23" borderId="21" xfId="4" applyNumberFormat="1" applyFont="1" applyFill="1" applyBorder="1" applyAlignment="1">
      <alignment horizontal="center"/>
    </xf>
    <xf numFmtId="0" fontId="243" fillId="23" borderId="14" xfId="4" applyFont="1" applyFill="1"/>
    <xf numFmtId="0" fontId="243" fillId="23" borderId="113" xfId="4" applyFont="1" applyFill="1" applyBorder="1" applyAlignment="1">
      <alignment horizontal="center"/>
    </xf>
    <xf numFmtId="0" fontId="243" fillId="23" borderId="23" xfId="4" applyFont="1" applyFill="1" applyBorder="1"/>
    <xf numFmtId="0" fontId="242" fillId="23" borderId="114" xfId="4" applyFont="1" applyFill="1" applyBorder="1"/>
    <xf numFmtId="0" fontId="243" fillId="23" borderId="14" xfId="4" applyFont="1" applyFill="1" applyAlignment="1">
      <alignment horizontal="center"/>
    </xf>
    <xf numFmtId="3" fontId="242" fillId="23" borderId="14" xfId="4" applyNumberFormat="1" applyFont="1" applyFill="1" applyAlignment="1">
      <alignment horizontal="right" indent="4"/>
    </xf>
    <xf numFmtId="0" fontId="242" fillId="23" borderId="14" xfId="4" applyFont="1" applyFill="1"/>
    <xf numFmtId="0" fontId="242" fillId="23" borderId="23" xfId="4" applyFont="1" applyFill="1" applyBorder="1"/>
    <xf numFmtId="0" fontId="208" fillId="23" borderId="14" xfId="4" applyFont="1" applyFill="1" applyAlignment="1">
      <alignment horizontal="left" vertical="top"/>
    </xf>
    <xf numFmtId="0" fontId="157" fillId="64" borderId="14" xfId="4" applyFont="1" applyFill="1" applyAlignment="1">
      <alignment horizontal="left" vertical="center"/>
    </xf>
    <xf numFmtId="0" fontId="266" fillId="23" borderId="0" xfId="0" applyFont="1" applyFill="1"/>
    <xf numFmtId="0" fontId="159" fillId="23" borderId="0" xfId="0" applyFont="1" applyFill="1"/>
    <xf numFmtId="0" fontId="246" fillId="56" borderId="29" xfId="0" applyFont="1" applyFill="1" applyBorder="1" applyAlignment="1">
      <alignment horizontal="right" vertical="center" wrapText="1"/>
    </xf>
    <xf numFmtId="0" fontId="245" fillId="0" borderId="14" xfId="0" applyFont="1" applyBorder="1" applyAlignment="1">
      <alignment vertical="center"/>
    </xf>
    <xf numFmtId="0" fontId="246" fillId="56" borderId="29" xfId="0" applyFont="1" applyFill="1" applyBorder="1" applyAlignment="1">
      <alignment horizontal="right" vertical="center"/>
    </xf>
    <xf numFmtId="1" fontId="0" fillId="23" borderId="0" xfId="0" applyNumberFormat="1" applyFill="1"/>
    <xf numFmtId="3" fontId="246" fillId="23" borderId="14" xfId="0" applyNumberFormat="1" applyFont="1" applyFill="1" applyBorder="1" applyAlignment="1">
      <alignment horizontal="right" vertical="center"/>
    </xf>
    <xf numFmtId="0" fontId="232" fillId="23" borderId="14" xfId="0" applyFont="1" applyFill="1" applyBorder="1" applyAlignment="1">
      <alignment wrapText="1"/>
    </xf>
    <xf numFmtId="0" fontId="265" fillId="23" borderId="146" xfId="0" applyFont="1" applyFill="1" applyBorder="1" applyAlignment="1">
      <alignment horizontal="center" wrapText="1"/>
    </xf>
    <xf numFmtId="0" fontId="265" fillId="23" borderId="147" xfId="0" applyFont="1" applyFill="1" applyBorder="1" applyAlignment="1">
      <alignment horizontal="center" wrapText="1"/>
    </xf>
    <xf numFmtId="0" fontId="265" fillId="23" borderId="148" xfId="0" applyFont="1" applyFill="1" applyBorder="1" applyAlignment="1">
      <alignment horizontal="center" wrapText="1"/>
    </xf>
    <xf numFmtId="0" fontId="265" fillId="0" borderId="146" xfId="14" applyFont="1" applyBorder="1" applyAlignment="1">
      <alignment horizontal="center" vertical="center" wrapText="1"/>
    </xf>
    <xf numFmtId="0" fontId="265" fillId="0" borderId="148" xfId="14" applyFont="1" applyBorder="1" applyAlignment="1">
      <alignment horizontal="center" vertical="center" wrapText="1"/>
    </xf>
    <xf numFmtId="0" fontId="243" fillId="23" borderId="137" xfId="0" applyFont="1" applyFill="1" applyBorder="1" applyAlignment="1">
      <alignment horizontal="right" vertical="top" wrapText="1"/>
    </xf>
    <xf numFmtId="0" fontId="232" fillId="23" borderId="138" xfId="0" quotePrefix="1" applyFont="1" applyFill="1" applyBorder="1" applyAlignment="1">
      <alignment vertical="center"/>
    </xf>
    <xf numFmtId="0" fontId="243" fillId="23" borderId="139" xfId="0" applyFont="1" applyFill="1" applyBorder="1" applyAlignment="1">
      <alignment vertical="center"/>
    </xf>
    <xf numFmtId="0" fontId="243" fillId="23" borderId="140" xfId="0" applyFont="1" applyFill="1" applyBorder="1" applyAlignment="1">
      <alignment horizontal="right" vertical="top" wrapText="1"/>
    </xf>
    <xf numFmtId="0" fontId="0" fillId="23" borderId="136" xfId="0" applyFill="1" applyBorder="1"/>
    <xf numFmtId="0" fontId="243" fillId="23" borderId="141" xfId="0" applyFont="1" applyFill="1" applyBorder="1"/>
    <xf numFmtId="0" fontId="208" fillId="23" borderId="14" xfId="0" applyFont="1" applyFill="1" applyBorder="1"/>
    <xf numFmtId="0" fontId="243" fillId="0" borderId="142" xfId="0" applyFont="1" applyBorder="1" applyAlignment="1">
      <alignment horizontal="right" vertical="top" wrapText="1"/>
    </xf>
    <xf numFmtId="0" fontId="243" fillId="0" borderId="143" xfId="0" applyFont="1" applyBorder="1" applyAlignment="1">
      <alignment vertical="top" wrapText="1"/>
    </xf>
    <xf numFmtId="0" fontId="243" fillId="0" borderId="144" xfId="0" applyFont="1" applyBorder="1" applyAlignment="1">
      <alignment vertical="top" wrapText="1"/>
    </xf>
    <xf numFmtId="0" fontId="243" fillId="0" borderId="14" xfId="0" applyFont="1" applyBorder="1" applyAlignment="1">
      <alignment vertical="top" wrapText="1"/>
    </xf>
    <xf numFmtId="0" fontId="247" fillId="23" borderId="0" xfId="0" applyFont="1" applyFill="1"/>
    <xf numFmtId="0" fontId="248" fillId="23" borderId="0" xfId="0" applyFont="1" applyFill="1"/>
    <xf numFmtId="3" fontId="248" fillId="23" borderId="0" xfId="0" applyNumberFormat="1" applyFont="1" applyFill="1"/>
    <xf numFmtId="0" fontId="141" fillId="23" borderId="0" xfId="0" applyFont="1" applyFill="1" applyAlignment="1">
      <alignment horizontal="center" vertical="center"/>
    </xf>
    <xf numFmtId="0" fontId="0" fillId="23" borderId="14" xfId="0" applyFill="1" applyBorder="1" applyAlignment="1">
      <alignment horizontal="left" vertical="top"/>
    </xf>
    <xf numFmtId="0" fontId="244" fillId="55" borderId="65" xfId="0" applyFont="1" applyFill="1" applyBorder="1" applyAlignment="1">
      <alignment horizontal="center" wrapText="1"/>
    </xf>
    <xf numFmtId="0" fontId="244" fillId="55" borderId="29" xfId="35" applyFont="1" applyFill="1" applyBorder="1" applyAlignment="1">
      <alignment horizontal="center"/>
    </xf>
    <xf numFmtId="0" fontId="243" fillId="23" borderId="21" xfId="0" applyFont="1" applyFill="1" applyBorder="1" applyAlignment="1">
      <alignment horizontal="center"/>
    </xf>
    <xf numFmtId="3" fontId="242" fillId="23" borderId="14" xfId="0" applyNumberFormat="1" applyFont="1" applyFill="1" applyBorder="1" applyAlignment="1">
      <alignment horizontal="right" indent="4"/>
    </xf>
    <xf numFmtId="0" fontId="243" fillId="23" borderId="14" xfId="0" applyFont="1" applyFill="1" applyBorder="1"/>
    <xf numFmtId="0" fontId="242" fillId="23" borderId="14" xfId="0" applyFont="1" applyFill="1" applyBorder="1"/>
    <xf numFmtId="0" fontId="242" fillId="23" borderId="22" xfId="0" applyFont="1" applyFill="1" applyBorder="1"/>
    <xf numFmtId="3" fontId="243" fillId="23" borderId="21" xfId="0" applyNumberFormat="1" applyFont="1" applyFill="1" applyBorder="1" applyAlignment="1">
      <alignment horizontal="center"/>
    </xf>
    <xf numFmtId="0" fontId="243" fillId="23" borderId="113" xfId="0" applyFont="1" applyFill="1" applyBorder="1" applyAlignment="1">
      <alignment horizontal="center"/>
    </xf>
    <xf numFmtId="3" fontId="242" fillId="23" borderId="23" xfId="0" applyNumberFormat="1" applyFont="1" applyFill="1" applyBorder="1" applyAlignment="1">
      <alignment horizontal="right" indent="4"/>
    </xf>
    <xf numFmtId="0" fontId="243" fillId="23" borderId="23" xfId="0" applyFont="1" applyFill="1" applyBorder="1"/>
    <xf numFmtId="0" fontId="242" fillId="23" borderId="23" xfId="0" applyFont="1" applyFill="1" applyBorder="1"/>
    <xf numFmtId="0" fontId="242" fillId="23" borderId="114" xfId="0" applyFont="1" applyFill="1" applyBorder="1"/>
    <xf numFmtId="0" fontId="243" fillId="23" borderId="14" xfId="0" applyFont="1" applyFill="1" applyBorder="1" applyAlignment="1">
      <alignment horizontal="center"/>
    </xf>
    <xf numFmtId="0" fontId="208" fillId="23" borderId="14" xfId="0" applyFont="1" applyFill="1" applyBorder="1" applyAlignment="1">
      <alignment horizontal="left" vertical="top"/>
    </xf>
    <xf numFmtId="0" fontId="122" fillId="64" borderId="14" xfId="4" applyFont="1" applyFill="1" applyAlignment="1">
      <alignment horizontal="left"/>
    </xf>
    <xf numFmtId="0" fontId="208" fillId="23" borderId="25" xfId="0" applyFont="1" applyFill="1" applyBorder="1"/>
    <xf numFmtId="0" fontId="208" fillId="23" borderId="23" xfId="0" applyFont="1" applyFill="1" applyBorder="1"/>
    <xf numFmtId="0" fontId="208" fillId="23" borderId="56" xfId="0" applyFont="1" applyFill="1" applyBorder="1"/>
    <xf numFmtId="3" fontId="0" fillId="23" borderId="14" xfId="0" applyNumberFormat="1" applyFill="1" applyBorder="1"/>
    <xf numFmtId="0" fontId="0" fillId="23" borderId="57" xfId="0" applyFill="1" applyBorder="1"/>
    <xf numFmtId="0" fontId="130" fillId="55" borderId="0" xfId="0" applyFont="1" applyFill="1" applyAlignment="1">
      <alignment horizontal="center" vertical="center" wrapText="1"/>
    </xf>
    <xf numFmtId="0" fontId="141" fillId="55" borderId="0" xfId="0" applyFont="1" applyFill="1" applyAlignment="1">
      <alignment horizontal="left" vertical="center" wrapText="1"/>
    </xf>
    <xf numFmtId="0" fontId="141" fillId="55" borderId="0" xfId="0" applyFont="1" applyFill="1" applyAlignment="1">
      <alignment horizontal="left"/>
    </xf>
    <xf numFmtId="0" fontId="0" fillId="55" borderId="0" xfId="0" applyFill="1" applyAlignment="1">
      <alignment horizontal="left"/>
    </xf>
    <xf numFmtId="0" fontId="141" fillId="55" borderId="0" xfId="0" applyFont="1" applyFill="1" applyAlignment="1">
      <alignment horizontal="left" wrapText="1"/>
    </xf>
    <xf numFmtId="0" fontId="208" fillId="0" borderId="0" xfId="0" applyFont="1"/>
    <xf numFmtId="0" fontId="232" fillId="23" borderId="118" xfId="0" applyFont="1" applyFill="1" applyBorder="1" applyAlignment="1">
      <alignment vertical="top" wrapText="1"/>
    </xf>
    <xf numFmtId="0" fontId="232" fillId="55" borderId="119" xfId="35" applyFont="1" applyFill="1" applyBorder="1" applyAlignment="1">
      <alignment vertical="center" wrapText="1"/>
    </xf>
    <xf numFmtId="0" fontId="232" fillId="55" borderId="118" xfId="35" applyFont="1" applyFill="1" applyBorder="1" applyAlignment="1">
      <alignment vertical="center" wrapText="1"/>
    </xf>
    <xf numFmtId="0" fontId="232" fillId="60" borderId="155" xfId="35" applyFont="1" applyFill="1" applyBorder="1" applyAlignment="1">
      <alignment vertical="center" wrapText="1"/>
    </xf>
    <xf numFmtId="0" fontId="232" fillId="60" borderId="124" xfId="35" applyFont="1" applyFill="1" applyBorder="1" applyAlignment="1">
      <alignment vertical="center" wrapText="1"/>
    </xf>
    <xf numFmtId="178" fontId="232" fillId="60" borderId="113" xfId="0" applyNumberFormat="1" applyFont="1" applyFill="1" applyBorder="1" applyAlignment="1">
      <alignment horizontal="left" vertical="center"/>
    </xf>
    <xf numFmtId="178" fontId="232" fillId="60" borderId="114" xfId="0" applyNumberFormat="1" applyFont="1" applyFill="1" applyBorder="1" applyAlignment="1">
      <alignment horizontal="left" vertical="center"/>
    </xf>
    <xf numFmtId="0" fontId="232" fillId="35" borderId="24" xfId="35" applyFont="1" applyFill="1" applyBorder="1" applyAlignment="1">
      <alignment vertical="center" wrapText="1"/>
    </xf>
    <xf numFmtId="178" fontId="232" fillId="60" borderId="131" xfId="0" applyNumberFormat="1" applyFont="1" applyFill="1" applyBorder="1" applyAlignment="1">
      <alignment horizontal="left" vertical="center"/>
    </xf>
    <xf numFmtId="178" fontId="232" fillId="60" borderId="20" xfId="0" applyNumberFormat="1" applyFont="1" applyFill="1" applyBorder="1" applyAlignment="1">
      <alignment horizontal="left" vertical="center"/>
    </xf>
    <xf numFmtId="0" fontId="232" fillId="60" borderId="118" xfId="35" applyFont="1" applyFill="1" applyBorder="1" applyAlignment="1">
      <alignment vertical="center" wrapText="1"/>
    </xf>
    <xf numFmtId="0" fontId="232" fillId="0" borderId="155" xfId="35" applyFont="1" applyBorder="1" applyAlignment="1">
      <alignment vertical="center" wrapText="1"/>
    </xf>
    <xf numFmtId="0" fontId="232" fillId="0" borderId="119" xfId="35" applyFont="1" applyBorder="1" applyAlignment="1">
      <alignment vertical="center" wrapText="1"/>
    </xf>
    <xf numFmtId="0" fontId="337" fillId="64" borderId="65" xfId="0" applyFont="1" applyFill="1" applyBorder="1" applyAlignment="1">
      <alignment horizontal="center" vertical="center"/>
    </xf>
    <xf numFmtId="0" fontId="337" fillId="64" borderId="64" xfId="0" applyFont="1" applyFill="1" applyBorder="1" applyAlignment="1">
      <alignment horizontal="center" vertical="center"/>
    </xf>
    <xf numFmtId="3" fontId="208" fillId="23" borderId="119" xfId="43" applyNumberFormat="1" applyFont="1" applyFill="1" applyBorder="1" applyAlignment="1" applyProtection="1">
      <alignment vertical="center"/>
    </xf>
    <xf numFmtId="0" fontId="0" fillId="53" borderId="0" xfId="0" applyFill="1"/>
    <xf numFmtId="0" fontId="141" fillId="53" borderId="0" xfId="0" applyFont="1" applyFill="1"/>
    <xf numFmtId="0" fontId="141" fillId="0" borderId="97" xfId="4" applyBorder="1"/>
    <xf numFmtId="0" fontId="141" fillId="0" borderId="97" xfId="4" applyBorder="1" applyAlignment="1">
      <alignment wrapText="1"/>
    </xf>
    <xf numFmtId="0" fontId="141" fillId="0" borderId="97" xfId="4" applyBorder="1" applyAlignment="1">
      <alignment horizontal="center"/>
    </xf>
    <xf numFmtId="0" fontId="141" fillId="0" borderId="71" xfId="4" applyBorder="1" applyAlignment="1">
      <alignment wrapText="1"/>
    </xf>
    <xf numFmtId="0" fontId="141" fillId="0" borderId="71" xfId="4" applyBorder="1"/>
    <xf numFmtId="0" fontId="187" fillId="64" borderId="14" xfId="4" applyFont="1" applyFill="1" applyAlignment="1">
      <alignment horizontal="left" vertical="center" textRotation="90"/>
    </xf>
    <xf numFmtId="0" fontId="148" fillId="64" borderId="95" xfId="4" applyFont="1" applyFill="1" applyBorder="1" applyAlignment="1">
      <alignment horizontal="center" vertical="center" textRotation="90" wrapText="1"/>
    </xf>
    <xf numFmtId="0" fontId="220" fillId="0" borderId="96" xfId="4" applyFont="1" applyBorder="1" applyAlignment="1">
      <alignment vertical="center" wrapText="1"/>
    </xf>
    <xf numFmtId="0" fontId="220" fillId="0" borderId="71" xfId="4" applyFont="1" applyBorder="1" applyAlignment="1">
      <alignment vertical="center" wrapText="1"/>
    </xf>
    <xf numFmtId="0" fontId="0" fillId="0" borderId="98" xfId="0" applyBorder="1"/>
    <xf numFmtId="0" fontId="141" fillId="0" borderId="98" xfId="0" applyFont="1" applyBorder="1" applyAlignment="1">
      <alignment wrapText="1"/>
    </xf>
    <xf numFmtId="0" fontId="0" fillId="0" borderId="98" xfId="0" applyBorder="1" applyAlignment="1">
      <alignment wrapText="1"/>
    </xf>
    <xf numFmtId="0" fontId="158" fillId="15" borderId="14" xfId="5">
      <alignment vertical="center" wrapText="1"/>
    </xf>
    <xf numFmtId="0" fontId="130" fillId="0" borderId="99" xfId="0" applyFont="1" applyBorder="1" applyAlignment="1">
      <alignment vertical="top" wrapText="1"/>
    </xf>
    <xf numFmtId="0" fontId="141" fillId="0" borderId="99" xfId="0" applyFont="1" applyBorder="1" applyAlignment="1">
      <alignment vertical="top" wrapText="1"/>
    </xf>
    <xf numFmtId="0" fontId="0" fillId="0" borderId="99" xfId="0" applyBorder="1" applyAlignment="1">
      <alignment vertical="top" wrapText="1"/>
    </xf>
    <xf numFmtId="0" fontId="141" fillId="0" borderId="0" xfId="0" applyFont="1" applyAlignment="1">
      <alignment vertical="top" wrapText="1"/>
    </xf>
    <xf numFmtId="0" fontId="141" fillId="0" borderId="71" xfId="11" applyBorder="1" applyAlignment="1">
      <alignment vertical="center"/>
    </xf>
    <xf numFmtId="0" fontId="141" fillId="0" borderId="99" xfId="0" applyFont="1" applyBorder="1" applyAlignment="1">
      <alignment wrapText="1"/>
    </xf>
    <xf numFmtId="0" fontId="141" fillId="0" borderId="71" xfId="11" applyBorder="1" applyAlignment="1">
      <alignment wrapText="1"/>
    </xf>
    <xf numFmtId="0" fontId="0" fillId="0" borderId="71" xfId="0" applyBorder="1" applyAlignment="1">
      <alignment wrapText="1"/>
    </xf>
    <xf numFmtId="0" fontId="141" fillId="0" borderId="97" xfId="11" applyBorder="1"/>
    <xf numFmtId="0" fontId="141" fillId="0" borderId="97" xfId="11" applyBorder="1" applyAlignment="1">
      <alignment wrapText="1"/>
    </xf>
    <xf numFmtId="0" fontId="141" fillId="0" borderId="97" xfId="11" applyBorder="1" applyAlignment="1">
      <alignment horizontal="center"/>
    </xf>
    <xf numFmtId="0" fontId="141" fillId="0" borderId="71" xfId="11" applyBorder="1"/>
    <xf numFmtId="0" fontId="187" fillId="64" borderId="14" xfId="11" applyFont="1" applyFill="1" applyAlignment="1">
      <alignment horizontal="left" vertical="center" textRotation="90"/>
    </xf>
    <xf numFmtId="0" fontId="148" fillId="64" borderId="95" xfId="11" applyFont="1" applyFill="1" applyBorder="1" applyAlignment="1">
      <alignment vertical="center" wrapText="1"/>
    </xf>
    <xf numFmtId="0" fontId="220" fillId="0" borderId="96" xfId="11" applyFont="1" applyBorder="1" applyAlignment="1">
      <alignment vertical="center" wrapText="1"/>
    </xf>
    <xf numFmtId="0" fontId="220" fillId="0" borderId="71" xfId="11" applyFont="1" applyBorder="1" applyAlignment="1">
      <alignment vertical="center" wrapText="1"/>
    </xf>
    <xf numFmtId="0" fontId="141" fillId="0" borderId="98" xfId="11" applyBorder="1"/>
    <xf numFmtId="0" fontId="141" fillId="0" borderId="98" xfId="11" applyBorder="1" applyAlignment="1">
      <alignment wrapText="1"/>
    </xf>
    <xf numFmtId="0" fontId="272" fillId="58" borderId="14" xfId="5" applyFont="1" applyFill="1">
      <alignment vertical="center" wrapText="1"/>
    </xf>
    <xf numFmtId="0" fontId="161" fillId="0" borderId="121" xfId="11" applyFont="1" applyBorder="1" applyAlignment="1">
      <alignment vertical="top" wrapText="1"/>
    </xf>
    <xf numFmtId="0" fontId="160" fillId="0" borderId="121" xfId="11" applyFont="1" applyBorder="1" applyAlignment="1">
      <alignment vertical="top" wrapText="1"/>
    </xf>
    <xf numFmtId="0" fontId="161" fillId="0" borderId="122" xfId="11" applyFont="1" applyBorder="1" applyAlignment="1">
      <alignment vertical="top" wrapText="1"/>
    </xf>
    <xf numFmtId="0" fontId="160" fillId="0" borderId="122" xfId="11" applyFont="1" applyBorder="1" applyAlignment="1">
      <alignment vertical="top" wrapText="1"/>
    </xf>
    <xf numFmtId="0" fontId="160" fillId="0" borderId="14" xfId="11" applyFont="1" applyAlignment="1">
      <alignment vertical="top" wrapText="1"/>
    </xf>
    <xf numFmtId="0" fontId="160" fillId="0" borderId="122" xfId="11" applyFont="1" applyBorder="1" applyAlignment="1">
      <alignment wrapText="1"/>
    </xf>
    <xf numFmtId="0" fontId="160" fillId="0" borderId="121" xfId="11" applyFont="1" applyBorder="1" applyAlignment="1">
      <alignment wrapText="1"/>
    </xf>
    <xf numFmtId="0" fontId="177" fillId="0" borderId="24" xfId="7" applyBorder="1" applyAlignment="1">
      <alignment horizontal="left" vertical="top"/>
    </xf>
    <xf numFmtId="0" fontId="315" fillId="0" borderId="14" xfId="42" applyFont="1" applyAlignment="1">
      <alignment vertical="center"/>
    </xf>
    <xf numFmtId="0" fontId="182" fillId="0" borderId="14" xfId="42" applyFont="1" applyAlignment="1">
      <alignment vertical="center"/>
    </xf>
    <xf numFmtId="0" fontId="76" fillId="0" borderId="14" xfId="42"/>
    <xf numFmtId="0" fontId="316" fillId="0" borderId="24" xfId="42" applyFont="1" applyBorder="1" applyAlignment="1">
      <alignment horizontal="center" vertical="center" wrapText="1"/>
    </xf>
    <xf numFmtId="0" fontId="316" fillId="0" borderId="161" xfId="42" applyFont="1" applyBorder="1" applyAlignment="1">
      <alignment horizontal="center" vertical="center" wrapText="1"/>
    </xf>
    <xf numFmtId="0" fontId="76" fillId="0" borderId="14" xfId="42" applyAlignment="1">
      <alignment vertical="center"/>
    </xf>
    <xf numFmtId="0" fontId="316" fillId="0" borderId="163" xfId="42" applyFont="1" applyBorder="1" applyAlignment="1">
      <alignment horizontal="center" vertical="center" wrapText="1"/>
    </xf>
    <xf numFmtId="0" fontId="318" fillId="0" borderId="1" xfId="42" applyFont="1" applyBorder="1" applyAlignment="1">
      <alignment horizontal="left" vertical="center" wrapText="1"/>
    </xf>
    <xf numFmtId="2" fontId="318" fillId="0" borderId="15" xfId="42" applyNumberFormat="1" applyFont="1" applyBorder="1" applyAlignment="1">
      <alignment horizontal="center" vertical="center" shrinkToFit="1"/>
    </xf>
    <xf numFmtId="1" fontId="318" fillId="0" borderId="24" xfId="42" applyNumberFormat="1" applyFont="1" applyBorder="1" applyAlignment="1">
      <alignment horizontal="center" vertical="center" shrinkToFit="1"/>
    </xf>
    <xf numFmtId="1" fontId="318" fillId="0" borderId="15" xfId="42" applyNumberFormat="1" applyFont="1" applyBorder="1" applyAlignment="1">
      <alignment horizontal="center" vertical="center" shrinkToFit="1"/>
    </xf>
    <xf numFmtId="167" fontId="318" fillId="0" borderId="15" xfId="42" applyNumberFormat="1" applyFont="1" applyBorder="1" applyAlignment="1">
      <alignment horizontal="center" vertical="center" shrinkToFit="1"/>
    </xf>
    <xf numFmtId="0" fontId="318" fillId="0" borderId="164" xfId="42" applyFont="1" applyBorder="1" applyAlignment="1">
      <alignment horizontal="left" vertical="center" wrapText="1"/>
    </xf>
    <xf numFmtId="0" fontId="318" fillId="0" borderId="24" xfId="42" applyFont="1" applyBorder="1" applyAlignment="1">
      <alignment horizontal="left" vertical="center" wrapText="1"/>
    </xf>
    <xf numFmtId="0" fontId="319" fillId="0" borderId="14" xfId="42" applyFont="1" applyAlignment="1">
      <alignment horizontal="left" vertical="center"/>
    </xf>
    <xf numFmtId="0" fontId="129" fillId="0" borderId="14" xfId="42" applyFont="1" applyAlignment="1">
      <alignment vertical="center"/>
    </xf>
    <xf numFmtId="0" fontId="110" fillId="0" borderId="14" xfId="42" applyFont="1" applyAlignment="1">
      <alignment vertical="center"/>
    </xf>
    <xf numFmtId="0" fontId="316" fillId="0" borderId="119" xfId="42" applyFont="1" applyBorder="1" applyAlignment="1">
      <alignment horizontal="center" vertical="center" wrapText="1"/>
    </xf>
    <xf numFmtId="0" fontId="316" fillId="0" borderId="1" xfId="42" applyFont="1" applyBorder="1" applyAlignment="1">
      <alignment horizontal="center" vertical="center" wrapText="1"/>
    </xf>
    <xf numFmtId="0" fontId="316" fillId="0" borderId="15" xfId="42" applyFont="1" applyBorder="1" applyAlignment="1">
      <alignment horizontal="center" vertical="center" wrapText="1"/>
    </xf>
    <xf numFmtId="0" fontId="316" fillId="0" borderId="65" xfId="42" applyFont="1" applyBorder="1" applyAlignment="1">
      <alignment horizontal="center" vertical="center" wrapText="1"/>
    </xf>
    <xf numFmtId="0" fontId="318" fillId="0" borderId="1" xfId="42" applyFont="1" applyBorder="1" applyAlignment="1">
      <alignment horizontal="center" vertical="center" wrapText="1"/>
    </xf>
    <xf numFmtId="0" fontId="318" fillId="0" borderId="15" xfId="42" applyFont="1" applyBorder="1" applyAlignment="1">
      <alignment horizontal="center" vertical="center" wrapText="1"/>
    </xf>
    <xf numFmtId="1" fontId="318" fillId="0" borderId="15" xfId="42" applyNumberFormat="1" applyFont="1" applyBorder="1" applyAlignment="1">
      <alignment horizontal="center" vertical="center" wrapText="1"/>
    </xf>
    <xf numFmtId="1" fontId="318" fillId="0" borderId="24" xfId="42" applyNumberFormat="1" applyFont="1" applyBorder="1" applyAlignment="1">
      <alignment horizontal="center" vertical="center" wrapText="1"/>
    </xf>
    <xf numFmtId="0" fontId="318" fillId="0" borderId="16" xfId="42" applyFont="1" applyBorder="1" applyAlignment="1">
      <alignment horizontal="center" vertical="center" wrapText="1"/>
    </xf>
    <xf numFmtId="0" fontId="318" fillId="0" borderId="161" xfId="42" applyFont="1" applyBorder="1" applyAlignment="1">
      <alignment horizontal="left" vertical="center" wrapText="1"/>
    </xf>
    <xf numFmtId="0" fontId="318" fillId="0" borderId="164" xfId="42" applyFont="1" applyBorder="1" applyAlignment="1">
      <alignment horizontal="center" vertical="center" wrapText="1"/>
    </xf>
    <xf numFmtId="0" fontId="318" fillId="0" borderId="24" xfId="42" applyFont="1" applyBorder="1" applyAlignment="1">
      <alignment horizontal="center" vertical="center" wrapText="1"/>
    </xf>
    <xf numFmtId="0" fontId="321" fillId="0" borderId="14" xfId="42" applyFont="1" applyAlignment="1">
      <alignment vertical="top"/>
    </xf>
    <xf numFmtId="0" fontId="141" fillId="53" borderId="24" xfId="4" applyFill="1" applyBorder="1"/>
    <xf numFmtId="2" fontId="141" fillId="0" borderId="131" xfId="4" applyNumberFormat="1" applyBorder="1"/>
    <xf numFmtId="2" fontId="141" fillId="0" borderId="20" xfId="4" applyNumberFormat="1" applyBorder="1"/>
    <xf numFmtId="0" fontId="141" fillId="52" borderId="65" xfId="4" applyFill="1" applyBorder="1"/>
    <xf numFmtId="0" fontId="141" fillId="52" borderId="29" xfId="4" applyFill="1" applyBorder="1"/>
    <xf numFmtId="0" fontId="141" fillId="52" borderId="64" xfId="4" applyFill="1" applyBorder="1"/>
    <xf numFmtId="2" fontId="141" fillId="36" borderId="113" xfId="4" applyNumberFormat="1" applyFill="1" applyBorder="1"/>
    <xf numFmtId="2" fontId="141" fillId="36" borderId="114" xfId="4" applyNumberFormat="1" applyFill="1" applyBorder="1"/>
    <xf numFmtId="2" fontId="141" fillId="13" borderId="113" xfId="4" applyNumberFormat="1" applyFill="1" applyBorder="1"/>
    <xf numFmtId="2" fontId="141" fillId="13" borderId="114" xfId="4" applyNumberFormat="1" applyFill="1" applyBorder="1"/>
    <xf numFmtId="0" fontId="141" fillId="34" borderId="14" xfId="4" applyFill="1"/>
    <xf numFmtId="0" fontId="0" fillId="0" borderId="131" xfId="0" applyBorder="1"/>
    <xf numFmtId="2" fontId="141" fillId="0" borderId="22" xfId="4" applyNumberFormat="1" applyBorder="1"/>
    <xf numFmtId="2" fontId="141" fillId="0" borderId="21" xfId="4" applyNumberFormat="1" applyBorder="1"/>
    <xf numFmtId="0" fontId="0" fillId="0" borderId="21" xfId="0" applyBorder="1"/>
    <xf numFmtId="0" fontId="0" fillId="0" borderId="22" xfId="0" applyBorder="1"/>
    <xf numFmtId="0" fontId="208" fillId="23" borderId="24" xfId="0" applyFont="1" applyFill="1" applyBorder="1" applyAlignment="1">
      <alignment wrapText="1"/>
    </xf>
    <xf numFmtId="0" fontId="232" fillId="23" borderId="24" xfId="0" applyFont="1" applyFill="1" applyBorder="1" applyAlignment="1">
      <alignment wrapText="1"/>
    </xf>
    <xf numFmtId="0" fontId="208" fillId="0" borderId="24" xfId="0" applyFont="1" applyBorder="1"/>
    <xf numFmtId="0" fontId="232" fillId="53" borderId="24" xfId="0" applyFont="1" applyFill="1" applyBorder="1"/>
    <xf numFmtId="0" fontId="208" fillId="23" borderId="24" xfId="0" applyFont="1" applyFill="1" applyBorder="1"/>
    <xf numFmtId="0" fontId="241" fillId="23" borderId="24" xfId="5" applyFont="1" applyFill="1" applyBorder="1">
      <alignment vertical="center" wrapText="1"/>
    </xf>
    <xf numFmtId="0" fontId="251" fillId="23" borderId="77" xfId="4" applyFont="1" applyFill="1" applyBorder="1" applyAlignment="1">
      <alignment vertical="center" wrapText="1"/>
    </xf>
    <xf numFmtId="3" fontId="251" fillId="23" borderId="77" xfId="4" applyNumberFormat="1" applyFont="1" applyFill="1" applyBorder="1" applyAlignment="1">
      <alignment horizontal="right" vertical="center"/>
    </xf>
    <xf numFmtId="0" fontId="251" fillId="23" borderId="112" xfId="4" applyFont="1" applyFill="1" applyBorder="1" applyAlignment="1">
      <alignment vertical="center" wrapText="1"/>
    </xf>
    <xf numFmtId="3" fontId="251" fillId="23" borderId="112" xfId="4" applyNumberFormat="1" applyFont="1" applyFill="1" applyBorder="1" applyAlignment="1">
      <alignment horizontal="right" vertical="center"/>
    </xf>
    <xf numFmtId="0" fontId="258" fillId="23" borderId="112" xfId="4" applyFont="1" applyFill="1" applyBorder="1" applyAlignment="1">
      <alignment vertical="center" wrapText="1"/>
    </xf>
    <xf numFmtId="3" fontId="258" fillId="23" borderId="112" xfId="4" applyNumberFormat="1" applyFont="1" applyFill="1" applyBorder="1" applyAlignment="1">
      <alignment horizontal="right" vertical="center"/>
    </xf>
    <xf numFmtId="0" fontId="241" fillId="23" borderId="111" xfId="0" applyFont="1" applyFill="1" applyBorder="1" applyAlignment="1">
      <alignment vertical="center"/>
    </xf>
    <xf numFmtId="3" fontId="253" fillId="23" borderId="111" xfId="0" applyNumberFormat="1" applyFont="1" applyFill="1" applyBorder="1" applyAlignment="1">
      <alignment vertical="center"/>
    </xf>
    <xf numFmtId="0" fontId="159" fillId="0" borderId="132" xfId="4" applyFont="1" applyBorder="1"/>
    <xf numFmtId="0" fontId="159" fillId="0" borderId="14" xfId="4" applyFont="1"/>
    <xf numFmtId="2" fontId="110" fillId="0" borderId="0" xfId="0" applyNumberFormat="1" applyFont="1" applyAlignment="1">
      <alignment horizontal="right" wrapText="1"/>
    </xf>
    <xf numFmtId="1" fontId="110" fillId="0" borderId="0" xfId="0" applyNumberFormat="1" applyFont="1" applyAlignment="1">
      <alignment horizontal="right" wrapText="1"/>
    </xf>
    <xf numFmtId="0" fontId="307" fillId="0" borderId="14" xfId="4" applyFont="1"/>
    <xf numFmtId="177" fontId="323" fillId="0" borderId="0" xfId="0" applyNumberFormat="1" applyFont="1"/>
    <xf numFmtId="0" fontId="253" fillId="0" borderId="14" xfId="4" applyFont="1"/>
    <xf numFmtId="1" fontId="172" fillId="0" borderId="0" xfId="0" applyNumberFormat="1" applyFont="1"/>
    <xf numFmtId="1" fontId="172" fillId="0" borderId="0" xfId="0" applyNumberFormat="1" applyFont="1" applyAlignment="1">
      <alignment horizontal="right"/>
    </xf>
    <xf numFmtId="1" fontId="308" fillId="0" borderId="0" xfId="0" applyNumberFormat="1" applyFont="1" applyAlignment="1">
      <alignment horizontal="right"/>
    </xf>
    <xf numFmtId="1" fontId="172" fillId="0" borderId="0" xfId="0" applyNumberFormat="1" applyFont="1" applyAlignment="1">
      <alignment horizontal="right" wrapText="1"/>
    </xf>
    <xf numFmtId="0" fontId="208" fillId="0" borderId="14" xfId="0" applyFont="1" applyBorder="1" applyAlignment="1">
      <alignment wrapText="1"/>
    </xf>
    <xf numFmtId="14" fontId="208" fillId="0" borderId="14" xfId="0" applyNumberFormat="1" applyFont="1" applyBorder="1" applyAlignment="1">
      <alignment horizontal="right" wrapText="1"/>
    </xf>
    <xf numFmtId="0" fontId="208" fillId="0" borderId="14" xfId="0" applyFont="1" applyBorder="1" applyAlignment="1">
      <alignment horizontal="right" wrapText="1"/>
    </xf>
    <xf numFmtId="0" fontId="208" fillId="67" borderId="14" xfId="0" applyFont="1" applyFill="1" applyBorder="1" applyAlignment="1">
      <alignment horizontal="right" wrapText="1"/>
    </xf>
    <xf numFmtId="0" fontId="208" fillId="40" borderId="14" xfId="0" applyFont="1" applyFill="1" applyBorder="1" applyAlignment="1">
      <alignment horizontal="right" wrapText="1"/>
    </xf>
    <xf numFmtId="0" fontId="208" fillId="40" borderId="14" xfId="0" applyFont="1" applyFill="1" applyBorder="1" applyAlignment="1">
      <alignment wrapText="1"/>
    </xf>
    <xf numFmtId="0" fontId="208" fillId="0" borderId="14" xfId="0" applyFont="1" applyBorder="1"/>
    <xf numFmtId="0" fontId="183" fillId="0" borderId="53" xfId="0" applyFont="1" applyBorder="1"/>
    <xf numFmtId="0" fontId="0" fillId="0" borderId="54" xfId="0" applyBorder="1"/>
    <xf numFmtId="0" fontId="0" fillId="0" borderId="55" xfId="0" applyBorder="1"/>
    <xf numFmtId="0" fontId="130" fillId="0" borderId="56" xfId="0" applyFont="1" applyBorder="1"/>
    <xf numFmtId="0" fontId="0" fillId="0" borderId="57" xfId="0" applyBorder="1"/>
    <xf numFmtId="0" fontId="192" fillId="0" borderId="49" xfId="0" applyFont="1" applyBorder="1"/>
    <xf numFmtId="0" fontId="192" fillId="0" borderId="29" xfId="0" applyFont="1" applyBorder="1"/>
    <xf numFmtId="0" fontId="192" fillId="0" borderId="29" xfId="0" applyFont="1" applyBorder="1" applyAlignment="1">
      <alignment wrapText="1"/>
    </xf>
    <xf numFmtId="0" fontId="167" fillId="0" borderId="62" xfId="0" applyFont="1" applyBorder="1"/>
    <xf numFmtId="0" fontId="193" fillId="0" borderId="56" xfId="0" applyFont="1" applyBorder="1"/>
    <xf numFmtId="0" fontId="192" fillId="0" borderId="14" xfId="0" applyFont="1" applyBorder="1"/>
    <xf numFmtId="0" fontId="192" fillId="0" borderId="14" xfId="0" applyFont="1" applyBorder="1" applyAlignment="1">
      <alignment wrapText="1"/>
    </xf>
    <xf numFmtId="0" fontId="193" fillId="0" borderId="14" xfId="0" applyFont="1" applyBorder="1"/>
    <xf numFmtId="0" fontId="167" fillId="0" borderId="57" xfId="0" applyFont="1" applyBorder="1"/>
    <xf numFmtId="0" fontId="193" fillId="0" borderId="14" xfId="0" applyFont="1" applyBorder="1" applyAlignment="1">
      <alignment wrapText="1"/>
    </xf>
    <xf numFmtId="0" fontId="167" fillId="0" borderId="14" xfId="0" applyFont="1" applyBorder="1"/>
    <xf numFmtId="0" fontId="167" fillId="0" borderId="14" xfId="0" applyFont="1" applyBorder="1" applyAlignment="1">
      <alignment horizontal="center"/>
    </xf>
    <xf numFmtId="0" fontId="167" fillId="0" borderId="56" xfId="0" applyFont="1" applyBorder="1"/>
    <xf numFmtId="1" fontId="167" fillId="0" borderId="14" xfId="0" applyNumberFormat="1" applyFont="1" applyBorder="1"/>
    <xf numFmtId="0" fontId="192" fillId="0" borderId="56" xfId="0" applyFont="1" applyBorder="1"/>
    <xf numFmtId="0" fontId="167" fillId="0" borderId="56" xfId="0" applyFont="1" applyBorder="1" applyAlignment="1">
      <alignment horizontal="right"/>
    </xf>
    <xf numFmtId="0" fontId="192" fillId="0" borderId="50" xfId="0" applyFont="1" applyBorder="1" applyAlignment="1">
      <alignment horizontal="right"/>
    </xf>
    <xf numFmtId="0" fontId="167" fillId="0" borderId="25" xfId="0" applyFont="1" applyBorder="1"/>
    <xf numFmtId="0" fontId="167" fillId="0" borderId="20" xfId="0" applyFont="1" applyBorder="1"/>
    <xf numFmtId="0" fontId="167" fillId="0" borderId="22" xfId="0" applyFont="1" applyBorder="1"/>
    <xf numFmtId="0" fontId="167" fillId="0" borderId="58" xfId="0" applyFont="1" applyBorder="1"/>
    <xf numFmtId="0" fontId="167" fillId="0" borderId="59" xfId="0" applyFont="1" applyBorder="1"/>
    <xf numFmtId="0" fontId="167" fillId="0" borderId="60" xfId="0" applyFont="1" applyBorder="1"/>
    <xf numFmtId="0" fontId="167" fillId="0" borderId="61" xfId="0" applyFont="1" applyBorder="1"/>
    <xf numFmtId="0" fontId="159" fillId="34" borderId="0" xfId="0" applyFont="1" applyFill="1" applyAlignment="1">
      <alignment horizontal="center"/>
    </xf>
    <xf numFmtId="0" fontId="159" fillId="36" borderId="92" xfId="0" applyFont="1" applyFill="1" applyBorder="1" applyAlignment="1">
      <alignment horizontal="center"/>
    </xf>
    <xf numFmtId="0" fontId="134" fillId="0" borderId="0" xfId="0" applyFont="1"/>
    <xf numFmtId="0" fontId="133" fillId="0" borderId="0" xfId="0" applyFont="1"/>
    <xf numFmtId="0" fontId="165" fillId="0" borderId="4" xfId="0" applyFont="1" applyBorder="1" applyAlignment="1">
      <alignment horizontal="center"/>
    </xf>
    <xf numFmtId="0" fontId="165" fillId="0" borderId="14" xfId="0" applyFont="1" applyBorder="1" applyAlignment="1">
      <alignment horizontal="center"/>
    </xf>
    <xf numFmtId="0" fontId="134" fillId="0" borderId="92" xfId="0" applyFont="1" applyBorder="1"/>
    <xf numFmtId="0" fontId="115" fillId="0" borderId="0" xfId="0" applyFont="1" applyAlignment="1">
      <alignment horizontal="center"/>
    </xf>
    <xf numFmtId="0" fontId="135" fillId="0" borderId="0" xfId="0" applyFont="1" applyAlignment="1">
      <alignment vertical="center" wrapText="1"/>
    </xf>
    <xf numFmtId="0" fontId="134" fillId="0" borderId="92" xfId="0" applyFont="1" applyBorder="1" applyAlignment="1">
      <alignment vertical="top"/>
    </xf>
    <xf numFmtId="0" fontId="0" fillId="0" borderId="92" xfId="0" applyBorder="1"/>
    <xf numFmtId="0" fontId="0" fillId="0" borderId="92" xfId="0" applyBorder="1" applyAlignment="1">
      <alignment vertical="top"/>
    </xf>
    <xf numFmtId="0" fontId="141" fillId="52" borderId="24" xfId="0" applyFont="1" applyFill="1" applyBorder="1"/>
    <xf numFmtId="0" fontId="141" fillId="0" borderId="24" xfId="0" applyFont="1" applyBorder="1"/>
    <xf numFmtId="0" fontId="141" fillId="0" borderId="56" xfId="0" applyFont="1" applyBorder="1"/>
    <xf numFmtId="0" fontId="141" fillId="0" borderId="124" xfId="0" applyFont="1" applyBorder="1"/>
    <xf numFmtId="0" fontId="141" fillId="0" borderId="22" xfId="0" applyFont="1" applyBorder="1"/>
    <xf numFmtId="0" fontId="0" fillId="0" borderId="56" xfId="0" applyBorder="1"/>
    <xf numFmtId="0" fontId="0" fillId="0" borderId="124" xfId="0" applyBorder="1"/>
    <xf numFmtId="49" fontId="141" fillId="0" borderId="24" xfId="0" applyNumberFormat="1" applyFont="1" applyBorder="1"/>
    <xf numFmtId="0" fontId="197" fillId="0" borderId="0" xfId="0" applyFont="1"/>
    <xf numFmtId="0" fontId="309" fillId="65" borderId="23" xfId="0" applyFont="1" applyFill="1" applyBorder="1"/>
    <xf numFmtId="0" fontId="309" fillId="65" borderId="0" xfId="0" applyFont="1" applyFill="1"/>
    <xf numFmtId="0" fontId="197" fillId="52" borderId="29" xfId="0" applyFont="1" applyFill="1" applyBorder="1"/>
    <xf numFmtId="1" fontId="197" fillId="52" borderId="29" xfId="0" applyNumberFormat="1" applyFont="1" applyFill="1" applyBorder="1"/>
    <xf numFmtId="1" fontId="197" fillId="0" borderId="0" xfId="0" applyNumberFormat="1" applyFont="1"/>
    <xf numFmtId="0" fontId="197" fillId="66" borderId="23" xfId="0" applyFont="1" applyFill="1" applyBorder="1"/>
    <xf numFmtId="2" fontId="0" fillId="0" borderId="0" xfId="0" applyNumberFormat="1"/>
    <xf numFmtId="2" fontId="197" fillId="0" borderId="0" xfId="0" applyNumberFormat="1" applyFont="1"/>
    <xf numFmtId="0" fontId="197" fillId="0" borderId="0" xfId="0" applyFont="1" applyAlignment="1">
      <alignment horizontal="center" vertical="center"/>
    </xf>
    <xf numFmtId="2" fontId="0" fillId="0" borderId="0" xfId="0" applyNumberFormat="1" applyAlignment="1">
      <alignment horizontal="right" vertical="center"/>
    </xf>
    <xf numFmtId="0" fontId="0" fillId="0" borderId="0" xfId="0" applyAlignment="1">
      <alignment horizontal="right" vertical="center"/>
    </xf>
    <xf numFmtId="2" fontId="0" fillId="0" borderId="0" xfId="0" applyNumberFormat="1" applyAlignment="1">
      <alignment horizontal="left" indent="2"/>
    </xf>
    <xf numFmtId="2" fontId="0" fillId="0" borderId="0" xfId="0" applyNumberFormat="1" applyAlignment="1">
      <alignment horizontal="right"/>
    </xf>
    <xf numFmtId="1" fontId="0" fillId="0" borderId="0" xfId="0" applyNumberFormat="1" applyAlignment="1">
      <alignment horizontal="right"/>
    </xf>
    <xf numFmtId="2" fontId="141" fillId="0" borderId="0" xfId="0" applyNumberFormat="1" applyFont="1"/>
    <xf numFmtId="0" fontId="130" fillId="0" borderId="0" xfId="0" applyFont="1" applyAlignment="1">
      <alignment horizontal="left" vertical="center" wrapText="1"/>
    </xf>
    <xf numFmtId="0" fontId="130" fillId="0" borderId="0" xfId="0" applyFont="1"/>
    <xf numFmtId="0" fontId="117" fillId="5" borderId="4" xfId="0" applyFont="1" applyFill="1" applyBorder="1" applyAlignment="1">
      <alignment vertical="center" wrapText="1"/>
    </xf>
    <xf numFmtId="0" fontId="0" fillId="0" borderId="0" xfId="0" applyAlignment="1">
      <alignment horizontal="left" vertical="center" wrapText="1"/>
    </xf>
    <xf numFmtId="0" fontId="0" fillId="0" borderId="0" xfId="0" applyAlignment="1">
      <alignment vertical="center"/>
    </xf>
    <xf numFmtId="0" fontId="119" fillId="6" borderId="4" xfId="0" applyFont="1" applyFill="1" applyBorder="1" applyAlignment="1">
      <alignment horizontal="left" vertical="center" wrapText="1"/>
    </xf>
    <xf numFmtId="1" fontId="127" fillId="0" borderId="0" xfId="0" applyNumberFormat="1" applyFont="1" applyAlignment="1">
      <alignment horizontal="left" vertical="center" wrapText="1"/>
    </xf>
    <xf numFmtId="0" fontId="110" fillId="0" borderId="0" xfId="0" applyFont="1" applyAlignment="1">
      <alignment horizontal="left" vertical="center" wrapText="1"/>
    </xf>
    <xf numFmtId="0" fontId="119" fillId="4" borderId="4" xfId="0" applyFont="1" applyFill="1" applyBorder="1" applyAlignment="1">
      <alignment horizontal="left" vertical="center" wrapText="1"/>
    </xf>
    <xf numFmtId="1" fontId="128" fillId="0" borderId="0" xfId="0" applyNumberFormat="1" applyFont="1" applyAlignment="1">
      <alignment horizontal="left" vertical="center" wrapText="1"/>
    </xf>
    <xf numFmtId="0" fontId="141" fillId="0" borderId="0" xfId="0" applyFont="1" applyAlignment="1">
      <alignment horizontal="left" vertical="center" wrapText="1"/>
    </xf>
    <xf numFmtId="0" fontId="122" fillId="2" borderId="4" xfId="0" applyFont="1" applyFill="1" applyBorder="1" applyAlignment="1">
      <alignment horizontal="left" vertical="center" wrapText="1"/>
    </xf>
    <xf numFmtId="1" fontId="136" fillId="0" borderId="0" xfId="0" applyNumberFormat="1" applyFont="1" applyAlignment="1">
      <alignment horizontal="left" vertical="center" wrapText="1"/>
    </xf>
    <xf numFmtId="2" fontId="126" fillId="8" borderId="4" xfId="0" applyNumberFormat="1" applyFont="1" applyFill="1" applyBorder="1" applyAlignment="1">
      <alignment horizontal="left" vertical="center" wrapText="1"/>
    </xf>
    <xf numFmtId="20" fontId="110" fillId="0" borderId="0" xfId="0" applyNumberFormat="1" applyFont="1" applyAlignment="1">
      <alignment horizontal="left" vertical="center" wrapText="1"/>
    </xf>
    <xf numFmtId="0" fontId="141" fillId="7" borderId="4" xfId="0" applyFont="1" applyFill="1" applyBorder="1" applyAlignment="1">
      <alignment horizontal="left" vertical="center" wrapText="1"/>
    </xf>
    <xf numFmtId="0" fontId="130" fillId="12" borderId="4" xfId="0" applyFont="1" applyFill="1" applyBorder="1" applyAlignment="1">
      <alignment horizontal="left" vertical="center" wrapText="1"/>
    </xf>
    <xf numFmtId="0" fontId="110" fillId="9" borderId="4" xfId="0" applyFont="1" applyFill="1" applyBorder="1" applyAlignment="1">
      <alignment horizontal="left" vertical="center" wrapText="1"/>
    </xf>
    <xf numFmtId="0" fontId="0" fillId="0" borderId="25" xfId="0" applyBorder="1" applyAlignment="1">
      <alignment horizontal="left" vertical="center" wrapText="1"/>
    </xf>
    <xf numFmtId="0" fontId="117" fillId="0" borderId="25" xfId="0" applyFont="1" applyBorder="1" applyAlignment="1">
      <alignment vertical="center" wrapText="1"/>
    </xf>
    <xf numFmtId="0" fontId="166" fillId="0" borderId="25" xfId="0" applyFont="1" applyBorder="1" applyAlignment="1">
      <alignment horizontal="left" vertical="center"/>
    </xf>
    <xf numFmtId="0" fontId="0" fillId="0" borderId="25" xfId="0" applyBorder="1" applyAlignment="1">
      <alignment vertical="center"/>
    </xf>
    <xf numFmtId="0" fontId="0" fillId="0" borderId="25" xfId="0" applyBorder="1"/>
    <xf numFmtId="0" fontId="129" fillId="0" borderId="0" xfId="0" applyFont="1" applyAlignment="1">
      <alignment horizontal="left" vertical="center" wrapText="1"/>
    </xf>
    <xf numFmtId="0" fontId="129" fillId="0" borderId="0" xfId="0" applyFont="1" applyAlignment="1">
      <alignment vertical="center"/>
    </xf>
    <xf numFmtId="0" fontId="166" fillId="0" borderId="0" xfId="0" applyFont="1" applyAlignment="1">
      <alignment horizontal="right" vertical="center"/>
    </xf>
    <xf numFmtId="0" fontId="166" fillId="0" borderId="0" xfId="0" applyFont="1" applyAlignment="1">
      <alignment horizontal="left" vertical="center" wrapText="1"/>
    </xf>
    <xf numFmtId="0" fontId="164" fillId="0" borderId="0" xfId="0" applyFont="1" applyAlignment="1">
      <alignment horizontal="center" vertical="center"/>
    </xf>
    <xf numFmtId="0" fontId="164" fillId="0" borderId="0" xfId="0" applyFont="1" applyAlignment="1">
      <alignment vertical="center"/>
    </xf>
    <xf numFmtId="165" fontId="108" fillId="0" borderId="0" xfId="0" applyNumberFormat="1" applyFont="1" applyAlignment="1">
      <alignment horizontal="right"/>
    </xf>
    <xf numFmtId="165" fontId="108" fillId="0" borderId="0" xfId="0" applyNumberFormat="1" applyFont="1"/>
    <xf numFmtId="165" fontId="108" fillId="0" borderId="0" xfId="0" applyNumberFormat="1" applyFont="1" applyAlignment="1">
      <alignment horizontal="left" vertical="center"/>
    </xf>
    <xf numFmtId="0" fontId="164" fillId="0" borderId="0" xfId="0" applyFont="1" applyAlignment="1">
      <alignment horizontal="center" vertical="center" wrapText="1"/>
    </xf>
    <xf numFmtId="0" fontId="164" fillId="0" borderId="0" xfId="0" applyFont="1" applyAlignment="1">
      <alignment vertical="center" wrapText="1"/>
    </xf>
    <xf numFmtId="0" fontId="108" fillId="0" borderId="0" xfId="0" applyFont="1"/>
    <xf numFmtId="0" fontId="172" fillId="0" borderId="0" xfId="0" applyFont="1" applyAlignment="1">
      <alignment horizontal="left" vertical="center" wrapText="1"/>
    </xf>
    <xf numFmtId="0" fontId="166" fillId="0" borderId="0" xfId="0" applyFont="1" applyAlignment="1">
      <alignment horizontal="left" vertical="center"/>
    </xf>
    <xf numFmtId="0" fontId="164" fillId="0" borderId="0" xfId="0" applyFont="1" applyAlignment="1">
      <alignment horizontal="left" vertical="center" wrapText="1"/>
    </xf>
    <xf numFmtId="0" fontId="107" fillId="0" borderId="0" xfId="0" applyFont="1" applyAlignment="1">
      <alignment horizontal="center" vertical="center" wrapText="1"/>
    </xf>
    <xf numFmtId="168" fontId="107" fillId="0" borderId="0" xfId="0" applyNumberFormat="1" applyFont="1" applyAlignment="1">
      <alignment horizontal="left" vertical="center" wrapText="1"/>
    </xf>
    <xf numFmtId="168" fontId="109" fillId="0" borderId="0" xfId="0" applyNumberFormat="1" applyFont="1" applyAlignment="1">
      <alignment horizontal="right" vertical="center" wrapText="1"/>
    </xf>
    <xf numFmtId="0" fontId="109" fillId="0" borderId="0" xfId="0" applyFont="1" applyAlignment="1">
      <alignment horizontal="center" vertical="center" wrapText="1"/>
    </xf>
    <xf numFmtId="165" fontId="109" fillId="0" borderId="0" xfId="0" applyNumberFormat="1" applyFont="1" applyAlignment="1">
      <alignment horizontal="left" vertical="center" wrapText="1"/>
    </xf>
    <xf numFmtId="0" fontId="134" fillId="0" borderId="0" xfId="0" applyFont="1" applyAlignment="1">
      <alignment vertical="top"/>
    </xf>
    <xf numFmtId="0" fontId="135" fillId="0" borderId="0" xfId="0" applyFont="1" applyAlignment="1">
      <alignment vertical="center"/>
    </xf>
    <xf numFmtId="0" fontId="304" fillId="0" borderId="0" xfId="0" applyFont="1" applyAlignment="1">
      <alignment vertical="center"/>
    </xf>
    <xf numFmtId="0" fontId="134" fillId="0" borderId="0" xfId="0" applyFont="1" applyAlignment="1">
      <alignment vertical="center"/>
    </xf>
    <xf numFmtId="0" fontId="208" fillId="23" borderId="14" xfId="4" applyFont="1" applyFill="1" applyAlignment="1">
      <alignment horizontal="right"/>
    </xf>
    <xf numFmtId="0" fontId="116" fillId="23" borderId="14" xfId="4" applyFont="1" applyFill="1" applyAlignment="1">
      <alignment horizontal="center" vertical="top" wrapText="1"/>
    </xf>
    <xf numFmtId="0" fontId="271" fillId="23" borderId="14" xfId="4" applyFont="1" applyFill="1" applyAlignment="1">
      <alignment horizontal="center" vertical="top" wrapText="1"/>
    </xf>
    <xf numFmtId="0" fontId="242" fillId="23" borderId="14" xfId="4" applyFont="1" applyFill="1" applyAlignment="1">
      <alignment horizontal="left" vertical="top" wrapText="1"/>
    </xf>
    <xf numFmtId="0" fontId="205" fillId="23" borderId="14" xfId="4" applyFont="1" applyFill="1" applyAlignment="1">
      <alignment horizontal="left" wrapText="1"/>
    </xf>
    <xf numFmtId="0" fontId="205" fillId="23" borderId="14" xfId="4" applyFont="1" applyFill="1" applyAlignment="1">
      <alignment horizontal="left" vertical="top" wrapText="1"/>
    </xf>
    <xf numFmtId="0" fontId="204" fillId="23" borderId="14" xfId="4" applyFont="1" applyFill="1" applyAlignment="1">
      <alignment vertical="top" wrapText="1"/>
    </xf>
    <xf numFmtId="0" fontId="141" fillId="23" borderId="14" xfId="4" applyFill="1" applyAlignment="1">
      <alignment horizontal="center" vertical="center"/>
    </xf>
    <xf numFmtId="0" fontId="141" fillId="23" borderId="14" xfId="4" applyFill="1" applyAlignment="1">
      <alignment horizontal="center"/>
    </xf>
    <xf numFmtId="0" fontId="149" fillId="23" borderId="14" xfId="4" applyFont="1" applyFill="1" applyAlignment="1">
      <alignment horizontal="right" vertical="center" wrapText="1"/>
    </xf>
    <xf numFmtId="0" fontId="150" fillId="23" borderId="14" xfId="4" applyFont="1" applyFill="1" applyAlignment="1">
      <alignment horizontal="center" vertical="center" wrapText="1"/>
    </xf>
    <xf numFmtId="0" fontId="151" fillId="23" borderId="14" xfId="4" applyFont="1" applyFill="1" applyAlignment="1">
      <alignment horizontal="center" vertical="center" wrapText="1"/>
    </xf>
    <xf numFmtId="167" fontId="150" fillId="23" borderId="14" xfId="4" applyNumberFormat="1" applyFont="1" applyFill="1" applyAlignment="1">
      <alignment horizontal="center" vertical="center" wrapText="1"/>
    </xf>
    <xf numFmtId="167" fontId="151" fillId="23" borderId="14" xfId="4" applyNumberFormat="1" applyFont="1" applyFill="1" applyAlignment="1">
      <alignment horizontal="center" vertical="center" wrapText="1"/>
    </xf>
    <xf numFmtId="0" fontId="204" fillId="23" borderId="14" xfId="4" applyFont="1" applyFill="1" applyAlignment="1">
      <alignment horizontal="left" wrapText="1"/>
    </xf>
    <xf numFmtId="0" fontId="205" fillId="23" borderId="14" xfId="11" applyFont="1" applyFill="1" applyAlignment="1">
      <alignment horizontal="left" wrapText="1"/>
    </xf>
    <xf numFmtId="0" fontId="204" fillId="23" borderId="14" xfId="11" applyFont="1" applyFill="1" applyAlignment="1">
      <alignment horizontal="left" wrapText="1"/>
    </xf>
    <xf numFmtId="0" fontId="205" fillId="23" borderId="14" xfId="11" applyFont="1" applyFill="1" applyAlignment="1">
      <alignment horizontal="left" vertical="top" wrapText="1"/>
    </xf>
    <xf numFmtId="0" fontId="141" fillId="23" borderId="14" xfId="11" applyFill="1" applyAlignment="1">
      <alignment horizontal="center" vertical="center"/>
    </xf>
    <xf numFmtId="0" fontId="141" fillId="23" borderId="14" xfId="11" applyFill="1" applyAlignment="1">
      <alignment horizontal="center"/>
    </xf>
    <xf numFmtId="0" fontId="149" fillId="23" borderId="14" xfId="11" applyFont="1" applyFill="1" applyAlignment="1">
      <alignment horizontal="right" vertical="center" wrapText="1"/>
    </xf>
    <xf numFmtId="0" fontId="150" fillId="23" borderId="14" xfId="11" applyFont="1" applyFill="1" applyAlignment="1">
      <alignment horizontal="center" vertical="center" wrapText="1"/>
    </xf>
    <xf numFmtId="0" fontId="151" fillId="23" borderId="14" xfId="11" applyFont="1" applyFill="1" applyAlignment="1">
      <alignment horizontal="center" vertical="center" wrapText="1"/>
    </xf>
    <xf numFmtId="167" fontId="150" fillId="23" borderId="14" xfId="11" applyNumberFormat="1" applyFont="1" applyFill="1" applyAlignment="1">
      <alignment horizontal="center" vertical="center" wrapText="1"/>
    </xf>
    <xf numFmtId="167" fontId="151" fillId="23" borderId="14" xfId="11" applyNumberFormat="1" applyFont="1" applyFill="1" applyAlignment="1">
      <alignment horizontal="center" vertical="center" wrapText="1"/>
    </xf>
    <xf numFmtId="0" fontId="204" fillId="23" borderId="14" xfId="11" applyFont="1" applyFill="1" applyAlignment="1">
      <alignment vertical="top" wrapText="1"/>
    </xf>
    <xf numFmtId="0" fontId="123" fillId="0" borderId="14" xfId="14" applyFont="1" applyAlignment="1">
      <alignment horizontal="left" vertical="top" wrapText="1"/>
    </xf>
    <xf numFmtId="0" fontId="158" fillId="15" borderId="74" xfId="4" applyFont="1" applyFill="1" applyBorder="1" applyAlignment="1">
      <alignment horizontal="center" vertical="center" wrapText="1"/>
    </xf>
    <xf numFmtId="0" fontId="158" fillId="15" borderId="14" xfId="4" applyFont="1" applyFill="1" applyAlignment="1">
      <alignment horizontal="center" vertical="center" wrapText="1"/>
    </xf>
    <xf numFmtId="0" fontId="130" fillId="0" borderId="14" xfId="4" applyFont="1" applyAlignment="1">
      <alignment horizontal="center" vertical="center"/>
    </xf>
    <xf numFmtId="1" fontId="130" fillId="0" borderId="127" xfId="4" applyNumberFormat="1" applyFont="1" applyBorder="1" applyAlignment="1">
      <alignment horizontal="center" vertical="center"/>
    </xf>
    <xf numFmtId="1" fontId="130" fillId="0" borderId="128" xfId="4" applyNumberFormat="1" applyFont="1" applyBorder="1" applyAlignment="1">
      <alignment horizontal="center" vertical="center"/>
    </xf>
    <xf numFmtId="173" fontId="123" fillId="14" borderId="127" xfId="4" applyNumberFormat="1" applyFont="1" applyFill="1" applyBorder="1" applyAlignment="1">
      <alignment horizontal="center" vertical="center"/>
    </xf>
    <xf numFmtId="173" fontId="123" fillId="14" borderId="128" xfId="4" applyNumberFormat="1" applyFont="1" applyFill="1" applyBorder="1" applyAlignment="1">
      <alignment horizontal="center" vertical="center"/>
    </xf>
    <xf numFmtId="0" fontId="153" fillId="44" borderId="192" xfId="4" applyFont="1" applyFill="1" applyBorder="1" applyAlignment="1" applyProtection="1">
      <alignment horizontal="left"/>
      <protection locked="0"/>
    </xf>
    <xf numFmtId="0" fontId="221" fillId="0" borderId="14" xfId="14" applyFont="1" applyAlignment="1">
      <alignment vertical="center" wrapText="1"/>
    </xf>
    <xf numFmtId="0" fontId="159" fillId="44" borderId="29" xfId="4" applyFont="1" applyFill="1" applyBorder="1" applyAlignment="1" applyProtection="1">
      <alignment horizontal="left"/>
      <protection locked="0"/>
    </xf>
    <xf numFmtId="173" fontId="147" fillId="28" borderId="24" xfId="4" applyNumberFormat="1" applyFont="1" applyFill="1" applyBorder="1" applyAlignment="1" applyProtection="1">
      <alignment horizontal="center" vertical="center" wrapText="1"/>
      <protection hidden="1"/>
    </xf>
    <xf numFmtId="173" fontId="149" fillId="28" borderId="24" xfId="4" applyNumberFormat="1" applyFont="1" applyFill="1" applyBorder="1" applyAlignment="1">
      <alignment horizontal="center" vertical="center" wrapText="1"/>
    </xf>
    <xf numFmtId="14" fontId="159" fillId="44" borderId="29" xfId="4" applyNumberFormat="1" applyFont="1" applyFill="1" applyBorder="1" applyAlignment="1" applyProtection="1">
      <alignment horizontal="left"/>
      <protection locked="0"/>
    </xf>
    <xf numFmtId="0" fontId="137" fillId="0" borderId="23" xfId="4" applyFont="1" applyBorder="1" applyAlignment="1">
      <alignment horizontal="center"/>
    </xf>
    <xf numFmtId="0" fontId="130" fillId="0" borderId="24" xfId="14" applyFont="1" applyBorder="1" applyAlignment="1">
      <alignment horizontal="center" vertical="center" wrapText="1"/>
    </xf>
    <xf numFmtId="0" fontId="153" fillId="0" borderId="24" xfId="14" applyFont="1" applyBorder="1" applyAlignment="1">
      <alignment horizontal="center" vertical="center" wrapText="1"/>
    </xf>
    <xf numFmtId="0" fontId="141" fillId="0" borderId="29" xfId="4" applyBorder="1" applyAlignment="1">
      <alignment horizontal="left" vertical="center" wrapText="1"/>
    </xf>
    <xf numFmtId="173" fontId="147" fillId="29" borderId="24" xfId="4" applyNumberFormat="1" applyFont="1" applyFill="1" applyBorder="1" applyAlignment="1">
      <alignment horizontal="center" vertical="center" wrapText="1"/>
    </xf>
    <xf numFmtId="167" fontId="123" fillId="0" borderId="75" xfId="4" applyNumberFormat="1" applyFont="1" applyBorder="1" applyAlignment="1">
      <alignment horizontal="center" vertical="center"/>
    </xf>
    <xf numFmtId="167" fontId="123" fillId="0" borderId="76" xfId="4" applyNumberFormat="1" applyFont="1" applyBorder="1" applyAlignment="1">
      <alignment horizontal="center" vertical="center"/>
    </xf>
    <xf numFmtId="0" fontId="141" fillId="0" borderId="25" xfId="4" applyBorder="1" applyAlignment="1">
      <alignment horizontal="left" vertical="center"/>
    </xf>
    <xf numFmtId="0" fontId="141" fillId="0" borderId="23" xfId="4" applyBorder="1" applyAlignment="1">
      <alignment horizontal="left" vertical="center"/>
    </xf>
    <xf numFmtId="0" fontId="141" fillId="0" borderId="25" xfId="4" applyBorder="1" applyAlignment="1">
      <alignment horizontal="left" vertical="center" wrapText="1"/>
    </xf>
    <xf numFmtId="0" fontId="141" fillId="0" borderId="23" xfId="4" applyBorder="1" applyAlignment="1">
      <alignment horizontal="left" vertical="center" wrapText="1"/>
    </xf>
    <xf numFmtId="0" fontId="165" fillId="0" borderId="29" xfId="14" applyBorder="1" applyAlignment="1">
      <alignment vertical="center" wrapText="1"/>
    </xf>
    <xf numFmtId="0" fontId="141" fillId="0" borderId="29" xfId="4" applyBorder="1" applyAlignment="1">
      <alignment vertical="center" wrapText="1"/>
    </xf>
    <xf numFmtId="0" fontId="161" fillId="0" borderId="29" xfId="4" applyFont="1" applyBorder="1" applyAlignment="1">
      <alignment horizontal="left" vertical="center" wrapText="1"/>
    </xf>
    <xf numFmtId="0" fontId="161" fillId="0" borderId="62" xfId="4" applyFont="1" applyBorder="1" applyAlignment="1">
      <alignment horizontal="left" vertical="center" wrapText="1"/>
    </xf>
    <xf numFmtId="0" fontId="161" fillId="0" borderId="29" xfId="4" applyFont="1" applyBorder="1" applyAlignment="1">
      <alignment horizontal="left" vertical="center"/>
    </xf>
    <xf numFmtId="0" fontId="161" fillId="0" borderId="62" xfId="4" applyFont="1" applyBorder="1" applyAlignment="1">
      <alignment horizontal="left" vertical="center"/>
    </xf>
    <xf numFmtId="0" fontId="130" fillId="0" borderId="29" xfId="4" applyFont="1" applyBorder="1" applyAlignment="1">
      <alignment horizontal="left" vertical="center" wrapText="1"/>
    </xf>
    <xf numFmtId="0" fontId="130" fillId="0" borderId="62" xfId="4" applyFont="1" applyBorder="1" applyAlignment="1">
      <alignment horizontal="left" vertical="center" wrapText="1"/>
    </xf>
    <xf numFmtId="0" fontId="158" fillId="15" borderId="168" xfId="4" applyFont="1" applyFill="1" applyBorder="1" applyAlignment="1">
      <alignment horizontal="center" vertical="center"/>
    </xf>
    <xf numFmtId="0" fontId="158" fillId="15" borderId="169" xfId="4" applyFont="1" applyFill="1" applyBorder="1" applyAlignment="1">
      <alignment horizontal="center" vertical="center"/>
    </xf>
    <xf numFmtId="0" fontId="165" fillId="52" borderId="14" xfId="14" applyFill="1" applyAlignment="1">
      <alignment horizontal="left" vertical="center" wrapText="1"/>
    </xf>
    <xf numFmtId="0" fontId="126" fillId="23" borderId="14" xfId="4" applyFont="1" applyFill="1" applyAlignment="1">
      <alignment horizontal="left" vertical="center" wrapText="1"/>
    </xf>
    <xf numFmtId="0" fontId="165" fillId="0" borderId="14" xfId="14" applyAlignment="1">
      <alignment horizontal="left" vertical="center" wrapText="1"/>
    </xf>
    <xf numFmtId="0" fontId="158" fillId="15" borderId="104" xfId="4" applyFont="1" applyFill="1" applyBorder="1" applyAlignment="1">
      <alignment horizontal="center" vertical="center"/>
    </xf>
    <xf numFmtId="0" fontId="158" fillId="15" borderId="117" xfId="4" applyFont="1" applyFill="1" applyBorder="1" applyAlignment="1">
      <alignment horizontal="center" vertical="center"/>
    </xf>
    <xf numFmtId="0" fontId="153" fillId="44" borderId="29" xfId="4" applyFont="1" applyFill="1" applyBorder="1" applyAlignment="1" applyProtection="1">
      <alignment horizontal="left"/>
      <protection locked="0"/>
    </xf>
    <xf numFmtId="0" fontId="158" fillId="15" borderId="14" xfId="4" applyFont="1" applyFill="1" applyAlignment="1">
      <alignment horizontal="left" vertical="center"/>
    </xf>
    <xf numFmtId="0" fontId="158" fillId="15" borderId="117" xfId="4" applyFont="1" applyFill="1" applyBorder="1" applyAlignment="1">
      <alignment horizontal="left" vertical="center"/>
    </xf>
    <xf numFmtId="0" fontId="130" fillId="0" borderId="25" xfId="4" applyFont="1" applyBorder="1" applyAlignment="1">
      <alignment horizontal="left" vertical="center" wrapText="1"/>
    </xf>
    <xf numFmtId="0" fontId="130" fillId="0" borderId="120" xfId="4" applyFont="1" applyBorder="1" applyAlignment="1">
      <alignment horizontal="left" vertical="center" wrapText="1"/>
    </xf>
    <xf numFmtId="0" fontId="130" fillId="0" borderId="14" xfId="4" applyFont="1" applyAlignment="1">
      <alignment horizontal="left" vertical="center" wrapText="1"/>
    </xf>
    <xf numFmtId="0" fontId="130" fillId="0" borderId="57" xfId="4" applyFont="1" applyBorder="1" applyAlignment="1">
      <alignment horizontal="left" vertical="center" wrapText="1"/>
    </xf>
    <xf numFmtId="0" fontId="153" fillId="0" borderId="29" xfId="14" applyFont="1" applyBorder="1" applyAlignment="1">
      <alignment horizontal="left" wrapText="1"/>
    </xf>
    <xf numFmtId="0" fontId="153" fillId="0" borderId="29" xfId="4" applyFont="1" applyBorder="1" applyAlignment="1">
      <alignment horizontal="left"/>
    </xf>
    <xf numFmtId="0" fontId="141" fillId="0" borderId="107" xfId="4" applyBorder="1" applyAlignment="1">
      <alignment horizontal="left" vertical="center" wrapText="1"/>
    </xf>
    <xf numFmtId="0" fontId="165" fillId="0" borderId="29" xfId="14" applyBorder="1" applyAlignment="1">
      <alignment horizontal="left" vertical="center" wrapText="1"/>
    </xf>
    <xf numFmtId="0" fontId="158" fillId="15" borderId="74" xfId="4" applyFont="1" applyFill="1" applyBorder="1" applyAlignment="1">
      <alignment horizontal="left" vertical="center" wrapText="1"/>
    </xf>
    <xf numFmtId="0" fontId="158" fillId="15" borderId="14" xfId="4" applyFont="1" applyFill="1" applyAlignment="1">
      <alignment horizontal="left" vertical="center" wrapText="1"/>
    </xf>
    <xf numFmtId="0" fontId="158" fillId="15" borderId="105" xfId="4" applyFont="1" applyFill="1" applyBorder="1" applyAlignment="1">
      <alignment horizontal="left" vertical="center" wrapText="1"/>
    </xf>
    <xf numFmtId="0" fontId="161" fillId="0" borderId="107" xfId="4" applyFont="1" applyBorder="1" applyAlignment="1">
      <alignment horizontal="left" vertical="center"/>
    </xf>
    <xf numFmtId="0" fontId="161" fillId="0" borderId="191" xfId="4" applyFont="1" applyBorder="1" applyAlignment="1">
      <alignment horizontal="left" vertical="center"/>
    </xf>
    <xf numFmtId="0" fontId="130" fillId="0" borderId="23" xfId="4" applyFont="1" applyBorder="1" applyAlignment="1">
      <alignment horizontal="left" vertical="center" wrapText="1"/>
    </xf>
    <xf numFmtId="0" fontId="130" fillId="0" borderId="26" xfId="4" applyFont="1" applyBorder="1" applyAlignment="1">
      <alignment horizontal="left" vertical="center" wrapText="1"/>
    </xf>
    <xf numFmtId="0" fontId="141" fillId="0" borderId="14" xfId="4" applyAlignment="1">
      <alignment wrapText="1"/>
    </xf>
    <xf numFmtId="0" fontId="165" fillId="62" borderId="21" xfId="4" applyFont="1" applyFill="1" applyBorder="1" applyAlignment="1">
      <alignment horizontal="left" vertical="top" wrapText="1"/>
    </xf>
    <xf numFmtId="0" fontId="165" fillId="62" borderId="14" xfId="4" applyFont="1" applyFill="1" applyAlignment="1">
      <alignment horizontal="left" vertical="top" wrapText="1"/>
    </xf>
    <xf numFmtId="0" fontId="165" fillId="62" borderId="22" xfId="4" applyFont="1" applyFill="1" applyBorder="1" applyAlignment="1">
      <alignment horizontal="left" vertical="top" wrapText="1"/>
    </xf>
    <xf numFmtId="0" fontId="165" fillId="62" borderId="113" xfId="4" applyFont="1" applyFill="1" applyBorder="1" applyAlignment="1">
      <alignment horizontal="left" vertical="top" wrapText="1"/>
    </xf>
    <xf numFmtId="0" fontId="165" fillId="62" borderId="23" xfId="4" applyFont="1" applyFill="1" applyBorder="1" applyAlignment="1">
      <alignment horizontal="left" vertical="top" wrapText="1"/>
    </xf>
    <xf numFmtId="0" fontId="165" fillId="62" borderId="114" xfId="4" applyFont="1" applyFill="1" applyBorder="1" applyAlignment="1">
      <alignment horizontal="left" vertical="top" wrapText="1"/>
    </xf>
    <xf numFmtId="0" fontId="187" fillId="64" borderId="14" xfId="4" applyFont="1" applyFill="1" applyAlignment="1">
      <alignment horizontal="center" vertical="center" wrapText="1"/>
    </xf>
    <xf numFmtId="0" fontId="187" fillId="64" borderId="14" xfId="4" applyFont="1" applyFill="1" applyAlignment="1">
      <alignment horizontal="center" vertical="center"/>
    </xf>
    <xf numFmtId="0" fontId="147" fillId="64" borderId="14" xfId="14" applyFont="1" applyFill="1" applyAlignment="1">
      <alignment horizontal="center" vertical="center" wrapText="1"/>
    </xf>
    <xf numFmtId="0" fontId="149" fillId="64" borderId="14" xfId="4" applyFont="1" applyFill="1" applyAlignment="1">
      <alignment horizontal="center" vertical="center" wrapText="1"/>
    </xf>
    <xf numFmtId="0" fontId="130" fillId="0" borderId="24" xfId="4" applyFont="1" applyBorder="1" applyAlignment="1">
      <alignment horizontal="center" vertical="center" wrapText="1"/>
    </xf>
    <xf numFmtId="0" fontId="165" fillId="0" borderId="14" xfId="14" applyAlignment="1">
      <alignment vertical="top" wrapText="1"/>
    </xf>
    <xf numFmtId="0" fontId="112" fillId="0" borderId="14" xfId="14" applyFont="1" applyAlignment="1">
      <alignment vertical="top" wrapText="1"/>
    </xf>
    <xf numFmtId="0" fontId="159" fillId="44" borderId="23" xfId="4" applyFont="1" applyFill="1" applyBorder="1" applyAlignment="1" applyProtection="1">
      <alignment horizontal="left"/>
      <protection locked="0"/>
    </xf>
    <xf numFmtId="0" fontId="137" fillId="0" borderId="29" xfId="4" applyFont="1" applyBorder="1" applyAlignment="1">
      <alignment horizontal="center"/>
    </xf>
    <xf numFmtId="0" fontId="137" fillId="0" borderId="25" xfId="4" applyFont="1" applyBorder="1" applyAlignment="1">
      <alignment horizontal="left"/>
    </xf>
    <xf numFmtId="0" fontId="165" fillId="62" borderId="131" xfId="4" applyFont="1" applyFill="1" applyBorder="1" applyAlignment="1">
      <alignment horizontal="left" vertical="top" wrapText="1"/>
    </xf>
    <xf numFmtId="0" fontId="165" fillId="62" borderId="25" xfId="4" applyFont="1" applyFill="1" applyBorder="1" applyAlignment="1">
      <alignment horizontal="left" vertical="top" wrapText="1"/>
    </xf>
    <xf numFmtId="0" fontId="165" fillId="62" borderId="20" xfId="4" applyFont="1" applyFill="1" applyBorder="1" applyAlignment="1">
      <alignment horizontal="left" vertical="top" wrapText="1"/>
    </xf>
    <xf numFmtId="0" fontId="158" fillId="15" borderId="74" xfId="4" applyFont="1" applyFill="1" applyBorder="1" applyAlignment="1">
      <alignment horizontal="center" vertical="center"/>
    </xf>
    <xf numFmtId="3" fontId="119" fillId="6" borderId="14" xfId="35" applyNumberFormat="1" applyFont="1" applyFill="1" applyAlignment="1">
      <alignment horizontal="left" wrapText="1"/>
    </xf>
    <xf numFmtId="0" fontId="118" fillId="5" borderId="5" xfId="0" applyFont="1" applyFill="1" applyBorder="1" applyAlignment="1">
      <alignment horizontal="left" vertical="center" wrapText="1"/>
    </xf>
    <xf numFmtId="0" fontId="121" fillId="2" borderId="14" xfId="0" applyFont="1" applyFill="1" applyBorder="1" applyAlignment="1">
      <alignment vertical="center" wrapText="1"/>
    </xf>
    <xf numFmtId="0" fontId="111" fillId="0" borderId="14" xfId="0" applyFont="1" applyBorder="1"/>
    <xf numFmtId="0" fontId="123" fillId="8" borderId="14" xfId="0" applyFont="1" applyFill="1" applyBorder="1" applyAlignment="1">
      <alignment vertical="center" wrapText="1"/>
    </xf>
    <xf numFmtId="0" fontId="143" fillId="3" borderId="14" xfId="0" applyFont="1" applyFill="1" applyBorder="1" applyAlignment="1">
      <alignment horizontal="center" vertical="center" wrapText="1"/>
    </xf>
    <xf numFmtId="3" fontId="123" fillId="70" borderId="14" xfId="35" applyNumberFormat="1" applyFont="1" applyFill="1" applyAlignment="1">
      <alignment horizontal="center" wrapText="1"/>
    </xf>
    <xf numFmtId="3" fontId="141" fillId="62" borderId="14" xfId="35" applyNumberFormat="1" applyFont="1" applyFill="1"/>
    <xf numFmtId="0" fontId="117" fillId="5" borderId="5" xfId="0" applyFont="1" applyFill="1" applyBorder="1" applyAlignment="1">
      <alignment horizontal="center" vertical="center" wrapText="1"/>
    </xf>
    <xf numFmtId="0" fontId="111" fillId="0" borderId="6" xfId="0" applyFont="1" applyBorder="1"/>
    <xf numFmtId="0" fontId="111" fillId="0" borderId="7" xfId="0" applyFont="1" applyBorder="1"/>
    <xf numFmtId="0" fontId="155" fillId="0" borderId="14" xfId="35" applyFont="1" applyAlignment="1" applyProtection="1">
      <alignment horizontal="center" vertical="center" wrapText="1"/>
      <protection locked="0"/>
    </xf>
    <xf numFmtId="170" fontId="119" fillId="6" borderId="14" xfId="0" applyNumberFormat="1" applyFont="1" applyFill="1" applyBorder="1" applyAlignment="1">
      <alignment horizontal="right" wrapText="1"/>
    </xf>
    <xf numFmtId="170" fontId="111" fillId="0" borderId="14" xfId="0" applyNumberFormat="1" applyFont="1" applyBorder="1" applyAlignment="1">
      <alignment horizontal="right"/>
    </xf>
    <xf numFmtId="0" fontId="110" fillId="6" borderId="14" xfId="0" applyFont="1" applyFill="1" applyBorder="1" applyAlignment="1">
      <alignment horizontal="center"/>
    </xf>
    <xf numFmtId="3" fontId="119" fillId="6" borderId="14" xfId="35" applyNumberFormat="1" applyFont="1" applyFill="1" applyAlignment="1">
      <alignment horizontal="center" wrapText="1"/>
    </xf>
    <xf numFmtId="3" fontId="111" fillId="0" borderId="14" xfId="35" applyNumberFormat="1" applyFont="1"/>
    <xf numFmtId="0" fontId="119" fillId="6" borderId="14" xfId="0" applyFont="1" applyFill="1" applyBorder="1" applyAlignment="1">
      <alignment horizontal="center" wrapText="1"/>
    </xf>
    <xf numFmtId="0" fontId="119" fillId="6" borderId="14" xfId="0" applyFont="1" applyFill="1" applyBorder="1" applyAlignment="1">
      <alignment horizontal="center" textRotation="90" wrapText="1"/>
    </xf>
    <xf numFmtId="0" fontId="111" fillId="0" borderId="14" xfId="0" applyFont="1" applyBorder="1" applyAlignment="1">
      <alignment textRotation="90"/>
    </xf>
    <xf numFmtId="0" fontId="143" fillId="0" borderId="14" xfId="0" applyFont="1" applyBorder="1" applyAlignment="1">
      <alignment horizontal="center" vertical="center" wrapText="1"/>
    </xf>
    <xf numFmtId="0" fontId="123" fillId="8" borderId="5" xfId="0" applyFont="1" applyFill="1" applyBorder="1" applyAlignment="1">
      <alignment vertical="center" wrapText="1"/>
    </xf>
    <xf numFmtId="0" fontId="110" fillId="3" borderId="14" xfId="0" applyFont="1" applyFill="1" applyBorder="1" applyAlignment="1">
      <alignment horizontal="center" vertical="center" wrapText="1"/>
    </xf>
    <xf numFmtId="0" fontId="144" fillId="0" borderId="14" xfId="0" applyFont="1" applyBorder="1" applyAlignment="1">
      <alignment vertical="center" wrapText="1"/>
    </xf>
    <xf numFmtId="0" fontId="143" fillId="3" borderId="23" xfId="0" applyFont="1" applyFill="1" applyBorder="1" applyAlignment="1">
      <alignment horizontal="center" vertical="center" wrapText="1"/>
    </xf>
    <xf numFmtId="0" fontId="144" fillId="0" borderId="14" xfId="0" applyFont="1" applyBorder="1" applyAlignment="1">
      <alignment wrapText="1"/>
    </xf>
    <xf numFmtId="0" fontId="110" fillId="3" borderId="8" xfId="0" applyFont="1" applyFill="1" applyBorder="1" applyAlignment="1">
      <alignment horizontal="center" vertical="center" wrapText="1"/>
    </xf>
    <xf numFmtId="0" fontId="111" fillId="0" borderId="9" xfId="0" applyFont="1" applyBorder="1"/>
    <xf numFmtId="0" fontId="111" fillId="0" borderId="10" xfId="0" applyFont="1" applyBorder="1"/>
    <xf numFmtId="0" fontId="111" fillId="0" borderId="11" xfId="0" applyFont="1" applyBorder="1"/>
    <xf numFmtId="0" fontId="123" fillId="8" borderId="14" xfId="0" applyFont="1" applyFill="1" applyBorder="1" applyAlignment="1">
      <alignment horizontal="left" vertical="center" wrapText="1"/>
    </xf>
    <xf numFmtId="0" fontId="141" fillId="44" borderId="51" xfId="6" applyNumberFormat="1" applyFont="1" applyFill="1" applyBorder="1" applyAlignment="1" applyProtection="1">
      <alignment horizontal="left" vertical="center"/>
      <protection locked="0"/>
    </xf>
    <xf numFmtId="3" fontId="141" fillId="44" borderId="52" xfId="6" applyNumberFormat="1" applyFont="1" applyFill="1" applyBorder="1" applyAlignment="1" applyProtection="1">
      <alignment horizontal="left" vertical="center"/>
      <protection locked="0"/>
    </xf>
    <xf numFmtId="0" fontId="141" fillId="44" borderId="52" xfId="0" applyFont="1" applyFill="1" applyBorder="1" applyAlignment="1" applyProtection="1">
      <alignment horizontal="left" vertical="center"/>
      <protection locked="0"/>
    </xf>
    <xf numFmtId="0" fontId="111" fillId="0" borderId="12" xfId="0" applyFont="1" applyBorder="1"/>
    <xf numFmtId="0" fontId="111" fillId="0" borderId="13" xfId="0" applyFont="1" applyBorder="1"/>
    <xf numFmtId="0" fontId="111" fillId="0" borderId="12" xfId="0" applyFont="1" applyBorder="1" applyAlignment="1">
      <alignment horizontal="center"/>
    </xf>
    <xf numFmtId="0" fontId="111" fillId="0" borderId="14" xfId="0" applyFont="1" applyBorder="1" applyAlignment="1">
      <alignment horizontal="center"/>
    </xf>
    <xf numFmtId="0" fontId="141" fillId="44" borderId="51" xfId="0" applyFont="1" applyFill="1" applyBorder="1" applyAlignment="1" applyProtection="1">
      <alignment horizontal="left" vertical="center"/>
      <protection locked="0"/>
    </xf>
    <xf numFmtId="3" fontId="141" fillId="44" borderId="14" xfId="6" applyNumberFormat="1" applyFont="1" applyFill="1" applyBorder="1" applyAlignment="1" applyProtection="1">
      <alignment horizontal="left" vertical="center"/>
      <protection locked="0"/>
    </xf>
    <xf numFmtId="0" fontId="141" fillId="44" borderId="52" xfId="6" applyNumberFormat="1" applyFont="1" applyFill="1" applyBorder="1" applyAlignment="1" applyProtection="1">
      <alignment horizontal="left" vertical="center"/>
      <protection locked="0"/>
    </xf>
    <xf numFmtId="0" fontId="141" fillId="44" borderId="44" xfId="6" applyNumberFormat="1" applyFont="1" applyFill="1" applyBorder="1" applyAlignment="1" applyProtection="1">
      <alignment horizontal="left" vertical="center"/>
      <protection locked="0"/>
    </xf>
    <xf numFmtId="3" fontId="141" fillId="44" borderId="51" xfId="6" applyNumberFormat="1" applyFont="1" applyFill="1" applyBorder="1" applyAlignment="1" applyProtection="1">
      <alignment horizontal="left" vertical="center"/>
      <protection locked="0"/>
    </xf>
    <xf numFmtId="0" fontId="141" fillId="44" borderId="14" xfId="6" applyNumberFormat="1" applyFont="1" applyFill="1" applyBorder="1" applyAlignment="1" applyProtection="1">
      <alignment horizontal="left" vertical="center"/>
      <protection locked="0"/>
    </xf>
    <xf numFmtId="0" fontId="0" fillId="0" borderId="0" xfId="0"/>
    <xf numFmtId="0" fontId="144" fillId="3" borderId="35" xfId="35" applyFont="1" applyFill="1" applyBorder="1" applyAlignment="1">
      <alignment horizontal="center" vertical="center" wrapText="1"/>
    </xf>
    <xf numFmtId="0" fontId="144" fillId="3" borderId="36" xfId="35" applyFont="1" applyFill="1" applyBorder="1" applyAlignment="1">
      <alignment horizontal="center" vertical="center" wrapText="1"/>
    </xf>
    <xf numFmtId="0" fontId="144" fillId="3" borderId="37" xfId="35" applyFont="1" applyFill="1" applyBorder="1" applyAlignment="1">
      <alignment horizontal="center" vertical="center" wrapText="1"/>
    </xf>
    <xf numFmtId="0" fontId="144" fillId="3" borderId="38" xfId="35" applyFont="1" applyFill="1" applyBorder="1" applyAlignment="1">
      <alignment horizontal="center" vertical="center" wrapText="1"/>
    </xf>
    <xf numFmtId="0" fontId="143" fillId="3" borderId="25" xfId="0" applyFont="1" applyFill="1" applyBorder="1" applyAlignment="1">
      <alignment horizontal="center" vertical="center" wrapText="1"/>
    </xf>
    <xf numFmtId="0" fontId="144" fillId="3" borderId="14" xfId="0" applyFont="1" applyFill="1" applyBorder="1" applyAlignment="1">
      <alignment horizontal="center" vertical="center" wrapText="1"/>
    </xf>
    <xf numFmtId="0" fontId="144" fillId="3" borderId="42" xfId="0" applyFont="1" applyFill="1" applyBorder="1" applyAlignment="1">
      <alignment horizontal="center" vertical="center" wrapText="1"/>
    </xf>
    <xf numFmtId="0" fontId="144" fillId="3" borderId="39" xfId="0" applyFont="1" applyFill="1" applyBorder="1" applyAlignment="1">
      <alignment horizontal="center" vertical="center" wrapText="1"/>
    </xf>
    <xf numFmtId="0" fontId="144" fillId="3" borderId="40" xfId="0" applyFont="1" applyFill="1" applyBorder="1" applyAlignment="1">
      <alignment horizontal="center" vertical="center" wrapText="1"/>
    </xf>
    <xf numFmtId="0" fontId="144" fillId="3" borderId="35" xfId="0" applyFont="1" applyFill="1" applyBorder="1" applyAlignment="1">
      <alignment horizontal="center" vertical="center" wrapText="1"/>
    </xf>
    <xf numFmtId="0" fontId="144" fillId="3" borderId="36" xfId="0" applyFont="1" applyFill="1" applyBorder="1" applyAlignment="1">
      <alignment horizontal="center" vertical="center" wrapText="1"/>
    </xf>
    <xf numFmtId="0" fontId="110" fillId="22" borderId="14" xfId="0" applyFont="1" applyFill="1" applyBorder="1" applyAlignment="1">
      <alignment horizontal="center" vertical="center" wrapText="1"/>
    </xf>
    <xf numFmtId="0" fontId="123" fillId="22" borderId="14" xfId="0" applyFont="1" applyFill="1" applyBorder="1" applyAlignment="1">
      <alignment horizontal="center" vertical="center" wrapText="1"/>
    </xf>
    <xf numFmtId="0" fontId="140" fillId="0" borderId="19" xfId="0" applyFont="1" applyBorder="1" applyAlignment="1">
      <alignment horizontal="center" vertical="center"/>
    </xf>
    <xf numFmtId="0" fontId="145" fillId="0" borderId="48" xfId="0" applyFont="1" applyBorder="1"/>
    <xf numFmtId="0" fontId="262" fillId="3" borderId="14" xfId="0" applyFont="1" applyFill="1" applyBorder="1" applyAlignment="1">
      <alignment horizontal="center" vertical="center" wrapText="1"/>
    </xf>
    <xf numFmtId="0" fontId="262" fillId="3" borderId="41" xfId="0" applyFont="1" applyFill="1" applyBorder="1" applyAlignment="1">
      <alignment horizontal="center" vertical="center" wrapText="1"/>
    </xf>
    <xf numFmtId="170" fontId="119" fillId="6" borderId="2" xfId="0" applyNumberFormat="1" applyFont="1" applyFill="1" applyBorder="1" applyAlignment="1">
      <alignment horizontal="right" wrapText="1"/>
    </xf>
    <xf numFmtId="170" fontId="111" fillId="0" borderId="3" xfId="0" applyNumberFormat="1" applyFont="1" applyBorder="1" applyAlignment="1">
      <alignment horizontal="right"/>
    </xf>
    <xf numFmtId="0" fontId="110" fillId="6" borderId="2" xfId="0" applyFont="1" applyFill="1" applyBorder="1" applyAlignment="1">
      <alignment horizontal="center"/>
    </xf>
    <xf numFmtId="0" fontId="111" fillId="0" borderId="3" xfId="0" applyFont="1" applyBorder="1"/>
    <xf numFmtId="0" fontId="119" fillId="6" borderId="8" xfId="0" applyFont="1" applyFill="1" applyBorder="1" applyAlignment="1">
      <alignment horizontal="center" wrapText="1"/>
    </xf>
    <xf numFmtId="0" fontId="176" fillId="0" borderId="14" xfId="0" applyFont="1" applyBorder="1" applyAlignment="1">
      <alignment horizontal="center" vertical="center" wrapText="1"/>
    </xf>
    <xf numFmtId="0" fontId="176" fillId="0" borderId="14" xfId="0" applyFont="1" applyBorder="1" applyAlignment="1">
      <alignment wrapText="1"/>
    </xf>
    <xf numFmtId="0" fontId="260" fillId="0" borderId="14" xfId="0" applyFont="1" applyBorder="1" applyAlignment="1">
      <alignment horizontal="center" vertical="center" wrapText="1"/>
    </xf>
    <xf numFmtId="0" fontId="260" fillId="0" borderId="23" xfId="0" applyFont="1" applyBorder="1" applyAlignment="1">
      <alignment horizontal="center" vertical="center" wrapText="1"/>
    </xf>
    <xf numFmtId="0" fontId="155" fillId="0" borderId="14" xfId="35" applyFont="1" applyAlignment="1" applyProtection="1">
      <alignment horizontal="center" vertical="top" wrapText="1"/>
      <protection locked="0"/>
    </xf>
    <xf numFmtId="0" fontId="121" fillId="2" borderId="14" xfId="0" applyFont="1" applyFill="1" applyBorder="1" applyAlignment="1">
      <alignment horizontal="left" vertical="center" wrapText="1"/>
    </xf>
    <xf numFmtId="0" fontId="260" fillId="23" borderId="45" xfId="0" applyFont="1" applyFill="1" applyBorder="1" applyAlignment="1">
      <alignment horizontal="center" vertical="center" wrapText="1"/>
    </xf>
    <xf numFmtId="0" fontId="260" fillId="23" borderId="14" xfId="0" applyFont="1" applyFill="1" applyBorder="1" applyAlignment="1">
      <alignment horizontal="center" vertical="center" wrapText="1"/>
    </xf>
    <xf numFmtId="0" fontId="260" fillId="23" borderId="46" xfId="0" applyFont="1" applyFill="1" applyBorder="1" applyAlignment="1">
      <alignment horizontal="center" vertical="center" wrapText="1"/>
    </xf>
    <xf numFmtId="0" fontId="260" fillId="23" borderId="52" xfId="0" applyFont="1" applyFill="1" applyBorder="1" applyAlignment="1">
      <alignment horizontal="center" vertical="center" wrapText="1"/>
    </xf>
    <xf numFmtId="0" fontId="130" fillId="0" borderId="0" xfId="0" applyFont="1" applyAlignment="1">
      <alignment vertical="center" wrapText="1"/>
    </xf>
    <xf numFmtId="0" fontId="143" fillId="0" borderId="0" xfId="0" applyFont="1" applyAlignment="1">
      <alignment horizontal="center" vertical="center" wrapText="1"/>
    </xf>
    <xf numFmtId="0" fontId="144" fillId="0" borderId="0" xfId="0" applyFont="1"/>
    <xf numFmtId="0" fontId="110" fillId="0" borderId="0" xfId="0" applyFont="1" applyAlignment="1">
      <alignment horizontal="center" vertical="center" wrapText="1"/>
    </xf>
    <xf numFmtId="0" fontId="110" fillId="0" borderId="14" xfId="0" applyFont="1" applyBorder="1" applyAlignment="1">
      <alignment horizontal="center" vertical="center" wrapText="1"/>
    </xf>
    <xf numFmtId="0" fontId="0" fillId="0" borderId="14" xfId="0" applyBorder="1"/>
    <xf numFmtId="0" fontId="0" fillId="0" borderId="0" xfId="0" applyAlignment="1">
      <alignment horizontal="center"/>
    </xf>
    <xf numFmtId="0" fontId="263" fillId="23" borderId="14" xfId="0" applyFont="1" applyFill="1" applyBorder="1" applyAlignment="1">
      <alignment horizontal="center" vertical="center" wrapText="1"/>
    </xf>
    <xf numFmtId="0" fontId="261" fillId="0" borderId="0" xfId="0" applyFont="1" applyAlignment="1">
      <alignment horizontal="center" vertical="center" wrapText="1"/>
    </xf>
    <xf numFmtId="0" fontId="144" fillId="0" borderId="14" xfId="0" applyFont="1" applyBorder="1" applyAlignment="1">
      <alignment horizontal="center" vertical="center" wrapText="1"/>
    </xf>
    <xf numFmtId="0" fontId="144" fillId="0" borderId="82" xfId="0" applyFont="1" applyBorder="1" applyAlignment="1">
      <alignment horizontal="center" vertical="center" wrapText="1"/>
    </xf>
    <xf numFmtId="0" fontId="118" fillId="5" borderId="5" xfId="0" applyFont="1" applyFill="1" applyBorder="1" applyAlignment="1">
      <alignment horizontal="left" vertical="center"/>
    </xf>
    <xf numFmtId="0" fontId="118" fillId="5" borderId="14" xfId="0" applyFont="1" applyFill="1" applyBorder="1" applyAlignment="1">
      <alignment horizontal="left" vertical="center"/>
    </xf>
    <xf numFmtId="3" fontId="141" fillId="44" borderId="44" xfId="6" applyNumberFormat="1" applyFont="1" applyFill="1" applyBorder="1" applyAlignment="1" applyProtection="1">
      <alignment horizontal="left" vertical="center"/>
      <protection locked="0"/>
    </xf>
    <xf numFmtId="0" fontId="176" fillId="0" borderId="68" xfId="0" applyFont="1" applyBorder="1" applyAlignment="1">
      <alignment wrapText="1"/>
    </xf>
    <xf numFmtId="0" fontId="0" fillId="23" borderId="14" xfId="0" applyFill="1" applyBorder="1"/>
    <xf numFmtId="0" fontId="144" fillId="3" borderId="68" xfId="35" applyFont="1" applyFill="1" applyBorder="1" applyAlignment="1">
      <alignment horizontal="center" vertical="center" wrapText="1"/>
    </xf>
    <xf numFmtId="0" fontId="144" fillId="3" borderId="69" xfId="35" applyFont="1" applyFill="1" applyBorder="1" applyAlignment="1">
      <alignment horizontal="center" vertical="center" wrapText="1"/>
    </xf>
    <xf numFmtId="0" fontId="144" fillId="3" borderId="68" xfId="0" applyFont="1" applyFill="1" applyBorder="1" applyAlignment="1">
      <alignment horizontal="center" vertical="center" wrapText="1"/>
    </xf>
    <xf numFmtId="0" fontId="144" fillId="3" borderId="69" xfId="0" applyFont="1" applyFill="1" applyBorder="1" applyAlignment="1">
      <alignment horizontal="center" vertical="center" wrapText="1"/>
    </xf>
    <xf numFmtId="0" fontId="260" fillId="0" borderId="117" xfId="0" applyFont="1" applyBorder="1"/>
    <xf numFmtId="0" fontId="260" fillId="0" borderId="14" xfId="0" applyFont="1" applyBorder="1"/>
    <xf numFmtId="0" fontId="143" fillId="0" borderId="82" xfId="0" applyFont="1" applyBorder="1" applyAlignment="1">
      <alignment horizontal="center" vertical="center" wrapText="1"/>
    </xf>
    <xf numFmtId="0" fontId="143" fillId="3" borderId="39" xfId="0" applyFont="1" applyFill="1" applyBorder="1" applyAlignment="1">
      <alignment horizontal="center" vertical="center" wrapText="1"/>
    </xf>
    <xf numFmtId="0" fontId="143" fillId="3" borderId="44" xfId="0" applyFont="1" applyFill="1" applyBorder="1" applyAlignment="1">
      <alignment horizontal="center" vertical="center" wrapText="1"/>
    </xf>
    <xf numFmtId="0" fontId="143" fillId="3" borderId="35" xfId="0" applyFont="1" applyFill="1" applyBorder="1" applyAlignment="1">
      <alignment horizontal="center" vertical="center" wrapText="1"/>
    </xf>
    <xf numFmtId="0" fontId="175" fillId="0" borderId="14" xfId="0" applyFont="1" applyBorder="1" applyAlignment="1">
      <alignment horizontal="center" vertical="center" wrapText="1"/>
    </xf>
    <xf numFmtId="0" fontId="143" fillId="3" borderId="68" xfId="0" applyFont="1" applyFill="1" applyBorder="1" applyAlignment="1">
      <alignment horizontal="center" vertical="center" wrapText="1"/>
    </xf>
    <xf numFmtId="0" fontId="143" fillId="3" borderId="42" xfId="0" applyFont="1" applyFill="1" applyBorder="1" applyAlignment="1">
      <alignment horizontal="center" vertical="center" wrapText="1"/>
    </xf>
    <xf numFmtId="0" fontId="143" fillId="3" borderId="69" xfId="0" applyFont="1" applyFill="1" applyBorder="1" applyAlignment="1">
      <alignment horizontal="center" vertical="center" wrapText="1"/>
    </xf>
    <xf numFmtId="0" fontId="0" fillId="0" borderId="23" xfId="0" applyBorder="1"/>
    <xf numFmtId="0" fontId="110" fillId="23" borderId="14" xfId="0" applyFont="1" applyFill="1" applyBorder="1" applyAlignment="1">
      <alignment vertical="center" wrapText="1"/>
    </xf>
    <xf numFmtId="0" fontId="110" fillId="0" borderId="82" xfId="0" applyFont="1" applyBorder="1" applyAlignment="1">
      <alignment horizontal="center" vertical="center" wrapText="1"/>
    </xf>
    <xf numFmtId="0" fontId="118" fillId="5" borderId="14" xfId="0" applyFont="1" applyFill="1" applyBorder="1" applyAlignment="1">
      <alignment horizontal="left" vertical="center" wrapText="1"/>
    </xf>
    <xf numFmtId="9" fontId="119" fillId="6" borderId="14" xfId="3" applyFont="1" applyFill="1" applyBorder="1" applyAlignment="1" applyProtection="1">
      <alignment horizontal="center" wrapText="1"/>
    </xf>
    <xf numFmtId="0" fontId="144" fillId="0" borderId="43" xfId="0" applyFont="1" applyBorder="1"/>
    <xf numFmtId="0" fontId="144" fillId="0" borderId="14" xfId="0" applyFont="1" applyBorder="1"/>
    <xf numFmtId="0" fontId="110" fillId="23" borderId="14" xfId="0" applyFont="1" applyFill="1" applyBorder="1" applyAlignment="1">
      <alignment horizontal="center" vertical="center" wrapText="1"/>
    </xf>
    <xf numFmtId="0" fontId="0" fillId="23" borderId="0" xfId="0" applyFill="1" applyAlignment="1">
      <alignment horizontal="center"/>
    </xf>
    <xf numFmtId="0" fontId="264" fillId="0" borderId="14" xfId="0" applyFont="1" applyBorder="1" applyAlignment="1">
      <alignment horizontal="center" vertical="center" wrapText="1"/>
    </xf>
    <xf numFmtId="9" fontId="122" fillId="2" borderId="14" xfId="3" applyFont="1" applyFill="1" applyBorder="1" applyAlignment="1" applyProtection="1">
      <alignment horizontal="right" vertical="center" wrapText="1"/>
    </xf>
    <xf numFmtId="0" fontId="260" fillId="0" borderId="44" xfId="0" applyFont="1" applyBorder="1" applyAlignment="1">
      <alignment horizontal="center" vertical="center" wrapText="1"/>
    </xf>
    <xf numFmtId="0" fontId="143" fillId="3" borderId="14" xfId="0" applyFont="1" applyFill="1" applyBorder="1" applyAlignment="1">
      <alignment horizontal="center" vertical="top" wrapText="1"/>
    </xf>
    <xf numFmtId="0" fontId="144" fillId="0" borderId="14" xfId="0" applyFont="1" applyBorder="1" applyAlignment="1">
      <alignment vertical="top" wrapText="1"/>
    </xf>
    <xf numFmtId="170" fontId="119" fillId="6" borderId="14" xfId="0" applyNumberFormat="1" applyFont="1" applyFill="1" applyBorder="1" applyAlignment="1">
      <alignment horizontal="center" wrapText="1"/>
    </xf>
    <xf numFmtId="170" fontId="111" fillId="0" borderId="14" xfId="0" applyNumberFormat="1" applyFont="1" applyBorder="1"/>
    <xf numFmtId="0" fontId="143" fillId="3" borderId="41" xfId="0" applyFont="1" applyFill="1" applyBorder="1" applyAlignment="1">
      <alignment horizontal="center" vertical="center" wrapText="1"/>
    </xf>
    <xf numFmtId="0" fontId="0" fillId="23" borderId="14" xfId="0" applyFill="1" applyBorder="1" applyAlignment="1">
      <alignment horizontal="center"/>
    </xf>
    <xf numFmtId="0" fontId="0" fillId="23" borderId="82" xfId="0" applyFill="1" applyBorder="1" applyAlignment="1">
      <alignment horizontal="center"/>
    </xf>
    <xf numFmtId="0" fontId="130" fillId="0" borderId="14" xfId="0" applyFont="1" applyBorder="1" applyAlignment="1">
      <alignment horizontal="center" vertical="center" wrapText="1"/>
    </xf>
    <xf numFmtId="0" fontId="112" fillId="2" borderId="14" xfId="0" applyFont="1" applyFill="1" applyBorder="1" applyAlignment="1">
      <alignment vertical="center" wrapText="1"/>
    </xf>
    <xf numFmtId="0" fontId="112" fillId="2" borderId="85" xfId="0" applyFont="1" applyFill="1" applyBorder="1" applyAlignment="1">
      <alignment horizontal="center" vertical="center" wrapText="1"/>
    </xf>
    <xf numFmtId="0" fontId="115" fillId="0" borderId="14" xfId="35" applyFont="1" applyAlignment="1">
      <alignment horizontal="left" vertical="top" wrapText="1"/>
    </xf>
    <xf numFmtId="0" fontId="174" fillId="30" borderId="130" xfId="0" applyFont="1" applyFill="1" applyBorder="1" applyAlignment="1" applyProtection="1">
      <alignment horizontal="center" vertical="center" wrapText="1"/>
      <protection locked="0"/>
    </xf>
    <xf numFmtId="0" fontId="174" fillId="30" borderId="83" xfId="0" applyFont="1" applyFill="1" applyBorder="1" applyAlignment="1" applyProtection="1">
      <alignment horizontal="center" vertical="center" wrapText="1"/>
      <protection locked="0"/>
    </xf>
    <xf numFmtId="0" fontId="113" fillId="3" borderId="82" xfId="0" applyFont="1" applyFill="1" applyBorder="1" applyAlignment="1">
      <alignment horizontal="center" vertical="center" wrapText="1"/>
    </xf>
    <xf numFmtId="0" fontId="113" fillId="3" borderId="81" xfId="0" applyFont="1" applyFill="1" applyBorder="1" applyAlignment="1">
      <alignment horizontal="center" vertical="center" wrapText="1"/>
    </xf>
    <xf numFmtId="0" fontId="113" fillId="3" borderId="84" xfId="0" applyFont="1" applyFill="1" applyBorder="1" applyAlignment="1">
      <alignment horizontal="center" vertical="center" wrapText="1"/>
    </xf>
    <xf numFmtId="0" fontId="113" fillId="3" borderId="83" xfId="0" applyFont="1" applyFill="1" applyBorder="1" applyAlignment="1">
      <alignment horizontal="center" vertical="center" wrapText="1"/>
    </xf>
    <xf numFmtId="0" fontId="113" fillId="3" borderId="85" xfId="0" applyFont="1" applyFill="1" applyBorder="1" applyAlignment="1">
      <alignment horizontal="center" vertical="center" wrapText="1"/>
    </xf>
    <xf numFmtId="0" fontId="185" fillId="0" borderId="14" xfId="35" applyFont="1" applyAlignment="1">
      <alignment horizontal="left" vertical="top" wrapText="1"/>
    </xf>
    <xf numFmtId="0" fontId="121" fillId="2" borderId="14" xfId="0" applyFont="1" applyFill="1" applyBorder="1" applyAlignment="1">
      <alignment horizontal="center" vertical="center" wrapText="1"/>
    </xf>
    <xf numFmtId="0" fontId="185" fillId="0" borderId="14" xfId="35" applyFont="1" applyAlignment="1">
      <alignment horizontal="center" vertical="top" wrapText="1"/>
    </xf>
    <xf numFmtId="0" fontId="331" fillId="5" borderId="5" xfId="0" applyFont="1" applyFill="1" applyBorder="1" applyAlignment="1">
      <alignment horizontal="left" vertical="center" wrapText="1"/>
    </xf>
    <xf numFmtId="0" fontId="217" fillId="6" borderId="14" xfId="0" applyFont="1" applyFill="1" applyBorder="1" applyAlignment="1">
      <alignment horizontal="center"/>
    </xf>
    <xf numFmtId="0" fontId="157" fillId="0" borderId="14" xfId="0" applyFont="1" applyBorder="1"/>
    <xf numFmtId="0" fontId="123" fillId="0" borderId="14" xfId="35" applyFont="1" applyAlignment="1" applyProtection="1">
      <alignment horizontal="left" vertical="top" wrapText="1"/>
      <protection locked="0"/>
    </xf>
    <xf numFmtId="0" fontId="95" fillId="0" borderId="14" xfId="35" applyProtection="1">
      <protection locked="0"/>
    </xf>
    <xf numFmtId="0" fontId="185" fillId="0" borderId="14" xfId="35" applyFont="1" applyAlignment="1" applyProtection="1">
      <alignment horizontal="left" vertical="top" wrapText="1"/>
      <protection locked="0"/>
    </xf>
    <xf numFmtId="0" fontId="117" fillId="5" borderId="14" xfId="0" applyFont="1" applyFill="1" applyBorder="1" applyAlignment="1">
      <alignment horizontal="center" vertical="center" wrapText="1"/>
    </xf>
    <xf numFmtId="0" fontId="117" fillId="5" borderId="14" xfId="0" applyFont="1" applyFill="1" applyBorder="1" applyAlignment="1" applyProtection="1">
      <alignment horizontal="center" vertical="center" wrapText="1"/>
      <protection hidden="1"/>
    </xf>
    <xf numFmtId="0" fontId="111" fillId="0" borderId="14" xfId="0" applyFont="1" applyBorder="1" applyProtection="1">
      <protection hidden="1"/>
    </xf>
    <xf numFmtId="3" fontId="119" fillId="6" borderId="14" xfId="38" applyNumberFormat="1" applyFont="1" applyFill="1" applyAlignment="1">
      <alignment horizontal="center" wrapText="1"/>
    </xf>
    <xf numFmtId="3" fontId="111" fillId="0" borderId="14" xfId="38" applyNumberFormat="1" applyFont="1"/>
    <xf numFmtId="0" fontId="155" fillId="0" borderId="14" xfId="38" applyFont="1" applyAlignment="1">
      <alignment horizontal="center" vertical="top" wrapText="1"/>
    </xf>
    <xf numFmtId="0" fontId="146" fillId="23" borderId="14" xfId="38" applyFont="1" applyFill="1" applyAlignment="1">
      <alignment horizontal="left" vertical="top" wrapText="1"/>
    </xf>
    <xf numFmtId="0" fontId="185" fillId="0" borderId="14" xfId="38" applyFont="1" applyAlignment="1">
      <alignment horizontal="left" vertical="top" wrapText="1"/>
    </xf>
    <xf numFmtId="0" fontId="115" fillId="0" borderId="14" xfId="38" applyFont="1" applyAlignment="1">
      <alignment horizontal="left" vertical="top" wrapText="1"/>
    </xf>
    <xf numFmtId="0" fontId="123" fillId="0" borderId="14" xfId="35" applyFont="1" applyAlignment="1">
      <alignment horizontal="left" vertical="top" wrapText="1"/>
    </xf>
    <xf numFmtId="0" fontId="95" fillId="0" borderId="14" xfId="35"/>
    <xf numFmtId="0" fontId="243" fillId="23" borderId="167" xfId="4" applyFont="1" applyFill="1" applyBorder="1" applyAlignment="1">
      <alignment horizontal="left" vertical="center" wrapText="1"/>
    </xf>
    <xf numFmtId="0" fontId="243" fillId="23" borderId="61" xfId="4" applyFont="1" applyFill="1" applyBorder="1" applyAlignment="1">
      <alignment horizontal="left" vertical="center" wrapText="1"/>
    </xf>
    <xf numFmtId="0" fontId="265" fillId="23" borderId="170" xfId="4" applyFont="1" applyFill="1" applyBorder="1" applyAlignment="1">
      <alignment horizontal="center" wrapText="1"/>
    </xf>
    <xf numFmtId="0" fontId="265" fillId="23" borderId="171" xfId="4" applyFont="1" applyFill="1" applyBorder="1" applyAlignment="1">
      <alignment horizontal="center" wrapText="1"/>
    </xf>
    <xf numFmtId="0" fontId="265" fillId="23" borderId="175" xfId="4" applyFont="1" applyFill="1" applyBorder="1" applyAlignment="1">
      <alignment horizontal="center" wrapText="1"/>
    </xf>
    <xf numFmtId="0" fontId="144" fillId="3" borderId="35" xfId="38" applyFont="1" applyFill="1" applyBorder="1" applyAlignment="1">
      <alignment horizontal="center" vertical="center" wrapText="1"/>
    </xf>
    <xf numFmtId="0" fontId="144" fillId="3" borderId="68" xfId="38" applyFont="1" applyFill="1" applyBorder="1" applyAlignment="1">
      <alignment horizontal="center" vertical="center" wrapText="1"/>
    </xf>
    <xf numFmtId="0" fontId="144" fillId="3" borderId="37" xfId="38" applyFont="1" applyFill="1" applyBorder="1" applyAlignment="1">
      <alignment horizontal="center" vertical="center" wrapText="1"/>
    </xf>
    <xf numFmtId="0" fontId="144" fillId="3" borderId="69" xfId="38" applyFont="1" applyFill="1" applyBorder="1" applyAlignment="1">
      <alignment horizontal="center" vertical="center" wrapText="1"/>
    </xf>
    <xf numFmtId="0" fontId="144" fillId="3" borderId="78" xfId="38" applyFont="1" applyFill="1" applyBorder="1" applyAlignment="1">
      <alignment horizontal="center" vertical="center" wrapText="1"/>
    </xf>
    <xf numFmtId="0" fontId="144" fillId="3" borderId="79" xfId="38" applyFont="1" applyFill="1" applyBorder="1" applyAlignment="1">
      <alignment horizontal="center" vertical="center" wrapText="1"/>
    </xf>
    <xf numFmtId="0" fontId="144" fillId="3" borderId="36" xfId="38" applyFont="1" applyFill="1" applyBorder="1" applyAlignment="1">
      <alignment horizontal="center" vertical="center" wrapText="1"/>
    </xf>
    <xf numFmtId="0" fontId="144" fillId="3" borderId="38" xfId="38" applyFont="1" applyFill="1" applyBorder="1" applyAlignment="1">
      <alignment horizontal="center" vertical="center" wrapText="1"/>
    </xf>
    <xf numFmtId="49" fontId="94" fillId="34" borderId="14" xfId="38" applyNumberFormat="1" applyFill="1" applyAlignment="1">
      <alignment horizontal="center"/>
    </xf>
    <xf numFmtId="49" fontId="94" fillId="36" borderId="14" xfId="38" applyNumberFormat="1" applyFill="1" applyAlignment="1">
      <alignment horizontal="center"/>
    </xf>
    <xf numFmtId="0" fontId="147" fillId="64" borderId="14" xfId="14" applyFont="1" applyFill="1" applyAlignment="1">
      <alignment horizontal="center" vertical="center"/>
    </xf>
    <xf numFmtId="0" fontId="112" fillId="0" borderId="14" xfId="14" applyFont="1" applyAlignment="1">
      <alignment horizontal="center" vertical="center" wrapText="1"/>
    </xf>
    <xf numFmtId="0" fontId="111" fillId="0" borderId="14" xfId="14" applyFont="1"/>
    <xf numFmtId="0" fontId="123" fillId="0" borderId="14" xfId="14" applyFont="1" applyAlignment="1">
      <alignment horizontal="left" vertical="center"/>
    </xf>
    <xf numFmtId="0" fontId="185" fillId="0" borderId="14" xfId="38" applyFont="1" applyAlignment="1">
      <alignment horizontal="center" vertical="top" wrapText="1"/>
    </xf>
    <xf numFmtId="0" fontId="226" fillId="0" borderId="14" xfId="38" applyFont="1" applyAlignment="1">
      <alignment horizontal="left" vertical="top" wrapText="1"/>
    </xf>
    <xf numFmtId="0" fontId="123" fillId="0" borderId="14" xfId="38" applyFont="1" applyAlignment="1">
      <alignment horizontal="left" vertical="top" wrapText="1"/>
    </xf>
    <xf numFmtId="0" fontId="94" fillId="0" borderId="14" xfId="38"/>
    <xf numFmtId="49" fontId="130" fillId="0" borderId="24" xfId="14" applyNumberFormat="1" applyFont="1" applyBorder="1" applyAlignment="1">
      <alignment horizontal="center" vertical="center" wrapText="1"/>
    </xf>
    <xf numFmtId="49" fontId="153" fillId="0" borderId="24" xfId="14" applyNumberFormat="1" applyFont="1" applyBorder="1" applyAlignment="1">
      <alignment horizontal="center" vertical="center" wrapText="1"/>
    </xf>
    <xf numFmtId="49" fontId="123" fillId="0" borderId="14" xfId="14" applyNumberFormat="1" applyFont="1" applyAlignment="1">
      <alignment horizontal="left" vertical="center"/>
    </xf>
    <xf numFmtId="0" fontId="157" fillId="64" borderId="14" xfId="4" applyFont="1" applyFill="1" applyAlignment="1">
      <alignment horizontal="left" vertical="center" wrapText="1"/>
    </xf>
    <xf numFmtId="0" fontId="153" fillId="0" borderId="14" xfId="4" applyFont="1" applyAlignment="1">
      <alignment horizontal="center" vertical="center" wrapText="1"/>
    </xf>
    <xf numFmtId="0" fontId="246" fillId="56" borderId="29" xfId="4" applyFont="1" applyFill="1" applyBorder="1" applyAlignment="1">
      <alignment horizontal="right" vertical="center"/>
    </xf>
    <xf numFmtId="0" fontId="243" fillId="0" borderId="165" xfId="4" applyFont="1" applyBorder="1" applyAlignment="1">
      <alignment horizontal="right" vertical="top" wrapText="1"/>
    </xf>
    <xf numFmtId="0" fontId="243" fillId="0" borderId="58" xfId="4" applyFont="1" applyBorder="1" applyAlignment="1">
      <alignment horizontal="right" vertical="top" wrapText="1"/>
    </xf>
    <xf numFmtId="2" fontId="232" fillId="0" borderId="166" xfId="4" applyNumberFormat="1" applyFont="1" applyBorder="1" applyAlignment="1">
      <alignment horizontal="center" vertical="center" wrapText="1"/>
    </xf>
    <xf numFmtId="2" fontId="232" fillId="0" borderId="59" xfId="4" applyNumberFormat="1" applyFont="1" applyBorder="1" applyAlignment="1">
      <alignment horizontal="center" vertical="center" wrapText="1"/>
    </xf>
    <xf numFmtId="0" fontId="243" fillId="56" borderId="29" xfId="4" applyFont="1" applyFill="1" applyBorder="1" applyAlignment="1" applyProtection="1">
      <alignment horizontal="left" vertical="center"/>
      <protection locked="0"/>
    </xf>
    <xf numFmtId="0" fontId="246" fillId="56" borderId="29" xfId="4" applyFont="1" applyFill="1" applyBorder="1" applyAlignment="1" applyProtection="1">
      <alignment horizontal="left" vertical="top"/>
      <protection locked="0"/>
    </xf>
    <xf numFmtId="173" fontId="334" fillId="0" borderId="172" xfId="4" applyNumberFormat="1" applyFont="1" applyBorder="1" applyAlignment="1">
      <alignment horizontal="center" vertical="center" wrapText="1"/>
    </xf>
    <xf numFmtId="173" fontId="334" fillId="0" borderId="173" xfId="4" applyNumberFormat="1" applyFont="1" applyBorder="1" applyAlignment="1">
      <alignment horizontal="center" vertical="center" wrapText="1"/>
    </xf>
    <xf numFmtId="173" fontId="334" fillId="0" borderId="174" xfId="4" applyNumberFormat="1" applyFont="1" applyBorder="1" applyAlignment="1">
      <alignment horizontal="center" vertical="center" wrapText="1"/>
    </xf>
    <xf numFmtId="173" fontId="336" fillId="0" borderId="176" xfId="4" applyNumberFormat="1" applyFont="1" applyBorder="1" applyAlignment="1">
      <alignment horizontal="center" vertical="center" wrapText="1"/>
    </xf>
    <xf numFmtId="173" fontId="336" fillId="0" borderId="177" xfId="4" applyNumberFormat="1" applyFont="1" applyBorder="1" applyAlignment="1">
      <alignment horizontal="center" vertical="center" wrapText="1"/>
    </xf>
    <xf numFmtId="173" fontId="336" fillId="0" borderId="179" xfId="4" applyNumberFormat="1" applyFont="1" applyBorder="1" applyAlignment="1">
      <alignment horizontal="center" vertical="center" wrapText="1"/>
    </xf>
    <xf numFmtId="0" fontId="232" fillId="23" borderId="178" xfId="4" applyFont="1" applyFill="1" applyBorder="1" applyAlignment="1">
      <alignment horizontal="center" wrapText="1"/>
    </xf>
    <xf numFmtId="0" fontId="137" fillId="0" borderId="14" xfId="4" applyFont="1" applyAlignment="1">
      <alignment horizontal="center"/>
    </xf>
    <xf numFmtId="0" fontId="246" fillId="56" borderId="29" xfId="4" applyFont="1" applyFill="1" applyBorder="1" applyAlignment="1">
      <alignment horizontal="right" vertical="center" wrapText="1"/>
    </xf>
    <xf numFmtId="167" fontId="149" fillId="0" borderId="14" xfId="4" applyNumberFormat="1" applyFont="1" applyAlignment="1">
      <alignment horizontal="center" vertical="center" wrapText="1"/>
    </xf>
    <xf numFmtId="0" fontId="243" fillId="56" borderId="29" xfId="4" applyFont="1" applyFill="1" applyBorder="1" applyAlignment="1" applyProtection="1">
      <alignment horizontal="left" vertical="center" wrapText="1"/>
      <protection locked="0"/>
    </xf>
    <xf numFmtId="0" fontId="208" fillId="23" borderId="56" xfId="4" applyFont="1" applyFill="1" applyBorder="1" applyAlignment="1">
      <alignment horizontal="right"/>
    </xf>
    <xf numFmtId="0" fontId="208" fillId="56" borderId="29" xfId="4" applyFont="1" applyFill="1" applyBorder="1" applyAlignment="1" applyProtection="1">
      <alignment horizontal="left"/>
      <protection locked="0"/>
    </xf>
    <xf numFmtId="0" fontId="208" fillId="56" borderId="62" xfId="4" applyFont="1" applyFill="1" applyBorder="1" applyAlignment="1" applyProtection="1">
      <alignment horizontal="left"/>
      <protection locked="0"/>
    </xf>
    <xf numFmtId="173" fontId="121" fillId="28" borderId="150" xfId="4" applyNumberFormat="1" applyFont="1" applyFill="1" applyBorder="1" applyAlignment="1" applyProtection="1">
      <alignment horizontal="center" vertical="center" wrapText="1"/>
      <protection hidden="1"/>
    </xf>
    <xf numFmtId="173" fontId="121" fillId="28" borderId="153" xfId="4" applyNumberFormat="1" applyFont="1" applyFill="1" applyBorder="1" applyAlignment="1" applyProtection="1">
      <alignment horizontal="center" vertical="center" wrapText="1"/>
      <protection hidden="1"/>
    </xf>
    <xf numFmtId="0" fontId="208" fillId="23" borderId="154" xfId="4" applyFont="1" applyFill="1" applyBorder="1" applyAlignment="1">
      <alignment horizontal="left" vertical="top" wrapText="1"/>
    </xf>
    <xf numFmtId="0" fontId="208" fillId="23" borderId="155" xfId="4" applyFont="1" applyFill="1" applyBorder="1" applyAlignment="1">
      <alignment horizontal="left" vertical="top" wrapText="1"/>
    </xf>
    <xf numFmtId="0" fontId="208" fillId="23" borderId="156" xfId="4" applyFont="1" applyFill="1" applyBorder="1" applyAlignment="1">
      <alignment horizontal="left" vertical="top" wrapText="1"/>
    </xf>
    <xf numFmtId="0" fontId="208" fillId="23" borderId="157" xfId="4" applyFont="1" applyFill="1" applyBorder="1" applyAlignment="1">
      <alignment horizontal="left" vertical="top" wrapText="1"/>
    </xf>
    <xf numFmtId="0" fontId="208" fillId="23" borderId="24" xfId="4" applyFont="1" applyFill="1" applyBorder="1" applyAlignment="1">
      <alignment horizontal="left" vertical="top" wrapText="1"/>
    </xf>
    <xf numFmtId="0" fontId="208" fillId="23" borderId="158" xfId="4" applyFont="1" applyFill="1" applyBorder="1" applyAlignment="1">
      <alignment horizontal="left" vertical="top" wrapText="1"/>
    </xf>
    <xf numFmtId="0" fontId="208" fillId="23" borderId="50" xfId="4" applyFont="1" applyFill="1" applyBorder="1" applyAlignment="1">
      <alignment horizontal="right"/>
    </xf>
    <xf numFmtId="0" fontId="208" fillId="23" borderId="25" xfId="4" applyFont="1" applyFill="1" applyBorder="1" applyAlignment="1">
      <alignment horizontal="right"/>
    </xf>
    <xf numFmtId="0" fontId="208" fillId="56" borderId="14" xfId="4" applyFont="1" applyFill="1" applyAlignment="1" applyProtection="1">
      <alignment horizontal="left" vertical="top"/>
      <protection locked="0"/>
    </xf>
    <xf numFmtId="173" fontId="246" fillId="0" borderId="183" xfId="4" applyNumberFormat="1" applyFont="1" applyBorder="1" applyAlignment="1" applyProtection="1">
      <alignment horizontal="center" vertical="center" wrapText="1"/>
      <protection hidden="1"/>
    </xf>
    <xf numFmtId="173" fontId="246" fillId="0" borderId="185" xfId="4" applyNumberFormat="1" applyFont="1" applyBorder="1" applyAlignment="1" applyProtection="1">
      <alignment horizontal="center" vertical="center" wrapText="1"/>
      <protection hidden="1"/>
    </xf>
    <xf numFmtId="173" fontId="121" fillId="28" borderId="180" xfId="4" applyNumberFormat="1" applyFont="1" applyFill="1" applyBorder="1" applyAlignment="1" applyProtection="1">
      <alignment horizontal="center" vertical="center" wrapText="1"/>
      <protection hidden="1"/>
    </xf>
    <xf numFmtId="173" fontId="121" fillId="28" borderId="181" xfId="4" applyNumberFormat="1" applyFont="1" applyFill="1" applyBorder="1" applyAlignment="1" applyProtection="1">
      <alignment horizontal="center" vertical="center" wrapText="1"/>
      <protection hidden="1"/>
    </xf>
    <xf numFmtId="173" fontId="121" fillId="28" borderId="182" xfId="4" applyNumberFormat="1" applyFont="1" applyFill="1" applyBorder="1" applyAlignment="1" applyProtection="1">
      <alignment horizontal="center" vertical="center" wrapText="1"/>
      <protection hidden="1"/>
    </xf>
    <xf numFmtId="0" fontId="243" fillId="23" borderId="14" xfId="4" applyFont="1" applyFill="1" applyAlignment="1">
      <alignment horizontal="left" vertical="top"/>
    </xf>
    <xf numFmtId="0" fontId="243" fillId="23" borderId="14" xfId="4" applyFont="1" applyFill="1"/>
    <xf numFmtId="0" fontId="243" fillId="23" borderId="23" xfId="4" applyFont="1" applyFill="1" applyBorder="1"/>
    <xf numFmtId="0" fontId="244" fillId="55" borderId="29" xfId="4" applyFont="1" applyFill="1" applyBorder="1"/>
    <xf numFmtId="0" fontId="244" fillId="55" borderId="64" xfId="4" applyFont="1" applyFill="1" applyBorder="1"/>
    <xf numFmtId="3" fontId="242" fillId="23" borderId="25" xfId="4" applyNumberFormat="1" applyFont="1" applyFill="1" applyBorder="1" applyAlignment="1">
      <alignment horizontal="left"/>
    </xf>
    <xf numFmtId="3" fontId="242" fillId="23" borderId="14" xfId="4" applyNumberFormat="1" applyFont="1" applyFill="1" applyAlignment="1">
      <alignment horizontal="left"/>
    </xf>
    <xf numFmtId="3" fontId="242" fillId="23" borderId="23" xfId="4" applyNumberFormat="1" applyFont="1" applyFill="1" applyBorder="1" applyAlignment="1">
      <alignment horizontal="left"/>
    </xf>
    <xf numFmtId="0" fontId="243" fillId="23" borderId="25" xfId="4" applyFont="1" applyFill="1" applyBorder="1"/>
    <xf numFmtId="0" fontId="0" fillId="0" borderId="0" xfId="0" applyAlignment="1">
      <alignment horizontal="left"/>
    </xf>
    <xf numFmtId="0" fontId="112" fillId="64" borderId="14" xfId="4" applyFont="1" applyFill="1" applyAlignment="1">
      <alignment horizontal="left" vertical="center" wrapText="1"/>
    </xf>
    <xf numFmtId="0" fontId="313" fillId="0" borderId="14" xfId="4" applyFont="1" applyAlignment="1">
      <alignment horizontal="left" wrapText="1"/>
    </xf>
    <xf numFmtId="0" fontId="313" fillId="0" borderId="14" xfId="4" applyFont="1" applyAlignment="1">
      <alignment horizontal="left" vertical="center"/>
    </xf>
    <xf numFmtId="0" fontId="313" fillId="0" borderId="14" xfId="4" applyFont="1" applyAlignment="1">
      <alignment horizontal="left" vertical="center" wrapText="1"/>
    </xf>
    <xf numFmtId="0" fontId="314" fillId="0" borderId="14" xfId="4" applyFont="1" applyAlignment="1">
      <alignment horizontal="left" vertical="center" wrapText="1"/>
    </xf>
    <xf numFmtId="0" fontId="0" fillId="0" borderId="23" xfId="0" applyBorder="1" applyAlignment="1">
      <alignment horizontal="left"/>
    </xf>
    <xf numFmtId="0" fontId="243" fillId="23" borderId="14" xfId="4" applyFont="1" applyFill="1" applyAlignment="1">
      <alignment horizontal="left"/>
    </xf>
    <xf numFmtId="0" fontId="243" fillId="23" borderId="23" xfId="4" applyFont="1" applyFill="1" applyBorder="1" applyAlignment="1">
      <alignment horizontal="left"/>
    </xf>
    <xf numFmtId="173" fontId="244" fillId="0" borderId="184" xfId="4" applyNumberFormat="1" applyFont="1" applyBorder="1" applyAlignment="1" applyProtection="1">
      <alignment horizontal="center" vertical="center" wrapText="1"/>
      <protection hidden="1"/>
    </xf>
    <xf numFmtId="173" fontId="244" fillId="0" borderId="186" xfId="4" applyNumberFormat="1" applyFont="1" applyBorder="1" applyAlignment="1" applyProtection="1">
      <alignment horizontal="center" vertical="center" wrapText="1"/>
      <protection hidden="1"/>
    </xf>
    <xf numFmtId="0" fontId="243" fillId="23" borderId="25" xfId="4" applyFont="1" applyFill="1" applyBorder="1" applyAlignment="1">
      <alignment horizontal="left"/>
    </xf>
    <xf numFmtId="0" fontId="0" fillId="0" borderId="25" xfId="0" applyBorder="1" applyAlignment="1">
      <alignment horizontal="left"/>
    </xf>
    <xf numFmtId="0" fontId="208" fillId="23" borderId="28" xfId="4" applyFont="1" applyFill="1" applyBorder="1" applyAlignment="1">
      <alignment horizontal="right"/>
    </xf>
    <xf numFmtId="0" fontId="208" fillId="23" borderId="23" xfId="4" applyFont="1" applyFill="1" applyBorder="1" applyAlignment="1">
      <alignment horizontal="right"/>
    </xf>
    <xf numFmtId="0" fontId="208" fillId="23" borderId="56" xfId="4" applyFont="1" applyFill="1" applyBorder="1" applyAlignment="1">
      <alignment horizontal="left" vertical="top" wrapText="1"/>
    </xf>
    <xf numFmtId="0" fontId="208" fillId="23" borderId="14" xfId="4" applyFont="1" applyFill="1" applyAlignment="1">
      <alignment horizontal="left" vertical="top" wrapText="1"/>
    </xf>
    <xf numFmtId="0" fontId="208" fillId="23" borderId="57" xfId="4" applyFont="1" applyFill="1" applyBorder="1" applyAlignment="1">
      <alignment horizontal="left" vertical="top" wrapText="1"/>
    </xf>
    <xf numFmtId="0" fontId="208" fillId="23" borderId="58" xfId="4" applyFont="1" applyFill="1" applyBorder="1" applyAlignment="1">
      <alignment horizontal="left" vertical="top" wrapText="1"/>
    </xf>
    <xf numFmtId="0" fontId="208" fillId="23" borderId="59" xfId="4" applyFont="1" applyFill="1" applyBorder="1" applyAlignment="1">
      <alignment horizontal="left" vertical="top" wrapText="1"/>
    </xf>
    <xf numFmtId="0" fontId="208" fillId="23" borderId="61" xfId="4" applyFont="1" applyFill="1" applyBorder="1" applyAlignment="1">
      <alignment horizontal="left" vertical="top" wrapText="1"/>
    </xf>
    <xf numFmtId="0" fontId="208" fillId="56" borderId="29" xfId="0" applyFont="1" applyFill="1" applyBorder="1" applyAlignment="1">
      <alignment horizontal="center"/>
    </xf>
    <xf numFmtId="0" fontId="208" fillId="56" borderId="62" xfId="0" applyFont="1" applyFill="1" applyBorder="1" applyAlignment="1">
      <alignment horizontal="center"/>
    </xf>
    <xf numFmtId="0" fontId="208" fillId="23" borderId="56" xfId="0" applyFont="1" applyFill="1" applyBorder="1" applyAlignment="1">
      <alignment horizontal="left" vertical="top" wrapText="1"/>
    </xf>
    <xf numFmtId="0" fontId="208" fillId="23" borderId="14" xfId="0" applyFont="1" applyFill="1" applyBorder="1" applyAlignment="1">
      <alignment horizontal="left" vertical="top" wrapText="1"/>
    </xf>
    <xf numFmtId="0" fontId="208" fillId="23" borderId="57" xfId="0" applyFont="1" applyFill="1" applyBorder="1" applyAlignment="1">
      <alignment horizontal="left" vertical="top" wrapText="1"/>
    </xf>
    <xf numFmtId="0" fontId="208" fillId="23" borderId="58" xfId="0" applyFont="1" applyFill="1" applyBorder="1" applyAlignment="1">
      <alignment horizontal="left" vertical="top" wrapText="1"/>
    </xf>
    <xf numFmtId="0" fontId="208" fillId="23" borderId="59" xfId="0" applyFont="1" applyFill="1" applyBorder="1" applyAlignment="1">
      <alignment horizontal="left" vertical="top" wrapText="1"/>
    </xf>
    <xf numFmtId="0" fontId="208" fillId="23" borderId="61" xfId="0" applyFont="1" applyFill="1" applyBorder="1" applyAlignment="1">
      <alignment horizontal="left" vertical="top" wrapText="1"/>
    </xf>
    <xf numFmtId="0" fontId="208" fillId="23" borderId="154" xfId="0" applyFont="1" applyFill="1" applyBorder="1" applyAlignment="1">
      <alignment horizontal="left" vertical="top" wrapText="1"/>
    </xf>
    <xf numFmtId="0" fontId="208" fillId="23" borderId="155" xfId="0" applyFont="1" applyFill="1" applyBorder="1" applyAlignment="1">
      <alignment horizontal="left" vertical="top" wrapText="1"/>
    </xf>
    <xf numFmtId="0" fontId="208" fillId="23" borderId="156" xfId="0" applyFont="1" applyFill="1" applyBorder="1" applyAlignment="1">
      <alignment horizontal="left" vertical="top" wrapText="1"/>
    </xf>
    <xf numFmtId="0" fontId="208" fillId="23" borderId="157" xfId="0" applyFont="1" applyFill="1" applyBorder="1" applyAlignment="1">
      <alignment horizontal="left" vertical="top" wrapText="1"/>
    </xf>
    <xf numFmtId="0" fontId="208" fillId="23" borderId="24" xfId="0" applyFont="1" applyFill="1" applyBorder="1" applyAlignment="1">
      <alignment horizontal="left" vertical="top" wrapText="1"/>
    </xf>
    <xf numFmtId="0" fontId="208" fillId="23" borderId="158" xfId="0" applyFont="1" applyFill="1" applyBorder="1" applyAlignment="1">
      <alignment horizontal="left" vertical="top" wrapText="1"/>
    </xf>
    <xf numFmtId="0" fontId="208" fillId="23" borderId="50" xfId="0" applyFont="1" applyFill="1" applyBorder="1" applyAlignment="1">
      <alignment horizontal="right"/>
    </xf>
    <xf numFmtId="0" fontId="208" fillId="23" borderId="25" xfId="0" applyFont="1" applyFill="1" applyBorder="1" applyAlignment="1">
      <alignment horizontal="right"/>
    </xf>
    <xf numFmtId="0" fontId="208" fillId="23" borderId="56" xfId="0" applyFont="1" applyFill="1" applyBorder="1" applyAlignment="1">
      <alignment horizontal="right"/>
    </xf>
    <xf numFmtId="0" fontId="208" fillId="23" borderId="14" xfId="0" applyFont="1" applyFill="1" applyBorder="1" applyAlignment="1">
      <alignment horizontal="right"/>
    </xf>
    <xf numFmtId="0" fontId="208" fillId="23" borderId="28" xfId="0" applyFont="1" applyFill="1" applyBorder="1" applyAlignment="1">
      <alignment horizontal="right"/>
    </xf>
    <xf numFmtId="0" fontId="208" fillId="23" borderId="23" xfId="0" applyFont="1" applyFill="1" applyBorder="1" applyAlignment="1">
      <alignment horizontal="right"/>
    </xf>
    <xf numFmtId="0" fontId="243" fillId="23" borderId="14" xfId="0" applyFont="1" applyFill="1" applyBorder="1" applyAlignment="1">
      <alignment horizontal="left" vertical="top"/>
    </xf>
    <xf numFmtId="0" fontId="246" fillId="56" borderId="29" xfId="0" applyFont="1" applyFill="1" applyBorder="1" applyAlignment="1">
      <alignment horizontal="right" vertical="center"/>
    </xf>
    <xf numFmtId="0" fontId="244" fillId="55" borderId="29" xfId="0" applyFont="1" applyFill="1" applyBorder="1"/>
    <xf numFmtId="0" fontId="244" fillId="55" borderId="64" xfId="0" applyFont="1" applyFill="1" applyBorder="1"/>
    <xf numFmtId="0" fontId="208" fillId="56" borderId="14" xfId="0" applyFont="1" applyFill="1" applyBorder="1" applyAlignment="1">
      <alignment horizontal="left" vertical="top"/>
    </xf>
    <xf numFmtId="0" fontId="0" fillId="23" borderId="0" xfId="0" applyFill="1"/>
    <xf numFmtId="0" fontId="146" fillId="23" borderId="14" xfId="35" applyFont="1" applyFill="1" applyAlignment="1">
      <alignment horizontal="left" vertical="top" wrapText="1"/>
    </xf>
    <xf numFmtId="0" fontId="243" fillId="23" borderId="25" xfId="0" applyFont="1" applyFill="1" applyBorder="1"/>
    <xf numFmtId="0" fontId="232" fillId="23" borderId="14" xfId="0" applyFont="1" applyFill="1" applyBorder="1" applyAlignment="1">
      <alignment horizontal="center" wrapText="1"/>
    </xf>
    <xf numFmtId="0" fontId="243" fillId="23" borderId="14" xfId="0" applyFont="1" applyFill="1" applyBorder="1"/>
    <xf numFmtId="0" fontId="246" fillId="56" borderId="29" xfId="0" applyFont="1" applyFill="1" applyBorder="1" applyAlignment="1">
      <alignment horizontal="right" vertical="center" wrapText="1"/>
    </xf>
    <xf numFmtId="0" fontId="245" fillId="56" borderId="29" xfId="0" applyFont="1" applyFill="1" applyBorder="1" applyAlignment="1">
      <alignment horizontal="left" vertical="center"/>
    </xf>
    <xf numFmtId="0" fontId="246" fillId="56" borderId="29" xfId="0" applyFont="1" applyFill="1" applyBorder="1" applyAlignment="1">
      <alignment horizontal="left" vertical="top"/>
    </xf>
    <xf numFmtId="173" fontId="121" fillId="29" borderId="149" xfId="4" quotePrefix="1" applyNumberFormat="1" applyFont="1" applyFill="1" applyBorder="1" applyAlignment="1">
      <alignment horizontal="center" vertical="center" wrapText="1"/>
    </xf>
    <xf numFmtId="173" fontId="121" fillId="29" borderId="149" xfId="4" applyNumberFormat="1" applyFont="1" applyFill="1" applyBorder="1" applyAlignment="1">
      <alignment horizontal="center" vertical="center" wrapText="1"/>
    </xf>
    <xf numFmtId="173" fontId="121" fillId="29" borderId="151" xfId="4" applyNumberFormat="1" applyFont="1" applyFill="1" applyBorder="1" applyAlignment="1">
      <alignment horizontal="center" vertical="center" wrapText="1"/>
    </xf>
    <xf numFmtId="0" fontId="243" fillId="23" borderId="23" xfId="0" applyFont="1" applyFill="1" applyBorder="1"/>
    <xf numFmtId="173" fontId="121" fillId="28" borderId="149" xfId="4" applyNumberFormat="1" applyFont="1" applyFill="1" applyBorder="1" applyAlignment="1" applyProtection="1">
      <alignment horizontal="center" vertical="center" wrapText="1"/>
      <protection hidden="1"/>
    </xf>
    <xf numFmtId="173" fontId="121" fillId="28" borderId="151" xfId="4" applyNumberFormat="1" applyFont="1" applyFill="1" applyBorder="1" applyAlignment="1" applyProtection="1">
      <alignment horizontal="center" vertical="center" wrapText="1"/>
      <protection hidden="1"/>
    </xf>
    <xf numFmtId="173" fontId="121" fillId="56" borderId="145" xfId="4" applyNumberFormat="1" applyFont="1" applyFill="1" applyBorder="1" applyAlignment="1">
      <alignment horizontal="center" vertical="center" wrapText="1"/>
    </xf>
    <xf numFmtId="173" fontId="121" fillId="56" borderId="152" xfId="4" applyNumberFormat="1" applyFont="1" applyFill="1" applyBorder="1" applyAlignment="1">
      <alignment horizontal="center" vertical="center" wrapText="1"/>
    </xf>
    <xf numFmtId="173" fontId="121" fillId="56" borderId="150" xfId="4" applyNumberFormat="1" applyFont="1" applyFill="1" applyBorder="1" applyAlignment="1">
      <alignment horizontal="center" vertical="center" wrapText="1"/>
    </xf>
    <xf numFmtId="173" fontId="121" fillId="56" borderId="153" xfId="4" applyNumberFormat="1" applyFont="1" applyFill="1" applyBorder="1" applyAlignment="1">
      <alignment horizontal="center" vertical="center" wrapText="1"/>
    </xf>
    <xf numFmtId="0" fontId="258" fillId="44" borderId="187" xfId="0" applyFont="1" applyFill="1" applyBorder="1" applyAlignment="1" applyProtection="1">
      <alignment horizontal="left" vertical="top" wrapText="1"/>
      <protection locked="0"/>
    </xf>
    <xf numFmtId="0" fontId="258" fillId="44" borderId="188" xfId="0" applyFont="1" applyFill="1" applyBorder="1" applyAlignment="1" applyProtection="1">
      <alignment horizontal="left" vertical="top" wrapText="1"/>
      <protection locked="0"/>
    </xf>
    <xf numFmtId="178" fontId="232" fillId="55" borderId="189" xfId="0" applyNumberFormat="1" applyFont="1" applyFill="1" applyBorder="1" applyAlignment="1">
      <alignment horizontal="left" vertical="center"/>
    </xf>
    <xf numFmtId="178" fontId="232" fillId="55" borderId="190" xfId="0" applyNumberFormat="1" applyFont="1" applyFill="1" applyBorder="1" applyAlignment="1">
      <alignment horizontal="left" vertical="center"/>
    </xf>
    <xf numFmtId="178" fontId="232" fillId="55" borderId="187" xfId="0" applyNumberFormat="1" applyFont="1" applyFill="1" applyBorder="1" applyAlignment="1">
      <alignment horizontal="left" vertical="center"/>
    </xf>
    <xf numFmtId="178" fontId="232" fillId="55" borderId="188" xfId="0" applyNumberFormat="1" applyFont="1" applyFill="1" applyBorder="1" applyAlignment="1">
      <alignment horizontal="left" vertical="center"/>
    </xf>
    <xf numFmtId="178" fontId="232" fillId="60" borderId="189" xfId="0" applyNumberFormat="1" applyFont="1" applyFill="1" applyBorder="1" applyAlignment="1">
      <alignment horizontal="left" vertical="center"/>
    </xf>
    <xf numFmtId="178" fontId="232" fillId="60" borderId="190" xfId="0" applyNumberFormat="1" applyFont="1" applyFill="1" applyBorder="1" applyAlignment="1">
      <alignment horizontal="left" vertical="center"/>
    </xf>
    <xf numFmtId="0" fontId="158" fillId="64" borderId="65" xfId="0" applyFont="1" applyFill="1" applyBorder="1" applyAlignment="1">
      <alignment horizontal="center" vertical="center"/>
    </xf>
    <xf numFmtId="0" fontId="158" fillId="64" borderId="64" xfId="0" applyFont="1" applyFill="1" applyBorder="1" applyAlignment="1">
      <alignment horizontal="center" vertical="center"/>
    </xf>
    <xf numFmtId="0" fontId="130" fillId="55" borderId="0" xfId="0" applyFont="1" applyFill="1" applyAlignment="1">
      <alignment horizontal="center" vertical="center" wrapText="1"/>
    </xf>
    <xf numFmtId="0" fontId="141" fillId="55" borderId="0" xfId="0" applyFont="1" applyFill="1" applyAlignment="1">
      <alignment horizontal="left" vertical="center" wrapText="1"/>
    </xf>
    <xf numFmtId="0" fontId="141" fillId="55" borderId="0" xfId="0" applyFont="1" applyFill="1" applyAlignment="1">
      <alignment horizontal="left"/>
    </xf>
    <xf numFmtId="0" fontId="0" fillId="55" borderId="0" xfId="0" applyFill="1" applyAlignment="1">
      <alignment horizontal="left"/>
    </xf>
    <xf numFmtId="0" fontId="141" fillId="55" borderId="0" xfId="0" applyFont="1" applyFill="1" applyAlignment="1">
      <alignment horizontal="left" wrapText="1"/>
    </xf>
    <xf numFmtId="173" fontId="232" fillId="0" borderId="189" xfId="0" applyNumberFormat="1" applyFont="1" applyBorder="1" applyAlignment="1">
      <alignment horizontal="left" vertical="center"/>
    </xf>
    <xf numFmtId="173" fontId="232" fillId="0" borderId="190" xfId="0" applyNumberFormat="1" applyFont="1" applyBorder="1" applyAlignment="1">
      <alignment horizontal="left" vertical="center"/>
    </xf>
    <xf numFmtId="178" fontId="232" fillId="35" borderId="65" xfId="0" applyNumberFormat="1" applyFont="1" applyFill="1" applyBorder="1" applyAlignment="1">
      <alignment horizontal="left" vertical="center"/>
    </xf>
    <xf numFmtId="178" fontId="232" fillId="35" borderId="64" xfId="0" applyNumberFormat="1" applyFont="1" applyFill="1" applyBorder="1" applyAlignment="1">
      <alignment horizontal="left" vertical="center"/>
    </xf>
    <xf numFmtId="178" fontId="232" fillId="60" borderId="65" xfId="0" applyNumberFormat="1" applyFont="1" applyFill="1" applyBorder="1" applyAlignment="1">
      <alignment horizontal="left" vertical="center"/>
    </xf>
    <xf numFmtId="178" fontId="232" fillId="60" borderId="64" xfId="0" applyNumberFormat="1" applyFont="1" applyFill="1" applyBorder="1" applyAlignment="1">
      <alignment horizontal="left" vertical="center"/>
    </xf>
    <xf numFmtId="178" fontId="232" fillId="60" borderId="187" xfId="0" applyNumberFormat="1" applyFont="1" applyFill="1" applyBorder="1" applyAlignment="1">
      <alignment horizontal="left" vertical="center"/>
    </xf>
    <xf numFmtId="178" fontId="232" fillId="60" borderId="188" xfId="0" applyNumberFormat="1" applyFont="1" applyFill="1" applyBorder="1" applyAlignment="1">
      <alignment horizontal="left" vertical="center"/>
    </xf>
    <xf numFmtId="173" fontId="232" fillId="0" borderId="65" xfId="0" applyNumberFormat="1" applyFont="1" applyBorder="1" applyAlignment="1">
      <alignment horizontal="center" vertical="center"/>
    </xf>
    <xf numFmtId="173" fontId="232" fillId="0" borderId="64" xfId="0" applyNumberFormat="1" applyFont="1" applyBorder="1" applyAlignment="1">
      <alignment horizontal="center" vertical="center"/>
    </xf>
    <xf numFmtId="0" fontId="141" fillId="0" borderId="71" xfId="4" applyBorder="1" applyAlignment="1">
      <alignment horizontal="center" vertical="center"/>
    </xf>
    <xf numFmtId="0" fontId="141" fillId="0" borderId="71" xfId="4" applyBorder="1" applyAlignment="1">
      <alignment horizontal="center"/>
    </xf>
    <xf numFmtId="167" fontId="150" fillId="0" borderId="71" xfId="4" applyNumberFormat="1" applyFont="1" applyBorder="1" applyAlignment="1">
      <alignment horizontal="center" vertical="center" wrapText="1"/>
    </xf>
    <xf numFmtId="167" fontId="151" fillId="0" borderId="71" xfId="4" applyNumberFormat="1" applyFont="1" applyBorder="1" applyAlignment="1">
      <alignment horizontal="center" vertical="center" wrapText="1"/>
    </xf>
    <xf numFmtId="0" fontId="148" fillId="64" borderId="100" xfId="4" applyFont="1" applyFill="1" applyBorder="1" applyAlignment="1">
      <alignment horizontal="left" vertical="center" wrapText="1"/>
    </xf>
    <xf numFmtId="0" fontId="148" fillId="64" borderId="101" xfId="4" applyFont="1" applyFill="1" applyBorder="1" applyAlignment="1">
      <alignment horizontal="left" vertical="center" wrapText="1"/>
    </xf>
    <xf numFmtId="0" fontId="141" fillId="0" borderId="71" xfId="11" applyBorder="1" applyAlignment="1">
      <alignment horizontal="center" vertical="center"/>
    </xf>
    <xf numFmtId="0" fontId="141" fillId="0" borderId="71" xfId="11" applyBorder="1" applyAlignment="1">
      <alignment horizontal="center"/>
    </xf>
    <xf numFmtId="0" fontId="148" fillId="64" borderId="100" xfId="11" applyFont="1" applyFill="1" applyBorder="1" applyAlignment="1">
      <alignment horizontal="left" vertical="center" wrapText="1"/>
    </xf>
    <xf numFmtId="0" fontId="148" fillId="64" borderId="101" xfId="11" applyFont="1" applyFill="1" applyBorder="1" applyAlignment="1">
      <alignment horizontal="left" vertical="center" wrapText="1"/>
    </xf>
    <xf numFmtId="167" fontId="150" fillId="0" borderId="71" xfId="11" applyNumberFormat="1" applyFont="1" applyBorder="1" applyAlignment="1">
      <alignment horizontal="center" vertical="center" wrapText="1"/>
    </xf>
    <xf numFmtId="167" fontId="151" fillId="0" borderId="71" xfId="11" applyNumberFormat="1" applyFont="1" applyBorder="1" applyAlignment="1">
      <alignment horizontal="center" vertical="center" wrapText="1"/>
    </xf>
    <xf numFmtId="0" fontId="197" fillId="0" borderId="65" xfId="7" applyFont="1" applyBorder="1" applyAlignment="1" applyProtection="1">
      <alignment horizontal="center" wrapText="1"/>
      <protection hidden="1"/>
    </xf>
    <xf numFmtId="0" fontId="197" fillId="0" borderId="29" xfId="7" applyFont="1" applyBorder="1" applyAlignment="1" applyProtection="1">
      <alignment horizontal="center" wrapText="1"/>
      <protection hidden="1"/>
    </xf>
    <xf numFmtId="0" fontId="197" fillId="0" borderId="64" xfId="7" applyFont="1" applyBorder="1" applyAlignment="1" applyProtection="1">
      <alignment horizontal="center" wrapText="1"/>
      <protection hidden="1"/>
    </xf>
    <xf numFmtId="0" fontId="130" fillId="35" borderId="65" xfId="7" applyFont="1" applyFill="1" applyBorder="1" applyAlignment="1" applyProtection="1">
      <alignment horizontal="center"/>
      <protection hidden="1"/>
    </xf>
    <xf numFmtId="0" fontId="130" fillId="35" borderId="64" xfId="7" applyFont="1" applyFill="1" applyBorder="1" applyAlignment="1" applyProtection="1">
      <alignment horizontal="center"/>
      <protection hidden="1"/>
    </xf>
    <xf numFmtId="0" fontId="316" fillId="0" borderId="159" xfId="42" applyFont="1" applyBorder="1" applyAlignment="1">
      <alignment horizontal="center" vertical="center" wrapText="1"/>
    </xf>
    <xf numFmtId="0" fontId="316" fillId="0" borderId="160" xfId="42" applyFont="1" applyBorder="1" applyAlignment="1">
      <alignment horizontal="center" vertical="center" wrapText="1"/>
    </xf>
    <xf numFmtId="0" fontId="316" fillId="0" borderId="163" xfId="42" applyFont="1" applyBorder="1" applyAlignment="1">
      <alignment horizontal="center" vertical="center" wrapText="1"/>
    </xf>
    <xf numFmtId="0" fontId="316" fillId="0" borderId="24" xfId="42" applyFont="1" applyBorder="1" applyAlignment="1">
      <alignment horizontal="center" vertical="center" wrapText="1"/>
    </xf>
    <xf numFmtId="0" fontId="316" fillId="0" borderId="162" xfId="42" applyFont="1" applyBorder="1" applyAlignment="1">
      <alignment horizontal="center" vertical="center" wrapText="1"/>
    </xf>
    <xf numFmtId="0" fontId="316" fillId="0" borderId="20" xfId="42" applyFont="1" applyBorder="1" applyAlignment="1">
      <alignment horizontal="center" vertical="center" wrapText="1"/>
    </xf>
    <xf numFmtId="2" fontId="141" fillId="36" borderId="113" xfId="4" applyNumberFormat="1" applyFill="1" applyBorder="1" applyAlignment="1">
      <alignment horizontal="center"/>
    </xf>
    <xf numFmtId="2" fontId="141" fillId="36" borderId="114" xfId="4" applyNumberFormat="1" applyFill="1" applyBorder="1" applyAlignment="1">
      <alignment horizontal="center"/>
    </xf>
    <xf numFmtId="2" fontId="141" fillId="13" borderId="113" xfId="4" applyNumberFormat="1" applyFill="1" applyBorder="1" applyAlignment="1">
      <alignment horizontal="center"/>
    </xf>
    <xf numFmtId="2" fontId="141" fillId="13" borderId="114" xfId="4" applyNumberFormat="1" applyFill="1" applyBorder="1" applyAlignment="1">
      <alignment horizontal="center"/>
    </xf>
    <xf numFmtId="0" fontId="0" fillId="13" borderId="113" xfId="0" applyFill="1" applyBorder="1" applyAlignment="1">
      <alignment horizontal="left"/>
    </xf>
    <xf numFmtId="0" fontId="0" fillId="13" borderId="23" xfId="0" applyFill="1" applyBorder="1" applyAlignment="1">
      <alignment horizontal="left"/>
    </xf>
    <xf numFmtId="0" fontId="0" fillId="13" borderId="26" xfId="0" applyFill="1" applyBorder="1" applyAlignment="1">
      <alignment horizontal="left"/>
    </xf>
    <xf numFmtId="0" fontId="141" fillId="52" borderId="50" xfId="0" applyFont="1" applyFill="1" applyBorder="1" applyAlignment="1">
      <alignment horizontal="center" wrapText="1"/>
    </xf>
    <xf numFmtId="0" fontId="0" fillId="52" borderId="28" xfId="0" applyFill="1" applyBorder="1" applyAlignment="1">
      <alignment horizontal="center" wrapText="1"/>
    </xf>
    <xf numFmtId="0" fontId="141" fillId="52" borderId="20" xfId="0" applyFont="1" applyFill="1" applyBorder="1" applyAlignment="1">
      <alignment horizontal="center" wrapText="1"/>
    </xf>
    <xf numFmtId="0" fontId="0" fillId="52" borderId="114" xfId="0" applyFill="1" applyBorder="1" applyAlignment="1">
      <alignment horizontal="center" wrapText="1"/>
    </xf>
    <xf numFmtId="0" fontId="141" fillId="52" borderId="123" xfId="0" applyFont="1" applyFill="1" applyBorder="1" applyAlignment="1">
      <alignment horizontal="center" wrapText="1"/>
    </xf>
    <xf numFmtId="0" fontId="141" fillId="52" borderId="119" xfId="0" applyFont="1" applyFill="1" applyBorder="1" applyAlignment="1">
      <alignment horizontal="center" wrapText="1"/>
    </xf>
    <xf numFmtId="0" fontId="141" fillId="52" borderId="50" xfId="0" applyFont="1" applyFill="1" applyBorder="1" applyAlignment="1">
      <alignment horizontal="center" vertical="center" wrapText="1"/>
    </xf>
    <xf numFmtId="0" fontId="141" fillId="52" borderId="25" xfId="0" applyFont="1" applyFill="1" applyBorder="1" applyAlignment="1">
      <alignment horizontal="center" vertical="center" wrapText="1"/>
    </xf>
    <xf numFmtId="0" fontId="141" fillId="52" borderId="120" xfId="0" applyFont="1" applyFill="1" applyBorder="1" applyAlignment="1">
      <alignment horizontal="center" vertical="center" wrapText="1"/>
    </xf>
    <xf numFmtId="0" fontId="141" fillId="52" borderId="28" xfId="0" applyFont="1" applyFill="1" applyBorder="1" applyAlignment="1">
      <alignment horizontal="center" vertical="center" wrapText="1"/>
    </xf>
    <xf numFmtId="0" fontId="141" fillId="52" borderId="23" xfId="0" applyFont="1" applyFill="1" applyBorder="1" applyAlignment="1">
      <alignment horizontal="center" vertical="center" wrapText="1"/>
    </xf>
    <xf numFmtId="0" fontId="141" fillId="52" borderId="26" xfId="0" applyFont="1" applyFill="1" applyBorder="1" applyAlignment="1">
      <alignment horizontal="center" vertical="center" wrapText="1"/>
    </xf>
    <xf numFmtId="0" fontId="141" fillId="52" borderId="125" xfId="0" applyFont="1" applyFill="1" applyBorder="1" applyAlignment="1">
      <alignment horizontal="center" wrapText="1"/>
    </xf>
    <xf numFmtId="0" fontId="0" fillId="52" borderId="126" xfId="0" applyFill="1" applyBorder="1" applyAlignment="1">
      <alignment horizontal="center" wrapText="1"/>
    </xf>
    <xf numFmtId="167" fontId="197" fillId="0" borderId="0" xfId="0" applyNumberFormat="1" applyFont="1" applyAlignment="1">
      <alignment horizontal="center" vertical="center"/>
    </xf>
    <xf numFmtId="0" fontId="197" fillId="0" borderId="0" xfId="0" applyFont="1" applyAlignment="1">
      <alignment horizontal="center" vertical="center"/>
    </xf>
    <xf numFmtId="0" fontId="130" fillId="0" borderId="0" xfId="0" applyFont="1" applyAlignment="1">
      <alignment horizontal="left" vertical="center" wrapText="1"/>
    </xf>
    <xf numFmtId="0" fontId="130" fillId="0" borderId="0" xfId="0" applyFont="1" applyAlignment="1">
      <alignment horizontal="center" vertical="center" wrapText="1"/>
    </xf>
  </cellXfs>
  <cellStyles count="44">
    <cellStyle name="60% - Accent6 2" xfId="9" xr:uid="{00000000-0005-0000-0000-000000000000}"/>
    <cellStyle name="Bad" xfId="2" builtinId="27"/>
    <cellStyle name="Comma" xfId="43" builtinId="3"/>
    <cellStyle name="Good" xfId="10" builtinId="26"/>
    <cellStyle name="Hyperlink" xfId="1" builtinId="8"/>
    <cellStyle name="Hyperlink 2" xfId="8" xr:uid="{00000000-0005-0000-0000-000004000000}"/>
    <cellStyle name="Normal" xfId="0" builtinId="0"/>
    <cellStyle name="Normal 10" xfId="26" xr:uid="{00000000-0005-0000-0000-000006000000}"/>
    <cellStyle name="Normal 11" xfId="29" xr:uid="{00000000-0005-0000-0000-000007000000}"/>
    <cellStyle name="Normal 12" xfId="32" xr:uid="{00000000-0005-0000-0000-000008000000}"/>
    <cellStyle name="Normal 13" xfId="35" xr:uid="{00000000-0005-0000-0000-000009000000}"/>
    <cellStyle name="Normal 13 2" xfId="38" xr:uid="{B4F0D5BF-6E77-4D7D-A363-5757B364AC61}"/>
    <cellStyle name="Normal 13 3" xfId="41" xr:uid="{5D9DDE38-4EE1-456E-80C3-C082906629BD}"/>
    <cellStyle name="Normal 14" xfId="42" xr:uid="{0336866B-DFDE-4C18-BD45-18956A7AA385}"/>
    <cellStyle name="Normal 2" xfId="4" xr:uid="{00000000-0005-0000-0000-00000A000000}"/>
    <cellStyle name="Normal 2 2" xfId="11" xr:uid="{00000000-0005-0000-0000-00000B000000}"/>
    <cellStyle name="Normal 2 3" xfId="14" xr:uid="{00000000-0005-0000-0000-00000C000000}"/>
    <cellStyle name="Normal 3" xfId="7" xr:uid="{00000000-0005-0000-0000-00000D000000}"/>
    <cellStyle name="Normal 4" xfId="12" xr:uid="{00000000-0005-0000-0000-00000E000000}"/>
    <cellStyle name="Normal 4 10" xfId="36" xr:uid="{00000000-0005-0000-0000-00000F000000}"/>
    <cellStyle name="Normal 4 10 2" xfId="39" xr:uid="{1E9D62CA-BF1E-4570-8036-26B47846A446}"/>
    <cellStyle name="Normal 4 2" xfId="15" xr:uid="{00000000-0005-0000-0000-000010000000}"/>
    <cellStyle name="Normal 4 3" xfId="17" xr:uid="{00000000-0005-0000-0000-000011000000}"/>
    <cellStyle name="Normal 4 4" xfId="19" xr:uid="{00000000-0005-0000-0000-000012000000}"/>
    <cellStyle name="Normal 4 5" xfId="21" xr:uid="{00000000-0005-0000-0000-000013000000}"/>
    <cellStyle name="Normal 4 6" xfId="24" xr:uid="{00000000-0005-0000-0000-000014000000}"/>
    <cellStyle name="Normal 4 7" xfId="27" xr:uid="{00000000-0005-0000-0000-000015000000}"/>
    <cellStyle name="Normal 4 8" xfId="30" xr:uid="{00000000-0005-0000-0000-000016000000}"/>
    <cellStyle name="Normal 4 9" xfId="33" xr:uid="{00000000-0005-0000-0000-000017000000}"/>
    <cellStyle name="Normal 5" xfId="13" xr:uid="{00000000-0005-0000-0000-000018000000}"/>
    <cellStyle name="Normal 6" xfId="16" xr:uid="{00000000-0005-0000-0000-000019000000}"/>
    <cellStyle name="Normal 7" xfId="18" xr:uid="{00000000-0005-0000-0000-00001A000000}"/>
    <cellStyle name="Normal 7 2" xfId="22" xr:uid="{00000000-0005-0000-0000-00001B000000}"/>
    <cellStyle name="Normal 7 3" xfId="25" xr:uid="{00000000-0005-0000-0000-00001C000000}"/>
    <cellStyle name="Normal 7 4" xfId="28" xr:uid="{00000000-0005-0000-0000-00001D000000}"/>
    <cellStyle name="Normal 7 5" xfId="31" xr:uid="{00000000-0005-0000-0000-00001E000000}"/>
    <cellStyle name="Normal 7 6" xfId="34" xr:uid="{00000000-0005-0000-0000-00001F000000}"/>
    <cellStyle name="Normal 7 7" xfId="37" xr:uid="{00000000-0005-0000-0000-000020000000}"/>
    <cellStyle name="Normal 7 7 2" xfId="40" xr:uid="{1F721153-55EE-467B-8692-9B8077BAFE52}"/>
    <cellStyle name="Normal 8" xfId="20" xr:uid="{00000000-0005-0000-0000-000021000000}"/>
    <cellStyle name="Normal 9" xfId="23" xr:uid="{00000000-0005-0000-0000-000022000000}"/>
    <cellStyle name="NRCHeader" xfId="5" xr:uid="{00000000-0005-0000-0000-000023000000}"/>
    <cellStyle name="NRCList" xfId="6" xr:uid="{00000000-0005-0000-0000-000024000000}"/>
    <cellStyle name="Percent" xfId="3" builtinId="5"/>
  </cellStyles>
  <dxfs count="340">
    <dxf>
      <fill>
        <patternFill>
          <bgColor rgb="FFFF99FF"/>
        </patternFill>
      </fill>
    </dxf>
    <dxf>
      <fill>
        <patternFill patternType="solid">
          <fgColor rgb="FFFF99FF"/>
          <bgColor rgb="FFFF99FF"/>
        </patternFill>
      </fill>
    </dxf>
    <dxf>
      <fill>
        <patternFill patternType="solid">
          <fgColor rgb="FFFF99FF"/>
          <bgColor rgb="FFFF99FF"/>
        </patternFill>
      </fill>
    </dxf>
    <dxf>
      <fill>
        <patternFill patternType="solid">
          <fgColor rgb="FFFF99FF"/>
          <bgColor rgb="FFFF99FF"/>
        </patternFill>
      </fill>
    </dxf>
    <dxf>
      <fill>
        <patternFill patternType="solid">
          <fgColor rgb="FFFF99FF"/>
          <bgColor rgb="FFFF99FF"/>
        </patternFill>
      </fill>
    </dxf>
    <dxf>
      <fill>
        <patternFill patternType="solid">
          <fgColor rgb="FFFF99FF"/>
          <bgColor rgb="FFFF99FF"/>
        </patternFill>
      </fill>
    </dxf>
    <dxf>
      <fill>
        <patternFill patternType="solid">
          <fgColor rgb="FFFF99FF"/>
          <bgColor rgb="FFFF99FF"/>
        </patternFill>
      </fill>
    </dxf>
    <dxf>
      <fill>
        <patternFill patternType="solid">
          <fgColor rgb="FFFF99FF"/>
          <bgColor rgb="FFFF99FF"/>
        </patternFill>
      </fill>
    </dxf>
    <dxf>
      <fill>
        <patternFill>
          <bgColor rgb="FFFF99FF"/>
        </patternFill>
      </fill>
    </dxf>
    <dxf>
      <fill>
        <patternFill>
          <bgColor rgb="FFFF99FF"/>
        </patternFill>
      </fill>
    </dxf>
    <dxf>
      <fill>
        <patternFill>
          <bgColor rgb="FFFF99FF"/>
        </patternFill>
      </fill>
    </dxf>
    <dxf>
      <font>
        <b/>
        <i val="0"/>
        <strike val="0"/>
        <condense val="0"/>
        <extend val="0"/>
        <outline val="0"/>
        <shadow val="0"/>
        <u val="none"/>
        <vertAlign val="baseline"/>
        <sz val="11"/>
        <color auto="1"/>
        <name val="Arial"/>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right/>
        <top style="thin">
          <color theme="0"/>
        </top>
        <bottom/>
      </border>
      <protection locked="1" hidden="0"/>
    </dxf>
    <dxf>
      <font>
        <b val="0"/>
        <i val="0"/>
        <strike val="0"/>
        <condense val="0"/>
        <extend val="0"/>
        <outline val="0"/>
        <shadow val="0"/>
        <u val="none"/>
        <vertAlign val="baseline"/>
        <sz val="9"/>
        <color auto="1"/>
        <name val="Arial"/>
        <scheme val="none"/>
      </font>
      <numFmt numFmtId="3" formatCode="#,##0"/>
      <fill>
        <patternFill>
          <fgColor indexed="64"/>
          <bgColor theme="0"/>
        </patternFill>
      </fill>
      <alignment horizontal="right" vertical="center" textRotation="0" wrapText="0" indent="0" justifyLastLine="0" shrinkToFit="0" readingOrder="0"/>
      <border diagonalUp="0" diagonalDown="0" outline="0">
        <left/>
        <right/>
        <top style="thin">
          <color theme="0"/>
        </top>
        <bottom style="thin">
          <color theme="0"/>
        </bottom>
      </border>
      <protection locked="1"/>
    </dxf>
    <dxf>
      <font>
        <b/>
        <i val="0"/>
        <strike val="0"/>
        <condense val="0"/>
        <extend val="0"/>
        <outline val="0"/>
        <shadow val="0"/>
        <u val="none"/>
        <vertAlign val="baseline"/>
        <sz val="10"/>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outline="0">
        <left/>
        <right/>
        <top style="thin">
          <color theme="0"/>
        </top>
        <bottom/>
      </border>
      <protection locked="1" hidden="0"/>
    </dxf>
    <dxf>
      <font>
        <b val="0"/>
        <i val="0"/>
        <strike val="0"/>
        <condense val="0"/>
        <extend val="0"/>
        <outline val="0"/>
        <shadow val="0"/>
        <u val="none"/>
        <vertAlign val="baseline"/>
        <sz val="9"/>
        <color auto="1"/>
        <name val="Arial"/>
        <scheme val="none"/>
      </font>
      <fill>
        <patternFill>
          <fgColor indexed="64"/>
          <bgColor theme="0"/>
        </patternFill>
      </fill>
      <alignment horizontal="general" vertical="center" textRotation="0" wrapText="1" indent="0" justifyLastLine="0" shrinkToFit="0" readingOrder="0"/>
      <border diagonalUp="0" diagonalDown="0" outline="0">
        <left/>
        <right/>
        <top style="thin">
          <color theme="0"/>
        </top>
        <bottom style="thin">
          <color theme="0"/>
        </bottom>
      </border>
      <protection locked="1"/>
    </dxf>
    <dxf>
      <border>
        <top style="thin">
          <color theme="0"/>
        </top>
      </border>
    </dxf>
    <dxf>
      <font>
        <b/>
        <strike val="0"/>
        <outline val="0"/>
        <shadow val="0"/>
        <u val="none"/>
        <vertAlign val="baseline"/>
        <sz val="10"/>
        <color auto="1"/>
        <name val="Calibri"/>
        <scheme val="major"/>
      </font>
      <fill>
        <patternFill>
          <fgColor indexed="64"/>
          <bgColor theme="0"/>
        </patternFill>
      </fill>
      <border diagonalUp="0" diagonalDown="0" outline="0">
        <left style="thin">
          <color theme="0"/>
        </left>
        <right style="thin">
          <color theme="0"/>
        </right>
        <top/>
        <bottom/>
      </border>
      <protection locked="1"/>
    </dxf>
    <dxf>
      <border diagonalUp="0" diagonalDown="0">
        <left/>
        <right/>
        <top/>
        <bottom style="thin">
          <color theme="0"/>
        </bottom>
      </border>
    </dxf>
    <dxf>
      <font>
        <b val="0"/>
        <strike val="0"/>
        <outline val="0"/>
        <shadow val="0"/>
        <u val="none"/>
        <vertAlign val="baseline"/>
        <sz val="12"/>
        <color theme="0"/>
        <name val="Calibri"/>
        <scheme val="major"/>
      </font>
      <fill>
        <patternFill>
          <fgColor indexed="64"/>
          <bgColor theme="0"/>
        </patternFill>
      </fill>
      <protection locked="1"/>
    </dxf>
    <dxf>
      <border>
        <bottom style="thin">
          <color indexed="64"/>
        </bottom>
      </border>
    </dxf>
    <dxf>
      <font>
        <strike val="0"/>
        <outline val="0"/>
        <shadow val="0"/>
        <u val="none"/>
        <sz val="10"/>
        <color auto="1"/>
        <name val="Arial"/>
        <scheme val="none"/>
      </font>
      <fill>
        <patternFill>
          <fgColor indexed="64"/>
          <bgColor theme="0"/>
        </patternFill>
      </fill>
      <alignment horizontal="general" vertical="center" textRotation="0" wrapText="1" indent="0" justifyLastLine="0" shrinkToFit="0" readingOrder="0"/>
      <border diagonalUp="0" diagonalDown="0" outline="0">
        <left/>
        <right/>
        <top/>
        <bottom/>
      </border>
      <protection locked="1"/>
    </dxf>
    <dxf>
      <font>
        <color auto="1"/>
      </font>
      <fill>
        <patternFill>
          <bgColor theme="5"/>
        </patternFill>
      </fill>
    </dxf>
    <dxf>
      <fill>
        <patternFill>
          <bgColor theme="6" tint="0.39994506668294322"/>
        </patternFill>
      </fill>
    </dxf>
    <dxf>
      <fill>
        <patternFill>
          <bgColor theme="7"/>
        </patternFill>
      </fill>
    </dxf>
    <dxf>
      <fill>
        <patternFill>
          <bgColor rgb="FF70A8DA"/>
        </patternFill>
      </fill>
    </dxf>
    <dxf>
      <fill>
        <patternFill>
          <bgColor theme="9" tint="0.39994506668294322"/>
        </patternFill>
      </fill>
    </dxf>
    <dxf>
      <fill>
        <patternFill>
          <bgColor theme="4"/>
        </patternFill>
      </fill>
    </dxf>
    <dxf>
      <fill>
        <patternFill>
          <bgColor theme="5" tint="-0.24994659260841701"/>
        </patternFill>
      </fill>
    </dxf>
    <dxf>
      <fill>
        <patternFill>
          <bgColor theme="6" tint="-0.24994659260841701"/>
        </patternFill>
      </fill>
    </dxf>
    <dxf>
      <fill>
        <patternFill>
          <bgColor theme="7" tint="-0.24994659260841701"/>
        </patternFill>
      </fill>
    </dxf>
    <dxf>
      <fill>
        <patternFill>
          <bgColor rgb="FF247E90"/>
        </patternFill>
      </fill>
    </dxf>
    <dxf>
      <fill>
        <patternFill>
          <bgColor theme="9" tint="-0.24994659260841701"/>
        </patternFill>
      </fill>
    </dxf>
    <dxf>
      <font>
        <color auto="1"/>
      </font>
      <fill>
        <patternFill>
          <bgColor theme="5"/>
        </patternFill>
      </fill>
    </dxf>
    <dxf>
      <fill>
        <patternFill>
          <bgColor theme="6" tint="0.39994506668294322"/>
        </patternFill>
      </fill>
    </dxf>
    <dxf>
      <fill>
        <patternFill>
          <bgColor theme="7"/>
        </patternFill>
      </fill>
    </dxf>
    <dxf>
      <fill>
        <patternFill>
          <bgColor rgb="FF70A8DA"/>
        </patternFill>
      </fill>
    </dxf>
    <dxf>
      <fill>
        <patternFill>
          <bgColor theme="9" tint="0.39994506668294322"/>
        </patternFill>
      </fill>
    </dxf>
    <dxf>
      <fill>
        <patternFill>
          <bgColor theme="4"/>
        </patternFill>
      </fill>
    </dxf>
    <dxf>
      <fill>
        <patternFill>
          <bgColor theme="5" tint="-0.24994659260841701"/>
        </patternFill>
      </fill>
    </dxf>
    <dxf>
      <fill>
        <patternFill>
          <bgColor theme="6" tint="-0.24994659260841701"/>
        </patternFill>
      </fill>
    </dxf>
    <dxf>
      <fill>
        <patternFill>
          <bgColor theme="7" tint="-0.24994659260841701"/>
        </patternFill>
      </fill>
    </dxf>
    <dxf>
      <fill>
        <patternFill>
          <bgColor rgb="FF247E90"/>
        </patternFill>
      </fill>
    </dxf>
    <dxf>
      <fill>
        <patternFill>
          <bgColor theme="9" tint="-0.24994659260841701"/>
        </patternFill>
      </fill>
    </dxf>
    <dxf>
      <font>
        <color auto="1"/>
      </font>
      <fill>
        <patternFill>
          <bgColor theme="5"/>
        </patternFill>
      </fill>
    </dxf>
    <dxf>
      <fill>
        <patternFill>
          <bgColor theme="6" tint="0.39994506668294322"/>
        </patternFill>
      </fill>
    </dxf>
    <dxf>
      <fill>
        <patternFill>
          <bgColor theme="7"/>
        </patternFill>
      </fill>
    </dxf>
    <dxf>
      <fill>
        <patternFill>
          <bgColor rgb="FF70A8DA"/>
        </patternFill>
      </fill>
    </dxf>
    <dxf>
      <fill>
        <patternFill>
          <bgColor theme="9" tint="0.39994506668294322"/>
        </patternFill>
      </fill>
    </dxf>
    <dxf>
      <fill>
        <patternFill>
          <bgColor theme="4"/>
        </patternFill>
      </fill>
    </dxf>
    <dxf>
      <fill>
        <patternFill>
          <bgColor theme="5" tint="-0.24994659260841701"/>
        </patternFill>
      </fill>
    </dxf>
    <dxf>
      <fill>
        <patternFill>
          <bgColor theme="6" tint="-0.24994659260841701"/>
        </patternFill>
      </fill>
    </dxf>
    <dxf>
      <fill>
        <patternFill>
          <bgColor theme="7" tint="-0.24994659260841701"/>
        </patternFill>
      </fill>
    </dxf>
    <dxf>
      <fill>
        <patternFill>
          <bgColor rgb="FF247E90"/>
        </patternFill>
      </fill>
    </dxf>
    <dxf>
      <fill>
        <patternFill>
          <bgColor theme="9" tint="-0.24994659260841701"/>
        </patternFill>
      </fill>
    </dxf>
    <dxf>
      <font>
        <color auto="1"/>
      </font>
      <fill>
        <patternFill>
          <bgColor theme="7" tint="0.59996337778862885"/>
        </patternFill>
      </fill>
    </dxf>
    <dxf>
      <font>
        <color auto="1"/>
      </font>
      <fill>
        <patternFill>
          <bgColor rgb="FFCCCC00"/>
        </patternFill>
      </fill>
    </dxf>
    <dxf>
      <fill>
        <patternFill>
          <bgColor theme="6" tint="0.39994506668294322"/>
        </patternFill>
      </fill>
    </dxf>
    <dxf>
      <fill>
        <patternFill>
          <bgColor theme="7"/>
        </patternFill>
      </fill>
    </dxf>
    <dxf>
      <fill>
        <patternFill>
          <bgColor rgb="FF70A8DA"/>
        </patternFill>
      </fill>
    </dxf>
    <dxf>
      <fill>
        <patternFill>
          <bgColor theme="9" tint="0.39994506668294322"/>
        </patternFill>
      </fill>
    </dxf>
    <dxf>
      <fill>
        <patternFill>
          <bgColor rgb="FF97E4FF"/>
        </patternFill>
      </fill>
    </dxf>
    <dxf>
      <fill>
        <patternFill>
          <bgColor theme="4"/>
        </patternFill>
      </fill>
    </dxf>
    <dxf>
      <fill>
        <patternFill>
          <bgColor theme="5" tint="-0.24994659260841701"/>
        </patternFill>
      </fill>
    </dxf>
    <dxf>
      <fill>
        <patternFill>
          <bgColor rgb="FFEBBC7D"/>
        </patternFill>
      </fill>
    </dxf>
    <dxf>
      <fill>
        <patternFill>
          <bgColor theme="7" tint="-0.24994659260841701"/>
        </patternFill>
      </fill>
    </dxf>
    <dxf>
      <fill>
        <patternFill>
          <bgColor rgb="FF247E90"/>
        </patternFill>
      </fill>
    </dxf>
    <dxf>
      <fill>
        <patternFill>
          <bgColor theme="9" tint="-0.24994659260841701"/>
        </patternFill>
      </fill>
    </dxf>
    <dxf>
      <fill>
        <patternFill>
          <bgColor theme="9"/>
        </patternFill>
      </fill>
    </dxf>
    <dxf>
      <fill>
        <patternFill>
          <bgColor rgb="FFD0CECE"/>
        </patternFill>
      </fill>
    </dxf>
    <dxf>
      <font>
        <color theme="0"/>
      </font>
    </dxf>
    <dxf>
      <font>
        <b/>
        <i val="0"/>
        <color theme="6" tint="-0.24994659260841701"/>
      </font>
    </dxf>
    <dxf>
      <font>
        <b/>
        <i val="0"/>
        <color rgb="FF00B050"/>
      </font>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rgb="FF00B050"/>
      </font>
    </dxf>
    <dxf>
      <font>
        <b/>
      </font>
      <fill>
        <patternFill patternType="solid">
          <fgColor rgb="FFFF6600"/>
          <bgColor rgb="FFFF6600"/>
        </patternFill>
      </fill>
    </dxf>
    <dxf>
      <font>
        <b/>
        <i val="0"/>
        <color theme="6" tint="-0.24994659260841701"/>
      </font>
    </dxf>
    <dxf>
      <font>
        <b/>
        <i val="0"/>
        <color rgb="FF00B050"/>
      </font>
    </dxf>
    <dxf>
      <font>
        <b/>
      </font>
      <fill>
        <patternFill patternType="solid">
          <fgColor rgb="FFFF6600"/>
          <bgColor rgb="FFFF6600"/>
        </patternFill>
      </fill>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i val="0"/>
        <color theme="6" tint="-0.24994659260841701"/>
      </font>
    </dxf>
    <dxf>
      <font>
        <b/>
        <i val="0"/>
        <color rgb="FF00B050"/>
      </font>
    </dxf>
    <dxf>
      <font>
        <b/>
      </font>
      <fill>
        <patternFill patternType="solid">
          <fgColor rgb="FFFF6600"/>
          <bgColor rgb="FFFF6600"/>
        </patternFill>
      </fill>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i val="0"/>
        <color rgb="FF00B050"/>
      </font>
    </dxf>
    <dxf>
      <font>
        <b/>
        <i val="0"/>
        <color rgb="FF00B050"/>
      </font>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s>
  <tableStyles count="0" defaultTableStyle="TableStyleMedium2" defaultPivotStyle="PivotStyleLight16"/>
  <colors>
    <mruColors>
      <color rgb="FFFFCC66"/>
      <color rgb="FF70AD47"/>
      <color rgb="FF808080"/>
      <color rgb="FFFF832F"/>
      <color rgb="FF2E75B5"/>
      <color rgb="FFF0D02E"/>
      <color rgb="FF2F4F4F"/>
      <color rgb="FFB22222"/>
      <color rgb="FF228B22"/>
      <color rgb="FF87CE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eetMetadata" Target="metadata.xml"/><Relationship Id="rId50"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48"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5.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8.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7044486208118533E-2"/>
          <c:y val="0"/>
          <c:w val="0.91186399064344192"/>
          <c:h val="0.50467543997823383"/>
        </c:manualLayout>
      </c:layout>
      <c:barChart>
        <c:barDir val="bar"/>
        <c:grouping val="stacked"/>
        <c:varyColors val="0"/>
        <c:ser>
          <c:idx val="0"/>
          <c:order val="0"/>
          <c:tx>
            <c:strRef>
              <c:f>Data!$X$3</c:f>
              <c:strCache>
                <c:ptCount val="1"/>
                <c:pt idx="0">
                  <c:v>Emissions Bar</c:v>
                </c:pt>
              </c:strCache>
            </c:strRef>
          </c:tx>
          <c:spPr>
            <a:solidFill>
              <a:schemeClr val="bg1">
                <a:lumMod val="85000"/>
                <a:alpha val="45000"/>
              </a:schemeClr>
            </a:solidFill>
            <a:ln>
              <a:noFill/>
            </a:ln>
            <a:effectLst/>
          </c:spPr>
          <c:invertIfNegative val="0"/>
          <c:cat>
            <c:numRef>
              <c:f>RESULTS!$Q$7:$Q$8</c:f>
              <c:numCache>
                <c:formatCode>General</c:formatCode>
                <c:ptCount val="2"/>
              </c:numCache>
            </c:numRef>
          </c:cat>
          <c:val>
            <c:numRef>
              <c:f>Data!$X$4</c:f>
              <c:numCache>
                <c:formatCode>General</c:formatCode>
                <c:ptCount val="1"/>
                <c:pt idx="0">
                  <c:v>0</c:v>
                </c:pt>
              </c:numCache>
            </c:numRef>
          </c:val>
          <c:extLst>
            <c:ext xmlns:c16="http://schemas.microsoft.com/office/drawing/2014/chart" uri="{C3380CC4-5D6E-409C-BE32-E72D297353CC}">
              <c16:uniqueId val="{00000002-CF47-4354-9426-965694F8BB58}"/>
            </c:ext>
          </c:extLst>
        </c:ser>
        <c:ser>
          <c:idx val="3"/>
          <c:order val="1"/>
          <c:tx>
            <c:strRef>
              <c:f>Data!$Y$3</c:f>
              <c:strCache>
                <c:ptCount val="1"/>
                <c:pt idx="0">
                  <c:v>Scaled iIndicator</c:v>
                </c:pt>
              </c:strCache>
            </c:strRef>
          </c:tx>
          <c:spPr>
            <a:solidFill>
              <a:schemeClr val="accent4"/>
            </a:solidFill>
            <a:ln>
              <a:noFill/>
            </a:ln>
            <a:effectLst/>
          </c:spPr>
          <c:invertIfNegative val="0"/>
          <c:cat>
            <c:numRef>
              <c:f>RESULTS!$Q$7:$Q$8</c:f>
              <c:numCache>
                <c:formatCode>General</c:formatCode>
                <c:ptCount val="2"/>
              </c:numCache>
            </c:numRef>
          </c:cat>
          <c:val>
            <c:numRef>
              <c:f>Data!$Y$4</c:f>
              <c:numCache>
                <c:formatCode>General</c:formatCode>
                <c:ptCount val="1"/>
                <c:pt idx="0">
                  <c:v>0</c:v>
                </c:pt>
              </c:numCache>
            </c:numRef>
          </c:val>
          <c:extLst>
            <c:ext xmlns:c16="http://schemas.microsoft.com/office/drawing/2014/chart" uri="{C3380CC4-5D6E-409C-BE32-E72D297353CC}">
              <c16:uniqueId val="{00000003-CF47-4354-9426-965694F8BB58}"/>
            </c:ext>
          </c:extLst>
        </c:ser>
        <c:dLbls>
          <c:showLegendKey val="0"/>
          <c:showVal val="0"/>
          <c:showCatName val="0"/>
          <c:showSerName val="0"/>
          <c:showPercent val="0"/>
          <c:showBubbleSize val="0"/>
        </c:dLbls>
        <c:gapWidth val="10"/>
        <c:overlap val="100"/>
        <c:axId val="312253439"/>
        <c:axId val="312252191"/>
        <c:extLst/>
      </c:barChart>
      <c:catAx>
        <c:axId val="312253439"/>
        <c:scaling>
          <c:orientation val="minMax"/>
        </c:scaling>
        <c:delete val="1"/>
        <c:axPos val="l"/>
        <c:numFmt formatCode="General" sourceLinked="1"/>
        <c:majorTickMark val="none"/>
        <c:minorTickMark val="none"/>
        <c:tickLblPos val="nextTo"/>
        <c:crossAx val="312252191"/>
        <c:crosses val="autoZero"/>
        <c:auto val="1"/>
        <c:lblAlgn val="ctr"/>
        <c:lblOffset val="100"/>
        <c:noMultiLvlLbl val="0"/>
      </c:catAx>
      <c:valAx>
        <c:axId val="312252191"/>
        <c:scaling>
          <c:orientation val="minMax"/>
          <c:max val="410"/>
          <c:min val="-50"/>
        </c:scaling>
        <c:delete val="0"/>
        <c:axPos val="b"/>
        <c:majorGridlines>
          <c:spPr>
            <a:ln w="22225" cap="flat" cmpd="sng" algn="ctr">
              <a:solidFill>
                <a:schemeClr val="bg1"/>
              </a:solidFill>
              <a:round/>
            </a:ln>
            <a:effectLst>
              <a:glow rad="63500">
                <a:schemeClr val="accent3">
                  <a:satMod val="175000"/>
                  <a:alpha val="40000"/>
                </a:schemeClr>
              </a:glow>
            </a:effectLst>
          </c:spPr>
        </c:majorGridlines>
        <c:numFmt formatCode="#,##0_ ;\-#,##0\ " sourceLinked="0"/>
        <c:majorTickMark val="none"/>
        <c:minorTickMark val="none"/>
        <c:tickLblPos val="nextTo"/>
        <c:spPr>
          <a:noFill/>
          <a:ln>
            <a:noFill/>
          </a:ln>
          <a:effectLst/>
        </c:spPr>
        <c:txPr>
          <a:bodyPr rot="-60000000" spcFirstLastPara="1" vertOverflow="ellipsis" vert="horz" wrap="square" anchor="t" anchorCtr="1"/>
          <a:lstStyle/>
          <a:p>
            <a:pPr>
              <a:defRPr sz="700" b="1" i="0" u="none" strike="noStrike" kern="1200" baseline="0">
                <a:solidFill>
                  <a:schemeClr val="tx1"/>
                </a:solidFill>
                <a:latin typeface="+mn-lt"/>
                <a:ea typeface="+mn-ea"/>
                <a:cs typeface="+mn-cs"/>
              </a:defRPr>
            </a:pPr>
            <a:endParaRPr lang="en-US"/>
          </a:p>
        </c:txPr>
        <c:crossAx val="312253439"/>
        <c:crosses val="autoZero"/>
        <c:crossBetween val="between"/>
        <c:majorUnit val="50"/>
        <c:minorUnit val="50"/>
      </c:valAx>
      <c:spPr>
        <a:noFill/>
        <a:ln>
          <a:noFill/>
        </a:ln>
        <a:effectLst>
          <a:glow>
            <a:schemeClr val="accent1">
              <a:alpha val="40000"/>
            </a:schemeClr>
          </a:glow>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a:gsLst>
        <a:gs pos="21000">
          <a:srgbClr val="40A432"/>
        </a:gs>
        <a:gs pos="43000">
          <a:srgbClr val="92D050"/>
        </a:gs>
        <a:gs pos="73000">
          <a:srgbClr val="FFA401"/>
        </a:gs>
        <a:gs pos="58000">
          <a:srgbClr val="FFFF00"/>
        </a:gs>
        <a:gs pos="87000">
          <a:srgbClr val="FF0000"/>
        </a:gs>
      </a:gsLst>
      <a:lin ang="0" scaled="0"/>
    </a:gradFill>
    <a:ln w="19050" cap="flat" cmpd="sng" algn="ctr">
      <a:noFill/>
      <a:round/>
    </a:ln>
    <a:effectLst/>
  </c:spPr>
  <c:txPr>
    <a:bodyPr/>
    <a:lstStyle/>
    <a:p>
      <a:pPr>
        <a:defRPr/>
      </a:pPr>
      <a:endParaRPr lang="en-US"/>
    </a:p>
  </c:txPr>
  <c:printSettings>
    <c:headerFooter/>
    <c:pageMargins b="0.15748031496062992" l="0" r="0" t="0.15748031496062992" header="0.31496062992125984" footer="0.31496062992125984"/>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4639155148903009E-2"/>
          <c:y val="0.17571607636963837"/>
          <c:w val="0.68282656323508706"/>
          <c:h val="0.765151693826849"/>
        </c:manualLayout>
      </c:layout>
      <c:barChart>
        <c:barDir val="bar"/>
        <c:grouping val="clustered"/>
        <c:varyColors val="0"/>
        <c:ser>
          <c:idx val="14"/>
          <c:order val="0"/>
          <c:tx>
            <c:strRef>
              <c:f>Data!$N$29</c:f>
              <c:strCache>
                <c:ptCount val="1"/>
                <c:pt idx="0">
                  <c:v>User-Defined</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Data!$O$29</c:f>
              <c:numCache>
                <c:formatCode>#,##0</c:formatCode>
                <c:ptCount val="1"/>
                <c:pt idx="0">
                  <c:v>0</c:v>
                </c:pt>
              </c:numCache>
            </c:numRef>
          </c:val>
          <c:extLst>
            <c:ext xmlns:c16="http://schemas.microsoft.com/office/drawing/2014/chart" uri="{C3380CC4-5D6E-409C-BE32-E72D297353CC}">
              <c16:uniqueId val="{00000002-D2B0-4008-8C53-44D708E214EF}"/>
            </c:ext>
          </c:extLst>
        </c:ser>
        <c:ser>
          <c:idx val="13"/>
          <c:order val="1"/>
          <c:tx>
            <c:strRef>
              <c:f>Data!$N$28</c:f>
              <c:strCache>
                <c:ptCount val="1"/>
                <c:pt idx="0">
                  <c:v>Garage</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Data!$O$28</c:f>
              <c:numCache>
                <c:formatCode>#,##0</c:formatCode>
                <c:ptCount val="1"/>
                <c:pt idx="0">
                  <c:v>0</c:v>
                </c:pt>
              </c:numCache>
            </c:numRef>
          </c:val>
          <c:extLst>
            <c:ext xmlns:c16="http://schemas.microsoft.com/office/drawing/2014/chart" uri="{C3380CC4-5D6E-409C-BE32-E72D297353CC}">
              <c16:uniqueId val="{00000003-D2B0-4008-8C53-44D708E214EF}"/>
            </c:ext>
          </c:extLst>
        </c:ser>
        <c:ser>
          <c:idx val="12"/>
          <c:order val="2"/>
          <c:tx>
            <c:strRef>
              <c:f>Data!$N$27</c:f>
              <c:strCache>
                <c:ptCount val="1"/>
                <c:pt idx="0">
                  <c:v>Roof</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Data!$O$27</c:f>
              <c:numCache>
                <c:formatCode>#,##0</c:formatCode>
                <c:ptCount val="1"/>
                <c:pt idx="0">
                  <c:v>0</c:v>
                </c:pt>
              </c:numCache>
            </c:numRef>
          </c:val>
          <c:extLst>
            <c:ext xmlns:c16="http://schemas.microsoft.com/office/drawing/2014/chart" uri="{C3380CC4-5D6E-409C-BE32-E72D297353CC}">
              <c16:uniqueId val="{00000004-D2B0-4008-8C53-44D708E214EF}"/>
            </c:ext>
          </c:extLst>
        </c:ser>
        <c:ser>
          <c:idx val="10"/>
          <c:order val="3"/>
          <c:tx>
            <c:strRef>
              <c:f>Data!$N$26</c:f>
              <c:strCache>
                <c:ptCount val="1"/>
                <c:pt idx="0">
                  <c:v>Ceilings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Data!$O$26</c:f>
              <c:numCache>
                <c:formatCode>#,##0</c:formatCode>
                <c:ptCount val="1"/>
                <c:pt idx="0">
                  <c:v>0</c:v>
                </c:pt>
              </c:numCache>
            </c:numRef>
          </c:val>
          <c:extLst>
            <c:ext xmlns:c16="http://schemas.microsoft.com/office/drawing/2014/chart" uri="{C3380CC4-5D6E-409C-BE32-E72D297353CC}">
              <c16:uniqueId val="{00000005-D2B0-4008-8C53-44D708E214EF}"/>
            </c:ext>
          </c:extLst>
        </c:ser>
        <c:ser>
          <c:idx val="9"/>
          <c:order val="4"/>
          <c:tx>
            <c:strRef>
              <c:f>Data!$N$25</c:f>
              <c:strCache>
                <c:ptCount val="1"/>
                <c:pt idx="0">
                  <c:v>Floors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Data!$O$25</c:f>
              <c:numCache>
                <c:formatCode>#,##0</c:formatCode>
                <c:ptCount val="1"/>
                <c:pt idx="0">
                  <c:v>0</c:v>
                </c:pt>
              </c:numCache>
            </c:numRef>
          </c:val>
          <c:extLst>
            <c:ext xmlns:c16="http://schemas.microsoft.com/office/drawing/2014/chart" uri="{C3380CC4-5D6E-409C-BE32-E72D297353CC}">
              <c16:uniqueId val="{00000006-D2B0-4008-8C53-44D708E214EF}"/>
            </c:ext>
          </c:extLst>
        </c:ser>
        <c:ser>
          <c:idx val="8"/>
          <c:order val="5"/>
          <c:tx>
            <c:strRef>
              <c:f>Data!$N$24</c:f>
              <c:strCache>
                <c:ptCount val="1"/>
                <c:pt idx="0">
                  <c:v>Int. Walls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Data!$O$24</c:f>
              <c:numCache>
                <c:formatCode>#,##0</c:formatCode>
                <c:ptCount val="1"/>
                <c:pt idx="0">
                  <c:v>0</c:v>
                </c:pt>
              </c:numCache>
            </c:numRef>
          </c:val>
          <c:extLst>
            <c:ext xmlns:c16="http://schemas.microsoft.com/office/drawing/2014/chart" uri="{C3380CC4-5D6E-409C-BE32-E72D297353CC}">
              <c16:uniqueId val="{00000007-D2B0-4008-8C53-44D708E214EF}"/>
            </c:ext>
          </c:extLst>
        </c:ser>
        <c:ser>
          <c:idx val="4"/>
          <c:order val="6"/>
          <c:tx>
            <c:strRef>
              <c:f>Data!$N$23</c:f>
              <c:strCache>
                <c:ptCount val="1"/>
                <c:pt idx="0">
                  <c:v>Windows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Data!$O$23</c:f>
              <c:numCache>
                <c:formatCode>#,##0</c:formatCode>
                <c:ptCount val="1"/>
                <c:pt idx="0">
                  <c:v>0</c:v>
                </c:pt>
              </c:numCache>
            </c:numRef>
          </c:val>
          <c:extLst>
            <c:ext xmlns:c16="http://schemas.microsoft.com/office/drawing/2014/chart" uri="{C3380CC4-5D6E-409C-BE32-E72D297353CC}">
              <c16:uniqueId val="{00000008-D2B0-4008-8C53-44D708E214EF}"/>
            </c:ext>
          </c:extLst>
        </c:ser>
        <c:ser>
          <c:idx val="7"/>
          <c:order val="7"/>
          <c:tx>
            <c:strRef>
              <c:f>Data!$N$22</c:f>
              <c:strCache>
                <c:ptCount val="1"/>
                <c:pt idx="0">
                  <c:v>Cladding</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Data!$O$22</c:f>
              <c:numCache>
                <c:formatCode>#,##0</c:formatCode>
                <c:ptCount val="1"/>
                <c:pt idx="0">
                  <c:v>0</c:v>
                </c:pt>
              </c:numCache>
            </c:numRef>
          </c:val>
          <c:extLst>
            <c:ext xmlns:c16="http://schemas.microsoft.com/office/drawing/2014/chart" uri="{C3380CC4-5D6E-409C-BE32-E72D297353CC}">
              <c16:uniqueId val="{00000009-D2B0-4008-8C53-44D708E214EF}"/>
            </c:ext>
          </c:extLst>
        </c:ser>
        <c:ser>
          <c:idx val="5"/>
          <c:order val="8"/>
          <c:tx>
            <c:strRef>
              <c:f>Data!$N$21</c:f>
              <c:strCache>
                <c:ptCount val="1"/>
                <c:pt idx="0">
                  <c:v>Party Walls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Data!$O$21</c:f>
              <c:numCache>
                <c:formatCode>#,##0</c:formatCode>
                <c:ptCount val="1"/>
                <c:pt idx="0">
                  <c:v>0</c:v>
                </c:pt>
              </c:numCache>
            </c:numRef>
          </c:val>
          <c:extLst>
            <c:ext xmlns:c16="http://schemas.microsoft.com/office/drawing/2014/chart" uri="{C3380CC4-5D6E-409C-BE32-E72D297353CC}">
              <c16:uniqueId val="{0000000A-D2B0-4008-8C53-44D708E214EF}"/>
            </c:ext>
          </c:extLst>
        </c:ser>
        <c:ser>
          <c:idx val="11"/>
          <c:order val="9"/>
          <c:tx>
            <c:strRef>
              <c:f>Data!$N$20</c:f>
              <c:strCache>
                <c:ptCount val="1"/>
                <c:pt idx="0">
                  <c:v>Ext. Wall Systems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Data!$O$20</c:f>
              <c:numCache>
                <c:formatCode>#,##0</c:formatCode>
                <c:ptCount val="1"/>
                <c:pt idx="0">
                  <c:v>0</c:v>
                </c:pt>
              </c:numCache>
            </c:numRef>
          </c:val>
          <c:extLst>
            <c:ext xmlns:c16="http://schemas.microsoft.com/office/drawing/2014/chart" uri="{C3380CC4-5D6E-409C-BE32-E72D297353CC}">
              <c16:uniqueId val="{0000000B-D2B0-4008-8C53-44D708E214EF}"/>
            </c:ext>
          </c:extLst>
        </c:ser>
        <c:ser>
          <c:idx val="6"/>
          <c:order val="10"/>
          <c:tx>
            <c:strRef>
              <c:f>Data!$N$19</c:f>
              <c:strCache>
                <c:ptCount val="1"/>
                <c:pt idx="0">
                  <c:v>Ext. Walls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Data!$O$19</c:f>
              <c:numCache>
                <c:formatCode>#,##0</c:formatCode>
                <c:ptCount val="1"/>
                <c:pt idx="0">
                  <c:v>0</c:v>
                </c:pt>
              </c:numCache>
            </c:numRef>
          </c:val>
          <c:extLst>
            <c:ext xmlns:c16="http://schemas.microsoft.com/office/drawing/2014/chart" uri="{C3380CC4-5D6E-409C-BE32-E72D297353CC}">
              <c16:uniqueId val="{0000000C-D2B0-4008-8C53-44D708E214EF}"/>
            </c:ext>
          </c:extLst>
        </c:ser>
        <c:ser>
          <c:idx val="3"/>
          <c:order val="11"/>
          <c:tx>
            <c:strRef>
              <c:f>Data!$N$18</c:f>
              <c:strCache>
                <c:ptCount val="1"/>
                <c:pt idx="0">
                  <c:v>Structural Elements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Data!$O$18</c:f>
              <c:numCache>
                <c:formatCode>#,##0</c:formatCode>
                <c:ptCount val="1"/>
                <c:pt idx="0">
                  <c:v>0</c:v>
                </c:pt>
              </c:numCache>
            </c:numRef>
          </c:val>
          <c:extLst>
            <c:ext xmlns:c16="http://schemas.microsoft.com/office/drawing/2014/chart" uri="{C3380CC4-5D6E-409C-BE32-E72D297353CC}">
              <c16:uniqueId val="{0000000D-D2B0-4008-8C53-44D708E214EF}"/>
            </c:ext>
          </c:extLst>
        </c:ser>
        <c:ser>
          <c:idx val="2"/>
          <c:order val="12"/>
          <c:tx>
            <c:strRef>
              <c:f>Data!$N$17</c:f>
              <c:strCache>
                <c:ptCount val="1"/>
                <c:pt idx="0">
                  <c:v>Foundation Walls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Data!$O$17</c:f>
              <c:numCache>
                <c:formatCode>#,##0</c:formatCode>
                <c:ptCount val="1"/>
                <c:pt idx="0">
                  <c:v>0</c:v>
                </c:pt>
              </c:numCache>
            </c:numRef>
          </c:val>
          <c:extLst>
            <c:ext xmlns:c16="http://schemas.microsoft.com/office/drawing/2014/chart" uri="{C3380CC4-5D6E-409C-BE32-E72D297353CC}">
              <c16:uniqueId val="{0000000E-D2B0-4008-8C53-44D708E214EF}"/>
            </c:ext>
          </c:extLst>
        </c:ser>
        <c:ser>
          <c:idx val="1"/>
          <c:order val="13"/>
          <c:tx>
            <c:strRef>
              <c:f>Data!$N$16</c:f>
              <c:strCache>
                <c:ptCount val="1"/>
                <c:pt idx="0">
                  <c:v>Footings &amp; Slabs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Data!$O$16</c:f>
              <c:numCache>
                <c:formatCode>#,##0</c:formatCode>
                <c:ptCount val="1"/>
                <c:pt idx="0">
                  <c:v>0</c:v>
                </c:pt>
              </c:numCache>
            </c:numRef>
          </c:val>
          <c:extLst>
            <c:ext xmlns:c16="http://schemas.microsoft.com/office/drawing/2014/chart" uri="{C3380CC4-5D6E-409C-BE32-E72D297353CC}">
              <c16:uniqueId val="{0000000F-D2B0-4008-8C53-44D708E214EF}"/>
            </c:ext>
          </c:extLst>
        </c:ser>
        <c:dLbls>
          <c:showLegendKey val="0"/>
          <c:showVal val="1"/>
          <c:showCatName val="0"/>
          <c:showSerName val="0"/>
          <c:showPercent val="0"/>
          <c:showBubbleSize val="0"/>
        </c:dLbls>
        <c:gapWidth val="50"/>
        <c:axId val="461850047"/>
        <c:axId val="461850463"/>
      </c:barChart>
      <c:catAx>
        <c:axId val="461850047"/>
        <c:scaling>
          <c:orientation val="minMax"/>
        </c:scaling>
        <c:delete val="0"/>
        <c:axPos val="l"/>
        <c:numFmt formatCode="General" sourceLinked="1"/>
        <c:majorTickMark val="none"/>
        <c:minorTickMark val="none"/>
        <c:tickLblPos val="nextTo"/>
        <c:spPr>
          <a:solidFill>
            <a:schemeClr val="bg1"/>
          </a:solidFill>
          <a:ln w="12700" cap="sq" cmpd="sng" algn="ctr">
            <a:solidFill>
              <a:schemeClr val="tx1">
                <a:lumMod val="75000"/>
                <a:lumOff val="25000"/>
              </a:schemeClr>
            </a:solidFill>
            <a:round/>
          </a:ln>
          <a:effectLst/>
        </c:spPr>
        <c:txPr>
          <a:bodyPr rot="-60000000" spcFirstLastPara="1" vertOverflow="ellipsis" vert="horz" wrap="square" anchor="ctr" anchorCtr="1"/>
          <a:lstStyle/>
          <a:p>
            <a:pPr>
              <a:defRPr sz="900" b="0" i="0" u="none" strike="noStrike" baseline="0">
                <a:noFill/>
                <a:latin typeface="Arial" panose="020B0604020202020204" pitchFamily="34" charset="0"/>
                <a:ea typeface="+mn-ea"/>
                <a:cs typeface="Arial" panose="020B0604020202020204" pitchFamily="34" charset="0"/>
              </a:defRPr>
            </a:pPr>
            <a:endParaRPr lang="en-US"/>
          </a:p>
        </c:txPr>
        <c:crossAx val="461850463"/>
        <c:crosses val="autoZero"/>
        <c:auto val="1"/>
        <c:lblAlgn val="ctr"/>
        <c:lblOffset val="100"/>
        <c:noMultiLvlLbl val="0"/>
      </c:catAx>
      <c:valAx>
        <c:axId val="46185046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lgn="ctr" rtl="0">
                  <a:defRPr sz="1200" b="0" i="0" u="none" strike="noStrike" baseline="0">
                    <a:solidFill>
                      <a:sysClr val="windowText" lastClr="000000"/>
                    </a:solidFill>
                    <a:latin typeface="Arial" panose="020B0604020202020204" pitchFamily="34" charset="0"/>
                    <a:ea typeface="+mn-ea"/>
                    <a:cs typeface="Arial" panose="020B0604020202020204" pitchFamily="34" charset="0"/>
                  </a:defRPr>
                </a:pPr>
                <a:r>
                  <a:rPr lang="en-US" sz="1200" b="0" i="0" u="none" strike="noStrike" baseline="0">
                    <a:solidFill>
                      <a:schemeClr val="tx1">
                        <a:lumMod val="75000"/>
                        <a:lumOff val="25000"/>
                      </a:schemeClr>
                    </a:solidFill>
                    <a:latin typeface="Arial" panose="020B0604020202020204" pitchFamily="34" charset="0"/>
                    <a:ea typeface="+mn-ea"/>
                    <a:cs typeface="Arial" panose="020B0604020202020204" pitchFamily="34" charset="0"/>
                  </a:rPr>
                  <a:t>Marterial Carbon Emissions, kg CO</a:t>
                </a:r>
                <a:r>
                  <a:rPr lang="en-US" sz="1200" b="0" i="0" u="none" strike="noStrike" baseline="-25000">
                    <a:solidFill>
                      <a:schemeClr val="tx1">
                        <a:lumMod val="75000"/>
                        <a:lumOff val="25000"/>
                      </a:schemeClr>
                    </a:solidFill>
                    <a:latin typeface="Arial" panose="020B0604020202020204" pitchFamily="34" charset="0"/>
                    <a:ea typeface="+mn-ea"/>
                    <a:cs typeface="Arial" panose="020B0604020202020204" pitchFamily="34" charset="0"/>
                  </a:rPr>
                  <a:t>2</a:t>
                </a:r>
                <a:r>
                  <a:rPr lang="en-US" sz="1200" b="0" i="0" u="none" strike="noStrike" baseline="0">
                    <a:solidFill>
                      <a:schemeClr val="tx1">
                        <a:lumMod val="75000"/>
                        <a:lumOff val="25000"/>
                      </a:schemeClr>
                    </a:solidFill>
                    <a:latin typeface="Arial" panose="020B0604020202020204" pitchFamily="34" charset="0"/>
                    <a:ea typeface="+mn-ea"/>
                    <a:cs typeface="Arial" panose="020B0604020202020204" pitchFamily="34" charset="0"/>
                  </a:rPr>
                  <a:t>e</a:t>
                </a:r>
              </a:p>
            </c:rich>
          </c:tx>
          <c:layout>
            <c:manualLayout>
              <c:xMode val="edge"/>
              <c:yMode val="edge"/>
              <c:x val="0.2767549892730764"/>
              <c:y val="2.7130746307296508E-2"/>
            </c:manualLayout>
          </c:layout>
          <c:overlay val="0"/>
          <c:spPr>
            <a:noFill/>
            <a:ln>
              <a:noFill/>
            </a:ln>
            <a:effectLst/>
          </c:spPr>
        </c:title>
        <c:numFmt formatCode="#,##0" sourceLinked="0"/>
        <c:majorTickMark val="out"/>
        <c:minorTickMark val="none"/>
        <c:tickLblPos val="high"/>
        <c:spPr>
          <a:noFill/>
          <a:ln>
            <a:noFill/>
          </a:ln>
          <a:effectLst/>
        </c:spPr>
        <c:txPr>
          <a:bodyPr rot="-60000000" spcFirstLastPara="1" vertOverflow="ellipsis" vert="horz" wrap="square" anchor="ctr" anchorCtr="1"/>
          <a:lstStyle/>
          <a:p>
            <a:pPr>
              <a:defRPr sz="7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461850047"/>
        <c:crosses val="autoZero"/>
        <c:crossBetween val="between"/>
      </c:valAx>
      <c:spPr>
        <a:noFill/>
        <a:ln>
          <a:noFill/>
        </a:ln>
        <a:effectLst/>
      </c:spPr>
    </c:plotArea>
    <c:legend>
      <c:legendPos val="r"/>
      <c:layout>
        <c:manualLayout>
          <c:xMode val="edge"/>
          <c:yMode val="edge"/>
          <c:x val="0.78319977066611668"/>
          <c:y val="5.2905036479993298E-2"/>
          <c:w val="0.21680022933388329"/>
          <c:h val="0.9345007481366413"/>
        </c:manualLayout>
      </c:layout>
      <c:overlay val="0"/>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w="9525" cap="flat" cmpd="sng" algn="ctr">
      <a:solidFill>
        <a:schemeClr val="tx1"/>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lgn="ctr">
              <a:defRPr sz="1200" b="0" i="0" u="none" strike="noStrike" kern="1200" spc="0" baseline="0">
                <a:solidFill>
                  <a:schemeClr val="tx2"/>
                </a:solidFill>
                <a:latin typeface="Arial" panose="020B0604020202020204" pitchFamily="34" charset="0"/>
                <a:ea typeface="+mn-ea"/>
                <a:cs typeface="Arial" panose="020B0604020202020204" pitchFamily="34" charset="0"/>
              </a:defRPr>
            </a:pPr>
            <a:r>
              <a:rPr lang="en-US"/>
              <a:t>Cumulative Carbon Emissions</a:t>
            </a:r>
          </a:p>
        </c:rich>
      </c:tx>
      <c:layout>
        <c:manualLayout>
          <c:xMode val="edge"/>
          <c:yMode val="edge"/>
          <c:x val="0.30217058470276931"/>
          <c:y val="2.6623465929175118E-2"/>
        </c:manualLayout>
      </c:layout>
      <c:overlay val="0"/>
      <c:spPr>
        <a:noFill/>
        <a:ln>
          <a:noFill/>
        </a:ln>
        <a:effectLst/>
      </c:spPr>
    </c:title>
    <c:autoTitleDeleted val="0"/>
    <c:plotArea>
      <c:layout>
        <c:manualLayout>
          <c:layoutTarget val="inner"/>
          <c:xMode val="edge"/>
          <c:yMode val="edge"/>
          <c:x val="0.11545352883591646"/>
          <c:y val="0.19797846506701855"/>
          <c:w val="0.79715307552418646"/>
          <c:h val="0.65653134228026788"/>
        </c:manualLayout>
      </c:layout>
      <c:areaChart>
        <c:grouping val="stacked"/>
        <c:varyColors val="0"/>
        <c:ser>
          <c:idx val="1"/>
          <c:order val="1"/>
          <c:tx>
            <c:strRef>
              <c:f>Data!$AD$1</c:f>
              <c:strCache>
                <c:ptCount val="1"/>
                <c:pt idx="0">
                  <c:v>Materials</c:v>
                </c:pt>
              </c:strCache>
            </c:strRef>
          </c:tx>
          <c:spPr>
            <a:pattFill prst="ltUpDiag">
              <a:fgClr>
                <a:srgbClr val="000000">
                  <a:lumMod val="85000"/>
                  <a:lumOff val="15000"/>
                </a:srgbClr>
              </a:fgClr>
              <a:bgClr>
                <a:srgbClr val="FFFFFF">
                  <a:lumMod val="50000"/>
                </a:srgbClr>
              </a:bgClr>
            </a:pattFill>
            <a:ln>
              <a:noFill/>
              <a:prstDash val="dash"/>
            </a:ln>
          </c:spPr>
          <c:cat>
            <c:numRef>
              <c:f>Data!$R$3:$R$33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Data!$AD$3:$AD$33</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extLst>
            <c:ext xmlns:c16="http://schemas.microsoft.com/office/drawing/2014/chart" uri="{C3380CC4-5D6E-409C-BE32-E72D297353CC}">
              <c16:uniqueId val="{00000000-BBAB-46B6-BB9A-AB7E480B76D4}"/>
            </c:ext>
          </c:extLst>
        </c:ser>
        <c:ser>
          <c:idx val="2"/>
          <c:order val="2"/>
          <c:tx>
            <c:strRef>
              <c:f>Data!$AE$1</c:f>
              <c:strCache>
                <c:ptCount val="1"/>
                <c:pt idx="0">
                  <c:v>Electricity</c:v>
                </c:pt>
              </c:strCache>
            </c:strRef>
          </c:tx>
          <c:spPr>
            <a:solidFill>
              <a:srgbClr val="87CEFA"/>
            </a:solidFill>
            <a:ln>
              <a:noFill/>
            </a:ln>
          </c:spPr>
          <c:cat>
            <c:numRef>
              <c:f>Data!$R$3:$R$33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Data!$AE$3:$AE$33</c:f>
              <c:numCache>
                <c:formatCode>0.0</c:formatCode>
                <c:ptCount val="3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extLst>
            <c:ext xmlns:c16="http://schemas.microsoft.com/office/drawing/2014/chart" uri="{C3380CC4-5D6E-409C-BE32-E72D297353CC}">
              <c16:uniqueId val="{00000001-BBAB-46B6-BB9A-AB7E480B76D4}"/>
            </c:ext>
          </c:extLst>
        </c:ser>
        <c:ser>
          <c:idx val="4"/>
          <c:order val="3"/>
          <c:tx>
            <c:strRef>
              <c:f>Data!$AF$1</c:f>
              <c:strCache>
                <c:ptCount val="1"/>
                <c:pt idx="0">
                  <c:v>Natural Gas</c:v>
                </c:pt>
              </c:strCache>
            </c:strRef>
          </c:tx>
          <c:spPr>
            <a:solidFill>
              <a:srgbClr val="F0D02E"/>
            </a:solidFill>
            <a:ln>
              <a:noFill/>
            </a:ln>
          </c:spPr>
          <c:cat>
            <c:numRef>
              <c:f>Data!$R$3:$R$33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Data!$AF$3:$AF$33</c:f>
              <c:numCache>
                <c:formatCode>0.0</c:formatCode>
                <c:ptCount val="3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extLst>
            <c:ext xmlns:c16="http://schemas.microsoft.com/office/drawing/2014/chart" uri="{C3380CC4-5D6E-409C-BE32-E72D297353CC}">
              <c16:uniqueId val="{00000002-BBAB-46B6-BB9A-AB7E480B76D4}"/>
            </c:ext>
          </c:extLst>
        </c:ser>
        <c:ser>
          <c:idx val="6"/>
          <c:order val="4"/>
          <c:tx>
            <c:strRef>
              <c:f>Data!$AH$1</c:f>
              <c:strCache>
                <c:ptCount val="1"/>
                <c:pt idx="0">
                  <c:v>Propane</c:v>
                </c:pt>
              </c:strCache>
            </c:strRef>
          </c:tx>
          <c:spPr>
            <a:solidFill>
              <a:srgbClr val="B22222"/>
            </a:solidFill>
            <a:ln>
              <a:noFill/>
            </a:ln>
          </c:spPr>
          <c:cat>
            <c:numRef>
              <c:f>Data!$R$3:$R$33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Data!$AH$3:$AH$33</c:f>
              <c:numCache>
                <c:formatCode>0.0</c:formatCode>
                <c:ptCount val="3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extLst>
            <c:ext xmlns:c16="http://schemas.microsoft.com/office/drawing/2014/chart" uri="{C3380CC4-5D6E-409C-BE32-E72D297353CC}">
              <c16:uniqueId val="{00000004-BBAB-46B6-BB9A-AB7E480B76D4}"/>
            </c:ext>
          </c:extLst>
        </c:ser>
        <c:ser>
          <c:idx val="5"/>
          <c:order val="5"/>
          <c:tx>
            <c:strRef>
              <c:f>Data!$AG$1</c:f>
              <c:strCache>
                <c:ptCount val="1"/>
                <c:pt idx="0">
                  <c:v>Oil</c:v>
                </c:pt>
              </c:strCache>
            </c:strRef>
          </c:tx>
          <c:spPr>
            <a:solidFill>
              <a:srgbClr val="2F4F4F"/>
            </a:solidFill>
            <a:ln>
              <a:noFill/>
            </a:ln>
          </c:spPr>
          <c:cat>
            <c:numRef>
              <c:f>Data!$R$3:$R$33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Data!$AG$3:$AG$33</c:f>
              <c:numCache>
                <c:formatCode>0.0</c:formatCode>
                <c:ptCount val="3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extLst>
            <c:ext xmlns:c16="http://schemas.microsoft.com/office/drawing/2014/chart" uri="{C3380CC4-5D6E-409C-BE32-E72D297353CC}">
              <c16:uniqueId val="{00000003-BBAB-46B6-BB9A-AB7E480B76D4}"/>
            </c:ext>
          </c:extLst>
        </c:ser>
        <c:ser>
          <c:idx val="0"/>
          <c:order val="6"/>
          <c:tx>
            <c:strRef>
              <c:f>Data!$AI$1</c:f>
              <c:strCache>
                <c:ptCount val="1"/>
                <c:pt idx="0">
                  <c:v>Wood</c:v>
                </c:pt>
              </c:strCache>
            </c:strRef>
          </c:tx>
          <c:spPr>
            <a:solidFill>
              <a:srgbClr val="228B22"/>
            </a:solidFill>
            <a:ln w="28575" cap="rnd">
              <a:noFill/>
              <a:round/>
            </a:ln>
            <a:effectLst/>
          </c:spPr>
          <c:cat>
            <c:numRef>
              <c:f>Data!$R$3:$R$33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Data!$AI$3:$AI$33</c:f>
              <c:numCache>
                <c:formatCode>0.0</c:formatCode>
                <c:ptCount val="3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extLst>
            <c:ext xmlns:c16="http://schemas.microsoft.com/office/drawing/2014/chart" uri="{C3380CC4-5D6E-409C-BE32-E72D297353CC}">
              <c16:uniqueId val="{00000005-BBAB-46B6-BB9A-AB7E480B76D4}"/>
            </c:ext>
          </c:extLst>
        </c:ser>
        <c:dLbls>
          <c:showLegendKey val="0"/>
          <c:showVal val="0"/>
          <c:showCatName val="0"/>
          <c:showSerName val="0"/>
          <c:showPercent val="0"/>
          <c:showBubbleSize val="0"/>
        </c:dLbls>
        <c:axId val="1578372607"/>
        <c:axId val="1578373023"/>
        <c:extLst>
          <c:ext xmlns:c15="http://schemas.microsoft.com/office/drawing/2012/chart" uri="{02D57815-91ED-43cb-92C2-25804820EDAC}">
            <c15:filteredAreaSeries>
              <c15:ser>
                <c:idx val="3"/>
                <c:order val="0"/>
                <c:spPr>
                  <a:ln>
                    <a:solidFill>
                      <a:srgbClr val="FF0000"/>
                    </a:solidFill>
                    <a:prstDash val="dash"/>
                  </a:ln>
                </c:spPr>
                <c:cat>
                  <c:numRef>
                    <c:extLst>
                      <c:ext uri="{02D57815-91ED-43cb-92C2-25804820EDAC}">
                        <c15:formulaRef>
                          <c15:sqref>Data!$R$3:$R$33</c15:sqref>
                        </c15:formulaRef>
                      </c:ext>
                    </c:extLst>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extLst>
                      <c:ext uri="{02D57815-91ED-43cb-92C2-25804820EDAC}">
                        <c15:formulaRef>
                          <c15:sqref>Data!$AC$3:$AC$33</c15:sqref>
                        </c15:formulaRef>
                      </c:ext>
                    </c:extLst>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val>
                <c:extLst>
                  <c:ext xmlns:c16="http://schemas.microsoft.com/office/drawing/2014/chart" uri="{C3380CC4-5D6E-409C-BE32-E72D297353CC}">
                    <c16:uniqueId val="{00000006-BBAB-46B6-BB9A-AB7E480B76D4}"/>
                  </c:ext>
                </c:extLst>
              </c15:ser>
            </c15:filteredAreaSeries>
          </c:ext>
        </c:extLst>
      </c:areaChart>
      <c:catAx>
        <c:axId val="1578372607"/>
        <c:scaling>
          <c:orientation val="minMax"/>
        </c:scaling>
        <c:delete val="0"/>
        <c:axPos val="b"/>
        <c:majorGridlines>
          <c:spPr>
            <a:ln w="9525" cap="flat" cmpd="sng" algn="ctr">
              <a:noFill/>
              <a:round/>
            </a:ln>
            <a:effectLst/>
          </c:spPr>
        </c:majorGridlines>
        <c:title>
          <c:tx>
            <c:rich>
              <a:bodyPr rot="0" spcFirstLastPara="1" vertOverflow="ellipsis" vert="horz" wrap="square" anchor="ctr" anchorCtr="1"/>
              <a:lstStyle/>
              <a:p>
                <a:pPr>
                  <a:defRPr sz="900" b="0" i="0" u="none" strike="noStrike" kern="1200" baseline="0">
                    <a:solidFill>
                      <a:schemeClr val="tx1"/>
                    </a:solidFill>
                    <a:latin typeface="+mn-lt"/>
                    <a:ea typeface="+mn-ea"/>
                    <a:cs typeface="+mn-cs"/>
                  </a:defRPr>
                </a:pPr>
                <a:r>
                  <a:rPr lang="en-US"/>
                  <a:t>Years</a:t>
                </a:r>
              </a:p>
            </c:rich>
          </c:tx>
          <c:layout>
            <c:manualLayout>
              <c:xMode val="edge"/>
              <c:yMode val="edge"/>
              <c:x val="0.47746081219014291"/>
              <c:y val="0.92524123210484832"/>
            </c:manualLayout>
          </c:layout>
          <c:overlay val="0"/>
          <c:spPr>
            <a:noFill/>
            <a:ln>
              <a:noFill/>
            </a:ln>
            <a:effectLst/>
          </c:spPr>
        </c:title>
        <c:numFmt formatCode="General" sourceLinked="1"/>
        <c:majorTickMark val="in"/>
        <c:minorTickMark val="none"/>
        <c:tickLblPos val="low"/>
        <c:spPr>
          <a:noFill/>
          <a:ln w="12700" cap="flat" cmpd="sng" algn="ctr">
            <a:solidFill>
              <a:schemeClr val="tx1">
                <a:lumMod val="50000"/>
                <a:lumOff val="50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8373023"/>
        <c:crossesAt val="0"/>
        <c:auto val="1"/>
        <c:lblAlgn val="ctr"/>
        <c:lblOffset val="0"/>
        <c:noMultiLvlLbl val="0"/>
      </c:catAx>
      <c:valAx>
        <c:axId val="1578373023"/>
        <c:scaling>
          <c:orientation val="minMax"/>
          <c:min val="0"/>
        </c:scaling>
        <c:delete val="0"/>
        <c:axPos val="l"/>
        <c:majorGridlines>
          <c:spPr>
            <a:ln w="9525" cap="flat" cmpd="sng" algn="ctr">
              <a:noFill/>
              <a:round/>
            </a:ln>
            <a:effectLst/>
          </c:spPr>
        </c:majorGridlines>
        <c:title>
          <c:tx>
            <c:rich>
              <a:bodyPr rot="-5400000" spcFirstLastPara="1" vertOverflow="ellipsis" vert="horz" wrap="square" anchor="t" anchorCtr="1"/>
              <a:lstStyle/>
              <a:p>
                <a:pPr algn="ctr" rtl="0">
                  <a:defRPr sz="700" b="0" i="0" u="none" strike="noStrike" kern="1200" baseline="0">
                    <a:solidFill>
                      <a:schemeClr val="tx1"/>
                    </a:solidFill>
                    <a:latin typeface="+mn-lt"/>
                    <a:ea typeface="+mn-ea"/>
                    <a:cs typeface="+mn-cs"/>
                  </a:defRPr>
                </a:pPr>
                <a:r>
                  <a:rPr lang="en-US" sz="800" b="0" i="0" u="none" strike="noStrike" kern="1200" baseline="0">
                    <a:solidFill>
                      <a:schemeClr val="tx1"/>
                    </a:solidFill>
                  </a:rPr>
                  <a:t>Global Warming Potential</a:t>
                </a:r>
                <a:r>
                  <a:rPr lang="en-US" sz="700" b="0" i="0" u="none" strike="noStrike" kern="1200" baseline="0">
                    <a:solidFill>
                      <a:schemeClr val="tx1"/>
                    </a:solidFill>
                  </a:rPr>
                  <a:t>, </a:t>
                </a:r>
                <a:r>
                  <a:rPr lang="en-US" sz="700" b="0" i="0" u="none" strike="noStrike" kern="1200" baseline="0">
                    <a:solidFill>
                      <a:schemeClr val="tx1">
                        <a:lumMod val="100000"/>
                      </a:schemeClr>
                    </a:solidFill>
                  </a:rPr>
                  <a:t>tonnes</a:t>
                </a:r>
                <a:r>
                  <a:rPr lang="en-US" sz="700" b="0" i="0" u="none" strike="noStrike" kern="1200" baseline="0">
                    <a:solidFill>
                      <a:schemeClr val="tx1"/>
                    </a:solidFill>
                  </a:rPr>
                  <a:t> C</a:t>
                </a:r>
                <a:r>
                  <a:rPr lang="en-US" sz="700" b="0" i="0" u="none" strike="noStrike" kern="1200" baseline="0">
                    <a:solidFill>
                      <a:schemeClr val="tx1">
                        <a:lumMod val="100000"/>
                      </a:schemeClr>
                    </a:solidFill>
                  </a:rPr>
                  <a:t>O</a:t>
                </a:r>
                <a:r>
                  <a:rPr lang="en-US" sz="700" b="0" i="0" u="none" strike="noStrike" kern="1200" baseline="-25000">
                    <a:solidFill>
                      <a:schemeClr val="tx1">
                        <a:lumMod val="100000"/>
                      </a:schemeClr>
                    </a:solidFill>
                  </a:rPr>
                  <a:t>2</a:t>
                </a:r>
                <a:r>
                  <a:rPr lang="en-US" sz="700" b="0" i="0" u="none" strike="noStrike" kern="1200" baseline="0">
                    <a:solidFill>
                      <a:schemeClr val="tx1">
                        <a:lumMod val="100000"/>
                      </a:schemeClr>
                    </a:solidFill>
                  </a:rPr>
                  <a:t>e</a:t>
                </a:r>
              </a:p>
            </c:rich>
          </c:tx>
          <c:layout>
            <c:manualLayout>
              <c:xMode val="edge"/>
              <c:yMode val="edge"/>
              <c:x val="2.1241106763887848E-2"/>
              <c:y val="0.2002828377796059"/>
            </c:manualLayout>
          </c:layout>
          <c:overlay val="0"/>
          <c:spPr>
            <a:noFill/>
            <a:ln>
              <a:noFill/>
            </a:ln>
            <a:effectLst/>
          </c:spPr>
        </c:title>
        <c:numFmt formatCode="[=0]0;[&lt;10]0.0;0" sourceLinked="0"/>
        <c:majorTickMark val="in"/>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8372607"/>
        <c:crossesAt val="0"/>
        <c:crossBetween val="midCat"/>
      </c:valAx>
      <c:spPr>
        <a:noFill/>
        <a:ln w="12700">
          <a:noFill/>
        </a:ln>
        <a:effectLst>
          <a:softEdge rad="63500"/>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extLst/>
  </c:chart>
  <c:spPr>
    <a:solidFill>
      <a:schemeClr val="bg1"/>
    </a:solidFill>
    <a:ln w="9525" cap="flat" cmpd="sng" algn="ctr">
      <a:solidFill>
        <a:schemeClr val="tx1"/>
      </a:solidFill>
      <a:round/>
    </a:ln>
    <a:effectLst/>
  </c:spPr>
  <c:txPr>
    <a:bodyPr/>
    <a:lstStyle/>
    <a:p>
      <a:pPr>
        <a:defRPr/>
      </a:pPr>
      <a:endParaRPr lang="en-US"/>
    </a:p>
  </c:txPr>
  <c:printSettings>
    <c:headerFooter/>
    <c:pageMargins b="0.31496062992125984" l="0.31496062992125984" r="0.31496062992125984" t="0.31496062992125984" header="0" footer="0"/>
    <c:pageSetup orientation="portrait"/>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a:defRPr sz="1200" b="0" i="0" u="none" strike="noStrike" kern="1200" spc="0" baseline="0">
                <a:solidFill>
                  <a:schemeClr val="tx2"/>
                </a:solidFill>
                <a:latin typeface="Arial" panose="020B0604020202020204" pitchFamily="34" charset="0"/>
                <a:ea typeface="+mn-ea"/>
                <a:cs typeface="Arial" panose="020B0604020202020204" pitchFamily="34" charset="0"/>
              </a:defRPr>
            </a:pPr>
            <a:r>
              <a:rPr lang="en-US" sz="1200">
                <a:solidFill>
                  <a:schemeClr val="tx2"/>
                </a:solidFill>
                <a:latin typeface="Arial" panose="020B0604020202020204" pitchFamily="34" charset="0"/>
                <a:cs typeface="Arial" panose="020B0604020202020204" pitchFamily="34" charset="0"/>
              </a:rPr>
              <a:t>Cumulative Carbon Emissions</a:t>
            </a:r>
          </a:p>
        </c:rich>
      </c:tx>
      <c:layout>
        <c:manualLayout>
          <c:xMode val="edge"/>
          <c:yMode val="edge"/>
          <c:x val="0.30217058470276931"/>
          <c:y val="2.6623465929175118E-2"/>
        </c:manualLayout>
      </c:layout>
      <c:overlay val="0"/>
      <c:spPr>
        <a:noFill/>
        <a:ln>
          <a:noFill/>
        </a:ln>
        <a:effectLst/>
      </c:spPr>
    </c:title>
    <c:autoTitleDeleted val="0"/>
    <c:plotArea>
      <c:layout>
        <c:manualLayout>
          <c:layoutTarget val="inner"/>
          <c:xMode val="edge"/>
          <c:yMode val="edge"/>
          <c:x val="0.11545352883591646"/>
          <c:y val="0.19797846506701855"/>
          <c:w val="0.79715307552418646"/>
          <c:h val="0.65653134228026788"/>
        </c:manualLayout>
      </c:layout>
      <c:lineChart>
        <c:grouping val="standard"/>
        <c:varyColors val="0"/>
        <c:ser>
          <c:idx val="1"/>
          <c:order val="1"/>
          <c:tx>
            <c:strRef>
              <c:f>Data!$S$1</c:f>
              <c:strCache>
                <c:ptCount val="1"/>
                <c:pt idx="0">
                  <c:v>Materials</c:v>
                </c:pt>
              </c:strCache>
            </c:strRef>
          </c:tx>
          <c:spPr>
            <a:ln w="25400" cap="sq">
              <a:solidFill>
                <a:srgbClr val="FFC000"/>
              </a:solidFill>
              <a:round/>
            </a:ln>
            <a:effectLst/>
          </c:spPr>
          <c:marker>
            <c:symbol val="none"/>
          </c:marker>
          <c:dLbls>
            <c:dLbl>
              <c:idx val="3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59B-4270-9467-998E80014164}"/>
                </c:ext>
              </c:extLst>
            </c:dLbl>
            <c:spPr>
              <a:noFill/>
              <a:ln>
                <a:noFill/>
              </a:ln>
              <a:effectLst/>
            </c:spPr>
            <c:txPr>
              <a:bodyPr rot="0" spcFirstLastPara="1" vertOverflow="ellipsis" vert="horz" wrap="square" lIns="0" tIns="19050" rIns="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numRef>
              <c:f>Data!$R$3:$R$33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Data!$S$3:$S$33</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0-8B1B-48B4-BC65-CB7D9F7946F1}"/>
            </c:ext>
          </c:extLst>
        </c:ser>
        <c:ser>
          <c:idx val="2"/>
          <c:order val="2"/>
          <c:tx>
            <c:strRef>
              <c:f>Data!$T$1</c:f>
              <c:strCache>
                <c:ptCount val="1"/>
                <c:pt idx="0">
                  <c:v>Operations</c:v>
                </c:pt>
              </c:strCache>
            </c:strRef>
          </c:tx>
          <c:spPr>
            <a:ln w="25400" cap="sq">
              <a:solidFill>
                <a:schemeClr val="tx2"/>
              </a:solidFill>
              <a:round/>
            </a:ln>
            <a:effectLst/>
          </c:spPr>
          <c:marker>
            <c:symbol val="none"/>
          </c:marker>
          <c:dLbls>
            <c:dLbl>
              <c:idx val="30"/>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B59B-4270-9467-998E80014164}"/>
                </c:ext>
              </c:extLst>
            </c:dLbl>
            <c:spPr>
              <a:noFill/>
              <a:ln>
                <a:noFill/>
              </a:ln>
              <a:effectLst/>
            </c:spPr>
            <c:txPr>
              <a:bodyPr rot="0" spcFirstLastPara="1" vertOverflow="ellipsis" vert="horz" wrap="square" lIns="0" tIns="19050" rIns="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numRef>
              <c:f>Data!$R$3:$R$33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Data!$T$3:$T$33</c:f>
              <c:numCache>
                <c:formatCode>0.0</c:formatCode>
                <c:ptCount val="3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8B1B-48B4-BC65-CB7D9F7946F1}"/>
            </c:ext>
          </c:extLst>
        </c:ser>
        <c:ser>
          <c:idx val="3"/>
          <c:order val="3"/>
          <c:tx>
            <c:v>Total</c:v>
          </c:tx>
          <c:spPr>
            <a:ln>
              <a:solidFill>
                <a:srgbClr val="FF0000"/>
              </a:solidFill>
              <a:prstDash val="dash"/>
            </a:ln>
          </c:spPr>
          <c:marker>
            <c:symbol val="none"/>
          </c:marker>
          <c:dLbls>
            <c:dLbl>
              <c:idx val="30"/>
              <c:spPr>
                <a:noFill/>
                <a:ln>
                  <a:noFill/>
                </a:ln>
                <a:effectLst/>
              </c:spPr>
              <c:txPr>
                <a:bodyPr wrap="square" lIns="0" tIns="19050" rIns="0" bIns="19050" anchor="ctr">
                  <a:spAutoFit/>
                </a:bodyPr>
                <a:lstStyle/>
                <a:p>
                  <a:pPr>
                    <a:defRPr sz="900"/>
                  </a:pPr>
                  <a:endParaRPr lang="en-US"/>
                </a:p>
              </c:txP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2-72A9-475F-9FD1-E15EB9925D58}"/>
                </c:ext>
              </c:extLst>
            </c:dLbl>
            <c:spPr>
              <a:noFill/>
              <a:ln>
                <a:noFill/>
              </a:ln>
              <a:effectLst/>
            </c:spPr>
            <c:showLegendKey val="0"/>
            <c:showVal val="0"/>
            <c:showCatName val="0"/>
            <c:showSerName val="0"/>
            <c:showPercent val="0"/>
            <c:showBubbleSize val="0"/>
            <c:extLst>
              <c:ext xmlns:c15="http://schemas.microsoft.com/office/drawing/2012/chart" uri="{CE6537A1-D6FC-4f65-9D91-7224C49458BB}">
                <c15:showLeaderLines val="1"/>
              </c:ext>
            </c:extLst>
          </c:dLbls>
          <c:val>
            <c:numRef>
              <c:f>Data!$U$3:$U$33</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72A9-475F-9FD1-E15EB9925D58}"/>
            </c:ext>
          </c:extLst>
        </c:ser>
        <c:dLbls>
          <c:showLegendKey val="0"/>
          <c:showVal val="0"/>
          <c:showCatName val="0"/>
          <c:showSerName val="0"/>
          <c:showPercent val="0"/>
          <c:showBubbleSize val="0"/>
        </c:dLbls>
        <c:smooth val="0"/>
        <c:axId val="1578372607"/>
        <c:axId val="1578373023"/>
        <c:extLst>
          <c:ext xmlns:c15="http://schemas.microsoft.com/office/drawing/2012/chart" uri="{02D57815-91ED-43cb-92C2-25804820EDAC}">
            <c15:filteredLineSeries>
              <c15:ser>
                <c:idx val="0"/>
                <c:order val="0"/>
                <c:tx>
                  <c:strRef>
                    <c:extLst>
                      <c:ext uri="{02D57815-91ED-43cb-92C2-25804820EDAC}">
                        <c15:formulaRef>
                          <c15:sqref> </c15:sqref>
                        </c15:formulaRef>
                      </c:ext>
                    </c:extLst>
                  </c:strRef>
                </c:tx>
                <c:spPr>
                  <a:ln w="28575" cap="rnd">
                    <a:solidFill>
                      <a:schemeClr val="accent1"/>
                    </a:solidFill>
                    <a:round/>
                  </a:ln>
                  <a:effectLst/>
                </c:spPr>
                <c:marker>
                  <c:symbol val="none"/>
                </c:marker>
                <c:cat>
                  <c:numRef>
                    <c:extLst>
                      <c:ext uri="{02D57815-91ED-43cb-92C2-25804820EDAC}">
                        <c15:formulaRef>
                          <c15:sqref>Data!$R$3:$R$33</c15:sqref>
                        </c15:formulaRef>
                      </c:ext>
                    </c:extLst>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extLst>
                      <c:ext uri="{02D57815-91ED-43cb-92C2-25804820EDAC}">
                        <c15:formulaRef>
                          <c15:sqref>Data!$R$3:$R$33</c15:sqref>
                        </c15:formulaRef>
                      </c:ext>
                    </c:extLst>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val>
                <c:smooth val="1"/>
                <c:extLst>
                  <c:ext xmlns:c16="http://schemas.microsoft.com/office/drawing/2014/chart" uri="{C3380CC4-5D6E-409C-BE32-E72D297353CC}">
                    <c16:uniqueId val="{00000002-8B1B-48B4-BC65-CB7D9F7946F1}"/>
                  </c:ext>
                </c:extLst>
              </c15:ser>
            </c15:filteredLineSeries>
          </c:ext>
        </c:extLst>
      </c:lineChart>
      <c:catAx>
        <c:axId val="1578372607"/>
        <c:scaling>
          <c:orientation val="minMax"/>
        </c:scaling>
        <c:delete val="0"/>
        <c:axPos val="b"/>
        <c:majorGridlines>
          <c:spPr>
            <a:ln w="9525" cap="flat" cmpd="sng" algn="ctr">
              <a:noFill/>
              <a:round/>
            </a:ln>
            <a:effectLst/>
          </c:spPr>
        </c:majorGridlines>
        <c:title>
          <c:tx>
            <c:rich>
              <a:bodyPr rot="0" spcFirstLastPara="1" vertOverflow="ellipsis" vert="horz" wrap="square" anchor="ctr" anchorCtr="1"/>
              <a:lstStyle/>
              <a:p>
                <a:pPr>
                  <a:defRPr sz="900" b="0" i="0" u="none" strike="noStrike" kern="1200" baseline="0">
                    <a:solidFill>
                      <a:schemeClr val="tx1"/>
                    </a:solidFill>
                    <a:latin typeface="+mn-lt"/>
                    <a:ea typeface="+mn-ea"/>
                    <a:cs typeface="+mn-cs"/>
                  </a:defRPr>
                </a:pPr>
                <a:r>
                  <a:rPr lang="en-US" sz="900">
                    <a:solidFill>
                      <a:schemeClr val="tx1"/>
                    </a:solidFill>
                  </a:rPr>
                  <a:t>Years</a:t>
                </a:r>
              </a:p>
            </c:rich>
          </c:tx>
          <c:layout>
            <c:manualLayout>
              <c:xMode val="edge"/>
              <c:yMode val="edge"/>
              <c:x val="0.47746081219014291"/>
              <c:y val="0.92524123210484832"/>
            </c:manualLayout>
          </c:layout>
          <c:overlay val="0"/>
          <c:spPr>
            <a:noFill/>
            <a:ln>
              <a:noFill/>
            </a:ln>
            <a:effectLst/>
          </c:spPr>
        </c:title>
        <c:numFmt formatCode="General" sourceLinked="1"/>
        <c:majorTickMark val="in"/>
        <c:minorTickMark val="none"/>
        <c:tickLblPos val="low"/>
        <c:spPr>
          <a:noFill/>
          <a:ln w="12700" cap="flat" cmpd="sng" algn="ctr">
            <a:solidFill>
              <a:schemeClr val="tx1">
                <a:lumMod val="50000"/>
                <a:lumOff val="50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8373023"/>
        <c:crossesAt val="0"/>
        <c:auto val="1"/>
        <c:lblAlgn val="ctr"/>
        <c:lblOffset val="0"/>
        <c:tickLblSkip val="5"/>
        <c:tickMarkSkip val="5"/>
        <c:noMultiLvlLbl val="0"/>
      </c:catAx>
      <c:valAx>
        <c:axId val="1578373023"/>
        <c:scaling>
          <c:orientation val="minMax"/>
        </c:scaling>
        <c:delete val="0"/>
        <c:axPos val="l"/>
        <c:majorGridlines>
          <c:spPr>
            <a:ln w="9525" cap="flat" cmpd="sng" algn="ctr">
              <a:noFill/>
              <a:round/>
            </a:ln>
            <a:effectLst/>
          </c:spPr>
        </c:majorGridlines>
        <c:title>
          <c:tx>
            <c:rich>
              <a:bodyPr rot="-5400000" spcFirstLastPara="1" vertOverflow="ellipsis" vert="horz" wrap="square" anchor="t" anchorCtr="1"/>
              <a:lstStyle/>
              <a:p>
                <a:pPr algn="ctr" rtl="0">
                  <a:defRPr sz="1000" b="0" i="0" u="none" strike="noStrike" kern="1200" baseline="0">
                    <a:solidFill>
                      <a:schemeClr val="tx1"/>
                    </a:solidFill>
                    <a:latin typeface="+mn-lt"/>
                    <a:ea typeface="+mn-ea"/>
                    <a:cs typeface="+mn-cs"/>
                  </a:defRPr>
                </a:pPr>
                <a:r>
                  <a:rPr lang="en-US" sz="800">
                    <a:solidFill>
                      <a:schemeClr val="tx1"/>
                    </a:solidFill>
                  </a:rPr>
                  <a:t>Global Warming Potential, </a:t>
                </a:r>
                <a:r>
                  <a:rPr lang="en-US" sz="700" b="0" i="0" u="none" strike="noStrike" kern="1200" baseline="0">
                    <a:solidFill>
                      <a:schemeClr val="tx1">
                        <a:lumMod val="100000"/>
                      </a:schemeClr>
                    </a:solidFill>
                    <a:latin typeface="+mn-lt"/>
                    <a:ea typeface="+mn-ea"/>
                    <a:cs typeface="+mn-cs"/>
                  </a:rPr>
                  <a:t>tonnes</a:t>
                </a:r>
                <a:r>
                  <a:rPr lang="en-US" sz="800">
                    <a:solidFill>
                      <a:schemeClr val="tx1"/>
                    </a:solidFill>
                  </a:rPr>
                  <a:t> C</a:t>
                </a:r>
                <a:r>
                  <a:rPr lang="en-US" sz="700" b="0" i="0" u="none" strike="noStrike" kern="1200" baseline="0">
                    <a:solidFill>
                      <a:schemeClr val="tx1">
                        <a:lumMod val="100000"/>
                      </a:schemeClr>
                    </a:solidFill>
                    <a:latin typeface="+mn-lt"/>
                    <a:ea typeface="+mn-ea"/>
                    <a:cs typeface="+mn-cs"/>
                  </a:rPr>
                  <a:t>O</a:t>
                </a:r>
                <a:r>
                  <a:rPr lang="en-US" sz="700" b="0" i="0" u="none" strike="noStrike" kern="1200" baseline="-25000">
                    <a:solidFill>
                      <a:schemeClr val="tx1">
                        <a:lumMod val="100000"/>
                      </a:schemeClr>
                    </a:solidFill>
                    <a:latin typeface="+mn-lt"/>
                    <a:ea typeface="+mn-ea"/>
                    <a:cs typeface="+mn-cs"/>
                  </a:rPr>
                  <a:t>2</a:t>
                </a:r>
                <a:r>
                  <a:rPr lang="en-US" sz="700" b="0" i="0" u="none" strike="noStrike" kern="1200" baseline="0">
                    <a:solidFill>
                      <a:schemeClr val="tx1">
                        <a:lumMod val="100000"/>
                      </a:schemeClr>
                    </a:solidFill>
                    <a:latin typeface="+mn-lt"/>
                    <a:ea typeface="+mn-ea"/>
                    <a:cs typeface="+mn-cs"/>
                  </a:rPr>
                  <a:t>e</a:t>
                </a:r>
              </a:p>
            </c:rich>
          </c:tx>
          <c:layout>
            <c:manualLayout>
              <c:xMode val="edge"/>
              <c:yMode val="edge"/>
              <c:x val="2.1241105998404067E-2"/>
              <c:y val="0.20525809986593543"/>
            </c:manualLayout>
          </c:layout>
          <c:overlay val="0"/>
          <c:spPr>
            <a:noFill/>
            <a:ln>
              <a:noFill/>
            </a:ln>
            <a:effectLst/>
          </c:spPr>
        </c:title>
        <c:numFmt formatCode="[=0]0;[&lt;10]0.0;0" sourceLinked="0"/>
        <c:majorTickMark val="in"/>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8372607"/>
        <c:crossesAt val="0"/>
        <c:crossBetween val="midCat"/>
      </c:valAx>
      <c:spPr>
        <a:noFill/>
        <a:ln w="12700">
          <a:noFill/>
        </a:ln>
        <a:effectLst>
          <a:softEdge rad="63500"/>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solidFill>
      <a:round/>
    </a:ln>
    <a:effectLst/>
  </c:spPr>
  <c:txPr>
    <a:bodyPr/>
    <a:lstStyle/>
    <a:p>
      <a:pPr>
        <a:defRPr/>
      </a:pPr>
      <a:endParaRPr lang="en-US"/>
    </a:p>
  </c:txPr>
  <c:printSettings>
    <c:headerFooter/>
    <c:pageMargins b="0.31496062992125984" l="0.31496062992125984" r="0.31496062992125984" t="0.31496062992125984" header="0" footer="0"/>
    <c:pageSetup orientation="portrait"/>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7044486208118533E-2"/>
          <c:y val="0"/>
          <c:w val="0.91186399064344192"/>
          <c:h val="0.50467543997823383"/>
        </c:manualLayout>
      </c:layout>
      <c:barChart>
        <c:barDir val="bar"/>
        <c:grouping val="stacked"/>
        <c:varyColors val="0"/>
        <c:ser>
          <c:idx val="1"/>
          <c:order val="0"/>
          <c:tx>
            <c:strRef>
              <c:f>Data!$X$3</c:f>
              <c:strCache>
                <c:ptCount val="1"/>
                <c:pt idx="0">
                  <c:v>Emissions Bar</c:v>
                </c:pt>
              </c:strCache>
            </c:strRef>
          </c:tx>
          <c:spPr>
            <a:gradFill flip="none" rotWithShape="1">
              <a:gsLst>
                <a:gs pos="5000">
                  <a:schemeClr val="accent3">
                    <a:lumMod val="5000"/>
                    <a:lumOff val="95000"/>
                    <a:alpha val="25000"/>
                  </a:schemeClr>
                </a:gs>
                <a:gs pos="100000">
                  <a:schemeClr val="bg2">
                    <a:lumMod val="95000"/>
                    <a:alpha val="60000"/>
                  </a:schemeClr>
                </a:gs>
              </a:gsLst>
              <a:lin ang="0" scaled="1"/>
              <a:tileRect/>
            </a:gradFill>
            <a:ln>
              <a:noFill/>
            </a:ln>
            <a:effectLst/>
          </c:spPr>
          <c:invertIfNegative val="1"/>
          <c:dPt>
            <c:idx val="0"/>
            <c:invertIfNegative val="1"/>
            <c:bubble3D val="0"/>
            <c:spPr>
              <a:gradFill flip="none" rotWithShape="1">
                <a:gsLst>
                  <a:gs pos="5000">
                    <a:schemeClr val="accent3">
                      <a:lumMod val="5000"/>
                      <a:lumOff val="95000"/>
                      <a:alpha val="25000"/>
                    </a:schemeClr>
                  </a:gs>
                  <a:gs pos="100000">
                    <a:schemeClr val="bg2">
                      <a:lumMod val="95000"/>
                      <a:alpha val="69000"/>
                    </a:schemeClr>
                  </a:gs>
                </a:gsLst>
                <a:lin ang="0" scaled="1"/>
                <a:tileRect/>
              </a:gradFill>
              <a:ln>
                <a:noFill/>
              </a:ln>
              <a:effectLst/>
            </c:spPr>
            <c:extLst>
              <c:ext xmlns:c16="http://schemas.microsoft.com/office/drawing/2014/chart" uri="{C3380CC4-5D6E-409C-BE32-E72D297353CC}">
                <c16:uniqueId val="{00000004-BC72-487F-BE85-C16C5859678A}"/>
              </c:ext>
            </c:extLst>
          </c:dPt>
          <c:cat>
            <c:numRef>
              <c:f>'RESULTS OLD'!$Q$7:$Q$8</c:f>
              <c:numCache>
                <c:formatCode>General</c:formatCode>
                <c:ptCount val="2"/>
              </c:numCache>
            </c:numRef>
          </c:cat>
          <c:val>
            <c:numRef>
              <c:f>Data!$X$4</c:f>
              <c:numCache>
                <c:formatCode>General</c:formatCode>
                <c:ptCount val="1"/>
                <c:pt idx="0">
                  <c:v>0</c:v>
                </c:pt>
              </c:numCache>
            </c:numRef>
          </c:val>
          <c:extLst>
            <c:ext xmlns:c16="http://schemas.microsoft.com/office/drawing/2014/chart" uri="{C3380CC4-5D6E-409C-BE32-E72D297353CC}">
              <c16:uniqueId val="{00000000-BC72-487F-BE85-C16C5859678A}"/>
            </c:ext>
          </c:extLst>
        </c:ser>
        <c:ser>
          <c:idx val="2"/>
          <c:order val="1"/>
          <c:tx>
            <c:strRef>
              <c:f>Data!$Y$3</c:f>
              <c:strCache>
                <c:ptCount val="1"/>
                <c:pt idx="0">
                  <c:v>Scaled iIndicator</c:v>
                </c:pt>
              </c:strCache>
            </c:strRef>
          </c:tx>
          <c:spPr>
            <a:solidFill>
              <a:schemeClr val="tx1"/>
            </a:solidFill>
            <a:ln w="9525">
              <a:solidFill>
                <a:sysClr val="windowText" lastClr="000000"/>
              </a:solidFill>
            </a:ln>
            <a:effectLst/>
            <a:scene3d>
              <a:camera prst="orthographicFront"/>
              <a:lightRig rig="threePt" dir="t"/>
            </a:scene3d>
          </c:spPr>
          <c:invertIfNegative val="0"/>
          <c:dLbls>
            <c:dLbl>
              <c:idx val="0"/>
              <c:layout>
                <c:manualLayout>
                  <c:x val="-6.9839282797900026E-2"/>
                  <c:y val="1.7227093242308856E-2"/>
                </c:manualLayout>
              </c:layout>
              <c:tx>
                <c:rich>
                  <a:bodyPr rot="0" spcFirstLastPara="1" vertOverflow="overflow" horzOverflow="overflow" vert="horz" wrap="none" lIns="36000" tIns="0" rIns="36000" bIns="0" anchor="ctr" anchorCtr="0">
                    <a:spAutoFit/>
                  </a:bodyPr>
                  <a:lstStyle/>
                  <a:p>
                    <a:pPr>
                      <a:defRPr sz="1400" b="1" i="0" u="none" strike="noStrike" kern="1200" baseline="0">
                        <a:solidFill>
                          <a:schemeClr val="tx1"/>
                        </a:solidFill>
                        <a:latin typeface="+mn-lt"/>
                        <a:ea typeface="+mn-ea"/>
                        <a:cs typeface="+mn-cs"/>
                      </a:defRPr>
                    </a:pPr>
                    <a:fld id="{88A58877-B016-438F-9B1C-EF81BEDCD9DD}" type="CELLRANGE">
                      <a:rPr lang="en-US" sz="1200" b="1">
                        <a:solidFill>
                          <a:schemeClr val="tx1"/>
                        </a:solidFill>
                      </a:rPr>
                      <a:pPr>
                        <a:defRPr sz="1400" b="1">
                          <a:solidFill>
                            <a:schemeClr val="tx1"/>
                          </a:solidFill>
                        </a:defRPr>
                      </a:pPr>
                      <a:t>[CELLRANGE]</a:t>
                    </a:fld>
                    <a:endParaRPr lang="en-CA"/>
                  </a:p>
                </c:rich>
              </c:tx>
              <c:numFmt formatCode="0" sourceLinked="0"/>
              <c:spPr>
                <a:noFill/>
                <a:ln>
                  <a:noFill/>
                </a:ln>
                <a:effectLst/>
              </c:spPr>
              <c:txPr>
                <a:bodyPr rot="0" spcFirstLastPara="1" vertOverflow="overflow" horzOverflow="overflow" vert="horz" wrap="none" lIns="36000" tIns="0" rIns="36000" bIns="0" anchor="ctr" anchorCtr="0">
                  <a:spAutoFit/>
                </a:bodyPr>
                <a:lstStyle/>
                <a:p>
                  <a:pPr>
                    <a:defRPr sz="1400" b="1" i="0" u="none" strike="noStrike" kern="1200" baseline="0">
                      <a:solidFill>
                        <a:schemeClr val="tx1"/>
                      </a:solidFill>
                      <a:latin typeface="+mn-lt"/>
                      <a:ea typeface="+mn-ea"/>
                      <a:cs typeface="+mn-cs"/>
                    </a:defRPr>
                  </a:pPr>
                  <a:endParaRPr lang="en-CA"/>
                </a:p>
              </c:txPr>
              <c:dLblPos val="ct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rect">
                      <a:avLst/>
                    </a:prstGeom>
                    <a:noFill/>
                    <a:ln>
                      <a:noFill/>
                    </a:ln>
                  </c15:spPr>
                  <c15:dlblFieldTable/>
                  <c15:showDataLabelsRange val="1"/>
                </c:ext>
                <c:ext xmlns:c16="http://schemas.microsoft.com/office/drawing/2014/chart" uri="{C3380CC4-5D6E-409C-BE32-E72D297353CC}">
                  <c16:uniqueId val="{00000001-BC72-487F-BE85-C16C5859678A}"/>
                </c:ext>
              </c:extLst>
            </c:dLbl>
            <c:numFmt formatCode="#,##0" sourceLinked="0"/>
            <c:spPr>
              <a:noFill/>
              <a:ln>
                <a:noFill/>
              </a:ln>
              <a:effectLst/>
            </c:spPr>
            <c:txPr>
              <a:bodyPr rot="0" spcFirstLastPara="1" vertOverflow="overflow" horzOverflow="overflow" vert="horz" wrap="none" lIns="36000" tIns="0" rIns="36000" bIns="0" anchor="ctr" anchorCtr="0">
                <a:spAutoFit/>
              </a:bodyPr>
              <a:lstStyle/>
              <a:p>
                <a:pPr>
                  <a:defRPr sz="1400" b="1" i="0" u="none" strike="noStrike" kern="1200" baseline="0">
                    <a:solidFill>
                      <a:schemeClr val="tx1"/>
                    </a:solidFill>
                    <a:latin typeface="+mn-lt"/>
                    <a:ea typeface="+mn-ea"/>
                    <a:cs typeface="+mn-cs"/>
                  </a:defRPr>
                </a:pPr>
                <a:endParaRPr lang="en-US"/>
              </a:p>
            </c:txPr>
            <c:dLblPos val="in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numRef>
              <c:f>'RESULTS OLD'!$Q$7:$Q$8</c:f>
              <c:numCache>
                <c:formatCode>General</c:formatCode>
                <c:ptCount val="2"/>
              </c:numCache>
            </c:numRef>
          </c:cat>
          <c:val>
            <c:numRef>
              <c:f>Data!$Y$4</c:f>
              <c:numCache>
                <c:formatCode>General</c:formatCode>
                <c:ptCount val="1"/>
                <c:pt idx="0">
                  <c:v>0</c:v>
                </c:pt>
              </c:numCache>
            </c:numRef>
          </c:val>
          <c:extLst>
            <c:ext xmlns:c15="http://schemas.microsoft.com/office/drawing/2012/chart" uri="{02D57815-91ED-43cb-92C2-25804820EDAC}">
              <c15:datalabelsRange>
                <c15:f>Data!$W$4</c15:f>
                <c15:dlblRangeCache>
                  <c:ptCount val="1"/>
                  <c:pt idx="0">
                    <c:v>0</c:v>
                  </c:pt>
                </c15:dlblRangeCache>
              </c15:datalabelsRange>
            </c:ext>
            <c:ext xmlns:c16="http://schemas.microsoft.com/office/drawing/2014/chart" uri="{C3380CC4-5D6E-409C-BE32-E72D297353CC}">
              <c16:uniqueId val="{00000002-BC72-487F-BE85-C16C5859678A}"/>
            </c:ext>
          </c:extLst>
        </c:ser>
        <c:dLbls>
          <c:showLegendKey val="0"/>
          <c:showVal val="0"/>
          <c:showCatName val="0"/>
          <c:showSerName val="0"/>
          <c:showPercent val="0"/>
          <c:showBubbleSize val="0"/>
        </c:dLbls>
        <c:gapWidth val="0"/>
        <c:overlap val="100"/>
        <c:axId val="312253439"/>
        <c:axId val="312252191"/>
        <c:extLst/>
      </c:barChart>
      <c:catAx>
        <c:axId val="312253439"/>
        <c:scaling>
          <c:orientation val="minMax"/>
        </c:scaling>
        <c:delete val="1"/>
        <c:axPos val="l"/>
        <c:numFmt formatCode="General" sourceLinked="1"/>
        <c:majorTickMark val="none"/>
        <c:minorTickMark val="none"/>
        <c:tickLblPos val="nextTo"/>
        <c:crossAx val="312252191"/>
        <c:crosses val="autoZero"/>
        <c:auto val="1"/>
        <c:lblAlgn val="ctr"/>
        <c:lblOffset val="100"/>
        <c:noMultiLvlLbl val="0"/>
      </c:catAx>
      <c:valAx>
        <c:axId val="312252191"/>
        <c:scaling>
          <c:orientation val="minMax"/>
          <c:max val="410"/>
          <c:min val="-50"/>
        </c:scaling>
        <c:delete val="0"/>
        <c:axPos val="b"/>
        <c:majorGridlines>
          <c:spPr>
            <a:ln w="22225" cap="flat" cmpd="sng" algn="ctr">
              <a:solidFill>
                <a:schemeClr val="bg1"/>
              </a:solidFill>
              <a:round/>
            </a:ln>
            <a:effectLst>
              <a:glow rad="63500">
                <a:schemeClr val="accent3">
                  <a:satMod val="175000"/>
                  <a:alpha val="40000"/>
                </a:schemeClr>
              </a:glow>
            </a:effectLst>
          </c:spPr>
        </c:majorGridlines>
        <c:numFmt formatCode="#,##0_ ;\-#,##0\ " sourceLinked="0"/>
        <c:majorTickMark val="none"/>
        <c:minorTickMark val="none"/>
        <c:tickLblPos val="nextTo"/>
        <c:spPr>
          <a:noFill/>
          <a:ln>
            <a:noFill/>
          </a:ln>
          <a:effectLst/>
        </c:spPr>
        <c:txPr>
          <a:bodyPr rot="-60000000" spcFirstLastPara="1" vertOverflow="ellipsis" vert="horz" wrap="square" anchor="t" anchorCtr="1"/>
          <a:lstStyle/>
          <a:p>
            <a:pPr>
              <a:defRPr sz="700" b="1" i="0" u="none" strike="noStrike" kern="1200" baseline="0">
                <a:solidFill>
                  <a:schemeClr val="tx1"/>
                </a:solidFill>
                <a:latin typeface="+mn-lt"/>
                <a:ea typeface="+mn-ea"/>
                <a:cs typeface="+mn-cs"/>
              </a:defRPr>
            </a:pPr>
            <a:endParaRPr lang="en-US"/>
          </a:p>
        </c:txPr>
        <c:crossAx val="312253439"/>
        <c:crosses val="autoZero"/>
        <c:crossBetween val="between"/>
        <c:majorUnit val="50"/>
        <c:minorUnit val="50"/>
      </c:valAx>
      <c:spPr>
        <a:noFill/>
        <a:ln>
          <a:noFill/>
        </a:ln>
        <a:effectLst>
          <a:glow>
            <a:schemeClr val="accent1">
              <a:alpha val="40000"/>
            </a:schemeClr>
          </a:glow>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a:gsLst>
        <a:gs pos="21000">
          <a:srgbClr val="40A432"/>
        </a:gs>
        <a:gs pos="43000">
          <a:srgbClr val="92D050"/>
        </a:gs>
        <a:gs pos="73000">
          <a:srgbClr val="FFA401"/>
        </a:gs>
        <a:gs pos="58000">
          <a:srgbClr val="FFFF00"/>
        </a:gs>
        <a:gs pos="87000">
          <a:srgbClr val="FF0000"/>
        </a:gs>
      </a:gsLst>
      <a:lin ang="0" scaled="0"/>
    </a:gradFill>
    <a:ln w="19050" cap="flat" cmpd="sng" algn="ctr">
      <a:noFill/>
      <a:round/>
    </a:ln>
    <a:effectLst/>
  </c:spPr>
  <c:txPr>
    <a:bodyPr/>
    <a:lstStyle/>
    <a:p>
      <a:pPr>
        <a:defRPr/>
      </a:pPr>
      <a:endParaRPr lang="en-US"/>
    </a:p>
  </c:txPr>
  <c:printSettings>
    <c:headerFooter/>
    <c:pageMargins b="0.15748031496062992" l="0" r="0" t="0.15748031496062992" header="0.31496062992125984" footer="0.31496062992125984"/>
    <c:pageSetup orientation="portrait"/>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504194599090322"/>
          <c:y val="0.17571620883055614"/>
          <c:w val="0.73734108873995474"/>
          <c:h val="0.765151693826849"/>
        </c:manualLayout>
      </c:layout>
      <c:barChart>
        <c:barDir val="bar"/>
        <c:grouping val="clustered"/>
        <c:varyColors val="0"/>
        <c:ser>
          <c:idx val="13"/>
          <c:order val="0"/>
          <c:tx>
            <c:strRef>
              <c:f>Data!$N$29</c:f>
              <c:strCache>
                <c:ptCount val="1"/>
                <c:pt idx="0">
                  <c:v>User-Defined</c:v>
                </c:pt>
              </c:strCache>
            </c:strRef>
          </c:tx>
          <c:spPr>
            <a:solidFill>
              <a:srgbClr val="F1975A"/>
            </a:solidFill>
            <a:ln>
              <a:noFill/>
            </a:ln>
            <a:effectLst/>
          </c:spPr>
          <c:invertIfNegative val="0"/>
          <c:dLbls>
            <c:spPr>
              <a:noFill/>
              <a:ln>
                <a:noFill/>
              </a:ln>
              <a:effectLst/>
            </c:spPr>
            <c:txPr>
              <a:bodyPr rot="0" spcFirstLastPara="1" vertOverflow="overflow" horzOverflow="overflow" vert="horz" wrap="none" lIns="38100" tIns="19050" rIns="38100" bIns="19050"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val>
            <c:numRef>
              <c:f>Data!$O$29</c:f>
              <c:numCache>
                <c:formatCode>#,##0</c:formatCode>
                <c:ptCount val="1"/>
                <c:pt idx="0">
                  <c:v>0</c:v>
                </c:pt>
              </c:numCache>
            </c:numRef>
          </c:val>
          <c:extLst>
            <c:ext xmlns:c16="http://schemas.microsoft.com/office/drawing/2014/chart" uri="{C3380CC4-5D6E-409C-BE32-E72D297353CC}">
              <c16:uniqueId val="{00000005-AE9C-4C49-AA1F-6736FD2DBB52}"/>
            </c:ext>
          </c:extLst>
        </c:ser>
        <c:ser>
          <c:idx val="12"/>
          <c:order val="1"/>
          <c:tx>
            <c:strRef>
              <c:f>Data!$N$28</c:f>
              <c:strCache>
                <c:ptCount val="1"/>
                <c:pt idx="0">
                  <c:v>Garage</c:v>
                </c:pt>
              </c:strCache>
            </c:strRef>
          </c:tx>
          <c:spPr>
            <a:solidFill>
              <a:srgbClr val="8E95DA"/>
            </a:solidFill>
            <a:ln>
              <a:noFill/>
            </a:ln>
            <a:effectLst/>
          </c:spPr>
          <c:invertIfNegative val="0"/>
          <c:dLbls>
            <c:spPr>
              <a:noFill/>
              <a:ln>
                <a:noFill/>
              </a:ln>
              <a:effectLst/>
            </c:spPr>
            <c:txPr>
              <a:bodyPr rot="0" spcFirstLastPara="1" vertOverflow="overflow" horzOverflow="overflow" vert="horz" wrap="none" lIns="38100" tIns="19050" rIns="38100" bIns="19050"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Data!$O$28</c:f>
              <c:numCache>
                <c:formatCode>#,##0</c:formatCode>
                <c:ptCount val="1"/>
                <c:pt idx="0">
                  <c:v>0</c:v>
                </c:pt>
              </c:numCache>
            </c:numRef>
          </c:val>
          <c:extLst>
            <c:ext xmlns:c16="http://schemas.microsoft.com/office/drawing/2014/chart" uri="{C3380CC4-5D6E-409C-BE32-E72D297353CC}">
              <c16:uniqueId val="{00000003-AE9C-4C49-AA1F-6736FD2DBB52}"/>
            </c:ext>
          </c:extLst>
        </c:ser>
        <c:ser>
          <c:idx val="10"/>
          <c:order val="2"/>
          <c:tx>
            <c:strRef>
              <c:f>Data!$N$27</c:f>
              <c:strCache>
                <c:ptCount val="1"/>
                <c:pt idx="0">
                  <c:v>Roof</c:v>
                </c:pt>
              </c:strCache>
            </c:strRef>
          </c:tx>
          <c:spPr>
            <a:solidFill>
              <a:srgbClr val="2C9898"/>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0"/>
              </c:ext>
            </c:extLst>
          </c:dLbls>
          <c:cat>
            <c:strLit>
              <c:ptCount val="1"/>
              <c:pt idx="0">
                <c:v>kg CO2e</c:v>
              </c:pt>
            </c:strLit>
          </c:cat>
          <c:val>
            <c:numRef>
              <c:f>Data!$O$27</c:f>
              <c:numCache>
                <c:formatCode>#,##0</c:formatCode>
                <c:ptCount val="1"/>
                <c:pt idx="0">
                  <c:v>0</c:v>
                </c:pt>
              </c:numCache>
            </c:numRef>
          </c:val>
          <c:extLst>
            <c:ext xmlns:c16="http://schemas.microsoft.com/office/drawing/2014/chart" uri="{C3380CC4-5D6E-409C-BE32-E72D297353CC}">
              <c16:uniqueId val="{00000016-C8B1-4B04-9179-29679410CB55}"/>
            </c:ext>
          </c:extLst>
        </c:ser>
        <c:ser>
          <c:idx val="9"/>
          <c:order val="3"/>
          <c:tx>
            <c:strRef>
              <c:f>Data!$N$26</c:f>
              <c:strCache>
                <c:ptCount val="1"/>
                <c:pt idx="0">
                  <c:v>Ceilings</c:v>
                </c:pt>
              </c:strCache>
            </c:strRef>
          </c:tx>
          <c:spPr>
            <a:solidFill>
              <a:schemeClr val="tx2">
                <a:lumMod val="65000"/>
                <a:lumOff val="35000"/>
              </a:schemeClr>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Data!$O$26</c:f>
              <c:numCache>
                <c:formatCode>#,##0</c:formatCode>
                <c:ptCount val="1"/>
                <c:pt idx="0">
                  <c:v>0</c:v>
                </c:pt>
              </c:numCache>
            </c:numRef>
          </c:val>
          <c:extLst>
            <c:ext xmlns:c16="http://schemas.microsoft.com/office/drawing/2014/chart" uri="{C3380CC4-5D6E-409C-BE32-E72D297353CC}">
              <c16:uniqueId val="{00000015-C8B1-4B04-9179-29679410CB55}"/>
            </c:ext>
          </c:extLst>
        </c:ser>
        <c:ser>
          <c:idx val="8"/>
          <c:order val="4"/>
          <c:tx>
            <c:strRef>
              <c:f>Data!$N$25</c:f>
              <c:strCache>
                <c:ptCount val="1"/>
                <c:pt idx="0">
                  <c:v>Floors</c:v>
                </c:pt>
              </c:strCache>
            </c:strRef>
          </c:tx>
          <c:spPr>
            <a:solidFill>
              <a:srgbClr val="C89632"/>
            </a:solidFill>
            <a:ln>
              <a:noFill/>
            </a:ln>
            <a:effectLst/>
          </c:spPr>
          <c:invertIfNegative val="0"/>
          <c:dPt>
            <c:idx val="0"/>
            <c:invertIfNegative val="0"/>
            <c:bubble3D val="0"/>
            <c:spPr>
              <a:solidFill>
                <a:srgbClr val="A07828"/>
              </a:solidFill>
              <a:ln>
                <a:noFill/>
              </a:ln>
              <a:effectLst/>
            </c:spPr>
            <c:extLst>
              <c:ext xmlns:c16="http://schemas.microsoft.com/office/drawing/2014/chart" uri="{C3380CC4-5D6E-409C-BE32-E72D297353CC}">
                <c16:uniqueId val="{00000001-9962-4BA9-8916-AF2D712B4BF3}"/>
              </c:ext>
            </c:extLst>
          </c:dPt>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Data!$O$25</c:f>
              <c:numCache>
                <c:formatCode>#,##0</c:formatCode>
                <c:ptCount val="1"/>
                <c:pt idx="0">
                  <c:v>0</c:v>
                </c:pt>
              </c:numCache>
            </c:numRef>
          </c:val>
          <c:extLst>
            <c:ext xmlns:c16="http://schemas.microsoft.com/office/drawing/2014/chart" uri="{C3380CC4-5D6E-409C-BE32-E72D297353CC}">
              <c16:uniqueId val="{00000014-C8B1-4B04-9179-29679410CB55}"/>
            </c:ext>
          </c:extLst>
        </c:ser>
        <c:ser>
          <c:idx val="4"/>
          <c:order val="5"/>
          <c:tx>
            <c:strRef>
              <c:f>Data!$N$24</c:f>
              <c:strCache>
                <c:ptCount val="1"/>
                <c:pt idx="0">
                  <c:v>Int. Walls</c:v>
                </c:pt>
              </c:strCache>
            </c:strRef>
          </c:tx>
          <c:spPr>
            <a:solidFill>
              <a:schemeClr val="accent6"/>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Data!$O$24</c:f>
              <c:numCache>
                <c:formatCode>#,##0</c:formatCode>
                <c:ptCount val="1"/>
                <c:pt idx="0">
                  <c:v>0</c:v>
                </c:pt>
              </c:numCache>
            </c:numRef>
          </c:val>
          <c:extLst>
            <c:ext xmlns:c16="http://schemas.microsoft.com/office/drawing/2014/chart" uri="{C3380CC4-5D6E-409C-BE32-E72D297353CC}">
              <c16:uniqueId val="{00000010-C8B1-4B04-9179-29679410CB55}"/>
            </c:ext>
          </c:extLst>
        </c:ser>
        <c:ser>
          <c:idx val="7"/>
          <c:order val="6"/>
          <c:tx>
            <c:strRef>
              <c:f>Data!$N$23</c:f>
              <c:strCache>
                <c:ptCount val="1"/>
                <c:pt idx="0">
                  <c:v>Windows</c:v>
                </c:pt>
              </c:strCache>
            </c:strRef>
          </c:tx>
          <c:spPr>
            <a:solidFill>
              <a:schemeClr val="accent2">
                <a:lumMod val="75000"/>
              </a:schemeClr>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Data!$O$23</c:f>
              <c:numCache>
                <c:formatCode>#,##0</c:formatCode>
                <c:ptCount val="1"/>
                <c:pt idx="0">
                  <c:v>0</c:v>
                </c:pt>
              </c:numCache>
            </c:numRef>
          </c:val>
          <c:extLst>
            <c:ext xmlns:c16="http://schemas.microsoft.com/office/drawing/2014/chart" uri="{C3380CC4-5D6E-409C-BE32-E72D297353CC}">
              <c16:uniqueId val="{00000013-C8B1-4B04-9179-29679410CB55}"/>
            </c:ext>
          </c:extLst>
        </c:ser>
        <c:ser>
          <c:idx val="5"/>
          <c:order val="7"/>
          <c:tx>
            <c:strRef>
              <c:f>Data!$N$22</c:f>
              <c:strCache>
                <c:ptCount val="1"/>
                <c:pt idx="0">
                  <c:v>Cladding</c:v>
                </c:pt>
              </c:strCache>
            </c:strRef>
          </c:tx>
          <c:spPr>
            <a:solidFill>
              <a:schemeClr val="accent1">
                <a:lumMod val="75000"/>
              </a:schemeClr>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Data!$O$22</c:f>
              <c:numCache>
                <c:formatCode>#,##0</c:formatCode>
                <c:ptCount val="1"/>
                <c:pt idx="0">
                  <c:v>0</c:v>
                </c:pt>
              </c:numCache>
            </c:numRef>
          </c:val>
          <c:extLst>
            <c:ext xmlns:c16="http://schemas.microsoft.com/office/drawing/2014/chart" uri="{C3380CC4-5D6E-409C-BE32-E72D297353CC}">
              <c16:uniqueId val="{00000011-C8B1-4B04-9179-29679410CB55}"/>
            </c:ext>
          </c:extLst>
        </c:ser>
        <c:ser>
          <c:idx val="11"/>
          <c:order val="8"/>
          <c:tx>
            <c:strRef>
              <c:f>Data!$N$21</c:f>
              <c:strCache>
                <c:ptCount val="1"/>
                <c:pt idx="0">
                  <c:v>Party Walls</c:v>
                </c:pt>
              </c:strCache>
            </c:strRef>
          </c:tx>
          <c:spPr>
            <a:solidFill>
              <a:srgbClr val="F39F9F"/>
            </a:solidFill>
            <a:ln>
              <a:noFill/>
            </a:ln>
            <a:effectLst/>
          </c:spPr>
          <c:invertIfNegative val="0"/>
          <c:dLbls>
            <c:spPr>
              <a:noFill/>
              <a:ln>
                <a:noFill/>
              </a:ln>
              <a:effectLst/>
            </c:spPr>
            <c:txPr>
              <a:bodyPr rot="0" spcFirstLastPara="1" vertOverflow="overflow" horzOverflow="overflow" vert="horz" wrap="none" lIns="38100" tIns="19050" rIns="38100" bIns="19050"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Data!$O$21</c:f>
              <c:numCache>
                <c:formatCode>#,##0</c:formatCode>
                <c:ptCount val="1"/>
                <c:pt idx="0">
                  <c:v>0</c:v>
                </c:pt>
              </c:numCache>
            </c:numRef>
          </c:val>
          <c:extLst>
            <c:ext xmlns:c16="http://schemas.microsoft.com/office/drawing/2014/chart" uri="{C3380CC4-5D6E-409C-BE32-E72D297353CC}">
              <c16:uniqueId val="{00000002-AE9C-4C49-AA1F-6736FD2DBB52}"/>
            </c:ext>
          </c:extLst>
        </c:ser>
        <c:ser>
          <c:idx val="6"/>
          <c:order val="9"/>
          <c:tx>
            <c:strRef>
              <c:f>Data!$N$20</c:f>
              <c:strCache>
                <c:ptCount val="1"/>
                <c:pt idx="0">
                  <c:v>Ext. Wall Systems</c:v>
                </c:pt>
              </c:strCache>
            </c:strRef>
          </c:tx>
          <c:spPr>
            <a:solidFill>
              <a:schemeClr val="accent6">
                <a:lumMod val="40000"/>
                <a:lumOff val="60000"/>
              </a:schemeClr>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Data!$O$20</c:f>
              <c:numCache>
                <c:formatCode>#,##0</c:formatCode>
                <c:ptCount val="1"/>
                <c:pt idx="0">
                  <c:v>0</c:v>
                </c:pt>
              </c:numCache>
            </c:numRef>
          </c:val>
          <c:extLst>
            <c:ext xmlns:c16="http://schemas.microsoft.com/office/drawing/2014/chart" uri="{C3380CC4-5D6E-409C-BE32-E72D297353CC}">
              <c16:uniqueId val="{00000012-C8B1-4B04-9179-29679410CB55}"/>
            </c:ext>
          </c:extLst>
        </c:ser>
        <c:ser>
          <c:idx val="3"/>
          <c:order val="10"/>
          <c:tx>
            <c:strRef>
              <c:f>Data!$N$19</c:f>
              <c:strCache>
                <c:ptCount val="1"/>
                <c:pt idx="0">
                  <c:v>Ext. Walls</c:v>
                </c:pt>
              </c:strCache>
            </c:strRef>
          </c:tx>
          <c:spPr>
            <a:solidFill>
              <a:schemeClr val="accent5"/>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Data!$O$19</c:f>
              <c:numCache>
                <c:formatCode>#,##0</c:formatCode>
                <c:ptCount val="1"/>
                <c:pt idx="0">
                  <c:v>0</c:v>
                </c:pt>
              </c:numCache>
            </c:numRef>
          </c:val>
          <c:extLst>
            <c:ext xmlns:c16="http://schemas.microsoft.com/office/drawing/2014/chart" uri="{C3380CC4-5D6E-409C-BE32-E72D297353CC}">
              <c16:uniqueId val="{0000000F-C8B1-4B04-9179-29679410CB55}"/>
            </c:ext>
          </c:extLst>
        </c:ser>
        <c:ser>
          <c:idx val="2"/>
          <c:order val="11"/>
          <c:tx>
            <c:strRef>
              <c:f>Data!$N$18</c:f>
              <c:strCache>
                <c:ptCount val="1"/>
                <c:pt idx="0">
                  <c:v>Structural Elements</c:v>
                </c:pt>
              </c:strCache>
            </c:strRef>
          </c:tx>
          <c:spPr>
            <a:solidFill>
              <a:schemeClr val="accent4"/>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Data!$O$18</c:f>
              <c:numCache>
                <c:formatCode>#,##0</c:formatCode>
                <c:ptCount val="1"/>
                <c:pt idx="0">
                  <c:v>0</c:v>
                </c:pt>
              </c:numCache>
            </c:numRef>
          </c:val>
          <c:extLst>
            <c:ext xmlns:c16="http://schemas.microsoft.com/office/drawing/2014/chart" uri="{C3380CC4-5D6E-409C-BE32-E72D297353CC}">
              <c16:uniqueId val="{0000000E-C8B1-4B04-9179-29679410CB55}"/>
            </c:ext>
          </c:extLst>
        </c:ser>
        <c:ser>
          <c:idx val="1"/>
          <c:order val="12"/>
          <c:tx>
            <c:strRef>
              <c:f>Data!$N$17</c:f>
              <c:strCache>
                <c:ptCount val="1"/>
                <c:pt idx="0">
                  <c:v>Foundation Walls</c:v>
                </c:pt>
              </c:strCache>
            </c:strRef>
          </c:tx>
          <c:spPr>
            <a:solidFill>
              <a:schemeClr val="bg2">
                <a:lumMod val="75000"/>
              </a:schemeClr>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Data!$O$17</c:f>
              <c:numCache>
                <c:formatCode>#,##0</c:formatCode>
                <c:ptCount val="1"/>
                <c:pt idx="0">
                  <c:v>0</c:v>
                </c:pt>
              </c:numCache>
            </c:numRef>
          </c:val>
          <c:extLst>
            <c:ext xmlns:c16="http://schemas.microsoft.com/office/drawing/2014/chart" uri="{C3380CC4-5D6E-409C-BE32-E72D297353CC}">
              <c16:uniqueId val="{00000000-C8B1-4B04-9179-29679410CB55}"/>
            </c:ext>
          </c:extLst>
        </c:ser>
        <c:ser>
          <c:idx val="0"/>
          <c:order val="13"/>
          <c:tx>
            <c:strRef>
              <c:f>Data!$N$16</c:f>
              <c:strCache>
                <c:ptCount val="1"/>
                <c:pt idx="0">
                  <c:v>Footings &amp; Slabs</c:v>
                </c:pt>
              </c:strCache>
            </c:strRef>
          </c:tx>
          <c:spPr>
            <a:solidFill>
              <a:srgbClr val="C1DD69"/>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Data!$O$16</c:f>
              <c:numCache>
                <c:formatCode>#,##0</c:formatCode>
                <c:ptCount val="1"/>
                <c:pt idx="0">
                  <c:v>0</c:v>
                </c:pt>
              </c:numCache>
            </c:numRef>
          </c:val>
          <c:extLst>
            <c:ext xmlns:c16="http://schemas.microsoft.com/office/drawing/2014/chart" uri="{C3380CC4-5D6E-409C-BE32-E72D297353CC}">
              <c16:uniqueId val="{0000000B-C8B1-4B04-9179-29679410CB55}"/>
            </c:ext>
          </c:extLst>
        </c:ser>
        <c:dLbls>
          <c:showLegendKey val="0"/>
          <c:showVal val="1"/>
          <c:showCatName val="0"/>
          <c:showSerName val="0"/>
          <c:showPercent val="0"/>
          <c:showBubbleSize val="0"/>
        </c:dLbls>
        <c:gapWidth val="50"/>
        <c:axId val="461850047"/>
        <c:axId val="461850463"/>
      </c:barChart>
      <c:catAx>
        <c:axId val="461850047"/>
        <c:scaling>
          <c:orientation val="minMax"/>
        </c:scaling>
        <c:delete val="0"/>
        <c:axPos val="l"/>
        <c:numFmt formatCode="General" sourceLinked="1"/>
        <c:majorTickMark val="none"/>
        <c:minorTickMark val="none"/>
        <c:tickLblPos val="nextTo"/>
        <c:spPr>
          <a:solidFill>
            <a:schemeClr val="bg1"/>
          </a:solidFill>
          <a:ln w="12700" cap="sq" cmpd="sng" algn="ctr">
            <a:solidFill>
              <a:schemeClr val="tx1">
                <a:lumMod val="75000"/>
                <a:lumOff val="25000"/>
              </a:schemeClr>
            </a:solidFill>
            <a:round/>
          </a:ln>
          <a:effectLst/>
        </c:spPr>
        <c:txPr>
          <a:bodyPr rot="-60000000" spcFirstLastPara="1" vertOverflow="ellipsis" vert="horz" wrap="square" anchor="ctr" anchorCtr="1"/>
          <a:lstStyle/>
          <a:p>
            <a:pPr>
              <a:defRPr sz="900" b="0" i="0" u="none" strike="noStrike" baseline="0">
                <a:noFill/>
                <a:latin typeface="Arial" panose="020B0604020202020204" pitchFamily="34" charset="0"/>
                <a:ea typeface="+mn-ea"/>
                <a:cs typeface="Arial" panose="020B0604020202020204" pitchFamily="34" charset="0"/>
              </a:defRPr>
            </a:pPr>
            <a:endParaRPr lang="en-US"/>
          </a:p>
        </c:txPr>
        <c:crossAx val="461850463"/>
        <c:crosses val="autoZero"/>
        <c:auto val="1"/>
        <c:lblAlgn val="ctr"/>
        <c:lblOffset val="100"/>
        <c:noMultiLvlLbl val="0"/>
      </c:catAx>
      <c:valAx>
        <c:axId val="46185046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lgn="ctr" rtl="0">
                  <a:defRPr sz="1200" b="0" i="0" u="none" strike="noStrike" baseline="0">
                    <a:solidFill>
                      <a:sysClr val="windowText" lastClr="000000"/>
                    </a:solidFill>
                    <a:latin typeface="Arial" panose="020B0604020202020204" pitchFamily="34" charset="0"/>
                    <a:ea typeface="+mn-ea"/>
                    <a:cs typeface="Arial" panose="020B0604020202020204" pitchFamily="34" charset="0"/>
                  </a:defRPr>
                </a:pPr>
                <a:r>
                  <a:rPr lang="en-US" sz="1200" b="0" i="0" u="none" strike="noStrike" baseline="0">
                    <a:solidFill>
                      <a:schemeClr val="tx1">
                        <a:lumMod val="75000"/>
                        <a:lumOff val="25000"/>
                      </a:schemeClr>
                    </a:solidFill>
                    <a:latin typeface="Arial" panose="020B0604020202020204" pitchFamily="34" charset="0"/>
                    <a:ea typeface="+mn-ea"/>
                    <a:cs typeface="Arial" panose="020B0604020202020204" pitchFamily="34" charset="0"/>
                  </a:rPr>
                  <a:t>Marterial Carbon Emissions, kg CO</a:t>
                </a:r>
                <a:r>
                  <a:rPr lang="en-US" sz="1200" b="0" i="0" u="none" strike="noStrike" baseline="-25000">
                    <a:solidFill>
                      <a:schemeClr val="tx1">
                        <a:lumMod val="75000"/>
                        <a:lumOff val="25000"/>
                      </a:schemeClr>
                    </a:solidFill>
                    <a:latin typeface="Arial" panose="020B0604020202020204" pitchFamily="34" charset="0"/>
                    <a:ea typeface="+mn-ea"/>
                    <a:cs typeface="Arial" panose="020B0604020202020204" pitchFamily="34" charset="0"/>
                  </a:rPr>
                  <a:t>2</a:t>
                </a:r>
                <a:r>
                  <a:rPr lang="en-US" sz="1200" b="0" i="0" u="none" strike="noStrike" baseline="0">
                    <a:solidFill>
                      <a:schemeClr val="tx1">
                        <a:lumMod val="75000"/>
                        <a:lumOff val="25000"/>
                      </a:schemeClr>
                    </a:solidFill>
                    <a:latin typeface="Arial" panose="020B0604020202020204" pitchFamily="34" charset="0"/>
                    <a:ea typeface="+mn-ea"/>
                    <a:cs typeface="Arial" panose="020B0604020202020204" pitchFamily="34" charset="0"/>
                  </a:rPr>
                  <a:t>e</a:t>
                </a:r>
              </a:p>
            </c:rich>
          </c:tx>
          <c:layout>
            <c:manualLayout>
              <c:xMode val="edge"/>
              <c:yMode val="edge"/>
              <c:x val="0.2767549892730764"/>
              <c:y val="2.7130746307296508E-2"/>
            </c:manualLayout>
          </c:layout>
          <c:overlay val="0"/>
          <c:spPr>
            <a:noFill/>
            <a:ln>
              <a:noFill/>
            </a:ln>
            <a:effectLst/>
          </c:spPr>
        </c:title>
        <c:numFmt formatCode="#,##0" sourceLinked="0"/>
        <c:majorTickMark val="out"/>
        <c:minorTickMark val="none"/>
        <c:tickLblPos val="high"/>
        <c:spPr>
          <a:noFill/>
          <a:ln>
            <a:noFill/>
          </a:ln>
          <a:effectLst/>
        </c:spPr>
        <c:txPr>
          <a:bodyPr rot="-60000000" spcFirstLastPara="1" vertOverflow="ellipsis" vert="horz" wrap="square" anchor="ctr" anchorCtr="1"/>
          <a:lstStyle/>
          <a:p>
            <a:pPr>
              <a:defRPr sz="7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461850047"/>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w="9525" cap="flat" cmpd="sng" algn="ctr">
      <a:solidFill>
        <a:schemeClr val="tx1"/>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a:defRPr sz="1200" b="0" i="0" u="none" strike="noStrike" kern="1200" spc="0" baseline="0">
                <a:solidFill>
                  <a:schemeClr val="tx2"/>
                </a:solidFill>
                <a:latin typeface="Arial" panose="020B0604020202020204" pitchFamily="34" charset="0"/>
                <a:ea typeface="+mn-ea"/>
                <a:cs typeface="Arial" panose="020B0604020202020204" pitchFamily="34" charset="0"/>
              </a:defRPr>
            </a:pPr>
            <a:r>
              <a:rPr lang="en-US" sz="1200">
                <a:solidFill>
                  <a:schemeClr val="tx2"/>
                </a:solidFill>
                <a:latin typeface="Arial" panose="020B0604020202020204" pitchFamily="34" charset="0"/>
                <a:cs typeface="Arial" panose="020B0604020202020204" pitchFamily="34" charset="0"/>
              </a:rPr>
              <a:t>Cumulative Carbon Emissions</a:t>
            </a:r>
          </a:p>
        </c:rich>
      </c:tx>
      <c:layout>
        <c:manualLayout>
          <c:xMode val="edge"/>
          <c:yMode val="edge"/>
          <c:x val="0.30217058470276931"/>
          <c:y val="2.6623465929175118E-2"/>
        </c:manualLayout>
      </c:layout>
      <c:overlay val="0"/>
      <c:spPr>
        <a:noFill/>
        <a:ln>
          <a:noFill/>
        </a:ln>
        <a:effectLst/>
      </c:spPr>
    </c:title>
    <c:autoTitleDeleted val="0"/>
    <c:plotArea>
      <c:layout>
        <c:manualLayout>
          <c:layoutTarget val="inner"/>
          <c:xMode val="edge"/>
          <c:yMode val="edge"/>
          <c:x val="0.11545352883591646"/>
          <c:y val="0.19797846506701855"/>
          <c:w val="0.79715307552418646"/>
          <c:h val="0.65653134228026788"/>
        </c:manualLayout>
      </c:layout>
      <c:areaChart>
        <c:grouping val="stacked"/>
        <c:varyColors val="0"/>
        <c:ser>
          <c:idx val="3"/>
          <c:order val="0"/>
          <c:tx>
            <c:strRef>
              <c:f>MCE2_operational_carbon_2050!$A$3</c:f>
              <c:strCache>
                <c:ptCount val="1"/>
                <c:pt idx="0">
                  <c:v>Material Embodied Carbon</c:v>
                </c:pt>
              </c:strCache>
            </c:strRef>
          </c:tx>
          <c:spPr>
            <a:ln>
              <a:solidFill>
                <a:srgbClr val="FF0000"/>
              </a:solidFill>
              <a:prstDash val="dash"/>
            </a:ln>
          </c:spPr>
          <c:dLbls>
            <c:dLbl>
              <c:idx val="30"/>
              <c:spPr>
                <a:noFill/>
                <a:ln>
                  <a:noFill/>
                </a:ln>
                <a:effectLst/>
              </c:spPr>
              <c:txPr>
                <a:bodyPr wrap="square" lIns="0" tIns="19050" rIns="0" bIns="19050" anchor="ctr">
                  <a:spAutoFit/>
                </a:bodyPr>
                <a:lstStyle/>
                <a:p>
                  <a:pPr>
                    <a:defRPr sz="900"/>
                  </a:pPr>
                  <a:endParaRPr lang="en-US"/>
                </a:p>
              </c:txP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4-FAD1-4E01-9F4C-EC50BFBAE9AE}"/>
                </c:ext>
              </c:extLst>
            </c:dLbl>
            <c:spPr>
              <a:noFill/>
              <a:ln>
                <a:noFill/>
              </a:ln>
              <a:effectLst/>
            </c:spPr>
            <c:showLegendKey val="0"/>
            <c:showVal val="0"/>
            <c:showCatName val="0"/>
            <c:showSerName val="0"/>
            <c:showPercent val="0"/>
            <c:showBubbleSize val="0"/>
            <c:extLst>
              <c:ext xmlns:c15="http://schemas.microsoft.com/office/drawing/2012/chart" uri="{CE6537A1-D6FC-4f65-9D91-7224C49458BB}">
                <c15:showLeaderLines val="1"/>
              </c:ext>
            </c:extLst>
          </c:dLbls>
          <c:cat>
            <c:numRef>
              <c:f>MCE2_operational_carbon_2050!$B$2:$AB$2</c:f>
              <c:numCache>
                <c:formatCode>General</c:formatCode>
                <c:ptCount val="27"/>
                <c:pt idx="0">
                  <c:v>2024</c:v>
                </c:pt>
                <c:pt idx="1">
                  <c:v>2025</c:v>
                </c:pt>
                <c:pt idx="2">
                  <c:v>2026</c:v>
                </c:pt>
                <c:pt idx="3">
                  <c:v>2027</c:v>
                </c:pt>
                <c:pt idx="4">
                  <c:v>2028</c:v>
                </c:pt>
                <c:pt idx="5">
                  <c:v>2029</c:v>
                </c:pt>
                <c:pt idx="6">
                  <c:v>2030</c:v>
                </c:pt>
                <c:pt idx="7">
                  <c:v>2031</c:v>
                </c:pt>
                <c:pt idx="8">
                  <c:v>2032</c:v>
                </c:pt>
                <c:pt idx="9">
                  <c:v>2033</c:v>
                </c:pt>
                <c:pt idx="10">
                  <c:v>2034</c:v>
                </c:pt>
                <c:pt idx="11">
                  <c:v>2035</c:v>
                </c:pt>
                <c:pt idx="12">
                  <c:v>2036</c:v>
                </c:pt>
                <c:pt idx="13">
                  <c:v>2037</c:v>
                </c:pt>
                <c:pt idx="14">
                  <c:v>2038</c:v>
                </c:pt>
                <c:pt idx="15">
                  <c:v>2039</c:v>
                </c:pt>
                <c:pt idx="16">
                  <c:v>2040</c:v>
                </c:pt>
                <c:pt idx="17">
                  <c:v>2041</c:v>
                </c:pt>
                <c:pt idx="18">
                  <c:v>2042</c:v>
                </c:pt>
                <c:pt idx="19">
                  <c:v>2043</c:v>
                </c:pt>
                <c:pt idx="20">
                  <c:v>2044</c:v>
                </c:pt>
                <c:pt idx="21">
                  <c:v>2045</c:v>
                </c:pt>
                <c:pt idx="22">
                  <c:v>2046</c:v>
                </c:pt>
                <c:pt idx="23">
                  <c:v>2047</c:v>
                </c:pt>
                <c:pt idx="24">
                  <c:v>2048</c:v>
                </c:pt>
                <c:pt idx="25">
                  <c:v>2049</c:v>
                </c:pt>
                <c:pt idx="26">
                  <c:v>2050</c:v>
                </c:pt>
              </c:numCache>
            </c:numRef>
          </c:cat>
          <c:val>
            <c:numRef>
              <c:f>MCE2_operational_carbon_2050!$B$3:$AB$3</c:f>
              <c:numCache>
                <c:formatCode>0</c:formatCode>
                <c:ptCount val="2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numCache>
            </c:numRef>
          </c:val>
          <c:extLst>
            <c:ext xmlns:c16="http://schemas.microsoft.com/office/drawing/2014/chart" uri="{C3380CC4-5D6E-409C-BE32-E72D297353CC}">
              <c16:uniqueId val="{00000005-FAD1-4E01-9F4C-EC50BFBAE9AE}"/>
            </c:ext>
          </c:extLst>
        </c:ser>
        <c:ser>
          <c:idx val="1"/>
          <c:order val="2"/>
          <c:tx>
            <c:strRef>
              <c:f>MCE2_operational_carbon_2050!$A$83</c:f>
              <c:strCache>
                <c:ptCount val="1"/>
                <c:pt idx="0">
                  <c:v>Electrical Grid Emissions</c:v>
                </c:pt>
              </c:strCache>
            </c:strRef>
          </c:tx>
          <c:val>
            <c:numRef>
              <c:f>MCE2_operational_carbon_2050!$B$83:$AB$83</c:f>
              <c:numCache>
                <c:formatCode>0.00</c:formatCode>
                <c:ptCount val="2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numCache>
            </c:numRef>
          </c:val>
          <c:extLst>
            <c:ext xmlns:c16="http://schemas.microsoft.com/office/drawing/2014/chart" uri="{C3380CC4-5D6E-409C-BE32-E72D297353CC}">
              <c16:uniqueId val="{00000002-DA0F-42B2-918F-A6465F22E6AF}"/>
            </c:ext>
          </c:extLst>
        </c:ser>
        <c:ser>
          <c:idx val="2"/>
          <c:order val="3"/>
          <c:tx>
            <c:strRef>
              <c:f>MCE2_operational_carbon_2050!$A$84</c:f>
              <c:strCache>
                <c:ptCount val="1"/>
                <c:pt idx="0">
                  <c:v>Natural Gas Emissions</c:v>
                </c:pt>
              </c:strCache>
            </c:strRef>
          </c:tx>
          <c:val>
            <c:numRef>
              <c:f>MCE2_operational_carbon_2050!$B$84:$AB$84</c:f>
              <c:numCache>
                <c:formatCode>0.00</c:formatCode>
                <c:ptCount val="2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numCache>
            </c:numRef>
          </c:val>
          <c:extLst>
            <c:ext xmlns:c16="http://schemas.microsoft.com/office/drawing/2014/chart" uri="{C3380CC4-5D6E-409C-BE32-E72D297353CC}">
              <c16:uniqueId val="{00000003-DA0F-42B2-918F-A6465F22E6AF}"/>
            </c:ext>
          </c:extLst>
        </c:ser>
        <c:ser>
          <c:idx val="4"/>
          <c:order val="4"/>
          <c:tx>
            <c:strRef>
              <c:f>MCE2_operational_carbon_2050!$A$85</c:f>
              <c:strCache>
                <c:ptCount val="1"/>
                <c:pt idx="0">
                  <c:v>Oil Emissions</c:v>
                </c:pt>
              </c:strCache>
            </c:strRef>
          </c:tx>
          <c:val>
            <c:numRef>
              <c:f>MCE2_operational_carbon_2050!$B$85:$AB$85</c:f>
              <c:numCache>
                <c:formatCode>0.00</c:formatCode>
                <c:ptCount val="2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numCache>
            </c:numRef>
          </c:val>
          <c:extLst>
            <c:ext xmlns:c16="http://schemas.microsoft.com/office/drawing/2014/chart" uri="{C3380CC4-5D6E-409C-BE32-E72D297353CC}">
              <c16:uniqueId val="{00000004-DA0F-42B2-918F-A6465F22E6AF}"/>
            </c:ext>
          </c:extLst>
        </c:ser>
        <c:ser>
          <c:idx val="5"/>
          <c:order val="5"/>
          <c:tx>
            <c:strRef>
              <c:f>MCE2_operational_carbon_2050!$A$86</c:f>
              <c:strCache>
                <c:ptCount val="1"/>
                <c:pt idx="0">
                  <c:v>Propane Emissions</c:v>
                </c:pt>
              </c:strCache>
            </c:strRef>
          </c:tx>
          <c:val>
            <c:numRef>
              <c:f>MCE2_operational_carbon_2050!$B$86:$AB$86</c:f>
              <c:numCache>
                <c:formatCode>0.00</c:formatCode>
                <c:ptCount val="2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numCache>
            </c:numRef>
          </c:val>
          <c:extLst>
            <c:ext xmlns:c16="http://schemas.microsoft.com/office/drawing/2014/chart" uri="{C3380CC4-5D6E-409C-BE32-E72D297353CC}">
              <c16:uniqueId val="{00000005-DA0F-42B2-918F-A6465F22E6AF}"/>
            </c:ext>
          </c:extLst>
        </c:ser>
        <c:ser>
          <c:idx val="6"/>
          <c:order val="6"/>
          <c:tx>
            <c:strRef>
              <c:f>MCE2_operational_carbon_2050!$A$87</c:f>
              <c:strCache>
                <c:ptCount val="1"/>
                <c:pt idx="0">
                  <c:v>Wood Emissions</c:v>
                </c:pt>
              </c:strCache>
            </c:strRef>
          </c:tx>
          <c:val>
            <c:numRef>
              <c:f>MCE2_operational_carbon_2050!$B$87:$AB$87</c:f>
              <c:numCache>
                <c:formatCode>0.00</c:formatCode>
                <c:ptCount val="2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numCache>
            </c:numRef>
          </c:val>
          <c:extLst>
            <c:ext xmlns:c16="http://schemas.microsoft.com/office/drawing/2014/chart" uri="{C3380CC4-5D6E-409C-BE32-E72D297353CC}">
              <c16:uniqueId val="{00000006-DA0F-42B2-918F-A6465F22E6AF}"/>
            </c:ext>
          </c:extLst>
        </c:ser>
        <c:dLbls>
          <c:showLegendKey val="0"/>
          <c:showVal val="0"/>
          <c:showCatName val="0"/>
          <c:showSerName val="0"/>
          <c:showPercent val="0"/>
          <c:showBubbleSize val="0"/>
        </c:dLbls>
        <c:axId val="1578372607"/>
        <c:axId val="1578373023"/>
        <c:extLst>
          <c:ext xmlns:c15="http://schemas.microsoft.com/office/drawing/2012/chart" uri="{02D57815-91ED-43cb-92C2-25804820EDAC}">
            <c15:filteredAreaSeries>
              <c15:ser>
                <c:idx val="0"/>
                <c:order val="1"/>
                <c:tx>
                  <c:strRef>
                    <c:extLst>
                      <c:ext uri="{02D57815-91ED-43cb-92C2-25804820EDAC}">
                        <c15:formulaRef>
                          <c15:sqref> </c15:sqref>
                        </c15:formulaRef>
                      </c:ext>
                    </c:extLst>
                  </c:strRef>
                </c:tx>
                <c:spPr>
                  <a:ln w="28575" cap="rnd">
                    <a:solidFill>
                      <a:schemeClr val="accent1"/>
                    </a:solidFill>
                    <a:round/>
                  </a:ln>
                  <a:effectLst/>
                </c:spPr>
                <c:cat>
                  <c:numRef>
                    <c:extLst>
                      <c:ext uri="{02D57815-91ED-43cb-92C2-25804820EDAC}">
                        <c15:formulaRef>
                          <c15:sqref>MCE2_operational_carbon_2050!$B$2:$AB$2</c15:sqref>
                        </c15:formulaRef>
                      </c:ext>
                    </c:extLst>
                    <c:numCache>
                      <c:formatCode>General</c:formatCode>
                      <c:ptCount val="27"/>
                      <c:pt idx="0">
                        <c:v>2024</c:v>
                      </c:pt>
                      <c:pt idx="1">
                        <c:v>2025</c:v>
                      </c:pt>
                      <c:pt idx="2">
                        <c:v>2026</c:v>
                      </c:pt>
                      <c:pt idx="3">
                        <c:v>2027</c:v>
                      </c:pt>
                      <c:pt idx="4">
                        <c:v>2028</c:v>
                      </c:pt>
                      <c:pt idx="5">
                        <c:v>2029</c:v>
                      </c:pt>
                      <c:pt idx="6">
                        <c:v>2030</c:v>
                      </c:pt>
                      <c:pt idx="7">
                        <c:v>2031</c:v>
                      </c:pt>
                      <c:pt idx="8">
                        <c:v>2032</c:v>
                      </c:pt>
                      <c:pt idx="9">
                        <c:v>2033</c:v>
                      </c:pt>
                      <c:pt idx="10">
                        <c:v>2034</c:v>
                      </c:pt>
                      <c:pt idx="11">
                        <c:v>2035</c:v>
                      </c:pt>
                      <c:pt idx="12">
                        <c:v>2036</c:v>
                      </c:pt>
                      <c:pt idx="13">
                        <c:v>2037</c:v>
                      </c:pt>
                      <c:pt idx="14">
                        <c:v>2038</c:v>
                      </c:pt>
                      <c:pt idx="15">
                        <c:v>2039</c:v>
                      </c:pt>
                      <c:pt idx="16">
                        <c:v>2040</c:v>
                      </c:pt>
                      <c:pt idx="17">
                        <c:v>2041</c:v>
                      </c:pt>
                      <c:pt idx="18">
                        <c:v>2042</c:v>
                      </c:pt>
                      <c:pt idx="19">
                        <c:v>2043</c:v>
                      </c:pt>
                      <c:pt idx="20">
                        <c:v>2044</c:v>
                      </c:pt>
                      <c:pt idx="21">
                        <c:v>2045</c:v>
                      </c:pt>
                      <c:pt idx="22">
                        <c:v>2046</c:v>
                      </c:pt>
                      <c:pt idx="23">
                        <c:v>2047</c:v>
                      </c:pt>
                      <c:pt idx="24">
                        <c:v>2048</c:v>
                      </c:pt>
                      <c:pt idx="25">
                        <c:v>2049</c:v>
                      </c:pt>
                      <c:pt idx="26">
                        <c:v>2050</c:v>
                      </c:pt>
                    </c:numCache>
                  </c:numRef>
                </c:cat>
                <c:val>
                  <c:numRef>
                    <c:extLst>
                      <c:ext uri="{02D57815-91ED-43cb-92C2-25804820EDAC}">
                        <c15:formulaRef>
                          <c15:sqref>Data!$R$3:$R$33</c15:sqref>
                        </c15:formulaRef>
                      </c:ext>
                    </c:extLst>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val>
                <c:extLst>
                  <c:ext xmlns:c16="http://schemas.microsoft.com/office/drawing/2014/chart" uri="{C3380CC4-5D6E-409C-BE32-E72D297353CC}">
                    <c16:uniqueId val="{00000006-FAD1-4E01-9F4C-EC50BFBAE9AE}"/>
                  </c:ext>
                </c:extLst>
              </c15:ser>
            </c15:filteredAreaSeries>
          </c:ext>
        </c:extLst>
      </c:areaChart>
      <c:catAx>
        <c:axId val="1578372607"/>
        <c:scaling>
          <c:orientation val="minMax"/>
        </c:scaling>
        <c:delete val="0"/>
        <c:axPos val="b"/>
        <c:majorGridlines>
          <c:spPr>
            <a:ln w="9525" cap="flat" cmpd="sng" algn="ctr">
              <a:noFill/>
              <a:round/>
            </a:ln>
            <a:effectLst/>
          </c:spPr>
        </c:majorGridlines>
        <c:title>
          <c:tx>
            <c:rich>
              <a:bodyPr rot="0" spcFirstLastPara="1" vertOverflow="ellipsis" vert="horz" wrap="square" anchor="ctr" anchorCtr="1"/>
              <a:lstStyle/>
              <a:p>
                <a:pPr>
                  <a:defRPr sz="900" b="0" i="0" u="none" strike="noStrike" kern="1200" baseline="0">
                    <a:solidFill>
                      <a:schemeClr val="tx1"/>
                    </a:solidFill>
                    <a:latin typeface="+mn-lt"/>
                    <a:ea typeface="+mn-ea"/>
                    <a:cs typeface="+mn-cs"/>
                  </a:defRPr>
                </a:pPr>
                <a:r>
                  <a:rPr lang="en-US" sz="900">
                    <a:solidFill>
                      <a:schemeClr val="tx1"/>
                    </a:solidFill>
                  </a:rPr>
                  <a:t>Years</a:t>
                </a:r>
              </a:p>
            </c:rich>
          </c:tx>
          <c:layout>
            <c:manualLayout>
              <c:xMode val="edge"/>
              <c:yMode val="edge"/>
              <c:x val="0.47746081219014291"/>
              <c:y val="0.92524123210484832"/>
            </c:manualLayout>
          </c:layout>
          <c:overlay val="0"/>
          <c:spPr>
            <a:noFill/>
            <a:ln>
              <a:noFill/>
            </a:ln>
            <a:effectLst/>
          </c:spPr>
        </c:title>
        <c:numFmt formatCode="General" sourceLinked="1"/>
        <c:majorTickMark val="in"/>
        <c:minorTickMark val="none"/>
        <c:tickLblPos val="low"/>
        <c:spPr>
          <a:noFill/>
          <a:ln w="12700" cap="flat" cmpd="sng" algn="ctr">
            <a:solidFill>
              <a:schemeClr val="tx1">
                <a:lumMod val="50000"/>
                <a:lumOff val="50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8373023"/>
        <c:crossesAt val="0"/>
        <c:auto val="1"/>
        <c:lblAlgn val="ctr"/>
        <c:lblOffset val="0"/>
        <c:noMultiLvlLbl val="0"/>
      </c:catAx>
      <c:valAx>
        <c:axId val="1578373023"/>
        <c:scaling>
          <c:orientation val="minMax"/>
        </c:scaling>
        <c:delete val="0"/>
        <c:axPos val="l"/>
        <c:majorGridlines>
          <c:spPr>
            <a:ln w="9525" cap="flat" cmpd="sng" algn="ctr">
              <a:noFill/>
              <a:round/>
            </a:ln>
            <a:effectLst/>
          </c:spPr>
        </c:majorGridlines>
        <c:title>
          <c:tx>
            <c:rich>
              <a:bodyPr rot="-5400000" spcFirstLastPara="1" vertOverflow="ellipsis" vert="horz" wrap="square" anchor="t" anchorCtr="1"/>
              <a:lstStyle/>
              <a:p>
                <a:pPr algn="ctr" rtl="0">
                  <a:defRPr sz="1000" b="0" i="0" u="none" strike="noStrike" kern="1200" baseline="0">
                    <a:solidFill>
                      <a:schemeClr val="tx1"/>
                    </a:solidFill>
                    <a:latin typeface="+mn-lt"/>
                    <a:ea typeface="+mn-ea"/>
                    <a:cs typeface="+mn-cs"/>
                  </a:defRPr>
                </a:pPr>
                <a:r>
                  <a:rPr lang="en-US" sz="800">
                    <a:solidFill>
                      <a:schemeClr val="tx1"/>
                    </a:solidFill>
                  </a:rPr>
                  <a:t>Global Warming Potential, </a:t>
                </a:r>
                <a:r>
                  <a:rPr lang="en-US" sz="700" b="0" i="0" u="none" strike="noStrike" kern="1200" baseline="0">
                    <a:solidFill>
                      <a:schemeClr val="tx1">
                        <a:lumMod val="100000"/>
                      </a:schemeClr>
                    </a:solidFill>
                    <a:latin typeface="+mn-lt"/>
                    <a:ea typeface="+mn-ea"/>
                    <a:cs typeface="+mn-cs"/>
                  </a:rPr>
                  <a:t>tonnes</a:t>
                </a:r>
                <a:r>
                  <a:rPr lang="en-US" sz="800">
                    <a:solidFill>
                      <a:schemeClr val="tx1"/>
                    </a:solidFill>
                  </a:rPr>
                  <a:t> C</a:t>
                </a:r>
                <a:r>
                  <a:rPr lang="en-US" sz="700" b="0" i="0" u="none" strike="noStrike" kern="1200" baseline="0">
                    <a:solidFill>
                      <a:schemeClr val="tx1">
                        <a:lumMod val="100000"/>
                      </a:schemeClr>
                    </a:solidFill>
                    <a:latin typeface="+mn-lt"/>
                    <a:ea typeface="+mn-ea"/>
                    <a:cs typeface="+mn-cs"/>
                  </a:rPr>
                  <a:t>O</a:t>
                </a:r>
                <a:r>
                  <a:rPr lang="en-US" sz="700" b="0" i="0" u="none" strike="noStrike" kern="1200" baseline="-25000">
                    <a:solidFill>
                      <a:schemeClr val="tx1">
                        <a:lumMod val="100000"/>
                      </a:schemeClr>
                    </a:solidFill>
                    <a:latin typeface="+mn-lt"/>
                    <a:ea typeface="+mn-ea"/>
                    <a:cs typeface="+mn-cs"/>
                  </a:rPr>
                  <a:t>2</a:t>
                </a:r>
                <a:r>
                  <a:rPr lang="en-US" sz="700" b="0" i="0" u="none" strike="noStrike" kern="1200" baseline="0">
                    <a:solidFill>
                      <a:schemeClr val="tx1">
                        <a:lumMod val="100000"/>
                      </a:schemeClr>
                    </a:solidFill>
                    <a:latin typeface="+mn-lt"/>
                    <a:ea typeface="+mn-ea"/>
                    <a:cs typeface="+mn-cs"/>
                  </a:rPr>
                  <a:t>e</a:t>
                </a:r>
              </a:p>
            </c:rich>
          </c:tx>
          <c:layout>
            <c:manualLayout>
              <c:xMode val="edge"/>
              <c:yMode val="edge"/>
              <c:x val="2.1241105998404067E-2"/>
              <c:y val="0.20525809986593543"/>
            </c:manualLayout>
          </c:layout>
          <c:overlay val="0"/>
          <c:spPr>
            <a:noFill/>
            <a:ln>
              <a:noFill/>
            </a:ln>
            <a:effectLst/>
          </c:spPr>
        </c:title>
        <c:numFmt formatCode="[=0]0;[&lt;10]0.0;0" sourceLinked="0"/>
        <c:majorTickMark val="in"/>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8372607"/>
        <c:crossesAt val="0"/>
        <c:crossBetween val="midCat"/>
      </c:valAx>
      <c:spPr>
        <a:noFill/>
        <a:ln w="12700">
          <a:noFill/>
        </a:ln>
        <a:effectLst>
          <a:softEdge rad="63500"/>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solidFill>
      <a:round/>
    </a:ln>
    <a:effectLst/>
  </c:spPr>
  <c:txPr>
    <a:bodyPr/>
    <a:lstStyle/>
    <a:p>
      <a:pPr>
        <a:defRPr/>
      </a:pPr>
      <a:endParaRPr lang="en-US"/>
    </a:p>
  </c:txPr>
  <c:printSettings>
    <c:headerFooter/>
    <c:pageMargins b="0.31496062992125984" l="0.31496062992125984" r="0.31496062992125984" t="0.31496062992125984" header="0" footer="0"/>
    <c:pageSetup orientation="portrait"/>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SCENARIOS!$B$24</c:f>
              <c:strCache>
                <c:ptCount val="1"/>
                <c:pt idx="0">
                  <c:v>Footings &amp; Slabs (kg CO2e)</c:v>
                </c:pt>
              </c:strCache>
            </c:strRef>
          </c:tx>
          <c:spPr>
            <a:solidFill>
              <a:schemeClr val="accent1"/>
            </a:solidFill>
            <a:ln>
              <a:noFill/>
            </a:ln>
            <a:effectLst/>
          </c:spPr>
          <c:invertIfNegative val="0"/>
          <c:cat>
            <c:multiLvlStrRef>
              <c:f>SCENARIOS!X_Axis3</c:f>
            </c:multiLvlStrRef>
          </c:cat>
          <c:val>
            <c:numRef>
              <c:f>SCENARIOS!DataRowA_1</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7894-41B2-B1C7-6AC87887FDF6}"/>
            </c:ext>
          </c:extLst>
        </c:ser>
        <c:ser>
          <c:idx val="1"/>
          <c:order val="1"/>
          <c:tx>
            <c:strRef>
              <c:f>SCENARIOS!$B$25</c:f>
              <c:strCache>
                <c:ptCount val="1"/>
                <c:pt idx="0">
                  <c:v>Foundation Walls (kg CO2e)</c:v>
                </c:pt>
              </c:strCache>
            </c:strRef>
          </c:tx>
          <c:spPr>
            <a:solidFill>
              <a:schemeClr val="accent2"/>
            </a:solidFill>
            <a:ln>
              <a:noFill/>
            </a:ln>
            <a:effectLst/>
          </c:spPr>
          <c:invertIfNegative val="0"/>
          <c:cat>
            <c:multiLvlStrRef>
              <c:f>SCENARIOS!X_Axis3</c:f>
            </c:multiLvlStrRef>
          </c:cat>
          <c:val>
            <c:numRef>
              <c:f>SCENARIOS!DataRowA_2</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1-7894-41B2-B1C7-6AC87887FDF6}"/>
            </c:ext>
          </c:extLst>
        </c:ser>
        <c:ser>
          <c:idx val="2"/>
          <c:order val="2"/>
          <c:tx>
            <c:strRef>
              <c:f>SCENARIOS!$B$26</c:f>
              <c:strCache>
                <c:ptCount val="1"/>
                <c:pt idx="0">
                  <c:v>Structural Elements (kg CO2e)</c:v>
                </c:pt>
              </c:strCache>
            </c:strRef>
          </c:tx>
          <c:spPr>
            <a:solidFill>
              <a:schemeClr val="accent3"/>
            </a:solidFill>
            <a:ln>
              <a:noFill/>
            </a:ln>
            <a:effectLst/>
          </c:spPr>
          <c:invertIfNegative val="0"/>
          <c:cat>
            <c:multiLvlStrRef>
              <c:f>SCENARIOS!X_Axis3</c:f>
            </c:multiLvlStrRef>
          </c:cat>
          <c:val>
            <c:numRef>
              <c:f>SCENARIOS!DataRowA_3</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6783-413D-8C80-4EAABBB6B9EC}"/>
            </c:ext>
          </c:extLst>
        </c:ser>
        <c:ser>
          <c:idx val="3"/>
          <c:order val="3"/>
          <c:tx>
            <c:strRef>
              <c:f>SCENARIOS!$B$27</c:f>
              <c:strCache>
                <c:ptCount val="1"/>
                <c:pt idx="0">
                  <c:v>Ext. Walls (kg CO2e / m2)</c:v>
                </c:pt>
              </c:strCache>
            </c:strRef>
          </c:tx>
          <c:spPr>
            <a:solidFill>
              <a:schemeClr val="accent4"/>
            </a:solidFill>
            <a:ln>
              <a:noFill/>
            </a:ln>
            <a:effectLst/>
          </c:spPr>
          <c:invertIfNegative val="0"/>
          <c:cat>
            <c:multiLvlStrRef>
              <c:f>SCENARIOS!X_Axis3</c:f>
            </c:multiLvlStrRef>
          </c:cat>
          <c:val>
            <c:numRef>
              <c:f>SCENARIOS!DataRowA_4</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1-6783-413D-8C80-4EAABBB6B9EC}"/>
            </c:ext>
          </c:extLst>
        </c:ser>
        <c:ser>
          <c:idx val="4"/>
          <c:order val="4"/>
          <c:tx>
            <c:strRef>
              <c:f>SCENARIOS!$B$28</c:f>
              <c:strCache>
                <c:ptCount val="1"/>
                <c:pt idx="0">
                  <c:v>Ext. Wall Systems (kg CO2e)</c:v>
                </c:pt>
              </c:strCache>
            </c:strRef>
          </c:tx>
          <c:spPr>
            <a:solidFill>
              <a:schemeClr val="accent5"/>
            </a:solidFill>
            <a:ln>
              <a:noFill/>
            </a:ln>
            <a:effectLst/>
          </c:spPr>
          <c:invertIfNegative val="0"/>
          <c:cat>
            <c:multiLvlStrRef>
              <c:f>SCENARIOS!X_Axis3</c:f>
            </c:multiLvlStrRef>
          </c:cat>
          <c:val>
            <c:numRef>
              <c:f>SCENARIOS!DataRowA_5</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2-6783-413D-8C80-4EAABBB6B9EC}"/>
            </c:ext>
          </c:extLst>
        </c:ser>
        <c:ser>
          <c:idx val="5"/>
          <c:order val="5"/>
          <c:tx>
            <c:strRef>
              <c:f>SCENARIOS!$B$29</c:f>
              <c:strCache>
                <c:ptCount val="1"/>
                <c:pt idx="0">
                  <c:v>Party Walls (kg CO2e)</c:v>
                </c:pt>
              </c:strCache>
            </c:strRef>
          </c:tx>
          <c:spPr>
            <a:solidFill>
              <a:schemeClr val="accent6"/>
            </a:solidFill>
            <a:ln>
              <a:noFill/>
            </a:ln>
            <a:effectLst/>
          </c:spPr>
          <c:invertIfNegative val="0"/>
          <c:cat>
            <c:multiLvlStrRef>
              <c:f>SCENARIOS!X_Axis3</c:f>
            </c:multiLvlStrRef>
          </c:cat>
          <c:val>
            <c:numRef>
              <c:f>SCENARIOS!DataRowA_6</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3-6783-413D-8C80-4EAABBB6B9EC}"/>
            </c:ext>
          </c:extLst>
        </c:ser>
        <c:ser>
          <c:idx val="6"/>
          <c:order val="6"/>
          <c:tx>
            <c:strRef>
              <c:f>SCENARIOS!$B$30</c:f>
              <c:strCache>
                <c:ptCount val="1"/>
                <c:pt idx="0">
                  <c:v>Cladding (kg CO2e)</c:v>
                </c:pt>
              </c:strCache>
            </c:strRef>
          </c:tx>
          <c:spPr>
            <a:solidFill>
              <a:schemeClr val="accent1">
                <a:lumMod val="60000"/>
              </a:schemeClr>
            </a:solidFill>
            <a:ln>
              <a:noFill/>
            </a:ln>
            <a:effectLst/>
          </c:spPr>
          <c:invertIfNegative val="0"/>
          <c:cat>
            <c:multiLvlStrRef>
              <c:f>SCENARIOS!X_Axis3</c:f>
            </c:multiLvlStrRef>
          </c:cat>
          <c:val>
            <c:numRef>
              <c:f>SCENARIOS!DataRowA_7</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4-6783-413D-8C80-4EAABBB6B9EC}"/>
            </c:ext>
          </c:extLst>
        </c:ser>
        <c:ser>
          <c:idx val="7"/>
          <c:order val="7"/>
          <c:tx>
            <c:strRef>
              <c:f>SCENARIOS!$B$31</c:f>
              <c:strCache>
                <c:ptCount val="1"/>
                <c:pt idx="0">
                  <c:v>Windows (kg CO2e)</c:v>
                </c:pt>
              </c:strCache>
            </c:strRef>
          </c:tx>
          <c:spPr>
            <a:solidFill>
              <a:schemeClr val="accent2">
                <a:lumMod val="60000"/>
              </a:schemeClr>
            </a:solidFill>
            <a:ln>
              <a:noFill/>
            </a:ln>
            <a:effectLst/>
          </c:spPr>
          <c:invertIfNegative val="0"/>
          <c:cat>
            <c:multiLvlStrRef>
              <c:f>SCENARIOS!X_Axis3</c:f>
            </c:multiLvlStrRef>
          </c:cat>
          <c:val>
            <c:numRef>
              <c:f>SCENARIOS!DataRowA_8</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5-6783-413D-8C80-4EAABBB6B9EC}"/>
            </c:ext>
          </c:extLst>
        </c:ser>
        <c:ser>
          <c:idx val="8"/>
          <c:order val="8"/>
          <c:tx>
            <c:strRef>
              <c:f>SCENARIOS!$B$32</c:f>
              <c:strCache>
                <c:ptCount val="1"/>
                <c:pt idx="0">
                  <c:v>Int. Walls (kg CO2e)</c:v>
                </c:pt>
              </c:strCache>
            </c:strRef>
          </c:tx>
          <c:spPr>
            <a:solidFill>
              <a:schemeClr val="accent3">
                <a:lumMod val="60000"/>
              </a:schemeClr>
            </a:solidFill>
            <a:ln>
              <a:noFill/>
            </a:ln>
            <a:effectLst/>
          </c:spPr>
          <c:invertIfNegative val="0"/>
          <c:cat>
            <c:multiLvlStrRef>
              <c:f>SCENARIOS!X_Axis3</c:f>
            </c:multiLvlStrRef>
          </c:cat>
          <c:val>
            <c:numRef>
              <c:f>SCENARIOS!DataRowA_9</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6-6783-413D-8C80-4EAABBB6B9EC}"/>
            </c:ext>
          </c:extLst>
        </c:ser>
        <c:ser>
          <c:idx val="9"/>
          <c:order val="9"/>
          <c:tx>
            <c:strRef>
              <c:f>SCENARIOS!$B$33</c:f>
              <c:strCache>
                <c:ptCount val="1"/>
                <c:pt idx="0">
                  <c:v>Floors (kg CO2e)</c:v>
                </c:pt>
              </c:strCache>
            </c:strRef>
          </c:tx>
          <c:spPr>
            <a:solidFill>
              <a:schemeClr val="accent4">
                <a:lumMod val="60000"/>
              </a:schemeClr>
            </a:solidFill>
            <a:ln>
              <a:noFill/>
            </a:ln>
            <a:effectLst/>
          </c:spPr>
          <c:invertIfNegative val="0"/>
          <c:cat>
            <c:multiLvlStrRef>
              <c:f>SCENARIOS!X_Axis3</c:f>
            </c:multiLvlStrRef>
          </c:cat>
          <c:val>
            <c:numRef>
              <c:f>SCENARIOS!DataRowA_10</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7-6783-413D-8C80-4EAABBB6B9EC}"/>
            </c:ext>
          </c:extLst>
        </c:ser>
        <c:ser>
          <c:idx val="10"/>
          <c:order val="10"/>
          <c:tx>
            <c:strRef>
              <c:f>SCENARIOS!$B$34</c:f>
              <c:strCache>
                <c:ptCount val="1"/>
                <c:pt idx="0">
                  <c:v>Ceilings (kg CO2e)</c:v>
                </c:pt>
              </c:strCache>
            </c:strRef>
          </c:tx>
          <c:spPr>
            <a:solidFill>
              <a:schemeClr val="accent5">
                <a:lumMod val="60000"/>
              </a:schemeClr>
            </a:solidFill>
            <a:ln>
              <a:noFill/>
            </a:ln>
            <a:effectLst/>
          </c:spPr>
          <c:invertIfNegative val="0"/>
          <c:cat>
            <c:multiLvlStrRef>
              <c:f>SCENARIOS!X_Axis3</c:f>
            </c:multiLvlStrRef>
          </c:cat>
          <c:val>
            <c:numRef>
              <c:f>SCENARIOS!DataRowA_11</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8-6783-413D-8C80-4EAABBB6B9EC}"/>
            </c:ext>
          </c:extLst>
        </c:ser>
        <c:ser>
          <c:idx val="11"/>
          <c:order val="11"/>
          <c:tx>
            <c:strRef>
              <c:f>SCENARIOS!$B$35</c:f>
              <c:strCache>
                <c:ptCount val="1"/>
                <c:pt idx="0">
                  <c:v>Roof (kg CO2e)</c:v>
                </c:pt>
              </c:strCache>
            </c:strRef>
          </c:tx>
          <c:spPr>
            <a:solidFill>
              <a:schemeClr val="accent6">
                <a:lumMod val="60000"/>
              </a:schemeClr>
            </a:solidFill>
            <a:ln>
              <a:noFill/>
            </a:ln>
            <a:effectLst/>
          </c:spPr>
          <c:invertIfNegative val="0"/>
          <c:cat>
            <c:multiLvlStrRef>
              <c:f>SCENARIOS!X_Axis3</c:f>
            </c:multiLvlStrRef>
          </c:cat>
          <c:val>
            <c:numRef>
              <c:f>SCENARIOS!DataRowA_12</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9-6783-413D-8C80-4EAABBB6B9EC}"/>
            </c:ext>
          </c:extLst>
        </c:ser>
        <c:ser>
          <c:idx val="12"/>
          <c:order val="12"/>
          <c:tx>
            <c:strRef>
              <c:f>SCENARIOS!$B$36</c:f>
              <c:strCache>
                <c:ptCount val="1"/>
                <c:pt idx="0">
                  <c:v>Garage (kg CO2e)</c:v>
                </c:pt>
              </c:strCache>
            </c:strRef>
          </c:tx>
          <c:spPr>
            <a:solidFill>
              <a:schemeClr val="accent1">
                <a:lumMod val="80000"/>
                <a:lumOff val="20000"/>
              </a:schemeClr>
            </a:solidFill>
            <a:ln>
              <a:noFill/>
            </a:ln>
            <a:effectLst/>
          </c:spPr>
          <c:invertIfNegative val="0"/>
          <c:cat>
            <c:multiLvlStrRef>
              <c:f>SCENARIOS!X_Axis3</c:f>
            </c:multiLvlStrRef>
          </c:cat>
          <c:val>
            <c:numRef>
              <c:f>SCENARIOS!DataRowA_13</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A-6783-413D-8C80-4EAABBB6B9EC}"/>
            </c:ext>
          </c:extLst>
        </c:ser>
        <c:ser>
          <c:idx val="13"/>
          <c:order val="13"/>
          <c:tx>
            <c:strRef>
              <c:f>SCENARIOS!$B$37</c:f>
              <c:strCache>
                <c:ptCount val="1"/>
                <c:pt idx="0">
                  <c:v>User-Defined (kg CO2e)</c:v>
                </c:pt>
              </c:strCache>
            </c:strRef>
          </c:tx>
          <c:spPr>
            <a:solidFill>
              <a:schemeClr val="accent2">
                <a:lumMod val="80000"/>
                <a:lumOff val="20000"/>
              </a:schemeClr>
            </a:solidFill>
            <a:ln>
              <a:noFill/>
            </a:ln>
            <a:effectLst/>
          </c:spPr>
          <c:invertIfNegative val="0"/>
          <c:cat>
            <c:multiLvlStrRef>
              <c:f>SCENARIOS!X_Axis3</c:f>
            </c:multiLvlStrRef>
          </c:cat>
          <c:val>
            <c:numRef>
              <c:f>SCENARIOS!DataRowA_14</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B-6783-413D-8C80-4EAABBB6B9EC}"/>
            </c:ext>
          </c:extLst>
        </c:ser>
        <c:dLbls>
          <c:showLegendKey val="0"/>
          <c:showVal val="0"/>
          <c:showCatName val="0"/>
          <c:showSerName val="0"/>
          <c:showPercent val="0"/>
          <c:showBubbleSize val="0"/>
        </c:dLbls>
        <c:gapWidth val="0"/>
        <c:overlap val="100"/>
        <c:axId val="1149832032"/>
        <c:axId val="1149834912"/>
      </c:barChart>
      <c:catAx>
        <c:axId val="1149832032"/>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49834912"/>
        <c:crosses val="autoZero"/>
        <c:auto val="1"/>
        <c:lblAlgn val="ctr"/>
        <c:lblOffset val="100"/>
        <c:noMultiLvlLbl val="0"/>
      </c:catAx>
      <c:valAx>
        <c:axId val="11498349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4983203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Radio" checked="Checked" firstButton="1" fmlaLink="$A$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firstButton="1" lockText="1" noThreeD="1"/>
</file>

<file path=xl/ctrlProps/ctrlProp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tiff"/><Relationship Id="rId5" Type="http://schemas.openxmlformats.org/officeDocument/2006/relationships/image" Target="../media/image5.pn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jpeg"/><Relationship Id="rId1" Type="http://schemas.openxmlformats.org/officeDocument/2006/relationships/image" Target="../media/image8.png"/><Relationship Id="rId4" Type="http://schemas.openxmlformats.org/officeDocument/2006/relationships/hyperlink" Target="https://bsuite365.com/" TargetMode="External"/></Relationships>
</file>

<file path=xl/drawings/_rels/drawing3.xml.rels><?xml version="1.0" encoding="UTF-8" standalone="yes"?>
<Relationships xmlns="http://schemas.openxmlformats.org/package/2006/relationships"><Relationship Id="rId3" Type="http://schemas.openxmlformats.org/officeDocument/2006/relationships/hyperlink" Target="https://bsuite365.com/" TargetMode="External"/><Relationship Id="rId2" Type="http://schemas.openxmlformats.org/officeDocument/2006/relationships/image" Target="../media/image12.jpeg"/><Relationship Id="rId1" Type="http://schemas.openxmlformats.org/officeDocument/2006/relationships/image" Target="../media/image11.png"/></Relationships>
</file>

<file path=xl/drawings/_rels/drawing4.xml.rels><?xml version="1.0" encoding="UTF-8" standalone="yes"?>
<Relationships xmlns="http://schemas.openxmlformats.org/package/2006/relationships"><Relationship Id="rId8" Type="http://schemas.openxmlformats.org/officeDocument/2006/relationships/image" Target="../media/image20.svg"/><Relationship Id="rId13" Type="http://schemas.openxmlformats.org/officeDocument/2006/relationships/image" Target="../media/image25.png"/><Relationship Id="rId3" Type="http://schemas.openxmlformats.org/officeDocument/2006/relationships/image" Target="../media/image15.png"/><Relationship Id="rId7" Type="http://schemas.openxmlformats.org/officeDocument/2006/relationships/image" Target="../media/image19.png"/><Relationship Id="rId12" Type="http://schemas.openxmlformats.org/officeDocument/2006/relationships/image" Target="../media/image24.svg"/><Relationship Id="rId2" Type="http://schemas.openxmlformats.org/officeDocument/2006/relationships/image" Target="../media/image14.svg"/><Relationship Id="rId16" Type="http://schemas.openxmlformats.org/officeDocument/2006/relationships/image" Target="../media/image28.jpg"/><Relationship Id="rId1" Type="http://schemas.openxmlformats.org/officeDocument/2006/relationships/image" Target="../media/image13.png"/><Relationship Id="rId6" Type="http://schemas.openxmlformats.org/officeDocument/2006/relationships/image" Target="../media/image18.svg"/><Relationship Id="rId11" Type="http://schemas.openxmlformats.org/officeDocument/2006/relationships/image" Target="../media/image23.png"/><Relationship Id="rId5" Type="http://schemas.openxmlformats.org/officeDocument/2006/relationships/image" Target="../media/image17.png"/><Relationship Id="rId15" Type="http://schemas.openxmlformats.org/officeDocument/2006/relationships/image" Target="../media/image27.jpg"/><Relationship Id="rId10" Type="http://schemas.openxmlformats.org/officeDocument/2006/relationships/image" Target="../media/image22.svg"/><Relationship Id="rId4" Type="http://schemas.openxmlformats.org/officeDocument/2006/relationships/image" Target="../media/image16.svg"/><Relationship Id="rId9" Type="http://schemas.openxmlformats.org/officeDocument/2006/relationships/image" Target="../media/image21.png"/><Relationship Id="rId14" Type="http://schemas.openxmlformats.org/officeDocument/2006/relationships/image" Target="../media/image26.png"/></Relationships>
</file>

<file path=xl/drawings/_rels/drawing6.xml.rels><?xml version="1.0" encoding="UTF-8" standalone="yes"?>
<Relationships xmlns="http://schemas.openxmlformats.org/package/2006/relationships"><Relationship Id="rId1" Type="http://schemas.openxmlformats.org/officeDocument/2006/relationships/image" Target="../media/image29.png"/></Relationships>
</file>

<file path=xl/drawings/_rels/drawing7.xml.rels><?xml version="1.0" encoding="UTF-8" standalone="yes"?>
<Relationships xmlns="http://schemas.openxmlformats.org/package/2006/relationships"><Relationship Id="rId1" Type="http://schemas.openxmlformats.org/officeDocument/2006/relationships/image" Target="../media/image29.png"/></Relationships>
</file>

<file path=xl/drawings/_rels/drawing9.xml.rels><?xml version="1.0" encoding="UTF-8" standalone="yes"?>
<Relationships xmlns="http://schemas.openxmlformats.org/package/2006/relationships"><Relationship Id="rId1" Type="http://schemas.openxmlformats.org/officeDocument/2006/relationships/image" Target="../media/image29.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9.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9.png"/></Relationships>
</file>

<file path=xl/drawings/_rels/drawing14.xml.rels><?xml version="1.0" encoding="UTF-8" standalone="yes"?>
<Relationships xmlns="http://schemas.openxmlformats.org/package/2006/relationships"><Relationship Id="rId1" Type="http://schemas.openxmlformats.org/officeDocument/2006/relationships/image" Target="../media/image29.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9.png"/></Relationships>
</file>

<file path=xl/drawings/_rels/drawing17.xml.rels><?xml version="1.0" encoding="UTF-8" standalone="yes"?>
<Relationships xmlns="http://schemas.openxmlformats.org/package/2006/relationships"><Relationship Id="rId1" Type="http://schemas.openxmlformats.org/officeDocument/2006/relationships/image" Target="../media/image29.png"/></Relationships>
</file>

<file path=xl/drawings/_rels/drawing18.xml.rels><?xml version="1.0" encoding="UTF-8" standalone="yes"?>
<Relationships xmlns="http://schemas.openxmlformats.org/package/2006/relationships"><Relationship Id="rId1" Type="http://schemas.openxmlformats.org/officeDocument/2006/relationships/image" Target="../media/image29.png"/></Relationships>
</file>

<file path=xl/drawings/_rels/drawing20.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30.jpeg"/><Relationship Id="rId6" Type="http://schemas.openxmlformats.org/officeDocument/2006/relationships/chart" Target="../charts/chart3.xml"/><Relationship Id="rId5" Type="http://schemas.openxmlformats.org/officeDocument/2006/relationships/image" Target="../media/image32.png"/><Relationship Id="rId4" Type="http://schemas.openxmlformats.org/officeDocument/2006/relationships/image" Target="../media/image31.png"/></Relationships>
</file>

<file path=xl/drawings/_rels/drawing21.xml.rels><?xml version="1.0" encoding="UTF-8" standalone="yes"?>
<Relationships xmlns="http://schemas.openxmlformats.org/package/2006/relationships"><Relationship Id="rId3" Type="http://schemas.openxmlformats.org/officeDocument/2006/relationships/chart" Target="../charts/chart5.xml"/><Relationship Id="rId7" Type="http://schemas.openxmlformats.org/officeDocument/2006/relationships/chart" Target="../charts/chart7.xml"/><Relationship Id="rId2" Type="http://schemas.openxmlformats.org/officeDocument/2006/relationships/chart" Target="../charts/chart4.xml"/><Relationship Id="rId1" Type="http://schemas.openxmlformats.org/officeDocument/2006/relationships/image" Target="../media/image30.jpeg"/><Relationship Id="rId6" Type="http://schemas.openxmlformats.org/officeDocument/2006/relationships/image" Target="../media/image32.png"/><Relationship Id="rId5" Type="http://schemas.openxmlformats.org/officeDocument/2006/relationships/image" Target="../media/image31.png"/><Relationship Id="rId4" Type="http://schemas.openxmlformats.org/officeDocument/2006/relationships/chart" Target="../charts/chart6.xml"/></Relationships>
</file>

<file path=xl/drawings/_rels/drawing22.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image" Target="../media/image26.png"/><Relationship Id="rId1" Type="http://schemas.openxmlformats.org/officeDocument/2006/relationships/image" Target="../media/image30.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33.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26.png"/></Relationships>
</file>

<file path=xl/drawings/_rels/drawing27.xml.rels><?xml version="1.0" encoding="UTF-8" standalone="yes"?>
<Relationships xmlns="http://schemas.openxmlformats.org/package/2006/relationships"><Relationship Id="rId2" Type="http://schemas.openxmlformats.org/officeDocument/2006/relationships/image" Target="../media/image35.png"/><Relationship Id="rId1" Type="http://schemas.openxmlformats.org/officeDocument/2006/relationships/image" Target="../media/image34.png"/></Relationships>
</file>

<file path=xl/drawings/_rels/drawing29.xml.rels><?xml version="1.0" encoding="UTF-8" standalone="yes"?>
<Relationships xmlns="http://schemas.openxmlformats.org/package/2006/relationships"><Relationship Id="rId2" Type="http://schemas.openxmlformats.org/officeDocument/2006/relationships/image" Target="../media/image37.png"/><Relationship Id="rId1" Type="http://schemas.openxmlformats.org/officeDocument/2006/relationships/image" Target="../media/image36.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5</xdr:col>
      <xdr:colOff>447676</xdr:colOff>
      <xdr:row>1</xdr:row>
      <xdr:rowOff>141655</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7066" b="25246"/>
        <a:stretch/>
      </xdr:blipFill>
      <xdr:spPr>
        <a:xfrm>
          <a:off x="1" y="0"/>
          <a:ext cx="3714750" cy="332155"/>
        </a:xfrm>
        <a:prstGeom prst="rect">
          <a:avLst/>
        </a:prstGeom>
      </xdr:spPr>
    </xdr:pic>
    <xdr:clientData/>
  </xdr:twoCellAnchor>
  <xdr:twoCellAnchor editAs="oneCell">
    <xdr:from>
      <xdr:col>2</xdr:col>
      <xdr:colOff>266700</xdr:colOff>
      <xdr:row>3</xdr:row>
      <xdr:rowOff>57150</xdr:rowOff>
    </xdr:from>
    <xdr:to>
      <xdr:col>5</xdr:col>
      <xdr:colOff>457200</xdr:colOff>
      <xdr:row>6</xdr:row>
      <xdr:rowOff>121035</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47775" y="1581150"/>
          <a:ext cx="2476500" cy="635385"/>
        </a:xfrm>
        <a:prstGeom prst="rect">
          <a:avLst/>
        </a:prstGeom>
      </xdr:spPr>
    </xdr:pic>
    <xdr:clientData/>
  </xdr:twoCellAnchor>
  <xdr:twoCellAnchor editAs="oneCell">
    <xdr:from>
      <xdr:col>7</xdr:col>
      <xdr:colOff>542926</xdr:colOff>
      <xdr:row>3</xdr:row>
      <xdr:rowOff>47624</xdr:rowOff>
    </xdr:from>
    <xdr:to>
      <xdr:col>10</xdr:col>
      <xdr:colOff>764926</xdr:colOff>
      <xdr:row>6</xdr:row>
      <xdr:rowOff>119591</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334001" y="1571624"/>
          <a:ext cx="2508000" cy="643467"/>
        </a:xfrm>
        <a:prstGeom prst="rect">
          <a:avLst/>
        </a:prstGeom>
      </xdr:spPr>
    </xdr:pic>
    <xdr:clientData/>
  </xdr:twoCellAnchor>
  <xdr:twoCellAnchor editAs="oneCell">
    <xdr:from>
      <xdr:col>7</xdr:col>
      <xdr:colOff>657225</xdr:colOff>
      <xdr:row>11</xdr:row>
      <xdr:rowOff>52778</xdr:rowOff>
    </xdr:from>
    <xdr:to>
      <xdr:col>10</xdr:col>
      <xdr:colOff>647700</xdr:colOff>
      <xdr:row>14</xdr:row>
      <xdr:rowOff>37202</xdr:rowOff>
    </xdr:to>
    <xdr:pic>
      <xdr:nvPicPr>
        <xdr:cNvPr id="5" name="Picture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448300" y="3100778"/>
          <a:ext cx="2276475" cy="555924"/>
        </a:xfrm>
        <a:prstGeom prst="rect">
          <a:avLst/>
        </a:prstGeom>
      </xdr:spPr>
    </xdr:pic>
    <xdr:clientData/>
  </xdr:twoCellAnchor>
  <xdr:twoCellAnchor>
    <xdr:from>
      <xdr:col>3</xdr:col>
      <xdr:colOff>95250</xdr:colOff>
      <xdr:row>14</xdr:row>
      <xdr:rowOff>28575</xdr:rowOff>
    </xdr:from>
    <xdr:to>
      <xdr:col>4</xdr:col>
      <xdr:colOff>714375</xdr:colOff>
      <xdr:row>16</xdr:row>
      <xdr:rowOff>104775</xdr:rowOff>
    </xdr:to>
    <xdr:sp macro="[0]!Btn_TranslateWbToEnglish" textlink="">
      <xdr:nvSpPr>
        <xdr:cNvPr id="6" name="Rounded Rectangle 7">
          <a:extLst>
            <a:ext uri="{FF2B5EF4-FFF2-40B4-BE49-F238E27FC236}">
              <a16:creationId xmlns:a16="http://schemas.microsoft.com/office/drawing/2014/main" id="{00000000-0008-0000-0200-000006000000}"/>
            </a:ext>
          </a:extLst>
        </xdr:cNvPr>
        <xdr:cNvSpPr/>
      </xdr:nvSpPr>
      <xdr:spPr>
        <a:xfrm>
          <a:off x="1838325" y="3648075"/>
          <a:ext cx="1381125" cy="457200"/>
        </a:xfrm>
        <a:prstGeom prst="roundRect">
          <a:avLst/>
        </a:prstGeom>
        <a:solidFill>
          <a:schemeClr val="accent5"/>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CA" sz="1600">
              <a:solidFill>
                <a:schemeClr val="bg1"/>
              </a:solidFill>
              <a:latin typeface="Arial" panose="020B0604020202020204" pitchFamily="34" charset="0"/>
              <a:cs typeface="Arial" panose="020B0604020202020204" pitchFamily="34" charset="0"/>
            </a:rPr>
            <a:t>ENGLISH</a:t>
          </a:r>
        </a:p>
      </xdr:txBody>
    </xdr:sp>
    <xdr:clientData/>
  </xdr:twoCellAnchor>
  <xdr:twoCellAnchor>
    <xdr:from>
      <xdr:col>8</xdr:col>
      <xdr:colOff>466725</xdr:colOff>
      <xdr:row>14</xdr:row>
      <xdr:rowOff>28575</xdr:rowOff>
    </xdr:from>
    <xdr:to>
      <xdr:col>10</xdr:col>
      <xdr:colOff>323850</xdr:colOff>
      <xdr:row>16</xdr:row>
      <xdr:rowOff>104775</xdr:rowOff>
    </xdr:to>
    <xdr:sp macro="[0]!Btn_TranslateWbToFrench" textlink="">
      <xdr:nvSpPr>
        <xdr:cNvPr id="7" name="Rounded Rectangle 8">
          <a:extLst>
            <a:ext uri="{FF2B5EF4-FFF2-40B4-BE49-F238E27FC236}">
              <a16:creationId xmlns:a16="http://schemas.microsoft.com/office/drawing/2014/main" id="{00000000-0008-0000-0200-000007000000}"/>
            </a:ext>
          </a:extLst>
        </xdr:cNvPr>
        <xdr:cNvSpPr/>
      </xdr:nvSpPr>
      <xdr:spPr>
        <a:xfrm>
          <a:off x="6019800" y="3648075"/>
          <a:ext cx="1381125" cy="457200"/>
        </a:xfrm>
        <a:prstGeom prst="roundRect">
          <a:avLst/>
        </a:prstGeom>
        <a:solidFill>
          <a:schemeClr val="accent5"/>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CA" sz="1600">
              <a:solidFill>
                <a:schemeClr val="bg1"/>
              </a:solidFill>
              <a:latin typeface="Arial" panose="020B0604020202020204" pitchFamily="34" charset="0"/>
              <a:cs typeface="Arial" panose="020B0604020202020204" pitchFamily="34" charset="0"/>
            </a:rPr>
            <a:t>FRANCAIS</a:t>
          </a:r>
        </a:p>
      </xdr:txBody>
    </xdr:sp>
    <xdr:clientData/>
  </xdr:twoCellAnchor>
  <xdr:twoCellAnchor editAs="oneCell">
    <xdr:from>
      <xdr:col>10</xdr:col>
      <xdr:colOff>628650</xdr:colOff>
      <xdr:row>35</xdr:row>
      <xdr:rowOff>15240</xdr:rowOff>
    </xdr:from>
    <xdr:to>
      <xdr:col>12</xdr:col>
      <xdr:colOff>133348</xdr:colOff>
      <xdr:row>37</xdr:row>
      <xdr:rowOff>9525</xdr:rowOff>
    </xdr:to>
    <xdr:pic>
      <xdr:nvPicPr>
        <xdr:cNvPr id="8" name="Picture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562850" y="7223760"/>
          <a:ext cx="1440178" cy="375285"/>
        </a:xfrm>
        <a:prstGeom prst="rect">
          <a:avLst/>
        </a:prstGeom>
      </xdr:spPr>
    </xdr:pic>
    <xdr:clientData/>
  </xdr:twoCellAnchor>
  <xdr:twoCellAnchor editAs="oneCell">
    <xdr:from>
      <xdr:col>2</xdr:col>
      <xdr:colOff>476251</xdr:colOff>
      <xdr:row>11</xdr:row>
      <xdr:rowOff>95250</xdr:rowOff>
    </xdr:from>
    <xdr:to>
      <xdr:col>5</xdr:col>
      <xdr:colOff>216353</xdr:colOff>
      <xdr:row>13</xdr:row>
      <xdr:rowOff>104775</xdr:rowOff>
    </xdr:to>
    <xdr:pic>
      <xdr:nvPicPr>
        <xdr:cNvPr id="9" name="Picture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6579" b="22368"/>
        <a:stretch/>
      </xdr:blipFill>
      <xdr:spPr>
        <a:xfrm>
          <a:off x="1457326" y="3143250"/>
          <a:ext cx="2026102" cy="390525"/>
        </a:xfrm>
        <a:prstGeom prst="rect">
          <a:avLst/>
        </a:prstGeom>
      </xdr:spPr>
    </xdr:pic>
    <xdr:clientData/>
  </xdr:twoCellAnchor>
  <xdr:twoCellAnchor>
    <xdr:from>
      <xdr:col>0</xdr:col>
      <xdr:colOff>0</xdr:colOff>
      <xdr:row>0</xdr:row>
      <xdr:rowOff>9524</xdr:rowOff>
    </xdr:from>
    <xdr:to>
      <xdr:col>5</xdr:col>
      <xdr:colOff>495299</xdr:colOff>
      <xdr:row>1</xdr:row>
      <xdr:rowOff>118021</xdr:rowOff>
    </xdr:to>
    <xdr:pic>
      <xdr:nvPicPr>
        <xdr:cNvPr id="10" name="Picture 9" descr="nrcan_fip_f_2c_55" hidden="1">
          <a:extLst>
            <a:ext uri="{FF2B5EF4-FFF2-40B4-BE49-F238E27FC236}">
              <a16:creationId xmlns:a16="http://schemas.microsoft.com/office/drawing/2014/main" id="{00000000-0008-0000-0200-00000A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9524"/>
          <a:ext cx="3762374" cy="2989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1216504</xdr:colOff>
      <xdr:row>9</xdr:row>
      <xdr:rowOff>700896</xdr:rowOff>
    </xdr:from>
    <xdr:to>
      <xdr:col>1</xdr:col>
      <xdr:colOff>5186650</xdr:colOff>
      <xdr:row>9</xdr:row>
      <xdr:rowOff>3739371</xdr:rowOff>
    </xdr:to>
    <xdr:pic>
      <xdr:nvPicPr>
        <xdr:cNvPr id="2" name="Picture 1" descr="Diagram&#10;&#10;Description automatically generated">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8044" y="6264934"/>
          <a:ext cx="3970146" cy="3038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1</xdr:col>
      <xdr:colOff>4269105</xdr:colOff>
      <xdr:row>1</xdr:row>
      <xdr:rowOff>0</xdr:rowOff>
    </xdr:to>
    <xdr:pic>
      <xdr:nvPicPr>
        <xdr:cNvPr id="3" name="Picture 2">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189" t="18238" r="58886" b="13877"/>
        <a:stretch/>
      </xdr:blipFill>
      <xdr:spPr>
        <a:xfrm>
          <a:off x="0" y="0"/>
          <a:ext cx="4591050" cy="400050"/>
        </a:xfrm>
        <a:prstGeom prst="rect">
          <a:avLst/>
        </a:prstGeom>
      </xdr:spPr>
    </xdr:pic>
    <xdr:clientData/>
  </xdr:twoCellAnchor>
  <xdr:oneCellAnchor>
    <xdr:from>
      <xdr:col>0</xdr:col>
      <xdr:colOff>281940</xdr:colOff>
      <xdr:row>14</xdr:row>
      <xdr:rowOff>104775</xdr:rowOff>
    </xdr:from>
    <xdr:ext cx="10576560" cy="1076325"/>
    <xdr:sp macro="" textlink="">
      <xdr:nvSpPr>
        <xdr:cNvPr id="5" name="TextBox 4">
          <a:extLst>
            <a:ext uri="{FF2B5EF4-FFF2-40B4-BE49-F238E27FC236}">
              <a16:creationId xmlns:a16="http://schemas.microsoft.com/office/drawing/2014/main" id="{00000000-0008-0000-0400-000005000000}"/>
            </a:ext>
          </a:extLst>
        </xdr:cNvPr>
        <xdr:cNvSpPr txBox="1"/>
      </xdr:nvSpPr>
      <xdr:spPr>
        <a:xfrm>
          <a:off x="281940" y="12289155"/>
          <a:ext cx="10576560" cy="10763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CA" sz="1100">
              <a:solidFill>
                <a:schemeClr val="tx1"/>
              </a:solidFill>
              <a:effectLst/>
              <a:latin typeface="Arial" panose="020B0604020202020204" pitchFamily="34" charset="0"/>
              <a:ea typeface="+mn-ea"/>
              <a:cs typeface="Arial" panose="020B0604020202020204" pitchFamily="34" charset="0"/>
            </a:rPr>
            <a:t>NRCan would like to acknowledge the foundational contribution of Chris Magwood and the team at </a:t>
          </a:r>
          <a:r>
            <a:rPr lang="en-CA" sz="1100" b="1">
              <a:solidFill>
                <a:schemeClr val="tx1"/>
              </a:solidFill>
              <a:effectLst/>
              <a:latin typeface="Arial" panose="020B0604020202020204" pitchFamily="34" charset="0"/>
              <a:ea typeface="+mn-ea"/>
              <a:cs typeface="Arial" panose="020B0604020202020204" pitchFamily="34" charset="0"/>
            </a:rPr>
            <a:t>Builders for Climate Action (BfCA)</a:t>
          </a:r>
          <a:r>
            <a:rPr lang="en-CA" sz="1100">
              <a:solidFill>
                <a:schemeClr val="tx1"/>
              </a:solidFill>
              <a:effectLst/>
              <a:latin typeface="Arial" panose="020B0604020202020204" pitchFamily="34" charset="0"/>
              <a:ea typeface="+mn-ea"/>
              <a:cs typeface="Arial" panose="020B0604020202020204" pitchFamily="34" charset="0"/>
            </a:rPr>
            <a:t> </a:t>
          </a:r>
          <a:r>
            <a:rPr lang="en-CA" sz="1100" u="none" strike="noStrike">
              <a:solidFill>
                <a:schemeClr val="tx1"/>
              </a:solidFill>
              <a:effectLst/>
              <a:latin typeface="Arial" panose="020B0604020202020204" pitchFamily="34" charset="0"/>
              <a:ea typeface="+mn-ea"/>
              <a:cs typeface="Arial" panose="020B0604020202020204" pitchFamily="34" charset="0"/>
              <a:hlinkClick xmlns:r="http://schemas.openxmlformats.org/officeDocument/2006/relationships" r:id=""/>
            </a:rPr>
            <a:t>https://www.buildersforclimateaction.org/</a:t>
          </a:r>
          <a:r>
            <a:rPr lang="en-CA" sz="1100">
              <a:solidFill>
                <a:schemeClr val="tx1"/>
              </a:solidFill>
              <a:effectLst/>
              <a:latin typeface="Arial" panose="020B0604020202020204" pitchFamily="34" charset="0"/>
              <a:ea typeface="+mn-ea"/>
              <a:cs typeface="Arial" panose="020B0604020202020204" pitchFamily="34" charset="0"/>
            </a:rPr>
            <a:t> in co-creating the Material Carbon Emissions Estimator (MCE2). The development of MCE2 supports their mission to "offer future generations our best efforts to reign in harmful climate change through smart, coordinated and effective action to address emissions in the building sector, while making a world that is just and equitable" and NRCan's mandate of supporting industry in making informed decisions related to energy and carbon performance in the built environment. BfCA would like to thank Erik Bowden, Jacob Deva Racusin, Melanie Trottier and Andrew Jobes for their significant roles in developing this tool. BfCA would like to acknowledge the contributions of Kelly Carmichael toward the development and design of the BEAM calculator. </a:t>
          </a:r>
        </a:p>
      </xdr:txBody>
    </xdr:sp>
    <xdr:clientData/>
  </xdr:oneCellAnchor>
  <xdr:twoCellAnchor editAs="oneCell">
    <xdr:from>
      <xdr:col>0</xdr:col>
      <xdr:colOff>0</xdr:colOff>
      <xdr:row>0</xdr:row>
      <xdr:rowOff>0</xdr:rowOff>
    </xdr:from>
    <xdr:to>
      <xdr:col>2</xdr:col>
      <xdr:colOff>3888486</xdr:colOff>
      <xdr:row>1</xdr:row>
      <xdr:rowOff>31979</xdr:rowOff>
    </xdr:to>
    <xdr:pic>
      <xdr:nvPicPr>
        <xdr:cNvPr id="7" name="Picture 6" hidden="1">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11192256" cy="432029"/>
        </a:xfrm>
        <a:prstGeom prst="rect">
          <a:avLst/>
        </a:prstGeom>
      </xdr:spPr>
    </xdr:pic>
    <xdr:clientData/>
  </xdr:twoCellAnchor>
  <xdr:twoCellAnchor>
    <xdr:from>
      <xdr:col>0</xdr:col>
      <xdr:colOff>281940</xdr:colOff>
      <xdr:row>14</xdr:row>
      <xdr:rowOff>1188720</xdr:rowOff>
    </xdr:from>
    <xdr:to>
      <xdr:col>2</xdr:col>
      <xdr:colOff>335280</xdr:colOff>
      <xdr:row>14</xdr:row>
      <xdr:rowOff>1424940</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281940" y="13373100"/>
          <a:ext cx="7117080" cy="23622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CA" sz="1100">
              <a:latin typeface="Arial" panose="020B0604020202020204" pitchFamily="34" charset="0"/>
              <a:cs typeface="Arial" panose="020B0604020202020204" pitchFamily="34" charset="0"/>
            </a:rPr>
            <a:t>Technical development by BSUITE365 division of </a:t>
          </a:r>
          <a:r>
            <a:rPr lang="en-CA" sz="1100" b="1">
              <a:latin typeface="Arial" panose="020B0604020202020204" pitchFamily="34" charset="0"/>
              <a:cs typeface="Arial" panose="020B0604020202020204" pitchFamily="34" charset="0"/>
            </a:rPr>
            <a:t>BSUPERIOR SYSTEM LTD.</a:t>
          </a:r>
        </a:p>
      </xdr:txBody>
    </xdr:sp>
    <xdr:clientData/>
  </xdr:twoCellAnchor>
  <xdr:twoCellAnchor>
    <xdr:from>
      <xdr:col>1</xdr:col>
      <xdr:colOff>1722120</xdr:colOff>
      <xdr:row>14</xdr:row>
      <xdr:rowOff>1196340</xdr:rowOff>
    </xdr:from>
    <xdr:to>
      <xdr:col>1</xdr:col>
      <xdr:colOff>2461260</xdr:colOff>
      <xdr:row>14</xdr:row>
      <xdr:rowOff>1554480</xdr:rowOff>
    </xdr:to>
    <xdr:sp macro="" textlink="">
      <xdr:nvSpPr>
        <xdr:cNvPr id="6" name="TextBox 5">
          <a:hlinkClick xmlns:r="http://schemas.openxmlformats.org/officeDocument/2006/relationships" r:id="rId4"/>
          <a:extLst>
            <a:ext uri="{FF2B5EF4-FFF2-40B4-BE49-F238E27FC236}">
              <a16:creationId xmlns:a16="http://schemas.microsoft.com/office/drawing/2014/main" id="{00000000-0008-0000-0400-000006000000}"/>
            </a:ext>
          </a:extLst>
        </xdr:cNvPr>
        <xdr:cNvSpPr txBox="1"/>
      </xdr:nvSpPr>
      <xdr:spPr>
        <a:xfrm>
          <a:off x="2042160" y="13380720"/>
          <a:ext cx="739140" cy="3581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rtlCol="0" anchor="t"/>
        <a:lstStyle/>
        <a:p>
          <a:r>
            <a:rPr lang="en-CA" sz="1100" u="sng">
              <a:solidFill>
                <a:schemeClr val="accent1"/>
              </a:solidFill>
              <a:latin typeface="Arial" panose="020B0604020202020204" pitchFamily="34" charset="0"/>
              <a:cs typeface="Arial" panose="020B0604020202020204" pitchFamily="34" charset="0"/>
            </a:rPr>
            <a:t>BSUITE365</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1</xdr:col>
      <xdr:colOff>4053840</xdr:colOff>
      <xdr:row>0</xdr:row>
      <xdr:rowOff>419100</xdr:rowOff>
    </xdr:to>
    <xdr:pic>
      <xdr:nvPicPr>
        <xdr:cNvPr id="4" name="Picture 3">
          <a:extLst>
            <a:ext uri="{FF2B5EF4-FFF2-40B4-BE49-F238E27FC236}">
              <a16:creationId xmlns:a16="http://schemas.microsoft.com/office/drawing/2014/main" id="{00000000-0008-0000-0500-00000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60718" b="4869"/>
        <a:stretch/>
      </xdr:blipFill>
      <xdr:spPr>
        <a:xfrm>
          <a:off x="0" y="9525"/>
          <a:ext cx="4381500" cy="409575"/>
        </a:xfrm>
        <a:prstGeom prst="rect">
          <a:avLst/>
        </a:prstGeom>
      </xdr:spPr>
    </xdr:pic>
    <xdr:clientData/>
  </xdr:twoCellAnchor>
  <xdr:twoCellAnchor>
    <xdr:from>
      <xdr:col>0</xdr:col>
      <xdr:colOff>259080</xdr:colOff>
      <xdr:row>14</xdr:row>
      <xdr:rowOff>169546</xdr:rowOff>
    </xdr:from>
    <xdr:to>
      <xdr:col>2</xdr:col>
      <xdr:colOff>3893820</xdr:colOff>
      <xdr:row>14</xdr:row>
      <xdr:rowOff>1455420</xdr:rowOff>
    </xdr:to>
    <xdr:sp macro="" textlink="">
      <xdr:nvSpPr>
        <xdr:cNvPr id="7" name="TextBox 6">
          <a:extLst>
            <a:ext uri="{FF2B5EF4-FFF2-40B4-BE49-F238E27FC236}">
              <a16:creationId xmlns:a16="http://schemas.microsoft.com/office/drawing/2014/main" id="{00000000-0008-0000-0500-000007000000}"/>
            </a:ext>
          </a:extLst>
        </xdr:cNvPr>
        <xdr:cNvSpPr txBox="1"/>
      </xdr:nvSpPr>
      <xdr:spPr>
        <a:xfrm>
          <a:off x="259080" y="12224386"/>
          <a:ext cx="10698480" cy="12858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CA" sz="1100">
              <a:latin typeface="Arial" panose="020B0604020202020204" pitchFamily="34" charset="0"/>
              <a:cs typeface="Arial" panose="020B0604020202020204" pitchFamily="34" charset="0"/>
            </a:rPr>
            <a:t>RNCan tient à souligner la contribution fondamentale de Chris Magwood et de l'équipe de </a:t>
          </a:r>
          <a:r>
            <a:rPr lang="en-CA" sz="1100" b="1">
              <a:latin typeface="Arial" panose="020B0604020202020204" pitchFamily="34" charset="0"/>
              <a:cs typeface="Arial" panose="020B0604020202020204" pitchFamily="34" charset="0"/>
            </a:rPr>
            <a:t>Builders for Climate Action (BfCA) </a:t>
          </a:r>
          <a:r>
            <a:rPr lang="en-CA" sz="1100">
              <a:latin typeface="Arial" panose="020B0604020202020204" pitchFamily="34" charset="0"/>
              <a:cs typeface="Arial" panose="020B0604020202020204" pitchFamily="34" charset="0"/>
            </a:rPr>
            <a:t>https://www.buildersforclimateaction.org/ dans la co-création du Material Carbon Emissions Estimator (E2CM). Le développement du E2CM soutient la mission de l'organisme, qui consiste à " offrir aux générations futures nos meilleurs efforts pour freiner les changements climatiques nuisibles par une action intelligente, coordonnée et efficace pour réduire les émissions dans le secteur du bâtiment, tout en créant un monde juste et équitable ", ainsi que le mandat de RNCan, qui consiste à aider l'industrie à prendre des décisions éclairées en matière de performance énergétique et de carbone dans l'environnement bâti. BfCA tient à remercier Erik Bowden, Jacob Deva Racusin, Melanie Trottier et Andrew Jobes pour leur rôle important dans le développement de cet outil. BfCA tient à souligner la contribution de Kelly Carmichael au développement et à la conception du calculateur BEAM. </a:t>
          </a:r>
        </a:p>
      </xdr:txBody>
    </xdr:sp>
    <xdr:clientData/>
  </xdr:twoCellAnchor>
  <xdr:twoCellAnchor editAs="oneCell">
    <xdr:from>
      <xdr:col>1</xdr:col>
      <xdr:colOff>771524</xdr:colOff>
      <xdr:row>9</xdr:row>
      <xdr:rowOff>828674</xdr:rowOff>
    </xdr:from>
    <xdr:to>
      <xdr:col>1</xdr:col>
      <xdr:colOff>4888923</xdr:colOff>
      <xdr:row>9</xdr:row>
      <xdr:rowOff>3848099</xdr:rowOff>
    </xdr:to>
    <xdr:pic>
      <xdr:nvPicPr>
        <xdr:cNvPr id="5" name="Picture 4">
          <a:extLst>
            <a:ext uri="{FF2B5EF4-FFF2-40B4-BE49-F238E27FC236}">
              <a16:creationId xmlns:a16="http://schemas.microsoft.com/office/drawing/2014/main" id="{00000000-0008-0000-0500-000005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9926" t="8803" r="11029" b="7923"/>
        <a:stretch/>
      </xdr:blipFill>
      <xdr:spPr>
        <a:xfrm>
          <a:off x="1000124" y="6219824"/>
          <a:ext cx="4117399" cy="3019425"/>
        </a:xfrm>
        <a:prstGeom prst="rect">
          <a:avLst/>
        </a:prstGeom>
      </xdr:spPr>
    </xdr:pic>
    <xdr:clientData/>
  </xdr:twoCellAnchor>
  <xdr:twoCellAnchor>
    <xdr:from>
      <xdr:col>0</xdr:col>
      <xdr:colOff>251460</xdr:colOff>
      <xdr:row>14</xdr:row>
      <xdr:rowOff>1432560</xdr:rowOff>
    </xdr:from>
    <xdr:to>
      <xdr:col>2</xdr:col>
      <xdr:colOff>304800</xdr:colOff>
      <xdr:row>14</xdr:row>
      <xdr:rowOff>1729740</xdr:rowOff>
    </xdr:to>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251460" y="13487400"/>
          <a:ext cx="7117080" cy="29718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CA" sz="1100">
              <a:latin typeface="Arial" panose="020B0604020202020204" pitchFamily="34" charset="0"/>
              <a:cs typeface="Arial" panose="020B0604020202020204" pitchFamily="34" charset="0"/>
            </a:rPr>
            <a:t>Développement technique par la division BSUITE365 de </a:t>
          </a:r>
          <a:r>
            <a:rPr lang="en-CA" sz="1100" b="1">
              <a:latin typeface="Arial" panose="020B0604020202020204" pitchFamily="34" charset="0"/>
              <a:cs typeface="Arial" panose="020B0604020202020204" pitchFamily="34" charset="0"/>
            </a:rPr>
            <a:t>BSUPERIOR SYSTEM LTD.</a:t>
          </a:r>
        </a:p>
      </xdr:txBody>
    </xdr:sp>
    <xdr:clientData/>
  </xdr:twoCellAnchor>
  <xdr:twoCellAnchor>
    <xdr:from>
      <xdr:col>1</xdr:col>
      <xdr:colOff>2583180</xdr:colOff>
      <xdr:row>14</xdr:row>
      <xdr:rowOff>1440180</xdr:rowOff>
    </xdr:from>
    <xdr:to>
      <xdr:col>1</xdr:col>
      <xdr:colOff>3322320</xdr:colOff>
      <xdr:row>14</xdr:row>
      <xdr:rowOff>1798320</xdr:rowOff>
    </xdr:to>
    <xdr:sp macro="" textlink="">
      <xdr:nvSpPr>
        <xdr:cNvPr id="8" name="TextBox 7">
          <a:hlinkClick xmlns:r="http://schemas.openxmlformats.org/officeDocument/2006/relationships" r:id="rId3"/>
          <a:extLst>
            <a:ext uri="{FF2B5EF4-FFF2-40B4-BE49-F238E27FC236}">
              <a16:creationId xmlns:a16="http://schemas.microsoft.com/office/drawing/2014/main" id="{00000000-0008-0000-0500-000008000000}"/>
            </a:ext>
          </a:extLst>
        </xdr:cNvPr>
        <xdr:cNvSpPr txBox="1"/>
      </xdr:nvSpPr>
      <xdr:spPr>
        <a:xfrm>
          <a:off x="2903220" y="13495020"/>
          <a:ext cx="739140" cy="3581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rtlCol="0" anchor="t"/>
        <a:lstStyle/>
        <a:p>
          <a:r>
            <a:rPr lang="en-CA" sz="1100" u="sng">
              <a:solidFill>
                <a:schemeClr val="accent1"/>
              </a:solidFill>
              <a:latin typeface="Arial" panose="020B0604020202020204" pitchFamily="34" charset="0"/>
              <a:cs typeface="Arial" panose="020B0604020202020204" pitchFamily="34" charset="0"/>
            </a:rPr>
            <a:t>BSUITE365</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340098</xdr:colOff>
      <xdr:row>7</xdr:row>
      <xdr:rowOff>79561</xdr:rowOff>
    </xdr:from>
    <xdr:to>
      <xdr:col>11</xdr:col>
      <xdr:colOff>523874</xdr:colOff>
      <xdr:row>8</xdr:row>
      <xdr:rowOff>373811</xdr:rowOff>
    </xdr:to>
    <xdr:sp macro="[0]!Btn_ImportHot2000" textlink="">
      <xdr:nvSpPr>
        <xdr:cNvPr id="2" name="Rectangle: Rounded Corners 1">
          <a:extLst>
            <a:ext uri="{FF2B5EF4-FFF2-40B4-BE49-F238E27FC236}">
              <a16:creationId xmlns:a16="http://schemas.microsoft.com/office/drawing/2014/main" id="{00000000-0008-0000-0600-000002000000}"/>
            </a:ext>
          </a:extLst>
        </xdr:cNvPr>
        <xdr:cNvSpPr/>
      </xdr:nvSpPr>
      <xdr:spPr>
        <a:xfrm>
          <a:off x="997323" y="2260786"/>
          <a:ext cx="7927601" cy="522850"/>
        </a:xfrm>
        <a:prstGeom prst="roundRect">
          <a:avLst/>
        </a:prstGeom>
        <a:solidFill>
          <a:schemeClr val="accent6">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2000" baseline="0">
              <a:latin typeface="Arial" panose="020B0604020202020204" pitchFamily="34" charset="0"/>
              <a:cs typeface="Arial" panose="020B0604020202020204" pitchFamily="34" charset="0"/>
            </a:rPr>
            <a:t>Press Here to import HOT2000 Data</a:t>
          </a:r>
        </a:p>
      </xdr:txBody>
    </xdr:sp>
    <xdr:clientData/>
  </xdr:twoCellAnchor>
  <xdr:oneCellAnchor>
    <xdr:from>
      <xdr:col>0</xdr:col>
      <xdr:colOff>860612</xdr:colOff>
      <xdr:row>9</xdr:row>
      <xdr:rowOff>214593</xdr:rowOff>
    </xdr:from>
    <xdr:ext cx="184731" cy="264560"/>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377532" y="280251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CA" sz="1100"/>
        </a:p>
      </xdr:txBody>
    </xdr:sp>
    <xdr:clientData/>
  </xdr:oneCellAnchor>
  <xdr:twoCellAnchor editAs="oneCell">
    <xdr:from>
      <xdr:col>0</xdr:col>
      <xdr:colOff>456691</xdr:colOff>
      <xdr:row>6</xdr:row>
      <xdr:rowOff>69485</xdr:rowOff>
    </xdr:from>
    <xdr:to>
      <xdr:col>1</xdr:col>
      <xdr:colOff>207964</xdr:colOff>
      <xdr:row>6</xdr:row>
      <xdr:rowOff>478510</xdr:rowOff>
    </xdr:to>
    <xdr:pic>
      <xdr:nvPicPr>
        <xdr:cNvPr id="6" name="Graphic 5" descr="Badge 1 with solid fill">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6691" y="1683132"/>
          <a:ext cx="416099" cy="409025"/>
        </a:xfrm>
        <a:prstGeom prst="rect">
          <a:avLst/>
        </a:prstGeom>
      </xdr:spPr>
    </xdr:pic>
    <xdr:clientData/>
  </xdr:twoCellAnchor>
  <xdr:oneCellAnchor>
    <xdr:from>
      <xdr:col>0</xdr:col>
      <xdr:colOff>450078</xdr:colOff>
      <xdr:row>13</xdr:row>
      <xdr:rowOff>164112</xdr:rowOff>
    </xdr:from>
    <xdr:ext cx="409025" cy="409025"/>
    <xdr:pic>
      <xdr:nvPicPr>
        <xdr:cNvPr id="7" name="Graphic 6" descr="Badge with solid fill">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a:stretch/>
      </xdr:blipFill>
      <xdr:spPr>
        <a:xfrm>
          <a:off x="450078" y="3859812"/>
          <a:ext cx="409025" cy="409025"/>
        </a:xfrm>
        <a:prstGeom prst="rect">
          <a:avLst/>
        </a:prstGeom>
      </xdr:spPr>
    </xdr:pic>
    <xdr:clientData/>
  </xdr:oneCellAnchor>
  <xdr:oneCellAnchor>
    <xdr:from>
      <xdr:col>0</xdr:col>
      <xdr:colOff>429780</xdr:colOff>
      <xdr:row>23</xdr:row>
      <xdr:rowOff>252163</xdr:rowOff>
    </xdr:from>
    <xdr:ext cx="409025" cy="409025"/>
    <xdr:pic>
      <xdr:nvPicPr>
        <xdr:cNvPr id="8" name="Graphic 7" descr="Badge 3 with solid fill">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a:stretch/>
      </xdr:blipFill>
      <xdr:spPr>
        <a:xfrm>
          <a:off x="429780" y="6838684"/>
          <a:ext cx="409025" cy="409025"/>
        </a:xfrm>
        <a:prstGeom prst="rect">
          <a:avLst/>
        </a:prstGeom>
      </xdr:spPr>
    </xdr:pic>
    <xdr:clientData/>
  </xdr:oneCellAnchor>
  <xdr:oneCellAnchor>
    <xdr:from>
      <xdr:col>0</xdr:col>
      <xdr:colOff>439929</xdr:colOff>
      <xdr:row>57</xdr:row>
      <xdr:rowOff>236941</xdr:rowOff>
    </xdr:from>
    <xdr:ext cx="409025" cy="409025"/>
    <xdr:pic>
      <xdr:nvPicPr>
        <xdr:cNvPr id="9" name="Graphic 8" descr="Badge 4 with solid fill">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rcRect/>
        <a:stretch/>
      </xdr:blipFill>
      <xdr:spPr>
        <a:xfrm>
          <a:off x="439929" y="13998610"/>
          <a:ext cx="409025" cy="409025"/>
        </a:xfrm>
        <a:prstGeom prst="rect">
          <a:avLst/>
        </a:prstGeom>
      </xdr:spPr>
    </xdr:pic>
    <xdr:clientData/>
  </xdr:oneCellAnchor>
  <xdr:oneCellAnchor>
    <xdr:from>
      <xdr:col>0</xdr:col>
      <xdr:colOff>439929</xdr:colOff>
      <xdr:row>60</xdr:row>
      <xdr:rowOff>145603</xdr:rowOff>
    </xdr:from>
    <xdr:ext cx="409025" cy="409025"/>
    <xdr:pic>
      <xdr:nvPicPr>
        <xdr:cNvPr id="10" name="Graphic 9" descr="Badge 5 with solid fill">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asvg="http://schemas.microsoft.com/office/drawing/2016/SVG/main" r:embed="rId10"/>
            </a:ext>
          </a:extLst>
        </a:blip>
        <a:srcRect/>
        <a:stretch/>
      </xdr:blipFill>
      <xdr:spPr>
        <a:xfrm>
          <a:off x="439929" y="14668427"/>
          <a:ext cx="409025" cy="409025"/>
        </a:xfrm>
        <a:prstGeom prst="rect">
          <a:avLst/>
        </a:prstGeom>
      </xdr:spPr>
    </xdr:pic>
    <xdr:clientData/>
  </xdr:oneCellAnchor>
  <xdr:oneCellAnchor>
    <xdr:from>
      <xdr:col>0</xdr:col>
      <xdr:colOff>439929</xdr:colOff>
      <xdr:row>63</xdr:row>
      <xdr:rowOff>145603</xdr:rowOff>
    </xdr:from>
    <xdr:ext cx="409025" cy="409025"/>
    <xdr:pic>
      <xdr:nvPicPr>
        <xdr:cNvPr id="11" name="Graphic 10" descr="Badge 6 with solid fill">
          <a:extLst>
            <a:ext uri="{FF2B5EF4-FFF2-40B4-BE49-F238E27FC236}">
              <a16:creationId xmlns:a16="http://schemas.microsoft.com/office/drawing/2014/main" id="{00000000-0008-0000-0600-00000B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rcRect/>
        <a:stretch/>
      </xdr:blipFill>
      <xdr:spPr>
        <a:xfrm>
          <a:off x="439929" y="14935112"/>
          <a:ext cx="409025" cy="409025"/>
        </a:xfrm>
        <a:prstGeom prst="rect">
          <a:avLst/>
        </a:prstGeom>
      </xdr:spPr>
    </xdr:pic>
    <xdr:clientData/>
  </xdr:oneCellAnchor>
  <xdr:oneCellAnchor>
    <xdr:from>
      <xdr:col>0</xdr:col>
      <xdr:colOff>860612</xdr:colOff>
      <xdr:row>44</xdr:row>
      <xdr:rowOff>0</xdr:rowOff>
    </xdr:from>
    <xdr:ext cx="184731" cy="264560"/>
    <xdr:sp macro="" textlink="">
      <xdr:nvSpPr>
        <xdr:cNvPr id="12" name="TextBox 11">
          <a:extLst>
            <a:ext uri="{FF2B5EF4-FFF2-40B4-BE49-F238E27FC236}">
              <a16:creationId xmlns:a16="http://schemas.microsoft.com/office/drawing/2014/main" id="{00000000-0008-0000-0600-00000C000000}"/>
            </a:ext>
          </a:extLst>
        </xdr:cNvPr>
        <xdr:cNvSpPr txBox="1"/>
      </xdr:nvSpPr>
      <xdr:spPr>
        <a:xfrm>
          <a:off x="584566" y="1450963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CA" sz="1100"/>
        </a:p>
      </xdr:txBody>
    </xdr:sp>
    <xdr:clientData/>
  </xdr:oneCellAnchor>
  <xdr:oneCellAnchor>
    <xdr:from>
      <xdr:col>0</xdr:col>
      <xdr:colOff>439929</xdr:colOff>
      <xdr:row>57</xdr:row>
      <xdr:rowOff>236941</xdr:rowOff>
    </xdr:from>
    <xdr:ext cx="409025" cy="409025"/>
    <xdr:pic>
      <xdr:nvPicPr>
        <xdr:cNvPr id="13" name="Graphic 12" descr="Badge 4 with solid fill">
          <a:extLst>
            <a:ext uri="{FF2B5EF4-FFF2-40B4-BE49-F238E27FC236}">
              <a16:creationId xmlns:a16="http://schemas.microsoft.com/office/drawing/2014/main" id="{00000000-0008-0000-0600-00000D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rcRect/>
        <a:stretch/>
      </xdr:blipFill>
      <xdr:spPr>
        <a:xfrm>
          <a:off x="439929" y="20138081"/>
          <a:ext cx="409025" cy="409025"/>
        </a:xfrm>
        <a:prstGeom prst="rect">
          <a:avLst/>
        </a:prstGeom>
      </xdr:spPr>
    </xdr:pic>
    <xdr:clientData/>
  </xdr:oneCellAnchor>
  <xdr:oneCellAnchor>
    <xdr:from>
      <xdr:col>0</xdr:col>
      <xdr:colOff>439929</xdr:colOff>
      <xdr:row>60</xdr:row>
      <xdr:rowOff>145603</xdr:rowOff>
    </xdr:from>
    <xdr:ext cx="409025" cy="409025"/>
    <xdr:pic>
      <xdr:nvPicPr>
        <xdr:cNvPr id="14" name="Graphic 13" descr="Badge 5 with solid fill">
          <a:extLst>
            <a:ext uri="{FF2B5EF4-FFF2-40B4-BE49-F238E27FC236}">
              <a16:creationId xmlns:a16="http://schemas.microsoft.com/office/drawing/2014/main" id="{00000000-0008-0000-0600-00000E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asvg="http://schemas.microsoft.com/office/drawing/2016/SVG/main" r:embed="rId10"/>
            </a:ext>
          </a:extLst>
        </a:blip>
        <a:srcRect/>
        <a:stretch/>
      </xdr:blipFill>
      <xdr:spPr>
        <a:xfrm>
          <a:off x="439929" y="20805867"/>
          <a:ext cx="409025" cy="409025"/>
        </a:xfrm>
        <a:prstGeom prst="rect">
          <a:avLst/>
        </a:prstGeom>
      </xdr:spPr>
    </xdr:pic>
    <xdr:clientData/>
  </xdr:oneCellAnchor>
  <xdr:oneCellAnchor>
    <xdr:from>
      <xdr:col>0</xdr:col>
      <xdr:colOff>439929</xdr:colOff>
      <xdr:row>63</xdr:row>
      <xdr:rowOff>145603</xdr:rowOff>
    </xdr:from>
    <xdr:ext cx="409025" cy="409025"/>
    <xdr:pic>
      <xdr:nvPicPr>
        <xdr:cNvPr id="15" name="Graphic 14" descr="Badge 6 with solid fill">
          <a:extLst>
            <a:ext uri="{FF2B5EF4-FFF2-40B4-BE49-F238E27FC236}">
              <a16:creationId xmlns:a16="http://schemas.microsoft.com/office/drawing/2014/main" id="{00000000-0008-0000-0600-00000F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rcRect/>
        <a:stretch/>
      </xdr:blipFill>
      <xdr:spPr>
        <a:xfrm>
          <a:off x="439929" y="21504607"/>
          <a:ext cx="409025" cy="409025"/>
        </a:xfrm>
        <a:prstGeom prst="rect">
          <a:avLst/>
        </a:prstGeom>
      </xdr:spPr>
    </xdr:pic>
    <xdr:clientData/>
  </xdr:oneCellAnchor>
  <xdr:twoCellAnchor>
    <xdr:from>
      <xdr:col>6</xdr:col>
      <xdr:colOff>124673</xdr:colOff>
      <xdr:row>10</xdr:row>
      <xdr:rowOff>33509</xdr:rowOff>
    </xdr:from>
    <xdr:to>
      <xdr:col>11</xdr:col>
      <xdr:colOff>495300</xdr:colOff>
      <xdr:row>11</xdr:row>
      <xdr:rowOff>288133</xdr:rowOff>
    </xdr:to>
    <xdr:sp macro="[0]!Btn_ClearUserInputSheet" textlink="">
      <xdr:nvSpPr>
        <xdr:cNvPr id="16" name="Rectangle: Rounded Corners 15">
          <a:extLst>
            <a:ext uri="{FF2B5EF4-FFF2-40B4-BE49-F238E27FC236}">
              <a16:creationId xmlns:a16="http://schemas.microsoft.com/office/drawing/2014/main" id="{00000000-0008-0000-0600-000010000000}"/>
            </a:ext>
          </a:extLst>
        </xdr:cNvPr>
        <xdr:cNvSpPr/>
      </xdr:nvSpPr>
      <xdr:spPr>
        <a:xfrm>
          <a:off x="5363423" y="2900534"/>
          <a:ext cx="3532927" cy="483224"/>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 (User Input)</a:t>
          </a:r>
        </a:p>
      </xdr:txBody>
    </xdr:sp>
    <xdr:clientData/>
  </xdr:twoCellAnchor>
  <xdr:twoCellAnchor>
    <xdr:from>
      <xdr:col>1</xdr:col>
      <xdr:colOff>335755</xdr:colOff>
      <xdr:row>10</xdr:row>
      <xdr:rowOff>35720</xdr:rowOff>
    </xdr:from>
    <xdr:to>
      <xdr:col>6</xdr:col>
      <xdr:colOff>57149</xdr:colOff>
      <xdr:row>11</xdr:row>
      <xdr:rowOff>290344</xdr:rowOff>
    </xdr:to>
    <xdr:sp macro="[0]!Btn_ClearUisAndCmSheets" textlink="">
      <xdr:nvSpPr>
        <xdr:cNvPr id="17" name="Rectangle: Rounded Corners 16">
          <a:extLst>
            <a:ext uri="{FF2B5EF4-FFF2-40B4-BE49-F238E27FC236}">
              <a16:creationId xmlns:a16="http://schemas.microsoft.com/office/drawing/2014/main" id="{00000000-0008-0000-0600-000011000000}"/>
            </a:ext>
          </a:extLst>
        </xdr:cNvPr>
        <xdr:cNvSpPr/>
      </xdr:nvSpPr>
      <xdr:spPr>
        <a:xfrm>
          <a:off x="992980" y="2902745"/>
          <a:ext cx="4302919" cy="483224"/>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All (User Input and all Assembly Tabs)</a:t>
          </a:r>
        </a:p>
      </xdr:txBody>
    </xdr:sp>
    <xdr:clientData/>
  </xdr:twoCellAnchor>
  <xdr:twoCellAnchor editAs="oneCell">
    <xdr:from>
      <xdr:col>0</xdr:col>
      <xdr:colOff>0</xdr:colOff>
      <xdr:row>0</xdr:row>
      <xdr:rowOff>1</xdr:rowOff>
    </xdr:from>
    <xdr:to>
      <xdr:col>5</xdr:col>
      <xdr:colOff>321468</xdr:colOff>
      <xdr:row>0</xdr:row>
      <xdr:rowOff>583406</xdr:rowOff>
    </xdr:to>
    <xdr:pic>
      <xdr:nvPicPr>
        <xdr:cNvPr id="5" name="Picture 4">
          <a:extLst>
            <a:ext uri="{FF2B5EF4-FFF2-40B4-BE49-F238E27FC236}">
              <a16:creationId xmlns:a16="http://schemas.microsoft.com/office/drawing/2014/main" id="{00000000-0008-0000-0600-000005000000}"/>
            </a:ext>
          </a:extLst>
        </xdr:cNvPr>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r="63228" b="11533"/>
        <a:stretch/>
      </xdr:blipFill>
      <xdr:spPr>
        <a:xfrm>
          <a:off x="0" y="1"/>
          <a:ext cx="5262562" cy="583405"/>
        </a:xfrm>
        <a:prstGeom prst="rect">
          <a:avLst/>
        </a:prstGeom>
      </xdr:spPr>
    </xdr:pic>
    <xdr:clientData/>
  </xdr:twoCellAnchor>
  <xdr:twoCellAnchor editAs="oneCell">
    <xdr:from>
      <xdr:col>0</xdr:col>
      <xdr:colOff>0</xdr:colOff>
      <xdr:row>0</xdr:row>
      <xdr:rowOff>71438</xdr:rowOff>
    </xdr:from>
    <xdr:to>
      <xdr:col>6</xdr:col>
      <xdr:colOff>185737</xdr:colOff>
      <xdr:row>0</xdr:row>
      <xdr:rowOff>571500</xdr:rowOff>
    </xdr:to>
    <xdr:pic>
      <xdr:nvPicPr>
        <xdr:cNvPr id="19" name="Picture 18" hidden="1">
          <a:extLst>
            <a:ext uri="{FF2B5EF4-FFF2-40B4-BE49-F238E27FC236}">
              <a16:creationId xmlns:a16="http://schemas.microsoft.com/office/drawing/2014/main" id="{00000000-0008-0000-0600-000013000000}"/>
            </a:ext>
          </a:extLst>
        </xdr:cNvPr>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r="61312" b="9473"/>
        <a:stretch/>
      </xdr:blipFill>
      <xdr:spPr>
        <a:xfrm>
          <a:off x="0" y="71438"/>
          <a:ext cx="5536406" cy="500062"/>
        </a:xfrm>
        <a:prstGeom prst="rect">
          <a:avLst/>
        </a:prstGeom>
      </xdr:spPr>
    </xdr:pic>
    <xdr:clientData/>
  </xdr:twoCellAnchor>
  <xdr:twoCellAnchor editAs="oneCell">
    <xdr:from>
      <xdr:col>10</xdr:col>
      <xdr:colOff>552450</xdr:colOff>
      <xdr:row>13</xdr:row>
      <xdr:rowOff>285750</xdr:rowOff>
    </xdr:from>
    <xdr:to>
      <xdr:col>11</xdr:col>
      <xdr:colOff>251460</xdr:colOff>
      <xdr:row>13</xdr:row>
      <xdr:rowOff>491490</xdr:rowOff>
    </xdr:to>
    <xdr:pic macro="[0]!Btn_Biogenic_Convert_To_No_Toggle">
      <xdr:nvPicPr>
        <xdr:cNvPr id="18" name="Picture_yes_toggle" hidden="1">
          <a:extLst>
            <a:ext uri="{FF2B5EF4-FFF2-40B4-BE49-F238E27FC236}">
              <a16:creationId xmlns:a16="http://schemas.microsoft.com/office/drawing/2014/main" id="{00000000-0008-0000-0600-000012000000}"/>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7991475" y="3981450"/>
          <a:ext cx="556260" cy="205740"/>
        </a:xfrm>
        <a:prstGeom prst="rect">
          <a:avLst/>
        </a:prstGeom>
      </xdr:spPr>
    </xdr:pic>
    <xdr:clientData/>
  </xdr:twoCellAnchor>
  <xdr:twoCellAnchor editAs="oneCell">
    <xdr:from>
      <xdr:col>10</xdr:col>
      <xdr:colOff>561975</xdr:colOff>
      <xdr:row>13</xdr:row>
      <xdr:rowOff>266700</xdr:rowOff>
    </xdr:from>
    <xdr:to>
      <xdr:col>11</xdr:col>
      <xdr:colOff>260985</xdr:colOff>
      <xdr:row>13</xdr:row>
      <xdr:rowOff>487680</xdr:rowOff>
    </xdr:to>
    <xdr:pic macro="[0]!Btn_Biogenic_Convert_To_Yes_Toggle">
      <xdr:nvPicPr>
        <xdr:cNvPr id="21" name="Picture_no_toggle" hidden="1">
          <a:extLst>
            <a:ext uri="{FF2B5EF4-FFF2-40B4-BE49-F238E27FC236}">
              <a16:creationId xmlns:a16="http://schemas.microsoft.com/office/drawing/2014/main" id="{00000000-0008-0000-0600-000015000000}"/>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8001000" y="3962400"/>
          <a:ext cx="556260" cy="220980"/>
        </a:xfrm>
        <a:prstGeom prst="rect">
          <a:avLst/>
        </a:prstGeom>
      </xdr:spPr>
    </xdr:pic>
    <xdr:clientData/>
  </xdr:twoCellAnchor>
  <xdr:twoCellAnchor>
    <xdr:from>
      <xdr:col>6</xdr:col>
      <xdr:colOff>514350</xdr:colOff>
      <xdr:row>12</xdr:row>
      <xdr:rowOff>171450</xdr:rowOff>
    </xdr:from>
    <xdr:to>
      <xdr:col>11</xdr:col>
      <xdr:colOff>495300</xdr:colOff>
      <xdr:row>13</xdr:row>
      <xdr:rowOff>552450</xdr:rowOff>
    </xdr:to>
    <xdr:sp macro="" textlink="">
      <xdr:nvSpPr>
        <xdr:cNvPr id="23" name="Rectangle: Rounded Corners 22" hidden="1">
          <a:extLst>
            <a:ext uri="{FF2B5EF4-FFF2-40B4-BE49-F238E27FC236}">
              <a16:creationId xmlns:a16="http://schemas.microsoft.com/office/drawing/2014/main" id="{00000000-0008-0000-0600-000017000000}"/>
            </a:ext>
          </a:extLst>
        </xdr:cNvPr>
        <xdr:cNvSpPr/>
      </xdr:nvSpPr>
      <xdr:spPr>
        <a:xfrm>
          <a:off x="5648325" y="3657600"/>
          <a:ext cx="3143250" cy="590550"/>
        </a:xfrm>
        <a:prstGeom prst="roundRect">
          <a:avLst/>
        </a:prstGeom>
        <a:no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r>
            <a:rPr lang="en-CA" sz="1400">
              <a:solidFill>
                <a:schemeClr val="tx1"/>
              </a:solidFill>
            </a:rPr>
            <a:t>Biogenic Carbon Storage</a:t>
          </a:r>
        </a:p>
        <a:p>
          <a:r>
            <a:rPr lang="en-CA" sz="1400">
              <a:solidFill>
                <a:schemeClr val="tx1"/>
              </a:solidFill>
            </a:rPr>
            <a:t>Virgin Timber</a:t>
          </a:r>
        </a:p>
        <a:p>
          <a:pPr algn="l"/>
          <a:endParaRPr lang="en-CA"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7620</xdr:colOff>
      <xdr:row>0</xdr:row>
      <xdr:rowOff>7620</xdr:rowOff>
    </xdr:from>
    <xdr:to>
      <xdr:col>23</xdr:col>
      <xdr:colOff>289560</xdr:colOff>
      <xdr:row>2</xdr:row>
      <xdr:rowOff>114300</xdr:rowOff>
    </xdr:to>
    <xdr:sp macro="" textlink="">
      <xdr:nvSpPr>
        <xdr:cNvPr id="2" name="TextBox 1">
          <a:extLst>
            <a:ext uri="{FF2B5EF4-FFF2-40B4-BE49-F238E27FC236}">
              <a16:creationId xmlns:a16="http://schemas.microsoft.com/office/drawing/2014/main" id="{00000000-0008-0000-0700-000002000000}"/>
            </a:ext>
          </a:extLst>
        </xdr:cNvPr>
        <xdr:cNvSpPr txBox="1"/>
      </xdr:nvSpPr>
      <xdr:spPr>
        <a:xfrm>
          <a:off x="11079480" y="7620"/>
          <a:ext cx="6865620" cy="5105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 His Majesty the king in Right of Canada, as represented by the Minister of Natural Resources, 2025</a:t>
          </a:r>
          <a:br>
            <a:rPr lang="en-US" sz="1200"/>
          </a:br>
          <a:r>
            <a:rPr lang="en-US" sz="1200"/>
            <a:t>© Sa Majesté le Roi du chef du Canada, représentée par le ministre de Ressources naturelles, 2025</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13</xdr:col>
      <xdr:colOff>888202</xdr:colOff>
      <xdr:row>0</xdr:row>
      <xdr:rowOff>147638</xdr:rowOff>
    </xdr:from>
    <xdr:to>
      <xdr:col>14</xdr:col>
      <xdr:colOff>295276</xdr:colOff>
      <xdr:row>0</xdr:row>
      <xdr:rowOff>626100</xdr:rowOff>
    </xdr:to>
    <xdr:sp macro="[0]!Btn_ClearActiveCommonSheet" textlink="">
      <xdr:nvSpPr>
        <xdr:cNvPr id="3" name="Rectangle: Rounded Corners 2">
          <a:extLst>
            <a:ext uri="{FF2B5EF4-FFF2-40B4-BE49-F238E27FC236}">
              <a16:creationId xmlns:a16="http://schemas.microsoft.com/office/drawing/2014/main" id="{00000000-0008-0000-0800-000003000000}"/>
            </a:ext>
          </a:extLst>
        </xdr:cNvPr>
        <xdr:cNvSpPr/>
      </xdr:nvSpPr>
      <xdr:spPr>
        <a:xfrm>
          <a:off x="14213677" y="147638"/>
          <a:ext cx="2197899"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twoCellAnchor editAs="oneCell">
    <xdr:from>
      <xdr:col>6</xdr:col>
      <xdr:colOff>11906</xdr:colOff>
      <xdr:row>4</xdr:row>
      <xdr:rowOff>511968</xdr:rowOff>
    </xdr:from>
    <xdr:to>
      <xdr:col>6</xdr:col>
      <xdr:colOff>173854</xdr:colOff>
      <xdr:row>4</xdr:row>
      <xdr:rowOff>673916</xdr:rowOff>
    </xdr:to>
    <xdr:pic macro="[0]!Btn_SelectThicknessUnit">
      <xdr:nvPicPr>
        <xdr:cNvPr id="4" name="img_tka_crushed_stone_base">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48812" y="2571749"/>
          <a:ext cx="161948" cy="161948"/>
        </a:xfrm>
        <a:prstGeom prst="rect">
          <a:avLst/>
        </a:prstGeom>
      </xdr:spPr>
    </xdr:pic>
    <xdr:clientData/>
  </xdr:twoCellAnchor>
  <xdr:twoCellAnchor editAs="oneCell">
    <xdr:from>
      <xdr:col>6</xdr:col>
      <xdr:colOff>11906</xdr:colOff>
      <xdr:row>46</xdr:row>
      <xdr:rowOff>511967</xdr:rowOff>
    </xdr:from>
    <xdr:to>
      <xdr:col>6</xdr:col>
      <xdr:colOff>173854</xdr:colOff>
      <xdr:row>46</xdr:row>
      <xdr:rowOff>673915</xdr:rowOff>
    </xdr:to>
    <xdr:pic macro="[0]!Btn_SelectThicknessUnit">
      <xdr:nvPicPr>
        <xdr:cNvPr id="5" name="img_tka_concrete_slab_floors">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48812" y="17668873"/>
          <a:ext cx="161948" cy="16194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12</xdr:col>
      <xdr:colOff>57150</xdr:colOff>
      <xdr:row>0</xdr:row>
      <xdr:rowOff>128588</xdr:rowOff>
    </xdr:from>
    <xdr:to>
      <xdr:col>13</xdr:col>
      <xdr:colOff>1445423</xdr:colOff>
      <xdr:row>0</xdr:row>
      <xdr:rowOff>607050</xdr:rowOff>
    </xdr:to>
    <xdr:sp macro="[0]!Btn_ClearActiveCommonSheet" textlink="">
      <xdr:nvSpPr>
        <xdr:cNvPr id="2" name="Rectangle: Rounded Corners 1">
          <a:extLst>
            <a:ext uri="{FF2B5EF4-FFF2-40B4-BE49-F238E27FC236}">
              <a16:creationId xmlns:a16="http://schemas.microsoft.com/office/drawing/2014/main" id="{00000000-0008-0000-0900-000002000000}"/>
            </a:ext>
          </a:extLst>
        </xdr:cNvPr>
        <xdr:cNvSpPr/>
      </xdr:nvSpPr>
      <xdr:spPr>
        <a:xfrm>
          <a:off x="12334875" y="128588"/>
          <a:ext cx="2445548"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twoCellAnchor editAs="oneCell">
    <xdr:from>
      <xdr:col>6</xdr:col>
      <xdr:colOff>11906</xdr:colOff>
      <xdr:row>4</xdr:row>
      <xdr:rowOff>511965</xdr:rowOff>
    </xdr:from>
    <xdr:to>
      <xdr:col>6</xdr:col>
      <xdr:colOff>173854</xdr:colOff>
      <xdr:row>4</xdr:row>
      <xdr:rowOff>673913</xdr:rowOff>
    </xdr:to>
    <xdr:pic macro="[0]!Btn_SelectThicknessUnit">
      <xdr:nvPicPr>
        <xdr:cNvPr id="3" name="img_tka_concrete_walls">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94031" y="2571746"/>
          <a:ext cx="161948" cy="161948"/>
        </a:xfrm>
        <a:prstGeom prst="rect">
          <a:avLst/>
        </a:prstGeom>
      </xdr:spPr>
    </xdr:pic>
    <xdr:clientData/>
  </xdr:twoCellAnchor>
  <xdr:twoCellAnchor editAs="oneCell">
    <xdr:from>
      <xdr:col>5</xdr:col>
      <xdr:colOff>11906</xdr:colOff>
      <xdr:row>144</xdr:row>
      <xdr:rowOff>511966</xdr:rowOff>
    </xdr:from>
    <xdr:to>
      <xdr:col>5</xdr:col>
      <xdr:colOff>173854</xdr:colOff>
      <xdr:row>144</xdr:row>
      <xdr:rowOff>673914</xdr:rowOff>
    </xdr:to>
    <xdr:pic macro="[0]!Btn_SelectThicknessUnit">
      <xdr:nvPicPr>
        <xdr:cNvPr id="4" name="img_tka_fw1">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31646810"/>
          <a:ext cx="161948" cy="161948"/>
        </a:xfrm>
        <a:prstGeom prst="rect">
          <a:avLst/>
        </a:prstGeom>
      </xdr:spPr>
    </xdr:pic>
    <xdr:clientData/>
  </xdr:twoCellAnchor>
  <xdr:twoCellAnchor editAs="oneCell">
    <xdr:from>
      <xdr:col>5</xdr:col>
      <xdr:colOff>11906</xdr:colOff>
      <xdr:row>173</xdr:row>
      <xdr:rowOff>511965</xdr:rowOff>
    </xdr:from>
    <xdr:to>
      <xdr:col>5</xdr:col>
      <xdr:colOff>173854</xdr:colOff>
      <xdr:row>173</xdr:row>
      <xdr:rowOff>673913</xdr:rowOff>
    </xdr:to>
    <xdr:pic macro="[0]!Btn_SelectThicknessUnit">
      <xdr:nvPicPr>
        <xdr:cNvPr id="5" name="img_tka_fw2">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34218559"/>
          <a:ext cx="161948" cy="16194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12</xdr:col>
      <xdr:colOff>76200</xdr:colOff>
      <xdr:row>0</xdr:row>
      <xdr:rowOff>128588</xdr:rowOff>
    </xdr:from>
    <xdr:to>
      <xdr:col>13</xdr:col>
      <xdr:colOff>1447806</xdr:colOff>
      <xdr:row>0</xdr:row>
      <xdr:rowOff>607050</xdr:rowOff>
    </xdr:to>
    <xdr:sp macro="[0]!Btn_ClearActiveCommonSheet" textlink="">
      <xdr:nvSpPr>
        <xdr:cNvPr id="2" name="Rectangle: Rounded Corners 1">
          <a:extLst>
            <a:ext uri="{FF2B5EF4-FFF2-40B4-BE49-F238E27FC236}">
              <a16:creationId xmlns:a16="http://schemas.microsoft.com/office/drawing/2014/main" id="{00000000-0008-0000-0A00-000002000000}"/>
            </a:ext>
          </a:extLst>
        </xdr:cNvPr>
        <xdr:cNvSpPr/>
      </xdr:nvSpPr>
      <xdr:spPr>
        <a:xfrm>
          <a:off x="12201525" y="128588"/>
          <a:ext cx="2428881"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12</xdr:col>
      <xdr:colOff>47625</xdr:colOff>
      <xdr:row>0</xdr:row>
      <xdr:rowOff>90488</xdr:rowOff>
    </xdr:from>
    <xdr:to>
      <xdr:col>13</xdr:col>
      <xdr:colOff>1588298</xdr:colOff>
      <xdr:row>0</xdr:row>
      <xdr:rowOff>568950</xdr:rowOff>
    </xdr:to>
    <xdr:sp macro="[0]!Btn_ClearActiveCommonSheet" textlink="">
      <xdr:nvSpPr>
        <xdr:cNvPr id="2" name="Rectangle: Rounded Corners 1">
          <a:extLst>
            <a:ext uri="{FF2B5EF4-FFF2-40B4-BE49-F238E27FC236}">
              <a16:creationId xmlns:a16="http://schemas.microsoft.com/office/drawing/2014/main" id="{00000000-0008-0000-0B00-000002000000}"/>
            </a:ext>
          </a:extLst>
        </xdr:cNvPr>
        <xdr:cNvSpPr/>
      </xdr:nvSpPr>
      <xdr:spPr>
        <a:xfrm>
          <a:off x="12315825" y="90488"/>
          <a:ext cx="2597948"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twoCellAnchor editAs="oneCell">
    <xdr:from>
      <xdr:col>5</xdr:col>
      <xdr:colOff>11906</xdr:colOff>
      <xdr:row>4</xdr:row>
      <xdr:rowOff>511965</xdr:rowOff>
    </xdr:from>
    <xdr:to>
      <xdr:col>5</xdr:col>
      <xdr:colOff>173854</xdr:colOff>
      <xdr:row>4</xdr:row>
      <xdr:rowOff>673913</xdr:rowOff>
    </xdr:to>
    <xdr:pic macro="[0]!Btn_SelectThicknessUnit">
      <xdr:nvPicPr>
        <xdr:cNvPr id="3" name="img_tka_ew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10625" y="2583653"/>
          <a:ext cx="161948" cy="161948"/>
        </a:xfrm>
        <a:prstGeom prst="rect">
          <a:avLst/>
        </a:prstGeom>
      </xdr:spPr>
    </xdr:pic>
    <xdr:clientData/>
  </xdr:twoCellAnchor>
  <xdr:twoCellAnchor editAs="oneCell">
    <xdr:from>
      <xdr:col>5</xdr:col>
      <xdr:colOff>11906</xdr:colOff>
      <xdr:row>39</xdr:row>
      <xdr:rowOff>523870</xdr:rowOff>
    </xdr:from>
    <xdr:to>
      <xdr:col>5</xdr:col>
      <xdr:colOff>173854</xdr:colOff>
      <xdr:row>39</xdr:row>
      <xdr:rowOff>685818</xdr:rowOff>
    </xdr:to>
    <xdr:pic macro="[0]!Btn_SelectThicknessUnit">
      <xdr:nvPicPr>
        <xdr:cNvPr id="5" name="img_tka_ew3">
          <a:extLst>
            <a:ext uri="{FF2B5EF4-FFF2-40B4-BE49-F238E27FC236}">
              <a16:creationId xmlns:a16="http://schemas.microsoft.com/office/drawing/2014/main" id="{00000000-0008-0000-0B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10625" y="8405808"/>
          <a:ext cx="161948" cy="161948"/>
        </a:xfrm>
        <a:prstGeom prst="rect">
          <a:avLst/>
        </a:prstGeom>
      </xdr:spPr>
    </xdr:pic>
    <xdr:clientData/>
  </xdr:twoCellAnchor>
  <xdr:twoCellAnchor editAs="oneCell">
    <xdr:from>
      <xdr:col>5</xdr:col>
      <xdr:colOff>9525</xdr:colOff>
      <xdr:row>33</xdr:row>
      <xdr:rowOff>514350</xdr:rowOff>
    </xdr:from>
    <xdr:to>
      <xdr:col>5</xdr:col>
      <xdr:colOff>171473</xdr:colOff>
      <xdr:row>33</xdr:row>
      <xdr:rowOff>676298</xdr:rowOff>
    </xdr:to>
    <xdr:pic macro="[0]!Btn_SelectThicknessUnit">
      <xdr:nvPicPr>
        <xdr:cNvPr id="6" name="img_tka_ew2">
          <a:extLst>
            <a:ext uri="{FF2B5EF4-FFF2-40B4-BE49-F238E27FC236}">
              <a16:creationId xmlns:a16="http://schemas.microsoft.com/office/drawing/2014/main" id="{00E4288F-A88B-40D5-B041-329D0959A40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772525" y="11239500"/>
          <a:ext cx="161948" cy="16194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12</xdr:col>
      <xdr:colOff>28580</xdr:colOff>
      <xdr:row>0</xdr:row>
      <xdr:rowOff>109538</xdr:rowOff>
    </xdr:from>
    <xdr:to>
      <xdr:col>13</xdr:col>
      <xdr:colOff>1350174</xdr:colOff>
      <xdr:row>0</xdr:row>
      <xdr:rowOff>588000</xdr:rowOff>
    </xdr:to>
    <xdr:sp macro="[0]!Btn_ClearActiveCommonSheet" textlink="">
      <xdr:nvSpPr>
        <xdr:cNvPr id="2" name="Rectangle: Rounded Corners 1">
          <a:extLst>
            <a:ext uri="{FF2B5EF4-FFF2-40B4-BE49-F238E27FC236}">
              <a16:creationId xmlns:a16="http://schemas.microsoft.com/office/drawing/2014/main" id="{00000000-0008-0000-0C00-000002000000}"/>
            </a:ext>
          </a:extLst>
        </xdr:cNvPr>
        <xdr:cNvSpPr/>
      </xdr:nvSpPr>
      <xdr:spPr>
        <a:xfrm>
          <a:off x="12258680" y="109538"/>
          <a:ext cx="2378869"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12</xdr:col>
      <xdr:colOff>28578</xdr:colOff>
      <xdr:row>0</xdr:row>
      <xdr:rowOff>119063</xdr:rowOff>
    </xdr:from>
    <xdr:to>
      <xdr:col>13</xdr:col>
      <xdr:colOff>1435897</xdr:colOff>
      <xdr:row>0</xdr:row>
      <xdr:rowOff>597525</xdr:rowOff>
    </xdr:to>
    <xdr:sp macro="[0]!Btn_ClearActiveCommonSheet" textlink="">
      <xdr:nvSpPr>
        <xdr:cNvPr id="2" name="Rectangle: Rounded Corners 1">
          <a:extLst>
            <a:ext uri="{FF2B5EF4-FFF2-40B4-BE49-F238E27FC236}">
              <a16:creationId xmlns:a16="http://schemas.microsoft.com/office/drawing/2014/main" id="{00000000-0008-0000-0D00-000002000000}"/>
            </a:ext>
          </a:extLst>
        </xdr:cNvPr>
        <xdr:cNvSpPr/>
      </xdr:nvSpPr>
      <xdr:spPr>
        <a:xfrm>
          <a:off x="12306303" y="119063"/>
          <a:ext cx="246459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twoCellAnchor editAs="oneCell">
    <xdr:from>
      <xdr:col>5</xdr:col>
      <xdr:colOff>11906</xdr:colOff>
      <xdr:row>5</xdr:row>
      <xdr:rowOff>523873</xdr:rowOff>
    </xdr:from>
    <xdr:to>
      <xdr:col>5</xdr:col>
      <xdr:colOff>173854</xdr:colOff>
      <xdr:row>5</xdr:row>
      <xdr:rowOff>685821</xdr:rowOff>
    </xdr:to>
    <xdr:pic macro="[0]!Btn_SelectThicknessUnit">
      <xdr:nvPicPr>
        <xdr:cNvPr id="3" name="img_tka_pw1">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3476623"/>
          <a:ext cx="161948" cy="161948"/>
        </a:xfrm>
        <a:prstGeom prst="rect">
          <a:avLst/>
        </a:prstGeom>
      </xdr:spPr>
    </xdr:pic>
    <xdr:clientData/>
  </xdr:twoCellAnchor>
  <xdr:twoCellAnchor editAs="oneCell">
    <xdr:from>
      <xdr:col>5</xdr:col>
      <xdr:colOff>11906</xdr:colOff>
      <xdr:row>34</xdr:row>
      <xdr:rowOff>511966</xdr:rowOff>
    </xdr:from>
    <xdr:to>
      <xdr:col>5</xdr:col>
      <xdr:colOff>173854</xdr:colOff>
      <xdr:row>34</xdr:row>
      <xdr:rowOff>673914</xdr:rowOff>
    </xdr:to>
    <xdr:pic macro="[0]!Btn_SelectThicknessUnit">
      <xdr:nvPicPr>
        <xdr:cNvPr id="4" name="img_tka_pw3">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6072185"/>
          <a:ext cx="161948" cy="16194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12</xdr:col>
      <xdr:colOff>835824</xdr:colOff>
      <xdr:row>0</xdr:row>
      <xdr:rowOff>128588</xdr:rowOff>
    </xdr:from>
    <xdr:to>
      <xdr:col>13</xdr:col>
      <xdr:colOff>2243143</xdr:colOff>
      <xdr:row>0</xdr:row>
      <xdr:rowOff>607050</xdr:rowOff>
    </xdr:to>
    <xdr:sp macro="[0]!Btn_ClearActiveCommonSheet" textlink="">
      <xdr:nvSpPr>
        <xdr:cNvPr id="2" name="Rectangle: Rounded Corners 1">
          <a:extLst>
            <a:ext uri="{FF2B5EF4-FFF2-40B4-BE49-F238E27FC236}">
              <a16:creationId xmlns:a16="http://schemas.microsoft.com/office/drawing/2014/main" id="{00000000-0008-0000-0E00-000002000000}"/>
            </a:ext>
          </a:extLst>
        </xdr:cNvPr>
        <xdr:cNvSpPr/>
      </xdr:nvSpPr>
      <xdr:spPr>
        <a:xfrm>
          <a:off x="13104024" y="128588"/>
          <a:ext cx="246459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twoCellAnchor editAs="oneCell">
    <xdr:from>
      <xdr:col>5</xdr:col>
      <xdr:colOff>11906</xdr:colOff>
      <xdr:row>56</xdr:row>
      <xdr:rowOff>523876</xdr:rowOff>
    </xdr:from>
    <xdr:to>
      <xdr:col>5</xdr:col>
      <xdr:colOff>173854</xdr:colOff>
      <xdr:row>56</xdr:row>
      <xdr:rowOff>685824</xdr:rowOff>
    </xdr:to>
    <xdr:pic macro="[0]!Btn_SelectThicknessUnit">
      <xdr:nvPicPr>
        <xdr:cNvPr id="3" name="img_tka_cl1">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16013907"/>
          <a:ext cx="161948" cy="161948"/>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11</xdr:col>
      <xdr:colOff>1045373</xdr:colOff>
      <xdr:row>0</xdr:row>
      <xdr:rowOff>100013</xdr:rowOff>
    </xdr:from>
    <xdr:to>
      <xdr:col>13</xdr:col>
      <xdr:colOff>1395417</xdr:colOff>
      <xdr:row>0</xdr:row>
      <xdr:rowOff>578475</xdr:rowOff>
    </xdr:to>
    <xdr:sp macro="[0]!Btn_ClearActiveCommonSheet" textlink="">
      <xdr:nvSpPr>
        <xdr:cNvPr id="2" name="Rectangle: Rounded Corners 1">
          <a:extLst>
            <a:ext uri="{FF2B5EF4-FFF2-40B4-BE49-F238E27FC236}">
              <a16:creationId xmlns:a16="http://schemas.microsoft.com/office/drawing/2014/main" id="{00000000-0008-0000-0F00-000002000000}"/>
            </a:ext>
          </a:extLst>
        </xdr:cNvPr>
        <xdr:cNvSpPr/>
      </xdr:nvSpPr>
      <xdr:spPr>
        <a:xfrm>
          <a:off x="12265823" y="100013"/>
          <a:ext cx="246459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12</xdr:col>
      <xdr:colOff>1</xdr:colOff>
      <xdr:row>0</xdr:row>
      <xdr:rowOff>119063</xdr:rowOff>
    </xdr:from>
    <xdr:to>
      <xdr:col>13</xdr:col>
      <xdr:colOff>1407320</xdr:colOff>
      <xdr:row>0</xdr:row>
      <xdr:rowOff>597525</xdr:rowOff>
    </xdr:to>
    <xdr:sp macro="[0]!Btn_ClearActiveCommonSheet" textlink="">
      <xdr:nvSpPr>
        <xdr:cNvPr id="2" name="Rectangle: Rounded Corners 1">
          <a:extLst>
            <a:ext uri="{FF2B5EF4-FFF2-40B4-BE49-F238E27FC236}">
              <a16:creationId xmlns:a16="http://schemas.microsoft.com/office/drawing/2014/main" id="{00000000-0008-0000-1000-000002000000}"/>
            </a:ext>
          </a:extLst>
        </xdr:cNvPr>
        <xdr:cNvSpPr/>
      </xdr:nvSpPr>
      <xdr:spPr>
        <a:xfrm>
          <a:off x="12277726" y="119063"/>
          <a:ext cx="246459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twoCellAnchor editAs="oneCell">
    <xdr:from>
      <xdr:col>5</xdr:col>
      <xdr:colOff>11906</xdr:colOff>
      <xdr:row>4</xdr:row>
      <xdr:rowOff>511966</xdr:rowOff>
    </xdr:from>
    <xdr:to>
      <xdr:col>5</xdr:col>
      <xdr:colOff>173854</xdr:colOff>
      <xdr:row>4</xdr:row>
      <xdr:rowOff>673914</xdr:rowOff>
    </xdr:to>
    <xdr:pic macro="[0]!Btn_SelectThicknessUnit">
      <xdr:nvPicPr>
        <xdr:cNvPr id="3" name="img_tka_iw1">
          <a:extLst>
            <a:ext uri="{FF2B5EF4-FFF2-40B4-BE49-F238E27FC236}">
              <a16:creationId xmlns:a16="http://schemas.microsoft.com/office/drawing/2014/main" id="{00000000-0008-0000-1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2583654"/>
          <a:ext cx="161948" cy="161948"/>
        </a:xfrm>
        <a:prstGeom prst="rect">
          <a:avLst/>
        </a:prstGeom>
      </xdr:spPr>
    </xdr:pic>
    <xdr:clientData/>
  </xdr:twoCellAnchor>
  <xdr:twoCellAnchor editAs="oneCell">
    <xdr:from>
      <xdr:col>5</xdr:col>
      <xdr:colOff>11906</xdr:colOff>
      <xdr:row>26</xdr:row>
      <xdr:rowOff>511967</xdr:rowOff>
    </xdr:from>
    <xdr:to>
      <xdr:col>5</xdr:col>
      <xdr:colOff>173854</xdr:colOff>
      <xdr:row>26</xdr:row>
      <xdr:rowOff>673915</xdr:rowOff>
    </xdr:to>
    <xdr:pic macro="[0]!Btn_SelectThicknessUnit">
      <xdr:nvPicPr>
        <xdr:cNvPr id="4" name="img_tka_iw2">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4786311"/>
          <a:ext cx="161948" cy="161948"/>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12</xdr:col>
      <xdr:colOff>28579</xdr:colOff>
      <xdr:row>0</xdr:row>
      <xdr:rowOff>119063</xdr:rowOff>
    </xdr:from>
    <xdr:to>
      <xdr:col>13</xdr:col>
      <xdr:colOff>1435898</xdr:colOff>
      <xdr:row>0</xdr:row>
      <xdr:rowOff>597525</xdr:rowOff>
    </xdr:to>
    <xdr:sp macro="[0]!Btn_ClearActiveCommonSheet" textlink="">
      <xdr:nvSpPr>
        <xdr:cNvPr id="2" name="Rectangle: Rounded Corners 1">
          <a:extLst>
            <a:ext uri="{FF2B5EF4-FFF2-40B4-BE49-F238E27FC236}">
              <a16:creationId xmlns:a16="http://schemas.microsoft.com/office/drawing/2014/main" id="{00000000-0008-0000-1100-000002000000}"/>
            </a:ext>
          </a:extLst>
        </xdr:cNvPr>
        <xdr:cNvSpPr/>
      </xdr:nvSpPr>
      <xdr:spPr>
        <a:xfrm>
          <a:off x="12306304" y="119063"/>
          <a:ext cx="246459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twoCellAnchor editAs="oneCell">
    <xdr:from>
      <xdr:col>5</xdr:col>
      <xdr:colOff>11906</xdr:colOff>
      <xdr:row>4</xdr:row>
      <xdr:rowOff>511963</xdr:rowOff>
    </xdr:from>
    <xdr:to>
      <xdr:col>5</xdr:col>
      <xdr:colOff>173854</xdr:colOff>
      <xdr:row>4</xdr:row>
      <xdr:rowOff>673911</xdr:rowOff>
    </xdr:to>
    <xdr:pic macro="[0]!Btn_SelectThicknessUnit">
      <xdr:nvPicPr>
        <xdr:cNvPr id="3" name="img_tka_fl1">
          <a:extLst>
            <a:ext uri="{FF2B5EF4-FFF2-40B4-BE49-F238E27FC236}">
              <a16:creationId xmlns:a16="http://schemas.microsoft.com/office/drawing/2014/main" id="{00000000-0008-0000-1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2583651"/>
          <a:ext cx="161948" cy="161948"/>
        </a:xfrm>
        <a:prstGeom prst="rect">
          <a:avLst/>
        </a:prstGeom>
      </xdr:spPr>
    </xdr:pic>
    <xdr:clientData/>
  </xdr:twoCellAnchor>
  <xdr:twoCellAnchor editAs="oneCell">
    <xdr:from>
      <xdr:col>5</xdr:col>
      <xdr:colOff>11906</xdr:colOff>
      <xdr:row>38</xdr:row>
      <xdr:rowOff>511964</xdr:rowOff>
    </xdr:from>
    <xdr:to>
      <xdr:col>5</xdr:col>
      <xdr:colOff>173854</xdr:colOff>
      <xdr:row>38</xdr:row>
      <xdr:rowOff>673912</xdr:rowOff>
    </xdr:to>
    <xdr:pic macro="[0]!Btn_SelectThicknessUnit">
      <xdr:nvPicPr>
        <xdr:cNvPr id="4" name="img_tka_fl2">
          <a:extLst>
            <a:ext uri="{FF2B5EF4-FFF2-40B4-BE49-F238E27FC236}">
              <a16:creationId xmlns:a16="http://schemas.microsoft.com/office/drawing/2014/main" id="{00000000-0008-0000-1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7191370"/>
          <a:ext cx="161948" cy="161948"/>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xdr:from>
      <xdr:col>12</xdr:col>
      <xdr:colOff>47629</xdr:colOff>
      <xdr:row>0</xdr:row>
      <xdr:rowOff>119063</xdr:rowOff>
    </xdr:from>
    <xdr:to>
      <xdr:col>13</xdr:col>
      <xdr:colOff>1454948</xdr:colOff>
      <xdr:row>0</xdr:row>
      <xdr:rowOff>597525</xdr:rowOff>
    </xdr:to>
    <xdr:sp macro="[0]!Btn_ClearActiveCommonSheet" textlink="">
      <xdr:nvSpPr>
        <xdr:cNvPr id="2" name="Rectangle: Rounded Corners 1">
          <a:extLst>
            <a:ext uri="{FF2B5EF4-FFF2-40B4-BE49-F238E27FC236}">
              <a16:creationId xmlns:a16="http://schemas.microsoft.com/office/drawing/2014/main" id="{00000000-0008-0000-1200-000002000000}"/>
            </a:ext>
          </a:extLst>
        </xdr:cNvPr>
        <xdr:cNvSpPr/>
      </xdr:nvSpPr>
      <xdr:spPr>
        <a:xfrm>
          <a:off x="12325354" y="119063"/>
          <a:ext cx="246459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12</xdr:col>
      <xdr:colOff>11911</xdr:colOff>
      <xdr:row>0</xdr:row>
      <xdr:rowOff>80963</xdr:rowOff>
    </xdr:from>
    <xdr:to>
      <xdr:col>13</xdr:col>
      <xdr:colOff>1419230</xdr:colOff>
      <xdr:row>0</xdr:row>
      <xdr:rowOff>559425</xdr:rowOff>
    </xdr:to>
    <xdr:sp macro="[0]!Btn_ClearActiveCommonSheet" textlink="">
      <xdr:nvSpPr>
        <xdr:cNvPr id="2" name="Rectangle: Rounded Corners 1">
          <a:extLst>
            <a:ext uri="{FF2B5EF4-FFF2-40B4-BE49-F238E27FC236}">
              <a16:creationId xmlns:a16="http://schemas.microsoft.com/office/drawing/2014/main" id="{00000000-0008-0000-1300-000002000000}"/>
            </a:ext>
          </a:extLst>
        </xdr:cNvPr>
        <xdr:cNvSpPr/>
      </xdr:nvSpPr>
      <xdr:spPr>
        <a:xfrm>
          <a:off x="12289636" y="80963"/>
          <a:ext cx="246459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twoCellAnchor editAs="oneCell">
    <xdr:from>
      <xdr:col>5</xdr:col>
      <xdr:colOff>11906</xdr:colOff>
      <xdr:row>4</xdr:row>
      <xdr:rowOff>511963</xdr:rowOff>
    </xdr:from>
    <xdr:to>
      <xdr:col>5</xdr:col>
      <xdr:colOff>173854</xdr:colOff>
      <xdr:row>4</xdr:row>
      <xdr:rowOff>673911</xdr:rowOff>
    </xdr:to>
    <xdr:pic macro="[0]!Btn_SelectThicknessUnit">
      <xdr:nvPicPr>
        <xdr:cNvPr id="3" name="img_tka_rf1">
          <a:extLst>
            <a:ext uri="{FF2B5EF4-FFF2-40B4-BE49-F238E27FC236}">
              <a16:creationId xmlns:a16="http://schemas.microsoft.com/office/drawing/2014/main" id="{00000000-0008-0000-1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2583651"/>
          <a:ext cx="161948" cy="161948"/>
        </a:xfrm>
        <a:prstGeom prst="rect">
          <a:avLst/>
        </a:prstGeom>
      </xdr:spPr>
    </xdr:pic>
    <xdr:clientData/>
  </xdr:twoCellAnchor>
  <xdr:twoCellAnchor editAs="oneCell">
    <xdr:from>
      <xdr:col>5</xdr:col>
      <xdr:colOff>11906</xdr:colOff>
      <xdr:row>95</xdr:row>
      <xdr:rowOff>511965</xdr:rowOff>
    </xdr:from>
    <xdr:to>
      <xdr:col>5</xdr:col>
      <xdr:colOff>173854</xdr:colOff>
      <xdr:row>95</xdr:row>
      <xdr:rowOff>673913</xdr:rowOff>
    </xdr:to>
    <xdr:pic macro="[0]!Btn_SelectThicknessUnit">
      <xdr:nvPicPr>
        <xdr:cNvPr id="4" name="img_tka_rf2">
          <a:extLst>
            <a:ext uri="{FF2B5EF4-FFF2-40B4-BE49-F238E27FC236}">
              <a16:creationId xmlns:a16="http://schemas.microsoft.com/office/drawing/2014/main" id="{00000000-0008-0000-13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14323215"/>
          <a:ext cx="161948" cy="161948"/>
        </a:xfrm>
        <a:prstGeom prst="rect">
          <a:avLst/>
        </a:prstGeom>
      </xdr:spPr>
    </xdr:pic>
    <xdr:clientData/>
  </xdr:twoCellAnchor>
  <xdr:twoCellAnchor editAs="oneCell">
    <xdr:from>
      <xdr:col>10</xdr:col>
      <xdr:colOff>1135856</xdr:colOff>
      <xdr:row>143</xdr:row>
      <xdr:rowOff>521492</xdr:rowOff>
    </xdr:from>
    <xdr:to>
      <xdr:col>11</xdr:col>
      <xdr:colOff>154804</xdr:colOff>
      <xdr:row>143</xdr:row>
      <xdr:rowOff>683440</xdr:rowOff>
    </xdr:to>
    <xdr:pic macro="[0]!Btn_SelectThicknessUnit">
      <xdr:nvPicPr>
        <xdr:cNvPr id="5" name="img_tka_rf3">
          <a:extLst>
            <a:ext uri="{FF2B5EF4-FFF2-40B4-BE49-F238E27FC236}">
              <a16:creationId xmlns:a16="http://schemas.microsoft.com/office/drawing/2014/main" id="{00000000-0008-0000-13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746956" y="47089217"/>
          <a:ext cx="161948" cy="161948"/>
        </a:xfrm>
        <a:prstGeom prst="rect">
          <a:avLst/>
        </a:prstGeom>
      </xdr:spPr>
    </xdr:pic>
    <xdr:clientData/>
  </xdr:twoCellAnchor>
  <xdr:twoCellAnchor editAs="oneCell">
    <xdr:from>
      <xdr:col>11</xdr:col>
      <xdr:colOff>2381</xdr:colOff>
      <xdr:row>189</xdr:row>
      <xdr:rowOff>511961</xdr:rowOff>
    </xdr:from>
    <xdr:to>
      <xdr:col>11</xdr:col>
      <xdr:colOff>164329</xdr:colOff>
      <xdr:row>189</xdr:row>
      <xdr:rowOff>673909</xdr:rowOff>
    </xdr:to>
    <xdr:pic macro="[0]!Btn_SelectThicknessUnit">
      <xdr:nvPicPr>
        <xdr:cNvPr id="6" name="img_tka_rf4">
          <a:extLst>
            <a:ext uri="{FF2B5EF4-FFF2-40B4-BE49-F238E27FC236}">
              <a16:creationId xmlns:a16="http://schemas.microsoft.com/office/drawing/2014/main" id="{00000000-0008-0000-13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756481" y="63777011"/>
          <a:ext cx="161948" cy="161948"/>
        </a:xfrm>
        <a:prstGeom prst="rect">
          <a:avLst/>
        </a:prstGeom>
      </xdr:spPr>
    </xdr:pic>
    <xdr:clientData/>
  </xdr:twoCellAnchor>
  <xdr:oneCellAnchor>
    <xdr:from>
      <xdr:col>8</xdr:col>
      <xdr:colOff>11906</xdr:colOff>
      <xdr:row>189</xdr:row>
      <xdr:rowOff>511961</xdr:rowOff>
    </xdr:from>
    <xdr:ext cx="161948" cy="161948"/>
    <xdr:pic macro="[0]!Btn_SelectThicknessUnit">
      <xdr:nvPicPr>
        <xdr:cNvPr id="7" name="img_tka_rf4">
          <a:extLst>
            <a:ext uri="{FF2B5EF4-FFF2-40B4-BE49-F238E27FC236}">
              <a16:creationId xmlns:a16="http://schemas.microsoft.com/office/drawing/2014/main" id="{88ACD726-3293-4A53-A47B-57A3D29625C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32356" y="63777011"/>
          <a:ext cx="161948" cy="161948"/>
        </a:xfrm>
        <a:prstGeom prst="rect">
          <a:avLst/>
        </a:prstGeom>
      </xdr:spPr>
    </xdr:pic>
    <xdr:clientData/>
  </xdr:oneCellAnchor>
</xdr:wsDr>
</file>

<file path=xl/drawings/drawing18.xml><?xml version="1.0" encoding="utf-8"?>
<xdr:wsDr xmlns:xdr="http://schemas.openxmlformats.org/drawingml/2006/spreadsheetDrawing" xmlns:a="http://schemas.openxmlformats.org/drawingml/2006/main">
  <xdr:twoCellAnchor>
    <xdr:from>
      <xdr:col>12</xdr:col>
      <xdr:colOff>2385</xdr:colOff>
      <xdr:row>0</xdr:row>
      <xdr:rowOff>119063</xdr:rowOff>
    </xdr:from>
    <xdr:to>
      <xdr:col>13</xdr:col>
      <xdr:colOff>1409704</xdr:colOff>
      <xdr:row>0</xdr:row>
      <xdr:rowOff>597525</xdr:rowOff>
    </xdr:to>
    <xdr:sp macro="[0]!Btn_ClearActiveCommonSheet" textlink="">
      <xdr:nvSpPr>
        <xdr:cNvPr id="2" name="Rectangle: Rounded Corners 1">
          <a:extLst>
            <a:ext uri="{FF2B5EF4-FFF2-40B4-BE49-F238E27FC236}">
              <a16:creationId xmlns:a16="http://schemas.microsoft.com/office/drawing/2014/main" id="{00000000-0008-0000-1400-000002000000}"/>
            </a:ext>
          </a:extLst>
        </xdr:cNvPr>
        <xdr:cNvSpPr/>
      </xdr:nvSpPr>
      <xdr:spPr>
        <a:xfrm>
          <a:off x="12280110" y="119063"/>
          <a:ext cx="246459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twoCellAnchor editAs="oneCell">
    <xdr:from>
      <xdr:col>6</xdr:col>
      <xdr:colOff>11906</xdr:colOff>
      <xdr:row>5</xdr:row>
      <xdr:rowOff>511964</xdr:rowOff>
    </xdr:from>
    <xdr:to>
      <xdr:col>6</xdr:col>
      <xdr:colOff>173854</xdr:colOff>
      <xdr:row>5</xdr:row>
      <xdr:rowOff>673912</xdr:rowOff>
    </xdr:to>
    <xdr:pic macro="[0]!Btn_SelectThicknessUnit">
      <xdr:nvPicPr>
        <xdr:cNvPr id="3" name="img_tka_crushed_stone_base2">
          <a:extLst>
            <a:ext uri="{FF2B5EF4-FFF2-40B4-BE49-F238E27FC236}">
              <a16:creationId xmlns:a16="http://schemas.microsoft.com/office/drawing/2014/main" id="{00000000-0008-0000-1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94031" y="3059902"/>
          <a:ext cx="161948" cy="161948"/>
        </a:xfrm>
        <a:prstGeom prst="rect">
          <a:avLst/>
        </a:prstGeom>
      </xdr:spPr>
    </xdr:pic>
    <xdr:clientData/>
  </xdr:twoCellAnchor>
  <xdr:twoCellAnchor editAs="oneCell">
    <xdr:from>
      <xdr:col>6</xdr:col>
      <xdr:colOff>11906</xdr:colOff>
      <xdr:row>8</xdr:row>
      <xdr:rowOff>511967</xdr:rowOff>
    </xdr:from>
    <xdr:to>
      <xdr:col>6</xdr:col>
      <xdr:colOff>173854</xdr:colOff>
      <xdr:row>8</xdr:row>
      <xdr:rowOff>673915</xdr:rowOff>
    </xdr:to>
    <xdr:pic macro="[0]!Btn_SelectThicknessUnit">
      <xdr:nvPicPr>
        <xdr:cNvPr id="4" name="img_tka_concrete_slab_floors2">
          <a:extLst>
            <a:ext uri="{FF2B5EF4-FFF2-40B4-BE49-F238E27FC236}">
              <a16:creationId xmlns:a16="http://schemas.microsoft.com/office/drawing/2014/main" id="{00000000-0008-0000-14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94031" y="5965030"/>
          <a:ext cx="161948" cy="161948"/>
        </a:xfrm>
        <a:prstGeom prst="rect">
          <a:avLst/>
        </a:prstGeom>
      </xdr:spPr>
    </xdr:pic>
    <xdr:clientData/>
  </xdr:twoCellAnchor>
  <xdr:twoCellAnchor editAs="oneCell">
    <xdr:from>
      <xdr:col>6</xdr:col>
      <xdr:colOff>11906</xdr:colOff>
      <xdr:row>57</xdr:row>
      <xdr:rowOff>511963</xdr:rowOff>
    </xdr:from>
    <xdr:to>
      <xdr:col>6</xdr:col>
      <xdr:colOff>173854</xdr:colOff>
      <xdr:row>57</xdr:row>
      <xdr:rowOff>673911</xdr:rowOff>
    </xdr:to>
    <xdr:pic macro="[0]!Btn_SelectThicknessUnit">
      <xdr:nvPicPr>
        <xdr:cNvPr id="5" name="img_tka_concrete_foundation2">
          <a:extLst>
            <a:ext uri="{FF2B5EF4-FFF2-40B4-BE49-F238E27FC236}">
              <a16:creationId xmlns:a16="http://schemas.microsoft.com/office/drawing/2014/main" id="{00000000-0008-0000-14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94031" y="21943213"/>
          <a:ext cx="161948" cy="161948"/>
        </a:xfrm>
        <a:prstGeom prst="rect">
          <a:avLst/>
        </a:prstGeom>
      </xdr:spPr>
    </xdr:pic>
    <xdr:clientData/>
  </xdr:twoCellAnchor>
  <xdr:twoCellAnchor editAs="oneCell">
    <xdr:from>
      <xdr:col>5</xdr:col>
      <xdr:colOff>11906</xdr:colOff>
      <xdr:row>147</xdr:row>
      <xdr:rowOff>511965</xdr:rowOff>
    </xdr:from>
    <xdr:to>
      <xdr:col>5</xdr:col>
      <xdr:colOff>173854</xdr:colOff>
      <xdr:row>147</xdr:row>
      <xdr:rowOff>673913</xdr:rowOff>
    </xdr:to>
    <xdr:pic macro="[0]!Btn_SelectThicknessUnit">
      <xdr:nvPicPr>
        <xdr:cNvPr id="6" name="img_tka_gr1">
          <a:extLst>
            <a:ext uri="{FF2B5EF4-FFF2-40B4-BE49-F238E27FC236}">
              <a16:creationId xmlns:a16="http://schemas.microsoft.com/office/drawing/2014/main" id="{00000000-0008-0000-14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42064778"/>
          <a:ext cx="161948" cy="161948"/>
        </a:xfrm>
        <a:prstGeom prst="rect">
          <a:avLst/>
        </a:prstGeom>
      </xdr:spPr>
    </xdr:pic>
    <xdr:clientData/>
  </xdr:twoCellAnchor>
  <xdr:twoCellAnchor editAs="oneCell">
    <xdr:from>
      <xdr:col>5</xdr:col>
      <xdr:colOff>11906</xdr:colOff>
      <xdr:row>380</xdr:row>
      <xdr:rowOff>511965</xdr:rowOff>
    </xdr:from>
    <xdr:to>
      <xdr:col>5</xdr:col>
      <xdr:colOff>173854</xdr:colOff>
      <xdr:row>380</xdr:row>
      <xdr:rowOff>673913</xdr:rowOff>
    </xdr:to>
    <xdr:pic macro="[0]!Btn_SelectThicknessUnit">
      <xdr:nvPicPr>
        <xdr:cNvPr id="7" name="img_tka_gr5">
          <a:extLst>
            <a:ext uri="{FF2B5EF4-FFF2-40B4-BE49-F238E27FC236}">
              <a16:creationId xmlns:a16="http://schemas.microsoft.com/office/drawing/2014/main" id="{00000000-0008-0000-14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108715965"/>
          <a:ext cx="161948" cy="161948"/>
        </a:xfrm>
        <a:prstGeom prst="rect">
          <a:avLst/>
        </a:prstGeom>
      </xdr:spPr>
    </xdr:pic>
    <xdr:clientData/>
  </xdr:twoCellAnchor>
  <xdr:twoCellAnchor editAs="oneCell">
    <xdr:from>
      <xdr:col>5</xdr:col>
      <xdr:colOff>11906</xdr:colOff>
      <xdr:row>458</xdr:row>
      <xdr:rowOff>511966</xdr:rowOff>
    </xdr:from>
    <xdr:to>
      <xdr:col>5</xdr:col>
      <xdr:colOff>173854</xdr:colOff>
      <xdr:row>458</xdr:row>
      <xdr:rowOff>673914</xdr:rowOff>
    </xdr:to>
    <xdr:pic macro="[0]!Btn_SelectThicknessUnit">
      <xdr:nvPicPr>
        <xdr:cNvPr id="8" name="img_tka_gr6">
          <a:extLst>
            <a:ext uri="{FF2B5EF4-FFF2-40B4-BE49-F238E27FC236}">
              <a16:creationId xmlns:a16="http://schemas.microsoft.com/office/drawing/2014/main" id="{00000000-0008-0000-14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129670966"/>
          <a:ext cx="161948" cy="161948"/>
        </a:xfrm>
        <a:prstGeom prst="rect">
          <a:avLst/>
        </a:prstGeom>
      </xdr:spPr>
    </xdr:pic>
    <xdr:clientData/>
  </xdr:twoCellAnchor>
  <xdr:twoCellAnchor editAs="oneCell">
    <xdr:from>
      <xdr:col>5</xdr:col>
      <xdr:colOff>11906</xdr:colOff>
      <xdr:row>540</xdr:row>
      <xdr:rowOff>511964</xdr:rowOff>
    </xdr:from>
    <xdr:to>
      <xdr:col>5</xdr:col>
      <xdr:colOff>173854</xdr:colOff>
      <xdr:row>540</xdr:row>
      <xdr:rowOff>673912</xdr:rowOff>
    </xdr:to>
    <xdr:pic macro="[0]!Btn_SelectThicknessUnit">
      <xdr:nvPicPr>
        <xdr:cNvPr id="9" name="img_tka_gr7">
          <a:extLst>
            <a:ext uri="{FF2B5EF4-FFF2-40B4-BE49-F238E27FC236}">
              <a16:creationId xmlns:a16="http://schemas.microsoft.com/office/drawing/2014/main" id="{00000000-0008-0000-14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141065245"/>
          <a:ext cx="161948" cy="161948"/>
        </a:xfrm>
        <a:prstGeom prst="rect">
          <a:avLst/>
        </a:prstGeom>
      </xdr:spPr>
    </xdr:pic>
    <xdr:clientData/>
  </xdr:twoCellAnchor>
  <xdr:twoCellAnchor editAs="oneCell">
    <xdr:from>
      <xdr:col>5</xdr:col>
      <xdr:colOff>11906</xdr:colOff>
      <xdr:row>118</xdr:row>
      <xdr:rowOff>511964</xdr:rowOff>
    </xdr:from>
    <xdr:to>
      <xdr:col>5</xdr:col>
      <xdr:colOff>173854</xdr:colOff>
      <xdr:row>118</xdr:row>
      <xdr:rowOff>673912</xdr:rowOff>
    </xdr:to>
    <xdr:pic macro="[0]!Btn_SelectThicknessUnit">
      <xdr:nvPicPr>
        <xdr:cNvPr id="10" name="img_tka_gr0">
          <a:extLst>
            <a:ext uri="{FF2B5EF4-FFF2-40B4-BE49-F238E27FC236}">
              <a16:creationId xmlns:a16="http://schemas.microsoft.com/office/drawing/2014/main" id="{00000000-0008-0000-14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39457308"/>
          <a:ext cx="161948" cy="161948"/>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xdr:from>
      <xdr:col>13</xdr:col>
      <xdr:colOff>11913</xdr:colOff>
      <xdr:row>0</xdr:row>
      <xdr:rowOff>119063</xdr:rowOff>
    </xdr:from>
    <xdr:to>
      <xdr:col>13</xdr:col>
      <xdr:colOff>2714625</xdr:colOff>
      <xdr:row>0</xdr:row>
      <xdr:rowOff>597525</xdr:rowOff>
    </xdr:to>
    <xdr:sp macro="[0]!Btn_ClearActiveCommonSheet" textlink="">
      <xdr:nvSpPr>
        <xdr:cNvPr id="2" name="Rectangle: Rounded Corners 1">
          <a:extLst>
            <a:ext uri="{FF2B5EF4-FFF2-40B4-BE49-F238E27FC236}">
              <a16:creationId xmlns:a16="http://schemas.microsoft.com/office/drawing/2014/main" id="{00000000-0008-0000-1500-000002000000}"/>
            </a:ext>
          </a:extLst>
        </xdr:cNvPr>
        <xdr:cNvSpPr/>
      </xdr:nvSpPr>
      <xdr:spPr>
        <a:xfrm>
          <a:off x="12432513" y="119063"/>
          <a:ext cx="2702712"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wsDr>
</file>

<file path=xl/drawings/drawing20.xml><?xml version="1.0" encoding="utf-8"?>
<xdr:wsDr xmlns:xdr="http://schemas.openxmlformats.org/drawingml/2006/spreadsheetDrawing" xmlns:a="http://schemas.openxmlformats.org/drawingml/2006/main">
  <xdr:oneCellAnchor>
    <xdr:from>
      <xdr:col>0</xdr:col>
      <xdr:colOff>28575</xdr:colOff>
      <xdr:row>0</xdr:row>
      <xdr:rowOff>74738</xdr:rowOff>
    </xdr:from>
    <xdr:ext cx="2682875" cy="226887"/>
    <xdr:pic>
      <xdr:nvPicPr>
        <xdr:cNvPr id="2" name="Picture 1">
          <a:extLst>
            <a:ext uri="{FF2B5EF4-FFF2-40B4-BE49-F238E27FC236}">
              <a16:creationId xmlns:a16="http://schemas.microsoft.com/office/drawing/2014/main" id="{D96371A5-0BF7-468B-8719-63A5D0D4A9A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4" t="20138" r="58657" b="17714"/>
        <a:stretch/>
      </xdr:blipFill>
      <xdr:spPr>
        <a:xfrm>
          <a:off x="28575" y="74738"/>
          <a:ext cx="2682875" cy="226887"/>
        </a:xfrm>
        <a:prstGeom prst="rect">
          <a:avLst/>
        </a:prstGeom>
      </xdr:spPr>
    </xdr:pic>
    <xdr:clientData/>
  </xdr:oneCellAnchor>
  <xdr:twoCellAnchor>
    <xdr:from>
      <xdr:col>1</xdr:col>
      <xdr:colOff>8466</xdr:colOff>
      <xdr:row>4</xdr:row>
      <xdr:rowOff>14654</xdr:rowOff>
    </xdr:from>
    <xdr:to>
      <xdr:col>3</xdr:col>
      <xdr:colOff>894080</xdr:colOff>
      <xdr:row>10</xdr:row>
      <xdr:rowOff>0</xdr:rowOff>
    </xdr:to>
    <xdr:sp macro="" textlink="">
      <xdr:nvSpPr>
        <xdr:cNvPr id="4" name="Rectangle 3">
          <a:extLst>
            <a:ext uri="{FF2B5EF4-FFF2-40B4-BE49-F238E27FC236}">
              <a16:creationId xmlns:a16="http://schemas.microsoft.com/office/drawing/2014/main" id="{FDEF943F-37E5-46D5-AD5E-3297CBFD5EC5}"/>
            </a:ext>
          </a:extLst>
        </xdr:cNvPr>
        <xdr:cNvSpPr/>
      </xdr:nvSpPr>
      <xdr:spPr>
        <a:xfrm>
          <a:off x="343746" y="1210994"/>
          <a:ext cx="2790614" cy="1577926"/>
        </a:xfrm>
        <a:prstGeom prst="rect">
          <a:avLst/>
        </a:prstGeom>
        <a:noFill/>
        <a:ln>
          <a:solidFill>
            <a:sysClr val="windowText" lastClr="00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700">
              <a:solidFill>
                <a:schemeClr val="tx1"/>
              </a:solidFill>
            </a:rPr>
            <a:t>Project Photo or Image Here
(Insert -&gt; Pictures) </a:t>
          </a:r>
          <a:endParaRPr lang="en-CA" sz="700" b="0">
            <a:solidFill>
              <a:sysClr val="windowText" lastClr="000000"/>
            </a:solidFill>
          </a:endParaRPr>
        </a:p>
      </xdr:txBody>
    </xdr:sp>
    <xdr:clientData/>
  </xdr:twoCellAnchor>
  <xdr:twoCellAnchor>
    <xdr:from>
      <xdr:col>1</xdr:col>
      <xdr:colOff>0</xdr:colOff>
      <xdr:row>11</xdr:row>
      <xdr:rowOff>2212</xdr:rowOff>
    </xdr:from>
    <xdr:to>
      <xdr:col>4</xdr:col>
      <xdr:colOff>0</xdr:colOff>
      <xdr:row>13</xdr:row>
      <xdr:rowOff>5255</xdr:rowOff>
    </xdr:to>
    <xdr:grpSp>
      <xdr:nvGrpSpPr>
        <xdr:cNvPr id="6" name="Group 5">
          <a:extLst>
            <a:ext uri="{FF2B5EF4-FFF2-40B4-BE49-F238E27FC236}">
              <a16:creationId xmlns:a16="http://schemas.microsoft.com/office/drawing/2014/main" id="{481D3C6B-5AA8-9D99-1700-A4D280DFEE22}"/>
            </a:ext>
          </a:extLst>
        </xdr:cNvPr>
        <xdr:cNvGrpSpPr/>
      </xdr:nvGrpSpPr>
      <xdr:grpSpPr>
        <a:xfrm>
          <a:off x="335280" y="2821612"/>
          <a:ext cx="2773680" cy="757423"/>
          <a:chOff x="1030331" y="2860593"/>
          <a:chExt cx="2061382" cy="559035"/>
        </a:xfrm>
      </xdr:grpSpPr>
      <xdr:sp macro="" textlink="">
        <xdr:nvSpPr>
          <xdr:cNvPr id="8" name="Rectangle 7">
            <a:extLst>
              <a:ext uri="{FF2B5EF4-FFF2-40B4-BE49-F238E27FC236}">
                <a16:creationId xmlns:a16="http://schemas.microsoft.com/office/drawing/2014/main" id="{00E661B7-FA9F-D573-BB81-10F69ABAD3AC}"/>
              </a:ext>
            </a:extLst>
          </xdr:cNvPr>
          <xdr:cNvSpPr/>
        </xdr:nvSpPr>
        <xdr:spPr>
          <a:xfrm>
            <a:off x="1035264" y="3262915"/>
            <a:ext cx="2055944" cy="145652"/>
          </a:xfrm>
          <a:prstGeom prst="rect">
            <a:avLst/>
          </a:prstGeom>
          <a:solidFill>
            <a:schemeClr val="bg2">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50" b="1">
                <a:solidFill>
                  <a:sysClr val="windowText" lastClr="000000"/>
                </a:solidFill>
                <a:latin typeface="Arial" panose="020B0604020202020204" pitchFamily="34" charset="0"/>
                <a:cs typeface="Arial" panose="020B0604020202020204" pitchFamily="34" charset="0"/>
              </a:rPr>
              <a:t>Material Carbon Intensity, kg CO</a:t>
            </a:r>
            <a:r>
              <a:rPr lang="en-CA" sz="950" b="1" baseline="-25000">
                <a:solidFill>
                  <a:sysClr val="windowText" lastClr="000000"/>
                </a:solidFill>
                <a:latin typeface="Arial" panose="020B0604020202020204" pitchFamily="34" charset="0"/>
                <a:cs typeface="Arial" panose="020B0604020202020204" pitchFamily="34" charset="0"/>
              </a:rPr>
              <a:t>2</a:t>
            </a:r>
            <a:r>
              <a:rPr lang="en-CA" sz="950" b="1">
                <a:solidFill>
                  <a:sysClr val="windowText" lastClr="000000"/>
                </a:solidFill>
                <a:latin typeface="Arial" panose="020B0604020202020204" pitchFamily="34" charset="0"/>
                <a:cs typeface="Arial" panose="020B0604020202020204" pitchFamily="34" charset="0"/>
              </a:rPr>
              <a:t>/m</a:t>
            </a:r>
            <a:r>
              <a:rPr lang="en-CA" sz="950" b="1" baseline="30000">
                <a:solidFill>
                  <a:sysClr val="windowText" lastClr="000000"/>
                </a:solidFill>
                <a:latin typeface="Arial" panose="020B0604020202020204" pitchFamily="34" charset="0"/>
                <a:cs typeface="Arial" panose="020B0604020202020204" pitchFamily="34" charset="0"/>
              </a:rPr>
              <a:t>2</a:t>
            </a:r>
            <a:endParaRPr lang="en-CA" sz="950" baseline="30000">
              <a:solidFill>
                <a:sysClr val="windowText" lastClr="000000"/>
              </a:solidFill>
              <a:latin typeface="Arial" panose="020B0604020202020204" pitchFamily="34" charset="0"/>
              <a:cs typeface="Arial" panose="020B0604020202020204" pitchFamily="34" charset="0"/>
            </a:endParaRPr>
          </a:p>
        </xdr:txBody>
      </xdr:sp>
      <xdr:grpSp>
        <xdr:nvGrpSpPr>
          <xdr:cNvPr id="9" name="Group 8">
            <a:extLst>
              <a:ext uri="{FF2B5EF4-FFF2-40B4-BE49-F238E27FC236}">
                <a16:creationId xmlns:a16="http://schemas.microsoft.com/office/drawing/2014/main" id="{63309F30-6D16-9EB2-FF1E-DEBE1F5FBC3E}"/>
              </a:ext>
            </a:extLst>
          </xdr:cNvPr>
          <xdr:cNvGrpSpPr/>
        </xdr:nvGrpSpPr>
        <xdr:grpSpPr>
          <a:xfrm>
            <a:off x="1030331" y="2860593"/>
            <a:ext cx="2061382" cy="559035"/>
            <a:chOff x="815571" y="4519867"/>
            <a:chExt cx="5706728" cy="789259"/>
          </a:xfrm>
        </xdr:grpSpPr>
        <xdr:graphicFrame macro="">
          <xdr:nvGraphicFramePr>
            <xdr:cNvPr id="10" name="Chart 9">
              <a:extLst>
                <a:ext uri="{FF2B5EF4-FFF2-40B4-BE49-F238E27FC236}">
                  <a16:creationId xmlns:a16="http://schemas.microsoft.com/office/drawing/2014/main" id="{6113BAB0-275E-7666-7F8C-AA03B362D880}"/>
                </a:ext>
              </a:extLst>
            </xdr:cNvPr>
            <xdr:cNvGraphicFramePr/>
          </xdr:nvGraphicFramePr>
          <xdr:xfrm>
            <a:off x="815571" y="4519867"/>
            <a:ext cx="5698361" cy="559657"/>
          </xdr:xfrm>
          <a:graphic>
            <a:graphicData uri="http://schemas.openxmlformats.org/drawingml/2006/chart">
              <c:chart xmlns:c="http://schemas.openxmlformats.org/drawingml/2006/chart" xmlns:r="http://schemas.openxmlformats.org/officeDocument/2006/relationships" r:id="rId2"/>
            </a:graphicData>
          </a:graphic>
        </xdr:graphicFrame>
        <xdr:sp macro="" textlink="">
          <xdr:nvSpPr>
            <xdr:cNvPr id="11" name="Rectangle 10">
              <a:extLst>
                <a:ext uri="{FF2B5EF4-FFF2-40B4-BE49-F238E27FC236}">
                  <a16:creationId xmlns:a16="http://schemas.microsoft.com/office/drawing/2014/main" id="{FD735378-1AE4-90C2-E6DC-686F15FB6AAA}"/>
                </a:ext>
              </a:extLst>
            </xdr:cNvPr>
            <xdr:cNvSpPr/>
          </xdr:nvSpPr>
          <xdr:spPr>
            <a:xfrm>
              <a:off x="816539" y="4522890"/>
              <a:ext cx="5705760" cy="786236"/>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CA" sz="1050"/>
            </a:p>
          </xdr:txBody>
        </xdr:sp>
      </xdr:grpSp>
    </xdr:grpSp>
    <xdr:clientData/>
  </xdr:twoCellAnchor>
  <xdr:twoCellAnchor>
    <xdr:from>
      <xdr:col>0</xdr:col>
      <xdr:colOff>154782</xdr:colOff>
      <xdr:row>89</xdr:row>
      <xdr:rowOff>13272</xdr:rowOff>
    </xdr:from>
    <xdr:to>
      <xdr:col>11</xdr:col>
      <xdr:colOff>488156</xdr:colOff>
      <xdr:row>105</xdr:row>
      <xdr:rowOff>58616</xdr:rowOff>
    </xdr:to>
    <xdr:graphicFrame macro="">
      <xdr:nvGraphicFramePr>
        <xdr:cNvPr id="12" name="Chart 11">
          <a:extLst>
            <a:ext uri="{FF2B5EF4-FFF2-40B4-BE49-F238E27FC236}">
              <a16:creationId xmlns:a16="http://schemas.microsoft.com/office/drawing/2014/main" id="{D2B19B5E-26B0-4AC7-965D-B3AE3803B05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0</xdr:col>
      <xdr:colOff>0</xdr:colOff>
      <xdr:row>85</xdr:row>
      <xdr:rowOff>95888</xdr:rowOff>
    </xdr:from>
    <xdr:ext cx="2674938" cy="245424"/>
    <xdr:pic>
      <xdr:nvPicPr>
        <xdr:cNvPr id="13" name="Picture 12">
          <a:extLst>
            <a:ext uri="{FF2B5EF4-FFF2-40B4-BE49-F238E27FC236}">
              <a16:creationId xmlns:a16="http://schemas.microsoft.com/office/drawing/2014/main" id="{2B052019-FD2D-47F3-A051-92C736A2AD3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4" t="20139" r="58826" b="12818"/>
        <a:stretch/>
      </xdr:blipFill>
      <xdr:spPr>
        <a:xfrm>
          <a:off x="0" y="20220308"/>
          <a:ext cx="2674938" cy="245424"/>
        </a:xfrm>
        <a:prstGeom prst="rect">
          <a:avLst/>
        </a:prstGeom>
      </xdr:spPr>
    </xdr:pic>
    <xdr:clientData/>
  </xdr:oneCellAnchor>
  <xdr:twoCellAnchor>
    <xdr:from>
      <xdr:col>6</xdr:col>
      <xdr:colOff>373380</xdr:colOff>
      <xdr:row>2</xdr:row>
      <xdr:rowOff>50703</xdr:rowOff>
    </xdr:from>
    <xdr:to>
      <xdr:col>10</xdr:col>
      <xdr:colOff>670560</xdr:colOff>
      <xdr:row>2</xdr:row>
      <xdr:rowOff>318135</xdr:rowOff>
    </xdr:to>
    <xdr:sp macro="[0]!Btn_SaveScenario" textlink="">
      <xdr:nvSpPr>
        <xdr:cNvPr id="14" name="Rounded Rectangle 1">
          <a:extLst>
            <a:ext uri="{FF2B5EF4-FFF2-40B4-BE49-F238E27FC236}">
              <a16:creationId xmlns:a16="http://schemas.microsoft.com/office/drawing/2014/main" id="{1010B368-4B24-4ABD-9C80-C9B247FB8085}"/>
            </a:ext>
          </a:extLst>
        </xdr:cNvPr>
        <xdr:cNvSpPr/>
      </xdr:nvSpPr>
      <xdr:spPr>
        <a:xfrm>
          <a:off x="4290060" y="827943"/>
          <a:ext cx="2225040" cy="267432"/>
        </a:xfrm>
        <a:prstGeom prst="roundRect">
          <a:avLst/>
        </a:prstGeom>
        <a:ln>
          <a:noFill/>
        </a:ln>
        <a:effectLst>
          <a:outerShdw blurRad="50800" dist="38100" dir="2700000" algn="tl" rotWithShape="0">
            <a:prstClr val="black">
              <a:alpha val="40000"/>
            </a:prstClr>
          </a:outerShdw>
        </a:effectLst>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CA" sz="1050">
              <a:solidFill>
                <a:schemeClr val="bg1"/>
              </a:solidFill>
              <a:latin typeface="Arial" panose="020B0604020202020204" pitchFamily="34" charset="0"/>
              <a:cs typeface="Arial" panose="020B0604020202020204" pitchFamily="34" charset="0"/>
            </a:rPr>
            <a:t>Save This Scenario</a:t>
          </a:r>
        </a:p>
      </xdr:txBody>
    </xdr:sp>
    <xdr:clientData/>
  </xdr:twoCellAnchor>
  <xdr:twoCellAnchor editAs="oneCell">
    <xdr:from>
      <xdr:col>0</xdr:col>
      <xdr:colOff>0</xdr:colOff>
      <xdr:row>0</xdr:row>
      <xdr:rowOff>71436</xdr:rowOff>
    </xdr:from>
    <xdr:to>
      <xdr:col>3</xdr:col>
      <xdr:colOff>338243</xdr:colOff>
      <xdr:row>0</xdr:row>
      <xdr:rowOff>293688</xdr:rowOff>
    </xdr:to>
    <xdr:pic>
      <xdr:nvPicPr>
        <xdr:cNvPr id="15" name="Picture 14" hidden="1">
          <a:extLst>
            <a:ext uri="{FF2B5EF4-FFF2-40B4-BE49-F238E27FC236}">
              <a16:creationId xmlns:a16="http://schemas.microsoft.com/office/drawing/2014/main" id="{12423A36-5C9E-4707-971C-6898716DE87F}"/>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r="60699" b="11189"/>
        <a:stretch/>
      </xdr:blipFill>
      <xdr:spPr>
        <a:xfrm>
          <a:off x="0" y="71436"/>
          <a:ext cx="2555663" cy="222252"/>
        </a:xfrm>
        <a:prstGeom prst="rect">
          <a:avLst/>
        </a:prstGeom>
      </xdr:spPr>
    </xdr:pic>
    <xdr:clientData/>
  </xdr:twoCellAnchor>
  <xdr:twoCellAnchor editAs="oneCell">
    <xdr:from>
      <xdr:col>0</xdr:col>
      <xdr:colOff>7938</xdr:colOff>
      <xdr:row>85</xdr:row>
      <xdr:rowOff>71438</xdr:rowOff>
    </xdr:from>
    <xdr:to>
      <xdr:col>3</xdr:col>
      <xdr:colOff>195368</xdr:colOff>
      <xdr:row>85</xdr:row>
      <xdr:rowOff>301626</xdr:rowOff>
    </xdr:to>
    <xdr:pic>
      <xdr:nvPicPr>
        <xdr:cNvPr id="16" name="Picture 15" hidden="1">
          <a:extLst>
            <a:ext uri="{FF2B5EF4-FFF2-40B4-BE49-F238E27FC236}">
              <a16:creationId xmlns:a16="http://schemas.microsoft.com/office/drawing/2014/main" id="{FCC6D40D-C665-4128-82F7-8E3BE8A5CB79}"/>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1" r="63077" b="8147"/>
        <a:stretch/>
      </xdr:blipFill>
      <xdr:spPr>
        <a:xfrm>
          <a:off x="7938" y="20195858"/>
          <a:ext cx="2404850" cy="230188"/>
        </a:xfrm>
        <a:prstGeom prst="rect">
          <a:avLst/>
        </a:prstGeom>
      </xdr:spPr>
    </xdr:pic>
    <xdr:clientData/>
  </xdr:twoCellAnchor>
  <xdr:oneCellAnchor>
    <xdr:from>
      <xdr:col>0</xdr:col>
      <xdr:colOff>53658</xdr:colOff>
      <xdr:row>42</xdr:row>
      <xdr:rowOff>121920</xdr:rowOff>
    </xdr:from>
    <xdr:ext cx="2409295" cy="230188"/>
    <xdr:pic>
      <xdr:nvPicPr>
        <xdr:cNvPr id="18" name="Picture 17" hidden="1">
          <a:extLst>
            <a:ext uri="{FF2B5EF4-FFF2-40B4-BE49-F238E27FC236}">
              <a16:creationId xmlns:a16="http://schemas.microsoft.com/office/drawing/2014/main" id="{A9DF9015-83C6-43CD-BD6D-C7A06B3A9984}"/>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1" r="63077" b="8147"/>
        <a:stretch/>
      </xdr:blipFill>
      <xdr:spPr>
        <a:xfrm>
          <a:off x="53658" y="10119360"/>
          <a:ext cx="2409295" cy="230188"/>
        </a:xfrm>
        <a:prstGeom prst="rect">
          <a:avLst/>
        </a:prstGeom>
      </xdr:spPr>
    </xdr:pic>
    <xdr:clientData/>
  </xdr:oneCellAnchor>
  <xdr:twoCellAnchor>
    <xdr:from>
      <xdr:col>0</xdr:col>
      <xdr:colOff>314324</xdr:colOff>
      <xdr:row>62</xdr:row>
      <xdr:rowOff>120748</xdr:rowOff>
    </xdr:from>
    <xdr:to>
      <xdr:col>3</xdr:col>
      <xdr:colOff>91950</xdr:colOff>
      <xdr:row>74</xdr:row>
      <xdr:rowOff>61655</xdr:rowOff>
    </xdr:to>
    <xdr:grpSp>
      <xdr:nvGrpSpPr>
        <xdr:cNvPr id="19" name="Group 18">
          <a:extLst>
            <a:ext uri="{FF2B5EF4-FFF2-40B4-BE49-F238E27FC236}">
              <a16:creationId xmlns:a16="http://schemas.microsoft.com/office/drawing/2014/main" id="{E08108E8-093F-472E-B71A-F471FC66D1A9}"/>
            </a:ext>
          </a:extLst>
        </xdr:cNvPr>
        <xdr:cNvGrpSpPr/>
      </xdr:nvGrpSpPr>
      <xdr:grpSpPr>
        <a:xfrm>
          <a:off x="314324" y="13973908"/>
          <a:ext cx="1995046" cy="2226907"/>
          <a:chOff x="361949" y="7473626"/>
          <a:chExt cx="2016001" cy="2230933"/>
        </a:xfrm>
      </xdr:grpSpPr>
      <xdr:sp macro="" textlink="">
        <xdr:nvSpPr>
          <xdr:cNvPr id="20" name="Rectangle 19">
            <a:extLst>
              <a:ext uri="{FF2B5EF4-FFF2-40B4-BE49-F238E27FC236}">
                <a16:creationId xmlns:a16="http://schemas.microsoft.com/office/drawing/2014/main" id="{5030D0E0-4B38-9BE3-143C-202A5F0A4F21}"/>
              </a:ext>
            </a:extLst>
          </xdr:cNvPr>
          <xdr:cNvSpPr/>
        </xdr:nvSpPr>
        <xdr:spPr>
          <a:xfrm>
            <a:off x="361949" y="7473626"/>
            <a:ext cx="2016000" cy="432869"/>
          </a:xfrm>
          <a:prstGeom prst="rect">
            <a:avLst/>
          </a:prstGeom>
          <a:solidFill>
            <a:schemeClr val="accent5">
              <a:lumMod val="40000"/>
              <a:lumOff val="6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100" b="1">
                <a:solidFill>
                  <a:sysClr val="windowText" lastClr="000000"/>
                </a:solidFill>
                <a:latin typeface="Arial" panose="020B0604020202020204" pitchFamily="34" charset="0"/>
                <a:cs typeface="Arial" panose="020B0604020202020204" pitchFamily="34" charset="0"/>
              </a:rPr>
              <a:t>HOT2000</a:t>
            </a:r>
          </a:p>
        </xdr:txBody>
      </xdr:sp>
      <xdr:sp macro="" textlink="">
        <xdr:nvSpPr>
          <xdr:cNvPr id="21" name="Rectangle 20">
            <a:extLst>
              <a:ext uri="{FF2B5EF4-FFF2-40B4-BE49-F238E27FC236}">
                <a16:creationId xmlns:a16="http://schemas.microsoft.com/office/drawing/2014/main" id="{80C4350F-0DE7-9493-811B-2975BF63EA9B}"/>
              </a:ext>
            </a:extLst>
          </xdr:cNvPr>
          <xdr:cNvSpPr/>
        </xdr:nvSpPr>
        <xdr:spPr>
          <a:xfrm>
            <a:off x="361950" y="7902766"/>
            <a:ext cx="1008000" cy="395506"/>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Electricity </a:t>
            </a:r>
            <a:endParaRPr lang="fr-CA" sz="900">
              <a:solidFill>
                <a:sysClr val="windowText" lastClr="000000"/>
              </a:solidFill>
              <a:effectLst/>
              <a:latin typeface="+mn-lt"/>
              <a:ea typeface="+mn-ea"/>
              <a:cs typeface="+mn-cs"/>
            </a:endParaRPr>
          </a:p>
          <a:p>
            <a:pPr algn="ctr"/>
            <a:r>
              <a:rPr lang="en-CA" sz="900">
                <a:solidFill>
                  <a:sysClr val="windowText" lastClr="000000"/>
                </a:solidFill>
                <a:effectLst/>
                <a:latin typeface="+mn-lt"/>
                <a:ea typeface="+mn-ea"/>
                <a:cs typeface="+mn-cs"/>
              </a:rPr>
              <a:t>(g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e/kWh)</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xdr:nvSpPr>
          <xdr:cNvPr id="22" name="Rectangle 21">
            <a:extLst>
              <a:ext uri="{FF2B5EF4-FFF2-40B4-BE49-F238E27FC236}">
                <a16:creationId xmlns:a16="http://schemas.microsoft.com/office/drawing/2014/main" id="{344E051C-2686-A8C9-F056-8A8F4AAF61F6}"/>
              </a:ext>
            </a:extLst>
          </xdr:cNvPr>
          <xdr:cNvSpPr/>
        </xdr:nvSpPr>
        <xdr:spPr>
          <a:xfrm>
            <a:off x="1369949" y="7902766"/>
            <a:ext cx="1008000" cy="395506"/>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Natural Gas </a:t>
            </a:r>
          </a:p>
          <a:p>
            <a:pPr algn="ctr"/>
            <a:r>
              <a:rPr lang="en-CA" sz="900">
                <a:solidFill>
                  <a:sysClr val="windowText" lastClr="000000"/>
                </a:solidFill>
                <a:effectLst/>
                <a:latin typeface="+mn-lt"/>
                <a:ea typeface="+mn-ea"/>
                <a:cs typeface="+mn-cs"/>
              </a:rPr>
              <a:t>(g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e/M</a:t>
            </a:r>
            <a:r>
              <a:rPr lang="en-CA" sz="900" baseline="30000">
                <a:solidFill>
                  <a:sysClr val="windowText" lastClr="000000"/>
                </a:solidFill>
                <a:effectLst/>
                <a:latin typeface="+mn-lt"/>
                <a:ea typeface="+mn-ea"/>
                <a:cs typeface="+mn-cs"/>
              </a:rPr>
              <a:t>3</a:t>
            </a:r>
            <a:r>
              <a:rPr lang="en-CA" sz="900">
                <a:solidFill>
                  <a:sysClr val="windowText" lastClr="000000"/>
                </a:solidFill>
                <a:effectLst/>
                <a:latin typeface="+mn-lt"/>
                <a:ea typeface="+mn-ea"/>
                <a:cs typeface="+mn-cs"/>
              </a:rPr>
              <a:t>)</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fLocksText="0">
        <xdr:nvSpPr>
          <xdr:cNvPr id="23" name="H2K_Elec">
            <a:extLst>
              <a:ext uri="{FF2B5EF4-FFF2-40B4-BE49-F238E27FC236}">
                <a16:creationId xmlns:a16="http://schemas.microsoft.com/office/drawing/2014/main" id="{9816F986-EC1B-2B4D-7DE4-98669F39283C}"/>
              </a:ext>
            </a:extLst>
          </xdr:cNvPr>
          <xdr:cNvSpPr/>
        </xdr:nvSpPr>
        <xdr:spPr>
          <a:xfrm>
            <a:off x="361950" y="8298274"/>
            <a:ext cx="1008000" cy="251686"/>
          </a:xfrm>
          <a:prstGeom prst="rect">
            <a:avLst/>
          </a:prstGeom>
          <a:solidFill>
            <a:srgbClr val="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692</a:t>
            </a:r>
          </a:p>
        </xdr:txBody>
      </xdr:sp>
      <xdr:sp macro="" textlink="" fLocksText="0">
        <xdr:nvSpPr>
          <xdr:cNvPr id="24" name="H2K_Gas">
            <a:extLst>
              <a:ext uri="{FF2B5EF4-FFF2-40B4-BE49-F238E27FC236}">
                <a16:creationId xmlns:a16="http://schemas.microsoft.com/office/drawing/2014/main" id="{D061BBB6-5FFC-2B0A-C18F-8959F8D2D300}"/>
              </a:ext>
            </a:extLst>
          </xdr:cNvPr>
          <xdr:cNvSpPr/>
        </xdr:nvSpPr>
        <xdr:spPr>
          <a:xfrm>
            <a:off x="1369950" y="8298274"/>
            <a:ext cx="1008000" cy="251686"/>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1930</a:t>
            </a:r>
          </a:p>
        </xdr:txBody>
      </xdr:sp>
      <xdr:sp macro="" textlink="">
        <xdr:nvSpPr>
          <xdr:cNvPr id="25" name="Rectangle 24">
            <a:extLst>
              <a:ext uri="{FF2B5EF4-FFF2-40B4-BE49-F238E27FC236}">
                <a16:creationId xmlns:a16="http://schemas.microsoft.com/office/drawing/2014/main" id="{93F2359B-E910-4A0F-D1B5-8C25CF3196BD}"/>
              </a:ext>
            </a:extLst>
          </xdr:cNvPr>
          <xdr:cNvSpPr/>
        </xdr:nvSpPr>
        <xdr:spPr>
          <a:xfrm>
            <a:off x="361949" y="8549959"/>
            <a:ext cx="1008000" cy="399551"/>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Oil (g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e/L)</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xdr:nvSpPr>
          <xdr:cNvPr id="26" name="Rectangle 25">
            <a:extLst>
              <a:ext uri="{FF2B5EF4-FFF2-40B4-BE49-F238E27FC236}">
                <a16:creationId xmlns:a16="http://schemas.microsoft.com/office/drawing/2014/main" id="{458AC7BB-24EA-5EC1-57C8-E88D7F69ED54}"/>
              </a:ext>
            </a:extLst>
          </xdr:cNvPr>
          <xdr:cNvSpPr/>
        </xdr:nvSpPr>
        <xdr:spPr>
          <a:xfrm>
            <a:off x="1369950" y="8549959"/>
            <a:ext cx="1008000" cy="399551"/>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Propane </a:t>
            </a:r>
          </a:p>
          <a:p>
            <a:pPr algn="ctr"/>
            <a:r>
              <a:rPr lang="en-CA" sz="900">
                <a:solidFill>
                  <a:sysClr val="windowText" lastClr="000000"/>
                </a:solidFill>
                <a:effectLst/>
                <a:latin typeface="+mn-lt"/>
                <a:ea typeface="+mn-ea"/>
                <a:cs typeface="+mn-cs"/>
              </a:rPr>
              <a:t>(g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e/L)</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fLocksText="0">
        <xdr:nvSpPr>
          <xdr:cNvPr id="27" name="H2K_Oil">
            <a:extLst>
              <a:ext uri="{FF2B5EF4-FFF2-40B4-BE49-F238E27FC236}">
                <a16:creationId xmlns:a16="http://schemas.microsoft.com/office/drawing/2014/main" id="{319D9DA5-D4CA-3517-120E-22054D312D1F}"/>
              </a:ext>
            </a:extLst>
          </xdr:cNvPr>
          <xdr:cNvSpPr/>
        </xdr:nvSpPr>
        <xdr:spPr>
          <a:xfrm>
            <a:off x="361950" y="8949506"/>
            <a:ext cx="1008000" cy="251686"/>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2760</a:t>
            </a:r>
          </a:p>
        </xdr:txBody>
      </xdr:sp>
      <xdr:sp macro="" textlink="" fLocksText="0">
        <xdr:nvSpPr>
          <xdr:cNvPr id="28" name="H2K_Propane">
            <a:extLst>
              <a:ext uri="{FF2B5EF4-FFF2-40B4-BE49-F238E27FC236}">
                <a16:creationId xmlns:a16="http://schemas.microsoft.com/office/drawing/2014/main" id="{405C575C-8941-09DE-7C69-E8549547379C}"/>
              </a:ext>
            </a:extLst>
          </xdr:cNvPr>
          <xdr:cNvSpPr/>
        </xdr:nvSpPr>
        <xdr:spPr>
          <a:xfrm>
            <a:off x="1369950" y="8949506"/>
            <a:ext cx="1008000" cy="251686"/>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1550</a:t>
            </a:r>
          </a:p>
        </xdr:txBody>
      </xdr:sp>
      <xdr:sp macro="" textlink="">
        <xdr:nvSpPr>
          <xdr:cNvPr id="29" name="Rectangle 28">
            <a:extLst>
              <a:ext uri="{FF2B5EF4-FFF2-40B4-BE49-F238E27FC236}">
                <a16:creationId xmlns:a16="http://schemas.microsoft.com/office/drawing/2014/main" id="{B2282D61-5810-6CAE-37CE-019DBA435EF1}"/>
              </a:ext>
            </a:extLst>
          </xdr:cNvPr>
          <xdr:cNvSpPr/>
        </xdr:nvSpPr>
        <xdr:spPr>
          <a:xfrm>
            <a:off x="361949" y="9201200"/>
            <a:ext cx="2016000" cy="251686"/>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Wood (g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e/kg)</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fLocksText="0">
        <xdr:nvSpPr>
          <xdr:cNvPr id="30" name="H2K_Wood">
            <a:extLst>
              <a:ext uri="{FF2B5EF4-FFF2-40B4-BE49-F238E27FC236}">
                <a16:creationId xmlns:a16="http://schemas.microsoft.com/office/drawing/2014/main" id="{70364E65-C8F9-88A6-223F-8C7AA9A6418B}"/>
              </a:ext>
            </a:extLst>
          </xdr:cNvPr>
          <xdr:cNvSpPr/>
        </xdr:nvSpPr>
        <xdr:spPr>
          <a:xfrm>
            <a:off x="361949" y="9452873"/>
            <a:ext cx="2016000" cy="251686"/>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360</a:t>
            </a:r>
          </a:p>
        </xdr:txBody>
      </xdr:sp>
      <mc:AlternateContent xmlns:mc="http://schemas.openxmlformats.org/markup-compatibility/2006">
        <mc:Choice xmlns:a14="http://schemas.microsoft.com/office/drawing/2010/main" Requires="a14">
          <xdr:sp macro="" textlink="">
            <xdr:nvSpPr>
              <xdr:cNvPr id="360449" name="optionH2K" hidden="1">
                <a:extLst>
                  <a:ext uri="{63B3BB69-23CF-44E3-9099-C40C66FF867C}">
                    <a14:compatExt spid="_x0000_s360449"/>
                  </a:ext>
                  <a:ext uri="{FF2B5EF4-FFF2-40B4-BE49-F238E27FC236}">
                    <a16:creationId xmlns:a16="http://schemas.microsoft.com/office/drawing/2014/main" id="{00000000-0008-0000-1700-000001800500}"/>
                  </a:ext>
                </a:extLst>
              </xdr:cNvPr>
              <xdr:cNvSpPr/>
            </xdr:nvSpPr>
            <xdr:spPr bwMode="auto">
              <a:xfrm>
                <a:off x="514350" y="7526002"/>
                <a:ext cx="1321377" cy="307014"/>
              </a:xfrm>
              <a:prstGeom prst="rect">
                <a:avLst/>
              </a:prstGeom>
              <a:noFill/>
              <a:ln>
                <a:noFill/>
              </a:ln>
              <a:extLst>
                <a:ext uri="{909E8E84-426E-40DD-AFC4-6F175D3DCCD1}">
                  <a14:hiddenFill>
                    <a:solidFill>
                      <a:srgbClr val="00FF00" mc:Ignorable="a14" a14:legacySpreadsheetColorIndex="11"/>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grpSp>
    <xdr:clientData/>
  </xdr:twoCellAnchor>
  <xdr:twoCellAnchor>
    <xdr:from>
      <xdr:col>3</xdr:col>
      <xdr:colOff>137678</xdr:colOff>
      <xdr:row>62</xdr:row>
      <xdr:rowOff>120726</xdr:rowOff>
    </xdr:from>
    <xdr:to>
      <xdr:col>6</xdr:col>
      <xdr:colOff>447839</xdr:colOff>
      <xdr:row>74</xdr:row>
      <xdr:rowOff>61672</xdr:rowOff>
    </xdr:to>
    <xdr:grpSp>
      <xdr:nvGrpSpPr>
        <xdr:cNvPr id="31" name="Group 30">
          <a:extLst>
            <a:ext uri="{FF2B5EF4-FFF2-40B4-BE49-F238E27FC236}">
              <a16:creationId xmlns:a16="http://schemas.microsoft.com/office/drawing/2014/main" id="{E55EB10D-5626-42AD-A23E-C76F7CAFB849}"/>
            </a:ext>
          </a:extLst>
        </xdr:cNvPr>
        <xdr:cNvGrpSpPr/>
      </xdr:nvGrpSpPr>
      <xdr:grpSpPr>
        <a:xfrm>
          <a:off x="2355098" y="13973886"/>
          <a:ext cx="2009421" cy="2226946"/>
          <a:chOff x="366279" y="7490980"/>
          <a:chExt cx="2016001" cy="2233725"/>
        </a:xfrm>
      </xdr:grpSpPr>
      <xdr:sp macro="" textlink="">
        <xdr:nvSpPr>
          <xdr:cNvPr id="32" name="Rectangle 31">
            <a:extLst>
              <a:ext uri="{FF2B5EF4-FFF2-40B4-BE49-F238E27FC236}">
                <a16:creationId xmlns:a16="http://schemas.microsoft.com/office/drawing/2014/main" id="{7DA3671B-C562-5FCF-3D90-D28C567D5838}"/>
              </a:ext>
            </a:extLst>
          </xdr:cNvPr>
          <xdr:cNvSpPr/>
        </xdr:nvSpPr>
        <xdr:spPr>
          <a:xfrm>
            <a:off x="366279" y="7490980"/>
            <a:ext cx="2016000" cy="433403"/>
          </a:xfrm>
          <a:prstGeom prst="rect">
            <a:avLst/>
          </a:prstGeom>
          <a:solidFill>
            <a:srgbClr val="D9F2D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100" b="1">
                <a:solidFill>
                  <a:sysClr val="windowText" lastClr="000000"/>
                </a:solidFill>
                <a:latin typeface="Arial" panose="020B0604020202020204" pitchFamily="34" charset="0"/>
                <a:cs typeface="Arial" panose="020B0604020202020204" pitchFamily="34" charset="0"/>
              </a:rPr>
              <a:t>NBC 2025</a:t>
            </a:r>
          </a:p>
        </xdr:txBody>
      </xdr:sp>
      <xdr:sp macro="" textlink="">
        <xdr:nvSpPr>
          <xdr:cNvPr id="33" name="Rectangle 32">
            <a:extLst>
              <a:ext uri="{FF2B5EF4-FFF2-40B4-BE49-F238E27FC236}">
                <a16:creationId xmlns:a16="http://schemas.microsoft.com/office/drawing/2014/main" id="{C86219EF-13AC-8638-BFED-4A14437A898D}"/>
              </a:ext>
            </a:extLst>
          </xdr:cNvPr>
          <xdr:cNvSpPr/>
        </xdr:nvSpPr>
        <xdr:spPr>
          <a:xfrm>
            <a:off x="366280" y="7920657"/>
            <a:ext cx="1008000" cy="39600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Electricity </a:t>
            </a:r>
            <a:endParaRPr lang="fr-CA" sz="900">
              <a:solidFill>
                <a:sysClr val="windowText" lastClr="000000"/>
              </a:solidFill>
              <a:effectLst/>
              <a:latin typeface="+mn-lt"/>
              <a:ea typeface="+mn-ea"/>
              <a:cs typeface="+mn-cs"/>
            </a:endParaRPr>
          </a:p>
          <a:p>
            <a:pPr algn="ctr"/>
            <a:r>
              <a:rPr lang="en-CA" sz="900">
                <a:solidFill>
                  <a:sysClr val="windowText" lastClr="000000"/>
                </a:solidFill>
                <a:effectLst/>
                <a:latin typeface="+mn-lt"/>
                <a:ea typeface="+mn-ea"/>
                <a:cs typeface="+mn-cs"/>
              </a:rPr>
              <a:t>(g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e/kWh)</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xdr:nvSpPr>
          <xdr:cNvPr id="34" name="Rectangle 33">
            <a:extLst>
              <a:ext uri="{FF2B5EF4-FFF2-40B4-BE49-F238E27FC236}">
                <a16:creationId xmlns:a16="http://schemas.microsoft.com/office/drawing/2014/main" id="{B4B7F0C8-4D78-2CD0-FD11-EF1725832310}"/>
              </a:ext>
            </a:extLst>
          </xdr:cNvPr>
          <xdr:cNvSpPr/>
        </xdr:nvSpPr>
        <xdr:spPr>
          <a:xfrm>
            <a:off x="1374279" y="7920658"/>
            <a:ext cx="1008000" cy="39600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Natural Gas </a:t>
            </a:r>
          </a:p>
          <a:p>
            <a:pPr algn="ctr"/>
            <a:r>
              <a:rPr lang="en-CA" sz="900">
                <a:solidFill>
                  <a:sysClr val="windowText" lastClr="000000"/>
                </a:solidFill>
                <a:effectLst/>
                <a:latin typeface="+mn-lt"/>
                <a:ea typeface="+mn-ea"/>
                <a:cs typeface="+mn-cs"/>
              </a:rPr>
              <a:t>(g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e/M</a:t>
            </a:r>
            <a:r>
              <a:rPr lang="en-CA" sz="900" baseline="30000">
                <a:solidFill>
                  <a:sysClr val="windowText" lastClr="000000"/>
                </a:solidFill>
                <a:effectLst/>
                <a:latin typeface="+mn-lt"/>
                <a:ea typeface="+mn-ea"/>
                <a:cs typeface="+mn-cs"/>
              </a:rPr>
              <a:t>3</a:t>
            </a:r>
            <a:r>
              <a:rPr lang="en-CA" sz="900">
                <a:solidFill>
                  <a:sysClr val="windowText" lastClr="000000"/>
                </a:solidFill>
                <a:effectLst/>
                <a:latin typeface="+mn-lt"/>
                <a:ea typeface="+mn-ea"/>
                <a:cs typeface="+mn-cs"/>
              </a:rPr>
              <a:t>)</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fLocksText="0">
        <xdr:nvSpPr>
          <xdr:cNvPr id="35" name="NBC_Elec">
            <a:extLst>
              <a:ext uri="{FF2B5EF4-FFF2-40B4-BE49-F238E27FC236}">
                <a16:creationId xmlns:a16="http://schemas.microsoft.com/office/drawing/2014/main" id="{6D0D2F30-5049-AF2C-0003-E8AFA62D8D1F}"/>
              </a:ext>
            </a:extLst>
          </xdr:cNvPr>
          <xdr:cNvSpPr/>
        </xdr:nvSpPr>
        <xdr:spPr>
          <a:xfrm>
            <a:off x="366280" y="8316659"/>
            <a:ext cx="1008000" cy="252000"/>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146.6</a:t>
            </a:r>
          </a:p>
        </xdr:txBody>
      </xdr:sp>
      <xdr:sp macro="" textlink="" fLocksText="0">
        <xdr:nvSpPr>
          <xdr:cNvPr id="36" name="NBC_Gas">
            <a:extLst>
              <a:ext uri="{FF2B5EF4-FFF2-40B4-BE49-F238E27FC236}">
                <a16:creationId xmlns:a16="http://schemas.microsoft.com/office/drawing/2014/main" id="{35A35A51-4025-CF9E-B0BB-C31FDE97DF09}"/>
              </a:ext>
            </a:extLst>
          </xdr:cNvPr>
          <xdr:cNvSpPr/>
        </xdr:nvSpPr>
        <xdr:spPr>
          <a:xfrm>
            <a:off x="1374280" y="8316659"/>
            <a:ext cx="1008000" cy="252000"/>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1914</a:t>
            </a:r>
          </a:p>
        </xdr:txBody>
      </xdr:sp>
      <xdr:sp macro="" textlink="">
        <xdr:nvSpPr>
          <xdr:cNvPr id="37" name="Rectangle 36">
            <a:extLst>
              <a:ext uri="{FF2B5EF4-FFF2-40B4-BE49-F238E27FC236}">
                <a16:creationId xmlns:a16="http://schemas.microsoft.com/office/drawing/2014/main" id="{AB97B550-9837-2C46-4A9D-AEABA97C8423}"/>
              </a:ext>
            </a:extLst>
          </xdr:cNvPr>
          <xdr:cNvSpPr/>
        </xdr:nvSpPr>
        <xdr:spPr>
          <a:xfrm>
            <a:off x="366279" y="8568660"/>
            <a:ext cx="1008000" cy="40005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Oil (g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e/L)</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xdr:nvSpPr>
          <xdr:cNvPr id="38" name="Rectangle 37">
            <a:extLst>
              <a:ext uri="{FF2B5EF4-FFF2-40B4-BE49-F238E27FC236}">
                <a16:creationId xmlns:a16="http://schemas.microsoft.com/office/drawing/2014/main" id="{EEC53A88-A883-FFE5-26E6-5E4DB2523DFF}"/>
              </a:ext>
            </a:extLst>
          </xdr:cNvPr>
          <xdr:cNvSpPr/>
        </xdr:nvSpPr>
        <xdr:spPr>
          <a:xfrm>
            <a:off x="1374280" y="8568660"/>
            <a:ext cx="1008000" cy="40005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Propane </a:t>
            </a:r>
          </a:p>
          <a:p>
            <a:pPr algn="ctr"/>
            <a:r>
              <a:rPr lang="en-CA" sz="900">
                <a:solidFill>
                  <a:sysClr val="windowText" lastClr="000000"/>
                </a:solidFill>
                <a:effectLst/>
                <a:latin typeface="+mn-lt"/>
                <a:ea typeface="+mn-ea"/>
                <a:cs typeface="+mn-cs"/>
              </a:rPr>
              <a:t>(g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e/L)</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fLocksText="0">
        <xdr:nvSpPr>
          <xdr:cNvPr id="39" name="NBC_Oil">
            <a:extLst>
              <a:ext uri="{FF2B5EF4-FFF2-40B4-BE49-F238E27FC236}">
                <a16:creationId xmlns:a16="http://schemas.microsoft.com/office/drawing/2014/main" id="{A377E770-DDEF-443D-7AC6-8F29EB864C3D}"/>
              </a:ext>
            </a:extLst>
          </xdr:cNvPr>
          <xdr:cNvSpPr/>
        </xdr:nvSpPr>
        <xdr:spPr>
          <a:xfrm>
            <a:off x="366280" y="8968706"/>
            <a:ext cx="1008000" cy="252000"/>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2755</a:t>
            </a:r>
          </a:p>
        </xdr:txBody>
      </xdr:sp>
      <xdr:sp macro="" textlink="" fLocksText="0">
        <xdr:nvSpPr>
          <xdr:cNvPr id="40" name="NBC_Propane">
            <a:extLst>
              <a:ext uri="{FF2B5EF4-FFF2-40B4-BE49-F238E27FC236}">
                <a16:creationId xmlns:a16="http://schemas.microsoft.com/office/drawing/2014/main" id="{2A11ACEE-39AC-8733-9AA1-A14ABF53CFA8}"/>
              </a:ext>
            </a:extLst>
          </xdr:cNvPr>
          <xdr:cNvSpPr/>
        </xdr:nvSpPr>
        <xdr:spPr>
          <a:xfrm>
            <a:off x="1374280" y="8968706"/>
            <a:ext cx="1008000" cy="252000"/>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1548</a:t>
            </a:r>
          </a:p>
        </xdr:txBody>
      </xdr:sp>
      <xdr:sp macro="" textlink="">
        <xdr:nvSpPr>
          <xdr:cNvPr id="41" name="Rectangle 40">
            <a:extLst>
              <a:ext uri="{FF2B5EF4-FFF2-40B4-BE49-F238E27FC236}">
                <a16:creationId xmlns:a16="http://schemas.microsoft.com/office/drawing/2014/main" id="{BE3161E8-D396-BB9A-63D7-2F917D09D355}"/>
              </a:ext>
            </a:extLst>
          </xdr:cNvPr>
          <xdr:cNvSpPr/>
        </xdr:nvSpPr>
        <xdr:spPr>
          <a:xfrm>
            <a:off x="366279" y="9220707"/>
            <a:ext cx="2016000" cy="25200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Wood (g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e/kg)</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fLocksText="0">
        <xdr:nvSpPr>
          <xdr:cNvPr id="42" name="NBC_Wood">
            <a:extLst>
              <a:ext uri="{FF2B5EF4-FFF2-40B4-BE49-F238E27FC236}">
                <a16:creationId xmlns:a16="http://schemas.microsoft.com/office/drawing/2014/main" id="{8BD2CFC2-7304-6D54-D1F6-2516443CA2CC}"/>
              </a:ext>
            </a:extLst>
          </xdr:cNvPr>
          <xdr:cNvSpPr/>
        </xdr:nvSpPr>
        <xdr:spPr>
          <a:xfrm>
            <a:off x="366279" y="9472705"/>
            <a:ext cx="2016000" cy="252000"/>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360</a:t>
            </a:r>
          </a:p>
        </xdr:txBody>
      </xdr:sp>
      <mc:AlternateContent xmlns:mc="http://schemas.openxmlformats.org/markup-compatibility/2006">
        <mc:Choice xmlns:a14="http://schemas.microsoft.com/office/drawing/2010/main" Requires="a14">
          <xdr:sp macro="" textlink="">
            <xdr:nvSpPr>
              <xdr:cNvPr id="360450" name="optionNBC" hidden="1">
                <a:extLst>
                  <a:ext uri="{63B3BB69-23CF-44E3-9099-C40C66FF867C}">
                    <a14:compatExt spid="_x0000_s360450"/>
                  </a:ext>
                  <a:ext uri="{FF2B5EF4-FFF2-40B4-BE49-F238E27FC236}">
                    <a16:creationId xmlns:a16="http://schemas.microsoft.com/office/drawing/2014/main" id="{00000000-0008-0000-1700-000002800500}"/>
                  </a:ext>
                </a:extLst>
              </xdr:cNvPr>
              <xdr:cNvSpPr/>
            </xdr:nvSpPr>
            <xdr:spPr bwMode="auto">
              <a:xfrm>
                <a:off x="518680" y="7543446"/>
                <a:ext cx="1321377" cy="307397"/>
              </a:xfrm>
              <a:prstGeom prst="rect">
                <a:avLst/>
              </a:prstGeom>
              <a:noFill/>
              <a:ln>
                <a:noFill/>
              </a:ln>
              <a:extLst>
                <a:ext uri="{909E8E84-426E-40DD-AFC4-6F175D3DCCD1}">
                  <a14:hiddenFill>
                    <a:solidFill>
                      <a:srgbClr val="00FF00" mc:Ignorable="a14" a14:legacySpreadsheetColorIndex="11"/>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grpSp>
    <xdr:clientData/>
  </xdr:twoCellAnchor>
  <xdr:twoCellAnchor>
    <xdr:from>
      <xdr:col>6</xdr:col>
      <xdr:colOff>493568</xdr:colOff>
      <xdr:row>62</xdr:row>
      <xdr:rowOff>120275</xdr:rowOff>
    </xdr:from>
    <xdr:to>
      <xdr:col>10</xdr:col>
      <xdr:colOff>561273</xdr:colOff>
      <xdr:row>74</xdr:row>
      <xdr:rowOff>58157</xdr:rowOff>
    </xdr:to>
    <xdr:grpSp>
      <xdr:nvGrpSpPr>
        <xdr:cNvPr id="43" name="Group 42">
          <a:extLst>
            <a:ext uri="{FF2B5EF4-FFF2-40B4-BE49-F238E27FC236}">
              <a16:creationId xmlns:a16="http://schemas.microsoft.com/office/drawing/2014/main" id="{107DFC75-D86B-4C87-BC17-BA8DA42C3DFD}"/>
            </a:ext>
          </a:extLst>
        </xdr:cNvPr>
        <xdr:cNvGrpSpPr/>
      </xdr:nvGrpSpPr>
      <xdr:grpSpPr>
        <a:xfrm>
          <a:off x="4410248" y="13973435"/>
          <a:ext cx="2003185" cy="2223882"/>
          <a:chOff x="366279" y="7490988"/>
          <a:chExt cx="2016001" cy="2230057"/>
        </a:xfrm>
      </xdr:grpSpPr>
      <xdr:sp macro="" textlink="">
        <xdr:nvSpPr>
          <xdr:cNvPr id="44" name="Rectangle 43">
            <a:extLst>
              <a:ext uri="{FF2B5EF4-FFF2-40B4-BE49-F238E27FC236}">
                <a16:creationId xmlns:a16="http://schemas.microsoft.com/office/drawing/2014/main" id="{7CFD9377-4D5D-DEE9-E9D8-D5F9EF45A3C2}"/>
              </a:ext>
            </a:extLst>
          </xdr:cNvPr>
          <xdr:cNvSpPr/>
        </xdr:nvSpPr>
        <xdr:spPr>
          <a:xfrm>
            <a:off x="366279" y="7490988"/>
            <a:ext cx="2016000" cy="430961"/>
          </a:xfrm>
          <a:prstGeom prst="rect">
            <a:avLst/>
          </a:prstGeom>
          <a:solidFill>
            <a:srgbClr val="FAE2D5"/>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100" b="1">
                <a:solidFill>
                  <a:sysClr val="windowText" lastClr="000000"/>
                </a:solidFill>
                <a:latin typeface="Arial" panose="020B0604020202020204" pitchFamily="34" charset="0"/>
                <a:cs typeface="Arial" panose="020B0604020202020204" pitchFamily="34" charset="0"/>
              </a:rPr>
              <a:t>User override</a:t>
            </a:r>
          </a:p>
        </xdr:txBody>
      </xdr:sp>
      <xdr:sp macro="" textlink="">
        <xdr:nvSpPr>
          <xdr:cNvPr id="45" name="Rectangle 44">
            <a:extLst>
              <a:ext uri="{FF2B5EF4-FFF2-40B4-BE49-F238E27FC236}">
                <a16:creationId xmlns:a16="http://schemas.microsoft.com/office/drawing/2014/main" id="{79331DD2-BA0F-F37A-DBAB-F48F4045BACA}"/>
              </a:ext>
            </a:extLst>
          </xdr:cNvPr>
          <xdr:cNvSpPr/>
        </xdr:nvSpPr>
        <xdr:spPr>
          <a:xfrm>
            <a:off x="366280" y="7916986"/>
            <a:ext cx="1008000" cy="39600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Electricity </a:t>
            </a:r>
            <a:endParaRPr lang="fr-CA" sz="900">
              <a:solidFill>
                <a:sysClr val="windowText" lastClr="000000"/>
              </a:solidFill>
              <a:effectLst/>
              <a:latin typeface="+mn-lt"/>
              <a:ea typeface="+mn-ea"/>
              <a:cs typeface="+mn-cs"/>
            </a:endParaRPr>
          </a:p>
          <a:p>
            <a:pPr algn="ctr"/>
            <a:r>
              <a:rPr lang="en-CA" sz="900">
                <a:solidFill>
                  <a:sysClr val="windowText" lastClr="000000"/>
                </a:solidFill>
                <a:effectLst/>
                <a:latin typeface="+mn-lt"/>
                <a:ea typeface="+mn-ea"/>
                <a:cs typeface="+mn-cs"/>
              </a:rPr>
              <a:t>(g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e/kWh)</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xdr:nvSpPr>
          <xdr:cNvPr id="46" name="Rectangle 45">
            <a:extLst>
              <a:ext uri="{FF2B5EF4-FFF2-40B4-BE49-F238E27FC236}">
                <a16:creationId xmlns:a16="http://schemas.microsoft.com/office/drawing/2014/main" id="{1DC15737-C3F0-F144-59B9-3D79A82F92C6}"/>
              </a:ext>
            </a:extLst>
          </xdr:cNvPr>
          <xdr:cNvSpPr/>
        </xdr:nvSpPr>
        <xdr:spPr>
          <a:xfrm>
            <a:off x="1374279" y="7916986"/>
            <a:ext cx="1008000" cy="39600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Natural Gas </a:t>
            </a:r>
          </a:p>
          <a:p>
            <a:pPr algn="ctr"/>
            <a:r>
              <a:rPr lang="en-CA" sz="900">
                <a:solidFill>
                  <a:sysClr val="windowText" lastClr="000000"/>
                </a:solidFill>
                <a:effectLst/>
                <a:latin typeface="+mn-lt"/>
                <a:ea typeface="+mn-ea"/>
                <a:cs typeface="+mn-cs"/>
              </a:rPr>
              <a:t>(g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e/M</a:t>
            </a:r>
            <a:r>
              <a:rPr lang="en-CA" sz="900" baseline="30000">
                <a:solidFill>
                  <a:sysClr val="windowText" lastClr="000000"/>
                </a:solidFill>
                <a:effectLst/>
                <a:latin typeface="+mn-lt"/>
                <a:ea typeface="+mn-ea"/>
                <a:cs typeface="+mn-cs"/>
              </a:rPr>
              <a:t>3</a:t>
            </a:r>
            <a:r>
              <a:rPr lang="en-CA" sz="900">
                <a:solidFill>
                  <a:sysClr val="windowText" lastClr="000000"/>
                </a:solidFill>
                <a:effectLst/>
                <a:latin typeface="+mn-lt"/>
                <a:ea typeface="+mn-ea"/>
                <a:cs typeface="+mn-cs"/>
              </a:rPr>
              <a:t>)</a:t>
            </a:r>
            <a:endParaRPr lang="fr-CA" sz="900" b="1">
              <a:solidFill>
                <a:sysClr val="windowText" lastClr="000000"/>
              </a:solidFill>
              <a:latin typeface="Arial" panose="020B0604020202020204" pitchFamily="34" charset="0"/>
              <a:cs typeface="Arial" panose="020B0604020202020204" pitchFamily="34" charset="0"/>
            </a:endParaRPr>
          </a:p>
        </xdr:txBody>
      </xdr:sp>
      <xdr:sp macro="[0]!Btn_InsertOverrideFactor" textlink="" fLocksText="0">
        <xdr:nvSpPr>
          <xdr:cNvPr id="47" name="User_Elec">
            <a:extLst>
              <a:ext uri="{FF2B5EF4-FFF2-40B4-BE49-F238E27FC236}">
                <a16:creationId xmlns:a16="http://schemas.microsoft.com/office/drawing/2014/main" id="{A49C8E4C-3B6F-F83F-834E-43FA7057370D}"/>
              </a:ext>
            </a:extLst>
          </xdr:cNvPr>
          <xdr:cNvSpPr/>
        </xdr:nvSpPr>
        <xdr:spPr>
          <a:xfrm>
            <a:off x="366280" y="8312982"/>
            <a:ext cx="1008000" cy="252000"/>
          </a:xfrm>
          <a:prstGeom prst="rect">
            <a:avLst/>
          </a:prstGeom>
          <a:solidFill>
            <a:srgbClr val="C1E4F5"/>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CA" sz="1000" b="1">
              <a:solidFill>
                <a:sysClr val="windowText" lastClr="000000"/>
              </a:solidFill>
              <a:latin typeface="Arial" panose="020B0604020202020204" pitchFamily="34" charset="0"/>
              <a:cs typeface="Arial" panose="020B0604020202020204" pitchFamily="34" charset="0"/>
            </a:endParaRPr>
          </a:p>
        </xdr:txBody>
      </xdr:sp>
      <xdr:sp macro="[0]!Btn_InsertOverrideFactor" textlink="" fLocksText="0">
        <xdr:nvSpPr>
          <xdr:cNvPr id="48" name="User_Gas">
            <a:extLst>
              <a:ext uri="{FF2B5EF4-FFF2-40B4-BE49-F238E27FC236}">
                <a16:creationId xmlns:a16="http://schemas.microsoft.com/office/drawing/2014/main" id="{FB1B4A63-6205-3716-D7BA-DF3C7CF0F948}"/>
              </a:ext>
            </a:extLst>
          </xdr:cNvPr>
          <xdr:cNvSpPr/>
        </xdr:nvSpPr>
        <xdr:spPr>
          <a:xfrm>
            <a:off x="1374280" y="8312982"/>
            <a:ext cx="1008000" cy="252000"/>
          </a:xfrm>
          <a:prstGeom prst="rect">
            <a:avLst/>
          </a:prstGeom>
          <a:solidFill>
            <a:srgbClr val="C1E4F5"/>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CA" sz="1000" b="1">
              <a:solidFill>
                <a:sysClr val="windowText" lastClr="000000"/>
              </a:solidFill>
              <a:latin typeface="Arial" panose="020B0604020202020204" pitchFamily="34" charset="0"/>
              <a:cs typeface="Arial" panose="020B0604020202020204" pitchFamily="34" charset="0"/>
            </a:endParaRPr>
          </a:p>
        </xdr:txBody>
      </xdr:sp>
      <xdr:sp macro="" textlink="">
        <xdr:nvSpPr>
          <xdr:cNvPr id="49" name="Rectangle 48">
            <a:extLst>
              <a:ext uri="{FF2B5EF4-FFF2-40B4-BE49-F238E27FC236}">
                <a16:creationId xmlns:a16="http://schemas.microsoft.com/office/drawing/2014/main" id="{3A9DFD26-9E68-A8ED-9A38-D097C03FFAFD}"/>
              </a:ext>
            </a:extLst>
          </xdr:cNvPr>
          <xdr:cNvSpPr/>
        </xdr:nvSpPr>
        <xdr:spPr>
          <a:xfrm>
            <a:off x="366279" y="8564982"/>
            <a:ext cx="1008000" cy="40005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Oil (g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e/L)</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xdr:nvSpPr>
          <xdr:cNvPr id="50" name="Rectangle 49">
            <a:extLst>
              <a:ext uri="{FF2B5EF4-FFF2-40B4-BE49-F238E27FC236}">
                <a16:creationId xmlns:a16="http://schemas.microsoft.com/office/drawing/2014/main" id="{4DBF86B9-5F83-A01A-37D2-3A313CD5321E}"/>
              </a:ext>
            </a:extLst>
          </xdr:cNvPr>
          <xdr:cNvSpPr/>
        </xdr:nvSpPr>
        <xdr:spPr>
          <a:xfrm>
            <a:off x="1374280" y="8564982"/>
            <a:ext cx="1008000" cy="40005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Propane </a:t>
            </a:r>
          </a:p>
          <a:p>
            <a:pPr algn="ctr"/>
            <a:r>
              <a:rPr lang="en-CA" sz="900">
                <a:solidFill>
                  <a:sysClr val="windowText" lastClr="000000"/>
                </a:solidFill>
                <a:effectLst/>
                <a:latin typeface="+mn-lt"/>
                <a:ea typeface="+mn-ea"/>
                <a:cs typeface="+mn-cs"/>
              </a:rPr>
              <a:t>(g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e/L)</a:t>
            </a:r>
            <a:endParaRPr lang="fr-CA" sz="900" b="1">
              <a:solidFill>
                <a:sysClr val="windowText" lastClr="000000"/>
              </a:solidFill>
              <a:latin typeface="Arial" panose="020B0604020202020204" pitchFamily="34" charset="0"/>
              <a:cs typeface="Arial" panose="020B0604020202020204" pitchFamily="34" charset="0"/>
            </a:endParaRPr>
          </a:p>
        </xdr:txBody>
      </xdr:sp>
      <xdr:sp macro="[0]!Btn_InsertOverrideFactor" textlink="" fLocksText="0">
        <xdr:nvSpPr>
          <xdr:cNvPr id="51" name="User_Oil">
            <a:extLst>
              <a:ext uri="{FF2B5EF4-FFF2-40B4-BE49-F238E27FC236}">
                <a16:creationId xmlns:a16="http://schemas.microsoft.com/office/drawing/2014/main" id="{8CD2D73F-B178-9AE3-858E-F9E8B82008D8}"/>
              </a:ext>
            </a:extLst>
          </xdr:cNvPr>
          <xdr:cNvSpPr/>
        </xdr:nvSpPr>
        <xdr:spPr>
          <a:xfrm>
            <a:off x="366280" y="8964996"/>
            <a:ext cx="1008000" cy="252000"/>
          </a:xfrm>
          <a:prstGeom prst="rect">
            <a:avLst/>
          </a:prstGeom>
          <a:solidFill>
            <a:srgbClr val="C1E4F5"/>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CA" sz="1000" b="1">
              <a:solidFill>
                <a:sysClr val="windowText" lastClr="000000"/>
              </a:solidFill>
              <a:latin typeface="Arial" panose="020B0604020202020204" pitchFamily="34" charset="0"/>
              <a:cs typeface="Arial" panose="020B0604020202020204" pitchFamily="34" charset="0"/>
            </a:endParaRPr>
          </a:p>
        </xdr:txBody>
      </xdr:sp>
      <xdr:sp macro="[0]!Btn_InsertOverrideFactor" textlink="" fLocksText="0">
        <xdr:nvSpPr>
          <xdr:cNvPr id="52" name="User_Propane">
            <a:extLst>
              <a:ext uri="{FF2B5EF4-FFF2-40B4-BE49-F238E27FC236}">
                <a16:creationId xmlns:a16="http://schemas.microsoft.com/office/drawing/2014/main" id="{E6088E65-55BF-30DB-6366-2AF98A2AEE97}"/>
              </a:ext>
            </a:extLst>
          </xdr:cNvPr>
          <xdr:cNvSpPr/>
        </xdr:nvSpPr>
        <xdr:spPr>
          <a:xfrm>
            <a:off x="1374280" y="8964996"/>
            <a:ext cx="1008000" cy="252000"/>
          </a:xfrm>
          <a:prstGeom prst="rect">
            <a:avLst/>
          </a:prstGeom>
          <a:solidFill>
            <a:srgbClr val="C1E4F5"/>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CA" sz="1000" b="1">
              <a:solidFill>
                <a:sysClr val="windowText" lastClr="000000"/>
              </a:solidFill>
              <a:latin typeface="Arial" panose="020B0604020202020204" pitchFamily="34" charset="0"/>
              <a:cs typeface="Arial" panose="020B0604020202020204" pitchFamily="34" charset="0"/>
            </a:endParaRPr>
          </a:p>
        </xdr:txBody>
      </xdr:sp>
      <xdr:sp macro="" textlink="">
        <xdr:nvSpPr>
          <xdr:cNvPr id="53" name="Rectangle 52">
            <a:extLst>
              <a:ext uri="{FF2B5EF4-FFF2-40B4-BE49-F238E27FC236}">
                <a16:creationId xmlns:a16="http://schemas.microsoft.com/office/drawing/2014/main" id="{523E2E15-5C6A-7AAE-7A2E-9F57E03A118D}"/>
              </a:ext>
            </a:extLst>
          </xdr:cNvPr>
          <xdr:cNvSpPr/>
        </xdr:nvSpPr>
        <xdr:spPr>
          <a:xfrm>
            <a:off x="366279" y="9217042"/>
            <a:ext cx="2016000" cy="25200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Wood (g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e/kg)</a:t>
            </a:r>
            <a:endParaRPr lang="fr-CA" sz="900" b="1">
              <a:solidFill>
                <a:sysClr val="windowText" lastClr="000000"/>
              </a:solidFill>
              <a:latin typeface="Arial" panose="020B0604020202020204" pitchFamily="34" charset="0"/>
              <a:cs typeface="Arial" panose="020B0604020202020204" pitchFamily="34" charset="0"/>
            </a:endParaRPr>
          </a:p>
        </xdr:txBody>
      </xdr:sp>
      <xdr:sp macro="[0]!Btn_InsertOverrideFactor" textlink="" fLocksText="0">
        <xdr:nvSpPr>
          <xdr:cNvPr id="54" name="User_Wood">
            <a:extLst>
              <a:ext uri="{FF2B5EF4-FFF2-40B4-BE49-F238E27FC236}">
                <a16:creationId xmlns:a16="http://schemas.microsoft.com/office/drawing/2014/main" id="{49D5CD6D-4B92-52E1-6F1D-2CBA7785F8FF}"/>
              </a:ext>
            </a:extLst>
          </xdr:cNvPr>
          <xdr:cNvSpPr/>
        </xdr:nvSpPr>
        <xdr:spPr>
          <a:xfrm>
            <a:off x="366279" y="9469045"/>
            <a:ext cx="2016000" cy="252000"/>
          </a:xfrm>
          <a:prstGeom prst="rect">
            <a:avLst/>
          </a:prstGeom>
          <a:solidFill>
            <a:srgbClr val="C1E4F5"/>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CA" sz="1000" b="1">
              <a:solidFill>
                <a:sysClr val="windowText" lastClr="000000"/>
              </a:solidFill>
              <a:latin typeface="Arial" panose="020B0604020202020204" pitchFamily="34" charset="0"/>
              <a:cs typeface="Arial" panose="020B0604020202020204" pitchFamily="34" charset="0"/>
            </a:endParaRPr>
          </a:p>
        </xdr:txBody>
      </xdr:sp>
      <mc:AlternateContent xmlns:mc="http://schemas.openxmlformats.org/markup-compatibility/2006">
        <mc:Choice xmlns:a14="http://schemas.microsoft.com/office/drawing/2010/main" Requires="a14">
          <xdr:sp macro="" textlink="">
            <xdr:nvSpPr>
              <xdr:cNvPr id="360451" name="optionUserOverride" hidden="1">
                <a:extLst>
                  <a:ext uri="{63B3BB69-23CF-44E3-9099-C40C66FF867C}">
                    <a14:compatExt spid="_x0000_s360451"/>
                  </a:ext>
                  <a:ext uri="{FF2B5EF4-FFF2-40B4-BE49-F238E27FC236}">
                    <a16:creationId xmlns:a16="http://schemas.microsoft.com/office/drawing/2014/main" id="{00000000-0008-0000-1700-000003800500}"/>
                  </a:ext>
                </a:extLst>
              </xdr:cNvPr>
              <xdr:cNvSpPr/>
            </xdr:nvSpPr>
            <xdr:spPr bwMode="auto">
              <a:xfrm>
                <a:off x="518680" y="7554090"/>
                <a:ext cx="1321377" cy="307397"/>
              </a:xfrm>
              <a:prstGeom prst="rect">
                <a:avLst/>
              </a:prstGeom>
              <a:noFill/>
              <a:ln>
                <a:noFill/>
              </a:ln>
              <a:extLst>
                <a:ext uri="{909E8E84-426E-40DD-AFC4-6F175D3DCCD1}">
                  <a14:hiddenFill>
                    <a:solidFill>
                      <a:srgbClr val="00FF00" mc:Ignorable="a14" a14:legacySpreadsheetColorIndex="11"/>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grpSp>
    <xdr:clientData/>
  </xdr:twoCellAnchor>
  <xdr:oneCellAnchor>
    <xdr:from>
      <xdr:col>0</xdr:col>
      <xdr:colOff>47625</xdr:colOff>
      <xdr:row>42</xdr:row>
      <xdr:rowOff>119701</xdr:rowOff>
    </xdr:from>
    <xdr:ext cx="2674938" cy="245424"/>
    <xdr:pic>
      <xdr:nvPicPr>
        <xdr:cNvPr id="55" name="Picture 54">
          <a:extLst>
            <a:ext uri="{FF2B5EF4-FFF2-40B4-BE49-F238E27FC236}">
              <a16:creationId xmlns:a16="http://schemas.microsoft.com/office/drawing/2014/main" id="{5CB581E9-2995-4236-B7DE-2BD4DC88A0D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4" t="20139" r="58826" b="12818"/>
        <a:stretch/>
      </xdr:blipFill>
      <xdr:spPr>
        <a:xfrm>
          <a:off x="47625" y="10185721"/>
          <a:ext cx="2674938" cy="245424"/>
        </a:xfrm>
        <a:prstGeom prst="rect">
          <a:avLst/>
        </a:prstGeom>
      </xdr:spPr>
    </xdr:pic>
    <xdr:clientData/>
  </xdr:oneCellAnchor>
  <xdr:twoCellAnchor>
    <xdr:from>
      <xdr:col>0</xdr:col>
      <xdr:colOff>295275</xdr:colOff>
      <xdr:row>46</xdr:row>
      <xdr:rowOff>95250</xdr:rowOff>
    </xdr:from>
    <xdr:to>
      <xdr:col>10</xdr:col>
      <xdr:colOff>594945</xdr:colOff>
      <xdr:row>62</xdr:row>
      <xdr:rowOff>0</xdr:rowOff>
    </xdr:to>
    <xdr:graphicFrame macro="">
      <xdr:nvGraphicFramePr>
        <xdr:cNvPr id="56" name="Chart 55">
          <a:extLst>
            <a:ext uri="{FF2B5EF4-FFF2-40B4-BE49-F238E27FC236}">
              <a16:creationId xmlns:a16="http://schemas.microsoft.com/office/drawing/2014/main" id="{805787A3-68B3-4B7C-9BD4-4AB1DFFBD71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21.xml><?xml version="1.0" encoding="utf-8"?>
<xdr:wsDr xmlns:xdr="http://schemas.openxmlformats.org/drawingml/2006/spreadsheetDrawing" xmlns:a="http://schemas.openxmlformats.org/drawingml/2006/main">
  <xdr:oneCellAnchor>
    <xdr:from>
      <xdr:col>0</xdr:col>
      <xdr:colOff>0</xdr:colOff>
      <xdr:row>0</xdr:row>
      <xdr:rowOff>74738</xdr:rowOff>
    </xdr:from>
    <xdr:ext cx="2682875" cy="226887"/>
    <xdr:pic>
      <xdr:nvPicPr>
        <xdr:cNvPr id="8" name="Picture 7">
          <a:extLst>
            <a:ext uri="{FF2B5EF4-FFF2-40B4-BE49-F238E27FC236}">
              <a16:creationId xmlns:a16="http://schemas.microsoft.com/office/drawing/2014/main" id="{00000000-0008-0000-1700-000008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4" t="20138" r="58657" b="17714"/>
        <a:stretch/>
      </xdr:blipFill>
      <xdr:spPr>
        <a:xfrm>
          <a:off x="0" y="74738"/>
          <a:ext cx="2682875" cy="226887"/>
        </a:xfrm>
        <a:prstGeom prst="rect">
          <a:avLst/>
        </a:prstGeom>
      </xdr:spPr>
    </xdr:pic>
    <xdr:clientData/>
  </xdr:oneCellAnchor>
  <xdr:twoCellAnchor>
    <xdr:from>
      <xdr:col>1</xdr:col>
      <xdr:colOff>36635</xdr:colOff>
      <xdr:row>18</xdr:row>
      <xdr:rowOff>17253</xdr:rowOff>
    </xdr:from>
    <xdr:to>
      <xdr:col>10</xdr:col>
      <xdr:colOff>688730</xdr:colOff>
      <xdr:row>25</xdr:row>
      <xdr:rowOff>183173</xdr:rowOff>
    </xdr:to>
    <xdr:graphicFrame macro="">
      <xdr:nvGraphicFramePr>
        <xdr:cNvPr id="10" name="Chart 9">
          <a:extLst>
            <a:ext uri="{FF2B5EF4-FFF2-40B4-BE49-F238E27FC236}">
              <a16:creationId xmlns:a16="http://schemas.microsoft.com/office/drawing/2014/main" id="{00000000-0008-0000-17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8466</xdr:colOff>
      <xdr:row>4</xdr:row>
      <xdr:rowOff>14654</xdr:rowOff>
    </xdr:from>
    <xdr:to>
      <xdr:col>3</xdr:col>
      <xdr:colOff>894080</xdr:colOff>
      <xdr:row>10</xdr:row>
      <xdr:rowOff>0</xdr:rowOff>
    </xdr:to>
    <xdr:sp macro="" textlink="">
      <xdr:nvSpPr>
        <xdr:cNvPr id="4" name="Rectangle 3">
          <a:extLst>
            <a:ext uri="{FF2B5EF4-FFF2-40B4-BE49-F238E27FC236}">
              <a16:creationId xmlns:a16="http://schemas.microsoft.com/office/drawing/2014/main" id="{00000000-0008-0000-1700-000004000000}"/>
            </a:ext>
          </a:extLst>
        </xdr:cNvPr>
        <xdr:cNvSpPr/>
      </xdr:nvSpPr>
      <xdr:spPr>
        <a:xfrm>
          <a:off x="341841" y="1214804"/>
          <a:ext cx="2752514" cy="1556971"/>
        </a:xfrm>
        <a:prstGeom prst="rect">
          <a:avLst/>
        </a:prstGeom>
        <a:noFill/>
        <a:ln>
          <a:solidFill>
            <a:sysClr val="windowText" lastClr="00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700">
              <a:solidFill>
                <a:schemeClr val="tx1"/>
              </a:solidFill>
            </a:rPr>
            <a:t>Project Photo or Image Here
(Insert -&gt; Pictures) </a:t>
          </a:r>
          <a:endParaRPr lang="en-CA" sz="700" b="0">
            <a:solidFill>
              <a:sysClr val="windowText" lastClr="000000"/>
            </a:solidFill>
          </a:endParaRPr>
        </a:p>
      </xdr:txBody>
    </xdr:sp>
    <xdr:clientData/>
  </xdr:twoCellAnchor>
  <xdr:twoCellAnchor>
    <xdr:from>
      <xdr:col>1</xdr:col>
      <xdr:colOff>0</xdr:colOff>
      <xdr:row>11</xdr:row>
      <xdr:rowOff>2212</xdr:rowOff>
    </xdr:from>
    <xdr:to>
      <xdr:col>4</xdr:col>
      <xdr:colOff>0</xdr:colOff>
      <xdr:row>13</xdr:row>
      <xdr:rowOff>5255</xdr:rowOff>
    </xdr:to>
    <xdr:grpSp>
      <xdr:nvGrpSpPr>
        <xdr:cNvPr id="5" name="Group 4">
          <a:extLst>
            <a:ext uri="{FF2B5EF4-FFF2-40B4-BE49-F238E27FC236}">
              <a16:creationId xmlns:a16="http://schemas.microsoft.com/office/drawing/2014/main" id="{00000000-0008-0000-1700-000005000000}"/>
            </a:ext>
          </a:extLst>
        </xdr:cNvPr>
        <xdr:cNvGrpSpPr/>
      </xdr:nvGrpSpPr>
      <xdr:grpSpPr>
        <a:xfrm>
          <a:off x="333375" y="2888287"/>
          <a:ext cx="2800350" cy="755518"/>
          <a:chOff x="1030331" y="2860593"/>
          <a:chExt cx="2061382" cy="559035"/>
        </a:xfrm>
      </xdr:grpSpPr>
      <xdr:grpSp>
        <xdr:nvGrpSpPr>
          <xdr:cNvPr id="3" name="Group 2">
            <a:extLst>
              <a:ext uri="{FF2B5EF4-FFF2-40B4-BE49-F238E27FC236}">
                <a16:creationId xmlns:a16="http://schemas.microsoft.com/office/drawing/2014/main" id="{00000000-0008-0000-1700-000003000000}"/>
              </a:ext>
            </a:extLst>
          </xdr:cNvPr>
          <xdr:cNvGrpSpPr/>
        </xdr:nvGrpSpPr>
        <xdr:grpSpPr>
          <a:xfrm>
            <a:off x="1030331" y="2860593"/>
            <a:ext cx="2061382" cy="559035"/>
            <a:chOff x="1030331" y="2860593"/>
            <a:chExt cx="2061382" cy="559035"/>
          </a:xfrm>
        </xdr:grpSpPr>
        <xdr:sp macro="" textlink="">
          <xdr:nvSpPr>
            <xdr:cNvPr id="36" name="Rectangle 35">
              <a:extLst>
                <a:ext uri="{FF2B5EF4-FFF2-40B4-BE49-F238E27FC236}">
                  <a16:creationId xmlns:a16="http://schemas.microsoft.com/office/drawing/2014/main" id="{00000000-0008-0000-1700-000024000000}"/>
                </a:ext>
              </a:extLst>
            </xdr:cNvPr>
            <xdr:cNvSpPr/>
          </xdr:nvSpPr>
          <xdr:spPr>
            <a:xfrm>
              <a:off x="1035264" y="3262915"/>
              <a:ext cx="2055944" cy="145652"/>
            </a:xfrm>
            <a:prstGeom prst="rect">
              <a:avLst/>
            </a:prstGeom>
            <a:solidFill>
              <a:schemeClr val="bg2">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1050" b="1">
                  <a:solidFill>
                    <a:sysClr val="windowText" lastClr="000000"/>
                  </a:solidFill>
                  <a:latin typeface="Arial" panose="020B0604020202020204" pitchFamily="34" charset="0"/>
                  <a:cs typeface="Arial" panose="020B0604020202020204" pitchFamily="34" charset="0"/>
                </a:rPr>
                <a:t>Material Carbon Intensity, kg CO2/m2</a:t>
              </a:r>
              <a:endParaRPr lang="en-CA" sz="1050">
                <a:solidFill>
                  <a:sysClr val="windowText" lastClr="000000"/>
                </a:solidFill>
                <a:latin typeface="Arial" panose="020B0604020202020204" pitchFamily="34" charset="0"/>
                <a:cs typeface="Arial" panose="020B0604020202020204" pitchFamily="34" charset="0"/>
              </a:endParaRPr>
            </a:p>
          </xdr:txBody>
        </xdr:sp>
        <xdr:grpSp>
          <xdr:nvGrpSpPr>
            <xdr:cNvPr id="32" name="Group 31">
              <a:extLst>
                <a:ext uri="{FF2B5EF4-FFF2-40B4-BE49-F238E27FC236}">
                  <a16:creationId xmlns:a16="http://schemas.microsoft.com/office/drawing/2014/main" id="{00000000-0008-0000-1700-000020000000}"/>
                </a:ext>
              </a:extLst>
            </xdr:cNvPr>
            <xdr:cNvGrpSpPr/>
          </xdr:nvGrpSpPr>
          <xdr:grpSpPr>
            <a:xfrm>
              <a:off x="1030331" y="2860593"/>
              <a:ext cx="2061382" cy="559035"/>
              <a:chOff x="815571" y="4519867"/>
              <a:chExt cx="5706728" cy="789259"/>
            </a:xfrm>
          </xdr:grpSpPr>
          <xdr:graphicFrame macro="">
            <xdr:nvGraphicFramePr>
              <xdr:cNvPr id="33" name="Chart 32">
                <a:extLst>
                  <a:ext uri="{FF2B5EF4-FFF2-40B4-BE49-F238E27FC236}">
                    <a16:creationId xmlns:a16="http://schemas.microsoft.com/office/drawing/2014/main" id="{00000000-0008-0000-1700-000021000000}"/>
                  </a:ext>
                </a:extLst>
              </xdr:cNvPr>
              <xdr:cNvGraphicFramePr/>
            </xdr:nvGraphicFramePr>
            <xdr:xfrm>
              <a:off x="815571" y="4519867"/>
              <a:ext cx="5698361" cy="559657"/>
            </xdr:xfrm>
            <a:graphic>
              <a:graphicData uri="http://schemas.openxmlformats.org/drawingml/2006/chart">
                <c:chart xmlns:c="http://schemas.openxmlformats.org/drawingml/2006/chart" xmlns:r="http://schemas.openxmlformats.org/officeDocument/2006/relationships" r:id="rId3"/>
              </a:graphicData>
            </a:graphic>
          </xdr:graphicFrame>
          <xdr:sp macro="" textlink="">
            <xdr:nvSpPr>
              <xdr:cNvPr id="34" name="Rectangle 33">
                <a:extLst>
                  <a:ext uri="{FF2B5EF4-FFF2-40B4-BE49-F238E27FC236}">
                    <a16:creationId xmlns:a16="http://schemas.microsoft.com/office/drawing/2014/main" id="{00000000-0008-0000-1700-000022000000}"/>
                  </a:ext>
                </a:extLst>
              </xdr:cNvPr>
              <xdr:cNvSpPr/>
            </xdr:nvSpPr>
            <xdr:spPr>
              <a:xfrm>
                <a:off x="816539" y="4522890"/>
                <a:ext cx="5705760" cy="786236"/>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CA" sz="1050"/>
              </a:p>
            </xdr:txBody>
          </xdr:sp>
        </xdr:grpSp>
      </xdr:grpSp>
      <xdr:cxnSp macro="">
        <xdr:nvCxnSpPr>
          <xdr:cNvPr id="35" name="Straight Connector 34">
            <a:extLst>
              <a:ext uri="{FF2B5EF4-FFF2-40B4-BE49-F238E27FC236}">
                <a16:creationId xmlns:a16="http://schemas.microsoft.com/office/drawing/2014/main" id="{00000000-0008-0000-1700-000023000000}"/>
              </a:ext>
            </a:extLst>
          </xdr:cNvPr>
          <xdr:cNvCxnSpPr/>
        </xdr:nvCxnSpPr>
        <xdr:spPr>
          <a:xfrm flipH="1">
            <a:off x="1763078" y="2860593"/>
            <a:ext cx="1" cy="196687"/>
          </a:xfrm>
          <a:prstGeom prst="line">
            <a:avLst/>
          </a:prstGeom>
          <a:ln w="31750">
            <a:solidFill>
              <a:srgbClr val="000000">
                <a:alpha val="46000"/>
              </a:srgbClr>
            </a:solidFill>
          </a:ln>
          <a:effectLst/>
        </xdr:spPr>
        <xdr:style>
          <a:lnRef idx="3">
            <a:schemeClr val="dk1"/>
          </a:lnRef>
          <a:fillRef idx="0">
            <a:schemeClr val="dk1"/>
          </a:fillRef>
          <a:effectRef idx="2">
            <a:schemeClr val="dk1"/>
          </a:effectRef>
          <a:fontRef idx="minor">
            <a:schemeClr val="tx1"/>
          </a:fontRef>
        </xdr:style>
      </xdr:cxnSp>
    </xdr:grpSp>
    <xdr:clientData/>
  </xdr:twoCellAnchor>
  <xdr:twoCellAnchor>
    <xdr:from>
      <xdr:col>1</xdr:col>
      <xdr:colOff>7188</xdr:colOff>
      <xdr:row>35</xdr:row>
      <xdr:rowOff>13272</xdr:rowOff>
    </xdr:from>
    <xdr:to>
      <xdr:col>10</xdr:col>
      <xdr:colOff>710711</xdr:colOff>
      <xdr:row>51</xdr:row>
      <xdr:rowOff>58616</xdr:rowOff>
    </xdr:to>
    <xdr:graphicFrame macro="">
      <xdr:nvGraphicFramePr>
        <xdr:cNvPr id="43" name="Chart 42">
          <a:extLst>
            <a:ext uri="{FF2B5EF4-FFF2-40B4-BE49-F238E27FC236}">
              <a16:creationId xmlns:a16="http://schemas.microsoft.com/office/drawing/2014/main" id="{00000000-0008-0000-1700-00002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0</xdr:col>
      <xdr:colOff>0</xdr:colOff>
      <xdr:row>31</xdr:row>
      <xdr:rowOff>95888</xdr:rowOff>
    </xdr:from>
    <xdr:ext cx="2674938" cy="245424"/>
    <xdr:pic>
      <xdr:nvPicPr>
        <xdr:cNvPr id="13" name="Picture 12">
          <a:extLst>
            <a:ext uri="{FF2B5EF4-FFF2-40B4-BE49-F238E27FC236}">
              <a16:creationId xmlns:a16="http://schemas.microsoft.com/office/drawing/2014/main" id="{00000000-0008-0000-1700-00000D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4" t="20139" r="58826" b="12818"/>
        <a:stretch/>
      </xdr:blipFill>
      <xdr:spPr>
        <a:xfrm>
          <a:off x="0" y="9914576"/>
          <a:ext cx="2674938" cy="245424"/>
        </a:xfrm>
        <a:prstGeom prst="rect">
          <a:avLst/>
        </a:prstGeom>
      </xdr:spPr>
    </xdr:pic>
    <xdr:clientData/>
  </xdr:oneCellAnchor>
  <xdr:twoCellAnchor>
    <xdr:from>
      <xdr:col>9</xdr:col>
      <xdr:colOff>212481</xdr:colOff>
      <xdr:row>2</xdr:row>
      <xdr:rowOff>65943</xdr:rowOff>
    </xdr:from>
    <xdr:to>
      <xdr:col>11</xdr:col>
      <xdr:colOff>381000</xdr:colOff>
      <xdr:row>2</xdr:row>
      <xdr:rowOff>322385</xdr:rowOff>
    </xdr:to>
    <xdr:sp macro="[0]!Btn_SaveScenario" textlink="">
      <xdr:nvSpPr>
        <xdr:cNvPr id="2" name="Rounded Rectangle 1">
          <a:extLst>
            <a:ext uri="{FF2B5EF4-FFF2-40B4-BE49-F238E27FC236}">
              <a16:creationId xmlns:a16="http://schemas.microsoft.com/office/drawing/2014/main" id="{00000000-0008-0000-1700-000002000000}"/>
            </a:ext>
          </a:extLst>
        </xdr:cNvPr>
        <xdr:cNvSpPr/>
      </xdr:nvSpPr>
      <xdr:spPr>
        <a:xfrm>
          <a:off x="4865077" y="762001"/>
          <a:ext cx="1611923" cy="256442"/>
        </a:xfrm>
        <a:prstGeom prst="roundRect">
          <a:avLst/>
        </a:prstGeom>
        <a:ln>
          <a:noFill/>
        </a:ln>
        <a:effectLst>
          <a:outerShdw blurRad="50800" dist="38100" dir="2700000" algn="tl" rotWithShape="0">
            <a:prstClr val="black">
              <a:alpha val="40000"/>
            </a:prstClr>
          </a:outerShdw>
        </a:effectLst>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CA" sz="1050">
              <a:solidFill>
                <a:schemeClr val="bg1"/>
              </a:solidFill>
              <a:latin typeface="Arial" panose="020B0604020202020204" pitchFamily="34" charset="0"/>
              <a:cs typeface="Arial" panose="020B0604020202020204" pitchFamily="34" charset="0"/>
            </a:rPr>
            <a:t>Save This Scenario</a:t>
          </a:r>
        </a:p>
      </xdr:txBody>
    </xdr:sp>
    <xdr:clientData/>
  </xdr:twoCellAnchor>
  <xdr:twoCellAnchor editAs="oneCell">
    <xdr:from>
      <xdr:col>0</xdr:col>
      <xdr:colOff>0</xdr:colOff>
      <xdr:row>0</xdr:row>
      <xdr:rowOff>71436</xdr:rowOff>
    </xdr:from>
    <xdr:to>
      <xdr:col>3</xdr:col>
      <xdr:colOff>315383</xdr:colOff>
      <xdr:row>0</xdr:row>
      <xdr:rowOff>293688</xdr:rowOff>
    </xdr:to>
    <xdr:pic>
      <xdr:nvPicPr>
        <xdr:cNvPr id="7" name="Picture 6" hidden="1">
          <a:extLst>
            <a:ext uri="{FF2B5EF4-FFF2-40B4-BE49-F238E27FC236}">
              <a16:creationId xmlns:a16="http://schemas.microsoft.com/office/drawing/2014/main" id="{00000000-0008-0000-1700-000007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r="60699" b="11189"/>
        <a:stretch/>
      </xdr:blipFill>
      <xdr:spPr>
        <a:xfrm>
          <a:off x="0" y="71436"/>
          <a:ext cx="2547938" cy="222252"/>
        </a:xfrm>
        <a:prstGeom prst="rect">
          <a:avLst/>
        </a:prstGeom>
      </xdr:spPr>
    </xdr:pic>
    <xdr:clientData/>
  </xdr:twoCellAnchor>
  <xdr:twoCellAnchor editAs="oneCell">
    <xdr:from>
      <xdr:col>0</xdr:col>
      <xdr:colOff>7938</xdr:colOff>
      <xdr:row>31</xdr:row>
      <xdr:rowOff>71438</xdr:rowOff>
    </xdr:from>
    <xdr:to>
      <xdr:col>3</xdr:col>
      <xdr:colOff>172508</xdr:colOff>
      <xdr:row>31</xdr:row>
      <xdr:rowOff>301626</xdr:rowOff>
    </xdr:to>
    <xdr:pic>
      <xdr:nvPicPr>
        <xdr:cNvPr id="9" name="Picture 8" hidden="1">
          <a:extLst>
            <a:ext uri="{FF2B5EF4-FFF2-40B4-BE49-F238E27FC236}">
              <a16:creationId xmlns:a16="http://schemas.microsoft.com/office/drawing/2014/main" id="{00000000-0008-0000-1700-000009000000}"/>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1" r="63077" b="8147"/>
        <a:stretch/>
      </xdr:blipFill>
      <xdr:spPr>
        <a:xfrm>
          <a:off x="7938" y="9890126"/>
          <a:ext cx="2397125" cy="230188"/>
        </a:xfrm>
        <a:prstGeom prst="rect">
          <a:avLst/>
        </a:prstGeom>
      </xdr:spPr>
    </xdr:pic>
    <xdr:clientData/>
  </xdr:twoCellAnchor>
  <xdr:twoCellAnchor>
    <xdr:from>
      <xdr:col>14</xdr:col>
      <xdr:colOff>0</xdr:colOff>
      <xdr:row>19</xdr:row>
      <xdr:rowOff>0</xdr:rowOff>
    </xdr:from>
    <xdr:to>
      <xdr:col>17</xdr:col>
      <xdr:colOff>772745</xdr:colOff>
      <xdr:row>26</xdr:row>
      <xdr:rowOff>173540</xdr:rowOff>
    </xdr:to>
    <xdr:graphicFrame macro="">
      <xdr:nvGraphicFramePr>
        <xdr:cNvPr id="6" name="Chart 5">
          <a:extLst>
            <a:ext uri="{FF2B5EF4-FFF2-40B4-BE49-F238E27FC236}">
              <a16:creationId xmlns:a16="http://schemas.microsoft.com/office/drawing/2014/main" id="{00000000-0008-0000-17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oneCellAnchor>
    <xdr:from>
      <xdr:col>1</xdr:col>
      <xdr:colOff>0</xdr:colOff>
      <xdr:row>72</xdr:row>
      <xdr:rowOff>95888</xdr:rowOff>
    </xdr:from>
    <xdr:ext cx="2674938" cy="245424"/>
    <xdr:pic>
      <xdr:nvPicPr>
        <xdr:cNvPr id="11" name="Picture 10">
          <a:extLst>
            <a:ext uri="{FF2B5EF4-FFF2-40B4-BE49-F238E27FC236}">
              <a16:creationId xmlns:a16="http://schemas.microsoft.com/office/drawing/2014/main" id="{CF207051-A2B9-4D19-B882-341D23514BC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4" t="20139" r="58826" b="12818"/>
        <a:stretch/>
      </xdr:blipFill>
      <xdr:spPr>
        <a:xfrm>
          <a:off x="0" y="9976488"/>
          <a:ext cx="2674938" cy="245424"/>
        </a:xfrm>
        <a:prstGeom prst="rect">
          <a:avLst/>
        </a:prstGeom>
      </xdr:spPr>
    </xdr:pic>
    <xdr:clientData/>
  </xdr:oneCellAnchor>
  <xdr:oneCellAnchor>
    <xdr:from>
      <xdr:col>1</xdr:col>
      <xdr:colOff>7938</xdr:colOff>
      <xdr:row>72</xdr:row>
      <xdr:rowOff>71438</xdr:rowOff>
    </xdr:from>
    <xdr:ext cx="2409295" cy="230188"/>
    <xdr:pic>
      <xdr:nvPicPr>
        <xdr:cNvPr id="12" name="Picture 11" hidden="1">
          <a:extLst>
            <a:ext uri="{FF2B5EF4-FFF2-40B4-BE49-F238E27FC236}">
              <a16:creationId xmlns:a16="http://schemas.microsoft.com/office/drawing/2014/main" id="{8D4B0828-1673-424A-B331-6695885B84C8}"/>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1" r="63077" b="8147"/>
        <a:stretch/>
      </xdr:blipFill>
      <xdr:spPr>
        <a:xfrm>
          <a:off x="7938" y="9952038"/>
          <a:ext cx="2409295" cy="230188"/>
        </a:xfrm>
        <a:prstGeom prst="rect">
          <a:avLst/>
        </a:prstGeom>
      </xdr:spPr>
    </xdr:pic>
    <xdr:clientData/>
  </xdr:oneCellAnchor>
  <xdr:twoCellAnchor editAs="oneCell">
    <xdr:from>
      <xdr:col>0</xdr:col>
      <xdr:colOff>296328</xdr:colOff>
      <xdr:row>72</xdr:row>
      <xdr:rowOff>50799</xdr:rowOff>
    </xdr:from>
    <xdr:to>
      <xdr:col>5</xdr:col>
      <xdr:colOff>3095</xdr:colOff>
      <xdr:row>72</xdr:row>
      <xdr:rowOff>338666</xdr:rowOff>
    </xdr:to>
    <xdr:pic>
      <xdr:nvPicPr>
        <xdr:cNvPr id="14" name="Picture 13">
          <a:extLst>
            <a:ext uri="{FF2B5EF4-FFF2-40B4-BE49-F238E27FC236}">
              <a16:creationId xmlns:a16="http://schemas.microsoft.com/office/drawing/2014/main" id="{E79BBE67-C323-4F12-AAB5-27445558C691}"/>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1" r="63077" b="8147"/>
        <a:stretch/>
      </xdr:blipFill>
      <xdr:spPr>
        <a:xfrm>
          <a:off x="296328" y="20099866"/>
          <a:ext cx="3013000" cy="287867"/>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14</xdr:col>
          <xdr:colOff>312420</xdr:colOff>
          <xdr:row>27</xdr:row>
          <xdr:rowOff>342900</xdr:rowOff>
        </xdr:from>
        <xdr:to>
          <xdr:col>14</xdr:col>
          <xdr:colOff>2293620</xdr:colOff>
          <xdr:row>27</xdr:row>
          <xdr:rowOff>563880</xdr:rowOff>
        </xdr:to>
        <xdr:sp macro="" textlink="">
          <xdr:nvSpPr>
            <xdr:cNvPr id="342017" name="Option Button 1" hidden="1">
              <a:extLst>
                <a:ext uri="{63B3BB69-23CF-44E3-9099-C40C66FF867C}">
                  <a14:compatExt spid="_x0000_s342017"/>
                </a:ext>
                <a:ext uri="{FF2B5EF4-FFF2-40B4-BE49-F238E27FC236}">
                  <a16:creationId xmlns:a16="http://schemas.microsoft.com/office/drawing/2014/main" id="{00000000-0008-0000-1800-0000013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CA" sz="800" b="0" i="0" u="none" strike="noStrike" baseline="0">
                  <a:solidFill>
                    <a:srgbClr val="000000"/>
                  </a:solidFill>
                  <a:latin typeface="Segoe UI"/>
                  <a:cs typeface="Segoe UI"/>
                </a:rPr>
                <a:t>Use Energy</a:t>
              </a:r>
            </a:p>
          </xdr:txBody>
        </xdr:sp>
        <xdr:clientData/>
      </xdr:twoCellAnchor>
    </mc:Choice>
    <mc:Fallback/>
  </mc:AlternateContent>
</xdr:wsDr>
</file>

<file path=xl/drawings/drawing22.xml><?xml version="1.0" encoding="utf-8"?>
<xdr:wsDr xmlns:xdr="http://schemas.openxmlformats.org/drawingml/2006/spreadsheetDrawing" xmlns:a="http://schemas.openxmlformats.org/drawingml/2006/main">
  <xdr:oneCellAnchor>
    <xdr:from>
      <xdr:col>2</xdr:col>
      <xdr:colOff>47625</xdr:colOff>
      <xdr:row>0</xdr:row>
      <xdr:rowOff>161925</xdr:rowOff>
    </xdr:from>
    <xdr:ext cx="5083969" cy="481012"/>
    <xdr:pic>
      <xdr:nvPicPr>
        <xdr:cNvPr id="2" name="Picture 1">
          <a:extLst>
            <a:ext uri="{FF2B5EF4-FFF2-40B4-BE49-F238E27FC236}">
              <a16:creationId xmlns:a16="http://schemas.microsoft.com/office/drawing/2014/main" id="{00000000-0008-0000-18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4" t="20137" r="58589" b="10212"/>
        <a:stretch/>
      </xdr:blipFill>
      <xdr:spPr>
        <a:xfrm>
          <a:off x="1666875" y="161925"/>
          <a:ext cx="5083969" cy="481012"/>
        </a:xfrm>
        <a:prstGeom prst="rect">
          <a:avLst/>
        </a:prstGeom>
      </xdr:spPr>
    </xdr:pic>
    <xdr:clientData/>
  </xdr:oneCellAnchor>
  <xdr:twoCellAnchor>
    <xdr:from>
      <xdr:col>1</xdr:col>
      <xdr:colOff>14287</xdr:colOff>
      <xdr:row>0</xdr:row>
      <xdr:rowOff>652465</xdr:rowOff>
    </xdr:from>
    <xdr:to>
      <xdr:col>1</xdr:col>
      <xdr:colOff>1369218</xdr:colOff>
      <xdr:row>2</xdr:row>
      <xdr:rowOff>83347</xdr:rowOff>
    </xdr:to>
    <xdr:sp macro="[0]!Btn_RestoreScenario" textlink="">
      <xdr:nvSpPr>
        <xdr:cNvPr id="8" name="btn_reset_1">
          <a:extLst>
            <a:ext uri="{FF2B5EF4-FFF2-40B4-BE49-F238E27FC236}">
              <a16:creationId xmlns:a16="http://schemas.microsoft.com/office/drawing/2014/main" id="{00000000-0008-0000-1800-000008000000}"/>
            </a:ext>
          </a:extLst>
        </xdr:cNvPr>
        <xdr:cNvSpPr/>
      </xdr:nvSpPr>
      <xdr:spPr>
        <a:xfrm>
          <a:off x="228600" y="652465"/>
          <a:ext cx="1354931" cy="466726"/>
        </a:xfrm>
        <a:prstGeom prst="roundRect">
          <a:avLst/>
        </a:prstGeom>
        <a:solidFill>
          <a:schemeClr val="accent6"/>
        </a:solidFill>
        <a:ln w="12700" cap="flat" cmpd="sng" algn="ctr">
          <a:noFill/>
          <a:prstDash val="solid"/>
          <a:miter lim="800000"/>
        </a:ln>
        <a:effectLst>
          <a:outerShdw blurRad="50800" dist="38100" dir="2700000" algn="tl" rotWithShape="0">
            <a:prstClr val="black">
              <a:alpha val="40000"/>
            </a:prst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CA" sz="1050" b="0" i="0" u="none" strike="noStrike" kern="0" cap="none" spc="0" normalizeH="0" baseline="0" noProof="0">
              <a:ln>
                <a:noFill/>
              </a:ln>
              <a:solidFill>
                <a:srgbClr val="FFFFFF"/>
              </a:solidFill>
              <a:effectLst/>
              <a:uLnTx/>
              <a:uFillTx/>
              <a:latin typeface="Arial" panose="020B0604020202020204" pitchFamily="34" charset="0"/>
              <a:ea typeface="+mn-ea"/>
              <a:cs typeface="Arial" panose="020B0604020202020204" pitchFamily="34" charset="0"/>
            </a:rPr>
            <a:t>Reset Calculator</a:t>
          </a:r>
        </a:p>
      </xdr:txBody>
    </xdr:sp>
    <xdr:clientData/>
  </xdr:twoCellAnchor>
  <xdr:twoCellAnchor>
    <xdr:from>
      <xdr:col>1</xdr:col>
      <xdr:colOff>14287</xdr:colOff>
      <xdr:row>2</xdr:row>
      <xdr:rowOff>166688</xdr:rowOff>
    </xdr:from>
    <xdr:to>
      <xdr:col>1</xdr:col>
      <xdr:colOff>1369218</xdr:colOff>
      <xdr:row>5</xdr:row>
      <xdr:rowOff>50006</xdr:rowOff>
    </xdr:to>
    <xdr:sp macro="[0]!Btn_DeleteScenario" textlink="">
      <xdr:nvSpPr>
        <xdr:cNvPr id="9" name="btn_delete_1">
          <a:extLst>
            <a:ext uri="{FF2B5EF4-FFF2-40B4-BE49-F238E27FC236}">
              <a16:creationId xmlns:a16="http://schemas.microsoft.com/office/drawing/2014/main" id="{00000000-0008-0000-1800-000009000000}"/>
            </a:ext>
          </a:extLst>
        </xdr:cNvPr>
        <xdr:cNvSpPr/>
      </xdr:nvSpPr>
      <xdr:spPr>
        <a:xfrm>
          <a:off x="228600" y="1202532"/>
          <a:ext cx="1354931" cy="466724"/>
        </a:xfrm>
        <a:prstGeom prst="roundRect">
          <a:avLst/>
        </a:prstGeom>
        <a:solidFill>
          <a:srgbClr val="FF0000"/>
        </a:solidFill>
        <a:ln w="12700" cap="flat" cmpd="sng" algn="ctr">
          <a:noFill/>
          <a:prstDash val="solid"/>
          <a:miter lim="800000"/>
        </a:ln>
        <a:effectLst>
          <a:outerShdw blurRad="50800" dist="38100" dir="2700000" algn="tl" rotWithShape="0">
            <a:prstClr val="black">
              <a:alpha val="40000"/>
            </a:prst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CA" sz="1050" b="0" i="0" u="none" strike="noStrike" kern="0" cap="none" spc="0" normalizeH="0" baseline="0" noProof="0">
              <a:ln>
                <a:noFill/>
              </a:ln>
              <a:solidFill>
                <a:srgbClr val="FFFFFF"/>
              </a:solidFill>
              <a:effectLst/>
              <a:uLnTx/>
              <a:uFillTx/>
              <a:latin typeface="Arial" panose="020B0604020202020204" pitchFamily="34" charset="0"/>
              <a:ea typeface="+mn-ea"/>
              <a:cs typeface="Arial" panose="020B0604020202020204" pitchFamily="34" charset="0"/>
            </a:rPr>
            <a:t>Delete Scenario</a:t>
          </a:r>
        </a:p>
      </xdr:txBody>
    </xdr:sp>
    <xdr:clientData/>
  </xdr:twoCellAnchor>
  <xdr:twoCellAnchor>
    <xdr:from>
      <xdr:col>0</xdr:col>
      <xdr:colOff>209550</xdr:colOff>
      <xdr:row>5</xdr:row>
      <xdr:rowOff>119062</xdr:rowOff>
    </xdr:from>
    <xdr:to>
      <xdr:col>1</xdr:col>
      <xdr:colOff>1369218</xdr:colOff>
      <xdr:row>7</xdr:row>
      <xdr:rowOff>0</xdr:rowOff>
    </xdr:to>
    <xdr:sp macro="[0]!Btn_UpdateAllScenarios" textlink="">
      <xdr:nvSpPr>
        <xdr:cNvPr id="10" name="btn_reset_all">
          <a:extLst>
            <a:ext uri="{FF2B5EF4-FFF2-40B4-BE49-F238E27FC236}">
              <a16:creationId xmlns:a16="http://schemas.microsoft.com/office/drawing/2014/main" id="{00000000-0008-0000-1800-00000A000000}"/>
            </a:ext>
          </a:extLst>
        </xdr:cNvPr>
        <xdr:cNvSpPr/>
      </xdr:nvSpPr>
      <xdr:spPr>
        <a:xfrm>
          <a:off x="209550" y="1738312"/>
          <a:ext cx="1373981" cy="476251"/>
        </a:xfrm>
        <a:prstGeom prst="roundRect">
          <a:avLst/>
        </a:prstGeom>
        <a:solidFill>
          <a:schemeClr val="accent5">
            <a:lumMod val="75000"/>
          </a:schemeClr>
        </a:solidFill>
        <a:ln w="12700" cap="flat" cmpd="sng" algn="ctr">
          <a:noFill/>
          <a:prstDash val="solid"/>
          <a:miter lim="800000"/>
        </a:ln>
        <a:effectLst>
          <a:outerShdw blurRad="50800" dist="38100" dir="2700000" algn="tl" rotWithShape="0">
            <a:prstClr val="black">
              <a:alpha val="40000"/>
            </a:prst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CA" sz="1050" b="0" i="0" u="none" strike="noStrike" kern="0" cap="none" spc="0" normalizeH="0" baseline="0" noProof="0">
              <a:ln>
                <a:noFill/>
              </a:ln>
              <a:solidFill>
                <a:srgbClr val="FFFFFF"/>
              </a:solidFill>
              <a:effectLst/>
              <a:uLnTx/>
              <a:uFillTx/>
              <a:latin typeface="Arial" panose="020B0604020202020204" pitchFamily="34" charset="0"/>
              <a:ea typeface="+mn-ea"/>
              <a:cs typeface="Arial" panose="020B0604020202020204" pitchFamily="34" charset="0"/>
            </a:rPr>
            <a:t>Recalculate All Scenarios</a:t>
          </a:r>
        </a:p>
      </xdr:txBody>
    </xdr:sp>
    <xdr:clientData/>
  </xdr:twoCellAnchor>
  <xdr:twoCellAnchor editAs="oneCell">
    <xdr:from>
      <xdr:col>2</xdr:col>
      <xdr:colOff>11907</xdr:colOff>
      <xdr:row>0</xdr:row>
      <xdr:rowOff>142875</xdr:rowOff>
    </xdr:from>
    <xdr:to>
      <xdr:col>5</xdr:col>
      <xdr:colOff>892968</xdr:colOff>
      <xdr:row>0</xdr:row>
      <xdr:rowOff>595312</xdr:rowOff>
    </xdr:to>
    <xdr:pic>
      <xdr:nvPicPr>
        <xdr:cNvPr id="4" name="Picture 3" hidden="1">
          <a:extLst>
            <a:ext uri="{FF2B5EF4-FFF2-40B4-BE49-F238E27FC236}">
              <a16:creationId xmlns:a16="http://schemas.microsoft.com/office/drawing/2014/main" id="{00000000-0008-0000-1800-000004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 r="61937" b="4413"/>
        <a:stretch/>
      </xdr:blipFill>
      <xdr:spPr>
        <a:xfrm>
          <a:off x="1631157" y="142875"/>
          <a:ext cx="4667249" cy="452437"/>
        </a:xfrm>
        <a:prstGeom prst="rect">
          <a:avLst/>
        </a:prstGeom>
      </xdr:spPr>
    </xdr:pic>
    <xdr:clientData/>
  </xdr:twoCellAnchor>
  <xdr:twoCellAnchor>
    <xdr:from>
      <xdr:col>1</xdr:col>
      <xdr:colOff>1257301</xdr:colOff>
      <xdr:row>37</xdr:row>
      <xdr:rowOff>109538</xdr:rowOff>
    </xdr:from>
    <xdr:to>
      <xdr:col>14</xdr:col>
      <xdr:colOff>122683</xdr:colOff>
      <xdr:row>67</xdr:row>
      <xdr:rowOff>1333500</xdr:rowOff>
    </xdr:to>
    <xdr:graphicFrame macro="">
      <xdr:nvGraphicFramePr>
        <xdr:cNvPr id="3" name="Chart 2">
          <a:extLst>
            <a:ext uri="{FF2B5EF4-FFF2-40B4-BE49-F238E27FC236}">
              <a16:creationId xmlns:a16="http://schemas.microsoft.com/office/drawing/2014/main" id="{44F8571B-3279-604B-C26D-8A0B47B33F3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175260</xdr:colOff>
          <xdr:row>1</xdr:row>
          <xdr:rowOff>137160</xdr:rowOff>
        </xdr:from>
        <xdr:to>
          <xdr:col>0</xdr:col>
          <xdr:colOff>1074420</xdr:colOff>
          <xdr:row>5</xdr:row>
          <xdr:rowOff>137160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1A00-00000120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CA" sz="1200" b="0" i="0" u="none" strike="noStrike" baseline="0">
                  <a:solidFill>
                    <a:srgbClr val="000000"/>
                  </a:solidFill>
                  <a:latin typeface="Arial"/>
                  <a:cs typeface="Arial"/>
                </a:rPr>
                <a:t>Populate Range Addresses</a:t>
              </a:r>
            </a:p>
          </xdr:txBody>
        </xdr:sp>
        <xdr:clientData fPrintsWithSheet="0"/>
      </xdr:twoCellAnchor>
    </mc:Choice>
    <mc:Fallback/>
  </mc:AlternateContent>
  <xdr:twoCellAnchor>
    <xdr:from>
      <xdr:col>5</xdr:col>
      <xdr:colOff>586740</xdr:colOff>
      <xdr:row>8</xdr:row>
      <xdr:rowOff>0</xdr:rowOff>
    </xdr:from>
    <xdr:to>
      <xdr:col>14</xdr:col>
      <xdr:colOff>731520</xdr:colOff>
      <xdr:row>11</xdr:row>
      <xdr:rowOff>156210</xdr:rowOff>
    </xdr:to>
    <xdr:sp macro="" textlink="">
      <xdr:nvSpPr>
        <xdr:cNvPr id="2" name="TextBox 1">
          <a:extLst>
            <a:ext uri="{FF2B5EF4-FFF2-40B4-BE49-F238E27FC236}">
              <a16:creationId xmlns:a16="http://schemas.microsoft.com/office/drawing/2014/main" id="{C99EBBAB-AE7B-4129-BD21-9C53E03235CA}"/>
            </a:ext>
          </a:extLst>
        </xdr:cNvPr>
        <xdr:cNvSpPr txBox="1"/>
      </xdr:nvSpPr>
      <xdr:spPr>
        <a:xfrm>
          <a:off x="4785360" y="1524000"/>
          <a:ext cx="6865620" cy="7277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 His Majesty the king in Right of Canada, as represented by the Minister of Natural Resources, 2025</a:t>
          </a:r>
          <a:br>
            <a:rPr lang="en-US" sz="1200"/>
          </a:br>
          <a:r>
            <a:rPr lang="en-US" sz="1200"/>
            <a:t>© Sa Majesté le Roi du chef du Canada, représentée par le ministre de Ressources naturelles, 2025</a:t>
          </a:r>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0</xdr:colOff>
      <xdr:row>0</xdr:row>
      <xdr:rowOff>11206</xdr:rowOff>
    </xdr:from>
    <xdr:to>
      <xdr:col>2</xdr:col>
      <xdr:colOff>3111500</xdr:colOff>
      <xdr:row>0</xdr:row>
      <xdr:rowOff>497418</xdr:rowOff>
    </xdr:to>
    <xdr:pic>
      <xdr:nvPicPr>
        <xdr:cNvPr id="2" name="Picture 1">
          <a:extLst>
            <a:ext uri="{FF2B5EF4-FFF2-40B4-BE49-F238E27FC236}">
              <a16:creationId xmlns:a16="http://schemas.microsoft.com/office/drawing/2014/main" id="{00000000-0008-0000-1A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034" t="14926" r="60689" b="17486"/>
        <a:stretch/>
      </xdr:blipFill>
      <xdr:spPr>
        <a:xfrm>
          <a:off x="0" y="11206"/>
          <a:ext cx="5291667" cy="486212"/>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0</xdr:colOff>
      <xdr:row>0</xdr:row>
      <xdr:rowOff>42333</xdr:rowOff>
    </xdr:from>
    <xdr:to>
      <xdr:col>2</xdr:col>
      <xdr:colOff>3111500</xdr:colOff>
      <xdr:row>1</xdr:row>
      <xdr:rowOff>0</xdr:rowOff>
    </xdr:to>
    <xdr:pic>
      <xdr:nvPicPr>
        <xdr:cNvPr id="4" name="Picture 3">
          <a:extLst>
            <a:ext uri="{FF2B5EF4-FFF2-40B4-BE49-F238E27FC236}">
              <a16:creationId xmlns:a16="http://schemas.microsoft.com/office/drawing/2014/main" id="{00000000-0008-0000-1B00-00000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60711" b="8212"/>
        <a:stretch/>
      </xdr:blipFill>
      <xdr:spPr>
        <a:xfrm>
          <a:off x="0" y="42333"/>
          <a:ext cx="5281083" cy="476250"/>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xdr:from>
      <xdr:col>0</xdr:col>
      <xdr:colOff>0</xdr:colOff>
      <xdr:row>32</xdr:row>
      <xdr:rowOff>91440</xdr:rowOff>
    </xdr:from>
    <xdr:to>
      <xdr:col>1</xdr:col>
      <xdr:colOff>1577340</xdr:colOff>
      <xdr:row>34</xdr:row>
      <xdr:rowOff>121920</xdr:rowOff>
    </xdr:to>
    <xdr:sp macro="" textlink="">
      <xdr:nvSpPr>
        <xdr:cNvPr id="2" name="Rectangle 1">
          <a:extLst>
            <a:ext uri="{FF2B5EF4-FFF2-40B4-BE49-F238E27FC236}">
              <a16:creationId xmlns:a16="http://schemas.microsoft.com/office/drawing/2014/main" id="{5030549F-DDDD-21EF-0E55-24401C1637EB}"/>
            </a:ext>
          </a:extLst>
        </xdr:cNvPr>
        <xdr:cNvSpPr/>
      </xdr:nvSpPr>
      <xdr:spPr>
        <a:xfrm>
          <a:off x="0" y="6606540"/>
          <a:ext cx="3162300" cy="419100"/>
        </a:xfrm>
        <a:prstGeom prst="rect">
          <a:avLst/>
        </a:prstGeom>
        <a:solidFill>
          <a:schemeClr val="bg1"/>
        </a:solidFill>
        <a:ln>
          <a:solidFill>
            <a:schemeClr val="bg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8</xdr:col>
      <xdr:colOff>381000</xdr:colOff>
      <xdr:row>2</xdr:row>
      <xdr:rowOff>47625</xdr:rowOff>
    </xdr:from>
    <xdr:to>
      <xdr:col>20</xdr:col>
      <xdr:colOff>553493</xdr:colOff>
      <xdr:row>40</xdr:row>
      <xdr:rowOff>143857</xdr:rowOff>
    </xdr:to>
    <xdr:pic>
      <xdr:nvPicPr>
        <xdr:cNvPr id="2" name="Picture 1">
          <a:extLst>
            <a:ext uri="{FF2B5EF4-FFF2-40B4-BE49-F238E27FC236}">
              <a16:creationId xmlns:a16="http://schemas.microsoft.com/office/drawing/2014/main" id="{BD903E96-97D6-42E1-ADCF-6B4BEE3FC8CC}"/>
            </a:ext>
          </a:extLst>
        </xdr:cNvPr>
        <xdr:cNvPicPr>
          <a:picLocks noChangeAspect="1"/>
        </xdr:cNvPicPr>
      </xdr:nvPicPr>
      <xdr:blipFill>
        <a:blip xmlns:r="http://schemas.openxmlformats.org/officeDocument/2006/relationships" r:embed="rId1"/>
        <a:stretch>
          <a:fillRect/>
        </a:stretch>
      </xdr:blipFill>
      <xdr:spPr>
        <a:xfrm>
          <a:off x="9723120" y="794385"/>
          <a:ext cx="7487693" cy="7099012"/>
        </a:xfrm>
        <a:prstGeom prst="rect">
          <a:avLst/>
        </a:prstGeom>
      </xdr:spPr>
    </xdr:pic>
    <xdr:clientData/>
  </xdr:twoCellAnchor>
  <xdr:twoCellAnchor editAs="oneCell">
    <xdr:from>
      <xdr:col>8</xdr:col>
      <xdr:colOff>390525</xdr:colOff>
      <xdr:row>41</xdr:row>
      <xdr:rowOff>125730</xdr:rowOff>
    </xdr:from>
    <xdr:to>
      <xdr:col>20</xdr:col>
      <xdr:colOff>549536</xdr:colOff>
      <xdr:row>77</xdr:row>
      <xdr:rowOff>79010</xdr:rowOff>
    </xdr:to>
    <xdr:pic>
      <xdr:nvPicPr>
        <xdr:cNvPr id="3" name="Picture 2">
          <a:extLst>
            <a:ext uri="{FF2B5EF4-FFF2-40B4-BE49-F238E27FC236}">
              <a16:creationId xmlns:a16="http://schemas.microsoft.com/office/drawing/2014/main" id="{9D0A1C41-D852-4671-BC0A-7B5CB55B7A05}"/>
            </a:ext>
          </a:extLst>
        </xdr:cNvPr>
        <xdr:cNvPicPr>
          <a:picLocks noChangeAspect="1"/>
        </xdr:cNvPicPr>
      </xdr:nvPicPr>
      <xdr:blipFill>
        <a:blip xmlns:r="http://schemas.openxmlformats.org/officeDocument/2006/relationships" r:embed="rId2"/>
        <a:stretch>
          <a:fillRect/>
        </a:stretch>
      </xdr:blipFill>
      <xdr:spPr>
        <a:xfrm>
          <a:off x="9732645" y="8027670"/>
          <a:ext cx="7474211" cy="6536960"/>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xdr:from>
      <xdr:col>0</xdr:col>
      <xdr:colOff>714374</xdr:colOff>
      <xdr:row>302</xdr:row>
      <xdr:rowOff>0</xdr:rowOff>
    </xdr:from>
    <xdr:to>
      <xdr:col>2</xdr:col>
      <xdr:colOff>3390899</xdr:colOff>
      <xdr:row>303</xdr:row>
      <xdr:rowOff>142876</xdr:rowOff>
    </xdr:to>
    <xdr:sp macro="" textlink="">
      <xdr:nvSpPr>
        <xdr:cNvPr id="2" name="TextBox 1">
          <a:extLst>
            <a:ext uri="{FF2B5EF4-FFF2-40B4-BE49-F238E27FC236}">
              <a16:creationId xmlns:a16="http://schemas.microsoft.com/office/drawing/2014/main" id="{00000000-0008-0000-2000-000002000000}"/>
            </a:ext>
          </a:extLst>
        </xdr:cNvPr>
        <xdr:cNvSpPr txBox="1"/>
      </xdr:nvSpPr>
      <xdr:spPr>
        <a:xfrm>
          <a:off x="714374" y="109327950"/>
          <a:ext cx="6962775" cy="5238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 His Majesty the king in Right of Canada, as represented by the Minister of Natural Resources, 2025</a:t>
          </a:r>
          <a:br>
            <a:rPr lang="en-US" sz="1200"/>
          </a:br>
          <a:r>
            <a:rPr lang="en-US" sz="1200"/>
            <a:t>© Sa Majesté le Roi du chef du Canada, représentée par le ministre de Ressources naturelles, 2025</a:t>
          </a:r>
        </a:p>
      </xdr:txBody>
    </xdr:sp>
    <xdr:clientData/>
  </xdr:twoCellAnchor>
</xdr:wsDr>
</file>

<file path=xl/drawings/drawing29.xml><?xml version="1.0" encoding="utf-8"?>
<xdr:wsDr xmlns:xdr="http://schemas.openxmlformats.org/drawingml/2006/spreadsheetDrawing" xmlns:a="http://schemas.openxmlformats.org/drawingml/2006/main">
  <xdr:oneCellAnchor>
    <xdr:from>
      <xdr:col>14</xdr:col>
      <xdr:colOff>0</xdr:colOff>
      <xdr:row>429</xdr:row>
      <xdr:rowOff>0</xdr:rowOff>
    </xdr:from>
    <xdr:ext cx="9525" cy="9525"/>
    <xdr:pic>
      <xdr:nvPicPr>
        <xdr:cNvPr id="2" name="image1.png" descr="page2image1679984">
          <a:extLst>
            <a:ext uri="{FF2B5EF4-FFF2-40B4-BE49-F238E27FC236}">
              <a16:creationId xmlns:a16="http://schemas.microsoft.com/office/drawing/2014/main" id="{00000000-0008-0000-1E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14</xdr:col>
      <xdr:colOff>0</xdr:colOff>
      <xdr:row>429</xdr:row>
      <xdr:rowOff>0</xdr:rowOff>
    </xdr:from>
    <xdr:ext cx="9525" cy="9525"/>
    <xdr:pic>
      <xdr:nvPicPr>
        <xdr:cNvPr id="3" name="image1.png" descr="page2image1679984">
          <a:extLst>
            <a:ext uri="{FF2B5EF4-FFF2-40B4-BE49-F238E27FC236}">
              <a16:creationId xmlns:a16="http://schemas.microsoft.com/office/drawing/2014/main" id="{00000000-0008-0000-1E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0</xdr:colOff>
      <xdr:row>429</xdr:row>
      <xdr:rowOff>0</xdr:rowOff>
    </xdr:from>
    <xdr:ext cx="9525" cy="9525"/>
    <xdr:pic>
      <xdr:nvPicPr>
        <xdr:cNvPr id="4" name="image1.png" descr="page2image1679984">
          <a:extLst>
            <a:ext uri="{FF2B5EF4-FFF2-40B4-BE49-F238E27FC236}">
              <a16:creationId xmlns:a16="http://schemas.microsoft.com/office/drawing/2014/main" id="{00000000-0008-0000-1E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0</xdr:colOff>
      <xdr:row>429</xdr:row>
      <xdr:rowOff>0</xdr:rowOff>
    </xdr:from>
    <xdr:ext cx="9525" cy="9525"/>
    <xdr:pic>
      <xdr:nvPicPr>
        <xdr:cNvPr id="5" name="image1.png" descr="page2image1679984">
          <a:extLst>
            <a:ext uri="{FF2B5EF4-FFF2-40B4-BE49-F238E27FC236}">
              <a16:creationId xmlns:a16="http://schemas.microsoft.com/office/drawing/2014/main" id="{00000000-0008-0000-1E00-00000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14</xdr:col>
      <xdr:colOff>0</xdr:colOff>
      <xdr:row>211</xdr:row>
      <xdr:rowOff>0</xdr:rowOff>
    </xdr:from>
    <xdr:ext cx="9525" cy="9525"/>
    <xdr:pic>
      <xdr:nvPicPr>
        <xdr:cNvPr id="6" name="image1.png" descr="page2image1679984">
          <a:extLst>
            <a:ext uri="{FF2B5EF4-FFF2-40B4-BE49-F238E27FC236}">
              <a16:creationId xmlns:a16="http://schemas.microsoft.com/office/drawing/2014/main" id="{00000000-0008-0000-1E00-00000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14</xdr:col>
      <xdr:colOff>0</xdr:colOff>
      <xdr:row>211</xdr:row>
      <xdr:rowOff>0</xdr:rowOff>
    </xdr:from>
    <xdr:ext cx="9525" cy="9525"/>
    <xdr:pic>
      <xdr:nvPicPr>
        <xdr:cNvPr id="7" name="image1.png" descr="page2image1679984">
          <a:extLst>
            <a:ext uri="{FF2B5EF4-FFF2-40B4-BE49-F238E27FC236}">
              <a16:creationId xmlns:a16="http://schemas.microsoft.com/office/drawing/2014/main" id="{00000000-0008-0000-1E00-00000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0</xdr:colOff>
      <xdr:row>211</xdr:row>
      <xdr:rowOff>0</xdr:rowOff>
    </xdr:from>
    <xdr:ext cx="9525" cy="9525"/>
    <xdr:pic>
      <xdr:nvPicPr>
        <xdr:cNvPr id="8" name="image1.png" descr="page2image1679984">
          <a:extLst>
            <a:ext uri="{FF2B5EF4-FFF2-40B4-BE49-F238E27FC236}">
              <a16:creationId xmlns:a16="http://schemas.microsoft.com/office/drawing/2014/main" id="{00000000-0008-0000-1E00-00000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0</xdr:colOff>
      <xdr:row>211</xdr:row>
      <xdr:rowOff>0</xdr:rowOff>
    </xdr:from>
    <xdr:ext cx="9525" cy="9525"/>
    <xdr:pic>
      <xdr:nvPicPr>
        <xdr:cNvPr id="9" name="image1.png" descr="page2image1679984">
          <a:extLst>
            <a:ext uri="{FF2B5EF4-FFF2-40B4-BE49-F238E27FC236}">
              <a16:creationId xmlns:a16="http://schemas.microsoft.com/office/drawing/2014/main" id="{00000000-0008-0000-1E00-00000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14</xdr:col>
      <xdr:colOff>0</xdr:colOff>
      <xdr:row>222</xdr:row>
      <xdr:rowOff>0</xdr:rowOff>
    </xdr:from>
    <xdr:ext cx="9525" cy="9525"/>
    <xdr:pic>
      <xdr:nvPicPr>
        <xdr:cNvPr id="10" name="image1.png" descr="page2image1679984">
          <a:extLst>
            <a:ext uri="{FF2B5EF4-FFF2-40B4-BE49-F238E27FC236}">
              <a16:creationId xmlns:a16="http://schemas.microsoft.com/office/drawing/2014/main" id="{00000000-0008-0000-1E00-00000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14</xdr:col>
      <xdr:colOff>0</xdr:colOff>
      <xdr:row>222</xdr:row>
      <xdr:rowOff>0</xdr:rowOff>
    </xdr:from>
    <xdr:ext cx="9525" cy="9525"/>
    <xdr:pic>
      <xdr:nvPicPr>
        <xdr:cNvPr id="11" name="image1.png" descr="page2image1679984">
          <a:extLst>
            <a:ext uri="{FF2B5EF4-FFF2-40B4-BE49-F238E27FC236}">
              <a16:creationId xmlns:a16="http://schemas.microsoft.com/office/drawing/2014/main" id="{00000000-0008-0000-1E00-00000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0</xdr:colOff>
      <xdr:row>222</xdr:row>
      <xdr:rowOff>0</xdr:rowOff>
    </xdr:from>
    <xdr:ext cx="9525" cy="9525"/>
    <xdr:pic>
      <xdr:nvPicPr>
        <xdr:cNvPr id="12" name="image1.png" descr="page2image1679984">
          <a:extLst>
            <a:ext uri="{FF2B5EF4-FFF2-40B4-BE49-F238E27FC236}">
              <a16:creationId xmlns:a16="http://schemas.microsoft.com/office/drawing/2014/main" id="{00000000-0008-0000-1E00-00000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0</xdr:colOff>
      <xdr:row>222</xdr:row>
      <xdr:rowOff>0</xdr:rowOff>
    </xdr:from>
    <xdr:ext cx="9525" cy="9525"/>
    <xdr:pic>
      <xdr:nvPicPr>
        <xdr:cNvPr id="13" name="image1.png" descr="page2image1679984">
          <a:extLst>
            <a:ext uri="{FF2B5EF4-FFF2-40B4-BE49-F238E27FC236}">
              <a16:creationId xmlns:a16="http://schemas.microsoft.com/office/drawing/2014/main" id="{00000000-0008-0000-1E00-00000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1</xdr:col>
      <xdr:colOff>0</xdr:colOff>
      <xdr:row>426</xdr:row>
      <xdr:rowOff>51758</xdr:rowOff>
    </xdr:from>
    <xdr:to>
      <xdr:col>1</xdr:col>
      <xdr:colOff>0</xdr:colOff>
      <xdr:row>426</xdr:row>
      <xdr:rowOff>69011</xdr:rowOff>
    </xdr:to>
    <xdr:pic>
      <xdr:nvPicPr>
        <xdr:cNvPr id="2059" name="image1.png" descr="page2image1679984">
          <a:extLst>
            <a:ext uri="{FF2B5EF4-FFF2-40B4-BE49-F238E27FC236}">
              <a16:creationId xmlns:a16="http://schemas.microsoft.com/office/drawing/2014/main" id="{00000000-0008-0000-1E00-00000B080000}"/>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037170" y="53613170"/>
          <a:ext cx="0" cy="17253"/>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1</xdr:col>
      <xdr:colOff>0</xdr:colOff>
      <xdr:row>426</xdr:row>
      <xdr:rowOff>51758</xdr:rowOff>
    </xdr:from>
    <xdr:to>
      <xdr:col>1</xdr:col>
      <xdr:colOff>0</xdr:colOff>
      <xdr:row>426</xdr:row>
      <xdr:rowOff>69011</xdr:rowOff>
    </xdr:to>
    <xdr:pic>
      <xdr:nvPicPr>
        <xdr:cNvPr id="2060" name="Picture 12" descr="page2image1679984">
          <a:extLst>
            <a:ext uri="{FF2B5EF4-FFF2-40B4-BE49-F238E27FC236}">
              <a16:creationId xmlns:a16="http://schemas.microsoft.com/office/drawing/2014/main" id="{00000000-0008-0000-1E00-00000C080000}"/>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037170" y="53613170"/>
          <a:ext cx="0" cy="17253"/>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xdr:from>
      <xdr:col>0</xdr:col>
      <xdr:colOff>420911</xdr:colOff>
      <xdr:row>668</xdr:row>
      <xdr:rowOff>188387</xdr:rowOff>
    </xdr:from>
    <xdr:to>
      <xdr:col>1</xdr:col>
      <xdr:colOff>1313237</xdr:colOff>
      <xdr:row>671</xdr:row>
      <xdr:rowOff>74087</xdr:rowOff>
    </xdr:to>
    <xdr:sp macro="" textlink="">
      <xdr:nvSpPr>
        <xdr:cNvPr id="14" name="TextBox 13">
          <a:extLst>
            <a:ext uri="{FF2B5EF4-FFF2-40B4-BE49-F238E27FC236}">
              <a16:creationId xmlns:a16="http://schemas.microsoft.com/office/drawing/2014/main" id="{00000000-0008-0000-1E00-00000E000000}"/>
            </a:ext>
          </a:extLst>
        </xdr:cNvPr>
        <xdr:cNvSpPr txBox="1"/>
      </xdr:nvSpPr>
      <xdr:spPr>
        <a:xfrm>
          <a:off x="420911" y="127975787"/>
          <a:ext cx="7877326" cy="469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 His Majesty the king in Right of Canada, as represented by the Minister of Natural Resources, 2025</a:t>
          </a:r>
          <a:br>
            <a:rPr lang="en-US" sz="1200"/>
          </a:br>
          <a:r>
            <a:rPr lang="en-US" sz="1200"/>
            <a:t>© Sa Majesté le Roi du chef du Canada, représentée par le ministre de Ressources naturelles, 2025</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0</xdr:col>
      <xdr:colOff>1292677</xdr:colOff>
      <xdr:row>15</xdr:row>
      <xdr:rowOff>95249</xdr:rowOff>
    </xdr:from>
    <xdr:to>
      <xdr:col>5</xdr:col>
      <xdr:colOff>696686</xdr:colOff>
      <xdr:row>18</xdr:row>
      <xdr:rowOff>76200</xdr:rowOff>
    </xdr:to>
    <xdr:sp macro="" textlink="">
      <xdr:nvSpPr>
        <xdr:cNvPr id="2" name="TextBox 1">
          <a:extLst>
            <a:ext uri="{FF2B5EF4-FFF2-40B4-BE49-F238E27FC236}">
              <a16:creationId xmlns:a16="http://schemas.microsoft.com/office/drawing/2014/main" id="{00000000-0008-0000-1F00-000002000000}"/>
            </a:ext>
          </a:extLst>
        </xdr:cNvPr>
        <xdr:cNvSpPr txBox="1"/>
      </xdr:nvSpPr>
      <xdr:spPr>
        <a:xfrm>
          <a:off x="1292677" y="13397592"/>
          <a:ext cx="7013123" cy="5687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 His Majesty the king in Right of Canada, as represented by the Minister of Natural Resources, 2025 </a:t>
          </a:r>
        </a:p>
        <a:p>
          <a:r>
            <a:rPr lang="en-US" sz="1200"/>
            <a:t>© Sa Majesté le Roi du chef du Canada, représentée par le ministre de Ressources naturelles, 2025</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0</xdr:col>
      <xdr:colOff>236220</xdr:colOff>
      <xdr:row>137</xdr:row>
      <xdr:rowOff>140970</xdr:rowOff>
    </xdr:from>
    <xdr:to>
      <xdr:col>4</xdr:col>
      <xdr:colOff>137160</xdr:colOff>
      <xdr:row>141</xdr:row>
      <xdr:rowOff>76200</xdr:rowOff>
    </xdr:to>
    <xdr:sp macro="" textlink="">
      <xdr:nvSpPr>
        <xdr:cNvPr id="2" name="TextBox 1">
          <a:extLst>
            <a:ext uri="{FF2B5EF4-FFF2-40B4-BE49-F238E27FC236}">
              <a16:creationId xmlns:a16="http://schemas.microsoft.com/office/drawing/2014/main" id="{00000000-0008-0000-2200-000002000000}"/>
            </a:ext>
          </a:extLst>
        </xdr:cNvPr>
        <xdr:cNvSpPr txBox="1"/>
      </xdr:nvSpPr>
      <xdr:spPr>
        <a:xfrm>
          <a:off x="236220" y="27245310"/>
          <a:ext cx="6865620" cy="7277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 His Majesty the king in Right of Canada, as represented by the Minister of Natural Resources, 2025</a:t>
          </a:r>
          <a:br>
            <a:rPr lang="en-US" sz="1200"/>
          </a:br>
          <a:r>
            <a:rPr lang="en-US" sz="1200"/>
            <a:t>© Sa Majesté le Roi du chef du Canada, représentée par le ministre de Ressources naturelles, 2025</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Summary" displayName="Summary" ref="N15:O30" totalsRowCount="1" headerRowDxfId="20" dataDxfId="18" totalsRowDxfId="16" headerRowBorderDxfId="19" tableBorderDxfId="17" totalsRowBorderDxfId="15" headerRowCellStyle="NRCHeader">
  <autoFilter ref="N15:O29" xr:uid="{00000000-0009-0000-0100-000005000000}">
    <filterColumn colId="0" hiddenButton="1"/>
    <filterColumn colId="1" hiddenButton="1"/>
  </autoFilter>
  <tableColumns count="2">
    <tableColumn id="1" xr3:uid="{00000000-0010-0000-0000-000001000000}" name="Section" totalsRowLabel="TOTAL" dataDxfId="14" totalsRowDxfId="13" dataCellStyle="Normal 2"/>
    <tableColumn id="2" xr3:uid="{00000000-0010-0000-0000-000002000000}" name="Embodied Carbon _x000a_[kg CO2e]" totalsRowFunction="custom" dataDxfId="12" totalsRowDxfId="11" dataCellStyle="Normal 2">
      <totalsRowFormula>SUM(Summary[Embodied Carbon 
'[kg CO2e']])</totalsRowFormula>
    </tableColumn>
  </tableColumns>
  <tableStyleInfo name="TableStyleMedium18" showFirstColumn="0" showLastColumn="0" showRowStripes="0"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8.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9.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0.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1.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2.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3.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4.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5.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6.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7.xml"/></Relationships>
</file>

<file path=xl/worksheets/_rels/sheet21.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0.xml"/><Relationship Id="rId1" Type="http://schemas.openxmlformats.org/officeDocument/2006/relationships/printerSettings" Target="../printerSettings/printerSettings2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1.xml"/><Relationship Id="rId1" Type="http://schemas.openxmlformats.org/officeDocument/2006/relationships/printerSettings" Target="../printerSettings/printerSettings24.bin"/><Relationship Id="rId4" Type="http://schemas.openxmlformats.org/officeDocument/2006/relationships/ctrlProp" Target="../ctrlProps/ctrlProp4.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6.bin"/><Relationship Id="rId5" Type="http://schemas.openxmlformats.org/officeDocument/2006/relationships/comments" Target="../comments21.xml"/><Relationship Id="rId4" Type="http://schemas.openxmlformats.org/officeDocument/2006/relationships/ctrlProp" Target="../ctrlProps/ctrlProp5.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30.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4.vml"/><Relationship Id="rId1" Type="http://schemas.openxmlformats.org/officeDocument/2006/relationships/drawing" Target="../drawings/drawing26.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3.xml.rels><?xml version="1.0" encoding="UTF-8" standalone="yes"?>
<Relationships xmlns="http://schemas.openxmlformats.org/package/2006/relationships"><Relationship Id="rId2" Type="http://schemas.openxmlformats.org/officeDocument/2006/relationships/comments" Target="../comments23.xml"/><Relationship Id="rId1" Type="http://schemas.openxmlformats.org/officeDocument/2006/relationships/vmlDrawing" Target="../drawings/vmlDrawing25.vml"/></Relationships>
</file>

<file path=xl/worksheets/_rels/sheet34.xml.rels><?xml version="1.0" encoding="UTF-8" standalone="yes"?>
<Relationships xmlns="http://schemas.openxmlformats.org/package/2006/relationships"><Relationship Id="rId2" Type="http://schemas.openxmlformats.org/officeDocument/2006/relationships/comments" Target="../comments24.xml"/><Relationship Id="rId1" Type="http://schemas.openxmlformats.org/officeDocument/2006/relationships/vmlDrawing" Target="../drawings/vmlDrawing26.v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8.xml"/><Relationship Id="rId1" Type="http://schemas.openxmlformats.org/officeDocument/2006/relationships/printerSettings" Target="../printerSettings/printerSettings29.bin"/><Relationship Id="rId5" Type="http://schemas.openxmlformats.org/officeDocument/2006/relationships/comments" Target="../comments25.xml"/><Relationship Id="rId4" Type="http://schemas.openxmlformats.org/officeDocument/2006/relationships/table" Target="../tables/table1.xml"/></Relationships>
</file>

<file path=xl/worksheets/_rels/sheet36.xml.rels><?xml version="1.0" encoding="UTF-8" standalone="yes"?>
<Relationships xmlns="http://schemas.openxmlformats.org/package/2006/relationships"><Relationship Id="rId13" Type="http://schemas.openxmlformats.org/officeDocument/2006/relationships/hyperlink" Target="https://www.octalsteel.com/pdf/steel-pipe-weight-chart.pdf" TargetMode="External"/><Relationship Id="rId18" Type="http://schemas.openxmlformats.org/officeDocument/2006/relationships/hyperlink" Target="https://www.stainlesssupply.com/order-metal-online/docs/gaugeChart.htm" TargetMode="External"/><Relationship Id="rId26" Type="http://schemas.openxmlformats.org/officeDocument/2006/relationships/hyperlink" Target="https://www.spikevm.com/calculators/concrete/canadian-weight.php" TargetMode="External"/><Relationship Id="rId39" Type="http://schemas.openxmlformats.org/officeDocument/2006/relationships/hyperlink" Target="https://pubs.acs.org/doi/10.1021/es401326a" TargetMode="External"/><Relationship Id="rId21" Type="http://schemas.openxmlformats.org/officeDocument/2006/relationships/hyperlink" Target="https://www.stainlesssupply.com/order-metal-online/docs/gaugeChart.htm" TargetMode="External"/><Relationship Id="rId34" Type="http://schemas.openxmlformats.org/officeDocument/2006/relationships/hyperlink" Target="https://www.itools.clarkdietrich.com/submittalpro/dyn_pdf/%7B%22pdf_type%22%3A%22individual_product%22%2C%22project_product_code%22%3A%22product%7Cstructural_stud~product_code%7C600S137-54~coating%7CCP60~punched%7Ctrue%22%7D/CD_600S137-54.pdf" TargetMode="External"/><Relationship Id="rId42" Type="http://schemas.openxmlformats.org/officeDocument/2006/relationships/hyperlink" Target="https://www.engineeringtoolbox.com/american-wide-flange-steel-beams-d_1318.html" TargetMode="External"/><Relationship Id="rId47" Type="http://schemas.openxmlformats.org/officeDocument/2006/relationships/drawing" Target="../drawings/drawing29.xml"/><Relationship Id="rId7" Type="http://schemas.openxmlformats.org/officeDocument/2006/relationships/hyperlink" Target="https://ncma.org/resource/concrete-masonry-wall-weights/" TargetMode="External"/><Relationship Id="rId2" Type="http://schemas.openxmlformats.org/officeDocument/2006/relationships/hyperlink" Target="https://buildingtransparency.org/ec3/material-search" TargetMode="External"/><Relationship Id="rId16" Type="http://schemas.openxmlformats.org/officeDocument/2006/relationships/hyperlink" Target="https://www.sciencedirect.com/science/article/abs/pii/S0959652616320832" TargetMode="External"/><Relationship Id="rId29" Type="http://schemas.openxmlformats.org/officeDocument/2006/relationships/hyperlink" Target="https://www.octalsteel.com/pdf/steel-pipe-weight-chart.pdf" TargetMode="External"/><Relationship Id="rId11" Type="http://schemas.openxmlformats.org/officeDocument/2006/relationships/hyperlink" Target="https://www.sciencedirect.com/science/article/abs/pii/S0959652616320832" TargetMode="External"/><Relationship Id="rId24" Type="http://schemas.openxmlformats.org/officeDocument/2006/relationships/hyperlink" Target="https://circularecology.com/embodied-carbon-footprint-database.html" TargetMode="External"/><Relationship Id="rId32" Type="http://schemas.openxmlformats.org/officeDocument/2006/relationships/hyperlink" Target="https://buildingtransparency.org/ec3/material-search" TargetMode="External"/><Relationship Id="rId37" Type="http://schemas.openxmlformats.org/officeDocument/2006/relationships/hyperlink" Target="https://aces.nmsu.edu/pubs/_g/G521/" TargetMode="External"/><Relationship Id="rId40" Type="http://schemas.openxmlformats.org/officeDocument/2006/relationships/hyperlink" Target="https://www.treeisland.com/sites/default/files/documents/brochures-spec-sheets/WWR_Brochure.pdf" TargetMode="External"/><Relationship Id="rId45" Type="http://schemas.openxmlformats.org/officeDocument/2006/relationships/hyperlink" Target="https://phyllis.nl/Browse/Standard/ECN-Phyllis" TargetMode="External"/><Relationship Id="rId5" Type="http://schemas.openxmlformats.org/officeDocument/2006/relationships/hyperlink" Target="https://www.sciencedirect.com/science/article/abs/pii/S0959652614005514?via%3Dihub" TargetMode="External"/><Relationship Id="rId15" Type="http://schemas.openxmlformats.org/officeDocument/2006/relationships/hyperlink" Target="https://www.sciencedirect.com/science/article/abs/pii/S095965262031893X?via%3Dihub" TargetMode="External"/><Relationship Id="rId23" Type="http://schemas.openxmlformats.org/officeDocument/2006/relationships/hyperlink" Target="https://www.sciencedirect.com/science/article/abs/pii/S0959652619331567?via%3Dihub" TargetMode="External"/><Relationship Id="rId28" Type="http://schemas.openxmlformats.org/officeDocument/2006/relationships/hyperlink" Target="https://steeljoist.org/wp-content/uploads/K-Series_2010.pdf" TargetMode="External"/><Relationship Id="rId36" Type="http://schemas.openxmlformats.org/officeDocument/2006/relationships/hyperlink" Target="https://www.sciencedirect.com/science/article/abs/pii/S0959652610004567?via%3Dihub" TargetMode="External"/><Relationship Id="rId49" Type="http://schemas.openxmlformats.org/officeDocument/2006/relationships/comments" Target="../comments26.xml"/><Relationship Id="rId10" Type="http://schemas.openxmlformats.org/officeDocument/2006/relationships/hyperlink" Target="https://phyllis.nl/Browse/Standard/ECN-Phyllis" TargetMode="External"/><Relationship Id="rId19" Type="http://schemas.openxmlformats.org/officeDocument/2006/relationships/hyperlink" Target="https://www.mbma.com/System_Members.html" TargetMode="External"/><Relationship Id="rId31" Type="http://schemas.openxmlformats.org/officeDocument/2006/relationships/hyperlink" Target="https://www.marinoware.com/wp-content/uploads/2020/10/MW-ViperStud-Catalog.pdf" TargetMode="External"/><Relationship Id="rId44" Type="http://schemas.openxmlformats.org/officeDocument/2006/relationships/hyperlink" Target="https://phyllis.nl/Browse/Standard/ECN-Phyllis" TargetMode="External"/><Relationship Id="rId4" Type="http://schemas.openxmlformats.org/officeDocument/2006/relationships/hyperlink" Target="https://www.unitconverters.net/volume-lumber/board-feet-to-cubic-meter.htm" TargetMode="External"/><Relationship Id="rId9" Type="http://schemas.openxmlformats.org/officeDocument/2006/relationships/hyperlink" Target="https://www.sciencedirect.com/science/article/abs/pii/S0959652619331567?via%3Dihub" TargetMode="External"/><Relationship Id="rId14" Type="http://schemas.openxmlformats.org/officeDocument/2006/relationships/hyperlink" Target="https://www.sciencedirect.com/science/article/abs/pii/S0959652617303876?via%3Dihub" TargetMode="External"/><Relationship Id="rId22" Type="http://schemas.openxmlformats.org/officeDocument/2006/relationships/hyperlink" Target="https://www.huberwood.com/uploads/documents/technical/documents/Mill-Product-Listing-Subfloor-Wall-and-Roof-AdvanTech.pdf" TargetMode="External"/><Relationship Id="rId27" Type="http://schemas.openxmlformats.org/officeDocument/2006/relationships/hyperlink" Target="https://www.spikevm.com/calculators/concrete/canadian-weight.php" TargetMode="External"/><Relationship Id="rId30" Type="http://schemas.openxmlformats.org/officeDocument/2006/relationships/hyperlink" Target="https://www.octalsteel.com/pdf/steel-pipe-weight-chart.pdf" TargetMode="External"/><Relationship Id="rId35" Type="http://schemas.openxmlformats.org/officeDocument/2006/relationships/hyperlink" Target="https://www.sciencedirect.com/science/article/abs/pii/S0959652616320832" TargetMode="External"/><Relationship Id="rId43" Type="http://schemas.openxmlformats.org/officeDocument/2006/relationships/hyperlink" Target="https://journals-scholarsportal-info.proxy1.lib.trentu.ca/pdf/03601323/v160icomplete/nfp_ctslcacsocem.xml" TargetMode="External"/><Relationship Id="rId48" Type="http://schemas.openxmlformats.org/officeDocument/2006/relationships/vmlDrawing" Target="../drawings/vmlDrawing28.vml"/><Relationship Id="rId8" Type="http://schemas.openxmlformats.org/officeDocument/2006/relationships/hyperlink" Target="https://journals-scholarsportal-info.proxy1.lib.trentu.ca/pdf/03601323/v160icomplete/nfp_ctslcacsocem.xml" TargetMode="External"/><Relationship Id="rId3" Type="http://schemas.openxmlformats.org/officeDocument/2006/relationships/hyperlink" Target="https://buildingtransparency.org/ec3/material-search" TargetMode="External"/><Relationship Id="rId12" Type="http://schemas.openxmlformats.org/officeDocument/2006/relationships/hyperlink" Target="https://www.sciencedirect.com/science/article/abs/pii/S0959652616320832" TargetMode="External"/><Relationship Id="rId17" Type="http://schemas.openxmlformats.org/officeDocument/2006/relationships/hyperlink" Target="https://www.stainlesssupply.com/order-metal-online/docs/gaugeChart.htm" TargetMode="External"/><Relationship Id="rId25" Type="http://schemas.openxmlformats.org/officeDocument/2006/relationships/hyperlink" Target="https://circularecology.com/embodied-carbon-footprint-database.html" TargetMode="External"/><Relationship Id="rId33" Type="http://schemas.openxmlformats.org/officeDocument/2006/relationships/hyperlink" Target="https://www.unitconverters.net/volume-lumber/board-feet-to-cubic-meter.htm" TargetMode="External"/><Relationship Id="rId38" Type="http://schemas.openxmlformats.org/officeDocument/2006/relationships/hyperlink" Target="https://www.sciencedirect.com/science/article/abs/pii/S0959652615012378?via%3Dihub" TargetMode="External"/><Relationship Id="rId46" Type="http://schemas.openxmlformats.org/officeDocument/2006/relationships/printerSettings" Target="../printerSettings/printerSettings30.bin"/><Relationship Id="rId20" Type="http://schemas.openxmlformats.org/officeDocument/2006/relationships/hyperlink" Target="https://www.stainlesssupply.com/order-metal-online/docs/gaugeChart.htm" TargetMode="External"/><Relationship Id="rId41" Type="http://schemas.openxmlformats.org/officeDocument/2006/relationships/hyperlink" Target="https://www.nrmca.org/wp-content/uploads/2020/02/NRMCA_REGIONAL_BENCHMARK_Nov2019.pdf" TargetMode="External"/><Relationship Id="rId1" Type="http://schemas.openxmlformats.org/officeDocument/2006/relationships/hyperlink" Target="https://phyllis.nl/Browse/Standard/ECN-Phyllis" TargetMode="External"/><Relationship Id="rId6" Type="http://schemas.openxmlformats.org/officeDocument/2006/relationships/hyperlink" Target="https://ncma.org/resource/concrete-masonry-wall-weights/" TargetMode="Externa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30.xml"/><Relationship Id="rId1" Type="http://schemas.openxmlformats.org/officeDocument/2006/relationships/printerSettings" Target="../printerSettings/printerSettings31.bin"/><Relationship Id="rId4" Type="http://schemas.openxmlformats.org/officeDocument/2006/relationships/comments" Target="../comments27.xml"/></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40.xml.rels><?xml version="1.0" encoding="UTF-8" standalone="yes"?>
<Relationships xmlns="http://schemas.openxmlformats.org/package/2006/relationships"><Relationship Id="rId2" Type="http://schemas.openxmlformats.org/officeDocument/2006/relationships/comments" Target="../comments28.xml"/><Relationship Id="rId1" Type="http://schemas.openxmlformats.org/officeDocument/2006/relationships/vmlDrawing" Target="../drawings/vmlDrawing30.vml"/></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C8:L39"/>
  <sheetViews>
    <sheetView zoomScale="110" zoomScaleNormal="110" workbookViewId="0"/>
  </sheetViews>
  <sheetFormatPr defaultColWidth="8.90625" defaultRowHeight="15" x14ac:dyDescent="0.25"/>
  <cols>
    <col min="1" max="1" width="3.90625" style="429" customWidth="1"/>
    <col min="2" max="2" width="7.54296875" style="429" customWidth="1"/>
    <col min="3" max="10" width="8.90625" style="429"/>
    <col min="11" max="11" width="14.1796875" style="429" customWidth="1"/>
    <col min="12" max="16384" width="8.90625" style="429"/>
  </cols>
  <sheetData>
    <row r="8" spans="3:11" x14ac:dyDescent="0.25">
      <c r="C8" s="1416" t="s">
        <v>7293</v>
      </c>
      <c r="D8" s="1417"/>
      <c r="E8" s="1417"/>
      <c r="F8" s="1417"/>
      <c r="H8" s="1416" t="s">
        <v>7292</v>
      </c>
      <c r="I8" s="1417"/>
      <c r="J8" s="1417"/>
      <c r="K8" s="1417"/>
    </row>
    <row r="9" spans="3:11" x14ac:dyDescent="0.25">
      <c r="C9" s="1417"/>
      <c r="D9" s="1417"/>
      <c r="E9" s="1417"/>
      <c r="F9" s="1417"/>
      <c r="H9" s="1417"/>
      <c r="I9" s="1417"/>
      <c r="J9" s="1417"/>
      <c r="K9" s="1417"/>
    </row>
    <row r="10" spans="3:11" x14ac:dyDescent="0.25">
      <c r="C10" s="1417"/>
      <c r="D10" s="1417"/>
      <c r="E10" s="1417"/>
      <c r="F10" s="1417"/>
      <c r="H10" s="1417"/>
      <c r="I10" s="1417"/>
      <c r="J10" s="1417"/>
      <c r="K10" s="1417"/>
    </row>
    <row r="11" spans="3:11" ht="25.2" customHeight="1" x14ac:dyDescent="0.25">
      <c r="C11" s="1417"/>
      <c r="D11" s="1417"/>
      <c r="E11" s="1417"/>
      <c r="F11" s="1417"/>
      <c r="H11" s="1417"/>
      <c r="I11" s="1417"/>
      <c r="J11" s="1417"/>
      <c r="K11" s="1417"/>
    </row>
    <row r="12" spans="3:11" x14ac:dyDescent="0.25">
      <c r="C12" s="1417"/>
      <c r="D12" s="1417"/>
      <c r="E12" s="1417"/>
      <c r="F12" s="1417"/>
      <c r="H12" s="1417"/>
      <c r="I12" s="1417"/>
      <c r="J12" s="1417"/>
      <c r="K12" s="1417"/>
    </row>
    <row r="13" spans="3:11" x14ac:dyDescent="0.25">
      <c r="C13" s="1417"/>
      <c r="D13" s="1417"/>
      <c r="E13" s="1417"/>
      <c r="F13" s="1417"/>
      <c r="H13" s="1417"/>
      <c r="I13" s="1417"/>
      <c r="J13" s="1417"/>
      <c r="K13" s="1417"/>
    </row>
    <row r="14" spans="3:11" x14ac:dyDescent="0.25">
      <c r="C14" s="1417"/>
      <c r="D14" s="1417"/>
      <c r="E14" s="1417"/>
      <c r="F14" s="1417"/>
      <c r="H14" s="1417"/>
      <c r="I14" s="1417"/>
      <c r="J14" s="1417"/>
      <c r="K14" s="1417"/>
    </row>
    <row r="15" spans="3:11" x14ac:dyDescent="0.25">
      <c r="C15" s="1417"/>
      <c r="D15" s="1417"/>
      <c r="E15" s="1417"/>
      <c r="F15" s="1417"/>
      <c r="H15" s="1417"/>
      <c r="I15" s="1417"/>
      <c r="J15" s="1417"/>
      <c r="K15" s="1417"/>
    </row>
    <row r="16" spans="3:11" x14ac:dyDescent="0.25">
      <c r="C16" s="1417"/>
      <c r="D16" s="1417"/>
      <c r="E16" s="1417"/>
      <c r="F16" s="1417"/>
      <c r="H16" s="1417"/>
      <c r="I16" s="1417"/>
      <c r="J16" s="1417"/>
      <c r="K16" s="1417"/>
    </row>
    <row r="17" spans="3:11" x14ac:dyDescent="0.25">
      <c r="C17" s="1417"/>
      <c r="D17" s="1417"/>
      <c r="E17" s="1417"/>
      <c r="F17" s="1417"/>
    </row>
    <row r="18" spans="3:11" x14ac:dyDescent="0.25">
      <c r="C18" s="1417"/>
      <c r="D18" s="1417"/>
      <c r="E18" s="1417"/>
      <c r="F18" s="1417"/>
    </row>
    <row r="19" spans="3:11" ht="15" customHeight="1" x14ac:dyDescent="0.25">
      <c r="C19" s="1418" t="s">
        <v>3492</v>
      </c>
      <c r="D19" s="1418"/>
      <c r="E19" s="1418"/>
      <c r="F19" s="1418"/>
      <c r="H19" s="1418" t="s">
        <v>3493</v>
      </c>
      <c r="I19" s="1418"/>
      <c r="J19" s="1418"/>
      <c r="K19" s="1418"/>
    </row>
    <row r="20" spans="3:11" x14ac:dyDescent="0.25">
      <c r="C20" s="1418"/>
      <c r="D20" s="1418"/>
      <c r="E20" s="1418"/>
      <c r="F20" s="1418"/>
      <c r="H20" s="1418"/>
      <c r="I20" s="1418"/>
      <c r="J20" s="1418"/>
      <c r="K20" s="1418"/>
    </row>
    <row r="21" spans="3:11" x14ac:dyDescent="0.25">
      <c r="C21" s="1418"/>
      <c r="D21" s="1418"/>
      <c r="E21" s="1418"/>
      <c r="F21" s="1418"/>
      <c r="H21" s="1418"/>
      <c r="I21" s="1418"/>
      <c r="J21" s="1418"/>
      <c r="K21" s="1418"/>
    </row>
    <row r="22" spans="3:11" x14ac:dyDescent="0.25">
      <c r="C22" s="1418"/>
      <c r="D22" s="1418"/>
      <c r="E22" s="1418"/>
      <c r="F22" s="1418"/>
      <c r="H22" s="1418"/>
      <c r="I22" s="1418"/>
      <c r="J22" s="1418"/>
      <c r="K22" s="1418"/>
    </row>
    <row r="23" spans="3:11" x14ac:dyDescent="0.25">
      <c r="C23" s="1418"/>
      <c r="D23" s="1418"/>
      <c r="E23" s="1418"/>
      <c r="F23" s="1418"/>
      <c r="H23" s="1418"/>
      <c r="I23" s="1418"/>
      <c r="J23" s="1418"/>
      <c r="K23" s="1418"/>
    </row>
    <row r="24" spans="3:11" x14ac:dyDescent="0.25">
      <c r="C24" s="1418"/>
      <c r="D24" s="1418"/>
      <c r="E24" s="1418"/>
      <c r="F24" s="1418"/>
      <c r="H24" s="1418"/>
      <c r="I24" s="1418"/>
      <c r="J24" s="1418"/>
      <c r="K24" s="1418"/>
    </row>
    <row r="25" spans="3:11" x14ac:dyDescent="0.25">
      <c r="C25" s="1418"/>
      <c r="D25" s="1418"/>
      <c r="E25" s="1418"/>
      <c r="F25" s="1418"/>
      <c r="H25" s="1418"/>
      <c r="I25" s="1418"/>
      <c r="J25" s="1418"/>
      <c r="K25" s="1418"/>
    </row>
    <row r="26" spans="3:11" x14ac:dyDescent="0.25">
      <c r="C26" s="1418"/>
      <c r="D26" s="1418"/>
      <c r="E26" s="1418"/>
      <c r="F26" s="1418"/>
      <c r="H26" s="1418"/>
      <c r="I26" s="1418"/>
      <c r="J26" s="1418"/>
      <c r="K26" s="1418"/>
    </row>
    <row r="27" spans="3:11" x14ac:dyDescent="0.25">
      <c r="C27" s="1418"/>
      <c r="D27" s="1418"/>
      <c r="E27" s="1418"/>
      <c r="F27" s="1418"/>
      <c r="H27" s="1418"/>
      <c r="I27" s="1418"/>
      <c r="J27" s="1418"/>
      <c r="K27" s="1418"/>
    </row>
    <row r="28" spans="3:11" x14ac:dyDescent="0.25">
      <c r="C28" s="1418"/>
      <c r="D28" s="1418"/>
      <c r="E28" s="1418"/>
      <c r="F28" s="1418"/>
      <c r="H28" s="1418"/>
      <c r="I28" s="1418"/>
      <c r="J28" s="1418"/>
      <c r="K28" s="1418"/>
    </row>
    <row r="29" spans="3:11" x14ac:dyDescent="0.25">
      <c r="C29" s="1418"/>
      <c r="D29" s="1418"/>
      <c r="E29" s="1418"/>
      <c r="F29" s="1418"/>
      <c r="H29" s="1418"/>
      <c r="I29" s="1418"/>
      <c r="J29" s="1418"/>
      <c r="K29" s="1418"/>
    </row>
    <row r="30" spans="3:11" x14ac:dyDescent="0.25">
      <c r="C30" s="1418"/>
      <c r="D30" s="1418"/>
      <c r="E30" s="1418"/>
      <c r="F30" s="1418"/>
      <c r="H30" s="1418"/>
      <c r="I30" s="1418"/>
      <c r="J30" s="1418"/>
      <c r="K30" s="1418"/>
    </row>
    <row r="31" spans="3:11" x14ac:dyDescent="0.25">
      <c r="C31" s="1418"/>
      <c r="D31" s="1418"/>
      <c r="E31" s="1418"/>
      <c r="F31" s="1418"/>
      <c r="H31" s="1418"/>
      <c r="I31" s="1418"/>
      <c r="J31" s="1418"/>
      <c r="K31" s="1418"/>
    </row>
    <row r="32" spans="3:11" x14ac:dyDescent="0.25">
      <c r="C32" s="1418"/>
      <c r="D32" s="1418"/>
      <c r="E32" s="1418"/>
      <c r="F32" s="1418"/>
      <c r="H32" s="1418"/>
      <c r="I32" s="1418"/>
      <c r="J32" s="1418"/>
      <c r="K32" s="1418"/>
    </row>
    <row r="33" spans="3:12" ht="26.25" customHeight="1" x14ac:dyDescent="0.25">
      <c r="C33" s="1418"/>
      <c r="D33" s="1418"/>
      <c r="E33" s="1418"/>
      <c r="F33" s="1418"/>
      <c r="H33" s="1418"/>
      <c r="I33" s="1418"/>
      <c r="J33" s="1418"/>
      <c r="K33" s="1418"/>
    </row>
    <row r="34" spans="3:12" ht="26.25" customHeight="1" x14ac:dyDescent="0.25">
      <c r="C34" s="1418"/>
      <c r="D34" s="1418"/>
      <c r="E34" s="1418"/>
      <c r="F34" s="1418"/>
      <c r="H34" s="1418"/>
      <c r="I34" s="1418"/>
      <c r="J34" s="1418"/>
      <c r="K34" s="1418"/>
    </row>
    <row r="35" spans="3:12" ht="26.25" customHeight="1" x14ac:dyDescent="0.25">
      <c r="C35" s="1418"/>
      <c r="D35" s="1418"/>
      <c r="E35" s="1418"/>
      <c r="F35" s="1418"/>
      <c r="H35" s="1418"/>
      <c r="I35" s="1418"/>
      <c r="J35" s="1418"/>
      <c r="K35" s="1418"/>
    </row>
    <row r="36" spans="3:12" x14ac:dyDescent="0.25">
      <c r="C36" s="1418"/>
      <c r="D36" s="1418"/>
      <c r="E36" s="1418"/>
      <c r="F36" s="1418"/>
      <c r="H36" s="1418"/>
      <c r="I36" s="1418"/>
      <c r="J36" s="1418"/>
      <c r="K36" s="1418"/>
    </row>
    <row r="37" spans="3:12" x14ac:dyDescent="0.25">
      <c r="C37" s="430"/>
      <c r="D37" s="430"/>
      <c r="E37" s="430"/>
      <c r="F37" s="430"/>
    </row>
    <row r="38" spans="3:12" x14ac:dyDescent="0.25">
      <c r="C38" s="430"/>
      <c r="D38" s="430"/>
      <c r="E38" s="1415" t="s">
        <v>4901</v>
      </c>
      <c r="F38" s="1415"/>
      <c r="G38" s="1415"/>
      <c r="H38" s="1415"/>
      <c r="I38" s="1415"/>
      <c r="J38" s="1415"/>
      <c r="K38" s="1415"/>
      <c r="L38" s="1415"/>
    </row>
    <row r="39" spans="3:12" x14ac:dyDescent="0.25">
      <c r="E39" s="1415" t="s">
        <v>4900</v>
      </c>
      <c r="F39" s="1415"/>
      <c r="G39" s="1415"/>
      <c r="H39" s="1415"/>
      <c r="I39" s="1415"/>
      <c r="J39" s="1415"/>
      <c r="K39" s="1415"/>
      <c r="L39" s="1415"/>
    </row>
  </sheetData>
  <sheetProtection algorithmName="SHA-512" hashValue="ZsBS+Q/SqcR6zN7ovuEYWgWYs4Z2wfywwXyBgQlhRPcm9IJ3fspiPcV86UkEwXl29pT+XSmHwEZMxkXEQT72hA==" saltValue="mbIrjpWblSA/qBbuqmnOvw==" spinCount="100000" sheet="1" objects="1" scenarios="1"/>
  <mergeCells count="6">
    <mergeCell ref="E39:L39"/>
    <mergeCell ref="C8:F18"/>
    <mergeCell ref="H8:K16"/>
    <mergeCell ref="C19:F36"/>
    <mergeCell ref="E38:L38"/>
    <mergeCell ref="H19:K36"/>
  </mergeCells>
  <pageMargins left="0.7" right="0.7" top="0.75" bottom="0.75" header="0.3" footer="0.3"/>
  <pageSetup orientation="portrait" horizontalDpi="90" verticalDpi="90" r:id="rId1"/>
  <headerFooter>
    <oddHeader>&amp;R&amp;"Aptos"&amp;12&amp;K000000 UNCLASSIFIED - NON CLASSIFIÉ&amp;1#_x000D_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1">
    <outlinePr summaryBelow="0" summaryRight="0"/>
  </sheetPr>
  <dimension ref="A2:F988"/>
  <sheetViews>
    <sheetView showGridLines="0" workbookViewId="0"/>
  </sheetViews>
  <sheetFormatPr defaultColWidth="11.1796875" defaultRowHeight="15.75" customHeight="1" x14ac:dyDescent="0.25"/>
  <cols>
    <col min="1" max="1" width="6" style="431" customWidth="1"/>
    <col min="2" max="2" width="56.6328125" style="433" customWidth="1"/>
    <col min="3" max="3" width="3.453125" style="433" customWidth="1"/>
    <col min="4" max="4" width="6" style="433" customWidth="1"/>
    <col min="5" max="5" width="56.6328125" style="433" customWidth="1"/>
    <col min="6" max="16384" width="11.1796875" style="431"/>
  </cols>
  <sheetData>
    <row r="2" spans="1:5" ht="15.75" customHeight="1" x14ac:dyDescent="0.25">
      <c r="B2" s="432" t="s">
        <v>1795</v>
      </c>
      <c r="E2" s="432" t="s">
        <v>1796</v>
      </c>
    </row>
    <row r="4" spans="1:5" ht="105.6" x14ac:dyDescent="0.25">
      <c r="B4" s="434" t="s">
        <v>4941</v>
      </c>
      <c r="E4" s="434" t="s">
        <v>6766</v>
      </c>
    </row>
    <row r="5" spans="1:5" ht="13.2" x14ac:dyDescent="0.25">
      <c r="B5" s="434"/>
      <c r="E5" s="434"/>
    </row>
    <row r="6" spans="1:5" ht="132" x14ac:dyDescent="0.25">
      <c r="B6" s="434" t="s">
        <v>1984</v>
      </c>
      <c r="E6" s="434" t="s">
        <v>2044</v>
      </c>
    </row>
    <row r="7" spans="1:5" ht="13.2" x14ac:dyDescent="0.25">
      <c r="B7" s="434"/>
      <c r="E7" s="434"/>
    </row>
    <row r="8" spans="1:5" ht="52.8" x14ac:dyDescent="0.25">
      <c r="B8" s="434" t="s">
        <v>2043</v>
      </c>
      <c r="E8" s="434" t="s">
        <v>1985</v>
      </c>
    </row>
    <row r="9" spans="1:5" ht="13.2" x14ac:dyDescent="0.25">
      <c r="B9" s="434"/>
      <c r="E9" s="434"/>
    </row>
    <row r="10" spans="1:5" ht="13.2" x14ac:dyDescent="0.25">
      <c r="A10" s="435">
        <v>1</v>
      </c>
      <c r="B10" s="436" t="s">
        <v>1986</v>
      </c>
      <c r="D10" s="437">
        <v>1</v>
      </c>
      <c r="E10" s="436" t="s">
        <v>1987</v>
      </c>
    </row>
    <row r="11" spans="1:5" ht="26.4" x14ac:dyDescent="0.25">
      <c r="A11" s="438">
        <v>1.1000000000000001</v>
      </c>
      <c r="B11" s="434" t="s">
        <v>1988</v>
      </c>
      <c r="D11" s="438">
        <v>1.1000000000000001</v>
      </c>
      <c r="E11" s="434" t="s">
        <v>1989</v>
      </c>
    </row>
    <row r="12" spans="1:5" ht="52.8" x14ac:dyDescent="0.25">
      <c r="A12" s="439">
        <v>1.2</v>
      </c>
      <c r="B12" s="440" t="s">
        <v>2045</v>
      </c>
      <c r="D12" s="439">
        <v>1.2</v>
      </c>
      <c r="E12" s="440" t="s">
        <v>1990</v>
      </c>
    </row>
    <row r="13" spans="1:5" ht="52.8" x14ac:dyDescent="0.25">
      <c r="A13" s="438">
        <v>1.3</v>
      </c>
      <c r="B13" s="440" t="s">
        <v>1991</v>
      </c>
      <c r="D13" s="438">
        <v>1.3</v>
      </c>
      <c r="E13" s="440" t="s">
        <v>1992</v>
      </c>
    </row>
    <row r="14" spans="1:5" ht="13.2" x14ac:dyDescent="0.25">
      <c r="B14" s="434"/>
      <c r="E14" s="434"/>
    </row>
    <row r="15" spans="1:5" ht="13.2" x14ac:dyDescent="0.25">
      <c r="A15" s="437">
        <v>2</v>
      </c>
      <c r="B15" s="436" t="s">
        <v>1993</v>
      </c>
      <c r="D15" s="437">
        <v>2</v>
      </c>
      <c r="E15" s="436" t="s">
        <v>1994</v>
      </c>
    </row>
    <row r="16" spans="1:5" ht="52.8" x14ac:dyDescent="0.25">
      <c r="A16" s="439">
        <v>2.1</v>
      </c>
      <c r="B16" s="434" t="s">
        <v>1995</v>
      </c>
      <c r="D16" s="439">
        <v>2.1</v>
      </c>
      <c r="E16" s="434" t="s">
        <v>1996</v>
      </c>
    </row>
    <row r="17" spans="1:6" ht="13.2" x14ac:dyDescent="0.25">
      <c r="B17" s="434"/>
      <c r="E17" s="434"/>
    </row>
    <row r="18" spans="1:6" ht="13.2" x14ac:dyDescent="0.25">
      <c r="A18" s="437">
        <v>3</v>
      </c>
      <c r="B18" s="441" t="s">
        <v>1997</v>
      </c>
      <c r="D18" s="437">
        <v>3</v>
      </c>
      <c r="E18" s="441" t="s">
        <v>1998</v>
      </c>
    </row>
    <row r="19" spans="1:6" ht="66" x14ac:dyDescent="0.25">
      <c r="A19" s="439">
        <v>3.1</v>
      </c>
      <c r="B19" s="440" t="s">
        <v>1999</v>
      </c>
      <c r="D19" s="439">
        <v>3.1</v>
      </c>
      <c r="E19" s="440" t="s">
        <v>2000</v>
      </c>
    </row>
    <row r="20" spans="1:6" ht="79.2" x14ac:dyDescent="0.25">
      <c r="A20" s="439">
        <v>3.2</v>
      </c>
      <c r="B20" s="440" t="s">
        <v>4942</v>
      </c>
      <c r="D20" s="439">
        <v>3.2</v>
      </c>
      <c r="E20" s="440" t="s">
        <v>6767</v>
      </c>
      <c r="F20" s="442"/>
    </row>
    <row r="21" spans="1:6" ht="13.2" x14ac:dyDescent="0.25">
      <c r="B21" s="434"/>
      <c r="E21" s="434"/>
    </row>
    <row r="22" spans="1:6" ht="13.2" x14ac:dyDescent="0.25">
      <c r="A22" s="437">
        <v>4</v>
      </c>
      <c r="B22" s="436" t="s">
        <v>2001</v>
      </c>
      <c r="D22" s="437">
        <v>4</v>
      </c>
      <c r="E22" s="436" t="s">
        <v>2002</v>
      </c>
    </row>
    <row r="23" spans="1:6" ht="79.2" x14ac:dyDescent="0.25">
      <c r="A23" s="439">
        <v>4.0999999999999996</v>
      </c>
      <c r="B23" s="440" t="s">
        <v>2046</v>
      </c>
      <c r="D23" s="439">
        <v>4.0999999999999996</v>
      </c>
      <c r="E23" s="440" t="s">
        <v>2003</v>
      </c>
    </row>
    <row r="24" spans="1:6" ht="13.2" x14ac:dyDescent="0.25">
      <c r="B24" s="434"/>
      <c r="E24" s="434"/>
    </row>
    <row r="25" spans="1:6" ht="13.2" x14ac:dyDescent="0.25">
      <c r="A25" s="437">
        <v>5</v>
      </c>
      <c r="B25" s="436" t="s">
        <v>2004</v>
      </c>
      <c r="D25" s="437">
        <v>5</v>
      </c>
      <c r="E25" s="436" t="s">
        <v>2005</v>
      </c>
    </row>
    <row r="26" spans="1:6" ht="39.6" x14ac:dyDescent="0.25">
      <c r="A26" s="439">
        <v>5.0999999999999996</v>
      </c>
      <c r="B26" s="440" t="s">
        <v>2006</v>
      </c>
      <c r="D26" s="439">
        <v>5.0999999999999996</v>
      </c>
      <c r="E26" s="440" t="s">
        <v>2007</v>
      </c>
    </row>
    <row r="27" spans="1:6" ht="26.4" x14ac:dyDescent="0.25">
      <c r="A27" s="439">
        <v>5.2</v>
      </c>
      <c r="B27" s="440" t="s">
        <v>2008</v>
      </c>
      <c r="D27" s="439">
        <v>5.2</v>
      </c>
      <c r="E27" s="440" t="s">
        <v>2009</v>
      </c>
    </row>
    <row r="28" spans="1:6" ht="13.2" x14ac:dyDescent="0.25">
      <c r="B28" s="434"/>
      <c r="E28" s="434"/>
    </row>
    <row r="29" spans="1:6" ht="13.2" x14ac:dyDescent="0.25">
      <c r="A29" s="443">
        <v>6</v>
      </c>
      <c r="B29" s="436" t="s">
        <v>2010</v>
      </c>
      <c r="D29" s="436">
        <v>6</v>
      </c>
      <c r="E29" s="436" t="s">
        <v>2011</v>
      </c>
    </row>
    <row r="30" spans="1:6" ht="52.8" x14ac:dyDescent="0.25">
      <c r="A30" s="439">
        <v>6.1</v>
      </c>
      <c r="B30" s="440" t="s">
        <v>2047</v>
      </c>
      <c r="D30" s="439">
        <v>6.1</v>
      </c>
      <c r="E30" s="440" t="s">
        <v>2012</v>
      </c>
    </row>
    <row r="31" spans="1:6" ht="92.4" x14ac:dyDescent="0.25">
      <c r="A31" s="439">
        <v>6.2</v>
      </c>
      <c r="B31" s="440" t="s">
        <v>2013</v>
      </c>
      <c r="D31" s="439">
        <v>6.2</v>
      </c>
      <c r="E31" s="440" t="s">
        <v>2014</v>
      </c>
    </row>
    <row r="32" spans="1:6" ht="92.4" x14ac:dyDescent="0.25">
      <c r="A32" s="442">
        <v>6.3</v>
      </c>
      <c r="B32" s="440" t="s">
        <v>2015</v>
      </c>
      <c r="D32" s="442">
        <v>6.3</v>
      </c>
      <c r="E32" s="440" t="s">
        <v>2016</v>
      </c>
    </row>
    <row r="33" spans="1:5" ht="13.2" x14ac:dyDescent="0.25">
      <c r="B33" s="434"/>
      <c r="E33" s="434"/>
    </row>
    <row r="34" spans="1:5" ht="13.2" x14ac:dyDescent="0.25">
      <c r="A34" s="437">
        <v>7</v>
      </c>
      <c r="B34" s="436" t="s">
        <v>2017</v>
      </c>
      <c r="D34" s="437">
        <v>7</v>
      </c>
      <c r="E34" s="436" t="s">
        <v>2018</v>
      </c>
    </row>
    <row r="35" spans="1:5" ht="39.6" x14ac:dyDescent="0.25">
      <c r="A35" s="439">
        <v>7.1</v>
      </c>
      <c r="B35" s="440" t="s">
        <v>2019</v>
      </c>
      <c r="D35" s="439">
        <v>7.1</v>
      </c>
      <c r="E35" s="440" t="s">
        <v>2020</v>
      </c>
    </row>
    <row r="36" spans="1:5" ht="39.6" x14ac:dyDescent="0.25">
      <c r="A36" s="439">
        <v>7.2</v>
      </c>
      <c r="B36" s="440" t="s">
        <v>2021</v>
      </c>
      <c r="D36" s="439">
        <v>7.2</v>
      </c>
      <c r="E36" s="440" t="s">
        <v>2022</v>
      </c>
    </row>
    <row r="37" spans="1:5" ht="13.2" x14ac:dyDescent="0.25">
      <c r="B37" s="434"/>
      <c r="E37" s="434"/>
    </row>
    <row r="38" spans="1:5" ht="13.2" x14ac:dyDescent="0.25">
      <c r="A38" s="437">
        <v>8</v>
      </c>
      <c r="B38" s="436" t="s">
        <v>2023</v>
      </c>
      <c r="D38" s="437">
        <v>8</v>
      </c>
      <c r="E38" s="436" t="s">
        <v>2024</v>
      </c>
    </row>
    <row r="39" spans="1:5" ht="52.8" x14ac:dyDescent="0.25">
      <c r="A39" s="439">
        <v>8.1</v>
      </c>
      <c r="B39" s="440" t="s">
        <v>2048</v>
      </c>
      <c r="D39" s="439">
        <v>8.1</v>
      </c>
      <c r="E39" s="440" t="s">
        <v>2025</v>
      </c>
    </row>
    <row r="40" spans="1:5" ht="13.2" x14ac:dyDescent="0.25">
      <c r="A40" s="439">
        <v>8.1999999999999993</v>
      </c>
      <c r="B40" s="440" t="s">
        <v>2026</v>
      </c>
      <c r="D40" s="439">
        <v>8.1999999999999993</v>
      </c>
      <c r="E40" s="440" t="s">
        <v>2027</v>
      </c>
    </row>
    <row r="41" spans="1:5" ht="52.8" x14ac:dyDescent="0.25">
      <c r="B41" s="444" t="s">
        <v>2050</v>
      </c>
      <c r="E41" s="444" t="s">
        <v>2028</v>
      </c>
    </row>
    <row r="42" spans="1:5" ht="52.8" x14ac:dyDescent="0.25">
      <c r="B42" s="440" t="s">
        <v>2049</v>
      </c>
      <c r="E42" s="440" t="s">
        <v>2029</v>
      </c>
    </row>
    <row r="43" spans="1:5" ht="13.2" x14ac:dyDescent="0.25">
      <c r="B43" s="434"/>
      <c r="E43" s="434"/>
    </row>
    <row r="44" spans="1:5" ht="13.2" x14ac:dyDescent="0.25">
      <c r="A44" s="437">
        <v>9</v>
      </c>
      <c r="B44" s="436" t="s">
        <v>2030</v>
      </c>
      <c r="D44" s="437">
        <v>9</v>
      </c>
      <c r="E44" s="436" t="s">
        <v>2031</v>
      </c>
    </row>
    <row r="45" spans="1:5" ht="26.4" x14ac:dyDescent="0.25">
      <c r="A45" s="439">
        <v>9.1</v>
      </c>
      <c r="B45" s="440" t="s">
        <v>2032</v>
      </c>
      <c r="D45" s="439">
        <v>9.1</v>
      </c>
      <c r="E45" s="440" t="s">
        <v>2033</v>
      </c>
    </row>
    <row r="46" spans="1:5" ht="13.2" x14ac:dyDescent="0.25">
      <c r="B46" s="434"/>
      <c r="E46" s="434"/>
    </row>
    <row r="47" spans="1:5" ht="13.2" x14ac:dyDescent="0.25">
      <c r="A47" s="439">
        <v>10</v>
      </c>
      <c r="B47" s="436" t="s">
        <v>2034</v>
      </c>
      <c r="D47" s="439">
        <v>10</v>
      </c>
      <c r="E47" s="436" t="s">
        <v>2035</v>
      </c>
    </row>
    <row r="48" spans="1:5" ht="39.6" x14ac:dyDescent="0.25">
      <c r="A48" s="439">
        <v>10.1</v>
      </c>
      <c r="B48" s="440" t="s">
        <v>2036</v>
      </c>
      <c r="D48" s="439">
        <v>10.1</v>
      </c>
      <c r="E48" s="440" t="s">
        <v>2037</v>
      </c>
    </row>
    <row r="49" spans="2:5" ht="13.2" x14ac:dyDescent="0.25">
      <c r="B49" s="438"/>
      <c r="E49" s="438"/>
    </row>
    <row r="50" spans="2:5" ht="13.2" x14ac:dyDescent="0.25">
      <c r="B50" s="438" t="s">
        <v>2038</v>
      </c>
      <c r="E50" s="438" t="s">
        <v>2039</v>
      </c>
    </row>
    <row r="51" spans="2:5" ht="13.2" x14ac:dyDescent="0.25">
      <c r="B51" s="445" t="s">
        <v>2040</v>
      </c>
      <c r="E51" s="445" t="s">
        <v>2041</v>
      </c>
    </row>
    <row r="52" spans="2:5" ht="13.2" x14ac:dyDescent="0.25">
      <c r="B52" s="445" t="s">
        <v>2042</v>
      </c>
      <c r="E52" s="445" t="s">
        <v>2042</v>
      </c>
    </row>
    <row r="53" spans="2:5" ht="13.2" x14ac:dyDescent="0.25">
      <c r="B53" s="434"/>
    </row>
    <row r="54" spans="2:5" ht="13.2" x14ac:dyDescent="0.25">
      <c r="B54" s="434"/>
    </row>
    <row r="55" spans="2:5" ht="13.2" x14ac:dyDescent="0.25">
      <c r="B55" s="434"/>
    </row>
    <row r="56" spans="2:5" ht="13.2" x14ac:dyDescent="0.25">
      <c r="B56" s="431" t="s">
        <v>4901</v>
      </c>
    </row>
    <row r="57" spans="2:5" ht="13.2" x14ac:dyDescent="0.25">
      <c r="B57" s="431" t="s">
        <v>4900</v>
      </c>
    </row>
    <row r="58" spans="2:5" ht="13.2" x14ac:dyDescent="0.25">
      <c r="B58" s="434"/>
    </row>
    <row r="59" spans="2:5" ht="13.2" x14ac:dyDescent="0.25">
      <c r="B59" s="434"/>
    </row>
    <row r="60" spans="2:5" ht="13.2" x14ac:dyDescent="0.25">
      <c r="B60" s="434"/>
    </row>
    <row r="61" spans="2:5" ht="13.2" x14ac:dyDescent="0.25">
      <c r="B61" s="434"/>
    </row>
    <row r="62" spans="2:5" ht="13.2" x14ac:dyDescent="0.25">
      <c r="B62" s="434"/>
    </row>
    <row r="63" spans="2:5" ht="13.2" x14ac:dyDescent="0.25">
      <c r="B63" s="434"/>
    </row>
    <row r="64" spans="2:5" ht="13.2" x14ac:dyDescent="0.25">
      <c r="B64" s="434"/>
    </row>
    <row r="65" spans="2:2" ht="13.2" x14ac:dyDescent="0.25">
      <c r="B65" s="434"/>
    </row>
    <row r="66" spans="2:2" ht="13.2" x14ac:dyDescent="0.25">
      <c r="B66" s="434"/>
    </row>
    <row r="67" spans="2:2" ht="13.2" x14ac:dyDescent="0.25">
      <c r="B67" s="434"/>
    </row>
    <row r="68" spans="2:2" ht="13.2" x14ac:dyDescent="0.25">
      <c r="B68" s="434"/>
    </row>
    <row r="69" spans="2:2" ht="13.2" x14ac:dyDescent="0.25">
      <c r="B69" s="434"/>
    </row>
    <row r="70" spans="2:2" ht="13.2" x14ac:dyDescent="0.25">
      <c r="B70" s="434"/>
    </row>
    <row r="71" spans="2:2" ht="13.2" x14ac:dyDescent="0.25">
      <c r="B71" s="434"/>
    </row>
    <row r="72" spans="2:2" ht="13.2" x14ac:dyDescent="0.25">
      <c r="B72" s="434"/>
    </row>
    <row r="73" spans="2:2" ht="13.2" x14ac:dyDescent="0.25">
      <c r="B73" s="434"/>
    </row>
    <row r="74" spans="2:2" ht="13.2" x14ac:dyDescent="0.25">
      <c r="B74" s="434"/>
    </row>
    <row r="75" spans="2:2" ht="13.2" x14ac:dyDescent="0.25">
      <c r="B75" s="434"/>
    </row>
    <row r="76" spans="2:2" ht="13.2" x14ac:dyDescent="0.25">
      <c r="B76" s="434"/>
    </row>
    <row r="77" spans="2:2" ht="13.2" x14ac:dyDescent="0.25">
      <c r="B77" s="434"/>
    </row>
    <row r="78" spans="2:2" ht="13.2" x14ac:dyDescent="0.25">
      <c r="B78" s="434"/>
    </row>
    <row r="79" spans="2:2" ht="13.2" x14ac:dyDescent="0.25">
      <c r="B79" s="434"/>
    </row>
    <row r="80" spans="2:2" ht="13.2" x14ac:dyDescent="0.25">
      <c r="B80" s="434"/>
    </row>
    <row r="81" spans="2:2" ht="13.2" x14ac:dyDescent="0.25">
      <c r="B81" s="434"/>
    </row>
    <row r="82" spans="2:2" ht="13.2" x14ac:dyDescent="0.25">
      <c r="B82" s="434"/>
    </row>
    <row r="83" spans="2:2" ht="13.2" x14ac:dyDescent="0.25">
      <c r="B83" s="434"/>
    </row>
    <row r="84" spans="2:2" ht="13.2" x14ac:dyDescent="0.25">
      <c r="B84" s="434"/>
    </row>
    <row r="85" spans="2:2" ht="13.2" x14ac:dyDescent="0.25">
      <c r="B85" s="434"/>
    </row>
    <row r="86" spans="2:2" ht="13.2" x14ac:dyDescent="0.25">
      <c r="B86" s="434"/>
    </row>
    <row r="87" spans="2:2" ht="13.2" x14ac:dyDescent="0.25">
      <c r="B87" s="434"/>
    </row>
    <row r="88" spans="2:2" ht="13.2" x14ac:dyDescent="0.25">
      <c r="B88" s="434"/>
    </row>
    <row r="89" spans="2:2" ht="13.2" x14ac:dyDescent="0.25">
      <c r="B89" s="434"/>
    </row>
    <row r="90" spans="2:2" ht="13.2" x14ac:dyDescent="0.25">
      <c r="B90" s="434"/>
    </row>
    <row r="91" spans="2:2" ht="13.2" x14ac:dyDescent="0.25">
      <c r="B91" s="434"/>
    </row>
    <row r="92" spans="2:2" ht="13.2" x14ac:dyDescent="0.25">
      <c r="B92" s="434"/>
    </row>
    <row r="93" spans="2:2" ht="13.2" x14ac:dyDescent="0.25">
      <c r="B93" s="434"/>
    </row>
    <row r="94" spans="2:2" ht="13.2" x14ac:dyDescent="0.25">
      <c r="B94" s="434"/>
    </row>
    <row r="95" spans="2:2" ht="13.2" x14ac:dyDescent="0.25">
      <c r="B95" s="434"/>
    </row>
    <row r="96" spans="2:2" ht="13.2" x14ac:dyDescent="0.25">
      <c r="B96" s="434"/>
    </row>
    <row r="97" spans="2:2" ht="13.2" x14ac:dyDescent="0.25">
      <c r="B97" s="434"/>
    </row>
    <row r="98" spans="2:2" ht="13.2" x14ac:dyDescent="0.25">
      <c r="B98" s="434"/>
    </row>
    <row r="99" spans="2:2" ht="13.2" x14ac:dyDescent="0.25">
      <c r="B99" s="434"/>
    </row>
    <row r="100" spans="2:2" ht="13.2" x14ac:dyDescent="0.25">
      <c r="B100" s="434"/>
    </row>
    <row r="101" spans="2:2" ht="13.2" x14ac:dyDescent="0.25">
      <c r="B101" s="434"/>
    </row>
    <row r="102" spans="2:2" ht="13.2" x14ac:dyDescent="0.25">
      <c r="B102" s="434"/>
    </row>
    <row r="103" spans="2:2" ht="13.2" x14ac:dyDescent="0.25">
      <c r="B103" s="434"/>
    </row>
    <row r="104" spans="2:2" ht="13.2" x14ac:dyDescent="0.25">
      <c r="B104" s="434"/>
    </row>
    <row r="105" spans="2:2" ht="13.2" x14ac:dyDescent="0.25">
      <c r="B105" s="434"/>
    </row>
    <row r="106" spans="2:2" ht="13.2" x14ac:dyDescent="0.25">
      <c r="B106" s="434"/>
    </row>
    <row r="107" spans="2:2" ht="13.2" x14ac:dyDescent="0.25">
      <c r="B107" s="434"/>
    </row>
    <row r="108" spans="2:2" ht="13.2" x14ac:dyDescent="0.25">
      <c r="B108" s="434"/>
    </row>
    <row r="109" spans="2:2" ht="13.2" x14ac:dyDescent="0.25">
      <c r="B109" s="434"/>
    </row>
    <row r="110" spans="2:2" ht="13.2" x14ac:dyDescent="0.25">
      <c r="B110" s="434"/>
    </row>
    <row r="111" spans="2:2" ht="13.2" x14ac:dyDescent="0.25">
      <c r="B111" s="434"/>
    </row>
    <row r="112" spans="2:2" ht="13.2" x14ac:dyDescent="0.25">
      <c r="B112" s="434"/>
    </row>
    <row r="113" spans="2:2" ht="13.2" x14ac:dyDescent="0.25">
      <c r="B113" s="434"/>
    </row>
    <row r="114" spans="2:2" ht="13.2" x14ac:dyDescent="0.25">
      <c r="B114" s="434"/>
    </row>
    <row r="115" spans="2:2" ht="13.2" x14ac:dyDescent="0.25">
      <c r="B115" s="434"/>
    </row>
    <row r="116" spans="2:2" ht="13.2" x14ac:dyDescent="0.25">
      <c r="B116" s="434"/>
    </row>
    <row r="117" spans="2:2" ht="13.2" x14ac:dyDescent="0.25">
      <c r="B117" s="434"/>
    </row>
    <row r="118" spans="2:2" ht="13.2" x14ac:dyDescent="0.25">
      <c r="B118" s="434"/>
    </row>
    <row r="119" spans="2:2" ht="13.2" x14ac:dyDescent="0.25">
      <c r="B119" s="434"/>
    </row>
    <row r="120" spans="2:2" ht="13.2" x14ac:dyDescent="0.25">
      <c r="B120" s="434"/>
    </row>
    <row r="121" spans="2:2" ht="13.2" x14ac:dyDescent="0.25">
      <c r="B121" s="434"/>
    </row>
    <row r="122" spans="2:2" ht="13.2" x14ac:dyDescent="0.25">
      <c r="B122" s="434"/>
    </row>
    <row r="123" spans="2:2" ht="13.2" x14ac:dyDescent="0.25">
      <c r="B123" s="434"/>
    </row>
    <row r="124" spans="2:2" ht="13.2" x14ac:dyDescent="0.25">
      <c r="B124" s="434"/>
    </row>
    <row r="125" spans="2:2" ht="13.2" x14ac:dyDescent="0.25">
      <c r="B125" s="434"/>
    </row>
    <row r="126" spans="2:2" ht="13.2" x14ac:dyDescent="0.25">
      <c r="B126" s="434"/>
    </row>
    <row r="127" spans="2:2" ht="13.2" x14ac:dyDescent="0.25">
      <c r="B127" s="434"/>
    </row>
    <row r="128" spans="2:2" ht="13.2" x14ac:dyDescent="0.25">
      <c r="B128" s="434"/>
    </row>
    <row r="129" spans="2:2" ht="13.2" x14ac:dyDescent="0.25">
      <c r="B129" s="434"/>
    </row>
    <row r="130" spans="2:2" ht="13.2" x14ac:dyDescent="0.25">
      <c r="B130" s="434"/>
    </row>
    <row r="131" spans="2:2" ht="13.2" x14ac:dyDescent="0.25">
      <c r="B131" s="434"/>
    </row>
    <row r="132" spans="2:2" ht="13.2" x14ac:dyDescent="0.25">
      <c r="B132" s="434"/>
    </row>
    <row r="133" spans="2:2" ht="13.2" x14ac:dyDescent="0.25">
      <c r="B133" s="434"/>
    </row>
    <row r="134" spans="2:2" ht="13.2" x14ac:dyDescent="0.25">
      <c r="B134" s="434"/>
    </row>
    <row r="135" spans="2:2" ht="13.2" x14ac:dyDescent="0.25">
      <c r="B135" s="434"/>
    </row>
    <row r="136" spans="2:2" ht="13.2" x14ac:dyDescent="0.25">
      <c r="B136" s="434"/>
    </row>
    <row r="137" spans="2:2" ht="13.2" x14ac:dyDescent="0.25">
      <c r="B137" s="434"/>
    </row>
    <row r="138" spans="2:2" ht="13.2" x14ac:dyDescent="0.25">
      <c r="B138" s="434"/>
    </row>
    <row r="139" spans="2:2" ht="13.2" x14ac:dyDescent="0.25">
      <c r="B139" s="434"/>
    </row>
    <row r="140" spans="2:2" ht="13.2" x14ac:dyDescent="0.25">
      <c r="B140" s="434"/>
    </row>
    <row r="141" spans="2:2" ht="13.2" x14ac:dyDescent="0.25">
      <c r="B141" s="434"/>
    </row>
    <row r="142" spans="2:2" ht="13.2" x14ac:dyDescent="0.25">
      <c r="B142" s="434"/>
    </row>
    <row r="143" spans="2:2" ht="13.2" x14ac:dyDescent="0.25">
      <c r="B143" s="434"/>
    </row>
    <row r="144" spans="2:2" ht="13.2" x14ac:dyDescent="0.25">
      <c r="B144" s="434"/>
    </row>
    <row r="145" spans="2:2" ht="13.2" x14ac:dyDescent="0.25">
      <c r="B145" s="434"/>
    </row>
    <row r="146" spans="2:2" ht="13.2" x14ac:dyDescent="0.25">
      <c r="B146" s="434"/>
    </row>
    <row r="147" spans="2:2" ht="13.2" x14ac:dyDescent="0.25">
      <c r="B147" s="434"/>
    </row>
    <row r="148" spans="2:2" ht="13.2" x14ac:dyDescent="0.25">
      <c r="B148" s="434"/>
    </row>
    <row r="149" spans="2:2" ht="13.2" x14ac:dyDescent="0.25">
      <c r="B149" s="434"/>
    </row>
    <row r="150" spans="2:2" ht="13.2" x14ac:dyDescent="0.25">
      <c r="B150" s="434"/>
    </row>
    <row r="151" spans="2:2" ht="13.2" x14ac:dyDescent="0.25">
      <c r="B151" s="434"/>
    </row>
    <row r="152" spans="2:2" ht="13.2" x14ac:dyDescent="0.25">
      <c r="B152" s="434"/>
    </row>
    <row r="153" spans="2:2" ht="13.2" x14ac:dyDescent="0.25">
      <c r="B153" s="434"/>
    </row>
    <row r="154" spans="2:2" ht="13.2" x14ac:dyDescent="0.25">
      <c r="B154" s="434"/>
    </row>
    <row r="155" spans="2:2" ht="13.2" x14ac:dyDescent="0.25">
      <c r="B155" s="434"/>
    </row>
    <row r="156" spans="2:2" ht="13.2" x14ac:dyDescent="0.25">
      <c r="B156" s="434"/>
    </row>
    <row r="157" spans="2:2" ht="13.2" x14ac:dyDescent="0.25">
      <c r="B157" s="434"/>
    </row>
    <row r="158" spans="2:2" ht="13.2" x14ac:dyDescent="0.25">
      <c r="B158" s="434"/>
    </row>
    <row r="159" spans="2:2" ht="13.2" x14ac:dyDescent="0.25">
      <c r="B159" s="434"/>
    </row>
    <row r="160" spans="2:2" ht="13.2" x14ac:dyDescent="0.25">
      <c r="B160" s="434"/>
    </row>
    <row r="161" spans="2:2" ht="13.2" x14ac:dyDescent="0.25">
      <c r="B161" s="434"/>
    </row>
    <row r="162" spans="2:2" ht="13.2" x14ac:dyDescent="0.25">
      <c r="B162" s="434"/>
    </row>
    <row r="163" spans="2:2" ht="13.2" x14ac:dyDescent="0.25">
      <c r="B163" s="434"/>
    </row>
    <row r="164" spans="2:2" ht="13.2" x14ac:dyDescent="0.25">
      <c r="B164" s="434"/>
    </row>
    <row r="165" spans="2:2" ht="13.2" x14ac:dyDescent="0.25">
      <c r="B165" s="434"/>
    </row>
    <row r="166" spans="2:2" ht="13.2" x14ac:dyDescent="0.25">
      <c r="B166" s="434"/>
    </row>
    <row r="167" spans="2:2" ht="13.2" x14ac:dyDescent="0.25">
      <c r="B167" s="434"/>
    </row>
    <row r="168" spans="2:2" ht="13.2" x14ac:dyDescent="0.25">
      <c r="B168" s="434"/>
    </row>
    <row r="169" spans="2:2" ht="13.2" x14ac:dyDescent="0.25">
      <c r="B169" s="434"/>
    </row>
    <row r="170" spans="2:2" ht="13.2" x14ac:dyDescent="0.25">
      <c r="B170" s="434"/>
    </row>
    <row r="171" spans="2:2" ht="13.2" x14ac:dyDescent="0.25">
      <c r="B171" s="434"/>
    </row>
    <row r="172" spans="2:2" ht="13.2" x14ac:dyDescent="0.25">
      <c r="B172" s="434"/>
    </row>
    <row r="173" spans="2:2" ht="13.2" x14ac:dyDescent="0.25">
      <c r="B173" s="434"/>
    </row>
    <row r="174" spans="2:2" ht="13.2" x14ac:dyDescent="0.25">
      <c r="B174" s="434"/>
    </row>
    <row r="175" spans="2:2" ht="13.2" x14ac:dyDescent="0.25">
      <c r="B175" s="434"/>
    </row>
    <row r="176" spans="2:2" ht="13.2" x14ac:dyDescent="0.25">
      <c r="B176" s="434"/>
    </row>
    <row r="177" spans="2:2" ht="13.2" x14ac:dyDescent="0.25">
      <c r="B177" s="434"/>
    </row>
    <row r="178" spans="2:2" ht="13.2" x14ac:dyDescent="0.25">
      <c r="B178" s="434"/>
    </row>
    <row r="179" spans="2:2" ht="13.2" x14ac:dyDescent="0.25">
      <c r="B179" s="434"/>
    </row>
    <row r="180" spans="2:2" ht="13.2" x14ac:dyDescent="0.25">
      <c r="B180" s="434"/>
    </row>
    <row r="181" spans="2:2" ht="13.2" x14ac:dyDescent="0.25">
      <c r="B181" s="434"/>
    </row>
    <row r="182" spans="2:2" ht="13.2" x14ac:dyDescent="0.25">
      <c r="B182" s="434"/>
    </row>
    <row r="183" spans="2:2" ht="13.2" x14ac:dyDescent="0.25">
      <c r="B183" s="434"/>
    </row>
    <row r="184" spans="2:2" ht="13.2" x14ac:dyDescent="0.25">
      <c r="B184" s="434"/>
    </row>
    <row r="185" spans="2:2" ht="13.2" x14ac:dyDescent="0.25">
      <c r="B185" s="434"/>
    </row>
    <row r="186" spans="2:2" ht="13.2" x14ac:dyDescent="0.25">
      <c r="B186" s="434"/>
    </row>
    <row r="187" spans="2:2" ht="13.2" x14ac:dyDescent="0.25">
      <c r="B187" s="434"/>
    </row>
    <row r="188" spans="2:2" ht="13.2" x14ac:dyDescent="0.25">
      <c r="B188" s="434"/>
    </row>
    <row r="189" spans="2:2" ht="13.2" x14ac:dyDescent="0.25">
      <c r="B189" s="434"/>
    </row>
    <row r="190" spans="2:2" ht="13.2" x14ac:dyDescent="0.25">
      <c r="B190" s="434"/>
    </row>
    <row r="191" spans="2:2" ht="13.2" x14ac:dyDescent="0.25">
      <c r="B191" s="434"/>
    </row>
    <row r="192" spans="2:2" ht="13.2" x14ac:dyDescent="0.25">
      <c r="B192" s="434"/>
    </row>
    <row r="193" spans="2:2" ht="13.2" x14ac:dyDescent="0.25">
      <c r="B193" s="434"/>
    </row>
    <row r="194" spans="2:2" ht="13.2" x14ac:dyDescent="0.25">
      <c r="B194" s="434"/>
    </row>
    <row r="195" spans="2:2" ht="13.2" x14ac:dyDescent="0.25">
      <c r="B195" s="434"/>
    </row>
    <row r="196" spans="2:2" ht="13.2" x14ac:dyDescent="0.25">
      <c r="B196" s="434"/>
    </row>
    <row r="197" spans="2:2" ht="13.2" x14ac:dyDescent="0.25">
      <c r="B197" s="434"/>
    </row>
    <row r="198" spans="2:2" ht="13.2" x14ac:dyDescent="0.25">
      <c r="B198" s="434"/>
    </row>
    <row r="199" spans="2:2" ht="13.2" x14ac:dyDescent="0.25">
      <c r="B199" s="434"/>
    </row>
    <row r="200" spans="2:2" ht="13.2" x14ac:dyDescent="0.25">
      <c r="B200" s="434"/>
    </row>
    <row r="201" spans="2:2" ht="13.2" x14ac:dyDescent="0.25">
      <c r="B201" s="434"/>
    </row>
    <row r="202" spans="2:2" ht="13.2" x14ac:dyDescent="0.25">
      <c r="B202" s="434"/>
    </row>
    <row r="203" spans="2:2" ht="13.2" x14ac:dyDescent="0.25">
      <c r="B203" s="434"/>
    </row>
    <row r="204" spans="2:2" ht="13.2" x14ac:dyDescent="0.25">
      <c r="B204" s="434"/>
    </row>
    <row r="205" spans="2:2" ht="13.2" x14ac:dyDescent="0.25">
      <c r="B205" s="434"/>
    </row>
    <row r="206" spans="2:2" ht="13.2" x14ac:dyDescent="0.25">
      <c r="B206" s="434"/>
    </row>
    <row r="207" spans="2:2" ht="13.2" x14ac:dyDescent="0.25">
      <c r="B207" s="434"/>
    </row>
    <row r="208" spans="2:2" ht="13.2" x14ac:dyDescent="0.25">
      <c r="B208" s="434"/>
    </row>
    <row r="209" spans="2:2" ht="13.2" x14ac:dyDescent="0.25">
      <c r="B209" s="434"/>
    </row>
    <row r="210" spans="2:2" ht="13.2" x14ac:dyDescent="0.25">
      <c r="B210" s="434"/>
    </row>
    <row r="211" spans="2:2" ht="13.2" x14ac:dyDescent="0.25">
      <c r="B211" s="434"/>
    </row>
    <row r="212" spans="2:2" ht="13.2" x14ac:dyDescent="0.25">
      <c r="B212" s="434"/>
    </row>
    <row r="213" spans="2:2" ht="13.2" x14ac:dyDescent="0.25">
      <c r="B213" s="434"/>
    </row>
    <row r="214" spans="2:2" ht="13.2" x14ac:dyDescent="0.25">
      <c r="B214" s="434"/>
    </row>
    <row r="215" spans="2:2" ht="13.2" x14ac:dyDescent="0.25">
      <c r="B215" s="434"/>
    </row>
    <row r="216" spans="2:2" ht="13.2" x14ac:dyDescent="0.25">
      <c r="B216" s="434"/>
    </row>
    <row r="217" spans="2:2" ht="13.2" x14ac:dyDescent="0.25">
      <c r="B217" s="434"/>
    </row>
    <row r="218" spans="2:2" ht="13.2" x14ac:dyDescent="0.25">
      <c r="B218" s="434"/>
    </row>
    <row r="219" spans="2:2" ht="13.2" x14ac:dyDescent="0.25">
      <c r="B219" s="434"/>
    </row>
    <row r="220" spans="2:2" ht="13.2" x14ac:dyDescent="0.25">
      <c r="B220" s="434"/>
    </row>
    <row r="221" spans="2:2" ht="13.2" x14ac:dyDescent="0.25">
      <c r="B221" s="434"/>
    </row>
    <row r="222" spans="2:2" ht="13.2" x14ac:dyDescent="0.25">
      <c r="B222" s="434"/>
    </row>
    <row r="223" spans="2:2" ht="13.2" x14ac:dyDescent="0.25">
      <c r="B223" s="434"/>
    </row>
    <row r="224" spans="2:2" ht="13.2" x14ac:dyDescent="0.25">
      <c r="B224" s="434"/>
    </row>
    <row r="225" spans="2:2" ht="13.2" x14ac:dyDescent="0.25">
      <c r="B225" s="434"/>
    </row>
    <row r="226" spans="2:2" ht="13.2" x14ac:dyDescent="0.25">
      <c r="B226" s="434"/>
    </row>
    <row r="227" spans="2:2" ht="13.2" x14ac:dyDescent="0.25">
      <c r="B227" s="434"/>
    </row>
    <row r="228" spans="2:2" ht="13.2" x14ac:dyDescent="0.25">
      <c r="B228" s="434"/>
    </row>
    <row r="229" spans="2:2" ht="13.2" x14ac:dyDescent="0.25">
      <c r="B229" s="434"/>
    </row>
    <row r="230" spans="2:2" ht="13.2" x14ac:dyDescent="0.25">
      <c r="B230" s="434"/>
    </row>
    <row r="231" spans="2:2" ht="13.2" x14ac:dyDescent="0.25">
      <c r="B231" s="434"/>
    </row>
    <row r="232" spans="2:2" ht="13.2" x14ac:dyDescent="0.25">
      <c r="B232" s="434"/>
    </row>
    <row r="233" spans="2:2" ht="13.2" x14ac:dyDescent="0.25">
      <c r="B233" s="434"/>
    </row>
    <row r="234" spans="2:2" ht="13.2" x14ac:dyDescent="0.25">
      <c r="B234" s="434"/>
    </row>
    <row r="235" spans="2:2" ht="13.2" x14ac:dyDescent="0.25">
      <c r="B235" s="434"/>
    </row>
    <row r="236" spans="2:2" ht="13.2" x14ac:dyDescent="0.25">
      <c r="B236" s="434"/>
    </row>
    <row r="237" spans="2:2" ht="13.2" x14ac:dyDescent="0.25">
      <c r="B237" s="434"/>
    </row>
    <row r="238" spans="2:2" ht="13.2" x14ac:dyDescent="0.25">
      <c r="B238" s="434"/>
    </row>
    <row r="239" spans="2:2" ht="13.2" x14ac:dyDescent="0.25">
      <c r="B239" s="434"/>
    </row>
    <row r="240" spans="2:2" ht="13.2" x14ac:dyDescent="0.25">
      <c r="B240" s="434"/>
    </row>
    <row r="241" spans="2:2" ht="13.2" x14ac:dyDescent="0.25">
      <c r="B241" s="434"/>
    </row>
    <row r="242" spans="2:2" ht="13.2" x14ac:dyDescent="0.25">
      <c r="B242" s="434"/>
    </row>
    <row r="243" spans="2:2" ht="13.2" x14ac:dyDescent="0.25">
      <c r="B243" s="434"/>
    </row>
    <row r="244" spans="2:2" ht="13.2" x14ac:dyDescent="0.25">
      <c r="B244" s="434"/>
    </row>
    <row r="245" spans="2:2" ht="13.2" x14ac:dyDescent="0.25">
      <c r="B245" s="434"/>
    </row>
    <row r="246" spans="2:2" ht="13.2" x14ac:dyDescent="0.25">
      <c r="B246" s="434"/>
    </row>
    <row r="247" spans="2:2" ht="13.2" x14ac:dyDescent="0.25">
      <c r="B247" s="434"/>
    </row>
    <row r="248" spans="2:2" ht="13.2" x14ac:dyDescent="0.25">
      <c r="B248" s="434"/>
    </row>
    <row r="249" spans="2:2" ht="13.2" x14ac:dyDescent="0.25">
      <c r="B249" s="434"/>
    </row>
    <row r="250" spans="2:2" ht="13.2" x14ac:dyDescent="0.25">
      <c r="B250" s="434"/>
    </row>
    <row r="251" spans="2:2" ht="13.2" x14ac:dyDescent="0.25">
      <c r="B251" s="434"/>
    </row>
    <row r="252" spans="2:2" ht="13.2" x14ac:dyDescent="0.25">
      <c r="B252" s="434"/>
    </row>
    <row r="253" spans="2:2" ht="13.2" x14ac:dyDescent="0.25">
      <c r="B253" s="434"/>
    </row>
    <row r="254" spans="2:2" ht="13.2" x14ac:dyDescent="0.25">
      <c r="B254" s="434"/>
    </row>
    <row r="255" spans="2:2" ht="13.2" x14ac:dyDescent="0.25">
      <c r="B255" s="434"/>
    </row>
    <row r="256" spans="2:2" ht="13.2" x14ac:dyDescent="0.25">
      <c r="B256" s="434"/>
    </row>
    <row r="257" spans="2:2" ht="13.2" x14ac:dyDescent="0.25">
      <c r="B257" s="434"/>
    </row>
    <row r="258" spans="2:2" ht="13.2" x14ac:dyDescent="0.25">
      <c r="B258" s="434"/>
    </row>
    <row r="259" spans="2:2" ht="13.2" x14ac:dyDescent="0.25">
      <c r="B259" s="434"/>
    </row>
    <row r="260" spans="2:2" ht="13.2" x14ac:dyDescent="0.25">
      <c r="B260" s="434"/>
    </row>
    <row r="261" spans="2:2" ht="13.2" x14ac:dyDescent="0.25">
      <c r="B261" s="434"/>
    </row>
    <row r="262" spans="2:2" ht="13.2" x14ac:dyDescent="0.25">
      <c r="B262" s="434"/>
    </row>
    <row r="263" spans="2:2" ht="13.2" x14ac:dyDescent="0.25">
      <c r="B263" s="434"/>
    </row>
    <row r="264" spans="2:2" ht="13.2" x14ac:dyDescent="0.25">
      <c r="B264" s="434"/>
    </row>
    <row r="265" spans="2:2" ht="13.2" x14ac:dyDescent="0.25">
      <c r="B265" s="434"/>
    </row>
    <row r="266" spans="2:2" ht="13.2" x14ac:dyDescent="0.25">
      <c r="B266" s="434"/>
    </row>
    <row r="267" spans="2:2" ht="13.2" x14ac:dyDescent="0.25">
      <c r="B267" s="434"/>
    </row>
    <row r="268" spans="2:2" ht="13.2" x14ac:dyDescent="0.25">
      <c r="B268" s="434"/>
    </row>
    <row r="269" spans="2:2" ht="13.2" x14ac:dyDescent="0.25">
      <c r="B269" s="434"/>
    </row>
    <row r="270" spans="2:2" ht="13.2" x14ac:dyDescent="0.25">
      <c r="B270" s="434"/>
    </row>
    <row r="271" spans="2:2" ht="13.2" x14ac:dyDescent="0.25">
      <c r="B271" s="434"/>
    </row>
    <row r="272" spans="2:2" ht="13.2" x14ac:dyDescent="0.25">
      <c r="B272" s="434"/>
    </row>
    <row r="273" spans="2:2" ht="13.2" x14ac:dyDescent="0.25">
      <c r="B273" s="434"/>
    </row>
    <row r="274" spans="2:2" ht="13.2" x14ac:dyDescent="0.25">
      <c r="B274" s="434"/>
    </row>
    <row r="275" spans="2:2" ht="13.2" x14ac:dyDescent="0.25">
      <c r="B275" s="434"/>
    </row>
    <row r="276" spans="2:2" ht="13.2" x14ac:dyDescent="0.25">
      <c r="B276" s="434"/>
    </row>
    <row r="277" spans="2:2" ht="13.2" x14ac:dyDescent="0.25">
      <c r="B277" s="434"/>
    </row>
    <row r="278" spans="2:2" ht="13.2" x14ac:dyDescent="0.25">
      <c r="B278" s="434"/>
    </row>
    <row r="279" spans="2:2" ht="13.2" x14ac:dyDescent="0.25">
      <c r="B279" s="434"/>
    </row>
    <row r="280" spans="2:2" ht="13.2" x14ac:dyDescent="0.25">
      <c r="B280" s="434"/>
    </row>
    <row r="281" spans="2:2" ht="13.2" x14ac:dyDescent="0.25">
      <c r="B281" s="434"/>
    </row>
    <row r="282" spans="2:2" ht="13.2" x14ac:dyDescent="0.25">
      <c r="B282" s="434"/>
    </row>
    <row r="283" spans="2:2" ht="13.2" x14ac:dyDescent="0.25">
      <c r="B283" s="434"/>
    </row>
    <row r="284" spans="2:2" ht="13.2" x14ac:dyDescent="0.25">
      <c r="B284" s="434"/>
    </row>
    <row r="285" spans="2:2" ht="13.2" x14ac:dyDescent="0.25">
      <c r="B285" s="434"/>
    </row>
    <row r="286" spans="2:2" ht="13.2" x14ac:dyDescent="0.25">
      <c r="B286" s="434"/>
    </row>
    <row r="287" spans="2:2" ht="13.2" x14ac:dyDescent="0.25">
      <c r="B287" s="434"/>
    </row>
    <row r="288" spans="2:2" ht="13.2" x14ac:dyDescent="0.25">
      <c r="B288" s="434"/>
    </row>
    <row r="289" spans="2:2" ht="13.2" x14ac:dyDescent="0.25">
      <c r="B289" s="434"/>
    </row>
    <row r="290" spans="2:2" ht="13.2" x14ac:dyDescent="0.25">
      <c r="B290" s="434"/>
    </row>
    <row r="291" spans="2:2" ht="13.2" x14ac:dyDescent="0.25">
      <c r="B291" s="434"/>
    </row>
    <row r="292" spans="2:2" ht="13.2" x14ac:dyDescent="0.25">
      <c r="B292" s="434"/>
    </row>
    <row r="293" spans="2:2" ht="13.2" x14ac:dyDescent="0.25">
      <c r="B293" s="434"/>
    </row>
    <row r="294" spans="2:2" ht="13.2" x14ac:dyDescent="0.25">
      <c r="B294" s="434"/>
    </row>
    <row r="295" spans="2:2" ht="13.2" x14ac:dyDescent="0.25">
      <c r="B295" s="434"/>
    </row>
    <row r="296" spans="2:2" ht="13.2" x14ac:dyDescent="0.25">
      <c r="B296" s="434"/>
    </row>
    <row r="297" spans="2:2" ht="13.2" x14ac:dyDescent="0.25">
      <c r="B297" s="434"/>
    </row>
    <row r="298" spans="2:2" ht="13.2" x14ac:dyDescent="0.25">
      <c r="B298" s="434"/>
    </row>
    <row r="299" spans="2:2" ht="13.2" x14ac:dyDescent="0.25">
      <c r="B299" s="434"/>
    </row>
    <row r="300" spans="2:2" ht="13.2" x14ac:dyDescent="0.25">
      <c r="B300" s="434"/>
    </row>
    <row r="301" spans="2:2" ht="13.2" x14ac:dyDescent="0.25">
      <c r="B301" s="434"/>
    </row>
    <row r="302" spans="2:2" ht="13.2" x14ac:dyDescent="0.25">
      <c r="B302" s="434"/>
    </row>
    <row r="303" spans="2:2" ht="13.2" x14ac:dyDescent="0.25">
      <c r="B303" s="434"/>
    </row>
    <row r="304" spans="2:2" ht="13.2" x14ac:dyDescent="0.25">
      <c r="B304" s="434"/>
    </row>
    <row r="305" spans="2:2" ht="13.2" x14ac:dyDescent="0.25">
      <c r="B305" s="434"/>
    </row>
    <row r="306" spans="2:2" ht="13.2" x14ac:dyDescent="0.25">
      <c r="B306" s="434"/>
    </row>
    <row r="307" spans="2:2" ht="13.2" x14ac:dyDescent="0.25">
      <c r="B307" s="434"/>
    </row>
    <row r="308" spans="2:2" ht="13.2" x14ac:dyDescent="0.25">
      <c r="B308" s="434"/>
    </row>
    <row r="309" spans="2:2" ht="13.2" x14ac:dyDescent="0.25">
      <c r="B309" s="434"/>
    </row>
    <row r="310" spans="2:2" ht="13.2" x14ac:dyDescent="0.25">
      <c r="B310" s="434"/>
    </row>
    <row r="311" spans="2:2" ht="13.2" x14ac:dyDescent="0.25">
      <c r="B311" s="434"/>
    </row>
    <row r="312" spans="2:2" ht="13.2" x14ac:dyDescent="0.25">
      <c r="B312" s="434"/>
    </row>
    <row r="313" spans="2:2" ht="13.2" x14ac:dyDescent="0.25">
      <c r="B313" s="434"/>
    </row>
    <row r="314" spans="2:2" ht="13.2" x14ac:dyDescent="0.25">
      <c r="B314" s="434"/>
    </row>
    <row r="315" spans="2:2" ht="13.2" x14ac:dyDescent="0.25">
      <c r="B315" s="434"/>
    </row>
    <row r="316" spans="2:2" ht="13.2" x14ac:dyDescent="0.25">
      <c r="B316" s="434"/>
    </row>
    <row r="317" spans="2:2" ht="13.2" x14ac:dyDescent="0.25">
      <c r="B317" s="434"/>
    </row>
    <row r="318" spans="2:2" ht="13.2" x14ac:dyDescent="0.25">
      <c r="B318" s="434"/>
    </row>
    <row r="319" spans="2:2" ht="13.2" x14ac:dyDescent="0.25">
      <c r="B319" s="434"/>
    </row>
    <row r="320" spans="2:2" ht="13.2" x14ac:dyDescent="0.25">
      <c r="B320" s="434"/>
    </row>
    <row r="321" spans="2:2" ht="13.2" x14ac:dyDescent="0.25">
      <c r="B321" s="434"/>
    </row>
    <row r="322" spans="2:2" ht="13.2" x14ac:dyDescent="0.25">
      <c r="B322" s="434"/>
    </row>
    <row r="323" spans="2:2" ht="13.2" x14ac:dyDescent="0.25">
      <c r="B323" s="434"/>
    </row>
    <row r="324" spans="2:2" ht="13.2" x14ac:dyDescent="0.25">
      <c r="B324" s="434"/>
    </row>
    <row r="325" spans="2:2" ht="13.2" x14ac:dyDescent="0.25">
      <c r="B325" s="434"/>
    </row>
    <row r="326" spans="2:2" ht="13.2" x14ac:dyDescent="0.25">
      <c r="B326" s="434"/>
    </row>
    <row r="327" spans="2:2" ht="13.2" x14ac:dyDescent="0.25">
      <c r="B327" s="434"/>
    </row>
    <row r="328" spans="2:2" ht="13.2" x14ac:dyDescent="0.25">
      <c r="B328" s="434"/>
    </row>
    <row r="329" spans="2:2" ht="13.2" x14ac:dyDescent="0.25">
      <c r="B329" s="434"/>
    </row>
    <row r="330" spans="2:2" ht="13.2" x14ac:dyDescent="0.25">
      <c r="B330" s="434"/>
    </row>
    <row r="331" spans="2:2" ht="13.2" x14ac:dyDescent="0.25">
      <c r="B331" s="434"/>
    </row>
    <row r="332" spans="2:2" ht="13.2" x14ac:dyDescent="0.25">
      <c r="B332" s="434"/>
    </row>
    <row r="333" spans="2:2" ht="13.2" x14ac:dyDescent="0.25">
      <c r="B333" s="434"/>
    </row>
    <row r="334" spans="2:2" ht="13.2" x14ac:dyDescent="0.25">
      <c r="B334" s="434"/>
    </row>
    <row r="335" spans="2:2" ht="13.2" x14ac:dyDescent="0.25">
      <c r="B335" s="434"/>
    </row>
    <row r="336" spans="2:2" ht="13.2" x14ac:dyDescent="0.25">
      <c r="B336" s="434"/>
    </row>
    <row r="337" spans="2:2" ht="13.2" x14ac:dyDescent="0.25">
      <c r="B337" s="434"/>
    </row>
    <row r="338" spans="2:2" ht="13.2" x14ac:dyDescent="0.25">
      <c r="B338" s="434"/>
    </row>
    <row r="339" spans="2:2" ht="13.2" x14ac:dyDescent="0.25">
      <c r="B339" s="434"/>
    </row>
    <row r="340" spans="2:2" ht="13.2" x14ac:dyDescent="0.25">
      <c r="B340" s="434"/>
    </row>
    <row r="341" spans="2:2" ht="13.2" x14ac:dyDescent="0.25">
      <c r="B341" s="434"/>
    </row>
    <row r="342" spans="2:2" ht="13.2" x14ac:dyDescent="0.25">
      <c r="B342" s="434"/>
    </row>
    <row r="343" spans="2:2" ht="13.2" x14ac:dyDescent="0.25">
      <c r="B343" s="434"/>
    </row>
    <row r="344" spans="2:2" ht="13.2" x14ac:dyDescent="0.25">
      <c r="B344" s="434"/>
    </row>
    <row r="345" spans="2:2" ht="13.2" x14ac:dyDescent="0.25">
      <c r="B345" s="434"/>
    </row>
    <row r="346" spans="2:2" ht="13.2" x14ac:dyDescent="0.25">
      <c r="B346" s="434"/>
    </row>
    <row r="347" spans="2:2" ht="13.2" x14ac:dyDescent="0.25">
      <c r="B347" s="434"/>
    </row>
    <row r="348" spans="2:2" ht="13.2" x14ac:dyDescent="0.25">
      <c r="B348" s="434"/>
    </row>
    <row r="349" spans="2:2" ht="13.2" x14ac:dyDescent="0.25">
      <c r="B349" s="434"/>
    </row>
    <row r="350" spans="2:2" ht="13.2" x14ac:dyDescent="0.25">
      <c r="B350" s="434"/>
    </row>
    <row r="351" spans="2:2" ht="13.2" x14ac:dyDescent="0.25">
      <c r="B351" s="434"/>
    </row>
    <row r="352" spans="2:2" ht="13.2" x14ac:dyDescent="0.25">
      <c r="B352" s="434"/>
    </row>
    <row r="353" spans="2:2" ht="13.2" x14ac:dyDescent="0.25">
      <c r="B353" s="434"/>
    </row>
    <row r="354" spans="2:2" ht="13.2" x14ac:dyDescent="0.25">
      <c r="B354" s="434"/>
    </row>
    <row r="355" spans="2:2" ht="13.2" x14ac:dyDescent="0.25">
      <c r="B355" s="434"/>
    </row>
    <row r="356" spans="2:2" ht="13.2" x14ac:dyDescent="0.25">
      <c r="B356" s="434"/>
    </row>
    <row r="357" spans="2:2" ht="13.2" x14ac:dyDescent="0.25">
      <c r="B357" s="434"/>
    </row>
    <row r="358" spans="2:2" ht="13.2" x14ac:dyDescent="0.25">
      <c r="B358" s="434"/>
    </row>
    <row r="359" spans="2:2" ht="13.2" x14ac:dyDescent="0.25">
      <c r="B359" s="434"/>
    </row>
    <row r="360" spans="2:2" ht="13.2" x14ac:dyDescent="0.25">
      <c r="B360" s="434"/>
    </row>
    <row r="361" spans="2:2" ht="13.2" x14ac:dyDescent="0.25">
      <c r="B361" s="434"/>
    </row>
    <row r="362" spans="2:2" ht="13.2" x14ac:dyDescent="0.25">
      <c r="B362" s="434"/>
    </row>
    <row r="363" spans="2:2" ht="13.2" x14ac:dyDescent="0.25">
      <c r="B363" s="434"/>
    </row>
    <row r="364" spans="2:2" ht="13.2" x14ac:dyDescent="0.25">
      <c r="B364" s="434"/>
    </row>
    <row r="365" spans="2:2" ht="13.2" x14ac:dyDescent="0.25">
      <c r="B365" s="434"/>
    </row>
    <row r="366" spans="2:2" ht="13.2" x14ac:dyDescent="0.25">
      <c r="B366" s="434"/>
    </row>
    <row r="367" spans="2:2" ht="13.2" x14ac:dyDescent="0.25">
      <c r="B367" s="434"/>
    </row>
    <row r="368" spans="2:2" ht="13.2" x14ac:dyDescent="0.25">
      <c r="B368" s="434"/>
    </row>
    <row r="369" spans="2:2" ht="13.2" x14ac:dyDescent="0.25">
      <c r="B369" s="434"/>
    </row>
    <row r="370" spans="2:2" ht="13.2" x14ac:dyDescent="0.25">
      <c r="B370" s="434"/>
    </row>
    <row r="371" spans="2:2" ht="13.2" x14ac:dyDescent="0.25">
      <c r="B371" s="434"/>
    </row>
    <row r="372" spans="2:2" ht="13.2" x14ac:dyDescent="0.25">
      <c r="B372" s="434"/>
    </row>
    <row r="373" spans="2:2" ht="13.2" x14ac:dyDescent="0.25">
      <c r="B373" s="434"/>
    </row>
    <row r="374" spans="2:2" ht="13.2" x14ac:dyDescent="0.25">
      <c r="B374" s="434"/>
    </row>
    <row r="375" spans="2:2" ht="13.2" x14ac:dyDescent="0.25">
      <c r="B375" s="434"/>
    </row>
    <row r="376" spans="2:2" ht="13.2" x14ac:dyDescent="0.25">
      <c r="B376" s="434"/>
    </row>
    <row r="377" spans="2:2" ht="13.2" x14ac:dyDescent="0.25">
      <c r="B377" s="434"/>
    </row>
    <row r="378" spans="2:2" ht="13.2" x14ac:dyDescent="0.25">
      <c r="B378" s="434"/>
    </row>
    <row r="379" spans="2:2" ht="13.2" x14ac:dyDescent="0.25">
      <c r="B379" s="434"/>
    </row>
    <row r="380" spans="2:2" ht="13.2" x14ac:dyDescent="0.25">
      <c r="B380" s="434"/>
    </row>
    <row r="381" spans="2:2" ht="13.2" x14ac:dyDescent="0.25">
      <c r="B381" s="434"/>
    </row>
    <row r="382" spans="2:2" ht="13.2" x14ac:dyDescent="0.25">
      <c r="B382" s="434"/>
    </row>
    <row r="383" spans="2:2" ht="13.2" x14ac:dyDescent="0.25">
      <c r="B383" s="434"/>
    </row>
    <row r="384" spans="2:2" ht="13.2" x14ac:dyDescent="0.25">
      <c r="B384" s="434"/>
    </row>
    <row r="385" spans="2:2" ht="13.2" x14ac:dyDescent="0.25">
      <c r="B385" s="434"/>
    </row>
    <row r="386" spans="2:2" ht="13.2" x14ac:dyDescent="0.25">
      <c r="B386" s="434"/>
    </row>
    <row r="387" spans="2:2" ht="13.2" x14ac:dyDescent="0.25">
      <c r="B387" s="434"/>
    </row>
    <row r="388" spans="2:2" ht="13.2" x14ac:dyDescent="0.25">
      <c r="B388" s="434"/>
    </row>
    <row r="389" spans="2:2" ht="13.2" x14ac:dyDescent="0.25">
      <c r="B389" s="434"/>
    </row>
    <row r="390" spans="2:2" ht="13.2" x14ac:dyDescent="0.25">
      <c r="B390" s="434"/>
    </row>
    <row r="391" spans="2:2" ht="13.2" x14ac:dyDescent="0.25">
      <c r="B391" s="434"/>
    </row>
    <row r="392" spans="2:2" ht="13.2" x14ac:dyDescent="0.25">
      <c r="B392" s="434"/>
    </row>
    <row r="393" spans="2:2" ht="13.2" x14ac:dyDescent="0.25">
      <c r="B393" s="434"/>
    </row>
    <row r="394" spans="2:2" ht="13.2" x14ac:dyDescent="0.25">
      <c r="B394" s="434"/>
    </row>
    <row r="395" spans="2:2" ht="13.2" x14ac:dyDescent="0.25">
      <c r="B395" s="434"/>
    </row>
    <row r="396" spans="2:2" ht="13.2" x14ac:dyDescent="0.25">
      <c r="B396" s="434"/>
    </row>
    <row r="397" spans="2:2" ht="13.2" x14ac:dyDescent="0.25">
      <c r="B397" s="434"/>
    </row>
    <row r="398" spans="2:2" ht="13.2" x14ac:dyDescent="0.25">
      <c r="B398" s="434"/>
    </row>
    <row r="399" spans="2:2" ht="13.2" x14ac:dyDescent="0.25">
      <c r="B399" s="434"/>
    </row>
    <row r="400" spans="2:2" ht="13.2" x14ac:dyDescent="0.25">
      <c r="B400" s="434"/>
    </row>
    <row r="401" spans="2:2" ht="13.2" x14ac:dyDescent="0.25">
      <c r="B401" s="434"/>
    </row>
    <row r="402" spans="2:2" ht="13.2" x14ac:dyDescent="0.25">
      <c r="B402" s="434"/>
    </row>
    <row r="403" spans="2:2" ht="13.2" x14ac:dyDescent="0.25">
      <c r="B403" s="434"/>
    </row>
    <row r="404" spans="2:2" ht="13.2" x14ac:dyDescent="0.25">
      <c r="B404" s="434"/>
    </row>
    <row r="405" spans="2:2" ht="13.2" x14ac:dyDescent="0.25">
      <c r="B405" s="434"/>
    </row>
    <row r="406" spans="2:2" ht="13.2" x14ac:dyDescent="0.25">
      <c r="B406" s="434"/>
    </row>
    <row r="407" spans="2:2" ht="13.2" x14ac:dyDescent="0.25">
      <c r="B407" s="434"/>
    </row>
    <row r="408" spans="2:2" ht="13.2" x14ac:dyDescent="0.25">
      <c r="B408" s="434"/>
    </row>
    <row r="409" spans="2:2" ht="13.2" x14ac:dyDescent="0.25">
      <c r="B409" s="434"/>
    </row>
    <row r="410" spans="2:2" ht="13.2" x14ac:dyDescent="0.25">
      <c r="B410" s="434"/>
    </row>
    <row r="411" spans="2:2" ht="13.2" x14ac:dyDescent="0.25">
      <c r="B411" s="434"/>
    </row>
    <row r="412" spans="2:2" ht="13.2" x14ac:dyDescent="0.25">
      <c r="B412" s="434"/>
    </row>
    <row r="413" spans="2:2" ht="13.2" x14ac:dyDescent="0.25">
      <c r="B413" s="434"/>
    </row>
    <row r="414" spans="2:2" ht="13.2" x14ac:dyDescent="0.25">
      <c r="B414" s="434"/>
    </row>
    <row r="415" spans="2:2" ht="13.2" x14ac:dyDescent="0.25">
      <c r="B415" s="434"/>
    </row>
    <row r="416" spans="2:2" ht="13.2" x14ac:dyDescent="0.25">
      <c r="B416" s="434"/>
    </row>
    <row r="417" spans="2:2" ht="13.2" x14ac:dyDescent="0.25">
      <c r="B417" s="434"/>
    </row>
    <row r="418" spans="2:2" ht="13.2" x14ac:dyDescent="0.25">
      <c r="B418" s="434"/>
    </row>
    <row r="419" spans="2:2" ht="13.2" x14ac:dyDescent="0.25">
      <c r="B419" s="434"/>
    </row>
    <row r="420" spans="2:2" ht="13.2" x14ac:dyDescent="0.25">
      <c r="B420" s="434"/>
    </row>
    <row r="421" spans="2:2" ht="13.2" x14ac:dyDescent="0.25">
      <c r="B421" s="434"/>
    </row>
    <row r="422" spans="2:2" ht="13.2" x14ac:dyDescent="0.25">
      <c r="B422" s="434"/>
    </row>
    <row r="423" spans="2:2" ht="13.2" x14ac:dyDescent="0.25">
      <c r="B423" s="434"/>
    </row>
    <row r="424" spans="2:2" ht="13.2" x14ac:dyDescent="0.25">
      <c r="B424" s="434"/>
    </row>
    <row r="425" spans="2:2" ht="13.2" x14ac:dyDescent="0.25">
      <c r="B425" s="434"/>
    </row>
    <row r="426" spans="2:2" ht="13.2" x14ac:dyDescent="0.25">
      <c r="B426" s="434"/>
    </row>
    <row r="427" spans="2:2" ht="13.2" x14ac:dyDescent="0.25">
      <c r="B427" s="434"/>
    </row>
    <row r="428" spans="2:2" ht="13.2" x14ac:dyDescent="0.25">
      <c r="B428" s="434"/>
    </row>
    <row r="429" spans="2:2" ht="13.2" x14ac:dyDescent="0.25">
      <c r="B429" s="434"/>
    </row>
    <row r="430" spans="2:2" ht="13.2" x14ac:dyDescent="0.25">
      <c r="B430" s="434"/>
    </row>
    <row r="431" spans="2:2" ht="13.2" x14ac:dyDescent="0.25">
      <c r="B431" s="434"/>
    </row>
    <row r="432" spans="2:2" ht="13.2" x14ac:dyDescent="0.25">
      <c r="B432" s="434"/>
    </row>
    <row r="433" spans="2:2" ht="13.2" x14ac:dyDescent="0.25">
      <c r="B433" s="434"/>
    </row>
    <row r="434" spans="2:2" ht="13.2" x14ac:dyDescent="0.25">
      <c r="B434" s="434"/>
    </row>
    <row r="435" spans="2:2" ht="13.2" x14ac:dyDescent="0.25">
      <c r="B435" s="434"/>
    </row>
    <row r="436" spans="2:2" ht="13.2" x14ac:dyDescent="0.25">
      <c r="B436" s="434"/>
    </row>
    <row r="437" spans="2:2" ht="13.2" x14ac:dyDescent="0.25">
      <c r="B437" s="434"/>
    </row>
    <row r="438" spans="2:2" ht="13.2" x14ac:dyDescent="0.25">
      <c r="B438" s="434"/>
    </row>
    <row r="439" spans="2:2" ht="13.2" x14ac:dyDescent="0.25">
      <c r="B439" s="434"/>
    </row>
    <row r="440" spans="2:2" ht="13.2" x14ac:dyDescent="0.25">
      <c r="B440" s="434"/>
    </row>
    <row r="441" spans="2:2" ht="13.2" x14ac:dyDescent="0.25">
      <c r="B441" s="434"/>
    </row>
    <row r="442" spans="2:2" ht="13.2" x14ac:dyDescent="0.25">
      <c r="B442" s="434"/>
    </row>
    <row r="443" spans="2:2" ht="13.2" x14ac:dyDescent="0.25">
      <c r="B443" s="434"/>
    </row>
    <row r="444" spans="2:2" ht="13.2" x14ac:dyDescent="0.25">
      <c r="B444" s="434"/>
    </row>
    <row r="445" spans="2:2" ht="13.2" x14ac:dyDescent="0.25">
      <c r="B445" s="434"/>
    </row>
    <row r="446" spans="2:2" ht="13.2" x14ac:dyDescent="0.25">
      <c r="B446" s="434"/>
    </row>
    <row r="447" spans="2:2" ht="13.2" x14ac:dyDescent="0.25">
      <c r="B447" s="434"/>
    </row>
    <row r="448" spans="2:2" ht="13.2" x14ac:dyDescent="0.25">
      <c r="B448" s="434"/>
    </row>
    <row r="449" spans="2:2" ht="13.2" x14ac:dyDescent="0.25">
      <c r="B449" s="434"/>
    </row>
    <row r="450" spans="2:2" ht="13.2" x14ac:dyDescent="0.25">
      <c r="B450" s="434"/>
    </row>
    <row r="451" spans="2:2" ht="13.2" x14ac:dyDescent="0.25">
      <c r="B451" s="434"/>
    </row>
    <row r="452" spans="2:2" ht="13.2" x14ac:dyDescent="0.25">
      <c r="B452" s="434"/>
    </row>
    <row r="453" spans="2:2" ht="13.2" x14ac:dyDescent="0.25">
      <c r="B453" s="434"/>
    </row>
    <row r="454" spans="2:2" ht="13.2" x14ac:dyDescent="0.25">
      <c r="B454" s="434"/>
    </row>
    <row r="455" spans="2:2" ht="13.2" x14ac:dyDescent="0.25">
      <c r="B455" s="434"/>
    </row>
    <row r="456" spans="2:2" ht="13.2" x14ac:dyDescent="0.25">
      <c r="B456" s="434"/>
    </row>
    <row r="457" spans="2:2" ht="13.2" x14ac:dyDescent="0.25">
      <c r="B457" s="434"/>
    </row>
    <row r="458" spans="2:2" ht="13.2" x14ac:dyDescent="0.25">
      <c r="B458" s="434"/>
    </row>
    <row r="459" spans="2:2" ht="13.2" x14ac:dyDescent="0.25">
      <c r="B459" s="434"/>
    </row>
    <row r="460" spans="2:2" ht="13.2" x14ac:dyDescent="0.25">
      <c r="B460" s="434"/>
    </row>
    <row r="461" spans="2:2" ht="13.2" x14ac:dyDescent="0.25">
      <c r="B461" s="434"/>
    </row>
    <row r="462" spans="2:2" ht="13.2" x14ac:dyDescent="0.25">
      <c r="B462" s="434"/>
    </row>
    <row r="463" spans="2:2" ht="13.2" x14ac:dyDescent="0.25">
      <c r="B463" s="434"/>
    </row>
    <row r="464" spans="2:2" ht="13.2" x14ac:dyDescent="0.25">
      <c r="B464" s="434"/>
    </row>
    <row r="465" spans="2:2" ht="13.2" x14ac:dyDescent="0.25">
      <c r="B465" s="434"/>
    </row>
    <row r="466" spans="2:2" ht="13.2" x14ac:dyDescent="0.25">
      <c r="B466" s="434"/>
    </row>
    <row r="467" spans="2:2" ht="13.2" x14ac:dyDescent="0.25">
      <c r="B467" s="434"/>
    </row>
    <row r="468" spans="2:2" ht="13.2" x14ac:dyDescent="0.25">
      <c r="B468" s="434"/>
    </row>
    <row r="469" spans="2:2" ht="13.2" x14ac:dyDescent="0.25">
      <c r="B469" s="434"/>
    </row>
    <row r="470" spans="2:2" ht="13.2" x14ac:dyDescent="0.25">
      <c r="B470" s="434"/>
    </row>
    <row r="471" spans="2:2" ht="13.2" x14ac:dyDescent="0.25">
      <c r="B471" s="434"/>
    </row>
    <row r="472" spans="2:2" ht="13.2" x14ac:dyDescent="0.25">
      <c r="B472" s="434"/>
    </row>
    <row r="473" spans="2:2" ht="13.2" x14ac:dyDescent="0.25">
      <c r="B473" s="434"/>
    </row>
    <row r="474" spans="2:2" ht="13.2" x14ac:dyDescent="0.25">
      <c r="B474" s="434"/>
    </row>
    <row r="475" spans="2:2" ht="13.2" x14ac:dyDescent="0.25">
      <c r="B475" s="434"/>
    </row>
    <row r="476" spans="2:2" ht="13.2" x14ac:dyDescent="0.25">
      <c r="B476" s="434"/>
    </row>
    <row r="477" spans="2:2" ht="13.2" x14ac:dyDescent="0.25">
      <c r="B477" s="434"/>
    </row>
    <row r="478" spans="2:2" ht="13.2" x14ac:dyDescent="0.25">
      <c r="B478" s="434"/>
    </row>
    <row r="479" spans="2:2" ht="13.2" x14ac:dyDescent="0.25">
      <c r="B479" s="434"/>
    </row>
    <row r="480" spans="2:2" ht="13.2" x14ac:dyDescent="0.25">
      <c r="B480" s="434"/>
    </row>
    <row r="481" spans="2:2" ht="13.2" x14ac:dyDescent="0.25">
      <c r="B481" s="434"/>
    </row>
    <row r="482" spans="2:2" ht="13.2" x14ac:dyDescent="0.25">
      <c r="B482" s="434"/>
    </row>
    <row r="483" spans="2:2" ht="13.2" x14ac:dyDescent="0.25">
      <c r="B483" s="434"/>
    </row>
    <row r="484" spans="2:2" ht="13.2" x14ac:dyDescent="0.25">
      <c r="B484" s="434"/>
    </row>
    <row r="485" spans="2:2" ht="13.2" x14ac:dyDescent="0.25">
      <c r="B485" s="434"/>
    </row>
    <row r="486" spans="2:2" ht="13.2" x14ac:dyDescent="0.25">
      <c r="B486" s="434"/>
    </row>
    <row r="487" spans="2:2" ht="13.2" x14ac:dyDescent="0.25">
      <c r="B487" s="434"/>
    </row>
    <row r="488" spans="2:2" ht="13.2" x14ac:dyDescent="0.25">
      <c r="B488" s="434"/>
    </row>
    <row r="489" spans="2:2" ht="13.2" x14ac:dyDescent="0.25">
      <c r="B489" s="434"/>
    </row>
    <row r="490" spans="2:2" ht="13.2" x14ac:dyDescent="0.25">
      <c r="B490" s="434"/>
    </row>
    <row r="491" spans="2:2" ht="13.2" x14ac:dyDescent="0.25">
      <c r="B491" s="434"/>
    </row>
    <row r="492" spans="2:2" ht="13.2" x14ac:dyDescent="0.25">
      <c r="B492" s="434"/>
    </row>
    <row r="493" spans="2:2" ht="13.2" x14ac:dyDescent="0.25">
      <c r="B493" s="434"/>
    </row>
    <row r="494" spans="2:2" ht="13.2" x14ac:dyDescent="0.25">
      <c r="B494" s="434"/>
    </row>
    <row r="495" spans="2:2" ht="13.2" x14ac:dyDescent="0.25">
      <c r="B495" s="434"/>
    </row>
    <row r="496" spans="2:2" ht="13.2" x14ac:dyDescent="0.25">
      <c r="B496" s="434"/>
    </row>
    <row r="497" spans="2:2" ht="13.2" x14ac:dyDescent="0.25">
      <c r="B497" s="434"/>
    </row>
    <row r="498" spans="2:2" ht="13.2" x14ac:dyDescent="0.25">
      <c r="B498" s="434"/>
    </row>
    <row r="499" spans="2:2" ht="13.2" x14ac:dyDescent="0.25">
      <c r="B499" s="434"/>
    </row>
    <row r="500" spans="2:2" ht="13.2" x14ac:dyDescent="0.25">
      <c r="B500" s="434"/>
    </row>
    <row r="501" spans="2:2" ht="13.2" x14ac:dyDescent="0.25">
      <c r="B501" s="434"/>
    </row>
    <row r="502" spans="2:2" ht="13.2" x14ac:dyDescent="0.25">
      <c r="B502" s="434"/>
    </row>
    <row r="503" spans="2:2" ht="13.2" x14ac:dyDescent="0.25">
      <c r="B503" s="434"/>
    </row>
    <row r="504" spans="2:2" ht="13.2" x14ac:dyDescent="0.25">
      <c r="B504" s="434"/>
    </row>
    <row r="505" spans="2:2" ht="13.2" x14ac:dyDescent="0.25">
      <c r="B505" s="434"/>
    </row>
    <row r="506" spans="2:2" ht="13.2" x14ac:dyDescent="0.25">
      <c r="B506" s="434"/>
    </row>
    <row r="507" spans="2:2" ht="13.2" x14ac:dyDescent="0.25">
      <c r="B507" s="434"/>
    </row>
    <row r="508" spans="2:2" ht="13.2" x14ac:dyDescent="0.25">
      <c r="B508" s="434"/>
    </row>
    <row r="509" spans="2:2" ht="13.2" x14ac:dyDescent="0.25">
      <c r="B509" s="434"/>
    </row>
    <row r="510" spans="2:2" ht="13.2" x14ac:dyDescent="0.25">
      <c r="B510" s="434"/>
    </row>
    <row r="511" spans="2:2" ht="13.2" x14ac:dyDescent="0.25">
      <c r="B511" s="434"/>
    </row>
    <row r="512" spans="2:2" ht="13.2" x14ac:dyDescent="0.25">
      <c r="B512" s="434"/>
    </row>
    <row r="513" spans="2:2" ht="13.2" x14ac:dyDescent="0.25">
      <c r="B513" s="434"/>
    </row>
    <row r="514" spans="2:2" ht="13.2" x14ac:dyDescent="0.25">
      <c r="B514" s="434"/>
    </row>
    <row r="515" spans="2:2" ht="13.2" x14ac:dyDescent="0.25">
      <c r="B515" s="434"/>
    </row>
    <row r="516" spans="2:2" ht="13.2" x14ac:dyDescent="0.25">
      <c r="B516" s="434"/>
    </row>
    <row r="517" spans="2:2" ht="13.2" x14ac:dyDescent="0.25">
      <c r="B517" s="434"/>
    </row>
    <row r="518" spans="2:2" ht="13.2" x14ac:dyDescent="0.25">
      <c r="B518" s="434"/>
    </row>
    <row r="519" spans="2:2" ht="13.2" x14ac:dyDescent="0.25">
      <c r="B519" s="434"/>
    </row>
    <row r="520" spans="2:2" ht="13.2" x14ac:dyDescent="0.25">
      <c r="B520" s="434"/>
    </row>
    <row r="521" spans="2:2" ht="13.2" x14ac:dyDescent="0.25">
      <c r="B521" s="434"/>
    </row>
    <row r="522" spans="2:2" ht="13.2" x14ac:dyDescent="0.25">
      <c r="B522" s="434"/>
    </row>
    <row r="523" spans="2:2" ht="13.2" x14ac:dyDescent="0.25">
      <c r="B523" s="434"/>
    </row>
    <row r="524" spans="2:2" ht="13.2" x14ac:dyDescent="0.25">
      <c r="B524" s="434"/>
    </row>
    <row r="525" spans="2:2" ht="13.2" x14ac:dyDescent="0.25">
      <c r="B525" s="434"/>
    </row>
    <row r="526" spans="2:2" ht="13.2" x14ac:dyDescent="0.25">
      <c r="B526" s="434"/>
    </row>
    <row r="527" spans="2:2" ht="13.2" x14ac:dyDescent="0.25">
      <c r="B527" s="434"/>
    </row>
    <row r="528" spans="2:2" ht="13.2" x14ac:dyDescent="0.25">
      <c r="B528" s="434"/>
    </row>
    <row r="529" spans="2:2" ht="13.2" x14ac:dyDescent="0.25">
      <c r="B529" s="434"/>
    </row>
    <row r="530" spans="2:2" ht="13.2" x14ac:dyDescent="0.25">
      <c r="B530" s="434"/>
    </row>
    <row r="531" spans="2:2" ht="13.2" x14ac:dyDescent="0.25">
      <c r="B531" s="434"/>
    </row>
    <row r="532" spans="2:2" ht="13.2" x14ac:dyDescent="0.25">
      <c r="B532" s="434"/>
    </row>
    <row r="533" spans="2:2" ht="13.2" x14ac:dyDescent="0.25">
      <c r="B533" s="434"/>
    </row>
    <row r="534" spans="2:2" ht="13.2" x14ac:dyDescent="0.25">
      <c r="B534" s="434"/>
    </row>
    <row r="535" spans="2:2" ht="13.2" x14ac:dyDescent="0.25">
      <c r="B535" s="434"/>
    </row>
    <row r="536" spans="2:2" ht="13.2" x14ac:dyDescent="0.25">
      <c r="B536" s="434"/>
    </row>
    <row r="537" spans="2:2" ht="13.2" x14ac:dyDescent="0.25">
      <c r="B537" s="434"/>
    </row>
    <row r="538" spans="2:2" ht="13.2" x14ac:dyDescent="0.25">
      <c r="B538" s="434"/>
    </row>
    <row r="539" spans="2:2" ht="13.2" x14ac:dyDescent="0.25">
      <c r="B539" s="434"/>
    </row>
    <row r="540" spans="2:2" ht="13.2" x14ac:dyDescent="0.25">
      <c r="B540" s="434"/>
    </row>
    <row r="541" spans="2:2" ht="13.2" x14ac:dyDescent="0.25">
      <c r="B541" s="434"/>
    </row>
    <row r="542" spans="2:2" ht="13.2" x14ac:dyDescent="0.25">
      <c r="B542" s="434"/>
    </row>
    <row r="543" spans="2:2" ht="13.2" x14ac:dyDescent="0.25">
      <c r="B543" s="434"/>
    </row>
    <row r="544" spans="2:2" ht="13.2" x14ac:dyDescent="0.25">
      <c r="B544" s="434"/>
    </row>
    <row r="545" spans="2:2" ht="13.2" x14ac:dyDescent="0.25">
      <c r="B545" s="434"/>
    </row>
    <row r="546" spans="2:2" ht="13.2" x14ac:dyDescent="0.25">
      <c r="B546" s="434"/>
    </row>
    <row r="547" spans="2:2" ht="13.2" x14ac:dyDescent="0.25">
      <c r="B547" s="434"/>
    </row>
    <row r="548" spans="2:2" ht="13.2" x14ac:dyDescent="0.25">
      <c r="B548" s="434"/>
    </row>
    <row r="549" spans="2:2" ht="13.2" x14ac:dyDescent="0.25">
      <c r="B549" s="434"/>
    </row>
    <row r="550" spans="2:2" ht="13.2" x14ac:dyDescent="0.25">
      <c r="B550" s="434"/>
    </row>
    <row r="551" spans="2:2" ht="13.2" x14ac:dyDescent="0.25">
      <c r="B551" s="434"/>
    </row>
    <row r="552" spans="2:2" ht="13.2" x14ac:dyDescent="0.25">
      <c r="B552" s="434"/>
    </row>
    <row r="553" spans="2:2" ht="13.2" x14ac:dyDescent="0.25">
      <c r="B553" s="434"/>
    </row>
    <row r="554" spans="2:2" ht="13.2" x14ac:dyDescent="0.25">
      <c r="B554" s="434"/>
    </row>
    <row r="555" spans="2:2" ht="13.2" x14ac:dyDescent="0.25">
      <c r="B555" s="434"/>
    </row>
    <row r="556" spans="2:2" ht="13.2" x14ac:dyDescent="0.25">
      <c r="B556" s="434"/>
    </row>
    <row r="557" spans="2:2" ht="13.2" x14ac:dyDescent="0.25">
      <c r="B557" s="434"/>
    </row>
    <row r="558" spans="2:2" ht="13.2" x14ac:dyDescent="0.25">
      <c r="B558" s="434"/>
    </row>
    <row r="559" spans="2:2" ht="13.2" x14ac:dyDescent="0.25">
      <c r="B559" s="434"/>
    </row>
    <row r="560" spans="2:2" ht="13.2" x14ac:dyDescent="0.25">
      <c r="B560" s="434"/>
    </row>
    <row r="561" spans="2:2" ht="13.2" x14ac:dyDescent="0.25">
      <c r="B561" s="434"/>
    </row>
    <row r="562" spans="2:2" ht="13.2" x14ac:dyDescent="0.25">
      <c r="B562" s="434"/>
    </row>
    <row r="563" spans="2:2" ht="13.2" x14ac:dyDescent="0.25">
      <c r="B563" s="434"/>
    </row>
    <row r="564" spans="2:2" ht="13.2" x14ac:dyDescent="0.25">
      <c r="B564" s="434"/>
    </row>
    <row r="565" spans="2:2" ht="13.2" x14ac:dyDescent="0.25">
      <c r="B565" s="434"/>
    </row>
    <row r="566" spans="2:2" ht="13.2" x14ac:dyDescent="0.25">
      <c r="B566" s="434"/>
    </row>
    <row r="567" spans="2:2" ht="13.2" x14ac:dyDescent="0.25">
      <c r="B567" s="434"/>
    </row>
    <row r="568" spans="2:2" ht="13.2" x14ac:dyDescent="0.25">
      <c r="B568" s="434"/>
    </row>
    <row r="569" spans="2:2" ht="13.2" x14ac:dyDescent="0.25">
      <c r="B569" s="434"/>
    </row>
    <row r="570" spans="2:2" ht="13.2" x14ac:dyDescent="0.25">
      <c r="B570" s="434"/>
    </row>
    <row r="571" spans="2:2" ht="13.2" x14ac:dyDescent="0.25">
      <c r="B571" s="434"/>
    </row>
    <row r="572" spans="2:2" ht="13.2" x14ac:dyDescent="0.25">
      <c r="B572" s="434"/>
    </row>
    <row r="573" spans="2:2" ht="13.2" x14ac:dyDescent="0.25">
      <c r="B573" s="434"/>
    </row>
    <row r="574" spans="2:2" ht="13.2" x14ac:dyDescent="0.25">
      <c r="B574" s="434"/>
    </row>
    <row r="575" spans="2:2" ht="13.2" x14ac:dyDescent="0.25">
      <c r="B575" s="434"/>
    </row>
    <row r="576" spans="2:2" ht="13.2" x14ac:dyDescent="0.25">
      <c r="B576" s="434"/>
    </row>
    <row r="577" spans="2:2" ht="13.2" x14ac:dyDescent="0.25">
      <c r="B577" s="434"/>
    </row>
    <row r="578" spans="2:2" ht="13.2" x14ac:dyDescent="0.25">
      <c r="B578" s="434"/>
    </row>
    <row r="579" spans="2:2" ht="13.2" x14ac:dyDescent="0.25">
      <c r="B579" s="434"/>
    </row>
    <row r="580" spans="2:2" ht="13.2" x14ac:dyDescent="0.25">
      <c r="B580" s="434"/>
    </row>
    <row r="581" spans="2:2" ht="13.2" x14ac:dyDescent="0.25">
      <c r="B581" s="434"/>
    </row>
    <row r="582" spans="2:2" ht="13.2" x14ac:dyDescent="0.25">
      <c r="B582" s="434"/>
    </row>
    <row r="583" spans="2:2" ht="13.2" x14ac:dyDescent="0.25">
      <c r="B583" s="434"/>
    </row>
    <row r="584" spans="2:2" ht="13.2" x14ac:dyDescent="0.25">
      <c r="B584" s="434"/>
    </row>
    <row r="585" spans="2:2" ht="13.2" x14ac:dyDescent="0.25">
      <c r="B585" s="434"/>
    </row>
    <row r="586" spans="2:2" ht="13.2" x14ac:dyDescent="0.25">
      <c r="B586" s="434"/>
    </row>
    <row r="587" spans="2:2" ht="13.2" x14ac:dyDescent="0.25">
      <c r="B587" s="434"/>
    </row>
    <row r="588" spans="2:2" ht="13.2" x14ac:dyDescent="0.25">
      <c r="B588" s="434"/>
    </row>
    <row r="589" spans="2:2" ht="13.2" x14ac:dyDescent="0.25">
      <c r="B589" s="434"/>
    </row>
    <row r="590" spans="2:2" ht="13.2" x14ac:dyDescent="0.25">
      <c r="B590" s="434"/>
    </row>
    <row r="591" spans="2:2" ht="13.2" x14ac:dyDescent="0.25">
      <c r="B591" s="434"/>
    </row>
    <row r="592" spans="2:2" ht="13.2" x14ac:dyDescent="0.25">
      <c r="B592" s="434"/>
    </row>
    <row r="593" spans="2:2" ht="13.2" x14ac:dyDescent="0.25">
      <c r="B593" s="434"/>
    </row>
    <row r="594" spans="2:2" ht="13.2" x14ac:dyDescent="0.25">
      <c r="B594" s="434"/>
    </row>
    <row r="595" spans="2:2" ht="13.2" x14ac:dyDescent="0.25">
      <c r="B595" s="434"/>
    </row>
    <row r="596" spans="2:2" ht="13.2" x14ac:dyDescent="0.25">
      <c r="B596" s="434"/>
    </row>
    <row r="597" spans="2:2" ht="13.2" x14ac:dyDescent="0.25">
      <c r="B597" s="434"/>
    </row>
    <row r="598" spans="2:2" ht="13.2" x14ac:dyDescent="0.25">
      <c r="B598" s="434"/>
    </row>
    <row r="599" spans="2:2" ht="13.2" x14ac:dyDescent="0.25">
      <c r="B599" s="434"/>
    </row>
    <row r="600" spans="2:2" ht="13.2" x14ac:dyDescent="0.25">
      <c r="B600" s="434"/>
    </row>
    <row r="601" spans="2:2" ht="13.2" x14ac:dyDescent="0.25">
      <c r="B601" s="434"/>
    </row>
    <row r="602" spans="2:2" ht="13.2" x14ac:dyDescent="0.25">
      <c r="B602" s="434"/>
    </row>
    <row r="603" spans="2:2" ht="13.2" x14ac:dyDescent="0.25">
      <c r="B603" s="434"/>
    </row>
    <row r="604" spans="2:2" ht="13.2" x14ac:dyDescent="0.25">
      <c r="B604" s="434"/>
    </row>
    <row r="605" spans="2:2" ht="13.2" x14ac:dyDescent="0.25">
      <c r="B605" s="434"/>
    </row>
    <row r="606" spans="2:2" ht="13.2" x14ac:dyDescent="0.25">
      <c r="B606" s="434"/>
    </row>
    <row r="607" spans="2:2" ht="13.2" x14ac:dyDescent="0.25">
      <c r="B607" s="434"/>
    </row>
    <row r="608" spans="2:2" ht="13.2" x14ac:dyDescent="0.25">
      <c r="B608" s="434"/>
    </row>
    <row r="609" spans="2:2" ht="13.2" x14ac:dyDescent="0.25">
      <c r="B609" s="434"/>
    </row>
    <row r="610" spans="2:2" ht="13.2" x14ac:dyDescent="0.25">
      <c r="B610" s="434"/>
    </row>
    <row r="611" spans="2:2" ht="13.2" x14ac:dyDescent="0.25">
      <c r="B611" s="434"/>
    </row>
    <row r="612" spans="2:2" ht="13.2" x14ac:dyDescent="0.25">
      <c r="B612" s="434"/>
    </row>
    <row r="613" spans="2:2" ht="13.2" x14ac:dyDescent="0.25">
      <c r="B613" s="434"/>
    </row>
    <row r="614" spans="2:2" ht="13.2" x14ac:dyDescent="0.25">
      <c r="B614" s="434"/>
    </row>
    <row r="615" spans="2:2" ht="13.2" x14ac:dyDescent="0.25">
      <c r="B615" s="434"/>
    </row>
    <row r="616" spans="2:2" ht="13.2" x14ac:dyDescent="0.25">
      <c r="B616" s="434"/>
    </row>
    <row r="617" spans="2:2" ht="13.2" x14ac:dyDescent="0.25">
      <c r="B617" s="434"/>
    </row>
    <row r="618" spans="2:2" ht="13.2" x14ac:dyDescent="0.25">
      <c r="B618" s="434"/>
    </row>
    <row r="619" spans="2:2" ht="13.2" x14ac:dyDescent="0.25">
      <c r="B619" s="434"/>
    </row>
    <row r="620" spans="2:2" ht="13.2" x14ac:dyDescent="0.25">
      <c r="B620" s="434"/>
    </row>
    <row r="621" spans="2:2" ht="13.2" x14ac:dyDescent="0.25">
      <c r="B621" s="434"/>
    </row>
    <row r="622" spans="2:2" ht="13.2" x14ac:dyDescent="0.25">
      <c r="B622" s="434"/>
    </row>
    <row r="623" spans="2:2" ht="13.2" x14ac:dyDescent="0.25">
      <c r="B623" s="434"/>
    </row>
    <row r="624" spans="2:2" ht="13.2" x14ac:dyDescent="0.25">
      <c r="B624" s="434"/>
    </row>
    <row r="625" spans="2:2" ht="13.2" x14ac:dyDescent="0.25">
      <c r="B625" s="434"/>
    </row>
    <row r="626" spans="2:2" ht="13.2" x14ac:dyDescent="0.25">
      <c r="B626" s="434"/>
    </row>
    <row r="627" spans="2:2" ht="13.2" x14ac:dyDescent="0.25">
      <c r="B627" s="434"/>
    </row>
    <row r="628" spans="2:2" ht="13.2" x14ac:dyDescent="0.25">
      <c r="B628" s="434"/>
    </row>
    <row r="629" spans="2:2" ht="13.2" x14ac:dyDescent="0.25">
      <c r="B629" s="434"/>
    </row>
    <row r="630" spans="2:2" ht="13.2" x14ac:dyDescent="0.25">
      <c r="B630" s="434"/>
    </row>
    <row r="631" spans="2:2" ht="13.2" x14ac:dyDescent="0.25">
      <c r="B631" s="434"/>
    </row>
    <row r="632" spans="2:2" ht="13.2" x14ac:dyDescent="0.25">
      <c r="B632" s="434"/>
    </row>
    <row r="633" spans="2:2" ht="13.2" x14ac:dyDescent="0.25">
      <c r="B633" s="434"/>
    </row>
    <row r="634" spans="2:2" ht="13.2" x14ac:dyDescent="0.25">
      <c r="B634" s="434"/>
    </row>
    <row r="635" spans="2:2" ht="13.2" x14ac:dyDescent="0.25">
      <c r="B635" s="434"/>
    </row>
    <row r="636" spans="2:2" ht="13.2" x14ac:dyDescent="0.25">
      <c r="B636" s="434"/>
    </row>
    <row r="637" spans="2:2" ht="13.2" x14ac:dyDescent="0.25">
      <c r="B637" s="434"/>
    </row>
    <row r="638" spans="2:2" ht="13.2" x14ac:dyDescent="0.25">
      <c r="B638" s="434"/>
    </row>
    <row r="639" spans="2:2" ht="13.2" x14ac:dyDescent="0.25">
      <c r="B639" s="434"/>
    </row>
    <row r="640" spans="2:2" ht="13.2" x14ac:dyDescent="0.25">
      <c r="B640" s="434"/>
    </row>
    <row r="641" spans="2:2" ht="13.2" x14ac:dyDescent="0.25">
      <c r="B641" s="434"/>
    </row>
    <row r="642" spans="2:2" ht="13.2" x14ac:dyDescent="0.25">
      <c r="B642" s="434"/>
    </row>
    <row r="643" spans="2:2" ht="13.2" x14ac:dyDescent="0.25">
      <c r="B643" s="434"/>
    </row>
    <row r="644" spans="2:2" ht="13.2" x14ac:dyDescent="0.25">
      <c r="B644" s="434"/>
    </row>
    <row r="645" spans="2:2" ht="13.2" x14ac:dyDescent="0.25">
      <c r="B645" s="434"/>
    </row>
    <row r="646" spans="2:2" ht="13.2" x14ac:dyDescent="0.25">
      <c r="B646" s="434"/>
    </row>
    <row r="647" spans="2:2" ht="13.2" x14ac:dyDescent="0.25">
      <c r="B647" s="434"/>
    </row>
    <row r="648" spans="2:2" ht="13.2" x14ac:dyDescent="0.25">
      <c r="B648" s="434"/>
    </row>
    <row r="649" spans="2:2" ht="13.2" x14ac:dyDescent="0.25">
      <c r="B649" s="434"/>
    </row>
    <row r="650" spans="2:2" ht="13.2" x14ac:dyDescent="0.25">
      <c r="B650" s="434"/>
    </row>
    <row r="651" spans="2:2" ht="13.2" x14ac:dyDescent="0.25">
      <c r="B651" s="434"/>
    </row>
    <row r="652" spans="2:2" ht="13.2" x14ac:dyDescent="0.25">
      <c r="B652" s="434"/>
    </row>
    <row r="653" spans="2:2" ht="13.2" x14ac:dyDescent="0.25">
      <c r="B653" s="434"/>
    </row>
    <row r="654" spans="2:2" ht="13.2" x14ac:dyDescent="0.25">
      <c r="B654" s="434"/>
    </row>
    <row r="655" spans="2:2" ht="13.2" x14ac:dyDescent="0.25">
      <c r="B655" s="434"/>
    </row>
    <row r="656" spans="2:2" ht="13.2" x14ac:dyDescent="0.25">
      <c r="B656" s="434"/>
    </row>
    <row r="657" spans="2:2" ht="13.2" x14ac:dyDescent="0.25">
      <c r="B657" s="434"/>
    </row>
    <row r="658" spans="2:2" ht="13.2" x14ac:dyDescent="0.25">
      <c r="B658" s="434"/>
    </row>
    <row r="659" spans="2:2" ht="13.2" x14ac:dyDescent="0.25">
      <c r="B659" s="434"/>
    </row>
    <row r="660" spans="2:2" ht="13.2" x14ac:dyDescent="0.25">
      <c r="B660" s="434"/>
    </row>
    <row r="661" spans="2:2" ht="13.2" x14ac:dyDescent="0.25">
      <c r="B661" s="434"/>
    </row>
    <row r="662" spans="2:2" ht="13.2" x14ac:dyDescent="0.25">
      <c r="B662" s="434"/>
    </row>
    <row r="663" spans="2:2" ht="13.2" x14ac:dyDescent="0.25">
      <c r="B663" s="434"/>
    </row>
    <row r="664" spans="2:2" ht="13.2" x14ac:dyDescent="0.25">
      <c r="B664" s="434"/>
    </row>
    <row r="665" spans="2:2" ht="13.2" x14ac:dyDescent="0.25">
      <c r="B665" s="434"/>
    </row>
    <row r="666" spans="2:2" ht="13.2" x14ac:dyDescent="0.25">
      <c r="B666" s="434"/>
    </row>
    <row r="667" spans="2:2" ht="13.2" x14ac:dyDescent="0.25">
      <c r="B667" s="434"/>
    </row>
    <row r="668" spans="2:2" ht="13.2" x14ac:dyDescent="0.25">
      <c r="B668" s="434"/>
    </row>
    <row r="669" spans="2:2" ht="13.2" x14ac:dyDescent="0.25">
      <c r="B669" s="434"/>
    </row>
    <row r="670" spans="2:2" ht="13.2" x14ac:dyDescent="0.25">
      <c r="B670" s="434"/>
    </row>
    <row r="671" spans="2:2" ht="13.2" x14ac:dyDescent="0.25">
      <c r="B671" s="434"/>
    </row>
    <row r="672" spans="2:2" ht="13.2" x14ac:dyDescent="0.25">
      <c r="B672" s="434"/>
    </row>
    <row r="673" spans="2:2" ht="13.2" x14ac:dyDescent="0.25">
      <c r="B673" s="434"/>
    </row>
    <row r="674" spans="2:2" ht="13.2" x14ac:dyDescent="0.25">
      <c r="B674" s="434"/>
    </row>
    <row r="675" spans="2:2" ht="13.2" x14ac:dyDescent="0.25">
      <c r="B675" s="434"/>
    </row>
    <row r="676" spans="2:2" ht="13.2" x14ac:dyDescent="0.25">
      <c r="B676" s="434"/>
    </row>
    <row r="677" spans="2:2" ht="13.2" x14ac:dyDescent="0.25">
      <c r="B677" s="434"/>
    </row>
    <row r="678" spans="2:2" ht="13.2" x14ac:dyDescent="0.25">
      <c r="B678" s="434"/>
    </row>
    <row r="679" spans="2:2" ht="13.2" x14ac:dyDescent="0.25">
      <c r="B679" s="434"/>
    </row>
    <row r="680" spans="2:2" ht="13.2" x14ac:dyDescent="0.25">
      <c r="B680" s="434"/>
    </row>
    <row r="681" spans="2:2" ht="13.2" x14ac:dyDescent="0.25">
      <c r="B681" s="434"/>
    </row>
    <row r="682" spans="2:2" ht="13.2" x14ac:dyDescent="0.25">
      <c r="B682" s="434"/>
    </row>
    <row r="683" spans="2:2" ht="13.2" x14ac:dyDescent="0.25">
      <c r="B683" s="434"/>
    </row>
    <row r="684" spans="2:2" ht="13.2" x14ac:dyDescent="0.25">
      <c r="B684" s="434"/>
    </row>
    <row r="685" spans="2:2" ht="13.2" x14ac:dyDescent="0.25">
      <c r="B685" s="434"/>
    </row>
    <row r="686" spans="2:2" ht="13.2" x14ac:dyDescent="0.25">
      <c r="B686" s="434"/>
    </row>
    <row r="687" spans="2:2" ht="13.2" x14ac:dyDescent="0.25">
      <c r="B687" s="434"/>
    </row>
    <row r="688" spans="2:2" ht="13.2" x14ac:dyDescent="0.25">
      <c r="B688" s="434"/>
    </row>
    <row r="689" spans="2:2" ht="13.2" x14ac:dyDescent="0.25">
      <c r="B689" s="434"/>
    </row>
    <row r="690" spans="2:2" ht="13.2" x14ac:dyDescent="0.25">
      <c r="B690" s="434"/>
    </row>
    <row r="691" spans="2:2" ht="13.2" x14ac:dyDescent="0.25">
      <c r="B691" s="434"/>
    </row>
    <row r="692" spans="2:2" ht="13.2" x14ac:dyDescent="0.25">
      <c r="B692" s="434"/>
    </row>
    <row r="693" spans="2:2" ht="13.2" x14ac:dyDescent="0.25">
      <c r="B693" s="434"/>
    </row>
    <row r="694" spans="2:2" ht="13.2" x14ac:dyDescent="0.25">
      <c r="B694" s="434"/>
    </row>
    <row r="695" spans="2:2" ht="13.2" x14ac:dyDescent="0.25">
      <c r="B695" s="434"/>
    </row>
    <row r="696" spans="2:2" ht="13.2" x14ac:dyDescent="0.25">
      <c r="B696" s="434"/>
    </row>
    <row r="697" spans="2:2" ht="13.2" x14ac:dyDescent="0.25">
      <c r="B697" s="434"/>
    </row>
    <row r="698" spans="2:2" ht="13.2" x14ac:dyDescent="0.25">
      <c r="B698" s="434"/>
    </row>
    <row r="699" spans="2:2" ht="13.2" x14ac:dyDescent="0.25">
      <c r="B699" s="434"/>
    </row>
    <row r="700" spans="2:2" ht="13.2" x14ac:dyDescent="0.25">
      <c r="B700" s="434"/>
    </row>
    <row r="701" spans="2:2" ht="13.2" x14ac:dyDescent="0.25">
      <c r="B701" s="434"/>
    </row>
    <row r="702" spans="2:2" ht="13.2" x14ac:dyDescent="0.25">
      <c r="B702" s="434"/>
    </row>
    <row r="703" spans="2:2" ht="13.2" x14ac:dyDescent="0.25">
      <c r="B703" s="434"/>
    </row>
    <row r="704" spans="2:2" ht="13.2" x14ac:dyDescent="0.25">
      <c r="B704" s="434"/>
    </row>
    <row r="705" spans="2:2" ht="13.2" x14ac:dyDescent="0.25">
      <c r="B705" s="434"/>
    </row>
    <row r="706" spans="2:2" ht="13.2" x14ac:dyDescent="0.25">
      <c r="B706" s="434"/>
    </row>
    <row r="707" spans="2:2" ht="13.2" x14ac:dyDescent="0.25">
      <c r="B707" s="434"/>
    </row>
    <row r="708" spans="2:2" ht="13.2" x14ac:dyDescent="0.25">
      <c r="B708" s="434"/>
    </row>
    <row r="709" spans="2:2" ht="13.2" x14ac:dyDescent="0.25">
      <c r="B709" s="434"/>
    </row>
    <row r="710" spans="2:2" ht="13.2" x14ac:dyDescent="0.25">
      <c r="B710" s="434"/>
    </row>
    <row r="711" spans="2:2" ht="13.2" x14ac:dyDescent="0.25">
      <c r="B711" s="434"/>
    </row>
    <row r="712" spans="2:2" ht="13.2" x14ac:dyDescent="0.25">
      <c r="B712" s="434"/>
    </row>
    <row r="713" spans="2:2" ht="13.2" x14ac:dyDescent="0.25">
      <c r="B713" s="434"/>
    </row>
    <row r="714" spans="2:2" ht="13.2" x14ac:dyDescent="0.25">
      <c r="B714" s="434"/>
    </row>
    <row r="715" spans="2:2" ht="13.2" x14ac:dyDescent="0.25">
      <c r="B715" s="434"/>
    </row>
    <row r="716" spans="2:2" ht="13.2" x14ac:dyDescent="0.25">
      <c r="B716" s="434"/>
    </row>
    <row r="717" spans="2:2" ht="13.2" x14ac:dyDescent="0.25">
      <c r="B717" s="434"/>
    </row>
    <row r="718" spans="2:2" ht="13.2" x14ac:dyDescent="0.25">
      <c r="B718" s="434"/>
    </row>
    <row r="719" spans="2:2" ht="13.2" x14ac:dyDescent="0.25">
      <c r="B719" s="434"/>
    </row>
    <row r="720" spans="2:2" ht="13.2" x14ac:dyDescent="0.25">
      <c r="B720" s="434"/>
    </row>
    <row r="721" spans="2:2" ht="13.2" x14ac:dyDescent="0.25">
      <c r="B721" s="434"/>
    </row>
    <row r="722" spans="2:2" ht="13.2" x14ac:dyDescent="0.25">
      <c r="B722" s="434"/>
    </row>
    <row r="723" spans="2:2" ht="13.2" x14ac:dyDescent="0.25">
      <c r="B723" s="434"/>
    </row>
    <row r="724" spans="2:2" ht="13.2" x14ac:dyDescent="0.25">
      <c r="B724" s="434"/>
    </row>
    <row r="725" spans="2:2" ht="13.2" x14ac:dyDescent="0.25">
      <c r="B725" s="434"/>
    </row>
    <row r="726" spans="2:2" ht="13.2" x14ac:dyDescent="0.25">
      <c r="B726" s="434"/>
    </row>
    <row r="727" spans="2:2" ht="13.2" x14ac:dyDescent="0.25">
      <c r="B727" s="434"/>
    </row>
    <row r="728" spans="2:2" ht="13.2" x14ac:dyDescent="0.25">
      <c r="B728" s="434"/>
    </row>
    <row r="729" spans="2:2" ht="13.2" x14ac:dyDescent="0.25">
      <c r="B729" s="434"/>
    </row>
    <row r="730" spans="2:2" ht="13.2" x14ac:dyDescent="0.25">
      <c r="B730" s="434"/>
    </row>
    <row r="731" spans="2:2" ht="13.2" x14ac:dyDescent="0.25">
      <c r="B731" s="434"/>
    </row>
    <row r="732" spans="2:2" ht="13.2" x14ac:dyDescent="0.25">
      <c r="B732" s="434"/>
    </row>
    <row r="733" spans="2:2" ht="13.2" x14ac:dyDescent="0.25">
      <c r="B733" s="434"/>
    </row>
    <row r="734" spans="2:2" ht="13.2" x14ac:dyDescent="0.25">
      <c r="B734" s="434"/>
    </row>
    <row r="735" spans="2:2" ht="13.2" x14ac:dyDescent="0.25">
      <c r="B735" s="434"/>
    </row>
    <row r="736" spans="2:2" ht="13.2" x14ac:dyDescent="0.25">
      <c r="B736" s="434"/>
    </row>
    <row r="737" spans="2:2" ht="13.2" x14ac:dyDescent="0.25">
      <c r="B737" s="434"/>
    </row>
    <row r="738" spans="2:2" ht="13.2" x14ac:dyDescent="0.25">
      <c r="B738" s="434"/>
    </row>
    <row r="739" spans="2:2" ht="13.2" x14ac:dyDescent="0.25">
      <c r="B739" s="434"/>
    </row>
    <row r="740" spans="2:2" ht="13.2" x14ac:dyDescent="0.25">
      <c r="B740" s="434"/>
    </row>
    <row r="741" spans="2:2" ht="13.2" x14ac:dyDescent="0.25">
      <c r="B741" s="434"/>
    </row>
    <row r="742" spans="2:2" ht="13.2" x14ac:dyDescent="0.25">
      <c r="B742" s="434"/>
    </row>
    <row r="743" spans="2:2" ht="13.2" x14ac:dyDescent="0.25">
      <c r="B743" s="434"/>
    </row>
    <row r="744" spans="2:2" ht="13.2" x14ac:dyDescent="0.25">
      <c r="B744" s="434"/>
    </row>
    <row r="745" spans="2:2" ht="13.2" x14ac:dyDescent="0.25">
      <c r="B745" s="434"/>
    </row>
    <row r="746" spans="2:2" ht="13.2" x14ac:dyDescent="0.25">
      <c r="B746" s="434"/>
    </row>
    <row r="747" spans="2:2" ht="13.2" x14ac:dyDescent="0.25">
      <c r="B747" s="434"/>
    </row>
    <row r="748" spans="2:2" ht="13.2" x14ac:dyDescent="0.25">
      <c r="B748" s="434"/>
    </row>
    <row r="749" spans="2:2" ht="13.2" x14ac:dyDescent="0.25">
      <c r="B749" s="434"/>
    </row>
    <row r="750" spans="2:2" ht="13.2" x14ac:dyDescent="0.25">
      <c r="B750" s="434"/>
    </row>
    <row r="751" spans="2:2" ht="13.2" x14ac:dyDescent="0.25">
      <c r="B751" s="434"/>
    </row>
    <row r="752" spans="2:2" ht="13.2" x14ac:dyDescent="0.25">
      <c r="B752" s="434"/>
    </row>
    <row r="753" spans="2:2" ht="13.2" x14ac:dyDescent="0.25">
      <c r="B753" s="434"/>
    </row>
    <row r="754" spans="2:2" ht="13.2" x14ac:dyDescent="0.25">
      <c r="B754" s="434"/>
    </row>
    <row r="755" spans="2:2" ht="13.2" x14ac:dyDescent="0.25">
      <c r="B755" s="434"/>
    </row>
    <row r="756" spans="2:2" ht="13.2" x14ac:dyDescent="0.25">
      <c r="B756" s="434"/>
    </row>
    <row r="757" spans="2:2" ht="13.2" x14ac:dyDescent="0.25">
      <c r="B757" s="434"/>
    </row>
    <row r="758" spans="2:2" ht="13.2" x14ac:dyDescent="0.25">
      <c r="B758" s="434"/>
    </row>
    <row r="759" spans="2:2" ht="13.2" x14ac:dyDescent="0.25">
      <c r="B759" s="434"/>
    </row>
    <row r="760" spans="2:2" ht="13.2" x14ac:dyDescent="0.25">
      <c r="B760" s="434"/>
    </row>
    <row r="761" spans="2:2" ht="13.2" x14ac:dyDescent="0.25">
      <c r="B761" s="434"/>
    </row>
    <row r="762" spans="2:2" ht="13.2" x14ac:dyDescent="0.25">
      <c r="B762" s="434"/>
    </row>
    <row r="763" spans="2:2" ht="13.2" x14ac:dyDescent="0.25">
      <c r="B763" s="434"/>
    </row>
    <row r="764" spans="2:2" ht="13.2" x14ac:dyDescent="0.25">
      <c r="B764" s="434"/>
    </row>
    <row r="765" spans="2:2" ht="13.2" x14ac:dyDescent="0.25">
      <c r="B765" s="434"/>
    </row>
    <row r="766" spans="2:2" ht="13.2" x14ac:dyDescent="0.25">
      <c r="B766" s="434"/>
    </row>
    <row r="767" spans="2:2" ht="13.2" x14ac:dyDescent="0.25">
      <c r="B767" s="434"/>
    </row>
    <row r="768" spans="2:2" ht="13.2" x14ac:dyDescent="0.25">
      <c r="B768" s="434"/>
    </row>
    <row r="769" spans="2:2" ht="13.2" x14ac:dyDescent="0.25">
      <c r="B769" s="434"/>
    </row>
    <row r="770" spans="2:2" ht="13.2" x14ac:dyDescent="0.25">
      <c r="B770" s="434"/>
    </row>
    <row r="771" spans="2:2" ht="13.2" x14ac:dyDescent="0.25">
      <c r="B771" s="434"/>
    </row>
    <row r="772" spans="2:2" ht="13.2" x14ac:dyDescent="0.25">
      <c r="B772" s="434"/>
    </row>
    <row r="773" spans="2:2" ht="13.2" x14ac:dyDescent="0.25">
      <c r="B773" s="434"/>
    </row>
    <row r="774" spans="2:2" ht="13.2" x14ac:dyDescent="0.25">
      <c r="B774" s="434"/>
    </row>
    <row r="775" spans="2:2" ht="13.2" x14ac:dyDescent="0.25">
      <c r="B775" s="434"/>
    </row>
    <row r="776" spans="2:2" ht="13.2" x14ac:dyDescent="0.25">
      <c r="B776" s="434"/>
    </row>
    <row r="777" spans="2:2" ht="13.2" x14ac:dyDescent="0.25">
      <c r="B777" s="434"/>
    </row>
    <row r="778" spans="2:2" ht="13.2" x14ac:dyDescent="0.25">
      <c r="B778" s="434"/>
    </row>
    <row r="779" spans="2:2" ht="13.2" x14ac:dyDescent="0.25">
      <c r="B779" s="434"/>
    </row>
    <row r="780" spans="2:2" ht="13.2" x14ac:dyDescent="0.25">
      <c r="B780" s="434"/>
    </row>
    <row r="781" spans="2:2" ht="13.2" x14ac:dyDescent="0.25">
      <c r="B781" s="434"/>
    </row>
    <row r="782" spans="2:2" ht="13.2" x14ac:dyDescent="0.25">
      <c r="B782" s="434"/>
    </row>
    <row r="783" spans="2:2" ht="13.2" x14ac:dyDescent="0.25">
      <c r="B783" s="434"/>
    </row>
    <row r="784" spans="2:2" ht="13.2" x14ac:dyDescent="0.25">
      <c r="B784" s="434"/>
    </row>
    <row r="785" spans="2:2" ht="13.2" x14ac:dyDescent="0.25">
      <c r="B785" s="434"/>
    </row>
    <row r="786" spans="2:2" ht="13.2" x14ac:dyDescent="0.25">
      <c r="B786" s="434"/>
    </row>
    <row r="787" spans="2:2" ht="13.2" x14ac:dyDescent="0.25">
      <c r="B787" s="434"/>
    </row>
    <row r="788" spans="2:2" ht="13.2" x14ac:dyDescent="0.25">
      <c r="B788" s="434"/>
    </row>
    <row r="789" spans="2:2" ht="13.2" x14ac:dyDescent="0.25">
      <c r="B789" s="434"/>
    </row>
    <row r="790" spans="2:2" ht="13.2" x14ac:dyDescent="0.25">
      <c r="B790" s="434"/>
    </row>
    <row r="791" spans="2:2" ht="13.2" x14ac:dyDescent="0.25">
      <c r="B791" s="434"/>
    </row>
    <row r="792" spans="2:2" ht="13.2" x14ac:dyDescent="0.25">
      <c r="B792" s="434"/>
    </row>
    <row r="793" spans="2:2" ht="13.2" x14ac:dyDescent="0.25">
      <c r="B793" s="434"/>
    </row>
    <row r="794" spans="2:2" ht="13.2" x14ac:dyDescent="0.25">
      <c r="B794" s="434"/>
    </row>
    <row r="795" spans="2:2" ht="13.2" x14ac:dyDescent="0.25">
      <c r="B795" s="434"/>
    </row>
    <row r="796" spans="2:2" ht="13.2" x14ac:dyDescent="0.25">
      <c r="B796" s="434"/>
    </row>
    <row r="797" spans="2:2" ht="13.2" x14ac:dyDescent="0.25">
      <c r="B797" s="434"/>
    </row>
    <row r="798" spans="2:2" ht="13.2" x14ac:dyDescent="0.25">
      <c r="B798" s="434"/>
    </row>
    <row r="799" spans="2:2" ht="13.2" x14ac:dyDescent="0.25">
      <c r="B799" s="434"/>
    </row>
    <row r="800" spans="2:2" ht="13.2" x14ac:dyDescent="0.25">
      <c r="B800" s="434"/>
    </row>
    <row r="801" spans="2:2" ht="13.2" x14ac:dyDescent="0.25">
      <c r="B801" s="434"/>
    </row>
    <row r="802" spans="2:2" ht="13.2" x14ac:dyDescent="0.25">
      <c r="B802" s="434"/>
    </row>
    <row r="803" spans="2:2" ht="13.2" x14ac:dyDescent="0.25">
      <c r="B803" s="434"/>
    </row>
    <row r="804" spans="2:2" ht="13.2" x14ac:dyDescent="0.25">
      <c r="B804" s="434"/>
    </row>
    <row r="805" spans="2:2" ht="13.2" x14ac:dyDescent="0.25">
      <c r="B805" s="434"/>
    </row>
    <row r="806" spans="2:2" ht="13.2" x14ac:dyDescent="0.25">
      <c r="B806" s="434"/>
    </row>
    <row r="807" spans="2:2" ht="13.2" x14ac:dyDescent="0.25">
      <c r="B807" s="434"/>
    </row>
    <row r="808" spans="2:2" ht="13.2" x14ac:dyDescent="0.25">
      <c r="B808" s="434"/>
    </row>
    <row r="809" spans="2:2" ht="13.2" x14ac:dyDescent="0.25">
      <c r="B809" s="434"/>
    </row>
    <row r="810" spans="2:2" ht="13.2" x14ac:dyDescent="0.25">
      <c r="B810" s="434"/>
    </row>
    <row r="811" spans="2:2" ht="13.2" x14ac:dyDescent="0.25">
      <c r="B811" s="434"/>
    </row>
    <row r="812" spans="2:2" ht="13.2" x14ac:dyDescent="0.25">
      <c r="B812" s="434"/>
    </row>
    <row r="813" spans="2:2" ht="13.2" x14ac:dyDescent="0.25">
      <c r="B813" s="434"/>
    </row>
    <row r="814" spans="2:2" ht="13.2" x14ac:dyDescent="0.25">
      <c r="B814" s="434"/>
    </row>
    <row r="815" spans="2:2" ht="13.2" x14ac:dyDescent="0.25">
      <c r="B815" s="434"/>
    </row>
    <row r="816" spans="2:2" ht="13.2" x14ac:dyDescent="0.25">
      <c r="B816" s="434"/>
    </row>
    <row r="817" spans="2:2" ht="13.2" x14ac:dyDescent="0.25">
      <c r="B817" s="434"/>
    </row>
    <row r="818" spans="2:2" ht="13.2" x14ac:dyDescent="0.25">
      <c r="B818" s="434"/>
    </row>
    <row r="819" spans="2:2" ht="13.2" x14ac:dyDescent="0.25">
      <c r="B819" s="434"/>
    </row>
    <row r="820" spans="2:2" ht="13.2" x14ac:dyDescent="0.25">
      <c r="B820" s="434"/>
    </row>
    <row r="821" spans="2:2" ht="13.2" x14ac:dyDescent="0.25">
      <c r="B821" s="434"/>
    </row>
    <row r="822" spans="2:2" ht="13.2" x14ac:dyDescent="0.25">
      <c r="B822" s="434"/>
    </row>
    <row r="823" spans="2:2" ht="13.2" x14ac:dyDescent="0.25">
      <c r="B823" s="434"/>
    </row>
    <row r="824" spans="2:2" ht="13.2" x14ac:dyDescent="0.25">
      <c r="B824" s="434"/>
    </row>
    <row r="825" spans="2:2" ht="13.2" x14ac:dyDescent="0.25">
      <c r="B825" s="434"/>
    </row>
    <row r="826" spans="2:2" ht="13.2" x14ac:dyDescent="0.25">
      <c r="B826" s="434"/>
    </row>
    <row r="827" spans="2:2" ht="13.2" x14ac:dyDescent="0.25">
      <c r="B827" s="434"/>
    </row>
    <row r="828" spans="2:2" ht="13.2" x14ac:dyDescent="0.25">
      <c r="B828" s="434"/>
    </row>
    <row r="829" spans="2:2" ht="13.2" x14ac:dyDescent="0.25">
      <c r="B829" s="434"/>
    </row>
    <row r="830" spans="2:2" ht="13.2" x14ac:dyDescent="0.25">
      <c r="B830" s="434"/>
    </row>
    <row r="831" spans="2:2" ht="13.2" x14ac:dyDescent="0.25">
      <c r="B831" s="434"/>
    </row>
    <row r="832" spans="2:2" ht="13.2" x14ac:dyDescent="0.25">
      <c r="B832" s="434"/>
    </row>
    <row r="833" spans="2:2" ht="13.2" x14ac:dyDescent="0.25">
      <c r="B833" s="434"/>
    </row>
    <row r="834" spans="2:2" ht="13.2" x14ac:dyDescent="0.25">
      <c r="B834" s="434"/>
    </row>
    <row r="835" spans="2:2" ht="13.2" x14ac:dyDescent="0.25">
      <c r="B835" s="434"/>
    </row>
    <row r="836" spans="2:2" ht="13.2" x14ac:dyDescent="0.25">
      <c r="B836" s="434"/>
    </row>
    <row r="837" spans="2:2" ht="13.2" x14ac:dyDescent="0.25">
      <c r="B837" s="434"/>
    </row>
    <row r="838" spans="2:2" ht="13.2" x14ac:dyDescent="0.25">
      <c r="B838" s="434"/>
    </row>
    <row r="839" spans="2:2" ht="13.2" x14ac:dyDescent="0.25">
      <c r="B839" s="434"/>
    </row>
    <row r="840" spans="2:2" ht="13.2" x14ac:dyDescent="0.25">
      <c r="B840" s="434"/>
    </row>
    <row r="841" spans="2:2" ht="13.2" x14ac:dyDescent="0.25">
      <c r="B841" s="434"/>
    </row>
    <row r="842" spans="2:2" ht="13.2" x14ac:dyDescent="0.25">
      <c r="B842" s="434"/>
    </row>
    <row r="843" spans="2:2" ht="13.2" x14ac:dyDescent="0.25">
      <c r="B843" s="434"/>
    </row>
    <row r="844" spans="2:2" ht="13.2" x14ac:dyDescent="0.25">
      <c r="B844" s="434"/>
    </row>
    <row r="845" spans="2:2" ht="13.2" x14ac:dyDescent="0.25">
      <c r="B845" s="434"/>
    </row>
    <row r="846" spans="2:2" ht="13.2" x14ac:dyDescent="0.25">
      <c r="B846" s="434"/>
    </row>
    <row r="847" spans="2:2" ht="13.2" x14ac:dyDescent="0.25">
      <c r="B847" s="434"/>
    </row>
    <row r="848" spans="2:2" ht="13.2" x14ac:dyDescent="0.25">
      <c r="B848" s="434"/>
    </row>
    <row r="849" spans="2:2" ht="13.2" x14ac:dyDescent="0.25">
      <c r="B849" s="434"/>
    </row>
    <row r="850" spans="2:2" ht="13.2" x14ac:dyDescent="0.25">
      <c r="B850" s="434"/>
    </row>
    <row r="851" spans="2:2" ht="13.2" x14ac:dyDescent="0.25">
      <c r="B851" s="434"/>
    </row>
    <row r="852" spans="2:2" ht="13.2" x14ac:dyDescent="0.25">
      <c r="B852" s="434"/>
    </row>
    <row r="853" spans="2:2" ht="13.2" x14ac:dyDescent="0.25">
      <c r="B853" s="434"/>
    </row>
    <row r="854" spans="2:2" ht="13.2" x14ac:dyDescent="0.25">
      <c r="B854" s="434"/>
    </row>
    <row r="855" spans="2:2" ht="13.2" x14ac:dyDescent="0.25">
      <c r="B855" s="434"/>
    </row>
    <row r="856" spans="2:2" ht="13.2" x14ac:dyDescent="0.25">
      <c r="B856" s="434"/>
    </row>
    <row r="857" spans="2:2" ht="13.2" x14ac:dyDescent="0.25">
      <c r="B857" s="434"/>
    </row>
    <row r="858" spans="2:2" ht="13.2" x14ac:dyDescent="0.25">
      <c r="B858" s="434"/>
    </row>
    <row r="859" spans="2:2" ht="13.2" x14ac:dyDescent="0.25">
      <c r="B859" s="434"/>
    </row>
    <row r="860" spans="2:2" ht="13.2" x14ac:dyDescent="0.25">
      <c r="B860" s="434"/>
    </row>
    <row r="861" spans="2:2" ht="13.2" x14ac:dyDescent="0.25">
      <c r="B861" s="434"/>
    </row>
    <row r="862" spans="2:2" ht="13.2" x14ac:dyDescent="0.25">
      <c r="B862" s="434"/>
    </row>
    <row r="863" spans="2:2" ht="13.2" x14ac:dyDescent="0.25">
      <c r="B863" s="434"/>
    </row>
    <row r="864" spans="2:2" ht="13.2" x14ac:dyDescent="0.25">
      <c r="B864" s="434"/>
    </row>
    <row r="865" spans="2:2" ht="13.2" x14ac:dyDescent="0.25">
      <c r="B865" s="434"/>
    </row>
    <row r="866" spans="2:2" ht="13.2" x14ac:dyDescent="0.25">
      <c r="B866" s="434"/>
    </row>
    <row r="867" spans="2:2" ht="13.2" x14ac:dyDescent="0.25">
      <c r="B867" s="434"/>
    </row>
    <row r="868" spans="2:2" ht="13.2" x14ac:dyDescent="0.25">
      <c r="B868" s="434"/>
    </row>
    <row r="869" spans="2:2" ht="13.2" x14ac:dyDescent="0.25">
      <c r="B869" s="434"/>
    </row>
    <row r="870" spans="2:2" ht="13.2" x14ac:dyDescent="0.25">
      <c r="B870" s="434"/>
    </row>
    <row r="871" spans="2:2" ht="13.2" x14ac:dyDescent="0.25">
      <c r="B871" s="434"/>
    </row>
    <row r="872" spans="2:2" ht="13.2" x14ac:dyDescent="0.25">
      <c r="B872" s="434"/>
    </row>
    <row r="873" spans="2:2" ht="13.2" x14ac:dyDescent="0.25">
      <c r="B873" s="434"/>
    </row>
    <row r="874" spans="2:2" ht="13.2" x14ac:dyDescent="0.25">
      <c r="B874" s="434"/>
    </row>
    <row r="875" spans="2:2" ht="13.2" x14ac:dyDescent="0.25">
      <c r="B875" s="434"/>
    </row>
    <row r="876" spans="2:2" ht="13.2" x14ac:dyDescent="0.25">
      <c r="B876" s="434"/>
    </row>
    <row r="877" spans="2:2" ht="13.2" x14ac:dyDescent="0.25">
      <c r="B877" s="434"/>
    </row>
    <row r="878" spans="2:2" ht="13.2" x14ac:dyDescent="0.25">
      <c r="B878" s="434"/>
    </row>
    <row r="879" spans="2:2" ht="13.2" x14ac:dyDescent="0.25">
      <c r="B879" s="434"/>
    </row>
    <row r="880" spans="2:2" ht="13.2" x14ac:dyDescent="0.25">
      <c r="B880" s="434"/>
    </row>
    <row r="881" spans="2:2" ht="13.2" x14ac:dyDescent="0.25">
      <c r="B881" s="434"/>
    </row>
    <row r="882" spans="2:2" ht="13.2" x14ac:dyDescent="0.25">
      <c r="B882" s="434"/>
    </row>
    <row r="883" spans="2:2" ht="13.2" x14ac:dyDescent="0.25">
      <c r="B883" s="434"/>
    </row>
    <row r="884" spans="2:2" ht="13.2" x14ac:dyDescent="0.25">
      <c r="B884" s="434"/>
    </row>
    <row r="885" spans="2:2" ht="13.2" x14ac:dyDescent="0.25">
      <c r="B885" s="434"/>
    </row>
    <row r="886" spans="2:2" ht="13.2" x14ac:dyDescent="0.25">
      <c r="B886" s="434"/>
    </row>
    <row r="887" spans="2:2" ht="13.2" x14ac:dyDescent="0.25">
      <c r="B887" s="434"/>
    </row>
    <row r="888" spans="2:2" ht="13.2" x14ac:dyDescent="0.25">
      <c r="B888" s="434"/>
    </row>
    <row r="889" spans="2:2" ht="13.2" x14ac:dyDescent="0.25">
      <c r="B889" s="434"/>
    </row>
    <row r="890" spans="2:2" ht="13.2" x14ac:dyDescent="0.25">
      <c r="B890" s="434"/>
    </row>
    <row r="891" spans="2:2" ht="13.2" x14ac:dyDescent="0.25">
      <c r="B891" s="434"/>
    </row>
    <row r="892" spans="2:2" ht="13.2" x14ac:dyDescent="0.25">
      <c r="B892" s="434"/>
    </row>
    <row r="893" spans="2:2" ht="13.2" x14ac:dyDescent="0.25">
      <c r="B893" s="434"/>
    </row>
    <row r="894" spans="2:2" ht="13.2" x14ac:dyDescent="0.25">
      <c r="B894" s="434"/>
    </row>
    <row r="895" spans="2:2" ht="13.2" x14ac:dyDescent="0.25">
      <c r="B895" s="434"/>
    </row>
    <row r="896" spans="2:2" ht="13.2" x14ac:dyDescent="0.25">
      <c r="B896" s="434"/>
    </row>
    <row r="897" spans="2:2" ht="13.2" x14ac:dyDescent="0.25">
      <c r="B897" s="434"/>
    </row>
    <row r="898" spans="2:2" ht="13.2" x14ac:dyDescent="0.25">
      <c r="B898" s="434"/>
    </row>
    <row r="899" spans="2:2" ht="13.2" x14ac:dyDescent="0.25">
      <c r="B899" s="434"/>
    </row>
    <row r="900" spans="2:2" ht="13.2" x14ac:dyDescent="0.25">
      <c r="B900" s="434"/>
    </row>
    <row r="901" spans="2:2" ht="13.2" x14ac:dyDescent="0.25">
      <c r="B901" s="434"/>
    </row>
    <row r="902" spans="2:2" ht="13.2" x14ac:dyDescent="0.25">
      <c r="B902" s="434"/>
    </row>
    <row r="903" spans="2:2" ht="13.2" x14ac:dyDescent="0.25">
      <c r="B903" s="434"/>
    </row>
    <row r="904" spans="2:2" ht="13.2" x14ac:dyDescent="0.25">
      <c r="B904" s="434"/>
    </row>
    <row r="905" spans="2:2" ht="13.2" x14ac:dyDescent="0.25">
      <c r="B905" s="434"/>
    </row>
    <row r="906" spans="2:2" ht="13.2" x14ac:dyDescent="0.25">
      <c r="B906" s="434"/>
    </row>
    <row r="907" spans="2:2" ht="13.2" x14ac:dyDescent="0.25">
      <c r="B907" s="434"/>
    </row>
    <row r="908" spans="2:2" ht="13.2" x14ac:dyDescent="0.25">
      <c r="B908" s="434"/>
    </row>
    <row r="909" spans="2:2" ht="13.2" x14ac:dyDescent="0.25">
      <c r="B909" s="434"/>
    </row>
    <row r="910" spans="2:2" ht="13.2" x14ac:dyDescent="0.25">
      <c r="B910" s="434"/>
    </row>
    <row r="911" spans="2:2" ht="13.2" x14ac:dyDescent="0.25">
      <c r="B911" s="434"/>
    </row>
    <row r="912" spans="2:2" ht="13.2" x14ac:dyDescent="0.25">
      <c r="B912" s="434"/>
    </row>
    <row r="913" spans="2:2" ht="13.2" x14ac:dyDescent="0.25">
      <c r="B913" s="434"/>
    </row>
    <row r="914" spans="2:2" ht="13.2" x14ac:dyDescent="0.25">
      <c r="B914" s="434"/>
    </row>
    <row r="915" spans="2:2" ht="13.2" x14ac:dyDescent="0.25">
      <c r="B915" s="434"/>
    </row>
    <row r="916" spans="2:2" ht="13.2" x14ac:dyDescent="0.25">
      <c r="B916" s="434"/>
    </row>
    <row r="917" spans="2:2" ht="13.2" x14ac:dyDescent="0.25">
      <c r="B917" s="434"/>
    </row>
    <row r="918" spans="2:2" ht="13.2" x14ac:dyDescent="0.25">
      <c r="B918" s="434"/>
    </row>
    <row r="919" spans="2:2" ht="13.2" x14ac:dyDescent="0.25">
      <c r="B919" s="434"/>
    </row>
    <row r="920" spans="2:2" ht="13.2" x14ac:dyDescent="0.25">
      <c r="B920" s="434"/>
    </row>
    <row r="921" spans="2:2" ht="13.2" x14ac:dyDescent="0.25">
      <c r="B921" s="434"/>
    </row>
    <row r="922" spans="2:2" ht="13.2" x14ac:dyDescent="0.25">
      <c r="B922" s="434"/>
    </row>
    <row r="923" spans="2:2" ht="13.2" x14ac:dyDescent="0.25">
      <c r="B923" s="434"/>
    </row>
    <row r="924" spans="2:2" ht="13.2" x14ac:dyDescent="0.25">
      <c r="B924" s="434"/>
    </row>
    <row r="925" spans="2:2" ht="13.2" x14ac:dyDescent="0.25">
      <c r="B925" s="434"/>
    </row>
    <row r="926" spans="2:2" ht="13.2" x14ac:dyDescent="0.25">
      <c r="B926" s="434"/>
    </row>
    <row r="927" spans="2:2" ht="13.2" x14ac:dyDescent="0.25">
      <c r="B927" s="434"/>
    </row>
    <row r="928" spans="2:2" ht="13.2" x14ac:dyDescent="0.25">
      <c r="B928" s="434"/>
    </row>
    <row r="929" spans="2:2" ht="13.2" x14ac:dyDescent="0.25">
      <c r="B929" s="434"/>
    </row>
    <row r="930" spans="2:2" ht="13.2" x14ac:dyDescent="0.25">
      <c r="B930" s="434"/>
    </row>
    <row r="931" spans="2:2" ht="13.2" x14ac:dyDescent="0.25">
      <c r="B931" s="434"/>
    </row>
    <row r="932" spans="2:2" ht="13.2" x14ac:dyDescent="0.25">
      <c r="B932" s="434"/>
    </row>
    <row r="933" spans="2:2" ht="13.2" x14ac:dyDescent="0.25">
      <c r="B933" s="434"/>
    </row>
    <row r="934" spans="2:2" ht="13.2" x14ac:dyDescent="0.25">
      <c r="B934" s="434"/>
    </row>
    <row r="935" spans="2:2" ht="13.2" x14ac:dyDescent="0.25">
      <c r="B935" s="434"/>
    </row>
    <row r="936" spans="2:2" ht="13.2" x14ac:dyDescent="0.25">
      <c r="B936" s="434"/>
    </row>
    <row r="937" spans="2:2" ht="13.2" x14ac:dyDescent="0.25">
      <c r="B937" s="434"/>
    </row>
    <row r="938" spans="2:2" ht="13.2" x14ac:dyDescent="0.25">
      <c r="B938" s="434"/>
    </row>
    <row r="939" spans="2:2" ht="13.2" x14ac:dyDescent="0.25">
      <c r="B939" s="434"/>
    </row>
    <row r="940" spans="2:2" ht="13.2" x14ac:dyDescent="0.25">
      <c r="B940" s="434"/>
    </row>
    <row r="941" spans="2:2" ht="13.2" x14ac:dyDescent="0.25">
      <c r="B941" s="434"/>
    </row>
    <row r="942" spans="2:2" ht="13.2" x14ac:dyDescent="0.25">
      <c r="B942" s="434"/>
    </row>
    <row r="943" spans="2:2" ht="13.2" x14ac:dyDescent="0.25">
      <c r="B943" s="434"/>
    </row>
    <row r="944" spans="2:2" ht="13.2" x14ac:dyDescent="0.25">
      <c r="B944" s="434"/>
    </row>
    <row r="945" spans="2:2" ht="13.2" x14ac:dyDescent="0.25">
      <c r="B945" s="434"/>
    </row>
    <row r="946" spans="2:2" ht="13.2" x14ac:dyDescent="0.25">
      <c r="B946" s="434"/>
    </row>
    <row r="947" spans="2:2" ht="13.2" x14ac:dyDescent="0.25">
      <c r="B947" s="434"/>
    </row>
    <row r="948" spans="2:2" ht="13.2" x14ac:dyDescent="0.25">
      <c r="B948" s="434"/>
    </row>
    <row r="949" spans="2:2" ht="13.2" x14ac:dyDescent="0.25">
      <c r="B949" s="434"/>
    </row>
    <row r="950" spans="2:2" ht="13.2" x14ac:dyDescent="0.25">
      <c r="B950" s="434"/>
    </row>
    <row r="951" spans="2:2" ht="13.2" x14ac:dyDescent="0.25">
      <c r="B951" s="434"/>
    </row>
    <row r="952" spans="2:2" ht="13.2" x14ac:dyDescent="0.25">
      <c r="B952" s="434"/>
    </row>
    <row r="953" spans="2:2" ht="13.2" x14ac:dyDescent="0.25">
      <c r="B953" s="434"/>
    </row>
    <row r="954" spans="2:2" ht="13.2" x14ac:dyDescent="0.25">
      <c r="B954" s="434"/>
    </row>
    <row r="955" spans="2:2" ht="13.2" x14ac:dyDescent="0.25">
      <c r="B955" s="434"/>
    </row>
    <row r="956" spans="2:2" ht="13.2" x14ac:dyDescent="0.25">
      <c r="B956" s="434"/>
    </row>
    <row r="957" spans="2:2" ht="13.2" x14ac:dyDescent="0.25">
      <c r="B957" s="434"/>
    </row>
    <row r="958" spans="2:2" ht="13.2" x14ac:dyDescent="0.25">
      <c r="B958" s="434"/>
    </row>
    <row r="959" spans="2:2" ht="13.2" x14ac:dyDescent="0.25">
      <c r="B959" s="434"/>
    </row>
    <row r="960" spans="2:2" ht="13.2" x14ac:dyDescent="0.25">
      <c r="B960" s="434"/>
    </row>
    <row r="961" spans="2:2" ht="13.2" x14ac:dyDescent="0.25">
      <c r="B961" s="434"/>
    </row>
    <row r="962" spans="2:2" ht="13.2" x14ac:dyDescent="0.25">
      <c r="B962" s="434"/>
    </row>
    <row r="963" spans="2:2" ht="13.2" x14ac:dyDescent="0.25">
      <c r="B963" s="434"/>
    </row>
    <row r="964" spans="2:2" ht="13.2" x14ac:dyDescent="0.25">
      <c r="B964" s="434"/>
    </row>
    <row r="965" spans="2:2" ht="13.2" x14ac:dyDescent="0.25">
      <c r="B965" s="434"/>
    </row>
    <row r="966" spans="2:2" ht="13.2" x14ac:dyDescent="0.25">
      <c r="B966" s="434"/>
    </row>
    <row r="967" spans="2:2" ht="13.2" x14ac:dyDescent="0.25">
      <c r="B967" s="434"/>
    </row>
    <row r="968" spans="2:2" ht="13.2" x14ac:dyDescent="0.25">
      <c r="B968" s="434"/>
    </row>
    <row r="969" spans="2:2" ht="13.2" x14ac:dyDescent="0.25">
      <c r="B969" s="434"/>
    </row>
    <row r="970" spans="2:2" ht="13.2" x14ac:dyDescent="0.25">
      <c r="B970" s="434"/>
    </row>
    <row r="971" spans="2:2" ht="13.2" x14ac:dyDescent="0.25">
      <c r="B971" s="434"/>
    </row>
    <row r="972" spans="2:2" ht="13.2" x14ac:dyDescent="0.25">
      <c r="B972" s="434"/>
    </row>
    <row r="973" spans="2:2" ht="13.2" x14ac:dyDescent="0.25">
      <c r="B973" s="434"/>
    </row>
    <row r="974" spans="2:2" ht="13.2" x14ac:dyDescent="0.25">
      <c r="B974" s="434"/>
    </row>
    <row r="975" spans="2:2" ht="13.2" x14ac:dyDescent="0.25">
      <c r="B975" s="434"/>
    </row>
    <row r="976" spans="2:2" ht="13.2" x14ac:dyDescent="0.25">
      <c r="B976" s="434"/>
    </row>
    <row r="977" spans="2:2" ht="13.2" x14ac:dyDescent="0.25">
      <c r="B977" s="434"/>
    </row>
    <row r="978" spans="2:2" ht="13.2" x14ac:dyDescent="0.25">
      <c r="B978" s="434"/>
    </row>
    <row r="979" spans="2:2" ht="13.2" x14ac:dyDescent="0.25">
      <c r="B979" s="434"/>
    </row>
    <row r="980" spans="2:2" ht="13.2" x14ac:dyDescent="0.25">
      <c r="B980" s="434"/>
    </row>
    <row r="981" spans="2:2" ht="13.2" x14ac:dyDescent="0.25">
      <c r="B981" s="434"/>
    </row>
    <row r="982" spans="2:2" ht="13.2" x14ac:dyDescent="0.25">
      <c r="B982" s="434"/>
    </row>
    <row r="983" spans="2:2" ht="13.2" x14ac:dyDescent="0.25">
      <c r="B983" s="434"/>
    </row>
    <row r="984" spans="2:2" ht="13.2" x14ac:dyDescent="0.25">
      <c r="B984" s="434"/>
    </row>
    <row r="985" spans="2:2" ht="13.2" x14ac:dyDescent="0.25">
      <c r="B985" s="434"/>
    </row>
    <row r="986" spans="2:2" ht="13.2" x14ac:dyDescent="0.25">
      <c r="B986" s="434"/>
    </row>
    <row r="987" spans="2:2" ht="13.2" x14ac:dyDescent="0.25">
      <c r="B987" s="434"/>
    </row>
    <row r="988" spans="2:2" ht="13.2" x14ac:dyDescent="0.25">
      <c r="B988" s="434"/>
    </row>
  </sheetData>
  <sheetProtection algorithmName="SHA-512" hashValue="fQeIIUXJL9nZClABTjqUZEsYBV3PDUsGjIM3KrL0aioqnc+PNtO7kssDR+6vh57rbUCp+G1O5/vS4qfwI/rmew==" saltValue="gkNQnw8xel4Vke/Niz+zlQ==" spinCount="100000" sheet="1" objects="1" scenarios="1"/>
  <pageMargins left="0.7" right="0.7" top="0.75" bottom="0.75" header="0.3" footer="0.3"/>
  <pageSetup orientation="portrait" r:id="rId1"/>
  <headerFooter>
    <oddHeader>&amp;R&amp;"Aptos"&amp;12&amp;K000000 UNCLASSIFIED - NON CLASSIFIÉ&amp;1#_x000D_</oddHead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9"/>
  <dimension ref="A1:S71"/>
  <sheetViews>
    <sheetView zoomScaleNormal="100" workbookViewId="0">
      <pane ySplit="2" topLeftCell="A3" activePane="bottomLeft" state="frozen"/>
      <selection activeCell="K14" sqref="K14"/>
      <selection pane="bottomLeft" activeCell="A3" sqref="A3"/>
    </sheetView>
  </sheetViews>
  <sheetFormatPr defaultColWidth="8.81640625" defaultRowHeight="15" x14ac:dyDescent="0.25"/>
  <cols>
    <col min="1" max="1" width="3.81640625" style="429" customWidth="1"/>
    <col min="2" max="2" width="80.453125" style="471" customWidth="1"/>
    <col min="3" max="3" width="46.81640625" style="429" customWidth="1"/>
    <col min="4" max="16384" width="8.81640625" style="429"/>
  </cols>
  <sheetData>
    <row r="1" spans="1:19" ht="31.95" customHeight="1" x14ac:dyDescent="0.25">
      <c r="A1" s="446" t="s">
        <v>1971</v>
      </c>
      <c r="B1" s="447"/>
      <c r="C1" s="447"/>
      <c r="G1" s="448"/>
      <c r="K1" s="449"/>
      <c r="L1" s="449"/>
      <c r="P1" s="1422"/>
      <c r="Q1" s="1422"/>
      <c r="R1" s="1423"/>
      <c r="S1" s="1423"/>
    </row>
    <row r="2" spans="1:19" ht="58.65" customHeight="1" x14ac:dyDescent="0.5">
      <c r="A2" s="450" t="str">
        <f>rng_date_on_file</f>
        <v>April 2026</v>
      </c>
      <c r="B2" s="451" t="s">
        <v>1776</v>
      </c>
      <c r="C2" s="452"/>
      <c r="E2" s="453"/>
      <c r="F2" s="453"/>
      <c r="G2" s="453"/>
      <c r="H2" s="453"/>
      <c r="I2" s="453"/>
      <c r="J2" s="453"/>
      <c r="K2" s="1424"/>
      <c r="L2" s="1424"/>
      <c r="M2" s="1424"/>
      <c r="N2" s="1424"/>
      <c r="O2" s="1424"/>
      <c r="P2" s="1425"/>
      <c r="Q2" s="1426"/>
      <c r="R2" s="1427"/>
      <c r="S2" s="1428"/>
    </row>
    <row r="3" spans="1:19" ht="38.25" customHeight="1" x14ac:dyDescent="0.25">
      <c r="B3" s="454" t="s">
        <v>1785</v>
      </c>
      <c r="C3" s="455"/>
    </row>
    <row r="4" spans="1:19" ht="71.400000000000006" customHeight="1" x14ac:dyDescent="0.25">
      <c r="B4" s="1421" t="s">
        <v>1777</v>
      </c>
      <c r="C4" s="1421"/>
    </row>
    <row r="5" spans="1:19" ht="44.1" customHeight="1" x14ac:dyDescent="0.25">
      <c r="B5" s="1421" t="s">
        <v>1778</v>
      </c>
      <c r="C5" s="1421"/>
    </row>
    <row r="6" spans="1:19" ht="84.15" customHeight="1" x14ac:dyDescent="0.25">
      <c r="B6" s="1421" t="s">
        <v>3466</v>
      </c>
      <c r="C6" s="1421"/>
    </row>
    <row r="7" spans="1:19" ht="22.65" customHeight="1" x14ac:dyDescent="0.25">
      <c r="B7" s="456" t="s">
        <v>1234</v>
      </c>
      <c r="C7" s="457"/>
    </row>
    <row r="8" spans="1:19" ht="46.5" customHeight="1" x14ac:dyDescent="0.25">
      <c r="B8" s="1420" t="s">
        <v>1779</v>
      </c>
      <c r="C8" s="1420"/>
    </row>
    <row r="9" spans="1:19" ht="37.5" customHeight="1" x14ac:dyDescent="0.25">
      <c r="B9" s="1420" t="s">
        <v>1449</v>
      </c>
      <c r="C9" s="1420"/>
    </row>
    <row r="10" spans="1:19" ht="310.64999999999998" customHeight="1" x14ac:dyDescent="0.25">
      <c r="B10" s="1420" t="s">
        <v>1780</v>
      </c>
      <c r="C10" s="1420"/>
    </row>
    <row r="11" spans="1:19" ht="95.25" customHeight="1" x14ac:dyDescent="0.25">
      <c r="B11" s="1419" t="s">
        <v>1781</v>
      </c>
      <c r="C11" s="1419"/>
    </row>
    <row r="12" spans="1:19" ht="36.75" customHeight="1" x14ac:dyDescent="0.25">
      <c r="B12" s="1419" t="s">
        <v>1782</v>
      </c>
      <c r="C12" s="1419"/>
    </row>
    <row r="13" spans="1:19" ht="51.75" customHeight="1" x14ac:dyDescent="0.25">
      <c r="B13" s="1419" t="s">
        <v>1235</v>
      </c>
      <c r="C13" s="1419"/>
    </row>
    <row r="14" spans="1:19" ht="33.75" customHeight="1" x14ac:dyDescent="0.25">
      <c r="B14" s="1419" t="s">
        <v>1783</v>
      </c>
      <c r="C14" s="1419"/>
    </row>
    <row r="15" spans="1:19" ht="134.4" customHeight="1" x14ac:dyDescent="0.25">
      <c r="B15" s="459" t="s">
        <v>1236</v>
      </c>
    </row>
    <row r="16" spans="1:19" s="460" customFormat="1" ht="92.25" customHeight="1" x14ac:dyDescent="0.25">
      <c r="B16" s="1420" t="s">
        <v>1784</v>
      </c>
      <c r="C16" s="1420"/>
    </row>
    <row r="17" spans="2:3" ht="37.5" customHeight="1" x14ac:dyDescent="0.25">
      <c r="B17" s="1420" t="s">
        <v>1237</v>
      </c>
      <c r="C17" s="1420"/>
    </row>
    <row r="18" spans="2:3" ht="23.1" customHeight="1" x14ac:dyDescent="0.25">
      <c r="B18" s="1420" t="s">
        <v>1258</v>
      </c>
      <c r="C18" s="1420"/>
    </row>
    <row r="20" spans="2:3" x14ac:dyDescent="0.25">
      <c r="B20" s="461" t="s">
        <v>1417</v>
      </c>
    </row>
    <row r="21" spans="2:3" x14ac:dyDescent="0.25">
      <c r="B21" s="462" t="s">
        <v>1259</v>
      </c>
    </row>
    <row r="22" spans="2:3" x14ac:dyDescent="0.25">
      <c r="B22" s="463" t="s">
        <v>1415</v>
      </c>
    </row>
    <row r="23" spans="2:3" x14ac:dyDescent="0.25">
      <c r="B23" s="464" t="s">
        <v>1536</v>
      </c>
    </row>
    <row r="24" spans="2:3" x14ac:dyDescent="0.25">
      <c r="B24" s="465" t="s">
        <v>1414</v>
      </c>
    </row>
    <row r="29" spans="2:3" ht="15.6" x14ac:dyDescent="0.3">
      <c r="B29" s="466" t="s">
        <v>1786</v>
      </c>
    </row>
    <row r="30" spans="2:3" ht="28.2" customHeight="1" x14ac:dyDescent="0.25">
      <c r="B30" s="1419" t="s">
        <v>1787</v>
      </c>
      <c r="C30" s="1419"/>
    </row>
    <row r="32" spans="2:3" ht="27" customHeight="1" x14ac:dyDescent="0.25">
      <c r="B32" s="467" t="s">
        <v>1788</v>
      </c>
    </row>
    <row r="33" spans="1:3" x14ac:dyDescent="0.25">
      <c r="B33" s="455" t="s">
        <v>1238</v>
      </c>
    </row>
    <row r="34" spans="1:3" ht="47.85" customHeight="1" x14ac:dyDescent="0.25">
      <c r="B34" s="1419" t="s">
        <v>1239</v>
      </c>
      <c r="C34" s="1419"/>
    </row>
    <row r="35" spans="1:3" x14ac:dyDescent="0.25">
      <c r="B35" s="458" t="s">
        <v>1240</v>
      </c>
    </row>
    <row r="36" spans="1:3" x14ac:dyDescent="0.25">
      <c r="B36" s="468"/>
    </row>
    <row r="37" spans="1:3" x14ac:dyDescent="0.25">
      <c r="B37" s="455" t="s">
        <v>1241</v>
      </c>
    </row>
    <row r="38" spans="1:3" ht="41.4" customHeight="1" x14ac:dyDescent="0.25">
      <c r="B38" s="1419" t="s">
        <v>1789</v>
      </c>
      <c r="C38" s="1419"/>
    </row>
    <row r="39" spans="1:3" ht="53.85" customHeight="1" x14ac:dyDescent="0.25">
      <c r="B39" s="1419" t="s">
        <v>1790</v>
      </c>
      <c r="C39" s="1419"/>
    </row>
    <row r="40" spans="1:3" ht="29.25" customHeight="1" x14ac:dyDescent="0.25">
      <c r="B40" s="455" t="s">
        <v>1242</v>
      </c>
    </row>
    <row r="41" spans="1:3" ht="28.2" customHeight="1" x14ac:dyDescent="0.25">
      <c r="B41" s="1419" t="s">
        <v>1243</v>
      </c>
      <c r="C41" s="1419"/>
    </row>
    <row r="42" spans="1:3" ht="28.2" customHeight="1" x14ac:dyDescent="0.25">
      <c r="B42" s="1419" t="s">
        <v>1244</v>
      </c>
      <c r="C42" s="1419"/>
    </row>
    <row r="43" spans="1:3" ht="30.6" customHeight="1" x14ac:dyDescent="0.25">
      <c r="B43" s="455" t="s">
        <v>1245</v>
      </c>
    </row>
    <row r="44" spans="1:3" ht="21.15" customHeight="1" x14ac:dyDescent="0.25">
      <c r="B44" s="458" t="s">
        <v>1246</v>
      </c>
    </row>
    <row r="45" spans="1:3" ht="19.2" customHeight="1" x14ac:dyDescent="0.25">
      <c r="A45" s="469"/>
      <c r="B45" s="470" t="s">
        <v>1247</v>
      </c>
    </row>
    <row r="46" spans="1:3" hidden="1" x14ac:dyDescent="0.25">
      <c r="A46" s="469"/>
      <c r="B46" s="458" t="s">
        <v>1248</v>
      </c>
    </row>
    <row r="47" spans="1:3" x14ac:dyDescent="0.25">
      <c r="A47" s="469"/>
      <c r="B47" s="458" t="s">
        <v>1249</v>
      </c>
    </row>
    <row r="48" spans="1:3" x14ac:dyDescent="0.25">
      <c r="A48" s="469"/>
      <c r="B48" s="458" t="s">
        <v>1250</v>
      </c>
    </row>
    <row r="49" spans="1:3" x14ac:dyDescent="0.25">
      <c r="A49" s="469"/>
      <c r="B49" s="458" t="s">
        <v>1251</v>
      </c>
    </row>
    <row r="50" spans="1:3" x14ac:dyDescent="0.25">
      <c r="A50" s="469"/>
      <c r="B50" s="458" t="s">
        <v>1252</v>
      </c>
    </row>
    <row r="51" spans="1:3" x14ac:dyDescent="0.25">
      <c r="A51" s="469"/>
      <c r="B51" s="458" t="s">
        <v>1253</v>
      </c>
    </row>
    <row r="52" spans="1:3" ht="41.4" customHeight="1" x14ac:dyDescent="0.25">
      <c r="B52" s="1419" t="s">
        <v>1711</v>
      </c>
      <c r="C52" s="1419"/>
    </row>
    <row r="53" spans="1:3" ht="41.4" customHeight="1" x14ac:dyDescent="0.25">
      <c r="B53" s="1419" t="s">
        <v>1791</v>
      </c>
      <c r="C53" s="1419"/>
    </row>
    <row r="54" spans="1:3" ht="27.75" customHeight="1" x14ac:dyDescent="0.25">
      <c r="B54" s="1419" t="s">
        <v>1792</v>
      </c>
      <c r="C54" s="1419"/>
    </row>
    <row r="55" spans="1:3" ht="36.75" customHeight="1" x14ac:dyDescent="0.25">
      <c r="B55" s="1429" t="s">
        <v>1416</v>
      </c>
      <c r="C55" s="1429"/>
    </row>
    <row r="56" spans="1:3" ht="36.75" customHeight="1" x14ac:dyDescent="0.25">
      <c r="B56" s="1419" t="s">
        <v>1254</v>
      </c>
      <c r="C56" s="1419"/>
    </row>
    <row r="57" spans="1:3" ht="55.2" customHeight="1" x14ac:dyDescent="0.25">
      <c r="B57" s="1419" t="s">
        <v>1255</v>
      </c>
      <c r="C57" s="1419"/>
    </row>
    <row r="58" spans="1:3" ht="64.5" customHeight="1" x14ac:dyDescent="0.25">
      <c r="B58" s="1419" t="s">
        <v>1712</v>
      </c>
      <c r="C58" s="1419"/>
    </row>
    <row r="59" spans="1:3" ht="36.75" customHeight="1" x14ac:dyDescent="0.25">
      <c r="B59" s="455" t="s">
        <v>1256</v>
      </c>
    </row>
    <row r="60" spans="1:3" ht="37.200000000000003" customHeight="1" x14ac:dyDescent="0.25">
      <c r="B60" s="1419" t="s">
        <v>4037</v>
      </c>
      <c r="C60" s="1419"/>
    </row>
    <row r="61" spans="1:3" ht="35.4" customHeight="1" x14ac:dyDescent="0.25">
      <c r="B61" s="1419" t="s">
        <v>4038</v>
      </c>
      <c r="C61" s="1419"/>
    </row>
    <row r="62" spans="1:3" ht="20.399999999999999" customHeight="1" x14ac:dyDescent="0.25">
      <c r="B62" s="1419" t="s">
        <v>4039</v>
      </c>
      <c r="C62" s="1419"/>
    </row>
    <row r="63" spans="1:3" ht="31.2" customHeight="1" x14ac:dyDescent="0.25">
      <c r="B63" s="1419" t="s">
        <v>4040</v>
      </c>
      <c r="C63" s="1419"/>
    </row>
    <row r="64" spans="1:3" ht="34.5" customHeight="1" x14ac:dyDescent="0.25">
      <c r="B64" s="1419" t="s">
        <v>4041</v>
      </c>
      <c r="C64" s="1419"/>
    </row>
    <row r="65" spans="2:3" x14ac:dyDescent="0.25">
      <c r="B65" s="468"/>
    </row>
    <row r="66" spans="2:3" x14ac:dyDescent="0.25">
      <c r="B66" s="455" t="s">
        <v>1257</v>
      </c>
    </row>
    <row r="67" spans="2:3" ht="28.5" customHeight="1" x14ac:dyDescent="0.25">
      <c r="B67" s="1419" t="s">
        <v>1793</v>
      </c>
      <c r="C67" s="1419"/>
    </row>
    <row r="70" spans="2:3" x14ac:dyDescent="0.25">
      <c r="B70" s="471" t="s">
        <v>4901</v>
      </c>
    </row>
    <row r="71" spans="2:3" x14ac:dyDescent="0.25">
      <c r="B71" s="471" t="s">
        <v>4900</v>
      </c>
    </row>
  </sheetData>
  <sheetProtection algorithmName="SHA-512" hashValue="f1nRDy5vKw0lwrWVbsB05pzdzcQGp/KKIX6SimcbvWfnwUcW+zQu8nmYfILm8TXIjARSyxxJJMfC7BHfA1upzA==" saltValue="y6PdGqnL6AiUhcLbEihAbQ==" spinCount="100000" sheet="1" objects="1" scenarios="1"/>
  <mergeCells count="37">
    <mergeCell ref="B17:C17"/>
    <mergeCell ref="B55:C55"/>
    <mergeCell ref="B56:C56"/>
    <mergeCell ref="B57:C57"/>
    <mergeCell ref="B58:C58"/>
    <mergeCell ref="B18:C18"/>
    <mergeCell ref="B42:C42"/>
    <mergeCell ref="B52:C52"/>
    <mergeCell ref="B53:C53"/>
    <mergeCell ref="B54:C54"/>
    <mergeCell ref="B30:C30"/>
    <mergeCell ref="B34:C34"/>
    <mergeCell ref="B38:C38"/>
    <mergeCell ref="B39:C39"/>
    <mergeCell ref="B41:C41"/>
    <mergeCell ref="P1:Q1"/>
    <mergeCell ref="R1:S1"/>
    <mergeCell ref="K2:O2"/>
    <mergeCell ref="P2:Q2"/>
    <mergeCell ref="R2:S2"/>
    <mergeCell ref="B12:C12"/>
    <mergeCell ref="B13:C13"/>
    <mergeCell ref="B14:C14"/>
    <mergeCell ref="B16:C16"/>
    <mergeCell ref="B4:C4"/>
    <mergeCell ref="B10:C10"/>
    <mergeCell ref="B5:C5"/>
    <mergeCell ref="B6:C6"/>
    <mergeCell ref="B8:C8"/>
    <mergeCell ref="B9:C9"/>
    <mergeCell ref="B11:C11"/>
    <mergeCell ref="B60:C60"/>
    <mergeCell ref="B61:C61"/>
    <mergeCell ref="B63:C63"/>
    <mergeCell ref="B64:C64"/>
    <mergeCell ref="B67:C67"/>
    <mergeCell ref="B62:C62"/>
  </mergeCells>
  <pageMargins left="0.7" right="0.7" top="0.75" bottom="0.75" header="0.3" footer="0.3"/>
  <pageSetup orientation="portrait" r:id="rId1"/>
  <headerFooter>
    <oddHeader>&amp;R&amp;"Aptos"&amp;12&amp;K000000 UNCLASSIFIED - NON CLASSIFIÉ&amp;1#_x000D_</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3"/>
  <dimension ref="A1:S71"/>
  <sheetViews>
    <sheetView zoomScaleNormal="100" workbookViewId="0">
      <pane ySplit="2" topLeftCell="A3" activePane="bottomLeft" state="frozen"/>
      <selection activeCell="D18" sqref="D18"/>
      <selection pane="bottomLeft" activeCell="A2" sqref="A2"/>
    </sheetView>
  </sheetViews>
  <sheetFormatPr defaultColWidth="8.81640625" defaultRowHeight="15" x14ac:dyDescent="0.25"/>
  <cols>
    <col min="1" max="1" width="3.81640625" style="474" customWidth="1"/>
    <col min="2" max="2" width="80.453125" style="498" customWidth="1"/>
    <col min="3" max="3" width="46.81640625" style="474" customWidth="1"/>
    <col min="4" max="4" width="8.81640625" style="474"/>
    <col min="5" max="5" width="17.6328125" style="474" customWidth="1"/>
    <col min="6" max="16384" width="8.81640625" style="474"/>
  </cols>
  <sheetData>
    <row r="1" spans="1:19" ht="36" customHeight="1" x14ac:dyDescent="0.25">
      <c r="A1" s="472" t="s">
        <v>1972</v>
      </c>
      <c r="B1" s="473"/>
      <c r="C1" s="473"/>
      <c r="G1" s="475"/>
      <c r="K1" s="476"/>
      <c r="L1" s="476"/>
      <c r="P1" s="1433"/>
      <c r="Q1" s="1433"/>
      <c r="R1" s="1434"/>
      <c r="S1" s="1434"/>
    </row>
    <row r="2" spans="1:19" ht="58.65" customHeight="1" x14ac:dyDescent="0.5">
      <c r="A2" s="477" t="str">
        <f>rng_date_on_file</f>
        <v>April 2026</v>
      </c>
      <c r="B2" s="478" t="s">
        <v>3462</v>
      </c>
      <c r="C2" s="479"/>
      <c r="E2" s="480"/>
      <c r="F2" s="480"/>
      <c r="G2" s="480"/>
      <c r="H2" s="480"/>
      <c r="I2" s="480"/>
      <c r="J2" s="480"/>
      <c r="K2" s="1435"/>
      <c r="L2" s="1435"/>
      <c r="M2" s="1435"/>
      <c r="N2" s="1435"/>
      <c r="O2" s="1435"/>
      <c r="P2" s="1436"/>
      <c r="Q2" s="1437"/>
      <c r="R2" s="1438"/>
      <c r="S2" s="1439"/>
    </row>
    <row r="3" spans="1:19" ht="38.25" customHeight="1" x14ac:dyDescent="0.25">
      <c r="B3" s="481" t="s">
        <v>1903</v>
      </c>
      <c r="C3" s="482"/>
    </row>
    <row r="4" spans="1:19" ht="69.75" customHeight="1" x14ac:dyDescent="0.25">
      <c r="B4" s="1440" t="s">
        <v>3464</v>
      </c>
      <c r="C4" s="1440"/>
    </row>
    <row r="5" spans="1:19" ht="39.75" customHeight="1" x14ac:dyDescent="0.25">
      <c r="B5" s="1440" t="s">
        <v>3465</v>
      </c>
      <c r="C5" s="1440"/>
    </row>
    <row r="6" spans="1:19" ht="75.75" customHeight="1" x14ac:dyDescent="0.25">
      <c r="B6" s="1440" t="s">
        <v>3467</v>
      </c>
      <c r="C6" s="1440"/>
    </row>
    <row r="7" spans="1:19" ht="22.65" customHeight="1" x14ac:dyDescent="0.25">
      <c r="B7" s="483" t="s">
        <v>1904</v>
      </c>
      <c r="C7" s="484"/>
    </row>
    <row r="8" spans="1:19" ht="46.5" customHeight="1" x14ac:dyDescent="0.25">
      <c r="B8" s="1432" t="s">
        <v>1905</v>
      </c>
      <c r="C8" s="1432"/>
    </row>
    <row r="9" spans="1:19" ht="37.5" customHeight="1" x14ac:dyDescent="0.25">
      <c r="B9" s="1432" t="s">
        <v>1906</v>
      </c>
      <c r="C9" s="1432"/>
    </row>
    <row r="10" spans="1:19" ht="310.64999999999998" customHeight="1" x14ac:dyDescent="0.25">
      <c r="B10" s="1432" t="s">
        <v>1907</v>
      </c>
      <c r="C10" s="1432"/>
      <c r="E10" s="476" t="s">
        <v>3461</v>
      </c>
    </row>
    <row r="11" spans="1:19" ht="95.25" customHeight="1" x14ac:dyDescent="0.25">
      <c r="B11" s="1430" t="s">
        <v>1908</v>
      </c>
      <c r="C11" s="1430"/>
    </row>
    <row r="12" spans="1:19" ht="36.75" customHeight="1" x14ac:dyDescent="0.25">
      <c r="B12" s="1430" t="s">
        <v>1909</v>
      </c>
      <c r="C12" s="1430"/>
    </row>
    <row r="13" spans="1:19" ht="51.75" customHeight="1" x14ac:dyDescent="0.25">
      <c r="B13" s="1430" t="s">
        <v>3468</v>
      </c>
      <c r="C13" s="1430"/>
    </row>
    <row r="14" spans="1:19" ht="33.75" customHeight="1" x14ac:dyDescent="0.25">
      <c r="B14" s="1430" t="s">
        <v>1910</v>
      </c>
      <c r="C14" s="1430"/>
    </row>
    <row r="15" spans="1:19" ht="152.4" customHeight="1" x14ac:dyDescent="0.25">
      <c r="B15" s="486" t="s">
        <v>1911</v>
      </c>
    </row>
    <row r="16" spans="1:19" s="487" customFormat="1" ht="106.5" customHeight="1" x14ac:dyDescent="0.25">
      <c r="B16" s="1432" t="s">
        <v>3469</v>
      </c>
      <c r="C16" s="1432"/>
    </row>
    <row r="17" spans="2:3" ht="37.5" customHeight="1" x14ac:dyDescent="0.25">
      <c r="B17" s="1432" t="s">
        <v>1912</v>
      </c>
      <c r="C17" s="1432"/>
    </row>
    <row r="18" spans="2:3" ht="34.5" customHeight="1" x14ac:dyDescent="0.25">
      <c r="B18" s="1432" t="s">
        <v>1913</v>
      </c>
      <c r="C18" s="1432"/>
    </row>
    <row r="20" spans="2:3" x14ac:dyDescent="0.25">
      <c r="B20" s="488" t="s">
        <v>1914</v>
      </c>
    </row>
    <row r="21" spans="2:3" x14ac:dyDescent="0.25">
      <c r="B21" s="489" t="s">
        <v>3470</v>
      </c>
    </row>
    <row r="22" spans="2:3" x14ac:dyDescent="0.25">
      <c r="B22" s="490" t="s">
        <v>1915</v>
      </c>
    </row>
    <row r="23" spans="2:3" x14ac:dyDescent="0.25">
      <c r="B23" s="491" t="s">
        <v>3471</v>
      </c>
    </row>
    <row r="24" spans="2:3" x14ac:dyDescent="0.25">
      <c r="B24" s="492" t="s">
        <v>1916</v>
      </c>
    </row>
    <row r="29" spans="2:3" ht="15.6" x14ac:dyDescent="0.3">
      <c r="B29" s="493" t="s">
        <v>1917</v>
      </c>
    </row>
    <row r="30" spans="2:3" ht="28.2" customHeight="1" x14ac:dyDescent="0.25">
      <c r="B30" s="1430" t="s">
        <v>1918</v>
      </c>
      <c r="C30" s="1430"/>
    </row>
    <row r="32" spans="2:3" ht="27" customHeight="1" x14ac:dyDescent="0.25">
      <c r="B32" s="494" t="s">
        <v>1919</v>
      </c>
    </row>
    <row r="33" spans="1:3" ht="27.6" x14ac:dyDescent="0.25">
      <c r="B33" s="482" t="s">
        <v>1920</v>
      </c>
    </row>
    <row r="34" spans="1:3" ht="59.25" customHeight="1" x14ac:dyDescent="0.25">
      <c r="B34" s="1430" t="s">
        <v>1921</v>
      </c>
      <c r="C34" s="1430"/>
    </row>
    <row r="35" spans="1:3" x14ac:dyDescent="0.25">
      <c r="B35" s="485" t="s">
        <v>1922</v>
      </c>
    </row>
    <row r="36" spans="1:3" x14ac:dyDescent="0.25">
      <c r="B36" s="495"/>
    </row>
    <row r="37" spans="1:3" x14ac:dyDescent="0.25">
      <c r="B37" s="482" t="s">
        <v>1923</v>
      </c>
    </row>
    <row r="38" spans="1:3" ht="44.4" customHeight="1" x14ac:dyDescent="0.25">
      <c r="B38" s="1430" t="s">
        <v>1924</v>
      </c>
      <c r="C38" s="1430"/>
    </row>
    <row r="39" spans="1:3" ht="59.25" customHeight="1" x14ac:dyDescent="0.25">
      <c r="B39" s="1430" t="s">
        <v>1925</v>
      </c>
      <c r="C39" s="1430"/>
    </row>
    <row r="40" spans="1:3" ht="29.25" customHeight="1" x14ac:dyDescent="0.25">
      <c r="B40" s="482" t="s">
        <v>1926</v>
      </c>
    </row>
    <row r="41" spans="1:3" ht="28.2" customHeight="1" x14ac:dyDescent="0.25">
      <c r="B41" s="1430" t="s">
        <v>1927</v>
      </c>
      <c r="C41" s="1430"/>
    </row>
    <row r="42" spans="1:3" ht="28.2" customHeight="1" x14ac:dyDescent="0.25">
      <c r="B42" s="1430" t="s">
        <v>1928</v>
      </c>
      <c r="C42" s="1430"/>
    </row>
    <row r="43" spans="1:3" ht="30.6" customHeight="1" x14ac:dyDescent="0.25">
      <c r="B43" s="482" t="s">
        <v>1929</v>
      </c>
    </row>
    <row r="44" spans="1:3" ht="21.15" customHeight="1" x14ac:dyDescent="0.25">
      <c r="B44" s="485" t="s">
        <v>1930</v>
      </c>
    </row>
    <row r="45" spans="1:3" x14ac:dyDescent="0.25">
      <c r="A45" s="496"/>
      <c r="B45" s="497" t="s">
        <v>3472</v>
      </c>
    </row>
    <row r="46" spans="1:3" hidden="1" x14ac:dyDescent="0.25">
      <c r="A46" s="496"/>
      <c r="B46" s="485" t="s">
        <v>1931</v>
      </c>
    </row>
    <row r="47" spans="1:3" x14ac:dyDescent="0.25">
      <c r="A47" s="496"/>
      <c r="B47" s="485" t="s">
        <v>1932</v>
      </c>
    </row>
    <row r="48" spans="1:3" x14ac:dyDescent="0.25">
      <c r="A48" s="496"/>
      <c r="B48" s="485" t="s">
        <v>1933</v>
      </c>
    </row>
    <row r="49" spans="1:3" x14ac:dyDescent="0.25">
      <c r="A49" s="496"/>
      <c r="B49" s="485" t="s">
        <v>1934</v>
      </c>
    </row>
    <row r="50" spans="1:3" x14ac:dyDescent="0.25">
      <c r="A50" s="496"/>
      <c r="B50" s="485" t="s">
        <v>1935</v>
      </c>
    </row>
    <row r="51" spans="1:3" x14ac:dyDescent="0.25">
      <c r="A51" s="496"/>
      <c r="B51" s="485" t="s">
        <v>1936</v>
      </c>
    </row>
    <row r="52" spans="1:3" ht="41.4" customHeight="1" x14ac:dyDescent="0.25">
      <c r="B52" s="1430" t="s">
        <v>1937</v>
      </c>
      <c r="C52" s="1430"/>
    </row>
    <row r="53" spans="1:3" ht="46.5" customHeight="1" x14ac:dyDescent="0.25">
      <c r="B53" s="1430" t="s">
        <v>1938</v>
      </c>
      <c r="C53" s="1430"/>
    </row>
    <row r="54" spans="1:3" ht="27.75" customHeight="1" x14ac:dyDescent="0.25">
      <c r="B54" s="1430" t="s">
        <v>1939</v>
      </c>
      <c r="C54" s="1430"/>
    </row>
    <row r="55" spans="1:3" ht="36.75" customHeight="1" x14ac:dyDescent="0.25">
      <c r="B55" s="1431" t="s">
        <v>1940</v>
      </c>
      <c r="C55" s="1431"/>
    </row>
    <row r="56" spans="1:3" ht="37.5" customHeight="1" x14ac:dyDescent="0.25">
      <c r="B56" s="1430" t="s">
        <v>3309</v>
      </c>
      <c r="C56" s="1430"/>
    </row>
    <row r="57" spans="1:3" ht="48.75" customHeight="1" x14ac:dyDescent="0.25">
      <c r="B57" s="1430" t="s">
        <v>1941</v>
      </c>
      <c r="C57" s="1430"/>
    </row>
    <row r="58" spans="1:3" ht="64.5" customHeight="1" x14ac:dyDescent="0.25">
      <c r="B58" s="1430" t="s">
        <v>1942</v>
      </c>
      <c r="C58" s="1430"/>
    </row>
    <row r="59" spans="1:3" ht="25.5" customHeight="1" x14ac:dyDescent="0.25">
      <c r="B59" s="482" t="s">
        <v>1943</v>
      </c>
    </row>
    <row r="60" spans="1:3" ht="35.4" customHeight="1" x14ac:dyDescent="0.25">
      <c r="B60" s="1430" t="s">
        <v>4042</v>
      </c>
      <c r="C60" s="1430"/>
    </row>
    <row r="61" spans="1:3" ht="35.4" customHeight="1" x14ac:dyDescent="0.25">
      <c r="B61" s="1430" t="s">
        <v>4043</v>
      </c>
      <c r="C61" s="1430"/>
    </row>
    <row r="62" spans="1:3" ht="35.4" customHeight="1" x14ac:dyDescent="0.25">
      <c r="B62" s="485" t="s">
        <v>4044</v>
      </c>
      <c r="C62" s="485"/>
    </row>
    <row r="63" spans="1:3" ht="36" customHeight="1" x14ac:dyDescent="0.25">
      <c r="B63" s="1430" t="s">
        <v>4045</v>
      </c>
      <c r="C63" s="1430"/>
    </row>
    <row r="64" spans="1:3" ht="49.95" customHeight="1" x14ac:dyDescent="0.25">
      <c r="B64" s="1430" t="s">
        <v>4046</v>
      </c>
      <c r="C64" s="1430"/>
    </row>
    <row r="65" spans="2:3" x14ac:dyDescent="0.25">
      <c r="B65" s="495"/>
    </row>
    <row r="66" spans="2:3" x14ac:dyDescent="0.25">
      <c r="B66" s="482" t="s">
        <v>1944</v>
      </c>
    </row>
    <row r="67" spans="2:3" ht="30.75" customHeight="1" x14ac:dyDescent="0.25">
      <c r="B67" s="1430" t="s">
        <v>1945</v>
      </c>
      <c r="C67" s="1430"/>
    </row>
    <row r="70" spans="2:3" x14ac:dyDescent="0.25">
      <c r="B70" s="471" t="s">
        <v>4899</v>
      </c>
    </row>
    <row r="71" spans="2:3" x14ac:dyDescent="0.25">
      <c r="B71" s="471" t="s">
        <v>4900</v>
      </c>
    </row>
  </sheetData>
  <sheetProtection algorithmName="SHA-512" hashValue="XMWMOubdwRc55McIDk30t3364otYE6P0JPfm7zavbukqxnl8jDJphZCBTTX4HmB4Y2U88shCQQxusdfJLT0MoQ==" saltValue="uNcMovKy/SUn9rmoureI+g==" spinCount="100000" sheet="1" objects="1" scenarios="1"/>
  <mergeCells count="36">
    <mergeCell ref="B11:C11"/>
    <mergeCell ref="P1:Q1"/>
    <mergeCell ref="R1:S1"/>
    <mergeCell ref="K2:O2"/>
    <mergeCell ref="P2:Q2"/>
    <mergeCell ref="R2:S2"/>
    <mergeCell ref="B4:C4"/>
    <mergeCell ref="B5:C5"/>
    <mergeCell ref="B6:C6"/>
    <mergeCell ref="B8:C8"/>
    <mergeCell ref="B9:C9"/>
    <mergeCell ref="B10:C10"/>
    <mergeCell ref="B42:C42"/>
    <mergeCell ref="B12:C12"/>
    <mergeCell ref="B13:C13"/>
    <mergeCell ref="B14:C14"/>
    <mergeCell ref="B16:C16"/>
    <mergeCell ref="B17:C17"/>
    <mergeCell ref="B18:C18"/>
    <mergeCell ref="B30:C30"/>
    <mergeCell ref="B34:C34"/>
    <mergeCell ref="B38:C38"/>
    <mergeCell ref="B39:C39"/>
    <mergeCell ref="B41:C41"/>
    <mergeCell ref="B67:C67"/>
    <mergeCell ref="B52:C52"/>
    <mergeCell ref="B53:C53"/>
    <mergeCell ref="B54:C54"/>
    <mergeCell ref="B55:C55"/>
    <mergeCell ref="B56:C56"/>
    <mergeCell ref="B57:C57"/>
    <mergeCell ref="B58:C58"/>
    <mergeCell ref="B60:C60"/>
    <mergeCell ref="B61:C61"/>
    <mergeCell ref="B63:C63"/>
    <mergeCell ref="B64:C64"/>
  </mergeCells>
  <pageMargins left="0.7" right="0.7" top="0.75" bottom="0.75" header="0.3" footer="0.3"/>
  <pageSetup orientation="portrait" r:id="rId1"/>
  <headerFooter>
    <oddHeader>&amp;R&amp;"Aptos"&amp;12&amp;K000000 UNCLASSIFIED - NON CLASSIFIÉ&amp;1#_x000D_</oddHead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
  <dimension ref="A1:AI263"/>
  <sheetViews>
    <sheetView showGridLines="0" tabSelected="1" zoomScale="80" zoomScaleNormal="80" workbookViewId="0">
      <pane ySplit="6" topLeftCell="A7" activePane="bottomLeft" state="frozen"/>
      <selection pane="bottomLeft" activeCell="D36" sqref="D36"/>
    </sheetView>
  </sheetViews>
  <sheetFormatPr defaultColWidth="51.36328125" defaultRowHeight="15" outlineLevelRow="1" x14ac:dyDescent="0.25"/>
  <cols>
    <col min="1" max="1" width="7.81640625" style="499" customWidth="1"/>
    <col min="2" max="2" width="17.453125" style="499" customWidth="1"/>
    <col min="3" max="3" width="17.1796875" style="499" customWidth="1"/>
    <col min="4" max="4" width="13.1796875" style="499" customWidth="1"/>
    <col min="5" max="5" width="1.90625" style="499" customWidth="1"/>
    <col min="6" max="6" width="4.90625" style="499" customWidth="1"/>
    <col min="7" max="7" width="11.81640625" style="499" customWidth="1"/>
    <col min="8" max="8" width="2.36328125" style="500" customWidth="1"/>
    <col min="9" max="9" width="11.1796875" style="499" customWidth="1"/>
    <col min="10" max="10" width="2.1796875" style="499" customWidth="1"/>
    <col min="11" max="11" width="10.1796875" style="499" customWidth="1"/>
    <col min="12" max="12" width="13.6328125" style="501" customWidth="1"/>
    <col min="13" max="13" width="4.36328125" style="501" customWidth="1"/>
    <col min="14" max="15" width="17.81640625" style="499" customWidth="1"/>
    <col min="16" max="16" width="15.453125" style="499" customWidth="1"/>
    <col min="17" max="17" width="13.54296875" style="499" customWidth="1"/>
    <col min="18" max="18" width="8.36328125" style="499" customWidth="1"/>
    <col min="19" max="19" width="3.08984375" style="499" customWidth="1"/>
    <col min="20" max="20" width="7.54296875" style="499" customWidth="1"/>
    <col min="21" max="21" width="3.08984375" style="499" customWidth="1"/>
    <col min="22" max="22" width="7.453125" style="499" customWidth="1"/>
    <col min="23" max="23" width="4.81640625" style="499" customWidth="1"/>
    <col min="24" max="24" width="6.6328125" style="499" customWidth="1"/>
    <col min="25" max="25" width="4.6328125" style="499" customWidth="1"/>
    <col min="26" max="26" width="4.453125" style="499" customWidth="1"/>
    <col min="27" max="27" width="6.6328125" style="499" customWidth="1"/>
    <col min="28" max="28" width="4.90625" style="499" customWidth="1"/>
    <col min="29" max="29" width="6.6328125" style="499" customWidth="1"/>
    <col min="30" max="30" width="4" style="499" customWidth="1"/>
    <col min="31" max="31" width="5.54296875" style="499" customWidth="1"/>
    <col min="32" max="32" width="6.6328125" style="499" customWidth="1"/>
    <col min="33" max="33" width="3.08984375" style="499" customWidth="1"/>
    <col min="34" max="16384" width="51.36328125" style="499"/>
  </cols>
  <sheetData>
    <row r="1" spans="1:33" ht="51" customHeight="1" x14ac:dyDescent="0.25">
      <c r="Q1" s="502"/>
      <c r="R1" s="1442" t="s">
        <v>3324</v>
      </c>
      <c r="S1" s="1443"/>
      <c r="T1" s="1443"/>
      <c r="U1" s="1443"/>
      <c r="V1" s="1443"/>
      <c r="W1" s="1443"/>
      <c r="X1" s="1443"/>
      <c r="Y1" s="1443"/>
      <c r="Z1" s="1443"/>
      <c r="AA1" s="1443"/>
      <c r="AB1" s="1443"/>
      <c r="AC1" s="1443"/>
      <c r="AD1" s="1443"/>
      <c r="AE1" s="1443"/>
      <c r="AF1" s="1443"/>
      <c r="AG1" s="1443"/>
    </row>
    <row r="2" spans="1:33" ht="7.5" customHeight="1" x14ac:dyDescent="0.25">
      <c r="A2" s="1506" t="str">
        <f>rng_date_on_file</f>
        <v>April 2026</v>
      </c>
      <c r="B2" s="505"/>
      <c r="C2" s="1508" t="s">
        <v>1776</v>
      </c>
      <c r="D2" s="1508"/>
      <c r="E2" s="1508"/>
      <c r="F2" s="1508"/>
      <c r="G2" s="1508"/>
      <c r="H2" s="1508"/>
      <c r="I2" s="1508"/>
      <c r="J2" s="1508"/>
      <c r="K2" s="1508"/>
      <c r="L2" s="1509" t="s">
        <v>3407</v>
      </c>
      <c r="M2" s="1509"/>
      <c r="N2" s="1509"/>
      <c r="O2" s="1509"/>
      <c r="P2" s="1509"/>
      <c r="Q2" s="506"/>
      <c r="R2" s="507"/>
      <c r="S2" s="507"/>
      <c r="T2" s="507"/>
      <c r="U2" s="507"/>
      <c r="V2" s="507"/>
      <c r="W2" s="507"/>
      <c r="X2" s="507"/>
      <c r="Y2" s="507"/>
      <c r="Z2" s="507"/>
      <c r="AA2" s="507"/>
      <c r="AB2" s="507"/>
      <c r="AC2" s="508"/>
      <c r="AD2" s="508"/>
      <c r="AE2" s="508"/>
      <c r="AF2" s="508"/>
      <c r="AG2" s="508"/>
    </row>
    <row r="3" spans="1:33" customFormat="1" ht="22.65" customHeight="1" thickBot="1" x14ac:dyDescent="0.3">
      <c r="A3" s="1507"/>
      <c r="B3" s="509"/>
      <c r="C3" s="1508"/>
      <c r="D3" s="1508"/>
      <c r="E3" s="1508"/>
      <c r="F3" s="1508"/>
      <c r="G3" s="1508"/>
      <c r="H3" s="1508"/>
      <c r="I3" s="1508"/>
      <c r="J3" s="1508"/>
      <c r="K3" s="1508"/>
      <c r="L3" s="1509"/>
      <c r="M3" s="1509"/>
      <c r="N3" s="1509"/>
      <c r="O3" s="1509"/>
      <c r="P3" s="1509"/>
      <c r="R3" s="1444" t="s">
        <v>3312</v>
      </c>
      <c r="S3" s="1444"/>
      <c r="T3" s="1444"/>
      <c r="U3" s="1444"/>
      <c r="V3" s="1444"/>
      <c r="W3" s="499"/>
      <c r="X3" s="1444" t="s">
        <v>3313</v>
      </c>
      <c r="Y3" s="1444"/>
      <c r="Z3" s="1444"/>
      <c r="AA3" s="1444"/>
      <c r="AB3" s="499"/>
      <c r="AC3" s="1444" t="s">
        <v>3314</v>
      </c>
      <c r="AD3" s="1444"/>
      <c r="AE3" s="1444"/>
      <c r="AF3" s="1444"/>
      <c r="AG3" s="499"/>
    </row>
    <row r="4" spans="1:33" customFormat="1" ht="20.25" customHeight="1" thickBot="1" x14ac:dyDescent="0.3">
      <c r="A4" s="1507"/>
      <c r="B4" s="509"/>
      <c r="C4" s="1508"/>
      <c r="D4" s="1508"/>
      <c r="E4" s="1508"/>
      <c r="F4" s="1508"/>
      <c r="G4" s="1508"/>
      <c r="H4" s="1508"/>
      <c r="I4" s="1508"/>
      <c r="J4" s="1508"/>
      <c r="K4" s="1508"/>
      <c r="L4" s="1509"/>
      <c r="M4" s="1509"/>
      <c r="N4" s="1509"/>
      <c r="O4" s="1509"/>
      <c r="P4" s="1509"/>
      <c r="R4" s="355">
        <v>5</v>
      </c>
      <c r="S4" s="1445" t="s">
        <v>3316</v>
      </c>
      <c r="T4" s="1446"/>
      <c r="U4" s="1447">
        <f>R4/0.0283168</f>
        <v>176.57362413832072</v>
      </c>
      <c r="V4" s="1448"/>
      <c r="W4" s="511" t="s">
        <v>3320</v>
      </c>
      <c r="X4" s="355">
        <v>628</v>
      </c>
      <c r="Y4" s="1445" t="s">
        <v>3317</v>
      </c>
      <c r="Z4" s="1446"/>
      <c r="AA4" s="512">
        <f>X4*10.7639</f>
        <v>6759.7291999999998</v>
      </c>
      <c r="AB4" s="511" t="s">
        <v>3319</v>
      </c>
      <c r="AC4" s="355">
        <v>1</v>
      </c>
      <c r="AD4" s="1445" t="s">
        <v>3318</v>
      </c>
      <c r="AE4" s="1446"/>
      <c r="AF4" s="512">
        <f>AC4*3.28084</f>
        <v>3.28084</v>
      </c>
      <c r="AG4" s="511" t="s">
        <v>3315</v>
      </c>
    </row>
    <row r="5" spans="1:33" customFormat="1" ht="20.25" customHeight="1" thickBot="1" x14ac:dyDescent="0.3">
      <c r="A5" s="1507"/>
      <c r="B5" s="509"/>
      <c r="C5" s="1508"/>
      <c r="D5" s="1508"/>
      <c r="E5" s="1508"/>
      <c r="F5" s="1508"/>
      <c r="G5" s="1508"/>
      <c r="H5" s="1508"/>
      <c r="I5" s="1508"/>
      <c r="J5" s="1508"/>
      <c r="K5" s="1508"/>
      <c r="L5" s="1509"/>
      <c r="M5" s="1509"/>
      <c r="N5" s="1509"/>
      <c r="O5" s="1509"/>
      <c r="P5" s="1509"/>
      <c r="R5" s="355">
        <v>45</v>
      </c>
      <c r="S5" s="1445" t="s">
        <v>3476</v>
      </c>
      <c r="T5" s="1446"/>
      <c r="U5" s="1447">
        <f>R5/35.3147</f>
        <v>1.2742568958535681</v>
      </c>
      <c r="V5" s="1448"/>
      <c r="W5" s="511" t="s">
        <v>1280</v>
      </c>
      <c r="X5" s="355">
        <v>26</v>
      </c>
      <c r="Y5" s="1445" t="s">
        <v>3477</v>
      </c>
      <c r="Z5" s="1446"/>
      <c r="AA5" s="512">
        <f>X5*0.092903</f>
        <v>2.4154779999999998</v>
      </c>
      <c r="AB5" s="511" t="s">
        <v>1281</v>
      </c>
      <c r="AC5" s="355">
        <v>100</v>
      </c>
      <c r="AD5" s="1445" t="s">
        <v>3478</v>
      </c>
      <c r="AE5" s="1446"/>
      <c r="AF5" s="512">
        <f>AC5*0.3048</f>
        <v>30.48</v>
      </c>
      <c r="AG5" s="511" t="s">
        <v>22</v>
      </c>
    </row>
    <row r="6" spans="1:33" customFormat="1" ht="9" customHeight="1" x14ac:dyDescent="0.25">
      <c r="A6" s="1507"/>
      <c r="B6" s="509"/>
      <c r="C6" s="1508"/>
      <c r="D6" s="1508"/>
      <c r="E6" s="1508"/>
      <c r="F6" s="1508"/>
      <c r="G6" s="1508"/>
      <c r="H6" s="1508"/>
      <c r="I6" s="1508"/>
      <c r="J6" s="1508"/>
      <c r="K6" s="1508"/>
      <c r="L6" s="1509"/>
      <c r="M6" s="1509"/>
      <c r="N6" s="1509"/>
      <c r="O6" s="1509"/>
      <c r="P6" s="1509"/>
      <c r="R6" s="508"/>
      <c r="S6" s="513"/>
      <c r="T6" s="514"/>
      <c r="U6" s="514"/>
      <c r="V6" s="514"/>
      <c r="W6" s="514"/>
      <c r="X6" s="514"/>
      <c r="Y6" s="514"/>
      <c r="Z6" s="514"/>
      <c r="AA6" s="514"/>
      <c r="AB6" s="514"/>
      <c r="AC6" s="499"/>
      <c r="AD6" s="499"/>
      <c r="AE6" s="499"/>
      <c r="AF6" s="499"/>
      <c r="AG6" s="499"/>
    </row>
    <row r="7" spans="1:33" ht="42.75" customHeight="1" x14ac:dyDescent="0.4">
      <c r="A7" s="515" t="s">
        <v>3408</v>
      </c>
      <c r="B7" s="516" t="s">
        <v>1282</v>
      </c>
      <c r="C7" s="516"/>
      <c r="D7" s="517"/>
      <c r="E7" s="517"/>
      <c r="F7" s="517"/>
      <c r="G7" s="517"/>
      <c r="H7" s="518"/>
      <c r="I7" s="517"/>
      <c r="J7" s="517"/>
      <c r="K7" s="517"/>
      <c r="L7" s="519"/>
      <c r="M7" s="519"/>
      <c r="N7" s="1514" t="s">
        <v>1108</v>
      </c>
      <c r="O7" s="1514"/>
      <c r="P7" s="520" t="s">
        <v>3458</v>
      </c>
      <c r="Q7" s="520" t="s">
        <v>6780</v>
      </c>
      <c r="R7" s="521"/>
      <c r="S7" s="1515" t="s">
        <v>3474</v>
      </c>
      <c r="T7" s="1515"/>
      <c r="U7" s="1515"/>
      <c r="V7" s="1515"/>
      <c r="W7" s="1515"/>
      <c r="X7" s="1515"/>
      <c r="Y7" s="1515"/>
      <c r="Z7" s="1515"/>
    </row>
    <row r="8" spans="1:33" ht="18.149999999999999" customHeight="1" x14ac:dyDescent="0.3">
      <c r="C8" s="522"/>
      <c r="D8" s="522"/>
      <c r="E8" s="522"/>
      <c r="F8" s="522"/>
      <c r="G8" s="522"/>
      <c r="H8" s="523"/>
      <c r="I8" s="522"/>
      <c r="J8" s="522"/>
      <c r="K8" s="522"/>
      <c r="N8" s="524" t="s">
        <v>1117</v>
      </c>
      <c r="O8" s="525" t="s">
        <v>1121</v>
      </c>
      <c r="P8" s="526" t="s">
        <v>1117</v>
      </c>
      <c r="Q8" s="524" t="s">
        <v>1117</v>
      </c>
      <c r="R8" s="527"/>
      <c r="S8" s="1516" t="s">
        <v>3459</v>
      </c>
      <c r="T8" s="1517"/>
      <c r="U8" s="1517"/>
      <c r="V8" s="1517"/>
      <c r="W8" s="1517"/>
      <c r="X8" s="1517"/>
      <c r="Y8" s="1517"/>
      <c r="Z8" s="1518"/>
    </row>
    <row r="9" spans="1:33" ht="30" customHeight="1" x14ac:dyDescent="0.3">
      <c r="C9" s="522"/>
      <c r="D9" s="522"/>
      <c r="E9" s="522"/>
      <c r="F9" s="522"/>
      <c r="G9" s="522"/>
      <c r="H9" s="523"/>
      <c r="I9" s="522"/>
      <c r="J9" s="522"/>
      <c r="K9" s="522"/>
      <c r="N9" s="343">
        <v>0</v>
      </c>
      <c r="O9" s="357">
        <v>0</v>
      </c>
      <c r="P9" s="528">
        <v>0</v>
      </c>
      <c r="Q9" s="343">
        <v>0</v>
      </c>
      <c r="R9" s="527"/>
      <c r="S9" s="1500"/>
      <c r="T9" s="1501"/>
      <c r="U9" s="1501"/>
      <c r="V9" s="1501"/>
      <c r="W9" s="1501"/>
      <c r="X9" s="1501"/>
      <c r="Y9" s="1501"/>
      <c r="Z9" s="1502"/>
    </row>
    <row r="10" spans="1:33" ht="6.45" customHeight="1" x14ac:dyDescent="0.3">
      <c r="D10" s="522"/>
      <c r="E10" s="522"/>
      <c r="F10" s="522"/>
      <c r="G10" s="522"/>
      <c r="H10" s="523"/>
      <c r="I10" s="522"/>
      <c r="J10" s="522"/>
      <c r="K10" s="522"/>
      <c r="N10" s="529"/>
      <c r="Q10" s="530"/>
      <c r="R10" s="531"/>
      <c r="S10" s="532"/>
      <c r="T10" s="533"/>
      <c r="U10" s="533"/>
      <c r="V10" s="533"/>
      <c r="W10" s="534"/>
      <c r="X10" s="534"/>
      <c r="Y10" s="534"/>
      <c r="Z10" s="535"/>
    </row>
    <row r="11" spans="1:33" ht="18" customHeight="1" x14ac:dyDescent="0.3">
      <c r="D11" s="522"/>
      <c r="E11" s="522"/>
      <c r="F11" s="522"/>
      <c r="G11" s="522"/>
      <c r="H11" s="523"/>
      <c r="I11" s="522"/>
      <c r="J11" s="522"/>
      <c r="K11" s="522"/>
      <c r="N11" s="524" t="s">
        <v>1118</v>
      </c>
      <c r="O11" s="524" t="s">
        <v>1119</v>
      </c>
      <c r="P11" s="524" t="s">
        <v>1120</v>
      </c>
      <c r="R11" s="527"/>
      <c r="S11" s="1500" t="s">
        <v>3490</v>
      </c>
      <c r="T11" s="1501"/>
      <c r="U11" s="1501"/>
      <c r="V11" s="1501"/>
      <c r="W11" s="1501"/>
      <c r="X11" s="1501"/>
      <c r="Y11" s="1501"/>
      <c r="Z11" s="1502"/>
    </row>
    <row r="12" spans="1:33" ht="30.6" customHeight="1" x14ac:dyDescent="0.3">
      <c r="A12" s="536"/>
      <c r="B12" s="536"/>
      <c r="J12" s="522"/>
      <c r="K12" s="522"/>
      <c r="N12" s="343">
        <v>0</v>
      </c>
      <c r="O12" s="343">
        <v>0</v>
      </c>
      <c r="P12" s="343">
        <v>0</v>
      </c>
      <c r="Q12" s="527"/>
      <c r="R12" s="527"/>
      <c r="S12" s="1500"/>
      <c r="T12" s="1501"/>
      <c r="U12" s="1501"/>
      <c r="V12" s="1501"/>
      <c r="W12" s="1501"/>
      <c r="X12" s="1501"/>
      <c r="Y12" s="1501"/>
      <c r="Z12" s="1502"/>
    </row>
    <row r="13" spans="1:33" ht="17.100000000000001" customHeight="1" x14ac:dyDescent="0.3">
      <c r="D13" s="522"/>
      <c r="E13" s="522"/>
      <c r="F13" s="522"/>
      <c r="G13" s="522"/>
      <c r="H13" s="523"/>
      <c r="I13" s="522"/>
      <c r="J13" s="522"/>
      <c r="K13" s="522"/>
      <c r="N13" s="537" t="s">
        <v>1713</v>
      </c>
      <c r="O13" s="538"/>
      <c r="P13" s="539"/>
      <c r="Q13" s="540"/>
      <c r="R13" s="541"/>
      <c r="S13" s="1500"/>
      <c r="T13" s="1501"/>
      <c r="U13" s="1501"/>
      <c r="V13" s="1501"/>
      <c r="W13" s="1501"/>
      <c r="X13" s="1501"/>
      <c r="Y13" s="1501"/>
      <c r="Z13" s="1502"/>
    </row>
    <row r="14" spans="1:33" ht="57" customHeight="1" x14ac:dyDescent="0.35">
      <c r="A14" s="515" t="s">
        <v>3408</v>
      </c>
      <c r="B14" s="542" t="s">
        <v>1283</v>
      </c>
      <c r="C14" s="542"/>
      <c r="D14" s="543"/>
      <c r="F14" s="543"/>
      <c r="G14" s="543"/>
      <c r="H14" s="544"/>
      <c r="I14" s="543"/>
      <c r="J14" s="543"/>
      <c r="K14" s="543"/>
      <c r="L14" s="545"/>
      <c r="N14" s="1455" t="s">
        <v>1618</v>
      </c>
      <c r="O14" s="1455"/>
      <c r="R14" s="527"/>
      <c r="S14" s="1500" t="s">
        <v>3488</v>
      </c>
      <c r="T14" s="1501"/>
      <c r="U14" s="1501"/>
      <c r="V14" s="1501"/>
      <c r="W14" s="1501"/>
      <c r="X14" s="1501"/>
      <c r="Y14" s="1501"/>
      <c r="Z14" s="1502"/>
    </row>
    <row r="15" spans="1:33" ht="20.25" customHeight="1" x14ac:dyDescent="0.4">
      <c r="A15" s="546"/>
      <c r="B15" s="547" t="s">
        <v>798</v>
      </c>
      <c r="C15" s="1449"/>
      <c r="D15" s="1449"/>
      <c r="E15" s="548"/>
      <c r="F15" s="547" t="s">
        <v>1109</v>
      </c>
      <c r="G15" s="549"/>
      <c r="H15" s="549"/>
      <c r="I15" s="1513" t="s">
        <v>1208</v>
      </c>
      <c r="J15" s="1513"/>
      <c r="K15" s="1513"/>
      <c r="L15" s="1513"/>
      <c r="M15" s="499"/>
      <c r="N15" s="550" t="s">
        <v>1615</v>
      </c>
      <c r="O15" s="525" t="s">
        <v>1616</v>
      </c>
      <c r="P15" s="1510" t="s">
        <v>6781</v>
      </c>
      <c r="Q15" s="527"/>
      <c r="R15" s="527"/>
      <c r="S15" s="1500"/>
      <c r="T15" s="1501"/>
      <c r="U15" s="1501"/>
      <c r="V15" s="1501"/>
      <c r="W15" s="1501"/>
      <c r="X15" s="1501"/>
      <c r="Y15" s="1501"/>
      <c r="Z15" s="1502"/>
    </row>
    <row r="16" spans="1:33" ht="20.25" customHeight="1" x14ac:dyDescent="0.4">
      <c r="B16" s="547" t="s">
        <v>799</v>
      </c>
      <c r="C16" s="1481"/>
      <c r="D16" s="1481"/>
      <c r="E16" s="551"/>
      <c r="F16" s="552" t="s">
        <v>1111</v>
      </c>
      <c r="G16" s="553"/>
      <c r="H16" s="553"/>
      <c r="I16" s="1451"/>
      <c r="J16" s="1451"/>
      <c r="K16" s="1451"/>
      <c r="L16" s="1451"/>
      <c r="M16" s="499"/>
      <c r="N16" s="1452">
        <f>IFERROR(INDEX('Energy GHG'!I21:I33,MATCH('USER INPUT SHEET'!I15,'Energy GHG'!C21:C33,0),),)</f>
        <v>0</v>
      </c>
      <c r="O16" s="1453">
        <f>N16*30</f>
        <v>0</v>
      </c>
      <c r="P16" s="1510"/>
      <c r="Q16" s="527"/>
      <c r="R16" s="527"/>
      <c r="S16" s="1500"/>
      <c r="T16" s="1501"/>
      <c r="U16" s="1501"/>
      <c r="V16" s="1501"/>
      <c r="W16" s="1501"/>
      <c r="X16" s="1501"/>
      <c r="Y16" s="1501"/>
      <c r="Z16" s="1502"/>
    </row>
    <row r="17" spans="1:35" ht="20.25" customHeight="1" x14ac:dyDescent="0.4">
      <c r="A17" s="554"/>
      <c r="B17" s="547" t="s">
        <v>800</v>
      </c>
      <c r="C17" s="1481"/>
      <c r="D17" s="1481"/>
      <c r="E17" s="551"/>
      <c r="F17" s="552" t="s">
        <v>1112</v>
      </c>
      <c r="G17" s="553"/>
      <c r="H17" s="553"/>
      <c r="I17" s="1454"/>
      <c r="J17" s="1451"/>
      <c r="K17" s="1451"/>
      <c r="L17" s="1451"/>
      <c r="M17" s="499"/>
      <c r="N17" s="1452"/>
      <c r="O17" s="1453"/>
      <c r="P17" s="403" t="s">
        <v>1561</v>
      </c>
      <c r="Q17" s="527"/>
      <c r="R17" s="527"/>
      <c r="S17" s="1503"/>
      <c r="T17" s="1504"/>
      <c r="U17" s="1504"/>
      <c r="V17" s="1504"/>
      <c r="W17" s="1504"/>
      <c r="X17" s="1504"/>
      <c r="Y17" s="1504"/>
      <c r="Z17" s="1505"/>
      <c r="AA17" s="554"/>
      <c r="AB17" s="554"/>
      <c r="AC17" s="554"/>
      <c r="AD17" s="554"/>
      <c r="AE17" s="554"/>
      <c r="AF17" s="554"/>
      <c r="AG17" s="554"/>
      <c r="AH17" s="554"/>
      <c r="AI17" s="554"/>
    </row>
    <row r="18" spans="1:35" ht="20.25" customHeight="1" x14ac:dyDescent="0.4">
      <c r="A18" s="554"/>
      <c r="B18" s="555" t="s">
        <v>801</v>
      </c>
      <c r="C18" s="1481"/>
      <c r="D18" s="1481"/>
      <c r="E18" s="551"/>
      <c r="F18" s="552" t="s">
        <v>1113</v>
      </c>
      <c r="G18" s="553"/>
      <c r="H18" s="553"/>
      <c r="I18" s="1451"/>
      <c r="J18" s="1451"/>
      <c r="K18" s="1451"/>
      <c r="L18" s="1451"/>
      <c r="M18" s="499"/>
      <c r="N18" s="1455" t="s">
        <v>1617</v>
      </c>
      <c r="O18" s="1455"/>
      <c r="P18" s="554"/>
      <c r="S18" s="554"/>
      <c r="T18" s="554"/>
      <c r="U18" s="554"/>
      <c r="V18" s="554"/>
      <c r="W18" s="554"/>
      <c r="X18" s="554"/>
      <c r="Y18" s="554"/>
      <c r="Z18" s="554"/>
      <c r="AA18" s="554"/>
      <c r="AB18" s="554"/>
      <c r="AC18" s="554"/>
      <c r="AD18" s="554"/>
      <c r="AE18" s="554"/>
      <c r="AF18" s="554"/>
      <c r="AG18" s="554"/>
      <c r="AH18" s="554"/>
      <c r="AI18" s="554"/>
    </row>
    <row r="19" spans="1:35" ht="20.25" customHeight="1" x14ac:dyDescent="0.4">
      <c r="A19" s="554"/>
      <c r="B19" s="555" t="s">
        <v>802</v>
      </c>
      <c r="C19" s="1481"/>
      <c r="D19" s="1481"/>
      <c r="E19" s="551"/>
      <c r="F19" s="552" t="s">
        <v>3376</v>
      </c>
      <c r="G19" s="553"/>
      <c r="H19" s="553"/>
      <c r="I19" s="1451"/>
      <c r="J19" s="1451"/>
      <c r="K19" s="1451"/>
      <c r="L19" s="1451"/>
      <c r="M19" s="556"/>
      <c r="N19" s="1456" t="s">
        <v>1197</v>
      </c>
      <c r="O19" s="1457" t="s">
        <v>1198</v>
      </c>
      <c r="P19" s="554"/>
      <c r="S19" s="546"/>
      <c r="T19" s="502"/>
      <c r="U19" s="502"/>
      <c r="V19" s="502"/>
      <c r="W19" s="502"/>
      <c r="X19" s="502"/>
      <c r="Y19" s="502"/>
      <c r="Z19" s="502"/>
      <c r="AA19" s="554"/>
      <c r="AB19" s="554"/>
      <c r="AC19" s="554"/>
      <c r="AD19" s="554"/>
      <c r="AE19" s="554"/>
      <c r="AF19" s="554"/>
      <c r="AG19" s="554"/>
      <c r="AH19" s="554"/>
      <c r="AI19" s="554"/>
    </row>
    <row r="20" spans="1:35" ht="40.65" customHeight="1" x14ac:dyDescent="0.4">
      <c r="A20" s="554"/>
      <c r="B20" s="1488" t="s">
        <v>1278</v>
      </c>
      <c r="C20" s="1488"/>
      <c r="D20" s="423"/>
      <c r="E20" s="551"/>
      <c r="F20" s="557"/>
      <c r="G20" s="558"/>
      <c r="H20" s="558"/>
      <c r="I20" s="558"/>
      <c r="J20" s="558"/>
      <c r="K20" s="558"/>
      <c r="L20" s="558"/>
      <c r="M20" s="559"/>
      <c r="N20" s="1456"/>
      <c r="O20" s="1457"/>
      <c r="P20" s="560"/>
      <c r="Q20" s="560"/>
      <c r="R20" s="554"/>
      <c r="S20" s="561"/>
      <c r="T20" s="562"/>
      <c r="U20" s="562"/>
      <c r="V20" s="562"/>
      <c r="W20" s="562"/>
      <c r="X20" s="562"/>
      <c r="Y20" s="562"/>
      <c r="Z20" s="562"/>
      <c r="AA20" s="554"/>
      <c r="AB20" s="554"/>
      <c r="AC20" s="554"/>
      <c r="AD20" s="554"/>
      <c r="AE20" s="554"/>
      <c r="AF20" s="554"/>
      <c r="AG20" s="554"/>
      <c r="AH20" s="554"/>
      <c r="AI20" s="554"/>
    </row>
    <row r="21" spans="1:35" ht="40.65" customHeight="1" x14ac:dyDescent="0.4">
      <c r="A21" s="554"/>
      <c r="B21" s="1488" t="s">
        <v>1279</v>
      </c>
      <c r="C21" s="1488"/>
      <c r="D21" s="423"/>
      <c r="E21" s="551"/>
      <c r="F21" s="557"/>
      <c r="G21" s="558"/>
      <c r="H21" s="558"/>
      <c r="I21" s="558"/>
      <c r="J21" s="558"/>
      <c r="K21" s="558"/>
      <c r="L21" s="558"/>
      <c r="M21" s="556"/>
      <c r="N21" s="1459">
        <f>IFERROR(Summary[[#Totals],[Embodied Carbon 
'[kg CO2e']]]/10^3,)</f>
        <v>0</v>
      </c>
      <c r="O21" s="1459">
        <f>IFERROR(ROUND(Summary[[#Totals],[Embodied Carbon 
'[kg CO2e']]]/(D20+D21),1),)</f>
        <v>0</v>
      </c>
      <c r="P21" s="554"/>
      <c r="Q21" s="560"/>
      <c r="R21" s="554"/>
      <c r="S21" s="561"/>
      <c r="T21" s="562"/>
      <c r="U21" s="562"/>
      <c r="V21" s="562"/>
      <c r="W21" s="562"/>
      <c r="X21" s="562"/>
      <c r="Y21" s="562"/>
      <c r="Z21" s="562"/>
      <c r="AA21" s="554"/>
      <c r="AB21" s="554"/>
      <c r="AC21" s="554"/>
      <c r="AD21" s="554"/>
      <c r="AE21" s="554"/>
      <c r="AF21" s="554"/>
      <c r="AG21" s="554"/>
      <c r="AH21" s="554"/>
      <c r="AI21" s="554"/>
    </row>
    <row r="22" spans="1:35" ht="20.25" customHeight="1" x14ac:dyDescent="0.4">
      <c r="A22" s="554"/>
      <c r="B22" s="1489" t="s">
        <v>803</v>
      </c>
      <c r="C22" s="1489"/>
      <c r="D22" s="423"/>
      <c r="E22" s="551"/>
      <c r="F22" s="557"/>
      <c r="G22" s="558"/>
      <c r="H22" s="558"/>
      <c r="I22" s="558"/>
      <c r="J22" s="558"/>
      <c r="K22" s="558"/>
      <c r="L22" s="558"/>
      <c r="M22" s="563"/>
      <c r="N22" s="1459">
        <f>Summary[[#Totals],[Embodied Carbon 
'[kg CO2e']]]</f>
        <v>0</v>
      </c>
      <c r="O22" s="1459"/>
      <c r="P22" s="560"/>
      <c r="Q22" s="560"/>
      <c r="R22" s="554"/>
      <c r="S22" s="554"/>
      <c r="T22" s="554"/>
      <c r="U22" s="554"/>
      <c r="V22" s="554"/>
      <c r="W22" s="554"/>
      <c r="X22" s="554"/>
      <c r="Y22" s="554"/>
      <c r="Z22" s="554"/>
      <c r="AA22" s="554"/>
      <c r="AB22" s="554"/>
      <c r="AC22" s="554"/>
      <c r="AD22" s="554"/>
      <c r="AE22" s="554"/>
      <c r="AF22" s="554"/>
      <c r="AG22" s="554"/>
      <c r="AH22" s="554"/>
      <c r="AI22" s="554"/>
    </row>
    <row r="23" spans="1:35" ht="20.25" customHeight="1" x14ac:dyDescent="0.4">
      <c r="A23" s="554"/>
      <c r="B23" s="1489" t="s">
        <v>4048</v>
      </c>
      <c r="C23" s="1489"/>
      <c r="D23" s="423"/>
      <c r="E23" s="551"/>
      <c r="F23" s="557"/>
      <c r="G23" s="558"/>
      <c r="H23" s="558"/>
      <c r="I23" s="558"/>
      <c r="J23" s="558"/>
      <c r="K23" s="558"/>
      <c r="L23" s="558"/>
      <c r="M23" s="563"/>
      <c r="N23" s="558"/>
      <c r="O23" s="558"/>
      <c r="P23" s="558"/>
      <c r="Q23" s="560"/>
      <c r="R23" s="554"/>
      <c r="S23" s="554"/>
      <c r="T23" s="554"/>
      <c r="U23" s="554"/>
      <c r="V23" s="554"/>
      <c r="W23" s="554"/>
      <c r="X23" s="554"/>
      <c r="Y23" s="554"/>
      <c r="Z23" s="554"/>
      <c r="AA23" s="554"/>
      <c r="AB23" s="554"/>
      <c r="AC23" s="554"/>
      <c r="AD23" s="554"/>
      <c r="AE23" s="554"/>
      <c r="AF23" s="554"/>
      <c r="AG23" s="554"/>
      <c r="AH23" s="554"/>
      <c r="AI23" s="554"/>
    </row>
    <row r="24" spans="1:35" ht="27.15" customHeight="1" x14ac:dyDescent="0.4">
      <c r="A24" s="554"/>
      <c r="B24" s="554"/>
      <c r="C24" s="564"/>
      <c r="D24" s="565"/>
      <c r="E24" s="565"/>
      <c r="F24" s="565"/>
      <c r="G24" s="565"/>
      <c r="H24" s="566"/>
      <c r="I24" s="565"/>
      <c r="J24" s="565"/>
      <c r="K24" s="565"/>
      <c r="L24" s="567"/>
      <c r="M24" s="567"/>
      <c r="N24" s="554"/>
      <c r="O24" s="554"/>
      <c r="P24" s="554"/>
      <c r="Q24" s="560"/>
      <c r="R24" s="554"/>
      <c r="S24" s="554"/>
      <c r="T24" s="554"/>
      <c r="U24" s="554"/>
      <c r="V24" s="554"/>
      <c r="W24" s="554"/>
      <c r="X24" s="554"/>
      <c r="Y24" s="554"/>
      <c r="Z24" s="554"/>
      <c r="AA24" s="554"/>
      <c r="AB24" s="554"/>
      <c r="AC24" s="554"/>
      <c r="AD24" s="554"/>
      <c r="AE24" s="554"/>
      <c r="AF24" s="554"/>
      <c r="AG24" s="554"/>
      <c r="AH24" s="554"/>
      <c r="AI24" s="554"/>
    </row>
    <row r="25" spans="1:35" ht="50.25" customHeight="1" x14ac:dyDescent="0.25">
      <c r="A25" s="568" t="s">
        <v>3408</v>
      </c>
      <c r="B25" s="568"/>
      <c r="C25" s="1441" t="s">
        <v>7506</v>
      </c>
      <c r="D25" s="1441"/>
      <c r="F25" s="1511" t="s">
        <v>1669</v>
      </c>
      <c r="G25" s="1511"/>
      <c r="H25" s="1511"/>
      <c r="I25" s="1511"/>
      <c r="J25" s="1511"/>
      <c r="K25" s="1511"/>
      <c r="L25" s="1511"/>
      <c r="M25" s="1511"/>
      <c r="N25" s="1512" t="s">
        <v>1670</v>
      </c>
      <c r="O25" s="1512"/>
      <c r="P25" s="1512"/>
      <c r="Q25" s="561" t="s">
        <v>1</v>
      </c>
      <c r="R25" s="546"/>
      <c r="S25" s="546"/>
      <c r="T25" s="502"/>
      <c r="U25" s="502"/>
      <c r="V25" s="502"/>
      <c r="W25" s="502"/>
      <c r="X25" s="502"/>
      <c r="Y25" s="502"/>
      <c r="Z25" s="502"/>
      <c r="AA25" s="502"/>
      <c r="AB25" s="502"/>
      <c r="AC25" s="502"/>
      <c r="AD25" s="502"/>
      <c r="AE25" s="502"/>
      <c r="AF25" s="502"/>
      <c r="AG25" s="502"/>
      <c r="AH25" s="502"/>
      <c r="AI25" s="502"/>
    </row>
    <row r="26" spans="1:35" ht="38.85" customHeight="1" x14ac:dyDescent="0.25">
      <c r="A26" s="562"/>
      <c r="B26" s="1482" t="s">
        <v>3409</v>
      </c>
      <c r="C26" s="1483"/>
      <c r="D26" s="503" t="s">
        <v>1114</v>
      </c>
      <c r="E26" s="1519" t="s">
        <v>895</v>
      </c>
      <c r="F26" s="1480"/>
      <c r="G26" s="1492" t="s">
        <v>3410</v>
      </c>
      <c r="H26" s="1493"/>
      <c r="I26" s="1493"/>
      <c r="J26" s="1493"/>
      <c r="K26" s="1493"/>
      <c r="L26" s="1493"/>
      <c r="M26" s="504"/>
      <c r="N26" s="1492" t="s">
        <v>3411</v>
      </c>
      <c r="O26" s="1493"/>
      <c r="P26" s="1493"/>
      <c r="S26" s="561"/>
      <c r="T26" s="562"/>
      <c r="U26" s="562"/>
      <c r="V26" s="562"/>
      <c r="W26" s="562"/>
      <c r="X26" s="562"/>
      <c r="Y26" s="562"/>
      <c r="Z26" s="562"/>
      <c r="AA26" s="562"/>
      <c r="AB26" s="562"/>
      <c r="AC26" s="562"/>
      <c r="AD26" s="562"/>
      <c r="AE26" s="562"/>
      <c r="AF26" s="562"/>
      <c r="AG26" s="562"/>
      <c r="AH26" s="562"/>
      <c r="AI26" s="562"/>
    </row>
    <row r="27" spans="1:35" ht="8.1" customHeight="1" thickBot="1" x14ac:dyDescent="0.3">
      <c r="A27" s="562"/>
      <c r="B27" s="562"/>
      <c r="C27" s="569"/>
      <c r="D27" s="570"/>
      <c r="E27" s="570"/>
      <c r="F27" s="571"/>
      <c r="G27" s="570"/>
      <c r="H27" s="570"/>
      <c r="I27" s="570"/>
      <c r="J27" s="570"/>
      <c r="K27" s="570"/>
      <c r="L27" s="570"/>
      <c r="M27" s="570"/>
      <c r="N27" s="569"/>
      <c r="O27" s="572"/>
      <c r="P27" s="569"/>
      <c r="S27" s="561"/>
      <c r="T27" s="562"/>
      <c r="U27" s="562"/>
      <c r="V27" s="562"/>
      <c r="W27" s="562"/>
      <c r="X27" s="562"/>
      <c r="Y27" s="562"/>
      <c r="Z27" s="562"/>
      <c r="AA27" s="562"/>
      <c r="AB27" s="562"/>
      <c r="AC27" s="562"/>
      <c r="AD27" s="562"/>
      <c r="AE27" s="562"/>
      <c r="AF27" s="562"/>
      <c r="AG27" s="562"/>
      <c r="AH27" s="562"/>
      <c r="AI27" s="562"/>
    </row>
    <row r="28" spans="1:35" ht="28.2" customHeight="1" thickBot="1" x14ac:dyDescent="0.3">
      <c r="B28" s="1484" t="s">
        <v>2</v>
      </c>
      <c r="C28" s="1485"/>
      <c r="D28" s="1460">
        <f>G29*I29*K29</f>
        <v>0</v>
      </c>
      <c r="E28" s="573"/>
      <c r="F28" s="1462" t="s">
        <v>1280</v>
      </c>
      <c r="G28" s="574" t="s">
        <v>1284</v>
      </c>
      <c r="H28" s="575"/>
      <c r="I28" s="574" t="s">
        <v>1285</v>
      </c>
      <c r="J28" s="576"/>
      <c r="K28" s="574" t="s">
        <v>804</v>
      </c>
      <c r="L28" s="577"/>
      <c r="M28" s="577"/>
      <c r="N28" s="1464" t="s">
        <v>1275</v>
      </c>
      <c r="O28" s="1464"/>
      <c r="P28" s="1464"/>
      <c r="S28" s="500"/>
    </row>
    <row r="29" spans="1:35" ht="23.4" thickBot="1" x14ac:dyDescent="0.3">
      <c r="B29" s="1486"/>
      <c r="C29" s="1487"/>
      <c r="D29" s="1461"/>
      <c r="E29" s="579"/>
      <c r="F29" s="1463"/>
      <c r="G29" s="223"/>
      <c r="H29" s="580" t="s">
        <v>805</v>
      </c>
      <c r="I29" s="222"/>
      <c r="J29" s="580" t="s">
        <v>805</v>
      </c>
      <c r="K29" s="222"/>
      <c r="L29" s="581"/>
      <c r="M29" s="582"/>
      <c r="N29" s="1465"/>
      <c r="O29" s="1465"/>
      <c r="P29" s="1465"/>
      <c r="S29" s="583"/>
      <c r="T29" s="501"/>
    </row>
    <row r="30" spans="1:35" ht="34.5" customHeight="1" thickBot="1" x14ac:dyDescent="0.3">
      <c r="B30" s="1472" t="s">
        <v>4</v>
      </c>
      <c r="C30" s="1473"/>
      <c r="D30" s="219"/>
      <c r="E30" s="573"/>
      <c r="F30" s="584" t="s">
        <v>1281</v>
      </c>
      <c r="G30" s="1465" t="s">
        <v>1115</v>
      </c>
      <c r="H30" s="1465"/>
      <c r="I30" s="1465"/>
      <c r="J30" s="1465"/>
      <c r="K30" s="1465"/>
      <c r="L30" s="1465"/>
      <c r="M30" s="585"/>
      <c r="N30" s="1458" t="s">
        <v>1688</v>
      </c>
      <c r="O30" s="1458"/>
      <c r="P30" s="1458"/>
      <c r="S30" s="583"/>
    </row>
    <row r="31" spans="1:35" ht="34.5" customHeight="1" thickBot="1" x14ac:dyDescent="0.3">
      <c r="B31" s="1484" t="s">
        <v>1116</v>
      </c>
      <c r="C31" s="1485"/>
      <c r="D31" s="219"/>
      <c r="E31" s="573"/>
      <c r="F31" s="584" t="s">
        <v>1281</v>
      </c>
      <c r="G31" s="1458" t="s">
        <v>1533</v>
      </c>
      <c r="H31" s="1458"/>
      <c r="I31" s="1458"/>
      <c r="J31" s="1458"/>
      <c r="K31" s="1458"/>
      <c r="L31" s="1458"/>
      <c r="M31" s="578"/>
      <c r="N31" s="1458" t="s">
        <v>1276</v>
      </c>
      <c r="O31" s="1458"/>
      <c r="P31" s="1458"/>
      <c r="S31" s="583"/>
    </row>
    <row r="32" spans="1:35" ht="63.75" customHeight="1" thickBot="1" x14ac:dyDescent="0.3">
      <c r="B32" s="1472" t="s">
        <v>6</v>
      </c>
      <c r="C32" s="1473"/>
      <c r="D32" s="219"/>
      <c r="E32" s="587"/>
      <c r="F32" s="584" t="s">
        <v>1281</v>
      </c>
      <c r="G32" s="1458" t="s">
        <v>1690</v>
      </c>
      <c r="H32" s="1458"/>
      <c r="I32" s="1458"/>
      <c r="J32" s="1458"/>
      <c r="K32" s="1458"/>
      <c r="L32" s="1458"/>
      <c r="M32" s="586"/>
      <c r="N32" s="1458" t="s">
        <v>2104</v>
      </c>
      <c r="O32" s="1458"/>
      <c r="P32" s="1458"/>
      <c r="S32" s="583"/>
    </row>
    <row r="33" spans="1:35" ht="35.1" customHeight="1" thickBot="1" x14ac:dyDescent="0.3">
      <c r="B33" s="1468" t="s">
        <v>8</v>
      </c>
      <c r="C33" s="1469"/>
      <c r="D33" s="219"/>
      <c r="E33" s="588"/>
      <c r="F33" s="584" t="s">
        <v>1281</v>
      </c>
      <c r="G33" s="1458" t="s">
        <v>9</v>
      </c>
      <c r="H33" s="1458"/>
      <c r="I33" s="1458"/>
      <c r="J33" s="1458"/>
      <c r="K33" s="1458"/>
      <c r="L33" s="1458"/>
      <c r="M33" s="585"/>
      <c r="N33" s="1465" t="s">
        <v>1689</v>
      </c>
      <c r="O33" s="1465"/>
      <c r="P33" s="1465"/>
      <c r="S33" s="583"/>
    </row>
    <row r="34" spans="1:35" ht="48.75" customHeight="1" thickBot="1" x14ac:dyDescent="0.3">
      <c r="B34" s="1472" t="s">
        <v>7</v>
      </c>
      <c r="C34" s="1473"/>
      <c r="D34" s="221"/>
      <c r="E34" s="589"/>
      <c r="F34" s="584" t="s">
        <v>1281</v>
      </c>
      <c r="G34" s="1458" t="s">
        <v>3412</v>
      </c>
      <c r="H34" s="1458"/>
      <c r="I34" s="1458"/>
      <c r="J34" s="1458"/>
      <c r="K34" s="1458"/>
      <c r="L34" s="1458"/>
      <c r="M34" s="586"/>
      <c r="N34" s="1458" t="s">
        <v>1691</v>
      </c>
      <c r="O34" s="1458"/>
      <c r="P34" s="1458"/>
      <c r="S34" s="583"/>
    </row>
    <row r="35" spans="1:35" ht="35.1" customHeight="1" thickBot="1" x14ac:dyDescent="0.3">
      <c r="B35" s="1472" t="s">
        <v>1552</v>
      </c>
      <c r="C35" s="1473"/>
      <c r="D35" s="220"/>
      <c r="E35" s="579"/>
      <c r="F35" s="584" t="s">
        <v>1281</v>
      </c>
      <c r="G35" s="1458" t="s">
        <v>1541</v>
      </c>
      <c r="H35" s="1458"/>
      <c r="I35" s="1458"/>
      <c r="J35" s="1458"/>
      <c r="K35" s="1458"/>
      <c r="L35" s="1458"/>
      <c r="M35" s="586"/>
      <c r="N35" s="1458" t="s">
        <v>1555</v>
      </c>
      <c r="O35" s="1458"/>
      <c r="P35" s="1458"/>
      <c r="S35" s="583"/>
    </row>
    <row r="36" spans="1:35" ht="35.1" customHeight="1" thickBot="1" x14ac:dyDescent="0.35">
      <c r="B36" s="1472" t="s">
        <v>1553</v>
      </c>
      <c r="C36" s="1473"/>
      <c r="D36" s="590">
        <f>D20+D21</f>
        <v>0</v>
      </c>
      <c r="E36" s="573"/>
      <c r="F36" s="584" t="s">
        <v>1281</v>
      </c>
      <c r="G36" s="1458" t="s">
        <v>1540</v>
      </c>
      <c r="H36" s="1458"/>
      <c r="I36" s="1458"/>
      <c r="J36" s="1458"/>
      <c r="K36" s="1458"/>
      <c r="L36" s="1458"/>
      <c r="M36" s="586"/>
      <c r="N36" s="1458" t="s">
        <v>1532</v>
      </c>
      <c r="O36" s="1458"/>
      <c r="P36" s="1458"/>
      <c r="R36" s="591"/>
      <c r="S36" s="592"/>
      <c r="T36" s="592"/>
      <c r="U36" s="592"/>
      <c r="V36" s="592"/>
      <c r="W36" s="592"/>
      <c r="X36" s="592"/>
    </row>
    <row r="37" spans="1:35" ht="35.1" customHeight="1" thickBot="1" x14ac:dyDescent="0.3">
      <c r="B37" s="1472" t="s">
        <v>1554</v>
      </c>
      <c r="C37" s="1473"/>
      <c r="D37" s="219"/>
      <c r="E37" s="593"/>
      <c r="F37" s="584" t="s">
        <v>1281</v>
      </c>
      <c r="G37" s="1458" t="s">
        <v>1692</v>
      </c>
      <c r="H37" s="1458"/>
      <c r="I37" s="1458"/>
      <c r="J37" s="1458"/>
      <c r="K37" s="1458"/>
      <c r="L37" s="1458"/>
      <c r="M37" s="585"/>
      <c r="N37" s="1465" t="s">
        <v>1693</v>
      </c>
      <c r="O37" s="1465"/>
      <c r="P37" s="1465"/>
      <c r="R37" s="1443" t="s">
        <v>3325</v>
      </c>
      <c r="S37" s="1443"/>
      <c r="T37" s="1443"/>
      <c r="U37" s="1443"/>
      <c r="V37" s="1443"/>
      <c r="W37" s="1443"/>
      <c r="X37" s="1443"/>
    </row>
    <row r="38" spans="1:35" ht="54.75" customHeight="1" thickBot="1" x14ac:dyDescent="0.3">
      <c r="B38" s="1472" t="s">
        <v>1546</v>
      </c>
      <c r="C38" s="1473"/>
      <c r="D38" s="219"/>
      <c r="E38" s="573"/>
      <c r="F38" s="584" t="s">
        <v>1281</v>
      </c>
      <c r="G38" s="1458" t="s">
        <v>1694</v>
      </c>
      <c r="H38" s="1458"/>
      <c r="I38" s="1458"/>
      <c r="J38" s="1458"/>
      <c r="K38" s="1458"/>
      <c r="L38" s="1458"/>
      <c r="M38" s="586"/>
      <c r="N38" s="1458" t="s">
        <v>3413</v>
      </c>
      <c r="O38" s="1458"/>
      <c r="P38" s="1458"/>
      <c r="R38" s="594" t="s">
        <v>3321</v>
      </c>
      <c r="S38" s="595"/>
      <c r="T38" s="594" t="s">
        <v>3322</v>
      </c>
      <c r="U38" s="594"/>
      <c r="V38" s="594" t="s">
        <v>3323</v>
      </c>
      <c r="W38" s="596"/>
      <c r="X38" s="594" t="s">
        <v>3331</v>
      </c>
    </row>
    <row r="39" spans="1:35" ht="49.65" customHeight="1" thickBot="1" x14ac:dyDescent="0.3">
      <c r="B39" s="1470" t="s">
        <v>1531</v>
      </c>
      <c r="C39" s="1471"/>
      <c r="D39" s="221"/>
      <c r="E39" s="589"/>
      <c r="F39" s="584" t="s">
        <v>1280</v>
      </c>
      <c r="G39" s="1458" t="s">
        <v>1383</v>
      </c>
      <c r="H39" s="1458"/>
      <c r="I39" s="1458"/>
      <c r="J39" s="1458"/>
      <c r="K39" s="1458"/>
      <c r="L39" s="1458"/>
      <c r="M39" s="586"/>
      <c r="N39" s="1458" t="s">
        <v>1582</v>
      </c>
      <c r="O39" s="1458"/>
      <c r="P39" s="1458"/>
      <c r="R39" s="356">
        <v>12</v>
      </c>
      <c r="S39" s="597" t="s">
        <v>805</v>
      </c>
      <c r="T39" s="356">
        <v>305</v>
      </c>
      <c r="U39" s="597" t="s">
        <v>805</v>
      </c>
      <c r="V39" s="356">
        <v>75</v>
      </c>
      <c r="W39" s="510" t="s">
        <v>21</v>
      </c>
      <c r="X39" s="598">
        <f>R39*(T39/1000)*(V39/1000)</f>
        <v>0.27450000000000002</v>
      </c>
    </row>
    <row r="40" spans="1:35" ht="52.5" customHeight="1" thickBot="1" x14ac:dyDescent="0.3">
      <c r="B40" s="1470" t="s">
        <v>1605</v>
      </c>
      <c r="C40" s="1471"/>
      <c r="D40" s="221"/>
      <c r="E40" s="589"/>
      <c r="F40" s="584" t="s">
        <v>1281</v>
      </c>
      <c r="G40" s="1458" t="s">
        <v>1658</v>
      </c>
      <c r="H40" s="1458"/>
      <c r="I40" s="1458"/>
      <c r="J40" s="1458"/>
      <c r="K40" s="1458"/>
      <c r="L40" s="1458"/>
      <c r="M40" s="586"/>
      <c r="N40" s="1458" t="s">
        <v>1687</v>
      </c>
      <c r="O40" s="1458"/>
      <c r="P40" s="1458"/>
      <c r="S40" s="583"/>
    </row>
    <row r="41" spans="1:35" ht="35.1" customHeight="1" x14ac:dyDescent="0.25">
      <c r="C41" s="599"/>
      <c r="D41" s="600"/>
      <c r="E41" s="588"/>
      <c r="F41" s="601"/>
      <c r="G41" s="585"/>
      <c r="H41" s="585"/>
      <c r="I41" s="585"/>
      <c r="J41" s="585"/>
      <c r="K41" s="585"/>
      <c r="L41" s="585"/>
      <c r="M41" s="585"/>
      <c r="N41" s="585"/>
      <c r="O41" s="585"/>
      <c r="P41" s="585"/>
      <c r="S41" s="583"/>
    </row>
    <row r="42" spans="1:35" ht="35.1" customHeight="1" x14ac:dyDescent="0.25">
      <c r="B42" s="1476" t="s">
        <v>1665</v>
      </c>
      <c r="C42" s="1476"/>
      <c r="D42" s="1476"/>
      <c r="E42" s="1476"/>
      <c r="F42" s="1476"/>
      <c r="G42" s="1476"/>
      <c r="H42" s="1476"/>
      <c r="I42" s="1476"/>
      <c r="J42" s="1476"/>
      <c r="K42" s="1476"/>
      <c r="L42" s="1476"/>
      <c r="M42" s="1476"/>
      <c r="N42" s="1476"/>
      <c r="O42" s="1476"/>
      <c r="P42" s="1476"/>
      <c r="S42" s="583"/>
    </row>
    <row r="43" spans="1:35" ht="35.1" hidden="1" customHeight="1" outlineLevel="1" x14ac:dyDescent="0.25">
      <c r="B43" s="1477" t="s">
        <v>1556</v>
      </c>
      <c r="C43" s="1477"/>
      <c r="D43" s="602"/>
      <c r="E43" s="602"/>
      <c r="F43" s="602"/>
      <c r="G43" s="602"/>
      <c r="H43" s="602"/>
      <c r="I43" s="602"/>
      <c r="J43" s="602"/>
      <c r="K43" s="602"/>
      <c r="L43" s="602"/>
      <c r="M43" s="602"/>
      <c r="N43" s="602"/>
      <c r="O43" s="602"/>
      <c r="P43" s="602"/>
      <c r="S43" s="583"/>
    </row>
    <row r="44" spans="1:35" ht="35.1" hidden="1" customHeight="1" outlineLevel="1" thickBot="1" x14ac:dyDescent="0.3">
      <c r="B44" s="1478" t="s">
        <v>1664</v>
      </c>
      <c r="C44" s="1478"/>
      <c r="D44" s="1478"/>
      <c r="E44" s="1478"/>
      <c r="F44" s="1478"/>
      <c r="G44" s="1478"/>
      <c r="H44" s="1478"/>
      <c r="I44" s="1478"/>
      <c r="J44" s="1478"/>
      <c r="K44" s="1478"/>
      <c r="L44" s="1478"/>
      <c r="M44" s="1478"/>
      <c r="N44" s="502"/>
      <c r="O44" s="502"/>
      <c r="P44" s="502"/>
      <c r="S44" s="583"/>
    </row>
    <row r="45" spans="1:35" ht="38.85" hidden="1" customHeight="1" outlineLevel="1" x14ac:dyDescent="0.25">
      <c r="A45" s="562"/>
      <c r="B45" s="1479" t="s">
        <v>3409</v>
      </c>
      <c r="C45" s="1480"/>
      <c r="D45" s="503" t="s">
        <v>1583</v>
      </c>
      <c r="E45" s="1474" t="s">
        <v>895</v>
      </c>
      <c r="F45" s="1475"/>
      <c r="G45" s="1492" t="s">
        <v>3410</v>
      </c>
      <c r="H45" s="1493"/>
      <c r="I45" s="1493"/>
      <c r="J45" s="1493"/>
      <c r="K45" s="1493"/>
      <c r="L45" s="1493"/>
      <c r="M45" s="504"/>
      <c r="N45" s="1492" t="s">
        <v>3411</v>
      </c>
      <c r="O45" s="1493"/>
      <c r="P45" s="1494"/>
      <c r="S45" s="561"/>
      <c r="T45" s="562"/>
      <c r="U45" s="562"/>
      <c r="V45" s="562"/>
      <c r="W45" s="562"/>
      <c r="X45" s="562"/>
      <c r="Y45" s="562"/>
      <c r="Z45" s="562"/>
      <c r="AA45" s="562"/>
      <c r="AB45" s="562"/>
      <c r="AC45" s="562"/>
      <c r="AD45" s="562"/>
      <c r="AE45" s="562"/>
      <c r="AF45" s="562"/>
      <c r="AG45" s="562"/>
      <c r="AH45" s="562"/>
      <c r="AI45" s="562"/>
    </row>
    <row r="46" spans="1:35" ht="8.1" hidden="1" customHeight="1" outlineLevel="1" thickBot="1" x14ac:dyDescent="0.3">
      <c r="A46" s="562"/>
      <c r="B46" s="603"/>
      <c r="C46" s="603"/>
      <c r="D46" s="570"/>
      <c r="E46" s="570"/>
      <c r="F46" s="571"/>
      <c r="G46" s="570"/>
      <c r="H46" s="570"/>
      <c r="I46" s="570"/>
      <c r="J46" s="570"/>
      <c r="K46" s="570"/>
      <c r="L46" s="570"/>
      <c r="M46" s="570"/>
      <c r="N46" s="569"/>
      <c r="O46" s="572"/>
      <c r="P46" s="569"/>
      <c r="S46" s="561"/>
      <c r="T46" s="562"/>
      <c r="U46" s="562"/>
      <c r="V46" s="562"/>
      <c r="W46" s="562"/>
      <c r="X46" s="562"/>
      <c r="Y46" s="562"/>
      <c r="Z46" s="562"/>
      <c r="AA46" s="562"/>
      <c r="AB46" s="562"/>
      <c r="AC46" s="562"/>
      <c r="AD46" s="562"/>
      <c r="AE46" s="562"/>
      <c r="AF46" s="562"/>
      <c r="AG46" s="562"/>
      <c r="AH46" s="562"/>
      <c r="AI46" s="562"/>
    </row>
    <row r="47" spans="1:35" ht="49.65" hidden="1" customHeight="1" outlineLevel="1" thickBot="1" x14ac:dyDescent="0.3">
      <c r="A47" s="568"/>
      <c r="B47" s="1472" t="s">
        <v>1663</v>
      </c>
      <c r="C47" s="1473"/>
      <c r="D47" s="221"/>
      <c r="E47" s="604"/>
      <c r="F47" s="586" t="s">
        <v>1562</v>
      </c>
      <c r="G47" s="1466" t="s">
        <v>1679</v>
      </c>
      <c r="H47" s="1466"/>
      <c r="I47" s="1466"/>
      <c r="J47" s="1466"/>
      <c r="K47" s="1466"/>
      <c r="L47" s="1466"/>
      <c r="M47" s="605"/>
      <c r="N47" s="1467" t="s">
        <v>3414</v>
      </c>
      <c r="O47" s="1467"/>
      <c r="P47" s="1467"/>
      <c r="Q47" s="561"/>
      <c r="R47" s="546"/>
      <c r="S47" s="546"/>
      <c r="T47" s="502"/>
      <c r="U47" s="502"/>
      <c r="V47" s="502"/>
      <c r="W47" s="502"/>
      <c r="X47" s="502"/>
      <c r="Y47" s="502"/>
      <c r="Z47" s="502"/>
      <c r="AA47" s="502"/>
      <c r="AB47" s="502"/>
      <c r="AC47" s="502"/>
      <c r="AD47" s="502"/>
      <c r="AE47" s="502"/>
      <c r="AF47" s="502"/>
      <c r="AG47" s="502"/>
      <c r="AH47" s="502"/>
      <c r="AI47" s="502"/>
    </row>
    <row r="48" spans="1:35" ht="33.9" hidden="1" customHeight="1" outlineLevel="1" thickBot="1" x14ac:dyDescent="0.3">
      <c r="B48" s="1484" t="s">
        <v>1586</v>
      </c>
      <c r="C48" s="1485"/>
      <c r="D48" s="1460">
        <f>G49*I49*K49</f>
        <v>0</v>
      </c>
      <c r="E48" s="573"/>
      <c r="F48" s="1462" t="s">
        <v>1280</v>
      </c>
      <c r="G48" s="574" t="s">
        <v>1284</v>
      </c>
      <c r="H48" s="575"/>
      <c r="I48" s="574" t="s">
        <v>1285</v>
      </c>
      <c r="J48" s="576"/>
      <c r="K48" s="574" t="s">
        <v>804</v>
      </c>
      <c r="L48" s="577"/>
      <c r="M48" s="577"/>
      <c r="N48" s="1464" t="s">
        <v>1661</v>
      </c>
      <c r="O48" s="1464"/>
      <c r="P48" s="1464"/>
      <c r="S48" s="500"/>
    </row>
    <row r="49" spans="1:21" ht="23.4" hidden="1" outlineLevel="1" thickBot="1" x14ac:dyDescent="0.3">
      <c r="B49" s="1497"/>
      <c r="C49" s="1498"/>
      <c r="D49" s="1461"/>
      <c r="E49" s="579"/>
      <c r="F49" s="1463"/>
      <c r="G49" s="222"/>
      <c r="H49" s="580" t="s">
        <v>805</v>
      </c>
      <c r="I49" s="222"/>
      <c r="J49" s="580" t="s">
        <v>805</v>
      </c>
      <c r="K49" s="222"/>
      <c r="L49" s="581"/>
      <c r="M49" s="582"/>
      <c r="N49" s="1465"/>
      <c r="O49" s="1465"/>
      <c r="P49" s="1465"/>
      <c r="S49" s="583"/>
      <c r="T49" s="501"/>
    </row>
    <row r="50" spans="1:21" ht="50.25" hidden="1" customHeight="1" outlineLevel="1" thickBot="1" x14ac:dyDescent="0.3">
      <c r="B50" s="1472" t="s">
        <v>1563</v>
      </c>
      <c r="C50" s="1473"/>
      <c r="D50" s="221"/>
      <c r="E50" s="573"/>
      <c r="F50" s="584" t="s">
        <v>1281</v>
      </c>
      <c r="G50" s="1465" t="s">
        <v>1564</v>
      </c>
      <c r="H50" s="1465"/>
      <c r="I50" s="1465"/>
      <c r="J50" s="1465"/>
      <c r="K50" s="1465"/>
      <c r="L50" s="1465"/>
      <c r="M50" s="585"/>
      <c r="N50" s="1458" t="s">
        <v>1660</v>
      </c>
      <c r="O50" s="1458"/>
      <c r="P50" s="1458"/>
      <c r="S50" s="583"/>
    </row>
    <row r="51" spans="1:21" ht="35.1" hidden="1" customHeight="1" outlineLevel="1" thickBot="1" x14ac:dyDescent="0.3">
      <c r="B51" s="1472" t="s">
        <v>1641</v>
      </c>
      <c r="C51" s="1473"/>
      <c r="D51" s="221"/>
      <c r="E51" s="573"/>
      <c r="F51" s="584" t="s">
        <v>1281</v>
      </c>
      <c r="G51" s="1458" t="s">
        <v>1565</v>
      </c>
      <c r="H51" s="1458"/>
      <c r="I51" s="1458"/>
      <c r="J51" s="1458"/>
      <c r="K51" s="1458"/>
      <c r="L51" s="1458"/>
      <c r="M51" s="578"/>
      <c r="N51" s="1458" t="s">
        <v>1276</v>
      </c>
      <c r="O51" s="1458"/>
      <c r="P51" s="1458"/>
      <c r="S51" s="583"/>
    </row>
    <row r="52" spans="1:21" ht="47.25" hidden="1" customHeight="1" outlineLevel="1" thickBot="1" x14ac:dyDescent="0.3">
      <c r="B52" s="1472" t="s">
        <v>1640</v>
      </c>
      <c r="C52" s="1473"/>
      <c r="D52" s="221"/>
      <c r="E52" s="587"/>
      <c r="F52" s="584" t="s">
        <v>1281</v>
      </c>
      <c r="G52" s="1458" t="s">
        <v>1569</v>
      </c>
      <c r="H52" s="1458"/>
      <c r="I52" s="1458"/>
      <c r="J52" s="1458"/>
      <c r="K52" s="1458"/>
      <c r="L52" s="1458"/>
      <c r="M52" s="586"/>
      <c r="N52" s="1491" t="s">
        <v>1659</v>
      </c>
      <c r="O52" s="1491"/>
      <c r="P52" s="1491"/>
      <c r="S52" s="583"/>
    </row>
    <row r="53" spans="1:21" ht="35.1" hidden="1" customHeight="1" outlineLevel="1" thickBot="1" x14ac:dyDescent="0.3">
      <c r="B53" s="1468" t="s">
        <v>1566</v>
      </c>
      <c r="C53" s="1469"/>
      <c r="D53" s="221"/>
      <c r="E53" s="588"/>
      <c r="F53" s="584" t="s">
        <v>1281</v>
      </c>
      <c r="G53" s="1458" t="s">
        <v>9</v>
      </c>
      <c r="H53" s="1458"/>
      <c r="I53" s="1458"/>
      <c r="J53" s="1458"/>
      <c r="K53" s="1458"/>
      <c r="L53" s="1458"/>
      <c r="M53" s="585"/>
      <c r="N53" s="1465" t="s">
        <v>1277</v>
      </c>
      <c r="O53" s="1465"/>
      <c r="P53" s="1465"/>
      <c r="S53" s="583"/>
    </row>
    <row r="54" spans="1:21" ht="35.1" hidden="1" customHeight="1" outlineLevel="1" thickBot="1" x14ac:dyDescent="0.3">
      <c r="B54" s="1472" t="s">
        <v>1567</v>
      </c>
      <c r="C54" s="1473"/>
      <c r="D54" s="221"/>
      <c r="E54" s="573"/>
      <c r="F54" s="584" t="s">
        <v>1281</v>
      </c>
      <c r="G54" s="1458" t="s">
        <v>1540</v>
      </c>
      <c r="H54" s="1458"/>
      <c r="I54" s="1458"/>
      <c r="J54" s="1458"/>
      <c r="K54" s="1458"/>
      <c r="L54" s="1458"/>
      <c r="M54" s="586"/>
      <c r="N54" s="1458" t="s">
        <v>1639</v>
      </c>
      <c r="O54" s="1458"/>
      <c r="P54" s="1458"/>
      <c r="S54" s="583"/>
    </row>
    <row r="55" spans="1:21" ht="35.1" hidden="1" customHeight="1" outlineLevel="1" thickBot="1" x14ac:dyDescent="0.3">
      <c r="B55" s="1472" t="s">
        <v>1568</v>
      </c>
      <c r="C55" s="1473"/>
      <c r="D55" s="221"/>
      <c r="E55" s="593"/>
      <c r="F55" s="584" t="s">
        <v>1281</v>
      </c>
      <c r="G55" s="1491" t="s">
        <v>1662</v>
      </c>
      <c r="H55" s="1491"/>
      <c r="I55" s="1491"/>
      <c r="J55" s="1491"/>
      <c r="K55" s="1491"/>
      <c r="L55" s="1491"/>
      <c r="M55" s="585"/>
      <c r="N55" s="1465" t="s">
        <v>3415</v>
      </c>
      <c r="O55" s="1465"/>
      <c r="P55" s="1465"/>
      <c r="Q55" s="1499"/>
      <c r="R55" s="1499"/>
      <c r="S55" s="1499"/>
      <c r="T55" s="1499"/>
      <c r="U55" s="1499"/>
    </row>
    <row r="56" spans="1:21" ht="35.1" hidden="1" customHeight="1" outlineLevel="1" thickBot="1" x14ac:dyDescent="0.3">
      <c r="B56" s="1495" t="s">
        <v>1581</v>
      </c>
      <c r="C56" s="1496"/>
      <c r="D56" s="221"/>
      <c r="E56" s="606"/>
      <c r="F56" s="607" t="s">
        <v>1280</v>
      </c>
      <c r="G56" s="1490" t="s">
        <v>1383</v>
      </c>
      <c r="H56" s="1490"/>
      <c r="I56" s="1490"/>
      <c r="J56" s="1490"/>
      <c r="K56" s="1490"/>
      <c r="L56" s="1490"/>
      <c r="M56" s="608"/>
      <c r="N56" s="1490" t="s">
        <v>1582</v>
      </c>
      <c r="O56" s="1490"/>
      <c r="P56" s="1490"/>
      <c r="S56" s="583"/>
    </row>
    <row r="57" spans="1:21" ht="16.350000000000001" customHeight="1" collapsed="1" x14ac:dyDescent="0.25">
      <c r="O57" s="502"/>
      <c r="Q57" s="502"/>
    </row>
    <row r="58" spans="1:21" ht="17.100000000000001" customHeight="1" x14ac:dyDescent="0.25">
      <c r="O58" s="502"/>
      <c r="Q58" s="502"/>
    </row>
    <row r="59" spans="1:21" ht="17.399999999999999" x14ac:dyDescent="0.25">
      <c r="A59" s="515" t="s">
        <v>3408</v>
      </c>
      <c r="B59" s="515"/>
      <c r="C59" s="609" t="s">
        <v>1668</v>
      </c>
      <c r="Q59" s="502"/>
    </row>
    <row r="60" spans="1:21" x14ac:dyDescent="0.25">
      <c r="Q60" s="502"/>
    </row>
    <row r="61" spans="1:21" ht="17.399999999999999" x14ac:dyDescent="0.25">
      <c r="A61" s="610"/>
      <c r="B61" s="610"/>
      <c r="Q61" s="502"/>
    </row>
    <row r="62" spans="1:21" ht="17.399999999999999" x14ac:dyDescent="0.25">
      <c r="A62" s="515" t="s">
        <v>3408</v>
      </c>
      <c r="B62" s="515"/>
      <c r="C62" s="609" t="s">
        <v>1666</v>
      </c>
      <c r="D62" s="501"/>
      <c r="E62" s="501"/>
      <c r="F62" s="501"/>
      <c r="G62" s="501"/>
      <c r="H62" s="611"/>
      <c r="I62" s="501"/>
      <c r="J62" s="501"/>
      <c r="K62" s="501"/>
      <c r="Q62" s="502"/>
    </row>
    <row r="63" spans="1:21" ht="17.399999999999999" x14ac:dyDescent="0.25">
      <c r="A63" s="515"/>
      <c r="B63" s="515"/>
      <c r="C63" s="612"/>
      <c r="D63" s="501"/>
      <c r="E63" s="501"/>
      <c r="F63" s="501"/>
      <c r="G63" s="501"/>
      <c r="H63" s="611"/>
      <c r="I63" s="501"/>
      <c r="J63" s="501"/>
      <c r="K63" s="501"/>
      <c r="Q63" s="502"/>
    </row>
    <row r="64" spans="1:21" x14ac:dyDescent="0.25">
      <c r="Q64" s="502"/>
    </row>
    <row r="65" spans="1:17" ht="17.399999999999999" x14ac:dyDescent="0.25">
      <c r="A65" s="515" t="s">
        <v>3408</v>
      </c>
      <c r="B65" s="515"/>
      <c r="C65" s="609" t="s">
        <v>1667</v>
      </c>
      <c r="D65" s="501"/>
      <c r="E65" s="501"/>
      <c r="F65" s="501"/>
      <c r="Q65" s="502"/>
    </row>
    <row r="66" spans="1:17" x14ac:dyDescent="0.25">
      <c r="Q66" s="502"/>
    </row>
    <row r="67" spans="1:17" x14ac:dyDescent="0.25">
      <c r="Q67" s="502"/>
    </row>
    <row r="68" spans="1:17" ht="80.849999999999994" customHeight="1" x14ac:dyDescent="0.25">
      <c r="C68" s="1450" t="s">
        <v>1752</v>
      </c>
      <c r="D68" s="1450"/>
      <c r="E68" s="1450"/>
      <c r="F68" s="1450"/>
      <c r="G68" s="1450"/>
      <c r="H68" s="1450"/>
      <c r="I68" s="1450"/>
      <c r="J68" s="1450"/>
      <c r="K68" s="1450"/>
      <c r="L68" s="1450"/>
      <c r="M68" s="1450"/>
      <c r="N68" s="1450"/>
      <c r="Q68" s="502"/>
    </row>
    <row r="69" spans="1:17" x14ac:dyDescent="0.25">
      <c r="Q69" s="502"/>
    </row>
    <row r="70" spans="1:17" x14ac:dyDescent="0.25">
      <c r="Q70" s="502"/>
    </row>
    <row r="71" spans="1:17" x14ac:dyDescent="0.25">
      <c r="C71" s="499" t="s">
        <v>4901</v>
      </c>
      <c r="Q71" s="502"/>
    </row>
    <row r="72" spans="1:17" x14ac:dyDescent="0.25">
      <c r="C72" s="499" t="s">
        <v>4900</v>
      </c>
      <c r="Q72" s="502"/>
    </row>
    <row r="73" spans="1:17" x14ac:dyDescent="0.25">
      <c r="Q73" s="502"/>
    </row>
    <row r="74" spans="1:17" x14ac:dyDescent="0.25">
      <c r="Q74" s="502"/>
    </row>
    <row r="75" spans="1:17" x14ac:dyDescent="0.25">
      <c r="Q75" s="502"/>
    </row>
    <row r="76" spans="1:17" x14ac:dyDescent="0.25">
      <c r="Q76" s="502"/>
    </row>
    <row r="77" spans="1:17" x14ac:dyDescent="0.25">
      <c r="Q77" s="502"/>
    </row>
    <row r="78" spans="1:17" x14ac:dyDescent="0.25">
      <c r="Q78" s="502"/>
    </row>
    <row r="79" spans="1:17" x14ac:dyDescent="0.25">
      <c r="Q79" s="502"/>
    </row>
    <row r="80" spans="1:17" x14ac:dyDescent="0.25">
      <c r="Q80" s="502"/>
    </row>
    <row r="81" spans="17:17" x14ac:dyDescent="0.25">
      <c r="Q81" s="502"/>
    </row>
    <row r="82" spans="17:17" x14ac:dyDescent="0.25">
      <c r="Q82" s="502"/>
    </row>
    <row r="83" spans="17:17" x14ac:dyDescent="0.25">
      <c r="Q83" s="502"/>
    </row>
    <row r="84" spans="17:17" x14ac:dyDescent="0.25">
      <c r="Q84" s="502"/>
    </row>
    <row r="85" spans="17:17" x14ac:dyDescent="0.25">
      <c r="Q85" s="502"/>
    </row>
    <row r="86" spans="17:17" x14ac:dyDescent="0.25">
      <c r="Q86" s="502"/>
    </row>
    <row r="87" spans="17:17" x14ac:dyDescent="0.25">
      <c r="Q87" s="502"/>
    </row>
    <row r="88" spans="17:17" x14ac:dyDescent="0.25">
      <c r="Q88" s="502"/>
    </row>
    <row r="89" spans="17:17" x14ac:dyDescent="0.25">
      <c r="Q89" s="502"/>
    </row>
    <row r="90" spans="17:17" x14ac:dyDescent="0.25">
      <c r="Q90" s="502"/>
    </row>
    <row r="91" spans="17:17" x14ac:dyDescent="0.25">
      <c r="Q91" s="502"/>
    </row>
    <row r="92" spans="17:17" x14ac:dyDescent="0.25">
      <c r="Q92" s="502"/>
    </row>
    <row r="93" spans="17:17" x14ac:dyDescent="0.25">
      <c r="Q93" s="502"/>
    </row>
    <row r="94" spans="17:17" x14ac:dyDescent="0.25">
      <c r="Q94" s="502"/>
    </row>
    <row r="95" spans="17:17" x14ac:dyDescent="0.25">
      <c r="Q95" s="502"/>
    </row>
    <row r="96" spans="17:17" x14ac:dyDescent="0.25">
      <c r="Q96" s="502"/>
    </row>
    <row r="97" spans="17:17" x14ac:dyDescent="0.25">
      <c r="Q97" s="502"/>
    </row>
    <row r="98" spans="17:17" x14ac:dyDescent="0.25">
      <c r="Q98" s="502"/>
    </row>
    <row r="99" spans="17:17" x14ac:dyDescent="0.25">
      <c r="Q99" s="502"/>
    </row>
    <row r="100" spans="17:17" x14ac:dyDescent="0.25">
      <c r="Q100" s="502"/>
    </row>
    <row r="101" spans="17:17" x14ac:dyDescent="0.25">
      <c r="Q101" s="502"/>
    </row>
    <row r="102" spans="17:17" x14ac:dyDescent="0.25">
      <c r="Q102" s="502"/>
    </row>
    <row r="103" spans="17:17" x14ac:dyDescent="0.25">
      <c r="Q103" s="502"/>
    </row>
    <row r="104" spans="17:17" x14ac:dyDescent="0.25">
      <c r="Q104" s="502"/>
    </row>
    <row r="105" spans="17:17" x14ac:dyDescent="0.25">
      <c r="Q105" s="502"/>
    </row>
    <row r="106" spans="17:17" x14ac:dyDescent="0.25">
      <c r="Q106" s="502"/>
    </row>
    <row r="107" spans="17:17" x14ac:dyDescent="0.25">
      <c r="Q107" s="502"/>
    </row>
    <row r="108" spans="17:17" x14ac:dyDescent="0.25">
      <c r="Q108" s="502"/>
    </row>
    <row r="109" spans="17:17" x14ac:dyDescent="0.25">
      <c r="Q109" s="502"/>
    </row>
    <row r="110" spans="17:17" x14ac:dyDescent="0.25">
      <c r="Q110" s="502"/>
    </row>
    <row r="111" spans="17:17" x14ac:dyDescent="0.25">
      <c r="Q111" s="502"/>
    </row>
    <row r="112" spans="17:17" x14ac:dyDescent="0.25">
      <c r="Q112" s="502"/>
    </row>
    <row r="113" spans="17:17" x14ac:dyDescent="0.25">
      <c r="Q113" s="502"/>
    </row>
    <row r="114" spans="17:17" x14ac:dyDescent="0.25">
      <c r="Q114" s="502"/>
    </row>
    <row r="115" spans="17:17" x14ac:dyDescent="0.25">
      <c r="Q115" s="502"/>
    </row>
    <row r="116" spans="17:17" x14ac:dyDescent="0.25">
      <c r="Q116" s="502"/>
    </row>
    <row r="117" spans="17:17" x14ac:dyDescent="0.25">
      <c r="Q117" s="502"/>
    </row>
    <row r="118" spans="17:17" x14ac:dyDescent="0.25">
      <c r="Q118" s="502"/>
    </row>
    <row r="119" spans="17:17" x14ac:dyDescent="0.25">
      <c r="Q119" s="502"/>
    </row>
    <row r="120" spans="17:17" x14ac:dyDescent="0.25">
      <c r="Q120" s="502"/>
    </row>
    <row r="121" spans="17:17" x14ac:dyDescent="0.25">
      <c r="Q121" s="502"/>
    </row>
    <row r="122" spans="17:17" x14ac:dyDescent="0.25">
      <c r="Q122" s="502"/>
    </row>
    <row r="123" spans="17:17" x14ac:dyDescent="0.25">
      <c r="Q123" s="502"/>
    </row>
    <row r="124" spans="17:17" x14ac:dyDescent="0.25">
      <c r="Q124" s="502"/>
    </row>
    <row r="125" spans="17:17" x14ac:dyDescent="0.25">
      <c r="Q125" s="502"/>
    </row>
    <row r="126" spans="17:17" x14ac:dyDescent="0.25">
      <c r="Q126" s="502"/>
    </row>
    <row r="127" spans="17:17" x14ac:dyDescent="0.25">
      <c r="Q127" s="502"/>
    </row>
    <row r="128" spans="17:17" x14ac:dyDescent="0.25">
      <c r="Q128" s="502"/>
    </row>
    <row r="129" spans="17:17" x14ac:dyDescent="0.25">
      <c r="Q129" s="502"/>
    </row>
    <row r="130" spans="17:17" x14ac:dyDescent="0.25">
      <c r="Q130" s="502"/>
    </row>
    <row r="131" spans="17:17" x14ac:dyDescent="0.25">
      <c r="Q131" s="502"/>
    </row>
    <row r="132" spans="17:17" x14ac:dyDescent="0.25">
      <c r="Q132" s="502"/>
    </row>
    <row r="133" spans="17:17" x14ac:dyDescent="0.25">
      <c r="Q133" s="502"/>
    </row>
    <row r="134" spans="17:17" x14ac:dyDescent="0.25">
      <c r="Q134" s="502"/>
    </row>
    <row r="135" spans="17:17" x14ac:dyDescent="0.25">
      <c r="Q135" s="502"/>
    </row>
    <row r="136" spans="17:17" x14ac:dyDescent="0.25">
      <c r="Q136" s="502"/>
    </row>
    <row r="137" spans="17:17" x14ac:dyDescent="0.25">
      <c r="Q137" s="502"/>
    </row>
    <row r="138" spans="17:17" x14ac:dyDescent="0.25">
      <c r="Q138" s="502"/>
    </row>
    <row r="139" spans="17:17" x14ac:dyDescent="0.25">
      <c r="Q139" s="502"/>
    </row>
    <row r="140" spans="17:17" x14ac:dyDescent="0.25">
      <c r="Q140" s="502"/>
    </row>
    <row r="141" spans="17:17" x14ac:dyDescent="0.25">
      <c r="Q141" s="502"/>
    </row>
    <row r="142" spans="17:17" x14ac:dyDescent="0.25">
      <c r="Q142" s="502"/>
    </row>
    <row r="143" spans="17:17" x14ac:dyDescent="0.25">
      <c r="Q143" s="502"/>
    </row>
    <row r="144" spans="17:17" x14ac:dyDescent="0.25">
      <c r="Q144" s="502"/>
    </row>
    <row r="145" spans="17:17" x14ac:dyDescent="0.25">
      <c r="Q145" s="502"/>
    </row>
    <row r="146" spans="17:17" x14ac:dyDescent="0.25">
      <c r="Q146" s="502"/>
    </row>
    <row r="147" spans="17:17" x14ac:dyDescent="0.25">
      <c r="Q147" s="502"/>
    </row>
    <row r="148" spans="17:17" x14ac:dyDescent="0.25">
      <c r="Q148" s="502"/>
    </row>
    <row r="149" spans="17:17" x14ac:dyDescent="0.25">
      <c r="Q149" s="502"/>
    </row>
    <row r="150" spans="17:17" x14ac:dyDescent="0.25">
      <c r="Q150" s="502"/>
    </row>
    <row r="151" spans="17:17" x14ac:dyDescent="0.25">
      <c r="Q151" s="502"/>
    </row>
    <row r="152" spans="17:17" x14ac:dyDescent="0.25">
      <c r="Q152" s="502"/>
    </row>
    <row r="153" spans="17:17" x14ac:dyDescent="0.25">
      <c r="Q153" s="502"/>
    </row>
    <row r="154" spans="17:17" x14ac:dyDescent="0.25">
      <c r="Q154" s="502"/>
    </row>
    <row r="155" spans="17:17" x14ac:dyDescent="0.25">
      <c r="Q155" s="502"/>
    </row>
    <row r="156" spans="17:17" x14ac:dyDescent="0.25">
      <c r="Q156" s="502"/>
    </row>
    <row r="157" spans="17:17" x14ac:dyDescent="0.25">
      <c r="Q157" s="502"/>
    </row>
    <row r="158" spans="17:17" x14ac:dyDescent="0.25">
      <c r="Q158" s="502"/>
    </row>
    <row r="159" spans="17:17" x14ac:dyDescent="0.25">
      <c r="Q159" s="502"/>
    </row>
    <row r="160" spans="17:17" x14ac:dyDescent="0.25">
      <c r="Q160" s="502"/>
    </row>
    <row r="161" spans="17:17" x14ac:dyDescent="0.25">
      <c r="Q161" s="502"/>
    </row>
    <row r="162" spans="17:17" x14ac:dyDescent="0.25">
      <c r="Q162" s="502"/>
    </row>
    <row r="163" spans="17:17" x14ac:dyDescent="0.25">
      <c r="Q163" s="502"/>
    </row>
    <row r="164" spans="17:17" x14ac:dyDescent="0.25">
      <c r="Q164" s="502"/>
    </row>
    <row r="165" spans="17:17" x14ac:dyDescent="0.25">
      <c r="Q165" s="502"/>
    </row>
    <row r="166" spans="17:17" x14ac:dyDescent="0.25">
      <c r="Q166" s="502"/>
    </row>
    <row r="167" spans="17:17" x14ac:dyDescent="0.25">
      <c r="Q167" s="502"/>
    </row>
    <row r="168" spans="17:17" x14ac:dyDescent="0.25">
      <c r="Q168" s="502"/>
    </row>
    <row r="169" spans="17:17" x14ac:dyDescent="0.25">
      <c r="Q169" s="502"/>
    </row>
    <row r="170" spans="17:17" x14ac:dyDescent="0.25">
      <c r="Q170" s="502"/>
    </row>
    <row r="171" spans="17:17" x14ac:dyDescent="0.25">
      <c r="Q171" s="502"/>
    </row>
    <row r="172" spans="17:17" x14ac:dyDescent="0.25">
      <c r="Q172" s="502"/>
    </row>
    <row r="173" spans="17:17" x14ac:dyDescent="0.25">
      <c r="Q173" s="502"/>
    </row>
    <row r="174" spans="17:17" x14ac:dyDescent="0.25">
      <c r="Q174" s="502"/>
    </row>
    <row r="175" spans="17:17" x14ac:dyDescent="0.25">
      <c r="Q175" s="502"/>
    </row>
    <row r="176" spans="17:17" x14ac:dyDescent="0.25">
      <c r="Q176" s="502"/>
    </row>
    <row r="177" spans="17:17" x14ac:dyDescent="0.25">
      <c r="Q177" s="502"/>
    </row>
    <row r="178" spans="17:17" x14ac:dyDescent="0.25">
      <c r="Q178" s="502"/>
    </row>
    <row r="179" spans="17:17" x14ac:dyDescent="0.25">
      <c r="Q179" s="502"/>
    </row>
    <row r="180" spans="17:17" x14ac:dyDescent="0.25">
      <c r="Q180" s="502"/>
    </row>
    <row r="181" spans="17:17" x14ac:dyDescent="0.25">
      <c r="Q181" s="502"/>
    </row>
    <row r="182" spans="17:17" x14ac:dyDescent="0.25">
      <c r="Q182" s="502"/>
    </row>
    <row r="183" spans="17:17" x14ac:dyDescent="0.25">
      <c r="Q183" s="502"/>
    </row>
    <row r="184" spans="17:17" x14ac:dyDescent="0.25">
      <c r="Q184" s="502"/>
    </row>
    <row r="185" spans="17:17" x14ac:dyDescent="0.25">
      <c r="Q185" s="502"/>
    </row>
    <row r="186" spans="17:17" x14ac:dyDescent="0.25">
      <c r="Q186" s="502"/>
    </row>
    <row r="187" spans="17:17" x14ac:dyDescent="0.25">
      <c r="Q187" s="502"/>
    </row>
    <row r="188" spans="17:17" x14ac:dyDescent="0.25">
      <c r="Q188" s="502"/>
    </row>
    <row r="189" spans="17:17" x14ac:dyDescent="0.25">
      <c r="Q189" s="502"/>
    </row>
    <row r="190" spans="17:17" x14ac:dyDescent="0.25">
      <c r="Q190" s="502"/>
    </row>
    <row r="191" spans="17:17" x14ac:dyDescent="0.25">
      <c r="Q191" s="502"/>
    </row>
    <row r="192" spans="17:17" x14ac:dyDescent="0.25">
      <c r="Q192" s="502"/>
    </row>
    <row r="193" spans="17:17" x14ac:dyDescent="0.25">
      <c r="Q193" s="502"/>
    </row>
    <row r="194" spans="17:17" x14ac:dyDescent="0.25">
      <c r="Q194" s="502"/>
    </row>
    <row r="195" spans="17:17" x14ac:dyDescent="0.25">
      <c r="Q195" s="502"/>
    </row>
    <row r="196" spans="17:17" x14ac:dyDescent="0.25">
      <c r="Q196" s="502"/>
    </row>
    <row r="197" spans="17:17" x14ac:dyDescent="0.25">
      <c r="Q197" s="502"/>
    </row>
    <row r="198" spans="17:17" x14ac:dyDescent="0.25">
      <c r="Q198" s="502"/>
    </row>
    <row r="199" spans="17:17" x14ac:dyDescent="0.25">
      <c r="Q199" s="502"/>
    </row>
    <row r="200" spans="17:17" x14ac:dyDescent="0.25">
      <c r="Q200" s="502"/>
    </row>
    <row r="201" spans="17:17" x14ac:dyDescent="0.25">
      <c r="Q201" s="502"/>
    </row>
    <row r="202" spans="17:17" x14ac:dyDescent="0.25">
      <c r="Q202" s="502"/>
    </row>
    <row r="203" spans="17:17" x14ac:dyDescent="0.25">
      <c r="Q203" s="502"/>
    </row>
    <row r="204" spans="17:17" x14ac:dyDescent="0.25">
      <c r="Q204" s="502"/>
    </row>
    <row r="205" spans="17:17" x14ac:dyDescent="0.25">
      <c r="Q205" s="502"/>
    </row>
    <row r="206" spans="17:17" x14ac:dyDescent="0.25">
      <c r="Q206" s="502"/>
    </row>
    <row r="207" spans="17:17" x14ac:dyDescent="0.25">
      <c r="Q207" s="502"/>
    </row>
    <row r="208" spans="17:17" x14ac:dyDescent="0.25">
      <c r="Q208" s="502"/>
    </row>
    <row r="209" spans="17:17" x14ac:dyDescent="0.25">
      <c r="Q209" s="502"/>
    </row>
    <row r="210" spans="17:17" x14ac:dyDescent="0.25">
      <c r="Q210" s="502"/>
    </row>
    <row r="211" spans="17:17" x14ac:dyDescent="0.25">
      <c r="Q211" s="502"/>
    </row>
    <row r="212" spans="17:17" x14ac:dyDescent="0.25">
      <c r="Q212" s="502"/>
    </row>
    <row r="213" spans="17:17" x14ac:dyDescent="0.25">
      <c r="Q213" s="502"/>
    </row>
    <row r="214" spans="17:17" x14ac:dyDescent="0.25">
      <c r="Q214" s="502"/>
    </row>
    <row r="215" spans="17:17" x14ac:dyDescent="0.25">
      <c r="Q215" s="502"/>
    </row>
    <row r="216" spans="17:17" x14ac:dyDescent="0.25">
      <c r="Q216" s="502"/>
    </row>
    <row r="217" spans="17:17" x14ac:dyDescent="0.25">
      <c r="Q217" s="502"/>
    </row>
    <row r="218" spans="17:17" x14ac:dyDescent="0.25">
      <c r="Q218" s="502"/>
    </row>
    <row r="219" spans="17:17" x14ac:dyDescent="0.25">
      <c r="Q219" s="502"/>
    </row>
    <row r="220" spans="17:17" x14ac:dyDescent="0.25">
      <c r="Q220" s="502"/>
    </row>
    <row r="221" spans="17:17" x14ac:dyDescent="0.25">
      <c r="Q221" s="502"/>
    </row>
    <row r="222" spans="17:17" x14ac:dyDescent="0.25">
      <c r="Q222" s="502"/>
    </row>
    <row r="223" spans="17:17" x14ac:dyDescent="0.25">
      <c r="Q223" s="502"/>
    </row>
    <row r="224" spans="17:17" x14ac:dyDescent="0.25">
      <c r="Q224" s="502"/>
    </row>
    <row r="225" spans="17:17" x14ac:dyDescent="0.25">
      <c r="Q225" s="502"/>
    </row>
    <row r="226" spans="17:17" x14ac:dyDescent="0.25">
      <c r="Q226" s="502"/>
    </row>
    <row r="227" spans="17:17" x14ac:dyDescent="0.25">
      <c r="Q227" s="502"/>
    </row>
    <row r="228" spans="17:17" x14ac:dyDescent="0.25">
      <c r="Q228" s="502"/>
    </row>
    <row r="229" spans="17:17" x14ac:dyDescent="0.25">
      <c r="Q229" s="502"/>
    </row>
    <row r="230" spans="17:17" x14ac:dyDescent="0.25">
      <c r="Q230" s="502"/>
    </row>
    <row r="231" spans="17:17" x14ac:dyDescent="0.25">
      <c r="Q231" s="502"/>
    </row>
    <row r="232" spans="17:17" x14ac:dyDescent="0.25">
      <c r="Q232" s="502"/>
    </row>
    <row r="233" spans="17:17" x14ac:dyDescent="0.25">
      <c r="Q233" s="502"/>
    </row>
    <row r="234" spans="17:17" x14ac:dyDescent="0.25">
      <c r="Q234" s="502"/>
    </row>
    <row r="235" spans="17:17" x14ac:dyDescent="0.25">
      <c r="Q235" s="502"/>
    </row>
    <row r="236" spans="17:17" x14ac:dyDescent="0.25">
      <c r="Q236" s="502"/>
    </row>
    <row r="237" spans="17:17" x14ac:dyDescent="0.25">
      <c r="Q237" s="502"/>
    </row>
    <row r="238" spans="17:17" x14ac:dyDescent="0.25">
      <c r="Q238" s="502"/>
    </row>
    <row r="239" spans="17:17" x14ac:dyDescent="0.25">
      <c r="Q239" s="502"/>
    </row>
    <row r="240" spans="17:17" x14ac:dyDescent="0.25">
      <c r="Q240" s="502"/>
    </row>
    <row r="241" spans="17:17" x14ac:dyDescent="0.25">
      <c r="Q241" s="502"/>
    </row>
    <row r="242" spans="17:17" x14ac:dyDescent="0.25">
      <c r="Q242" s="502"/>
    </row>
    <row r="243" spans="17:17" x14ac:dyDescent="0.25">
      <c r="Q243" s="502"/>
    </row>
    <row r="244" spans="17:17" x14ac:dyDescent="0.25">
      <c r="Q244" s="502"/>
    </row>
    <row r="245" spans="17:17" x14ac:dyDescent="0.25">
      <c r="Q245" s="502"/>
    </row>
    <row r="246" spans="17:17" x14ac:dyDescent="0.25">
      <c r="Q246" s="502"/>
    </row>
    <row r="247" spans="17:17" x14ac:dyDescent="0.25">
      <c r="Q247" s="502"/>
    </row>
    <row r="248" spans="17:17" x14ac:dyDescent="0.25">
      <c r="Q248" s="502"/>
    </row>
    <row r="249" spans="17:17" x14ac:dyDescent="0.25">
      <c r="Q249" s="502"/>
    </row>
    <row r="250" spans="17:17" x14ac:dyDescent="0.25">
      <c r="Q250" s="502"/>
    </row>
    <row r="251" spans="17:17" x14ac:dyDescent="0.25">
      <c r="Q251" s="502"/>
    </row>
    <row r="252" spans="17:17" x14ac:dyDescent="0.25">
      <c r="Q252" s="502"/>
    </row>
    <row r="253" spans="17:17" x14ac:dyDescent="0.25">
      <c r="Q253" s="502"/>
    </row>
    <row r="254" spans="17:17" x14ac:dyDescent="0.25">
      <c r="Q254" s="502"/>
    </row>
    <row r="255" spans="17:17" x14ac:dyDescent="0.25">
      <c r="Q255" s="502"/>
    </row>
    <row r="256" spans="17:17" x14ac:dyDescent="0.25">
      <c r="Q256" s="502"/>
    </row>
    <row r="257" spans="17:17" x14ac:dyDescent="0.25">
      <c r="Q257" s="502"/>
    </row>
    <row r="258" spans="17:17" x14ac:dyDescent="0.25">
      <c r="Q258" s="502"/>
    </row>
    <row r="259" spans="17:17" x14ac:dyDescent="0.25">
      <c r="Q259" s="502"/>
    </row>
    <row r="260" spans="17:17" x14ac:dyDescent="0.25">
      <c r="Q260" s="502"/>
    </row>
    <row r="261" spans="17:17" x14ac:dyDescent="0.25">
      <c r="Q261" s="502"/>
    </row>
    <row r="262" spans="17:17" x14ac:dyDescent="0.25">
      <c r="Q262" s="502"/>
    </row>
    <row r="263" spans="17:17" x14ac:dyDescent="0.25">
      <c r="Q263" s="502"/>
    </row>
  </sheetData>
  <sheetProtection algorithmName="SHA-512" hashValue="vsdgRac62hGOFlPCyDEx17Z++8E2sY6YM46rAsgbxEIqXV11OLsboeO6UmX6IprAyI/oPfiFuOQGp5pABNyPzw==" saltValue="+EdaANc4kJ+aRgCePgqA9Q==" spinCount="100000" sheet="1" objects="1" scenarios="1"/>
  <mergeCells count="125">
    <mergeCell ref="A2:A6"/>
    <mergeCell ref="C2:K6"/>
    <mergeCell ref="L2:P6"/>
    <mergeCell ref="U5:V5"/>
    <mergeCell ref="Y5:Z5"/>
    <mergeCell ref="P15:P16"/>
    <mergeCell ref="AD5:AE5"/>
    <mergeCell ref="G37:L37"/>
    <mergeCell ref="N37:P37"/>
    <mergeCell ref="F25:M25"/>
    <mergeCell ref="N25:P25"/>
    <mergeCell ref="N14:O14"/>
    <mergeCell ref="I15:L15"/>
    <mergeCell ref="N7:O7"/>
    <mergeCell ref="S7:Z7"/>
    <mergeCell ref="S8:Z9"/>
    <mergeCell ref="F28:F29"/>
    <mergeCell ref="N28:P29"/>
    <mergeCell ref="G26:L26"/>
    <mergeCell ref="N26:P26"/>
    <mergeCell ref="E26:F26"/>
    <mergeCell ref="S11:Z13"/>
    <mergeCell ref="I19:L19"/>
    <mergeCell ref="R37:X37"/>
    <mergeCell ref="Q55:U55"/>
    <mergeCell ref="G50:L50"/>
    <mergeCell ref="N50:P50"/>
    <mergeCell ref="G51:L51"/>
    <mergeCell ref="N51:P51"/>
    <mergeCell ref="G52:L52"/>
    <mergeCell ref="N52:P52"/>
    <mergeCell ref="S5:T5"/>
    <mergeCell ref="S14:Z17"/>
    <mergeCell ref="G40:L40"/>
    <mergeCell ref="N40:P40"/>
    <mergeCell ref="G30:L30"/>
    <mergeCell ref="N30:P30"/>
    <mergeCell ref="N36:P36"/>
    <mergeCell ref="N32:P32"/>
    <mergeCell ref="G33:L33"/>
    <mergeCell ref="N33:P33"/>
    <mergeCell ref="G34:L34"/>
    <mergeCell ref="N34:P34"/>
    <mergeCell ref="G35:L35"/>
    <mergeCell ref="N35:P35"/>
    <mergeCell ref="G36:L36"/>
    <mergeCell ref="N38:P38"/>
    <mergeCell ref="G38:L38"/>
    <mergeCell ref="B53:C53"/>
    <mergeCell ref="B54:C54"/>
    <mergeCell ref="B55:C55"/>
    <mergeCell ref="B56:C56"/>
    <mergeCell ref="B47:C47"/>
    <mergeCell ref="B48:C49"/>
    <mergeCell ref="B50:C50"/>
    <mergeCell ref="B51:C51"/>
    <mergeCell ref="B52:C52"/>
    <mergeCell ref="G56:L56"/>
    <mergeCell ref="N56:P56"/>
    <mergeCell ref="G53:L53"/>
    <mergeCell ref="N53:P53"/>
    <mergeCell ref="G54:L54"/>
    <mergeCell ref="N54:P54"/>
    <mergeCell ref="G55:L55"/>
    <mergeCell ref="N55:P55"/>
    <mergeCell ref="G45:L45"/>
    <mergeCell ref="N45:P45"/>
    <mergeCell ref="E45:F45"/>
    <mergeCell ref="B42:P42"/>
    <mergeCell ref="B43:C43"/>
    <mergeCell ref="B44:M44"/>
    <mergeCell ref="B45:C45"/>
    <mergeCell ref="G39:L39"/>
    <mergeCell ref="N39:P39"/>
    <mergeCell ref="C16:D16"/>
    <mergeCell ref="C17:D17"/>
    <mergeCell ref="C18:D18"/>
    <mergeCell ref="C19:D19"/>
    <mergeCell ref="B37:C37"/>
    <mergeCell ref="B36:C36"/>
    <mergeCell ref="B35:C35"/>
    <mergeCell ref="B34:C34"/>
    <mergeCell ref="B26:C26"/>
    <mergeCell ref="B28:C29"/>
    <mergeCell ref="B30:C30"/>
    <mergeCell ref="B31:C31"/>
    <mergeCell ref="B32:C32"/>
    <mergeCell ref="B20:C20"/>
    <mergeCell ref="B21:C21"/>
    <mergeCell ref="B22:C22"/>
    <mergeCell ref="B23:C23"/>
    <mergeCell ref="C68:N68"/>
    <mergeCell ref="I16:L16"/>
    <mergeCell ref="N16:N17"/>
    <mergeCell ref="O16:O17"/>
    <mergeCell ref="I17:L17"/>
    <mergeCell ref="I18:L18"/>
    <mergeCell ref="N18:O18"/>
    <mergeCell ref="N19:N20"/>
    <mergeCell ref="O19:O20"/>
    <mergeCell ref="G31:L31"/>
    <mergeCell ref="N31:P31"/>
    <mergeCell ref="G32:L32"/>
    <mergeCell ref="N21:N22"/>
    <mergeCell ref="O21:O22"/>
    <mergeCell ref="D28:D29"/>
    <mergeCell ref="D48:D49"/>
    <mergeCell ref="F48:F49"/>
    <mergeCell ref="N48:P49"/>
    <mergeCell ref="G47:L47"/>
    <mergeCell ref="N47:P47"/>
    <mergeCell ref="B33:C33"/>
    <mergeCell ref="B40:C40"/>
    <mergeCell ref="B39:C39"/>
    <mergeCell ref="B38:C38"/>
    <mergeCell ref="C25:D25"/>
    <mergeCell ref="R1:AG1"/>
    <mergeCell ref="R3:V3"/>
    <mergeCell ref="X3:AA3"/>
    <mergeCell ref="AC3:AF3"/>
    <mergeCell ref="S4:T4"/>
    <mergeCell ref="U4:V4"/>
    <mergeCell ref="Y4:Z4"/>
    <mergeCell ref="AD4:AE4"/>
    <mergeCell ref="C15:D15"/>
  </mergeCells>
  <dataValidations count="1">
    <dataValidation type="decimal" allowBlank="1" showInputMessage="1" showErrorMessage="1" error="Select Yes or No, or else leave blank." sqref="D47" xr:uid="{00000000-0002-0000-0600-000000000000}">
      <formula1>0</formula1>
      <formula2>1000</formula2>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1000000}">
          <x14:formula1>
            <xm:f>'Energy GHG'!$C$2:$C$14</xm:f>
          </x14:formula1>
          <xm:sqref>I15:L15</xm:sqref>
        </x14:dataValidation>
        <x14:dataValidation type="list" allowBlank="1" showInputMessage="1" showErrorMessage="1" xr:uid="{F61D12CB-17F8-4CA6-85A6-8E59DB394147}">
          <x14:formula1>
            <xm:f>'Dropdown Lists'!$J$2:$J$3</xm:f>
          </x14:formula1>
          <xm:sqref>P17</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AD0CD-5BD7-418F-9EA8-88613CF8258B}">
  <sheetPr codeName="Sheet34"/>
  <dimension ref="A1:N259"/>
  <sheetViews>
    <sheetView workbookViewId="0">
      <selection activeCell="F1" sqref="F1"/>
    </sheetView>
  </sheetViews>
  <sheetFormatPr defaultColWidth="8.81640625" defaultRowHeight="15" x14ac:dyDescent="0.25"/>
  <cols>
    <col min="1" max="1" width="18.6328125" customWidth="1"/>
  </cols>
  <sheetData>
    <row r="1" spans="1:14" ht="16.2" thickBot="1" x14ac:dyDescent="0.35">
      <c r="A1" s="613" t="s">
        <v>4029</v>
      </c>
      <c r="B1" s="614"/>
      <c r="C1" s="615" t="s">
        <v>4030</v>
      </c>
      <c r="D1" s="614"/>
      <c r="E1" s="614"/>
      <c r="F1" s="373" t="s">
        <v>1208</v>
      </c>
      <c r="G1" s="614"/>
      <c r="H1" s="614"/>
      <c r="I1" s="614"/>
      <c r="J1" s="614"/>
      <c r="K1" s="614"/>
      <c r="L1" s="614"/>
      <c r="M1" s="614"/>
      <c r="N1" s="614"/>
    </row>
    <row r="2" spans="1:14" ht="15.6" thickTop="1" x14ac:dyDescent="0.25">
      <c r="A2" s="616" t="s">
        <v>103</v>
      </c>
      <c r="B2" s="617" t="str">
        <f>'Energy GHG'!$C2</f>
        <v>Newfoundland and Labrador</v>
      </c>
      <c r="C2" s="617" t="str">
        <f>'Energy GHG'!$C3</f>
        <v>Prince Edward Island</v>
      </c>
      <c r="D2" s="617" t="str">
        <f>'Energy GHG'!$C4</f>
        <v>Nova Scotia</v>
      </c>
      <c r="E2" s="617" t="str">
        <f>'Energy GHG'!$C5</f>
        <v>New Brunswick</v>
      </c>
      <c r="F2" s="617" t="str">
        <f>'Energy GHG'!$C6</f>
        <v>Quebec</v>
      </c>
      <c r="G2" s="617" t="str">
        <f>'Energy GHG'!$C7</f>
        <v>Ontario</v>
      </c>
      <c r="H2" s="617" t="str">
        <f>'Energy GHG'!$C8</f>
        <v>Manitoba</v>
      </c>
      <c r="I2" s="617" t="str">
        <f>'Energy GHG'!$C9</f>
        <v>Saskatchewan</v>
      </c>
      <c r="J2" s="617" t="str">
        <f>'Energy GHG'!$C10</f>
        <v>Alberta</v>
      </c>
      <c r="K2" s="617" t="str">
        <f>'Energy GHG'!$C11</f>
        <v>British Columbia</v>
      </c>
      <c r="L2" s="617" t="str">
        <f>'Energy GHG'!$C12</f>
        <v>Yukon</v>
      </c>
      <c r="M2" s="617" t="str">
        <f>'Energy GHG'!$C13</f>
        <v>Northwest Territories</v>
      </c>
      <c r="N2" s="617" t="str">
        <f>'Energy GHG'!$C14</f>
        <v>Nunavut</v>
      </c>
    </row>
    <row r="3" spans="1:14" x14ac:dyDescent="0.25">
      <c r="A3" t="s">
        <v>7613</v>
      </c>
    </row>
    <row r="4" spans="1:14" x14ac:dyDescent="0.25">
      <c r="A4" t="s">
        <v>7614</v>
      </c>
    </row>
    <row r="5" spans="1:14" x14ac:dyDescent="0.25">
      <c r="A5" t="s">
        <v>7615</v>
      </c>
    </row>
    <row r="6" spans="1:14" x14ac:dyDescent="0.25">
      <c r="A6" t="s">
        <v>7616</v>
      </c>
    </row>
    <row r="7" spans="1:14" x14ac:dyDescent="0.25">
      <c r="A7" t="s">
        <v>7617</v>
      </c>
    </row>
    <row r="8" spans="1:14" x14ac:dyDescent="0.25">
      <c r="A8" t="s">
        <v>7618</v>
      </c>
    </row>
    <row r="9" spans="1:14" x14ac:dyDescent="0.25">
      <c r="A9" t="s">
        <v>7619</v>
      </c>
    </row>
    <row r="10" spans="1:14" x14ac:dyDescent="0.25">
      <c r="A10" t="s">
        <v>7620</v>
      </c>
    </row>
    <row r="11" spans="1:14" x14ac:dyDescent="0.25">
      <c r="A11" t="s">
        <v>7621</v>
      </c>
    </row>
    <row r="12" spans="1:14" x14ac:dyDescent="0.25">
      <c r="A12" t="s">
        <v>7622</v>
      </c>
    </row>
    <row r="13" spans="1:14" x14ac:dyDescent="0.25">
      <c r="A13" t="s">
        <v>7623</v>
      </c>
    </row>
    <row r="14" spans="1:14" x14ac:dyDescent="0.25">
      <c r="A14" t="s">
        <v>7624</v>
      </c>
    </row>
    <row r="15" spans="1:14" x14ac:dyDescent="0.25">
      <c r="A15" t="s">
        <v>7625</v>
      </c>
    </row>
    <row r="16" spans="1:14" x14ac:dyDescent="0.25">
      <c r="A16" t="s">
        <v>7626</v>
      </c>
    </row>
    <row r="17" spans="1:1" x14ac:dyDescent="0.25">
      <c r="A17" t="s">
        <v>7627</v>
      </c>
    </row>
    <row r="18" spans="1:1" x14ac:dyDescent="0.25">
      <c r="A18" t="s">
        <v>7628</v>
      </c>
    </row>
    <row r="19" spans="1:1" x14ac:dyDescent="0.25">
      <c r="A19" t="s">
        <v>7629</v>
      </c>
    </row>
    <row r="20" spans="1:1" x14ac:dyDescent="0.25">
      <c r="A20" t="s">
        <v>7630</v>
      </c>
    </row>
    <row r="21" spans="1:1" x14ac:dyDescent="0.25">
      <c r="A21" t="s">
        <v>7631</v>
      </c>
    </row>
    <row r="22" spans="1:1" x14ac:dyDescent="0.25">
      <c r="A22" t="s">
        <v>7632</v>
      </c>
    </row>
    <row r="23" spans="1:1" x14ac:dyDescent="0.25">
      <c r="A23" t="s">
        <v>7633</v>
      </c>
    </row>
    <row r="24" spans="1:1" x14ac:dyDescent="0.25">
      <c r="A24" t="s">
        <v>7634</v>
      </c>
    </row>
    <row r="25" spans="1:1" x14ac:dyDescent="0.25">
      <c r="A25" t="s">
        <v>7635</v>
      </c>
    </row>
    <row r="26" spans="1:1" x14ac:dyDescent="0.25">
      <c r="A26" t="s">
        <v>7636</v>
      </c>
    </row>
    <row r="27" spans="1:1" x14ac:dyDescent="0.25">
      <c r="A27" t="s">
        <v>7637</v>
      </c>
    </row>
    <row r="28" spans="1:1" x14ac:dyDescent="0.25">
      <c r="A28" t="s">
        <v>7638</v>
      </c>
    </row>
    <row r="29" spans="1:1" x14ac:dyDescent="0.25">
      <c r="A29" t="s">
        <v>7639</v>
      </c>
    </row>
    <row r="30" spans="1:1" x14ac:dyDescent="0.25">
      <c r="A30" t="s">
        <v>7640</v>
      </c>
    </row>
    <row r="31" spans="1:1" x14ac:dyDescent="0.25">
      <c r="A31" t="s">
        <v>7641</v>
      </c>
    </row>
    <row r="32" spans="1:1" x14ac:dyDescent="0.25">
      <c r="A32" t="s">
        <v>7642</v>
      </c>
    </row>
    <row r="33" spans="1:1" x14ac:dyDescent="0.25">
      <c r="A33" t="s">
        <v>7643</v>
      </c>
    </row>
    <row r="34" spans="1:1" x14ac:dyDescent="0.25">
      <c r="A34" t="s">
        <v>7644</v>
      </c>
    </row>
    <row r="35" spans="1:1" x14ac:dyDescent="0.25">
      <c r="A35" t="s">
        <v>7645</v>
      </c>
    </row>
    <row r="36" spans="1:1" x14ac:dyDescent="0.25">
      <c r="A36" t="s">
        <v>7646</v>
      </c>
    </row>
    <row r="37" spans="1:1" x14ac:dyDescent="0.25">
      <c r="A37" t="s">
        <v>7647</v>
      </c>
    </row>
    <row r="38" spans="1:1" x14ac:dyDescent="0.25">
      <c r="A38" t="s">
        <v>7648</v>
      </c>
    </row>
    <row r="39" spans="1:1" x14ac:dyDescent="0.25">
      <c r="A39" t="s">
        <v>7649</v>
      </c>
    </row>
    <row r="40" spans="1:1" x14ac:dyDescent="0.25">
      <c r="A40" t="s">
        <v>7650</v>
      </c>
    </row>
    <row r="41" spans="1:1" x14ac:dyDescent="0.25">
      <c r="A41" t="s">
        <v>7651</v>
      </c>
    </row>
    <row r="42" spans="1:1" x14ac:dyDescent="0.25">
      <c r="A42" t="s">
        <v>7652</v>
      </c>
    </row>
    <row r="43" spans="1:1" x14ac:dyDescent="0.25">
      <c r="A43" t="s">
        <v>7653</v>
      </c>
    </row>
    <row r="44" spans="1:1" x14ac:dyDescent="0.25">
      <c r="A44" t="s">
        <v>7654</v>
      </c>
    </row>
    <row r="45" spans="1:1" x14ac:dyDescent="0.25">
      <c r="A45" t="s">
        <v>7655</v>
      </c>
    </row>
    <row r="46" spans="1:1" x14ac:dyDescent="0.25">
      <c r="A46" t="s">
        <v>7656</v>
      </c>
    </row>
    <row r="47" spans="1:1" x14ac:dyDescent="0.25">
      <c r="A47" t="s">
        <v>7657</v>
      </c>
    </row>
    <row r="48" spans="1:1" x14ac:dyDescent="0.25">
      <c r="A48" t="s">
        <v>7658</v>
      </c>
    </row>
    <row r="49" spans="1:1" x14ac:dyDescent="0.25">
      <c r="A49" t="s">
        <v>7659</v>
      </c>
    </row>
    <row r="50" spans="1:1" x14ac:dyDescent="0.25">
      <c r="A50" t="s">
        <v>7660</v>
      </c>
    </row>
    <row r="51" spans="1:1" x14ac:dyDescent="0.25">
      <c r="A51" t="s">
        <v>7661</v>
      </c>
    </row>
    <row r="52" spans="1:1" x14ac:dyDescent="0.25">
      <c r="A52" t="s">
        <v>7662</v>
      </c>
    </row>
    <row r="53" spans="1:1" x14ac:dyDescent="0.25">
      <c r="A53" t="s">
        <v>7663</v>
      </c>
    </row>
    <row r="54" spans="1:1" x14ac:dyDescent="0.25">
      <c r="A54" t="s">
        <v>7664</v>
      </c>
    </row>
    <row r="55" spans="1:1" x14ac:dyDescent="0.25">
      <c r="A55" t="s">
        <v>7665</v>
      </c>
    </row>
    <row r="56" spans="1:1" x14ac:dyDescent="0.25">
      <c r="A56" t="s">
        <v>7666</v>
      </c>
    </row>
    <row r="57" spans="1:1" x14ac:dyDescent="0.25">
      <c r="A57" t="s">
        <v>7667</v>
      </c>
    </row>
    <row r="58" spans="1:1" x14ac:dyDescent="0.25">
      <c r="A58" t="s">
        <v>7668</v>
      </c>
    </row>
    <row r="59" spans="1:1" x14ac:dyDescent="0.25">
      <c r="A59" t="s">
        <v>7669</v>
      </c>
    </row>
    <row r="60" spans="1:1" x14ac:dyDescent="0.25">
      <c r="A60" t="s">
        <v>7670</v>
      </c>
    </row>
    <row r="61" spans="1:1" x14ac:dyDescent="0.25">
      <c r="A61" t="s">
        <v>7671</v>
      </c>
    </row>
    <row r="62" spans="1:1" x14ac:dyDescent="0.25">
      <c r="A62" t="s">
        <v>7672</v>
      </c>
    </row>
    <row r="63" spans="1:1" x14ac:dyDescent="0.25">
      <c r="A63" t="s">
        <v>7673</v>
      </c>
    </row>
    <row r="64" spans="1:1" x14ac:dyDescent="0.25">
      <c r="A64" t="s">
        <v>7674</v>
      </c>
    </row>
    <row r="65" spans="1:1" x14ac:dyDescent="0.25">
      <c r="A65" t="s">
        <v>7675</v>
      </c>
    </row>
    <row r="66" spans="1:1" x14ac:dyDescent="0.25">
      <c r="A66" t="s">
        <v>7676</v>
      </c>
    </row>
    <row r="67" spans="1:1" x14ac:dyDescent="0.25">
      <c r="A67" t="s">
        <v>7677</v>
      </c>
    </row>
    <row r="68" spans="1:1" x14ac:dyDescent="0.25">
      <c r="A68" t="s">
        <v>7678</v>
      </c>
    </row>
    <row r="69" spans="1:1" x14ac:dyDescent="0.25">
      <c r="A69" t="s">
        <v>7679</v>
      </c>
    </row>
    <row r="70" spans="1:1" x14ac:dyDescent="0.25">
      <c r="A70" t="s">
        <v>7680</v>
      </c>
    </row>
    <row r="71" spans="1:1" x14ac:dyDescent="0.25">
      <c r="A71" t="s">
        <v>7681</v>
      </c>
    </row>
    <row r="72" spans="1:1" x14ac:dyDescent="0.25">
      <c r="A72" t="s">
        <v>7682</v>
      </c>
    </row>
    <row r="73" spans="1:1" x14ac:dyDescent="0.25">
      <c r="A73" t="s">
        <v>7683</v>
      </c>
    </row>
    <row r="74" spans="1:1" x14ac:dyDescent="0.25">
      <c r="A74" t="s">
        <v>7684</v>
      </c>
    </row>
    <row r="75" spans="1:1" x14ac:dyDescent="0.25">
      <c r="A75" t="s">
        <v>7685</v>
      </c>
    </row>
    <row r="76" spans="1:1" x14ac:dyDescent="0.25">
      <c r="A76" t="s">
        <v>7686</v>
      </c>
    </row>
    <row r="77" spans="1:1" x14ac:dyDescent="0.25">
      <c r="A77" t="s">
        <v>7687</v>
      </c>
    </row>
    <row r="78" spans="1:1" x14ac:dyDescent="0.25">
      <c r="A78" t="s">
        <v>7688</v>
      </c>
    </row>
    <row r="79" spans="1:1" x14ac:dyDescent="0.25">
      <c r="A79" t="s">
        <v>7689</v>
      </c>
    </row>
    <row r="80" spans="1:1" x14ac:dyDescent="0.25">
      <c r="A80" t="s">
        <v>7690</v>
      </c>
    </row>
    <row r="81" spans="1:1" x14ac:dyDescent="0.25">
      <c r="A81" t="s">
        <v>7691</v>
      </c>
    </row>
    <row r="82" spans="1:1" x14ac:dyDescent="0.25">
      <c r="A82" t="s">
        <v>7692</v>
      </c>
    </row>
    <row r="83" spans="1:1" x14ac:dyDescent="0.25">
      <c r="A83" t="s">
        <v>7693</v>
      </c>
    </row>
    <row r="84" spans="1:1" x14ac:dyDescent="0.25">
      <c r="A84" t="s">
        <v>7694</v>
      </c>
    </row>
    <row r="85" spans="1:1" x14ac:dyDescent="0.25">
      <c r="A85" t="s">
        <v>7695</v>
      </c>
    </row>
    <row r="86" spans="1:1" x14ac:dyDescent="0.25">
      <c r="A86" t="s">
        <v>7696</v>
      </c>
    </row>
    <row r="87" spans="1:1" x14ac:dyDescent="0.25">
      <c r="A87" t="s">
        <v>7697</v>
      </c>
    </row>
    <row r="88" spans="1:1" x14ac:dyDescent="0.25">
      <c r="A88" t="s">
        <v>7698</v>
      </c>
    </row>
    <row r="89" spans="1:1" x14ac:dyDescent="0.25">
      <c r="A89" t="s">
        <v>7699</v>
      </c>
    </row>
    <row r="90" spans="1:1" x14ac:dyDescent="0.25">
      <c r="A90" t="s">
        <v>7700</v>
      </c>
    </row>
    <row r="91" spans="1:1" x14ac:dyDescent="0.25">
      <c r="A91" t="s">
        <v>7701</v>
      </c>
    </row>
    <row r="92" spans="1:1" x14ac:dyDescent="0.25">
      <c r="A92" t="s">
        <v>7702</v>
      </c>
    </row>
    <row r="93" spans="1:1" x14ac:dyDescent="0.25">
      <c r="A93" t="s">
        <v>7703</v>
      </c>
    </row>
    <row r="94" spans="1:1" x14ac:dyDescent="0.25">
      <c r="A94" t="s">
        <v>7704</v>
      </c>
    </row>
    <row r="95" spans="1:1" x14ac:dyDescent="0.25">
      <c r="A95" t="s">
        <v>7705</v>
      </c>
    </row>
    <row r="96" spans="1:1" x14ac:dyDescent="0.25">
      <c r="A96" t="s">
        <v>7706</v>
      </c>
    </row>
    <row r="97" spans="1:1" x14ac:dyDescent="0.25">
      <c r="A97" t="s">
        <v>7707</v>
      </c>
    </row>
    <row r="98" spans="1:1" x14ac:dyDescent="0.25">
      <c r="A98" t="s">
        <v>7708</v>
      </c>
    </row>
    <row r="99" spans="1:1" x14ac:dyDescent="0.25">
      <c r="A99" t="s">
        <v>7709</v>
      </c>
    </row>
    <row r="100" spans="1:1" x14ac:dyDescent="0.25">
      <c r="A100" t="s">
        <v>7710</v>
      </c>
    </row>
    <row r="101" spans="1:1" x14ac:dyDescent="0.25">
      <c r="A101" t="s">
        <v>7711</v>
      </c>
    </row>
    <row r="102" spans="1:1" x14ac:dyDescent="0.25">
      <c r="A102" t="s">
        <v>7712</v>
      </c>
    </row>
    <row r="103" spans="1:1" x14ac:dyDescent="0.25">
      <c r="A103" t="s">
        <v>7713</v>
      </c>
    </row>
    <row r="104" spans="1:1" x14ac:dyDescent="0.25">
      <c r="A104" t="s">
        <v>7714</v>
      </c>
    </row>
    <row r="105" spans="1:1" x14ac:dyDescent="0.25">
      <c r="A105" t="s">
        <v>7715</v>
      </c>
    </row>
    <row r="106" spans="1:1" x14ac:dyDescent="0.25">
      <c r="A106" t="s">
        <v>7716</v>
      </c>
    </row>
    <row r="107" spans="1:1" x14ac:dyDescent="0.25">
      <c r="A107" t="s">
        <v>7717</v>
      </c>
    </row>
    <row r="108" spans="1:1" x14ac:dyDescent="0.25">
      <c r="A108" t="s">
        <v>7718</v>
      </c>
    </row>
    <row r="109" spans="1:1" x14ac:dyDescent="0.25">
      <c r="A109" t="s">
        <v>7719</v>
      </c>
    </row>
    <row r="110" spans="1:1" x14ac:dyDescent="0.25">
      <c r="A110" t="s">
        <v>7720</v>
      </c>
    </row>
    <row r="111" spans="1:1" x14ac:dyDescent="0.25">
      <c r="A111" t="s">
        <v>7721</v>
      </c>
    </row>
    <row r="112" spans="1:1" x14ac:dyDescent="0.25">
      <c r="A112" t="s">
        <v>7722</v>
      </c>
    </row>
    <row r="113" spans="1:1" x14ac:dyDescent="0.25">
      <c r="A113" t="s">
        <v>7723</v>
      </c>
    </row>
    <row r="114" spans="1:1" x14ac:dyDescent="0.25">
      <c r="A114" t="s">
        <v>7724</v>
      </c>
    </row>
    <row r="115" spans="1:1" x14ac:dyDescent="0.25">
      <c r="A115" t="s">
        <v>7725</v>
      </c>
    </row>
    <row r="116" spans="1:1" x14ac:dyDescent="0.25">
      <c r="A116" t="s">
        <v>7726</v>
      </c>
    </row>
    <row r="117" spans="1:1" x14ac:dyDescent="0.25">
      <c r="A117" t="s">
        <v>7727</v>
      </c>
    </row>
    <row r="118" spans="1:1" x14ac:dyDescent="0.25">
      <c r="A118" t="s">
        <v>7728</v>
      </c>
    </row>
    <row r="119" spans="1:1" x14ac:dyDescent="0.25">
      <c r="A119" t="s">
        <v>7729</v>
      </c>
    </row>
    <row r="120" spans="1:1" x14ac:dyDescent="0.25">
      <c r="A120" t="s">
        <v>7730</v>
      </c>
    </row>
    <row r="121" spans="1:1" x14ac:dyDescent="0.25">
      <c r="A121" t="s">
        <v>7731</v>
      </c>
    </row>
    <row r="122" spans="1:1" x14ac:dyDescent="0.25">
      <c r="A122" t="s">
        <v>7732</v>
      </c>
    </row>
    <row r="123" spans="1:1" x14ac:dyDescent="0.25">
      <c r="A123" t="s">
        <v>7733</v>
      </c>
    </row>
    <row r="124" spans="1:1" x14ac:dyDescent="0.25">
      <c r="A124" t="s">
        <v>7734</v>
      </c>
    </row>
    <row r="125" spans="1:1" x14ac:dyDescent="0.25">
      <c r="A125" t="s">
        <v>7735</v>
      </c>
    </row>
    <row r="126" spans="1:1" x14ac:dyDescent="0.25">
      <c r="A126" t="s">
        <v>7736</v>
      </c>
    </row>
    <row r="127" spans="1:1" x14ac:dyDescent="0.25">
      <c r="A127" t="s">
        <v>7737</v>
      </c>
    </row>
    <row r="128" spans="1:1" x14ac:dyDescent="0.25">
      <c r="A128" t="s">
        <v>7738</v>
      </c>
    </row>
    <row r="129" spans="1:1" x14ac:dyDescent="0.25">
      <c r="A129" t="s">
        <v>7739</v>
      </c>
    </row>
    <row r="130" spans="1:1" x14ac:dyDescent="0.25">
      <c r="A130" t="s">
        <v>7740</v>
      </c>
    </row>
    <row r="131" spans="1:1" x14ac:dyDescent="0.25">
      <c r="A131" t="s">
        <v>7741</v>
      </c>
    </row>
    <row r="132" spans="1:1" x14ac:dyDescent="0.25">
      <c r="A132" t="s">
        <v>7742</v>
      </c>
    </row>
    <row r="133" spans="1:1" x14ac:dyDescent="0.25">
      <c r="A133" t="s">
        <v>7743</v>
      </c>
    </row>
    <row r="134" spans="1:1" x14ac:dyDescent="0.25">
      <c r="A134" t="s">
        <v>7744</v>
      </c>
    </row>
    <row r="135" spans="1:1" x14ac:dyDescent="0.25">
      <c r="A135" t="s">
        <v>7745</v>
      </c>
    </row>
    <row r="136" spans="1:1" x14ac:dyDescent="0.25">
      <c r="A136" t="s">
        <v>7746</v>
      </c>
    </row>
    <row r="137" spans="1:1" x14ac:dyDescent="0.25">
      <c r="A137" t="s">
        <v>7747</v>
      </c>
    </row>
    <row r="138" spans="1:1" x14ac:dyDescent="0.25">
      <c r="A138" t="s">
        <v>7748</v>
      </c>
    </row>
    <row r="139" spans="1:1" x14ac:dyDescent="0.25">
      <c r="A139" t="s">
        <v>7749</v>
      </c>
    </row>
    <row r="140" spans="1:1" x14ac:dyDescent="0.25">
      <c r="A140" t="s">
        <v>7750</v>
      </c>
    </row>
    <row r="141" spans="1:1" x14ac:dyDescent="0.25">
      <c r="A141" t="s">
        <v>7751</v>
      </c>
    </row>
    <row r="142" spans="1:1" x14ac:dyDescent="0.25">
      <c r="A142" t="s">
        <v>7752</v>
      </c>
    </row>
    <row r="143" spans="1:1" x14ac:dyDescent="0.25">
      <c r="A143" t="s">
        <v>7753</v>
      </c>
    </row>
    <row r="144" spans="1:1" x14ac:dyDescent="0.25">
      <c r="A144" t="s">
        <v>7754</v>
      </c>
    </row>
    <row r="145" spans="1:1" x14ac:dyDescent="0.25">
      <c r="A145" t="s">
        <v>7755</v>
      </c>
    </row>
    <row r="146" spans="1:1" x14ac:dyDescent="0.25">
      <c r="A146" t="s">
        <v>7756</v>
      </c>
    </row>
    <row r="147" spans="1:1" x14ac:dyDescent="0.25">
      <c r="A147" t="s">
        <v>7757</v>
      </c>
    </row>
    <row r="148" spans="1:1" x14ac:dyDescent="0.25">
      <c r="A148" t="s">
        <v>7758</v>
      </c>
    </row>
    <row r="149" spans="1:1" x14ac:dyDescent="0.25">
      <c r="A149" t="s">
        <v>7759</v>
      </c>
    </row>
    <row r="150" spans="1:1" x14ac:dyDescent="0.25">
      <c r="A150" t="s">
        <v>7760</v>
      </c>
    </row>
    <row r="151" spans="1:1" x14ac:dyDescent="0.25">
      <c r="A151" t="s">
        <v>7761</v>
      </c>
    </row>
    <row r="152" spans="1:1" x14ac:dyDescent="0.25">
      <c r="A152" t="s">
        <v>7762</v>
      </c>
    </row>
    <row r="153" spans="1:1" x14ac:dyDescent="0.25">
      <c r="A153" t="s">
        <v>7763</v>
      </c>
    </row>
    <row r="154" spans="1:1" x14ac:dyDescent="0.25">
      <c r="A154" t="s">
        <v>7764</v>
      </c>
    </row>
    <row r="155" spans="1:1" x14ac:dyDescent="0.25">
      <c r="A155" t="s">
        <v>7765</v>
      </c>
    </row>
    <row r="156" spans="1:1" x14ac:dyDescent="0.25">
      <c r="A156" t="s">
        <v>7766</v>
      </c>
    </row>
    <row r="157" spans="1:1" x14ac:dyDescent="0.25">
      <c r="A157" t="s">
        <v>7767</v>
      </c>
    </row>
    <row r="158" spans="1:1" x14ac:dyDescent="0.25">
      <c r="A158" t="s">
        <v>7768</v>
      </c>
    </row>
    <row r="159" spans="1:1" x14ac:dyDescent="0.25">
      <c r="A159" t="s">
        <v>7769</v>
      </c>
    </row>
    <row r="160" spans="1:1" x14ac:dyDescent="0.25">
      <c r="A160" t="s">
        <v>7770</v>
      </c>
    </row>
    <row r="161" spans="1:1" x14ac:dyDescent="0.25">
      <c r="A161" t="s">
        <v>7771</v>
      </c>
    </row>
    <row r="162" spans="1:1" x14ac:dyDescent="0.25">
      <c r="A162" t="s">
        <v>7772</v>
      </c>
    </row>
    <row r="163" spans="1:1" x14ac:dyDescent="0.25">
      <c r="A163" t="s">
        <v>7773</v>
      </c>
    </row>
    <row r="164" spans="1:1" x14ac:dyDescent="0.25">
      <c r="A164" t="s">
        <v>7774</v>
      </c>
    </row>
    <row r="165" spans="1:1" x14ac:dyDescent="0.25">
      <c r="A165" t="s">
        <v>7775</v>
      </c>
    </row>
    <row r="166" spans="1:1" x14ac:dyDescent="0.25">
      <c r="A166" t="s">
        <v>7776</v>
      </c>
    </row>
    <row r="167" spans="1:1" x14ac:dyDescent="0.25">
      <c r="A167" t="s">
        <v>7777</v>
      </c>
    </row>
    <row r="168" spans="1:1" x14ac:dyDescent="0.25">
      <c r="A168" t="s">
        <v>7778</v>
      </c>
    </row>
    <row r="169" spans="1:1" x14ac:dyDescent="0.25">
      <c r="A169" t="s">
        <v>7779</v>
      </c>
    </row>
    <row r="170" spans="1:1" x14ac:dyDescent="0.25">
      <c r="A170" t="s">
        <v>7780</v>
      </c>
    </row>
    <row r="171" spans="1:1" x14ac:dyDescent="0.25">
      <c r="A171" t="s">
        <v>7781</v>
      </c>
    </row>
    <row r="172" spans="1:1" x14ac:dyDescent="0.25">
      <c r="A172" t="s">
        <v>7782</v>
      </c>
    </row>
    <row r="173" spans="1:1" x14ac:dyDescent="0.25">
      <c r="A173" t="s">
        <v>7783</v>
      </c>
    </row>
    <row r="174" spans="1:1" x14ac:dyDescent="0.25">
      <c r="A174" t="s">
        <v>7784</v>
      </c>
    </row>
    <row r="175" spans="1:1" x14ac:dyDescent="0.25">
      <c r="A175" t="s">
        <v>7785</v>
      </c>
    </row>
    <row r="176" spans="1:1" x14ac:dyDescent="0.25">
      <c r="A176" t="s">
        <v>7786</v>
      </c>
    </row>
    <row r="177" spans="1:1" x14ac:dyDescent="0.25">
      <c r="A177" t="s">
        <v>7787</v>
      </c>
    </row>
    <row r="178" spans="1:1" x14ac:dyDescent="0.25">
      <c r="A178" t="s">
        <v>7788</v>
      </c>
    </row>
    <row r="179" spans="1:1" x14ac:dyDescent="0.25">
      <c r="A179" t="s">
        <v>7789</v>
      </c>
    </row>
    <row r="180" spans="1:1" x14ac:dyDescent="0.25">
      <c r="A180" t="s">
        <v>7790</v>
      </c>
    </row>
    <row r="181" spans="1:1" x14ac:dyDescent="0.25">
      <c r="A181" t="s">
        <v>7791</v>
      </c>
    </row>
    <row r="182" spans="1:1" x14ac:dyDescent="0.25">
      <c r="A182" t="s">
        <v>7792</v>
      </c>
    </row>
    <row r="183" spans="1:1" x14ac:dyDescent="0.25">
      <c r="A183" t="s">
        <v>7793</v>
      </c>
    </row>
    <row r="184" spans="1:1" x14ac:dyDescent="0.25">
      <c r="A184" t="s">
        <v>7794</v>
      </c>
    </row>
    <row r="185" spans="1:1" x14ac:dyDescent="0.25">
      <c r="A185" t="s">
        <v>7795</v>
      </c>
    </row>
    <row r="186" spans="1:1" x14ac:dyDescent="0.25">
      <c r="A186" t="s">
        <v>7796</v>
      </c>
    </row>
    <row r="187" spans="1:1" x14ac:dyDescent="0.25">
      <c r="A187" t="s">
        <v>7797</v>
      </c>
    </row>
    <row r="188" spans="1:1" x14ac:dyDescent="0.25">
      <c r="A188" t="s">
        <v>7798</v>
      </c>
    </row>
    <row r="189" spans="1:1" x14ac:dyDescent="0.25">
      <c r="A189" t="s">
        <v>7799</v>
      </c>
    </row>
    <row r="190" spans="1:1" x14ac:dyDescent="0.25">
      <c r="A190" t="s">
        <v>7800</v>
      </c>
    </row>
    <row r="191" spans="1:1" x14ac:dyDescent="0.25">
      <c r="A191" t="s">
        <v>7801</v>
      </c>
    </row>
    <row r="192" spans="1:1" x14ac:dyDescent="0.25">
      <c r="A192" t="s">
        <v>7802</v>
      </c>
    </row>
    <row r="193" spans="1:1" x14ac:dyDescent="0.25">
      <c r="A193" t="s">
        <v>7803</v>
      </c>
    </row>
    <row r="194" spans="1:1" x14ac:dyDescent="0.25">
      <c r="A194" t="s">
        <v>7804</v>
      </c>
    </row>
    <row r="195" spans="1:1" x14ac:dyDescent="0.25">
      <c r="A195" t="s">
        <v>7805</v>
      </c>
    </row>
    <row r="196" spans="1:1" x14ac:dyDescent="0.25">
      <c r="A196" t="s">
        <v>7806</v>
      </c>
    </row>
    <row r="197" spans="1:1" x14ac:dyDescent="0.25">
      <c r="A197" t="s">
        <v>7807</v>
      </c>
    </row>
    <row r="198" spans="1:1" x14ac:dyDescent="0.25">
      <c r="A198" t="s">
        <v>7808</v>
      </c>
    </row>
    <row r="199" spans="1:1" x14ac:dyDescent="0.25">
      <c r="A199" t="s">
        <v>7809</v>
      </c>
    </row>
    <row r="200" spans="1:1" x14ac:dyDescent="0.25">
      <c r="A200" t="s">
        <v>7810</v>
      </c>
    </row>
    <row r="201" spans="1:1" x14ac:dyDescent="0.25">
      <c r="A201" t="s">
        <v>7811</v>
      </c>
    </row>
    <row r="202" spans="1:1" x14ac:dyDescent="0.25">
      <c r="A202" t="s">
        <v>7812</v>
      </c>
    </row>
    <row r="203" spans="1:1" x14ac:dyDescent="0.25">
      <c r="A203" t="s">
        <v>7813</v>
      </c>
    </row>
    <row r="204" spans="1:1" x14ac:dyDescent="0.25">
      <c r="A204" t="s">
        <v>7814</v>
      </c>
    </row>
    <row r="205" spans="1:1" x14ac:dyDescent="0.25">
      <c r="A205" t="s">
        <v>7815</v>
      </c>
    </row>
    <row r="206" spans="1:1" x14ac:dyDescent="0.25">
      <c r="A206" t="s">
        <v>7816</v>
      </c>
    </row>
    <row r="207" spans="1:1" x14ac:dyDescent="0.25">
      <c r="A207" t="s">
        <v>7817</v>
      </c>
    </row>
    <row r="208" spans="1:1" x14ac:dyDescent="0.25">
      <c r="A208" t="s">
        <v>7818</v>
      </c>
    </row>
    <row r="209" spans="1:1" x14ac:dyDescent="0.25">
      <c r="A209" t="s">
        <v>7819</v>
      </c>
    </row>
    <row r="210" spans="1:1" x14ac:dyDescent="0.25">
      <c r="A210" t="s">
        <v>7820</v>
      </c>
    </row>
    <row r="211" spans="1:1" x14ac:dyDescent="0.25">
      <c r="A211" t="s">
        <v>7821</v>
      </c>
    </row>
    <row r="212" spans="1:1" x14ac:dyDescent="0.25">
      <c r="A212" t="s">
        <v>7822</v>
      </c>
    </row>
    <row r="213" spans="1:1" x14ac:dyDescent="0.25">
      <c r="A213" t="s">
        <v>7823</v>
      </c>
    </row>
    <row r="214" spans="1:1" x14ac:dyDescent="0.25">
      <c r="A214" t="s">
        <v>7824</v>
      </c>
    </row>
    <row r="215" spans="1:1" x14ac:dyDescent="0.25">
      <c r="A215" t="s">
        <v>7825</v>
      </c>
    </row>
    <row r="216" spans="1:1" x14ac:dyDescent="0.25">
      <c r="A216" t="s">
        <v>7826</v>
      </c>
    </row>
    <row r="217" spans="1:1" x14ac:dyDescent="0.25">
      <c r="A217" t="s">
        <v>7827</v>
      </c>
    </row>
    <row r="218" spans="1:1" x14ac:dyDescent="0.25">
      <c r="A218" t="s">
        <v>7828</v>
      </c>
    </row>
    <row r="219" spans="1:1" x14ac:dyDescent="0.25">
      <c r="A219" t="s">
        <v>7829</v>
      </c>
    </row>
    <row r="220" spans="1:1" x14ac:dyDescent="0.25">
      <c r="A220" t="s">
        <v>7830</v>
      </c>
    </row>
    <row r="221" spans="1:1" x14ac:dyDescent="0.25">
      <c r="A221" t="s">
        <v>7831</v>
      </c>
    </row>
    <row r="222" spans="1:1" x14ac:dyDescent="0.25">
      <c r="A222" t="s">
        <v>7832</v>
      </c>
    </row>
    <row r="223" spans="1:1" x14ac:dyDescent="0.25">
      <c r="A223" t="s">
        <v>7833</v>
      </c>
    </row>
    <row r="224" spans="1:1" x14ac:dyDescent="0.25">
      <c r="A224" t="s">
        <v>7834</v>
      </c>
    </row>
    <row r="225" spans="1:1" x14ac:dyDescent="0.25">
      <c r="A225" t="s">
        <v>7835</v>
      </c>
    </row>
    <row r="226" spans="1:1" x14ac:dyDescent="0.25">
      <c r="A226" t="s">
        <v>7836</v>
      </c>
    </row>
    <row r="227" spans="1:1" x14ac:dyDescent="0.25">
      <c r="A227" t="s">
        <v>7837</v>
      </c>
    </row>
    <row r="228" spans="1:1" x14ac:dyDescent="0.25">
      <c r="A228" t="s">
        <v>7838</v>
      </c>
    </row>
    <row r="229" spans="1:1" x14ac:dyDescent="0.25">
      <c r="A229" t="s">
        <v>7839</v>
      </c>
    </row>
    <row r="230" spans="1:1" x14ac:dyDescent="0.25">
      <c r="A230" t="s">
        <v>7840</v>
      </c>
    </row>
    <row r="231" spans="1:1" x14ac:dyDescent="0.25">
      <c r="A231" t="s">
        <v>7841</v>
      </c>
    </row>
    <row r="232" spans="1:1" x14ac:dyDescent="0.25">
      <c r="A232" t="s">
        <v>7842</v>
      </c>
    </row>
    <row r="233" spans="1:1" x14ac:dyDescent="0.25">
      <c r="A233" t="s">
        <v>7843</v>
      </c>
    </row>
    <row r="234" spans="1:1" x14ac:dyDescent="0.25">
      <c r="A234" t="s">
        <v>7844</v>
      </c>
    </row>
    <row r="235" spans="1:1" x14ac:dyDescent="0.25">
      <c r="A235" t="s">
        <v>7845</v>
      </c>
    </row>
    <row r="236" spans="1:1" x14ac:dyDescent="0.25">
      <c r="A236" t="s">
        <v>7846</v>
      </c>
    </row>
    <row r="237" spans="1:1" x14ac:dyDescent="0.25">
      <c r="A237" t="s">
        <v>7847</v>
      </c>
    </row>
    <row r="238" spans="1:1" x14ac:dyDescent="0.25">
      <c r="A238" t="s">
        <v>7848</v>
      </c>
    </row>
    <row r="239" spans="1:1" x14ac:dyDescent="0.25">
      <c r="A239" t="s">
        <v>7849</v>
      </c>
    </row>
    <row r="240" spans="1:1" x14ac:dyDescent="0.25">
      <c r="A240" t="s">
        <v>7850</v>
      </c>
    </row>
    <row r="241" spans="1:1" x14ac:dyDescent="0.25">
      <c r="A241" t="s">
        <v>7851</v>
      </c>
    </row>
    <row r="242" spans="1:1" x14ac:dyDescent="0.25">
      <c r="A242" t="s">
        <v>7852</v>
      </c>
    </row>
    <row r="243" spans="1:1" x14ac:dyDescent="0.25">
      <c r="A243" t="s">
        <v>7853</v>
      </c>
    </row>
    <row r="244" spans="1:1" x14ac:dyDescent="0.25">
      <c r="A244" t="s">
        <v>7854</v>
      </c>
    </row>
    <row r="245" spans="1:1" x14ac:dyDescent="0.25">
      <c r="A245" t="s">
        <v>7855</v>
      </c>
    </row>
    <row r="246" spans="1:1" x14ac:dyDescent="0.25">
      <c r="A246" t="s">
        <v>7856</v>
      </c>
    </row>
    <row r="247" spans="1:1" x14ac:dyDescent="0.25">
      <c r="A247" t="s">
        <v>7857</v>
      </c>
    </row>
    <row r="248" spans="1:1" x14ac:dyDescent="0.25">
      <c r="A248" t="s">
        <v>7858</v>
      </c>
    </row>
    <row r="249" spans="1:1" x14ac:dyDescent="0.25">
      <c r="A249" t="s">
        <v>7859</v>
      </c>
    </row>
    <row r="250" spans="1:1" x14ac:dyDescent="0.25">
      <c r="A250" t="s">
        <v>7860</v>
      </c>
    </row>
    <row r="251" spans="1:1" x14ac:dyDescent="0.25">
      <c r="A251" t="s">
        <v>7861</v>
      </c>
    </row>
    <row r="252" spans="1:1" x14ac:dyDescent="0.25">
      <c r="A252" t="s">
        <v>7862</v>
      </c>
    </row>
    <row r="253" spans="1:1" x14ac:dyDescent="0.25">
      <c r="A253" t="s">
        <v>7863</v>
      </c>
    </row>
    <row r="254" spans="1:1" x14ac:dyDescent="0.25">
      <c r="A254" t="s">
        <v>7864</v>
      </c>
    </row>
    <row r="255" spans="1:1" x14ac:dyDescent="0.25">
      <c r="A255" t="s">
        <v>7865</v>
      </c>
    </row>
    <row r="256" spans="1:1" x14ac:dyDescent="0.25">
      <c r="A256" t="s">
        <v>7866</v>
      </c>
    </row>
    <row r="257" spans="1:1" x14ac:dyDescent="0.25">
      <c r="A257" t="s">
        <v>7867</v>
      </c>
    </row>
    <row r="258" spans="1:1" x14ac:dyDescent="0.25">
      <c r="A258" t="s">
        <v>7868</v>
      </c>
    </row>
    <row r="259" spans="1:1" x14ac:dyDescent="0.25">
      <c r="A259" t="s">
        <v>7869</v>
      </c>
    </row>
  </sheetData>
  <sheetProtection algorithmName="SHA-512" hashValue="NG06LYboxrdSiXKs42byJxvuPQ0g3M7T+kG2NiYCX7wlFDvWb7GQouiBWu6Txvj1bZ2mMsMZ6Q8zTB89QfNaNA==" saltValue="PZvoCvk+u3huG/k1UMSQcQ==" spinCount="100000" sheet="1" objects="1" scenarios="1"/>
  <pageMargins left="0.7" right="0.7" top="0.75" bottom="0.75" header="0.3" footer="0.3"/>
  <headerFooter>
    <oddHeader>&amp;R&amp;"Aptos"&amp;12&amp;K000000 UNCLASSIFIED - NON CLASSIFIÉ&amp;1#_x000D_</oddHeader>
  </headerFooter>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
    <tabColor theme="5" tint="0.39997558519241921"/>
  </sheetPr>
  <dimension ref="A1:AE1255"/>
  <sheetViews>
    <sheetView zoomScale="80" zoomScaleNormal="80" workbookViewId="0">
      <pane ySplit="4" topLeftCell="A5" activePane="bottomLeft" state="frozen"/>
      <selection activeCell="K14" sqref="K14"/>
      <selection pane="bottomLeft" activeCell="A5" sqref="A5:C5"/>
    </sheetView>
  </sheetViews>
  <sheetFormatPr defaultColWidth="11.36328125" defaultRowHeight="15" customHeight="1" x14ac:dyDescent="0.3"/>
  <cols>
    <col min="1" max="1" width="8.6328125" customWidth="1"/>
    <col min="2" max="2" width="13.08984375" customWidth="1"/>
    <col min="3" max="3" width="57.54296875" customWidth="1"/>
    <col min="4" max="4" width="19.6328125" style="712" customWidth="1"/>
    <col min="5" max="5" width="5.6328125" customWidth="1"/>
    <col min="6" max="6" width="6.6328125" style="331" customWidth="1"/>
    <col min="7" max="7" width="2.36328125" customWidth="1"/>
    <col min="8" max="8" width="6.6328125" customWidth="1"/>
    <col min="9" max="9" width="13.6328125" style="714" hidden="1" customWidth="1"/>
    <col min="10" max="10" width="16.6328125" style="714" hidden="1" customWidth="1"/>
    <col min="11" max="12" width="13.6328125" style="714" customWidth="1"/>
    <col min="13" max="13" width="12.6328125" style="715" customWidth="1"/>
    <col min="14" max="14" width="33.1796875" style="715" customWidth="1"/>
    <col min="15" max="15" width="34.1796875" style="619" customWidth="1"/>
    <col min="16" max="16" width="34.1796875" style="620" customWidth="1"/>
    <col min="17" max="17" width="11.1796875" style="26" customWidth="1"/>
    <col min="18" max="18" width="12.1796875" style="26" customWidth="1"/>
    <col min="19" max="30" width="10.54296875" style="619" customWidth="1"/>
    <col min="31" max="31" width="11.36328125" style="619" customWidth="1"/>
    <col min="32" max="16384" width="11.36328125" style="619"/>
  </cols>
  <sheetData>
    <row r="1" spans="1:31" ht="54.75" customHeight="1" x14ac:dyDescent="0.3">
      <c r="A1" s="1528" t="s">
        <v>3416</v>
      </c>
      <c r="B1" s="1529"/>
      <c r="C1" s="1530"/>
      <c r="D1" s="1521" t="s">
        <v>12</v>
      </c>
      <c r="E1" s="1521"/>
      <c r="F1" s="1521"/>
      <c r="G1" s="1521"/>
      <c r="H1" s="1521"/>
      <c r="I1" s="1521"/>
      <c r="J1" s="1521"/>
      <c r="K1" s="1521"/>
      <c r="L1" s="1521"/>
      <c r="M1" s="1521"/>
      <c r="N1" s="1521"/>
      <c r="O1" s="618"/>
      <c r="P1" s="618"/>
    </row>
    <row r="2" spans="1:31" s="621" customFormat="1" ht="18.149999999999999" customHeight="1" x14ac:dyDescent="0.35">
      <c r="A2" s="1531" t="s">
        <v>7209</v>
      </c>
      <c r="B2" s="1531"/>
      <c r="C2" s="1531"/>
      <c r="D2" s="1531"/>
      <c r="E2" s="1531"/>
      <c r="F2" s="1531"/>
      <c r="G2" s="1531"/>
      <c r="H2" s="1531"/>
      <c r="I2" s="1531"/>
      <c r="J2" s="1531"/>
      <c r="K2" s="1531"/>
      <c r="L2" s="1531"/>
      <c r="M2" s="1531"/>
      <c r="N2" s="1531"/>
      <c r="O2" s="1531"/>
      <c r="P2" s="620"/>
      <c r="Q2" s="27"/>
      <c r="R2" s="27"/>
    </row>
    <row r="3" spans="1:31" s="624" customFormat="1" ht="60" customHeight="1" x14ac:dyDescent="0.25">
      <c r="A3" s="1537" t="s">
        <v>1031</v>
      </c>
      <c r="B3" s="1537"/>
      <c r="C3" s="1537" t="s">
        <v>13</v>
      </c>
      <c r="D3" s="1532" t="s">
        <v>1583</v>
      </c>
      <c r="E3" s="1534"/>
      <c r="F3" s="1537" t="s">
        <v>14</v>
      </c>
      <c r="G3" s="1537"/>
      <c r="H3" s="1538" t="s">
        <v>3417</v>
      </c>
      <c r="I3" s="1526" t="s">
        <v>7157</v>
      </c>
      <c r="J3" s="1526" t="s">
        <v>7158</v>
      </c>
      <c r="K3" s="1535" t="s">
        <v>900</v>
      </c>
      <c r="L3" s="1535" t="s">
        <v>7156</v>
      </c>
      <c r="M3" s="1520" t="s">
        <v>7165</v>
      </c>
      <c r="N3" s="1520"/>
      <c r="O3" s="622" t="s">
        <v>7155</v>
      </c>
      <c r="P3" s="622" t="s">
        <v>7159</v>
      </c>
      <c r="Q3" s="28"/>
      <c r="R3" s="28"/>
      <c r="S3" s="623"/>
      <c r="T3" s="623"/>
      <c r="U3" s="623"/>
      <c r="V3" s="623"/>
      <c r="W3" s="623"/>
      <c r="X3" s="623"/>
      <c r="Y3" s="623"/>
      <c r="Z3" s="623"/>
      <c r="AA3" s="623"/>
      <c r="AB3" s="623"/>
      <c r="AC3" s="623"/>
      <c r="AD3" s="623"/>
      <c r="AE3" s="623"/>
    </row>
    <row r="4" spans="1:31" s="624" customFormat="1" ht="30.15" customHeight="1" x14ac:dyDescent="0.3">
      <c r="A4" s="1537"/>
      <c r="B4" s="1537"/>
      <c r="C4" s="1537"/>
      <c r="D4" s="1533"/>
      <c r="E4" s="1523"/>
      <c r="F4" s="1537"/>
      <c r="G4" s="1537"/>
      <c r="H4" s="1539"/>
      <c r="I4" s="1527"/>
      <c r="J4" s="1527"/>
      <c r="K4" s="1536"/>
      <c r="L4" s="1536"/>
      <c r="M4" s="1520"/>
      <c r="N4" s="1520"/>
      <c r="O4" s="405">
        <f>SUMIF(H6:H153, 1, K6:K153)</f>
        <v>0</v>
      </c>
      <c r="P4" s="424">
        <f>SUMIF(H6:H153, 1, L6:L153)</f>
        <v>0</v>
      </c>
      <c r="Q4" s="626" t="s">
        <v>107</v>
      </c>
      <c r="R4" s="626" t="s">
        <v>1072</v>
      </c>
      <c r="S4" s="627" t="s">
        <v>749</v>
      </c>
      <c r="T4" s="627" t="s">
        <v>108</v>
      </c>
      <c r="U4" s="627"/>
      <c r="V4" s="627"/>
      <c r="W4" s="627"/>
      <c r="X4" s="627"/>
      <c r="Y4" s="628"/>
    </row>
    <row r="5" spans="1:31" s="624" customFormat="1" ht="55.2" customHeight="1" x14ac:dyDescent="0.25">
      <c r="A5" s="1522" t="s">
        <v>18</v>
      </c>
      <c r="B5" s="1523"/>
      <c r="C5" s="1523"/>
      <c r="D5" s="629" t="s">
        <v>19</v>
      </c>
      <c r="E5" s="1"/>
      <c r="F5" s="318" t="s">
        <v>20</v>
      </c>
      <c r="G5" s="630" t="s">
        <v>21</v>
      </c>
      <c r="H5" s="12">
        <f>IF(F5="mm",E5/1000,E5*0.0254)</f>
        <v>0</v>
      </c>
      <c r="I5" s="631" t="s">
        <v>22</v>
      </c>
      <c r="J5" s="632"/>
      <c r="K5" s="633"/>
      <c r="L5" s="634"/>
      <c r="M5" s="635"/>
      <c r="N5" s="635"/>
      <c r="O5" s="636"/>
      <c r="P5" s="637"/>
      <c r="Q5" s="28"/>
      <c r="R5" s="28"/>
      <c r="S5" s="638"/>
      <c r="T5" s="638"/>
      <c r="U5" s="638"/>
      <c r="V5" s="638"/>
      <c r="W5" s="638"/>
      <c r="X5" s="638"/>
      <c r="Y5" s="638"/>
      <c r="Z5" s="638"/>
      <c r="AA5" s="638"/>
      <c r="AB5" s="638"/>
      <c r="AC5" s="623"/>
      <c r="AD5" s="623"/>
    </row>
    <row r="6" spans="1:31" s="624" customFormat="1" ht="23.85" customHeight="1" x14ac:dyDescent="0.25">
      <c r="A6" s="639"/>
      <c r="B6" s="1550" t="s">
        <v>1023</v>
      </c>
      <c r="C6" s="1550"/>
      <c r="D6" s="640"/>
      <c r="E6" s="641"/>
      <c r="F6" s="320"/>
      <c r="G6" s="641"/>
      <c r="H6" s="641"/>
      <c r="I6" s="642"/>
      <c r="J6" s="643"/>
      <c r="K6" s="644"/>
      <c r="L6" s="645"/>
      <c r="M6" s="646"/>
      <c r="N6" s="646"/>
      <c r="O6" s="637"/>
      <c r="P6" s="637"/>
      <c r="Q6" s="28"/>
      <c r="R6" s="28"/>
      <c r="S6" s="638"/>
      <c r="T6" s="638"/>
      <c r="U6" s="638"/>
      <c r="V6" s="638"/>
      <c r="W6" s="638"/>
      <c r="X6" s="638"/>
      <c r="Y6" s="638"/>
      <c r="Z6" s="638"/>
      <c r="AA6" s="638"/>
      <c r="AB6" s="638"/>
      <c r="AC6" s="623"/>
      <c r="AD6" s="623"/>
    </row>
    <row r="7" spans="1:31" s="624" customFormat="1" ht="83.4" customHeight="1" x14ac:dyDescent="0.25">
      <c r="A7" s="1540" t="s">
        <v>785</v>
      </c>
      <c r="B7" s="1540"/>
      <c r="C7" s="647" t="str">
        <f>INDEX('Master sheet'!$A$1:$A$670,MATCH(4,'Master sheet'!$AN$1:$AN$670,0))</f>
        <v>Aggregate /  /  / Avg construction aggregate (gravel &amp; sand)</v>
      </c>
      <c r="D7" s="13">
        <f>'USER INPUT SHEET'!$D$31</f>
        <v>0</v>
      </c>
      <c r="E7" s="14" t="str">
        <f>'USER INPUT SHEET'!$F$31</f>
        <v>m2</v>
      </c>
      <c r="F7" s="2">
        <v>1</v>
      </c>
      <c r="G7" s="648"/>
      <c r="H7" s="7"/>
      <c r="I7" s="88">
        <f>K7-L7-IF(N7,M7,0)</f>
        <v>0</v>
      </c>
      <c r="J7" s="89" t="str">
        <f>IF(H7=1,I7,"")</f>
        <v/>
      </c>
      <c r="K7" s="404">
        <f>$D7*$H$5*$F7*VLOOKUP($C7,'Master sheet'!$A:$AL,13,FALSE)</f>
        <v>0</v>
      </c>
      <c r="L7" s="90">
        <f>$D7*$H$5*$F7*VLOOKUP($C7,'Master sheet'!$A:$AL,27,FALSE)</f>
        <v>0</v>
      </c>
      <c r="M7" s="1552"/>
      <c r="N7" s="1552"/>
      <c r="O7" s="25" t="str">
        <f ca="1">_xlfn.IFNA(VLOOKUP($C7,'Master sheet'!$A:$AR,44,FALSE),"")&amp;""</f>
        <v>Expired 2023</v>
      </c>
      <c r="P7" s="637"/>
      <c r="Q7" s="29" t="s">
        <v>12</v>
      </c>
      <c r="R7" s="28" t="s">
        <v>18</v>
      </c>
      <c r="S7" s="638"/>
      <c r="T7" s="638"/>
      <c r="U7" s="638"/>
      <c r="V7" s="638"/>
      <c r="W7" s="638"/>
      <c r="X7" s="638"/>
      <c r="Y7" s="638"/>
      <c r="Z7" s="638"/>
      <c r="AA7" s="638"/>
      <c r="AB7" s="638"/>
      <c r="AC7" s="623"/>
      <c r="AD7" s="623"/>
    </row>
    <row r="8" spans="1:31" s="624" customFormat="1" ht="55.2" customHeight="1" x14ac:dyDescent="0.25">
      <c r="A8" s="1522" t="s">
        <v>1535</v>
      </c>
      <c r="B8" s="1523"/>
      <c r="C8" s="1523"/>
      <c r="D8" s="649"/>
      <c r="E8" s="650"/>
      <c r="F8" s="321"/>
      <c r="G8" s="650"/>
      <c r="H8" s="650"/>
      <c r="I8" s="651"/>
      <c r="J8" s="103"/>
      <c r="K8" s="652"/>
      <c r="L8" s="653"/>
      <c r="M8" s="654"/>
      <c r="N8" s="654"/>
      <c r="O8" s="25" t="str">
        <f>_xlfn.IFNA(VLOOKUP($C8,'Master sheet'!$A:$AR,44,FALSE),"")&amp;""</f>
        <v/>
      </c>
      <c r="P8" s="655"/>
      <c r="Q8" s="29"/>
      <c r="R8" s="28"/>
      <c r="S8" s="638"/>
      <c r="T8" s="638"/>
      <c r="U8" s="638"/>
      <c r="V8" s="638"/>
      <c r="W8" s="638"/>
      <c r="X8" s="638"/>
      <c r="Y8" s="638"/>
      <c r="Z8" s="638"/>
      <c r="AA8" s="638"/>
      <c r="AB8" s="638"/>
      <c r="AC8" s="623"/>
      <c r="AD8" s="623"/>
    </row>
    <row r="9" spans="1:31" ht="23.85" customHeight="1" x14ac:dyDescent="0.25">
      <c r="A9" s="639"/>
      <c r="B9" s="1524" t="s">
        <v>1349</v>
      </c>
      <c r="C9" s="1524"/>
      <c r="D9" s="656"/>
      <c r="E9" s="657"/>
      <c r="F9" s="322"/>
      <c r="G9" s="657"/>
      <c r="H9" s="657"/>
      <c r="I9" s="658"/>
      <c r="J9" s="659"/>
      <c r="K9" s="660"/>
      <c r="L9" s="661"/>
      <c r="M9" s="662"/>
      <c r="N9" s="662"/>
      <c r="O9" s="25" t="str">
        <f>_xlfn.IFNA(VLOOKUP($C9,'Master sheet'!$A:$AR,44,FALSE),"")&amp;""</f>
        <v/>
      </c>
      <c r="P9" s="663"/>
      <c r="Q9" s="30"/>
      <c r="R9" s="21"/>
      <c r="S9" s="664"/>
      <c r="T9" s="664"/>
      <c r="U9" s="664"/>
      <c r="V9" s="664"/>
      <c r="W9" s="664"/>
      <c r="X9" s="664"/>
      <c r="Y9" s="664"/>
      <c r="Z9" s="664"/>
      <c r="AA9" s="664"/>
      <c r="AB9" s="664"/>
      <c r="AC9" s="665"/>
      <c r="AD9" s="665"/>
    </row>
    <row r="10" spans="1:31" ht="31.5" customHeight="1" x14ac:dyDescent="0.25">
      <c r="A10" s="1525" t="s">
        <v>786</v>
      </c>
      <c r="B10" s="1525"/>
      <c r="C10" s="667" t="str" cm="1">
        <f t="array" ref="C10">INDEX('Master sheet'!$A$1:$A$670,MATCH(1,("0-25" = 'Master sheet'!$AO$1:$AO$670)*(1 = 'Master sheet'!$AP$1:$AP$670)*('Master sheet'!$AT$1:$AT$670),0))</f>
        <v xml:space="preserve">Concrete - 25 MPa, GU / SRMCA / Can. Sask Avg. / </v>
      </c>
      <c r="D10" s="230">
        <f>'USER INPUT SHEET'!$D$28</f>
        <v>0</v>
      </c>
      <c r="E10" s="14" t="str">
        <f>'USER INPUT SHEET'!$F$28</f>
        <v>m3</v>
      </c>
      <c r="F10" s="5">
        <v>1</v>
      </c>
      <c r="G10" s="668"/>
      <c r="H10" s="10"/>
      <c r="I10" s="232">
        <f t="shared" ref="I10:I16" si="0">K10-L10</f>
        <v>0</v>
      </c>
      <c r="J10" s="233" t="str">
        <f t="shared" ref="J10:J16" si="1">IF(H10=1,I10,"")</f>
        <v/>
      </c>
      <c r="K10" s="404">
        <f>$D10*$F10*VLOOKUP($C10,'Master sheet'!$A:$AL,13,FALSE)</f>
        <v>0</v>
      </c>
      <c r="L10" s="234">
        <f>$D10*$F10*VLOOKUP($C10,'Master sheet'!$A:$AL,27,FALSE)</f>
        <v>0</v>
      </c>
      <c r="M10" s="1553"/>
      <c r="N10" s="1553"/>
      <c r="O10" s="25" t="str">
        <f ca="1">_xlfn.IFNA(VLOOKUP($C10,'Master sheet'!$A:$AR,44,FALSE),"")&amp;""</f>
        <v/>
      </c>
      <c r="P10" s="637"/>
      <c r="Q10" s="30" t="s">
        <v>12</v>
      </c>
      <c r="R10" s="21" t="s">
        <v>23</v>
      </c>
      <c r="S10" s="664"/>
      <c r="T10" s="664"/>
      <c r="U10" s="664"/>
      <c r="V10" s="664"/>
      <c r="W10" s="664"/>
      <c r="X10" s="664"/>
      <c r="Y10" s="664"/>
      <c r="Z10" s="664"/>
      <c r="AA10" s="664"/>
      <c r="AB10" s="664"/>
      <c r="AC10" s="665"/>
      <c r="AD10" s="665"/>
    </row>
    <row r="11" spans="1:31" ht="23.25" customHeight="1" x14ac:dyDescent="0.25">
      <c r="A11" s="1525"/>
      <c r="B11" s="1525"/>
      <c r="C11" s="669" t="str" cm="1">
        <f t="array" ref="C11">INDEX('Master sheet'!$A$1:$A$670,MATCH(1,("0-25" = 'Master sheet'!$AO$1:$AO$670)*(2 = 'Master sheet'!$AP$1:$AP$670)*('Master sheet'!$AT$1:$AT$670),0))</f>
        <v xml:space="preserve">Concrete - 25 MPa, 10% FA, GU / SRMCA / Can. Sask Avg. / </v>
      </c>
      <c r="D11" s="15">
        <f>'USER INPUT SHEET'!$D$28</f>
        <v>0</v>
      </c>
      <c r="E11" s="16" t="str">
        <f>'USER INPUT SHEET'!$F$28</f>
        <v>m3</v>
      </c>
      <c r="F11" s="3">
        <v>1</v>
      </c>
      <c r="G11" s="670"/>
      <c r="H11" s="8"/>
      <c r="I11" s="92">
        <f t="shared" si="0"/>
        <v>0</v>
      </c>
      <c r="J11" s="93" t="str">
        <f t="shared" si="1"/>
        <v/>
      </c>
      <c r="K11" s="406">
        <f>$D11*$F11*VLOOKUP($C11,'Master sheet'!$A:$AL,13,FALSE)</f>
        <v>0</v>
      </c>
      <c r="L11" s="94">
        <f>$D11*$F11*VLOOKUP($C11,'Master sheet'!$A:$AL,27,FALSE)</f>
        <v>0</v>
      </c>
      <c r="M11" s="1551"/>
      <c r="N11" s="1551"/>
      <c r="O11" s="25" t="str">
        <f ca="1">_xlfn.IFNA(VLOOKUP($C11,'Master sheet'!$A:$AR,44,FALSE),"")&amp;""</f>
        <v/>
      </c>
      <c r="P11" s="671"/>
      <c r="Q11" s="30" t="s">
        <v>12</v>
      </c>
      <c r="R11" s="21" t="s">
        <v>23</v>
      </c>
      <c r="S11" s="664"/>
      <c r="T11" s="664"/>
      <c r="U11" s="664"/>
      <c r="V11" s="664"/>
      <c r="W11" s="664"/>
      <c r="X11" s="664"/>
      <c r="Y11" s="664"/>
      <c r="Z11" s="664"/>
      <c r="AA11" s="664"/>
      <c r="AB11" s="664"/>
      <c r="AC11" s="665"/>
      <c r="AD11" s="665"/>
    </row>
    <row r="12" spans="1:31" ht="23.25" customHeight="1" x14ac:dyDescent="0.25">
      <c r="A12" s="1525"/>
      <c r="B12" s="1525"/>
      <c r="C12" s="669" t="str" cm="1">
        <f t="array" ref="C12">INDEX('Master sheet'!$A$1:$A$670,MATCH(1,("0-25" = 'Master sheet'!$AO$1:$AO$670)*(3 = 'Master sheet'!$AP$1:$AP$670)*('Master sheet'!$AT$1:$AT$670),0))</f>
        <v xml:space="preserve">Concrete - 25 MPa, 20% FA, GU / SRMCA / Can. Sask Avg. / </v>
      </c>
      <c r="D12" s="15">
        <f>'USER INPUT SHEET'!$D$28</f>
        <v>0</v>
      </c>
      <c r="E12" s="16" t="str">
        <f>'USER INPUT SHEET'!$F$28</f>
        <v>m3</v>
      </c>
      <c r="F12" s="3">
        <v>1</v>
      </c>
      <c r="G12" s="670"/>
      <c r="H12" s="8"/>
      <c r="I12" s="92">
        <f t="shared" si="0"/>
        <v>0</v>
      </c>
      <c r="J12" s="93" t="str">
        <f t="shared" si="1"/>
        <v/>
      </c>
      <c r="K12" s="406">
        <f>$D12*$F12*VLOOKUP($C12,'Master sheet'!$A:$AL,13,FALSE)</f>
        <v>0</v>
      </c>
      <c r="L12" s="94">
        <f>$D12*$F12*VLOOKUP($C12,'Master sheet'!$A:$AL,27,FALSE)</f>
        <v>0</v>
      </c>
      <c r="M12" s="1551"/>
      <c r="N12" s="1551"/>
      <c r="O12" s="25" t="str">
        <f ca="1">_xlfn.IFNA(VLOOKUP($C12,'Master sheet'!$A:$AR,44,FALSE),"")&amp;""</f>
        <v/>
      </c>
      <c r="P12" s="672"/>
      <c r="Q12" s="30" t="s">
        <v>12</v>
      </c>
      <c r="R12" s="21" t="s">
        <v>23</v>
      </c>
      <c r="S12" s="664"/>
      <c r="T12" s="664"/>
      <c r="U12" s="664"/>
      <c r="V12" s="664"/>
      <c r="W12" s="664"/>
      <c r="X12" s="664"/>
      <c r="Y12" s="664"/>
      <c r="Z12" s="664"/>
      <c r="AA12" s="664"/>
      <c r="AB12" s="664"/>
      <c r="AC12" s="665"/>
      <c r="AD12" s="665"/>
    </row>
    <row r="13" spans="1:31" ht="23.25" customHeight="1" x14ac:dyDescent="0.25">
      <c r="A13" s="1525"/>
      <c r="B13" s="1525"/>
      <c r="C13" s="669" t="str" cm="1">
        <f t="array" ref="C13">INDEX('Master sheet'!$A$1:$A$670,MATCH(1,("0-25" = 'Master sheet'!$AO$1:$AO$670)*(4 = 'Master sheet'!$AP$1:$AP$670)*('Master sheet'!$AT$1:$AT$670),0))</f>
        <v xml:space="preserve">Concrete - 25 MPa, 30% FA, GU / SRMCA / Can. Sask Avg. / </v>
      </c>
      <c r="D13" s="15">
        <f>'USER INPUT SHEET'!$D$28</f>
        <v>0</v>
      </c>
      <c r="E13" s="16" t="str">
        <f>'USER INPUT SHEET'!$F$28</f>
        <v>m3</v>
      </c>
      <c r="F13" s="3">
        <v>1</v>
      </c>
      <c r="G13" s="670"/>
      <c r="H13" s="8"/>
      <c r="I13" s="92">
        <f t="shared" si="0"/>
        <v>0</v>
      </c>
      <c r="J13" s="93" t="str">
        <f t="shared" si="1"/>
        <v/>
      </c>
      <c r="K13" s="406">
        <f>$D13*$F13*VLOOKUP($C13,'Master sheet'!$A:$AL,13,FALSE)</f>
        <v>0</v>
      </c>
      <c r="L13" s="94">
        <f>$D13*$F13*VLOOKUP($C13,'Master sheet'!$A:$AL,27,FALSE)</f>
        <v>0</v>
      </c>
      <c r="M13" s="1551"/>
      <c r="N13" s="1551"/>
      <c r="O13" s="25" t="str">
        <f ca="1">_xlfn.IFNA(VLOOKUP($C13,'Master sheet'!$A:$AR,44,FALSE),"")&amp;""</f>
        <v/>
      </c>
      <c r="P13" s="672"/>
      <c r="Q13" s="30" t="s">
        <v>12</v>
      </c>
      <c r="R13" s="21" t="s">
        <v>23</v>
      </c>
      <c r="S13" s="664"/>
      <c r="T13" s="664"/>
      <c r="U13" s="664"/>
      <c r="V13" s="664"/>
      <c r="W13" s="664"/>
      <c r="X13" s="664"/>
      <c r="Y13" s="664"/>
      <c r="Z13" s="664"/>
      <c r="AA13" s="664"/>
      <c r="AB13" s="664"/>
      <c r="AC13" s="665"/>
      <c r="AD13" s="665"/>
    </row>
    <row r="14" spans="1:31" ht="23.25" customHeight="1" x14ac:dyDescent="0.25">
      <c r="A14" s="1525"/>
      <c r="B14" s="1525"/>
      <c r="C14" s="669" t="str" cm="1">
        <f t="array" ref="C14">INDEX('Master sheet'!$A$1:$A$670,MATCH(1,("0-25" = 'Master sheet'!$AO$1:$AO$670)*(5 = 'Master sheet'!$AP$1:$AP$670)*('Master sheet'!$AT$1:$AT$670),0))</f>
        <v xml:space="preserve">Concrete - 25 MPa, 40% FA, GU / SRMCA / Can. Sask Avg. / </v>
      </c>
      <c r="D14" s="15">
        <f>'USER INPUT SHEET'!$D$28</f>
        <v>0</v>
      </c>
      <c r="E14" s="16" t="str">
        <f>'USER INPUT SHEET'!$F$28</f>
        <v>m3</v>
      </c>
      <c r="F14" s="3">
        <v>1</v>
      </c>
      <c r="G14" s="670"/>
      <c r="H14" s="8"/>
      <c r="I14" s="92">
        <f t="shared" si="0"/>
        <v>0</v>
      </c>
      <c r="J14" s="93" t="str">
        <f t="shared" si="1"/>
        <v/>
      </c>
      <c r="K14" s="406">
        <f>$D14*$F14*VLOOKUP($C14,'Master sheet'!$A:$AL,13,FALSE)</f>
        <v>0</v>
      </c>
      <c r="L14" s="94">
        <f>$D14*$F14*VLOOKUP($C14,'Master sheet'!$A:$AL,27,FALSE)</f>
        <v>0</v>
      </c>
      <c r="M14" s="1551"/>
      <c r="N14" s="1551"/>
      <c r="O14" s="25" t="str">
        <f ca="1">_xlfn.IFNA(VLOOKUP($C14,'Master sheet'!$A:$AR,44,FALSE),"")&amp;""</f>
        <v/>
      </c>
      <c r="P14" s="672"/>
      <c r="Q14" s="30" t="s">
        <v>12</v>
      </c>
      <c r="R14" s="21" t="s">
        <v>23</v>
      </c>
      <c r="S14" s="664"/>
      <c r="T14" s="664"/>
      <c r="U14" s="664"/>
      <c r="V14" s="664"/>
      <c r="W14" s="664"/>
      <c r="X14" s="664"/>
      <c r="Y14" s="664"/>
      <c r="Z14" s="664"/>
      <c r="AA14" s="664"/>
      <c r="AB14" s="664"/>
      <c r="AC14" s="665"/>
      <c r="AD14" s="665"/>
    </row>
    <row r="15" spans="1:31" ht="23.25" hidden="1" customHeight="1" x14ac:dyDescent="0.25">
      <c r="A15" s="1525"/>
      <c r="B15" s="1525"/>
      <c r="C15" s="673" t="e" cm="1">
        <f t="array" ref="C15">INDEX('Master sheet'!$A$1:$A$670,MATCH(1,("0-25" = 'Master sheet'!$AO$1:$AO$670)*(6 = 'Master sheet'!$AP$1:$AP$670)*('Master sheet'!$AT$1:$AT$670),0))</f>
        <v>#N/A</v>
      </c>
      <c r="D15" s="17">
        <f>'USER INPUT SHEET'!$D$28</f>
        <v>0</v>
      </c>
      <c r="E15" s="18" t="str">
        <f>'USER INPUT SHEET'!$F$28</f>
        <v>m3</v>
      </c>
      <c r="F15" s="4">
        <v>1</v>
      </c>
      <c r="G15" s="674"/>
      <c r="H15" s="9"/>
      <c r="I15" s="95" t="e">
        <f t="shared" ref="I15" si="2">K15-L15</f>
        <v>#N/A</v>
      </c>
      <c r="J15" s="96" t="str">
        <f t="shared" ref="J15" si="3">IF(H15=1,I15,"")</f>
        <v/>
      </c>
      <c r="K15" s="407" t="e">
        <f>$D15*$F15*VLOOKUP($C15,'Master sheet'!$A:$AL,13,FALSE)</f>
        <v>#N/A</v>
      </c>
      <c r="L15" s="97" t="e">
        <f>$D15*$F15*VLOOKUP($C15,'Master sheet'!$A:$AL,27,FALSE)</f>
        <v>#N/A</v>
      </c>
      <c r="M15" s="1551"/>
      <c r="N15" s="1551"/>
      <c r="O15" s="25" t="str">
        <f>_xlfn.IFNA(VLOOKUP($C15,'Master sheet'!$A:$AR,44,FALSE),"")&amp;""</f>
        <v/>
      </c>
      <c r="P15" s="672"/>
      <c r="Q15" s="30" t="s">
        <v>12</v>
      </c>
      <c r="R15" s="21" t="s">
        <v>23</v>
      </c>
      <c r="S15" s="664"/>
      <c r="T15" s="664"/>
      <c r="U15" s="664"/>
      <c r="V15" s="664"/>
      <c r="W15" s="664"/>
      <c r="X15" s="664"/>
      <c r="Y15" s="664"/>
      <c r="Z15" s="664"/>
      <c r="AA15" s="664"/>
      <c r="AB15" s="664"/>
      <c r="AC15" s="665"/>
      <c r="AD15" s="665"/>
    </row>
    <row r="16" spans="1:31" s="624" customFormat="1" ht="23.25" hidden="1" customHeight="1" x14ac:dyDescent="0.25">
      <c r="A16" s="1525"/>
      <c r="B16" s="1525"/>
      <c r="C16" s="673" t="e" cm="1">
        <f t="array" ref="C16">INDEX('Master sheet'!$A$1:$A$670,MATCH(1,("0-25" = 'Master sheet'!$AO$1:$AO$670)*(7 = 'Master sheet'!$AP$1:$AP$670)*('Master sheet'!$AT$1:$AT$670),0))</f>
        <v>#N/A</v>
      </c>
      <c r="D16" s="17">
        <f>'USER INPUT SHEET'!$D$28</f>
        <v>0</v>
      </c>
      <c r="E16" s="18" t="str">
        <f>'USER INPUT SHEET'!$F$28</f>
        <v>m3</v>
      </c>
      <c r="F16" s="4">
        <v>1</v>
      </c>
      <c r="G16" s="674"/>
      <c r="H16" s="9"/>
      <c r="I16" s="95" t="e">
        <f t="shared" si="0"/>
        <v>#N/A</v>
      </c>
      <c r="J16" s="96" t="str">
        <f t="shared" si="1"/>
        <v/>
      </c>
      <c r="K16" s="407" t="e">
        <f>$D16*$F16*VLOOKUP($C16,'Master sheet'!$A:$AL,13,FALSE)</f>
        <v>#N/A</v>
      </c>
      <c r="L16" s="97" t="e">
        <f>$D16*$F16*VLOOKUP($C16,'Master sheet'!$A:$AL,27,FALSE)</f>
        <v>#N/A</v>
      </c>
      <c r="M16" s="1551"/>
      <c r="N16" s="1551"/>
      <c r="O16" s="25" t="str">
        <f>_xlfn.IFNA(VLOOKUP($C16,'Master sheet'!$A:$AR,44,FALSE),"")&amp;""</f>
        <v/>
      </c>
      <c r="P16" s="637"/>
      <c r="Q16" s="29" t="s">
        <v>12</v>
      </c>
      <c r="R16" s="28" t="s">
        <v>23</v>
      </c>
      <c r="S16" s="638"/>
      <c r="T16" s="638"/>
      <c r="U16" s="638"/>
      <c r="V16" s="638"/>
      <c r="W16" s="638"/>
      <c r="X16" s="638"/>
      <c r="Y16" s="638"/>
      <c r="Z16" s="638"/>
      <c r="AA16" s="638"/>
      <c r="AB16" s="638"/>
      <c r="AC16" s="623"/>
      <c r="AD16" s="623"/>
    </row>
    <row r="17" spans="1:30" ht="23.85" customHeight="1" x14ac:dyDescent="0.25">
      <c r="A17" s="639"/>
      <c r="B17" s="1524" t="s">
        <v>1350</v>
      </c>
      <c r="C17" s="1524"/>
      <c r="D17" s="656"/>
      <c r="E17" s="641"/>
      <c r="F17" s="641"/>
      <c r="G17" s="657"/>
      <c r="H17" s="657"/>
      <c r="I17" s="658"/>
      <c r="J17" s="659"/>
      <c r="K17" s="660"/>
      <c r="L17" s="661"/>
      <c r="M17" s="662"/>
      <c r="N17" s="662"/>
      <c r="O17" s="25" t="str">
        <f>_xlfn.IFNA(VLOOKUP($C17,'Master sheet'!$A:$AR,44,FALSE),"")&amp;""</f>
        <v/>
      </c>
      <c r="P17" s="663"/>
      <c r="Q17" s="30"/>
      <c r="R17" s="21"/>
      <c r="S17" s="664"/>
      <c r="T17" s="664"/>
      <c r="U17" s="664"/>
      <c r="V17" s="664"/>
      <c r="W17" s="664"/>
      <c r="X17" s="664"/>
      <c r="Y17" s="664"/>
      <c r="Z17" s="664"/>
      <c r="AA17" s="664"/>
      <c r="AB17" s="664"/>
      <c r="AC17" s="665"/>
      <c r="AD17" s="665"/>
    </row>
    <row r="18" spans="1:30" ht="31.5" customHeight="1" x14ac:dyDescent="0.25">
      <c r="A18" s="1525" t="s">
        <v>786</v>
      </c>
      <c r="B18" s="1525"/>
      <c r="C18" s="667" t="str" cm="1">
        <f t="array" ref="C18">INDEX('Master sheet'!$A$1:$A$670,MATCH(1,("26-30" = 'Master sheet'!$AO$1:$AO$670)*(1 = 'Master sheet'!$AP$1:$AP$670)*('Master sheet'!$AT$1:$AT$670),0))</f>
        <v xml:space="preserve">Concrete - 30 MPa, GU / SRMCA / Can. Sask Avg. / </v>
      </c>
      <c r="D18" s="230">
        <f>'USER INPUT SHEET'!$D$28</f>
        <v>0</v>
      </c>
      <c r="E18" s="14" t="str">
        <f>'USER INPUT SHEET'!$F$28</f>
        <v>m3</v>
      </c>
      <c r="F18" s="5">
        <v>1</v>
      </c>
      <c r="G18" s="668"/>
      <c r="H18" s="10"/>
      <c r="I18" s="232">
        <f t="shared" ref="I18:I24" si="4">K18-L18</f>
        <v>0</v>
      </c>
      <c r="J18" s="233" t="str">
        <f t="shared" ref="J18:J24" si="5">IF(H18=1,I18,"")</f>
        <v/>
      </c>
      <c r="K18" s="404">
        <f>$D18*$F18*VLOOKUP($C18,'Master sheet'!$A:$AL,13,FALSE)</f>
        <v>0</v>
      </c>
      <c r="L18" s="234">
        <f>$D18*$F18*VLOOKUP($C18,'Master sheet'!$A:$AL,27,FALSE)</f>
        <v>0</v>
      </c>
      <c r="M18" s="1553"/>
      <c r="N18" s="1553"/>
      <c r="O18" s="25" t="str">
        <f ca="1">_xlfn.IFNA(VLOOKUP($C18,'Master sheet'!$A:$AR,44,FALSE),"")&amp;""</f>
        <v/>
      </c>
      <c r="P18" s="637"/>
      <c r="Q18" s="30" t="s">
        <v>12</v>
      </c>
      <c r="R18" s="21" t="s">
        <v>23</v>
      </c>
      <c r="S18" s="664"/>
      <c r="T18" s="664"/>
      <c r="U18" s="664"/>
      <c r="V18" s="664"/>
      <c r="W18" s="664"/>
      <c r="X18" s="664"/>
      <c r="Y18" s="664"/>
      <c r="Z18" s="664"/>
      <c r="AA18" s="664"/>
      <c r="AB18" s="664"/>
      <c r="AC18" s="665"/>
      <c r="AD18" s="665"/>
    </row>
    <row r="19" spans="1:30" ht="23.25" customHeight="1" x14ac:dyDescent="0.25">
      <c r="A19" s="1525"/>
      <c r="B19" s="1525"/>
      <c r="C19" s="669" t="str" cm="1">
        <f t="array" ref="C19">INDEX('Master sheet'!$A$1:$A$670,MATCH(1,("26-30" = 'Master sheet'!$AO$1:$AO$670)*(2 = 'Master sheet'!$AP$1:$AP$670)*('Master sheet'!$AT$1:$AT$670),0))</f>
        <v xml:space="preserve">Concrete - 30 MPa, 10% FA, GU / SRMCA / Can. Sask Avg. / </v>
      </c>
      <c r="D19" s="15">
        <f>'USER INPUT SHEET'!$D$28</f>
        <v>0</v>
      </c>
      <c r="E19" s="16" t="str">
        <f>'USER INPUT SHEET'!$F$28</f>
        <v>m3</v>
      </c>
      <c r="F19" s="3">
        <v>1</v>
      </c>
      <c r="G19" s="670"/>
      <c r="H19" s="8"/>
      <c r="I19" s="92">
        <f t="shared" si="4"/>
        <v>0</v>
      </c>
      <c r="J19" s="93" t="str">
        <f t="shared" si="5"/>
        <v/>
      </c>
      <c r="K19" s="406">
        <f>$D19*$F19*VLOOKUP($C19,'Master sheet'!$A:$AL,13,FALSE)</f>
        <v>0</v>
      </c>
      <c r="L19" s="94">
        <f>$D19*$F19*VLOOKUP($C19,'Master sheet'!$A:$AL,27,FALSE)</f>
        <v>0</v>
      </c>
      <c r="M19" s="1551"/>
      <c r="N19" s="1551"/>
      <c r="O19" s="25" t="str">
        <f ca="1">_xlfn.IFNA(VLOOKUP($C19,'Master sheet'!$A:$AR,44,FALSE),"")&amp;""</f>
        <v/>
      </c>
      <c r="P19" s="671"/>
      <c r="Q19" s="30" t="s">
        <v>12</v>
      </c>
      <c r="R19" s="21" t="s">
        <v>23</v>
      </c>
      <c r="S19" s="664"/>
      <c r="T19" s="664"/>
      <c r="U19" s="664"/>
      <c r="V19" s="664"/>
      <c r="W19" s="664"/>
      <c r="X19" s="664"/>
      <c r="Y19" s="664"/>
      <c r="Z19" s="664"/>
      <c r="AA19" s="664"/>
      <c r="AB19" s="664"/>
      <c r="AC19" s="665"/>
      <c r="AD19" s="665"/>
    </row>
    <row r="20" spans="1:30" ht="23.25" customHeight="1" x14ac:dyDescent="0.25">
      <c r="A20" s="1525"/>
      <c r="B20" s="1525"/>
      <c r="C20" s="669" t="str" cm="1">
        <f t="array" ref="C20">INDEX('Master sheet'!$A$1:$A$670,MATCH(1,("26-30" = 'Master sheet'!$AO$1:$AO$670)*(3 = 'Master sheet'!$AP$1:$AP$670)*('Master sheet'!$AT$1:$AT$670),0))</f>
        <v xml:space="preserve">Concrete - 30 MPa, 20% FA, GU / SRMCA / Can. Sask Avg. / </v>
      </c>
      <c r="D20" s="15">
        <f>'USER INPUT SHEET'!$D$28</f>
        <v>0</v>
      </c>
      <c r="E20" s="16" t="str">
        <f>'USER INPUT SHEET'!$F$28</f>
        <v>m3</v>
      </c>
      <c r="F20" s="3">
        <v>1</v>
      </c>
      <c r="G20" s="670"/>
      <c r="H20" s="8"/>
      <c r="I20" s="92">
        <f t="shared" si="4"/>
        <v>0</v>
      </c>
      <c r="J20" s="93" t="str">
        <f t="shared" si="5"/>
        <v/>
      </c>
      <c r="K20" s="406">
        <f>$D20*$F20*VLOOKUP($C20,'Master sheet'!$A:$AL,13,FALSE)</f>
        <v>0</v>
      </c>
      <c r="L20" s="94">
        <f>$D20*$F20*VLOOKUP($C20,'Master sheet'!$A:$AL,27,FALSE)</f>
        <v>0</v>
      </c>
      <c r="M20" s="1551"/>
      <c r="N20" s="1551"/>
      <c r="O20" s="25" t="str">
        <f ca="1">_xlfn.IFNA(VLOOKUP($C20,'Master sheet'!$A:$AR,44,FALSE),"")&amp;""</f>
        <v/>
      </c>
      <c r="P20" s="672"/>
      <c r="Q20" s="30" t="s">
        <v>12</v>
      </c>
      <c r="R20" s="21" t="s">
        <v>23</v>
      </c>
      <c r="S20" s="664"/>
      <c r="T20" s="664"/>
      <c r="U20" s="664"/>
      <c r="V20" s="664"/>
      <c r="W20" s="664"/>
      <c r="X20" s="664"/>
      <c r="Y20" s="664"/>
      <c r="Z20" s="664"/>
      <c r="AA20" s="664"/>
      <c r="AB20" s="664"/>
      <c r="AC20" s="665"/>
      <c r="AD20" s="665"/>
    </row>
    <row r="21" spans="1:30" ht="23.25" customHeight="1" x14ac:dyDescent="0.25">
      <c r="A21" s="1525"/>
      <c r="B21" s="1525"/>
      <c r="C21" s="669" t="str" cm="1">
        <f t="array" ref="C21">INDEX('Master sheet'!$A$1:$A$670,MATCH(1,("26-30" = 'Master sheet'!$AO$1:$AO$670)*(4 = 'Master sheet'!$AP$1:$AP$670)*('Master sheet'!$AT$1:$AT$670),0))</f>
        <v xml:space="preserve">Concrete - 30 MPa, 30% FA, GU / SRMCA / Can. Sask Avg. / </v>
      </c>
      <c r="D21" s="15">
        <f>'USER INPUT SHEET'!$D$28</f>
        <v>0</v>
      </c>
      <c r="E21" s="16" t="str">
        <f>'USER INPUT SHEET'!$F$28</f>
        <v>m3</v>
      </c>
      <c r="F21" s="3">
        <v>1</v>
      </c>
      <c r="G21" s="670"/>
      <c r="H21" s="8"/>
      <c r="I21" s="92">
        <f t="shared" si="4"/>
        <v>0</v>
      </c>
      <c r="J21" s="93" t="str">
        <f t="shared" si="5"/>
        <v/>
      </c>
      <c r="K21" s="406">
        <f>$D21*$F21*VLOOKUP($C21,'Master sheet'!$A:$AL,13,FALSE)</f>
        <v>0</v>
      </c>
      <c r="L21" s="94">
        <f>$D21*$F21*VLOOKUP($C21,'Master sheet'!$A:$AL,27,FALSE)</f>
        <v>0</v>
      </c>
      <c r="M21" s="1551"/>
      <c r="N21" s="1551"/>
      <c r="O21" s="25" t="str">
        <f ca="1">_xlfn.IFNA(VLOOKUP($C21,'Master sheet'!$A:$AR,44,FALSE),"")&amp;""</f>
        <v/>
      </c>
      <c r="P21" s="672"/>
      <c r="Q21" s="30" t="s">
        <v>12</v>
      </c>
      <c r="R21" s="21" t="s">
        <v>23</v>
      </c>
      <c r="S21" s="664"/>
      <c r="T21" s="664"/>
      <c r="U21" s="664"/>
      <c r="V21" s="664"/>
      <c r="W21" s="664"/>
      <c r="X21" s="664"/>
      <c r="Y21" s="664"/>
      <c r="Z21" s="664"/>
      <c r="AA21" s="664"/>
      <c r="AB21" s="664"/>
      <c r="AC21" s="665"/>
      <c r="AD21" s="665"/>
    </row>
    <row r="22" spans="1:30" ht="23.25" customHeight="1" x14ac:dyDescent="0.25">
      <c r="A22" s="1525"/>
      <c r="B22" s="1525"/>
      <c r="C22" s="669" t="str" cm="1">
        <f t="array" ref="C22">INDEX('Master sheet'!$A$1:$A$670,MATCH(1,("26-30" = 'Master sheet'!$AO$1:$AO$670)*(5 = 'Master sheet'!$AP$1:$AP$670)*('Master sheet'!$AT$1:$AT$670),0))</f>
        <v xml:space="preserve">Concrete - 30 MPa, 40% FA, GU / SRMCA / Can. Sask Avg. / </v>
      </c>
      <c r="D22" s="15">
        <f>'USER INPUT SHEET'!$D$28</f>
        <v>0</v>
      </c>
      <c r="E22" s="16" t="str">
        <f>'USER INPUT SHEET'!$F$28</f>
        <v>m3</v>
      </c>
      <c r="F22" s="3">
        <v>1</v>
      </c>
      <c r="G22" s="670"/>
      <c r="H22" s="8"/>
      <c r="I22" s="92">
        <f t="shared" si="4"/>
        <v>0</v>
      </c>
      <c r="J22" s="93" t="str">
        <f t="shared" si="5"/>
        <v/>
      </c>
      <c r="K22" s="406">
        <f>$D22*$F22*VLOOKUP($C22,'Master sheet'!$A:$AL,13,FALSE)</f>
        <v>0</v>
      </c>
      <c r="L22" s="94">
        <f>$D22*$F22*VLOOKUP($C22,'Master sheet'!$A:$AL,27,FALSE)</f>
        <v>0</v>
      </c>
      <c r="M22" s="1551"/>
      <c r="N22" s="1551"/>
      <c r="O22" s="25" t="str">
        <f ca="1">_xlfn.IFNA(VLOOKUP($C22,'Master sheet'!$A:$AR,44,FALSE),"")&amp;""</f>
        <v/>
      </c>
      <c r="P22" s="672"/>
      <c r="Q22" s="30" t="s">
        <v>12</v>
      </c>
      <c r="R22" s="21" t="s">
        <v>23</v>
      </c>
      <c r="S22" s="664"/>
      <c r="T22" s="664"/>
      <c r="U22" s="664"/>
      <c r="V22" s="664"/>
      <c r="W22" s="664"/>
      <c r="X22" s="664"/>
      <c r="Y22" s="664"/>
      <c r="Z22" s="664"/>
      <c r="AA22" s="664"/>
      <c r="AB22" s="664"/>
      <c r="AC22" s="665"/>
      <c r="AD22" s="665"/>
    </row>
    <row r="23" spans="1:30" ht="23.25" hidden="1" customHeight="1" x14ac:dyDescent="0.25">
      <c r="A23" s="1525"/>
      <c r="B23" s="1525"/>
      <c r="C23" s="673" t="e" cm="1">
        <f t="array" ref="C23">INDEX('Master sheet'!$A$1:$A$670,MATCH(1,("26-30" = 'Master sheet'!$AO$1:$AO$670)*(6 = 'Master sheet'!$AP$1:$AP$670)*('Master sheet'!$AT$1:$AT$670),0))</f>
        <v>#N/A</v>
      </c>
      <c r="D23" s="17">
        <f>'USER INPUT SHEET'!$D$28</f>
        <v>0</v>
      </c>
      <c r="E23" s="18" t="str">
        <f>'USER INPUT SHEET'!$F$28</f>
        <v>m3</v>
      </c>
      <c r="F23" s="4">
        <v>1</v>
      </c>
      <c r="G23" s="674"/>
      <c r="H23" s="9"/>
      <c r="I23" s="95" t="e">
        <f t="shared" ref="I23" si="6">K23-L23</f>
        <v>#N/A</v>
      </c>
      <c r="J23" s="96" t="str">
        <f t="shared" ref="J23" si="7">IF(H23=1,I23,"")</f>
        <v/>
      </c>
      <c r="K23" s="407" t="e">
        <f>$D23*$F23*VLOOKUP($C23,'Master sheet'!$A:$AL,13,FALSE)</f>
        <v>#N/A</v>
      </c>
      <c r="L23" s="97" t="e">
        <f>$D23*$F23*VLOOKUP($C23,'Master sheet'!$A:$AL,27,FALSE)</f>
        <v>#N/A</v>
      </c>
      <c r="M23" s="1551"/>
      <c r="N23" s="1551"/>
      <c r="O23" s="25" t="str">
        <f>_xlfn.IFNA(VLOOKUP($C23,'Master sheet'!$A:$AR,44,FALSE),"")&amp;""</f>
        <v/>
      </c>
      <c r="P23" s="672"/>
      <c r="Q23" s="30" t="s">
        <v>12</v>
      </c>
      <c r="R23" s="21" t="s">
        <v>23</v>
      </c>
      <c r="S23" s="664"/>
      <c r="T23" s="664"/>
      <c r="U23" s="664"/>
      <c r="V23" s="664"/>
      <c r="W23" s="664"/>
      <c r="X23" s="664"/>
      <c r="Y23" s="664"/>
      <c r="Z23" s="664"/>
      <c r="AA23" s="664"/>
      <c r="AB23" s="664"/>
      <c r="AC23" s="665"/>
      <c r="AD23" s="665"/>
    </row>
    <row r="24" spans="1:30" s="624" customFormat="1" ht="23.25" hidden="1" customHeight="1" x14ac:dyDescent="0.25">
      <c r="A24" s="1525"/>
      <c r="B24" s="1525"/>
      <c r="C24" s="673" t="e" cm="1">
        <f t="array" ref="C24">INDEX('Master sheet'!$A$1:$A$670,MATCH(1,("26-30" = 'Master sheet'!$AO$1:$AO$670)*(7 = 'Master sheet'!$AP$1:$AP$670)*('Master sheet'!$AT$1:$AT$670),0))</f>
        <v>#N/A</v>
      </c>
      <c r="D24" s="17">
        <f>'USER INPUT SHEET'!$D$28</f>
        <v>0</v>
      </c>
      <c r="E24" s="18" t="str">
        <f>'USER INPUT SHEET'!$F$28</f>
        <v>m3</v>
      </c>
      <c r="F24" s="4">
        <v>1</v>
      </c>
      <c r="G24" s="674"/>
      <c r="H24" s="9"/>
      <c r="I24" s="95" t="e">
        <f t="shared" si="4"/>
        <v>#N/A</v>
      </c>
      <c r="J24" s="96" t="str">
        <f t="shared" si="5"/>
        <v/>
      </c>
      <c r="K24" s="407" t="e">
        <f>$D24*$F24*VLOOKUP($C24,'Master sheet'!$A:$AL,13,FALSE)</f>
        <v>#N/A</v>
      </c>
      <c r="L24" s="97" t="e">
        <f>$D24*$F24*VLOOKUP($C24,'Master sheet'!$A:$AL,27,FALSE)</f>
        <v>#N/A</v>
      </c>
      <c r="M24" s="1551"/>
      <c r="N24" s="1551"/>
      <c r="O24" s="25" t="str">
        <f>_xlfn.IFNA(VLOOKUP($C24,'Master sheet'!$A:$AR,44,FALSE),"")&amp;""</f>
        <v/>
      </c>
      <c r="P24" s="637"/>
      <c r="Q24" s="29" t="s">
        <v>12</v>
      </c>
      <c r="R24" s="28" t="s">
        <v>23</v>
      </c>
      <c r="S24" s="638"/>
      <c r="T24" s="638"/>
      <c r="U24" s="638"/>
      <c r="V24" s="638"/>
      <c r="W24" s="638"/>
      <c r="X24" s="638"/>
      <c r="Y24" s="638"/>
      <c r="Z24" s="638"/>
      <c r="AA24" s="638"/>
      <c r="AB24" s="638"/>
      <c r="AC24" s="623"/>
      <c r="AD24" s="623"/>
    </row>
    <row r="25" spans="1:30" ht="23.85" customHeight="1" x14ac:dyDescent="0.25">
      <c r="A25" s="639"/>
      <c r="B25" s="1524" t="s">
        <v>1351</v>
      </c>
      <c r="C25" s="1524"/>
      <c r="D25" s="656"/>
      <c r="E25" s="641"/>
      <c r="F25" s="641"/>
      <c r="G25" s="657"/>
      <c r="H25" s="657"/>
      <c r="I25" s="658"/>
      <c r="J25" s="659"/>
      <c r="K25" s="660"/>
      <c r="L25" s="661"/>
      <c r="M25" s="662"/>
      <c r="N25" s="662"/>
      <c r="O25" s="25" t="str">
        <f>_xlfn.IFNA(VLOOKUP($C25,'Master sheet'!$A:$AR,44,FALSE),"")&amp;""</f>
        <v/>
      </c>
      <c r="P25" s="663"/>
      <c r="Q25" s="30"/>
      <c r="R25" s="21"/>
      <c r="S25" s="664"/>
      <c r="T25" s="664"/>
      <c r="U25" s="664"/>
      <c r="V25" s="664"/>
      <c r="W25" s="664"/>
      <c r="X25" s="664"/>
      <c r="Y25" s="664"/>
      <c r="Z25" s="664"/>
      <c r="AA25" s="664"/>
      <c r="AB25" s="664"/>
      <c r="AC25" s="665"/>
      <c r="AD25" s="665"/>
    </row>
    <row r="26" spans="1:30" ht="31.5" customHeight="1" x14ac:dyDescent="0.25">
      <c r="A26" s="1525" t="s">
        <v>786</v>
      </c>
      <c r="B26" s="1525"/>
      <c r="C26" s="667" t="str" cm="1">
        <f t="array" ref="C26">INDEX('Master sheet'!$A$1:$A$670,MATCH(1,("31-35" = 'Master sheet'!$AO$1:$AO$670)*(1 = 'Master sheet'!$AP$1:$AP$670)*('Master sheet'!$AT$1:$AT$670),0))</f>
        <v xml:space="preserve">Concrete - 35 MPa, GU / SRMCA / Can. Sask Avg. / </v>
      </c>
      <c r="D26" s="230">
        <f>'USER INPUT SHEET'!$D$28</f>
        <v>0</v>
      </c>
      <c r="E26" s="14" t="str">
        <f>'USER INPUT SHEET'!$F$28</f>
        <v>m3</v>
      </c>
      <c r="F26" s="5">
        <v>1</v>
      </c>
      <c r="G26" s="668"/>
      <c r="H26" s="10"/>
      <c r="I26" s="232">
        <f t="shared" ref="I26:I32" si="8">K26-L26</f>
        <v>0</v>
      </c>
      <c r="J26" s="233" t="str">
        <f t="shared" ref="J26:J32" si="9">IF(H26=1,I26,"")</f>
        <v/>
      </c>
      <c r="K26" s="404">
        <f>$D26*$F26*VLOOKUP($C26,'Master sheet'!$A:$AL,13,FALSE)</f>
        <v>0</v>
      </c>
      <c r="L26" s="234">
        <f>$D26*$F26*VLOOKUP($C26,'Master sheet'!$A:$AL,27,FALSE)</f>
        <v>0</v>
      </c>
      <c r="M26" s="1553"/>
      <c r="N26" s="1553"/>
      <c r="O26" s="25" t="str">
        <f ca="1">_xlfn.IFNA(VLOOKUP($C26,'Master sheet'!$A:$AR,44,FALSE),"")&amp;""</f>
        <v/>
      </c>
      <c r="P26" s="637"/>
      <c r="Q26" s="30" t="s">
        <v>12</v>
      </c>
      <c r="R26" s="21" t="s">
        <v>23</v>
      </c>
      <c r="S26" s="664"/>
      <c r="T26" s="664"/>
      <c r="U26" s="664"/>
      <c r="V26" s="664"/>
      <c r="W26" s="664"/>
      <c r="X26" s="664"/>
      <c r="Y26" s="664"/>
      <c r="Z26" s="664"/>
      <c r="AA26" s="664"/>
      <c r="AB26" s="664"/>
      <c r="AC26" s="665"/>
      <c r="AD26" s="665"/>
    </row>
    <row r="27" spans="1:30" ht="23.25" customHeight="1" x14ac:dyDescent="0.25">
      <c r="A27" s="1525"/>
      <c r="B27" s="1525"/>
      <c r="C27" s="669" t="str" cm="1">
        <f t="array" ref="C27">INDEX('Master sheet'!$A$1:$A$670,MATCH(1,("31-35" = 'Master sheet'!$AO$1:$AO$670)*(2 = 'Master sheet'!$AP$1:$AP$670)*('Master sheet'!$AT$1:$AT$670),0))</f>
        <v xml:space="preserve">Concrete - 35 MPa, 10% FA, GU / SRMCA / Can. Sask Avg. / </v>
      </c>
      <c r="D27" s="15">
        <f>'USER INPUT SHEET'!$D$28</f>
        <v>0</v>
      </c>
      <c r="E27" s="16" t="str">
        <f>'USER INPUT SHEET'!$F$28</f>
        <v>m3</v>
      </c>
      <c r="F27" s="3">
        <v>1</v>
      </c>
      <c r="G27" s="670"/>
      <c r="H27" s="8"/>
      <c r="I27" s="92">
        <f t="shared" si="8"/>
        <v>0</v>
      </c>
      <c r="J27" s="93" t="str">
        <f t="shared" si="9"/>
        <v/>
      </c>
      <c r="K27" s="406">
        <f>$D27*$F27*VLOOKUP($C27,'Master sheet'!$A:$AL,13,FALSE)</f>
        <v>0</v>
      </c>
      <c r="L27" s="94">
        <f>$D27*$F27*VLOOKUP($C27,'Master sheet'!$A:$AL,27,FALSE)</f>
        <v>0</v>
      </c>
      <c r="M27" s="1551"/>
      <c r="N27" s="1551"/>
      <c r="O27" s="25" t="str">
        <f ca="1">_xlfn.IFNA(VLOOKUP($C27,'Master sheet'!$A:$AR,44,FALSE),"")&amp;""</f>
        <v/>
      </c>
      <c r="P27" s="671"/>
      <c r="Q27" s="30" t="s">
        <v>12</v>
      </c>
      <c r="R27" s="21" t="s">
        <v>23</v>
      </c>
      <c r="S27" s="664"/>
      <c r="T27" s="664"/>
      <c r="U27" s="664"/>
      <c r="V27" s="664"/>
      <c r="W27" s="664"/>
      <c r="X27" s="664"/>
      <c r="Y27" s="664"/>
      <c r="Z27" s="664"/>
      <c r="AA27" s="664"/>
      <c r="AB27" s="664"/>
      <c r="AC27" s="665"/>
      <c r="AD27" s="665"/>
    </row>
    <row r="28" spans="1:30" ht="23.25" customHeight="1" x14ac:dyDescent="0.25">
      <c r="A28" s="1525"/>
      <c r="B28" s="1525"/>
      <c r="C28" s="669" t="str" cm="1">
        <f t="array" ref="C28">INDEX('Master sheet'!$A$1:$A$670,MATCH(1,("31-35" = 'Master sheet'!$AO$1:$AO$670)*(3 = 'Master sheet'!$AP$1:$AP$670)*('Master sheet'!$AT$1:$AT$670),0))</f>
        <v xml:space="preserve">Concrete - 35 MPa, 20% FA, GU / SRMCA / Can. Sask Avg. / </v>
      </c>
      <c r="D28" s="15">
        <f>'USER INPUT SHEET'!$D$28</f>
        <v>0</v>
      </c>
      <c r="E28" s="16" t="str">
        <f>'USER INPUT SHEET'!$F$28</f>
        <v>m3</v>
      </c>
      <c r="F28" s="3">
        <v>1</v>
      </c>
      <c r="G28" s="670"/>
      <c r="H28" s="8"/>
      <c r="I28" s="92">
        <f t="shared" si="8"/>
        <v>0</v>
      </c>
      <c r="J28" s="93" t="str">
        <f t="shared" si="9"/>
        <v/>
      </c>
      <c r="K28" s="406">
        <f>$D28*$F28*VLOOKUP($C28,'Master sheet'!$A:$AL,13,FALSE)</f>
        <v>0</v>
      </c>
      <c r="L28" s="94">
        <f>$D28*$F28*VLOOKUP($C28,'Master sheet'!$A:$AL,27,FALSE)</f>
        <v>0</v>
      </c>
      <c r="M28" s="1551"/>
      <c r="N28" s="1551"/>
      <c r="O28" s="25" t="str">
        <f ca="1">_xlfn.IFNA(VLOOKUP($C28,'Master sheet'!$A:$AR,44,FALSE),"")&amp;""</f>
        <v/>
      </c>
      <c r="P28" s="672"/>
      <c r="Q28" s="30" t="s">
        <v>12</v>
      </c>
      <c r="R28" s="21" t="s">
        <v>23</v>
      </c>
      <c r="S28" s="664"/>
      <c r="T28" s="664"/>
      <c r="U28" s="664"/>
      <c r="V28" s="664"/>
      <c r="W28" s="664"/>
      <c r="X28" s="664"/>
      <c r="Y28" s="664"/>
      <c r="Z28" s="664"/>
      <c r="AA28" s="664"/>
      <c r="AB28" s="664"/>
      <c r="AC28" s="665"/>
      <c r="AD28" s="665"/>
    </row>
    <row r="29" spans="1:30" ht="23.25" customHeight="1" x14ac:dyDescent="0.25">
      <c r="A29" s="1525"/>
      <c r="B29" s="1525"/>
      <c r="C29" s="669" t="str" cm="1">
        <f t="array" ref="C29">INDEX('Master sheet'!$A$1:$A$670,MATCH(1,("31-35" = 'Master sheet'!$AO$1:$AO$670)*(4 = 'Master sheet'!$AP$1:$AP$670)*('Master sheet'!$AT$1:$AT$670),0))</f>
        <v xml:space="preserve">Concrete - 35 MPa, 30% FA, GU / SRMCA / Can. Sask Avg. / </v>
      </c>
      <c r="D29" s="15">
        <f>'USER INPUT SHEET'!$D$28</f>
        <v>0</v>
      </c>
      <c r="E29" s="16" t="str">
        <f>'USER INPUT SHEET'!$F$28</f>
        <v>m3</v>
      </c>
      <c r="F29" s="3">
        <v>1</v>
      </c>
      <c r="G29" s="670"/>
      <c r="H29" s="8"/>
      <c r="I29" s="92">
        <f t="shared" si="8"/>
        <v>0</v>
      </c>
      <c r="J29" s="93" t="str">
        <f t="shared" si="9"/>
        <v/>
      </c>
      <c r="K29" s="406">
        <f>$D29*$F29*VLOOKUP($C29,'Master sheet'!$A:$AL,13,FALSE)</f>
        <v>0</v>
      </c>
      <c r="L29" s="94">
        <f>$D29*$F29*VLOOKUP($C29,'Master sheet'!$A:$AL,27,FALSE)</f>
        <v>0</v>
      </c>
      <c r="M29" s="1551"/>
      <c r="N29" s="1551"/>
      <c r="O29" s="25" t="str">
        <f ca="1">_xlfn.IFNA(VLOOKUP($C29,'Master sheet'!$A:$AR,44,FALSE),"")&amp;""</f>
        <v/>
      </c>
      <c r="P29" s="672"/>
      <c r="Q29" s="30" t="s">
        <v>12</v>
      </c>
      <c r="R29" s="21" t="s">
        <v>23</v>
      </c>
      <c r="S29" s="664"/>
      <c r="T29" s="664"/>
      <c r="U29" s="664"/>
      <c r="V29" s="664"/>
      <c r="W29" s="664"/>
      <c r="X29" s="664"/>
      <c r="Y29" s="664"/>
      <c r="Z29" s="664"/>
      <c r="AA29" s="664"/>
      <c r="AB29" s="664"/>
      <c r="AC29" s="665"/>
      <c r="AD29" s="665"/>
    </row>
    <row r="30" spans="1:30" ht="23.25" customHeight="1" x14ac:dyDescent="0.25">
      <c r="A30" s="1525"/>
      <c r="B30" s="1525"/>
      <c r="C30" s="669" t="str" cm="1">
        <f t="array" ref="C30">INDEX('Master sheet'!$A$1:$A$670,MATCH(1,("31-35" = 'Master sheet'!$AO$1:$AO$670)*(5 = 'Master sheet'!$AP$1:$AP$670)*('Master sheet'!$AT$1:$AT$670),0))</f>
        <v xml:space="preserve">Concrete - 35 MPa, 40% FA, GU / SRMCA / Can. Sask Avg. / </v>
      </c>
      <c r="D30" s="15">
        <f>'USER INPUT SHEET'!$D$28</f>
        <v>0</v>
      </c>
      <c r="E30" s="16" t="str">
        <f>'USER INPUT SHEET'!$F$28</f>
        <v>m3</v>
      </c>
      <c r="F30" s="3">
        <v>1</v>
      </c>
      <c r="G30" s="670"/>
      <c r="H30" s="8"/>
      <c r="I30" s="92">
        <f t="shared" si="8"/>
        <v>0</v>
      </c>
      <c r="J30" s="93" t="str">
        <f t="shared" si="9"/>
        <v/>
      </c>
      <c r="K30" s="406">
        <f>$D30*$F30*VLOOKUP($C30,'Master sheet'!$A:$AL,13,FALSE)</f>
        <v>0</v>
      </c>
      <c r="L30" s="94">
        <f>$D30*$F30*VLOOKUP($C30,'Master sheet'!$A:$AL,27,FALSE)</f>
        <v>0</v>
      </c>
      <c r="M30" s="1551"/>
      <c r="N30" s="1551"/>
      <c r="O30" s="25" t="str">
        <f ca="1">_xlfn.IFNA(VLOOKUP($C30,'Master sheet'!$A:$AR,44,FALSE),"")&amp;""</f>
        <v/>
      </c>
      <c r="P30" s="672"/>
      <c r="Q30" s="30" t="s">
        <v>12</v>
      </c>
      <c r="R30" s="21" t="s">
        <v>23</v>
      </c>
      <c r="S30" s="664"/>
      <c r="T30" s="664"/>
      <c r="U30" s="664"/>
      <c r="V30" s="664"/>
      <c r="W30" s="664"/>
      <c r="X30" s="664"/>
      <c r="Y30" s="664"/>
      <c r="Z30" s="664"/>
      <c r="AA30" s="664"/>
      <c r="AB30" s="664"/>
      <c r="AC30" s="665"/>
      <c r="AD30" s="665"/>
    </row>
    <row r="31" spans="1:30" ht="23.25" hidden="1" customHeight="1" x14ac:dyDescent="0.25">
      <c r="A31" s="1525"/>
      <c r="B31" s="1525"/>
      <c r="C31" s="673" t="e" cm="1">
        <f t="array" ref="C31">INDEX('Master sheet'!$A$1:$A$670,MATCH(1,("31-35" = 'Master sheet'!$AO$1:$AO$670)*(6 = 'Master sheet'!$AP$1:$AP$670)*('Master sheet'!$AT$1:$AT$670),0))</f>
        <v>#N/A</v>
      </c>
      <c r="D31" s="17">
        <f>'USER INPUT SHEET'!$D$28</f>
        <v>0</v>
      </c>
      <c r="E31" s="18" t="str">
        <f>'USER INPUT SHEET'!$F$28</f>
        <v>m3</v>
      </c>
      <c r="F31" s="4">
        <v>1</v>
      </c>
      <c r="G31" s="674"/>
      <c r="H31" s="9"/>
      <c r="I31" s="95" t="e">
        <f t="shared" ref="I31" si="10">K31-L31</f>
        <v>#N/A</v>
      </c>
      <c r="J31" s="96" t="str">
        <f t="shared" ref="J31" si="11">IF(H31=1,I31,"")</f>
        <v/>
      </c>
      <c r="K31" s="407" t="e">
        <f>$D31*$F31*VLOOKUP($C31,'Master sheet'!$A:$AL,13,FALSE)</f>
        <v>#N/A</v>
      </c>
      <c r="L31" s="97" t="e">
        <f>$D31*$F31*VLOOKUP($C31,'Master sheet'!$A:$AL,27,FALSE)</f>
        <v>#N/A</v>
      </c>
      <c r="M31" s="1551"/>
      <c r="N31" s="1551"/>
      <c r="O31" s="25" t="str">
        <f>_xlfn.IFNA(VLOOKUP($C31,'Master sheet'!$A:$AR,44,FALSE),"")&amp;""</f>
        <v/>
      </c>
      <c r="P31" s="672"/>
      <c r="Q31" s="30" t="s">
        <v>12</v>
      </c>
      <c r="R31" s="21" t="s">
        <v>23</v>
      </c>
      <c r="S31" s="664"/>
      <c r="T31" s="664"/>
      <c r="U31" s="664"/>
      <c r="V31" s="664"/>
      <c r="W31" s="664"/>
      <c r="X31" s="664"/>
      <c r="Y31" s="664"/>
      <c r="Z31" s="664"/>
      <c r="AA31" s="664"/>
      <c r="AB31" s="664"/>
      <c r="AC31" s="665"/>
      <c r="AD31" s="665"/>
    </row>
    <row r="32" spans="1:30" s="624" customFormat="1" ht="22.8" hidden="1" x14ac:dyDescent="0.25">
      <c r="A32" s="1544"/>
      <c r="B32" s="1544"/>
      <c r="C32" s="673" t="e" cm="1">
        <f t="array" ref="C32">INDEX('Master sheet'!$A$1:$A$670,MATCH(1,("31-35" = 'Master sheet'!$AO$1:$AO$670)*(7 = 'Master sheet'!$AP$1:$AP$670)*('Master sheet'!$AT$1:$AT$670),0))</f>
        <v>#N/A</v>
      </c>
      <c r="D32" s="17">
        <f>'USER INPUT SHEET'!$D$28</f>
        <v>0</v>
      </c>
      <c r="E32" s="18" t="str">
        <f>'USER INPUT SHEET'!$F$28</f>
        <v>m3</v>
      </c>
      <c r="F32" s="4">
        <v>1</v>
      </c>
      <c r="G32" s="674"/>
      <c r="H32" s="9"/>
      <c r="I32" s="95" t="e">
        <f t="shared" si="8"/>
        <v>#N/A</v>
      </c>
      <c r="J32" s="96" t="str">
        <f t="shared" si="9"/>
        <v/>
      </c>
      <c r="K32" s="407" t="e">
        <f>$D32*$F32*VLOOKUP($C32,'Master sheet'!$A:$AL,13,FALSE)</f>
        <v>#N/A</v>
      </c>
      <c r="L32" s="97" t="e">
        <f>$D32*$F32*VLOOKUP($C32,'Master sheet'!$A:$AL,27,FALSE)</f>
        <v>#N/A</v>
      </c>
      <c r="M32" s="1551"/>
      <c r="N32" s="1551"/>
      <c r="O32" s="25" t="str">
        <f>_xlfn.IFNA(VLOOKUP($C32,'Master sheet'!$A:$AR,44,FALSE),"")&amp;""</f>
        <v/>
      </c>
      <c r="P32" s="637"/>
      <c r="Q32" s="29" t="s">
        <v>12</v>
      </c>
      <c r="R32" s="28" t="s">
        <v>23</v>
      </c>
      <c r="S32" s="638"/>
      <c r="T32" s="638"/>
      <c r="U32" s="638"/>
      <c r="V32" s="638"/>
      <c r="W32" s="638"/>
      <c r="X32" s="638"/>
      <c r="Y32" s="638"/>
      <c r="Z32" s="638"/>
      <c r="AA32" s="638"/>
      <c r="AB32" s="638"/>
      <c r="AC32" s="623"/>
      <c r="AD32" s="623"/>
    </row>
    <row r="33" spans="1:30" s="624" customFormat="1" ht="55.2" customHeight="1" x14ac:dyDescent="0.25">
      <c r="A33" s="1522" t="s">
        <v>24</v>
      </c>
      <c r="B33" s="1523"/>
      <c r="C33" s="1523"/>
      <c r="D33" s="629" t="s">
        <v>1539</v>
      </c>
      <c r="E33" s="1"/>
      <c r="F33" s="323" t="s">
        <v>22</v>
      </c>
      <c r="G33" s="650"/>
      <c r="H33" s="650"/>
      <c r="I33" s="651"/>
      <c r="J33" s="103"/>
      <c r="K33" s="652"/>
      <c r="L33" s="653"/>
      <c r="M33" s="654"/>
      <c r="N33" s="654"/>
      <c r="O33" s="25" t="str">
        <f>_xlfn.IFNA(VLOOKUP($C33,'Master sheet'!$A:$AR,44,FALSE),"")&amp;""</f>
        <v/>
      </c>
      <c r="P33" s="637"/>
      <c r="Q33" s="29"/>
      <c r="R33" s="28"/>
      <c r="S33" s="638"/>
      <c r="T33" s="638"/>
      <c r="U33" s="638"/>
      <c r="V33" s="638"/>
      <c r="W33" s="638"/>
      <c r="X33" s="638"/>
      <c r="Y33" s="638"/>
      <c r="Z33" s="638"/>
      <c r="AA33" s="638"/>
      <c r="AB33" s="638"/>
      <c r="AC33" s="623"/>
      <c r="AD33" s="623"/>
    </row>
    <row r="34" spans="1:30" ht="23.85" customHeight="1" x14ac:dyDescent="0.25">
      <c r="A34" s="639"/>
      <c r="B34" s="1524" t="s">
        <v>918</v>
      </c>
      <c r="C34" s="1524"/>
      <c r="D34" s="640"/>
      <c r="E34" s="675"/>
      <c r="F34" s="324"/>
      <c r="G34" s="675"/>
      <c r="H34" s="675"/>
      <c r="I34" s="642"/>
      <c r="J34" s="643"/>
      <c r="K34" s="676"/>
      <c r="L34" s="677"/>
      <c r="M34" s="662"/>
      <c r="N34" s="662"/>
      <c r="O34" s="25" t="str">
        <f>_xlfn.IFNA(VLOOKUP($C34,'Master sheet'!$A:$AR,44,FALSE),"")&amp;""</f>
        <v/>
      </c>
      <c r="P34" s="637"/>
      <c r="Q34" s="30"/>
      <c r="R34" s="21"/>
      <c r="S34" s="664"/>
      <c r="T34" s="664"/>
      <c r="U34" s="664"/>
      <c r="V34" s="664"/>
      <c r="W34" s="664"/>
      <c r="X34" s="664"/>
      <c r="Y34" s="664"/>
      <c r="Z34" s="664"/>
      <c r="AA34" s="664"/>
      <c r="AB34" s="664"/>
      <c r="AC34" s="665"/>
      <c r="AD34" s="665"/>
    </row>
    <row r="35" spans="1:30" ht="23.25" customHeight="1" x14ac:dyDescent="0.25">
      <c r="A35" s="1525" t="s">
        <v>1272</v>
      </c>
      <c r="B35" s="1545"/>
      <c r="C35" s="673" t="str">
        <f>INDEX('Master sheet'!$A$1:$A$670,MATCH(390,'Master sheet'!$AN$1:$AN$670,0))</f>
        <v>Rebar / Nucor Corporation / Canadian sizes / 10M</v>
      </c>
      <c r="D35" s="17">
        <f>IF($E$33&gt;0,$E$33,'USER INPUT SHEET'!$G$29)</f>
        <v>0</v>
      </c>
      <c r="E35" s="18" t="str">
        <f t="shared" ref="E35:E39" si="12">$F$33</f>
        <v>m</v>
      </c>
      <c r="F35" s="4">
        <v>1</v>
      </c>
      <c r="G35" s="674"/>
      <c r="H35" s="9"/>
      <c r="I35" s="95">
        <f t="shared" ref="I35:I39" si="13">K35-L35</f>
        <v>0</v>
      </c>
      <c r="J35" s="96" t="str">
        <f t="shared" ref="J35:J39" si="14">IF(H35=1,I35,"")</f>
        <v/>
      </c>
      <c r="K35" s="407">
        <f>$D35*$F35*VLOOKUP($C35,'Master sheet'!$A:$AL,13,FALSE)</f>
        <v>0</v>
      </c>
      <c r="L35" s="97">
        <f>$D35*$F35*VLOOKUP($C35,'Master sheet'!$A:$AL,27,FALSE)</f>
        <v>0</v>
      </c>
      <c r="M35" s="1558"/>
      <c r="N35" s="1558"/>
      <c r="O35" s="25" t="str">
        <f ca="1">_xlfn.IFNA(VLOOKUP($C35,'Master sheet'!$A:$AR,44,FALSE),"")&amp;""</f>
        <v/>
      </c>
      <c r="P35" s="637"/>
      <c r="Q35" s="30" t="s">
        <v>12</v>
      </c>
      <c r="R35" s="21" t="str">
        <f t="shared" ref="R35:R39" si="15">$A$33</f>
        <v>REBAR</v>
      </c>
      <c r="S35" s="664"/>
      <c r="T35" s="664"/>
      <c r="U35" s="664"/>
      <c r="V35" s="664"/>
      <c r="W35" s="664"/>
      <c r="X35" s="664"/>
      <c r="Y35" s="664"/>
      <c r="Z35" s="664"/>
      <c r="AA35" s="664"/>
      <c r="AB35" s="664"/>
      <c r="AC35" s="665"/>
      <c r="AD35" s="665"/>
    </row>
    <row r="36" spans="1:30" ht="23.25" customHeight="1" x14ac:dyDescent="0.25">
      <c r="A36" s="1525"/>
      <c r="B36" s="1545"/>
      <c r="C36" s="673" t="str">
        <f>INDEX('Master sheet'!$A$1:$A$670,MATCH(391,'Master sheet'!$AN$1:$AN$670,0))</f>
        <v>Rebar / Nucor Corporation / Canadian sizes / 15M</v>
      </c>
      <c r="D36" s="17">
        <f>IF($E$33&gt;0,$E$33,'USER INPUT SHEET'!$G$29)</f>
        <v>0</v>
      </c>
      <c r="E36" s="18" t="str">
        <f t="shared" si="12"/>
        <v>m</v>
      </c>
      <c r="F36" s="4">
        <v>1</v>
      </c>
      <c r="G36" s="674"/>
      <c r="H36" s="9"/>
      <c r="I36" s="95">
        <f t="shared" si="13"/>
        <v>0</v>
      </c>
      <c r="J36" s="96" t="str">
        <f t="shared" si="14"/>
        <v/>
      </c>
      <c r="K36" s="407">
        <f>$D36*$F36*VLOOKUP($C36,'Master sheet'!$A:$AL,13,FALSE)</f>
        <v>0</v>
      </c>
      <c r="L36" s="97">
        <f>$D36*$F36*VLOOKUP($C36,'Master sheet'!$A:$AL,27,FALSE)</f>
        <v>0</v>
      </c>
      <c r="M36" s="1551"/>
      <c r="N36" s="1551"/>
      <c r="O36" s="25" t="str">
        <f ca="1">_xlfn.IFNA(VLOOKUP($C36,'Master sheet'!$A:$AR,44,FALSE),"")&amp;""</f>
        <v/>
      </c>
      <c r="P36" s="637"/>
      <c r="Q36" s="30" t="s">
        <v>12</v>
      </c>
      <c r="R36" s="21" t="str">
        <f t="shared" si="15"/>
        <v>REBAR</v>
      </c>
      <c r="S36" s="664"/>
      <c r="T36" s="664"/>
      <c r="U36" s="664"/>
      <c r="V36" s="664"/>
      <c r="W36" s="664"/>
      <c r="X36" s="664"/>
      <c r="Y36" s="664"/>
      <c r="Z36" s="664"/>
      <c r="AA36" s="664"/>
      <c r="AB36" s="664"/>
      <c r="AC36" s="665"/>
      <c r="AD36" s="665"/>
    </row>
    <row r="37" spans="1:30" ht="23.25" customHeight="1" x14ac:dyDescent="0.25">
      <c r="A37" s="1525"/>
      <c r="B37" s="1545"/>
      <c r="C37" s="673" t="str">
        <f>INDEX('Master sheet'!$A$1:$A$670,MATCH(392,'Master sheet'!$AN$1:$AN$670,0))</f>
        <v>Rebar / Nucor Corporation / Canadian sizes / 20M</v>
      </c>
      <c r="D37" s="17">
        <f>IF($E$33&gt;0,$E$33,'USER INPUT SHEET'!$G$29)</f>
        <v>0</v>
      </c>
      <c r="E37" s="18" t="str">
        <f t="shared" si="12"/>
        <v>m</v>
      </c>
      <c r="F37" s="4">
        <v>1</v>
      </c>
      <c r="G37" s="674"/>
      <c r="H37" s="9"/>
      <c r="I37" s="95">
        <f t="shared" si="13"/>
        <v>0</v>
      </c>
      <c r="J37" s="96" t="str">
        <f t="shared" si="14"/>
        <v/>
      </c>
      <c r="K37" s="407">
        <f>$D37*$F37*VLOOKUP($C37,'Master sheet'!$A:$AL,13,FALSE)</f>
        <v>0</v>
      </c>
      <c r="L37" s="97">
        <f>$D37*$F37*VLOOKUP($C37,'Master sheet'!$A:$AL,27,FALSE)</f>
        <v>0</v>
      </c>
      <c r="M37" s="1551"/>
      <c r="N37" s="1551"/>
      <c r="O37" s="25" t="str">
        <f ca="1">_xlfn.IFNA(VLOOKUP($C37,'Master sheet'!$A:$AR,44,FALSE),"")&amp;""</f>
        <v/>
      </c>
      <c r="P37" s="637"/>
      <c r="Q37" s="30" t="s">
        <v>12</v>
      </c>
      <c r="R37" s="21" t="str">
        <f t="shared" si="15"/>
        <v>REBAR</v>
      </c>
      <c r="S37" s="664"/>
      <c r="T37" s="664"/>
      <c r="U37" s="664"/>
      <c r="V37" s="664"/>
      <c r="W37" s="664"/>
      <c r="X37" s="664"/>
      <c r="Y37" s="664"/>
      <c r="Z37" s="664"/>
      <c r="AA37" s="664"/>
      <c r="AB37" s="664"/>
      <c r="AC37" s="665"/>
      <c r="AD37" s="665"/>
    </row>
    <row r="38" spans="1:30" ht="31.2" x14ac:dyDescent="0.25">
      <c r="A38" s="1525"/>
      <c r="B38" s="1545"/>
      <c r="C38" s="673" t="str">
        <f>INDEX('Master sheet'!$A$1:$A$670,MATCH("A104",'Master sheet'!$AN$1:$AN$670,0))</f>
        <v>Rebar / Concrete Reinforcing Steel Institute / Canadian sizes -98% recycled, EAF / 10M</v>
      </c>
      <c r="D38" s="17">
        <f>IF($E$33&gt;0,$E$33,'USER INPUT SHEET'!$G$29)</f>
        <v>0</v>
      </c>
      <c r="E38" s="18" t="str">
        <f t="shared" si="12"/>
        <v>m</v>
      </c>
      <c r="F38" s="4">
        <v>1</v>
      </c>
      <c r="G38" s="674"/>
      <c r="H38" s="9"/>
      <c r="I38" s="95">
        <f t="shared" ref="I38" si="16">K38-L38</f>
        <v>0</v>
      </c>
      <c r="J38" s="96" t="str">
        <f t="shared" ref="J38" si="17">IF(H38=1,I38,"")</f>
        <v/>
      </c>
      <c r="K38" s="407">
        <f>$D38*$F38*VLOOKUP($C38,'Master sheet'!$A:$AL,13,FALSE)</f>
        <v>0</v>
      </c>
      <c r="L38" s="97">
        <f>$D38*$F38*VLOOKUP($C38,'Master sheet'!$A:$AL,27,FALSE)</f>
        <v>0</v>
      </c>
      <c r="M38" s="1551"/>
      <c r="N38" s="1551"/>
      <c r="O38" s="25" t="str">
        <f>_xlfn.IFNA(VLOOKUP($C38,'Master sheet'!$A:$AR,44,FALSE),"")&amp;""</f>
        <v/>
      </c>
      <c r="P38" s="637"/>
      <c r="Q38" s="30" t="s">
        <v>12</v>
      </c>
      <c r="R38" s="21" t="str">
        <f t="shared" si="15"/>
        <v>REBAR</v>
      </c>
      <c r="S38" s="664"/>
      <c r="T38" s="664"/>
      <c r="U38" s="664"/>
      <c r="V38" s="664"/>
      <c r="W38" s="664"/>
      <c r="X38" s="664"/>
      <c r="Y38" s="664"/>
      <c r="Z38" s="664"/>
      <c r="AA38" s="664"/>
      <c r="AB38" s="664"/>
      <c r="AC38" s="665"/>
      <c r="AD38" s="665"/>
    </row>
    <row r="39" spans="1:30" ht="31.2" x14ac:dyDescent="0.25">
      <c r="A39" s="1545"/>
      <c r="B39" s="1545"/>
      <c r="C39" s="673" t="str">
        <f>INDEX('Master sheet'!$A$1:$A$670,MATCH("A105",'Master sheet'!$AN$1:$AN$670,0))</f>
        <v>Rebar / Concrete Reinforcing Steel Institute / Canadian sizes -98% recycled, EAF / 15M</v>
      </c>
      <c r="D39" s="17">
        <f>IF($E$33&gt;0,$E$33,'USER INPUT SHEET'!$G$29)</f>
        <v>0</v>
      </c>
      <c r="E39" s="18" t="str">
        <f t="shared" si="12"/>
        <v>m</v>
      </c>
      <c r="F39" s="4">
        <v>1</v>
      </c>
      <c r="G39" s="674"/>
      <c r="H39" s="9"/>
      <c r="I39" s="95">
        <f t="shared" si="13"/>
        <v>0</v>
      </c>
      <c r="J39" s="96" t="str">
        <f t="shared" si="14"/>
        <v/>
      </c>
      <c r="K39" s="407">
        <f>$D39*$F39*VLOOKUP($C39,'Master sheet'!$A:$AL,13,FALSE)</f>
        <v>0</v>
      </c>
      <c r="L39" s="97">
        <f>$D39*$F39*VLOOKUP($C39,'Master sheet'!$A:$AL,27,FALSE)</f>
        <v>0</v>
      </c>
      <c r="M39" s="1551"/>
      <c r="N39" s="1551"/>
      <c r="O39" s="25" t="str">
        <f>_xlfn.IFNA(VLOOKUP($C39,'Master sheet'!$A:$AR,44,FALSE),"")&amp;""</f>
        <v/>
      </c>
      <c r="P39" s="637"/>
      <c r="Q39" s="30" t="s">
        <v>12</v>
      </c>
      <c r="R39" s="21" t="str">
        <f t="shared" si="15"/>
        <v>REBAR</v>
      </c>
      <c r="S39" s="664"/>
      <c r="T39" s="664"/>
      <c r="U39" s="664"/>
      <c r="V39" s="664"/>
      <c r="W39" s="664"/>
      <c r="X39" s="664"/>
      <c r="Y39" s="664"/>
      <c r="Z39" s="664"/>
      <c r="AA39" s="664"/>
      <c r="AB39" s="664"/>
      <c r="AC39" s="665"/>
      <c r="AD39" s="665"/>
    </row>
    <row r="40" spans="1:30" s="624" customFormat="1" ht="55.2" customHeight="1" x14ac:dyDescent="0.25">
      <c r="A40" s="1522" t="s">
        <v>1295</v>
      </c>
      <c r="B40" s="1523"/>
      <c r="C40" s="1523"/>
      <c r="D40" s="629" t="s">
        <v>1538</v>
      </c>
      <c r="E40" s="1"/>
      <c r="F40" s="323" t="s">
        <v>1537</v>
      </c>
      <c r="G40" s="650"/>
      <c r="H40" s="650"/>
      <c r="I40" s="651"/>
      <c r="J40" s="103"/>
      <c r="K40" s="652"/>
      <c r="L40" s="653"/>
      <c r="M40" s="654"/>
      <c r="N40" s="654"/>
      <c r="O40" s="25" t="str">
        <f>_xlfn.IFNA(VLOOKUP($C40,'Master sheet'!$A:$AR,44,FALSE),"")&amp;""</f>
        <v/>
      </c>
      <c r="P40" s="637"/>
      <c r="Q40" s="29"/>
      <c r="R40" s="28"/>
      <c r="S40" s="638"/>
      <c r="T40" s="638"/>
      <c r="U40" s="638"/>
      <c r="V40" s="638"/>
      <c r="W40" s="638"/>
      <c r="X40" s="638"/>
      <c r="Y40" s="638"/>
      <c r="Z40" s="638"/>
      <c r="AA40" s="638"/>
      <c r="AB40" s="638"/>
      <c r="AC40" s="623"/>
      <c r="AD40" s="623"/>
    </row>
    <row r="41" spans="1:30" ht="23.85" customHeight="1" x14ac:dyDescent="0.25">
      <c r="A41" s="639"/>
      <c r="B41" s="1524" t="s">
        <v>1296</v>
      </c>
      <c r="C41" s="1524"/>
      <c r="D41" s="640"/>
      <c r="E41" s="675"/>
      <c r="F41" s="324"/>
      <c r="G41" s="675"/>
      <c r="H41" s="675"/>
      <c r="I41" s="642"/>
      <c r="J41" s="643"/>
      <c r="K41" s="676"/>
      <c r="L41" s="677"/>
      <c r="M41" s="662"/>
      <c r="N41" s="662"/>
      <c r="O41" s="25" t="str">
        <f>_xlfn.IFNA(VLOOKUP($C41,'Master sheet'!$A:$AR,44,FALSE),"")&amp;""</f>
        <v/>
      </c>
      <c r="P41" s="637"/>
      <c r="Q41" s="30"/>
      <c r="R41" s="21"/>
      <c r="S41" s="664"/>
      <c r="T41" s="664"/>
      <c r="U41" s="664"/>
      <c r="V41" s="664"/>
      <c r="W41" s="664"/>
      <c r="X41" s="664"/>
      <c r="Y41" s="664"/>
      <c r="Z41" s="664"/>
      <c r="AA41" s="664"/>
      <c r="AB41" s="664"/>
      <c r="AC41" s="665"/>
      <c r="AD41" s="665"/>
    </row>
    <row r="42" spans="1:30" ht="23.25" customHeight="1" x14ac:dyDescent="0.25">
      <c r="A42" s="666"/>
      <c r="B42" s="666"/>
      <c r="C42" s="647" t="str">
        <f>INDEX('Master sheet'!$A$1:$A$670,MATCH("A121",'Master sheet'!$AN$1:$AN$670,0))</f>
        <v xml:space="preserve">Welded wire reinforcement / Insteel Industries / 4" x 4" x 6/6g / </v>
      </c>
      <c r="D42" s="13">
        <f>IF($E$40&gt;0,$E$40,'USER INPUT SHEET'!$D$31)</f>
        <v>0</v>
      </c>
      <c r="E42" s="23" t="str">
        <f>'USER INPUT SHEET'!$F$31</f>
        <v>m2</v>
      </c>
      <c r="F42" s="2">
        <v>1</v>
      </c>
      <c r="G42" s="648"/>
      <c r="H42" s="7"/>
      <c r="I42" s="88">
        <f>K42-L42</f>
        <v>0</v>
      </c>
      <c r="J42" s="89" t="str">
        <f>IF(H42=1,I42,"")</f>
        <v/>
      </c>
      <c r="K42" s="404">
        <f>$D42*$F42*VLOOKUP($C42,'Master sheet'!$A:$AL,13,FALSE)</f>
        <v>0</v>
      </c>
      <c r="L42" s="90">
        <f>$D42*$F42*VLOOKUP($C42,'Master sheet'!$A:$AL,27,FALSE)</f>
        <v>0</v>
      </c>
      <c r="M42" s="1560"/>
      <c r="N42" s="1560"/>
      <c r="O42" s="25" t="str">
        <f>_xlfn.IFNA(VLOOKUP($C42,'Master sheet'!$A:$AR,44,FALSE),"")&amp;""</f>
        <v/>
      </c>
      <c r="P42" s="637"/>
      <c r="Q42" s="30" t="s">
        <v>12</v>
      </c>
      <c r="R42" s="21" t="s">
        <v>1296</v>
      </c>
      <c r="S42" s="664"/>
      <c r="T42" s="664"/>
      <c r="U42" s="664"/>
      <c r="V42" s="664"/>
      <c r="W42" s="664"/>
      <c r="X42" s="664"/>
      <c r="Y42" s="664"/>
      <c r="Z42" s="664"/>
      <c r="AA42" s="664"/>
      <c r="AB42" s="664"/>
      <c r="AC42" s="665"/>
      <c r="AD42" s="665"/>
    </row>
    <row r="43" spans="1:30" ht="23.25" customHeight="1" x14ac:dyDescent="0.25">
      <c r="A43" s="666"/>
      <c r="B43" s="666"/>
      <c r="C43" s="647" t="str">
        <f>INDEX('Master sheet'!$A$1:$A$670,MATCH("A120",'Master sheet'!$AN$1:$AN$670,0))</f>
        <v xml:space="preserve">Welded wire reinforcement / Insteel Industries / 6" x 6" x 6/6g / </v>
      </c>
      <c r="D43" s="13">
        <f>IF($E$40&gt;0,$E$40,'USER INPUT SHEET'!$D$31)</f>
        <v>0</v>
      </c>
      <c r="E43" s="23" t="str">
        <f>'USER INPUT SHEET'!$F$31</f>
        <v>m2</v>
      </c>
      <c r="F43" s="2">
        <v>1</v>
      </c>
      <c r="G43" s="648"/>
      <c r="H43" s="7"/>
      <c r="I43" s="88">
        <f>K43-L43</f>
        <v>0</v>
      </c>
      <c r="J43" s="89" t="str">
        <f>IF(H43=1,I43,"")</f>
        <v/>
      </c>
      <c r="K43" s="404">
        <f>$D43*$F43*VLOOKUP($C43,'Master sheet'!$A:$AL,13,FALSE)</f>
        <v>0</v>
      </c>
      <c r="L43" s="90">
        <f>$D43*$F43*VLOOKUP($C43,'Master sheet'!$A:$AL,27,FALSE)</f>
        <v>0</v>
      </c>
      <c r="M43" s="1551"/>
      <c r="N43" s="1551"/>
      <c r="O43" s="25" t="str">
        <f>_xlfn.IFNA(VLOOKUP($C43,'Master sheet'!$A:$AR,44,FALSE),"")&amp;""</f>
        <v/>
      </c>
      <c r="P43" s="637"/>
      <c r="Q43" s="30" t="s">
        <v>12</v>
      </c>
      <c r="R43" s="21" t="s">
        <v>1296</v>
      </c>
      <c r="S43" s="664"/>
      <c r="T43" s="664"/>
      <c r="U43" s="664"/>
      <c r="V43" s="664"/>
      <c r="W43" s="664"/>
      <c r="X43" s="664"/>
      <c r="Y43" s="664"/>
      <c r="Z43" s="664"/>
      <c r="AA43" s="664"/>
      <c r="AB43" s="664"/>
      <c r="AC43" s="665"/>
      <c r="AD43" s="665"/>
    </row>
    <row r="44" spans="1:30" s="624" customFormat="1" ht="55.2" customHeight="1" x14ac:dyDescent="0.25">
      <c r="A44" s="1522" t="s">
        <v>25</v>
      </c>
      <c r="B44" s="1523"/>
      <c r="C44" s="1523"/>
      <c r="D44" s="629" t="s">
        <v>26</v>
      </c>
      <c r="E44" s="1"/>
      <c r="F44" s="323" t="s">
        <v>22</v>
      </c>
      <c r="G44" s="650"/>
      <c r="H44" s="650"/>
      <c r="I44" s="651"/>
      <c r="J44" s="103"/>
      <c r="K44" s="652"/>
      <c r="L44" s="653"/>
      <c r="M44" s="654"/>
      <c r="N44" s="654"/>
      <c r="O44" s="25" t="str">
        <f>_xlfn.IFNA(VLOOKUP($C44,'Master sheet'!$A:$AR,44,FALSE),"")&amp;""</f>
        <v/>
      </c>
      <c r="P44" s="637"/>
      <c r="Q44" s="29"/>
      <c r="R44" s="28"/>
      <c r="S44" s="638"/>
      <c r="T44" s="638"/>
      <c r="U44" s="638"/>
      <c r="V44" s="638"/>
      <c r="W44" s="638"/>
      <c r="X44" s="638"/>
      <c r="Y44" s="638"/>
      <c r="Z44" s="638"/>
      <c r="AA44" s="638"/>
      <c r="AB44" s="638"/>
      <c r="AC44" s="623"/>
      <c r="AD44" s="623"/>
    </row>
    <row r="45" spans="1:30" ht="23.85" customHeight="1" x14ac:dyDescent="0.25">
      <c r="A45" s="639"/>
      <c r="B45" s="1524" t="s">
        <v>25</v>
      </c>
      <c r="C45" s="1524"/>
      <c r="D45" s="640"/>
      <c r="E45" s="641"/>
      <c r="F45" s="325"/>
      <c r="G45" s="678"/>
      <c r="H45" s="679"/>
      <c r="I45" s="642"/>
      <c r="J45" s="642"/>
      <c r="K45" s="642"/>
      <c r="L45" s="642"/>
      <c r="M45" s="680"/>
      <c r="N45" s="680"/>
      <c r="O45" s="25" t="str">
        <f>_xlfn.IFNA(VLOOKUP($C45,'Master sheet'!$A:$AR,44,FALSE),"")&amp;""</f>
        <v/>
      </c>
      <c r="P45" s="637"/>
      <c r="Q45" s="30"/>
      <c r="R45" s="21"/>
      <c r="S45" s="664"/>
      <c r="T45" s="664"/>
      <c r="U45" s="664"/>
      <c r="V45" s="664"/>
      <c r="W45" s="664"/>
      <c r="X45" s="664"/>
      <c r="Y45" s="664"/>
      <c r="Z45" s="664"/>
      <c r="AA45" s="664"/>
      <c r="AB45" s="664"/>
      <c r="AC45" s="665"/>
      <c r="AD45" s="665"/>
    </row>
    <row r="46" spans="1:30" ht="84.75" customHeight="1" x14ac:dyDescent="0.25">
      <c r="A46" s="1525" t="s">
        <v>1050</v>
      </c>
      <c r="B46" s="1543"/>
      <c r="C46" s="681" t="str">
        <f>INDEX('Master sheet'!$A$1:$A$670,MATCH(120,'Master sheet'!$AN$1:$AN$670,0))</f>
        <v>Helical pier / Generic /  / 3" Nominal Pipe, 3.5 x 3/16" (89 x 5.5 mm), 10" Helix, Sched 40 STD Galvanized steel</v>
      </c>
      <c r="D46" s="22">
        <f>$E$44</f>
        <v>0</v>
      </c>
      <c r="E46" s="399" t="str">
        <f>$F$44</f>
        <v>m</v>
      </c>
      <c r="F46" s="6">
        <v>1</v>
      </c>
      <c r="G46" s="682"/>
      <c r="H46" s="10"/>
      <c r="I46" s="100">
        <f>K46-L46</f>
        <v>0</v>
      </c>
      <c r="J46" s="101" t="str">
        <f>IF(H46=1,I46,"")</f>
        <v/>
      </c>
      <c r="K46" s="408">
        <f>$D46*$F46*VLOOKUP($C46,'Master sheet'!$A:$AL,13,FALSE)</f>
        <v>0</v>
      </c>
      <c r="L46" s="102">
        <f>$D46*$F46*VLOOKUP($C46,'Master sheet'!$A:$AL,27,FALSE)</f>
        <v>0</v>
      </c>
      <c r="M46" s="1559"/>
      <c r="N46" s="1559"/>
      <c r="O46" s="25" t="str">
        <f ca="1">_xlfn.IFNA(VLOOKUP($C46,'Master sheet'!$A:$AR,44,FALSE),"")&amp;""</f>
        <v>Expired 2021</v>
      </c>
      <c r="P46" s="637"/>
      <c r="Q46" s="30" t="s">
        <v>12</v>
      </c>
      <c r="R46" s="21" t="str">
        <f>A44</f>
        <v>HELICAL PIERS</v>
      </c>
      <c r="S46" s="664"/>
      <c r="T46" s="664"/>
      <c r="U46" s="664"/>
      <c r="V46" s="664"/>
      <c r="W46" s="664"/>
      <c r="X46" s="664"/>
      <c r="Y46" s="664"/>
      <c r="Z46" s="664"/>
      <c r="AA46" s="664"/>
      <c r="AB46" s="664"/>
      <c r="AC46" s="665"/>
      <c r="AD46" s="665"/>
    </row>
    <row r="47" spans="1:30" ht="55.2" customHeight="1" x14ac:dyDescent="0.25">
      <c r="A47" s="1522" t="s">
        <v>1422</v>
      </c>
      <c r="B47" s="1523"/>
      <c r="C47" s="1523"/>
      <c r="D47" s="683" t="s">
        <v>19</v>
      </c>
      <c r="E47" s="1"/>
      <c r="F47" s="318" t="s">
        <v>20</v>
      </c>
      <c r="G47" s="684" t="s">
        <v>21</v>
      </c>
      <c r="H47" s="24">
        <f>IF(F47="mm",E47/1000,E47*0.0254)</f>
        <v>0</v>
      </c>
      <c r="I47" s="631" t="s">
        <v>22</v>
      </c>
      <c r="J47" s="103"/>
      <c r="K47" s="652"/>
      <c r="L47" s="653"/>
      <c r="M47" s="654"/>
      <c r="N47" s="654"/>
      <c r="O47" s="25" t="str">
        <f>_xlfn.IFNA(VLOOKUP($C47,'Master sheet'!$A:$AR,44,FALSE),"")&amp;""</f>
        <v/>
      </c>
      <c r="P47" s="685"/>
      <c r="Q47" s="30"/>
      <c r="R47" s="21"/>
      <c r="S47" s="664"/>
      <c r="T47" s="664"/>
      <c r="U47" s="664"/>
      <c r="V47" s="664"/>
      <c r="W47" s="664"/>
      <c r="X47" s="664"/>
      <c r="Y47" s="664"/>
      <c r="Z47" s="664"/>
      <c r="AA47" s="664"/>
      <c r="AB47" s="664"/>
      <c r="AC47" s="665"/>
      <c r="AD47" s="665"/>
    </row>
    <row r="48" spans="1:30" ht="23.85" customHeight="1" x14ac:dyDescent="0.25">
      <c r="A48" s="639"/>
      <c r="B48" s="1524" t="s">
        <v>1349</v>
      </c>
      <c r="C48" s="1524"/>
      <c r="D48" s="656"/>
      <c r="E48" s="641"/>
      <c r="F48" s="322"/>
      <c r="G48" s="657"/>
      <c r="H48" s="657"/>
      <c r="I48" s="658"/>
      <c r="J48" s="659"/>
      <c r="K48" s="660"/>
      <c r="L48" s="661"/>
      <c r="M48" s="662"/>
      <c r="N48" s="662"/>
      <c r="O48" s="25" t="str">
        <f>_xlfn.IFNA(VLOOKUP($C48,'Master sheet'!$A:$AR,44,FALSE),"")&amp;""</f>
        <v/>
      </c>
      <c r="P48" s="663"/>
      <c r="Q48" s="30"/>
      <c r="R48" s="21"/>
      <c r="S48" s="664"/>
      <c r="T48" s="664"/>
      <c r="U48" s="664"/>
      <c r="V48" s="664"/>
      <c r="W48" s="664"/>
      <c r="X48" s="664"/>
      <c r="Y48" s="664"/>
      <c r="Z48" s="664"/>
      <c r="AA48" s="664"/>
      <c r="AB48" s="664"/>
      <c r="AC48" s="665"/>
      <c r="AD48" s="665"/>
    </row>
    <row r="49" spans="1:30" ht="31.5" customHeight="1" x14ac:dyDescent="0.25">
      <c r="A49" s="1525" t="s">
        <v>786</v>
      </c>
      <c r="B49" s="1525"/>
      <c r="C49" s="667" t="str" cm="1">
        <f t="array" ref="C49">INDEX('Master sheet'!$A$1:$A$670,MATCH(1,("0-25" = 'Master sheet'!$AO$1:$AO$670)*(1 = 'Master sheet'!$AP$1:$AP$670)*('Master sheet'!$AT$1:$AT$670),0))</f>
        <v xml:space="preserve">Concrete - 25 MPa, GU / SRMCA / Can. Sask Avg. / </v>
      </c>
      <c r="D49" s="230">
        <f>'USER INPUT SHEET'!$D$31</f>
        <v>0</v>
      </c>
      <c r="E49" s="14" t="str">
        <f>'USER INPUT SHEET'!$F$31</f>
        <v>m2</v>
      </c>
      <c r="F49" s="5">
        <v>1</v>
      </c>
      <c r="G49" s="668"/>
      <c r="H49" s="10"/>
      <c r="I49" s="232">
        <f t="shared" ref="I49:I55" si="18">K49-L49</f>
        <v>0</v>
      </c>
      <c r="J49" s="233" t="str">
        <f t="shared" ref="J49:J55" si="19">IF(H49=1,I49,"")</f>
        <v/>
      </c>
      <c r="K49" s="409">
        <f>$D49*$F49*$H$47*VLOOKUP($C49,'Master sheet'!$A:$AL,13,FALSE)</f>
        <v>0</v>
      </c>
      <c r="L49" s="234">
        <f>$D49*$F49*$H$47*VLOOKUP($C49,'Master sheet'!$A:$AL,27,FALSE)</f>
        <v>0</v>
      </c>
      <c r="M49" s="1560"/>
      <c r="N49" s="1560"/>
      <c r="O49" s="25" t="str">
        <f ca="1">_xlfn.IFNA(VLOOKUP($C49,'Master sheet'!$A:$AR,44,FALSE),"")&amp;""</f>
        <v/>
      </c>
      <c r="P49" s="637"/>
      <c r="Q49" s="30" t="s">
        <v>12</v>
      </c>
      <c r="R49" s="28" t="s">
        <v>27</v>
      </c>
      <c r="S49" s="664"/>
      <c r="T49" s="664"/>
      <c r="U49" s="664"/>
      <c r="V49" s="664"/>
      <c r="W49" s="664"/>
      <c r="X49" s="664"/>
      <c r="Y49" s="664"/>
      <c r="Z49" s="664"/>
      <c r="AA49" s="664"/>
      <c r="AB49" s="664"/>
      <c r="AC49" s="665"/>
      <c r="AD49" s="665"/>
    </row>
    <row r="50" spans="1:30" ht="23.25" customHeight="1" x14ac:dyDescent="0.25">
      <c r="A50" s="1525"/>
      <c r="B50" s="1525"/>
      <c r="C50" s="669" t="str" cm="1">
        <f t="array" ref="C50">INDEX('Master sheet'!$A$1:$A$670,MATCH(1,("0-25" = 'Master sheet'!$AO$1:$AO$670)*(2 = 'Master sheet'!$AP$1:$AP$670)*('Master sheet'!$AT$1:$AT$670),0))</f>
        <v xml:space="preserve">Concrete - 25 MPa, 10% FA, GU / SRMCA / Can. Sask Avg. / </v>
      </c>
      <c r="D50" s="15">
        <f>'USER INPUT SHEET'!$D$31</f>
        <v>0</v>
      </c>
      <c r="E50" s="16" t="str">
        <f>'USER INPUT SHEET'!$F$31</f>
        <v>m2</v>
      </c>
      <c r="F50" s="3">
        <v>1</v>
      </c>
      <c r="G50" s="670"/>
      <c r="H50" s="8"/>
      <c r="I50" s="92">
        <f t="shared" si="18"/>
        <v>0</v>
      </c>
      <c r="J50" s="93" t="str">
        <f t="shared" si="19"/>
        <v/>
      </c>
      <c r="K50" s="406">
        <f>$D50*$F50*$H$47*VLOOKUP($C50,'Master sheet'!$A:$AL,13,FALSE)</f>
        <v>0</v>
      </c>
      <c r="L50" s="94">
        <f>$D50*$F50*$H$47*VLOOKUP($C50,'Master sheet'!$A:$AL,27,FALSE)</f>
        <v>0</v>
      </c>
      <c r="M50" s="1560"/>
      <c r="N50" s="1560"/>
      <c r="O50" s="25" t="str">
        <f ca="1">_xlfn.IFNA(VLOOKUP($C50,'Master sheet'!$A:$AR,44,FALSE),"")&amp;""</f>
        <v/>
      </c>
      <c r="P50" s="671"/>
      <c r="Q50" s="30" t="s">
        <v>12</v>
      </c>
      <c r="R50" s="28" t="s">
        <v>27</v>
      </c>
      <c r="S50" s="664"/>
      <c r="T50" s="664"/>
      <c r="U50" s="664"/>
      <c r="V50" s="664"/>
      <c r="W50" s="664"/>
      <c r="X50" s="664"/>
      <c r="Y50" s="664"/>
      <c r="Z50" s="664"/>
      <c r="AA50" s="664"/>
      <c r="AB50" s="664"/>
      <c r="AC50" s="665"/>
      <c r="AD50" s="665"/>
    </row>
    <row r="51" spans="1:30" ht="23.25" customHeight="1" x14ac:dyDescent="0.25">
      <c r="A51" s="1525"/>
      <c r="B51" s="1525"/>
      <c r="C51" s="669" t="str" cm="1">
        <f t="array" ref="C51">INDEX('Master sheet'!$A$1:$A$670,MATCH(1,("0-25" = 'Master sheet'!$AO$1:$AO$670)*(3 = 'Master sheet'!$AP$1:$AP$670)*('Master sheet'!$AT$1:$AT$670),0))</f>
        <v xml:space="preserve">Concrete - 25 MPa, 20% FA, GU / SRMCA / Can. Sask Avg. / </v>
      </c>
      <c r="D51" s="15">
        <f>'USER INPUT SHEET'!$D$31</f>
        <v>0</v>
      </c>
      <c r="E51" s="16" t="str">
        <f>'USER INPUT SHEET'!$F$31</f>
        <v>m2</v>
      </c>
      <c r="F51" s="3">
        <v>1</v>
      </c>
      <c r="G51" s="670"/>
      <c r="H51" s="8"/>
      <c r="I51" s="92">
        <f t="shared" si="18"/>
        <v>0</v>
      </c>
      <c r="J51" s="93" t="str">
        <f t="shared" si="19"/>
        <v/>
      </c>
      <c r="K51" s="406">
        <f>$D51*$F51*$H$47*VLOOKUP($C51,'Master sheet'!$A:$AL,13,FALSE)</f>
        <v>0</v>
      </c>
      <c r="L51" s="94">
        <f>$D51*$F51*$H$47*VLOOKUP($C51,'Master sheet'!$A:$AL,27,FALSE)</f>
        <v>0</v>
      </c>
      <c r="M51" s="1560"/>
      <c r="N51" s="1560"/>
      <c r="O51" s="25" t="str">
        <f ca="1">_xlfn.IFNA(VLOOKUP($C51,'Master sheet'!$A:$AR,44,FALSE),"")&amp;""</f>
        <v/>
      </c>
      <c r="P51" s="672"/>
      <c r="Q51" s="30" t="s">
        <v>12</v>
      </c>
      <c r="R51" s="28" t="s">
        <v>27</v>
      </c>
      <c r="S51" s="664"/>
      <c r="T51" s="664"/>
      <c r="U51" s="664"/>
      <c r="V51" s="664"/>
      <c r="W51" s="664"/>
      <c r="X51" s="664"/>
      <c r="Y51" s="664"/>
      <c r="Z51" s="664"/>
      <c r="AA51" s="664"/>
      <c r="AB51" s="664"/>
      <c r="AC51" s="665"/>
      <c r="AD51" s="665"/>
    </row>
    <row r="52" spans="1:30" ht="23.25" customHeight="1" x14ac:dyDescent="0.25">
      <c r="A52" s="1525"/>
      <c r="B52" s="1525"/>
      <c r="C52" s="669" t="str" cm="1">
        <f t="array" ref="C52">INDEX('Master sheet'!$A$1:$A$670,MATCH(1,("0-25" = 'Master sheet'!$AO$1:$AO$670)*(4 = 'Master sheet'!$AP$1:$AP$670)*('Master sheet'!$AT$1:$AT$670),0))</f>
        <v xml:space="preserve">Concrete - 25 MPa, 30% FA, GU / SRMCA / Can. Sask Avg. / </v>
      </c>
      <c r="D52" s="15">
        <f>'USER INPUT SHEET'!$D$31</f>
        <v>0</v>
      </c>
      <c r="E52" s="16" t="str">
        <f>'USER INPUT SHEET'!$F$31</f>
        <v>m2</v>
      </c>
      <c r="F52" s="3">
        <v>1</v>
      </c>
      <c r="G52" s="670"/>
      <c r="H52" s="8"/>
      <c r="I52" s="92">
        <f t="shared" si="18"/>
        <v>0</v>
      </c>
      <c r="J52" s="93" t="str">
        <f t="shared" si="19"/>
        <v/>
      </c>
      <c r="K52" s="406">
        <f>$D52*$F52*$H$47*VLOOKUP($C52,'Master sheet'!$A:$AL,13,FALSE)</f>
        <v>0</v>
      </c>
      <c r="L52" s="94">
        <f>$D52*$F52*$H$47*VLOOKUP($C52,'Master sheet'!$A:$AL,27,FALSE)</f>
        <v>0</v>
      </c>
      <c r="M52" s="1560"/>
      <c r="N52" s="1560"/>
      <c r="O52" s="25" t="str">
        <f ca="1">_xlfn.IFNA(VLOOKUP($C52,'Master sheet'!$A:$AR,44,FALSE),"")&amp;""</f>
        <v/>
      </c>
      <c r="P52" s="672"/>
      <c r="Q52" s="30" t="s">
        <v>12</v>
      </c>
      <c r="R52" s="28" t="s">
        <v>27</v>
      </c>
      <c r="S52" s="664"/>
      <c r="T52" s="664"/>
      <c r="U52" s="664"/>
      <c r="V52" s="664"/>
      <c r="W52" s="664"/>
      <c r="X52" s="664"/>
      <c r="Y52" s="664"/>
      <c r="Z52" s="664"/>
      <c r="AA52" s="664"/>
      <c r="AB52" s="664"/>
      <c r="AC52" s="665"/>
      <c r="AD52" s="665"/>
    </row>
    <row r="53" spans="1:30" ht="23.25" customHeight="1" x14ac:dyDescent="0.25">
      <c r="A53" s="1525"/>
      <c r="B53" s="1525"/>
      <c r="C53" s="669" t="str" cm="1">
        <f t="array" ref="C53">INDEX('Master sheet'!$A$1:$A$670,MATCH(1,("0-25" = 'Master sheet'!$AO$1:$AO$670)*(5 = 'Master sheet'!$AP$1:$AP$670)*('Master sheet'!$AT$1:$AT$670),0))</f>
        <v xml:space="preserve">Concrete - 25 MPa, 40% FA, GU / SRMCA / Can. Sask Avg. / </v>
      </c>
      <c r="D53" s="15">
        <f>'USER INPUT SHEET'!$D$31</f>
        <v>0</v>
      </c>
      <c r="E53" s="16" t="str">
        <f>'USER INPUT SHEET'!$F$31</f>
        <v>m2</v>
      </c>
      <c r="F53" s="3">
        <v>1</v>
      </c>
      <c r="G53" s="670"/>
      <c r="H53" s="8"/>
      <c r="I53" s="92">
        <f t="shared" si="18"/>
        <v>0</v>
      </c>
      <c r="J53" s="93" t="str">
        <f t="shared" si="19"/>
        <v/>
      </c>
      <c r="K53" s="406">
        <f>$D53*$F53*$H$47*VLOOKUP($C53,'Master sheet'!$A:$AL,13,FALSE)</f>
        <v>0</v>
      </c>
      <c r="L53" s="94">
        <f>$D53*$F53*$H$47*VLOOKUP($C53,'Master sheet'!$A:$AL,27,FALSE)</f>
        <v>0</v>
      </c>
      <c r="M53" s="1560"/>
      <c r="N53" s="1560"/>
      <c r="O53" s="25" t="str">
        <f ca="1">_xlfn.IFNA(VLOOKUP($C53,'Master sheet'!$A:$AR,44,FALSE),"")&amp;""</f>
        <v/>
      </c>
      <c r="P53" s="672"/>
      <c r="Q53" s="30" t="s">
        <v>12</v>
      </c>
      <c r="R53" s="28" t="s">
        <v>27</v>
      </c>
      <c r="S53" s="664"/>
      <c r="T53" s="664"/>
      <c r="U53" s="664"/>
      <c r="V53" s="664"/>
      <c r="W53" s="664"/>
      <c r="X53" s="664"/>
      <c r="Y53" s="664"/>
      <c r="Z53" s="664"/>
      <c r="AA53" s="664"/>
      <c r="AB53" s="664"/>
      <c r="AC53" s="665"/>
      <c r="AD53" s="665"/>
    </row>
    <row r="54" spans="1:30" ht="23.25" hidden="1" customHeight="1" x14ac:dyDescent="0.25">
      <c r="A54" s="1525"/>
      <c r="B54" s="1525"/>
      <c r="C54" s="669" t="e" cm="1">
        <f t="array" ref="C54">INDEX('Master sheet'!$A$1:$A$670,MATCH(1,("0-25" = 'Master sheet'!$AO$1:$AO$670)*(6 = 'Master sheet'!$AP$1:$AP$670)*('Master sheet'!$AT$1:$AT$670),0))</f>
        <v>#N/A</v>
      </c>
      <c r="D54" s="15">
        <f>'USER INPUT SHEET'!$D$31</f>
        <v>0</v>
      </c>
      <c r="E54" s="16" t="str">
        <f>'USER INPUT SHEET'!$F$31</f>
        <v>m2</v>
      </c>
      <c r="F54" s="3">
        <v>1</v>
      </c>
      <c r="G54" s="670"/>
      <c r="H54" s="8"/>
      <c r="I54" s="92" t="e">
        <f t="shared" ref="I54" si="20">K54-L54</f>
        <v>#N/A</v>
      </c>
      <c r="J54" s="93" t="str">
        <f t="shared" ref="J54" si="21">IF(H54=1,I54,"")</f>
        <v/>
      </c>
      <c r="K54" s="406" t="e">
        <f>$D54*$F54*$H$47*VLOOKUP($C54,'Master sheet'!$A:$AL,13,FALSE)</f>
        <v>#N/A</v>
      </c>
      <c r="L54" s="94" t="e">
        <f>$D54*$F54*$H$47*VLOOKUP($C54,'Master sheet'!$A:$AL,27,FALSE)</f>
        <v>#N/A</v>
      </c>
      <c r="M54" s="1560"/>
      <c r="N54" s="1560"/>
      <c r="O54" s="25" t="str">
        <f>_xlfn.IFNA(VLOOKUP($C54,'Master sheet'!$A:$AR,44,FALSE),"")&amp;""</f>
        <v/>
      </c>
      <c r="P54" s="672"/>
      <c r="Q54" s="30" t="s">
        <v>12</v>
      </c>
      <c r="R54" s="28" t="s">
        <v>27</v>
      </c>
      <c r="S54" s="664"/>
      <c r="T54" s="664"/>
      <c r="U54" s="664"/>
      <c r="V54" s="664"/>
      <c r="W54" s="664"/>
      <c r="X54" s="664"/>
      <c r="Y54" s="664"/>
      <c r="Z54" s="664"/>
      <c r="AA54" s="664"/>
      <c r="AB54" s="664"/>
      <c r="AC54" s="665"/>
      <c r="AD54" s="665"/>
    </row>
    <row r="55" spans="1:30" s="624" customFormat="1" ht="23.25" hidden="1" customHeight="1" x14ac:dyDescent="0.25">
      <c r="A55" s="1525"/>
      <c r="B55" s="1525"/>
      <c r="C55" s="673" t="e" cm="1">
        <f t="array" ref="C55">INDEX('Master sheet'!$A$1:$A$670,MATCH(1,("0-25" = 'Master sheet'!$AO$1:$AO$670)*(7 = 'Master sheet'!$AP$1:$AP$670)*('Master sheet'!$AT$1:$AT$670),0))</f>
        <v>#N/A</v>
      </c>
      <c r="D55" s="17">
        <f>'USER INPUT SHEET'!$D$31</f>
        <v>0</v>
      </c>
      <c r="E55" s="18" t="str">
        <f>'USER INPUT SHEET'!$F$31</f>
        <v>m2</v>
      </c>
      <c r="F55" s="4">
        <v>1</v>
      </c>
      <c r="G55" s="674"/>
      <c r="H55" s="9"/>
      <c r="I55" s="95" t="e">
        <f t="shared" si="18"/>
        <v>#N/A</v>
      </c>
      <c r="J55" s="96" t="str">
        <f t="shared" si="19"/>
        <v/>
      </c>
      <c r="K55" s="407" t="e">
        <f>$D55*$F55*$H$47*VLOOKUP($C55,'Master sheet'!$A:$AL,13,FALSE)</f>
        <v>#N/A</v>
      </c>
      <c r="L55" s="97" t="e">
        <f>$D55*$F55*$H$47*VLOOKUP($C55,'Master sheet'!$A:$AL,27,FALSE)</f>
        <v>#N/A</v>
      </c>
      <c r="M55" s="1560"/>
      <c r="N55" s="1560"/>
      <c r="O55" s="25" t="str">
        <f>_xlfn.IFNA(VLOOKUP($C55,'Master sheet'!$A:$AR,44,FALSE),"")&amp;""</f>
        <v/>
      </c>
      <c r="P55" s="637"/>
      <c r="Q55" s="29" t="s">
        <v>12</v>
      </c>
      <c r="R55" s="28" t="s">
        <v>27</v>
      </c>
      <c r="S55" s="638"/>
      <c r="T55" s="638"/>
      <c r="U55" s="638"/>
      <c r="V55" s="638"/>
      <c r="W55" s="638"/>
      <c r="X55" s="638"/>
      <c r="Y55" s="638"/>
      <c r="Z55" s="638"/>
      <c r="AA55" s="638"/>
      <c r="AB55" s="638"/>
      <c r="AC55" s="623"/>
      <c r="AD55" s="623"/>
    </row>
    <row r="56" spans="1:30" ht="23.85" customHeight="1" x14ac:dyDescent="0.25">
      <c r="A56" s="639"/>
      <c r="B56" s="1524" t="s">
        <v>1350</v>
      </c>
      <c r="C56" s="1524"/>
      <c r="D56" s="656"/>
      <c r="E56" s="641"/>
      <c r="F56" s="641"/>
      <c r="G56" s="657"/>
      <c r="H56" s="657"/>
      <c r="I56" s="658"/>
      <c r="J56" s="659"/>
      <c r="K56" s="660"/>
      <c r="L56" s="661"/>
      <c r="M56" s="662"/>
      <c r="N56" s="662"/>
      <c r="O56" s="25" t="str">
        <f>_xlfn.IFNA(VLOOKUP($C56,'Master sheet'!$A:$AR,44,FALSE),"")&amp;""</f>
        <v/>
      </c>
      <c r="P56" s="663"/>
      <c r="Q56" s="30"/>
      <c r="R56" s="21"/>
      <c r="S56" s="664"/>
      <c r="T56" s="664"/>
      <c r="U56" s="664"/>
      <c r="V56" s="664"/>
      <c r="W56" s="664"/>
      <c r="X56" s="664"/>
      <c r="Y56" s="664"/>
      <c r="Z56" s="664"/>
      <c r="AA56" s="664"/>
      <c r="AB56" s="664"/>
      <c r="AC56" s="665"/>
      <c r="AD56" s="665"/>
    </row>
    <row r="57" spans="1:30" ht="31.5" customHeight="1" x14ac:dyDescent="0.25">
      <c r="A57" s="1525" t="s">
        <v>786</v>
      </c>
      <c r="B57" s="1525"/>
      <c r="C57" s="667" t="str" cm="1">
        <f t="array" ref="C57">INDEX('Master sheet'!$A$1:$A$670,MATCH(1,("26-30" = 'Master sheet'!$AO$1:$AO$670)*(1 = 'Master sheet'!$AP$1:$AP$670)*('Master sheet'!$AT$1:$AT$670),0))</f>
        <v xml:space="preserve">Concrete - 30 MPa, GU / SRMCA / Can. Sask Avg. / </v>
      </c>
      <c r="D57" s="230">
        <f>'USER INPUT SHEET'!$D$31</f>
        <v>0</v>
      </c>
      <c r="E57" s="14" t="str">
        <f>'USER INPUT SHEET'!$F$31</f>
        <v>m2</v>
      </c>
      <c r="F57" s="5">
        <v>1</v>
      </c>
      <c r="G57" s="668"/>
      <c r="H57" s="10"/>
      <c r="I57" s="232">
        <f t="shared" ref="I57:I63" si="22">K57-L57</f>
        <v>0</v>
      </c>
      <c r="J57" s="233" t="str">
        <f t="shared" ref="J57:J63" si="23">IF(H57=1,I57,"")</f>
        <v/>
      </c>
      <c r="K57" s="409">
        <f>$D57*$F57*$H$47*VLOOKUP($C57,'Master sheet'!$A:$AL,13,FALSE)</f>
        <v>0</v>
      </c>
      <c r="L57" s="234">
        <f>$D57*$F57*$H$47*VLOOKUP($C57,'Master sheet'!$A:$AL,27,FALSE)</f>
        <v>0</v>
      </c>
      <c r="M57" s="1560"/>
      <c r="N57" s="1560"/>
      <c r="O57" s="25" t="str">
        <f ca="1">_xlfn.IFNA(VLOOKUP($C57,'Master sheet'!$A:$AR,44,FALSE),"")&amp;""</f>
        <v/>
      </c>
      <c r="P57" s="637"/>
      <c r="Q57" s="30" t="s">
        <v>12</v>
      </c>
      <c r="R57" s="28" t="s">
        <v>27</v>
      </c>
      <c r="S57" s="664"/>
      <c r="T57" s="664"/>
      <c r="U57" s="664"/>
      <c r="V57" s="664"/>
      <c r="W57" s="664"/>
      <c r="X57" s="664"/>
      <c r="Y57" s="664"/>
      <c r="Z57" s="664"/>
      <c r="AA57" s="664"/>
      <c r="AB57" s="664"/>
      <c r="AC57" s="665"/>
      <c r="AD57" s="665"/>
    </row>
    <row r="58" spans="1:30" ht="23.25" customHeight="1" x14ac:dyDescent="0.25">
      <c r="A58" s="1525"/>
      <c r="B58" s="1525"/>
      <c r="C58" s="669" t="str" cm="1">
        <f t="array" ref="C58">INDEX('Master sheet'!$A$1:$A$670,MATCH(1,("26-30" = 'Master sheet'!$AO$1:$AO$670)*(2 = 'Master sheet'!$AP$1:$AP$670)*('Master sheet'!$AT$1:$AT$670),0))</f>
        <v xml:space="preserve">Concrete - 30 MPa, 10% FA, GU / SRMCA / Can. Sask Avg. / </v>
      </c>
      <c r="D58" s="15">
        <f>'USER INPUT SHEET'!$D$31</f>
        <v>0</v>
      </c>
      <c r="E58" s="16" t="str">
        <f>'USER INPUT SHEET'!$F$31</f>
        <v>m2</v>
      </c>
      <c r="F58" s="3">
        <v>1</v>
      </c>
      <c r="G58" s="670"/>
      <c r="H58" s="8"/>
      <c r="I58" s="92">
        <f t="shared" si="22"/>
        <v>0</v>
      </c>
      <c r="J58" s="93" t="str">
        <f t="shared" si="23"/>
        <v/>
      </c>
      <c r="K58" s="406">
        <f>$D58*$F58*$H$47*VLOOKUP($C58,'Master sheet'!$A:$AL,13,FALSE)</f>
        <v>0</v>
      </c>
      <c r="L58" s="94">
        <f>$D58*$F58*$H$47*VLOOKUP($C58,'Master sheet'!$A:$AL,27,FALSE)</f>
        <v>0</v>
      </c>
      <c r="M58" s="1560"/>
      <c r="N58" s="1560"/>
      <c r="O58" s="25" t="str">
        <f ca="1">_xlfn.IFNA(VLOOKUP($C58,'Master sheet'!$A:$AR,44,FALSE),"")&amp;""</f>
        <v/>
      </c>
      <c r="P58" s="671"/>
      <c r="Q58" s="30" t="s">
        <v>12</v>
      </c>
      <c r="R58" s="28" t="s">
        <v>27</v>
      </c>
      <c r="S58" s="664"/>
      <c r="T58" s="664"/>
      <c r="U58" s="664"/>
      <c r="V58" s="664"/>
      <c r="W58" s="664"/>
      <c r="X58" s="664"/>
      <c r="Y58" s="664"/>
      <c r="Z58" s="664"/>
      <c r="AA58" s="664"/>
      <c r="AB58" s="664"/>
      <c r="AC58" s="665"/>
      <c r="AD58" s="665"/>
    </row>
    <row r="59" spans="1:30" ht="23.25" customHeight="1" x14ac:dyDescent="0.25">
      <c r="A59" s="1525"/>
      <c r="B59" s="1525"/>
      <c r="C59" s="669" t="str" cm="1">
        <f t="array" ref="C59">INDEX('Master sheet'!$A$1:$A$670,MATCH(1,("26-30" = 'Master sheet'!$AO$1:$AO$670)*(3 = 'Master sheet'!$AP$1:$AP$670)*('Master sheet'!$AT$1:$AT$670),0))</f>
        <v xml:space="preserve">Concrete - 30 MPa, 20% FA, GU / SRMCA / Can. Sask Avg. / </v>
      </c>
      <c r="D59" s="15">
        <f>'USER INPUT SHEET'!$D$31</f>
        <v>0</v>
      </c>
      <c r="E59" s="16" t="str">
        <f>'USER INPUT SHEET'!$F$31</f>
        <v>m2</v>
      </c>
      <c r="F59" s="3">
        <v>1</v>
      </c>
      <c r="G59" s="670"/>
      <c r="H59" s="8"/>
      <c r="I59" s="92">
        <f t="shared" si="22"/>
        <v>0</v>
      </c>
      <c r="J59" s="93" t="str">
        <f t="shared" si="23"/>
        <v/>
      </c>
      <c r="K59" s="406">
        <f>$D59*$F59*$H$47*VLOOKUP($C59,'Master sheet'!$A:$AL,13,FALSE)</f>
        <v>0</v>
      </c>
      <c r="L59" s="94">
        <f>$D59*$F59*$H$47*VLOOKUP($C59,'Master sheet'!$A:$AL,27,FALSE)</f>
        <v>0</v>
      </c>
      <c r="M59" s="1560"/>
      <c r="N59" s="1560"/>
      <c r="O59" s="25" t="str">
        <f ca="1">_xlfn.IFNA(VLOOKUP($C59,'Master sheet'!$A:$AR,44,FALSE),"")&amp;""</f>
        <v/>
      </c>
      <c r="P59" s="672"/>
      <c r="Q59" s="30" t="s">
        <v>12</v>
      </c>
      <c r="R59" s="28" t="s">
        <v>27</v>
      </c>
      <c r="S59" s="664"/>
      <c r="T59" s="664"/>
      <c r="U59" s="664"/>
      <c r="V59" s="664"/>
      <c r="W59" s="664"/>
      <c r="X59" s="664"/>
      <c r="Y59" s="664"/>
      <c r="Z59" s="664"/>
      <c r="AA59" s="664"/>
      <c r="AB59" s="664"/>
      <c r="AC59" s="665"/>
      <c r="AD59" s="665"/>
    </row>
    <row r="60" spans="1:30" ht="23.25" customHeight="1" x14ac:dyDescent="0.25">
      <c r="A60" s="1525"/>
      <c r="B60" s="1525"/>
      <c r="C60" s="669" t="str" cm="1">
        <f t="array" ref="C60">INDEX('Master sheet'!$A$1:$A$670,MATCH(1,("26-30" = 'Master sheet'!$AO$1:$AO$670)*(4 = 'Master sheet'!$AP$1:$AP$670)*('Master sheet'!$AT$1:$AT$670),0))</f>
        <v xml:space="preserve">Concrete - 30 MPa, 30% FA, GU / SRMCA / Can. Sask Avg. / </v>
      </c>
      <c r="D60" s="15">
        <f>'USER INPUT SHEET'!$D$31</f>
        <v>0</v>
      </c>
      <c r="E60" s="16" t="str">
        <f>'USER INPUT SHEET'!$F$31</f>
        <v>m2</v>
      </c>
      <c r="F60" s="3">
        <v>1</v>
      </c>
      <c r="G60" s="670"/>
      <c r="H60" s="8"/>
      <c r="I60" s="92">
        <f t="shared" si="22"/>
        <v>0</v>
      </c>
      <c r="J60" s="93" t="str">
        <f t="shared" si="23"/>
        <v/>
      </c>
      <c r="K60" s="406">
        <f>$D60*$F60*$H$47*VLOOKUP($C60,'Master sheet'!$A:$AL,13,FALSE)</f>
        <v>0</v>
      </c>
      <c r="L60" s="94">
        <f>$D60*$F60*$H$47*VLOOKUP($C60,'Master sheet'!$A:$AL,27,FALSE)</f>
        <v>0</v>
      </c>
      <c r="M60" s="1560"/>
      <c r="N60" s="1560"/>
      <c r="O60" s="25" t="str">
        <f ca="1">_xlfn.IFNA(VLOOKUP($C60,'Master sheet'!$A:$AR,44,FALSE),"")&amp;""</f>
        <v/>
      </c>
      <c r="P60" s="672"/>
      <c r="Q60" s="30" t="s">
        <v>12</v>
      </c>
      <c r="R60" s="28" t="s">
        <v>27</v>
      </c>
      <c r="S60" s="664"/>
      <c r="T60" s="664"/>
      <c r="U60" s="664"/>
      <c r="V60" s="664"/>
      <c r="W60" s="664"/>
      <c r="X60" s="664"/>
      <c r="Y60" s="664"/>
      <c r="Z60" s="664"/>
      <c r="AA60" s="664"/>
      <c r="AB60" s="664"/>
      <c r="AC60" s="665"/>
      <c r="AD60" s="665"/>
    </row>
    <row r="61" spans="1:30" ht="23.25" customHeight="1" x14ac:dyDescent="0.25">
      <c r="A61" s="1525"/>
      <c r="B61" s="1525"/>
      <c r="C61" s="669" t="str" cm="1">
        <f t="array" ref="C61">INDEX('Master sheet'!$A$1:$A$670,MATCH(1,("26-30" = 'Master sheet'!$AO$1:$AO$670)*(5 = 'Master sheet'!$AP$1:$AP$670)*('Master sheet'!$AT$1:$AT$670),0))</f>
        <v xml:space="preserve">Concrete - 30 MPa, 40% FA, GU / SRMCA / Can. Sask Avg. / </v>
      </c>
      <c r="D61" s="15">
        <f>'USER INPUT SHEET'!$D$31</f>
        <v>0</v>
      </c>
      <c r="E61" s="16" t="str">
        <f>'USER INPUT SHEET'!$F$31</f>
        <v>m2</v>
      </c>
      <c r="F61" s="3">
        <v>1</v>
      </c>
      <c r="G61" s="670"/>
      <c r="H61" s="8"/>
      <c r="I61" s="92">
        <f t="shared" si="22"/>
        <v>0</v>
      </c>
      <c r="J61" s="93" t="str">
        <f t="shared" si="23"/>
        <v/>
      </c>
      <c r="K61" s="406">
        <f>$D61*$F61*$H$47*VLOOKUP($C61,'Master sheet'!$A:$AL,13,FALSE)</f>
        <v>0</v>
      </c>
      <c r="L61" s="94">
        <f>$D61*$F61*$H$47*VLOOKUP($C61,'Master sheet'!$A:$AL,27,FALSE)</f>
        <v>0</v>
      </c>
      <c r="M61" s="1560"/>
      <c r="N61" s="1560"/>
      <c r="O61" s="25" t="str">
        <f ca="1">_xlfn.IFNA(VLOOKUP($C61,'Master sheet'!$A:$AR,44,FALSE),"")&amp;""</f>
        <v/>
      </c>
      <c r="P61" s="672"/>
      <c r="Q61" s="30" t="s">
        <v>12</v>
      </c>
      <c r="R61" s="28" t="s">
        <v>27</v>
      </c>
      <c r="S61" s="664"/>
      <c r="T61" s="664"/>
      <c r="U61" s="664"/>
      <c r="V61" s="664"/>
      <c r="W61" s="664"/>
      <c r="X61" s="664"/>
      <c r="Y61" s="664"/>
      <c r="Z61" s="664"/>
      <c r="AA61" s="664"/>
      <c r="AB61" s="664"/>
      <c r="AC61" s="665"/>
      <c r="AD61" s="665"/>
    </row>
    <row r="62" spans="1:30" ht="23.25" hidden="1" customHeight="1" x14ac:dyDescent="0.25">
      <c r="A62" s="1525"/>
      <c r="B62" s="1525"/>
      <c r="C62" s="669" t="e" cm="1">
        <f t="array" ref="C62">INDEX('Master sheet'!$A$1:$A$670,MATCH(1,("26-30" = 'Master sheet'!$AO$1:$AO$670)*(6 = 'Master sheet'!$AP$1:$AP$670)*('Master sheet'!$AT$1:$AT$670),0))</f>
        <v>#N/A</v>
      </c>
      <c r="D62" s="15">
        <f>'USER INPUT SHEET'!$D$31</f>
        <v>0</v>
      </c>
      <c r="E62" s="16" t="str">
        <f>'USER INPUT SHEET'!$F$31</f>
        <v>m2</v>
      </c>
      <c r="F62" s="3">
        <v>1</v>
      </c>
      <c r="G62" s="670"/>
      <c r="H62" s="8"/>
      <c r="I62" s="92" t="e">
        <f t="shared" ref="I62" si="24">K62-L62</f>
        <v>#N/A</v>
      </c>
      <c r="J62" s="93" t="str">
        <f t="shared" ref="J62" si="25">IF(H62=1,I62,"")</f>
        <v/>
      </c>
      <c r="K62" s="406" t="e">
        <f>$D62*$F62*$H$47*VLOOKUP($C62,'Master sheet'!$A:$AL,13,FALSE)</f>
        <v>#N/A</v>
      </c>
      <c r="L62" s="94" t="e">
        <f>$D62*$F62*$H$47*VLOOKUP($C62,'Master sheet'!$A:$AL,27,FALSE)</f>
        <v>#N/A</v>
      </c>
      <c r="M62" s="1560"/>
      <c r="N62" s="1560"/>
      <c r="O62" s="25" t="str">
        <f>_xlfn.IFNA(VLOOKUP($C62,'Master sheet'!$A:$AR,44,FALSE),"")&amp;""</f>
        <v/>
      </c>
      <c r="P62" s="672"/>
      <c r="Q62" s="30" t="s">
        <v>12</v>
      </c>
      <c r="R62" s="28" t="s">
        <v>27</v>
      </c>
      <c r="S62" s="664"/>
      <c r="T62" s="664"/>
      <c r="U62" s="664"/>
      <c r="V62" s="664"/>
      <c r="W62" s="664"/>
      <c r="X62" s="664"/>
      <c r="Y62" s="664"/>
      <c r="Z62" s="664"/>
      <c r="AA62" s="664"/>
      <c r="AB62" s="664"/>
      <c r="AC62" s="665"/>
      <c r="AD62" s="665"/>
    </row>
    <row r="63" spans="1:30" s="624" customFormat="1" ht="23.25" hidden="1" customHeight="1" x14ac:dyDescent="0.25">
      <c r="A63" s="1525"/>
      <c r="B63" s="1525"/>
      <c r="C63" s="673" t="e" cm="1">
        <f t="array" ref="C63">INDEX('Master sheet'!$A$1:$A$670,MATCH(1,("26-30" = 'Master sheet'!$AO$1:$AO$670)*(7 = 'Master sheet'!$AP$1:$AP$670)*('Master sheet'!$AT$1:$AT$670),0))</f>
        <v>#N/A</v>
      </c>
      <c r="D63" s="17">
        <f>'USER INPUT SHEET'!$D$31</f>
        <v>0</v>
      </c>
      <c r="E63" s="18" t="str">
        <f>'USER INPUT SHEET'!$F$31</f>
        <v>m2</v>
      </c>
      <c r="F63" s="4">
        <v>1</v>
      </c>
      <c r="G63" s="674"/>
      <c r="H63" s="9"/>
      <c r="I63" s="95" t="e">
        <f t="shared" si="22"/>
        <v>#N/A</v>
      </c>
      <c r="J63" s="96" t="str">
        <f t="shared" si="23"/>
        <v/>
      </c>
      <c r="K63" s="407" t="e">
        <f>$D63*$F63*$H$47*VLOOKUP($C63,'Master sheet'!$A:$AL,13,FALSE)</f>
        <v>#N/A</v>
      </c>
      <c r="L63" s="97" t="e">
        <f>$D63*$F63*$H$47*VLOOKUP($C63,'Master sheet'!$A:$AL,27,FALSE)</f>
        <v>#N/A</v>
      </c>
      <c r="M63" s="1560"/>
      <c r="N63" s="1560"/>
      <c r="O63" s="25" t="str">
        <f>_xlfn.IFNA(VLOOKUP($C63,'Master sheet'!$A:$AR,44,FALSE),"")&amp;""</f>
        <v/>
      </c>
      <c r="P63" s="637"/>
      <c r="Q63" s="29" t="s">
        <v>12</v>
      </c>
      <c r="R63" s="28" t="s">
        <v>27</v>
      </c>
      <c r="S63" s="638"/>
      <c r="T63" s="638"/>
      <c r="U63" s="638"/>
      <c r="V63" s="638"/>
      <c r="W63" s="638"/>
      <c r="X63" s="638"/>
      <c r="Y63" s="638"/>
      <c r="Z63" s="638"/>
      <c r="AA63" s="638"/>
      <c r="AB63" s="638"/>
      <c r="AC63" s="623"/>
      <c r="AD63" s="623"/>
    </row>
    <row r="64" spans="1:30" ht="23.85" customHeight="1" x14ac:dyDescent="0.25">
      <c r="A64" s="639"/>
      <c r="B64" s="1524" t="s">
        <v>1351</v>
      </c>
      <c r="C64" s="1524"/>
      <c r="D64" s="656"/>
      <c r="E64" s="641"/>
      <c r="F64" s="322"/>
      <c r="G64" s="657"/>
      <c r="H64" s="657"/>
      <c r="I64" s="658"/>
      <c r="J64" s="659"/>
      <c r="K64" s="660"/>
      <c r="L64" s="661"/>
      <c r="M64" s="662"/>
      <c r="N64" s="662"/>
      <c r="O64" s="25" t="str">
        <f>_xlfn.IFNA(VLOOKUP($C64,'Master sheet'!$A:$AR,44,FALSE),"")&amp;""</f>
        <v/>
      </c>
      <c r="P64" s="663"/>
      <c r="Q64" s="30"/>
      <c r="R64" s="21"/>
      <c r="S64" s="664"/>
      <c r="T64" s="664"/>
      <c r="U64" s="664"/>
      <c r="V64" s="664"/>
      <c r="W64" s="664"/>
      <c r="X64" s="664"/>
      <c r="Y64" s="664"/>
      <c r="Z64" s="664"/>
      <c r="AA64" s="664"/>
      <c r="AB64" s="664"/>
      <c r="AC64" s="665"/>
      <c r="AD64" s="665"/>
    </row>
    <row r="65" spans="1:30" ht="31.5" customHeight="1" x14ac:dyDescent="0.25">
      <c r="A65" s="1525" t="s">
        <v>786</v>
      </c>
      <c r="B65" s="1525"/>
      <c r="C65" s="667" t="str" cm="1">
        <f t="array" ref="C65">INDEX('Master sheet'!$A$1:$A$670,MATCH(1,("31-35" = 'Master sheet'!$AO$1:$AO$670)*(1 = 'Master sheet'!$AP$1:$AP$670)*('Master sheet'!$AT$1:$AT$670),0))</f>
        <v xml:space="preserve">Concrete - 35 MPa, GU / SRMCA / Can. Sask Avg. / </v>
      </c>
      <c r="D65" s="230">
        <f>'USER INPUT SHEET'!$D$31</f>
        <v>0</v>
      </c>
      <c r="E65" s="14" t="str">
        <f>'USER INPUT SHEET'!$F$31</f>
        <v>m2</v>
      </c>
      <c r="F65" s="5">
        <v>1</v>
      </c>
      <c r="G65" s="668"/>
      <c r="H65" s="10"/>
      <c r="I65" s="232">
        <f t="shared" ref="I65:I71" si="26">K65-L65</f>
        <v>0</v>
      </c>
      <c r="J65" s="233" t="str">
        <f t="shared" ref="J65:J71" si="27">IF(H65=1,I65,"")</f>
        <v/>
      </c>
      <c r="K65" s="409">
        <f>$D65*$F65*$H$47*VLOOKUP($C65,'Master sheet'!$A:$AL,13,FALSE)</f>
        <v>0</v>
      </c>
      <c r="L65" s="234">
        <f>$D65*$F65*$H$47*VLOOKUP($C65,'Master sheet'!$A:$AL,27,FALSE)</f>
        <v>0</v>
      </c>
      <c r="M65" s="1560"/>
      <c r="N65" s="1560"/>
      <c r="O65" s="25" t="str">
        <f ca="1">_xlfn.IFNA(VLOOKUP($C65,'Master sheet'!$A:$AR,44,FALSE),"")&amp;""</f>
        <v/>
      </c>
      <c r="P65" s="637"/>
      <c r="Q65" s="30" t="s">
        <v>12</v>
      </c>
      <c r="R65" s="28" t="s">
        <v>27</v>
      </c>
      <c r="S65" s="664"/>
      <c r="T65" s="664"/>
      <c r="U65" s="664"/>
      <c r="V65" s="664"/>
      <c r="W65" s="664"/>
      <c r="X65" s="664"/>
      <c r="Y65" s="664"/>
      <c r="Z65" s="664"/>
      <c r="AA65" s="664"/>
      <c r="AB65" s="664"/>
      <c r="AC65" s="665"/>
      <c r="AD65" s="665"/>
    </row>
    <row r="66" spans="1:30" ht="23.25" customHeight="1" x14ac:dyDescent="0.25">
      <c r="A66" s="1525"/>
      <c r="B66" s="1525"/>
      <c r="C66" s="669" t="str" cm="1">
        <f t="array" ref="C66">INDEX('Master sheet'!$A$1:$A$670,MATCH(1,("31-35" = 'Master sheet'!$AO$1:$AO$670)*(2 = 'Master sheet'!$AP$1:$AP$670)*('Master sheet'!$AT$1:$AT$670),0))</f>
        <v xml:space="preserve">Concrete - 35 MPa, 10% FA, GU / SRMCA / Can. Sask Avg. / </v>
      </c>
      <c r="D66" s="15">
        <f>'USER INPUT SHEET'!$D$31</f>
        <v>0</v>
      </c>
      <c r="E66" s="16" t="str">
        <f>'USER INPUT SHEET'!$F$31</f>
        <v>m2</v>
      </c>
      <c r="F66" s="3">
        <v>1</v>
      </c>
      <c r="G66" s="670"/>
      <c r="H66" s="8"/>
      <c r="I66" s="92">
        <f t="shared" si="26"/>
        <v>0</v>
      </c>
      <c r="J66" s="93" t="str">
        <f t="shared" si="27"/>
        <v/>
      </c>
      <c r="K66" s="406">
        <f>$D66*$F66*$H$47*VLOOKUP($C66,'Master sheet'!$A:$AL,13,FALSE)</f>
        <v>0</v>
      </c>
      <c r="L66" s="94">
        <f>$D66*$F66*$H$47*VLOOKUP($C66,'Master sheet'!$A:$AL,27,FALSE)</f>
        <v>0</v>
      </c>
      <c r="M66" s="1560"/>
      <c r="N66" s="1560"/>
      <c r="O66" s="25" t="str">
        <f ca="1">_xlfn.IFNA(VLOOKUP($C66,'Master sheet'!$A:$AR,44,FALSE),"")&amp;""</f>
        <v/>
      </c>
      <c r="P66" s="671"/>
      <c r="Q66" s="30" t="s">
        <v>12</v>
      </c>
      <c r="R66" s="28" t="s">
        <v>27</v>
      </c>
      <c r="S66" s="664"/>
      <c r="T66" s="664"/>
      <c r="U66" s="664"/>
      <c r="V66" s="664"/>
      <c r="W66" s="664"/>
      <c r="X66" s="664"/>
      <c r="Y66" s="664"/>
      <c r="Z66" s="664"/>
      <c r="AA66" s="664"/>
      <c r="AB66" s="664"/>
      <c r="AC66" s="665"/>
      <c r="AD66" s="665"/>
    </row>
    <row r="67" spans="1:30" ht="23.25" customHeight="1" x14ac:dyDescent="0.25">
      <c r="A67" s="1525"/>
      <c r="B67" s="1525"/>
      <c r="C67" s="669" t="str" cm="1">
        <f t="array" ref="C67">INDEX('Master sheet'!$A$1:$A$670,MATCH(1,("31-35" = 'Master sheet'!$AO$1:$AO$670)*(3 = 'Master sheet'!$AP$1:$AP$670)*('Master sheet'!$AT$1:$AT$670),0))</f>
        <v xml:space="preserve">Concrete - 35 MPa, 20% FA, GU / SRMCA / Can. Sask Avg. / </v>
      </c>
      <c r="D67" s="15">
        <f>'USER INPUT SHEET'!$D$31</f>
        <v>0</v>
      </c>
      <c r="E67" s="16" t="str">
        <f>'USER INPUT SHEET'!$F$31</f>
        <v>m2</v>
      </c>
      <c r="F67" s="3">
        <v>1</v>
      </c>
      <c r="G67" s="670"/>
      <c r="H67" s="8"/>
      <c r="I67" s="92">
        <f t="shared" si="26"/>
        <v>0</v>
      </c>
      <c r="J67" s="93" t="str">
        <f t="shared" si="27"/>
        <v/>
      </c>
      <c r="K67" s="406">
        <f>$D67*$F67*$H$47*VLOOKUP($C67,'Master sheet'!$A:$AL,13,FALSE)</f>
        <v>0</v>
      </c>
      <c r="L67" s="94">
        <f>$D67*$F67*$H$47*VLOOKUP($C67,'Master sheet'!$A:$AL,27,FALSE)</f>
        <v>0</v>
      </c>
      <c r="M67" s="1560"/>
      <c r="N67" s="1560"/>
      <c r="O67" s="25" t="str">
        <f ca="1">_xlfn.IFNA(VLOOKUP($C67,'Master sheet'!$A:$AR,44,FALSE),"")&amp;""</f>
        <v/>
      </c>
      <c r="P67" s="672"/>
      <c r="Q67" s="30" t="s">
        <v>12</v>
      </c>
      <c r="R67" s="28" t="s">
        <v>27</v>
      </c>
      <c r="S67" s="664"/>
      <c r="T67" s="664"/>
      <c r="U67" s="664"/>
      <c r="V67" s="664"/>
      <c r="W67" s="664"/>
      <c r="X67" s="664"/>
      <c r="Y67" s="664"/>
      <c r="Z67" s="664"/>
      <c r="AA67" s="664"/>
      <c r="AB67" s="664"/>
      <c r="AC67" s="665"/>
      <c r="AD67" s="665"/>
    </row>
    <row r="68" spans="1:30" ht="23.25" customHeight="1" x14ac:dyDescent="0.25">
      <c r="A68" s="1525"/>
      <c r="B68" s="1525"/>
      <c r="C68" s="669" t="str" cm="1">
        <f t="array" ref="C68">INDEX('Master sheet'!$A$1:$A$670,MATCH(1,("31-35" = 'Master sheet'!$AO$1:$AO$670)*(4 = 'Master sheet'!$AP$1:$AP$670)*('Master sheet'!$AT$1:$AT$670),0))</f>
        <v xml:space="preserve">Concrete - 35 MPa, 30% FA, GU / SRMCA / Can. Sask Avg. / </v>
      </c>
      <c r="D68" s="15">
        <f>'USER INPUT SHEET'!$D$31</f>
        <v>0</v>
      </c>
      <c r="E68" s="16" t="str">
        <f>'USER INPUT SHEET'!$F$31</f>
        <v>m2</v>
      </c>
      <c r="F68" s="3">
        <v>1</v>
      </c>
      <c r="G68" s="670"/>
      <c r="H68" s="8"/>
      <c r="I68" s="92">
        <f t="shared" si="26"/>
        <v>0</v>
      </c>
      <c r="J68" s="93" t="str">
        <f t="shared" si="27"/>
        <v/>
      </c>
      <c r="K68" s="406">
        <f>$D68*$F68*$H$47*VLOOKUP($C68,'Master sheet'!$A:$AL,13,FALSE)</f>
        <v>0</v>
      </c>
      <c r="L68" s="94">
        <f>$D68*$F68*$H$47*VLOOKUP($C68,'Master sheet'!$A:$AL,27,FALSE)</f>
        <v>0</v>
      </c>
      <c r="M68" s="1560"/>
      <c r="N68" s="1560"/>
      <c r="O68" s="25" t="str">
        <f ca="1">_xlfn.IFNA(VLOOKUP($C68,'Master sheet'!$A:$AR,44,FALSE),"")&amp;""</f>
        <v/>
      </c>
      <c r="P68" s="672"/>
      <c r="Q68" s="30" t="s">
        <v>12</v>
      </c>
      <c r="R68" s="28" t="s">
        <v>27</v>
      </c>
      <c r="S68" s="664"/>
      <c r="T68" s="664"/>
      <c r="U68" s="664"/>
      <c r="V68" s="664"/>
      <c r="W68" s="664"/>
      <c r="X68" s="664"/>
      <c r="Y68" s="664"/>
      <c r="Z68" s="664"/>
      <c r="AA68" s="664"/>
      <c r="AB68" s="664"/>
      <c r="AC68" s="665"/>
      <c r="AD68" s="665"/>
    </row>
    <row r="69" spans="1:30" ht="23.25" customHeight="1" x14ac:dyDescent="0.25">
      <c r="A69" s="1525"/>
      <c r="B69" s="1525"/>
      <c r="C69" s="669" t="str" cm="1">
        <f t="array" ref="C69">INDEX('Master sheet'!$A$1:$A$670,MATCH(1,("31-35" = 'Master sheet'!$AO$1:$AO$670)*(5 = 'Master sheet'!$AP$1:$AP$670)*('Master sheet'!$AT$1:$AT$670),0))</f>
        <v xml:space="preserve">Concrete - 35 MPa, 40% FA, GU / SRMCA / Can. Sask Avg. / </v>
      </c>
      <c r="D69" s="15">
        <f>'USER INPUT SHEET'!$D$31</f>
        <v>0</v>
      </c>
      <c r="E69" s="16" t="str">
        <f>'USER INPUT SHEET'!$F$31</f>
        <v>m2</v>
      </c>
      <c r="F69" s="3">
        <v>1</v>
      </c>
      <c r="G69" s="670"/>
      <c r="H69" s="8"/>
      <c r="I69" s="92">
        <f t="shared" si="26"/>
        <v>0</v>
      </c>
      <c r="J69" s="93" t="str">
        <f t="shared" si="27"/>
        <v/>
      </c>
      <c r="K69" s="406">
        <f>$D69*$F69*$H$47*VLOOKUP($C69,'Master sheet'!$A:$AL,13,FALSE)</f>
        <v>0</v>
      </c>
      <c r="L69" s="94">
        <f>$D69*$F69*$H$47*VLOOKUP($C69,'Master sheet'!$A:$AL,27,FALSE)</f>
        <v>0</v>
      </c>
      <c r="M69" s="1560"/>
      <c r="N69" s="1560"/>
      <c r="O69" s="25" t="str">
        <f ca="1">_xlfn.IFNA(VLOOKUP($C69,'Master sheet'!$A:$AR,44,FALSE),"")&amp;""</f>
        <v/>
      </c>
      <c r="P69" s="672"/>
      <c r="Q69" s="30" t="s">
        <v>12</v>
      </c>
      <c r="R69" s="28" t="s">
        <v>27</v>
      </c>
      <c r="S69" s="664"/>
      <c r="T69" s="664"/>
      <c r="U69" s="664"/>
      <c r="V69" s="664"/>
      <c r="W69" s="664"/>
      <c r="X69" s="664"/>
      <c r="Y69" s="664"/>
      <c r="Z69" s="664"/>
      <c r="AA69" s="664"/>
      <c r="AB69" s="664"/>
      <c r="AC69" s="665"/>
      <c r="AD69" s="665"/>
    </row>
    <row r="70" spans="1:30" ht="23.25" hidden="1" customHeight="1" x14ac:dyDescent="0.25">
      <c r="A70" s="1525"/>
      <c r="B70" s="1525"/>
      <c r="C70" s="669" t="e" cm="1">
        <f t="array" ref="C70">INDEX('Master sheet'!$A$1:$A$670,MATCH(1,("31-35" = 'Master sheet'!$AO$1:$AO$670)*(6 = 'Master sheet'!$AP$1:$AP$670)*('Master sheet'!$AT$1:$AT$670),0))</f>
        <v>#N/A</v>
      </c>
      <c r="D70" s="15">
        <f>'USER INPUT SHEET'!$D$31</f>
        <v>0</v>
      </c>
      <c r="E70" s="16" t="str">
        <f>'USER INPUT SHEET'!$F$31</f>
        <v>m2</v>
      </c>
      <c r="F70" s="3">
        <v>1</v>
      </c>
      <c r="G70" s="670"/>
      <c r="H70" s="8"/>
      <c r="I70" s="92" t="e">
        <f t="shared" ref="I70" si="28">K70-L70</f>
        <v>#N/A</v>
      </c>
      <c r="J70" s="93" t="str">
        <f t="shared" ref="J70" si="29">IF(H70=1,I70,"")</f>
        <v/>
      </c>
      <c r="K70" s="406" t="e">
        <f>$D70*$F70*$H$47*VLOOKUP($C70,'Master sheet'!$A:$AL,13,FALSE)</f>
        <v>#N/A</v>
      </c>
      <c r="L70" s="94" t="e">
        <f>$D70*$F70*$H$47*VLOOKUP($C70,'Master sheet'!$A:$AL,27,FALSE)</f>
        <v>#N/A</v>
      </c>
      <c r="M70" s="1560"/>
      <c r="N70" s="1560"/>
      <c r="O70" s="25" t="str">
        <f>_xlfn.IFNA(VLOOKUP($C70,'Master sheet'!$A:$AR,44,FALSE),"")&amp;""</f>
        <v/>
      </c>
      <c r="P70" s="672"/>
      <c r="Q70" s="30" t="s">
        <v>12</v>
      </c>
      <c r="R70" s="28" t="s">
        <v>27</v>
      </c>
      <c r="S70" s="664"/>
      <c r="T70" s="664"/>
      <c r="U70" s="664"/>
      <c r="V70" s="664"/>
      <c r="W70" s="664"/>
      <c r="X70" s="664"/>
      <c r="Y70" s="664"/>
      <c r="Z70" s="664"/>
      <c r="AA70" s="664"/>
      <c r="AB70" s="664"/>
      <c r="AC70" s="665"/>
      <c r="AD70" s="665"/>
    </row>
    <row r="71" spans="1:30" s="624" customFormat="1" ht="23.25" hidden="1" customHeight="1" x14ac:dyDescent="0.25">
      <c r="A71" s="1525"/>
      <c r="B71" s="1525"/>
      <c r="C71" s="673" t="e" cm="1">
        <f t="array" ref="C71">INDEX('Master sheet'!$A$1:$A$670,MATCH(1,("31-35" = 'Master sheet'!$AO$1:$AO$670)*(7 = 'Master sheet'!$AP$1:$AP$670)*('Master sheet'!$AT$1:$AT$670),0))</f>
        <v>#N/A</v>
      </c>
      <c r="D71" s="17">
        <f>'USER INPUT SHEET'!$D$31</f>
        <v>0</v>
      </c>
      <c r="E71" s="16" t="str">
        <f>'USER INPUT SHEET'!$F$31</f>
        <v>m2</v>
      </c>
      <c r="F71" s="4">
        <v>1</v>
      </c>
      <c r="G71" s="674"/>
      <c r="H71" s="9"/>
      <c r="I71" s="95" t="e">
        <f t="shared" si="26"/>
        <v>#N/A</v>
      </c>
      <c r="J71" s="96" t="str">
        <f t="shared" si="27"/>
        <v/>
      </c>
      <c r="K71" s="407" t="e">
        <f>$D71*$F71*$H$47*VLOOKUP($C71,'Master sheet'!$A:$AL,13,FALSE)</f>
        <v>#N/A</v>
      </c>
      <c r="L71" s="97" t="e">
        <f>$D71*$F71*$H$47*VLOOKUP($C71,'Master sheet'!$A:$AL,27,FALSE)</f>
        <v>#N/A</v>
      </c>
      <c r="M71" s="1560"/>
      <c r="N71" s="1560"/>
      <c r="O71" s="25" t="str">
        <f>_xlfn.IFNA(VLOOKUP($C71,'Master sheet'!$A:$AR,44,FALSE),"")&amp;""</f>
        <v/>
      </c>
      <c r="P71" s="637"/>
      <c r="Q71" s="29" t="s">
        <v>12</v>
      </c>
      <c r="R71" s="28" t="s">
        <v>27</v>
      </c>
      <c r="S71" s="638"/>
      <c r="T71" s="638"/>
      <c r="U71" s="638"/>
      <c r="V71" s="638"/>
      <c r="W71" s="638"/>
      <c r="X71" s="638"/>
      <c r="Y71" s="638"/>
      <c r="Z71" s="638"/>
      <c r="AA71" s="638"/>
      <c r="AB71" s="638"/>
      <c r="AC71" s="623"/>
      <c r="AD71" s="623"/>
    </row>
    <row r="72" spans="1:30" s="624" customFormat="1" ht="55.2" customHeight="1" x14ac:dyDescent="0.25">
      <c r="A72" s="1522" t="s">
        <v>1423</v>
      </c>
      <c r="B72" s="1523"/>
      <c r="C72" s="1523"/>
      <c r="D72" s="649"/>
      <c r="E72" s="650"/>
      <c r="F72" s="321"/>
      <c r="G72" s="650"/>
      <c r="H72" s="650"/>
      <c r="I72" s="651"/>
      <c r="J72" s="103"/>
      <c r="K72" s="652"/>
      <c r="L72" s="653"/>
      <c r="M72" s="654"/>
      <c r="N72" s="654"/>
      <c r="O72" s="25" t="str">
        <f>_xlfn.IFNA(VLOOKUP($C72,'Master sheet'!$A:$AR,44,FALSE),"")&amp;""</f>
        <v/>
      </c>
      <c r="P72" s="637"/>
      <c r="Q72" s="29"/>
      <c r="R72" s="28"/>
      <c r="S72" s="638"/>
      <c r="T72" s="638"/>
      <c r="U72" s="638"/>
      <c r="V72" s="638"/>
      <c r="W72" s="638"/>
      <c r="X72" s="638"/>
      <c r="Y72" s="638"/>
      <c r="Z72" s="638"/>
      <c r="AA72" s="638"/>
      <c r="AB72" s="638"/>
      <c r="AC72" s="623"/>
      <c r="AD72" s="623"/>
    </row>
    <row r="73" spans="1:30" ht="23.85" customHeight="1" x14ac:dyDescent="0.25">
      <c r="A73" s="639"/>
      <c r="B73" s="1524" t="s">
        <v>1421</v>
      </c>
      <c r="C73" s="1524"/>
      <c r="D73" s="656"/>
      <c r="E73" s="657"/>
      <c r="F73" s="322"/>
      <c r="G73" s="657"/>
      <c r="H73" s="657"/>
      <c r="I73" s="658"/>
      <c r="J73" s="659"/>
      <c r="K73" s="660"/>
      <c r="L73" s="661"/>
      <c r="M73" s="662"/>
      <c r="N73" s="662"/>
      <c r="O73" s="25" t="str">
        <f>_xlfn.IFNA(VLOOKUP($C73,'Master sheet'!$A:$AR,44,FALSE),"")&amp;""</f>
        <v/>
      </c>
      <c r="P73" s="663"/>
      <c r="Q73" s="30"/>
      <c r="R73" s="21"/>
      <c r="S73" s="664"/>
      <c r="T73" s="664"/>
      <c r="U73" s="664"/>
      <c r="V73" s="664"/>
      <c r="W73" s="664"/>
      <c r="X73" s="664"/>
      <c r="Y73" s="664"/>
      <c r="Z73" s="664"/>
      <c r="AA73" s="664"/>
      <c r="AB73" s="664"/>
      <c r="AC73" s="665"/>
      <c r="AD73" s="665"/>
    </row>
    <row r="74" spans="1:30" ht="23.25" customHeight="1" x14ac:dyDescent="0.25">
      <c r="A74" s="666"/>
      <c r="B74" s="666"/>
      <c r="C74" s="667" t="str">
        <f>INDEX('Master sheet'!$A$1:$A$670,MATCH(52,'Master sheet'!$AN$1:$AN$670,0))</f>
        <v>Earthen Floor / Site made /  / 3" cob, 1" clay plaster</v>
      </c>
      <c r="D74" s="230">
        <f>'USER INPUT SHEET'!$D$31</f>
        <v>0</v>
      </c>
      <c r="E74" s="14" t="str">
        <f>'USER INPUT SHEET'!$F$31</f>
        <v>m2</v>
      </c>
      <c r="F74" s="5">
        <v>1</v>
      </c>
      <c r="G74" s="668"/>
      <c r="H74" s="10"/>
      <c r="I74" s="232">
        <f>K74-L74</f>
        <v>0</v>
      </c>
      <c r="J74" s="233" t="str">
        <f>IF(H74=1,I74,"")</f>
        <v/>
      </c>
      <c r="K74" s="409">
        <f>$D74*$F74*VLOOKUP($C74,'Master sheet'!$A:$AL,13,FALSE)</f>
        <v>0</v>
      </c>
      <c r="L74" s="234">
        <f>$D74*$F74*VLOOKUP($C74,'Master sheet'!$A:$AL,27,FALSE)</f>
        <v>0</v>
      </c>
      <c r="M74" s="1560"/>
      <c r="N74" s="1560"/>
      <c r="O74" s="25" t="str">
        <f>_xlfn.IFNA(VLOOKUP($C74,'Master sheet'!$A:$AR,44,FALSE),"")&amp;""</f>
        <v>Adapted from peer-reviewed LCA, 2019</v>
      </c>
      <c r="P74" s="637"/>
      <c r="Q74" s="30" t="s">
        <v>12</v>
      </c>
      <c r="R74" s="28" t="s">
        <v>27</v>
      </c>
      <c r="S74" s="664"/>
      <c r="T74" s="664"/>
      <c r="U74" s="664"/>
      <c r="V74" s="664"/>
      <c r="W74" s="664"/>
      <c r="X74" s="664"/>
      <c r="Y74" s="664"/>
      <c r="Z74" s="664"/>
      <c r="AA74" s="664"/>
      <c r="AB74" s="664"/>
      <c r="AC74" s="665"/>
      <c r="AD74" s="665"/>
    </row>
    <row r="75" spans="1:30" s="624" customFormat="1" ht="55.2" customHeight="1" x14ac:dyDescent="0.25">
      <c r="A75" s="1522" t="s">
        <v>28</v>
      </c>
      <c r="B75" s="1523"/>
      <c r="C75" s="1523"/>
      <c r="D75" s="629" t="str">
        <f>IF(LOWER(Setting!rng_language)="english","R-VALUE:","VALEUR R :")</f>
        <v>R-VALUE:</v>
      </c>
      <c r="E75" s="1"/>
      <c r="F75" s="321"/>
      <c r="G75" s="650"/>
      <c r="H75" s="650"/>
      <c r="I75" s="651"/>
      <c r="J75" s="103"/>
      <c r="K75" s="652"/>
      <c r="L75" s="653"/>
      <c r="M75" s="654"/>
      <c r="N75" s="654"/>
      <c r="O75" s="25" t="str">
        <f>_xlfn.IFNA(VLOOKUP($C75,'Master sheet'!$A:$AR,44,FALSE),"")&amp;""</f>
        <v/>
      </c>
      <c r="P75" s="685"/>
      <c r="Q75" s="29"/>
      <c r="R75" s="28"/>
      <c r="S75" s="638"/>
      <c r="T75" s="638"/>
      <c r="U75" s="638"/>
      <c r="V75" s="638"/>
      <c r="W75" s="638"/>
      <c r="X75" s="638"/>
      <c r="Y75" s="638"/>
      <c r="Z75" s="638"/>
      <c r="AA75" s="638"/>
      <c r="AB75" s="638"/>
      <c r="AC75" s="623"/>
      <c r="AD75" s="623"/>
    </row>
    <row r="76" spans="1:30" ht="23.85" customHeight="1" x14ac:dyDescent="0.25">
      <c r="A76" s="686"/>
      <c r="B76" s="1541" t="s">
        <v>1024</v>
      </c>
      <c r="C76" s="1541"/>
      <c r="D76" s="687" t="str">
        <f>IF(LOWER(Setting!rng_language)="english","R-VALUE:","VALEUR R :")</f>
        <v>R-VALUE:</v>
      </c>
      <c r="E76" s="1"/>
      <c r="F76" s="326"/>
      <c r="G76" s="688"/>
      <c r="H76" s="688"/>
      <c r="I76" s="689"/>
      <c r="J76" s="659"/>
      <c r="K76" s="660"/>
      <c r="L76" s="661"/>
      <c r="M76" s="662"/>
      <c r="N76" s="662"/>
      <c r="O76" s="25" t="str">
        <f>_xlfn.IFNA(VLOOKUP($C76,'Master sheet'!$A:$AR,44,FALSE),"")&amp;""</f>
        <v/>
      </c>
      <c r="P76" s="637"/>
      <c r="Q76" s="30"/>
      <c r="R76" s="21"/>
      <c r="S76" s="664"/>
      <c r="T76" s="664"/>
      <c r="U76" s="664"/>
      <c r="V76" s="664"/>
      <c r="W76" s="664"/>
      <c r="X76" s="664"/>
      <c r="Y76" s="664"/>
      <c r="Z76" s="664"/>
      <c r="AA76" s="664"/>
      <c r="AB76" s="664"/>
      <c r="AC76" s="665"/>
      <c r="AD76" s="665"/>
    </row>
    <row r="77" spans="1:30" ht="22.8" x14ac:dyDescent="0.25">
      <c r="A77" s="1542"/>
      <c r="B77" s="1542"/>
      <c r="C77" s="691" t="s">
        <v>1051</v>
      </c>
      <c r="D77" s="19">
        <f>'USER INPUT SHEET'!$D$31</f>
        <v>0</v>
      </c>
      <c r="E77" s="20" t="str">
        <f>'USER INPUT SHEET'!$F$31</f>
        <v>m2</v>
      </c>
      <c r="F77" s="5">
        <v>1</v>
      </c>
      <c r="G77" s="692"/>
      <c r="H77" s="10"/>
      <c r="I77" s="98">
        <f>K77-L77</f>
        <v>0</v>
      </c>
      <c r="J77" s="91" t="str">
        <f t="shared" ref="J77:J87" si="30">IF(H77=1,I77,"")</f>
        <v/>
      </c>
      <c r="K77" s="410">
        <f>$F77*AVERAGE(K78:K85)</f>
        <v>0</v>
      </c>
      <c r="L77" s="99">
        <f>$F77*AVERAGE(L78:L85)</f>
        <v>0</v>
      </c>
      <c r="M77" s="1560"/>
      <c r="N77" s="1560"/>
      <c r="O77" s="25" t="str">
        <f>_xlfn.IFNA(VLOOKUP($C77,'Master sheet'!$A:$AR,44,FALSE),"")&amp;""</f>
        <v/>
      </c>
      <c r="P77" s="637"/>
      <c r="Q77" s="30" t="s">
        <v>12</v>
      </c>
      <c r="R77" s="21" t="s">
        <v>28</v>
      </c>
      <c r="S77" s="664"/>
      <c r="T77" s="664"/>
      <c r="U77" s="664"/>
      <c r="V77" s="664"/>
      <c r="W77" s="664"/>
      <c r="X77" s="664"/>
      <c r="Y77" s="664"/>
      <c r="Z77" s="664"/>
      <c r="AA77" s="664"/>
      <c r="AB77" s="664"/>
      <c r="AC77" s="665"/>
      <c r="AD77" s="665"/>
    </row>
    <row r="78" spans="1:30" ht="31.5" customHeight="1" x14ac:dyDescent="0.25">
      <c r="A78" s="1542"/>
      <c r="B78" s="1542"/>
      <c r="C78" s="673" t="str">
        <f>INDEX('Master sheet'!$A$1:$A$670,MATCH("A28",'Master sheet'!$AN$1:$AN$670,0))</f>
        <v>EPS foam board / EPS Industry Alliance /  / R 3.6/inch, Type I, 10 psi (70 kPa)</v>
      </c>
      <c r="D78" s="17">
        <f>'USER INPUT SHEET'!$D$31</f>
        <v>0</v>
      </c>
      <c r="E78" s="18" t="str">
        <f>'USER INPUT SHEET'!$F$31</f>
        <v>m2</v>
      </c>
      <c r="F78" s="4">
        <v>1</v>
      </c>
      <c r="G78" s="674"/>
      <c r="H78" s="9"/>
      <c r="I78" s="95">
        <f t="shared" ref="I78:I84" si="31">K78-L78</f>
        <v>0</v>
      </c>
      <c r="J78" s="96" t="str">
        <f t="shared" ref="J78:J84" si="32">IF(H78=1,I78,"")</f>
        <v/>
      </c>
      <c r="K78" s="407">
        <f>$D78*($E$76/5.678)*$F78*VLOOKUP($C78,'Master sheet'!$A:$AL,13,FALSE)</f>
        <v>0</v>
      </c>
      <c r="L78" s="97">
        <f>$D78*($E$76/5.678)*$F78*VLOOKUP($C78,'Master sheet'!$A:$AL,27,FALSE)</f>
        <v>0</v>
      </c>
      <c r="M78" s="1551"/>
      <c r="N78" s="1551"/>
      <c r="O78" s="25" t="str">
        <f>_xlfn.IFNA(VLOOKUP($C78,'Master sheet'!$A:$AR,44,FALSE),"")&amp;""</f>
        <v/>
      </c>
      <c r="P78" s="685"/>
      <c r="Q78" s="30" t="s">
        <v>12</v>
      </c>
      <c r="R78" s="21" t="s">
        <v>28</v>
      </c>
      <c r="S78" s="664"/>
      <c r="T78" s="664"/>
      <c r="U78" s="664"/>
      <c r="V78" s="664"/>
      <c r="W78" s="664"/>
      <c r="X78" s="664"/>
      <c r="Y78" s="664"/>
      <c r="Z78" s="664"/>
      <c r="AA78" s="664"/>
      <c r="AB78" s="664"/>
      <c r="AC78" s="665"/>
      <c r="AD78" s="665"/>
    </row>
    <row r="79" spans="1:30" ht="31.5" customHeight="1" x14ac:dyDescent="0.25">
      <c r="A79" s="1542"/>
      <c r="B79" s="1542"/>
      <c r="C79" s="673" t="str">
        <f>INDEX('Master sheet'!$A$1:$A$670,MATCH("A29",'Master sheet'!$AN$1:$AN$670,0))</f>
        <v>EPS foam board / EPS Industry Alliance /  / R 4.0/inch, Type II, 15 psi (100 kPa)</v>
      </c>
      <c r="D79" s="17">
        <f>'USER INPUT SHEET'!$D$31</f>
        <v>0</v>
      </c>
      <c r="E79" s="18" t="str">
        <f>'USER INPUT SHEET'!$F$31</f>
        <v>m2</v>
      </c>
      <c r="F79" s="4">
        <v>1</v>
      </c>
      <c r="G79" s="674"/>
      <c r="H79" s="9"/>
      <c r="I79" s="95">
        <f t="shared" si="31"/>
        <v>0</v>
      </c>
      <c r="J79" s="96" t="str">
        <f t="shared" si="32"/>
        <v/>
      </c>
      <c r="K79" s="407">
        <f>$D79*($E$76/5.678)*$F79*VLOOKUP($C79,'Master sheet'!$A:$AL,13,FALSE)</f>
        <v>0</v>
      </c>
      <c r="L79" s="97">
        <f>$D79*($E$76/5.678)*$F79*VLOOKUP($C79,'Master sheet'!$A:$AL,27,FALSE)</f>
        <v>0</v>
      </c>
      <c r="M79" s="1560"/>
      <c r="N79" s="1560"/>
      <c r="O79" s="25" t="str">
        <f>_xlfn.IFNA(VLOOKUP($C79,'Master sheet'!$A:$AR,44,FALSE),"")&amp;""</f>
        <v/>
      </c>
      <c r="P79" s="685"/>
      <c r="Q79" s="30" t="s">
        <v>12</v>
      </c>
      <c r="R79" s="21" t="s">
        <v>28</v>
      </c>
      <c r="S79" s="664"/>
      <c r="T79" s="664"/>
      <c r="U79" s="664"/>
      <c r="V79" s="664"/>
      <c r="W79" s="664"/>
      <c r="X79" s="664"/>
      <c r="Y79" s="664"/>
      <c r="Z79" s="664"/>
      <c r="AA79" s="664"/>
      <c r="AB79" s="664"/>
      <c r="AC79" s="665"/>
      <c r="AD79" s="665"/>
    </row>
    <row r="80" spans="1:30" ht="31.5" customHeight="1" x14ac:dyDescent="0.25">
      <c r="A80" s="1542"/>
      <c r="B80" s="1542"/>
      <c r="C80" s="673" t="str">
        <f>INDEX('Master sheet'!$A$1:$A$670,MATCH("A30",'Master sheet'!$AN$1:$AN$670,0))</f>
        <v>EPS foam board / EPS Industry Alliance /  / R 4.2/inch, Type IX, 25 psi (170 kPa)</v>
      </c>
      <c r="D80" s="17">
        <f>'USER INPUT SHEET'!$D$31</f>
        <v>0</v>
      </c>
      <c r="E80" s="18" t="str">
        <f>'USER INPUT SHEET'!$F$31</f>
        <v>m2</v>
      </c>
      <c r="F80" s="4">
        <v>1</v>
      </c>
      <c r="G80" s="674"/>
      <c r="H80" s="9"/>
      <c r="I80" s="95">
        <f t="shared" si="31"/>
        <v>0</v>
      </c>
      <c r="J80" s="96" t="str">
        <f t="shared" si="32"/>
        <v/>
      </c>
      <c r="K80" s="407">
        <f>$D80*($E$76/5.678)*$F80*VLOOKUP($C80,'Master sheet'!$A:$AL,13,FALSE)</f>
        <v>0</v>
      </c>
      <c r="L80" s="97">
        <f>$D80*($E$76/5.678)*$F80*VLOOKUP($C80,'Master sheet'!$A:$AL,27,FALSE)</f>
        <v>0</v>
      </c>
      <c r="M80" s="1560"/>
      <c r="N80" s="1560"/>
      <c r="O80" s="25" t="str">
        <f>_xlfn.IFNA(VLOOKUP($C80,'Master sheet'!$A:$AR,44,FALSE),"")&amp;""</f>
        <v/>
      </c>
      <c r="P80" s="685"/>
      <c r="Q80" s="30" t="s">
        <v>12</v>
      </c>
      <c r="R80" s="21" t="s">
        <v>28</v>
      </c>
      <c r="S80" s="664"/>
      <c r="T80" s="664"/>
      <c r="U80" s="664"/>
      <c r="V80" s="664"/>
      <c r="W80" s="664"/>
      <c r="X80" s="664"/>
      <c r="Y80" s="664"/>
      <c r="Z80" s="664"/>
      <c r="AA80" s="664"/>
      <c r="AB80" s="664"/>
      <c r="AC80" s="665"/>
      <c r="AD80" s="665"/>
    </row>
    <row r="81" spans="1:30" ht="31.2" customHeight="1" x14ac:dyDescent="0.25">
      <c r="A81" s="1542"/>
      <c r="B81" s="1542"/>
      <c r="C81" s="673" t="str">
        <f>INDEX('Master sheet'!$A$1:$A$670,MATCH("A31",'Master sheet'!$AN$1:$AN$670,0))</f>
        <v>EPS foam board / EPS Industry Alliance /  / R 4.3/inch, Type XV, 60 psi (400 kPa)</v>
      </c>
      <c r="D81" s="17">
        <f>'USER INPUT SHEET'!$D$31</f>
        <v>0</v>
      </c>
      <c r="E81" s="18" t="str">
        <f>'USER INPUT SHEET'!$F$31</f>
        <v>m2</v>
      </c>
      <c r="F81" s="4">
        <v>1</v>
      </c>
      <c r="G81" s="674"/>
      <c r="H81" s="9"/>
      <c r="I81" s="95">
        <f t="shared" si="31"/>
        <v>0</v>
      </c>
      <c r="J81" s="96" t="str">
        <f t="shared" si="32"/>
        <v/>
      </c>
      <c r="K81" s="407">
        <f>$D81*($E$76/5.678)*$F81*VLOOKUP($C81,'Master sheet'!$A:$AL,13,FALSE)</f>
        <v>0</v>
      </c>
      <c r="L81" s="97">
        <f>$D81*($E$76/5.678)*$F81*VLOOKUP($C81,'Master sheet'!$A:$AL,27,FALSE)</f>
        <v>0</v>
      </c>
      <c r="M81" s="1560"/>
      <c r="N81" s="1560"/>
      <c r="O81" s="25" t="str">
        <f>_xlfn.IFNA(VLOOKUP($C81,'Master sheet'!$A:$AR,44,FALSE),"")&amp;""</f>
        <v/>
      </c>
      <c r="P81" s="685"/>
      <c r="Q81" s="30" t="s">
        <v>12</v>
      </c>
      <c r="R81" s="21" t="s">
        <v>28</v>
      </c>
      <c r="S81" s="664"/>
      <c r="T81" s="664"/>
      <c r="U81" s="664"/>
      <c r="V81" s="664"/>
      <c r="W81" s="664"/>
      <c r="X81" s="664"/>
      <c r="Y81" s="664"/>
      <c r="Z81" s="664"/>
      <c r="AA81" s="664"/>
      <c r="AB81" s="664"/>
      <c r="AC81" s="665"/>
      <c r="AD81" s="665"/>
    </row>
    <row r="82" spans="1:30" ht="31.5" customHeight="1" x14ac:dyDescent="0.25">
      <c r="A82" s="1542"/>
      <c r="B82" s="1542"/>
      <c r="C82" s="673" t="str">
        <f>INDEX('Master sheet'!$A$1:$A$670,MATCH("A33",'Master sheet'!$AN$1:$AN$670,0))</f>
        <v>EPS foam board with graphite / BASF  / Neopor F 5200 &amp; F 5300 Plus BMB / R 4.7/inch, Type II, 15 psi (Type 2, 110 kPa)</v>
      </c>
      <c r="D82" s="17">
        <f>'USER INPUT SHEET'!$D$31</f>
        <v>0</v>
      </c>
      <c r="E82" s="18" t="str">
        <f>'USER INPUT SHEET'!$F$31</f>
        <v>m2</v>
      </c>
      <c r="F82" s="4">
        <v>1</v>
      </c>
      <c r="G82" s="674"/>
      <c r="H82" s="9"/>
      <c r="I82" s="95">
        <f t="shared" si="31"/>
        <v>0</v>
      </c>
      <c r="J82" s="96" t="str">
        <f t="shared" si="32"/>
        <v/>
      </c>
      <c r="K82" s="407">
        <f>$D82*($E$76/5.678)*$F82*VLOOKUP($C82,'Master sheet'!$A:$AL,13,FALSE)</f>
        <v>0</v>
      </c>
      <c r="L82" s="97">
        <f>$D82*($E$76/5.678)*$F82*VLOOKUP($C82,'Master sheet'!$A:$AL,27,FALSE)</f>
        <v>0</v>
      </c>
      <c r="M82" s="1560"/>
      <c r="N82" s="1560"/>
      <c r="O82" s="25" t="str">
        <f>_xlfn.IFNA(VLOOKUP($C82,'Master sheet'!$A:$AR,44,FALSE),"")&amp;""</f>
        <v/>
      </c>
      <c r="P82" s="685"/>
      <c r="Q82" s="30" t="s">
        <v>12</v>
      </c>
      <c r="R82" s="21" t="s">
        <v>28</v>
      </c>
      <c r="S82" s="664"/>
      <c r="T82" s="664"/>
      <c r="U82" s="664"/>
      <c r="V82" s="664"/>
      <c r="W82" s="664"/>
      <c r="X82" s="664"/>
      <c r="Y82" s="664"/>
      <c r="Z82" s="664"/>
      <c r="AA82" s="664"/>
      <c r="AB82" s="664"/>
      <c r="AC82" s="665"/>
      <c r="AD82" s="665"/>
    </row>
    <row r="83" spans="1:30" ht="31.5" customHeight="1" x14ac:dyDescent="0.25">
      <c r="A83" s="1542"/>
      <c r="B83" s="1542"/>
      <c r="C83" s="673" t="str">
        <f>INDEX('Master sheet'!$A$1:$A$670,MATCH("A34",'Master sheet'!$AN$1:$AN$670,0))</f>
        <v>EPS foam board with graphite / BASF  / Neopor F 5200 &amp; F 5300 Plus BMB / R 4.7/inch, Type IX, 25 psi (Type 9, 175 kPa)</v>
      </c>
      <c r="D83" s="17">
        <f>'USER INPUT SHEET'!$D$31</f>
        <v>0</v>
      </c>
      <c r="E83" s="18" t="str">
        <f>'USER INPUT SHEET'!$F$31</f>
        <v>m2</v>
      </c>
      <c r="F83" s="4">
        <v>1</v>
      </c>
      <c r="G83" s="674"/>
      <c r="H83" s="9"/>
      <c r="I83" s="95">
        <f t="shared" si="31"/>
        <v>0</v>
      </c>
      <c r="J83" s="96" t="str">
        <f t="shared" si="32"/>
        <v/>
      </c>
      <c r="K83" s="407">
        <f>$D83*($E$76/5.678)*$F83*VLOOKUP($C83,'Master sheet'!$A:$AL,13,FALSE)</f>
        <v>0</v>
      </c>
      <c r="L83" s="97">
        <f>$D83*($E$76/5.678)*$F83*VLOOKUP($C83,'Master sheet'!$A:$AL,27,FALSE)</f>
        <v>0</v>
      </c>
      <c r="M83" s="1560"/>
      <c r="N83" s="1560"/>
      <c r="O83" s="25" t="str">
        <f>_xlfn.IFNA(VLOOKUP($C83,'Master sheet'!$A:$AR,44,FALSE),"")&amp;""</f>
        <v/>
      </c>
      <c r="P83" s="685"/>
      <c r="Q83" s="30" t="s">
        <v>12</v>
      </c>
      <c r="R83" s="21" t="s">
        <v>28</v>
      </c>
      <c r="S83" s="664"/>
      <c r="T83" s="664"/>
      <c r="U83" s="664"/>
      <c r="V83" s="664"/>
      <c r="W83" s="664"/>
      <c r="X83" s="664"/>
      <c r="Y83" s="664"/>
      <c r="Z83" s="664"/>
      <c r="AA83" s="664"/>
      <c r="AB83" s="664"/>
      <c r="AC83" s="665"/>
      <c r="AD83" s="665"/>
    </row>
    <row r="84" spans="1:30" ht="31.5" customHeight="1" x14ac:dyDescent="0.25">
      <c r="A84" s="1542"/>
      <c r="B84" s="1542"/>
      <c r="C84" s="673" t="str">
        <f>INDEX('Master sheet'!$A$1:$A$670,MATCH("A32",'Master sheet'!$AN$1:$AN$670,0))</f>
        <v>EPS foam board with graphite / BASF  / Neopor F 5200 Plus / R 4.7-inch, Type IX, 25 psi</v>
      </c>
      <c r="D84" s="17">
        <f>'USER INPUT SHEET'!$D$31</f>
        <v>0</v>
      </c>
      <c r="E84" s="18" t="str">
        <f>'USER INPUT SHEET'!$F$31</f>
        <v>m2</v>
      </c>
      <c r="F84" s="4">
        <v>1</v>
      </c>
      <c r="G84" s="674"/>
      <c r="H84" s="9"/>
      <c r="I84" s="95">
        <f t="shared" si="31"/>
        <v>0</v>
      </c>
      <c r="J84" s="96" t="str">
        <f t="shared" si="32"/>
        <v/>
      </c>
      <c r="K84" s="407">
        <f>$D84*($E$76/5.678)*$F84*VLOOKUP($C84,'Master sheet'!$A:$AL,13,FALSE)</f>
        <v>0</v>
      </c>
      <c r="L84" s="97">
        <f>$D84*($E$76/5.678)*$F84*VLOOKUP($C84,'Master sheet'!$A:$AL,27,FALSE)</f>
        <v>0</v>
      </c>
      <c r="M84" s="1560"/>
      <c r="N84" s="1560"/>
      <c r="O84" s="25" t="str">
        <f>_xlfn.IFNA(VLOOKUP($C84,'Master sheet'!$A:$AR,44,FALSE),"")&amp;""</f>
        <v/>
      </c>
      <c r="P84" s="685"/>
      <c r="Q84" s="30" t="s">
        <v>12</v>
      </c>
      <c r="R84" s="21" t="s">
        <v>28</v>
      </c>
      <c r="S84" s="664"/>
      <c r="T84" s="664"/>
      <c r="U84" s="664"/>
      <c r="V84" s="664"/>
      <c r="W84" s="664"/>
      <c r="X84" s="664"/>
      <c r="Y84" s="664"/>
      <c r="Z84" s="664"/>
      <c r="AA84" s="664"/>
      <c r="AB84" s="664"/>
      <c r="AC84" s="665"/>
      <c r="AD84" s="665"/>
    </row>
    <row r="85" spans="1:30" s="624" customFormat="1" ht="31.5" customHeight="1" x14ac:dyDescent="0.25">
      <c r="A85" s="1542"/>
      <c r="B85" s="1542"/>
      <c r="C85" s="673" t="str">
        <f>INDEX('Master sheet'!$A$1:$A$670,MATCH("A35",'Master sheet'!$AN$1:$AN$670,0))</f>
        <v>EPS foam board with graphite / BASF / Neopor F 5200 Plus / R 4.7/inch, Type II, 15 psi (Type 2, 110 kPa)</v>
      </c>
      <c r="D85" s="17">
        <f>'USER INPUT SHEET'!$D$31</f>
        <v>0</v>
      </c>
      <c r="E85" s="18" t="str">
        <f>'USER INPUT SHEET'!$F$31</f>
        <v>m2</v>
      </c>
      <c r="F85" s="4">
        <v>1</v>
      </c>
      <c r="G85" s="674"/>
      <c r="H85" s="9"/>
      <c r="I85" s="95">
        <f>K85-L85</f>
        <v>0</v>
      </c>
      <c r="J85" s="96" t="str">
        <f t="shared" si="30"/>
        <v/>
      </c>
      <c r="K85" s="407">
        <f>$D85*($E$76/5.678)*$F85*VLOOKUP($C85,'Master sheet'!$A:$AL,13,FALSE)</f>
        <v>0</v>
      </c>
      <c r="L85" s="97">
        <f>$D85*($E$76/5.678)*$F85*VLOOKUP($C85,'Master sheet'!$A:$AL,27,FALSE)</f>
        <v>0</v>
      </c>
      <c r="M85" s="1561"/>
      <c r="N85" s="1561"/>
      <c r="O85" s="25" t="str">
        <f>_xlfn.IFNA(VLOOKUP($C85,'Master sheet'!$A:$AR,44,FALSE),"")&amp;""</f>
        <v/>
      </c>
      <c r="P85" s="685"/>
      <c r="Q85" s="30" t="s">
        <v>12</v>
      </c>
      <c r="R85" s="21" t="s">
        <v>28</v>
      </c>
      <c r="S85" s="664"/>
      <c r="T85" s="638"/>
      <c r="U85" s="638"/>
      <c r="V85" s="638"/>
      <c r="W85" s="638"/>
      <c r="X85" s="638"/>
      <c r="Y85" s="638"/>
      <c r="Z85" s="638"/>
      <c r="AA85" s="638"/>
      <c r="AB85" s="638"/>
      <c r="AC85" s="623"/>
      <c r="AD85" s="623"/>
    </row>
    <row r="86" spans="1:30" s="624" customFormat="1" ht="23.85" customHeight="1" x14ac:dyDescent="0.25">
      <c r="A86" s="639"/>
      <c r="B86" s="1524" t="s">
        <v>1025</v>
      </c>
      <c r="C86" s="1524"/>
      <c r="D86" s="687" t="str">
        <f>IF(LOWER(Setting!rng_language)="english","R-VALUE:","VALEUR R :")</f>
        <v>R-VALUE:</v>
      </c>
      <c r="E86" s="1"/>
      <c r="F86" s="324"/>
      <c r="G86" s="675"/>
      <c r="H86" s="675"/>
      <c r="I86" s="693"/>
      <c r="J86" s="105" t="str">
        <f t="shared" si="30"/>
        <v/>
      </c>
      <c r="K86" s="676"/>
      <c r="L86" s="677"/>
      <c r="M86" s="662"/>
      <c r="N86" s="662"/>
      <c r="O86" s="25" t="str">
        <f>_xlfn.IFNA(VLOOKUP($C86,'Master sheet'!$A:$AR,44,FALSE),"")&amp;""</f>
        <v/>
      </c>
      <c r="P86" s="685"/>
      <c r="Q86" s="29"/>
      <c r="R86" s="28"/>
      <c r="S86" s="638"/>
      <c r="T86" s="638"/>
      <c r="U86" s="638"/>
      <c r="V86" s="638"/>
      <c r="W86" s="638"/>
      <c r="X86" s="638"/>
      <c r="Y86" s="638"/>
      <c r="Z86" s="638"/>
      <c r="AA86" s="638"/>
      <c r="AB86" s="638"/>
      <c r="AC86" s="623"/>
      <c r="AD86" s="623"/>
    </row>
    <row r="87" spans="1:30" ht="22.8" x14ac:dyDescent="0.25">
      <c r="A87" s="690"/>
      <c r="B87" s="690"/>
      <c r="C87" s="691" t="s">
        <v>4023</v>
      </c>
      <c r="D87" s="19">
        <f>'USER INPUT SHEET'!$D$31</f>
        <v>0</v>
      </c>
      <c r="E87" s="20" t="str">
        <f>'USER INPUT SHEET'!$F$31</f>
        <v>m2</v>
      </c>
      <c r="F87" s="5">
        <v>1</v>
      </c>
      <c r="G87" s="692"/>
      <c r="H87" s="10"/>
      <c r="I87" s="98">
        <f t="shared" ref="I87:I90" si="33">K87-L87</f>
        <v>0</v>
      </c>
      <c r="J87" s="91" t="str">
        <f t="shared" si="30"/>
        <v/>
      </c>
      <c r="K87" s="410">
        <f>$F87*AVERAGE(K88:K90)</f>
        <v>0</v>
      </c>
      <c r="L87" s="99">
        <f>$F87*AVERAGE(L88:L90)</f>
        <v>0</v>
      </c>
      <c r="M87" s="1560"/>
      <c r="N87" s="1560"/>
      <c r="O87" s="25" t="str">
        <f>_xlfn.IFNA(VLOOKUP($C87,'Master sheet'!$A:$AR,44,FALSE),"")&amp;""</f>
        <v/>
      </c>
      <c r="P87" s="685"/>
      <c r="Q87" s="30" t="s">
        <v>12</v>
      </c>
      <c r="R87" s="21" t="s">
        <v>28</v>
      </c>
      <c r="S87" s="664"/>
      <c r="T87" s="664"/>
      <c r="U87" s="664"/>
      <c r="V87" s="664"/>
      <c r="W87" s="664"/>
      <c r="X87" s="664"/>
      <c r="Y87" s="664"/>
      <c r="Z87" s="664"/>
      <c r="AA87" s="664"/>
      <c r="AB87" s="664"/>
      <c r="AC87" s="665"/>
      <c r="AD87" s="665"/>
    </row>
    <row r="88" spans="1:30" ht="31.2" customHeight="1" x14ac:dyDescent="0.25">
      <c r="A88" s="1542"/>
      <c r="B88" s="1542"/>
      <c r="C88" s="673" t="str">
        <f>INDEX('Master sheet'!$A$1:$A$670,MATCH(258,'Master sheet'!$AN$1:$AN$670,0))</f>
        <v>XPS foam board / Owens Corning / Foamular NGX 250  / R 5/inch</v>
      </c>
      <c r="D88" s="17">
        <f>'USER INPUT SHEET'!$D$31</f>
        <v>0</v>
      </c>
      <c r="E88" s="18" t="str">
        <f>'USER INPUT SHEET'!$F$31</f>
        <v>m2</v>
      </c>
      <c r="F88" s="4">
        <v>1</v>
      </c>
      <c r="G88" s="674"/>
      <c r="H88" s="9"/>
      <c r="I88" s="95">
        <f t="shared" si="33"/>
        <v>0</v>
      </c>
      <c r="J88" s="96" t="str">
        <f t="shared" ref="J88:J90" si="34">IF(H88=1,I88,"")</f>
        <v/>
      </c>
      <c r="K88" s="407">
        <f>$D88*($E$86/5.678)*$F88*VLOOKUP($C88,'Master sheet'!$A:$AL,13,FALSE)</f>
        <v>0</v>
      </c>
      <c r="L88" s="97">
        <f>$D88*($E$86/5.678)*$F88*VLOOKUP($C88,'Master sheet'!$A:$AL,27,FALSE)</f>
        <v>0</v>
      </c>
      <c r="M88" s="1551"/>
      <c r="N88" s="1551"/>
      <c r="O88" s="25" t="str">
        <f>_xlfn.IFNA(VLOOKUP($C88,'Master sheet'!$A:$AR,44,FALSE),"")&amp;""</f>
        <v>A1-B1</v>
      </c>
      <c r="P88" s="637"/>
      <c r="Q88" s="29" t="s">
        <v>12</v>
      </c>
      <c r="R88" s="28" t="s">
        <v>28</v>
      </c>
      <c r="S88" s="664"/>
      <c r="T88" s="638" t="s">
        <v>7295</v>
      </c>
      <c r="U88" s="664"/>
      <c r="V88" s="664"/>
      <c r="W88" s="664"/>
      <c r="X88" s="664"/>
      <c r="Y88" s="664"/>
      <c r="Z88" s="664"/>
      <c r="AA88" s="664"/>
      <c r="AB88" s="664"/>
      <c r="AC88" s="665"/>
      <c r="AD88" s="665"/>
    </row>
    <row r="89" spans="1:30" ht="23.25" customHeight="1" x14ac:dyDescent="0.25">
      <c r="A89" s="1542"/>
      <c r="B89" s="1542"/>
      <c r="C89" s="673" t="str">
        <f>INDEX('Master sheet'!$A$1:$A$670,MATCH(401,'Master sheet'!$AN$1:$AN$670,0))</f>
        <v>XPS foam board / Soprema / SOPRA-XPS / R 5.0/inch</v>
      </c>
      <c r="D89" s="17">
        <f>'USER INPUT SHEET'!$D$31</f>
        <v>0</v>
      </c>
      <c r="E89" s="18" t="str">
        <f>'USER INPUT SHEET'!$F$31</f>
        <v>m2</v>
      </c>
      <c r="F89" s="4">
        <v>1</v>
      </c>
      <c r="G89" s="674"/>
      <c r="H89" s="9"/>
      <c r="I89" s="95">
        <f t="shared" si="33"/>
        <v>0</v>
      </c>
      <c r="J89" s="96" t="str">
        <f t="shared" si="34"/>
        <v/>
      </c>
      <c r="K89" s="407">
        <f>$D89*($E$86/5.678)*$F89*VLOOKUP($C89,'Master sheet'!$A:$AL,13,FALSE)</f>
        <v>0</v>
      </c>
      <c r="L89" s="97">
        <f>$D89*($E$86/5.678)*$F89*VLOOKUP($C89,'Master sheet'!$A:$AL,27,FALSE)</f>
        <v>0</v>
      </c>
      <c r="M89" s="1560"/>
      <c r="N89" s="1560"/>
      <c r="O89" s="25" t="str">
        <f>_xlfn.IFNA(VLOOKUP($C89,'Master sheet'!$A:$AR,44,FALSE),"")&amp;""</f>
        <v>A1-B1</v>
      </c>
      <c r="P89" s="637"/>
      <c r="Q89" s="29" t="s">
        <v>12</v>
      </c>
      <c r="R89" s="28" t="s">
        <v>28</v>
      </c>
      <c r="S89" s="664"/>
      <c r="T89" s="664"/>
      <c r="U89" s="664"/>
      <c r="V89" s="664"/>
      <c r="W89" s="664"/>
      <c r="X89" s="664"/>
      <c r="Y89" s="664"/>
      <c r="Z89" s="664"/>
      <c r="AA89" s="664"/>
      <c r="AB89" s="664"/>
      <c r="AC89" s="665"/>
      <c r="AD89" s="665"/>
    </row>
    <row r="90" spans="1:30" ht="31.2" x14ac:dyDescent="0.25">
      <c r="A90" s="1542"/>
      <c r="B90" s="1542"/>
      <c r="C90" s="673" t="str">
        <f>INDEX('Master sheet'!$A$1:$A$670,MATCH(400,'Master sheet'!$AN$1:$AN$670,0))</f>
        <v>XPS foam board / DuPont / Reduced GWP Grey Styrofoam™ (same as ST-100) / R 5.0/inch</v>
      </c>
      <c r="D90" s="17">
        <f>'USER INPUT SHEET'!$D$31</f>
        <v>0</v>
      </c>
      <c r="E90" s="18" t="str">
        <f>'USER INPUT SHEET'!$F$31</f>
        <v>m2</v>
      </c>
      <c r="F90" s="4">
        <v>1</v>
      </c>
      <c r="G90" s="674"/>
      <c r="H90" s="9"/>
      <c r="I90" s="95">
        <f t="shared" si="33"/>
        <v>0</v>
      </c>
      <c r="J90" s="96" t="str">
        <f t="shared" si="34"/>
        <v/>
      </c>
      <c r="K90" s="407">
        <f>$D90*($E$86/5.678)*$F90*VLOOKUP($C90,'Master sheet'!$A:$AL,13,FALSE)</f>
        <v>0</v>
      </c>
      <c r="L90" s="97">
        <f>$D90*($E$86/5.678)*$F90*VLOOKUP($C90,'Master sheet'!$A:$AL,27,FALSE)</f>
        <v>0</v>
      </c>
      <c r="M90" s="1561"/>
      <c r="N90" s="1561"/>
      <c r="O90" s="25" t="str">
        <f>_xlfn.IFNA(VLOOKUP($C90,'Master sheet'!$A:$AR,44,FALSE),"")&amp;""</f>
        <v>A1-B1</v>
      </c>
      <c r="P90" s="637"/>
      <c r="Q90" s="29" t="s">
        <v>12</v>
      </c>
      <c r="R90" s="28" t="s">
        <v>28</v>
      </c>
      <c r="S90" s="664"/>
      <c r="T90" s="664"/>
      <c r="U90" s="664"/>
      <c r="V90" s="664"/>
      <c r="W90" s="664"/>
      <c r="X90" s="664"/>
      <c r="Y90" s="664"/>
      <c r="Z90" s="664"/>
      <c r="AA90" s="664"/>
      <c r="AB90" s="664"/>
      <c r="AC90" s="665"/>
      <c r="AD90" s="665"/>
    </row>
    <row r="91" spans="1:30" s="624" customFormat="1" ht="23.85" customHeight="1" x14ac:dyDescent="0.25">
      <c r="A91" s="639"/>
      <c r="B91" s="1524" t="s">
        <v>3418</v>
      </c>
      <c r="C91" s="1524"/>
      <c r="D91" s="687" t="str">
        <f>IF(LOWER(Setting!rng_language)="english","R-VALUE:","VALEUR R :")</f>
        <v>R-VALUE:</v>
      </c>
      <c r="E91" s="1"/>
      <c r="F91" s="325"/>
      <c r="G91" s="678"/>
      <c r="H91" s="679"/>
      <c r="I91" s="642"/>
      <c r="J91" s="643"/>
      <c r="K91" s="676"/>
      <c r="L91" s="677"/>
      <c r="M91" s="662"/>
      <c r="N91" s="662"/>
      <c r="O91" s="25" t="str">
        <f>_xlfn.IFNA(VLOOKUP($C91,'Master sheet'!$A:$AR,44,FALSE),"")&amp;""</f>
        <v/>
      </c>
      <c r="P91" s="637"/>
      <c r="Q91" s="29"/>
      <c r="R91" s="28"/>
      <c r="S91" s="638"/>
      <c r="T91" s="638"/>
      <c r="U91" s="638"/>
      <c r="V91" s="638"/>
      <c r="W91" s="638"/>
      <c r="X91" s="638"/>
      <c r="Y91" s="638"/>
      <c r="Z91" s="638"/>
      <c r="AA91" s="638"/>
      <c r="AB91" s="638"/>
      <c r="AC91" s="623"/>
      <c r="AD91" s="623"/>
    </row>
    <row r="92" spans="1:30" s="624" customFormat="1" ht="23.85" customHeight="1" x14ac:dyDescent="0.25">
      <c r="A92" s="690"/>
      <c r="B92" s="690"/>
      <c r="C92" s="691" t="s">
        <v>1354</v>
      </c>
      <c r="D92" s="19">
        <f>'USER INPUT SHEET'!$D$31</f>
        <v>0</v>
      </c>
      <c r="E92" s="20" t="str">
        <f>'USER INPUT SHEET'!$F$31</f>
        <v>m2</v>
      </c>
      <c r="F92" s="5">
        <v>1</v>
      </c>
      <c r="G92" s="692"/>
      <c r="H92" s="10"/>
      <c r="I92" s="98">
        <f t="shared" ref="I92" si="35">K92-L92</f>
        <v>0</v>
      </c>
      <c r="J92" s="91" t="str">
        <f t="shared" ref="J92" si="36">IF(H92=1,I92,"")</f>
        <v/>
      </c>
      <c r="K92" s="410">
        <f>$F92*AVERAGE(K93:K96)</f>
        <v>0</v>
      </c>
      <c r="L92" s="99">
        <f>$F92*AVERAGE(L93:L96)</f>
        <v>0</v>
      </c>
      <c r="M92" s="1560"/>
      <c r="N92" s="1560"/>
      <c r="O92" s="25" t="str">
        <f>_xlfn.IFNA(VLOOKUP($C92,'Master sheet'!$A:$AR,44,FALSE),"")&amp;""</f>
        <v/>
      </c>
      <c r="P92" s="637"/>
      <c r="Q92" s="29" t="s">
        <v>12</v>
      </c>
      <c r="R92" s="28" t="s">
        <v>28</v>
      </c>
      <c r="S92" s="638"/>
      <c r="T92" s="638"/>
      <c r="U92" s="638"/>
      <c r="V92" s="638"/>
      <c r="W92" s="638"/>
      <c r="X92" s="638"/>
      <c r="Y92" s="638"/>
      <c r="Z92" s="638"/>
      <c r="AA92" s="638"/>
      <c r="AB92" s="638"/>
      <c r="AC92" s="623"/>
      <c r="AD92" s="623"/>
    </row>
    <row r="93" spans="1:30" s="624" customFormat="1" ht="22.8" x14ac:dyDescent="0.25">
      <c r="A93" s="690"/>
      <c r="B93" s="690"/>
      <c r="C93" s="681" t="str">
        <f>INDEX('Master sheet'!$A$1:$A$670,MATCH("A200",'Master sheet'!$AN$1:$AN$670,0))</f>
        <v>Mineral wool board / Rockwool / Comfortboard 80 / R 4.2-inch</v>
      </c>
      <c r="D93" s="22">
        <f>'USER INPUT SHEET'!$D$31</f>
        <v>0</v>
      </c>
      <c r="E93" s="23" t="str">
        <f>'USER INPUT SHEET'!$F$31</f>
        <v>m2</v>
      </c>
      <c r="F93" s="6">
        <v>1</v>
      </c>
      <c r="G93" s="682"/>
      <c r="H93" s="10"/>
      <c r="I93" s="100">
        <f>K93-L93</f>
        <v>0</v>
      </c>
      <c r="J93" s="101" t="str">
        <f>IF(H93=1,I93,"")</f>
        <v/>
      </c>
      <c r="K93" s="408">
        <f>$D93*($E$91/5.678)*$F93*VLOOKUP($C93,'Master sheet'!$A:$AL,13,FALSE)</f>
        <v>0</v>
      </c>
      <c r="L93" s="102">
        <f>$D93*($E$91/5.678)*$F93*VLOOKUP($C93,'Master sheet'!$A:$AL,27,FALSE)</f>
        <v>0</v>
      </c>
      <c r="M93" s="1560"/>
      <c r="N93" s="1560"/>
      <c r="O93" s="25" t="str">
        <f>_xlfn.IFNA(VLOOKUP($C93,'Master sheet'!$A:$AR,44,FALSE),"")&amp;""</f>
        <v/>
      </c>
      <c r="P93" s="685"/>
      <c r="Q93" s="29" t="s">
        <v>12</v>
      </c>
      <c r="R93" s="28" t="s">
        <v>28</v>
      </c>
      <c r="S93" s="638"/>
      <c r="T93" s="638"/>
      <c r="U93" s="638"/>
      <c r="V93" s="638"/>
      <c r="W93" s="638"/>
      <c r="X93" s="638"/>
      <c r="Y93" s="638"/>
      <c r="Z93" s="638"/>
      <c r="AA93" s="638"/>
      <c r="AB93" s="638"/>
      <c r="AC93" s="623"/>
      <c r="AD93" s="623"/>
    </row>
    <row r="94" spans="1:30" s="624" customFormat="1" ht="31.2" x14ac:dyDescent="0.25">
      <c r="A94" s="690"/>
      <c r="B94" s="690"/>
      <c r="C94" s="673" t="str">
        <f>INDEX('Master sheet'!$A$1:$A$670,MATCH("A75",'Master sheet'!$AN$1:$AN$670,0))</f>
        <v>Mineral wool board - heavy density / NAIMA / Owens Corning, Johns Manville, Rolan / R 4.4/inch</v>
      </c>
      <c r="D94" s="17">
        <f>'USER INPUT SHEET'!$D$31</f>
        <v>0</v>
      </c>
      <c r="E94" s="18" t="str">
        <f>'USER INPUT SHEET'!$F$31</f>
        <v>m2</v>
      </c>
      <c r="F94" s="4">
        <v>1</v>
      </c>
      <c r="G94" s="674"/>
      <c r="H94" s="9"/>
      <c r="I94" s="95">
        <f>K94-L94</f>
        <v>0</v>
      </c>
      <c r="J94" s="96" t="str">
        <f>IF(H94=1,I94,"")</f>
        <v/>
      </c>
      <c r="K94" s="407">
        <f>$D94*($E$91/5.678)*$F94*VLOOKUP($C94,'Master sheet'!$A:$AL,13,FALSE)</f>
        <v>0</v>
      </c>
      <c r="L94" s="97">
        <f>$D94*($E$91/5.678)*$F94*VLOOKUP($C94,'Master sheet'!$A:$AL,27,FALSE)</f>
        <v>0</v>
      </c>
      <c r="M94" s="1560"/>
      <c r="N94" s="1560"/>
      <c r="O94" s="25" t="str">
        <f>_xlfn.IFNA(VLOOKUP($C94,'Master sheet'!$A:$AR,44,FALSE),"")&amp;""</f>
        <v/>
      </c>
      <c r="P94" s="685"/>
      <c r="Q94" s="29" t="s">
        <v>12</v>
      </c>
      <c r="R94" s="28" t="s">
        <v>28</v>
      </c>
      <c r="S94" s="638"/>
      <c r="T94" s="638"/>
      <c r="U94" s="638"/>
      <c r="V94" s="638"/>
      <c r="W94" s="638"/>
      <c r="X94" s="638"/>
      <c r="Y94" s="638"/>
      <c r="Z94" s="638"/>
      <c r="AA94" s="638"/>
      <c r="AB94" s="638"/>
      <c r="AC94" s="623"/>
      <c r="AD94" s="623"/>
    </row>
    <row r="95" spans="1:30" s="624" customFormat="1" ht="31.2" x14ac:dyDescent="0.25">
      <c r="A95" s="690"/>
      <c r="B95" s="690"/>
      <c r="C95" s="673" t="str">
        <f>INDEX('Master sheet'!$A$1:$A$670,MATCH("A76",'Master sheet'!$AN$1:$AN$670,0))</f>
        <v>Mineral wool board - light density / NAIMA / Owens Corning, Johns Manville, Rolan / R 3.9/inch</v>
      </c>
      <c r="D95" s="17">
        <f>'USER INPUT SHEET'!$D$31</f>
        <v>0</v>
      </c>
      <c r="E95" s="18" t="str">
        <f>'USER INPUT SHEET'!$F$31</f>
        <v>m2</v>
      </c>
      <c r="F95" s="4">
        <v>1</v>
      </c>
      <c r="G95" s="674"/>
      <c r="H95" s="9"/>
      <c r="I95" s="95">
        <f>K95-L95</f>
        <v>0</v>
      </c>
      <c r="J95" s="96" t="str">
        <f>IF(H95=1,I95,"")</f>
        <v/>
      </c>
      <c r="K95" s="407">
        <f>$D95*($E$91/5.678)*$F95*VLOOKUP($C95,'Master sheet'!$A:$AL,13,FALSE)</f>
        <v>0</v>
      </c>
      <c r="L95" s="97">
        <f>$D95*($E$91/5.678)*$F95*VLOOKUP($C95,'Master sheet'!$A:$AL,27,FALSE)</f>
        <v>0</v>
      </c>
      <c r="M95" s="1560"/>
      <c r="N95" s="1560"/>
      <c r="O95" s="25" t="str">
        <f>_xlfn.IFNA(VLOOKUP($C95,'Master sheet'!$A:$AR,44,FALSE),"")&amp;""</f>
        <v/>
      </c>
      <c r="P95" s="685"/>
      <c r="Q95" s="29" t="s">
        <v>12</v>
      </c>
      <c r="R95" s="28" t="s">
        <v>28</v>
      </c>
      <c r="S95" s="638"/>
      <c r="T95" s="638"/>
      <c r="U95" s="638"/>
      <c r="V95" s="638"/>
      <c r="W95" s="638"/>
      <c r="X95" s="638"/>
      <c r="Y95" s="638"/>
      <c r="Z95" s="638"/>
      <c r="AA95" s="638"/>
      <c r="AB95" s="638"/>
      <c r="AC95" s="623"/>
      <c r="AD95" s="623"/>
    </row>
    <row r="96" spans="1:30" s="624" customFormat="1" ht="22.8" x14ac:dyDescent="0.25">
      <c r="A96" s="690"/>
      <c r="B96" s="625"/>
      <c r="C96" s="673" t="str">
        <f>INDEX('Master sheet'!$A$1:$A$670,MATCH("A199",'Master sheet'!$AN$1:$AN$670,0))</f>
        <v>Mineral wool board / Rockwool / Comfortboard 110 / R 4.0-inch</v>
      </c>
      <c r="D96" s="17">
        <f>'USER INPUT SHEET'!$D$31</f>
        <v>0</v>
      </c>
      <c r="E96" s="18" t="str">
        <f>'USER INPUT SHEET'!$F$31</f>
        <v>m2</v>
      </c>
      <c r="F96" s="4">
        <v>1</v>
      </c>
      <c r="G96" s="674"/>
      <c r="H96" s="9"/>
      <c r="I96" s="95">
        <f>K96-L96</f>
        <v>0</v>
      </c>
      <c r="J96" s="96" t="str">
        <f>IF(H96=1,I96,"")</f>
        <v/>
      </c>
      <c r="K96" s="407">
        <f>$D96*($E$91/5.678)*$F96*VLOOKUP($C96,'Master sheet'!$A:$AL,13,FALSE)</f>
        <v>0</v>
      </c>
      <c r="L96" s="97">
        <f>$D96*($E$91/5.678)*$F96*VLOOKUP($C96,'Master sheet'!$A:$AL,27,FALSE)</f>
        <v>0</v>
      </c>
      <c r="M96" s="1561"/>
      <c r="N96" s="1561"/>
      <c r="O96" s="25" t="str">
        <f>_xlfn.IFNA(VLOOKUP($C96,'Master sheet'!$A:$AR,44,FALSE),"")&amp;""</f>
        <v/>
      </c>
      <c r="P96" s="685"/>
      <c r="Q96" s="29" t="s">
        <v>12</v>
      </c>
      <c r="R96" s="28" t="s">
        <v>28</v>
      </c>
      <c r="S96" s="638"/>
      <c r="T96" s="638"/>
      <c r="U96" s="638"/>
      <c r="V96" s="638"/>
      <c r="W96" s="638"/>
      <c r="X96" s="638"/>
      <c r="Y96" s="638"/>
      <c r="Z96" s="638"/>
      <c r="AA96" s="638"/>
      <c r="AB96" s="638"/>
      <c r="AC96" s="623"/>
      <c r="AD96" s="623"/>
    </row>
    <row r="97" spans="1:30" s="624" customFormat="1" ht="23.85" customHeight="1" x14ac:dyDescent="0.25">
      <c r="A97" s="639"/>
      <c r="B97" s="1524" t="s">
        <v>3419</v>
      </c>
      <c r="C97" s="1524"/>
      <c r="D97" s="687" t="str">
        <f>IF(LOWER(Setting!rng_language)="english","R-VALUE:","VALEUR R :")</f>
        <v>R-VALUE:</v>
      </c>
      <c r="E97" s="1"/>
      <c r="F97" s="324"/>
      <c r="G97" s="675"/>
      <c r="H97" s="675"/>
      <c r="I97" s="693"/>
      <c r="J97" s="693"/>
      <c r="K97" s="693"/>
      <c r="L97" s="693"/>
      <c r="M97" s="680"/>
      <c r="N97" s="680"/>
      <c r="O97" s="25" t="str">
        <f>_xlfn.IFNA(VLOOKUP($C97,'Master sheet'!$A:$AR,44,FALSE),"")&amp;""</f>
        <v/>
      </c>
      <c r="P97" s="685"/>
      <c r="Q97" s="29"/>
      <c r="R97" s="28"/>
      <c r="S97" s="638"/>
      <c r="T97" s="638"/>
      <c r="U97" s="638"/>
      <c r="V97" s="638"/>
      <c r="W97" s="638"/>
      <c r="X97" s="638"/>
      <c r="Y97" s="638"/>
      <c r="Z97" s="638"/>
      <c r="AA97" s="638"/>
      <c r="AB97" s="638"/>
      <c r="AC97" s="623"/>
      <c r="AD97" s="623"/>
    </row>
    <row r="98" spans="1:30" ht="31.2" x14ac:dyDescent="0.25">
      <c r="A98" s="1546"/>
      <c r="B98" s="1547"/>
      <c r="C98" s="669" t="str">
        <f>INDEX('Master sheet'!$A$1:$A$670,MATCH("A203",'Master sheet'!$AN$1:$AN$670,0))</f>
        <v>Foam glass aggregate / Foamit group /  / 191 kg/m3, 10-60 mm, R 1,5/inch</v>
      </c>
      <c r="D98" s="15">
        <f>'USER INPUT SHEET'!$D$31</f>
        <v>0</v>
      </c>
      <c r="E98" s="16" t="str">
        <f>'USER INPUT SHEET'!$F$31</f>
        <v>m2</v>
      </c>
      <c r="F98" s="3">
        <v>1</v>
      </c>
      <c r="G98" s="670"/>
      <c r="H98" s="8"/>
      <c r="I98" s="92">
        <f>K98-L98</f>
        <v>0</v>
      </c>
      <c r="J98" s="93" t="str">
        <f>IF(H98=1,I98,"")</f>
        <v/>
      </c>
      <c r="K98" s="406">
        <f>$D98*($E$97/5.678)*$F98*VLOOKUP($C98,'Master sheet'!$A:$AL,13,FALSE)</f>
        <v>0</v>
      </c>
      <c r="L98" s="94">
        <f>$D98*($E$97/5.678)*$F98*VLOOKUP($C98,'Master sheet'!$A:$AL,27,FALSE)</f>
        <v>0</v>
      </c>
      <c r="M98" s="1551"/>
      <c r="N98" s="1551"/>
      <c r="O98" s="25" t="str">
        <f>_xlfn.IFNA(VLOOKUP($C98,'Master sheet'!$A:$AR,44,FALSE),"")&amp;""</f>
        <v/>
      </c>
      <c r="P98" s="685"/>
      <c r="Q98" s="30" t="s">
        <v>12</v>
      </c>
      <c r="R98" s="21" t="s">
        <v>28</v>
      </c>
      <c r="S98" s="664"/>
      <c r="T98" s="664"/>
      <c r="U98" s="664"/>
      <c r="V98" s="664"/>
      <c r="W98" s="664"/>
      <c r="X98" s="664"/>
      <c r="Y98" s="664"/>
      <c r="Z98" s="664"/>
      <c r="AA98" s="664"/>
      <c r="AB98" s="664"/>
      <c r="AC98" s="665"/>
      <c r="AD98" s="665"/>
    </row>
    <row r="99" spans="1:30" s="624" customFormat="1" ht="23.85" customHeight="1" x14ac:dyDescent="0.25">
      <c r="A99" s="639"/>
      <c r="B99" s="1524" t="s">
        <v>1026</v>
      </c>
      <c r="C99" s="1524"/>
      <c r="D99" s="687" t="str">
        <f>IF(LOWER(Setting!rng_language)="english","R-VALUE:","VALEUR R :")</f>
        <v>R-VALUE:</v>
      </c>
      <c r="E99" s="1"/>
      <c r="F99" s="324"/>
      <c r="G99" s="678"/>
      <c r="H99" s="675"/>
      <c r="I99" s="642"/>
      <c r="J99" s="643"/>
      <c r="K99" s="676"/>
      <c r="L99" s="677"/>
      <c r="M99" s="662"/>
      <c r="N99" s="662"/>
      <c r="O99" s="25" t="str">
        <f>_xlfn.IFNA(VLOOKUP($C99,'Master sheet'!$A:$AR,44,FALSE),"")&amp;""</f>
        <v/>
      </c>
      <c r="P99" s="637"/>
      <c r="Q99" s="29"/>
      <c r="R99" s="28"/>
      <c r="S99" s="638"/>
      <c r="T99" s="638"/>
      <c r="U99" s="638"/>
      <c r="V99" s="638"/>
      <c r="W99" s="638"/>
      <c r="X99" s="638"/>
      <c r="Y99" s="638"/>
      <c r="Z99" s="638"/>
      <c r="AA99" s="638"/>
      <c r="AB99" s="638"/>
      <c r="AC99" s="623"/>
      <c r="AD99" s="623"/>
    </row>
    <row r="100" spans="1:30" ht="22.8" x14ac:dyDescent="0.25">
      <c r="A100" s="690"/>
      <c r="B100" s="625"/>
      <c r="C100" s="691" t="s">
        <v>1053</v>
      </c>
      <c r="D100" s="19">
        <f>'USER INPUT SHEET'!$D$31</f>
        <v>0</v>
      </c>
      <c r="E100" s="20" t="str">
        <f>'USER INPUT SHEET'!$F$31</f>
        <v>m2</v>
      </c>
      <c r="F100" s="5">
        <v>1</v>
      </c>
      <c r="G100" s="692"/>
      <c r="H100" s="10"/>
      <c r="I100" s="98">
        <f t="shared" ref="I100:I104" si="37">K100-L100</f>
        <v>0</v>
      </c>
      <c r="J100" s="91" t="str">
        <f t="shared" ref="J100:J104" si="38">IF(H100=1,I100,"")</f>
        <v/>
      </c>
      <c r="K100" s="410">
        <f>$F100*AVERAGE(K101:K104)</f>
        <v>0</v>
      </c>
      <c r="L100" s="99">
        <f>$F100*AVERAGE(L101:L104)</f>
        <v>0</v>
      </c>
      <c r="M100" s="1560"/>
      <c r="N100" s="1560"/>
      <c r="O100" s="25" t="str">
        <f>_xlfn.IFNA(VLOOKUP($C100,'Master sheet'!$A:$AR,44,FALSE),"")&amp;""</f>
        <v/>
      </c>
      <c r="P100" s="685"/>
      <c r="Q100" s="30" t="s">
        <v>12</v>
      </c>
      <c r="R100" s="21" t="s">
        <v>28</v>
      </c>
      <c r="S100" s="664"/>
      <c r="T100" s="664"/>
      <c r="U100" s="664"/>
      <c r="V100" s="664"/>
      <c r="W100" s="664"/>
      <c r="X100" s="664"/>
      <c r="Y100" s="664"/>
      <c r="Z100" s="664"/>
      <c r="AA100" s="664"/>
      <c r="AB100" s="664"/>
      <c r="AC100" s="665"/>
      <c r="AD100" s="665"/>
    </row>
    <row r="101" spans="1:30" ht="31.5" customHeight="1" x14ac:dyDescent="0.25">
      <c r="A101" s="1542"/>
      <c r="B101" s="1523"/>
      <c r="C101" s="673" t="str">
        <f>INDEX('Master sheet'!$A$1:$A$670,MATCH("A42",'Master sheet'!$AN$1:$AN$670,0))</f>
        <v>Foam glass board / Pittsburgh Corning Europe / FOAMGLAS F / R 2.9/inch</v>
      </c>
      <c r="D101" s="17">
        <f>'USER INPUT SHEET'!$D$31</f>
        <v>0</v>
      </c>
      <c r="E101" s="18" t="str">
        <f>'USER INPUT SHEET'!$F$31</f>
        <v>m2</v>
      </c>
      <c r="F101" s="4">
        <v>1</v>
      </c>
      <c r="G101" s="674"/>
      <c r="H101" s="9"/>
      <c r="I101" s="95">
        <f t="shared" si="37"/>
        <v>0</v>
      </c>
      <c r="J101" s="96" t="str">
        <f t="shared" si="38"/>
        <v/>
      </c>
      <c r="K101" s="407">
        <f>$D101*($E$99/5.678)*$F101*VLOOKUP($C101,'Master sheet'!$A:$AL,13,FALSE)</f>
        <v>0</v>
      </c>
      <c r="L101" s="97">
        <f>$D101*($E$99/5.678)*$F101*VLOOKUP($C101,'Master sheet'!$A:$AL,27,FALSE)</f>
        <v>0</v>
      </c>
      <c r="M101" s="1551"/>
      <c r="N101" s="1551"/>
      <c r="O101" s="25" t="str">
        <f>_xlfn.IFNA(VLOOKUP($C101,'Master sheet'!$A:$AR,44,FALSE),"")&amp;""</f>
        <v/>
      </c>
      <c r="P101" s="637"/>
      <c r="Q101" s="29" t="s">
        <v>12</v>
      </c>
      <c r="R101" s="28" t="s">
        <v>28</v>
      </c>
      <c r="S101" s="638"/>
      <c r="T101" s="638"/>
      <c r="U101" s="664"/>
      <c r="V101" s="664"/>
      <c r="W101" s="664"/>
      <c r="X101" s="664"/>
      <c r="Y101" s="664"/>
      <c r="Z101" s="664"/>
      <c r="AA101" s="664"/>
      <c r="AB101" s="664"/>
      <c r="AC101" s="665"/>
      <c r="AD101" s="665"/>
    </row>
    <row r="102" spans="1:30" ht="31.5" customHeight="1" x14ac:dyDescent="0.25">
      <c r="A102" s="1542"/>
      <c r="B102" s="1523"/>
      <c r="C102" s="673" t="str">
        <f>INDEX('Master sheet'!$A$1:$A$670,MATCH("A43",'Master sheet'!$AN$1:$AN$670,0))</f>
        <v>Foam glass board / Pittsburgh Corning Europe / FOAMGLAS S3 / R 3.2/inch</v>
      </c>
      <c r="D102" s="17">
        <f>'USER INPUT SHEET'!$D$31</f>
        <v>0</v>
      </c>
      <c r="E102" s="18" t="str">
        <f>'USER INPUT SHEET'!$F$31</f>
        <v>m2</v>
      </c>
      <c r="F102" s="4">
        <v>1</v>
      </c>
      <c r="G102" s="674"/>
      <c r="H102" s="9"/>
      <c r="I102" s="95">
        <f t="shared" si="37"/>
        <v>0</v>
      </c>
      <c r="J102" s="96" t="str">
        <f t="shared" si="38"/>
        <v/>
      </c>
      <c r="K102" s="407">
        <f>$D102*($E$99/5.678)*$F102*VLOOKUP($C102,'Master sheet'!$A:$AL,13,FALSE)</f>
        <v>0</v>
      </c>
      <c r="L102" s="97">
        <f>$D102*($E$99/5.678)*$F102*VLOOKUP($C102,'Master sheet'!$A:$AL,27,FALSE)</f>
        <v>0</v>
      </c>
      <c r="M102" s="1551"/>
      <c r="N102" s="1551"/>
      <c r="O102" s="25" t="str">
        <f>_xlfn.IFNA(VLOOKUP($C102,'Master sheet'!$A:$AR,44,FALSE),"")&amp;""</f>
        <v/>
      </c>
      <c r="P102" s="637"/>
      <c r="Q102" s="29" t="s">
        <v>12</v>
      </c>
      <c r="R102" s="28" t="s">
        <v>28</v>
      </c>
      <c r="S102" s="638"/>
      <c r="T102" s="638"/>
      <c r="U102" s="664"/>
      <c r="V102" s="664"/>
      <c r="W102" s="664"/>
      <c r="X102" s="664"/>
      <c r="Y102" s="664"/>
      <c r="Z102" s="664"/>
      <c r="AA102" s="664"/>
      <c r="AB102" s="664"/>
      <c r="AC102" s="665"/>
      <c r="AD102" s="665"/>
    </row>
    <row r="103" spans="1:30" ht="31.5" customHeight="1" x14ac:dyDescent="0.25">
      <c r="A103" s="1542"/>
      <c r="B103" s="1523"/>
      <c r="C103" s="673" t="str">
        <f>INDEX('Master sheet'!$A$1:$A$670,MATCH("A44",'Master sheet'!$AN$1:$AN$670,0))</f>
        <v>Foam glass board / Pittsburgh Corning Europe / FOAMGLAS T3+ / R 4.0/inch</v>
      </c>
      <c r="D103" s="17">
        <f>'USER INPUT SHEET'!$D$31</f>
        <v>0</v>
      </c>
      <c r="E103" s="18" t="str">
        <f>'USER INPUT SHEET'!$F$31</f>
        <v>m2</v>
      </c>
      <c r="F103" s="4">
        <v>1</v>
      </c>
      <c r="G103" s="674"/>
      <c r="H103" s="9"/>
      <c r="I103" s="95">
        <f t="shared" si="37"/>
        <v>0</v>
      </c>
      <c r="J103" s="96" t="str">
        <f t="shared" si="38"/>
        <v/>
      </c>
      <c r="K103" s="407">
        <f>$D103*($E$99/5.678)*$F103*VLOOKUP($C103,'Master sheet'!$A:$AL,13,FALSE)</f>
        <v>0</v>
      </c>
      <c r="L103" s="97">
        <f>$D103*($E$99/5.678)*$F103*VLOOKUP($C103,'Master sheet'!$A:$AL,27,FALSE)</f>
        <v>0</v>
      </c>
      <c r="M103" s="1551"/>
      <c r="N103" s="1551"/>
      <c r="O103" s="25" t="str">
        <f>_xlfn.IFNA(VLOOKUP($C103,'Master sheet'!$A:$AR,44,FALSE),"")&amp;""</f>
        <v/>
      </c>
      <c r="P103" s="637"/>
      <c r="Q103" s="29" t="s">
        <v>12</v>
      </c>
      <c r="R103" s="28" t="s">
        <v>28</v>
      </c>
      <c r="S103" s="638"/>
      <c r="T103" s="638"/>
      <c r="U103" s="664"/>
      <c r="V103" s="664"/>
      <c r="W103" s="664"/>
      <c r="X103" s="664"/>
      <c r="Y103" s="664"/>
      <c r="Z103" s="664"/>
      <c r="AA103" s="664"/>
      <c r="AB103" s="664"/>
      <c r="AC103" s="665"/>
      <c r="AD103" s="665"/>
    </row>
    <row r="104" spans="1:30" s="624" customFormat="1" ht="31.5" customHeight="1" x14ac:dyDescent="0.25">
      <c r="A104" s="1548"/>
      <c r="B104" s="1549"/>
      <c r="C104" s="673" t="str">
        <f>INDEX('Master sheet'!$A$1:$A$670,MATCH("A41",'Master sheet'!$AN$1:$AN$670,0))</f>
        <v>Foam glass board / Pittsburgh Corning Europe / FOAMGLAS T4+ / R 3.5/inch</v>
      </c>
      <c r="D104" s="17">
        <f>'USER INPUT SHEET'!$D$31</f>
        <v>0</v>
      </c>
      <c r="E104" s="18" t="str">
        <f>'USER INPUT SHEET'!$F$31</f>
        <v>m2</v>
      </c>
      <c r="F104" s="4">
        <v>1</v>
      </c>
      <c r="G104" s="674"/>
      <c r="H104" s="9"/>
      <c r="I104" s="95">
        <f t="shared" si="37"/>
        <v>0</v>
      </c>
      <c r="J104" s="96" t="str">
        <f t="shared" si="38"/>
        <v/>
      </c>
      <c r="K104" s="407">
        <f>$D104*($E$99/5.678)*$F104*VLOOKUP($C104,'Master sheet'!$A:$AL,13,FALSE)</f>
        <v>0</v>
      </c>
      <c r="L104" s="97">
        <f>$D104*($E$99/5.678)*$F104*VLOOKUP($C104,'Master sheet'!$A:$AL,27,FALSE)</f>
        <v>0</v>
      </c>
      <c r="M104" s="1561"/>
      <c r="N104" s="1561"/>
      <c r="O104" s="25" t="str">
        <f>_xlfn.IFNA(VLOOKUP($C104,'Master sheet'!$A:$AR,44,FALSE),"")&amp;""</f>
        <v/>
      </c>
      <c r="P104" s="637"/>
      <c r="Q104" s="29" t="s">
        <v>12</v>
      </c>
      <c r="R104" s="28" t="s">
        <v>28</v>
      </c>
      <c r="S104" s="638"/>
      <c r="T104" s="638"/>
      <c r="U104" s="638"/>
      <c r="V104" s="638"/>
      <c r="W104" s="638"/>
      <c r="X104" s="638"/>
      <c r="Y104" s="638"/>
      <c r="Z104" s="638"/>
      <c r="AA104" s="638"/>
      <c r="AB104" s="638"/>
      <c r="AC104" s="623"/>
      <c r="AD104" s="623"/>
    </row>
    <row r="105" spans="1:30" s="624" customFormat="1" ht="23.85" customHeight="1" x14ac:dyDescent="0.25">
      <c r="A105" s="639"/>
      <c r="B105" s="1524" t="s">
        <v>1027</v>
      </c>
      <c r="C105" s="1524"/>
      <c r="D105" s="687" t="str">
        <f>IF(LOWER(Setting!rng_language)="english","R-VALUE:","VALEUR R :")</f>
        <v>R-VALUE:</v>
      </c>
      <c r="E105" s="1"/>
      <c r="F105" s="324"/>
      <c r="G105" s="675"/>
      <c r="H105" s="675"/>
      <c r="I105" s="642"/>
      <c r="J105" s="643"/>
      <c r="K105" s="676"/>
      <c r="L105" s="677"/>
      <c r="M105" s="662"/>
      <c r="N105" s="662"/>
      <c r="O105" s="25" t="str">
        <f>_xlfn.IFNA(VLOOKUP($C105,'Master sheet'!$A:$AR,44,FALSE),"")&amp;""</f>
        <v/>
      </c>
      <c r="P105" s="637"/>
      <c r="Q105" s="29"/>
      <c r="R105" s="28"/>
      <c r="S105" s="638"/>
      <c r="T105" s="638"/>
      <c r="U105" s="638"/>
      <c r="V105" s="638"/>
      <c r="W105" s="638"/>
      <c r="X105" s="638"/>
      <c r="Y105" s="638"/>
      <c r="Z105" s="638"/>
      <c r="AA105" s="638"/>
      <c r="AB105" s="638"/>
      <c r="AC105" s="623"/>
      <c r="AD105" s="623"/>
    </row>
    <row r="106" spans="1:30" s="624" customFormat="1" ht="31.2" x14ac:dyDescent="0.25">
      <c r="A106" s="690"/>
      <c r="B106" s="625"/>
      <c r="C106" s="681" t="str">
        <f>INDEX('Master sheet'!$A$1:$A$670,MATCH("A21",'Master sheet'!$AN$1:$AN$670,0))</f>
        <v>Cork board insulation / Amorim  / Expanded Insulation Corkboard (ICB) / R3.6-inch, 115 kg/m3</v>
      </c>
      <c r="D106" s="22">
        <f>'USER INPUT SHEET'!$D$31</f>
        <v>0</v>
      </c>
      <c r="E106" s="23" t="str">
        <f>'USER INPUT SHEET'!$F$31</f>
        <v>m2</v>
      </c>
      <c r="F106" s="6">
        <v>1</v>
      </c>
      <c r="G106" s="682"/>
      <c r="H106" s="10"/>
      <c r="I106" s="100">
        <f>K106-L106</f>
        <v>0</v>
      </c>
      <c r="J106" s="101" t="str">
        <f>IF(H106=1,I106,"")</f>
        <v/>
      </c>
      <c r="K106" s="408">
        <f>$D106*($E$105/5.678)*$F106*VLOOKUP($C106,'Master sheet'!$A:$AL,13,FALSE)</f>
        <v>0</v>
      </c>
      <c r="L106" s="102">
        <f>$D106*($E$105/5.678)*$F106*VLOOKUP($C106,'Master sheet'!$A:$AL,27,FALSE)</f>
        <v>0</v>
      </c>
      <c r="M106" s="1559"/>
      <c r="N106" s="1559"/>
      <c r="O106" s="25" t="str">
        <f>_xlfn.IFNA(VLOOKUP($C106,'Master sheet'!$A:$AR,44,FALSE),"")&amp;""</f>
        <v/>
      </c>
      <c r="P106" s="685"/>
      <c r="Q106" s="29" t="s">
        <v>12</v>
      </c>
      <c r="R106" s="28" t="s">
        <v>28</v>
      </c>
      <c r="S106" s="638"/>
      <c r="T106" s="638"/>
      <c r="U106" s="638"/>
      <c r="V106" s="638"/>
      <c r="W106" s="638"/>
      <c r="X106" s="638"/>
      <c r="Y106" s="638"/>
      <c r="Z106" s="638"/>
      <c r="AA106" s="638"/>
      <c r="AB106" s="638"/>
      <c r="AC106" s="623"/>
      <c r="AD106" s="623"/>
    </row>
    <row r="107" spans="1:30" s="624" customFormat="1" ht="55.2" customHeight="1" x14ac:dyDescent="0.25">
      <c r="A107" s="1522" t="s">
        <v>4591</v>
      </c>
      <c r="B107" s="1523"/>
      <c r="C107" s="1523"/>
      <c r="D107" s="649"/>
      <c r="E107" s="650"/>
      <c r="F107" s="321"/>
      <c r="G107" s="650"/>
      <c r="H107" s="650"/>
      <c r="I107" s="651"/>
      <c r="J107" s="103"/>
      <c r="K107" s="652"/>
      <c r="L107" s="653"/>
      <c r="M107" s="654"/>
      <c r="N107" s="654"/>
      <c r="O107" s="25" t="str">
        <f>_xlfn.IFNA(VLOOKUP($C107,'Master sheet'!$A:$AR,44,FALSE),"")&amp;""</f>
        <v/>
      </c>
      <c r="P107" s="685"/>
      <c r="Q107" s="29"/>
      <c r="R107" s="28"/>
      <c r="S107" s="638"/>
      <c r="T107" s="638"/>
      <c r="U107" s="638"/>
      <c r="V107" s="638"/>
      <c r="W107" s="638"/>
      <c r="X107" s="638"/>
      <c r="Y107" s="638"/>
      <c r="Z107" s="638"/>
      <c r="AA107" s="638"/>
      <c r="AB107" s="638"/>
      <c r="AC107" s="623"/>
      <c r="AD107" s="623"/>
    </row>
    <row r="108" spans="1:30" ht="23.85" customHeight="1" x14ac:dyDescent="0.25">
      <c r="A108" s="686"/>
      <c r="B108" s="1541" t="s">
        <v>4592</v>
      </c>
      <c r="C108" s="1541"/>
      <c r="D108" s="656"/>
      <c r="E108" s="657"/>
      <c r="F108" s="327"/>
      <c r="G108" s="695"/>
      <c r="H108" s="695"/>
      <c r="I108" s="658"/>
      <c r="J108" s="659"/>
      <c r="K108" s="660"/>
      <c r="L108" s="661"/>
      <c r="M108" s="662"/>
      <c r="N108" s="662"/>
      <c r="O108" s="25" t="str">
        <f>_xlfn.IFNA(VLOOKUP($C108,'Master sheet'!$A:$AR,44,FALSE),"")&amp;""</f>
        <v/>
      </c>
      <c r="P108" s="685"/>
      <c r="Q108" s="30"/>
      <c r="R108" s="21"/>
      <c r="S108" s="664"/>
      <c r="T108" s="664"/>
      <c r="U108" s="664"/>
      <c r="V108" s="664"/>
      <c r="W108" s="664"/>
      <c r="X108" s="664"/>
      <c r="Y108" s="664"/>
      <c r="Z108" s="664"/>
      <c r="AA108" s="664"/>
      <c r="AB108" s="664"/>
      <c r="AC108" s="665"/>
      <c r="AD108" s="665"/>
    </row>
    <row r="109" spans="1:30" s="624" customFormat="1" ht="23.25" customHeight="1" x14ac:dyDescent="0.25">
      <c r="A109" s="1542"/>
      <c r="B109" s="1523"/>
      <c r="C109" s="669" t="str">
        <f>INDEX('Master sheet'!$A$1:$A$670,MATCH("A186",'Master sheet'!$AN$1:$AN$670,0))</f>
        <v>Barrier, sheet /  / Polyethylene sheet / 10 mil</v>
      </c>
      <c r="D109" s="15">
        <f>'USER INPUT SHEET'!$D$31</f>
        <v>0</v>
      </c>
      <c r="E109" s="16" t="str">
        <f>'USER INPUT SHEET'!$F$31</f>
        <v>m2</v>
      </c>
      <c r="F109" s="3">
        <v>1</v>
      </c>
      <c r="G109" s="670"/>
      <c r="H109" s="8"/>
      <c r="I109" s="92">
        <f>K109-L109</f>
        <v>0</v>
      </c>
      <c r="J109" s="93" t="str">
        <f>IF(H109=1,I109,"")</f>
        <v/>
      </c>
      <c r="K109" s="406">
        <f>$D109*$F109*VLOOKUP($C109,'Master sheet'!$A:$AL,13,FALSE)</f>
        <v>0</v>
      </c>
      <c r="L109" s="94">
        <f>$D109*$F109*VLOOKUP($C109,'Master sheet'!$A:$AL,27,FALSE)</f>
        <v>0</v>
      </c>
      <c r="M109" s="1551"/>
      <c r="N109" s="1551"/>
      <c r="O109" s="25" t="str">
        <f>_xlfn.IFNA(VLOOKUP($C109,'Master sheet'!$A:$AR,44,FALSE),"")&amp;""</f>
        <v/>
      </c>
      <c r="P109" s="685"/>
      <c r="Q109" s="29" t="s">
        <v>12</v>
      </c>
      <c r="R109" s="28" t="s">
        <v>4591</v>
      </c>
      <c r="S109" s="638"/>
      <c r="T109" s="638"/>
      <c r="U109" s="638"/>
      <c r="V109" s="638"/>
      <c r="W109" s="638"/>
      <c r="X109" s="638"/>
      <c r="Y109" s="638"/>
      <c r="Z109" s="638"/>
      <c r="AA109" s="638"/>
      <c r="AB109" s="638"/>
      <c r="AC109" s="623"/>
      <c r="AD109" s="623"/>
    </row>
    <row r="110" spans="1:30" s="624" customFormat="1" ht="23.25" customHeight="1" x14ac:dyDescent="0.25">
      <c r="A110" s="1542"/>
      <c r="B110" s="1523"/>
      <c r="C110" s="681" t="str">
        <f>INDEX('Master sheet'!$A$1:$A$670,MATCH("A187",'Master sheet'!$AN$1:$AN$670,0))</f>
        <v>Barrier, sheet /  / Polyethylene sheet / 6 mil</v>
      </c>
      <c r="D110" s="22">
        <f>'USER INPUT SHEET'!$D$31</f>
        <v>0</v>
      </c>
      <c r="E110" s="23" t="str">
        <f>'USER INPUT SHEET'!$F$31</f>
        <v>m2</v>
      </c>
      <c r="F110" s="6">
        <v>1</v>
      </c>
      <c r="G110" s="682"/>
      <c r="H110" s="10"/>
      <c r="I110" s="100">
        <f>K110-L110</f>
        <v>0</v>
      </c>
      <c r="J110" s="101" t="str">
        <f>IF(H110=1,I110,"")</f>
        <v/>
      </c>
      <c r="K110" s="408">
        <f>$D110*$F110*VLOOKUP($C110,'Master sheet'!$A:$AL,13,FALSE)</f>
        <v>0</v>
      </c>
      <c r="L110" s="102">
        <f>$D110*$F110*VLOOKUP($C110,'Master sheet'!$A:$AL,27,FALSE)</f>
        <v>0</v>
      </c>
      <c r="M110" s="1561"/>
      <c r="N110" s="1561"/>
      <c r="O110" s="25" t="str">
        <f>_xlfn.IFNA(VLOOKUP($C110,'Master sheet'!$A:$AR,44,FALSE),"")&amp;""</f>
        <v/>
      </c>
      <c r="P110" s="685"/>
      <c r="Q110" s="29" t="s">
        <v>12</v>
      </c>
      <c r="R110" s="28" t="s">
        <v>4591</v>
      </c>
      <c r="S110" s="638"/>
      <c r="T110" s="638"/>
      <c r="U110" s="638"/>
      <c r="V110" s="638"/>
      <c r="W110" s="638"/>
      <c r="X110" s="638"/>
      <c r="Y110" s="638"/>
      <c r="Z110" s="638"/>
      <c r="AA110" s="638"/>
      <c r="AB110" s="638"/>
      <c r="AC110" s="623"/>
      <c r="AD110" s="623"/>
    </row>
    <row r="111" spans="1:30" ht="23.85" customHeight="1" x14ac:dyDescent="0.25">
      <c r="A111" s="686"/>
      <c r="B111" s="1541" t="s">
        <v>4593</v>
      </c>
      <c r="C111" s="1541"/>
      <c r="D111" s="656"/>
      <c r="E111" s="657"/>
      <c r="F111" s="327"/>
      <c r="G111" s="695"/>
      <c r="H111" s="695"/>
      <c r="I111" s="658"/>
      <c r="J111" s="659"/>
      <c r="K111" s="660"/>
      <c r="L111" s="661"/>
      <c r="M111" s="662"/>
      <c r="N111" s="662"/>
      <c r="O111" s="25" t="str">
        <f>_xlfn.IFNA(VLOOKUP($C111,'Master sheet'!$A:$AR,44,FALSE),"")&amp;""</f>
        <v/>
      </c>
      <c r="P111" s="685"/>
      <c r="Q111" s="30"/>
      <c r="R111" s="21"/>
      <c r="S111" s="664"/>
      <c r="T111" s="664"/>
      <c r="U111" s="664"/>
      <c r="V111" s="664"/>
      <c r="W111" s="664"/>
      <c r="X111" s="664"/>
      <c r="Y111" s="664"/>
      <c r="Z111" s="664"/>
      <c r="AA111" s="664"/>
      <c r="AB111" s="664"/>
      <c r="AC111" s="665"/>
      <c r="AD111" s="665"/>
    </row>
    <row r="112" spans="1:30" s="624" customFormat="1" ht="31.2" x14ac:dyDescent="0.25">
      <c r="A112" s="1542"/>
      <c r="B112" s="1523"/>
      <c r="C112" s="669" t="str">
        <f>INDEX('Master sheet'!$A$1:$A$670,MATCH("A180",'Master sheet'!$AN$1:$AN$670,0))</f>
        <v xml:space="preserve">Ext. Waterproofing Barrier, liquid applied / Carlisle / MiraSEAL &amp; MiraTITE / </v>
      </c>
      <c r="D112" s="15">
        <f>'USER INPUT SHEET'!$D$31</f>
        <v>0</v>
      </c>
      <c r="E112" s="16" t="str">
        <f>'USER INPUT SHEET'!$F$31</f>
        <v>m2</v>
      </c>
      <c r="F112" s="3">
        <v>1</v>
      </c>
      <c r="G112" s="670"/>
      <c r="H112" s="8"/>
      <c r="I112" s="92">
        <f>K112-L112</f>
        <v>0</v>
      </c>
      <c r="J112" s="93" t="str">
        <f>IF(H112=1,I112,"")</f>
        <v/>
      </c>
      <c r="K112" s="406">
        <f>$D112*$F112*VLOOKUP($C112,'Master sheet'!$A:$AL,13,FALSE)</f>
        <v>0</v>
      </c>
      <c r="L112" s="94">
        <f>$D112*$F112*VLOOKUP($C112,'Master sheet'!$A:$AL,27,FALSE)</f>
        <v>0</v>
      </c>
      <c r="M112" s="1562"/>
      <c r="N112" s="1562"/>
      <c r="O112" s="25" t="str">
        <f>_xlfn.IFNA(VLOOKUP($C112,'Master sheet'!$A:$AR,44,FALSE),"")&amp;""</f>
        <v/>
      </c>
      <c r="P112" s="685"/>
      <c r="Q112" s="29" t="s">
        <v>12</v>
      </c>
      <c r="R112" s="28" t="s">
        <v>4591</v>
      </c>
      <c r="S112" s="638"/>
      <c r="T112" s="638"/>
      <c r="U112" s="638"/>
      <c r="V112" s="638"/>
      <c r="W112" s="638"/>
      <c r="X112" s="638"/>
      <c r="Y112" s="638"/>
      <c r="Z112" s="638"/>
      <c r="AA112" s="638"/>
      <c r="AB112" s="638"/>
      <c r="AC112" s="623"/>
      <c r="AD112" s="623"/>
    </row>
    <row r="113" spans="1:30" s="624" customFormat="1" ht="55.2" customHeight="1" x14ac:dyDescent="0.25">
      <c r="A113" s="1522" t="s">
        <v>29</v>
      </c>
      <c r="B113" s="1523"/>
      <c r="C113" s="1523"/>
      <c r="D113" s="649"/>
      <c r="E113" s="650"/>
      <c r="F113" s="321"/>
      <c r="G113" s="650"/>
      <c r="H113" s="650"/>
      <c r="I113" s="651"/>
      <c r="J113" s="103"/>
      <c r="K113" s="652"/>
      <c r="L113" s="653"/>
      <c r="M113" s="654"/>
      <c r="N113" s="654"/>
      <c r="O113" s="25" t="str">
        <f>_xlfn.IFNA(VLOOKUP($C113,'Master sheet'!$A:$AR,44,FALSE),"")&amp;""</f>
        <v/>
      </c>
      <c r="P113" s="685"/>
      <c r="Q113" s="29"/>
      <c r="R113" s="28"/>
      <c r="S113" s="638"/>
      <c r="T113" s="638"/>
      <c r="U113" s="638"/>
      <c r="V113" s="638"/>
      <c r="W113" s="638"/>
      <c r="X113" s="638"/>
      <c r="Y113" s="638"/>
      <c r="Z113" s="638"/>
      <c r="AA113" s="638"/>
      <c r="AB113" s="638"/>
      <c r="AC113" s="623"/>
      <c r="AD113" s="623"/>
    </row>
    <row r="114" spans="1:30" ht="23.85" customHeight="1" x14ac:dyDescent="0.25">
      <c r="A114" s="686"/>
      <c r="B114" s="1541" t="s">
        <v>1028</v>
      </c>
      <c r="C114" s="1541"/>
      <c r="D114" s="656"/>
      <c r="E114" s="657"/>
      <c r="F114" s="327"/>
      <c r="G114" s="695"/>
      <c r="H114" s="695"/>
      <c r="I114" s="658"/>
      <c r="J114" s="659"/>
      <c r="K114" s="660"/>
      <c r="L114" s="661"/>
      <c r="M114" s="662"/>
      <c r="N114" s="662"/>
      <c r="O114" s="25" t="str">
        <f>_xlfn.IFNA(VLOOKUP($C114,'Master sheet'!$A:$AR,44,FALSE),"")&amp;""</f>
        <v/>
      </c>
      <c r="P114" s="685"/>
      <c r="Q114" s="30"/>
      <c r="R114" s="21"/>
      <c r="S114" s="664"/>
      <c r="T114" s="664"/>
      <c r="U114" s="664"/>
      <c r="V114" s="664"/>
      <c r="W114" s="664"/>
      <c r="X114" s="664"/>
      <c r="Y114" s="664"/>
      <c r="Z114" s="664"/>
      <c r="AA114" s="664"/>
      <c r="AB114" s="664"/>
      <c r="AC114" s="665"/>
      <c r="AD114" s="665"/>
    </row>
    <row r="115" spans="1:30" ht="22.8" x14ac:dyDescent="0.25">
      <c r="A115" s="690"/>
      <c r="B115" s="625"/>
      <c r="C115" s="691" t="s">
        <v>1054</v>
      </c>
      <c r="D115" s="19">
        <f>'USER INPUT SHEET'!$D$31</f>
        <v>0</v>
      </c>
      <c r="E115" s="20" t="str">
        <f>'USER INPUT SHEET'!$F$31</f>
        <v>m2</v>
      </c>
      <c r="F115" s="5">
        <v>1</v>
      </c>
      <c r="G115" s="692"/>
      <c r="H115" s="10"/>
      <c r="I115" s="98">
        <f>K115-L115-IF(N115,M115,0)</f>
        <v>0</v>
      </c>
      <c r="J115" s="91" t="str">
        <f t="shared" ref="J115:J118" si="39">IF(H115=1,I115,"")</f>
        <v/>
      </c>
      <c r="K115" s="410">
        <f>$F115*AVERAGE(K116:K118)</f>
        <v>0</v>
      </c>
      <c r="L115" s="99">
        <f>$F115*AVERAGE(L116:L118)</f>
        <v>0</v>
      </c>
      <c r="M115" s="1560"/>
      <c r="N115" s="1560"/>
      <c r="O115" s="25" t="str">
        <f>_xlfn.IFNA(VLOOKUP($C115,'Master sheet'!$A:$AR,44,FALSE),"")&amp;""</f>
        <v/>
      </c>
      <c r="P115" s="637"/>
      <c r="Q115" s="30" t="s">
        <v>12</v>
      </c>
      <c r="R115" s="21" t="s">
        <v>29</v>
      </c>
      <c r="S115" s="664"/>
      <c r="T115" s="664"/>
      <c r="U115" s="664"/>
      <c r="V115" s="664"/>
      <c r="W115" s="664"/>
      <c r="X115" s="664"/>
      <c r="Y115" s="664"/>
      <c r="Z115" s="664"/>
      <c r="AA115" s="664"/>
      <c r="AB115" s="664"/>
      <c r="AC115" s="665"/>
      <c r="AD115" s="665"/>
    </row>
    <row r="116" spans="1:30" ht="31.5" customHeight="1" x14ac:dyDescent="0.25">
      <c r="A116" s="1554"/>
      <c r="B116" s="1555"/>
      <c r="C116" s="669" t="str">
        <f>INDEX('Master sheet'!$A$1:$A$670,MATCH(118,'Master sheet'!$AN$1:$AN$670,0))</f>
        <v>Hardwood flooring / mafi / Natural Hardwood Planks / 3/4", 3 ply laminated solid, oil pre-finished</v>
      </c>
      <c r="D116" s="15">
        <f>'USER INPUT SHEET'!$D$31</f>
        <v>0</v>
      </c>
      <c r="E116" s="16" t="str">
        <f>'USER INPUT SHEET'!$F$31</f>
        <v>m2</v>
      </c>
      <c r="F116" s="3">
        <v>1</v>
      </c>
      <c r="G116" s="670"/>
      <c r="H116" s="8"/>
      <c r="I116" s="95">
        <f>K116-L116-IF(N116,M116,0)</f>
        <v>0</v>
      </c>
      <c r="J116" s="93" t="str">
        <f t="shared" si="39"/>
        <v/>
      </c>
      <c r="K116" s="406">
        <f>$D116*$F116*VLOOKUP($C116,'Master sheet'!$A:$AL,13,FALSE)</f>
        <v>0</v>
      </c>
      <c r="L116" s="94">
        <f>$D116*$F116*VLOOKUP($C116,'Master sheet'!$A:$AL,27,FALSE)</f>
        <v>0</v>
      </c>
      <c r="M116" s="1551"/>
      <c r="N116" s="1551"/>
      <c r="O116" s="25" t="str">
        <f ca="1">_xlfn.IFNA(VLOOKUP($C116,'Master sheet'!$A:$AR,44,FALSE),"")&amp;""</f>
        <v>Expired 2025</v>
      </c>
      <c r="P116" s="637"/>
      <c r="Q116" s="30" t="s">
        <v>12</v>
      </c>
      <c r="R116" s="21" t="s">
        <v>29</v>
      </c>
      <c r="S116" s="664"/>
      <c r="T116" s="664"/>
      <c r="U116" s="664"/>
      <c r="V116" s="664"/>
      <c r="W116" s="664"/>
      <c r="X116" s="664"/>
      <c r="Y116" s="664"/>
      <c r="Z116" s="664"/>
      <c r="AA116" s="664"/>
      <c r="AB116" s="664"/>
      <c r="AC116" s="665"/>
      <c r="AD116" s="665"/>
    </row>
    <row r="117" spans="1:30" ht="31.5" customHeight="1" x14ac:dyDescent="0.25">
      <c r="A117" s="1523"/>
      <c r="B117" s="1523"/>
      <c r="C117" s="673" t="str">
        <f>INDEX('Master sheet'!$A$1:$A$670,MATCH("A52",'Master sheet'!$AN$1:$AN$670,0))</f>
        <v>Hardwood flooring / NWFA and Decorative Hardwoods Association / Solid Wood Flooring / 3/4"</v>
      </c>
      <c r="D117" s="17">
        <f>'USER INPUT SHEET'!$D$31</f>
        <v>0</v>
      </c>
      <c r="E117" s="18" t="str">
        <f>'USER INPUT SHEET'!$F$31</f>
        <v>m2</v>
      </c>
      <c r="F117" s="4">
        <v>1</v>
      </c>
      <c r="G117" s="674"/>
      <c r="H117" s="9"/>
      <c r="I117" s="95">
        <f>K117-L117-IF(N117,M117,0)</f>
        <v>0</v>
      </c>
      <c r="J117" s="96" t="str">
        <f t="shared" si="39"/>
        <v/>
      </c>
      <c r="K117" s="407">
        <f>$D117*$F117*VLOOKUP($C117,'Master sheet'!$A:$AL,13,FALSE)</f>
        <v>0</v>
      </c>
      <c r="L117" s="97">
        <f>$D117*$F117*VLOOKUP($C117,'Master sheet'!$A:$AL,27,FALSE)</f>
        <v>0</v>
      </c>
      <c r="M117" s="1551"/>
      <c r="N117" s="1551"/>
      <c r="O117" s="25" t="str">
        <f>_xlfn.IFNA(VLOOKUP($C117,'Master sheet'!$A:$AR,44,FALSE),"")&amp;""</f>
        <v/>
      </c>
      <c r="P117" s="637"/>
      <c r="Q117" s="29" t="s">
        <v>12</v>
      </c>
      <c r="R117" s="28" t="s">
        <v>29</v>
      </c>
      <c r="S117" s="638"/>
      <c r="T117" s="638"/>
      <c r="U117" s="664"/>
      <c r="V117" s="664"/>
      <c r="W117" s="664"/>
      <c r="X117" s="664"/>
      <c r="Y117" s="664"/>
      <c r="Z117" s="664"/>
      <c r="AA117" s="664"/>
      <c r="AB117" s="664"/>
      <c r="AC117" s="665"/>
      <c r="AD117" s="665"/>
    </row>
    <row r="118" spans="1:30" s="624" customFormat="1" ht="22.8" x14ac:dyDescent="0.25">
      <c r="A118" s="1548"/>
      <c r="B118" s="1549"/>
      <c r="C118" s="673" t="str">
        <f>INDEX('Master sheet'!$A$1:$A$670,MATCH("A53",'Master sheet'!$AN$1:$AN$670,0))</f>
        <v>Hardwood flooring / Wickham / Solid Hardwood / 3/4"</v>
      </c>
      <c r="D118" s="17">
        <f>'USER INPUT SHEET'!$D$31</f>
        <v>0</v>
      </c>
      <c r="E118" s="18" t="str">
        <f>'USER INPUT SHEET'!$F$31</f>
        <v>m2</v>
      </c>
      <c r="F118" s="4">
        <v>1</v>
      </c>
      <c r="G118" s="674"/>
      <c r="H118" s="9"/>
      <c r="I118" s="95">
        <f t="shared" ref="I118" si="40">K118-L118-IF(N118,M118,0)</f>
        <v>0</v>
      </c>
      <c r="J118" s="96" t="str">
        <f t="shared" si="39"/>
        <v/>
      </c>
      <c r="K118" s="407">
        <f>$D118*$F118*VLOOKUP($C118,'Master sheet'!$A:$AL,13,FALSE)</f>
        <v>0</v>
      </c>
      <c r="L118" s="97">
        <f>$D118*$F118*VLOOKUP($C118,'Master sheet'!$A:$AL,27,FALSE)</f>
        <v>0</v>
      </c>
      <c r="M118" s="1551"/>
      <c r="N118" s="1551"/>
      <c r="O118" s="25" t="str">
        <f>_xlfn.IFNA(VLOOKUP($C118,'Master sheet'!$A:$AR,44,FALSE),"")&amp;""</f>
        <v/>
      </c>
      <c r="P118" s="637"/>
      <c r="Q118" s="29" t="s">
        <v>12</v>
      </c>
      <c r="R118" s="28" t="s">
        <v>29</v>
      </c>
      <c r="S118" s="638"/>
      <c r="T118" s="638"/>
      <c r="U118" s="638"/>
      <c r="V118" s="638"/>
      <c r="W118" s="638"/>
      <c r="X118" s="638"/>
      <c r="Y118" s="638"/>
      <c r="Z118" s="638"/>
      <c r="AA118" s="638"/>
      <c r="AB118" s="638"/>
      <c r="AC118" s="623"/>
      <c r="AD118" s="623"/>
    </row>
    <row r="119" spans="1:30" s="624" customFormat="1" ht="22.8" x14ac:dyDescent="0.25">
      <c r="A119" s="639"/>
      <c r="B119" s="1524" t="s">
        <v>3420</v>
      </c>
      <c r="C119" s="1524"/>
      <c r="D119" s="640"/>
      <c r="E119" s="641"/>
      <c r="F119" s="320"/>
      <c r="G119" s="641"/>
      <c r="H119" s="641"/>
      <c r="I119" s="642"/>
      <c r="J119" s="643"/>
      <c r="K119" s="676"/>
      <c r="L119" s="677"/>
      <c r="M119" s="662"/>
      <c r="N119" s="662"/>
      <c r="O119" s="25" t="str">
        <f>_xlfn.IFNA(VLOOKUP($C119,'Master sheet'!$A:$AR,44,FALSE),"")&amp;""</f>
        <v/>
      </c>
      <c r="P119" s="685"/>
      <c r="Q119" s="29"/>
      <c r="R119" s="28"/>
      <c r="S119" s="638"/>
      <c r="T119" s="638"/>
      <c r="U119" s="638"/>
      <c r="V119" s="638"/>
      <c r="W119" s="638"/>
      <c r="X119" s="638"/>
      <c r="Y119" s="638"/>
      <c r="Z119" s="638"/>
      <c r="AA119" s="638"/>
      <c r="AB119" s="638"/>
      <c r="AC119" s="623"/>
      <c r="AD119" s="623"/>
    </row>
    <row r="120" spans="1:30" ht="31.5" customHeight="1" x14ac:dyDescent="0.25">
      <c r="A120" s="1556"/>
      <c r="B120" s="1556"/>
      <c r="C120" s="669" t="str">
        <f>INDEX('Master sheet'!$A$1:$A$670,MATCH(381,'Master sheet'!$AN$1:$AN$670,0))</f>
        <v>Linoleum flooring / Mannington / Legato Flooring / liquid applied</v>
      </c>
      <c r="D120" s="15">
        <f>'USER INPUT SHEET'!$D$31</f>
        <v>0</v>
      </c>
      <c r="E120" s="16" t="str">
        <f>'USER INPUT SHEET'!$F$31</f>
        <v>m2</v>
      </c>
      <c r="F120" s="3">
        <v>1</v>
      </c>
      <c r="G120" s="670"/>
      <c r="H120" s="8"/>
      <c r="I120" s="92">
        <f t="shared" ref="I120:I127" si="41">K120-L120</f>
        <v>0</v>
      </c>
      <c r="J120" s="93" t="str">
        <f t="shared" ref="J120:J127" si="42">IF(H120=1,I120,"")</f>
        <v/>
      </c>
      <c r="K120" s="406">
        <f>$D120*$F120*VLOOKUP($C120,'Master sheet'!$A:$AL,13,FALSE)</f>
        <v>0</v>
      </c>
      <c r="L120" s="94">
        <f>$D120*$F120*VLOOKUP($C120,'Master sheet'!$A:$AL,27,FALSE)</f>
        <v>0</v>
      </c>
      <c r="M120" s="1551"/>
      <c r="N120" s="1551"/>
      <c r="O120" s="25" t="str">
        <f ca="1">_xlfn.IFNA(VLOOKUP($C120,'Master sheet'!$A:$AR,44,FALSE),"")&amp;""</f>
        <v>Expired 2025</v>
      </c>
      <c r="P120" s="685"/>
      <c r="Q120" s="30" t="s">
        <v>12</v>
      </c>
      <c r="R120" s="21" t="s">
        <v>29</v>
      </c>
      <c r="S120" s="638"/>
      <c r="T120" s="638" t="s">
        <v>7295</v>
      </c>
      <c r="U120" s="664"/>
      <c r="V120" s="664"/>
      <c r="W120" s="664"/>
      <c r="X120" s="664"/>
      <c r="Y120" s="664"/>
      <c r="Z120" s="664"/>
      <c r="AA120" s="664"/>
      <c r="AB120" s="664"/>
      <c r="AC120" s="665"/>
      <c r="AD120" s="665"/>
    </row>
    <row r="121" spans="1:30" ht="22.8" x14ac:dyDescent="0.25">
      <c r="A121" s="1556"/>
      <c r="B121" s="1556"/>
      <c r="C121" s="691" t="s">
        <v>1353</v>
      </c>
      <c r="D121" s="19">
        <f>'USER INPUT SHEET'!$D$31</f>
        <v>0</v>
      </c>
      <c r="E121" s="20" t="str">
        <f>'USER INPUT SHEET'!$F$31</f>
        <v>m2</v>
      </c>
      <c r="F121" s="6">
        <v>1</v>
      </c>
      <c r="G121" s="692"/>
      <c r="H121" s="10"/>
      <c r="I121" s="98">
        <f t="shared" si="41"/>
        <v>0</v>
      </c>
      <c r="J121" s="91" t="str">
        <f t="shared" si="42"/>
        <v/>
      </c>
      <c r="K121" s="410">
        <f>$F121*AVERAGE(K122:K124)</f>
        <v>0</v>
      </c>
      <c r="L121" s="99">
        <f>$F121*AVERAGE(L122:L124)</f>
        <v>0</v>
      </c>
      <c r="M121" s="1551"/>
      <c r="N121" s="1551"/>
      <c r="O121" s="25" t="str">
        <f>_xlfn.IFNA(VLOOKUP($C121,'Master sheet'!$A:$AR,44,FALSE),"")&amp;""</f>
        <v/>
      </c>
      <c r="P121" s="685"/>
      <c r="Q121" s="30" t="s">
        <v>12</v>
      </c>
      <c r="R121" s="21" t="s">
        <v>29</v>
      </c>
      <c r="S121" s="664"/>
      <c r="T121" s="664"/>
      <c r="U121" s="664"/>
      <c r="V121" s="664"/>
      <c r="W121" s="664"/>
      <c r="X121" s="664"/>
      <c r="Y121" s="664"/>
      <c r="Z121" s="664"/>
      <c r="AA121" s="664"/>
      <c r="AB121" s="664"/>
      <c r="AC121" s="665"/>
      <c r="AD121" s="665"/>
    </row>
    <row r="122" spans="1:30" ht="31.5" customHeight="1" x14ac:dyDescent="0.25">
      <c r="A122" s="1556"/>
      <c r="B122" s="1556"/>
      <c r="C122" s="669" t="str">
        <f>INDEX('Master sheet'!$A$1:$A$670,MATCH(133,'Master sheet'!$AN$1:$AN$670,0))</f>
        <v>Linoleum flooring / Forbo / Marmoleum Striato / 2.5 mm sheet style linoleum</v>
      </c>
      <c r="D122" s="15">
        <f>'USER INPUT SHEET'!$D$31</f>
        <v>0</v>
      </c>
      <c r="E122" s="16" t="str">
        <f>'USER INPUT SHEET'!$F$31</f>
        <v>m2</v>
      </c>
      <c r="F122" s="3">
        <v>1</v>
      </c>
      <c r="G122" s="670"/>
      <c r="H122" s="8"/>
      <c r="I122" s="92">
        <f t="shared" si="41"/>
        <v>0</v>
      </c>
      <c r="J122" s="93" t="str">
        <f t="shared" si="42"/>
        <v/>
      </c>
      <c r="K122" s="406">
        <f>$D122*$F122*VLOOKUP($C122,'Master sheet'!$A:$AL,13,FALSE)</f>
        <v>0</v>
      </c>
      <c r="L122" s="94">
        <f>$D122*$F122*VLOOKUP($C122,'Master sheet'!$A:$AL,27,FALSE)</f>
        <v>0</v>
      </c>
      <c r="M122" s="1551"/>
      <c r="N122" s="1551"/>
      <c r="O122" s="25" t="str">
        <f ca="1">_xlfn.IFNA(VLOOKUP($C122,'Master sheet'!$A:$AR,44,FALSE),"")&amp;""</f>
        <v>Expired 2025</v>
      </c>
      <c r="P122" s="637"/>
      <c r="Q122" s="30" t="s">
        <v>12</v>
      </c>
      <c r="R122" s="21" t="s">
        <v>29</v>
      </c>
      <c r="S122" s="664"/>
      <c r="T122" s="664"/>
      <c r="U122" s="664"/>
      <c r="V122" s="664"/>
      <c r="W122" s="664"/>
      <c r="X122" s="664"/>
      <c r="Y122" s="664"/>
      <c r="Z122" s="664"/>
      <c r="AA122" s="664"/>
      <c r="AB122" s="664"/>
      <c r="AC122" s="665"/>
      <c r="AD122" s="665"/>
    </row>
    <row r="123" spans="1:30" ht="31.5" customHeight="1" x14ac:dyDescent="0.25">
      <c r="A123" s="1557"/>
      <c r="B123" s="1557"/>
      <c r="C123" s="673" t="str">
        <f>INDEX('Master sheet'!$A$1:$A$670,MATCH(373,'Master sheet'!$AN$1:$AN$670,0))</f>
        <v>Linoleum flooring / Gerflor  / DLW Linoleum Compact / 2.5 mm sheet style linoleum</v>
      </c>
      <c r="D123" s="15">
        <f>'USER INPUT SHEET'!$D$31</f>
        <v>0</v>
      </c>
      <c r="E123" s="16" t="str">
        <f>'USER INPUT SHEET'!$F$31</f>
        <v>m2</v>
      </c>
      <c r="F123" s="3">
        <v>1</v>
      </c>
      <c r="G123" s="670"/>
      <c r="H123" s="8"/>
      <c r="I123" s="92">
        <f t="shared" si="41"/>
        <v>0</v>
      </c>
      <c r="J123" s="93" t="str">
        <f t="shared" si="42"/>
        <v/>
      </c>
      <c r="K123" s="406">
        <f>$D123*$F123*VLOOKUP($C123,'Master sheet'!$A:$AL,13,FALSE)</f>
        <v>0</v>
      </c>
      <c r="L123" s="94">
        <f>$D123*$F123*VLOOKUP($C123,'Master sheet'!$A:$AL,27,FALSE)</f>
        <v>0</v>
      </c>
      <c r="M123" s="1551"/>
      <c r="N123" s="1551"/>
      <c r="O123" s="25" t="str">
        <f ca="1">_xlfn.IFNA(VLOOKUP($C123,'Master sheet'!$A:$AR,44,FALSE),"")&amp;""</f>
        <v>Expired 2025</v>
      </c>
      <c r="P123" s="637"/>
      <c r="Q123" s="30" t="s">
        <v>12</v>
      </c>
      <c r="R123" s="21" t="s">
        <v>29</v>
      </c>
      <c r="S123" s="664"/>
      <c r="T123" s="664"/>
      <c r="U123" s="664"/>
      <c r="V123" s="664"/>
      <c r="W123" s="664"/>
      <c r="X123" s="664"/>
      <c r="Y123" s="664"/>
      <c r="Z123" s="664"/>
      <c r="AA123" s="664"/>
      <c r="AB123" s="664"/>
      <c r="AC123" s="665"/>
      <c r="AD123" s="665"/>
    </row>
    <row r="124" spans="1:30" ht="46.8" x14ac:dyDescent="0.25">
      <c r="A124" s="1557"/>
      <c r="B124" s="1557"/>
      <c r="C124" s="673" t="str">
        <f>INDEX('Master sheet'!$A$1:$A$670,MATCH("A67",'Master sheet'!$AN$1:$AN$670,0))</f>
        <v>Linoleum flooring / Tarkett / Lino Veneto xf2, Etrusco, Style Elle|Emme, Veneto, Originale, LinoRail, Linosport / 2.5 mm sheet style linoleum</v>
      </c>
      <c r="D124" s="17">
        <f>'USER INPUT SHEET'!$D$31</f>
        <v>0</v>
      </c>
      <c r="E124" s="18" t="str">
        <f>'USER INPUT SHEET'!$F$31</f>
        <v>m2</v>
      </c>
      <c r="F124" s="4">
        <v>1</v>
      </c>
      <c r="G124" s="674"/>
      <c r="H124" s="9"/>
      <c r="I124" s="95">
        <f t="shared" si="41"/>
        <v>0</v>
      </c>
      <c r="J124" s="96" t="str">
        <f t="shared" si="42"/>
        <v/>
      </c>
      <c r="K124" s="407">
        <f>$D124*$F124*VLOOKUP($C124,'Master sheet'!$A:$AL,13,FALSE)</f>
        <v>0</v>
      </c>
      <c r="L124" s="97">
        <f>$D124*$F124*VLOOKUP($C124,'Master sheet'!$A:$AL,27,FALSE)</f>
        <v>0</v>
      </c>
      <c r="M124" s="1561"/>
      <c r="N124" s="1561"/>
      <c r="O124" s="25" t="str">
        <f>_xlfn.IFNA(VLOOKUP($C124,'Master sheet'!$A:$AR,44,FALSE),"")&amp;""</f>
        <v/>
      </c>
      <c r="P124" s="637"/>
      <c r="Q124" s="29" t="s">
        <v>12</v>
      </c>
      <c r="R124" s="28" t="s">
        <v>29</v>
      </c>
      <c r="S124" s="638"/>
      <c r="T124" s="664"/>
      <c r="U124" s="664"/>
      <c r="V124" s="664"/>
      <c r="W124" s="664"/>
      <c r="X124" s="664"/>
      <c r="Y124" s="664"/>
      <c r="Z124" s="664"/>
      <c r="AA124" s="664"/>
      <c r="AB124" s="664"/>
      <c r="AC124" s="665"/>
      <c r="AD124" s="665"/>
    </row>
    <row r="125" spans="1:30" ht="31.5" customHeight="1" x14ac:dyDescent="0.25">
      <c r="A125" s="1557"/>
      <c r="B125" s="1557"/>
      <c r="C125" s="691" t="s">
        <v>4784</v>
      </c>
      <c r="D125" s="19">
        <f>'USER INPUT SHEET'!$D$31</f>
        <v>0</v>
      </c>
      <c r="E125" s="20" t="str">
        <f>'USER INPUT SHEET'!$F$31</f>
        <v>m2</v>
      </c>
      <c r="F125" s="6">
        <v>1</v>
      </c>
      <c r="G125" s="692"/>
      <c r="H125" s="10"/>
      <c r="I125" s="98">
        <f t="shared" ref="I125" si="43">K125-L125</f>
        <v>0</v>
      </c>
      <c r="J125" s="91" t="str">
        <f t="shared" ref="J125" si="44">IF(H125=1,I125,"")</f>
        <v/>
      </c>
      <c r="K125" s="410">
        <f>$F125*AVERAGE(K126:K127)</f>
        <v>0</v>
      </c>
      <c r="L125" s="99">
        <f>$F125*AVERAGE(L126:L127)</f>
        <v>0</v>
      </c>
      <c r="M125" s="1551"/>
      <c r="N125" s="1551"/>
      <c r="O125" s="25" t="str">
        <f>_xlfn.IFNA(VLOOKUP($C125,'Master sheet'!$A:$AR,44,FALSE),"")&amp;""</f>
        <v/>
      </c>
      <c r="P125" s="685"/>
      <c r="Q125" s="30" t="s">
        <v>12</v>
      </c>
      <c r="R125" s="21" t="s">
        <v>29</v>
      </c>
      <c r="S125" s="664"/>
      <c r="T125" s="664"/>
      <c r="U125" s="664"/>
      <c r="V125" s="664"/>
      <c r="W125" s="664"/>
      <c r="X125" s="664"/>
      <c r="Y125" s="664"/>
      <c r="Z125" s="664"/>
      <c r="AA125" s="664"/>
      <c r="AB125" s="664"/>
      <c r="AC125" s="665"/>
      <c r="AD125" s="665"/>
    </row>
    <row r="126" spans="1:30" ht="31.5" customHeight="1" x14ac:dyDescent="0.25">
      <c r="A126" s="1557"/>
      <c r="B126" s="1557"/>
      <c r="C126" s="673" t="str">
        <f>INDEX('Master sheet'!$A$1:$A$670,MATCH("A66",'Master sheet'!$AN$1:$AN$670,0))</f>
        <v>Linoleum flooring / Tarkett / Lino Acoustic  / 3.8 mm sheet style linoleum with polyurethane foam backing</v>
      </c>
      <c r="D126" s="17">
        <f>'USER INPUT SHEET'!$D$31</f>
        <v>0</v>
      </c>
      <c r="E126" s="18" t="str">
        <f>'USER INPUT SHEET'!$F$31</f>
        <v>m2</v>
      </c>
      <c r="F126" s="4">
        <v>1</v>
      </c>
      <c r="G126" s="674"/>
      <c r="H126" s="9"/>
      <c r="I126" s="95">
        <f t="shared" ref="I126" si="45">K126-L126</f>
        <v>0</v>
      </c>
      <c r="J126" s="96" t="str">
        <f t="shared" ref="J126" si="46">IF(H126=1,I126,"")</f>
        <v/>
      </c>
      <c r="K126" s="407">
        <f>$D126*$F126*VLOOKUP($C126,'Master sheet'!$A:$AL,13,FALSE)</f>
        <v>0</v>
      </c>
      <c r="L126" s="97">
        <f>$D126*$F126*VLOOKUP($C126,'Master sheet'!$A:$AL,27,FALSE)</f>
        <v>0</v>
      </c>
      <c r="M126" s="1551"/>
      <c r="N126" s="1551"/>
      <c r="O126" s="25" t="str">
        <f>_xlfn.IFNA(VLOOKUP($C126,'Master sheet'!$A:$AR,44,FALSE),"")&amp;""</f>
        <v/>
      </c>
      <c r="P126" s="637"/>
      <c r="Q126" s="29" t="s">
        <v>12</v>
      </c>
      <c r="R126" s="28" t="s">
        <v>29</v>
      </c>
      <c r="S126" s="638"/>
      <c r="T126" s="664"/>
      <c r="U126" s="664"/>
      <c r="V126" s="664"/>
      <c r="W126" s="664"/>
      <c r="X126" s="664"/>
      <c r="Y126" s="664"/>
      <c r="Z126" s="664"/>
      <c r="AA126" s="664"/>
      <c r="AB126" s="664"/>
      <c r="AC126" s="665"/>
      <c r="AD126" s="665"/>
    </row>
    <row r="127" spans="1:30" s="624" customFormat="1" ht="31.5" customHeight="1" x14ac:dyDescent="0.25">
      <c r="A127" s="1556"/>
      <c r="B127" s="1556"/>
      <c r="C127" s="673" t="str">
        <f>INDEX('Master sheet'!$A$1:$A$670,MATCH("A68",'Master sheet'!$AN$1:$AN$670,0))</f>
        <v>Linoleum flooring / Tarkett / Veneto Acoustic Cork / 4.4 mm sheet style linoleum with cork backing</v>
      </c>
      <c r="D127" s="17">
        <f>'USER INPUT SHEET'!$D$31</f>
        <v>0</v>
      </c>
      <c r="E127" s="18" t="str">
        <f>'USER INPUT SHEET'!$F$31</f>
        <v>m2</v>
      </c>
      <c r="F127" s="4">
        <v>1</v>
      </c>
      <c r="G127" s="674"/>
      <c r="H127" s="9"/>
      <c r="I127" s="95">
        <f t="shared" si="41"/>
        <v>0</v>
      </c>
      <c r="J127" s="96" t="str">
        <f t="shared" si="42"/>
        <v/>
      </c>
      <c r="K127" s="407">
        <f>$D127*$F127*VLOOKUP($C127,'Master sheet'!$A:$AL,13,FALSE)</f>
        <v>0</v>
      </c>
      <c r="L127" s="97">
        <f>$D127*$F127*VLOOKUP($C127,'Master sheet'!$A:$AL,27,FALSE)</f>
        <v>0</v>
      </c>
      <c r="M127" s="1561"/>
      <c r="N127" s="1561"/>
      <c r="O127" s="25" t="str">
        <f>_xlfn.IFNA(VLOOKUP($C127,'Master sheet'!$A:$AR,44,FALSE),"")&amp;""</f>
        <v/>
      </c>
      <c r="P127" s="637"/>
      <c r="Q127" s="29" t="s">
        <v>12</v>
      </c>
      <c r="R127" s="28" t="s">
        <v>29</v>
      </c>
      <c r="S127" s="638"/>
      <c r="T127" s="638"/>
      <c r="U127" s="638"/>
      <c r="V127" s="638"/>
      <c r="W127" s="638"/>
      <c r="X127" s="638"/>
      <c r="Y127" s="638"/>
      <c r="Z127" s="638"/>
      <c r="AA127" s="638"/>
      <c r="AB127" s="638"/>
      <c r="AC127" s="623"/>
      <c r="AD127" s="623"/>
    </row>
    <row r="128" spans="1:30" s="624" customFormat="1" ht="22.8" x14ac:dyDescent="0.25">
      <c r="A128" s="639"/>
      <c r="B128" s="1524" t="s">
        <v>1029</v>
      </c>
      <c r="C128" s="1524"/>
      <c r="D128" s="640"/>
      <c r="E128" s="641"/>
      <c r="F128" s="320"/>
      <c r="G128" s="641"/>
      <c r="H128" s="641"/>
      <c r="I128" s="642"/>
      <c r="J128" s="643"/>
      <c r="K128" s="676"/>
      <c r="L128" s="677"/>
      <c r="M128" s="662"/>
      <c r="N128" s="662"/>
      <c r="O128" s="25" t="str">
        <f>_xlfn.IFNA(VLOOKUP($C128,'Master sheet'!$A:$AR,44,FALSE),"")&amp;""</f>
        <v/>
      </c>
      <c r="P128" s="685"/>
      <c r="Q128" s="29"/>
      <c r="R128" s="28"/>
      <c r="S128" s="638"/>
      <c r="T128" s="638"/>
      <c r="U128" s="638"/>
      <c r="V128" s="638"/>
      <c r="W128" s="638"/>
      <c r="X128" s="638"/>
      <c r="Y128" s="638"/>
      <c r="Z128" s="638"/>
      <c r="AA128" s="638"/>
      <c r="AB128" s="638"/>
      <c r="AC128" s="623"/>
      <c r="AD128" s="623"/>
    </row>
    <row r="129" spans="1:30" s="624" customFormat="1" ht="47.25" customHeight="1" x14ac:dyDescent="0.25">
      <c r="A129" s="1542"/>
      <c r="B129" s="1542"/>
      <c r="C129" s="673" t="str">
        <f>INDEX('Master sheet'!$A$1:$A$670,MATCH("A14",'Master sheet'!$AN$1:$AN$670,0))</f>
        <v xml:space="preserve">Ceramic tile / Tile Council of North America / Industry average. Includes porcelain, pressed, mosaic and quarry tile / 18.8 kg/m2 </v>
      </c>
      <c r="D129" s="17">
        <f>'USER INPUT SHEET'!$D$31</f>
        <v>0</v>
      </c>
      <c r="E129" s="18" t="str">
        <f>'USER INPUT SHEET'!$F$31</f>
        <v>m2</v>
      </c>
      <c r="F129" s="4">
        <v>1</v>
      </c>
      <c r="G129" s="674"/>
      <c r="H129" s="9"/>
      <c r="I129" s="95">
        <f t="shared" ref="I129" si="47">K129-L129</f>
        <v>0</v>
      </c>
      <c r="J129" s="96" t="str">
        <f t="shared" ref="J129" si="48">IF(H129=1,I129,"")</f>
        <v/>
      </c>
      <c r="K129" s="407">
        <f>$D129*$F129*VLOOKUP($C129,'Master sheet'!$A:$AL,13,FALSE)</f>
        <v>0</v>
      </c>
      <c r="L129" s="97">
        <f>$D129*$F129*VLOOKUP($C129,'Master sheet'!$A:$AL,27,FALSE)</f>
        <v>0</v>
      </c>
      <c r="M129" s="1561"/>
      <c r="N129" s="1561"/>
      <c r="O129" s="25" t="str">
        <f>_xlfn.IFNA(VLOOKUP($C129,'Master sheet'!$A:$AR,44,FALSE),"")&amp;""</f>
        <v/>
      </c>
      <c r="P129" s="637"/>
      <c r="Q129" s="29" t="s">
        <v>12</v>
      </c>
      <c r="R129" s="28" t="s">
        <v>29</v>
      </c>
      <c r="S129" s="638"/>
      <c r="T129" s="638" t="s">
        <v>7295</v>
      </c>
      <c r="U129" s="638"/>
      <c r="V129" s="638"/>
      <c r="W129" s="638"/>
      <c r="X129" s="638"/>
      <c r="Y129" s="638"/>
      <c r="Z129" s="638"/>
      <c r="AA129" s="638"/>
      <c r="AB129" s="638"/>
      <c r="AC129" s="623"/>
      <c r="AD129" s="623"/>
    </row>
    <row r="130" spans="1:30" s="624" customFormat="1" ht="20.399999999999999" x14ac:dyDescent="0.25">
      <c r="A130" s="639"/>
      <c r="B130" s="1524" t="s">
        <v>1030</v>
      </c>
      <c r="C130" s="1524"/>
      <c r="D130" s="696"/>
      <c r="E130" s="641"/>
      <c r="F130" s="320"/>
      <c r="G130" s="641"/>
      <c r="H130" s="641"/>
      <c r="I130" s="697"/>
      <c r="J130" s="697"/>
      <c r="K130" s="698"/>
      <c r="L130" s="698"/>
      <c r="M130" s="680"/>
      <c r="N130" s="680"/>
      <c r="O130" s="25" t="str">
        <f>_xlfn.IFNA(VLOOKUP($C130,'Master sheet'!$A:$AR,44,FALSE),"")&amp;""</f>
        <v/>
      </c>
      <c r="P130" s="685"/>
      <c r="Q130" s="29"/>
      <c r="R130" s="28"/>
      <c r="S130" s="638"/>
      <c r="T130" s="638"/>
      <c r="U130" s="638"/>
      <c r="V130" s="638"/>
      <c r="W130" s="638"/>
      <c r="X130" s="638"/>
      <c r="Y130" s="638"/>
      <c r="Z130" s="638"/>
      <c r="AA130" s="638"/>
      <c r="AB130" s="638"/>
      <c r="AC130" s="623"/>
      <c r="AD130" s="623"/>
    </row>
    <row r="131" spans="1:30" ht="22.8" x14ac:dyDescent="0.25">
      <c r="A131" s="1523"/>
      <c r="B131" s="1523"/>
      <c r="C131" s="673" t="str">
        <f>INDEX('Master sheet'!$A$1:$A$670,MATCH("A119",'Master sheet'!$AN$1:$AN$670,0))</f>
        <v>Vinyl flooring / Altro / Altro Lavencia / 3.0 mm</v>
      </c>
      <c r="D131" s="17">
        <f>'USER INPUT SHEET'!$D$31</f>
        <v>0</v>
      </c>
      <c r="E131" s="16" t="str">
        <f>'USER INPUT SHEET'!$F$31</f>
        <v>m2</v>
      </c>
      <c r="F131" s="4">
        <v>1</v>
      </c>
      <c r="G131" s="674"/>
      <c r="H131" s="9"/>
      <c r="I131" s="95">
        <f t="shared" ref="I131" si="49">K131-L131</f>
        <v>0</v>
      </c>
      <c r="J131" s="96" t="str">
        <f t="shared" ref="J131" si="50">IF(H131=1,I131,"")</f>
        <v/>
      </c>
      <c r="K131" s="407">
        <f>$D131*$F131*VLOOKUP($C131,'Master sheet'!$A:$AL,13,FALSE)</f>
        <v>0</v>
      </c>
      <c r="L131" s="97">
        <f>$D131*$F131*VLOOKUP($C131,'Master sheet'!$A:$AL,27,FALSE)</f>
        <v>0</v>
      </c>
      <c r="M131" s="1561"/>
      <c r="N131" s="1561"/>
      <c r="O131" s="25" t="str">
        <f>_xlfn.IFNA(VLOOKUP($C131,'Master sheet'!$A:$AR,44,FALSE),"")&amp;""</f>
        <v/>
      </c>
      <c r="P131" s="637"/>
      <c r="Q131" s="29" t="s">
        <v>12</v>
      </c>
      <c r="R131" s="28" t="s">
        <v>29</v>
      </c>
      <c r="S131" s="638"/>
      <c r="T131" s="638"/>
      <c r="U131" s="638"/>
      <c r="V131" s="664"/>
      <c r="W131" s="664"/>
      <c r="X131" s="664"/>
      <c r="Y131" s="664"/>
      <c r="Z131" s="664"/>
      <c r="AA131" s="664"/>
      <c r="AB131" s="664"/>
      <c r="AC131" s="665"/>
      <c r="AD131" s="665"/>
    </row>
    <row r="132" spans="1:30" s="624" customFormat="1" ht="22.8" x14ac:dyDescent="0.25">
      <c r="A132" s="639"/>
      <c r="B132" s="1524" t="s">
        <v>3421</v>
      </c>
      <c r="C132" s="1524"/>
      <c r="D132" s="640"/>
      <c r="E132" s="641"/>
      <c r="F132" s="325"/>
      <c r="G132" s="678"/>
      <c r="H132" s="679"/>
      <c r="I132" s="642"/>
      <c r="J132" s="643"/>
      <c r="K132" s="676"/>
      <c r="L132" s="677"/>
      <c r="M132" s="662"/>
      <c r="N132" s="662"/>
      <c r="O132" s="25" t="str">
        <f>_xlfn.IFNA(VLOOKUP($C132,'Master sheet'!$A:$AR,44,FALSE),"")&amp;""</f>
        <v/>
      </c>
      <c r="P132" s="685"/>
      <c r="Q132" s="29"/>
      <c r="R132" s="28"/>
      <c r="S132" s="638"/>
      <c r="T132" s="638"/>
      <c r="U132" s="638"/>
      <c r="V132" s="638"/>
      <c r="W132" s="638"/>
      <c r="X132" s="638"/>
      <c r="Y132" s="638"/>
      <c r="Z132" s="638"/>
      <c r="AA132" s="638"/>
      <c r="AB132" s="638"/>
      <c r="AC132" s="623"/>
      <c r="AD132" s="623"/>
    </row>
    <row r="133" spans="1:30" s="624" customFormat="1" ht="22.8" x14ac:dyDescent="0.25">
      <c r="A133" s="699"/>
      <c r="B133" s="699"/>
      <c r="C133" s="691" t="s">
        <v>4897</v>
      </c>
      <c r="D133" s="19">
        <f>'USER INPUT SHEET'!$D$31</f>
        <v>0</v>
      </c>
      <c r="E133" s="20" t="str">
        <f>'USER INPUT SHEET'!$F$31</f>
        <v>m2</v>
      </c>
      <c r="F133" s="6">
        <v>1</v>
      </c>
      <c r="G133" s="692"/>
      <c r="H133" s="10"/>
      <c r="I133" s="98">
        <f t="shared" ref="I133" si="51">K133-L133</f>
        <v>0</v>
      </c>
      <c r="J133" s="91" t="str">
        <f t="shared" ref="J133" si="52">IF(H133=1,I133,"")</f>
        <v/>
      </c>
      <c r="K133" s="410">
        <f>$F133*AVERAGE(K134:K138)</f>
        <v>0</v>
      </c>
      <c r="L133" s="99">
        <f>$F133*AVERAGE(L134:L138)</f>
        <v>0</v>
      </c>
      <c r="M133" s="1560"/>
      <c r="N133" s="1560"/>
      <c r="O133" s="25" t="str">
        <f>_xlfn.IFNA(VLOOKUP($C133,'Master sheet'!$A:$AR,44,FALSE),"")&amp;""</f>
        <v/>
      </c>
      <c r="P133" s="685"/>
      <c r="Q133" s="30" t="s">
        <v>12</v>
      </c>
      <c r="R133" s="21" t="s">
        <v>29</v>
      </c>
      <c r="S133" s="664"/>
      <c r="T133" s="664"/>
      <c r="U133" s="638"/>
      <c r="V133" s="638"/>
      <c r="W133" s="638"/>
      <c r="X133" s="638"/>
      <c r="Y133" s="638"/>
      <c r="Z133" s="638"/>
      <c r="AA133" s="638"/>
      <c r="AB133" s="638"/>
      <c r="AC133" s="623"/>
      <c r="AD133" s="623"/>
    </row>
    <row r="134" spans="1:30" s="624" customFormat="1" ht="31.2" x14ac:dyDescent="0.25">
      <c r="A134" s="699"/>
      <c r="B134" s="699"/>
      <c r="C134" s="681" t="str">
        <f>INDEX('Master sheet'!$A$1:$A$670,MATCH("A204",'Master sheet'!$AN$1:$AN$670,0))</f>
        <v>Luxury vinyl tile / Resilient Floor Covering Institute / Looselay Flooring / 4.5 - 6mm</v>
      </c>
      <c r="D134" s="22">
        <f>'USER INPUT SHEET'!$D$31</f>
        <v>0</v>
      </c>
      <c r="E134" s="23" t="str">
        <f>'USER INPUT SHEET'!$F$31</f>
        <v>m2</v>
      </c>
      <c r="F134" s="6">
        <v>1</v>
      </c>
      <c r="G134" s="682"/>
      <c r="H134" s="10"/>
      <c r="I134" s="100">
        <f t="shared" ref="I134:I138" si="53">K134-L134</f>
        <v>0</v>
      </c>
      <c r="J134" s="101" t="str">
        <f t="shared" ref="J134:J138" si="54">IF(H134=1,I134,"")</f>
        <v/>
      </c>
      <c r="K134" s="408">
        <f>$D134*$F134*VLOOKUP($C134,'Master sheet'!$A:$AL,13,FALSE)</f>
        <v>0</v>
      </c>
      <c r="L134" s="102">
        <f>$D134*$F134*VLOOKUP($C134,'Master sheet'!$A:$AL,27,FALSE)</f>
        <v>0</v>
      </c>
      <c r="M134" s="1560"/>
      <c r="N134" s="1560"/>
      <c r="O134" s="25" t="str">
        <f>_xlfn.IFNA(VLOOKUP($C134,'Master sheet'!$A:$AR,44,FALSE),"")&amp;""</f>
        <v/>
      </c>
      <c r="P134" s="685"/>
      <c r="Q134" s="29" t="s">
        <v>12</v>
      </c>
      <c r="R134" s="28" t="s">
        <v>29</v>
      </c>
      <c r="S134" s="638"/>
      <c r="T134" s="638"/>
      <c r="U134" s="638"/>
      <c r="V134" s="638"/>
      <c r="W134" s="638"/>
      <c r="X134" s="638"/>
      <c r="Y134" s="638"/>
      <c r="Z134" s="638"/>
      <c r="AA134" s="638"/>
      <c r="AB134" s="638"/>
      <c r="AC134" s="623"/>
      <c r="AD134" s="623"/>
    </row>
    <row r="135" spans="1:30" s="624" customFormat="1" ht="31.2" x14ac:dyDescent="0.25">
      <c r="A135" s="699"/>
      <c r="B135" s="699"/>
      <c r="C135" s="673" t="str">
        <f>INDEX('Master sheet'!$A$1:$A$670,MATCH("A205",'Master sheet'!$AN$1:$AN$670,0))</f>
        <v>Luxury vinyl tile / Resilient Floor Covering Institute / Gluedown / 1.5 - 4.5mm</v>
      </c>
      <c r="D135" s="17">
        <f>'USER INPUT SHEET'!$D$31</f>
        <v>0</v>
      </c>
      <c r="E135" s="16" t="str">
        <f>'USER INPUT SHEET'!$F$31</f>
        <v>m2</v>
      </c>
      <c r="F135" s="4">
        <v>1</v>
      </c>
      <c r="G135" s="674"/>
      <c r="H135" s="9"/>
      <c r="I135" s="95">
        <f t="shared" si="53"/>
        <v>0</v>
      </c>
      <c r="J135" s="96" t="str">
        <f t="shared" si="54"/>
        <v/>
      </c>
      <c r="K135" s="407">
        <f>$D135*$F135*VLOOKUP($C135,'Master sheet'!$A:$AL,13,FALSE)</f>
        <v>0</v>
      </c>
      <c r="L135" s="97">
        <f>$D135*$F135*VLOOKUP($C135,'Master sheet'!$A:$AL,27,FALSE)</f>
        <v>0</v>
      </c>
      <c r="M135" s="1551"/>
      <c r="N135" s="1551"/>
      <c r="O135" s="25" t="str">
        <f>_xlfn.IFNA(VLOOKUP($C135,'Master sheet'!$A:$AR,44,FALSE),"")&amp;""</f>
        <v/>
      </c>
      <c r="P135" s="685"/>
      <c r="Q135" s="29" t="s">
        <v>12</v>
      </c>
      <c r="R135" s="28" t="s">
        <v>29</v>
      </c>
      <c r="S135" s="638"/>
      <c r="T135" s="638"/>
      <c r="U135" s="638"/>
      <c r="V135" s="638"/>
      <c r="W135" s="638"/>
      <c r="X135" s="638"/>
      <c r="Y135" s="638"/>
      <c r="Z135" s="638"/>
      <c r="AA135" s="638"/>
      <c r="AB135" s="638"/>
      <c r="AC135" s="623"/>
      <c r="AD135" s="623"/>
    </row>
    <row r="136" spans="1:30" s="624" customFormat="1" ht="22.8" x14ac:dyDescent="0.25">
      <c r="A136" s="699"/>
      <c r="B136" s="699"/>
      <c r="C136" s="673" t="str">
        <f>INDEX('Master sheet'!$A$1:$A$670,MATCH(372,'Master sheet'!$AN$1:$AN$670,0))</f>
        <v xml:space="preserve">Vinyl flooring / Shaw - Patcraft / Luxury Vinyl Tile / 2 - 5 mm </v>
      </c>
      <c r="D136" s="17">
        <f>'USER INPUT SHEET'!$D$31</f>
        <v>0</v>
      </c>
      <c r="E136" s="16" t="str">
        <f>'USER INPUT SHEET'!$F$31</f>
        <v>m2</v>
      </c>
      <c r="F136" s="4">
        <v>1</v>
      </c>
      <c r="G136" s="674"/>
      <c r="H136" s="9"/>
      <c r="I136" s="95">
        <f t="shared" si="53"/>
        <v>0</v>
      </c>
      <c r="J136" s="96" t="str">
        <f t="shared" si="54"/>
        <v/>
      </c>
      <c r="K136" s="407">
        <f>$D136*$F136*VLOOKUP($C136,'Master sheet'!$A:$AL,13,FALSE)</f>
        <v>0</v>
      </c>
      <c r="L136" s="97">
        <f>$D136*$F136*VLOOKUP($C136,'Master sheet'!$A:$AL,27,FALSE)</f>
        <v>0</v>
      </c>
      <c r="M136" s="1551"/>
      <c r="N136" s="1551"/>
      <c r="O136" s="25" t="str">
        <f ca="1">_xlfn.IFNA(VLOOKUP($C136,'Master sheet'!$A:$AR,44,FALSE),"")&amp;""</f>
        <v/>
      </c>
      <c r="P136" s="685"/>
      <c r="Q136" s="29" t="s">
        <v>12</v>
      </c>
      <c r="R136" s="28" t="s">
        <v>29</v>
      </c>
      <c r="S136" s="638"/>
      <c r="T136" s="638"/>
      <c r="U136" s="638"/>
      <c r="V136" s="638"/>
      <c r="W136" s="638"/>
      <c r="X136" s="638"/>
      <c r="Y136" s="638"/>
      <c r="Z136" s="638"/>
      <c r="AA136" s="638"/>
      <c r="AB136" s="638"/>
      <c r="AC136" s="623"/>
      <c r="AD136" s="623"/>
    </row>
    <row r="137" spans="1:30" s="624" customFormat="1" ht="31.2" x14ac:dyDescent="0.25">
      <c r="A137" s="699"/>
      <c r="B137" s="699"/>
      <c r="C137" s="673" t="str">
        <f>INDEX('Master sheet'!$A$1:$A$670,MATCH(379,'Master sheet'!$AN$1:$AN$670,0))</f>
        <v>Vinyl flooring / Mannington / Luxury Vinyl Tile / 2.5 mm Tile and Plank</v>
      </c>
      <c r="D137" s="17">
        <f>'USER INPUT SHEET'!$D$31</f>
        <v>0</v>
      </c>
      <c r="E137" s="16" t="str">
        <f>'USER INPUT SHEET'!$F$31</f>
        <v>m2</v>
      </c>
      <c r="F137" s="4">
        <v>1</v>
      </c>
      <c r="G137" s="674"/>
      <c r="H137" s="9"/>
      <c r="I137" s="95">
        <f t="shared" si="53"/>
        <v>0</v>
      </c>
      <c r="J137" s="96" t="str">
        <f t="shared" si="54"/>
        <v/>
      </c>
      <c r="K137" s="407">
        <f>$D137*$F137*VLOOKUP($C137,'Master sheet'!$A:$AL,13,FALSE)</f>
        <v>0</v>
      </c>
      <c r="L137" s="97">
        <f>$D137*$F137*VLOOKUP($C137,'Master sheet'!$A:$AL,27,FALSE)</f>
        <v>0</v>
      </c>
      <c r="M137" s="1551"/>
      <c r="N137" s="1551"/>
      <c r="O137" s="25" t="str">
        <f ca="1">_xlfn.IFNA(VLOOKUP($C137,'Master sheet'!$A:$AR,44,FALSE),"")&amp;""</f>
        <v/>
      </c>
      <c r="P137" s="685"/>
      <c r="Q137" s="29" t="s">
        <v>12</v>
      </c>
      <c r="R137" s="28" t="s">
        <v>29</v>
      </c>
      <c r="S137" s="638"/>
      <c r="T137" s="638"/>
      <c r="U137" s="638"/>
      <c r="V137" s="638"/>
      <c r="W137" s="638"/>
      <c r="X137" s="638"/>
      <c r="Y137" s="638"/>
      <c r="Z137" s="638"/>
      <c r="AA137" s="638"/>
      <c r="AB137" s="638"/>
      <c r="AC137" s="623"/>
      <c r="AD137" s="623"/>
    </row>
    <row r="138" spans="1:30" s="624" customFormat="1" ht="31.2" x14ac:dyDescent="0.25">
      <c r="A138" s="699"/>
      <c r="B138" s="699"/>
      <c r="C138" s="673" t="str">
        <f>INDEX('Master sheet'!$A$1:$A$670,MATCH("A206",'Master sheet'!$AN$1:$AN$670,0))</f>
        <v>Vinyl flooring / Resilient Floor Covering Institute / Heterogeneous sheet / 2mm</v>
      </c>
      <c r="D138" s="17">
        <f>'USER INPUT SHEET'!$D$31</f>
        <v>0</v>
      </c>
      <c r="E138" s="16" t="str">
        <f>'USER INPUT SHEET'!$F$31</f>
        <v>m2</v>
      </c>
      <c r="F138" s="4">
        <v>1</v>
      </c>
      <c r="G138" s="674"/>
      <c r="H138" s="9"/>
      <c r="I138" s="95">
        <f t="shared" si="53"/>
        <v>0</v>
      </c>
      <c r="J138" s="96" t="str">
        <f t="shared" si="54"/>
        <v/>
      </c>
      <c r="K138" s="407">
        <f>$D138*$F138*VLOOKUP($C138,'Master sheet'!$A:$AL,13,FALSE)</f>
        <v>0</v>
      </c>
      <c r="L138" s="97">
        <f>$D138*$F138*VLOOKUP($C138,'Master sheet'!$A:$AL,27,FALSE)</f>
        <v>0</v>
      </c>
      <c r="M138" s="1561"/>
      <c r="N138" s="1561"/>
      <c r="O138" s="25" t="str">
        <f>_xlfn.IFNA(VLOOKUP($C138,'Master sheet'!$A:$AR,44,FALSE),"")&amp;""</f>
        <v/>
      </c>
      <c r="P138" s="685"/>
      <c r="Q138" s="29" t="s">
        <v>12</v>
      </c>
      <c r="R138" s="28" t="s">
        <v>29</v>
      </c>
      <c r="S138" s="638"/>
      <c r="T138" s="638"/>
      <c r="U138" s="638"/>
      <c r="V138" s="638"/>
      <c r="W138" s="638"/>
      <c r="X138" s="638"/>
      <c r="Y138" s="638"/>
      <c r="Z138" s="638"/>
      <c r="AA138" s="638"/>
      <c r="AB138" s="638"/>
      <c r="AC138" s="623"/>
      <c r="AD138" s="623"/>
    </row>
    <row r="139" spans="1:30" s="624" customFormat="1" ht="22.8" x14ac:dyDescent="0.25">
      <c r="A139" s="639"/>
      <c r="B139" s="1524" t="s">
        <v>1032</v>
      </c>
      <c r="C139" s="1524"/>
      <c r="D139" s="640"/>
      <c r="E139" s="641"/>
      <c r="F139" s="324"/>
      <c r="G139" s="675"/>
      <c r="H139" s="675"/>
      <c r="I139" s="642"/>
      <c r="J139" s="643"/>
      <c r="K139" s="676"/>
      <c r="L139" s="677"/>
      <c r="M139" s="662"/>
      <c r="N139" s="662"/>
      <c r="O139" s="25" t="str">
        <f>_xlfn.IFNA(VLOOKUP($C139,'Master sheet'!$A:$AR,44,FALSE),"")&amp;""</f>
        <v/>
      </c>
      <c r="P139" s="620"/>
      <c r="Q139" s="29"/>
      <c r="R139" s="28"/>
      <c r="S139" s="638"/>
      <c r="T139" s="638"/>
      <c r="U139" s="638"/>
      <c r="V139" s="638"/>
      <c r="W139" s="638"/>
      <c r="X139" s="638"/>
      <c r="Y139" s="638"/>
      <c r="Z139" s="638"/>
      <c r="AA139" s="638"/>
      <c r="AB139" s="638"/>
      <c r="AC139" s="623"/>
      <c r="AD139" s="623"/>
    </row>
    <row r="140" spans="1:30" s="624" customFormat="1" ht="63" customHeight="1" x14ac:dyDescent="0.25">
      <c r="A140" s="1546"/>
      <c r="B140" s="1547"/>
      <c r="C140" s="647" t="str">
        <f>INDEX('Master sheet'!$A$1:$A$670,MATCH(82,'Master sheet'!$AN$1:$AN$670,0))</f>
        <v>Cork flooring / European Resilient Flooring Manufacturers' Institute / Includes: Altro, Amorim, Amtico, Artigo, Aspecta, BeauFlor, Dickson, Mflor, Forbo, Gerflor, IVC, Nora, Polyflor, Tarkett, Kahrs, Windmoller / Cork floor tiles</v>
      </c>
      <c r="D140" s="13">
        <f>'USER INPUT SHEET'!$D$31</f>
        <v>0</v>
      </c>
      <c r="E140" s="14" t="str">
        <f>'USER INPUT SHEET'!$F$31</f>
        <v>m2</v>
      </c>
      <c r="F140" s="2">
        <v>1</v>
      </c>
      <c r="G140" s="648"/>
      <c r="H140" s="7"/>
      <c r="I140" s="88">
        <f>K140-L140</f>
        <v>0</v>
      </c>
      <c r="J140" s="89" t="str">
        <f>IF(H140=1,I140,"")</f>
        <v/>
      </c>
      <c r="K140" s="404">
        <f>$D140*$F140*VLOOKUP($C140,'Master sheet'!$A:$AL,13,FALSE)</f>
        <v>0</v>
      </c>
      <c r="L140" s="90">
        <f>$D140*$F140*VLOOKUP($C140,'Master sheet'!$A:$AL,27,FALSE)</f>
        <v>0</v>
      </c>
      <c r="M140" s="1563"/>
      <c r="N140" s="1563"/>
      <c r="O140" s="25" t="str">
        <f ca="1">_xlfn.IFNA(VLOOKUP($C140,'Master sheet'!$A:$AR,44,FALSE),"")&amp;""</f>
        <v>Expired 2024</v>
      </c>
      <c r="P140" s="685"/>
      <c r="Q140" s="29" t="s">
        <v>12</v>
      </c>
      <c r="R140" s="28" t="s">
        <v>29</v>
      </c>
      <c r="S140" s="638"/>
      <c r="T140" s="638"/>
      <c r="U140" s="638"/>
      <c r="V140" s="638"/>
      <c r="W140" s="638"/>
      <c r="X140" s="638"/>
      <c r="Y140" s="638"/>
      <c r="Z140" s="638"/>
      <c r="AA140" s="638"/>
      <c r="AB140" s="638"/>
      <c r="AC140" s="623"/>
      <c r="AD140" s="623"/>
    </row>
    <row r="141" spans="1:30" s="624" customFormat="1" ht="22.8" x14ac:dyDescent="0.25">
      <c r="A141" s="639"/>
      <c r="B141" s="1524" t="s">
        <v>3422</v>
      </c>
      <c r="C141" s="1524"/>
      <c r="D141" s="640"/>
      <c r="E141" s="641"/>
      <c r="F141" s="324"/>
      <c r="G141" s="675"/>
      <c r="H141" s="675"/>
      <c r="I141" s="642"/>
      <c r="J141" s="643"/>
      <c r="K141" s="676"/>
      <c r="L141" s="677"/>
      <c r="M141" s="662"/>
      <c r="N141" s="662"/>
      <c r="O141" s="25" t="str">
        <f>_xlfn.IFNA(VLOOKUP($C141,'Master sheet'!$A:$AR,44,FALSE),"")&amp;""</f>
        <v/>
      </c>
      <c r="P141" s="637"/>
      <c r="Q141" s="29"/>
      <c r="R141" s="28"/>
      <c r="S141" s="638"/>
      <c r="T141" s="638"/>
      <c r="U141" s="638"/>
      <c r="V141" s="638"/>
      <c r="W141" s="638"/>
      <c r="X141" s="638"/>
      <c r="Y141" s="638"/>
      <c r="Z141" s="638"/>
      <c r="AA141" s="638"/>
      <c r="AB141" s="638"/>
      <c r="AC141" s="623"/>
      <c r="AD141" s="623"/>
    </row>
    <row r="142" spans="1:30" s="624" customFormat="1" ht="23.25" customHeight="1" x14ac:dyDescent="0.25">
      <c r="A142" s="1546"/>
      <c r="B142" s="1547"/>
      <c r="C142" s="647" t="str">
        <f>INDEX('Master sheet'!$A$1:$A$670,MATCH(25,'Master sheet'!$AN$1:$AN$670,0))</f>
        <v>Carpet /  /  / Average from 150 samples in the EC3 database</v>
      </c>
      <c r="D142" s="13">
        <f>'USER INPUT SHEET'!$D$31</f>
        <v>0</v>
      </c>
      <c r="E142" s="14" t="str">
        <f>'USER INPUT SHEET'!$F$31</f>
        <v>m2</v>
      </c>
      <c r="F142" s="2">
        <v>1</v>
      </c>
      <c r="G142" s="648"/>
      <c r="H142" s="7"/>
      <c r="I142" s="88">
        <f>K142-L142</f>
        <v>0</v>
      </c>
      <c r="J142" s="89" t="str">
        <f>IF(H142=1,I142,"")</f>
        <v/>
      </c>
      <c r="K142" s="404">
        <f>$D142*$F142*VLOOKUP($C142,'Master sheet'!$A:$AL,13,FALSE)</f>
        <v>0</v>
      </c>
      <c r="L142" s="90">
        <f>$D142*$F142*VLOOKUP($C142,'Master sheet'!$A:$AL,27,FALSE)</f>
        <v>0</v>
      </c>
      <c r="M142" s="1560"/>
      <c r="N142" s="1560"/>
      <c r="O142" s="25" t="str">
        <f>_xlfn.IFNA(VLOOKUP($C142,'Master sheet'!$A:$AR,44,FALSE),"")&amp;""</f>
        <v>Multi-EPD average from EC3 Tool</v>
      </c>
      <c r="P142" s="685"/>
      <c r="Q142" s="29" t="s">
        <v>12</v>
      </c>
      <c r="R142" s="28" t="s">
        <v>29</v>
      </c>
      <c r="S142" s="638"/>
      <c r="T142" s="638"/>
      <c r="U142" s="638"/>
      <c r="V142" s="638"/>
      <c r="W142" s="638"/>
      <c r="X142" s="638"/>
      <c r="Y142" s="638"/>
      <c r="Z142" s="638"/>
      <c r="AA142" s="638"/>
      <c r="AB142" s="638"/>
      <c r="AC142" s="623"/>
      <c r="AD142" s="623"/>
    </row>
    <row r="143" spans="1:30" ht="15.75" customHeight="1" x14ac:dyDescent="0.4">
      <c r="A143" s="700"/>
      <c r="B143" s="700"/>
      <c r="C143" s="700"/>
      <c r="D143" s="701"/>
      <c r="E143" s="700"/>
      <c r="F143" s="328"/>
      <c r="G143" s="700"/>
      <c r="H143" s="702"/>
      <c r="I143" s="703"/>
      <c r="J143" s="704"/>
      <c r="K143" s="704"/>
      <c r="L143" s="704"/>
      <c r="M143" s="704"/>
      <c r="N143" s="704"/>
      <c r="O143" s="705"/>
      <c r="P143" s="637"/>
      <c r="Q143" s="31"/>
    </row>
    <row r="144" spans="1:30" ht="15.75" customHeight="1" x14ac:dyDescent="0.4">
      <c r="A144" s="700"/>
      <c r="B144" s="706" t="s">
        <v>4901</v>
      </c>
      <c r="C144" s="700"/>
      <c r="D144" s="701"/>
      <c r="E144" s="700"/>
      <c r="F144" s="328"/>
      <c r="G144" s="700"/>
      <c r="H144" s="702"/>
      <c r="I144" s="703"/>
      <c r="J144" s="704"/>
      <c r="K144" s="704"/>
      <c r="L144" s="704"/>
      <c r="M144" s="704"/>
      <c r="N144" s="704"/>
      <c r="O144" s="705"/>
      <c r="P144" s="637"/>
      <c r="Q144" s="31"/>
    </row>
    <row r="145" spans="1:17" ht="15.75" customHeight="1" x14ac:dyDescent="0.4">
      <c r="A145" s="700"/>
      <c r="B145" s="706" t="s">
        <v>4900</v>
      </c>
      <c r="C145" s="700"/>
      <c r="D145" s="701"/>
      <c r="E145" s="700"/>
      <c r="F145" s="328"/>
      <c r="G145" s="700"/>
      <c r="H145" s="702"/>
      <c r="I145" s="703"/>
      <c r="J145" s="704"/>
      <c r="K145" s="704"/>
      <c r="L145" s="704"/>
      <c r="M145" s="704"/>
      <c r="N145" s="704"/>
      <c r="O145" s="705"/>
      <c r="P145" s="637"/>
      <c r="Q145" s="31"/>
    </row>
    <row r="146" spans="1:17" ht="15.75" customHeight="1" x14ac:dyDescent="0.4">
      <c r="A146" s="700"/>
      <c r="B146" s="700"/>
      <c r="C146" s="700"/>
      <c r="D146" s="701"/>
      <c r="E146" s="700"/>
      <c r="F146" s="328"/>
      <c r="G146" s="700"/>
      <c r="H146" s="702"/>
      <c r="I146" s="703"/>
      <c r="J146" s="704"/>
      <c r="K146" s="704"/>
      <c r="L146" s="704"/>
      <c r="M146" s="704"/>
      <c r="N146" s="704"/>
      <c r="O146" s="705"/>
      <c r="P146" s="637"/>
      <c r="Q146" s="31"/>
    </row>
    <row r="147" spans="1:17" ht="15.75" customHeight="1" x14ac:dyDescent="0.4">
      <c r="A147" s="700"/>
      <c r="B147" s="700"/>
      <c r="C147" s="700"/>
      <c r="D147" s="701"/>
      <c r="E147" s="700"/>
      <c r="F147" s="328"/>
      <c r="G147" s="700"/>
      <c r="H147" s="702"/>
      <c r="I147" s="703"/>
      <c r="J147" s="704"/>
      <c r="K147" s="704"/>
      <c r="L147" s="704"/>
      <c r="M147" s="704"/>
      <c r="N147" s="704"/>
      <c r="O147" s="705"/>
      <c r="P147" s="637"/>
      <c r="Q147" s="31"/>
    </row>
    <row r="148" spans="1:17" ht="15.75" customHeight="1" x14ac:dyDescent="0.4">
      <c r="A148" s="700"/>
      <c r="B148" s="700"/>
      <c r="C148" s="700"/>
      <c r="D148" s="701"/>
      <c r="E148" s="700"/>
      <c r="F148" s="328"/>
      <c r="G148" s="700"/>
      <c r="H148" s="702"/>
      <c r="I148" s="703"/>
      <c r="J148" s="704"/>
      <c r="K148" s="704"/>
      <c r="L148" s="704"/>
      <c r="M148" s="704"/>
      <c r="N148" s="704"/>
      <c r="O148" s="705"/>
      <c r="P148" s="637"/>
      <c r="Q148" s="31"/>
    </row>
    <row r="149" spans="1:17" ht="15.75" customHeight="1" x14ac:dyDescent="0.4">
      <c r="A149" s="700"/>
      <c r="B149" s="700"/>
      <c r="C149" s="700"/>
      <c r="D149" s="701"/>
      <c r="E149" s="700"/>
      <c r="F149" s="328"/>
      <c r="G149" s="700"/>
      <c r="H149" s="702"/>
      <c r="I149" s="703"/>
      <c r="J149" s="704"/>
      <c r="K149" s="704"/>
      <c r="L149" s="704"/>
      <c r="M149" s="704"/>
      <c r="N149" s="704"/>
      <c r="O149" s="705"/>
      <c r="P149" s="637"/>
      <c r="Q149" s="31"/>
    </row>
    <row r="150" spans="1:17" ht="15.75" customHeight="1" x14ac:dyDescent="0.4">
      <c r="A150" s="700"/>
      <c r="B150" s="700"/>
      <c r="C150" s="700"/>
      <c r="D150" s="701"/>
      <c r="E150" s="700"/>
      <c r="F150" s="328"/>
      <c r="G150" s="700"/>
      <c r="H150" s="702"/>
      <c r="I150" s="703"/>
      <c r="J150" s="704"/>
      <c r="K150" s="704"/>
      <c r="L150" s="704"/>
      <c r="M150" s="704"/>
      <c r="N150" s="704"/>
      <c r="O150" s="705"/>
      <c r="P150" s="637"/>
      <c r="Q150" s="31"/>
    </row>
    <row r="151" spans="1:17" ht="15.75" customHeight="1" x14ac:dyDescent="0.4">
      <c r="A151" s="700"/>
      <c r="B151" s="700"/>
      <c r="C151" s="700"/>
      <c r="D151" s="701"/>
      <c r="E151" s="700"/>
      <c r="F151" s="328"/>
      <c r="G151" s="700"/>
      <c r="H151" s="702"/>
      <c r="I151" s="703"/>
      <c r="J151" s="704"/>
      <c r="K151" s="704"/>
      <c r="L151" s="704"/>
      <c r="M151" s="704"/>
      <c r="N151" s="704"/>
      <c r="O151" s="705"/>
      <c r="P151" s="637"/>
      <c r="Q151" s="31"/>
    </row>
    <row r="152" spans="1:17" ht="15.75" customHeight="1" x14ac:dyDescent="0.4">
      <c r="A152" s="700"/>
      <c r="B152" s="700"/>
      <c r="C152" s="700"/>
      <c r="D152" s="701"/>
      <c r="E152" s="700"/>
      <c r="F152" s="328"/>
      <c r="G152" s="700"/>
      <c r="H152" s="702"/>
      <c r="I152" s="703"/>
      <c r="J152" s="704"/>
      <c r="K152" s="704"/>
      <c r="L152" s="704"/>
      <c r="M152" s="704"/>
      <c r="N152" s="704"/>
      <c r="O152" s="705"/>
      <c r="P152" s="637"/>
      <c r="Q152" s="31"/>
    </row>
    <row r="153" spans="1:17" ht="15.75" customHeight="1" x14ac:dyDescent="0.4">
      <c r="A153" s="700"/>
      <c r="B153" s="700"/>
      <c r="C153" s="700"/>
      <c r="D153" s="701"/>
      <c r="E153" s="700"/>
      <c r="F153" s="328"/>
      <c r="G153" s="700"/>
      <c r="H153" s="702"/>
      <c r="I153" s="703"/>
      <c r="J153" s="704"/>
      <c r="K153" s="704"/>
      <c r="L153" s="704"/>
      <c r="M153" s="704"/>
      <c r="N153" s="704"/>
      <c r="O153" s="705"/>
      <c r="P153" s="637"/>
      <c r="Q153" s="31"/>
    </row>
    <row r="154" spans="1:17" ht="15.75" customHeight="1" x14ac:dyDescent="0.4">
      <c r="A154" s="700"/>
      <c r="B154" s="700"/>
      <c r="C154" s="700"/>
      <c r="D154" s="701"/>
      <c r="E154" s="700"/>
      <c r="F154" s="328"/>
      <c r="G154" s="700"/>
      <c r="H154" s="702"/>
      <c r="I154" s="703"/>
      <c r="J154" s="704"/>
      <c r="K154" s="704"/>
      <c r="L154" s="704"/>
      <c r="M154" s="704"/>
      <c r="N154" s="704"/>
      <c r="O154" s="705"/>
      <c r="P154" s="637"/>
      <c r="Q154" s="31"/>
    </row>
    <row r="155" spans="1:17" ht="15.75" customHeight="1" x14ac:dyDescent="0.4">
      <c r="A155" s="700"/>
      <c r="B155" s="700"/>
      <c r="C155" s="700"/>
      <c r="D155" s="701"/>
      <c r="E155" s="700"/>
      <c r="F155" s="328"/>
      <c r="G155" s="700"/>
      <c r="H155" s="702"/>
      <c r="I155" s="703"/>
      <c r="J155" s="704"/>
      <c r="K155" s="704"/>
      <c r="L155" s="704"/>
      <c r="M155" s="704"/>
      <c r="N155" s="704"/>
      <c r="O155" s="705"/>
      <c r="P155" s="685"/>
      <c r="Q155" s="31"/>
    </row>
    <row r="156" spans="1:17" ht="15.75" customHeight="1" x14ac:dyDescent="0.4">
      <c r="A156" s="700"/>
      <c r="B156" s="700"/>
      <c r="C156" s="700"/>
      <c r="D156" s="701"/>
      <c r="E156" s="700"/>
      <c r="F156" s="328"/>
      <c r="G156" s="700"/>
      <c r="H156" s="702"/>
      <c r="I156" s="703"/>
      <c r="J156" s="704"/>
      <c r="K156" s="704"/>
      <c r="L156" s="704"/>
      <c r="M156" s="704"/>
      <c r="N156" s="704"/>
      <c r="O156" s="705"/>
      <c r="P156" s="685"/>
      <c r="Q156" s="31"/>
    </row>
    <row r="157" spans="1:17" ht="15.75" customHeight="1" x14ac:dyDescent="0.4">
      <c r="A157" s="700"/>
      <c r="B157" s="700"/>
      <c r="C157" s="700"/>
      <c r="D157" s="701"/>
      <c r="E157" s="700"/>
      <c r="F157" s="328"/>
      <c r="G157" s="700"/>
      <c r="H157" s="702"/>
      <c r="I157" s="703"/>
      <c r="J157" s="704"/>
      <c r="K157" s="704"/>
      <c r="L157" s="704"/>
      <c r="M157" s="704"/>
      <c r="N157" s="704"/>
      <c r="O157" s="705"/>
      <c r="P157" s="707"/>
      <c r="Q157" s="31"/>
    </row>
    <row r="158" spans="1:17" ht="15.75" customHeight="1" x14ac:dyDescent="0.4">
      <c r="A158" s="700"/>
      <c r="B158" s="700"/>
      <c r="C158" s="700"/>
      <c r="D158" s="701"/>
      <c r="E158" s="700"/>
      <c r="F158" s="328"/>
      <c r="G158" s="700"/>
      <c r="H158" s="702"/>
      <c r="I158" s="703"/>
      <c r="J158" s="704"/>
      <c r="K158" s="704"/>
      <c r="L158" s="704"/>
      <c r="M158" s="704"/>
      <c r="N158" s="704"/>
      <c r="O158" s="705"/>
      <c r="P158" s="707"/>
      <c r="Q158" s="31"/>
    </row>
    <row r="159" spans="1:17" ht="15.75" customHeight="1" x14ac:dyDescent="0.4">
      <c r="A159" s="700"/>
      <c r="B159" s="700"/>
      <c r="C159" s="700"/>
      <c r="D159" s="701"/>
      <c r="E159" s="700"/>
      <c r="F159" s="328"/>
      <c r="G159" s="700"/>
      <c r="H159" s="702"/>
      <c r="I159" s="703"/>
      <c r="J159" s="704"/>
      <c r="K159" s="704"/>
      <c r="L159" s="704"/>
      <c r="M159" s="704"/>
      <c r="N159" s="704"/>
      <c r="O159" s="705"/>
      <c r="P159" s="707"/>
      <c r="Q159" s="31"/>
    </row>
    <row r="160" spans="1:17" ht="15.75" customHeight="1" x14ac:dyDescent="0.4">
      <c r="A160" s="700"/>
      <c r="B160" s="700"/>
      <c r="C160" s="700"/>
      <c r="D160" s="701"/>
      <c r="E160" s="700"/>
      <c r="F160" s="328"/>
      <c r="G160" s="700"/>
      <c r="H160" s="702"/>
      <c r="I160" s="703"/>
      <c r="J160" s="704"/>
      <c r="K160" s="704"/>
      <c r="L160" s="704"/>
      <c r="M160" s="704"/>
      <c r="N160" s="704"/>
      <c r="O160" s="705"/>
      <c r="P160" s="671"/>
      <c r="Q160" s="31"/>
    </row>
    <row r="161" spans="1:17" ht="15.75" customHeight="1" x14ac:dyDescent="0.4">
      <c r="A161" s="700"/>
      <c r="B161" s="700"/>
      <c r="C161" s="700"/>
      <c r="D161" s="701"/>
      <c r="E161" s="700"/>
      <c r="F161" s="328"/>
      <c r="G161" s="700"/>
      <c r="H161" s="702"/>
      <c r="I161" s="703"/>
      <c r="J161" s="704"/>
      <c r="K161" s="704"/>
      <c r="L161" s="704"/>
      <c r="M161" s="704"/>
      <c r="N161" s="704"/>
      <c r="O161" s="700"/>
      <c r="P161" s="637"/>
      <c r="Q161" s="31"/>
    </row>
    <row r="162" spans="1:17" ht="15.75" customHeight="1" x14ac:dyDescent="0.4">
      <c r="A162" s="700"/>
      <c r="B162" s="700"/>
      <c r="C162" s="700"/>
      <c r="D162" s="701"/>
      <c r="E162" s="700"/>
      <c r="F162" s="328"/>
      <c r="G162" s="700"/>
      <c r="H162" s="702"/>
      <c r="I162" s="703"/>
      <c r="J162" s="704"/>
      <c r="K162" s="704"/>
      <c r="L162" s="704"/>
      <c r="M162" s="704"/>
      <c r="N162" s="704"/>
      <c r="O162" s="700"/>
      <c r="P162" s="637"/>
      <c r="Q162" s="31"/>
    </row>
    <row r="163" spans="1:17" ht="15.75" customHeight="1" x14ac:dyDescent="0.4">
      <c r="A163" s="700"/>
      <c r="B163" s="700"/>
      <c r="C163" s="700"/>
      <c r="D163" s="701"/>
      <c r="E163" s="700"/>
      <c r="F163" s="328"/>
      <c r="G163" s="700"/>
      <c r="H163" s="702"/>
      <c r="I163" s="703"/>
      <c r="J163" s="704"/>
      <c r="K163" s="704"/>
      <c r="L163" s="704"/>
      <c r="M163" s="704"/>
      <c r="N163" s="704"/>
      <c r="O163" s="700"/>
      <c r="P163" s="685"/>
      <c r="Q163" s="31"/>
    </row>
    <row r="164" spans="1:17" ht="15.75" customHeight="1" x14ac:dyDescent="0.4">
      <c r="A164" s="700"/>
      <c r="B164" s="700"/>
      <c r="C164" s="700"/>
      <c r="D164" s="701"/>
      <c r="E164" s="700"/>
      <c r="F164" s="328"/>
      <c r="G164" s="700"/>
      <c r="H164" s="702"/>
      <c r="I164" s="703"/>
      <c r="J164" s="704"/>
      <c r="K164" s="704"/>
      <c r="L164" s="704"/>
      <c r="M164" s="704"/>
      <c r="N164" s="704"/>
      <c r="O164" s="700"/>
      <c r="P164" s="685"/>
      <c r="Q164" s="31"/>
    </row>
    <row r="165" spans="1:17" ht="15.75" customHeight="1" x14ac:dyDescent="0.4">
      <c r="A165" s="700"/>
      <c r="B165" s="700"/>
      <c r="C165" s="700"/>
      <c r="D165" s="701"/>
      <c r="E165" s="700"/>
      <c r="F165" s="328"/>
      <c r="G165" s="700"/>
      <c r="H165" s="702"/>
      <c r="I165" s="703"/>
      <c r="J165" s="704"/>
      <c r="K165" s="704"/>
      <c r="L165" s="704"/>
      <c r="M165" s="704"/>
      <c r="N165" s="704"/>
      <c r="O165" s="700"/>
      <c r="P165" s="685"/>
      <c r="Q165" s="31"/>
    </row>
    <row r="166" spans="1:17" ht="15.75" customHeight="1" x14ac:dyDescent="0.4">
      <c r="A166" s="700"/>
      <c r="B166" s="700"/>
      <c r="C166" s="700"/>
      <c r="D166" s="701"/>
      <c r="E166" s="700"/>
      <c r="F166" s="328"/>
      <c r="G166" s="700"/>
      <c r="H166" s="702"/>
      <c r="I166" s="703"/>
      <c r="J166" s="704"/>
      <c r="K166" s="704"/>
      <c r="L166" s="704"/>
      <c r="M166" s="704"/>
      <c r="N166" s="704"/>
      <c r="O166" s="700"/>
      <c r="Q166" s="31"/>
    </row>
    <row r="167" spans="1:17" ht="15.75" customHeight="1" x14ac:dyDescent="0.4">
      <c r="A167" s="700"/>
      <c r="B167" s="700"/>
      <c r="C167" s="700"/>
      <c r="D167" s="701"/>
      <c r="E167" s="700"/>
      <c r="F167" s="328"/>
      <c r="G167" s="700"/>
      <c r="H167" s="702"/>
      <c r="I167" s="703"/>
      <c r="J167" s="704"/>
      <c r="K167" s="704"/>
      <c r="L167" s="704"/>
      <c r="M167" s="704"/>
      <c r="N167" s="704"/>
      <c r="O167" s="700"/>
      <c r="Q167" s="31"/>
    </row>
    <row r="168" spans="1:17" ht="15.75" customHeight="1" x14ac:dyDescent="0.4">
      <c r="A168" s="700"/>
      <c r="B168" s="700"/>
      <c r="C168" s="700"/>
      <c r="D168" s="701"/>
      <c r="E168" s="700"/>
      <c r="F168" s="328"/>
      <c r="G168" s="700"/>
      <c r="H168" s="702"/>
      <c r="I168" s="703"/>
      <c r="J168" s="704"/>
      <c r="K168" s="704"/>
      <c r="L168" s="704"/>
      <c r="M168" s="704"/>
      <c r="N168" s="704"/>
      <c r="O168" s="700"/>
      <c r="Q168" s="31"/>
    </row>
    <row r="169" spans="1:17" ht="15.75" customHeight="1" x14ac:dyDescent="0.4">
      <c r="A169" s="700"/>
      <c r="B169" s="700"/>
      <c r="C169" s="700"/>
      <c r="D169" s="701"/>
      <c r="E169" s="700"/>
      <c r="F169" s="328"/>
      <c r="G169" s="700"/>
      <c r="H169" s="702"/>
      <c r="I169" s="703"/>
      <c r="J169" s="704"/>
      <c r="K169" s="704"/>
      <c r="L169" s="704"/>
      <c r="M169" s="704"/>
      <c r="N169" s="704"/>
      <c r="O169" s="700"/>
      <c r="Q169" s="31"/>
    </row>
    <row r="170" spans="1:17" ht="15.75" customHeight="1" x14ac:dyDescent="0.4">
      <c r="A170" s="700"/>
      <c r="B170" s="700"/>
      <c r="C170" s="700"/>
      <c r="D170" s="701"/>
      <c r="E170" s="700"/>
      <c r="F170" s="328"/>
      <c r="G170" s="700"/>
      <c r="H170" s="702"/>
      <c r="I170" s="703"/>
      <c r="J170" s="704"/>
      <c r="K170" s="704"/>
      <c r="L170" s="704"/>
      <c r="M170" s="704"/>
      <c r="N170" s="704"/>
      <c r="O170" s="700"/>
      <c r="Q170" s="31"/>
    </row>
    <row r="171" spans="1:17" ht="15.75" customHeight="1" x14ac:dyDescent="0.4">
      <c r="A171" s="700"/>
      <c r="B171" s="700"/>
      <c r="C171" s="700"/>
      <c r="D171" s="701"/>
      <c r="E171" s="700"/>
      <c r="F171" s="328"/>
      <c r="G171" s="700"/>
      <c r="H171" s="702"/>
      <c r="I171" s="703"/>
      <c r="J171" s="704"/>
      <c r="K171" s="704"/>
      <c r="L171" s="704"/>
      <c r="M171" s="704"/>
      <c r="N171" s="704"/>
      <c r="O171" s="700"/>
      <c r="Q171" s="31"/>
    </row>
    <row r="172" spans="1:17" ht="15.75" customHeight="1" x14ac:dyDescent="0.4">
      <c r="A172" s="700"/>
      <c r="B172" s="700"/>
      <c r="C172" s="700"/>
      <c r="D172" s="701"/>
      <c r="E172" s="700"/>
      <c r="F172" s="328"/>
      <c r="G172" s="700"/>
      <c r="H172" s="702"/>
      <c r="I172" s="703"/>
      <c r="J172" s="704"/>
      <c r="K172" s="704"/>
      <c r="L172" s="704"/>
      <c r="M172" s="704"/>
      <c r="N172" s="704"/>
      <c r="O172" s="700"/>
      <c r="Q172" s="31"/>
    </row>
    <row r="173" spans="1:17" ht="15.75" customHeight="1" x14ac:dyDescent="0.4">
      <c r="A173" s="700"/>
      <c r="B173" s="700"/>
      <c r="C173" s="700"/>
      <c r="D173" s="701"/>
      <c r="E173" s="700"/>
      <c r="F173" s="328"/>
      <c r="G173" s="700"/>
      <c r="H173" s="702"/>
      <c r="I173" s="703"/>
      <c r="J173" s="704"/>
      <c r="K173" s="704"/>
      <c r="L173" s="704"/>
      <c r="M173" s="704"/>
      <c r="N173" s="704"/>
      <c r="O173" s="700"/>
      <c r="Q173" s="31"/>
    </row>
    <row r="174" spans="1:17" ht="15.75" customHeight="1" x14ac:dyDescent="0.4">
      <c r="A174" s="700"/>
      <c r="B174" s="700"/>
      <c r="C174" s="700"/>
      <c r="D174" s="701"/>
      <c r="E174" s="700"/>
      <c r="F174" s="328"/>
      <c r="G174" s="700"/>
      <c r="H174" s="702"/>
      <c r="I174" s="703"/>
      <c r="J174" s="704"/>
      <c r="K174" s="704"/>
      <c r="L174" s="704"/>
      <c r="M174" s="704"/>
      <c r="N174" s="704"/>
      <c r="O174" s="700"/>
      <c r="Q174" s="31"/>
    </row>
    <row r="175" spans="1:17" ht="15.75" customHeight="1" x14ac:dyDescent="0.4">
      <c r="A175" s="700"/>
      <c r="B175" s="700"/>
      <c r="C175" s="700"/>
      <c r="D175" s="701"/>
      <c r="E175" s="700"/>
      <c r="F175" s="328"/>
      <c r="G175" s="700"/>
      <c r="H175" s="702"/>
      <c r="I175" s="703"/>
      <c r="J175" s="704"/>
      <c r="K175" s="704"/>
      <c r="L175" s="704"/>
      <c r="M175" s="704"/>
      <c r="N175" s="704"/>
      <c r="O175" s="700"/>
      <c r="Q175" s="31"/>
    </row>
    <row r="176" spans="1:17" ht="15.75" customHeight="1" x14ac:dyDescent="0.4">
      <c r="A176" s="700"/>
      <c r="B176" s="700"/>
      <c r="C176" s="700"/>
      <c r="D176" s="701"/>
      <c r="E176" s="700"/>
      <c r="F176" s="328"/>
      <c r="G176" s="700"/>
      <c r="H176" s="702"/>
      <c r="I176" s="703"/>
      <c r="J176" s="704"/>
      <c r="K176" s="704"/>
      <c r="L176" s="704"/>
      <c r="M176" s="704"/>
      <c r="N176" s="704"/>
      <c r="O176" s="700"/>
      <c r="Q176" s="31"/>
    </row>
    <row r="177" spans="1:17" ht="15.75" customHeight="1" x14ac:dyDescent="0.4">
      <c r="A177" s="700"/>
      <c r="B177" s="700"/>
      <c r="C177" s="700"/>
      <c r="D177" s="701"/>
      <c r="E177" s="700"/>
      <c r="F177" s="328"/>
      <c r="G177" s="700"/>
      <c r="H177" s="702"/>
      <c r="I177" s="703"/>
      <c r="J177" s="704"/>
      <c r="K177" s="704"/>
      <c r="L177" s="704"/>
      <c r="M177" s="704"/>
      <c r="N177" s="704"/>
      <c r="O177" s="700"/>
      <c r="Q177" s="31"/>
    </row>
    <row r="178" spans="1:17" ht="15.75" customHeight="1" x14ac:dyDescent="0.4">
      <c r="A178" s="700"/>
      <c r="B178" s="700"/>
      <c r="C178" s="700"/>
      <c r="D178" s="701"/>
      <c r="E178" s="700"/>
      <c r="F178" s="328"/>
      <c r="G178" s="700"/>
      <c r="H178" s="702"/>
      <c r="I178" s="703"/>
      <c r="J178" s="704"/>
      <c r="K178" s="704"/>
      <c r="L178" s="704"/>
      <c r="M178" s="704"/>
      <c r="N178" s="704"/>
      <c r="O178" s="700"/>
      <c r="Q178" s="31"/>
    </row>
    <row r="179" spans="1:17" ht="15.75" customHeight="1" x14ac:dyDescent="0.4">
      <c r="A179" s="700"/>
      <c r="B179" s="700"/>
      <c r="C179" s="700"/>
      <c r="D179" s="701"/>
      <c r="E179" s="700"/>
      <c r="F179" s="328"/>
      <c r="G179" s="700"/>
      <c r="H179" s="702"/>
      <c r="I179" s="703"/>
      <c r="J179" s="704"/>
      <c r="K179" s="704"/>
      <c r="L179" s="704"/>
      <c r="M179" s="704"/>
      <c r="N179" s="704"/>
      <c r="O179" s="700"/>
      <c r="Q179" s="31"/>
    </row>
    <row r="180" spans="1:17" ht="15.75" customHeight="1" x14ac:dyDescent="0.4">
      <c r="A180" s="700"/>
      <c r="B180" s="700"/>
      <c r="C180" s="700"/>
      <c r="D180" s="701"/>
      <c r="E180" s="700"/>
      <c r="F180" s="328"/>
      <c r="G180" s="700"/>
      <c r="H180" s="702"/>
      <c r="I180" s="703"/>
      <c r="J180" s="704"/>
      <c r="K180" s="704"/>
      <c r="L180" s="704"/>
      <c r="M180" s="704"/>
      <c r="N180" s="704"/>
      <c r="O180" s="700"/>
      <c r="Q180" s="31"/>
    </row>
    <row r="181" spans="1:17" ht="15.75" customHeight="1" x14ac:dyDescent="0.4">
      <c r="A181" s="700"/>
      <c r="B181" s="700"/>
      <c r="C181" s="700"/>
      <c r="D181" s="701"/>
      <c r="E181" s="700"/>
      <c r="F181" s="328"/>
      <c r="G181" s="700"/>
      <c r="H181" s="702"/>
      <c r="I181" s="703"/>
      <c r="J181" s="704"/>
      <c r="K181" s="704"/>
      <c r="L181" s="704"/>
      <c r="M181" s="704"/>
      <c r="N181" s="704"/>
      <c r="O181" s="700"/>
      <c r="Q181" s="31"/>
    </row>
    <row r="182" spans="1:17" ht="15.75" customHeight="1" x14ac:dyDescent="0.4">
      <c r="A182" s="700"/>
      <c r="B182" s="700"/>
      <c r="C182" s="700"/>
      <c r="D182" s="701"/>
      <c r="E182" s="700"/>
      <c r="F182" s="328"/>
      <c r="G182" s="700"/>
      <c r="H182" s="702"/>
      <c r="I182" s="703"/>
      <c r="J182" s="704"/>
      <c r="K182" s="704"/>
      <c r="L182" s="704"/>
      <c r="M182" s="704"/>
      <c r="N182" s="704"/>
      <c r="O182" s="700"/>
      <c r="Q182" s="31"/>
    </row>
    <row r="183" spans="1:17" ht="15.75" customHeight="1" x14ac:dyDescent="0.4">
      <c r="A183" s="700"/>
      <c r="B183" s="700"/>
      <c r="C183" s="700"/>
      <c r="D183" s="701"/>
      <c r="E183" s="700"/>
      <c r="F183" s="328"/>
      <c r="G183" s="700"/>
      <c r="H183" s="702"/>
      <c r="I183" s="703"/>
      <c r="J183" s="704"/>
      <c r="K183" s="704"/>
      <c r="L183" s="704"/>
      <c r="M183" s="704"/>
      <c r="N183" s="704"/>
      <c r="O183" s="700"/>
      <c r="Q183" s="31"/>
    </row>
    <row r="184" spans="1:17" ht="15.75" customHeight="1" x14ac:dyDescent="0.4">
      <c r="A184" s="700"/>
      <c r="B184" s="700"/>
      <c r="C184" s="700"/>
      <c r="D184" s="701"/>
      <c r="E184" s="700"/>
      <c r="F184" s="328"/>
      <c r="G184" s="700"/>
      <c r="H184" s="702"/>
      <c r="I184" s="703"/>
      <c r="J184" s="704"/>
      <c r="K184" s="704"/>
      <c r="L184" s="704"/>
      <c r="M184" s="704"/>
      <c r="N184" s="704"/>
      <c r="O184" s="700"/>
      <c r="Q184" s="31"/>
    </row>
    <row r="185" spans="1:17" ht="15.75" customHeight="1" x14ac:dyDescent="0.4">
      <c r="A185" s="700"/>
      <c r="B185" s="700"/>
      <c r="C185" s="700"/>
      <c r="D185" s="701"/>
      <c r="E185" s="700"/>
      <c r="F185" s="328"/>
      <c r="G185" s="700"/>
      <c r="H185" s="702"/>
      <c r="I185" s="703"/>
      <c r="J185" s="704"/>
      <c r="K185" s="704"/>
      <c r="L185" s="704"/>
      <c r="M185" s="704"/>
      <c r="N185" s="704"/>
      <c r="O185" s="700"/>
      <c r="Q185" s="31"/>
    </row>
    <row r="186" spans="1:17" ht="15.75" customHeight="1" x14ac:dyDescent="0.4">
      <c r="A186" s="700"/>
      <c r="B186" s="700"/>
      <c r="C186" s="700"/>
      <c r="D186" s="701"/>
      <c r="E186" s="700"/>
      <c r="F186" s="328"/>
      <c r="G186" s="700"/>
      <c r="H186" s="702"/>
      <c r="I186" s="703"/>
      <c r="J186" s="704"/>
      <c r="K186" s="704"/>
      <c r="L186" s="704"/>
      <c r="M186" s="704"/>
      <c r="N186" s="704"/>
      <c r="O186" s="700"/>
      <c r="Q186" s="31"/>
    </row>
    <row r="187" spans="1:17" ht="15.75" customHeight="1" x14ac:dyDescent="0.4">
      <c r="A187" s="700"/>
      <c r="B187" s="700"/>
      <c r="C187" s="700"/>
      <c r="D187" s="701"/>
      <c r="E187" s="700"/>
      <c r="F187" s="328"/>
      <c r="G187" s="700"/>
      <c r="H187" s="702"/>
      <c r="I187" s="703"/>
      <c r="J187" s="704"/>
      <c r="K187" s="704"/>
      <c r="L187" s="704"/>
      <c r="M187" s="704"/>
      <c r="N187" s="704"/>
      <c r="O187" s="700"/>
      <c r="Q187" s="31"/>
    </row>
    <row r="188" spans="1:17" ht="15.75" customHeight="1" x14ac:dyDescent="0.4">
      <c r="A188" s="700"/>
      <c r="B188" s="700"/>
      <c r="C188" s="700"/>
      <c r="D188" s="701"/>
      <c r="E188" s="700"/>
      <c r="F188" s="328"/>
      <c r="G188" s="700"/>
      <c r="H188" s="702"/>
      <c r="I188" s="703"/>
      <c r="J188" s="704"/>
      <c r="K188" s="704"/>
      <c r="L188" s="704"/>
      <c r="M188" s="704"/>
      <c r="N188" s="704"/>
      <c r="O188" s="700"/>
      <c r="Q188" s="31"/>
    </row>
    <row r="189" spans="1:17" ht="15.75" customHeight="1" x14ac:dyDescent="0.4">
      <c r="A189" s="700"/>
      <c r="B189" s="700"/>
      <c r="C189" s="700"/>
      <c r="D189" s="701"/>
      <c r="E189" s="700"/>
      <c r="F189" s="328"/>
      <c r="G189" s="700"/>
      <c r="H189" s="702"/>
      <c r="I189" s="703"/>
      <c r="J189" s="704"/>
      <c r="K189" s="704"/>
      <c r="L189" s="704"/>
      <c r="M189" s="704"/>
      <c r="N189" s="704"/>
      <c r="O189" s="700"/>
      <c r="Q189" s="31"/>
    </row>
    <row r="190" spans="1:17" ht="15.75" customHeight="1" x14ac:dyDescent="0.4">
      <c r="A190" s="700"/>
      <c r="B190" s="700"/>
      <c r="C190" s="700"/>
      <c r="D190" s="701"/>
      <c r="E190" s="700"/>
      <c r="F190" s="328"/>
      <c r="G190" s="700"/>
      <c r="H190" s="702"/>
      <c r="I190" s="703"/>
      <c r="J190" s="704"/>
      <c r="K190" s="704"/>
      <c r="L190" s="704"/>
      <c r="M190" s="704"/>
      <c r="N190" s="704"/>
      <c r="O190" s="700"/>
      <c r="Q190" s="31"/>
    </row>
    <row r="191" spans="1:17" ht="15.75" customHeight="1" x14ac:dyDescent="0.4">
      <c r="A191" s="700"/>
      <c r="B191" s="700"/>
      <c r="C191" s="700"/>
      <c r="D191" s="701"/>
      <c r="E191" s="700"/>
      <c r="F191" s="328"/>
      <c r="G191" s="700"/>
      <c r="H191" s="702"/>
      <c r="I191" s="703"/>
      <c r="J191" s="704"/>
      <c r="K191" s="704"/>
      <c r="L191" s="704"/>
      <c r="M191" s="704"/>
      <c r="N191" s="704"/>
      <c r="O191" s="700"/>
      <c r="Q191" s="31"/>
    </row>
    <row r="192" spans="1:17" ht="15.75" customHeight="1" x14ac:dyDescent="0.4">
      <c r="A192" s="700"/>
      <c r="B192" s="700"/>
      <c r="C192" s="700"/>
      <c r="D192" s="701"/>
      <c r="E192" s="700"/>
      <c r="F192" s="328"/>
      <c r="G192" s="700"/>
      <c r="H192" s="702"/>
      <c r="I192" s="703"/>
      <c r="J192" s="704"/>
      <c r="K192" s="704"/>
      <c r="L192" s="704"/>
      <c r="M192" s="704"/>
      <c r="N192" s="704"/>
      <c r="O192" s="700"/>
      <c r="Q192" s="31"/>
    </row>
    <row r="193" spans="1:17" ht="15.75" customHeight="1" x14ac:dyDescent="0.4">
      <c r="A193" s="700"/>
      <c r="B193" s="700"/>
      <c r="C193" s="700"/>
      <c r="D193" s="701"/>
      <c r="E193" s="700"/>
      <c r="F193" s="328"/>
      <c r="G193" s="700"/>
      <c r="H193" s="702"/>
      <c r="I193" s="703"/>
      <c r="J193" s="704"/>
      <c r="K193" s="704"/>
      <c r="L193" s="704"/>
      <c r="M193" s="704"/>
      <c r="N193" s="704"/>
      <c r="O193" s="700"/>
      <c r="Q193" s="31"/>
    </row>
    <row r="194" spans="1:17" ht="15.75" customHeight="1" x14ac:dyDescent="0.4">
      <c r="A194" s="700"/>
      <c r="B194" s="700"/>
      <c r="C194" s="700"/>
      <c r="D194" s="701"/>
      <c r="E194" s="700"/>
      <c r="F194" s="328"/>
      <c r="G194" s="700"/>
      <c r="H194" s="702"/>
      <c r="I194" s="703"/>
      <c r="J194" s="704"/>
      <c r="K194" s="704"/>
      <c r="L194" s="704"/>
      <c r="M194" s="704"/>
      <c r="N194" s="704"/>
      <c r="O194" s="700"/>
      <c r="Q194" s="31"/>
    </row>
    <row r="195" spans="1:17" ht="15.75" customHeight="1" x14ac:dyDescent="0.4">
      <c r="A195" s="700"/>
      <c r="B195" s="700"/>
      <c r="C195" s="700"/>
      <c r="D195" s="701"/>
      <c r="E195" s="700"/>
      <c r="F195" s="328"/>
      <c r="G195" s="700"/>
      <c r="H195" s="702"/>
      <c r="I195" s="703"/>
      <c r="J195" s="704"/>
      <c r="K195" s="704"/>
      <c r="L195" s="704"/>
      <c r="M195" s="704"/>
      <c r="N195" s="704"/>
      <c r="O195" s="700"/>
      <c r="Q195" s="31"/>
    </row>
    <row r="196" spans="1:17" ht="15.75" customHeight="1" x14ac:dyDescent="0.4">
      <c r="A196" s="700"/>
      <c r="B196" s="700"/>
      <c r="C196" s="700"/>
      <c r="D196" s="701"/>
      <c r="E196" s="700"/>
      <c r="F196" s="328"/>
      <c r="G196" s="700"/>
      <c r="H196" s="702"/>
      <c r="I196" s="703"/>
      <c r="J196" s="704"/>
      <c r="K196" s="704"/>
      <c r="L196" s="704"/>
      <c r="M196" s="704"/>
      <c r="N196" s="704"/>
      <c r="O196" s="700"/>
      <c r="Q196" s="31"/>
    </row>
    <row r="197" spans="1:17" ht="15.75" customHeight="1" x14ac:dyDescent="0.4">
      <c r="A197" s="700"/>
      <c r="B197" s="700"/>
      <c r="C197" s="700"/>
      <c r="D197" s="701"/>
      <c r="E197" s="700"/>
      <c r="F197" s="328"/>
      <c r="G197" s="700"/>
      <c r="H197" s="702"/>
      <c r="I197" s="703"/>
      <c r="J197" s="704"/>
      <c r="K197" s="704"/>
      <c r="L197" s="704"/>
      <c r="M197" s="704"/>
      <c r="N197" s="704"/>
      <c r="O197" s="700"/>
      <c r="Q197" s="31"/>
    </row>
    <row r="198" spans="1:17" ht="15.75" customHeight="1" x14ac:dyDescent="0.4">
      <c r="A198" s="700"/>
      <c r="B198" s="700"/>
      <c r="C198" s="700"/>
      <c r="D198" s="701"/>
      <c r="E198" s="700"/>
      <c r="F198" s="328"/>
      <c r="G198" s="700"/>
      <c r="H198" s="702"/>
      <c r="I198" s="703"/>
      <c r="J198" s="704"/>
      <c r="K198" s="704"/>
      <c r="L198" s="704"/>
      <c r="M198" s="704"/>
      <c r="N198" s="704"/>
      <c r="O198" s="700"/>
      <c r="Q198" s="31"/>
    </row>
    <row r="199" spans="1:17" ht="15.75" customHeight="1" x14ac:dyDescent="0.4">
      <c r="A199" s="700"/>
      <c r="B199" s="700"/>
      <c r="C199" s="700"/>
      <c r="D199" s="701"/>
      <c r="E199" s="700"/>
      <c r="F199" s="328"/>
      <c r="G199" s="700"/>
      <c r="H199" s="702"/>
      <c r="I199" s="703"/>
      <c r="J199" s="704"/>
      <c r="K199" s="704"/>
      <c r="L199" s="704"/>
      <c r="M199" s="704"/>
      <c r="N199" s="704"/>
      <c r="O199" s="700"/>
      <c r="Q199" s="31"/>
    </row>
    <row r="200" spans="1:17" ht="15.75" customHeight="1" x14ac:dyDescent="0.4">
      <c r="A200" s="700"/>
      <c r="B200" s="700"/>
      <c r="C200" s="700"/>
      <c r="D200" s="701"/>
      <c r="E200" s="700"/>
      <c r="F200" s="328"/>
      <c r="G200" s="700"/>
      <c r="H200" s="702"/>
      <c r="I200" s="703"/>
      <c r="J200" s="704"/>
      <c r="K200" s="704"/>
      <c r="L200" s="704"/>
      <c r="M200" s="704"/>
      <c r="N200" s="704"/>
      <c r="O200" s="700"/>
      <c r="Q200" s="31"/>
    </row>
    <row r="201" spans="1:17" ht="15.75" customHeight="1" x14ac:dyDescent="0.4">
      <c r="A201" s="700"/>
      <c r="B201" s="700"/>
      <c r="C201" s="700"/>
      <c r="D201" s="701"/>
      <c r="E201" s="700"/>
      <c r="F201" s="328"/>
      <c r="G201" s="700"/>
      <c r="H201" s="702"/>
      <c r="I201" s="703"/>
      <c r="J201" s="704"/>
      <c r="K201" s="704"/>
      <c r="L201" s="704"/>
      <c r="M201" s="704"/>
      <c r="N201" s="704"/>
      <c r="O201" s="700"/>
      <c r="Q201" s="31"/>
    </row>
    <row r="202" spans="1:17" ht="15.75" customHeight="1" x14ac:dyDescent="0.4">
      <c r="A202" s="700"/>
      <c r="B202" s="700"/>
      <c r="C202" s="700"/>
      <c r="D202" s="701"/>
      <c r="E202" s="700"/>
      <c r="F202" s="328"/>
      <c r="G202" s="700"/>
      <c r="H202" s="702"/>
      <c r="I202" s="703"/>
      <c r="J202" s="704"/>
      <c r="K202" s="704"/>
      <c r="L202" s="704"/>
      <c r="M202" s="704"/>
      <c r="N202" s="704"/>
      <c r="O202" s="700"/>
      <c r="Q202" s="31"/>
    </row>
    <row r="203" spans="1:17" ht="15.75" customHeight="1" x14ac:dyDescent="0.4">
      <c r="A203" s="700"/>
      <c r="B203" s="700"/>
      <c r="C203" s="700"/>
      <c r="D203" s="701"/>
      <c r="E203" s="700"/>
      <c r="F203" s="328"/>
      <c r="G203" s="700"/>
      <c r="H203" s="702"/>
      <c r="I203" s="703"/>
      <c r="J203" s="704"/>
      <c r="K203" s="704"/>
      <c r="L203" s="704"/>
      <c r="M203" s="704"/>
      <c r="N203" s="704"/>
      <c r="O203" s="700"/>
      <c r="Q203" s="31"/>
    </row>
    <row r="204" spans="1:17" ht="15.75" customHeight="1" x14ac:dyDescent="0.4">
      <c r="A204" s="700"/>
      <c r="B204" s="700"/>
      <c r="C204" s="700"/>
      <c r="D204" s="701"/>
      <c r="E204" s="700"/>
      <c r="F204" s="328"/>
      <c r="G204" s="700"/>
      <c r="H204" s="702"/>
      <c r="I204" s="703"/>
      <c r="J204" s="704"/>
      <c r="K204" s="704"/>
      <c r="L204" s="704"/>
      <c r="M204" s="704"/>
      <c r="N204" s="704"/>
      <c r="O204" s="700"/>
      <c r="Q204" s="31"/>
    </row>
    <row r="205" spans="1:17" ht="15.75" customHeight="1" x14ac:dyDescent="0.4">
      <c r="A205" s="700"/>
      <c r="B205" s="700"/>
      <c r="C205" s="700"/>
      <c r="D205" s="701"/>
      <c r="E205" s="700"/>
      <c r="F205" s="328"/>
      <c r="G205" s="700"/>
      <c r="H205" s="702"/>
      <c r="I205" s="703"/>
      <c r="J205" s="704"/>
      <c r="K205" s="704"/>
      <c r="L205" s="704"/>
      <c r="M205" s="704"/>
      <c r="N205" s="704"/>
      <c r="O205" s="700"/>
      <c r="Q205" s="31"/>
    </row>
    <row r="206" spans="1:17" ht="15.75" customHeight="1" x14ac:dyDescent="0.4">
      <c r="A206" s="700"/>
      <c r="B206" s="700"/>
      <c r="C206" s="700"/>
      <c r="D206" s="701"/>
      <c r="E206" s="700"/>
      <c r="F206" s="328"/>
      <c r="G206" s="700"/>
      <c r="H206" s="702"/>
      <c r="I206" s="703"/>
      <c r="J206" s="704"/>
      <c r="K206" s="704"/>
      <c r="L206" s="704"/>
      <c r="M206" s="704"/>
      <c r="N206" s="704"/>
      <c r="O206" s="700"/>
      <c r="Q206" s="31"/>
    </row>
    <row r="207" spans="1:17" ht="15.75" customHeight="1" x14ac:dyDescent="0.4">
      <c r="A207" s="700"/>
      <c r="B207" s="700"/>
      <c r="C207" s="700"/>
      <c r="D207" s="701"/>
      <c r="E207" s="700"/>
      <c r="F207" s="328"/>
      <c r="G207" s="700"/>
      <c r="H207" s="702"/>
      <c r="I207" s="703"/>
      <c r="J207" s="704"/>
      <c r="K207" s="704"/>
      <c r="L207" s="704"/>
      <c r="M207" s="704"/>
      <c r="N207" s="704"/>
      <c r="O207" s="700"/>
      <c r="Q207" s="31"/>
    </row>
    <row r="208" spans="1:17" ht="15.75" customHeight="1" x14ac:dyDescent="0.4">
      <c r="A208" s="700"/>
      <c r="B208" s="700"/>
      <c r="C208" s="700"/>
      <c r="D208" s="701"/>
      <c r="E208" s="700"/>
      <c r="F208" s="328"/>
      <c r="G208" s="700"/>
      <c r="H208" s="702"/>
      <c r="I208" s="703"/>
      <c r="J208" s="704"/>
      <c r="K208" s="704"/>
      <c r="L208" s="704"/>
      <c r="M208" s="704"/>
      <c r="N208" s="704"/>
      <c r="O208" s="700"/>
      <c r="Q208" s="31"/>
    </row>
    <row r="209" spans="1:17" ht="15.75" customHeight="1" x14ac:dyDescent="0.4">
      <c r="A209" s="700"/>
      <c r="B209" s="700"/>
      <c r="C209" s="700"/>
      <c r="D209" s="701"/>
      <c r="E209" s="700"/>
      <c r="F209" s="328"/>
      <c r="G209" s="700"/>
      <c r="H209" s="702"/>
      <c r="I209" s="703"/>
      <c r="J209" s="704"/>
      <c r="K209" s="704"/>
      <c r="L209" s="704"/>
      <c r="M209" s="704"/>
      <c r="N209" s="704"/>
      <c r="O209" s="700"/>
      <c r="Q209" s="31"/>
    </row>
    <row r="210" spans="1:17" ht="15.75" customHeight="1" x14ac:dyDescent="0.4">
      <c r="A210" s="700"/>
      <c r="B210" s="700"/>
      <c r="C210" s="700"/>
      <c r="D210" s="701"/>
      <c r="E210" s="700"/>
      <c r="F210" s="328"/>
      <c r="G210" s="700"/>
      <c r="H210" s="702"/>
      <c r="I210" s="703"/>
      <c r="J210" s="704"/>
      <c r="K210" s="704"/>
      <c r="L210" s="704"/>
      <c r="M210" s="704"/>
      <c r="N210" s="704"/>
      <c r="O210" s="700"/>
      <c r="Q210" s="31"/>
    </row>
    <row r="211" spans="1:17" ht="15.75" customHeight="1" x14ac:dyDescent="0.4">
      <c r="A211" s="700"/>
      <c r="B211" s="700"/>
      <c r="C211" s="700"/>
      <c r="D211" s="701"/>
      <c r="E211" s="700"/>
      <c r="F211" s="328"/>
      <c r="G211" s="700"/>
      <c r="H211" s="702"/>
      <c r="I211" s="703"/>
      <c r="J211" s="704"/>
      <c r="K211" s="704"/>
      <c r="L211" s="704"/>
      <c r="M211" s="704"/>
      <c r="N211" s="704"/>
      <c r="O211" s="700"/>
      <c r="Q211" s="31"/>
    </row>
    <row r="212" spans="1:17" ht="15.75" customHeight="1" x14ac:dyDescent="0.4">
      <c r="A212" s="700"/>
      <c r="B212" s="700"/>
      <c r="C212" s="700"/>
      <c r="D212" s="701"/>
      <c r="E212" s="700"/>
      <c r="F212" s="328"/>
      <c r="G212" s="700"/>
      <c r="H212" s="702"/>
      <c r="I212" s="703"/>
      <c r="J212" s="704"/>
      <c r="K212" s="704"/>
      <c r="L212" s="704"/>
      <c r="M212" s="704"/>
      <c r="N212" s="704"/>
      <c r="O212" s="700"/>
      <c r="Q212" s="31"/>
    </row>
    <row r="213" spans="1:17" ht="15.75" customHeight="1" x14ac:dyDescent="0.4">
      <c r="A213" s="700"/>
      <c r="B213" s="700"/>
      <c r="C213" s="700"/>
      <c r="D213" s="701"/>
      <c r="E213" s="700"/>
      <c r="F213" s="328"/>
      <c r="G213" s="700"/>
      <c r="H213" s="702"/>
      <c r="I213" s="703"/>
      <c r="J213" s="704"/>
      <c r="K213" s="704"/>
      <c r="L213" s="704"/>
      <c r="M213" s="704"/>
      <c r="N213" s="704"/>
      <c r="O213" s="700"/>
      <c r="Q213" s="31"/>
    </row>
    <row r="214" spans="1:17" ht="15.75" customHeight="1" x14ac:dyDescent="0.4">
      <c r="A214" s="700"/>
      <c r="B214" s="700"/>
      <c r="C214" s="700"/>
      <c r="D214" s="701"/>
      <c r="E214" s="700"/>
      <c r="F214" s="328"/>
      <c r="G214" s="700"/>
      <c r="H214" s="702"/>
      <c r="I214" s="703"/>
      <c r="J214" s="704"/>
      <c r="K214" s="704"/>
      <c r="L214" s="704"/>
      <c r="M214" s="704"/>
      <c r="N214" s="704"/>
      <c r="O214" s="700"/>
      <c r="Q214" s="31"/>
    </row>
    <row r="215" spans="1:17" ht="15.75" customHeight="1" x14ac:dyDescent="0.4">
      <c r="A215" s="700"/>
      <c r="B215" s="700"/>
      <c r="C215" s="700"/>
      <c r="D215" s="701"/>
      <c r="E215" s="700"/>
      <c r="F215" s="328"/>
      <c r="G215" s="700"/>
      <c r="H215" s="702"/>
      <c r="I215" s="703"/>
      <c r="J215" s="704"/>
      <c r="K215" s="704"/>
      <c r="L215" s="704"/>
      <c r="M215" s="704"/>
      <c r="N215" s="704"/>
      <c r="O215" s="700"/>
      <c r="Q215" s="31"/>
    </row>
    <row r="216" spans="1:17" ht="15.75" customHeight="1" x14ac:dyDescent="0.4">
      <c r="A216" s="700"/>
      <c r="B216" s="700"/>
      <c r="C216" s="700"/>
      <c r="D216" s="701"/>
      <c r="E216" s="700"/>
      <c r="F216" s="328"/>
      <c r="G216" s="700"/>
      <c r="H216" s="702"/>
      <c r="I216" s="703"/>
      <c r="J216" s="704"/>
      <c r="K216" s="704"/>
      <c r="L216" s="704"/>
      <c r="M216" s="704"/>
      <c r="N216" s="704"/>
      <c r="O216" s="700"/>
      <c r="Q216" s="31"/>
    </row>
    <row r="217" spans="1:17" ht="15.75" customHeight="1" x14ac:dyDescent="0.4">
      <c r="A217" s="700"/>
      <c r="B217" s="700"/>
      <c r="C217" s="700"/>
      <c r="D217" s="701"/>
      <c r="E217" s="700"/>
      <c r="F217" s="328"/>
      <c r="G217" s="700"/>
      <c r="H217" s="702"/>
      <c r="I217" s="703"/>
      <c r="J217" s="704"/>
      <c r="K217" s="704"/>
      <c r="L217" s="704"/>
      <c r="M217" s="704"/>
      <c r="N217" s="704"/>
      <c r="O217" s="700"/>
      <c r="Q217" s="31"/>
    </row>
    <row r="218" spans="1:17" ht="15.75" customHeight="1" x14ac:dyDescent="0.4">
      <c r="A218" s="700"/>
      <c r="B218" s="700"/>
      <c r="C218" s="700"/>
      <c r="D218" s="701"/>
      <c r="E218" s="700"/>
      <c r="F218" s="328"/>
      <c r="G218" s="700"/>
      <c r="H218" s="702"/>
      <c r="I218" s="703"/>
      <c r="J218" s="704"/>
      <c r="K218" s="704"/>
      <c r="L218" s="704"/>
      <c r="M218" s="704"/>
      <c r="N218" s="704"/>
      <c r="O218" s="700"/>
      <c r="Q218" s="31"/>
    </row>
    <row r="219" spans="1:17" ht="15.75" customHeight="1" x14ac:dyDescent="0.4">
      <c r="A219" s="700"/>
      <c r="B219" s="700"/>
      <c r="C219" s="700"/>
      <c r="D219" s="701"/>
      <c r="E219" s="700"/>
      <c r="F219" s="328"/>
      <c r="G219" s="700"/>
      <c r="H219" s="702"/>
      <c r="I219" s="703"/>
      <c r="J219" s="704"/>
      <c r="K219" s="704"/>
      <c r="L219" s="704"/>
      <c r="M219" s="704"/>
      <c r="N219" s="704"/>
      <c r="O219" s="700"/>
      <c r="Q219" s="31"/>
    </row>
    <row r="220" spans="1:17" ht="15.75" customHeight="1" x14ac:dyDescent="0.4">
      <c r="A220" s="700"/>
      <c r="B220" s="700"/>
      <c r="C220" s="700"/>
      <c r="D220" s="701"/>
      <c r="E220" s="700"/>
      <c r="F220" s="328"/>
      <c r="G220" s="700"/>
      <c r="H220" s="702"/>
      <c r="I220" s="703"/>
      <c r="J220" s="704"/>
      <c r="K220" s="704"/>
      <c r="L220" s="704"/>
      <c r="M220" s="704"/>
      <c r="N220" s="704"/>
      <c r="O220" s="700"/>
      <c r="Q220" s="31"/>
    </row>
    <row r="221" spans="1:17" ht="15.75" customHeight="1" x14ac:dyDescent="0.4">
      <c r="A221" s="700"/>
      <c r="B221" s="700"/>
      <c r="C221" s="700"/>
      <c r="D221" s="701"/>
      <c r="E221" s="700"/>
      <c r="F221" s="328"/>
      <c r="G221" s="700"/>
      <c r="H221" s="702"/>
      <c r="I221" s="703"/>
      <c r="J221" s="704"/>
      <c r="K221" s="704"/>
      <c r="L221" s="704"/>
      <c r="M221" s="704"/>
      <c r="N221" s="704"/>
      <c r="O221" s="700"/>
      <c r="Q221" s="31"/>
    </row>
    <row r="222" spans="1:17" ht="15.75" customHeight="1" x14ac:dyDescent="0.4">
      <c r="A222" s="700"/>
      <c r="B222" s="700"/>
      <c r="C222" s="700"/>
      <c r="D222" s="701"/>
      <c r="E222" s="700"/>
      <c r="F222" s="328"/>
      <c r="G222" s="700"/>
      <c r="H222" s="702"/>
      <c r="I222" s="703"/>
      <c r="J222" s="704"/>
      <c r="K222" s="704"/>
      <c r="L222" s="704"/>
      <c r="M222" s="704"/>
      <c r="N222" s="704"/>
      <c r="O222" s="700"/>
      <c r="Q222" s="31"/>
    </row>
    <row r="223" spans="1:17" ht="15.75" customHeight="1" x14ac:dyDescent="0.4">
      <c r="A223" s="700"/>
      <c r="B223" s="700"/>
      <c r="C223" s="700"/>
      <c r="D223" s="701"/>
      <c r="E223" s="700"/>
      <c r="F223" s="328"/>
      <c r="G223" s="700"/>
      <c r="H223" s="702"/>
      <c r="I223" s="703"/>
      <c r="J223" s="704"/>
      <c r="K223" s="704"/>
      <c r="L223" s="704"/>
      <c r="M223" s="704"/>
      <c r="N223" s="704"/>
      <c r="O223" s="700"/>
      <c r="Q223" s="31"/>
    </row>
    <row r="224" spans="1:17" ht="15.75" customHeight="1" x14ac:dyDescent="0.4">
      <c r="A224" s="700"/>
      <c r="B224" s="700"/>
      <c r="C224" s="700"/>
      <c r="D224" s="701"/>
      <c r="E224" s="700"/>
      <c r="F224" s="328"/>
      <c r="G224" s="700"/>
      <c r="H224" s="702"/>
      <c r="I224" s="703"/>
      <c r="J224" s="704"/>
      <c r="K224" s="704"/>
      <c r="L224" s="704"/>
      <c r="M224" s="704"/>
      <c r="N224" s="704"/>
      <c r="O224" s="700"/>
      <c r="Q224" s="31"/>
    </row>
    <row r="225" spans="1:17" ht="15.75" customHeight="1" x14ac:dyDescent="0.4">
      <c r="A225" s="700"/>
      <c r="B225" s="700"/>
      <c r="C225" s="700"/>
      <c r="D225" s="701"/>
      <c r="E225" s="700"/>
      <c r="F225" s="328"/>
      <c r="G225" s="700"/>
      <c r="H225" s="702"/>
      <c r="I225" s="703"/>
      <c r="J225" s="704"/>
      <c r="K225" s="704"/>
      <c r="L225" s="704"/>
      <c r="M225" s="704"/>
      <c r="N225" s="704"/>
      <c r="O225" s="700"/>
      <c r="Q225" s="31"/>
    </row>
    <row r="226" spans="1:17" ht="15.75" customHeight="1" x14ac:dyDescent="0.4">
      <c r="A226" s="700"/>
      <c r="B226" s="700"/>
      <c r="C226" s="700"/>
      <c r="D226" s="701"/>
      <c r="E226" s="700"/>
      <c r="F226" s="328"/>
      <c r="G226" s="700"/>
      <c r="H226" s="702"/>
      <c r="I226" s="703"/>
      <c r="J226" s="704"/>
      <c r="K226" s="704"/>
      <c r="L226" s="704"/>
      <c r="M226" s="704"/>
      <c r="N226" s="704"/>
      <c r="O226" s="700"/>
      <c r="Q226" s="31"/>
    </row>
    <row r="227" spans="1:17" ht="15.75" customHeight="1" x14ac:dyDescent="0.4">
      <c r="A227" s="700"/>
      <c r="B227" s="700"/>
      <c r="C227" s="700"/>
      <c r="D227" s="701"/>
      <c r="E227" s="700"/>
      <c r="F227" s="328"/>
      <c r="G227" s="700"/>
      <c r="H227" s="702"/>
      <c r="I227" s="703"/>
      <c r="J227" s="704"/>
      <c r="K227" s="704"/>
      <c r="L227" s="704"/>
      <c r="M227" s="704"/>
      <c r="N227" s="704"/>
      <c r="O227" s="700"/>
      <c r="Q227" s="31"/>
    </row>
    <row r="228" spans="1:17" ht="15.75" customHeight="1" x14ac:dyDescent="0.4">
      <c r="A228" s="700"/>
      <c r="B228" s="700"/>
      <c r="C228" s="700"/>
      <c r="D228" s="701"/>
      <c r="E228" s="700"/>
      <c r="F228" s="328"/>
      <c r="G228" s="700"/>
      <c r="H228" s="702"/>
      <c r="I228" s="703"/>
      <c r="J228" s="704"/>
      <c r="K228" s="704"/>
      <c r="L228" s="704"/>
      <c r="M228" s="704"/>
      <c r="N228" s="704"/>
      <c r="O228" s="700"/>
      <c r="Q228" s="31"/>
    </row>
    <row r="229" spans="1:17" ht="15.75" customHeight="1" x14ac:dyDescent="0.4">
      <c r="A229" s="700"/>
      <c r="B229" s="700"/>
      <c r="C229" s="700"/>
      <c r="D229" s="701"/>
      <c r="E229" s="700"/>
      <c r="F229" s="328"/>
      <c r="G229" s="700"/>
      <c r="H229" s="702"/>
      <c r="I229" s="703"/>
      <c r="J229" s="704"/>
      <c r="K229" s="704"/>
      <c r="L229" s="704"/>
      <c r="M229" s="704"/>
      <c r="N229" s="704"/>
      <c r="O229" s="700"/>
      <c r="Q229" s="31"/>
    </row>
    <row r="230" spans="1:17" ht="15.75" customHeight="1" x14ac:dyDescent="0.4">
      <c r="A230" s="700"/>
      <c r="B230" s="700"/>
      <c r="C230" s="700"/>
      <c r="D230" s="701"/>
      <c r="E230" s="700"/>
      <c r="F230" s="328"/>
      <c r="G230" s="700"/>
      <c r="H230" s="702"/>
      <c r="I230" s="703"/>
      <c r="J230" s="704"/>
      <c r="K230" s="704"/>
      <c r="L230" s="704"/>
      <c r="M230" s="704"/>
      <c r="N230" s="704"/>
      <c r="O230" s="700"/>
      <c r="Q230" s="31"/>
    </row>
    <row r="231" spans="1:17" ht="15.75" customHeight="1" x14ac:dyDescent="0.4">
      <c r="A231" s="700"/>
      <c r="B231" s="700"/>
      <c r="C231" s="700"/>
      <c r="D231" s="701"/>
      <c r="E231" s="700"/>
      <c r="F231" s="328"/>
      <c r="G231" s="700"/>
      <c r="H231" s="702"/>
      <c r="I231" s="703"/>
      <c r="J231" s="704"/>
      <c r="K231" s="704"/>
      <c r="L231" s="704"/>
      <c r="M231" s="704"/>
      <c r="N231" s="704"/>
      <c r="O231" s="700"/>
      <c r="Q231" s="31"/>
    </row>
    <row r="232" spans="1:17" ht="15.75" customHeight="1" x14ac:dyDescent="0.4">
      <c r="A232" s="700"/>
      <c r="B232" s="700"/>
      <c r="C232" s="700"/>
      <c r="D232" s="701"/>
      <c r="E232" s="700"/>
      <c r="F232" s="328"/>
      <c r="G232" s="700"/>
      <c r="H232" s="702"/>
      <c r="I232" s="703"/>
      <c r="J232" s="704"/>
      <c r="K232" s="704"/>
      <c r="L232" s="704"/>
      <c r="M232" s="704"/>
      <c r="N232" s="704"/>
      <c r="O232" s="700"/>
      <c r="Q232" s="31"/>
    </row>
    <row r="233" spans="1:17" ht="15.75" customHeight="1" x14ac:dyDescent="0.4">
      <c r="A233" s="700"/>
      <c r="B233" s="700"/>
      <c r="C233" s="700"/>
      <c r="D233" s="701"/>
      <c r="E233" s="700"/>
      <c r="F233" s="328"/>
      <c r="G233" s="700"/>
      <c r="H233" s="702"/>
      <c r="I233" s="703"/>
      <c r="J233" s="704"/>
      <c r="K233" s="704"/>
      <c r="L233" s="704"/>
      <c r="M233" s="704"/>
      <c r="N233" s="704"/>
      <c r="O233" s="700"/>
      <c r="Q233" s="31"/>
    </row>
    <row r="234" spans="1:17" ht="15.75" customHeight="1" x14ac:dyDescent="0.4">
      <c r="A234" s="700"/>
      <c r="B234" s="700"/>
      <c r="C234" s="700"/>
      <c r="D234" s="701"/>
      <c r="E234" s="700"/>
      <c r="F234" s="328"/>
      <c r="G234" s="700"/>
      <c r="H234" s="702"/>
      <c r="I234" s="703"/>
      <c r="J234" s="704"/>
      <c r="K234" s="704"/>
      <c r="L234" s="704"/>
      <c r="M234" s="704"/>
      <c r="N234" s="704"/>
      <c r="O234" s="700"/>
      <c r="Q234" s="31"/>
    </row>
    <row r="235" spans="1:17" ht="15.75" customHeight="1" x14ac:dyDescent="0.4">
      <c r="A235" s="700"/>
      <c r="B235" s="700"/>
      <c r="C235" s="700"/>
      <c r="D235" s="701"/>
      <c r="E235" s="700"/>
      <c r="F235" s="328"/>
      <c r="G235" s="700"/>
      <c r="H235" s="702"/>
      <c r="I235" s="703"/>
      <c r="J235" s="704"/>
      <c r="K235" s="704"/>
      <c r="L235" s="704"/>
      <c r="M235" s="704"/>
      <c r="N235" s="704"/>
      <c r="O235" s="700"/>
      <c r="Q235" s="31"/>
    </row>
    <row r="236" spans="1:17" ht="15.75" customHeight="1" x14ac:dyDescent="0.4">
      <c r="A236" s="700"/>
      <c r="B236" s="700"/>
      <c r="C236" s="700"/>
      <c r="D236" s="701"/>
      <c r="E236" s="700"/>
      <c r="F236" s="328"/>
      <c r="G236" s="700"/>
      <c r="H236" s="702"/>
      <c r="I236" s="703"/>
      <c r="J236" s="704"/>
      <c r="K236" s="704"/>
      <c r="L236" s="704"/>
      <c r="M236" s="704"/>
      <c r="N236" s="704"/>
      <c r="O236" s="700"/>
      <c r="Q236" s="31"/>
    </row>
    <row r="237" spans="1:17" ht="15.75" customHeight="1" x14ac:dyDescent="0.4">
      <c r="A237" s="700"/>
      <c r="B237" s="700"/>
      <c r="C237" s="700"/>
      <c r="D237" s="701"/>
      <c r="E237" s="700"/>
      <c r="F237" s="328"/>
      <c r="G237" s="700"/>
      <c r="H237" s="702"/>
      <c r="I237" s="703"/>
      <c r="J237" s="704"/>
      <c r="K237" s="704"/>
      <c r="L237" s="704"/>
      <c r="M237" s="704"/>
      <c r="N237" s="704"/>
      <c r="O237" s="700"/>
      <c r="Q237" s="31"/>
    </row>
    <row r="238" spans="1:17" ht="15.75" customHeight="1" x14ac:dyDescent="0.4">
      <c r="A238" s="700"/>
      <c r="B238" s="700"/>
      <c r="C238" s="700"/>
      <c r="D238" s="701"/>
      <c r="E238" s="700"/>
      <c r="F238" s="328"/>
      <c r="G238" s="700"/>
      <c r="H238" s="702"/>
      <c r="I238" s="703"/>
      <c r="J238" s="704"/>
      <c r="K238" s="704"/>
      <c r="L238" s="704"/>
      <c r="M238" s="704"/>
      <c r="N238" s="704"/>
      <c r="O238" s="700"/>
      <c r="Q238" s="31"/>
    </row>
    <row r="239" spans="1:17" ht="15.75" customHeight="1" x14ac:dyDescent="0.4">
      <c r="A239" s="700"/>
      <c r="B239" s="700"/>
      <c r="C239" s="700"/>
      <c r="D239" s="701"/>
      <c r="E239" s="700"/>
      <c r="F239" s="328"/>
      <c r="G239" s="700"/>
      <c r="H239" s="702"/>
      <c r="I239" s="703"/>
      <c r="J239" s="704"/>
      <c r="K239" s="704"/>
      <c r="L239" s="704"/>
      <c r="M239" s="704"/>
      <c r="N239" s="704"/>
      <c r="O239" s="700"/>
      <c r="Q239" s="31"/>
    </row>
    <row r="240" spans="1:17" ht="15.75" customHeight="1" x14ac:dyDescent="0.4">
      <c r="A240" s="700"/>
      <c r="B240" s="700"/>
      <c r="C240" s="700"/>
      <c r="D240" s="701"/>
      <c r="E240" s="700"/>
      <c r="F240" s="328"/>
      <c r="G240" s="700"/>
      <c r="H240" s="702"/>
      <c r="I240" s="703"/>
      <c r="J240" s="704"/>
      <c r="K240" s="704"/>
      <c r="L240" s="704"/>
      <c r="M240" s="704"/>
      <c r="N240" s="704"/>
      <c r="O240" s="700"/>
      <c r="Q240" s="31"/>
    </row>
    <row r="241" spans="1:17" ht="15.75" customHeight="1" x14ac:dyDescent="0.4">
      <c r="A241" s="700"/>
      <c r="B241" s="700"/>
      <c r="C241" s="700"/>
      <c r="D241" s="701"/>
      <c r="E241" s="700"/>
      <c r="F241" s="328"/>
      <c r="G241" s="700"/>
      <c r="H241" s="702"/>
      <c r="I241" s="703"/>
      <c r="J241" s="704"/>
      <c r="K241" s="704"/>
      <c r="L241" s="704"/>
      <c r="M241" s="704"/>
      <c r="N241" s="704"/>
      <c r="O241" s="700"/>
      <c r="Q241" s="31"/>
    </row>
    <row r="242" spans="1:17" ht="15.75" customHeight="1" x14ac:dyDescent="0.4">
      <c r="A242" s="700"/>
      <c r="B242" s="700"/>
      <c r="C242" s="700"/>
      <c r="D242" s="701"/>
      <c r="E242" s="700"/>
      <c r="F242" s="328"/>
      <c r="G242" s="700"/>
      <c r="H242" s="702"/>
      <c r="I242" s="703"/>
      <c r="J242" s="704"/>
      <c r="K242" s="704"/>
      <c r="L242" s="704"/>
      <c r="M242" s="704"/>
      <c r="N242" s="704"/>
      <c r="O242" s="700"/>
      <c r="Q242" s="31"/>
    </row>
    <row r="243" spans="1:17" ht="15.75" customHeight="1" x14ac:dyDescent="0.4">
      <c r="A243" s="700"/>
      <c r="B243" s="700"/>
      <c r="C243" s="700"/>
      <c r="D243" s="701"/>
      <c r="E243" s="700"/>
      <c r="F243" s="328"/>
      <c r="G243" s="700"/>
      <c r="H243" s="702"/>
      <c r="I243" s="703"/>
      <c r="J243" s="704"/>
      <c r="K243" s="704"/>
      <c r="L243" s="704"/>
      <c r="M243" s="704"/>
      <c r="N243" s="704"/>
      <c r="O243" s="700"/>
      <c r="Q243" s="31"/>
    </row>
    <row r="244" spans="1:17" ht="15.75" customHeight="1" x14ac:dyDescent="0.4">
      <c r="A244" s="700"/>
      <c r="B244" s="700"/>
      <c r="C244" s="700"/>
      <c r="D244" s="701"/>
      <c r="E244" s="700"/>
      <c r="F244" s="328"/>
      <c r="G244" s="700"/>
      <c r="H244" s="702"/>
      <c r="I244" s="703"/>
      <c r="J244" s="704"/>
      <c r="K244" s="704"/>
      <c r="L244" s="704"/>
      <c r="M244" s="704"/>
      <c r="N244" s="704"/>
      <c r="O244" s="700"/>
      <c r="Q244" s="31"/>
    </row>
    <row r="245" spans="1:17" ht="15.75" customHeight="1" x14ac:dyDescent="0.4">
      <c r="A245" s="700"/>
      <c r="B245" s="700"/>
      <c r="C245" s="700"/>
      <c r="D245" s="701"/>
      <c r="E245" s="700"/>
      <c r="F245" s="328"/>
      <c r="G245" s="700"/>
      <c r="H245" s="702"/>
      <c r="I245" s="703"/>
      <c r="J245" s="704"/>
      <c r="K245" s="704"/>
      <c r="L245" s="704"/>
      <c r="M245" s="704"/>
      <c r="N245" s="704"/>
      <c r="O245" s="700"/>
      <c r="Q245" s="31"/>
    </row>
    <row r="246" spans="1:17" ht="15.75" customHeight="1" x14ac:dyDescent="0.4">
      <c r="A246" s="700"/>
      <c r="B246" s="700"/>
      <c r="C246" s="700"/>
      <c r="D246" s="701"/>
      <c r="E246" s="700"/>
      <c r="F246" s="328"/>
      <c r="G246" s="700"/>
      <c r="H246" s="702"/>
      <c r="I246" s="703"/>
      <c r="J246" s="704"/>
      <c r="K246" s="704"/>
      <c r="L246" s="704"/>
      <c r="M246" s="704"/>
      <c r="N246" s="704"/>
      <c r="O246" s="700"/>
      <c r="Q246" s="31"/>
    </row>
    <row r="247" spans="1:17" ht="15.75" customHeight="1" x14ac:dyDescent="0.4">
      <c r="A247" s="700"/>
      <c r="B247" s="700"/>
      <c r="C247" s="700"/>
      <c r="D247" s="701"/>
      <c r="E247" s="700"/>
      <c r="F247" s="328"/>
      <c r="G247" s="700"/>
      <c r="H247" s="702"/>
      <c r="I247" s="703"/>
      <c r="J247" s="704"/>
      <c r="K247" s="704"/>
      <c r="L247" s="704"/>
      <c r="M247" s="704"/>
      <c r="N247" s="704"/>
      <c r="O247" s="700"/>
      <c r="Q247" s="31"/>
    </row>
    <row r="248" spans="1:17" ht="15.75" customHeight="1" x14ac:dyDescent="0.4">
      <c r="A248" s="700"/>
      <c r="B248" s="700"/>
      <c r="C248" s="700"/>
      <c r="D248" s="701"/>
      <c r="E248" s="700"/>
      <c r="F248" s="328"/>
      <c r="G248" s="700"/>
      <c r="H248" s="702"/>
      <c r="I248" s="703"/>
      <c r="J248" s="704"/>
      <c r="K248" s="704"/>
      <c r="L248" s="704"/>
      <c r="M248" s="704"/>
      <c r="N248" s="704"/>
      <c r="O248" s="700"/>
      <c r="Q248" s="31"/>
    </row>
    <row r="249" spans="1:17" ht="15.75" customHeight="1" x14ac:dyDescent="0.4">
      <c r="A249" s="700"/>
      <c r="B249" s="700"/>
      <c r="C249" s="700"/>
      <c r="D249" s="701"/>
      <c r="E249" s="700"/>
      <c r="F249" s="328"/>
      <c r="G249" s="700"/>
      <c r="H249" s="702"/>
      <c r="I249" s="703"/>
      <c r="J249" s="704"/>
      <c r="K249" s="704"/>
      <c r="L249" s="704"/>
      <c r="M249" s="704"/>
      <c r="N249" s="704"/>
      <c r="O249" s="700"/>
      <c r="Q249" s="31"/>
    </row>
    <row r="250" spans="1:17" ht="15.75" customHeight="1" x14ac:dyDescent="0.4">
      <c r="A250" s="700"/>
      <c r="B250" s="700"/>
      <c r="C250" s="700"/>
      <c r="D250" s="701"/>
      <c r="E250" s="700"/>
      <c r="F250" s="328"/>
      <c r="G250" s="700"/>
      <c r="H250" s="702"/>
      <c r="I250" s="703"/>
      <c r="J250" s="704"/>
      <c r="K250" s="704"/>
      <c r="L250" s="704"/>
      <c r="M250" s="704"/>
      <c r="N250" s="704"/>
      <c r="O250" s="700"/>
      <c r="Q250" s="31"/>
    </row>
    <row r="251" spans="1:17" ht="15.75" customHeight="1" x14ac:dyDescent="0.4">
      <c r="A251" s="700"/>
      <c r="B251" s="700"/>
      <c r="C251" s="700"/>
      <c r="D251" s="701"/>
      <c r="E251" s="700"/>
      <c r="F251" s="328"/>
      <c r="G251" s="700"/>
      <c r="H251" s="702"/>
      <c r="I251" s="703"/>
      <c r="J251" s="704"/>
      <c r="K251" s="704"/>
      <c r="L251" s="704"/>
      <c r="M251" s="704"/>
      <c r="N251" s="704"/>
      <c r="O251" s="700"/>
      <c r="Q251" s="31"/>
    </row>
    <row r="252" spans="1:17" ht="15.75" customHeight="1" x14ac:dyDescent="0.4">
      <c r="A252" s="700"/>
      <c r="B252" s="700"/>
      <c r="C252" s="700"/>
      <c r="D252" s="701"/>
      <c r="E252" s="700"/>
      <c r="F252" s="328"/>
      <c r="G252" s="700"/>
      <c r="H252" s="702"/>
      <c r="I252" s="703"/>
      <c r="J252" s="704"/>
      <c r="K252" s="704"/>
      <c r="L252" s="704"/>
      <c r="M252" s="704"/>
      <c r="N252" s="704"/>
      <c r="O252" s="700"/>
      <c r="Q252" s="31"/>
    </row>
    <row r="253" spans="1:17" ht="15.75" customHeight="1" x14ac:dyDescent="0.4">
      <c r="A253" s="700"/>
      <c r="B253" s="700"/>
      <c r="C253" s="700"/>
      <c r="D253" s="701"/>
      <c r="E253" s="700"/>
      <c r="F253" s="328"/>
      <c r="G253" s="700"/>
      <c r="H253" s="702"/>
      <c r="I253" s="703"/>
      <c r="J253" s="704"/>
      <c r="K253" s="704"/>
      <c r="L253" s="704"/>
      <c r="M253" s="704"/>
      <c r="N253" s="704"/>
      <c r="O253" s="700"/>
      <c r="Q253" s="31"/>
    </row>
    <row r="254" spans="1:17" ht="15.75" customHeight="1" x14ac:dyDescent="0.4">
      <c r="A254" s="700"/>
      <c r="B254" s="700"/>
      <c r="C254" s="700"/>
      <c r="D254" s="701"/>
      <c r="E254" s="700"/>
      <c r="F254" s="328"/>
      <c r="G254" s="700"/>
      <c r="H254" s="702"/>
      <c r="I254" s="703"/>
      <c r="J254" s="704"/>
      <c r="K254" s="704"/>
      <c r="L254" s="704"/>
      <c r="M254" s="704"/>
      <c r="N254" s="704"/>
      <c r="O254" s="700"/>
      <c r="Q254" s="31"/>
    </row>
    <row r="255" spans="1:17" ht="15.75" customHeight="1" x14ac:dyDescent="0.4">
      <c r="A255" s="700"/>
      <c r="B255" s="700"/>
      <c r="C255" s="700"/>
      <c r="D255" s="701"/>
      <c r="E255" s="700"/>
      <c r="F255" s="328"/>
      <c r="G255" s="700"/>
      <c r="H255" s="702"/>
      <c r="I255" s="703"/>
      <c r="J255" s="704"/>
      <c r="K255" s="704"/>
      <c r="L255" s="704"/>
      <c r="M255" s="704"/>
      <c r="N255" s="704"/>
      <c r="O255" s="700"/>
      <c r="Q255" s="31"/>
    </row>
    <row r="256" spans="1:17" ht="15.75" customHeight="1" x14ac:dyDescent="0.4">
      <c r="A256" s="700"/>
      <c r="B256" s="700"/>
      <c r="C256" s="700"/>
      <c r="D256" s="701"/>
      <c r="E256" s="700"/>
      <c r="F256" s="328"/>
      <c r="G256" s="700"/>
      <c r="H256" s="702"/>
      <c r="I256" s="703"/>
      <c r="J256" s="704"/>
      <c r="K256" s="704"/>
      <c r="L256" s="704"/>
      <c r="M256" s="704"/>
      <c r="N256" s="704"/>
      <c r="O256" s="700"/>
      <c r="Q256" s="31"/>
    </row>
    <row r="257" spans="1:17" ht="15.75" customHeight="1" x14ac:dyDescent="0.4">
      <c r="A257" s="700"/>
      <c r="B257" s="700"/>
      <c r="C257" s="700"/>
      <c r="D257" s="701"/>
      <c r="E257" s="700"/>
      <c r="F257" s="328"/>
      <c r="G257" s="700"/>
      <c r="H257" s="702"/>
      <c r="I257" s="703"/>
      <c r="J257" s="704"/>
      <c r="K257" s="704"/>
      <c r="L257" s="704"/>
      <c r="M257" s="704"/>
      <c r="N257" s="704"/>
      <c r="O257" s="700"/>
      <c r="Q257" s="31"/>
    </row>
    <row r="258" spans="1:17" ht="15.75" customHeight="1" x14ac:dyDescent="0.4">
      <c r="A258" s="700"/>
      <c r="B258" s="700"/>
      <c r="C258" s="700"/>
      <c r="D258" s="701"/>
      <c r="E258" s="700"/>
      <c r="F258" s="328"/>
      <c r="G258" s="700"/>
      <c r="H258" s="702"/>
      <c r="I258" s="703"/>
      <c r="J258" s="704"/>
      <c r="K258" s="704"/>
      <c r="L258" s="704"/>
      <c r="M258" s="704"/>
      <c r="N258" s="704"/>
      <c r="O258" s="700"/>
      <c r="Q258" s="31"/>
    </row>
    <row r="259" spans="1:17" ht="15.75" customHeight="1" x14ac:dyDescent="0.4">
      <c r="A259" s="700"/>
      <c r="B259" s="700"/>
      <c r="C259" s="700"/>
      <c r="D259" s="701"/>
      <c r="E259" s="700"/>
      <c r="F259" s="328"/>
      <c r="G259" s="700"/>
      <c r="H259" s="702"/>
      <c r="I259" s="703"/>
      <c r="J259" s="704"/>
      <c r="K259" s="704"/>
      <c r="L259" s="704"/>
      <c r="M259" s="704"/>
      <c r="N259" s="704"/>
      <c r="O259" s="700"/>
      <c r="Q259" s="31"/>
    </row>
    <row r="260" spans="1:17" ht="15.75" customHeight="1" x14ac:dyDescent="0.4">
      <c r="A260" s="700"/>
      <c r="B260" s="700"/>
      <c r="C260" s="700"/>
      <c r="D260" s="701"/>
      <c r="E260" s="700"/>
      <c r="F260" s="328"/>
      <c r="G260" s="700"/>
      <c r="H260" s="702"/>
      <c r="I260" s="703"/>
      <c r="J260" s="704"/>
      <c r="K260" s="704"/>
      <c r="L260" s="704"/>
      <c r="M260" s="704"/>
      <c r="N260" s="704"/>
      <c r="O260" s="700"/>
      <c r="Q260" s="31"/>
    </row>
    <row r="261" spans="1:17" ht="15.75" customHeight="1" x14ac:dyDescent="0.4">
      <c r="A261" s="700"/>
      <c r="B261" s="700"/>
      <c r="C261" s="700"/>
      <c r="D261" s="701"/>
      <c r="E261" s="700"/>
      <c r="F261" s="328"/>
      <c r="G261" s="700"/>
      <c r="H261" s="702"/>
      <c r="I261" s="703"/>
      <c r="J261" s="704"/>
      <c r="K261" s="704"/>
      <c r="L261" s="704"/>
      <c r="M261" s="704"/>
      <c r="N261" s="704"/>
      <c r="O261" s="700"/>
      <c r="Q261" s="31"/>
    </row>
    <row r="262" spans="1:17" ht="15.75" customHeight="1" x14ac:dyDescent="0.4">
      <c r="A262" s="700"/>
      <c r="B262" s="700"/>
      <c r="C262" s="700"/>
      <c r="D262" s="701"/>
      <c r="E262" s="700"/>
      <c r="F262" s="328"/>
      <c r="G262" s="700"/>
      <c r="H262" s="702"/>
      <c r="I262" s="703"/>
      <c r="J262" s="704"/>
      <c r="K262" s="704"/>
      <c r="L262" s="704"/>
      <c r="M262" s="704"/>
      <c r="N262" s="704"/>
      <c r="O262" s="700"/>
      <c r="Q262" s="31"/>
    </row>
    <row r="263" spans="1:17" ht="15.75" customHeight="1" x14ac:dyDescent="0.4">
      <c r="A263" s="700"/>
      <c r="B263" s="700"/>
      <c r="C263" s="700"/>
      <c r="D263" s="701"/>
      <c r="E263" s="700"/>
      <c r="F263" s="328"/>
      <c r="G263" s="700"/>
      <c r="H263" s="702"/>
      <c r="I263" s="703"/>
      <c r="J263" s="704"/>
      <c r="K263" s="704"/>
      <c r="L263" s="704"/>
      <c r="M263" s="704"/>
      <c r="N263" s="704"/>
      <c r="O263" s="700"/>
      <c r="Q263" s="31"/>
    </row>
    <row r="264" spans="1:17" ht="15.75" customHeight="1" x14ac:dyDescent="0.4">
      <c r="A264" s="700"/>
      <c r="B264" s="700"/>
      <c r="C264" s="700"/>
      <c r="D264" s="701"/>
      <c r="E264" s="700"/>
      <c r="F264" s="328"/>
      <c r="G264" s="700"/>
      <c r="H264" s="702"/>
      <c r="I264" s="703"/>
      <c r="J264" s="704"/>
      <c r="K264" s="704"/>
      <c r="L264" s="704"/>
      <c r="M264" s="704"/>
      <c r="N264" s="704"/>
      <c r="O264" s="700"/>
      <c r="Q264" s="31"/>
    </row>
    <row r="265" spans="1:17" ht="15.75" customHeight="1" x14ac:dyDescent="0.4">
      <c r="A265" s="700"/>
      <c r="B265" s="700"/>
      <c r="C265" s="700"/>
      <c r="D265" s="701"/>
      <c r="E265" s="700"/>
      <c r="F265" s="328"/>
      <c r="G265" s="700"/>
      <c r="H265" s="702"/>
      <c r="I265" s="703"/>
      <c r="J265" s="704"/>
      <c r="K265" s="704"/>
      <c r="L265" s="704"/>
      <c r="M265" s="704"/>
      <c r="N265" s="704"/>
      <c r="O265" s="700"/>
      <c r="Q265" s="31"/>
    </row>
    <row r="266" spans="1:17" ht="15.75" customHeight="1" x14ac:dyDescent="0.4">
      <c r="A266" s="700"/>
      <c r="B266" s="700"/>
      <c r="C266" s="700"/>
      <c r="D266" s="701"/>
      <c r="E266" s="700"/>
      <c r="F266" s="328"/>
      <c r="G266" s="700"/>
      <c r="H266" s="702"/>
      <c r="I266" s="703"/>
      <c r="J266" s="704"/>
      <c r="K266" s="704"/>
      <c r="L266" s="704"/>
      <c r="M266" s="704"/>
      <c r="N266" s="704"/>
      <c r="O266" s="700"/>
      <c r="Q266" s="31"/>
    </row>
    <row r="267" spans="1:17" ht="15.75" customHeight="1" x14ac:dyDescent="0.4">
      <c r="A267" s="700"/>
      <c r="B267" s="700"/>
      <c r="C267" s="700"/>
      <c r="D267" s="701"/>
      <c r="E267" s="700"/>
      <c r="F267" s="328"/>
      <c r="G267" s="700"/>
      <c r="H267" s="702"/>
      <c r="I267" s="703"/>
      <c r="J267" s="704"/>
      <c r="K267" s="704"/>
      <c r="L267" s="704"/>
      <c r="M267" s="704"/>
      <c r="N267" s="704"/>
      <c r="O267" s="700"/>
      <c r="Q267" s="31"/>
    </row>
    <row r="268" spans="1:17" ht="15.75" customHeight="1" x14ac:dyDescent="0.4">
      <c r="A268" s="700"/>
      <c r="B268" s="700"/>
      <c r="C268" s="700"/>
      <c r="D268" s="701"/>
      <c r="E268" s="700"/>
      <c r="F268" s="328"/>
      <c r="G268" s="700"/>
      <c r="H268" s="702"/>
      <c r="I268" s="703"/>
      <c r="J268" s="704"/>
      <c r="K268" s="704"/>
      <c r="L268" s="704"/>
      <c r="M268" s="704"/>
      <c r="N268" s="704"/>
      <c r="O268" s="700"/>
      <c r="Q268" s="31"/>
    </row>
    <row r="269" spans="1:17" ht="15.75" customHeight="1" x14ac:dyDescent="0.4">
      <c r="A269" s="700"/>
      <c r="B269" s="700"/>
      <c r="C269" s="700"/>
      <c r="D269" s="701"/>
      <c r="E269" s="700"/>
      <c r="F269" s="328"/>
      <c r="G269" s="700"/>
      <c r="H269" s="702"/>
      <c r="I269" s="703"/>
      <c r="J269" s="704"/>
      <c r="K269" s="704"/>
      <c r="L269" s="704"/>
      <c r="M269" s="704"/>
      <c r="N269" s="704"/>
      <c r="O269" s="700"/>
      <c r="Q269" s="31"/>
    </row>
    <row r="270" spans="1:17" ht="15.75" customHeight="1" x14ac:dyDescent="0.4">
      <c r="A270" s="700"/>
      <c r="B270" s="700"/>
      <c r="C270" s="700"/>
      <c r="D270" s="701"/>
      <c r="E270" s="700"/>
      <c r="F270" s="328"/>
      <c r="G270" s="700"/>
      <c r="H270" s="702"/>
      <c r="I270" s="703"/>
      <c r="J270" s="704"/>
      <c r="K270" s="704"/>
      <c r="L270" s="704"/>
      <c r="M270" s="704"/>
      <c r="N270" s="704"/>
      <c r="O270" s="700"/>
      <c r="Q270" s="31"/>
    </row>
    <row r="271" spans="1:17" ht="15.75" customHeight="1" x14ac:dyDescent="0.4">
      <c r="A271" s="700"/>
      <c r="B271" s="700"/>
      <c r="C271" s="700"/>
      <c r="D271" s="701"/>
      <c r="E271" s="700"/>
      <c r="F271" s="328"/>
      <c r="G271" s="700"/>
      <c r="H271" s="702"/>
      <c r="I271" s="703"/>
      <c r="J271" s="704"/>
      <c r="K271" s="704"/>
      <c r="L271" s="704"/>
      <c r="M271" s="704"/>
      <c r="N271" s="704"/>
      <c r="O271" s="700"/>
      <c r="Q271" s="31"/>
    </row>
    <row r="272" spans="1:17" ht="15.75" customHeight="1" x14ac:dyDescent="0.4">
      <c r="A272" s="700"/>
      <c r="B272" s="700"/>
      <c r="C272" s="700"/>
      <c r="D272" s="701"/>
      <c r="E272" s="700"/>
      <c r="F272" s="328"/>
      <c r="G272" s="700"/>
      <c r="H272" s="702"/>
      <c r="I272" s="703"/>
      <c r="J272" s="704"/>
      <c r="K272" s="704"/>
      <c r="L272" s="704"/>
      <c r="M272" s="704"/>
      <c r="N272" s="704"/>
      <c r="O272" s="700"/>
      <c r="Q272" s="31"/>
    </row>
    <row r="273" spans="1:17" ht="15.75" customHeight="1" x14ac:dyDescent="0.4">
      <c r="A273" s="700"/>
      <c r="B273" s="700"/>
      <c r="C273" s="700"/>
      <c r="D273" s="701"/>
      <c r="E273" s="700"/>
      <c r="F273" s="328"/>
      <c r="G273" s="700"/>
      <c r="H273" s="702"/>
      <c r="I273" s="703"/>
      <c r="J273" s="704"/>
      <c r="K273" s="704"/>
      <c r="L273" s="704"/>
      <c r="M273" s="704"/>
      <c r="N273" s="704"/>
      <c r="O273" s="700"/>
      <c r="Q273" s="31"/>
    </row>
    <row r="274" spans="1:17" ht="15.75" customHeight="1" x14ac:dyDescent="0.4">
      <c r="A274" s="700"/>
      <c r="B274" s="700"/>
      <c r="C274" s="700"/>
      <c r="D274" s="701"/>
      <c r="E274" s="700"/>
      <c r="F274" s="328"/>
      <c r="G274" s="700"/>
      <c r="H274" s="702"/>
      <c r="I274" s="703"/>
      <c r="J274" s="704"/>
      <c r="K274" s="704"/>
      <c r="L274" s="704"/>
      <c r="M274" s="704"/>
      <c r="N274" s="704"/>
      <c r="O274" s="700"/>
      <c r="Q274" s="31"/>
    </row>
    <row r="275" spans="1:17" ht="15.75" customHeight="1" x14ac:dyDescent="0.4">
      <c r="A275" s="700"/>
      <c r="B275" s="700"/>
      <c r="C275" s="700"/>
      <c r="D275" s="701"/>
      <c r="E275" s="700"/>
      <c r="F275" s="328"/>
      <c r="G275" s="700"/>
      <c r="H275" s="702"/>
      <c r="I275" s="703"/>
      <c r="J275" s="704"/>
      <c r="K275" s="704"/>
      <c r="L275" s="704"/>
      <c r="M275" s="704"/>
      <c r="N275" s="704"/>
      <c r="O275" s="700"/>
      <c r="Q275" s="31"/>
    </row>
    <row r="276" spans="1:17" ht="15.75" customHeight="1" x14ac:dyDescent="0.4">
      <c r="A276" s="700"/>
      <c r="B276" s="700"/>
      <c r="C276" s="700"/>
      <c r="D276" s="701"/>
      <c r="E276" s="700"/>
      <c r="F276" s="328"/>
      <c r="G276" s="700"/>
      <c r="H276" s="702"/>
      <c r="I276" s="703"/>
      <c r="J276" s="704"/>
      <c r="K276" s="704"/>
      <c r="L276" s="704"/>
      <c r="M276" s="704"/>
      <c r="N276" s="704"/>
      <c r="O276" s="700"/>
      <c r="Q276" s="31"/>
    </row>
    <row r="277" spans="1:17" ht="15.75" customHeight="1" x14ac:dyDescent="0.4">
      <c r="A277" s="700"/>
      <c r="B277" s="700"/>
      <c r="C277" s="700"/>
      <c r="D277" s="701"/>
      <c r="E277" s="700"/>
      <c r="F277" s="328"/>
      <c r="G277" s="700"/>
      <c r="H277" s="702"/>
      <c r="I277" s="703"/>
      <c r="J277" s="704"/>
      <c r="K277" s="704"/>
      <c r="L277" s="704"/>
      <c r="M277" s="704"/>
      <c r="N277" s="704"/>
      <c r="O277" s="700"/>
      <c r="Q277" s="31"/>
    </row>
    <row r="278" spans="1:17" ht="15.75" customHeight="1" x14ac:dyDescent="0.4">
      <c r="A278" s="700"/>
      <c r="B278" s="700"/>
      <c r="C278" s="700"/>
      <c r="D278" s="701"/>
      <c r="E278" s="700"/>
      <c r="F278" s="328"/>
      <c r="G278" s="700"/>
      <c r="H278" s="702"/>
      <c r="I278" s="703"/>
      <c r="J278" s="704"/>
      <c r="K278" s="704"/>
      <c r="L278" s="704"/>
      <c r="M278" s="704"/>
      <c r="N278" s="704"/>
      <c r="O278" s="700"/>
      <c r="Q278" s="31"/>
    </row>
    <row r="279" spans="1:17" ht="15.75" customHeight="1" x14ac:dyDescent="0.4">
      <c r="A279" s="700"/>
      <c r="B279" s="700"/>
      <c r="C279" s="700"/>
      <c r="D279" s="701"/>
      <c r="E279" s="700"/>
      <c r="F279" s="328"/>
      <c r="G279" s="700"/>
      <c r="H279" s="702"/>
      <c r="I279" s="703"/>
      <c r="J279" s="704"/>
      <c r="K279" s="704"/>
      <c r="L279" s="704"/>
      <c r="M279" s="704"/>
      <c r="N279" s="704"/>
      <c r="O279" s="700"/>
      <c r="Q279" s="31"/>
    </row>
    <row r="280" spans="1:17" ht="15.75" customHeight="1" x14ac:dyDescent="0.4">
      <c r="A280" s="700"/>
      <c r="B280" s="700"/>
      <c r="C280" s="700"/>
      <c r="D280" s="701"/>
      <c r="E280" s="700"/>
      <c r="F280" s="328"/>
      <c r="G280" s="700"/>
      <c r="H280" s="702"/>
      <c r="I280" s="703"/>
      <c r="J280" s="704"/>
      <c r="K280" s="704"/>
      <c r="L280" s="704"/>
      <c r="M280" s="704"/>
      <c r="N280" s="704"/>
      <c r="O280" s="700"/>
      <c r="Q280" s="31"/>
    </row>
    <row r="281" spans="1:17" ht="15.75" customHeight="1" x14ac:dyDescent="0.4">
      <c r="A281" s="700"/>
      <c r="B281" s="700"/>
      <c r="C281" s="700"/>
      <c r="D281" s="701"/>
      <c r="E281" s="700"/>
      <c r="F281" s="328"/>
      <c r="G281" s="700"/>
      <c r="H281" s="702"/>
      <c r="I281" s="703"/>
      <c r="J281" s="704"/>
      <c r="K281" s="704"/>
      <c r="L281" s="704"/>
      <c r="M281" s="704"/>
      <c r="N281" s="704"/>
      <c r="O281" s="700"/>
      <c r="Q281" s="31"/>
    </row>
    <row r="282" spans="1:17" ht="15.75" customHeight="1" x14ac:dyDescent="0.4">
      <c r="A282" s="700"/>
      <c r="B282" s="700"/>
      <c r="C282" s="700"/>
      <c r="D282" s="701"/>
      <c r="E282" s="700"/>
      <c r="F282" s="328"/>
      <c r="G282" s="700"/>
      <c r="H282" s="702"/>
      <c r="I282" s="703"/>
      <c r="J282" s="704"/>
      <c r="K282" s="704"/>
      <c r="L282" s="704"/>
      <c r="M282" s="704"/>
      <c r="N282" s="704"/>
      <c r="O282" s="700"/>
      <c r="Q282" s="31"/>
    </row>
    <row r="283" spans="1:17" ht="15.75" customHeight="1" x14ac:dyDescent="0.4">
      <c r="A283" s="700"/>
      <c r="B283" s="700"/>
      <c r="C283" s="700"/>
      <c r="D283" s="701"/>
      <c r="E283" s="700"/>
      <c r="F283" s="328"/>
      <c r="G283" s="700"/>
      <c r="H283" s="702"/>
      <c r="I283" s="703"/>
      <c r="J283" s="704"/>
      <c r="K283" s="704"/>
      <c r="L283" s="704"/>
      <c r="M283" s="704"/>
      <c r="N283" s="704"/>
      <c r="O283" s="700"/>
      <c r="Q283" s="31"/>
    </row>
    <row r="284" spans="1:17" ht="15.75" customHeight="1" x14ac:dyDescent="0.4">
      <c r="A284" s="700"/>
      <c r="B284" s="700"/>
      <c r="C284" s="700"/>
      <c r="D284" s="701"/>
      <c r="E284" s="700"/>
      <c r="F284" s="328"/>
      <c r="G284" s="700"/>
      <c r="H284" s="702"/>
      <c r="I284" s="703"/>
      <c r="J284" s="704"/>
      <c r="K284" s="704"/>
      <c r="L284" s="704"/>
      <c r="M284" s="704"/>
      <c r="N284" s="704"/>
      <c r="O284" s="700"/>
      <c r="Q284" s="31"/>
    </row>
    <row r="285" spans="1:17" ht="15.75" customHeight="1" x14ac:dyDescent="0.4">
      <c r="A285" s="700"/>
      <c r="B285" s="700"/>
      <c r="C285" s="700"/>
      <c r="D285" s="701"/>
      <c r="E285" s="700"/>
      <c r="F285" s="328"/>
      <c r="G285" s="700"/>
      <c r="H285" s="702"/>
      <c r="I285" s="703"/>
      <c r="J285" s="704"/>
      <c r="K285" s="704"/>
      <c r="L285" s="704"/>
      <c r="M285" s="704"/>
      <c r="N285" s="704"/>
      <c r="O285" s="700"/>
      <c r="Q285" s="31"/>
    </row>
    <row r="286" spans="1:17" ht="15.75" customHeight="1" x14ac:dyDescent="0.4">
      <c r="A286" s="700"/>
      <c r="B286" s="700"/>
      <c r="C286" s="700"/>
      <c r="D286" s="701"/>
      <c r="E286" s="700"/>
      <c r="F286" s="328"/>
      <c r="G286" s="700"/>
      <c r="H286" s="702"/>
      <c r="I286" s="703"/>
      <c r="J286" s="704"/>
      <c r="K286" s="704"/>
      <c r="L286" s="704"/>
      <c r="M286" s="704"/>
      <c r="N286" s="704"/>
      <c r="O286" s="700"/>
      <c r="Q286" s="31"/>
    </row>
    <row r="287" spans="1:17" ht="15.75" customHeight="1" x14ac:dyDescent="0.4">
      <c r="A287" s="700"/>
      <c r="B287" s="700"/>
      <c r="C287" s="700"/>
      <c r="D287" s="701"/>
      <c r="E287" s="700"/>
      <c r="F287" s="328"/>
      <c r="G287" s="700"/>
      <c r="H287" s="702"/>
      <c r="I287" s="703"/>
      <c r="J287" s="704"/>
      <c r="K287" s="704"/>
      <c r="L287" s="704"/>
      <c r="M287" s="704"/>
      <c r="N287" s="704"/>
      <c r="O287" s="700"/>
      <c r="Q287" s="31"/>
    </row>
    <row r="288" spans="1:17" ht="15.75" customHeight="1" x14ac:dyDescent="0.4">
      <c r="A288" s="700"/>
      <c r="B288" s="700"/>
      <c r="C288" s="700"/>
      <c r="D288" s="701"/>
      <c r="E288" s="700"/>
      <c r="F288" s="328"/>
      <c r="G288" s="700"/>
      <c r="H288" s="702"/>
      <c r="I288" s="703"/>
      <c r="J288" s="704"/>
      <c r="K288" s="704"/>
      <c r="L288" s="704"/>
      <c r="M288" s="704"/>
      <c r="N288" s="704"/>
      <c r="O288" s="700"/>
      <c r="Q288" s="31"/>
    </row>
    <row r="289" spans="1:17" ht="15.75" customHeight="1" x14ac:dyDescent="0.4">
      <c r="A289" s="700"/>
      <c r="B289" s="700"/>
      <c r="C289" s="700"/>
      <c r="D289" s="701"/>
      <c r="E289" s="700"/>
      <c r="F289" s="328"/>
      <c r="G289" s="700"/>
      <c r="H289" s="702"/>
      <c r="I289" s="703"/>
      <c r="J289" s="704"/>
      <c r="K289" s="704"/>
      <c r="L289" s="704"/>
      <c r="M289" s="704"/>
      <c r="N289" s="704"/>
      <c r="O289" s="700"/>
      <c r="Q289" s="31"/>
    </row>
    <row r="290" spans="1:17" ht="15.75" customHeight="1" x14ac:dyDescent="0.4">
      <c r="A290" s="700"/>
      <c r="B290" s="700"/>
      <c r="C290" s="700"/>
      <c r="D290" s="701"/>
      <c r="E290" s="700"/>
      <c r="F290" s="328"/>
      <c r="G290" s="700"/>
      <c r="H290" s="702"/>
      <c r="I290" s="703"/>
      <c r="J290" s="704"/>
      <c r="K290" s="704"/>
      <c r="L290" s="704"/>
      <c r="M290" s="704"/>
      <c r="N290" s="704"/>
      <c r="O290" s="700"/>
      <c r="Q290" s="31"/>
    </row>
    <row r="291" spans="1:17" ht="15.75" customHeight="1" x14ac:dyDescent="0.4">
      <c r="A291" s="700"/>
      <c r="B291" s="700"/>
      <c r="C291" s="700"/>
      <c r="D291" s="701"/>
      <c r="E291" s="700"/>
      <c r="F291" s="328"/>
      <c r="G291" s="700"/>
      <c r="H291" s="702"/>
      <c r="I291" s="703"/>
      <c r="J291" s="704"/>
      <c r="K291" s="704"/>
      <c r="L291" s="704"/>
      <c r="M291" s="704"/>
      <c r="N291" s="704"/>
      <c r="O291" s="700"/>
      <c r="Q291" s="31"/>
    </row>
    <row r="292" spans="1:17" ht="15.75" customHeight="1" x14ac:dyDescent="0.4">
      <c r="A292" s="700"/>
      <c r="B292" s="700"/>
      <c r="C292" s="700"/>
      <c r="D292" s="701"/>
      <c r="E292" s="700"/>
      <c r="F292" s="328"/>
      <c r="G292" s="700"/>
      <c r="H292" s="702"/>
      <c r="I292" s="703"/>
      <c r="J292" s="704"/>
      <c r="K292" s="704"/>
      <c r="L292" s="704"/>
      <c r="M292" s="704"/>
      <c r="N292" s="704"/>
      <c r="O292" s="700"/>
      <c r="Q292" s="31"/>
    </row>
    <row r="293" spans="1:17" ht="15.75" customHeight="1" x14ac:dyDescent="0.4">
      <c r="A293" s="700"/>
      <c r="B293" s="700"/>
      <c r="C293" s="700"/>
      <c r="D293" s="701"/>
      <c r="E293" s="700"/>
      <c r="F293" s="328"/>
      <c r="G293" s="700"/>
      <c r="H293" s="702"/>
      <c r="I293" s="703"/>
      <c r="J293" s="704"/>
      <c r="K293" s="704"/>
      <c r="L293" s="704"/>
      <c r="M293" s="704"/>
      <c r="N293" s="704"/>
      <c r="O293" s="700"/>
      <c r="Q293" s="31"/>
    </row>
    <row r="294" spans="1:17" ht="15.75" customHeight="1" x14ac:dyDescent="0.4">
      <c r="A294" s="700"/>
      <c r="B294" s="700"/>
      <c r="C294" s="700"/>
      <c r="D294" s="701"/>
      <c r="E294" s="700"/>
      <c r="F294" s="328"/>
      <c r="G294" s="700"/>
      <c r="H294" s="702"/>
      <c r="I294" s="703"/>
      <c r="J294" s="704"/>
      <c r="K294" s="704"/>
      <c r="L294" s="704"/>
      <c r="M294" s="704"/>
      <c r="N294" s="704"/>
      <c r="O294" s="700"/>
      <c r="Q294" s="31"/>
    </row>
    <row r="295" spans="1:17" ht="15.75" customHeight="1" x14ac:dyDescent="0.4">
      <c r="A295" s="700"/>
      <c r="B295" s="700"/>
      <c r="C295" s="700"/>
      <c r="D295" s="701"/>
      <c r="E295" s="700"/>
      <c r="F295" s="328"/>
      <c r="G295" s="700"/>
      <c r="H295" s="702"/>
      <c r="I295" s="703"/>
      <c r="J295" s="704"/>
      <c r="K295" s="704"/>
      <c r="L295" s="704"/>
      <c r="M295" s="704"/>
      <c r="N295" s="704"/>
      <c r="O295" s="700"/>
      <c r="Q295" s="31"/>
    </row>
    <row r="296" spans="1:17" ht="15.75" customHeight="1" x14ac:dyDescent="0.4">
      <c r="A296" s="700"/>
      <c r="B296" s="700"/>
      <c r="C296" s="700"/>
      <c r="D296" s="701"/>
      <c r="E296" s="700"/>
      <c r="F296" s="328"/>
      <c r="G296" s="700"/>
      <c r="H296" s="702"/>
      <c r="I296" s="703"/>
      <c r="J296" s="704"/>
      <c r="K296" s="704"/>
      <c r="L296" s="704"/>
      <c r="M296" s="704"/>
      <c r="N296" s="704"/>
      <c r="O296" s="700"/>
      <c r="Q296" s="31"/>
    </row>
    <row r="297" spans="1:17" ht="15.75" customHeight="1" x14ac:dyDescent="0.4">
      <c r="A297" s="700"/>
      <c r="B297" s="700"/>
      <c r="C297" s="700"/>
      <c r="D297" s="701"/>
      <c r="E297" s="700"/>
      <c r="F297" s="328"/>
      <c r="G297" s="700"/>
      <c r="H297" s="702"/>
      <c r="I297" s="703"/>
      <c r="J297" s="704"/>
      <c r="K297" s="704"/>
      <c r="L297" s="704"/>
      <c r="M297" s="704"/>
      <c r="N297" s="704"/>
      <c r="O297" s="700"/>
      <c r="Q297" s="31"/>
    </row>
    <row r="298" spans="1:17" ht="15.75" customHeight="1" x14ac:dyDescent="0.4">
      <c r="A298" s="700"/>
      <c r="B298" s="700"/>
      <c r="C298" s="700"/>
      <c r="D298" s="701"/>
      <c r="E298" s="700"/>
      <c r="F298" s="328"/>
      <c r="G298" s="700"/>
      <c r="H298" s="702"/>
      <c r="I298" s="703"/>
      <c r="J298" s="704"/>
      <c r="K298" s="704"/>
      <c r="L298" s="704"/>
      <c r="M298" s="704"/>
      <c r="N298" s="704"/>
      <c r="O298" s="700"/>
      <c r="Q298" s="31"/>
    </row>
    <row r="299" spans="1:17" ht="15.75" customHeight="1" x14ac:dyDescent="0.4">
      <c r="A299" s="700"/>
      <c r="B299" s="700"/>
      <c r="C299" s="700"/>
      <c r="D299" s="701"/>
      <c r="E299" s="700"/>
      <c r="F299" s="328"/>
      <c r="G299" s="700"/>
      <c r="H299" s="702"/>
      <c r="I299" s="703"/>
      <c r="J299" s="704"/>
      <c r="K299" s="704"/>
      <c r="L299" s="704"/>
      <c r="M299" s="704"/>
      <c r="N299" s="704"/>
      <c r="O299" s="700"/>
      <c r="Q299" s="31"/>
    </row>
    <row r="300" spans="1:17" ht="15.75" customHeight="1" x14ac:dyDescent="0.4">
      <c r="A300" s="700"/>
      <c r="B300" s="700"/>
      <c r="C300" s="700"/>
      <c r="D300" s="701"/>
      <c r="E300" s="700"/>
      <c r="F300" s="328"/>
      <c r="G300" s="700"/>
      <c r="H300" s="702"/>
      <c r="I300" s="703"/>
      <c r="J300" s="704"/>
      <c r="K300" s="704"/>
      <c r="L300" s="704"/>
      <c r="M300" s="704"/>
      <c r="N300" s="704"/>
      <c r="O300" s="700"/>
      <c r="Q300" s="31"/>
    </row>
    <row r="301" spans="1:17" ht="15.75" customHeight="1" x14ac:dyDescent="0.4">
      <c r="A301" s="700"/>
      <c r="B301" s="700"/>
      <c r="C301" s="700"/>
      <c r="D301" s="701"/>
      <c r="E301" s="700"/>
      <c r="F301" s="328"/>
      <c r="G301" s="700"/>
      <c r="H301" s="702"/>
      <c r="I301" s="703"/>
      <c r="J301" s="704"/>
      <c r="K301" s="704"/>
      <c r="L301" s="704"/>
      <c r="M301" s="704"/>
      <c r="N301" s="704"/>
      <c r="O301" s="700"/>
      <c r="Q301" s="31"/>
    </row>
    <row r="302" spans="1:17" ht="15.75" customHeight="1" x14ac:dyDescent="0.4">
      <c r="A302" s="700"/>
      <c r="B302" s="700"/>
      <c r="C302" s="700"/>
      <c r="D302" s="701"/>
      <c r="E302" s="700"/>
      <c r="F302" s="328"/>
      <c r="G302" s="700"/>
      <c r="H302" s="702"/>
      <c r="I302" s="703"/>
      <c r="J302" s="704"/>
      <c r="K302" s="704"/>
      <c r="L302" s="704"/>
      <c r="M302" s="704"/>
      <c r="N302" s="704"/>
      <c r="O302" s="700"/>
      <c r="Q302" s="31"/>
    </row>
    <row r="303" spans="1:17" ht="15.75" customHeight="1" x14ac:dyDescent="0.4">
      <c r="A303" s="700"/>
      <c r="B303" s="700"/>
      <c r="C303" s="700"/>
      <c r="D303" s="701"/>
      <c r="E303" s="700"/>
      <c r="F303" s="328"/>
      <c r="G303" s="700"/>
      <c r="H303" s="702"/>
      <c r="I303" s="703"/>
      <c r="J303" s="704"/>
      <c r="K303" s="704"/>
      <c r="L303" s="704"/>
      <c r="M303" s="704"/>
      <c r="N303" s="704"/>
      <c r="O303" s="700"/>
      <c r="Q303" s="31"/>
    </row>
    <row r="304" spans="1:17" ht="15.75" customHeight="1" x14ac:dyDescent="0.4">
      <c r="A304" s="700"/>
      <c r="B304" s="700"/>
      <c r="C304" s="700"/>
      <c r="D304" s="701"/>
      <c r="E304" s="700"/>
      <c r="F304" s="328"/>
      <c r="G304" s="700"/>
      <c r="H304" s="702"/>
      <c r="I304" s="703"/>
      <c r="J304" s="704"/>
      <c r="K304" s="704"/>
      <c r="L304" s="704"/>
      <c r="M304" s="704"/>
      <c r="N304" s="704"/>
      <c r="O304" s="700"/>
      <c r="Q304" s="31"/>
    </row>
    <row r="305" spans="1:17" ht="15.75" customHeight="1" x14ac:dyDescent="0.4">
      <c r="A305" s="700"/>
      <c r="B305" s="700"/>
      <c r="C305" s="700"/>
      <c r="D305" s="701"/>
      <c r="E305" s="700"/>
      <c r="F305" s="328"/>
      <c r="G305" s="700"/>
      <c r="H305" s="702"/>
      <c r="I305" s="703"/>
      <c r="J305" s="704"/>
      <c r="K305" s="704"/>
      <c r="L305" s="704"/>
      <c r="M305" s="704"/>
      <c r="N305" s="704"/>
      <c r="O305" s="700"/>
      <c r="Q305" s="31"/>
    </row>
    <row r="306" spans="1:17" ht="15.75" customHeight="1" x14ac:dyDescent="0.4">
      <c r="A306" s="700"/>
      <c r="B306" s="700"/>
      <c r="C306" s="700"/>
      <c r="D306" s="701"/>
      <c r="E306" s="700"/>
      <c r="F306" s="328"/>
      <c r="G306" s="700"/>
      <c r="H306" s="702"/>
      <c r="I306" s="703"/>
      <c r="J306" s="704"/>
      <c r="K306" s="704"/>
      <c r="L306" s="704"/>
      <c r="M306" s="704"/>
      <c r="N306" s="704"/>
      <c r="O306" s="700"/>
      <c r="Q306" s="31"/>
    </row>
    <row r="307" spans="1:17" ht="15.75" customHeight="1" x14ac:dyDescent="0.4">
      <c r="A307" s="700"/>
      <c r="B307" s="700"/>
      <c r="C307" s="700"/>
      <c r="D307" s="701"/>
      <c r="E307" s="700"/>
      <c r="F307" s="328"/>
      <c r="G307" s="700"/>
      <c r="H307" s="702"/>
      <c r="I307" s="703"/>
      <c r="J307" s="704"/>
      <c r="K307" s="704"/>
      <c r="L307" s="704"/>
      <c r="M307" s="704"/>
      <c r="N307" s="704"/>
      <c r="O307" s="700"/>
      <c r="Q307" s="31"/>
    </row>
    <row r="308" spans="1:17" ht="15.75" customHeight="1" x14ac:dyDescent="0.4">
      <c r="A308" s="700"/>
      <c r="B308" s="700"/>
      <c r="C308" s="700"/>
      <c r="D308" s="701"/>
      <c r="E308" s="700"/>
      <c r="F308" s="328"/>
      <c r="G308" s="700"/>
      <c r="H308" s="702"/>
      <c r="I308" s="703"/>
      <c r="J308" s="704"/>
      <c r="K308" s="704"/>
      <c r="L308" s="704"/>
      <c r="M308" s="704"/>
      <c r="N308" s="704"/>
      <c r="O308" s="700"/>
      <c r="Q308" s="31"/>
    </row>
    <row r="309" spans="1:17" ht="15.75" customHeight="1" x14ac:dyDescent="0.4">
      <c r="A309" s="700"/>
      <c r="B309" s="700"/>
      <c r="C309" s="700"/>
      <c r="D309" s="701"/>
      <c r="E309" s="700"/>
      <c r="F309" s="328"/>
      <c r="G309" s="700"/>
      <c r="H309" s="702"/>
      <c r="I309" s="703"/>
      <c r="J309" s="704"/>
      <c r="K309" s="704"/>
      <c r="L309" s="704"/>
      <c r="M309" s="704"/>
      <c r="N309" s="704"/>
      <c r="O309" s="700"/>
      <c r="Q309" s="31"/>
    </row>
    <row r="310" spans="1:17" ht="15.75" customHeight="1" x14ac:dyDescent="0.4">
      <c r="A310" s="700"/>
      <c r="B310" s="700"/>
      <c r="C310" s="700"/>
      <c r="D310" s="701"/>
      <c r="E310" s="700"/>
      <c r="F310" s="328"/>
      <c r="G310" s="700"/>
      <c r="H310" s="702"/>
      <c r="I310" s="703"/>
      <c r="J310" s="704"/>
      <c r="K310" s="704"/>
      <c r="L310" s="704"/>
      <c r="M310" s="704"/>
      <c r="N310" s="704"/>
      <c r="O310" s="700"/>
      <c r="Q310" s="31"/>
    </row>
    <row r="311" spans="1:17" ht="15.75" customHeight="1" x14ac:dyDescent="0.4">
      <c r="A311" s="700"/>
      <c r="B311" s="700"/>
      <c r="C311" s="700"/>
      <c r="D311" s="701"/>
      <c r="E311" s="700"/>
      <c r="F311" s="328"/>
      <c r="G311" s="700"/>
      <c r="H311" s="702"/>
      <c r="I311" s="703"/>
      <c r="J311" s="704"/>
      <c r="K311" s="704"/>
      <c r="L311" s="704"/>
      <c r="M311" s="704"/>
      <c r="N311" s="704"/>
      <c r="O311" s="700"/>
      <c r="Q311" s="31"/>
    </row>
    <row r="312" spans="1:17" ht="15.75" customHeight="1" x14ac:dyDescent="0.4">
      <c r="A312" s="700"/>
      <c r="B312" s="700"/>
      <c r="C312" s="700"/>
      <c r="D312" s="701"/>
      <c r="E312" s="700"/>
      <c r="F312" s="328"/>
      <c r="G312" s="700"/>
      <c r="H312" s="702"/>
      <c r="I312" s="703"/>
      <c r="J312" s="704"/>
      <c r="K312" s="704"/>
      <c r="L312" s="704"/>
      <c r="M312" s="704"/>
      <c r="N312" s="704"/>
      <c r="O312" s="700"/>
      <c r="Q312" s="31"/>
    </row>
    <row r="313" spans="1:17" ht="15.75" customHeight="1" x14ac:dyDescent="0.4">
      <c r="A313" s="700"/>
      <c r="B313" s="700"/>
      <c r="C313" s="700"/>
      <c r="D313" s="701"/>
      <c r="E313" s="700"/>
      <c r="F313" s="328"/>
      <c r="G313" s="700"/>
      <c r="H313" s="702"/>
      <c r="I313" s="703"/>
      <c r="J313" s="704"/>
      <c r="K313" s="704"/>
      <c r="L313" s="704"/>
      <c r="M313" s="704"/>
      <c r="N313" s="704"/>
      <c r="O313" s="700"/>
      <c r="Q313" s="31"/>
    </row>
    <row r="314" spans="1:17" ht="15.75" customHeight="1" x14ac:dyDescent="0.4">
      <c r="A314" s="700"/>
      <c r="B314" s="700"/>
      <c r="C314" s="700"/>
      <c r="D314" s="701"/>
      <c r="E314" s="700"/>
      <c r="F314" s="328"/>
      <c r="G314" s="700"/>
      <c r="H314" s="702"/>
      <c r="I314" s="703"/>
      <c r="J314" s="704"/>
      <c r="K314" s="704"/>
      <c r="L314" s="704"/>
      <c r="M314" s="704"/>
      <c r="N314" s="704"/>
      <c r="O314" s="700"/>
      <c r="Q314" s="31"/>
    </row>
    <row r="315" spans="1:17" ht="15.75" customHeight="1" x14ac:dyDescent="0.4">
      <c r="A315" s="700"/>
      <c r="B315" s="700"/>
      <c r="C315" s="700"/>
      <c r="D315" s="701"/>
      <c r="E315" s="700"/>
      <c r="F315" s="328"/>
      <c r="G315" s="700"/>
      <c r="H315" s="702"/>
      <c r="I315" s="703"/>
      <c r="J315" s="704"/>
      <c r="K315" s="704"/>
      <c r="L315" s="704"/>
      <c r="M315" s="704"/>
      <c r="N315" s="704"/>
      <c r="O315" s="700"/>
      <c r="Q315" s="31"/>
    </row>
    <row r="316" spans="1:17" ht="15.75" customHeight="1" x14ac:dyDescent="0.4">
      <c r="A316" s="700"/>
      <c r="B316" s="700"/>
      <c r="C316" s="700"/>
      <c r="D316" s="701"/>
      <c r="E316" s="700"/>
      <c r="F316" s="328"/>
      <c r="G316" s="700"/>
      <c r="H316" s="702"/>
      <c r="I316" s="703"/>
      <c r="J316" s="704"/>
      <c r="K316" s="704"/>
      <c r="L316" s="704"/>
      <c r="M316" s="704"/>
      <c r="N316" s="704"/>
      <c r="O316" s="700"/>
      <c r="Q316" s="31"/>
    </row>
    <row r="317" spans="1:17" ht="15.75" customHeight="1" x14ac:dyDescent="0.4">
      <c r="A317" s="700"/>
      <c r="B317" s="700"/>
      <c r="C317" s="700"/>
      <c r="D317" s="701"/>
      <c r="E317" s="700"/>
      <c r="F317" s="328"/>
      <c r="G317" s="700"/>
      <c r="H317" s="702"/>
      <c r="I317" s="703"/>
      <c r="J317" s="704"/>
      <c r="K317" s="704"/>
      <c r="L317" s="704"/>
      <c r="M317" s="704"/>
      <c r="N317" s="704"/>
      <c r="O317" s="700"/>
      <c r="Q317" s="31"/>
    </row>
    <row r="318" spans="1:17" ht="15.75" customHeight="1" x14ac:dyDescent="0.4">
      <c r="A318" s="700"/>
      <c r="B318" s="700"/>
      <c r="C318" s="700"/>
      <c r="D318" s="701"/>
      <c r="E318" s="700"/>
      <c r="F318" s="328"/>
      <c r="G318" s="700"/>
      <c r="H318" s="702"/>
      <c r="I318" s="703"/>
      <c r="J318" s="704"/>
      <c r="K318" s="704"/>
      <c r="L318" s="704"/>
      <c r="M318" s="704"/>
      <c r="N318" s="704"/>
      <c r="O318" s="700"/>
      <c r="Q318" s="31"/>
    </row>
    <row r="319" spans="1:17" ht="15.75" customHeight="1" x14ac:dyDescent="0.4">
      <c r="A319" s="700"/>
      <c r="B319" s="700"/>
      <c r="C319" s="700"/>
      <c r="D319" s="701"/>
      <c r="E319" s="700"/>
      <c r="F319" s="328"/>
      <c r="G319" s="700"/>
      <c r="H319" s="702"/>
      <c r="I319" s="703"/>
      <c r="J319" s="704"/>
      <c r="K319" s="704"/>
      <c r="L319" s="704"/>
      <c r="M319" s="704"/>
      <c r="N319" s="704"/>
      <c r="O319" s="700"/>
      <c r="Q319" s="31"/>
    </row>
    <row r="320" spans="1:17" ht="15.75" customHeight="1" x14ac:dyDescent="0.4">
      <c r="A320" s="700"/>
      <c r="B320" s="700"/>
      <c r="C320" s="700"/>
      <c r="D320" s="701"/>
      <c r="E320" s="700"/>
      <c r="F320" s="328"/>
      <c r="G320" s="700"/>
      <c r="H320" s="702"/>
      <c r="I320" s="703"/>
      <c r="J320" s="704"/>
      <c r="K320" s="704"/>
      <c r="L320" s="704"/>
      <c r="M320" s="704"/>
      <c r="N320" s="704"/>
      <c r="O320" s="700"/>
      <c r="Q320" s="31"/>
    </row>
    <row r="321" spans="1:17" ht="15.75" customHeight="1" x14ac:dyDescent="0.4">
      <c r="A321" s="700"/>
      <c r="B321" s="700"/>
      <c r="C321" s="700"/>
      <c r="D321" s="701"/>
      <c r="E321" s="700"/>
      <c r="F321" s="328"/>
      <c r="G321" s="700"/>
      <c r="H321" s="702"/>
      <c r="I321" s="703"/>
      <c r="J321" s="704"/>
      <c r="K321" s="704"/>
      <c r="L321" s="704"/>
      <c r="M321" s="704"/>
      <c r="N321" s="704"/>
      <c r="O321" s="700"/>
      <c r="Q321" s="31"/>
    </row>
    <row r="322" spans="1:17" ht="15.75" customHeight="1" x14ac:dyDescent="0.4">
      <c r="A322" s="700"/>
      <c r="B322" s="700"/>
      <c r="C322" s="700"/>
      <c r="D322" s="701"/>
      <c r="E322" s="700"/>
      <c r="F322" s="328"/>
      <c r="G322" s="700"/>
      <c r="H322" s="702"/>
      <c r="I322" s="703"/>
      <c r="J322" s="704"/>
      <c r="K322" s="704"/>
      <c r="L322" s="704"/>
      <c r="M322" s="704"/>
      <c r="N322" s="704"/>
      <c r="O322" s="700"/>
      <c r="Q322" s="31"/>
    </row>
    <row r="323" spans="1:17" ht="15.75" customHeight="1" x14ac:dyDescent="0.4">
      <c r="A323" s="700"/>
      <c r="B323" s="700"/>
      <c r="C323" s="700"/>
      <c r="D323" s="701"/>
      <c r="E323" s="700"/>
      <c r="F323" s="328"/>
      <c r="G323" s="700"/>
      <c r="H323" s="702"/>
      <c r="I323" s="703"/>
      <c r="J323" s="704"/>
      <c r="K323" s="704"/>
      <c r="L323" s="704"/>
      <c r="M323" s="704"/>
      <c r="N323" s="704"/>
      <c r="O323" s="700"/>
      <c r="Q323" s="31"/>
    </row>
    <row r="324" spans="1:17" ht="15.75" customHeight="1" x14ac:dyDescent="0.4">
      <c r="A324" s="700"/>
      <c r="B324" s="700"/>
      <c r="C324" s="700"/>
      <c r="D324" s="701"/>
      <c r="E324" s="700"/>
      <c r="F324" s="328"/>
      <c r="G324" s="700"/>
      <c r="H324" s="702"/>
      <c r="I324" s="703"/>
      <c r="J324" s="704"/>
      <c r="K324" s="704"/>
      <c r="L324" s="704"/>
      <c r="M324" s="704"/>
      <c r="N324" s="704"/>
      <c r="O324" s="700"/>
      <c r="Q324" s="31"/>
    </row>
    <row r="325" spans="1:17" ht="15.75" customHeight="1" x14ac:dyDescent="0.4">
      <c r="A325" s="700"/>
      <c r="B325" s="700"/>
      <c r="C325" s="700"/>
      <c r="D325" s="701"/>
      <c r="E325" s="700"/>
      <c r="F325" s="328"/>
      <c r="G325" s="700"/>
      <c r="H325" s="702"/>
      <c r="I325" s="703"/>
      <c r="J325" s="704"/>
      <c r="K325" s="704"/>
      <c r="L325" s="704"/>
      <c r="M325" s="704"/>
      <c r="N325" s="704"/>
      <c r="O325" s="700"/>
      <c r="Q325" s="31"/>
    </row>
    <row r="326" spans="1:17" ht="15.75" customHeight="1" x14ac:dyDescent="0.4">
      <c r="A326" s="700"/>
      <c r="B326" s="700"/>
      <c r="C326" s="700"/>
      <c r="D326" s="701"/>
      <c r="E326" s="700"/>
      <c r="F326" s="328"/>
      <c r="G326" s="700"/>
      <c r="H326" s="702"/>
      <c r="I326" s="703"/>
      <c r="J326" s="704"/>
      <c r="K326" s="704"/>
      <c r="L326" s="704"/>
      <c r="M326" s="704"/>
      <c r="N326" s="704"/>
      <c r="O326" s="700"/>
      <c r="Q326" s="31"/>
    </row>
    <row r="327" spans="1:17" ht="15.75" customHeight="1" x14ac:dyDescent="0.4">
      <c r="A327" s="700"/>
      <c r="B327" s="700"/>
      <c r="C327" s="700"/>
      <c r="D327" s="701"/>
      <c r="E327" s="700"/>
      <c r="F327" s="328"/>
      <c r="G327" s="700"/>
      <c r="H327" s="702"/>
      <c r="I327" s="703"/>
      <c r="J327" s="704"/>
      <c r="K327" s="704"/>
      <c r="L327" s="704"/>
      <c r="M327" s="704"/>
      <c r="N327" s="704"/>
      <c r="O327" s="700"/>
      <c r="Q327" s="31"/>
    </row>
    <row r="328" spans="1:17" ht="15.75" customHeight="1" x14ac:dyDescent="0.4">
      <c r="A328" s="700"/>
      <c r="B328" s="700"/>
      <c r="C328" s="700"/>
      <c r="D328" s="701"/>
      <c r="E328" s="700"/>
      <c r="F328" s="328"/>
      <c r="G328" s="700"/>
      <c r="H328" s="702"/>
      <c r="I328" s="703"/>
      <c r="J328" s="704"/>
      <c r="K328" s="704"/>
      <c r="L328" s="704"/>
      <c r="M328" s="704"/>
      <c r="N328" s="704"/>
      <c r="O328" s="700"/>
      <c r="Q328" s="31"/>
    </row>
    <row r="329" spans="1:17" ht="15.75" customHeight="1" x14ac:dyDescent="0.4">
      <c r="A329" s="700"/>
      <c r="B329" s="700"/>
      <c r="C329" s="700"/>
      <c r="D329" s="701"/>
      <c r="E329" s="700"/>
      <c r="F329" s="328"/>
      <c r="G329" s="700"/>
      <c r="H329" s="702"/>
      <c r="I329" s="703"/>
      <c r="J329" s="704"/>
      <c r="K329" s="704"/>
      <c r="L329" s="704"/>
      <c r="M329" s="704"/>
      <c r="N329" s="704"/>
      <c r="O329" s="700"/>
      <c r="Q329" s="31"/>
    </row>
    <row r="330" spans="1:17" ht="15.75" customHeight="1" x14ac:dyDescent="0.4">
      <c r="A330" s="700"/>
      <c r="B330" s="700"/>
      <c r="C330" s="700"/>
      <c r="D330" s="701"/>
      <c r="E330" s="700"/>
      <c r="F330" s="328"/>
      <c r="G330" s="700"/>
      <c r="H330" s="702"/>
      <c r="I330" s="703"/>
      <c r="J330" s="704"/>
      <c r="K330" s="704"/>
      <c r="L330" s="704"/>
      <c r="M330" s="704"/>
      <c r="N330" s="704"/>
      <c r="O330" s="700"/>
      <c r="Q330" s="31"/>
    </row>
    <row r="331" spans="1:17" ht="15.75" customHeight="1" x14ac:dyDescent="0.4">
      <c r="A331" s="700"/>
      <c r="B331" s="700"/>
      <c r="C331" s="700"/>
      <c r="D331" s="701"/>
      <c r="E331" s="700"/>
      <c r="F331" s="328"/>
      <c r="G331" s="700"/>
      <c r="H331" s="702"/>
      <c r="I331" s="703"/>
      <c r="J331" s="704"/>
      <c r="K331" s="704"/>
      <c r="L331" s="704"/>
      <c r="M331" s="704"/>
      <c r="N331" s="704"/>
      <c r="O331" s="700"/>
      <c r="Q331" s="31"/>
    </row>
    <row r="332" spans="1:17" ht="15.75" customHeight="1" x14ac:dyDescent="0.4">
      <c r="A332" s="700"/>
      <c r="B332" s="700"/>
      <c r="C332" s="700"/>
      <c r="D332" s="701"/>
      <c r="E332" s="700"/>
      <c r="F332" s="328"/>
      <c r="G332" s="700"/>
      <c r="H332" s="702"/>
      <c r="I332" s="703"/>
      <c r="J332" s="704"/>
      <c r="K332" s="704"/>
      <c r="L332" s="704"/>
      <c r="M332" s="704"/>
      <c r="N332" s="704"/>
      <c r="O332" s="700"/>
      <c r="Q332" s="31"/>
    </row>
    <row r="333" spans="1:17" ht="15.75" customHeight="1" x14ac:dyDescent="0.4">
      <c r="A333" s="700"/>
      <c r="B333" s="700"/>
      <c r="C333" s="700"/>
      <c r="D333" s="701"/>
      <c r="E333" s="700"/>
      <c r="F333" s="328"/>
      <c r="G333" s="700"/>
      <c r="H333" s="702"/>
      <c r="I333" s="703"/>
      <c r="J333" s="704"/>
      <c r="K333" s="704"/>
      <c r="L333" s="704"/>
      <c r="M333" s="704"/>
      <c r="N333" s="704"/>
      <c r="O333" s="700"/>
      <c r="Q333" s="31"/>
    </row>
    <row r="334" spans="1:17" ht="15.75" customHeight="1" x14ac:dyDescent="0.4">
      <c r="A334" s="700"/>
      <c r="B334" s="700"/>
      <c r="C334" s="700"/>
      <c r="D334" s="701"/>
      <c r="E334" s="700"/>
      <c r="F334" s="328"/>
      <c r="G334" s="700"/>
      <c r="H334" s="702"/>
      <c r="I334" s="703"/>
      <c r="J334" s="704"/>
      <c r="K334" s="704"/>
      <c r="L334" s="704"/>
      <c r="M334" s="704"/>
      <c r="N334" s="704"/>
      <c r="O334" s="700"/>
      <c r="Q334" s="31"/>
    </row>
    <row r="335" spans="1:17" ht="15.75" customHeight="1" x14ac:dyDescent="0.4">
      <c r="A335" s="700"/>
      <c r="B335" s="700"/>
      <c r="C335" s="700"/>
      <c r="D335" s="701"/>
      <c r="E335" s="700"/>
      <c r="F335" s="328"/>
      <c r="G335" s="700"/>
      <c r="H335" s="702"/>
      <c r="I335" s="703"/>
      <c r="J335" s="704"/>
      <c r="K335" s="704"/>
      <c r="L335" s="704"/>
      <c r="M335" s="704"/>
      <c r="N335" s="704"/>
      <c r="O335" s="700"/>
      <c r="Q335" s="31"/>
    </row>
    <row r="336" spans="1:17" ht="15.75" customHeight="1" x14ac:dyDescent="0.4">
      <c r="A336" s="700"/>
      <c r="B336" s="700"/>
      <c r="C336" s="700"/>
      <c r="D336" s="701"/>
      <c r="E336" s="700"/>
      <c r="F336" s="328"/>
      <c r="G336" s="700"/>
      <c r="H336" s="702"/>
      <c r="I336" s="703"/>
      <c r="J336" s="704"/>
      <c r="K336" s="704"/>
      <c r="L336" s="704"/>
      <c r="M336" s="704"/>
      <c r="N336" s="704"/>
      <c r="O336" s="700"/>
      <c r="Q336" s="31"/>
    </row>
    <row r="337" spans="1:17" ht="15.75" customHeight="1" x14ac:dyDescent="0.4">
      <c r="A337" s="700"/>
      <c r="B337" s="700"/>
      <c r="C337" s="700"/>
      <c r="D337" s="701"/>
      <c r="E337" s="700"/>
      <c r="F337" s="328"/>
      <c r="G337" s="700"/>
      <c r="H337" s="702"/>
      <c r="I337" s="703"/>
      <c r="J337" s="704"/>
      <c r="K337" s="704"/>
      <c r="L337" s="704"/>
      <c r="M337" s="704"/>
      <c r="N337" s="704"/>
      <c r="O337" s="700"/>
      <c r="Q337" s="31"/>
    </row>
    <row r="338" spans="1:17" ht="15.75" customHeight="1" x14ac:dyDescent="0.4">
      <c r="A338" s="700"/>
      <c r="B338" s="700"/>
      <c r="C338" s="700"/>
      <c r="D338" s="701"/>
      <c r="E338" s="700"/>
      <c r="F338" s="328"/>
      <c r="G338" s="700"/>
      <c r="H338" s="702"/>
      <c r="I338" s="703"/>
      <c r="J338" s="704"/>
      <c r="K338" s="704"/>
      <c r="L338" s="704"/>
      <c r="M338" s="704"/>
      <c r="N338" s="704"/>
      <c r="O338" s="700"/>
      <c r="Q338" s="31"/>
    </row>
    <row r="339" spans="1:17" ht="15.75" customHeight="1" x14ac:dyDescent="0.4">
      <c r="A339" s="700"/>
      <c r="B339" s="700"/>
      <c r="C339" s="700"/>
      <c r="D339" s="701"/>
      <c r="E339" s="700"/>
      <c r="F339" s="328"/>
      <c r="G339" s="700"/>
      <c r="H339" s="702"/>
      <c r="I339" s="703"/>
      <c r="J339" s="704"/>
      <c r="K339" s="704"/>
      <c r="L339" s="704"/>
      <c r="M339" s="704"/>
      <c r="N339" s="704"/>
      <c r="O339" s="700"/>
      <c r="Q339" s="31"/>
    </row>
    <row r="340" spans="1:17" ht="15.75" customHeight="1" x14ac:dyDescent="0.4">
      <c r="A340" s="700"/>
      <c r="B340" s="700"/>
      <c r="C340" s="700"/>
      <c r="D340" s="701"/>
      <c r="E340" s="700"/>
      <c r="F340" s="328"/>
      <c r="G340" s="700"/>
      <c r="H340" s="702"/>
      <c r="I340" s="703"/>
      <c r="J340" s="704"/>
      <c r="K340" s="704"/>
      <c r="L340" s="704"/>
      <c r="M340" s="704"/>
      <c r="N340" s="704"/>
      <c r="O340" s="700"/>
      <c r="Q340" s="31"/>
    </row>
    <row r="341" spans="1:17" ht="15.75" customHeight="1" x14ac:dyDescent="0.4">
      <c r="A341" s="700"/>
      <c r="B341" s="700"/>
      <c r="C341" s="700"/>
      <c r="D341" s="701"/>
      <c r="E341" s="700"/>
      <c r="F341" s="328"/>
      <c r="G341" s="700"/>
      <c r="H341" s="702"/>
      <c r="I341" s="703"/>
      <c r="J341" s="704"/>
      <c r="K341" s="704"/>
      <c r="L341" s="704"/>
      <c r="M341" s="704"/>
      <c r="N341" s="704"/>
      <c r="O341" s="700"/>
      <c r="Q341" s="31"/>
    </row>
    <row r="342" spans="1:17" ht="15.75" customHeight="1" x14ac:dyDescent="0.4">
      <c r="A342" s="700"/>
      <c r="B342" s="700"/>
      <c r="C342" s="700"/>
      <c r="D342" s="701"/>
      <c r="E342" s="700"/>
      <c r="F342" s="328"/>
      <c r="G342" s="700"/>
      <c r="H342" s="702"/>
      <c r="I342" s="703"/>
      <c r="J342" s="704"/>
      <c r="K342" s="704"/>
      <c r="L342" s="704"/>
      <c r="M342" s="704"/>
      <c r="N342" s="704"/>
      <c r="O342" s="700"/>
      <c r="Q342" s="31"/>
    </row>
    <row r="343" spans="1:17" ht="15.75" customHeight="1" x14ac:dyDescent="0.4">
      <c r="A343" s="700"/>
      <c r="B343" s="700"/>
      <c r="C343" s="700"/>
      <c r="D343" s="701"/>
      <c r="E343" s="700"/>
      <c r="F343" s="328"/>
      <c r="G343" s="700"/>
      <c r="H343" s="702"/>
      <c r="I343" s="703"/>
      <c r="J343" s="704"/>
      <c r="K343" s="704"/>
      <c r="L343" s="704"/>
      <c r="M343" s="704"/>
      <c r="N343" s="704"/>
      <c r="O343" s="700"/>
      <c r="Q343" s="31"/>
    </row>
    <row r="344" spans="1:17" ht="15.75" customHeight="1" x14ac:dyDescent="0.4">
      <c r="A344" s="700"/>
      <c r="B344" s="700"/>
      <c r="C344" s="700"/>
      <c r="D344" s="701"/>
      <c r="E344" s="700"/>
      <c r="F344" s="328"/>
      <c r="G344" s="700"/>
      <c r="H344" s="702"/>
      <c r="I344" s="703"/>
      <c r="J344" s="704"/>
      <c r="K344" s="704"/>
      <c r="L344" s="704"/>
      <c r="M344" s="704"/>
      <c r="N344" s="704"/>
      <c r="O344" s="700"/>
      <c r="Q344" s="31"/>
    </row>
    <row r="345" spans="1:17" ht="15.75" customHeight="1" x14ac:dyDescent="0.4">
      <c r="A345" s="700"/>
      <c r="B345" s="700"/>
      <c r="C345" s="700"/>
      <c r="D345" s="701"/>
      <c r="E345" s="700"/>
      <c r="F345" s="328"/>
      <c r="G345" s="700"/>
      <c r="H345" s="702"/>
      <c r="I345" s="703"/>
      <c r="J345" s="704"/>
      <c r="K345" s="704"/>
      <c r="L345" s="704"/>
      <c r="M345" s="704"/>
      <c r="N345" s="704"/>
      <c r="O345" s="700"/>
      <c r="Q345" s="31"/>
    </row>
    <row r="346" spans="1:17" ht="15.75" customHeight="1" x14ac:dyDescent="0.4">
      <c r="A346" s="700"/>
      <c r="B346" s="700"/>
      <c r="C346" s="700"/>
      <c r="D346" s="701"/>
      <c r="E346" s="700"/>
      <c r="F346" s="328"/>
      <c r="G346" s="700"/>
      <c r="H346" s="702"/>
      <c r="I346" s="703"/>
      <c r="J346" s="704"/>
      <c r="K346" s="704"/>
      <c r="L346" s="704"/>
      <c r="M346" s="704"/>
      <c r="N346" s="704"/>
      <c r="O346" s="700"/>
      <c r="Q346" s="31"/>
    </row>
    <row r="347" spans="1:17" ht="15.75" customHeight="1" x14ac:dyDescent="0.4">
      <c r="A347" s="700"/>
      <c r="B347" s="700"/>
      <c r="C347" s="700"/>
      <c r="D347" s="701"/>
      <c r="E347" s="700"/>
      <c r="F347" s="328"/>
      <c r="G347" s="700"/>
      <c r="H347" s="702"/>
      <c r="I347" s="703"/>
      <c r="J347" s="704"/>
      <c r="K347" s="704"/>
      <c r="L347" s="704"/>
      <c r="M347" s="704"/>
      <c r="N347" s="704"/>
      <c r="O347" s="700"/>
      <c r="Q347" s="31"/>
    </row>
    <row r="348" spans="1:17" ht="15.75" customHeight="1" x14ac:dyDescent="0.4">
      <c r="A348" s="700"/>
      <c r="B348" s="700"/>
      <c r="C348" s="700"/>
      <c r="D348" s="701"/>
      <c r="E348" s="700"/>
      <c r="F348" s="328"/>
      <c r="G348" s="700"/>
      <c r="H348" s="702"/>
      <c r="I348" s="703"/>
      <c r="J348" s="704"/>
      <c r="K348" s="704"/>
      <c r="L348" s="704"/>
      <c r="M348" s="704"/>
      <c r="N348" s="704"/>
      <c r="O348" s="700"/>
      <c r="Q348" s="31"/>
    </row>
    <row r="349" spans="1:17" ht="15.75" customHeight="1" x14ac:dyDescent="0.4">
      <c r="A349" s="619"/>
      <c r="B349" s="619"/>
      <c r="C349" s="619"/>
      <c r="D349" s="708"/>
      <c r="E349" s="619"/>
      <c r="F349" s="329"/>
      <c r="G349" s="619"/>
      <c r="H349" s="709"/>
      <c r="I349" s="710"/>
      <c r="J349" s="710"/>
      <c r="K349" s="710"/>
      <c r="L349" s="710"/>
      <c r="M349" s="711"/>
      <c r="N349" s="711"/>
    </row>
    <row r="350" spans="1:17" ht="15.75" customHeight="1" x14ac:dyDescent="0.4">
      <c r="A350" s="619"/>
      <c r="B350" s="619"/>
      <c r="C350" s="619"/>
      <c r="D350" s="708"/>
      <c r="E350" s="619"/>
      <c r="F350" s="329"/>
      <c r="G350" s="619"/>
      <c r="H350" s="709"/>
      <c r="I350" s="710"/>
      <c r="J350" s="710"/>
      <c r="K350" s="710"/>
      <c r="L350" s="710"/>
      <c r="M350" s="711"/>
      <c r="N350" s="711"/>
    </row>
    <row r="351" spans="1:17" ht="15.75" customHeight="1" x14ac:dyDescent="0.4">
      <c r="A351" s="619"/>
      <c r="B351" s="619"/>
      <c r="C351" s="619"/>
      <c r="D351" s="708"/>
      <c r="E351" s="619"/>
      <c r="F351" s="329"/>
      <c r="G351" s="619"/>
      <c r="H351" s="709"/>
      <c r="I351" s="710"/>
      <c r="J351" s="710"/>
      <c r="K351" s="710"/>
      <c r="L351" s="710"/>
      <c r="M351" s="711"/>
      <c r="N351" s="711"/>
    </row>
    <row r="352" spans="1:17" ht="15.75" customHeight="1" x14ac:dyDescent="0.4">
      <c r="A352" s="619"/>
      <c r="B352" s="619"/>
      <c r="C352" s="619"/>
      <c r="D352" s="708"/>
      <c r="E352" s="619"/>
      <c r="F352" s="329"/>
      <c r="G352" s="619"/>
      <c r="H352" s="709"/>
      <c r="I352" s="710"/>
      <c r="J352" s="710"/>
      <c r="K352" s="710"/>
      <c r="L352" s="710"/>
      <c r="M352" s="711"/>
      <c r="N352" s="711"/>
    </row>
    <row r="353" spans="1:14" ht="15.75" customHeight="1" x14ac:dyDescent="0.4">
      <c r="A353" s="619"/>
      <c r="B353" s="619"/>
      <c r="C353" s="619"/>
      <c r="D353" s="708"/>
      <c r="E353" s="619"/>
      <c r="F353" s="329"/>
      <c r="G353" s="619"/>
      <c r="H353" s="709"/>
      <c r="I353" s="710"/>
      <c r="J353" s="710"/>
      <c r="K353" s="710"/>
      <c r="L353" s="710"/>
      <c r="M353" s="711"/>
      <c r="N353" s="711"/>
    </row>
    <row r="354" spans="1:14" ht="15.75" customHeight="1" x14ac:dyDescent="0.4">
      <c r="A354" s="619"/>
      <c r="B354" s="619"/>
      <c r="C354" s="619"/>
      <c r="D354" s="708"/>
      <c r="E354" s="619"/>
      <c r="F354" s="329"/>
      <c r="G354" s="619"/>
      <c r="H354" s="709"/>
      <c r="I354" s="710"/>
      <c r="J354" s="710"/>
      <c r="K354" s="710"/>
      <c r="L354" s="710"/>
      <c r="M354" s="711"/>
      <c r="N354" s="711"/>
    </row>
    <row r="355" spans="1:14" ht="15.75" customHeight="1" x14ac:dyDescent="0.4">
      <c r="A355" s="619"/>
      <c r="B355" s="619"/>
      <c r="C355" s="619"/>
      <c r="D355" s="708"/>
      <c r="E355" s="619"/>
      <c r="F355" s="329"/>
      <c r="G355" s="619"/>
      <c r="H355" s="709"/>
      <c r="I355" s="710"/>
      <c r="J355" s="710"/>
      <c r="K355" s="710"/>
      <c r="L355" s="710"/>
      <c r="M355" s="711"/>
      <c r="N355" s="711"/>
    </row>
    <row r="356" spans="1:14" ht="15.75" customHeight="1" x14ac:dyDescent="0.4">
      <c r="A356" s="619"/>
      <c r="B356" s="619"/>
      <c r="C356" s="619"/>
      <c r="D356" s="708"/>
      <c r="E356" s="619"/>
      <c r="F356" s="329"/>
      <c r="G356" s="619"/>
      <c r="H356" s="709"/>
      <c r="I356" s="710"/>
      <c r="J356" s="710"/>
      <c r="K356" s="710"/>
      <c r="L356" s="710"/>
      <c r="M356" s="711"/>
      <c r="N356" s="711"/>
    </row>
    <row r="357" spans="1:14" ht="15.75" customHeight="1" x14ac:dyDescent="0.4">
      <c r="A357" s="619"/>
      <c r="B357" s="619"/>
      <c r="C357" s="619"/>
      <c r="D357" s="708"/>
      <c r="E357" s="619"/>
      <c r="F357" s="329"/>
      <c r="G357" s="619"/>
      <c r="H357" s="709"/>
      <c r="I357" s="710"/>
      <c r="J357" s="710"/>
      <c r="K357" s="710"/>
      <c r="L357" s="710"/>
      <c r="M357" s="711"/>
      <c r="N357" s="711"/>
    </row>
    <row r="358" spans="1:14" ht="15.75" customHeight="1" x14ac:dyDescent="0.4">
      <c r="A358" s="619"/>
      <c r="B358" s="619"/>
      <c r="C358" s="619"/>
      <c r="D358" s="708"/>
      <c r="E358" s="619"/>
      <c r="F358" s="329"/>
      <c r="G358" s="619"/>
      <c r="H358" s="709"/>
      <c r="I358" s="710"/>
      <c r="J358" s="710"/>
      <c r="K358" s="710"/>
      <c r="L358" s="710"/>
      <c r="M358" s="711"/>
      <c r="N358" s="711"/>
    </row>
    <row r="359" spans="1:14" ht="15.75" customHeight="1" x14ac:dyDescent="0.4">
      <c r="A359" s="619"/>
      <c r="B359" s="619"/>
      <c r="C359" s="619"/>
      <c r="D359" s="708"/>
      <c r="E359" s="619"/>
      <c r="F359" s="329"/>
      <c r="G359" s="619"/>
      <c r="H359" s="709"/>
      <c r="I359" s="710"/>
      <c r="J359" s="710"/>
      <c r="K359" s="710"/>
      <c r="L359" s="710"/>
      <c r="M359" s="711"/>
      <c r="N359" s="711"/>
    </row>
    <row r="360" spans="1:14" ht="15.75" customHeight="1" x14ac:dyDescent="0.4">
      <c r="A360" s="619"/>
      <c r="B360" s="619"/>
      <c r="C360" s="619"/>
      <c r="D360" s="708"/>
      <c r="E360" s="619"/>
      <c r="F360" s="329"/>
      <c r="G360" s="619"/>
      <c r="H360" s="709"/>
      <c r="I360" s="710"/>
      <c r="J360" s="710"/>
      <c r="K360" s="710"/>
      <c r="L360" s="710"/>
      <c r="M360" s="711"/>
      <c r="N360" s="711"/>
    </row>
    <row r="361" spans="1:14" ht="15.75" customHeight="1" x14ac:dyDescent="0.4">
      <c r="A361" s="619"/>
      <c r="B361" s="619"/>
      <c r="C361" s="619"/>
      <c r="D361" s="708"/>
      <c r="E361" s="619"/>
      <c r="F361" s="329"/>
      <c r="G361" s="619"/>
      <c r="H361" s="709"/>
      <c r="I361" s="710"/>
      <c r="J361" s="710"/>
      <c r="K361" s="710"/>
      <c r="L361" s="710"/>
      <c r="M361" s="711"/>
      <c r="N361" s="711"/>
    </row>
    <row r="362" spans="1:14" ht="15.75" customHeight="1" x14ac:dyDescent="0.4">
      <c r="A362" s="619"/>
      <c r="B362" s="619"/>
      <c r="C362" s="619"/>
      <c r="D362" s="708"/>
      <c r="E362" s="619"/>
      <c r="F362" s="329"/>
      <c r="G362" s="619"/>
      <c r="H362" s="709"/>
      <c r="I362" s="710"/>
      <c r="J362" s="710"/>
      <c r="K362" s="710"/>
      <c r="L362" s="710"/>
      <c r="M362" s="711"/>
      <c r="N362" s="711"/>
    </row>
    <row r="363" spans="1:14" ht="15.75" customHeight="1" x14ac:dyDescent="0.4">
      <c r="A363" s="619"/>
      <c r="B363" s="619"/>
      <c r="C363" s="619"/>
      <c r="D363" s="708"/>
      <c r="E363" s="619"/>
      <c r="F363" s="329"/>
      <c r="G363" s="619"/>
      <c r="H363" s="709"/>
      <c r="I363" s="710"/>
      <c r="J363" s="710"/>
      <c r="K363" s="710"/>
      <c r="L363" s="710"/>
      <c r="M363" s="711"/>
      <c r="N363" s="711"/>
    </row>
    <row r="364" spans="1:14" ht="15.75" customHeight="1" x14ac:dyDescent="0.4">
      <c r="A364" s="619"/>
      <c r="B364" s="619"/>
      <c r="C364" s="619"/>
      <c r="D364" s="708"/>
      <c r="E364" s="619"/>
      <c r="F364" s="329"/>
      <c r="G364" s="619"/>
      <c r="H364" s="709"/>
      <c r="I364" s="710"/>
      <c r="J364" s="710"/>
      <c r="K364" s="710"/>
      <c r="L364" s="710"/>
      <c r="M364" s="711"/>
      <c r="N364" s="711"/>
    </row>
    <row r="365" spans="1:14" ht="15.75" customHeight="1" x14ac:dyDescent="0.4">
      <c r="A365" s="619"/>
      <c r="B365" s="619"/>
      <c r="C365" s="619"/>
      <c r="D365" s="708"/>
      <c r="E365" s="619"/>
      <c r="F365" s="329"/>
      <c r="G365" s="619"/>
      <c r="H365" s="709"/>
      <c r="I365" s="710"/>
      <c r="J365" s="710"/>
      <c r="K365" s="710"/>
      <c r="L365" s="710"/>
      <c r="M365" s="711"/>
      <c r="N365" s="711"/>
    </row>
    <row r="366" spans="1:14" ht="15.75" customHeight="1" x14ac:dyDescent="0.4">
      <c r="A366" s="619"/>
      <c r="B366" s="619"/>
      <c r="C366" s="619"/>
      <c r="D366" s="708"/>
      <c r="E366" s="619"/>
      <c r="F366" s="329"/>
      <c r="G366" s="619"/>
      <c r="H366" s="709"/>
      <c r="I366" s="710"/>
      <c r="J366" s="710"/>
      <c r="K366" s="710"/>
      <c r="L366" s="710"/>
      <c r="M366" s="711"/>
      <c r="N366" s="711"/>
    </row>
    <row r="367" spans="1:14" ht="15.75" customHeight="1" x14ac:dyDescent="0.4">
      <c r="A367" s="619"/>
      <c r="B367" s="619"/>
      <c r="C367" s="619"/>
      <c r="D367" s="708"/>
      <c r="E367" s="619"/>
      <c r="F367" s="329"/>
      <c r="G367" s="619"/>
      <c r="H367" s="709"/>
      <c r="I367" s="710"/>
      <c r="J367" s="710"/>
      <c r="K367" s="710"/>
      <c r="L367" s="710"/>
      <c r="M367" s="711"/>
      <c r="N367" s="711"/>
    </row>
    <row r="368" spans="1:14" ht="15.75" customHeight="1" x14ac:dyDescent="0.4">
      <c r="A368" s="619"/>
      <c r="B368" s="619"/>
      <c r="C368" s="619"/>
      <c r="D368" s="708"/>
      <c r="E368" s="619"/>
      <c r="F368" s="329"/>
      <c r="G368" s="619"/>
      <c r="H368" s="709"/>
      <c r="I368" s="710"/>
      <c r="J368" s="710"/>
      <c r="K368" s="710"/>
      <c r="L368" s="710"/>
      <c r="M368" s="711"/>
      <c r="N368" s="711"/>
    </row>
    <row r="369" spans="1:14" ht="15.75" customHeight="1" x14ac:dyDescent="0.4">
      <c r="A369" s="619"/>
      <c r="B369" s="619"/>
      <c r="C369" s="619"/>
      <c r="D369" s="708"/>
      <c r="E369" s="619"/>
      <c r="F369" s="329"/>
      <c r="G369" s="619"/>
      <c r="H369" s="709"/>
      <c r="I369" s="710"/>
      <c r="J369" s="710"/>
      <c r="K369" s="710"/>
      <c r="L369" s="710"/>
      <c r="M369" s="711"/>
      <c r="N369" s="711"/>
    </row>
    <row r="370" spans="1:14" ht="15.75" customHeight="1" x14ac:dyDescent="0.4">
      <c r="A370" s="619"/>
      <c r="B370" s="619"/>
      <c r="C370" s="619"/>
      <c r="D370" s="708"/>
      <c r="E370" s="619"/>
      <c r="F370" s="329"/>
      <c r="G370" s="619"/>
      <c r="H370" s="709"/>
      <c r="I370" s="710"/>
      <c r="J370" s="710"/>
      <c r="K370" s="710"/>
      <c r="L370" s="710"/>
      <c r="M370" s="711"/>
      <c r="N370" s="711"/>
    </row>
    <row r="371" spans="1:14" ht="15.75" customHeight="1" x14ac:dyDescent="0.4">
      <c r="A371" s="619"/>
      <c r="B371" s="619"/>
      <c r="C371" s="619"/>
      <c r="D371" s="708"/>
      <c r="E371" s="619"/>
      <c r="F371" s="329"/>
      <c r="G371" s="619"/>
      <c r="H371" s="709"/>
      <c r="I371" s="710"/>
      <c r="J371" s="710"/>
      <c r="K371" s="710"/>
      <c r="L371" s="710"/>
      <c r="M371" s="711"/>
      <c r="N371" s="711"/>
    </row>
    <row r="372" spans="1:14" ht="15.75" customHeight="1" x14ac:dyDescent="0.4">
      <c r="A372" s="619"/>
      <c r="B372" s="619"/>
      <c r="C372" s="619"/>
      <c r="D372" s="708"/>
      <c r="E372" s="619"/>
      <c r="F372" s="329"/>
      <c r="G372" s="619"/>
      <c r="H372" s="709"/>
      <c r="I372" s="710"/>
      <c r="J372" s="710"/>
      <c r="K372" s="710"/>
      <c r="L372" s="710"/>
      <c r="M372" s="711"/>
      <c r="N372" s="711"/>
    </row>
    <row r="373" spans="1:14" ht="15.75" customHeight="1" x14ac:dyDescent="0.4">
      <c r="A373" s="619"/>
      <c r="B373" s="619"/>
      <c r="C373" s="619"/>
      <c r="D373" s="708"/>
      <c r="E373" s="619"/>
      <c r="F373" s="329"/>
      <c r="G373" s="619"/>
      <c r="H373" s="709"/>
      <c r="I373" s="710"/>
      <c r="J373" s="710"/>
      <c r="K373" s="710"/>
      <c r="L373" s="710"/>
      <c r="M373" s="711"/>
      <c r="N373" s="711"/>
    </row>
    <row r="374" spans="1:14" ht="15.75" customHeight="1" x14ac:dyDescent="0.4">
      <c r="A374" s="619"/>
      <c r="B374" s="619"/>
      <c r="C374" s="619"/>
      <c r="D374" s="708"/>
      <c r="E374" s="619"/>
      <c r="F374" s="329"/>
      <c r="G374" s="619"/>
      <c r="H374" s="709"/>
      <c r="I374" s="710"/>
      <c r="J374" s="710"/>
      <c r="K374" s="710"/>
      <c r="L374" s="710"/>
      <c r="M374" s="711"/>
      <c r="N374" s="711"/>
    </row>
    <row r="375" spans="1:14" ht="15.75" customHeight="1" x14ac:dyDescent="0.4">
      <c r="A375" s="619"/>
      <c r="B375" s="619"/>
      <c r="C375" s="619"/>
      <c r="D375" s="708"/>
      <c r="E375" s="619"/>
      <c r="F375" s="329"/>
      <c r="G375" s="619"/>
      <c r="H375" s="709"/>
      <c r="I375" s="710"/>
      <c r="J375" s="710"/>
      <c r="K375" s="710"/>
      <c r="L375" s="710"/>
      <c r="M375" s="711"/>
      <c r="N375" s="711"/>
    </row>
    <row r="376" spans="1:14" ht="15.75" customHeight="1" x14ac:dyDescent="0.4">
      <c r="A376" s="619"/>
      <c r="B376" s="619"/>
      <c r="C376" s="619"/>
      <c r="D376" s="708"/>
      <c r="E376" s="619"/>
      <c r="F376" s="329"/>
      <c r="G376" s="619"/>
      <c r="H376" s="709"/>
      <c r="I376" s="710"/>
      <c r="J376" s="710"/>
      <c r="K376" s="710"/>
      <c r="L376" s="710"/>
      <c r="M376" s="711"/>
      <c r="N376" s="711"/>
    </row>
    <row r="377" spans="1:14" ht="15.75" customHeight="1" x14ac:dyDescent="0.4">
      <c r="A377" s="619"/>
      <c r="B377" s="619"/>
      <c r="C377" s="619"/>
      <c r="D377" s="708"/>
      <c r="E377" s="619"/>
      <c r="F377" s="329"/>
      <c r="G377" s="619"/>
      <c r="H377" s="709"/>
      <c r="I377" s="710"/>
      <c r="J377" s="710"/>
      <c r="K377" s="710"/>
      <c r="L377" s="710"/>
      <c r="M377" s="711"/>
      <c r="N377" s="711"/>
    </row>
    <row r="378" spans="1:14" ht="15.75" customHeight="1" x14ac:dyDescent="0.4">
      <c r="A378" s="619"/>
      <c r="B378" s="619"/>
      <c r="C378" s="619"/>
      <c r="D378" s="708"/>
      <c r="E378" s="619"/>
      <c r="F378" s="329"/>
      <c r="G378" s="619"/>
      <c r="H378" s="709"/>
      <c r="I378" s="710"/>
      <c r="J378" s="710"/>
      <c r="K378" s="710"/>
      <c r="L378" s="710"/>
      <c r="M378" s="711"/>
      <c r="N378" s="711"/>
    </row>
    <row r="379" spans="1:14" ht="15.75" customHeight="1" x14ac:dyDescent="0.4">
      <c r="A379" s="619"/>
      <c r="B379" s="619"/>
      <c r="C379" s="619"/>
      <c r="D379" s="708"/>
      <c r="E379" s="619"/>
      <c r="F379" s="329"/>
      <c r="G379" s="619"/>
      <c r="H379" s="709"/>
      <c r="I379" s="710"/>
      <c r="J379" s="710"/>
      <c r="K379" s="710"/>
      <c r="L379" s="710"/>
      <c r="M379" s="711"/>
      <c r="N379" s="711"/>
    </row>
    <row r="380" spans="1:14" ht="15.75" customHeight="1" x14ac:dyDescent="0.4">
      <c r="A380" s="619"/>
      <c r="B380" s="619"/>
      <c r="C380" s="619"/>
      <c r="D380" s="708"/>
      <c r="E380" s="619"/>
      <c r="F380" s="329"/>
      <c r="G380" s="619"/>
      <c r="H380" s="709"/>
      <c r="I380" s="710"/>
      <c r="J380" s="710"/>
      <c r="K380" s="710"/>
      <c r="L380" s="710"/>
      <c r="M380" s="711"/>
      <c r="N380" s="711"/>
    </row>
    <row r="381" spans="1:14" ht="15.75" customHeight="1" x14ac:dyDescent="0.4">
      <c r="A381" s="619"/>
      <c r="B381" s="619"/>
      <c r="C381" s="619"/>
      <c r="D381" s="708"/>
      <c r="E381" s="619"/>
      <c r="F381" s="329"/>
      <c r="G381" s="619"/>
      <c r="H381" s="709"/>
      <c r="I381" s="710"/>
      <c r="J381" s="710"/>
      <c r="K381" s="710"/>
      <c r="L381" s="710"/>
      <c r="M381" s="711"/>
      <c r="N381" s="711"/>
    </row>
    <row r="382" spans="1:14" ht="15.75" customHeight="1" x14ac:dyDescent="0.4">
      <c r="A382" s="619"/>
      <c r="B382" s="619"/>
      <c r="C382" s="619"/>
      <c r="D382" s="708"/>
      <c r="E382" s="619"/>
      <c r="F382" s="329"/>
      <c r="G382" s="619"/>
      <c r="H382" s="709"/>
      <c r="I382" s="710"/>
      <c r="J382" s="710"/>
      <c r="K382" s="710"/>
      <c r="L382" s="710"/>
      <c r="M382" s="711"/>
      <c r="N382" s="711"/>
    </row>
    <row r="383" spans="1:14" ht="15.75" customHeight="1" x14ac:dyDescent="0.4">
      <c r="A383" s="619"/>
      <c r="B383" s="619"/>
      <c r="C383" s="619"/>
      <c r="D383" s="708"/>
      <c r="E383" s="619"/>
      <c r="F383" s="329"/>
      <c r="G383" s="619"/>
      <c r="H383" s="709"/>
      <c r="I383" s="710"/>
      <c r="J383" s="710"/>
      <c r="K383" s="710"/>
      <c r="L383" s="710"/>
      <c r="M383" s="711"/>
      <c r="N383" s="711"/>
    </row>
    <row r="384" spans="1:14" ht="15.75" customHeight="1" x14ac:dyDescent="0.4">
      <c r="A384" s="619"/>
      <c r="B384" s="619"/>
      <c r="C384" s="619"/>
      <c r="D384" s="708"/>
      <c r="E384" s="619"/>
      <c r="F384" s="329"/>
      <c r="G384" s="619"/>
      <c r="H384" s="709"/>
      <c r="I384" s="710"/>
      <c r="J384" s="710"/>
      <c r="K384" s="710"/>
      <c r="L384" s="710"/>
      <c r="M384" s="711"/>
      <c r="N384" s="711"/>
    </row>
    <row r="385" spans="1:14" ht="15.75" customHeight="1" x14ac:dyDescent="0.4">
      <c r="A385" s="619"/>
      <c r="B385" s="619"/>
      <c r="C385" s="619"/>
      <c r="D385" s="708"/>
      <c r="E385" s="619"/>
      <c r="F385" s="329"/>
      <c r="G385" s="619"/>
      <c r="H385" s="709"/>
      <c r="I385" s="710"/>
      <c r="J385" s="710"/>
      <c r="K385" s="710"/>
      <c r="L385" s="710"/>
      <c r="M385" s="711"/>
      <c r="N385" s="711"/>
    </row>
    <row r="386" spans="1:14" ht="15.75" customHeight="1" x14ac:dyDescent="0.4">
      <c r="A386" s="619"/>
      <c r="B386" s="619"/>
      <c r="C386" s="619"/>
      <c r="D386" s="708"/>
      <c r="E386" s="619"/>
      <c r="F386" s="329"/>
      <c r="G386" s="619"/>
      <c r="H386" s="709"/>
      <c r="I386" s="710"/>
      <c r="J386" s="710"/>
      <c r="K386" s="710"/>
      <c r="L386" s="710"/>
      <c r="M386" s="711"/>
      <c r="N386" s="711"/>
    </row>
    <row r="387" spans="1:14" ht="15.75" customHeight="1" x14ac:dyDescent="0.4">
      <c r="A387" s="619"/>
      <c r="B387" s="619"/>
      <c r="C387" s="619"/>
      <c r="D387" s="708"/>
      <c r="E387" s="619"/>
      <c r="F387" s="329"/>
      <c r="G387" s="619"/>
      <c r="H387" s="709"/>
      <c r="I387" s="710"/>
      <c r="J387" s="710"/>
      <c r="K387" s="710"/>
      <c r="L387" s="710"/>
      <c r="M387" s="711"/>
      <c r="N387" s="711"/>
    </row>
    <row r="388" spans="1:14" ht="15.75" customHeight="1" x14ac:dyDescent="0.4">
      <c r="A388" s="619"/>
      <c r="B388" s="619"/>
      <c r="C388" s="619"/>
      <c r="D388" s="708"/>
      <c r="E388" s="619"/>
      <c r="F388" s="329"/>
      <c r="G388" s="619"/>
      <c r="H388" s="709"/>
      <c r="I388" s="710"/>
      <c r="J388" s="710"/>
      <c r="K388" s="710"/>
      <c r="L388" s="710"/>
      <c r="M388" s="711"/>
      <c r="N388" s="711"/>
    </row>
    <row r="389" spans="1:14" ht="15.75" customHeight="1" x14ac:dyDescent="0.4">
      <c r="A389" s="619"/>
      <c r="B389" s="619"/>
      <c r="C389" s="619"/>
      <c r="D389" s="708"/>
      <c r="E389" s="619"/>
      <c r="F389" s="329"/>
      <c r="G389" s="619"/>
      <c r="H389" s="709"/>
      <c r="I389" s="710"/>
      <c r="J389" s="710"/>
      <c r="K389" s="710"/>
      <c r="L389" s="710"/>
      <c r="M389" s="711"/>
      <c r="N389" s="711"/>
    </row>
    <row r="390" spans="1:14" ht="15.75" customHeight="1" x14ac:dyDescent="0.4">
      <c r="A390" s="619"/>
      <c r="B390" s="619"/>
      <c r="C390" s="619"/>
      <c r="D390" s="708"/>
      <c r="E390" s="619"/>
      <c r="F390" s="329"/>
      <c r="G390" s="619"/>
      <c r="H390" s="709"/>
      <c r="I390" s="710"/>
      <c r="J390" s="710"/>
      <c r="K390" s="710"/>
      <c r="L390" s="710"/>
      <c r="M390" s="711"/>
      <c r="N390" s="711"/>
    </row>
    <row r="391" spans="1:14" ht="15.75" customHeight="1" x14ac:dyDescent="0.4">
      <c r="A391" s="619"/>
      <c r="B391" s="619"/>
      <c r="C391" s="619"/>
      <c r="D391" s="708"/>
      <c r="E391" s="619"/>
      <c r="F391" s="329"/>
      <c r="G391" s="619"/>
      <c r="H391" s="709"/>
      <c r="I391" s="710"/>
      <c r="J391" s="710"/>
      <c r="K391" s="710"/>
      <c r="L391" s="710"/>
      <c r="M391" s="711"/>
      <c r="N391" s="711"/>
    </row>
    <row r="392" spans="1:14" ht="15.75" customHeight="1" x14ac:dyDescent="0.4">
      <c r="A392" s="619"/>
      <c r="B392" s="619"/>
      <c r="C392" s="619"/>
      <c r="D392" s="708"/>
      <c r="E392" s="619"/>
      <c r="F392" s="329"/>
      <c r="G392" s="619"/>
      <c r="H392" s="709"/>
      <c r="I392" s="710"/>
      <c r="J392" s="710"/>
      <c r="K392" s="710"/>
      <c r="L392" s="710"/>
      <c r="M392" s="711"/>
      <c r="N392" s="711"/>
    </row>
    <row r="393" spans="1:14" ht="15.75" customHeight="1" x14ac:dyDescent="0.4">
      <c r="A393" s="619"/>
      <c r="B393" s="619"/>
      <c r="C393" s="619"/>
      <c r="D393" s="708"/>
      <c r="E393" s="619"/>
      <c r="F393" s="329"/>
      <c r="G393" s="619"/>
      <c r="H393" s="709"/>
      <c r="I393" s="710"/>
      <c r="J393" s="710"/>
      <c r="K393" s="710"/>
      <c r="L393" s="710"/>
      <c r="M393" s="711"/>
      <c r="N393" s="711"/>
    </row>
    <row r="394" spans="1:14" ht="15.75" customHeight="1" x14ac:dyDescent="0.4">
      <c r="A394" s="619"/>
      <c r="B394" s="619"/>
      <c r="C394" s="619"/>
      <c r="D394" s="708"/>
      <c r="E394" s="619"/>
      <c r="F394" s="329"/>
      <c r="G394" s="619"/>
      <c r="H394" s="709"/>
      <c r="I394" s="710"/>
      <c r="J394" s="710"/>
      <c r="K394" s="710"/>
      <c r="L394" s="710"/>
      <c r="M394" s="711"/>
      <c r="N394" s="711"/>
    </row>
    <row r="395" spans="1:14" ht="15.75" customHeight="1" x14ac:dyDescent="0.4">
      <c r="A395" s="619"/>
      <c r="B395" s="619"/>
      <c r="C395" s="619"/>
      <c r="D395" s="708"/>
      <c r="E395" s="619"/>
      <c r="F395" s="329"/>
      <c r="G395" s="619"/>
      <c r="H395" s="709"/>
      <c r="I395" s="710"/>
      <c r="J395" s="710"/>
      <c r="K395" s="710"/>
      <c r="L395" s="710"/>
      <c r="M395" s="711"/>
      <c r="N395" s="711"/>
    </row>
    <row r="396" spans="1:14" ht="15.75" customHeight="1" x14ac:dyDescent="0.4">
      <c r="A396" s="619"/>
      <c r="B396" s="619"/>
      <c r="C396" s="619"/>
      <c r="D396" s="708"/>
      <c r="E396" s="619"/>
      <c r="F396" s="329"/>
      <c r="G396" s="619"/>
      <c r="H396" s="709"/>
      <c r="I396" s="710"/>
      <c r="J396" s="710"/>
      <c r="K396" s="710"/>
      <c r="L396" s="710"/>
      <c r="M396" s="711"/>
      <c r="N396" s="711"/>
    </row>
    <row r="397" spans="1:14" ht="15.75" customHeight="1" x14ac:dyDescent="0.4">
      <c r="A397" s="619"/>
      <c r="B397" s="619"/>
      <c r="C397" s="619"/>
      <c r="D397" s="708"/>
      <c r="E397" s="619"/>
      <c r="F397" s="329"/>
      <c r="G397" s="619"/>
      <c r="H397" s="709"/>
      <c r="I397" s="710"/>
      <c r="J397" s="710"/>
      <c r="K397" s="710"/>
      <c r="L397" s="710"/>
      <c r="M397" s="711"/>
      <c r="N397" s="711"/>
    </row>
    <row r="398" spans="1:14" ht="15.75" customHeight="1" x14ac:dyDescent="0.4">
      <c r="A398" s="619"/>
      <c r="B398" s="619"/>
      <c r="C398" s="619"/>
      <c r="D398" s="708"/>
      <c r="E398" s="619"/>
      <c r="F398" s="329"/>
      <c r="G398" s="619"/>
      <c r="H398" s="709"/>
      <c r="I398" s="710"/>
      <c r="J398" s="710"/>
      <c r="K398" s="710"/>
      <c r="L398" s="710"/>
      <c r="M398" s="711"/>
      <c r="N398" s="711"/>
    </row>
    <row r="399" spans="1:14" ht="15.75" customHeight="1" x14ac:dyDescent="0.4">
      <c r="A399" s="619"/>
      <c r="B399" s="619"/>
      <c r="C399" s="619"/>
      <c r="D399" s="708"/>
      <c r="E399" s="619"/>
      <c r="F399" s="329"/>
      <c r="G399" s="619"/>
      <c r="H399" s="709"/>
      <c r="I399" s="710"/>
      <c r="J399" s="710"/>
      <c r="K399" s="710"/>
      <c r="L399" s="710"/>
      <c r="M399" s="711"/>
      <c r="N399" s="711"/>
    </row>
    <row r="400" spans="1:14" ht="15.75" customHeight="1" x14ac:dyDescent="0.4">
      <c r="A400" s="619"/>
      <c r="B400" s="619"/>
      <c r="C400" s="619"/>
      <c r="D400" s="708"/>
      <c r="E400" s="619"/>
      <c r="F400" s="329"/>
      <c r="G400" s="619"/>
      <c r="H400" s="709"/>
      <c r="I400" s="710"/>
      <c r="J400" s="710"/>
      <c r="K400" s="710"/>
      <c r="L400" s="710"/>
      <c r="M400" s="711"/>
      <c r="N400" s="711"/>
    </row>
    <row r="401" spans="1:14" ht="15.75" customHeight="1" x14ac:dyDescent="0.4">
      <c r="A401" s="619"/>
      <c r="B401" s="619"/>
      <c r="C401" s="619"/>
      <c r="D401" s="708"/>
      <c r="E401" s="619"/>
      <c r="F401" s="329"/>
      <c r="G401" s="619"/>
      <c r="H401" s="709"/>
      <c r="I401" s="710"/>
      <c r="J401" s="710"/>
      <c r="K401" s="710"/>
      <c r="L401" s="710"/>
      <c r="M401" s="711"/>
      <c r="N401" s="711"/>
    </row>
    <row r="402" spans="1:14" ht="15.75" customHeight="1" x14ac:dyDescent="0.4">
      <c r="A402" s="619"/>
      <c r="B402" s="619"/>
      <c r="C402" s="619"/>
      <c r="D402" s="708"/>
      <c r="E402" s="619"/>
      <c r="F402" s="329"/>
      <c r="G402" s="619"/>
      <c r="H402" s="709"/>
      <c r="I402" s="710"/>
      <c r="J402" s="710"/>
      <c r="K402" s="710"/>
      <c r="L402" s="710"/>
      <c r="M402" s="711"/>
      <c r="N402" s="711"/>
    </row>
    <row r="403" spans="1:14" ht="15.75" customHeight="1" x14ac:dyDescent="0.4">
      <c r="A403" s="619"/>
      <c r="B403" s="619"/>
      <c r="C403" s="619"/>
      <c r="D403" s="708"/>
      <c r="E403" s="619"/>
      <c r="F403" s="329"/>
      <c r="G403" s="619"/>
      <c r="H403" s="709"/>
      <c r="I403" s="710"/>
      <c r="J403" s="710"/>
      <c r="K403" s="710"/>
      <c r="L403" s="710"/>
      <c r="M403" s="711"/>
      <c r="N403" s="711"/>
    </row>
    <row r="404" spans="1:14" ht="15.75" customHeight="1" x14ac:dyDescent="0.4">
      <c r="A404" s="619"/>
      <c r="B404" s="619"/>
      <c r="C404" s="619"/>
      <c r="D404" s="708"/>
      <c r="E404" s="619"/>
      <c r="F404" s="329"/>
      <c r="G404" s="619"/>
      <c r="H404" s="709"/>
      <c r="I404" s="710"/>
      <c r="J404" s="710"/>
      <c r="K404" s="710"/>
      <c r="L404" s="710"/>
      <c r="M404" s="711"/>
      <c r="N404" s="711"/>
    </row>
    <row r="405" spans="1:14" ht="15.75" customHeight="1" x14ac:dyDescent="0.4">
      <c r="A405" s="619"/>
      <c r="B405" s="619"/>
      <c r="C405" s="619"/>
      <c r="D405" s="708"/>
      <c r="E405" s="619"/>
      <c r="F405" s="329"/>
      <c r="G405" s="619"/>
      <c r="H405" s="709"/>
      <c r="I405" s="710"/>
      <c r="J405" s="710"/>
      <c r="K405" s="710"/>
      <c r="L405" s="710"/>
      <c r="M405" s="711"/>
      <c r="N405" s="711"/>
    </row>
    <row r="406" spans="1:14" ht="15.75" customHeight="1" x14ac:dyDescent="0.4">
      <c r="A406" s="619"/>
      <c r="B406" s="619"/>
      <c r="C406" s="619"/>
      <c r="D406" s="708"/>
      <c r="E406" s="619"/>
      <c r="F406" s="329"/>
      <c r="G406" s="619"/>
      <c r="H406" s="709"/>
      <c r="I406" s="710"/>
      <c r="J406" s="710"/>
      <c r="K406" s="710"/>
      <c r="L406" s="710"/>
      <c r="M406" s="711"/>
      <c r="N406" s="711"/>
    </row>
    <row r="407" spans="1:14" ht="15.75" customHeight="1" x14ac:dyDescent="0.4">
      <c r="A407" s="619"/>
      <c r="B407" s="619"/>
      <c r="C407" s="619"/>
      <c r="D407" s="708"/>
      <c r="E407" s="619"/>
      <c r="F407" s="329"/>
      <c r="G407" s="619"/>
      <c r="H407" s="709"/>
      <c r="I407" s="710"/>
      <c r="J407" s="710"/>
      <c r="K407" s="710"/>
      <c r="L407" s="710"/>
      <c r="M407" s="711"/>
      <c r="N407" s="711"/>
    </row>
    <row r="408" spans="1:14" ht="15.75" customHeight="1" x14ac:dyDescent="0.4">
      <c r="A408" s="619"/>
      <c r="B408" s="619"/>
      <c r="C408" s="619"/>
      <c r="D408" s="708"/>
      <c r="E408" s="619"/>
      <c r="F408" s="329"/>
      <c r="G408" s="619"/>
      <c r="H408" s="709"/>
      <c r="I408" s="710"/>
      <c r="J408" s="710"/>
      <c r="K408" s="710"/>
      <c r="L408" s="710"/>
      <c r="M408" s="711"/>
      <c r="N408" s="711"/>
    </row>
    <row r="409" spans="1:14" ht="15.75" customHeight="1" x14ac:dyDescent="0.4">
      <c r="A409" s="619"/>
      <c r="B409" s="619"/>
      <c r="C409" s="619"/>
      <c r="D409" s="708"/>
      <c r="E409" s="619"/>
      <c r="F409" s="329"/>
      <c r="G409" s="619"/>
      <c r="H409" s="709"/>
      <c r="I409" s="710"/>
      <c r="J409" s="710"/>
      <c r="K409" s="710"/>
      <c r="L409" s="710"/>
      <c r="M409" s="711"/>
      <c r="N409" s="711"/>
    </row>
    <row r="410" spans="1:14" ht="15.75" customHeight="1" x14ac:dyDescent="0.4">
      <c r="A410" s="619"/>
      <c r="B410" s="619"/>
      <c r="C410" s="619"/>
      <c r="D410" s="708"/>
      <c r="E410" s="619"/>
      <c r="F410" s="329"/>
      <c r="G410" s="619"/>
      <c r="H410" s="709"/>
      <c r="I410" s="710"/>
      <c r="J410" s="710"/>
      <c r="K410" s="710"/>
      <c r="L410" s="710"/>
      <c r="M410" s="711"/>
      <c r="N410" s="711"/>
    </row>
    <row r="411" spans="1:14" ht="15.75" customHeight="1" x14ac:dyDescent="0.4">
      <c r="A411" s="619"/>
      <c r="B411" s="619"/>
      <c r="C411" s="619"/>
      <c r="D411" s="708"/>
      <c r="E411" s="619"/>
      <c r="F411" s="329"/>
      <c r="G411" s="619"/>
      <c r="H411" s="709"/>
      <c r="I411" s="710"/>
      <c r="J411" s="710"/>
      <c r="K411" s="710"/>
      <c r="L411" s="710"/>
      <c r="M411" s="711"/>
      <c r="N411" s="711"/>
    </row>
    <row r="412" spans="1:14" ht="15.75" customHeight="1" x14ac:dyDescent="0.4">
      <c r="A412" s="619"/>
      <c r="B412" s="619"/>
      <c r="C412" s="619"/>
      <c r="D412" s="708"/>
      <c r="E412" s="619"/>
      <c r="F412" s="329"/>
      <c r="G412" s="619"/>
      <c r="H412" s="709"/>
      <c r="I412" s="710"/>
      <c r="J412" s="710"/>
      <c r="K412" s="710"/>
      <c r="L412" s="710"/>
      <c r="M412" s="711"/>
      <c r="N412" s="711"/>
    </row>
    <row r="413" spans="1:14" ht="15.75" customHeight="1" x14ac:dyDescent="0.4">
      <c r="A413" s="619"/>
      <c r="B413" s="619"/>
      <c r="C413" s="619"/>
      <c r="D413" s="708"/>
      <c r="E413" s="619"/>
      <c r="F413" s="329"/>
      <c r="G413" s="619"/>
      <c r="H413" s="709"/>
      <c r="I413" s="710"/>
      <c r="J413" s="710"/>
      <c r="K413" s="710"/>
      <c r="L413" s="710"/>
      <c r="M413" s="711"/>
      <c r="N413" s="711"/>
    </row>
    <row r="414" spans="1:14" ht="15.75" customHeight="1" x14ac:dyDescent="0.4">
      <c r="A414" s="619"/>
      <c r="B414" s="619"/>
      <c r="C414" s="619"/>
      <c r="D414" s="708"/>
      <c r="E414" s="619"/>
      <c r="F414" s="329"/>
      <c r="G414" s="619"/>
      <c r="H414" s="709"/>
      <c r="I414" s="710"/>
      <c r="J414" s="710"/>
      <c r="K414" s="710"/>
      <c r="L414" s="710"/>
      <c r="M414" s="711"/>
      <c r="N414" s="711"/>
    </row>
    <row r="415" spans="1:14" ht="15.75" customHeight="1" x14ac:dyDescent="0.4">
      <c r="A415" s="619"/>
      <c r="B415" s="619"/>
      <c r="C415" s="619"/>
      <c r="D415" s="708"/>
      <c r="E415" s="619"/>
      <c r="F415" s="329"/>
      <c r="G415" s="619"/>
      <c r="H415" s="709"/>
      <c r="I415" s="710"/>
      <c r="J415" s="710"/>
      <c r="K415" s="710"/>
      <c r="L415" s="710"/>
      <c r="M415" s="711"/>
      <c r="N415" s="711"/>
    </row>
    <row r="416" spans="1:14" ht="15.75" customHeight="1" x14ac:dyDescent="0.4">
      <c r="A416" s="619"/>
      <c r="B416" s="619"/>
      <c r="C416" s="619"/>
      <c r="D416" s="708"/>
      <c r="E416" s="619"/>
      <c r="F416" s="329"/>
      <c r="G416" s="619"/>
      <c r="H416" s="709"/>
      <c r="I416" s="710"/>
      <c r="J416" s="710"/>
      <c r="K416" s="710"/>
      <c r="L416" s="710"/>
      <c r="M416" s="711"/>
      <c r="N416" s="711"/>
    </row>
    <row r="417" spans="1:14" ht="15.75" customHeight="1" x14ac:dyDescent="0.4">
      <c r="A417" s="619"/>
      <c r="B417" s="619"/>
      <c r="C417" s="619"/>
      <c r="D417" s="708"/>
      <c r="E417" s="619"/>
      <c r="F417" s="329"/>
      <c r="G417" s="619"/>
      <c r="H417" s="709"/>
      <c r="I417" s="710"/>
      <c r="J417" s="710"/>
      <c r="K417" s="710"/>
      <c r="L417" s="710"/>
      <c r="M417" s="711"/>
      <c r="N417" s="711"/>
    </row>
    <row r="418" spans="1:14" ht="15.75" customHeight="1" x14ac:dyDescent="0.4">
      <c r="A418" s="619"/>
      <c r="B418" s="619"/>
      <c r="C418" s="619"/>
      <c r="D418" s="708"/>
      <c r="E418" s="619"/>
      <c r="F418" s="329"/>
      <c r="G418" s="619"/>
      <c r="H418" s="709"/>
      <c r="I418" s="710"/>
      <c r="J418" s="710"/>
      <c r="K418" s="710"/>
      <c r="L418" s="710"/>
      <c r="M418" s="711"/>
      <c r="N418" s="711"/>
    </row>
    <row r="419" spans="1:14" ht="15.75" customHeight="1" x14ac:dyDescent="0.4">
      <c r="A419" s="619"/>
      <c r="B419" s="619"/>
      <c r="C419" s="619"/>
      <c r="D419" s="708"/>
      <c r="E419" s="619"/>
      <c r="F419" s="329"/>
      <c r="G419" s="619"/>
      <c r="H419" s="709"/>
      <c r="I419" s="710"/>
      <c r="J419" s="710"/>
      <c r="K419" s="710"/>
      <c r="L419" s="710"/>
      <c r="M419" s="711"/>
      <c r="N419" s="711"/>
    </row>
    <row r="420" spans="1:14" ht="15.75" customHeight="1" x14ac:dyDescent="0.4">
      <c r="A420" s="619"/>
      <c r="B420" s="619"/>
      <c r="C420" s="619"/>
      <c r="D420" s="708"/>
      <c r="E420" s="619"/>
      <c r="F420" s="329"/>
      <c r="G420" s="619"/>
      <c r="H420" s="709"/>
      <c r="I420" s="710"/>
      <c r="J420" s="710"/>
      <c r="K420" s="710"/>
      <c r="L420" s="710"/>
      <c r="M420" s="711"/>
      <c r="N420" s="711"/>
    </row>
    <row r="421" spans="1:14" ht="15.75" customHeight="1" x14ac:dyDescent="0.4">
      <c r="A421" s="619"/>
      <c r="B421" s="619"/>
      <c r="C421" s="619"/>
      <c r="D421" s="708"/>
      <c r="E421" s="619"/>
      <c r="F421" s="329"/>
      <c r="G421" s="619"/>
      <c r="H421" s="709"/>
      <c r="I421" s="710"/>
      <c r="J421" s="710"/>
      <c r="K421" s="710"/>
      <c r="L421" s="710"/>
      <c r="M421" s="711"/>
      <c r="N421" s="711"/>
    </row>
    <row r="422" spans="1:14" ht="15.75" customHeight="1" x14ac:dyDescent="0.4">
      <c r="A422" s="619"/>
      <c r="B422" s="619"/>
      <c r="C422" s="619"/>
      <c r="D422" s="708"/>
      <c r="E422" s="619"/>
      <c r="F422" s="329"/>
      <c r="G422" s="619"/>
      <c r="H422" s="709"/>
      <c r="I422" s="710"/>
      <c r="J422" s="710"/>
      <c r="K422" s="710"/>
      <c r="L422" s="710"/>
      <c r="M422" s="711"/>
      <c r="N422" s="711"/>
    </row>
    <row r="423" spans="1:14" ht="15.75" customHeight="1" x14ac:dyDescent="0.4">
      <c r="A423" s="619"/>
      <c r="B423" s="619"/>
      <c r="C423" s="619"/>
      <c r="D423" s="708"/>
      <c r="E423" s="619"/>
      <c r="F423" s="329"/>
      <c r="G423" s="619"/>
      <c r="H423" s="709"/>
      <c r="I423" s="710"/>
      <c r="J423" s="710"/>
      <c r="K423" s="710"/>
      <c r="L423" s="710"/>
      <c r="M423" s="711"/>
      <c r="N423" s="711"/>
    </row>
    <row r="424" spans="1:14" ht="15.75" customHeight="1" x14ac:dyDescent="0.4">
      <c r="A424" s="619"/>
      <c r="B424" s="619"/>
      <c r="C424" s="619"/>
      <c r="D424" s="708"/>
      <c r="E424" s="619"/>
      <c r="F424" s="329"/>
      <c r="G424" s="619"/>
      <c r="H424" s="709"/>
      <c r="I424" s="710"/>
      <c r="J424" s="710"/>
      <c r="K424" s="710"/>
      <c r="L424" s="710"/>
      <c r="M424" s="711"/>
      <c r="N424" s="711"/>
    </row>
    <row r="425" spans="1:14" ht="15.75" customHeight="1" x14ac:dyDescent="0.4">
      <c r="A425" s="619"/>
      <c r="B425" s="619"/>
      <c r="C425" s="619"/>
      <c r="D425" s="708"/>
      <c r="E425" s="619"/>
      <c r="F425" s="329"/>
      <c r="G425" s="619"/>
      <c r="H425" s="709"/>
      <c r="I425" s="710"/>
      <c r="J425" s="710"/>
      <c r="K425" s="710"/>
      <c r="L425" s="710"/>
      <c r="M425" s="711"/>
      <c r="N425" s="711"/>
    </row>
    <row r="426" spans="1:14" ht="15.75" customHeight="1" x14ac:dyDescent="0.4">
      <c r="A426" s="619"/>
      <c r="B426" s="619"/>
      <c r="C426" s="619"/>
      <c r="D426" s="708"/>
      <c r="E426" s="619"/>
      <c r="F426" s="329"/>
      <c r="G426" s="619"/>
      <c r="H426" s="709"/>
      <c r="I426" s="710"/>
      <c r="J426" s="710"/>
      <c r="K426" s="710"/>
      <c r="L426" s="710"/>
      <c r="M426" s="711"/>
      <c r="N426" s="711"/>
    </row>
    <row r="427" spans="1:14" ht="15.75" customHeight="1" x14ac:dyDescent="0.4">
      <c r="A427" s="619"/>
      <c r="B427" s="619"/>
      <c r="C427" s="619"/>
      <c r="D427" s="708"/>
      <c r="E427" s="619"/>
      <c r="F427" s="329"/>
      <c r="G427" s="619"/>
      <c r="H427" s="709"/>
      <c r="I427" s="710"/>
      <c r="J427" s="710"/>
      <c r="K427" s="710"/>
      <c r="L427" s="710"/>
      <c r="M427" s="711"/>
      <c r="N427" s="711"/>
    </row>
    <row r="428" spans="1:14" ht="15.75" customHeight="1" x14ac:dyDescent="0.4">
      <c r="F428" s="330"/>
      <c r="H428" s="713"/>
    </row>
    <row r="429" spans="1:14" ht="15.75" customHeight="1" x14ac:dyDescent="0.4">
      <c r="F429" s="330"/>
      <c r="H429" s="713"/>
    </row>
    <row r="430" spans="1:14" ht="15.75" customHeight="1" x14ac:dyDescent="0.4">
      <c r="F430" s="330"/>
      <c r="H430" s="713"/>
    </row>
    <row r="431" spans="1:14" ht="15.75" customHeight="1" x14ac:dyDescent="0.4">
      <c r="F431" s="330"/>
      <c r="H431" s="713"/>
    </row>
    <row r="432" spans="1:14" ht="15.75" customHeight="1" x14ac:dyDescent="0.4">
      <c r="F432" s="330"/>
      <c r="H432" s="713"/>
    </row>
    <row r="433" spans="6:8" ht="15.75" customHeight="1" x14ac:dyDescent="0.4">
      <c r="F433" s="330"/>
      <c r="H433" s="713"/>
    </row>
    <row r="434" spans="6:8" ht="15.75" customHeight="1" x14ac:dyDescent="0.4">
      <c r="F434" s="330"/>
      <c r="H434" s="713"/>
    </row>
    <row r="435" spans="6:8" ht="15.75" customHeight="1" x14ac:dyDescent="0.4">
      <c r="F435" s="330"/>
      <c r="H435" s="713"/>
    </row>
    <row r="436" spans="6:8" ht="15.75" customHeight="1" x14ac:dyDescent="0.4">
      <c r="F436" s="330"/>
      <c r="H436" s="713"/>
    </row>
    <row r="437" spans="6:8" ht="15.75" customHeight="1" x14ac:dyDescent="0.4">
      <c r="F437" s="330"/>
      <c r="H437" s="713"/>
    </row>
    <row r="438" spans="6:8" ht="15.75" customHeight="1" x14ac:dyDescent="0.4">
      <c r="F438" s="330"/>
      <c r="H438" s="713"/>
    </row>
    <row r="439" spans="6:8" ht="15.75" customHeight="1" x14ac:dyDescent="0.4">
      <c r="F439" s="330"/>
      <c r="H439" s="713"/>
    </row>
    <row r="440" spans="6:8" ht="15.75" customHeight="1" x14ac:dyDescent="0.4">
      <c r="F440" s="330"/>
      <c r="H440" s="713"/>
    </row>
    <row r="441" spans="6:8" ht="15.75" customHeight="1" x14ac:dyDescent="0.4">
      <c r="F441" s="330"/>
      <c r="H441" s="713"/>
    </row>
    <row r="442" spans="6:8" ht="15.75" customHeight="1" x14ac:dyDescent="0.4">
      <c r="F442" s="330"/>
      <c r="H442" s="713"/>
    </row>
    <row r="443" spans="6:8" ht="15.75" customHeight="1" x14ac:dyDescent="0.4">
      <c r="F443" s="330"/>
      <c r="H443" s="713"/>
    </row>
    <row r="444" spans="6:8" ht="15.75" customHeight="1" x14ac:dyDescent="0.4">
      <c r="F444" s="330"/>
      <c r="H444" s="713"/>
    </row>
    <row r="445" spans="6:8" ht="15.75" customHeight="1" x14ac:dyDescent="0.4">
      <c r="F445" s="330"/>
      <c r="H445" s="713"/>
    </row>
    <row r="446" spans="6:8" ht="15.75" customHeight="1" x14ac:dyDescent="0.4">
      <c r="F446" s="330"/>
      <c r="H446" s="713"/>
    </row>
    <row r="447" spans="6:8" ht="15.75" customHeight="1" x14ac:dyDescent="0.4">
      <c r="F447" s="330"/>
      <c r="H447" s="713"/>
    </row>
    <row r="448" spans="6:8" ht="15.75" customHeight="1" x14ac:dyDescent="0.4">
      <c r="F448" s="330"/>
      <c r="H448" s="713"/>
    </row>
    <row r="449" spans="6:8" ht="15.75" customHeight="1" x14ac:dyDescent="0.4">
      <c r="F449" s="330"/>
      <c r="H449" s="713"/>
    </row>
    <row r="450" spans="6:8" ht="15.75" customHeight="1" x14ac:dyDescent="0.4">
      <c r="F450" s="330"/>
      <c r="H450" s="713"/>
    </row>
    <row r="451" spans="6:8" ht="15.75" customHeight="1" x14ac:dyDescent="0.4">
      <c r="F451" s="330"/>
      <c r="H451" s="713"/>
    </row>
    <row r="452" spans="6:8" ht="15.75" customHeight="1" x14ac:dyDescent="0.4">
      <c r="F452" s="330"/>
      <c r="H452" s="713"/>
    </row>
    <row r="453" spans="6:8" ht="15.75" customHeight="1" x14ac:dyDescent="0.4">
      <c r="F453" s="330"/>
      <c r="H453" s="713"/>
    </row>
    <row r="454" spans="6:8" ht="15.75" customHeight="1" x14ac:dyDescent="0.4">
      <c r="F454" s="330"/>
      <c r="H454" s="713"/>
    </row>
    <row r="455" spans="6:8" ht="15.75" customHeight="1" x14ac:dyDescent="0.4">
      <c r="F455" s="330"/>
      <c r="H455" s="713"/>
    </row>
    <row r="456" spans="6:8" ht="15.75" customHeight="1" x14ac:dyDescent="0.4">
      <c r="F456" s="330"/>
      <c r="H456" s="713"/>
    </row>
    <row r="457" spans="6:8" ht="15.75" customHeight="1" x14ac:dyDescent="0.4">
      <c r="F457" s="330"/>
      <c r="H457" s="713"/>
    </row>
    <row r="458" spans="6:8" ht="15.75" customHeight="1" x14ac:dyDescent="0.4">
      <c r="F458" s="330"/>
      <c r="H458" s="713"/>
    </row>
    <row r="459" spans="6:8" ht="15.75" customHeight="1" x14ac:dyDescent="0.4">
      <c r="F459" s="330"/>
      <c r="H459" s="713"/>
    </row>
    <row r="460" spans="6:8" ht="15.75" customHeight="1" x14ac:dyDescent="0.4">
      <c r="F460" s="330"/>
      <c r="H460" s="713"/>
    </row>
    <row r="461" spans="6:8" ht="15.75" customHeight="1" x14ac:dyDescent="0.4">
      <c r="F461" s="330"/>
      <c r="H461" s="713"/>
    </row>
    <row r="462" spans="6:8" ht="15.75" customHeight="1" x14ac:dyDescent="0.4">
      <c r="F462" s="330"/>
      <c r="H462" s="713"/>
    </row>
    <row r="463" spans="6:8" ht="15.75" customHeight="1" x14ac:dyDescent="0.4">
      <c r="F463" s="330"/>
      <c r="H463" s="713"/>
    </row>
    <row r="464" spans="6:8" ht="15.75" customHeight="1" x14ac:dyDescent="0.4">
      <c r="F464" s="330"/>
      <c r="H464" s="713"/>
    </row>
    <row r="465" spans="6:8" ht="15.75" customHeight="1" x14ac:dyDescent="0.4">
      <c r="F465" s="330"/>
      <c r="H465" s="713"/>
    </row>
    <row r="466" spans="6:8" ht="15.75" customHeight="1" x14ac:dyDescent="0.4">
      <c r="F466" s="330"/>
      <c r="H466" s="713"/>
    </row>
    <row r="467" spans="6:8" ht="15.75" customHeight="1" x14ac:dyDescent="0.4">
      <c r="F467" s="330"/>
      <c r="H467" s="713"/>
    </row>
    <row r="468" spans="6:8" ht="15.75" customHeight="1" x14ac:dyDescent="0.4">
      <c r="F468" s="330"/>
      <c r="H468" s="713"/>
    </row>
    <row r="469" spans="6:8" ht="15.75" customHeight="1" x14ac:dyDescent="0.4">
      <c r="F469" s="330"/>
      <c r="H469" s="713"/>
    </row>
    <row r="470" spans="6:8" ht="15.75" customHeight="1" x14ac:dyDescent="0.4">
      <c r="F470" s="330"/>
      <c r="H470" s="713"/>
    </row>
    <row r="471" spans="6:8" ht="15.75" customHeight="1" x14ac:dyDescent="0.4">
      <c r="F471" s="330"/>
      <c r="H471" s="713"/>
    </row>
    <row r="472" spans="6:8" ht="15.75" customHeight="1" x14ac:dyDescent="0.4">
      <c r="F472" s="330"/>
      <c r="H472" s="713"/>
    </row>
    <row r="473" spans="6:8" ht="15.75" customHeight="1" x14ac:dyDescent="0.4">
      <c r="F473" s="330"/>
      <c r="H473" s="713"/>
    </row>
    <row r="474" spans="6:8" ht="15.75" customHeight="1" x14ac:dyDescent="0.4">
      <c r="F474" s="330"/>
      <c r="H474" s="713"/>
    </row>
    <row r="475" spans="6:8" ht="15.75" customHeight="1" x14ac:dyDescent="0.4">
      <c r="F475" s="330"/>
      <c r="H475" s="713"/>
    </row>
    <row r="476" spans="6:8" ht="15.75" customHeight="1" x14ac:dyDescent="0.4">
      <c r="F476" s="330"/>
      <c r="H476" s="713"/>
    </row>
    <row r="477" spans="6:8" ht="15.75" customHeight="1" x14ac:dyDescent="0.4">
      <c r="F477" s="330"/>
      <c r="H477" s="713"/>
    </row>
    <row r="478" spans="6:8" ht="15.75" customHeight="1" x14ac:dyDescent="0.4">
      <c r="F478" s="330"/>
      <c r="H478" s="713"/>
    </row>
    <row r="479" spans="6:8" ht="15.75" customHeight="1" x14ac:dyDescent="0.4">
      <c r="F479" s="330"/>
      <c r="H479" s="713"/>
    </row>
    <row r="480" spans="6:8" ht="15.75" customHeight="1" x14ac:dyDescent="0.4">
      <c r="F480" s="330"/>
      <c r="H480" s="713"/>
    </row>
    <row r="481" spans="6:8" ht="15.75" customHeight="1" x14ac:dyDescent="0.4">
      <c r="F481" s="330"/>
      <c r="H481" s="713"/>
    </row>
    <row r="482" spans="6:8" ht="15.75" customHeight="1" x14ac:dyDescent="0.4">
      <c r="F482" s="330"/>
      <c r="H482" s="713"/>
    </row>
    <row r="483" spans="6:8" ht="15.75" customHeight="1" x14ac:dyDescent="0.4">
      <c r="F483" s="330"/>
      <c r="H483" s="713"/>
    </row>
    <row r="484" spans="6:8" ht="15.75" customHeight="1" x14ac:dyDescent="0.4">
      <c r="F484" s="330"/>
      <c r="H484" s="713"/>
    </row>
    <row r="485" spans="6:8" ht="15.75" customHeight="1" x14ac:dyDescent="0.4">
      <c r="F485" s="330"/>
      <c r="H485" s="713"/>
    </row>
    <row r="486" spans="6:8" ht="15.75" customHeight="1" x14ac:dyDescent="0.4">
      <c r="F486" s="330"/>
      <c r="H486" s="713"/>
    </row>
    <row r="487" spans="6:8" ht="15.75" customHeight="1" x14ac:dyDescent="0.4">
      <c r="F487" s="330"/>
      <c r="H487" s="713"/>
    </row>
    <row r="488" spans="6:8" ht="15.75" customHeight="1" x14ac:dyDescent="0.4">
      <c r="F488" s="330"/>
      <c r="H488" s="713"/>
    </row>
    <row r="489" spans="6:8" ht="15.75" customHeight="1" x14ac:dyDescent="0.4">
      <c r="F489" s="330"/>
      <c r="H489" s="713"/>
    </row>
    <row r="490" spans="6:8" ht="15.75" customHeight="1" x14ac:dyDescent="0.4">
      <c r="F490" s="330"/>
      <c r="H490" s="713"/>
    </row>
    <row r="491" spans="6:8" ht="15.75" customHeight="1" x14ac:dyDescent="0.4">
      <c r="F491" s="330"/>
      <c r="H491" s="713"/>
    </row>
    <row r="492" spans="6:8" ht="15.75" customHeight="1" x14ac:dyDescent="0.4">
      <c r="F492" s="330"/>
      <c r="H492" s="713"/>
    </row>
    <row r="493" spans="6:8" ht="15.75" customHeight="1" x14ac:dyDescent="0.4">
      <c r="F493" s="330"/>
      <c r="H493" s="713"/>
    </row>
    <row r="494" spans="6:8" ht="15.75" customHeight="1" x14ac:dyDescent="0.4">
      <c r="F494" s="330"/>
      <c r="H494" s="713"/>
    </row>
    <row r="495" spans="6:8" ht="15.75" customHeight="1" x14ac:dyDescent="0.4">
      <c r="F495" s="330"/>
      <c r="H495" s="713"/>
    </row>
    <row r="496" spans="6:8" ht="15.75" customHeight="1" x14ac:dyDescent="0.4">
      <c r="F496" s="330"/>
      <c r="H496" s="713"/>
    </row>
    <row r="497" spans="6:8" ht="15.75" customHeight="1" x14ac:dyDescent="0.4">
      <c r="F497" s="330"/>
      <c r="H497" s="713"/>
    </row>
    <row r="498" spans="6:8" ht="15.75" customHeight="1" x14ac:dyDescent="0.4">
      <c r="F498" s="330"/>
      <c r="H498" s="713"/>
    </row>
    <row r="499" spans="6:8" ht="15.75" customHeight="1" x14ac:dyDescent="0.4">
      <c r="F499" s="330"/>
      <c r="H499" s="713"/>
    </row>
    <row r="500" spans="6:8" ht="15.75" customHeight="1" x14ac:dyDescent="0.4">
      <c r="F500" s="330"/>
      <c r="H500" s="713"/>
    </row>
    <row r="501" spans="6:8" ht="15.75" customHeight="1" x14ac:dyDescent="0.4">
      <c r="F501" s="330"/>
      <c r="H501" s="713"/>
    </row>
    <row r="502" spans="6:8" ht="15.75" customHeight="1" x14ac:dyDescent="0.4">
      <c r="F502" s="330"/>
      <c r="H502" s="713"/>
    </row>
    <row r="503" spans="6:8" ht="15.75" customHeight="1" x14ac:dyDescent="0.4">
      <c r="F503" s="330"/>
      <c r="H503" s="713"/>
    </row>
    <row r="504" spans="6:8" ht="15.75" customHeight="1" x14ac:dyDescent="0.4">
      <c r="F504" s="330"/>
      <c r="H504" s="713"/>
    </row>
    <row r="505" spans="6:8" ht="15.75" customHeight="1" x14ac:dyDescent="0.4">
      <c r="F505" s="330"/>
      <c r="H505" s="713"/>
    </row>
    <row r="506" spans="6:8" ht="15.75" customHeight="1" x14ac:dyDescent="0.4">
      <c r="F506" s="330"/>
      <c r="H506" s="713"/>
    </row>
    <row r="507" spans="6:8" ht="15.75" customHeight="1" x14ac:dyDescent="0.4">
      <c r="F507" s="330"/>
      <c r="H507" s="713"/>
    </row>
    <row r="508" spans="6:8" ht="15.75" customHeight="1" x14ac:dyDescent="0.4">
      <c r="F508" s="330"/>
      <c r="H508" s="713"/>
    </row>
    <row r="509" spans="6:8" ht="15.75" customHeight="1" x14ac:dyDescent="0.4">
      <c r="F509" s="330"/>
      <c r="H509" s="713"/>
    </row>
    <row r="510" spans="6:8" ht="15.75" customHeight="1" x14ac:dyDescent="0.4">
      <c r="F510" s="330"/>
      <c r="H510" s="713"/>
    </row>
    <row r="511" spans="6:8" ht="15.75" customHeight="1" x14ac:dyDescent="0.4">
      <c r="F511" s="330"/>
      <c r="H511" s="713"/>
    </row>
    <row r="512" spans="6:8" ht="15.75" customHeight="1" x14ac:dyDescent="0.4">
      <c r="F512" s="330"/>
      <c r="H512" s="713"/>
    </row>
    <row r="513" spans="6:8" ht="15.75" customHeight="1" x14ac:dyDescent="0.4">
      <c r="F513" s="330"/>
      <c r="H513" s="713"/>
    </row>
    <row r="514" spans="6:8" ht="15.75" customHeight="1" x14ac:dyDescent="0.4">
      <c r="F514" s="330"/>
      <c r="H514" s="713"/>
    </row>
    <row r="515" spans="6:8" ht="15.75" customHeight="1" x14ac:dyDescent="0.4">
      <c r="F515" s="330"/>
      <c r="H515" s="713"/>
    </row>
    <row r="516" spans="6:8" ht="15.75" customHeight="1" x14ac:dyDescent="0.4">
      <c r="F516" s="330"/>
      <c r="H516" s="713"/>
    </row>
    <row r="517" spans="6:8" ht="15.75" customHeight="1" x14ac:dyDescent="0.4">
      <c r="F517" s="330"/>
      <c r="H517" s="713"/>
    </row>
    <row r="518" spans="6:8" ht="15.75" customHeight="1" x14ac:dyDescent="0.4">
      <c r="F518" s="330"/>
      <c r="H518" s="713"/>
    </row>
    <row r="519" spans="6:8" ht="15.75" customHeight="1" x14ac:dyDescent="0.4">
      <c r="F519" s="330"/>
      <c r="H519" s="713"/>
    </row>
    <row r="520" spans="6:8" ht="15.75" customHeight="1" x14ac:dyDescent="0.4">
      <c r="F520" s="330"/>
      <c r="H520" s="713"/>
    </row>
    <row r="521" spans="6:8" ht="15.75" customHeight="1" x14ac:dyDescent="0.4">
      <c r="F521" s="330"/>
      <c r="H521" s="713"/>
    </row>
    <row r="522" spans="6:8" ht="15.75" customHeight="1" x14ac:dyDescent="0.4">
      <c r="F522" s="330"/>
      <c r="H522" s="713"/>
    </row>
    <row r="523" spans="6:8" ht="15.75" customHeight="1" x14ac:dyDescent="0.4">
      <c r="F523" s="330"/>
      <c r="H523" s="713"/>
    </row>
    <row r="524" spans="6:8" ht="15.75" customHeight="1" x14ac:dyDescent="0.4">
      <c r="F524" s="330"/>
      <c r="H524" s="713"/>
    </row>
    <row r="525" spans="6:8" ht="15.75" customHeight="1" x14ac:dyDescent="0.4">
      <c r="F525" s="330"/>
      <c r="H525" s="713"/>
    </row>
    <row r="526" spans="6:8" ht="15.75" customHeight="1" x14ac:dyDescent="0.4">
      <c r="F526" s="330"/>
      <c r="H526" s="713"/>
    </row>
    <row r="527" spans="6:8" ht="15.75" customHeight="1" x14ac:dyDescent="0.4">
      <c r="F527" s="330"/>
      <c r="H527" s="713"/>
    </row>
    <row r="528" spans="6:8" ht="15.75" customHeight="1" x14ac:dyDescent="0.4">
      <c r="F528" s="330"/>
      <c r="H528" s="713"/>
    </row>
    <row r="529" spans="6:8" ht="15.75" customHeight="1" x14ac:dyDescent="0.4">
      <c r="F529" s="330"/>
      <c r="H529" s="713"/>
    </row>
    <row r="530" spans="6:8" ht="15.75" customHeight="1" x14ac:dyDescent="0.4">
      <c r="F530" s="330"/>
      <c r="H530" s="713"/>
    </row>
    <row r="531" spans="6:8" ht="15.75" customHeight="1" x14ac:dyDescent="0.4">
      <c r="F531" s="330"/>
      <c r="H531" s="713"/>
    </row>
    <row r="532" spans="6:8" ht="15.75" customHeight="1" x14ac:dyDescent="0.4">
      <c r="F532" s="330"/>
      <c r="H532" s="713"/>
    </row>
    <row r="533" spans="6:8" ht="15.75" customHeight="1" x14ac:dyDescent="0.4">
      <c r="F533" s="330"/>
      <c r="H533" s="713"/>
    </row>
    <row r="534" spans="6:8" ht="15.75" customHeight="1" x14ac:dyDescent="0.4">
      <c r="F534" s="330"/>
      <c r="H534" s="713"/>
    </row>
    <row r="535" spans="6:8" ht="15.75" customHeight="1" x14ac:dyDescent="0.4">
      <c r="F535" s="330"/>
      <c r="H535" s="713"/>
    </row>
    <row r="536" spans="6:8" ht="15.75" customHeight="1" x14ac:dyDescent="0.4">
      <c r="F536" s="330"/>
      <c r="H536" s="713"/>
    </row>
    <row r="537" spans="6:8" ht="15.75" customHeight="1" x14ac:dyDescent="0.4">
      <c r="F537" s="330"/>
      <c r="H537" s="713"/>
    </row>
    <row r="538" spans="6:8" ht="15.75" customHeight="1" x14ac:dyDescent="0.4">
      <c r="F538" s="330"/>
      <c r="H538" s="713"/>
    </row>
    <row r="539" spans="6:8" ht="15.75" customHeight="1" x14ac:dyDescent="0.4">
      <c r="F539" s="330"/>
      <c r="H539" s="713"/>
    </row>
    <row r="540" spans="6:8" ht="15.75" customHeight="1" x14ac:dyDescent="0.4">
      <c r="F540" s="330"/>
      <c r="H540" s="713"/>
    </row>
    <row r="541" spans="6:8" ht="15.75" customHeight="1" x14ac:dyDescent="0.4">
      <c r="F541" s="330"/>
      <c r="H541" s="713"/>
    </row>
    <row r="542" spans="6:8" ht="15.75" customHeight="1" x14ac:dyDescent="0.4">
      <c r="F542" s="330"/>
      <c r="H542" s="713"/>
    </row>
    <row r="543" spans="6:8" ht="15.75" customHeight="1" x14ac:dyDescent="0.4">
      <c r="F543" s="330"/>
      <c r="H543" s="713"/>
    </row>
    <row r="544" spans="6:8" ht="15.75" customHeight="1" x14ac:dyDescent="0.4">
      <c r="F544" s="330"/>
      <c r="H544" s="713"/>
    </row>
    <row r="545" spans="6:8" ht="15.75" customHeight="1" x14ac:dyDescent="0.4">
      <c r="F545" s="330"/>
      <c r="H545" s="713"/>
    </row>
    <row r="546" spans="6:8" ht="15.75" customHeight="1" x14ac:dyDescent="0.4">
      <c r="F546" s="330"/>
      <c r="H546" s="713"/>
    </row>
    <row r="547" spans="6:8" ht="15.75" customHeight="1" x14ac:dyDescent="0.4">
      <c r="F547" s="330"/>
      <c r="H547" s="713"/>
    </row>
    <row r="548" spans="6:8" ht="15.75" customHeight="1" x14ac:dyDescent="0.4">
      <c r="F548" s="330"/>
      <c r="H548" s="713"/>
    </row>
    <row r="549" spans="6:8" ht="15.75" customHeight="1" x14ac:dyDescent="0.4">
      <c r="F549" s="330"/>
      <c r="H549" s="713"/>
    </row>
    <row r="550" spans="6:8" ht="15.75" customHeight="1" x14ac:dyDescent="0.4">
      <c r="F550" s="330"/>
      <c r="H550" s="713"/>
    </row>
    <row r="551" spans="6:8" ht="15.75" customHeight="1" x14ac:dyDescent="0.4">
      <c r="F551" s="330"/>
      <c r="H551" s="713"/>
    </row>
    <row r="552" spans="6:8" ht="15.75" customHeight="1" x14ac:dyDescent="0.4">
      <c r="F552" s="330"/>
      <c r="H552" s="713"/>
    </row>
    <row r="553" spans="6:8" ht="15.75" customHeight="1" x14ac:dyDescent="0.4">
      <c r="F553" s="330"/>
      <c r="H553" s="713"/>
    </row>
    <row r="554" spans="6:8" ht="15.75" customHeight="1" x14ac:dyDescent="0.4">
      <c r="F554" s="330"/>
      <c r="H554" s="713"/>
    </row>
    <row r="555" spans="6:8" ht="15.75" customHeight="1" x14ac:dyDescent="0.4">
      <c r="F555" s="330"/>
      <c r="H555" s="713"/>
    </row>
    <row r="556" spans="6:8" ht="15.75" customHeight="1" x14ac:dyDescent="0.4">
      <c r="F556" s="330"/>
      <c r="H556" s="713"/>
    </row>
    <row r="557" spans="6:8" ht="15.75" customHeight="1" x14ac:dyDescent="0.4">
      <c r="F557" s="330"/>
      <c r="H557" s="713"/>
    </row>
    <row r="558" spans="6:8" ht="15.75" customHeight="1" x14ac:dyDescent="0.4">
      <c r="F558" s="330"/>
      <c r="H558" s="713"/>
    </row>
    <row r="559" spans="6:8" ht="15.75" customHeight="1" x14ac:dyDescent="0.4">
      <c r="F559" s="330"/>
      <c r="H559" s="713"/>
    </row>
    <row r="560" spans="6:8" ht="15.75" customHeight="1" x14ac:dyDescent="0.4">
      <c r="F560" s="330"/>
      <c r="H560" s="713"/>
    </row>
    <row r="561" spans="6:8" ht="15.75" customHeight="1" x14ac:dyDescent="0.4">
      <c r="F561" s="330"/>
      <c r="H561" s="713"/>
    </row>
    <row r="562" spans="6:8" ht="15.75" customHeight="1" x14ac:dyDescent="0.4">
      <c r="F562" s="330"/>
      <c r="H562" s="713"/>
    </row>
    <row r="563" spans="6:8" ht="15.75" customHeight="1" x14ac:dyDescent="0.4">
      <c r="F563" s="330"/>
      <c r="H563" s="713"/>
    </row>
    <row r="564" spans="6:8" ht="15.75" customHeight="1" x14ac:dyDescent="0.4">
      <c r="F564" s="330"/>
      <c r="H564" s="713"/>
    </row>
    <row r="565" spans="6:8" ht="15.75" customHeight="1" x14ac:dyDescent="0.4">
      <c r="F565" s="330"/>
      <c r="H565" s="713"/>
    </row>
    <row r="566" spans="6:8" ht="15.75" customHeight="1" x14ac:dyDescent="0.4">
      <c r="F566" s="330"/>
      <c r="H566" s="713"/>
    </row>
    <row r="567" spans="6:8" ht="15.75" customHeight="1" x14ac:dyDescent="0.4">
      <c r="F567" s="330"/>
      <c r="H567" s="713"/>
    </row>
    <row r="568" spans="6:8" ht="15.75" customHeight="1" x14ac:dyDescent="0.4">
      <c r="F568" s="330"/>
      <c r="H568" s="713"/>
    </row>
    <row r="569" spans="6:8" ht="15.75" customHeight="1" x14ac:dyDescent="0.4">
      <c r="F569" s="330"/>
      <c r="H569" s="713"/>
    </row>
    <row r="570" spans="6:8" ht="15.75" customHeight="1" x14ac:dyDescent="0.4">
      <c r="F570" s="330"/>
      <c r="H570" s="713"/>
    </row>
    <row r="571" spans="6:8" ht="15.75" customHeight="1" x14ac:dyDescent="0.4">
      <c r="F571" s="330"/>
      <c r="H571" s="713"/>
    </row>
    <row r="572" spans="6:8" ht="15.75" customHeight="1" x14ac:dyDescent="0.4">
      <c r="F572" s="330"/>
      <c r="H572" s="713"/>
    </row>
    <row r="573" spans="6:8" ht="15.75" customHeight="1" x14ac:dyDescent="0.4">
      <c r="F573" s="330"/>
      <c r="H573" s="713"/>
    </row>
    <row r="574" spans="6:8" ht="15.75" customHeight="1" x14ac:dyDescent="0.4">
      <c r="F574" s="330"/>
      <c r="H574" s="713"/>
    </row>
    <row r="575" spans="6:8" ht="15.75" customHeight="1" x14ac:dyDescent="0.4">
      <c r="F575" s="330"/>
      <c r="H575" s="713"/>
    </row>
    <row r="576" spans="6:8" ht="15.75" customHeight="1" x14ac:dyDescent="0.4">
      <c r="F576" s="330"/>
      <c r="H576" s="713"/>
    </row>
    <row r="577" spans="6:8" ht="15.75" customHeight="1" x14ac:dyDescent="0.4">
      <c r="F577" s="330"/>
      <c r="H577" s="713"/>
    </row>
    <row r="578" spans="6:8" ht="15.75" customHeight="1" x14ac:dyDescent="0.4">
      <c r="F578" s="330"/>
      <c r="H578" s="713"/>
    </row>
    <row r="579" spans="6:8" ht="15.75" customHeight="1" x14ac:dyDescent="0.4">
      <c r="F579" s="330"/>
      <c r="H579" s="713"/>
    </row>
    <row r="580" spans="6:8" ht="15.75" customHeight="1" x14ac:dyDescent="0.4">
      <c r="F580" s="330"/>
      <c r="H580" s="713"/>
    </row>
    <row r="581" spans="6:8" ht="15.75" customHeight="1" x14ac:dyDescent="0.4">
      <c r="F581" s="330"/>
      <c r="H581" s="713"/>
    </row>
    <row r="582" spans="6:8" ht="15.75" customHeight="1" x14ac:dyDescent="0.4">
      <c r="F582" s="330"/>
      <c r="H582" s="713"/>
    </row>
    <row r="583" spans="6:8" ht="15.75" customHeight="1" x14ac:dyDescent="0.4">
      <c r="F583" s="330"/>
      <c r="H583" s="713"/>
    </row>
    <row r="584" spans="6:8" ht="15.75" customHeight="1" x14ac:dyDescent="0.4">
      <c r="F584" s="330"/>
      <c r="H584" s="713"/>
    </row>
    <row r="585" spans="6:8" ht="15.75" customHeight="1" x14ac:dyDescent="0.4">
      <c r="F585" s="330"/>
      <c r="H585" s="713"/>
    </row>
    <row r="586" spans="6:8" ht="15.75" customHeight="1" x14ac:dyDescent="0.4">
      <c r="F586" s="330"/>
      <c r="H586" s="713"/>
    </row>
    <row r="587" spans="6:8" ht="15.75" customHeight="1" x14ac:dyDescent="0.4">
      <c r="F587" s="330"/>
      <c r="H587" s="713"/>
    </row>
    <row r="588" spans="6:8" ht="15.75" customHeight="1" x14ac:dyDescent="0.4">
      <c r="F588" s="330"/>
      <c r="H588" s="713"/>
    </row>
    <row r="589" spans="6:8" ht="15.75" customHeight="1" x14ac:dyDescent="0.4">
      <c r="F589" s="330"/>
      <c r="H589" s="713"/>
    </row>
    <row r="590" spans="6:8" ht="15.75" customHeight="1" x14ac:dyDescent="0.4">
      <c r="F590" s="330"/>
      <c r="H590" s="713"/>
    </row>
    <row r="591" spans="6:8" ht="15.75" customHeight="1" x14ac:dyDescent="0.4">
      <c r="F591" s="330"/>
      <c r="H591" s="713"/>
    </row>
    <row r="592" spans="6:8" ht="15.75" customHeight="1" x14ac:dyDescent="0.4">
      <c r="F592" s="330"/>
      <c r="H592" s="713"/>
    </row>
    <row r="593" spans="6:8" ht="15.75" customHeight="1" x14ac:dyDescent="0.4">
      <c r="F593" s="330"/>
      <c r="H593" s="713"/>
    </row>
    <row r="594" spans="6:8" ht="15.75" customHeight="1" x14ac:dyDescent="0.4">
      <c r="F594" s="330"/>
      <c r="H594" s="713"/>
    </row>
    <row r="595" spans="6:8" ht="15.75" customHeight="1" x14ac:dyDescent="0.4">
      <c r="F595" s="330"/>
      <c r="H595" s="713"/>
    </row>
    <row r="596" spans="6:8" ht="15.75" customHeight="1" x14ac:dyDescent="0.4">
      <c r="F596" s="330"/>
      <c r="H596" s="713"/>
    </row>
    <row r="597" spans="6:8" ht="15.75" customHeight="1" x14ac:dyDescent="0.4">
      <c r="F597" s="330"/>
      <c r="H597" s="713"/>
    </row>
    <row r="598" spans="6:8" ht="15.75" customHeight="1" x14ac:dyDescent="0.4">
      <c r="F598" s="330"/>
      <c r="H598" s="713"/>
    </row>
    <row r="599" spans="6:8" ht="15.75" customHeight="1" x14ac:dyDescent="0.4">
      <c r="F599" s="330"/>
      <c r="H599" s="713"/>
    </row>
    <row r="600" spans="6:8" ht="15.75" customHeight="1" x14ac:dyDescent="0.4">
      <c r="F600" s="330"/>
      <c r="H600" s="713"/>
    </row>
    <row r="601" spans="6:8" ht="15.75" customHeight="1" x14ac:dyDescent="0.4">
      <c r="F601" s="330"/>
      <c r="H601" s="713"/>
    </row>
    <row r="602" spans="6:8" ht="15.75" customHeight="1" x14ac:dyDescent="0.4">
      <c r="F602" s="330"/>
      <c r="H602" s="713"/>
    </row>
    <row r="603" spans="6:8" ht="15.75" customHeight="1" x14ac:dyDescent="0.4">
      <c r="F603" s="330"/>
      <c r="H603" s="713"/>
    </row>
    <row r="604" spans="6:8" ht="15.75" customHeight="1" x14ac:dyDescent="0.4">
      <c r="F604" s="330"/>
      <c r="H604" s="713"/>
    </row>
    <row r="605" spans="6:8" ht="15.75" customHeight="1" x14ac:dyDescent="0.4">
      <c r="F605" s="330"/>
      <c r="H605" s="713"/>
    </row>
    <row r="606" spans="6:8" ht="15.75" customHeight="1" x14ac:dyDescent="0.4">
      <c r="F606" s="330"/>
      <c r="H606" s="713"/>
    </row>
    <row r="607" spans="6:8" ht="15.75" customHeight="1" x14ac:dyDescent="0.4">
      <c r="F607" s="330"/>
      <c r="H607" s="713"/>
    </row>
    <row r="608" spans="6:8" ht="15.75" customHeight="1" x14ac:dyDescent="0.4">
      <c r="F608" s="330"/>
      <c r="H608" s="713"/>
    </row>
    <row r="609" spans="6:8" ht="15.75" customHeight="1" x14ac:dyDescent="0.4">
      <c r="F609" s="330"/>
      <c r="H609" s="713"/>
    </row>
    <row r="610" spans="6:8" ht="15.75" customHeight="1" x14ac:dyDescent="0.4">
      <c r="F610" s="330"/>
      <c r="H610" s="713"/>
    </row>
    <row r="611" spans="6:8" ht="15.75" customHeight="1" x14ac:dyDescent="0.4">
      <c r="F611" s="330"/>
      <c r="H611" s="713"/>
    </row>
    <row r="612" spans="6:8" ht="15.75" customHeight="1" x14ac:dyDescent="0.4">
      <c r="F612" s="330"/>
      <c r="H612" s="713"/>
    </row>
    <row r="613" spans="6:8" ht="15.75" customHeight="1" x14ac:dyDescent="0.4">
      <c r="F613" s="330"/>
      <c r="H613" s="713"/>
    </row>
    <row r="614" spans="6:8" ht="15.75" customHeight="1" x14ac:dyDescent="0.4">
      <c r="F614" s="330"/>
      <c r="H614" s="713"/>
    </row>
    <row r="615" spans="6:8" ht="15.75" customHeight="1" x14ac:dyDescent="0.4">
      <c r="F615" s="330"/>
      <c r="H615" s="713"/>
    </row>
    <row r="616" spans="6:8" ht="15.75" customHeight="1" x14ac:dyDescent="0.4">
      <c r="F616" s="330"/>
      <c r="H616" s="713"/>
    </row>
    <row r="617" spans="6:8" ht="15.75" customHeight="1" x14ac:dyDescent="0.4">
      <c r="F617" s="330"/>
      <c r="H617" s="713"/>
    </row>
    <row r="618" spans="6:8" ht="15.75" customHeight="1" x14ac:dyDescent="0.4">
      <c r="F618" s="330"/>
      <c r="H618" s="713"/>
    </row>
    <row r="619" spans="6:8" ht="15.75" customHeight="1" x14ac:dyDescent="0.4">
      <c r="F619" s="330"/>
      <c r="H619" s="713"/>
    </row>
    <row r="620" spans="6:8" ht="15.75" customHeight="1" x14ac:dyDescent="0.4">
      <c r="F620" s="330"/>
      <c r="H620" s="713"/>
    </row>
    <row r="621" spans="6:8" ht="15.75" customHeight="1" x14ac:dyDescent="0.4">
      <c r="F621" s="330"/>
      <c r="H621" s="713"/>
    </row>
    <row r="622" spans="6:8" ht="15.75" customHeight="1" x14ac:dyDescent="0.4">
      <c r="F622" s="330"/>
      <c r="H622" s="713"/>
    </row>
    <row r="623" spans="6:8" ht="15.75" customHeight="1" x14ac:dyDescent="0.4">
      <c r="F623" s="330"/>
      <c r="H623" s="713"/>
    </row>
    <row r="624" spans="6:8" ht="15.75" customHeight="1" x14ac:dyDescent="0.4">
      <c r="F624" s="330"/>
      <c r="H624" s="713"/>
    </row>
    <row r="625" spans="6:8" ht="15.75" customHeight="1" x14ac:dyDescent="0.4">
      <c r="F625" s="330"/>
      <c r="H625" s="713"/>
    </row>
    <row r="626" spans="6:8" ht="15.75" customHeight="1" x14ac:dyDescent="0.4">
      <c r="F626" s="330"/>
      <c r="H626" s="713"/>
    </row>
    <row r="627" spans="6:8" ht="15.75" customHeight="1" x14ac:dyDescent="0.4">
      <c r="F627" s="330"/>
      <c r="H627" s="713"/>
    </row>
    <row r="628" spans="6:8" ht="15.75" customHeight="1" x14ac:dyDescent="0.4">
      <c r="F628" s="330"/>
      <c r="H628" s="713"/>
    </row>
    <row r="629" spans="6:8" ht="15.75" customHeight="1" x14ac:dyDescent="0.4">
      <c r="F629" s="330"/>
      <c r="H629" s="713"/>
    </row>
    <row r="630" spans="6:8" ht="15.75" customHeight="1" x14ac:dyDescent="0.4">
      <c r="F630" s="330"/>
      <c r="H630" s="713"/>
    </row>
    <row r="631" spans="6:8" ht="15.75" customHeight="1" x14ac:dyDescent="0.4">
      <c r="F631" s="330"/>
      <c r="H631" s="713"/>
    </row>
    <row r="632" spans="6:8" ht="15.75" customHeight="1" x14ac:dyDescent="0.4">
      <c r="F632" s="330"/>
      <c r="H632" s="713"/>
    </row>
    <row r="633" spans="6:8" ht="15.75" customHeight="1" x14ac:dyDescent="0.4">
      <c r="F633" s="330"/>
      <c r="H633" s="713"/>
    </row>
    <row r="634" spans="6:8" ht="15.75" customHeight="1" x14ac:dyDescent="0.4">
      <c r="F634" s="330"/>
      <c r="H634" s="713"/>
    </row>
    <row r="635" spans="6:8" ht="15.75" customHeight="1" x14ac:dyDescent="0.4">
      <c r="F635" s="330"/>
      <c r="H635" s="713"/>
    </row>
    <row r="636" spans="6:8" ht="15.75" customHeight="1" x14ac:dyDescent="0.4">
      <c r="F636" s="330"/>
      <c r="H636" s="713"/>
    </row>
    <row r="637" spans="6:8" ht="15.75" customHeight="1" x14ac:dyDescent="0.4">
      <c r="F637" s="330"/>
      <c r="H637" s="713"/>
    </row>
    <row r="638" spans="6:8" ht="15.75" customHeight="1" x14ac:dyDescent="0.4">
      <c r="F638" s="330"/>
      <c r="H638" s="713"/>
    </row>
    <row r="639" spans="6:8" ht="15.75" customHeight="1" x14ac:dyDescent="0.4">
      <c r="F639" s="330"/>
      <c r="H639" s="713"/>
    </row>
    <row r="640" spans="6:8" ht="15.75" customHeight="1" x14ac:dyDescent="0.4">
      <c r="F640" s="330"/>
      <c r="H640" s="713"/>
    </row>
    <row r="641" spans="6:8" ht="15.75" customHeight="1" x14ac:dyDescent="0.4">
      <c r="F641" s="330"/>
      <c r="H641" s="713"/>
    </row>
    <row r="642" spans="6:8" ht="15.75" customHeight="1" x14ac:dyDescent="0.4">
      <c r="F642" s="330"/>
      <c r="H642" s="713"/>
    </row>
    <row r="643" spans="6:8" ht="15.75" customHeight="1" x14ac:dyDescent="0.4">
      <c r="F643" s="330"/>
      <c r="H643" s="713"/>
    </row>
    <row r="644" spans="6:8" ht="15.75" customHeight="1" x14ac:dyDescent="0.4">
      <c r="F644" s="330"/>
      <c r="H644" s="713"/>
    </row>
    <row r="645" spans="6:8" ht="15.75" customHeight="1" x14ac:dyDescent="0.4">
      <c r="F645" s="330"/>
      <c r="H645" s="713"/>
    </row>
    <row r="646" spans="6:8" ht="15.75" customHeight="1" x14ac:dyDescent="0.4">
      <c r="F646" s="330"/>
      <c r="H646" s="713"/>
    </row>
    <row r="647" spans="6:8" ht="15.75" customHeight="1" x14ac:dyDescent="0.4">
      <c r="F647" s="330"/>
      <c r="H647" s="713"/>
    </row>
    <row r="648" spans="6:8" ht="15.75" customHeight="1" x14ac:dyDescent="0.4">
      <c r="F648" s="330"/>
      <c r="H648" s="713"/>
    </row>
    <row r="649" spans="6:8" ht="15.75" customHeight="1" x14ac:dyDescent="0.4">
      <c r="F649" s="330"/>
      <c r="H649" s="713"/>
    </row>
    <row r="650" spans="6:8" ht="15.75" customHeight="1" x14ac:dyDescent="0.4">
      <c r="F650" s="330"/>
      <c r="H650" s="713"/>
    </row>
    <row r="651" spans="6:8" ht="15.75" customHeight="1" x14ac:dyDescent="0.4">
      <c r="F651" s="330"/>
      <c r="H651" s="713"/>
    </row>
    <row r="652" spans="6:8" ht="15.75" customHeight="1" x14ac:dyDescent="0.4">
      <c r="F652" s="330"/>
      <c r="H652" s="713"/>
    </row>
    <row r="653" spans="6:8" ht="15.75" customHeight="1" x14ac:dyDescent="0.4">
      <c r="F653" s="330"/>
      <c r="H653" s="713"/>
    </row>
    <row r="654" spans="6:8" ht="15.75" customHeight="1" x14ac:dyDescent="0.4">
      <c r="F654" s="330"/>
      <c r="H654" s="713"/>
    </row>
    <row r="655" spans="6:8" ht="15.75" customHeight="1" x14ac:dyDescent="0.4">
      <c r="F655" s="330"/>
      <c r="H655" s="713"/>
    </row>
    <row r="656" spans="6:8" ht="15.75" customHeight="1" x14ac:dyDescent="0.4">
      <c r="F656" s="330"/>
      <c r="H656" s="713"/>
    </row>
    <row r="657" spans="6:8" ht="15.75" customHeight="1" x14ac:dyDescent="0.4">
      <c r="F657" s="330"/>
      <c r="H657" s="713"/>
    </row>
    <row r="658" spans="6:8" ht="15.75" customHeight="1" x14ac:dyDescent="0.4">
      <c r="F658" s="330"/>
      <c r="H658" s="713"/>
    </row>
    <row r="659" spans="6:8" ht="15.75" customHeight="1" x14ac:dyDescent="0.4">
      <c r="F659" s="330"/>
      <c r="H659" s="713"/>
    </row>
    <row r="660" spans="6:8" ht="15.75" customHeight="1" x14ac:dyDescent="0.4">
      <c r="F660" s="330"/>
      <c r="H660" s="713"/>
    </row>
    <row r="661" spans="6:8" ht="15.75" customHeight="1" x14ac:dyDescent="0.4">
      <c r="F661" s="330"/>
      <c r="H661" s="713"/>
    </row>
    <row r="662" spans="6:8" ht="15.75" customHeight="1" x14ac:dyDescent="0.4">
      <c r="F662" s="330"/>
      <c r="H662" s="713"/>
    </row>
    <row r="663" spans="6:8" ht="15.75" customHeight="1" x14ac:dyDescent="0.4">
      <c r="F663" s="330"/>
      <c r="H663" s="713"/>
    </row>
    <row r="664" spans="6:8" ht="15.75" customHeight="1" x14ac:dyDescent="0.4">
      <c r="F664" s="330"/>
      <c r="H664" s="713"/>
    </row>
    <row r="665" spans="6:8" ht="15.75" customHeight="1" x14ac:dyDescent="0.4">
      <c r="F665" s="330"/>
      <c r="H665" s="713"/>
    </row>
    <row r="666" spans="6:8" ht="15.75" customHeight="1" x14ac:dyDescent="0.4">
      <c r="F666" s="330"/>
      <c r="H666" s="713"/>
    </row>
    <row r="667" spans="6:8" ht="15.75" customHeight="1" x14ac:dyDescent="0.4">
      <c r="F667" s="330"/>
      <c r="H667" s="713"/>
    </row>
    <row r="668" spans="6:8" ht="15.75" customHeight="1" x14ac:dyDescent="0.4">
      <c r="F668" s="330"/>
      <c r="H668" s="713"/>
    </row>
    <row r="669" spans="6:8" ht="15.75" customHeight="1" x14ac:dyDescent="0.4">
      <c r="F669" s="330"/>
      <c r="H669" s="713"/>
    </row>
    <row r="670" spans="6:8" ht="15.75" customHeight="1" x14ac:dyDescent="0.4">
      <c r="F670" s="330"/>
      <c r="H670" s="713"/>
    </row>
    <row r="671" spans="6:8" ht="15.75" customHeight="1" x14ac:dyDescent="0.4">
      <c r="F671" s="330"/>
      <c r="H671" s="713"/>
    </row>
    <row r="672" spans="6:8" ht="15.75" customHeight="1" x14ac:dyDescent="0.4">
      <c r="F672" s="330"/>
      <c r="H672" s="713"/>
    </row>
    <row r="673" spans="6:8" ht="15.75" customHeight="1" x14ac:dyDescent="0.4">
      <c r="F673" s="330"/>
      <c r="H673" s="713"/>
    </row>
    <row r="674" spans="6:8" ht="15.75" customHeight="1" x14ac:dyDescent="0.4">
      <c r="F674" s="330"/>
      <c r="H674" s="713"/>
    </row>
    <row r="675" spans="6:8" ht="15.75" customHeight="1" x14ac:dyDescent="0.4">
      <c r="F675" s="330"/>
      <c r="H675" s="713"/>
    </row>
    <row r="676" spans="6:8" ht="15.75" customHeight="1" x14ac:dyDescent="0.4">
      <c r="F676" s="330"/>
      <c r="H676" s="713"/>
    </row>
    <row r="677" spans="6:8" ht="15.75" customHeight="1" x14ac:dyDescent="0.4">
      <c r="F677" s="330"/>
      <c r="H677" s="713"/>
    </row>
    <row r="678" spans="6:8" ht="15.75" customHeight="1" x14ac:dyDescent="0.4">
      <c r="F678" s="330"/>
      <c r="H678" s="713"/>
    </row>
    <row r="679" spans="6:8" ht="15.75" customHeight="1" x14ac:dyDescent="0.4">
      <c r="F679" s="330"/>
      <c r="H679" s="713"/>
    </row>
    <row r="680" spans="6:8" ht="15.75" customHeight="1" x14ac:dyDescent="0.4">
      <c r="F680" s="330"/>
      <c r="H680" s="713"/>
    </row>
    <row r="681" spans="6:8" ht="15.75" customHeight="1" x14ac:dyDescent="0.4">
      <c r="F681" s="330"/>
      <c r="H681" s="713"/>
    </row>
    <row r="682" spans="6:8" ht="15.75" customHeight="1" x14ac:dyDescent="0.4">
      <c r="F682" s="330"/>
      <c r="H682" s="713"/>
    </row>
    <row r="683" spans="6:8" ht="15.75" customHeight="1" x14ac:dyDescent="0.4">
      <c r="F683" s="330"/>
      <c r="H683" s="713"/>
    </row>
    <row r="684" spans="6:8" ht="15.75" customHeight="1" x14ac:dyDescent="0.4">
      <c r="F684" s="330"/>
      <c r="H684" s="713"/>
    </row>
    <row r="685" spans="6:8" ht="15.75" customHeight="1" x14ac:dyDescent="0.4">
      <c r="F685" s="330"/>
      <c r="H685" s="713"/>
    </row>
    <row r="686" spans="6:8" ht="15.75" customHeight="1" x14ac:dyDescent="0.4">
      <c r="F686" s="330"/>
      <c r="H686" s="713"/>
    </row>
    <row r="687" spans="6:8" ht="15.75" customHeight="1" x14ac:dyDescent="0.4">
      <c r="F687" s="330"/>
      <c r="H687" s="713"/>
    </row>
    <row r="688" spans="6:8" ht="15.75" customHeight="1" x14ac:dyDescent="0.4">
      <c r="F688" s="330"/>
      <c r="H688" s="713"/>
    </row>
    <row r="689" spans="6:8" ht="15.75" customHeight="1" x14ac:dyDescent="0.4">
      <c r="F689" s="330"/>
      <c r="H689" s="713"/>
    </row>
    <row r="690" spans="6:8" ht="15.75" customHeight="1" x14ac:dyDescent="0.4">
      <c r="F690" s="330"/>
      <c r="H690" s="713"/>
    </row>
    <row r="691" spans="6:8" ht="15.75" customHeight="1" x14ac:dyDescent="0.4">
      <c r="F691" s="330"/>
      <c r="H691" s="713"/>
    </row>
    <row r="692" spans="6:8" ht="15.75" customHeight="1" x14ac:dyDescent="0.4">
      <c r="F692" s="330"/>
      <c r="H692" s="713"/>
    </row>
    <row r="693" spans="6:8" ht="15.75" customHeight="1" x14ac:dyDescent="0.4">
      <c r="F693" s="330"/>
      <c r="H693" s="713"/>
    </row>
    <row r="694" spans="6:8" ht="15.75" customHeight="1" x14ac:dyDescent="0.4">
      <c r="F694" s="330"/>
      <c r="H694" s="713"/>
    </row>
    <row r="695" spans="6:8" ht="15.75" customHeight="1" x14ac:dyDescent="0.4">
      <c r="F695" s="330"/>
      <c r="H695" s="713"/>
    </row>
    <row r="696" spans="6:8" ht="15.75" customHeight="1" x14ac:dyDescent="0.4">
      <c r="F696" s="330"/>
      <c r="H696" s="713"/>
    </row>
    <row r="697" spans="6:8" ht="15.75" customHeight="1" x14ac:dyDescent="0.4">
      <c r="F697" s="330"/>
      <c r="H697" s="713"/>
    </row>
    <row r="698" spans="6:8" ht="15.75" customHeight="1" x14ac:dyDescent="0.4">
      <c r="F698" s="330"/>
      <c r="H698" s="713"/>
    </row>
    <row r="699" spans="6:8" ht="15.75" customHeight="1" x14ac:dyDescent="0.4">
      <c r="F699" s="330"/>
      <c r="H699" s="713"/>
    </row>
    <row r="700" spans="6:8" ht="15.75" customHeight="1" x14ac:dyDescent="0.4">
      <c r="F700" s="330"/>
      <c r="H700" s="713"/>
    </row>
    <row r="701" spans="6:8" ht="15.75" customHeight="1" x14ac:dyDescent="0.4">
      <c r="F701" s="330"/>
      <c r="H701" s="713"/>
    </row>
    <row r="702" spans="6:8" ht="15.75" customHeight="1" x14ac:dyDescent="0.4">
      <c r="F702" s="330"/>
      <c r="H702" s="713"/>
    </row>
    <row r="703" spans="6:8" ht="15.75" customHeight="1" x14ac:dyDescent="0.4">
      <c r="F703" s="330"/>
      <c r="H703" s="713"/>
    </row>
    <row r="704" spans="6:8" ht="15.75" customHeight="1" x14ac:dyDescent="0.4">
      <c r="F704" s="330"/>
      <c r="H704" s="713"/>
    </row>
    <row r="705" spans="6:8" ht="15.75" customHeight="1" x14ac:dyDescent="0.4">
      <c r="F705" s="330"/>
      <c r="H705" s="713"/>
    </row>
    <row r="706" spans="6:8" ht="15.75" customHeight="1" x14ac:dyDescent="0.4">
      <c r="F706" s="330"/>
      <c r="H706" s="713"/>
    </row>
    <row r="707" spans="6:8" ht="15.75" customHeight="1" x14ac:dyDescent="0.4">
      <c r="F707" s="330"/>
      <c r="H707" s="713"/>
    </row>
    <row r="708" spans="6:8" ht="15.75" customHeight="1" x14ac:dyDescent="0.4">
      <c r="F708" s="330"/>
      <c r="H708" s="713"/>
    </row>
    <row r="709" spans="6:8" ht="15.75" customHeight="1" x14ac:dyDescent="0.4">
      <c r="F709" s="330"/>
      <c r="H709" s="713"/>
    </row>
    <row r="710" spans="6:8" ht="15.75" customHeight="1" x14ac:dyDescent="0.4">
      <c r="F710" s="330"/>
      <c r="H710" s="713"/>
    </row>
    <row r="711" spans="6:8" ht="15.75" customHeight="1" x14ac:dyDescent="0.4">
      <c r="F711" s="330"/>
      <c r="H711" s="713"/>
    </row>
    <row r="712" spans="6:8" ht="15.75" customHeight="1" x14ac:dyDescent="0.4">
      <c r="F712" s="330"/>
      <c r="H712" s="713"/>
    </row>
    <row r="713" spans="6:8" ht="15.75" customHeight="1" x14ac:dyDescent="0.4">
      <c r="F713" s="330"/>
      <c r="H713" s="713"/>
    </row>
    <row r="714" spans="6:8" ht="15.75" customHeight="1" x14ac:dyDescent="0.4">
      <c r="F714" s="330"/>
      <c r="H714" s="713"/>
    </row>
    <row r="715" spans="6:8" ht="15.75" customHeight="1" x14ac:dyDescent="0.4">
      <c r="F715" s="330"/>
      <c r="H715" s="713"/>
    </row>
    <row r="716" spans="6:8" ht="15.75" customHeight="1" x14ac:dyDescent="0.4">
      <c r="F716" s="330"/>
      <c r="H716" s="713"/>
    </row>
    <row r="717" spans="6:8" ht="15.75" customHeight="1" x14ac:dyDescent="0.4">
      <c r="F717" s="330"/>
      <c r="H717" s="713"/>
    </row>
    <row r="718" spans="6:8" ht="15.75" customHeight="1" x14ac:dyDescent="0.4">
      <c r="F718" s="330"/>
      <c r="H718" s="713"/>
    </row>
    <row r="719" spans="6:8" ht="15.75" customHeight="1" x14ac:dyDescent="0.4">
      <c r="F719" s="330"/>
      <c r="H719" s="713"/>
    </row>
    <row r="720" spans="6:8" ht="15.75" customHeight="1" x14ac:dyDescent="0.4">
      <c r="F720" s="330"/>
      <c r="H720" s="713"/>
    </row>
    <row r="721" spans="6:8" ht="15.75" customHeight="1" x14ac:dyDescent="0.4">
      <c r="F721" s="330"/>
      <c r="H721" s="713"/>
    </row>
    <row r="722" spans="6:8" ht="15.75" customHeight="1" x14ac:dyDescent="0.4">
      <c r="F722" s="330"/>
      <c r="H722" s="713"/>
    </row>
    <row r="723" spans="6:8" ht="15.75" customHeight="1" x14ac:dyDescent="0.4">
      <c r="F723" s="330"/>
      <c r="H723" s="713"/>
    </row>
    <row r="724" spans="6:8" ht="15.75" customHeight="1" x14ac:dyDescent="0.4">
      <c r="F724" s="330"/>
      <c r="H724" s="713"/>
    </row>
    <row r="725" spans="6:8" ht="15.75" customHeight="1" x14ac:dyDescent="0.4">
      <c r="F725" s="330"/>
      <c r="H725" s="713"/>
    </row>
    <row r="726" spans="6:8" ht="15.75" customHeight="1" x14ac:dyDescent="0.4">
      <c r="F726" s="330"/>
      <c r="H726" s="713"/>
    </row>
    <row r="727" spans="6:8" ht="15.75" customHeight="1" x14ac:dyDescent="0.4">
      <c r="F727" s="330"/>
      <c r="H727" s="713"/>
    </row>
    <row r="728" spans="6:8" ht="15.75" customHeight="1" x14ac:dyDescent="0.4">
      <c r="F728" s="330"/>
      <c r="H728" s="713"/>
    </row>
    <row r="729" spans="6:8" ht="15.75" customHeight="1" x14ac:dyDescent="0.4">
      <c r="F729" s="330"/>
      <c r="H729" s="713"/>
    </row>
    <row r="730" spans="6:8" ht="15.75" customHeight="1" x14ac:dyDescent="0.4">
      <c r="F730" s="330"/>
      <c r="H730" s="713"/>
    </row>
    <row r="731" spans="6:8" ht="15.75" customHeight="1" x14ac:dyDescent="0.4">
      <c r="F731" s="330"/>
      <c r="H731" s="713"/>
    </row>
    <row r="732" spans="6:8" ht="15.75" customHeight="1" x14ac:dyDescent="0.4">
      <c r="F732" s="330"/>
      <c r="H732" s="713"/>
    </row>
    <row r="733" spans="6:8" ht="15.75" customHeight="1" x14ac:dyDescent="0.4">
      <c r="F733" s="330"/>
      <c r="H733" s="713"/>
    </row>
    <row r="734" spans="6:8" ht="15.75" customHeight="1" x14ac:dyDescent="0.4">
      <c r="F734" s="330"/>
      <c r="H734" s="713"/>
    </row>
    <row r="735" spans="6:8" ht="15.75" customHeight="1" x14ac:dyDescent="0.4">
      <c r="F735" s="330"/>
      <c r="H735" s="713"/>
    </row>
    <row r="736" spans="6:8" ht="15.75" customHeight="1" x14ac:dyDescent="0.4">
      <c r="F736" s="330"/>
      <c r="H736" s="713"/>
    </row>
    <row r="737" spans="6:8" ht="15.75" customHeight="1" x14ac:dyDescent="0.4">
      <c r="F737" s="330"/>
      <c r="H737" s="713"/>
    </row>
    <row r="738" spans="6:8" ht="15.75" customHeight="1" x14ac:dyDescent="0.4">
      <c r="F738" s="330"/>
      <c r="H738" s="713"/>
    </row>
    <row r="739" spans="6:8" ht="15.75" customHeight="1" x14ac:dyDescent="0.4">
      <c r="F739" s="330"/>
      <c r="H739" s="713"/>
    </row>
    <row r="740" spans="6:8" ht="15.75" customHeight="1" x14ac:dyDescent="0.4">
      <c r="F740" s="330"/>
      <c r="H740" s="713"/>
    </row>
    <row r="741" spans="6:8" ht="15.75" customHeight="1" x14ac:dyDescent="0.4">
      <c r="F741" s="330"/>
      <c r="H741" s="713"/>
    </row>
    <row r="742" spans="6:8" ht="15.75" customHeight="1" x14ac:dyDescent="0.4">
      <c r="F742" s="330"/>
      <c r="H742" s="713"/>
    </row>
    <row r="743" spans="6:8" ht="15.75" customHeight="1" x14ac:dyDescent="0.4">
      <c r="F743" s="330"/>
      <c r="H743" s="713"/>
    </row>
    <row r="744" spans="6:8" ht="15.75" customHeight="1" x14ac:dyDescent="0.4">
      <c r="F744" s="330"/>
      <c r="H744" s="713"/>
    </row>
    <row r="745" spans="6:8" ht="15.75" customHeight="1" x14ac:dyDescent="0.4">
      <c r="F745" s="330"/>
      <c r="H745" s="713"/>
    </row>
    <row r="746" spans="6:8" ht="15.75" customHeight="1" x14ac:dyDescent="0.4">
      <c r="F746" s="330"/>
      <c r="H746" s="713"/>
    </row>
    <row r="747" spans="6:8" ht="15.75" customHeight="1" x14ac:dyDescent="0.4">
      <c r="F747" s="330"/>
      <c r="H747" s="713"/>
    </row>
    <row r="748" spans="6:8" ht="15.75" customHeight="1" x14ac:dyDescent="0.4">
      <c r="F748" s="330"/>
      <c r="H748" s="713"/>
    </row>
    <row r="749" spans="6:8" ht="15.75" customHeight="1" x14ac:dyDescent="0.4">
      <c r="F749" s="330"/>
      <c r="H749" s="713"/>
    </row>
    <row r="750" spans="6:8" ht="15.75" customHeight="1" x14ac:dyDescent="0.4">
      <c r="F750" s="330"/>
      <c r="H750" s="713"/>
    </row>
    <row r="751" spans="6:8" ht="15.75" customHeight="1" x14ac:dyDescent="0.4">
      <c r="F751" s="330"/>
      <c r="H751" s="713"/>
    </row>
    <row r="752" spans="6:8" ht="15.75" customHeight="1" x14ac:dyDescent="0.4">
      <c r="F752" s="330"/>
      <c r="H752" s="713"/>
    </row>
    <row r="753" spans="6:8" ht="15.75" customHeight="1" x14ac:dyDescent="0.4">
      <c r="F753" s="330"/>
      <c r="H753" s="713"/>
    </row>
    <row r="754" spans="6:8" ht="15.75" customHeight="1" x14ac:dyDescent="0.4">
      <c r="F754" s="330"/>
      <c r="H754" s="713"/>
    </row>
    <row r="755" spans="6:8" ht="15.75" customHeight="1" x14ac:dyDescent="0.4">
      <c r="F755" s="330"/>
      <c r="H755" s="713"/>
    </row>
    <row r="756" spans="6:8" ht="15.75" customHeight="1" x14ac:dyDescent="0.4">
      <c r="F756" s="330"/>
      <c r="H756" s="713"/>
    </row>
    <row r="757" spans="6:8" ht="15.75" customHeight="1" x14ac:dyDescent="0.4">
      <c r="F757" s="330"/>
      <c r="H757" s="713"/>
    </row>
    <row r="758" spans="6:8" ht="15.75" customHeight="1" x14ac:dyDescent="0.4">
      <c r="F758" s="330"/>
      <c r="H758" s="713"/>
    </row>
    <row r="759" spans="6:8" ht="15.75" customHeight="1" x14ac:dyDescent="0.4">
      <c r="F759" s="330"/>
      <c r="H759" s="713"/>
    </row>
    <row r="760" spans="6:8" ht="15.75" customHeight="1" x14ac:dyDescent="0.4">
      <c r="F760" s="330"/>
      <c r="H760" s="713"/>
    </row>
    <row r="761" spans="6:8" ht="15.75" customHeight="1" x14ac:dyDescent="0.4">
      <c r="F761" s="330"/>
      <c r="H761" s="713"/>
    </row>
    <row r="762" spans="6:8" ht="15.75" customHeight="1" x14ac:dyDescent="0.4">
      <c r="F762" s="330"/>
      <c r="H762" s="713"/>
    </row>
    <row r="763" spans="6:8" ht="15.75" customHeight="1" x14ac:dyDescent="0.4">
      <c r="F763" s="330"/>
      <c r="H763" s="713"/>
    </row>
    <row r="764" spans="6:8" ht="15.75" customHeight="1" x14ac:dyDescent="0.4">
      <c r="F764" s="330"/>
      <c r="H764" s="713"/>
    </row>
    <row r="765" spans="6:8" ht="15.75" customHeight="1" x14ac:dyDescent="0.4">
      <c r="F765" s="330"/>
      <c r="H765" s="713"/>
    </row>
    <row r="766" spans="6:8" ht="15.75" customHeight="1" x14ac:dyDescent="0.4">
      <c r="F766" s="330"/>
      <c r="H766" s="713"/>
    </row>
    <row r="767" spans="6:8" ht="15.75" customHeight="1" x14ac:dyDescent="0.4">
      <c r="F767" s="330"/>
      <c r="H767" s="713"/>
    </row>
    <row r="768" spans="6:8" ht="15.75" customHeight="1" x14ac:dyDescent="0.4">
      <c r="F768" s="330"/>
      <c r="H768" s="713"/>
    </row>
    <row r="769" spans="6:8" ht="15.75" customHeight="1" x14ac:dyDescent="0.4">
      <c r="F769" s="330"/>
      <c r="H769" s="713"/>
    </row>
    <row r="770" spans="6:8" ht="15.75" customHeight="1" x14ac:dyDescent="0.4">
      <c r="F770" s="330"/>
      <c r="H770" s="713"/>
    </row>
    <row r="771" spans="6:8" ht="15.75" customHeight="1" x14ac:dyDescent="0.4">
      <c r="F771" s="330"/>
      <c r="H771" s="713"/>
    </row>
    <row r="772" spans="6:8" ht="15.75" customHeight="1" x14ac:dyDescent="0.4">
      <c r="F772" s="330"/>
      <c r="H772" s="713"/>
    </row>
    <row r="773" spans="6:8" ht="15.75" customHeight="1" x14ac:dyDescent="0.4">
      <c r="F773" s="330"/>
      <c r="H773" s="713"/>
    </row>
    <row r="774" spans="6:8" ht="15.75" customHeight="1" x14ac:dyDescent="0.4">
      <c r="F774" s="330"/>
      <c r="H774" s="713"/>
    </row>
    <row r="775" spans="6:8" ht="15.75" customHeight="1" x14ac:dyDescent="0.4">
      <c r="F775" s="330"/>
      <c r="H775" s="713"/>
    </row>
    <row r="776" spans="6:8" ht="15.75" customHeight="1" x14ac:dyDescent="0.4">
      <c r="F776" s="330"/>
      <c r="H776" s="713"/>
    </row>
    <row r="777" spans="6:8" ht="15.75" customHeight="1" x14ac:dyDescent="0.4">
      <c r="F777" s="330"/>
      <c r="H777" s="713"/>
    </row>
    <row r="778" spans="6:8" ht="15.75" customHeight="1" x14ac:dyDescent="0.4">
      <c r="F778" s="330"/>
      <c r="H778" s="713"/>
    </row>
    <row r="779" spans="6:8" ht="15.75" customHeight="1" x14ac:dyDescent="0.4">
      <c r="F779" s="330"/>
      <c r="H779" s="713"/>
    </row>
    <row r="780" spans="6:8" ht="15.75" customHeight="1" x14ac:dyDescent="0.4">
      <c r="F780" s="330"/>
      <c r="H780" s="713"/>
    </row>
    <row r="781" spans="6:8" ht="15.75" customHeight="1" x14ac:dyDescent="0.4">
      <c r="F781" s="330"/>
      <c r="H781" s="713"/>
    </row>
    <row r="782" spans="6:8" ht="15.75" customHeight="1" x14ac:dyDescent="0.4">
      <c r="F782" s="330"/>
      <c r="H782" s="713"/>
    </row>
    <row r="783" spans="6:8" ht="15.75" customHeight="1" x14ac:dyDescent="0.4">
      <c r="F783" s="330"/>
      <c r="H783" s="713"/>
    </row>
    <row r="784" spans="6:8" ht="15.75" customHeight="1" x14ac:dyDescent="0.4">
      <c r="F784" s="330"/>
      <c r="H784" s="713"/>
    </row>
    <row r="785" spans="6:8" ht="15.75" customHeight="1" x14ac:dyDescent="0.4">
      <c r="F785" s="330"/>
      <c r="H785" s="713"/>
    </row>
    <row r="786" spans="6:8" ht="15.75" customHeight="1" x14ac:dyDescent="0.4">
      <c r="F786" s="330"/>
      <c r="H786" s="713"/>
    </row>
    <row r="787" spans="6:8" ht="15.75" customHeight="1" x14ac:dyDescent="0.4">
      <c r="F787" s="330"/>
      <c r="H787" s="713"/>
    </row>
    <row r="788" spans="6:8" ht="15.75" customHeight="1" x14ac:dyDescent="0.4">
      <c r="F788" s="330"/>
      <c r="H788" s="713"/>
    </row>
    <row r="789" spans="6:8" ht="15.75" customHeight="1" x14ac:dyDescent="0.4">
      <c r="F789" s="330"/>
      <c r="H789" s="713"/>
    </row>
    <row r="790" spans="6:8" ht="15.75" customHeight="1" x14ac:dyDescent="0.4">
      <c r="F790" s="330"/>
      <c r="H790" s="713"/>
    </row>
    <row r="791" spans="6:8" ht="15.75" customHeight="1" x14ac:dyDescent="0.4">
      <c r="F791" s="330"/>
      <c r="H791" s="713"/>
    </row>
    <row r="792" spans="6:8" ht="15.75" customHeight="1" x14ac:dyDescent="0.4">
      <c r="F792" s="330"/>
      <c r="H792" s="713"/>
    </row>
    <row r="793" spans="6:8" ht="15.75" customHeight="1" x14ac:dyDescent="0.4">
      <c r="F793" s="330"/>
      <c r="H793" s="713"/>
    </row>
    <row r="794" spans="6:8" ht="15.75" customHeight="1" x14ac:dyDescent="0.4">
      <c r="F794" s="330"/>
      <c r="H794" s="713"/>
    </row>
    <row r="795" spans="6:8" ht="15.75" customHeight="1" x14ac:dyDescent="0.4">
      <c r="F795" s="330"/>
      <c r="H795" s="713"/>
    </row>
    <row r="796" spans="6:8" ht="15.75" customHeight="1" x14ac:dyDescent="0.4">
      <c r="F796" s="330"/>
      <c r="H796" s="713"/>
    </row>
    <row r="797" spans="6:8" ht="15.75" customHeight="1" x14ac:dyDescent="0.4">
      <c r="F797" s="330"/>
      <c r="H797" s="713"/>
    </row>
    <row r="798" spans="6:8" ht="15.75" customHeight="1" x14ac:dyDescent="0.4">
      <c r="F798" s="330"/>
      <c r="H798" s="713"/>
    </row>
    <row r="799" spans="6:8" ht="15.75" customHeight="1" x14ac:dyDescent="0.4">
      <c r="F799" s="330"/>
      <c r="H799" s="713"/>
    </row>
    <row r="800" spans="6:8" ht="15.75" customHeight="1" x14ac:dyDescent="0.4">
      <c r="F800" s="330"/>
      <c r="H800" s="713"/>
    </row>
    <row r="801" spans="6:8" ht="15.75" customHeight="1" x14ac:dyDescent="0.4">
      <c r="F801" s="330"/>
      <c r="H801" s="713"/>
    </row>
    <row r="802" spans="6:8" ht="15.75" customHeight="1" x14ac:dyDescent="0.4">
      <c r="F802" s="330"/>
      <c r="H802" s="713"/>
    </row>
    <row r="803" spans="6:8" ht="15.75" customHeight="1" x14ac:dyDescent="0.4">
      <c r="F803" s="330"/>
      <c r="H803" s="713"/>
    </row>
    <row r="804" spans="6:8" ht="15.75" customHeight="1" x14ac:dyDescent="0.4">
      <c r="F804" s="330"/>
      <c r="H804" s="713"/>
    </row>
    <row r="805" spans="6:8" ht="15.75" customHeight="1" x14ac:dyDescent="0.4">
      <c r="F805" s="330"/>
      <c r="H805" s="713"/>
    </row>
    <row r="806" spans="6:8" ht="15.75" customHeight="1" x14ac:dyDescent="0.4">
      <c r="F806" s="330"/>
      <c r="H806" s="713"/>
    </row>
    <row r="807" spans="6:8" ht="15.75" customHeight="1" x14ac:dyDescent="0.4">
      <c r="F807" s="330"/>
      <c r="H807" s="713"/>
    </row>
    <row r="808" spans="6:8" ht="15.75" customHeight="1" x14ac:dyDescent="0.4">
      <c r="F808" s="330"/>
      <c r="H808" s="713"/>
    </row>
    <row r="809" spans="6:8" ht="15.75" customHeight="1" x14ac:dyDescent="0.4">
      <c r="F809" s="330"/>
      <c r="H809" s="713"/>
    </row>
    <row r="810" spans="6:8" ht="15.75" customHeight="1" x14ac:dyDescent="0.4">
      <c r="F810" s="330"/>
      <c r="H810" s="713"/>
    </row>
    <row r="811" spans="6:8" ht="15.75" customHeight="1" x14ac:dyDescent="0.4">
      <c r="F811" s="330"/>
      <c r="H811" s="713"/>
    </row>
    <row r="812" spans="6:8" ht="15.75" customHeight="1" x14ac:dyDescent="0.4">
      <c r="F812" s="330"/>
      <c r="H812" s="713"/>
    </row>
    <row r="813" spans="6:8" ht="15.75" customHeight="1" x14ac:dyDescent="0.4">
      <c r="F813" s="330"/>
      <c r="H813" s="713"/>
    </row>
    <row r="814" spans="6:8" ht="15.75" customHeight="1" x14ac:dyDescent="0.4">
      <c r="F814" s="330"/>
      <c r="H814" s="713"/>
    </row>
    <row r="815" spans="6:8" ht="15.75" customHeight="1" x14ac:dyDescent="0.4">
      <c r="F815" s="330"/>
      <c r="H815" s="713"/>
    </row>
    <row r="816" spans="6:8" ht="15.75" customHeight="1" x14ac:dyDescent="0.4">
      <c r="F816" s="330"/>
      <c r="H816" s="713"/>
    </row>
    <row r="817" spans="6:8" ht="15.75" customHeight="1" x14ac:dyDescent="0.4">
      <c r="F817" s="330"/>
      <c r="H817" s="713"/>
    </row>
    <row r="818" spans="6:8" ht="15.75" customHeight="1" x14ac:dyDescent="0.4">
      <c r="F818" s="330"/>
      <c r="H818" s="713"/>
    </row>
    <row r="819" spans="6:8" ht="15.75" customHeight="1" x14ac:dyDescent="0.4">
      <c r="F819" s="330"/>
      <c r="H819" s="713"/>
    </row>
    <row r="820" spans="6:8" ht="15.75" customHeight="1" x14ac:dyDescent="0.4">
      <c r="F820" s="330"/>
      <c r="H820" s="713"/>
    </row>
    <row r="821" spans="6:8" ht="15.75" customHeight="1" x14ac:dyDescent="0.4">
      <c r="F821" s="330"/>
      <c r="H821" s="713"/>
    </row>
    <row r="822" spans="6:8" ht="15.75" customHeight="1" x14ac:dyDescent="0.4">
      <c r="F822" s="330"/>
      <c r="H822" s="713"/>
    </row>
    <row r="823" spans="6:8" ht="15.75" customHeight="1" x14ac:dyDescent="0.4">
      <c r="F823" s="330"/>
      <c r="H823" s="713"/>
    </row>
    <row r="824" spans="6:8" ht="15.75" customHeight="1" x14ac:dyDescent="0.4">
      <c r="F824" s="330"/>
      <c r="H824" s="713"/>
    </row>
    <row r="825" spans="6:8" ht="15.75" customHeight="1" x14ac:dyDescent="0.4">
      <c r="F825" s="330"/>
      <c r="H825" s="713"/>
    </row>
    <row r="826" spans="6:8" ht="15.75" customHeight="1" x14ac:dyDescent="0.4">
      <c r="F826" s="330"/>
      <c r="H826" s="713"/>
    </row>
    <row r="827" spans="6:8" ht="15.75" customHeight="1" x14ac:dyDescent="0.4">
      <c r="F827" s="330"/>
      <c r="H827" s="713"/>
    </row>
    <row r="828" spans="6:8" ht="15.75" customHeight="1" x14ac:dyDescent="0.4">
      <c r="F828" s="330"/>
      <c r="H828" s="713"/>
    </row>
    <row r="829" spans="6:8" ht="15.75" customHeight="1" x14ac:dyDescent="0.4">
      <c r="F829" s="330"/>
      <c r="H829" s="713"/>
    </row>
    <row r="830" spans="6:8" ht="15.75" customHeight="1" x14ac:dyDescent="0.4">
      <c r="F830" s="330"/>
      <c r="H830" s="713"/>
    </row>
    <row r="831" spans="6:8" ht="15.75" customHeight="1" x14ac:dyDescent="0.4">
      <c r="F831" s="330"/>
      <c r="H831" s="713"/>
    </row>
    <row r="832" spans="6:8" ht="15.75" customHeight="1" x14ac:dyDescent="0.4">
      <c r="F832" s="330"/>
      <c r="H832" s="713"/>
    </row>
    <row r="833" spans="6:8" ht="15.75" customHeight="1" x14ac:dyDescent="0.4">
      <c r="F833" s="330"/>
      <c r="H833" s="713"/>
    </row>
    <row r="834" spans="6:8" ht="15.75" customHeight="1" x14ac:dyDescent="0.4">
      <c r="F834" s="330"/>
      <c r="H834" s="713"/>
    </row>
    <row r="835" spans="6:8" ht="15.75" customHeight="1" x14ac:dyDescent="0.4">
      <c r="F835" s="330"/>
      <c r="H835" s="713"/>
    </row>
    <row r="836" spans="6:8" ht="15.75" customHeight="1" x14ac:dyDescent="0.4">
      <c r="F836" s="330"/>
      <c r="H836" s="713"/>
    </row>
    <row r="837" spans="6:8" ht="15.75" customHeight="1" x14ac:dyDescent="0.4">
      <c r="F837" s="330"/>
      <c r="H837" s="713"/>
    </row>
    <row r="838" spans="6:8" ht="15.75" customHeight="1" x14ac:dyDescent="0.4">
      <c r="F838" s="330"/>
      <c r="H838" s="713"/>
    </row>
    <row r="839" spans="6:8" ht="15.75" customHeight="1" x14ac:dyDescent="0.4">
      <c r="F839" s="330"/>
      <c r="H839" s="713"/>
    </row>
    <row r="840" spans="6:8" ht="15.75" customHeight="1" x14ac:dyDescent="0.4">
      <c r="F840" s="330"/>
      <c r="H840" s="713"/>
    </row>
    <row r="841" spans="6:8" ht="15.75" customHeight="1" x14ac:dyDescent="0.4">
      <c r="F841" s="330"/>
      <c r="H841" s="713"/>
    </row>
    <row r="842" spans="6:8" ht="15.75" customHeight="1" x14ac:dyDescent="0.4">
      <c r="F842" s="330"/>
      <c r="H842" s="713"/>
    </row>
    <row r="843" spans="6:8" ht="15.75" customHeight="1" x14ac:dyDescent="0.4">
      <c r="F843" s="330"/>
      <c r="H843" s="713"/>
    </row>
    <row r="844" spans="6:8" ht="15.75" customHeight="1" x14ac:dyDescent="0.4">
      <c r="F844" s="330"/>
      <c r="H844" s="713"/>
    </row>
    <row r="845" spans="6:8" ht="15.75" customHeight="1" x14ac:dyDescent="0.4">
      <c r="F845" s="330"/>
      <c r="H845" s="713"/>
    </row>
    <row r="846" spans="6:8" ht="15.75" customHeight="1" x14ac:dyDescent="0.4">
      <c r="F846" s="330"/>
      <c r="H846" s="713"/>
    </row>
    <row r="847" spans="6:8" ht="15.75" customHeight="1" x14ac:dyDescent="0.4">
      <c r="F847" s="330"/>
      <c r="H847" s="713"/>
    </row>
    <row r="848" spans="6:8" ht="15.75" customHeight="1" x14ac:dyDescent="0.4">
      <c r="F848" s="330"/>
      <c r="H848" s="713"/>
    </row>
    <row r="849" spans="6:8" ht="15.75" customHeight="1" x14ac:dyDescent="0.4">
      <c r="F849" s="330"/>
      <c r="H849" s="713"/>
    </row>
    <row r="850" spans="6:8" ht="15.75" customHeight="1" x14ac:dyDescent="0.4">
      <c r="F850" s="330"/>
      <c r="H850" s="713"/>
    </row>
    <row r="851" spans="6:8" ht="15.75" customHeight="1" x14ac:dyDescent="0.4">
      <c r="F851" s="330"/>
      <c r="H851" s="713"/>
    </row>
    <row r="852" spans="6:8" ht="15.75" customHeight="1" x14ac:dyDescent="0.4">
      <c r="F852" s="330"/>
      <c r="H852" s="713"/>
    </row>
    <row r="853" spans="6:8" ht="15.75" customHeight="1" x14ac:dyDescent="0.4">
      <c r="F853" s="330"/>
      <c r="H853" s="713"/>
    </row>
    <row r="854" spans="6:8" ht="15.75" customHeight="1" x14ac:dyDescent="0.4">
      <c r="F854" s="330"/>
      <c r="H854" s="713"/>
    </row>
    <row r="855" spans="6:8" ht="15.75" customHeight="1" x14ac:dyDescent="0.4">
      <c r="F855" s="330"/>
      <c r="H855" s="713"/>
    </row>
    <row r="856" spans="6:8" ht="15.75" customHeight="1" x14ac:dyDescent="0.4">
      <c r="F856" s="330"/>
      <c r="H856" s="713"/>
    </row>
    <row r="857" spans="6:8" ht="15.75" customHeight="1" x14ac:dyDescent="0.4">
      <c r="F857" s="330"/>
      <c r="H857" s="713"/>
    </row>
    <row r="858" spans="6:8" ht="15.75" customHeight="1" x14ac:dyDescent="0.4">
      <c r="F858" s="330"/>
      <c r="H858" s="713"/>
    </row>
    <row r="859" spans="6:8" ht="15.75" customHeight="1" x14ac:dyDescent="0.4">
      <c r="F859" s="330"/>
      <c r="H859" s="713"/>
    </row>
    <row r="860" spans="6:8" ht="15.75" customHeight="1" x14ac:dyDescent="0.4">
      <c r="F860" s="330"/>
      <c r="H860" s="713"/>
    </row>
    <row r="861" spans="6:8" ht="15.75" customHeight="1" x14ac:dyDescent="0.4">
      <c r="F861" s="330"/>
      <c r="H861" s="713"/>
    </row>
    <row r="862" spans="6:8" ht="15.75" customHeight="1" x14ac:dyDescent="0.4">
      <c r="F862" s="330"/>
      <c r="H862" s="713"/>
    </row>
    <row r="863" spans="6:8" ht="15.75" customHeight="1" x14ac:dyDescent="0.4">
      <c r="F863" s="330"/>
      <c r="H863" s="713"/>
    </row>
    <row r="864" spans="6:8" ht="15.75" customHeight="1" x14ac:dyDescent="0.4">
      <c r="F864" s="330"/>
      <c r="H864" s="713"/>
    </row>
    <row r="865" spans="6:8" ht="15.75" customHeight="1" x14ac:dyDescent="0.4">
      <c r="F865" s="330"/>
      <c r="H865" s="713"/>
    </row>
    <row r="866" spans="6:8" ht="15.75" customHeight="1" x14ac:dyDescent="0.4">
      <c r="F866" s="330"/>
      <c r="H866" s="713"/>
    </row>
    <row r="867" spans="6:8" ht="15.75" customHeight="1" x14ac:dyDescent="0.4">
      <c r="F867" s="330"/>
      <c r="H867" s="713"/>
    </row>
    <row r="868" spans="6:8" ht="15.75" customHeight="1" x14ac:dyDescent="0.4">
      <c r="F868" s="330"/>
      <c r="H868" s="713"/>
    </row>
    <row r="869" spans="6:8" ht="15.75" customHeight="1" x14ac:dyDescent="0.4">
      <c r="F869" s="330"/>
      <c r="H869" s="713"/>
    </row>
    <row r="870" spans="6:8" ht="15.75" customHeight="1" x14ac:dyDescent="0.4">
      <c r="F870" s="330"/>
      <c r="H870" s="713"/>
    </row>
    <row r="871" spans="6:8" ht="15.75" customHeight="1" x14ac:dyDescent="0.4">
      <c r="F871" s="330"/>
      <c r="H871" s="713"/>
    </row>
    <row r="872" spans="6:8" ht="15.75" customHeight="1" x14ac:dyDescent="0.4">
      <c r="F872" s="330"/>
      <c r="H872" s="713"/>
    </row>
    <row r="873" spans="6:8" ht="15.75" customHeight="1" x14ac:dyDescent="0.4">
      <c r="F873" s="330"/>
      <c r="H873" s="713"/>
    </row>
    <row r="874" spans="6:8" ht="15.75" customHeight="1" x14ac:dyDescent="0.4">
      <c r="F874" s="330"/>
      <c r="H874" s="713"/>
    </row>
    <row r="875" spans="6:8" ht="15.75" customHeight="1" x14ac:dyDescent="0.4">
      <c r="F875" s="330"/>
      <c r="H875" s="713"/>
    </row>
    <row r="876" spans="6:8" ht="15.75" customHeight="1" x14ac:dyDescent="0.4">
      <c r="F876" s="330"/>
      <c r="H876" s="713"/>
    </row>
    <row r="877" spans="6:8" ht="15.75" customHeight="1" x14ac:dyDescent="0.4">
      <c r="F877" s="330"/>
      <c r="H877" s="713"/>
    </row>
    <row r="878" spans="6:8" ht="15.75" customHeight="1" x14ac:dyDescent="0.4">
      <c r="F878" s="330"/>
      <c r="H878" s="713"/>
    </row>
    <row r="879" spans="6:8" ht="15.75" customHeight="1" x14ac:dyDescent="0.4">
      <c r="F879" s="330"/>
      <c r="H879" s="713"/>
    </row>
    <row r="880" spans="6:8" ht="15.75" customHeight="1" x14ac:dyDescent="0.4">
      <c r="F880" s="330"/>
      <c r="H880" s="713"/>
    </row>
    <row r="881" spans="6:8" ht="15.75" customHeight="1" x14ac:dyDescent="0.4">
      <c r="F881" s="330"/>
      <c r="H881" s="713"/>
    </row>
    <row r="882" spans="6:8" ht="15.75" customHeight="1" x14ac:dyDescent="0.4">
      <c r="F882" s="330"/>
      <c r="H882" s="713"/>
    </row>
    <row r="883" spans="6:8" ht="15.75" customHeight="1" x14ac:dyDescent="0.4">
      <c r="F883" s="330"/>
      <c r="H883" s="713"/>
    </row>
    <row r="884" spans="6:8" ht="15.75" customHeight="1" x14ac:dyDescent="0.4">
      <c r="F884" s="330"/>
      <c r="H884" s="713"/>
    </row>
    <row r="885" spans="6:8" ht="15.75" customHeight="1" x14ac:dyDescent="0.4">
      <c r="F885" s="330"/>
      <c r="H885" s="713"/>
    </row>
    <row r="886" spans="6:8" ht="15.75" customHeight="1" x14ac:dyDescent="0.4">
      <c r="F886" s="330"/>
      <c r="H886" s="713"/>
    </row>
    <row r="887" spans="6:8" ht="15.75" customHeight="1" x14ac:dyDescent="0.4">
      <c r="F887" s="330"/>
      <c r="H887" s="713"/>
    </row>
    <row r="888" spans="6:8" ht="15.75" customHeight="1" x14ac:dyDescent="0.4">
      <c r="F888" s="330"/>
      <c r="H888" s="713"/>
    </row>
    <row r="889" spans="6:8" ht="15.75" customHeight="1" x14ac:dyDescent="0.4">
      <c r="F889" s="330"/>
      <c r="H889" s="713"/>
    </row>
    <row r="890" spans="6:8" ht="15.75" customHeight="1" x14ac:dyDescent="0.4">
      <c r="F890" s="330"/>
      <c r="H890" s="713"/>
    </row>
    <row r="891" spans="6:8" ht="15.75" customHeight="1" x14ac:dyDescent="0.4">
      <c r="F891" s="330"/>
      <c r="H891" s="713"/>
    </row>
    <row r="892" spans="6:8" ht="15.75" customHeight="1" x14ac:dyDescent="0.4">
      <c r="F892" s="330"/>
      <c r="H892" s="713"/>
    </row>
    <row r="893" spans="6:8" ht="15.75" customHeight="1" x14ac:dyDescent="0.4">
      <c r="F893" s="330"/>
      <c r="H893" s="713"/>
    </row>
    <row r="894" spans="6:8" ht="15.75" customHeight="1" x14ac:dyDescent="0.4">
      <c r="F894" s="330"/>
      <c r="H894" s="713"/>
    </row>
    <row r="895" spans="6:8" ht="15.75" customHeight="1" x14ac:dyDescent="0.4">
      <c r="F895" s="330"/>
      <c r="H895" s="713"/>
    </row>
    <row r="896" spans="6:8" ht="15.75" customHeight="1" x14ac:dyDescent="0.4">
      <c r="F896" s="330"/>
      <c r="H896" s="713"/>
    </row>
    <row r="897" spans="6:8" ht="15.75" customHeight="1" x14ac:dyDescent="0.4">
      <c r="F897" s="330"/>
      <c r="H897" s="713"/>
    </row>
    <row r="898" spans="6:8" ht="15.75" customHeight="1" x14ac:dyDescent="0.4">
      <c r="F898" s="330"/>
      <c r="H898" s="713"/>
    </row>
    <row r="899" spans="6:8" ht="15.75" customHeight="1" x14ac:dyDescent="0.4">
      <c r="F899" s="330"/>
      <c r="H899" s="713"/>
    </row>
    <row r="900" spans="6:8" ht="15.75" customHeight="1" x14ac:dyDescent="0.4">
      <c r="F900" s="330"/>
      <c r="H900" s="713"/>
    </row>
    <row r="901" spans="6:8" ht="15.75" customHeight="1" x14ac:dyDescent="0.4">
      <c r="F901" s="330"/>
      <c r="H901" s="713"/>
    </row>
    <row r="902" spans="6:8" ht="15.75" customHeight="1" x14ac:dyDescent="0.4">
      <c r="F902" s="330"/>
      <c r="H902" s="713"/>
    </row>
    <row r="903" spans="6:8" ht="15.75" customHeight="1" x14ac:dyDescent="0.4">
      <c r="F903" s="330"/>
      <c r="H903" s="713"/>
    </row>
    <row r="904" spans="6:8" ht="15.75" customHeight="1" x14ac:dyDescent="0.4">
      <c r="F904" s="330"/>
      <c r="H904" s="713"/>
    </row>
    <row r="905" spans="6:8" ht="15.75" customHeight="1" x14ac:dyDescent="0.4">
      <c r="F905" s="330"/>
      <c r="H905" s="713"/>
    </row>
    <row r="906" spans="6:8" ht="15.75" customHeight="1" x14ac:dyDescent="0.4">
      <c r="F906" s="330"/>
      <c r="H906" s="713"/>
    </row>
    <row r="907" spans="6:8" ht="15.75" customHeight="1" x14ac:dyDescent="0.4">
      <c r="F907" s="330"/>
      <c r="H907" s="713"/>
    </row>
    <row r="908" spans="6:8" ht="15.75" customHeight="1" x14ac:dyDescent="0.4">
      <c r="F908" s="330"/>
      <c r="H908" s="713"/>
    </row>
    <row r="909" spans="6:8" ht="15.75" customHeight="1" x14ac:dyDescent="0.4">
      <c r="F909" s="330"/>
      <c r="H909" s="713"/>
    </row>
    <row r="910" spans="6:8" ht="15.75" customHeight="1" x14ac:dyDescent="0.4">
      <c r="F910" s="330"/>
      <c r="H910" s="713"/>
    </row>
    <row r="911" spans="6:8" ht="15.75" customHeight="1" x14ac:dyDescent="0.4">
      <c r="F911" s="330"/>
      <c r="H911" s="713"/>
    </row>
    <row r="912" spans="6:8" ht="15.75" customHeight="1" x14ac:dyDescent="0.4">
      <c r="F912" s="330"/>
      <c r="H912" s="713"/>
    </row>
    <row r="913" spans="6:8" ht="15.75" customHeight="1" x14ac:dyDescent="0.4">
      <c r="F913" s="330"/>
      <c r="H913" s="713"/>
    </row>
    <row r="914" spans="6:8" ht="15.75" customHeight="1" x14ac:dyDescent="0.4">
      <c r="F914" s="330"/>
      <c r="H914" s="713"/>
    </row>
    <row r="915" spans="6:8" ht="15.75" customHeight="1" x14ac:dyDescent="0.4">
      <c r="F915" s="330"/>
      <c r="H915" s="713"/>
    </row>
    <row r="916" spans="6:8" ht="15.75" customHeight="1" x14ac:dyDescent="0.4">
      <c r="F916" s="330"/>
      <c r="H916" s="713"/>
    </row>
    <row r="917" spans="6:8" ht="15.75" customHeight="1" x14ac:dyDescent="0.4">
      <c r="F917" s="330"/>
      <c r="H917" s="713"/>
    </row>
    <row r="918" spans="6:8" ht="15.75" customHeight="1" x14ac:dyDescent="0.4">
      <c r="F918" s="330"/>
      <c r="H918" s="713"/>
    </row>
    <row r="919" spans="6:8" ht="15.75" customHeight="1" x14ac:dyDescent="0.4">
      <c r="F919" s="330"/>
      <c r="H919" s="713"/>
    </row>
    <row r="920" spans="6:8" ht="15.75" customHeight="1" x14ac:dyDescent="0.4">
      <c r="F920" s="330"/>
      <c r="H920" s="713"/>
    </row>
    <row r="921" spans="6:8" ht="15.75" customHeight="1" x14ac:dyDescent="0.4">
      <c r="F921" s="330"/>
      <c r="H921" s="713"/>
    </row>
    <row r="922" spans="6:8" ht="15.75" customHeight="1" x14ac:dyDescent="0.4">
      <c r="F922" s="330"/>
      <c r="H922" s="713"/>
    </row>
    <row r="923" spans="6:8" ht="15.75" customHeight="1" x14ac:dyDescent="0.4">
      <c r="F923" s="330"/>
      <c r="H923" s="713"/>
    </row>
    <row r="924" spans="6:8" ht="15.75" customHeight="1" x14ac:dyDescent="0.4">
      <c r="F924" s="330"/>
      <c r="H924" s="713"/>
    </row>
    <row r="925" spans="6:8" ht="15.75" customHeight="1" x14ac:dyDescent="0.4">
      <c r="F925" s="330"/>
      <c r="H925" s="713"/>
    </row>
    <row r="926" spans="6:8" ht="15.75" customHeight="1" x14ac:dyDescent="0.4">
      <c r="F926" s="330"/>
      <c r="H926" s="713"/>
    </row>
    <row r="927" spans="6:8" ht="15.75" customHeight="1" x14ac:dyDescent="0.4">
      <c r="F927" s="330"/>
      <c r="H927" s="713"/>
    </row>
    <row r="928" spans="6:8" ht="15.75" customHeight="1" x14ac:dyDescent="0.4">
      <c r="F928" s="330"/>
      <c r="H928" s="713"/>
    </row>
    <row r="929" spans="6:8" ht="15.75" customHeight="1" x14ac:dyDescent="0.4">
      <c r="F929" s="330"/>
      <c r="H929" s="713"/>
    </row>
    <row r="930" spans="6:8" ht="15.75" customHeight="1" x14ac:dyDescent="0.4">
      <c r="F930" s="330"/>
      <c r="H930" s="713"/>
    </row>
    <row r="931" spans="6:8" ht="15.75" customHeight="1" x14ac:dyDescent="0.4">
      <c r="F931" s="330"/>
      <c r="H931" s="713"/>
    </row>
    <row r="932" spans="6:8" ht="15.75" customHeight="1" x14ac:dyDescent="0.4">
      <c r="F932" s="330"/>
      <c r="H932" s="713"/>
    </row>
    <row r="933" spans="6:8" ht="15.75" customHeight="1" x14ac:dyDescent="0.4">
      <c r="F933" s="330"/>
      <c r="H933" s="713"/>
    </row>
    <row r="934" spans="6:8" ht="15.75" customHeight="1" x14ac:dyDescent="0.4">
      <c r="F934" s="330"/>
      <c r="H934" s="713"/>
    </row>
    <row r="935" spans="6:8" ht="15.75" customHeight="1" x14ac:dyDescent="0.4">
      <c r="F935" s="330"/>
      <c r="H935" s="713"/>
    </row>
    <row r="936" spans="6:8" ht="15.75" customHeight="1" x14ac:dyDescent="0.4">
      <c r="F936" s="330"/>
      <c r="H936" s="713"/>
    </row>
    <row r="937" spans="6:8" ht="15.75" customHeight="1" x14ac:dyDescent="0.4">
      <c r="F937" s="330"/>
      <c r="H937" s="713"/>
    </row>
    <row r="938" spans="6:8" ht="15.75" customHeight="1" x14ac:dyDescent="0.4">
      <c r="F938" s="330"/>
      <c r="H938" s="713"/>
    </row>
    <row r="939" spans="6:8" ht="15.75" customHeight="1" x14ac:dyDescent="0.4">
      <c r="F939" s="330"/>
      <c r="H939" s="713"/>
    </row>
    <row r="940" spans="6:8" ht="15.75" customHeight="1" x14ac:dyDescent="0.4">
      <c r="F940" s="330"/>
      <c r="H940" s="713"/>
    </row>
    <row r="941" spans="6:8" ht="15.75" customHeight="1" x14ac:dyDescent="0.4">
      <c r="F941" s="330"/>
      <c r="H941" s="713"/>
    </row>
    <row r="942" spans="6:8" ht="15.75" customHeight="1" x14ac:dyDescent="0.4">
      <c r="F942" s="330"/>
      <c r="H942" s="713"/>
    </row>
    <row r="943" spans="6:8" ht="15.75" customHeight="1" x14ac:dyDescent="0.4">
      <c r="F943" s="330"/>
      <c r="H943" s="713"/>
    </row>
    <row r="944" spans="6:8" ht="15.75" customHeight="1" x14ac:dyDescent="0.4">
      <c r="F944" s="330"/>
      <c r="H944" s="713"/>
    </row>
    <row r="945" spans="6:8" ht="15.75" customHeight="1" x14ac:dyDescent="0.4">
      <c r="F945" s="330"/>
      <c r="H945" s="713"/>
    </row>
    <row r="946" spans="6:8" ht="15.75" customHeight="1" x14ac:dyDescent="0.4">
      <c r="F946" s="330"/>
      <c r="H946" s="713"/>
    </row>
    <row r="947" spans="6:8" ht="15.75" customHeight="1" x14ac:dyDescent="0.4">
      <c r="F947" s="330"/>
      <c r="H947" s="713"/>
    </row>
    <row r="948" spans="6:8" ht="15.75" customHeight="1" x14ac:dyDescent="0.4">
      <c r="F948" s="330"/>
      <c r="H948" s="713"/>
    </row>
    <row r="949" spans="6:8" ht="15.75" customHeight="1" x14ac:dyDescent="0.4">
      <c r="F949" s="330"/>
      <c r="H949" s="713"/>
    </row>
    <row r="950" spans="6:8" ht="15.75" customHeight="1" x14ac:dyDescent="0.4">
      <c r="F950" s="330"/>
      <c r="H950" s="713"/>
    </row>
    <row r="951" spans="6:8" ht="15.75" customHeight="1" x14ac:dyDescent="0.4">
      <c r="F951" s="330"/>
      <c r="H951" s="713"/>
    </row>
    <row r="952" spans="6:8" ht="15.75" customHeight="1" x14ac:dyDescent="0.4">
      <c r="F952" s="330"/>
      <c r="H952" s="713"/>
    </row>
    <row r="953" spans="6:8" ht="15.75" customHeight="1" x14ac:dyDescent="0.4">
      <c r="F953" s="330"/>
      <c r="H953" s="713"/>
    </row>
    <row r="954" spans="6:8" ht="15.75" customHeight="1" x14ac:dyDescent="0.4">
      <c r="F954" s="330"/>
      <c r="H954" s="713"/>
    </row>
    <row r="955" spans="6:8" ht="15.75" customHeight="1" x14ac:dyDescent="0.4">
      <c r="F955" s="330"/>
      <c r="H955" s="713"/>
    </row>
    <row r="956" spans="6:8" ht="15.75" customHeight="1" x14ac:dyDescent="0.4">
      <c r="F956" s="330"/>
      <c r="H956" s="713"/>
    </row>
    <row r="957" spans="6:8" ht="15.75" customHeight="1" x14ac:dyDescent="0.4">
      <c r="F957" s="330"/>
      <c r="H957" s="713"/>
    </row>
    <row r="958" spans="6:8" ht="15.75" customHeight="1" x14ac:dyDescent="0.4">
      <c r="F958" s="330"/>
      <c r="H958" s="713"/>
    </row>
    <row r="959" spans="6:8" ht="15.75" customHeight="1" x14ac:dyDescent="0.4">
      <c r="F959" s="330"/>
      <c r="H959" s="713"/>
    </row>
    <row r="960" spans="6:8" ht="15.75" customHeight="1" x14ac:dyDescent="0.4">
      <c r="F960" s="330"/>
      <c r="H960" s="713"/>
    </row>
    <row r="961" spans="6:8" ht="15.75" customHeight="1" x14ac:dyDescent="0.4">
      <c r="F961" s="330"/>
      <c r="H961" s="713"/>
    </row>
    <row r="962" spans="6:8" ht="15.75" customHeight="1" x14ac:dyDescent="0.4">
      <c r="F962" s="330"/>
      <c r="H962" s="713"/>
    </row>
    <row r="963" spans="6:8" ht="15.75" customHeight="1" x14ac:dyDescent="0.4">
      <c r="F963" s="330"/>
      <c r="H963" s="713"/>
    </row>
    <row r="964" spans="6:8" ht="15.75" customHeight="1" x14ac:dyDescent="0.4">
      <c r="F964" s="330"/>
      <c r="H964" s="713"/>
    </row>
    <row r="965" spans="6:8" ht="15.75" customHeight="1" x14ac:dyDescent="0.4">
      <c r="F965" s="330"/>
      <c r="H965" s="713"/>
    </row>
    <row r="966" spans="6:8" ht="15.75" customHeight="1" x14ac:dyDescent="0.4">
      <c r="F966" s="330"/>
      <c r="H966" s="713"/>
    </row>
    <row r="967" spans="6:8" ht="15.75" customHeight="1" x14ac:dyDescent="0.4">
      <c r="F967" s="330"/>
      <c r="H967" s="713"/>
    </row>
    <row r="968" spans="6:8" ht="15.75" customHeight="1" x14ac:dyDescent="0.4">
      <c r="F968" s="330"/>
      <c r="H968" s="713"/>
    </row>
    <row r="969" spans="6:8" ht="15.75" customHeight="1" x14ac:dyDescent="0.4">
      <c r="F969" s="330"/>
      <c r="H969" s="713"/>
    </row>
    <row r="970" spans="6:8" ht="15.75" customHeight="1" x14ac:dyDescent="0.4">
      <c r="F970" s="330"/>
      <c r="H970" s="713"/>
    </row>
    <row r="971" spans="6:8" ht="15.75" customHeight="1" x14ac:dyDescent="0.4">
      <c r="F971" s="330"/>
      <c r="H971" s="713"/>
    </row>
    <row r="972" spans="6:8" ht="15.75" customHeight="1" x14ac:dyDescent="0.4">
      <c r="F972" s="330"/>
      <c r="H972" s="713"/>
    </row>
    <row r="973" spans="6:8" ht="15.75" customHeight="1" x14ac:dyDescent="0.4">
      <c r="F973" s="330"/>
      <c r="H973" s="713"/>
    </row>
    <row r="974" spans="6:8" ht="15.75" customHeight="1" x14ac:dyDescent="0.4">
      <c r="F974" s="330"/>
      <c r="H974" s="713"/>
    </row>
    <row r="975" spans="6:8" ht="15.75" customHeight="1" x14ac:dyDescent="0.4">
      <c r="F975" s="330"/>
      <c r="H975" s="713"/>
    </row>
    <row r="976" spans="6:8" ht="15.75" customHeight="1" x14ac:dyDescent="0.4">
      <c r="F976" s="330"/>
      <c r="H976" s="713"/>
    </row>
    <row r="977" spans="6:8" ht="15.75" customHeight="1" x14ac:dyDescent="0.4">
      <c r="F977" s="330"/>
      <c r="H977" s="713"/>
    </row>
    <row r="978" spans="6:8" ht="15.75" customHeight="1" x14ac:dyDescent="0.4">
      <c r="F978" s="330"/>
      <c r="H978" s="713"/>
    </row>
    <row r="979" spans="6:8" ht="15.75" customHeight="1" x14ac:dyDescent="0.4">
      <c r="F979" s="330"/>
      <c r="H979" s="713"/>
    </row>
    <row r="980" spans="6:8" ht="15.75" customHeight="1" x14ac:dyDescent="0.4">
      <c r="F980" s="330"/>
      <c r="H980" s="713"/>
    </row>
    <row r="981" spans="6:8" ht="15.75" customHeight="1" x14ac:dyDescent="0.4">
      <c r="F981" s="330"/>
      <c r="H981" s="713"/>
    </row>
    <row r="982" spans="6:8" ht="15.75" customHeight="1" x14ac:dyDescent="0.4">
      <c r="F982" s="330"/>
      <c r="H982" s="713"/>
    </row>
    <row r="983" spans="6:8" ht="15.75" customHeight="1" x14ac:dyDescent="0.4">
      <c r="F983" s="330"/>
      <c r="H983" s="713"/>
    </row>
    <row r="984" spans="6:8" ht="15.75" customHeight="1" x14ac:dyDescent="0.4">
      <c r="F984" s="330"/>
      <c r="H984" s="713"/>
    </row>
    <row r="985" spans="6:8" ht="15.75" customHeight="1" x14ac:dyDescent="0.4">
      <c r="F985" s="330"/>
      <c r="H985" s="713"/>
    </row>
    <row r="986" spans="6:8" ht="15.75" customHeight="1" x14ac:dyDescent="0.4">
      <c r="F986" s="330"/>
      <c r="H986" s="713"/>
    </row>
    <row r="987" spans="6:8" ht="15.75" customHeight="1" x14ac:dyDescent="0.4">
      <c r="F987" s="330"/>
      <c r="H987" s="713"/>
    </row>
    <row r="988" spans="6:8" ht="15.75" customHeight="1" x14ac:dyDescent="0.4">
      <c r="F988" s="330"/>
      <c r="H988" s="713"/>
    </row>
    <row r="989" spans="6:8" ht="15.75" customHeight="1" x14ac:dyDescent="0.4">
      <c r="F989" s="330"/>
      <c r="H989" s="713"/>
    </row>
    <row r="990" spans="6:8" ht="15.75" customHeight="1" x14ac:dyDescent="0.4">
      <c r="F990" s="330"/>
      <c r="H990" s="713"/>
    </row>
    <row r="991" spans="6:8" ht="15.75" customHeight="1" x14ac:dyDescent="0.4">
      <c r="F991" s="330"/>
      <c r="H991" s="713"/>
    </row>
    <row r="992" spans="6:8" ht="15.75" customHeight="1" x14ac:dyDescent="0.4">
      <c r="F992" s="330"/>
      <c r="H992" s="713"/>
    </row>
    <row r="993" spans="6:8" ht="15.75" customHeight="1" x14ac:dyDescent="0.4">
      <c r="F993" s="330"/>
      <c r="H993" s="713"/>
    </row>
    <row r="994" spans="6:8" ht="15.75" customHeight="1" x14ac:dyDescent="0.4">
      <c r="F994" s="330"/>
      <c r="H994" s="713"/>
    </row>
    <row r="995" spans="6:8" ht="15.75" customHeight="1" x14ac:dyDescent="0.4">
      <c r="F995" s="330"/>
      <c r="H995" s="713"/>
    </row>
    <row r="996" spans="6:8" ht="15.75" customHeight="1" x14ac:dyDescent="0.4">
      <c r="F996" s="330"/>
      <c r="H996" s="713"/>
    </row>
    <row r="997" spans="6:8" ht="15.75" customHeight="1" x14ac:dyDescent="0.4">
      <c r="F997" s="330"/>
      <c r="H997" s="713"/>
    </row>
    <row r="998" spans="6:8" ht="15.75" customHeight="1" x14ac:dyDescent="0.4">
      <c r="F998" s="330"/>
      <c r="H998" s="713"/>
    </row>
    <row r="999" spans="6:8" ht="15.75" customHeight="1" x14ac:dyDescent="0.4">
      <c r="F999" s="330"/>
      <c r="H999" s="713"/>
    </row>
    <row r="1000" spans="6:8" ht="15.75" customHeight="1" x14ac:dyDescent="0.4">
      <c r="F1000" s="330"/>
      <c r="H1000" s="713"/>
    </row>
    <row r="1001" spans="6:8" ht="15.75" customHeight="1" x14ac:dyDescent="0.4">
      <c r="F1001" s="330"/>
      <c r="H1001" s="713"/>
    </row>
    <row r="1002" spans="6:8" ht="15.75" customHeight="1" x14ac:dyDescent="0.4">
      <c r="F1002" s="330"/>
      <c r="H1002" s="713"/>
    </row>
    <row r="1003" spans="6:8" ht="15.75" customHeight="1" x14ac:dyDescent="0.4">
      <c r="F1003" s="330"/>
      <c r="H1003" s="713"/>
    </row>
    <row r="1004" spans="6:8" ht="15.75" customHeight="1" x14ac:dyDescent="0.4">
      <c r="F1004" s="330"/>
      <c r="H1004" s="713"/>
    </row>
    <row r="1005" spans="6:8" ht="15.75" customHeight="1" x14ac:dyDescent="0.4">
      <c r="F1005" s="330"/>
      <c r="H1005" s="713"/>
    </row>
    <row r="1006" spans="6:8" ht="15.75" customHeight="1" x14ac:dyDescent="0.4">
      <c r="F1006" s="330"/>
      <c r="H1006" s="713"/>
    </row>
    <row r="1007" spans="6:8" ht="15.75" customHeight="1" x14ac:dyDescent="0.4">
      <c r="F1007" s="330"/>
      <c r="H1007" s="713"/>
    </row>
    <row r="1008" spans="6:8" ht="15.75" customHeight="1" x14ac:dyDescent="0.4">
      <c r="F1008" s="330"/>
      <c r="H1008" s="713"/>
    </row>
    <row r="1009" spans="6:8" ht="15.75" customHeight="1" x14ac:dyDescent="0.4">
      <c r="F1009" s="330"/>
      <c r="H1009" s="713"/>
    </row>
    <row r="1010" spans="6:8" ht="15.75" customHeight="1" x14ac:dyDescent="0.4">
      <c r="F1010" s="330"/>
      <c r="H1010" s="713"/>
    </row>
    <row r="1011" spans="6:8" ht="15.75" customHeight="1" x14ac:dyDescent="0.4">
      <c r="F1011" s="330"/>
      <c r="H1011" s="713"/>
    </row>
    <row r="1012" spans="6:8" ht="15.75" customHeight="1" x14ac:dyDescent="0.4">
      <c r="F1012" s="330"/>
      <c r="H1012" s="713"/>
    </row>
    <row r="1013" spans="6:8" ht="15.75" customHeight="1" x14ac:dyDescent="0.4">
      <c r="F1013" s="330"/>
      <c r="H1013" s="713"/>
    </row>
    <row r="1014" spans="6:8" ht="15.75" customHeight="1" x14ac:dyDescent="0.4">
      <c r="F1014" s="330"/>
      <c r="H1014" s="713"/>
    </row>
    <row r="1015" spans="6:8" ht="15.75" customHeight="1" x14ac:dyDescent="0.4">
      <c r="F1015" s="330"/>
      <c r="H1015" s="713"/>
    </row>
    <row r="1016" spans="6:8" ht="15.75" customHeight="1" x14ac:dyDescent="0.4">
      <c r="F1016" s="330"/>
      <c r="H1016" s="713"/>
    </row>
    <row r="1017" spans="6:8" ht="15.75" customHeight="1" x14ac:dyDescent="0.4">
      <c r="F1017" s="330"/>
      <c r="H1017" s="713"/>
    </row>
    <row r="1018" spans="6:8" ht="15.75" customHeight="1" x14ac:dyDescent="0.4">
      <c r="F1018" s="330"/>
      <c r="H1018" s="713"/>
    </row>
    <row r="1019" spans="6:8" ht="15.75" customHeight="1" x14ac:dyDescent="0.4">
      <c r="F1019" s="330"/>
      <c r="H1019" s="713"/>
    </row>
    <row r="1020" spans="6:8" ht="15.75" customHeight="1" x14ac:dyDescent="0.4">
      <c r="F1020" s="330"/>
      <c r="H1020" s="713"/>
    </row>
    <row r="1021" spans="6:8" ht="15.75" customHeight="1" x14ac:dyDescent="0.4">
      <c r="F1021" s="330"/>
      <c r="H1021" s="713"/>
    </row>
    <row r="1022" spans="6:8" ht="15.75" customHeight="1" x14ac:dyDescent="0.4">
      <c r="F1022" s="330"/>
      <c r="H1022" s="713"/>
    </row>
    <row r="1023" spans="6:8" ht="15.75" customHeight="1" x14ac:dyDescent="0.4">
      <c r="F1023" s="330"/>
      <c r="H1023" s="713"/>
    </row>
    <row r="1024" spans="6:8" ht="15.75" customHeight="1" x14ac:dyDescent="0.4">
      <c r="F1024" s="330"/>
      <c r="H1024" s="713"/>
    </row>
    <row r="1025" spans="6:8" ht="15.75" customHeight="1" x14ac:dyDescent="0.4">
      <c r="F1025" s="330"/>
      <c r="H1025" s="713"/>
    </row>
    <row r="1026" spans="6:8" ht="15.75" customHeight="1" x14ac:dyDescent="0.4">
      <c r="F1026" s="330"/>
      <c r="H1026" s="713"/>
    </row>
    <row r="1027" spans="6:8" ht="15.75" customHeight="1" x14ac:dyDescent="0.4">
      <c r="F1027" s="330"/>
      <c r="H1027" s="713"/>
    </row>
    <row r="1028" spans="6:8" ht="15.75" customHeight="1" x14ac:dyDescent="0.4">
      <c r="F1028" s="330"/>
      <c r="H1028" s="713"/>
    </row>
    <row r="1029" spans="6:8" ht="15.75" customHeight="1" x14ac:dyDescent="0.4">
      <c r="F1029" s="330"/>
      <c r="H1029" s="713"/>
    </row>
    <row r="1030" spans="6:8" ht="15.75" customHeight="1" x14ac:dyDescent="0.4">
      <c r="F1030" s="330"/>
      <c r="H1030" s="713"/>
    </row>
    <row r="1031" spans="6:8" ht="15.75" customHeight="1" x14ac:dyDescent="0.4">
      <c r="F1031" s="330"/>
      <c r="H1031" s="713"/>
    </row>
    <row r="1032" spans="6:8" ht="15.75" customHeight="1" x14ac:dyDescent="0.4">
      <c r="F1032" s="330"/>
      <c r="H1032" s="713"/>
    </row>
    <row r="1033" spans="6:8" ht="15.75" customHeight="1" x14ac:dyDescent="0.4">
      <c r="F1033" s="330"/>
      <c r="H1033" s="713"/>
    </row>
    <row r="1034" spans="6:8" ht="15.75" customHeight="1" x14ac:dyDescent="0.4">
      <c r="F1034" s="330"/>
      <c r="H1034" s="713"/>
    </row>
    <row r="1035" spans="6:8" ht="15.75" customHeight="1" x14ac:dyDescent="0.4">
      <c r="F1035" s="330"/>
      <c r="H1035" s="713"/>
    </row>
    <row r="1036" spans="6:8" ht="15.75" customHeight="1" x14ac:dyDescent="0.4">
      <c r="F1036" s="330"/>
      <c r="H1036" s="713"/>
    </row>
    <row r="1037" spans="6:8" ht="15.75" customHeight="1" x14ac:dyDescent="0.4">
      <c r="F1037" s="330"/>
      <c r="H1037" s="713"/>
    </row>
    <row r="1038" spans="6:8" ht="15.75" customHeight="1" x14ac:dyDescent="0.4">
      <c r="F1038" s="330"/>
      <c r="H1038" s="713"/>
    </row>
    <row r="1039" spans="6:8" ht="15.75" customHeight="1" x14ac:dyDescent="0.4">
      <c r="F1039" s="330"/>
      <c r="H1039" s="713"/>
    </row>
    <row r="1040" spans="6:8" ht="15.75" customHeight="1" x14ac:dyDescent="0.4">
      <c r="F1040" s="330"/>
      <c r="H1040" s="713"/>
    </row>
    <row r="1041" spans="6:8" ht="15.75" customHeight="1" x14ac:dyDescent="0.4">
      <c r="F1041" s="330"/>
      <c r="H1041" s="713"/>
    </row>
    <row r="1042" spans="6:8" ht="15.75" customHeight="1" x14ac:dyDescent="0.4">
      <c r="F1042" s="330"/>
      <c r="H1042" s="713"/>
    </row>
    <row r="1043" spans="6:8" ht="15.75" customHeight="1" x14ac:dyDescent="0.4">
      <c r="F1043" s="330"/>
      <c r="H1043" s="713"/>
    </row>
    <row r="1044" spans="6:8" ht="15.75" customHeight="1" x14ac:dyDescent="0.4">
      <c r="F1044" s="330"/>
      <c r="H1044" s="713"/>
    </row>
    <row r="1045" spans="6:8" ht="15.75" customHeight="1" x14ac:dyDescent="0.4">
      <c r="F1045" s="330"/>
      <c r="H1045" s="713"/>
    </row>
    <row r="1046" spans="6:8" ht="15.75" customHeight="1" x14ac:dyDescent="0.4">
      <c r="F1046" s="330"/>
      <c r="H1046" s="713"/>
    </row>
    <row r="1047" spans="6:8" ht="15.75" customHeight="1" x14ac:dyDescent="0.4">
      <c r="F1047" s="330"/>
      <c r="H1047" s="713"/>
    </row>
    <row r="1048" spans="6:8" ht="15.75" customHeight="1" x14ac:dyDescent="0.4">
      <c r="F1048" s="330"/>
      <c r="H1048" s="713"/>
    </row>
    <row r="1049" spans="6:8" ht="15.75" customHeight="1" x14ac:dyDescent="0.4">
      <c r="F1049" s="330"/>
      <c r="H1049" s="713"/>
    </row>
    <row r="1050" spans="6:8" ht="15.75" customHeight="1" x14ac:dyDescent="0.4">
      <c r="F1050" s="330"/>
      <c r="H1050" s="713"/>
    </row>
    <row r="1051" spans="6:8" ht="15.75" customHeight="1" x14ac:dyDescent="0.4">
      <c r="F1051" s="330"/>
      <c r="H1051" s="713"/>
    </row>
    <row r="1052" spans="6:8" ht="15.75" customHeight="1" x14ac:dyDescent="0.4">
      <c r="F1052" s="330"/>
      <c r="H1052" s="713"/>
    </row>
    <row r="1053" spans="6:8" ht="15.75" customHeight="1" x14ac:dyDescent="0.4">
      <c r="F1053" s="330"/>
      <c r="H1053" s="713"/>
    </row>
    <row r="1054" spans="6:8" ht="15.75" customHeight="1" x14ac:dyDescent="0.4">
      <c r="F1054" s="330"/>
      <c r="H1054" s="713"/>
    </row>
    <row r="1055" spans="6:8" ht="15.75" customHeight="1" x14ac:dyDescent="0.4">
      <c r="F1055" s="330"/>
      <c r="H1055" s="713"/>
    </row>
    <row r="1056" spans="6:8" ht="15.75" customHeight="1" x14ac:dyDescent="0.4">
      <c r="F1056" s="330"/>
      <c r="H1056" s="713"/>
    </row>
    <row r="1057" spans="6:8" ht="15.75" customHeight="1" x14ac:dyDescent="0.4">
      <c r="F1057" s="330"/>
      <c r="H1057" s="713"/>
    </row>
    <row r="1058" spans="6:8" ht="15.75" customHeight="1" x14ac:dyDescent="0.4">
      <c r="F1058" s="330"/>
      <c r="H1058" s="713"/>
    </row>
    <row r="1059" spans="6:8" ht="15.75" customHeight="1" x14ac:dyDescent="0.4">
      <c r="F1059" s="330"/>
      <c r="H1059" s="713"/>
    </row>
    <row r="1060" spans="6:8" ht="15.75" customHeight="1" x14ac:dyDescent="0.4">
      <c r="F1060" s="330"/>
      <c r="H1060" s="713"/>
    </row>
    <row r="1061" spans="6:8" ht="15.75" customHeight="1" x14ac:dyDescent="0.4">
      <c r="F1061" s="330"/>
      <c r="H1061" s="713"/>
    </row>
    <row r="1062" spans="6:8" ht="15.75" customHeight="1" x14ac:dyDescent="0.4">
      <c r="F1062" s="330"/>
      <c r="H1062" s="713"/>
    </row>
    <row r="1063" spans="6:8" ht="15.75" customHeight="1" x14ac:dyDescent="0.4">
      <c r="F1063" s="330"/>
      <c r="H1063" s="713"/>
    </row>
    <row r="1064" spans="6:8" ht="15.75" customHeight="1" x14ac:dyDescent="0.4">
      <c r="F1064" s="330"/>
      <c r="H1064" s="713"/>
    </row>
    <row r="1065" spans="6:8" ht="15.75" customHeight="1" x14ac:dyDescent="0.4">
      <c r="F1065" s="330"/>
      <c r="H1065" s="713"/>
    </row>
    <row r="1066" spans="6:8" ht="15.75" customHeight="1" x14ac:dyDescent="0.4">
      <c r="F1066" s="330"/>
      <c r="H1066" s="713"/>
    </row>
    <row r="1067" spans="6:8" ht="15.75" customHeight="1" x14ac:dyDescent="0.4">
      <c r="F1067" s="330"/>
      <c r="H1067" s="713"/>
    </row>
    <row r="1068" spans="6:8" ht="15.75" customHeight="1" x14ac:dyDescent="0.4">
      <c r="F1068" s="330"/>
      <c r="H1068" s="713"/>
    </row>
    <row r="1069" spans="6:8" ht="15.75" customHeight="1" x14ac:dyDescent="0.4">
      <c r="F1069" s="330"/>
      <c r="H1069" s="713"/>
    </row>
    <row r="1070" spans="6:8" ht="15.75" customHeight="1" x14ac:dyDescent="0.4">
      <c r="F1070" s="330"/>
      <c r="H1070" s="713"/>
    </row>
    <row r="1071" spans="6:8" ht="15.75" customHeight="1" x14ac:dyDescent="0.4">
      <c r="F1071" s="330"/>
      <c r="H1071" s="713"/>
    </row>
    <row r="1072" spans="6:8" ht="15.75" customHeight="1" x14ac:dyDescent="0.4">
      <c r="F1072" s="330"/>
      <c r="H1072" s="713"/>
    </row>
    <row r="1073" spans="6:8" ht="15.75" customHeight="1" x14ac:dyDescent="0.4">
      <c r="F1073" s="330"/>
      <c r="H1073" s="713"/>
    </row>
    <row r="1074" spans="6:8" ht="15.75" customHeight="1" x14ac:dyDescent="0.4">
      <c r="F1074" s="330"/>
      <c r="H1074" s="713"/>
    </row>
    <row r="1075" spans="6:8" ht="15.75" customHeight="1" x14ac:dyDescent="0.4">
      <c r="F1075" s="330"/>
      <c r="H1075" s="713"/>
    </row>
    <row r="1076" spans="6:8" ht="15.75" customHeight="1" x14ac:dyDescent="0.4">
      <c r="F1076" s="330"/>
      <c r="H1076" s="713"/>
    </row>
    <row r="1077" spans="6:8" ht="15.75" customHeight="1" x14ac:dyDescent="0.4">
      <c r="F1077" s="330"/>
      <c r="H1077" s="713"/>
    </row>
    <row r="1078" spans="6:8" ht="15.75" customHeight="1" x14ac:dyDescent="0.4">
      <c r="F1078" s="330"/>
      <c r="H1078" s="713"/>
    </row>
    <row r="1079" spans="6:8" ht="15.75" customHeight="1" x14ac:dyDescent="0.4">
      <c r="F1079" s="330"/>
      <c r="H1079" s="713"/>
    </row>
    <row r="1080" spans="6:8" ht="15.75" customHeight="1" x14ac:dyDescent="0.4">
      <c r="F1080" s="330"/>
      <c r="H1080" s="713"/>
    </row>
    <row r="1081" spans="6:8" ht="15.75" customHeight="1" x14ac:dyDescent="0.4">
      <c r="F1081" s="330"/>
      <c r="H1081" s="713"/>
    </row>
    <row r="1082" spans="6:8" ht="15.75" customHeight="1" x14ac:dyDescent="0.4">
      <c r="F1082" s="330"/>
      <c r="H1082" s="713"/>
    </row>
    <row r="1083" spans="6:8" ht="15.75" customHeight="1" x14ac:dyDescent="0.4">
      <c r="F1083" s="330"/>
      <c r="H1083" s="713"/>
    </row>
    <row r="1084" spans="6:8" ht="15.75" customHeight="1" x14ac:dyDescent="0.4">
      <c r="F1084" s="330"/>
      <c r="H1084" s="713"/>
    </row>
    <row r="1085" spans="6:8" ht="15.75" customHeight="1" x14ac:dyDescent="0.4">
      <c r="F1085" s="330"/>
      <c r="H1085" s="713"/>
    </row>
    <row r="1086" spans="6:8" ht="15.75" customHeight="1" x14ac:dyDescent="0.4">
      <c r="F1086" s="330"/>
      <c r="H1086" s="713"/>
    </row>
    <row r="1087" spans="6:8" ht="15.75" customHeight="1" x14ac:dyDescent="0.4">
      <c r="F1087" s="330"/>
      <c r="H1087" s="713"/>
    </row>
    <row r="1088" spans="6:8" ht="15.75" customHeight="1" x14ac:dyDescent="0.4">
      <c r="F1088" s="330"/>
      <c r="H1088" s="713"/>
    </row>
    <row r="1089" spans="6:8" ht="15.75" customHeight="1" x14ac:dyDescent="0.4">
      <c r="F1089" s="330"/>
      <c r="H1089" s="713"/>
    </row>
    <row r="1090" spans="6:8" ht="15.75" customHeight="1" x14ac:dyDescent="0.4">
      <c r="F1090" s="330"/>
      <c r="H1090" s="713"/>
    </row>
    <row r="1091" spans="6:8" ht="15.75" customHeight="1" x14ac:dyDescent="0.4">
      <c r="F1091" s="330"/>
      <c r="H1091" s="713"/>
    </row>
    <row r="1092" spans="6:8" ht="15.75" customHeight="1" x14ac:dyDescent="0.4">
      <c r="F1092" s="330"/>
      <c r="H1092" s="713"/>
    </row>
    <row r="1093" spans="6:8" ht="15.75" customHeight="1" x14ac:dyDescent="0.4">
      <c r="F1093" s="330"/>
      <c r="H1093" s="713"/>
    </row>
    <row r="1094" spans="6:8" ht="15.75" customHeight="1" x14ac:dyDescent="0.4">
      <c r="F1094" s="330"/>
      <c r="H1094" s="713"/>
    </row>
    <row r="1095" spans="6:8" ht="15.75" customHeight="1" x14ac:dyDescent="0.4">
      <c r="F1095" s="330"/>
      <c r="H1095" s="713"/>
    </row>
    <row r="1096" spans="6:8" ht="15.75" customHeight="1" x14ac:dyDescent="0.4">
      <c r="F1096" s="330"/>
      <c r="H1096" s="713"/>
    </row>
    <row r="1097" spans="6:8" ht="15.75" customHeight="1" x14ac:dyDescent="0.4">
      <c r="F1097" s="330"/>
      <c r="H1097" s="713"/>
    </row>
    <row r="1098" spans="6:8" ht="15.75" customHeight="1" x14ac:dyDescent="0.4">
      <c r="F1098" s="330"/>
      <c r="H1098" s="713"/>
    </row>
    <row r="1099" spans="6:8" ht="15.75" customHeight="1" x14ac:dyDescent="0.4">
      <c r="F1099" s="330"/>
      <c r="H1099" s="713"/>
    </row>
    <row r="1100" spans="6:8" ht="15.75" customHeight="1" x14ac:dyDescent="0.4">
      <c r="F1100" s="330"/>
      <c r="H1100" s="713"/>
    </row>
    <row r="1101" spans="6:8" ht="15.75" customHeight="1" x14ac:dyDescent="0.4">
      <c r="F1101" s="330"/>
      <c r="H1101" s="713"/>
    </row>
    <row r="1102" spans="6:8" ht="15.75" customHeight="1" x14ac:dyDescent="0.4">
      <c r="F1102" s="330"/>
      <c r="H1102" s="713"/>
    </row>
    <row r="1103" spans="6:8" ht="15.75" customHeight="1" x14ac:dyDescent="0.4">
      <c r="F1103" s="330"/>
      <c r="H1103" s="713"/>
    </row>
    <row r="1104" spans="6:8" ht="15.75" customHeight="1" x14ac:dyDescent="0.4">
      <c r="F1104" s="330"/>
      <c r="H1104" s="713"/>
    </row>
    <row r="1105" spans="6:8" ht="15.75" customHeight="1" x14ac:dyDescent="0.4">
      <c r="F1105" s="330"/>
      <c r="H1105" s="713"/>
    </row>
    <row r="1106" spans="6:8" ht="15.75" customHeight="1" x14ac:dyDescent="0.4">
      <c r="F1106" s="330"/>
      <c r="H1106" s="713"/>
    </row>
    <row r="1107" spans="6:8" ht="15.75" customHeight="1" x14ac:dyDescent="0.4">
      <c r="F1107" s="330"/>
      <c r="H1107" s="713"/>
    </row>
    <row r="1108" spans="6:8" ht="15.75" customHeight="1" x14ac:dyDescent="0.4">
      <c r="F1108" s="330"/>
      <c r="H1108" s="713"/>
    </row>
    <row r="1109" spans="6:8" ht="15.75" customHeight="1" x14ac:dyDescent="0.4">
      <c r="F1109" s="330"/>
      <c r="H1109" s="713"/>
    </row>
    <row r="1110" spans="6:8" ht="15.75" customHeight="1" x14ac:dyDescent="0.4">
      <c r="F1110" s="330"/>
      <c r="H1110" s="713"/>
    </row>
    <row r="1111" spans="6:8" ht="15.75" customHeight="1" x14ac:dyDescent="0.4">
      <c r="F1111" s="330"/>
      <c r="H1111" s="713"/>
    </row>
    <row r="1112" spans="6:8" ht="15.75" customHeight="1" x14ac:dyDescent="0.4">
      <c r="F1112" s="330"/>
      <c r="H1112" s="713"/>
    </row>
    <row r="1113" spans="6:8" ht="15.75" customHeight="1" x14ac:dyDescent="0.4">
      <c r="F1113" s="330"/>
      <c r="H1113" s="713"/>
    </row>
    <row r="1114" spans="6:8" ht="15.75" customHeight="1" x14ac:dyDescent="0.4">
      <c r="F1114" s="330"/>
      <c r="H1114" s="713"/>
    </row>
    <row r="1115" spans="6:8" ht="15.75" customHeight="1" x14ac:dyDescent="0.4">
      <c r="F1115" s="330"/>
      <c r="H1115" s="713"/>
    </row>
    <row r="1116" spans="6:8" ht="15.75" customHeight="1" x14ac:dyDescent="0.4">
      <c r="F1116" s="330"/>
      <c r="H1116" s="713"/>
    </row>
    <row r="1117" spans="6:8" ht="15.75" customHeight="1" x14ac:dyDescent="0.4">
      <c r="F1117" s="330"/>
      <c r="H1117" s="713"/>
    </row>
    <row r="1118" spans="6:8" ht="15.75" customHeight="1" x14ac:dyDescent="0.4">
      <c r="F1118" s="330"/>
      <c r="H1118" s="713"/>
    </row>
    <row r="1119" spans="6:8" ht="15.75" customHeight="1" x14ac:dyDescent="0.4">
      <c r="F1119" s="330"/>
      <c r="H1119" s="713"/>
    </row>
    <row r="1120" spans="6:8" ht="15.75" customHeight="1" x14ac:dyDescent="0.4">
      <c r="F1120" s="330"/>
      <c r="H1120" s="713"/>
    </row>
    <row r="1121" spans="6:8" ht="15.75" customHeight="1" x14ac:dyDescent="0.4">
      <c r="F1121" s="330"/>
      <c r="H1121" s="713"/>
    </row>
    <row r="1122" spans="6:8" ht="15.75" customHeight="1" x14ac:dyDescent="0.4">
      <c r="F1122" s="330"/>
      <c r="H1122" s="713"/>
    </row>
    <row r="1123" spans="6:8" ht="15.75" customHeight="1" x14ac:dyDescent="0.4">
      <c r="F1123" s="330"/>
      <c r="H1123" s="713"/>
    </row>
    <row r="1124" spans="6:8" ht="15.75" customHeight="1" x14ac:dyDescent="0.4">
      <c r="F1124" s="330"/>
      <c r="H1124" s="713"/>
    </row>
    <row r="1125" spans="6:8" ht="15.75" customHeight="1" x14ac:dyDescent="0.4">
      <c r="F1125" s="330"/>
      <c r="H1125" s="713"/>
    </row>
    <row r="1126" spans="6:8" ht="15.75" customHeight="1" x14ac:dyDescent="0.4">
      <c r="F1126" s="330"/>
      <c r="H1126" s="713"/>
    </row>
    <row r="1127" spans="6:8" ht="15.75" customHeight="1" x14ac:dyDescent="0.4">
      <c r="F1127" s="330"/>
      <c r="H1127" s="713"/>
    </row>
    <row r="1128" spans="6:8" ht="15.75" customHeight="1" x14ac:dyDescent="0.4">
      <c r="F1128" s="330"/>
      <c r="H1128" s="713"/>
    </row>
    <row r="1129" spans="6:8" ht="15.75" customHeight="1" x14ac:dyDescent="0.4">
      <c r="F1129" s="330"/>
      <c r="H1129" s="713"/>
    </row>
    <row r="1130" spans="6:8" ht="15.75" customHeight="1" x14ac:dyDescent="0.4">
      <c r="F1130" s="330"/>
      <c r="H1130" s="713"/>
    </row>
    <row r="1131" spans="6:8" ht="15.75" customHeight="1" x14ac:dyDescent="0.4">
      <c r="F1131" s="330"/>
      <c r="H1131" s="713"/>
    </row>
    <row r="1132" spans="6:8" ht="15.75" customHeight="1" x14ac:dyDescent="0.4">
      <c r="F1132" s="330"/>
      <c r="H1132" s="713"/>
    </row>
    <row r="1133" spans="6:8" ht="15.75" customHeight="1" x14ac:dyDescent="0.4">
      <c r="F1133" s="330"/>
      <c r="H1133" s="713"/>
    </row>
    <row r="1134" spans="6:8" ht="15.75" customHeight="1" x14ac:dyDescent="0.4">
      <c r="F1134" s="330"/>
      <c r="H1134" s="713"/>
    </row>
    <row r="1135" spans="6:8" ht="15.75" customHeight="1" x14ac:dyDescent="0.4">
      <c r="F1135" s="330"/>
      <c r="H1135" s="713"/>
    </row>
    <row r="1136" spans="6:8" ht="15.75" customHeight="1" x14ac:dyDescent="0.4">
      <c r="F1136" s="330"/>
      <c r="H1136" s="713"/>
    </row>
    <row r="1137" spans="6:8" ht="15.75" customHeight="1" x14ac:dyDescent="0.4">
      <c r="F1137" s="330"/>
      <c r="H1137" s="713"/>
    </row>
    <row r="1138" spans="6:8" ht="15.75" customHeight="1" x14ac:dyDescent="0.4">
      <c r="F1138" s="330"/>
      <c r="H1138" s="713"/>
    </row>
    <row r="1139" spans="6:8" ht="15.75" customHeight="1" x14ac:dyDescent="0.4">
      <c r="F1139" s="330"/>
      <c r="H1139" s="713"/>
    </row>
    <row r="1140" spans="6:8" ht="15.75" customHeight="1" x14ac:dyDescent="0.4">
      <c r="F1140" s="330"/>
      <c r="H1140" s="713"/>
    </row>
    <row r="1141" spans="6:8" ht="15.75" customHeight="1" x14ac:dyDescent="0.4">
      <c r="F1141" s="330"/>
      <c r="H1141" s="713"/>
    </row>
    <row r="1142" spans="6:8" ht="15.75" customHeight="1" x14ac:dyDescent="0.4">
      <c r="F1142" s="330"/>
      <c r="H1142" s="713"/>
    </row>
    <row r="1143" spans="6:8" ht="15.75" customHeight="1" x14ac:dyDescent="0.4">
      <c r="F1143" s="330"/>
      <c r="H1143" s="713"/>
    </row>
    <row r="1144" spans="6:8" ht="15.75" customHeight="1" x14ac:dyDescent="0.4">
      <c r="F1144" s="330"/>
      <c r="H1144" s="713"/>
    </row>
    <row r="1145" spans="6:8" ht="15.75" customHeight="1" x14ac:dyDescent="0.4">
      <c r="F1145" s="330"/>
      <c r="H1145" s="713"/>
    </row>
    <row r="1146" spans="6:8" ht="15.75" customHeight="1" x14ac:dyDescent="0.4">
      <c r="F1146" s="330"/>
      <c r="H1146" s="713"/>
    </row>
    <row r="1147" spans="6:8" ht="15.75" customHeight="1" x14ac:dyDescent="0.4">
      <c r="F1147" s="330"/>
      <c r="H1147" s="713"/>
    </row>
    <row r="1148" spans="6:8" ht="15.75" customHeight="1" x14ac:dyDescent="0.4">
      <c r="F1148" s="330"/>
      <c r="H1148" s="713"/>
    </row>
    <row r="1149" spans="6:8" ht="15.75" customHeight="1" x14ac:dyDescent="0.4">
      <c r="F1149" s="330"/>
      <c r="H1149" s="713"/>
    </row>
    <row r="1150" spans="6:8" ht="15.75" customHeight="1" x14ac:dyDescent="0.4">
      <c r="F1150" s="330"/>
      <c r="H1150" s="713"/>
    </row>
    <row r="1151" spans="6:8" ht="15.75" customHeight="1" x14ac:dyDescent="0.4">
      <c r="F1151" s="330"/>
      <c r="H1151" s="713"/>
    </row>
    <row r="1152" spans="6:8" ht="15.75" customHeight="1" x14ac:dyDescent="0.4">
      <c r="F1152" s="330"/>
      <c r="H1152" s="713"/>
    </row>
    <row r="1153" spans="6:8" ht="15.75" customHeight="1" x14ac:dyDescent="0.4">
      <c r="F1153" s="330"/>
      <c r="H1153" s="713"/>
    </row>
    <row r="1154" spans="6:8" ht="15.75" customHeight="1" x14ac:dyDescent="0.4">
      <c r="F1154" s="330"/>
      <c r="H1154" s="713"/>
    </row>
    <row r="1155" spans="6:8" ht="15.75" customHeight="1" x14ac:dyDescent="0.4">
      <c r="F1155" s="330"/>
      <c r="H1155" s="713"/>
    </row>
    <row r="1156" spans="6:8" ht="15.75" customHeight="1" x14ac:dyDescent="0.4">
      <c r="F1156" s="330"/>
      <c r="H1156" s="713"/>
    </row>
    <row r="1157" spans="6:8" ht="15.75" customHeight="1" x14ac:dyDescent="0.4">
      <c r="F1157" s="330"/>
      <c r="H1157" s="713"/>
    </row>
    <row r="1158" spans="6:8" ht="15.75" customHeight="1" x14ac:dyDescent="0.4">
      <c r="F1158" s="330"/>
      <c r="H1158" s="713"/>
    </row>
    <row r="1159" spans="6:8" ht="15.75" customHeight="1" x14ac:dyDescent="0.4">
      <c r="F1159" s="330"/>
      <c r="H1159" s="713"/>
    </row>
    <row r="1160" spans="6:8" ht="15.75" customHeight="1" x14ac:dyDescent="0.4">
      <c r="F1160" s="330"/>
      <c r="H1160" s="713"/>
    </row>
    <row r="1161" spans="6:8" ht="15.75" customHeight="1" x14ac:dyDescent="0.4">
      <c r="F1161" s="330"/>
      <c r="H1161" s="713"/>
    </row>
    <row r="1162" spans="6:8" ht="15.75" customHeight="1" x14ac:dyDescent="0.4">
      <c r="F1162" s="330"/>
      <c r="H1162" s="713"/>
    </row>
    <row r="1163" spans="6:8" ht="15.75" customHeight="1" x14ac:dyDescent="0.4">
      <c r="F1163" s="330"/>
      <c r="H1163" s="713"/>
    </row>
    <row r="1164" spans="6:8" ht="15.75" customHeight="1" x14ac:dyDescent="0.4">
      <c r="F1164" s="330"/>
      <c r="H1164" s="713"/>
    </row>
    <row r="1165" spans="6:8" ht="15.75" customHeight="1" x14ac:dyDescent="0.4">
      <c r="F1165" s="330"/>
      <c r="H1165" s="713"/>
    </row>
    <row r="1166" spans="6:8" ht="15.75" customHeight="1" x14ac:dyDescent="0.4">
      <c r="F1166" s="330"/>
      <c r="H1166" s="713"/>
    </row>
    <row r="1167" spans="6:8" ht="15.75" customHeight="1" x14ac:dyDescent="0.4">
      <c r="F1167" s="330"/>
      <c r="H1167" s="713"/>
    </row>
    <row r="1168" spans="6:8" ht="15.75" customHeight="1" x14ac:dyDescent="0.4">
      <c r="F1168" s="330"/>
      <c r="H1168" s="713"/>
    </row>
    <row r="1169" spans="6:8" ht="15.75" customHeight="1" x14ac:dyDescent="0.4">
      <c r="F1169" s="330"/>
      <c r="H1169" s="713"/>
    </row>
    <row r="1170" spans="6:8" ht="15.75" customHeight="1" x14ac:dyDescent="0.4">
      <c r="F1170" s="330"/>
      <c r="H1170" s="713"/>
    </row>
    <row r="1171" spans="6:8" ht="15.75" customHeight="1" x14ac:dyDescent="0.4">
      <c r="F1171" s="330"/>
      <c r="H1171" s="713"/>
    </row>
    <row r="1172" spans="6:8" ht="15.75" customHeight="1" x14ac:dyDescent="0.4">
      <c r="F1172" s="330"/>
      <c r="H1172" s="713"/>
    </row>
    <row r="1173" spans="6:8" ht="15.75" customHeight="1" x14ac:dyDescent="0.4">
      <c r="F1173" s="330"/>
      <c r="H1173" s="713"/>
    </row>
    <row r="1174" spans="6:8" ht="15.75" customHeight="1" x14ac:dyDescent="0.4">
      <c r="F1174" s="330"/>
      <c r="H1174" s="713"/>
    </row>
    <row r="1175" spans="6:8" ht="15.75" customHeight="1" x14ac:dyDescent="0.4">
      <c r="F1175" s="330"/>
      <c r="H1175" s="713"/>
    </row>
    <row r="1176" spans="6:8" ht="15.75" customHeight="1" x14ac:dyDescent="0.4">
      <c r="F1176" s="330"/>
      <c r="H1176" s="713"/>
    </row>
    <row r="1177" spans="6:8" ht="15.75" customHeight="1" x14ac:dyDescent="0.4">
      <c r="F1177" s="330"/>
      <c r="H1177" s="713"/>
    </row>
    <row r="1178" spans="6:8" ht="15.75" customHeight="1" x14ac:dyDescent="0.4">
      <c r="F1178" s="330"/>
      <c r="H1178" s="713"/>
    </row>
    <row r="1179" spans="6:8" ht="15.75" customHeight="1" x14ac:dyDescent="0.4">
      <c r="F1179" s="330"/>
      <c r="H1179" s="713"/>
    </row>
    <row r="1180" spans="6:8" ht="15.75" customHeight="1" x14ac:dyDescent="0.4">
      <c r="F1180" s="330"/>
      <c r="H1180" s="713"/>
    </row>
    <row r="1181" spans="6:8" ht="15.75" customHeight="1" x14ac:dyDescent="0.4">
      <c r="F1181" s="330"/>
      <c r="H1181" s="713"/>
    </row>
    <row r="1182" spans="6:8" ht="15.75" customHeight="1" x14ac:dyDescent="0.4">
      <c r="F1182" s="330"/>
      <c r="H1182" s="713"/>
    </row>
    <row r="1183" spans="6:8" ht="15.75" customHeight="1" x14ac:dyDescent="0.4">
      <c r="F1183" s="330"/>
      <c r="H1183" s="713"/>
    </row>
    <row r="1184" spans="6:8" ht="15.75" customHeight="1" x14ac:dyDescent="0.4">
      <c r="F1184" s="330"/>
      <c r="H1184" s="713"/>
    </row>
    <row r="1185" spans="6:8" ht="15.75" customHeight="1" x14ac:dyDescent="0.4">
      <c r="F1185" s="330"/>
      <c r="H1185" s="713"/>
    </row>
    <row r="1186" spans="6:8" ht="15.75" customHeight="1" x14ac:dyDescent="0.4">
      <c r="F1186" s="330"/>
      <c r="H1186" s="713"/>
    </row>
    <row r="1187" spans="6:8" ht="15.75" customHeight="1" x14ac:dyDescent="0.4">
      <c r="F1187" s="330"/>
      <c r="H1187" s="713"/>
    </row>
    <row r="1188" spans="6:8" ht="15.75" customHeight="1" x14ac:dyDescent="0.4">
      <c r="F1188" s="330"/>
      <c r="H1188" s="713"/>
    </row>
    <row r="1189" spans="6:8" ht="15.75" customHeight="1" x14ac:dyDescent="0.4">
      <c r="F1189" s="330"/>
      <c r="H1189" s="713"/>
    </row>
    <row r="1190" spans="6:8" ht="15.75" customHeight="1" x14ac:dyDescent="0.4">
      <c r="F1190" s="330"/>
      <c r="H1190" s="713"/>
    </row>
    <row r="1191" spans="6:8" ht="15.75" customHeight="1" x14ac:dyDescent="0.4">
      <c r="F1191" s="330"/>
      <c r="H1191" s="713"/>
    </row>
    <row r="1192" spans="6:8" ht="15.75" customHeight="1" x14ac:dyDescent="0.4">
      <c r="F1192" s="330"/>
      <c r="H1192" s="713"/>
    </row>
    <row r="1193" spans="6:8" ht="15.75" customHeight="1" x14ac:dyDescent="0.4">
      <c r="F1193" s="330"/>
      <c r="H1193" s="713"/>
    </row>
    <row r="1194" spans="6:8" ht="15.75" customHeight="1" x14ac:dyDescent="0.4">
      <c r="F1194" s="330"/>
      <c r="H1194" s="713"/>
    </row>
    <row r="1195" spans="6:8" ht="15.75" customHeight="1" x14ac:dyDescent="0.4">
      <c r="F1195" s="330"/>
      <c r="H1195" s="713"/>
    </row>
    <row r="1196" spans="6:8" ht="15.75" customHeight="1" x14ac:dyDescent="0.4">
      <c r="F1196" s="330"/>
      <c r="H1196" s="713"/>
    </row>
    <row r="1197" spans="6:8" ht="15.75" customHeight="1" x14ac:dyDescent="0.4">
      <c r="F1197" s="330"/>
      <c r="H1197" s="713"/>
    </row>
    <row r="1198" spans="6:8" ht="15.75" customHeight="1" x14ac:dyDescent="0.4">
      <c r="F1198" s="330"/>
      <c r="H1198" s="713"/>
    </row>
    <row r="1199" spans="6:8" ht="15.75" customHeight="1" x14ac:dyDescent="0.4">
      <c r="F1199" s="330"/>
      <c r="H1199" s="713"/>
    </row>
    <row r="1200" spans="6:8" ht="15.75" customHeight="1" x14ac:dyDescent="0.4">
      <c r="F1200" s="330"/>
      <c r="H1200" s="713"/>
    </row>
    <row r="1201" spans="6:8" ht="15.75" customHeight="1" x14ac:dyDescent="0.4">
      <c r="F1201" s="330"/>
      <c r="H1201" s="713"/>
    </row>
    <row r="1202" spans="6:8" ht="15.75" customHeight="1" x14ac:dyDescent="0.4">
      <c r="F1202" s="330"/>
      <c r="H1202" s="713"/>
    </row>
    <row r="1203" spans="6:8" ht="15.75" customHeight="1" x14ac:dyDescent="0.4">
      <c r="F1203" s="330"/>
      <c r="H1203" s="713"/>
    </row>
    <row r="1204" spans="6:8" ht="15.75" customHeight="1" x14ac:dyDescent="0.4">
      <c r="F1204" s="330"/>
      <c r="H1204" s="713"/>
    </row>
    <row r="1205" spans="6:8" ht="15.75" customHeight="1" x14ac:dyDescent="0.4">
      <c r="F1205" s="330"/>
      <c r="H1205" s="713"/>
    </row>
    <row r="1206" spans="6:8" ht="15.75" customHeight="1" x14ac:dyDescent="0.4">
      <c r="F1206" s="330"/>
      <c r="H1206" s="713"/>
    </row>
    <row r="1207" spans="6:8" ht="15.75" customHeight="1" x14ac:dyDescent="0.4">
      <c r="F1207" s="330"/>
      <c r="H1207" s="713"/>
    </row>
    <row r="1208" spans="6:8" ht="15.75" customHeight="1" x14ac:dyDescent="0.4">
      <c r="F1208" s="330"/>
      <c r="H1208" s="713"/>
    </row>
    <row r="1209" spans="6:8" ht="15.75" customHeight="1" x14ac:dyDescent="0.4">
      <c r="F1209" s="330"/>
      <c r="H1209" s="713"/>
    </row>
    <row r="1210" spans="6:8" ht="15.75" customHeight="1" x14ac:dyDescent="0.4">
      <c r="F1210" s="330"/>
      <c r="H1210" s="713"/>
    </row>
    <row r="1211" spans="6:8" ht="15.75" customHeight="1" x14ac:dyDescent="0.4">
      <c r="F1211" s="330"/>
      <c r="H1211" s="713"/>
    </row>
    <row r="1212" spans="6:8" ht="15.75" customHeight="1" x14ac:dyDescent="0.4">
      <c r="F1212" s="330"/>
      <c r="H1212" s="713"/>
    </row>
    <row r="1213" spans="6:8" ht="15.75" customHeight="1" x14ac:dyDescent="0.4">
      <c r="F1213" s="330"/>
      <c r="H1213" s="713"/>
    </row>
    <row r="1214" spans="6:8" ht="15.75" customHeight="1" x14ac:dyDescent="0.4">
      <c r="F1214" s="330"/>
      <c r="H1214" s="713"/>
    </row>
    <row r="1215" spans="6:8" ht="15.75" customHeight="1" x14ac:dyDescent="0.4">
      <c r="F1215" s="330"/>
      <c r="H1215" s="713"/>
    </row>
    <row r="1216" spans="6:8" ht="15.75" customHeight="1" x14ac:dyDescent="0.4">
      <c r="F1216" s="330"/>
      <c r="H1216" s="713"/>
    </row>
    <row r="1217" spans="6:8" ht="15.75" customHeight="1" x14ac:dyDescent="0.4">
      <c r="F1217" s="330"/>
      <c r="H1217" s="713"/>
    </row>
    <row r="1218" spans="6:8" ht="15.75" customHeight="1" x14ac:dyDescent="0.4">
      <c r="F1218" s="330"/>
      <c r="H1218" s="713"/>
    </row>
    <row r="1219" spans="6:8" ht="15.75" customHeight="1" x14ac:dyDescent="0.4">
      <c r="F1219" s="330"/>
      <c r="H1219" s="713"/>
    </row>
    <row r="1220" spans="6:8" ht="15.75" customHeight="1" x14ac:dyDescent="0.4">
      <c r="F1220" s="330"/>
      <c r="H1220" s="713"/>
    </row>
    <row r="1221" spans="6:8" ht="15.75" customHeight="1" x14ac:dyDescent="0.4">
      <c r="F1221" s="330"/>
      <c r="H1221" s="713"/>
    </row>
    <row r="1222" spans="6:8" ht="15.75" customHeight="1" x14ac:dyDescent="0.4">
      <c r="F1222" s="330"/>
      <c r="H1222" s="713"/>
    </row>
    <row r="1223" spans="6:8" ht="15.75" customHeight="1" x14ac:dyDescent="0.4">
      <c r="F1223" s="330"/>
      <c r="H1223" s="713"/>
    </row>
    <row r="1224" spans="6:8" ht="15.75" customHeight="1" x14ac:dyDescent="0.4">
      <c r="F1224" s="330"/>
      <c r="H1224" s="713"/>
    </row>
    <row r="1225" spans="6:8" ht="15.75" customHeight="1" x14ac:dyDescent="0.4">
      <c r="F1225" s="330"/>
      <c r="H1225" s="713"/>
    </row>
    <row r="1226" spans="6:8" ht="15.75" customHeight="1" x14ac:dyDescent="0.4">
      <c r="F1226" s="330"/>
      <c r="H1226" s="713"/>
    </row>
    <row r="1227" spans="6:8" ht="15.75" customHeight="1" x14ac:dyDescent="0.4">
      <c r="F1227" s="330"/>
      <c r="H1227" s="713"/>
    </row>
    <row r="1228" spans="6:8" ht="15.75" customHeight="1" x14ac:dyDescent="0.4">
      <c r="F1228" s="330"/>
      <c r="H1228" s="713"/>
    </row>
    <row r="1229" spans="6:8" ht="15.75" customHeight="1" x14ac:dyDescent="0.4">
      <c r="F1229" s="330"/>
      <c r="H1229" s="713"/>
    </row>
    <row r="1230" spans="6:8" ht="15.75" customHeight="1" x14ac:dyDescent="0.4">
      <c r="F1230" s="330"/>
      <c r="H1230" s="713"/>
    </row>
    <row r="1231" spans="6:8" ht="15.75" customHeight="1" x14ac:dyDescent="0.4">
      <c r="F1231" s="330"/>
      <c r="H1231" s="713"/>
    </row>
    <row r="1232" spans="6:8" ht="15.75" customHeight="1" x14ac:dyDescent="0.4">
      <c r="F1232" s="330"/>
      <c r="H1232" s="713"/>
    </row>
    <row r="1233" spans="6:8" ht="15.75" customHeight="1" x14ac:dyDescent="0.4">
      <c r="F1233" s="330"/>
      <c r="H1233" s="713"/>
    </row>
    <row r="1234" spans="6:8" ht="15.75" customHeight="1" x14ac:dyDescent="0.4">
      <c r="F1234" s="330"/>
      <c r="H1234" s="713"/>
    </row>
    <row r="1235" spans="6:8" ht="15.75" customHeight="1" x14ac:dyDescent="0.4">
      <c r="F1235" s="330"/>
      <c r="H1235" s="713"/>
    </row>
    <row r="1236" spans="6:8" ht="15.75" customHeight="1" x14ac:dyDescent="0.4">
      <c r="F1236" s="330"/>
      <c r="H1236" s="713"/>
    </row>
    <row r="1237" spans="6:8" ht="15.75" customHeight="1" x14ac:dyDescent="0.4">
      <c r="F1237" s="330"/>
      <c r="H1237" s="713"/>
    </row>
    <row r="1238" spans="6:8" ht="15.75" customHeight="1" x14ac:dyDescent="0.4">
      <c r="F1238" s="330"/>
      <c r="H1238" s="713"/>
    </row>
    <row r="1239" spans="6:8" ht="15.75" customHeight="1" x14ac:dyDescent="0.4">
      <c r="F1239" s="330"/>
      <c r="H1239" s="713"/>
    </row>
    <row r="1240" spans="6:8" ht="15.75" customHeight="1" x14ac:dyDescent="0.4">
      <c r="F1240" s="330"/>
      <c r="H1240" s="713"/>
    </row>
    <row r="1241" spans="6:8" ht="15.75" customHeight="1" x14ac:dyDescent="0.4">
      <c r="F1241" s="330"/>
      <c r="H1241" s="713"/>
    </row>
    <row r="1242" spans="6:8" ht="15.75" customHeight="1" x14ac:dyDescent="0.4">
      <c r="F1242" s="330"/>
      <c r="H1242" s="713"/>
    </row>
    <row r="1243" spans="6:8" ht="15.75" customHeight="1" x14ac:dyDescent="0.4">
      <c r="F1243" s="330"/>
      <c r="H1243" s="713"/>
    </row>
    <row r="1244" spans="6:8" ht="15.75" customHeight="1" x14ac:dyDescent="0.4">
      <c r="F1244" s="330"/>
      <c r="H1244" s="713"/>
    </row>
    <row r="1245" spans="6:8" ht="15.75" customHeight="1" x14ac:dyDescent="0.4">
      <c r="F1245" s="330"/>
      <c r="H1245" s="713"/>
    </row>
    <row r="1246" spans="6:8" ht="15.75" customHeight="1" x14ac:dyDescent="0.4">
      <c r="F1246" s="330"/>
      <c r="H1246" s="713"/>
    </row>
    <row r="1247" spans="6:8" ht="15.75" customHeight="1" x14ac:dyDescent="0.4">
      <c r="F1247" s="330"/>
      <c r="H1247" s="713"/>
    </row>
    <row r="1248" spans="6:8" ht="15.75" customHeight="1" x14ac:dyDescent="0.4">
      <c r="F1248" s="330"/>
      <c r="H1248" s="713"/>
    </row>
    <row r="1249" spans="6:8" ht="15.75" customHeight="1" x14ac:dyDescent="0.4">
      <c r="F1249" s="330"/>
      <c r="H1249" s="713"/>
    </row>
    <row r="1250" spans="6:8" ht="15.75" customHeight="1" x14ac:dyDescent="0.4">
      <c r="F1250" s="330"/>
      <c r="H1250" s="713"/>
    </row>
    <row r="1251" spans="6:8" ht="15.75" customHeight="1" x14ac:dyDescent="0.4">
      <c r="F1251" s="330"/>
      <c r="H1251" s="713"/>
    </row>
    <row r="1252" spans="6:8" ht="15.75" customHeight="1" x14ac:dyDescent="0.4">
      <c r="F1252" s="330"/>
      <c r="H1252" s="713"/>
    </row>
    <row r="1253" spans="6:8" ht="15.75" customHeight="1" x14ac:dyDescent="0.4">
      <c r="F1253" s="330"/>
      <c r="H1253" s="713"/>
    </row>
    <row r="1254" spans="6:8" ht="15.75" customHeight="1" x14ac:dyDescent="0.4">
      <c r="F1254" s="330"/>
      <c r="H1254" s="713"/>
    </row>
    <row r="1255" spans="6:8" ht="15.75" customHeight="1" x14ac:dyDescent="0.4">
      <c r="F1255" s="330"/>
      <c r="H1255" s="713"/>
    </row>
  </sheetData>
  <sheetProtection algorithmName="SHA-512" hashValue="heRaTRFtMqMROEIskuQdK6zUVks214VqY/lDBrDB3cuFc+M+uxy4xCMT5J29CGSO9/QaTxF0eMcLehjhwKs6nQ==" saltValue="At+bQE2sWXf6z334/kRP6w==" spinCount="100000" sheet="1" objects="1" scenarios="1"/>
  <mergeCells count="175">
    <mergeCell ref="M129:N129"/>
    <mergeCell ref="M131:N131"/>
    <mergeCell ref="M134:N134"/>
    <mergeCell ref="M127:N127"/>
    <mergeCell ref="M133:N133"/>
    <mergeCell ref="M142:N142"/>
    <mergeCell ref="M135:N135"/>
    <mergeCell ref="M136:N136"/>
    <mergeCell ref="M137:N137"/>
    <mergeCell ref="M138:N138"/>
    <mergeCell ref="M140:N140"/>
    <mergeCell ref="M120:N120"/>
    <mergeCell ref="M122:N122"/>
    <mergeCell ref="M123:N123"/>
    <mergeCell ref="M124:N124"/>
    <mergeCell ref="M126:N126"/>
    <mergeCell ref="M110:N110"/>
    <mergeCell ref="M112:N112"/>
    <mergeCell ref="M116:N116"/>
    <mergeCell ref="M117:N117"/>
    <mergeCell ref="M118:N118"/>
    <mergeCell ref="M115:N115"/>
    <mergeCell ref="M121:N121"/>
    <mergeCell ref="M125:N125"/>
    <mergeCell ref="M102:N102"/>
    <mergeCell ref="M103:N103"/>
    <mergeCell ref="M104:N104"/>
    <mergeCell ref="M106:N106"/>
    <mergeCell ref="M109:N109"/>
    <mergeCell ref="M94:N94"/>
    <mergeCell ref="M95:N95"/>
    <mergeCell ref="M96:N96"/>
    <mergeCell ref="M98:N98"/>
    <mergeCell ref="M101:N101"/>
    <mergeCell ref="M100:N100"/>
    <mergeCell ref="M85:N85"/>
    <mergeCell ref="M88:N88"/>
    <mergeCell ref="M89:N89"/>
    <mergeCell ref="M90:N90"/>
    <mergeCell ref="M93:N93"/>
    <mergeCell ref="M80:N80"/>
    <mergeCell ref="M81:N81"/>
    <mergeCell ref="M82:N82"/>
    <mergeCell ref="M83:N83"/>
    <mergeCell ref="M84:N84"/>
    <mergeCell ref="M92:N92"/>
    <mergeCell ref="M87:N87"/>
    <mergeCell ref="M71:N71"/>
    <mergeCell ref="M78:N78"/>
    <mergeCell ref="M79:N79"/>
    <mergeCell ref="M63:N63"/>
    <mergeCell ref="M65:N65"/>
    <mergeCell ref="M66:N66"/>
    <mergeCell ref="M67:N67"/>
    <mergeCell ref="M68:N68"/>
    <mergeCell ref="M74:N74"/>
    <mergeCell ref="M77:N77"/>
    <mergeCell ref="M61:N61"/>
    <mergeCell ref="M62:N62"/>
    <mergeCell ref="M52:N52"/>
    <mergeCell ref="M53:N53"/>
    <mergeCell ref="M54:N54"/>
    <mergeCell ref="M55:N55"/>
    <mergeCell ref="M57:N57"/>
    <mergeCell ref="M69:N69"/>
    <mergeCell ref="M70:N70"/>
    <mergeCell ref="M49:N49"/>
    <mergeCell ref="M50:N50"/>
    <mergeCell ref="M51:N51"/>
    <mergeCell ref="M38:N38"/>
    <mergeCell ref="M39:N39"/>
    <mergeCell ref="M42:N42"/>
    <mergeCell ref="M58:N58"/>
    <mergeCell ref="M59:N59"/>
    <mergeCell ref="M60:N60"/>
    <mergeCell ref="M36:N36"/>
    <mergeCell ref="M37:N37"/>
    <mergeCell ref="M27:N27"/>
    <mergeCell ref="M28:N28"/>
    <mergeCell ref="M29:N29"/>
    <mergeCell ref="M30:N30"/>
    <mergeCell ref="M31:N31"/>
    <mergeCell ref="M43:N43"/>
    <mergeCell ref="M46:N46"/>
    <mergeCell ref="M24:N24"/>
    <mergeCell ref="M26:N26"/>
    <mergeCell ref="M15:N15"/>
    <mergeCell ref="M16:N16"/>
    <mergeCell ref="M18:N18"/>
    <mergeCell ref="M19:N19"/>
    <mergeCell ref="M20:N20"/>
    <mergeCell ref="M32:N32"/>
    <mergeCell ref="M35:N35"/>
    <mergeCell ref="A142:B142"/>
    <mergeCell ref="B130:C130"/>
    <mergeCell ref="B6:C6"/>
    <mergeCell ref="M14:N14"/>
    <mergeCell ref="M7:N7"/>
    <mergeCell ref="M10:N10"/>
    <mergeCell ref="M11:N11"/>
    <mergeCell ref="M12:N12"/>
    <mergeCell ref="M13:N13"/>
    <mergeCell ref="A129:B129"/>
    <mergeCell ref="A47:C47"/>
    <mergeCell ref="A116:B118"/>
    <mergeCell ref="B128:C128"/>
    <mergeCell ref="A120:B127"/>
    <mergeCell ref="A113:C113"/>
    <mergeCell ref="B99:C99"/>
    <mergeCell ref="B76:C76"/>
    <mergeCell ref="A77:B85"/>
    <mergeCell ref="A88:B90"/>
    <mergeCell ref="B91:C91"/>
    <mergeCell ref="B97:C97"/>
    <mergeCell ref="M21:N21"/>
    <mergeCell ref="M22:N22"/>
    <mergeCell ref="M23:N23"/>
    <mergeCell ref="B34:C34"/>
    <mergeCell ref="A35:B39"/>
    <mergeCell ref="B86:C86"/>
    <mergeCell ref="A98:B98"/>
    <mergeCell ref="A101:B104"/>
    <mergeCell ref="A131:B131"/>
    <mergeCell ref="A140:B140"/>
    <mergeCell ref="B141:C141"/>
    <mergeCell ref="B132:C132"/>
    <mergeCell ref="B139:C139"/>
    <mergeCell ref="A33:C33"/>
    <mergeCell ref="A7:B7"/>
    <mergeCell ref="B17:C17"/>
    <mergeCell ref="A18:B24"/>
    <mergeCell ref="B25:C25"/>
    <mergeCell ref="A5:C5"/>
    <mergeCell ref="B119:C119"/>
    <mergeCell ref="B105:C105"/>
    <mergeCell ref="A107:C107"/>
    <mergeCell ref="B108:C108"/>
    <mergeCell ref="B111:C111"/>
    <mergeCell ref="A109:B109"/>
    <mergeCell ref="A110:B110"/>
    <mergeCell ref="A112:B112"/>
    <mergeCell ref="B114:C114"/>
    <mergeCell ref="A44:C44"/>
    <mergeCell ref="A46:B46"/>
    <mergeCell ref="A26:B32"/>
    <mergeCell ref="B9:C9"/>
    <mergeCell ref="A10:B16"/>
    <mergeCell ref="B45:C45"/>
    <mergeCell ref="A65:B71"/>
    <mergeCell ref="A40:C40"/>
    <mergeCell ref="B41:C41"/>
    <mergeCell ref="M3:N4"/>
    <mergeCell ref="D1:N1"/>
    <mergeCell ref="A75:C75"/>
    <mergeCell ref="B73:C73"/>
    <mergeCell ref="B48:C48"/>
    <mergeCell ref="A49:B55"/>
    <mergeCell ref="A72:C72"/>
    <mergeCell ref="A57:B63"/>
    <mergeCell ref="B64:C64"/>
    <mergeCell ref="B56:C56"/>
    <mergeCell ref="J3:J4"/>
    <mergeCell ref="A8:C8"/>
    <mergeCell ref="A1:C1"/>
    <mergeCell ref="A2:O2"/>
    <mergeCell ref="D3:D4"/>
    <mergeCell ref="E3:E4"/>
    <mergeCell ref="L3:L4"/>
    <mergeCell ref="F3:F4"/>
    <mergeCell ref="G3:G4"/>
    <mergeCell ref="C3:C4"/>
    <mergeCell ref="A3:B4"/>
    <mergeCell ref="H3:H4"/>
    <mergeCell ref="I3:I4"/>
    <mergeCell ref="K3:K4"/>
  </mergeCells>
  <conditionalFormatting sqref="K6:K143">
    <cfRule type="expression" dxfId="339" priority="59">
      <formula>H6=1</formula>
    </cfRule>
  </conditionalFormatting>
  <conditionalFormatting sqref="I7:I143">
    <cfRule type="cellIs" dxfId="338" priority="37" operator="lessThan">
      <formula>0</formula>
    </cfRule>
  </conditionalFormatting>
  <conditionalFormatting sqref="L6:L143">
    <cfRule type="cellIs" dxfId="337" priority="3" operator="greaterThan">
      <formula>0</formula>
    </cfRule>
    <cfRule type="cellIs" dxfId="336" priority="14" operator="equal">
      <formula>0</formula>
    </cfRule>
  </conditionalFormatting>
  <conditionalFormatting sqref="O6:O143">
    <cfRule type="containsText" dxfId="335" priority="40" operator="containsText" text="Expired">
      <formula>NOT(ISERROR(SEARCH("Expired",O6)))</formula>
    </cfRule>
    <cfRule type="containsText" dxfId="334" priority="51" operator="containsText" text="B1">
      <formula>NOT(ISERROR(SEARCH("B1",O6)))</formula>
    </cfRule>
    <cfRule type="containsText" dxfId="333" priority="52" operator="containsText" text="LCA">
      <formula>NOT(ISERROR(SEARCH("LCA",O6)))</formula>
    </cfRule>
    <cfRule type="containsText" dxfId="332" priority="53" operator="containsText" text="ICE">
      <formula>NOT(ISERROR(SEARCH("ICE",O6)))</formula>
    </cfRule>
    <cfRule type="containsText" dxfId="331" priority="54" operator="containsText" text="No">
      <formula>NOT(ISERROR(SEARCH("No",O6)))</formula>
    </cfRule>
    <cfRule type="containsText" dxfId="330" priority="55" operator="containsText" text="None">
      <formula>NOT(ISERROR(SEARCH("None",O6)))</formula>
    </cfRule>
    <cfRule type="containsText" dxfId="329" priority="57" operator="containsText" text="A1-">
      <formula>NOT(ISERROR(SEARCH("A1-",O6)))</formula>
    </cfRule>
  </conditionalFormatting>
  <conditionalFormatting sqref="P4">
    <cfRule type="cellIs" dxfId="328" priority="1" operator="greaterThan">
      <formula>0</formula>
    </cfRule>
    <cfRule type="cellIs" dxfId="327" priority="2" operator="equal">
      <formula>0</formula>
    </cfRule>
  </conditionalFormatting>
  <conditionalFormatting sqref="O4">
    <cfRule type="expression" dxfId="326" priority="63">
      <formula>COUNTIF($H:$H, 1)&gt;0</formula>
    </cfRule>
  </conditionalFormatting>
  <dataValidations count="2">
    <dataValidation type="list" allowBlank="1" showErrorMessage="1" sqref="F5 F47" xr:uid="{00000000-0002-0000-0700-000000000000}">
      <formula1>thickness</formula1>
    </dataValidation>
    <dataValidation type="whole" errorStyle="warning" operator="equal" allowBlank="1" showErrorMessage="1" errorTitle="Enter 1 to select" error="Options:_x000a_To select item, enter '1'_x000a_To unselect, leave cell empty" sqref="H7 H10:H46 H49:H142" xr:uid="{00000000-0002-0000-0700-000001000000}">
      <formula1>1</formula1>
    </dataValidation>
  </dataValidations>
  <pageMargins left="0.7" right="0.7" top="0.75" bottom="0.75" header="0" footer="0"/>
  <pageSetup orientation="landscape" r:id="rId1"/>
  <headerFooter>
    <oddHeader>&amp;R&amp;"Aptos"&amp;12&amp;K000000 UNCLASSIFIED - NON CLASSIFIÉ&amp;1#_x000D_</oddHeader>
  </headerFooter>
  <ignoredErrors>
    <ignoredError sqref="K121:L121 K125:L125" formula="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tabColor theme="5" tint="0.39997558519241921"/>
  </sheetPr>
  <dimension ref="A1:AA1351"/>
  <sheetViews>
    <sheetView zoomScale="80" zoomScaleNormal="80" workbookViewId="0">
      <pane ySplit="4" topLeftCell="A5" activePane="bottomLeft" state="frozen"/>
      <selection activeCell="K14" sqref="K14"/>
      <selection pane="bottomLeft" activeCell="A5" sqref="A5:C5"/>
    </sheetView>
  </sheetViews>
  <sheetFormatPr defaultColWidth="11.36328125" defaultRowHeight="15" customHeight="1" x14ac:dyDescent="0.25"/>
  <cols>
    <col min="1" max="1" width="8.6328125" customWidth="1"/>
    <col min="2" max="2" width="13.08984375" customWidth="1"/>
    <col min="3" max="3" width="57.54296875" customWidth="1"/>
    <col min="4" max="4" width="19.81640625" style="712" customWidth="1"/>
    <col min="5" max="5" width="5.6328125" customWidth="1"/>
    <col min="6" max="6" width="6.6328125" style="331" customWidth="1"/>
    <col min="7" max="7" width="2.36328125" customWidth="1"/>
    <col min="8" max="8" width="6.6328125" customWidth="1"/>
    <col min="9" max="9" width="13.6328125" style="714" hidden="1" customWidth="1"/>
    <col min="10" max="10" width="16.6328125" style="714" hidden="1" customWidth="1"/>
    <col min="11" max="12" width="13.6328125" style="714" customWidth="1"/>
    <col min="13" max="13" width="12.6328125" style="714" customWidth="1"/>
    <col min="14" max="14" width="35.90625" style="714" customWidth="1"/>
    <col min="15" max="15" width="28.6328125" customWidth="1"/>
    <col min="16" max="16" width="28.6328125" style="620" customWidth="1"/>
    <col min="17" max="17" width="13.1796875" style="717" customWidth="1"/>
    <col min="18" max="18" width="11.36328125" style="717" customWidth="1"/>
    <col min="19" max="26" width="10.54296875" style="619" customWidth="1"/>
    <col min="27" max="16384" width="11.36328125" style="619"/>
  </cols>
  <sheetData>
    <row r="1" spans="1:27" ht="54.75" customHeight="1" x14ac:dyDescent="0.25">
      <c r="A1" s="1528" t="s">
        <v>3423</v>
      </c>
      <c r="B1" s="1529"/>
      <c r="C1" s="1530"/>
      <c r="D1" s="1521" t="s">
        <v>32</v>
      </c>
      <c r="E1" s="1521"/>
      <c r="F1" s="1521"/>
      <c r="G1" s="1521"/>
      <c r="H1" s="1521"/>
      <c r="I1" s="1521"/>
      <c r="J1" s="1521"/>
      <c r="K1" s="1521"/>
      <c r="L1" s="1521"/>
      <c r="M1" s="716"/>
      <c r="N1" s="716"/>
      <c r="O1" s="618"/>
      <c r="P1" s="618"/>
    </row>
    <row r="2" spans="1:27" ht="18.149999999999999" customHeight="1" x14ac:dyDescent="0.3">
      <c r="A2" s="1531" t="s">
        <v>7209</v>
      </c>
      <c r="B2" s="1531"/>
      <c r="C2" s="1531"/>
      <c r="D2" s="1531"/>
      <c r="E2" s="1531"/>
      <c r="F2" s="1531"/>
      <c r="G2" s="1531"/>
      <c r="H2" s="1531"/>
      <c r="I2" s="1531"/>
      <c r="J2" s="1531"/>
      <c r="K2" s="1531"/>
      <c r="L2" s="1531"/>
      <c r="M2" s="1531"/>
      <c r="N2" s="1531"/>
      <c r="O2" s="1531"/>
      <c r="AA2" s="621"/>
    </row>
    <row r="3" spans="1:27" ht="60" customHeight="1" x14ac:dyDescent="0.25">
      <c r="A3" s="1586" t="s">
        <v>1031</v>
      </c>
      <c r="B3" s="1586"/>
      <c r="C3" s="1586" t="s">
        <v>13</v>
      </c>
      <c r="D3" s="1582" t="s">
        <v>1583</v>
      </c>
      <c r="E3" s="1584"/>
      <c r="F3" s="1586" t="s">
        <v>14</v>
      </c>
      <c r="G3" s="1586"/>
      <c r="H3" s="1538" t="s">
        <v>3417</v>
      </c>
      <c r="I3" s="1526" t="s">
        <v>7157</v>
      </c>
      <c r="J3" s="1526" t="s">
        <v>7158</v>
      </c>
      <c r="K3" s="1535" t="s">
        <v>900</v>
      </c>
      <c r="L3" s="1535" t="s">
        <v>7156</v>
      </c>
      <c r="M3" s="1520" t="s">
        <v>7165</v>
      </c>
      <c r="N3" s="1520"/>
      <c r="O3" s="622" t="s">
        <v>7184</v>
      </c>
      <c r="P3" s="622" t="s">
        <v>7185</v>
      </c>
      <c r="AA3" s="623"/>
    </row>
    <row r="4" spans="1:27" ht="30.15" customHeight="1" x14ac:dyDescent="0.3">
      <c r="A4" s="1586"/>
      <c r="B4" s="1586"/>
      <c r="C4" s="1586"/>
      <c r="D4" s="1583"/>
      <c r="E4" s="1585"/>
      <c r="F4" s="1586"/>
      <c r="G4" s="1586"/>
      <c r="H4" s="1539"/>
      <c r="I4" s="1527"/>
      <c r="J4" s="1527"/>
      <c r="K4" s="1536"/>
      <c r="L4" s="1536"/>
      <c r="M4" s="1520"/>
      <c r="N4" s="1520"/>
      <c r="O4" s="405">
        <f>SUMIF(H6:H275, 1, K6:K275)</f>
        <v>0</v>
      </c>
      <c r="P4" s="424">
        <f>SUMIF(H6:H275, 1, L6:L275)</f>
        <v>0</v>
      </c>
      <c r="Q4" s="626" t="s">
        <v>107</v>
      </c>
      <c r="R4" s="626" t="s">
        <v>1072</v>
      </c>
      <c r="S4" s="627" t="s">
        <v>749</v>
      </c>
      <c r="T4" s="627" t="s">
        <v>108</v>
      </c>
      <c r="AA4" s="627"/>
    </row>
    <row r="5" spans="1:27" s="624" customFormat="1" ht="54.75" customHeight="1" x14ac:dyDescent="0.25">
      <c r="A5" s="1522" t="s">
        <v>1057</v>
      </c>
      <c r="B5" s="1523"/>
      <c r="C5" s="1523"/>
      <c r="D5" s="629" t="s">
        <v>19</v>
      </c>
      <c r="E5" s="1"/>
      <c r="F5" s="318" t="s">
        <v>20</v>
      </c>
      <c r="G5" s="718" t="s">
        <v>21</v>
      </c>
      <c r="H5" s="12">
        <f>IF(F5="mm",E5/1000,E5*2.54/100)</f>
        <v>0</v>
      </c>
      <c r="I5" s="631" t="s">
        <v>22</v>
      </c>
      <c r="J5" s="632"/>
      <c r="K5" s="719"/>
      <c r="L5" s="720"/>
      <c r="M5" s="720"/>
      <c r="N5" s="720"/>
      <c r="O5" s="721"/>
      <c r="P5" s="637"/>
      <c r="Q5" s="722"/>
      <c r="R5" s="722"/>
      <c r="S5" s="638"/>
      <c r="T5" s="638"/>
      <c r="U5" s="638"/>
      <c r="V5" s="638"/>
      <c r="W5" s="638"/>
      <c r="X5" s="638"/>
      <c r="Y5" s="638"/>
      <c r="Z5" s="638"/>
      <c r="AA5" s="638"/>
    </row>
    <row r="6" spans="1:27" ht="23.85" customHeight="1" x14ac:dyDescent="0.25">
      <c r="A6" s="639"/>
      <c r="B6" s="1524" t="s">
        <v>1349</v>
      </c>
      <c r="C6" s="1524"/>
      <c r="D6" s="656"/>
      <c r="E6" s="641"/>
      <c r="F6" s="322"/>
      <c r="G6" s="657"/>
      <c r="H6" s="657"/>
      <c r="I6" s="658"/>
      <c r="J6" s="659"/>
      <c r="K6" s="723"/>
      <c r="L6" s="661"/>
      <c r="M6" s="677"/>
      <c r="N6" s="677"/>
      <c r="O6" s="25" t="str">
        <f>_xlfn.IFNA(VLOOKUP($C6,'Master sheet'!$A:$AR,44,FALSE),"")&amp;""</f>
        <v/>
      </c>
      <c r="P6" s="663"/>
      <c r="Q6" s="30"/>
      <c r="R6" s="21"/>
      <c r="S6" s="664"/>
      <c r="T6" s="664"/>
      <c r="U6" s="664"/>
      <c r="V6" s="664"/>
      <c r="W6" s="664"/>
      <c r="X6" s="664"/>
      <c r="Y6" s="664"/>
      <c r="Z6" s="664"/>
      <c r="AA6" s="638"/>
    </row>
    <row r="7" spans="1:27" ht="31.5" customHeight="1" x14ac:dyDescent="0.25">
      <c r="A7" s="1525" t="s">
        <v>786</v>
      </c>
      <c r="B7" s="1525"/>
      <c r="C7" s="667" t="str" cm="1">
        <f t="array" ref="C7">INDEX('Master sheet'!$A$1:$A$670,MATCH(1,("0-25" = 'Master sheet'!$AO$1:$AO$670)*(1 = 'Master sheet'!$AP$1:$AP$670)*('Master sheet'!$AT$1:$AT$670),0))</f>
        <v xml:space="preserve">Concrete - 25 MPa, GU / SRMCA / Can. Sask Avg. / </v>
      </c>
      <c r="D7" s="230">
        <f>'USER INPUT SHEET'!$D$30</f>
        <v>0</v>
      </c>
      <c r="E7" s="14" t="str">
        <f>'USER INPUT SHEET'!$F$30</f>
        <v>m2</v>
      </c>
      <c r="F7" s="5">
        <v>1</v>
      </c>
      <c r="G7" s="668"/>
      <c r="H7" s="10"/>
      <c r="I7" s="232">
        <f t="shared" ref="I7:I13" si="0">K7-L7</f>
        <v>0</v>
      </c>
      <c r="J7" s="233" t="str">
        <f t="shared" ref="J7:J13" si="1">IF(H7=1,I7,"")</f>
        <v/>
      </c>
      <c r="K7" s="409">
        <f>$D7*$H$5*$F7*VLOOKUP($C7,'Master sheet'!$A:$AL,13,FALSE)</f>
        <v>0</v>
      </c>
      <c r="L7" s="234">
        <v>0</v>
      </c>
      <c r="M7" s="1560"/>
      <c r="N7" s="1560"/>
      <c r="O7" s="25" t="str">
        <f ca="1">_xlfn.IFNA(VLOOKUP($C7,'Master sheet'!$A:$AR,44,FALSE),"")&amp;""</f>
        <v/>
      </c>
      <c r="P7" s="637"/>
      <c r="Q7" s="722" t="s">
        <v>32</v>
      </c>
      <c r="R7" s="722" t="s">
        <v>1570</v>
      </c>
      <c r="S7" s="664"/>
      <c r="T7" s="664"/>
      <c r="U7" s="664"/>
      <c r="V7" s="664"/>
      <c r="W7" s="664"/>
      <c r="X7" s="664"/>
      <c r="Y7" s="664"/>
      <c r="Z7" s="664"/>
      <c r="AA7" s="638"/>
    </row>
    <row r="8" spans="1:27" ht="23.25" customHeight="1" x14ac:dyDescent="0.25">
      <c r="A8" s="1525"/>
      <c r="B8" s="1525"/>
      <c r="C8" s="669" t="str" cm="1">
        <f t="array" ref="C8">INDEX('Master sheet'!$A$1:$A$670,MATCH(1,("0-25" = 'Master sheet'!$AO$1:$AO$670)*(2 = 'Master sheet'!$AP$1:$AP$670)*('Master sheet'!$AT$1:$AT$670),0))</f>
        <v xml:space="preserve">Concrete - 25 MPa, 10% FA, GU / SRMCA / Can. Sask Avg. / </v>
      </c>
      <c r="D8" s="15">
        <f>'USER INPUT SHEET'!$D$30</f>
        <v>0</v>
      </c>
      <c r="E8" s="16" t="str">
        <f>'USER INPUT SHEET'!$F$30</f>
        <v>m2</v>
      </c>
      <c r="F8" s="3">
        <v>1</v>
      </c>
      <c r="G8" s="670"/>
      <c r="H8" s="8"/>
      <c r="I8" s="92">
        <f t="shared" si="0"/>
        <v>0</v>
      </c>
      <c r="J8" s="93" t="str">
        <f t="shared" si="1"/>
        <v/>
      </c>
      <c r="K8" s="406">
        <f>$D8*$H$5*$F8*VLOOKUP($C8,'Master sheet'!$A:$AL,13,FALSE)</f>
        <v>0</v>
      </c>
      <c r="L8" s="94">
        <v>0</v>
      </c>
      <c r="M8" s="1560"/>
      <c r="N8" s="1560"/>
      <c r="O8" s="25" t="str">
        <f ca="1">_xlfn.IFNA(VLOOKUP($C8,'Master sheet'!$A:$AR,44,FALSE),"")&amp;""</f>
        <v/>
      </c>
      <c r="P8" s="671"/>
      <c r="Q8" s="722" t="s">
        <v>32</v>
      </c>
      <c r="R8" s="722" t="s">
        <v>1570</v>
      </c>
      <c r="S8" s="664"/>
      <c r="T8" s="664"/>
      <c r="U8" s="664"/>
      <c r="V8" s="664"/>
      <c r="W8" s="664"/>
      <c r="X8" s="664"/>
      <c r="Y8" s="664"/>
      <c r="Z8" s="664"/>
      <c r="AA8" s="638"/>
    </row>
    <row r="9" spans="1:27" ht="23.25" customHeight="1" x14ac:dyDescent="0.25">
      <c r="A9" s="1525"/>
      <c r="B9" s="1525"/>
      <c r="C9" s="669" t="str" cm="1">
        <f t="array" ref="C9">INDEX('Master sheet'!$A$1:$A$670,MATCH(1,("0-25" = 'Master sheet'!$AO$1:$AO$670)*(3 = 'Master sheet'!$AP$1:$AP$670)*('Master sheet'!$AT$1:$AT$670),0))</f>
        <v xml:space="preserve">Concrete - 25 MPa, 20% FA, GU / SRMCA / Can. Sask Avg. / </v>
      </c>
      <c r="D9" s="15">
        <f>'USER INPUT SHEET'!$D$30</f>
        <v>0</v>
      </c>
      <c r="E9" s="16" t="str">
        <f>'USER INPUT SHEET'!$F$30</f>
        <v>m2</v>
      </c>
      <c r="F9" s="3">
        <v>1</v>
      </c>
      <c r="G9" s="670"/>
      <c r="H9" s="8"/>
      <c r="I9" s="92">
        <f t="shared" si="0"/>
        <v>0</v>
      </c>
      <c r="J9" s="93" t="str">
        <f t="shared" si="1"/>
        <v/>
      </c>
      <c r="K9" s="406">
        <f>$D9*$H$5*$F9*VLOOKUP($C9,'Master sheet'!$A:$AL,13,FALSE)</f>
        <v>0</v>
      </c>
      <c r="L9" s="94">
        <v>0</v>
      </c>
      <c r="M9" s="1560"/>
      <c r="N9" s="1560"/>
      <c r="O9" s="25" t="str">
        <f ca="1">_xlfn.IFNA(VLOOKUP($C9,'Master sheet'!$A:$AR,44,FALSE),"")&amp;""</f>
        <v/>
      </c>
      <c r="P9" s="672"/>
      <c r="Q9" s="722" t="s">
        <v>32</v>
      </c>
      <c r="R9" s="722" t="s">
        <v>1570</v>
      </c>
      <c r="S9" s="664"/>
      <c r="T9" s="664"/>
      <c r="U9" s="664"/>
      <c r="V9" s="664"/>
      <c r="W9" s="664"/>
      <c r="X9" s="664"/>
      <c r="Y9" s="664"/>
      <c r="Z9" s="664"/>
      <c r="AA9" s="664"/>
    </row>
    <row r="10" spans="1:27" ht="23.25" customHeight="1" x14ac:dyDescent="0.25">
      <c r="A10" s="1525"/>
      <c r="B10" s="1525"/>
      <c r="C10" s="669" t="str" cm="1">
        <f t="array" ref="C10">INDEX('Master sheet'!$A$1:$A$670,MATCH(1,("0-25" = 'Master sheet'!$AO$1:$AO$670)*(4 = 'Master sheet'!$AP$1:$AP$670)*('Master sheet'!$AT$1:$AT$670),0))</f>
        <v xml:space="preserve">Concrete - 25 MPa, 30% FA, GU / SRMCA / Can. Sask Avg. / </v>
      </c>
      <c r="D10" s="15">
        <f>'USER INPUT SHEET'!$D$30</f>
        <v>0</v>
      </c>
      <c r="E10" s="16" t="str">
        <f>'USER INPUT SHEET'!$F$30</f>
        <v>m2</v>
      </c>
      <c r="F10" s="3">
        <v>1</v>
      </c>
      <c r="G10" s="670"/>
      <c r="H10" s="8"/>
      <c r="I10" s="92">
        <f t="shared" si="0"/>
        <v>0</v>
      </c>
      <c r="J10" s="93" t="str">
        <f t="shared" si="1"/>
        <v/>
      </c>
      <c r="K10" s="406">
        <f>$D10*$H$5*$F10*VLOOKUP($C10,'Master sheet'!$A:$AL,13,FALSE)</f>
        <v>0</v>
      </c>
      <c r="L10" s="94">
        <v>0</v>
      </c>
      <c r="M10" s="1560"/>
      <c r="N10" s="1560"/>
      <c r="O10" s="25" t="str">
        <f ca="1">_xlfn.IFNA(VLOOKUP($C10,'Master sheet'!$A:$AR,44,FALSE),"")&amp;""</f>
        <v/>
      </c>
      <c r="P10" s="672"/>
      <c r="Q10" s="722" t="s">
        <v>32</v>
      </c>
      <c r="R10" s="722" t="s">
        <v>1570</v>
      </c>
      <c r="S10" s="664"/>
      <c r="T10" s="664"/>
      <c r="U10" s="664"/>
      <c r="V10" s="664"/>
      <c r="W10" s="664"/>
      <c r="X10" s="664"/>
      <c r="Y10" s="664"/>
      <c r="Z10" s="664"/>
      <c r="AA10" s="664"/>
    </row>
    <row r="11" spans="1:27" ht="23.25" customHeight="1" x14ac:dyDescent="0.25">
      <c r="A11" s="1525"/>
      <c r="B11" s="1525"/>
      <c r="C11" s="669" t="str" cm="1">
        <f t="array" ref="C11">INDEX('Master sheet'!$A$1:$A$670,MATCH(1,("0-25" = 'Master sheet'!$AO$1:$AO$670)*(5 = 'Master sheet'!$AP$1:$AP$670)*('Master sheet'!$AT$1:$AT$670),0))</f>
        <v xml:space="preserve">Concrete - 25 MPa, 40% FA, GU / SRMCA / Can. Sask Avg. / </v>
      </c>
      <c r="D11" s="15">
        <f>'USER INPUT SHEET'!$D$30</f>
        <v>0</v>
      </c>
      <c r="E11" s="16" t="str">
        <f>'USER INPUT SHEET'!$F$30</f>
        <v>m2</v>
      </c>
      <c r="F11" s="3">
        <v>1</v>
      </c>
      <c r="G11" s="670"/>
      <c r="H11" s="8"/>
      <c r="I11" s="92">
        <f t="shared" si="0"/>
        <v>0</v>
      </c>
      <c r="J11" s="93" t="str">
        <f t="shared" si="1"/>
        <v/>
      </c>
      <c r="K11" s="406">
        <f>$D11*$H$5*$F11*VLOOKUP($C11,'Master sheet'!$A:$AL,13,FALSE)</f>
        <v>0</v>
      </c>
      <c r="L11" s="94">
        <v>0</v>
      </c>
      <c r="M11" s="1560"/>
      <c r="N11" s="1560"/>
      <c r="O11" s="25" t="str">
        <f ca="1">_xlfn.IFNA(VLOOKUP($C11,'Master sheet'!$A:$AR,44,FALSE),"")&amp;""</f>
        <v/>
      </c>
      <c r="P11" s="672"/>
      <c r="Q11" s="722" t="s">
        <v>32</v>
      </c>
      <c r="R11" s="722" t="s">
        <v>1570</v>
      </c>
      <c r="S11" s="664"/>
      <c r="T11" s="664"/>
      <c r="U11" s="664"/>
      <c r="V11" s="664"/>
      <c r="W11" s="664"/>
      <c r="X11" s="664"/>
      <c r="Y11" s="664"/>
      <c r="Z11" s="664"/>
      <c r="AA11" s="664"/>
    </row>
    <row r="12" spans="1:27" ht="23.25" hidden="1" customHeight="1" x14ac:dyDescent="0.25">
      <c r="A12" s="1525"/>
      <c r="B12" s="1525"/>
      <c r="C12" s="669" t="e" cm="1">
        <f t="array" ref="C12">INDEX('Master sheet'!$A$1:$A$670,MATCH(1,("0-25" = 'Master sheet'!$AO$1:$AO$670)*(6 = 'Master sheet'!$AP$1:$AP$670)*('Master sheet'!$AT$1:$AT$670),0))</f>
        <v>#N/A</v>
      </c>
      <c r="D12" s="15">
        <f>'USER INPUT SHEET'!$D$30</f>
        <v>0</v>
      </c>
      <c r="E12" s="16" t="str">
        <f>'USER INPUT SHEET'!$F$30</f>
        <v>m2</v>
      </c>
      <c r="F12" s="3">
        <v>1</v>
      </c>
      <c r="G12" s="670"/>
      <c r="H12" s="8"/>
      <c r="I12" s="92" t="e">
        <f t="shared" ref="I12" si="2">K12-L12</f>
        <v>#N/A</v>
      </c>
      <c r="J12" s="93" t="str">
        <f t="shared" ref="J12" si="3">IF(H12=1,I12,"")</f>
        <v/>
      </c>
      <c r="K12" s="406" t="e">
        <f>$D12*$H$5*$F12*VLOOKUP($C12,'Master sheet'!$A:$AL,13,FALSE)</f>
        <v>#N/A</v>
      </c>
      <c r="L12" s="94">
        <v>0</v>
      </c>
      <c r="M12" s="1560"/>
      <c r="N12" s="1560"/>
      <c r="O12" s="25" t="str">
        <f>_xlfn.IFNA(VLOOKUP($C12,'Master sheet'!$A:$AR,44,FALSE),"")&amp;""</f>
        <v/>
      </c>
      <c r="P12" s="672"/>
      <c r="Q12" s="722" t="s">
        <v>32</v>
      </c>
      <c r="R12" s="722" t="s">
        <v>1570</v>
      </c>
      <c r="S12" s="664"/>
      <c r="T12" s="664"/>
      <c r="U12" s="664"/>
      <c r="V12" s="664"/>
      <c r="W12" s="664"/>
      <c r="X12" s="664"/>
      <c r="Y12" s="664"/>
      <c r="Z12" s="664"/>
      <c r="AA12" s="664"/>
    </row>
    <row r="13" spans="1:27" s="624" customFormat="1" ht="23.25" hidden="1" customHeight="1" x14ac:dyDescent="0.25">
      <c r="A13" s="1525"/>
      <c r="B13" s="1525"/>
      <c r="C13" s="673" t="e" cm="1">
        <f t="array" ref="C13">INDEX('Master sheet'!$A$1:$A$670,MATCH(1,("0-25" = 'Master sheet'!$AO$1:$AO$670)*(7 = 'Master sheet'!$AP$1:$AP$670)*('Master sheet'!$AT$1:$AT$670),0))</f>
        <v>#N/A</v>
      </c>
      <c r="D13" s="17">
        <f>'USER INPUT SHEET'!$D$30</f>
        <v>0</v>
      </c>
      <c r="E13" s="18" t="str">
        <f>'USER INPUT SHEET'!$F$30</f>
        <v>m2</v>
      </c>
      <c r="F13" s="4">
        <v>1</v>
      </c>
      <c r="G13" s="674"/>
      <c r="H13" s="9"/>
      <c r="I13" s="95" t="e">
        <f t="shared" si="0"/>
        <v>#N/A</v>
      </c>
      <c r="J13" s="96" t="str">
        <f t="shared" si="1"/>
        <v/>
      </c>
      <c r="K13" s="407" t="e">
        <f>$D13*$H$5*$F13*VLOOKUP($C13,'Master sheet'!$A:$AL,13,FALSE)</f>
        <v>#N/A</v>
      </c>
      <c r="L13" s="97">
        <v>0</v>
      </c>
      <c r="M13" s="1560"/>
      <c r="N13" s="1560"/>
      <c r="O13" s="25" t="str">
        <f>_xlfn.IFNA(VLOOKUP($C13,'Master sheet'!$A:$AR,44,FALSE),"")&amp;""</f>
        <v/>
      </c>
      <c r="P13" s="637"/>
      <c r="Q13" s="722" t="s">
        <v>32</v>
      </c>
      <c r="R13" s="722" t="s">
        <v>1570</v>
      </c>
      <c r="S13" s="638"/>
      <c r="T13" s="638"/>
      <c r="U13" s="638"/>
      <c r="V13" s="638"/>
      <c r="W13" s="638"/>
      <c r="X13" s="638"/>
      <c r="Y13" s="638"/>
      <c r="Z13" s="638"/>
      <c r="AA13" s="664"/>
    </row>
    <row r="14" spans="1:27" ht="23.85" customHeight="1" x14ac:dyDescent="0.25">
      <c r="A14" s="639"/>
      <c r="B14" s="1524" t="s">
        <v>1350</v>
      </c>
      <c r="C14" s="1524"/>
      <c r="D14" s="656"/>
      <c r="E14" s="641"/>
      <c r="F14" s="641"/>
      <c r="G14" s="657"/>
      <c r="H14" s="657"/>
      <c r="I14" s="658"/>
      <c r="J14" s="659"/>
      <c r="K14" s="660"/>
      <c r="L14" s="661"/>
      <c r="M14" s="677"/>
      <c r="N14" s="677"/>
      <c r="O14" s="25" t="str">
        <f>_xlfn.IFNA(VLOOKUP($C14,'Master sheet'!$A:$AR,44,FALSE),"")&amp;""</f>
        <v/>
      </c>
      <c r="P14" s="663"/>
      <c r="Q14" s="30"/>
      <c r="R14" s="21"/>
      <c r="S14" s="664"/>
      <c r="T14" s="664"/>
      <c r="U14" s="664"/>
      <c r="V14" s="664"/>
      <c r="W14" s="664"/>
      <c r="X14" s="664"/>
      <c r="Y14" s="664"/>
      <c r="Z14" s="664"/>
      <c r="AA14" s="664"/>
    </row>
    <row r="15" spans="1:27" ht="31.5" customHeight="1" x14ac:dyDescent="0.25">
      <c r="A15" s="1525" t="s">
        <v>786</v>
      </c>
      <c r="B15" s="1525"/>
      <c r="C15" s="667" t="str" cm="1">
        <f t="array" ref="C15">INDEX('Master sheet'!$A$1:$A$670,MATCH(1,("26-30" = 'Master sheet'!$AO$1:$AO$670)*(1 = 'Master sheet'!$AP$1:$AP$670)*('Master sheet'!$AT$1:$AT$670),0))</f>
        <v xml:space="preserve">Concrete - 30 MPa, GU / SRMCA / Can. Sask Avg. / </v>
      </c>
      <c r="D15" s="230">
        <f>'USER INPUT SHEET'!$D$30</f>
        <v>0</v>
      </c>
      <c r="E15" s="14" t="str">
        <f>'USER INPUT SHEET'!$F$30</f>
        <v>m2</v>
      </c>
      <c r="F15" s="5">
        <v>1</v>
      </c>
      <c r="G15" s="668"/>
      <c r="H15" s="10"/>
      <c r="I15" s="232">
        <f t="shared" ref="I15:I21" si="4">K15-L15</f>
        <v>0</v>
      </c>
      <c r="J15" s="233" t="str">
        <f t="shared" ref="J15:J21" si="5">IF(H15=1,I15,"")</f>
        <v/>
      </c>
      <c r="K15" s="409">
        <f>$D15*$H$5*$F15*VLOOKUP($C15,'Master sheet'!$A:$AL,13,FALSE)</f>
        <v>0</v>
      </c>
      <c r="L15" s="234">
        <v>0</v>
      </c>
      <c r="M15" s="1560"/>
      <c r="N15" s="1560"/>
      <c r="O15" s="25" t="str">
        <f ca="1">_xlfn.IFNA(VLOOKUP($C15,'Master sheet'!$A:$AR,44,FALSE),"")&amp;""</f>
        <v/>
      </c>
      <c r="P15" s="637"/>
      <c r="Q15" s="722" t="s">
        <v>32</v>
      </c>
      <c r="R15" s="722" t="s">
        <v>1570</v>
      </c>
      <c r="S15" s="664"/>
      <c r="T15" s="664"/>
      <c r="U15" s="664"/>
      <c r="V15" s="664"/>
      <c r="W15" s="664"/>
      <c r="X15" s="664"/>
      <c r="Y15" s="664"/>
      <c r="Z15" s="664"/>
      <c r="AA15" s="664"/>
    </row>
    <row r="16" spans="1:27" ht="23.25" customHeight="1" x14ac:dyDescent="0.25">
      <c r="A16" s="1525"/>
      <c r="B16" s="1525"/>
      <c r="C16" s="669" t="str" cm="1">
        <f t="array" ref="C16">INDEX('Master sheet'!$A$1:$A$670,MATCH(1,("26-30" = 'Master sheet'!$AO$1:$AO$670)*(2 = 'Master sheet'!$AP$1:$AP$670)*('Master sheet'!$AT$1:$AT$670),0))</f>
        <v xml:space="preserve">Concrete - 30 MPa, 10% FA, GU / SRMCA / Can. Sask Avg. / </v>
      </c>
      <c r="D16" s="15">
        <f>'USER INPUT SHEET'!$D$30</f>
        <v>0</v>
      </c>
      <c r="E16" s="16" t="str">
        <f>'USER INPUT SHEET'!$F$30</f>
        <v>m2</v>
      </c>
      <c r="F16" s="3">
        <v>1</v>
      </c>
      <c r="G16" s="670"/>
      <c r="H16" s="8"/>
      <c r="I16" s="92">
        <f t="shared" si="4"/>
        <v>0</v>
      </c>
      <c r="J16" s="93" t="str">
        <f t="shared" si="5"/>
        <v/>
      </c>
      <c r="K16" s="406">
        <f>$D16*$H$5*$F16*VLOOKUP($C16,'Master sheet'!$A:$AL,13,FALSE)</f>
        <v>0</v>
      </c>
      <c r="L16" s="94">
        <v>0</v>
      </c>
      <c r="M16" s="1560"/>
      <c r="N16" s="1560"/>
      <c r="O16" s="25" t="str">
        <f ca="1">_xlfn.IFNA(VLOOKUP($C16,'Master sheet'!$A:$AR,44,FALSE),"")&amp;""</f>
        <v/>
      </c>
      <c r="P16" s="671"/>
      <c r="Q16" s="722" t="s">
        <v>32</v>
      </c>
      <c r="R16" s="722" t="s">
        <v>1570</v>
      </c>
      <c r="S16" s="664"/>
      <c r="T16" s="664"/>
      <c r="U16" s="664"/>
      <c r="V16" s="664"/>
      <c r="W16" s="664"/>
      <c r="X16" s="664"/>
      <c r="Y16" s="664"/>
      <c r="Z16" s="664"/>
      <c r="AA16" s="638"/>
    </row>
    <row r="17" spans="1:27" ht="23.25" customHeight="1" x14ac:dyDescent="0.25">
      <c r="A17" s="1525"/>
      <c r="B17" s="1525"/>
      <c r="C17" s="669" t="str" cm="1">
        <f t="array" ref="C17">INDEX('Master sheet'!$A$1:$A$670,MATCH(1,("26-30" = 'Master sheet'!$AO$1:$AO$670)*(3 = 'Master sheet'!$AP$1:$AP$670)*('Master sheet'!$AT$1:$AT$670),0))</f>
        <v xml:space="preserve">Concrete - 30 MPa, 20% FA, GU / SRMCA / Can. Sask Avg. / </v>
      </c>
      <c r="D17" s="15">
        <f>'USER INPUT SHEET'!$D$30</f>
        <v>0</v>
      </c>
      <c r="E17" s="16" t="str">
        <f>'USER INPUT SHEET'!$F$30</f>
        <v>m2</v>
      </c>
      <c r="F17" s="3">
        <v>1</v>
      </c>
      <c r="G17" s="670"/>
      <c r="H17" s="8"/>
      <c r="I17" s="92">
        <f t="shared" si="4"/>
        <v>0</v>
      </c>
      <c r="J17" s="93" t="str">
        <f t="shared" si="5"/>
        <v/>
      </c>
      <c r="K17" s="406">
        <f>$D17*$H$5*$F17*VLOOKUP($C17,'Master sheet'!$A:$AL,13,FALSE)</f>
        <v>0</v>
      </c>
      <c r="L17" s="94">
        <v>0</v>
      </c>
      <c r="M17" s="1560"/>
      <c r="N17" s="1560"/>
      <c r="O17" s="25" t="str">
        <f ca="1">_xlfn.IFNA(VLOOKUP($C17,'Master sheet'!$A:$AR,44,FALSE),"")&amp;""</f>
        <v/>
      </c>
      <c r="P17" s="672"/>
      <c r="Q17" s="722" t="s">
        <v>32</v>
      </c>
      <c r="R17" s="722" t="s">
        <v>1570</v>
      </c>
      <c r="S17" s="664"/>
      <c r="T17" s="664"/>
      <c r="U17" s="664"/>
      <c r="V17" s="664"/>
      <c r="W17" s="664"/>
      <c r="X17" s="664"/>
      <c r="Y17" s="664"/>
      <c r="Z17" s="664"/>
      <c r="AA17" s="664"/>
    </row>
    <row r="18" spans="1:27" ht="23.25" customHeight="1" x14ac:dyDescent="0.25">
      <c r="A18" s="1525"/>
      <c r="B18" s="1525"/>
      <c r="C18" s="669" t="str" cm="1">
        <f t="array" ref="C18">INDEX('Master sheet'!$A$1:$A$670,MATCH(1,("26-30" = 'Master sheet'!$AO$1:$AO$670)*(4 = 'Master sheet'!$AP$1:$AP$670)*('Master sheet'!$AT$1:$AT$670),0))</f>
        <v xml:space="preserve">Concrete - 30 MPa, 30% FA, GU / SRMCA / Can. Sask Avg. / </v>
      </c>
      <c r="D18" s="15">
        <f>'USER INPUT SHEET'!$D$30</f>
        <v>0</v>
      </c>
      <c r="E18" s="16" t="str">
        <f>'USER INPUT SHEET'!$F$30</f>
        <v>m2</v>
      </c>
      <c r="F18" s="3">
        <v>1</v>
      </c>
      <c r="G18" s="670"/>
      <c r="H18" s="8"/>
      <c r="I18" s="92">
        <f t="shared" si="4"/>
        <v>0</v>
      </c>
      <c r="J18" s="93" t="str">
        <f t="shared" si="5"/>
        <v/>
      </c>
      <c r="K18" s="406">
        <f>$D18*$H$5*$F18*VLOOKUP($C18,'Master sheet'!$A:$AL,13,FALSE)</f>
        <v>0</v>
      </c>
      <c r="L18" s="94">
        <v>0</v>
      </c>
      <c r="M18" s="1560"/>
      <c r="N18" s="1560"/>
      <c r="O18" s="25" t="str">
        <f ca="1">_xlfn.IFNA(VLOOKUP($C18,'Master sheet'!$A:$AR,44,FALSE),"")&amp;""</f>
        <v/>
      </c>
      <c r="P18" s="672"/>
      <c r="Q18" s="722" t="s">
        <v>32</v>
      </c>
      <c r="R18" s="722" t="s">
        <v>1570</v>
      </c>
      <c r="S18" s="664"/>
      <c r="T18" s="664"/>
      <c r="U18" s="664"/>
      <c r="V18" s="664"/>
      <c r="W18" s="664"/>
      <c r="X18" s="664"/>
      <c r="Y18" s="664"/>
      <c r="Z18" s="664"/>
      <c r="AA18" s="664"/>
    </row>
    <row r="19" spans="1:27" ht="23.25" customHeight="1" x14ac:dyDescent="0.25">
      <c r="A19" s="1525"/>
      <c r="B19" s="1525"/>
      <c r="C19" s="669" t="str" cm="1">
        <f t="array" ref="C19">INDEX('Master sheet'!$A$1:$A$670,MATCH(1,("26-30" = 'Master sheet'!$AO$1:$AO$670)*(5 = 'Master sheet'!$AP$1:$AP$670)*('Master sheet'!$AT$1:$AT$670),0))</f>
        <v xml:space="preserve">Concrete - 30 MPa, 40% FA, GU / SRMCA / Can. Sask Avg. / </v>
      </c>
      <c r="D19" s="15">
        <f>'USER INPUT SHEET'!$D$30</f>
        <v>0</v>
      </c>
      <c r="E19" s="16" t="str">
        <f>'USER INPUT SHEET'!$F$30</f>
        <v>m2</v>
      </c>
      <c r="F19" s="3">
        <v>1</v>
      </c>
      <c r="G19" s="670"/>
      <c r="H19" s="8"/>
      <c r="I19" s="92">
        <f t="shared" si="4"/>
        <v>0</v>
      </c>
      <c r="J19" s="93" t="str">
        <f t="shared" si="5"/>
        <v/>
      </c>
      <c r="K19" s="406">
        <f>$D19*$H$5*$F19*VLOOKUP($C19,'Master sheet'!$A:$AL,13,FALSE)</f>
        <v>0</v>
      </c>
      <c r="L19" s="94">
        <v>0</v>
      </c>
      <c r="M19" s="1560"/>
      <c r="N19" s="1560"/>
      <c r="O19" s="25" t="str">
        <f ca="1">_xlfn.IFNA(VLOOKUP($C19,'Master sheet'!$A:$AR,44,FALSE),"")&amp;""</f>
        <v/>
      </c>
      <c r="P19" s="672"/>
      <c r="Q19" s="722" t="s">
        <v>32</v>
      </c>
      <c r="R19" s="722" t="s">
        <v>1570</v>
      </c>
      <c r="S19" s="664"/>
      <c r="T19" s="664"/>
      <c r="U19" s="664"/>
      <c r="V19" s="664"/>
      <c r="W19" s="664"/>
      <c r="X19" s="664"/>
      <c r="Y19" s="664"/>
      <c r="Z19" s="664"/>
      <c r="AA19" s="664"/>
    </row>
    <row r="20" spans="1:27" ht="23.25" hidden="1" customHeight="1" x14ac:dyDescent="0.25">
      <c r="A20" s="1525"/>
      <c r="B20" s="1525"/>
      <c r="C20" s="669" t="e" cm="1">
        <f t="array" ref="C20">INDEX('Master sheet'!$A$1:$A$670,MATCH(1,("26-30" = 'Master sheet'!$AO$1:$AO$670)*(6 = 'Master sheet'!$AP$1:$AP$670)*('Master sheet'!$AT$1:$AT$670),0))</f>
        <v>#N/A</v>
      </c>
      <c r="D20" s="15">
        <f>'USER INPUT SHEET'!$D$30</f>
        <v>0</v>
      </c>
      <c r="E20" s="16" t="str">
        <f>'USER INPUT SHEET'!$F$30</f>
        <v>m2</v>
      </c>
      <c r="F20" s="3">
        <v>1</v>
      </c>
      <c r="G20" s="670"/>
      <c r="H20" s="8"/>
      <c r="I20" s="92" t="e">
        <f t="shared" ref="I20" si="6">K20-L20</f>
        <v>#N/A</v>
      </c>
      <c r="J20" s="93" t="str">
        <f t="shared" ref="J20" si="7">IF(H20=1,I20,"")</f>
        <v/>
      </c>
      <c r="K20" s="406" t="e">
        <f>$D20*$H$5*$F20*VLOOKUP($C20,'Master sheet'!$A:$AL,13,FALSE)</f>
        <v>#N/A</v>
      </c>
      <c r="L20" s="94">
        <v>0</v>
      </c>
      <c r="M20" s="1560"/>
      <c r="N20" s="1560"/>
      <c r="O20" s="25" t="str">
        <f>_xlfn.IFNA(VLOOKUP($C20,'Master sheet'!$A:$AR,44,FALSE),"")&amp;""</f>
        <v/>
      </c>
      <c r="P20" s="672"/>
      <c r="Q20" s="722" t="s">
        <v>32</v>
      </c>
      <c r="R20" s="722" t="s">
        <v>1570</v>
      </c>
      <c r="S20" s="664"/>
      <c r="T20" s="664"/>
      <c r="U20" s="664"/>
      <c r="V20" s="664"/>
      <c r="W20" s="664"/>
      <c r="X20" s="664"/>
      <c r="Y20" s="664"/>
      <c r="Z20" s="664"/>
      <c r="AA20" s="664"/>
    </row>
    <row r="21" spans="1:27" s="624" customFormat="1" ht="23.25" hidden="1" customHeight="1" x14ac:dyDescent="0.25">
      <c r="A21" s="1525"/>
      <c r="B21" s="1525"/>
      <c r="C21" s="673" t="e" cm="1">
        <f t="array" ref="C21">INDEX('Master sheet'!$A$1:$A$670,MATCH(1,("26-30" = 'Master sheet'!$AO$1:$AO$670)*(7 = 'Master sheet'!$AP$1:$AP$670)*('Master sheet'!$AT$1:$AT$670),0))</f>
        <v>#N/A</v>
      </c>
      <c r="D21" s="17">
        <f>'USER INPUT SHEET'!$D$30</f>
        <v>0</v>
      </c>
      <c r="E21" s="18" t="str">
        <f>'USER INPUT SHEET'!$F$30</f>
        <v>m2</v>
      </c>
      <c r="F21" s="4">
        <v>1</v>
      </c>
      <c r="G21" s="674"/>
      <c r="H21" s="9"/>
      <c r="I21" s="95" t="e">
        <f t="shared" si="4"/>
        <v>#N/A</v>
      </c>
      <c r="J21" s="96" t="str">
        <f t="shared" si="5"/>
        <v/>
      </c>
      <c r="K21" s="407" t="e">
        <f>$D21*$H$5*$F21*VLOOKUP($C21,'Master sheet'!$A:$AL,13,FALSE)</f>
        <v>#N/A</v>
      </c>
      <c r="L21" s="97">
        <v>0</v>
      </c>
      <c r="M21" s="1560"/>
      <c r="N21" s="1560"/>
      <c r="O21" s="25" t="str">
        <f>_xlfn.IFNA(VLOOKUP($C21,'Master sheet'!$A:$AR,44,FALSE),"")&amp;""</f>
        <v/>
      </c>
      <c r="P21" s="637"/>
      <c r="Q21" s="722" t="s">
        <v>32</v>
      </c>
      <c r="R21" s="722" t="s">
        <v>1570</v>
      </c>
      <c r="S21" s="638"/>
      <c r="T21" s="638"/>
      <c r="U21" s="638"/>
      <c r="V21" s="638"/>
      <c r="W21" s="638"/>
      <c r="X21" s="638"/>
      <c r="Y21" s="638"/>
      <c r="Z21" s="638"/>
      <c r="AA21" s="664"/>
    </row>
    <row r="22" spans="1:27" ht="23.85" customHeight="1" x14ac:dyDescent="0.25">
      <c r="A22" s="639"/>
      <c r="B22" s="1524" t="s">
        <v>1351</v>
      </c>
      <c r="C22" s="1524"/>
      <c r="D22" s="656"/>
      <c r="E22" s="641"/>
      <c r="F22" s="322"/>
      <c r="G22" s="657"/>
      <c r="H22" s="657"/>
      <c r="I22" s="658"/>
      <c r="J22" s="659"/>
      <c r="K22" s="660"/>
      <c r="L22" s="661"/>
      <c r="M22" s="677"/>
      <c r="N22" s="677"/>
      <c r="O22" s="25" t="str">
        <f>_xlfn.IFNA(VLOOKUP($C22,'Master sheet'!$A:$AR,44,FALSE),"")&amp;""</f>
        <v/>
      </c>
      <c r="P22" s="663"/>
      <c r="Q22" s="30"/>
      <c r="R22" s="21"/>
      <c r="S22" s="664"/>
      <c r="T22" s="664"/>
      <c r="U22" s="664"/>
      <c r="V22" s="664"/>
      <c r="W22" s="664"/>
      <c r="X22" s="664"/>
      <c r="Y22" s="664"/>
      <c r="Z22" s="664"/>
      <c r="AA22" s="664"/>
    </row>
    <row r="23" spans="1:27" ht="31.5" customHeight="1" x14ac:dyDescent="0.25">
      <c r="A23" s="1525" t="s">
        <v>786</v>
      </c>
      <c r="B23" s="1525"/>
      <c r="C23" s="667" t="str" cm="1">
        <f t="array" ref="C23">INDEX('Master sheet'!$A$1:$A$670,MATCH(1,("31-35" = 'Master sheet'!$AO$1:$AO$670)*(1 = 'Master sheet'!$AP$1:$AP$670)*('Master sheet'!$AT$1:$AT$670),0))</f>
        <v xml:space="preserve">Concrete - 35 MPa, GU / SRMCA / Can. Sask Avg. / </v>
      </c>
      <c r="D23" s="230">
        <f>'USER INPUT SHEET'!$D$30</f>
        <v>0</v>
      </c>
      <c r="E23" s="14" t="str">
        <f>'USER INPUT SHEET'!$F$30</f>
        <v>m2</v>
      </c>
      <c r="F23" s="5">
        <v>1</v>
      </c>
      <c r="G23" s="668"/>
      <c r="H23" s="10"/>
      <c r="I23" s="232">
        <f t="shared" ref="I23:I29" si="8">K23-L23</f>
        <v>0</v>
      </c>
      <c r="J23" s="233" t="str">
        <f t="shared" ref="J23:J29" si="9">IF(H23=1,I23,"")</f>
        <v/>
      </c>
      <c r="K23" s="409">
        <f>$D23*$H$5*$F23*VLOOKUP($C23,'Master sheet'!$A:$AL,13,FALSE)</f>
        <v>0</v>
      </c>
      <c r="L23" s="234">
        <v>0</v>
      </c>
      <c r="M23" s="1560"/>
      <c r="N23" s="1560"/>
      <c r="O23" s="25" t="str">
        <f ca="1">_xlfn.IFNA(VLOOKUP($C23,'Master sheet'!$A:$AR,44,FALSE),"")&amp;""</f>
        <v/>
      </c>
      <c r="P23" s="637"/>
      <c r="Q23" s="722" t="s">
        <v>32</v>
      </c>
      <c r="R23" s="722" t="s">
        <v>1570</v>
      </c>
      <c r="S23" s="664"/>
      <c r="T23" s="664"/>
      <c r="U23" s="664"/>
      <c r="V23" s="664"/>
      <c r="W23" s="664"/>
      <c r="X23" s="664"/>
      <c r="Y23" s="664"/>
      <c r="Z23" s="664"/>
      <c r="AA23" s="664"/>
    </row>
    <row r="24" spans="1:27" ht="23.25" customHeight="1" x14ac:dyDescent="0.25">
      <c r="A24" s="1525"/>
      <c r="B24" s="1525"/>
      <c r="C24" s="669" t="str" cm="1">
        <f t="array" ref="C24">INDEX('Master sheet'!$A$1:$A$670,MATCH(1,("31-35" = 'Master sheet'!$AO$1:$AO$670)*(2 = 'Master sheet'!$AP$1:$AP$670)*('Master sheet'!$AT$1:$AT$670),0))</f>
        <v xml:space="preserve">Concrete - 35 MPa, 10% FA, GU / SRMCA / Can. Sask Avg. / </v>
      </c>
      <c r="D24" s="15">
        <f>'USER INPUT SHEET'!$D$30</f>
        <v>0</v>
      </c>
      <c r="E24" s="16" t="str">
        <f>'USER INPUT SHEET'!$F$30</f>
        <v>m2</v>
      </c>
      <c r="F24" s="3">
        <v>1</v>
      </c>
      <c r="G24" s="670"/>
      <c r="H24" s="8"/>
      <c r="I24" s="92">
        <f t="shared" si="8"/>
        <v>0</v>
      </c>
      <c r="J24" s="93" t="str">
        <f t="shared" si="9"/>
        <v/>
      </c>
      <c r="K24" s="406">
        <f>$D24*$H$5*$F24*VLOOKUP($C24,'Master sheet'!$A:$AL,13,FALSE)</f>
        <v>0</v>
      </c>
      <c r="L24" s="94">
        <v>0</v>
      </c>
      <c r="M24" s="1560"/>
      <c r="N24" s="1560"/>
      <c r="O24" s="25" t="str">
        <f ca="1">_xlfn.IFNA(VLOOKUP($C24,'Master sheet'!$A:$AR,44,FALSE),"")&amp;""</f>
        <v/>
      </c>
      <c r="P24" s="671"/>
      <c r="Q24" s="722" t="s">
        <v>32</v>
      </c>
      <c r="R24" s="722" t="s">
        <v>1570</v>
      </c>
      <c r="S24" s="664"/>
      <c r="T24" s="664"/>
      <c r="U24" s="664"/>
      <c r="V24" s="664"/>
      <c r="W24" s="664"/>
      <c r="X24" s="664"/>
      <c r="Y24" s="664"/>
      <c r="Z24" s="664"/>
      <c r="AA24" s="638"/>
    </row>
    <row r="25" spans="1:27" ht="23.25" customHeight="1" x14ac:dyDescent="0.25">
      <c r="A25" s="1525"/>
      <c r="B25" s="1525"/>
      <c r="C25" s="669" t="str" cm="1">
        <f t="array" ref="C25">INDEX('Master sheet'!$A$1:$A$670,MATCH(1,("31-35" = 'Master sheet'!$AO$1:$AO$670)*(3 = 'Master sheet'!$AP$1:$AP$670)*('Master sheet'!$AT$1:$AT$670),0))</f>
        <v xml:space="preserve">Concrete - 35 MPa, 20% FA, GU / SRMCA / Can. Sask Avg. / </v>
      </c>
      <c r="D25" s="15">
        <f>'USER INPUT SHEET'!$D$30</f>
        <v>0</v>
      </c>
      <c r="E25" s="16" t="str">
        <f>'USER INPUT SHEET'!$F$30</f>
        <v>m2</v>
      </c>
      <c r="F25" s="3">
        <v>1</v>
      </c>
      <c r="G25" s="670"/>
      <c r="H25" s="8"/>
      <c r="I25" s="92">
        <f t="shared" si="8"/>
        <v>0</v>
      </c>
      <c r="J25" s="93" t="str">
        <f t="shared" si="9"/>
        <v/>
      </c>
      <c r="K25" s="406">
        <f>$D25*$H$5*$F25*VLOOKUP($C25,'Master sheet'!$A:$AL,13,FALSE)</f>
        <v>0</v>
      </c>
      <c r="L25" s="94">
        <v>0</v>
      </c>
      <c r="M25" s="1560"/>
      <c r="N25" s="1560"/>
      <c r="O25" s="25" t="str">
        <f ca="1">_xlfn.IFNA(VLOOKUP($C25,'Master sheet'!$A:$AR,44,FALSE),"")&amp;""</f>
        <v/>
      </c>
      <c r="P25" s="672"/>
      <c r="Q25" s="722" t="s">
        <v>32</v>
      </c>
      <c r="R25" s="722" t="s">
        <v>1570</v>
      </c>
      <c r="S25" s="664"/>
      <c r="T25" s="664"/>
      <c r="U25" s="664"/>
      <c r="V25" s="664"/>
      <c r="W25" s="664"/>
      <c r="X25" s="664"/>
      <c r="Y25" s="664"/>
      <c r="Z25" s="664"/>
      <c r="AA25" s="664"/>
    </row>
    <row r="26" spans="1:27" ht="23.25" customHeight="1" x14ac:dyDescent="0.25">
      <c r="A26" s="1525"/>
      <c r="B26" s="1525"/>
      <c r="C26" s="669" t="str" cm="1">
        <f t="array" ref="C26">INDEX('Master sheet'!$A$1:$A$670,MATCH(1,("31-35" = 'Master sheet'!$AO$1:$AO$670)*(4 = 'Master sheet'!$AP$1:$AP$670)*('Master sheet'!$AT$1:$AT$670),0))</f>
        <v xml:space="preserve">Concrete - 35 MPa, 30% FA, GU / SRMCA / Can. Sask Avg. / </v>
      </c>
      <c r="D26" s="15">
        <f>'USER INPUT SHEET'!$D$30</f>
        <v>0</v>
      </c>
      <c r="E26" s="16" t="str">
        <f>'USER INPUT SHEET'!$F$30</f>
        <v>m2</v>
      </c>
      <c r="F26" s="3">
        <v>1</v>
      </c>
      <c r="G26" s="670"/>
      <c r="H26" s="8"/>
      <c r="I26" s="92">
        <f t="shared" si="8"/>
        <v>0</v>
      </c>
      <c r="J26" s="93" t="str">
        <f t="shared" si="9"/>
        <v/>
      </c>
      <c r="K26" s="406">
        <f>$D26*$H$5*$F26*VLOOKUP($C26,'Master sheet'!$A:$AL,13,FALSE)</f>
        <v>0</v>
      </c>
      <c r="L26" s="94">
        <v>0</v>
      </c>
      <c r="M26" s="1560"/>
      <c r="N26" s="1560"/>
      <c r="O26" s="25" t="str">
        <f ca="1">_xlfn.IFNA(VLOOKUP($C26,'Master sheet'!$A:$AR,44,FALSE),"")&amp;""</f>
        <v/>
      </c>
      <c r="P26" s="672"/>
      <c r="Q26" s="722" t="s">
        <v>32</v>
      </c>
      <c r="R26" s="722" t="s">
        <v>1570</v>
      </c>
      <c r="S26" s="664"/>
      <c r="T26" s="664"/>
      <c r="U26" s="664"/>
      <c r="V26" s="664"/>
      <c r="W26" s="664"/>
      <c r="X26" s="664"/>
      <c r="Y26" s="664"/>
      <c r="Z26" s="664"/>
      <c r="AA26" s="664"/>
    </row>
    <row r="27" spans="1:27" ht="23.25" customHeight="1" x14ac:dyDescent="0.25">
      <c r="A27" s="1525"/>
      <c r="B27" s="1525"/>
      <c r="C27" s="669" t="str" cm="1">
        <f t="array" ref="C27">INDEX('Master sheet'!$A$1:$A$670,MATCH(1,("31-35" = 'Master sheet'!$AO$1:$AO$670)*(5 = 'Master sheet'!$AP$1:$AP$670)*('Master sheet'!$AT$1:$AT$670),0))</f>
        <v xml:space="preserve">Concrete - 35 MPa, 40% FA, GU / SRMCA / Can. Sask Avg. / </v>
      </c>
      <c r="D27" s="15">
        <f>'USER INPUT SHEET'!$D$30</f>
        <v>0</v>
      </c>
      <c r="E27" s="16" t="str">
        <f>'USER INPUT SHEET'!$F$30</f>
        <v>m2</v>
      </c>
      <c r="F27" s="3">
        <v>1</v>
      </c>
      <c r="G27" s="670"/>
      <c r="H27" s="8"/>
      <c r="I27" s="92">
        <f t="shared" si="8"/>
        <v>0</v>
      </c>
      <c r="J27" s="93" t="str">
        <f t="shared" si="9"/>
        <v/>
      </c>
      <c r="K27" s="406">
        <f>$D27*$H$5*$F27*VLOOKUP($C27,'Master sheet'!$A:$AL,13,FALSE)</f>
        <v>0</v>
      </c>
      <c r="L27" s="94">
        <v>0</v>
      </c>
      <c r="M27" s="1560"/>
      <c r="N27" s="1560"/>
      <c r="O27" s="25" t="str">
        <f ca="1">_xlfn.IFNA(VLOOKUP($C27,'Master sheet'!$A:$AR,44,FALSE),"")&amp;""</f>
        <v/>
      </c>
      <c r="P27" s="672"/>
      <c r="Q27" s="722" t="s">
        <v>32</v>
      </c>
      <c r="R27" s="722" t="s">
        <v>1570</v>
      </c>
      <c r="S27" s="664"/>
      <c r="T27" s="664"/>
      <c r="U27" s="664"/>
      <c r="V27" s="664"/>
      <c r="W27" s="664"/>
      <c r="X27" s="664"/>
      <c r="Y27" s="664"/>
      <c r="Z27" s="664"/>
      <c r="AA27" s="664"/>
    </row>
    <row r="28" spans="1:27" ht="23.25" hidden="1" customHeight="1" x14ac:dyDescent="0.25">
      <c r="A28" s="1525"/>
      <c r="B28" s="1525"/>
      <c r="C28" s="669" t="e" cm="1">
        <f t="array" ref="C28">INDEX('Master sheet'!$A$1:$A$670,MATCH(1,("31-35" = 'Master sheet'!$AO$1:$AO$670)*(6 = 'Master sheet'!$AP$1:$AP$670)*('Master sheet'!$AT$1:$AT$670),0))</f>
        <v>#N/A</v>
      </c>
      <c r="D28" s="15">
        <f>'USER INPUT SHEET'!$D$30</f>
        <v>0</v>
      </c>
      <c r="E28" s="16" t="str">
        <f>'USER INPUT SHEET'!$F$30</f>
        <v>m2</v>
      </c>
      <c r="F28" s="3">
        <v>1</v>
      </c>
      <c r="G28" s="670"/>
      <c r="H28" s="8"/>
      <c r="I28" s="92" t="e">
        <f t="shared" ref="I28" si="10">K28-L28</f>
        <v>#N/A</v>
      </c>
      <c r="J28" s="93" t="str">
        <f t="shared" ref="J28" si="11">IF(H28=1,I28,"")</f>
        <v/>
      </c>
      <c r="K28" s="406" t="e">
        <f>$D28*$H$5*$F28*VLOOKUP($C28,'Master sheet'!$A:$AL,13,FALSE)</f>
        <v>#N/A</v>
      </c>
      <c r="L28" s="94">
        <v>0</v>
      </c>
      <c r="M28" s="1560"/>
      <c r="N28" s="1560"/>
      <c r="O28" s="25" t="str">
        <f>_xlfn.IFNA(VLOOKUP($C28,'Master sheet'!$A:$AR,44,FALSE),"")&amp;""</f>
        <v/>
      </c>
      <c r="P28" s="672"/>
      <c r="Q28" s="722" t="s">
        <v>32</v>
      </c>
      <c r="R28" s="722" t="s">
        <v>1570</v>
      </c>
      <c r="S28" s="664"/>
      <c r="T28" s="664"/>
      <c r="U28" s="664"/>
      <c r="V28" s="664"/>
      <c r="W28" s="664"/>
      <c r="X28" s="664"/>
      <c r="Y28" s="664"/>
      <c r="Z28" s="664"/>
      <c r="AA28" s="664"/>
    </row>
    <row r="29" spans="1:27" s="624" customFormat="1" ht="23.25" hidden="1" customHeight="1" x14ac:dyDescent="0.25">
      <c r="A29" s="1544"/>
      <c r="B29" s="1544"/>
      <c r="C29" s="673" t="e" cm="1">
        <f t="array" ref="C29">INDEX('Master sheet'!$A$1:$A$670,MATCH(1,("31-35" = 'Master sheet'!$AO$1:$AO$670)*(7 = 'Master sheet'!$AP$1:$AP$670)*('Master sheet'!$AT$1:$AT$670),0))</f>
        <v>#N/A</v>
      </c>
      <c r="D29" s="17">
        <f>'USER INPUT SHEET'!$D$30</f>
        <v>0</v>
      </c>
      <c r="E29" s="16" t="str">
        <f>'USER INPUT SHEET'!$F$30</f>
        <v>m2</v>
      </c>
      <c r="F29" s="4">
        <v>1</v>
      </c>
      <c r="G29" s="674"/>
      <c r="H29" s="9"/>
      <c r="I29" s="95" t="e">
        <f t="shared" si="8"/>
        <v>#N/A</v>
      </c>
      <c r="J29" s="96" t="str">
        <f t="shared" si="9"/>
        <v/>
      </c>
      <c r="K29" s="407" t="e">
        <f>$D29*$H$5*$F29*VLOOKUP($C29,'Master sheet'!$A:$AL,13,FALSE)</f>
        <v>#N/A</v>
      </c>
      <c r="L29" s="97">
        <v>0</v>
      </c>
      <c r="M29" s="1560"/>
      <c r="N29" s="1560"/>
      <c r="O29" s="25" t="str">
        <f>_xlfn.IFNA(VLOOKUP($C29,'Master sheet'!$A:$AR,44,FALSE),"")&amp;""</f>
        <v/>
      </c>
      <c r="P29" s="637"/>
      <c r="Q29" s="722" t="s">
        <v>32</v>
      </c>
      <c r="R29" s="722" t="s">
        <v>1570</v>
      </c>
      <c r="S29" s="638"/>
      <c r="T29" s="638"/>
      <c r="U29" s="638"/>
      <c r="V29" s="638"/>
      <c r="W29" s="638"/>
      <c r="X29" s="638"/>
      <c r="Y29" s="638"/>
      <c r="Z29" s="638"/>
      <c r="AA29" s="664"/>
    </row>
    <row r="30" spans="1:27" s="624" customFormat="1" ht="55.2" customHeight="1" x14ac:dyDescent="0.25">
      <c r="A30" s="1522" t="s">
        <v>24</v>
      </c>
      <c r="B30" s="1523"/>
      <c r="C30" s="1523"/>
      <c r="D30" s="629" t="s">
        <v>1539</v>
      </c>
      <c r="E30" s="1"/>
      <c r="F30" s="323" t="s">
        <v>22</v>
      </c>
      <c r="G30" s="650"/>
      <c r="H30" s="650"/>
      <c r="I30" s="651"/>
      <c r="J30" s="103"/>
      <c r="K30" s="652"/>
      <c r="L30" s="653"/>
      <c r="M30" s="653"/>
      <c r="N30" s="653"/>
      <c r="O30" s="25" t="str">
        <f>_xlfn.IFNA(VLOOKUP($C30,'Master sheet'!$A:$AR,44,FALSE),"")&amp;""</f>
        <v/>
      </c>
      <c r="P30" s="637"/>
      <c r="Q30" s="29"/>
      <c r="R30" s="28"/>
      <c r="S30" s="638"/>
      <c r="T30" s="638"/>
      <c r="U30" s="638"/>
      <c r="V30" s="638"/>
      <c r="W30" s="638"/>
      <c r="X30" s="638"/>
      <c r="Y30" s="638"/>
      <c r="Z30" s="638"/>
      <c r="AA30" s="664"/>
    </row>
    <row r="31" spans="1:27" ht="23.85" customHeight="1" x14ac:dyDescent="0.25">
      <c r="A31" s="639"/>
      <c r="B31" s="1524" t="s">
        <v>918</v>
      </c>
      <c r="C31" s="1524"/>
      <c r="D31" s="640"/>
      <c r="E31" s="675"/>
      <c r="F31" s="324"/>
      <c r="G31" s="675"/>
      <c r="H31" s="675"/>
      <c r="I31" s="642"/>
      <c r="J31" s="643"/>
      <c r="K31" s="676"/>
      <c r="L31" s="677"/>
      <c r="M31" s="677"/>
      <c r="N31" s="677"/>
      <c r="O31" s="25" t="str">
        <f>_xlfn.IFNA(VLOOKUP($C31,'Master sheet'!$A:$AR,44,FALSE),"")&amp;""</f>
        <v/>
      </c>
      <c r="P31" s="637"/>
      <c r="Q31" s="30"/>
      <c r="R31" s="21"/>
      <c r="S31" s="664"/>
      <c r="T31" s="664"/>
      <c r="U31" s="664"/>
      <c r="V31" s="664"/>
      <c r="W31" s="664"/>
      <c r="X31" s="664"/>
      <c r="Y31" s="664"/>
      <c r="Z31" s="664"/>
      <c r="AA31" s="664"/>
    </row>
    <row r="32" spans="1:27" ht="23.25" customHeight="1" x14ac:dyDescent="0.25">
      <c r="A32" s="1525" t="s">
        <v>1272</v>
      </c>
      <c r="B32" s="1545"/>
      <c r="C32" s="673" t="str">
        <f>INDEX('Master sheet'!$A$1:$A$670,MATCH(390,'Master sheet'!$AN$1:$AN$670,0))</f>
        <v>Rebar / Nucor Corporation / Canadian sizes / 10M</v>
      </c>
      <c r="D32" s="15">
        <f>IF($E$30&gt;0,$E$30,'USER INPUT SHEET'!$G$29)</f>
        <v>0</v>
      </c>
      <c r="E32" s="400" t="str">
        <f t="shared" ref="E32:E36" si="12">$F$30</f>
        <v>m</v>
      </c>
      <c r="F32" s="4">
        <v>1</v>
      </c>
      <c r="G32" s="674"/>
      <c r="H32" s="9"/>
      <c r="I32" s="95">
        <f t="shared" ref="I32:I36" si="13">K32-L32</f>
        <v>0</v>
      </c>
      <c r="J32" s="96" t="str">
        <f t="shared" ref="J32:J36" si="14">IF(H32=1,I32,"")</f>
        <v/>
      </c>
      <c r="K32" s="407">
        <f>$D32*$F32*VLOOKUP($C32,'Master sheet'!$A:$AL,13,FALSE)</f>
        <v>0</v>
      </c>
      <c r="L32" s="97">
        <f>$D32*$F32*VLOOKUP($C32,'Master sheet'!$A:$AL,27,FALSE)</f>
        <v>0</v>
      </c>
      <c r="M32" s="1551"/>
      <c r="N32" s="1551"/>
      <c r="O32" s="25" t="str">
        <f ca="1">_xlfn.IFNA(VLOOKUP($C32,'Master sheet'!$A:$AR,44,FALSE),"")&amp;""</f>
        <v/>
      </c>
      <c r="P32" s="637"/>
      <c r="Q32" s="722" t="s">
        <v>32</v>
      </c>
      <c r="R32" s="21" t="s">
        <v>24</v>
      </c>
      <c r="S32" s="664"/>
      <c r="T32" s="664"/>
      <c r="U32" s="664"/>
      <c r="V32" s="664"/>
      <c r="W32" s="664"/>
      <c r="X32" s="664"/>
      <c r="Y32" s="664"/>
      <c r="Z32" s="664"/>
      <c r="AA32" s="638"/>
    </row>
    <row r="33" spans="1:27" ht="23.25" customHeight="1" x14ac:dyDescent="0.25">
      <c r="A33" s="1525"/>
      <c r="B33" s="1545"/>
      <c r="C33" s="673" t="str">
        <f>INDEX('Master sheet'!$A$1:$A$670,MATCH(391,'Master sheet'!$AN$1:$AN$670,0))</f>
        <v>Rebar / Nucor Corporation / Canadian sizes / 15M</v>
      </c>
      <c r="D33" s="13">
        <f>IF($E$30&gt;0,$E$30,'USER INPUT SHEET'!$G$29)</f>
        <v>0</v>
      </c>
      <c r="E33" s="381" t="str">
        <f t="shared" si="12"/>
        <v>m</v>
      </c>
      <c r="F33" s="4">
        <v>1</v>
      </c>
      <c r="G33" s="674"/>
      <c r="H33" s="9"/>
      <c r="I33" s="95">
        <f t="shared" si="13"/>
        <v>0</v>
      </c>
      <c r="J33" s="96" t="str">
        <f t="shared" si="14"/>
        <v/>
      </c>
      <c r="K33" s="407">
        <f>$D33*$F33*VLOOKUP($C33,'Master sheet'!$A:$AL,13,FALSE)</f>
        <v>0</v>
      </c>
      <c r="L33" s="97">
        <f>$D33*$F33*VLOOKUP($C33,'Master sheet'!$A:$AL,27,FALSE)</f>
        <v>0</v>
      </c>
      <c r="M33" s="1560"/>
      <c r="N33" s="1560"/>
      <c r="O33" s="25" t="str">
        <f ca="1">_xlfn.IFNA(VLOOKUP($C33,'Master sheet'!$A:$AR,44,FALSE),"")&amp;""</f>
        <v/>
      </c>
      <c r="P33" s="637"/>
      <c r="Q33" s="722" t="s">
        <v>32</v>
      </c>
      <c r="R33" s="21" t="s">
        <v>24</v>
      </c>
      <c r="S33" s="664"/>
      <c r="T33" s="664"/>
      <c r="U33" s="664"/>
      <c r="V33" s="664"/>
      <c r="W33" s="664"/>
      <c r="X33" s="664"/>
      <c r="Y33" s="664"/>
      <c r="Z33" s="664"/>
      <c r="AA33" s="638"/>
    </row>
    <row r="34" spans="1:27" ht="23.25" customHeight="1" x14ac:dyDescent="0.25">
      <c r="A34" s="1525"/>
      <c r="B34" s="1545"/>
      <c r="C34" s="673" t="str">
        <f>INDEX('Master sheet'!$A$1:$A$670,MATCH(392,'Master sheet'!$AN$1:$AN$670,0))</f>
        <v>Rebar / Nucor Corporation / Canadian sizes / 20M</v>
      </c>
      <c r="D34" s="13">
        <f>IF($E$30&gt;0,$E$30,'USER INPUT SHEET'!$G$29)</f>
        <v>0</v>
      </c>
      <c r="E34" s="381" t="str">
        <f t="shared" si="12"/>
        <v>m</v>
      </c>
      <c r="F34" s="4">
        <v>1</v>
      </c>
      <c r="G34" s="674"/>
      <c r="H34" s="9"/>
      <c r="I34" s="95">
        <f t="shared" ref="I34:I35" si="15">K34-L34</f>
        <v>0</v>
      </c>
      <c r="J34" s="96" t="str">
        <f t="shared" ref="J34:J35" si="16">IF(H34=1,I34,"")</f>
        <v/>
      </c>
      <c r="K34" s="407">
        <f>$D34*$F34*VLOOKUP($C34,'Master sheet'!$A:$AL,13,FALSE)</f>
        <v>0</v>
      </c>
      <c r="L34" s="97">
        <f>$D34*$F34*VLOOKUP($C34,'Master sheet'!$A:$AL,27,FALSE)</f>
        <v>0</v>
      </c>
      <c r="M34" s="1560"/>
      <c r="N34" s="1560"/>
      <c r="O34" s="25" t="str">
        <f ca="1">_xlfn.IFNA(VLOOKUP($C34,'Master sheet'!$A:$AR,44,FALSE),"")&amp;""</f>
        <v/>
      </c>
      <c r="P34" s="637"/>
      <c r="Q34" s="722" t="s">
        <v>32</v>
      </c>
      <c r="R34" s="21" t="s">
        <v>24</v>
      </c>
      <c r="S34" s="664"/>
      <c r="T34" s="664"/>
      <c r="U34" s="664"/>
      <c r="V34" s="664"/>
      <c r="W34" s="664"/>
      <c r="X34" s="664"/>
      <c r="Y34" s="664"/>
      <c r="Z34" s="664"/>
      <c r="AA34" s="638"/>
    </row>
    <row r="35" spans="1:27" ht="31.2" x14ac:dyDescent="0.25">
      <c r="A35" s="1525"/>
      <c r="B35" s="1545"/>
      <c r="C35" s="673" t="str">
        <f>INDEX('Master sheet'!$A$1:$A$670,MATCH("A104",'Master sheet'!$AN$1:$AN$670,0))</f>
        <v>Rebar / Concrete Reinforcing Steel Institute / Canadian sizes -98% recycled, EAF / 10M</v>
      </c>
      <c r="D35" s="13">
        <f>IF($E$30&gt;0,$E$30,'USER INPUT SHEET'!$G$29)</f>
        <v>0</v>
      </c>
      <c r="E35" s="381" t="str">
        <f t="shared" si="12"/>
        <v>m</v>
      </c>
      <c r="F35" s="4">
        <v>1</v>
      </c>
      <c r="G35" s="674"/>
      <c r="H35" s="9"/>
      <c r="I35" s="95">
        <f t="shared" si="15"/>
        <v>0</v>
      </c>
      <c r="J35" s="96" t="str">
        <f t="shared" si="16"/>
        <v/>
      </c>
      <c r="K35" s="407">
        <f>$D35*$F35*VLOOKUP($C35,'Master sheet'!$A:$AL,13,FALSE)</f>
        <v>0</v>
      </c>
      <c r="L35" s="97">
        <f>$D35*$F35*VLOOKUP($C35,'Master sheet'!$A:$AL,27,FALSE)</f>
        <v>0</v>
      </c>
      <c r="M35" s="1560"/>
      <c r="N35" s="1560"/>
      <c r="O35" s="25" t="str">
        <f>_xlfn.IFNA(VLOOKUP($C35,'Master sheet'!$A:$AR,44,FALSE),"")&amp;""</f>
        <v/>
      </c>
      <c r="P35" s="637"/>
      <c r="Q35" s="722" t="s">
        <v>32</v>
      </c>
      <c r="R35" s="21" t="s">
        <v>24</v>
      </c>
      <c r="S35" s="664"/>
      <c r="T35" s="664"/>
      <c r="U35" s="664"/>
      <c r="V35" s="664"/>
      <c r="W35" s="664"/>
      <c r="X35" s="664"/>
      <c r="Y35" s="664"/>
      <c r="Z35" s="664"/>
      <c r="AA35" s="638"/>
    </row>
    <row r="36" spans="1:27" ht="31.2" x14ac:dyDescent="0.25">
      <c r="A36" s="1525"/>
      <c r="B36" s="1545"/>
      <c r="C36" s="673" t="str">
        <f>INDEX('Master sheet'!$A$1:$A$670,MATCH("A105",'Master sheet'!$AN$1:$AN$670,0))</f>
        <v>Rebar / Concrete Reinforcing Steel Institute / Canadian sizes -98% recycled, EAF / 15M</v>
      </c>
      <c r="D36" s="13">
        <f>IF($E$30&gt;0,$E$30,'USER INPUT SHEET'!$G$29)</f>
        <v>0</v>
      </c>
      <c r="E36" s="381" t="str">
        <f t="shared" si="12"/>
        <v>m</v>
      </c>
      <c r="F36" s="4">
        <v>1</v>
      </c>
      <c r="G36" s="674"/>
      <c r="H36" s="9"/>
      <c r="I36" s="95">
        <f t="shared" si="13"/>
        <v>0</v>
      </c>
      <c r="J36" s="96" t="str">
        <f t="shared" si="14"/>
        <v/>
      </c>
      <c r="K36" s="407">
        <f>$D36*$F36*VLOOKUP($C36,'Master sheet'!$A:$AL,13,FALSE)</f>
        <v>0</v>
      </c>
      <c r="L36" s="97">
        <f>$D36*$F36*VLOOKUP($C36,'Master sheet'!$A:$AL,27,FALSE)</f>
        <v>0</v>
      </c>
      <c r="M36" s="1560"/>
      <c r="N36" s="1560"/>
      <c r="O36" s="25" t="str">
        <f>_xlfn.IFNA(VLOOKUP($C36,'Master sheet'!$A:$AR,44,FALSE),"")&amp;""</f>
        <v/>
      </c>
      <c r="P36" s="637"/>
      <c r="Q36" s="722" t="s">
        <v>32</v>
      </c>
      <c r="R36" s="21" t="s">
        <v>24</v>
      </c>
      <c r="S36" s="664"/>
      <c r="T36" s="664"/>
      <c r="U36" s="664"/>
      <c r="V36" s="664"/>
      <c r="W36" s="664"/>
      <c r="X36" s="664"/>
      <c r="Y36" s="664"/>
      <c r="Z36" s="664"/>
      <c r="AA36" s="664"/>
    </row>
    <row r="37" spans="1:27" s="624" customFormat="1" ht="54.75" customHeight="1" x14ac:dyDescent="0.25">
      <c r="A37" s="1522" t="s">
        <v>1716</v>
      </c>
      <c r="B37" s="1523"/>
      <c r="C37" s="1523"/>
      <c r="D37" s="649"/>
      <c r="E37" s="650"/>
      <c r="F37" s="321"/>
      <c r="G37" s="650"/>
      <c r="H37" s="650"/>
      <c r="I37" s="651"/>
      <c r="J37" s="651"/>
      <c r="K37" s="652"/>
      <c r="L37" s="653"/>
      <c r="M37" s="653"/>
      <c r="N37" s="653"/>
      <c r="O37" s="25" t="str">
        <f>_xlfn.IFNA(VLOOKUP($C37,'Master sheet'!$A:$AR,44,FALSE),"")&amp;""</f>
        <v/>
      </c>
      <c r="P37" s="663"/>
      <c r="Q37" s="722"/>
      <c r="R37" s="722"/>
      <c r="S37" s="638"/>
      <c r="T37" s="638"/>
      <c r="U37" s="638"/>
      <c r="V37" s="638"/>
      <c r="W37" s="638"/>
      <c r="X37" s="638"/>
      <c r="Y37" s="638"/>
      <c r="Z37" s="638"/>
      <c r="AA37" s="664"/>
    </row>
    <row r="38" spans="1:27" ht="23.4" x14ac:dyDescent="0.25">
      <c r="A38" s="686"/>
      <c r="B38" s="1541" t="s">
        <v>1675</v>
      </c>
      <c r="C38" s="1530"/>
      <c r="D38" s="656"/>
      <c r="E38" s="657"/>
      <c r="F38" s="327"/>
      <c r="G38" s="724"/>
      <c r="H38" s="695"/>
      <c r="I38" s="658"/>
      <c r="J38" s="659"/>
      <c r="K38" s="660"/>
      <c r="L38" s="661"/>
      <c r="M38" s="677"/>
      <c r="N38" s="677"/>
      <c r="O38" s="25" t="str">
        <f>_xlfn.IFNA(VLOOKUP($C38,'Master sheet'!$A:$AR,44,FALSE),"")&amp;""</f>
        <v/>
      </c>
      <c r="P38" s="637"/>
      <c r="S38" s="664"/>
      <c r="T38" s="664"/>
      <c r="U38" s="664"/>
      <c r="V38" s="664"/>
      <c r="W38" s="664"/>
      <c r="X38" s="664"/>
      <c r="Y38" s="664"/>
      <c r="Z38" s="664"/>
      <c r="AA38" s="664"/>
    </row>
    <row r="39" spans="1:27" ht="22.8" x14ac:dyDescent="0.25">
      <c r="A39" s="1580" t="s">
        <v>1718</v>
      </c>
      <c r="B39" s="1580"/>
      <c r="C39" s="691" t="s">
        <v>1717</v>
      </c>
      <c r="D39" s="19">
        <f>'USER INPUT SHEET'!$D$30</f>
        <v>0</v>
      </c>
      <c r="E39" s="20" t="str">
        <f>'USER INPUT SHEET'!$F$30</f>
        <v>m2</v>
      </c>
      <c r="F39" s="6">
        <v>1</v>
      </c>
      <c r="G39" s="692"/>
      <c r="H39" s="10"/>
      <c r="I39" s="98">
        <f t="shared" ref="I39:I45" si="17">K39-L39</f>
        <v>0</v>
      </c>
      <c r="J39" s="91" t="str">
        <f t="shared" ref="J39:J45" si="18">IF(H39=1,I39,"")</f>
        <v/>
      </c>
      <c r="K39" s="410">
        <f>$F39*AVERAGE(K40:K45)</f>
        <v>0</v>
      </c>
      <c r="L39" s="99">
        <f>$F39*AVERAGE(L40:L45)</f>
        <v>0</v>
      </c>
      <c r="M39" s="1560"/>
      <c r="N39" s="1560"/>
      <c r="O39" s="25" t="str">
        <f>_xlfn.IFNA(VLOOKUP($C39,'Master sheet'!$A:$AR,44,FALSE),"")&amp;""</f>
        <v/>
      </c>
      <c r="P39" s="671"/>
      <c r="Q39" s="725" t="s">
        <v>32</v>
      </c>
      <c r="R39" s="717" t="s">
        <v>1573</v>
      </c>
      <c r="S39" s="664"/>
      <c r="T39" s="664"/>
      <c r="U39" s="664"/>
      <c r="V39" s="664"/>
      <c r="W39" s="664"/>
      <c r="X39" s="664"/>
      <c r="Y39" s="664"/>
      <c r="Z39" s="664"/>
      <c r="AA39" s="664"/>
    </row>
    <row r="40" spans="1:27" ht="31.2" customHeight="1" x14ac:dyDescent="0.25">
      <c r="A40" s="1580"/>
      <c r="B40" s="1580"/>
      <c r="C40" s="673" t="str">
        <f>INDEX('Master sheet'!$A$1:$A$670,MATCH("A15",'Master sheet'!$AN$1:$AN$670,0))</f>
        <v xml:space="preserve">CMU - Light weight / Brampton Brick (Boehmers) / 8" CarboClave Block / 8 x 8 x 16 </v>
      </c>
      <c r="D40" s="17">
        <f>'USER INPUT SHEET'!$D$30</f>
        <v>0</v>
      </c>
      <c r="E40" s="18" t="str">
        <f>'USER INPUT SHEET'!$F$30</f>
        <v>m2</v>
      </c>
      <c r="F40" s="6">
        <v>1</v>
      </c>
      <c r="G40" s="674"/>
      <c r="H40" s="9"/>
      <c r="I40" s="95">
        <f t="shared" ref="I40:I44" si="19">K40-L40</f>
        <v>0</v>
      </c>
      <c r="J40" s="96" t="str">
        <f t="shared" ref="J40:J44" si="20">IF(H40=1,I40,"")</f>
        <v/>
      </c>
      <c r="K40" s="407">
        <f>$D40*$F40*VLOOKUP($C40,'Master sheet'!$A:$AL,13,FALSE)</f>
        <v>0</v>
      </c>
      <c r="L40" s="97">
        <f>$D40*$F40*VLOOKUP($C40,'Master sheet'!$A:$AL,27,FALSE)</f>
        <v>0</v>
      </c>
      <c r="M40" s="1551"/>
      <c r="N40" s="1551"/>
      <c r="O40" s="25" t="str">
        <f>_xlfn.IFNA(VLOOKUP($C40,'Master sheet'!$A:$AR,44,FALSE),"")&amp;""</f>
        <v/>
      </c>
      <c r="P40" s="637"/>
      <c r="Q40" s="725" t="s">
        <v>32</v>
      </c>
      <c r="R40" s="717" t="s">
        <v>1573</v>
      </c>
      <c r="S40" s="664"/>
      <c r="T40" s="664"/>
      <c r="U40" s="664"/>
      <c r="V40" s="664"/>
      <c r="W40" s="664"/>
      <c r="X40" s="664"/>
      <c r="Y40" s="664"/>
      <c r="Z40" s="664"/>
      <c r="AA40" s="664"/>
    </row>
    <row r="41" spans="1:27" ht="46.8" x14ac:dyDescent="0.25">
      <c r="A41" s="1580"/>
      <c r="B41" s="1580"/>
      <c r="C41" s="673" t="str">
        <f>INDEX('Master sheet'!$A$1:$A$670,MATCH("A16",'Master sheet'!$AN$1:$AN$670,0))</f>
        <v xml:space="preserve">CMU - Light weight / Canadian Concrete Masonry Producers Assn, East Region / 8" Light weight blocks / 15 MPa, 390 x 190 x 190 mm </v>
      </c>
      <c r="D41" s="17">
        <f>'USER INPUT SHEET'!$D$30</f>
        <v>0</v>
      </c>
      <c r="E41" s="18" t="str">
        <f>'USER INPUT SHEET'!$F$30</f>
        <v>m2</v>
      </c>
      <c r="F41" s="6">
        <v>1</v>
      </c>
      <c r="G41" s="674"/>
      <c r="H41" s="9"/>
      <c r="I41" s="95">
        <f t="shared" si="19"/>
        <v>0</v>
      </c>
      <c r="J41" s="96" t="str">
        <f t="shared" si="20"/>
        <v/>
      </c>
      <c r="K41" s="407">
        <f>$D41*$F41*VLOOKUP($C41,'Master sheet'!$A:$AL,13,FALSE)</f>
        <v>0</v>
      </c>
      <c r="L41" s="97">
        <f>$D41*$F41*VLOOKUP($C41,'Master sheet'!$A:$AL,27,FALSE)</f>
        <v>0</v>
      </c>
      <c r="M41" s="1560"/>
      <c r="N41" s="1560"/>
      <c r="O41" s="25" t="str">
        <f>_xlfn.IFNA(VLOOKUP($C41,'Master sheet'!$A:$AR,44,FALSE),"")&amp;""</f>
        <v/>
      </c>
      <c r="P41" s="637"/>
      <c r="Q41" s="725" t="s">
        <v>32</v>
      </c>
      <c r="R41" s="717" t="s">
        <v>1573</v>
      </c>
      <c r="S41" s="664"/>
      <c r="T41" s="664"/>
      <c r="U41" s="664"/>
      <c r="V41" s="664"/>
      <c r="W41" s="664"/>
      <c r="X41" s="664"/>
      <c r="Y41" s="664"/>
      <c r="Z41" s="664"/>
      <c r="AA41" s="664"/>
    </row>
    <row r="42" spans="1:27" ht="46.8" x14ac:dyDescent="0.25">
      <c r="A42" s="1580"/>
      <c r="B42" s="1580"/>
      <c r="C42" s="673" t="str">
        <f>INDEX('Master sheet'!$A$1:$A$670,MATCH("A17",'Master sheet'!$AN$1:$AN$670,0))</f>
        <v xml:space="preserve">CMU - Light weight / Canadian Concrete Masonry Producers Assn, West Region / 8" Light weight blocks / 15 MPa, 390 x 190 x 190 mm </v>
      </c>
      <c r="D42" s="17">
        <f>'USER INPUT SHEET'!$D$30</f>
        <v>0</v>
      </c>
      <c r="E42" s="18" t="str">
        <f>'USER INPUT SHEET'!$F$30</f>
        <v>m2</v>
      </c>
      <c r="F42" s="6">
        <v>1</v>
      </c>
      <c r="G42" s="674"/>
      <c r="H42" s="9"/>
      <c r="I42" s="95">
        <f t="shared" si="19"/>
        <v>0</v>
      </c>
      <c r="J42" s="96" t="str">
        <f t="shared" si="20"/>
        <v/>
      </c>
      <c r="K42" s="407">
        <f>$D42*$F42*VLOOKUP($C42,'Master sheet'!$A:$AL,13,FALSE)</f>
        <v>0</v>
      </c>
      <c r="L42" s="97">
        <f>$D42*$F42*VLOOKUP($C42,'Master sheet'!$A:$AL,27,FALSE)</f>
        <v>0</v>
      </c>
      <c r="M42" s="1560"/>
      <c r="N42" s="1560"/>
      <c r="O42" s="25" t="str">
        <f>_xlfn.IFNA(VLOOKUP($C42,'Master sheet'!$A:$AR,44,FALSE),"")&amp;""</f>
        <v/>
      </c>
      <c r="P42" s="637"/>
      <c r="Q42" s="725" t="s">
        <v>32</v>
      </c>
      <c r="R42" s="717" t="s">
        <v>1573</v>
      </c>
      <c r="S42" s="664"/>
      <c r="T42" s="664"/>
      <c r="U42" s="664"/>
      <c r="V42" s="664"/>
      <c r="W42" s="664"/>
      <c r="X42" s="664"/>
      <c r="Y42" s="664"/>
      <c r="Z42" s="664"/>
      <c r="AA42" s="638"/>
    </row>
    <row r="43" spans="1:27" ht="31.5" customHeight="1" x14ac:dyDescent="0.25">
      <c r="A43" s="1580"/>
      <c r="B43" s="1580"/>
      <c r="C43" s="673" t="str">
        <f>INDEX('Master sheet'!$A$1:$A$670,MATCH("A20",'Master sheet'!$AN$1:$AN$670,0))</f>
        <v xml:space="preserve">CMU - Normal weight / Brampton Brick (Boehmers) / 8" CarboClave Block / 8 x 8 x 16 </v>
      </c>
      <c r="D43" s="17">
        <f>'USER INPUT SHEET'!$D$30</f>
        <v>0</v>
      </c>
      <c r="E43" s="18" t="str">
        <f>'USER INPUT SHEET'!$F$30</f>
        <v>m2</v>
      </c>
      <c r="F43" s="6">
        <v>1</v>
      </c>
      <c r="G43" s="674"/>
      <c r="H43" s="9"/>
      <c r="I43" s="95">
        <f t="shared" si="19"/>
        <v>0</v>
      </c>
      <c r="J43" s="96" t="str">
        <f t="shared" si="20"/>
        <v/>
      </c>
      <c r="K43" s="407">
        <f>$D43*$F43*VLOOKUP($C43,'Master sheet'!$A:$AL,13,FALSE)</f>
        <v>0</v>
      </c>
      <c r="L43" s="97">
        <f>$D43*$F43*VLOOKUP($C43,'Master sheet'!$A:$AL,27,FALSE)</f>
        <v>0</v>
      </c>
      <c r="M43" s="1560"/>
      <c r="N43" s="1560"/>
      <c r="O43" s="25" t="str">
        <f>_xlfn.IFNA(VLOOKUP($C43,'Master sheet'!$A:$AR,44,FALSE),"")&amp;""</f>
        <v/>
      </c>
      <c r="P43" s="637"/>
      <c r="Q43" s="725" t="s">
        <v>32</v>
      </c>
      <c r="R43" s="717" t="s">
        <v>1573</v>
      </c>
      <c r="S43" s="664"/>
      <c r="T43" s="664"/>
      <c r="U43" s="664"/>
      <c r="V43" s="664"/>
      <c r="W43" s="664"/>
      <c r="X43" s="664"/>
      <c r="Y43" s="664"/>
      <c r="Z43" s="664"/>
      <c r="AA43" s="664"/>
    </row>
    <row r="44" spans="1:27" ht="46.8" x14ac:dyDescent="0.25">
      <c r="A44" s="1580"/>
      <c r="B44" s="1580"/>
      <c r="C44" s="673" t="str">
        <f>INDEX('Master sheet'!$A$1:$A$670,MATCH("A18",'Master sheet'!$AN$1:$AN$670,0))</f>
        <v xml:space="preserve">CMU - Normal weight / Canadian Concrete Masonry Producers Assn, East Region / 8" Normal weight blocks / 15 MPa, 390 x 190 x 190 mm </v>
      </c>
      <c r="D44" s="17">
        <f>'USER INPUT SHEET'!$D$30</f>
        <v>0</v>
      </c>
      <c r="E44" s="18" t="str">
        <f>'USER INPUT SHEET'!$F$30</f>
        <v>m2</v>
      </c>
      <c r="F44" s="6">
        <v>1</v>
      </c>
      <c r="G44" s="674"/>
      <c r="H44" s="9"/>
      <c r="I44" s="95">
        <f t="shared" si="19"/>
        <v>0</v>
      </c>
      <c r="J44" s="96" t="str">
        <f t="shared" si="20"/>
        <v/>
      </c>
      <c r="K44" s="407">
        <f>$D44*$F44*VLOOKUP($C44,'Master sheet'!$A:$AL,13,FALSE)</f>
        <v>0</v>
      </c>
      <c r="L44" s="97">
        <f>$D44*$F44*VLOOKUP($C44,'Master sheet'!$A:$AL,27,FALSE)</f>
        <v>0</v>
      </c>
      <c r="M44" s="1560"/>
      <c r="N44" s="1560"/>
      <c r="O44" s="25" t="str">
        <f>_xlfn.IFNA(VLOOKUP($C44,'Master sheet'!$A:$AR,44,FALSE),"")&amp;""</f>
        <v/>
      </c>
      <c r="P44" s="637"/>
      <c r="Q44" s="725" t="s">
        <v>32</v>
      </c>
      <c r="R44" s="717" t="s">
        <v>1573</v>
      </c>
      <c r="S44" s="664"/>
      <c r="T44" s="664"/>
      <c r="U44" s="664"/>
      <c r="V44" s="664"/>
      <c r="W44" s="664"/>
      <c r="X44" s="664"/>
      <c r="Y44" s="664"/>
      <c r="Z44" s="664"/>
      <c r="AA44" s="664"/>
    </row>
    <row r="45" spans="1:27" s="624" customFormat="1" ht="46.8" x14ac:dyDescent="0.25">
      <c r="A45" s="1581"/>
      <c r="B45" s="1581"/>
      <c r="C45" s="673" t="str">
        <f>INDEX('Master sheet'!$A$1:$A$670,MATCH("A19",'Master sheet'!$AN$1:$AN$670,0))</f>
        <v xml:space="preserve">CMU - Normal weight / Canadian Concrete Masonry Producers Assn, West Region / 8" Normal weight blocks / 15 MPa, 390 x 190 x 190 mm </v>
      </c>
      <c r="D45" s="17">
        <f>'USER INPUT SHEET'!$D$30</f>
        <v>0</v>
      </c>
      <c r="E45" s="18" t="str">
        <f>'USER INPUT SHEET'!$F$30</f>
        <v>m2</v>
      </c>
      <c r="F45" s="6">
        <v>1</v>
      </c>
      <c r="G45" s="674"/>
      <c r="H45" s="9"/>
      <c r="I45" s="95">
        <f t="shared" si="17"/>
        <v>0</v>
      </c>
      <c r="J45" s="96" t="str">
        <f t="shared" si="18"/>
        <v/>
      </c>
      <c r="K45" s="407">
        <f>$D45*$F45*VLOOKUP($C45,'Master sheet'!$A:$AL,13,FALSE)</f>
        <v>0</v>
      </c>
      <c r="L45" s="97">
        <f>$D45*$F45*VLOOKUP($C45,'Master sheet'!$A:$AL,27,FALSE)</f>
        <v>0</v>
      </c>
      <c r="M45" s="1560"/>
      <c r="N45" s="1560"/>
      <c r="O45" s="25" t="str">
        <f>_xlfn.IFNA(VLOOKUP($C45,'Master sheet'!$A:$AR,44,FALSE),"")&amp;""</f>
        <v/>
      </c>
      <c r="P45" s="637"/>
      <c r="Q45" s="725" t="s">
        <v>32</v>
      </c>
      <c r="R45" s="717" t="s">
        <v>1573</v>
      </c>
      <c r="S45" s="638"/>
      <c r="T45" s="638"/>
      <c r="U45" s="638"/>
      <c r="V45" s="638"/>
      <c r="W45" s="638"/>
      <c r="X45" s="638"/>
      <c r="Y45" s="638"/>
      <c r="Z45" s="638"/>
      <c r="AA45" s="664"/>
    </row>
    <row r="46" spans="1:27" s="624" customFormat="1" ht="54.75" customHeight="1" x14ac:dyDescent="0.25">
      <c r="A46" s="1522" t="s">
        <v>33</v>
      </c>
      <c r="B46" s="1523"/>
      <c r="C46" s="1523"/>
      <c r="D46" s="649"/>
      <c r="E46" s="650"/>
      <c r="F46" s="321"/>
      <c r="G46" s="650"/>
      <c r="H46" s="650"/>
      <c r="I46" s="651"/>
      <c r="J46" s="651"/>
      <c r="K46" s="652"/>
      <c r="L46" s="653"/>
      <c r="M46" s="653"/>
      <c r="N46" s="653"/>
      <c r="O46" s="25" t="str">
        <f>_xlfn.IFNA(VLOOKUP($C46,'Master sheet'!$A:$AR,44,FALSE),"")&amp;""</f>
        <v/>
      </c>
      <c r="P46" s="637"/>
      <c r="Q46" s="722"/>
      <c r="R46" s="722"/>
      <c r="S46" s="638"/>
      <c r="T46" s="638"/>
      <c r="U46" s="638"/>
      <c r="V46" s="638"/>
      <c r="W46" s="638"/>
      <c r="X46" s="638"/>
      <c r="Y46" s="638"/>
      <c r="Z46" s="638"/>
      <c r="AA46" s="638"/>
    </row>
    <row r="47" spans="1:27" s="624" customFormat="1" ht="31.5" customHeight="1" x14ac:dyDescent="0.25">
      <c r="A47" s="1578"/>
      <c r="B47" s="1579"/>
      <c r="C47" s="681" t="str">
        <f>INDEX('Master sheet'!$A$1:$A$670,MATCH(268,'Master sheet'!$AN$1:$AN$670,0))</f>
        <v>TREATED WOOD FOUNDATION - 2x8 framing @ 16" OC, 3/4" plywood sheathing</v>
      </c>
      <c r="D47" s="22">
        <f>'USER INPUT SHEET'!$D$30</f>
        <v>0</v>
      </c>
      <c r="E47" s="23" t="str">
        <f>'USER INPUT SHEET'!$F$30</f>
        <v>m2</v>
      </c>
      <c r="F47" s="6">
        <v>1</v>
      </c>
      <c r="G47" s="682"/>
      <c r="H47" s="10"/>
      <c r="I47" s="100">
        <f>K47-L47</f>
        <v>0</v>
      </c>
      <c r="J47" s="101" t="str">
        <f>IF(H47=1,I47,"")</f>
        <v/>
      </c>
      <c r="K47" s="408">
        <f>$D47*$F47*VLOOKUP($C47,'Master sheet'!$A:$AL,13,FALSE)</f>
        <v>0</v>
      </c>
      <c r="L47" s="102">
        <f>$D47*$F47*VLOOKUP($C47,'Master sheet'!$A:$AL,27,FALSE)</f>
        <v>0</v>
      </c>
      <c r="M47" s="1551"/>
      <c r="N47" s="1551"/>
      <c r="O47" s="25" t="str">
        <f ca="1">_xlfn.IFNA(VLOOKUP($C47,'Master sheet'!$A:$AR,44,FALSE),"")&amp;""</f>
        <v/>
      </c>
      <c r="P47" s="637"/>
      <c r="Q47" s="726" t="s">
        <v>32</v>
      </c>
      <c r="R47" s="722" t="s">
        <v>33</v>
      </c>
      <c r="S47" s="638"/>
      <c r="T47" s="638"/>
      <c r="U47" s="638"/>
      <c r="V47" s="638"/>
      <c r="W47" s="638"/>
      <c r="X47" s="638"/>
      <c r="Y47" s="638"/>
      <c r="Z47" s="638"/>
      <c r="AA47" s="664"/>
    </row>
    <row r="48" spans="1:27" s="624" customFormat="1" ht="54.75" customHeight="1" x14ac:dyDescent="0.25">
      <c r="A48" s="1522" t="s">
        <v>34</v>
      </c>
      <c r="B48" s="1523"/>
      <c r="C48" s="1523"/>
      <c r="D48" s="629" t="str">
        <f>IF(LOWER(Setting!rng_language)="english","R-VALUE:","VALEUR R :")</f>
        <v>R-VALUE:</v>
      </c>
      <c r="E48" s="1"/>
      <c r="F48" s="321"/>
      <c r="G48" s="650"/>
      <c r="H48" s="650"/>
      <c r="I48" s="651"/>
      <c r="J48" s="651"/>
      <c r="K48" s="652"/>
      <c r="L48" s="653"/>
      <c r="M48" s="653"/>
      <c r="N48" s="653"/>
      <c r="O48" s="25" t="str">
        <f>_xlfn.IFNA(VLOOKUP($C48,'Master sheet'!$A:$AR,44,FALSE),"")&amp;""</f>
        <v/>
      </c>
      <c r="P48" s="637"/>
      <c r="Q48" s="722"/>
      <c r="R48" s="722"/>
      <c r="S48" s="638"/>
      <c r="T48" s="638"/>
      <c r="U48" s="638"/>
      <c r="V48" s="638"/>
      <c r="W48" s="638"/>
      <c r="X48" s="638"/>
      <c r="Y48" s="638"/>
      <c r="Z48" s="638"/>
      <c r="AA48" s="664"/>
    </row>
    <row r="49" spans="1:27" ht="22.8" x14ac:dyDescent="0.25">
      <c r="A49" s="686"/>
      <c r="B49" s="1541" t="s">
        <v>1033</v>
      </c>
      <c r="C49" s="1530"/>
      <c r="D49" s="687" t="str">
        <f>IF(LOWER(Setting!rng_language)="english","R-VALUE:","VALEUR R :")</f>
        <v>R-VALUE:</v>
      </c>
      <c r="E49" s="1"/>
      <c r="F49" s="326"/>
      <c r="G49" s="688"/>
      <c r="H49" s="688"/>
      <c r="I49" s="658"/>
      <c r="J49" s="659"/>
      <c r="K49" s="660"/>
      <c r="L49" s="661"/>
      <c r="M49" s="677"/>
      <c r="N49" s="677"/>
      <c r="O49" s="25" t="str">
        <f>_xlfn.IFNA(VLOOKUP($C49,'Master sheet'!$A:$AR,44,FALSE),"")&amp;""</f>
        <v/>
      </c>
      <c r="P49" s="637"/>
      <c r="Q49" s="725"/>
      <c r="S49" s="664"/>
      <c r="T49" s="664"/>
      <c r="U49" s="664"/>
      <c r="V49" s="664"/>
      <c r="W49" s="664"/>
      <c r="X49" s="664"/>
      <c r="Y49" s="664"/>
      <c r="Z49" s="664"/>
      <c r="AA49" s="664"/>
    </row>
    <row r="50" spans="1:27" ht="22.8" x14ac:dyDescent="0.25">
      <c r="A50" s="690"/>
      <c r="B50" s="625"/>
      <c r="C50" s="691" t="s">
        <v>1051</v>
      </c>
      <c r="D50" s="19">
        <f>'USER INPUT SHEET'!$D$30</f>
        <v>0</v>
      </c>
      <c r="E50" s="20" t="str">
        <f>'USER INPUT SHEET'!$F$30</f>
        <v>m2</v>
      </c>
      <c r="F50" s="6">
        <v>1</v>
      </c>
      <c r="G50" s="692"/>
      <c r="H50" s="10"/>
      <c r="I50" s="98">
        <f t="shared" ref="I50:I58" si="21">K50-L50</f>
        <v>0</v>
      </c>
      <c r="J50" s="106" t="str">
        <f>IF(H50=1,I50,"")</f>
        <v/>
      </c>
      <c r="K50" s="410">
        <f>$F50*AVERAGE(K51:K58)</f>
        <v>0</v>
      </c>
      <c r="L50" s="99">
        <f>$F50*AVERAGE(L51:L58)</f>
        <v>0</v>
      </c>
      <c r="M50" s="1560"/>
      <c r="N50" s="1560"/>
      <c r="O50" s="25" t="str">
        <f>_xlfn.IFNA(VLOOKUP($C50,'Master sheet'!$A:$AR,44,FALSE),"")&amp;""</f>
        <v/>
      </c>
      <c r="P50" s="637"/>
      <c r="Q50" s="725" t="s">
        <v>32</v>
      </c>
      <c r="R50" s="717" t="s">
        <v>1697</v>
      </c>
      <c r="S50" s="664"/>
      <c r="T50" s="664"/>
      <c r="U50" s="664"/>
      <c r="V50" s="664"/>
      <c r="W50" s="664"/>
      <c r="X50" s="664"/>
      <c r="Y50" s="664"/>
      <c r="Z50" s="664"/>
      <c r="AA50" s="664"/>
    </row>
    <row r="51" spans="1:27" ht="31.5" customHeight="1" x14ac:dyDescent="0.25">
      <c r="A51" s="1542"/>
      <c r="B51" s="1523"/>
      <c r="C51" s="673" t="str">
        <f>INDEX('Master sheet'!$A$1:$A$670,MATCH("A28",'Master sheet'!$AN$1:$AN$670,0))</f>
        <v>EPS foam board / EPS Industry Alliance /  / R 3.6/inch, Type I, 10 psi (70 kPa)</v>
      </c>
      <c r="D51" s="17">
        <f>'USER INPUT SHEET'!$D$30</f>
        <v>0</v>
      </c>
      <c r="E51" s="18" t="str">
        <f>'USER INPUT SHEET'!$F$30</f>
        <v>m2</v>
      </c>
      <c r="F51" s="4">
        <v>1</v>
      </c>
      <c r="G51" s="674"/>
      <c r="H51" s="9"/>
      <c r="I51" s="95">
        <f t="shared" ref="I51:I57" si="22">K51-L51</f>
        <v>0</v>
      </c>
      <c r="J51" s="96" t="str">
        <f t="shared" ref="J51:J57" si="23">IF(H51=1,I51,"")</f>
        <v/>
      </c>
      <c r="K51" s="407">
        <f>$D51*$F51*VLOOKUP($C51,'Master sheet'!$A:$AL,13,FALSE)*($E$49/5.678)</f>
        <v>0</v>
      </c>
      <c r="L51" s="97">
        <f>$D51*$F51*VLOOKUP($C51,'Master sheet'!$A:$AL,27,FALSE)*($E$49/5.678)</f>
        <v>0</v>
      </c>
      <c r="M51" s="1551"/>
      <c r="N51" s="1551"/>
      <c r="O51" s="25" t="str">
        <f>_xlfn.IFNA(VLOOKUP($C51,'Master sheet'!$A:$AR,44,FALSE),"")&amp;""</f>
        <v/>
      </c>
      <c r="P51" s="685"/>
      <c r="Q51" s="725" t="s">
        <v>32</v>
      </c>
      <c r="R51" s="717" t="s">
        <v>1697</v>
      </c>
      <c r="S51" s="664"/>
      <c r="T51" s="664"/>
      <c r="U51" s="664"/>
      <c r="V51" s="664"/>
      <c r="W51" s="664"/>
      <c r="X51" s="664"/>
      <c r="Y51" s="664"/>
      <c r="Z51" s="664"/>
      <c r="AA51" s="664"/>
    </row>
    <row r="52" spans="1:27" ht="31.5" customHeight="1" x14ac:dyDescent="0.25">
      <c r="A52" s="1542"/>
      <c r="B52" s="1523"/>
      <c r="C52" s="673" t="str">
        <f>INDEX('Master sheet'!$A$1:$A$670,MATCH("A29",'Master sheet'!$AN$1:$AN$670,0))</f>
        <v>EPS foam board / EPS Industry Alliance /  / R 4.0/inch, Type II, 15 psi (100 kPa)</v>
      </c>
      <c r="D52" s="17">
        <f>'USER INPUT SHEET'!$D$30</f>
        <v>0</v>
      </c>
      <c r="E52" s="18" t="str">
        <f>'USER INPUT SHEET'!$F$30</f>
        <v>m2</v>
      </c>
      <c r="F52" s="4">
        <v>1</v>
      </c>
      <c r="G52" s="674"/>
      <c r="H52" s="9"/>
      <c r="I52" s="95">
        <f t="shared" si="22"/>
        <v>0</v>
      </c>
      <c r="J52" s="96" t="str">
        <f t="shared" si="23"/>
        <v/>
      </c>
      <c r="K52" s="407">
        <f>$D52*$F52*VLOOKUP($C52,'Master sheet'!$A:$AL,13,FALSE)*($E$49/5.678)</f>
        <v>0</v>
      </c>
      <c r="L52" s="97">
        <f>$D52*$F52*VLOOKUP($C52,'Master sheet'!$A:$AL,27,FALSE)*($E$49/5.678)</f>
        <v>0</v>
      </c>
      <c r="M52" s="1560"/>
      <c r="N52" s="1560"/>
      <c r="O52" s="25" t="str">
        <f>_xlfn.IFNA(VLOOKUP($C52,'Master sheet'!$A:$AR,44,FALSE),"")&amp;""</f>
        <v/>
      </c>
      <c r="P52" s="685"/>
      <c r="Q52" s="725" t="s">
        <v>32</v>
      </c>
      <c r="R52" s="717" t="s">
        <v>1697</v>
      </c>
      <c r="S52" s="664"/>
      <c r="T52" s="664"/>
      <c r="U52" s="664"/>
      <c r="V52" s="664"/>
      <c r="W52" s="664"/>
      <c r="X52" s="664"/>
      <c r="Y52" s="664"/>
      <c r="Z52" s="664"/>
      <c r="AA52" s="664"/>
    </row>
    <row r="53" spans="1:27" ht="31.5" customHeight="1" x14ac:dyDescent="0.25">
      <c r="A53" s="1542"/>
      <c r="B53" s="1523"/>
      <c r="C53" s="673" t="str">
        <f>INDEX('Master sheet'!$A$1:$A$670,MATCH("A30",'Master sheet'!$AN$1:$AN$670,0))</f>
        <v>EPS foam board / EPS Industry Alliance /  / R 4.2/inch, Type IX, 25 psi (170 kPa)</v>
      </c>
      <c r="D53" s="17">
        <f>'USER INPUT SHEET'!$D$30</f>
        <v>0</v>
      </c>
      <c r="E53" s="18" t="str">
        <f>'USER INPUT SHEET'!$F$30</f>
        <v>m2</v>
      </c>
      <c r="F53" s="4">
        <v>1</v>
      </c>
      <c r="G53" s="674"/>
      <c r="H53" s="9"/>
      <c r="I53" s="95">
        <f t="shared" si="22"/>
        <v>0</v>
      </c>
      <c r="J53" s="96" t="str">
        <f t="shared" si="23"/>
        <v/>
      </c>
      <c r="K53" s="407">
        <f>$D53*$F53*VLOOKUP($C53,'Master sheet'!$A:$AL,13,FALSE)*($E$49/5.678)</f>
        <v>0</v>
      </c>
      <c r="L53" s="97">
        <f>$D53*$F53*VLOOKUP($C53,'Master sheet'!$A:$AL,27,FALSE)*($E$49/5.678)</f>
        <v>0</v>
      </c>
      <c r="M53" s="1560"/>
      <c r="N53" s="1560"/>
      <c r="O53" s="25" t="str">
        <f>_xlfn.IFNA(VLOOKUP($C53,'Master sheet'!$A:$AR,44,FALSE),"")&amp;""</f>
        <v/>
      </c>
      <c r="P53" s="685"/>
      <c r="Q53" s="725" t="s">
        <v>32</v>
      </c>
      <c r="R53" s="717" t="s">
        <v>1697</v>
      </c>
      <c r="S53" s="664"/>
      <c r="T53" s="664"/>
      <c r="U53" s="664"/>
      <c r="V53" s="664"/>
      <c r="W53" s="664"/>
      <c r="X53" s="664"/>
      <c r="Y53" s="664"/>
      <c r="Z53" s="664"/>
      <c r="AA53" s="664"/>
    </row>
    <row r="54" spans="1:27" ht="31.5" customHeight="1" x14ac:dyDescent="0.25">
      <c r="A54" s="1542"/>
      <c r="B54" s="1523"/>
      <c r="C54" s="673" t="str">
        <f>INDEX('Master sheet'!$A$1:$A$670,MATCH("A31",'Master sheet'!$AN$1:$AN$670,0))</f>
        <v>EPS foam board / EPS Industry Alliance /  / R 4.3/inch, Type XV, 60 psi (400 kPa)</v>
      </c>
      <c r="D54" s="17">
        <f>'USER INPUT SHEET'!$D$30</f>
        <v>0</v>
      </c>
      <c r="E54" s="18" t="str">
        <f>'USER INPUT SHEET'!$F$30</f>
        <v>m2</v>
      </c>
      <c r="F54" s="4">
        <v>1</v>
      </c>
      <c r="G54" s="674"/>
      <c r="H54" s="9"/>
      <c r="I54" s="95">
        <f t="shared" si="22"/>
        <v>0</v>
      </c>
      <c r="J54" s="96" t="str">
        <f t="shared" si="23"/>
        <v/>
      </c>
      <c r="K54" s="407">
        <f>$D54*$F54*VLOOKUP($C54,'Master sheet'!$A:$AL,13,FALSE)*($E$49/5.678)</f>
        <v>0</v>
      </c>
      <c r="L54" s="97">
        <f>$D54*$F54*VLOOKUP($C54,'Master sheet'!$A:$AL,27,FALSE)*($E$49/5.678)</f>
        <v>0</v>
      </c>
      <c r="M54" s="1560"/>
      <c r="N54" s="1560"/>
      <c r="O54" s="25" t="str">
        <f>_xlfn.IFNA(VLOOKUP($C54,'Master sheet'!$A:$AR,44,FALSE),"")&amp;""</f>
        <v/>
      </c>
      <c r="P54" s="685"/>
      <c r="Q54" s="725" t="s">
        <v>32</v>
      </c>
      <c r="R54" s="717" t="s">
        <v>1697</v>
      </c>
      <c r="S54" s="664"/>
      <c r="T54" s="664"/>
      <c r="U54" s="664"/>
      <c r="V54" s="664"/>
      <c r="W54" s="664"/>
      <c r="X54" s="664"/>
      <c r="Y54" s="664"/>
      <c r="Z54" s="664"/>
      <c r="AA54" s="664"/>
    </row>
    <row r="55" spans="1:27" ht="31.5" customHeight="1" x14ac:dyDescent="0.25">
      <c r="A55" s="1542"/>
      <c r="B55" s="1523"/>
      <c r="C55" s="673" t="str">
        <f>INDEX('Master sheet'!$A$1:$A$670,MATCH("A33",'Master sheet'!$AN$1:$AN$670,0))</f>
        <v>EPS foam board with graphite / BASF  / Neopor F 5200 &amp; F 5300 Plus BMB / R 4.7/inch, Type II, 15 psi (Type 2, 110 kPa)</v>
      </c>
      <c r="D55" s="17">
        <f>'USER INPUT SHEET'!$D$30</f>
        <v>0</v>
      </c>
      <c r="E55" s="18" t="str">
        <f>'USER INPUT SHEET'!$F$30</f>
        <v>m2</v>
      </c>
      <c r="F55" s="4">
        <v>1</v>
      </c>
      <c r="G55" s="674"/>
      <c r="H55" s="9"/>
      <c r="I55" s="95">
        <f t="shared" si="22"/>
        <v>0</v>
      </c>
      <c r="J55" s="96" t="str">
        <f t="shared" si="23"/>
        <v/>
      </c>
      <c r="K55" s="407">
        <f>$D55*$F55*VLOOKUP($C55,'Master sheet'!$A:$AL,13,FALSE)*($E$49/5.678)</f>
        <v>0</v>
      </c>
      <c r="L55" s="97">
        <f>$D55*$F55*VLOOKUP($C55,'Master sheet'!$A:$AL,27,FALSE)*($E$49/5.678)</f>
        <v>0</v>
      </c>
      <c r="M55" s="1560"/>
      <c r="N55" s="1560"/>
      <c r="O55" s="25" t="str">
        <f>_xlfn.IFNA(VLOOKUP($C55,'Master sheet'!$A:$AR,44,FALSE),"")&amp;""</f>
        <v/>
      </c>
      <c r="P55" s="685"/>
      <c r="Q55" s="725" t="s">
        <v>32</v>
      </c>
      <c r="R55" s="717" t="s">
        <v>1697</v>
      </c>
      <c r="S55" s="664"/>
      <c r="T55" s="664"/>
      <c r="U55" s="664"/>
      <c r="V55" s="664"/>
      <c r="W55" s="664"/>
      <c r="X55" s="664"/>
      <c r="Y55" s="664"/>
      <c r="Z55" s="664"/>
      <c r="AA55" s="664"/>
    </row>
    <row r="56" spans="1:27" ht="31.5" customHeight="1" x14ac:dyDescent="0.25">
      <c r="A56" s="1542"/>
      <c r="B56" s="1523"/>
      <c r="C56" s="673" t="str">
        <f>INDEX('Master sheet'!$A$1:$A$670,MATCH("A34",'Master sheet'!$AN$1:$AN$670,0))</f>
        <v>EPS foam board with graphite / BASF  / Neopor F 5200 &amp; F 5300 Plus BMB / R 4.7/inch, Type IX, 25 psi (Type 9, 175 kPa)</v>
      </c>
      <c r="D56" s="17">
        <f>'USER INPUT SHEET'!$D$30</f>
        <v>0</v>
      </c>
      <c r="E56" s="18" t="str">
        <f>'USER INPUT SHEET'!$F$30</f>
        <v>m2</v>
      </c>
      <c r="F56" s="4">
        <v>1</v>
      </c>
      <c r="G56" s="674"/>
      <c r="H56" s="9"/>
      <c r="I56" s="95">
        <f t="shared" si="22"/>
        <v>0</v>
      </c>
      <c r="J56" s="96" t="str">
        <f t="shared" si="23"/>
        <v/>
      </c>
      <c r="K56" s="407">
        <f>$D56*$F56*VLOOKUP($C56,'Master sheet'!$A:$AL,13,FALSE)*($E$49/5.678)</f>
        <v>0</v>
      </c>
      <c r="L56" s="97">
        <f>$D56*$F56*VLOOKUP($C56,'Master sheet'!$A:$AL,27,FALSE)*($E$49/5.678)</f>
        <v>0</v>
      </c>
      <c r="M56" s="1560"/>
      <c r="N56" s="1560"/>
      <c r="O56" s="25" t="str">
        <f>_xlfn.IFNA(VLOOKUP($C56,'Master sheet'!$A:$AR,44,FALSE),"")&amp;""</f>
        <v/>
      </c>
      <c r="P56" s="685"/>
      <c r="Q56" s="725" t="s">
        <v>32</v>
      </c>
      <c r="R56" s="717" t="s">
        <v>1697</v>
      </c>
      <c r="S56" s="664"/>
      <c r="T56" s="664"/>
      <c r="U56" s="664"/>
      <c r="V56" s="664"/>
      <c r="W56" s="664"/>
      <c r="X56" s="664"/>
      <c r="Y56" s="664"/>
      <c r="Z56" s="664"/>
      <c r="AA56" s="664"/>
    </row>
    <row r="57" spans="1:27" ht="31.5" customHeight="1" x14ac:dyDescent="0.25">
      <c r="A57" s="1542"/>
      <c r="B57" s="1523"/>
      <c r="C57" s="673" t="str">
        <f>INDEX('Master sheet'!$A$1:$A$670,MATCH("A32",'Master sheet'!$AN$1:$AN$670,0))</f>
        <v>EPS foam board with graphite / BASF  / Neopor F 5200 Plus / R 4.7-inch, Type IX, 25 psi</v>
      </c>
      <c r="D57" s="17">
        <f>'USER INPUT SHEET'!$D$30</f>
        <v>0</v>
      </c>
      <c r="E57" s="18" t="str">
        <f>'USER INPUT SHEET'!$F$30</f>
        <v>m2</v>
      </c>
      <c r="F57" s="4">
        <v>1</v>
      </c>
      <c r="G57" s="674"/>
      <c r="H57" s="9"/>
      <c r="I57" s="95">
        <f t="shared" si="22"/>
        <v>0</v>
      </c>
      <c r="J57" s="96" t="str">
        <f t="shared" si="23"/>
        <v/>
      </c>
      <c r="K57" s="407">
        <f>$D57*$F57*VLOOKUP($C57,'Master sheet'!$A:$AL,13,FALSE)*($E$49/5.678)</f>
        <v>0</v>
      </c>
      <c r="L57" s="97">
        <f>$D57*$F57*VLOOKUP($C57,'Master sheet'!$A:$AL,27,FALSE)*($E$49/5.678)</f>
        <v>0</v>
      </c>
      <c r="M57" s="1560"/>
      <c r="N57" s="1560"/>
      <c r="O57" s="25" t="str">
        <f>_xlfn.IFNA(VLOOKUP($C57,'Master sheet'!$A:$AR,44,FALSE),"")&amp;""</f>
        <v/>
      </c>
      <c r="P57" s="685"/>
      <c r="Q57" s="725" t="s">
        <v>32</v>
      </c>
      <c r="R57" s="717" t="s">
        <v>1697</v>
      </c>
      <c r="S57" s="664"/>
      <c r="T57" s="664"/>
      <c r="U57" s="664"/>
      <c r="V57" s="664"/>
      <c r="W57" s="664"/>
      <c r="X57" s="664"/>
      <c r="Y57" s="664"/>
      <c r="Z57" s="664"/>
      <c r="AA57" s="638"/>
    </row>
    <row r="58" spans="1:27" s="624" customFormat="1" ht="31.5" customHeight="1" x14ac:dyDescent="0.25">
      <c r="A58" s="1548"/>
      <c r="B58" s="1549"/>
      <c r="C58" s="673" t="str">
        <f>INDEX('Master sheet'!$A$1:$A$670,MATCH("A35",'Master sheet'!$AN$1:$AN$670,0))</f>
        <v>EPS foam board with graphite / BASF / Neopor F 5200 Plus / R 4.7/inch, Type II, 15 psi (Type 2, 110 kPa)</v>
      </c>
      <c r="D58" s="17">
        <f>'USER INPUT SHEET'!$D$30</f>
        <v>0</v>
      </c>
      <c r="E58" s="18" t="str">
        <f>'USER INPUT SHEET'!$F$30</f>
        <v>m2</v>
      </c>
      <c r="F58" s="4">
        <v>1</v>
      </c>
      <c r="G58" s="674"/>
      <c r="H58" s="9"/>
      <c r="I58" s="95">
        <f t="shared" si="21"/>
        <v>0</v>
      </c>
      <c r="J58" s="96" t="str">
        <f t="shared" ref="J58:J82" si="24">IF(H58=1,I58,"")</f>
        <v/>
      </c>
      <c r="K58" s="407">
        <f>$D58*$F58*VLOOKUP($C58,'Master sheet'!$A:$AL,13,FALSE)*($E$49/5.678)</f>
        <v>0</v>
      </c>
      <c r="L58" s="97">
        <f>$D58*$F58*VLOOKUP($C58,'Master sheet'!$A:$AL,27,FALSE)*($E$49/5.678)</f>
        <v>0</v>
      </c>
      <c r="M58" s="1561"/>
      <c r="N58" s="1561"/>
      <c r="O58" s="25" t="str">
        <f>_xlfn.IFNA(VLOOKUP($C58,'Master sheet'!$A:$AR,44,FALSE),"")&amp;""</f>
        <v/>
      </c>
      <c r="P58" s="685"/>
      <c r="Q58" s="725" t="s">
        <v>32</v>
      </c>
      <c r="R58" s="717" t="s">
        <v>1697</v>
      </c>
      <c r="S58" s="638"/>
      <c r="T58" s="638"/>
      <c r="U58" s="638"/>
      <c r="V58" s="638"/>
      <c r="W58" s="638"/>
      <c r="X58" s="638"/>
      <c r="Y58" s="638"/>
      <c r="Z58" s="638"/>
      <c r="AA58" s="664"/>
    </row>
    <row r="59" spans="1:27" s="624" customFormat="1" ht="22.8" x14ac:dyDescent="0.25">
      <c r="A59" s="639"/>
      <c r="B59" s="1524" t="s">
        <v>1065</v>
      </c>
      <c r="C59" s="1523"/>
      <c r="D59" s="687" t="str">
        <f>IF(LOWER(Setting!rng_language)="english","R-VALUE:","VALEUR R :")</f>
        <v>R-VALUE:</v>
      </c>
      <c r="E59" s="1"/>
      <c r="F59" s="325"/>
      <c r="G59" s="678"/>
      <c r="H59" s="679"/>
      <c r="I59" s="642"/>
      <c r="J59" s="643"/>
      <c r="K59" s="676"/>
      <c r="L59" s="727"/>
      <c r="M59" s="727"/>
      <c r="N59" s="727"/>
      <c r="O59" s="25" t="str">
        <f>_xlfn.IFNA(VLOOKUP($C59,'Master sheet'!$A:$AR,44,FALSE),"")&amp;""</f>
        <v/>
      </c>
      <c r="P59" s="637"/>
      <c r="Q59" s="728"/>
      <c r="R59" s="728"/>
      <c r="T59" s="638"/>
      <c r="U59" s="638"/>
      <c r="V59" s="638"/>
      <c r="W59" s="638"/>
      <c r="X59" s="638"/>
      <c r="Y59" s="638"/>
      <c r="Z59" s="638"/>
      <c r="AA59" s="664"/>
    </row>
    <row r="60" spans="1:27" ht="22.8" x14ac:dyDescent="0.25">
      <c r="A60" s="729"/>
      <c r="B60" s="729"/>
      <c r="C60" s="691" t="s">
        <v>1365</v>
      </c>
      <c r="D60" s="19">
        <f>'USER INPUT SHEET'!$D$30</f>
        <v>0</v>
      </c>
      <c r="E60" s="20" t="str">
        <f>'USER INPUT SHEET'!$F$30</f>
        <v>m2</v>
      </c>
      <c r="F60" s="6">
        <v>1</v>
      </c>
      <c r="G60" s="692"/>
      <c r="H60" s="10"/>
      <c r="I60" s="98">
        <f t="shared" ref="I60:I63" si="25">K60-L60</f>
        <v>0</v>
      </c>
      <c r="J60" s="91" t="str">
        <f>IF(H60=1,I60,"")</f>
        <v/>
      </c>
      <c r="K60" s="410">
        <f>F60*AVERAGE(K61:K63)</f>
        <v>0</v>
      </c>
      <c r="L60" s="99">
        <f>F60*AVERAGE(L61:L63)</f>
        <v>0</v>
      </c>
      <c r="M60" s="1560"/>
      <c r="N60" s="1560"/>
      <c r="O60" s="25" t="str">
        <f>_xlfn.IFNA(VLOOKUP($C60,'Master sheet'!$A:$AR,44,FALSE),"")&amp;""</f>
        <v/>
      </c>
      <c r="P60" s="637"/>
      <c r="Q60" s="722" t="s">
        <v>32</v>
      </c>
      <c r="R60" s="717" t="s">
        <v>1697</v>
      </c>
      <c r="S60" s="638"/>
      <c r="T60" s="638"/>
      <c r="U60" s="664"/>
      <c r="V60" s="664"/>
      <c r="W60" s="664"/>
      <c r="X60" s="664"/>
      <c r="Y60" s="664"/>
      <c r="Z60" s="664"/>
      <c r="AA60" s="664"/>
    </row>
    <row r="61" spans="1:27" ht="31.2" x14ac:dyDescent="0.25">
      <c r="A61" s="1564"/>
      <c r="B61" s="1564"/>
      <c r="C61" s="669" t="str">
        <f>INDEX('Master sheet'!$A$1:$A$670,MATCH(167,'Master sheet'!$AN$1:$AN$670,0))</f>
        <v>Polyiso - wall boards / Hunter / Polysio Wall insulation boards / R 6.5/inch</v>
      </c>
      <c r="D61" s="17">
        <f>'USER INPUT SHEET'!$D$30</f>
        <v>0</v>
      </c>
      <c r="E61" s="18" t="str">
        <f>'USER INPUT SHEET'!$F$30</f>
        <v>m2</v>
      </c>
      <c r="F61" s="3">
        <v>1</v>
      </c>
      <c r="G61" s="670"/>
      <c r="H61" s="8"/>
      <c r="I61" s="92">
        <f t="shared" si="25"/>
        <v>0</v>
      </c>
      <c r="J61" s="93" t="str">
        <f t="shared" ref="J61:J63" si="26">IF(H61=1,I61,"")</f>
        <v/>
      </c>
      <c r="K61" s="406">
        <f>$D61*($E$59/5.678)*$F61*VLOOKUP($C61,'Master sheet'!$A:$AL,13,FALSE)</f>
        <v>0</v>
      </c>
      <c r="L61" s="94">
        <f>$D61*($E$59/5.678)*$F61*VLOOKUP($C61,'Master sheet'!$A:$AL,27,FALSE)</f>
        <v>0</v>
      </c>
      <c r="M61" s="1551"/>
      <c r="N61" s="1551"/>
      <c r="O61" s="25" t="str">
        <f ca="1">_xlfn.IFNA(VLOOKUP($C61,'Master sheet'!$A:$AR,44,FALSE),"")&amp;""</f>
        <v/>
      </c>
      <c r="P61" s="685"/>
      <c r="Q61" s="722" t="s">
        <v>32</v>
      </c>
      <c r="R61" s="717" t="s">
        <v>1697</v>
      </c>
      <c r="S61" s="638"/>
      <c r="T61" s="638"/>
      <c r="U61" s="664"/>
      <c r="V61" s="664"/>
      <c r="W61" s="664"/>
      <c r="X61" s="664"/>
      <c r="Y61" s="664"/>
      <c r="Z61" s="664"/>
      <c r="AA61" s="664"/>
    </row>
    <row r="62" spans="1:27" ht="22.8" x14ac:dyDescent="0.25">
      <c r="A62" s="1564"/>
      <c r="B62" s="1564"/>
      <c r="C62" s="673" t="str">
        <f>INDEX('Master sheet'!$A$1:$A$670,MATCH(408,'Master sheet'!$AN$1:$AN$670,0))</f>
        <v>Polyiso - wall boards / DuPont / Thermax / R 6.5/inch</v>
      </c>
      <c r="D62" s="17">
        <f>'USER INPUT SHEET'!$D$30</f>
        <v>0</v>
      </c>
      <c r="E62" s="18" t="str">
        <f>'USER INPUT SHEET'!$F$30</f>
        <v>m2</v>
      </c>
      <c r="F62" s="4">
        <v>1</v>
      </c>
      <c r="G62" s="674"/>
      <c r="H62" s="9"/>
      <c r="I62" s="95">
        <f t="shared" si="25"/>
        <v>0</v>
      </c>
      <c r="J62" s="96" t="str">
        <f t="shared" si="26"/>
        <v/>
      </c>
      <c r="K62" s="406">
        <f>$D62*($E$59/5.678)*$F62*VLOOKUP($C62,'Master sheet'!$A:$AL,13,FALSE)</f>
        <v>0</v>
      </c>
      <c r="L62" s="94">
        <f>$D62*($E$59/5.678)*$F62*VLOOKUP($C62,'Master sheet'!$A:$AL,27,FALSE)</f>
        <v>0</v>
      </c>
      <c r="M62" s="1560"/>
      <c r="N62" s="1560"/>
      <c r="O62" s="25" t="str">
        <f ca="1">_xlfn.IFNA(VLOOKUP($C62,'Master sheet'!$A:$AR,44,FALSE),"")&amp;""</f>
        <v/>
      </c>
      <c r="P62" s="637"/>
      <c r="Q62" s="722" t="s">
        <v>32</v>
      </c>
      <c r="R62" s="717" t="s">
        <v>1697</v>
      </c>
      <c r="S62" s="638"/>
      <c r="T62" s="638"/>
      <c r="U62" s="664"/>
      <c r="V62" s="664"/>
      <c r="W62" s="664"/>
      <c r="X62" s="664"/>
      <c r="Y62" s="664"/>
      <c r="Z62" s="664"/>
      <c r="AA62" s="664"/>
    </row>
    <row r="63" spans="1:27" s="624" customFormat="1" ht="22.95" customHeight="1" x14ac:dyDescent="0.25">
      <c r="A63" s="1564"/>
      <c r="B63" s="1564"/>
      <c r="C63" s="673" t="str">
        <f>INDEX('Master sheet'!$A$1:$A$670,MATCH("A103",'Master sheet'!$AN$1:$AN$670,0))</f>
        <v>Polyiso - wall boards / Carlisle  / R2+ Silver  / R 6.3/inch, 20 psi</v>
      </c>
      <c r="D63" s="17">
        <f>'USER INPUT SHEET'!$D$30</f>
        <v>0</v>
      </c>
      <c r="E63" s="18" t="str">
        <f>'USER INPUT SHEET'!$F$30</f>
        <v>m2</v>
      </c>
      <c r="F63" s="4">
        <v>1</v>
      </c>
      <c r="G63" s="674"/>
      <c r="H63" s="9"/>
      <c r="I63" s="95">
        <f t="shared" si="25"/>
        <v>0</v>
      </c>
      <c r="J63" s="96" t="str">
        <f t="shared" si="26"/>
        <v/>
      </c>
      <c r="K63" s="406">
        <f>$D63*($E$59/5.678)*$F63*VLOOKUP($C63,'Master sheet'!$A:$AL,13,FALSE)</f>
        <v>0</v>
      </c>
      <c r="L63" s="94">
        <f>$D63*($E$59/5.678)*$F63*VLOOKUP($C63,'Master sheet'!$A:$AL,27,FALSE)</f>
        <v>0</v>
      </c>
      <c r="M63" s="1560"/>
      <c r="N63" s="1560"/>
      <c r="O63" s="25" t="str">
        <f>_xlfn.IFNA(VLOOKUP($C63,'Master sheet'!$A:$AR,44,FALSE),"")&amp;""</f>
        <v/>
      </c>
      <c r="P63" s="637"/>
      <c r="Q63" s="722" t="s">
        <v>32</v>
      </c>
      <c r="R63" s="717" t="s">
        <v>1697</v>
      </c>
      <c r="S63" s="638"/>
      <c r="T63" s="638"/>
      <c r="U63" s="638"/>
      <c r="V63" s="638"/>
      <c r="W63" s="638"/>
      <c r="X63" s="638"/>
      <c r="Y63" s="638"/>
      <c r="Z63" s="638"/>
      <c r="AA63" s="664"/>
    </row>
    <row r="64" spans="1:27" s="624" customFormat="1" ht="23.4" x14ac:dyDescent="0.25">
      <c r="A64" s="639"/>
      <c r="B64" s="1524" t="s">
        <v>1034</v>
      </c>
      <c r="C64" s="1523"/>
      <c r="D64" s="687" t="str">
        <f>IF(LOWER(Setting!rng_language)="english","R-VALUE:","VALEUR R :")</f>
        <v>R-VALUE:</v>
      </c>
      <c r="E64" s="1"/>
      <c r="F64" s="332"/>
      <c r="G64" s="678"/>
      <c r="H64" s="730"/>
      <c r="I64" s="642"/>
      <c r="J64" s="643"/>
      <c r="K64" s="676"/>
      <c r="L64" s="677"/>
      <c r="M64" s="677"/>
      <c r="N64" s="677"/>
      <c r="O64" s="25" t="str">
        <f>_xlfn.IFNA(VLOOKUP($C64,'Master sheet'!$A:$AR,44,FALSE),"")&amp;""</f>
        <v/>
      </c>
      <c r="P64" s="685"/>
      <c r="Q64" s="722"/>
      <c r="R64" s="722"/>
      <c r="S64" s="638"/>
      <c r="T64" s="638"/>
      <c r="U64" s="638"/>
      <c r="V64" s="638"/>
      <c r="W64" s="638"/>
      <c r="X64" s="638"/>
      <c r="Y64" s="638"/>
      <c r="Z64" s="638"/>
      <c r="AA64" s="638"/>
    </row>
    <row r="65" spans="1:27" ht="23.25" customHeight="1" x14ac:dyDescent="0.25">
      <c r="A65" s="690"/>
      <c r="B65" s="625"/>
      <c r="C65" s="691" t="s">
        <v>4023</v>
      </c>
      <c r="D65" s="19">
        <f>'USER INPUT SHEET'!$D$30</f>
        <v>0</v>
      </c>
      <c r="E65" s="20" t="str">
        <f>'USER INPUT SHEET'!$F$30</f>
        <v>m2</v>
      </c>
      <c r="F65" s="6">
        <v>1</v>
      </c>
      <c r="G65" s="692"/>
      <c r="H65" s="10"/>
      <c r="I65" s="98">
        <f>K65-L65</f>
        <v>0</v>
      </c>
      <c r="J65" s="106" t="str">
        <f>IF(H65=1,I65,"")</f>
        <v/>
      </c>
      <c r="K65" s="410">
        <f>$F65*AVERAGE(K66:K68)</f>
        <v>0</v>
      </c>
      <c r="L65" s="99">
        <f>$F65*AVERAGE(L66:L68)</f>
        <v>0</v>
      </c>
      <c r="M65" s="1560"/>
      <c r="N65" s="1560"/>
      <c r="O65" s="25" t="str">
        <f>_xlfn.IFNA(VLOOKUP($C65,'Master sheet'!$A:$AR,44,FALSE),"")&amp;""</f>
        <v/>
      </c>
      <c r="P65" s="685"/>
      <c r="Q65" s="725" t="s">
        <v>32</v>
      </c>
      <c r="R65" s="717" t="s">
        <v>1697</v>
      </c>
      <c r="S65" s="664"/>
      <c r="T65" s="664"/>
      <c r="U65" s="664"/>
      <c r="V65" s="664"/>
      <c r="W65" s="664"/>
      <c r="X65" s="664"/>
      <c r="Y65" s="664"/>
      <c r="Z65" s="664"/>
      <c r="AA65" s="664"/>
    </row>
    <row r="66" spans="1:27" ht="22.8" x14ac:dyDescent="0.25">
      <c r="A66" s="1542"/>
      <c r="B66" s="1542"/>
      <c r="C66" s="673" t="str">
        <f>INDEX('Master sheet'!$A$1:$A$670,MATCH(258,'Master sheet'!$AN$1:$AN$670,0))</f>
        <v>XPS foam board / Owens Corning / Foamular NGX 250  / R 5/inch</v>
      </c>
      <c r="D66" s="17">
        <f>'USER INPUT SHEET'!$D$30</f>
        <v>0</v>
      </c>
      <c r="E66" s="18" t="str">
        <f>'USER INPUT SHEET'!$F$30</f>
        <v>m2</v>
      </c>
      <c r="F66" s="4">
        <v>1</v>
      </c>
      <c r="G66" s="674"/>
      <c r="H66" s="9"/>
      <c r="I66" s="95">
        <f>K66-L66</f>
        <v>0</v>
      </c>
      <c r="J66" s="96" t="str">
        <f>IF(H66=1,I66,"")</f>
        <v/>
      </c>
      <c r="K66" s="407">
        <f>$D66*$F66*VLOOKUP($C66,'Master sheet'!$A:$AL,13,FALSE)*($E$64/5.678)</f>
        <v>0</v>
      </c>
      <c r="L66" s="97">
        <f>$D66*$F66*VLOOKUP($C66,'Master sheet'!$A:$AL,27,FALSE)*($E$64/5.678)</f>
        <v>0</v>
      </c>
      <c r="M66" s="1551"/>
      <c r="N66" s="1551"/>
      <c r="O66" s="25" t="str">
        <f>_xlfn.IFNA(VLOOKUP($C66,'Master sheet'!$A:$AR,44,FALSE),"")&amp;""</f>
        <v>A1-B1</v>
      </c>
      <c r="P66" s="637"/>
      <c r="Q66" s="722" t="s">
        <v>32</v>
      </c>
      <c r="R66" s="717" t="s">
        <v>1697</v>
      </c>
      <c r="S66" s="664"/>
      <c r="T66" s="638" t="s">
        <v>7295</v>
      </c>
      <c r="U66" s="664"/>
      <c r="V66" s="664"/>
      <c r="W66" s="664"/>
      <c r="X66" s="664"/>
      <c r="Y66" s="664"/>
      <c r="Z66" s="664"/>
      <c r="AA66" s="664"/>
    </row>
    <row r="67" spans="1:27" ht="22.8" x14ac:dyDescent="0.25">
      <c r="A67" s="1542"/>
      <c r="B67" s="1542"/>
      <c r="C67" s="673" t="str">
        <f>INDEX('Master sheet'!$A$1:$A$670,MATCH(401,'Master sheet'!$AN$1:$AN$670,0))</f>
        <v>XPS foam board / Soprema / SOPRA-XPS / R 5.0/inch</v>
      </c>
      <c r="D67" s="17">
        <f>'USER INPUT SHEET'!$D$30</f>
        <v>0</v>
      </c>
      <c r="E67" s="18" t="str">
        <f>'USER INPUT SHEET'!$F$30</f>
        <v>m2</v>
      </c>
      <c r="F67" s="4">
        <v>1</v>
      </c>
      <c r="G67" s="674"/>
      <c r="H67" s="9"/>
      <c r="I67" s="95">
        <f>K67-L67</f>
        <v>0</v>
      </c>
      <c r="J67" s="96" t="str">
        <f>IF(H67=1,I67,"")</f>
        <v/>
      </c>
      <c r="K67" s="407">
        <f>$D67*$F67*VLOOKUP($C67,'Master sheet'!$A:$AL,13,FALSE)*($E$64/5.678)</f>
        <v>0</v>
      </c>
      <c r="L67" s="97">
        <f>$D67*$F67*VLOOKUP($C67,'Master sheet'!$A:$AL,27,FALSE)*($E$64/5.678)</f>
        <v>0</v>
      </c>
      <c r="M67" s="1560"/>
      <c r="N67" s="1560"/>
      <c r="O67" s="25" t="str">
        <f>_xlfn.IFNA(VLOOKUP($C67,'Master sheet'!$A:$AR,44,FALSE),"")&amp;""</f>
        <v>A1-B1</v>
      </c>
      <c r="P67" s="637"/>
      <c r="Q67" s="722" t="s">
        <v>32</v>
      </c>
      <c r="R67" s="717" t="s">
        <v>1697</v>
      </c>
      <c r="S67" s="664"/>
      <c r="T67" s="664"/>
      <c r="U67" s="664"/>
      <c r="V67" s="664"/>
      <c r="W67" s="664"/>
      <c r="X67" s="664"/>
      <c r="Y67" s="664"/>
      <c r="Z67" s="664"/>
      <c r="AA67" s="664"/>
    </row>
    <row r="68" spans="1:27" ht="31.2" x14ac:dyDescent="0.25">
      <c r="A68" s="1542"/>
      <c r="B68" s="1542"/>
      <c r="C68" s="673" t="str">
        <f>INDEX('Master sheet'!$A$1:$A$670,MATCH(400,'Master sheet'!$AN$1:$AN$670,0))</f>
        <v>XPS foam board / DuPont / Reduced GWP Grey Styrofoam™ (same as ST-100) / R 5.0/inch</v>
      </c>
      <c r="D68" s="17">
        <f>'USER INPUT SHEET'!$D$30</f>
        <v>0</v>
      </c>
      <c r="E68" s="18" t="str">
        <f>'USER INPUT SHEET'!$F$30</f>
        <v>m2</v>
      </c>
      <c r="F68" s="4">
        <v>1</v>
      </c>
      <c r="G68" s="674"/>
      <c r="H68" s="9"/>
      <c r="I68" s="95">
        <f>K68-L68</f>
        <v>0</v>
      </c>
      <c r="J68" s="96" t="str">
        <f>IF(H68=1,I68,"")</f>
        <v/>
      </c>
      <c r="K68" s="407">
        <f>$D68*$F68*VLOOKUP($C68,'Master sheet'!$A:$AL,13,FALSE)*($E$64/5.678)</f>
        <v>0</v>
      </c>
      <c r="L68" s="97">
        <f>$D68*$F68*VLOOKUP($C68,'Master sheet'!$A:$AL,27,FALSE)*($E$64/5.678)</f>
        <v>0</v>
      </c>
      <c r="M68" s="1561"/>
      <c r="N68" s="1561"/>
      <c r="O68" s="25" t="str">
        <f>_xlfn.IFNA(VLOOKUP($C68,'Master sheet'!$A:$AR,44,FALSE),"")&amp;""</f>
        <v>A1-B1</v>
      </c>
      <c r="P68" s="637"/>
      <c r="Q68" s="722" t="s">
        <v>32</v>
      </c>
      <c r="R68" s="717" t="s">
        <v>1697</v>
      </c>
      <c r="S68" s="664"/>
      <c r="T68" s="664"/>
      <c r="U68" s="664"/>
      <c r="V68" s="664"/>
      <c r="W68" s="664"/>
      <c r="X68" s="664"/>
      <c r="Y68" s="664"/>
      <c r="Z68" s="664"/>
      <c r="AA68" s="664"/>
    </row>
    <row r="69" spans="1:27" s="624" customFormat="1" ht="22.8" x14ac:dyDescent="0.25">
      <c r="A69" s="639"/>
      <c r="B69" s="1524" t="s">
        <v>3418</v>
      </c>
      <c r="C69" s="1523"/>
      <c r="D69" s="687" t="str">
        <f>IF(LOWER(Setting!rng_language)="english","R-VALUE:","VALEUR R :")</f>
        <v>R-VALUE:</v>
      </c>
      <c r="E69" s="1"/>
      <c r="F69" s="320"/>
      <c r="G69" s="678"/>
      <c r="H69" s="641"/>
      <c r="I69" s="642"/>
      <c r="J69" s="643"/>
      <c r="K69" s="676"/>
      <c r="L69" s="677"/>
      <c r="M69" s="677"/>
      <c r="N69" s="677"/>
      <c r="O69" s="25" t="str">
        <f>_xlfn.IFNA(VLOOKUP($C69,'Master sheet'!$A:$AR,44,FALSE),"")&amp;""</f>
        <v/>
      </c>
      <c r="P69" s="637"/>
      <c r="Q69" s="722"/>
      <c r="R69" s="722"/>
      <c r="S69" s="638"/>
      <c r="T69" s="638"/>
      <c r="U69" s="638"/>
      <c r="V69" s="638"/>
      <c r="W69" s="638"/>
      <c r="X69" s="638"/>
      <c r="Y69" s="638"/>
      <c r="Z69" s="638"/>
      <c r="AA69" s="664"/>
    </row>
    <row r="70" spans="1:27" ht="23.25" customHeight="1" x14ac:dyDescent="0.25">
      <c r="A70" s="690"/>
      <c r="B70" s="625"/>
      <c r="C70" s="691" t="s">
        <v>1356</v>
      </c>
      <c r="D70" s="19">
        <f>'USER INPUT SHEET'!$D$30</f>
        <v>0</v>
      </c>
      <c r="E70" s="20" t="str">
        <f>'USER INPUT SHEET'!$F$30</f>
        <v>m2</v>
      </c>
      <c r="F70" s="6">
        <v>1</v>
      </c>
      <c r="G70" s="692"/>
      <c r="H70" s="10"/>
      <c r="I70" s="98">
        <f t="shared" ref="I70:I78" si="27">K70-L70</f>
        <v>0</v>
      </c>
      <c r="J70" s="106" t="str">
        <f>IF(H70=1,I70,"")</f>
        <v/>
      </c>
      <c r="K70" s="410">
        <f>$F70*AVERAGE(K71:K78)</f>
        <v>0</v>
      </c>
      <c r="L70" s="99">
        <f>$F70*AVERAGE(L71:L78)</f>
        <v>0</v>
      </c>
      <c r="M70" s="1560"/>
      <c r="N70" s="1560"/>
      <c r="O70" s="25" t="str">
        <f>_xlfn.IFNA(VLOOKUP($C70,'Master sheet'!$A:$AR,44,FALSE),"")&amp;""</f>
        <v/>
      </c>
      <c r="P70" s="685"/>
      <c r="Q70" s="717" t="s">
        <v>32</v>
      </c>
      <c r="R70" s="717" t="s">
        <v>1697</v>
      </c>
      <c r="S70" s="664"/>
      <c r="T70" s="664"/>
      <c r="U70" s="664"/>
      <c r="V70" s="664"/>
      <c r="W70" s="664"/>
      <c r="X70" s="664"/>
      <c r="Y70" s="664"/>
      <c r="Z70" s="664"/>
      <c r="AA70" s="664"/>
    </row>
    <row r="71" spans="1:27" ht="22.8" x14ac:dyDescent="0.25">
      <c r="A71" s="1542"/>
      <c r="B71" s="1542"/>
      <c r="C71" s="673" t="str">
        <f>INDEX('Master sheet'!$A$1:$A$670,MATCH("A200",'Master sheet'!$AN$1:$AN$670,0))</f>
        <v>Mineral wool board / Rockwool / Comfortboard 80 / R 4.2-inch</v>
      </c>
      <c r="D71" s="17">
        <f>'USER INPUT SHEET'!$D$30</f>
        <v>0</v>
      </c>
      <c r="E71" s="18" t="str">
        <f>'USER INPUT SHEET'!$F$30</f>
        <v>m2</v>
      </c>
      <c r="F71" s="4">
        <v>1</v>
      </c>
      <c r="G71" s="674"/>
      <c r="H71" s="9"/>
      <c r="I71" s="95">
        <f t="shared" si="27"/>
        <v>0</v>
      </c>
      <c r="J71" s="96" t="str">
        <f t="shared" ref="J71:J75" si="28">IF(H71=1,I71,"")</f>
        <v/>
      </c>
      <c r="K71" s="407">
        <f>$D71*$F71*VLOOKUP($C71,'Master sheet'!$A:$AL,13,FALSE)*($E$69/5.678)</f>
        <v>0</v>
      </c>
      <c r="L71" s="97">
        <f>$D71*$F71*VLOOKUP($C71,'Master sheet'!$A:$AL,27,FALSE)*($E$69/5.678)</f>
        <v>0</v>
      </c>
      <c r="M71" s="1551"/>
      <c r="N71" s="1551"/>
      <c r="O71" s="25" t="str">
        <f>_xlfn.IFNA(VLOOKUP($C71,'Master sheet'!$A:$AR,44,FALSE),"")&amp;""</f>
        <v/>
      </c>
      <c r="P71" s="637"/>
      <c r="Q71" s="722" t="s">
        <v>32</v>
      </c>
      <c r="R71" s="717" t="s">
        <v>1697</v>
      </c>
      <c r="S71" s="638"/>
      <c r="T71" s="638"/>
      <c r="U71" s="638"/>
      <c r="V71" s="638"/>
      <c r="W71" s="664"/>
      <c r="X71" s="664"/>
      <c r="Y71" s="664"/>
      <c r="Z71" s="664"/>
      <c r="AA71" s="638"/>
    </row>
    <row r="72" spans="1:27" ht="31.2" x14ac:dyDescent="0.25">
      <c r="A72" s="1542"/>
      <c r="B72" s="1542"/>
      <c r="C72" s="673" t="str">
        <f>INDEX('Master sheet'!$A$1:$A$670,MATCH("A75",'Master sheet'!$AN$1:$AN$670,0))</f>
        <v>Mineral wool board - heavy density / NAIMA / Owens Corning, Johns Manville, Rolan / R 4.4/inch</v>
      </c>
      <c r="D72" s="17">
        <f>'USER INPUT SHEET'!$D$30</f>
        <v>0</v>
      </c>
      <c r="E72" s="18" t="str">
        <f>'USER INPUT SHEET'!$F$30</f>
        <v>m2</v>
      </c>
      <c r="F72" s="4">
        <v>1</v>
      </c>
      <c r="G72" s="674"/>
      <c r="H72" s="9"/>
      <c r="I72" s="95">
        <f t="shared" si="27"/>
        <v>0</v>
      </c>
      <c r="J72" s="96" t="str">
        <f t="shared" si="28"/>
        <v/>
      </c>
      <c r="K72" s="407">
        <f>$D72*$F72*VLOOKUP($C72,'Master sheet'!$A:$AL,13,FALSE)*($E$69/5.678)</f>
        <v>0</v>
      </c>
      <c r="L72" s="97">
        <f>$D72*$F72*VLOOKUP($C72,'Master sheet'!$A:$AL,27,FALSE)*($E$69/5.678)</f>
        <v>0</v>
      </c>
      <c r="M72" s="1560"/>
      <c r="N72" s="1560"/>
      <c r="O72" s="25" t="str">
        <f>_xlfn.IFNA(VLOOKUP($C72,'Master sheet'!$A:$AR,44,FALSE),"")&amp;""</f>
        <v/>
      </c>
      <c r="P72" s="637"/>
      <c r="Q72" s="722" t="s">
        <v>32</v>
      </c>
      <c r="R72" s="717" t="s">
        <v>1697</v>
      </c>
      <c r="S72" s="638"/>
      <c r="T72" s="638"/>
      <c r="U72" s="638"/>
      <c r="V72" s="638"/>
      <c r="W72" s="664"/>
      <c r="X72" s="664"/>
      <c r="Y72" s="664"/>
      <c r="Z72" s="664"/>
      <c r="AA72" s="638"/>
    </row>
    <row r="73" spans="1:27" ht="31.2" x14ac:dyDescent="0.25">
      <c r="A73" s="1542"/>
      <c r="B73" s="1542"/>
      <c r="C73" s="673" t="str">
        <f>INDEX('Master sheet'!$A$1:$A$670,MATCH("A76",'Master sheet'!$AN$1:$AN$670,0))</f>
        <v>Mineral wool board - light density / NAIMA / Owens Corning, Johns Manville, Rolan / R 3.9/inch</v>
      </c>
      <c r="D73" s="17">
        <f>'USER INPUT SHEET'!$D$30</f>
        <v>0</v>
      </c>
      <c r="E73" s="18" t="str">
        <f>'USER INPUT SHEET'!$F$30</f>
        <v>m2</v>
      </c>
      <c r="F73" s="4">
        <v>1</v>
      </c>
      <c r="G73" s="674"/>
      <c r="H73" s="9"/>
      <c r="I73" s="95">
        <f t="shared" si="27"/>
        <v>0</v>
      </c>
      <c r="J73" s="96" t="str">
        <f t="shared" si="28"/>
        <v/>
      </c>
      <c r="K73" s="407">
        <f>$D73*$F73*VLOOKUP($C73,'Master sheet'!$A:$AL,13,FALSE)*($E$69/5.678)</f>
        <v>0</v>
      </c>
      <c r="L73" s="97">
        <f>$D73*$F73*VLOOKUP($C73,'Master sheet'!$A:$AL,27,FALSE)*($E$69/5.678)</f>
        <v>0</v>
      </c>
      <c r="M73" s="1560"/>
      <c r="N73" s="1560"/>
      <c r="O73" s="25" t="str">
        <f>_xlfn.IFNA(VLOOKUP($C73,'Master sheet'!$A:$AR,44,FALSE),"")&amp;""</f>
        <v/>
      </c>
      <c r="P73" s="637"/>
      <c r="Q73" s="722" t="s">
        <v>32</v>
      </c>
      <c r="R73" s="717" t="s">
        <v>1697</v>
      </c>
      <c r="S73" s="638"/>
      <c r="T73" s="638"/>
      <c r="U73" s="638"/>
      <c r="V73" s="638"/>
      <c r="W73" s="664"/>
      <c r="X73" s="664"/>
      <c r="Y73" s="664"/>
      <c r="Z73" s="664"/>
      <c r="AA73" s="664"/>
    </row>
    <row r="74" spans="1:27" ht="31.2" x14ac:dyDescent="0.25">
      <c r="A74" s="1542"/>
      <c r="B74" s="1542"/>
      <c r="C74" s="673" t="str">
        <f>INDEX('Master sheet'!$A$1:$A$670,MATCH("A192",'Master sheet'!$AN$1:$AN$670,0))</f>
        <v>Mineral wool board / Owens Corning / Thermafiber RainBarrier ci 80 / R 4.2-inch</v>
      </c>
      <c r="D74" s="17">
        <f>'USER INPUT SHEET'!$D$30</f>
        <v>0</v>
      </c>
      <c r="E74" s="18" t="str">
        <f>'USER INPUT SHEET'!$F$30</f>
        <v>m2</v>
      </c>
      <c r="F74" s="4">
        <v>1</v>
      </c>
      <c r="G74" s="674"/>
      <c r="H74" s="9"/>
      <c r="I74" s="95">
        <f t="shared" ref="I74" si="29">K74-L74</f>
        <v>0</v>
      </c>
      <c r="J74" s="96" t="str">
        <f t="shared" ref="J74" si="30">IF(H74=1,I74,"")</f>
        <v/>
      </c>
      <c r="K74" s="407">
        <f>$D74*$F74*VLOOKUP($C74,'Master sheet'!$A:$AL,13,FALSE)*($E$69/5.678)</f>
        <v>0</v>
      </c>
      <c r="L74" s="97">
        <f>$D74*$F74*VLOOKUP($C74,'Master sheet'!$A:$AL,27,FALSE)*($E$69/5.678)</f>
        <v>0</v>
      </c>
      <c r="M74" s="1560"/>
      <c r="N74" s="1560"/>
      <c r="O74" s="25" t="str">
        <f>_xlfn.IFNA(VLOOKUP($C74,'Master sheet'!$A:$AR,44,FALSE),"")&amp;""</f>
        <v/>
      </c>
      <c r="P74" s="637"/>
      <c r="Q74" s="722" t="s">
        <v>32</v>
      </c>
      <c r="R74" s="717" t="s">
        <v>1697</v>
      </c>
      <c r="S74" s="638"/>
      <c r="T74" s="638"/>
      <c r="U74" s="638"/>
      <c r="V74" s="638"/>
      <c r="W74" s="664"/>
      <c r="X74" s="664"/>
      <c r="Y74" s="664"/>
      <c r="Z74" s="664"/>
      <c r="AA74" s="664"/>
    </row>
    <row r="75" spans="1:27" ht="31.2" x14ac:dyDescent="0.25">
      <c r="A75" s="1542"/>
      <c r="B75" s="1542"/>
      <c r="C75" s="673" t="str">
        <f>INDEX('Master sheet'!$A$1:$A$670,MATCH("A193",'Master sheet'!$AN$1:$AN$670,0))</f>
        <v>Mineral wool board / Owens Corning / Thermafiber RainBarrier ci HC 140 / R 4.2-inch</v>
      </c>
      <c r="D75" s="17">
        <f>'USER INPUT SHEET'!$D$30</f>
        <v>0</v>
      </c>
      <c r="E75" s="18" t="str">
        <f>'USER INPUT SHEET'!$F$30</f>
        <v>m2</v>
      </c>
      <c r="F75" s="4">
        <v>1</v>
      </c>
      <c r="G75" s="674"/>
      <c r="H75" s="9"/>
      <c r="I75" s="95">
        <f t="shared" si="27"/>
        <v>0</v>
      </c>
      <c r="J75" s="96" t="str">
        <f t="shared" si="28"/>
        <v/>
      </c>
      <c r="K75" s="407">
        <f>$D75*$F75*VLOOKUP($C75,'Master sheet'!$A:$AL,13,FALSE)*($E$69/5.678)</f>
        <v>0</v>
      </c>
      <c r="L75" s="97">
        <f>$D75*$F75*VLOOKUP($C75,'Master sheet'!$A:$AL,27,FALSE)*($E$69/5.678)</f>
        <v>0</v>
      </c>
      <c r="M75" s="1560"/>
      <c r="N75" s="1560"/>
      <c r="O75" s="25" t="str">
        <f>_xlfn.IFNA(VLOOKUP($C75,'Master sheet'!$A:$AR,44,FALSE),"")&amp;""</f>
        <v/>
      </c>
      <c r="P75" s="637"/>
      <c r="Q75" s="722" t="s">
        <v>32</v>
      </c>
      <c r="R75" s="717" t="s">
        <v>1697</v>
      </c>
      <c r="S75" s="638"/>
      <c r="T75" s="638"/>
      <c r="U75" s="638"/>
      <c r="V75" s="638"/>
      <c r="W75" s="664"/>
      <c r="X75" s="664"/>
      <c r="Y75" s="664"/>
      <c r="Z75" s="664"/>
      <c r="AA75" s="638"/>
    </row>
    <row r="76" spans="1:27" ht="31.2" x14ac:dyDescent="0.25">
      <c r="A76" s="1542"/>
      <c r="B76" s="1542"/>
      <c r="C76" s="673" t="str">
        <f>INDEX('Master sheet'!$A$1:$A$670,MATCH("A194",'Master sheet'!$AN$1:$AN$670,0))</f>
        <v>Mineral wool board / Owens Corning / Thermafiber RainBarrier ci HC 110 / R 4.3-inch</v>
      </c>
      <c r="D76" s="17">
        <f>'USER INPUT SHEET'!$D$30</f>
        <v>0</v>
      </c>
      <c r="E76" s="18" t="str">
        <f>'USER INPUT SHEET'!$F$30</f>
        <v>m2</v>
      </c>
      <c r="F76" s="4">
        <v>1</v>
      </c>
      <c r="G76" s="674"/>
      <c r="H76" s="9"/>
      <c r="I76" s="95">
        <f t="shared" ref="I76:I77" si="31">K76-L76</f>
        <v>0</v>
      </c>
      <c r="J76" s="96" t="str">
        <f t="shared" ref="J76:J77" si="32">IF(H76=1,I76,"")</f>
        <v/>
      </c>
      <c r="K76" s="407">
        <f>$D76*$F76*VLOOKUP($C76,'Master sheet'!$A:$AL,13,FALSE)*($E$69/5.678)</f>
        <v>0</v>
      </c>
      <c r="L76" s="97">
        <f>$D76*$F76*VLOOKUP($C76,'Master sheet'!$A:$AL,27,FALSE)*($E$69/5.678)</f>
        <v>0</v>
      </c>
      <c r="M76" s="1560"/>
      <c r="N76" s="1560"/>
      <c r="O76" s="25" t="str">
        <f>_xlfn.IFNA(VLOOKUP($C76,'Master sheet'!$A:$AR,44,FALSE),"")&amp;""</f>
        <v/>
      </c>
      <c r="P76" s="637"/>
      <c r="Q76" s="722" t="s">
        <v>32</v>
      </c>
      <c r="R76" s="717" t="s">
        <v>1697</v>
      </c>
      <c r="S76" s="638"/>
      <c r="T76" s="638"/>
      <c r="U76" s="638"/>
      <c r="V76" s="638"/>
      <c r="W76" s="664"/>
      <c r="X76" s="664"/>
      <c r="Y76" s="664"/>
      <c r="Z76" s="664"/>
      <c r="AA76" s="664"/>
    </row>
    <row r="77" spans="1:27" ht="22.8" x14ac:dyDescent="0.25">
      <c r="A77" s="1542"/>
      <c r="B77" s="1542"/>
      <c r="C77" s="673" t="str">
        <f>INDEX('Master sheet'!$A$1:$A$670,MATCH("A198",'Master sheet'!$AN$1:$AN$670,0))</f>
        <v>Mineral wool board / Rockwool / Cavityrock / R 4.3-inch</v>
      </c>
      <c r="D77" s="17">
        <f>'USER INPUT SHEET'!$D$30</f>
        <v>0</v>
      </c>
      <c r="E77" s="18" t="str">
        <f>'USER INPUT SHEET'!$F$30</f>
        <v>m2</v>
      </c>
      <c r="F77" s="4">
        <v>1</v>
      </c>
      <c r="G77" s="674"/>
      <c r="H77" s="9"/>
      <c r="I77" s="95">
        <f t="shared" si="31"/>
        <v>0</v>
      </c>
      <c r="J77" s="96" t="str">
        <f t="shared" si="32"/>
        <v/>
      </c>
      <c r="K77" s="407">
        <f>$D77*$F77*VLOOKUP($C77,'Master sheet'!$A:$AL,13,FALSE)*($E$69/5.678)</f>
        <v>0</v>
      </c>
      <c r="L77" s="97">
        <f>$D77*$F77*VLOOKUP($C77,'Master sheet'!$A:$AL,27,FALSE)*($E$69/5.678)</f>
        <v>0</v>
      </c>
      <c r="M77" s="1560"/>
      <c r="N77" s="1560"/>
      <c r="O77" s="25" t="str">
        <f>_xlfn.IFNA(VLOOKUP($C77,'Master sheet'!$A:$AR,44,FALSE),"")&amp;""</f>
        <v/>
      </c>
      <c r="P77" s="637"/>
      <c r="Q77" s="722" t="s">
        <v>32</v>
      </c>
      <c r="R77" s="717" t="s">
        <v>1697</v>
      </c>
      <c r="S77" s="638"/>
      <c r="T77" s="638"/>
      <c r="U77" s="638"/>
      <c r="V77" s="638"/>
      <c r="W77" s="664"/>
      <c r="X77" s="664"/>
      <c r="Y77" s="664"/>
      <c r="Z77" s="664"/>
      <c r="AA77" s="664"/>
    </row>
    <row r="78" spans="1:27" s="624" customFormat="1" ht="25.2" customHeight="1" x14ac:dyDescent="0.25">
      <c r="A78" s="1546"/>
      <c r="B78" s="1546"/>
      <c r="C78" s="673" t="str">
        <f>INDEX('Master sheet'!$A$1:$A$670,MATCH("A199",'Master sheet'!$AN$1:$AN$670,0))</f>
        <v>Mineral wool board / Rockwool / Comfortboard 110 / R 4.0-inch</v>
      </c>
      <c r="D78" s="17">
        <f>'USER INPUT SHEET'!$D$30</f>
        <v>0</v>
      </c>
      <c r="E78" s="18" t="str">
        <f>'USER INPUT SHEET'!$F$30</f>
        <v>m2</v>
      </c>
      <c r="F78" s="4">
        <v>1</v>
      </c>
      <c r="G78" s="674"/>
      <c r="H78" s="9"/>
      <c r="I78" s="95">
        <f t="shared" si="27"/>
        <v>0</v>
      </c>
      <c r="J78" s="96" t="str">
        <f t="shared" si="24"/>
        <v/>
      </c>
      <c r="K78" s="407">
        <f>$D78*$F78*VLOOKUP($C78,'Master sheet'!$A:$AL,13,FALSE)*($E$69/5.678)</f>
        <v>0</v>
      </c>
      <c r="L78" s="97">
        <f>$D78*$F78*VLOOKUP($C78,'Master sheet'!$A:$AL,27,FALSE)*($E$69/5.678)</f>
        <v>0</v>
      </c>
      <c r="M78" s="1561"/>
      <c r="N78" s="1561"/>
      <c r="O78" s="25" t="str">
        <f>_xlfn.IFNA(VLOOKUP($C78,'Master sheet'!$A:$AR,44,FALSE),"")&amp;""</f>
        <v/>
      </c>
      <c r="P78" s="637"/>
      <c r="Q78" s="722" t="s">
        <v>32</v>
      </c>
      <c r="R78" s="717" t="s">
        <v>1697</v>
      </c>
      <c r="S78" s="638"/>
      <c r="T78" s="638"/>
      <c r="U78" s="638"/>
      <c r="V78" s="638"/>
      <c r="W78" s="638"/>
      <c r="X78" s="638"/>
      <c r="Y78" s="638"/>
      <c r="Z78" s="638"/>
      <c r="AA78" s="664"/>
    </row>
    <row r="79" spans="1:27" s="624" customFormat="1" ht="22.8" x14ac:dyDescent="0.25">
      <c r="A79" s="639"/>
      <c r="B79" s="1524" t="s">
        <v>1035</v>
      </c>
      <c r="C79" s="1523"/>
      <c r="D79" s="687" t="str">
        <f>IF(LOWER(Setting!rng_language)="english","R-VALUE:","VALEUR R :")</f>
        <v>R-VALUE:</v>
      </c>
      <c r="E79" s="1"/>
      <c r="F79" s="333"/>
      <c r="G79" s="678"/>
      <c r="H79" s="731"/>
      <c r="I79" s="642"/>
      <c r="J79" s="643"/>
      <c r="K79" s="676"/>
      <c r="L79" s="677"/>
      <c r="M79" s="677"/>
      <c r="N79" s="677"/>
      <c r="O79" s="25" t="str">
        <f>_xlfn.IFNA(VLOOKUP($C79,'Master sheet'!$A:$AR,44,FALSE),"")&amp;""</f>
        <v/>
      </c>
      <c r="P79" s="685"/>
      <c r="Q79" s="722"/>
      <c r="R79" s="717"/>
      <c r="S79" s="638"/>
      <c r="T79" s="638"/>
      <c r="U79" s="638"/>
      <c r="V79" s="638"/>
      <c r="W79" s="638"/>
      <c r="X79" s="638"/>
      <c r="Y79" s="638"/>
      <c r="Z79" s="638"/>
      <c r="AA79" s="664"/>
    </row>
    <row r="80" spans="1:27" ht="22.8" x14ac:dyDescent="0.25">
      <c r="A80" s="690"/>
      <c r="B80" s="625"/>
      <c r="C80" s="691" t="s">
        <v>1355</v>
      </c>
      <c r="D80" s="19">
        <f>'USER INPUT SHEET'!$D$30</f>
        <v>0</v>
      </c>
      <c r="E80" s="20" t="str">
        <f>'USER INPUT SHEET'!$F$30</f>
        <v>m2</v>
      </c>
      <c r="F80" s="6">
        <v>1</v>
      </c>
      <c r="G80" s="692"/>
      <c r="H80" s="10"/>
      <c r="I80" s="98">
        <f t="shared" ref="I80:I82" si="33">K80-L80</f>
        <v>0</v>
      </c>
      <c r="J80" s="106" t="str">
        <f>IF(H80=1,I80,"")</f>
        <v/>
      </c>
      <c r="K80" s="410">
        <f>$F80*AVERAGE(K81:K82)</f>
        <v>0</v>
      </c>
      <c r="L80" s="99">
        <f>$F80*AVERAGE(L81:L82)</f>
        <v>0</v>
      </c>
      <c r="M80" s="1560"/>
      <c r="N80" s="1560"/>
      <c r="O80" s="25" t="str">
        <f>_xlfn.IFNA(VLOOKUP($C80,'Master sheet'!$A:$AR,44,FALSE),"")&amp;""</f>
        <v/>
      </c>
      <c r="P80" s="685"/>
      <c r="Q80" s="717" t="s">
        <v>32</v>
      </c>
      <c r="R80" s="717" t="s">
        <v>1697</v>
      </c>
      <c r="S80" s="664"/>
      <c r="T80" s="664"/>
      <c r="U80" s="664"/>
      <c r="V80" s="664"/>
      <c r="W80" s="664"/>
      <c r="X80" s="664"/>
      <c r="Y80" s="664"/>
      <c r="Z80" s="664"/>
      <c r="AA80" s="664"/>
    </row>
    <row r="81" spans="1:27" ht="31.5" customHeight="1" x14ac:dyDescent="0.25">
      <c r="A81" s="1554"/>
      <c r="B81" s="1555"/>
      <c r="C81" s="669" t="str">
        <f>INDEX('Master sheet'!$A$1:$A$670,MATCH(243,'Master sheet'!$AN$1:$AN$670,0))</f>
        <v>Wood fiber board / GUTEX / Multi-Therm / R 3.6/inch, 40-200 mm</v>
      </c>
      <c r="D81" s="15">
        <f>'USER INPUT SHEET'!$D$30</f>
        <v>0</v>
      </c>
      <c r="E81" s="16" t="str">
        <f>'USER INPUT SHEET'!$F$30</f>
        <v>m2</v>
      </c>
      <c r="F81" s="3">
        <v>1</v>
      </c>
      <c r="G81" s="670"/>
      <c r="H81" s="8"/>
      <c r="I81" s="92">
        <f t="shared" si="33"/>
        <v>0</v>
      </c>
      <c r="J81" s="93" t="str">
        <f t="shared" si="24"/>
        <v/>
      </c>
      <c r="K81" s="406">
        <f>$D81*$F81*VLOOKUP($C81,'Master sheet'!$A:$AL,13,FALSE)*($E$79/5.678)</f>
        <v>0</v>
      </c>
      <c r="L81" s="94">
        <f>$D81*$F81*VLOOKUP($C81,'Master sheet'!$A:$AL,27,FALSE)*($E$79/5.678)</f>
        <v>0</v>
      </c>
      <c r="M81" s="1551"/>
      <c r="N81" s="1551"/>
      <c r="O81" s="25" t="str">
        <f ca="1">_xlfn.IFNA(VLOOKUP($C81,'Master sheet'!$A:$AR,44,FALSE),"")&amp;""</f>
        <v>Expired 2025</v>
      </c>
      <c r="P81" s="685"/>
      <c r="Q81" s="717" t="s">
        <v>32</v>
      </c>
      <c r="R81" s="717" t="s">
        <v>1697</v>
      </c>
      <c r="S81" s="664"/>
      <c r="T81" s="664"/>
      <c r="U81" s="664"/>
      <c r="V81" s="664"/>
      <c r="W81" s="664"/>
      <c r="X81" s="664"/>
      <c r="Y81" s="664"/>
      <c r="Z81" s="664"/>
      <c r="AA81" s="664"/>
    </row>
    <row r="82" spans="1:27" s="624" customFormat="1" ht="31.2" x14ac:dyDescent="0.25">
      <c r="A82" s="1548"/>
      <c r="B82" s="1549"/>
      <c r="C82" s="673" t="str">
        <f>INDEX('Master sheet'!$A$1:$A$670,MATCH(397,'Master sheet'!$AN$1:$AN$670,0))</f>
        <v>Wood fiber board / North American Fiberboard Association / Includes: MSL, Blue Ridge Fiberboard Inc. / R 2.7/inch</v>
      </c>
      <c r="D82" s="17">
        <f>'USER INPUT SHEET'!$D$30</f>
        <v>0</v>
      </c>
      <c r="E82" s="18" t="str">
        <f>'USER INPUT SHEET'!$F$30</f>
        <v>m2</v>
      </c>
      <c r="F82" s="4">
        <v>1</v>
      </c>
      <c r="G82" s="674"/>
      <c r="H82" s="9"/>
      <c r="I82" s="95">
        <f t="shared" si="33"/>
        <v>0</v>
      </c>
      <c r="J82" s="96" t="str">
        <f t="shared" si="24"/>
        <v/>
      </c>
      <c r="K82" s="407">
        <f>$D82*$F82*VLOOKUP($C82,'Master sheet'!$A:$AL,13,FALSE)*($E$79/5.678)</f>
        <v>0</v>
      </c>
      <c r="L82" s="97">
        <f>$D82*$F82*VLOOKUP($C82,'Master sheet'!$A:$AL,27,FALSE)*($E$79/5.678)</f>
        <v>0</v>
      </c>
      <c r="M82" s="1561"/>
      <c r="N82" s="1561"/>
      <c r="O82" s="25" t="str">
        <f ca="1">_xlfn.IFNA(VLOOKUP($C82,'Master sheet'!$A:$AR,44,FALSE),"")&amp;""</f>
        <v/>
      </c>
      <c r="P82" s="685"/>
      <c r="Q82" s="722" t="s">
        <v>32</v>
      </c>
      <c r="R82" s="717" t="s">
        <v>1697</v>
      </c>
      <c r="S82" s="638"/>
      <c r="T82" s="638"/>
      <c r="U82" s="638"/>
      <c r="V82" s="638"/>
      <c r="W82" s="638"/>
      <c r="X82" s="638"/>
      <c r="Y82" s="638"/>
      <c r="Z82" s="638"/>
      <c r="AA82" s="664"/>
    </row>
    <row r="83" spans="1:27" s="624" customFormat="1" ht="22.8" x14ac:dyDescent="0.25">
      <c r="A83" s="639"/>
      <c r="B83" s="1524" t="s">
        <v>1027</v>
      </c>
      <c r="C83" s="1523"/>
      <c r="D83" s="687" t="str">
        <f>IF(LOWER(Setting!rng_language)="english","R-VALUE:","VALEUR R :")</f>
        <v>R-VALUE:</v>
      </c>
      <c r="E83" s="1"/>
      <c r="F83" s="320"/>
      <c r="G83" s="678"/>
      <c r="H83" s="641"/>
      <c r="I83" s="642"/>
      <c r="J83" s="643"/>
      <c r="K83" s="676"/>
      <c r="L83" s="677"/>
      <c r="M83" s="677"/>
      <c r="N83" s="677"/>
      <c r="O83" s="25" t="str">
        <f>_xlfn.IFNA(VLOOKUP($C83,'Master sheet'!$A:$AR,44,FALSE),"")&amp;""</f>
        <v/>
      </c>
      <c r="P83" s="637"/>
      <c r="Q83" s="722"/>
      <c r="R83" s="717"/>
      <c r="S83" s="638"/>
      <c r="T83" s="638"/>
      <c r="U83" s="638"/>
      <c r="V83" s="638"/>
      <c r="W83" s="638"/>
      <c r="X83" s="638"/>
      <c r="Y83" s="638"/>
      <c r="Z83" s="638"/>
      <c r="AA83" s="664"/>
    </row>
    <row r="84" spans="1:27" s="624" customFormat="1" ht="31.2" x14ac:dyDescent="0.25">
      <c r="A84" s="690"/>
      <c r="B84" s="625"/>
      <c r="C84" s="681" t="str">
        <f>INDEX('Master sheet'!$A$1:$A$670,MATCH("A21",'Master sheet'!$AN$1:$AN$670,0))</f>
        <v>Cork board insulation / Amorim  / Expanded Insulation Corkboard (ICB) / R3.6-inch, 115 kg/m3</v>
      </c>
      <c r="D84" s="22">
        <f>'USER INPUT SHEET'!$D$30</f>
        <v>0</v>
      </c>
      <c r="E84" s="23" t="str">
        <f>'USER INPUT SHEET'!$F$30</f>
        <v>m2</v>
      </c>
      <c r="F84" s="6">
        <v>1</v>
      </c>
      <c r="G84" s="682"/>
      <c r="H84" s="10"/>
      <c r="I84" s="100">
        <f>K84-L84</f>
        <v>0</v>
      </c>
      <c r="J84" s="101" t="str">
        <f t="shared" ref="J84" si="34">IF(H84=1,I84,"")</f>
        <v/>
      </c>
      <c r="K84" s="408">
        <f>$D84*$F84*VLOOKUP($C84,'Master sheet'!$A:$AL,13,FALSE)*($E$83/5.678)</f>
        <v>0</v>
      </c>
      <c r="L84" s="102">
        <f>$D84*$F84*VLOOKUP($C84,'Master sheet'!$A:$AL,27,FALSE)*($E$83/5.678)</f>
        <v>0</v>
      </c>
      <c r="M84" s="1563"/>
      <c r="N84" s="1563"/>
      <c r="O84" s="25" t="str">
        <f>_xlfn.IFNA(VLOOKUP($C84,'Master sheet'!$A:$AR,44,FALSE),"")&amp;""</f>
        <v/>
      </c>
      <c r="P84" s="637"/>
      <c r="Q84" s="722" t="s">
        <v>32</v>
      </c>
      <c r="R84" s="717" t="s">
        <v>1697</v>
      </c>
      <c r="S84" s="638"/>
      <c r="T84" s="638"/>
      <c r="U84" s="638"/>
      <c r="V84" s="638"/>
      <c r="W84" s="638"/>
      <c r="X84" s="638"/>
      <c r="Y84" s="638"/>
      <c r="Z84" s="638"/>
      <c r="AA84" s="664"/>
    </row>
    <row r="85" spans="1:27" s="624" customFormat="1" ht="21" x14ac:dyDescent="0.25">
      <c r="A85" s="639"/>
      <c r="B85" s="1524" t="s">
        <v>3424</v>
      </c>
      <c r="C85" s="1523"/>
      <c r="D85" s="687" t="str">
        <f>IF(LOWER(Setting!rng_language)="english","R-VALUE:","VALEUR R :")</f>
        <v>R-VALUE:</v>
      </c>
      <c r="E85" s="1"/>
      <c r="F85" s="325"/>
      <c r="G85" s="678"/>
      <c r="H85" s="732"/>
      <c r="I85" s="642"/>
      <c r="J85" s="733"/>
      <c r="K85" s="676"/>
      <c r="L85" s="677"/>
      <c r="M85" s="677"/>
      <c r="N85" s="677"/>
      <c r="O85" s="25" t="str">
        <f>_xlfn.IFNA(VLOOKUP($C85,'Master sheet'!$A:$AR,44,FALSE),"")&amp;""</f>
        <v/>
      </c>
      <c r="P85" s="685"/>
      <c r="Q85" s="722"/>
      <c r="R85" s="717"/>
      <c r="S85" s="638"/>
      <c r="T85" s="638"/>
      <c r="U85" s="638"/>
      <c r="V85" s="638"/>
      <c r="W85" s="638"/>
      <c r="X85" s="638"/>
      <c r="Y85" s="638"/>
      <c r="Z85" s="638"/>
      <c r="AA85" s="638"/>
    </row>
    <row r="86" spans="1:27" ht="31.2" x14ac:dyDescent="0.25">
      <c r="A86" s="1542"/>
      <c r="B86" s="1523"/>
      <c r="C86" s="673" t="str">
        <f>INDEX('Master sheet'!$A$1:$A$670,MATCH(184,'Master sheet'!$AN$1:$AN$670,0))</f>
        <v>Spray polyurethane foam - Closed Cell - HFO gas filled / SPFA /  / R 6.6/inch</v>
      </c>
      <c r="D86" s="17">
        <f>'USER INPUT SHEET'!$D$30</f>
        <v>0</v>
      </c>
      <c r="E86" s="18" t="str">
        <f>'USER INPUT SHEET'!$F$30</f>
        <v>m2</v>
      </c>
      <c r="F86" s="4">
        <v>1</v>
      </c>
      <c r="G86" s="674"/>
      <c r="H86" s="9"/>
      <c r="I86" s="95">
        <f>K86-L86</f>
        <v>0</v>
      </c>
      <c r="J86" s="96" t="str">
        <f>IF(H86=1,I86,"")</f>
        <v/>
      </c>
      <c r="K86" s="407">
        <f>$D86*$F86*VLOOKUP($C86,'Master sheet'!$A:$AL,13,FALSE)*($E$85/5.678)</f>
        <v>0</v>
      </c>
      <c r="L86" s="97">
        <f>$D86*$F86*VLOOKUP($C86,'Master sheet'!$A:$AL,27,FALSE)*($E$85/5.678)</f>
        <v>0</v>
      </c>
      <c r="M86" s="1551"/>
      <c r="N86" s="1551"/>
      <c r="O86" s="25" t="str">
        <f ca="1">_xlfn.IFNA(VLOOKUP($C86,'Master sheet'!$A:$AR,44,FALSE),"")&amp;""</f>
        <v/>
      </c>
      <c r="P86" s="685"/>
      <c r="Q86" s="722" t="s">
        <v>32</v>
      </c>
      <c r="R86" s="717" t="s">
        <v>1697</v>
      </c>
      <c r="S86" s="664"/>
      <c r="T86" s="664"/>
      <c r="U86" s="664"/>
      <c r="V86" s="664"/>
      <c r="W86" s="664"/>
      <c r="X86" s="664"/>
      <c r="Y86" s="664"/>
      <c r="Z86" s="664"/>
      <c r="AA86" s="638"/>
    </row>
    <row r="87" spans="1:27" s="624" customFormat="1" ht="31.2" x14ac:dyDescent="0.25">
      <c r="A87" s="1548"/>
      <c r="B87" s="1549"/>
      <c r="C87" s="673" t="str">
        <f>INDEX('Master sheet'!$A$1:$A$670,MATCH(410,'Master sheet'!$AN$1:$AN$670,0))</f>
        <v xml:space="preserve">Spray polyurethane foam - Closed Cell (HFO) / Huntsman Building Solutions / Heatlok HFO &amp; Heatlok Soya HFO / </v>
      </c>
      <c r="D87" s="17">
        <f>'USER INPUT SHEET'!$D$30</f>
        <v>0</v>
      </c>
      <c r="E87" s="18" t="str">
        <f>'USER INPUT SHEET'!$F$30</f>
        <v>m2</v>
      </c>
      <c r="F87" s="4">
        <v>1</v>
      </c>
      <c r="G87" s="674"/>
      <c r="H87" s="9"/>
      <c r="I87" s="95">
        <f>K87-L87</f>
        <v>0</v>
      </c>
      <c r="J87" s="96" t="str">
        <f>IF(H87=1,I87,"")</f>
        <v/>
      </c>
      <c r="K87" s="407">
        <f>$D87*$F87*VLOOKUP($C87,'Master sheet'!$A:$AL,13,FALSE)*($E$85/5.678)</f>
        <v>0</v>
      </c>
      <c r="L87" s="97">
        <f>$D87*$F87*VLOOKUP($C87,'Master sheet'!$A:$AL,27,FALSE)*($E$85/5.678)</f>
        <v>0</v>
      </c>
      <c r="M87" s="1561"/>
      <c r="N87" s="1561"/>
      <c r="O87" s="25" t="str">
        <f>_xlfn.IFNA(VLOOKUP($C87,'Master sheet'!$A:$AR,44,FALSE),"")&amp;""</f>
        <v>A1-B1</v>
      </c>
      <c r="P87" s="685"/>
      <c r="Q87" s="722" t="s">
        <v>32</v>
      </c>
      <c r="R87" s="717" t="s">
        <v>1697</v>
      </c>
      <c r="S87" s="638"/>
      <c r="T87" s="638"/>
      <c r="U87" s="638"/>
      <c r="V87" s="638"/>
      <c r="W87" s="638"/>
      <c r="X87" s="638"/>
      <c r="Y87" s="638"/>
      <c r="Z87" s="638"/>
      <c r="AA87" s="664"/>
    </row>
    <row r="88" spans="1:27" s="624" customFormat="1" ht="22.8" x14ac:dyDescent="0.25">
      <c r="A88" s="639"/>
      <c r="B88" s="1524" t="s">
        <v>4776</v>
      </c>
      <c r="C88" s="1523"/>
      <c r="D88" s="687" t="str">
        <f>IF(LOWER(Setting!rng_language)="english","R-VALUE:","VALEUR R :")</f>
        <v>R-VALUE:</v>
      </c>
      <c r="E88" s="1"/>
      <c r="F88" s="320"/>
      <c r="G88" s="678"/>
      <c r="H88" s="641"/>
      <c r="I88" s="642"/>
      <c r="J88" s="643"/>
      <c r="K88" s="676"/>
      <c r="L88" s="677"/>
      <c r="M88" s="677"/>
      <c r="N88" s="677"/>
      <c r="O88" s="25" t="str">
        <f>_xlfn.IFNA(VLOOKUP($C88,'Master sheet'!$A:$AR,44,FALSE),"")&amp;""</f>
        <v/>
      </c>
      <c r="P88" s="637"/>
      <c r="Q88" s="722"/>
      <c r="R88" s="717"/>
      <c r="S88" s="638"/>
      <c r="T88" s="638"/>
      <c r="U88" s="638"/>
      <c r="V88" s="638"/>
      <c r="W88" s="638"/>
      <c r="X88" s="638"/>
      <c r="Y88" s="638"/>
      <c r="Z88" s="638"/>
      <c r="AA88" s="664"/>
    </row>
    <row r="89" spans="1:27" s="624" customFormat="1" ht="32.4" customHeight="1" x14ac:dyDescent="0.25">
      <c r="A89" s="1542"/>
      <c r="B89" s="1523"/>
      <c r="C89" s="681" t="str">
        <f>INDEX('Master sheet'!$A$1:$A$670,MATCH("A148",'Master sheet'!$AN$1:$AN$670,0))</f>
        <v>Fiberglass board / NAIMA / Includes :  Johns Manville, Knauf, Owens Corning, CertainTeed / R-3.2/inch</v>
      </c>
      <c r="D89" s="22">
        <f>'USER INPUT SHEET'!$D$30</f>
        <v>0</v>
      </c>
      <c r="E89" s="23" t="str">
        <f>'USER INPUT SHEET'!$F$30</f>
        <v>m2</v>
      </c>
      <c r="F89" s="6">
        <v>1</v>
      </c>
      <c r="G89" s="682"/>
      <c r="H89" s="10"/>
      <c r="I89" s="100">
        <f>K89-L89</f>
        <v>0</v>
      </c>
      <c r="J89" s="101" t="str">
        <f t="shared" ref="J89" si="35">IF(H89=1,I89,"")</f>
        <v/>
      </c>
      <c r="K89" s="408">
        <f>$D89*$F89*VLOOKUP($C89,'Master sheet'!$A:$AL,13,FALSE)*($E$88/5.678)</f>
        <v>0</v>
      </c>
      <c r="L89" s="102">
        <f>$D89*$F89*VLOOKUP($C89,'Master sheet'!$A:$AL,27,FALSE)*($E$88/5.678)</f>
        <v>0</v>
      </c>
      <c r="M89" s="1560"/>
      <c r="N89" s="1560"/>
      <c r="O89" s="25" t="str">
        <f>_xlfn.IFNA(VLOOKUP($C89,'Master sheet'!$A:$AR,44,FALSE),"")&amp;""</f>
        <v/>
      </c>
      <c r="P89" s="637"/>
      <c r="Q89" s="722" t="s">
        <v>32</v>
      </c>
      <c r="R89" s="717" t="s">
        <v>1697</v>
      </c>
      <c r="S89" s="638"/>
      <c r="T89" s="638"/>
      <c r="U89" s="638"/>
      <c r="V89" s="638"/>
      <c r="W89" s="638"/>
      <c r="X89" s="638"/>
      <c r="Y89" s="638"/>
      <c r="Z89" s="638"/>
      <c r="AA89" s="664"/>
    </row>
    <row r="90" spans="1:27" s="624" customFormat="1" ht="55.2" customHeight="1" x14ac:dyDescent="0.25">
      <c r="A90" s="1522" t="s">
        <v>35</v>
      </c>
      <c r="B90" s="1523"/>
      <c r="C90" s="1523"/>
      <c r="D90" s="649"/>
      <c r="E90" s="650"/>
      <c r="F90" s="321"/>
      <c r="G90" s="650"/>
      <c r="H90" s="650"/>
      <c r="I90" s="651"/>
      <c r="J90" s="651"/>
      <c r="K90" s="652"/>
      <c r="L90" s="653"/>
      <c r="M90" s="653"/>
      <c r="N90" s="653"/>
      <c r="O90" s="25" t="str">
        <f>_xlfn.IFNA(VLOOKUP($C90,'Master sheet'!$A:$AR,44,FALSE),"")&amp;""</f>
        <v/>
      </c>
      <c r="P90" s="685"/>
      <c r="Q90" s="722"/>
      <c r="R90" s="722"/>
      <c r="S90" s="638"/>
      <c r="T90" s="638"/>
      <c r="U90" s="638"/>
      <c r="V90" s="638"/>
      <c r="W90" s="638"/>
      <c r="X90" s="638"/>
      <c r="Y90" s="638"/>
      <c r="Z90" s="638"/>
      <c r="AA90" s="664"/>
    </row>
    <row r="91" spans="1:27" s="624" customFormat="1" ht="32.25" customHeight="1" x14ac:dyDescent="0.3">
      <c r="A91" s="1587" t="s">
        <v>917</v>
      </c>
      <c r="B91" s="1588"/>
      <c r="C91" s="681" t="str">
        <f>INDEX('Master sheet'!$A$1:$A$670,MATCH(259,'Master sheet'!$AN$1:$AN$670,0))</f>
        <v>EPS FOAM ICF R-23, 2 Sheets of 2.75" @ R4/in., 15M rebar (6" CONCRETE CORE must be added separately)</v>
      </c>
      <c r="D91" s="22">
        <f>'USER INPUT SHEET'!$D$30</f>
        <v>0</v>
      </c>
      <c r="E91" s="23" t="s">
        <v>5</v>
      </c>
      <c r="F91" s="6">
        <v>1</v>
      </c>
      <c r="G91" s="682"/>
      <c r="H91" s="10"/>
      <c r="I91" s="100">
        <f t="shared" ref="I91:I99" si="36">K91-L91</f>
        <v>0</v>
      </c>
      <c r="J91" s="101" t="str">
        <f t="shared" ref="J91:J99" si="37">IF(H91=1,I91,"")</f>
        <v/>
      </c>
      <c r="K91" s="408">
        <f>$D91*$F91*VLOOKUP($C91,'Master sheet'!$A:$AL,13,FALSE)</f>
        <v>0</v>
      </c>
      <c r="L91" s="102">
        <f>$D91*$F91*VLOOKUP($C91,'Master sheet'!$A:$AL,27,FALSE)</f>
        <v>0</v>
      </c>
      <c r="M91" s="1563"/>
      <c r="N91" s="1563"/>
      <c r="O91" s="25" t="str">
        <f ca="1">_xlfn.IFNA(VLOOKUP($C91,'Master sheet'!$A:$AR,44,FALSE),"")&amp;""</f>
        <v/>
      </c>
      <c r="P91" s="637"/>
      <c r="Q91" s="722" t="s">
        <v>32</v>
      </c>
      <c r="R91" s="722" t="s">
        <v>1698</v>
      </c>
      <c r="S91" s="638"/>
      <c r="T91" s="638"/>
      <c r="U91" s="638"/>
      <c r="V91" s="638"/>
      <c r="W91" s="638"/>
      <c r="X91" s="638"/>
      <c r="Y91" s="638"/>
      <c r="Z91" s="638"/>
      <c r="AA91" s="638"/>
    </row>
    <row r="92" spans="1:27" s="624" customFormat="1" ht="23.85" customHeight="1" x14ac:dyDescent="0.25">
      <c r="A92" s="639"/>
      <c r="B92" s="1524" t="s">
        <v>1349</v>
      </c>
      <c r="C92" s="1524"/>
      <c r="D92" s="640"/>
      <c r="E92" s="641"/>
      <c r="F92" s="320"/>
      <c r="G92" s="641"/>
      <c r="H92" s="641"/>
      <c r="I92" s="642"/>
      <c r="J92" s="643"/>
      <c r="K92" s="676"/>
      <c r="L92" s="677"/>
      <c r="M92" s="677"/>
      <c r="N92" s="677"/>
      <c r="O92" s="25" t="str">
        <f>_xlfn.IFNA(VLOOKUP($C92,'Master sheet'!$A:$AR,44,FALSE),"")&amp;""</f>
        <v/>
      </c>
      <c r="P92" s="663"/>
      <c r="Q92" s="30"/>
      <c r="R92" s="21"/>
      <c r="S92" s="638"/>
      <c r="T92" s="638"/>
      <c r="U92" s="638"/>
      <c r="V92" s="638"/>
      <c r="W92" s="638"/>
      <c r="X92" s="638"/>
      <c r="Y92" s="638"/>
      <c r="Z92" s="638"/>
      <c r="AA92" s="638"/>
    </row>
    <row r="93" spans="1:27" ht="31.5" customHeight="1" x14ac:dyDescent="0.25">
      <c r="A93" s="1570" t="s">
        <v>1058</v>
      </c>
      <c r="B93" s="1570"/>
      <c r="C93" s="734" t="str" cm="1">
        <f t="array" ref="C93">INDEX('Master sheet'!$A$1:$A$670,MATCH(1,("0-25" = 'Master sheet'!$AO$1:$AO$670)*(1 = 'Master sheet'!$AP$1:$AP$670)*('Master sheet'!$AT$1:$AT$670),0))</f>
        <v xml:space="preserve">Concrete - 25 MPa, GU / SRMCA / Can. Sask Avg. / </v>
      </c>
      <c r="D93" s="235">
        <f>'USER INPUT SHEET'!$D$30</f>
        <v>0</v>
      </c>
      <c r="E93" s="236" t="str">
        <f>'USER INPUT SHEET'!$F$30</f>
        <v>m2</v>
      </c>
      <c r="F93" s="6">
        <v>1</v>
      </c>
      <c r="G93" s="735"/>
      <c r="H93" s="10"/>
      <c r="I93" s="237">
        <f t="shared" si="36"/>
        <v>0</v>
      </c>
      <c r="J93" s="238" t="str">
        <f t="shared" si="37"/>
        <v/>
      </c>
      <c r="K93" s="416">
        <f>$D93*$F93*VLOOKUP($C93,'Master sheet'!$A:$AL,13,FALSE)*0.15875</f>
        <v>0</v>
      </c>
      <c r="L93" s="239">
        <v>0</v>
      </c>
      <c r="M93" s="1560"/>
      <c r="N93" s="1560"/>
      <c r="O93" s="25" t="str">
        <f ca="1">_xlfn.IFNA(VLOOKUP($C93,'Master sheet'!$A:$AR,44,FALSE),"")&amp;""</f>
        <v/>
      </c>
      <c r="P93" s="637"/>
      <c r="Q93" s="725" t="s">
        <v>32</v>
      </c>
      <c r="R93" s="722" t="s">
        <v>1698</v>
      </c>
      <c r="S93" s="664"/>
      <c r="T93" s="664"/>
      <c r="U93" s="664"/>
      <c r="V93" s="664"/>
      <c r="W93" s="664"/>
      <c r="X93" s="664"/>
      <c r="Y93" s="664"/>
      <c r="Z93" s="664"/>
      <c r="AA93" s="638"/>
    </row>
    <row r="94" spans="1:27" ht="23.25" customHeight="1" x14ac:dyDescent="0.25">
      <c r="A94" s="1570"/>
      <c r="B94" s="1570"/>
      <c r="C94" s="669" t="str" cm="1">
        <f t="array" ref="C94">INDEX('Master sheet'!$A$1:$A$670,MATCH(1,("0-25" = 'Master sheet'!$AO$1:$AO$670)*(2 = 'Master sheet'!$AP$1:$AP$670)*('Master sheet'!$AT$1:$AT$670),0))</f>
        <v xml:space="preserve">Concrete - 25 MPa, 10% FA, GU / SRMCA / Can. Sask Avg. / </v>
      </c>
      <c r="D94" s="15">
        <f>'USER INPUT SHEET'!$D$30</f>
        <v>0</v>
      </c>
      <c r="E94" s="16" t="str">
        <f>'USER INPUT SHEET'!$F$30</f>
        <v>m2</v>
      </c>
      <c r="F94" s="3">
        <v>1</v>
      </c>
      <c r="G94" s="670"/>
      <c r="H94" s="8"/>
      <c r="I94" s="92">
        <f t="shared" si="36"/>
        <v>0</v>
      </c>
      <c r="J94" s="93" t="str">
        <f t="shared" si="37"/>
        <v/>
      </c>
      <c r="K94" s="406">
        <f>$D94*$F94*VLOOKUP($C94,'Master sheet'!$A:$AL,13,FALSE)*0.15875</f>
        <v>0</v>
      </c>
      <c r="L94" s="94">
        <v>0</v>
      </c>
      <c r="M94" s="1560"/>
      <c r="N94" s="1560"/>
      <c r="O94" s="25" t="str">
        <f ca="1">_xlfn.IFNA(VLOOKUP($C94,'Master sheet'!$A:$AR,44,FALSE),"")&amp;""</f>
        <v/>
      </c>
      <c r="P94" s="685"/>
      <c r="Q94" s="717" t="s">
        <v>32</v>
      </c>
      <c r="R94" s="722" t="s">
        <v>1698</v>
      </c>
      <c r="S94" s="664"/>
      <c r="T94" s="664"/>
      <c r="U94" s="664"/>
      <c r="V94" s="664"/>
      <c r="W94" s="664"/>
      <c r="X94" s="664"/>
      <c r="Y94" s="664"/>
      <c r="Z94" s="664"/>
      <c r="AA94" s="638"/>
    </row>
    <row r="95" spans="1:27" ht="23.25" customHeight="1" x14ac:dyDescent="0.25">
      <c r="A95" s="1570"/>
      <c r="B95" s="1570"/>
      <c r="C95" s="669" t="str" cm="1">
        <f t="array" ref="C95">INDEX('Master sheet'!$A$1:$A$670,MATCH(1,("0-25" = 'Master sheet'!$AO$1:$AO$670)*(3 = 'Master sheet'!$AP$1:$AP$670)*('Master sheet'!$AT$1:$AT$670),0))</f>
        <v xml:space="preserve">Concrete - 25 MPa, 20% FA, GU / SRMCA / Can. Sask Avg. / </v>
      </c>
      <c r="D95" s="15">
        <f>'USER INPUT SHEET'!$D$30</f>
        <v>0</v>
      </c>
      <c r="E95" s="16" t="str">
        <f>'USER INPUT SHEET'!$F$30</f>
        <v>m2</v>
      </c>
      <c r="F95" s="3">
        <v>1</v>
      </c>
      <c r="G95" s="670"/>
      <c r="H95" s="8"/>
      <c r="I95" s="92">
        <f t="shared" si="36"/>
        <v>0</v>
      </c>
      <c r="J95" s="93" t="str">
        <f t="shared" si="37"/>
        <v/>
      </c>
      <c r="K95" s="406">
        <f>$D95*$F95*VLOOKUP($C95,'Master sheet'!$A:$AL,13,FALSE)*0.15875</f>
        <v>0</v>
      </c>
      <c r="L95" s="94">
        <v>0</v>
      </c>
      <c r="M95" s="1560"/>
      <c r="N95" s="1560"/>
      <c r="O95" s="25" t="str">
        <f ca="1">_xlfn.IFNA(VLOOKUP($C95,'Master sheet'!$A:$AR,44,FALSE),"")&amp;""</f>
        <v/>
      </c>
      <c r="P95" s="685"/>
      <c r="Q95" s="717" t="s">
        <v>32</v>
      </c>
      <c r="R95" s="722" t="s">
        <v>1698</v>
      </c>
      <c r="S95" s="664"/>
      <c r="T95" s="664"/>
      <c r="U95" s="664"/>
      <c r="V95" s="664"/>
      <c r="W95" s="664"/>
      <c r="X95" s="664"/>
      <c r="Y95" s="664"/>
      <c r="Z95" s="664"/>
      <c r="AA95" s="638"/>
    </row>
    <row r="96" spans="1:27" ht="23.25" customHeight="1" x14ac:dyDescent="0.25">
      <c r="A96" s="1570"/>
      <c r="B96" s="1570"/>
      <c r="C96" s="669" t="str" cm="1">
        <f t="array" ref="C96">INDEX('Master sheet'!$A$1:$A$670,MATCH(1,("0-25" = 'Master sheet'!$AO$1:$AO$670)*(4 = 'Master sheet'!$AP$1:$AP$670)*('Master sheet'!$AT$1:$AT$670),0))</f>
        <v xml:space="preserve">Concrete - 25 MPa, 30% FA, GU / SRMCA / Can. Sask Avg. / </v>
      </c>
      <c r="D96" s="15">
        <f>'USER INPUT SHEET'!$D$30</f>
        <v>0</v>
      </c>
      <c r="E96" s="16" t="str">
        <f>'USER INPUT SHEET'!$F$30</f>
        <v>m2</v>
      </c>
      <c r="F96" s="3">
        <v>1</v>
      </c>
      <c r="G96" s="670"/>
      <c r="H96" s="8"/>
      <c r="I96" s="92">
        <f t="shared" si="36"/>
        <v>0</v>
      </c>
      <c r="J96" s="93" t="str">
        <f t="shared" si="37"/>
        <v/>
      </c>
      <c r="K96" s="406">
        <f>$D96*$F96*VLOOKUP($C96,'Master sheet'!$A:$AL,13,FALSE)*0.15875</f>
        <v>0</v>
      </c>
      <c r="L96" s="94">
        <v>0</v>
      </c>
      <c r="M96" s="1560"/>
      <c r="N96" s="1560"/>
      <c r="O96" s="25" t="str">
        <f ca="1">_xlfn.IFNA(VLOOKUP($C96,'Master sheet'!$A:$AR,44,FALSE),"")&amp;""</f>
        <v/>
      </c>
      <c r="P96" s="637"/>
      <c r="Q96" s="717" t="s">
        <v>32</v>
      </c>
      <c r="R96" s="722" t="s">
        <v>1698</v>
      </c>
      <c r="S96" s="664"/>
      <c r="T96" s="664"/>
      <c r="U96" s="664"/>
      <c r="V96" s="664"/>
      <c r="W96" s="664"/>
      <c r="X96" s="664"/>
      <c r="Y96" s="664"/>
      <c r="Z96" s="664"/>
      <c r="AA96" s="638"/>
    </row>
    <row r="97" spans="1:27" ht="23.25" customHeight="1" x14ac:dyDescent="0.25">
      <c r="A97" s="1570"/>
      <c r="B97" s="1570"/>
      <c r="C97" s="669" t="str" cm="1">
        <f t="array" ref="C97">INDEX('Master sheet'!$A$1:$A$670,MATCH(1,("0-25" = 'Master sheet'!$AO$1:$AO$670)*(5 = 'Master sheet'!$AP$1:$AP$670)*('Master sheet'!$AT$1:$AT$670),0))</f>
        <v xml:space="preserve">Concrete - 25 MPa, 40% FA, GU / SRMCA / Can. Sask Avg. / </v>
      </c>
      <c r="D97" s="15">
        <f>'USER INPUT SHEET'!$D$30</f>
        <v>0</v>
      </c>
      <c r="E97" s="16" t="str">
        <f>'USER INPUT SHEET'!$F$30</f>
        <v>m2</v>
      </c>
      <c r="F97" s="3">
        <v>1</v>
      </c>
      <c r="G97" s="670"/>
      <c r="H97" s="8"/>
      <c r="I97" s="92">
        <f t="shared" si="36"/>
        <v>0</v>
      </c>
      <c r="J97" s="93" t="str">
        <f t="shared" si="37"/>
        <v/>
      </c>
      <c r="K97" s="406">
        <f>$D97*$F97*VLOOKUP($C97,'Master sheet'!$A:$AL,13,FALSE)*0.15875</f>
        <v>0</v>
      </c>
      <c r="L97" s="94">
        <v>0</v>
      </c>
      <c r="M97" s="1560"/>
      <c r="N97" s="1560"/>
      <c r="O97" s="25" t="str">
        <f ca="1">_xlfn.IFNA(VLOOKUP($C97,'Master sheet'!$A:$AR,44,FALSE),"")&amp;""</f>
        <v/>
      </c>
      <c r="P97" s="637"/>
      <c r="Q97" s="717" t="s">
        <v>32</v>
      </c>
      <c r="R97" s="722" t="s">
        <v>1698</v>
      </c>
      <c r="S97" s="664"/>
      <c r="T97" s="664"/>
      <c r="U97" s="664"/>
      <c r="V97" s="664"/>
      <c r="W97" s="664"/>
      <c r="X97" s="664"/>
      <c r="Y97" s="664"/>
      <c r="Z97" s="664"/>
      <c r="AA97" s="638"/>
    </row>
    <row r="98" spans="1:27" ht="23.25" hidden="1" customHeight="1" x14ac:dyDescent="0.25">
      <c r="A98" s="1570"/>
      <c r="B98" s="1570"/>
      <c r="C98" s="669" t="e" cm="1">
        <f t="array" ref="C98">INDEX('Master sheet'!$A$1:$A$670,MATCH(1,("0-25" = 'Master sheet'!$AO$1:$AO$670)*(6 = 'Master sheet'!$AP$1:$AP$670)*('Master sheet'!$AT$1:$AT$670),0))</f>
        <v>#N/A</v>
      </c>
      <c r="D98" s="15">
        <f>'USER INPUT SHEET'!$D$30</f>
        <v>0</v>
      </c>
      <c r="E98" s="16" t="str">
        <f>'USER INPUT SHEET'!$F$30</f>
        <v>m2</v>
      </c>
      <c r="F98" s="3">
        <v>1</v>
      </c>
      <c r="G98" s="670"/>
      <c r="H98" s="8"/>
      <c r="I98" s="92" t="e">
        <f t="shared" ref="I98" si="38">K98-L98</f>
        <v>#N/A</v>
      </c>
      <c r="J98" s="93" t="str">
        <f t="shared" ref="J98" si="39">IF(H98=1,I98,"")</f>
        <v/>
      </c>
      <c r="K98" s="406" t="e">
        <f>$D98*$F98*VLOOKUP($C98,'Master sheet'!$A:$AL,13,FALSE)*0.15875</f>
        <v>#N/A</v>
      </c>
      <c r="L98" s="94">
        <v>0</v>
      </c>
      <c r="M98" s="1560"/>
      <c r="N98" s="1560"/>
      <c r="O98" s="25" t="str">
        <f>_xlfn.IFNA(VLOOKUP($C98,'Master sheet'!$A:$AR,44,FALSE),"")&amp;""</f>
        <v/>
      </c>
      <c r="P98" s="637"/>
      <c r="Q98" s="717" t="s">
        <v>32</v>
      </c>
      <c r="R98" s="722" t="s">
        <v>1698</v>
      </c>
      <c r="S98" s="664"/>
      <c r="T98" s="664"/>
      <c r="U98" s="664"/>
      <c r="V98" s="664"/>
      <c r="W98" s="664"/>
      <c r="X98" s="664"/>
      <c r="Y98" s="664"/>
      <c r="Z98" s="664"/>
      <c r="AA98" s="638"/>
    </row>
    <row r="99" spans="1:27" s="624" customFormat="1" ht="23.25" hidden="1" customHeight="1" x14ac:dyDescent="0.25">
      <c r="A99" s="1571"/>
      <c r="B99" s="1571"/>
      <c r="C99" s="673" t="e" cm="1">
        <f t="array" ref="C99">INDEX('Master sheet'!$A$1:$A$670,MATCH(1,("0-25" = 'Master sheet'!$AO$1:$AO$670)*(7 = 'Master sheet'!$AP$1:$AP$670)*('Master sheet'!$AT$1:$AT$670),0))</f>
        <v>#N/A</v>
      </c>
      <c r="D99" s="17">
        <f>'USER INPUT SHEET'!$D$30</f>
        <v>0</v>
      </c>
      <c r="E99" s="18" t="str">
        <f>'USER INPUT SHEET'!$F$30</f>
        <v>m2</v>
      </c>
      <c r="F99" s="4">
        <v>1</v>
      </c>
      <c r="G99" s="674"/>
      <c r="H99" s="9"/>
      <c r="I99" s="95" t="e">
        <f t="shared" si="36"/>
        <v>#N/A</v>
      </c>
      <c r="J99" s="96" t="str">
        <f t="shared" si="37"/>
        <v/>
      </c>
      <c r="K99" s="407" t="e">
        <f>$D99*$F99*VLOOKUP($C99,'Master sheet'!$A:$AL,13,FALSE)*0.15875</f>
        <v>#N/A</v>
      </c>
      <c r="L99" s="97">
        <v>0</v>
      </c>
      <c r="M99" s="1560"/>
      <c r="N99" s="1560"/>
      <c r="O99" s="25" t="str">
        <f>_xlfn.IFNA(VLOOKUP($C99,'Master sheet'!$A:$AR,44,FALSE),"")&amp;""</f>
        <v/>
      </c>
      <c r="P99" s="685"/>
      <c r="Q99" s="722" t="s">
        <v>32</v>
      </c>
      <c r="R99" s="722" t="s">
        <v>1698</v>
      </c>
      <c r="S99" s="638"/>
      <c r="T99" s="638"/>
      <c r="U99" s="638"/>
      <c r="V99" s="638"/>
      <c r="W99" s="638"/>
      <c r="X99" s="638"/>
      <c r="Y99" s="638"/>
      <c r="Z99" s="638"/>
      <c r="AA99" s="664"/>
    </row>
    <row r="100" spans="1:27" ht="23.85" customHeight="1" x14ac:dyDescent="0.25">
      <c r="A100" s="639"/>
      <c r="B100" s="1524" t="s">
        <v>1350</v>
      </c>
      <c r="C100" s="1524"/>
      <c r="D100" s="656"/>
      <c r="E100" s="641"/>
      <c r="F100" s="322"/>
      <c r="G100" s="657"/>
      <c r="H100" s="657"/>
      <c r="I100" s="658"/>
      <c r="J100" s="659"/>
      <c r="K100" s="660"/>
      <c r="L100" s="661"/>
      <c r="M100" s="677"/>
      <c r="N100" s="677"/>
      <c r="O100" s="25" t="str">
        <f>_xlfn.IFNA(VLOOKUP($C100,'Master sheet'!$A:$AR,44,FALSE),"")&amp;""</f>
        <v/>
      </c>
      <c r="P100" s="663"/>
      <c r="Q100" s="30"/>
      <c r="R100" s="21"/>
      <c r="S100" s="664"/>
      <c r="T100" s="664"/>
      <c r="U100" s="664"/>
      <c r="V100" s="664"/>
      <c r="W100" s="664"/>
      <c r="X100" s="664"/>
      <c r="Y100" s="664"/>
      <c r="Z100" s="664"/>
      <c r="AA100" s="664"/>
    </row>
    <row r="101" spans="1:27" ht="31.5" customHeight="1" x14ac:dyDescent="0.25">
      <c r="A101" s="1525" t="s">
        <v>786</v>
      </c>
      <c r="B101" s="1525"/>
      <c r="C101" s="667" t="str" cm="1">
        <f t="array" ref="C101">INDEX('Master sheet'!$A$1:$A$670,MATCH(1,("26-30" = 'Master sheet'!$AO$1:$AO$670)*(1 = 'Master sheet'!$AP$1:$AP$670)*('Master sheet'!$AT$1:$AT$670),0))</f>
        <v xml:space="preserve">Concrete - 30 MPa, GU / SRMCA / Can. Sask Avg. / </v>
      </c>
      <c r="D101" s="230">
        <f>'USER INPUT SHEET'!$D$30</f>
        <v>0</v>
      </c>
      <c r="E101" s="14" t="str">
        <f>'USER INPUT SHEET'!$F$30</f>
        <v>m2</v>
      </c>
      <c r="F101" s="5">
        <v>1</v>
      </c>
      <c r="G101" s="668"/>
      <c r="H101" s="10"/>
      <c r="I101" s="232">
        <f t="shared" ref="I101:I107" si="40">K101-L101</f>
        <v>0</v>
      </c>
      <c r="J101" s="233" t="str">
        <f t="shared" ref="J101:J107" si="41">IF(H101=1,I101,"")</f>
        <v/>
      </c>
      <c r="K101" s="416">
        <f>$D101*$F101*VLOOKUP($C101,'Master sheet'!$A:$AL,13,FALSE)*0.15875</f>
        <v>0</v>
      </c>
      <c r="L101" s="239">
        <v>0</v>
      </c>
      <c r="M101" s="1560"/>
      <c r="N101" s="1560"/>
      <c r="O101" s="25" t="str">
        <f ca="1">_xlfn.IFNA(VLOOKUP($C101,'Master sheet'!$A:$AR,44,FALSE),"")&amp;""</f>
        <v/>
      </c>
      <c r="P101" s="637"/>
      <c r="Q101" s="722" t="s">
        <v>32</v>
      </c>
      <c r="R101" s="722" t="s">
        <v>1698</v>
      </c>
      <c r="S101" s="664"/>
      <c r="T101" s="664"/>
      <c r="U101" s="664"/>
      <c r="V101" s="664"/>
      <c r="W101" s="664"/>
      <c r="X101" s="664"/>
      <c r="Y101" s="664"/>
      <c r="Z101" s="664"/>
      <c r="AA101" s="638"/>
    </row>
    <row r="102" spans="1:27" ht="23.25" customHeight="1" x14ac:dyDescent="0.25">
      <c r="A102" s="1525"/>
      <c r="B102" s="1525"/>
      <c r="C102" s="669" t="str" cm="1">
        <f t="array" ref="C102">INDEX('Master sheet'!$A$1:$A$670,MATCH(1,("26-30" = 'Master sheet'!$AO$1:$AO$670)*(2 = 'Master sheet'!$AP$1:$AP$670)*('Master sheet'!$AT$1:$AT$670),0))</f>
        <v xml:space="preserve">Concrete - 30 MPa, 10% FA, GU / SRMCA / Can. Sask Avg. / </v>
      </c>
      <c r="D102" s="15">
        <f>'USER INPUT SHEET'!$D$30</f>
        <v>0</v>
      </c>
      <c r="E102" s="16" t="str">
        <f>'USER INPUT SHEET'!$F$30</f>
        <v>m2</v>
      </c>
      <c r="F102" s="3">
        <v>1</v>
      </c>
      <c r="G102" s="670"/>
      <c r="H102" s="8"/>
      <c r="I102" s="92">
        <f t="shared" si="40"/>
        <v>0</v>
      </c>
      <c r="J102" s="93" t="str">
        <f t="shared" si="41"/>
        <v/>
      </c>
      <c r="K102" s="406">
        <f>$D102*$F102*VLOOKUP($C102,'Master sheet'!$A:$AL,13,FALSE)*0.15875</f>
        <v>0</v>
      </c>
      <c r="L102" s="94">
        <v>0</v>
      </c>
      <c r="M102" s="1560"/>
      <c r="N102" s="1560"/>
      <c r="O102" s="25" t="str">
        <f ca="1">_xlfn.IFNA(VLOOKUP($C102,'Master sheet'!$A:$AR,44,FALSE),"")&amp;""</f>
        <v/>
      </c>
      <c r="P102" s="671"/>
      <c r="Q102" s="722" t="s">
        <v>32</v>
      </c>
      <c r="R102" s="722" t="s">
        <v>1698</v>
      </c>
      <c r="S102" s="664"/>
      <c r="T102" s="664"/>
      <c r="U102" s="664"/>
      <c r="V102" s="664"/>
      <c r="W102" s="664"/>
      <c r="X102" s="664"/>
      <c r="Y102" s="664"/>
      <c r="Z102" s="664"/>
      <c r="AA102" s="664"/>
    </row>
    <row r="103" spans="1:27" ht="23.25" customHeight="1" x14ac:dyDescent="0.25">
      <c r="A103" s="1525"/>
      <c r="B103" s="1525"/>
      <c r="C103" s="669" t="str" cm="1">
        <f t="array" ref="C103">INDEX('Master sheet'!$A$1:$A$670,MATCH(1,("26-30" = 'Master sheet'!$AO$1:$AO$670)*(3 = 'Master sheet'!$AP$1:$AP$670)*('Master sheet'!$AT$1:$AT$670),0))</f>
        <v xml:space="preserve">Concrete - 30 MPa, 20% FA, GU / SRMCA / Can. Sask Avg. / </v>
      </c>
      <c r="D103" s="15">
        <f>'USER INPUT SHEET'!$D$30</f>
        <v>0</v>
      </c>
      <c r="E103" s="16" t="str">
        <f>'USER INPUT SHEET'!$F$30</f>
        <v>m2</v>
      </c>
      <c r="F103" s="3">
        <v>1</v>
      </c>
      <c r="G103" s="670"/>
      <c r="H103" s="8"/>
      <c r="I103" s="92">
        <f t="shared" si="40"/>
        <v>0</v>
      </c>
      <c r="J103" s="93" t="str">
        <f t="shared" si="41"/>
        <v/>
      </c>
      <c r="K103" s="406">
        <f>$D103*$F103*VLOOKUP($C103,'Master sheet'!$A:$AL,13,FALSE)*0.15875</f>
        <v>0</v>
      </c>
      <c r="L103" s="94">
        <v>0</v>
      </c>
      <c r="M103" s="1560"/>
      <c r="N103" s="1560"/>
      <c r="O103" s="25" t="str">
        <f ca="1">_xlfn.IFNA(VLOOKUP($C103,'Master sheet'!$A:$AR,44,FALSE),"")&amp;""</f>
        <v/>
      </c>
      <c r="P103" s="672"/>
      <c r="Q103" s="722" t="s">
        <v>32</v>
      </c>
      <c r="R103" s="722" t="s">
        <v>1698</v>
      </c>
      <c r="S103" s="664"/>
      <c r="T103" s="664"/>
      <c r="U103" s="664"/>
      <c r="V103" s="664"/>
      <c r="W103" s="664"/>
      <c r="X103" s="664"/>
      <c r="Y103" s="664"/>
      <c r="Z103" s="664"/>
      <c r="AA103" s="638"/>
    </row>
    <row r="104" spans="1:27" ht="23.25" customHeight="1" x14ac:dyDescent="0.25">
      <c r="A104" s="1525"/>
      <c r="B104" s="1525"/>
      <c r="C104" s="669" t="str" cm="1">
        <f t="array" ref="C104">INDEX('Master sheet'!$A$1:$A$670,MATCH(1,("26-30" = 'Master sheet'!$AO$1:$AO$670)*(4 = 'Master sheet'!$AP$1:$AP$670)*('Master sheet'!$AT$1:$AT$670),0))</f>
        <v xml:space="preserve">Concrete - 30 MPa, 30% FA, GU / SRMCA / Can. Sask Avg. / </v>
      </c>
      <c r="D104" s="15">
        <f>'USER INPUT SHEET'!$D$30</f>
        <v>0</v>
      </c>
      <c r="E104" s="16" t="str">
        <f>'USER INPUT SHEET'!$F$30</f>
        <v>m2</v>
      </c>
      <c r="F104" s="3">
        <v>1</v>
      </c>
      <c r="G104" s="670"/>
      <c r="H104" s="8"/>
      <c r="I104" s="92">
        <f t="shared" si="40"/>
        <v>0</v>
      </c>
      <c r="J104" s="93" t="str">
        <f t="shared" si="41"/>
        <v/>
      </c>
      <c r="K104" s="406">
        <f>$D104*$F104*VLOOKUP($C104,'Master sheet'!$A:$AL,13,FALSE)*0.15875</f>
        <v>0</v>
      </c>
      <c r="L104" s="94">
        <v>0</v>
      </c>
      <c r="M104" s="1560"/>
      <c r="N104" s="1560"/>
      <c r="O104" s="25" t="str">
        <f ca="1">_xlfn.IFNA(VLOOKUP($C104,'Master sheet'!$A:$AR,44,FALSE),"")&amp;""</f>
        <v/>
      </c>
      <c r="P104" s="672"/>
      <c r="Q104" s="722" t="s">
        <v>32</v>
      </c>
      <c r="R104" s="722" t="s">
        <v>1698</v>
      </c>
      <c r="S104" s="664"/>
      <c r="T104" s="664"/>
      <c r="U104" s="664"/>
      <c r="V104" s="664"/>
      <c r="W104" s="664"/>
      <c r="X104" s="664"/>
      <c r="Y104" s="664"/>
      <c r="Z104" s="664"/>
      <c r="AA104" s="638"/>
    </row>
    <row r="105" spans="1:27" ht="23.25" customHeight="1" x14ac:dyDescent="0.25">
      <c r="A105" s="1525"/>
      <c r="B105" s="1525"/>
      <c r="C105" s="669" t="str" cm="1">
        <f t="array" ref="C105">INDEX('Master sheet'!$A$1:$A$670,MATCH(1,("26-30" = 'Master sheet'!$AO$1:$AO$670)*(5 = 'Master sheet'!$AP$1:$AP$670)*('Master sheet'!$AT$1:$AT$670),0))</f>
        <v xml:space="preserve">Concrete - 30 MPa, 40% FA, GU / SRMCA / Can. Sask Avg. / </v>
      </c>
      <c r="D105" s="15">
        <f>'USER INPUT SHEET'!$D$30</f>
        <v>0</v>
      </c>
      <c r="E105" s="16" t="str">
        <f>'USER INPUT SHEET'!$F$30</f>
        <v>m2</v>
      </c>
      <c r="F105" s="3">
        <v>1</v>
      </c>
      <c r="G105" s="670"/>
      <c r="H105" s="8"/>
      <c r="I105" s="92">
        <f t="shared" si="40"/>
        <v>0</v>
      </c>
      <c r="J105" s="93" t="str">
        <f t="shared" si="41"/>
        <v/>
      </c>
      <c r="K105" s="406">
        <f>$D105*$F105*VLOOKUP($C105,'Master sheet'!$A:$AL,13,FALSE)*0.15875</f>
        <v>0</v>
      </c>
      <c r="L105" s="94">
        <v>0</v>
      </c>
      <c r="M105" s="1560"/>
      <c r="N105" s="1560"/>
      <c r="O105" s="25" t="str">
        <f ca="1">_xlfn.IFNA(VLOOKUP($C105,'Master sheet'!$A:$AR,44,FALSE),"")&amp;""</f>
        <v/>
      </c>
      <c r="P105" s="672"/>
      <c r="Q105" s="722" t="s">
        <v>32</v>
      </c>
      <c r="R105" s="722" t="s">
        <v>1698</v>
      </c>
      <c r="S105" s="664"/>
      <c r="T105" s="664"/>
      <c r="U105" s="664"/>
      <c r="V105" s="664"/>
      <c r="W105" s="664"/>
      <c r="X105" s="664"/>
      <c r="Y105" s="664"/>
      <c r="Z105" s="664"/>
      <c r="AA105" s="638"/>
    </row>
    <row r="106" spans="1:27" ht="23.25" hidden="1" customHeight="1" x14ac:dyDescent="0.25">
      <c r="A106" s="1525"/>
      <c r="B106" s="1525"/>
      <c r="C106" s="669" t="e" cm="1">
        <f t="array" ref="C106">INDEX('Master sheet'!$A$1:$A$670,MATCH(1,("26-30" = 'Master sheet'!$AO$1:$AO$670)*(6 = 'Master sheet'!$AP$1:$AP$670)*('Master sheet'!$AT$1:$AT$670),0))</f>
        <v>#N/A</v>
      </c>
      <c r="D106" s="15">
        <f>'USER INPUT SHEET'!$D$30</f>
        <v>0</v>
      </c>
      <c r="E106" s="16" t="str">
        <f>'USER INPUT SHEET'!$F$30</f>
        <v>m2</v>
      </c>
      <c r="F106" s="3">
        <v>1</v>
      </c>
      <c r="G106" s="670"/>
      <c r="H106" s="8"/>
      <c r="I106" s="92" t="e">
        <f t="shared" si="40"/>
        <v>#N/A</v>
      </c>
      <c r="J106" s="93" t="str">
        <f t="shared" si="41"/>
        <v/>
      </c>
      <c r="K106" s="406" t="e">
        <f>$D106*$F106*VLOOKUP($C106,'Master sheet'!$A:$AL,13,FALSE)*0.15875</f>
        <v>#N/A</v>
      </c>
      <c r="L106" s="94">
        <v>0</v>
      </c>
      <c r="M106" s="1560"/>
      <c r="N106" s="1560"/>
      <c r="O106" s="25" t="str">
        <f>_xlfn.IFNA(VLOOKUP($C106,'Master sheet'!$A:$AR,44,FALSE),"")&amp;""</f>
        <v/>
      </c>
      <c r="P106" s="672"/>
      <c r="Q106" s="722" t="s">
        <v>32</v>
      </c>
      <c r="R106" s="722" t="s">
        <v>1698</v>
      </c>
      <c r="S106" s="664"/>
      <c r="T106" s="664"/>
      <c r="U106" s="664"/>
      <c r="V106" s="664"/>
      <c r="W106" s="664"/>
      <c r="X106" s="664"/>
      <c r="Y106" s="664"/>
      <c r="Z106" s="664"/>
      <c r="AA106" s="638"/>
    </row>
    <row r="107" spans="1:27" s="624" customFormat="1" ht="23.25" hidden="1" customHeight="1" x14ac:dyDescent="0.25">
      <c r="A107" s="1525"/>
      <c r="B107" s="1525"/>
      <c r="C107" s="673" t="e" cm="1">
        <f t="array" ref="C107">INDEX('Master sheet'!$A$1:$A$670,MATCH(1,("26-30" = 'Master sheet'!$AO$1:$AO$670)*(7 = 'Master sheet'!$AP$1:$AP$670)*('Master sheet'!$AT$1:$AT$670),0))</f>
        <v>#N/A</v>
      </c>
      <c r="D107" s="17">
        <f>'USER INPUT SHEET'!$D$30</f>
        <v>0</v>
      </c>
      <c r="E107" s="18" t="str">
        <f>'USER INPUT SHEET'!$F$30</f>
        <v>m2</v>
      </c>
      <c r="F107" s="4">
        <v>1</v>
      </c>
      <c r="G107" s="674"/>
      <c r="H107" s="9"/>
      <c r="I107" s="95" t="e">
        <f t="shared" si="40"/>
        <v>#N/A</v>
      </c>
      <c r="J107" s="96" t="str">
        <f t="shared" si="41"/>
        <v/>
      </c>
      <c r="K107" s="407" t="e">
        <f>$D107*$F107*VLOOKUP($C107,'Master sheet'!$A:$AL,13,FALSE)*0.15875</f>
        <v>#N/A</v>
      </c>
      <c r="L107" s="97">
        <v>0</v>
      </c>
      <c r="M107" s="1560"/>
      <c r="N107" s="1560"/>
      <c r="O107" s="25" t="str">
        <f>_xlfn.IFNA(VLOOKUP($C107,'Master sheet'!$A:$AR,44,FALSE),"")&amp;""</f>
        <v/>
      </c>
      <c r="P107" s="637"/>
      <c r="Q107" s="722" t="s">
        <v>32</v>
      </c>
      <c r="R107" s="722" t="s">
        <v>1698</v>
      </c>
      <c r="S107" s="638"/>
      <c r="T107" s="638"/>
      <c r="U107" s="638"/>
      <c r="V107" s="638"/>
      <c r="W107" s="638"/>
      <c r="X107" s="638"/>
      <c r="Y107" s="638"/>
      <c r="Z107" s="638"/>
      <c r="AA107" s="638"/>
    </row>
    <row r="108" spans="1:27" ht="23.85" customHeight="1" x14ac:dyDescent="0.25">
      <c r="A108" s="639"/>
      <c r="B108" s="1524" t="s">
        <v>1351</v>
      </c>
      <c r="C108" s="1524"/>
      <c r="D108" s="656"/>
      <c r="E108" s="641"/>
      <c r="F108" s="322"/>
      <c r="G108" s="657"/>
      <c r="H108" s="657"/>
      <c r="I108" s="658"/>
      <c r="J108" s="659"/>
      <c r="K108" s="660"/>
      <c r="L108" s="661"/>
      <c r="M108" s="677"/>
      <c r="N108" s="677"/>
      <c r="O108" s="25" t="str">
        <f>_xlfn.IFNA(VLOOKUP($C108,'Master sheet'!$A:$AR,44,FALSE),"")&amp;""</f>
        <v/>
      </c>
      <c r="P108" s="663"/>
      <c r="Q108" s="30"/>
      <c r="R108" s="21"/>
      <c r="S108" s="664"/>
      <c r="T108" s="664"/>
      <c r="U108" s="664"/>
      <c r="V108" s="664"/>
      <c r="W108" s="664"/>
      <c r="X108" s="664"/>
      <c r="Y108" s="664"/>
      <c r="Z108" s="664"/>
      <c r="AA108" s="638"/>
    </row>
    <row r="109" spans="1:27" ht="31.5" customHeight="1" x14ac:dyDescent="0.25">
      <c r="A109" s="1525" t="s">
        <v>786</v>
      </c>
      <c r="B109" s="1525"/>
      <c r="C109" s="667" t="str" cm="1">
        <f t="array" ref="C109">INDEX('Master sheet'!$A$1:$A$670,MATCH(1,("31-35" = 'Master sheet'!$AO$1:$AO$670)*(1 = 'Master sheet'!$AP$1:$AP$670)*('Master sheet'!$AT$1:$AT$670),0))</f>
        <v xml:space="preserve">Concrete - 35 MPa, GU / SRMCA / Can. Sask Avg. / </v>
      </c>
      <c r="D109" s="230">
        <f>'USER INPUT SHEET'!$D$30</f>
        <v>0</v>
      </c>
      <c r="E109" s="14" t="str">
        <f>'USER INPUT SHEET'!$F$30</f>
        <v>m2</v>
      </c>
      <c r="F109" s="5">
        <v>1</v>
      </c>
      <c r="G109" s="668"/>
      <c r="H109" s="10"/>
      <c r="I109" s="232">
        <f t="shared" ref="I109:I115" si="42">K109-L109</f>
        <v>0</v>
      </c>
      <c r="J109" s="233" t="str">
        <f t="shared" ref="J109:J115" si="43">IF(H109=1,I109,"")</f>
        <v/>
      </c>
      <c r="K109" s="416">
        <f>$D109*$F109*VLOOKUP($C109,'Master sheet'!$A:$AL,13,FALSE)*0.15875</f>
        <v>0</v>
      </c>
      <c r="L109" s="239">
        <v>0</v>
      </c>
      <c r="M109" s="1560"/>
      <c r="N109" s="1560"/>
      <c r="O109" s="25" t="str">
        <f ca="1">_xlfn.IFNA(VLOOKUP($C109,'Master sheet'!$A:$AR,44,FALSE),"")&amp;""</f>
        <v/>
      </c>
      <c r="P109" s="637"/>
      <c r="Q109" s="722" t="s">
        <v>32</v>
      </c>
      <c r="R109" s="722" t="s">
        <v>1698</v>
      </c>
      <c r="S109" s="664"/>
      <c r="T109" s="664"/>
      <c r="U109" s="664"/>
      <c r="V109" s="664"/>
      <c r="W109" s="664"/>
      <c r="X109" s="664"/>
      <c r="Y109" s="664"/>
      <c r="Z109" s="664"/>
      <c r="AA109" s="638"/>
    </row>
    <row r="110" spans="1:27" ht="23.25" customHeight="1" x14ac:dyDescent="0.25">
      <c r="A110" s="1525"/>
      <c r="B110" s="1525"/>
      <c r="C110" s="669" t="str" cm="1">
        <f t="array" ref="C110">INDEX('Master sheet'!$A$1:$A$670,MATCH(1,("31-35" = 'Master sheet'!$AO$1:$AO$670)*(2 = 'Master sheet'!$AP$1:$AP$670)*('Master sheet'!$AT$1:$AT$670),0))</f>
        <v xml:space="preserve">Concrete - 35 MPa, 10% FA, GU / SRMCA / Can. Sask Avg. / </v>
      </c>
      <c r="D110" s="15">
        <f>'USER INPUT SHEET'!$D$30</f>
        <v>0</v>
      </c>
      <c r="E110" s="16" t="str">
        <f>'USER INPUT SHEET'!$F$30</f>
        <v>m2</v>
      </c>
      <c r="F110" s="3">
        <v>1</v>
      </c>
      <c r="G110" s="670"/>
      <c r="H110" s="8"/>
      <c r="I110" s="92">
        <f t="shared" si="42"/>
        <v>0</v>
      </c>
      <c r="J110" s="93" t="str">
        <f t="shared" si="43"/>
        <v/>
      </c>
      <c r="K110" s="406">
        <f>$D110*$F110*VLOOKUP($C110,'Master sheet'!$A:$AL,13,FALSE)*0.15875</f>
        <v>0</v>
      </c>
      <c r="L110" s="94">
        <v>0</v>
      </c>
      <c r="M110" s="1560"/>
      <c r="N110" s="1560"/>
      <c r="O110" s="25" t="str">
        <f ca="1">_xlfn.IFNA(VLOOKUP($C110,'Master sheet'!$A:$AR,44,FALSE),"")&amp;""</f>
        <v/>
      </c>
      <c r="P110" s="671"/>
      <c r="Q110" s="722" t="s">
        <v>32</v>
      </c>
      <c r="R110" s="722" t="s">
        <v>1698</v>
      </c>
      <c r="S110" s="664"/>
      <c r="T110" s="664"/>
      <c r="U110" s="664"/>
      <c r="V110" s="664"/>
      <c r="W110" s="664"/>
      <c r="X110" s="664"/>
      <c r="Y110" s="664"/>
      <c r="Z110" s="664"/>
      <c r="AA110" s="664"/>
    </row>
    <row r="111" spans="1:27" ht="23.25" customHeight="1" x14ac:dyDescent="0.25">
      <c r="A111" s="1525"/>
      <c r="B111" s="1525"/>
      <c r="C111" s="669" t="str" cm="1">
        <f t="array" ref="C111">INDEX('Master sheet'!$A$1:$A$670,MATCH(1,("31-35" = 'Master sheet'!$AO$1:$AO$670)*(3 = 'Master sheet'!$AP$1:$AP$670)*('Master sheet'!$AT$1:$AT$670),0))</f>
        <v xml:space="preserve">Concrete - 35 MPa, 20% FA, GU / SRMCA / Can. Sask Avg. / </v>
      </c>
      <c r="D111" s="15">
        <f>'USER INPUT SHEET'!$D$30</f>
        <v>0</v>
      </c>
      <c r="E111" s="16" t="str">
        <f>'USER INPUT SHEET'!$F$30</f>
        <v>m2</v>
      </c>
      <c r="F111" s="3">
        <v>1</v>
      </c>
      <c r="G111" s="670"/>
      <c r="H111" s="8"/>
      <c r="I111" s="92">
        <f t="shared" si="42"/>
        <v>0</v>
      </c>
      <c r="J111" s="93" t="str">
        <f t="shared" si="43"/>
        <v/>
      </c>
      <c r="K111" s="406">
        <f>$D111*$F111*VLOOKUP($C111,'Master sheet'!$A:$AL,13,FALSE)*0.15875</f>
        <v>0</v>
      </c>
      <c r="L111" s="94">
        <v>0</v>
      </c>
      <c r="M111" s="1560"/>
      <c r="N111" s="1560"/>
      <c r="O111" s="25" t="str">
        <f ca="1">_xlfn.IFNA(VLOOKUP($C111,'Master sheet'!$A:$AR,44,FALSE),"")&amp;""</f>
        <v/>
      </c>
      <c r="P111" s="672"/>
      <c r="Q111" s="722" t="s">
        <v>32</v>
      </c>
      <c r="R111" s="722" t="s">
        <v>1698</v>
      </c>
      <c r="S111" s="664"/>
      <c r="T111" s="664"/>
      <c r="U111" s="664"/>
      <c r="V111" s="664"/>
      <c r="W111" s="664"/>
      <c r="X111" s="664"/>
      <c r="Y111" s="664"/>
      <c r="Z111" s="664"/>
      <c r="AA111" s="638"/>
    </row>
    <row r="112" spans="1:27" ht="23.25" customHeight="1" x14ac:dyDescent="0.25">
      <c r="A112" s="1525"/>
      <c r="B112" s="1525"/>
      <c r="C112" s="669" t="str" cm="1">
        <f t="array" ref="C112">INDEX('Master sheet'!$A$1:$A$670,MATCH(1,("31-35" = 'Master sheet'!$AO$1:$AO$670)*(4 = 'Master sheet'!$AP$1:$AP$670)*('Master sheet'!$AT$1:$AT$670),0))</f>
        <v xml:space="preserve">Concrete - 35 MPa, 30% FA, GU / SRMCA / Can. Sask Avg. / </v>
      </c>
      <c r="D112" s="15">
        <f>'USER INPUT SHEET'!$D$30</f>
        <v>0</v>
      </c>
      <c r="E112" s="16" t="str">
        <f>'USER INPUT SHEET'!$F$30</f>
        <v>m2</v>
      </c>
      <c r="F112" s="3">
        <v>1</v>
      </c>
      <c r="G112" s="670"/>
      <c r="H112" s="8"/>
      <c r="I112" s="92">
        <f t="shared" si="42"/>
        <v>0</v>
      </c>
      <c r="J112" s="93" t="str">
        <f t="shared" si="43"/>
        <v/>
      </c>
      <c r="K112" s="406">
        <f>$D112*$F112*VLOOKUP($C112,'Master sheet'!$A:$AL,13,FALSE)*0.15875</f>
        <v>0</v>
      </c>
      <c r="L112" s="94">
        <v>0</v>
      </c>
      <c r="M112" s="1560"/>
      <c r="N112" s="1560"/>
      <c r="O112" s="25" t="str">
        <f ca="1">_xlfn.IFNA(VLOOKUP($C112,'Master sheet'!$A:$AR,44,FALSE),"")&amp;""</f>
        <v/>
      </c>
      <c r="P112" s="672"/>
      <c r="Q112" s="722" t="s">
        <v>32</v>
      </c>
      <c r="R112" s="722" t="s">
        <v>1698</v>
      </c>
      <c r="S112" s="664"/>
      <c r="T112" s="664"/>
      <c r="U112" s="664"/>
      <c r="V112" s="664"/>
      <c r="W112" s="664"/>
      <c r="X112" s="664"/>
      <c r="Y112" s="664"/>
      <c r="Z112" s="664"/>
      <c r="AA112" s="638"/>
    </row>
    <row r="113" spans="1:27" ht="23.25" customHeight="1" x14ac:dyDescent="0.25">
      <c r="A113" s="1525"/>
      <c r="B113" s="1525"/>
      <c r="C113" s="669" t="str" cm="1">
        <f t="array" ref="C113">INDEX('Master sheet'!$A$1:$A$670,MATCH(1,("31-35" = 'Master sheet'!$AO$1:$AO$670)*(5 = 'Master sheet'!$AP$1:$AP$670)*('Master sheet'!$AT$1:$AT$670),0))</f>
        <v xml:space="preserve">Concrete - 35 MPa, 40% FA, GU / SRMCA / Can. Sask Avg. / </v>
      </c>
      <c r="D113" s="15">
        <f>'USER INPUT SHEET'!$D$30</f>
        <v>0</v>
      </c>
      <c r="E113" s="16" t="str">
        <f>'USER INPUT SHEET'!$F$30</f>
        <v>m2</v>
      </c>
      <c r="F113" s="3">
        <v>1</v>
      </c>
      <c r="G113" s="670"/>
      <c r="H113" s="8"/>
      <c r="I113" s="92">
        <f t="shared" si="42"/>
        <v>0</v>
      </c>
      <c r="J113" s="93" t="str">
        <f t="shared" si="43"/>
        <v/>
      </c>
      <c r="K113" s="406">
        <f>$D113*$F113*VLOOKUP($C113,'Master sheet'!$A:$AL,13,FALSE)*0.15875</f>
        <v>0</v>
      </c>
      <c r="L113" s="94">
        <v>0</v>
      </c>
      <c r="M113" s="1560"/>
      <c r="N113" s="1560"/>
      <c r="O113" s="25" t="str">
        <f ca="1">_xlfn.IFNA(VLOOKUP($C113,'Master sheet'!$A:$AR,44,FALSE),"")&amp;""</f>
        <v/>
      </c>
      <c r="P113" s="672"/>
      <c r="Q113" s="722" t="s">
        <v>32</v>
      </c>
      <c r="R113" s="722" t="s">
        <v>1698</v>
      </c>
      <c r="S113" s="664"/>
      <c r="T113" s="664"/>
      <c r="U113" s="664"/>
      <c r="V113" s="664"/>
      <c r="W113" s="664"/>
      <c r="X113" s="664"/>
      <c r="Y113" s="664"/>
      <c r="Z113" s="664"/>
      <c r="AA113" s="664"/>
    </row>
    <row r="114" spans="1:27" ht="23.25" hidden="1" customHeight="1" x14ac:dyDescent="0.25">
      <c r="A114" s="1525"/>
      <c r="B114" s="1525"/>
      <c r="C114" s="669" t="e" cm="1">
        <f t="array" ref="C114">INDEX('Master sheet'!$A$1:$A$670,MATCH(1,("31-35" = 'Master sheet'!$AO$1:$AO$670)*(6 = 'Master sheet'!$AP$1:$AP$670)*('Master sheet'!$AT$1:$AT$670),0))</f>
        <v>#N/A</v>
      </c>
      <c r="D114" s="15">
        <f>'USER INPUT SHEET'!$D$30</f>
        <v>0</v>
      </c>
      <c r="E114" s="16" t="str">
        <f>'USER INPUT SHEET'!$F$30</f>
        <v>m2</v>
      </c>
      <c r="F114" s="3">
        <v>1</v>
      </c>
      <c r="G114" s="670"/>
      <c r="H114" s="8"/>
      <c r="I114" s="92" t="e">
        <f t="shared" si="42"/>
        <v>#N/A</v>
      </c>
      <c r="J114" s="93" t="str">
        <f t="shared" si="43"/>
        <v/>
      </c>
      <c r="K114" s="406" t="e">
        <f>$D114*$F114*VLOOKUP($C114,'Master sheet'!$A:$AL,13,FALSE)*0.15875</f>
        <v>#N/A</v>
      </c>
      <c r="L114" s="94">
        <v>0</v>
      </c>
      <c r="M114" s="1560"/>
      <c r="N114" s="1560"/>
      <c r="O114" s="25" t="str">
        <f>_xlfn.IFNA(VLOOKUP($C114,'Master sheet'!$A:$AR,44,FALSE),"")&amp;""</f>
        <v/>
      </c>
      <c r="P114" s="672"/>
      <c r="Q114" s="722" t="s">
        <v>32</v>
      </c>
      <c r="R114" s="722" t="s">
        <v>1698</v>
      </c>
      <c r="S114" s="664"/>
      <c r="T114" s="664"/>
      <c r="U114" s="664"/>
      <c r="V114" s="664"/>
      <c r="W114" s="664"/>
      <c r="X114" s="664"/>
      <c r="Y114" s="664"/>
      <c r="Z114" s="664"/>
      <c r="AA114" s="638"/>
    </row>
    <row r="115" spans="1:27" s="624" customFormat="1" ht="23.25" hidden="1" customHeight="1" x14ac:dyDescent="0.25">
      <c r="A115" s="1544"/>
      <c r="B115" s="1544"/>
      <c r="C115" s="673" t="e" cm="1">
        <f t="array" ref="C115">INDEX('Master sheet'!$A$1:$A$670,MATCH(1,("31-35" = 'Master sheet'!$AO$1:$AO$670)*(7 = 'Master sheet'!$AP$1:$AP$670)*('Master sheet'!$AT$1:$AT$670),0))</f>
        <v>#N/A</v>
      </c>
      <c r="D115" s="17">
        <f>'USER INPUT SHEET'!$D$30</f>
        <v>0</v>
      </c>
      <c r="E115" s="16" t="str">
        <f>'USER INPUT SHEET'!$F$30</f>
        <v>m2</v>
      </c>
      <c r="F115" s="4">
        <v>1</v>
      </c>
      <c r="G115" s="674"/>
      <c r="H115" s="9"/>
      <c r="I115" s="95" t="e">
        <f t="shared" si="42"/>
        <v>#N/A</v>
      </c>
      <c r="J115" s="96" t="str">
        <f t="shared" si="43"/>
        <v/>
      </c>
      <c r="K115" s="407" t="e">
        <f>$D115*$F115*VLOOKUP($C115,'Master sheet'!$A:$AL,13,FALSE)*0.15875</f>
        <v>#N/A</v>
      </c>
      <c r="L115" s="97">
        <v>0</v>
      </c>
      <c r="M115" s="1560"/>
      <c r="N115" s="1560"/>
      <c r="O115" s="25" t="str">
        <f>_xlfn.IFNA(VLOOKUP($C115,'Master sheet'!$A:$AR,44,FALSE),"")&amp;""</f>
        <v/>
      </c>
      <c r="P115" s="637"/>
      <c r="Q115" s="722" t="s">
        <v>32</v>
      </c>
      <c r="R115" s="722" t="s">
        <v>1698</v>
      </c>
      <c r="S115" s="638"/>
      <c r="T115" s="638"/>
      <c r="U115" s="638"/>
      <c r="V115" s="638"/>
      <c r="W115" s="638"/>
      <c r="X115" s="638"/>
      <c r="Y115" s="638"/>
      <c r="Z115" s="638"/>
      <c r="AA115" s="638"/>
    </row>
    <row r="116" spans="1:27" s="624" customFormat="1" ht="54.75" customHeight="1" x14ac:dyDescent="0.25">
      <c r="A116" s="1522" t="s">
        <v>37</v>
      </c>
      <c r="B116" s="1523"/>
      <c r="C116" s="1523"/>
      <c r="D116" s="649"/>
      <c r="E116" s="650"/>
      <c r="F116" s="321"/>
      <c r="G116" s="650"/>
      <c r="H116" s="650"/>
      <c r="I116" s="651"/>
      <c r="J116" s="651"/>
      <c r="K116" s="652"/>
      <c r="L116" s="653"/>
      <c r="M116" s="653"/>
      <c r="N116" s="653"/>
      <c r="O116" s="25" t="str">
        <f>_xlfn.IFNA(VLOOKUP($C116,'Master sheet'!$A:$AR,44,FALSE),"")&amp;""</f>
        <v/>
      </c>
      <c r="P116" s="685"/>
      <c r="Q116" s="722"/>
      <c r="R116" s="722"/>
      <c r="S116" s="638"/>
      <c r="T116" s="638"/>
      <c r="U116" s="638"/>
      <c r="V116" s="638"/>
      <c r="W116" s="638"/>
      <c r="X116" s="638"/>
      <c r="Y116" s="638"/>
      <c r="Z116" s="638"/>
      <c r="AA116" s="664"/>
    </row>
    <row r="117" spans="1:27" s="624" customFormat="1" ht="31.5" customHeight="1" x14ac:dyDescent="0.25">
      <c r="A117" s="1572" t="s">
        <v>917</v>
      </c>
      <c r="B117" s="1573"/>
      <c r="C117" s="647" t="str">
        <f>INDEX('Master sheet'!$A$1:$A$670,MATCH(264,'Master sheet'!$AN$1:$AN$670,0))</f>
        <v>WOOD CHIP CEMENT ICF 12" R-22 with MINERAL WOOL INSERTS, (3 in. @ R4.2/in.), 15M REBAR</v>
      </c>
      <c r="D117" s="13">
        <f>'USER INPUT SHEET'!$D$30</f>
        <v>0</v>
      </c>
      <c r="E117" s="14" t="str">
        <f>'USER INPUT SHEET'!$F$30</f>
        <v>m2</v>
      </c>
      <c r="F117" s="2">
        <v>1</v>
      </c>
      <c r="G117" s="648"/>
      <c r="H117" s="7"/>
      <c r="I117" s="88">
        <f t="shared" ref="I117:I128" si="44">K117-L117</f>
        <v>0</v>
      </c>
      <c r="J117" s="89" t="str">
        <f t="shared" ref="J117:J128" si="45">IF(H117=1,I117,"")</f>
        <v/>
      </c>
      <c r="K117" s="404">
        <f>$D117*$F117*VLOOKUP($C117,'Master sheet'!$A:$AL,13,FALSE)</f>
        <v>0</v>
      </c>
      <c r="L117" s="90">
        <f>$D117*$F117*VLOOKUP($C117,'Master sheet'!$A:$AL,27,FALSE)</f>
        <v>0</v>
      </c>
      <c r="M117" s="1560"/>
      <c r="N117" s="1560"/>
      <c r="O117" s="25" t="str">
        <f>_xlfn.IFNA(VLOOKUP($C117,'Master sheet'!$A:$AR,44,FALSE),"")&amp;""</f>
        <v>LCA in Composite</v>
      </c>
      <c r="P117" s="685"/>
      <c r="Q117" s="722" t="s">
        <v>32</v>
      </c>
      <c r="R117" s="722" t="s">
        <v>1699</v>
      </c>
      <c r="S117" s="638"/>
      <c r="T117" s="638"/>
      <c r="U117" s="638"/>
      <c r="V117" s="638"/>
      <c r="W117" s="638"/>
      <c r="X117" s="638"/>
      <c r="Y117" s="638"/>
      <c r="Z117" s="638"/>
      <c r="AA117" s="664"/>
    </row>
    <row r="118" spans="1:27" ht="31.5" customHeight="1" x14ac:dyDescent="0.25">
      <c r="A118" s="1574"/>
      <c r="B118" s="1575"/>
      <c r="C118" s="669" t="str">
        <f>INDEX('Master sheet'!$A$1:$A$670,MATCH(265,'Master sheet'!$AN$1:$AN$670,0))</f>
        <v>WOOD CHIP CEMENT ICF 14" R-28 with MINERAL WOOL INSERTS (5 in. @ R4.2/in.), 15M REBAR</v>
      </c>
      <c r="D118" s="15">
        <f>'USER INPUT SHEET'!$D$30</f>
        <v>0</v>
      </c>
      <c r="E118" s="16" t="str">
        <f>'USER INPUT SHEET'!$F$30</f>
        <v>m2</v>
      </c>
      <c r="F118" s="3">
        <v>1</v>
      </c>
      <c r="G118" s="670"/>
      <c r="H118" s="8"/>
      <c r="I118" s="92">
        <f t="shared" si="44"/>
        <v>0</v>
      </c>
      <c r="J118" s="93" t="str">
        <f>IF(H118=1,I118,"")</f>
        <v/>
      </c>
      <c r="K118" s="406">
        <f>$D118*$F118*VLOOKUP($C118,'Master sheet'!$A:$AL,13,FALSE)</f>
        <v>0</v>
      </c>
      <c r="L118" s="94">
        <f>$D118*$F118*VLOOKUP($C118,'Master sheet'!$A:$AL,27,FALSE)</f>
        <v>0</v>
      </c>
      <c r="M118" s="1560"/>
      <c r="N118" s="1560"/>
      <c r="O118" s="25" t="str">
        <f>_xlfn.IFNA(VLOOKUP($C118,'Master sheet'!$A:$AR,44,FALSE),"")&amp;""</f>
        <v>LCA in Composite</v>
      </c>
      <c r="P118" s="637"/>
      <c r="Q118" s="725" t="s">
        <v>32</v>
      </c>
      <c r="R118" s="722" t="s">
        <v>1699</v>
      </c>
      <c r="S118" s="664"/>
      <c r="T118" s="664"/>
      <c r="U118" s="664"/>
      <c r="V118" s="664"/>
      <c r="W118" s="664"/>
      <c r="X118" s="664"/>
      <c r="Y118" s="664"/>
      <c r="Z118" s="664"/>
      <c r="AA118" s="664"/>
    </row>
    <row r="119" spans="1:27" s="624" customFormat="1" ht="31.5" customHeight="1" x14ac:dyDescent="0.25">
      <c r="A119" s="1574"/>
      <c r="B119" s="1575"/>
      <c r="C119" s="647" t="str">
        <f>INDEX('Master sheet'!$A$1:$A$670,MATCH(266,'Master sheet'!$AN$1:$AN$670,0))</f>
        <v>WOOD CHIP CEMENT ICF 12" R-21 with CORK BOARD INSERTS (3 in. @ R4/in.), 15M REBAR</v>
      </c>
      <c r="D119" s="13">
        <f>'USER INPUT SHEET'!$D$30</f>
        <v>0</v>
      </c>
      <c r="E119" s="14" t="str">
        <f>'USER INPUT SHEET'!$F$30</f>
        <v>m2</v>
      </c>
      <c r="F119" s="2">
        <v>1</v>
      </c>
      <c r="G119" s="648"/>
      <c r="H119" s="7"/>
      <c r="I119" s="88">
        <f t="shared" si="44"/>
        <v>0</v>
      </c>
      <c r="J119" s="89" t="str">
        <f>IF(H119=1,I119,"")</f>
        <v/>
      </c>
      <c r="K119" s="404">
        <f>$D119*$F119*VLOOKUP($C119,'Master sheet'!$A:$AL,13,FALSE)</f>
        <v>0</v>
      </c>
      <c r="L119" s="90">
        <f>$D119*$F119*VLOOKUP($C119,'Master sheet'!$A:$AL,27,FALSE)</f>
        <v>0</v>
      </c>
      <c r="M119" s="1560"/>
      <c r="N119" s="1560"/>
      <c r="O119" s="25" t="str">
        <f>_xlfn.IFNA(VLOOKUP($C119,'Master sheet'!$A:$AR,44,FALSE),"")&amp;""</f>
        <v>LCA in Composite</v>
      </c>
      <c r="P119" s="685"/>
      <c r="Q119" s="722" t="s">
        <v>32</v>
      </c>
      <c r="R119" s="722" t="s">
        <v>1699</v>
      </c>
      <c r="S119" s="638"/>
      <c r="T119" s="638"/>
      <c r="U119" s="638"/>
      <c r="V119" s="638"/>
      <c r="W119" s="638"/>
      <c r="X119" s="638"/>
      <c r="Y119" s="638"/>
      <c r="Z119" s="638"/>
      <c r="AA119" s="638"/>
    </row>
    <row r="120" spans="1:27" ht="32.25" customHeight="1" x14ac:dyDescent="0.25">
      <c r="A120" s="1574"/>
      <c r="B120" s="1575"/>
      <c r="C120" s="673" t="str">
        <f>INDEX('Master sheet'!$A$1:$A$670,MATCH(267,'Master sheet'!$AN$1:$AN$670,0))</f>
        <v>WOOD CHIP CEMENT ICF 14" R-27 with CORK BOARD INSERTS (5 in. @ R4/in.), 15M REBAR</v>
      </c>
      <c r="D120" s="17">
        <f>'USER INPUT SHEET'!$D$30</f>
        <v>0</v>
      </c>
      <c r="E120" s="18" t="str">
        <f>'USER INPUT SHEET'!$F$30</f>
        <v>m2</v>
      </c>
      <c r="F120" s="4">
        <v>1</v>
      </c>
      <c r="G120" s="674"/>
      <c r="H120" s="9"/>
      <c r="I120" s="95">
        <f t="shared" si="44"/>
        <v>0</v>
      </c>
      <c r="J120" s="96" t="str">
        <f>IF(H120=1,I120,"")</f>
        <v/>
      </c>
      <c r="K120" s="407">
        <f>$D120*$F120*VLOOKUP($C120,'Master sheet'!$A:$AL,13,FALSE)</f>
        <v>0</v>
      </c>
      <c r="L120" s="97">
        <f>$D120*$F120*VLOOKUP($C120,'Master sheet'!$A:$AL,27,FALSE)</f>
        <v>0</v>
      </c>
      <c r="M120" s="1561"/>
      <c r="N120" s="1561"/>
      <c r="O120" s="25" t="str">
        <f>_xlfn.IFNA(VLOOKUP($C120,'Master sheet'!$A:$AR,44,FALSE),"")&amp;""</f>
        <v>LCA in Composite</v>
      </c>
      <c r="P120" s="637"/>
      <c r="Q120" s="725" t="s">
        <v>32</v>
      </c>
      <c r="R120" s="722" t="s">
        <v>1699</v>
      </c>
      <c r="S120" s="664"/>
      <c r="T120" s="664"/>
      <c r="U120" s="664"/>
      <c r="V120" s="664"/>
      <c r="W120" s="664"/>
      <c r="X120" s="664"/>
      <c r="Y120" s="664"/>
      <c r="Z120" s="664"/>
      <c r="AA120" s="638"/>
    </row>
    <row r="121" spans="1:27" ht="32.25" customHeight="1" x14ac:dyDescent="0.25">
      <c r="A121" s="639"/>
      <c r="B121" s="1524" t="s">
        <v>1349</v>
      </c>
      <c r="C121" s="1524"/>
      <c r="D121" s="640"/>
      <c r="E121" s="641"/>
      <c r="F121" s="320"/>
      <c r="G121" s="641"/>
      <c r="H121" s="641"/>
      <c r="I121" s="642"/>
      <c r="J121" s="643"/>
      <c r="K121" s="676"/>
      <c r="L121" s="677"/>
      <c r="M121" s="677"/>
      <c r="N121" s="677"/>
      <c r="O121" s="25" t="str">
        <f>_xlfn.IFNA(VLOOKUP($C121,'Master sheet'!$A:$AR,44,FALSE),"")&amp;""</f>
        <v/>
      </c>
      <c r="P121" s="637"/>
      <c r="Q121" s="725"/>
      <c r="R121" s="722"/>
      <c r="S121" s="664"/>
      <c r="T121" s="664"/>
      <c r="U121" s="664"/>
      <c r="V121" s="664"/>
      <c r="W121" s="664"/>
      <c r="X121" s="664"/>
      <c r="Y121" s="664"/>
      <c r="Z121" s="664"/>
      <c r="AA121" s="638"/>
    </row>
    <row r="122" spans="1:27" ht="31.5" customHeight="1" x14ac:dyDescent="0.25">
      <c r="A122" s="1565" t="s">
        <v>1715</v>
      </c>
      <c r="B122" s="1566"/>
      <c r="C122" s="734" t="str" cm="1">
        <f t="array" ref="C122">INDEX('Master sheet'!$A$1:$A$670,MATCH(1,("0-25" = 'Master sheet'!$AO$1:$AO$670)*(1 = 'Master sheet'!$AP$1:$AP$670)*('Master sheet'!$AT$1:$AT$670),0))</f>
        <v xml:space="preserve">Concrete - 25 MPa, GU / SRMCA / Can. Sask Avg. / </v>
      </c>
      <c r="D122" s="235">
        <f>'USER INPUT SHEET'!$D$30</f>
        <v>0</v>
      </c>
      <c r="E122" s="236" t="str">
        <f>'USER INPUT SHEET'!$F$30</f>
        <v>m2</v>
      </c>
      <c r="F122" s="6">
        <v>1</v>
      </c>
      <c r="G122" s="735"/>
      <c r="H122" s="10"/>
      <c r="I122" s="237">
        <f t="shared" si="44"/>
        <v>0</v>
      </c>
      <c r="J122" s="238" t="str">
        <f>IF(H122=1,I122,"")</f>
        <v/>
      </c>
      <c r="K122" s="416">
        <f>$D122*$F122*IF($H$117=1,0.105,IF($H$118=1,0.098,IF($H$119=1,0.105,IF($H$120=1,0.098,0))))*VLOOKUP($C122,'Master sheet'!$A:$AL,13,FALSE)</f>
        <v>0</v>
      </c>
      <c r="L122" s="239">
        <v>0</v>
      </c>
      <c r="M122" s="1560"/>
      <c r="N122" s="1560"/>
      <c r="O122" s="25" t="str">
        <f ca="1">_xlfn.IFNA(VLOOKUP($C122,'Master sheet'!$A:$AR,44,FALSE),"")&amp;""</f>
        <v/>
      </c>
      <c r="P122" s="637"/>
      <c r="Q122" s="725" t="s">
        <v>32</v>
      </c>
      <c r="R122" s="722" t="s">
        <v>1699</v>
      </c>
      <c r="S122" s="664"/>
      <c r="T122" s="664"/>
      <c r="U122" s="664"/>
      <c r="V122" s="664"/>
      <c r="W122" s="664"/>
      <c r="X122" s="664"/>
      <c r="Y122" s="664"/>
      <c r="Z122" s="664"/>
      <c r="AA122" s="664"/>
    </row>
    <row r="123" spans="1:27" ht="23.25" customHeight="1" x14ac:dyDescent="0.25">
      <c r="A123" s="1565"/>
      <c r="B123" s="1566"/>
      <c r="C123" s="669" t="str" cm="1">
        <f t="array" ref="C123">INDEX('Master sheet'!$A$1:$A$670,MATCH(1,("0-25" = 'Master sheet'!$AO$1:$AO$670)*(2 = 'Master sheet'!$AP$1:$AP$670)*('Master sheet'!$AT$1:$AT$670),0))</f>
        <v xml:space="preserve">Concrete - 25 MPa, 10% FA, GU / SRMCA / Can. Sask Avg. / </v>
      </c>
      <c r="D123" s="15">
        <f>'USER INPUT SHEET'!$D$30</f>
        <v>0</v>
      </c>
      <c r="E123" s="16" t="str">
        <f>'USER INPUT SHEET'!$F$30</f>
        <v>m2</v>
      </c>
      <c r="F123" s="3">
        <v>1</v>
      </c>
      <c r="G123" s="670"/>
      <c r="H123" s="8"/>
      <c r="I123" s="92">
        <f t="shared" si="44"/>
        <v>0</v>
      </c>
      <c r="J123" s="93" t="str">
        <f t="shared" si="45"/>
        <v/>
      </c>
      <c r="K123" s="406">
        <f>$D123*$F123*IF($H$117=1,0.105,IF($H$118=1,0.098,IF($H$119=1,0.105,IF($H$120=1,0.098,0))))*VLOOKUP($C123,'Master sheet'!$A:$AL,13,FALSE)</f>
        <v>0</v>
      </c>
      <c r="L123" s="94">
        <v>0</v>
      </c>
      <c r="M123" s="1560"/>
      <c r="N123" s="1560"/>
      <c r="O123" s="25" t="str">
        <f ca="1">_xlfn.IFNA(VLOOKUP($C123,'Master sheet'!$A:$AR,44,FALSE),"")&amp;""</f>
        <v/>
      </c>
      <c r="P123" s="637"/>
      <c r="Q123" s="717" t="s">
        <v>32</v>
      </c>
      <c r="R123" s="722" t="s">
        <v>1699</v>
      </c>
      <c r="S123" s="664"/>
      <c r="T123" s="664"/>
      <c r="U123" s="664"/>
      <c r="V123" s="664"/>
      <c r="W123" s="664"/>
      <c r="X123" s="664"/>
      <c r="Y123" s="664"/>
      <c r="Z123" s="664"/>
      <c r="AA123" s="664"/>
    </row>
    <row r="124" spans="1:27" ht="23.25" customHeight="1" x14ac:dyDescent="0.25">
      <c r="A124" s="1565"/>
      <c r="B124" s="1566"/>
      <c r="C124" s="669" t="str" cm="1">
        <f t="array" ref="C124">INDEX('Master sheet'!$A$1:$A$670,MATCH(1,("0-25" = 'Master sheet'!$AO$1:$AO$670)*(3 = 'Master sheet'!$AP$1:$AP$670)*('Master sheet'!$AT$1:$AT$670),0))</f>
        <v xml:space="preserve">Concrete - 25 MPa, 20% FA, GU / SRMCA / Can. Sask Avg. / </v>
      </c>
      <c r="D124" s="15">
        <f>'USER INPUT SHEET'!$D$30</f>
        <v>0</v>
      </c>
      <c r="E124" s="16" t="str">
        <f>'USER INPUT SHEET'!$F$30</f>
        <v>m2</v>
      </c>
      <c r="F124" s="3">
        <v>1</v>
      </c>
      <c r="G124" s="670"/>
      <c r="H124" s="8"/>
      <c r="I124" s="92">
        <f t="shared" si="44"/>
        <v>0</v>
      </c>
      <c r="J124" s="93" t="str">
        <f t="shared" si="45"/>
        <v/>
      </c>
      <c r="K124" s="406">
        <f>$D124*$F124*IF($H$117=1,0.105,IF($H$118=1,0.098,IF($H$119=1,0.105,IF($H$120=1,0.098,0))))*VLOOKUP($C124,'Master sheet'!$A:$AL,13,FALSE)</f>
        <v>0</v>
      </c>
      <c r="L124" s="94">
        <v>0</v>
      </c>
      <c r="M124" s="1560"/>
      <c r="N124" s="1560"/>
      <c r="O124" s="25" t="str">
        <f ca="1">_xlfn.IFNA(VLOOKUP($C124,'Master sheet'!$A:$AR,44,FALSE),"")&amp;""</f>
        <v/>
      </c>
      <c r="P124" s="637"/>
      <c r="Q124" s="717" t="s">
        <v>32</v>
      </c>
      <c r="R124" s="722" t="s">
        <v>1699</v>
      </c>
      <c r="S124" s="664"/>
      <c r="T124" s="664"/>
      <c r="U124" s="664"/>
      <c r="V124" s="664"/>
      <c r="W124" s="664"/>
      <c r="X124" s="664"/>
      <c r="Y124" s="664"/>
      <c r="Z124" s="664"/>
      <c r="AA124" s="664"/>
    </row>
    <row r="125" spans="1:27" ht="23.25" customHeight="1" x14ac:dyDescent="0.25">
      <c r="A125" s="1565"/>
      <c r="B125" s="1566"/>
      <c r="C125" s="669" t="str" cm="1">
        <f t="array" ref="C125">INDEX('Master sheet'!$A$1:$A$670,MATCH(1,("0-25" = 'Master sheet'!$AO$1:$AO$670)*(4 = 'Master sheet'!$AP$1:$AP$670)*('Master sheet'!$AT$1:$AT$670),0))</f>
        <v xml:space="preserve">Concrete - 25 MPa, 30% FA, GU / SRMCA / Can. Sask Avg. / </v>
      </c>
      <c r="D125" s="15">
        <f>'USER INPUT SHEET'!$D$30</f>
        <v>0</v>
      </c>
      <c r="E125" s="16" t="str">
        <f>'USER INPUT SHEET'!$F$30</f>
        <v>m2</v>
      </c>
      <c r="F125" s="3">
        <v>1</v>
      </c>
      <c r="G125" s="670"/>
      <c r="H125" s="8"/>
      <c r="I125" s="92">
        <f t="shared" si="44"/>
        <v>0</v>
      </c>
      <c r="J125" s="93" t="str">
        <f t="shared" si="45"/>
        <v/>
      </c>
      <c r="K125" s="406">
        <f>$D125*$F125*IF($H$117=1,0.105,IF($H$118=1,0.098,IF($H$119=1,0.105,IF($H$120=1,0.098,0))))*VLOOKUP($C125,'Master sheet'!$A:$AL,13,FALSE)</f>
        <v>0</v>
      </c>
      <c r="L125" s="94">
        <v>0</v>
      </c>
      <c r="M125" s="1560"/>
      <c r="N125" s="1560"/>
      <c r="O125" s="25" t="str">
        <f ca="1">_xlfn.IFNA(VLOOKUP($C125,'Master sheet'!$A:$AR,44,FALSE),"")&amp;""</f>
        <v/>
      </c>
      <c r="P125" s="685"/>
      <c r="Q125" s="717" t="s">
        <v>32</v>
      </c>
      <c r="R125" s="722" t="s">
        <v>1699</v>
      </c>
      <c r="S125" s="664"/>
      <c r="T125" s="664"/>
      <c r="U125" s="664"/>
      <c r="V125" s="664"/>
      <c r="W125" s="664"/>
      <c r="X125" s="664"/>
      <c r="Y125" s="664"/>
      <c r="Z125" s="664"/>
      <c r="AA125" s="664"/>
    </row>
    <row r="126" spans="1:27" ht="23.25" customHeight="1" x14ac:dyDescent="0.25">
      <c r="A126" s="1565"/>
      <c r="B126" s="1566"/>
      <c r="C126" s="669" t="str" cm="1">
        <f t="array" ref="C126">INDEX('Master sheet'!$A$1:$A$670,MATCH(1,("0-25" = 'Master sheet'!$AO$1:$AO$670)*(5 = 'Master sheet'!$AP$1:$AP$670)*('Master sheet'!$AT$1:$AT$670),0))</f>
        <v xml:space="preserve">Concrete - 25 MPa, 40% FA, GU / SRMCA / Can. Sask Avg. / </v>
      </c>
      <c r="D126" s="15">
        <f>'USER INPUT SHEET'!$D$30</f>
        <v>0</v>
      </c>
      <c r="E126" s="16" t="str">
        <f>'USER INPUT SHEET'!$F$30</f>
        <v>m2</v>
      </c>
      <c r="F126" s="3">
        <v>1</v>
      </c>
      <c r="G126" s="670"/>
      <c r="H126" s="8"/>
      <c r="I126" s="92">
        <f t="shared" si="44"/>
        <v>0</v>
      </c>
      <c r="J126" s="93" t="str">
        <f t="shared" si="45"/>
        <v/>
      </c>
      <c r="K126" s="406">
        <f>$D126*$F126*IF($H$117=1,0.105,IF($H$118=1,0.098,IF($H$119=1,0.105,IF($H$120=1,0.098,0))))*VLOOKUP($C126,'Master sheet'!$A:$AL,13,FALSE)</f>
        <v>0</v>
      </c>
      <c r="L126" s="94">
        <v>0</v>
      </c>
      <c r="M126" s="1560"/>
      <c r="N126" s="1560"/>
      <c r="O126" s="25" t="str">
        <f ca="1">_xlfn.IFNA(VLOOKUP($C126,'Master sheet'!$A:$AR,44,FALSE),"")&amp;""</f>
        <v/>
      </c>
      <c r="P126" s="685"/>
      <c r="Q126" s="717" t="s">
        <v>32</v>
      </c>
      <c r="R126" s="722" t="s">
        <v>1699</v>
      </c>
      <c r="S126" s="664"/>
      <c r="T126" s="664"/>
      <c r="U126" s="664"/>
      <c r="V126" s="664"/>
      <c r="W126" s="664"/>
      <c r="X126" s="664"/>
      <c r="Y126" s="664"/>
      <c r="Z126" s="664"/>
      <c r="AA126" s="664"/>
    </row>
    <row r="127" spans="1:27" ht="22.8" hidden="1" x14ac:dyDescent="0.25">
      <c r="A127" s="1565"/>
      <c r="B127" s="1566"/>
      <c r="C127" s="669" t="e" cm="1">
        <f t="array" ref="C127">INDEX('Master sheet'!$A$1:$A$670,MATCH(1,("0-25" = 'Master sheet'!$AO$1:$AO$670)*(6 = 'Master sheet'!$AP$1:$AP$670)*('Master sheet'!$AT$1:$AT$670),0))</f>
        <v>#N/A</v>
      </c>
      <c r="D127" s="15">
        <f>'USER INPUT SHEET'!$D$30</f>
        <v>0</v>
      </c>
      <c r="E127" s="16" t="str">
        <f>'USER INPUT SHEET'!$F$30</f>
        <v>m2</v>
      </c>
      <c r="F127" s="3">
        <v>1</v>
      </c>
      <c r="G127" s="670"/>
      <c r="H127" s="8"/>
      <c r="I127" s="92" t="e">
        <f t="shared" ref="I127" si="46">K127-L127</f>
        <v>#N/A</v>
      </c>
      <c r="J127" s="93" t="str">
        <f t="shared" ref="J127" si="47">IF(H127=1,I127,"")</f>
        <v/>
      </c>
      <c r="K127" s="406" t="e">
        <f>$D127*$F127*IF($H$117=1,0.105,IF($H$118=1,0.098,IF($H$119=1,0.105,IF($H$120=1,0.098,0))))*VLOOKUP($C127,'Master sheet'!$A:$AL,13,FALSE)</f>
        <v>#N/A</v>
      </c>
      <c r="L127" s="94">
        <v>0</v>
      </c>
      <c r="M127" s="1560"/>
      <c r="N127" s="1560"/>
      <c r="O127" s="25" t="str">
        <f>_xlfn.IFNA(VLOOKUP($C127,'Master sheet'!$A:$AR,44,FALSE),"")&amp;""</f>
        <v/>
      </c>
      <c r="P127" s="685"/>
      <c r="Q127" s="717" t="s">
        <v>32</v>
      </c>
      <c r="R127" s="722" t="s">
        <v>1699</v>
      </c>
      <c r="S127" s="664"/>
      <c r="T127" s="664"/>
      <c r="U127" s="664"/>
      <c r="V127" s="664"/>
      <c r="W127" s="664"/>
      <c r="X127" s="664"/>
      <c r="Y127" s="664"/>
      <c r="Z127" s="664"/>
      <c r="AA127" s="664"/>
    </row>
    <row r="128" spans="1:27" s="624" customFormat="1" ht="23.25" hidden="1" customHeight="1" x14ac:dyDescent="0.25">
      <c r="A128" s="1567"/>
      <c r="B128" s="1568"/>
      <c r="C128" s="673" t="e" cm="1">
        <f t="array" ref="C128">INDEX('Master sheet'!$A$1:$A$670,MATCH(1,("0-25" = 'Master sheet'!$AO$1:$AO$670)*(7 = 'Master sheet'!$AP$1:$AP$670)*('Master sheet'!$AT$1:$AT$670),0))</f>
        <v>#N/A</v>
      </c>
      <c r="D128" s="17">
        <f>'USER INPUT SHEET'!$D$30</f>
        <v>0</v>
      </c>
      <c r="E128" s="18" t="str">
        <f>'USER INPUT SHEET'!$F$30</f>
        <v>m2</v>
      </c>
      <c r="F128" s="4">
        <v>1</v>
      </c>
      <c r="G128" s="674"/>
      <c r="H128" s="9"/>
      <c r="I128" s="95" t="e">
        <f t="shared" si="44"/>
        <v>#N/A</v>
      </c>
      <c r="J128" s="96" t="str">
        <f t="shared" si="45"/>
        <v/>
      </c>
      <c r="K128" s="407" t="e">
        <f>$D128*$F128*IF($H$117=1,0.105,IF($H$118=1,0.098,IF($H$119=1,0.105,IF($H$120=1,0.098,0))))*VLOOKUP($C128,'Master sheet'!$A:$AL,13,FALSE)</f>
        <v>#N/A</v>
      </c>
      <c r="L128" s="97">
        <v>0</v>
      </c>
      <c r="M128" s="1560"/>
      <c r="N128" s="1560"/>
      <c r="O128" s="25" t="str">
        <f>_xlfn.IFNA(VLOOKUP($C128,'Master sheet'!$A:$AR,44,FALSE),"")&amp;""</f>
        <v/>
      </c>
      <c r="P128" s="685"/>
      <c r="Q128" s="722" t="s">
        <v>32</v>
      </c>
      <c r="R128" s="722" t="s">
        <v>1699</v>
      </c>
      <c r="S128" s="638"/>
      <c r="T128" s="638"/>
      <c r="U128" s="638"/>
      <c r="V128" s="638"/>
      <c r="W128" s="638"/>
      <c r="X128" s="638"/>
      <c r="Y128" s="638"/>
      <c r="Z128" s="638"/>
      <c r="AA128" s="664"/>
    </row>
    <row r="129" spans="1:27" ht="23.85" customHeight="1" x14ac:dyDescent="0.25">
      <c r="A129" s="639"/>
      <c r="B129" s="1524" t="s">
        <v>1350</v>
      </c>
      <c r="C129" s="1524"/>
      <c r="D129" s="656"/>
      <c r="E129" s="641"/>
      <c r="F129" s="322"/>
      <c r="G129" s="657"/>
      <c r="H129" s="657"/>
      <c r="I129" s="658"/>
      <c r="J129" s="659"/>
      <c r="K129" s="660"/>
      <c r="L129" s="661"/>
      <c r="M129" s="677"/>
      <c r="N129" s="677"/>
      <c r="O129" s="25" t="str">
        <f>_xlfn.IFNA(VLOOKUP($C129,'Master sheet'!$A:$AR,44,FALSE),"")&amp;""</f>
        <v/>
      </c>
      <c r="P129" s="663"/>
      <c r="Q129" s="30"/>
      <c r="R129" s="21"/>
      <c r="S129" s="664"/>
      <c r="T129" s="664"/>
      <c r="U129" s="664"/>
      <c r="V129" s="664"/>
      <c r="W129" s="664"/>
      <c r="X129" s="664"/>
      <c r="Y129" s="664"/>
      <c r="Z129" s="664"/>
      <c r="AA129" s="664"/>
    </row>
    <row r="130" spans="1:27" ht="31.5" customHeight="1" x14ac:dyDescent="0.25">
      <c r="A130" s="1525" t="s">
        <v>786</v>
      </c>
      <c r="B130" s="1525"/>
      <c r="C130" s="667" t="str" cm="1">
        <f t="array" ref="C130">INDEX('Master sheet'!$A$1:$A$670,MATCH(1,("26-30" = 'Master sheet'!$AO$1:$AO$670)*(1 = 'Master sheet'!$AP$1:$AP$670)*('Master sheet'!$AT$1:$AT$670),0))</f>
        <v xml:space="preserve">Concrete - 30 MPa, GU / SRMCA / Can. Sask Avg. / </v>
      </c>
      <c r="D130" s="230">
        <f>'USER INPUT SHEET'!$D$30</f>
        <v>0</v>
      </c>
      <c r="E130" s="14" t="str">
        <f>'USER INPUT SHEET'!$F$30</f>
        <v>m2</v>
      </c>
      <c r="F130" s="5">
        <v>1</v>
      </c>
      <c r="G130" s="668"/>
      <c r="H130" s="10"/>
      <c r="I130" s="232">
        <f t="shared" ref="I130:I136" si="48">K130-L130</f>
        <v>0</v>
      </c>
      <c r="J130" s="233" t="str">
        <f t="shared" ref="J130:J136" si="49">IF(H130=1,I130,"")</f>
        <v/>
      </c>
      <c r="K130" s="416">
        <f>$D130*$F130*IF($H$117=1,0.105,IF($H$118=1,0.098,IF($H$119=1,0.105,IF($H$120=1,0.098,0))))*VLOOKUP($C130,'Master sheet'!$A:$AL,13,FALSE)</f>
        <v>0</v>
      </c>
      <c r="L130" s="239">
        <v>0</v>
      </c>
      <c r="M130" s="1560"/>
      <c r="N130" s="1560"/>
      <c r="O130" s="25" t="str">
        <f ca="1">_xlfn.IFNA(VLOOKUP($C130,'Master sheet'!$A:$AR,44,FALSE),"")&amp;""</f>
        <v/>
      </c>
      <c r="P130" s="637"/>
      <c r="Q130" s="722" t="s">
        <v>32</v>
      </c>
      <c r="R130" s="722" t="s">
        <v>1699</v>
      </c>
      <c r="S130" s="664"/>
      <c r="T130" s="664"/>
      <c r="U130" s="664"/>
      <c r="V130" s="664"/>
      <c r="W130" s="664"/>
      <c r="X130" s="664"/>
      <c r="Y130" s="664"/>
      <c r="Z130" s="664"/>
      <c r="AA130" s="638"/>
    </row>
    <row r="131" spans="1:27" ht="23.25" customHeight="1" x14ac:dyDescent="0.25">
      <c r="A131" s="1525"/>
      <c r="B131" s="1525"/>
      <c r="C131" s="669" t="str" cm="1">
        <f t="array" ref="C131">INDEX('Master sheet'!$A$1:$A$670,MATCH(1,("26-30" = 'Master sheet'!$AO$1:$AO$670)*(2 = 'Master sheet'!$AP$1:$AP$670)*('Master sheet'!$AT$1:$AT$670),0))</f>
        <v xml:space="preserve">Concrete - 30 MPa, 10% FA, GU / SRMCA / Can. Sask Avg. / </v>
      </c>
      <c r="D131" s="15">
        <f>'USER INPUT SHEET'!$D$30</f>
        <v>0</v>
      </c>
      <c r="E131" s="16" t="str">
        <f>'USER INPUT SHEET'!$F$30</f>
        <v>m2</v>
      </c>
      <c r="F131" s="3">
        <v>1</v>
      </c>
      <c r="G131" s="670"/>
      <c r="H131" s="8"/>
      <c r="I131" s="92">
        <f t="shared" si="48"/>
        <v>0</v>
      </c>
      <c r="J131" s="93" t="str">
        <f t="shared" si="49"/>
        <v/>
      </c>
      <c r="K131" s="406">
        <f>$D131*$F131*IF($H$117=1,0.105,IF($H$118=1,0.098,IF($H$119=1,0.105,IF($H$120=1,0.098,0))))*VLOOKUP($C131,'Master sheet'!$A:$AL,13,FALSE)</f>
        <v>0</v>
      </c>
      <c r="L131" s="94">
        <v>0</v>
      </c>
      <c r="M131" s="1560"/>
      <c r="N131" s="1560"/>
      <c r="O131" s="25" t="str">
        <f ca="1">_xlfn.IFNA(VLOOKUP($C131,'Master sheet'!$A:$AR,44,FALSE),"")&amp;""</f>
        <v/>
      </c>
      <c r="P131" s="671"/>
      <c r="Q131" s="722" t="s">
        <v>32</v>
      </c>
      <c r="R131" s="722" t="s">
        <v>1699</v>
      </c>
      <c r="S131" s="664"/>
      <c r="T131" s="664"/>
      <c r="U131" s="664"/>
      <c r="V131" s="664"/>
      <c r="W131" s="664"/>
      <c r="X131" s="664"/>
      <c r="Y131" s="664"/>
      <c r="Z131" s="664"/>
      <c r="AA131" s="638"/>
    </row>
    <row r="132" spans="1:27" ht="23.25" customHeight="1" x14ac:dyDescent="0.25">
      <c r="A132" s="1525"/>
      <c r="B132" s="1525"/>
      <c r="C132" s="669" t="str" cm="1">
        <f t="array" ref="C132">INDEX('Master sheet'!$A$1:$A$670,MATCH(1,("26-30" = 'Master sheet'!$AO$1:$AO$670)*(3 = 'Master sheet'!$AP$1:$AP$670)*('Master sheet'!$AT$1:$AT$670),0))</f>
        <v xml:space="preserve">Concrete - 30 MPa, 20% FA, GU / SRMCA / Can. Sask Avg. / </v>
      </c>
      <c r="D132" s="15">
        <f>'USER INPUT SHEET'!$D$30</f>
        <v>0</v>
      </c>
      <c r="E132" s="16" t="str">
        <f>'USER INPUT SHEET'!$F$30</f>
        <v>m2</v>
      </c>
      <c r="F132" s="3">
        <v>1</v>
      </c>
      <c r="G132" s="670"/>
      <c r="H132" s="8"/>
      <c r="I132" s="92">
        <f t="shared" si="48"/>
        <v>0</v>
      </c>
      <c r="J132" s="93" t="str">
        <f t="shared" si="49"/>
        <v/>
      </c>
      <c r="K132" s="406">
        <f>$D132*$F132*IF($H$117=1,0.105,IF($H$118=1,0.098,IF($H$119=1,0.105,IF($H$120=1,0.098,0))))*VLOOKUP($C132,'Master sheet'!$A:$AL,13,FALSE)</f>
        <v>0</v>
      </c>
      <c r="L132" s="94">
        <v>0</v>
      </c>
      <c r="M132" s="1560"/>
      <c r="N132" s="1560"/>
      <c r="O132" s="25" t="str">
        <f ca="1">_xlfn.IFNA(VLOOKUP($C132,'Master sheet'!$A:$AR,44,FALSE),"")&amp;""</f>
        <v/>
      </c>
      <c r="P132" s="672"/>
      <c r="Q132" s="722" t="s">
        <v>32</v>
      </c>
      <c r="R132" s="722" t="s">
        <v>1699</v>
      </c>
      <c r="S132" s="664"/>
      <c r="T132" s="664"/>
      <c r="U132" s="664"/>
      <c r="V132" s="664"/>
      <c r="W132" s="664"/>
      <c r="X132" s="664"/>
      <c r="Y132" s="664"/>
      <c r="Z132" s="664"/>
      <c r="AA132" s="664"/>
    </row>
    <row r="133" spans="1:27" ht="23.25" customHeight="1" x14ac:dyDescent="0.25">
      <c r="A133" s="1525"/>
      <c r="B133" s="1525"/>
      <c r="C133" s="669" t="str" cm="1">
        <f t="array" ref="C133">INDEX('Master sheet'!$A$1:$A$670,MATCH(1,("26-30" = 'Master sheet'!$AO$1:$AO$670)*(4 = 'Master sheet'!$AP$1:$AP$670)*('Master sheet'!$AT$1:$AT$670),0))</f>
        <v xml:space="preserve">Concrete - 30 MPa, 30% FA, GU / SRMCA / Can. Sask Avg. / </v>
      </c>
      <c r="D133" s="15">
        <f>'USER INPUT SHEET'!$D$30</f>
        <v>0</v>
      </c>
      <c r="E133" s="16" t="str">
        <f>'USER INPUT SHEET'!$F$30</f>
        <v>m2</v>
      </c>
      <c r="F133" s="3">
        <v>1</v>
      </c>
      <c r="G133" s="670"/>
      <c r="H133" s="8"/>
      <c r="I133" s="92">
        <f t="shared" si="48"/>
        <v>0</v>
      </c>
      <c r="J133" s="93" t="str">
        <f t="shared" si="49"/>
        <v/>
      </c>
      <c r="K133" s="406">
        <f>$D133*$F133*IF($H$117=1,0.105,IF($H$118=1,0.098,IF($H$119=1,0.105,IF($H$120=1,0.098,0))))*VLOOKUP($C133,'Master sheet'!$A:$AL,13,FALSE)</f>
        <v>0</v>
      </c>
      <c r="L133" s="94">
        <v>0</v>
      </c>
      <c r="M133" s="1560"/>
      <c r="N133" s="1560"/>
      <c r="O133" s="25" t="str">
        <f ca="1">_xlfn.IFNA(VLOOKUP($C133,'Master sheet'!$A:$AR,44,FALSE),"")&amp;""</f>
        <v/>
      </c>
      <c r="P133" s="672"/>
      <c r="Q133" s="722" t="s">
        <v>32</v>
      </c>
      <c r="R133" s="722" t="s">
        <v>1699</v>
      </c>
      <c r="S133" s="664"/>
      <c r="T133" s="664"/>
      <c r="U133" s="664"/>
      <c r="V133" s="664"/>
      <c r="W133" s="664"/>
      <c r="X133" s="664"/>
      <c r="Y133" s="664"/>
      <c r="Z133" s="664"/>
      <c r="AA133" s="664"/>
    </row>
    <row r="134" spans="1:27" ht="23.25" customHeight="1" x14ac:dyDescent="0.25">
      <c r="A134" s="1525"/>
      <c r="B134" s="1525"/>
      <c r="C134" s="669" t="str" cm="1">
        <f t="array" ref="C134">INDEX('Master sheet'!$A$1:$A$670,MATCH(1,("26-30" = 'Master sheet'!$AO$1:$AO$670)*(5 = 'Master sheet'!$AP$1:$AP$670)*('Master sheet'!$AT$1:$AT$670),0))</f>
        <v xml:space="preserve">Concrete - 30 MPa, 40% FA, GU / SRMCA / Can. Sask Avg. / </v>
      </c>
      <c r="D134" s="15">
        <f>'USER INPUT SHEET'!$D$30</f>
        <v>0</v>
      </c>
      <c r="E134" s="16" t="str">
        <f>'USER INPUT SHEET'!$F$30</f>
        <v>m2</v>
      </c>
      <c r="F134" s="3">
        <v>1</v>
      </c>
      <c r="G134" s="670"/>
      <c r="H134" s="8"/>
      <c r="I134" s="92">
        <f t="shared" si="48"/>
        <v>0</v>
      </c>
      <c r="J134" s="93" t="str">
        <f t="shared" si="49"/>
        <v/>
      </c>
      <c r="K134" s="406">
        <f>$D134*$F134*IF($H$117=1,0.105,IF($H$118=1,0.098,IF($H$119=1,0.105,IF($H$120=1,0.098,0))))*VLOOKUP($C134,'Master sheet'!$A:$AL,13,FALSE)</f>
        <v>0</v>
      </c>
      <c r="L134" s="94">
        <v>0</v>
      </c>
      <c r="M134" s="1560"/>
      <c r="N134" s="1560"/>
      <c r="O134" s="25" t="str">
        <f ca="1">_xlfn.IFNA(VLOOKUP($C134,'Master sheet'!$A:$AR,44,FALSE),"")&amp;""</f>
        <v/>
      </c>
      <c r="P134" s="672"/>
      <c r="Q134" s="722" t="s">
        <v>32</v>
      </c>
      <c r="R134" s="722" t="s">
        <v>1699</v>
      </c>
      <c r="S134" s="664"/>
      <c r="T134" s="664"/>
      <c r="U134" s="664"/>
      <c r="V134" s="664"/>
      <c r="W134" s="664"/>
      <c r="X134" s="664"/>
      <c r="Y134" s="664"/>
      <c r="Z134" s="664"/>
      <c r="AA134" s="664"/>
    </row>
    <row r="135" spans="1:27" ht="23.25" hidden="1" customHeight="1" x14ac:dyDescent="0.25">
      <c r="A135" s="1525"/>
      <c r="B135" s="1525"/>
      <c r="C135" s="669" t="e" cm="1">
        <f t="array" ref="C135">INDEX('Master sheet'!$A$1:$A$670,MATCH(1,("26-30" = 'Master sheet'!$AO$1:$AO$670)*(6 = 'Master sheet'!$AP$1:$AP$670)*('Master sheet'!$AT$1:$AT$670),0))</f>
        <v>#N/A</v>
      </c>
      <c r="D135" s="15">
        <f>'USER INPUT SHEET'!$D$30</f>
        <v>0</v>
      </c>
      <c r="E135" s="16" t="str">
        <f>'USER INPUT SHEET'!$F$30</f>
        <v>m2</v>
      </c>
      <c r="F135" s="3">
        <v>1</v>
      </c>
      <c r="G135" s="670"/>
      <c r="H135" s="8"/>
      <c r="I135" s="92" t="e">
        <f t="shared" si="48"/>
        <v>#N/A</v>
      </c>
      <c r="J135" s="93" t="str">
        <f t="shared" si="49"/>
        <v/>
      </c>
      <c r="K135" s="406" t="e">
        <f>$D135*$F135*IF($H$117=1,0.105,IF($H$118=1,0.098,IF($H$119=1,0.105,IF($H$120=1,0.098,0))))*VLOOKUP($C135,'Master sheet'!$A:$AL,13,FALSE)</f>
        <v>#N/A</v>
      </c>
      <c r="L135" s="94">
        <v>0</v>
      </c>
      <c r="M135" s="1560"/>
      <c r="N135" s="1560"/>
      <c r="O135" s="25" t="str">
        <f>_xlfn.IFNA(VLOOKUP($C135,'Master sheet'!$A:$AR,44,FALSE),"")&amp;""</f>
        <v/>
      </c>
      <c r="P135" s="672"/>
      <c r="Q135" s="722" t="s">
        <v>32</v>
      </c>
      <c r="R135" s="722" t="s">
        <v>1699</v>
      </c>
      <c r="S135" s="664"/>
      <c r="T135" s="664"/>
      <c r="U135" s="664"/>
      <c r="V135" s="664"/>
      <c r="W135" s="664"/>
      <c r="X135" s="664"/>
      <c r="Y135" s="664"/>
      <c r="Z135" s="664"/>
      <c r="AA135" s="664"/>
    </row>
    <row r="136" spans="1:27" s="624" customFormat="1" ht="23.25" hidden="1" customHeight="1" x14ac:dyDescent="0.25">
      <c r="A136" s="1525"/>
      <c r="B136" s="1525"/>
      <c r="C136" s="673" t="e" cm="1">
        <f t="array" ref="C136">INDEX('Master sheet'!$A$1:$A$670,MATCH(1,("26-30" = 'Master sheet'!$AO$1:$AO$670)*(7 = 'Master sheet'!$AP$1:$AP$670)*('Master sheet'!$AT$1:$AT$670),0))</f>
        <v>#N/A</v>
      </c>
      <c r="D136" s="17">
        <f>'USER INPUT SHEET'!$D$30</f>
        <v>0</v>
      </c>
      <c r="E136" s="18" t="str">
        <f>'USER INPUT SHEET'!$F$30</f>
        <v>m2</v>
      </c>
      <c r="F136" s="4">
        <v>1</v>
      </c>
      <c r="G136" s="674"/>
      <c r="H136" s="9"/>
      <c r="I136" s="95" t="e">
        <f t="shared" si="48"/>
        <v>#N/A</v>
      </c>
      <c r="J136" s="96" t="str">
        <f t="shared" si="49"/>
        <v/>
      </c>
      <c r="K136" s="407" t="e">
        <f>$D136*$F136*IF($H$117=1,0.105,IF($H$118=1,0.098,IF($H$119=1,0.105,IF($H$120=1,0.098,0))))*VLOOKUP($C136,'Master sheet'!$A:$AL,13,FALSE)</f>
        <v>#N/A</v>
      </c>
      <c r="L136" s="97">
        <v>0</v>
      </c>
      <c r="M136" s="1560"/>
      <c r="N136" s="1560"/>
      <c r="O136" s="25" t="str">
        <f>_xlfn.IFNA(VLOOKUP($C136,'Master sheet'!$A:$AR,44,FALSE),"")&amp;""</f>
        <v/>
      </c>
      <c r="P136" s="637"/>
      <c r="Q136" s="722" t="s">
        <v>32</v>
      </c>
      <c r="R136" s="722" t="s">
        <v>1699</v>
      </c>
      <c r="S136" s="638"/>
      <c r="T136" s="638"/>
      <c r="U136" s="638"/>
      <c r="V136" s="638"/>
      <c r="W136" s="638"/>
      <c r="X136" s="638"/>
      <c r="Y136" s="638"/>
      <c r="Z136" s="638"/>
      <c r="AA136" s="638"/>
    </row>
    <row r="137" spans="1:27" ht="23.85" customHeight="1" x14ac:dyDescent="0.25">
      <c r="A137" s="639"/>
      <c r="B137" s="1524" t="s">
        <v>1351</v>
      </c>
      <c r="C137" s="1524"/>
      <c r="D137" s="656"/>
      <c r="E137" s="641"/>
      <c r="F137" s="322"/>
      <c r="G137" s="657"/>
      <c r="H137" s="657"/>
      <c r="I137" s="658"/>
      <c r="J137" s="659"/>
      <c r="K137" s="660"/>
      <c r="L137" s="661"/>
      <c r="M137" s="677"/>
      <c r="N137" s="677"/>
      <c r="O137" s="25" t="str">
        <f>_xlfn.IFNA(VLOOKUP($C137,'Master sheet'!$A:$AR,44,FALSE),"")&amp;""</f>
        <v/>
      </c>
      <c r="P137" s="663"/>
      <c r="Q137" s="30"/>
      <c r="R137" s="21"/>
      <c r="S137" s="664"/>
      <c r="T137" s="664"/>
      <c r="U137" s="664"/>
      <c r="V137" s="664"/>
      <c r="W137" s="664"/>
      <c r="X137" s="664"/>
      <c r="Y137" s="664"/>
      <c r="Z137" s="664"/>
      <c r="AA137" s="638"/>
    </row>
    <row r="138" spans="1:27" ht="31.5" customHeight="1" x14ac:dyDescent="0.25">
      <c r="A138" s="1525" t="s">
        <v>786</v>
      </c>
      <c r="B138" s="1525"/>
      <c r="C138" s="667" t="str" cm="1">
        <f t="array" ref="C138">INDEX('Master sheet'!$A$1:$A$670,MATCH(1,("31-35" = 'Master sheet'!$AO$1:$AO$670)*(1 = 'Master sheet'!$AP$1:$AP$670)*('Master sheet'!$AT$1:$AT$670),0))</f>
        <v xml:space="preserve">Concrete - 35 MPa, GU / SRMCA / Can. Sask Avg. / </v>
      </c>
      <c r="D138" s="230">
        <f>'USER INPUT SHEET'!$D$30</f>
        <v>0</v>
      </c>
      <c r="E138" s="14" t="str">
        <f>'USER INPUT SHEET'!$F$30</f>
        <v>m2</v>
      </c>
      <c r="F138" s="5">
        <v>1</v>
      </c>
      <c r="G138" s="668"/>
      <c r="H138" s="10"/>
      <c r="I138" s="232">
        <f t="shared" ref="I138:I144" si="50">K138-L138</f>
        <v>0</v>
      </c>
      <c r="J138" s="233" t="str">
        <f t="shared" ref="J138:J144" si="51">IF(H138=1,I138,"")</f>
        <v/>
      </c>
      <c r="K138" s="416">
        <f>$D138*$F138*IF($H$117=1,0.105,IF($H$118=1,0.098,IF($H$119=1,0.105,IF($H$120=1,0.098,0))))*VLOOKUP($C138,'Master sheet'!$A:$AL,13,FALSE)</f>
        <v>0</v>
      </c>
      <c r="L138" s="239">
        <v>0</v>
      </c>
      <c r="M138" s="1560"/>
      <c r="N138" s="1560"/>
      <c r="O138" s="25" t="str">
        <f ca="1">_xlfn.IFNA(VLOOKUP($C138,'Master sheet'!$A:$AR,44,FALSE),"")&amp;""</f>
        <v/>
      </c>
      <c r="P138" s="637"/>
      <c r="Q138" s="722" t="s">
        <v>32</v>
      </c>
      <c r="R138" s="722" t="s">
        <v>1699</v>
      </c>
      <c r="S138" s="664"/>
      <c r="T138" s="664"/>
      <c r="U138" s="664"/>
      <c r="V138" s="664"/>
      <c r="W138" s="664"/>
      <c r="X138" s="664"/>
      <c r="Y138" s="664"/>
      <c r="Z138" s="664"/>
      <c r="AA138" s="664"/>
    </row>
    <row r="139" spans="1:27" ht="23.25" customHeight="1" x14ac:dyDescent="0.25">
      <c r="A139" s="1525"/>
      <c r="B139" s="1525"/>
      <c r="C139" s="669" t="str" cm="1">
        <f t="array" ref="C139">INDEX('Master sheet'!$A$1:$A$670,MATCH(1,("31-35" = 'Master sheet'!$AO$1:$AO$670)*(2 = 'Master sheet'!$AP$1:$AP$670)*('Master sheet'!$AT$1:$AT$670),0))</f>
        <v xml:space="preserve">Concrete - 35 MPa, 10% FA, GU / SRMCA / Can. Sask Avg. / </v>
      </c>
      <c r="D139" s="15">
        <f>'USER INPUT SHEET'!$D$30</f>
        <v>0</v>
      </c>
      <c r="E139" s="16" t="str">
        <f>'USER INPUT SHEET'!$F$30</f>
        <v>m2</v>
      </c>
      <c r="F139" s="3">
        <v>1</v>
      </c>
      <c r="G139" s="670"/>
      <c r="H139" s="8"/>
      <c r="I139" s="92">
        <f t="shared" si="50"/>
        <v>0</v>
      </c>
      <c r="J139" s="93" t="str">
        <f t="shared" si="51"/>
        <v/>
      </c>
      <c r="K139" s="406">
        <f>$D139*$F139*IF($H$117=1,0.105,IF($H$118=1,0.098,IF($H$119=1,0.105,IF($H$120=1,0.098,0))))*VLOOKUP($C139,'Master sheet'!$A:$AL,13,FALSE)</f>
        <v>0</v>
      </c>
      <c r="L139" s="94">
        <v>0</v>
      </c>
      <c r="M139" s="1560"/>
      <c r="N139" s="1560"/>
      <c r="O139" s="25" t="str">
        <f ca="1">_xlfn.IFNA(VLOOKUP($C139,'Master sheet'!$A:$AR,44,FALSE),"")&amp;""</f>
        <v/>
      </c>
      <c r="P139" s="671"/>
      <c r="Q139" s="722" t="s">
        <v>32</v>
      </c>
      <c r="R139" s="722" t="s">
        <v>1699</v>
      </c>
      <c r="S139" s="664"/>
      <c r="T139" s="664"/>
      <c r="U139" s="664"/>
      <c r="V139" s="664"/>
      <c r="W139" s="664"/>
      <c r="X139" s="664"/>
      <c r="Y139" s="664"/>
      <c r="Z139" s="664"/>
      <c r="AA139" s="664"/>
    </row>
    <row r="140" spans="1:27" ht="23.25" customHeight="1" x14ac:dyDescent="0.25">
      <c r="A140" s="1525"/>
      <c r="B140" s="1525"/>
      <c r="C140" s="669" t="str" cm="1">
        <f t="array" ref="C140">INDEX('Master sheet'!$A$1:$A$670,MATCH(1,("31-35" = 'Master sheet'!$AO$1:$AO$670)*(3 = 'Master sheet'!$AP$1:$AP$670)*('Master sheet'!$AT$1:$AT$670),0))</f>
        <v xml:space="preserve">Concrete - 35 MPa, 20% FA, GU / SRMCA / Can. Sask Avg. / </v>
      </c>
      <c r="D140" s="15">
        <f>'USER INPUT SHEET'!$D$30</f>
        <v>0</v>
      </c>
      <c r="E140" s="16" t="str">
        <f>'USER INPUT SHEET'!$F$30</f>
        <v>m2</v>
      </c>
      <c r="F140" s="3">
        <v>1</v>
      </c>
      <c r="G140" s="670"/>
      <c r="H140" s="8"/>
      <c r="I140" s="92">
        <f t="shared" si="50"/>
        <v>0</v>
      </c>
      <c r="J140" s="93" t="str">
        <f t="shared" si="51"/>
        <v/>
      </c>
      <c r="K140" s="406">
        <f>$D140*$F140*IF($H$117=1,0.105,IF($H$118=1,0.098,IF($H$119=1,0.105,IF($H$120=1,0.098,0))))*VLOOKUP($C140,'Master sheet'!$A:$AL,13,FALSE)</f>
        <v>0</v>
      </c>
      <c r="L140" s="94">
        <v>0</v>
      </c>
      <c r="M140" s="1560"/>
      <c r="N140" s="1560"/>
      <c r="O140" s="25" t="str">
        <f ca="1">_xlfn.IFNA(VLOOKUP($C140,'Master sheet'!$A:$AR,44,FALSE),"")&amp;""</f>
        <v/>
      </c>
      <c r="P140" s="672"/>
      <c r="Q140" s="722" t="s">
        <v>32</v>
      </c>
      <c r="R140" s="722" t="s">
        <v>1699</v>
      </c>
      <c r="S140" s="664"/>
      <c r="T140" s="664"/>
      <c r="U140" s="664"/>
      <c r="V140" s="664"/>
      <c r="W140" s="664"/>
      <c r="X140" s="664"/>
      <c r="Y140" s="664"/>
      <c r="Z140" s="664"/>
      <c r="AA140" s="638"/>
    </row>
    <row r="141" spans="1:27" ht="23.25" customHeight="1" x14ac:dyDescent="0.25">
      <c r="A141" s="1525"/>
      <c r="B141" s="1525"/>
      <c r="C141" s="669" t="str" cm="1">
        <f t="array" ref="C141">INDEX('Master sheet'!$A$1:$A$670,MATCH(1,("31-35" = 'Master sheet'!$AO$1:$AO$670)*(4 = 'Master sheet'!$AP$1:$AP$670)*('Master sheet'!$AT$1:$AT$670),0))</f>
        <v xml:space="preserve">Concrete - 35 MPa, 30% FA, GU / SRMCA / Can. Sask Avg. / </v>
      </c>
      <c r="D141" s="15">
        <f>'USER INPUT SHEET'!$D$30</f>
        <v>0</v>
      </c>
      <c r="E141" s="16" t="str">
        <f>'USER INPUT SHEET'!$F$30</f>
        <v>m2</v>
      </c>
      <c r="F141" s="3">
        <v>1</v>
      </c>
      <c r="G141" s="670"/>
      <c r="H141" s="8"/>
      <c r="I141" s="92">
        <f t="shared" si="50"/>
        <v>0</v>
      </c>
      <c r="J141" s="93" t="str">
        <f t="shared" si="51"/>
        <v/>
      </c>
      <c r="K141" s="406">
        <f>$D141*$F141*IF($H$117=1,0.105,IF($H$118=1,0.098,IF($H$119=1,0.105,IF($H$120=1,0.098,0))))*VLOOKUP($C141,'Master sheet'!$A:$AL,13,FALSE)</f>
        <v>0</v>
      </c>
      <c r="L141" s="94">
        <v>0</v>
      </c>
      <c r="M141" s="1560"/>
      <c r="N141" s="1560"/>
      <c r="O141" s="25" t="str">
        <f ca="1">_xlfn.IFNA(VLOOKUP($C141,'Master sheet'!$A:$AR,44,FALSE),"")&amp;""</f>
        <v/>
      </c>
      <c r="P141" s="672"/>
      <c r="Q141" s="722" t="s">
        <v>32</v>
      </c>
      <c r="R141" s="722" t="s">
        <v>1699</v>
      </c>
      <c r="S141" s="664"/>
      <c r="T141" s="664"/>
      <c r="U141" s="664"/>
      <c r="V141" s="664"/>
      <c r="W141" s="664"/>
      <c r="X141" s="664"/>
      <c r="Y141" s="664"/>
      <c r="Z141" s="664"/>
      <c r="AA141" s="638"/>
    </row>
    <row r="142" spans="1:27" ht="23.25" customHeight="1" x14ac:dyDescent="0.25">
      <c r="A142" s="1525"/>
      <c r="B142" s="1525"/>
      <c r="C142" s="669" t="str" cm="1">
        <f t="array" ref="C142">INDEX('Master sheet'!$A$1:$A$670,MATCH(1,("31-35" = 'Master sheet'!$AO$1:$AO$670)*(5 = 'Master sheet'!$AP$1:$AP$670)*('Master sheet'!$AT$1:$AT$670),0))</f>
        <v xml:space="preserve">Concrete - 35 MPa, 40% FA, GU / SRMCA / Can. Sask Avg. / </v>
      </c>
      <c r="D142" s="15">
        <f>'USER INPUT SHEET'!$D$30</f>
        <v>0</v>
      </c>
      <c r="E142" s="16" t="str">
        <f>'USER INPUT SHEET'!$F$30</f>
        <v>m2</v>
      </c>
      <c r="F142" s="3">
        <v>1</v>
      </c>
      <c r="G142" s="670"/>
      <c r="H142" s="8"/>
      <c r="I142" s="92">
        <f t="shared" si="50"/>
        <v>0</v>
      </c>
      <c r="J142" s="93" t="str">
        <f t="shared" si="51"/>
        <v/>
      </c>
      <c r="K142" s="406">
        <f>$D142*$F142*IF($H$117=1,0.105,IF($H$118=1,0.098,IF($H$119=1,0.105,IF($H$120=1,0.098,0))))*VLOOKUP($C142,'Master sheet'!$A:$AL,13,FALSE)</f>
        <v>0</v>
      </c>
      <c r="L142" s="94">
        <v>0</v>
      </c>
      <c r="M142" s="1560"/>
      <c r="N142" s="1560"/>
      <c r="O142" s="25" t="str">
        <f ca="1">_xlfn.IFNA(VLOOKUP($C142,'Master sheet'!$A:$AR,44,FALSE),"")&amp;""</f>
        <v/>
      </c>
      <c r="P142" s="672"/>
      <c r="Q142" s="722" t="s">
        <v>32</v>
      </c>
      <c r="R142" s="722" t="s">
        <v>1699</v>
      </c>
      <c r="S142" s="664"/>
      <c r="T142" s="664"/>
      <c r="U142" s="664"/>
      <c r="V142" s="664"/>
      <c r="W142" s="664"/>
      <c r="X142" s="664"/>
      <c r="Y142" s="664"/>
      <c r="Z142" s="664"/>
      <c r="AA142" s="664"/>
    </row>
    <row r="143" spans="1:27" ht="23.25" hidden="1" customHeight="1" x14ac:dyDescent="0.25">
      <c r="A143" s="1525"/>
      <c r="B143" s="1525"/>
      <c r="C143" s="669" t="e" cm="1">
        <f t="array" ref="C143">INDEX('Master sheet'!$A$1:$A$670,MATCH(1,("31-35" = 'Master sheet'!$AO$1:$AO$670)*(6 = 'Master sheet'!$AP$1:$AP$670)*('Master sheet'!$AT$1:$AT$670),0))</f>
        <v>#N/A</v>
      </c>
      <c r="D143" s="15">
        <f>'USER INPUT SHEET'!$D$30</f>
        <v>0</v>
      </c>
      <c r="E143" s="16" t="str">
        <f>'USER INPUT SHEET'!$F$30</f>
        <v>m2</v>
      </c>
      <c r="F143" s="3">
        <v>1</v>
      </c>
      <c r="G143" s="670"/>
      <c r="H143" s="8"/>
      <c r="I143" s="92" t="e">
        <f t="shared" si="50"/>
        <v>#N/A</v>
      </c>
      <c r="J143" s="93" t="str">
        <f t="shared" si="51"/>
        <v/>
      </c>
      <c r="K143" s="406" t="e">
        <f>$D143*$F143*IF($H$117=1,0.105,IF($H$118=1,0.098,IF($H$119=1,0.105,IF($H$120=1,0.098,0))))*VLOOKUP($C143,'Master sheet'!$A:$AL,13,FALSE)</f>
        <v>#N/A</v>
      </c>
      <c r="L143" s="94">
        <v>0</v>
      </c>
      <c r="M143" s="1560"/>
      <c r="N143" s="1560"/>
      <c r="O143" s="25" t="str">
        <f>_xlfn.IFNA(VLOOKUP($C143,'Master sheet'!$A:$AR,44,FALSE),"")&amp;""</f>
        <v/>
      </c>
      <c r="P143" s="672"/>
      <c r="Q143" s="722" t="s">
        <v>32</v>
      </c>
      <c r="R143" s="722" t="s">
        <v>1699</v>
      </c>
      <c r="S143" s="664"/>
      <c r="T143" s="664"/>
      <c r="U143" s="664"/>
      <c r="V143" s="664"/>
      <c r="W143" s="664"/>
      <c r="X143" s="664"/>
      <c r="Y143" s="664"/>
      <c r="Z143" s="664"/>
      <c r="AA143" s="638"/>
    </row>
    <row r="144" spans="1:27" s="624" customFormat="1" ht="23.25" hidden="1" customHeight="1" x14ac:dyDescent="0.25">
      <c r="A144" s="1544"/>
      <c r="B144" s="1544"/>
      <c r="C144" s="673" t="e" cm="1">
        <f t="array" ref="C144">INDEX('Master sheet'!$A$1:$A$670,MATCH(1,("31-35" = 'Master sheet'!$AO$1:$AO$670)*(7 = 'Master sheet'!$AP$1:$AP$670)*('Master sheet'!$AT$1:$AT$670),0))</f>
        <v>#N/A</v>
      </c>
      <c r="D144" s="17">
        <f>'USER INPUT SHEET'!$D$30</f>
        <v>0</v>
      </c>
      <c r="E144" s="16" t="str">
        <f>'USER INPUT SHEET'!$F$30</f>
        <v>m2</v>
      </c>
      <c r="F144" s="4">
        <v>1</v>
      </c>
      <c r="G144" s="674"/>
      <c r="H144" s="9"/>
      <c r="I144" s="95" t="e">
        <f t="shared" si="50"/>
        <v>#N/A</v>
      </c>
      <c r="J144" s="96" t="str">
        <f t="shared" si="51"/>
        <v/>
      </c>
      <c r="K144" s="407" t="e">
        <f>$D144*$F144*IF($H$117=1,0.105,IF($H$118=1,0.098,IF($H$119=1,0.105,IF($H$120=1,0.098,0))))*VLOOKUP($C144,'Master sheet'!$A:$AL,13,FALSE)</f>
        <v>#N/A</v>
      </c>
      <c r="L144" s="97">
        <v>0</v>
      </c>
      <c r="M144" s="1560"/>
      <c r="N144" s="1560"/>
      <c r="O144" s="25" t="str">
        <f>_xlfn.IFNA(VLOOKUP($C144,'Master sheet'!$A:$AR,44,FALSE),"")&amp;""</f>
        <v/>
      </c>
      <c r="P144" s="637"/>
      <c r="Q144" s="722" t="s">
        <v>32</v>
      </c>
      <c r="R144" s="722" t="s">
        <v>1699</v>
      </c>
      <c r="S144" s="638"/>
      <c r="T144" s="638"/>
      <c r="U144" s="638"/>
      <c r="V144" s="638"/>
      <c r="W144" s="638"/>
      <c r="X144" s="638"/>
      <c r="Y144" s="638"/>
      <c r="Z144" s="638"/>
      <c r="AA144" s="638"/>
    </row>
    <row r="145" spans="1:27" s="624" customFormat="1" ht="54.75" customHeight="1" x14ac:dyDescent="0.25">
      <c r="A145" s="1522" t="s">
        <v>3425</v>
      </c>
      <c r="B145" s="1523"/>
      <c r="C145" s="1523"/>
      <c r="D145" s="629" t="s">
        <v>38</v>
      </c>
      <c r="E145" s="1"/>
      <c r="F145" s="323" t="str">
        <f>IF(LOWER(Setting!rng_language)="english","in","po")</f>
        <v>in</v>
      </c>
      <c r="G145" s="650"/>
      <c r="H145" s="650"/>
      <c r="I145" s="651"/>
      <c r="J145" s="651"/>
      <c r="K145" s="652"/>
      <c r="L145" s="653"/>
      <c r="M145" s="653"/>
      <c r="N145" s="653"/>
      <c r="O145" s="25" t="str">
        <f>_xlfn.IFNA(VLOOKUP($C145,'Master sheet'!$A:$AR,44,FALSE),"")&amp;""</f>
        <v/>
      </c>
      <c r="P145" s="685"/>
      <c r="Q145" s="722"/>
      <c r="R145" s="722"/>
      <c r="S145" s="623"/>
      <c r="T145" s="638"/>
      <c r="U145" s="638"/>
      <c r="V145" s="638"/>
      <c r="W145" s="638"/>
      <c r="X145" s="638"/>
      <c r="Y145" s="638"/>
      <c r="Z145" s="638"/>
      <c r="AA145" s="638"/>
    </row>
    <row r="146" spans="1:27" s="624" customFormat="1" ht="21" x14ac:dyDescent="0.25">
      <c r="A146" s="639"/>
      <c r="B146" s="1524" t="s">
        <v>6836</v>
      </c>
      <c r="C146" s="1523"/>
      <c r="D146" s="640"/>
      <c r="E146" s="641"/>
      <c r="F146" s="334"/>
      <c r="G146" s="678"/>
      <c r="H146" s="639"/>
      <c r="I146" s="733"/>
      <c r="J146" s="733"/>
      <c r="K146" s="698"/>
      <c r="L146" s="736"/>
      <c r="M146" s="736"/>
      <c r="N146" s="736"/>
      <c r="O146" s="25" t="str">
        <f>_xlfn.IFNA(VLOOKUP($C146,'Master sheet'!$A:$AR,44,FALSE),"")&amp;""</f>
        <v/>
      </c>
      <c r="P146" s="637"/>
      <c r="Q146" s="722"/>
      <c r="R146" s="722"/>
      <c r="S146" s="623"/>
      <c r="T146" s="638"/>
      <c r="U146" s="638"/>
      <c r="V146" s="638"/>
      <c r="W146" s="638"/>
      <c r="X146" s="638"/>
      <c r="Y146" s="638"/>
      <c r="Z146" s="638"/>
      <c r="AA146" s="638"/>
    </row>
    <row r="147" spans="1:27" ht="22.8" x14ac:dyDescent="0.25">
      <c r="A147" s="1542"/>
      <c r="B147" s="1542"/>
      <c r="C147" s="669" t="str">
        <f>INDEX('Master sheet'!$A$1:$A$670,MATCH("248-1",'Master sheet'!$AN$1:$AN$670,0))</f>
        <v xml:space="preserve">Wood - SPF / Canadian Wood Council / British Columbia / </v>
      </c>
      <c r="D147" s="15">
        <f>'USER INPUT SHEET'!$D$30</f>
        <v>0</v>
      </c>
      <c r="E147" s="16" t="str">
        <f>'USER INPUT SHEET'!$F$30</f>
        <v>m2</v>
      </c>
      <c r="F147" s="3">
        <v>1</v>
      </c>
      <c r="G147" s="670"/>
      <c r="H147" s="8"/>
      <c r="I147" s="95">
        <f t="shared" ref="I147" si="52">K147-L147-IF(N147,M147,0)</f>
        <v>0</v>
      </c>
      <c r="J147" s="93" t="str">
        <f t="shared" ref="J147:J185" si="53">IF(H147=1,I147,"")</f>
        <v/>
      </c>
      <c r="K147" s="406">
        <f>$D147*$F147*IF($E$145=16,0.25,0.22)*VLOOKUP($C147,'Master sheet'!$A:$AL,13,FALSE)*0.0889</f>
        <v>0</v>
      </c>
      <c r="L147" s="94">
        <f>$F147*IF($E$145=16,$D147*0.25,$D147*0.22)*VLOOKUP($C147,'Master sheet'!$A:$AL,27,FALSE)*0.0889</f>
        <v>0</v>
      </c>
      <c r="M147" s="1551"/>
      <c r="N147" s="1551"/>
      <c r="O147" s="25" t="str">
        <f>_xlfn.IFNA(VLOOKUP($C147,'Master sheet'!$A:$AR,44,FALSE),"")&amp;""</f>
        <v/>
      </c>
      <c r="P147" s="685"/>
      <c r="Q147" s="717" t="s">
        <v>32</v>
      </c>
      <c r="R147" s="717" t="s">
        <v>1700</v>
      </c>
      <c r="S147" s="737" t="s">
        <v>7250</v>
      </c>
      <c r="T147" s="665"/>
      <c r="U147" s="664"/>
      <c r="V147" s="664"/>
      <c r="W147" s="664"/>
      <c r="X147" s="664"/>
      <c r="Y147" s="664"/>
      <c r="Z147" s="664"/>
      <c r="AA147" s="638"/>
    </row>
    <row r="148" spans="1:27" ht="22.8" x14ac:dyDescent="0.25">
      <c r="A148" s="1542"/>
      <c r="B148" s="1542"/>
      <c r="C148" s="669" t="str">
        <f>INDEX('Master sheet'!$A$1:$A$670,MATCH("248-2",'Master sheet'!$AN$1:$AN$670,0))</f>
        <v xml:space="preserve">Wood - SPF / Canadian Wood Council / Alberta / </v>
      </c>
      <c r="D148" s="15">
        <f>'USER INPUT SHEET'!$D$30</f>
        <v>0</v>
      </c>
      <c r="E148" s="16" t="str">
        <f>'USER INPUT SHEET'!$F$30</f>
        <v>m2</v>
      </c>
      <c r="F148" s="3">
        <v>1</v>
      </c>
      <c r="G148" s="670"/>
      <c r="H148" s="8"/>
      <c r="I148" s="95">
        <f t="shared" ref="I148:I152" si="54">K148-L148-IF(N148,M148,0)</f>
        <v>0</v>
      </c>
      <c r="J148" s="93" t="str">
        <f t="shared" ref="J148:J152" si="55">IF(H148=1,I148,"")</f>
        <v/>
      </c>
      <c r="K148" s="406">
        <f>$D148*$F148*IF($E$145=16,0.25,0.22)*VLOOKUP($C148,'Master sheet'!$A:$AL,13,FALSE)*0.0889</f>
        <v>0</v>
      </c>
      <c r="L148" s="94">
        <f>$F148*IF($E$145=16,$D148*0.25,$D148*0.22)*VLOOKUP($C148,'Master sheet'!$A:$AL,27,FALSE)*0.0889</f>
        <v>0</v>
      </c>
      <c r="M148" s="1560"/>
      <c r="N148" s="1560"/>
      <c r="O148" s="25" t="str">
        <f>_xlfn.IFNA(VLOOKUP($C148,'Master sheet'!$A:$AR,44,FALSE),"")&amp;""</f>
        <v/>
      </c>
      <c r="P148" s="685"/>
      <c r="Q148" s="717" t="s">
        <v>32</v>
      </c>
      <c r="R148" s="717" t="s">
        <v>1700</v>
      </c>
      <c r="S148" s="737" t="s">
        <v>7250</v>
      </c>
      <c r="T148" s="665"/>
      <c r="U148" s="664"/>
      <c r="V148" s="664"/>
      <c r="W148" s="664"/>
      <c r="X148" s="664"/>
      <c r="Y148" s="664"/>
      <c r="Z148" s="664"/>
      <c r="AA148" s="638"/>
    </row>
    <row r="149" spans="1:27" ht="22.8" x14ac:dyDescent="0.25">
      <c r="A149" s="1542"/>
      <c r="B149" s="1542"/>
      <c r="C149" s="669" t="str">
        <f>INDEX('Master sheet'!$A$1:$A$670,MATCH("248-3",'Master sheet'!$AN$1:$AN$670,0))</f>
        <v xml:space="preserve">Wood - SPF / Canadian Wood Council / Ontario / </v>
      </c>
      <c r="D149" s="15">
        <f>'USER INPUT SHEET'!$D$30</f>
        <v>0</v>
      </c>
      <c r="E149" s="16" t="str">
        <f>'USER INPUT SHEET'!$F$30</f>
        <v>m2</v>
      </c>
      <c r="F149" s="3">
        <v>1</v>
      </c>
      <c r="G149" s="670"/>
      <c r="H149" s="8"/>
      <c r="I149" s="95">
        <f t="shared" si="54"/>
        <v>0</v>
      </c>
      <c r="J149" s="93" t="str">
        <f t="shared" si="55"/>
        <v/>
      </c>
      <c r="K149" s="406">
        <f>$D149*$F149*IF($E$145=16,0.25,0.22)*VLOOKUP($C149,'Master sheet'!$A:$AL,13,FALSE)*0.0889</f>
        <v>0</v>
      </c>
      <c r="L149" s="94">
        <f>$F149*IF($E$145=16,$D149*0.25,$D149*0.22)*VLOOKUP($C149,'Master sheet'!$A:$AL,27,FALSE)*0.0889</f>
        <v>0</v>
      </c>
      <c r="M149" s="1560"/>
      <c r="N149" s="1560"/>
      <c r="O149" s="25" t="str">
        <f>_xlfn.IFNA(VLOOKUP($C149,'Master sheet'!$A:$AR,44,FALSE),"")&amp;""</f>
        <v/>
      </c>
      <c r="P149" s="685"/>
      <c r="Q149" s="717" t="s">
        <v>32</v>
      </c>
      <c r="R149" s="717" t="s">
        <v>1700</v>
      </c>
      <c r="S149" s="737" t="s">
        <v>7250</v>
      </c>
      <c r="T149" s="665"/>
      <c r="U149" s="664"/>
      <c r="V149" s="664"/>
      <c r="W149" s="664"/>
      <c r="X149" s="664"/>
      <c r="Y149" s="664"/>
      <c r="Z149" s="664"/>
      <c r="AA149" s="638"/>
    </row>
    <row r="150" spans="1:27" ht="22.8" x14ac:dyDescent="0.25">
      <c r="A150" s="1542"/>
      <c r="B150" s="1542"/>
      <c r="C150" s="669" t="str">
        <f>INDEX('Master sheet'!$A$1:$A$670,MATCH("248-4",'Master sheet'!$AN$1:$AN$670,0))</f>
        <v xml:space="preserve">Wood - SPF / Canadian Wood Council / Quebec / </v>
      </c>
      <c r="D150" s="15">
        <f>'USER INPUT SHEET'!$D$30</f>
        <v>0</v>
      </c>
      <c r="E150" s="16" t="str">
        <f>'USER INPUT SHEET'!$F$30</f>
        <v>m2</v>
      </c>
      <c r="F150" s="3">
        <v>1</v>
      </c>
      <c r="G150" s="670"/>
      <c r="H150" s="8"/>
      <c r="I150" s="95">
        <f t="shared" si="54"/>
        <v>0</v>
      </c>
      <c r="J150" s="93" t="str">
        <f t="shared" si="55"/>
        <v/>
      </c>
      <c r="K150" s="406">
        <f>$D150*$F150*IF($E$145=16,0.25,0.22)*VLOOKUP($C150,'Master sheet'!$A:$AL,13,FALSE)*0.0889</f>
        <v>0</v>
      </c>
      <c r="L150" s="94">
        <f>$F150*IF($E$145=16,$D150*0.25,$D150*0.22)*VLOOKUP($C150,'Master sheet'!$A:$AL,27,FALSE)*0.0889</f>
        <v>0</v>
      </c>
      <c r="M150" s="1560"/>
      <c r="N150" s="1560"/>
      <c r="O150" s="25" t="str">
        <f>_xlfn.IFNA(VLOOKUP($C150,'Master sheet'!$A:$AR,44,FALSE),"")&amp;""</f>
        <v/>
      </c>
      <c r="P150" s="685"/>
      <c r="Q150" s="717" t="s">
        <v>32</v>
      </c>
      <c r="R150" s="717" t="s">
        <v>1700</v>
      </c>
      <c r="S150" s="737" t="s">
        <v>7250</v>
      </c>
      <c r="T150" s="665"/>
      <c r="U150" s="664"/>
      <c r="V150" s="664"/>
      <c r="W150" s="664"/>
      <c r="X150" s="664"/>
      <c r="Y150" s="664"/>
      <c r="Z150" s="664"/>
      <c r="AA150" s="638"/>
    </row>
    <row r="151" spans="1:27" ht="22.8" x14ac:dyDescent="0.25">
      <c r="A151" s="1542"/>
      <c r="B151" s="1542"/>
      <c r="C151" s="669" t="str">
        <f>INDEX('Master sheet'!$A$1:$A$670,MATCH("248-5",'Master sheet'!$AN$1:$AN$670,0))</f>
        <v xml:space="preserve">Wood - SPF / Canadian Wood Council / New Brunswick / </v>
      </c>
      <c r="D151" s="15">
        <f>'USER INPUT SHEET'!$D$30</f>
        <v>0</v>
      </c>
      <c r="E151" s="16" t="str">
        <f>'USER INPUT SHEET'!$F$30</f>
        <v>m2</v>
      </c>
      <c r="F151" s="3">
        <v>1</v>
      </c>
      <c r="G151" s="670"/>
      <c r="H151" s="8"/>
      <c r="I151" s="95">
        <f t="shared" si="54"/>
        <v>0</v>
      </c>
      <c r="J151" s="93" t="str">
        <f t="shared" si="55"/>
        <v/>
      </c>
      <c r="K151" s="406">
        <f>$D151*$F151*IF($E$145=16,0.25,0.22)*VLOOKUP($C151,'Master sheet'!$A:$AL,13,FALSE)*0.0889</f>
        <v>0</v>
      </c>
      <c r="L151" s="94">
        <f>$F151*IF($E$145=16,$D151*0.25,$D151*0.22)*VLOOKUP($C151,'Master sheet'!$A:$AL,27,FALSE)*0.0889</f>
        <v>0</v>
      </c>
      <c r="M151" s="1560"/>
      <c r="N151" s="1560"/>
      <c r="O151" s="25" t="str">
        <f>_xlfn.IFNA(VLOOKUP($C151,'Master sheet'!$A:$AR,44,FALSE),"")&amp;""</f>
        <v/>
      </c>
      <c r="P151" s="685"/>
      <c r="Q151" s="717" t="s">
        <v>32</v>
      </c>
      <c r="R151" s="717" t="s">
        <v>1700</v>
      </c>
      <c r="S151" s="737" t="s">
        <v>7250</v>
      </c>
      <c r="T151" s="665"/>
      <c r="U151" s="664"/>
      <c r="V151" s="664"/>
      <c r="W151" s="664"/>
      <c r="X151" s="664"/>
      <c r="Y151" s="664"/>
      <c r="Z151" s="664"/>
      <c r="AA151" s="638"/>
    </row>
    <row r="152" spans="1:27" ht="22.8" x14ac:dyDescent="0.25">
      <c r="A152" s="1542"/>
      <c r="B152" s="1542"/>
      <c r="C152" s="669" t="str">
        <f>INDEX('Master sheet'!$A$1:$A$670,MATCH("248-6",'Master sheet'!$AN$1:$AN$670,0))</f>
        <v xml:space="preserve">Wood - SPF / Canadian Wood Council / Atlantic Canada / </v>
      </c>
      <c r="D152" s="15">
        <f>'USER INPUT SHEET'!$D$30</f>
        <v>0</v>
      </c>
      <c r="E152" s="16" t="str">
        <f>'USER INPUT SHEET'!$F$30</f>
        <v>m2</v>
      </c>
      <c r="F152" s="3">
        <v>1</v>
      </c>
      <c r="G152" s="670"/>
      <c r="H152" s="8"/>
      <c r="I152" s="95">
        <f t="shared" si="54"/>
        <v>0</v>
      </c>
      <c r="J152" s="93" t="str">
        <f t="shared" si="55"/>
        <v/>
      </c>
      <c r="K152" s="406">
        <f>$D152*$F152*IF($E$145=16,0.25,0.22)*VLOOKUP($C152,'Master sheet'!$A:$AL,13,FALSE)*0.0889</f>
        <v>0</v>
      </c>
      <c r="L152" s="94">
        <f>$F152*IF($E$145=16,$D152*0.25,$D152*0.22)*VLOOKUP($C152,'Master sheet'!$A:$AL,27,FALSE)*0.0889</f>
        <v>0</v>
      </c>
      <c r="M152" s="1560"/>
      <c r="N152" s="1560"/>
      <c r="O152" s="25" t="str">
        <f>_xlfn.IFNA(VLOOKUP($C152,'Master sheet'!$A:$AR,44,FALSE),"")&amp;""</f>
        <v/>
      </c>
      <c r="P152" s="685"/>
      <c r="Q152" s="717" t="s">
        <v>32</v>
      </c>
      <c r="R152" s="717" t="s">
        <v>1700</v>
      </c>
      <c r="S152" s="737" t="s">
        <v>7250</v>
      </c>
      <c r="T152" s="665"/>
      <c r="U152" s="664"/>
      <c r="V152" s="664"/>
      <c r="W152" s="664"/>
      <c r="X152" s="664"/>
      <c r="Y152" s="664"/>
      <c r="Z152" s="664"/>
      <c r="AA152" s="638"/>
    </row>
    <row r="153" spans="1:27" s="624" customFormat="1" ht="21" x14ac:dyDescent="0.25">
      <c r="A153" s="639"/>
      <c r="B153" s="1524" t="s">
        <v>6837</v>
      </c>
      <c r="C153" s="1523"/>
      <c r="D153" s="640"/>
      <c r="E153" s="641"/>
      <c r="F153" s="334"/>
      <c r="G153" s="678"/>
      <c r="H153" s="639"/>
      <c r="I153" s="733"/>
      <c r="J153" s="733"/>
      <c r="K153" s="698"/>
      <c r="L153" s="736"/>
      <c r="M153" s="736"/>
      <c r="N153" s="736"/>
      <c r="O153" s="25" t="str">
        <f>_xlfn.IFNA(VLOOKUP($C153,'Master sheet'!$A:$AR,44,FALSE),"")&amp;""</f>
        <v/>
      </c>
      <c r="P153" s="637"/>
      <c r="Q153" s="722"/>
      <c r="R153" s="722"/>
      <c r="S153" s="623"/>
      <c r="T153" s="638"/>
      <c r="U153" s="638"/>
      <c r="V153" s="638"/>
      <c r="W153" s="638"/>
      <c r="X153" s="638"/>
      <c r="Y153" s="638"/>
      <c r="Z153" s="638"/>
      <c r="AA153" s="638"/>
    </row>
    <row r="154" spans="1:27" ht="22.8" x14ac:dyDescent="0.25">
      <c r="A154" s="1542"/>
      <c r="B154" s="1542"/>
      <c r="C154" s="669" t="str">
        <f>INDEX('Master sheet'!$A$1:$A$670,MATCH("248-1",'Master sheet'!$AN$1:$AN$670,0))</f>
        <v xml:space="preserve">Wood - SPF / Canadian Wood Council / British Columbia / </v>
      </c>
      <c r="D154" s="15">
        <f>'USER INPUT SHEET'!$D$30</f>
        <v>0</v>
      </c>
      <c r="E154" s="16" t="str">
        <f>'USER INPUT SHEET'!$F$30</f>
        <v>m2</v>
      </c>
      <c r="F154" s="3">
        <v>1</v>
      </c>
      <c r="G154" s="670"/>
      <c r="H154" s="8"/>
      <c r="I154" s="95">
        <f t="shared" ref="I154" si="56">K154-L154-IF(N154,M154,0)</f>
        <v>0</v>
      </c>
      <c r="J154" s="93" t="str">
        <f t="shared" ref="J154" si="57">IF(H154=1,I154,"")</f>
        <v/>
      </c>
      <c r="K154" s="406">
        <f>$D154*$F154*IF($E$145=16,0.25,0.22)*VLOOKUP($C154,'Master sheet'!$A:$AL,13,FALSE)*0.1397</f>
        <v>0</v>
      </c>
      <c r="L154" s="94">
        <f>$F154*IF($E$145=16,$D154*0.25,$D154*0.22)*VLOOKUP($C154,'Master sheet'!$A:$AL,27,FALSE)*0.1397</f>
        <v>0</v>
      </c>
      <c r="M154" s="1551"/>
      <c r="N154" s="1551"/>
      <c r="O154" s="25" t="str">
        <f>_xlfn.IFNA(VLOOKUP($C154,'Master sheet'!$A:$AR,44,FALSE),"")&amp;""</f>
        <v/>
      </c>
      <c r="P154" s="685"/>
      <c r="Q154" s="717" t="s">
        <v>32</v>
      </c>
      <c r="R154" s="717" t="s">
        <v>1700</v>
      </c>
      <c r="S154" s="737" t="s">
        <v>7251</v>
      </c>
      <c r="T154" s="665"/>
      <c r="U154" s="664"/>
      <c r="V154" s="664"/>
      <c r="W154" s="664"/>
      <c r="X154" s="664"/>
      <c r="Y154" s="664"/>
      <c r="Z154" s="664"/>
      <c r="AA154" s="638"/>
    </row>
    <row r="155" spans="1:27" ht="22.8" x14ac:dyDescent="0.25">
      <c r="A155" s="1542"/>
      <c r="B155" s="1542"/>
      <c r="C155" s="669" t="str">
        <f>INDEX('Master sheet'!$A$1:$A$670,MATCH("248-2",'Master sheet'!$AN$1:$AN$670,0))</f>
        <v xml:space="preserve">Wood - SPF / Canadian Wood Council / Alberta / </v>
      </c>
      <c r="D155" s="15">
        <f>'USER INPUT SHEET'!$D$30</f>
        <v>0</v>
      </c>
      <c r="E155" s="16" t="str">
        <f>'USER INPUT SHEET'!$F$30</f>
        <v>m2</v>
      </c>
      <c r="F155" s="3">
        <v>1</v>
      </c>
      <c r="G155" s="670"/>
      <c r="H155" s="8"/>
      <c r="I155" s="95">
        <f t="shared" ref="I155:I159" si="58">K155-L155-IF(N155,M155,0)</f>
        <v>0</v>
      </c>
      <c r="J155" s="93" t="str">
        <f t="shared" ref="J155:J159" si="59">IF(H155=1,I155,"")</f>
        <v/>
      </c>
      <c r="K155" s="406">
        <f>$D155*$F155*IF($E$145=16,0.25,0.22)*VLOOKUP($C155,'Master sheet'!$A:$AL,13,FALSE)*0.1397</f>
        <v>0</v>
      </c>
      <c r="L155" s="94">
        <f>$F155*IF($E$145=16,$D155*0.25,$D155*0.22)*VLOOKUP($C155,'Master sheet'!$A:$AL,27,FALSE)*0.1397</f>
        <v>0</v>
      </c>
      <c r="M155" s="1560"/>
      <c r="N155" s="1560"/>
      <c r="O155" s="25" t="str">
        <f>_xlfn.IFNA(VLOOKUP($C155,'Master sheet'!$A:$AR,44,FALSE),"")&amp;""</f>
        <v/>
      </c>
      <c r="P155" s="685"/>
      <c r="Q155" s="717" t="s">
        <v>32</v>
      </c>
      <c r="R155" s="717" t="s">
        <v>1700</v>
      </c>
      <c r="S155" s="737" t="s">
        <v>7251</v>
      </c>
      <c r="T155" s="665"/>
      <c r="U155" s="664"/>
      <c r="V155" s="664"/>
      <c r="W155" s="664"/>
      <c r="X155" s="664"/>
      <c r="Y155" s="664"/>
      <c r="Z155" s="664"/>
      <c r="AA155" s="638"/>
    </row>
    <row r="156" spans="1:27" ht="22.8" x14ac:dyDescent="0.25">
      <c r="A156" s="1542"/>
      <c r="B156" s="1542"/>
      <c r="C156" s="669" t="str">
        <f>INDEX('Master sheet'!$A$1:$A$670,MATCH("248-3",'Master sheet'!$AN$1:$AN$670,0))</f>
        <v xml:space="preserve">Wood - SPF / Canadian Wood Council / Ontario / </v>
      </c>
      <c r="D156" s="15">
        <f>'USER INPUT SHEET'!$D$30</f>
        <v>0</v>
      </c>
      <c r="E156" s="16" t="str">
        <f>'USER INPUT SHEET'!$F$30</f>
        <v>m2</v>
      </c>
      <c r="F156" s="3">
        <v>1</v>
      </c>
      <c r="G156" s="670"/>
      <c r="H156" s="8"/>
      <c r="I156" s="95">
        <f t="shared" si="58"/>
        <v>0</v>
      </c>
      <c r="J156" s="93" t="str">
        <f t="shared" si="59"/>
        <v/>
      </c>
      <c r="K156" s="406">
        <f>$D156*$F156*IF($E$145=16,0.25,0.22)*VLOOKUP($C156,'Master sheet'!$A:$AL,13,FALSE)*0.1397</f>
        <v>0</v>
      </c>
      <c r="L156" s="94">
        <f>$F156*IF($E$145=16,$D156*0.25,$D156*0.22)*VLOOKUP($C156,'Master sheet'!$A:$AL,27,FALSE)*0.1397</f>
        <v>0</v>
      </c>
      <c r="M156" s="1560"/>
      <c r="N156" s="1560"/>
      <c r="O156" s="25" t="str">
        <f>_xlfn.IFNA(VLOOKUP($C156,'Master sheet'!$A:$AR,44,FALSE),"")&amp;""</f>
        <v/>
      </c>
      <c r="P156" s="685"/>
      <c r="Q156" s="717" t="s">
        <v>32</v>
      </c>
      <c r="R156" s="717" t="s">
        <v>1700</v>
      </c>
      <c r="S156" s="737" t="s">
        <v>7251</v>
      </c>
      <c r="T156" s="665"/>
      <c r="U156" s="664"/>
      <c r="V156" s="664"/>
      <c r="W156" s="664"/>
      <c r="X156" s="664"/>
      <c r="Y156" s="664"/>
      <c r="Z156" s="664"/>
      <c r="AA156" s="664"/>
    </row>
    <row r="157" spans="1:27" ht="22.8" x14ac:dyDescent="0.25">
      <c r="A157" s="1542"/>
      <c r="B157" s="1542"/>
      <c r="C157" s="669" t="str">
        <f>INDEX('Master sheet'!$A$1:$A$670,MATCH("248-4",'Master sheet'!$AN$1:$AN$670,0))</f>
        <v xml:space="preserve">Wood - SPF / Canadian Wood Council / Quebec / </v>
      </c>
      <c r="D157" s="15">
        <f>'USER INPUT SHEET'!$D$30</f>
        <v>0</v>
      </c>
      <c r="E157" s="16" t="str">
        <f>'USER INPUT SHEET'!$F$30</f>
        <v>m2</v>
      </c>
      <c r="F157" s="3">
        <v>1</v>
      </c>
      <c r="G157" s="670"/>
      <c r="H157" s="8"/>
      <c r="I157" s="95">
        <f t="shared" si="58"/>
        <v>0</v>
      </c>
      <c r="J157" s="93" t="str">
        <f t="shared" si="59"/>
        <v/>
      </c>
      <c r="K157" s="406">
        <f>$D157*$F157*IF($E$145=16,0.25,0.22)*VLOOKUP($C157,'Master sheet'!$A:$AL,13,FALSE)*0.1397</f>
        <v>0</v>
      </c>
      <c r="L157" s="94">
        <f>$F157*IF($E$145=16,$D157*0.25,$D157*0.22)*VLOOKUP($C157,'Master sheet'!$A:$AL,27,FALSE)*0.1397</f>
        <v>0</v>
      </c>
      <c r="M157" s="1560"/>
      <c r="N157" s="1560"/>
      <c r="O157" s="25" t="str">
        <f>_xlfn.IFNA(VLOOKUP($C157,'Master sheet'!$A:$AR,44,FALSE),"")&amp;""</f>
        <v/>
      </c>
      <c r="P157" s="685"/>
      <c r="Q157" s="717" t="s">
        <v>32</v>
      </c>
      <c r="R157" s="717" t="s">
        <v>1700</v>
      </c>
      <c r="S157" s="737" t="s">
        <v>7251</v>
      </c>
      <c r="T157" s="665"/>
      <c r="U157" s="664"/>
      <c r="V157" s="664"/>
      <c r="W157" s="664"/>
      <c r="X157" s="664"/>
      <c r="Y157" s="664"/>
      <c r="Z157" s="664"/>
    </row>
    <row r="158" spans="1:27" ht="22.8" x14ac:dyDescent="0.25">
      <c r="A158" s="1542"/>
      <c r="B158" s="1542"/>
      <c r="C158" s="669" t="str">
        <f>INDEX('Master sheet'!$A$1:$A$670,MATCH("248-5",'Master sheet'!$AN$1:$AN$670,0))</f>
        <v xml:space="preserve">Wood - SPF / Canadian Wood Council / New Brunswick / </v>
      </c>
      <c r="D158" s="15">
        <f>'USER INPUT SHEET'!$D$30</f>
        <v>0</v>
      </c>
      <c r="E158" s="16" t="str">
        <f>'USER INPUT SHEET'!$F$30</f>
        <v>m2</v>
      </c>
      <c r="F158" s="3">
        <v>1</v>
      </c>
      <c r="G158" s="670"/>
      <c r="H158" s="8"/>
      <c r="I158" s="95">
        <f t="shared" si="58"/>
        <v>0</v>
      </c>
      <c r="J158" s="93" t="str">
        <f t="shared" si="59"/>
        <v/>
      </c>
      <c r="K158" s="406">
        <f>$D158*$F158*IF($E$145=16,0.25,0.22)*VLOOKUP($C158,'Master sheet'!$A:$AL,13,FALSE)*0.1397</f>
        <v>0</v>
      </c>
      <c r="L158" s="94">
        <f>$F158*IF($E$145=16,$D158*0.25,$D158*0.22)*VLOOKUP($C158,'Master sheet'!$A:$AL,27,FALSE)*0.1397</f>
        <v>0</v>
      </c>
      <c r="M158" s="1560"/>
      <c r="N158" s="1560"/>
      <c r="O158" s="25" t="str">
        <f>_xlfn.IFNA(VLOOKUP($C158,'Master sheet'!$A:$AR,44,FALSE),"")&amp;""</f>
        <v/>
      </c>
      <c r="P158" s="685"/>
      <c r="Q158" s="717" t="s">
        <v>32</v>
      </c>
      <c r="R158" s="717" t="s">
        <v>1700</v>
      </c>
      <c r="S158" s="737" t="s">
        <v>7251</v>
      </c>
      <c r="T158" s="665"/>
      <c r="U158" s="664"/>
      <c r="V158" s="664"/>
      <c r="W158" s="664"/>
      <c r="X158" s="664"/>
      <c r="Y158" s="664"/>
      <c r="Z158" s="664"/>
    </row>
    <row r="159" spans="1:27" ht="22.8" x14ac:dyDescent="0.25">
      <c r="A159" s="1542"/>
      <c r="B159" s="1542"/>
      <c r="C159" s="669" t="str">
        <f>INDEX('Master sheet'!$A$1:$A$670,MATCH("248-6",'Master sheet'!$AN$1:$AN$670,0))</f>
        <v xml:space="preserve">Wood - SPF / Canadian Wood Council / Atlantic Canada / </v>
      </c>
      <c r="D159" s="15">
        <f>'USER INPUT SHEET'!$D$30</f>
        <v>0</v>
      </c>
      <c r="E159" s="16" t="str">
        <f>'USER INPUT SHEET'!$F$30</f>
        <v>m2</v>
      </c>
      <c r="F159" s="3">
        <v>1</v>
      </c>
      <c r="G159" s="670"/>
      <c r="H159" s="8"/>
      <c r="I159" s="95">
        <f t="shared" si="58"/>
        <v>0</v>
      </c>
      <c r="J159" s="93" t="str">
        <f t="shared" si="59"/>
        <v/>
      </c>
      <c r="K159" s="406">
        <f>$D159*$F159*IF($E$145=16,0.25,0.22)*VLOOKUP($C159,'Master sheet'!$A:$AL,13,FALSE)*0.1397</f>
        <v>0</v>
      </c>
      <c r="L159" s="94">
        <f>$F159*IF($E$145=16,$D159*0.25,$D159*0.22)*VLOOKUP($C159,'Master sheet'!$A:$AL,27,FALSE)*0.1397</f>
        <v>0</v>
      </c>
      <c r="M159" s="1560"/>
      <c r="N159" s="1560"/>
      <c r="O159" s="25" t="str">
        <f>_xlfn.IFNA(VLOOKUP($C159,'Master sheet'!$A:$AR,44,FALSE),"")&amp;""</f>
        <v/>
      </c>
      <c r="P159" s="685"/>
      <c r="Q159" s="717" t="s">
        <v>32</v>
      </c>
      <c r="R159" s="717" t="s">
        <v>1700</v>
      </c>
      <c r="S159" s="737" t="s">
        <v>7251</v>
      </c>
      <c r="T159" s="665"/>
      <c r="U159" s="664"/>
      <c r="V159" s="664"/>
      <c r="W159" s="664"/>
      <c r="X159" s="664"/>
      <c r="Y159" s="664"/>
      <c r="Z159" s="664"/>
    </row>
    <row r="160" spans="1:27" s="624" customFormat="1" ht="21" x14ac:dyDescent="0.25">
      <c r="A160" s="639"/>
      <c r="B160" s="1524" t="s">
        <v>6838</v>
      </c>
      <c r="C160" s="1523"/>
      <c r="D160" s="640"/>
      <c r="E160" s="641"/>
      <c r="F160" s="334"/>
      <c r="G160" s="678"/>
      <c r="H160" s="639"/>
      <c r="I160" s="733"/>
      <c r="J160" s="733"/>
      <c r="K160" s="698"/>
      <c r="L160" s="736"/>
      <c r="M160" s="736"/>
      <c r="N160" s="736"/>
      <c r="O160" s="25" t="str">
        <f>_xlfn.IFNA(VLOOKUP($C160,'Master sheet'!$A:$AR,44,FALSE),"")&amp;""</f>
        <v/>
      </c>
      <c r="P160" s="637"/>
      <c r="Q160" s="722"/>
      <c r="R160" s="722"/>
      <c r="S160" s="623"/>
      <c r="T160" s="638"/>
      <c r="U160" s="638"/>
      <c r="V160" s="638"/>
      <c r="W160" s="638"/>
      <c r="X160" s="638"/>
      <c r="Y160" s="638"/>
      <c r="Z160" s="638"/>
      <c r="AA160" s="619"/>
    </row>
    <row r="161" spans="1:26" ht="22.8" x14ac:dyDescent="0.25">
      <c r="A161" s="1542"/>
      <c r="B161" s="1542"/>
      <c r="C161" s="669" t="str">
        <f>INDEX('Master sheet'!$A$1:$A$670,MATCH("248-1",'Master sheet'!$AN$1:$AN$670,0))</f>
        <v xml:space="preserve">Wood - SPF / Canadian Wood Council / British Columbia / </v>
      </c>
      <c r="D161" s="15">
        <f>'USER INPUT SHEET'!$D$30</f>
        <v>0</v>
      </c>
      <c r="E161" s="16" t="str">
        <f>'USER INPUT SHEET'!$F$30</f>
        <v>m2</v>
      </c>
      <c r="F161" s="3">
        <v>1</v>
      </c>
      <c r="G161" s="670"/>
      <c r="H161" s="8"/>
      <c r="I161" s="95">
        <f t="shared" ref="I161" si="60">K161-L161-IF(N161,M161,0)</f>
        <v>0</v>
      </c>
      <c r="J161" s="93" t="str">
        <f t="shared" ref="J161" si="61">IF(H161=1,I161,"")</f>
        <v/>
      </c>
      <c r="K161" s="406">
        <f>$D161*$F161*IF($E$145=16,0.25,0.22)*VLOOKUP($C161,'Master sheet'!$A:$AL,13,FALSE)*0.18415</f>
        <v>0</v>
      </c>
      <c r="L161" s="94">
        <f>$F161*IF($E$145=16,$D161*0.25,$D161*0.22)*VLOOKUP($C161,'Master sheet'!$A:$AL,27,FALSE)*0.18415</f>
        <v>0</v>
      </c>
      <c r="M161" s="1551"/>
      <c r="N161" s="1551"/>
      <c r="O161" s="25" t="str">
        <f>_xlfn.IFNA(VLOOKUP($C161,'Master sheet'!$A:$AR,44,FALSE),"")&amp;""</f>
        <v/>
      </c>
      <c r="P161" s="685"/>
      <c r="Q161" s="717" t="s">
        <v>32</v>
      </c>
      <c r="R161" s="717" t="s">
        <v>1700</v>
      </c>
      <c r="S161" s="737" t="s">
        <v>7252</v>
      </c>
      <c r="T161" s="665"/>
      <c r="U161" s="664"/>
      <c r="V161" s="664"/>
      <c r="W161" s="664"/>
      <c r="X161" s="664"/>
      <c r="Y161" s="664"/>
      <c r="Z161" s="664"/>
    </row>
    <row r="162" spans="1:26" ht="22.8" x14ac:dyDescent="0.25">
      <c r="A162" s="1542"/>
      <c r="B162" s="1542"/>
      <c r="C162" s="669" t="str">
        <f>INDEX('Master sheet'!$A$1:$A$670,MATCH("248-2",'Master sheet'!$AN$1:$AN$670,0))</f>
        <v xml:space="preserve">Wood - SPF / Canadian Wood Council / Alberta / </v>
      </c>
      <c r="D162" s="15">
        <f>'USER INPUT SHEET'!$D$30</f>
        <v>0</v>
      </c>
      <c r="E162" s="16" t="str">
        <f>'USER INPUT SHEET'!$F$30</f>
        <v>m2</v>
      </c>
      <c r="F162" s="3">
        <v>1</v>
      </c>
      <c r="G162" s="670"/>
      <c r="H162" s="8"/>
      <c r="I162" s="95">
        <f t="shared" ref="I162:I166" si="62">K162-L162-IF(N162,M162,0)</f>
        <v>0</v>
      </c>
      <c r="J162" s="93" t="str">
        <f t="shared" ref="J162:J166" si="63">IF(H162=1,I162,"")</f>
        <v/>
      </c>
      <c r="K162" s="406">
        <f>$D162*$F162*IF($E$145=16,0.25,0.22)*VLOOKUP($C162,'Master sheet'!$A:$AL,13,FALSE)*0.18415</f>
        <v>0</v>
      </c>
      <c r="L162" s="94">
        <f>$F162*IF($E$145=16,$D162*0.25,$D162*0.22)*VLOOKUP($C162,'Master sheet'!$A:$AL,27,FALSE)*0.18415</f>
        <v>0</v>
      </c>
      <c r="M162" s="1560"/>
      <c r="N162" s="1560"/>
      <c r="O162" s="25" t="str">
        <f>_xlfn.IFNA(VLOOKUP($C162,'Master sheet'!$A:$AR,44,FALSE),"")&amp;""</f>
        <v/>
      </c>
      <c r="P162" s="685"/>
      <c r="Q162" s="717" t="s">
        <v>32</v>
      </c>
      <c r="R162" s="717" t="s">
        <v>1700</v>
      </c>
      <c r="S162" s="737" t="s">
        <v>7252</v>
      </c>
      <c r="T162" s="665"/>
      <c r="U162" s="664"/>
      <c r="V162" s="664"/>
      <c r="W162" s="664"/>
      <c r="X162" s="664"/>
      <c r="Y162" s="664"/>
      <c r="Z162" s="664"/>
    </row>
    <row r="163" spans="1:26" ht="22.8" x14ac:dyDescent="0.25">
      <c r="A163" s="1542"/>
      <c r="B163" s="1542"/>
      <c r="C163" s="669" t="str">
        <f>INDEX('Master sheet'!$A$1:$A$670,MATCH("248-3",'Master sheet'!$AN$1:$AN$670,0))</f>
        <v xml:space="preserve">Wood - SPF / Canadian Wood Council / Ontario / </v>
      </c>
      <c r="D163" s="15">
        <f>'USER INPUT SHEET'!$D$30</f>
        <v>0</v>
      </c>
      <c r="E163" s="16" t="str">
        <f>'USER INPUT SHEET'!$F$30</f>
        <v>m2</v>
      </c>
      <c r="F163" s="3">
        <v>1</v>
      </c>
      <c r="G163" s="670"/>
      <c r="H163" s="8"/>
      <c r="I163" s="95">
        <f t="shared" si="62"/>
        <v>0</v>
      </c>
      <c r="J163" s="93" t="str">
        <f t="shared" si="63"/>
        <v/>
      </c>
      <c r="K163" s="406">
        <f>$D163*$F163*IF($E$145=16,0.25,0.22)*VLOOKUP($C163,'Master sheet'!$A:$AL,13,FALSE)*0.18415</f>
        <v>0</v>
      </c>
      <c r="L163" s="94">
        <f>$F163*IF($E$145=16,$D163*0.25,$D163*0.22)*VLOOKUP($C163,'Master sheet'!$A:$AL,27,FALSE)*0.18415</f>
        <v>0</v>
      </c>
      <c r="M163" s="1560"/>
      <c r="N163" s="1560"/>
      <c r="O163" s="25" t="str">
        <f>_xlfn.IFNA(VLOOKUP($C163,'Master sheet'!$A:$AR,44,FALSE),"")&amp;""</f>
        <v/>
      </c>
      <c r="P163" s="685"/>
      <c r="Q163" s="717" t="s">
        <v>32</v>
      </c>
      <c r="R163" s="717" t="s">
        <v>1700</v>
      </c>
      <c r="S163" s="737" t="s">
        <v>7252</v>
      </c>
      <c r="T163" s="665"/>
      <c r="U163" s="664"/>
      <c r="V163" s="664"/>
      <c r="W163" s="664"/>
      <c r="X163" s="664"/>
      <c r="Y163" s="664"/>
      <c r="Z163" s="664"/>
    </row>
    <row r="164" spans="1:26" ht="22.8" x14ac:dyDescent="0.25">
      <c r="A164" s="1542"/>
      <c r="B164" s="1542"/>
      <c r="C164" s="669" t="str">
        <f>INDEX('Master sheet'!$A$1:$A$670,MATCH("248-4",'Master sheet'!$AN$1:$AN$670,0))</f>
        <v xml:space="preserve">Wood - SPF / Canadian Wood Council / Quebec / </v>
      </c>
      <c r="D164" s="15">
        <f>'USER INPUT SHEET'!$D$30</f>
        <v>0</v>
      </c>
      <c r="E164" s="16" t="str">
        <f>'USER INPUT SHEET'!$F$30</f>
        <v>m2</v>
      </c>
      <c r="F164" s="3">
        <v>1</v>
      </c>
      <c r="G164" s="670"/>
      <c r="H164" s="8"/>
      <c r="I164" s="95">
        <f t="shared" si="62"/>
        <v>0</v>
      </c>
      <c r="J164" s="93" t="str">
        <f t="shared" si="63"/>
        <v/>
      </c>
      <c r="K164" s="406">
        <f>$D164*$F164*IF($E$145=16,0.25,0.22)*VLOOKUP($C164,'Master sheet'!$A:$AL,13,FALSE)*0.18415</f>
        <v>0</v>
      </c>
      <c r="L164" s="94">
        <f>$F164*IF($E$145=16,$D164*0.25,$D164*0.22)*VLOOKUP($C164,'Master sheet'!$A:$AL,27,FALSE)*0.18415</f>
        <v>0</v>
      </c>
      <c r="M164" s="1560"/>
      <c r="N164" s="1560"/>
      <c r="O164" s="25" t="str">
        <f>_xlfn.IFNA(VLOOKUP($C164,'Master sheet'!$A:$AR,44,FALSE),"")&amp;""</f>
        <v/>
      </c>
      <c r="P164" s="685"/>
      <c r="Q164" s="717" t="s">
        <v>32</v>
      </c>
      <c r="R164" s="717" t="s">
        <v>1700</v>
      </c>
      <c r="S164" s="737" t="s">
        <v>7252</v>
      </c>
      <c r="T164" s="665"/>
      <c r="U164" s="664"/>
      <c r="V164" s="664"/>
      <c r="W164" s="664"/>
      <c r="X164" s="664"/>
      <c r="Y164" s="664"/>
      <c r="Z164" s="664"/>
    </row>
    <row r="165" spans="1:26" ht="22.8" x14ac:dyDescent="0.25">
      <c r="A165" s="1542"/>
      <c r="B165" s="1542"/>
      <c r="C165" s="669" t="str">
        <f>INDEX('Master sheet'!$A$1:$A$670,MATCH("248-5",'Master sheet'!$AN$1:$AN$670,0))</f>
        <v xml:space="preserve">Wood - SPF / Canadian Wood Council / New Brunswick / </v>
      </c>
      <c r="D165" s="15">
        <f>'USER INPUT SHEET'!$D$30</f>
        <v>0</v>
      </c>
      <c r="E165" s="16" t="str">
        <f>'USER INPUT SHEET'!$F$30</f>
        <v>m2</v>
      </c>
      <c r="F165" s="3">
        <v>1</v>
      </c>
      <c r="G165" s="670"/>
      <c r="H165" s="8"/>
      <c r="I165" s="95">
        <f t="shared" si="62"/>
        <v>0</v>
      </c>
      <c r="J165" s="93" t="str">
        <f t="shared" si="63"/>
        <v/>
      </c>
      <c r="K165" s="406">
        <f>$D165*$F165*IF($E$145=16,0.25,0.22)*VLOOKUP($C165,'Master sheet'!$A:$AL,13,FALSE)*0.18415</f>
        <v>0</v>
      </c>
      <c r="L165" s="94">
        <f>$F165*IF($E$145=16,$D165*0.25,$D165*0.22)*VLOOKUP($C165,'Master sheet'!$A:$AL,27,FALSE)*0.18415</f>
        <v>0</v>
      </c>
      <c r="M165" s="1560"/>
      <c r="N165" s="1560"/>
      <c r="O165" s="25" t="str">
        <f>_xlfn.IFNA(VLOOKUP($C165,'Master sheet'!$A:$AR,44,FALSE),"")&amp;""</f>
        <v/>
      </c>
      <c r="P165" s="685"/>
      <c r="Q165" s="717" t="s">
        <v>32</v>
      </c>
      <c r="R165" s="717" t="s">
        <v>1700</v>
      </c>
      <c r="S165" s="737" t="s">
        <v>7252</v>
      </c>
      <c r="T165" s="665"/>
      <c r="U165" s="664"/>
      <c r="V165" s="664"/>
      <c r="W165" s="664"/>
      <c r="X165" s="664"/>
      <c r="Y165" s="664"/>
      <c r="Z165" s="664"/>
    </row>
    <row r="166" spans="1:26" ht="22.8" x14ac:dyDescent="0.25">
      <c r="A166" s="1542"/>
      <c r="B166" s="1542"/>
      <c r="C166" s="669" t="str">
        <f>INDEX('Master sheet'!$A$1:$A$670,MATCH("248-6",'Master sheet'!$AN$1:$AN$670,0))</f>
        <v xml:space="preserve">Wood - SPF / Canadian Wood Council / Atlantic Canada / </v>
      </c>
      <c r="D166" s="15">
        <f>'USER INPUT SHEET'!$D$30</f>
        <v>0</v>
      </c>
      <c r="E166" s="16" t="str">
        <f>'USER INPUT SHEET'!$F$30</f>
        <v>m2</v>
      </c>
      <c r="F166" s="3">
        <v>1</v>
      </c>
      <c r="G166" s="670"/>
      <c r="H166" s="8"/>
      <c r="I166" s="95">
        <f t="shared" si="62"/>
        <v>0</v>
      </c>
      <c r="J166" s="93" t="str">
        <f t="shared" si="63"/>
        <v/>
      </c>
      <c r="K166" s="406">
        <f>$D166*$F166*IF($E$145=16,0.25,0.22)*VLOOKUP($C166,'Master sheet'!$A:$AL,13,FALSE)*0.18415</f>
        <v>0</v>
      </c>
      <c r="L166" s="94">
        <f>$F166*IF($E$145=16,$D166*0.25,$D166*0.22)*VLOOKUP($C166,'Master sheet'!$A:$AL,27,FALSE)*0.18415</f>
        <v>0</v>
      </c>
      <c r="M166" s="1560"/>
      <c r="N166" s="1560"/>
      <c r="O166" s="25" t="str">
        <f>_xlfn.IFNA(VLOOKUP($C166,'Master sheet'!$A:$AR,44,FALSE),"")&amp;""</f>
        <v/>
      </c>
      <c r="P166" s="685"/>
      <c r="Q166" s="717" t="s">
        <v>32</v>
      </c>
      <c r="R166" s="717" t="s">
        <v>1700</v>
      </c>
      <c r="S166" s="737" t="s">
        <v>7252</v>
      </c>
      <c r="T166" s="665"/>
      <c r="U166" s="664"/>
      <c r="V166" s="664"/>
      <c r="W166" s="664"/>
      <c r="X166" s="664"/>
      <c r="Y166" s="664"/>
      <c r="Z166" s="664"/>
    </row>
    <row r="167" spans="1:26" s="624" customFormat="1" ht="21" x14ac:dyDescent="0.25">
      <c r="A167" s="639"/>
      <c r="B167" s="1524" t="s">
        <v>6839</v>
      </c>
      <c r="C167" s="1523"/>
      <c r="D167" s="640"/>
      <c r="E167" s="641"/>
      <c r="F167" s="334"/>
      <c r="G167" s="678"/>
      <c r="H167" s="639"/>
      <c r="I167" s="733"/>
      <c r="J167" s="733"/>
      <c r="K167" s="698"/>
      <c r="L167" s="736"/>
      <c r="M167" s="736"/>
      <c r="N167" s="736"/>
      <c r="O167" s="25" t="str">
        <f>_xlfn.IFNA(VLOOKUP($C167,'Master sheet'!$A:$AR,44,FALSE),"")&amp;""</f>
        <v/>
      </c>
      <c r="P167" s="637"/>
      <c r="Q167" s="722"/>
      <c r="R167" s="722"/>
      <c r="S167" s="623"/>
      <c r="T167" s="638"/>
      <c r="U167" s="638"/>
      <c r="V167" s="638"/>
      <c r="W167" s="638"/>
      <c r="X167" s="638"/>
      <c r="Y167" s="638"/>
      <c r="Z167" s="638"/>
    </row>
    <row r="168" spans="1:26" ht="22.8" x14ac:dyDescent="0.25">
      <c r="A168" s="1542"/>
      <c r="B168" s="1542"/>
      <c r="C168" s="673" t="str">
        <f>INDEX('Master sheet'!$A$1:$A$670,MATCH("248-1",'Master sheet'!$AN$1:$AN$670,0))</f>
        <v xml:space="preserve">Wood - SPF / Canadian Wood Council / British Columbia / </v>
      </c>
      <c r="D168" s="17">
        <f>'USER INPUT SHEET'!$D$30</f>
        <v>0</v>
      </c>
      <c r="E168" s="18" t="str">
        <f>'USER INPUT SHEET'!$F$30</f>
        <v>m2</v>
      </c>
      <c r="F168" s="4">
        <v>1</v>
      </c>
      <c r="G168" s="674"/>
      <c r="H168" s="9"/>
      <c r="I168" s="95">
        <f t="shared" ref="I168" si="64">K168-L168-IF(N168,M168,0)</f>
        <v>0</v>
      </c>
      <c r="J168" s="96" t="str">
        <f t="shared" ref="J168" si="65">IF(H168=1,I168,"")</f>
        <v/>
      </c>
      <c r="K168" s="407">
        <f>$D168*$F168*IF($E$145=16,0.25,0.22)*VLOOKUP($C168,'Master sheet'!$A:$AL,13,FALSE)*(2*0.0889)</f>
        <v>0</v>
      </c>
      <c r="L168" s="97">
        <f>$F168*IF($E$145=16,$D168*0.25,$D168*0.22)*VLOOKUP($C168,'Master sheet'!$A:$AL,27,FALSE)*(2*0.0889)</f>
        <v>0</v>
      </c>
      <c r="M168" s="1551"/>
      <c r="N168" s="1551"/>
      <c r="O168" s="25" t="str">
        <f>_xlfn.IFNA(VLOOKUP($C168,'Master sheet'!$A:$AR,44,FALSE),"")&amp;""</f>
        <v/>
      </c>
      <c r="P168" s="637"/>
      <c r="Q168" s="722" t="s">
        <v>32</v>
      </c>
      <c r="R168" s="717" t="s">
        <v>1700</v>
      </c>
      <c r="S168" s="638" t="s">
        <v>7253</v>
      </c>
      <c r="T168" s="623"/>
      <c r="U168" s="638"/>
      <c r="V168" s="664"/>
      <c r="W168" s="664"/>
      <c r="X168" s="664"/>
      <c r="Y168" s="664"/>
      <c r="Z168" s="664"/>
    </row>
    <row r="169" spans="1:26" ht="22.8" x14ac:dyDescent="0.25">
      <c r="A169" s="1542"/>
      <c r="B169" s="1542"/>
      <c r="C169" s="669" t="str">
        <f>INDEX('Master sheet'!$A$1:$A$670,MATCH("248-2",'Master sheet'!$AN$1:$AN$670,0))</f>
        <v xml:space="preserve">Wood - SPF / Canadian Wood Council / Alberta / </v>
      </c>
      <c r="D169" s="15">
        <f>'USER INPUT SHEET'!$D$30</f>
        <v>0</v>
      </c>
      <c r="E169" s="16" t="str">
        <f>'USER INPUT SHEET'!$F$30</f>
        <v>m2</v>
      </c>
      <c r="F169" s="3">
        <v>1</v>
      </c>
      <c r="G169" s="670"/>
      <c r="H169" s="8"/>
      <c r="I169" s="95">
        <f t="shared" ref="I169:I173" si="66">K169-L169-IF(N169,M169,0)</f>
        <v>0</v>
      </c>
      <c r="J169" s="93" t="str">
        <f t="shared" ref="J169:J173" si="67">IF(H169=1,I169,"")</f>
        <v/>
      </c>
      <c r="K169" s="406">
        <f>$D169*$F169*IF($E$145=16,0.25,0.22)*VLOOKUP($C169,'Master sheet'!$A:$AL,13,FALSE)*(2*0.0889)</f>
        <v>0</v>
      </c>
      <c r="L169" s="94">
        <f>$F169*IF($E$145=16,$D169*0.25,$D169*0.22)*VLOOKUP($C169,'Master sheet'!$A:$AL,27,FALSE)*(2*0.0889)</f>
        <v>0</v>
      </c>
      <c r="M169" s="1560"/>
      <c r="N169" s="1560"/>
      <c r="O169" s="25" t="str">
        <f>_xlfn.IFNA(VLOOKUP($C169,'Master sheet'!$A:$AR,44,FALSE),"")&amp;""</f>
        <v/>
      </c>
      <c r="P169" s="685"/>
      <c r="Q169" s="717" t="s">
        <v>32</v>
      </c>
      <c r="R169" s="717" t="s">
        <v>1700</v>
      </c>
      <c r="S169" s="638" t="s">
        <v>7253</v>
      </c>
      <c r="T169" s="665"/>
      <c r="U169" s="664"/>
      <c r="V169" s="664"/>
      <c r="W169" s="664"/>
      <c r="X169" s="664"/>
      <c r="Y169" s="664"/>
      <c r="Z169" s="664"/>
    </row>
    <row r="170" spans="1:26" ht="22.8" x14ac:dyDescent="0.25">
      <c r="A170" s="1542"/>
      <c r="B170" s="1542"/>
      <c r="C170" s="669" t="str">
        <f>INDEX('Master sheet'!$A$1:$A$670,MATCH("248-3",'Master sheet'!$AN$1:$AN$670,0))</f>
        <v xml:space="preserve">Wood - SPF / Canadian Wood Council / Ontario / </v>
      </c>
      <c r="D170" s="15">
        <f>'USER INPUT SHEET'!$D$30</f>
        <v>0</v>
      </c>
      <c r="E170" s="16" t="str">
        <f>'USER INPUT SHEET'!$F$30</f>
        <v>m2</v>
      </c>
      <c r="F170" s="3">
        <v>1</v>
      </c>
      <c r="G170" s="670"/>
      <c r="H170" s="8"/>
      <c r="I170" s="95">
        <f t="shared" si="66"/>
        <v>0</v>
      </c>
      <c r="J170" s="93" t="str">
        <f t="shared" si="67"/>
        <v/>
      </c>
      <c r="K170" s="406">
        <f>$D170*$F170*IF($E$145=16,0.25,0.22)*VLOOKUP($C170,'Master sheet'!$A:$AL,13,FALSE)*(2*0.0889)</f>
        <v>0</v>
      </c>
      <c r="L170" s="94">
        <f>$F170*IF($E$145=16,$D170*0.25,$D170*0.22)*VLOOKUP($C170,'Master sheet'!$A:$AL,27,FALSE)*(2*0.0889)</f>
        <v>0</v>
      </c>
      <c r="M170" s="1560"/>
      <c r="N170" s="1560"/>
      <c r="O170" s="25" t="str">
        <f>_xlfn.IFNA(VLOOKUP($C170,'Master sheet'!$A:$AR,44,FALSE),"")&amp;""</f>
        <v/>
      </c>
      <c r="P170" s="685"/>
      <c r="Q170" s="717" t="s">
        <v>32</v>
      </c>
      <c r="R170" s="717" t="s">
        <v>1700</v>
      </c>
      <c r="S170" s="638" t="s">
        <v>7253</v>
      </c>
      <c r="T170" s="665"/>
      <c r="U170" s="664"/>
      <c r="V170" s="664"/>
      <c r="W170" s="664"/>
      <c r="X170" s="664"/>
      <c r="Y170" s="664"/>
      <c r="Z170" s="664"/>
    </row>
    <row r="171" spans="1:26" ht="22.8" x14ac:dyDescent="0.25">
      <c r="A171" s="1542"/>
      <c r="B171" s="1542"/>
      <c r="C171" s="669" t="str">
        <f>INDEX('Master sheet'!$A$1:$A$670,MATCH("248-4",'Master sheet'!$AN$1:$AN$670,0))</f>
        <v xml:space="preserve">Wood - SPF / Canadian Wood Council / Quebec / </v>
      </c>
      <c r="D171" s="15">
        <f>'USER INPUT SHEET'!$D$30</f>
        <v>0</v>
      </c>
      <c r="E171" s="16" t="str">
        <f>'USER INPUT SHEET'!$F$30</f>
        <v>m2</v>
      </c>
      <c r="F171" s="3">
        <v>1</v>
      </c>
      <c r="G171" s="670"/>
      <c r="H171" s="8"/>
      <c r="I171" s="95">
        <f t="shared" si="66"/>
        <v>0</v>
      </c>
      <c r="J171" s="93" t="str">
        <f t="shared" si="67"/>
        <v/>
      </c>
      <c r="K171" s="406">
        <f>$D171*$F171*IF($E$145=16,0.25,0.22)*VLOOKUP($C171,'Master sheet'!$A:$AL,13,FALSE)*(2*0.0889)</f>
        <v>0</v>
      </c>
      <c r="L171" s="94">
        <f>$F171*IF($E$145=16,$D171*0.25,$D171*0.22)*VLOOKUP($C171,'Master sheet'!$A:$AL,27,FALSE)*(2*0.0889)</f>
        <v>0</v>
      </c>
      <c r="M171" s="1560"/>
      <c r="N171" s="1560"/>
      <c r="O171" s="25" t="str">
        <f>_xlfn.IFNA(VLOOKUP($C171,'Master sheet'!$A:$AR,44,FALSE),"")&amp;""</f>
        <v/>
      </c>
      <c r="P171" s="685"/>
      <c r="Q171" s="717" t="s">
        <v>32</v>
      </c>
      <c r="R171" s="717" t="s">
        <v>1700</v>
      </c>
      <c r="S171" s="638" t="s">
        <v>7253</v>
      </c>
      <c r="T171" s="665"/>
      <c r="U171" s="664"/>
      <c r="V171" s="664"/>
      <c r="W171" s="664"/>
      <c r="X171" s="664"/>
      <c r="Y171" s="664"/>
      <c r="Z171" s="664"/>
    </row>
    <row r="172" spans="1:26" ht="22.8" x14ac:dyDescent="0.25">
      <c r="A172" s="1542"/>
      <c r="B172" s="1542"/>
      <c r="C172" s="669" t="str">
        <f>INDEX('Master sheet'!$A$1:$A$670,MATCH("248-5",'Master sheet'!$AN$1:$AN$670,0))</f>
        <v xml:space="preserve">Wood - SPF / Canadian Wood Council / New Brunswick / </v>
      </c>
      <c r="D172" s="15">
        <f>'USER INPUT SHEET'!$D$30</f>
        <v>0</v>
      </c>
      <c r="E172" s="16" t="str">
        <f>'USER INPUT SHEET'!$F$30</f>
        <v>m2</v>
      </c>
      <c r="F172" s="3">
        <v>1</v>
      </c>
      <c r="G172" s="670"/>
      <c r="H172" s="8"/>
      <c r="I172" s="95">
        <f t="shared" si="66"/>
        <v>0</v>
      </c>
      <c r="J172" s="93" t="str">
        <f t="shared" si="67"/>
        <v/>
      </c>
      <c r="K172" s="406">
        <f>$D172*$F172*IF($E$145=16,0.25,0.22)*VLOOKUP($C172,'Master sheet'!$A:$AL,13,FALSE)*(2*0.0889)</f>
        <v>0</v>
      </c>
      <c r="L172" s="94">
        <f>$F172*IF($E$145=16,$D172*0.25,$D172*0.22)*VLOOKUP($C172,'Master sheet'!$A:$AL,27,FALSE)*(2*0.0889)</f>
        <v>0</v>
      </c>
      <c r="M172" s="1560"/>
      <c r="N172" s="1560"/>
      <c r="O172" s="25" t="str">
        <f>_xlfn.IFNA(VLOOKUP($C172,'Master sheet'!$A:$AR,44,FALSE),"")&amp;""</f>
        <v/>
      </c>
      <c r="P172" s="685"/>
      <c r="Q172" s="717" t="s">
        <v>32</v>
      </c>
      <c r="R172" s="717" t="s">
        <v>1700</v>
      </c>
      <c r="S172" s="638" t="s">
        <v>7253</v>
      </c>
      <c r="T172" s="665"/>
      <c r="U172" s="664"/>
      <c r="V172" s="664"/>
      <c r="W172" s="664"/>
      <c r="X172" s="664"/>
      <c r="Y172" s="664"/>
      <c r="Z172" s="664"/>
    </row>
    <row r="173" spans="1:26" ht="22.8" x14ac:dyDescent="0.25">
      <c r="A173" s="1542"/>
      <c r="B173" s="1542"/>
      <c r="C173" s="669" t="str">
        <f>INDEX('Master sheet'!$A$1:$A$670,MATCH("248-6",'Master sheet'!$AN$1:$AN$670,0))</f>
        <v xml:space="preserve">Wood - SPF / Canadian Wood Council / Atlantic Canada / </v>
      </c>
      <c r="D173" s="15">
        <f>'USER INPUT SHEET'!$D$30</f>
        <v>0</v>
      </c>
      <c r="E173" s="16" t="str">
        <f>'USER INPUT SHEET'!$F$30</f>
        <v>m2</v>
      </c>
      <c r="F173" s="3">
        <v>1</v>
      </c>
      <c r="G173" s="670"/>
      <c r="H173" s="8"/>
      <c r="I173" s="95">
        <f t="shared" si="66"/>
        <v>0</v>
      </c>
      <c r="J173" s="93" t="str">
        <f t="shared" si="67"/>
        <v/>
      </c>
      <c r="K173" s="406">
        <f>$D173*$F173*IF($E$145=16,0.25,0.22)*VLOOKUP($C173,'Master sheet'!$A:$AL,13,FALSE)*(2*0.0889)</f>
        <v>0</v>
      </c>
      <c r="L173" s="94">
        <f>$F173*IF($E$145=16,$D173*0.25,$D173*0.22)*VLOOKUP($C173,'Master sheet'!$A:$AL,27,FALSE)*(2*0.0889)</f>
        <v>0</v>
      </c>
      <c r="M173" s="1560"/>
      <c r="N173" s="1560"/>
      <c r="O173" s="25" t="str">
        <f>_xlfn.IFNA(VLOOKUP($C173,'Master sheet'!$A:$AR,44,FALSE),"")&amp;""</f>
        <v/>
      </c>
      <c r="P173" s="685"/>
      <c r="Q173" s="717" t="s">
        <v>32</v>
      </c>
      <c r="R173" s="717" t="s">
        <v>1700</v>
      </c>
      <c r="S173" s="638" t="s">
        <v>7253</v>
      </c>
      <c r="T173" s="665"/>
      <c r="U173" s="664"/>
      <c r="V173" s="664"/>
      <c r="W173" s="664"/>
      <c r="X173" s="664"/>
      <c r="Y173" s="664"/>
      <c r="Z173" s="664"/>
    </row>
    <row r="174" spans="1:26" s="624" customFormat="1" ht="54.75" customHeight="1" x14ac:dyDescent="0.25">
      <c r="A174" s="1522" t="s">
        <v>44</v>
      </c>
      <c r="B174" s="1523"/>
      <c r="C174" s="1523"/>
      <c r="D174" s="629" t="s">
        <v>38</v>
      </c>
      <c r="E174" s="1"/>
      <c r="F174" s="323" t="str">
        <f>IF(LOWER(Setting!rng_language)="english","in","po")</f>
        <v>in</v>
      </c>
      <c r="G174" s="650"/>
      <c r="H174" s="650"/>
      <c r="I174" s="651"/>
      <c r="J174" s="103" t="str">
        <f t="shared" si="53"/>
        <v/>
      </c>
      <c r="K174" s="652"/>
      <c r="L174" s="653"/>
      <c r="M174" s="653"/>
      <c r="N174" s="653"/>
      <c r="O174" s="25" t="str">
        <f>_xlfn.IFNA(VLOOKUP($C174,'Master sheet'!$A:$AR,44,FALSE),"")&amp;""</f>
        <v/>
      </c>
      <c r="P174" s="637"/>
      <c r="Q174" s="722"/>
      <c r="R174" s="722"/>
      <c r="S174" s="638"/>
      <c r="T174" s="638"/>
      <c r="U174" s="638"/>
      <c r="V174" s="638"/>
      <c r="W174" s="638"/>
      <c r="X174" s="638"/>
      <c r="Y174" s="638"/>
      <c r="Z174" s="638"/>
    </row>
    <row r="175" spans="1:26" ht="22.8" x14ac:dyDescent="0.25">
      <c r="A175" s="686"/>
      <c r="B175" s="1541" t="s">
        <v>1036</v>
      </c>
      <c r="C175" s="1530"/>
      <c r="D175" s="656"/>
      <c r="E175" s="657"/>
      <c r="F175" s="335"/>
      <c r="G175" s="724"/>
      <c r="H175" s="724"/>
      <c r="I175" s="658"/>
      <c r="J175" s="659"/>
      <c r="K175" s="660"/>
      <c r="L175" s="661"/>
      <c r="M175" s="677"/>
      <c r="N175" s="677"/>
      <c r="O175" s="25" t="str">
        <f>_xlfn.IFNA(VLOOKUP($C175,'Master sheet'!$A:$AR,44,FALSE),"")&amp;""</f>
        <v/>
      </c>
      <c r="P175" s="685"/>
      <c r="S175" s="664"/>
      <c r="T175" s="664"/>
      <c r="U175" s="664"/>
      <c r="V175" s="664"/>
      <c r="W175" s="664"/>
      <c r="X175" s="664"/>
      <c r="Y175" s="664"/>
      <c r="Z175" s="664"/>
    </row>
    <row r="176" spans="1:26" s="624" customFormat="1" ht="73.2" customHeight="1" x14ac:dyDescent="0.25">
      <c r="A176" s="1569" t="s">
        <v>903</v>
      </c>
      <c r="B176" s="1569"/>
      <c r="C176" s="673" t="str">
        <f>INDEX('Master sheet'!$A$1:$A$670,MATCH(205,'Master sheet'!$AN$1:$AN$670,0))</f>
        <v>Steel studs - Non-loadbearing / ClarkDietrich /  / 362-S-125-18, 20EQ gauge, "2x4"</v>
      </c>
      <c r="D176" s="17">
        <f>'USER INPUT SHEET'!$D$30</f>
        <v>0</v>
      </c>
      <c r="E176" s="18" t="str">
        <f>'USER INPUT SHEET'!$F$30</f>
        <v>m2</v>
      </c>
      <c r="F176" s="4">
        <v>1</v>
      </c>
      <c r="G176" s="674"/>
      <c r="H176" s="9"/>
      <c r="I176" s="95">
        <f>K176-L176</f>
        <v>0</v>
      </c>
      <c r="J176" s="96" t="str">
        <f t="shared" si="53"/>
        <v/>
      </c>
      <c r="K176" s="407">
        <f>$D176*$F176*IF($E$174=16,3.13,2.31)*VLOOKUP($C176,'Master sheet'!$A:$AL,13,FALSE)</f>
        <v>0</v>
      </c>
      <c r="L176" s="97">
        <f>$D176*$F176*IF($E$174=16,3.13,2.31)*VLOOKUP($C176,'Master sheet'!$A:$AL,27,FALSE)</f>
        <v>0</v>
      </c>
      <c r="M176" s="1560"/>
      <c r="N176" s="1560"/>
      <c r="O176" s="25" t="str">
        <f ca="1">_xlfn.IFNA(VLOOKUP($C176,'Master sheet'!$A:$AR,44,FALSE),"")&amp;""</f>
        <v/>
      </c>
      <c r="P176" s="637"/>
      <c r="Q176" s="722" t="s">
        <v>32</v>
      </c>
      <c r="R176" s="717" t="s">
        <v>1701</v>
      </c>
      <c r="S176" s="638"/>
      <c r="T176" s="638"/>
      <c r="U176" s="638"/>
      <c r="V176" s="638"/>
      <c r="W176" s="638"/>
      <c r="X176" s="638"/>
      <c r="Y176" s="638"/>
      <c r="Z176" s="638"/>
    </row>
    <row r="177" spans="1:26" s="624" customFormat="1" ht="54.75" customHeight="1" x14ac:dyDescent="0.25">
      <c r="A177" s="1522" t="s">
        <v>45</v>
      </c>
      <c r="B177" s="1523"/>
      <c r="C177" s="1523"/>
      <c r="D177" s="629" t="str">
        <f>IF(LOWER(Setting!rng_language)="english","R-VALUE:","VALEUR R :")</f>
        <v>R-VALUE:</v>
      </c>
      <c r="E177" s="1"/>
      <c r="F177" s="321"/>
      <c r="G177" s="650"/>
      <c r="H177" s="650"/>
      <c r="I177" s="651"/>
      <c r="J177" s="103" t="str">
        <f t="shared" si="53"/>
        <v/>
      </c>
      <c r="K177" s="652"/>
      <c r="L177" s="653"/>
      <c r="M177" s="653"/>
      <c r="N177" s="653"/>
      <c r="O177" s="25" t="str">
        <f>_xlfn.IFNA(VLOOKUP($C177,'Master sheet'!$A:$AR,44,FALSE),"")&amp;""</f>
        <v/>
      </c>
      <c r="P177" s="685"/>
      <c r="Q177" s="722"/>
      <c r="R177" s="722"/>
      <c r="S177" s="638"/>
      <c r="T177" s="638"/>
      <c r="U177" s="638"/>
      <c r="V177" s="638"/>
      <c r="W177" s="638"/>
      <c r="X177" s="638"/>
      <c r="Y177" s="638"/>
      <c r="Z177" s="638"/>
    </row>
    <row r="178" spans="1:26" s="624" customFormat="1" ht="21" x14ac:dyDescent="0.25">
      <c r="A178" s="639"/>
      <c r="B178" s="1524" t="s">
        <v>3424</v>
      </c>
      <c r="C178" s="1523"/>
      <c r="D178" s="687" t="str">
        <f>IF(LOWER(Setting!rng_language)="english","R-VALUE:","VALEUR R :")</f>
        <v>R-VALUE:</v>
      </c>
      <c r="E178" s="1"/>
      <c r="F178" s="325"/>
      <c r="G178" s="678"/>
      <c r="H178" s="732"/>
      <c r="I178" s="642"/>
      <c r="J178" s="733"/>
      <c r="K178" s="676"/>
      <c r="L178" s="677"/>
      <c r="M178" s="677"/>
      <c r="N178" s="677"/>
      <c r="O178" s="25" t="str">
        <f>_xlfn.IFNA(VLOOKUP($C178,'Master sheet'!$A:$AR,44,FALSE),"")&amp;""</f>
        <v/>
      </c>
      <c r="P178" s="685"/>
      <c r="Q178" s="722"/>
      <c r="R178" s="722"/>
      <c r="S178" s="638"/>
      <c r="T178" s="638"/>
      <c r="U178" s="638"/>
      <c r="V178" s="638"/>
      <c r="W178" s="638"/>
      <c r="X178" s="638"/>
      <c r="Y178" s="638"/>
      <c r="Z178" s="638"/>
    </row>
    <row r="179" spans="1:26" ht="31.5" customHeight="1" x14ac:dyDescent="0.25">
      <c r="A179" s="1542"/>
      <c r="B179" s="1523"/>
      <c r="C179" s="673" t="str">
        <f>INDEX('Master sheet'!$A$1:$A$670,MATCH(184,'Master sheet'!$AN$1:$AN$670,0))</f>
        <v>Spray polyurethane foam - Closed Cell - HFO gas filled / SPFA /  / R 6.6/inch</v>
      </c>
      <c r="D179" s="17">
        <f>'USER INPUT SHEET'!$D$30</f>
        <v>0</v>
      </c>
      <c r="E179" s="18" t="str">
        <f>'USER INPUT SHEET'!$F$30</f>
        <v>m2</v>
      </c>
      <c r="F179" s="4">
        <v>1</v>
      </c>
      <c r="G179" s="674"/>
      <c r="H179" s="9"/>
      <c r="I179" s="95">
        <f>K179-L179</f>
        <v>0</v>
      </c>
      <c r="J179" s="96" t="str">
        <f>IF(H179=1,I179,"")</f>
        <v/>
      </c>
      <c r="K179" s="407">
        <f>$D179*$F179*VLOOKUP($C179,'Master sheet'!$A:$AL,13,FALSE)*($E$178/5.678)</f>
        <v>0</v>
      </c>
      <c r="L179" s="97">
        <f>$D179*$F179*VLOOKUP($C179,'Master sheet'!$A:$AL,27,FALSE)*($E$178/5.678)</f>
        <v>0</v>
      </c>
      <c r="M179" s="1551"/>
      <c r="N179" s="1551"/>
      <c r="O179" s="25" t="str">
        <f ca="1">_xlfn.IFNA(VLOOKUP($C179,'Master sheet'!$A:$AR,44,FALSE),"")&amp;""</f>
        <v/>
      </c>
      <c r="P179" s="685"/>
      <c r="Q179" s="722" t="s">
        <v>32</v>
      </c>
      <c r="R179" s="717" t="s">
        <v>1702</v>
      </c>
      <c r="S179" s="664"/>
      <c r="T179" s="664"/>
      <c r="U179" s="664"/>
      <c r="V179" s="664"/>
      <c r="W179" s="664"/>
      <c r="X179" s="664"/>
      <c r="Y179" s="664"/>
      <c r="Z179" s="664"/>
    </row>
    <row r="180" spans="1:26" s="624" customFormat="1" ht="31.5" customHeight="1" x14ac:dyDescent="0.25">
      <c r="A180" s="1548"/>
      <c r="B180" s="1549"/>
      <c r="C180" s="673" t="str">
        <f>INDEX('Master sheet'!$A$1:$A$670,MATCH(410,'Master sheet'!$AN$1:$AN$670,0))</f>
        <v xml:space="preserve">Spray polyurethane foam - Closed Cell (HFO) / Huntsman Building Solutions / Heatlok HFO &amp; Heatlok Soya HFO / </v>
      </c>
      <c r="D180" s="17">
        <f>'USER INPUT SHEET'!$D$30</f>
        <v>0</v>
      </c>
      <c r="E180" s="18" t="str">
        <f>'USER INPUT SHEET'!$F$30</f>
        <v>m2</v>
      </c>
      <c r="F180" s="4">
        <v>1</v>
      </c>
      <c r="G180" s="674"/>
      <c r="H180" s="9"/>
      <c r="I180" s="95">
        <f>K180-L180</f>
        <v>0</v>
      </c>
      <c r="J180" s="96" t="str">
        <f>IF(H180=1,I180,"")</f>
        <v/>
      </c>
      <c r="K180" s="407">
        <f>$D180*$F180*VLOOKUP($C180,'Master sheet'!$A:$AL,13,FALSE)*($E$178/5.678)</f>
        <v>0</v>
      </c>
      <c r="L180" s="97">
        <f>$D180*$F180*VLOOKUP($C180,'Master sheet'!$A:$AL,27,FALSE)*($E$178/5.678)</f>
        <v>0</v>
      </c>
      <c r="M180" s="1561"/>
      <c r="N180" s="1561"/>
      <c r="O180" s="25" t="str">
        <f>_xlfn.IFNA(VLOOKUP($C180,'Master sheet'!$A:$AR,44,FALSE),"")&amp;""</f>
        <v>A1-B1</v>
      </c>
      <c r="P180" s="685"/>
      <c r="Q180" s="722" t="s">
        <v>32</v>
      </c>
      <c r="R180" s="717" t="s">
        <v>1702</v>
      </c>
      <c r="S180" s="638"/>
      <c r="T180" s="638"/>
      <c r="U180" s="638"/>
      <c r="V180" s="638"/>
      <c r="W180" s="638"/>
      <c r="X180" s="638"/>
      <c r="Y180" s="638"/>
      <c r="Z180" s="638"/>
    </row>
    <row r="181" spans="1:26" s="624" customFormat="1" ht="23.85" customHeight="1" x14ac:dyDescent="0.25">
      <c r="A181" s="639"/>
      <c r="B181" s="1524" t="s">
        <v>966</v>
      </c>
      <c r="C181" s="1523"/>
      <c r="D181" s="687" t="str">
        <f>IF(LOWER(Setting!rng_language)="english","R-VALUE:","VALEUR R :")</f>
        <v>R-VALUE:</v>
      </c>
      <c r="E181" s="1"/>
      <c r="F181" s="336"/>
      <c r="G181" s="678"/>
      <c r="H181" s="678"/>
      <c r="I181" s="642"/>
      <c r="J181" s="643"/>
      <c r="K181" s="676"/>
      <c r="L181" s="677"/>
      <c r="M181" s="677"/>
      <c r="N181" s="677"/>
      <c r="O181" s="25" t="str">
        <f>_xlfn.IFNA(VLOOKUP($C181,'Master sheet'!$A:$AR,44,FALSE),"")&amp;""</f>
        <v/>
      </c>
      <c r="P181" s="685"/>
      <c r="Q181" s="722"/>
      <c r="R181" s="717"/>
      <c r="S181" s="638"/>
      <c r="T181" s="638"/>
      <c r="U181" s="638"/>
      <c r="V181" s="638"/>
      <c r="W181" s="638"/>
      <c r="X181" s="638"/>
      <c r="Y181" s="638"/>
      <c r="Z181" s="638"/>
    </row>
    <row r="182" spans="1:26" ht="23.25" customHeight="1" x14ac:dyDescent="0.25">
      <c r="A182" s="738"/>
      <c r="B182" s="738"/>
      <c r="C182" s="691" t="s">
        <v>1059</v>
      </c>
      <c r="D182" s="19">
        <f>'USER INPUT SHEET'!$D$30</f>
        <v>0</v>
      </c>
      <c r="E182" s="20" t="str">
        <f>'USER INPUT SHEET'!$F$30</f>
        <v>m2</v>
      </c>
      <c r="F182" s="6">
        <v>1</v>
      </c>
      <c r="G182" s="692"/>
      <c r="H182" s="10"/>
      <c r="I182" s="98">
        <f>K182-L182</f>
        <v>0</v>
      </c>
      <c r="J182" s="106" t="str">
        <f>IF(H182=1,I182,"")</f>
        <v/>
      </c>
      <c r="K182" s="410">
        <f>$F182*AVERAGE(K183:K185)</f>
        <v>0</v>
      </c>
      <c r="L182" s="99">
        <f>$F182*AVERAGE(L183:L185)</f>
        <v>0</v>
      </c>
      <c r="M182" s="1560"/>
      <c r="N182" s="1560"/>
      <c r="O182" s="25" t="str">
        <f>_xlfn.IFNA(VLOOKUP($C182,'Master sheet'!$A:$AR,44,FALSE),"")&amp;""</f>
        <v/>
      </c>
      <c r="Q182" s="725" t="s">
        <v>32</v>
      </c>
      <c r="R182" s="717" t="s">
        <v>1702</v>
      </c>
      <c r="S182" s="664"/>
      <c r="T182" s="664"/>
      <c r="U182" s="664"/>
      <c r="V182" s="664"/>
      <c r="W182" s="664"/>
      <c r="X182" s="664"/>
      <c r="Y182" s="664"/>
      <c r="Z182" s="664"/>
    </row>
    <row r="183" spans="1:26" ht="31.2" x14ac:dyDescent="0.25">
      <c r="A183" s="738"/>
      <c r="B183" s="738"/>
      <c r="C183" s="673" t="str">
        <f>INDEX('Master sheet'!$A$1:$A$670,MATCH("A36",'Master sheet'!$AN$1:$AN$670,0))</f>
        <v>Fiberglass batt / Johns Manville / Unfaced, ComfortTherm, Cavity-SHIELD, FSK-25 / R 3.4/inch</v>
      </c>
      <c r="D183" s="17">
        <f>'USER INPUT SHEET'!$D$30</f>
        <v>0</v>
      </c>
      <c r="E183" s="18" t="str">
        <f>'USER INPUT SHEET'!$F$30</f>
        <v>m2</v>
      </c>
      <c r="F183" s="4">
        <v>1</v>
      </c>
      <c r="G183" s="674"/>
      <c r="H183" s="9"/>
      <c r="I183" s="95">
        <f t="shared" ref="I183:I184" si="68">K183-L183</f>
        <v>0</v>
      </c>
      <c r="J183" s="96" t="str">
        <f t="shared" ref="J183:J184" si="69">IF(H183=1,I183,"")</f>
        <v/>
      </c>
      <c r="K183" s="407">
        <f>$D183*($E$181/5.678)*$F183*VLOOKUP($C183,'Master sheet'!$A:$AL,13,FALSE)</f>
        <v>0</v>
      </c>
      <c r="L183" s="97">
        <f>$D183*($E$181/5.678)*$F183*VLOOKUP($C183,'Master sheet'!$A:$AL,27,FALSE)</f>
        <v>0</v>
      </c>
      <c r="M183" s="1560"/>
      <c r="N183" s="1560"/>
      <c r="O183" s="25" t="str">
        <f>_xlfn.IFNA(VLOOKUP($C183,'Master sheet'!$A:$AR,44,FALSE),"")&amp;""</f>
        <v/>
      </c>
      <c r="P183" s="637"/>
      <c r="Q183" s="725" t="s">
        <v>32</v>
      </c>
      <c r="R183" s="717" t="s">
        <v>1702</v>
      </c>
      <c r="S183" s="664"/>
      <c r="T183" s="664"/>
      <c r="U183" s="664"/>
      <c r="V183" s="664"/>
      <c r="W183" s="664"/>
      <c r="X183" s="664"/>
      <c r="Y183" s="664"/>
      <c r="Z183" s="664"/>
    </row>
    <row r="184" spans="1:26" ht="23.25" customHeight="1" x14ac:dyDescent="0.25">
      <c r="A184" s="738"/>
      <c r="B184" s="738"/>
      <c r="C184" s="673" t="str">
        <f>INDEX('Master sheet'!$A$1:$A$670,MATCH("A37",'Master sheet'!$AN$1:$AN$670,0))</f>
        <v>Fiberglass batt / NAIMA  /  / R 4.4/inch</v>
      </c>
      <c r="D184" s="17">
        <f>'USER INPUT SHEET'!$D$30</f>
        <v>0</v>
      </c>
      <c r="E184" s="18" t="str">
        <f>'USER INPUT SHEET'!$F$30</f>
        <v>m2</v>
      </c>
      <c r="F184" s="4">
        <v>1</v>
      </c>
      <c r="G184" s="674"/>
      <c r="H184" s="9"/>
      <c r="I184" s="95">
        <f t="shared" si="68"/>
        <v>0</v>
      </c>
      <c r="J184" s="96" t="str">
        <f t="shared" si="69"/>
        <v/>
      </c>
      <c r="K184" s="407">
        <f>$D184*($E$181/5.678)*$F184*VLOOKUP($C184,'Master sheet'!$A:$AL,13,FALSE)</f>
        <v>0</v>
      </c>
      <c r="L184" s="97">
        <f>$D184*($E$181/5.678)*$F184*VLOOKUP($C184,'Master sheet'!$A:$AL,27,FALSE)</f>
        <v>0</v>
      </c>
      <c r="M184" s="1560"/>
      <c r="N184" s="1560"/>
      <c r="O184" s="25" t="str">
        <f>_xlfn.IFNA(VLOOKUP($C184,'Master sheet'!$A:$AR,44,FALSE),"")&amp;""</f>
        <v/>
      </c>
      <c r="P184" s="637"/>
      <c r="Q184" s="725" t="s">
        <v>32</v>
      </c>
      <c r="R184" s="717" t="s">
        <v>1702</v>
      </c>
      <c r="S184" s="664"/>
      <c r="T184" s="664"/>
      <c r="U184" s="664"/>
      <c r="V184" s="664"/>
      <c r="W184" s="664"/>
      <c r="X184" s="664"/>
      <c r="Y184" s="664"/>
      <c r="Z184" s="664"/>
    </row>
    <row r="185" spans="1:26" s="624" customFormat="1" ht="31.5" customHeight="1" x14ac:dyDescent="0.25">
      <c r="A185" s="738"/>
      <c r="B185" s="738"/>
      <c r="C185" s="673" t="str">
        <f>INDEX('Master sheet'!$A$1:$A$670,MATCH("A38",'Master sheet'!$AN$1:$AN$670,0))</f>
        <v>Fiberglass batt &amp; roll  / Owens Corning /  Unfaced, PINK Next Gen Fiberglas / R 3.6/inch avg.</v>
      </c>
      <c r="D185" s="17">
        <f>'USER INPUT SHEET'!$D$30</f>
        <v>0</v>
      </c>
      <c r="E185" s="18" t="str">
        <f>'USER INPUT SHEET'!$F$30</f>
        <v>m2</v>
      </c>
      <c r="F185" s="4">
        <v>1</v>
      </c>
      <c r="G185" s="674"/>
      <c r="H185" s="9"/>
      <c r="I185" s="95">
        <f>K185-L185</f>
        <v>0</v>
      </c>
      <c r="J185" s="96" t="str">
        <f t="shared" si="53"/>
        <v/>
      </c>
      <c r="K185" s="407">
        <f>$D185*($E$181/5.678)*$F185*VLOOKUP($C185,'Master sheet'!$A:$AL,13,FALSE)</f>
        <v>0</v>
      </c>
      <c r="L185" s="97">
        <f>$D185*($E$181/5.678)*$F185*VLOOKUP($C185,'Master sheet'!$A:$AL,27,FALSE)</f>
        <v>0</v>
      </c>
      <c r="M185" s="1561"/>
      <c r="N185" s="1561"/>
      <c r="O185" s="25" t="str">
        <f>_xlfn.IFNA(VLOOKUP($C185,'Master sheet'!$A:$AR,44,FALSE),"")&amp;""</f>
        <v/>
      </c>
      <c r="P185" s="637"/>
      <c r="Q185" s="725" t="s">
        <v>32</v>
      </c>
      <c r="R185" s="717" t="s">
        <v>1702</v>
      </c>
      <c r="S185" s="664"/>
      <c r="T185" s="638"/>
      <c r="U185" s="638"/>
      <c r="V185" s="638"/>
      <c r="W185" s="638"/>
      <c r="X185" s="638"/>
      <c r="Y185" s="638"/>
      <c r="Z185" s="638"/>
    </row>
    <row r="186" spans="1:26" s="624" customFormat="1" ht="22.8" x14ac:dyDescent="0.25">
      <c r="A186" s="639"/>
      <c r="B186" s="1524" t="s">
        <v>46</v>
      </c>
      <c r="C186" s="1523"/>
      <c r="D186" s="687" t="str">
        <f>IF(LOWER(Setting!rng_language)="english","R-VALUE:","VALEUR R :")</f>
        <v>R-VALUE:</v>
      </c>
      <c r="E186" s="1"/>
      <c r="F186" s="325"/>
      <c r="G186" s="678"/>
      <c r="H186" s="679"/>
      <c r="I186" s="642"/>
      <c r="J186" s="643"/>
      <c r="K186" s="676"/>
      <c r="L186" s="677"/>
      <c r="M186" s="677"/>
      <c r="N186" s="677"/>
      <c r="O186" s="25" t="str">
        <f>_xlfn.IFNA(VLOOKUP($C186,'Master sheet'!$A:$AR,44,FALSE),"")&amp;""</f>
        <v/>
      </c>
      <c r="P186" s="685"/>
      <c r="Q186" s="722"/>
      <c r="R186" s="717"/>
      <c r="S186" s="638"/>
      <c r="T186" s="638"/>
      <c r="U186" s="638"/>
      <c r="V186" s="638"/>
      <c r="W186" s="638"/>
      <c r="X186" s="638"/>
      <c r="Y186" s="638"/>
      <c r="Z186" s="638"/>
    </row>
    <row r="187" spans="1:26" ht="23.25" customHeight="1" x14ac:dyDescent="0.25">
      <c r="A187" s="738"/>
      <c r="B187" s="738"/>
      <c r="C187" s="691" t="s">
        <v>1060</v>
      </c>
      <c r="D187" s="19">
        <f>'USER INPUT SHEET'!$D$30</f>
        <v>0</v>
      </c>
      <c r="E187" s="20" t="str">
        <f>'USER INPUT SHEET'!$F$30</f>
        <v>m2</v>
      </c>
      <c r="F187" s="6">
        <v>1</v>
      </c>
      <c r="G187" s="692"/>
      <c r="H187" s="10"/>
      <c r="I187" s="98">
        <f>K187-L187</f>
        <v>0</v>
      </c>
      <c r="J187" s="106" t="str">
        <f>IF(H187=1,I187,"")</f>
        <v/>
      </c>
      <c r="K187" s="410">
        <f>$F187*AVERAGE(K188:K190)</f>
        <v>0</v>
      </c>
      <c r="L187" s="99">
        <f>$F187*AVERAGE(L188:L190)</f>
        <v>0</v>
      </c>
      <c r="M187" s="1560"/>
      <c r="N187" s="1560"/>
      <c r="O187" s="25" t="str">
        <f>_xlfn.IFNA(VLOOKUP($C187,'Master sheet'!$A:$AR,44,FALSE),"")&amp;""</f>
        <v/>
      </c>
      <c r="P187" s="685"/>
      <c r="Q187" s="717" t="s">
        <v>32</v>
      </c>
      <c r="R187" s="717" t="s">
        <v>1702</v>
      </c>
      <c r="S187" s="664"/>
      <c r="T187" s="664"/>
      <c r="U187" s="664"/>
      <c r="V187" s="664"/>
      <c r="W187" s="664"/>
      <c r="X187" s="664"/>
      <c r="Y187" s="664"/>
      <c r="Z187" s="664"/>
    </row>
    <row r="188" spans="1:26" ht="47.25" customHeight="1" x14ac:dyDescent="0.25">
      <c r="A188" s="1546"/>
      <c r="B188" s="1547"/>
      <c r="C188" s="669" t="str">
        <f>INDEX('Master sheet'!$A$1:$A$670,MATCH(33,'Master sheet'!$AN$1:$AN$670,0))</f>
        <v>Cellulose - dense pack /  / R 3.7/inch / Includes AFT, Applegate, Can-Cell, Cell-Pak, Cleanfiber, Climatizer, Fiberlite, Igloo, ICC, Mason City, Nu-Wool, Soprema, Thermo-Kool</v>
      </c>
      <c r="D188" s="15">
        <f>'USER INPUT SHEET'!$D$30</f>
        <v>0</v>
      </c>
      <c r="E188" s="16" t="str">
        <f>'USER INPUT SHEET'!$F$30</f>
        <v>m2</v>
      </c>
      <c r="F188" s="5">
        <v>1</v>
      </c>
      <c r="G188" s="670"/>
      <c r="H188" s="11"/>
      <c r="I188" s="92">
        <f>K188-L188</f>
        <v>0</v>
      </c>
      <c r="J188" s="93" t="str">
        <f t="shared" ref="J188:J219" si="70">IF(H188=1,I188,"")</f>
        <v/>
      </c>
      <c r="K188" s="406">
        <f>$D188*($E$186/5.678)*$F188*VLOOKUP($C188,'Master sheet'!$A:$AL,13,FALSE)</f>
        <v>0</v>
      </c>
      <c r="L188" s="94">
        <f>$D188*($E$186/5.678)*$F188*VLOOKUP($C188,'Master sheet'!$A:$AL,27,FALSE)</f>
        <v>0</v>
      </c>
      <c r="M188" s="1551"/>
      <c r="N188" s="1551"/>
      <c r="O188" s="25" t="str">
        <f ca="1">_xlfn.IFNA(VLOOKUP($C188,'Master sheet'!$A:$AR,44,FALSE),"")&amp;""</f>
        <v>Expired 2024</v>
      </c>
      <c r="P188" s="685"/>
      <c r="Q188" s="717" t="s">
        <v>32</v>
      </c>
      <c r="R188" s="717" t="s">
        <v>1702</v>
      </c>
      <c r="S188" s="664"/>
      <c r="T188" s="664"/>
      <c r="U188" s="664"/>
      <c r="V188" s="664"/>
      <c r="W188" s="664"/>
      <c r="X188" s="664"/>
      <c r="Y188" s="664"/>
      <c r="Z188" s="664"/>
    </row>
    <row r="189" spans="1:26" ht="22.8" x14ac:dyDescent="0.25">
      <c r="A189" s="1554"/>
      <c r="B189" s="1555"/>
      <c r="C189" s="669" t="str">
        <f>INDEX('Master sheet'!$A$1:$A$670,MATCH(32,'Master sheet'!$AN$1:$AN$670,0))</f>
        <v>Cellulose - batt / CMS / R 3.6/inch / EcoCell</v>
      </c>
      <c r="D189" s="15">
        <f>'USER INPUT SHEET'!$D$30</f>
        <v>0</v>
      </c>
      <c r="E189" s="16" t="str">
        <f>'USER INPUT SHEET'!$F$30</f>
        <v>m2</v>
      </c>
      <c r="F189" s="5">
        <v>1</v>
      </c>
      <c r="G189" s="670"/>
      <c r="H189" s="11"/>
      <c r="I189" s="92">
        <f>K189-L189</f>
        <v>0</v>
      </c>
      <c r="J189" s="93" t="str">
        <f t="shared" si="70"/>
        <v/>
      </c>
      <c r="K189" s="406">
        <f>$D189*($E$186/5.678)*$F189*VLOOKUP($C189,'Master sheet'!$A:$AL,13,FALSE)</f>
        <v>0</v>
      </c>
      <c r="L189" s="94">
        <f>$D189*($E$186/5.678)*$F189*VLOOKUP($C189,'Master sheet'!$A:$AL,27,FALSE)</f>
        <v>0</v>
      </c>
      <c r="M189" s="1560"/>
      <c r="N189" s="1560"/>
      <c r="O189" s="25" t="str">
        <f ca="1">_xlfn.IFNA(VLOOKUP($C189,'Master sheet'!$A:$AR,44,FALSE),"")&amp;""</f>
        <v>Expired 2024</v>
      </c>
      <c r="P189" s="637"/>
      <c r="Q189" s="717" t="s">
        <v>32</v>
      </c>
      <c r="R189" s="717" t="s">
        <v>1702</v>
      </c>
      <c r="S189" s="664"/>
      <c r="T189" s="664"/>
      <c r="U189" s="664"/>
      <c r="V189" s="664"/>
      <c r="W189" s="664"/>
      <c r="X189" s="664"/>
      <c r="Y189" s="664"/>
      <c r="Z189" s="664"/>
    </row>
    <row r="190" spans="1:26" ht="31.5" customHeight="1" x14ac:dyDescent="0.25">
      <c r="A190" s="1548"/>
      <c r="B190" s="1549"/>
      <c r="C190" s="673" t="str">
        <f>INDEX('Master sheet'!$A$1:$A$670,MATCH(35,'Master sheet'!$AN$1:$AN$670,0))</f>
        <v>Cellulose - spray applied / R 3.75/inch / International Cellulose Corp. / K-13, ThermoCon</v>
      </c>
      <c r="D190" s="17">
        <f>'USER INPUT SHEET'!$D$30</f>
        <v>0</v>
      </c>
      <c r="E190" s="18" t="str">
        <f>'USER INPUT SHEET'!$F$30</f>
        <v>m2</v>
      </c>
      <c r="F190" s="5">
        <v>1</v>
      </c>
      <c r="G190" s="674"/>
      <c r="H190" s="11"/>
      <c r="I190" s="95">
        <f>K190-L190</f>
        <v>0</v>
      </c>
      <c r="J190" s="96" t="str">
        <f t="shared" si="70"/>
        <v/>
      </c>
      <c r="K190" s="407">
        <f>$D190*($E$186/5.678)*$F190*VLOOKUP($C190,'Master sheet'!$A:$AL,13,FALSE)</f>
        <v>0</v>
      </c>
      <c r="L190" s="97">
        <f>$D190*($E$186/5.678)*$F190*VLOOKUP($C190,'Master sheet'!$A:$AL,27,FALSE)</f>
        <v>0</v>
      </c>
      <c r="M190" s="1561"/>
      <c r="N190" s="1561"/>
      <c r="O190" s="25" t="str">
        <f ca="1">_xlfn.IFNA(VLOOKUP($C190,'Master sheet'!$A:$AR,44,FALSE),"")&amp;""</f>
        <v>Expired 2025</v>
      </c>
      <c r="P190" s="637"/>
      <c r="Q190" s="717" t="s">
        <v>32</v>
      </c>
      <c r="R190" s="717" t="s">
        <v>1702</v>
      </c>
      <c r="S190" s="664"/>
      <c r="T190" s="664"/>
      <c r="U190" s="664"/>
      <c r="V190" s="664"/>
      <c r="W190" s="664"/>
      <c r="X190" s="664"/>
      <c r="Y190" s="664"/>
      <c r="Z190" s="664"/>
    </row>
    <row r="191" spans="1:26" ht="22.8" x14ac:dyDescent="0.25">
      <c r="A191" s="686"/>
      <c r="B191" s="1541" t="s">
        <v>968</v>
      </c>
      <c r="C191" s="1530"/>
      <c r="D191" s="687" t="str">
        <f>IF(LOWER(Setting!rng_language)="english","R-VALUE:","VALEUR R :")</f>
        <v>R-VALUE:</v>
      </c>
      <c r="E191" s="1"/>
      <c r="F191" s="335"/>
      <c r="G191" s="724"/>
      <c r="H191" s="724"/>
      <c r="I191" s="658"/>
      <c r="J191" s="659"/>
      <c r="K191" s="660"/>
      <c r="L191" s="661"/>
      <c r="M191" s="677"/>
      <c r="N191" s="677"/>
      <c r="O191" s="25" t="str">
        <f>_xlfn.IFNA(VLOOKUP($C191,'Master sheet'!$A:$AR,44,FALSE),"")&amp;""</f>
        <v/>
      </c>
      <c r="P191" s="637"/>
      <c r="R191" s="717" t="s">
        <v>1702</v>
      </c>
      <c r="S191" s="664"/>
      <c r="T191" s="664"/>
      <c r="U191" s="664"/>
      <c r="V191" s="664"/>
      <c r="W191" s="664"/>
      <c r="X191" s="664"/>
      <c r="Y191" s="664"/>
      <c r="Z191" s="664"/>
    </row>
    <row r="192" spans="1:26" ht="23.25" customHeight="1" x14ac:dyDescent="0.25">
      <c r="A192" s="738"/>
      <c r="B192" s="738"/>
      <c r="C192" s="691" t="s">
        <v>1061</v>
      </c>
      <c r="D192" s="19">
        <f>'USER INPUT SHEET'!$D$30</f>
        <v>0</v>
      </c>
      <c r="E192" s="20" t="str">
        <f>'USER INPUT SHEET'!$F$30</f>
        <v>m2</v>
      </c>
      <c r="F192" s="6">
        <v>1</v>
      </c>
      <c r="G192" s="692"/>
      <c r="H192" s="10"/>
      <c r="I192" s="98">
        <f t="shared" ref="I192:I198" si="71">K192-L192</f>
        <v>0</v>
      </c>
      <c r="J192" s="106" t="str">
        <f>IF(H192=1,I192,"")</f>
        <v/>
      </c>
      <c r="K192" s="410">
        <f>$F192*AVERAGE(K193:K198)</f>
        <v>0</v>
      </c>
      <c r="L192" s="99">
        <f>$F192*AVERAGE(L193:L198)</f>
        <v>0</v>
      </c>
      <c r="M192" s="1560"/>
      <c r="N192" s="1560"/>
      <c r="O192" s="25" t="str">
        <f>_xlfn.IFNA(VLOOKUP($C192,'Master sheet'!$A:$AR,44,FALSE),"")&amp;""</f>
        <v/>
      </c>
      <c r="P192" s="685"/>
      <c r="Q192" s="717" t="s">
        <v>32</v>
      </c>
      <c r="R192" s="717" t="s">
        <v>1702</v>
      </c>
      <c r="S192" s="664"/>
      <c r="T192" s="664"/>
      <c r="U192" s="664"/>
      <c r="V192" s="664"/>
      <c r="W192" s="664"/>
      <c r="X192" s="664"/>
      <c r="Y192" s="664"/>
      <c r="Z192" s="664"/>
    </row>
    <row r="193" spans="1:26" ht="31.5" customHeight="1" x14ac:dyDescent="0.25">
      <c r="A193" s="1546"/>
      <c r="B193" s="1547"/>
      <c r="C193" s="669" t="str">
        <f>INDEX('Master sheet'!$A$1:$A$670,MATCH("A189",'Master sheet'!$AN$1:$AN$670,0))</f>
        <v>Mineral wool batt / Owens Corning / UltraBatt - Fire and Sound guard Plus R-15, R-30 / R 4.2-inch</v>
      </c>
      <c r="D193" s="15">
        <f>'USER INPUT SHEET'!$D$30</f>
        <v>0</v>
      </c>
      <c r="E193" s="16" t="str">
        <f>'USER INPUT SHEET'!$F$30</f>
        <v>m2</v>
      </c>
      <c r="F193" s="3">
        <v>1</v>
      </c>
      <c r="G193" s="670"/>
      <c r="H193" s="8"/>
      <c r="I193" s="92">
        <f t="shared" si="71"/>
        <v>0</v>
      </c>
      <c r="J193" s="93" t="str">
        <f t="shared" si="70"/>
        <v/>
      </c>
      <c r="K193" s="406">
        <f>$D193*($E$191/5.678)*$F193*VLOOKUP($C193,'Master sheet'!$A:$AL,13,FALSE)</f>
        <v>0</v>
      </c>
      <c r="L193" s="94">
        <f>$D193*($E$191/5.678)*$F193*VLOOKUP($C193,'Master sheet'!$A:$AL,27,FALSE)</f>
        <v>0</v>
      </c>
      <c r="M193" s="1551"/>
      <c r="N193" s="1551"/>
      <c r="O193" s="25" t="str">
        <f>_xlfn.IFNA(VLOOKUP($C193,'Master sheet'!$A:$AR,44,FALSE),"")&amp;""</f>
        <v/>
      </c>
      <c r="P193" s="685"/>
      <c r="Q193" s="717" t="s">
        <v>32</v>
      </c>
      <c r="R193" s="717" t="s">
        <v>1702</v>
      </c>
      <c r="S193" s="664"/>
      <c r="T193" s="664"/>
      <c r="U193" s="664"/>
      <c r="V193" s="664"/>
      <c r="W193" s="664"/>
      <c r="X193" s="664"/>
      <c r="Y193" s="664"/>
      <c r="Z193" s="664"/>
    </row>
    <row r="194" spans="1:26" ht="31.5" customHeight="1" x14ac:dyDescent="0.25">
      <c r="A194" s="1542"/>
      <c r="B194" s="1523"/>
      <c r="C194" s="673" t="str">
        <f>INDEX('Master sheet'!$A$1:$A$670,MATCH("A190",'Master sheet'!$AN$1:$AN$670,0))</f>
        <v>Mineral wool batt / Owens Corning / UltraBatt - Fire and Sound guard Plus R-23 / R 4.2-inch</v>
      </c>
      <c r="D194" s="17">
        <f>'USER INPUT SHEET'!$D$30</f>
        <v>0</v>
      </c>
      <c r="E194" s="18" t="str">
        <f>'USER INPUT SHEET'!$F$30</f>
        <v>m2</v>
      </c>
      <c r="F194" s="4">
        <v>1</v>
      </c>
      <c r="G194" s="674"/>
      <c r="H194" s="9"/>
      <c r="I194" s="95">
        <f t="shared" si="71"/>
        <v>0</v>
      </c>
      <c r="J194" s="96" t="str">
        <f t="shared" ref="J194:J198" si="72">IF(H194=1,I194,"")</f>
        <v/>
      </c>
      <c r="K194" s="407">
        <f>$D194*($E$191/5.678)*$F194*VLOOKUP($C194,'Master sheet'!$A:$AL,13,FALSE)</f>
        <v>0</v>
      </c>
      <c r="L194" s="97">
        <f>$D194*($E$191/5.678)*$F194*VLOOKUP($C194,'Master sheet'!$A:$AL,27,FALSE)</f>
        <v>0</v>
      </c>
      <c r="M194" s="1560"/>
      <c r="N194" s="1560"/>
      <c r="O194" s="25" t="str">
        <f>_xlfn.IFNA(VLOOKUP($C194,'Master sheet'!$A:$AR,44,FALSE),"")&amp;""</f>
        <v/>
      </c>
      <c r="P194" s="685"/>
      <c r="Q194" s="722" t="s">
        <v>32</v>
      </c>
      <c r="R194" s="717" t="s">
        <v>1702</v>
      </c>
      <c r="S194" s="664"/>
      <c r="T194" s="664"/>
      <c r="U194" s="664"/>
      <c r="V194" s="664"/>
      <c r="W194" s="664"/>
      <c r="X194" s="664"/>
      <c r="Y194" s="664"/>
      <c r="Z194" s="664"/>
    </row>
    <row r="195" spans="1:26" ht="31.2" x14ac:dyDescent="0.25">
      <c r="A195" s="1542"/>
      <c r="B195" s="1523"/>
      <c r="C195" s="673" t="str">
        <f>INDEX('Master sheet'!$A$1:$A$670,MATCH("A191",'Master sheet'!$AN$1:$AN$670,0))</f>
        <v>Mineral wool batt / Owens Corning / UltraBatt - Fire and Sound guard Plus R-24 / R 4.0-inch</v>
      </c>
      <c r="D195" s="17">
        <f>'USER INPUT SHEET'!$D$30</f>
        <v>0</v>
      </c>
      <c r="E195" s="18" t="str">
        <f>'USER INPUT SHEET'!$F$30</f>
        <v>m2</v>
      </c>
      <c r="F195" s="4">
        <v>1</v>
      </c>
      <c r="G195" s="674"/>
      <c r="H195" s="9"/>
      <c r="I195" s="95">
        <f t="shared" si="71"/>
        <v>0</v>
      </c>
      <c r="J195" s="96" t="str">
        <f t="shared" si="72"/>
        <v/>
      </c>
      <c r="K195" s="407">
        <f>$D195*($E$191/5.678)*$F195*VLOOKUP($C195,'Master sheet'!$A:$AL,13,FALSE)</f>
        <v>0</v>
      </c>
      <c r="L195" s="97">
        <f>$D195*($E$191/5.678)*$F195*VLOOKUP($C195,'Master sheet'!$A:$AL,27,FALSE)</f>
        <v>0</v>
      </c>
      <c r="M195" s="1560"/>
      <c r="N195" s="1560"/>
      <c r="O195" s="25" t="str">
        <f>_xlfn.IFNA(VLOOKUP($C195,'Master sheet'!$A:$AR,44,FALSE),"")&amp;""</f>
        <v/>
      </c>
      <c r="P195" s="685"/>
      <c r="Q195" s="722" t="s">
        <v>32</v>
      </c>
      <c r="R195" s="717" t="s">
        <v>1702</v>
      </c>
      <c r="S195" s="664"/>
      <c r="T195" s="664"/>
      <c r="U195" s="664"/>
      <c r="V195" s="664"/>
      <c r="W195" s="664"/>
      <c r="X195" s="664"/>
      <c r="Y195" s="664"/>
      <c r="Z195" s="664"/>
    </row>
    <row r="196" spans="1:26" ht="22.8" x14ac:dyDescent="0.25">
      <c r="A196" s="1542"/>
      <c r="B196" s="1523"/>
      <c r="C196" s="673" t="str">
        <f>INDEX('Master sheet'!$A$1:$A$670,MATCH("A195",'Master sheet'!$AN$1:$AN$670,0))</f>
        <v>Mineral wool batt / Rockwool / ComfortBatt R-23 / R 4.2-inch</v>
      </c>
      <c r="D196" s="17">
        <f>'USER INPUT SHEET'!$D$30</f>
        <v>0</v>
      </c>
      <c r="E196" s="18" t="str">
        <f>'USER INPUT SHEET'!$F$30</f>
        <v>m2</v>
      </c>
      <c r="F196" s="4">
        <v>1</v>
      </c>
      <c r="G196" s="674"/>
      <c r="H196" s="9"/>
      <c r="I196" s="95">
        <f t="shared" si="71"/>
        <v>0</v>
      </c>
      <c r="J196" s="96" t="str">
        <f t="shared" si="72"/>
        <v/>
      </c>
      <c r="K196" s="407">
        <f>$D196*($E$191/5.678)*$F196*VLOOKUP($C196,'Master sheet'!$A:$AL,13,FALSE)</f>
        <v>0</v>
      </c>
      <c r="L196" s="97">
        <f>$D196*($E$191/5.678)*$F196*VLOOKUP($C196,'Master sheet'!$A:$AL,27,FALSE)</f>
        <v>0</v>
      </c>
      <c r="M196" s="1560"/>
      <c r="N196" s="1560"/>
      <c r="O196" s="25" t="str">
        <f>_xlfn.IFNA(VLOOKUP($C196,'Master sheet'!$A:$AR,44,FALSE),"")&amp;""</f>
        <v/>
      </c>
      <c r="P196" s="685"/>
      <c r="Q196" s="722" t="s">
        <v>32</v>
      </c>
      <c r="R196" s="717" t="s">
        <v>1702</v>
      </c>
      <c r="S196" s="664"/>
      <c r="T196" s="664"/>
      <c r="U196" s="664"/>
      <c r="V196" s="664"/>
      <c r="W196" s="664"/>
      <c r="X196" s="664"/>
      <c r="Y196" s="664"/>
      <c r="Z196" s="664"/>
    </row>
    <row r="197" spans="1:26" ht="31.2" x14ac:dyDescent="0.25">
      <c r="A197" s="1542"/>
      <c r="B197" s="1523"/>
      <c r="C197" s="673" t="str">
        <f>INDEX('Master sheet'!$A$1:$A$670,MATCH("A196",'Master sheet'!$AN$1:$AN$670,0))</f>
        <v>Mineral wool batt / Rockwool / ComfortBatt R-24 (Steel Studs) / R 4.0-inch</v>
      </c>
      <c r="D197" s="17">
        <f>'USER INPUT SHEET'!$D$30</f>
        <v>0</v>
      </c>
      <c r="E197" s="18" t="str">
        <f>'USER INPUT SHEET'!$F$30</f>
        <v>m2</v>
      </c>
      <c r="F197" s="4">
        <v>1</v>
      </c>
      <c r="G197" s="674"/>
      <c r="H197" s="9"/>
      <c r="I197" s="95">
        <f t="shared" si="71"/>
        <v>0</v>
      </c>
      <c r="J197" s="96" t="str">
        <f t="shared" si="72"/>
        <v/>
      </c>
      <c r="K197" s="407">
        <f>$D197*($E$191/5.678)*$F197*VLOOKUP($C197,'Master sheet'!$A:$AL,13,FALSE)</f>
        <v>0</v>
      </c>
      <c r="L197" s="97">
        <f>$D197*($E$191/5.678)*$F197*VLOOKUP($C197,'Master sheet'!$A:$AL,27,FALSE)</f>
        <v>0</v>
      </c>
      <c r="M197" s="1560"/>
      <c r="N197" s="1560"/>
      <c r="O197" s="25" t="str">
        <f>_xlfn.IFNA(VLOOKUP($C197,'Master sheet'!$A:$AR,44,FALSE),"")&amp;""</f>
        <v/>
      </c>
      <c r="P197" s="685"/>
      <c r="Q197" s="722" t="s">
        <v>32</v>
      </c>
      <c r="R197" s="717" t="s">
        <v>1702</v>
      </c>
      <c r="S197" s="664"/>
      <c r="T197" s="664"/>
      <c r="U197" s="664"/>
      <c r="V197" s="664"/>
      <c r="W197" s="664"/>
      <c r="X197" s="664"/>
      <c r="Y197" s="664"/>
      <c r="Z197" s="664"/>
    </row>
    <row r="198" spans="1:26" ht="31.2" x14ac:dyDescent="0.25">
      <c r="A198" s="1542"/>
      <c r="B198" s="1523"/>
      <c r="C198" s="673" t="str">
        <f>INDEX('Master sheet'!$A$1:$A$670,MATCH("A197",'Master sheet'!$AN$1:$AN$670,0))</f>
        <v>Mineral wool batt / Rockwool / ComfortBatt R-24 (Wood Studs) / R 4.4-inch</v>
      </c>
      <c r="D198" s="17">
        <f>'USER INPUT SHEET'!$D$30</f>
        <v>0</v>
      </c>
      <c r="E198" s="18" t="str">
        <f>'USER INPUT SHEET'!$F$30</f>
        <v>m2</v>
      </c>
      <c r="F198" s="4">
        <v>1</v>
      </c>
      <c r="G198" s="674"/>
      <c r="H198" s="9"/>
      <c r="I198" s="95">
        <f t="shared" si="71"/>
        <v>0</v>
      </c>
      <c r="J198" s="96" t="str">
        <f t="shared" si="72"/>
        <v/>
      </c>
      <c r="K198" s="407">
        <f>$D198*($E$191/5.678)*$F198*VLOOKUP($C198,'Master sheet'!$A:$AL,13,FALSE)</f>
        <v>0</v>
      </c>
      <c r="L198" s="97">
        <f>$D198*($E$191/5.678)*$F198*VLOOKUP($C198,'Master sheet'!$A:$AL,27,FALSE)</f>
        <v>0</v>
      </c>
      <c r="M198" s="1561"/>
      <c r="N198" s="1561"/>
      <c r="O198" s="25" t="str">
        <f>_xlfn.IFNA(VLOOKUP($C198,'Master sheet'!$A:$AR,44,FALSE),"")&amp;""</f>
        <v/>
      </c>
      <c r="P198" s="685"/>
      <c r="Q198" s="722" t="s">
        <v>32</v>
      </c>
      <c r="R198" s="717" t="s">
        <v>1702</v>
      </c>
      <c r="S198" s="664"/>
      <c r="T198" s="664"/>
      <c r="U198" s="664"/>
      <c r="V198" s="664"/>
      <c r="W198" s="664"/>
      <c r="X198" s="664"/>
      <c r="Y198" s="664"/>
      <c r="Z198" s="664"/>
    </row>
    <row r="199" spans="1:26" s="624" customFormat="1" ht="22.8" x14ac:dyDescent="0.25">
      <c r="A199" s="639"/>
      <c r="B199" s="1524" t="s">
        <v>969</v>
      </c>
      <c r="C199" s="1523"/>
      <c r="D199" s="687" t="str">
        <f>IF(LOWER(Setting!rng_language)="english","R-VALUE:","VALEUR R :")</f>
        <v>R-VALUE:</v>
      </c>
      <c r="E199" s="1"/>
      <c r="F199" s="333"/>
      <c r="G199" s="678"/>
      <c r="H199" s="731"/>
      <c r="I199" s="642"/>
      <c r="J199" s="643"/>
      <c r="K199" s="676"/>
      <c r="L199" s="677"/>
      <c r="M199" s="677"/>
      <c r="N199" s="677"/>
      <c r="O199" s="25" t="str">
        <f>_xlfn.IFNA(VLOOKUP($C199,'Master sheet'!$A:$AR,44,FALSE),"")&amp;""</f>
        <v/>
      </c>
      <c r="P199" s="637"/>
      <c r="Q199" s="722"/>
      <c r="R199" s="717" t="s">
        <v>1702</v>
      </c>
      <c r="S199" s="638"/>
      <c r="T199" s="638"/>
      <c r="U199" s="638"/>
      <c r="V199" s="638"/>
      <c r="W199" s="638"/>
      <c r="X199" s="638"/>
      <c r="Y199" s="638"/>
      <c r="Z199" s="638"/>
    </row>
    <row r="200" spans="1:26" s="624" customFormat="1" ht="23.25" customHeight="1" x14ac:dyDescent="0.25">
      <c r="A200" s="1548"/>
      <c r="B200" s="1549"/>
      <c r="C200" s="673" t="str">
        <f>INDEX('Master sheet'!$A$1:$A$670,MATCH("A122",'Master sheet'!$AN$1:$AN$670,0))</f>
        <v>Wood fiber batt / Steico / SteicoFlex / R 3.8/inch</v>
      </c>
      <c r="D200" s="17">
        <f>'USER INPUT SHEET'!$D$30</f>
        <v>0</v>
      </c>
      <c r="E200" s="18" t="str">
        <f>'USER INPUT SHEET'!$F$30</f>
        <v>m2</v>
      </c>
      <c r="F200" s="4">
        <v>1</v>
      </c>
      <c r="G200" s="674"/>
      <c r="H200" s="9"/>
      <c r="I200" s="95">
        <f>K200-L200</f>
        <v>0</v>
      </c>
      <c r="J200" s="96" t="str">
        <f t="shared" si="70"/>
        <v/>
      </c>
      <c r="K200" s="407">
        <f>$D200*($E$199/5.678)*$F200*VLOOKUP($C200,'Master sheet'!$A:$AL,13,FALSE)</f>
        <v>0</v>
      </c>
      <c r="L200" s="97">
        <f>$D200*($E$199/5.678)*$F200*VLOOKUP($C200,'Master sheet'!$A:$AL,27,FALSE)</f>
        <v>0</v>
      </c>
      <c r="M200" s="1561"/>
      <c r="N200" s="1561"/>
      <c r="O200" s="25" t="str">
        <f>_xlfn.IFNA(VLOOKUP($C200,'Master sheet'!$A:$AR,44,FALSE),"")&amp;""</f>
        <v/>
      </c>
      <c r="P200" s="637"/>
      <c r="Q200" s="722" t="s">
        <v>32</v>
      </c>
      <c r="R200" s="717" t="s">
        <v>1702</v>
      </c>
      <c r="S200" s="638"/>
      <c r="T200" s="638"/>
      <c r="U200" s="638"/>
      <c r="V200" s="638"/>
      <c r="W200" s="638"/>
      <c r="X200" s="638"/>
      <c r="Y200" s="638"/>
      <c r="Z200" s="638"/>
    </row>
    <row r="201" spans="1:26" s="624" customFormat="1" ht="22.8" x14ac:dyDescent="0.25">
      <c r="A201" s="639"/>
      <c r="B201" s="1524" t="s">
        <v>1041</v>
      </c>
      <c r="C201" s="1523"/>
      <c r="D201" s="687" t="str">
        <f>IF(LOWER(Setting!rng_language)="english","R-VALUE:","VALEUR R :")</f>
        <v>R-VALUE:</v>
      </c>
      <c r="E201" s="1"/>
      <c r="F201" s="340"/>
      <c r="G201" s="739"/>
      <c r="H201" s="740"/>
      <c r="I201" s="741"/>
      <c r="J201" s="742"/>
      <c r="K201" s="741"/>
      <c r="L201" s="743"/>
      <c r="M201" s="743"/>
      <c r="N201" s="743"/>
      <c r="O201" s="25" t="str">
        <f>_xlfn.IFNA(VLOOKUP($C201,'Master sheet'!$A:$AR,44,FALSE),"")&amp;""</f>
        <v/>
      </c>
      <c r="P201" s="637"/>
      <c r="Q201" s="728"/>
      <c r="R201" s="728"/>
      <c r="T201" s="638"/>
      <c r="U201" s="638"/>
      <c r="V201" s="638"/>
      <c r="W201" s="638"/>
      <c r="X201" s="638"/>
      <c r="Y201" s="638"/>
      <c r="Z201" s="638"/>
    </row>
    <row r="202" spans="1:26" ht="22.8" x14ac:dyDescent="0.25">
      <c r="A202" s="729"/>
      <c r="B202" s="729"/>
      <c r="C202" s="691" t="s">
        <v>1361</v>
      </c>
      <c r="D202" s="19">
        <f>'USER INPUT SHEET'!$D$30</f>
        <v>0</v>
      </c>
      <c r="E202" s="20" t="str">
        <f>'USER INPUT SHEET'!$F$32</f>
        <v>m2</v>
      </c>
      <c r="F202" s="6">
        <v>1</v>
      </c>
      <c r="G202" s="692"/>
      <c r="H202" s="10"/>
      <c r="I202" s="98">
        <f t="shared" ref="I202:I206" si="73">K202-L202</f>
        <v>0</v>
      </c>
      <c r="J202" s="91" t="str">
        <f>IF(H202=1,I202,"")</f>
        <v/>
      </c>
      <c r="K202" s="410">
        <f>F202*AVERAGE(K203:K206)</f>
        <v>0</v>
      </c>
      <c r="L202" s="99">
        <f>F202*AVERAGE(L203:L206)</f>
        <v>0</v>
      </c>
      <c r="M202" s="1560"/>
      <c r="N202" s="1560"/>
      <c r="O202" s="25" t="str">
        <f>_xlfn.IFNA(VLOOKUP($C202,'Master sheet'!$A:$AR,44,FALSE),"")&amp;""</f>
        <v/>
      </c>
      <c r="P202" s="637"/>
      <c r="Q202" s="722" t="s">
        <v>32</v>
      </c>
      <c r="R202" s="717" t="s">
        <v>1702</v>
      </c>
      <c r="S202" s="664"/>
      <c r="T202" s="664"/>
      <c r="U202" s="664"/>
      <c r="V202" s="664"/>
      <c r="W202" s="664"/>
      <c r="X202" s="664"/>
      <c r="Y202" s="664"/>
      <c r="Z202" s="664"/>
    </row>
    <row r="203" spans="1:26" ht="31.5" customHeight="1" x14ac:dyDescent="0.25">
      <c r="A203" s="1564"/>
      <c r="B203" s="1564"/>
      <c r="C203" s="669" t="str">
        <f>INDEX('Master sheet'!$A$1:$A$670,MATCH(105,'Master sheet'!$AN$1:$AN$670,0))</f>
        <v>Fiberglass loose fill / CertainTeed / InsulSafe, Optima, TruComfort / R 2.6/inch</v>
      </c>
      <c r="D203" s="15">
        <f>'USER INPUT SHEET'!$D$30</f>
        <v>0</v>
      </c>
      <c r="E203" s="16" t="str">
        <f>'USER INPUT SHEET'!$F$32</f>
        <v>m2</v>
      </c>
      <c r="F203" s="3">
        <v>1</v>
      </c>
      <c r="G203" s="670"/>
      <c r="H203" s="8"/>
      <c r="I203" s="92">
        <f t="shared" si="73"/>
        <v>0</v>
      </c>
      <c r="J203" s="93" t="str">
        <f t="shared" ref="J203:J206" si="74">IF(H203=1,I203,"")</f>
        <v/>
      </c>
      <c r="K203" s="406">
        <f>$D203*($E$201/5.678)*$F203*VLOOKUP($C203,'Master sheet'!$A:$AL,13,FALSE)</f>
        <v>0</v>
      </c>
      <c r="L203" s="94">
        <f>$D203*($E$201/5.678)*$F203*VLOOKUP($C203,'Master sheet'!$A:$AL,27,FALSE)</f>
        <v>0</v>
      </c>
      <c r="M203" s="1551"/>
      <c r="N203" s="1551"/>
      <c r="O203" s="25" t="str">
        <f ca="1">_xlfn.IFNA(VLOOKUP($C203,'Master sheet'!$A:$AR,44,FALSE),"")&amp;""</f>
        <v>Expired 2024</v>
      </c>
      <c r="P203" s="685"/>
      <c r="Q203" s="722" t="s">
        <v>32</v>
      </c>
      <c r="R203" s="717" t="s">
        <v>1702</v>
      </c>
      <c r="T203" s="664"/>
      <c r="U203" s="664"/>
      <c r="V203" s="664"/>
      <c r="W203" s="664"/>
      <c r="X203" s="664"/>
      <c r="Y203" s="664"/>
      <c r="Z203" s="664"/>
    </row>
    <row r="204" spans="1:26" ht="47.25" customHeight="1" x14ac:dyDescent="0.25">
      <c r="A204" s="1564"/>
      <c r="B204" s="1564"/>
      <c r="C204" s="673" t="str">
        <f>INDEX('Master sheet'!$A$1:$A$670,MATCH(374,'Master sheet'!$AN$1:$AN$670,0))</f>
        <v>Fiberglass loose fill / Johns Manville / Climate Pro, Attic Protector, JM Spider PLUS (Canada) / R 2.8/inch, Formaldehyde-free</v>
      </c>
      <c r="D204" s="17">
        <f>'USER INPUT SHEET'!$D$30</f>
        <v>0</v>
      </c>
      <c r="E204" s="18" t="str">
        <f>'USER INPUT SHEET'!$F$32</f>
        <v>m2</v>
      </c>
      <c r="F204" s="4">
        <v>1</v>
      </c>
      <c r="G204" s="674"/>
      <c r="H204" s="9"/>
      <c r="I204" s="95">
        <f t="shared" si="73"/>
        <v>0</v>
      </c>
      <c r="J204" s="96" t="str">
        <f t="shared" ref="J204:J205" si="75">IF(H204=1,I204,"")</f>
        <v/>
      </c>
      <c r="K204" s="406">
        <f>$D204*($E$201/5.678)*$F204*VLOOKUP($C204,'Master sheet'!$A:$AL,13,FALSE)</f>
        <v>0</v>
      </c>
      <c r="L204" s="94">
        <f>$D204*($E$201/5.678)*$F204*VLOOKUP($C204,'Master sheet'!$A:$AL,27,FALSE)</f>
        <v>0</v>
      </c>
      <c r="M204" s="1560"/>
      <c r="N204" s="1560"/>
      <c r="O204" s="25" t="str">
        <f ca="1">_xlfn.IFNA(VLOOKUP($C204,'Master sheet'!$A:$AR,44,FALSE),"")&amp;""</f>
        <v/>
      </c>
      <c r="P204" s="685"/>
      <c r="Q204" s="722" t="s">
        <v>32</v>
      </c>
      <c r="R204" s="717" t="s">
        <v>1702</v>
      </c>
      <c r="S204" s="624"/>
      <c r="T204" s="638" t="s">
        <v>7295</v>
      </c>
      <c r="U204" s="664"/>
      <c r="V204" s="664"/>
      <c r="W204" s="664"/>
      <c r="X204" s="664"/>
      <c r="Y204" s="664"/>
      <c r="Z204" s="664"/>
    </row>
    <row r="205" spans="1:26" ht="47.25" customHeight="1" x14ac:dyDescent="0.25">
      <c r="A205" s="1564"/>
      <c r="B205" s="1564"/>
      <c r="C205" s="673" t="str">
        <f>INDEX('Master sheet'!$A$1:$A$670,MATCH("A40",'Master sheet'!$AN$1:$AN$670,0))</f>
        <v>Fiberglass loose fill / NAIMA  / Includes : CertainTeed, Inc. Saint-Gobin, Johns Manville, Knauf Insulation North America, Owens Corning / R 2.2/inch</v>
      </c>
      <c r="D205" s="17">
        <f>'USER INPUT SHEET'!$D$30</f>
        <v>0</v>
      </c>
      <c r="E205" s="18" t="str">
        <f>'USER INPUT SHEET'!$F$32</f>
        <v>m2</v>
      </c>
      <c r="F205" s="4">
        <v>1</v>
      </c>
      <c r="G205" s="674"/>
      <c r="H205" s="9"/>
      <c r="I205" s="95">
        <f t="shared" si="73"/>
        <v>0</v>
      </c>
      <c r="J205" s="96" t="str">
        <f t="shared" si="75"/>
        <v/>
      </c>
      <c r="K205" s="406">
        <f>$D205*($E$201/5.678)*$F205*VLOOKUP($C205,'Master sheet'!$A:$AL,13,FALSE)</f>
        <v>0</v>
      </c>
      <c r="L205" s="94">
        <f>$D205*($E$201/5.678)*$F205*VLOOKUP($C205,'Master sheet'!$A:$AL,27,FALSE)</f>
        <v>0</v>
      </c>
      <c r="M205" s="1560"/>
      <c r="N205" s="1560"/>
      <c r="O205" s="25" t="str">
        <f>_xlfn.IFNA(VLOOKUP($C205,'Master sheet'!$A:$AR,44,FALSE),"")&amp;""</f>
        <v/>
      </c>
      <c r="P205" s="685"/>
      <c r="Q205" s="722" t="s">
        <v>32</v>
      </c>
      <c r="R205" s="717" t="s">
        <v>1702</v>
      </c>
      <c r="S205" s="624"/>
      <c r="T205" s="638" t="s">
        <v>7295</v>
      </c>
      <c r="U205" s="664"/>
      <c r="V205" s="664"/>
      <c r="W205" s="664"/>
      <c r="X205" s="664"/>
      <c r="Y205" s="664"/>
      <c r="Z205" s="664"/>
    </row>
    <row r="206" spans="1:26" s="624" customFormat="1" ht="31.2" x14ac:dyDescent="0.25">
      <c r="A206" s="1564"/>
      <c r="B206" s="1564"/>
      <c r="C206" s="673" t="str">
        <f>INDEX('Master sheet'!$A$1:$A$670,MATCH("A39",'Master sheet'!$AN$1:$AN$670,0))</f>
        <v>Fiberglass loose fill / Owens Corning / AttiCat, ProCat, ProPink / R 3.28/inch</v>
      </c>
      <c r="D206" s="17">
        <f>'USER INPUT SHEET'!$D$30</f>
        <v>0</v>
      </c>
      <c r="E206" s="18" t="str">
        <f>'USER INPUT SHEET'!$F$32</f>
        <v>m2</v>
      </c>
      <c r="F206" s="4">
        <v>1</v>
      </c>
      <c r="G206" s="674"/>
      <c r="H206" s="9"/>
      <c r="I206" s="95">
        <f t="shared" si="73"/>
        <v>0</v>
      </c>
      <c r="J206" s="96" t="str">
        <f t="shared" si="74"/>
        <v/>
      </c>
      <c r="K206" s="406">
        <f>$D206*($E$201/5.678)*$F206*VLOOKUP($C206,'Master sheet'!$A:$AL,13,FALSE)</f>
        <v>0</v>
      </c>
      <c r="L206" s="94">
        <f>$D206*($E$201/5.678)*$F206*VLOOKUP($C206,'Master sheet'!$A:$AL,27,FALSE)</f>
        <v>0</v>
      </c>
      <c r="M206" s="1560"/>
      <c r="N206" s="1560"/>
      <c r="O206" s="25" t="str">
        <f>_xlfn.IFNA(VLOOKUP($C206,'Master sheet'!$A:$AR,44,FALSE),"")&amp;""</f>
        <v/>
      </c>
      <c r="P206" s="685"/>
      <c r="Q206" s="722" t="s">
        <v>32</v>
      </c>
      <c r="R206" s="717" t="s">
        <v>1702</v>
      </c>
      <c r="T206" s="638"/>
      <c r="U206" s="638"/>
      <c r="V206" s="638"/>
      <c r="W206" s="638"/>
      <c r="X206" s="638"/>
      <c r="Y206" s="638"/>
      <c r="Z206" s="638"/>
    </row>
    <row r="207" spans="1:26" s="624" customFormat="1" ht="22.8" x14ac:dyDescent="0.25">
      <c r="A207" s="639"/>
      <c r="B207" s="1524" t="s">
        <v>47</v>
      </c>
      <c r="C207" s="1523"/>
      <c r="D207" s="687" t="str">
        <f>IF(LOWER(Setting!rng_language)="english","R-VALUE:","VALEUR R :")</f>
        <v>R-VALUE:</v>
      </c>
      <c r="E207" s="1"/>
      <c r="F207" s="333"/>
      <c r="G207" s="678"/>
      <c r="H207" s="731"/>
      <c r="I207" s="642"/>
      <c r="J207" s="643"/>
      <c r="K207" s="676"/>
      <c r="L207" s="677"/>
      <c r="M207" s="677"/>
      <c r="N207" s="677"/>
      <c r="O207" s="25" t="str">
        <f>_xlfn.IFNA(VLOOKUP($C207,'Master sheet'!$A:$AR,44,FALSE),"")&amp;""</f>
        <v/>
      </c>
      <c r="P207" s="637"/>
      <c r="Q207" s="722"/>
      <c r="R207" s="717" t="s">
        <v>1702</v>
      </c>
      <c r="S207" s="638"/>
      <c r="T207" s="638"/>
      <c r="U207" s="638"/>
      <c r="V207" s="638"/>
      <c r="W207" s="638"/>
      <c r="X207" s="638"/>
      <c r="Y207" s="638"/>
      <c r="Z207" s="638"/>
    </row>
    <row r="208" spans="1:26" s="624" customFormat="1" ht="22.8" x14ac:dyDescent="0.25">
      <c r="A208" s="1546"/>
      <c r="B208" s="1547"/>
      <c r="C208" s="647" t="str">
        <f>INDEX('Master sheet'!$A$1:$A$670,MATCH(254,'Master sheet'!$AN$1:$AN$670,0))</f>
        <v>Wool batt / Havelock Wool /  / R 3.6/inch</v>
      </c>
      <c r="D208" s="13">
        <f>'USER INPUT SHEET'!$D$30</f>
        <v>0</v>
      </c>
      <c r="E208" s="14" t="str">
        <f>'USER INPUT SHEET'!$F$30</f>
        <v>m2</v>
      </c>
      <c r="F208" s="2">
        <v>1</v>
      </c>
      <c r="G208" s="648"/>
      <c r="H208" s="7"/>
      <c r="I208" s="88">
        <f>K208-L208</f>
        <v>0</v>
      </c>
      <c r="J208" s="89" t="str">
        <f t="shared" si="70"/>
        <v/>
      </c>
      <c r="K208" s="404">
        <f>$D208*($E$207/5.678)*$F208*VLOOKUP($C208,'Master sheet'!$A:$AL,13,FALSE)</f>
        <v>0</v>
      </c>
      <c r="L208" s="90">
        <f>$D208*($E$207/5.678)*$F208*VLOOKUP($C208,'Master sheet'!$A:$AL,27,FALSE)</f>
        <v>0</v>
      </c>
      <c r="M208" s="1551"/>
      <c r="N208" s="1551"/>
      <c r="O208" s="25" t="str">
        <f ca="1">_xlfn.IFNA(VLOOKUP($C208,'Master sheet'!$A:$AR,44,FALSE),"")&amp;""</f>
        <v>Expired 2025</v>
      </c>
      <c r="P208" s="637"/>
      <c r="Q208" s="722" t="s">
        <v>32</v>
      </c>
      <c r="R208" s="717" t="s">
        <v>1702</v>
      </c>
      <c r="S208" s="638"/>
      <c r="T208" s="638"/>
      <c r="U208" s="638"/>
      <c r="V208" s="638"/>
      <c r="W208" s="638"/>
      <c r="X208" s="638"/>
      <c r="Y208" s="638"/>
      <c r="Z208" s="638"/>
    </row>
    <row r="209" spans="1:26" ht="22.8" x14ac:dyDescent="0.25">
      <c r="A209" s="1554"/>
      <c r="B209" s="1555"/>
      <c r="C209" s="669" t="str">
        <f>INDEX('Master sheet'!$A$1:$A$670,MATCH(255,'Master sheet'!$AN$1:$AN$670,0))</f>
        <v>Wool loose fill / Havelock Wool /  / R 4.4/inch</v>
      </c>
      <c r="D209" s="15">
        <f>'USER INPUT SHEET'!$D$30</f>
        <v>0</v>
      </c>
      <c r="E209" s="16" t="str">
        <f>'USER INPUT SHEET'!$F$30</f>
        <v>m2</v>
      </c>
      <c r="F209" s="3">
        <v>1</v>
      </c>
      <c r="G209" s="670"/>
      <c r="H209" s="8"/>
      <c r="I209" s="92">
        <f>K209-L209</f>
        <v>0</v>
      </c>
      <c r="J209" s="93" t="str">
        <f t="shared" si="70"/>
        <v/>
      </c>
      <c r="K209" s="406">
        <f>$D209*($E$207/5.678)*$F209*VLOOKUP($C209,'Master sheet'!$A:$AL,13,FALSE)</f>
        <v>0</v>
      </c>
      <c r="L209" s="94">
        <f>$D209*($E$207/5.678)*$F209*VLOOKUP($C209,'Master sheet'!$A:$AL,27,FALSE)</f>
        <v>0</v>
      </c>
      <c r="M209" s="1560"/>
      <c r="N209" s="1560"/>
      <c r="O209" s="25" t="str">
        <f ca="1">_xlfn.IFNA(VLOOKUP($C209,'Master sheet'!$A:$AR,44,FALSE),"")&amp;""</f>
        <v/>
      </c>
      <c r="P209" s="637"/>
      <c r="Q209" s="717" t="s">
        <v>32</v>
      </c>
      <c r="R209" s="717" t="s">
        <v>1702</v>
      </c>
      <c r="S209" s="664"/>
      <c r="T209" s="664"/>
      <c r="U209" s="664"/>
      <c r="V209" s="664"/>
      <c r="W209" s="664"/>
      <c r="X209" s="664"/>
      <c r="Y209" s="664"/>
      <c r="Z209" s="664"/>
    </row>
    <row r="210" spans="1:26" s="624" customFormat="1" ht="23.25" customHeight="1" x14ac:dyDescent="0.25">
      <c r="A210" s="1548"/>
      <c r="B210" s="1549"/>
      <c r="C210" s="673" t="str">
        <f>INDEX('Master sheet'!$A$1:$A$670,MATCH("A54",'Master sheet'!$AN$1:$AN$670,0))</f>
        <v>Hemp fiber batt / NaturFibre / Hemp Wool / R 3.7/inch</v>
      </c>
      <c r="D210" s="17">
        <f>'USER INPUT SHEET'!$D$30</f>
        <v>0</v>
      </c>
      <c r="E210" s="18" t="str">
        <f>'USER INPUT SHEET'!$F$30</f>
        <v>m2</v>
      </c>
      <c r="F210" s="4">
        <v>1</v>
      </c>
      <c r="G210" s="674"/>
      <c r="H210" s="9"/>
      <c r="I210" s="95">
        <f>K210-L210</f>
        <v>0</v>
      </c>
      <c r="J210" s="96" t="str">
        <f t="shared" si="70"/>
        <v/>
      </c>
      <c r="K210" s="407">
        <f>$D210*($E$207/5.678)*$F210*VLOOKUP($C210,'Master sheet'!$A:$AL,13,FALSE)</f>
        <v>0</v>
      </c>
      <c r="L210" s="97">
        <f>$D210*($E$207/5.678)*$F210*VLOOKUP($C210,'Master sheet'!$A:$AL,27,FALSE)</f>
        <v>0</v>
      </c>
      <c r="M210" s="1561"/>
      <c r="N210" s="1561"/>
      <c r="O210" s="25" t="str">
        <f>_xlfn.IFNA(VLOOKUP($C210,'Master sheet'!$A:$AR,44,FALSE),"")&amp;""</f>
        <v/>
      </c>
      <c r="P210" s="637"/>
      <c r="Q210" s="722" t="s">
        <v>32</v>
      </c>
      <c r="R210" s="717" t="s">
        <v>1702</v>
      </c>
      <c r="S210" s="638"/>
      <c r="T210" s="638"/>
      <c r="U210" s="638"/>
      <c r="V210" s="638"/>
      <c r="W210" s="638"/>
      <c r="X210" s="638"/>
      <c r="Y210" s="638"/>
      <c r="Z210" s="638"/>
    </row>
    <row r="211" spans="1:26" s="624" customFormat="1" ht="22.8" x14ac:dyDescent="0.25">
      <c r="A211" s="639"/>
      <c r="B211" s="1524" t="s">
        <v>1037</v>
      </c>
      <c r="C211" s="1523"/>
      <c r="D211" s="687" t="str">
        <f>IF(LOWER(Setting!rng_language)="english","R-VALUE:","VALEUR R :")</f>
        <v>R-VALUE:</v>
      </c>
      <c r="E211" s="1"/>
      <c r="F211" s="333"/>
      <c r="G211" s="678"/>
      <c r="H211" s="731"/>
      <c r="I211" s="642"/>
      <c r="J211" s="643"/>
      <c r="K211" s="676"/>
      <c r="L211" s="677"/>
      <c r="M211" s="677"/>
      <c r="N211" s="677"/>
      <c r="O211" s="25" t="str">
        <f>_xlfn.IFNA(VLOOKUP($C211,'Master sheet'!$A:$AR,44,FALSE),"")&amp;""</f>
        <v/>
      </c>
      <c r="P211" s="685"/>
      <c r="Q211" s="722"/>
      <c r="R211" s="717" t="s">
        <v>1702</v>
      </c>
      <c r="S211" s="638"/>
      <c r="T211" s="638"/>
      <c r="U211" s="638"/>
      <c r="V211" s="638"/>
      <c r="W211" s="638"/>
      <c r="X211" s="638"/>
      <c r="Y211" s="638"/>
      <c r="Z211" s="638"/>
    </row>
    <row r="212" spans="1:26" ht="23.25" customHeight="1" x14ac:dyDescent="0.25">
      <c r="A212" s="738"/>
      <c r="B212" s="738"/>
      <c r="C212" s="691" t="s">
        <v>1063</v>
      </c>
      <c r="D212" s="19">
        <f>'USER INPUT SHEET'!$D$30</f>
        <v>0</v>
      </c>
      <c r="E212" s="20" t="str">
        <f>'USER INPUT SHEET'!$F$30</f>
        <v>m2</v>
      </c>
      <c r="F212" s="6">
        <v>1</v>
      </c>
      <c r="G212" s="692"/>
      <c r="H212" s="10"/>
      <c r="I212" s="98">
        <f t="shared" ref="I212:I219" si="76">K212-L212</f>
        <v>0</v>
      </c>
      <c r="J212" s="106" t="str">
        <f>IF(H212=1,I212,"")</f>
        <v/>
      </c>
      <c r="K212" s="410">
        <f>$F212*AVERAGE(K213:K219)</f>
        <v>0</v>
      </c>
      <c r="L212" s="99">
        <f>$F212*AVERAGE(L213:L219)</f>
        <v>0</v>
      </c>
      <c r="M212" s="1560"/>
      <c r="N212" s="1560"/>
      <c r="O212" s="25" t="str">
        <f>_xlfn.IFNA(VLOOKUP($C212,'Master sheet'!$A:$AR,44,FALSE),"")&amp;""</f>
        <v/>
      </c>
      <c r="P212" s="685"/>
      <c r="Q212" s="717" t="s">
        <v>32</v>
      </c>
      <c r="R212" s="717" t="s">
        <v>1702</v>
      </c>
      <c r="S212" s="664"/>
      <c r="T212" s="664"/>
      <c r="U212" s="664"/>
      <c r="V212" s="664"/>
      <c r="W212" s="664"/>
      <c r="X212" s="664"/>
      <c r="Y212" s="664"/>
      <c r="Z212" s="664"/>
    </row>
    <row r="213" spans="1:26" ht="31.5" customHeight="1" x14ac:dyDescent="0.25">
      <c r="A213" s="1546"/>
      <c r="B213" s="1547"/>
      <c r="C213" s="669" t="str">
        <f>INDEX('Master sheet'!$A$1:$A$670,MATCH(124,'Master sheet'!$AN$1:$AN$670,0))</f>
        <v>Hempcrete / Cast in-situ / Site mixed / USA / R 2.1/inch, Avg. mix using NHL &amp; PHL</v>
      </c>
      <c r="D213" s="15">
        <f>'USER INPUT SHEET'!$D$30</f>
        <v>0</v>
      </c>
      <c r="E213" s="16" t="str">
        <f>'USER INPUT SHEET'!$F$30</f>
        <v>m2</v>
      </c>
      <c r="F213" s="3">
        <v>1</v>
      </c>
      <c r="G213" s="670"/>
      <c r="H213" s="8"/>
      <c r="I213" s="92">
        <f t="shared" si="76"/>
        <v>0</v>
      </c>
      <c r="J213" s="93" t="str">
        <f t="shared" si="70"/>
        <v/>
      </c>
      <c r="K213" s="406">
        <f>$D213*($E$211/5.678)*$F213*VLOOKUP($C213,'Master sheet'!$A:$AL,13,FALSE)</f>
        <v>0</v>
      </c>
      <c r="L213" s="94">
        <f>$D213*($E$211/5.678)*$F213*VLOOKUP($C213,'Master sheet'!$A:$AL,27,FALSE)</f>
        <v>0</v>
      </c>
      <c r="M213" s="1551"/>
      <c r="N213" s="1551"/>
      <c r="O213" s="25" t="str">
        <f>_xlfn.IFNA(VLOOKUP($C213,'Master sheet'!$A:$AR,44,FALSE),"")&amp;""</f>
        <v>Peer-reviewed LCA, 2020</v>
      </c>
      <c r="P213" s="707"/>
      <c r="Q213" s="717" t="s">
        <v>32</v>
      </c>
      <c r="R213" s="717" t="s">
        <v>1702</v>
      </c>
      <c r="S213" s="664"/>
      <c r="T213" s="664"/>
      <c r="U213" s="664"/>
      <c r="V213" s="664"/>
      <c r="W213" s="664"/>
      <c r="X213" s="664"/>
      <c r="Y213" s="664"/>
      <c r="Z213" s="664"/>
    </row>
    <row r="214" spans="1:26" ht="31.2" x14ac:dyDescent="0.25">
      <c r="A214" s="1554"/>
      <c r="B214" s="1555"/>
      <c r="C214" s="669" t="str">
        <f>INDEX('Master sheet'!$A$1:$A$670,MATCH(123,'Master sheet'!$AN$1:$AN$670,0))</f>
        <v>Hempcrete / Cast in-situ / Site mixed / Europe / R 2.1/inch, Avg. of 9 mixes</v>
      </c>
      <c r="D214" s="15">
        <f>'USER INPUT SHEET'!$D$30</f>
        <v>0</v>
      </c>
      <c r="E214" s="16" t="str">
        <f>'USER INPUT SHEET'!$F$30</f>
        <v>m2</v>
      </c>
      <c r="F214" s="3">
        <v>1</v>
      </c>
      <c r="G214" s="670"/>
      <c r="H214" s="8"/>
      <c r="I214" s="92">
        <f t="shared" si="76"/>
        <v>0</v>
      </c>
      <c r="J214" s="93" t="str">
        <f t="shared" si="70"/>
        <v/>
      </c>
      <c r="K214" s="406">
        <f>$D214*($E$211/5.678)*$F214*VLOOKUP($C214,'Master sheet'!$A:$AL,13,FALSE)</f>
        <v>0</v>
      </c>
      <c r="L214" s="94">
        <f>$D214*($E$211/5.678)*$F214*VLOOKUP($C214,'Master sheet'!$A:$AL,27,FALSE)</f>
        <v>0</v>
      </c>
      <c r="M214" s="1560"/>
      <c r="N214" s="1560"/>
      <c r="O214" s="25" t="str">
        <f>_xlfn.IFNA(VLOOKUP($C214,'Master sheet'!$A:$AR,44,FALSE),"")&amp;""</f>
        <v>Peer-reviewed LCA, 2017</v>
      </c>
      <c r="P214" s="707"/>
      <c r="Q214" s="717" t="s">
        <v>32</v>
      </c>
      <c r="R214" s="717" t="s">
        <v>1702</v>
      </c>
      <c r="S214" s="664"/>
      <c r="T214" s="664"/>
      <c r="U214" s="664"/>
      <c r="V214" s="664"/>
      <c r="W214" s="664"/>
      <c r="X214" s="664"/>
      <c r="Y214" s="664"/>
      <c r="Z214" s="664"/>
    </row>
    <row r="215" spans="1:26" ht="23.25" customHeight="1" x14ac:dyDescent="0.25">
      <c r="A215" s="1523"/>
      <c r="B215" s="1523"/>
      <c r="C215" s="673" t="str">
        <f>INDEX('Master sheet'!$A$1:$A$670,MATCH("A57",'Master sheet'!$AN$1:$AN$670,0))</f>
        <v>Hempcrete / Cast in-situ / IsoHemp / Europe / R 2.1/inch</v>
      </c>
      <c r="D215" s="17">
        <f>'USER INPUT SHEET'!$D$30</f>
        <v>0</v>
      </c>
      <c r="E215" s="18" t="str">
        <f>'USER INPUT SHEET'!$F$30</f>
        <v>m2</v>
      </c>
      <c r="F215" s="4">
        <v>1</v>
      </c>
      <c r="G215" s="674"/>
      <c r="H215" s="9"/>
      <c r="I215" s="95">
        <f t="shared" si="76"/>
        <v>0</v>
      </c>
      <c r="J215" s="96" t="str">
        <f t="shared" ref="J215:J218" si="77">IF(H215=1,I215,"")</f>
        <v/>
      </c>
      <c r="K215" s="407">
        <f>$D215*($E$211/5.678)*$F215*VLOOKUP($C215,'Master sheet'!$A:$AL,13,FALSE)</f>
        <v>0</v>
      </c>
      <c r="L215" s="97">
        <f>$D215*($E$211/5.678)*$F215*VLOOKUP($C215,'Master sheet'!$A:$AL,27,FALSE)</f>
        <v>0</v>
      </c>
      <c r="M215" s="1560"/>
      <c r="N215" s="1560"/>
      <c r="O215" s="25" t="str">
        <f>_xlfn.IFNA(VLOOKUP($C215,'Master sheet'!$A:$AR,44,FALSE),"")&amp;""</f>
        <v/>
      </c>
      <c r="P215" s="707"/>
      <c r="Q215" s="722" t="s">
        <v>32</v>
      </c>
      <c r="R215" s="717" t="s">
        <v>1702</v>
      </c>
      <c r="S215" s="638"/>
      <c r="T215" s="638"/>
      <c r="U215" s="638"/>
      <c r="V215" s="664"/>
      <c r="W215" s="664"/>
      <c r="X215" s="664"/>
      <c r="Y215" s="664"/>
      <c r="Z215" s="664"/>
    </row>
    <row r="216" spans="1:26" ht="31.2" x14ac:dyDescent="0.25">
      <c r="A216" s="1523"/>
      <c r="B216" s="1523"/>
      <c r="C216" s="673" t="str">
        <f>INDEX('Master sheet'!$A$1:$A$670,MATCH("A60",'Master sheet'!$AN$1:$AN$670,0))</f>
        <v xml:space="preserve">Hempcrete / Cast in-situ / Senini / Bio Beton Jet / 230 kg/m3 / R 2.7/inch </v>
      </c>
      <c r="D216" s="17">
        <f>'USER INPUT SHEET'!$D$30</f>
        <v>0</v>
      </c>
      <c r="E216" s="18" t="str">
        <f>'USER INPUT SHEET'!$F$30</f>
        <v>m2</v>
      </c>
      <c r="F216" s="4">
        <v>1</v>
      </c>
      <c r="G216" s="674"/>
      <c r="H216" s="9"/>
      <c r="I216" s="95">
        <f t="shared" si="76"/>
        <v>0</v>
      </c>
      <c r="J216" s="96" t="str">
        <f t="shared" si="77"/>
        <v/>
      </c>
      <c r="K216" s="407">
        <f>$D216*($E$211/5.678)*$F216*VLOOKUP($C216,'Master sheet'!$A:$AL,13,FALSE)</f>
        <v>0</v>
      </c>
      <c r="L216" s="97">
        <f>$D216*($E$211/5.678)*$F216*VLOOKUP($C216,'Master sheet'!$A:$AL,27,FALSE)</f>
        <v>0</v>
      </c>
      <c r="M216" s="1560"/>
      <c r="N216" s="1560"/>
      <c r="O216" s="25" t="str">
        <f>_xlfn.IFNA(VLOOKUP($C216,'Master sheet'!$A:$AR,44,FALSE),"")&amp;""</f>
        <v/>
      </c>
      <c r="P216" s="707"/>
      <c r="Q216" s="722" t="s">
        <v>32</v>
      </c>
      <c r="R216" s="717" t="s">
        <v>1702</v>
      </c>
      <c r="S216" s="638"/>
      <c r="T216" s="638"/>
      <c r="U216" s="638"/>
      <c r="V216" s="664"/>
      <c r="W216" s="664"/>
      <c r="X216" s="664"/>
      <c r="Y216" s="664"/>
      <c r="Z216" s="664"/>
    </row>
    <row r="217" spans="1:26" ht="31.2" x14ac:dyDescent="0.25">
      <c r="A217" s="1523"/>
      <c r="B217" s="1523"/>
      <c r="C217" s="673" t="str">
        <f>INDEX('Master sheet'!$A$1:$A$670,MATCH("A58",'Master sheet'!$AN$1:$AN$670,0))</f>
        <v>Hempcrete block / Isohemp / Hemp Block PAL36EX including mortar / 600 x 300 x 360 mm  / R 2/inch</v>
      </c>
      <c r="D217" s="17">
        <f>'USER INPUT SHEET'!$D$30</f>
        <v>0</v>
      </c>
      <c r="E217" s="18" t="str">
        <f>'USER INPUT SHEET'!$F$30</f>
        <v>m2</v>
      </c>
      <c r="F217" s="4">
        <v>1</v>
      </c>
      <c r="G217" s="674"/>
      <c r="H217" s="9"/>
      <c r="I217" s="95">
        <f t="shared" si="76"/>
        <v>0</v>
      </c>
      <c r="J217" s="96" t="str">
        <f t="shared" si="77"/>
        <v/>
      </c>
      <c r="K217" s="407">
        <f>$D217*($E$211/5.678)*$F217*VLOOKUP($C217,'Master sheet'!$A:$AL,13,FALSE)</f>
        <v>0</v>
      </c>
      <c r="L217" s="97">
        <f>$D217*($E$211/5.678)*$F217*VLOOKUP($C217,'Master sheet'!$A:$AL,27,FALSE)</f>
        <v>0</v>
      </c>
      <c r="M217" s="1560"/>
      <c r="N217" s="1560"/>
      <c r="O217" s="25" t="str">
        <f>_xlfn.IFNA(VLOOKUP($C217,'Master sheet'!$A:$AR,44,FALSE),"")&amp;""</f>
        <v/>
      </c>
      <c r="P217" s="707"/>
      <c r="Q217" s="722" t="s">
        <v>32</v>
      </c>
      <c r="R217" s="717" t="s">
        <v>1702</v>
      </c>
      <c r="S217" s="638"/>
      <c r="T217" s="638"/>
      <c r="U217" s="638"/>
      <c r="V217" s="664"/>
      <c r="W217" s="664"/>
      <c r="X217" s="664"/>
      <c r="Y217" s="664"/>
      <c r="Z217" s="664"/>
    </row>
    <row r="218" spans="1:26" ht="31.2" x14ac:dyDescent="0.25">
      <c r="A218" s="1523"/>
      <c r="B218" s="1523"/>
      <c r="C218" s="673" t="str">
        <f>INDEX('Master sheet'!$A$1:$A$670,MATCH("A59",'Master sheet'!$AN$1:$AN$670,0))</f>
        <v>Hempcrete block / Senini / Blocco Ambiente / 200 x 500 x 300 mm / 330 kg/m3 / R 2.1/inch</v>
      </c>
      <c r="D218" s="17">
        <f>'USER INPUT SHEET'!$D$30</f>
        <v>0</v>
      </c>
      <c r="E218" s="18" t="str">
        <f>'USER INPUT SHEET'!$F$30</f>
        <v>m2</v>
      </c>
      <c r="F218" s="4">
        <v>1</v>
      </c>
      <c r="G218" s="674"/>
      <c r="H218" s="9"/>
      <c r="I218" s="95">
        <f t="shared" si="76"/>
        <v>0</v>
      </c>
      <c r="J218" s="96" t="str">
        <f t="shared" si="77"/>
        <v/>
      </c>
      <c r="K218" s="407">
        <f>$D218*($E$211/5.678)*$F218*VLOOKUP($C218,'Master sheet'!$A:$AL,13,FALSE)</f>
        <v>0</v>
      </c>
      <c r="L218" s="97">
        <f>$D218*($E$211/5.678)*$F218*VLOOKUP($C218,'Master sheet'!$A:$AL,27,FALSE)</f>
        <v>0</v>
      </c>
      <c r="M218" s="1560"/>
      <c r="N218" s="1560"/>
      <c r="O218" s="25" t="str">
        <f>_xlfn.IFNA(VLOOKUP($C218,'Master sheet'!$A:$AR,44,FALSE),"")&amp;""</f>
        <v/>
      </c>
      <c r="P218" s="707"/>
      <c r="Q218" s="722" t="s">
        <v>32</v>
      </c>
      <c r="R218" s="717" t="s">
        <v>1702</v>
      </c>
      <c r="S218" s="638"/>
      <c r="T218" s="638"/>
      <c r="U218" s="638"/>
      <c r="V218" s="664"/>
      <c r="W218" s="664"/>
      <c r="X218" s="664"/>
      <c r="Y218" s="664"/>
      <c r="Z218" s="664"/>
    </row>
    <row r="219" spans="1:26" s="624" customFormat="1" ht="31.2" x14ac:dyDescent="0.25">
      <c r="A219" s="1548"/>
      <c r="B219" s="1549"/>
      <c r="C219" s="673" t="str">
        <f>INDEX('Master sheet'!$A$1:$A$670,MATCH("A61",'Master sheet'!$AN$1:$AN$670,0))</f>
        <v xml:space="preserve">Hempcrete dry fill / Senini / Bio Beton Pronto / 190 kg/m3 / R 2.7/inch </v>
      </c>
      <c r="D219" s="17">
        <f>'USER INPUT SHEET'!$D$30</f>
        <v>0</v>
      </c>
      <c r="E219" s="18" t="str">
        <f>'USER INPUT SHEET'!$F$30</f>
        <v>m2</v>
      </c>
      <c r="F219" s="4">
        <v>1</v>
      </c>
      <c r="G219" s="674"/>
      <c r="H219" s="9"/>
      <c r="I219" s="95">
        <f t="shared" si="76"/>
        <v>0</v>
      </c>
      <c r="J219" s="96" t="str">
        <f t="shared" si="70"/>
        <v/>
      </c>
      <c r="K219" s="407">
        <f>$D219*($E$211/5.678)*$F219*VLOOKUP($C219,'Master sheet'!$A:$AL,13,FALSE)</f>
        <v>0</v>
      </c>
      <c r="L219" s="97">
        <f>$D219*($E$211/5.678)*$F219*VLOOKUP($C219,'Master sheet'!$A:$AL,27,FALSE)</f>
        <v>0</v>
      </c>
      <c r="M219" s="1561"/>
      <c r="N219" s="1561"/>
      <c r="O219" s="25" t="str">
        <f>_xlfn.IFNA(VLOOKUP($C219,'Master sheet'!$A:$AR,44,FALSE),"")&amp;""</f>
        <v/>
      </c>
      <c r="P219" s="707"/>
      <c r="Q219" s="722" t="s">
        <v>32</v>
      </c>
      <c r="R219" s="717" t="s">
        <v>1702</v>
      </c>
      <c r="S219" s="638"/>
      <c r="T219" s="638"/>
      <c r="U219" s="638"/>
      <c r="V219" s="638"/>
      <c r="W219" s="638"/>
      <c r="X219" s="638"/>
      <c r="Y219" s="638"/>
      <c r="Z219" s="638"/>
    </row>
    <row r="220" spans="1:26" s="624" customFormat="1" ht="55.2" customHeight="1" x14ac:dyDescent="0.25">
      <c r="A220" s="1522" t="s">
        <v>4591</v>
      </c>
      <c r="B220" s="1523"/>
      <c r="C220" s="1523"/>
      <c r="D220" s="649"/>
      <c r="E220" s="650"/>
      <c r="F220" s="321"/>
      <c r="G220" s="650"/>
      <c r="H220" s="650"/>
      <c r="I220" s="651"/>
      <c r="J220" s="103"/>
      <c r="K220" s="652"/>
      <c r="L220" s="653"/>
      <c r="M220" s="653"/>
      <c r="N220" s="653"/>
      <c r="O220" s="25" t="str">
        <f>_xlfn.IFNA(VLOOKUP($C220,'Master sheet'!$A:$AR,44,FALSE),"")&amp;""</f>
        <v/>
      </c>
      <c r="P220" s="637"/>
      <c r="Q220" s="722"/>
      <c r="R220" s="717"/>
      <c r="S220" s="638"/>
      <c r="T220" s="638"/>
      <c r="U220" s="638"/>
      <c r="V220" s="638"/>
      <c r="W220" s="638"/>
      <c r="X220" s="638"/>
      <c r="Y220" s="638"/>
      <c r="Z220" s="638"/>
    </row>
    <row r="221" spans="1:26" ht="23.85" customHeight="1" x14ac:dyDescent="0.25">
      <c r="A221" s="686"/>
      <c r="B221" s="1541" t="s">
        <v>4592</v>
      </c>
      <c r="C221" s="1541"/>
      <c r="D221" s="656"/>
      <c r="E221" s="657"/>
      <c r="F221" s="327"/>
      <c r="G221" s="695"/>
      <c r="H221" s="695"/>
      <c r="I221" s="658"/>
      <c r="J221" s="659"/>
      <c r="K221" s="660"/>
      <c r="L221" s="661"/>
      <c r="M221" s="677"/>
      <c r="N221" s="677"/>
      <c r="O221" s="25" t="str">
        <f>_xlfn.IFNA(VLOOKUP($C221,'Master sheet'!$A:$AR,44,FALSE),"")&amp;""</f>
        <v/>
      </c>
      <c r="P221" s="637"/>
      <c r="Q221" s="722"/>
      <c r="S221" s="638"/>
      <c r="T221" s="638"/>
      <c r="U221" s="664"/>
      <c r="V221" s="664"/>
      <c r="W221" s="664"/>
      <c r="X221" s="664"/>
      <c r="Y221" s="664"/>
      <c r="Z221" s="664"/>
    </row>
    <row r="222" spans="1:26" ht="22.8" x14ac:dyDescent="0.25">
      <c r="A222" s="1576"/>
      <c r="B222" s="1576"/>
      <c r="C222" s="691" t="s">
        <v>4765</v>
      </c>
      <c r="D222" s="19">
        <f>'USER INPUT SHEET'!$D$30</f>
        <v>0</v>
      </c>
      <c r="E222" s="20" t="str">
        <f>'USER INPUT SHEET'!$F$30</f>
        <v>m2</v>
      </c>
      <c r="F222" s="6">
        <v>1</v>
      </c>
      <c r="G222" s="692"/>
      <c r="H222" s="10"/>
      <c r="I222" s="98">
        <f t="shared" ref="I222" si="78">K222-L222</f>
        <v>0</v>
      </c>
      <c r="J222" s="106" t="str">
        <f>IF(H222=1,I222,"")</f>
        <v/>
      </c>
      <c r="K222" s="410">
        <f>$F222*AVERAGE(K223:K233)</f>
        <v>0</v>
      </c>
      <c r="L222" s="99">
        <f>$F222*AVERAGE(L223:L233)</f>
        <v>0</v>
      </c>
      <c r="M222" s="1560"/>
      <c r="N222" s="1560"/>
      <c r="O222" s="25" t="str">
        <f>_xlfn.IFNA(VLOOKUP($C222,'Master sheet'!$A:$AR,44,FALSE),"")&amp;""</f>
        <v/>
      </c>
      <c r="P222" s="685"/>
      <c r="Q222" s="725" t="s">
        <v>32</v>
      </c>
      <c r="R222" s="717" t="s">
        <v>4591</v>
      </c>
      <c r="S222" s="664"/>
      <c r="T222" s="664"/>
      <c r="U222" s="664"/>
      <c r="V222" s="664"/>
      <c r="W222" s="664"/>
      <c r="X222" s="664"/>
      <c r="Y222" s="664"/>
      <c r="Z222" s="664"/>
    </row>
    <row r="223" spans="1:26" s="624" customFormat="1" ht="31.2" x14ac:dyDescent="0.25">
      <c r="A223" s="1576"/>
      <c r="B223" s="1576"/>
      <c r="C223" s="647" t="str">
        <f>INDEX('Master sheet'!$A$1:$A$670,MATCH("A157",'Master sheet'!$AN$1:$AN$670,0))</f>
        <v>Int. Wall &amp; Ceiling Barrier, sheet / Rothoblaas / Vapor In Green 200 / Non-permeable / 0.35 mm</v>
      </c>
      <c r="D223" s="13">
        <f>'USER INPUT SHEET'!$D$30</f>
        <v>0</v>
      </c>
      <c r="E223" s="14" t="str">
        <f>'USER INPUT SHEET'!$F$30</f>
        <v>m2</v>
      </c>
      <c r="F223" s="2">
        <v>1</v>
      </c>
      <c r="G223" s="648"/>
      <c r="H223" s="7"/>
      <c r="I223" s="88">
        <f t="shared" ref="I223" si="79">K223-L223</f>
        <v>0</v>
      </c>
      <c r="J223" s="89" t="str">
        <f t="shared" ref="J223" si="80">IF(H223=1,I223,"")</f>
        <v/>
      </c>
      <c r="K223" s="404">
        <f>$D223*$F223*VLOOKUP($C223,'Master sheet'!$A:$AL,13,FALSE)</f>
        <v>0</v>
      </c>
      <c r="L223" s="90">
        <f>$D223*$F223*VLOOKUP($C223,'Master sheet'!$A:$AL,27,FALSE)</f>
        <v>0</v>
      </c>
      <c r="M223" s="1560"/>
      <c r="N223" s="1560"/>
      <c r="O223" s="25" t="str">
        <f>_xlfn.IFNA(VLOOKUP($C223,'Master sheet'!$A:$AR,44,FALSE),"")&amp;""</f>
        <v/>
      </c>
      <c r="P223" s="637"/>
      <c r="Q223" s="722" t="s">
        <v>32</v>
      </c>
      <c r="R223" s="717" t="s">
        <v>4591</v>
      </c>
      <c r="S223" s="638"/>
      <c r="T223" s="638"/>
      <c r="U223" s="638"/>
      <c r="V223" s="638"/>
      <c r="W223" s="638"/>
      <c r="X223" s="638"/>
      <c r="Y223" s="638"/>
      <c r="Z223" s="638"/>
    </row>
    <row r="224" spans="1:26" s="624" customFormat="1" ht="31.2" x14ac:dyDescent="0.25">
      <c r="A224" s="1576"/>
      <c r="B224" s="1576"/>
      <c r="C224" s="647" t="str">
        <f>INDEX('Master sheet'!$A$1:$A$670,MATCH("A158",'Master sheet'!$AN$1:$AN$670,0))</f>
        <v>Ext. &amp; Int. Wall &amp; Roof Barrier, sheet / Rothoblaas / Clima Control Net 160 / Moisture-variable / 0.5 mm</v>
      </c>
      <c r="D224" s="13">
        <f>'USER INPUT SHEET'!$D$30</f>
        <v>0</v>
      </c>
      <c r="E224" s="14" t="str">
        <f>'USER INPUT SHEET'!$F$30</f>
        <v>m2</v>
      </c>
      <c r="F224" s="2">
        <v>1</v>
      </c>
      <c r="G224" s="648"/>
      <c r="H224" s="7"/>
      <c r="I224" s="88">
        <f t="shared" ref="I224" si="81">K224-L224</f>
        <v>0</v>
      </c>
      <c r="J224" s="89" t="str">
        <f t="shared" ref="J224" si="82">IF(H224=1,I224,"")</f>
        <v/>
      </c>
      <c r="K224" s="404">
        <f>$D224*$F224*VLOOKUP($C224,'Master sheet'!$A:$AL,13,FALSE)</f>
        <v>0</v>
      </c>
      <c r="L224" s="90">
        <f>$D224*$F224*VLOOKUP($C224,'Master sheet'!$A:$AL,27,FALSE)</f>
        <v>0</v>
      </c>
      <c r="M224" s="1560"/>
      <c r="N224" s="1560"/>
      <c r="O224" s="25" t="str">
        <f>_xlfn.IFNA(VLOOKUP($C224,'Master sheet'!$A:$AR,44,FALSE),"")&amp;""</f>
        <v/>
      </c>
      <c r="P224" s="637"/>
      <c r="Q224" s="722" t="s">
        <v>32</v>
      </c>
      <c r="R224" s="717" t="s">
        <v>4591</v>
      </c>
      <c r="S224" s="638"/>
      <c r="T224" s="638"/>
      <c r="U224" s="638"/>
      <c r="V224" s="638"/>
      <c r="W224" s="638"/>
      <c r="X224" s="638"/>
      <c r="Y224" s="638"/>
      <c r="Z224" s="638"/>
    </row>
    <row r="225" spans="1:26" s="624" customFormat="1" ht="31.2" x14ac:dyDescent="0.25">
      <c r="A225" s="1576"/>
      <c r="B225" s="1576"/>
      <c r="C225" s="647" t="str">
        <f>INDEX('Master sheet'!$A$1:$A$670,MATCH("A160",'Master sheet'!$AN$1:$AN$670,0))</f>
        <v>Ext. &amp; Int. Wall &amp; Roof Barrier, sheet / Rothoblaas / Traspir Vapor 225 / Non-permeable / 0.8 mm</v>
      </c>
      <c r="D225" s="13">
        <f>'USER INPUT SHEET'!$D$30</f>
        <v>0</v>
      </c>
      <c r="E225" s="14" t="str">
        <f>'USER INPUT SHEET'!$F$30</f>
        <v>m2</v>
      </c>
      <c r="F225" s="2">
        <v>1</v>
      </c>
      <c r="G225" s="648"/>
      <c r="H225" s="7"/>
      <c r="I225" s="88">
        <f t="shared" ref="I225:I233" si="83">K225-L225</f>
        <v>0</v>
      </c>
      <c r="J225" s="89" t="str">
        <f t="shared" ref="J225:J233" si="84">IF(H225=1,I225,"")</f>
        <v/>
      </c>
      <c r="K225" s="404">
        <f>$D225*$F225*VLOOKUP($C225,'Master sheet'!$A:$AL,13,FALSE)</f>
        <v>0</v>
      </c>
      <c r="L225" s="90">
        <f>$D225*$F225*VLOOKUP($C225,'Master sheet'!$A:$AL,27,FALSE)</f>
        <v>0</v>
      </c>
      <c r="M225" s="1560"/>
      <c r="N225" s="1560"/>
      <c r="O225" s="25" t="str">
        <f>_xlfn.IFNA(VLOOKUP($C225,'Master sheet'!$A:$AR,44,FALSE),"")&amp;""</f>
        <v/>
      </c>
      <c r="P225" s="637"/>
      <c r="Q225" s="722" t="s">
        <v>32</v>
      </c>
      <c r="R225" s="717" t="s">
        <v>4591</v>
      </c>
      <c r="S225" s="638"/>
      <c r="T225" s="638"/>
      <c r="U225" s="638"/>
      <c r="V225" s="638"/>
      <c r="W225" s="638"/>
      <c r="X225" s="638"/>
      <c r="Y225" s="638"/>
      <c r="Z225" s="638"/>
    </row>
    <row r="226" spans="1:26" s="624" customFormat="1" ht="31.2" x14ac:dyDescent="0.25">
      <c r="A226" s="1576"/>
      <c r="B226" s="1576"/>
      <c r="C226" s="647" t="str">
        <f>INDEX('Master sheet'!$A$1:$A$670,MATCH("A176",'Master sheet'!$AN$1:$AN$670,0))</f>
        <v>Ext. Wall barrier, sheet / GCP / Perm-a-Barrier NPS / Non-permeable / 0.46 mm</v>
      </c>
      <c r="D226" s="13">
        <f>'USER INPUT SHEET'!$D$30</f>
        <v>0</v>
      </c>
      <c r="E226" s="14" t="str">
        <f>'USER INPUT SHEET'!$F$30</f>
        <v>m2</v>
      </c>
      <c r="F226" s="2">
        <v>1</v>
      </c>
      <c r="G226" s="648"/>
      <c r="H226" s="7"/>
      <c r="I226" s="88">
        <f t="shared" si="83"/>
        <v>0</v>
      </c>
      <c r="J226" s="89" t="str">
        <f t="shared" si="84"/>
        <v/>
      </c>
      <c r="K226" s="404">
        <f>$D226*$F226*VLOOKUP($C226,'Master sheet'!$A:$AL,13,FALSE)</f>
        <v>0</v>
      </c>
      <c r="L226" s="90">
        <f>$D226*$F226*VLOOKUP($C226,'Master sheet'!$A:$AL,27,FALSE)</f>
        <v>0</v>
      </c>
      <c r="M226" s="1560"/>
      <c r="N226" s="1560"/>
      <c r="O226" s="25" t="str">
        <f>_xlfn.IFNA(VLOOKUP($C226,'Master sheet'!$A:$AR,44,FALSE),"")&amp;""</f>
        <v/>
      </c>
      <c r="P226" s="637"/>
      <c r="Q226" s="722" t="s">
        <v>32</v>
      </c>
      <c r="R226" s="717" t="s">
        <v>4591</v>
      </c>
      <c r="S226" s="638"/>
      <c r="T226" s="638"/>
      <c r="U226" s="638"/>
      <c r="V226" s="638"/>
      <c r="W226" s="638"/>
      <c r="X226" s="638"/>
      <c r="Y226" s="638"/>
      <c r="Z226" s="638"/>
    </row>
    <row r="227" spans="1:26" s="624" customFormat="1" ht="31.2" x14ac:dyDescent="0.25">
      <c r="A227" s="1576"/>
      <c r="B227" s="1576"/>
      <c r="C227" s="647" t="str">
        <f>INDEX('Master sheet'!$A$1:$A$670,MATCH("A181",'Master sheet'!$AN$1:$AN$670,0))</f>
        <v xml:space="preserve">Int. Wall &amp; Ceiling Barrier, sheet / Partel / IZOPERM PLUS / Non-permeable / </v>
      </c>
      <c r="D227" s="13">
        <f>'USER INPUT SHEET'!$D$30</f>
        <v>0</v>
      </c>
      <c r="E227" s="14" t="str">
        <f>'USER INPUT SHEET'!$F$30</f>
        <v>m2</v>
      </c>
      <c r="F227" s="2">
        <v>1</v>
      </c>
      <c r="G227" s="648"/>
      <c r="H227" s="7"/>
      <c r="I227" s="88">
        <f t="shared" si="83"/>
        <v>0</v>
      </c>
      <c r="J227" s="89" t="str">
        <f t="shared" si="84"/>
        <v/>
      </c>
      <c r="K227" s="404">
        <f>$D227*$F227*VLOOKUP($C227,'Master sheet'!$A:$AL,13,FALSE)</f>
        <v>0</v>
      </c>
      <c r="L227" s="90">
        <f>$D227*$F227*VLOOKUP($C227,'Master sheet'!$A:$AL,27,FALSE)</f>
        <v>0</v>
      </c>
      <c r="M227" s="1560"/>
      <c r="N227" s="1560"/>
      <c r="O227" s="25" t="str">
        <f>_xlfn.IFNA(VLOOKUP($C227,'Master sheet'!$A:$AR,44,FALSE),"")&amp;""</f>
        <v/>
      </c>
      <c r="P227" s="637"/>
      <c r="Q227" s="722" t="s">
        <v>32</v>
      </c>
      <c r="R227" s="717" t="s">
        <v>4591</v>
      </c>
      <c r="S227" s="638"/>
      <c r="T227" s="638"/>
      <c r="U227" s="638"/>
      <c r="V227" s="638"/>
      <c r="W227" s="638"/>
      <c r="X227" s="638"/>
      <c r="Y227" s="638"/>
      <c r="Z227" s="638"/>
    </row>
    <row r="228" spans="1:26" s="624" customFormat="1" ht="31.2" x14ac:dyDescent="0.25">
      <c r="A228" s="1576"/>
      <c r="B228" s="1576"/>
      <c r="C228" s="647" t="str">
        <f>INDEX('Master sheet'!$A$1:$A$670,MATCH("A182",'Master sheet'!$AN$1:$AN$670,0))</f>
        <v xml:space="preserve">Int. Wall &amp; Ceiling Barrier, sheet / Partel / VARA PLUS / Moisture-variable / </v>
      </c>
      <c r="D228" s="13">
        <f>'USER INPUT SHEET'!$D$30</f>
        <v>0</v>
      </c>
      <c r="E228" s="14" t="str">
        <f>'USER INPUT SHEET'!$F$30</f>
        <v>m2</v>
      </c>
      <c r="F228" s="2">
        <v>1</v>
      </c>
      <c r="G228" s="648"/>
      <c r="H228" s="7"/>
      <c r="I228" s="88">
        <f t="shared" si="83"/>
        <v>0</v>
      </c>
      <c r="J228" s="89" t="str">
        <f t="shared" si="84"/>
        <v/>
      </c>
      <c r="K228" s="404">
        <f>$D228*$F228*VLOOKUP($C228,'Master sheet'!$A:$AL,13,FALSE)</f>
        <v>0</v>
      </c>
      <c r="L228" s="90">
        <f>$D228*$F228*VLOOKUP($C228,'Master sheet'!$A:$AL,27,FALSE)</f>
        <v>0</v>
      </c>
      <c r="M228" s="1560"/>
      <c r="N228" s="1560"/>
      <c r="O228" s="25" t="str">
        <f>_xlfn.IFNA(VLOOKUP($C228,'Master sheet'!$A:$AR,44,FALSE),"")&amp;""</f>
        <v/>
      </c>
      <c r="P228" s="637"/>
      <c r="Q228" s="722" t="s">
        <v>32</v>
      </c>
      <c r="R228" s="717" t="s">
        <v>4591</v>
      </c>
      <c r="S228" s="638"/>
      <c r="T228" s="638"/>
      <c r="U228" s="638"/>
      <c r="V228" s="638"/>
      <c r="W228" s="638"/>
      <c r="X228" s="638"/>
      <c r="Y228" s="638"/>
      <c r="Z228" s="638"/>
    </row>
    <row r="229" spans="1:26" s="624" customFormat="1" ht="31.2" x14ac:dyDescent="0.25">
      <c r="A229" s="1576"/>
      <c r="B229" s="1576"/>
      <c r="C229" s="647" t="str">
        <f>INDEX('Master sheet'!$A$1:$A$670,MATCH("A183",'Master sheet'!$AN$1:$AN$670,0))</f>
        <v>Int. Wall &amp; Ceiling Barrier, sheet / Rothoblaas / Clima Control 80 / Moisture-variable / 0.22 mm</v>
      </c>
      <c r="D229" s="13">
        <f>'USER INPUT SHEET'!$D$30</f>
        <v>0</v>
      </c>
      <c r="E229" s="14" t="str">
        <f>'USER INPUT SHEET'!$F$30</f>
        <v>m2</v>
      </c>
      <c r="F229" s="2">
        <v>1</v>
      </c>
      <c r="G229" s="648"/>
      <c r="H229" s="7"/>
      <c r="I229" s="88">
        <f t="shared" si="83"/>
        <v>0</v>
      </c>
      <c r="J229" s="89" t="str">
        <f t="shared" si="84"/>
        <v/>
      </c>
      <c r="K229" s="404">
        <f>$D229*$F229*VLOOKUP($C229,'Master sheet'!$A:$AL,13,FALSE)</f>
        <v>0</v>
      </c>
      <c r="L229" s="90">
        <f>$D229*$F229*VLOOKUP($C229,'Master sheet'!$A:$AL,27,FALSE)</f>
        <v>0</v>
      </c>
      <c r="M229" s="1560"/>
      <c r="N229" s="1560"/>
      <c r="O229" s="25" t="str">
        <f>_xlfn.IFNA(VLOOKUP($C229,'Master sheet'!$A:$AR,44,FALSE),"")&amp;""</f>
        <v/>
      </c>
      <c r="P229" s="637"/>
      <c r="Q229" s="722" t="s">
        <v>32</v>
      </c>
      <c r="R229" s="717" t="s">
        <v>4591</v>
      </c>
      <c r="S229" s="638"/>
      <c r="T229" s="638"/>
      <c r="U229" s="638"/>
      <c r="V229" s="638"/>
      <c r="W229" s="638"/>
      <c r="X229" s="638"/>
      <c r="Y229" s="638"/>
      <c r="Z229" s="638"/>
    </row>
    <row r="230" spans="1:26" s="624" customFormat="1" ht="31.2" x14ac:dyDescent="0.25">
      <c r="A230" s="1576"/>
      <c r="B230" s="1576"/>
      <c r="C230" s="647" t="str">
        <f>INDEX('Master sheet'!$A$1:$A$670,MATCH("A184",'Master sheet'!$AN$1:$AN$670,0))</f>
        <v>Int. Wall &amp; Ceiling Barrier, sheet / Rothoblaas / Vapor in NET 140 / Non-permeable / 0.15 mm</v>
      </c>
      <c r="D230" s="13">
        <f>'USER INPUT SHEET'!$D$30</f>
        <v>0</v>
      </c>
      <c r="E230" s="14" t="str">
        <f>'USER INPUT SHEET'!$F$30</f>
        <v>m2</v>
      </c>
      <c r="F230" s="2">
        <v>1</v>
      </c>
      <c r="G230" s="648"/>
      <c r="H230" s="7"/>
      <c r="I230" s="88">
        <f t="shared" si="83"/>
        <v>0</v>
      </c>
      <c r="J230" s="89" t="str">
        <f t="shared" si="84"/>
        <v/>
      </c>
      <c r="K230" s="404">
        <f>$D230*$F230*VLOOKUP($C230,'Master sheet'!$A:$AL,13,FALSE)</f>
        <v>0</v>
      </c>
      <c r="L230" s="90">
        <f>$D230*$F230*VLOOKUP($C230,'Master sheet'!$A:$AL,27,FALSE)</f>
        <v>0</v>
      </c>
      <c r="M230" s="1560"/>
      <c r="N230" s="1560"/>
      <c r="O230" s="25" t="str">
        <f>_xlfn.IFNA(VLOOKUP($C230,'Master sheet'!$A:$AR,44,FALSE),"")&amp;""</f>
        <v/>
      </c>
      <c r="P230" s="637"/>
      <c r="Q230" s="722" t="s">
        <v>32</v>
      </c>
      <c r="R230" s="717" t="s">
        <v>4591</v>
      </c>
      <c r="S230" s="638"/>
      <c r="T230" s="638"/>
      <c r="U230" s="638"/>
      <c r="V230" s="638"/>
      <c r="W230" s="638"/>
      <c r="X230" s="638"/>
      <c r="Y230" s="638"/>
      <c r="Z230" s="638"/>
    </row>
    <row r="231" spans="1:26" s="624" customFormat="1" ht="31.2" x14ac:dyDescent="0.25">
      <c r="A231" s="1576"/>
      <c r="B231" s="1576"/>
      <c r="C231" s="647" t="str">
        <f>INDEX('Master sheet'!$A$1:$A$670,MATCH("A185",'Master sheet'!$AN$1:$AN$670,0))</f>
        <v xml:space="preserve">Int. Wall &amp; Ceiling Barrier, sheet / SIGA / Majrex 200 / Moisture-variable / </v>
      </c>
      <c r="D231" s="13">
        <f>'USER INPUT SHEET'!$D$30</f>
        <v>0</v>
      </c>
      <c r="E231" s="14" t="str">
        <f>'USER INPUT SHEET'!$F$30</f>
        <v>m2</v>
      </c>
      <c r="F231" s="2">
        <v>1</v>
      </c>
      <c r="G231" s="648"/>
      <c r="H231" s="7"/>
      <c r="I231" s="88">
        <f t="shared" si="83"/>
        <v>0</v>
      </c>
      <c r="J231" s="89" t="str">
        <f t="shared" si="84"/>
        <v/>
      </c>
      <c r="K231" s="404">
        <f>$D231*$F231*VLOOKUP($C231,'Master sheet'!$A:$AL,13,FALSE)</f>
        <v>0</v>
      </c>
      <c r="L231" s="90">
        <f>$D231*$F231*VLOOKUP($C231,'Master sheet'!$A:$AL,27,FALSE)</f>
        <v>0</v>
      </c>
      <c r="M231" s="1560"/>
      <c r="N231" s="1560"/>
      <c r="O231" s="25" t="str">
        <f>_xlfn.IFNA(VLOOKUP($C231,'Master sheet'!$A:$AR,44,FALSE),"")&amp;""</f>
        <v/>
      </c>
      <c r="P231" s="637"/>
      <c r="Q231" s="722" t="s">
        <v>32</v>
      </c>
      <c r="R231" s="717" t="s">
        <v>4591</v>
      </c>
      <c r="S231" s="638"/>
      <c r="T231" s="638"/>
      <c r="U231" s="638"/>
      <c r="V231" s="638"/>
      <c r="W231" s="638"/>
      <c r="X231" s="638"/>
      <c r="Y231" s="638"/>
      <c r="Z231" s="638"/>
    </row>
    <row r="232" spans="1:26" s="624" customFormat="1" ht="23.25" customHeight="1" x14ac:dyDescent="0.25">
      <c r="A232" s="1576"/>
      <c r="B232" s="1576"/>
      <c r="C232" s="647" t="str">
        <f>INDEX('Master sheet'!$A$1:$A$670,MATCH("A186",'Master sheet'!$AN$1:$AN$670,0))</f>
        <v>Barrier, sheet /  / Polyethylene sheet / 10 mil</v>
      </c>
      <c r="D232" s="13">
        <f>'USER INPUT SHEET'!$D$30</f>
        <v>0</v>
      </c>
      <c r="E232" s="14" t="str">
        <f>'USER INPUT SHEET'!$F$30</f>
        <v>m2</v>
      </c>
      <c r="F232" s="2">
        <v>1</v>
      </c>
      <c r="G232" s="648"/>
      <c r="H232" s="7"/>
      <c r="I232" s="88">
        <f t="shared" si="83"/>
        <v>0</v>
      </c>
      <c r="J232" s="89" t="str">
        <f t="shared" si="84"/>
        <v/>
      </c>
      <c r="K232" s="404">
        <f>$D232*$F232*VLOOKUP($C232,'Master sheet'!$A:$AL,13,FALSE)</f>
        <v>0</v>
      </c>
      <c r="L232" s="90">
        <f>$D232*$F232*VLOOKUP($C232,'Master sheet'!$A:$AL,27,FALSE)</f>
        <v>0</v>
      </c>
      <c r="M232" s="1560"/>
      <c r="N232" s="1560"/>
      <c r="O232" s="25" t="str">
        <f>_xlfn.IFNA(VLOOKUP($C232,'Master sheet'!$A:$AR,44,FALSE),"")&amp;""</f>
        <v/>
      </c>
      <c r="P232" s="637"/>
      <c r="Q232" s="722" t="s">
        <v>32</v>
      </c>
      <c r="R232" s="717" t="s">
        <v>4591</v>
      </c>
      <c r="S232" s="638"/>
      <c r="T232" s="638"/>
      <c r="U232" s="638"/>
      <c r="V232" s="638"/>
      <c r="W232" s="638"/>
      <c r="X232" s="638"/>
      <c r="Y232" s="638"/>
      <c r="Z232" s="638"/>
    </row>
    <row r="233" spans="1:26" s="624" customFormat="1" ht="23.25" customHeight="1" x14ac:dyDescent="0.25">
      <c r="A233" s="1576"/>
      <c r="B233" s="1576"/>
      <c r="C233" s="647" t="str">
        <f>INDEX('Master sheet'!$A$1:$A$670,MATCH("A187",'Master sheet'!$AN$1:$AN$670,0))</f>
        <v>Barrier, sheet /  / Polyethylene sheet / 6 mil</v>
      </c>
      <c r="D233" s="13">
        <f>'USER INPUT SHEET'!$D$30</f>
        <v>0</v>
      </c>
      <c r="E233" s="14" t="str">
        <f>'USER INPUT SHEET'!$F$30</f>
        <v>m2</v>
      </c>
      <c r="F233" s="2">
        <v>1</v>
      </c>
      <c r="G233" s="648"/>
      <c r="H233" s="7"/>
      <c r="I233" s="88">
        <f t="shared" si="83"/>
        <v>0</v>
      </c>
      <c r="J233" s="89" t="str">
        <f t="shared" si="84"/>
        <v/>
      </c>
      <c r="K233" s="404">
        <f>$D233*$F233*VLOOKUP($C233,'Master sheet'!$A:$AL,13,FALSE)</f>
        <v>0</v>
      </c>
      <c r="L233" s="90">
        <f>$D233*$F233*VLOOKUP($C233,'Master sheet'!$A:$AL,27,FALSE)</f>
        <v>0</v>
      </c>
      <c r="M233" s="1560"/>
      <c r="N233" s="1560"/>
      <c r="O233" s="25" t="str">
        <f>_xlfn.IFNA(VLOOKUP($C233,'Master sheet'!$A:$AR,44,FALSE),"")&amp;""</f>
        <v/>
      </c>
      <c r="P233" s="637"/>
      <c r="Q233" s="722" t="s">
        <v>32</v>
      </c>
      <c r="R233" s="717" t="s">
        <v>4591</v>
      </c>
      <c r="S233" s="638"/>
      <c r="T233" s="638"/>
      <c r="U233" s="638"/>
      <c r="V233" s="638"/>
      <c r="W233" s="638"/>
      <c r="X233" s="638"/>
      <c r="Y233" s="638"/>
      <c r="Z233" s="638"/>
    </row>
    <row r="234" spans="1:26" ht="23.85" customHeight="1" x14ac:dyDescent="0.25">
      <c r="A234" s="686"/>
      <c r="B234" s="1541" t="s">
        <v>4593</v>
      </c>
      <c r="C234" s="1541"/>
      <c r="D234" s="656"/>
      <c r="E234" s="657"/>
      <c r="F234" s="327"/>
      <c r="G234" s="695"/>
      <c r="H234" s="695"/>
      <c r="I234" s="658"/>
      <c r="J234" s="659"/>
      <c r="K234" s="660"/>
      <c r="L234" s="661"/>
      <c r="M234" s="677"/>
      <c r="N234" s="677"/>
      <c r="O234" s="25" t="str">
        <f>_xlfn.IFNA(VLOOKUP($C234,'Master sheet'!$A:$AR,44,FALSE),"")&amp;""</f>
        <v/>
      </c>
      <c r="P234" s="637"/>
      <c r="Q234" s="722"/>
      <c r="R234" s="717" t="s">
        <v>4591</v>
      </c>
      <c r="S234" s="638"/>
      <c r="T234" s="638"/>
      <c r="U234" s="664"/>
      <c r="V234" s="664"/>
      <c r="W234" s="664"/>
      <c r="X234" s="664"/>
      <c r="Y234" s="664"/>
      <c r="Z234" s="664"/>
    </row>
    <row r="235" spans="1:26" ht="22.8" x14ac:dyDescent="0.25">
      <c r="A235" s="729"/>
      <c r="B235" s="1577"/>
      <c r="C235" s="691" t="s">
        <v>4766</v>
      </c>
      <c r="D235" s="19">
        <f>'USER INPUT SHEET'!$D$30</f>
        <v>0</v>
      </c>
      <c r="E235" s="20" t="str">
        <f>'USER INPUT SHEET'!$F$30</f>
        <v>m2</v>
      </c>
      <c r="F235" s="6">
        <v>1</v>
      </c>
      <c r="G235" s="692"/>
      <c r="H235" s="10"/>
      <c r="I235" s="98">
        <f t="shared" ref="I235:I239" si="85">K235-L235</f>
        <v>0</v>
      </c>
      <c r="J235" s="106" t="str">
        <f>IF(H235=1,I235,"")</f>
        <v/>
      </c>
      <c r="K235" s="410">
        <f>$F235*AVERAGE(K236:K239)</f>
        <v>0</v>
      </c>
      <c r="L235" s="99">
        <f>$F235*AVERAGE(L236:L239)</f>
        <v>0</v>
      </c>
      <c r="M235" s="1560"/>
      <c r="N235" s="1560"/>
      <c r="O235" s="25" t="str">
        <f>_xlfn.IFNA(VLOOKUP($C235,'Master sheet'!$A:$AR,44,FALSE),"")&amp;""</f>
        <v/>
      </c>
      <c r="P235" s="685"/>
      <c r="Q235" s="725" t="s">
        <v>32</v>
      </c>
      <c r="R235" s="717" t="s">
        <v>4591</v>
      </c>
      <c r="S235" s="664"/>
      <c r="T235" s="664"/>
      <c r="U235" s="664"/>
      <c r="V235" s="664"/>
      <c r="W235" s="664"/>
      <c r="X235" s="664"/>
      <c r="Y235" s="664"/>
      <c r="Z235" s="664"/>
    </row>
    <row r="236" spans="1:26" s="624" customFormat="1" ht="31.2" x14ac:dyDescent="0.25">
      <c r="A236" s="690"/>
      <c r="B236" s="1577"/>
      <c r="C236" s="669" t="str">
        <f>INDEX('Master sheet'!$A$1:$A$670,MATCH("A173",'Master sheet'!$AN$1:$AN$670,0))</f>
        <v>Ext. Wall barrier, liquid applied / GCP / Perm-a-Barrier NPL 10 / Non-permeable / 1 mm</v>
      </c>
      <c r="D236" s="15">
        <f>'USER INPUT SHEET'!$D$30</f>
        <v>0</v>
      </c>
      <c r="E236" s="16" t="str">
        <f>'USER INPUT SHEET'!$F$30</f>
        <v>m2</v>
      </c>
      <c r="F236" s="3">
        <v>1</v>
      </c>
      <c r="G236" s="670"/>
      <c r="H236" s="8"/>
      <c r="I236" s="92">
        <f t="shared" si="85"/>
        <v>0</v>
      </c>
      <c r="J236" s="93" t="str">
        <f t="shared" ref="J236:J239" si="86">IF(H236=1,I236,"")</f>
        <v/>
      </c>
      <c r="K236" s="406">
        <f>$D236*$F236*VLOOKUP($C236,'Master sheet'!$A:$AL,13,FALSE)</f>
        <v>0</v>
      </c>
      <c r="L236" s="94">
        <f>$D236*$F236*VLOOKUP($C236,'Master sheet'!$A:$AL,27,FALSE)</f>
        <v>0</v>
      </c>
      <c r="M236" s="1551"/>
      <c r="N236" s="1551"/>
      <c r="O236" s="25" t="str">
        <f>_xlfn.IFNA(VLOOKUP($C236,'Master sheet'!$A:$AR,44,FALSE),"")&amp;""</f>
        <v/>
      </c>
      <c r="P236" s="620"/>
      <c r="Q236" s="717" t="s">
        <v>32</v>
      </c>
      <c r="R236" s="717" t="s">
        <v>4591</v>
      </c>
      <c r="S236" s="664"/>
      <c r="T236" s="638"/>
      <c r="U236" s="638"/>
      <c r="V236" s="638"/>
      <c r="W236" s="638"/>
      <c r="X236" s="638"/>
      <c r="Y236" s="638"/>
      <c r="Z236" s="638"/>
    </row>
    <row r="237" spans="1:26" s="624" customFormat="1" ht="31.2" x14ac:dyDescent="0.25">
      <c r="A237" s="690"/>
      <c r="B237" s="1577"/>
      <c r="C237" s="669" t="str">
        <f>INDEX('Master sheet'!$A$1:$A$670,MATCH("A174",'Master sheet'!$AN$1:$AN$670,0))</f>
        <v>Ext. Wall barrier, liquid applied / GCP / Perm-a-Barrier VPL / 20 Perms / 0.64 mm</v>
      </c>
      <c r="D237" s="15">
        <f>'USER INPUT SHEET'!$D$30</f>
        <v>0</v>
      </c>
      <c r="E237" s="16" t="str">
        <f>'USER INPUT SHEET'!$F$30</f>
        <v>m2</v>
      </c>
      <c r="F237" s="3">
        <v>1</v>
      </c>
      <c r="G237" s="670"/>
      <c r="H237" s="8"/>
      <c r="I237" s="92">
        <f t="shared" si="85"/>
        <v>0</v>
      </c>
      <c r="J237" s="93" t="str">
        <f t="shared" si="86"/>
        <v/>
      </c>
      <c r="K237" s="406">
        <f>$D237*$F237*VLOOKUP($C237,'Master sheet'!$A:$AL,13,FALSE)</f>
        <v>0</v>
      </c>
      <c r="L237" s="94">
        <f>$D237*$F237*VLOOKUP($C237,'Master sheet'!$A:$AL,27,FALSE)</f>
        <v>0</v>
      </c>
      <c r="M237" s="1560"/>
      <c r="N237" s="1560"/>
      <c r="O237" s="25" t="str">
        <f>_xlfn.IFNA(VLOOKUP($C237,'Master sheet'!$A:$AR,44,FALSE),"")&amp;""</f>
        <v/>
      </c>
      <c r="P237" s="620"/>
      <c r="Q237" s="717" t="s">
        <v>32</v>
      </c>
      <c r="R237" s="717" t="s">
        <v>4591</v>
      </c>
      <c r="S237" s="664"/>
      <c r="T237" s="638"/>
      <c r="U237" s="638"/>
      <c r="V237" s="638"/>
      <c r="W237" s="638"/>
      <c r="X237" s="638"/>
      <c r="Y237" s="638"/>
      <c r="Z237" s="638"/>
    </row>
    <row r="238" spans="1:26" s="624" customFormat="1" ht="31.2" x14ac:dyDescent="0.25">
      <c r="A238" s="690"/>
      <c r="B238" s="1577"/>
      <c r="C238" s="669" t="str">
        <f>INDEX('Master sheet'!$A$1:$A$670,MATCH("A175",'Master sheet'!$AN$1:$AN$670,0))</f>
        <v>Ext. Wall barrier, liquid applied / GCP / Perm-a-Barrier VPL 50 RS / 13 Perms / 0.51 mm</v>
      </c>
      <c r="D238" s="15">
        <f>'USER INPUT SHEET'!$D$30</f>
        <v>0</v>
      </c>
      <c r="E238" s="16" t="str">
        <f>'USER INPUT SHEET'!$F$30</f>
        <v>m2</v>
      </c>
      <c r="F238" s="3">
        <v>1</v>
      </c>
      <c r="G238" s="670"/>
      <c r="H238" s="8"/>
      <c r="I238" s="92">
        <f t="shared" si="85"/>
        <v>0</v>
      </c>
      <c r="J238" s="93" t="str">
        <f t="shared" si="86"/>
        <v/>
      </c>
      <c r="K238" s="406">
        <f>$D238*$F238*VLOOKUP($C238,'Master sheet'!$A:$AL,13,FALSE)</f>
        <v>0</v>
      </c>
      <c r="L238" s="94">
        <f>$D238*$F238*VLOOKUP($C238,'Master sheet'!$A:$AL,27,FALSE)</f>
        <v>0</v>
      </c>
      <c r="M238" s="1560"/>
      <c r="N238" s="1560"/>
      <c r="O238" s="25" t="str">
        <f>_xlfn.IFNA(VLOOKUP($C238,'Master sheet'!$A:$AR,44,FALSE),"")&amp;""</f>
        <v/>
      </c>
      <c r="P238" s="620"/>
      <c r="Q238" s="717" t="s">
        <v>32</v>
      </c>
      <c r="R238" s="717" t="s">
        <v>4591</v>
      </c>
      <c r="S238" s="664"/>
      <c r="T238" s="638"/>
      <c r="U238" s="638"/>
      <c r="V238" s="638"/>
      <c r="W238" s="638"/>
      <c r="X238" s="638"/>
      <c r="Y238" s="638"/>
      <c r="Z238" s="638"/>
    </row>
    <row r="239" spans="1:26" s="624" customFormat="1" ht="31.2" x14ac:dyDescent="0.25">
      <c r="A239" s="690"/>
      <c r="B239" s="1577"/>
      <c r="C239" s="669" t="str">
        <f>INDEX('Master sheet'!$A$1:$A$670,MATCH("A180",'Master sheet'!$AN$1:$AN$670,0))</f>
        <v xml:space="preserve">Ext. Waterproofing Barrier, liquid applied / Carlisle / MiraSEAL &amp; MiraTITE / </v>
      </c>
      <c r="D239" s="15">
        <f>'USER INPUT SHEET'!$D$30</f>
        <v>0</v>
      </c>
      <c r="E239" s="16" t="str">
        <f>'USER INPUT SHEET'!$F$30</f>
        <v>m2</v>
      </c>
      <c r="F239" s="3">
        <v>1</v>
      </c>
      <c r="G239" s="670"/>
      <c r="H239" s="8"/>
      <c r="I239" s="92">
        <f t="shared" si="85"/>
        <v>0</v>
      </c>
      <c r="J239" s="93" t="str">
        <f t="shared" si="86"/>
        <v/>
      </c>
      <c r="K239" s="406">
        <f>$D239*$F239*VLOOKUP($C239,'Master sheet'!$A:$AL,13,FALSE)</f>
        <v>0</v>
      </c>
      <c r="L239" s="94">
        <f>$D239*$F239*VLOOKUP($C239,'Master sheet'!$A:$AL,27,FALSE)</f>
        <v>0</v>
      </c>
      <c r="M239" s="1560"/>
      <c r="N239" s="1560"/>
      <c r="O239" s="25" t="str">
        <f>_xlfn.IFNA(VLOOKUP($C239,'Master sheet'!$A:$AR,44,FALSE),"")&amp;""</f>
        <v/>
      </c>
      <c r="P239" s="620"/>
      <c r="Q239" s="717" t="s">
        <v>32</v>
      </c>
      <c r="R239" s="717" t="s">
        <v>4591</v>
      </c>
      <c r="S239" s="664"/>
      <c r="T239" s="638"/>
      <c r="U239" s="638"/>
      <c r="V239" s="638"/>
      <c r="W239" s="638"/>
      <c r="X239" s="638"/>
      <c r="Y239" s="638"/>
      <c r="Z239" s="638"/>
    </row>
    <row r="240" spans="1:26" ht="23.85" customHeight="1" x14ac:dyDescent="0.25">
      <c r="A240" s="686"/>
      <c r="B240" s="1541" t="s">
        <v>4764</v>
      </c>
      <c r="C240" s="1541"/>
      <c r="D240" s="656"/>
      <c r="E240" s="657"/>
      <c r="F240" s="327"/>
      <c r="G240" s="695"/>
      <c r="H240" s="695"/>
      <c r="I240" s="658"/>
      <c r="J240" s="659"/>
      <c r="K240" s="660"/>
      <c r="L240" s="661"/>
      <c r="M240" s="677"/>
      <c r="N240" s="677"/>
      <c r="O240" s="25" t="str">
        <f>_xlfn.IFNA(VLOOKUP($C240,'Master sheet'!$A:$AR,44,FALSE),"")&amp;""</f>
        <v/>
      </c>
      <c r="P240" s="637"/>
      <c r="Q240" s="722"/>
      <c r="R240" s="717" t="s">
        <v>4591</v>
      </c>
      <c r="S240" s="638"/>
      <c r="T240" s="638"/>
      <c r="U240" s="664"/>
      <c r="V240" s="664"/>
      <c r="W240" s="664"/>
      <c r="X240" s="664"/>
      <c r="Y240" s="664"/>
      <c r="Z240" s="664"/>
    </row>
    <row r="241" spans="1:26" ht="22.8" x14ac:dyDescent="0.25">
      <c r="A241" s="729"/>
      <c r="B241" s="745"/>
      <c r="C241" s="691" t="s">
        <v>4767</v>
      </c>
      <c r="D241" s="19">
        <f>'USER INPUT SHEET'!$D$30</f>
        <v>0</v>
      </c>
      <c r="E241" s="20" t="str">
        <f>'USER INPUT SHEET'!$F$30</f>
        <v>m2</v>
      </c>
      <c r="F241" s="6">
        <v>1</v>
      </c>
      <c r="G241" s="692"/>
      <c r="H241" s="10"/>
      <c r="I241" s="98">
        <f t="shared" ref="I241:I242" si="87">K241-L241</f>
        <v>0</v>
      </c>
      <c r="J241" s="106" t="str">
        <f>IF(H241=1,I241,"")</f>
        <v/>
      </c>
      <c r="K241" s="410">
        <f>$F241*AVERAGE(K242:K243)</f>
        <v>0</v>
      </c>
      <c r="L241" s="99">
        <f>$F241*AVERAGE(L242:L243)</f>
        <v>0</v>
      </c>
      <c r="M241" s="1560"/>
      <c r="N241" s="1560"/>
      <c r="O241" s="25" t="str">
        <f>_xlfn.IFNA(VLOOKUP($C241,'Master sheet'!$A:$AR,44,FALSE),"")&amp;""</f>
        <v/>
      </c>
      <c r="P241" s="685"/>
      <c r="Q241" s="725" t="s">
        <v>32</v>
      </c>
      <c r="R241" s="717" t="s">
        <v>4591</v>
      </c>
      <c r="S241" s="664"/>
      <c r="T241" s="664"/>
      <c r="U241" s="664"/>
      <c r="V241" s="664"/>
      <c r="W241" s="664"/>
      <c r="X241" s="664"/>
      <c r="Y241" s="664"/>
      <c r="Z241" s="664"/>
    </row>
    <row r="242" spans="1:26" s="624" customFormat="1" ht="31.2" x14ac:dyDescent="0.25">
      <c r="A242" s="690"/>
      <c r="B242" s="625"/>
      <c r="C242" s="669" t="str">
        <f>INDEX('Master sheet'!$A$1:$A$670,MATCH("A169",'Master sheet'!$AN$1:$AN$670,0))</f>
        <v>Ext. Wall Barrier, adhesive / Soprema / Sopraseal Stick 1100 T / Non-permeable / 1.0 mm</v>
      </c>
      <c r="D242" s="15">
        <f>'USER INPUT SHEET'!$D$30</f>
        <v>0</v>
      </c>
      <c r="E242" s="16" t="str">
        <f>'USER INPUT SHEET'!$F$30</f>
        <v>m2</v>
      </c>
      <c r="F242" s="3">
        <v>1</v>
      </c>
      <c r="G242" s="670"/>
      <c r="H242" s="8"/>
      <c r="I242" s="92">
        <f t="shared" si="87"/>
        <v>0</v>
      </c>
      <c r="J242" s="93" t="str">
        <f t="shared" ref="J242" si="88">IF(H242=1,I242,"")</f>
        <v/>
      </c>
      <c r="K242" s="406">
        <f>$D242*$F242*VLOOKUP($C242,'Master sheet'!$A:$AL,13,FALSE)</f>
        <v>0</v>
      </c>
      <c r="L242" s="94">
        <f>$D242*$F242*VLOOKUP($C242,'Master sheet'!$A:$AL,27,FALSE)</f>
        <v>0</v>
      </c>
      <c r="M242" s="1551"/>
      <c r="N242" s="1551"/>
      <c r="O242" s="25" t="str">
        <f>_xlfn.IFNA(VLOOKUP($C242,'Master sheet'!$A:$AR,44,FALSE),"")&amp;""</f>
        <v/>
      </c>
      <c r="P242" s="620"/>
      <c r="Q242" s="717" t="s">
        <v>32</v>
      </c>
      <c r="R242" s="717" t="s">
        <v>4591</v>
      </c>
      <c r="S242" s="664"/>
      <c r="T242" s="664"/>
      <c r="U242" s="638"/>
      <c r="V242" s="638"/>
      <c r="W242" s="638"/>
      <c r="X242" s="638"/>
      <c r="Y242" s="638"/>
      <c r="Z242" s="638"/>
    </row>
    <row r="243" spans="1:26" s="624" customFormat="1" ht="23.25" customHeight="1" x14ac:dyDescent="0.25">
      <c r="A243" s="1542"/>
      <c r="B243" s="1523"/>
      <c r="C243" s="669" t="str">
        <f>INDEX('Master sheet'!$A$1:$A$670,MATCH("A179",'Master sheet'!$AN$1:$AN$670,0))</f>
        <v xml:space="preserve">Ext. Waterproofing Barrier, adhesive / Carlisle / MiraPLY V / </v>
      </c>
      <c r="D243" s="15">
        <f>'USER INPUT SHEET'!$D$30</f>
        <v>0</v>
      </c>
      <c r="E243" s="16" t="str">
        <f>'USER INPUT SHEET'!$F$30</f>
        <v>m2</v>
      </c>
      <c r="F243" s="3">
        <v>1</v>
      </c>
      <c r="G243" s="670"/>
      <c r="H243" s="8"/>
      <c r="I243" s="92">
        <f t="shared" ref="I243" si="89">K243-L243</f>
        <v>0</v>
      </c>
      <c r="J243" s="93" t="str">
        <f t="shared" ref="J243" si="90">IF(H243=1,I243,"")</f>
        <v/>
      </c>
      <c r="K243" s="406">
        <f>$D243*$F243*VLOOKUP($C243,'Master sheet'!$A:$AL,13,FALSE)</f>
        <v>0</v>
      </c>
      <c r="L243" s="94">
        <f>$D243*$F243*VLOOKUP($C243,'Master sheet'!$A:$AL,27,FALSE)</f>
        <v>0</v>
      </c>
      <c r="M243" s="1560"/>
      <c r="N243" s="1560"/>
      <c r="O243" s="25" t="str">
        <f>_xlfn.IFNA(VLOOKUP($C243,'Master sheet'!$A:$AR,44,FALSE),"")&amp;""</f>
        <v/>
      </c>
      <c r="P243" s="620"/>
      <c r="Q243" s="717" t="s">
        <v>32</v>
      </c>
      <c r="R243" s="717" t="s">
        <v>4591</v>
      </c>
      <c r="S243" s="664"/>
      <c r="T243" s="664"/>
      <c r="U243" s="638"/>
      <c r="V243" s="638"/>
      <c r="W243" s="638"/>
      <c r="X243" s="638"/>
      <c r="Y243" s="638"/>
      <c r="Z243" s="638"/>
    </row>
    <row r="244" spans="1:26" s="624" customFormat="1" ht="54.75" customHeight="1" x14ac:dyDescent="0.25">
      <c r="A244" s="1522" t="s">
        <v>49</v>
      </c>
      <c r="B244" s="1523"/>
      <c r="C244" s="1523"/>
      <c r="D244" s="649"/>
      <c r="E244" s="650"/>
      <c r="F244" s="321"/>
      <c r="G244" s="650"/>
      <c r="H244" s="650"/>
      <c r="I244" s="651"/>
      <c r="J244" s="103" t="str">
        <f t="shared" ref="J244:J252" si="91">IF(H244=1,I244,"")</f>
        <v/>
      </c>
      <c r="K244" s="652"/>
      <c r="L244" s="653"/>
      <c r="M244" s="653"/>
      <c r="N244" s="653"/>
      <c r="O244" s="25" t="str">
        <f>_xlfn.IFNA(VLOOKUP($C244,'Master sheet'!$A:$AR,44,FALSE),"")&amp;""</f>
        <v/>
      </c>
      <c r="P244" s="685"/>
      <c r="Q244" s="722"/>
      <c r="R244" s="722"/>
      <c r="S244" s="638"/>
      <c r="T244" s="638"/>
      <c r="U244" s="638"/>
      <c r="V244" s="638"/>
      <c r="W244" s="638"/>
      <c r="X244" s="638"/>
      <c r="Y244" s="638"/>
      <c r="Z244" s="638"/>
    </row>
    <row r="245" spans="1:26" ht="22.8" x14ac:dyDescent="0.25">
      <c r="A245" s="686"/>
      <c r="B245" s="1541" t="s">
        <v>1038</v>
      </c>
      <c r="C245" s="1530"/>
      <c r="D245" s="656"/>
      <c r="E245" s="657"/>
      <c r="F245" s="337"/>
      <c r="G245" s="746"/>
      <c r="H245" s="746"/>
      <c r="I245" s="658"/>
      <c r="J245" s="659"/>
      <c r="K245" s="660"/>
      <c r="L245" s="661"/>
      <c r="M245" s="677"/>
      <c r="N245" s="677"/>
      <c r="O245" s="25" t="str">
        <f>_xlfn.IFNA(VLOOKUP($C245,'Master sheet'!$A:$AR,44,FALSE),"")&amp;""</f>
        <v/>
      </c>
      <c r="P245" s="685"/>
      <c r="S245" s="664"/>
      <c r="T245" s="664"/>
      <c r="U245" s="664"/>
      <c r="V245" s="664"/>
      <c r="W245" s="664"/>
      <c r="X245" s="664"/>
      <c r="Y245" s="664"/>
      <c r="Z245" s="664"/>
    </row>
    <row r="246" spans="1:26" ht="22.8" x14ac:dyDescent="0.25">
      <c r="A246" s="729"/>
      <c r="B246" s="745"/>
      <c r="C246" s="691" t="s">
        <v>1357</v>
      </c>
      <c r="D246" s="19">
        <f>'USER INPUT SHEET'!$D$30</f>
        <v>0</v>
      </c>
      <c r="E246" s="20" t="str">
        <f>'USER INPUT SHEET'!$F$30</f>
        <v>m2</v>
      </c>
      <c r="F246" s="6">
        <v>1</v>
      </c>
      <c r="G246" s="692"/>
      <c r="H246" s="10"/>
      <c r="I246" s="98">
        <f t="shared" ref="I246:I248" si="92">K246-L246</f>
        <v>0</v>
      </c>
      <c r="J246" s="106" t="str">
        <f>IF(H246=1,I246,"")</f>
        <v/>
      </c>
      <c r="K246" s="410">
        <f>$F246*AVERAGE(K247:K248)</f>
        <v>0</v>
      </c>
      <c r="L246" s="99">
        <f>$F246*AVERAGE(L247:L248)</f>
        <v>0</v>
      </c>
      <c r="M246" s="1560"/>
      <c r="N246" s="1560"/>
      <c r="O246" s="25" t="str">
        <f>_xlfn.IFNA(VLOOKUP($C246,'Master sheet'!$A:$AR,44,FALSE),"")&amp;""</f>
        <v/>
      </c>
      <c r="P246" s="685"/>
      <c r="Q246" s="725" t="s">
        <v>32</v>
      </c>
      <c r="R246" s="717" t="s">
        <v>1703</v>
      </c>
      <c r="S246" s="664"/>
      <c r="T246" s="664"/>
      <c r="U246" s="664"/>
      <c r="V246" s="664"/>
      <c r="W246" s="664"/>
      <c r="X246" s="664"/>
      <c r="Y246" s="664"/>
      <c r="Z246" s="664"/>
    </row>
    <row r="247" spans="1:26" ht="22.8" x14ac:dyDescent="0.25">
      <c r="A247" s="1523"/>
      <c r="B247" s="1523"/>
      <c r="C247" s="673" t="str">
        <f>INDEX('Master sheet'!$A$1:$A$670,MATCH(89,'Master sheet'!$AN$1:$AN$670,0))</f>
        <v>Drywall 1/2" / Pabco / QuietRock / QuietRock 1/2"</v>
      </c>
      <c r="D247" s="15">
        <f>'USER INPUT SHEET'!$D$30</f>
        <v>0</v>
      </c>
      <c r="E247" s="16" t="str">
        <f>'USER INPUT SHEET'!$F$30</f>
        <v>m2</v>
      </c>
      <c r="F247" s="3">
        <v>1</v>
      </c>
      <c r="G247" s="670"/>
      <c r="H247" s="8"/>
      <c r="I247" s="92">
        <f t="shared" si="92"/>
        <v>0</v>
      </c>
      <c r="J247" s="93" t="str">
        <f t="shared" ref="J247:J248" si="93">IF(H247=1,I247,"")</f>
        <v/>
      </c>
      <c r="K247" s="406">
        <f>$D247*$F247*VLOOKUP($C247,'Master sheet'!$A:$AL,13,FALSE)</f>
        <v>0</v>
      </c>
      <c r="L247" s="94">
        <f>$D247*$F247*VLOOKUP($C247,'Master sheet'!$A:$AL,27,FALSE)</f>
        <v>0</v>
      </c>
      <c r="M247" s="1551"/>
      <c r="N247" s="1551"/>
      <c r="O247" s="25" t="str">
        <f ca="1">_xlfn.IFNA(VLOOKUP($C247,'Master sheet'!$A:$AR,44,FALSE),"")&amp;""</f>
        <v>Expired 2025</v>
      </c>
      <c r="Q247" s="717" t="s">
        <v>32</v>
      </c>
      <c r="R247" s="717" t="s">
        <v>1703</v>
      </c>
      <c r="S247" s="664"/>
      <c r="T247" s="664"/>
      <c r="U247" s="664"/>
      <c r="V247" s="664"/>
      <c r="W247" s="664"/>
      <c r="X247" s="664"/>
      <c r="Y247" s="664"/>
      <c r="Z247" s="664"/>
    </row>
    <row r="248" spans="1:26" ht="31.2" x14ac:dyDescent="0.25">
      <c r="A248" s="1523"/>
      <c r="B248" s="1523"/>
      <c r="C248" s="673" t="str">
        <f>INDEX('Master sheet'!$A$1:$A$670,MATCH(376,'Master sheet'!$AN$1:$AN$670,0))</f>
        <v>Drywall 1/2" / National Gypsum / Gold Bond XP Gypsum Board  / 1/2" (12.7 mm)</v>
      </c>
      <c r="D248" s="15">
        <f>'USER INPUT SHEET'!$D$30</f>
        <v>0</v>
      </c>
      <c r="E248" s="16" t="str">
        <f>'USER INPUT SHEET'!$F$30</f>
        <v>m2</v>
      </c>
      <c r="F248" s="3">
        <v>1</v>
      </c>
      <c r="G248" s="670"/>
      <c r="H248" s="8"/>
      <c r="I248" s="92">
        <f t="shared" si="92"/>
        <v>0</v>
      </c>
      <c r="J248" s="93" t="str">
        <f t="shared" si="93"/>
        <v/>
      </c>
      <c r="K248" s="406">
        <f>$D248*$F248*VLOOKUP($C248,'Master sheet'!$A:$AL,13,FALSE)</f>
        <v>0</v>
      </c>
      <c r="L248" s="94">
        <f>$D248*$F248*VLOOKUP($C248,'Master sheet'!$A:$AL,27,FALSE)</f>
        <v>0</v>
      </c>
      <c r="M248" s="1560"/>
      <c r="N248" s="1560"/>
      <c r="O248" s="25" t="str">
        <f ca="1">_xlfn.IFNA(VLOOKUP($C248,'Master sheet'!$A:$AR,44,FALSE),"")&amp;""</f>
        <v/>
      </c>
      <c r="Q248" s="717" t="s">
        <v>32</v>
      </c>
      <c r="R248" s="717" t="s">
        <v>1703</v>
      </c>
      <c r="S248" s="664"/>
      <c r="T248" s="664"/>
      <c r="U248" s="664"/>
      <c r="V248" s="664"/>
      <c r="W248" s="664"/>
      <c r="X248" s="664"/>
      <c r="Y248" s="664"/>
      <c r="Z248" s="664"/>
    </row>
    <row r="249" spans="1:26" s="624" customFormat="1" ht="22.8" x14ac:dyDescent="0.25">
      <c r="A249" s="639"/>
      <c r="B249" s="1524" t="s">
        <v>1039</v>
      </c>
      <c r="C249" s="1523"/>
      <c r="D249" s="640"/>
      <c r="E249" s="641"/>
      <c r="F249" s="324"/>
      <c r="G249" s="678"/>
      <c r="H249" s="675"/>
      <c r="I249" s="642"/>
      <c r="J249" s="643"/>
      <c r="K249" s="676"/>
      <c r="L249" s="677"/>
      <c r="M249" s="677"/>
      <c r="N249" s="677"/>
      <c r="O249" s="25" t="str">
        <f>_xlfn.IFNA(VLOOKUP($C249,'Master sheet'!$A:$AR,44,FALSE),"")&amp;""</f>
        <v/>
      </c>
      <c r="P249" s="620"/>
      <c r="Q249" s="722"/>
      <c r="R249" s="722"/>
      <c r="S249" s="638"/>
      <c r="T249" s="638"/>
      <c r="U249" s="638"/>
      <c r="V249" s="638"/>
      <c r="W249" s="638"/>
      <c r="X249" s="638"/>
      <c r="Y249" s="638"/>
      <c r="Z249" s="638"/>
    </row>
    <row r="250" spans="1:26" s="624" customFormat="1" ht="22.8" x14ac:dyDescent="0.25">
      <c r="A250" s="729"/>
      <c r="B250" s="745"/>
      <c r="C250" s="691" t="s">
        <v>4919</v>
      </c>
      <c r="D250" s="19">
        <f>'USER INPUT SHEET'!$D$30</f>
        <v>0</v>
      </c>
      <c r="E250" s="20" t="str">
        <f>'USER INPUT SHEET'!$F$30</f>
        <v>m2</v>
      </c>
      <c r="F250" s="6">
        <v>1</v>
      </c>
      <c r="G250" s="692"/>
      <c r="H250" s="10"/>
      <c r="I250" s="98">
        <f t="shared" ref="I250" si="94">K250-L250</f>
        <v>0</v>
      </c>
      <c r="J250" s="106" t="str">
        <f>IF(H250=1,I250,"")</f>
        <v/>
      </c>
      <c r="K250" s="410">
        <f>$F250*AVERAGE(K251:K253)</f>
        <v>0</v>
      </c>
      <c r="L250" s="99">
        <f>$F250*AVERAGE(L251:L253)</f>
        <v>0</v>
      </c>
      <c r="M250" s="1560"/>
      <c r="N250" s="1560"/>
      <c r="O250" s="25" t="str">
        <f>_xlfn.IFNA(VLOOKUP($C250,'Master sheet'!$A:$AR,44,FALSE),"")&amp;""</f>
        <v/>
      </c>
      <c r="P250" s="685"/>
      <c r="Q250" s="725" t="s">
        <v>32</v>
      </c>
      <c r="R250" s="717" t="s">
        <v>1703</v>
      </c>
      <c r="S250" s="664"/>
      <c r="T250" s="664"/>
      <c r="U250" s="638"/>
      <c r="V250" s="638"/>
      <c r="W250" s="638"/>
      <c r="X250" s="638"/>
      <c r="Y250" s="638"/>
      <c r="Z250" s="638"/>
    </row>
    <row r="251" spans="1:26" ht="47.25" customHeight="1" x14ac:dyDescent="0.25">
      <c r="A251" s="747"/>
      <c r="B251" s="694"/>
      <c r="C251" s="669" t="str">
        <f>INDEX('Master sheet'!$A$1:$A$670,MATCH(90,'Master sheet'!$AN$1:$AN$670,0))</f>
        <v>Drywall 5/8" /  / Includes American Gypsum, CertainTeed, Continental, Georgia-Pacific, National Gypsum, Pabco, USG, CGC / 5/8"</v>
      </c>
      <c r="D251" s="15">
        <f>'USER INPUT SHEET'!$D$30</f>
        <v>0</v>
      </c>
      <c r="E251" s="16" t="str">
        <f>'USER INPUT SHEET'!$F$30</f>
        <v>m2</v>
      </c>
      <c r="F251" s="3">
        <v>1</v>
      </c>
      <c r="G251" s="670"/>
      <c r="H251" s="8"/>
      <c r="I251" s="92">
        <f>K251-L251</f>
        <v>0</v>
      </c>
      <c r="J251" s="93" t="str">
        <f t="shared" si="91"/>
        <v/>
      </c>
      <c r="K251" s="406">
        <f>$D251*$F251*VLOOKUP($C251,'Master sheet'!$A:$AL,13,FALSE)</f>
        <v>0</v>
      </c>
      <c r="L251" s="94">
        <f>$D251*$F251*VLOOKUP($C251,'Master sheet'!$A:$AL,27,FALSE)</f>
        <v>0</v>
      </c>
      <c r="M251" s="1551"/>
      <c r="N251" s="1551"/>
      <c r="O251" s="25" t="str">
        <f ca="1">_xlfn.IFNA(VLOOKUP($C251,'Master sheet'!$A:$AR,44,FALSE),"")&amp;""</f>
        <v>Expired 2025</v>
      </c>
      <c r="Q251" s="717" t="s">
        <v>32</v>
      </c>
      <c r="R251" s="717" t="s">
        <v>1703</v>
      </c>
      <c r="S251" s="664"/>
      <c r="T251" s="664"/>
      <c r="U251" s="664"/>
      <c r="V251" s="664"/>
      <c r="W251" s="664"/>
      <c r="X251" s="664"/>
      <c r="Y251" s="664"/>
      <c r="Z251" s="664"/>
    </row>
    <row r="252" spans="1:26" s="624" customFormat="1" ht="31.2" x14ac:dyDescent="0.25">
      <c r="A252" s="699"/>
      <c r="B252" s="699"/>
      <c r="C252" s="673" t="str">
        <f>INDEX('Master sheet'!$A$1:$A$670,MATCH(377,'Master sheet'!$AN$1:$AN$670,0))</f>
        <v>Drywall 5/8" Type X / National Gypsum / Gold Bond XP Fire-Shield Gypsum Board  / 5/8'' type X</v>
      </c>
      <c r="D252" s="17">
        <f>'USER INPUT SHEET'!$D$30</f>
        <v>0</v>
      </c>
      <c r="E252" s="18" t="str">
        <f>'USER INPUT SHEET'!$F$30</f>
        <v>m2</v>
      </c>
      <c r="F252" s="4">
        <v>1</v>
      </c>
      <c r="G252" s="674"/>
      <c r="H252" s="9"/>
      <c r="I252" s="95">
        <f t="shared" ref="I252" si="95">K252-L252</f>
        <v>0</v>
      </c>
      <c r="J252" s="96" t="str">
        <f t="shared" si="91"/>
        <v/>
      </c>
      <c r="K252" s="407">
        <f>$D252*$F252*VLOOKUP($C252,'Master sheet'!$A:$AL,13,FALSE)</f>
        <v>0</v>
      </c>
      <c r="L252" s="97">
        <f>$D252*$F252*VLOOKUP($C252,'Master sheet'!$A:$AL,27,FALSE)</f>
        <v>0</v>
      </c>
      <c r="M252" s="1560"/>
      <c r="N252" s="1560"/>
      <c r="O252" s="25" t="str">
        <f ca="1">_xlfn.IFNA(VLOOKUP($C252,'Master sheet'!$A:$AR,44,FALSE),"")&amp;""</f>
        <v/>
      </c>
      <c r="P252" s="620"/>
      <c r="Q252" s="717" t="s">
        <v>32</v>
      </c>
      <c r="R252" s="717" t="s">
        <v>1703</v>
      </c>
      <c r="S252" s="638"/>
      <c r="T252" s="638"/>
      <c r="U252" s="638"/>
      <c r="V252" s="638"/>
      <c r="W252" s="638"/>
      <c r="X252" s="638"/>
      <c r="Y252" s="638"/>
      <c r="Z252" s="638"/>
    </row>
    <row r="253" spans="1:26" s="624" customFormat="1" ht="31.2" x14ac:dyDescent="0.25">
      <c r="A253" s="747"/>
      <c r="B253" s="699"/>
      <c r="C253" s="673" t="str">
        <f>INDEX('Master sheet'!$A$1:$A$670,MATCH("A27",'Master sheet'!$AN$1:$AN$670,0))</f>
        <v>Drywall 5/8"  / USG / Sheetrock Brand EcoSmart Firecode X  / 5/8'' type X</v>
      </c>
      <c r="D253" s="17">
        <f>'USER INPUT SHEET'!$D$30</f>
        <v>0</v>
      </c>
      <c r="E253" s="18" t="str">
        <f>'USER INPUT SHEET'!$F$30</f>
        <v>m2</v>
      </c>
      <c r="F253" s="4">
        <v>1</v>
      </c>
      <c r="G253" s="674"/>
      <c r="H253" s="9"/>
      <c r="I253" s="95">
        <f t="shared" ref="I253" si="96">K253-L253</f>
        <v>0</v>
      </c>
      <c r="J253" s="96" t="str">
        <f t="shared" ref="J253" si="97">IF(H253=1,I253,"")</f>
        <v/>
      </c>
      <c r="K253" s="407">
        <f>$D253*$F253*VLOOKUP($C253,'Master sheet'!$A:$AL,13,FALSE)</f>
        <v>0</v>
      </c>
      <c r="L253" s="97">
        <f>$D253*$F253*VLOOKUP($C253,'Master sheet'!$A:$AL,27,FALSE)</f>
        <v>0</v>
      </c>
      <c r="M253" s="1561"/>
      <c r="N253" s="1561"/>
      <c r="O253" s="25" t="str">
        <f>_xlfn.IFNA(VLOOKUP($C253,'Master sheet'!$A:$AR,44,FALSE),"")&amp;""</f>
        <v/>
      </c>
      <c r="P253" s="620"/>
      <c r="Q253" s="717" t="s">
        <v>32</v>
      </c>
      <c r="R253" s="717" t="s">
        <v>1703</v>
      </c>
      <c r="S253" s="638"/>
      <c r="T253" s="638"/>
      <c r="U253" s="638"/>
      <c r="V253" s="638"/>
      <c r="W253" s="638"/>
      <c r="X253" s="638"/>
      <c r="Y253" s="638"/>
      <c r="Z253" s="638"/>
    </row>
    <row r="254" spans="1:26" s="624" customFormat="1" ht="22.8" x14ac:dyDescent="0.25">
      <c r="A254" s="639"/>
      <c r="B254" s="1524" t="s">
        <v>50</v>
      </c>
      <c r="C254" s="1523"/>
      <c r="D254" s="640"/>
      <c r="E254" s="641"/>
      <c r="F254" s="325"/>
      <c r="G254" s="678"/>
      <c r="H254" s="679"/>
      <c r="I254" s="642"/>
      <c r="J254" s="643"/>
      <c r="K254" s="676"/>
      <c r="L254" s="677"/>
      <c r="M254" s="677"/>
      <c r="N254" s="677"/>
      <c r="O254" s="25" t="str">
        <f>_xlfn.IFNA(VLOOKUP($C254,'Master sheet'!$A:$AR,44,FALSE),"")&amp;""</f>
        <v/>
      </c>
      <c r="P254" s="620"/>
      <c r="Q254" s="722"/>
      <c r="R254" s="717" t="s">
        <v>1703</v>
      </c>
      <c r="S254" s="638"/>
      <c r="T254" s="638"/>
      <c r="U254" s="638"/>
      <c r="V254" s="638"/>
      <c r="W254" s="638"/>
      <c r="X254" s="638"/>
      <c r="Y254" s="638"/>
      <c r="Z254" s="638"/>
    </row>
    <row r="255" spans="1:26" s="624" customFormat="1" ht="23.25" customHeight="1" x14ac:dyDescent="0.25">
      <c r="A255" s="699"/>
      <c r="B255" s="747"/>
      <c r="C255" s="647" t="str">
        <f>INDEX('Master sheet'!$A$1:$A$670,MATCH(146,'Master sheet'!$AN$1:$AN$670,0))</f>
        <v>MgO board 1/2" / North American MgO / MagTech Ultra / 1/2"</v>
      </c>
      <c r="D255" s="13">
        <f>'USER INPUT SHEET'!$D$30</f>
        <v>0</v>
      </c>
      <c r="E255" s="14" t="str">
        <f>'USER INPUT SHEET'!$F$30</f>
        <v>m2</v>
      </c>
      <c r="F255" s="2">
        <v>1</v>
      </c>
      <c r="G255" s="648"/>
      <c r="H255" s="7"/>
      <c r="I255" s="88">
        <f t="shared" ref="I255" si="98">K255-L255</f>
        <v>0</v>
      </c>
      <c r="J255" s="89" t="str">
        <f t="shared" ref="J255:J272" si="99">IF(H255=1,I255,"")</f>
        <v/>
      </c>
      <c r="K255" s="404">
        <f>$D255*$F255*VLOOKUP($C255,'Master sheet'!$A:$AL,13,FALSE)</f>
        <v>0</v>
      </c>
      <c r="L255" s="90">
        <f>$D255*$F255*VLOOKUP($C255,'Master sheet'!$A:$AL,27,FALSE)</f>
        <v>0</v>
      </c>
      <c r="M255" s="1560"/>
      <c r="N255" s="1560"/>
      <c r="O255" s="25" t="str">
        <f ca="1">_xlfn.IFNA(VLOOKUP($C255,'Master sheet'!$A:$AR,44,FALSE),"")&amp;""</f>
        <v>Expired 2023</v>
      </c>
      <c r="P255" s="620"/>
      <c r="Q255" s="722" t="s">
        <v>32</v>
      </c>
      <c r="R255" s="717" t="s">
        <v>1703</v>
      </c>
      <c r="S255" s="638"/>
      <c r="T255" s="638"/>
      <c r="U255" s="638"/>
      <c r="V255" s="638"/>
      <c r="W255" s="638"/>
      <c r="X255" s="638"/>
      <c r="Y255" s="638"/>
      <c r="Z255" s="638"/>
    </row>
    <row r="256" spans="1:26" s="624" customFormat="1" ht="22.8" x14ac:dyDescent="0.25">
      <c r="A256" s="699"/>
      <c r="B256" s="748" t="s">
        <v>937</v>
      </c>
      <c r="C256" s="673" t="str">
        <f>INDEX('Master sheet'!$A$1:$A$670,MATCH("248-1",'Master sheet'!$AN$1:$AN$670,0))</f>
        <v xml:space="preserve">Wood - SPF / Canadian Wood Council / British Columbia / </v>
      </c>
      <c r="D256" s="15">
        <f>'USER INPUT SHEET'!$D$30</f>
        <v>0</v>
      </c>
      <c r="E256" s="16" t="str">
        <f>'USER INPUT SHEET'!$F$30</f>
        <v>m2</v>
      </c>
      <c r="F256" s="3">
        <v>1</v>
      </c>
      <c r="G256" s="670"/>
      <c r="H256" s="8"/>
      <c r="I256" s="92">
        <f>K256-L256-IF(N256,M256,0)</f>
        <v>0</v>
      </c>
      <c r="J256" s="93" t="str">
        <f t="shared" si="99"/>
        <v/>
      </c>
      <c r="K256" s="406">
        <f>$D256*$F256*VLOOKUP($C256,'Master sheet'!$A:$AL,13,FALSE)*0.01905</f>
        <v>0</v>
      </c>
      <c r="L256" s="94">
        <f>$D256*$F256*VLOOKUP($C256,'Master sheet'!$A:$AL,27,FALSE)*0.01905</f>
        <v>0</v>
      </c>
      <c r="M256" s="1560"/>
      <c r="N256" s="1560"/>
      <c r="O256" s="25" t="str">
        <f>_xlfn.IFNA(VLOOKUP($C256,'Master sheet'!$A:$AR,44,FALSE),"")&amp;""</f>
        <v/>
      </c>
      <c r="P256" s="620"/>
      <c r="Q256" s="717" t="s">
        <v>32</v>
      </c>
      <c r="R256" s="717" t="s">
        <v>1703</v>
      </c>
      <c r="S256" s="664" t="s">
        <v>7254</v>
      </c>
      <c r="T256" s="664"/>
      <c r="U256" s="638"/>
      <c r="V256" s="638"/>
      <c r="W256" s="638"/>
      <c r="X256" s="638"/>
      <c r="Y256" s="638"/>
      <c r="Z256" s="638"/>
    </row>
    <row r="257" spans="1:26" s="624" customFormat="1" ht="22.8" x14ac:dyDescent="0.25">
      <c r="A257" s="699"/>
      <c r="B257" s="748" t="s">
        <v>937</v>
      </c>
      <c r="C257" s="669" t="str">
        <f>INDEX('Master sheet'!$A$1:$A$670,MATCH("248-2",'Master sheet'!$AN$1:$AN$670,0))</f>
        <v xml:space="preserve">Wood - SPF / Canadian Wood Council / Alberta / </v>
      </c>
      <c r="D257" s="15">
        <f>'USER INPUT SHEET'!$D$30</f>
        <v>0</v>
      </c>
      <c r="E257" s="16" t="str">
        <f>'USER INPUT SHEET'!$F$30</f>
        <v>m2</v>
      </c>
      <c r="F257" s="3">
        <v>1</v>
      </c>
      <c r="G257" s="670"/>
      <c r="H257" s="8"/>
      <c r="I257" s="92">
        <f t="shared" ref="I257:I261" si="100">K257-L257-IF(N257,M257,0)</f>
        <v>0</v>
      </c>
      <c r="J257" s="93" t="str">
        <f t="shared" ref="J257:J261" si="101">IF(H257=1,I257,"")</f>
        <v/>
      </c>
      <c r="K257" s="406">
        <f>$D257*$F257*VLOOKUP($C257,'Master sheet'!$A:$AL,13,FALSE)*0.01905</f>
        <v>0</v>
      </c>
      <c r="L257" s="94">
        <f>$D257*$F257*VLOOKUP($C257,'Master sheet'!$A:$AL,27,FALSE)*0.01905</f>
        <v>0</v>
      </c>
      <c r="M257" s="1560"/>
      <c r="N257" s="1560"/>
      <c r="O257" s="25" t="str">
        <f>_xlfn.IFNA(VLOOKUP($C257,'Master sheet'!$A:$AR,44,FALSE),"")&amp;""</f>
        <v/>
      </c>
      <c r="P257" s="620"/>
      <c r="Q257" s="717" t="s">
        <v>32</v>
      </c>
      <c r="R257" s="717" t="s">
        <v>1703</v>
      </c>
      <c r="S257" s="664" t="s">
        <v>7254</v>
      </c>
      <c r="T257" s="664"/>
      <c r="U257" s="638"/>
      <c r="V257" s="638"/>
      <c r="W257" s="638"/>
      <c r="X257" s="638"/>
      <c r="Y257" s="638"/>
      <c r="Z257" s="638"/>
    </row>
    <row r="258" spans="1:26" s="624" customFormat="1" ht="22.8" x14ac:dyDescent="0.25">
      <c r="A258" s="699"/>
      <c r="B258" s="748" t="s">
        <v>937</v>
      </c>
      <c r="C258" s="669" t="str">
        <f>INDEX('Master sheet'!$A$1:$A$670,MATCH("248-3",'Master sheet'!$AN$1:$AN$670,0))</f>
        <v xml:space="preserve">Wood - SPF / Canadian Wood Council / Ontario / </v>
      </c>
      <c r="D258" s="15">
        <f>'USER INPUT SHEET'!$D$30</f>
        <v>0</v>
      </c>
      <c r="E258" s="16" t="str">
        <f>'USER INPUT SHEET'!$F$30</f>
        <v>m2</v>
      </c>
      <c r="F258" s="3">
        <v>1</v>
      </c>
      <c r="G258" s="670"/>
      <c r="H258" s="8"/>
      <c r="I258" s="92">
        <f t="shared" si="100"/>
        <v>0</v>
      </c>
      <c r="J258" s="93" t="str">
        <f t="shared" si="101"/>
        <v/>
      </c>
      <c r="K258" s="406">
        <f>$D258*$F258*VLOOKUP($C258,'Master sheet'!$A:$AL,13,FALSE)*0.01905</f>
        <v>0</v>
      </c>
      <c r="L258" s="94">
        <f>$D258*$F258*VLOOKUP($C258,'Master sheet'!$A:$AL,27,FALSE)*0.01905</f>
        <v>0</v>
      </c>
      <c r="M258" s="1560"/>
      <c r="N258" s="1560"/>
      <c r="O258" s="25" t="str">
        <f>_xlfn.IFNA(VLOOKUP($C258,'Master sheet'!$A:$AR,44,FALSE),"")&amp;""</f>
        <v/>
      </c>
      <c r="P258" s="620"/>
      <c r="Q258" s="717" t="s">
        <v>32</v>
      </c>
      <c r="R258" s="717" t="s">
        <v>1703</v>
      </c>
      <c r="S258" s="664" t="s">
        <v>7254</v>
      </c>
      <c r="T258" s="664"/>
      <c r="U258" s="638"/>
      <c r="V258" s="638"/>
      <c r="W258" s="638"/>
      <c r="X258" s="638"/>
      <c r="Y258" s="638"/>
      <c r="Z258" s="638"/>
    </row>
    <row r="259" spans="1:26" s="624" customFormat="1" ht="22.8" x14ac:dyDescent="0.25">
      <c r="A259" s="699"/>
      <c r="B259" s="748" t="s">
        <v>937</v>
      </c>
      <c r="C259" s="669" t="str">
        <f>INDEX('Master sheet'!$A$1:$A$670,MATCH("248-4",'Master sheet'!$AN$1:$AN$670,0))</f>
        <v xml:space="preserve">Wood - SPF / Canadian Wood Council / Quebec / </v>
      </c>
      <c r="D259" s="15">
        <f>'USER INPUT SHEET'!$D$30</f>
        <v>0</v>
      </c>
      <c r="E259" s="16" t="str">
        <f>'USER INPUT SHEET'!$F$30</f>
        <v>m2</v>
      </c>
      <c r="F259" s="3">
        <v>1</v>
      </c>
      <c r="G259" s="670"/>
      <c r="H259" s="8"/>
      <c r="I259" s="92">
        <f t="shared" si="100"/>
        <v>0</v>
      </c>
      <c r="J259" s="93" t="str">
        <f t="shared" si="101"/>
        <v/>
      </c>
      <c r="K259" s="406">
        <f>$D259*$F259*VLOOKUP($C259,'Master sheet'!$A:$AL,13,FALSE)*0.01905</f>
        <v>0</v>
      </c>
      <c r="L259" s="94">
        <f>$D259*$F259*VLOOKUP($C259,'Master sheet'!$A:$AL,27,FALSE)*0.01905</f>
        <v>0</v>
      </c>
      <c r="M259" s="1560"/>
      <c r="N259" s="1560"/>
      <c r="O259" s="25" t="str">
        <f>_xlfn.IFNA(VLOOKUP($C259,'Master sheet'!$A:$AR,44,FALSE),"")&amp;""</f>
        <v/>
      </c>
      <c r="P259" s="620"/>
      <c r="Q259" s="717" t="s">
        <v>32</v>
      </c>
      <c r="R259" s="717" t="s">
        <v>1703</v>
      </c>
      <c r="S259" s="664" t="s">
        <v>7254</v>
      </c>
      <c r="T259" s="664"/>
      <c r="U259" s="638"/>
      <c r="V259" s="638"/>
      <c r="W259" s="638"/>
      <c r="X259" s="638"/>
      <c r="Y259" s="638"/>
      <c r="Z259" s="638"/>
    </row>
    <row r="260" spans="1:26" s="624" customFormat="1" ht="22.8" x14ac:dyDescent="0.25">
      <c r="A260" s="699"/>
      <c r="B260" s="748" t="s">
        <v>937</v>
      </c>
      <c r="C260" s="669" t="str">
        <f>INDEX('Master sheet'!$A$1:$A$670,MATCH("248-5",'Master sheet'!$AN$1:$AN$670,0))</f>
        <v xml:space="preserve">Wood - SPF / Canadian Wood Council / New Brunswick / </v>
      </c>
      <c r="D260" s="15">
        <f>'USER INPUT SHEET'!$D$30</f>
        <v>0</v>
      </c>
      <c r="E260" s="16" t="str">
        <f>'USER INPUT SHEET'!$F$30</f>
        <v>m2</v>
      </c>
      <c r="F260" s="3">
        <v>1</v>
      </c>
      <c r="G260" s="670"/>
      <c r="H260" s="8"/>
      <c r="I260" s="92">
        <f t="shared" si="100"/>
        <v>0</v>
      </c>
      <c r="J260" s="93" t="str">
        <f t="shared" si="101"/>
        <v/>
      </c>
      <c r="K260" s="406">
        <f>$D260*$F260*VLOOKUP($C260,'Master sheet'!$A:$AL,13,FALSE)*0.01905</f>
        <v>0</v>
      </c>
      <c r="L260" s="94">
        <f>$D260*$F260*VLOOKUP($C260,'Master sheet'!$A:$AL,27,FALSE)*0.01905</f>
        <v>0</v>
      </c>
      <c r="M260" s="1560"/>
      <c r="N260" s="1560"/>
      <c r="O260" s="25" t="str">
        <f>_xlfn.IFNA(VLOOKUP($C260,'Master sheet'!$A:$AR,44,FALSE),"")&amp;""</f>
        <v/>
      </c>
      <c r="P260" s="620"/>
      <c r="Q260" s="717" t="s">
        <v>32</v>
      </c>
      <c r="R260" s="717" t="s">
        <v>1703</v>
      </c>
      <c r="S260" s="664" t="s">
        <v>7254</v>
      </c>
      <c r="T260" s="664"/>
      <c r="U260" s="638"/>
      <c r="V260" s="638"/>
      <c r="W260" s="638"/>
      <c r="X260" s="638"/>
      <c r="Y260" s="638"/>
      <c r="Z260" s="638"/>
    </row>
    <row r="261" spans="1:26" s="624" customFormat="1" ht="22.8" x14ac:dyDescent="0.25">
      <c r="A261" s="699"/>
      <c r="B261" s="748" t="s">
        <v>937</v>
      </c>
      <c r="C261" s="669" t="str">
        <f>INDEX('Master sheet'!$A$1:$A$670,MATCH("248-6",'Master sheet'!$AN$1:$AN$670,0))</f>
        <v xml:space="preserve">Wood - SPF / Canadian Wood Council / Atlantic Canada / </v>
      </c>
      <c r="D261" s="15">
        <f>'USER INPUT SHEET'!$D$30</f>
        <v>0</v>
      </c>
      <c r="E261" s="16" t="str">
        <f>'USER INPUT SHEET'!$F$30</f>
        <v>m2</v>
      </c>
      <c r="F261" s="3">
        <v>1</v>
      </c>
      <c r="G261" s="670"/>
      <c r="H261" s="8"/>
      <c r="I261" s="92">
        <f t="shared" si="100"/>
        <v>0</v>
      </c>
      <c r="J261" s="93" t="str">
        <f t="shared" si="101"/>
        <v/>
      </c>
      <c r="K261" s="406">
        <f>$D261*$F261*VLOOKUP($C261,'Master sheet'!$A:$AL,13,FALSE)*0.01905</f>
        <v>0</v>
      </c>
      <c r="L261" s="94">
        <f>$D261*$F261*VLOOKUP($C261,'Master sheet'!$A:$AL,27,FALSE)*0.01905</f>
        <v>0</v>
      </c>
      <c r="M261" s="1560"/>
      <c r="N261" s="1560"/>
      <c r="O261" s="25" t="str">
        <f>_xlfn.IFNA(VLOOKUP($C261,'Master sheet'!$A:$AR,44,FALSE),"")&amp;""</f>
        <v/>
      </c>
      <c r="P261" s="620"/>
      <c r="Q261" s="717" t="s">
        <v>32</v>
      </c>
      <c r="R261" s="717" t="s">
        <v>1703</v>
      </c>
      <c r="S261" s="664" t="s">
        <v>7254</v>
      </c>
      <c r="T261" s="664"/>
      <c r="U261" s="638"/>
      <c r="V261" s="638"/>
      <c r="W261" s="638"/>
      <c r="X261" s="638"/>
      <c r="Y261" s="638"/>
      <c r="Z261" s="638"/>
    </row>
    <row r="262" spans="1:26" ht="31.5" customHeight="1" x14ac:dyDescent="0.25">
      <c r="A262" s="747"/>
      <c r="B262" s="747"/>
      <c r="C262" s="669" t="str">
        <f>INDEX('Master sheet'!$A$1:$A$670,MATCH(31,'Master sheet'!$AN$1:$AN$670,0))</f>
        <v>Cedar Siding / Western Red Cedar Lumber Assn /  / 1 x 6 Boards</v>
      </c>
      <c r="D262" s="15">
        <f>'USER INPUT SHEET'!$D$30</f>
        <v>0</v>
      </c>
      <c r="E262" s="16" t="str">
        <f>'USER INPUT SHEET'!$F$30</f>
        <v>m2</v>
      </c>
      <c r="F262" s="3">
        <v>1</v>
      </c>
      <c r="G262" s="670"/>
      <c r="H262" s="8"/>
      <c r="I262" s="95">
        <f>K262-L262-IF(N262,M262,0)</f>
        <v>0</v>
      </c>
      <c r="J262" s="93" t="str">
        <f t="shared" si="99"/>
        <v/>
      </c>
      <c r="K262" s="406">
        <f>$D262*$F262*VLOOKUP($C262,'Master sheet'!$A:$AL,13,FALSE)</f>
        <v>0</v>
      </c>
      <c r="L262" s="94">
        <f>$D262*$F262*VLOOKUP($C262,'Master sheet'!$A:$AL,27,FALSE)</f>
        <v>0</v>
      </c>
      <c r="M262" s="1560"/>
      <c r="N262" s="1560"/>
      <c r="O262" s="25" t="str">
        <f ca="1">_xlfn.IFNA(VLOOKUP($C262,'Master sheet'!$A:$AR,44,FALSE),"")&amp;""</f>
        <v>Expired 2021</v>
      </c>
      <c r="Q262" s="717" t="s">
        <v>32</v>
      </c>
      <c r="R262" s="717" t="s">
        <v>1703</v>
      </c>
      <c r="S262" s="664"/>
      <c r="T262" s="638" t="s">
        <v>7295</v>
      </c>
      <c r="U262" s="664"/>
      <c r="V262" s="664"/>
      <c r="W262" s="664"/>
      <c r="X262" s="664"/>
      <c r="Y262" s="664"/>
      <c r="Z262" s="664"/>
    </row>
    <row r="263" spans="1:26" ht="22.8" x14ac:dyDescent="0.25">
      <c r="A263" s="747"/>
      <c r="B263" s="747"/>
      <c r="C263" s="669" t="str">
        <f>INDEX('Master sheet'!$A$1:$A$670,MATCH("159-1",'Master sheet'!$AN$1:$AN$670,0))</f>
        <v>Plywood / Canadian Wood Council /  / 1/2"</v>
      </c>
      <c r="D263" s="15">
        <f>'USER INPUT SHEET'!$D$30</f>
        <v>0</v>
      </c>
      <c r="E263" s="16" t="str">
        <f>'USER INPUT SHEET'!$F$30</f>
        <v>m2</v>
      </c>
      <c r="F263" s="3">
        <v>1</v>
      </c>
      <c r="G263" s="670"/>
      <c r="H263" s="8"/>
      <c r="I263" s="95">
        <f>K263-L263-IF(N263,M263,0)</f>
        <v>0</v>
      </c>
      <c r="J263" s="93" t="str">
        <f t="shared" si="99"/>
        <v/>
      </c>
      <c r="K263" s="406">
        <f>$D263*$F263*VLOOKUP($C263,'Master sheet'!$A:$AL,13,FALSE)</f>
        <v>0</v>
      </c>
      <c r="L263" s="94">
        <f>$D263*$F263*VLOOKUP($C263,'Master sheet'!$A:$AL,27,FALSE)</f>
        <v>0</v>
      </c>
      <c r="M263" s="1560"/>
      <c r="N263" s="1560"/>
      <c r="O263" s="25" t="str">
        <f>_xlfn.IFNA(VLOOKUP($C263,'Master sheet'!$A:$AR,44,FALSE),"")&amp;""</f>
        <v/>
      </c>
      <c r="Q263" s="717" t="s">
        <v>32</v>
      </c>
      <c r="R263" s="717" t="s">
        <v>1703</v>
      </c>
      <c r="S263" s="664"/>
      <c r="T263" s="664"/>
      <c r="U263" s="664"/>
      <c r="V263" s="664"/>
      <c r="W263" s="664"/>
      <c r="X263" s="664"/>
      <c r="Y263" s="664"/>
      <c r="Z263" s="664"/>
    </row>
    <row r="264" spans="1:26" ht="22.8" x14ac:dyDescent="0.25">
      <c r="A264" s="699"/>
      <c r="B264" s="747"/>
      <c r="C264" s="749" t="str">
        <f>INDEX('Master sheet'!$A$1:$A$670,MATCH(42,'Master sheet'!$AN$1:$AN$670,0))</f>
        <v>Clay plaster / Site mixed /  / 15 mm</v>
      </c>
      <c r="D264" s="250">
        <f>'USER INPUT SHEET'!$D$30</f>
        <v>0</v>
      </c>
      <c r="E264" s="251" t="str">
        <f>'USER INPUT SHEET'!$F$30</f>
        <v>m2</v>
      </c>
      <c r="F264" s="252">
        <v>1</v>
      </c>
      <c r="G264" s="750"/>
      <c r="H264" s="253"/>
      <c r="I264" s="254">
        <f t="shared" ref="I264" si="102">K264-L264</f>
        <v>0</v>
      </c>
      <c r="J264" s="255" t="str">
        <f t="shared" ref="J264" si="103">IF(H264=1,I264,"")</f>
        <v/>
      </c>
      <c r="K264" s="417">
        <f>$D264*$F264*VLOOKUP($C264,'Master sheet'!$A:$AL,13,FALSE)</f>
        <v>0</v>
      </c>
      <c r="L264" s="256">
        <f>$D264*$F264*VLOOKUP($C264,'Master sheet'!$A:$AL,27,FALSE)</f>
        <v>0</v>
      </c>
      <c r="M264" s="1560"/>
      <c r="N264" s="1560"/>
      <c r="O264" s="25" t="str">
        <f>_xlfn.IFNA(VLOOKUP($C264,'Master sheet'!$A:$AR,44,FALSE),"")&amp;""</f>
        <v>Peer-reviewed LCA, 2014</v>
      </c>
      <c r="Q264" s="717" t="s">
        <v>32</v>
      </c>
      <c r="R264" s="717" t="s">
        <v>1703</v>
      </c>
      <c r="S264" s="664"/>
      <c r="T264" s="664"/>
      <c r="U264" s="664"/>
      <c r="V264" s="664"/>
      <c r="W264" s="664"/>
      <c r="X264" s="664"/>
      <c r="Y264" s="664"/>
      <c r="Z264" s="664"/>
    </row>
    <row r="265" spans="1:26" ht="22.8" x14ac:dyDescent="0.25">
      <c r="A265" s="699"/>
      <c r="B265" s="747"/>
      <c r="C265" s="749" t="str">
        <f>INDEX('Master sheet'!$A$1:$A$670,MATCH("A9",'Master sheet'!$AN$1:$AN$670,0))</f>
        <v>Bamboo plywood / Smith &amp; Fong / Plyboo / 1/2" (12.7 mm)</v>
      </c>
      <c r="D265" s="250">
        <f>'USER INPUT SHEET'!$D$30</f>
        <v>0</v>
      </c>
      <c r="E265" s="251" t="str">
        <f>'USER INPUT SHEET'!$F$30</f>
        <v>m2</v>
      </c>
      <c r="F265" s="252">
        <v>1</v>
      </c>
      <c r="G265" s="750"/>
      <c r="H265" s="253"/>
      <c r="I265" s="254">
        <f t="shared" ref="I265:I266" si="104">K265-L265</f>
        <v>0</v>
      </c>
      <c r="J265" s="255" t="str">
        <f t="shared" ref="J265:J271" si="105">IF(H265=1,I265,"")</f>
        <v/>
      </c>
      <c r="K265" s="417">
        <f>$D265*$F265*VLOOKUP($C265,'Master sheet'!$A:$AL,13,FALSE)</f>
        <v>0</v>
      </c>
      <c r="L265" s="256">
        <f>$D265*$F265*VLOOKUP($C265,'Master sheet'!$A:$AL,27,FALSE)</f>
        <v>0</v>
      </c>
      <c r="M265" s="1560"/>
      <c r="N265" s="1560"/>
      <c r="O265" s="25" t="str">
        <f>_xlfn.IFNA(VLOOKUP($C265,'Master sheet'!$A:$AR,44,FALSE),"")&amp;""</f>
        <v/>
      </c>
      <c r="Q265" s="717" t="s">
        <v>32</v>
      </c>
      <c r="R265" s="717" t="s">
        <v>1703</v>
      </c>
      <c r="S265" s="664"/>
      <c r="T265" s="664"/>
      <c r="U265" s="664"/>
      <c r="V265" s="664"/>
      <c r="W265" s="664"/>
      <c r="X265" s="664"/>
      <c r="Y265" s="664"/>
      <c r="Z265" s="664"/>
    </row>
    <row r="266" spans="1:26" ht="22.8" x14ac:dyDescent="0.25">
      <c r="A266" s="699"/>
      <c r="B266" s="747"/>
      <c r="C266" s="749" t="str">
        <f>INDEX('Master sheet'!$A$1:$A$670,MATCH("A10",'Master sheet'!$AN$1:$AN$670,0))</f>
        <v>Bamboo plywood / Smith &amp; Fong / Plyboo / 3/4" (19 mm)</v>
      </c>
      <c r="D266" s="250">
        <f>'USER INPUT SHEET'!$D$30</f>
        <v>0</v>
      </c>
      <c r="E266" s="251" t="str">
        <f>'USER INPUT SHEET'!$F$30</f>
        <v>m2</v>
      </c>
      <c r="F266" s="252">
        <v>1</v>
      </c>
      <c r="G266" s="750"/>
      <c r="H266" s="253"/>
      <c r="I266" s="254">
        <f t="shared" si="104"/>
        <v>0</v>
      </c>
      <c r="J266" s="255" t="str">
        <f t="shared" si="105"/>
        <v/>
      </c>
      <c r="K266" s="417">
        <f>$D266*$F266*VLOOKUP($C266,'Master sheet'!$A:$AL,13,FALSE)</f>
        <v>0</v>
      </c>
      <c r="L266" s="256">
        <f>$D266*$F266*VLOOKUP($C266,'Master sheet'!$A:$AL,27,FALSE)</f>
        <v>0</v>
      </c>
      <c r="M266" s="1560"/>
      <c r="N266" s="1560"/>
      <c r="O266" s="25" t="str">
        <f>_xlfn.IFNA(VLOOKUP($C266,'Master sheet'!$A:$AR,44,FALSE),"")&amp;""</f>
        <v/>
      </c>
      <c r="Q266" s="722" t="s">
        <v>32</v>
      </c>
      <c r="R266" s="717" t="s">
        <v>1703</v>
      </c>
      <c r="S266" s="638"/>
      <c r="T266" s="638"/>
      <c r="U266" s="638"/>
      <c r="V266" s="638"/>
      <c r="W266" s="638"/>
      <c r="X266" s="664"/>
      <c r="Y266" s="664"/>
      <c r="Z266" s="664"/>
    </row>
    <row r="267" spans="1:26" ht="31.5" customHeight="1" x14ac:dyDescent="0.25">
      <c r="A267" s="699"/>
      <c r="B267" s="747"/>
      <c r="C267" s="749" t="str">
        <f>INDEX('Master sheet'!$A$1:$A$670,MATCH("A85",'Master sheet'!$AN$1:$AN$670,0))</f>
        <v>Plywood / British Columbia Average / Includes : West Fraser Mills, Thompson River Veneer Products / 1/2"</v>
      </c>
      <c r="D267" s="250">
        <f>'USER INPUT SHEET'!$D$30</f>
        <v>0</v>
      </c>
      <c r="E267" s="251" t="str">
        <f>'USER INPUT SHEET'!$F$30</f>
        <v>m2</v>
      </c>
      <c r="F267" s="252">
        <v>1</v>
      </c>
      <c r="G267" s="750"/>
      <c r="H267" s="253"/>
      <c r="I267" s="95">
        <f t="shared" ref="I267:I272" si="106">K267-L267-IF(N267,M267,0)</f>
        <v>0</v>
      </c>
      <c r="J267" s="255" t="str">
        <f t="shared" si="105"/>
        <v/>
      </c>
      <c r="K267" s="417">
        <f>$D267*$F267*VLOOKUP($C267,'Master sheet'!$A:$AL,13,FALSE)</f>
        <v>0</v>
      </c>
      <c r="L267" s="94">
        <f>$D267*$F267*VLOOKUP($C267,'Master sheet'!$A:$AL,27,FALSE)</f>
        <v>0</v>
      </c>
      <c r="M267" s="1560"/>
      <c r="N267" s="1560"/>
      <c r="O267" s="25" t="str">
        <f>_xlfn.IFNA(VLOOKUP($C267,'Master sheet'!$A:$AR,44,FALSE),"")&amp;""</f>
        <v/>
      </c>
      <c r="Q267" s="722" t="s">
        <v>32</v>
      </c>
      <c r="R267" s="717" t="s">
        <v>1703</v>
      </c>
      <c r="S267" s="638"/>
      <c r="T267" s="638"/>
      <c r="U267" s="638"/>
      <c r="V267" s="638"/>
      <c r="W267" s="638"/>
      <c r="X267" s="664"/>
      <c r="Y267" s="664"/>
      <c r="Z267" s="664"/>
    </row>
    <row r="268" spans="1:26" ht="31.5" customHeight="1" x14ac:dyDescent="0.25">
      <c r="A268" s="699"/>
      <c r="B268" s="747"/>
      <c r="C268" s="749" t="str">
        <f>INDEX('Master sheet'!$A$1:$A$670,MATCH("A86",'Master sheet'!$AN$1:$AN$670,0))</f>
        <v>Plywood / British Columbia Average / Includes : West Fraser Mills, Thompson River Veneer Products / 3/4"</v>
      </c>
      <c r="D268" s="250">
        <f>'USER INPUT SHEET'!$D$30</f>
        <v>0</v>
      </c>
      <c r="E268" s="251" t="str">
        <f>'USER INPUT SHEET'!$F$30</f>
        <v>m2</v>
      </c>
      <c r="F268" s="252">
        <v>1</v>
      </c>
      <c r="G268" s="750"/>
      <c r="H268" s="253"/>
      <c r="I268" s="95">
        <f t="shared" si="106"/>
        <v>0</v>
      </c>
      <c r="J268" s="255" t="str">
        <f t="shared" si="105"/>
        <v/>
      </c>
      <c r="K268" s="417">
        <f>$D268*$F268*VLOOKUP($C268,'Master sheet'!$A:$AL,13,FALSE)</f>
        <v>0</v>
      </c>
      <c r="L268" s="94">
        <f>$D268*$F268*VLOOKUP($C268,'Master sheet'!$A:$AL,27,FALSE)</f>
        <v>0</v>
      </c>
      <c r="M268" s="1560"/>
      <c r="N268" s="1560"/>
      <c r="O268" s="25" t="str">
        <f>_xlfn.IFNA(VLOOKUP($C268,'Master sheet'!$A:$AR,44,FALSE),"")&amp;""</f>
        <v/>
      </c>
      <c r="Q268" s="722" t="s">
        <v>32</v>
      </c>
      <c r="R268" s="717" t="s">
        <v>1703</v>
      </c>
      <c r="S268" s="638"/>
      <c r="T268" s="638"/>
      <c r="U268" s="638"/>
      <c r="V268" s="638"/>
      <c r="W268" s="638"/>
      <c r="X268" s="664"/>
      <c r="Y268" s="664"/>
      <c r="Z268" s="664"/>
    </row>
    <row r="269" spans="1:26" ht="31.5" customHeight="1" x14ac:dyDescent="0.25">
      <c r="A269" s="699"/>
      <c r="B269" s="747"/>
      <c r="C269" s="749" t="str">
        <f>INDEX('Master sheet'!$A$1:$A$670,MATCH("A87",'Master sheet'!$AN$1:$AN$670,0))</f>
        <v>Plywood / British Columbia Average / Includes : West Fraser Mills, Thompson River Veneer Products / 5/8"</v>
      </c>
      <c r="D269" s="250">
        <f>'USER INPUT SHEET'!$D$30</f>
        <v>0</v>
      </c>
      <c r="E269" s="251" t="str">
        <f>'USER INPUT SHEET'!$F$30</f>
        <v>m2</v>
      </c>
      <c r="F269" s="252">
        <v>1</v>
      </c>
      <c r="G269" s="750"/>
      <c r="H269" s="253"/>
      <c r="I269" s="95">
        <f t="shared" si="106"/>
        <v>0</v>
      </c>
      <c r="J269" s="255" t="str">
        <f t="shared" si="105"/>
        <v/>
      </c>
      <c r="K269" s="417">
        <f>$D269*$F269*VLOOKUP($C269,'Master sheet'!$A:$AL,13,FALSE)</f>
        <v>0</v>
      </c>
      <c r="L269" s="94">
        <f>$D269*$F269*VLOOKUP($C269,'Master sheet'!$A:$AL,27,FALSE)</f>
        <v>0</v>
      </c>
      <c r="M269" s="1560"/>
      <c r="N269" s="1560"/>
      <c r="O269" s="25" t="str">
        <f>_xlfn.IFNA(VLOOKUP($C269,'Master sheet'!$A:$AR,44,FALSE),"")&amp;""</f>
        <v/>
      </c>
      <c r="Q269" s="722" t="s">
        <v>32</v>
      </c>
      <c r="R269" s="717" t="s">
        <v>1703</v>
      </c>
      <c r="S269" s="638"/>
      <c r="T269" s="638"/>
      <c r="U269" s="638"/>
      <c r="V269" s="638"/>
      <c r="W269" s="638"/>
      <c r="X269" s="664"/>
      <c r="Y269" s="664"/>
      <c r="Z269" s="664"/>
    </row>
    <row r="270" spans="1:26" ht="31.5" customHeight="1" x14ac:dyDescent="0.25">
      <c r="A270" s="699"/>
      <c r="B270" s="747"/>
      <c r="C270" s="749" t="str">
        <f>INDEX('Master sheet'!$A$1:$A$670,MATCH("A88",'Master sheet'!$AN$1:$AN$670,0))</f>
        <v>Plywood / Roseburg / Hardwood plywood. Includes:  walnut, alder, cherry, mahogany, oak, birch, maple faces  / 3/4"</v>
      </c>
      <c r="D270" s="250">
        <f>'USER INPUT SHEET'!$D$30</f>
        <v>0</v>
      </c>
      <c r="E270" s="251" t="str">
        <f>'USER INPUT SHEET'!$F$30</f>
        <v>m2</v>
      </c>
      <c r="F270" s="252">
        <v>1</v>
      </c>
      <c r="G270" s="750"/>
      <c r="H270" s="253"/>
      <c r="I270" s="95">
        <f t="shared" si="106"/>
        <v>0</v>
      </c>
      <c r="J270" s="255" t="str">
        <f t="shared" si="105"/>
        <v/>
      </c>
      <c r="K270" s="417">
        <f>$D270*$F270*VLOOKUP($C270,'Master sheet'!$A:$AL,13,FALSE)</f>
        <v>0</v>
      </c>
      <c r="L270" s="94">
        <f>$D270*$F270*VLOOKUP($C270,'Master sheet'!$A:$AL,27,FALSE)</f>
        <v>0</v>
      </c>
      <c r="M270" s="1560"/>
      <c r="N270" s="1560"/>
      <c r="O270" s="25" t="str">
        <f>_xlfn.IFNA(VLOOKUP($C270,'Master sheet'!$A:$AR,44,FALSE),"")&amp;""</f>
        <v/>
      </c>
      <c r="Q270" s="722" t="s">
        <v>32</v>
      </c>
      <c r="R270" s="717" t="s">
        <v>1703</v>
      </c>
      <c r="S270" s="638"/>
      <c r="T270" s="638"/>
      <c r="U270" s="638"/>
      <c r="V270" s="638"/>
      <c r="W270" s="638"/>
      <c r="X270" s="664"/>
      <c r="Y270" s="664"/>
      <c r="Z270" s="664"/>
    </row>
    <row r="271" spans="1:26" ht="22.8" x14ac:dyDescent="0.25">
      <c r="A271" s="699"/>
      <c r="B271" s="747"/>
      <c r="C271" s="749" t="str">
        <f>INDEX('Master sheet'!$A$1:$A$670,MATCH("A89",'Master sheet'!$AN$1:$AN$670,0))</f>
        <v>Plywood / Roseburg / softwood plywood / 1/2"</v>
      </c>
      <c r="D271" s="250">
        <f>'USER INPUT SHEET'!$D$30</f>
        <v>0</v>
      </c>
      <c r="E271" s="251" t="str">
        <f>'USER INPUT SHEET'!$F$30</f>
        <v>m2</v>
      </c>
      <c r="F271" s="252">
        <v>1</v>
      </c>
      <c r="G271" s="750"/>
      <c r="H271" s="253"/>
      <c r="I271" s="95">
        <f t="shared" si="106"/>
        <v>0</v>
      </c>
      <c r="J271" s="255" t="str">
        <f t="shared" si="105"/>
        <v/>
      </c>
      <c r="K271" s="417">
        <f>$D271*$F271*VLOOKUP($C271,'Master sheet'!$A:$AL,13,FALSE)</f>
        <v>0</v>
      </c>
      <c r="L271" s="94">
        <f>$D271*$F271*VLOOKUP($C271,'Master sheet'!$A:$AL,27,FALSE)</f>
        <v>0</v>
      </c>
      <c r="M271" s="1560"/>
      <c r="N271" s="1560"/>
      <c r="O271" s="25" t="str">
        <f>_xlfn.IFNA(VLOOKUP($C271,'Master sheet'!$A:$AR,44,FALSE),"")&amp;""</f>
        <v/>
      </c>
      <c r="Q271" s="722" t="s">
        <v>32</v>
      </c>
      <c r="R271" s="717" t="s">
        <v>1703</v>
      </c>
      <c r="S271" s="638"/>
      <c r="T271" s="638"/>
      <c r="U271" s="638"/>
      <c r="V271" s="638"/>
      <c r="W271" s="638"/>
      <c r="X271" s="664"/>
      <c r="Y271" s="664"/>
      <c r="Z271" s="664"/>
    </row>
    <row r="272" spans="1:26" s="624" customFormat="1" ht="22.8" x14ac:dyDescent="0.25">
      <c r="A272" s="751"/>
      <c r="B272" s="751"/>
      <c r="C272" s="749" t="str">
        <f>INDEX('Master sheet'!$A$1:$A$670,MATCH("A90",'Master sheet'!$AN$1:$AN$670,0))</f>
        <v>Plywood / Roseburg / softwood plywood / 3/4"</v>
      </c>
      <c r="D272" s="250">
        <f>'USER INPUT SHEET'!$D$30</f>
        <v>0</v>
      </c>
      <c r="E272" s="251" t="str">
        <f>'USER INPUT SHEET'!$F$30</f>
        <v>m2</v>
      </c>
      <c r="F272" s="252">
        <v>1</v>
      </c>
      <c r="G272" s="750"/>
      <c r="H272" s="253"/>
      <c r="I272" s="95">
        <f t="shared" si="106"/>
        <v>0</v>
      </c>
      <c r="J272" s="255" t="str">
        <f t="shared" si="99"/>
        <v/>
      </c>
      <c r="K272" s="417">
        <f>$D272*$F272*VLOOKUP($C272,'Master sheet'!$A:$AL,13,FALSE)</f>
        <v>0</v>
      </c>
      <c r="L272" s="94">
        <f>$D272*$F272*VLOOKUP($C272,'Master sheet'!$A:$AL,27,FALSE)</f>
        <v>0</v>
      </c>
      <c r="M272" s="1560"/>
      <c r="N272" s="1560"/>
      <c r="O272" s="25" t="str">
        <f>_xlfn.IFNA(VLOOKUP($C272,'Master sheet'!$A:$AR,44,FALSE),"")&amp;""</f>
        <v/>
      </c>
      <c r="P272" s="620"/>
      <c r="Q272" s="722" t="s">
        <v>32</v>
      </c>
      <c r="R272" s="717" t="s">
        <v>1703</v>
      </c>
      <c r="S272" s="638"/>
      <c r="T272" s="638"/>
      <c r="U272" s="638"/>
      <c r="V272" s="638"/>
      <c r="W272" s="638"/>
      <c r="X272" s="638"/>
      <c r="Y272" s="638"/>
      <c r="Z272" s="638"/>
    </row>
    <row r="273" spans="1:18" ht="21" x14ac:dyDescent="0.3">
      <c r="A273" s="700"/>
      <c r="B273" s="700"/>
      <c r="C273" s="700"/>
      <c r="D273" s="701"/>
      <c r="E273" s="700"/>
      <c r="F273" s="328"/>
      <c r="G273" s="700"/>
      <c r="H273" s="706"/>
      <c r="I273" s="95"/>
      <c r="J273" s="704"/>
      <c r="K273" s="704"/>
      <c r="L273" s="704"/>
      <c r="M273" s="704"/>
      <c r="N273" s="704"/>
      <c r="O273" s="664"/>
    </row>
    <row r="274" spans="1:18" ht="15.6" x14ac:dyDescent="0.3">
      <c r="A274" s="700"/>
      <c r="B274" s="706" t="s">
        <v>4901</v>
      </c>
      <c r="C274" s="700"/>
      <c r="D274" s="701"/>
      <c r="E274" s="700"/>
      <c r="F274" s="328"/>
      <c r="G274" s="700"/>
      <c r="H274" s="706"/>
      <c r="I274" s="704"/>
      <c r="J274" s="704"/>
      <c r="K274" s="704"/>
      <c r="L274" s="704"/>
      <c r="M274" s="704"/>
      <c r="N274" s="704"/>
      <c r="O274" s="664"/>
    </row>
    <row r="275" spans="1:18" ht="15.6" x14ac:dyDescent="0.3">
      <c r="A275" s="700"/>
      <c r="B275" s="706" t="s">
        <v>4900</v>
      </c>
      <c r="C275" s="700"/>
      <c r="D275" s="701"/>
      <c r="E275" s="700"/>
      <c r="F275" s="328"/>
      <c r="G275" s="700"/>
      <c r="H275" s="706"/>
      <c r="I275" s="704"/>
      <c r="J275" s="704"/>
      <c r="K275" s="704"/>
      <c r="L275" s="704"/>
      <c r="M275" s="704"/>
      <c r="N275" s="704"/>
      <c r="O275" s="664"/>
    </row>
    <row r="276" spans="1:18" ht="15.6" x14ac:dyDescent="0.3">
      <c r="A276" s="700"/>
      <c r="B276" s="700"/>
      <c r="C276" s="700"/>
      <c r="D276" s="701"/>
      <c r="E276" s="700"/>
      <c r="F276" s="328"/>
      <c r="G276" s="700"/>
      <c r="H276" s="706"/>
      <c r="I276" s="704"/>
      <c r="J276" s="704"/>
      <c r="K276" s="704"/>
      <c r="L276" s="704"/>
      <c r="M276" s="704"/>
      <c r="N276" s="704"/>
      <c r="O276" s="664"/>
    </row>
    <row r="277" spans="1:18" ht="15.6" x14ac:dyDescent="0.3">
      <c r="A277" s="700"/>
      <c r="B277" s="700"/>
      <c r="C277" s="700"/>
      <c r="D277" s="701"/>
      <c r="E277" s="700"/>
      <c r="F277" s="328"/>
      <c r="G277" s="700"/>
      <c r="H277" s="706"/>
      <c r="I277" s="704"/>
      <c r="J277" s="704"/>
      <c r="K277" s="704"/>
      <c r="L277" s="704"/>
      <c r="M277" s="704"/>
      <c r="N277" s="704"/>
      <c r="O277" s="664"/>
    </row>
    <row r="278" spans="1:18" ht="15.6" x14ac:dyDescent="0.3">
      <c r="A278" s="700"/>
      <c r="B278" s="700"/>
      <c r="C278" s="700"/>
      <c r="D278" s="701"/>
      <c r="E278" s="700"/>
      <c r="F278" s="328"/>
      <c r="G278" s="700"/>
      <c r="H278" s="706"/>
      <c r="I278" s="704"/>
      <c r="J278" s="704"/>
      <c r="K278" s="704"/>
      <c r="L278" s="704"/>
      <c r="M278" s="704"/>
      <c r="N278" s="704"/>
      <c r="O278" s="664"/>
      <c r="P278" s="619"/>
      <c r="Q278" s="619"/>
      <c r="R278" s="619"/>
    </row>
    <row r="279" spans="1:18" ht="15.6" x14ac:dyDescent="0.3">
      <c r="A279" s="700"/>
      <c r="B279" s="700"/>
      <c r="C279" s="700"/>
      <c r="D279" s="701"/>
      <c r="E279" s="700"/>
      <c r="F279" s="328"/>
      <c r="G279" s="700"/>
      <c r="H279" s="706"/>
      <c r="I279" s="704"/>
      <c r="J279" s="704"/>
      <c r="K279" s="704"/>
      <c r="L279" s="704"/>
      <c r="M279" s="704"/>
      <c r="N279" s="704"/>
      <c r="O279" s="664"/>
      <c r="P279" s="619"/>
      <c r="Q279" s="619"/>
      <c r="R279" s="619"/>
    </row>
    <row r="280" spans="1:18" ht="15.6" x14ac:dyDescent="0.3">
      <c r="A280" s="700"/>
      <c r="B280" s="700"/>
      <c r="C280" s="700"/>
      <c r="D280" s="701"/>
      <c r="E280" s="700"/>
      <c r="F280" s="328"/>
      <c r="G280" s="700"/>
      <c r="H280" s="706"/>
      <c r="I280" s="704"/>
      <c r="J280" s="704"/>
      <c r="K280" s="704"/>
      <c r="L280" s="704"/>
      <c r="M280" s="704"/>
      <c r="N280" s="704"/>
      <c r="O280" s="664"/>
      <c r="P280" s="619"/>
      <c r="Q280" s="619"/>
      <c r="R280" s="619"/>
    </row>
    <row r="281" spans="1:18" ht="15.6" x14ac:dyDescent="0.3">
      <c r="A281" s="700"/>
      <c r="B281" s="700"/>
      <c r="C281" s="700"/>
      <c r="D281" s="701"/>
      <c r="E281" s="700"/>
      <c r="F281" s="328"/>
      <c r="G281" s="700"/>
      <c r="H281" s="706"/>
      <c r="I281" s="704"/>
      <c r="J281" s="704"/>
      <c r="K281" s="704"/>
      <c r="L281" s="704"/>
      <c r="M281" s="704"/>
      <c r="N281" s="704"/>
      <c r="O281" s="664"/>
      <c r="P281" s="619"/>
      <c r="Q281" s="619"/>
      <c r="R281" s="619"/>
    </row>
    <row r="282" spans="1:18" ht="15.6" x14ac:dyDescent="0.3">
      <c r="A282" s="700"/>
      <c r="B282" s="700"/>
      <c r="C282" s="700"/>
      <c r="D282" s="701"/>
      <c r="E282" s="700"/>
      <c r="F282" s="328"/>
      <c r="G282" s="700"/>
      <c r="H282" s="706"/>
      <c r="I282" s="704"/>
      <c r="J282" s="704"/>
      <c r="K282" s="704"/>
      <c r="L282" s="704"/>
      <c r="M282" s="704"/>
      <c r="N282" s="704"/>
      <c r="O282" s="664"/>
      <c r="P282" s="619"/>
      <c r="Q282" s="619"/>
      <c r="R282" s="619"/>
    </row>
    <row r="283" spans="1:18" ht="15.6" x14ac:dyDescent="0.3">
      <c r="A283" s="700"/>
      <c r="B283" s="700"/>
      <c r="C283" s="700"/>
      <c r="D283" s="701"/>
      <c r="E283" s="700"/>
      <c r="F283" s="328"/>
      <c r="G283" s="700"/>
      <c r="H283" s="706"/>
      <c r="I283" s="704"/>
      <c r="J283" s="704"/>
      <c r="K283" s="704"/>
      <c r="L283" s="704"/>
      <c r="M283" s="704"/>
      <c r="N283" s="704"/>
      <c r="O283" s="664"/>
      <c r="P283" s="619"/>
      <c r="Q283" s="619"/>
      <c r="R283" s="619"/>
    </row>
    <row r="284" spans="1:18" ht="15.6" x14ac:dyDescent="0.3">
      <c r="A284" s="700"/>
      <c r="B284" s="700"/>
      <c r="C284" s="700"/>
      <c r="D284" s="701"/>
      <c r="E284" s="700"/>
      <c r="F284" s="328"/>
      <c r="G284" s="700"/>
      <c r="H284" s="706"/>
      <c r="I284" s="704"/>
      <c r="J284" s="704"/>
      <c r="K284" s="704"/>
      <c r="L284" s="704"/>
      <c r="M284" s="704"/>
      <c r="N284" s="704"/>
      <c r="O284" s="664"/>
      <c r="P284" s="619"/>
      <c r="Q284" s="619"/>
      <c r="R284" s="619"/>
    </row>
    <row r="285" spans="1:18" ht="15.6" x14ac:dyDescent="0.3">
      <c r="A285" s="700"/>
      <c r="B285" s="700"/>
      <c r="C285" s="700"/>
      <c r="D285" s="701"/>
      <c r="E285" s="700"/>
      <c r="F285" s="328"/>
      <c r="G285" s="700"/>
      <c r="H285" s="706"/>
      <c r="I285" s="704"/>
      <c r="J285" s="704"/>
      <c r="K285" s="704"/>
      <c r="L285" s="704"/>
      <c r="M285" s="704"/>
      <c r="N285" s="704"/>
      <c r="O285" s="664"/>
      <c r="P285" s="619"/>
      <c r="Q285" s="619"/>
      <c r="R285" s="619"/>
    </row>
    <row r="286" spans="1:18" ht="15.6" x14ac:dyDescent="0.3">
      <c r="A286" s="700"/>
      <c r="B286" s="700"/>
      <c r="C286" s="700"/>
      <c r="D286" s="701"/>
      <c r="E286" s="700"/>
      <c r="F286" s="328"/>
      <c r="G286" s="700"/>
      <c r="H286" s="706"/>
      <c r="I286" s="704"/>
      <c r="J286" s="704"/>
      <c r="K286" s="704"/>
      <c r="L286" s="704"/>
      <c r="M286" s="704"/>
      <c r="N286" s="704"/>
      <c r="O286" s="664"/>
      <c r="P286" s="619"/>
      <c r="Q286" s="619"/>
      <c r="R286" s="619"/>
    </row>
    <row r="287" spans="1:18" ht="15.6" x14ac:dyDescent="0.3">
      <c r="A287" s="700"/>
      <c r="B287" s="700"/>
      <c r="C287" s="700"/>
      <c r="D287" s="701"/>
      <c r="E287" s="700"/>
      <c r="F287" s="328"/>
      <c r="G287" s="700"/>
      <c r="H287" s="706"/>
      <c r="I287" s="704"/>
      <c r="J287" s="704"/>
      <c r="K287" s="704"/>
      <c r="L287" s="704"/>
      <c r="M287" s="704"/>
      <c r="N287" s="704"/>
      <c r="O287" s="664"/>
      <c r="P287" s="619"/>
      <c r="Q287" s="619"/>
      <c r="R287" s="619"/>
    </row>
    <row r="288" spans="1:18" ht="15.6" x14ac:dyDescent="0.3">
      <c r="A288" s="700"/>
      <c r="B288" s="700"/>
      <c r="C288" s="700"/>
      <c r="D288" s="701"/>
      <c r="E288" s="700"/>
      <c r="F288" s="328"/>
      <c r="G288" s="700"/>
      <c r="H288" s="706"/>
      <c r="I288" s="704"/>
      <c r="J288" s="704"/>
      <c r="K288" s="704"/>
      <c r="L288" s="704"/>
      <c r="M288" s="704"/>
      <c r="N288" s="704"/>
      <c r="O288" s="664"/>
      <c r="P288" s="619"/>
      <c r="Q288" s="619"/>
      <c r="R288" s="619"/>
    </row>
    <row r="289" spans="1:18" ht="15.6" x14ac:dyDescent="0.3">
      <c r="A289" s="700"/>
      <c r="B289" s="700"/>
      <c r="C289" s="700"/>
      <c r="D289" s="701"/>
      <c r="E289" s="700"/>
      <c r="F289" s="328"/>
      <c r="G289" s="700"/>
      <c r="H289" s="706"/>
      <c r="I289" s="704"/>
      <c r="J289" s="704"/>
      <c r="K289" s="704"/>
      <c r="L289" s="704"/>
      <c r="M289" s="704"/>
      <c r="N289" s="704"/>
      <c r="O289" s="664"/>
      <c r="P289" s="619"/>
      <c r="Q289" s="619"/>
      <c r="R289" s="619"/>
    </row>
    <row r="290" spans="1:18" ht="15.6" x14ac:dyDescent="0.3">
      <c r="A290" s="700"/>
      <c r="B290" s="700"/>
      <c r="C290" s="700"/>
      <c r="D290" s="701"/>
      <c r="E290" s="700"/>
      <c r="F290" s="328"/>
      <c r="G290" s="700"/>
      <c r="H290" s="706"/>
      <c r="I290" s="704"/>
      <c r="J290" s="704"/>
      <c r="K290" s="704"/>
      <c r="L290" s="704"/>
      <c r="M290" s="704"/>
      <c r="N290" s="704"/>
      <c r="O290" s="664"/>
      <c r="P290" s="619"/>
      <c r="Q290" s="619"/>
      <c r="R290" s="619"/>
    </row>
    <row r="291" spans="1:18" ht="15.6" x14ac:dyDescent="0.3">
      <c r="A291" s="700"/>
      <c r="B291" s="700"/>
      <c r="C291" s="700"/>
      <c r="D291" s="701"/>
      <c r="E291" s="700"/>
      <c r="F291" s="328"/>
      <c r="G291" s="700"/>
      <c r="H291" s="706"/>
      <c r="I291" s="704"/>
      <c r="J291" s="704"/>
      <c r="K291" s="704"/>
      <c r="L291" s="704"/>
      <c r="M291" s="704"/>
      <c r="N291" s="704"/>
      <c r="O291" s="664"/>
      <c r="P291" s="619"/>
      <c r="Q291" s="619"/>
      <c r="R291" s="619"/>
    </row>
    <row r="292" spans="1:18" ht="15.6" x14ac:dyDescent="0.3">
      <c r="A292" s="700"/>
      <c r="B292" s="700"/>
      <c r="C292" s="700"/>
      <c r="D292" s="701"/>
      <c r="E292" s="700"/>
      <c r="F292" s="328"/>
      <c r="G292" s="700"/>
      <c r="H292" s="706"/>
      <c r="I292" s="704"/>
      <c r="J292" s="704"/>
      <c r="K292" s="704"/>
      <c r="L292" s="704"/>
      <c r="M292" s="704"/>
      <c r="N292" s="704"/>
      <c r="O292" s="664"/>
      <c r="P292" s="619"/>
      <c r="Q292" s="619"/>
      <c r="R292" s="619"/>
    </row>
    <row r="293" spans="1:18" ht="15.6" x14ac:dyDescent="0.3">
      <c r="A293" s="700"/>
      <c r="B293" s="700"/>
      <c r="C293" s="700"/>
      <c r="D293" s="701"/>
      <c r="E293" s="700"/>
      <c r="F293" s="328"/>
      <c r="G293" s="700"/>
      <c r="H293" s="706"/>
      <c r="I293" s="704"/>
      <c r="J293" s="704"/>
      <c r="K293" s="704"/>
      <c r="L293" s="704"/>
      <c r="M293" s="704"/>
      <c r="N293" s="704"/>
      <c r="O293" s="664"/>
      <c r="P293" s="619"/>
      <c r="Q293" s="619"/>
      <c r="R293" s="619"/>
    </row>
    <row r="294" spans="1:18" ht="15.6" x14ac:dyDescent="0.3">
      <c r="A294" s="700"/>
      <c r="B294" s="700"/>
      <c r="C294" s="700"/>
      <c r="D294" s="701"/>
      <c r="E294" s="700"/>
      <c r="F294" s="328"/>
      <c r="G294" s="700"/>
      <c r="H294" s="706"/>
      <c r="I294" s="704"/>
      <c r="J294" s="704"/>
      <c r="K294" s="704"/>
      <c r="L294" s="704"/>
      <c r="M294" s="704"/>
      <c r="N294" s="704"/>
      <c r="O294" s="664"/>
      <c r="P294" s="619"/>
      <c r="Q294" s="619"/>
      <c r="R294" s="619"/>
    </row>
    <row r="295" spans="1:18" ht="15.6" x14ac:dyDescent="0.3">
      <c r="A295" s="700"/>
      <c r="B295" s="700"/>
      <c r="C295" s="700"/>
      <c r="D295" s="701"/>
      <c r="E295" s="700"/>
      <c r="F295" s="328"/>
      <c r="G295" s="700"/>
      <c r="H295" s="706"/>
      <c r="I295" s="704"/>
      <c r="J295" s="704"/>
      <c r="K295" s="704"/>
      <c r="L295" s="704"/>
      <c r="M295" s="704"/>
      <c r="N295" s="704"/>
      <c r="O295" s="664"/>
      <c r="P295" s="619"/>
      <c r="Q295" s="619"/>
      <c r="R295" s="619"/>
    </row>
    <row r="296" spans="1:18" ht="15.6" x14ac:dyDescent="0.3">
      <c r="A296" s="700"/>
      <c r="B296" s="700"/>
      <c r="C296" s="700"/>
      <c r="D296" s="701"/>
      <c r="E296" s="700"/>
      <c r="F296" s="328"/>
      <c r="G296" s="700"/>
      <c r="H296" s="706"/>
      <c r="I296" s="704"/>
      <c r="J296" s="704"/>
      <c r="K296" s="704"/>
      <c r="L296" s="704"/>
      <c r="M296" s="704"/>
      <c r="N296" s="704"/>
      <c r="O296" s="664"/>
      <c r="P296" s="619"/>
      <c r="Q296" s="619"/>
      <c r="R296" s="619"/>
    </row>
    <row r="297" spans="1:18" ht="15.6" x14ac:dyDescent="0.3">
      <c r="A297" s="700"/>
      <c r="B297" s="700"/>
      <c r="C297" s="700"/>
      <c r="D297" s="701"/>
      <c r="E297" s="700"/>
      <c r="F297" s="328"/>
      <c r="G297" s="700"/>
      <c r="H297" s="706"/>
      <c r="I297" s="704"/>
      <c r="J297" s="704"/>
      <c r="K297" s="704"/>
      <c r="L297" s="704"/>
      <c r="M297" s="704"/>
      <c r="N297" s="704"/>
      <c r="O297" s="664"/>
      <c r="P297" s="619"/>
      <c r="Q297" s="619"/>
      <c r="R297" s="619"/>
    </row>
    <row r="298" spans="1:18" ht="15.6" x14ac:dyDescent="0.3">
      <c r="A298" s="700"/>
      <c r="B298" s="700"/>
      <c r="C298" s="700"/>
      <c r="D298" s="701"/>
      <c r="E298" s="700"/>
      <c r="F298" s="328"/>
      <c r="G298" s="700"/>
      <c r="H298" s="706"/>
      <c r="I298" s="704"/>
      <c r="J298" s="704"/>
      <c r="K298" s="704"/>
      <c r="L298" s="704"/>
      <c r="M298" s="704"/>
      <c r="N298" s="704"/>
      <c r="O298" s="664"/>
      <c r="P298" s="619"/>
      <c r="Q298" s="619"/>
      <c r="R298" s="619"/>
    </row>
    <row r="299" spans="1:18" ht="15.6" x14ac:dyDescent="0.3">
      <c r="A299" s="700"/>
      <c r="B299" s="700"/>
      <c r="C299" s="700"/>
      <c r="D299" s="701"/>
      <c r="E299" s="700"/>
      <c r="F299" s="328"/>
      <c r="G299" s="700"/>
      <c r="H299" s="706"/>
      <c r="I299" s="704"/>
      <c r="J299" s="704"/>
      <c r="K299" s="704"/>
      <c r="L299" s="704"/>
      <c r="M299" s="704"/>
      <c r="N299" s="704"/>
      <c r="O299" s="664"/>
      <c r="P299" s="619"/>
      <c r="Q299" s="619"/>
      <c r="R299" s="619"/>
    </row>
    <row r="300" spans="1:18" ht="15.6" x14ac:dyDescent="0.3">
      <c r="A300" s="700"/>
      <c r="B300" s="700"/>
      <c r="C300" s="700"/>
      <c r="D300" s="701"/>
      <c r="E300" s="700"/>
      <c r="F300" s="328"/>
      <c r="G300" s="700"/>
      <c r="H300" s="706"/>
      <c r="I300" s="704"/>
      <c r="J300" s="704"/>
      <c r="K300" s="704"/>
      <c r="L300" s="704"/>
      <c r="M300" s="704"/>
      <c r="N300" s="704"/>
      <c r="O300" s="664"/>
      <c r="P300" s="619"/>
      <c r="Q300" s="619"/>
      <c r="R300" s="619"/>
    </row>
    <row r="301" spans="1:18" ht="15.6" x14ac:dyDescent="0.3">
      <c r="A301" s="700"/>
      <c r="B301" s="700"/>
      <c r="C301" s="700"/>
      <c r="D301" s="701"/>
      <c r="E301" s="700"/>
      <c r="F301" s="328"/>
      <c r="G301" s="700"/>
      <c r="H301" s="706"/>
      <c r="I301" s="704"/>
      <c r="J301" s="704"/>
      <c r="K301" s="704"/>
      <c r="L301" s="704"/>
      <c r="M301" s="704"/>
      <c r="N301" s="704"/>
      <c r="O301" s="664"/>
      <c r="P301" s="619"/>
      <c r="Q301" s="619"/>
      <c r="R301" s="619"/>
    </row>
    <row r="302" spans="1:18" ht="15.6" x14ac:dyDescent="0.3">
      <c r="A302" s="700"/>
      <c r="B302" s="700"/>
      <c r="C302" s="700"/>
      <c r="D302" s="701"/>
      <c r="E302" s="700"/>
      <c r="F302" s="328"/>
      <c r="G302" s="700"/>
      <c r="H302" s="706"/>
      <c r="I302" s="704"/>
      <c r="J302" s="704"/>
      <c r="K302" s="704"/>
      <c r="L302" s="704"/>
      <c r="M302" s="704"/>
      <c r="N302" s="704"/>
      <c r="O302" s="664"/>
      <c r="P302" s="619"/>
      <c r="Q302" s="619"/>
      <c r="R302" s="619"/>
    </row>
    <row r="303" spans="1:18" ht="15.6" x14ac:dyDescent="0.3">
      <c r="A303" s="700"/>
      <c r="B303" s="700"/>
      <c r="C303" s="700"/>
      <c r="D303" s="701"/>
      <c r="E303" s="700"/>
      <c r="F303" s="328"/>
      <c r="G303" s="700"/>
      <c r="H303" s="706"/>
      <c r="I303" s="704"/>
      <c r="J303" s="704"/>
      <c r="K303" s="704"/>
      <c r="L303" s="704"/>
      <c r="M303" s="704"/>
      <c r="N303" s="704"/>
      <c r="O303" s="664"/>
      <c r="P303" s="619"/>
      <c r="Q303" s="619"/>
      <c r="R303" s="619"/>
    </row>
    <row r="304" spans="1:18" ht="15.6" x14ac:dyDescent="0.3">
      <c r="A304" s="700"/>
      <c r="B304" s="700"/>
      <c r="C304" s="700"/>
      <c r="D304" s="701"/>
      <c r="E304" s="700"/>
      <c r="F304" s="328"/>
      <c r="G304" s="700"/>
      <c r="H304" s="706"/>
      <c r="I304" s="704"/>
      <c r="J304" s="704"/>
      <c r="K304" s="704"/>
      <c r="L304" s="704"/>
      <c r="M304" s="704"/>
      <c r="N304" s="704"/>
      <c r="O304" s="664"/>
      <c r="P304" s="619"/>
      <c r="Q304" s="619"/>
      <c r="R304" s="619"/>
    </row>
    <row r="305" spans="1:18" ht="15.6" x14ac:dyDescent="0.3">
      <c r="A305" s="700"/>
      <c r="B305" s="700"/>
      <c r="C305" s="700"/>
      <c r="D305" s="701"/>
      <c r="E305" s="700"/>
      <c r="F305" s="328"/>
      <c r="G305" s="700"/>
      <c r="H305" s="706"/>
      <c r="I305" s="704"/>
      <c r="J305" s="704"/>
      <c r="K305" s="704"/>
      <c r="L305" s="704"/>
      <c r="M305" s="704"/>
      <c r="N305" s="704"/>
      <c r="O305" s="664"/>
      <c r="P305" s="619"/>
      <c r="Q305" s="619"/>
      <c r="R305" s="619"/>
    </row>
    <row r="306" spans="1:18" ht="15.6" x14ac:dyDescent="0.3">
      <c r="A306" s="700"/>
      <c r="B306" s="700"/>
      <c r="C306" s="700"/>
      <c r="D306" s="701"/>
      <c r="E306" s="700"/>
      <c r="F306" s="328"/>
      <c r="G306" s="700"/>
      <c r="H306" s="706"/>
      <c r="I306" s="704"/>
      <c r="J306" s="704"/>
      <c r="K306" s="704"/>
      <c r="L306" s="704"/>
      <c r="M306" s="704"/>
      <c r="N306" s="704"/>
      <c r="O306" s="664"/>
      <c r="P306" s="619"/>
      <c r="Q306" s="619"/>
      <c r="R306" s="619"/>
    </row>
    <row r="307" spans="1:18" ht="15.6" x14ac:dyDescent="0.3">
      <c r="A307" s="700"/>
      <c r="B307" s="700"/>
      <c r="C307" s="700"/>
      <c r="D307" s="701"/>
      <c r="E307" s="700"/>
      <c r="F307" s="328"/>
      <c r="G307" s="700"/>
      <c r="H307" s="706"/>
      <c r="I307" s="704"/>
      <c r="J307" s="704"/>
      <c r="K307" s="704"/>
      <c r="L307" s="704"/>
      <c r="M307" s="704"/>
      <c r="N307" s="704"/>
      <c r="O307" s="664"/>
      <c r="P307" s="619"/>
      <c r="Q307" s="619"/>
      <c r="R307" s="619"/>
    </row>
    <row r="308" spans="1:18" ht="15.6" x14ac:dyDescent="0.3">
      <c r="A308" s="700"/>
      <c r="B308" s="700"/>
      <c r="C308" s="700"/>
      <c r="D308" s="701"/>
      <c r="E308" s="700"/>
      <c r="F308" s="328"/>
      <c r="G308" s="700"/>
      <c r="H308" s="706"/>
      <c r="I308" s="704"/>
      <c r="J308" s="704"/>
      <c r="K308" s="704"/>
      <c r="L308" s="704"/>
      <c r="M308" s="704"/>
      <c r="N308" s="704"/>
      <c r="O308" s="664"/>
      <c r="P308" s="619"/>
      <c r="Q308" s="619"/>
      <c r="R308" s="619"/>
    </row>
    <row r="309" spans="1:18" ht="15.6" x14ac:dyDescent="0.3">
      <c r="A309" s="700"/>
      <c r="B309" s="700"/>
      <c r="C309" s="700"/>
      <c r="D309" s="701"/>
      <c r="E309" s="700"/>
      <c r="F309" s="328"/>
      <c r="G309" s="700"/>
      <c r="H309" s="706"/>
      <c r="I309" s="704"/>
      <c r="J309" s="704"/>
      <c r="K309" s="704"/>
      <c r="L309" s="704"/>
      <c r="M309" s="704"/>
      <c r="N309" s="704"/>
      <c r="O309" s="664"/>
      <c r="P309" s="619"/>
      <c r="Q309" s="619"/>
      <c r="R309" s="619"/>
    </row>
    <row r="310" spans="1:18" ht="15.6" x14ac:dyDescent="0.3">
      <c r="A310" s="700"/>
      <c r="B310" s="700"/>
      <c r="C310" s="700"/>
      <c r="D310" s="701"/>
      <c r="E310" s="700"/>
      <c r="F310" s="328"/>
      <c r="G310" s="700"/>
      <c r="H310" s="706"/>
      <c r="I310" s="704"/>
      <c r="J310" s="704"/>
      <c r="K310" s="704"/>
      <c r="L310" s="704"/>
      <c r="M310" s="704"/>
      <c r="N310" s="704"/>
      <c r="O310" s="664"/>
      <c r="P310" s="619"/>
      <c r="Q310" s="619"/>
      <c r="R310" s="619"/>
    </row>
    <row r="311" spans="1:18" ht="15.6" x14ac:dyDescent="0.3">
      <c r="A311" s="700"/>
      <c r="B311" s="700"/>
      <c r="C311" s="700"/>
      <c r="D311" s="701"/>
      <c r="E311" s="700"/>
      <c r="F311" s="328"/>
      <c r="G311" s="700"/>
      <c r="H311" s="706"/>
      <c r="I311" s="704"/>
      <c r="J311" s="704"/>
      <c r="K311" s="704"/>
      <c r="L311" s="704"/>
      <c r="M311" s="704"/>
      <c r="N311" s="704"/>
      <c r="O311" s="664"/>
      <c r="P311" s="619"/>
      <c r="Q311" s="619"/>
      <c r="R311" s="619"/>
    </row>
    <row r="312" spans="1:18" ht="15.6" x14ac:dyDescent="0.3">
      <c r="A312" s="700"/>
      <c r="B312" s="700"/>
      <c r="C312" s="700"/>
      <c r="D312" s="701"/>
      <c r="E312" s="700"/>
      <c r="F312" s="328"/>
      <c r="G312" s="700"/>
      <c r="H312" s="706"/>
      <c r="I312" s="704"/>
      <c r="J312" s="704"/>
      <c r="K312" s="704"/>
      <c r="L312" s="704"/>
      <c r="M312" s="704"/>
      <c r="N312" s="704"/>
      <c r="O312" s="664"/>
      <c r="P312" s="619"/>
      <c r="Q312" s="619"/>
      <c r="R312" s="619"/>
    </row>
    <row r="313" spans="1:18" ht="15.6" x14ac:dyDescent="0.3">
      <c r="A313" s="700"/>
      <c r="B313" s="700"/>
      <c r="C313" s="700"/>
      <c r="D313" s="701"/>
      <c r="E313" s="700"/>
      <c r="F313" s="328"/>
      <c r="G313" s="700"/>
      <c r="H313" s="706"/>
      <c r="I313" s="704"/>
      <c r="J313" s="704"/>
      <c r="K313" s="704"/>
      <c r="L313" s="704"/>
      <c r="M313" s="704"/>
      <c r="N313" s="704"/>
      <c r="O313" s="664"/>
      <c r="P313" s="619"/>
      <c r="Q313" s="619"/>
      <c r="R313" s="619"/>
    </row>
    <row r="314" spans="1:18" ht="15.6" x14ac:dyDescent="0.3">
      <c r="A314" s="700"/>
      <c r="B314" s="700"/>
      <c r="C314" s="700"/>
      <c r="D314" s="701"/>
      <c r="E314" s="700"/>
      <c r="F314" s="328"/>
      <c r="G314" s="700"/>
      <c r="H314" s="706"/>
      <c r="I314" s="704"/>
      <c r="J314" s="704"/>
      <c r="K314" s="704"/>
      <c r="L314" s="704"/>
      <c r="M314" s="704"/>
      <c r="N314" s="704"/>
      <c r="O314" s="664"/>
      <c r="P314" s="619"/>
      <c r="Q314" s="619"/>
      <c r="R314" s="619"/>
    </row>
    <row r="315" spans="1:18" ht="15.6" x14ac:dyDescent="0.3">
      <c r="A315" s="700"/>
      <c r="B315" s="700"/>
      <c r="C315" s="700"/>
      <c r="D315" s="701"/>
      <c r="E315" s="700"/>
      <c r="F315" s="328"/>
      <c r="G315" s="700"/>
      <c r="H315" s="706"/>
      <c r="I315" s="704"/>
      <c r="J315" s="704"/>
      <c r="K315" s="704"/>
      <c r="L315" s="704"/>
      <c r="M315" s="704"/>
      <c r="N315" s="704"/>
      <c r="O315" s="664"/>
      <c r="P315" s="619"/>
      <c r="Q315" s="619"/>
      <c r="R315" s="619"/>
    </row>
    <row r="316" spans="1:18" ht="15.6" x14ac:dyDescent="0.3">
      <c r="A316" s="700"/>
      <c r="B316" s="700"/>
      <c r="C316" s="700"/>
      <c r="D316" s="701"/>
      <c r="E316" s="700"/>
      <c r="F316" s="328"/>
      <c r="G316" s="700"/>
      <c r="H316" s="706"/>
      <c r="I316" s="704"/>
      <c r="J316" s="704"/>
      <c r="K316" s="704"/>
      <c r="L316" s="704"/>
      <c r="M316" s="704"/>
      <c r="N316" s="704"/>
      <c r="O316" s="664"/>
      <c r="P316" s="619"/>
      <c r="Q316" s="619"/>
      <c r="R316" s="619"/>
    </row>
    <row r="317" spans="1:18" ht="15.6" x14ac:dyDescent="0.3">
      <c r="A317" s="700"/>
      <c r="B317" s="700"/>
      <c r="C317" s="700"/>
      <c r="D317" s="701"/>
      <c r="E317" s="700"/>
      <c r="F317" s="328"/>
      <c r="G317" s="700"/>
      <c r="H317" s="706"/>
      <c r="I317" s="704"/>
      <c r="J317" s="704"/>
      <c r="K317" s="704"/>
      <c r="L317" s="704"/>
      <c r="M317" s="704"/>
      <c r="N317" s="704"/>
      <c r="O317" s="664"/>
      <c r="P317" s="619"/>
      <c r="Q317" s="619"/>
      <c r="R317" s="619"/>
    </row>
    <row r="318" spans="1:18" ht="15.6" x14ac:dyDescent="0.3">
      <c r="A318" s="700"/>
      <c r="B318" s="700"/>
      <c r="C318" s="700"/>
      <c r="D318" s="701"/>
      <c r="E318" s="700"/>
      <c r="F318" s="328"/>
      <c r="G318" s="700"/>
      <c r="H318" s="706"/>
      <c r="I318" s="704"/>
      <c r="J318" s="704"/>
      <c r="K318" s="704"/>
      <c r="L318" s="704"/>
      <c r="M318" s="704"/>
      <c r="N318" s="704"/>
      <c r="O318" s="664"/>
      <c r="P318" s="619"/>
      <c r="Q318" s="619"/>
      <c r="R318" s="619"/>
    </row>
    <row r="319" spans="1:18" ht="15.6" x14ac:dyDescent="0.3">
      <c r="A319" s="700"/>
      <c r="B319" s="700"/>
      <c r="C319" s="700"/>
      <c r="D319" s="701"/>
      <c r="E319" s="700"/>
      <c r="F319" s="328"/>
      <c r="G319" s="700"/>
      <c r="H319" s="706"/>
      <c r="I319" s="704"/>
      <c r="J319" s="704"/>
      <c r="K319" s="704"/>
      <c r="L319" s="704"/>
      <c r="M319" s="704"/>
      <c r="N319" s="704"/>
      <c r="O319" s="664"/>
      <c r="P319" s="619"/>
      <c r="Q319" s="619"/>
      <c r="R319" s="619"/>
    </row>
    <row r="320" spans="1:18" ht="15.6" x14ac:dyDescent="0.3">
      <c r="A320" s="700"/>
      <c r="B320" s="700"/>
      <c r="C320" s="700"/>
      <c r="D320" s="701"/>
      <c r="E320" s="700"/>
      <c r="F320" s="328"/>
      <c r="G320" s="700"/>
      <c r="H320" s="706"/>
      <c r="I320" s="704"/>
      <c r="J320" s="704"/>
      <c r="K320" s="704"/>
      <c r="L320" s="704"/>
      <c r="M320" s="704"/>
      <c r="N320" s="704"/>
      <c r="O320" s="664"/>
      <c r="P320" s="619"/>
      <c r="Q320" s="619"/>
      <c r="R320" s="619"/>
    </row>
    <row r="321" spans="1:18" ht="15.6" x14ac:dyDescent="0.3">
      <c r="A321" s="700"/>
      <c r="B321" s="700"/>
      <c r="C321" s="700"/>
      <c r="D321" s="701"/>
      <c r="E321" s="700"/>
      <c r="F321" s="328"/>
      <c r="G321" s="700"/>
      <c r="H321" s="706"/>
      <c r="I321" s="704"/>
      <c r="J321" s="704"/>
      <c r="K321" s="704"/>
      <c r="L321" s="704"/>
      <c r="M321" s="704"/>
      <c r="N321" s="704"/>
      <c r="O321" s="664"/>
      <c r="P321" s="619"/>
      <c r="Q321" s="619"/>
      <c r="R321" s="619"/>
    </row>
    <row r="322" spans="1:18" ht="15.6" x14ac:dyDescent="0.3">
      <c r="A322" s="700"/>
      <c r="B322" s="700"/>
      <c r="C322" s="700"/>
      <c r="D322" s="701"/>
      <c r="E322" s="700"/>
      <c r="F322" s="328"/>
      <c r="G322" s="700"/>
      <c r="H322" s="706"/>
      <c r="I322" s="704"/>
      <c r="J322" s="704"/>
      <c r="K322" s="704"/>
      <c r="L322" s="704"/>
      <c r="M322" s="704"/>
      <c r="N322" s="704"/>
      <c r="O322" s="664"/>
      <c r="P322" s="619"/>
      <c r="Q322" s="619"/>
      <c r="R322" s="619"/>
    </row>
    <row r="323" spans="1:18" ht="15.6" x14ac:dyDescent="0.3">
      <c r="A323" s="700"/>
      <c r="B323" s="700"/>
      <c r="C323" s="700"/>
      <c r="D323" s="701"/>
      <c r="E323" s="700"/>
      <c r="F323" s="328"/>
      <c r="G323" s="700"/>
      <c r="H323" s="706"/>
      <c r="I323" s="704"/>
      <c r="J323" s="704"/>
      <c r="K323" s="704"/>
      <c r="L323" s="704"/>
      <c r="M323" s="704"/>
      <c r="N323" s="704"/>
      <c r="O323" s="664"/>
      <c r="P323" s="619"/>
      <c r="Q323" s="619"/>
      <c r="R323" s="619"/>
    </row>
    <row r="324" spans="1:18" ht="15.6" x14ac:dyDescent="0.3">
      <c r="A324" s="700"/>
      <c r="B324" s="700"/>
      <c r="C324" s="700"/>
      <c r="D324" s="701"/>
      <c r="E324" s="700"/>
      <c r="F324" s="328"/>
      <c r="G324" s="700"/>
      <c r="H324" s="706"/>
      <c r="I324" s="704"/>
      <c r="J324" s="704"/>
      <c r="K324" s="704"/>
      <c r="L324" s="704"/>
      <c r="M324" s="704"/>
      <c r="N324" s="704"/>
      <c r="O324" s="664"/>
      <c r="P324" s="619"/>
      <c r="Q324" s="619"/>
      <c r="R324" s="619"/>
    </row>
    <row r="325" spans="1:18" ht="15.6" x14ac:dyDescent="0.3">
      <c r="A325" s="700"/>
      <c r="B325" s="700"/>
      <c r="C325" s="700"/>
      <c r="D325" s="701"/>
      <c r="E325" s="700"/>
      <c r="F325" s="328"/>
      <c r="G325" s="700"/>
      <c r="H325" s="706"/>
      <c r="I325" s="704"/>
      <c r="J325" s="704"/>
      <c r="K325" s="704"/>
      <c r="L325" s="704"/>
      <c r="M325" s="704"/>
      <c r="N325" s="704"/>
      <c r="O325" s="664"/>
      <c r="P325" s="619"/>
      <c r="Q325" s="619"/>
      <c r="R325" s="619"/>
    </row>
    <row r="326" spans="1:18" ht="15.6" x14ac:dyDescent="0.3">
      <c r="A326" s="700"/>
      <c r="B326" s="700"/>
      <c r="C326" s="700"/>
      <c r="D326" s="701"/>
      <c r="E326" s="700"/>
      <c r="F326" s="328"/>
      <c r="G326" s="700"/>
      <c r="H326" s="706"/>
      <c r="I326" s="704"/>
      <c r="J326" s="704"/>
      <c r="K326" s="704"/>
      <c r="L326" s="704"/>
      <c r="M326" s="704"/>
      <c r="N326" s="704"/>
      <c r="O326" s="664"/>
      <c r="P326" s="619"/>
      <c r="Q326" s="619"/>
      <c r="R326" s="619"/>
    </row>
    <row r="327" spans="1:18" ht="15.6" x14ac:dyDescent="0.3">
      <c r="A327" s="700"/>
      <c r="B327" s="700"/>
      <c r="C327" s="700"/>
      <c r="D327" s="701"/>
      <c r="E327" s="700"/>
      <c r="F327" s="328"/>
      <c r="G327" s="700"/>
      <c r="H327" s="706"/>
      <c r="I327" s="704"/>
      <c r="J327" s="704"/>
      <c r="K327" s="704"/>
      <c r="L327" s="704"/>
      <c r="M327" s="704"/>
      <c r="N327" s="704"/>
      <c r="O327" s="664"/>
      <c r="P327" s="619"/>
      <c r="Q327" s="619"/>
      <c r="R327" s="619"/>
    </row>
    <row r="328" spans="1:18" ht="15.6" x14ac:dyDescent="0.3">
      <c r="A328" s="700"/>
      <c r="B328" s="700"/>
      <c r="C328" s="700"/>
      <c r="D328" s="701"/>
      <c r="E328" s="700"/>
      <c r="F328" s="328"/>
      <c r="G328" s="700"/>
      <c r="H328" s="706"/>
      <c r="I328" s="704"/>
      <c r="J328" s="704"/>
      <c r="K328" s="704"/>
      <c r="L328" s="704"/>
      <c r="M328" s="704"/>
      <c r="N328" s="704"/>
      <c r="O328" s="664"/>
      <c r="P328" s="619"/>
      <c r="Q328" s="619"/>
      <c r="R328" s="619"/>
    </row>
    <row r="329" spans="1:18" ht="15.6" x14ac:dyDescent="0.3">
      <c r="A329" s="700"/>
      <c r="B329" s="700"/>
      <c r="C329" s="700"/>
      <c r="D329" s="701"/>
      <c r="E329" s="700"/>
      <c r="F329" s="328"/>
      <c r="G329" s="700"/>
      <c r="H329" s="706"/>
      <c r="I329" s="704"/>
      <c r="J329" s="704"/>
      <c r="K329" s="704"/>
      <c r="L329" s="704"/>
      <c r="M329" s="704"/>
      <c r="N329" s="704"/>
      <c r="O329" s="664"/>
      <c r="P329" s="619"/>
      <c r="Q329" s="619"/>
      <c r="R329" s="619"/>
    </row>
    <row r="330" spans="1:18" ht="15.6" x14ac:dyDescent="0.3">
      <c r="A330" s="700"/>
      <c r="B330" s="700"/>
      <c r="C330" s="700"/>
      <c r="D330" s="701"/>
      <c r="E330" s="700"/>
      <c r="F330" s="328"/>
      <c r="G330" s="700"/>
      <c r="H330" s="706"/>
      <c r="I330" s="704"/>
      <c r="J330" s="704"/>
      <c r="K330" s="704"/>
      <c r="L330" s="704"/>
      <c r="M330" s="704"/>
      <c r="N330" s="704"/>
      <c r="O330" s="664"/>
      <c r="P330" s="619"/>
      <c r="Q330" s="619"/>
      <c r="R330" s="619"/>
    </row>
    <row r="331" spans="1:18" ht="15.6" x14ac:dyDescent="0.3">
      <c r="A331" s="700"/>
      <c r="B331" s="700"/>
      <c r="C331" s="700"/>
      <c r="D331" s="701"/>
      <c r="E331" s="700"/>
      <c r="F331" s="328"/>
      <c r="G331" s="700"/>
      <c r="H331" s="706"/>
      <c r="I331" s="704"/>
      <c r="J331" s="704"/>
      <c r="K331" s="704"/>
      <c r="L331" s="704"/>
      <c r="M331" s="704"/>
      <c r="N331" s="704"/>
      <c r="O331" s="664"/>
      <c r="P331" s="619"/>
      <c r="Q331" s="619"/>
      <c r="R331" s="619"/>
    </row>
    <row r="332" spans="1:18" ht="15.6" x14ac:dyDescent="0.3">
      <c r="A332" s="700"/>
      <c r="B332" s="700"/>
      <c r="C332" s="700"/>
      <c r="D332" s="701"/>
      <c r="E332" s="700"/>
      <c r="F332" s="328"/>
      <c r="G332" s="700"/>
      <c r="H332" s="706"/>
      <c r="I332" s="704"/>
      <c r="J332" s="704"/>
      <c r="K332" s="704"/>
      <c r="L332" s="704"/>
      <c r="M332" s="704"/>
      <c r="N332" s="704"/>
      <c r="O332" s="664"/>
      <c r="P332" s="619"/>
      <c r="Q332" s="619"/>
      <c r="R332" s="619"/>
    </row>
    <row r="333" spans="1:18" ht="15.6" x14ac:dyDescent="0.3">
      <c r="A333" s="700"/>
      <c r="B333" s="700"/>
      <c r="C333" s="700"/>
      <c r="D333" s="701"/>
      <c r="E333" s="700"/>
      <c r="F333" s="328"/>
      <c r="G333" s="700"/>
      <c r="H333" s="706"/>
      <c r="I333" s="704"/>
      <c r="J333" s="704"/>
      <c r="K333" s="704"/>
      <c r="L333" s="704"/>
      <c r="M333" s="704"/>
      <c r="N333" s="704"/>
      <c r="O333" s="664"/>
      <c r="P333" s="619"/>
      <c r="Q333" s="619"/>
      <c r="R333" s="619"/>
    </row>
    <row r="334" spans="1:18" ht="15.6" x14ac:dyDescent="0.3">
      <c r="A334" s="700"/>
      <c r="B334" s="700"/>
      <c r="C334" s="700"/>
      <c r="D334" s="701"/>
      <c r="E334" s="700"/>
      <c r="F334" s="328"/>
      <c r="G334" s="700"/>
      <c r="H334" s="706"/>
      <c r="I334" s="704"/>
      <c r="J334" s="704"/>
      <c r="K334" s="704"/>
      <c r="L334" s="704"/>
      <c r="M334" s="704"/>
      <c r="N334" s="704"/>
      <c r="O334" s="664"/>
      <c r="P334" s="619"/>
      <c r="Q334" s="619"/>
      <c r="R334" s="619"/>
    </row>
    <row r="335" spans="1:18" ht="15.6" x14ac:dyDescent="0.3">
      <c r="A335" s="700"/>
      <c r="B335" s="700"/>
      <c r="C335" s="700"/>
      <c r="D335" s="701"/>
      <c r="E335" s="700"/>
      <c r="F335" s="328"/>
      <c r="G335" s="700"/>
      <c r="H335" s="706"/>
      <c r="I335" s="704"/>
      <c r="J335" s="704"/>
      <c r="K335" s="704"/>
      <c r="L335" s="704"/>
      <c r="M335" s="704"/>
      <c r="N335" s="704"/>
      <c r="O335" s="664"/>
      <c r="P335" s="619"/>
      <c r="Q335" s="619"/>
      <c r="R335" s="619"/>
    </row>
    <row r="336" spans="1:18" ht="15.6" x14ac:dyDescent="0.3">
      <c r="A336" s="700"/>
      <c r="B336" s="700"/>
      <c r="C336" s="700"/>
      <c r="D336" s="701"/>
      <c r="E336" s="700"/>
      <c r="F336" s="328"/>
      <c r="G336" s="700"/>
      <c r="H336" s="706"/>
      <c r="I336" s="704"/>
      <c r="J336" s="704"/>
      <c r="K336" s="704"/>
      <c r="L336" s="704"/>
      <c r="M336" s="704"/>
      <c r="N336" s="704"/>
      <c r="O336" s="664"/>
      <c r="P336" s="619"/>
      <c r="Q336" s="619"/>
      <c r="R336" s="619"/>
    </row>
    <row r="337" spans="1:18" ht="15.6" x14ac:dyDescent="0.3">
      <c r="A337" s="700"/>
      <c r="B337" s="700"/>
      <c r="C337" s="700"/>
      <c r="D337" s="701"/>
      <c r="E337" s="700"/>
      <c r="F337" s="328"/>
      <c r="G337" s="700"/>
      <c r="H337" s="706"/>
      <c r="I337" s="704"/>
      <c r="J337" s="704"/>
      <c r="K337" s="704"/>
      <c r="L337" s="704"/>
      <c r="M337" s="704"/>
      <c r="N337" s="704"/>
      <c r="O337" s="664"/>
      <c r="P337" s="619"/>
      <c r="Q337" s="619"/>
      <c r="R337" s="619"/>
    </row>
    <row r="338" spans="1:18" ht="15.6" x14ac:dyDescent="0.3">
      <c r="A338" s="700"/>
      <c r="B338" s="700"/>
      <c r="C338" s="700"/>
      <c r="D338" s="701"/>
      <c r="E338" s="700"/>
      <c r="F338" s="328"/>
      <c r="G338" s="700"/>
      <c r="H338" s="706"/>
      <c r="I338" s="704"/>
      <c r="J338" s="704"/>
      <c r="K338" s="704"/>
      <c r="L338" s="704"/>
      <c r="M338" s="704"/>
      <c r="N338" s="704"/>
      <c r="O338" s="664"/>
      <c r="P338" s="619"/>
      <c r="Q338" s="619"/>
      <c r="R338" s="619"/>
    </row>
    <row r="339" spans="1:18" ht="15.6" x14ac:dyDescent="0.3">
      <c r="A339" s="700"/>
      <c r="B339" s="700"/>
      <c r="C339" s="700"/>
      <c r="D339" s="701"/>
      <c r="E339" s="700"/>
      <c r="F339" s="328"/>
      <c r="G339" s="700"/>
      <c r="H339" s="706"/>
      <c r="I339" s="704"/>
      <c r="J339" s="704"/>
      <c r="K339" s="704"/>
      <c r="L339" s="704"/>
      <c r="M339" s="704"/>
      <c r="N339" s="704"/>
      <c r="O339" s="664"/>
      <c r="P339" s="619"/>
      <c r="Q339" s="619"/>
      <c r="R339" s="619"/>
    </row>
    <row r="340" spans="1:18" ht="15.6" x14ac:dyDescent="0.3">
      <c r="A340" s="700"/>
      <c r="B340" s="700"/>
      <c r="C340" s="700"/>
      <c r="D340" s="701"/>
      <c r="E340" s="700"/>
      <c r="F340" s="328"/>
      <c r="G340" s="700"/>
      <c r="H340" s="706"/>
      <c r="I340" s="704"/>
      <c r="J340" s="704"/>
      <c r="K340" s="704"/>
      <c r="L340" s="704"/>
      <c r="M340" s="704"/>
      <c r="N340" s="704"/>
      <c r="O340" s="664"/>
      <c r="P340" s="619"/>
      <c r="Q340" s="619"/>
      <c r="R340" s="619"/>
    </row>
    <row r="341" spans="1:18" ht="15.6" x14ac:dyDescent="0.3">
      <c r="A341" s="700"/>
      <c r="B341" s="700"/>
      <c r="C341" s="700"/>
      <c r="D341" s="701"/>
      <c r="E341" s="700"/>
      <c r="F341" s="328"/>
      <c r="G341" s="700"/>
      <c r="H341" s="706"/>
      <c r="I341" s="704"/>
      <c r="J341" s="704"/>
      <c r="K341" s="704"/>
      <c r="L341" s="704"/>
      <c r="M341" s="704"/>
      <c r="N341" s="704"/>
      <c r="O341" s="664"/>
      <c r="P341" s="619"/>
      <c r="Q341" s="619"/>
      <c r="R341" s="619"/>
    </row>
    <row r="342" spans="1:18" ht="15.6" x14ac:dyDescent="0.3">
      <c r="A342" s="700"/>
      <c r="B342" s="700"/>
      <c r="C342" s="700"/>
      <c r="D342" s="701"/>
      <c r="E342" s="700"/>
      <c r="F342" s="328"/>
      <c r="G342" s="700"/>
      <c r="H342" s="706"/>
      <c r="I342" s="704"/>
      <c r="J342" s="704"/>
      <c r="K342" s="704"/>
      <c r="L342" s="704"/>
      <c r="M342" s="704"/>
      <c r="N342" s="704"/>
      <c r="O342" s="664"/>
      <c r="P342" s="619"/>
      <c r="Q342" s="619"/>
      <c r="R342" s="619"/>
    </row>
    <row r="343" spans="1:18" ht="15.6" x14ac:dyDescent="0.3">
      <c r="A343" s="700"/>
      <c r="B343" s="700"/>
      <c r="C343" s="700"/>
      <c r="D343" s="701"/>
      <c r="E343" s="700"/>
      <c r="F343" s="328"/>
      <c r="G343" s="700"/>
      <c r="H343" s="706"/>
      <c r="I343" s="704"/>
      <c r="J343" s="704"/>
      <c r="K343" s="704"/>
      <c r="L343" s="704"/>
      <c r="M343" s="704"/>
      <c r="N343" s="704"/>
      <c r="O343" s="664"/>
      <c r="P343" s="619"/>
      <c r="Q343" s="619"/>
      <c r="R343" s="619"/>
    </row>
    <row r="344" spans="1:18" ht="15.6" x14ac:dyDescent="0.3">
      <c r="A344" s="700"/>
      <c r="B344" s="700"/>
      <c r="C344" s="700"/>
      <c r="D344" s="701"/>
      <c r="E344" s="700"/>
      <c r="F344" s="328"/>
      <c r="G344" s="700"/>
      <c r="H344" s="706"/>
      <c r="I344" s="704"/>
      <c r="J344" s="704"/>
      <c r="K344" s="704"/>
      <c r="L344" s="704"/>
      <c r="M344" s="704"/>
      <c r="N344" s="704"/>
      <c r="O344" s="664"/>
      <c r="P344" s="619"/>
      <c r="Q344" s="619"/>
      <c r="R344" s="619"/>
    </row>
    <row r="345" spans="1:18" ht="15.6" x14ac:dyDescent="0.3">
      <c r="A345" s="700"/>
      <c r="B345" s="700"/>
      <c r="C345" s="700"/>
      <c r="D345" s="701"/>
      <c r="E345" s="700"/>
      <c r="F345" s="328"/>
      <c r="G345" s="700"/>
      <c r="H345" s="706"/>
      <c r="I345" s="704"/>
      <c r="J345" s="704"/>
      <c r="K345" s="704"/>
      <c r="L345" s="704"/>
      <c r="M345" s="704"/>
      <c r="N345" s="704"/>
      <c r="O345" s="664"/>
      <c r="P345" s="619"/>
      <c r="Q345" s="619"/>
      <c r="R345" s="619"/>
    </row>
    <row r="346" spans="1:18" ht="15.6" x14ac:dyDescent="0.3">
      <c r="A346" s="700"/>
      <c r="B346" s="700"/>
      <c r="C346" s="700"/>
      <c r="D346" s="701"/>
      <c r="E346" s="700"/>
      <c r="F346" s="328"/>
      <c r="G346" s="700"/>
      <c r="H346" s="706"/>
      <c r="I346" s="704"/>
      <c r="J346" s="704"/>
      <c r="K346" s="704"/>
      <c r="L346" s="704"/>
      <c r="M346" s="704"/>
      <c r="N346" s="704"/>
      <c r="O346" s="664"/>
      <c r="P346" s="619"/>
      <c r="Q346" s="619"/>
      <c r="R346" s="619"/>
    </row>
    <row r="347" spans="1:18" ht="15.6" x14ac:dyDescent="0.3">
      <c r="A347" s="700"/>
      <c r="B347" s="700"/>
      <c r="C347" s="700"/>
      <c r="D347" s="701"/>
      <c r="E347" s="700"/>
      <c r="F347" s="328"/>
      <c r="G347" s="700"/>
      <c r="H347" s="706"/>
      <c r="I347" s="704"/>
      <c r="J347" s="704"/>
      <c r="K347" s="704"/>
      <c r="L347" s="704"/>
      <c r="M347" s="704"/>
      <c r="N347" s="704"/>
      <c r="O347" s="664"/>
      <c r="P347" s="619"/>
      <c r="Q347" s="619"/>
      <c r="R347" s="619"/>
    </row>
    <row r="348" spans="1:18" ht="15.6" x14ac:dyDescent="0.3">
      <c r="A348" s="700"/>
      <c r="B348" s="700"/>
      <c r="C348" s="700"/>
      <c r="D348" s="701"/>
      <c r="E348" s="700"/>
      <c r="F348" s="328"/>
      <c r="G348" s="700"/>
      <c r="H348" s="706"/>
      <c r="I348" s="704"/>
      <c r="J348" s="704"/>
      <c r="K348" s="704"/>
      <c r="L348" s="704"/>
      <c r="M348" s="704"/>
      <c r="N348" s="704"/>
      <c r="O348" s="664"/>
      <c r="P348" s="619"/>
      <c r="Q348" s="619"/>
      <c r="R348" s="619"/>
    </row>
    <row r="349" spans="1:18" ht="15.6" x14ac:dyDescent="0.3">
      <c r="A349" s="700"/>
      <c r="B349" s="700"/>
      <c r="C349" s="700"/>
      <c r="D349" s="701"/>
      <c r="E349" s="700"/>
      <c r="F349" s="328"/>
      <c r="G349" s="700"/>
      <c r="H349" s="706"/>
      <c r="I349" s="704"/>
      <c r="J349" s="704"/>
      <c r="K349" s="704"/>
      <c r="L349" s="704"/>
      <c r="M349" s="704"/>
      <c r="N349" s="704"/>
      <c r="O349" s="664"/>
      <c r="P349" s="619"/>
      <c r="Q349" s="619"/>
      <c r="R349" s="619"/>
    </row>
    <row r="350" spans="1:18" ht="15.6" x14ac:dyDescent="0.3">
      <c r="A350" s="700"/>
      <c r="B350" s="700"/>
      <c r="C350" s="700"/>
      <c r="D350" s="701"/>
      <c r="E350" s="700"/>
      <c r="F350" s="328"/>
      <c r="G350" s="700"/>
      <c r="H350" s="706"/>
      <c r="I350" s="704"/>
      <c r="J350" s="704"/>
      <c r="K350" s="704"/>
      <c r="L350" s="704"/>
      <c r="M350" s="704"/>
      <c r="N350" s="704"/>
      <c r="O350" s="664"/>
      <c r="P350" s="619"/>
      <c r="Q350" s="619"/>
      <c r="R350" s="619"/>
    </row>
    <row r="351" spans="1:18" ht="15.6" x14ac:dyDescent="0.3">
      <c r="A351" s="700"/>
      <c r="B351" s="700"/>
      <c r="C351" s="700"/>
      <c r="D351" s="701"/>
      <c r="E351" s="700"/>
      <c r="F351" s="328"/>
      <c r="G351" s="700"/>
      <c r="H351" s="706"/>
      <c r="I351" s="704"/>
      <c r="J351" s="704"/>
      <c r="K351" s="704"/>
      <c r="L351" s="704"/>
      <c r="M351" s="704"/>
      <c r="N351" s="704"/>
      <c r="O351" s="664"/>
      <c r="P351" s="619"/>
      <c r="Q351" s="619"/>
      <c r="R351" s="619"/>
    </row>
    <row r="352" spans="1:18" ht="15.6" x14ac:dyDescent="0.3">
      <c r="A352" s="700"/>
      <c r="B352" s="700"/>
      <c r="C352" s="700"/>
      <c r="D352" s="701"/>
      <c r="E352" s="700"/>
      <c r="F352" s="328"/>
      <c r="G352" s="700"/>
      <c r="H352" s="706"/>
      <c r="I352" s="704"/>
      <c r="J352" s="704"/>
      <c r="K352" s="704"/>
      <c r="L352" s="704"/>
      <c r="M352" s="704"/>
      <c r="N352" s="704"/>
      <c r="O352" s="664"/>
      <c r="P352" s="619"/>
      <c r="Q352" s="619"/>
      <c r="R352" s="619"/>
    </row>
    <row r="353" spans="1:18" ht="15.6" x14ac:dyDescent="0.3">
      <c r="A353" s="700"/>
      <c r="B353" s="700"/>
      <c r="C353" s="700"/>
      <c r="D353" s="701"/>
      <c r="E353" s="700"/>
      <c r="F353" s="328"/>
      <c r="G353" s="700"/>
      <c r="H353" s="706"/>
      <c r="I353" s="704"/>
      <c r="J353" s="704"/>
      <c r="K353" s="704"/>
      <c r="L353" s="704"/>
      <c r="M353" s="704"/>
      <c r="N353" s="704"/>
      <c r="O353" s="664"/>
      <c r="P353" s="619"/>
      <c r="Q353" s="619"/>
      <c r="R353" s="619"/>
    </row>
    <row r="354" spans="1:18" ht="15.6" x14ac:dyDescent="0.3">
      <c r="A354" s="700"/>
      <c r="B354" s="700"/>
      <c r="C354" s="700"/>
      <c r="D354" s="701"/>
      <c r="E354" s="700"/>
      <c r="F354" s="328"/>
      <c r="G354" s="700"/>
      <c r="H354" s="706"/>
      <c r="I354" s="704"/>
      <c r="J354" s="704"/>
      <c r="K354" s="704"/>
      <c r="L354" s="704"/>
      <c r="M354" s="704"/>
      <c r="N354" s="704"/>
      <c r="O354" s="664"/>
      <c r="P354" s="619"/>
      <c r="Q354" s="619"/>
      <c r="R354" s="619"/>
    </row>
    <row r="355" spans="1:18" ht="15.6" x14ac:dyDescent="0.3">
      <c r="A355" s="700"/>
      <c r="B355" s="700"/>
      <c r="C355" s="700"/>
      <c r="D355" s="701"/>
      <c r="E355" s="700"/>
      <c r="F355" s="328"/>
      <c r="G355" s="700"/>
      <c r="H355" s="706"/>
      <c r="I355" s="704"/>
      <c r="J355" s="704"/>
      <c r="K355" s="704"/>
      <c r="L355" s="704"/>
      <c r="M355" s="704"/>
      <c r="N355" s="704"/>
      <c r="O355" s="664"/>
      <c r="P355" s="619"/>
      <c r="Q355" s="619"/>
      <c r="R355" s="619"/>
    </row>
    <row r="356" spans="1:18" ht="15.6" x14ac:dyDescent="0.3">
      <c r="A356" s="700"/>
      <c r="B356" s="700"/>
      <c r="C356" s="700"/>
      <c r="D356" s="701"/>
      <c r="E356" s="700"/>
      <c r="F356" s="328"/>
      <c r="G356" s="700"/>
      <c r="H356" s="706"/>
      <c r="I356" s="704"/>
      <c r="J356" s="704"/>
      <c r="K356" s="704"/>
      <c r="L356" s="704"/>
      <c r="M356" s="704"/>
      <c r="N356" s="704"/>
      <c r="O356" s="664"/>
      <c r="P356" s="619"/>
      <c r="Q356" s="619"/>
      <c r="R356" s="619"/>
    </row>
    <row r="357" spans="1:18" ht="15.6" x14ac:dyDescent="0.3">
      <c r="A357" s="700"/>
      <c r="B357" s="700"/>
      <c r="C357" s="700"/>
      <c r="D357" s="701"/>
      <c r="E357" s="700"/>
      <c r="F357" s="328"/>
      <c r="G357" s="700"/>
      <c r="H357" s="706"/>
      <c r="I357" s="704"/>
      <c r="J357" s="704"/>
      <c r="K357" s="704"/>
      <c r="L357" s="704"/>
      <c r="M357" s="704"/>
      <c r="N357" s="704"/>
      <c r="O357" s="664"/>
      <c r="P357" s="619"/>
      <c r="Q357" s="619"/>
      <c r="R357" s="619"/>
    </row>
    <row r="358" spans="1:18" ht="15.6" x14ac:dyDescent="0.3">
      <c r="A358" s="700"/>
      <c r="B358" s="700"/>
      <c r="C358" s="700"/>
      <c r="D358" s="701"/>
      <c r="E358" s="700"/>
      <c r="F358" s="328"/>
      <c r="G358" s="700"/>
      <c r="H358" s="706"/>
      <c r="I358" s="704"/>
      <c r="J358" s="704"/>
      <c r="K358" s="704"/>
      <c r="L358" s="704"/>
      <c r="M358" s="704"/>
      <c r="N358" s="704"/>
      <c r="O358" s="664"/>
      <c r="P358" s="619"/>
      <c r="Q358" s="619"/>
      <c r="R358" s="619"/>
    </row>
    <row r="359" spans="1:18" ht="15.6" x14ac:dyDescent="0.3">
      <c r="A359" s="700"/>
      <c r="B359" s="700"/>
      <c r="C359" s="700"/>
      <c r="D359" s="701"/>
      <c r="E359" s="700"/>
      <c r="F359" s="328"/>
      <c r="G359" s="700"/>
      <c r="H359" s="706"/>
      <c r="I359" s="704"/>
      <c r="J359" s="704"/>
      <c r="K359" s="704"/>
      <c r="L359" s="704"/>
      <c r="M359" s="704"/>
      <c r="N359" s="704"/>
      <c r="O359" s="664"/>
      <c r="P359" s="619"/>
      <c r="Q359" s="619"/>
      <c r="R359" s="619"/>
    </row>
    <row r="360" spans="1:18" ht="15.6" x14ac:dyDescent="0.3">
      <c r="A360" s="700"/>
      <c r="B360" s="700"/>
      <c r="C360" s="700"/>
      <c r="D360" s="701"/>
      <c r="E360" s="700"/>
      <c r="F360" s="328"/>
      <c r="G360" s="700"/>
      <c r="H360" s="706"/>
      <c r="I360" s="704"/>
      <c r="J360" s="704"/>
      <c r="K360" s="704"/>
      <c r="L360" s="704"/>
      <c r="M360" s="704"/>
      <c r="N360" s="704"/>
      <c r="O360" s="664"/>
      <c r="P360" s="619"/>
      <c r="Q360" s="619"/>
      <c r="R360" s="619"/>
    </row>
    <row r="361" spans="1:18" ht="15.6" x14ac:dyDescent="0.3">
      <c r="A361" s="700"/>
      <c r="B361" s="700"/>
      <c r="C361" s="700"/>
      <c r="D361" s="701"/>
      <c r="E361" s="700"/>
      <c r="F361" s="328"/>
      <c r="G361" s="700"/>
      <c r="H361" s="706"/>
      <c r="I361" s="704"/>
      <c r="J361" s="704"/>
      <c r="K361" s="704"/>
      <c r="L361" s="704"/>
      <c r="M361" s="704"/>
      <c r="N361" s="704"/>
      <c r="O361" s="664"/>
      <c r="P361" s="619"/>
      <c r="Q361" s="619"/>
      <c r="R361" s="619"/>
    </row>
    <row r="362" spans="1:18" ht="15.6" x14ac:dyDescent="0.3">
      <c r="A362" s="700"/>
      <c r="B362" s="700"/>
      <c r="C362" s="700"/>
      <c r="D362" s="701"/>
      <c r="E362" s="700"/>
      <c r="F362" s="328"/>
      <c r="G362" s="700"/>
      <c r="H362" s="706"/>
      <c r="I362" s="704"/>
      <c r="J362" s="704"/>
      <c r="K362" s="704"/>
      <c r="L362" s="704"/>
      <c r="M362" s="704"/>
      <c r="N362" s="704"/>
      <c r="O362" s="664"/>
      <c r="P362" s="619"/>
      <c r="Q362" s="619"/>
      <c r="R362" s="619"/>
    </row>
    <row r="363" spans="1:18" ht="15.6" x14ac:dyDescent="0.3">
      <c r="A363" s="700"/>
      <c r="B363" s="700"/>
      <c r="C363" s="700"/>
      <c r="D363" s="701"/>
      <c r="E363" s="700"/>
      <c r="F363" s="328"/>
      <c r="G363" s="700"/>
      <c r="H363" s="706"/>
      <c r="I363" s="704"/>
      <c r="J363" s="704"/>
      <c r="K363" s="704"/>
      <c r="L363" s="704"/>
      <c r="M363" s="704"/>
      <c r="N363" s="704"/>
      <c r="O363" s="664"/>
      <c r="P363" s="619"/>
      <c r="Q363" s="619"/>
      <c r="R363" s="619"/>
    </row>
    <row r="364" spans="1:18" ht="15.6" x14ac:dyDescent="0.3">
      <c r="A364" s="700"/>
      <c r="B364" s="700"/>
      <c r="C364" s="700"/>
      <c r="D364" s="701"/>
      <c r="E364" s="700"/>
      <c r="F364" s="328"/>
      <c r="G364" s="700"/>
      <c r="H364" s="706"/>
      <c r="I364" s="704"/>
      <c r="J364" s="704"/>
      <c r="K364" s="704"/>
      <c r="L364" s="704"/>
      <c r="M364" s="704"/>
      <c r="N364" s="704"/>
      <c r="O364" s="664"/>
      <c r="P364" s="619"/>
      <c r="Q364" s="619"/>
      <c r="R364" s="619"/>
    </row>
    <row r="365" spans="1:18" ht="15.6" x14ac:dyDescent="0.3">
      <c r="A365" s="700"/>
      <c r="B365" s="700"/>
      <c r="C365" s="700"/>
      <c r="D365" s="701"/>
      <c r="E365" s="700"/>
      <c r="F365" s="328"/>
      <c r="G365" s="700"/>
      <c r="H365" s="706"/>
      <c r="I365" s="704"/>
      <c r="J365" s="704"/>
      <c r="K365" s="704"/>
      <c r="L365" s="704"/>
      <c r="M365" s="704"/>
      <c r="N365" s="704"/>
      <c r="O365" s="664"/>
      <c r="P365" s="619"/>
      <c r="Q365" s="619"/>
      <c r="R365" s="619"/>
    </row>
    <row r="366" spans="1:18" ht="15.6" x14ac:dyDescent="0.3">
      <c r="A366" s="700"/>
      <c r="B366" s="700"/>
      <c r="C366" s="700"/>
      <c r="D366" s="701"/>
      <c r="E366" s="700"/>
      <c r="F366" s="328"/>
      <c r="G366" s="700"/>
      <c r="H366" s="706"/>
      <c r="I366" s="704"/>
      <c r="J366" s="704"/>
      <c r="K366" s="704"/>
      <c r="L366" s="704"/>
      <c r="M366" s="704"/>
      <c r="N366" s="704"/>
      <c r="O366" s="664"/>
      <c r="P366" s="619"/>
      <c r="Q366" s="619"/>
      <c r="R366" s="619"/>
    </row>
    <row r="367" spans="1:18" ht="15.6" x14ac:dyDescent="0.3">
      <c r="A367" s="700"/>
      <c r="B367" s="700"/>
      <c r="C367" s="700"/>
      <c r="D367" s="701"/>
      <c r="E367" s="700"/>
      <c r="F367" s="328"/>
      <c r="G367" s="700"/>
      <c r="H367" s="706"/>
      <c r="I367" s="704"/>
      <c r="J367" s="704"/>
      <c r="K367" s="704"/>
      <c r="L367" s="704"/>
      <c r="M367" s="704"/>
      <c r="N367" s="704"/>
      <c r="O367" s="664"/>
      <c r="P367" s="619"/>
      <c r="Q367" s="619"/>
      <c r="R367" s="619"/>
    </row>
    <row r="368" spans="1:18" ht="15.6" x14ac:dyDescent="0.3">
      <c r="A368" s="700"/>
      <c r="B368" s="700"/>
      <c r="C368" s="700"/>
      <c r="D368" s="701"/>
      <c r="E368" s="700"/>
      <c r="F368" s="328"/>
      <c r="G368" s="700"/>
      <c r="H368" s="706"/>
      <c r="I368" s="704"/>
      <c r="J368" s="704"/>
      <c r="K368" s="704"/>
      <c r="L368" s="704"/>
      <c r="M368" s="704"/>
      <c r="N368" s="704"/>
      <c r="O368" s="664"/>
      <c r="P368" s="619"/>
      <c r="Q368" s="619"/>
      <c r="R368" s="619"/>
    </row>
    <row r="369" spans="1:18" ht="15.6" x14ac:dyDescent="0.3">
      <c r="A369" s="700"/>
      <c r="B369" s="700"/>
      <c r="C369" s="700"/>
      <c r="D369" s="701"/>
      <c r="E369" s="700"/>
      <c r="F369" s="328"/>
      <c r="G369" s="700"/>
      <c r="H369" s="706"/>
      <c r="I369" s="704"/>
      <c r="J369" s="704"/>
      <c r="K369" s="704"/>
      <c r="L369" s="704"/>
      <c r="M369" s="704"/>
      <c r="N369" s="704"/>
      <c r="O369" s="664"/>
      <c r="P369" s="619"/>
      <c r="Q369" s="619"/>
      <c r="R369" s="619"/>
    </row>
    <row r="370" spans="1:18" ht="15.6" x14ac:dyDescent="0.3">
      <c r="A370" s="700"/>
      <c r="B370" s="700"/>
      <c r="C370" s="700"/>
      <c r="D370" s="701"/>
      <c r="E370" s="700"/>
      <c r="F370" s="328"/>
      <c r="G370" s="700"/>
      <c r="H370" s="706"/>
      <c r="I370" s="704"/>
      <c r="J370" s="704"/>
      <c r="K370" s="704"/>
      <c r="L370" s="704"/>
      <c r="M370" s="704"/>
      <c r="N370" s="704"/>
      <c r="O370" s="664"/>
      <c r="P370" s="619"/>
      <c r="Q370" s="619"/>
      <c r="R370" s="619"/>
    </row>
    <row r="371" spans="1:18" ht="15.6" x14ac:dyDescent="0.3">
      <c r="A371" s="700"/>
      <c r="B371" s="700"/>
      <c r="C371" s="700"/>
      <c r="D371" s="701"/>
      <c r="E371" s="700"/>
      <c r="F371" s="328"/>
      <c r="G371" s="700"/>
      <c r="H371" s="706"/>
      <c r="I371" s="704"/>
      <c r="J371" s="704"/>
      <c r="K371" s="704"/>
      <c r="L371" s="704"/>
      <c r="M371" s="704"/>
      <c r="N371" s="704"/>
      <c r="O371" s="664"/>
      <c r="P371" s="619"/>
      <c r="Q371" s="619"/>
      <c r="R371" s="619"/>
    </row>
    <row r="372" spans="1:18" ht="15.6" x14ac:dyDescent="0.3">
      <c r="A372" s="700"/>
      <c r="B372" s="700"/>
      <c r="C372" s="700"/>
      <c r="D372" s="701"/>
      <c r="E372" s="700"/>
      <c r="F372" s="328"/>
      <c r="G372" s="700"/>
      <c r="H372" s="706"/>
      <c r="I372" s="704"/>
      <c r="J372" s="704"/>
      <c r="K372" s="704"/>
      <c r="L372" s="704"/>
      <c r="M372" s="704"/>
      <c r="N372" s="704"/>
      <c r="O372" s="664"/>
      <c r="P372" s="619"/>
      <c r="Q372" s="619"/>
      <c r="R372" s="619"/>
    </row>
    <row r="373" spans="1:18" ht="15.6" x14ac:dyDescent="0.3">
      <c r="A373" s="700"/>
      <c r="B373" s="700"/>
      <c r="C373" s="700"/>
      <c r="D373" s="701"/>
      <c r="E373" s="700"/>
      <c r="F373" s="328"/>
      <c r="G373" s="700"/>
      <c r="H373" s="706"/>
      <c r="I373" s="704"/>
      <c r="J373" s="704"/>
      <c r="K373" s="704"/>
      <c r="L373" s="704"/>
      <c r="M373" s="704"/>
      <c r="N373" s="704"/>
      <c r="O373" s="664"/>
      <c r="P373" s="619"/>
      <c r="Q373" s="619"/>
      <c r="R373" s="619"/>
    </row>
    <row r="374" spans="1:18" ht="15.6" x14ac:dyDescent="0.3">
      <c r="A374" s="700"/>
      <c r="B374" s="700"/>
      <c r="C374" s="700"/>
      <c r="D374" s="701"/>
      <c r="E374" s="700"/>
      <c r="F374" s="328"/>
      <c r="G374" s="700"/>
      <c r="H374" s="706"/>
      <c r="I374" s="704"/>
      <c r="J374" s="704"/>
      <c r="K374" s="704"/>
      <c r="L374" s="704"/>
      <c r="M374" s="704"/>
      <c r="N374" s="704"/>
      <c r="O374" s="664"/>
      <c r="P374" s="619"/>
      <c r="Q374" s="619"/>
      <c r="R374" s="619"/>
    </row>
    <row r="375" spans="1:18" ht="15.6" x14ac:dyDescent="0.3">
      <c r="A375" s="700"/>
      <c r="B375" s="700"/>
      <c r="C375" s="700"/>
      <c r="D375" s="701"/>
      <c r="E375" s="700"/>
      <c r="F375" s="328"/>
      <c r="G375" s="700"/>
      <c r="H375" s="706"/>
      <c r="I375" s="704"/>
      <c r="J375" s="704"/>
      <c r="K375" s="704"/>
      <c r="L375" s="704"/>
      <c r="M375" s="704"/>
      <c r="N375" s="704"/>
      <c r="O375" s="664"/>
      <c r="P375" s="619"/>
      <c r="Q375" s="619"/>
      <c r="R375" s="619"/>
    </row>
    <row r="376" spans="1:18" ht="15.6" x14ac:dyDescent="0.3">
      <c r="A376" s="700"/>
      <c r="B376" s="700"/>
      <c r="C376" s="700"/>
      <c r="D376" s="701"/>
      <c r="E376" s="700"/>
      <c r="F376" s="328"/>
      <c r="G376" s="700"/>
      <c r="H376" s="706"/>
      <c r="I376" s="704"/>
      <c r="J376" s="704"/>
      <c r="K376" s="704"/>
      <c r="L376" s="704"/>
      <c r="M376" s="704"/>
      <c r="N376" s="704"/>
      <c r="O376" s="664"/>
      <c r="P376" s="619"/>
      <c r="Q376" s="619"/>
      <c r="R376" s="619"/>
    </row>
    <row r="377" spans="1:18" ht="15.6" x14ac:dyDescent="0.3">
      <c r="A377" s="700"/>
      <c r="B377" s="700"/>
      <c r="C377" s="700"/>
      <c r="D377" s="701"/>
      <c r="E377" s="700"/>
      <c r="F377" s="328"/>
      <c r="G377" s="700"/>
      <c r="H377" s="706"/>
      <c r="I377" s="704"/>
      <c r="J377" s="704"/>
      <c r="K377" s="704"/>
      <c r="L377" s="704"/>
      <c r="M377" s="704"/>
      <c r="N377" s="704"/>
      <c r="O377" s="664"/>
      <c r="P377" s="619"/>
      <c r="Q377" s="619"/>
      <c r="R377" s="619"/>
    </row>
    <row r="378" spans="1:18" ht="15.6" x14ac:dyDescent="0.3">
      <c r="A378" s="700"/>
      <c r="B378" s="700"/>
      <c r="C378" s="700"/>
      <c r="D378" s="701"/>
      <c r="E378" s="700"/>
      <c r="F378" s="328"/>
      <c r="G378" s="700"/>
      <c r="H378" s="706"/>
      <c r="I378" s="704"/>
      <c r="J378" s="704"/>
      <c r="K378" s="704"/>
      <c r="L378" s="704"/>
      <c r="M378" s="704"/>
      <c r="N378" s="704"/>
      <c r="O378" s="664"/>
      <c r="P378" s="619"/>
      <c r="Q378" s="619"/>
      <c r="R378" s="619"/>
    </row>
    <row r="379" spans="1:18" ht="15.6" x14ac:dyDescent="0.3">
      <c r="A379" s="700"/>
      <c r="B379" s="700"/>
      <c r="C379" s="700"/>
      <c r="D379" s="701"/>
      <c r="E379" s="700"/>
      <c r="F379" s="328"/>
      <c r="G379" s="700"/>
      <c r="H379" s="706"/>
      <c r="I379" s="704"/>
      <c r="J379" s="704"/>
      <c r="K379" s="704"/>
      <c r="L379" s="704"/>
      <c r="M379" s="704"/>
      <c r="N379" s="704"/>
      <c r="O379" s="664"/>
      <c r="P379" s="619"/>
      <c r="Q379" s="619"/>
      <c r="R379" s="619"/>
    </row>
    <row r="380" spans="1:18" ht="15.6" x14ac:dyDescent="0.3">
      <c r="A380" s="700"/>
      <c r="B380" s="700"/>
      <c r="C380" s="700"/>
      <c r="D380" s="701"/>
      <c r="E380" s="700"/>
      <c r="F380" s="328"/>
      <c r="G380" s="700"/>
      <c r="H380" s="706"/>
      <c r="I380" s="704"/>
      <c r="J380" s="704"/>
      <c r="K380" s="704"/>
      <c r="L380" s="704"/>
      <c r="M380" s="704"/>
      <c r="N380" s="704"/>
      <c r="O380" s="664"/>
      <c r="P380" s="619"/>
      <c r="Q380" s="619"/>
      <c r="R380" s="619"/>
    </row>
    <row r="381" spans="1:18" ht="15.6" x14ac:dyDescent="0.3">
      <c r="A381" s="700"/>
      <c r="B381" s="700"/>
      <c r="C381" s="700"/>
      <c r="D381" s="701"/>
      <c r="E381" s="700"/>
      <c r="F381" s="328"/>
      <c r="G381" s="700"/>
      <c r="H381" s="706"/>
      <c r="I381" s="704"/>
      <c r="J381" s="704"/>
      <c r="K381" s="704"/>
      <c r="L381" s="704"/>
      <c r="M381" s="704"/>
      <c r="N381" s="704"/>
      <c r="O381" s="664"/>
      <c r="P381" s="619"/>
      <c r="Q381" s="619"/>
      <c r="R381" s="619"/>
    </row>
    <row r="382" spans="1:18" ht="15.6" x14ac:dyDescent="0.3">
      <c r="A382" s="700"/>
      <c r="B382" s="700"/>
      <c r="C382" s="700"/>
      <c r="D382" s="701"/>
      <c r="E382" s="700"/>
      <c r="F382" s="328"/>
      <c r="G382" s="700"/>
      <c r="H382" s="706"/>
      <c r="I382" s="704"/>
      <c r="J382" s="704"/>
      <c r="K382" s="704"/>
      <c r="L382" s="704"/>
      <c r="M382" s="704"/>
      <c r="N382" s="704"/>
      <c r="O382" s="664"/>
      <c r="P382" s="619"/>
      <c r="Q382" s="619"/>
      <c r="R382" s="619"/>
    </row>
    <row r="383" spans="1:18" ht="15.6" x14ac:dyDescent="0.3">
      <c r="A383" s="700"/>
      <c r="B383" s="700"/>
      <c r="C383" s="700"/>
      <c r="D383" s="701"/>
      <c r="E383" s="700"/>
      <c r="F383" s="328"/>
      <c r="G383" s="700"/>
      <c r="H383" s="706"/>
      <c r="I383" s="704"/>
      <c r="J383" s="704"/>
      <c r="K383" s="704"/>
      <c r="L383" s="704"/>
      <c r="M383" s="704"/>
      <c r="N383" s="704"/>
      <c r="O383" s="664"/>
      <c r="P383" s="619"/>
      <c r="Q383" s="619"/>
      <c r="R383" s="619"/>
    </row>
    <row r="384" spans="1:18" ht="15.6" x14ac:dyDescent="0.3">
      <c r="A384" s="700"/>
      <c r="B384" s="700"/>
      <c r="C384" s="700"/>
      <c r="D384" s="701"/>
      <c r="E384" s="700"/>
      <c r="F384" s="328"/>
      <c r="G384" s="700"/>
      <c r="H384" s="706"/>
      <c r="I384" s="704"/>
      <c r="J384" s="704"/>
      <c r="K384" s="704"/>
      <c r="L384" s="704"/>
      <c r="M384" s="704"/>
      <c r="N384" s="704"/>
      <c r="O384" s="664"/>
      <c r="P384" s="619"/>
      <c r="Q384" s="619"/>
      <c r="R384" s="619"/>
    </row>
    <row r="385" spans="1:18" ht="15.6" x14ac:dyDescent="0.3">
      <c r="A385" s="700"/>
      <c r="B385" s="700"/>
      <c r="C385" s="700"/>
      <c r="D385" s="701"/>
      <c r="E385" s="700"/>
      <c r="F385" s="328"/>
      <c r="G385" s="700"/>
      <c r="H385" s="706"/>
      <c r="I385" s="704"/>
      <c r="J385" s="704"/>
      <c r="K385" s="704"/>
      <c r="L385" s="704"/>
      <c r="M385" s="704"/>
      <c r="N385" s="704"/>
      <c r="O385" s="664"/>
      <c r="P385" s="619"/>
      <c r="Q385" s="619"/>
      <c r="R385" s="619"/>
    </row>
    <row r="386" spans="1:18" ht="15.6" x14ac:dyDescent="0.3">
      <c r="A386" s="700"/>
      <c r="B386" s="700"/>
      <c r="C386" s="700"/>
      <c r="D386" s="701"/>
      <c r="E386" s="700"/>
      <c r="F386" s="328"/>
      <c r="G386" s="700"/>
      <c r="H386" s="706"/>
      <c r="I386" s="704"/>
      <c r="J386" s="704"/>
      <c r="K386" s="704"/>
      <c r="L386" s="704"/>
      <c r="M386" s="704"/>
      <c r="N386" s="704"/>
      <c r="O386" s="664"/>
      <c r="P386" s="619"/>
      <c r="Q386" s="619"/>
      <c r="R386" s="619"/>
    </row>
    <row r="387" spans="1:18" ht="15.6" x14ac:dyDescent="0.3">
      <c r="A387" s="700"/>
      <c r="B387" s="700"/>
      <c r="C387" s="700"/>
      <c r="D387" s="701"/>
      <c r="E387" s="700"/>
      <c r="F387" s="328"/>
      <c r="G387" s="700"/>
      <c r="H387" s="706"/>
      <c r="I387" s="704"/>
      <c r="J387" s="704"/>
      <c r="K387" s="704"/>
      <c r="L387" s="704"/>
      <c r="M387" s="704"/>
      <c r="N387" s="704"/>
      <c r="O387" s="664"/>
      <c r="P387" s="619"/>
      <c r="Q387" s="619"/>
      <c r="R387" s="619"/>
    </row>
    <row r="388" spans="1:18" ht="15.6" x14ac:dyDescent="0.3">
      <c r="A388" s="700"/>
      <c r="B388" s="700"/>
      <c r="C388" s="700"/>
      <c r="D388" s="701"/>
      <c r="E388" s="700"/>
      <c r="F388" s="328"/>
      <c r="G388" s="700"/>
      <c r="H388" s="706"/>
      <c r="I388" s="704"/>
      <c r="J388" s="704"/>
      <c r="K388" s="704"/>
      <c r="L388" s="704"/>
      <c r="M388" s="704"/>
      <c r="N388" s="704"/>
      <c r="O388" s="664"/>
      <c r="P388" s="619"/>
      <c r="Q388" s="619"/>
      <c r="R388" s="619"/>
    </row>
    <row r="389" spans="1:18" ht="15.6" x14ac:dyDescent="0.3">
      <c r="A389" s="700"/>
      <c r="B389" s="700"/>
      <c r="C389" s="700"/>
      <c r="D389" s="701"/>
      <c r="E389" s="700"/>
      <c r="F389" s="328"/>
      <c r="G389" s="700"/>
      <c r="H389" s="706"/>
      <c r="I389" s="704"/>
      <c r="J389" s="704"/>
      <c r="K389" s="704"/>
      <c r="L389" s="704"/>
      <c r="M389" s="704"/>
      <c r="N389" s="704"/>
      <c r="O389" s="664"/>
      <c r="P389" s="619"/>
      <c r="Q389" s="619"/>
      <c r="R389" s="619"/>
    </row>
    <row r="390" spans="1:18" ht="15.6" x14ac:dyDescent="0.3">
      <c r="A390" s="700"/>
      <c r="B390" s="700"/>
      <c r="C390" s="700"/>
      <c r="D390" s="701"/>
      <c r="E390" s="700"/>
      <c r="F390" s="328"/>
      <c r="G390" s="700"/>
      <c r="H390" s="706"/>
      <c r="I390" s="704"/>
      <c r="J390" s="704"/>
      <c r="K390" s="704"/>
      <c r="L390" s="704"/>
      <c r="M390" s="704"/>
      <c r="N390" s="704"/>
      <c r="O390" s="664"/>
      <c r="P390" s="619"/>
      <c r="Q390" s="619"/>
      <c r="R390" s="619"/>
    </row>
    <row r="391" spans="1:18" ht="15.6" x14ac:dyDescent="0.3">
      <c r="A391" s="700"/>
      <c r="B391" s="700"/>
      <c r="C391" s="700"/>
      <c r="D391" s="701"/>
      <c r="E391" s="700"/>
      <c r="F391" s="328"/>
      <c r="G391" s="700"/>
      <c r="H391" s="706"/>
      <c r="I391" s="704"/>
      <c r="J391" s="704"/>
      <c r="K391" s="704"/>
      <c r="L391" s="704"/>
      <c r="M391" s="704"/>
      <c r="N391" s="704"/>
      <c r="O391" s="664"/>
      <c r="P391" s="619"/>
      <c r="Q391" s="619"/>
      <c r="R391" s="619"/>
    </row>
    <row r="392" spans="1:18" ht="15.6" x14ac:dyDescent="0.3">
      <c r="A392" s="700"/>
      <c r="B392" s="700"/>
      <c r="C392" s="700"/>
      <c r="D392" s="701"/>
      <c r="E392" s="700"/>
      <c r="F392" s="328"/>
      <c r="G392" s="700"/>
      <c r="H392" s="706"/>
      <c r="I392" s="704"/>
      <c r="J392" s="704"/>
      <c r="K392" s="704"/>
      <c r="L392" s="704"/>
      <c r="M392" s="704"/>
      <c r="N392" s="704"/>
      <c r="O392" s="664"/>
      <c r="P392" s="619"/>
      <c r="Q392" s="619"/>
      <c r="R392" s="619"/>
    </row>
    <row r="393" spans="1:18" ht="15.6" x14ac:dyDescent="0.3">
      <c r="A393" s="700"/>
      <c r="B393" s="700"/>
      <c r="C393" s="700"/>
      <c r="D393" s="701"/>
      <c r="E393" s="700"/>
      <c r="F393" s="328"/>
      <c r="G393" s="700"/>
      <c r="H393" s="706"/>
      <c r="I393" s="704"/>
      <c r="J393" s="704"/>
      <c r="K393" s="704"/>
      <c r="L393" s="704"/>
      <c r="M393" s="704"/>
      <c r="N393" s="704"/>
      <c r="O393" s="664"/>
      <c r="P393" s="619"/>
      <c r="Q393" s="619"/>
      <c r="R393" s="619"/>
    </row>
    <row r="394" spans="1:18" ht="15.6" x14ac:dyDescent="0.3">
      <c r="A394" s="700"/>
      <c r="B394" s="700"/>
      <c r="C394" s="700"/>
      <c r="D394" s="701"/>
      <c r="E394" s="700"/>
      <c r="F394" s="328"/>
      <c r="G394" s="700"/>
      <c r="H394" s="706"/>
      <c r="I394" s="704"/>
      <c r="J394" s="704"/>
      <c r="K394" s="704"/>
      <c r="L394" s="704"/>
      <c r="M394" s="704"/>
      <c r="N394" s="704"/>
      <c r="O394" s="664"/>
      <c r="P394" s="619"/>
      <c r="Q394" s="619"/>
      <c r="R394" s="619"/>
    </row>
    <row r="395" spans="1:18" ht="15.6" x14ac:dyDescent="0.3">
      <c r="A395" s="700"/>
      <c r="B395" s="700"/>
      <c r="C395" s="700"/>
      <c r="D395" s="701"/>
      <c r="E395" s="700"/>
      <c r="F395" s="328"/>
      <c r="G395" s="700"/>
      <c r="H395" s="706"/>
      <c r="I395" s="704"/>
      <c r="J395" s="704"/>
      <c r="K395" s="704"/>
      <c r="L395" s="704"/>
      <c r="M395" s="704"/>
      <c r="N395" s="704"/>
      <c r="O395" s="664"/>
      <c r="P395" s="619"/>
      <c r="Q395" s="619"/>
      <c r="R395" s="619"/>
    </row>
    <row r="396" spans="1:18" ht="15.6" x14ac:dyDescent="0.3">
      <c r="A396" s="700"/>
      <c r="B396" s="700"/>
      <c r="C396" s="700"/>
      <c r="D396" s="701"/>
      <c r="E396" s="700"/>
      <c r="F396" s="328"/>
      <c r="G396" s="700"/>
      <c r="H396" s="706"/>
      <c r="I396" s="704"/>
      <c r="J396" s="704"/>
      <c r="K396" s="704"/>
      <c r="L396" s="704"/>
      <c r="M396" s="704"/>
      <c r="N396" s="704"/>
      <c r="O396" s="664"/>
      <c r="P396" s="619"/>
      <c r="Q396" s="619"/>
      <c r="R396" s="619"/>
    </row>
    <row r="397" spans="1:18" ht="15.6" x14ac:dyDescent="0.3">
      <c r="A397" s="700"/>
      <c r="B397" s="700"/>
      <c r="C397" s="700"/>
      <c r="D397" s="701"/>
      <c r="E397" s="700"/>
      <c r="F397" s="328"/>
      <c r="G397" s="700"/>
      <c r="H397" s="706"/>
      <c r="I397" s="704"/>
      <c r="J397" s="704"/>
      <c r="K397" s="704"/>
      <c r="L397" s="704"/>
      <c r="M397" s="704"/>
      <c r="N397" s="704"/>
      <c r="O397" s="664"/>
      <c r="P397" s="619"/>
      <c r="Q397" s="619"/>
      <c r="R397" s="619"/>
    </row>
    <row r="398" spans="1:18" ht="15.6" x14ac:dyDescent="0.3">
      <c r="A398" s="700"/>
      <c r="B398" s="700"/>
      <c r="C398" s="700"/>
      <c r="D398" s="701"/>
      <c r="E398" s="700"/>
      <c r="F398" s="328"/>
      <c r="G398" s="700"/>
      <c r="H398" s="706"/>
      <c r="I398" s="704"/>
      <c r="J398" s="704"/>
      <c r="K398" s="704"/>
      <c r="L398" s="704"/>
      <c r="M398" s="704"/>
      <c r="N398" s="704"/>
      <c r="O398" s="664"/>
      <c r="P398" s="619"/>
      <c r="Q398" s="619"/>
      <c r="R398" s="619"/>
    </row>
    <row r="399" spans="1:18" ht="15.6" x14ac:dyDescent="0.3">
      <c r="A399" s="700"/>
      <c r="B399" s="700"/>
      <c r="C399" s="700"/>
      <c r="D399" s="701"/>
      <c r="E399" s="700"/>
      <c r="F399" s="328"/>
      <c r="G399" s="700"/>
      <c r="H399" s="706"/>
      <c r="I399" s="704"/>
      <c r="J399" s="704"/>
      <c r="K399" s="704"/>
      <c r="L399" s="704"/>
      <c r="M399" s="704"/>
      <c r="N399" s="704"/>
      <c r="O399" s="664"/>
      <c r="P399" s="619"/>
      <c r="Q399" s="619"/>
      <c r="R399" s="619"/>
    </row>
    <row r="400" spans="1:18" ht="15.6" x14ac:dyDescent="0.3">
      <c r="A400" s="700"/>
      <c r="B400" s="700"/>
      <c r="C400" s="700"/>
      <c r="D400" s="701"/>
      <c r="E400" s="700"/>
      <c r="F400" s="328"/>
      <c r="G400" s="700"/>
      <c r="H400" s="706"/>
      <c r="I400" s="704"/>
      <c r="J400" s="704"/>
      <c r="K400" s="704"/>
      <c r="L400" s="704"/>
      <c r="M400" s="704"/>
      <c r="N400" s="704"/>
      <c r="O400" s="664"/>
      <c r="P400" s="619"/>
      <c r="Q400" s="619"/>
      <c r="R400" s="619"/>
    </row>
    <row r="401" spans="1:18" ht="15.6" x14ac:dyDescent="0.3">
      <c r="A401" s="700"/>
      <c r="B401" s="700"/>
      <c r="C401" s="700"/>
      <c r="D401" s="701"/>
      <c r="E401" s="700"/>
      <c r="F401" s="328"/>
      <c r="G401" s="700"/>
      <c r="H401" s="706"/>
      <c r="I401" s="704"/>
      <c r="J401" s="704"/>
      <c r="K401" s="704"/>
      <c r="L401" s="704"/>
      <c r="M401" s="704"/>
      <c r="N401" s="704"/>
      <c r="O401" s="664"/>
      <c r="P401" s="619"/>
      <c r="Q401" s="619"/>
      <c r="R401" s="619"/>
    </row>
    <row r="402" spans="1:18" ht="15.6" x14ac:dyDescent="0.3">
      <c r="A402" s="700"/>
      <c r="B402" s="700"/>
      <c r="C402" s="700"/>
      <c r="D402" s="701"/>
      <c r="E402" s="700"/>
      <c r="F402" s="328"/>
      <c r="G402" s="700"/>
      <c r="H402" s="706"/>
      <c r="I402" s="704"/>
      <c r="J402" s="704"/>
      <c r="K402" s="704"/>
      <c r="L402" s="704"/>
      <c r="M402" s="704"/>
      <c r="N402" s="704"/>
      <c r="O402" s="664"/>
      <c r="P402" s="619"/>
      <c r="Q402" s="619"/>
      <c r="R402" s="619"/>
    </row>
    <row r="403" spans="1:18" ht="15.6" x14ac:dyDescent="0.3">
      <c r="A403" s="700"/>
      <c r="B403" s="700"/>
      <c r="C403" s="700"/>
      <c r="D403" s="701"/>
      <c r="E403" s="700"/>
      <c r="F403" s="328"/>
      <c r="G403" s="700"/>
      <c r="H403" s="706"/>
      <c r="I403" s="704"/>
      <c r="J403" s="704"/>
      <c r="K403" s="704"/>
      <c r="L403" s="704"/>
      <c r="M403" s="704"/>
      <c r="N403" s="704"/>
      <c r="O403" s="664"/>
      <c r="P403" s="619"/>
      <c r="Q403" s="619"/>
      <c r="R403" s="619"/>
    </row>
    <row r="404" spans="1:18" ht="15.6" x14ac:dyDescent="0.3">
      <c r="A404" s="700"/>
      <c r="B404" s="700"/>
      <c r="C404" s="700"/>
      <c r="D404" s="701"/>
      <c r="E404" s="700"/>
      <c r="F404" s="328"/>
      <c r="G404" s="700"/>
      <c r="H404" s="706"/>
      <c r="I404" s="704"/>
      <c r="J404" s="704"/>
      <c r="K404" s="704"/>
      <c r="L404" s="704"/>
      <c r="M404" s="704"/>
      <c r="N404" s="704"/>
      <c r="O404" s="664"/>
      <c r="P404" s="619"/>
      <c r="Q404" s="619"/>
      <c r="R404" s="619"/>
    </row>
    <row r="405" spans="1:18" ht="15.6" x14ac:dyDescent="0.3">
      <c r="A405" s="700"/>
      <c r="B405" s="700"/>
      <c r="C405" s="700"/>
      <c r="D405" s="701"/>
      <c r="E405" s="700"/>
      <c r="F405" s="328"/>
      <c r="G405" s="700"/>
      <c r="H405" s="706"/>
      <c r="I405" s="704"/>
      <c r="J405" s="704"/>
      <c r="K405" s="704"/>
      <c r="L405" s="704"/>
      <c r="M405" s="704"/>
      <c r="N405" s="704"/>
      <c r="O405" s="664"/>
      <c r="P405" s="619"/>
      <c r="Q405" s="619"/>
      <c r="R405" s="619"/>
    </row>
    <row r="406" spans="1:18" ht="15.6" x14ac:dyDescent="0.3">
      <c r="A406" s="700"/>
      <c r="B406" s="700"/>
      <c r="C406" s="700"/>
      <c r="D406" s="701"/>
      <c r="E406" s="700"/>
      <c r="F406" s="328"/>
      <c r="G406" s="700"/>
      <c r="H406" s="706"/>
      <c r="I406" s="704"/>
      <c r="J406" s="704"/>
      <c r="K406" s="704"/>
      <c r="L406" s="704"/>
      <c r="M406" s="704"/>
      <c r="N406" s="704"/>
      <c r="O406" s="664"/>
      <c r="P406" s="619"/>
      <c r="Q406" s="619"/>
      <c r="R406" s="619"/>
    </row>
    <row r="407" spans="1:18" ht="15.6" x14ac:dyDescent="0.3">
      <c r="A407" s="700"/>
      <c r="B407" s="700"/>
      <c r="C407" s="700"/>
      <c r="D407" s="701"/>
      <c r="E407" s="700"/>
      <c r="F407" s="328"/>
      <c r="G407" s="700"/>
      <c r="H407" s="706"/>
      <c r="I407" s="704"/>
      <c r="J407" s="704"/>
      <c r="K407" s="704"/>
      <c r="L407" s="704"/>
      <c r="M407" s="704"/>
      <c r="N407" s="704"/>
      <c r="O407" s="664"/>
      <c r="P407" s="619"/>
      <c r="Q407" s="619"/>
      <c r="R407" s="619"/>
    </row>
    <row r="408" spans="1:18" ht="15.6" x14ac:dyDescent="0.3">
      <c r="A408" s="700"/>
      <c r="B408" s="700"/>
      <c r="C408" s="700"/>
      <c r="D408" s="701"/>
      <c r="E408" s="700"/>
      <c r="F408" s="328"/>
      <c r="G408" s="700"/>
      <c r="H408" s="706"/>
      <c r="I408" s="704"/>
      <c r="J408" s="704"/>
      <c r="K408" s="704"/>
      <c r="L408" s="704"/>
      <c r="M408" s="704"/>
      <c r="N408" s="704"/>
      <c r="O408" s="664"/>
      <c r="P408" s="619"/>
      <c r="Q408" s="619"/>
      <c r="R408" s="619"/>
    </row>
    <row r="409" spans="1:18" ht="15.6" x14ac:dyDescent="0.3">
      <c r="A409" s="700"/>
      <c r="B409" s="700"/>
      <c r="C409" s="700"/>
      <c r="D409" s="701"/>
      <c r="E409" s="700"/>
      <c r="F409" s="328"/>
      <c r="G409" s="700"/>
      <c r="H409" s="706"/>
      <c r="I409" s="704"/>
      <c r="J409" s="704"/>
      <c r="K409" s="704"/>
      <c r="L409" s="704"/>
      <c r="M409" s="704"/>
      <c r="N409" s="704"/>
      <c r="O409" s="664"/>
      <c r="P409" s="619"/>
      <c r="Q409" s="619"/>
      <c r="R409" s="619"/>
    </row>
    <row r="410" spans="1:18" ht="15.6" x14ac:dyDescent="0.3">
      <c r="A410" s="700"/>
      <c r="B410" s="700"/>
      <c r="C410" s="700"/>
      <c r="D410" s="701"/>
      <c r="E410" s="700"/>
      <c r="F410" s="328"/>
      <c r="G410" s="700"/>
      <c r="H410" s="706"/>
      <c r="I410" s="704"/>
      <c r="J410" s="704"/>
      <c r="K410" s="704"/>
      <c r="L410" s="704"/>
      <c r="M410" s="704"/>
      <c r="N410" s="704"/>
      <c r="O410" s="664"/>
      <c r="P410" s="619"/>
      <c r="Q410" s="619"/>
      <c r="R410" s="619"/>
    </row>
    <row r="411" spans="1:18" ht="15.6" x14ac:dyDescent="0.3">
      <c r="A411" s="700"/>
      <c r="B411" s="700"/>
      <c r="C411" s="700"/>
      <c r="D411" s="701"/>
      <c r="E411" s="700"/>
      <c r="F411" s="328"/>
      <c r="G411" s="700"/>
      <c r="H411" s="706"/>
      <c r="I411" s="704"/>
      <c r="J411" s="704"/>
      <c r="K411" s="704"/>
      <c r="L411" s="704"/>
      <c r="M411" s="704"/>
      <c r="N411" s="704"/>
      <c r="O411" s="664"/>
      <c r="P411" s="619"/>
      <c r="Q411" s="619"/>
      <c r="R411" s="619"/>
    </row>
    <row r="412" spans="1:18" ht="15.6" x14ac:dyDescent="0.3">
      <c r="A412" s="700"/>
      <c r="B412" s="700"/>
      <c r="C412" s="700"/>
      <c r="D412" s="701"/>
      <c r="E412" s="700"/>
      <c r="F412" s="328"/>
      <c r="G412" s="700"/>
      <c r="H412" s="706"/>
      <c r="I412" s="704"/>
      <c r="J412" s="704"/>
      <c r="K412" s="704"/>
      <c r="L412" s="704"/>
      <c r="M412" s="704"/>
      <c r="N412" s="704"/>
      <c r="O412" s="664"/>
      <c r="P412" s="619"/>
      <c r="Q412" s="619"/>
      <c r="R412" s="619"/>
    </row>
    <row r="413" spans="1:18" ht="15.6" x14ac:dyDescent="0.3">
      <c r="A413" s="700"/>
      <c r="B413" s="700"/>
      <c r="C413" s="700"/>
      <c r="D413" s="701"/>
      <c r="E413" s="700"/>
      <c r="F413" s="328"/>
      <c r="G413" s="700"/>
      <c r="H413" s="706"/>
      <c r="I413" s="704"/>
      <c r="J413" s="704"/>
      <c r="K413" s="704"/>
      <c r="L413" s="704"/>
      <c r="M413" s="704"/>
      <c r="N413" s="704"/>
      <c r="O413" s="664"/>
      <c r="P413" s="619"/>
      <c r="Q413" s="619"/>
      <c r="R413" s="619"/>
    </row>
    <row r="414" spans="1:18" ht="15.6" x14ac:dyDescent="0.3">
      <c r="A414" s="700"/>
      <c r="B414" s="700"/>
      <c r="C414" s="700"/>
      <c r="D414" s="701"/>
      <c r="E414" s="700"/>
      <c r="F414" s="328"/>
      <c r="G414" s="700"/>
      <c r="H414" s="706"/>
      <c r="I414" s="704"/>
      <c r="J414" s="704"/>
      <c r="K414" s="704"/>
      <c r="L414" s="704"/>
      <c r="M414" s="704"/>
      <c r="N414" s="704"/>
      <c r="O414" s="664"/>
      <c r="P414" s="619"/>
      <c r="Q414" s="619"/>
      <c r="R414" s="619"/>
    </row>
    <row r="415" spans="1:18" ht="15.6" x14ac:dyDescent="0.3">
      <c r="A415" s="700"/>
      <c r="B415" s="700"/>
      <c r="C415" s="700"/>
      <c r="D415" s="701"/>
      <c r="E415" s="700"/>
      <c r="F415" s="328"/>
      <c r="G415" s="700"/>
      <c r="H415" s="706"/>
      <c r="I415" s="704"/>
      <c r="J415" s="704"/>
      <c r="K415" s="704"/>
      <c r="L415" s="704"/>
      <c r="M415" s="704"/>
      <c r="N415" s="704"/>
      <c r="O415" s="664"/>
      <c r="P415" s="619"/>
      <c r="Q415" s="619"/>
      <c r="R415" s="619"/>
    </row>
    <row r="416" spans="1:18" ht="15.6" x14ac:dyDescent="0.3">
      <c r="A416" s="700"/>
      <c r="B416" s="700"/>
      <c r="C416" s="700"/>
      <c r="D416" s="701"/>
      <c r="E416" s="700"/>
      <c r="F416" s="328"/>
      <c r="G416" s="700"/>
      <c r="H416" s="706"/>
      <c r="I416" s="704"/>
      <c r="J416" s="704"/>
      <c r="K416" s="704"/>
      <c r="L416" s="704"/>
      <c r="M416" s="704"/>
      <c r="N416" s="704"/>
      <c r="O416" s="664"/>
      <c r="P416" s="619"/>
      <c r="Q416" s="619"/>
      <c r="R416" s="619"/>
    </row>
    <row r="417" spans="1:18" ht="15.6" x14ac:dyDescent="0.3">
      <c r="A417" s="700"/>
      <c r="B417" s="700"/>
      <c r="C417" s="700"/>
      <c r="D417" s="701"/>
      <c r="E417" s="700"/>
      <c r="F417" s="328"/>
      <c r="G417" s="700"/>
      <c r="H417" s="706"/>
      <c r="I417" s="704"/>
      <c r="J417" s="704"/>
      <c r="K417" s="704"/>
      <c r="L417" s="704"/>
      <c r="M417" s="704"/>
      <c r="N417" s="704"/>
      <c r="O417" s="664"/>
      <c r="P417" s="619"/>
      <c r="Q417" s="619"/>
      <c r="R417" s="619"/>
    </row>
    <row r="418" spans="1:18" ht="15.6" x14ac:dyDescent="0.3">
      <c r="A418" s="700"/>
      <c r="B418" s="700"/>
      <c r="C418" s="700"/>
      <c r="D418" s="701"/>
      <c r="E418" s="700"/>
      <c r="F418" s="328"/>
      <c r="G418" s="700"/>
      <c r="H418" s="706"/>
      <c r="I418" s="704"/>
      <c r="J418" s="704"/>
      <c r="K418" s="704"/>
      <c r="L418" s="704"/>
      <c r="M418" s="704"/>
      <c r="N418" s="704"/>
      <c r="O418" s="664"/>
      <c r="P418" s="619"/>
      <c r="Q418" s="619"/>
      <c r="R418" s="619"/>
    </row>
    <row r="419" spans="1:18" ht="15.6" x14ac:dyDescent="0.3">
      <c r="A419" s="700"/>
      <c r="B419" s="700"/>
      <c r="C419" s="700"/>
      <c r="D419" s="701"/>
      <c r="E419" s="700"/>
      <c r="F419" s="328"/>
      <c r="G419" s="700"/>
      <c r="H419" s="706"/>
      <c r="I419" s="704"/>
      <c r="J419" s="704"/>
      <c r="K419" s="704"/>
      <c r="L419" s="704"/>
      <c r="M419" s="704"/>
      <c r="N419" s="704"/>
      <c r="O419" s="664"/>
      <c r="P419" s="619"/>
      <c r="Q419" s="619"/>
      <c r="R419" s="619"/>
    </row>
    <row r="420" spans="1:18" ht="15.6" x14ac:dyDescent="0.3">
      <c r="A420" s="700"/>
      <c r="B420" s="700"/>
      <c r="C420" s="700"/>
      <c r="D420" s="701"/>
      <c r="E420" s="700"/>
      <c r="F420" s="328"/>
      <c r="G420" s="700"/>
      <c r="H420" s="706"/>
      <c r="I420" s="704"/>
      <c r="J420" s="704"/>
      <c r="K420" s="704"/>
      <c r="L420" s="704"/>
      <c r="M420" s="704"/>
      <c r="N420" s="704"/>
      <c r="O420" s="664"/>
      <c r="P420" s="619"/>
      <c r="Q420" s="619"/>
      <c r="R420" s="619"/>
    </row>
    <row r="421" spans="1:18" ht="15.6" x14ac:dyDescent="0.3">
      <c r="A421" s="700"/>
      <c r="B421" s="700"/>
      <c r="C421" s="700"/>
      <c r="D421" s="701"/>
      <c r="E421" s="700"/>
      <c r="F421" s="328"/>
      <c r="G421" s="700"/>
      <c r="H421" s="706"/>
      <c r="I421" s="704"/>
      <c r="J421" s="704"/>
      <c r="K421" s="704"/>
      <c r="L421" s="704"/>
      <c r="M421" s="704"/>
      <c r="N421" s="704"/>
      <c r="O421" s="664"/>
      <c r="P421" s="619"/>
      <c r="Q421" s="619"/>
      <c r="R421" s="619"/>
    </row>
    <row r="422" spans="1:18" ht="15.6" x14ac:dyDescent="0.3">
      <c r="A422" s="700"/>
      <c r="B422" s="700"/>
      <c r="C422" s="700"/>
      <c r="D422" s="701"/>
      <c r="E422" s="700"/>
      <c r="F422" s="328"/>
      <c r="G422" s="700"/>
      <c r="H422" s="706"/>
      <c r="I422" s="704"/>
      <c r="J422" s="704"/>
      <c r="K422" s="704"/>
      <c r="L422" s="704"/>
      <c r="M422" s="704"/>
      <c r="N422" s="704"/>
      <c r="O422" s="664"/>
      <c r="P422" s="619"/>
      <c r="Q422" s="619"/>
      <c r="R422" s="619"/>
    </row>
    <row r="423" spans="1:18" ht="15.6" x14ac:dyDescent="0.3">
      <c r="A423" s="700"/>
      <c r="B423" s="700"/>
      <c r="C423" s="700"/>
      <c r="D423" s="701"/>
      <c r="E423" s="700"/>
      <c r="F423" s="328"/>
      <c r="G423" s="700"/>
      <c r="H423" s="706"/>
      <c r="I423" s="704"/>
      <c r="J423" s="704"/>
      <c r="K423" s="704"/>
      <c r="L423" s="704"/>
      <c r="M423" s="704"/>
      <c r="N423" s="704"/>
      <c r="O423" s="664"/>
      <c r="P423" s="619"/>
      <c r="Q423" s="619"/>
      <c r="R423" s="619"/>
    </row>
    <row r="424" spans="1:18" ht="15.6" x14ac:dyDescent="0.3">
      <c r="A424" s="700"/>
      <c r="B424" s="700"/>
      <c r="C424" s="700"/>
      <c r="D424" s="701"/>
      <c r="E424" s="700"/>
      <c r="F424" s="328"/>
      <c r="G424" s="700"/>
      <c r="H424" s="706"/>
      <c r="I424" s="704"/>
      <c r="J424" s="704"/>
      <c r="K424" s="704"/>
      <c r="L424" s="704"/>
      <c r="M424" s="704"/>
      <c r="N424" s="704"/>
      <c r="O424" s="664"/>
      <c r="P424" s="619"/>
      <c r="Q424" s="619"/>
      <c r="R424" s="619"/>
    </row>
    <row r="425" spans="1:18" ht="15.6" x14ac:dyDescent="0.3">
      <c r="A425" s="700"/>
      <c r="B425" s="700"/>
      <c r="C425" s="700"/>
      <c r="D425" s="701"/>
      <c r="E425" s="700"/>
      <c r="F425" s="328"/>
      <c r="G425" s="700"/>
      <c r="H425" s="706"/>
      <c r="I425" s="704"/>
      <c r="J425" s="704"/>
      <c r="K425" s="704"/>
      <c r="L425" s="704"/>
      <c r="M425" s="704"/>
      <c r="N425" s="704"/>
      <c r="O425" s="664"/>
      <c r="P425" s="619"/>
      <c r="Q425" s="619"/>
      <c r="R425" s="619"/>
    </row>
    <row r="426" spans="1:18" ht="15.6" x14ac:dyDescent="0.3">
      <c r="A426" s="700"/>
      <c r="B426" s="700"/>
      <c r="C426" s="700"/>
      <c r="D426" s="701"/>
      <c r="E426" s="700"/>
      <c r="F426" s="328"/>
      <c r="G426" s="700"/>
      <c r="H426" s="706"/>
      <c r="I426" s="704"/>
      <c r="J426" s="704"/>
      <c r="K426" s="704"/>
      <c r="L426" s="704"/>
      <c r="M426" s="704"/>
      <c r="N426" s="704"/>
      <c r="O426" s="664"/>
      <c r="P426" s="619"/>
      <c r="Q426" s="619"/>
      <c r="R426" s="619"/>
    </row>
    <row r="427" spans="1:18" ht="15.6" x14ac:dyDescent="0.3">
      <c r="A427" s="752"/>
      <c r="B427" s="752"/>
      <c r="C427" s="752"/>
      <c r="D427" s="753"/>
      <c r="E427" s="752"/>
      <c r="F427" s="338"/>
      <c r="G427" s="752"/>
      <c r="H427" s="754"/>
      <c r="I427" s="755"/>
      <c r="J427" s="755"/>
      <c r="K427" s="755"/>
      <c r="L427" s="755"/>
      <c r="M427" s="755"/>
      <c r="N427" s="755"/>
      <c r="O427" s="756"/>
      <c r="P427" s="619"/>
      <c r="Q427" s="619"/>
      <c r="R427" s="619"/>
    </row>
    <row r="428" spans="1:18" ht="15.6" x14ac:dyDescent="0.3">
      <c r="A428" s="752"/>
      <c r="B428" s="752"/>
      <c r="C428" s="752"/>
      <c r="D428" s="753"/>
      <c r="E428" s="752"/>
      <c r="F428" s="338"/>
      <c r="G428" s="752"/>
      <c r="H428" s="754"/>
      <c r="I428" s="755"/>
      <c r="J428" s="755"/>
      <c r="K428" s="755"/>
      <c r="L428" s="755"/>
      <c r="M428" s="755"/>
      <c r="N428" s="755"/>
      <c r="O428" s="756"/>
      <c r="P428" s="619"/>
      <c r="Q428" s="619"/>
      <c r="R428" s="619"/>
    </row>
    <row r="429" spans="1:18" ht="15.6" x14ac:dyDescent="0.3">
      <c r="A429" s="752"/>
      <c r="B429" s="752"/>
      <c r="C429" s="752"/>
      <c r="D429" s="753"/>
      <c r="E429" s="752"/>
      <c r="F429" s="338"/>
      <c r="G429" s="752"/>
      <c r="H429" s="754"/>
      <c r="I429" s="755"/>
      <c r="J429" s="755"/>
      <c r="K429" s="755"/>
      <c r="L429" s="755"/>
      <c r="M429" s="755"/>
      <c r="N429" s="755"/>
      <c r="O429" s="756"/>
      <c r="P429" s="619"/>
      <c r="Q429" s="619"/>
      <c r="R429" s="619"/>
    </row>
    <row r="430" spans="1:18" ht="15.6" x14ac:dyDescent="0.3">
      <c r="A430" s="752"/>
      <c r="B430" s="752"/>
      <c r="C430" s="752"/>
      <c r="D430" s="753"/>
      <c r="E430" s="752"/>
      <c r="F430" s="338"/>
      <c r="G430" s="752"/>
      <c r="H430" s="754"/>
      <c r="I430" s="755"/>
      <c r="J430" s="755"/>
      <c r="K430" s="755"/>
      <c r="L430" s="755"/>
      <c r="M430" s="755"/>
      <c r="N430" s="755"/>
      <c r="O430" s="756"/>
      <c r="P430" s="619"/>
      <c r="Q430" s="619"/>
      <c r="R430" s="619"/>
    </row>
    <row r="431" spans="1:18" ht="15.6" x14ac:dyDescent="0.3">
      <c r="A431" s="752"/>
      <c r="B431" s="752"/>
      <c r="C431" s="752"/>
      <c r="D431" s="753"/>
      <c r="E431" s="752"/>
      <c r="F431" s="338"/>
      <c r="G431" s="752"/>
      <c r="H431" s="754"/>
      <c r="I431" s="755"/>
      <c r="J431" s="755"/>
      <c r="K431" s="755"/>
      <c r="L431" s="755"/>
      <c r="M431" s="755"/>
      <c r="N431" s="755"/>
      <c r="O431" s="756"/>
      <c r="P431" s="619"/>
      <c r="Q431" s="619"/>
      <c r="R431" s="619"/>
    </row>
    <row r="432" spans="1:18" ht="15.6" x14ac:dyDescent="0.3">
      <c r="A432" s="752"/>
      <c r="B432" s="752"/>
      <c r="C432" s="752"/>
      <c r="D432" s="753"/>
      <c r="E432" s="752"/>
      <c r="F432" s="338"/>
      <c r="G432" s="752"/>
      <c r="H432" s="754"/>
      <c r="I432" s="755"/>
      <c r="J432" s="755"/>
      <c r="K432" s="755"/>
      <c r="L432" s="755"/>
      <c r="M432" s="755"/>
      <c r="N432" s="755"/>
      <c r="O432" s="756"/>
      <c r="P432" s="619"/>
      <c r="Q432" s="619"/>
      <c r="R432" s="619"/>
    </row>
    <row r="433" spans="1:18" ht="15.6" x14ac:dyDescent="0.3">
      <c r="A433" s="752"/>
      <c r="B433" s="752"/>
      <c r="C433" s="752"/>
      <c r="D433" s="753"/>
      <c r="E433" s="752"/>
      <c r="F433" s="338"/>
      <c r="G433" s="752"/>
      <c r="H433" s="754"/>
      <c r="I433" s="755"/>
      <c r="J433" s="755"/>
      <c r="K433" s="755"/>
      <c r="L433" s="755"/>
      <c r="M433" s="755"/>
      <c r="N433" s="755"/>
      <c r="O433" s="756"/>
      <c r="P433" s="619"/>
      <c r="Q433" s="619"/>
      <c r="R433" s="619"/>
    </row>
    <row r="434" spans="1:18" ht="15.6" x14ac:dyDescent="0.3">
      <c r="A434" s="752"/>
      <c r="B434" s="752"/>
      <c r="C434" s="752"/>
      <c r="D434" s="753"/>
      <c r="E434" s="752"/>
      <c r="F434" s="338"/>
      <c r="G434" s="752"/>
      <c r="H434" s="754"/>
      <c r="I434" s="755"/>
      <c r="J434" s="755"/>
      <c r="K434" s="755"/>
      <c r="L434" s="755"/>
      <c r="M434" s="755"/>
      <c r="N434" s="755"/>
      <c r="O434" s="756"/>
      <c r="P434" s="619"/>
      <c r="Q434" s="619"/>
      <c r="R434" s="619"/>
    </row>
    <row r="435" spans="1:18" ht="15.6" x14ac:dyDescent="0.3">
      <c r="A435" s="752"/>
      <c r="B435" s="752"/>
      <c r="C435" s="752"/>
      <c r="D435" s="753"/>
      <c r="E435" s="752"/>
      <c r="F435" s="338"/>
      <c r="G435" s="752"/>
      <c r="H435" s="754"/>
      <c r="I435" s="755"/>
      <c r="J435" s="755"/>
      <c r="K435" s="755"/>
      <c r="L435" s="755"/>
      <c r="M435" s="755"/>
      <c r="N435" s="755"/>
      <c r="O435" s="756"/>
      <c r="P435" s="619"/>
      <c r="Q435" s="619"/>
      <c r="R435" s="619"/>
    </row>
    <row r="436" spans="1:18" ht="15.6" x14ac:dyDescent="0.3">
      <c r="A436" s="752"/>
      <c r="B436" s="752"/>
      <c r="C436" s="752"/>
      <c r="D436" s="753"/>
      <c r="E436" s="752"/>
      <c r="F436" s="338"/>
      <c r="G436" s="752"/>
      <c r="H436" s="754"/>
      <c r="I436" s="755"/>
      <c r="J436" s="755"/>
      <c r="K436" s="755"/>
      <c r="L436" s="755"/>
      <c r="M436" s="755"/>
      <c r="N436" s="755"/>
      <c r="O436" s="756"/>
      <c r="P436" s="619"/>
      <c r="Q436" s="619"/>
      <c r="R436" s="619"/>
    </row>
    <row r="437" spans="1:18" ht="15.6" x14ac:dyDescent="0.3">
      <c r="A437" s="752"/>
      <c r="B437" s="752"/>
      <c r="C437" s="752"/>
      <c r="D437" s="753"/>
      <c r="E437" s="752"/>
      <c r="F437" s="338"/>
      <c r="G437" s="752"/>
      <c r="H437" s="754"/>
      <c r="I437" s="755"/>
      <c r="J437" s="755"/>
      <c r="K437" s="755"/>
      <c r="L437" s="755"/>
      <c r="M437" s="755"/>
      <c r="N437" s="755"/>
      <c r="O437" s="756"/>
      <c r="P437" s="619"/>
      <c r="Q437" s="619"/>
      <c r="R437" s="619"/>
    </row>
    <row r="438" spans="1:18" ht="15.6" x14ac:dyDescent="0.3">
      <c r="A438" s="752"/>
      <c r="B438" s="752"/>
      <c r="C438" s="752"/>
      <c r="D438" s="753"/>
      <c r="E438" s="752"/>
      <c r="F438" s="338"/>
      <c r="G438" s="752"/>
      <c r="H438" s="754"/>
      <c r="I438" s="755"/>
      <c r="J438" s="755"/>
      <c r="K438" s="755"/>
      <c r="L438" s="755"/>
      <c r="M438" s="755"/>
      <c r="N438" s="755"/>
      <c r="O438" s="756"/>
      <c r="P438" s="619"/>
      <c r="Q438" s="619"/>
      <c r="R438" s="619"/>
    </row>
    <row r="439" spans="1:18" ht="15.6" x14ac:dyDescent="0.3">
      <c r="A439" s="752"/>
      <c r="B439" s="752"/>
      <c r="C439" s="752"/>
      <c r="D439" s="753"/>
      <c r="E439" s="752"/>
      <c r="F439" s="338"/>
      <c r="G439" s="752"/>
      <c r="H439" s="754"/>
      <c r="I439" s="755"/>
      <c r="J439" s="755"/>
      <c r="K439" s="755"/>
      <c r="L439" s="755"/>
      <c r="M439" s="755"/>
      <c r="N439" s="755"/>
      <c r="O439" s="756"/>
      <c r="P439" s="619"/>
      <c r="Q439" s="619"/>
      <c r="R439" s="619"/>
    </row>
    <row r="440" spans="1:18" ht="15.6" x14ac:dyDescent="0.3">
      <c r="A440" s="752"/>
      <c r="B440" s="752"/>
      <c r="C440" s="752"/>
      <c r="D440" s="753"/>
      <c r="E440" s="752"/>
      <c r="F440" s="338"/>
      <c r="G440" s="752"/>
      <c r="H440" s="754"/>
      <c r="I440" s="755"/>
      <c r="J440" s="755"/>
      <c r="K440" s="755"/>
      <c r="L440" s="755"/>
      <c r="M440" s="755"/>
      <c r="N440" s="755"/>
      <c r="O440" s="756"/>
      <c r="P440" s="619"/>
      <c r="Q440" s="619"/>
      <c r="R440" s="619"/>
    </row>
    <row r="441" spans="1:18" ht="15.6" x14ac:dyDescent="0.3">
      <c r="A441" s="752"/>
      <c r="B441" s="752"/>
      <c r="C441" s="752"/>
      <c r="D441" s="753"/>
      <c r="E441" s="752"/>
      <c r="F441" s="338"/>
      <c r="G441" s="752"/>
      <c r="H441" s="754"/>
      <c r="I441" s="755"/>
      <c r="J441" s="755"/>
      <c r="K441" s="755"/>
      <c r="L441" s="755"/>
      <c r="M441" s="755"/>
      <c r="N441" s="755"/>
      <c r="O441" s="756"/>
      <c r="P441" s="619"/>
      <c r="Q441" s="619"/>
      <c r="R441" s="619"/>
    </row>
    <row r="442" spans="1:18" ht="15.6" x14ac:dyDescent="0.3">
      <c r="A442" s="752"/>
      <c r="B442" s="752"/>
      <c r="C442" s="752"/>
      <c r="D442" s="753"/>
      <c r="E442" s="752"/>
      <c r="F442" s="338"/>
      <c r="G442" s="752"/>
      <c r="H442" s="754"/>
      <c r="I442" s="755"/>
      <c r="J442" s="755"/>
      <c r="K442" s="755"/>
      <c r="L442" s="755"/>
      <c r="M442" s="755"/>
      <c r="N442" s="755"/>
      <c r="O442" s="756"/>
      <c r="P442" s="619"/>
      <c r="Q442" s="619"/>
      <c r="R442" s="619"/>
    </row>
    <row r="443" spans="1:18" ht="15.6" x14ac:dyDescent="0.3">
      <c r="A443" s="752"/>
      <c r="B443" s="752"/>
      <c r="C443" s="752"/>
      <c r="D443" s="753"/>
      <c r="E443" s="752"/>
      <c r="F443" s="338"/>
      <c r="G443" s="752"/>
      <c r="H443" s="754"/>
      <c r="I443" s="755"/>
      <c r="J443" s="755"/>
      <c r="K443" s="755"/>
      <c r="L443" s="755"/>
      <c r="M443" s="755"/>
      <c r="N443" s="755"/>
      <c r="O443" s="756"/>
      <c r="P443" s="619"/>
      <c r="Q443" s="619"/>
      <c r="R443" s="619"/>
    </row>
    <row r="444" spans="1:18" ht="15.6" x14ac:dyDescent="0.3">
      <c r="A444" s="752"/>
      <c r="B444" s="752"/>
      <c r="C444" s="752"/>
      <c r="D444" s="753"/>
      <c r="E444" s="752"/>
      <c r="F444" s="338"/>
      <c r="G444" s="752"/>
      <c r="H444" s="754"/>
      <c r="I444" s="755"/>
      <c r="J444" s="755"/>
      <c r="K444" s="755"/>
      <c r="L444" s="755"/>
      <c r="M444" s="755"/>
      <c r="N444" s="755"/>
      <c r="O444" s="756"/>
      <c r="P444" s="619"/>
      <c r="Q444" s="619"/>
      <c r="R444" s="619"/>
    </row>
    <row r="445" spans="1:18" ht="15.6" x14ac:dyDescent="0.3">
      <c r="A445" s="752"/>
      <c r="B445" s="752"/>
      <c r="C445" s="752"/>
      <c r="D445" s="753"/>
      <c r="E445" s="752"/>
      <c r="F445" s="338"/>
      <c r="G445" s="752"/>
      <c r="H445" s="754"/>
      <c r="I445" s="755"/>
      <c r="J445" s="755"/>
      <c r="K445" s="755"/>
      <c r="L445" s="755"/>
      <c r="M445" s="755"/>
      <c r="N445" s="755"/>
      <c r="O445" s="756"/>
      <c r="P445" s="619"/>
      <c r="Q445" s="619"/>
      <c r="R445" s="619"/>
    </row>
    <row r="446" spans="1:18" ht="15.6" x14ac:dyDescent="0.3">
      <c r="A446" s="752"/>
      <c r="B446" s="752"/>
      <c r="C446" s="752"/>
      <c r="D446" s="753"/>
      <c r="E446" s="752"/>
      <c r="F446" s="338"/>
      <c r="G446" s="752"/>
      <c r="H446" s="754"/>
      <c r="I446" s="755"/>
      <c r="J446" s="755"/>
      <c r="K446" s="755"/>
      <c r="L446" s="755"/>
      <c r="M446" s="755"/>
      <c r="N446" s="755"/>
      <c r="O446" s="756"/>
      <c r="P446" s="619"/>
      <c r="Q446" s="619"/>
      <c r="R446" s="619"/>
    </row>
    <row r="447" spans="1:18" ht="15.6" x14ac:dyDescent="0.3">
      <c r="A447" s="752"/>
      <c r="B447" s="752"/>
      <c r="C447" s="752"/>
      <c r="D447" s="753"/>
      <c r="E447" s="752"/>
      <c r="F447" s="338"/>
      <c r="G447" s="752"/>
      <c r="H447" s="754"/>
      <c r="I447" s="755"/>
      <c r="J447" s="755"/>
      <c r="K447" s="755"/>
      <c r="L447" s="755"/>
      <c r="M447" s="755"/>
      <c r="N447" s="755"/>
      <c r="O447" s="756"/>
      <c r="P447" s="619"/>
      <c r="Q447" s="619"/>
      <c r="R447" s="619"/>
    </row>
    <row r="448" spans="1:18" ht="15.6" x14ac:dyDescent="0.3">
      <c r="A448" s="752"/>
      <c r="B448" s="752"/>
      <c r="C448" s="752"/>
      <c r="D448" s="753"/>
      <c r="E448" s="752"/>
      <c r="F448" s="338"/>
      <c r="G448" s="752"/>
      <c r="H448" s="754"/>
      <c r="I448" s="755"/>
      <c r="J448" s="755"/>
      <c r="K448" s="755"/>
      <c r="L448" s="755"/>
      <c r="M448" s="755"/>
      <c r="N448" s="755"/>
      <c r="O448" s="756"/>
      <c r="P448" s="619"/>
      <c r="Q448" s="619"/>
      <c r="R448" s="619"/>
    </row>
    <row r="449" spans="1:18" ht="15.6" x14ac:dyDescent="0.3">
      <c r="A449" s="752"/>
      <c r="B449" s="752"/>
      <c r="C449" s="752"/>
      <c r="D449" s="753"/>
      <c r="E449" s="752"/>
      <c r="F449" s="338"/>
      <c r="G449" s="752"/>
      <c r="H449" s="754"/>
      <c r="I449" s="755"/>
      <c r="J449" s="755"/>
      <c r="K449" s="755"/>
      <c r="L449" s="755"/>
      <c r="M449" s="755"/>
      <c r="N449" s="755"/>
      <c r="O449" s="756"/>
      <c r="P449" s="619"/>
      <c r="Q449" s="619"/>
      <c r="R449" s="619"/>
    </row>
    <row r="450" spans="1:18" ht="15.6" x14ac:dyDescent="0.3">
      <c r="A450" s="752"/>
      <c r="B450" s="752"/>
      <c r="C450" s="752"/>
      <c r="D450" s="753"/>
      <c r="E450" s="752"/>
      <c r="F450" s="338"/>
      <c r="G450" s="752"/>
      <c r="H450" s="754"/>
      <c r="I450" s="755"/>
      <c r="J450" s="755"/>
      <c r="K450" s="755"/>
      <c r="L450" s="755"/>
      <c r="M450" s="755"/>
      <c r="N450" s="755"/>
      <c r="O450" s="756"/>
      <c r="P450" s="619"/>
      <c r="Q450" s="619"/>
      <c r="R450" s="619"/>
    </row>
    <row r="451" spans="1:18" ht="15.6" x14ac:dyDescent="0.3">
      <c r="A451" s="752"/>
      <c r="B451" s="752"/>
      <c r="C451" s="752"/>
      <c r="D451" s="753"/>
      <c r="E451" s="752"/>
      <c r="F451" s="338"/>
      <c r="G451" s="752"/>
      <c r="H451" s="754"/>
      <c r="I451" s="755"/>
      <c r="J451" s="755"/>
      <c r="K451" s="755"/>
      <c r="L451" s="755"/>
      <c r="M451" s="755"/>
      <c r="N451" s="755"/>
      <c r="O451" s="756"/>
      <c r="P451" s="619"/>
      <c r="Q451" s="619"/>
      <c r="R451" s="619"/>
    </row>
    <row r="452" spans="1:18" ht="15.6" x14ac:dyDescent="0.3">
      <c r="A452" s="752"/>
      <c r="B452" s="752"/>
      <c r="C452" s="752"/>
      <c r="D452" s="753"/>
      <c r="E452" s="752"/>
      <c r="F452" s="338"/>
      <c r="G452" s="752"/>
      <c r="H452" s="754"/>
      <c r="I452" s="755"/>
      <c r="J452" s="755"/>
      <c r="K452" s="755"/>
      <c r="L452" s="755"/>
      <c r="M452" s="755"/>
      <c r="N452" s="755"/>
      <c r="O452" s="756"/>
      <c r="P452" s="619"/>
      <c r="Q452" s="619"/>
      <c r="R452" s="619"/>
    </row>
    <row r="453" spans="1:18" ht="15.6" x14ac:dyDescent="0.3">
      <c r="A453" s="752"/>
      <c r="B453" s="752"/>
      <c r="C453" s="752"/>
      <c r="D453" s="753"/>
      <c r="E453" s="752"/>
      <c r="F453" s="338"/>
      <c r="G453" s="752"/>
      <c r="H453" s="754"/>
      <c r="I453" s="755"/>
      <c r="J453" s="755"/>
      <c r="K453" s="755"/>
      <c r="L453" s="755"/>
      <c r="M453" s="755"/>
      <c r="N453" s="755"/>
      <c r="O453" s="756"/>
      <c r="P453" s="619"/>
      <c r="Q453" s="619"/>
      <c r="R453" s="619"/>
    </row>
    <row r="454" spans="1:18" ht="15.6" x14ac:dyDescent="0.3">
      <c r="A454" s="752"/>
      <c r="B454" s="752"/>
      <c r="C454" s="752"/>
      <c r="D454" s="753"/>
      <c r="E454" s="752"/>
      <c r="F454" s="338"/>
      <c r="G454" s="752"/>
      <c r="H454" s="754"/>
      <c r="I454" s="755"/>
      <c r="J454" s="755"/>
      <c r="K454" s="755"/>
      <c r="L454" s="755"/>
      <c r="M454" s="755"/>
      <c r="N454" s="755"/>
      <c r="O454" s="756"/>
      <c r="P454" s="619"/>
      <c r="Q454" s="619"/>
      <c r="R454" s="619"/>
    </row>
    <row r="455" spans="1:18" ht="15.6" x14ac:dyDescent="0.3">
      <c r="A455" s="752"/>
      <c r="B455" s="752"/>
      <c r="C455" s="752"/>
      <c r="D455" s="753"/>
      <c r="E455" s="752"/>
      <c r="F455" s="338"/>
      <c r="G455" s="752"/>
      <c r="H455" s="754"/>
      <c r="I455" s="755"/>
      <c r="J455" s="755"/>
      <c r="K455" s="755"/>
      <c r="L455" s="755"/>
      <c r="M455" s="755"/>
      <c r="N455" s="755"/>
      <c r="O455" s="756"/>
      <c r="P455" s="619"/>
      <c r="Q455" s="619"/>
      <c r="R455" s="619"/>
    </row>
    <row r="456" spans="1:18" ht="15.6" x14ac:dyDescent="0.3">
      <c r="A456" s="752"/>
      <c r="B456" s="752"/>
      <c r="C456" s="752"/>
      <c r="D456" s="753"/>
      <c r="E456" s="752"/>
      <c r="F456" s="338"/>
      <c r="G456" s="752"/>
      <c r="H456" s="754"/>
      <c r="I456" s="755"/>
      <c r="J456" s="755"/>
      <c r="K456" s="755"/>
      <c r="L456" s="755"/>
      <c r="M456" s="755"/>
      <c r="N456" s="755"/>
      <c r="O456" s="756"/>
      <c r="P456" s="619"/>
      <c r="Q456" s="619"/>
      <c r="R456" s="619"/>
    </row>
    <row r="457" spans="1:18" ht="15.6" x14ac:dyDescent="0.3">
      <c r="A457" s="752"/>
      <c r="B457" s="752"/>
      <c r="C457" s="752"/>
      <c r="D457" s="753"/>
      <c r="E457" s="752"/>
      <c r="F457" s="338"/>
      <c r="G457" s="752"/>
      <c r="H457" s="754"/>
      <c r="I457" s="755"/>
      <c r="J457" s="755"/>
      <c r="K457" s="755"/>
      <c r="L457" s="755"/>
      <c r="M457" s="755"/>
      <c r="N457" s="755"/>
      <c r="O457" s="756"/>
      <c r="P457" s="619"/>
      <c r="Q457" s="619"/>
      <c r="R457" s="619"/>
    </row>
    <row r="458" spans="1:18" ht="15.6" x14ac:dyDescent="0.3">
      <c r="A458" s="752"/>
      <c r="B458" s="752"/>
      <c r="C458" s="752"/>
      <c r="D458" s="753"/>
      <c r="E458" s="752"/>
      <c r="F458" s="338"/>
      <c r="G458" s="752"/>
      <c r="H458" s="754"/>
      <c r="I458" s="755"/>
      <c r="J458" s="755"/>
      <c r="K458" s="755"/>
      <c r="L458" s="755"/>
      <c r="M458" s="755"/>
      <c r="N458" s="755"/>
      <c r="O458" s="756"/>
      <c r="P458" s="619"/>
      <c r="Q458" s="619"/>
      <c r="R458" s="619"/>
    </row>
    <row r="459" spans="1:18" ht="15.6" x14ac:dyDescent="0.3">
      <c r="A459" s="752"/>
      <c r="B459" s="752"/>
      <c r="C459" s="752"/>
      <c r="D459" s="753"/>
      <c r="E459" s="752"/>
      <c r="F459" s="338"/>
      <c r="G459" s="752"/>
      <c r="H459" s="754"/>
      <c r="I459" s="755"/>
      <c r="J459" s="755"/>
      <c r="K459" s="755"/>
      <c r="L459" s="755"/>
      <c r="M459" s="755"/>
      <c r="N459" s="755"/>
      <c r="O459" s="756"/>
      <c r="P459" s="619"/>
      <c r="Q459" s="619"/>
      <c r="R459" s="619"/>
    </row>
    <row r="460" spans="1:18" ht="15.6" x14ac:dyDescent="0.3">
      <c r="A460" s="752"/>
      <c r="B460" s="752"/>
      <c r="C460" s="752"/>
      <c r="D460" s="753"/>
      <c r="E460" s="752"/>
      <c r="F460" s="338"/>
      <c r="G460" s="752"/>
      <c r="H460" s="754"/>
      <c r="I460" s="755"/>
      <c r="J460" s="755"/>
      <c r="K460" s="755"/>
      <c r="L460" s="755"/>
      <c r="M460" s="755"/>
      <c r="N460" s="755"/>
      <c r="O460" s="756"/>
      <c r="P460" s="619"/>
      <c r="Q460" s="619"/>
      <c r="R460" s="619"/>
    </row>
    <row r="461" spans="1:18" ht="15.6" x14ac:dyDescent="0.3">
      <c r="A461" s="752"/>
      <c r="B461" s="752"/>
      <c r="C461" s="752"/>
      <c r="D461" s="753"/>
      <c r="E461" s="752"/>
      <c r="F461" s="338"/>
      <c r="G461" s="752"/>
      <c r="H461" s="754"/>
      <c r="I461" s="755"/>
      <c r="J461" s="755"/>
      <c r="K461" s="755"/>
      <c r="L461" s="755"/>
      <c r="M461" s="755"/>
      <c r="N461" s="755"/>
      <c r="O461" s="756"/>
      <c r="P461" s="619"/>
      <c r="Q461" s="619"/>
      <c r="R461" s="619"/>
    </row>
    <row r="462" spans="1:18" ht="15.6" x14ac:dyDescent="0.3">
      <c r="A462" s="752"/>
      <c r="B462" s="752"/>
      <c r="C462" s="752"/>
      <c r="D462" s="753"/>
      <c r="E462" s="752"/>
      <c r="F462" s="338"/>
      <c r="G462" s="752"/>
      <c r="H462" s="754"/>
      <c r="I462" s="755"/>
      <c r="J462" s="755"/>
      <c r="K462" s="755"/>
      <c r="L462" s="755"/>
      <c r="M462" s="755"/>
      <c r="N462" s="755"/>
      <c r="O462" s="756"/>
      <c r="P462" s="619"/>
      <c r="Q462" s="619"/>
      <c r="R462" s="619"/>
    </row>
    <row r="463" spans="1:18" ht="15.6" x14ac:dyDescent="0.3">
      <c r="A463" s="752"/>
      <c r="B463" s="752"/>
      <c r="C463" s="752"/>
      <c r="D463" s="753"/>
      <c r="E463" s="752"/>
      <c r="F463" s="338"/>
      <c r="G463" s="752"/>
      <c r="H463" s="754"/>
      <c r="I463" s="755"/>
      <c r="J463" s="755"/>
      <c r="K463" s="755"/>
      <c r="L463" s="755"/>
      <c r="M463" s="755"/>
      <c r="N463" s="755"/>
      <c r="O463" s="756"/>
      <c r="P463" s="619"/>
      <c r="Q463" s="619"/>
      <c r="R463" s="619"/>
    </row>
    <row r="464" spans="1:18" ht="15.6" x14ac:dyDescent="0.3">
      <c r="A464" s="752"/>
      <c r="B464" s="752"/>
      <c r="C464" s="752"/>
      <c r="D464" s="753"/>
      <c r="E464" s="752"/>
      <c r="F464" s="338"/>
      <c r="G464" s="752"/>
      <c r="H464" s="754"/>
      <c r="I464" s="755"/>
      <c r="J464" s="755"/>
      <c r="K464" s="755"/>
      <c r="L464" s="755"/>
      <c r="M464" s="755"/>
      <c r="N464" s="755"/>
      <c r="O464" s="756"/>
      <c r="P464" s="619"/>
      <c r="Q464" s="619"/>
      <c r="R464" s="619"/>
    </row>
    <row r="465" spans="1:18" ht="15.6" x14ac:dyDescent="0.3">
      <c r="A465" s="752"/>
      <c r="B465" s="752"/>
      <c r="C465" s="752"/>
      <c r="D465" s="753"/>
      <c r="E465" s="752"/>
      <c r="F465" s="338"/>
      <c r="G465" s="752"/>
      <c r="H465" s="754"/>
      <c r="I465" s="755"/>
      <c r="J465" s="755"/>
      <c r="K465" s="755"/>
      <c r="L465" s="755"/>
      <c r="M465" s="755"/>
      <c r="N465" s="755"/>
      <c r="O465" s="756"/>
      <c r="P465" s="619"/>
      <c r="Q465" s="619"/>
      <c r="R465" s="619"/>
    </row>
    <row r="466" spans="1:18" ht="15.6" x14ac:dyDescent="0.3">
      <c r="A466" s="752"/>
      <c r="B466" s="752"/>
      <c r="C466" s="752"/>
      <c r="D466" s="753"/>
      <c r="E466" s="752"/>
      <c r="F466" s="338"/>
      <c r="G466" s="752"/>
      <c r="H466" s="754"/>
      <c r="I466" s="755"/>
      <c r="J466" s="755"/>
      <c r="K466" s="755"/>
      <c r="L466" s="755"/>
      <c r="M466" s="755"/>
      <c r="N466" s="755"/>
      <c r="O466" s="756"/>
      <c r="P466" s="619"/>
      <c r="Q466" s="619"/>
      <c r="R466" s="619"/>
    </row>
    <row r="467" spans="1:18" ht="15.6" x14ac:dyDescent="0.3">
      <c r="A467" s="752"/>
      <c r="B467" s="752"/>
      <c r="C467" s="752"/>
      <c r="D467" s="753"/>
      <c r="E467" s="752"/>
      <c r="F467" s="338"/>
      <c r="G467" s="752"/>
      <c r="H467" s="754"/>
      <c r="I467" s="755"/>
      <c r="J467" s="755"/>
      <c r="K467" s="755"/>
      <c r="L467" s="755"/>
      <c r="M467" s="755"/>
      <c r="N467" s="755"/>
      <c r="O467" s="756"/>
      <c r="P467" s="619"/>
      <c r="Q467" s="619"/>
      <c r="R467" s="619"/>
    </row>
    <row r="468" spans="1:18" ht="15.6" x14ac:dyDescent="0.3">
      <c r="A468" s="752"/>
      <c r="B468" s="752"/>
      <c r="C468" s="752"/>
      <c r="D468" s="753"/>
      <c r="E468" s="752"/>
      <c r="F468" s="338"/>
      <c r="G468" s="752"/>
      <c r="H468" s="754"/>
      <c r="I468" s="755"/>
      <c r="J468" s="755"/>
      <c r="K468" s="755"/>
      <c r="L468" s="755"/>
      <c r="M468" s="755"/>
      <c r="N468" s="755"/>
      <c r="O468" s="756"/>
      <c r="P468" s="619"/>
      <c r="Q468" s="619"/>
      <c r="R468" s="619"/>
    </row>
    <row r="469" spans="1:18" ht="15.6" x14ac:dyDescent="0.3">
      <c r="A469" s="752"/>
      <c r="B469" s="752"/>
      <c r="C469" s="752"/>
      <c r="D469" s="753"/>
      <c r="E469" s="752"/>
      <c r="F469" s="338"/>
      <c r="G469" s="752"/>
      <c r="H469" s="754"/>
      <c r="I469" s="755"/>
      <c r="J469" s="755"/>
      <c r="K469" s="755"/>
      <c r="L469" s="755"/>
      <c r="M469" s="755"/>
      <c r="N469" s="755"/>
      <c r="O469" s="756"/>
      <c r="P469" s="619"/>
      <c r="Q469" s="619"/>
      <c r="R469" s="619"/>
    </row>
    <row r="470" spans="1:18" ht="15.6" x14ac:dyDescent="0.3">
      <c r="A470" s="752"/>
      <c r="B470" s="752"/>
      <c r="C470" s="752"/>
      <c r="D470" s="753"/>
      <c r="E470" s="752"/>
      <c r="F470" s="338"/>
      <c r="G470" s="752"/>
      <c r="H470" s="754"/>
      <c r="I470" s="755"/>
      <c r="J470" s="755"/>
      <c r="K470" s="755"/>
      <c r="L470" s="755"/>
      <c r="M470" s="755"/>
      <c r="N470" s="755"/>
      <c r="O470" s="756"/>
      <c r="P470" s="619"/>
      <c r="Q470" s="619"/>
      <c r="R470" s="619"/>
    </row>
    <row r="471" spans="1:18" ht="15.6" x14ac:dyDescent="0.3">
      <c r="A471" s="752"/>
      <c r="B471" s="752"/>
      <c r="C471" s="752"/>
      <c r="D471" s="753"/>
      <c r="E471" s="752"/>
      <c r="F471" s="338"/>
      <c r="G471" s="752"/>
      <c r="H471" s="754"/>
      <c r="I471" s="755"/>
      <c r="J471" s="755"/>
      <c r="K471" s="755"/>
      <c r="L471" s="755"/>
      <c r="M471" s="755"/>
      <c r="N471" s="755"/>
      <c r="O471" s="756"/>
      <c r="P471" s="619"/>
      <c r="Q471" s="619"/>
      <c r="R471" s="619"/>
    </row>
    <row r="472" spans="1:18" ht="15.6" x14ac:dyDescent="0.3">
      <c r="A472" s="752"/>
      <c r="B472" s="752"/>
      <c r="C472" s="752"/>
      <c r="D472" s="753"/>
      <c r="E472" s="752"/>
      <c r="F472" s="338"/>
      <c r="G472" s="752"/>
      <c r="H472" s="754"/>
      <c r="I472" s="755"/>
      <c r="J472" s="755"/>
      <c r="K472" s="755"/>
      <c r="L472" s="755"/>
      <c r="M472" s="755"/>
      <c r="N472" s="755"/>
      <c r="O472" s="756"/>
      <c r="P472" s="619"/>
      <c r="Q472" s="619"/>
      <c r="R472" s="619"/>
    </row>
    <row r="473" spans="1:18" ht="15.6" x14ac:dyDescent="0.25">
      <c r="F473" s="330"/>
      <c r="O473" s="756"/>
      <c r="P473" s="619"/>
      <c r="Q473" s="619"/>
      <c r="R473" s="619"/>
    </row>
    <row r="474" spans="1:18" ht="15.6" x14ac:dyDescent="0.25">
      <c r="F474" s="330"/>
      <c r="O474" s="756"/>
      <c r="P474" s="619"/>
      <c r="Q474" s="619"/>
      <c r="R474" s="619"/>
    </row>
    <row r="475" spans="1:18" ht="15.6" x14ac:dyDescent="0.25">
      <c r="F475" s="330"/>
      <c r="O475" s="756"/>
      <c r="P475" s="619"/>
      <c r="Q475" s="619"/>
      <c r="R475" s="619"/>
    </row>
    <row r="476" spans="1:18" ht="15.6" x14ac:dyDescent="0.25">
      <c r="F476" s="330"/>
      <c r="O476" s="756"/>
      <c r="P476" s="619"/>
      <c r="Q476" s="619"/>
      <c r="R476" s="619"/>
    </row>
    <row r="477" spans="1:18" ht="15.6" x14ac:dyDescent="0.25">
      <c r="F477" s="330"/>
      <c r="O477" s="756"/>
      <c r="P477" s="619"/>
      <c r="Q477" s="619"/>
      <c r="R477" s="619"/>
    </row>
    <row r="478" spans="1:18" ht="15.6" x14ac:dyDescent="0.25">
      <c r="F478" s="330"/>
      <c r="O478" s="756"/>
      <c r="P478" s="619"/>
      <c r="Q478" s="619"/>
      <c r="R478" s="619"/>
    </row>
    <row r="479" spans="1:18" ht="15.6" x14ac:dyDescent="0.25">
      <c r="F479" s="330"/>
      <c r="O479" s="756"/>
      <c r="P479" s="619"/>
      <c r="Q479" s="619"/>
      <c r="R479" s="619"/>
    </row>
    <row r="480" spans="1:18" ht="15.6" x14ac:dyDescent="0.25">
      <c r="F480" s="330"/>
      <c r="O480" s="756"/>
      <c r="P480" s="619"/>
      <c r="Q480" s="619"/>
      <c r="R480" s="619"/>
    </row>
    <row r="481" spans="1:18" ht="15.6" x14ac:dyDescent="0.25">
      <c r="F481" s="330"/>
      <c r="O481" s="756"/>
      <c r="P481" s="619"/>
      <c r="Q481" s="619"/>
      <c r="R481" s="619"/>
    </row>
    <row r="482" spans="1:18" ht="15.6" x14ac:dyDescent="0.25">
      <c r="F482" s="330"/>
      <c r="O482" s="756"/>
      <c r="P482" s="619"/>
      <c r="Q482" s="619"/>
      <c r="R482" s="619"/>
    </row>
    <row r="483" spans="1:18" ht="15.6" x14ac:dyDescent="0.25">
      <c r="F483" s="330"/>
      <c r="O483" s="756"/>
      <c r="P483" s="619"/>
      <c r="Q483" s="619"/>
      <c r="R483" s="619"/>
    </row>
    <row r="484" spans="1:18" ht="15.6" x14ac:dyDescent="0.25">
      <c r="F484" s="330"/>
      <c r="O484" s="756"/>
      <c r="P484" s="619"/>
      <c r="Q484" s="619"/>
      <c r="R484" s="619"/>
    </row>
    <row r="485" spans="1:18" ht="15.6" x14ac:dyDescent="0.25">
      <c r="F485" s="330"/>
      <c r="O485" s="756"/>
      <c r="P485" s="619"/>
      <c r="Q485" s="619"/>
      <c r="R485" s="619"/>
    </row>
    <row r="486" spans="1:18" ht="15.6" x14ac:dyDescent="0.25">
      <c r="A486" s="619"/>
      <c r="B486" s="619"/>
      <c r="C486" s="619"/>
      <c r="D486" s="619"/>
      <c r="E486" s="619"/>
      <c r="F486" s="330"/>
      <c r="O486" s="756"/>
      <c r="P486" s="619"/>
      <c r="Q486" s="619"/>
      <c r="R486" s="619"/>
    </row>
    <row r="487" spans="1:18" ht="15.6" x14ac:dyDescent="0.25">
      <c r="A487" s="619"/>
      <c r="B487" s="619"/>
      <c r="C487" s="619"/>
      <c r="D487" s="619"/>
      <c r="E487" s="619"/>
      <c r="F487" s="330"/>
      <c r="O487" s="756"/>
      <c r="P487" s="619"/>
      <c r="Q487" s="619"/>
      <c r="R487" s="619"/>
    </row>
    <row r="488" spans="1:18" ht="15.6" x14ac:dyDescent="0.25">
      <c r="A488" s="619"/>
      <c r="B488" s="619"/>
      <c r="C488" s="619"/>
      <c r="D488" s="619"/>
      <c r="E488" s="619"/>
      <c r="F488" s="330"/>
      <c r="O488" s="756"/>
      <c r="P488" s="619"/>
      <c r="Q488" s="619"/>
      <c r="R488" s="619"/>
    </row>
    <row r="489" spans="1:18" ht="15.6" x14ac:dyDescent="0.25">
      <c r="A489" s="619"/>
      <c r="B489" s="619"/>
      <c r="C489" s="619"/>
      <c r="D489" s="619"/>
      <c r="E489" s="619"/>
      <c r="F489" s="330"/>
      <c r="O489" s="756"/>
      <c r="P489" s="619"/>
      <c r="Q489" s="619"/>
      <c r="R489" s="619"/>
    </row>
    <row r="490" spans="1:18" ht="15.6" x14ac:dyDescent="0.25">
      <c r="A490" s="619"/>
      <c r="B490" s="619"/>
      <c r="C490" s="619"/>
      <c r="D490" s="619"/>
      <c r="E490" s="619"/>
      <c r="F490" s="330"/>
      <c r="O490" s="756"/>
      <c r="P490" s="619"/>
      <c r="Q490" s="619"/>
      <c r="R490" s="619"/>
    </row>
    <row r="491" spans="1:18" ht="15.6" x14ac:dyDescent="0.25">
      <c r="A491" s="619"/>
      <c r="B491" s="619"/>
      <c r="C491" s="619"/>
      <c r="D491" s="619"/>
      <c r="E491" s="619"/>
      <c r="F491" s="330"/>
      <c r="O491" s="756"/>
      <c r="P491" s="619"/>
      <c r="Q491" s="619"/>
      <c r="R491" s="619"/>
    </row>
    <row r="492" spans="1:18" ht="15.6" x14ac:dyDescent="0.25">
      <c r="A492" s="619"/>
      <c r="B492" s="619"/>
      <c r="C492" s="619"/>
      <c r="D492" s="619"/>
      <c r="E492" s="619"/>
      <c r="F492" s="330"/>
      <c r="O492" s="756"/>
      <c r="P492" s="619"/>
      <c r="Q492" s="619"/>
      <c r="R492" s="619"/>
    </row>
    <row r="493" spans="1:18" ht="15.6" x14ac:dyDescent="0.25">
      <c r="A493" s="619"/>
      <c r="B493" s="619"/>
      <c r="C493" s="619"/>
      <c r="D493" s="619"/>
      <c r="E493" s="619"/>
      <c r="F493" s="330"/>
      <c r="O493" s="756"/>
      <c r="P493" s="619"/>
      <c r="Q493" s="619"/>
      <c r="R493" s="619"/>
    </row>
    <row r="494" spans="1:18" ht="15.6" x14ac:dyDescent="0.25">
      <c r="A494" s="619"/>
      <c r="B494" s="619"/>
      <c r="C494" s="619"/>
      <c r="D494" s="619"/>
      <c r="E494" s="619"/>
      <c r="F494" s="330"/>
      <c r="O494" s="756"/>
      <c r="P494" s="619"/>
      <c r="Q494" s="619"/>
      <c r="R494" s="619"/>
    </row>
    <row r="495" spans="1:18" ht="15.6" x14ac:dyDescent="0.25">
      <c r="A495" s="619"/>
      <c r="B495" s="619"/>
      <c r="C495" s="619"/>
      <c r="D495" s="619"/>
      <c r="E495" s="619"/>
      <c r="F495" s="330"/>
      <c r="O495" s="756"/>
      <c r="P495" s="619"/>
      <c r="Q495" s="619"/>
      <c r="R495" s="619"/>
    </row>
    <row r="496" spans="1:18" ht="15.6" x14ac:dyDescent="0.25">
      <c r="A496" s="619"/>
      <c r="B496" s="619"/>
      <c r="C496" s="619"/>
      <c r="D496" s="619"/>
      <c r="E496" s="619"/>
      <c r="F496" s="330"/>
      <c r="O496" s="756"/>
      <c r="P496" s="619"/>
      <c r="Q496" s="619"/>
      <c r="R496" s="619"/>
    </row>
    <row r="497" spans="1:18" ht="15.6" x14ac:dyDescent="0.25">
      <c r="A497" s="619"/>
      <c r="B497" s="619"/>
      <c r="C497" s="619"/>
      <c r="D497" s="619"/>
      <c r="E497" s="619"/>
      <c r="F497" s="330"/>
      <c r="O497" s="756"/>
      <c r="P497" s="619"/>
      <c r="Q497" s="619"/>
      <c r="R497" s="619"/>
    </row>
    <row r="498" spans="1:18" ht="15.6" x14ac:dyDescent="0.25">
      <c r="A498" s="619"/>
      <c r="B498" s="619"/>
      <c r="C498" s="619"/>
      <c r="D498" s="619"/>
      <c r="E498" s="619"/>
      <c r="F498" s="330"/>
      <c r="O498" s="756"/>
      <c r="P498" s="619"/>
      <c r="Q498" s="619"/>
      <c r="R498" s="619"/>
    </row>
    <row r="499" spans="1:18" ht="15.6" x14ac:dyDescent="0.25">
      <c r="A499" s="619"/>
      <c r="B499" s="619"/>
      <c r="C499" s="619"/>
      <c r="D499" s="619"/>
      <c r="E499" s="619"/>
      <c r="F499" s="330"/>
      <c r="O499" s="756"/>
      <c r="P499" s="619"/>
      <c r="Q499" s="619"/>
      <c r="R499" s="619"/>
    </row>
    <row r="500" spans="1:18" ht="15.6" x14ac:dyDescent="0.25">
      <c r="A500" s="619"/>
      <c r="B500" s="619"/>
      <c r="C500" s="619"/>
      <c r="D500" s="619"/>
      <c r="E500" s="619"/>
      <c r="F500" s="330"/>
      <c r="O500" s="756"/>
      <c r="P500" s="619"/>
      <c r="Q500" s="619"/>
      <c r="R500" s="619"/>
    </row>
    <row r="501" spans="1:18" ht="15.6" x14ac:dyDescent="0.25">
      <c r="A501" s="619"/>
      <c r="B501" s="619"/>
      <c r="C501" s="619"/>
      <c r="D501" s="619"/>
      <c r="E501" s="619"/>
      <c r="F501" s="330"/>
      <c r="O501" s="756"/>
      <c r="P501" s="619"/>
      <c r="Q501" s="619"/>
      <c r="R501" s="619"/>
    </row>
    <row r="502" spans="1:18" ht="15.6" x14ac:dyDescent="0.25">
      <c r="A502" s="619"/>
      <c r="B502" s="619"/>
      <c r="C502" s="619"/>
      <c r="D502" s="619"/>
      <c r="E502" s="619"/>
      <c r="F502" s="330"/>
      <c r="O502" s="756"/>
      <c r="P502" s="619"/>
      <c r="Q502" s="619"/>
      <c r="R502" s="619"/>
    </row>
    <row r="503" spans="1:18" ht="15.6" x14ac:dyDescent="0.25">
      <c r="A503" s="619"/>
      <c r="B503" s="619"/>
      <c r="C503" s="619"/>
      <c r="D503" s="619"/>
      <c r="E503" s="619"/>
      <c r="F503" s="330"/>
      <c r="O503" s="756"/>
      <c r="P503" s="619"/>
      <c r="Q503" s="619"/>
      <c r="R503" s="619"/>
    </row>
    <row r="504" spans="1:18" ht="15.6" x14ac:dyDescent="0.25">
      <c r="A504" s="619"/>
      <c r="B504" s="619"/>
      <c r="C504" s="619"/>
      <c r="D504" s="619"/>
      <c r="E504" s="619"/>
      <c r="F504" s="330"/>
      <c r="O504" s="756"/>
      <c r="P504" s="619"/>
      <c r="Q504" s="619"/>
      <c r="R504" s="619"/>
    </row>
    <row r="505" spans="1:18" ht="15.6" x14ac:dyDescent="0.25">
      <c r="A505" s="619"/>
      <c r="B505" s="619"/>
      <c r="C505" s="619"/>
      <c r="D505" s="619"/>
      <c r="E505" s="619"/>
      <c r="F505" s="330"/>
      <c r="O505" s="756"/>
      <c r="P505" s="619"/>
      <c r="Q505" s="619"/>
      <c r="R505" s="619"/>
    </row>
    <row r="506" spans="1:18" ht="15.6" x14ac:dyDescent="0.25">
      <c r="A506" s="619"/>
      <c r="B506" s="619"/>
      <c r="C506" s="619"/>
      <c r="D506" s="619"/>
      <c r="E506" s="619"/>
      <c r="F506" s="330"/>
      <c r="O506" s="756"/>
      <c r="P506" s="619"/>
      <c r="Q506" s="619"/>
      <c r="R506" s="619"/>
    </row>
    <row r="507" spans="1:18" ht="15.6" x14ac:dyDescent="0.25">
      <c r="A507" s="619"/>
      <c r="B507" s="619"/>
      <c r="C507" s="619"/>
      <c r="D507" s="619"/>
      <c r="E507" s="619"/>
      <c r="F507" s="330"/>
      <c r="O507" s="756"/>
      <c r="P507" s="619"/>
      <c r="Q507" s="619"/>
      <c r="R507" s="619"/>
    </row>
    <row r="508" spans="1:18" ht="15.6" x14ac:dyDescent="0.25">
      <c r="A508" s="619"/>
      <c r="B508" s="619"/>
      <c r="C508" s="619"/>
      <c r="D508" s="619"/>
      <c r="E508" s="619"/>
      <c r="F508" s="330"/>
      <c r="O508" s="756"/>
      <c r="P508" s="619"/>
      <c r="Q508" s="619"/>
      <c r="R508" s="619"/>
    </row>
    <row r="509" spans="1:18" ht="15.6" x14ac:dyDescent="0.25">
      <c r="A509" s="619"/>
      <c r="B509" s="619"/>
      <c r="C509" s="619"/>
      <c r="D509" s="619"/>
      <c r="E509" s="619"/>
      <c r="F509" s="330"/>
      <c r="O509" s="756"/>
      <c r="P509" s="619"/>
      <c r="Q509" s="619"/>
      <c r="R509" s="619"/>
    </row>
    <row r="510" spans="1:18" ht="15.6" x14ac:dyDescent="0.25">
      <c r="A510" s="619"/>
      <c r="B510" s="619"/>
      <c r="C510" s="619"/>
      <c r="D510" s="619"/>
      <c r="E510" s="619"/>
      <c r="F510" s="330"/>
      <c r="O510" s="756"/>
      <c r="P510" s="619"/>
      <c r="Q510" s="619"/>
      <c r="R510" s="619"/>
    </row>
    <row r="511" spans="1:18" ht="15.6" x14ac:dyDescent="0.25">
      <c r="A511" s="619"/>
      <c r="B511" s="619"/>
      <c r="C511" s="619"/>
      <c r="D511" s="619"/>
      <c r="E511" s="619"/>
      <c r="F511" s="330"/>
      <c r="O511" s="756"/>
      <c r="P511" s="619"/>
      <c r="Q511" s="619"/>
      <c r="R511" s="619"/>
    </row>
    <row r="512" spans="1:18" ht="15.6" x14ac:dyDescent="0.25">
      <c r="A512" s="619"/>
      <c r="B512" s="619"/>
      <c r="C512" s="619"/>
      <c r="D512" s="619"/>
      <c r="E512" s="619"/>
      <c r="F512" s="330"/>
      <c r="O512" s="756"/>
      <c r="P512" s="619"/>
      <c r="Q512" s="619"/>
      <c r="R512" s="619"/>
    </row>
    <row r="513" spans="1:18" ht="15.6" x14ac:dyDescent="0.25">
      <c r="A513" s="619"/>
      <c r="B513" s="619"/>
      <c r="C513" s="619"/>
      <c r="D513" s="619"/>
      <c r="E513" s="619"/>
      <c r="F513" s="330"/>
      <c r="O513" s="756"/>
      <c r="P513" s="619"/>
      <c r="Q513" s="619"/>
      <c r="R513" s="619"/>
    </row>
    <row r="514" spans="1:18" ht="15.6" x14ac:dyDescent="0.25">
      <c r="A514" s="619"/>
      <c r="B514" s="619"/>
      <c r="C514" s="619"/>
      <c r="D514" s="619"/>
      <c r="E514" s="619"/>
      <c r="F514" s="330"/>
      <c r="O514" s="756"/>
      <c r="P514" s="619"/>
      <c r="Q514" s="619"/>
      <c r="R514" s="619"/>
    </row>
    <row r="515" spans="1:18" ht="15.6" x14ac:dyDescent="0.25">
      <c r="A515" s="619"/>
      <c r="B515" s="619"/>
      <c r="C515" s="619"/>
      <c r="D515" s="619"/>
      <c r="E515" s="619"/>
      <c r="F515" s="330"/>
      <c r="O515" s="756"/>
      <c r="P515" s="619"/>
      <c r="Q515" s="619"/>
      <c r="R515" s="619"/>
    </row>
    <row r="516" spans="1:18" ht="15.6" x14ac:dyDescent="0.25">
      <c r="A516" s="619"/>
      <c r="B516" s="619"/>
      <c r="C516" s="619"/>
      <c r="D516" s="619"/>
      <c r="E516" s="619"/>
      <c r="F516" s="330"/>
      <c r="O516" s="756"/>
      <c r="P516" s="619"/>
      <c r="Q516" s="619"/>
      <c r="R516" s="619"/>
    </row>
    <row r="517" spans="1:18" ht="15.6" x14ac:dyDescent="0.25">
      <c r="A517" s="619"/>
      <c r="B517" s="619"/>
      <c r="C517" s="619"/>
      <c r="D517" s="619"/>
      <c r="E517" s="619"/>
      <c r="F517" s="330"/>
      <c r="O517" s="756"/>
      <c r="P517" s="619"/>
      <c r="Q517" s="619"/>
      <c r="R517" s="619"/>
    </row>
    <row r="518" spans="1:18" ht="15.6" x14ac:dyDescent="0.25">
      <c r="A518" s="619"/>
      <c r="B518" s="619"/>
      <c r="C518" s="619"/>
      <c r="D518" s="619"/>
      <c r="E518" s="619"/>
      <c r="F518" s="330"/>
      <c r="O518" s="756"/>
      <c r="P518" s="619"/>
      <c r="Q518" s="619"/>
      <c r="R518" s="619"/>
    </row>
    <row r="519" spans="1:18" ht="15.6" x14ac:dyDescent="0.25">
      <c r="A519" s="619"/>
      <c r="B519" s="619"/>
      <c r="C519" s="619"/>
      <c r="D519" s="619"/>
      <c r="E519" s="619"/>
      <c r="F519" s="330"/>
      <c r="O519" s="756"/>
      <c r="P519" s="619"/>
      <c r="Q519" s="619"/>
      <c r="R519" s="619"/>
    </row>
    <row r="520" spans="1:18" ht="15.6" x14ac:dyDescent="0.25">
      <c r="A520" s="619"/>
      <c r="B520" s="619"/>
      <c r="C520" s="619"/>
      <c r="D520" s="619"/>
      <c r="E520" s="619"/>
      <c r="F520" s="330"/>
      <c r="O520" s="756"/>
      <c r="P520" s="619"/>
      <c r="Q520" s="619"/>
      <c r="R520" s="619"/>
    </row>
    <row r="521" spans="1:18" ht="15.6" x14ac:dyDescent="0.25">
      <c r="A521" s="619"/>
      <c r="B521" s="619"/>
      <c r="C521" s="619"/>
      <c r="D521" s="619"/>
      <c r="E521" s="619"/>
      <c r="F521" s="330"/>
      <c r="O521" s="756"/>
      <c r="P521" s="619"/>
      <c r="Q521" s="619"/>
      <c r="R521" s="619"/>
    </row>
    <row r="522" spans="1:18" ht="15.6" x14ac:dyDescent="0.25">
      <c r="A522" s="619"/>
      <c r="B522" s="619"/>
      <c r="C522" s="619"/>
      <c r="D522" s="619"/>
      <c r="E522" s="619"/>
      <c r="F522" s="330"/>
      <c r="O522" s="756"/>
      <c r="P522" s="619"/>
      <c r="Q522" s="619"/>
      <c r="R522" s="619"/>
    </row>
    <row r="523" spans="1:18" ht="15.6" x14ac:dyDescent="0.25">
      <c r="A523" s="619"/>
      <c r="B523" s="619"/>
      <c r="C523" s="619"/>
      <c r="D523" s="619"/>
      <c r="E523" s="619"/>
      <c r="F523" s="330"/>
      <c r="O523" s="756"/>
      <c r="P523" s="619"/>
      <c r="Q523" s="619"/>
      <c r="R523" s="619"/>
    </row>
    <row r="524" spans="1:18" ht="15.6" x14ac:dyDescent="0.25">
      <c r="A524" s="619"/>
      <c r="B524" s="619"/>
      <c r="C524" s="619"/>
      <c r="D524" s="619"/>
      <c r="E524" s="619"/>
      <c r="F524" s="330"/>
      <c r="O524" s="756"/>
      <c r="P524" s="619"/>
      <c r="Q524" s="619"/>
      <c r="R524" s="619"/>
    </row>
    <row r="525" spans="1:18" ht="15.6" x14ac:dyDescent="0.25">
      <c r="A525" s="619"/>
      <c r="B525" s="619"/>
      <c r="C525" s="619"/>
      <c r="D525" s="619"/>
      <c r="E525" s="619"/>
      <c r="F525" s="330"/>
      <c r="O525" s="756"/>
      <c r="P525" s="619"/>
      <c r="Q525" s="619"/>
      <c r="R525" s="619"/>
    </row>
    <row r="526" spans="1:18" ht="15.6" x14ac:dyDescent="0.25">
      <c r="A526" s="619"/>
      <c r="B526" s="619"/>
      <c r="C526" s="619"/>
      <c r="D526" s="619"/>
      <c r="E526" s="619"/>
      <c r="F526" s="330"/>
      <c r="O526" s="756"/>
      <c r="P526" s="619"/>
      <c r="Q526" s="619"/>
      <c r="R526" s="619"/>
    </row>
    <row r="527" spans="1:18" ht="15.6" x14ac:dyDescent="0.25">
      <c r="A527" s="619"/>
      <c r="B527" s="619"/>
      <c r="C527" s="619"/>
      <c r="D527" s="619"/>
      <c r="E527" s="619"/>
      <c r="F527" s="330"/>
      <c r="O527" s="756"/>
      <c r="P527" s="619"/>
      <c r="Q527" s="619"/>
      <c r="R527" s="619"/>
    </row>
    <row r="528" spans="1:18" ht="15.6" x14ac:dyDescent="0.25">
      <c r="A528" s="619"/>
      <c r="B528" s="619"/>
      <c r="C528" s="619"/>
      <c r="D528" s="619"/>
      <c r="E528" s="619"/>
      <c r="F528" s="330"/>
      <c r="O528" s="756"/>
      <c r="P528" s="619"/>
      <c r="Q528" s="619"/>
      <c r="R528" s="619"/>
    </row>
    <row r="529" spans="1:18" ht="15.6" x14ac:dyDescent="0.25">
      <c r="A529" s="619"/>
      <c r="B529" s="619"/>
      <c r="C529" s="619"/>
      <c r="D529" s="619"/>
      <c r="E529" s="619"/>
      <c r="F529" s="330"/>
      <c r="O529" s="756"/>
      <c r="P529" s="619"/>
      <c r="Q529" s="619"/>
      <c r="R529" s="619"/>
    </row>
    <row r="530" spans="1:18" ht="15.6" x14ac:dyDescent="0.25">
      <c r="A530" s="619"/>
      <c r="B530" s="619"/>
      <c r="C530" s="619"/>
      <c r="D530" s="619"/>
      <c r="E530" s="619"/>
      <c r="F530" s="330"/>
      <c r="O530" s="756"/>
      <c r="P530" s="619"/>
      <c r="Q530" s="619"/>
      <c r="R530" s="619"/>
    </row>
    <row r="531" spans="1:18" ht="15.6" x14ac:dyDescent="0.25">
      <c r="A531" s="619"/>
      <c r="B531" s="619"/>
      <c r="C531" s="619"/>
      <c r="D531" s="619"/>
      <c r="E531" s="619"/>
      <c r="F531" s="330"/>
      <c r="O531" s="756"/>
      <c r="P531" s="619"/>
      <c r="Q531" s="619"/>
      <c r="R531" s="619"/>
    </row>
    <row r="532" spans="1:18" ht="15.6" x14ac:dyDescent="0.25">
      <c r="A532" s="619"/>
      <c r="B532" s="619"/>
      <c r="C532" s="619"/>
      <c r="D532" s="619"/>
      <c r="E532" s="619"/>
      <c r="F532" s="330"/>
      <c r="O532" s="756"/>
      <c r="P532" s="619"/>
      <c r="Q532" s="619"/>
      <c r="R532" s="619"/>
    </row>
    <row r="533" spans="1:18" ht="15.6" x14ac:dyDescent="0.25">
      <c r="A533" s="619"/>
      <c r="B533" s="619"/>
      <c r="C533" s="619"/>
      <c r="D533" s="619"/>
      <c r="E533" s="619"/>
      <c r="F533" s="330"/>
      <c r="O533" s="756"/>
      <c r="P533" s="619"/>
      <c r="Q533" s="619"/>
      <c r="R533" s="619"/>
    </row>
    <row r="534" spans="1:18" ht="15.6" x14ac:dyDescent="0.25">
      <c r="A534" s="619"/>
      <c r="B534" s="619"/>
      <c r="C534" s="619"/>
      <c r="D534" s="619"/>
      <c r="E534" s="619"/>
      <c r="F534" s="330"/>
      <c r="O534" s="756"/>
      <c r="P534" s="619"/>
      <c r="Q534" s="619"/>
      <c r="R534" s="619"/>
    </row>
    <row r="535" spans="1:18" ht="15.6" x14ac:dyDescent="0.25">
      <c r="A535" s="619"/>
      <c r="B535" s="619"/>
      <c r="C535" s="619"/>
      <c r="D535" s="619"/>
      <c r="E535" s="619"/>
      <c r="F535" s="330"/>
      <c r="O535" s="756"/>
      <c r="P535" s="619"/>
      <c r="Q535" s="619"/>
      <c r="R535" s="619"/>
    </row>
    <row r="536" spans="1:18" ht="15.6" x14ac:dyDescent="0.25">
      <c r="A536" s="619"/>
      <c r="B536" s="619"/>
      <c r="C536" s="619"/>
      <c r="D536" s="619"/>
      <c r="E536" s="619"/>
      <c r="F536" s="330"/>
      <c r="O536" s="756"/>
      <c r="P536" s="619"/>
      <c r="Q536" s="619"/>
      <c r="R536" s="619"/>
    </row>
    <row r="537" spans="1:18" ht="15.6" x14ac:dyDescent="0.25">
      <c r="A537" s="619"/>
      <c r="B537" s="619"/>
      <c r="C537" s="619"/>
      <c r="D537" s="619"/>
      <c r="E537" s="619"/>
      <c r="F537" s="330"/>
      <c r="O537" s="756"/>
      <c r="P537" s="619"/>
      <c r="Q537" s="619"/>
      <c r="R537" s="619"/>
    </row>
    <row r="538" spans="1:18" ht="15.6" x14ac:dyDescent="0.25">
      <c r="A538" s="619"/>
      <c r="B538" s="619"/>
      <c r="C538" s="619"/>
      <c r="D538" s="619"/>
      <c r="E538" s="619"/>
      <c r="F538" s="330"/>
      <c r="O538" s="756"/>
      <c r="P538" s="619"/>
      <c r="Q538" s="619"/>
      <c r="R538" s="619"/>
    </row>
    <row r="539" spans="1:18" ht="15.6" x14ac:dyDescent="0.25">
      <c r="A539" s="619"/>
      <c r="B539" s="619"/>
      <c r="C539" s="619"/>
      <c r="D539" s="619"/>
      <c r="E539" s="619"/>
      <c r="F539" s="330"/>
      <c r="O539" s="756"/>
      <c r="P539" s="619"/>
      <c r="Q539" s="619"/>
      <c r="R539" s="619"/>
    </row>
    <row r="540" spans="1:18" ht="15.6" x14ac:dyDescent="0.25">
      <c r="A540" s="619"/>
      <c r="B540" s="619"/>
      <c r="C540" s="619"/>
      <c r="D540" s="619"/>
      <c r="E540" s="619"/>
      <c r="F540" s="330"/>
      <c r="O540" s="756"/>
      <c r="P540" s="619"/>
      <c r="Q540" s="619"/>
      <c r="R540" s="619"/>
    </row>
    <row r="541" spans="1:18" ht="15.6" x14ac:dyDescent="0.25">
      <c r="A541" s="619"/>
      <c r="B541" s="619"/>
      <c r="C541" s="619"/>
      <c r="D541" s="619"/>
      <c r="E541" s="619"/>
      <c r="F541" s="330"/>
      <c r="O541" s="756"/>
      <c r="P541" s="619"/>
      <c r="Q541" s="619"/>
      <c r="R541" s="619"/>
    </row>
    <row r="542" spans="1:18" ht="15.6" x14ac:dyDescent="0.25">
      <c r="A542" s="619"/>
      <c r="B542" s="619"/>
      <c r="C542" s="619"/>
      <c r="D542" s="619"/>
      <c r="E542" s="619"/>
      <c r="F542" s="330"/>
      <c r="O542" s="756"/>
      <c r="P542" s="619"/>
      <c r="Q542" s="619"/>
      <c r="R542" s="619"/>
    </row>
    <row r="543" spans="1:18" ht="15.6" x14ac:dyDescent="0.25">
      <c r="A543" s="619"/>
      <c r="B543" s="619"/>
      <c r="C543" s="619"/>
      <c r="D543" s="619"/>
      <c r="E543" s="619"/>
      <c r="F543" s="330"/>
      <c r="O543" s="756"/>
      <c r="P543" s="619"/>
      <c r="Q543" s="619"/>
      <c r="R543" s="619"/>
    </row>
    <row r="544" spans="1:18" ht="15.6" x14ac:dyDescent="0.25">
      <c r="A544" s="619"/>
      <c r="B544" s="619"/>
      <c r="C544" s="619"/>
      <c r="D544" s="619"/>
      <c r="E544" s="619"/>
      <c r="F544" s="330"/>
      <c r="O544" s="756"/>
      <c r="P544" s="619"/>
      <c r="Q544" s="619"/>
      <c r="R544" s="619"/>
    </row>
    <row r="545" spans="1:18" ht="15.6" x14ac:dyDescent="0.25">
      <c r="A545" s="619"/>
      <c r="B545" s="619"/>
      <c r="C545" s="619"/>
      <c r="D545" s="619"/>
      <c r="E545" s="619"/>
      <c r="F545" s="330"/>
      <c r="O545" s="756"/>
      <c r="P545" s="619"/>
      <c r="Q545" s="619"/>
      <c r="R545" s="619"/>
    </row>
    <row r="546" spans="1:18" ht="15.6" x14ac:dyDescent="0.25">
      <c r="A546" s="619"/>
      <c r="B546" s="619"/>
      <c r="C546" s="619"/>
      <c r="D546" s="619"/>
      <c r="E546" s="619"/>
      <c r="F546" s="330"/>
      <c r="O546" s="756"/>
      <c r="P546" s="619"/>
      <c r="Q546" s="619"/>
      <c r="R546" s="619"/>
    </row>
    <row r="547" spans="1:18" ht="15.6" x14ac:dyDescent="0.25">
      <c r="A547" s="619"/>
      <c r="B547" s="619"/>
      <c r="C547" s="619"/>
      <c r="D547" s="619"/>
      <c r="E547" s="619"/>
      <c r="F547" s="330"/>
      <c r="O547" s="756"/>
      <c r="P547" s="619"/>
      <c r="Q547" s="619"/>
      <c r="R547" s="619"/>
    </row>
    <row r="548" spans="1:18" ht="15.6" x14ac:dyDescent="0.25">
      <c r="A548" s="619"/>
      <c r="B548" s="619"/>
      <c r="C548" s="619"/>
      <c r="D548" s="619"/>
      <c r="E548" s="619"/>
      <c r="F548" s="330"/>
      <c r="O548" s="756"/>
      <c r="P548" s="619"/>
      <c r="Q548" s="619"/>
      <c r="R548" s="619"/>
    </row>
    <row r="549" spans="1:18" ht="15.6" x14ac:dyDescent="0.25">
      <c r="A549" s="619"/>
      <c r="B549" s="619"/>
      <c r="C549" s="619"/>
      <c r="D549" s="619"/>
      <c r="E549" s="619"/>
      <c r="F549" s="330"/>
      <c r="O549" s="756"/>
      <c r="P549" s="619"/>
      <c r="Q549" s="619"/>
      <c r="R549" s="619"/>
    </row>
    <row r="550" spans="1:18" ht="15.6" x14ac:dyDescent="0.25">
      <c r="A550" s="619"/>
      <c r="B550" s="619"/>
      <c r="C550" s="619"/>
      <c r="D550" s="619"/>
      <c r="E550" s="619"/>
      <c r="F550" s="330"/>
      <c r="O550" s="756"/>
      <c r="P550" s="619"/>
      <c r="Q550" s="619"/>
      <c r="R550" s="619"/>
    </row>
    <row r="551" spans="1:18" ht="15.6" x14ac:dyDescent="0.25">
      <c r="A551" s="619"/>
      <c r="B551" s="619"/>
      <c r="C551" s="619"/>
      <c r="D551" s="619"/>
      <c r="E551" s="619"/>
      <c r="F551" s="330"/>
      <c r="O551" s="756"/>
      <c r="P551" s="619"/>
      <c r="Q551" s="619"/>
      <c r="R551" s="619"/>
    </row>
    <row r="552" spans="1:18" ht="15.6" x14ac:dyDescent="0.25">
      <c r="A552" s="619"/>
      <c r="B552" s="619"/>
      <c r="C552" s="619"/>
      <c r="D552" s="619"/>
      <c r="E552" s="619"/>
      <c r="F552" s="330"/>
      <c r="O552" s="756"/>
      <c r="P552" s="619"/>
      <c r="Q552" s="619"/>
      <c r="R552" s="619"/>
    </row>
    <row r="553" spans="1:18" ht="15.6" x14ac:dyDescent="0.25">
      <c r="A553" s="619"/>
      <c r="B553" s="619"/>
      <c r="C553" s="619"/>
      <c r="D553" s="619"/>
      <c r="E553" s="619"/>
      <c r="F553" s="330"/>
      <c r="O553" s="756"/>
      <c r="P553" s="619"/>
      <c r="Q553" s="619"/>
      <c r="R553" s="619"/>
    </row>
    <row r="554" spans="1:18" ht="15.6" x14ac:dyDescent="0.25">
      <c r="A554" s="619"/>
      <c r="B554" s="619"/>
      <c r="C554" s="619"/>
      <c r="D554" s="619"/>
      <c r="E554" s="619"/>
      <c r="F554" s="330"/>
      <c r="O554" s="756"/>
      <c r="P554" s="619"/>
      <c r="Q554" s="619"/>
      <c r="R554" s="619"/>
    </row>
    <row r="555" spans="1:18" ht="15.6" x14ac:dyDescent="0.25">
      <c r="A555" s="619"/>
      <c r="B555" s="619"/>
      <c r="C555" s="619"/>
      <c r="D555" s="619"/>
      <c r="E555" s="619"/>
      <c r="F555" s="330"/>
      <c r="O555" s="756"/>
      <c r="P555" s="619"/>
      <c r="Q555" s="619"/>
      <c r="R555" s="619"/>
    </row>
    <row r="556" spans="1:18" ht="15.6" x14ac:dyDescent="0.25">
      <c r="A556" s="619"/>
      <c r="B556" s="619"/>
      <c r="C556" s="619"/>
      <c r="D556" s="619"/>
      <c r="E556" s="619"/>
      <c r="F556" s="330"/>
      <c r="O556" s="756"/>
      <c r="P556" s="619"/>
      <c r="Q556" s="619"/>
      <c r="R556" s="619"/>
    </row>
    <row r="557" spans="1:18" ht="15.6" x14ac:dyDescent="0.25">
      <c r="A557" s="619"/>
      <c r="B557" s="619"/>
      <c r="C557" s="619"/>
      <c r="D557" s="619"/>
      <c r="E557" s="619"/>
      <c r="F557" s="330"/>
      <c r="O557" s="756"/>
      <c r="P557" s="619"/>
      <c r="Q557" s="619"/>
      <c r="R557" s="619"/>
    </row>
    <row r="558" spans="1:18" ht="15.6" x14ac:dyDescent="0.25">
      <c r="A558" s="619"/>
      <c r="B558" s="619"/>
      <c r="C558" s="619"/>
      <c r="D558" s="619"/>
      <c r="E558" s="619"/>
      <c r="F558" s="330"/>
      <c r="O558" s="756"/>
      <c r="P558" s="619"/>
      <c r="Q558" s="619"/>
      <c r="R558" s="619"/>
    </row>
    <row r="559" spans="1:18" ht="15.6" x14ac:dyDescent="0.25">
      <c r="A559" s="619"/>
      <c r="B559" s="619"/>
      <c r="C559" s="619"/>
      <c r="D559" s="619"/>
      <c r="E559" s="619"/>
      <c r="F559" s="330"/>
      <c r="O559" s="756"/>
      <c r="P559" s="619"/>
      <c r="Q559" s="619"/>
      <c r="R559" s="619"/>
    </row>
    <row r="560" spans="1:18" ht="15.6" x14ac:dyDescent="0.25">
      <c r="A560" s="619"/>
      <c r="B560" s="619"/>
      <c r="C560" s="619"/>
      <c r="D560" s="619"/>
      <c r="E560" s="619"/>
      <c r="F560" s="330"/>
      <c r="O560" s="756"/>
      <c r="P560" s="619"/>
      <c r="Q560" s="619"/>
      <c r="R560" s="619"/>
    </row>
    <row r="561" spans="1:18" ht="15.6" x14ac:dyDescent="0.25">
      <c r="A561" s="619"/>
      <c r="B561" s="619"/>
      <c r="C561" s="619"/>
      <c r="D561" s="619"/>
      <c r="E561" s="619"/>
      <c r="F561" s="330"/>
      <c r="O561" s="756"/>
      <c r="P561" s="619"/>
      <c r="Q561" s="619"/>
      <c r="R561" s="619"/>
    </row>
    <row r="562" spans="1:18" ht="15.6" x14ac:dyDescent="0.25">
      <c r="A562" s="619"/>
      <c r="B562" s="619"/>
      <c r="C562" s="619"/>
      <c r="D562" s="619"/>
      <c r="E562" s="619"/>
      <c r="F562" s="330"/>
      <c r="O562" s="756"/>
      <c r="P562" s="619"/>
      <c r="Q562" s="619"/>
      <c r="R562" s="619"/>
    </row>
    <row r="563" spans="1:18" ht="15.6" x14ac:dyDescent="0.25">
      <c r="A563" s="619"/>
      <c r="B563" s="619"/>
      <c r="C563" s="619"/>
      <c r="D563" s="619"/>
      <c r="E563" s="619"/>
      <c r="F563" s="330"/>
      <c r="O563" s="756"/>
      <c r="P563" s="619"/>
      <c r="Q563" s="619"/>
      <c r="R563" s="619"/>
    </row>
    <row r="564" spans="1:18" ht="15.6" x14ac:dyDescent="0.25">
      <c r="A564" s="619"/>
      <c r="B564" s="619"/>
      <c r="C564" s="619"/>
      <c r="D564" s="619"/>
      <c r="E564" s="619"/>
      <c r="F564" s="330"/>
      <c r="O564" s="756"/>
      <c r="P564" s="619"/>
      <c r="Q564" s="619"/>
      <c r="R564" s="619"/>
    </row>
    <row r="565" spans="1:18" ht="15.6" x14ac:dyDescent="0.25">
      <c r="A565" s="619"/>
      <c r="B565" s="619"/>
      <c r="C565" s="619"/>
      <c r="D565" s="619"/>
      <c r="E565" s="619"/>
      <c r="F565" s="330"/>
      <c r="O565" s="756"/>
      <c r="P565" s="619"/>
      <c r="Q565" s="619"/>
      <c r="R565" s="619"/>
    </row>
    <row r="566" spans="1:18" ht="15.6" x14ac:dyDescent="0.25">
      <c r="A566" s="619"/>
      <c r="B566" s="619"/>
      <c r="C566" s="619"/>
      <c r="D566" s="619"/>
      <c r="E566" s="619"/>
      <c r="F566" s="330"/>
      <c r="O566" s="756"/>
      <c r="P566" s="619"/>
      <c r="Q566" s="619"/>
      <c r="R566" s="619"/>
    </row>
    <row r="567" spans="1:18" ht="15.6" x14ac:dyDescent="0.25">
      <c r="A567" s="619"/>
      <c r="B567" s="619"/>
      <c r="C567" s="619"/>
      <c r="D567" s="619"/>
      <c r="E567" s="619"/>
      <c r="F567" s="330"/>
      <c r="O567" s="756"/>
      <c r="P567" s="619"/>
      <c r="Q567" s="619"/>
      <c r="R567" s="619"/>
    </row>
    <row r="568" spans="1:18" ht="15.6" x14ac:dyDescent="0.25">
      <c r="A568" s="619"/>
      <c r="B568" s="619"/>
      <c r="C568" s="619"/>
      <c r="D568" s="619"/>
      <c r="E568" s="619"/>
      <c r="F568" s="330"/>
      <c r="O568" s="756"/>
      <c r="P568" s="619"/>
      <c r="Q568" s="619"/>
      <c r="R568" s="619"/>
    </row>
    <row r="569" spans="1:18" ht="15.6" x14ac:dyDescent="0.25">
      <c r="A569" s="619"/>
      <c r="B569" s="619"/>
      <c r="C569" s="619"/>
      <c r="D569" s="619"/>
      <c r="E569" s="619"/>
      <c r="F569" s="330"/>
      <c r="O569" s="756"/>
      <c r="P569" s="619"/>
      <c r="Q569" s="619"/>
      <c r="R569" s="619"/>
    </row>
    <row r="570" spans="1:18" ht="15.6" x14ac:dyDescent="0.25">
      <c r="A570" s="619"/>
      <c r="B570" s="619"/>
      <c r="C570" s="619"/>
      <c r="D570" s="619"/>
      <c r="E570" s="619"/>
      <c r="F570" s="330"/>
      <c r="O570" s="756"/>
      <c r="P570" s="619"/>
      <c r="Q570" s="619"/>
      <c r="R570" s="619"/>
    </row>
    <row r="571" spans="1:18" ht="15.6" x14ac:dyDescent="0.25">
      <c r="A571" s="619"/>
      <c r="B571" s="619"/>
      <c r="C571" s="619"/>
      <c r="D571" s="619"/>
      <c r="E571" s="619"/>
      <c r="F571" s="330"/>
      <c r="O571" s="756"/>
      <c r="P571" s="619"/>
      <c r="Q571" s="619"/>
      <c r="R571" s="619"/>
    </row>
    <row r="572" spans="1:18" ht="15.6" x14ac:dyDescent="0.25">
      <c r="A572" s="619"/>
      <c r="B572" s="619"/>
      <c r="C572" s="619"/>
      <c r="D572" s="619"/>
      <c r="E572" s="619"/>
      <c r="F572" s="330"/>
      <c r="O572" s="756"/>
      <c r="P572" s="619"/>
      <c r="Q572" s="619"/>
      <c r="R572" s="619"/>
    </row>
    <row r="573" spans="1:18" ht="15.6" x14ac:dyDescent="0.25">
      <c r="A573" s="619"/>
      <c r="B573" s="619"/>
      <c r="C573" s="619"/>
      <c r="D573" s="619"/>
      <c r="E573" s="619"/>
      <c r="F573" s="330"/>
      <c r="O573" s="756"/>
      <c r="P573" s="619"/>
      <c r="Q573" s="619"/>
      <c r="R573" s="619"/>
    </row>
    <row r="574" spans="1:18" ht="15.6" x14ac:dyDescent="0.25">
      <c r="A574" s="619"/>
      <c r="B574" s="619"/>
      <c r="C574" s="619"/>
      <c r="D574" s="619"/>
      <c r="E574" s="619"/>
      <c r="F574" s="330"/>
      <c r="O574" s="756"/>
      <c r="P574" s="619"/>
      <c r="Q574" s="619"/>
      <c r="R574" s="619"/>
    </row>
    <row r="575" spans="1:18" ht="15.6" x14ac:dyDescent="0.25">
      <c r="A575" s="619"/>
      <c r="B575" s="619"/>
      <c r="C575" s="619"/>
      <c r="D575" s="619"/>
      <c r="E575" s="619"/>
      <c r="F575" s="330"/>
      <c r="O575" s="756"/>
      <c r="P575" s="619"/>
      <c r="Q575" s="619"/>
      <c r="R575" s="619"/>
    </row>
    <row r="576" spans="1:18" ht="15.6" x14ac:dyDescent="0.25">
      <c r="A576" s="619"/>
      <c r="B576" s="619"/>
      <c r="C576" s="619"/>
      <c r="D576" s="619"/>
      <c r="E576" s="619"/>
      <c r="F576" s="330"/>
      <c r="O576" s="756"/>
      <c r="P576" s="619"/>
      <c r="Q576" s="619"/>
      <c r="R576" s="619"/>
    </row>
    <row r="577" spans="1:18" ht="15.6" x14ac:dyDescent="0.25">
      <c r="A577" s="619"/>
      <c r="B577" s="619"/>
      <c r="C577" s="619"/>
      <c r="D577" s="619"/>
      <c r="E577" s="619"/>
      <c r="F577" s="330"/>
      <c r="O577" s="756"/>
      <c r="P577" s="619"/>
      <c r="Q577" s="619"/>
      <c r="R577" s="619"/>
    </row>
    <row r="578" spans="1:18" ht="15.6" x14ac:dyDescent="0.25">
      <c r="A578" s="619"/>
      <c r="B578" s="619"/>
      <c r="C578" s="619"/>
      <c r="D578" s="619"/>
      <c r="E578" s="619"/>
      <c r="F578" s="330"/>
      <c r="O578" s="756"/>
      <c r="P578" s="619"/>
      <c r="Q578" s="619"/>
      <c r="R578" s="619"/>
    </row>
    <row r="579" spans="1:18" ht="15.6" x14ac:dyDescent="0.25">
      <c r="A579" s="619"/>
      <c r="B579" s="619"/>
      <c r="C579" s="619"/>
      <c r="D579" s="619"/>
      <c r="E579" s="619"/>
      <c r="F579" s="330"/>
      <c r="O579" s="756"/>
      <c r="P579" s="619"/>
      <c r="Q579" s="619"/>
      <c r="R579" s="619"/>
    </row>
    <row r="580" spans="1:18" ht="15.6" x14ac:dyDescent="0.25">
      <c r="A580" s="619"/>
      <c r="B580" s="619"/>
      <c r="C580" s="619"/>
      <c r="D580" s="619"/>
      <c r="E580" s="619"/>
      <c r="F580" s="330"/>
      <c r="O580" s="756"/>
      <c r="P580" s="619"/>
      <c r="Q580" s="619"/>
      <c r="R580" s="619"/>
    </row>
    <row r="581" spans="1:18" ht="15.6" x14ac:dyDescent="0.25">
      <c r="A581" s="619"/>
      <c r="B581" s="619"/>
      <c r="C581" s="619"/>
      <c r="D581" s="619"/>
      <c r="E581" s="619"/>
      <c r="F581" s="330"/>
      <c r="O581" s="756"/>
      <c r="P581" s="619"/>
      <c r="Q581" s="619"/>
      <c r="R581" s="619"/>
    </row>
    <row r="582" spans="1:18" ht="15.6" x14ac:dyDescent="0.25">
      <c r="A582" s="619"/>
      <c r="B582" s="619"/>
      <c r="C582" s="619"/>
      <c r="D582" s="619"/>
      <c r="E582" s="619"/>
      <c r="F582" s="330"/>
      <c r="O582" s="756"/>
      <c r="P582" s="619"/>
      <c r="Q582" s="619"/>
      <c r="R582" s="619"/>
    </row>
    <row r="583" spans="1:18" ht="15.6" x14ac:dyDescent="0.25">
      <c r="A583" s="619"/>
      <c r="B583" s="619"/>
      <c r="C583" s="619"/>
      <c r="D583" s="619"/>
      <c r="E583" s="619"/>
      <c r="F583" s="330"/>
      <c r="O583" s="756"/>
      <c r="P583" s="619"/>
      <c r="Q583" s="619"/>
      <c r="R583" s="619"/>
    </row>
    <row r="584" spans="1:18" ht="15.6" x14ac:dyDescent="0.25">
      <c r="A584" s="619"/>
      <c r="B584" s="619"/>
      <c r="C584" s="619"/>
      <c r="D584" s="619"/>
      <c r="E584" s="619"/>
      <c r="F584" s="330"/>
      <c r="O584" s="756"/>
      <c r="P584" s="619"/>
      <c r="Q584" s="619"/>
      <c r="R584" s="619"/>
    </row>
    <row r="585" spans="1:18" ht="15.6" x14ac:dyDescent="0.25">
      <c r="A585" s="619"/>
      <c r="B585" s="619"/>
      <c r="C585" s="619"/>
      <c r="D585" s="619"/>
      <c r="E585" s="619"/>
      <c r="F585" s="330"/>
      <c r="O585" s="756"/>
      <c r="P585" s="619"/>
      <c r="Q585" s="619"/>
      <c r="R585" s="619"/>
    </row>
    <row r="586" spans="1:18" ht="15.6" x14ac:dyDescent="0.25">
      <c r="A586" s="619"/>
      <c r="B586" s="619"/>
      <c r="C586" s="619"/>
      <c r="D586" s="619"/>
      <c r="E586" s="619"/>
      <c r="F586" s="330"/>
      <c r="O586" s="756"/>
      <c r="P586" s="619"/>
      <c r="Q586" s="619"/>
      <c r="R586" s="619"/>
    </row>
    <row r="587" spans="1:18" ht="15.6" x14ac:dyDescent="0.25">
      <c r="A587" s="619"/>
      <c r="B587" s="619"/>
      <c r="C587" s="619"/>
      <c r="D587" s="619"/>
      <c r="E587" s="619"/>
      <c r="F587" s="330"/>
      <c r="O587" s="756"/>
      <c r="P587" s="619"/>
      <c r="Q587" s="619"/>
      <c r="R587" s="619"/>
    </row>
    <row r="588" spans="1:18" ht="15.6" x14ac:dyDescent="0.25">
      <c r="A588" s="619"/>
      <c r="B588" s="619"/>
      <c r="C588" s="619"/>
      <c r="D588" s="619"/>
      <c r="E588" s="619"/>
      <c r="F588" s="330"/>
      <c r="O588" s="756"/>
      <c r="P588" s="619"/>
      <c r="Q588" s="619"/>
      <c r="R588" s="619"/>
    </row>
    <row r="589" spans="1:18" ht="15.6" x14ac:dyDescent="0.25">
      <c r="A589" s="619"/>
      <c r="B589" s="619"/>
      <c r="C589" s="619"/>
      <c r="D589" s="619"/>
      <c r="E589" s="619"/>
      <c r="F589" s="330"/>
      <c r="O589" s="756"/>
      <c r="P589" s="619"/>
      <c r="Q589" s="619"/>
      <c r="R589" s="619"/>
    </row>
    <row r="590" spans="1:18" ht="15.6" x14ac:dyDescent="0.25">
      <c r="A590" s="619"/>
      <c r="B590" s="619"/>
      <c r="C590" s="619"/>
      <c r="D590" s="619"/>
      <c r="E590" s="619"/>
      <c r="F590" s="330"/>
      <c r="O590" s="756"/>
      <c r="P590" s="619"/>
      <c r="Q590" s="619"/>
      <c r="R590" s="619"/>
    </row>
    <row r="591" spans="1:18" ht="15.6" x14ac:dyDescent="0.25">
      <c r="A591" s="619"/>
      <c r="B591" s="619"/>
      <c r="C591" s="619"/>
      <c r="D591" s="619"/>
      <c r="E591" s="619"/>
      <c r="F591" s="330"/>
      <c r="O591" s="756"/>
      <c r="P591" s="619"/>
      <c r="Q591" s="619"/>
      <c r="R591" s="619"/>
    </row>
    <row r="592" spans="1:18" ht="15.6" x14ac:dyDescent="0.25">
      <c r="A592" s="619"/>
      <c r="B592" s="619"/>
      <c r="C592" s="619"/>
      <c r="D592" s="619"/>
      <c r="E592" s="619"/>
      <c r="F592" s="330"/>
      <c r="O592" s="756"/>
      <c r="P592" s="619"/>
      <c r="Q592" s="619"/>
      <c r="R592" s="619"/>
    </row>
    <row r="593" spans="1:18" ht="15.6" x14ac:dyDescent="0.25">
      <c r="A593" s="619"/>
      <c r="B593" s="619"/>
      <c r="C593" s="619"/>
      <c r="D593" s="619"/>
      <c r="E593" s="619"/>
      <c r="F593" s="330"/>
      <c r="O593" s="756"/>
      <c r="P593" s="619"/>
      <c r="Q593" s="619"/>
      <c r="R593" s="619"/>
    </row>
    <row r="594" spans="1:18" ht="15.6" x14ac:dyDescent="0.25">
      <c r="A594" s="619"/>
      <c r="B594" s="619"/>
      <c r="C594" s="619"/>
      <c r="D594" s="619"/>
      <c r="E594" s="619"/>
      <c r="F594" s="330"/>
      <c r="O594" s="756"/>
      <c r="P594" s="619"/>
      <c r="Q594" s="619"/>
      <c r="R594" s="619"/>
    </row>
    <row r="595" spans="1:18" ht="15.6" x14ac:dyDescent="0.25">
      <c r="A595" s="619"/>
      <c r="B595" s="619"/>
      <c r="C595" s="619"/>
      <c r="D595" s="619"/>
      <c r="E595" s="619"/>
      <c r="F595" s="330"/>
      <c r="O595" s="756"/>
      <c r="P595" s="619"/>
      <c r="Q595" s="619"/>
      <c r="R595" s="619"/>
    </row>
    <row r="596" spans="1:18" ht="15.6" x14ac:dyDescent="0.25">
      <c r="A596" s="619"/>
      <c r="B596" s="619"/>
      <c r="C596" s="619"/>
      <c r="D596" s="619"/>
      <c r="E596" s="619"/>
      <c r="F596" s="330"/>
      <c r="O596" s="756"/>
      <c r="P596" s="619"/>
      <c r="Q596" s="619"/>
      <c r="R596" s="619"/>
    </row>
    <row r="597" spans="1:18" ht="15.6" x14ac:dyDescent="0.25">
      <c r="A597" s="619"/>
      <c r="B597" s="619"/>
      <c r="C597" s="619"/>
      <c r="D597" s="619"/>
      <c r="E597" s="619"/>
      <c r="F597" s="330"/>
      <c r="O597" s="756"/>
      <c r="P597" s="619"/>
      <c r="Q597" s="619"/>
      <c r="R597" s="619"/>
    </row>
    <row r="598" spans="1:18" ht="15.6" x14ac:dyDescent="0.25">
      <c r="A598" s="619"/>
      <c r="B598" s="619"/>
      <c r="C598" s="619"/>
      <c r="D598" s="619"/>
      <c r="E598" s="619"/>
      <c r="F598" s="330"/>
      <c r="O598" s="756"/>
      <c r="P598" s="619"/>
      <c r="Q598" s="619"/>
      <c r="R598" s="619"/>
    </row>
    <row r="599" spans="1:18" ht="15.6" x14ac:dyDescent="0.25">
      <c r="A599" s="619"/>
      <c r="B599" s="619"/>
      <c r="C599" s="619"/>
      <c r="D599" s="619"/>
      <c r="E599" s="619"/>
      <c r="F599" s="330"/>
      <c r="O599" s="756"/>
      <c r="P599" s="619"/>
      <c r="Q599" s="619"/>
      <c r="R599" s="619"/>
    </row>
    <row r="600" spans="1:18" ht="15.6" x14ac:dyDescent="0.25">
      <c r="A600" s="619"/>
      <c r="B600" s="619"/>
      <c r="C600" s="619"/>
      <c r="D600" s="619"/>
      <c r="E600" s="619"/>
      <c r="F600" s="330"/>
      <c r="O600" s="756"/>
      <c r="P600" s="619"/>
      <c r="Q600" s="619"/>
      <c r="R600" s="619"/>
    </row>
    <row r="601" spans="1:18" ht="15.6" x14ac:dyDescent="0.25">
      <c r="A601" s="619"/>
      <c r="B601" s="619"/>
      <c r="C601" s="619"/>
      <c r="D601" s="619"/>
      <c r="E601" s="619"/>
      <c r="F601" s="330"/>
      <c r="O601" s="756"/>
      <c r="P601" s="619"/>
      <c r="Q601" s="619"/>
      <c r="R601" s="619"/>
    </row>
    <row r="602" spans="1:18" ht="15.6" x14ac:dyDescent="0.25">
      <c r="A602" s="619"/>
      <c r="B602" s="619"/>
      <c r="C602" s="619"/>
      <c r="D602" s="619"/>
      <c r="E602" s="619"/>
      <c r="F602" s="330"/>
      <c r="O602" s="756"/>
      <c r="P602" s="619"/>
      <c r="Q602" s="619"/>
      <c r="R602" s="619"/>
    </row>
    <row r="603" spans="1:18" ht="15.6" x14ac:dyDescent="0.25">
      <c r="A603" s="619"/>
      <c r="B603" s="619"/>
      <c r="C603" s="619"/>
      <c r="D603" s="619"/>
      <c r="E603" s="619"/>
      <c r="F603" s="330"/>
      <c r="O603" s="756"/>
      <c r="P603" s="619"/>
      <c r="Q603" s="619"/>
      <c r="R603" s="619"/>
    </row>
    <row r="604" spans="1:18" ht="15.6" x14ac:dyDescent="0.25">
      <c r="A604" s="619"/>
      <c r="B604" s="619"/>
      <c r="C604" s="619"/>
      <c r="D604" s="619"/>
      <c r="E604" s="619"/>
      <c r="F604" s="330"/>
      <c r="O604" s="756"/>
      <c r="P604" s="619"/>
      <c r="Q604" s="619"/>
      <c r="R604" s="619"/>
    </row>
    <row r="605" spans="1:18" ht="15.6" x14ac:dyDescent="0.25">
      <c r="A605" s="619"/>
      <c r="B605" s="619"/>
      <c r="C605" s="619"/>
      <c r="D605" s="619"/>
      <c r="E605" s="619"/>
      <c r="F605" s="330"/>
      <c r="O605" s="756"/>
      <c r="P605" s="619"/>
      <c r="Q605" s="619"/>
      <c r="R605" s="619"/>
    </row>
    <row r="606" spans="1:18" ht="15.6" x14ac:dyDescent="0.25">
      <c r="A606" s="619"/>
      <c r="B606" s="619"/>
      <c r="C606" s="619"/>
      <c r="D606" s="619"/>
      <c r="E606" s="619"/>
      <c r="F606" s="330"/>
      <c r="O606" s="756"/>
      <c r="P606" s="619"/>
      <c r="Q606" s="619"/>
      <c r="R606" s="619"/>
    </row>
    <row r="607" spans="1:18" ht="15.6" x14ac:dyDescent="0.25">
      <c r="A607" s="619"/>
      <c r="B607" s="619"/>
      <c r="C607" s="619"/>
      <c r="D607" s="619"/>
      <c r="E607" s="619"/>
      <c r="F607" s="330"/>
      <c r="O607" s="756"/>
      <c r="P607" s="619"/>
      <c r="Q607" s="619"/>
      <c r="R607" s="619"/>
    </row>
    <row r="608" spans="1:18" ht="15.6" x14ac:dyDescent="0.25">
      <c r="A608" s="619"/>
      <c r="B608" s="619"/>
      <c r="C608" s="619"/>
      <c r="D608" s="619"/>
      <c r="E608" s="619"/>
      <c r="F608" s="330"/>
      <c r="O608" s="756"/>
      <c r="P608" s="619"/>
      <c r="Q608" s="619"/>
      <c r="R608" s="619"/>
    </row>
    <row r="609" spans="1:18" ht="15.6" x14ac:dyDescent="0.25">
      <c r="A609" s="619"/>
      <c r="B609" s="619"/>
      <c r="C609" s="619"/>
      <c r="D609" s="619"/>
      <c r="E609" s="619"/>
      <c r="F609" s="330"/>
      <c r="O609" s="756"/>
      <c r="P609" s="619"/>
      <c r="Q609" s="619"/>
      <c r="R609" s="619"/>
    </row>
    <row r="610" spans="1:18" ht="15.6" x14ac:dyDescent="0.25">
      <c r="A610" s="619"/>
      <c r="B610" s="619"/>
      <c r="C610" s="619"/>
      <c r="D610" s="619"/>
      <c r="E610" s="619"/>
      <c r="F610" s="330"/>
      <c r="O610" s="756"/>
      <c r="P610" s="619"/>
      <c r="Q610" s="619"/>
      <c r="R610" s="619"/>
    </row>
    <row r="611" spans="1:18" ht="15.6" x14ac:dyDescent="0.25">
      <c r="A611" s="619"/>
      <c r="B611" s="619"/>
      <c r="C611" s="619"/>
      <c r="D611" s="619"/>
      <c r="E611" s="619"/>
      <c r="F611" s="330"/>
      <c r="O611" s="756"/>
      <c r="P611" s="619"/>
      <c r="Q611" s="619"/>
      <c r="R611" s="619"/>
    </row>
    <row r="612" spans="1:18" ht="15.6" x14ac:dyDescent="0.25">
      <c r="A612" s="619"/>
      <c r="B612" s="619"/>
      <c r="C612" s="619"/>
      <c r="D612" s="619"/>
      <c r="E612" s="619"/>
      <c r="F612" s="330"/>
      <c r="O612" s="756"/>
      <c r="P612" s="619"/>
      <c r="Q612" s="619"/>
      <c r="R612" s="619"/>
    </row>
    <row r="613" spans="1:18" ht="15.6" x14ac:dyDescent="0.25">
      <c r="A613" s="619"/>
      <c r="B613" s="619"/>
      <c r="C613" s="619"/>
      <c r="D613" s="619"/>
      <c r="E613" s="619"/>
      <c r="F613" s="330"/>
      <c r="O613" s="756"/>
      <c r="P613" s="619"/>
      <c r="Q613" s="619"/>
      <c r="R613" s="619"/>
    </row>
    <row r="614" spans="1:18" ht="15.6" x14ac:dyDescent="0.25">
      <c r="A614" s="619"/>
      <c r="B614" s="619"/>
      <c r="C614" s="619"/>
      <c r="D614" s="619"/>
      <c r="E614" s="619"/>
      <c r="F614" s="330"/>
      <c r="O614" s="756"/>
      <c r="P614" s="619"/>
      <c r="Q614" s="619"/>
      <c r="R614" s="619"/>
    </row>
    <row r="615" spans="1:18" ht="15.6" x14ac:dyDescent="0.25">
      <c r="A615" s="619"/>
      <c r="B615" s="619"/>
      <c r="C615" s="619"/>
      <c r="D615" s="619"/>
      <c r="E615" s="619"/>
      <c r="F615" s="330"/>
      <c r="O615" s="756"/>
      <c r="P615" s="619"/>
      <c r="Q615" s="619"/>
      <c r="R615" s="619"/>
    </row>
    <row r="616" spans="1:18" ht="15.6" x14ac:dyDescent="0.25">
      <c r="A616" s="619"/>
      <c r="B616" s="619"/>
      <c r="C616" s="619"/>
      <c r="D616" s="619"/>
      <c r="E616" s="619"/>
      <c r="F616" s="330"/>
      <c r="O616" s="756"/>
      <c r="P616" s="619"/>
      <c r="Q616" s="619"/>
      <c r="R616" s="619"/>
    </row>
    <row r="617" spans="1:18" ht="15.6" x14ac:dyDescent="0.25">
      <c r="A617" s="619"/>
      <c r="B617" s="619"/>
      <c r="C617" s="619"/>
      <c r="D617" s="619"/>
      <c r="E617" s="619"/>
      <c r="F617" s="330"/>
      <c r="O617" s="756"/>
      <c r="P617" s="619"/>
      <c r="Q617" s="619"/>
      <c r="R617" s="619"/>
    </row>
    <row r="618" spans="1:18" ht="15.6" x14ac:dyDescent="0.25">
      <c r="A618" s="619"/>
      <c r="B618" s="619"/>
      <c r="C618" s="619"/>
      <c r="D618" s="619"/>
      <c r="E618" s="619"/>
      <c r="F618" s="330"/>
      <c r="O618" s="756"/>
      <c r="P618" s="619"/>
      <c r="Q618" s="619"/>
      <c r="R618" s="619"/>
    </row>
    <row r="619" spans="1:18" ht="15.6" x14ac:dyDescent="0.25">
      <c r="A619" s="619"/>
      <c r="B619" s="619"/>
      <c r="C619" s="619"/>
      <c r="D619" s="619"/>
      <c r="E619" s="619"/>
      <c r="F619" s="330"/>
      <c r="O619" s="756"/>
      <c r="P619" s="619"/>
      <c r="Q619" s="619"/>
      <c r="R619" s="619"/>
    </row>
    <row r="620" spans="1:18" ht="15.6" x14ac:dyDescent="0.25">
      <c r="A620" s="619"/>
      <c r="B620" s="619"/>
      <c r="C620" s="619"/>
      <c r="D620" s="619"/>
      <c r="E620" s="619"/>
      <c r="F620" s="330"/>
      <c r="O620" s="756"/>
      <c r="P620" s="619"/>
      <c r="Q620" s="619"/>
      <c r="R620" s="619"/>
    </row>
    <row r="621" spans="1:18" ht="15.6" x14ac:dyDescent="0.25">
      <c r="A621" s="619"/>
      <c r="B621" s="619"/>
      <c r="C621" s="619"/>
      <c r="D621" s="619"/>
      <c r="E621" s="619"/>
      <c r="F621" s="330"/>
      <c r="O621" s="756"/>
      <c r="P621" s="619"/>
      <c r="Q621" s="619"/>
      <c r="R621" s="619"/>
    </row>
    <row r="622" spans="1:18" ht="15.6" x14ac:dyDescent="0.25">
      <c r="A622" s="619"/>
      <c r="B622" s="619"/>
      <c r="C622" s="619"/>
      <c r="D622" s="619"/>
      <c r="E622" s="619"/>
      <c r="F622" s="330"/>
      <c r="O622" s="756"/>
      <c r="P622" s="619"/>
      <c r="Q622" s="619"/>
      <c r="R622" s="619"/>
    </row>
    <row r="623" spans="1:18" ht="15.6" x14ac:dyDescent="0.25">
      <c r="A623" s="619"/>
      <c r="B623" s="619"/>
      <c r="C623" s="619"/>
      <c r="D623" s="619"/>
      <c r="E623" s="619"/>
      <c r="F623" s="330"/>
      <c r="O623" s="756"/>
      <c r="P623" s="619"/>
      <c r="Q623" s="619"/>
      <c r="R623" s="619"/>
    </row>
    <row r="624" spans="1:18" ht="15.6" x14ac:dyDescent="0.25">
      <c r="A624" s="619"/>
      <c r="B624" s="619"/>
      <c r="C624" s="619"/>
      <c r="D624" s="619"/>
      <c r="E624" s="619"/>
      <c r="F624" s="330"/>
      <c r="O624" s="756"/>
      <c r="P624" s="619"/>
      <c r="Q624" s="619"/>
      <c r="R624" s="619"/>
    </row>
    <row r="625" spans="1:18" ht="15.6" x14ac:dyDescent="0.25">
      <c r="A625" s="619"/>
      <c r="B625" s="619"/>
      <c r="C625" s="619"/>
      <c r="D625" s="619"/>
      <c r="E625" s="619"/>
      <c r="F625" s="330"/>
      <c r="O625" s="756"/>
      <c r="P625" s="619"/>
      <c r="Q625" s="619"/>
      <c r="R625" s="619"/>
    </row>
    <row r="626" spans="1:18" ht="15.6" x14ac:dyDescent="0.25">
      <c r="A626" s="619"/>
      <c r="B626" s="619"/>
      <c r="C626" s="619"/>
      <c r="D626" s="619"/>
      <c r="E626" s="619"/>
      <c r="F626" s="330"/>
      <c r="O626" s="756"/>
      <c r="P626" s="619"/>
      <c r="Q626" s="619"/>
      <c r="R626" s="619"/>
    </row>
    <row r="627" spans="1:18" ht="15.6" x14ac:dyDescent="0.25">
      <c r="A627" s="619"/>
      <c r="B627" s="619"/>
      <c r="C627" s="619"/>
      <c r="D627" s="619"/>
      <c r="E627" s="619"/>
      <c r="F627" s="330"/>
      <c r="O627" s="756"/>
      <c r="P627" s="619"/>
      <c r="Q627" s="619"/>
      <c r="R627" s="619"/>
    </row>
    <row r="628" spans="1:18" ht="15.6" x14ac:dyDescent="0.25">
      <c r="A628" s="619"/>
      <c r="B628" s="619"/>
      <c r="C628" s="619"/>
      <c r="D628" s="619"/>
      <c r="E628" s="619"/>
      <c r="F628" s="330"/>
      <c r="O628" s="756"/>
      <c r="P628" s="619"/>
      <c r="Q628" s="619"/>
      <c r="R628" s="619"/>
    </row>
    <row r="629" spans="1:18" ht="15.6" x14ac:dyDescent="0.25">
      <c r="A629" s="619"/>
      <c r="B629" s="619"/>
      <c r="C629" s="619"/>
      <c r="D629" s="619"/>
      <c r="E629" s="619"/>
      <c r="F629" s="330"/>
      <c r="O629" s="756"/>
      <c r="P629" s="619"/>
      <c r="Q629" s="619"/>
      <c r="R629" s="619"/>
    </row>
    <row r="630" spans="1:18" ht="15.6" x14ac:dyDescent="0.25">
      <c r="A630" s="619"/>
      <c r="B630" s="619"/>
      <c r="C630" s="619"/>
      <c r="D630" s="619"/>
      <c r="E630" s="619"/>
      <c r="F630" s="330"/>
      <c r="O630" s="756"/>
      <c r="P630" s="619"/>
      <c r="Q630" s="619"/>
      <c r="R630" s="619"/>
    </row>
    <row r="631" spans="1:18" ht="15.6" x14ac:dyDescent="0.25">
      <c r="A631" s="619"/>
      <c r="B631" s="619"/>
      <c r="C631" s="619"/>
      <c r="D631" s="619"/>
      <c r="E631" s="619"/>
      <c r="F631" s="330"/>
      <c r="O631" s="756"/>
      <c r="P631" s="619"/>
      <c r="Q631" s="619"/>
      <c r="R631" s="619"/>
    </row>
    <row r="632" spans="1:18" ht="15.6" x14ac:dyDescent="0.25">
      <c r="A632" s="619"/>
      <c r="B632" s="619"/>
      <c r="C632" s="619"/>
      <c r="D632" s="619"/>
      <c r="E632" s="619"/>
      <c r="F632" s="330"/>
      <c r="O632" s="756"/>
      <c r="P632" s="619"/>
      <c r="Q632" s="619"/>
      <c r="R632" s="619"/>
    </row>
    <row r="633" spans="1:18" ht="15.6" x14ac:dyDescent="0.25">
      <c r="A633" s="619"/>
      <c r="B633" s="619"/>
      <c r="C633" s="619"/>
      <c r="D633" s="619"/>
      <c r="E633" s="619"/>
      <c r="F633" s="330"/>
      <c r="O633" s="756"/>
      <c r="P633" s="619"/>
      <c r="Q633" s="619"/>
      <c r="R633" s="619"/>
    </row>
    <row r="634" spans="1:18" ht="15.6" x14ac:dyDescent="0.25">
      <c r="A634" s="619"/>
      <c r="B634" s="619"/>
      <c r="C634" s="619"/>
      <c r="D634" s="619"/>
      <c r="E634" s="619"/>
      <c r="F634" s="330"/>
      <c r="O634" s="756"/>
      <c r="P634" s="619"/>
      <c r="Q634" s="619"/>
      <c r="R634" s="619"/>
    </row>
    <row r="635" spans="1:18" ht="15.6" x14ac:dyDescent="0.25">
      <c r="A635" s="619"/>
      <c r="B635" s="619"/>
      <c r="C635" s="619"/>
      <c r="D635" s="619"/>
      <c r="E635" s="619"/>
      <c r="F635" s="330"/>
      <c r="O635" s="756"/>
      <c r="P635" s="619"/>
      <c r="Q635" s="619"/>
      <c r="R635" s="619"/>
    </row>
    <row r="636" spans="1:18" ht="15.6" x14ac:dyDescent="0.25">
      <c r="A636" s="619"/>
      <c r="B636" s="619"/>
      <c r="C636" s="619"/>
      <c r="D636" s="619"/>
      <c r="E636" s="619"/>
      <c r="F636" s="330"/>
      <c r="O636" s="756"/>
      <c r="P636" s="619"/>
      <c r="Q636" s="619"/>
      <c r="R636" s="619"/>
    </row>
    <row r="637" spans="1:18" ht="15.6" x14ac:dyDescent="0.25">
      <c r="A637" s="619"/>
      <c r="B637" s="619"/>
      <c r="C637" s="619"/>
      <c r="D637" s="619"/>
      <c r="E637" s="619"/>
      <c r="F637" s="330"/>
      <c r="O637" s="756"/>
      <c r="P637" s="619"/>
      <c r="Q637" s="619"/>
      <c r="R637" s="619"/>
    </row>
    <row r="638" spans="1:18" ht="15.6" x14ac:dyDescent="0.25">
      <c r="A638" s="619"/>
      <c r="B638" s="619"/>
      <c r="C638" s="619"/>
      <c r="D638" s="619"/>
      <c r="E638" s="619"/>
      <c r="F638" s="330"/>
      <c r="O638" s="756"/>
      <c r="P638" s="619"/>
      <c r="Q638" s="619"/>
      <c r="R638" s="619"/>
    </row>
    <row r="639" spans="1:18" ht="15.6" x14ac:dyDescent="0.25">
      <c r="A639" s="619"/>
      <c r="B639" s="619"/>
      <c r="C639" s="619"/>
      <c r="D639" s="619"/>
      <c r="E639" s="619"/>
      <c r="F639" s="330"/>
      <c r="O639" s="756"/>
      <c r="P639" s="619"/>
      <c r="Q639" s="619"/>
      <c r="R639" s="619"/>
    </row>
    <row r="640" spans="1:18" ht="15.6" x14ac:dyDescent="0.25">
      <c r="A640" s="619"/>
      <c r="B640" s="619"/>
      <c r="C640" s="619"/>
      <c r="D640" s="619"/>
      <c r="E640" s="619"/>
      <c r="F640" s="330"/>
      <c r="O640" s="756"/>
      <c r="P640" s="619"/>
      <c r="Q640" s="619"/>
      <c r="R640" s="619"/>
    </row>
    <row r="641" spans="1:18" ht="15.6" x14ac:dyDescent="0.25">
      <c r="A641" s="619"/>
      <c r="B641" s="619"/>
      <c r="C641" s="619"/>
      <c r="D641" s="619"/>
      <c r="E641" s="619"/>
      <c r="F641" s="330"/>
      <c r="O641" s="756"/>
      <c r="P641" s="619"/>
      <c r="Q641" s="619"/>
      <c r="R641" s="619"/>
    </row>
    <row r="642" spans="1:18" ht="15.6" x14ac:dyDescent="0.25">
      <c r="A642" s="619"/>
      <c r="B642" s="619"/>
      <c r="C642" s="619"/>
      <c r="D642" s="619"/>
      <c r="E642" s="619"/>
      <c r="F642" s="330"/>
      <c r="O642" s="756"/>
      <c r="P642" s="619"/>
      <c r="Q642" s="619"/>
      <c r="R642" s="619"/>
    </row>
    <row r="643" spans="1:18" ht="15.6" x14ac:dyDescent="0.25">
      <c r="A643" s="619"/>
      <c r="B643" s="619"/>
      <c r="C643" s="619"/>
      <c r="D643" s="619"/>
      <c r="E643" s="619"/>
      <c r="F643" s="330"/>
      <c r="O643" s="756"/>
      <c r="P643" s="619"/>
      <c r="Q643" s="619"/>
      <c r="R643" s="619"/>
    </row>
    <row r="644" spans="1:18" ht="15.6" x14ac:dyDescent="0.25">
      <c r="A644" s="619"/>
      <c r="B644" s="619"/>
      <c r="C644" s="619"/>
      <c r="D644" s="619"/>
      <c r="E644" s="619"/>
      <c r="F644" s="330"/>
      <c r="O644" s="756"/>
      <c r="P644" s="619"/>
      <c r="Q644" s="619"/>
      <c r="R644" s="619"/>
    </row>
    <row r="645" spans="1:18" ht="15.6" x14ac:dyDescent="0.25">
      <c r="A645" s="619"/>
      <c r="B645" s="619"/>
      <c r="C645" s="619"/>
      <c r="D645" s="619"/>
      <c r="E645" s="619"/>
      <c r="F645" s="330"/>
      <c r="O645" s="756"/>
      <c r="P645" s="619"/>
      <c r="Q645" s="619"/>
      <c r="R645" s="619"/>
    </row>
    <row r="646" spans="1:18" ht="15.6" x14ac:dyDescent="0.25">
      <c r="A646" s="619"/>
      <c r="B646" s="619"/>
      <c r="C646" s="619"/>
      <c r="D646" s="619"/>
      <c r="E646" s="619"/>
      <c r="F646" s="330"/>
      <c r="O646" s="756"/>
      <c r="P646" s="619"/>
      <c r="Q646" s="619"/>
      <c r="R646" s="619"/>
    </row>
    <row r="647" spans="1:18" ht="15.6" x14ac:dyDescent="0.25">
      <c r="A647" s="619"/>
      <c r="B647" s="619"/>
      <c r="C647" s="619"/>
      <c r="D647" s="619"/>
      <c r="E647" s="619"/>
      <c r="F647" s="330"/>
      <c r="O647" s="756"/>
      <c r="P647" s="619"/>
      <c r="Q647" s="619"/>
      <c r="R647" s="619"/>
    </row>
    <row r="648" spans="1:18" ht="15.6" x14ac:dyDescent="0.25">
      <c r="A648" s="619"/>
      <c r="B648" s="619"/>
      <c r="C648" s="619"/>
      <c r="D648" s="619"/>
      <c r="E648" s="619"/>
      <c r="F648" s="330"/>
      <c r="O648" s="756"/>
      <c r="P648" s="619"/>
      <c r="Q648" s="619"/>
      <c r="R648" s="619"/>
    </row>
    <row r="649" spans="1:18" ht="15.6" x14ac:dyDescent="0.25">
      <c r="A649" s="619"/>
      <c r="B649" s="619"/>
      <c r="C649" s="619"/>
      <c r="D649" s="619"/>
      <c r="E649" s="619"/>
      <c r="F649" s="330"/>
      <c r="O649" s="756"/>
      <c r="P649" s="619"/>
      <c r="Q649" s="619"/>
      <c r="R649" s="619"/>
    </row>
    <row r="650" spans="1:18" ht="15.6" x14ac:dyDescent="0.25">
      <c r="A650" s="619"/>
      <c r="B650" s="619"/>
      <c r="C650" s="619"/>
      <c r="D650" s="619"/>
      <c r="E650" s="619"/>
      <c r="F650" s="330"/>
      <c r="O650" s="756"/>
      <c r="P650" s="619"/>
      <c r="Q650" s="619"/>
      <c r="R650" s="619"/>
    </row>
    <row r="651" spans="1:18" ht="15.6" x14ac:dyDescent="0.25">
      <c r="A651" s="619"/>
      <c r="B651" s="619"/>
      <c r="C651" s="619"/>
      <c r="D651" s="619"/>
      <c r="E651" s="619"/>
      <c r="F651" s="330"/>
      <c r="O651" s="756"/>
      <c r="P651" s="619"/>
      <c r="Q651" s="619"/>
      <c r="R651" s="619"/>
    </row>
    <row r="652" spans="1:18" ht="15.6" x14ac:dyDescent="0.25">
      <c r="A652" s="619"/>
      <c r="B652" s="619"/>
      <c r="C652" s="619"/>
      <c r="D652" s="619"/>
      <c r="E652" s="619"/>
      <c r="F652" s="330"/>
      <c r="O652" s="756"/>
      <c r="P652" s="619"/>
      <c r="Q652" s="619"/>
      <c r="R652" s="619"/>
    </row>
    <row r="653" spans="1:18" ht="15.6" x14ac:dyDescent="0.25">
      <c r="A653" s="619"/>
      <c r="B653" s="619"/>
      <c r="C653" s="619"/>
      <c r="D653" s="619"/>
      <c r="E653" s="619"/>
      <c r="F653" s="330"/>
      <c r="O653" s="756"/>
      <c r="P653" s="619"/>
      <c r="Q653" s="619"/>
      <c r="R653" s="619"/>
    </row>
    <row r="654" spans="1:18" ht="15.6" x14ac:dyDescent="0.25">
      <c r="A654" s="619"/>
      <c r="B654" s="619"/>
      <c r="C654" s="619"/>
      <c r="D654" s="619"/>
      <c r="E654" s="619"/>
      <c r="F654" s="330"/>
      <c r="O654" s="756"/>
      <c r="P654" s="619"/>
      <c r="Q654" s="619"/>
      <c r="R654" s="619"/>
    </row>
    <row r="655" spans="1:18" ht="15.6" x14ac:dyDescent="0.25">
      <c r="A655" s="619"/>
      <c r="B655" s="619"/>
      <c r="C655" s="619"/>
      <c r="D655" s="619"/>
      <c r="E655" s="619"/>
      <c r="F655" s="330"/>
      <c r="O655" s="756"/>
      <c r="P655" s="619"/>
      <c r="Q655" s="619"/>
      <c r="R655" s="619"/>
    </row>
    <row r="656" spans="1:18" ht="15.6" x14ac:dyDescent="0.25">
      <c r="A656" s="619"/>
      <c r="B656" s="619"/>
      <c r="C656" s="619"/>
      <c r="D656" s="619"/>
      <c r="E656" s="619"/>
      <c r="F656" s="330"/>
      <c r="O656" s="756"/>
      <c r="P656" s="619"/>
      <c r="Q656" s="619"/>
      <c r="R656" s="619"/>
    </row>
    <row r="657" spans="1:18" ht="15.6" x14ac:dyDescent="0.25">
      <c r="A657" s="619"/>
      <c r="B657" s="619"/>
      <c r="C657" s="619"/>
      <c r="D657" s="619"/>
      <c r="E657" s="619"/>
      <c r="F657" s="330"/>
      <c r="O657" s="756"/>
      <c r="P657" s="619"/>
      <c r="Q657" s="619"/>
      <c r="R657" s="619"/>
    </row>
    <row r="658" spans="1:18" ht="15.6" x14ac:dyDescent="0.25">
      <c r="A658" s="619"/>
      <c r="B658" s="619"/>
      <c r="C658" s="619"/>
      <c r="D658" s="619"/>
      <c r="E658" s="619"/>
      <c r="F658" s="330"/>
      <c r="O658" s="756"/>
      <c r="P658" s="619"/>
      <c r="Q658" s="619"/>
      <c r="R658" s="619"/>
    </row>
    <row r="659" spans="1:18" ht="15.6" x14ac:dyDescent="0.25">
      <c r="A659" s="619"/>
      <c r="B659" s="619"/>
      <c r="C659" s="619"/>
      <c r="D659" s="619"/>
      <c r="E659" s="619"/>
      <c r="F659" s="330"/>
      <c r="O659" s="756"/>
      <c r="P659" s="619"/>
      <c r="Q659" s="619"/>
      <c r="R659" s="619"/>
    </row>
    <row r="660" spans="1:18" ht="15.6" x14ac:dyDescent="0.25">
      <c r="A660" s="619"/>
      <c r="B660" s="619"/>
      <c r="C660" s="619"/>
      <c r="D660" s="619"/>
      <c r="E660" s="619"/>
      <c r="F660" s="330"/>
      <c r="O660" s="756"/>
      <c r="P660" s="619"/>
      <c r="Q660" s="619"/>
      <c r="R660" s="619"/>
    </row>
    <row r="661" spans="1:18" ht="15.6" x14ac:dyDescent="0.25">
      <c r="A661" s="619"/>
      <c r="B661" s="619"/>
      <c r="C661" s="619"/>
      <c r="D661" s="619"/>
      <c r="E661" s="619"/>
      <c r="F661" s="330"/>
      <c r="O661" s="756"/>
      <c r="P661" s="619"/>
      <c r="Q661" s="619"/>
      <c r="R661" s="619"/>
    </row>
    <row r="662" spans="1:18" ht="15.6" x14ac:dyDescent="0.25">
      <c r="A662" s="619"/>
      <c r="B662" s="619"/>
      <c r="C662" s="619"/>
      <c r="D662" s="619"/>
      <c r="E662" s="619"/>
      <c r="F662" s="330"/>
      <c r="O662" s="756"/>
      <c r="P662" s="619"/>
      <c r="Q662" s="619"/>
      <c r="R662" s="619"/>
    </row>
    <row r="663" spans="1:18" ht="15.6" x14ac:dyDescent="0.25">
      <c r="A663" s="619"/>
      <c r="B663" s="619"/>
      <c r="C663" s="619"/>
      <c r="D663" s="619"/>
      <c r="E663" s="619"/>
      <c r="F663" s="330"/>
      <c r="O663" s="756"/>
      <c r="P663" s="619"/>
      <c r="Q663" s="619"/>
      <c r="R663" s="619"/>
    </row>
    <row r="664" spans="1:18" ht="15.6" x14ac:dyDescent="0.25">
      <c r="A664" s="619"/>
      <c r="B664" s="619"/>
      <c r="C664" s="619"/>
      <c r="D664" s="619"/>
      <c r="E664" s="619"/>
      <c r="F664" s="330"/>
      <c r="O664" s="756"/>
      <c r="P664" s="619"/>
      <c r="Q664" s="619"/>
      <c r="R664" s="619"/>
    </row>
    <row r="665" spans="1:18" ht="15.6" x14ac:dyDescent="0.25">
      <c r="A665" s="619"/>
      <c r="B665" s="619"/>
      <c r="C665" s="619"/>
      <c r="D665" s="619"/>
      <c r="E665" s="619"/>
      <c r="F665" s="330"/>
      <c r="O665" s="756"/>
      <c r="P665" s="619"/>
      <c r="Q665" s="619"/>
      <c r="R665" s="619"/>
    </row>
    <row r="666" spans="1:18" ht="15.6" x14ac:dyDescent="0.25">
      <c r="A666" s="619"/>
      <c r="B666" s="619"/>
      <c r="C666" s="619"/>
      <c r="D666" s="619"/>
      <c r="E666" s="619"/>
      <c r="F666" s="330"/>
      <c r="O666" s="756"/>
      <c r="P666" s="619"/>
      <c r="Q666" s="619"/>
      <c r="R666" s="619"/>
    </row>
    <row r="667" spans="1:18" ht="15.6" x14ac:dyDescent="0.25">
      <c r="A667" s="619"/>
      <c r="B667" s="619"/>
      <c r="C667" s="619"/>
      <c r="D667" s="619"/>
      <c r="E667" s="619"/>
      <c r="F667" s="330"/>
      <c r="O667" s="756"/>
      <c r="P667" s="619"/>
      <c r="Q667" s="619"/>
      <c r="R667" s="619"/>
    </row>
    <row r="668" spans="1:18" ht="15.6" x14ac:dyDescent="0.25">
      <c r="A668" s="619"/>
      <c r="B668" s="619"/>
      <c r="C668" s="619"/>
      <c r="D668" s="619"/>
      <c r="E668" s="619"/>
      <c r="F668" s="330"/>
      <c r="O668" s="756"/>
      <c r="P668" s="619"/>
      <c r="Q668" s="619"/>
      <c r="R668" s="619"/>
    </row>
    <row r="669" spans="1:18" ht="15.6" x14ac:dyDescent="0.25">
      <c r="A669" s="619"/>
      <c r="B669" s="619"/>
      <c r="C669" s="619"/>
      <c r="D669" s="619"/>
      <c r="E669" s="619"/>
      <c r="F669" s="330"/>
      <c r="O669" s="756"/>
      <c r="P669" s="619"/>
      <c r="Q669" s="619"/>
      <c r="R669" s="619"/>
    </row>
    <row r="670" spans="1:18" ht="15.6" x14ac:dyDescent="0.25">
      <c r="A670" s="619"/>
      <c r="B670" s="619"/>
      <c r="C670" s="619"/>
      <c r="D670" s="619"/>
      <c r="E670" s="619"/>
      <c r="F670" s="330"/>
      <c r="O670" s="756"/>
      <c r="P670" s="619"/>
      <c r="Q670" s="619"/>
      <c r="R670" s="619"/>
    </row>
    <row r="671" spans="1:18" ht="15.6" x14ac:dyDescent="0.25">
      <c r="A671" s="619"/>
      <c r="B671" s="619"/>
      <c r="C671" s="619"/>
      <c r="D671" s="619"/>
      <c r="E671" s="619"/>
      <c r="F671" s="330"/>
      <c r="O671" s="756"/>
      <c r="P671" s="619"/>
      <c r="Q671" s="619"/>
      <c r="R671" s="619"/>
    </row>
    <row r="672" spans="1:18" ht="15.6" x14ac:dyDescent="0.25">
      <c r="A672" s="619"/>
      <c r="B672" s="619"/>
      <c r="C672" s="619"/>
      <c r="D672" s="619"/>
      <c r="E672" s="619"/>
      <c r="F672" s="330"/>
      <c r="O672" s="756"/>
      <c r="P672" s="619"/>
      <c r="Q672" s="619"/>
      <c r="R672" s="619"/>
    </row>
    <row r="673" spans="1:18" ht="15.6" x14ac:dyDescent="0.25">
      <c r="A673" s="619"/>
      <c r="B673" s="619"/>
      <c r="C673" s="619"/>
      <c r="D673" s="619"/>
      <c r="E673" s="619"/>
      <c r="F673" s="330"/>
      <c r="O673" s="756"/>
      <c r="P673" s="619"/>
      <c r="Q673" s="619"/>
      <c r="R673" s="619"/>
    </row>
    <row r="674" spans="1:18" ht="15.6" x14ac:dyDescent="0.25">
      <c r="A674" s="619"/>
      <c r="B674" s="619"/>
      <c r="C674" s="619"/>
      <c r="D674" s="619"/>
      <c r="E674" s="619"/>
      <c r="F674" s="330"/>
      <c r="O674" s="756"/>
      <c r="P674" s="619"/>
      <c r="Q674" s="619"/>
      <c r="R674" s="619"/>
    </row>
    <row r="675" spans="1:18" ht="15.6" x14ac:dyDescent="0.25">
      <c r="A675" s="619"/>
      <c r="B675" s="619"/>
      <c r="C675" s="619"/>
      <c r="D675" s="619"/>
      <c r="E675" s="619"/>
      <c r="F675" s="330"/>
      <c r="O675" s="756"/>
      <c r="P675" s="619"/>
      <c r="Q675" s="619"/>
      <c r="R675" s="619"/>
    </row>
    <row r="676" spans="1:18" ht="15.6" x14ac:dyDescent="0.25">
      <c r="A676" s="619"/>
      <c r="B676" s="619"/>
      <c r="C676" s="619"/>
      <c r="D676" s="619"/>
      <c r="E676" s="619"/>
      <c r="F676" s="330"/>
      <c r="O676" s="756"/>
      <c r="P676" s="619"/>
      <c r="Q676" s="619"/>
      <c r="R676" s="619"/>
    </row>
    <row r="677" spans="1:18" ht="15.6" x14ac:dyDescent="0.25">
      <c r="A677" s="619"/>
      <c r="B677" s="619"/>
      <c r="C677" s="619"/>
      <c r="D677" s="619"/>
      <c r="E677" s="619"/>
      <c r="F677" s="330"/>
      <c r="O677" s="756"/>
      <c r="P677" s="619"/>
      <c r="Q677" s="619"/>
      <c r="R677" s="619"/>
    </row>
    <row r="678" spans="1:18" ht="15.6" x14ac:dyDescent="0.25">
      <c r="A678" s="619"/>
      <c r="B678" s="619"/>
      <c r="C678" s="619"/>
      <c r="D678" s="619"/>
      <c r="E678" s="619"/>
      <c r="F678" s="330"/>
      <c r="O678" s="756"/>
      <c r="P678" s="619"/>
      <c r="Q678" s="619"/>
      <c r="R678" s="619"/>
    </row>
    <row r="679" spans="1:18" ht="15.6" x14ac:dyDescent="0.25">
      <c r="A679" s="619"/>
      <c r="B679" s="619"/>
      <c r="C679" s="619"/>
      <c r="D679" s="619"/>
      <c r="E679" s="619"/>
      <c r="F679" s="330"/>
      <c r="O679" s="756"/>
      <c r="P679" s="619"/>
      <c r="Q679" s="619"/>
      <c r="R679" s="619"/>
    </row>
    <row r="680" spans="1:18" ht="15.6" x14ac:dyDescent="0.25">
      <c r="A680" s="619"/>
      <c r="B680" s="619"/>
      <c r="C680" s="619"/>
      <c r="D680" s="619"/>
      <c r="E680" s="619"/>
      <c r="F680" s="330"/>
      <c r="O680" s="756"/>
      <c r="P680" s="619"/>
      <c r="Q680" s="619"/>
      <c r="R680" s="619"/>
    </row>
    <row r="681" spans="1:18" ht="15.6" x14ac:dyDescent="0.25">
      <c r="A681" s="619"/>
      <c r="B681" s="619"/>
      <c r="C681" s="619"/>
      <c r="D681" s="619"/>
      <c r="E681" s="619"/>
      <c r="F681" s="330"/>
      <c r="O681" s="756"/>
      <c r="P681" s="619"/>
      <c r="Q681" s="619"/>
      <c r="R681" s="619"/>
    </row>
    <row r="682" spans="1:18" ht="15.6" x14ac:dyDescent="0.25">
      <c r="A682" s="619"/>
      <c r="B682" s="619"/>
      <c r="C682" s="619"/>
      <c r="D682" s="619"/>
      <c r="E682" s="619"/>
      <c r="F682" s="330"/>
      <c r="O682" s="756"/>
      <c r="P682" s="619"/>
      <c r="Q682" s="619"/>
      <c r="R682" s="619"/>
    </row>
    <row r="683" spans="1:18" ht="15.6" x14ac:dyDescent="0.25">
      <c r="A683" s="619"/>
      <c r="B683" s="619"/>
      <c r="C683" s="619"/>
      <c r="D683" s="619"/>
      <c r="E683" s="619"/>
      <c r="F683" s="330"/>
      <c r="O683" s="756"/>
      <c r="P683" s="619"/>
      <c r="Q683" s="619"/>
      <c r="R683" s="619"/>
    </row>
    <row r="684" spans="1:18" ht="15.6" x14ac:dyDescent="0.25">
      <c r="A684" s="619"/>
      <c r="B684" s="619"/>
      <c r="C684" s="619"/>
      <c r="D684" s="619"/>
      <c r="E684" s="619"/>
      <c r="F684" s="330"/>
      <c r="O684" s="756"/>
      <c r="P684" s="619"/>
      <c r="Q684" s="619"/>
      <c r="R684" s="619"/>
    </row>
    <row r="685" spans="1:18" ht="15.6" x14ac:dyDescent="0.25">
      <c r="A685" s="619"/>
      <c r="B685" s="619"/>
      <c r="C685" s="619"/>
      <c r="D685" s="619"/>
      <c r="E685" s="619"/>
      <c r="F685" s="330"/>
      <c r="O685" s="756"/>
      <c r="P685" s="619"/>
      <c r="Q685" s="619"/>
      <c r="R685" s="619"/>
    </row>
    <row r="686" spans="1:18" ht="15.6" x14ac:dyDescent="0.25">
      <c r="A686" s="619"/>
      <c r="B686" s="619"/>
      <c r="C686" s="619"/>
      <c r="D686" s="619"/>
      <c r="E686" s="619"/>
      <c r="F686" s="330"/>
      <c r="O686" s="756"/>
      <c r="P686" s="619"/>
      <c r="Q686" s="619"/>
      <c r="R686" s="619"/>
    </row>
    <row r="687" spans="1:18" ht="15.6" x14ac:dyDescent="0.25">
      <c r="A687" s="619"/>
      <c r="B687" s="619"/>
      <c r="C687" s="619"/>
      <c r="D687" s="619"/>
      <c r="E687" s="619"/>
      <c r="F687" s="330"/>
      <c r="O687" s="756"/>
      <c r="P687" s="619"/>
      <c r="Q687" s="619"/>
      <c r="R687" s="619"/>
    </row>
    <row r="688" spans="1:18" ht="15.6" x14ac:dyDescent="0.25">
      <c r="A688" s="619"/>
      <c r="B688" s="619"/>
      <c r="C688" s="619"/>
      <c r="D688" s="619"/>
      <c r="E688" s="619"/>
      <c r="F688" s="330"/>
      <c r="O688" s="756"/>
      <c r="P688" s="619"/>
      <c r="Q688" s="619"/>
      <c r="R688" s="619"/>
    </row>
    <row r="689" spans="1:18" ht="15.6" x14ac:dyDescent="0.25">
      <c r="A689" s="619"/>
      <c r="B689" s="619"/>
      <c r="C689" s="619"/>
      <c r="D689" s="619"/>
      <c r="E689" s="619"/>
      <c r="F689" s="330"/>
      <c r="O689" s="756"/>
      <c r="P689" s="619"/>
      <c r="Q689" s="619"/>
      <c r="R689" s="619"/>
    </row>
    <row r="690" spans="1:18" ht="15.6" x14ac:dyDescent="0.25">
      <c r="A690" s="619"/>
      <c r="B690" s="619"/>
      <c r="C690" s="619"/>
      <c r="D690" s="619"/>
      <c r="E690" s="619"/>
      <c r="F690" s="330"/>
      <c r="O690" s="756"/>
      <c r="P690" s="619"/>
      <c r="Q690" s="619"/>
      <c r="R690" s="619"/>
    </row>
    <row r="691" spans="1:18" ht="15.6" x14ac:dyDescent="0.25">
      <c r="A691" s="619"/>
      <c r="B691" s="619"/>
      <c r="C691" s="619"/>
      <c r="D691" s="619"/>
      <c r="E691" s="619"/>
      <c r="F691" s="330"/>
      <c r="O691" s="756"/>
      <c r="P691" s="619"/>
      <c r="Q691" s="619"/>
      <c r="R691" s="619"/>
    </row>
    <row r="692" spans="1:18" ht="15.6" x14ac:dyDescent="0.25">
      <c r="A692" s="619"/>
      <c r="B692" s="619"/>
      <c r="C692" s="619"/>
      <c r="D692" s="619"/>
      <c r="E692" s="619"/>
      <c r="F692" s="330"/>
      <c r="O692" s="756"/>
      <c r="P692" s="619"/>
      <c r="Q692" s="619"/>
      <c r="R692" s="619"/>
    </row>
    <row r="693" spans="1:18" ht="15.6" x14ac:dyDescent="0.25">
      <c r="A693" s="619"/>
      <c r="B693" s="619"/>
      <c r="C693" s="619"/>
      <c r="D693" s="619"/>
      <c r="E693" s="619"/>
      <c r="F693" s="330"/>
      <c r="O693" s="756"/>
      <c r="P693" s="619"/>
      <c r="Q693" s="619"/>
      <c r="R693" s="619"/>
    </row>
    <row r="694" spans="1:18" ht="15.6" x14ac:dyDescent="0.25">
      <c r="A694" s="619"/>
      <c r="B694" s="619"/>
      <c r="C694" s="619"/>
      <c r="D694" s="619"/>
      <c r="E694" s="619"/>
      <c r="F694" s="330"/>
      <c r="O694" s="756"/>
      <c r="P694" s="619"/>
      <c r="Q694" s="619"/>
      <c r="R694" s="619"/>
    </row>
    <row r="695" spans="1:18" ht="15.6" x14ac:dyDescent="0.25">
      <c r="A695" s="619"/>
      <c r="B695" s="619"/>
      <c r="C695" s="619"/>
      <c r="D695" s="619"/>
      <c r="E695" s="619"/>
      <c r="F695" s="330"/>
      <c r="O695" s="756"/>
      <c r="P695" s="619"/>
      <c r="Q695" s="619"/>
      <c r="R695" s="619"/>
    </row>
    <row r="696" spans="1:18" ht="15.6" x14ac:dyDescent="0.25">
      <c r="A696" s="619"/>
      <c r="B696" s="619"/>
      <c r="C696" s="619"/>
      <c r="D696" s="619"/>
      <c r="E696" s="619"/>
      <c r="F696" s="330"/>
      <c r="O696" s="756"/>
      <c r="P696" s="619"/>
      <c r="Q696" s="619"/>
      <c r="R696" s="619"/>
    </row>
    <row r="697" spans="1:18" ht="15.6" x14ac:dyDescent="0.25">
      <c r="A697" s="619"/>
      <c r="B697" s="619"/>
      <c r="C697" s="619"/>
      <c r="D697" s="619"/>
      <c r="E697" s="619"/>
      <c r="F697" s="330"/>
      <c r="O697" s="756"/>
      <c r="P697" s="619"/>
      <c r="Q697" s="619"/>
      <c r="R697" s="619"/>
    </row>
    <row r="698" spans="1:18" ht="15.6" x14ac:dyDescent="0.25">
      <c r="A698" s="619"/>
      <c r="B698" s="619"/>
      <c r="C698" s="619"/>
      <c r="D698" s="619"/>
      <c r="E698" s="619"/>
      <c r="F698" s="330"/>
      <c r="O698" s="756"/>
      <c r="P698" s="619"/>
      <c r="Q698" s="619"/>
      <c r="R698" s="619"/>
    </row>
    <row r="699" spans="1:18" ht="15.6" x14ac:dyDescent="0.25">
      <c r="A699" s="619"/>
      <c r="B699" s="619"/>
      <c r="C699" s="619"/>
      <c r="D699" s="619"/>
      <c r="E699" s="619"/>
      <c r="F699" s="330"/>
      <c r="O699" s="756"/>
      <c r="P699" s="619"/>
      <c r="Q699" s="619"/>
      <c r="R699" s="619"/>
    </row>
    <row r="700" spans="1:18" ht="15.6" x14ac:dyDescent="0.25">
      <c r="A700" s="619"/>
      <c r="B700" s="619"/>
      <c r="C700" s="619"/>
      <c r="D700" s="619"/>
      <c r="E700" s="619"/>
      <c r="F700" s="330"/>
      <c r="O700" s="756"/>
      <c r="P700" s="619"/>
      <c r="Q700" s="619"/>
      <c r="R700" s="619"/>
    </row>
    <row r="701" spans="1:18" ht="15.6" x14ac:dyDescent="0.25">
      <c r="A701" s="619"/>
      <c r="B701" s="619"/>
      <c r="C701" s="619"/>
      <c r="D701" s="619"/>
      <c r="E701" s="619"/>
      <c r="F701" s="330"/>
      <c r="O701" s="756"/>
      <c r="P701" s="619"/>
      <c r="Q701" s="619"/>
      <c r="R701" s="619"/>
    </row>
    <row r="702" spans="1:18" ht="15.6" x14ac:dyDescent="0.25">
      <c r="A702" s="619"/>
      <c r="B702" s="619"/>
      <c r="C702" s="619"/>
      <c r="D702" s="619"/>
      <c r="E702" s="619"/>
      <c r="F702" s="330"/>
      <c r="O702" s="756"/>
      <c r="P702" s="619"/>
      <c r="Q702" s="619"/>
      <c r="R702" s="619"/>
    </row>
    <row r="703" spans="1:18" ht="15.6" x14ac:dyDescent="0.25">
      <c r="A703" s="619"/>
      <c r="B703" s="619"/>
      <c r="C703" s="619"/>
      <c r="D703" s="619"/>
      <c r="E703" s="619"/>
      <c r="F703" s="330"/>
      <c r="O703" s="756"/>
      <c r="P703" s="619"/>
      <c r="Q703" s="619"/>
      <c r="R703" s="619"/>
    </row>
    <row r="704" spans="1:18" ht="15.6" x14ac:dyDescent="0.25">
      <c r="A704" s="619"/>
      <c r="B704" s="619"/>
      <c r="C704" s="619"/>
      <c r="D704" s="619"/>
      <c r="E704" s="619"/>
      <c r="F704" s="330"/>
      <c r="O704" s="756"/>
      <c r="P704" s="619"/>
      <c r="Q704" s="619"/>
      <c r="R704" s="619"/>
    </row>
    <row r="705" spans="1:18" ht="15.6" x14ac:dyDescent="0.25">
      <c r="A705" s="619"/>
      <c r="B705" s="619"/>
      <c r="C705" s="619"/>
      <c r="D705" s="619"/>
      <c r="E705" s="619"/>
      <c r="F705" s="330"/>
      <c r="O705" s="756"/>
      <c r="P705" s="619"/>
      <c r="Q705" s="619"/>
      <c r="R705" s="619"/>
    </row>
    <row r="706" spans="1:18" ht="15.6" x14ac:dyDescent="0.25">
      <c r="A706" s="619"/>
      <c r="B706" s="619"/>
      <c r="C706" s="619"/>
      <c r="D706" s="619"/>
      <c r="E706" s="619"/>
      <c r="F706" s="330"/>
      <c r="O706" s="756"/>
      <c r="P706" s="619"/>
      <c r="Q706" s="619"/>
      <c r="R706" s="619"/>
    </row>
    <row r="707" spans="1:18" ht="15.6" x14ac:dyDescent="0.25">
      <c r="A707" s="619"/>
      <c r="B707" s="619"/>
      <c r="C707" s="619"/>
      <c r="D707" s="619"/>
      <c r="E707" s="619"/>
      <c r="F707" s="330"/>
      <c r="O707" s="756"/>
      <c r="P707" s="619"/>
      <c r="Q707" s="619"/>
      <c r="R707" s="619"/>
    </row>
    <row r="708" spans="1:18" ht="15.6" x14ac:dyDescent="0.25">
      <c r="A708" s="619"/>
      <c r="B708" s="619"/>
      <c r="C708" s="619"/>
      <c r="D708" s="619"/>
      <c r="E708" s="619"/>
      <c r="F708" s="330"/>
      <c r="O708" s="756"/>
      <c r="P708" s="619"/>
      <c r="Q708" s="619"/>
      <c r="R708" s="619"/>
    </row>
    <row r="709" spans="1:18" ht="15.6" x14ac:dyDescent="0.25">
      <c r="A709" s="619"/>
      <c r="B709" s="619"/>
      <c r="C709" s="619"/>
      <c r="D709" s="619"/>
      <c r="E709" s="619"/>
      <c r="F709" s="330"/>
      <c r="O709" s="756"/>
      <c r="P709" s="619"/>
      <c r="Q709" s="619"/>
      <c r="R709" s="619"/>
    </row>
    <row r="710" spans="1:18" ht="15.6" x14ac:dyDescent="0.25">
      <c r="A710" s="619"/>
      <c r="B710" s="619"/>
      <c r="C710" s="619"/>
      <c r="D710" s="619"/>
      <c r="E710" s="619"/>
      <c r="F710" s="330"/>
      <c r="O710" s="756"/>
      <c r="P710" s="619"/>
      <c r="Q710" s="619"/>
      <c r="R710" s="619"/>
    </row>
    <row r="711" spans="1:18" ht="15.6" x14ac:dyDescent="0.25">
      <c r="A711" s="619"/>
      <c r="B711" s="619"/>
      <c r="C711" s="619"/>
      <c r="D711" s="619"/>
      <c r="E711" s="619"/>
      <c r="F711" s="330"/>
      <c r="O711" s="756"/>
      <c r="P711" s="619"/>
      <c r="Q711" s="619"/>
      <c r="R711" s="619"/>
    </row>
    <row r="712" spans="1:18" ht="15.6" x14ac:dyDescent="0.25">
      <c r="A712" s="619"/>
      <c r="B712" s="619"/>
      <c r="C712" s="619"/>
      <c r="D712" s="619"/>
      <c r="E712" s="619"/>
      <c r="F712" s="330"/>
      <c r="O712" s="756"/>
      <c r="P712" s="619"/>
      <c r="Q712" s="619"/>
      <c r="R712" s="619"/>
    </row>
    <row r="713" spans="1:18" ht="15.6" x14ac:dyDescent="0.25">
      <c r="A713" s="619"/>
      <c r="B713" s="619"/>
      <c r="C713" s="619"/>
      <c r="D713" s="619"/>
      <c r="E713" s="619"/>
      <c r="F713" s="330"/>
      <c r="O713" s="756"/>
      <c r="P713" s="619"/>
      <c r="Q713" s="619"/>
      <c r="R713" s="619"/>
    </row>
    <row r="714" spans="1:18" ht="15.6" x14ac:dyDescent="0.25">
      <c r="A714" s="619"/>
      <c r="B714" s="619"/>
      <c r="C714" s="619"/>
      <c r="D714" s="619"/>
      <c r="E714" s="619"/>
      <c r="F714" s="330"/>
      <c r="O714" s="756"/>
      <c r="P714" s="619"/>
      <c r="Q714" s="619"/>
      <c r="R714" s="619"/>
    </row>
    <row r="715" spans="1:18" ht="15.6" x14ac:dyDescent="0.25">
      <c r="A715" s="619"/>
      <c r="B715" s="619"/>
      <c r="C715" s="619"/>
      <c r="D715" s="619"/>
      <c r="E715" s="619"/>
      <c r="F715" s="330"/>
      <c r="O715" s="756"/>
      <c r="P715" s="619"/>
      <c r="Q715" s="619"/>
      <c r="R715" s="619"/>
    </row>
    <row r="716" spans="1:18" ht="15.6" x14ac:dyDescent="0.25">
      <c r="A716" s="619"/>
      <c r="B716" s="619"/>
      <c r="C716" s="619"/>
      <c r="D716" s="619"/>
      <c r="E716" s="619"/>
      <c r="F716" s="330"/>
      <c r="O716" s="756"/>
      <c r="P716" s="619"/>
      <c r="Q716" s="619"/>
      <c r="R716" s="619"/>
    </row>
    <row r="717" spans="1:18" ht="15.6" x14ac:dyDescent="0.25">
      <c r="A717" s="619"/>
      <c r="B717" s="619"/>
      <c r="C717" s="619"/>
      <c r="D717" s="619"/>
      <c r="E717" s="619"/>
      <c r="F717" s="330"/>
      <c r="O717" s="756"/>
      <c r="P717" s="619"/>
      <c r="Q717" s="619"/>
      <c r="R717" s="619"/>
    </row>
    <row r="718" spans="1:18" ht="15.6" x14ac:dyDescent="0.25">
      <c r="A718" s="619"/>
      <c r="B718" s="619"/>
      <c r="C718" s="619"/>
      <c r="D718" s="619"/>
      <c r="E718" s="619"/>
      <c r="F718" s="330"/>
      <c r="O718" s="756"/>
      <c r="P718" s="619"/>
      <c r="Q718" s="619"/>
      <c r="R718" s="619"/>
    </row>
    <row r="719" spans="1:18" ht="15.6" x14ac:dyDescent="0.25">
      <c r="A719" s="619"/>
      <c r="B719" s="619"/>
      <c r="C719" s="619"/>
      <c r="D719" s="619"/>
      <c r="E719" s="619"/>
      <c r="F719" s="330"/>
      <c r="O719" s="756"/>
      <c r="P719" s="619"/>
      <c r="Q719" s="619"/>
      <c r="R719" s="619"/>
    </row>
    <row r="720" spans="1:18" ht="15.6" x14ac:dyDescent="0.25">
      <c r="A720" s="619"/>
      <c r="B720" s="619"/>
      <c r="C720" s="619"/>
      <c r="D720" s="619"/>
      <c r="E720" s="619"/>
      <c r="F720" s="330"/>
      <c r="O720" s="756"/>
      <c r="P720" s="619"/>
      <c r="Q720" s="619"/>
      <c r="R720" s="619"/>
    </row>
    <row r="721" spans="1:18" ht="15.6" x14ac:dyDescent="0.25">
      <c r="A721" s="619"/>
      <c r="B721" s="619"/>
      <c r="C721" s="619"/>
      <c r="D721" s="619"/>
      <c r="E721" s="619"/>
      <c r="F721" s="330"/>
      <c r="O721" s="756"/>
      <c r="P721" s="619"/>
      <c r="Q721" s="619"/>
      <c r="R721" s="619"/>
    </row>
    <row r="722" spans="1:18" ht="15.6" x14ac:dyDescent="0.25">
      <c r="A722" s="619"/>
      <c r="B722" s="619"/>
      <c r="C722" s="619"/>
      <c r="D722" s="619"/>
      <c r="E722" s="619"/>
      <c r="F722" s="330"/>
      <c r="O722" s="756"/>
      <c r="P722" s="619"/>
      <c r="Q722" s="619"/>
      <c r="R722" s="619"/>
    </row>
    <row r="723" spans="1:18" ht="15.6" x14ac:dyDescent="0.25">
      <c r="A723" s="619"/>
      <c r="B723" s="619"/>
      <c r="C723" s="619"/>
      <c r="D723" s="619"/>
      <c r="E723" s="619"/>
      <c r="F723" s="330"/>
      <c r="O723" s="756"/>
      <c r="P723" s="619"/>
      <c r="Q723" s="619"/>
      <c r="R723" s="619"/>
    </row>
    <row r="724" spans="1:18" ht="15.6" x14ac:dyDescent="0.25">
      <c r="A724" s="619"/>
      <c r="B724" s="619"/>
      <c r="C724" s="619"/>
      <c r="D724" s="619"/>
      <c r="E724" s="619"/>
      <c r="F724" s="330"/>
      <c r="O724" s="756"/>
      <c r="P724" s="619"/>
      <c r="Q724" s="619"/>
      <c r="R724" s="619"/>
    </row>
    <row r="725" spans="1:18" ht="15.6" x14ac:dyDescent="0.25">
      <c r="A725" s="619"/>
      <c r="B725" s="619"/>
      <c r="C725" s="619"/>
      <c r="D725" s="619"/>
      <c r="E725" s="619"/>
      <c r="F725" s="330"/>
      <c r="O725" s="756"/>
      <c r="P725" s="619"/>
      <c r="Q725" s="619"/>
      <c r="R725" s="619"/>
    </row>
    <row r="726" spans="1:18" ht="15.6" x14ac:dyDescent="0.25">
      <c r="A726" s="619"/>
      <c r="B726" s="619"/>
      <c r="C726" s="619"/>
      <c r="D726" s="619"/>
      <c r="E726" s="619"/>
      <c r="F726" s="330"/>
      <c r="O726" s="756"/>
      <c r="P726" s="619"/>
      <c r="Q726" s="619"/>
      <c r="R726" s="619"/>
    </row>
    <row r="727" spans="1:18" ht="15.6" x14ac:dyDescent="0.25">
      <c r="A727" s="619"/>
      <c r="B727" s="619"/>
      <c r="C727" s="619"/>
      <c r="D727" s="619"/>
      <c r="E727" s="619"/>
      <c r="F727" s="330"/>
      <c r="O727" s="756"/>
      <c r="P727" s="619"/>
      <c r="Q727" s="619"/>
      <c r="R727" s="619"/>
    </row>
    <row r="728" spans="1:18" ht="15.6" x14ac:dyDescent="0.25">
      <c r="A728" s="619"/>
      <c r="B728" s="619"/>
      <c r="C728" s="619"/>
      <c r="D728" s="619"/>
      <c r="E728" s="619"/>
      <c r="F728" s="330"/>
      <c r="O728" s="756"/>
      <c r="P728" s="619"/>
      <c r="Q728" s="619"/>
      <c r="R728" s="619"/>
    </row>
    <row r="729" spans="1:18" ht="15.6" x14ac:dyDescent="0.25">
      <c r="A729" s="619"/>
      <c r="B729" s="619"/>
      <c r="C729" s="619"/>
      <c r="D729" s="619"/>
      <c r="E729" s="619"/>
      <c r="F729" s="330"/>
      <c r="O729" s="756"/>
      <c r="P729" s="619"/>
      <c r="Q729" s="619"/>
      <c r="R729" s="619"/>
    </row>
    <row r="730" spans="1:18" ht="15.6" x14ac:dyDescent="0.25">
      <c r="A730" s="619"/>
      <c r="B730" s="619"/>
      <c r="C730" s="619"/>
      <c r="D730" s="619"/>
      <c r="E730" s="619"/>
      <c r="F730" s="330"/>
      <c r="O730" s="756"/>
      <c r="P730" s="619"/>
      <c r="Q730" s="619"/>
      <c r="R730" s="619"/>
    </row>
    <row r="731" spans="1:18" ht="15.6" x14ac:dyDescent="0.25">
      <c r="A731" s="619"/>
      <c r="B731" s="619"/>
      <c r="C731" s="619"/>
      <c r="D731" s="619"/>
      <c r="E731" s="619"/>
      <c r="F731" s="330"/>
      <c r="O731" s="756"/>
      <c r="P731" s="619"/>
      <c r="Q731" s="619"/>
      <c r="R731" s="619"/>
    </row>
    <row r="732" spans="1:18" ht="15.6" x14ac:dyDescent="0.25">
      <c r="A732" s="619"/>
      <c r="B732" s="619"/>
      <c r="C732" s="619"/>
      <c r="D732" s="619"/>
      <c r="E732" s="619"/>
      <c r="F732" s="330"/>
      <c r="O732" s="756"/>
      <c r="P732" s="619"/>
      <c r="Q732" s="619"/>
      <c r="R732" s="619"/>
    </row>
    <row r="733" spans="1:18" ht="15.6" x14ac:dyDescent="0.25">
      <c r="A733" s="619"/>
      <c r="B733" s="619"/>
      <c r="C733" s="619"/>
      <c r="D733" s="619"/>
      <c r="E733" s="619"/>
      <c r="F733" s="330"/>
      <c r="O733" s="756"/>
      <c r="P733" s="619"/>
      <c r="Q733" s="619"/>
      <c r="R733" s="619"/>
    </row>
    <row r="734" spans="1:18" ht="15.6" x14ac:dyDescent="0.25">
      <c r="A734" s="619"/>
      <c r="B734" s="619"/>
      <c r="C734" s="619"/>
      <c r="D734" s="619"/>
      <c r="E734" s="619"/>
      <c r="F734" s="330"/>
      <c r="O734" s="756"/>
      <c r="P734" s="619"/>
      <c r="Q734" s="619"/>
      <c r="R734" s="619"/>
    </row>
    <row r="735" spans="1:18" ht="15.6" x14ac:dyDescent="0.25">
      <c r="A735" s="619"/>
      <c r="B735" s="619"/>
      <c r="C735" s="619"/>
      <c r="D735" s="619"/>
      <c r="E735" s="619"/>
      <c r="F735" s="330"/>
      <c r="O735" s="756"/>
      <c r="P735" s="619"/>
      <c r="Q735" s="619"/>
      <c r="R735" s="619"/>
    </row>
    <row r="736" spans="1:18" ht="15.6" x14ac:dyDescent="0.25">
      <c r="A736" s="619"/>
      <c r="B736" s="619"/>
      <c r="C736" s="619"/>
      <c r="D736" s="619"/>
      <c r="E736" s="619"/>
      <c r="F736" s="330"/>
      <c r="O736" s="756"/>
      <c r="P736" s="619"/>
      <c r="Q736" s="619"/>
      <c r="R736" s="619"/>
    </row>
    <row r="737" spans="1:18" ht="15.6" x14ac:dyDescent="0.25">
      <c r="A737" s="619"/>
      <c r="B737" s="619"/>
      <c r="C737" s="619"/>
      <c r="D737" s="619"/>
      <c r="E737" s="619"/>
      <c r="F737" s="330"/>
      <c r="O737" s="756"/>
      <c r="P737" s="619"/>
      <c r="Q737" s="619"/>
      <c r="R737" s="619"/>
    </row>
    <row r="738" spans="1:18" ht="15.6" x14ac:dyDescent="0.25">
      <c r="A738" s="619"/>
      <c r="B738" s="619"/>
      <c r="C738" s="619"/>
      <c r="D738" s="619"/>
      <c r="E738" s="619"/>
      <c r="F738" s="330"/>
      <c r="O738" s="756"/>
      <c r="P738" s="619"/>
      <c r="Q738" s="619"/>
      <c r="R738" s="619"/>
    </row>
    <row r="739" spans="1:18" ht="15.6" x14ac:dyDescent="0.25">
      <c r="A739" s="619"/>
      <c r="B739" s="619"/>
      <c r="C739" s="619"/>
      <c r="D739" s="619"/>
      <c r="E739" s="619"/>
      <c r="F739" s="330"/>
      <c r="O739" s="756"/>
      <c r="P739" s="619"/>
      <c r="Q739" s="619"/>
      <c r="R739" s="619"/>
    </row>
    <row r="740" spans="1:18" ht="15.6" x14ac:dyDescent="0.25">
      <c r="A740" s="619"/>
      <c r="B740" s="619"/>
      <c r="C740" s="619"/>
      <c r="D740" s="619"/>
      <c r="E740" s="619"/>
      <c r="F740" s="330"/>
      <c r="O740" s="756"/>
      <c r="P740" s="619"/>
      <c r="Q740" s="619"/>
      <c r="R740" s="619"/>
    </row>
    <row r="741" spans="1:18" ht="15.6" x14ac:dyDescent="0.25">
      <c r="A741" s="619"/>
      <c r="B741" s="619"/>
      <c r="C741" s="619"/>
      <c r="D741" s="619"/>
      <c r="E741" s="619"/>
      <c r="F741" s="330"/>
      <c r="O741" s="756"/>
      <c r="P741" s="619"/>
      <c r="Q741" s="619"/>
      <c r="R741" s="619"/>
    </row>
    <row r="742" spans="1:18" ht="15.6" x14ac:dyDescent="0.25">
      <c r="A742" s="619"/>
      <c r="B742" s="619"/>
      <c r="C742" s="619"/>
      <c r="D742" s="619"/>
      <c r="E742" s="619"/>
      <c r="F742" s="330"/>
      <c r="O742" s="756"/>
      <c r="P742" s="619"/>
      <c r="Q742" s="619"/>
      <c r="R742" s="619"/>
    </row>
    <row r="743" spans="1:18" ht="15.6" x14ac:dyDescent="0.25">
      <c r="A743" s="619"/>
      <c r="B743" s="619"/>
      <c r="C743" s="619"/>
      <c r="D743" s="619"/>
      <c r="E743" s="619"/>
      <c r="F743" s="330"/>
      <c r="O743" s="756"/>
      <c r="P743" s="619"/>
      <c r="Q743" s="619"/>
      <c r="R743" s="619"/>
    </row>
    <row r="744" spans="1:18" ht="15.6" x14ac:dyDescent="0.25">
      <c r="A744" s="619"/>
      <c r="B744" s="619"/>
      <c r="C744" s="619"/>
      <c r="D744" s="619"/>
      <c r="E744" s="619"/>
      <c r="F744" s="330"/>
      <c r="O744" s="756"/>
      <c r="P744" s="619"/>
      <c r="Q744" s="619"/>
      <c r="R744" s="619"/>
    </row>
    <row r="745" spans="1:18" ht="15.6" x14ac:dyDescent="0.25">
      <c r="A745" s="619"/>
      <c r="B745" s="619"/>
      <c r="C745" s="619"/>
      <c r="D745" s="619"/>
      <c r="E745" s="619"/>
      <c r="F745" s="330"/>
      <c r="O745" s="756"/>
      <c r="P745" s="619"/>
      <c r="Q745" s="619"/>
      <c r="R745" s="619"/>
    </row>
    <row r="746" spans="1:18" ht="15.6" x14ac:dyDescent="0.25">
      <c r="A746" s="619"/>
      <c r="B746" s="619"/>
      <c r="C746" s="619"/>
      <c r="D746" s="619"/>
      <c r="E746" s="619"/>
      <c r="F746" s="330"/>
      <c r="O746" s="756"/>
      <c r="P746" s="619"/>
      <c r="Q746" s="619"/>
      <c r="R746" s="619"/>
    </row>
    <row r="747" spans="1:18" ht="15.6" x14ac:dyDescent="0.25">
      <c r="A747" s="619"/>
      <c r="B747" s="619"/>
      <c r="C747" s="619"/>
      <c r="D747" s="619"/>
      <c r="E747" s="619"/>
      <c r="F747" s="330"/>
      <c r="O747" s="756"/>
      <c r="P747" s="619"/>
      <c r="Q747" s="619"/>
      <c r="R747" s="619"/>
    </row>
    <row r="748" spans="1:18" ht="15.6" x14ac:dyDescent="0.25">
      <c r="A748" s="619"/>
      <c r="B748" s="619"/>
      <c r="C748" s="619"/>
      <c r="D748" s="619"/>
      <c r="E748" s="619"/>
      <c r="F748" s="330"/>
      <c r="O748" s="756"/>
      <c r="P748" s="619"/>
      <c r="Q748" s="619"/>
      <c r="R748" s="619"/>
    </row>
    <row r="749" spans="1:18" ht="15.6" x14ac:dyDescent="0.25">
      <c r="A749" s="619"/>
      <c r="B749" s="619"/>
      <c r="C749" s="619"/>
      <c r="D749" s="619"/>
      <c r="E749" s="619"/>
      <c r="F749" s="330"/>
      <c r="O749" s="756"/>
      <c r="P749" s="619"/>
      <c r="Q749" s="619"/>
      <c r="R749" s="619"/>
    </row>
    <row r="750" spans="1:18" ht="15.6" x14ac:dyDescent="0.25">
      <c r="A750" s="619"/>
      <c r="B750" s="619"/>
      <c r="C750" s="619"/>
      <c r="D750" s="619"/>
      <c r="E750" s="619"/>
      <c r="F750" s="330"/>
      <c r="O750" s="756"/>
      <c r="P750" s="619"/>
      <c r="Q750" s="619"/>
      <c r="R750" s="619"/>
    </row>
    <row r="751" spans="1:18" ht="15.6" x14ac:dyDescent="0.25">
      <c r="A751" s="619"/>
      <c r="B751" s="619"/>
      <c r="C751" s="619"/>
      <c r="D751" s="619"/>
      <c r="E751" s="619"/>
      <c r="F751" s="330"/>
      <c r="O751" s="756"/>
      <c r="P751" s="619"/>
      <c r="Q751" s="619"/>
      <c r="R751" s="619"/>
    </row>
    <row r="752" spans="1:18" ht="15.6" x14ac:dyDescent="0.25">
      <c r="A752" s="619"/>
      <c r="B752" s="619"/>
      <c r="C752" s="619"/>
      <c r="D752" s="619"/>
      <c r="E752" s="619"/>
      <c r="F752" s="330"/>
      <c r="O752" s="756"/>
      <c r="P752" s="619"/>
      <c r="Q752" s="619"/>
      <c r="R752" s="619"/>
    </row>
    <row r="753" spans="1:18" ht="15.6" x14ac:dyDescent="0.25">
      <c r="A753" s="619"/>
      <c r="B753" s="619"/>
      <c r="C753" s="619"/>
      <c r="D753" s="619"/>
      <c r="E753" s="619"/>
      <c r="F753" s="330"/>
      <c r="O753" s="756"/>
      <c r="P753" s="619"/>
      <c r="Q753" s="619"/>
      <c r="R753" s="619"/>
    </row>
    <row r="754" spans="1:18" ht="15.6" x14ac:dyDescent="0.25">
      <c r="A754" s="619"/>
      <c r="B754" s="619"/>
      <c r="C754" s="619"/>
      <c r="D754" s="619"/>
      <c r="E754" s="619"/>
      <c r="F754" s="330"/>
      <c r="O754" s="756"/>
      <c r="P754" s="619"/>
      <c r="Q754" s="619"/>
      <c r="R754" s="619"/>
    </row>
    <row r="755" spans="1:18" ht="15.6" x14ac:dyDescent="0.25">
      <c r="A755" s="619"/>
      <c r="B755" s="619"/>
      <c r="C755" s="619"/>
      <c r="D755" s="619"/>
      <c r="E755" s="619"/>
      <c r="F755" s="330"/>
      <c r="O755" s="756"/>
      <c r="P755" s="619"/>
      <c r="Q755" s="619"/>
      <c r="R755" s="619"/>
    </row>
    <row r="756" spans="1:18" ht="15.6" x14ac:dyDescent="0.25">
      <c r="A756" s="619"/>
      <c r="B756" s="619"/>
      <c r="C756" s="619"/>
      <c r="D756" s="619"/>
      <c r="E756" s="619"/>
      <c r="F756" s="330"/>
      <c r="O756" s="756"/>
      <c r="P756" s="619"/>
      <c r="Q756" s="619"/>
      <c r="R756" s="619"/>
    </row>
    <row r="757" spans="1:18" ht="15.6" x14ac:dyDescent="0.25">
      <c r="A757" s="619"/>
      <c r="B757" s="619"/>
      <c r="C757" s="619"/>
      <c r="D757" s="619"/>
      <c r="E757" s="619"/>
      <c r="F757" s="330"/>
      <c r="O757" s="756"/>
      <c r="P757" s="619"/>
      <c r="Q757" s="619"/>
      <c r="R757" s="619"/>
    </row>
    <row r="758" spans="1:18" ht="15.6" x14ac:dyDescent="0.25">
      <c r="A758" s="619"/>
      <c r="B758" s="619"/>
      <c r="C758" s="619"/>
      <c r="D758" s="619"/>
      <c r="E758" s="619"/>
      <c r="F758" s="330"/>
      <c r="O758" s="756"/>
      <c r="P758" s="619"/>
      <c r="Q758" s="619"/>
      <c r="R758" s="619"/>
    </row>
    <row r="759" spans="1:18" ht="15.6" x14ac:dyDescent="0.25">
      <c r="A759" s="619"/>
      <c r="B759" s="619"/>
      <c r="C759" s="619"/>
      <c r="D759" s="619"/>
      <c r="E759" s="619"/>
      <c r="F759" s="330"/>
      <c r="O759" s="756"/>
      <c r="P759" s="619"/>
      <c r="Q759" s="619"/>
      <c r="R759" s="619"/>
    </row>
    <row r="760" spans="1:18" ht="15.6" x14ac:dyDescent="0.25">
      <c r="A760" s="619"/>
      <c r="B760" s="619"/>
      <c r="C760" s="619"/>
      <c r="D760" s="619"/>
      <c r="E760" s="619"/>
      <c r="F760" s="330"/>
      <c r="O760" s="756"/>
      <c r="P760" s="619"/>
      <c r="Q760" s="619"/>
      <c r="R760" s="619"/>
    </row>
    <row r="761" spans="1:18" ht="15.6" x14ac:dyDescent="0.25">
      <c r="A761" s="619"/>
      <c r="B761" s="619"/>
      <c r="C761" s="619"/>
      <c r="D761" s="619"/>
      <c r="E761" s="619"/>
      <c r="F761" s="330"/>
      <c r="O761" s="756"/>
      <c r="P761" s="619"/>
      <c r="Q761" s="619"/>
      <c r="R761" s="619"/>
    </row>
    <row r="762" spans="1:18" ht="15.6" x14ac:dyDescent="0.25">
      <c r="A762" s="619"/>
      <c r="B762" s="619"/>
      <c r="C762" s="619"/>
      <c r="D762" s="619"/>
      <c r="E762" s="619"/>
      <c r="F762" s="330"/>
      <c r="O762" s="756"/>
      <c r="P762" s="619"/>
      <c r="Q762" s="619"/>
      <c r="R762" s="619"/>
    </row>
    <row r="763" spans="1:18" ht="15.6" x14ac:dyDescent="0.25">
      <c r="A763" s="619"/>
      <c r="B763" s="619"/>
      <c r="C763" s="619"/>
      <c r="D763" s="619"/>
      <c r="E763" s="619"/>
      <c r="F763" s="330"/>
      <c r="O763" s="756"/>
      <c r="P763" s="619"/>
      <c r="Q763" s="619"/>
      <c r="R763" s="619"/>
    </row>
    <row r="764" spans="1:18" ht="15.6" x14ac:dyDescent="0.25">
      <c r="A764" s="619"/>
      <c r="B764" s="619"/>
      <c r="C764" s="619"/>
      <c r="D764" s="619"/>
      <c r="E764" s="619"/>
      <c r="F764" s="330"/>
      <c r="O764" s="756"/>
      <c r="P764" s="619"/>
      <c r="Q764" s="619"/>
      <c r="R764" s="619"/>
    </row>
    <row r="765" spans="1:18" ht="15.6" x14ac:dyDescent="0.25">
      <c r="A765" s="619"/>
      <c r="B765" s="619"/>
      <c r="C765" s="619"/>
      <c r="D765" s="619"/>
      <c r="E765" s="619"/>
      <c r="F765" s="330"/>
      <c r="O765" s="756"/>
      <c r="P765" s="619"/>
      <c r="Q765" s="619"/>
      <c r="R765" s="619"/>
    </row>
    <row r="766" spans="1:18" ht="15.6" x14ac:dyDescent="0.25">
      <c r="A766" s="619"/>
      <c r="B766" s="619"/>
      <c r="C766" s="619"/>
      <c r="D766" s="619"/>
      <c r="E766" s="619"/>
      <c r="F766" s="330"/>
      <c r="O766" s="756"/>
      <c r="P766" s="619"/>
      <c r="Q766" s="619"/>
      <c r="R766" s="619"/>
    </row>
    <row r="767" spans="1:18" ht="15.6" x14ac:dyDescent="0.25">
      <c r="A767" s="619"/>
      <c r="B767" s="619"/>
      <c r="C767" s="619"/>
      <c r="D767" s="619"/>
      <c r="E767" s="619"/>
      <c r="F767" s="330"/>
      <c r="O767" s="756"/>
      <c r="P767" s="619"/>
      <c r="Q767" s="619"/>
      <c r="R767" s="619"/>
    </row>
    <row r="768" spans="1:18" ht="15.6" x14ac:dyDescent="0.25">
      <c r="A768" s="619"/>
      <c r="B768" s="619"/>
      <c r="C768" s="619"/>
      <c r="D768" s="619"/>
      <c r="E768" s="619"/>
      <c r="F768" s="330"/>
      <c r="O768" s="756"/>
      <c r="P768" s="619"/>
      <c r="Q768" s="619"/>
      <c r="R768" s="619"/>
    </row>
    <row r="769" spans="1:18" ht="15.6" x14ac:dyDescent="0.25">
      <c r="A769" s="619"/>
      <c r="B769" s="619"/>
      <c r="C769" s="619"/>
      <c r="D769" s="619"/>
      <c r="E769" s="619"/>
      <c r="F769" s="330"/>
      <c r="O769" s="756"/>
      <c r="P769" s="619"/>
      <c r="Q769" s="619"/>
      <c r="R769" s="619"/>
    </row>
    <row r="770" spans="1:18" ht="15.6" x14ac:dyDescent="0.25">
      <c r="A770" s="619"/>
      <c r="B770" s="619"/>
      <c r="C770" s="619"/>
      <c r="D770" s="619"/>
      <c r="E770" s="619"/>
      <c r="F770" s="330"/>
      <c r="O770" s="756"/>
      <c r="P770" s="619"/>
      <c r="Q770" s="619"/>
      <c r="R770" s="619"/>
    </row>
    <row r="771" spans="1:18" ht="15.6" x14ac:dyDescent="0.25">
      <c r="A771" s="619"/>
      <c r="B771" s="619"/>
      <c r="C771" s="619"/>
      <c r="D771" s="619"/>
      <c r="E771" s="619"/>
      <c r="F771" s="330"/>
      <c r="O771" s="756"/>
      <c r="P771" s="619"/>
      <c r="Q771" s="619"/>
      <c r="R771" s="619"/>
    </row>
    <row r="772" spans="1:18" ht="15.6" x14ac:dyDescent="0.25">
      <c r="A772" s="619"/>
      <c r="B772" s="619"/>
      <c r="C772" s="619"/>
      <c r="D772" s="619"/>
      <c r="E772" s="619"/>
      <c r="F772" s="330"/>
      <c r="O772" s="756"/>
      <c r="P772" s="619"/>
      <c r="Q772" s="619"/>
      <c r="R772" s="619"/>
    </row>
    <row r="773" spans="1:18" ht="15.6" x14ac:dyDescent="0.25">
      <c r="A773" s="619"/>
      <c r="B773" s="619"/>
      <c r="C773" s="619"/>
      <c r="D773" s="619"/>
      <c r="E773" s="619"/>
      <c r="F773" s="330"/>
      <c r="O773" s="756"/>
      <c r="P773" s="619"/>
      <c r="Q773" s="619"/>
      <c r="R773" s="619"/>
    </row>
    <row r="774" spans="1:18" ht="15.6" x14ac:dyDescent="0.25">
      <c r="A774" s="619"/>
      <c r="B774" s="619"/>
      <c r="C774" s="619"/>
      <c r="D774" s="619"/>
      <c r="E774" s="619"/>
      <c r="F774" s="330"/>
      <c r="O774" s="756"/>
      <c r="P774" s="619"/>
      <c r="Q774" s="619"/>
      <c r="R774" s="619"/>
    </row>
    <row r="775" spans="1:18" ht="15.6" x14ac:dyDescent="0.25">
      <c r="A775" s="619"/>
      <c r="B775" s="619"/>
      <c r="C775" s="619"/>
      <c r="D775" s="619"/>
      <c r="E775" s="619"/>
      <c r="F775" s="330"/>
      <c r="O775" s="756"/>
      <c r="P775" s="619"/>
      <c r="Q775" s="619"/>
      <c r="R775" s="619"/>
    </row>
    <row r="776" spans="1:18" ht="15.6" x14ac:dyDescent="0.25">
      <c r="A776" s="619"/>
      <c r="B776" s="619"/>
      <c r="C776" s="619"/>
      <c r="D776" s="619"/>
      <c r="E776" s="619"/>
      <c r="F776" s="330"/>
      <c r="O776" s="756"/>
      <c r="P776" s="619"/>
      <c r="Q776" s="619"/>
      <c r="R776" s="619"/>
    </row>
    <row r="777" spans="1:18" ht="15.6" x14ac:dyDescent="0.25">
      <c r="A777" s="619"/>
      <c r="B777" s="619"/>
      <c r="C777" s="619"/>
      <c r="D777" s="619"/>
      <c r="E777" s="619"/>
      <c r="F777" s="330"/>
      <c r="O777" s="756"/>
      <c r="P777" s="619"/>
      <c r="Q777" s="619"/>
      <c r="R777" s="619"/>
    </row>
    <row r="778" spans="1:18" ht="15.6" x14ac:dyDescent="0.25">
      <c r="A778" s="619"/>
      <c r="B778" s="619"/>
      <c r="C778" s="619"/>
      <c r="D778" s="619"/>
      <c r="E778" s="619"/>
      <c r="F778" s="330"/>
      <c r="O778" s="756"/>
      <c r="P778" s="619"/>
      <c r="Q778" s="619"/>
      <c r="R778" s="619"/>
    </row>
    <row r="779" spans="1:18" ht="15.6" x14ac:dyDescent="0.25">
      <c r="A779" s="619"/>
      <c r="B779" s="619"/>
      <c r="C779" s="619"/>
      <c r="D779" s="619"/>
      <c r="E779" s="619"/>
      <c r="F779" s="330"/>
      <c r="O779" s="756"/>
      <c r="P779" s="619"/>
      <c r="Q779" s="619"/>
      <c r="R779" s="619"/>
    </row>
    <row r="780" spans="1:18" ht="15.6" x14ac:dyDescent="0.25">
      <c r="A780" s="619"/>
      <c r="B780" s="619"/>
      <c r="C780" s="619"/>
      <c r="D780" s="619"/>
      <c r="E780" s="619"/>
      <c r="F780" s="330"/>
      <c r="O780" s="756"/>
      <c r="P780" s="619"/>
      <c r="Q780" s="619"/>
      <c r="R780" s="619"/>
    </row>
    <row r="781" spans="1:18" ht="15.6" x14ac:dyDescent="0.25">
      <c r="A781" s="619"/>
      <c r="B781" s="619"/>
      <c r="C781" s="619"/>
      <c r="D781" s="619"/>
      <c r="E781" s="619"/>
      <c r="F781" s="330"/>
      <c r="O781" s="756"/>
      <c r="P781" s="619"/>
      <c r="Q781" s="619"/>
      <c r="R781" s="619"/>
    </row>
    <row r="782" spans="1:18" ht="15.6" x14ac:dyDescent="0.25">
      <c r="A782" s="619"/>
      <c r="B782" s="619"/>
      <c r="C782" s="619"/>
      <c r="D782" s="619"/>
      <c r="E782" s="619"/>
      <c r="F782" s="330"/>
      <c r="O782" s="756"/>
      <c r="P782" s="619"/>
      <c r="Q782" s="619"/>
      <c r="R782" s="619"/>
    </row>
    <row r="783" spans="1:18" ht="15.6" x14ac:dyDescent="0.25">
      <c r="A783" s="619"/>
      <c r="B783" s="619"/>
      <c r="C783" s="619"/>
      <c r="D783" s="619"/>
      <c r="E783" s="619"/>
      <c r="F783" s="330"/>
      <c r="O783" s="756"/>
      <c r="P783" s="619"/>
      <c r="Q783" s="619"/>
      <c r="R783" s="619"/>
    </row>
    <row r="784" spans="1:18" ht="15.6" x14ac:dyDescent="0.25">
      <c r="A784" s="619"/>
      <c r="B784" s="619"/>
      <c r="C784" s="619"/>
      <c r="D784" s="619"/>
      <c r="E784" s="619"/>
      <c r="F784" s="330"/>
      <c r="O784" s="756"/>
      <c r="P784" s="619"/>
      <c r="Q784" s="619"/>
      <c r="R784" s="619"/>
    </row>
    <row r="785" spans="1:18" ht="15.6" x14ac:dyDescent="0.25">
      <c r="A785" s="619"/>
      <c r="B785" s="619"/>
      <c r="C785" s="619"/>
      <c r="D785" s="619"/>
      <c r="E785" s="619"/>
      <c r="F785" s="330"/>
      <c r="O785" s="756"/>
      <c r="P785" s="619"/>
      <c r="Q785" s="619"/>
      <c r="R785" s="619"/>
    </row>
    <row r="786" spans="1:18" ht="15.6" x14ac:dyDescent="0.25">
      <c r="A786" s="619"/>
      <c r="B786" s="619"/>
      <c r="C786" s="619"/>
      <c r="D786" s="619"/>
      <c r="E786" s="619"/>
      <c r="F786" s="330"/>
      <c r="O786" s="756"/>
      <c r="P786" s="619"/>
      <c r="Q786" s="619"/>
      <c r="R786" s="619"/>
    </row>
    <row r="787" spans="1:18" ht="15.6" x14ac:dyDescent="0.25">
      <c r="A787" s="619"/>
      <c r="B787" s="619"/>
      <c r="C787" s="619"/>
      <c r="D787" s="619"/>
      <c r="E787" s="619"/>
      <c r="F787" s="330"/>
      <c r="O787" s="756"/>
      <c r="P787" s="619"/>
      <c r="Q787" s="619"/>
      <c r="R787" s="619"/>
    </row>
    <row r="788" spans="1:18" ht="15.6" x14ac:dyDescent="0.25">
      <c r="A788" s="619"/>
      <c r="B788" s="619"/>
      <c r="C788" s="619"/>
      <c r="D788" s="619"/>
      <c r="E788" s="619"/>
      <c r="F788" s="330"/>
      <c r="O788" s="756"/>
      <c r="P788" s="619"/>
      <c r="Q788" s="619"/>
      <c r="R788" s="619"/>
    </row>
    <row r="789" spans="1:18" ht="15.6" x14ac:dyDescent="0.25">
      <c r="A789" s="619"/>
      <c r="B789" s="619"/>
      <c r="C789" s="619"/>
      <c r="D789" s="619"/>
      <c r="E789" s="619"/>
      <c r="F789" s="330"/>
      <c r="O789" s="756"/>
      <c r="P789" s="619"/>
      <c r="Q789" s="619"/>
      <c r="R789" s="619"/>
    </row>
    <row r="790" spans="1:18" ht="15.6" x14ac:dyDescent="0.25">
      <c r="A790" s="619"/>
      <c r="B790" s="619"/>
      <c r="C790" s="619"/>
      <c r="D790" s="619"/>
      <c r="E790" s="619"/>
      <c r="F790" s="330"/>
      <c r="O790" s="756"/>
      <c r="P790" s="619"/>
      <c r="Q790" s="619"/>
      <c r="R790" s="619"/>
    </row>
    <row r="791" spans="1:18" ht="15.6" x14ac:dyDescent="0.25">
      <c r="A791" s="619"/>
      <c r="B791" s="619"/>
      <c r="C791" s="619"/>
      <c r="D791" s="619"/>
      <c r="E791" s="619"/>
      <c r="F791" s="330"/>
      <c r="O791" s="756"/>
      <c r="P791" s="619"/>
      <c r="Q791" s="619"/>
      <c r="R791" s="619"/>
    </row>
    <row r="792" spans="1:18" ht="15.6" x14ac:dyDescent="0.25">
      <c r="A792" s="619"/>
      <c r="B792" s="619"/>
      <c r="C792" s="619"/>
      <c r="D792" s="619"/>
      <c r="E792" s="619"/>
      <c r="F792" s="330"/>
      <c r="O792" s="756"/>
      <c r="P792" s="619"/>
      <c r="Q792" s="619"/>
      <c r="R792" s="619"/>
    </row>
    <row r="793" spans="1:18" ht="15.6" x14ac:dyDescent="0.25">
      <c r="A793" s="619"/>
      <c r="B793" s="619"/>
      <c r="C793" s="619"/>
      <c r="D793" s="619"/>
      <c r="E793" s="619"/>
      <c r="F793" s="330"/>
      <c r="O793" s="756"/>
      <c r="P793" s="619"/>
      <c r="Q793" s="619"/>
      <c r="R793" s="619"/>
    </row>
    <row r="794" spans="1:18" ht="15.6" x14ac:dyDescent="0.25">
      <c r="A794" s="619"/>
      <c r="B794" s="619"/>
      <c r="C794" s="619"/>
      <c r="D794" s="619"/>
      <c r="E794" s="619"/>
      <c r="F794" s="330"/>
      <c r="O794" s="756"/>
      <c r="P794" s="619"/>
      <c r="Q794" s="619"/>
      <c r="R794" s="619"/>
    </row>
    <row r="795" spans="1:18" ht="15.6" x14ac:dyDescent="0.25">
      <c r="A795" s="619"/>
      <c r="B795" s="619"/>
      <c r="C795" s="619"/>
      <c r="D795" s="619"/>
      <c r="E795" s="619"/>
      <c r="F795" s="330"/>
      <c r="O795" s="756"/>
      <c r="P795" s="619"/>
      <c r="Q795" s="619"/>
      <c r="R795" s="619"/>
    </row>
    <row r="796" spans="1:18" ht="15.6" x14ac:dyDescent="0.25">
      <c r="A796" s="619"/>
      <c r="B796" s="619"/>
      <c r="C796" s="619"/>
      <c r="D796" s="619"/>
      <c r="E796" s="619"/>
      <c r="F796" s="330"/>
      <c r="O796" s="756"/>
      <c r="P796" s="619"/>
      <c r="Q796" s="619"/>
      <c r="R796" s="619"/>
    </row>
    <row r="797" spans="1:18" ht="15.6" x14ac:dyDescent="0.25">
      <c r="A797" s="619"/>
      <c r="B797" s="619"/>
      <c r="C797" s="619"/>
      <c r="D797" s="619"/>
      <c r="E797" s="619"/>
      <c r="F797" s="330"/>
      <c r="O797" s="756"/>
      <c r="P797" s="619"/>
      <c r="Q797" s="619"/>
      <c r="R797" s="619"/>
    </row>
    <row r="798" spans="1:18" ht="15.6" x14ac:dyDescent="0.25">
      <c r="A798" s="619"/>
      <c r="B798" s="619"/>
      <c r="C798" s="619"/>
      <c r="D798" s="619"/>
      <c r="E798" s="619"/>
      <c r="F798" s="330"/>
      <c r="O798" s="756"/>
      <c r="P798" s="619"/>
      <c r="Q798" s="619"/>
      <c r="R798" s="619"/>
    </row>
    <row r="799" spans="1:18" ht="15.6" x14ac:dyDescent="0.25">
      <c r="A799" s="619"/>
      <c r="B799" s="619"/>
      <c r="C799" s="619"/>
      <c r="D799" s="619"/>
      <c r="E799" s="619"/>
      <c r="F799" s="330"/>
      <c r="O799" s="756"/>
      <c r="P799" s="619"/>
      <c r="Q799" s="619"/>
      <c r="R799" s="619"/>
    </row>
    <row r="800" spans="1:18" ht="15.6" x14ac:dyDescent="0.25">
      <c r="A800" s="619"/>
      <c r="B800" s="619"/>
      <c r="C800" s="619"/>
      <c r="D800" s="619"/>
      <c r="E800" s="619"/>
      <c r="F800" s="330"/>
      <c r="O800" s="756"/>
      <c r="P800" s="619"/>
      <c r="Q800" s="619"/>
      <c r="R800" s="619"/>
    </row>
    <row r="801" spans="1:18" ht="15.6" x14ac:dyDescent="0.25">
      <c r="A801" s="619"/>
      <c r="B801" s="619"/>
      <c r="C801" s="619"/>
      <c r="D801" s="619"/>
      <c r="E801" s="619"/>
      <c r="F801" s="330"/>
      <c r="O801" s="756"/>
      <c r="P801" s="619"/>
      <c r="Q801" s="619"/>
      <c r="R801" s="619"/>
    </row>
    <row r="802" spans="1:18" ht="15.6" x14ac:dyDescent="0.25">
      <c r="A802" s="619"/>
      <c r="B802" s="619"/>
      <c r="C802" s="619"/>
      <c r="D802" s="619"/>
      <c r="E802" s="619"/>
      <c r="F802" s="330"/>
      <c r="O802" s="756"/>
      <c r="P802" s="619"/>
      <c r="Q802" s="619"/>
      <c r="R802" s="619"/>
    </row>
    <row r="803" spans="1:18" ht="15.6" x14ac:dyDescent="0.25">
      <c r="A803" s="619"/>
      <c r="B803" s="619"/>
      <c r="C803" s="619"/>
      <c r="D803" s="619"/>
      <c r="E803" s="619"/>
      <c r="F803" s="330"/>
      <c r="O803" s="756"/>
      <c r="P803" s="619"/>
      <c r="Q803" s="619"/>
      <c r="R803" s="619"/>
    </row>
    <row r="804" spans="1:18" ht="15.6" x14ac:dyDescent="0.25">
      <c r="A804" s="619"/>
      <c r="B804" s="619"/>
      <c r="C804" s="619"/>
      <c r="D804" s="619"/>
      <c r="E804" s="619"/>
      <c r="F804" s="330"/>
      <c r="O804" s="756"/>
      <c r="P804" s="619"/>
      <c r="Q804" s="619"/>
      <c r="R804" s="619"/>
    </row>
    <row r="805" spans="1:18" ht="15.6" x14ac:dyDescent="0.25">
      <c r="A805" s="619"/>
      <c r="B805" s="619"/>
      <c r="C805" s="619"/>
      <c r="D805" s="619"/>
      <c r="E805" s="619"/>
      <c r="F805" s="330"/>
      <c r="O805" s="756"/>
      <c r="P805" s="619"/>
      <c r="Q805" s="619"/>
      <c r="R805" s="619"/>
    </row>
    <row r="806" spans="1:18" ht="15.6" x14ac:dyDescent="0.25">
      <c r="A806" s="619"/>
      <c r="B806" s="619"/>
      <c r="C806" s="619"/>
      <c r="D806" s="619"/>
      <c r="E806" s="619"/>
      <c r="F806" s="330"/>
      <c r="O806" s="756"/>
      <c r="P806" s="619"/>
      <c r="Q806" s="619"/>
      <c r="R806" s="619"/>
    </row>
    <row r="807" spans="1:18" ht="15.6" x14ac:dyDescent="0.25">
      <c r="A807" s="619"/>
      <c r="B807" s="619"/>
      <c r="C807" s="619"/>
      <c r="D807" s="619"/>
      <c r="E807" s="619"/>
      <c r="F807" s="330"/>
      <c r="O807" s="756"/>
      <c r="P807" s="619"/>
      <c r="Q807" s="619"/>
      <c r="R807" s="619"/>
    </row>
    <row r="808" spans="1:18" ht="15.6" x14ac:dyDescent="0.25">
      <c r="A808" s="619"/>
      <c r="B808" s="619"/>
      <c r="C808" s="619"/>
      <c r="D808" s="619"/>
      <c r="E808" s="619"/>
      <c r="F808" s="330"/>
      <c r="O808" s="756"/>
      <c r="P808" s="619"/>
      <c r="Q808" s="619"/>
      <c r="R808" s="619"/>
    </row>
    <row r="809" spans="1:18" ht="15.6" x14ac:dyDescent="0.25">
      <c r="A809" s="619"/>
      <c r="B809" s="619"/>
      <c r="C809" s="619"/>
      <c r="D809" s="619"/>
      <c r="E809" s="619"/>
      <c r="F809" s="330"/>
      <c r="O809" s="756"/>
      <c r="P809" s="619"/>
      <c r="Q809" s="619"/>
      <c r="R809" s="619"/>
    </row>
    <row r="810" spans="1:18" ht="15.6" x14ac:dyDescent="0.25">
      <c r="A810" s="619"/>
      <c r="B810" s="619"/>
      <c r="C810" s="619"/>
      <c r="D810" s="619"/>
      <c r="E810" s="619"/>
      <c r="F810" s="330"/>
      <c r="O810" s="756"/>
      <c r="P810" s="619"/>
      <c r="Q810" s="619"/>
      <c r="R810" s="619"/>
    </row>
    <row r="811" spans="1:18" ht="15.6" x14ac:dyDescent="0.25">
      <c r="A811" s="619"/>
      <c r="B811" s="619"/>
      <c r="C811" s="619"/>
      <c r="D811" s="619"/>
      <c r="E811" s="619"/>
      <c r="F811" s="330"/>
      <c r="O811" s="756"/>
      <c r="P811" s="619"/>
      <c r="Q811" s="619"/>
      <c r="R811" s="619"/>
    </row>
    <row r="812" spans="1:18" ht="15.6" x14ac:dyDescent="0.25">
      <c r="A812" s="619"/>
      <c r="B812" s="619"/>
      <c r="C812" s="619"/>
      <c r="D812" s="619"/>
      <c r="E812" s="619"/>
      <c r="F812" s="330"/>
      <c r="O812" s="756"/>
      <c r="P812" s="619"/>
      <c r="Q812" s="619"/>
      <c r="R812" s="619"/>
    </row>
    <row r="813" spans="1:18" ht="15.6" x14ac:dyDescent="0.25">
      <c r="A813" s="619"/>
      <c r="B813" s="619"/>
      <c r="C813" s="619"/>
      <c r="D813" s="619"/>
      <c r="E813" s="619"/>
      <c r="F813" s="330"/>
      <c r="O813" s="756"/>
      <c r="P813" s="619"/>
      <c r="Q813" s="619"/>
      <c r="R813" s="619"/>
    </row>
    <row r="814" spans="1:18" ht="15.6" x14ac:dyDescent="0.25">
      <c r="A814" s="619"/>
      <c r="B814" s="619"/>
      <c r="C814" s="619"/>
      <c r="D814" s="619"/>
      <c r="E814" s="619"/>
      <c r="F814" s="330"/>
      <c r="O814" s="756"/>
      <c r="P814" s="619"/>
      <c r="Q814" s="619"/>
      <c r="R814" s="619"/>
    </row>
    <row r="815" spans="1:18" ht="15.6" x14ac:dyDescent="0.25">
      <c r="A815" s="619"/>
      <c r="B815" s="619"/>
      <c r="C815" s="619"/>
      <c r="D815" s="619"/>
      <c r="E815" s="619"/>
      <c r="F815" s="330"/>
      <c r="O815" s="756"/>
      <c r="P815" s="619"/>
      <c r="Q815" s="619"/>
      <c r="R815" s="619"/>
    </row>
    <row r="816" spans="1:18" ht="15.6" x14ac:dyDescent="0.25">
      <c r="A816" s="619"/>
      <c r="B816" s="619"/>
      <c r="C816" s="619"/>
      <c r="D816" s="619"/>
      <c r="E816" s="619"/>
      <c r="F816" s="330"/>
      <c r="O816" s="756"/>
      <c r="P816" s="619"/>
      <c r="Q816" s="619"/>
      <c r="R816" s="619"/>
    </row>
    <row r="817" spans="1:18" ht="15.6" x14ac:dyDescent="0.25">
      <c r="A817" s="619"/>
      <c r="B817" s="619"/>
      <c r="C817" s="619"/>
      <c r="D817" s="619"/>
      <c r="E817" s="619"/>
      <c r="F817" s="330"/>
      <c r="O817" s="756"/>
      <c r="P817" s="619"/>
      <c r="Q817" s="619"/>
      <c r="R817" s="619"/>
    </row>
    <row r="818" spans="1:18" ht="15.6" x14ac:dyDescent="0.25">
      <c r="A818" s="619"/>
      <c r="B818" s="619"/>
      <c r="C818" s="619"/>
      <c r="D818" s="619"/>
      <c r="E818" s="619"/>
      <c r="F818" s="330"/>
      <c r="O818" s="756"/>
      <c r="P818" s="619"/>
      <c r="Q818" s="619"/>
      <c r="R818" s="619"/>
    </row>
    <row r="819" spans="1:18" ht="15.6" x14ac:dyDescent="0.25">
      <c r="A819" s="619"/>
      <c r="B819" s="619"/>
      <c r="C819" s="619"/>
      <c r="D819" s="619"/>
      <c r="E819" s="619"/>
      <c r="F819" s="330"/>
      <c r="O819" s="756"/>
      <c r="P819" s="619"/>
      <c r="Q819" s="619"/>
      <c r="R819" s="619"/>
    </row>
    <row r="820" spans="1:18" ht="15.6" x14ac:dyDescent="0.25">
      <c r="A820" s="619"/>
      <c r="B820" s="619"/>
      <c r="C820" s="619"/>
      <c r="D820" s="619"/>
      <c r="E820" s="619"/>
      <c r="F820" s="330"/>
      <c r="O820" s="756"/>
      <c r="P820" s="619"/>
      <c r="Q820" s="619"/>
      <c r="R820" s="619"/>
    </row>
    <row r="821" spans="1:18" ht="15.6" x14ac:dyDescent="0.25">
      <c r="A821" s="619"/>
      <c r="B821" s="619"/>
      <c r="C821" s="619"/>
      <c r="D821" s="619"/>
      <c r="E821" s="619"/>
      <c r="F821" s="330"/>
      <c r="O821" s="756"/>
      <c r="P821" s="619"/>
      <c r="Q821" s="619"/>
      <c r="R821" s="619"/>
    </row>
    <row r="822" spans="1:18" ht="15.6" x14ac:dyDescent="0.25">
      <c r="A822" s="619"/>
      <c r="B822" s="619"/>
      <c r="C822" s="619"/>
      <c r="D822" s="619"/>
      <c r="E822" s="619"/>
      <c r="F822" s="330"/>
      <c r="O822" s="756"/>
      <c r="P822" s="619"/>
      <c r="Q822" s="619"/>
      <c r="R822" s="619"/>
    </row>
    <row r="823" spans="1:18" ht="15.6" x14ac:dyDescent="0.25">
      <c r="A823" s="619"/>
      <c r="B823" s="619"/>
      <c r="C823" s="619"/>
      <c r="D823" s="619"/>
      <c r="E823" s="619"/>
      <c r="F823" s="330"/>
      <c r="O823" s="756"/>
      <c r="P823" s="619"/>
      <c r="Q823" s="619"/>
      <c r="R823" s="619"/>
    </row>
    <row r="824" spans="1:18" ht="15.6" x14ac:dyDescent="0.25">
      <c r="A824" s="619"/>
      <c r="B824" s="619"/>
      <c r="C824" s="619"/>
      <c r="D824" s="619"/>
      <c r="E824" s="619"/>
      <c r="F824" s="330"/>
      <c r="O824" s="756"/>
      <c r="P824" s="619"/>
      <c r="Q824" s="619"/>
      <c r="R824" s="619"/>
    </row>
    <row r="825" spans="1:18" ht="15.6" x14ac:dyDescent="0.25">
      <c r="A825" s="619"/>
      <c r="B825" s="619"/>
      <c r="C825" s="619"/>
      <c r="D825" s="619"/>
      <c r="E825" s="619"/>
      <c r="F825" s="330"/>
      <c r="O825" s="756"/>
      <c r="P825" s="619"/>
      <c r="Q825" s="619"/>
      <c r="R825" s="619"/>
    </row>
    <row r="826" spans="1:18" ht="15.6" x14ac:dyDescent="0.25">
      <c r="A826" s="619"/>
      <c r="B826" s="619"/>
      <c r="C826" s="619"/>
      <c r="D826" s="619"/>
      <c r="E826" s="619"/>
      <c r="F826" s="330"/>
      <c r="O826" s="756"/>
      <c r="P826" s="619"/>
      <c r="Q826" s="619"/>
      <c r="R826" s="619"/>
    </row>
    <row r="827" spans="1:18" ht="15.6" x14ac:dyDescent="0.25">
      <c r="A827" s="619"/>
      <c r="B827" s="619"/>
      <c r="C827" s="619"/>
      <c r="D827" s="619"/>
      <c r="E827" s="619"/>
      <c r="F827" s="330"/>
      <c r="O827" s="756"/>
      <c r="P827" s="619"/>
      <c r="Q827" s="619"/>
      <c r="R827" s="619"/>
    </row>
    <row r="828" spans="1:18" ht="15.6" x14ac:dyDescent="0.25">
      <c r="A828" s="619"/>
      <c r="B828" s="619"/>
      <c r="C828" s="619"/>
      <c r="D828" s="619"/>
      <c r="E828" s="619"/>
      <c r="F828" s="330"/>
      <c r="O828" s="756"/>
      <c r="P828" s="619"/>
      <c r="Q828" s="619"/>
      <c r="R828" s="619"/>
    </row>
    <row r="829" spans="1:18" ht="15.6" x14ac:dyDescent="0.25">
      <c r="A829" s="619"/>
      <c r="B829" s="619"/>
      <c r="C829" s="619"/>
      <c r="D829" s="619"/>
      <c r="E829" s="619"/>
      <c r="F829" s="330"/>
      <c r="O829" s="756"/>
      <c r="P829" s="619"/>
      <c r="Q829" s="619"/>
      <c r="R829" s="619"/>
    </row>
    <row r="830" spans="1:18" ht="15.6" x14ac:dyDescent="0.25">
      <c r="A830" s="619"/>
      <c r="B830" s="619"/>
      <c r="C830" s="619"/>
      <c r="D830" s="619"/>
      <c r="E830" s="619"/>
      <c r="F830" s="330"/>
      <c r="O830" s="756"/>
      <c r="P830" s="619"/>
      <c r="Q830" s="619"/>
      <c r="R830" s="619"/>
    </row>
    <row r="831" spans="1:18" ht="15.6" x14ac:dyDescent="0.25">
      <c r="A831" s="619"/>
      <c r="B831" s="619"/>
      <c r="C831" s="619"/>
      <c r="D831" s="619"/>
      <c r="E831" s="619"/>
      <c r="F831" s="330"/>
      <c r="O831" s="756"/>
      <c r="P831" s="619"/>
      <c r="Q831" s="619"/>
      <c r="R831" s="619"/>
    </row>
    <row r="832" spans="1:18" ht="15.6" x14ac:dyDescent="0.25">
      <c r="A832" s="619"/>
      <c r="B832" s="619"/>
      <c r="C832" s="619"/>
      <c r="D832" s="619"/>
      <c r="E832" s="619"/>
      <c r="F832" s="330"/>
      <c r="O832" s="756"/>
      <c r="P832" s="619"/>
      <c r="Q832" s="619"/>
      <c r="R832" s="619"/>
    </row>
    <row r="833" spans="1:18" ht="15.6" x14ac:dyDescent="0.25">
      <c r="A833" s="619"/>
      <c r="B833" s="619"/>
      <c r="C833" s="619"/>
      <c r="D833" s="619"/>
      <c r="E833" s="619"/>
      <c r="F833" s="330"/>
      <c r="O833" s="756"/>
      <c r="P833" s="619"/>
      <c r="Q833" s="619"/>
      <c r="R833" s="619"/>
    </row>
    <row r="834" spans="1:18" ht="15.6" x14ac:dyDescent="0.25">
      <c r="A834" s="619"/>
      <c r="B834" s="619"/>
      <c r="C834" s="619"/>
      <c r="D834" s="619"/>
      <c r="E834" s="619"/>
      <c r="F834" s="330"/>
      <c r="O834" s="756"/>
      <c r="P834" s="619"/>
      <c r="Q834" s="619"/>
      <c r="R834" s="619"/>
    </row>
    <row r="835" spans="1:18" ht="15.6" x14ac:dyDescent="0.25">
      <c r="A835" s="619"/>
      <c r="B835" s="619"/>
      <c r="C835" s="619"/>
      <c r="D835" s="619"/>
      <c r="E835" s="619"/>
      <c r="F835" s="330"/>
      <c r="O835" s="756"/>
      <c r="P835" s="619"/>
      <c r="Q835" s="619"/>
      <c r="R835" s="619"/>
    </row>
    <row r="836" spans="1:18" ht="15.6" x14ac:dyDescent="0.25">
      <c r="A836" s="619"/>
      <c r="B836" s="619"/>
      <c r="C836" s="619"/>
      <c r="D836" s="619"/>
      <c r="E836" s="619"/>
      <c r="F836" s="330"/>
      <c r="O836" s="756"/>
      <c r="P836" s="619"/>
      <c r="Q836" s="619"/>
      <c r="R836" s="619"/>
    </row>
    <row r="837" spans="1:18" ht="15.6" x14ac:dyDescent="0.25">
      <c r="A837" s="619"/>
      <c r="B837" s="619"/>
      <c r="C837" s="619"/>
      <c r="D837" s="619"/>
      <c r="E837" s="619"/>
      <c r="F837" s="330"/>
      <c r="O837" s="756"/>
      <c r="P837" s="619"/>
      <c r="Q837" s="619"/>
      <c r="R837" s="619"/>
    </row>
    <row r="838" spans="1:18" ht="15.6" x14ac:dyDescent="0.25">
      <c r="A838" s="619"/>
      <c r="B838" s="619"/>
      <c r="C838" s="619"/>
      <c r="D838" s="619"/>
      <c r="E838" s="619"/>
      <c r="F838" s="330"/>
      <c r="O838" s="756"/>
      <c r="P838" s="619"/>
      <c r="Q838" s="619"/>
      <c r="R838" s="619"/>
    </row>
    <row r="839" spans="1:18" ht="15.6" x14ac:dyDescent="0.25">
      <c r="A839" s="619"/>
      <c r="B839" s="619"/>
      <c r="C839" s="619"/>
      <c r="D839" s="619"/>
      <c r="E839" s="619"/>
      <c r="F839" s="330"/>
      <c r="O839" s="756"/>
      <c r="P839" s="619"/>
      <c r="Q839" s="619"/>
      <c r="R839" s="619"/>
    </row>
    <row r="840" spans="1:18" ht="15.6" x14ac:dyDescent="0.25">
      <c r="A840" s="619"/>
      <c r="B840" s="619"/>
      <c r="C840" s="619"/>
      <c r="D840" s="619"/>
      <c r="E840" s="619"/>
      <c r="F840" s="330"/>
      <c r="O840" s="756"/>
      <c r="P840" s="619"/>
      <c r="Q840" s="619"/>
      <c r="R840" s="619"/>
    </row>
    <row r="841" spans="1:18" ht="15.6" x14ac:dyDescent="0.25">
      <c r="A841" s="619"/>
      <c r="B841" s="619"/>
      <c r="C841" s="619"/>
      <c r="D841" s="619"/>
      <c r="E841" s="619"/>
      <c r="F841" s="330"/>
      <c r="O841" s="756"/>
      <c r="P841" s="619"/>
      <c r="Q841" s="619"/>
      <c r="R841" s="619"/>
    </row>
    <row r="842" spans="1:18" ht="15.6" x14ac:dyDescent="0.25">
      <c r="A842" s="619"/>
      <c r="B842" s="619"/>
      <c r="C842" s="619"/>
      <c r="D842" s="619"/>
      <c r="E842" s="619"/>
      <c r="F842" s="330"/>
      <c r="O842" s="756"/>
      <c r="P842" s="619"/>
      <c r="Q842" s="619"/>
      <c r="R842" s="619"/>
    </row>
    <row r="843" spans="1:18" ht="15.6" x14ac:dyDescent="0.25">
      <c r="A843" s="619"/>
      <c r="B843" s="619"/>
      <c r="C843" s="619"/>
      <c r="D843" s="619"/>
      <c r="E843" s="619"/>
      <c r="F843" s="330"/>
      <c r="O843" s="756"/>
      <c r="P843" s="619"/>
      <c r="Q843" s="619"/>
      <c r="R843" s="619"/>
    </row>
    <row r="844" spans="1:18" ht="15.6" x14ac:dyDescent="0.25">
      <c r="A844" s="619"/>
      <c r="B844" s="619"/>
      <c r="C844" s="619"/>
      <c r="D844" s="619"/>
      <c r="E844" s="619"/>
      <c r="F844" s="330"/>
      <c r="O844" s="756"/>
      <c r="P844" s="619"/>
      <c r="Q844" s="619"/>
      <c r="R844" s="619"/>
    </row>
    <row r="845" spans="1:18" ht="15.6" x14ac:dyDescent="0.25">
      <c r="A845" s="619"/>
      <c r="B845" s="619"/>
      <c r="C845" s="619"/>
      <c r="D845" s="619"/>
      <c r="E845" s="619"/>
      <c r="F845" s="330"/>
      <c r="O845" s="756"/>
      <c r="P845" s="619"/>
      <c r="Q845" s="619"/>
      <c r="R845" s="619"/>
    </row>
    <row r="846" spans="1:18" ht="15.6" x14ac:dyDescent="0.25">
      <c r="A846" s="619"/>
      <c r="B846" s="619"/>
      <c r="C846" s="619"/>
      <c r="D846" s="619"/>
      <c r="E846" s="619"/>
      <c r="F846" s="330"/>
      <c r="O846" s="756"/>
      <c r="P846" s="619"/>
      <c r="Q846" s="619"/>
      <c r="R846" s="619"/>
    </row>
    <row r="847" spans="1:18" ht="15.6" x14ac:dyDescent="0.25">
      <c r="A847" s="619"/>
      <c r="B847" s="619"/>
      <c r="C847" s="619"/>
      <c r="D847" s="619"/>
      <c r="E847" s="619"/>
      <c r="F847" s="330"/>
      <c r="O847" s="756"/>
      <c r="P847" s="619"/>
      <c r="Q847" s="619"/>
      <c r="R847" s="619"/>
    </row>
    <row r="848" spans="1:18" ht="15.6" x14ac:dyDescent="0.25">
      <c r="A848" s="619"/>
      <c r="B848" s="619"/>
      <c r="C848" s="619"/>
      <c r="D848" s="619"/>
      <c r="E848" s="619"/>
      <c r="F848" s="330"/>
      <c r="O848" s="756"/>
      <c r="P848" s="619"/>
      <c r="Q848" s="619"/>
      <c r="R848" s="619"/>
    </row>
    <row r="849" spans="1:18" ht="15.6" x14ac:dyDescent="0.25">
      <c r="A849" s="619"/>
      <c r="B849" s="619"/>
      <c r="C849" s="619"/>
      <c r="D849" s="619"/>
      <c r="E849" s="619"/>
      <c r="F849" s="330"/>
      <c r="O849" s="756"/>
      <c r="P849" s="619"/>
      <c r="Q849" s="619"/>
      <c r="R849" s="619"/>
    </row>
    <row r="850" spans="1:18" ht="15.6" x14ac:dyDescent="0.25">
      <c r="A850" s="619"/>
      <c r="B850" s="619"/>
      <c r="C850" s="619"/>
      <c r="D850" s="619"/>
      <c r="E850" s="619"/>
      <c r="F850" s="330"/>
      <c r="O850" s="756"/>
      <c r="P850" s="619"/>
      <c r="Q850" s="619"/>
      <c r="R850" s="619"/>
    </row>
    <row r="851" spans="1:18" ht="15.6" x14ac:dyDescent="0.25">
      <c r="A851" s="619"/>
      <c r="B851" s="619"/>
      <c r="C851" s="619"/>
      <c r="D851" s="619"/>
      <c r="E851" s="619"/>
      <c r="F851" s="330"/>
      <c r="O851" s="756"/>
      <c r="P851" s="619"/>
      <c r="Q851" s="619"/>
      <c r="R851" s="619"/>
    </row>
    <row r="852" spans="1:18" ht="15.6" x14ac:dyDescent="0.25">
      <c r="A852" s="619"/>
      <c r="B852" s="619"/>
      <c r="C852" s="619"/>
      <c r="D852" s="619"/>
      <c r="E852" s="619"/>
      <c r="F852" s="330"/>
      <c r="O852" s="756"/>
      <c r="P852" s="619"/>
      <c r="Q852" s="619"/>
      <c r="R852" s="619"/>
    </row>
    <row r="853" spans="1:18" ht="15.6" x14ac:dyDescent="0.25">
      <c r="A853" s="619"/>
      <c r="B853" s="619"/>
      <c r="C853" s="619"/>
      <c r="D853" s="619"/>
      <c r="E853" s="619"/>
      <c r="F853" s="330"/>
      <c r="O853" s="756"/>
      <c r="P853" s="619"/>
      <c r="Q853" s="619"/>
      <c r="R853" s="619"/>
    </row>
    <row r="854" spans="1:18" ht="15.6" x14ac:dyDescent="0.25">
      <c r="A854" s="619"/>
      <c r="B854" s="619"/>
      <c r="C854" s="619"/>
      <c r="D854" s="619"/>
      <c r="E854" s="619"/>
      <c r="F854" s="330"/>
      <c r="O854" s="756"/>
      <c r="P854" s="619"/>
      <c r="Q854" s="619"/>
      <c r="R854" s="619"/>
    </row>
    <row r="855" spans="1:18" ht="15.6" x14ac:dyDescent="0.25">
      <c r="A855" s="619"/>
      <c r="B855" s="619"/>
      <c r="C855" s="619"/>
      <c r="D855" s="619"/>
      <c r="E855" s="619"/>
      <c r="F855" s="330"/>
      <c r="O855" s="756"/>
      <c r="P855" s="619"/>
      <c r="Q855" s="619"/>
      <c r="R855" s="619"/>
    </row>
    <row r="856" spans="1:18" ht="15.6" x14ac:dyDescent="0.25">
      <c r="A856" s="619"/>
      <c r="B856" s="619"/>
      <c r="C856" s="619"/>
      <c r="D856" s="619"/>
      <c r="E856" s="619"/>
      <c r="F856" s="330"/>
      <c r="O856" s="756"/>
      <c r="P856" s="619"/>
      <c r="Q856" s="619"/>
      <c r="R856" s="619"/>
    </row>
    <row r="857" spans="1:18" ht="15.6" x14ac:dyDescent="0.25">
      <c r="A857" s="619"/>
      <c r="B857" s="619"/>
      <c r="C857" s="619"/>
      <c r="D857" s="619"/>
      <c r="E857" s="619"/>
      <c r="F857" s="330"/>
      <c r="O857" s="756"/>
      <c r="P857" s="619"/>
      <c r="Q857" s="619"/>
      <c r="R857" s="619"/>
    </row>
    <row r="858" spans="1:18" ht="15.6" x14ac:dyDescent="0.25">
      <c r="A858" s="619"/>
      <c r="B858" s="619"/>
      <c r="C858" s="619"/>
      <c r="D858" s="619"/>
      <c r="E858" s="619"/>
      <c r="F858" s="330"/>
      <c r="O858" s="756"/>
      <c r="P858" s="619"/>
      <c r="Q858" s="619"/>
      <c r="R858" s="619"/>
    </row>
    <row r="859" spans="1:18" ht="15.6" x14ac:dyDescent="0.25">
      <c r="A859" s="619"/>
      <c r="B859" s="619"/>
      <c r="C859" s="619"/>
      <c r="D859" s="619"/>
      <c r="E859" s="619"/>
      <c r="F859" s="330"/>
      <c r="O859" s="756"/>
      <c r="P859" s="619"/>
      <c r="Q859" s="619"/>
      <c r="R859" s="619"/>
    </row>
    <row r="860" spans="1:18" ht="15.6" x14ac:dyDescent="0.25">
      <c r="A860" s="619"/>
      <c r="B860" s="619"/>
      <c r="C860" s="619"/>
      <c r="D860" s="619"/>
      <c r="E860" s="619"/>
      <c r="F860" s="330"/>
      <c r="O860" s="756"/>
      <c r="P860" s="619"/>
      <c r="Q860" s="619"/>
      <c r="R860" s="619"/>
    </row>
    <row r="861" spans="1:18" ht="15.6" x14ac:dyDescent="0.25">
      <c r="A861" s="619"/>
      <c r="B861" s="619"/>
      <c r="C861" s="619"/>
      <c r="D861" s="619"/>
      <c r="E861" s="619"/>
      <c r="F861" s="330"/>
      <c r="O861" s="756"/>
      <c r="P861" s="619"/>
      <c r="Q861" s="619"/>
      <c r="R861" s="619"/>
    </row>
    <row r="862" spans="1:18" ht="15.6" x14ac:dyDescent="0.25">
      <c r="A862" s="619"/>
      <c r="B862" s="619"/>
      <c r="C862" s="619"/>
      <c r="D862" s="619"/>
      <c r="E862" s="619"/>
      <c r="F862" s="330"/>
      <c r="O862" s="756"/>
      <c r="P862" s="619"/>
      <c r="Q862" s="619"/>
      <c r="R862" s="619"/>
    </row>
    <row r="863" spans="1:18" ht="15.6" x14ac:dyDescent="0.25">
      <c r="A863" s="619"/>
      <c r="B863" s="619"/>
      <c r="C863" s="619"/>
      <c r="D863" s="619"/>
      <c r="E863" s="619"/>
      <c r="F863" s="330"/>
      <c r="O863" s="756"/>
      <c r="P863" s="619"/>
      <c r="Q863" s="619"/>
      <c r="R863" s="619"/>
    </row>
    <row r="864" spans="1:18" ht="15.6" x14ac:dyDescent="0.25">
      <c r="A864" s="619"/>
      <c r="B864" s="619"/>
      <c r="C864" s="619"/>
      <c r="D864" s="619"/>
      <c r="E864" s="619"/>
      <c r="F864" s="330"/>
      <c r="O864" s="756"/>
      <c r="P864" s="619"/>
      <c r="Q864" s="619"/>
      <c r="R864" s="619"/>
    </row>
    <row r="865" spans="1:18" ht="15.6" x14ac:dyDescent="0.25">
      <c r="A865" s="619"/>
      <c r="B865" s="619"/>
      <c r="C865" s="619"/>
      <c r="D865" s="619"/>
      <c r="E865" s="619"/>
      <c r="F865" s="330"/>
      <c r="O865" s="756"/>
      <c r="P865" s="619"/>
      <c r="Q865" s="619"/>
      <c r="R865" s="619"/>
    </row>
    <row r="866" spans="1:18" ht="15.6" x14ac:dyDescent="0.25">
      <c r="A866" s="619"/>
      <c r="B866" s="619"/>
      <c r="C866" s="619"/>
      <c r="D866" s="619"/>
      <c r="E866" s="619"/>
      <c r="F866" s="330"/>
      <c r="O866" s="756"/>
      <c r="P866" s="619"/>
      <c r="Q866" s="619"/>
      <c r="R866" s="619"/>
    </row>
    <row r="867" spans="1:18" ht="15.6" x14ac:dyDescent="0.25">
      <c r="A867" s="619"/>
      <c r="B867" s="619"/>
      <c r="C867" s="619"/>
      <c r="D867" s="619"/>
      <c r="E867" s="619"/>
      <c r="F867" s="330"/>
      <c r="O867" s="756"/>
      <c r="P867" s="619"/>
      <c r="Q867" s="619"/>
      <c r="R867" s="619"/>
    </row>
    <row r="868" spans="1:18" ht="15.6" x14ac:dyDescent="0.25">
      <c r="A868" s="619"/>
      <c r="B868" s="619"/>
      <c r="C868" s="619"/>
      <c r="D868" s="619"/>
      <c r="E868" s="619"/>
      <c r="F868" s="330"/>
      <c r="O868" s="756"/>
      <c r="P868" s="619"/>
      <c r="Q868" s="619"/>
      <c r="R868" s="619"/>
    </row>
    <row r="869" spans="1:18" ht="15.6" x14ac:dyDescent="0.25">
      <c r="A869" s="619"/>
      <c r="B869" s="619"/>
      <c r="C869" s="619"/>
      <c r="D869" s="619"/>
      <c r="E869" s="619"/>
      <c r="F869" s="330"/>
      <c r="O869" s="756"/>
      <c r="P869" s="619"/>
      <c r="Q869" s="619"/>
      <c r="R869" s="619"/>
    </row>
    <row r="870" spans="1:18" ht="15.6" x14ac:dyDescent="0.25">
      <c r="A870" s="619"/>
      <c r="B870" s="619"/>
      <c r="C870" s="619"/>
      <c r="D870" s="619"/>
      <c r="E870" s="619"/>
      <c r="F870" s="330"/>
      <c r="O870" s="756"/>
      <c r="P870" s="619"/>
      <c r="Q870" s="619"/>
      <c r="R870" s="619"/>
    </row>
    <row r="871" spans="1:18" ht="15.6" x14ac:dyDescent="0.25">
      <c r="A871" s="619"/>
      <c r="B871" s="619"/>
      <c r="C871" s="619"/>
      <c r="D871" s="619"/>
      <c r="E871" s="619"/>
      <c r="F871" s="330"/>
      <c r="O871" s="756"/>
      <c r="P871" s="619"/>
      <c r="Q871" s="619"/>
      <c r="R871" s="619"/>
    </row>
    <row r="872" spans="1:18" ht="15.6" x14ac:dyDescent="0.25">
      <c r="A872" s="619"/>
      <c r="B872" s="619"/>
      <c r="C872" s="619"/>
      <c r="D872" s="619"/>
      <c r="E872" s="619"/>
      <c r="F872" s="330"/>
      <c r="O872" s="756"/>
      <c r="P872" s="619"/>
      <c r="Q872" s="619"/>
      <c r="R872" s="619"/>
    </row>
    <row r="873" spans="1:18" ht="15.6" x14ac:dyDescent="0.25">
      <c r="A873" s="619"/>
      <c r="B873" s="619"/>
      <c r="C873" s="619"/>
      <c r="D873" s="619"/>
      <c r="E873" s="619"/>
      <c r="F873" s="330"/>
      <c r="O873" s="756"/>
      <c r="P873" s="619"/>
      <c r="Q873" s="619"/>
      <c r="R873" s="619"/>
    </row>
    <row r="874" spans="1:18" ht="15.6" x14ac:dyDescent="0.25">
      <c r="A874" s="619"/>
      <c r="B874" s="619"/>
      <c r="C874" s="619"/>
      <c r="D874" s="619"/>
      <c r="E874" s="619"/>
      <c r="F874" s="330"/>
      <c r="O874" s="756"/>
      <c r="P874" s="619"/>
      <c r="Q874" s="619"/>
      <c r="R874" s="619"/>
    </row>
    <row r="875" spans="1:18" ht="15.6" x14ac:dyDescent="0.25">
      <c r="A875" s="619"/>
      <c r="B875" s="619"/>
      <c r="C875" s="619"/>
      <c r="D875" s="619"/>
      <c r="E875" s="619"/>
      <c r="F875" s="330"/>
      <c r="O875" s="756"/>
      <c r="P875" s="619"/>
      <c r="Q875" s="619"/>
      <c r="R875" s="619"/>
    </row>
    <row r="876" spans="1:18" ht="15.6" x14ac:dyDescent="0.25">
      <c r="A876" s="619"/>
      <c r="B876" s="619"/>
      <c r="C876" s="619"/>
      <c r="D876" s="619"/>
      <c r="E876" s="619"/>
      <c r="F876" s="330"/>
      <c r="O876" s="756"/>
      <c r="P876" s="619"/>
      <c r="Q876" s="619"/>
      <c r="R876" s="619"/>
    </row>
    <row r="877" spans="1:18" ht="15.6" x14ac:dyDescent="0.25">
      <c r="A877" s="619"/>
      <c r="B877" s="619"/>
      <c r="C877" s="619"/>
      <c r="D877" s="619"/>
      <c r="E877" s="619"/>
      <c r="F877" s="330"/>
      <c r="O877" s="756"/>
      <c r="P877" s="619"/>
      <c r="Q877" s="619"/>
      <c r="R877" s="619"/>
    </row>
    <row r="878" spans="1:18" ht="15.6" x14ac:dyDescent="0.25">
      <c r="A878" s="619"/>
      <c r="B878" s="619"/>
      <c r="C878" s="619"/>
      <c r="D878" s="619"/>
      <c r="E878" s="619"/>
      <c r="F878" s="330"/>
      <c r="O878" s="756"/>
      <c r="P878" s="619"/>
      <c r="Q878" s="619"/>
      <c r="R878" s="619"/>
    </row>
    <row r="879" spans="1:18" ht="15.6" x14ac:dyDescent="0.25">
      <c r="A879" s="619"/>
      <c r="B879" s="619"/>
      <c r="C879" s="619"/>
      <c r="D879" s="619"/>
      <c r="E879" s="619"/>
      <c r="F879" s="330"/>
      <c r="O879" s="756"/>
      <c r="P879" s="619"/>
      <c r="Q879" s="619"/>
      <c r="R879" s="619"/>
    </row>
    <row r="880" spans="1:18" ht="15.6" x14ac:dyDescent="0.25">
      <c r="A880" s="619"/>
      <c r="B880" s="619"/>
      <c r="C880" s="619"/>
      <c r="D880" s="619"/>
      <c r="E880" s="619"/>
      <c r="F880" s="330"/>
      <c r="O880" s="756"/>
      <c r="P880" s="619"/>
      <c r="Q880" s="619"/>
      <c r="R880" s="619"/>
    </row>
    <row r="881" spans="1:18" ht="15.6" x14ac:dyDescent="0.25">
      <c r="A881" s="619"/>
      <c r="B881" s="619"/>
      <c r="C881" s="619"/>
      <c r="D881" s="619"/>
      <c r="E881" s="619"/>
      <c r="F881" s="330"/>
      <c r="O881" s="756"/>
      <c r="P881" s="619"/>
      <c r="Q881" s="619"/>
      <c r="R881" s="619"/>
    </row>
    <row r="882" spans="1:18" ht="15.6" x14ac:dyDescent="0.25">
      <c r="A882" s="619"/>
      <c r="B882" s="619"/>
      <c r="C882" s="619"/>
      <c r="D882" s="619"/>
      <c r="E882" s="619"/>
      <c r="F882" s="330"/>
      <c r="O882" s="756"/>
      <c r="P882" s="619"/>
      <c r="Q882" s="619"/>
      <c r="R882" s="619"/>
    </row>
    <row r="883" spans="1:18" ht="15.6" x14ac:dyDescent="0.25">
      <c r="A883" s="619"/>
      <c r="B883" s="619"/>
      <c r="C883" s="619"/>
      <c r="D883" s="619"/>
      <c r="E883" s="619"/>
      <c r="F883" s="330"/>
      <c r="O883" s="756"/>
      <c r="P883" s="619"/>
      <c r="Q883" s="619"/>
      <c r="R883" s="619"/>
    </row>
    <row r="884" spans="1:18" ht="15.6" x14ac:dyDescent="0.25">
      <c r="A884" s="619"/>
      <c r="B884" s="619"/>
      <c r="C884" s="619"/>
      <c r="D884" s="619"/>
      <c r="E884" s="619"/>
      <c r="F884" s="330"/>
      <c r="O884" s="756"/>
      <c r="P884" s="619"/>
      <c r="Q884" s="619"/>
      <c r="R884" s="619"/>
    </row>
    <row r="885" spans="1:18" ht="15.6" x14ac:dyDescent="0.25">
      <c r="A885" s="619"/>
      <c r="B885" s="619"/>
      <c r="C885" s="619"/>
      <c r="D885" s="619"/>
      <c r="E885" s="619"/>
      <c r="F885" s="330"/>
      <c r="O885" s="756"/>
      <c r="P885" s="619"/>
      <c r="Q885" s="619"/>
      <c r="R885" s="619"/>
    </row>
    <row r="886" spans="1:18" ht="15.6" x14ac:dyDescent="0.25">
      <c r="A886" s="619"/>
      <c r="B886" s="619"/>
      <c r="C886" s="619"/>
      <c r="D886" s="619"/>
      <c r="E886" s="619"/>
      <c r="F886" s="330"/>
      <c r="O886" s="756"/>
      <c r="P886" s="619"/>
      <c r="Q886" s="619"/>
      <c r="R886" s="619"/>
    </row>
    <row r="887" spans="1:18" ht="15.6" x14ac:dyDescent="0.25">
      <c r="A887" s="619"/>
      <c r="B887" s="619"/>
      <c r="C887" s="619"/>
      <c r="D887" s="619"/>
      <c r="E887" s="619"/>
      <c r="F887" s="330"/>
      <c r="O887" s="756"/>
      <c r="P887" s="619"/>
      <c r="Q887" s="619"/>
      <c r="R887" s="619"/>
    </row>
    <row r="888" spans="1:18" ht="15.6" x14ac:dyDescent="0.25">
      <c r="A888" s="619"/>
      <c r="B888" s="619"/>
      <c r="C888" s="619"/>
      <c r="D888" s="619"/>
      <c r="E888" s="619"/>
      <c r="F888" s="330"/>
      <c r="O888" s="756"/>
      <c r="P888" s="619"/>
      <c r="Q888" s="619"/>
      <c r="R888" s="619"/>
    </row>
    <row r="889" spans="1:18" ht="15.6" x14ac:dyDescent="0.25">
      <c r="A889" s="619"/>
      <c r="B889" s="619"/>
      <c r="C889" s="619"/>
      <c r="D889" s="619"/>
      <c r="E889" s="619"/>
      <c r="F889" s="330"/>
      <c r="O889" s="756"/>
      <c r="P889" s="619"/>
      <c r="Q889" s="619"/>
      <c r="R889" s="619"/>
    </row>
    <row r="890" spans="1:18" ht="15.6" x14ac:dyDescent="0.25">
      <c r="A890" s="619"/>
      <c r="B890" s="619"/>
      <c r="C890" s="619"/>
      <c r="D890" s="619"/>
      <c r="E890" s="619"/>
      <c r="F890" s="330"/>
      <c r="O890" s="756"/>
      <c r="P890" s="619"/>
      <c r="Q890" s="619"/>
      <c r="R890" s="619"/>
    </row>
    <row r="891" spans="1:18" ht="15.6" x14ac:dyDescent="0.25">
      <c r="A891" s="619"/>
      <c r="B891" s="619"/>
      <c r="C891" s="619"/>
      <c r="D891" s="619"/>
      <c r="E891" s="619"/>
      <c r="F891" s="330"/>
      <c r="O891" s="756"/>
      <c r="P891" s="619"/>
      <c r="Q891" s="619"/>
      <c r="R891" s="619"/>
    </row>
    <row r="892" spans="1:18" ht="15.6" x14ac:dyDescent="0.25">
      <c r="A892" s="619"/>
      <c r="B892" s="619"/>
      <c r="C892" s="619"/>
      <c r="D892" s="619"/>
      <c r="E892" s="619"/>
      <c r="F892" s="330"/>
      <c r="O892" s="756"/>
      <c r="P892" s="619"/>
      <c r="Q892" s="619"/>
      <c r="R892" s="619"/>
    </row>
    <row r="893" spans="1:18" ht="15.6" x14ac:dyDescent="0.25">
      <c r="A893" s="619"/>
      <c r="B893" s="619"/>
      <c r="C893" s="619"/>
      <c r="D893" s="619"/>
      <c r="E893" s="619"/>
      <c r="F893" s="330"/>
      <c r="O893" s="756"/>
      <c r="P893" s="619"/>
      <c r="Q893" s="619"/>
      <c r="R893" s="619"/>
    </row>
    <row r="894" spans="1:18" ht="15.6" x14ac:dyDescent="0.25">
      <c r="A894" s="619"/>
      <c r="B894" s="619"/>
      <c r="C894" s="619"/>
      <c r="D894" s="619"/>
      <c r="E894" s="619"/>
      <c r="F894" s="330"/>
      <c r="O894" s="756"/>
      <c r="P894" s="619"/>
      <c r="Q894" s="619"/>
      <c r="R894" s="619"/>
    </row>
    <row r="895" spans="1:18" ht="15.6" x14ac:dyDescent="0.25">
      <c r="A895" s="619"/>
      <c r="B895" s="619"/>
      <c r="C895" s="619"/>
      <c r="D895" s="619"/>
      <c r="E895" s="619"/>
      <c r="F895" s="330"/>
      <c r="O895" s="756"/>
      <c r="P895" s="619"/>
      <c r="Q895" s="619"/>
      <c r="R895" s="619"/>
    </row>
    <row r="896" spans="1:18" ht="15.6" x14ac:dyDescent="0.25">
      <c r="A896" s="619"/>
      <c r="B896" s="619"/>
      <c r="C896" s="619"/>
      <c r="D896" s="619"/>
      <c r="E896" s="619"/>
      <c r="F896" s="330"/>
      <c r="O896" s="756"/>
      <c r="P896" s="619"/>
      <c r="Q896" s="619"/>
      <c r="R896" s="619"/>
    </row>
    <row r="897" spans="1:18" ht="15.6" x14ac:dyDescent="0.25">
      <c r="A897" s="619"/>
      <c r="B897" s="619"/>
      <c r="C897" s="619"/>
      <c r="D897" s="619"/>
      <c r="E897" s="619"/>
      <c r="F897" s="330"/>
      <c r="O897" s="756"/>
      <c r="P897" s="619"/>
      <c r="Q897" s="619"/>
      <c r="R897" s="619"/>
    </row>
    <row r="898" spans="1:18" ht="15.6" x14ac:dyDescent="0.25">
      <c r="A898" s="619"/>
      <c r="B898" s="619"/>
      <c r="C898" s="619"/>
      <c r="D898" s="619"/>
      <c r="E898" s="619"/>
      <c r="F898" s="330"/>
      <c r="O898" s="756"/>
      <c r="P898" s="619"/>
      <c r="Q898" s="619"/>
      <c r="R898" s="619"/>
    </row>
    <row r="899" spans="1:18" ht="15.6" x14ac:dyDescent="0.25">
      <c r="A899" s="619"/>
      <c r="B899" s="619"/>
      <c r="C899" s="619"/>
      <c r="D899" s="619"/>
      <c r="E899" s="619"/>
      <c r="F899" s="330"/>
      <c r="O899" s="756"/>
      <c r="P899" s="619"/>
      <c r="Q899" s="619"/>
      <c r="R899" s="619"/>
    </row>
    <row r="900" spans="1:18" ht="15.6" x14ac:dyDescent="0.25">
      <c r="A900" s="619"/>
      <c r="B900" s="619"/>
      <c r="C900" s="619"/>
      <c r="D900" s="619"/>
      <c r="E900" s="619"/>
      <c r="F900" s="330"/>
      <c r="O900" s="756"/>
      <c r="P900" s="619"/>
      <c r="Q900" s="619"/>
      <c r="R900" s="619"/>
    </row>
    <row r="901" spans="1:18" ht="15.6" x14ac:dyDescent="0.25">
      <c r="A901" s="619"/>
      <c r="B901" s="619"/>
      <c r="C901" s="619"/>
      <c r="D901" s="619"/>
      <c r="E901" s="619"/>
      <c r="F901" s="330"/>
      <c r="O901" s="756"/>
      <c r="P901" s="619"/>
      <c r="Q901" s="619"/>
      <c r="R901" s="619"/>
    </row>
    <row r="902" spans="1:18" ht="15.6" x14ac:dyDescent="0.25">
      <c r="A902" s="619"/>
      <c r="B902" s="619"/>
      <c r="C902" s="619"/>
      <c r="D902" s="619"/>
      <c r="E902" s="619"/>
      <c r="F902" s="330"/>
      <c r="O902" s="756"/>
      <c r="P902" s="619"/>
      <c r="Q902" s="619"/>
      <c r="R902" s="619"/>
    </row>
    <row r="903" spans="1:18" ht="15.6" x14ac:dyDescent="0.25">
      <c r="A903" s="619"/>
      <c r="B903" s="619"/>
      <c r="C903" s="619"/>
      <c r="D903" s="619"/>
      <c r="E903" s="619"/>
      <c r="F903" s="330"/>
      <c r="O903" s="756"/>
      <c r="P903" s="619"/>
      <c r="Q903" s="619"/>
      <c r="R903" s="619"/>
    </row>
    <row r="904" spans="1:18" ht="15.6" x14ac:dyDescent="0.25">
      <c r="A904" s="619"/>
      <c r="B904" s="619"/>
      <c r="C904" s="619"/>
      <c r="D904" s="619"/>
      <c r="E904" s="619"/>
      <c r="F904" s="330"/>
      <c r="O904" s="756"/>
      <c r="P904" s="619"/>
      <c r="Q904" s="619"/>
      <c r="R904" s="619"/>
    </row>
    <row r="905" spans="1:18" ht="15.6" x14ac:dyDescent="0.25">
      <c r="A905" s="619"/>
      <c r="B905" s="619"/>
      <c r="C905" s="619"/>
      <c r="D905" s="619"/>
      <c r="E905" s="619"/>
      <c r="F905" s="330"/>
      <c r="O905" s="756"/>
      <c r="P905" s="619"/>
      <c r="Q905" s="619"/>
      <c r="R905" s="619"/>
    </row>
    <row r="906" spans="1:18" ht="15.6" x14ac:dyDescent="0.25">
      <c r="A906" s="619"/>
      <c r="B906" s="619"/>
      <c r="C906" s="619"/>
      <c r="D906" s="619"/>
      <c r="E906" s="619"/>
      <c r="F906" s="330"/>
      <c r="O906" s="756"/>
      <c r="P906" s="619"/>
      <c r="Q906" s="619"/>
      <c r="R906" s="619"/>
    </row>
    <row r="907" spans="1:18" ht="15.6" x14ac:dyDescent="0.25">
      <c r="A907" s="619"/>
      <c r="B907" s="619"/>
      <c r="C907" s="619"/>
      <c r="D907" s="619"/>
      <c r="E907" s="619"/>
      <c r="F907" s="330"/>
      <c r="O907" s="756"/>
      <c r="P907" s="619"/>
      <c r="Q907" s="619"/>
      <c r="R907" s="619"/>
    </row>
    <row r="908" spans="1:18" ht="15.6" x14ac:dyDescent="0.25">
      <c r="A908" s="619"/>
      <c r="B908" s="619"/>
      <c r="C908" s="619"/>
      <c r="D908" s="619"/>
      <c r="E908" s="619"/>
      <c r="F908" s="330"/>
      <c r="O908" s="756"/>
      <c r="P908" s="619"/>
      <c r="Q908" s="619"/>
      <c r="R908" s="619"/>
    </row>
    <row r="909" spans="1:18" ht="15.6" x14ac:dyDescent="0.25">
      <c r="A909" s="619"/>
      <c r="B909" s="619"/>
      <c r="C909" s="619"/>
      <c r="D909" s="619"/>
      <c r="E909" s="619"/>
      <c r="F909" s="330"/>
      <c r="O909" s="756"/>
      <c r="P909" s="619"/>
      <c r="Q909" s="619"/>
      <c r="R909" s="619"/>
    </row>
    <row r="910" spans="1:18" ht="15.6" x14ac:dyDescent="0.25">
      <c r="A910" s="619"/>
      <c r="B910" s="619"/>
      <c r="C910" s="619"/>
      <c r="D910" s="619"/>
      <c r="E910" s="619"/>
      <c r="F910" s="330"/>
      <c r="O910" s="756"/>
      <c r="P910" s="619"/>
      <c r="Q910" s="619"/>
      <c r="R910" s="619"/>
    </row>
    <row r="911" spans="1:18" ht="15.6" x14ac:dyDescent="0.25">
      <c r="A911" s="619"/>
      <c r="B911" s="619"/>
      <c r="C911" s="619"/>
      <c r="D911" s="619"/>
      <c r="E911" s="619"/>
      <c r="F911" s="330"/>
      <c r="O911" s="756"/>
      <c r="P911" s="619"/>
      <c r="Q911" s="619"/>
      <c r="R911" s="619"/>
    </row>
    <row r="912" spans="1:18" ht="15.6" x14ac:dyDescent="0.25">
      <c r="A912" s="619"/>
      <c r="B912" s="619"/>
      <c r="C912" s="619"/>
      <c r="D912" s="619"/>
      <c r="E912" s="619"/>
      <c r="F912" s="330"/>
      <c r="O912" s="756"/>
      <c r="P912" s="619"/>
      <c r="Q912" s="619"/>
      <c r="R912" s="619"/>
    </row>
    <row r="913" spans="1:18" ht="15.6" x14ac:dyDescent="0.25">
      <c r="A913" s="619"/>
      <c r="B913" s="619"/>
      <c r="C913" s="619"/>
      <c r="D913" s="619"/>
      <c r="E913" s="619"/>
      <c r="F913" s="330"/>
      <c r="O913" s="756"/>
      <c r="P913" s="619"/>
      <c r="Q913" s="619"/>
      <c r="R913" s="619"/>
    </row>
    <row r="914" spans="1:18" ht="15.6" x14ac:dyDescent="0.25">
      <c r="A914" s="619"/>
      <c r="B914" s="619"/>
      <c r="C914" s="619"/>
      <c r="D914" s="619"/>
      <c r="E914" s="619"/>
      <c r="F914" s="330"/>
      <c r="O914" s="756"/>
      <c r="P914" s="619"/>
      <c r="Q914" s="619"/>
      <c r="R914" s="619"/>
    </row>
    <row r="915" spans="1:18" ht="15.6" x14ac:dyDescent="0.25">
      <c r="A915" s="619"/>
      <c r="B915" s="619"/>
      <c r="C915" s="619"/>
      <c r="D915" s="619"/>
      <c r="E915" s="619"/>
      <c r="F915" s="330"/>
      <c r="O915" s="756"/>
      <c r="P915" s="619"/>
      <c r="Q915" s="619"/>
      <c r="R915" s="619"/>
    </row>
    <row r="916" spans="1:18" ht="15.6" x14ac:dyDescent="0.25">
      <c r="A916" s="619"/>
      <c r="B916" s="619"/>
      <c r="C916" s="619"/>
      <c r="D916" s="619"/>
      <c r="E916" s="619"/>
      <c r="F916" s="330"/>
      <c r="O916" s="756"/>
      <c r="P916" s="619"/>
      <c r="Q916" s="619"/>
      <c r="R916" s="619"/>
    </row>
    <row r="917" spans="1:18" ht="15.6" x14ac:dyDescent="0.25">
      <c r="A917" s="619"/>
      <c r="B917" s="619"/>
      <c r="C917" s="619"/>
      <c r="D917" s="619"/>
      <c r="E917" s="619"/>
      <c r="F917" s="330"/>
      <c r="O917" s="756"/>
      <c r="P917" s="619"/>
      <c r="Q917" s="619"/>
      <c r="R917" s="619"/>
    </row>
    <row r="918" spans="1:18" ht="15.6" x14ac:dyDescent="0.25">
      <c r="A918" s="619"/>
      <c r="B918" s="619"/>
      <c r="C918" s="619"/>
      <c r="D918" s="619"/>
      <c r="E918" s="619"/>
      <c r="F918" s="330"/>
      <c r="O918" s="756"/>
      <c r="P918" s="619"/>
      <c r="Q918" s="619"/>
      <c r="R918" s="619"/>
    </row>
    <row r="919" spans="1:18" ht="15.6" x14ac:dyDescent="0.25">
      <c r="A919" s="619"/>
      <c r="B919" s="619"/>
      <c r="C919" s="619"/>
      <c r="D919" s="619"/>
      <c r="E919" s="619"/>
      <c r="F919" s="330"/>
      <c r="O919" s="756"/>
      <c r="P919" s="619"/>
      <c r="Q919" s="619"/>
      <c r="R919" s="619"/>
    </row>
    <row r="920" spans="1:18" ht="15.6" x14ac:dyDescent="0.25">
      <c r="A920" s="619"/>
      <c r="B920" s="619"/>
      <c r="C920" s="619"/>
      <c r="D920" s="619"/>
      <c r="E920" s="619"/>
      <c r="F920" s="330"/>
      <c r="O920" s="756"/>
      <c r="P920" s="619"/>
      <c r="Q920" s="619"/>
      <c r="R920" s="619"/>
    </row>
    <row r="921" spans="1:18" ht="15.6" x14ac:dyDescent="0.25">
      <c r="A921" s="619"/>
      <c r="B921" s="619"/>
      <c r="C921" s="619"/>
      <c r="D921" s="619"/>
      <c r="E921" s="619"/>
      <c r="F921" s="330"/>
      <c r="O921" s="756"/>
      <c r="P921" s="619"/>
      <c r="Q921" s="619"/>
      <c r="R921" s="619"/>
    </row>
    <row r="922" spans="1:18" ht="15.6" x14ac:dyDescent="0.25">
      <c r="A922" s="619"/>
      <c r="B922" s="619"/>
      <c r="C922" s="619"/>
      <c r="D922" s="619"/>
      <c r="E922" s="619"/>
      <c r="F922" s="330"/>
      <c r="O922" s="756"/>
      <c r="P922" s="619"/>
      <c r="Q922" s="619"/>
      <c r="R922" s="619"/>
    </row>
    <row r="923" spans="1:18" ht="15.6" x14ac:dyDescent="0.25">
      <c r="A923" s="619"/>
      <c r="B923" s="619"/>
      <c r="C923" s="619"/>
      <c r="D923" s="619"/>
      <c r="E923" s="619"/>
      <c r="F923" s="330"/>
      <c r="O923" s="756"/>
      <c r="P923" s="619"/>
      <c r="Q923" s="619"/>
      <c r="R923" s="619"/>
    </row>
    <row r="924" spans="1:18" ht="15.6" x14ac:dyDescent="0.25">
      <c r="A924" s="619"/>
      <c r="B924" s="619"/>
      <c r="C924" s="619"/>
      <c r="D924" s="619"/>
      <c r="E924" s="619"/>
      <c r="F924" s="330"/>
      <c r="O924" s="756"/>
      <c r="P924" s="619"/>
      <c r="Q924" s="619"/>
      <c r="R924" s="619"/>
    </row>
    <row r="925" spans="1:18" ht="15.6" x14ac:dyDescent="0.25">
      <c r="A925" s="619"/>
      <c r="B925" s="619"/>
      <c r="C925" s="619"/>
      <c r="D925" s="619"/>
      <c r="E925" s="619"/>
      <c r="F925" s="330"/>
      <c r="O925" s="756"/>
      <c r="P925" s="619"/>
      <c r="Q925" s="619"/>
      <c r="R925" s="619"/>
    </row>
    <row r="926" spans="1:18" ht="15.6" x14ac:dyDescent="0.25">
      <c r="A926" s="619"/>
      <c r="B926" s="619"/>
      <c r="C926" s="619"/>
      <c r="D926" s="619"/>
      <c r="E926" s="619"/>
      <c r="F926" s="330"/>
      <c r="O926" s="756"/>
      <c r="P926" s="619"/>
      <c r="Q926" s="619"/>
      <c r="R926" s="619"/>
    </row>
    <row r="927" spans="1:18" ht="15.6" x14ac:dyDescent="0.25">
      <c r="A927" s="619"/>
      <c r="B927" s="619"/>
      <c r="C927" s="619"/>
      <c r="D927" s="619"/>
      <c r="E927" s="619"/>
      <c r="F927" s="330"/>
      <c r="O927" s="756"/>
      <c r="P927" s="619"/>
      <c r="Q927" s="619"/>
      <c r="R927" s="619"/>
    </row>
    <row r="928" spans="1:18" ht="15.6" x14ac:dyDescent="0.25">
      <c r="A928" s="619"/>
      <c r="B928" s="619"/>
      <c r="C928" s="619"/>
      <c r="D928" s="619"/>
      <c r="E928" s="619"/>
      <c r="F928" s="330"/>
      <c r="O928" s="756"/>
      <c r="P928" s="619"/>
      <c r="Q928" s="619"/>
      <c r="R928" s="619"/>
    </row>
    <row r="929" spans="1:18" ht="15.6" x14ac:dyDescent="0.25">
      <c r="A929" s="619"/>
      <c r="B929" s="619"/>
      <c r="C929" s="619"/>
      <c r="D929" s="619"/>
      <c r="E929" s="619"/>
      <c r="F929" s="330"/>
      <c r="O929" s="756"/>
      <c r="P929" s="619"/>
      <c r="Q929" s="619"/>
      <c r="R929" s="619"/>
    </row>
    <row r="930" spans="1:18" ht="15.6" x14ac:dyDescent="0.25">
      <c r="A930" s="619"/>
      <c r="B930" s="619"/>
      <c r="C930" s="619"/>
      <c r="D930" s="619"/>
      <c r="E930" s="619"/>
      <c r="F930" s="330"/>
      <c r="O930" s="756"/>
      <c r="P930" s="619"/>
      <c r="Q930" s="619"/>
      <c r="R930" s="619"/>
    </row>
    <row r="931" spans="1:18" ht="15.6" x14ac:dyDescent="0.25">
      <c r="A931" s="619"/>
      <c r="B931" s="619"/>
      <c r="C931" s="619"/>
      <c r="D931" s="619"/>
      <c r="E931" s="619"/>
      <c r="F931" s="330"/>
      <c r="O931" s="756"/>
      <c r="P931" s="619"/>
      <c r="Q931" s="619"/>
      <c r="R931" s="619"/>
    </row>
    <row r="932" spans="1:18" ht="15.6" x14ac:dyDescent="0.25">
      <c r="A932" s="619"/>
      <c r="B932" s="619"/>
      <c r="C932" s="619"/>
      <c r="D932" s="619"/>
      <c r="E932" s="619"/>
      <c r="F932" s="330"/>
      <c r="O932" s="756"/>
      <c r="P932" s="619"/>
      <c r="Q932" s="619"/>
      <c r="R932" s="619"/>
    </row>
    <row r="933" spans="1:18" ht="15.6" x14ac:dyDescent="0.25">
      <c r="A933" s="619"/>
      <c r="B933" s="619"/>
      <c r="C933" s="619"/>
      <c r="D933" s="619"/>
      <c r="E933" s="619"/>
      <c r="F933" s="330"/>
      <c r="O933" s="756"/>
      <c r="P933" s="619"/>
      <c r="Q933" s="619"/>
      <c r="R933" s="619"/>
    </row>
    <row r="934" spans="1:18" ht="15.6" x14ac:dyDescent="0.25">
      <c r="A934" s="619"/>
      <c r="B934" s="619"/>
      <c r="C934" s="619"/>
      <c r="D934" s="619"/>
      <c r="E934" s="619"/>
      <c r="F934" s="330"/>
      <c r="O934" s="756"/>
      <c r="P934" s="619"/>
      <c r="Q934" s="619"/>
      <c r="R934" s="619"/>
    </row>
    <row r="935" spans="1:18" ht="15.6" x14ac:dyDescent="0.25">
      <c r="A935" s="619"/>
      <c r="B935" s="619"/>
      <c r="C935" s="619"/>
      <c r="D935" s="619"/>
      <c r="E935" s="619"/>
      <c r="F935" s="330"/>
      <c r="O935" s="756"/>
      <c r="P935" s="619"/>
      <c r="Q935" s="619"/>
      <c r="R935" s="619"/>
    </row>
    <row r="936" spans="1:18" ht="15.6" x14ac:dyDescent="0.25">
      <c r="A936" s="619"/>
      <c r="B936" s="619"/>
      <c r="C936" s="619"/>
      <c r="D936" s="619"/>
      <c r="E936" s="619"/>
      <c r="F936" s="330"/>
      <c r="O936" s="756"/>
      <c r="P936" s="619"/>
      <c r="Q936" s="619"/>
      <c r="R936" s="619"/>
    </row>
    <row r="937" spans="1:18" ht="15.6" x14ac:dyDescent="0.25">
      <c r="A937" s="619"/>
      <c r="B937" s="619"/>
      <c r="C937" s="619"/>
      <c r="D937" s="619"/>
      <c r="E937" s="619"/>
      <c r="F937" s="330"/>
      <c r="O937" s="756"/>
      <c r="P937" s="619"/>
      <c r="Q937" s="619"/>
      <c r="R937" s="619"/>
    </row>
    <row r="938" spans="1:18" ht="15.6" x14ac:dyDescent="0.25">
      <c r="A938" s="619"/>
      <c r="B938" s="619"/>
      <c r="C938" s="619"/>
      <c r="D938" s="619"/>
      <c r="E938" s="619"/>
      <c r="F938" s="330"/>
      <c r="O938" s="756"/>
      <c r="P938" s="619"/>
      <c r="Q938" s="619"/>
      <c r="R938" s="619"/>
    </row>
    <row r="939" spans="1:18" ht="15.6" x14ac:dyDescent="0.25">
      <c r="A939" s="619"/>
      <c r="B939" s="619"/>
      <c r="C939" s="619"/>
      <c r="D939" s="619"/>
      <c r="E939" s="619"/>
      <c r="F939" s="330"/>
      <c r="O939" s="756"/>
      <c r="P939" s="619"/>
      <c r="Q939" s="619"/>
      <c r="R939" s="619"/>
    </row>
    <row r="940" spans="1:18" ht="15.6" x14ac:dyDescent="0.25">
      <c r="A940" s="619"/>
      <c r="B940" s="619"/>
      <c r="C940" s="619"/>
      <c r="D940" s="619"/>
      <c r="E940" s="619"/>
      <c r="F940" s="330"/>
      <c r="O940" s="756"/>
      <c r="P940" s="619"/>
      <c r="Q940" s="619"/>
      <c r="R940" s="619"/>
    </row>
    <row r="941" spans="1:18" ht="15.6" x14ac:dyDescent="0.25">
      <c r="A941" s="619"/>
      <c r="B941" s="619"/>
      <c r="C941" s="619"/>
      <c r="D941" s="619"/>
      <c r="E941" s="619"/>
      <c r="F941" s="330"/>
      <c r="O941" s="756"/>
      <c r="P941" s="619"/>
      <c r="Q941" s="619"/>
      <c r="R941" s="619"/>
    </row>
    <row r="942" spans="1:18" ht="15.6" x14ac:dyDescent="0.25">
      <c r="A942" s="619"/>
      <c r="B942" s="619"/>
      <c r="C942" s="619"/>
      <c r="D942" s="619"/>
      <c r="E942" s="619"/>
      <c r="F942" s="330"/>
      <c r="O942" s="756"/>
      <c r="P942" s="619"/>
      <c r="Q942" s="619"/>
      <c r="R942" s="619"/>
    </row>
    <row r="943" spans="1:18" ht="15.6" x14ac:dyDescent="0.25">
      <c r="A943" s="619"/>
      <c r="B943" s="619"/>
      <c r="C943" s="619"/>
      <c r="D943" s="619"/>
      <c r="E943" s="619"/>
      <c r="F943" s="330"/>
      <c r="O943" s="756"/>
      <c r="P943" s="619"/>
      <c r="Q943" s="619"/>
      <c r="R943" s="619"/>
    </row>
    <row r="944" spans="1:18" ht="15.6" x14ac:dyDescent="0.25">
      <c r="A944" s="619"/>
      <c r="B944" s="619"/>
      <c r="C944" s="619"/>
      <c r="D944" s="619"/>
      <c r="E944" s="619"/>
      <c r="F944" s="330"/>
      <c r="O944" s="756"/>
      <c r="P944" s="619"/>
      <c r="Q944" s="619"/>
      <c r="R944" s="619"/>
    </row>
    <row r="945" spans="1:18" ht="15.6" x14ac:dyDescent="0.25">
      <c r="A945" s="619"/>
      <c r="B945" s="619"/>
      <c r="C945" s="619"/>
      <c r="D945" s="619"/>
      <c r="E945" s="619"/>
      <c r="F945" s="330"/>
      <c r="O945" s="756"/>
      <c r="P945" s="619"/>
      <c r="Q945" s="619"/>
      <c r="R945" s="619"/>
    </row>
    <row r="946" spans="1:18" ht="15.6" x14ac:dyDescent="0.25">
      <c r="A946" s="619"/>
      <c r="B946" s="619"/>
      <c r="C946" s="619"/>
      <c r="D946" s="619"/>
      <c r="E946" s="619"/>
      <c r="F946" s="330"/>
      <c r="O946" s="756"/>
      <c r="P946" s="619"/>
      <c r="Q946" s="619"/>
      <c r="R946" s="619"/>
    </row>
    <row r="947" spans="1:18" ht="15.6" x14ac:dyDescent="0.25">
      <c r="A947" s="619"/>
      <c r="B947" s="619"/>
      <c r="C947" s="619"/>
      <c r="D947" s="619"/>
      <c r="E947" s="619"/>
      <c r="F947" s="330"/>
      <c r="O947" s="756"/>
      <c r="P947" s="619"/>
      <c r="Q947" s="619"/>
      <c r="R947" s="619"/>
    </row>
    <row r="948" spans="1:18" ht="15.6" x14ac:dyDescent="0.25">
      <c r="A948" s="619"/>
      <c r="B948" s="619"/>
      <c r="C948" s="619"/>
      <c r="D948" s="619"/>
      <c r="E948" s="619"/>
      <c r="F948" s="330"/>
      <c r="O948" s="756"/>
      <c r="P948" s="619"/>
      <c r="Q948" s="619"/>
      <c r="R948" s="619"/>
    </row>
    <row r="949" spans="1:18" ht="15.6" x14ac:dyDescent="0.25">
      <c r="A949" s="619"/>
      <c r="B949" s="619"/>
      <c r="C949" s="619"/>
      <c r="D949" s="619"/>
      <c r="E949" s="619"/>
      <c r="F949" s="330"/>
      <c r="O949" s="756"/>
      <c r="P949" s="619"/>
      <c r="Q949" s="619"/>
      <c r="R949" s="619"/>
    </row>
    <row r="950" spans="1:18" ht="15.6" x14ac:dyDescent="0.25">
      <c r="A950" s="619"/>
      <c r="B950" s="619"/>
      <c r="C950" s="619"/>
      <c r="D950" s="619"/>
      <c r="E950" s="619"/>
      <c r="F950" s="330"/>
      <c r="O950" s="756"/>
      <c r="P950" s="619"/>
      <c r="Q950" s="619"/>
      <c r="R950" s="619"/>
    </row>
    <row r="951" spans="1:18" ht="15.6" x14ac:dyDescent="0.25">
      <c r="A951" s="619"/>
      <c r="B951" s="619"/>
      <c r="C951" s="619"/>
      <c r="D951" s="619"/>
      <c r="E951" s="619"/>
      <c r="F951" s="330"/>
      <c r="O951" s="756"/>
      <c r="P951" s="619"/>
      <c r="Q951" s="619"/>
      <c r="R951" s="619"/>
    </row>
    <row r="952" spans="1:18" ht="15.6" x14ac:dyDescent="0.25">
      <c r="A952" s="619"/>
      <c r="B952" s="619"/>
      <c r="C952" s="619"/>
      <c r="D952" s="619"/>
      <c r="E952" s="619"/>
      <c r="F952" s="330"/>
      <c r="O952" s="756"/>
      <c r="P952" s="619"/>
      <c r="Q952" s="619"/>
      <c r="R952" s="619"/>
    </row>
    <row r="953" spans="1:18" ht="15.6" x14ac:dyDescent="0.25">
      <c r="A953" s="619"/>
      <c r="B953" s="619"/>
      <c r="C953" s="619"/>
      <c r="D953" s="619"/>
      <c r="E953" s="619"/>
      <c r="F953" s="330"/>
      <c r="O953" s="756"/>
      <c r="P953" s="619"/>
      <c r="Q953" s="619"/>
      <c r="R953" s="619"/>
    </row>
    <row r="954" spans="1:18" ht="15.6" x14ac:dyDescent="0.25">
      <c r="A954" s="619"/>
      <c r="B954" s="619"/>
      <c r="C954" s="619"/>
      <c r="D954" s="619"/>
      <c r="E954" s="619"/>
      <c r="F954" s="330"/>
      <c r="O954" s="756"/>
      <c r="P954" s="619"/>
      <c r="Q954" s="619"/>
      <c r="R954" s="619"/>
    </row>
    <row r="955" spans="1:18" ht="15.6" x14ac:dyDescent="0.25">
      <c r="A955" s="619"/>
      <c r="B955" s="619"/>
      <c r="C955" s="619"/>
      <c r="D955" s="619"/>
      <c r="E955" s="619"/>
      <c r="F955" s="330"/>
      <c r="O955" s="756"/>
      <c r="P955" s="619"/>
      <c r="Q955" s="619"/>
      <c r="R955" s="619"/>
    </row>
    <row r="956" spans="1:18" ht="15.6" x14ac:dyDescent="0.25">
      <c r="A956" s="619"/>
      <c r="B956" s="619"/>
      <c r="C956" s="619"/>
      <c r="D956" s="619"/>
      <c r="E956" s="619"/>
      <c r="F956" s="330"/>
      <c r="O956" s="756"/>
      <c r="P956" s="619"/>
      <c r="Q956" s="619"/>
      <c r="R956" s="619"/>
    </row>
    <row r="957" spans="1:18" ht="15.6" x14ac:dyDescent="0.25">
      <c r="A957" s="619"/>
      <c r="B957" s="619"/>
      <c r="C957" s="619"/>
      <c r="D957" s="619"/>
      <c r="E957" s="619"/>
      <c r="F957" s="330"/>
      <c r="O957" s="756"/>
      <c r="P957" s="619"/>
      <c r="Q957" s="619"/>
      <c r="R957" s="619"/>
    </row>
    <row r="958" spans="1:18" ht="15.6" x14ac:dyDescent="0.25">
      <c r="A958" s="619"/>
      <c r="B958" s="619"/>
      <c r="C958" s="619"/>
      <c r="D958" s="619"/>
      <c r="E958" s="619"/>
      <c r="F958" s="330"/>
      <c r="O958" s="756"/>
      <c r="P958" s="619"/>
      <c r="Q958" s="619"/>
      <c r="R958" s="619"/>
    </row>
    <row r="959" spans="1:18" ht="15.6" x14ac:dyDescent="0.25">
      <c r="A959" s="619"/>
      <c r="B959" s="619"/>
      <c r="C959" s="619"/>
      <c r="D959" s="619"/>
      <c r="E959" s="619"/>
      <c r="F959" s="330"/>
      <c r="O959" s="756"/>
      <c r="P959" s="619"/>
      <c r="Q959" s="619"/>
      <c r="R959" s="619"/>
    </row>
    <row r="960" spans="1:18" ht="15.6" x14ac:dyDescent="0.25">
      <c r="A960" s="619"/>
      <c r="B960" s="619"/>
      <c r="C960" s="619"/>
      <c r="D960" s="619"/>
      <c r="E960" s="619"/>
      <c r="F960" s="330"/>
      <c r="O960" s="756"/>
      <c r="P960" s="619"/>
      <c r="Q960" s="619"/>
      <c r="R960" s="619"/>
    </row>
    <row r="961" spans="1:18" ht="15.6" x14ac:dyDescent="0.25">
      <c r="A961" s="619"/>
      <c r="B961" s="619"/>
      <c r="C961" s="619"/>
      <c r="D961" s="619"/>
      <c r="E961" s="619"/>
      <c r="F961" s="330"/>
      <c r="O961" s="756"/>
      <c r="P961" s="619"/>
      <c r="Q961" s="619"/>
      <c r="R961" s="619"/>
    </row>
    <row r="962" spans="1:18" ht="15.6" x14ac:dyDescent="0.25">
      <c r="A962" s="619"/>
      <c r="B962" s="619"/>
      <c r="C962" s="619"/>
      <c r="D962" s="619"/>
      <c r="E962" s="619"/>
      <c r="F962" s="330"/>
      <c r="O962" s="756"/>
      <c r="P962" s="619"/>
      <c r="Q962" s="619"/>
      <c r="R962" s="619"/>
    </row>
    <row r="963" spans="1:18" ht="15.6" x14ac:dyDescent="0.25">
      <c r="A963" s="619"/>
      <c r="B963" s="619"/>
      <c r="C963" s="619"/>
      <c r="D963" s="619"/>
      <c r="E963" s="619"/>
      <c r="F963" s="330"/>
      <c r="O963" s="756"/>
      <c r="P963" s="619"/>
      <c r="Q963" s="619"/>
      <c r="R963" s="619"/>
    </row>
    <row r="964" spans="1:18" ht="15.6" x14ac:dyDescent="0.25">
      <c r="A964" s="619"/>
      <c r="B964" s="619"/>
      <c r="C964" s="619"/>
      <c r="D964" s="619"/>
      <c r="E964" s="619"/>
      <c r="F964" s="330"/>
      <c r="O964" s="756"/>
      <c r="P964" s="619"/>
      <c r="Q964" s="619"/>
      <c r="R964" s="619"/>
    </row>
    <row r="965" spans="1:18" ht="15.6" x14ac:dyDescent="0.25">
      <c r="A965" s="619"/>
      <c r="B965" s="619"/>
      <c r="C965" s="619"/>
      <c r="D965" s="619"/>
      <c r="E965" s="619"/>
      <c r="F965" s="330"/>
      <c r="O965" s="756"/>
      <c r="P965" s="619"/>
      <c r="Q965" s="619"/>
      <c r="R965" s="619"/>
    </row>
    <row r="966" spans="1:18" ht="15.6" x14ac:dyDescent="0.25">
      <c r="A966" s="619"/>
      <c r="B966" s="619"/>
      <c r="C966" s="619"/>
      <c r="D966" s="619"/>
      <c r="E966" s="619"/>
      <c r="F966" s="330"/>
      <c r="O966" s="756"/>
      <c r="P966" s="619"/>
      <c r="Q966" s="619"/>
      <c r="R966" s="619"/>
    </row>
    <row r="967" spans="1:18" ht="15.6" x14ac:dyDescent="0.25">
      <c r="A967" s="619"/>
      <c r="B967" s="619"/>
      <c r="C967" s="619"/>
      <c r="D967" s="619"/>
      <c r="E967" s="619"/>
      <c r="F967" s="330"/>
      <c r="O967" s="756"/>
      <c r="P967" s="619"/>
      <c r="Q967" s="619"/>
      <c r="R967" s="619"/>
    </row>
    <row r="968" spans="1:18" ht="15.6" x14ac:dyDescent="0.25">
      <c r="A968" s="619"/>
      <c r="B968" s="619"/>
      <c r="C968" s="619"/>
      <c r="D968" s="619"/>
      <c r="E968" s="619"/>
      <c r="F968" s="330"/>
      <c r="O968" s="756"/>
      <c r="P968" s="619"/>
      <c r="Q968" s="619"/>
      <c r="R968" s="619"/>
    </row>
    <row r="969" spans="1:18" ht="15.6" x14ac:dyDescent="0.25">
      <c r="A969" s="619"/>
      <c r="B969" s="619"/>
      <c r="C969" s="619"/>
      <c r="D969" s="619"/>
      <c r="E969" s="619"/>
      <c r="F969" s="330"/>
      <c r="O969" s="756"/>
      <c r="P969" s="619"/>
      <c r="Q969" s="619"/>
      <c r="R969" s="619"/>
    </row>
    <row r="970" spans="1:18" ht="15.6" x14ac:dyDescent="0.25">
      <c r="A970" s="619"/>
      <c r="B970" s="619"/>
      <c r="C970" s="619"/>
      <c r="D970" s="619"/>
      <c r="E970" s="619"/>
      <c r="F970" s="330"/>
      <c r="O970" s="756"/>
      <c r="P970" s="619"/>
      <c r="Q970" s="619"/>
      <c r="R970" s="619"/>
    </row>
    <row r="971" spans="1:18" ht="15.6" x14ac:dyDescent="0.25">
      <c r="A971" s="619"/>
      <c r="B971" s="619"/>
      <c r="C971" s="619"/>
      <c r="D971" s="619"/>
      <c r="E971" s="619"/>
      <c r="F971" s="330"/>
      <c r="O971" s="756"/>
      <c r="P971" s="619"/>
      <c r="Q971" s="619"/>
      <c r="R971" s="619"/>
    </row>
    <row r="972" spans="1:18" ht="15.6" x14ac:dyDescent="0.25">
      <c r="A972" s="619"/>
      <c r="B972" s="619"/>
      <c r="C972" s="619"/>
      <c r="D972" s="619"/>
      <c r="E972" s="619"/>
      <c r="F972" s="330"/>
      <c r="O972" s="756"/>
      <c r="P972" s="619"/>
      <c r="Q972" s="619"/>
      <c r="R972" s="619"/>
    </row>
    <row r="973" spans="1:18" ht="15.6" x14ac:dyDescent="0.25">
      <c r="A973" s="619"/>
      <c r="B973" s="619"/>
      <c r="C973" s="619"/>
      <c r="D973" s="619"/>
      <c r="E973" s="619"/>
      <c r="F973" s="330"/>
      <c r="O973" s="756"/>
      <c r="P973" s="619"/>
      <c r="Q973" s="619"/>
      <c r="R973" s="619"/>
    </row>
    <row r="974" spans="1:18" ht="15.6" x14ac:dyDescent="0.25">
      <c r="A974" s="619"/>
      <c r="B974" s="619"/>
      <c r="C974" s="619"/>
      <c r="D974" s="619"/>
      <c r="E974" s="619"/>
      <c r="F974" s="330"/>
      <c r="O974" s="756"/>
      <c r="P974" s="619"/>
      <c r="Q974" s="619"/>
      <c r="R974" s="619"/>
    </row>
    <row r="975" spans="1:18" ht="15.6" x14ac:dyDescent="0.25">
      <c r="A975" s="619"/>
      <c r="B975" s="619"/>
      <c r="C975" s="619"/>
      <c r="D975" s="619"/>
      <c r="E975" s="619"/>
      <c r="F975" s="330"/>
      <c r="O975" s="756"/>
      <c r="P975" s="619"/>
      <c r="Q975" s="619"/>
      <c r="R975" s="619"/>
    </row>
    <row r="976" spans="1:18" ht="15.6" x14ac:dyDescent="0.25">
      <c r="A976" s="619"/>
      <c r="B976" s="619"/>
      <c r="C976" s="619"/>
      <c r="D976" s="619"/>
      <c r="E976" s="619"/>
      <c r="F976" s="330"/>
      <c r="O976" s="756"/>
      <c r="P976" s="619"/>
      <c r="Q976" s="619"/>
      <c r="R976" s="619"/>
    </row>
    <row r="977" spans="1:18" ht="15.6" x14ac:dyDescent="0.25">
      <c r="A977" s="619"/>
      <c r="B977" s="619"/>
      <c r="C977" s="619"/>
      <c r="D977" s="619"/>
      <c r="E977" s="619"/>
      <c r="F977" s="330"/>
      <c r="O977" s="756"/>
      <c r="P977" s="619"/>
      <c r="Q977" s="619"/>
      <c r="R977" s="619"/>
    </row>
    <row r="978" spans="1:18" ht="15.6" x14ac:dyDescent="0.25">
      <c r="A978" s="619"/>
      <c r="B978" s="619"/>
      <c r="C978" s="619"/>
      <c r="D978" s="619"/>
      <c r="E978" s="619"/>
      <c r="F978" s="330"/>
      <c r="O978" s="756"/>
      <c r="P978" s="619"/>
      <c r="Q978" s="619"/>
      <c r="R978" s="619"/>
    </row>
    <row r="979" spans="1:18" ht="15.6" x14ac:dyDescent="0.25">
      <c r="A979" s="619"/>
      <c r="B979" s="619"/>
      <c r="C979" s="619"/>
      <c r="D979" s="619"/>
      <c r="E979" s="619"/>
      <c r="F979" s="330"/>
      <c r="O979" s="756"/>
      <c r="P979" s="619"/>
      <c r="Q979" s="619"/>
      <c r="R979" s="619"/>
    </row>
    <row r="980" spans="1:18" ht="15.6" x14ac:dyDescent="0.25">
      <c r="A980" s="619"/>
      <c r="B980" s="619"/>
      <c r="C980" s="619"/>
      <c r="D980" s="619"/>
      <c r="E980" s="619"/>
      <c r="F980" s="330"/>
      <c r="O980" s="756"/>
      <c r="P980" s="619"/>
      <c r="Q980" s="619"/>
      <c r="R980" s="619"/>
    </row>
    <row r="981" spans="1:18" ht="15.6" x14ac:dyDescent="0.25">
      <c r="A981" s="619"/>
      <c r="B981" s="619"/>
      <c r="C981" s="619"/>
      <c r="D981" s="619"/>
      <c r="E981" s="619"/>
      <c r="F981" s="330"/>
      <c r="O981" s="756"/>
      <c r="P981" s="619"/>
      <c r="Q981" s="619"/>
      <c r="R981" s="619"/>
    </row>
    <row r="982" spans="1:18" ht="15.6" x14ac:dyDescent="0.25">
      <c r="A982" s="619"/>
      <c r="B982" s="619"/>
      <c r="C982" s="619"/>
      <c r="D982" s="619"/>
      <c r="E982" s="619"/>
      <c r="F982" s="330"/>
      <c r="O982" s="756"/>
      <c r="P982" s="619"/>
      <c r="Q982" s="619"/>
      <c r="R982" s="619"/>
    </row>
    <row r="983" spans="1:18" ht="15.6" x14ac:dyDescent="0.25">
      <c r="A983" s="619"/>
      <c r="B983" s="619"/>
      <c r="C983" s="619"/>
      <c r="D983" s="619"/>
      <c r="E983" s="619"/>
      <c r="F983" s="330"/>
      <c r="O983" s="756"/>
      <c r="P983" s="619"/>
      <c r="Q983" s="619"/>
      <c r="R983" s="619"/>
    </row>
    <row r="984" spans="1:18" ht="15.6" x14ac:dyDescent="0.25">
      <c r="A984" s="619"/>
      <c r="B984" s="619"/>
      <c r="C984" s="619"/>
      <c r="D984" s="619"/>
      <c r="E984" s="619"/>
      <c r="F984" s="330"/>
      <c r="O984" s="756"/>
      <c r="P984" s="619"/>
      <c r="Q984" s="619"/>
      <c r="R984" s="619"/>
    </row>
    <row r="985" spans="1:18" ht="15.6" x14ac:dyDescent="0.25">
      <c r="A985" s="619"/>
      <c r="B985" s="619"/>
      <c r="C985" s="619"/>
      <c r="D985" s="619"/>
      <c r="E985" s="619"/>
      <c r="F985" s="330"/>
      <c r="O985" s="756"/>
      <c r="P985" s="619"/>
      <c r="Q985" s="619"/>
      <c r="R985" s="619"/>
    </row>
    <row r="986" spans="1:18" ht="15.6" x14ac:dyDescent="0.25">
      <c r="A986" s="619"/>
      <c r="B986" s="619"/>
      <c r="C986" s="619"/>
      <c r="D986" s="619"/>
      <c r="E986" s="619"/>
      <c r="F986" s="330"/>
      <c r="O986" s="756"/>
      <c r="P986" s="619"/>
      <c r="Q986" s="619"/>
      <c r="R986" s="619"/>
    </row>
    <row r="987" spans="1:18" ht="15.6" x14ac:dyDescent="0.25">
      <c r="A987" s="619"/>
      <c r="B987" s="619"/>
      <c r="C987" s="619"/>
      <c r="D987" s="619"/>
      <c r="E987" s="619"/>
      <c r="F987" s="330"/>
      <c r="O987" s="756"/>
      <c r="P987" s="619"/>
      <c r="Q987" s="619"/>
      <c r="R987" s="619"/>
    </row>
    <row r="988" spans="1:18" ht="15.6" x14ac:dyDescent="0.25">
      <c r="A988" s="619"/>
      <c r="B988" s="619"/>
      <c r="C988" s="619"/>
      <c r="D988" s="619"/>
      <c r="E988" s="619"/>
      <c r="F988" s="330"/>
      <c r="O988" s="756"/>
      <c r="P988" s="619"/>
      <c r="Q988" s="619"/>
      <c r="R988" s="619"/>
    </row>
    <row r="989" spans="1:18" ht="15.6" x14ac:dyDescent="0.25">
      <c r="A989" s="619"/>
      <c r="B989" s="619"/>
      <c r="C989" s="619"/>
      <c r="D989" s="619"/>
      <c r="E989" s="619"/>
      <c r="F989" s="330"/>
      <c r="O989" s="756"/>
      <c r="P989" s="619"/>
      <c r="Q989" s="619"/>
      <c r="R989" s="619"/>
    </row>
    <row r="990" spans="1:18" ht="15.6" x14ac:dyDescent="0.25">
      <c r="A990" s="619"/>
      <c r="B990" s="619"/>
      <c r="C990" s="619"/>
      <c r="D990" s="619"/>
      <c r="E990" s="619"/>
      <c r="F990" s="330"/>
      <c r="O990" s="756"/>
      <c r="P990" s="619"/>
      <c r="Q990" s="619"/>
      <c r="R990" s="619"/>
    </row>
    <row r="991" spans="1:18" ht="15.6" x14ac:dyDescent="0.25">
      <c r="A991" s="619"/>
      <c r="B991" s="619"/>
      <c r="C991" s="619"/>
      <c r="D991" s="619"/>
      <c r="E991" s="619"/>
      <c r="F991" s="330"/>
      <c r="O991" s="756"/>
      <c r="P991" s="619"/>
      <c r="Q991" s="619"/>
      <c r="R991" s="619"/>
    </row>
    <row r="992" spans="1:18" ht="15.6" x14ac:dyDescent="0.25">
      <c r="A992" s="619"/>
      <c r="B992" s="619"/>
      <c r="C992" s="619"/>
      <c r="D992" s="619"/>
      <c r="E992" s="619"/>
      <c r="F992" s="330"/>
      <c r="O992" s="756"/>
      <c r="P992" s="619"/>
      <c r="Q992" s="619"/>
      <c r="R992" s="619"/>
    </row>
    <row r="993" spans="1:18" ht="15.6" x14ac:dyDescent="0.25">
      <c r="A993" s="619"/>
      <c r="B993" s="619"/>
      <c r="C993" s="619"/>
      <c r="D993" s="619"/>
      <c r="E993" s="619"/>
      <c r="F993" s="330"/>
      <c r="O993" s="756"/>
      <c r="P993" s="619"/>
      <c r="Q993" s="619"/>
      <c r="R993" s="619"/>
    </row>
    <row r="994" spans="1:18" ht="15.6" x14ac:dyDescent="0.25">
      <c r="A994" s="619"/>
      <c r="B994" s="619"/>
      <c r="C994" s="619"/>
      <c r="D994" s="619"/>
      <c r="E994" s="619"/>
      <c r="F994" s="330"/>
      <c r="O994" s="756"/>
      <c r="P994" s="619"/>
      <c r="Q994" s="619"/>
      <c r="R994" s="619"/>
    </row>
    <row r="995" spans="1:18" ht="15.6" x14ac:dyDescent="0.25">
      <c r="A995" s="619"/>
      <c r="B995" s="619"/>
      <c r="C995" s="619"/>
      <c r="D995" s="619"/>
      <c r="E995" s="619"/>
      <c r="F995" s="330"/>
      <c r="O995" s="756"/>
      <c r="P995" s="619"/>
      <c r="Q995" s="619"/>
      <c r="R995" s="619"/>
    </row>
    <row r="996" spans="1:18" ht="15.6" x14ac:dyDescent="0.25">
      <c r="A996" s="619"/>
      <c r="B996" s="619"/>
      <c r="C996" s="619"/>
      <c r="D996" s="619"/>
      <c r="E996" s="619"/>
      <c r="F996" s="330"/>
      <c r="O996" s="756"/>
      <c r="P996" s="619"/>
      <c r="Q996" s="619"/>
      <c r="R996" s="619"/>
    </row>
    <row r="997" spans="1:18" ht="15.6" x14ac:dyDescent="0.25">
      <c r="A997" s="619"/>
      <c r="B997" s="619"/>
      <c r="C997" s="619"/>
      <c r="D997" s="619"/>
      <c r="E997" s="619"/>
      <c r="F997" s="330"/>
      <c r="O997" s="756"/>
      <c r="P997" s="619"/>
      <c r="Q997" s="619"/>
      <c r="R997" s="619"/>
    </row>
    <row r="998" spans="1:18" ht="15.6" x14ac:dyDescent="0.25">
      <c r="A998" s="619"/>
      <c r="B998" s="619"/>
      <c r="C998" s="619"/>
      <c r="D998" s="619"/>
      <c r="E998" s="619"/>
      <c r="F998" s="330"/>
      <c r="O998" s="756"/>
      <c r="P998" s="619"/>
      <c r="Q998" s="619"/>
      <c r="R998" s="619"/>
    </row>
    <row r="999" spans="1:18" ht="15.6" x14ac:dyDescent="0.25">
      <c r="A999" s="619"/>
      <c r="B999" s="619"/>
      <c r="C999" s="619"/>
      <c r="D999" s="619"/>
      <c r="E999" s="619"/>
      <c r="F999" s="330"/>
      <c r="O999" s="756"/>
      <c r="P999" s="619"/>
      <c r="Q999" s="619"/>
      <c r="R999" s="619"/>
    </row>
    <row r="1000" spans="1:18" ht="15.6" x14ac:dyDescent="0.25">
      <c r="A1000" s="619"/>
      <c r="B1000" s="619"/>
      <c r="C1000" s="619"/>
      <c r="D1000" s="619"/>
      <c r="E1000" s="619"/>
      <c r="F1000" s="330"/>
      <c r="O1000" s="756"/>
      <c r="P1000" s="619"/>
      <c r="Q1000" s="619"/>
      <c r="R1000" s="619"/>
    </row>
    <row r="1001" spans="1:18" ht="15.6" x14ac:dyDescent="0.25">
      <c r="A1001" s="619"/>
      <c r="B1001" s="619"/>
      <c r="C1001" s="619"/>
      <c r="D1001" s="619"/>
      <c r="E1001" s="619"/>
      <c r="F1001" s="330"/>
      <c r="O1001" s="756"/>
      <c r="P1001" s="619"/>
      <c r="Q1001" s="619"/>
      <c r="R1001" s="619"/>
    </row>
    <row r="1002" spans="1:18" ht="15.6" x14ac:dyDescent="0.25">
      <c r="A1002" s="619"/>
      <c r="B1002" s="619"/>
      <c r="C1002" s="619"/>
      <c r="D1002" s="619"/>
      <c r="E1002" s="619"/>
      <c r="F1002" s="330"/>
      <c r="O1002" s="756"/>
      <c r="P1002" s="619"/>
      <c r="Q1002" s="619"/>
      <c r="R1002" s="619"/>
    </row>
    <row r="1003" spans="1:18" ht="15.6" x14ac:dyDescent="0.25">
      <c r="A1003" s="619"/>
      <c r="B1003" s="619"/>
      <c r="C1003" s="619"/>
      <c r="D1003" s="619"/>
      <c r="E1003" s="619"/>
      <c r="F1003" s="330"/>
      <c r="O1003" s="756"/>
      <c r="P1003" s="619"/>
      <c r="Q1003" s="619"/>
      <c r="R1003" s="619"/>
    </row>
    <row r="1004" spans="1:18" ht="15.6" x14ac:dyDescent="0.25">
      <c r="A1004" s="619"/>
      <c r="B1004" s="619"/>
      <c r="C1004" s="619"/>
      <c r="D1004" s="619"/>
      <c r="E1004" s="619"/>
      <c r="F1004" s="330"/>
      <c r="O1004" s="756"/>
      <c r="P1004" s="619"/>
      <c r="Q1004" s="619"/>
      <c r="R1004" s="619"/>
    </row>
    <row r="1005" spans="1:18" ht="15.6" x14ac:dyDescent="0.25">
      <c r="A1005" s="619"/>
      <c r="B1005" s="619"/>
      <c r="C1005" s="619"/>
      <c r="D1005" s="619"/>
      <c r="E1005" s="619"/>
      <c r="F1005" s="330"/>
      <c r="O1005" s="756"/>
      <c r="P1005" s="619"/>
      <c r="Q1005" s="619"/>
      <c r="R1005" s="619"/>
    </row>
    <row r="1006" spans="1:18" ht="15.6" x14ac:dyDescent="0.25">
      <c r="A1006" s="619"/>
      <c r="B1006" s="619"/>
      <c r="C1006" s="619"/>
      <c r="D1006" s="619"/>
      <c r="E1006" s="619"/>
      <c r="F1006" s="330"/>
      <c r="O1006" s="756"/>
      <c r="P1006" s="619"/>
      <c r="Q1006" s="619"/>
      <c r="R1006" s="619"/>
    </row>
    <row r="1007" spans="1:18" ht="15.6" x14ac:dyDescent="0.25">
      <c r="A1007" s="619"/>
      <c r="B1007" s="619"/>
      <c r="C1007" s="619"/>
      <c r="D1007" s="619"/>
      <c r="E1007" s="619"/>
      <c r="F1007" s="330"/>
      <c r="O1007" s="756"/>
      <c r="P1007" s="619"/>
      <c r="Q1007" s="619"/>
      <c r="R1007" s="619"/>
    </row>
    <row r="1008" spans="1:18" ht="15.6" x14ac:dyDescent="0.25">
      <c r="A1008" s="619"/>
      <c r="B1008" s="619"/>
      <c r="C1008" s="619"/>
      <c r="D1008" s="619"/>
      <c r="E1008" s="619"/>
      <c r="F1008" s="330"/>
      <c r="O1008" s="756"/>
      <c r="P1008" s="619"/>
      <c r="Q1008" s="619"/>
      <c r="R1008" s="619"/>
    </row>
    <row r="1009" spans="1:18" ht="15.6" x14ac:dyDescent="0.25">
      <c r="A1009" s="619"/>
      <c r="B1009" s="619"/>
      <c r="C1009" s="619"/>
      <c r="D1009" s="619"/>
      <c r="E1009" s="619"/>
      <c r="F1009" s="330"/>
      <c r="O1009" s="756"/>
      <c r="P1009" s="619"/>
      <c r="Q1009" s="619"/>
      <c r="R1009" s="619"/>
    </row>
    <row r="1010" spans="1:18" ht="15.6" x14ac:dyDescent="0.25">
      <c r="A1010" s="619"/>
      <c r="B1010" s="619"/>
      <c r="C1010" s="619"/>
      <c r="D1010" s="619"/>
      <c r="E1010" s="619"/>
      <c r="F1010" s="330"/>
      <c r="O1010" s="756"/>
      <c r="P1010" s="619"/>
      <c r="Q1010" s="619"/>
      <c r="R1010" s="619"/>
    </row>
    <row r="1011" spans="1:18" ht="15.6" x14ac:dyDescent="0.25">
      <c r="A1011" s="619"/>
      <c r="B1011" s="619"/>
      <c r="C1011" s="619"/>
      <c r="D1011" s="619"/>
      <c r="E1011" s="619"/>
      <c r="F1011" s="330"/>
      <c r="O1011" s="756"/>
      <c r="P1011" s="619"/>
      <c r="Q1011" s="619"/>
      <c r="R1011" s="619"/>
    </row>
    <row r="1012" spans="1:18" ht="15.6" x14ac:dyDescent="0.25">
      <c r="A1012" s="619"/>
      <c r="B1012" s="619"/>
      <c r="C1012" s="619"/>
      <c r="D1012" s="619"/>
      <c r="E1012" s="619"/>
      <c r="F1012" s="330"/>
      <c r="O1012" s="756"/>
      <c r="P1012" s="619"/>
      <c r="Q1012" s="619"/>
      <c r="R1012" s="619"/>
    </row>
    <row r="1013" spans="1:18" ht="15.6" x14ac:dyDescent="0.25">
      <c r="A1013" s="619"/>
      <c r="B1013" s="619"/>
      <c r="C1013" s="619"/>
      <c r="D1013" s="619"/>
      <c r="E1013" s="619"/>
      <c r="F1013" s="330"/>
      <c r="O1013" s="756"/>
      <c r="P1013" s="619"/>
      <c r="Q1013" s="619"/>
      <c r="R1013" s="619"/>
    </row>
    <row r="1014" spans="1:18" ht="15.6" x14ac:dyDescent="0.25">
      <c r="A1014" s="619"/>
      <c r="B1014" s="619"/>
      <c r="C1014" s="619"/>
      <c r="D1014" s="619"/>
      <c r="E1014" s="619"/>
      <c r="F1014" s="330"/>
      <c r="O1014" s="756"/>
      <c r="P1014" s="619"/>
      <c r="Q1014" s="619"/>
      <c r="R1014" s="619"/>
    </row>
    <row r="1015" spans="1:18" ht="15.6" x14ac:dyDescent="0.25">
      <c r="A1015" s="619"/>
      <c r="B1015" s="619"/>
      <c r="C1015" s="619"/>
      <c r="D1015" s="619"/>
      <c r="E1015" s="619"/>
      <c r="F1015" s="330"/>
      <c r="O1015" s="756"/>
      <c r="P1015" s="619"/>
      <c r="Q1015" s="619"/>
      <c r="R1015" s="619"/>
    </row>
    <row r="1016" spans="1:18" ht="15.6" x14ac:dyDescent="0.25">
      <c r="A1016" s="619"/>
      <c r="B1016" s="619"/>
      <c r="C1016" s="619"/>
      <c r="D1016" s="619"/>
      <c r="E1016" s="619"/>
      <c r="F1016" s="330"/>
      <c r="O1016" s="756"/>
      <c r="P1016" s="619"/>
      <c r="Q1016" s="619"/>
      <c r="R1016" s="619"/>
    </row>
    <row r="1017" spans="1:18" ht="15.6" x14ac:dyDescent="0.25">
      <c r="A1017" s="619"/>
      <c r="B1017" s="619"/>
      <c r="C1017" s="619"/>
      <c r="D1017" s="619"/>
      <c r="E1017" s="619"/>
      <c r="F1017" s="330"/>
      <c r="O1017" s="756"/>
      <c r="P1017" s="619"/>
      <c r="Q1017" s="619"/>
      <c r="R1017" s="619"/>
    </row>
    <row r="1018" spans="1:18" ht="15.6" x14ac:dyDescent="0.25">
      <c r="A1018" s="619"/>
      <c r="B1018" s="619"/>
      <c r="C1018" s="619"/>
      <c r="D1018" s="619"/>
      <c r="E1018" s="619"/>
      <c r="F1018" s="330"/>
      <c r="O1018" s="756"/>
      <c r="P1018" s="619"/>
      <c r="Q1018" s="619"/>
      <c r="R1018" s="619"/>
    </row>
    <row r="1019" spans="1:18" ht="15.6" x14ac:dyDescent="0.25">
      <c r="A1019" s="619"/>
      <c r="B1019" s="619"/>
      <c r="C1019" s="619"/>
      <c r="D1019" s="619"/>
      <c r="E1019" s="619"/>
      <c r="F1019" s="330"/>
      <c r="O1019" s="756"/>
      <c r="P1019" s="619"/>
      <c r="Q1019" s="619"/>
      <c r="R1019" s="619"/>
    </row>
    <row r="1020" spans="1:18" ht="15.6" x14ac:dyDescent="0.25">
      <c r="A1020" s="619"/>
      <c r="B1020" s="619"/>
      <c r="C1020" s="619"/>
      <c r="D1020" s="619"/>
      <c r="E1020" s="619"/>
      <c r="F1020" s="330"/>
      <c r="O1020" s="756"/>
      <c r="P1020" s="619"/>
      <c r="Q1020" s="619"/>
      <c r="R1020" s="619"/>
    </row>
    <row r="1021" spans="1:18" ht="15.6" x14ac:dyDescent="0.25">
      <c r="A1021" s="619"/>
      <c r="B1021" s="619"/>
      <c r="C1021" s="619"/>
      <c r="D1021" s="619"/>
      <c r="E1021" s="619"/>
      <c r="F1021" s="330"/>
      <c r="O1021" s="756"/>
      <c r="P1021" s="619"/>
      <c r="Q1021" s="619"/>
      <c r="R1021" s="619"/>
    </row>
    <row r="1022" spans="1:18" ht="15.6" x14ac:dyDescent="0.25">
      <c r="A1022" s="619"/>
      <c r="B1022" s="619"/>
      <c r="C1022" s="619"/>
      <c r="D1022" s="619"/>
      <c r="E1022" s="619"/>
      <c r="F1022" s="330"/>
      <c r="O1022" s="756"/>
      <c r="P1022" s="619"/>
      <c r="Q1022" s="619"/>
      <c r="R1022" s="619"/>
    </row>
    <row r="1023" spans="1:18" ht="15.6" x14ac:dyDescent="0.25">
      <c r="A1023" s="619"/>
      <c r="B1023" s="619"/>
      <c r="C1023" s="619"/>
      <c r="D1023" s="619"/>
      <c r="E1023" s="619"/>
      <c r="F1023" s="330"/>
      <c r="O1023" s="756"/>
      <c r="P1023" s="619"/>
      <c r="Q1023" s="619"/>
      <c r="R1023" s="619"/>
    </row>
    <row r="1024" spans="1:18" ht="15.6" x14ac:dyDescent="0.25">
      <c r="A1024" s="619"/>
      <c r="B1024" s="619"/>
      <c r="C1024" s="619"/>
      <c r="D1024" s="619"/>
      <c r="E1024" s="619"/>
      <c r="F1024" s="330"/>
      <c r="O1024" s="756"/>
      <c r="P1024" s="619"/>
      <c r="Q1024" s="619"/>
      <c r="R1024" s="619"/>
    </row>
    <row r="1025" spans="1:18" ht="15.6" x14ac:dyDescent="0.25">
      <c r="A1025" s="619"/>
      <c r="B1025" s="619"/>
      <c r="C1025" s="619"/>
      <c r="D1025" s="619"/>
      <c r="E1025" s="619"/>
      <c r="F1025" s="330"/>
      <c r="O1025" s="756"/>
      <c r="P1025" s="619"/>
      <c r="Q1025" s="619"/>
      <c r="R1025" s="619"/>
    </row>
    <row r="1026" spans="1:18" ht="15.6" x14ac:dyDescent="0.25">
      <c r="A1026" s="619"/>
      <c r="B1026" s="619"/>
      <c r="C1026" s="619"/>
      <c r="D1026" s="619"/>
      <c r="E1026" s="619"/>
      <c r="F1026" s="330"/>
      <c r="O1026" s="756"/>
      <c r="P1026" s="619"/>
      <c r="Q1026" s="619"/>
      <c r="R1026" s="619"/>
    </row>
    <row r="1027" spans="1:18" ht="15.6" x14ac:dyDescent="0.25">
      <c r="A1027" s="619"/>
      <c r="B1027" s="619"/>
      <c r="C1027" s="619"/>
      <c r="D1027" s="619"/>
      <c r="E1027" s="619"/>
      <c r="F1027" s="330"/>
      <c r="O1027" s="756"/>
      <c r="P1027" s="619"/>
      <c r="Q1027" s="619"/>
      <c r="R1027" s="619"/>
    </row>
    <row r="1028" spans="1:18" ht="15.6" x14ac:dyDescent="0.25">
      <c r="A1028" s="619"/>
      <c r="B1028" s="619"/>
      <c r="C1028" s="619"/>
      <c r="D1028" s="619"/>
      <c r="E1028" s="619"/>
      <c r="F1028" s="330"/>
      <c r="O1028" s="756"/>
      <c r="P1028" s="619"/>
      <c r="Q1028" s="619"/>
      <c r="R1028" s="619"/>
    </row>
    <row r="1029" spans="1:18" ht="15.6" x14ac:dyDescent="0.25">
      <c r="A1029" s="619"/>
      <c r="B1029" s="619"/>
      <c r="C1029" s="619"/>
      <c r="D1029" s="619"/>
      <c r="E1029" s="619"/>
      <c r="F1029" s="330"/>
      <c r="O1029" s="756"/>
      <c r="P1029" s="619"/>
      <c r="Q1029" s="619"/>
      <c r="R1029" s="619"/>
    </row>
    <row r="1030" spans="1:18" ht="15.6" x14ac:dyDescent="0.25">
      <c r="A1030" s="619"/>
      <c r="B1030" s="619"/>
      <c r="C1030" s="619"/>
      <c r="D1030" s="619"/>
      <c r="E1030" s="619"/>
      <c r="F1030" s="330"/>
      <c r="O1030" s="756"/>
      <c r="P1030" s="619"/>
      <c r="Q1030" s="619"/>
      <c r="R1030" s="619"/>
    </row>
    <row r="1031" spans="1:18" ht="15.6" x14ac:dyDescent="0.25">
      <c r="A1031" s="619"/>
      <c r="B1031" s="619"/>
      <c r="C1031" s="619"/>
      <c r="D1031" s="619"/>
      <c r="E1031" s="619"/>
      <c r="F1031" s="330"/>
      <c r="O1031" s="756"/>
      <c r="P1031" s="619"/>
      <c r="Q1031" s="619"/>
      <c r="R1031" s="619"/>
    </row>
    <row r="1032" spans="1:18" ht="15.6" x14ac:dyDescent="0.25">
      <c r="A1032" s="619"/>
      <c r="B1032" s="619"/>
      <c r="C1032" s="619"/>
      <c r="D1032" s="619"/>
      <c r="E1032" s="619"/>
      <c r="F1032" s="330"/>
      <c r="O1032" s="756"/>
      <c r="P1032" s="619"/>
      <c r="Q1032" s="619"/>
      <c r="R1032" s="619"/>
    </row>
    <row r="1033" spans="1:18" ht="15.6" x14ac:dyDescent="0.25">
      <c r="A1033" s="619"/>
      <c r="B1033" s="619"/>
      <c r="C1033" s="619"/>
      <c r="D1033" s="619"/>
      <c r="E1033" s="619"/>
      <c r="F1033" s="330"/>
      <c r="O1033" s="756"/>
      <c r="P1033" s="619"/>
      <c r="Q1033" s="619"/>
      <c r="R1033" s="619"/>
    </row>
    <row r="1034" spans="1:18" ht="15.6" x14ac:dyDescent="0.25">
      <c r="A1034" s="619"/>
      <c r="B1034" s="619"/>
      <c r="C1034" s="619"/>
      <c r="D1034" s="619"/>
      <c r="E1034" s="619"/>
      <c r="F1034" s="330"/>
      <c r="O1034" s="756"/>
      <c r="P1034" s="619"/>
      <c r="Q1034" s="619"/>
      <c r="R1034" s="619"/>
    </row>
    <row r="1035" spans="1:18" ht="15.6" x14ac:dyDescent="0.25">
      <c r="A1035" s="619"/>
      <c r="B1035" s="619"/>
      <c r="C1035" s="619"/>
      <c r="D1035" s="619"/>
      <c r="E1035" s="619"/>
      <c r="F1035" s="330"/>
      <c r="O1035" s="756"/>
      <c r="P1035" s="619"/>
      <c r="Q1035" s="619"/>
      <c r="R1035" s="619"/>
    </row>
    <row r="1036" spans="1:18" ht="15.6" x14ac:dyDescent="0.25">
      <c r="A1036" s="619"/>
      <c r="B1036" s="619"/>
      <c r="C1036" s="619"/>
      <c r="D1036" s="619"/>
      <c r="E1036" s="619"/>
      <c r="F1036" s="330"/>
      <c r="O1036" s="756"/>
      <c r="P1036" s="619"/>
      <c r="Q1036" s="619"/>
      <c r="R1036" s="619"/>
    </row>
    <row r="1037" spans="1:18" ht="15.6" x14ac:dyDescent="0.25">
      <c r="A1037" s="619"/>
      <c r="B1037" s="619"/>
      <c r="C1037" s="619"/>
      <c r="D1037" s="619"/>
      <c r="E1037" s="619"/>
      <c r="F1037" s="330"/>
      <c r="O1037" s="756"/>
      <c r="P1037" s="619"/>
      <c r="Q1037" s="619"/>
      <c r="R1037" s="619"/>
    </row>
    <row r="1038" spans="1:18" ht="15.6" x14ac:dyDescent="0.25">
      <c r="A1038" s="619"/>
      <c r="B1038" s="619"/>
      <c r="C1038" s="619"/>
      <c r="D1038" s="619"/>
      <c r="E1038" s="619"/>
      <c r="F1038" s="330"/>
      <c r="O1038" s="756"/>
      <c r="P1038" s="619"/>
      <c r="Q1038" s="619"/>
      <c r="R1038" s="619"/>
    </row>
    <row r="1039" spans="1:18" ht="15.6" x14ac:dyDescent="0.25">
      <c r="A1039" s="619"/>
      <c r="B1039" s="619"/>
      <c r="C1039" s="619"/>
      <c r="D1039" s="619"/>
      <c r="E1039" s="619"/>
      <c r="F1039" s="330"/>
      <c r="O1039" s="756"/>
      <c r="P1039" s="619"/>
      <c r="Q1039" s="619"/>
      <c r="R1039" s="619"/>
    </row>
    <row r="1040" spans="1:18" ht="15.6" x14ac:dyDescent="0.25">
      <c r="A1040" s="619"/>
      <c r="B1040" s="619"/>
      <c r="C1040" s="619"/>
      <c r="D1040" s="619"/>
      <c r="E1040" s="619"/>
      <c r="F1040" s="330"/>
      <c r="O1040" s="756"/>
      <c r="P1040" s="619"/>
      <c r="Q1040" s="619"/>
      <c r="R1040" s="619"/>
    </row>
    <row r="1041" spans="1:18" ht="15.6" x14ac:dyDescent="0.25">
      <c r="A1041" s="619"/>
      <c r="B1041" s="619"/>
      <c r="C1041" s="619"/>
      <c r="D1041" s="619"/>
      <c r="E1041" s="619"/>
      <c r="F1041" s="330"/>
      <c r="O1041" s="756"/>
      <c r="P1041" s="619"/>
      <c r="Q1041" s="619"/>
      <c r="R1041" s="619"/>
    </row>
    <row r="1042" spans="1:18" ht="15.6" x14ac:dyDescent="0.25">
      <c r="A1042" s="619"/>
      <c r="B1042" s="619"/>
      <c r="C1042" s="619"/>
      <c r="D1042" s="619"/>
      <c r="E1042" s="619"/>
      <c r="F1042" s="330"/>
      <c r="O1042" s="756"/>
      <c r="P1042" s="619"/>
      <c r="Q1042" s="619"/>
      <c r="R1042" s="619"/>
    </row>
    <row r="1043" spans="1:18" ht="15.6" x14ac:dyDescent="0.25">
      <c r="A1043" s="619"/>
      <c r="B1043" s="619"/>
      <c r="C1043" s="619"/>
      <c r="D1043" s="619"/>
      <c r="E1043" s="619"/>
      <c r="F1043" s="330"/>
      <c r="O1043" s="756"/>
      <c r="P1043" s="619"/>
      <c r="Q1043" s="619"/>
      <c r="R1043" s="619"/>
    </row>
    <row r="1044" spans="1:18" ht="15.6" x14ac:dyDescent="0.25">
      <c r="A1044" s="619"/>
      <c r="B1044" s="619"/>
      <c r="C1044" s="619"/>
      <c r="D1044" s="619"/>
      <c r="E1044" s="619"/>
      <c r="F1044" s="330"/>
      <c r="O1044" s="756"/>
      <c r="P1044" s="619"/>
      <c r="Q1044" s="619"/>
      <c r="R1044" s="619"/>
    </row>
    <row r="1045" spans="1:18" ht="15.6" x14ac:dyDescent="0.25">
      <c r="A1045" s="619"/>
      <c r="B1045" s="619"/>
      <c r="C1045" s="619"/>
      <c r="D1045" s="619"/>
      <c r="E1045" s="619"/>
      <c r="F1045" s="330"/>
      <c r="O1045" s="756"/>
      <c r="P1045" s="619"/>
      <c r="Q1045" s="619"/>
      <c r="R1045" s="619"/>
    </row>
    <row r="1046" spans="1:18" ht="15.6" x14ac:dyDescent="0.25">
      <c r="A1046" s="619"/>
      <c r="B1046" s="619"/>
      <c r="C1046" s="619"/>
      <c r="D1046" s="619"/>
      <c r="E1046" s="619"/>
      <c r="F1046" s="330"/>
      <c r="O1046" s="756"/>
      <c r="P1046" s="619"/>
      <c r="Q1046" s="619"/>
      <c r="R1046" s="619"/>
    </row>
    <row r="1047" spans="1:18" ht="15.6" x14ac:dyDescent="0.25">
      <c r="A1047" s="619"/>
      <c r="B1047" s="619"/>
      <c r="C1047" s="619"/>
      <c r="D1047" s="619"/>
      <c r="E1047" s="619"/>
      <c r="F1047" s="330"/>
      <c r="O1047" s="756"/>
      <c r="P1047" s="619"/>
      <c r="Q1047" s="619"/>
      <c r="R1047" s="619"/>
    </row>
    <row r="1048" spans="1:18" ht="15.6" x14ac:dyDescent="0.25">
      <c r="A1048" s="619"/>
      <c r="B1048" s="619"/>
      <c r="C1048" s="619"/>
      <c r="D1048" s="619"/>
      <c r="E1048" s="619"/>
      <c r="F1048" s="330"/>
      <c r="O1048" s="756"/>
      <c r="P1048" s="619"/>
      <c r="Q1048" s="619"/>
      <c r="R1048" s="619"/>
    </row>
    <row r="1049" spans="1:18" ht="15.6" x14ac:dyDescent="0.25">
      <c r="A1049" s="619"/>
      <c r="B1049" s="619"/>
      <c r="C1049" s="619"/>
      <c r="D1049" s="619"/>
      <c r="E1049" s="619"/>
      <c r="F1049" s="330"/>
      <c r="O1049" s="756"/>
      <c r="P1049" s="619"/>
      <c r="Q1049" s="619"/>
      <c r="R1049" s="619"/>
    </row>
    <row r="1050" spans="1:18" ht="15.6" x14ac:dyDescent="0.25">
      <c r="A1050" s="619"/>
      <c r="B1050" s="619"/>
      <c r="C1050" s="619"/>
      <c r="D1050" s="619"/>
      <c r="E1050" s="619"/>
      <c r="F1050" s="330"/>
      <c r="O1050" s="756"/>
      <c r="P1050" s="619"/>
      <c r="Q1050" s="619"/>
      <c r="R1050" s="619"/>
    </row>
    <row r="1051" spans="1:18" ht="15.6" x14ac:dyDescent="0.25">
      <c r="A1051" s="619"/>
      <c r="B1051" s="619"/>
      <c r="C1051" s="619"/>
      <c r="D1051" s="619"/>
      <c r="E1051" s="619"/>
      <c r="F1051" s="330"/>
      <c r="O1051" s="756"/>
      <c r="P1051" s="619"/>
      <c r="Q1051" s="619"/>
      <c r="R1051" s="619"/>
    </row>
    <row r="1052" spans="1:18" ht="15.6" x14ac:dyDescent="0.25">
      <c r="A1052" s="619"/>
      <c r="B1052" s="619"/>
      <c r="C1052" s="619"/>
      <c r="D1052" s="619"/>
      <c r="E1052" s="619"/>
      <c r="F1052" s="330"/>
      <c r="O1052" s="756"/>
      <c r="P1052" s="619"/>
      <c r="Q1052" s="619"/>
      <c r="R1052" s="619"/>
    </row>
    <row r="1053" spans="1:18" ht="15.6" x14ac:dyDescent="0.25">
      <c r="A1053" s="619"/>
      <c r="B1053" s="619"/>
      <c r="C1053" s="619"/>
      <c r="D1053" s="619"/>
      <c r="E1053" s="619"/>
      <c r="F1053" s="330"/>
      <c r="O1053" s="756"/>
      <c r="P1053" s="619"/>
      <c r="Q1053" s="619"/>
      <c r="R1053" s="619"/>
    </row>
    <row r="1054" spans="1:18" ht="15.6" x14ac:dyDescent="0.25">
      <c r="A1054" s="619"/>
      <c r="B1054" s="619"/>
      <c r="C1054" s="619"/>
      <c r="D1054" s="619"/>
      <c r="E1054" s="619"/>
      <c r="F1054" s="330"/>
      <c r="O1054" s="756"/>
      <c r="P1054" s="619"/>
      <c r="Q1054" s="619"/>
      <c r="R1054" s="619"/>
    </row>
    <row r="1055" spans="1:18" ht="15.6" x14ac:dyDescent="0.25">
      <c r="A1055" s="619"/>
      <c r="B1055" s="619"/>
      <c r="C1055" s="619"/>
      <c r="D1055" s="619"/>
      <c r="E1055" s="619"/>
      <c r="F1055" s="330"/>
      <c r="O1055" s="756"/>
      <c r="P1055" s="619"/>
      <c r="Q1055" s="619"/>
      <c r="R1055" s="619"/>
    </row>
    <row r="1056" spans="1:18" ht="15.6" x14ac:dyDescent="0.25">
      <c r="A1056" s="619"/>
      <c r="B1056" s="619"/>
      <c r="C1056" s="619"/>
      <c r="D1056" s="619"/>
      <c r="E1056" s="619"/>
      <c r="F1056" s="330"/>
      <c r="O1056" s="756"/>
      <c r="P1056" s="619"/>
      <c r="Q1056" s="619"/>
      <c r="R1056" s="619"/>
    </row>
    <row r="1057" spans="1:18" ht="15.6" x14ac:dyDescent="0.25">
      <c r="A1057" s="619"/>
      <c r="B1057" s="619"/>
      <c r="C1057" s="619"/>
      <c r="D1057" s="619"/>
      <c r="E1057" s="619"/>
      <c r="F1057" s="330"/>
      <c r="O1057" s="756"/>
      <c r="P1057" s="619"/>
      <c r="Q1057" s="619"/>
      <c r="R1057" s="619"/>
    </row>
    <row r="1058" spans="1:18" ht="15.6" x14ac:dyDescent="0.25">
      <c r="A1058" s="619"/>
      <c r="B1058" s="619"/>
      <c r="C1058" s="619"/>
      <c r="D1058" s="619"/>
      <c r="E1058" s="619"/>
      <c r="F1058" s="330"/>
      <c r="O1058" s="756"/>
      <c r="P1058" s="619"/>
      <c r="Q1058" s="619"/>
      <c r="R1058" s="619"/>
    </row>
    <row r="1059" spans="1:18" ht="15.6" x14ac:dyDescent="0.25">
      <c r="A1059" s="619"/>
      <c r="B1059" s="619"/>
      <c r="C1059" s="619"/>
      <c r="D1059" s="619"/>
      <c r="E1059" s="619"/>
      <c r="F1059" s="330"/>
      <c r="O1059" s="756"/>
      <c r="P1059" s="619"/>
      <c r="Q1059" s="619"/>
      <c r="R1059" s="619"/>
    </row>
    <row r="1060" spans="1:18" ht="15.6" x14ac:dyDescent="0.25">
      <c r="A1060" s="619"/>
      <c r="B1060" s="619"/>
      <c r="C1060" s="619"/>
      <c r="D1060" s="619"/>
      <c r="E1060" s="619"/>
      <c r="F1060" s="330"/>
      <c r="O1060" s="756"/>
      <c r="P1060" s="619"/>
      <c r="Q1060" s="619"/>
      <c r="R1060" s="619"/>
    </row>
    <row r="1061" spans="1:18" ht="15.6" x14ac:dyDescent="0.25">
      <c r="A1061" s="619"/>
      <c r="B1061" s="619"/>
      <c r="C1061" s="619"/>
      <c r="D1061" s="619"/>
      <c r="E1061" s="619"/>
      <c r="F1061" s="330"/>
      <c r="O1061" s="756"/>
      <c r="P1061" s="619"/>
      <c r="Q1061" s="619"/>
      <c r="R1061" s="619"/>
    </row>
    <row r="1062" spans="1:18" ht="15.6" x14ac:dyDescent="0.25">
      <c r="A1062" s="619"/>
      <c r="B1062" s="619"/>
      <c r="C1062" s="619"/>
      <c r="D1062" s="619"/>
      <c r="E1062" s="619"/>
      <c r="F1062" s="330"/>
      <c r="O1062" s="756"/>
      <c r="P1062" s="619"/>
      <c r="Q1062" s="619"/>
      <c r="R1062" s="619"/>
    </row>
    <row r="1063" spans="1:18" ht="15.6" x14ac:dyDescent="0.25">
      <c r="A1063" s="619"/>
      <c r="B1063" s="619"/>
      <c r="C1063" s="619"/>
      <c r="D1063" s="619"/>
      <c r="E1063" s="619"/>
      <c r="F1063" s="330"/>
      <c r="O1063" s="756"/>
      <c r="P1063" s="619"/>
      <c r="Q1063" s="619"/>
      <c r="R1063" s="619"/>
    </row>
    <row r="1064" spans="1:18" ht="15.6" x14ac:dyDescent="0.25">
      <c r="A1064" s="619"/>
      <c r="B1064" s="619"/>
      <c r="C1064" s="619"/>
      <c r="D1064" s="619"/>
      <c r="E1064" s="619"/>
      <c r="F1064" s="330"/>
      <c r="O1064" s="756"/>
      <c r="P1064" s="619"/>
      <c r="Q1064" s="619"/>
      <c r="R1064" s="619"/>
    </row>
    <row r="1065" spans="1:18" ht="15.6" x14ac:dyDescent="0.25">
      <c r="A1065" s="619"/>
      <c r="B1065" s="619"/>
      <c r="C1065" s="619"/>
      <c r="D1065" s="619"/>
      <c r="E1065" s="619"/>
      <c r="F1065" s="330"/>
      <c r="O1065" s="756"/>
      <c r="P1065" s="619"/>
      <c r="Q1065" s="619"/>
      <c r="R1065" s="619"/>
    </row>
    <row r="1066" spans="1:18" ht="15.6" x14ac:dyDescent="0.25">
      <c r="A1066" s="619"/>
      <c r="B1066" s="619"/>
      <c r="C1066" s="619"/>
      <c r="D1066" s="619"/>
      <c r="E1066" s="619"/>
      <c r="F1066" s="330"/>
      <c r="O1066" s="756"/>
      <c r="P1066" s="619"/>
      <c r="Q1066" s="619"/>
      <c r="R1066" s="619"/>
    </row>
    <row r="1067" spans="1:18" ht="15.6" x14ac:dyDescent="0.25">
      <c r="A1067" s="619"/>
      <c r="B1067" s="619"/>
      <c r="C1067" s="619"/>
      <c r="D1067" s="619"/>
      <c r="E1067" s="619"/>
      <c r="F1067" s="330"/>
      <c r="O1067" s="756"/>
      <c r="P1067" s="619"/>
      <c r="Q1067" s="619"/>
      <c r="R1067" s="619"/>
    </row>
    <row r="1068" spans="1:18" ht="15.6" x14ac:dyDescent="0.25">
      <c r="A1068" s="619"/>
      <c r="B1068" s="619"/>
      <c r="C1068" s="619"/>
      <c r="D1068" s="619"/>
      <c r="E1068" s="619"/>
      <c r="F1068" s="330"/>
      <c r="O1068" s="756"/>
      <c r="P1068" s="619"/>
      <c r="Q1068" s="619"/>
      <c r="R1068" s="619"/>
    </row>
    <row r="1069" spans="1:18" ht="15.6" x14ac:dyDescent="0.25">
      <c r="A1069" s="619"/>
      <c r="B1069" s="619"/>
      <c r="C1069" s="619"/>
      <c r="D1069" s="619"/>
      <c r="E1069" s="619"/>
      <c r="F1069" s="330"/>
      <c r="O1069" s="756"/>
      <c r="P1069" s="619"/>
      <c r="Q1069" s="619"/>
      <c r="R1069" s="619"/>
    </row>
    <row r="1070" spans="1:18" ht="15.6" x14ac:dyDescent="0.25">
      <c r="A1070" s="619"/>
      <c r="B1070" s="619"/>
      <c r="C1070" s="619"/>
      <c r="D1070" s="619"/>
      <c r="E1070" s="619"/>
      <c r="F1070" s="330"/>
      <c r="O1070" s="756"/>
      <c r="P1070" s="619"/>
      <c r="Q1070" s="619"/>
      <c r="R1070" s="619"/>
    </row>
    <row r="1071" spans="1:18" ht="15.6" x14ac:dyDescent="0.25">
      <c r="A1071" s="619"/>
      <c r="B1071" s="619"/>
      <c r="C1071" s="619"/>
      <c r="D1071" s="619"/>
      <c r="E1071" s="619"/>
      <c r="F1071" s="330"/>
      <c r="O1071" s="756"/>
      <c r="P1071" s="619"/>
      <c r="Q1071" s="619"/>
      <c r="R1071" s="619"/>
    </row>
    <row r="1072" spans="1:18" ht="15.6" x14ac:dyDescent="0.25">
      <c r="A1072" s="619"/>
      <c r="B1072" s="619"/>
      <c r="C1072" s="619"/>
      <c r="D1072" s="619"/>
      <c r="E1072" s="619"/>
      <c r="F1072" s="330"/>
      <c r="O1072" s="756"/>
      <c r="P1072" s="619"/>
      <c r="Q1072" s="619"/>
      <c r="R1072" s="619"/>
    </row>
    <row r="1073" spans="1:18" ht="15.6" x14ac:dyDescent="0.25">
      <c r="A1073" s="619"/>
      <c r="B1073" s="619"/>
      <c r="C1073" s="619"/>
      <c r="D1073" s="619"/>
      <c r="E1073" s="619"/>
      <c r="F1073" s="330"/>
      <c r="O1073" s="756"/>
      <c r="P1073" s="619"/>
      <c r="Q1073" s="619"/>
      <c r="R1073" s="619"/>
    </row>
    <row r="1074" spans="1:18" ht="15.6" x14ac:dyDescent="0.25">
      <c r="A1074" s="619"/>
      <c r="B1074" s="619"/>
      <c r="C1074" s="619"/>
      <c r="D1074" s="619"/>
      <c r="E1074" s="619"/>
      <c r="F1074" s="330"/>
      <c r="O1074" s="756"/>
      <c r="P1074" s="619"/>
      <c r="Q1074" s="619"/>
      <c r="R1074" s="619"/>
    </row>
    <row r="1075" spans="1:18" ht="15.6" x14ac:dyDescent="0.25">
      <c r="A1075" s="619"/>
      <c r="B1075" s="619"/>
      <c r="C1075" s="619"/>
      <c r="D1075" s="619"/>
      <c r="E1075" s="619"/>
      <c r="F1075" s="330"/>
      <c r="O1075" s="756"/>
      <c r="P1075" s="619"/>
      <c r="Q1075" s="619"/>
      <c r="R1075" s="619"/>
    </row>
    <row r="1076" spans="1:18" ht="15.6" x14ac:dyDescent="0.25">
      <c r="A1076" s="619"/>
      <c r="B1076" s="619"/>
      <c r="C1076" s="619"/>
      <c r="D1076" s="619"/>
      <c r="E1076" s="619"/>
      <c r="F1076" s="330"/>
      <c r="O1076" s="756"/>
      <c r="P1076" s="619"/>
      <c r="Q1076" s="619"/>
      <c r="R1076" s="619"/>
    </row>
    <row r="1077" spans="1:18" ht="15.6" x14ac:dyDescent="0.25">
      <c r="A1077" s="619"/>
      <c r="B1077" s="619"/>
      <c r="C1077" s="619"/>
      <c r="D1077" s="619"/>
      <c r="E1077" s="619"/>
      <c r="F1077" s="330"/>
      <c r="O1077" s="756"/>
      <c r="P1077" s="619"/>
      <c r="Q1077" s="619"/>
      <c r="R1077" s="619"/>
    </row>
    <row r="1078" spans="1:18" ht="15.6" x14ac:dyDescent="0.25">
      <c r="A1078" s="619"/>
      <c r="B1078" s="619"/>
      <c r="C1078" s="619"/>
      <c r="D1078" s="619"/>
      <c r="E1078" s="619"/>
      <c r="F1078" s="330"/>
      <c r="O1078" s="756"/>
      <c r="P1078" s="619"/>
      <c r="Q1078" s="619"/>
      <c r="R1078" s="619"/>
    </row>
    <row r="1079" spans="1:18" ht="15.6" x14ac:dyDescent="0.25">
      <c r="A1079" s="619"/>
      <c r="B1079" s="619"/>
      <c r="C1079" s="619"/>
      <c r="D1079" s="619"/>
      <c r="E1079" s="619"/>
      <c r="F1079" s="330"/>
      <c r="O1079" s="756"/>
      <c r="P1079" s="619"/>
      <c r="Q1079" s="619"/>
      <c r="R1079" s="619"/>
    </row>
    <row r="1080" spans="1:18" ht="15.6" x14ac:dyDescent="0.25">
      <c r="A1080" s="619"/>
      <c r="B1080" s="619"/>
      <c r="C1080" s="619"/>
      <c r="D1080" s="619"/>
      <c r="E1080" s="619"/>
      <c r="F1080" s="330"/>
      <c r="O1080" s="756"/>
      <c r="P1080" s="619"/>
      <c r="Q1080" s="619"/>
      <c r="R1080" s="619"/>
    </row>
    <row r="1081" spans="1:18" ht="15.6" x14ac:dyDescent="0.25">
      <c r="A1081" s="619"/>
      <c r="B1081" s="619"/>
      <c r="C1081" s="619"/>
      <c r="D1081" s="619"/>
      <c r="E1081" s="619"/>
      <c r="F1081" s="330"/>
      <c r="O1081" s="756"/>
      <c r="P1081" s="619"/>
      <c r="Q1081" s="619"/>
      <c r="R1081" s="619"/>
    </row>
    <row r="1082" spans="1:18" ht="15.6" x14ac:dyDescent="0.25">
      <c r="A1082" s="619"/>
      <c r="B1082" s="619"/>
      <c r="C1082" s="619"/>
      <c r="D1082" s="619"/>
      <c r="E1082" s="619"/>
      <c r="F1082" s="330"/>
      <c r="O1082" s="756"/>
      <c r="P1082" s="619"/>
      <c r="Q1082" s="619"/>
      <c r="R1082" s="619"/>
    </row>
    <row r="1083" spans="1:18" ht="15.6" x14ac:dyDescent="0.25">
      <c r="A1083" s="619"/>
      <c r="B1083" s="619"/>
      <c r="C1083" s="619"/>
      <c r="D1083" s="619"/>
      <c r="E1083" s="619"/>
      <c r="F1083" s="330"/>
      <c r="O1083" s="756"/>
      <c r="P1083" s="619"/>
      <c r="Q1083" s="619"/>
      <c r="R1083" s="619"/>
    </row>
    <row r="1084" spans="1:18" ht="15.6" x14ac:dyDescent="0.25">
      <c r="A1084" s="619"/>
      <c r="B1084" s="619"/>
      <c r="C1084" s="619"/>
      <c r="D1084" s="619"/>
      <c r="E1084" s="619"/>
      <c r="F1084" s="330"/>
      <c r="O1084" s="756"/>
      <c r="P1084" s="619"/>
      <c r="Q1084" s="619"/>
      <c r="R1084" s="619"/>
    </row>
    <row r="1085" spans="1:18" ht="15.6" x14ac:dyDescent="0.25">
      <c r="A1085" s="619"/>
      <c r="B1085" s="619"/>
      <c r="C1085" s="619"/>
      <c r="D1085" s="619"/>
      <c r="E1085" s="619"/>
      <c r="F1085" s="330"/>
      <c r="O1085" s="756"/>
      <c r="P1085" s="619"/>
      <c r="Q1085" s="619"/>
      <c r="R1085" s="619"/>
    </row>
    <row r="1086" spans="1:18" ht="15.6" x14ac:dyDescent="0.25">
      <c r="A1086" s="619"/>
      <c r="B1086" s="619"/>
      <c r="C1086" s="619"/>
      <c r="D1086" s="619"/>
      <c r="E1086" s="619"/>
      <c r="F1086" s="330"/>
      <c r="O1086" s="756"/>
      <c r="P1086" s="619"/>
      <c r="Q1086" s="619"/>
      <c r="R1086" s="619"/>
    </row>
    <row r="1087" spans="1:18" ht="15.6" x14ac:dyDescent="0.25">
      <c r="A1087" s="619"/>
      <c r="B1087" s="619"/>
      <c r="C1087" s="619"/>
      <c r="D1087" s="619"/>
      <c r="E1087" s="619"/>
      <c r="F1087" s="330"/>
      <c r="O1087" s="756"/>
      <c r="P1087" s="619"/>
      <c r="Q1087" s="619"/>
      <c r="R1087" s="619"/>
    </row>
    <row r="1088" spans="1:18" ht="15.6" x14ac:dyDescent="0.25">
      <c r="A1088" s="619"/>
      <c r="B1088" s="619"/>
      <c r="C1088" s="619"/>
      <c r="D1088" s="619"/>
      <c r="E1088" s="619"/>
      <c r="F1088" s="330"/>
      <c r="O1088" s="756"/>
      <c r="P1088" s="619"/>
      <c r="Q1088" s="619"/>
      <c r="R1088" s="619"/>
    </row>
    <row r="1089" spans="1:18" ht="15.6" x14ac:dyDescent="0.25">
      <c r="A1089" s="619"/>
      <c r="B1089" s="619"/>
      <c r="C1089" s="619"/>
      <c r="D1089" s="619"/>
      <c r="E1089" s="619"/>
      <c r="F1089" s="330"/>
      <c r="O1089" s="756"/>
      <c r="P1089" s="619"/>
      <c r="Q1089" s="619"/>
      <c r="R1089" s="619"/>
    </row>
    <row r="1090" spans="1:18" ht="15.6" x14ac:dyDescent="0.25">
      <c r="A1090" s="619"/>
      <c r="B1090" s="619"/>
      <c r="C1090" s="619"/>
      <c r="D1090" s="619"/>
      <c r="E1090" s="619"/>
      <c r="F1090" s="330"/>
      <c r="O1090" s="756"/>
      <c r="P1090" s="619"/>
      <c r="Q1090" s="619"/>
      <c r="R1090" s="619"/>
    </row>
    <row r="1091" spans="1:18" ht="15.6" x14ac:dyDescent="0.25">
      <c r="A1091" s="619"/>
      <c r="B1091" s="619"/>
      <c r="C1091" s="619"/>
      <c r="D1091" s="619"/>
      <c r="E1091" s="619"/>
      <c r="F1091" s="330"/>
      <c r="O1091" s="756"/>
      <c r="P1091" s="619"/>
      <c r="Q1091" s="619"/>
      <c r="R1091" s="619"/>
    </row>
    <row r="1092" spans="1:18" ht="15.6" x14ac:dyDescent="0.25">
      <c r="A1092" s="619"/>
      <c r="B1092" s="619"/>
      <c r="C1092" s="619"/>
      <c r="D1092" s="619"/>
      <c r="E1092" s="619"/>
      <c r="F1092" s="330"/>
      <c r="O1092" s="756"/>
      <c r="P1092" s="619"/>
      <c r="Q1092" s="619"/>
      <c r="R1092" s="619"/>
    </row>
    <row r="1093" spans="1:18" ht="15.6" x14ac:dyDescent="0.25">
      <c r="A1093" s="619"/>
      <c r="B1093" s="619"/>
      <c r="C1093" s="619"/>
      <c r="D1093" s="619"/>
      <c r="E1093" s="619"/>
      <c r="F1093" s="330"/>
      <c r="O1093" s="756"/>
      <c r="P1093" s="619"/>
      <c r="Q1093" s="619"/>
      <c r="R1093" s="619"/>
    </row>
    <row r="1094" spans="1:18" ht="15.6" x14ac:dyDescent="0.25">
      <c r="A1094" s="619"/>
      <c r="B1094" s="619"/>
      <c r="C1094" s="619"/>
      <c r="D1094" s="619"/>
      <c r="E1094" s="619"/>
      <c r="F1094" s="330"/>
      <c r="O1094" s="756"/>
      <c r="P1094" s="619"/>
      <c r="Q1094" s="619"/>
      <c r="R1094" s="619"/>
    </row>
    <row r="1095" spans="1:18" ht="15.6" x14ac:dyDescent="0.25">
      <c r="A1095" s="619"/>
      <c r="B1095" s="619"/>
      <c r="C1095" s="619"/>
      <c r="D1095" s="619"/>
      <c r="E1095" s="619"/>
      <c r="F1095" s="330"/>
      <c r="O1095" s="756"/>
      <c r="P1095" s="619"/>
      <c r="Q1095" s="619"/>
      <c r="R1095" s="619"/>
    </row>
    <row r="1096" spans="1:18" ht="15.6" x14ac:dyDescent="0.25">
      <c r="A1096" s="619"/>
      <c r="B1096" s="619"/>
      <c r="C1096" s="619"/>
      <c r="D1096" s="619"/>
      <c r="E1096" s="619"/>
      <c r="F1096" s="330"/>
      <c r="O1096" s="756"/>
      <c r="P1096" s="619"/>
      <c r="Q1096" s="619"/>
      <c r="R1096" s="619"/>
    </row>
    <row r="1097" spans="1:18" ht="15.6" x14ac:dyDescent="0.25">
      <c r="A1097" s="619"/>
      <c r="B1097" s="619"/>
      <c r="C1097" s="619"/>
      <c r="D1097" s="619"/>
      <c r="E1097" s="619"/>
      <c r="F1097" s="330"/>
      <c r="O1097" s="756"/>
      <c r="P1097" s="619"/>
      <c r="Q1097" s="619"/>
      <c r="R1097" s="619"/>
    </row>
    <row r="1098" spans="1:18" ht="15.6" x14ac:dyDescent="0.25">
      <c r="A1098" s="619"/>
      <c r="B1098" s="619"/>
      <c r="C1098" s="619"/>
      <c r="D1098" s="619"/>
      <c r="E1098" s="619"/>
      <c r="F1098" s="330"/>
      <c r="O1098" s="756"/>
      <c r="P1098" s="619"/>
      <c r="Q1098" s="619"/>
      <c r="R1098" s="619"/>
    </row>
    <row r="1099" spans="1:18" ht="15.6" x14ac:dyDescent="0.25">
      <c r="A1099" s="619"/>
      <c r="B1099" s="619"/>
      <c r="C1099" s="619"/>
      <c r="D1099" s="619"/>
      <c r="E1099" s="619"/>
      <c r="F1099" s="330"/>
      <c r="O1099" s="756"/>
      <c r="P1099" s="619"/>
      <c r="Q1099" s="619"/>
      <c r="R1099" s="619"/>
    </row>
    <row r="1100" spans="1:18" ht="15.6" x14ac:dyDescent="0.25">
      <c r="A1100" s="619"/>
      <c r="B1100" s="619"/>
      <c r="C1100" s="619"/>
      <c r="D1100" s="619"/>
      <c r="E1100" s="619"/>
      <c r="F1100" s="330"/>
      <c r="O1100" s="756"/>
      <c r="P1100" s="619"/>
      <c r="Q1100" s="619"/>
      <c r="R1100" s="619"/>
    </row>
    <row r="1101" spans="1:18" ht="15.6" x14ac:dyDescent="0.25">
      <c r="A1101" s="619"/>
      <c r="B1101" s="619"/>
      <c r="C1101" s="619"/>
      <c r="D1101" s="619"/>
      <c r="E1101" s="619"/>
      <c r="F1101" s="330"/>
      <c r="O1101" s="756"/>
      <c r="P1101" s="619"/>
      <c r="Q1101" s="619"/>
      <c r="R1101" s="619"/>
    </row>
    <row r="1102" spans="1:18" ht="15.6" x14ac:dyDescent="0.25">
      <c r="A1102" s="619"/>
      <c r="B1102" s="619"/>
      <c r="C1102" s="619"/>
      <c r="D1102" s="619"/>
      <c r="E1102" s="619"/>
      <c r="F1102" s="330"/>
      <c r="O1102" s="756"/>
      <c r="P1102" s="619"/>
      <c r="Q1102" s="619"/>
      <c r="R1102" s="619"/>
    </row>
    <row r="1103" spans="1:18" ht="15.6" x14ac:dyDescent="0.25">
      <c r="A1103" s="619"/>
      <c r="B1103" s="619"/>
      <c r="C1103" s="619"/>
      <c r="D1103" s="619"/>
      <c r="E1103" s="619"/>
      <c r="F1103" s="330"/>
      <c r="O1103" s="756"/>
      <c r="P1103" s="619"/>
      <c r="Q1103" s="619"/>
      <c r="R1103" s="619"/>
    </row>
    <row r="1104" spans="1:18" ht="15.6" x14ac:dyDescent="0.25">
      <c r="A1104" s="619"/>
      <c r="B1104" s="619"/>
      <c r="C1104" s="619"/>
      <c r="D1104" s="619"/>
      <c r="E1104" s="619"/>
      <c r="F1104" s="330"/>
      <c r="O1104" s="756"/>
      <c r="P1104" s="619"/>
      <c r="Q1104" s="619"/>
      <c r="R1104" s="619"/>
    </row>
    <row r="1105" spans="1:18" ht="15.6" x14ac:dyDescent="0.25">
      <c r="A1105" s="619"/>
      <c r="B1105" s="619"/>
      <c r="C1105" s="619"/>
      <c r="D1105" s="619"/>
      <c r="E1105" s="619"/>
      <c r="F1105" s="330"/>
      <c r="O1105" s="756"/>
      <c r="P1105" s="619"/>
      <c r="Q1105" s="619"/>
      <c r="R1105" s="619"/>
    </row>
    <row r="1106" spans="1:18" ht="15.6" x14ac:dyDescent="0.25">
      <c r="A1106" s="619"/>
      <c r="B1106" s="619"/>
      <c r="C1106" s="619"/>
      <c r="D1106" s="619"/>
      <c r="E1106" s="619"/>
      <c r="F1106" s="330"/>
      <c r="O1106" s="756"/>
      <c r="P1106" s="619"/>
      <c r="Q1106" s="619"/>
      <c r="R1106" s="619"/>
    </row>
    <row r="1107" spans="1:18" ht="15.6" x14ac:dyDescent="0.25">
      <c r="A1107" s="619"/>
      <c r="B1107" s="619"/>
      <c r="C1107" s="619"/>
      <c r="D1107" s="619"/>
      <c r="E1107" s="619"/>
      <c r="F1107" s="330"/>
      <c r="O1107" s="756"/>
      <c r="P1107" s="619"/>
      <c r="Q1107" s="619"/>
      <c r="R1107" s="619"/>
    </row>
    <row r="1108" spans="1:18" ht="15.6" x14ac:dyDescent="0.25">
      <c r="A1108" s="619"/>
      <c r="B1108" s="619"/>
      <c r="C1108" s="619"/>
      <c r="D1108" s="619"/>
      <c r="E1108" s="619"/>
      <c r="F1108" s="330"/>
      <c r="O1108" s="756"/>
      <c r="P1108" s="619"/>
      <c r="Q1108" s="619"/>
      <c r="R1108" s="619"/>
    </row>
    <row r="1109" spans="1:18" ht="15.6" x14ac:dyDescent="0.25">
      <c r="A1109" s="619"/>
      <c r="B1109" s="619"/>
      <c r="C1109" s="619"/>
      <c r="D1109" s="619"/>
      <c r="E1109" s="619"/>
      <c r="F1109" s="330"/>
      <c r="O1109" s="756"/>
      <c r="P1109" s="619"/>
      <c r="Q1109" s="619"/>
      <c r="R1109" s="619"/>
    </row>
    <row r="1110" spans="1:18" ht="15.6" x14ac:dyDescent="0.25">
      <c r="A1110" s="619"/>
      <c r="B1110" s="619"/>
      <c r="C1110" s="619"/>
      <c r="D1110" s="619"/>
      <c r="E1110" s="619"/>
      <c r="F1110" s="330"/>
      <c r="O1110" s="756"/>
      <c r="P1110" s="619"/>
      <c r="Q1110" s="619"/>
      <c r="R1110" s="619"/>
    </row>
    <row r="1111" spans="1:18" ht="15.6" x14ac:dyDescent="0.25">
      <c r="A1111" s="619"/>
      <c r="B1111" s="619"/>
      <c r="C1111" s="619"/>
      <c r="D1111" s="619"/>
      <c r="E1111" s="619"/>
      <c r="F1111" s="330"/>
      <c r="O1111" s="756"/>
      <c r="P1111" s="619"/>
      <c r="Q1111" s="619"/>
      <c r="R1111" s="619"/>
    </row>
    <row r="1112" spans="1:18" ht="15.6" x14ac:dyDescent="0.25">
      <c r="A1112" s="619"/>
      <c r="B1112" s="619"/>
      <c r="C1112" s="619"/>
      <c r="D1112" s="619"/>
      <c r="E1112" s="619"/>
      <c r="F1112" s="330"/>
      <c r="O1112" s="756"/>
      <c r="P1112" s="619"/>
      <c r="Q1112" s="619"/>
      <c r="R1112" s="619"/>
    </row>
    <row r="1113" spans="1:18" ht="15.6" x14ac:dyDescent="0.25">
      <c r="A1113" s="619"/>
      <c r="B1113" s="619"/>
      <c r="C1113" s="619"/>
      <c r="D1113" s="619"/>
      <c r="E1113" s="619"/>
      <c r="F1113" s="330"/>
      <c r="O1113" s="756"/>
      <c r="P1113" s="619"/>
      <c r="Q1113" s="619"/>
      <c r="R1113" s="619"/>
    </row>
    <row r="1114" spans="1:18" ht="15.6" x14ac:dyDescent="0.25">
      <c r="A1114" s="619"/>
      <c r="B1114" s="619"/>
      <c r="C1114" s="619"/>
      <c r="D1114" s="619"/>
      <c r="E1114" s="619"/>
      <c r="F1114" s="330"/>
      <c r="O1114" s="756"/>
      <c r="P1114" s="619"/>
      <c r="Q1114" s="619"/>
      <c r="R1114" s="619"/>
    </row>
    <row r="1115" spans="1:18" ht="15.6" x14ac:dyDescent="0.25">
      <c r="A1115" s="619"/>
      <c r="B1115" s="619"/>
      <c r="C1115" s="619"/>
      <c r="D1115" s="619"/>
      <c r="E1115" s="619"/>
      <c r="F1115" s="330"/>
      <c r="O1115" s="756"/>
      <c r="P1115" s="619"/>
      <c r="Q1115" s="619"/>
      <c r="R1115" s="619"/>
    </row>
    <row r="1116" spans="1:18" ht="15.6" x14ac:dyDescent="0.25">
      <c r="A1116" s="619"/>
      <c r="B1116" s="619"/>
      <c r="C1116" s="619"/>
      <c r="D1116" s="619"/>
      <c r="E1116" s="619"/>
      <c r="F1116" s="330"/>
      <c r="O1116" s="756"/>
      <c r="P1116" s="619"/>
      <c r="Q1116" s="619"/>
      <c r="R1116" s="619"/>
    </row>
    <row r="1117" spans="1:18" ht="15.6" x14ac:dyDescent="0.25">
      <c r="A1117" s="619"/>
      <c r="B1117" s="619"/>
      <c r="C1117" s="619"/>
      <c r="D1117" s="619"/>
      <c r="E1117" s="619"/>
      <c r="F1117" s="330"/>
      <c r="O1117" s="756"/>
      <c r="P1117" s="619"/>
      <c r="Q1117" s="619"/>
      <c r="R1117" s="619"/>
    </row>
    <row r="1118" spans="1:18" ht="15.6" x14ac:dyDescent="0.25">
      <c r="A1118" s="619"/>
      <c r="B1118" s="619"/>
      <c r="C1118" s="619"/>
      <c r="D1118" s="619"/>
      <c r="E1118" s="619"/>
      <c r="F1118" s="330"/>
      <c r="O1118" s="756"/>
      <c r="P1118" s="619"/>
      <c r="Q1118" s="619"/>
      <c r="R1118" s="619"/>
    </row>
    <row r="1119" spans="1:18" ht="15.6" x14ac:dyDescent="0.25">
      <c r="A1119" s="619"/>
      <c r="B1119" s="619"/>
      <c r="C1119" s="619"/>
      <c r="D1119" s="619"/>
      <c r="E1119" s="619"/>
      <c r="F1119" s="330"/>
      <c r="O1119" s="756"/>
      <c r="P1119" s="619"/>
      <c r="Q1119" s="619"/>
      <c r="R1119" s="619"/>
    </row>
    <row r="1120" spans="1:18" ht="15.6" x14ac:dyDescent="0.25">
      <c r="A1120" s="619"/>
      <c r="B1120" s="619"/>
      <c r="C1120" s="619"/>
      <c r="D1120" s="619"/>
      <c r="E1120" s="619"/>
      <c r="F1120" s="330"/>
      <c r="O1120" s="756"/>
      <c r="P1120" s="619"/>
      <c r="Q1120" s="619"/>
      <c r="R1120" s="619"/>
    </row>
    <row r="1121" spans="1:18" ht="15.6" x14ac:dyDescent="0.25">
      <c r="A1121" s="619"/>
      <c r="B1121" s="619"/>
      <c r="C1121" s="619"/>
      <c r="D1121" s="619"/>
      <c r="E1121" s="619"/>
      <c r="F1121" s="330"/>
      <c r="O1121" s="756"/>
      <c r="P1121" s="619"/>
      <c r="Q1121" s="619"/>
      <c r="R1121" s="619"/>
    </row>
    <row r="1122" spans="1:18" ht="15.6" x14ac:dyDescent="0.25">
      <c r="A1122" s="619"/>
      <c r="B1122" s="619"/>
      <c r="C1122" s="619"/>
      <c r="D1122" s="619"/>
      <c r="E1122" s="619"/>
      <c r="F1122" s="330"/>
      <c r="O1122" s="756"/>
      <c r="P1122" s="619"/>
      <c r="Q1122" s="619"/>
      <c r="R1122" s="619"/>
    </row>
    <row r="1123" spans="1:18" ht="15.6" x14ac:dyDescent="0.25">
      <c r="A1123" s="619"/>
      <c r="B1123" s="619"/>
      <c r="C1123" s="619"/>
      <c r="D1123" s="619"/>
      <c r="E1123" s="619"/>
      <c r="F1123" s="330"/>
      <c r="O1123" s="756"/>
      <c r="P1123" s="619"/>
      <c r="Q1123" s="619"/>
      <c r="R1123" s="619"/>
    </row>
    <row r="1124" spans="1:18" ht="15.6" x14ac:dyDescent="0.25">
      <c r="A1124" s="619"/>
      <c r="B1124" s="619"/>
      <c r="C1124" s="619"/>
      <c r="D1124" s="619"/>
      <c r="E1124" s="619"/>
      <c r="F1124" s="330"/>
      <c r="O1124" s="756"/>
      <c r="P1124" s="619"/>
      <c r="Q1124" s="619"/>
      <c r="R1124" s="619"/>
    </row>
    <row r="1125" spans="1:18" ht="15.6" x14ac:dyDescent="0.25">
      <c r="A1125" s="619"/>
      <c r="B1125" s="619"/>
      <c r="C1125" s="619"/>
      <c r="D1125" s="619"/>
      <c r="E1125" s="619"/>
      <c r="F1125" s="330"/>
      <c r="O1125" s="756"/>
      <c r="P1125" s="619"/>
      <c r="Q1125" s="619"/>
      <c r="R1125" s="619"/>
    </row>
    <row r="1126" spans="1:18" ht="15.6" x14ac:dyDescent="0.25">
      <c r="A1126" s="619"/>
      <c r="B1126" s="619"/>
      <c r="C1126" s="619"/>
      <c r="D1126" s="619"/>
      <c r="E1126" s="619"/>
      <c r="F1126" s="330"/>
      <c r="O1126" s="756"/>
      <c r="P1126" s="619"/>
      <c r="Q1126" s="619"/>
      <c r="R1126" s="619"/>
    </row>
    <row r="1127" spans="1:18" ht="15.6" x14ac:dyDescent="0.25">
      <c r="A1127" s="619"/>
      <c r="B1127" s="619"/>
      <c r="C1127" s="619"/>
      <c r="D1127" s="619"/>
      <c r="E1127" s="619"/>
      <c r="F1127" s="330"/>
      <c r="O1127" s="756"/>
      <c r="P1127" s="619"/>
      <c r="Q1127" s="619"/>
      <c r="R1127" s="619"/>
    </row>
    <row r="1128" spans="1:18" ht="15.6" x14ac:dyDescent="0.25">
      <c r="A1128" s="619"/>
      <c r="B1128" s="619"/>
      <c r="C1128" s="619"/>
      <c r="D1128" s="619"/>
      <c r="E1128" s="619"/>
      <c r="F1128" s="330"/>
      <c r="O1128" s="756"/>
      <c r="P1128" s="619"/>
      <c r="Q1128" s="619"/>
      <c r="R1128" s="619"/>
    </row>
    <row r="1129" spans="1:18" ht="15.6" x14ac:dyDescent="0.25">
      <c r="A1129" s="619"/>
      <c r="B1129" s="619"/>
      <c r="C1129" s="619"/>
      <c r="D1129" s="619"/>
      <c r="E1129" s="619"/>
      <c r="F1129" s="330"/>
      <c r="O1129" s="756"/>
      <c r="P1129" s="619"/>
      <c r="Q1129" s="619"/>
      <c r="R1129" s="619"/>
    </row>
    <row r="1130" spans="1:18" ht="15.6" x14ac:dyDescent="0.25">
      <c r="A1130" s="619"/>
      <c r="B1130" s="619"/>
      <c r="C1130" s="619"/>
      <c r="D1130" s="619"/>
      <c r="E1130" s="619"/>
      <c r="F1130" s="330"/>
      <c r="O1130" s="756"/>
      <c r="P1130" s="619"/>
      <c r="Q1130" s="619"/>
      <c r="R1130" s="619"/>
    </row>
    <row r="1131" spans="1:18" ht="15.6" x14ac:dyDescent="0.25">
      <c r="A1131" s="619"/>
      <c r="B1131" s="619"/>
      <c r="C1131" s="619"/>
      <c r="D1131" s="619"/>
      <c r="E1131" s="619"/>
      <c r="F1131" s="330"/>
      <c r="O1131" s="756"/>
      <c r="P1131" s="619"/>
      <c r="Q1131" s="619"/>
      <c r="R1131" s="619"/>
    </row>
    <row r="1132" spans="1:18" ht="15.6" x14ac:dyDescent="0.25">
      <c r="A1132" s="619"/>
      <c r="B1132" s="619"/>
      <c r="C1132" s="619"/>
      <c r="D1132" s="619"/>
      <c r="E1132" s="619"/>
      <c r="F1132" s="330"/>
      <c r="O1132" s="756"/>
      <c r="P1132" s="619"/>
      <c r="Q1132" s="619"/>
      <c r="R1132" s="619"/>
    </row>
    <row r="1133" spans="1:18" ht="15.6" x14ac:dyDescent="0.25">
      <c r="A1133" s="619"/>
      <c r="B1133" s="619"/>
      <c r="C1133" s="619"/>
      <c r="D1133" s="619"/>
      <c r="E1133" s="619"/>
      <c r="F1133" s="330"/>
      <c r="O1133" s="756"/>
      <c r="P1133" s="619"/>
      <c r="Q1133" s="619"/>
      <c r="R1133" s="619"/>
    </row>
    <row r="1134" spans="1:18" ht="15.6" x14ac:dyDescent="0.25">
      <c r="A1134" s="619"/>
      <c r="B1134" s="619"/>
      <c r="C1134" s="619"/>
      <c r="D1134" s="619"/>
      <c r="E1134" s="619"/>
      <c r="F1134" s="330"/>
      <c r="O1134" s="756"/>
      <c r="P1134" s="619"/>
      <c r="Q1134" s="619"/>
      <c r="R1134" s="619"/>
    </row>
    <row r="1135" spans="1:18" ht="15.6" x14ac:dyDescent="0.25">
      <c r="A1135" s="619"/>
      <c r="B1135" s="619"/>
      <c r="C1135" s="619"/>
      <c r="D1135" s="619"/>
      <c r="E1135" s="619"/>
      <c r="F1135" s="330"/>
      <c r="O1135" s="756"/>
      <c r="P1135" s="619"/>
      <c r="Q1135" s="619"/>
      <c r="R1135" s="619"/>
    </row>
    <row r="1136" spans="1:18" ht="15.6" x14ac:dyDescent="0.25">
      <c r="A1136" s="619"/>
      <c r="B1136" s="619"/>
      <c r="C1136" s="619"/>
      <c r="D1136" s="619"/>
      <c r="E1136" s="619"/>
      <c r="F1136" s="330"/>
      <c r="O1136" s="756"/>
      <c r="P1136" s="619"/>
      <c r="Q1136" s="619"/>
      <c r="R1136" s="619"/>
    </row>
    <row r="1137" spans="1:18" ht="15.6" x14ac:dyDescent="0.25">
      <c r="A1137" s="619"/>
      <c r="B1137" s="619"/>
      <c r="C1137" s="619"/>
      <c r="D1137" s="619"/>
      <c r="E1137" s="619"/>
      <c r="F1137" s="330"/>
      <c r="O1137" s="756"/>
      <c r="P1137" s="619"/>
      <c r="Q1137" s="619"/>
      <c r="R1137" s="619"/>
    </row>
    <row r="1138" spans="1:18" ht="15.6" x14ac:dyDescent="0.25">
      <c r="A1138" s="619"/>
      <c r="B1138" s="619"/>
      <c r="C1138" s="619"/>
      <c r="D1138" s="619"/>
      <c r="E1138" s="619"/>
      <c r="F1138" s="330"/>
      <c r="O1138" s="756"/>
      <c r="P1138" s="619"/>
      <c r="Q1138" s="619"/>
      <c r="R1138" s="619"/>
    </row>
    <row r="1139" spans="1:18" ht="15.6" x14ac:dyDescent="0.25">
      <c r="A1139" s="619"/>
      <c r="B1139" s="619"/>
      <c r="C1139" s="619"/>
      <c r="D1139" s="619"/>
      <c r="E1139" s="619"/>
      <c r="F1139" s="330"/>
      <c r="O1139" s="756"/>
      <c r="P1139" s="619"/>
      <c r="Q1139" s="619"/>
      <c r="R1139" s="619"/>
    </row>
    <row r="1140" spans="1:18" ht="15.6" x14ac:dyDescent="0.25">
      <c r="A1140" s="619"/>
      <c r="B1140" s="619"/>
      <c r="C1140" s="619"/>
      <c r="D1140" s="619"/>
      <c r="E1140" s="619"/>
      <c r="F1140" s="330"/>
      <c r="O1140" s="756"/>
      <c r="P1140" s="619"/>
      <c r="Q1140" s="619"/>
      <c r="R1140" s="619"/>
    </row>
    <row r="1141" spans="1:18" ht="15.6" x14ac:dyDescent="0.25">
      <c r="A1141" s="619"/>
      <c r="B1141" s="619"/>
      <c r="C1141" s="619"/>
      <c r="D1141" s="619"/>
      <c r="E1141" s="619"/>
      <c r="F1141" s="330"/>
      <c r="O1141" s="756"/>
      <c r="P1141" s="619"/>
      <c r="Q1141" s="619"/>
      <c r="R1141" s="619"/>
    </row>
    <row r="1142" spans="1:18" ht="15.6" x14ac:dyDescent="0.25">
      <c r="A1142" s="619"/>
      <c r="B1142" s="619"/>
      <c r="C1142" s="619"/>
      <c r="D1142" s="619"/>
      <c r="E1142" s="619"/>
      <c r="F1142" s="330"/>
      <c r="O1142" s="756"/>
      <c r="P1142" s="619"/>
      <c r="Q1142" s="619"/>
      <c r="R1142" s="619"/>
    </row>
    <row r="1143" spans="1:18" ht="15.6" x14ac:dyDescent="0.25">
      <c r="A1143" s="619"/>
      <c r="B1143" s="619"/>
      <c r="C1143" s="619"/>
      <c r="D1143" s="619"/>
      <c r="E1143" s="619"/>
      <c r="F1143" s="330"/>
      <c r="O1143" s="756"/>
      <c r="P1143" s="619"/>
      <c r="Q1143" s="619"/>
      <c r="R1143" s="619"/>
    </row>
    <row r="1144" spans="1:18" ht="15.6" x14ac:dyDescent="0.25">
      <c r="A1144" s="619"/>
      <c r="B1144" s="619"/>
      <c r="C1144" s="619"/>
      <c r="D1144" s="619"/>
      <c r="E1144" s="619"/>
      <c r="F1144" s="330"/>
      <c r="O1144" s="756"/>
      <c r="P1144" s="619"/>
      <c r="Q1144" s="619"/>
      <c r="R1144" s="619"/>
    </row>
    <row r="1145" spans="1:18" ht="15.6" x14ac:dyDescent="0.25">
      <c r="A1145" s="619"/>
      <c r="B1145" s="619"/>
      <c r="C1145" s="619"/>
      <c r="D1145" s="619"/>
      <c r="E1145" s="619"/>
      <c r="F1145" s="330"/>
      <c r="O1145" s="756"/>
      <c r="P1145" s="619"/>
      <c r="Q1145" s="619"/>
      <c r="R1145" s="619"/>
    </row>
    <row r="1146" spans="1:18" ht="15.6" x14ac:dyDescent="0.25">
      <c r="A1146" s="619"/>
      <c r="B1146" s="619"/>
      <c r="C1146" s="619"/>
      <c r="D1146" s="619"/>
      <c r="E1146" s="619"/>
      <c r="F1146" s="330"/>
      <c r="O1146" s="756"/>
      <c r="P1146" s="619"/>
      <c r="Q1146" s="619"/>
      <c r="R1146" s="619"/>
    </row>
    <row r="1147" spans="1:18" ht="15.6" x14ac:dyDescent="0.25">
      <c r="A1147" s="619"/>
      <c r="B1147" s="619"/>
      <c r="C1147" s="619"/>
      <c r="D1147" s="619"/>
      <c r="E1147" s="619"/>
      <c r="F1147" s="330"/>
      <c r="O1147" s="756"/>
      <c r="P1147" s="619"/>
      <c r="Q1147" s="619"/>
      <c r="R1147" s="619"/>
    </row>
    <row r="1148" spans="1:18" ht="15.6" x14ac:dyDescent="0.25">
      <c r="A1148" s="619"/>
      <c r="B1148" s="619"/>
      <c r="C1148" s="619"/>
      <c r="D1148" s="619"/>
      <c r="E1148" s="619"/>
      <c r="F1148" s="330"/>
      <c r="O1148" s="756"/>
      <c r="P1148" s="619"/>
      <c r="Q1148" s="619"/>
      <c r="R1148" s="619"/>
    </row>
    <row r="1149" spans="1:18" ht="15.75" customHeight="1" x14ac:dyDescent="0.25">
      <c r="A1149" s="619"/>
      <c r="B1149" s="619"/>
      <c r="C1149" s="619"/>
      <c r="D1149" s="619"/>
      <c r="E1149" s="619"/>
      <c r="F1149" s="330"/>
      <c r="O1149" s="756"/>
      <c r="P1149" s="619"/>
      <c r="Q1149" s="619"/>
      <c r="R1149" s="619"/>
    </row>
    <row r="1150" spans="1:18" ht="15.75" customHeight="1" x14ac:dyDescent="0.25">
      <c r="A1150" s="619"/>
      <c r="B1150" s="619"/>
      <c r="C1150" s="619"/>
      <c r="D1150" s="619"/>
      <c r="E1150" s="619"/>
      <c r="F1150" s="330"/>
      <c r="O1150" s="756"/>
      <c r="P1150" s="619"/>
      <c r="Q1150" s="619"/>
      <c r="R1150" s="619"/>
    </row>
    <row r="1151" spans="1:18" ht="15.75" customHeight="1" x14ac:dyDescent="0.25">
      <c r="A1151" s="619"/>
      <c r="B1151" s="619"/>
      <c r="C1151" s="619"/>
      <c r="D1151" s="619"/>
      <c r="E1151" s="619"/>
      <c r="F1151" s="330"/>
      <c r="O1151" s="756"/>
      <c r="P1151" s="619"/>
      <c r="Q1151" s="619"/>
      <c r="R1151" s="619"/>
    </row>
    <row r="1152" spans="1:18" ht="15.75" customHeight="1" x14ac:dyDescent="0.25">
      <c r="A1152" s="619"/>
      <c r="B1152" s="619"/>
      <c r="C1152" s="619"/>
      <c r="D1152" s="619"/>
      <c r="E1152" s="619"/>
      <c r="F1152" s="330"/>
      <c r="O1152" s="756"/>
      <c r="P1152" s="619"/>
      <c r="Q1152" s="619"/>
      <c r="R1152" s="619"/>
    </row>
    <row r="1153" spans="1:18" ht="15.75" customHeight="1" x14ac:dyDescent="0.25">
      <c r="A1153" s="619"/>
      <c r="B1153" s="619"/>
      <c r="C1153" s="619"/>
      <c r="D1153" s="619"/>
      <c r="E1153" s="619"/>
      <c r="F1153" s="330"/>
      <c r="O1153" s="756"/>
      <c r="P1153" s="619"/>
      <c r="Q1153" s="619"/>
      <c r="R1153" s="619"/>
    </row>
    <row r="1154" spans="1:18" ht="15.75" customHeight="1" x14ac:dyDescent="0.25">
      <c r="A1154" s="619"/>
      <c r="B1154" s="619"/>
      <c r="C1154" s="619"/>
      <c r="D1154" s="619"/>
      <c r="E1154" s="619"/>
      <c r="F1154" s="330"/>
      <c r="O1154" s="756"/>
      <c r="P1154" s="619"/>
      <c r="Q1154" s="619"/>
      <c r="R1154" s="619"/>
    </row>
    <row r="1155" spans="1:18" ht="15.75" customHeight="1" x14ac:dyDescent="0.25">
      <c r="A1155" s="619"/>
      <c r="B1155" s="619"/>
      <c r="C1155" s="619"/>
      <c r="D1155" s="619"/>
      <c r="E1155" s="619"/>
      <c r="F1155" s="330"/>
      <c r="O1155" s="756"/>
      <c r="P1155" s="619"/>
      <c r="Q1155" s="619"/>
      <c r="R1155" s="619"/>
    </row>
    <row r="1156" spans="1:18" ht="15.75" customHeight="1" x14ac:dyDescent="0.25">
      <c r="A1156" s="619"/>
      <c r="B1156" s="619"/>
      <c r="C1156" s="619"/>
      <c r="D1156" s="619"/>
      <c r="E1156" s="619"/>
      <c r="F1156" s="330"/>
      <c r="O1156" s="756"/>
      <c r="P1156" s="619"/>
      <c r="Q1156" s="619"/>
      <c r="R1156" s="619"/>
    </row>
    <row r="1157" spans="1:18" ht="15.75" customHeight="1" x14ac:dyDescent="0.25">
      <c r="A1157" s="619"/>
      <c r="B1157" s="619"/>
      <c r="C1157" s="619"/>
      <c r="D1157" s="619"/>
      <c r="E1157" s="619"/>
      <c r="F1157" s="330"/>
      <c r="O1157" s="756"/>
      <c r="P1157" s="619"/>
      <c r="Q1157" s="619"/>
      <c r="R1157" s="619"/>
    </row>
    <row r="1158" spans="1:18" ht="15.75" customHeight="1" x14ac:dyDescent="0.25">
      <c r="A1158" s="619"/>
      <c r="B1158" s="619"/>
      <c r="C1158" s="619"/>
      <c r="D1158" s="619"/>
      <c r="E1158" s="619"/>
      <c r="F1158" s="330"/>
      <c r="O1158" s="756"/>
      <c r="P1158" s="619"/>
      <c r="Q1158" s="619"/>
      <c r="R1158" s="619"/>
    </row>
    <row r="1159" spans="1:18" ht="15.75" customHeight="1" x14ac:dyDescent="0.25">
      <c r="A1159" s="619"/>
      <c r="B1159" s="619"/>
      <c r="C1159" s="619"/>
      <c r="D1159" s="619"/>
      <c r="E1159" s="619"/>
      <c r="F1159" s="330"/>
      <c r="O1159" s="756"/>
      <c r="P1159" s="619"/>
      <c r="Q1159" s="619"/>
      <c r="R1159" s="619"/>
    </row>
    <row r="1160" spans="1:18" ht="15.75" customHeight="1" x14ac:dyDescent="0.25">
      <c r="A1160" s="619"/>
      <c r="B1160" s="619"/>
      <c r="C1160" s="619"/>
      <c r="D1160" s="619"/>
      <c r="E1160" s="619"/>
      <c r="F1160" s="330"/>
      <c r="O1160" s="756"/>
      <c r="P1160" s="619"/>
      <c r="Q1160" s="619"/>
      <c r="R1160" s="619"/>
    </row>
    <row r="1161" spans="1:18" ht="15.75" customHeight="1" x14ac:dyDescent="0.25">
      <c r="A1161" s="619"/>
      <c r="B1161" s="619"/>
      <c r="C1161" s="619"/>
      <c r="D1161" s="619"/>
      <c r="E1161" s="619"/>
      <c r="F1161" s="330"/>
      <c r="O1161" s="756"/>
      <c r="P1161" s="619"/>
      <c r="Q1161" s="619"/>
      <c r="R1161" s="619"/>
    </row>
    <row r="1162" spans="1:18" ht="15.75" customHeight="1" x14ac:dyDescent="0.25">
      <c r="A1162" s="619"/>
      <c r="B1162" s="619"/>
      <c r="C1162" s="619"/>
      <c r="D1162" s="619"/>
      <c r="E1162" s="619"/>
      <c r="F1162" s="330"/>
      <c r="O1162" s="756"/>
      <c r="P1162" s="619"/>
      <c r="Q1162" s="619"/>
      <c r="R1162" s="619"/>
    </row>
    <row r="1163" spans="1:18" ht="15.75" customHeight="1" x14ac:dyDescent="0.25">
      <c r="A1163" s="619"/>
      <c r="B1163" s="619"/>
      <c r="C1163" s="619"/>
      <c r="D1163" s="619"/>
      <c r="E1163" s="619"/>
      <c r="F1163" s="330"/>
      <c r="O1163" s="756"/>
      <c r="P1163" s="619"/>
      <c r="Q1163" s="619"/>
      <c r="R1163" s="619"/>
    </row>
    <row r="1164" spans="1:18" ht="15.75" customHeight="1" x14ac:dyDescent="0.25">
      <c r="A1164" s="619"/>
      <c r="B1164" s="619"/>
      <c r="C1164" s="619"/>
      <c r="D1164" s="619"/>
      <c r="E1164" s="619"/>
      <c r="F1164" s="330"/>
      <c r="O1164" s="756"/>
      <c r="P1164" s="619"/>
      <c r="Q1164" s="619"/>
      <c r="R1164" s="619"/>
    </row>
    <row r="1165" spans="1:18" ht="15.75" customHeight="1" x14ac:dyDescent="0.25">
      <c r="A1165" s="619"/>
      <c r="B1165" s="619"/>
      <c r="C1165" s="619"/>
      <c r="D1165" s="619"/>
      <c r="E1165" s="619"/>
      <c r="F1165" s="330"/>
      <c r="O1165" s="756"/>
      <c r="P1165" s="619"/>
      <c r="Q1165" s="619"/>
      <c r="R1165" s="619"/>
    </row>
    <row r="1166" spans="1:18" ht="15.75" customHeight="1" x14ac:dyDescent="0.25">
      <c r="A1166" s="619"/>
      <c r="B1166" s="619"/>
      <c r="C1166" s="619"/>
      <c r="D1166" s="619"/>
      <c r="E1166" s="619"/>
      <c r="F1166" s="330"/>
      <c r="O1166" s="756"/>
      <c r="P1166" s="619"/>
      <c r="Q1166" s="619"/>
      <c r="R1166" s="619"/>
    </row>
    <row r="1167" spans="1:18" ht="15.75" customHeight="1" x14ac:dyDescent="0.25">
      <c r="A1167" s="619"/>
      <c r="B1167" s="619"/>
      <c r="C1167" s="619"/>
      <c r="D1167" s="619"/>
      <c r="E1167" s="619"/>
      <c r="F1167" s="330"/>
      <c r="O1167" s="756"/>
      <c r="P1167" s="619"/>
      <c r="Q1167" s="619"/>
      <c r="R1167" s="619"/>
    </row>
    <row r="1168" spans="1:18" ht="15.75" customHeight="1" x14ac:dyDescent="0.25">
      <c r="A1168" s="619"/>
      <c r="B1168" s="619"/>
      <c r="C1168" s="619"/>
      <c r="D1168" s="619"/>
      <c r="E1168" s="619"/>
      <c r="F1168" s="330"/>
      <c r="O1168" s="756"/>
      <c r="P1168" s="619"/>
      <c r="Q1168" s="619"/>
      <c r="R1168" s="619"/>
    </row>
    <row r="1169" spans="1:18" ht="15.75" customHeight="1" x14ac:dyDescent="0.25">
      <c r="A1169" s="619"/>
      <c r="B1169" s="619"/>
      <c r="C1169" s="619"/>
      <c r="D1169" s="619"/>
      <c r="E1169" s="619"/>
      <c r="F1169" s="330"/>
      <c r="O1169" s="756"/>
      <c r="P1169" s="619"/>
      <c r="Q1169" s="619"/>
      <c r="R1169" s="619"/>
    </row>
    <row r="1170" spans="1:18" ht="15.75" customHeight="1" x14ac:dyDescent="0.25">
      <c r="A1170" s="619"/>
      <c r="B1170" s="619"/>
      <c r="C1170" s="619"/>
      <c r="D1170" s="619"/>
      <c r="E1170" s="619"/>
      <c r="F1170" s="330"/>
      <c r="O1170" s="756"/>
      <c r="P1170" s="619"/>
      <c r="Q1170" s="619"/>
      <c r="R1170" s="619"/>
    </row>
    <row r="1171" spans="1:18" ht="15.75" customHeight="1" x14ac:dyDescent="0.25">
      <c r="A1171" s="619"/>
      <c r="B1171" s="619"/>
      <c r="C1171" s="619"/>
      <c r="D1171" s="619"/>
      <c r="E1171" s="619"/>
      <c r="F1171" s="330"/>
      <c r="O1171" s="756"/>
      <c r="P1171" s="619"/>
      <c r="Q1171" s="619"/>
      <c r="R1171" s="619"/>
    </row>
    <row r="1172" spans="1:18" ht="15.75" customHeight="1" x14ac:dyDescent="0.25">
      <c r="A1172" s="619"/>
      <c r="B1172" s="619"/>
      <c r="C1172" s="619"/>
      <c r="D1172" s="619"/>
      <c r="E1172" s="619"/>
      <c r="F1172" s="330"/>
      <c r="O1172" s="756"/>
      <c r="P1172" s="619"/>
      <c r="Q1172" s="619"/>
      <c r="R1172" s="619"/>
    </row>
    <row r="1173" spans="1:18" ht="15.75" customHeight="1" x14ac:dyDescent="0.25">
      <c r="A1173" s="619"/>
      <c r="B1173" s="619"/>
      <c r="C1173" s="619"/>
      <c r="D1173" s="619"/>
      <c r="E1173" s="619"/>
      <c r="F1173" s="330"/>
      <c r="O1173" s="756"/>
      <c r="P1173" s="619"/>
      <c r="Q1173" s="619"/>
      <c r="R1173" s="619"/>
    </row>
    <row r="1174" spans="1:18" ht="15.75" customHeight="1" x14ac:dyDescent="0.25">
      <c r="A1174" s="619"/>
      <c r="B1174" s="619"/>
      <c r="C1174" s="619"/>
      <c r="D1174" s="619"/>
      <c r="E1174" s="619"/>
      <c r="F1174" s="330"/>
      <c r="O1174" s="756"/>
      <c r="P1174" s="619"/>
      <c r="Q1174" s="619"/>
      <c r="R1174" s="619"/>
    </row>
    <row r="1175" spans="1:18" ht="15.75" customHeight="1" x14ac:dyDescent="0.25">
      <c r="A1175" s="619"/>
      <c r="B1175" s="619"/>
      <c r="C1175" s="619"/>
      <c r="D1175" s="619"/>
      <c r="E1175" s="619"/>
      <c r="F1175" s="330"/>
      <c r="O1175" s="756"/>
      <c r="P1175" s="619"/>
      <c r="Q1175" s="619"/>
      <c r="R1175" s="619"/>
    </row>
    <row r="1176" spans="1:18" ht="15.75" customHeight="1" x14ac:dyDescent="0.25">
      <c r="A1176" s="619"/>
      <c r="B1176" s="619"/>
      <c r="C1176" s="619"/>
      <c r="D1176" s="619"/>
      <c r="E1176" s="619"/>
      <c r="F1176" s="330"/>
      <c r="O1176" s="756"/>
      <c r="P1176" s="619"/>
      <c r="Q1176" s="619"/>
      <c r="R1176" s="619"/>
    </row>
    <row r="1177" spans="1:18" ht="15.75" customHeight="1" x14ac:dyDescent="0.25">
      <c r="A1177" s="619"/>
      <c r="B1177" s="619"/>
      <c r="C1177" s="619"/>
      <c r="D1177" s="619"/>
      <c r="E1177" s="619"/>
      <c r="F1177" s="330"/>
      <c r="O1177" s="756"/>
      <c r="P1177" s="619"/>
      <c r="Q1177" s="619"/>
      <c r="R1177" s="619"/>
    </row>
    <row r="1178" spans="1:18" ht="15.75" customHeight="1" x14ac:dyDescent="0.25">
      <c r="A1178" s="619"/>
      <c r="B1178" s="619"/>
      <c r="C1178" s="619"/>
      <c r="D1178" s="619"/>
      <c r="E1178" s="619"/>
      <c r="F1178" s="330"/>
      <c r="O1178" s="756"/>
      <c r="P1178" s="619"/>
      <c r="Q1178" s="619"/>
      <c r="R1178" s="619"/>
    </row>
    <row r="1179" spans="1:18" ht="15.75" customHeight="1" x14ac:dyDescent="0.25">
      <c r="A1179" s="619"/>
      <c r="B1179" s="619"/>
      <c r="C1179" s="619"/>
      <c r="D1179" s="619"/>
      <c r="E1179" s="619"/>
      <c r="F1179" s="330"/>
      <c r="O1179" s="756"/>
      <c r="P1179" s="619"/>
      <c r="Q1179" s="619"/>
      <c r="R1179" s="619"/>
    </row>
    <row r="1180" spans="1:18" ht="15.75" customHeight="1" x14ac:dyDescent="0.25">
      <c r="A1180" s="619"/>
      <c r="B1180" s="619"/>
      <c r="C1180" s="619"/>
      <c r="D1180" s="619"/>
      <c r="E1180" s="619"/>
      <c r="F1180" s="330"/>
      <c r="O1180" s="756"/>
      <c r="P1180" s="619"/>
      <c r="Q1180" s="619"/>
      <c r="R1180" s="619"/>
    </row>
    <row r="1181" spans="1:18" ht="15.75" customHeight="1" x14ac:dyDescent="0.25">
      <c r="A1181" s="619"/>
      <c r="B1181" s="619"/>
      <c r="C1181" s="619"/>
      <c r="D1181" s="619"/>
      <c r="E1181" s="619"/>
      <c r="F1181" s="330"/>
      <c r="O1181" s="756"/>
      <c r="P1181" s="619"/>
      <c r="Q1181" s="619"/>
      <c r="R1181" s="619"/>
    </row>
    <row r="1182" spans="1:18" ht="15.75" customHeight="1" x14ac:dyDescent="0.25">
      <c r="A1182" s="619"/>
      <c r="B1182" s="619"/>
      <c r="C1182" s="619"/>
      <c r="D1182" s="619"/>
      <c r="E1182" s="619"/>
      <c r="F1182" s="330"/>
      <c r="O1182" s="756"/>
      <c r="P1182" s="619"/>
      <c r="Q1182" s="619"/>
      <c r="R1182" s="619"/>
    </row>
    <row r="1183" spans="1:18" ht="15.75" customHeight="1" x14ac:dyDescent="0.25">
      <c r="A1183" s="619"/>
      <c r="B1183" s="619"/>
      <c r="C1183" s="619"/>
      <c r="D1183" s="619"/>
      <c r="E1183" s="619"/>
      <c r="F1183" s="330"/>
      <c r="O1183" s="756"/>
      <c r="P1183" s="619"/>
      <c r="Q1183" s="619"/>
      <c r="R1183" s="619"/>
    </row>
    <row r="1184" spans="1:18" ht="15.75" customHeight="1" x14ac:dyDescent="0.25">
      <c r="A1184" s="619"/>
      <c r="B1184" s="619"/>
      <c r="C1184" s="619"/>
      <c r="D1184" s="619"/>
      <c r="E1184" s="619"/>
      <c r="F1184" s="330"/>
      <c r="O1184" s="756"/>
      <c r="P1184" s="619"/>
      <c r="Q1184" s="619"/>
      <c r="R1184" s="619"/>
    </row>
    <row r="1185" spans="1:18" ht="15.75" customHeight="1" x14ac:dyDescent="0.25">
      <c r="A1185" s="619"/>
      <c r="B1185" s="619"/>
      <c r="C1185" s="619"/>
      <c r="D1185" s="619"/>
      <c r="E1185" s="619"/>
      <c r="F1185" s="330"/>
      <c r="O1185" s="756"/>
      <c r="P1185" s="619"/>
      <c r="Q1185" s="619"/>
      <c r="R1185" s="619"/>
    </row>
    <row r="1186" spans="1:18" ht="15.75" customHeight="1" x14ac:dyDescent="0.25">
      <c r="A1186" s="619"/>
      <c r="B1186" s="619"/>
      <c r="C1186" s="619"/>
      <c r="D1186" s="619"/>
      <c r="E1186" s="619"/>
      <c r="F1186" s="330"/>
      <c r="O1186" s="756"/>
      <c r="P1186" s="619"/>
      <c r="Q1186" s="619"/>
      <c r="R1186" s="619"/>
    </row>
    <row r="1187" spans="1:18" ht="15.75" customHeight="1" x14ac:dyDescent="0.25">
      <c r="A1187" s="619"/>
      <c r="B1187" s="619"/>
      <c r="C1187" s="619"/>
      <c r="D1187" s="619"/>
      <c r="E1187" s="619"/>
      <c r="F1187" s="330"/>
      <c r="O1187" s="756"/>
      <c r="P1187" s="619"/>
      <c r="Q1187" s="619"/>
      <c r="R1187" s="619"/>
    </row>
    <row r="1188" spans="1:18" ht="15.75" customHeight="1" x14ac:dyDescent="0.25">
      <c r="A1188" s="619"/>
      <c r="B1188" s="619"/>
      <c r="C1188" s="619"/>
      <c r="D1188" s="619"/>
      <c r="E1188" s="619"/>
      <c r="F1188" s="330"/>
      <c r="O1188" s="756"/>
      <c r="P1188" s="619"/>
      <c r="Q1188" s="619"/>
      <c r="R1188" s="619"/>
    </row>
    <row r="1189" spans="1:18" ht="15.75" customHeight="1" x14ac:dyDescent="0.25">
      <c r="A1189" s="619"/>
      <c r="B1189" s="619"/>
      <c r="C1189" s="619"/>
      <c r="D1189" s="619"/>
      <c r="E1189" s="619"/>
      <c r="F1189" s="330"/>
      <c r="O1189" s="756"/>
      <c r="P1189" s="619"/>
      <c r="Q1189" s="619"/>
      <c r="R1189" s="619"/>
    </row>
    <row r="1190" spans="1:18" ht="15.75" customHeight="1" x14ac:dyDescent="0.25">
      <c r="A1190" s="619"/>
      <c r="B1190" s="619"/>
      <c r="C1190" s="619"/>
      <c r="D1190" s="619"/>
      <c r="E1190" s="619"/>
      <c r="F1190" s="330"/>
      <c r="O1190" s="756"/>
      <c r="P1190" s="619"/>
      <c r="Q1190" s="619"/>
      <c r="R1190" s="619"/>
    </row>
    <row r="1191" spans="1:18" ht="15.75" customHeight="1" x14ac:dyDescent="0.25">
      <c r="A1191" s="619"/>
      <c r="B1191" s="619"/>
      <c r="C1191" s="619"/>
      <c r="D1191" s="619"/>
      <c r="E1191" s="619"/>
      <c r="F1191" s="330"/>
      <c r="O1191" s="756"/>
      <c r="P1191" s="619"/>
      <c r="Q1191" s="619"/>
      <c r="R1191" s="619"/>
    </row>
    <row r="1192" spans="1:18" ht="15.75" customHeight="1" x14ac:dyDescent="0.25">
      <c r="A1192" s="619"/>
      <c r="B1192" s="619"/>
      <c r="C1192" s="619"/>
      <c r="D1192" s="619"/>
      <c r="E1192" s="619"/>
      <c r="F1192" s="330"/>
      <c r="O1192" s="756"/>
      <c r="P1192" s="619"/>
      <c r="Q1192" s="619"/>
      <c r="R1192" s="619"/>
    </row>
    <row r="1193" spans="1:18" ht="15.75" customHeight="1" x14ac:dyDescent="0.25">
      <c r="A1193" s="619"/>
      <c r="B1193" s="619"/>
      <c r="C1193" s="619"/>
      <c r="D1193" s="619"/>
      <c r="E1193" s="619"/>
      <c r="F1193" s="330"/>
      <c r="O1193" s="756"/>
      <c r="P1193" s="619"/>
      <c r="Q1193" s="619"/>
      <c r="R1193" s="619"/>
    </row>
    <row r="1194" spans="1:18" ht="15.75" customHeight="1" x14ac:dyDescent="0.25">
      <c r="A1194" s="619"/>
      <c r="B1194" s="619"/>
      <c r="C1194" s="619"/>
      <c r="D1194" s="619"/>
      <c r="E1194" s="619"/>
      <c r="F1194" s="330"/>
      <c r="O1194" s="756"/>
      <c r="P1194" s="619"/>
      <c r="Q1194" s="619"/>
      <c r="R1194" s="619"/>
    </row>
    <row r="1195" spans="1:18" ht="15.75" customHeight="1" x14ac:dyDescent="0.25">
      <c r="A1195" s="619"/>
      <c r="B1195" s="619"/>
      <c r="C1195" s="619"/>
      <c r="D1195" s="619"/>
      <c r="E1195" s="619"/>
      <c r="F1195" s="330"/>
      <c r="O1195" s="756"/>
      <c r="P1195" s="619"/>
      <c r="Q1195" s="619"/>
      <c r="R1195" s="619"/>
    </row>
    <row r="1196" spans="1:18" ht="15.75" customHeight="1" x14ac:dyDescent="0.25">
      <c r="A1196" s="619"/>
      <c r="B1196" s="619"/>
      <c r="C1196" s="619"/>
      <c r="D1196" s="619"/>
      <c r="E1196" s="619"/>
      <c r="F1196" s="330"/>
      <c r="O1196" s="756"/>
      <c r="P1196" s="619"/>
      <c r="Q1196" s="619"/>
      <c r="R1196" s="619"/>
    </row>
    <row r="1197" spans="1:18" ht="15.75" customHeight="1" x14ac:dyDescent="0.25">
      <c r="A1197" s="619"/>
      <c r="B1197" s="619"/>
      <c r="C1197" s="619"/>
      <c r="D1197" s="619"/>
      <c r="E1197" s="619"/>
      <c r="F1197" s="330"/>
      <c r="O1197" s="756"/>
      <c r="P1197" s="619"/>
      <c r="Q1197" s="619"/>
      <c r="R1197" s="619"/>
    </row>
    <row r="1198" spans="1:18" ht="15.75" customHeight="1" x14ac:dyDescent="0.25">
      <c r="A1198" s="619"/>
      <c r="B1198" s="619"/>
      <c r="C1198" s="619"/>
      <c r="D1198" s="619"/>
      <c r="E1198" s="619"/>
      <c r="F1198" s="330"/>
      <c r="O1198" s="756"/>
      <c r="P1198" s="619"/>
      <c r="Q1198" s="619"/>
      <c r="R1198" s="619"/>
    </row>
    <row r="1199" spans="1:18" ht="15.75" customHeight="1" x14ac:dyDescent="0.25">
      <c r="A1199" s="619"/>
      <c r="B1199" s="619"/>
      <c r="C1199" s="619"/>
      <c r="D1199" s="619"/>
      <c r="E1199" s="619"/>
      <c r="F1199" s="330"/>
      <c r="O1199" s="756"/>
      <c r="P1199" s="619"/>
      <c r="Q1199" s="619"/>
      <c r="R1199" s="619"/>
    </row>
    <row r="1200" spans="1:18" ht="15.75" customHeight="1" x14ac:dyDescent="0.25">
      <c r="A1200" s="619"/>
      <c r="B1200" s="619"/>
      <c r="C1200" s="619"/>
      <c r="D1200" s="619"/>
      <c r="E1200" s="619"/>
      <c r="F1200" s="330"/>
      <c r="O1200" s="756"/>
      <c r="P1200" s="619"/>
      <c r="Q1200" s="619"/>
      <c r="R1200" s="619"/>
    </row>
    <row r="1201" spans="1:18" ht="15.75" customHeight="1" x14ac:dyDescent="0.25">
      <c r="A1201" s="619"/>
      <c r="B1201" s="619"/>
      <c r="C1201" s="619"/>
      <c r="D1201" s="619"/>
      <c r="E1201" s="619"/>
      <c r="F1201" s="330"/>
      <c r="O1201" s="756"/>
      <c r="P1201" s="619"/>
      <c r="Q1201" s="619"/>
      <c r="R1201" s="619"/>
    </row>
    <row r="1202" spans="1:18" ht="15.75" customHeight="1" x14ac:dyDescent="0.25">
      <c r="A1202" s="619"/>
      <c r="B1202" s="619"/>
      <c r="C1202" s="619"/>
      <c r="D1202" s="619"/>
      <c r="E1202" s="619"/>
      <c r="F1202" s="330"/>
      <c r="O1202" s="756"/>
      <c r="P1202" s="619"/>
      <c r="Q1202" s="619"/>
      <c r="R1202" s="619"/>
    </row>
    <row r="1203" spans="1:18" ht="15.75" customHeight="1" x14ac:dyDescent="0.25">
      <c r="A1203" s="619"/>
      <c r="B1203" s="619"/>
      <c r="C1203" s="619"/>
      <c r="D1203" s="619"/>
      <c r="E1203" s="619"/>
      <c r="F1203" s="330"/>
      <c r="O1203" s="756"/>
      <c r="P1203" s="619"/>
      <c r="Q1203" s="619"/>
      <c r="R1203" s="619"/>
    </row>
    <row r="1204" spans="1:18" ht="15.75" customHeight="1" x14ac:dyDescent="0.25">
      <c r="A1204" s="619"/>
      <c r="B1204" s="619"/>
      <c r="C1204" s="619"/>
      <c r="D1204" s="619"/>
      <c r="E1204" s="619"/>
      <c r="F1204" s="330"/>
      <c r="O1204" s="756"/>
      <c r="P1204" s="619"/>
      <c r="Q1204" s="619"/>
      <c r="R1204" s="619"/>
    </row>
    <row r="1205" spans="1:18" ht="15.75" customHeight="1" x14ac:dyDescent="0.25">
      <c r="A1205" s="619"/>
      <c r="B1205" s="619"/>
      <c r="C1205" s="619"/>
      <c r="D1205" s="619"/>
      <c r="E1205" s="619"/>
      <c r="F1205" s="330"/>
      <c r="O1205" s="756"/>
      <c r="P1205" s="619"/>
      <c r="Q1205" s="619"/>
      <c r="R1205" s="619"/>
    </row>
    <row r="1206" spans="1:18" ht="15.75" customHeight="1" x14ac:dyDescent="0.25">
      <c r="A1206" s="619"/>
      <c r="B1206" s="619"/>
      <c r="C1206" s="619"/>
      <c r="D1206" s="619"/>
      <c r="E1206" s="619"/>
      <c r="F1206" s="330"/>
      <c r="O1206" s="756"/>
      <c r="P1206" s="619"/>
      <c r="Q1206" s="619"/>
      <c r="R1206" s="619"/>
    </row>
    <row r="1207" spans="1:18" ht="15.75" customHeight="1" x14ac:dyDescent="0.25">
      <c r="A1207" s="619"/>
      <c r="B1207" s="619"/>
      <c r="C1207" s="619"/>
      <c r="D1207" s="619"/>
      <c r="E1207" s="619"/>
      <c r="F1207" s="330"/>
      <c r="O1207" s="756"/>
      <c r="P1207" s="619"/>
      <c r="Q1207" s="619"/>
      <c r="R1207" s="619"/>
    </row>
    <row r="1208" spans="1:18" ht="15.75" customHeight="1" x14ac:dyDescent="0.25">
      <c r="A1208" s="619"/>
      <c r="B1208" s="619"/>
      <c r="C1208" s="619"/>
      <c r="D1208" s="619"/>
      <c r="E1208" s="619"/>
      <c r="F1208" s="330"/>
      <c r="O1208" s="756"/>
      <c r="P1208" s="619"/>
      <c r="Q1208" s="619"/>
      <c r="R1208" s="619"/>
    </row>
    <row r="1209" spans="1:18" ht="15.75" customHeight="1" x14ac:dyDescent="0.25">
      <c r="A1209" s="619"/>
      <c r="B1209" s="619"/>
      <c r="C1209" s="619"/>
      <c r="D1209" s="619"/>
      <c r="E1209" s="619"/>
      <c r="F1209" s="330"/>
      <c r="O1209" s="756"/>
      <c r="P1209" s="619"/>
      <c r="Q1209" s="619"/>
      <c r="R1209" s="619"/>
    </row>
    <row r="1210" spans="1:18" ht="15.75" customHeight="1" x14ac:dyDescent="0.25">
      <c r="A1210" s="619"/>
      <c r="B1210" s="619"/>
      <c r="C1210" s="619"/>
      <c r="D1210" s="619"/>
      <c r="E1210" s="619"/>
      <c r="F1210" s="330"/>
      <c r="O1210" s="756"/>
      <c r="P1210" s="619"/>
      <c r="Q1210" s="619"/>
      <c r="R1210" s="619"/>
    </row>
    <row r="1211" spans="1:18" ht="15.75" customHeight="1" x14ac:dyDescent="0.25">
      <c r="A1211" s="619"/>
      <c r="B1211" s="619"/>
      <c r="C1211" s="619"/>
      <c r="D1211" s="619"/>
      <c r="E1211" s="619"/>
      <c r="F1211" s="330"/>
      <c r="O1211" s="756"/>
      <c r="P1211" s="619"/>
      <c r="Q1211" s="619"/>
      <c r="R1211" s="619"/>
    </row>
    <row r="1212" spans="1:18" ht="15.75" customHeight="1" x14ac:dyDescent="0.25">
      <c r="A1212" s="619"/>
      <c r="B1212" s="619"/>
      <c r="C1212" s="619"/>
      <c r="D1212" s="619"/>
      <c r="E1212" s="619"/>
      <c r="F1212" s="330"/>
      <c r="O1212" s="756"/>
      <c r="P1212" s="619"/>
      <c r="Q1212" s="619"/>
      <c r="R1212" s="619"/>
    </row>
    <row r="1213" spans="1:18" ht="15.75" customHeight="1" x14ac:dyDescent="0.25">
      <c r="A1213" s="619"/>
      <c r="B1213" s="619"/>
      <c r="C1213" s="619"/>
      <c r="D1213" s="619"/>
      <c r="E1213" s="619"/>
      <c r="F1213" s="330"/>
      <c r="O1213" s="756"/>
      <c r="P1213" s="619"/>
      <c r="Q1213" s="619"/>
      <c r="R1213" s="619"/>
    </row>
    <row r="1214" spans="1:18" ht="15.75" customHeight="1" x14ac:dyDescent="0.25">
      <c r="A1214" s="619"/>
      <c r="B1214" s="619"/>
      <c r="C1214" s="619"/>
      <c r="D1214" s="619"/>
      <c r="E1214" s="619"/>
      <c r="F1214" s="330"/>
      <c r="O1214" s="756"/>
      <c r="P1214" s="619"/>
      <c r="Q1214" s="619"/>
      <c r="R1214" s="619"/>
    </row>
    <row r="1215" spans="1:18" ht="15.75" customHeight="1" x14ac:dyDescent="0.25">
      <c r="A1215" s="619"/>
      <c r="B1215" s="619"/>
      <c r="C1215" s="619"/>
      <c r="D1215" s="619"/>
      <c r="E1215" s="619"/>
      <c r="F1215" s="330"/>
      <c r="O1215" s="756"/>
      <c r="P1215" s="619"/>
      <c r="Q1215" s="619"/>
      <c r="R1215" s="619"/>
    </row>
    <row r="1216" spans="1:18" ht="15.75" customHeight="1" x14ac:dyDescent="0.25">
      <c r="A1216" s="619"/>
      <c r="B1216" s="619"/>
      <c r="C1216" s="619"/>
      <c r="D1216" s="619"/>
      <c r="E1216" s="619"/>
      <c r="F1216" s="330"/>
      <c r="O1216" s="756"/>
      <c r="P1216" s="619"/>
      <c r="Q1216" s="619"/>
      <c r="R1216" s="619"/>
    </row>
    <row r="1217" spans="1:18" ht="15.75" customHeight="1" x14ac:dyDescent="0.25">
      <c r="A1217" s="619"/>
      <c r="B1217" s="619"/>
      <c r="C1217" s="619"/>
      <c r="D1217" s="619"/>
      <c r="E1217" s="619"/>
      <c r="F1217" s="330"/>
      <c r="O1217" s="756"/>
      <c r="P1217" s="619"/>
      <c r="Q1217" s="619"/>
      <c r="R1217" s="619"/>
    </row>
    <row r="1218" spans="1:18" ht="15.75" customHeight="1" x14ac:dyDescent="0.25">
      <c r="A1218" s="619"/>
      <c r="B1218" s="619"/>
      <c r="C1218" s="619"/>
      <c r="D1218" s="619"/>
      <c r="E1218" s="619"/>
      <c r="F1218" s="330"/>
      <c r="O1218" s="756"/>
      <c r="P1218" s="619"/>
      <c r="Q1218" s="619"/>
      <c r="R1218" s="619"/>
    </row>
    <row r="1219" spans="1:18" ht="15.75" customHeight="1" x14ac:dyDescent="0.25">
      <c r="A1219" s="619"/>
      <c r="B1219" s="619"/>
      <c r="C1219" s="619"/>
      <c r="D1219" s="619"/>
      <c r="E1219" s="619"/>
      <c r="F1219" s="330"/>
      <c r="O1219" s="756"/>
      <c r="P1219" s="619"/>
      <c r="Q1219" s="619"/>
      <c r="R1219" s="619"/>
    </row>
    <row r="1220" spans="1:18" ht="15.75" customHeight="1" x14ac:dyDescent="0.25">
      <c r="A1220" s="619"/>
      <c r="B1220" s="619"/>
      <c r="C1220" s="619"/>
      <c r="D1220" s="619"/>
      <c r="E1220" s="619"/>
      <c r="F1220" s="330"/>
      <c r="O1220" s="756"/>
      <c r="P1220" s="619"/>
      <c r="Q1220" s="619"/>
      <c r="R1220" s="619"/>
    </row>
    <row r="1221" spans="1:18" ht="15.75" customHeight="1" x14ac:dyDescent="0.25">
      <c r="A1221" s="619"/>
      <c r="B1221" s="619"/>
      <c r="C1221" s="619"/>
      <c r="D1221" s="619"/>
      <c r="E1221" s="619"/>
      <c r="F1221" s="330"/>
      <c r="O1221" s="756"/>
      <c r="P1221" s="619"/>
      <c r="Q1221" s="619"/>
      <c r="R1221" s="619"/>
    </row>
    <row r="1222" spans="1:18" ht="15.75" customHeight="1" x14ac:dyDescent="0.25">
      <c r="A1222" s="619"/>
      <c r="B1222" s="619"/>
      <c r="C1222" s="619"/>
      <c r="D1222" s="619"/>
      <c r="E1222" s="619"/>
      <c r="F1222" s="330"/>
      <c r="O1222" s="756"/>
      <c r="P1222" s="619"/>
      <c r="Q1222" s="619"/>
      <c r="R1222" s="619"/>
    </row>
    <row r="1223" spans="1:18" ht="15.75" customHeight="1" x14ac:dyDescent="0.25">
      <c r="A1223" s="619"/>
      <c r="B1223" s="619"/>
      <c r="C1223" s="619"/>
      <c r="D1223" s="619"/>
      <c r="E1223" s="619"/>
      <c r="F1223" s="330"/>
      <c r="O1223" s="756"/>
      <c r="P1223" s="619"/>
      <c r="Q1223" s="619"/>
      <c r="R1223" s="619"/>
    </row>
    <row r="1224" spans="1:18" ht="15.75" customHeight="1" x14ac:dyDescent="0.25">
      <c r="A1224" s="619"/>
      <c r="B1224" s="619"/>
      <c r="C1224" s="619"/>
      <c r="D1224" s="619"/>
      <c r="E1224" s="619"/>
      <c r="F1224" s="330"/>
      <c r="O1224" s="756"/>
      <c r="P1224" s="619"/>
      <c r="Q1224" s="619"/>
      <c r="R1224" s="619"/>
    </row>
    <row r="1225" spans="1:18" ht="15.75" customHeight="1" x14ac:dyDescent="0.25">
      <c r="A1225" s="619"/>
      <c r="B1225" s="619"/>
      <c r="C1225" s="619"/>
      <c r="D1225" s="619"/>
      <c r="E1225" s="619"/>
      <c r="F1225" s="330"/>
      <c r="O1225" s="756"/>
      <c r="P1225" s="619"/>
      <c r="Q1225" s="619"/>
      <c r="R1225" s="619"/>
    </row>
    <row r="1226" spans="1:18" ht="15.75" customHeight="1" x14ac:dyDescent="0.25">
      <c r="A1226" s="619"/>
      <c r="B1226" s="619"/>
      <c r="C1226" s="619"/>
      <c r="D1226" s="619"/>
      <c r="E1226" s="619"/>
      <c r="F1226" s="330"/>
      <c r="O1226" s="756"/>
      <c r="P1226" s="619"/>
      <c r="Q1226" s="619"/>
      <c r="R1226" s="619"/>
    </row>
    <row r="1227" spans="1:18" ht="15.75" customHeight="1" x14ac:dyDescent="0.25">
      <c r="A1227" s="619"/>
      <c r="B1227" s="619"/>
      <c r="C1227" s="619"/>
      <c r="D1227" s="619"/>
      <c r="E1227" s="619"/>
      <c r="F1227" s="330"/>
      <c r="O1227" s="756"/>
      <c r="P1227" s="619"/>
      <c r="Q1227" s="619"/>
      <c r="R1227" s="619"/>
    </row>
    <row r="1228" spans="1:18" ht="15.75" customHeight="1" x14ac:dyDescent="0.25">
      <c r="A1228" s="619"/>
      <c r="B1228" s="619"/>
      <c r="C1228" s="619"/>
      <c r="D1228" s="619"/>
      <c r="E1228" s="619"/>
      <c r="F1228" s="330"/>
      <c r="O1228" s="756"/>
      <c r="P1228" s="619"/>
      <c r="Q1228" s="619"/>
      <c r="R1228" s="619"/>
    </row>
    <row r="1229" spans="1:18" ht="15.75" customHeight="1" x14ac:dyDescent="0.25">
      <c r="A1229" s="619"/>
      <c r="B1229" s="619"/>
      <c r="C1229" s="619"/>
      <c r="D1229" s="619"/>
      <c r="E1229" s="619"/>
      <c r="F1229" s="330"/>
      <c r="O1229" s="756"/>
      <c r="P1229" s="619"/>
      <c r="Q1229" s="619"/>
      <c r="R1229" s="619"/>
    </row>
    <row r="1230" spans="1:18" ht="15.75" customHeight="1" x14ac:dyDescent="0.25">
      <c r="A1230" s="619"/>
      <c r="B1230" s="619"/>
      <c r="C1230" s="619"/>
      <c r="D1230" s="619"/>
      <c r="E1230" s="619"/>
      <c r="F1230" s="330"/>
      <c r="O1230" s="756"/>
      <c r="P1230" s="619"/>
      <c r="Q1230" s="619"/>
      <c r="R1230" s="619"/>
    </row>
    <row r="1231" spans="1:18" ht="15.75" customHeight="1" x14ac:dyDescent="0.25">
      <c r="A1231" s="619"/>
      <c r="B1231" s="619"/>
      <c r="C1231" s="619"/>
      <c r="D1231" s="619"/>
      <c r="E1231" s="619"/>
      <c r="F1231" s="330"/>
      <c r="O1231" s="756"/>
      <c r="P1231" s="619"/>
      <c r="Q1231" s="619"/>
      <c r="R1231" s="619"/>
    </row>
    <row r="1232" spans="1:18" ht="15.75" customHeight="1" x14ac:dyDescent="0.25">
      <c r="A1232" s="619"/>
      <c r="B1232" s="619"/>
      <c r="C1232" s="619"/>
      <c r="D1232" s="619"/>
      <c r="E1232" s="619"/>
      <c r="F1232" s="330"/>
      <c r="O1232" s="756"/>
      <c r="P1232" s="619"/>
      <c r="Q1232" s="619"/>
      <c r="R1232" s="619"/>
    </row>
    <row r="1233" spans="1:18" ht="15.75" customHeight="1" x14ac:dyDescent="0.25">
      <c r="A1233" s="619"/>
      <c r="B1233" s="619"/>
      <c r="C1233" s="619"/>
      <c r="D1233" s="619"/>
      <c r="E1233" s="619"/>
      <c r="F1233" s="330"/>
      <c r="O1233" s="756"/>
      <c r="P1233" s="619"/>
      <c r="Q1233" s="619"/>
      <c r="R1233" s="619"/>
    </row>
    <row r="1234" spans="1:18" ht="15.75" customHeight="1" x14ac:dyDescent="0.25">
      <c r="A1234" s="619"/>
      <c r="B1234" s="619"/>
      <c r="C1234" s="619"/>
      <c r="D1234" s="619"/>
      <c r="E1234" s="619"/>
      <c r="F1234" s="330"/>
      <c r="O1234" s="756"/>
      <c r="P1234" s="619"/>
      <c r="Q1234" s="619"/>
      <c r="R1234" s="619"/>
    </row>
    <row r="1235" spans="1:18" ht="15.75" customHeight="1" x14ac:dyDescent="0.25">
      <c r="A1235" s="619"/>
      <c r="B1235" s="619"/>
      <c r="C1235" s="619"/>
      <c r="D1235" s="619"/>
      <c r="E1235" s="619"/>
      <c r="F1235" s="330"/>
      <c r="O1235" s="756"/>
      <c r="P1235" s="619"/>
      <c r="Q1235" s="619"/>
      <c r="R1235" s="619"/>
    </row>
    <row r="1236" spans="1:18" ht="15.75" customHeight="1" x14ac:dyDescent="0.25">
      <c r="A1236" s="619"/>
      <c r="B1236" s="619"/>
      <c r="C1236" s="619"/>
      <c r="D1236" s="619"/>
      <c r="E1236" s="619"/>
      <c r="F1236" s="330"/>
      <c r="O1236" s="756"/>
      <c r="P1236" s="619"/>
      <c r="Q1236" s="619"/>
      <c r="R1236" s="619"/>
    </row>
    <row r="1237" spans="1:18" ht="15.75" customHeight="1" x14ac:dyDescent="0.25">
      <c r="A1237" s="619"/>
      <c r="B1237" s="619"/>
      <c r="C1237" s="619"/>
      <c r="D1237" s="619"/>
      <c r="E1237" s="619"/>
      <c r="F1237" s="330"/>
      <c r="O1237" s="756"/>
      <c r="P1237" s="619"/>
      <c r="Q1237" s="619"/>
      <c r="R1237" s="619"/>
    </row>
    <row r="1238" spans="1:18" ht="15.75" customHeight="1" x14ac:dyDescent="0.25">
      <c r="A1238" s="619"/>
      <c r="B1238" s="619"/>
      <c r="C1238" s="619"/>
      <c r="D1238" s="619"/>
      <c r="E1238" s="619"/>
      <c r="F1238" s="330"/>
      <c r="O1238" s="756"/>
      <c r="P1238" s="619"/>
      <c r="Q1238" s="619"/>
      <c r="R1238" s="619"/>
    </row>
    <row r="1239" spans="1:18" ht="15.75" customHeight="1" x14ac:dyDescent="0.25">
      <c r="A1239" s="619"/>
      <c r="B1239" s="619"/>
      <c r="C1239" s="619"/>
      <c r="D1239" s="619"/>
      <c r="E1239" s="619"/>
      <c r="F1239" s="330"/>
      <c r="O1239" s="756"/>
      <c r="P1239" s="619"/>
      <c r="Q1239" s="619"/>
      <c r="R1239" s="619"/>
    </row>
    <row r="1240" spans="1:18" ht="15.75" customHeight="1" x14ac:dyDescent="0.25">
      <c r="A1240" s="619"/>
      <c r="B1240" s="619"/>
      <c r="C1240" s="619"/>
      <c r="D1240" s="619"/>
      <c r="E1240" s="619"/>
      <c r="F1240" s="330"/>
      <c r="O1240" s="756"/>
      <c r="P1240" s="619"/>
      <c r="Q1240" s="619"/>
      <c r="R1240" s="619"/>
    </row>
    <row r="1241" spans="1:18" ht="15.75" customHeight="1" x14ac:dyDescent="0.25">
      <c r="A1241" s="619"/>
      <c r="B1241" s="619"/>
      <c r="C1241" s="619"/>
      <c r="D1241" s="619"/>
      <c r="E1241" s="619"/>
      <c r="F1241" s="330"/>
      <c r="O1241" s="756"/>
      <c r="P1241" s="619"/>
      <c r="Q1241" s="619"/>
      <c r="R1241" s="619"/>
    </row>
    <row r="1242" spans="1:18" ht="15.75" customHeight="1" x14ac:dyDescent="0.25">
      <c r="A1242" s="619"/>
      <c r="B1242" s="619"/>
      <c r="C1242" s="619"/>
      <c r="D1242" s="619"/>
      <c r="E1242" s="619"/>
      <c r="F1242" s="330"/>
      <c r="O1242" s="756"/>
      <c r="P1242" s="619"/>
      <c r="Q1242" s="619"/>
      <c r="R1242" s="619"/>
    </row>
    <row r="1243" spans="1:18" ht="15.75" customHeight="1" x14ac:dyDescent="0.25">
      <c r="A1243" s="619"/>
      <c r="B1243" s="619"/>
      <c r="C1243" s="619"/>
      <c r="D1243" s="619"/>
      <c r="E1243" s="619"/>
      <c r="F1243" s="330"/>
      <c r="O1243" s="756"/>
      <c r="P1243" s="619"/>
      <c r="Q1243" s="619"/>
      <c r="R1243" s="619"/>
    </row>
    <row r="1244" spans="1:18" ht="15.75" customHeight="1" x14ac:dyDescent="0.25">
      <c r="A1244" s="619"/>
      <c r="B1244" s="619"/>
      <c r="C1244" s="619"/>
      <c r="D1244" s="619"/>
      <c r="E1244" s="619"/>
      <c r="F1244" s="330"/>
      <c r="O1244" s="756"/>
      <c r="P1244" s="619"/>
      <c r="Q1244" s="619"/>
      <c r="R1244" s="619"/>
    </row>
    <row r="1245" spans="1:18" ht="15.75" customHeight="1" x14ac:dyDescent="0.25">
      <c r="A1245" s="619"/>
      <c r="B1245" s="619"/>
      <c r="C1245" s="619"/>
      <c r="D1245" s="619"/>
      <c r="E1245" s="619"/>
      <c r="F1245" s="330"/>
      <c r="O1245" s="756"/>
      <c r="P1245" s="619"/>
      <c r="Q1245" s="619"/>
      <c r="R1245" s="619"/>
    </row>
    <row r="1246" spans="1:18" ht="15.75" customHeight="1" x14ac:dyDescent="0.25">
      <c r="A1246" s="619"/>
      <c r="B1246" s="619"/>
      <c r="C1246" s="619"/>
      <c r="D1246" s="619"/>
      <c r="E1246" s="619"/>
      <c r="F1246" s="330"/>
      <c r="O1246" s="756"/>
      <c r="P1246" s="619"/>
      <c r="Q1246" s="619"/>
      <c r="R1246" s="619"/>
    </row>
    <row r="1247" spans="1:18" ht="15.75" customHeight="1" x14ac:dyDescent="0.25">
      <c r="A1247" s="619"/>
      <c r="B1247" s="619"/>
      <c r="C1247" s="619"/>
      <c r="D1247" s="619"/>
      <c r="E1247" s="619"/>
      <c r="F1247" s="330"/>
      <c r="O1247" s="756"/>
      <c r="P1247" s="619"/>
      <c r="Q1247" s="619"/>
      <c r="R1247" s="619"/>
    </row>
    <row r="1248" spans="1:18" ht="15.75" customHeight="1" x14ac:dyDescent="0.25">
      <c r="A1248" s="619"/>
      <c r="B1248" s="619"/>
      <c r="C1248" s="619"/>
      <c r="D1248" s="619"/>
      <c r="E1248" s="619"/>
      <c r="F1248" s="330"/>
      <c r="O1248" s="756"/>
      <c r="P1248" s="619"/>
      <c r="Q1248" s="619"/>
      <c r="R1248" s="619"/>
    </row>
    <row r="1249" spans="1:18" ht="15.75" customHeight="1" x14ac:dyDescent="0.25">
      <c r="A1249" s="619"/>
      <c r="B1249" s="619"/>
      <c r="C1249" s="619"/>
      <c r="D1249" s="619"/>
      <c r="E1249" s="619"/>
      <c r="F1249" s="330"/>
      <c r="O1249" s="756"/>
      <c r="P1249" s="619"/>
      <c r="Q1249" s="619"/>
      <c r="R1249" s="619"/>
    </row>
    <row r="1250" spans="1:18" ht="15.75" customHeight="1" x14ac:dyDescent="0.25">
      <c r="A1250" s="619"/>
      <c r="B1250" s="619"/>
      <c r="C1250" s="619"/>
      <c r="D1250" s="619"/>
      <c r="E1250" s="619"/>
      <c r="F1250" s="330"/>
      <c r="O1250" s="756"/>
      <c r="P1250" s="619"/>
      <c r="Q1250" s="619"/>
      <c r="R1250" s="619"/>
    </row>
    <row r="1251" spans="1:18" ht="15.75" customHeight="1" x14ac:dyDescent="0.25">
      <c r="A1251" s="619"/>
      <c r="B1251" s="619"/>
      <c r="C1251" s="619"/>
      <c r="D1251" s="619"/>
      <c r="E1251" s="619"/>
      <c r="F1251" s="330"/>
      <c r="O1251" s="756"/>
      <c r="P1251" s="619"/>
      <c r="Q1251" s="619"/>
      <c r="R1251" s="619"/>
    </row>
    <row r="1252" spans="1:18" ht="15.75" customHeight="1" x14ac:dyDescent="0.25">
      <c r="A1252" s="619"/>
      <c r="B1252" s="619"/>
      <c r="C1252" s="619"/>
      <c r="D1252" s="619"/>
      <c r="E1252" s="619"/>
      <c r="F1252" s="330"/>
      <c r="O1252" s="756"/>
      <c r="P1252" s="619"/>
      <c r="Q1252" s="619"/>
      <c r="R1252" s="619"/>
    </row>
    <row r="1253" spans="1:18" ht="15.75" customHeight="1" x14ac:dyDescent="0.25">
      <c r="A1253" s="619"/>
      <c r="B1253" s="619"/>
      <c r="C1253" s="619"/>
      <c r="D1253" s="619"/>
      <c r="E1253" s="619"/>
      <c r="F1253" s="330"/>
      <c r="O1253" s="756"/>
      <c r="P1253" s="619"/>
      <c r="Q1253" s="619"/>
      <c r="R1253" s="619"/>
    </row>
    <row r="1254" spans="1:18" ht="15.75" customHeight="1" x14ac:dyDescent="0.25">
      <c r="A1254" s="619"/>
      <c r="B1254" s="619"/>
      <c r="C1254" s="619"/>
      <c r="D1254" s="619"/>
      <c r="E1254" s="619"/>
      <c r="F1254" s="330"/>
      <c r="O1254" s="756"/>
      <c r="P1254" s="619"/>
      <c r="Q1254" s="619"/>
      <c r="R1254" s="619"/>
    </row>
    <row r="1255" spans="1:18" ht="15.75" customHeight="1" x14ac:dyDescent="0.25">
      <c r="A1255" s="619"/>
      <c r="B1255" s="619"/>
      <c r="C1255" s="619"/>
      <c r="D1255" s="619"/>
      <c r="E1255" s="619"/>
      <c r="F1255" s="330"/>
      <c r="O1255" s="756"/>
      <c r="P1255" s="619"/>
      <c r="Q1255" s="619"/>
      <c r="R1255" s="619"/>
    </row>
    <row r="1256" spans="1:18" ht="15.75" customHeight="1" x14ac:dyDescent="0.25">
      <c r="A1256" s="619"/>
      <c r="B1256" s="619"/>
      <c r="C1256" s="619"/>
      <c r="D1256" s="619"/>
      <c r="E1256" s="619"/>
      <c r="F1256" s="330"/>
      <c r="O1256" s="756"/>
      <c r="P1256" s="619"/>
      <c r="Q1256" s="619"/>
      <c r="R1256" s="619"/>
    </row>
    <row r="1257" spans="1:18" ht="15.75" customHeight="1" x14ac:dyDescent="0.25">
      <c r="A1257" s="619"/>
      <c r="B1257" s="619"/>
      <c r="C1257" s="619"/>
      <c r="D1257" s="619"/>
      <c r="E1257" s="619"/>
      <c r="F1257" s="330"/>
      <c r="O1257" s="756"/>
      <c r="P1257" s="619"/>
      <c r="Q1257" s="619"/>
      <c r="R1257" s="619"/>
    </row>
    <row r="1258" spans="1:18" ht="15.75" customHeight="1" x14ac:dyDescent="0.25">
      <c r="A1258" s="619"/>
      <c r="B1258" s="619"/>
      <c r="C1258" s="619"/>
      <c r="D1258" s="619"/>
      <c r="E1258" s="619"/>
      <c r="F1258" s="330"/>
      <c r="O1258" s="756"/>
      <c r="P1258" s="619"/>
      <c r="Q1258" s="619"/>
      <c r="R1258" s="619"/>
    </row>
    <row r="1259" spans="1:18" ht="15.75" customHeight="1" x14ac:dyDescent="0.25">
      <c r="A1259" s="619"/>
      <c r="B1259" s="619"/>
      <c r="C1259" s="619"/>
      <c r="D1259" s="619"/>
      <c r="E1259" s="619"/>
      <c r="F1259" s="330"/>
      <c r="O1259" s="756"/>
      <c r="P1259" s="619"/>
      <c r="Q1259" s="619"/>
      <c r="R1259" s="619"/>
    </row>
    <row r="1260" spans="1:18" ht="15.75" customHeight="1" x14ac:dyDescent="0.25">
      <c r="A1260" s="619"/>
      <c r="B1260" s="619"/>
      <c r="C1260" s="619"/>
      <c r="D1260" s="619"/>
      <c r="E1260" s="619"/>
      <c r="F1260" s="330"/>
      <c r="O1260" s="756"/>
      <c r="P1260" s="619"/>
      <c r="Q1260" s="619"/>
      <c r="R1260" s="619"/>
    </row>
    <row r="1261" spans="1:18" ht="15.75" customHeight="1" x14ac:dyDescent="0.25">
      <c r="A1261" s="619"/>
      <c r="B1261" s="619"/>
      <c r="C1261" s="619"/>
      <c r="D1261" s="619"/>
      <c r="E1261" s="619"/>
      <c r="F1261" s="330"/>
      <c r="O1261" s="756"/>
      <c r="P1261" s="619"/>
      <c r="Q1261" s="619"/>
      <c r="R1261" s="619"/>
    </row>
    <row r="1262" spans="1:18" ht="15.75" customHeight="1" x14ac:dyDescent="0.25">
      <c r="A1262" s="619"/>
      <c r="B1262" s="619"/>
      <c r="C1262" s="619"/>
      <c r="D1262" s="619"/>
      <c r="E1262" s="619"/>
      <c r="F1262" s="330"/>
      <c r="O1262" s="756"/>
      <c r="P1262" s="619"/>
      <c r="Q1262" s="619"/>
      <c r="R1262" s="619"/>
    </row>
    <row r="1263" spans="1:18" ht="15.75" customHeight="1" x14ac:dyDescent="0.25">
      <c r="A1263" s="619"/>
      <c r="B1263" s="619"/>
      <c r="C1263" s="619"/>
      <c r="D1263" s="619"/>
      <c r="E1263" s="619"/>
      <c r="F1263" s="330"/>
      <c r="O1263" s="756"/>
      <c r="P1263" s="619"/>
      <c r="Q1263" s="619"/>
      <c r="R1263" s="619"/>
    </row>
    <row r="1264" spans="1:18" ht="15.75" customHeight="1" x14ac:dyDescent="0.25">
      <c r="A1264" s="619"/>
      <c r="B1264" s="619"/>
      <c r="C1264" s="619"/>
      <c r="D1264" s="619"/>
      <c r="E1264" s="619"/>
      <c r="F1264" s="330"/>
      <c r="O1264" s="756"/>
      <c r="P1264" s="619"/>
      <c r="Q1264" s="619"/>
      <c r="R1264" s="619"/>
    </row>
    <row r="1265" spans="1:18" ht="15.75" customHeight="1" x14ac:dyDescent="0.25">
      <c r="A1265" s="619"/>
      <c r="B1265" s="619"/>
      <c r="C1265" s="619"/>
      <c r="D1265" s="619"/>
      <c r="E1265" s="619"/>
      <c r="F1265" s="330"/>
      <c r="O1265" s="756"/>
      <c r="P1265" s="619"/>
      <c r="Q1265" s="619"/>
      <c r="R1265" s="619"/>
    </row>
    <row r="1266" spans="1:18" ht="15.75" customHeight="1" x14ac:dyDescent="0.25">
      <c r="A1266" s="619"/>
      <c r="B1266" s="619"/>
      <c r="C1266" s="619"/>
      <c r="D1266" s="619"/>
      <c r="E1266" s="619"/>
      <c r="F1266" s="330"/>
      <c r="O1266" s="756"/>
      <c r="P1266" s="619"/>
      <c r="Q1266" s="619"/>
      <c r="R1266" s="619"/>
    </row>
    <row r="1267" spans="1:18" ht="15.75" customHeight="1" x14ac:dyDescent="0.25">
      <c r="A1267" s="619"/>
      <c r="B1267" s="619"/>
      <c r="C1267" s="619"/>
      <c r="D1267" s="619"/>
      <c r="E1267" s="619"/>
      <c r="F1267" s="330"/>
      <c r="O1267" s="756"/>
      <c r="P1267" s="619"/>
      <c r="Q1267" s="619"/>
      <c r="R1267" s="619"/>
    </row>
    <row r="1268" spans="1:18" ht="15.75" customHeight="1" x14ac:dyDescent="0.25">
      <c r="A1268" s="619"/>
      <c r="B1268" s="619"/>
      <c r="C1268" s="619"/>
      <c r="D1268" s="619"/>
      <c r="E1268" s="619"/>
      <c r="F1268" s="330"/>
      <c r="O1268" s="756"/>
      <c r="P1268" s="619"/>
      <c r="Q1268" s="619"/>
      <c r="R1268" s="619"/>
    </row>
    <row r="1269" spans="1:18" ht="15.75" customHeight="1" x14ac:dyDescent="0.25">
      <c r="A1269" s="619"/>
      <c r="B1269" s="619"/>
      <c r="C1269" s="619"/>
      <c r="D1269" s="619"/>
      <c r="E1269" s="619"/>
      <c r="F1269" s="330"/>
      <c r="O1269" s="756"/>
      <c r="P1269" s="619"/>
      <c r="Q1269" s="619"/>
      <c r="R1269" s="619"/>
    </row>
    <row r="1270" spans="1:18" ht="15.75" customHeight="1" x14ac:dyDescent="0.25">
      <c r="A1270" s="619"/>
      <c r="B1270" s="619"/>
      <c r="C1270" s="619"/>
      <c r="D1270" s="619"/>
      <c r="E1270" s="619"/>
      <c r="F1270" s="330"/>
      <c r="O1270" s="756"/>
      <c r="P1270" s="619"/>
      <c r="Q1270" s="619"/>
      <c r="R1270" s="619"/>
    </row>
    <row r="1271" spans="1:18" ht="15.75" customHeight="1" x14ac:dyDescent="0.25">
      <c r="A1271" s="619"/>
      <c r="B1271" s="619"/>
      <c r="C1271" s="619"/>
      <c r="D1271" s="619"/>
      <c r="E1271" s="619"/>
      <c r="F1271" s="330"/>
      <c r="O1271" s="756"/>
      <c r="P1271" s="619"/>
      <c r="Q1271" s="619"/>
      <c r="R1271" s="619"/>
    </row>
    <row r="1272" spans="1:18" ht="15.75" customHeight="1" x14ac:dyDescent="0.25">
      <c r="A1272" s="619"/>
      <c r="B1272" s="619"/>
      <c r="C1272" s="619"/>
      <c r="D1272" s="619"/>
      <c r="E1272" s="619"/>
      <c r="F1272" s="330"/>
      <c r="O1272" s="756"/>
      <c r="P1272" s="619"/>
      <c r="Q1272" s="619"/>
      <c r="R1272" s="619"/>
    </row>
    <row r="1273" spans="1:18" ht="15.75" customHeight="1" x14ac:dyDescent="0.25">
      <c r="A1273" s="619"/>
      <c r="B1273" s="619"/>
      <c r="C1273" s="619"/>
      <c r="D1273" s="619"/>
      <c r="E1273" s="619"/>
      <c r="F1273" s="330"/>
      <c r="O1273" s="756"/>
      <c r="P1273" s="619"/>
      <c r="Q1273" s="619"/>
      <c r="R1273" s="619"/>
    </row>
    <row r="1274" spans="1:18" ht="15.75" customHeight="1" x14ac:dyDescent="0.25">
      <c r="A1274" s="619"/>
      <c r="B1274" s="619"/>
      <c r="C1274" s="619"/>
      <c r="D1274" s="619"/>
      <c r="E1274" s="619"/>
      <c r="F1274" s="330"/>
      <c r="O1274" s="756"/>
      <c r="P1274" s="619"/>
      <c r="Q1274" s="619"/>
      <c r="R1274" s="619"/>
    </row>
    <row r="1275" spans="1:18" ht="15.75" customHeight="1" x14ac:dyDescent="0.25">
      <c r="A1275" s="619"/>
      <c r="B1275" s="619"/>
      <c r="C1275" s="619"/>
      <c r="D1275" s="619"/>
      <c r="E1275" s="619"/>
      <c r="F1275" s="330"/>
      <c r="O1275" s="756"/>
      <c r="P1275" s="619"/>
      <c r="Q1275" s="619"/>
      <c r="R1275" s="619"/>
    </row>
    <row r="1276" spans="1:18" ht="15.75" customHeight="1" x14ac:dyDescent="0.25">
      <c r="A1276" s="619"/>
      <c r="B1276" s="619"/>
      <c r="C1276" s="619"/>
      <c r="D1276" s="619"/>
      <c r="E1276" s="619"/>
      <c r="F1276" s="330"/>
      <c r="O1276" s="756"/>
      <c r="P1276" s="619"/>
      <c r="Q1276" s="619"/>
      <c r="R1276" s="619"/>
    </row>
    <row r="1277" spans="1:18" ht="15.75" customHeight="1" x14ac:dyDescent="0.25">
      <c r="A1277" s="619"/>
      <c r="B1277" s="619"/>
      <c r="C1277" s="619"/>
      <c r="D1277" s="619"/>
      <c r="E1277" s="619"/>
      <c r="F1277" s="330"/>
      <c r="O1277" s="756"/>
      <c r="P1277" s="619"/>
      <c r="Q1277" s="619"/>
      <c r="R1277" s="619"/>
    </row>
    <row r="1278" spans="1:18" ht="15.75" customHeight="1" x14ac:dyDescent="0.25">
      <c r="A1278" s="619"/>
      <c r="B1278" s="619"/>
      <c r="C1278" s="619"/>
      <c r="D1278" s="619"/>
      <c r="E1278" s="619"/>
      <c r="F1278" s="330"/>
      <c r="O1278" s="756"/>
      <c r="P1278" s="619"/>
      <c r="Q1278" s="619"/>
      <c r="R1278" s="619"/>
    </row>
    <row r="1279" spans="1:18" ht="15.75" customHeight="1" x14ac:dyDescent="0.25">
      <c r="A1279" s="619"/>
      <c r="B1279" s="619"/>
      <c r="C1279" s="619"/>
      <c r="D1279" s="619"/>
      <c r="E1279" s="619"/>
      <c r="F1279" s="330"/>
      <c r="O1279" s="756"/>
      <c r="P1279" s="619"/>
      <c r="Q1279" s="619"/>
      <c r="R1279" s="619"/>
    </row>
    <row r="1280" spans="1:18" ht="15.75" customHeight="1" x14ac:dyDescent="0.25">
      <c r="A1280" s="619"/>
      <c r="B1280" s="619"/>
      <c r="C1280" s="619"/>
      <c r="D1280" s="619"/>
      <c r="E1280" s="619"/>
      <c r="F1280" s="330"/>
      <c r="O1280" s="756"/>
      <c r="P1280" s="619"/>
      <c r="Q1280" s="619"/>
      <c r="R1280" s="619"/>
    </row>
    <row r="1281" spans="1:18" ht="15.75" customHeight="1" x14ac:dyDescent="0.25">
      <c r="A1281" s="619"/>
      <c r="B1281" s="619"/>
      <c r="C1281" s="619"/>
      <c r="D1281" s="619"/>
      <c r="E1281" s="619"/>
      <c r="F1281" s="330"/>
      <c r="O1281" s="756"/>
      <c r="P1281" s="619"/>
      <c r="Q1281" s="619"/>
      <c r="R1281" s="619"/>
    </row>
    <row r="1282" spans="1:18" ht="15.75" customHeight="1" x14ac:dyDescent="0.25">
      <c r="A1282" s="619"/>
      <c r="B1282" s="619"/>
      <c r="C1282" s="619"/>
      <c r="D1282" s="619"/>
      <c r="E1282" s="619"/>
      <c r="F1282" s="330"/>
      <c r="O1282" s="756"/>
      <c r="P1282" s="619"/>
      <c r="Q1282" s="619"/>
      <c r="R1282" s="619"/>
    </row>
    <row r="1283" spans="1:18" ht="15.75" customHeight="1" x14ac:dyDescent="0.25">
      <c r="A1283" s="619"/>
      <c r="B1283" s="619"/>
      <c r="C1283" s="619"/>
      <c r="D1283" s="619"/>
      <c r="E1283" s="619"/>
      <c r="F1283" s="330"/>
      <c r="O1283" s="756"/>
      <c r="P1283" s="619"/>
      <c r="Q1283" s="619"/>
      <c r="R1283" s="619"/>
    </row>
    <row r="1284" spans="1:18" ht="15.75" customHeight="1" x14ac:dyDescent="0.25">
      <c r="A1284" s="619"/>
      <c r="B1284" s="619"/>
      <c r="C1284" s="619"/>
      <c r="D1284" s="619"/>
      <c r="E1284" s="619"/>
      <c r="F1284" s="330"/>
      <c r="O1284" s="756"/>
      <c r="P1284" s="619"/>
      <c r="Q1284" s="619"/>
      <c r="R1284" s="619"/>
    </row>
    <row r="1285" spans="1:18" ht="15.75" customHeight="1" x14ac:dyDescent="0.25">
      <c r="A1285" s="619"/>
      <c r="B1285" s="619"/>
      <c r="C1285" s="619"/>
      <c r="D1285" s="619"/>
      <c r="E1285" s="619"/>
      <c r="F1285" s="330"/>
      <c r="O1285" s="756"/>
      <c r="P1285" s="619"/>
      <c r="Q1285" s="619"/>
      <c r="R1285" s="619"/>
    </row>
    <row r="1286" spans="1:18" ht="15.75" customHeight="1" x14ac:dyDescent="0.25">
      <c r="A1286" s="619"/>
      <c r="B1286" s="619"/>
      <c r="C1286" s="619"/>
      <c r="D1286" s="619"/>
      <c r="E1286" s="619"/>
      <c r="F1286" s="330"/>
      <c r="O1286" s="756"/>
      <c r="P1286" s="619"/>
      <c r="Q1286" s="619"/>
      <c r="R1286" s="619"/>
    </row>
    <row r="1287" spans="1:18" ht="15.75" customHeight="1" x14ac:dyDescent="0.25">
      <c r="A1287" s="619"/>
      <c r="B1287" s="619"/>
      <c r="C1287" s="619"/>
      <c r="D1287" s="619"/>
      <c r="E1287" s="619"/>
      <c r="F1287" s="330"/>
      <c r="O1287" s="756"/>
      <c r="P1287" s="619"/>
      <c r="Q1287" s="619"/>
      <c r="R1287" s="619"/>
    </row>
    <row r="1288" spans="1:18" ht="15.75" customHeight="1" x14ac:dyDescent="0.25">
      <c r="A1288" s="619"/>
      <c r="B1288" s="619"/>
      <c r="C1288" s="619"/>
      <c r="D1288" s="619"/>
      <c r="E1288" s="619"/>
      <c r="F1288" s="330"/>
      <c r="O1288" s="756"/>
      <c r="P1288" s="619"/>
      <c r="Q1288" s="619"/>
      <c r="R1288" s="619"/>
    </row>
    <row r="1289" spans="1:18" ht="15.75" customHeight="1" x14ac:dyDescent="0.25">
      <c r="A1289" s="619"/>
      <c r="B1289" s="619"/>
      <c r="C1289" s="619"/>
      <c r="D1289" s="619"/>
      <c r="E1289" s="619"/>
      <c r="F1289" s="330"/>
      <c r="O1289" s="756"/>
      <c r="P1289" s="619"/>
      <c r="Q1289" s="619"/>
      <c r="R1289" s="619"/>
    </row>
    <row r="1290" spans="1:18" ht="15.75" customHeight="1" x14ac:dyDescent="0.25">
      <c r="A1290" s="619"/>
      <c r="B1290" s="619"/>
      <c r="C1290" s="619"/>
      <c r="D1290" s="619"/>
      <c r="E1290" s="619"/>
      <c r="F1290" s="330"/>
      <c r="O1290" s="756"/>
      <c r="P1290" s="619"/>
      <c r="Q1290" s="619"/>
      <c r="R1290" s="619"/>
    </row>
    <row r="1291" spans="1:18" ht="15.75" customHeight="1" x14ac:dyDescent="0.25">
      <c r="A1291" s="619"/>
      <c r="B1291" s="619"/>
      <c r="C1291" s="619"/>
      <c r="D1291" s="619"/>
      <c r="E1291" s="619"/>
      <c r="F1291" s="330"/>
      <c r="O1291" s="756"/>
      <c r="P1291" s="619"/>
      <c r="Q1291" s="619"/>
      <c r="R1291" s="619"/>
    </row>
    <row r="1292" spans="1:18" ht="15.75" customHeight="1" x14ac:dyDescent="0.25">
      <c r="A1292" s="619"/>
      <c r="B1292" s="619"/>
      <c r="C1292" s="619"/>
      <c r="D1292" s="619"/>
      <c r="E1292" s="619"/>
      <c r="F1292" s="330"/>
      <c r="O1292" s="756"/>
      <c r="P1292" s="619"/>
      <c r="Q1292" s="619"/>
      <c r="R1292" s="619"/>
    </row>
    <row r="1293" spans="1:18" ht="15.75" customHeight="1" x14ac:dyDescent="0.25">
      <c r="A1293" s="619"/>
      <c r="B1293" s="619"/>
      <c r="C1293" s="619"/>
      <c r="D1293" s="619"/>
      <c r="E1293" s="619"/>
      <c r="F1293" s="330"/>
      <c r="O1293" s="756"/>
      <c r="P1293" s="619"/>
      <c r="Q1293" s="619"/>
      <c r="R1293" s="619"/>
    </row>
    <row r="1294" spans="1:18" ht="15.75" customHeight="1" x14ac:dyDescent="0.25">
      <c r="A1294" s="619"/>
      <c r="B1294" s="619"/>
      <c r="C1294" s="619"/>
      <c r="D1294" s="619"/>
      <c r="E1294" s="619"/>
      <c r="F1294" s="330"/>
      <c r="O1294" s="756"/>
      <c r="P1294" s="619"/>
      <c r="Q1294" s="619"/>
      <c r="R1294" s="619"/>
    </row>
    <row r="1295" spans="1:18" ht="15.75" customHeight="1" x14ac:dyDescent="0.25">
      <c r="A1295" s="619"/>
      <c r="B1295" s="619"/>
      <c r="C1295" s="619"/>
      <c r="D1295" s="619"/>
      <c r="E1295" s="619"/>
      <c r="F1295" s="330"/>
      <c r="O1295" s="756"/>
      <c r="P1295" s="619"/>
      <c r="Q1295" s="619"/>
      <c r="R1295" s="619"/>
    </row>
    <row r="1296" spans="1:18" ht="15.75" customHeight="1" x14ac:dyDescent="0.25">
      <c r="A1296" s="619"/>
      <c r="B1296" s="619"/>
      <c r="C1296" s="619"/>
      <c r="D1296" s="619"/>
      <c r="E1296" s="619"/>
      <c r="F1296" s="330"/>
      <c r="O1296" s="756"/>
      <c r="P1296" s="619"/>
      <c r="Q1296" s="619"/>
      <c r="R1296" s="619"/>
    </row>
    <row r="1297" spans="1:18" ht="15.75" customHeight="1" x14ac:dyDescent="0.25">
      <c r="A1297" s="619"/>
      <c r="B1297" s="619"/>
      <c r="C1297" s="619"/>
      <c r="D1297" s="619"/>
      <c r="E1297" s="619"/>
      <c r="F1297" s="330"/>
      <c r="O1297" s="756"/>
      <c r="P1297" s="619"/>
      <c r="Q1297" s="619"/>
      <c r="R1297" s="619"/>
    </row>
    <row r="1298" spans="1:18" ht="15.75" customHeight="1" x14ac:dyDescent="0.25">
      <c r="A1298" s="619"/>
      <c r="B1298" s="619"/>
      <c r="C1298" s="619"/>
      <c r="D1298" s="619"/>
      <c r="E1298" s="619"/>
      <c r="F1298" s="330"/>
      <c r="O1298" s="756"/>
      <c r="P1298" s="619"/>
      <c r="Q1298" s="619"/>
      <c r="R1298" s="619"/>
    </row>
    <row r="1299" spans="1:18" ht="15.75" customHeight="1" x14ac:dyDescent="0.25">
      <c r="A1299" s="619"/>
      <c r="B1299" s="619"/>
      <c r="C1299" s="619"/>
      <c r="D1299" s="619"/>
      <c r="E1299" s="619"/>
      <c r="F1299" s="330"/>
      <c r="O1299" s="756"/>
      <c r="P1299" s="619"/>
      <c r="Q1299" s="619"/>
      <c r="R1299" s="619"/>
    </row>
    <row r="1300" spans="1:18" ht="15.75" customHeight="1" x14ac:dyDescent="0.25">
      <c r="A1300" s="619"/>
      <c r="B1300" s="619"/>
      <c r="C1300" s="619"/>
      <c r="D1300" s="619"/>
      <c r="E1300" s="619"/>
      <c r="F1300" s="330"/>
      <c r="O1300" s="756"/>
      <c r="P1300" s="619"/>
      <c r="Q1300" s="619"/>
      <c r="R1300" s="619"/>
    </row>
    <row r="1301" spans="1:18" ht="15.75" customHeight="1" x14ac:dyDescent="0.25">
      <c r="A1301" s="619"/>
      <c r="B1301" s="619"/>
      <c r="C1301" s="619"/>
      <c r="D1301" s="619"/>
      <c r="E1301" s="619"/>
      <c r="F1301" s="330"/>
      <c r="O1301" s="756"/>
      <c r="P1301" s="619"/>
      <c r="Q1301" s="619"/>
      <c r="R1301" s="619"/>
    </row>
    <row r="1302" spans="1:18" ht="15.75" customHeight="1" x14ac:dyDescent="0.25">
      <c r="A1302" s="619"/>
      <c r="B1302" s="619"/>
      <c r="C1302" s="619"/>
      <c r="D1302" s="619"/>
      <c r="E1302" s="619"/>
      <c r="F1302" s="330"/>
      <c r="O1302" s="756"/>
      <c r="P1302" s="619"/>
      <c r="Q1302" s="619"/>
      <c r="R1302" s="619"/>
    </row>
    <row r="1303" spans="1:18" ht="15.75" customHeight="1" x14ac:dyDescent="0.25">
      <c r="A1303" s="619"/>
      <c r="B1303" s="619"/>
      <c r="C1303" s="619"/>
      <c r="D1303" s="619"/>
      <c r="E1303" s="619"/>
      <c r="F1303" s="330"/>
      <c r="O1303" s="756"/>
      <c r="P1303" s="619"/>
      <c r="Q1303" s="619"/>
      <c r="R1303" s="619"/>
    </row>
    <row r="1304" spans="1:18" ht="15.75" customHeight="1" x14ac:dyDescent="0.25">
      <c r="A1304" s="619"/>
      <c r="B1304" s="619"/>
      <c r="C1304" s="619"/>
      <c r="D1304" s="619"/>
      <c r="E1304" s="619"/>
      <c r="F1304" s="330"/>
      <c r="O1304" s="756"/>
      <c r="P1304" s="619"/>
      <c r="Q1304" s="619"/>
      <c r="R1304" s="619"/>
    </row>
    <row r="1305" spans="1:18" ht="15.75" customHeight="1" x14ac:dyDescent="0.25">
      <c r="A1305" s="619"/>
      <c r="B1305" s="619"/>
      <c r="C1305" s="619"/>
      <c r="D1305" s="619"/>
      <c r="E1305" s="619"/>
      <c r="F1305" s="330"/>
      <c r="O1305" s="756"/>
      <c r="P1305" s="619"/>
      <c r="Q1305" s="619"/>
      <c r="R1305" s="619"/>
    </row>
    <row r="1306" spans="1:18" ht="15.75" customHeight="1" x14ac:dyDescent="0.25">
      <c r="A1306" s="619"/>
      <c r="B1306" s="619"/>
      <c r="C1306" s="619"/>
      <c r="D1306" s="619"/>
      <c r="E1306" s="619"/>
      <c r="F1306" s="330"/>
      <c r="O1306" s="756"/>
      <c r="P1306" s="619"/>
      <c r="Q1306" s="619"/>
      <c r="R1306" s="619"/>
    </row>
    <row r="1307" spans="1:18" ht="15.75" customHeight="1" x14ac:dyDescent="0.25">
      <c r="A1307" s="619"/>
      <c r="B1307" s="619"/>
      <c r="C1307" s="619"/>
      <c r="D1307" s="619"/>
      <c r="E1307" s="619"/>
      <c r="F1307" s="330"/>
      <c r="O1307" s="756"/>
      <c r="P1307" s="619"/>
      <c r="Q1307" s="619"/>
      <c r="R1307" s="619"/>
    </row>
    <row r="1308" spans="1:18" ht="15.75" customHeight="1" x14ac:dyDescent="0.25">
      <c r="A1308" s="619"/>
      <c r="B1308" s="619"/>
      <c r="C1308" s="619"/>
      <c r="D1308" s="619"/>
      <c r="E1308" s="619"/>
      <c r="F1308" s="330"/>
      <c r="O1308" s="756"/>
      <c r="P1308" s="619"/>
      <c r="Q1308" s="619"/>
      <c r="R1308" s="619"/>
    </row>
    <row r="1309" spans="1:18" ht="15.75" customHeight="1" x14ac:dyDescent="0.25">
      <c r="A1309" s="619"/>
      <c r="B1309" s="619"/>
      <c r="C1309" s="619"/>
      <c r="D1309" s="619"/>
      <c r="E1309" s="619"/>
      <c r="F1309" s="330"/>
      <c r="O1309" s="756"/>
      <c r="P1309" s="619"/>
      <c r="Q1309" s="619"/>
      <c r="R1309" s="619"/>
    </row>
    <row r="1310" spans="1:18" ht="15.75" customHeight="1" x14ac:dyDescent="0.25">
      <c r="A1310" s="619"/>
      <c r="B1310" s="619"/>
      <c r="C1310" s="619"/>
      <c r="D1310" s="619"/>
      <c r="E1310" s="619"/>
      <c r="F1310" s="330"/>
      <c r="O1310" s="756"/>
      <c r="P1310" s="619"/>
      <c r="Q1310" s="619"/>
      <c r="R1310" s="619"/>
    </row>
    <row r="1311" spans="1:18" ht="15.75" customHeight="1" x14ac:dyDescent="0.25">
      <c r="A1311" s="619"/>
      <c r="B1311" s="619"/>
      <c r="C1311" s="619"/>
      <c r="D1311" s="619"/>
      <c r="E1311" s="619"/>
      <c r="F1311" s="330"/>
      <c r="O1311" s="756"/>
      <c r="P1311" s="619"/>
      <c r="Q1311" s="619"/>
      <c r="R1311" s="619"/>
    </row>
    <row r="1312" spans="1:18" ht="15.75" customHeight="1" x14ac:dyDescent="0.25">
      <c r="A1312" s="619"/>
      <c r="B1312" s="619"/>
      <c r="C1312" s="619"/>
      <c r="D1312" s="619"/>
      <c r="E1312" s="619"/>
      <c r="F1312" s="330"/>
      <c r="O1312" s="756"/>
      <c r="P1312" s="619"/>
      <c r="Q1312" s="619"/>
      <c r="R1312" s="619"/>
    </row>
    <row r="1313" spans="1:18" ht="15.75" customHeight="1" x14ac:dyDescent="0.25">
      <c r="A1313" s="619"/>
      <c r="B1313" s="619"/>
      <c r="C1313" s="619"/>
      <c r="D1313" s="619"/>
      <c r="E1313" s="619"/>
      <c r="F1313" s="330"/>
      <c r="O1313" s="756"/>
      <c r="P1313" s="619"/>
      <c r="Q1313" s="619"/>
      <c r="R1313" s="619"/>
    </row>
    <row r="1314" spans="1:18" ht="15.75" customHeight="1" x14ac:dyDescent="0.25">
      <c r="A1314" s="619"/>
      <c r="B1314" s="619"/>
      <c r="C1314" s="619"/>
      <c r="D1314" s="619"/>
      <c r="E1314" s="619"/>
      <c r="F1314" s="330"/>
      <c r="O1314" s="756"/>
      <c r="P1314" s="619"/>
      <c r="Q1314" s="619"/>
      <c r="R1314" s="619"/>
    </row>
    <row r="1315" spans="1:18" ht="15.75" customHeight="1" x14ac:dyDescent="0.25">
      <c r="A1315" s="619"/>
      <c r="B1315" s="619"/>
      <c r="C1315" s="619"/>
      <c r="D1315" s="619"/>
      <c r="E1315" s="619"/>
      <c r="F1315" s="330"/>
      <c r="O1315" s="756"/>
      <c r="P1315" s="619"/>
      <c r="Q1315" s="619"/>
      <c r="R1315" s="619"/>
    </row>
    <row r="1316" spans="1:18" ht="15.75" customHeight="1" x14ac:dyDescent="0.25">
      <c r="A1316" s="619"/>
      <c r="B1316" s="619"/>
      <c r="C1316" s="619"/>
      <c r="D1316" s="619"/>
      <c r="E1316" s="619"/>
      <c r="F1316" s="330"/>
      <c r="O1316" s="756"/>
      <c r="P1316" s="619"/>
      <c r="Q1316" s="619"/>
      <c r="R1316" s="619"/>
    </row>
    <row r="1317" spans="1:18" ht="15.75" customHeight="1" x14ac:dyDescent="0.25">
      <c r="A1317" s="619"/>
      <c r="B1317" s="619"/>
      <c r="C1317" s="619"/>
      <c r="D1317" s="619"/>
      <c r="E1317" s="619"/>
      <c r="F1317" s="330"/>
      <c r="O1317" s="756"/>
      <c r="P1317" s="619"/>
      <c r="Q1317" s="619"/>
      <c r="R1317" s="619"/>
    </row>
    <row r="1318" spans="1:18" ht="15.75" customHeight="1" x14ac:dyDescent="0.25">
      <c r="A1318" s="619"/>
      <c r="B1318" s="619"/>
      <c r="C1318" s="619"/>
      <c r="D1318" s="619"/>
      <c r="E1318" s="619"/>
      <c r="F1318" s="330"/>
      <c r="O1318" s="756"/>
      <c r="P1318" s="619"/>
      <c r="Q1318" s="619"/>
      <c r="R1318" s="619"/>
    </row>
    <row r="1319" spans="1:18" ht="15.75" customHeight="1" x14ac:dyDescent="0.25">
      <c r="A1319" s="619"/>
      <c r="B1319" s="619"/>
      <c r="C1319" s="619"/>
      <c r="D1319" s="619"/>
      <c r="E1319" s="619"/>
      <c r="F1319" s="330"/>
      <c r="O1319" s="756"/>
      <c r="P1319" s="619"/>
      <c r="Q1319" s="619"/>
      <c r="R1319" s="619"/>
    </row>
    <row r="1320" spans="1:18" ht="15.75" customHeight="1" x14ac:dyDescent="0.25">
      <c r="A1320" s="619"/>
      <c r="B1320" s="619"/>
      <c r="C1320" s="619"/>
      <c r="D1320" s="619"/>
      <c r="E1320" s="619"/>
      <c r="F1320" s="330"/>
      <c r="O1320" s="756"/>
      <c r="P1320" s="619"/>
      <c r="Q1320" s="619"/>
      <c r="R1320" s="619"/>
    </row>
    <row r="1321" spans="1:18" ht="15.75" customHeight="1" x14ac:dyDescent="0.25">
      <c r="A1321" s="619"/>
      <c r="B1321" s="619"/>
      <c r="C1321" s="619"/>
      <c r="D1321" s="619"/>
      <c r="E1321" s="619"/>
      <c r="F1321" s="330"/>
      <c r="O1321" s="756"/>
      <c r="P1321" s="619"/>
      <c r="Q1321" s="619"/>
      <c r="R1321" s="619"/>
    </row>
    <row r="1322" spans="1:18" ht="15.75" customHeight="1" x14ac:dyDescent="0.25">
      <c r="A1322" s="619"/>
      <c r="B1322" s="619"/>
      <c r="C1322" s="619"/>
      <c r="D1322" s="619"/>
      <c r="E1322" s="619"/>
      <c r="F1322" s="330"/>
      <c r="O1322" s="756"/>
      <c r="P1322" s="619"/>
      <c r="Q1322" s="619"/>
      <c r="R1322" s="619"/>
    </row>
    <row r="1323" spans="1:18" ht="15.75" customHeight="1" x14ac:dyDescent="0.25">
      <c r="A1323" s="619"/>
      <c r="B1323" s="619"/>
      <c r="C1323" s="619"/>
      <c r="D1323" s="619"/>
      <c r="E1323" s="619"/>
      <c r="F1323" s="330"/>
      <c r="O1323" s="756"/>
      <c r="P1323" s="619"/>
      <c r="Q1323" s="619"/>
      <c r="R1323" s="619"/>
    </row>
    <row r="1324" spans="1:18" ht="15.75" customHeight="1" x14ac:dyDescent="0.25">
      <c r="A1324" s="619"/>
      <c r="B1324" s="619"/>
      <c r="C1324" s="619"/>
      <c r="D1324" s="619"/>
      <c r="E1324" s="619"/>
      <c r="F1324" s="330"/>
      <c r="O1324" s="756"/>
      <c r="P1324" s="619"/>
      <c r="Q1324" s="619"/>
      <c r="R1324" s="619"/>
    </row>
    <row r="1325" spans="1:18" ht="15.75" customHeight="1" x14ac:dyDescent="0.25">
      <c r="A1325" s="619"/>
      <c r="B1325" s="619"/>
      <c r="C1325" s="619"/>
      <c r="D1325" s="619"/>
      <c r="E1325" s="619"/>
      <c r="F1325" s="330"/>
      <c r="O1325" s="756"/>
      <c r="P1325" s="619"/>
      <c r="Q1325" s="619"/>
      <c r="R1325" s="619"/>
    </row>
    <row r="1326" spans="1:18" ht="15.75" customHeight="1" x14ac:dyDescent="0.25">
      <c r="A1326" s="619"/>
      <c r="B1326" s="619"/>
      <c r="C1326" s="619"/>
      <c r="D1326" s="619"/>
      <c r="E1326" s="619"/>
      <c r="F1326" s="330"/>
      <c r="O1326" s="756"/>
      <c r="P1326" s="619"/>
      <c r="Q1326" s="619"/>
      <c r="R1326" s="619"/>
    </row>
    <row r="1327" spans="1:18" ht="15.75" customHeight="1" x14ac:dyDescent="0.25">
      <c r="A1327" s="619"/>
      <c r="B1327" s="619"/>
      <c r="C1327" s="619"/>
      <c r="D1327" s="619"/>
      <c r="E1327" s="619"/>
      <c r="F1327" s="330"/>
      <c r="O1327" s="756"/>
      <c r="P1327" s="619"/>
      <c r="Q1327" s="619"/>
      <c r="R1327" s="619"/>
    </row>
    <row r="1328" spans="1:18" ht="15.75" customHeight="1" x14ac:dyDescent="0.25">
      <c r="A1328" s="619"/>
      <c r="B1328" s="619"/>
      <c r="C1328" s="619"/>
      <c r="D1328" s="619"/>
      <c r="E1328" s="619"/>
      <c r="F1328" s="330"/>
      <c r="O1328" s="756"/>
      <c r="P1328" s="619"/>
      <c r="Q1328" s="619"/>
      <c r="R1328" s="619"/>
    </row>
    <row r="1329" spans="1:18" ht="15.75" customHeight="1" x14ac:dyDescent="0.25">
      <c r="A1329" s="619"/>
      <c r="B1329" s="619"/>
      <c r="C1329" s="619"/>
      <c r="D1329" s="619"/>
      <c r="E1329" s="619"/>
      <c r="F1329" s="330"/>
      <c r="O1329" s="756"/>
      <c r="P1329" s="619"/>
      <c r="Q1329" s="619"/>
      <c r="R1329" s="619"/>
    </row>
    <row r="1330" spans="1:18" ht="15.75" customHeight="1" x14ac:dyDescent="0.25">
      <c r="A1330" s="619"/>
      <c r="B1330" s="619"/>
      <c r="C1330" s="619"/>
      <c r="D1330" s="619"/>
      <c r="E1330" s="619"/>
      <c r="F1330" s="330"/>
      <c r="O1330" s="756"/>
      <c r="P1330" s="619"/>
      <c r="Q1330" s="619"/>
      <c r="R1330" s="619"/>
    </row>
    <row r="1331" spans="1:18" ht="15.75" customHeight="1" x14ac:dyDescent="0.25">
      <c r="A1331" s="619"/>
      <c r="B1331" s="619"/>
      <c r="C1331" s="619"/>
      <c r="D1331" s="619"/>
      <c r="E1331" s="619"/>
      <c r="F1331" s="330"/>
      <c r="O1331" s="756"/>
      <c r="P1331" s="619"/>
      <c r="Q1331" s="619"/>
      <c r="R1331" s="619"/>
    </row>
    <row r="1332" spans="1:18" ht="15.75" customHeight="1" x14ac:dyDescent="0.25">
      <c r="A1332" s="619"/>
      <c r="B1332" s="619"/>
      <c r="C1332" s="619"/>
      <c r="D1332" s="619"/>
      <c r="E1332" s="619"/>
      <c r="F1332" s="330"/>
      <c r="O1332" s="756"/>
      <c r="P1332" s="619"/>
      <c r="Q1332" s="619"/>
      <c r="R1332" s="619"/>
    </row>
    <row r="1333" spans="1:18" ht="15.75" customHeight="1" x14ac:dyDescent="0.25">
      <c r="A1333" s="619"/>
      <c r="B1333" s="619"/>
      <c r="C1333" s="619"/>
      <c r="D1333" s="619"/>
      <c r="E1333" s="619"/>
      <c r="F1333" s="330"/>
      <c r="O1333" s="756"/>
      <c r="P1333" s="619"/>
      <c r="Q1333" s="619"/>
      <c r="R1333" s="619"/>
    </row>
    <row r="1334" spans="1:18" ht="15.75" customHeight="1" x14ac:dyDescent="0.25">
      <c r="A1334" s="619"/>
      <c r="B1334" s="619"/>
      <c r="C1334" s="619"/>
      <c r="D1334" s="619"/>
      <c r="E1334" s="619"/>
      <c r="F1334" s="330"/>
      <c r="O1334" s="756"/>
      <c r="P1334" s="619"/>
      <c r="Q1334" s="619"/>
      <c r="R1334" s="619"/>
    </row>
    <row r="1335" spans="1:18" ht="15.75" customHeight="1" x14ac:dyDescent="0.25">
      <c r="A1335" s="619"/>
      <c r="B1335" s="619"/>
      <c r="C1335" s="619"/>
      <c r="D1335" s="619"/>
      <c r="E1335" s="619"/>
      <c r="F1335" s="330"/>
      <c r="O1335" s="756"/>
      <c r="P1335" s="619"/>
      <c r="Q1335" s="619"/>
      <c r="R1335" s="619"/>
    </row>
    <row r="1336" spans="1:18" ht="15.75" customHeight="1" x14ac:dyDescent="0.25">
      <c r="A1336" s="619"/>
      <c r="B1336" s="619"/>
      <c r="C1336" s="619"/>
      <c r="D1336" s="619"/>
      <c r="E1336" s="619"/>
      <c r="F1336" s="330"/>
      <c r="O1336" s="756"/>
      <c r="P1336" s="619"/>
      <c r="Q1336" s="619"/>
      <c r="R1336" s="619"/>
    </row>
    <row r="1337" spans="1:18" ht="15.75" customHeight="1" x14ac:dyDescent="0.25">
      <c r="A1337" s="619"/>
      <c r="B1337" s="619"/>
      <c r="C1337" s="619"/>
      <c r="D1337" s="619"/>
      <c r="E1337" s="619"/>
      <c r="F1337" s="330"/>
      <c r="O1337" s="756"/>
      <c r="P1337" s="619"/>
      <c r="Q1337" s="619"/>
      <c r="R1337" s="619"/>
    </row>
    <row r="1338" spans="1:18" ht="15.75" customHeight="1" x14ac:dyDescent="0.25">
      <c r="A1338" s="619"/>
      <c r="B1338" s="619"/>
      <c r="C1338" s="619"/>
      <c r="D1338" s="619"/>
      <c r="E1338" s="619"/>
      <c r="F1338" s="330"/>
      <c r="O1338" s="756"/>
      <c r="P1338" s="619"/>
      <c r="Q1338" s="619"/>
      <c r="R1338" s="619"/>
    </row>
    <row r="1339" spans="1:18" ht="15.75" customHeight="1" x14ac:dyDescent="0.25">
      <c r="A1339" s="619"/>
      <c r="B1339" s="619"/>
      <c r="C1339" s="619"/>
      <c r="D1339" s="619"/>
      <c r="E1339" s="619"/>
      <c r="F1339" s="330"/>
      <c r="O1339" s="756"/>
      <c r="P1339" s="619"/>
      <c r="Q1339" s="619"/>
      <c r="R1339" s="619"/>
    </row>
    <row r="1340" spans="1:18" ht="15.75" customHeight="1" x14ac:dyDescent="0.25">
      <c r="A1340" s="619"/>
      <c r="B1340" s="619"/>
      <c r="C1340" s="619"/>
      <c r="D1340" s="619"/>
      <c r="E1340" s="619"/>
      <c r="F1340" s="330"/>
      <c r="O1340" s="756"/>
      <c r="P1340" s="619"/>
      <c r="Q1340" s="619"/>
      <c r="R1340" s="619"/>
    </row>
    <row r="1341" spans="1:18" ht="15.75" customHeight="1" x14ac:dyDescent="0.25">
      <c r="A1341" s="619"/>
      <c r="B1341" s="619"/>
      <c r="C1341" s="619"/>
      <c r="D1341" s="619"/>
      <c r="E1341" s="619"/>
      <c r="F1341" s="330"/>
      <c r="O1341" s="756"/>
      <c r="P1341" s="619"/>
      <c r="Q1341" s="619"/>
      <c r="R1341" s="619"/>
    </row>
    <row r="1342" spans="1:18" ht="15.75" customHeight="1" x14ac:dyDescent="0.25">
      <c r="A1342" s="619"/>
      <c r="B1342" s="619"/>
      <c r="C1342" s="619"/>
      <c r="D1342" s="619"/>
      <c r="E1342" s="619"/>
      <c r="F1342" s="330"/>
      <c r="O1342" s="756"/>
      <c r="P1342" s="619"/>
      <c r="Q1342" s="619"/>
      <c r="R1342" s="619"/>
    </row>
    <row r="1343" spans="1:18" ht="15.75" customHeight="1" x14ac:dyDescent="0.25">
      <c r="A1343" s="619"/>
      <c r="B1343" s="619"/>
      <c r="C1343" s="619"/>
      <c r="D1343" s="619"/>
      <c r="E1343" s="619"/>
      <c r="F1343" s="330"/>
      <c r="O1343" s="756"/>
      <c r="P1343" s="619"/>
      <c r="Q1343" s="619"/>
      <c r="R1343" s="619"/>
    </row>
    <row r="1344" spans="1:18" ht="15.75" customHeight="1" x14ac:dyDescent="0.25">
      <c r="A1344" s="619"/>
      <c r="B1344" s="619"/>
      <c r="C1344" s="619"/>
      <c r="D1344" s="619"/>
      <c r="E1344" s="619"/>
      <c r="F1344" s="330"/>
      <c r="O1344" s="756"/>
      <c r="P1344" s="619"/>
      <c r="Q1344" s="619"/>
      <c r="R1344" s="619"/>
    </row>
    <row r="1345" spans="1:18" ht="15.75" customHeight="1" x14ac:dyDescent="0.25">
      <c r="A1345" s="619"/>
      <c r="B1345" s="619"/>
      <c r="C1345" s="619"/>
      <c r="D1345" s="619"/>
      <c r="E1345" s="619"/>
      <c r="F1345" s="330"/>
      <c r="O1345" s="756"/>
      <c r="P1345" s="619"/>
      <c r="Q1345" s="619"/>
      <c r="R1345" s="619"/>
    </row>
    <row r="1346" spans="1:18" ht="15.75" customHeight="1" x14ac:dyDescent="0.25">
      <c r="A1346" s="619"/>
      <c r="B1346" s="619"/>
      <c r="C1346" s="619"/>
      <c r="D1346" s="619"/>
      <c r="E1346" s="619"/>
      <c r="F1346" s="330"/>
      <c r="O1346" s="756"/>
      <c r="P1346" s="619"/>
      <c r="Q1346" s="619"/>
      <c r="R1346" s="619"/>
    </row>
    <row r="1347" spans="1:18" ht="15.75" customHeight="1" x14ac:dyDescent="0.25">
      <c r="A1347" s="619"/>
      <c r="B1347" s="619"/>
      <c r="C1347" s="619"/>
      <c r="D1347" s="619"/>
      <c r="E1347" s="619"/>
      <c r="F1347" s="330"/>
      <c r="O1347" s="756"/>
      <c r="P1347" s="619"/>
      <c r="Q1347" s="619"/>
      <c r="R1347" s="619"/>
    </row>
    <row r="1348" spans="1:18" ht="15.75" customHeight="1" x14ac:dyDescent="0.25">
      <c r="A1348" s="619"/>
      <c r="B1348" s="619"/>
      <c r="C1348" s="619"/>
      <c r="D1348" s="619"/>
      <c r="E1348" s="619"/>
      <c r="F1348" s="330"/>
      <c r="O1348" s="756"/>
      <c r="P1348" s="619"/>
      <c r="Q1348" s="619"/>
      <c r="R1348" s="619"/>
    </row>
    <row r="1349" spans="1:18" x14ac:dyDescent="0.25">
      <c r="A1349" s="619"/>
      <c r="B1349" s="619"/>
      <c r="C1349" s="619"/>
      <c r="D1349" s="619"/>
      <c r="E1349" s="619"/>
      <c r="F1349" s="330"/>
      <c r="P1349" s="619"/>
      <c r="Q1349" s="619"/>
      <c r="R1349" s="619"/>
    </row>
    <row r="1350" spans="1:18" s="619" customFormat="1" x14ac:dyDescent="0.25">
      <c r="F1350" s="330"/>
    </row>
    <row r="1351" spans="1:18" s="619" customFormat="1" x14ac:dyDescent="0.25">
      <c r="F1351" s="330"/>
    </row>
  </sheetData>
  <sheetProtection algorithmName="SHA-512" hashValue="TLDo8e/ulHhNxgtue78/2600/4B1CedKO1dGC+zp3OBN8MP2BqsyWxYEE0AzFbFIimCFiBFkMUs3IvKZxVuTSA==" saltValue="19V9Dw8Buvj1NB3mfdaMag==" spinCount="100000" sheet="1" objects="1" scenarios="1"/>
  <mergeCells count="320">
    <mergeCell ref="M128:N128"/>
    <mergeCell ref="M135:N135"/>
    <mergeCell ref="M131:N131"/>
    <mergeCell ref="M132:N132"/>
    <mergeCell ref="M133:N133"/>
    <mergeCell ref="M134:N134"/>
    <mergeCell ref="M271:N271"/>
    <mergeCell ref="M272:N272"/>
    <mergeCell ref="M182:N182"/>
    <mergeCell ref="M187:N187"/>
    <mergeCell ref="M192:N192"/>
    <mergeCell ref="M202:N202"/>
    <mergeCell ref="M212:N212"/>
    <mergeCell ref="M222:N222"/>
    <mergeCell ref="M235:N235"/>
    <mergeCell ref="M241:N241"/>
    <mergeCell ref="M246:N246"/>
    <mergeCell ref="M250:N250"/>
    <mergeCell ref="M262:N262"/>
    <mergeCell ref="M263:N263"/>
    <mergeCell ref="M264:N264"/>
    <mergeCell ref="M265:N265"/>
    <mergeCell ref="M266:N266"/>
    <mergeCell ref="M267:N267"/>
    <mergeCell ref="M238:N238"/>
    <mergeCell ref="M239:N239"/>
    <mergeCell ref="M243:N243"/>
    <mergeCell ref="M268:N268"/>
    <mergeCell ref="M269:N269"/>
    <mergeCell ref="M270:N270"/>
    <mergeCell ref="M248:N248"/>
    <mergeCell ref="M252:N252"/>
    <mergeCell ref="M253:N253"/>
    <mergeCell ref="M256:N256"/>
    <mergeCell ref="M257:N257"/>
    <mergeCell ref="M258:N258"/>
    <mergeCell ref="M259:N259"/>
    <mergeCell ref="M260:N260"/>
    <mergeCell ref="M261:N261"/>
    <mergeCell ref="M226:N226"/>
    <mergeCell ref="M227:N227"/>
    <mergeCell ref="M228:N228"/>
    <mergeCell ref="M229:N229"/>
    <mergeCell ref="M230:N230"/>
    <mergeCell ref="M231:N231"/>
    <mergeCell ref="M232:N232"/>
    <mergeCell ref="M233:N233"/>
    <mergeCell ref="M237:N237"/>
    <mergeCell ref="M217:N217"/>
    <mergeCell ref="M218:N218"/>
    <mergeCell ref="M219:N219"/>
    <mergeCell ref="M224:N224"/>
    <mergeCell ref="M225:N225"/>
    <mergeCell ref="M196:N196"/>
    <mergeCell ref="M197:N197"/>
    <mergeCell ref="M198:N198"/>
    <mergeCell ref="M204:N204"/>
    <mergeCell ref="M205:N205"/>
    <mergeCell ref="M206:N206"/>
    <mergeCell ref="M209:N209"/>
    <mergeCell ref="M210:N210"/>
    <mergeCell ref="M214:N214"/>
    <mergeCell ref="M183:N183"/>
    <mergeCell ref="M184:N184"/>
    <mergeCell ref="M185:N185"/>
    <mergeCell ref="M189:N189"/>
    <mergeCell ref="M190:N190"/>
    <mergeCell ref="M194:N194"/>
    <mergeCell ref="M195:N195"/>
    <mergeCell ref="M215:N215"/>
    <mergeCell ref="M216:N216"/>
    <mergeCell ref="M165:N165"/>
    <mergeCell ref="M166:N166"/>
    <mergeCell ref="M169:N169"/>
    <mergeCell ref="M170:N170"/>
    <mergeCell ref="M171:N171"/>
    <mergeCell ref="M172:N172"/>
    <mergeCell ref="M173:N173"/>
    <mergeCell ref="M176:N176"/>
    <mergeCell ref="M180:N180"/>
    <mergeCell ref="M154:N154"/>
    <mergeCell ref="M161:N161"/>
    <mergeCell ref="M168:N168"/>
    <mergeCell ref="M179:N179"/>
    <mergeCell ref="M223:N223"/>
    <mergeCell ref="M255:N255"/>
    <mergeCell ref="M188:N188"/>
    <mergeCell ref="M193:N193"/>
    <mergeCell ref="M200:N200"/>
    <mergeCell ref="M203:N203"/>
    <mergeCell ref="M208:N208"/>
    <mergeCell ref="M213:N213"/>
    <mergeCell ref="M236:N236"/>
    <mergeCell ref="M242:N242"/>
    <mergeCell ref="M247:N247"/>
    <mergeCell ref="M251:N251"/>
    <mergeCell ref="M155:N155"/>
    <mergeCell ref="M156:N156"/>
    <mergeCell ref="M157:N157"/>
    <mergeCell ref="M158:N158"/>
    <mergeCell ref="M159:N159"/>
    <mergeCell ref="M162:N162"/>
    <mergeCell ref="M163:N163"/>
    <mergeCell ref="M164:N164"/>
    <mergeCell ref="M151:N151"/>
    <mergeCell ref="M152:N152"/>
    <mergeCell ref="M101:N101"/>
    <mergeCell ref="M102:N102"/>
    <mergeCell ref="M103:N103"/>
    <mergeCell ref="M104:N104"/>
    <mergeCell ref="M105:N105"/>
    <mergeCell ref="M109:N109"/>
    <mergeCell ref="M117:N117"/>
    <mergeCell ref="M122:N122"/>
    <mergeCell ref="M130:N130"/>
    <mergeCell ref="M110:N110"/>
    <mergeCell ref="M111:N111"/>
    <mergeCell ref="M112:N112"/>
    <mergeCell ref="M113:N113"/>
    <mergeCell ref="M118:N118"/>
    <mergeCell ref="M119:N119"/>
    <mergeCell ref="M120:N120"/>
    <mergeCell ref="M123:N123"/>
    <mergeCell ref="M124:N124"/>
    <mergeCell ref="M125:N125"/>
    <mergeCell ref="M126:N126"/>
    <mergeCell ref="M139:N139"/>
    <mergeCell ref="M140:N140"/>
    <mergeCell ref="M89:N89"/>
    <mergeCell ref="M91:N91"/>
    <mergeCell ref="M93:N93"/>
    <mergeCell ref="M94:N94"/>
    <mergeCell ref="M95:N95"/>
    <mergeCell ref="M96:N96"/>
    <mergeCell ref="M97:N97"/>
    <mergeCell ref="M149:N149"/>
    <mergeCell ref="M150:N150"/>
    <mergeCell ref="M141:N141"/>
    <mergeCell ref="M142:N142"/>
    <mergeCell ref="M148:N148"/>
    <mergeCell ref="M138:N138"/>
    <mergeCell ref="M147:N147"/>
    <mergeCell ref="M136:N136"/>
    <mergeCell ref="M143:N143"/>
    <mergeCell ref="M144:N144"/>
    <mergeCell ref="M98:N98"/>
    <mergeCell ref="M99:N99"/>
    <mergeCell ref="M106:N106"/>
    <mergeCell ref="M107:N107"/>
    <mergeCell ref="M114:N114"/>
    <mergeCell ref="M115:N115"/>
    <mergeCell ref="M127:N127"/>
    <mergeCell ref="M75:N75"/>
    <mergeCell ref="M76:N76"/>
    <mergeCell ref="M77:N77"/>
    <mergeCell ref="M78:N78"/>
    <mergeCell ref="M81:N81"/>
    <mergeCell ref="M82:N82"/>
    <mergeCell ref="M84:N84"/>
    <mergeCell ref="M86:N86"/>
    <mergeCell ref="M87:N87"/>
    <mergeCell ref="M80:N80"/>
    <mergeCell ref="M63:N63"/>
    <mergeCell ref="M61:N61"/>
    <mergeCell ref="M66:N66"/>
    <mergeCell ref="M67:N67"/>
    <mergeCell ref="M68:N68"/>
    <mergeCell ref="M71:N71"/>
    <mergeCell ref="M72:N72"/>
    <mergeCell ref="M73:N73"/>
    <mergeCell ref="M74:N74"/>
    <mergeCell ref="M65:N65"/>
    <mergeCell ref="M70:N70"/>
    <mergeCell ref="M52:N52"/>
    <mergeCell ref="M53:N53"/>
    <mergeCell ref="M54:N54"/>
    <mergeCell ref="M55:N55"/>
    <mergeCell ref="M56:N56"/>
    <mergeCell ref="M57:N57"/>
    <mergeCell ref="M58:N58"/>
    <mergeCell ref="M50:N50"/>
    <mergeCell ref="M62:N62"/>
    <mergeCell ref="M60:N60"/>
    <mergeCell ref="M40:N40"/>
    <mergeCell ref="M41:N41"/>
    <mergeCell ref="M42:N42"/>
    <mergeCell ref="M43:N43"/>
    <mergeCell ref="M44:N44"/>
    <mergeCell ref="M45:N45"/>
    <mergeCell ref="M39:N39"/>
    <mergeCell ref="M47:N47"/>
    <mergeCell ref="M51:N51"/>
    <mergeCell ref="M19:N19"/>
    <mergeCell ref="M23:N23"/>
    <mergeCell ref="M24:N24"/>
    <mergeCell ref="M25:N25"/>
    <mergeCell ref="M26:N26"/>
    <mergeCell ref="M27:N27"/>
    <mergeCell ref="M32:N32"/>
    <mergeCell ref="M33:N33"/>
    <mergeCell ref="M36:N36"/>
    <mergeCell ref="M20:N20"/>
    <mergeCell ref="M21:N21"/>
    <mergeCell ref="M28:N28"/>
    <mergeCell ref="M29:N29"/>
    <mergeCell ref="M34:N34"/>
    <mergeCell ref="M35:N35"/>
    <mergeCell ref="M7:N7"/>
    <mergeCell ref="M8:N8"/>
    <mergeCell ref="M9:N9"/>
    <mergeCell ref="M10:N10"/>
    <mergeCell ref="M11:N11"/>
    <mergeCell ref="M15:N15"/>
    <mergeCell ref="M16:N16"/>
    <mergeCell ref="M17:N17"/>
    <mergeCell ref="M18:N18"/>
    <mergeCell ref="M12:N12"/>
    <mergeCell ref="M13:N13"/>
    <mergeCell ref="A91:B91"/>
    <mergeCell ref="A71:B78"/>
    <mergeCell ref="B79:C79"/>
    <mergeCell ref="A81:B82"/>
    <mergeCell ref="B83:C83"/>
    <mergeCell ref="A48:C48"/>
    <mergeCell ref="B49:C49"/>
    <mergeCell ref="A51:B58"/>
    <mergeCell ref="A66:B68"/>
    <mergeCell ref="A90:C90"/>
    <mergeCell ref="B85:C85"/>
    <mergeCell ref="A86:B87"/>
    <mergeCell ref="B64:C64"/>
    <mergeCell ref="B69:C69"/>
    <mergeCell ref="B88:C88"/>
    <mergeCell ref="A89:B89"/>
    <mergeCell ref="B59:C59"/>
    <mergeCell ref="A61:B63"/>
    <mergeCell ref="I3:I4"/>
    <mergeCell ref="J3:J4"/>
    <mergeCell ref="K3:K4"/>
    <mergeCell ref="A1:C1"/>
    <mergeCell ref="A2:O2"/>
    <mergeCell ref="D3:D4"/>
    <mergeCell ref="E3:E4"/>
    <mergeCell ref="L3:L4"/>
    <mergeCell ref="A3:B4"/>
    <mergeCell ref="C3:C4"/>
    <mergeCell ref="F3:F4"/>
    <mergeCell ref="G3:G4"/>
    <mergeCell ref="D1:L1"/>
    <mergeCell ref="H3:H4"/>
    <mergeCell ref="M3:N4"/>
    <mergeCell ref="A5:C5"/>
    <mergeCell ref="A37:C37"/>
    <mergeCell ref="B38:C38"/>
    <mergeCell ref="A46:C46"/>
    <mergeCell ref="A47:B47"/>
    <mergeCell ref="A39:B45"/>
    <mergeCell ref="B6:C6"/>
    <mergeCell ref="A7:B13"/>
    <mergeCell ref="B14:C14"/>
    <mergeCell ref="A15:B21"/>
    <mergeCell ref="B22:C22"/>
    <mergeCell ref="A23:B29"/>
    <mergeCell ref="A30:C30"/>
    <mergeCell ref="B31:C31"/>
    <mergeCell ref="A32:B36"/>
    <mergeCell ref="B254:C254"/>
    <mergeCell ref="B211:C211"/>
    <mergeCell ref="A213:B219"/>
    <mergeCell ref="A244:C244"/>
    <mergeCell ref="B245:C245"/>
    <mergeCell ref="A247:B248"/>
    <mergeCell ref="B249:C249"/>
    <mergeCell ref="A220:C220"/>
    <mergeCell ref="B221:C221"/>
    <mergeCell ref="B234:C234"/>
    <mergeCell ref="A243:B243"/>
    <mergeCell ref="B240:C240"/>
    <mergeCell ref="A222:B233"/>
    <mergeCell ref="B235:B239"/>
    <mergeCell ref="B92:C92"/>
    <mergeCell ref="B100:C100"/>
    <mergeCell ref="A101:B107"/>
    <mergeCell ref="B108:C108"/>
    <mergeCell ref="A109:B115"/>
    <mergeCell ref="A93:B99"/>
    <mergeCell ref="B175:C175"/>
    <mergeCell ref="B199:C199"/>
    <mergeCell ref="A193:B198"/>
    <mergeCell ref="B181:C181"/>
    <mergeCell ref="B186:C186"/>
    <mergeCell ref="A188:B190"/>
    <mergeCell ref="B191:C191"/>
    <mergeCell ref="A177:C177"/>
    <mergeCell ref="B178:C178"/>
    <mergeCell ref="A179:B180"/>
    <mergeCell ref="A116:C116"/>
    <mergeCell ref="A145:C145"/>
    <mergeCell ref="B146:C146"/>
    <mergeCell ref="A174:C174"/>
    <mergeCell ref="A117:B120"/>
    <mergeCell ref="B121:C121"/>
    <mergeCell ref="B129:C129"/>
    <mergeCell ref="A168:B173"/>
    <mergeCell ref="A200:B200"/>
    <mergeCell ref="B207:C207"/>
    <mergeCell ref="A208:B210"/>
    <mergeCell ref="B201:C201"/>
    <mergeCell ref="A203:B206"/>
    <mergeCell ref="A130:B136"/>
    <mergeCell ref="B137:C137"/>
    <mergeCell ref="A122:B128"/>
    <mergeCell ref="A138:B144"/>
    <mergeCell ref="B153:C153"/>
    <mergeCell ref="A147:B152"/>
    <mergeCell ref="B160:C160"/>
    <mergeCell ref="A154:B159"/>
    <mergeCell ref="B167:C167"/>
    <mergeCell ref="A161:B166"/>
    <mergeCell ref="A176:B176"/>
  </mergeCells>
  <conditionalFormatting sqref="K6:K275">
    <cfRule type="expression" dxfId="325" priority="16">
      <formula>H6=1</formula>
    </cfRule>
  </conditionalFormatting>
  <conditionalFormatting sqref="I7:I275">
    <cfRule type="cellIs" dxfId="324" priority="8" operator="lessThan">
      <formula>0</formula>
    </cfRule>
  </conditionalFormatting>
  <conditionalFormatting sqref="L6:L275">
    <cfRule type="cellIs" dxfId="323" priority="6" operator="greaterThan">
      <formula>0</formula>
    </cfRule>
    <cfRule type="cellIs" dxfId="322" priority="7" operator="equal">
      <formula>0</formula>
    </cfRule>
  </conditionalFormatting>
  <conditionalFormatting sqref="O6:O275">
    <cfRule type="containsText" dxfId="321" priority="9" operator="containsText" text="Expired">
      <formula>NOT(ISERROR(SEARCH("Expired",O6)))</formula>
    </cfRule>
    <cfRule type="containsText" dxfId="320" priority="10" operator="containsText" text="B1">
      <formula>NOT(ISERROR(SEARCH("B1",O6)))</formula>
    </cfRule>
    <cfRule type="containsText" dxfId="319" priority="11" operator="containsText" text="LCA">
      <formula>NOT(ISERROR(SEARCH("LCA",O6)))</formula>
    </cfRule>
    <cfRule type="containsText" dxfId="318" priority="12" operator="containsText" text="ICE">
      <formula>NOT(ISERROR(SEARCH("ICE",O6)))</formula>
    </cfRule>
    <cfRule type="containsText" dxfId="317" priority="13" operator="containsText" text="No">
      <formula>NOT(ISERROR(SEARCH("No",O6)))</formula>
    </cfRule>
    <cfRule type="containsText" dxfId="316" priority="14" operator="containsText" text="None">
      <formula>NOT(ISERROR(SEARCH("None",O6)))</formula>
    </cfRule>
    <cfRule type="containsText" dxfId="315" priority="15" operator="containsText" text="A1-">
      <formula>NOT(ISERROR(SEARCH("A1-",O6)))</formula>
    </cfRule>
  </conditionalFormatting>
  <conditionalFormatting sqref="P4">
    <cfRule type="cellIs" dxfId="314" priority="1" operator="greaterThan">
      <formula>0</formula>
    </cfRule>
    <cfRule type="cellIs" dxfId="313" priority="2" operator="equal">
      <formula>0</formula>
    </cfRule>
  </conditionalFormatting>
  <conditionalFormatting sqref="O4">
    <cfRule type="expression" dxfId="312" priority="3">
      <formula>COUNTIF($H:$H, 1)&gt;0</formula>
    </cfRule>
  </conditionalFormatting>
  <dataValidations count="3">
    <dataValidation type="list" allowBlank="1" showErrorMessage="1" sqref="E145 E174" xr:uid="{00000000-0002-0000-0800-000000000000}">
      <formula1>spacing</formula1>
    </dataValidation>
    <dataValidation type="list" allowBlank="1" showErrorMessage="1" sqref="F5" xr:uid="{00000000-0002-0000-0800-000001000000}">
      <formula1>thickness</formula1>
    </dataValidation>
    <dataValidation type="whole" errorStyle="warning" operator="equal" allowBlank="1" showErrorMessage="1" errorTitle="Enter 1 to select" error="Options:_x000a_To select item, enter '1'_x000a_To unselect, leave cell empty" sqref="H93:H120 H122:H272 H7:H91" xr:uid="{00000000-0002-0000-0800-000002000000}">
      <formula1>1</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4">
    <tabColor theme="7" tint="0.39997558519241921"/>
  </sheetPr>
  <dimension ref="A1:AA315"/>
  <sheetViews>
    <sheetView zoomScale="80" zoomScaleNormal="80" workbookViewId="0">
      <pane ySplit="4" topLeftCell="A5" activePane="bottomLeft" state="frozen"/>
      <selection activeCell="K14" sqref="K14"/>
      <selection pane="bottomLeft" activeCell="A5" sqref="A5:D5"/>
    </sheetView>
  </sheetViews>
  <sheetFormatPr defaultColWidth="11.36328125" defaultRowHeight="15" customHeight="1" x14ac:dyDescent="0.25"/>
  <cols>
    <col min="1" max="1" width="8.6328125" style="771" customWidth="1"/>
    <col min="2" max="2" width="13.08984375" style="771" customWidth="1"/>
    <col min="3" max="3" width="55.6328125" customWidth="1"/>
    <col min="4" max="4" width="19.81640625" style="712" customWidth="1"/>
    <col min="5" max="5" width="5.6328125" customWidth="1"/>
    <col min="6" max="6" width="6.6328125" style="331" customWidth="1"/>
    <col min="7" max="7" width="2.36328125" customWidth="1"/>
    <col min="8" max="8" width="6.6328125" customWidth="1"/>
    <col min="9" max="9" width="13.6328125" style="714" hidden="1" customWidth="1"/>
    <col min="10" max="10" width="16.6328125" style="714" hidden="1" customWidth="1"/>
    <col min="11" max="12" width="13.6328125" style="714" customWidth="1"/>
    <col min="13" max="13" width="12.6328125" style="714" customWidth="1"/>
    <col min="14" max="14" width="35.90625" style="714" customWidth="1"/>
    <col min="15" max="15" width="28.6328125" customWidth="1"/>
    <col min="16" max="16" width="28.36328125" style="620" customWidth="1"/>
    <col min="17" max="17" width="11.90625" style="757" customWidth="1"/>
    <col min="18" max="18" width="13.453125" style="757" customWidth="1"/>
    <col min="19" max="26" width="10.54296875" style="619" customWidth="1"/>
    <col min="27" max="16384" width="11.36328125" style="619"/>
  </cols>
  <sheetData>
    <row r="1" spans="1:27" ht="54.75" customHeight="1" x14ac:dyDescent="0.25">
      <c r="A1" s="1528" t="s">
        <v>3426</v>
      </c>
      <c r="B1" s="1529"/>
      <c r="C1" s="1530"/>
      <c r="D1" s="1521" t="s">
        <v>1073</v>
      </c>
      <c r="E1" s="1521"/>
      <c r="F1" s="1521"/>
      <c r="G1" s="1521"/>
      <c r="H1" s="1521"/>
      <c r="I1" s="1521"/>
      <c r="J1" s="1521"/>
      <c r="K1" s="1521"/>
      <c r="L1" s="1521"/>
      <c r="M1" s="716"/>
      <c r="N1" s="716"/>
      <c r="O1" s="618"/>
      <c r="P1" s="618"/>
    </row>
    <row r="2" spans="1:27" s="621" customFormat="1" ht="19.2" customHeight="1" x14ac:dyDescent="0.3">
      <c r="A2" s="1591" t="s">
        <v>7209</v>
      </c>
      <c r="B2" s="1591"/>
      <c r="C2" s="1591"/>
      <c r="D2" s="1591"/>
      <c r="E2" s="1591"/>
      <c r="F2" s="1591"/>
      <c r="G2" s="1591"/>
      <c r="H2" s="1591"/>
      <c r="I2" s="1591"/>
      <c r="J2" s="1591"/>
      <c r="K2" s="1591"/>
      <c r="L2" s="1591"/>
      <c r="M2" s="1591"/>
      <c r="N2" s="1591"/>
      <c r="O2" s="1591"/>
      <c r="P2" s="620"/>
      <c r="Q2" s="758"/>
      <c r="R2" s="758"/>
    </row>
    <row r="3" spans="1:27" s="624" customFormat="1" ht="60" customHeight="1" x14ac:dyDescent="0.25">
      <c r="A3" s="1537" t="s">
        <v>1031</v>
      </c>
      <c r="B3" s="1537"/>
      <c r="C3" s="1537" t="s">
        <v>13</v>
      </c>
      <c r="D3" s="1532" t="s">
        <v>1583</v>
      </c>
      <c r="E3" s="1534"/>
      <c r="F3" s="1537" t="s">
        <v>14</v>
      </c>
      <c r="G3" s="1537"/>
      <c r="H3" s="1538" t="s">
        <v>3417</v>
      </c>
      <c r="I3" s="1526" t="s">
        <v>7157</v>
      </c>
      <c r="J3" s="1526" t="s">
        <v>7158</v>
      </c>
      <c r="K3" s="1535" t="s">
        <v>900</v>
      </c>
      <c r="L3" s="1535" t="s">
        <v>7156</v>
      </c>
      <c r="M3" s="1520" t="s">
        <v>7165</v>
      </c>
      <c r="N3" s="1520"/>
      <c r="O3" s="622" t="s">
        <v>7207</v>
      </c>
      <c r="P3" s="622" t="s">
        <v>7208</v>
      </c>
      <c r="Q3" s="728"/>
      <c r="R3" s="728"/>
      <c r="S3" s="623"/>
      <c r="T3" s="623"/>
      <c r="U3" s="623"/>
      <c r="V3" s="623"/>
      <c r="W3" s="623"/>
      <c r="X3" s="623"/>
      <c r="Y3" s="623"/>
      <c r="Z3" s="623"/>
      <c r="AA3" s="623"/>
    </row>
    <row r="4" spans="1:27" s="624" customFormat="1" ht="30.15" customHeight="1" x14ac:dyDescent="0.3">
      <c r="A4" s="1537"/>
      <c r="B4" s="1537"/>
      <c r="C4" s="1537"/>
      <c r="D4" s="1533"/>
      <c r="E4" s="1523"/>
      <c r="F4" s="1537"/>
      <c r="G4" s="1537"/>
      <c r="H4" s="1539"/>
      <c r="I4" s="1527"/>
      <c r="J4" s="1527"/>
      <c r="K4" s="1536"/>
      <c r="L4" s="1536"/>
      <c r="M4" s="1520"/>
      <c r="N4" s="1520"/>
      <c r="O4" s="405">
        <f>SUMIF(H6:H50, 1, K6:K50)</f>
        <v>0</v>
      </c>
      <c r="P4" s="424">
        <f>SUMIF(H6:H50, 1, L6:L50)</f>
        <v>0</v>
      </c>
      <c r="Q4" s="626" t="s">
        <v>107</v>
      </c>
      <c r="R4" s="626" t="s">
        <v>1072</v>
      </c>
      <c r="S4" s="627" t="s">
        <v>749</v>
      </c>
      <c r="T4" s="627" t="s">
        <v>108</v>
      </c>
      <c r="AA4" s="627"/>
    </row>
    <row r="5" spans="1:27" s="624" customFormat="1" ht="54.75" customHeight="1" x14ac:dyDescent="0.25">
      <c r="A5" s="1592" t="s">
        <v>10</v>
      </c>
      <c r="B5" s="1523"/>
      <c r="C5" s="1523"/>
      <c r="D5" s="1523"/>
      <c r="E5" s="650"/>
      <c r="F5" s="321"/>
      <c r="G5" s="650"/>
      <c r="H5" s="650"/>
      <c r="I5" s="651"/>
      <c r="J5" s="651"/>
      <c r="K5" s="652"/>
      <c r="L5" s="759"/>
      <c r="M5" s="759"/>
      <c r="N5" s="759"/>
      <c r="O5" s="760"/>
      <c r="P5" s="637"/>
      <c r="Q5" s="761"/>
      <c r="R5" s="728"/>
      <c r="S5" s="638"/>
      <c r="T5" s="638"/>
      <c r="U5" s="638"/>
      <c r="V5" s="638"/>
      <c r="W5" s="638"/>
      <c r="X5" s="638"/>
      <c r="Y5" s="638"/>
      <c r="Z5" s="638"/>
      <c r="AA5" s="638"/>
    </row>
    <row r="6" spans="1:27" ht="23.25" customHeight="1" x14ac:dyDescent="0.25">
      <c r="A6" s="762"/>
      <c r="B6" s="1541" t="s">
        <v>1720</v>
      </c>
      <c r="C6" s="1530"/>
      <c r="D6" s="656"/>
      <c r="E6" s="657"/>
      <c r="F6" s="339"/>
      <c r="G6" s="724"/>
      <c r="H6" s="763"/>
      <c r="I6" s="658"/>
      <c r="J6" s="659"/>
      <c r="K6" s="723"/>
      <c r="L6" s="661"/>
      <c r="M6" s="677"/>
      <c r="N6" s="677"/>
      <c r="O6" s="764"/>
      <c r="P6" s="637"/>
      <c r="S6" s="664"/>
      <c r="T6" s="664"/>
      <c r="U6" s="664"/>
      <c r="V6" s="664"/>
      <c r="W6" s="664"/>
      <c r="X6" s="664"/>
      <c r="Y6" s="664"/>
      <c r="Z6" s="664"/>
      <c r="AA6" s="638"/>
    </row>
    <row r="7" spans="1:27" ht="23.25" customHeight="1" x14ac:dyDescent="0.25">
      <c r="A7" s="1593" t="s">
        <v>1719</v>
      </c>
      <c r="B7" s="1594"/>
      <c r="C7" s="691" t="s">
        <v>1394</v>
      </c>
      <c r="D7" s="19">
        <f>'USER INPUT SHEET'!$D$39</f>
        <v>0</v>
      </c>
      <c r="E7" s="20" t="str">
        <f>'USER INPUT SHEET'!$F$39</f>
        <v>m3</v>
      </c>
      <c r="F7" s="6">
        <v>1</v>
      </c>
      <c r="G7" s="692"/>
      <c r="H7" s="10"/>
      <c r="I7" s="98">
        <f t="shared" ref="I7:I14" si="0">K7-L7-IF(N7,M7,0)</f>
        <v>0</v>
      </c>
      <c r="J7" s="91" t="str">
        <f t="shared" ref="J7:J25" si="1">IF(H7=1,I7,"")</f>
        <v/>
      </c>
      <c r="K7" s="410">
        <f>F7*AVERAGE(K$8:K$25)</f>
        <v>0</v>
      </c>
      <c r="L7" s="99">
        <f>F7*AVERAGE(L$8:L$25)</f>
        <v>0</v>
      </c>
      <c r="M7" s="1552"/>
      <c r="N7" s="1552"/>
      <c r="O7" s="25" t="str">
        <f>_xlfn.IFNA(VLOOKUP($C7,'Master sheet'!$A:$AR,44,FALSE),"")&amp;""</f>
        <v/>
      </c>
      <c r="P7" s="637"/>
      <c r="Q7" s="765" t="s">
        <v>1073</v>
      </c>
      <c r="R7" s="757" t="s">
        <v>1720</v>
      </c>
      <c r="S7" s="664"/>
      <c r="T7" s="664"/>
      <c r="U7" s="664"/>
      <c r="V7" s="664"/>
      <c r="W7" s="664"/>
      <c r="X7" s="664"/>
      <c r="Y7" s="664"/>
      <c r="Z7" s="664"/>
      <c r="AA7" s="638"/>
    </row>
    <row r="8" spans="1:27" ht="22.95" customHeight="1" x14ac:dyDescent="0.25">
      <c r="A8" s="1593"/>
      <c r="B8" s="1594"/>
      <c r="C8" s="669" t="str">
        <f>INDEX('Master sheet'!$A$1:$A$670,MATCH("248-1",'Master sheet'!$AN$1:$AN$670,0))</f>
        <v xml:space="preserve">Wood - SPF / Canadian Wood Council / British Columbia / </v>
      </c>
      <c r="D8" s="15">
        <f>'USER INPUT SHEET'!$D$39</f>
        <v>0</v>
      </c>
      <c r="E8" s="16" t="str">
        <f>'USER INPUT SHEET'!$F$39</f>
        <v>m3</v>
      </c>
      <c r="F8" s="3">
        <v>1</v>
      </c>
      <c r="G8" s="670"/>
      <c r="H8" s="8"/>
      <c r="I8" s="95">
        <f t="shared" si="0"/>
        <v>0</v>
      </c>
      <c r="J8" s="93" t="str">
        <f t="shared" si="1"/>
        <v/>
      </c>
      <c r="K8" s="406">
        <f>$D8*$F8*VLOOKUP($C8,'Master sheet'!$A:$AL,13,FALSE)</f>
        <v>0</v>
      </c>
      <c r="L8" s="94">
        <f>$D8*$F8*VLOOKUP($C8,'Master sheet'!$A:$AL,27,FALSE)</f>
        <v>0</v>
      </c>
      <c r="M8" s="1552"/>
      <c r="N8" s="1552"/>
      <c r="O8" s="25" t="str">
        <f>_xlfn.IFNA(VLOOKUP($C8,'Master sheet'!$A:$AR,44,FALSE),"")&amp;""</f>
        <v/>
      </c>
      <c r="P8" s="685"/>
      <c r="Q8" s="757" t="s">
        <v>1073</v>
      </c>
      <c r="R8" s="757" t="s">
        <v>1720</v>
      </c>
      <c r="S8" s="664"/>
      <c r="T8" s="664"/>
      <c r="U8" s="664"/>
      <c r="V8" s="664"/>
      <c r="W8" s="664"/>
      <c r="X8" s="664"/>
      <c r="Y8" s="664"/>
      <c r="Z8" s="664"/>
      <c r="AA8" s="638"/>
    </row>
    <row r="9" spans="1:27" ht="22.95" customHeight="1" x14ac:dyDescent="0.25">
      <c r="A9" s="1593"/>
      <c r="B9" s="1594"/>
      <c r="C9" s="669" t="str">
        <f>INDEX('Master sheet'!$A$1:$A$670,MATCH("248-2",'Master sheet'!$AN$1:$AN$670,0))</f>
        <v xml:space="preserve">Wood - SPF / Canadian Wood Council / Alberta / </v>
      </c>
      <c r="D9" s="15">
        <f>'USER INPUT SHEET'!$D$39</f>
        <v>0</v>
      </c>
      <c r="E9" s="16" t="str">
        <f>'USER INPUT SHEET'!$F$39</f>
        <v>m3</v>
      </c>
      <c r="F9" s="3">
        <v>1</v>
      </c>
      <c r="G9" s="670"/>
      <c r="H9" s="8"/>
      <c r="I9" s="95">
        <f t="shared" ref="I9:I13" si="2">K9-L9-IF(N9,M9,0)</f>
        <v>0</v>
      </c>
      <c r="J9" s="93" t="str">
        <f t="shared" ref="J9:J13" si="3">IF(H9=1,I9,"")</f>
        <v/>
      </c>
      <c r="K9" s="406">
        <f>$D9*$F9*VLOOKUP($C9,'Master sheet'!$A:$AL,13,FALSE)</f>
        <v>0</v>
      </c>
      <c r="L9" s="94">
        <f>$D9*$F9*VLOOKUP($C9,'Master sheet'!$A:$AL,27,FALSE)</f>
        <v>0</v>
      </c>
      <c r="M9" s="1552"/>
      <c r="N9" s="1552"/>
      <c r="O9" s="25" t="str">
        <f>_xlfn.IFNA(VLOOKUP($C9,'Master sheet'!$A:$AR,44,FALSE),"")&amp;""</f>
        <v/>
      </c>
      <c r="P9" s="685"/>
      <c r="Q9" s="757" t="s">
        <v>1073</v>
      </c>
      <c r="R9" s="757" t="s">
        <v>1720</v>
      </c>
      <c r="S9" s="664"/>
      <c r="T9" s="664"/>
      <c r="U9" s="664"/>
      <c r="V9" s="664"/>
      <c r="W9" s="664"/>
      <c r="X9" s="664"/>
      <c r="Y9" s="664"/>
      <c r="Z9" s="664"/>
      <c r="AA9" s="664"/>
    </row>
    <row r="10" spans="1:27" ht="22.8" x14ac:dyDescent="0.25">
      <c r="A10" s="1593"/>
      <c r="B10" s="1594"/>
      <c r="C10" s="669" t="str">
        <f>INDEX('Master sheet'!$A$1:$A$670,MATCH("248-3",'Master sheet'!$AN$1:$AN$670,0))</f>
        <v xml:space="preserve">Wood - SPF / Canadian Wood Council / Ontario / </v>
      </c>
      <c r="D10" s="15">
        <f>'USER INPUT SHEET'!$D$39</f>
        <v>0</v>
      </c>
      <c r="E10" s="16" t="str">
        <f>'USER INPUT SHEET'!$F$39</f>
        <v>m3</v>
      </c>
      <c r="F10" s="3">
        <v>1</v>
      </c>
      <c r="G10" s="670"/>
      <c r="H10" s="8"/>
      <c r="I10" s="95">
        <f t="shared" si="2"/>
        <v>0</v>
      </c>
      <c r="J10" s="93" t="str">
        <f t="shared" si="3"/>
        <v/>
      </c>
      <c r="K10" s="406">
        <f>$D10*$F10*VLOOKUP($C10,'Master sheet'!$A:$AL,13,FALSE)</f>
        <v>0</v>
      </c>
      <c r="L10" s="94">
        <f>$D10*$F10*VLOOKUP($C10,'Master sheet'!$A:$AL,27,FALSE)</f>
        <v>0</v>
      </c>
      <c r="M10" s="1552"/>
      <c r="N10" s="1552"/>
      <c r="O10" s="25" t="str">
        <f>_xlfn.IFNA(VLOOKUP($C10,'Master sheet'!$A:$AR,44,FALSE),"")&amp;""</f>
        <v/>
      </c>
      <c r="P10" s="685"/>
      <c r="Q10" s="757" t="s">
        <v>1073</v>
      </c>
      <c r="R10" s="757" t="s">
        <v>1720</v>
      </c>
      <c r="S10" s="664"/>
      <c r="T10" s="664"/>
      <c r="U10" s="664"/>
      <c r="V10" s="664"/>
      <c r="W10" s="664"/>
      <c r="X10" s="664"/>
      <c r="Y10" s="664"/>
      <c r="Z10" s="664"/>
      <c r="AA10" s="664"/>
    </row>
    <row r="11" spans="1:27" ht="22.8" x14ac:dyDescent="0.25">
      <c r="A11" s="1593"/>
      <c r="B11" s="1594"/>
      <c r="C11" s="669" t="str">
        <f>INDEX('Master sheet'!$A$1:$A$670,MATCH("248-4",'Master sheet'!$AN$1:$AN$670,0))</f>
        <v xml:space="preserve">Wood - SPF / Canadian Wood Council / Quebec / </v>
      </c>
      <c r="D11" s="15">
        <f>'USER INPUT SHEET'!$D$39</f>
        <v>0</v>
      </c>
      <c r="E11" s="16" t="str">
        <f>'USER INPUT SHEET'!$F$39</f>
        <v>m3</v>
      </c>
      <c r="F11" s="3">
        <v>1</v>
      </c>
      <c r="G11" s="670"/>
      <c r="H11" s="8"/>
      <c r="I11" s="95">
        <f t="shared" si="2"/>
        <v>0</v>
      </c>
      <c r="J11" s="93" t="str">
        <f t="shared" si="3"/>
        <v/>
      </c>
      <c r="K11" s="406">
        <f>$D11*$F11*VLOOKUP($C11,'Master sheet'!$A:$AL,13,FALSE)</f>
        <v>0</v>
      </c>
      <c r="L11" s="94">
        <f>$D11*$F11*VLOOKUP($C11,'Master sheet'!$A:$AL,27,FALSE)</f>
        <v>0</v>
      </c>
      <c r="M11" s="1552"/>
      <c r="N11" s="1552"/>
      <c r="O11" s="25" t="str">
        <f>_xlfn.IFNA(VLOOKUP($C11,'Master sheet'!$A:$AR,44,FALSE),"")&amp;""</f>
        <v/>
      </c>
      <c r="P11" s="685"/>
      <c r="Q11" s="757" t="s">
        <v>1073</v>
      </c>
      <c r="R11" s="757" t="s">
        <v>1720</v>
      </c>
      <c r="S11" s="664"/>
      <c r="T11" s="664"/>
      <c r="U11" s="664"/>
      <c r="V11" s="664"/>
      <c r="W11" s="664"/>
      <c r="X11" s="664"/>
      <c r="Y11" s="664"/>
      <c r="Z11" s="664"/>
      <c r="AA11" s="664"/>
    </row>
    <row r="12" spans="1:27" ht="22.8" x14ac:dyDescent="0.25">
      <c r="A12" s="1593"/>
      <c r="B12" s="1594"/>
      <c r="C12" s="669" t="str">
        <f>INDEX('Master sheet'!$A$1:$A$670,MATCH("248-5",'Master sheet'!$AN$1:$AN$670,0))</f>
        <v xml:space="preserve">Wood - SPF / Canadian Wood Council / New Brunswick / </v>
      </c>
      <c r="D12" s="15">
        <f>'USER INPUT SHEET'!$D$39</f>
        <v>0</v>
      </c>
      <c r="E12" s="16" t="str">
        <f>'USER INPUT SHEET'!$F$39</f>
        <v>m3</v>
      </c>
      <c r="F12" s="3">
        <v>1</v>
      </c>
      <c r="G12" s="670"/>
      <c r="H12" s="8"/>
      <c r="I12" s="95">
        <f t="shared" si="2"/>
        <v>0</v>
      </c>
      <c r="J12" s="93" t="str">
        <f t="shared" si="3"/>
        <v/>
      </c>
      <c r="K12" s="406">
        <f>$D12*$F12*VLOOKUP($C12,'Master sheet'!$A:$AL,13,FALSE)</f>
        <v>0</v>
      </c>
      <c r="L12" s="94">
        <f>$D12*$F12*VLOOKUP($C12,'Master sheet'!$A:$AL,27,FALSE)</f>
        <v>0</v>
      </c>
      <c r="M12" s="1552"/>
      <c r="N12" s="1552"/>
      <c r="O12" s="25" t="str">
        <f>_xlfn.IFNA(VLOOKUP($C12,'Master sheet'!$A:$AR,44,FALSE),"")&amp;""</f>
        <v/>
      </c>
      <c r="P12" s="685"/>
      <c r="Q12" s="757" t="s">
        <v>1073</v>
      </c>
      <c r="R12" s="757" t="s">
        <v>1720</v>
      </c>
      <c r="S12" s="664"/>
      <c r="T12" s="664"/>
      <c r="U12" s="664"/>
      <c r="V12" s="664"/>
      <c r="W12" s="664"/>
      <c r="X12" s="664"/>
      <c r="Y12" s="664"/>
      <c r="Z12" s="664"/>
      <c r="AA12" s="664"/>
    </row>
    <row r="13" spans="1:27" ht="22.8" x14ac:dyDescent="0.25">
      <c r="A13" s="1593"/>
      <c r="B13" s="1594"/>
      <c r="C13" s="669" t="str">
        <f>INDEX('Master sheet'!$A$1:$A$670,MATCH("248-6",'Master sheet'!$AN$1:$AN$670,0))</f>
        <v xml:space="preserve">Wood - SPF / Canadian Wood Council / Atlantic Canada / </v>
      </c>
      <c r="D13" s="15">
        <f>'USER INPUT SHEET'!$D$39</f>
        <v>0</v>
      </c>
      <c r="E13" s="16" t="str">
        <f>'USER INPUT SHEET'!$F$39</f>
        <v>m3</v>
      </c>
      <c r="F13" s="3">
        <v>1</v>
      </c>
      <c r="G13" s="670"/>
      <c r="H13" s="8"/>
      <c r="I13" s="95">
        <f t="shared" si="2"/>
        <v>0</v>
      </c>
      <c r="J13" s="93" t="str">
        <f t="shared" si="3"/>
        <v/>
      </c>
      <c r="K13" s="406">
        <f>$D13*$F13*VLOOKUP($C13,'Master sheet'!$A:$AL,13,FALSE)</f>
        <v>0</v>
      </c>
      <c r="L13" s="94">
        <f>$D13*$F13*VLOOKUP($C13,'Master sheet'!$A:$AL,27,FALSE)</f>
        <v>0</v>
      </c>
      <c r="M13" s="1552"/>
      <c r="N13" s="1552"/>
      <c r="O13" s="25" t="str">
        <f>_xlfn.IFNA(VLOOKUP($C13,'Master sheet'!$A:$AR,44,FALSE),"")&amp;""</f>
        <v/>
      </c>
      <c r="P13" s="685"/>
      <c r="Q13" s="757" t="s">
        <v>1073</v>
      </c>
      <c r="R13" s="757" t="s">
        <v>1720</v>
      </c>
      <c r="S13" s="664"/>
      <c r="T13" s="664"/>
      <c r="U13" s="664"/>
      <c r="V13" s="664"/>
      <c r="W13" s="664"/>
      <c r="X13" s="664"/>
      <c r="Y13" s="664"/>
      <c r="Z13" s="664"/>
      <c r="AA13" s="664"/>
    </row>
    <row r="14" spans="1:27" ht="31.5" customHeight="1" x14ac:dyDescent="0.25">
      <c r="A14" s="1593"/>
      <c r="B14" s="1594"/>
      <c r="C14" s="669" t="str">
        <f>INDEX('Master sheet'!$A$1:$A$670,MATCH(126,'Master sheet'!$AN$1:$AN$670,0))</f>
        <v xml:space="preserve">Laminated strand lumber (LSL) / American Wood Council &amp; Canadian Wood Council /  / </v>
      </c>
      <c r="D14" s="15">
        <f>'USER INPUT SHEET'!$D$39</f>
        <v>0</v>
      </c>
      <c r="E14" s="16" t="str">
        <f>'USER INPUT SHEET'!$F$39</f>
        <v>m3</v>
      </c>
      <c r="F14" s="3">
        <v>1</v>
      </c>
      <c r="G14" s="670"/>
      <c r="H14" s="8"/>
      <c r="I14" s="95">
        <f t="shared" si="0"/>
        <v>0</v>
      </c>
      <c r="J14" s="93" t="str">
        <f t="shared" ref="J14" si="4">IF(H14=1,I14,"")</f>
        <v/>
      </c>
      <c r="K14" s="406">
        <f>$D14*$F14*VLOOKUP($C14,'Master sheet'!$A:$AL,13,FALSE)</f>
        <v>0</v>
      </c>
      <c r="L14" s="94">
        <f>$D14*$F14*VLOOKUP($C14,'Master sheet'!$A:$AL,27,FALSE)</f>
        <v>0</v>
      </c>
      <c r="M14" s="1552"/>
      <c r="N14" s="1552"/>
      <c r="O14" s="25" t="str">
        <f ca="1">_xlfn.IFNA(VLOOKUP($C14,'Master sheet'!$A:$AR,44,FALSE),"")&amp;""</f>
        <v/>
      </c>
      <c r="P14" s="685"/>
      <c r="Q14" s="757" t="s">
        <v>1073</v>
      </c>
      <c r="R14" s="757" t="s">
        <v>1720</v>
      </c>
      <c r="S14" s="664"/>
      <c r="T14" s="664"/>
      <c r="U14" s="664"/>
      <c r="V14" s="664"/>
      <c r="W14" s="664"/>
      <c r="X14" s="664"/>
      <c r="Y14" s="664"/>
      <c r="Z14" s="664"/>
      <c r="AA14" s="664"/>
    </row>
    <row r="15" spans="1:27" ht="31.5" customHeight="1" x14ac:dyDescent="0.25">
      <c r="A15" s="1593"/>
      <c r="B15" s="1594"/>
      <c r="C15" s="669" t="str">
        <f>INDEX('Master sheet'!$A$1:$A$670,MATCH(127,'Master sheet'!$AN$1:$AN$670,0))</f>
        <v xml:space="preserve">Laminated veneer lumber (LVL) / American Wood Council &amp; Canadian Wood Council /  / </v>
      </c>
      <c r="D15" s="15">
        <f>'USER INPUT SHEET'!$D$39</f>
        <v>0</v>
      </c>
      <c r="E15" s="16" t="str">
        <f>'USER INPUT SHEET'!$F$39</f>
        <v>m3</v>
      </c>
      <c r="F15" s="3">
        <v>1</v>
      </c>
      <c r="G15" s="670"/>
      <c r="H15" s="8"/>
      <c r="I15" s="95">
        <f t="shared" ref="I15:I17" si="5">K15-L15-IF(N15,M15,0)</f>
        <v>0</v>
      </c>
      <c r="J15" s="93" t="str">
        <f t="shared" si="1"/>
        <v/>
      </c>
      <c r="K15" s="406">
        <f>$D15*$F15*VLOOKUP($C15,'Master sheet'!$A:$AL,13,FALSE)</f>
        <v>0</v>
      </c>
      <c r="L15" s="94">
        <f>$D15*$F15*VLOOKUP($C15,'Master sheet'!$A:$AL,27,FALSE)</f>
        <v>0</v>
      </c>
      <c r="M15" s="1552"/>
      <c r="N15" s="1552"/>
      <c r="O15" s="25" t="str">
        <f ca="1">_xlfn.IFNA(VLOOKUP($C15,'Master sheet'!$A:$AR,44,FALSE),"")&amp;""</f>
        <v>Expired 2025</v>
      </c>
      <c r="P15" s="685"/>
      <c r="Q15" s="757" t="s">
        <v>1073</v>
      </c>
      <c r="R15" s="757" t="s">
        <v>1720</v>
      </c>
      <c r="S15" s="664"/>
      <c r="T15" s="664"/>
      <c r="U15" s="664"/>
      <c r="V15" s="664"/>
      <c r="W15" s="664"/>
      <c r="X15" s="664"/>
      <c r="Y15" s="664"/>
      <c r="Z15" s="664"/>
      <c r="AA15" s="664"/>
    </row>
    <row r="16" spans="1:27" ht="31.5" customHeight="1" x14ac:dyDescent="0.25">
      <c r="A16" s="1593"/>
      <c r="B16" s="1594"/>
      <c r="C16" s="669" t="str">
        <f>INDEX('Master sheet'!$A$1:$A$670,MATCH(113,'Master sheet'!$AN$1:$AN$670,0))</f>
        <v xml:space="preserve">Glued laminated timber / American Wood Council &amp; Canadian Wood Council /  / </v>
      </c>
      <c r="D16" s="15">
        <f>'USER INPUT SHEET'!$D$39</f>
        <v>0</v>
      </c>
      <c r="E16" s="16" t="str">
        <f>'USER INPUT SHEET'!$F$39</f>
        <v>m3</v>
      </c>
      <c r="F16" s="3">
        <v>1</v>
      </c>
      <c r="G16" s="670"/>
      <c r="H16" s="8"/>
      <c r="I16" s="95">
        <f t="shared" si="5"/>
        <v>0</v>
      </c>
      <c r="J16" s="93" t="str">
        <f t="shared" si="1"/>
        <v/>
      </c>
      <c r="K16" s="406">
        <f>$D16*$F16*VLOOKUP($C16,'Master sheet'!$A:$AL,13,FALSE)</f>
        <v>0</v>
      </c>
      <c r="L16" s="94">
        <f>$D16*$F16*VLOOKUP($C16,'Master sheet'!$A:$AL,27,FALSE)</f>
        <v>0</v>
      </c>
      <c r="M16" s="1552"/>
      <c r="N16" s="1552"/>
      <c r="O16" s="25" t="str">
        <f ca="1">_xlfn.IFNA(VLOOKUP($C16,'Master sheet'!$A:$AR,44,FALSE),"")&amp;""</f>
        <v>Expired 2025</v>
      </c>
      <c r="P16" s="637"/>
      <c r="Q16" s="757" t="s">
        <v>1073</v>
      </c>
      <c r="R16" s="757" t="s">
        <v>1720</v>
      </c>
      <c r="S16" s="664"/>
      <c r="T16" s="664"/>
      <c r="U16" s="664"/>
      <c r="V16" s="664"/>
      <c r="W16" s="664"/>
      <c r="X16" s="664"/>
      <c r="Y16" s="664"/>
      <c r="Z16" s="664"/>
      <c r="AA16" s="638"/>
    </row>
    <row r="17" spans="1:27" ht="31.5" customHeight="1" x14ac:dyDescent="0.25">
      <c r="A17" s="1593"/>
      <c r="B17" s="1594"/>
      <c r="C17" s="673" t="str">
        <f>INDEX('Master sheet'!$A$1:$A$670,MATCH(114,'Master sheet'!$AN$1:$AN$670,0))</f>
        <v>Glued laminated timber / Structurlam / Glulam Plus / 3-1/2" (90mm) thick</v>
      </c>
      <c r="D17" s="17">
        <f>'USER INPUT SHEET'!$D$39</f>
        <v>0</v>
      </c>
      <c r="E17" s="18" t="str">
        <f>'USER INPUT SHEET'!$F$39</f>
        <v>m3</v>
      </c>
      <c r="F17" s="4">
        <v>1</v>
      </c>
      <c r="G17" s="674"/>
      <c r="H17" s="9"/>
      <c r="I17" s="95">
        <f t="shared" si="5"/>
        <v>0</v>
      </c>
      <c r="J17" s="96" t="str">
        <f t="shared" ref="J17:J24" si="6">IF(H17=1,I17,"")</f>
        <v/>
      </c>
      <c r="K17" s="407">
        <f>$D17*$F17*VLOOKUP($C17,'Master sheet'!$A:$AL,13,FALSE)</f>
        <v>0</v>
      </c>
      <c r="L17" s="97">
        <f>$D17*$F17*VLOOKUP($C17,'Master sheet'!$A:$AL,27,FALSE)</f>
        <v>0</v>
      </c>
      <c r="M17" s="1552"/>
      <c r="N17" s="1552"/>
      <c r="O17" s="25" t="str">
        <f ca="1">_xlfn.IFNA(VLOOKUP($C17,'Master sheet'!$A:$AR,44,FALSE),"")&amp;""</f>
        <v>Expired 2025</v>
      </c>
      <c r="P17" s="637"/>
      <c r="Q17" s="757" t="s">
        <v>1073</v>
      </c>
      <c r="R17" s="757" t="s">
        <v>1720</v>
      </c>
      <c r="S17" s="664"/>
      <c r="T17" s="664"/>
      <c r="U17" s="664"/>
      <c r="V17" s="664"/>
      <c r="W17" s="664"/>
      <c r="X17" s="664"/>
      <c r="Y17" s="664"/>
      <c r="Z17" s="664"/>
      <c r="AA17" s="664"/>
    </row>
    <row r="18" spans="1:27" ht="31.5" customHeight="1" x14ac:dyDescent="0.25">
      <c r="A18" s="1593"/>
      <c r="B18" s="1594"/>
      <c r="C18" s="673" t="str">
        <f>INDEX('Master sheet'!$A$1:$A$670,MATCH(409,'Master sheet'!$AN$1:$AN$670,0))</f>
        <v xml:space="preserve">Laminated veneer lumber / Roseburg Forest Products / RigidLam LVL / </v>
      </c>
      <c r="D18" s="17">
        <f>'USER INPUT SHEET'!$D$39</f>
        <v>0</v>
      </c>
      <c r="E18" s="18" t="str">
        <f>'USER INPUT SHEET'!$F$39</f>
        <v>m3</v>
      </c>
      <c r="F18" s="4">
        <v>1</v>
      </c>
      <c r="G18" s="674"/>
      <c r="H18" s="9"/>
      <c r="I18" s="95">
        <f t="shared" ref="I18:I25" si="7">K18-L18-IF(N18,M18,0)</f>
        <v>0</v>
      </c>
      <c r="J18" s="96" t="str">
        <f t="shared" si="6"/>
        <v/>
      </c>
      <c r="K18" s="407">
        <f>$D18*$F18*VLOOKUP($C18,'Master sheet'!$A:$AL,13,FALSE)</f>
        <v>0</v>
      </c>
      <c r="L18" s="97">
        <f>$D18*$F18*VLOOKUP($C18,'Master sheet'!$A:$AL,27,FALSE)</f>
        <v>0</v>
      </c>
      <c r="M18" s="1552"/>
      <c r="N18" s="1552"/>
      <c r="O18" s="25" t="str">
        <f ca="1">_xlfn.IFNA(VLOOKUP($C18,'Master sheet'!$A:$AR,44,FALSE),"")&amp;""</f>
        <v>Expired 2023</v>
      </c>
      <c r="P18" s="637"/>
      <c r="Q18" s="757" t="s">
        <v>1073</v>
      </c>
      <c r="R18" s="757" t="s">
        <v>1720</v>
      </c>
      <c r="S18" s="664"/>
      <c r="T18" s="664"/>
      <c r="U18" s="664"/>
      <c r="V18" s="664"/>
      <c r="W18" s="664"/>
      <c r="X18" s="664"/>
      <c r="Y18" s="664"/>
      <c r="Z18" s="664"/>
      <c r="AA18" s="664"/>
    </row>
    <row r="19" spans="1:27" ht="31.5" customHeight="1" x14ac:dyDescent="0.25">
      <c r="A19" s="1593"/>
      <c r="B19" s="1594"/>
      <c r="C19" s="673" t="str">
        <f>INDEX('Master sheet'!$A$1:$A$670,MATCH("A49",'Master sheet'!$AN$1:$AN$670,0))</f>
        <v>Glued Laminated Timber (Glulam) / Element5 /  / Ontario</v>
      </c>
      <c r="D19" s="17">
        <f>'USER INPUT SHEET'!$D$39</f>
        <v>0</v>
      </c>
      <c r="E19" s="18" t="str">
        <f>'USER INPUT SHEET'!$F$39</f>
        <v>m3</v>
      </c>
      <c r="F19" s="4">
        <v>1</v>
      </c>
      <c r="G19" s="674"/>
      <c r="H19" s="9"/>
      <c r="I19" s="95">
        <f t="shared" si="7"/>
        <v>0</v>
      </c>
      <c r="J19" s="96" t="str">
        <f t="shared" si="6"/>
        <v/>
      </c>
      <c r="K19" s="407">
        <f>$D19*$F19*VLOOKUP($C19,'Master sheet'!$A:$AL,13,FALSE)</f>
        <v>0</v>
      </c>
      <c r="L19" s="97">
        <f>$D19*$F19*VLOOKUP($C19,'Master sheet'!$A:$AL,27,FALSE)</f>
        <v>0</v>
      </c>
      <c r="M19" s="1552"/>
      <c r="N19" s="1552"/>
      <c r="O19" s="25" t="str">
        <f>_xlfn.IFNA(VLOOKUP($C19,'Master sheet'!$A:$AR,44,FALSE),"")&amp;""</f>
        <v/>
      </c>
      <c r="P19" s="637"/>
      <c r="Q19" s="757" t="s">
        <v>1073</v>
      </c>
      <c r="R19" s="757" t="s">
        <v>1720</v>
      </c>
      <c r="S19" s="664"/>
      <c r="T19" s="664"/>
      <c r="U19" s="664"/>
      <c r="V19" s="664"/>
      <c r="W19" s="664"/>
      <c r="X19" s="664"/>
      <c r="Y19" s="664"/>
      <c r="Z19" s="664"/>
      <c r="AA19" s="664"/>
    </row>
    <row r="20" spans="1:27" ht="31.5" customHeight="1" x14ac:dyDescent="0.25">
      <c r="A20" s="1593"/>
      <c r="B20" s="1594"/>
      <c r="C20" s="673" t="str">
        <f>INDEX('Master sheet'!$A$1:$A$670,MATCH("A46",'Master sheet'!$AN$1:$AN$670,0))</f>
        <v>Glued Laminated Timber (Glulam) / Kalesnikoff Lumber Co. /  / BC</v>
      </c>
      <c r="D20" s="17">
        <f>'USER INPUT SHEET'!$D$39</f>
        <v>0</v>
      </c>
      <c r="E20" s="18" t="str">
        <f>'USER INPUT SHEET'!$F$39</f>
        <v>m3</v>
      </c>
      <c r="F20" s="4">
        <v>1</v>
      </c>
      <c r="G20" s="674"/>
      <c r="H20" s="9"/>
      <c r="I20" s="95">
        <f t="shared" si="7"/>
        <v>0</v>
      </c>
      <c r="J20" s="96" t="str">
        <f t="shared" si="6"/>
        <v/>
      </c>
      <c r="K20" s="407">
        <f>$D20*$F20*VLOOKUP($C20,'Master sheet'!$A:$AL,13,FALSE)</f>
        <v>0</v>
      </c>
      <c r="L20" s="97">
        <f>$D20*$F20*VLOOKUP($C20,'Master sheet'!$A:$AL,27,FALSE)</f>
        <v>0</v>
      </c>
      <c r="M20" s="1552"/>
      <c r="N20" s="1552"/>
      <c r="O20" s="25" t="str">
        <f>_xlfn.IFNA(VLOOKUP($C20,'Master sheet'!$A:$AR,44,FALSE),"")&amp;""</f>
        <v/>
      </c>
      <c r="P20" s="637"/>
      <c r="Q20" s="757" t="s">
        <v>1073</v>
      </c>
      <c r="R20" s="757" t="s">
        <v>1720</v>
      </c>
      <c r="S20" s="664"/>
      <c r="T20" s="664"/>
      <c r="U20" s="664"/>
      <c r="V20" s="664"/>
      <c r="W20" s="664"/>
      <c r="X20" s="664"/>
      <c r="Y20" s="664"/>
      <c r="Z20" s="664"/>
      <c r="AA20" s="664"/>
    </row>
    <row r="21" spans="1:27" ht="31.5" customHeight="1" x14ac:dyDescent="0.25">
      <c r="A21" s="1593"/>
      <c r="B21" s="1594"/>
      <c r="C21" s="673" t="str">
        <f>INDEX('Master sheet'!$A$1:$A$670,MATCH("A45",'Master sheet'!$AN$1:$AN$670,0))</f>
        <v>Glued Laminated Timber (Glulam) / Vaagen Timbers /  / Colville, WA</v>
      </c>
      <c r="D21" s="17">
        <f>'USER INPUT SHEET'!$D$39</f>
        <v>0</v>
      </c>
      <c r="E21" s="18" t="str">
        <f>'USER INPUT SHEET'!$F$39</f>
        <v>m3</v>
      </c>
      <c r="F21" s="4">
        <v>1</v>
      </c>
      <c r="G21" s="674"/>
      <c r="H21" s="9"/>
      <c r="I21" s="95">
        <f t="shared" si="7"/>
        <v>0</v>
      </c>
      <c r="J21" s="96" t="str">
        <f t="shared" si="6"/>
        <v/>
      </c>
      <c r="K21" s="407">
        <f>$D21*$F21*VLOOKUP($C21,'Master sheet'!$A:$AL,13,FALSE)</f>
        <v>0</v>
      </c>
      <c r="L21" s="97">
        <f>$D21*$F21*VLOOKUP($C21,'Master sheet'!$A:$AL,27,FALSE)</f>
        <v>0</v>
      </c>
      <c r="M21" s="1552"/>
      <c r="N21" s="1552"/>
      <c r="O21" s="25" t="str">
        <f>_xlfn.IFNA(VLOOKUP($C21,'Master sheet'!$A:$AR,44,FALSE),"")&amp;""</f>
        <v/>
      </c>
      <c r="P21" s="637"/>
      <c r="Q21" s="757" t="s">
        <v>1073</v>
      </c>
      <c r="R21" s="757" t="s">
        <v>1720</v>
      </c>
      <c r="S21" s="664"/>
      <c r="T21" s="664"/>
      <c r="U21" s="664"/>
      <c r="V21" s="664"/>
      <c r="W21" s="664"/>
      <c r="X21" s="664"/>
      <c r="Y21" s="664"/>
      <c r="Z21" s="664"/>
      <c r="AA21" s="664"/>
    </row>
    <row r="22" spans="1:27" ht="31.5" customHeight="1" x14ac:dyDescent="0.25">
      <c r="A22" s="1593"/>
      <c r="B22" s="1594"/>
      <c r="C22" s="673" t="str">
        <f>INDEX('Master sheet'!$A$1:$A$670,MATCH("A48",'Master sheet'!$AN$1:$AN$670,0))</f>
        <v>Glued Laminated Timber (Glulam) / Western Archrib /  / Alberta</v>
      </c>
      <c r="D22" s="17">
        <f>'USER INPUT SHEET'!$D$39</f>
        <v>0</v>
      </c>
      <c r="E22" s="18" t="str">
        <f>'USER INPUT SHEET'!$F$39</f>
        <v>m3</v>
      </c>
      <c r="F22" s="4">
        <v>1</v>
      </c>
      <c r="G22" s="674"/>
      <c r="H22" s="9"/>
      <c r="I22" s="95">
        <f t="shared" si="7"/>
        <v>0</v>
      </c>
      <c r="J22" s="96" t="str">
        <f t="shared" si="6"/>
        <v/>
      </c>
      <c r="K22" s="407">
        <f>$D22*$F22*VLOOKUP($C22,'Master sheet'!$A:$AL,13,FALSE)</f>
        <v>0</v>
      </c>
      <c r="L22" s="97">
        <f>$D22*$F22*VLOOKUP($C22,'Master sheet'!$A:$AL,27,FALSE)</f>
        <v>0</v>
      </c>
      <c r="M22" s="1552"/>
      <c r="N22" s="1552"/>
      <c r="O22" s="25" t="str">
        <f>_xlfn.IFNA(VLOOKUP($C22,'Master sheet'!$A:$AR,44,FALSE),"")&amp;""</f>
        <v/>
      </c>
      <c r="P22" s="637"/>
      <c r="Q22" s="757" t="s">
        <v>1073</v>
      </c>
      <c r="R22" s="757" t="s">
        <v>1720</v>
      </c>
      <c r="S22" s="664"/>
      <c r="T22" s="664"/>
      <c r="U22" s="664"/>
      <c r="V22" s="664"/>
      <c r="W22" s="664"/>
      <c r="X22" s="664"/>
      <c r="Y22" s="664"/>
      <c r="Z22" s="664"/>
      <c r="AA22" s="664"/>
    </row>
    <row r="23" spans="1:27" ht="31.5" customHeight="1" x14ac:dyDescent="0.25">
      <c r="A23" s="1593"/>
      <c r="B23" s="1594"/>
      <c r="C23" s="673" t="str">
        <f>INDEX('Master sheet'!$A$1:$A$670,MATCH("A47",'Master sheet'!$AN$1:$AN$670,0))</f>
        <v>Glued Laminated Timber (Glulam) / Western Archrib /  / Manitoba</v>
      </c>
      <c r="D23" s="17">
        <f>'USER INPUT SHEET'!$D$39</f>
        <v>0</v>
      </c>
      <c r="E23" s="18" t="str">
        <f>'USER INPUT SHEET'!$F$39</f>
        <v>m3</v>
      </c>
      <c r="F23" s="4">
        <v>1</v>
      </c>
      <c r="G23" s="674"/>
      <c r="H23" s="9"/>
      <c r="I23" s="95">
        <f t="shared" si="7"/>
        <v>0</v>
      </c>
      <c r="J23" s="96" t="str">
        <f t="shared" si="6"/>
        <v/>
      </c>
      <c r="K23" s="407">
        <f>$D23*$F23*VLOOKUP($C23,'Master sheet'!$A:$AL,13,FALSE)</f>
        <v>0</v>
      </c>
      <c r="L23" s="97">
        <f>$D23*$F23*VLOOKUP($C23,'Master sheet'!$A:$AL,27,FALSE)</f>
        <v>0</v>
      </c>
      <c r="M23" s="1552"/>
      <c r="N23" s="1552"/>
      <c r="O23" s="25" t="str">
        <f>_xlfn.IFNA(VLOOKUP($C23,'Master sheet'!$A:$AR,44,FALSE),"")&amp;""</f>
        <v/>
      </c>
      <c r="P23" s="655"/>
      <c r="Q23" s="757" t="s">
        <v>1073</v>
      </c>
      <c r="R23" s="757" t="s">
        <v>1720</v>
      </c>
      <c r="S23" s="638"/>
      <c r="T23" s="638"/>
      <c r="U23" s="638"/>
      <c r="V23" s="638"/>
      <c r="W23" s="638"/>
      <c r="X23" s="664"/>
      <c r="Y23" s="664"/>
      <c r="Z23" s="664"/>
      <c r="AA23" s="664"/>
    </row>
    <row r="24" spans="1:27" ht="31.5" customHeight="1" x14ac:dyDescent="0.25">
      <c r="A24" s="1593"/>
      <c r="B24" s="1594"/>
      <c r="C24" s="673" t="str">
        <f>INDEX('Master sheet'!$A$1:$A$670,MATCH("A63",'Master sheet'!$AN$1:$AN$670,0))</f>
        <v xml:space="preserve">Laminated veneer lumber (LVL)  / Boise Cascade / Versa-Lam / </v>
      </c>
      <c r="D24" s="17">
        <f>'USER INPUT SHEET'!$D$39</f>
        <v>0</v>
      </c>
      <c r="E24" s="18" t="str">
        <f>'USER INPUT SHEET'!$F$39</f>
        <v>m3</v>
      </c>
      <c r="F24" s="4">
        <v>1</v>
      </c>
      <c r="G24" s="674"/>
      <c r="H24" s="9"/>
      <c r="I24" s="95">
        <f t="shared" si="7"/>
        <v>0</v>
      </c>
      <c r="J24" s="96" t="str">
        <f t="shared" si="6"/>
        <v/>
      </c>
      <c r="K24" s="407">
        <f>$D24*$F24*VLOOKUP($C24,'Master sheet'!$A:$AL,13,FALSE)</f>
        <v>0</v>
      </c>
      <c r="L24" s="97">
        <f>$D24*$F24*VLOOKUP($C24,'Master sheet'!$A:$AL,27,FALSE)</f>
        <v>0</v>
      </c>
      <c r="M24" s="1552"/>
      <c r="N24" s="1552"/>
      <c r="O24" s="25" t="str">
        <f>_xlfn.IFNA(VLOOKUP($C24,'Master sheet'!$A:$AR,44,FALSE),"")&amp;""</f>
        <v/>
      </c>
      <c r="P24" s="655"/>
      <c r="Q24" s="757" t="s">
        <v>1073</v>
      </c>
      <c r="R24" s="757" t="s">
        <v>1720</v>
      </c>
      <c r="S24" s="638"/>
      <c r="T24" s="638"/>
      <c r="U24" s="638"/>
      <c r="V24" s="638"/>
      <c r="W24" s="638"/>
      <c r="X24" s="664"/>
      <c r="Y24" s="664"/>
      <c r="Z24" s="664"/>
      <c r="AA24" s="638"/>
    </row>
    <row r="25" spans="1:27" s="624" customFormat="1" ht="31.5" customHeight="1" x14ac:dyDescent="0.25">
      <c r="A25" s="1595"/>
      <c r="B25" s="1596"/>
      <c r="C25" s="673" t="str">
        <f>INDEX('Master sheet'!$A$1:$A$670,MATCH("A62",'Master sheet'!$AN$1:$AN$670,0))</f>
        <v xml:space="preserve">Laminated veneer lumber (LVL)  / RedBuilt / RedLam LVL / </v>
      </c>
      <c r="D25" s="17">
        <f>'USER INPUT SHEET'!$D$39</f>
        <v>0</v>
      </c>
      <c r="E25" s="18" t="str">
        <f>'USER INPUT SHEET'!$F$39</f>
        <v>m3</v>
      </c>
      <c r="F25" s="4">
        <v>1</v>
      </c>
      <c r="G25" s="674"/>
      <c r="H25" s="9"/>
      <c r="I25" s="95">
        <f t="shared" si="7"/>
        <v>0</v>
      </c>
      <c r="J25" s="96" t="str">
        <f t="shared" si="1"/>
        <v/>
      </c>
      <c r="K25" s="407">
        <f>$D25*$F25*VLOOKUP($C25,'Master sheet'!$A:$AL,13,FALSE)</f>
        <v>0</v>
      </c>
      <c r="L25" s="97">
        <f>$D25*$F25*VLOOKUP($C25,'Master sheet'!$A:$AL,27,FALSE)</f>
        <v>0</v>
      </c>
      <c r="M25" s="1552"/>
      <c r="N25" s="1552"/>
      <c r="O25" s="25" t="str">
        <f>_xlfn.IFNA(VLOOKUP($C25,'Master sheet'!$A:$AR,44,FALSE),"")&amp;""</f>
        <v/>
      </c>
      <c r="P25" s="655"/>
      <c r="Q25" s="728" t="s">
        <v>1073</v>
      </c>
      <c r="R25" s="757" t="s">
        <v>1720</v>
      </c>
      <c r="S25" s="638"/>
      <c r="T25" s="638"/>
      <c r="U25" s="638"/>
      <c r="V25" s="638"/>
      <c r="W25" s="638"/>
      <c r="X25" s="638"/>
      <c r="Y25" s="638"/>
      <c r="Z25" s="638"/>
      <c r="AA25" s="664"/>
    </row>
    <row r="26" spans="1:27" s="624" customFormat="1" ht="54.75" customHeight="1" x14ac:dyDescent="0.25">
      <c r="A26" s="1522" t="s">
        <v>63</v>
      </c>
      <c r="B26" s="1523"/>
      <c r="C26" s="1523"/>
      <c r="D26" s="649"/>
      <c r="E26" s="650"/>
      <c r="F26" s="321"/>
      <c r="G26" s="650"/>
      <c r="H26" s="650"/>
      <c r="I26" s="651"/>
      <c r="J26" s="651"/>
      <c r="K26" s="652"/>
      <c r="L26" s="653"/>
      <c r="M26" s="653"/>
      <c r="N26" s="653"/>
      <c r="O26" s="25" t="str">
        <f>_xlfn.IFNA(VLOOKUP($C26,'Master sheet'!$A:$AR,44,FALSE),"")&amp;""</f>
        <v/>
      </c>
      <c r="P26" s="663"/>
      <c r="Q26" s="728"/>
      <c r="R26" s="728"/>
      <c r="S26" s="638"/>
      <c r="T26" s="638"/>
      <c r="U26" s="638"/>
      <c r="V26" s="638"/>
      <c r="W26" s="638"/>
      <c r="X26" s="638"/>
      <c r="Y26" s="638"/>
      <c r="Z26" s="638"/>
      <c r="AA26" s="664"/>
    </row>
    <row r="27" spans="1:27" s="624" customFormat="1" ht="23.25" customHeight="1" x14ac:dyDescent="0.25">
      <c r="A27" s="766"/>
      <c r="B27" s="1524" t="s">
        <v>1074</v>
      </c>
      <c r="C27" s="1523"/>
      <c r="D27" s="640"/>
      <c r="E27" s="641"/>
      <c r="F27" s="325"/>
      <c r="G27" s="678"/>
      <c r="H27" s="679"/>
      <c r="I27" s="642"/>
      <c r="J27" s="643"/>
      <c r="K27" s="676"/>
      <c r="L27" s="677"/>
      <c r="M27" s="677"/>
      <c r="N27" s="677"/>
      <c r="O27" s="25" t="str">
        <f>_xlfn.IFNA(VLOOKUP($C27,'Master sheet'!$A:$AR,44,FALSE),"")&amp;""</f>
        <v/>
      </c>
      <c r="P27" s="637"/>
      <c r="Q27" s="728"/>
      <c r="R27" s="728"/>
      <c r="S27" s="638"/>
      <c r="T27" s="638"/>
      <c r="U27" s="638"/>
      <c r="V27" s="638"/>
      <c r="W27" s="638"/>
      <c r="X27" s="638"/>
      <c r="Y27" s="638"/>
      <c r="Z27" s="638"/>
      <c r="AA27" s="664"/>
    </row>
    <row r="28" spans="1:27" ht="31.2" customHeight="1" x14ac:dyDescent="0.25">
      <c r="A28" s="1589" t="s">
        <v>4930</v>
      </c>
      <c r="B28" s="1589"/>
      <c r="C28" s="669" t="str">
        <f>INDEX('Master sheet'!$A$1:$A$670,MATCH(199,'Master sheet'!$AN$1:$AN$670,0))</f>
        <v>Steel post / Generic /  / 3.5 x 0.216" (89 x 5.5 mm), Sched 40 STD</v>
      </c>
      <c r="D28" s="107"/>
      <c r="E28" s="767" t="s">
        <v>22</v>
      </c>
      <c r="F28" s="3">
        <v>1</v>
      </c>
      <c r="G28" s="670"/>
      <c r="H28" s="8"/>
      <c r="I28" s="92">
        <f t="shared" ref="I28:I37" si="8">K28-L28</f>
        <v>0</v>
      </c>
      <c r="J28" s="93" t="str">
        <f t="shared" ref="J28:J37" si="9">IF(H28=1,I28,"")</f>
        <v/>
      </c>
      <c r="K28" s="406">
        <f>$D28*$F28*VLOOKUP($C28,'Master sheet'!$A:$AL,13,FALSE)</f>
        <v>0</v>
      </c>
      <c r="L28" s="94">
        <f>$D28*$F28*VLOOKUP($C28,'Master sheet'!$A:$AL,27,FALSE)</f>
        <v>0</v>
      </c>
      <c r="M28" s="1562"/>
      <c r="N28" s="1562"/>
      <c r="O28" s="25" t="str">
        <f ca="1">_xlfn.IFNA(VLOOKUP($C28,'Master sheet'!$A:$AR,44,FALSE),"")&amp;""</f>
        <v>Expired 2021</v>
      </c>
      <c r="P28" s="672"/>
      <c r="Q28" s="757" t="s">
        <v>1073</v>
      </c>
      <c r="R28" s="757" t="s">
        <v>63</v>
      </c>
      <c r="S28" s="664"/>
      <c r="T28" s="664"/>
      <c r="U28" s="664"/>
      <c r="V28" s="664"/>
      <c r="W28" s="664"/>
      <c r="X28" s="664"/>
      <c r="Y28" s="664"/>
      <c r="Z28" s="664"/>
      <c r="AA28" s="664"/>
    </row>
    <row r="29" spans="1:27" ht="31.2" x14ac:dyDescent="0.25">
      <c r="A29" s="1589"/>
      <c r="B29" s="1589"/>
      <c r="C29" s="669" t="str">
        <f>INDEX('Master sheet'!$A$1:$A$670,MATCH("A106",'Master sheet'!$AN$1:$AN$670,0))</f>
        <v>Steel beam / W150x22 (W6x15) / American Institute of Steel Construction</v>
      </c>
      <c r="D29" s="107"/>
      <c r="E29" s="767" t="s">
        <v>22</v>
      </c>
      <c r="F29" s="3">
        <v>1</v>
      </c>
      <c r="G29" s="670"/>
      <c r="H29" s="8"/>
      <c r="I29" s="92">
        <f t="shared" si="8"/>
        <v>0</v>
      </c>
      <c r="J29" s="93" t="str">
        <f t="shared" si="9"/>
        <v/>
      </c>
      <c r="K29" s="406">
        <f>$D29*$F29*VLOOKUP($C29,'Master sheet'!$A:$AL,13,FALSE)</f>
        <v>0</v>
      </c>
      <c r="L29" s="94">
        <f>$D29*$F29*VLOOKUP($C29,'Master sheet'!$A:$AL,27,FALSE)</f>
        <v>0</v>
      </c>
      <c r="M29" s="1552"/>
      <c r="N29" s="1552"/>
      <c r="O29" s="25" t="str">
        <f>_xlfn.IFNA(VLOOKUP($C29,'Master sheet'!$A:$AR,44,FALSE),"")&amp;""</f>
        <v/>
      </c>
      <c r="P29" s="672"/>
      <c r="Q29" s="757" t="s">
        <v>1073</v>
      </c>
      <c r="R29" s="757" t="s">
        <v>63</v>
      </c>
      <c r="S29" s="664"/>
      <c r="T29" s="664"/>
      <c r="U29" s="664"/>
      <c r="V29" s="664"/>
      <c r="W29" s="664"/>
      <c r="X29" s="664"/>
      <c r="Y29" s="664"/>
      <c r="Z29" s="664"/>
      <c r="AA29" s="664"/>
    </row>
    <row r="30" spans="1:27" ht="31.2" x14ac:dyDescent="0.25">
      <c r="A30" s="1589"/>
      <c r="B30" s="1589"/>
      <c r="C30" s="669" t="str">
        <f>INDEX('Master sheet'!$A$1:$A$670,MATCH("A107",'Master sheet'!$AN$1:$AN$670,0))</f>
        <v>Steel beam / W200x22 (W8x15) / American Institute of Steel Construction</v>
      </c>
      <c r="D30" s="107"/>
      <c r="E30" s="767" t="s">
        <v>22</v>
      </c>
      <c r="F30" s="3">
        <v>1</v>
      </c>
      <c r="G30" s="670"/>
      <c r="H30" s="8"/>
      <c r="I30" s="92">
        <f t="shared" si="8"/>
        <v>0</v>
      </c>
      <c r="J30" s="93" t="str">
        <f t="shared" si="9"/>
        <v/>
      </c>
      <c r="K30" s="406">
        <f>$D30*$F30*VLOOKUP($C30,'Master sheet'!$A:$AL,13,FALSE)</f>
        <v>0</v>
      </c>
      <c r="L30" s="94">
        <f>$D30*$F30*VLOOKUP($C30,'Master sheet'!$A:$AL,27,FALSE)</f>
        <v>0</v>
      </c>
      <c r="M30" s="1552"/>
      <c r="N30" s="1552"/>
      <c r="O30" s="25" t="str">
        <f>_xlfn.IFNA(VLOOKUP($C30,'Master sheet'!$A:$AR,44,FALSE),"")&amp;""</f>
        <v/>
      </c>
      <c r="P30" s="672"/>
      <c r="Q30" s="757" t="s">
        <v>1073</v>
      </c>
      <c r="R30" s="757" t="s">
        <v>63</v>
      </c>
      <c r="S30" s="664"/>
      <c r="T30" s="664"/>
      <c r="U30" s="664"/>
      <c r="V30" s="664"/>
      <c r="W30" s="664"/>
      <c r="X30" s="664"/>
      <c r="Y30" s="664"/>
      <c r="Z30" s="664"/>
      <c r="AA30" s="664"/>
    </row>
    <row r="31" spans="1:27" ht="31.2" x14ac:dyDescent="0.25">
      <c r="A31" s="1589"/>
      <c r="B31" s="1589"/>
      <c r="C31" s="669" t="str">
        <f>INDEX('Master sheet'!$A$1:$A$670,MATCH("A108",'Master sheet'!$AN$1:$AN$670,0))</f>
        <v>Steel beam / W200x27 (W8x18) / American Institute of Steel Construction</v>
      </c>
      <c r="D31" s="107"/>
      <c r="E31" s="767" t="s">
        <v>22</v>
      </c>
      <c r="F31" s="3">
        <v>1</v>
      </c>
      <c r="G31" s="670"/>
      <c r="H31" s="8"/>
      <c r="I31" s="92">
        <f t="shared" si="8"/>
        <v>0</v>
      </c>
      <c r="J31" s="93" t="str">
        <f t="shared" si="9"/>
        <v/>
      </c>
      <c r="K31" s="406">
        <f>$D31*$F31*VLOOKUP($C31,'Master sheet'!$A:$AL,13,FALSE)</f>
        <v>0</v>
      </c>
      <c r="L31" s="94">
        <f>$D31*$F31*VLOOKUP($C31,'Master sheet'!$A:$AL,27,FALSE)</f>
        <v>0</v>
      </c>
      <c r="M31" s="1552"/>
      <c r="N31" s="1552"/>
      <c r="O31" s="25" t="str">
        <f>_xlfn.IFNA(VLOOKUP($C31,'Master sheet'!$A:$AR,44,FALSE),"")&amp;""</f>
        <v/>
      </c>
      <c r="P31" s="672"/>
      <c r="Q31" s="757" t="s">
        <v>1073</v>
      </c>
      <c r="R31" s="757" t="s">
        <v>63</v>
      </c>
      <c r="S31" s="664"/>
      <c r="T31" s="664"/>
      <c r="U31" s="664"/>
      <c r="V31" s="664"/>
      <c r="W31" s="664"/>
      <c r="X31" s="664"/>
      <c r="Y31" s="664"/>
      <c r="Z31" s="664"/>
      <c r="AA31" s="664"/>
    </row>
    <row r="32" spans="1:27" ht="31.2" x14ac:dyDescent="0.25">
      <c r="A32" s="1589"/>
      <c r="B32" s="1589"/>
      <c r="C32" s="669" t="str">
        <f>INDEX('Master sheet'!$A$1:$A$670,MATCH("A109",'Master sheet'!$AN$1:$AN$670,0))</f>
        <v>Steel beam / W200x31 (W8x21) / American Institute of Steel Construction</v>
      </c>
      <c r="D32" s="107"/>
      <c r="E32" s="767" t="s">
        <v>22</v>
      </c>
      <c r="F32" s="3">
        <v>1</v>
      </c>
      <c r="G32" s="670"/>
      <c r="H32" s="8"/>
      <c r="I32" s="92">
        <f t="shared" si="8"/>
        <v>0</v>
      </c>
      <c r="J32" s="93" t="str">
        <f t="shared" si="9"/>
        <v/>
      </c>
      <c r="K32" s="406">
        <f>$D32*$F32*VLOOKUP($C32,'Master sheet'!$A:$AL,13,FALSE)</f>
        <v>0</v>
      </c>
      <c r="L32" s="94">
        <f>$D32*$F32*VLOOKUP($C32,'Master sheet'!$A:$AL,27,FALSE)</f>
        <v>0</v>
      </c>
      <c r="M32" s="1552"/>
      <c r="N32" s="1552"/>
      <c r="O32" s="25" t="str">
        <f>_xlfn.IFNA(VLOOKUP($C32,'Master sheet'!$A:$AR,44,FALSE),"")&amp;""</f>
        <v/>
      </c>
      <c r="P32" s="672"/>
      <c r="Q32" s="757" t="s">
        <v>1073</v>
      </c>
      <c r="R32" s="757" t="s">
        <v>63</v>
      </c>
      <c r="S32" s="664"/>
      <c r="T32" s="664"/>
      <c r="U32" s="664"/>
      <c r="V32" s="664"/>
      <c r="W32" s="664"/>
      <c r="X32" s="664"/>
      <c r="Y32" s="664"/>
      <c r="Z32" s="664"/>
      <c r="AA32" s="638"/>
    </row>
    <row r="33" spans="1:27" ht="34.950000000000003" customHeight="1" x14ac:dyDescent="0.25">
      <c r="A33" s="1589"/>
      <c r="B33" s="1589"/>
      <c r="C33" s="669" t="str">
        <f>INDEX('Master sheet'!$A$1:$A$670,MATCH("A110",'Master sheet'!$AN$1:$AN$670,0))</f>
        <v>Steel beam / W250x25 (W10x17) / American Institute of Steel Construction</v>
      </c>
      <c r="D33" s="107"/>
      <c r="E33" s="767" t="s">
        <v>22</v>
      </c>
      <c r="F33" s="3">
        <v>1</v>
      </c>
      <c r="G33" s="670"/>
      <c r="H33" s="8"/>
      <c r="I33" s="92">
        <f t="shared" si="8"/>
        <v>0</v>
      </c>
      <c r="J33" s="93" t="str">
        <f t="shared" si="9"/>
        <v/>
      </c>
      <c r="K33" s="406">
        <f>$D33*$F33*VLOOKUP($C33,'Master sheet'!$A:$AL,13,FALSE)</f>
        <v>0</v>
      </c>
      <c r="L33" s="94">
        <f>$D33*$F33*VLOOKUP($C33,'Master sheet'!$A:$AL,27,FALSE)</f>
        <v>0</v>
      </c>
      <c r="M33" s="1552"/>
      <c r="N33" s="1552"/>
      <c r="O33" s="25" t="str">
        <f>_xlfn.IFNA(VLOOKUP($C33,'Master sheet'!$A:$AR,44,FALSE),"")&amp;""</f>
        <v/>
      </c>
      <c r="P33" s="672"/>
      <c r="Q33" s="757" t="s">
        <v>1073</v>
      </c>
      <c r="R33" s="757" t="s">
        <v>63</v>
      </c>
      <c r="S33" s="664"/>
      <c r="T33" s="664"/>
      <c r="U33" s="664"/>
      <c r="V33" s="664"/>
      <c r="W33" s="664"/>
      <c r="X33" s="664"/>
      <c r="Y33" s="664"/>
      <c r="Z33" s="664"/>
      <c r="AA33" s="638"/>
    </row>
    <row r="34" spans="1:27" ht="31.2" customHeight="1" x14ac:dyDescent="0.25">
      <c r="A34" s="1589"/>
      <c r="B34" s="1589"/>
      <c r="C34" s="669" t="str">
        <f>INDEX('Master sheet'!$A$1:$A$670,MATCH("A111",'Master sheet'!$AN$1:$AN$670,0))</f>
        <v>Steel beam / W250x33 (W10x22) / American Institute of Steel Construction</v>
      </c>
      <c r="D34" s="107"/>
      <c r="E34" s="767" t="s">
        <v>22</v>
      </c>
      <c r="F34" s="3">
        <v>1</v>
      </c>
      <c r="G34" s="670"/>
      <c r="H34" s="8"/>
      <c r="I34" s="92">
        <f t="shared" si="8"/>
        <v>0</v>
      </c>
      <c r="J34" s="93" t="str">
        <f t="shared" si="9"/>
        <v/>
      </c>
      <c r="K34" s="406">
        <f>$D34*$F34*VLOOKUP($C34,'Master sheet'!$A:$AL,13,FALSE)</f>
        <v>0</v>
      </c>
      <c r="L34" s="94">
        <f>$D34*$F34*VLOOKUP($C34,'Master sheet'!$A:$AL,27,FALSE)</f>
        <v>0</v>
      </c>
      <c r="M34" s="1552"/>
      <c r="N34" s="1552"/>
      <c r="O34" s="25" t="str">
        <f>_xlfn.IFNA(VLOOKUP($C34,'Master sheet'!$A:$AR,44,FALSE),"")&amp;""</f>
        <v/>
      </c>
      <c r="P34" s="672"/>
      <c r="Q34" s="757" t="s">
        <v>1073</v>
      </c>
      <c r="R34" s="757" t="s">
        <v>63</v>
      </c>
      <c r="S34" s="664"/>
      <c r="T34" s="664"/>
      <c r="U34" s="664"/>
      <c r="V34" s="664"/>
      <c r="W34" s="664"/>
      <c r="X34" s="664"/>
      <c r="Y34" s="664"/>
      <c r="Z34" s="664"/>
      <c r="AA34" s="664"/>
    </row>
    <row r="35" spans="1:27" ht="31.2" x14ac:dyDescent="0.25">
      <c r="A35" s="1589"/>
      <c r="B35" s="1589"/>
      <c r="C35" s="669" t="str">
        <f>INDEX('Master sheet'!$A$1:$A$670,MATCH("A112",'Master sheet'!$AN$1:$AN$670,0))</f>
        <v>Steel beam / W250x39 (W10x26) / American Institute of Steel Construction</v>
      </c>
      <c r="D35" s="107"/>
      <c r="E35" s="767" t="s">
        <v>22</v>
      </c>
      <c r="F35" s="3">
        <v>1</v>
      </c>
      <c r="G35" s="670"/>
      <c r="H35" s="8"/>
      <c r="I35" s="92">
        <f t="shared" si="8"/>
        <v>0</v>
      </c>
      <c r="J35" s="93" t="str">
        <f t="shared" si="9"/>
        <v/>
      </c>
      <c r="K35" s="406">
        <f>$D35*$F35*VLOOKUP($C35,'Master sheet'!$A:$AL,13,FALSE)</f>
        <v>0</v>
      </c>
      <c r="L35" s="94">
        <f>$D35*$F35*VLOOKUP($C35,'Master sheet'!$A:$AL,27,FALSE)</f>
        <v>0</v>
      </c>
      <c r="M35" s="1552"/>
      <c r="N35" s="1552"/>
      <c r="O35" s="25" t="str">
        <f>_xlfn.IFNA(VLOOKUP($C35,'Master sheet'!$A:$AR,44,FALSE),"")&amp;""</f>
        <v/>
      </c>
      <c r="P35" s="672"/>
      <c r="Q35" s="757" t="s">
        <v>1073</v>
      </c>
      <c r="R35" s="757" t="s">
        <v>63</v>
      </c>
      <c r="S35" s="664"/>
      <c r="T35" s="664"/>
      <c r="U35" s="664"/>
      <c r="V35" s="664"/>
      <c r="W35" s="664"/>
      <c r="X35" s="664"/>
      <c r="Y35" s="664"/>
      <c r="Z35" s="664"/>
      <c r="AA35" s="664"/>
    </row>
    <row r="36" spans="1:27" ht="31.2" x14ac:dyDescent="0.25">
      <c r="A36" s="1589"/>
      <c r="B36" s="1589"/>
      <c r="C36" s="669" t="str">
        <f>INDEX('Master sheet'!$A$1:$A$670,MATCH("A113",'Master sheet'!$AN$1:$AN$670,0))</f>
        <v>Steel beam / W310x33 (W12x22) / American Institute of Steel Construction</v>
      </c>
      <c r="D36" s="107"/>
      <c r="E36" s="767" t="s">
        <v>22</v>
      </c>
      <c r="F36" s="3">
        <v>1</v>
      </c>
      <c r="G36" s="670"/>
      <c r="H36" s="8"/>
      <c r="I36" s="92">
        <f t="shared" si="8"/>
        <v>0</v>
      </c>
      <c r="J36" s="93" t="str">
        <f t="shared" si="9"/>
        <v/>
      </c>
      <c r="K36" s="406">
        <f>$D36*$F36*VLOOKUP($C36,'Master sheet'!$A:$AL,13,FALSE)</f>
        <v>0</v>
      </c>
      <c r="L36" s="94">
        <f>$D36*$F36*VLOOKUP($C36,'Master sheet'!$A:$AL,27,FALSE)</f>
        <v>0</v>
      </c>
      <c r="M36" s="1552"/>
      <c r="N36" s="1552"/>
      <c r="O36" s="25" t="str">
        <f>_xlfn.IFNA(VLOOKUP($C36,'Master sheet'!$A:$AR,44,FALSE),"")&amp;""</f>
        <v/>
      </c>
      <c r="P36" s="672"/>
      <c r="Q36" s="757" t="s">
        <v>1073</v>
      </c>
      <c r="R36" s="757" t="s">
        <v>63</v>
      </c>
      <c r="S36" s="664"/>
      <c r="T36" s="664"/>
      <c r="U36" s="664"/>
      <c r="V36" s="664"/>
      <c r="W36" s="664"/>
      <c r="X36" s="664"/>
      <c r="Y36" s="664"/>
      <c r="Z36" s="664"/>
      <c r="AA36" s="664"/>
    </row>
    <row r="37" spans="1:27" ht="31.2" x14ac:dyDescent="0.25">
      <c r="A37" s="1590"/>
      <c r="B37" s="1590"/>
      <c r="C37" s="669" t="str">
        <f>INDEX('Master sheet'!$A$1:$A$670,MATCH("A114",'Master sheet'!$AN$1:$AN$670,0))</f>
        <v>Steel beam / W310x39 (W12x26) / American Institute of Steel Construction</v>
      </c>
      <c r="D37" s="107"/>
      <c r="E37" s="767" t="s">
        <v>22</v>
      </c>
      <c r="F37" s="3">
        <v>1</v>
      </c>
      <c r="G37" s="670"/>
      <c r="H37" s="8"/>
      <c r="I37" s="92">
        <f t="shared" si="8"/>
        <v>0</v>
      </c>
      <c r="J37" s="93" t="str">
        <f t="shared" si="9"/>
        <v/>
      </c>
      <c r="K37" s="406">
        <f>$D37*$F37*VLOOKUP($C37,'Master sheet'!$A:$AL,13,FALSE)</f>
        <v>0</v>
      </c>
      <c r="L37" s="94">
        <f>$D37*$F37*VLOOKUP($C37,'Master sheet'!$A:$AL,27,FALSE)</f>
        <v>0</v>
      </c>
      <c r="M37" s="1552"/>
      <c r="N37" s="1552"/>
      <c r="O37" s="25" t="str">
        <f>_xlfn.IFNA(VLOOKUP($C37,'Master sheet'!$A:$AR,44,FALSE),"")&amp;""</f>
        <v/>
      </c>
      <c r="P37" s="672"/>
      <c r="Q37" s="757" t="s">
        <v>1073</v>
      </c>
      <c r="R37" s="757" t="s">
        <v>63</v>
      </c>
      <c r="S37" s="664"/>
      <c r="T37" s="664"/>
      <c r="U37" s="664"/>
      <c r="V37" s="664"/>
      <c r="W37" s="664"/>
      <c r="X37" s="664"/>
      <c r="Y37" s="664"/>
      <c r="Z37" s="664"/>
      <c r="AA37" s="664"/>
    </row>
    <row r="38" spans="1:27" ht="15.75" customHeight="1" x14ac:dyDescent="0.3">
      <c r="A38" s="768"/>
      <c r="B38" s="768"/>
      <c r="C38" s="700"/>
      <c r="D38" s="701"/>
      <c r="E38" s="700"/>
      <c r="F38" s="328"/>
      <c r="G38" s="700"/>
      <c r="H38" s="700"/>
      <c r="I38" s="703"/>
      <c r="J38" s="704"/>
      <c r="K38" s="704"/>
      <c r="L38" s="769"/>
      <c r="M38" s="769"/>
      <c r="N38" s="769"/>
      <c r="O38" s="664"/>
      <c r="P38" s="637"/>
      <c r="AA38" s="664"/>
    </row>
    <row r="39" spans="1:27" ht="15.75" customHeight="1" x14ac:dyDescent="0.3">
      <c r="A39" s="768"/>
      <c r="B39" s="706" t="s">
        <v>4901</v>
      </c>
      <c r="C39" s="700"/>
      <c r="D39" s="701"/>
      <c r="E39" s="700"/>
      <c r="F39" s="328"/>
      <c r="G39" s="700"/>
      <c r="H39" s="700"/>
      <c r="I39" s="703"/>
      <c r="J39" s="704"/>
      <c r="K39" s="704"/>
      <c r="L39" s="769"/>
      <c r="M39" s="769"/>
      <c r="N39" s="769"/>
      <c r="O39" s="664"/>
      <c r="P39" s="637"/>
      <c r="AA39" s="664"/>
    </row>
    <row r="40" spans="1:27" ht="15.75" customHeight="1" x14ac:dyDescent="0.3">
      <c r="A40" s="768"/>
      <c r="B40" s="706" t="s">
        <v>4900</v>
      </c>
      <c r="C40" s="700"/>
      <c r="D40" s="701"/>
      <c r="E40" s="700"/>
      <c r="F40" s="328"/>
      <c r="G40" s="700"/>
      <c r="H40" s="700"/>
      <c r="I40" s="703"/>
      <c r="J40" s="704"/>
      <c r="K40" s="704"/>
      <c r="L40" s="769"/>
      <c r="M40" s="769"/>
      <c r="N40" s="769"/>
      <c r="O40" s="664"/>
      <c r="P40" s="637"/>
      <c r="AA40" s="664"/>
    </row>
    <row r="41" spans="1:27" ht="15.75" customHeight="1" x14ac:dyDescent="0.3">
      <c r="A41" s="768"/>
      <c r="B41" s="768"/>
      <c r="C41" s="700"/>
      <c r="D41" s="701"/>
      <c r="E41" s="700"/>
      <c r="F41" s="328"/>
      <c r="G41" s="700"/>
      <c r="H41" s="700"/>
      <c r="I41" s="703"/>
      <c r="J41" s="704"/>
      <c r="K41" s="704"/>
      <c r="L41" s="769"/>
      <c r="M41" s="769"/>
      <c r="N41" s="769"/>
      <c r="O41" s="664"/>
      <c r="P41" s="637"/>
      <c r="AA41" s="664"/>
    </row>
    <row r="42" spans="1:27" ht="15.75" customHeight="1" x14ac:dyDescent="0.3">
      <c r="A42" s="768"/>
      <c r="B42" s="768"/>
      <c r="C42" s="700"/>
      <c r="D42" s="701"/>
      <c r="E42" s="700"/>
      <c r="F42" s="328"/>
      <c r="G42" s="700"/>
      <c r="H42" s="700"/>
      <c r="I42" s="703"/>
      <c r="J42" s="704"/>
      <c r="K42" s="704"/>
      <c r="L42" s="769"/>
      <c r="M42" s="769"/>
      <c r="N42" s="769"/>
      <c r="O42" s="664"/>
      <c r="P42" s="685"/>
      <c r="AA42" s="664"/>
    </row>
    <row r="43" spans="1:27" ht="15.75" customHeight="1" x14ac:dyDescent="0.3">
      <c r="A43" s="768"/>
      <c r="B43" s="768"/>
      <c r="C43" s="700"/>
      <c r="D43" s="701"/>
      <c r="E43" s="700"/>
      <c r="F43" s="328"/>
      <c r="G43" s="700"/>
      <c r="H43" s="700"/>
      <c r="I43" s="703"/>
      <c r="J43" s="704"/>
      <c r="K43" s="704"/>
      <c r="L43" s="769"/>
      <c r="M43" s="769"/>
      <c r="N43" s="769"/>
      <c r="O43" s="664"/>
      <c r="P43" s="685"/>
      <c r="AA43" s="638"/>
    </row>
    <row r="44" spans="1:27" ht="15.75" customHeight="1" x14ac:dyDescent="0.3">
      <c r="A44" s="768"/>
      <c r="B44" s="768"/>
      <c r="C44" s="700"/>
      <c r="D44" s="701"/>
      <c r="E44" s="700"/>
      <c r="F44" s="328"/>
      <c r="G44" s="700"/>
      <c r="H44" s="700"/>
      <c r="I44" s="703"/>
      <c r="J44" s="704"/>
      <c r="K44" s="704"/>
      <c r="L44" s="769"/>
      <c r="M44" s="769"/>
      <c r="N44" s="769"/>
      <c r="O44" s="664"/>
      <c r="P44" s="685"/>
      <c r="AA44" s="664"/>
    </row>
    <row r="45" spans="1:27" ht="15.75" customHeight="1" x14ac:dyDescent="0.3">
      <c r="A45" s="768"/>
      <c r="B45" s="768"/>
      <c r="C45" s="700"/>
      <c r="D45" s="701"/>
      <c r="E45" s="700"/>
      <c r="F45" s="328"/>
      <c r="G45" s="700"/>
      <c r="H45" s="700"/>
      <c r="I45" s="703"/>
      <c r="J45" s="704"/>
      <c r="K45" s="704"/>
      <c r="L45" s="769"/>
      <c r="M45" s="769"/>
      <c r="N45" s="769"/>
      <c r="O45" s="664"/>
      <c r="P45" s="685"/>
      <c r="AA45" s="664"/>
    </row>
    <row r="46" spans="1:27" ht="15.75" customHeight="1" x14ac:dyDescent="0.3">
      <c r="A46" s="768"/>
      <c r="B46" s="768"/>
      <c r="C46" s="700"/>
      <c r="D46" s="701"/>
      <c r="E46" s="700"/>
      <c r="F46" s="328"/>
      <c r="G46" s="700"/>
      <c r="H46" s="700"/>
      <c r="I46" s="703"/>
      <c r="J46" s="704"/>
      <c r="K46" s="704"/>
      <c r="L46" s="769"/>
      <c r="M46" s="769"/>
      <c r="N46" s="769"/>
      <c r="O46" s="664"/>
      <c r="P46" s="637"/>
      <c r="AA46" s="664"/>
    </row>
    <row r="47" spans="1:27" ht="15.75" customHeight="1" x14ac:dyDescent="0.3">
      <c r="A47" s="768"/>
      <c r="B47" s="768"/>
      <c r="C47" s="700"/>
      <c r="D47" s="701"/>
      <c r="E47" s="700"/>
      <c r="F47" s="328"/>
      <c r="G47" s="700"/>
      <c r="H47" s="700"/>
      <c r="I47" s="703"/>
      <c r="J47" s="704"/>
      <c r="K47" s="704"/>
      <c r="L47" s="769"/>
      <c r="M47" s="769"/>
      <c r="N47" s="769"/>
      <c r="O47" s="664"/>
      <c r="P47" s="637"/>
      <c r="AA47" s="638"/>
    </row>
    <row r="48" spans="1:27" ht="15.75" customHeight="1" x14ac:dyDescent="0.3">
      <c r="A48" s="768"/>
      <c r="B48" s="768"/>
      <c r="C48" s="700"/>
      <c r="D48" s="701"/>
      <c r="E48" s="700"/>
      <c r="F48" s="328"/>
      <c r="G48" s="700"/>
      <c r="H48" s="700"/>
      <c r="I48" s="703"/>
      <c r="J48" s="704"/>
      <c r="K48" s="704"/>
      <c r="L48" s="769"/>
      <c r="M48" s="769"/>
      <c r="N48" s="769"/>
      <c r="O48" s="664"/>
      <c r="P48" s="637"/>
      <c r="AA48" s="664"/>
    </row>
    <row r="49" spans="1:27" ht="15.75" customHeight="1" x14ac:dyDescent="0.3">
      <c r="A49" s="768"/>
      <c r="B49" s="768"/>
      <c r="C49" s="700"/>
      <c r="D49" s="701"/>
      <c r="E49" s="700"/>
      <c r="F49" s="328"/>
      <c r="G49" s="700"/>
      <c r="H49" s="700"/>
      <c r="I49" s="703"/>
      <c r="J49" s="704"/>
      <c r="K49" s="704"/>
      <c r="L49" s="769"/>
      <c r="M49" s="769"/>
      <c r="N49" s="769"/>
      <c r="O49" s="664"/>
      <c r="P49" s="637"/>
      <c r="AA49" s="664"/>
    </row>
    <row r="50" spans="1:27" ht="15.75" customHeight="1" x14ac:dyDescent="0.3">
      <c r="A50" s="768"/>
      <c r="B50" s="768"/>
      <c r="C50" s="700"/>
      <c r="D50" s="701"/>
      <c r="E50" s="700"/>
      <c r="F50" s="328"/>
      <c r="G50" s="700"/>
      <c r="H50" s="700"/>
      <c r="I50" s="703"/>
      <c r="J50" s="704"/>
      <c r="K50" s="704"/>
      <c r="L50" s="769"/>
      <c r="M50" s="769"/>
      <c r="N50" s="769"/>
      <c r="O50" s="664"/>
      <c r="P50" s="685"/>
      <c r="AA50" s="664"/>
    </row>
    <row r="51" spans="1:27" ht="15.75" customHeight="1" x14ac:dyDescent="0.3">
      <c r="A51" s="768"/>
      <c r="B51" s="768"/>
      <c r="C51" s="700"/>
      <c r="D51" s="701"/>
      <c r="E51" s="700"/>
      <c r="F51" s="328"/>
      <c r="G51" s="700"/>
      <c r="H51" s="700"/>
      <c r="I51" s="703"/>
      <c r="J51" s="704"/>
      <c r="K51" s="704"/>
      <c r="L51" s="769"/>
      <c r="M51" s="769"/>
      <c r="N51" s="769"/>
      <c r="O51" s="664"/>
      <c r="P51" s="637"/>
      <c r="AA51" s="664"/>
    </row>
    <row r="52" spans="1:27" ht="15.75" customHeight="1" x14ac:dyDescent="0.3">
      <c r="A52" s="768"/>
      <c r="B52" s="768"/>
      <c r="C52" s="700"/>
      <c r="D52" s="701"/>
      <c r="E52" s="700"/>
      <c r="F52" s="328"/>
      <c r="G52" s="700"/>
      <c r="H52" s="700"/>
      <c r="I52" s="703"/>
      <c r="J52" s="704"/>
      <c r="K52" s="704"/>
      <c r="L52" s="769"/>
      <c r="M52" s="769"/>
      <c r="N52" s="769"/>
      <c r="O52" s="664"/>
      <c r="P52" s="637"/>
      <c r="AA52" s="664"/>
    </row>
    <row r="53" spans="1:27" ht="15.75" customHeight="1" x14ac:dyDescent="0.3">
      <c r="A53" s="768"/>
      <c r="B53" s="768"/>
      <c r="C53" s="700"/>
      <c r="D53" s="701"/>
      <c r="E53" s="700"/>
      <c r="F53" s="328"/>
      <c r="G53" s="700"/>
      <c r="H53" s="700"/>
      <c r="I53" s="703"/>
      <c r="J53" s="704"/>
      <c r="K53" s="704"/>
      <c r="L53" s="769"/>
      <c r="M53" s="769"/>
      <c r="N53" s="769"/>
      <c r="O53" s="664"/>
      <c r="P53" s="685"/>
      <c r="AA53" s="664"/>
    </row>
    <row r="54" spans="1:27" ht="15.75" customHeight="1" x14ac:dyDescent="0.3">
      <c r="A54" s="768"/>
      <c r="B54" s="768"/>
      <c r="C54" s="700"/>
      <c r="D54" s="701"/>
      <c r="E54" s="700"/>
      <c r="F54" s="328"/>
      <c r="G54" s="700"/>
      <c r="H54" s="700"/>
      <c r="I54" s="703"/>
      <c r="J54" s="704"/>
      <c r="K54" s="704"/>
      <c r="L54" s="769"/>
      <c r="M54" s="769"/>
      <c r="N54" s="769"/>
      <c r="O54" s="664"/>
      <c r="P54" s="685"/>
      <c r="AA54" s="664"/>
    </row>
    <row r="55" spans="1:27" ht="15.75" customHeight="1" x14ac:dyDescent="0.3">
      <c r="A55" s="768"/>
      <c r="B55" s="768"/>
      <c r="C55" s="700"/>
      <c r="D55" s="701"/>
      <c r="E55" s="700"/>
      <c r="F55" s="328"/>
      <c r="G55" s="700"/>
      <c r="H55" s="700"/>
      <c r="I55" s="703"/>
      <c r="J55" s="704"/>
      <c r="K55" s="704"/>
      <c r="L55" s="769"/>
      <c r="M55" s="769"/>
      <c r="N55" s="769"/>
      <c r="O55" s="664"/>
      <c r="P55" s="685"/>
      <c r="AA55" s="664"/>
    </row>
    <row r="56" spans="1:27" ht="15.75" customHeight="1" x14ac:dyDescent="0.3">
      <c r="A56" s="768"/>
      <c r="B56" s="768"/>
      <c r="C56" s="700"/>
      <c r="D56" s="701"/>
      <c r="E56" s="700"/>
      <c r="F56" s="328"/>
      <c r="G56" s="700"/>
      <c r="H56" s="700"/>
      <c r="I56" s="703"/>
      <c r="J56" s="704"/>
      <c r="K56" s="704"/>
      <c r="L56" s="769"/>
      <c r="M56" s="769"/>
      <c r="N56" s="769"/>
      <c r="O56" s="664"/>
      <c r="P56" s="685"/>
      <c r="AA56" s="664"/>
    </row>
    <row r="57" spans="1:27" ht="15.75" customHeight="1" x14ac:dyDescent="0.3">
      <c r="A57" s="768"/>
      <c r="B57" s="768"/>
      <c r="C57" s="700"/>
      <c r="D57" s="701"/>
      <c r="E57" s="700"/>
      <c r="F57" s="328"/>
      <c r="G57" s="700"/>
      <c r="H57" s="700"/>
      <c r="I57" s="703"/>
      <c r="J57" s="704"/>
      <c r="K57" s="704"/>
      <c r="L57" s="769"/>
      <c r="M57" s="769"/>
      <c r="N57" s="769"/>
      <c r="O57" s="664"/>
      <c r="P57" s="685"/>
      <c r="AA57" s="664"/>
    </row>
    <row r="58" spans="1:27" ht="15.75" customHeight="1" x14ac:dyDescent="0.3">
      <c r="A58" s="768"/>
      <c r="B58" s="768"/>
      <c r="C58" s="700"/>
      <c r="D58" s="701"/>
      <c r="E58" s="700"/>
      <c r="F58" s="328"/>
      <c r="G58" s="700"/>
      <c r="H58" s="700"/>
      <c r="I58" s="703"/>
      <c r="J58" s="704"/>
      <c r="K58" s="704"/>
      <c r="L58" s="769"/>
      <c r="M58" s="769"/>
      <c r="N58" s="769"/>
      <c r="O58" s="664"/>
      <c r="P58" s="685"/>
      <c r="AA58" s="638"/>
    </row>
    <row r="59" spans="1:27" ht="15.75" customHeight="1" x14ac:dyDescent="0.3">
      <c r="A59" s="768"/>
      <c r="B59" s="768"/>
      <c r="C59" s="700"/>
      <c r="D59" s="701"/>
      <c r="E59" s="700"/>
      <c r="F59" s="328"/>
      <c r="G59" s="700"/>
      <c r="H59" s="700"/>
      <c r="I59" s="703"/>
      <c r="J59" s="704"/>
      <c r="K59" s="704"/>
      <c r="L59" s="769"/>
      <c r="M59" s="769"/>
      <c r="N59" s="769"/>
      <c r="O59" s="664"/>
      <c r="P59" s="637"/>
      <c r="AA59" s="664"/>
    </row>
    <row r="60" spans="1:27" ht="15.75" customHeight="1" x14ac:dyDescent="0.3">
      <c r="A60" s="768"/>
      <c r="B60" s="768"/>
      <c r="C60" s="700"/>
      <c r="D60" s="701"/>
      <c r="E60" s="700"/>
      <c r="F60" s="328"/>
      <c r="G60" s="700"/>
      <c r="H60" s="700"/>
      <c r="I60" s="703"/>
      <c r="J60" s="704"/>
      <c r="K60" s="704"/>
      <c r="L60" s="769"/>
      <c r="M60" s="769"/>
      <c r="N60" s="769"/>
      <c r="O60" s="664"/>
      <c r="P60" s="637"/>
      <c r="AA60" s="664"/>
    </row>
    <row r="61" spans="1:27" ht="15.75" customHeight="1" x14ac:dyDescent="0.3">
      <c r="A61" s="768"/>
      <c r="B61" s="768"/>
      <c r="C61" s="700"/>
      <c r="D61" s="701"/>
      <c r="E61" s="700"/>
      <c r="F61" s="328"/>
      <c r="G61" s="700"/>
      <c r="H61" s="700"/>
      <c r="I61" s="703"/>
      <c r="J61" s="704"/>
      <c r="K61" s="704"/>
      <c r="L61" s="704"/>
      <c r="M61" s="704"/>
      <c r="N61" s="704"/>
      <c r="O61" s="664"/>
      <c r="P61" s="685"/>
      <c r="AA61" s="664"/>
    </row>
    <row r="62" spans="1:27" ht="15.75" customHeight="1" x14ac:dyDescent="0.3">
      <c r="A62" s="768"/>
      <c r="B62" s="768"/>
      <c r="C62" s="700"/>
      <c r="D62" s="701"/>
      <c r="E62" s="700"/>
      <c r="F62" s="328"/>
      <c r="G62" s="700"/>
      <c r="H62" s="700"/>
      <c r="I62" s="703"/>
      <c r="J62" s="704"/>
      <c r="K62" s="704"/>
      <c r="L62" s="704"/>
      <c r="M62" s="704"/>
      <c r="N62" s="704"/>
      <c r="O62" s="664"/>
      <c r="P62" s="685"/>
      <c r="AA62" s="664"/>
    </row>
    <row r="63" spans="1:27" ht="15.75" customHeight="1" x14ac:dyDescent="0.3">
      <c r="A63" s="768"/>
      <c r="B63" s="768"/>
      <c r="C63" s="700"/>
      <c r="D63" s="701"/>
      <c r="E63" s="700"/>
      <c r="F63" s="328"/>
      <c r="G63" s="700"/>
      <c r="H63" s="700"/>
      <c r="I63" s="703"/>
      <c r="J63" s="704"/>
      <c r="K63" s="704"/>
      <c r="L63" s="704"/>
      <c r="M63" s="704"/>
      <c r="N63" s="704"/>
      <c r="O63" s="664"/>
      <c r="P63" s="685"/>
      <c r="AA63" s="664"/>
    </row>
    <row r="64" spans="1:27" ht="15.75" customHeight="1" x14ac:dyDescent="0.3">
      <c r="A64" s="768"/>
      <c r="B64" s="768"/>
      <c r="C64" s="700"/>
      <c r="D64" s="701"/>
      <c r="E64" s="700"/>
      <c r="F64" s="328"/>
      <c r="G64" s="700"/>
      <c r="H64" s="700"/>
      <c r="I64" s="703"/>
      <c r="J64" s="704"/>
      <c r="K64" s="704"/>
      <c r="L64" s="704"/>
      <c r="M64" s="704"/>
      <c r="N64" s="704"/>
      <c r="O64" s="664"/>
      <c r="P64" s="685"/>
      <c r="AA64" s="664"/>
    </row>
    <row r="65" spans="1:27" ht="15.75" customHeight="1" x14ac:dyDescent="0.3">
      <c r="A65" s="768"/>
      <c r="B65" s="768"/>
      <c r="C65" s="700"/>
      <c r="D65" s="701"/>
      <c r="E65" s="700"/>
      <c r="F65" s="328"/>
      <c r="G65" s="700"/>
      <c r="H65" s="700"/>
      <c r="I65" s="703"/>
      <c r="J65" s="704"/>
      <c r="K65" s="704"/>
      <c r="L65" s="704"/>
      <c r="M65" s="704"/>
      <c r="N65" s="704"/>
      <c r="O65" s="664"/>
      <c r="P65" s="685"/>
      <c r="AA65" s="664"/>
    </row>
    <row r="66" spans="1:27" ht="15.75" customHeight="1" x14ac:dyDescent="0.3">
      <c r="A66" s="768"/>
      <c r="B66" s="768"/>
      <c r="C66" s="700"/>
      <c r="D66" s="701"/>
      <c r="E66" s="700"/>
      <c r="F66" s="328"/>
      <c r="G66" s="700"/>
      <c r="H66" s="700"/>
      <c r="I66" s="703"/>
      <c r="J66" s="704"/>
      <c r="K66" s="704"/>
      <c r="L66" s="704"/>
      <c r="M66" s="704"/>
      <c r="N66" s="704"/>
      <c r="O66" s="664"/>
      <c r="P66" s="637"/>
      <c r="AA66" s="638"/>
    </row>
    <row r="67" spans="1:27" ht="15.75" customHeight="1" x14ac:dyDescent="0.3">
      <c r="A67" s="768"/>
      <c r="B67" s="768"/>
      <c r="C67" s="700"/>
      <c r="D67" s="701"/>
      <c r="E67" s="700"/>
      <c r="F67" s="328"/>
      <c r="G67" s="700"/>
      <c r="H67" s="700"/>
      <c r="I67" s="703"/>
      <c r="J67" s="704"/>
      <c r="K67" s="704"/>
      <c r="L67" s="704"/>
      <c r="M67" s="704"/>
      <c r="N67" s="704"/>
      <c r="O67" s="664"/>
      <c r="P67" s="637"/>
      <c r="AA67" s="664"/>
    </row>
    <row r="68" spans="1:27" ht="15.75" customHeight="1" x14ac:dyDescent="0.3">
      <c r="A68" s="768"/>
      <c r="B68" s="768"/>
      <c r="C68" s="700"/>
      <c r="D68" s="701"/>
      <c r="E68" s="700"/>
      <c r="F68" s="328"/>
      <c r="G68" s="700"/>
      <c r="H68" s="700"/>
      <c r="I68" s="703"/>
      <c r="J68" s="704"/>
      <c r="K68" s="704"/>
      <c r="L68" s="704"/>
      <c r="M68" s="704"/>
      <c r="N68" s="704"/>
      <c r="O68" s="664"/>
      <c r="P68" s="685"/>
      <c r="AA68" s="664"/>
    </row>
    <row r="69" spans="1:27" ht="15.75" customHeight="1" x14ac:dyDescent="0.3">
      <c r="A69" s="768"/>
      <c r="B69" s="768"/>
      <c r="C69" s="700"/>
      <c r="D69" s="701"/>
      <c r="E69" s="700"/>
      <c r="F69" s="328"/>
      <c r="G69" s="700"/>
      <c r="H69" s="700"/>
      <c r="I69" s="703"/>
      <c r="J69" s="704"/>
      <c r="K69" s="704"/>
      <c r="L69" s="704"/>
      <c r="M69" s="704"/>
      <c r="N69" s="704"/>
      <c r="O69" s="664"/>
      <c r="P69" s="685"/>
      <c r="AA69" s="664"/>
    </row>
    <row r="70" spans="1:27" ht="15.75" customHeight="1" x14ac:dyDescent="0.3">
      <c r="A70" s="768"/>
      <c r="B70" s="768"/>
      <c r="C70" s="700"/>
      <c r="D70" s="701"/>
      <c r="E70" s="700"/>
      <c r="F70" s="328"/>
      <c r="G70" s="700"/>
      <c r="H70" s="700"/>
      <c r="I70" s="703"/>
      <c r="J70" s="704"/>
      <c r="K70" s="704"/>
      <c r="L70" s="704"/>
      <c r="M70" s="704"/>
      <c r="N70" s="704"/>
      <c r="O70" s="664"/>
      <c r="P70" s="637"/>
      <c r="AA70" s="664"/>
    </row>
    <row r="71" spans="1:27" ht="15.75" customHeight="1" x14ac:dyDescent="0.3">
      <c r="A71" s="768"/>
      <c r="B71" s="768"/>
      <c r="C71" s="700"/>
      <c r="D71" s="701"/>
      <c r="E71" s="700"/>
      <c r="F71" s="328"/>
      <c r="G71" s="700"/>
      <c r="H71" s="700"/>
      <c r="I71" s="703"/>
      <c r="J71" s="704"/>
      <c r="K71" s="704"/>
      <c r="L71" s="704"/>
      <c r="M71" s="704"/>
      <c r="N71" s="704"/>
      <c r="O71" s="664"/>
      <c r="P71" s="637"/>
      <c r="AA71" s="664"/>
    </row>
    <row r="72" spans="1:27" ht="15.75" customHeight="1" x14ac:dyDescent="0.3">
      <c r="A72" s="768"/>
      <c r="B72" s="768"/>
      <c r="C72" s="700"/>
      <c r="D72" s="701"/>
      <c r="E72" s="700"/>
      <c r="F72" s="328"/>
      <c r="G72" s="700"/>
      <c r="H72" s="700"/>
      <c r="I72" s="703"/>
      <c r="J72" s="704"/>
      <c r="K72" s="704"/>
      <c r="L72" s="704"/>
      <c r="M72" s="704"/>
      <c r="N72" s="704"/>
      <c r="O72" s="664"/>
      <c r="P72" s="685"/>
      <c r="AA72" s="664"/>
    </row>
    <row r="73" spans="1:27" ht="15.75" customHeight="1" x14ac:dyDescent="0.3">
      <c r="A73" s="768"/>
      <c r="B73" s="768"/>
      <c r="C73" s="700"/>
      <c r="D73" s="701"/>
      <c r="E73" s="700"/>
      <c r="F73" s="328"/>
      <c r="G73" s="700"/>
      <c r="H73" s="700"/>
      <c r="I73" s="703"/>
      <c r="J73" s="704"/>
      <c r="K73" s="704"/>
      <c r="L73" s="704"/>
      <c r="M73" s="704"/>
      <c r="N73" s="704"/>
      <c r="O73" s="664"/>
      <c r="P73" s="685"/>
      <c r="AA73" s="664"/>
    </row>
    <row r="74" spans="1:27" ht="15.75" customHeight="1" x14ac:dyDescent="0.3">
      <c r="A74" s="768"/>
      <c r="B74" s="768"/>
      <c r="C74" s="700"/>
      <c r="D74" s="701"/>
      <c r="E74" s="700"/>
      <c r="F74" s="328"/>
      <c r="G74" s="700"/>
      <c r="H74" s="700"/>
      <c r="I74" s="703"/>
      <c r="J74" s="704"/>
      <c r="K74" s="704"/>
      <c r="L74" s="704"/>
      <c r="M74" s="704"/>
      <c r="N74" s="704"/>
      <c r="O74" s="664"/>
      <c r="P74" s="685"/>
      <c r="AA74" s="638"/>
    </row>
    <row r="75" spans="1:27" ht="15.75" customHeight="1" x14ac:dyDescent="0.3">
      <c r="A75" s="768"/>
      <c r="B75" s="768"/>
      <c r="C75" s="700"/>
      <c r="D75" s="701"/>
      <c r="E75" s="700"/>
      <c r="F75" s="328"/>
      <c r="G75" s="700"/>
      <c r="H75" s="700"/>
      <c r="I75" s="703"/>
      <c r="J75" s="704"/>
      <c r="K75" s="704"/>
      <c r="L75" s="704"/>
      <c r="M75" s="704"/>
      <c r="N75" s="704"/>
      <c r="O75" s="664"/>
      <c r="P75" s="637"/>
      <c r="AA75" s="638"/>
    </row>
    <row r="76" spans="1:27" ht="15.75" customHeight="1" x14ac:dyDescent="0.3">
      <c r="A76" s="768"/>
      <c r="B76" s="768"/>
      <c r="C76" s="700"/>
      <c r="D76" s="701"/>
      <c r="E76" s="700"/>
      <c r="F76" s="328"/>
      <c r="G76" s="700"/>
      <c r="H76" s="700"/>
      <c r="I76" s="703"/>
      <c r="J76" s="704"/>
      <c r="K76" s="704"/>
      <c r="L76" s="704"/>
      <c r="M76" s="704"/>
      <c r="N76" s="704"/>
      <c r="O76" s="664"/>
      <c r="P76" s="637"/>
      <c r="AA76" s="664"/>
    </row>
    <row r="77" spans="1:27" ht="15.75" customHeight="1" x14ac:dyDescent="0.3">
      <c r="A77" s="768"/>
      <c r="B77" s="768"/>
      <c r="C77" s="700"/>
      <c r="D77" s="701"/>
      <c r="E77" s="700"/>
      <c r="F77" s="328"/>
      <c r="G77" s="700"/>
      <c r="H77" s="700"/>
      <c r="I77" s="703"/>
      <c r="J77" s="704"/>
      <c r="K77" s="704"/>
      <c r="L77" s="704"/>
      <c r="M77" s="704"/>
      <c r="N77" s="704"/>
      <c r="O77" s="664"/>
      <c r="P77" s="637"/>
      <c r="AA77" s="664"/>
    </row>
    <row r="78" spans="1:27" ht="15.75" customHeight="1" x14ac:dyDescent="0.3">
      <c r="A78" s="768"/>
      <c r="B78" s="768"/>
      <c r="C78" s="700"/>
      <c r="D78" s="701"/>
      <c r="E78" s="700"/>
      <c r="F78" s="328"/>
      <c r="G78" s="700"/>
      <c r="H78" s="700"/>
      <c r="I78" s="703"/>
      <c r="J78" s="704"/>
      <c r="K78" s="704"/>
      <c r="L78" s="704"/>
      <c r="M78" s="704"/>
      <c r="N78" s="704"/>
      <c r="O78" s="664"/>
      <c r="P78" s="637"/>
      <c r="AA78" s="638"/>
    </row>
    <row r="79" spans="1:27" ht="15.75" customHeight="1" x14ac:dyDescent="0.3">
      <c r="A79" s="768"/>
      <c r="B79" s="768"/>
      <c r="C79" s="700"/>
      <c r="D79" s="701"/>
      <c r="E79" s="700"/>
      <c r="F79" s="328"/>
      <c r="G79" s="700"/>
      <c r="H79" s="700"/>
      <c r="I79" s="703"/>
      <c r="J79" s="704"/>
      <c r="K79" s="704"/>
      <c r="L79" s="704"/>
      <c r="M79" s="704"/>
      <c r="N79" s="704"/>
      <c r="O79" s="664"/>
      <c r="P79" s="685"/>
      <c r="AA79" s="664"/>
    </row>
    <row r="80" spans="1:27" ht="15.75" customHeight="1" x14ac:dyDescent="0.3">
      <c r="A80" s="768"/>
      <c r="B80" s="768"/>
      <c r="C80" s="700"/>
      <c r="D80" s="701"/>
      <c r="E80" s="700"/>
      <c r="F80" s="328"/>
      <c r="G80" s="700"/>
      <c r="H80" s="700"/>
      <c r="I80" s="703"/>
      <c r="J80" s="704"/>
      <c r="K80" s="704"/>
      <c r="L80" s="704"/>
      <c r="M80" s="704"/>
      <c r="N80" s="704"/>
      <c r="O80" s="664"/>
      <c r="P80" s="685"/>
      <c r="AA80" s="664"/>
    </row>
    <row r="81" spans="1:27" ht="15.75" customHeight="1" x14ac:dyDescent="0.3">
      <c r="A81" s="768"/>
      <c r="B81" s="768"/>
      <c r="C81" s="700"/>
      <c r="D81" s="701"/>
      <c r="E81" s="700"/>
      <c r="F81" s="328"/>
      <c r="G81" s="700"/>
      <c r="H81" s="700"/>
      <c r="I81" s="703"/>
      <c r="J81" s="704"/>
      <c r="K81" s="704"/>
      <c r="L81" s="704"/>
      <c r="M81" s="704"/>
      <c r="N81" s="704"/>
      <c r="O81" s="664"/>
      <c r="P81" s="685"/>
      <c r="AA81" s="664"/>
    </row>
    <row r="82" spans="1:27" ht="15.75" customHeight="1" x14ac:dyDescent="0.3">
      <c r="A82" s="768"/>
      <c r="B82" s="768"/>
      <c r="C82" s="700"/>
      <c r="D82" s="701"/>
      <c r="E82" s="700"/>
      <c r="F82" s="328"/>
      <c r="G82" s="700"/>
      <c r="H82" s="700"/>
      <c r="I82" s="703"/>
      <c r="J82" s="704"/>
      <c r="K82" s="704"/>
      <c r="L82" s="704"/>
      <c r="M82" s="704"/>
      <c r="N82" s="704"/>
      <c r="O82" s="664"/>
      <c r="P82" s="685"/>
      <c r="AA82" s="664"/>
    </row>
    <row r="83" spans="1:27" ht="15.75" customHeight="1" x14ac:dyDescent="0.3">
      <c r="A83" s="768"/>
      <c r="B83" s="768"/>
      <c r="C83" s="700"/>
      <c r="D83" s="701"/>
      <c r="E83" s="700"/>
      <c r="F83" s="328"/>
      <c r="G83" s="700"/>
      <c r="H83" s="700"/>
      <c r="I83" s="703"/>
      <c r="J83" s="704"/>
      <c r="K83" s="704"/>
      <c r="L83" s="704"/>
      <c r="M83" s="704"/>
      <c r="N83" s="704"/>
      <c r="O83" s="664"/>
      <c r="P83" s="637"/>
      <c r="AA83" s="664"/>
    </row>
    <row r="84" spans="1:27" ht="15.75" customHeight="1" x14ac:dyDescent="0.3">
      <c r="A84" s="768"/>
      <c r="B84" s="768"/>
      <c r="C84" s="700"/>
      <c r="D84" s="701"/>
      <c r="E84" s="700"/>
      <c r="F84" s="328"/>
      <c r="G84" s="700"/>
      <c r="H84" s="700"/>
      <c r="I84" s="703"/>
      <c r="J84" s="704"/>
      <c r="K84" s="704"/>
      <c r="L84" s="704"/>
      <c r="M84" s="704"/>
      <c r="N84" s="704"/>
      <c r="O84" s="664"/>
      <c r="P84" s="637"/>
      <c r="AA84" s="664"/>
    </row>
    <row r="85" spans="1:27" ht="15.75" customHeight="1" x14ac:dyDescent="0.3">
      <c r="A85" s="768"/>
      <c r="B85" s="768"/>
      <c r="C85" s="700"/>
      <c r="D85" s="701"/>
      <c r="E85" s="700"/>
      <c r="F85" s="328"/>
      <c r="G85" s="700"/>
      <c r="H85" s="700"/>
      <c r="I85" s="703"/>
      <c r="J85" s="704"/>
      <c r="K85" s="704"/>
      <c r="L85" s="704"/>
      <c r="M85" s="704"/>
      <c r="N85" s="704"/>
      <c r="O85" s="664"/>
      <c r="P85" s="685"/>
      <c r="AA85" s="664"/>
    </row>
    <row r="86" spans="1:27" ht="15.75" customHeight="1" x14ac:dyDescent="0.3">
      <c r="A86" s="768"/>
      <c r="B86" s="768"/>
      <c r="C86" s="700"/>
      <c r="D86" s="701"/>
      <c r="E86" s="700"/>
      <c r="F86" s="328"/>
      <c r="G86" s="700"/>
      <c r="H86" s="700"/>
      <c r="I86" s="703"/>
      <c r="J86" s="704"/>
      <c r="K86" s="704"/>
      <c r="L86" s="704"/>
      <c r="M86" s="704"/>
      <c r="N86" s="704"/>
      <c r="O86" s="664"/>
      <c r="P86" s="685"/>
      <c r="AA86" s="664"/>
    </row>
    <row r="87" spans="1:27" ht="15.75" customHeight="1" x14ac:dyDescent="0.3">
      <c r="A87" s="768"/>
      <c r="B87" s="768"/>
      <c r="C87" s="700"/>
      <c r="D87" s="701"/>
      <c r="E87" s="700"/>
      <c r="F87" s="328"/>
      <c r="G87" s="700"/>
      <c r="H87" s="700"/>
      <c r="I87" s="703"/>
      <c r="J87" s="704"/>
      <c r="K87" s="704"/>
      <c r="L87" s="704"/>
      <c r="M87" s="704"/>
      <c r="N87" s="704"/>
      <c r="O87" s="664"/>
      <c r="P87" s="685"/>
      <c r="AA87" s="664"/>
    </row>
    <row r="88" spans="1:27" ht="15.75" customHeight="1" x14ac:dyDescent="0.3">
      <c r="A88" s="768"/>
      <c r="B88" s="768"/>
      <c r="C88" s="700"/>
      <c r="D88" s="701"/>
      <c r="E88" s="700"/>
      <c r="F88" s="328"/>
      <c r="G88" s="700"/>
      <c r="H88" s="700"/>
      <c r="I88" s="703"/>
      <c r="J88" s="704"/>
      <c r="K88" s="704"/>
      <c r="L88" s="704"/>
      <c r="M88" s="704"/>
      <c r="N88" s="704"/>
      <c r="O88" s="664"/>
      <c r="P88" s="637"/>
      <c r="AA88" s="638"/>
    </row>
    <row r="89" spans="1:27" ht="15.75" customHeight="1" x14ac:dyDescent="0.3">
      <c r="A89" s="768"/>
      <c r="B89" s="768"/>
      <c r="C89" s="700"/>
      <c r="D89" s="701"/>
      <c r="E89" s="700"/>
      <c r="F89" s="328"/>
      <c r="G89" s="700"/>
      <c r="H89" s="700"/>
      <c r="I89" s="703"/>
      <c r="J89" s="704"/>
      <c r="K89" s="704"/>
      <c r="L89" s="704"/>
      <c r="M89" s="704"/>
      <c r="N89" s="704"/>
      <c r="O89" s="664"/>
      <c r="P89" s="637"/>
      <c r="AA89" s="638"/>
    </row>
    <row r="90" spans="1:27" ht="15.75" customHeight="1" x14ac:dyDescent="0.3">
      <c r="A90" s="768"/>
      <c r="B90" s="768"/>
      <c r="C90" s="700"/>
      <c r="D90" s="701"/>
      <c r="E90" s="700"/>
      <c r="F90" s="328"/>
      <c r="G90" s="700"/>
      <c r="H90" s="700"/>
      <c r="I90" s="703"/>
      <c r="J90" s="704"/>
      <c r="K90" s="704"/>
      <c r="L90" s="704"/>
      <c r="M90" s="704"/>
      <c r="N90" s="704"/>
      <c r="O90" s="664"/>
      <c r="P90" s="685"/>
      <c r="AA90" s="664"/>
    </row>
    <row r="91" spans="1:27" ht="15.75" customHeight="1" x14ac:dyDescent="0.3">
      <c r="A91" s="768"/>
      <c r="B91" s="768"/>
      <c r="C91" s="700"/>
      <c r="D91" s="701"/>
      <c r="E91" s="700"/>
      <c r="F91" s="328"/>
      <c r="G91" s="700"/>
      <c r="H91" s="700"/>
      <c r="I91" s="703"/>
      <c r="J91" s="704"/>
      <c r="K91" s="704"/>
      <c r="L91" s="704"/>
      <c r="M91" s="704"/>
      <c r="N91" s="704"/>
      <c r="O91" s="664"/>
      <c r="P91" s="685"/>
      <c r="AA91" s="664"/>
    </row>
    <row r="92" spans="1:27" ht="15.75" customHeight="1" x14ac:dyDescent="0.3">
      <c r="A92" s="768"/>
      <c r="B92" s="768"/>
      <c r="C92" s="700"/>
      <c r="D92" s="701"/>
      <c r="E92" s="700"/>
      <c r="F92" s="328"/>
      <c r="G92" s="700"/>
      <c r="H92" s="700"/>
      <c r="I92" s="703"/>
      <c r="J92" s="704"/>
      <c r="K92" s="704"/>
      <c r="L92" s="704"/>
      <c r="M92" s="704"/>
      <c r="N92" s="704"/>
      <c r="O92" s="664"/>
      <c r="P92" s="637"/>
      <c r="AA92" s="664"/>
    </row>
    <row r="93" spans="1:27" ht="15.75" customHeight="1" x14ac:dyDescent="0.3">
      <c r="A93" s="768"/>
      <c r="B93" s="768"/>
      <c r="C93" s="700"/>
      <c r="D93" s="701"/>
      <c r="E93" s="700"/>
      <c r="F93" s="328"/>
      <c r="G93" s="700"/>
      <c r="H93" s="700"/>
      <c r="I93" s="703"/>
      <c r="J93" s="704"/>
      <c r="K93" s="704"/>
      <c r="L93" s="704"/>
      <c r="M93" s="704"/>
      <c r="N93" s="704"/>
      <c r="O93" s="664"/>
      <c r="P93" s="637"/>
      <c r="AA93" s="664"/>
    </row>
    <row r="94" spans="1:27" ht="15.75" customHeight="1" x14ac:dyDescent="0.3">
      <c r="A94" s="768"/>
      <c r="B94" s="768"/>
      <c r="C94" s="700"/>
      <c r="D94" s="701"/>
      <c r="E94" s="700"/>
      <c r="F94" s="328"/>
      <c r="G94" s="700"/>
      <c r="H94" s="700"/>
      <c r="I94" s="703"/>
      <c r="J94" s="704"/>
      <c r="K94" s="704"/>
      <c r="L94" s="704"/>
      <c r="M94" s="704"/>
      <c r="N94" s="704"/>
      <c r="O94" s="664"/>
      <c r="P94" s="637"/>
      <c r="AA94" s="638"/>
    </row>
    <row r="95" spans="1:27" ht="15.75" customHeight="1" x14ac:dyDescent="0.3">
      <c r="A95" s="768"/>
      <c r="B95" s="768"/>
      <c r="C95" s="700"/>
      <c r="D95" s="701"/>
      <c r="E95" s="700"/>
      <c r="F95" s="328"/>
      <c r="G95" s="700"/>
      <c r="H95" s="700"/>
      <c r="I95" s="703"/>
      <c r="J95" s="704"/>
      <c r="K95" s="704"/>
      <c r="L95" s="704"/>
      <c r="M95" s="704"/>
      <c r="N95" s="704"/>
      <c r="O95" s="664"/>
      <c r="P95" s="637"/>
      <c r="AA95" s="638"/>
    </row>
    <row r="96" spans="1:27" ht="15.75" customHeight="1" x14ac:dyDescent="0.3">
      <c r="A96" s="768"/>
      <c r="B96" s="768"/>
      <c r="C96" s="700"/>
      <c r="D96" s="701"/>
      <c r="E96" s="700"/>
      <c r="F96" s="328"/>
      <c r="G96" s="700"/>
      <c r="H96" s="700"/>
      <c r="I96" s="703"/>
      <c r="J96" s="704"/>
      <c r="K96" s="704"/>
      <c r="L96" s="704"/>
      <c r="M96" s="704"/>
      <c r="N96" s="704"/>
      <c r="O96" s="664"/>
      <c r="P96" s="685"/>
      <c r="AA96" s="638"/>
    </row>
    <row r="97" spans="1:27" ht="15.75" customHeight="1" x14ac:dyDescent="0.3">
      <c r="A97" s="768"/>
      <c r="B97" s="768"/>
      <c r="C97" s="700"/>
      <c r="D97" s="701"/>
      <c r="E97" s="700"/>
      <c r="F97" s="328"/>
      <c r="G97" s="700"/>
      <c r="H97" s="700"/>
      <c r="I97" s="703"/>
      <c r="J97" s="704"/>
      <c r="K97" s="704"/>
      <c r="L97" s="704"/>
      <c r="M97" s="704"/>
      <c r="N97" s="704"/>
      <c r="O97" s="664"/>
      <c r="P97" s="685"/>
      <c r="AA97" s="638"/>
    </row>
    <row r="98" spans="1:27" ht="15.75" customHeight="1" x14ac:dyDescent="0.3">
      <c r="A98" s="768"/>
      <c r="B98" s="768"/>
      <c r="C98" s="700"/>
      <c r="D98" s="701"/>
      <c r="E98" s="700"/>
      <c r="F98" s="328"/>
      <c r="G98" s="700"/>
      <c r="H98" s="700"/>
      <c r="I98" s="703"/>
      <c r="J98" s="704"/>
      <c r="K98" s="704"/>
      <c r="L98" s="704"/>
      <c r="M98" s="704"/>
      <c r="N98" s="704"/>
      <c r="O98" s="664"/>
      <c r="AA98" s="638"/>
    </row>
    <row r="99" spans="1:27" ht="15.75" customHeight="1" x14ac:dyDescent="0.3">
      <c r="A99" s="768"/>
      <c r="B99" s="768"/>
      <c r="C99" s="700"/>
      <c r="D99" s="701"/>
      <c r="E99" s="700"/>
      <c r="F99" s="328"/>
      <c r="G99" s="700"/>
      <c r="H99" s="700"/>
      <c r="I99" s="703"/>
      <c r="J99" s="704"/>
      <c r="K99" s="704"/>
      <c r="L99" s="704"/>
      <c r="M99" s="704"/>
      <c r="N99" s="704"/>
      <c r="O99" s="664"/>
      <c r="P99" s="685"/>
      <c r="AA99" s="638"/>
    </row>
    <row r="100" spans="1:27" ht="15.75" customHeight="1" x14ac:dyDescent="0.3">
      <c r="A100" s="768"/>
      <c r="B100" s="768"/>
      <c r="C100" s="700"/>
      <c r="D100" s="701"/>
      <c r="E100" s="700"/>
      <c r="F100" s="328"/>
      <c r="G100" s="700"/>
      <c r="H100" s="700"/>
      <c r="I100" s="703"/>
      <c r="J100" s="704"/>
      <c r="K100" s="704"/>
      <c r="L100" s="704"/>
      <c r="M100" s="704"/>
      <c r="N100" s="704"/>
      <c r="O100" s="664"/>
      <c r="P100" s="637"/>
      <c r="AA100" s="638"/>
    </row>
    <row r="101" spans="1:27" ht="15.75" customHeight="1" x14ac:dyDescent="0.3">
      <c r="A101" s="768"/>
      <c r="B101" s="768"/>
      <c r="C101" s="700"/>
      <c r="D101" s="701"/>
      <c r="E101" s="700"/>
      <c r="F101" s="328"/>
      <c r="G101" s="700"/>
      <c r="H101" s="700"/>
      <c r="I101" s="703"/>
      <c r="J101" s="704"/>
      <c r="K101" s="704"/>
      <c r="L101" s="704"/>
      <c r="M101" s="704"/>
      <c r="N101" s="704"/>
      <c r="O101" s="664"/>
      <c r="P101" s="637"/>
      <c r="AA101" s="638"/>
    </row>
    <row r="102" spans="1:27" ht="15.75" customHeight="1" x14ac:dyDescent="0.3">
      <c r="A102" s="768"/>
      <c r="B102" s="768"/>
      <c r="C102" s="700"/>
      <c r="D102" s="701"/>
      <c r="E102" s="700"/>
      <c r="F102" s="328"/>
      <c r="G102" s="700"/>
      <c r="H102" s="700"/>
      <c r="I102" s="703"/>
      <c r="J102" s="704"/>
      <c r="K102" s="704"/>
      <c r="L102" s="704"/>
      <c r="M102" s="704"/>
      <c r="N102" s="704"/>
      <c r="O102" s="664"/>
      <c r="P102" s="685"/>
      <c r="AA102" s="664"/>
    </row>
    <row r="103" spans="1:27" ht="15.75" customHeight="1" x14ac:dyDescent="0.3">
      <c r="A103" s="768"/>
      <c r="B103" s="768"/>
      <c r="C103" s="700"/>
      <c r="D103" s="701"/>
      <c r="E103" s="700"/>
      <c r="F103" s="328"/>
      <c r="G103" s="700"/>
      <c r="H103" s="700"/>
      <c r="I103" s="703"/>
      <c r="J103" s="704"/>
      <c r="K103" s="704"/>
      <c r="L103" s="704"/>
      <c r="M103" s="704"/>
      <c r="N103" s="704"/>
      <c r="O103" s="664"/>
      <c r="P103" s="685"/>
      <c r="AA103" s="664"/>
    </row>
    <row r="104" spans="1:27" ht="15.75" customHeight="1" x14ac:dyDescent="0.3">
      <c r="A104" s="768"/>
      <c r="B104" s="768"/>
      <c r="C104" s="700"/>
      <c r="D104" s="701"/>
      <c r="E104" s="700"/>
      <c r="F104" s="328"/>
      <c r="G104" s="700"/>
      <c r="H104" s="700"/>
      <c r="I104" s="703"/>
      <c r="J104" s="704"/>
      <c r="K104" s="704"/>
      <c r="L104" s="704"/>
      <c r="M104" s="704"/>
      <c r="N104" s="704"/>
      <c r="O104" s="664"/>
      <c r="P104" s="685"/>
      <c r="AA104" s="638"/>
    </row>
    <row r="105" spans="1:27" ht="15.75" customHeight="1" x14ac:dyDescent="0.3">
      <c r="A105" s="768"/>
      <c r="B105" s="768"/>
      <c r="C105" s="700"/>
      <c r="D105" s="701"/>
      <c r="E105" s="700"/>
      <c r="F105" s="328"/>
      <c r="G105" s="700"/>
      <c r="H105" s="700"/>
      <c r="I105" s="703"/>
      <c r="J105" s="704"/>
      <c r="K105" s="704"/>
      <c r="L105" s="704"/>
      <c r="M105" s="704"/>
      <c r="N105" s="704"/>
      <c r="O105" s="664"/>
      <c r="P105" s="637"/>
      <c r="AA105" s="664"/>
    </row>
    <row r="106" spans="1:27" ht="15.75" customHeight="1" x14ac:dyDescent="0.3">
      <c r="A106" s="768"/>
      <c r="B106" s="768"/>
      <c r="C106" s="700"/>
      <c r="D106" s="701"/>
      <c r="E106" s="700"/>
      <c r="F106" s="328"/>
      <c r="G106" s="700"/>
      <c r="H106" s="700"/>
      <c r="I106" s="703"/>
      <c r="J106" s="704"/>
      <c r="K106" s="704"/>
      <c r="L106" s="704"/>
      <c r="M106" s="704"/>
      <c r="N106" s="704"/>
      <c r="O106" s="664"/>
      <c r="P106" s="637"/>
      <c r="AA106" s="638"/>
    </row>
    <row r="107" spans="1:27" ht="15.75" customHeight="1" x14ac:dyDescent="0.3">
      <c r="A107" s="768"/>
      <c r="B107" s="768"/>
      <c r="C107" s="700"/>
      <c r="D107" s="701"/>
      <c r="E107" s="700"/>
      <c r="F107" s="328"/>
      <c r="G107" s="700"/>
      <c r="H107" s="700"/>
      <c r="I107" s="703"/>
      <c r="J107" s="704"/>
      <c r="K107" s="704"/>
      <c r="L107" s="704"/>
      <c r="M107" s="704"/>
      <c r="N107" s="704"/>
      <c r="O107" s="664"/>
      <c r="P107" s="637"/>
      <c r="AA107" s="638"/>
    </row>
    <row r="108" spans="1:27" ht="15.75" customHeight="1" x14ac:dyDescent="0.3">
      <c r="A108" s="768"/>
      <c r="B108" s="768"/>
      <c r="C108" s="700"/>
      <c r="D108" s="701"/>
      <c r="E108" s="700"/>
      <c r="F108" s="328"/>
      <c r="G108" s="700"/>
      <c r="H108" s="700"/>
      <c r="I108" s="703"/>
      <c r="J108" s="704"/>
      <c r="K108" s="704"/>
      <c r="L108" s="704"/>
      <c r="M108" s="704"/>
      <c r="N108" s="704"/>
      <c r="O108" s="664"/>
      <c r="P108" s="685"/>
      <c r="AA108" s="638"/>
    </row>
    <row r="109" spans="1:27" ht="15.75" customHeight="1" x14ac:dyDescent="0.3">
      <c r="A109" s="768"/>
      <c r="B109" s="768"/>
      <c r="C109" s="700"/>
      <c r="D109" s="701"/>
      <c r="E109" s="700"/>
      <c r="F109" s="328"/>
      <c r="G109" s="700"/>
      <c r="H109" s="700"/>
      <c r="I109" s="703"/>
      <c r="J109" s="704"/>
      <c r="K109" s="704"/>
      <c r="L109" s="704"/>
      <c r="M109" s="704"/>
      <c r="N109" s="704"/>
      <c r="O109" s="664"/>
      <c r="P109" s="685"/>
      <c r="AA109" s="638"/>
    </row>
    <row r="110" spans="1:27" ht="15.75" customHeight="1" x14ac:dyDescent="0.3">
      <c r="A110" s="768"/>
      <c r="B110" s="768"/>
      <c r="C110" s="700"/>
      <c r="D110" s="701"/>
      <c r="E110" s="700"/>
      <c r="F110" s="328"/>
      <c r="G110" s="700"/>
      <c r="H110" s="700"/>
      <c r="I110" s="703"/>
      <c r="J110" s="704"/>
      <c r="K110" s="704"/>
      <c r="L110" s="704"/>
      <c r="M110" s="704"/>
      <c r="N110" s="704"/>
      <c r="O110" s="664"/>
      <c r="P110" s="685"/>
      <c r="AA110" s="638"/>
    </row>
    <row r="111" spans="1:27" ht="15.75" customHeight="1" x14ac:dyDescent="0.3">
      <c r="A111" s="768"/>
      <c r="B111" s="768"/>
      <c r="C111" s="700"/>
      <c r="D111" s="701"/>
      <c r="E111" s="700"/>
      <c r="F111" s="328"/>
      <c r="G111" s="700"/>
      <c r="H111" s="700"/>
      <c r="I111" s="703"/>
      <c r="J111" s="704"/>
      <c r="K111" s="704"/>
      <c r="L111" s="704"/>
      <c r="M111" s="704"/>
      <c r="N111" s="704"/>
      <c r="O111" s="664"/>
      <c r="P111" s="637"/>
      <c r="AA111" s="638"/>
    </row>
    <row r="112" spans="1:27" ht="15.75" customHeight="1" x14ac:dyDescent="0.3">
      <c r="A112" s="768"/>
      <c r="B112" s="768"/>
      <c r="C112" s="700"/>
      <c r="D112" s="701"/>
      <c r="E112" s="700"/>
      <c r="F112" s="328"/>
      <c r="G112" s="700"/>
      <c r="H112" s="700"/>
      <c r="I112" s="703"/>
      <c r="J112" s="704"/>
      <c r="K112" s="704"/>
      <c r="L112" s="704"/>
      <c r="M112" s="704"/>
      <c r="N112" s="704"/>
      <c r="O112" s="664"/>
      <c r="P112" s="637"/>
      <c r="AA112" s="638"/>
    </row>
    <row r="113" spans="1:27" ht="15.75" customHeight="1" x14ac:dyDescent="0.3">
      <c r="A113" s="768"/>
      <c r="B113" s="768"/>
      <c r="C113" s="700"/>
      <c r="D113" s="701"/>
      <c r="E113" s="700"/>
      <c r="F113" s="328"/>
      <c r="G113" s="700"/>
      <c r="H113" s="700"/>
      <c r="I113" s="703"/>
      <c r="J113" s="704"/>
      <c r="K113" s="704"/>
      <c r="L113" s="704"/>
      <c r="M113" s="704"/>
      <c r="N113" s="704"/>
      <c r="O113" s="664"/>
      <c r="P113" s="685"/>
      <c r="AA113" s="664"/>
    </row>
    <row r="114" spans="1:27" ht="15.75" customHeight="1" x14ac:dyDescent="0.3">
      <c r="A114" s="768"/>
      <c r="B114" s="768"/>
      <c r="C114" s="700"/>
      <c r="D114" s="701"/>
      <c r="E114" s="700"/>
      <c r="F114" s="328"/>
      <c r="G114" s="700"/>
      <c r="H114" s="700"/>
      <c r="I114" s="703"/>
      <c r="J114" s="704"/>
      <c r="K114" s="704"/>
      <c r="L114" s="704"/>
      <c r="M114" s="704"/>
      <c r="N114" s="704"/>
      <c r="O114" s="664"/>
      <c r="P114" s="685"/>
      <c r="AA114" s="638"/>
    </row>
    <row r="115" spans="1:27" ht="15.75" customHeight="1" x14ac:dyDescent="0.3">
      <c r="A115" s="768"/>
      <c r="B115" s="768"/>
      <c r="C115" s="700"/>
      <c r="D115" s="701"/>
      <c r="E115" s="700"/>
      <c r="F115" s="328"/>
      <c r="G115" s="700"/>
      <c r="H115" s="700"/>
      <c r="I115" s="703"/>
      <c r="J115" s="704"/>
      <c r="K115" s="704"/>
      <c r="L115" s="704"/>
      <c r="M115" s="704"/>
      <c r="N115" s="704"/>
      <c r="O115" s="664"/>
      <c r="P115" s="637"/>
      <c r="AA115" s="638"/>
    </row>
    <row r="116" spans="1:27" ht="15.75" customHeight="1" x14ac:dyDescent="0.3">
      <c r="A116" s="768"/>
      <c r="B116" s="768"/>
      <c r="C116" s="700"/>
      <c r="D116" s="701"/>
      <c r="E116" s="700"/>
      <c r="F116" s="328"/>
      <c r="G116" s="700"/>
      <c r="H116" s="700"/>
      <c r="I116" s="703"/>
      <c r="J116" s="704"/>
      <c r="K116" s="704"/>
      <c r="L116" s="704"/>
      <c r="M116" s="704"/>
      <c r="N116" s="704"/>
      <c r="O116" s="664"/>
      <c r="P116" s="637"/>
      <c r="AA116" s="664"/>
    </row>
    <row r="117" spans="1:27" ht="15.75" customHeight="1" x14ac:dyDescent="0.3">
      <c r="A117" s="768"/>
      <c r="B117" s="768"/>
      <c r="C117" s="700"/>
      <c r="D117" s="701"/>
      <c r="E117" s="700"/>
      <c r="F117" s="328"/>
      <c r="G117" s="700"/>
      <c r="H117" s="700"/>
      <c r="I117" s="703"/>
      <c r="J117" s="704"/>
      <c r="K117" s="704"/>
      <c r="L117" s="704"/>
      <c r="M117" s="704"/>
      <c r="N117" s="704"/>
      <c r="O117" s="664"/>
      <c r="P117" s="637"/>
      <c r="AA117" s="638"/>
    </row>
    <row r="118" spans="1:27" ht="15.75" customHeight="1" x14ac:dyDescent="0.3">
      <c r="A118" s="768"/>
      <c r="B118" s="768"/>
      <c r="C118" s="700"/>
      <c r="D118" s="701"/>
      <c r="E118" s="700"/>
      <c r="F118" s="328"/>
      <c r="G118" s="700"/>
      <c r="H118" s="700"/>
      <c r="I118" s="703"/>
      <c r="J118" s="704"/>
      <c r="K118" s="704"/>
      <c r="L118" s="704"/>
      <c r="M118" s="704"/>
      <c r="N118" s="704"/>
      <c r="O118" s="664"/>
      <c r="P118" s="637"/>
      <c r="AA118" s="638"/>
    </row>
    <row r="119" spans="1:27" ht="15.75" customHeight="1" x14ac:dyDescent="0.3">
      <c r="A119" s="768"/>
      <c r="B119" s="768"/>
      <c r="C119" s="700"/>
      <c r="D119" s="701"/>
      <c r="E119" s="700"/>
      <c r="F119" s="328"/>
      <c r="G119" s="700"/>
      <c r="H119" s="700"/>
      <c r="I119" s="703"/>
      <c r="J119" s="704"/>
      <c r="K119" s="704"/>
      <c r="L119" s="704"/>
      <c r="M119" s="704"/>
      <c r="N119" s="704"/>
      <c r="O119" s="664"/>
      <c r="P119" s="637"/>
      <c r="AA119" s="664"/>
    </row>
    <row r="120" spans="1:27" ht="15.75" customHeight="1" x14ac:dyDescent="0.3">
      <c r="A120" s="768"/>
      <c r="B120" s="768"/>
      <c r="C120" s="700"/>
      <c r="D120" s="701"/>
      <c r="E120" s="700"/>
      <c r="F120" s="328"/>
      <c r="G120" s="700"/>
      <c r="H120" s="700"/>
      <c r="I120" s="703"/>
      <c r="J120" s="704"/>
      <c r="K120" s="704"/>
      <c r="L120" s="704"/>
      <c r="M120" s="704"/>
      <c r="N120" s="704"/>
      <c r="O120" s="664"/>
      <c r="P120" s="685"/>
      <c r="AA120" s="664"/>
    </row>
    <row r="121" spans="1:27" ht="15.75" customHeight="1" x14ac:dyDescent="0.3">
      <c r="A121" s="768"/>
      <c r="B121" s="768"/>
      <c r="C121" s="700"/>
      <c r="D121" s="701"/>
      <c r="E121" s="700"/>
      <c r="F121" s="328"/>
      <c r="G121" s="700"/>
      <c r="H121" s="700"/>
      <c r="I121" s="703"/>
      <c r="J121" s="704"/>
      <c r="K121" s="704"/>
      <c r="L121" s="704"/>
      <c r="M121" s="704"/>
      <c r="N121" s="704"/>
      <c r="O121" s="664"/>
      <c r="P121" s="685"/>
      <c r="AA121" s="664"/>
    </row>
    <row r="122" spans="1:27" ht="15.75" customHeight="1" x14ac:dyDescent="0.3">
      <c r="A122" s="768"/>
      <c r="B122" s="768"/>
      <c r="C122" s="700"/>
      <c r="D122" s="701"/>
      <c r="E122" s="700"/>
      <c r="F122" s="328"/>
      <c r="G122" s="700"/>
      <c r="H122" s="700"/>
      <c r="I122" s="703"/>
      <c r="J122" s="704"/>
      <c r="K122" s="704"/>
      <c r="L122" s="704"/>
      <c r="M122" s="704"/>
      <c r="N122" s="704"/>
      <c r="O122" s="664"/>
      <c r="P122" s="707"/>
      <c r="AA122" s="638"/>
    </row>
    <row r="123" spans="1:27" ht="15.75" customHeight="1" x14ac:dyDescent="0.3">
      <c r="A123" s="768"/>
      <c r="B123" s="768"/>
      <c r="C123" s="700"/>
      <c r="D123" s="701"/>
      <c r="E123" s="700"/>
      <c r="F123" s="328"/>
      <c r="G123" s="700"/>
      <c r="H123" s="700"/>
      <c r="I123" s="703"/>
      <c r="J123" s="704"/>
      <c r="K123" s="704"/>
      <c r="L123" s="704"/>
      <c r="M123" s="704"/>
      <c r="N123" s="704"/>
      <c r="O123" s="664"/>
      <c r="P123" s="707"/>
      <c r="AA123" s="638"/>
    </row>
    <row r="124" spans="1:27" ht="15.75" customHeight="1" x14ac:dyDescent="0.3">
      <c r="A124" s="768"/>
      <c r="B124" s="768"/>
      <c r="C124" s="700"/>
      <c r="D124" s="701"/>
      <c r="E124" s="700"/>
      <c r="F124" s="328"/>
      <c r="G124" s="700"/>
      <c r="H124" s="700"/>
      <c r="I124" s="703"/>
      <c r="J124" s="704"/>
      <c r="K124" s="704"/>
      <c r="L124" s="704"/>
      <c r="M124" s="704"/>
      <c r="N124" s="704"/>
      <c r="O124" s="664"/>
      <c r="P124" s="707"/>
      <c r="AA124" s="638"/>
    </row>
    <row r="125" spans="1:27" ht="15.75" customHeight="1" x14ac:dyDescent="0.3">
      <c r="A125" s="768"/>
      <c r="B125" s="768"/>
      <c r="C125" s="700"/>
      <c r="D125" s="701"/>
      <c r="E125" s="700"/>
      <c r="F125" s="328"/>
      <c r="G125" s="700"/>
      <c r="H125" s="700"/>
      <c r="I125" s="703"/>
      <c r="J125" s="704"/>
      <c r="K125" s="704"/>
      <c r="L125" s="704"/>
      <c r="M125" s="704"/>
      <c r="N125" s="704"/>
      <c r="O125" s="664"/>
      <c r="P125" s="671"/>
      <c r="AA125" s="664"/>
    </row>
    <row r="126" spans="1:27" ht="15.75" customHeight="1" x14ac:dyDescent="0.3">
      <c r="A126" s="768"/>
      <c r="B126" s="768"/>
      <c r="C126" s="700"/>
      <c r="D126" s="701"/>
      <c r="E126" s="700"/>
      <c r="F126" s="328"/>
      <c r="G126" s="700"/>
      <c r="H126" s="700"/>
      <c r="I126" s="703"/>
      <c r="J126" s="704"/>
      <c r="K126" s="704"/>
      <c r="L126" s="704"/>
      <c r="M126" s="704"/>
      <c r="N126" s="704"/>
      <c r="O126" s="664"/>
      <c r="P126" s="637"/>
      <c r="AA126" s="664"/>
    </row>
    <row r="127" spans="1:27" ht="15.75" customHeight="1" x14ac:dyDescent="0.3">
      <c r="A127" s="768"/>
      <c r="B127" s="768"/>
      <c r="C127" s="700"/>
      <c r="D127" s="701"/>
      <c r="E127" s="700"/>
      <c r="F127" s="328"/>
      <c r="G127" s="700"/>
      <c r="H127" s="700"/>
      <c r="I127" s="703"/>
      <c r="J127" s="704"/>
      <c r="K127" s="704"/>
      <c r="L127" s="704"/>
      <c r="M127" s="704"/>
      <c r="N127" s="704"/>
      <c r="O127" s="664"/>
      <c r="P127" s="637"/>
      <c r="AA127" s="664"/>
    </row>
    <row r="128" spans="1:27" ht="15.75" customHeight="1" x14ac:dyDescent="0.3">
      <c r="A128" s="768"/>
      <c r="B128" s="768"/>
      <c r="C128" s="700"/>
      <c r="D128" s="701"/>
      <c r="E128" s="700"/>
      <c r="F128" s="328"/>
      <c r="G128" s="700"/>
      <c r="H128" s="700"/>
      <c r="I128" s="703"/>
      <c r="J128" s="704"/>
      <c r="K128" s="704"/>
      <c r="L128" s="704"/>
      <c r="M128" s="704"/>
      <c r="N128" s="704"/>
      <c r="O128" s="664"/>
      <c r="P128" s="685"/>
      <c r="AA128" s="664"/>
    </row>
    <row r="129" spans="1:27" ht="15.75" customHeight="1" x14ac:dyDescent="0.3">
      <c r="A129" s="768"/>
      <c r="B129" s="768"/>
      <c r="C129" s="700"/>
      <c r="D129" s="701"/>
      <c r="E129" s="700"/>
      <c r="F129" s="328"/>
      <c r="G129" s="700"/>
      <c r="H129" s="700"/>
      <c r="I129" s="703"/>
      <c r="J129" s="704"/>
      <c r="K129" s="704"/>
      <c r="L129" s="704"/>
      <c r="M129" s="704"/>
      <c r="N129" s="704"/>
      <c r="O129" s="664"/>
      <c r="P129" s="685"/>
      <c r="AA129" s="664"/>
    </row>
    <row r="130" spans="1:27" ht="15.75" customHeight="1" x14ac:dyDescent="0.3">
      <c r="A130" s="768"/>
      <c r="B130" s="768"/>
      <c r="C130" s="700"/>
      <c r="D130" s="701"/>
      <c r="E130" s="700"/>
      <c r="F130" s="328"/>
      <c r="G130" s="700"/>
      <c r="H130" s="700"/>
      <c r="I130" s="703"/>
      <c r="J130" s="704"/>
      <c r="K130" s="704"/>
      <c r="L130" s="704"/>
      <c r="M130" s="704"/>
      <c r="N130" s="704"/>
      <c r="O130" s="664"/>
      <c r="P130" s="685"/>
      <c r="AA130" s="664"/>
    </row>
    <row r="131" spans="1:27" ht="15.75" customHeight="1" x14ac:dyDescent="0.3">
      <c r="A131" s="768"/>
      <c r="B131" s="768"/>
      <c r="C131" s="700"/>
      <c r="D131" s="701"/>
      <c r="E131" s="700"/>
      <c r="F131" s="328"/>
      <c r="G131" s="700"/>
      <c r="H131" s="700"/>
      <c r="I131" s="703"/>
      <c r="J131" s="704"/>
      <c r="K131" s="704"/>
      <c r="L131" s="704"/>
      <c r="M131" s="704"/>
      <c r="N131" s="704"/>
      <c r="O131" s="664"/>
      <c r="AA131" s="664"/>
    </row>
    <row r="132" spans="1:27" ht="15.75" customHeight="1" x14ac:dyDescent="0.3">
      <c r="A132" s="768"/>
      <c r="B132" s="768"/>
      <c r="C132" s="700"/>
      <c r="D132" s="701"/>
      <c r="E132" s="700"/>
      <c r="F132" s="328"/>
      <c r="G132" s="700"/>
      <c r="H132" s="700"/>
      <c r="I132" s="703"/>
      <c r="J132" s="704"/>
      <c r="K132" s="704"/>
      <c r="L132" s="704"/>
      <c r="M132" s="704"/>
      <c r="N132" s="704"/>
      <c r="O132" s="664"/>
      <c r="AA132" s="664"/>
    </row>
    <row r="133" spans="1:27" ht="15.75" customHeight="1" x14ac:dyDescent="0.3">
      <c r="A133" s="768"/>
      <c r="B133" s="768"/>
      <c r="C133" s="700"/>
      <c r="D133" s="701"/>
      <c r="E133" s="700"/>
      <c r="F133" s="328"/>
      <c r="G133" s="700"/>
      <c r="H133" s="700"/>
      <c r="I133" s="703"/>
      <c r="J133" s="704"/>
      <c r="K133" s="704"/>
      <c r="L133" s="704"/>
      <c r="M133" s="704"/>
      <c r="N133" s="704"/>
      <c r="O133" s="664"/>
      <c r="AA133" s="638"/>
    </row>
    <row r="134" spans="1:27" ht="15.75" customHeight="1" x14ac:dyDescent="0.3">
      <c r="A134" s="768"/>
      <c r="B134" s="768"/>
      <c r="C134" s="700"/>
      <c r="D134" s="701"/>
      <c r="E134" s="700"/>
      <c r="F134" s="328"/>
      <c r="G134" s="700"/>
      <c r="H134" s="700"/>
      <c r="I134" s="703"/>
      <c r="J134" s="704"/>
      <c r="K134" s="704"/>
      <c r="L134" s="704"/>
      <c r="M134" s="704"/>
      <c r="N134" s="704"/>
      <c r="O134" s="664"/>
      <c r="AA134" s="638"/>
    </row>
    <row r="135" spans="1:27" ht="15.75" customHeight="1" x14ac:dyDescent="0.3">
      <c r="A135" s="768"/>
      <c r="B135" s="768"/>
      <c r="C135" s="700"/>
      <c r="D135" s="701"/>
      <c r="E135" s="700"/>
      <c r="F135" s="328"/>
      <c r="G135" s="700"/>
      <c r="H135" s="700"/>
      <c r="I135" s="703"/>
      <c r="J135" s="704"/>
      <c r="K135" s="704"/>
      <c r="L135" s="704"/>
      <c r="M135" s="704"/>
      <c r="N135" s="704"/>
      <c r="O135" s="664"/>
      <c r="AA135" s="664"/>
    </row>
    <row r="136" spans="1:27" ht="15.75" customHeight="1" x14ac:dyDescent="0.3">
      <c r="A136" s="768"/>
      <c r="B136" s="768"/>
      <c r="C136" s="700"/>
      <c r="D136" s="701"/>
      <c r="E136" s="700"/>
      <c r="F136" s="328"/>
      <c r="G136" s="700"/>
      <c r="H136" s="700"/>
      <c r="I136" s="703"/>
      <c r="J136" s="704"/>
      <c r="K136" s="704"/>
      <c r="L136" s="704"/>
      <c r="M136" s="704"/>
      <c r="N136" s="704"/>
      <c r="O136" s="664"/>
      <c r="AA136" s="664"/>
    </row>
    <row r="137" spans="1:27" ht="15.75" customHeight="1" x14ac:dyDescent="0.3">
      <c r="A137" s="768"/>
      <c r="B137" s="768"/>
      <c r="C137" s="700"/>
      <c r="D137" s="701"/>
      <c r="E137" s="700"/>
      <c r="F137" s="328"/>
      <c r="G137" s="700"/>
      <c r="H137" s="700"/>
      <c r="I137" s="703"/>
      <c r="J137" s="704"/>
      <c r="K137" s="704"/>
      <c r="L137" s="704"/>
      <c r="M137" s="704"/>
      <c r="N137" s="704"/>
      <c r="O137" s="664"/>
      <c r="AA137" s="664"/>
    </row>
    <row r="138" spans="1:27" ht="15.75" customHeight="1" x14ac:dyDescent="0.3">
      <c r="A138" s="768"/>
      <c r="B138" s="768"/>
      <c r="C138" s="700"/>
      <c r="D138" s="701"/>
      <c r="E138" s="700"/>
      <c r="F138" s="328"/>
      <c r="G138" s="700"/>
      <c r="H138" s="700"/>
      <c r="I138" s="703"/>
      <c r="J138" s="704"/>
      <c r="K138" s="704"/>
      <c r="L138" s="704"/>
      <c r="M138" s="704"/>
      <c r="N138" s="704"/>
      <c r="O138" s="664"/>
      <c r="AA138" s="664"/>
    </row>
    <row r="139" spans="1:27" ht="15.75" customHeight="1" x14ac:dyDescent="0.3">
      <c r="A139" s="768"/>
      <c r="B139" s="768"/>
      <c r="C139" s="700"/>
      <c r="D139" s="701"/>
      <c r="E139" s="700"/>
      <c r="F139" s="328"/>
      <c r="G139" s="700"/>
      <c r="H139" s="700"/>
      <c r="I139" s="703"/>
      <c r="J139" s="704"/>
      <c r="K139" s="704"/>
      <c r="L139" s="704"/>
      <c r="M139" s="704"/>
      <c r="N139" s="704"/>
      <c r="O139" s="664"/>
      <c r="AA139" s="638"/>
    </row>
    <row r="140" spans="1:27" ht="15.75" customHeight="1" x14ac:dyDescent="0.3">
      <c r="A140" s="768"/>
      <c r="B140" s="768"/>
      <c r="C140" s="700"/>
      <c r="D140" s="701"/>
      <c r="E140" s="700"/>
      <c r="F140" s="328"/>
      <c r="G140" s="700"/>
      <c r="H140" s="700"/>
      <c r="I140" s="703"/>
      <c r="J140" s="704"/>
      <c r="K140" s="704"/>
      <c r="L140" s="704"/>
      <c r="M140" s="704"/>
      <c r="N140" s="704"/>
      <c r="O140" s="664"/>
      <c r="AA140" s="638"/>
    </row>
    <row r="141" spans="1:27" ht="15.75" customHeight="1" x14ac:dyDescent="0.3">
      <c r="A141" s="768"/>
      <c r="B141" s="768"/>
      <c r="C141" s="700"/>
      <c r="D141" s="701"/>
      <c r="E141" s="700"/>
      <c r="F141" s="328"/>
      <c r="G141" s="700"/>
      <c r="H141" s="700"/>
      <c r="I141" s="703"/>
      <c r="J141" s="704"/>
      <c r="K141" s="704"/>
      <c r="L141" s="704"/>
      <c r="M141" s="704"/>
      <c r="N141" s="704"/>
      <c r="O141" s="664"/>
      <c r="AA141" s="664"/>
    </row>
    <row r="142" spans="1:27" ht="15.75" customHeight="1" x14ac:dyDescent="0.3">
      <c r="A142" s="768"/>
      <c r="B142" s="768"/>
      <c r="C142" s="700"/>
      <c r="D142" s="701"/>
      <c r="E142" s="700"/>
      <c r="F142" s="328"/>
      <c r="G142" s="700"/>
      <c r="H142" s="700"/>
      <c r="I142" s="703"/>
      <c r="J142" s="704"/>
      <c r="K142" s="704"/>
      <c r="L142" s="704"/>
      <c r="M142" s="704"/>
      <c r="N142" s="704"/>
      <c r="O142" s="664"/>
      <c r="AA142" s="664"/>
    </row>
    <row r="143" spans="1:27" ht="15.75" customHeight="1" x14ac:dyDescent="0.3">
      <c r="A143" s="768"/>
      <c r="B143" s="768"/>
      <c r="C143" s="700"/>
      <c r="D143" s="701"/>
      <c r="E143" s="700"/>
      <c r="F143" s="328"/>
      <c r="G143" s="700"/>
      <c r="H143" s="700"/>
      <c r="I143" s="703"/>
      <c r="J143" s="704"/>
      <c r="K143" s="704"/>
      <c r="L143" s="704"/>
      <c r="M143" s="704"/>
      <c r="N143" s="704"/>
      <c r="O143" s="664"/>
      <c r="AA143" s="638"/>
    </row>
    <row r="144" spans="1:27" ht="15.75" customHeight="1" x14ac:dyDescent="0.3">
      <c r="A144" s="768"/>
      <c r="B144" s="768"/>
      <c r="C144" s="700"/>
      <c r="D144" s="701"/>
      <c r="E144" s="700"/>
      <c r="F144" s="328"/>
      <c r="G144" s="700"/>
      <c r="H144" s="700"/>
      <c r="I144" s="703"/>
      <c r="J144" s="704"/>
      <c r="K144" s="704"/>
      <c r="L144" s="704"/>
      <c r="M144" s="704"/>
      <c r="N144" s="704"/>
      <c r="O144" s="664"/>
      <c r="AA144" s="638"/>
    </row>
    <row r="145" spans="1:27" ht="15.75" customHeight="1" x14ac:dyDescent="0.3">
      <c r="A145" s="768"/>
      <c r="B145" s="768"/>
      <c r="C145" s="700"/>
      <c r="D145" s="701"/>
      <c r="E145" s="700"/>
      <c r="F145" s="328"/>
      <c r="G145" s="700"/>
      <c r="H145" s="700"/>
      <c r="I145" s="703"/>
      <c r="J145" s="704"/>
      <c r="K145" s="704"/>
      <c r="L145" s="704"/>
      <c r="M145" s="704"/>
      <c r="N145" s="704"/>
      <c r="O145" s="664"/>
      <c r="AA145" s="664"/>
    </row>
    <row r="146" spans="1:27" ht="15.75" customHeight="1" x14ac:dyDescent="0.3">
      <c r="A146" s="768"/>
      <c r="B146" s="768"/>
      <c r="C146" s="700"/>
      <c r="D146" s="701"/>
      <c r="E146" s="700"/>
      <c r="F146" s="328"/>
      <c r="G146" s="700"/>
      <c r="H146" s="700"/>
      <c r="I146" s="703"/>
      <c r="J146" s="704"/>
      <c r="K146" s="704"/>
      <c r="L146" s="704"/>
      <c r="M146" s="704"/>
      <c r="N146" s="704"/>
      <c r="O146" s="664"/>
      <c r="AA146" s="638"/>
    </row>
    <row r="147" spans="1:27" ht="15.75" customHeight="1" x14ac:dyDescent="0.3">
      <c r="A147" s="768"/>
      <c r="B147" s="768"/>
      <c r="C147" s="700"/>
      <c r="D147" s="701"/>
      <c r="E147" s="700"/>
      <c r="F147" s="328"/>
      <c r="G147" s="700"/>
      <c r="H147" s="700"/>
      <c r="I147" s="703"/>
      <c r="J147" s="704"/>
      <c r="K147" s="704"/>
      <c r="L147" s="704"/>
      <c r="M147" s="704"/>
      <c r="N147" s="704"/>
      <c r="O147" s="664"/>
      <c r="AA147" s="638"/>
    </row>
    <row r="148" spans="1:27" ht="15.75" customHeight="1" x14ac:dyDescent="0.3">
      <c r="A148" s="768"/>
      <c r="B148" s="768"/>
      <c r="C148" s="700"/>
      <c r="D148" s="701"/>
      <c r="E148" s="700"/>
      <c r="F148" s="328"/>
      <c r="G148" s="700"/>
      <c r="H148" s="700"/>
      <c r="I148" s="703"/>
      <c r="J148" s="704"/>
      <c r="K148" s="704"/>
      <c r="L148" s="704"/>
      <c r="M148" s="704"/>
      <c r="N148" s="704"/>
      <c r="O148" s="664"/>
      <c r="AA148" s="638"/>
    </row>
    <row r="149" spans="1:27" ht="15.75" customHeight="1" x14ac:dyDescent="0.3">
      <c r="A149" s="768"/>
      <c r="B149" s="768"/>
      <c r="C149" s="700"/>
      <c r="D149" s="701"/>
      <c r="E149" s="700"/>
      <c r="F149" s="328"/>
      <c r="G149" s="700"/>
      <c r="H149" s="700"/>
      <c r="I149" s="703"/>
      <c r="J149" s="704"/>
      <c r="K149" s="704"/>
      <c r="L149" s="704"/>
      <c r="M149" s="704"/>
      <c r="N149" s="704"/>
      <c r="O149" s="664"/>
      <c r="AA149" s="638"/>
    </row>
    <row r="150" spans="1:27" ht="15.75" customHeight="1" x14ac:dyDescent="0.3">
      <c r="A150" s="768"/>
      <c r="B150" s="768"/>
      <c r="C150" s="700"/>
      <c r="D150" s="701"/>
      <c r="E150" s="700"/>
      <c r="F150" s="328"/>
      <c r="G150" s="700"/>
      <c r="H150" s="700"/>
      <c r="I150" s="703"/>
      <c r="J150" s="704"/>
      <c r="K150" s="704"/>
      <c r="L150" s="704"/>
      <c r="M150" s="704"/>
      <c r="N150" s="704"/>
      <c r="O150" s="664"/>
      <c r="AA150" s="638"/>
    </row>
    <row r="151" spans="1:27" ht="15.75" customHeight="1" x14ac:dyDescent="0.3">
      <c r="A151" s="768"/>
      <c r="B151" s="768"/>
      <c r="C151" s="700"/>
      <c r="D151" s="701"/>
      <c r="E151" s="700"/>
      <c r="F151" s="328"/>
      <c r="G151" s="700"/>
      <c r="H151" s="700"/>
      <c r="I151" s="703"/>
      <c r="J151" s="704"/>
      <c r="K151" s="704"/>
      <c r="L151" s="704"/>
      <c r="M151" s="704"/>
      <c r="N151" s="704"/>
      <c r="O151" s="664"/>
      <c r="AA151" s="638"/>
    </row>
    <row r="152" spans="1:27" ht="15.75" customHeight="1" x14ac:dyDescent="0.3">
      <c r="A152" s="768"/>
      <c r="B152" s="768"/>
      <c r="C152" s="700"/>
      <c r="D152" s="701"/>
      <c r="E152" s="700"/>
      <c r="F152" s="328"/>
      <c r="G152" s="700"/>
      <c r="H152" s="700"/>
      <c r="I152" s="703"/>
      <c r="J152" s="704"/>
      <c r="K152" s="704"/>
      <c r="L152" s="704"/>
      <c r="M152" s="704"/>
      <c r="N152" s="704"/>
      <c r="O152" s="664"/>
      <c r="AA152" s="638"/>
    </row>
    <row r="153" spans="1:27" ht="15.75" customHeight="1" x14ac:dyDescent="0.3">
      <c r="A153" s="768"/>
      <c r="B153" s="768"/>
      <c r="C153" s="700"/>
      <c r="D153" s="701"/>
      <c r="E153" s="700"/>
      <c r="F153" s="328"/>
      <c r="G153" s="700"/>
      <c r="H153" s="700"/>
      <c r="I153" s="703"/>
      <c r="J153" s="704"/>
      <c r="K153" s="704"/>
      <c r="L153" s="704"/>
      <c r="M153" s="704"/>
      <c r="N153" s="704"/>
      <c r="O153" s="664"/>
      <c r="AA153" s="638"/>
    </row>
    <row r="154" spans="1:27" ht="15.75" customHeight="1" x14ac:dyDescent="0.3">
      <c r="A154" s="768"/>
      <c r="B154" s="768"/>
      <c r="C154" s="700"/>
      <c r="D154" s="701"/>
      <c r="E154" s="700"/>
      <c r="F154" s="328"/>
      <c r="G154" s="700"/>
      <c r="H154" s="700"/>
      <c r="I154" s="703"/>
      <c r="J154" s="704"/>
      <c r="K154" s="704"/>
      <c r="L154" s="704"/>
      <c r="M154" s="704"/>
      <c r="N154" s="704"/>
      <c r="O154" s="664"/>
      <c r="AA154" s="638"/>
    </row>
    <row r="155" spans="1:27" ht="15.75" customHeight="1" x14ac:dyDescent="0.3">
      <c r="A155" s="768"/>
      <c r="B155" s="768"/>
      <c r="C155" s="700"/>
      <c r="D155" s="701"/>
      <c r="E155" s="700"/>
      <c r="F155" s="328"/>
      <c r="G155" s="700"/>
      <c r="H155" s="700"/>
      <c r="I155" s="703"/>
      <c r="J155" s="704"/>
      <c r="K155" s="704"/>
      <c r="L155" s="704"/>
      <c r="M155" s="704"/>
      <c r="N155" s="704"/>
      <c r="O155" s="664"/>
      <c r="AA155" s="638"/>
    </row>
    <row r="156" spans="1:27" ht="15.75" customHeight="1" x14ac:dyDescent="0.3">
      <c r="A156" s="768"/>
      <c r="B156" s="768"/>
      <c r="C156" s="700"/>
      <c r="D156" s="701"/>
      <c r="E156" s="700"/>
      <c r="F156" s="328"/>
      <c r="G156" s="700"/>
      <c r="H156" s="700"/>
      <c r="I156" s="703"/>
      <c r="J156" s="704"/>
      <c r="K156" s="704"/>
      <c r="L156" s="704"/>
      <c r="M156" s="704"/>
      <c r="N156" s="704"/>
      <c r="O156" s="664"/>
      <c r="AA156" s="638"/>
    </row>
    <row r="157" spans="1:27" ht="15.75" customHeight="1" x14ac:dyDescent="0.3">
      <c r="A157" s="768"/>
      <c r="B157" s="768"/>
      <c r="C157" s="700"/>
      <c r="D157" s="701"/>
      <c r="E157" s="700"/>
      <c r="F157" s="328"/>
      <c r="G157" s="700"/>
      <c r="H157" s="700"/>
      <c r="I157" s="703"/>
      <c r="J157" s="704"/>
      <c r="K157" s="704"/>
      <c r="L157" s="704"/>
      <c r="M157" s="704"/>
      <c r="N157" s="704"/>
      <c r="O157" s="664"/>
      <c r="AA157" s="638"/>
    </row>
    <row r="158" spans="1:27" ht="15.75" customHeight="1" x14ac:dyDescent="0.3">
      <c r="A158" s="768"/>
      <c r="B158" s="768"/>
      <c r="C158" s="700"/>
      <c r="D158" s="701"/>
      <c r="E158" s="700"/>
      <c r="F158" s="328"/>
      <c r="G158" s="700"/>
      <c r="H158" s="700"/>
      <c r="I158" s="703"/>
      <c r="J158" s="704"/>
      <c r="K158" s="704"/>
      <c r="L158" s="704"/>
      <c r="M158" s="704"/>
      <c r="N158" s="704"/>
      <c r="O158" s="664"/>
      <c r="AA158" s="638"/>
    </row>
    <row r="159" spans="1:27" ht="15.75" customHeight="1" x14ac:dyDescent="0.3">
      <c r="A159" s="768"/>
      <c r="B159" s="768"/>
      <c r="C159" s="700"/>
      <c r="D159" s="701"/>
      <c r="E159" s="700"/>
      <c r="F159" s="328"/>
      <c r="G159" s="700"/>
      <c r="H159" s="700"/>
      <c r="I159" s="703"/>
      <c r="J159" s="704"/>
      <c r="K159" s="704"/>
      <c r="L159" s="704"/>
      <c r="M159" s="704"/>
      <c r="N159" s="704"/>
      <c r="O159" s="664"/>
      <c r="AA159" s="664"/>
    </row>
    <row r="160" spans="1:27" ht="15.75" customHeight="1" x14ac:dyDescent="0.3">
      <c r="A160" s="768"/>
      <c r="B160" s="768"/>
      <c r="C160" s="700"/>
      <c r="D160" s="701"/>
      <c r="E160" s="700"/>
      <c r="F160" s="328"/>
      <c r="G160" s="700"/>
      <c r="H160" s="700"/>
      <c r="I160" s="703"/>
      <c r="J160" s="704"/>
      <c r="K160" s="704"/>
      <c r="L160" s="704"/>
      <c r="M160" s="704"/>
      <c r="N160" s="704"/>
      <c r="O160" s="664"/>
    </row>
    <row r="161" spans="1:15" ht="15.75" customHeight="1" x14ac:dyDescent="0.3">
      <c r="A161" s="768"/>
      <c r="B161" s="768"/>
      <c r="C161" s="700"/>
      <c r="D161" s="701"/>
      <c r="E161" s="700"/>
      <c r="F161" s="328"/>
      <c r="G161" s="700"/>
      <c r="H161" s="700"/>
      <c r="I161" s="703"/>
      <c r="J161" s="704"/>
      <c r="K161" s="704"/>
      <c r="L161" s="704"/>
      <c r="M161" s="704"/>
      <c r="N161" s="704"/>
      <c r="O161" s="664"/>
    </row>
    <row r="162" spans="1:15" ht="15.75" customHeight="1" x14ac:dyDescent="0.3">
      <c r="A162" s="768"/>
      <c r="B162" s="768"/>
      <c r="C162" s="700"/>
      <c r="D162" s="701"/>
      <c r="E162" s="700"/>
      <c r="F162" s="328"/>
      <c r="G162" s="700"/>
      <c r="H162" s="700"/>
      <c r="I162" s="703"/>
      <c r="J162" s="704"/>
      <c r="K162" s="704"/>
      <c r="L162" s="704"/>
      <c r="M162" s="704"/>
      <c r="N162" s="704"/>
      <c r="O162" s="664"/>
    </row>
    <row r="163" spans="1:15" ht="15.75" customHeight="1" x14ac:dyDescent="0.3">
      <c r="A163" s="768"/>
      <c r="B163" s="768"/>
      <c r="C163" s="700"/>
      <c r="D163" s="701"/>
      <c r="E163" s="700"/>
      <c r="F163" s="328"/>
      <c r="G163" s="700"/>
      <c r="H163" s="700"/>
      <c r="I163" s="703"/>
      <c r="J163" s="704"/>
      <c r="K163" s="704"/>
      <c r="L163" s="704"/>
      <c r="M163" s="704"/>
      <c r="N163" s="704"/>
      <c r="O163" s="664"/>
    </row>
    <row r="164" spans="1:15" ht="15.75" customHeight="1" x14ac:dyDescent="0.3">
      <c r="A164" s="768"/>
      <c r="B164" s="768"/>
      <c r="C164" s="700"/>
      <c r="D164" s="701"/>
      <c r="E164" s="700"/>
      <c r="F164" s="328"/>
      <c r="G164" s="700"/>
      <c r="H164" s="700"/>
      <c r="I164" s="703"/>
      <c r="J164" s="704"/>
      <c r="K164" s="704"/>
      <c r="L164" s="704"/>
      <c r="M164" s="704"/>
      <c r="N164" s="704"/>
      <c r="O164" s="664"/>
    </row>
    <row r="165" spans="1:15" ht="15.75" customHeight="1" x14ac:dyDescent="0.3">
      <c r="A165" s="768"/>
      <c r="B165" s="768"/>
      <c r="C165" s="700"/>
      <c r="D165" s="701"/>
      <c r="E165" s="700"/>
      <c r="F165" s="328"/>
      <c r="G165" s="700"/>
      <c r="H165" s="700"/>
      <c r="I165" s="703"/>
      <c r="J165" s="704"/>
      <c r="K165" s="704"/>
      <c r="L165" s="704"/>
      <c r="M165" s="704"/>
      <c r="N165" s="704"/>
      <c r="O165" s="664"/>
    </row>
    <row r="166" spans="1:15" ht="15.75" customHeight="1" x14ac:dyDescent="0.3">
      <c r="A166" s="768"/>
      <c r="B166" s="768"/>
      <c r="C166" s="700"/>
      <c r="D166" s="701"/>
      <c r="E166" s="700"/>
      <c r="F166" s="328"/>
      <c r="G166" s="700"/>
      <c r="H166" s="700"/>
      <c r="I166" s="703"/>
      <c r="J166" s="704"/>
      <c r="K166" s="704"/>
      <c r="L166" s="704"/>
      <c r="M166" s="704"/>
      <c r="N166" s="704"/>
      <c r="O166" s="664"/>
    </row>
    <row r="167" spans="1:15" ht="15.75" customHeight="1" x14ac:dyDescent="0.3">
      <c r="A167" s="768"/>
      <c r="B167" s="768"/>
      <c r="C167" s="700"/>
      <c r="D167" s="701"/>
      <c r="E167" s="700"/>
      <c r="F167" s="328"/>
      <c r="G167" s="700"/>
      <c r="H167" s="700"/>
      <c r="I167" s="703"/>
      <c r="J167" s="704"/>
      <c r="K167" s="704"/>
      <c r="L167" s="704"/>
      <c r="M167" s="704"/>
      <c r="N167" s="704"/>
      <c r="O167" s="664"/>
    </row>
    <row r="168" spans="1:15" ht="15.75" customHeight="1" x14ac:dyDescent="0.3">
      <c r="A168" s="768"/>
      <c r="B168" s="768"/>
      <c r="C168" s="700"/>
      <c r="D168" s="701"/>
      <c r="E168" s="700"/>
      <c r="F168" s="328"/>
      <c r="G168" s="700"/>
      <c r="H168" s="700"/>
      <c r="I168" s="703"/>
      <c r="J168" s="704"/>
      <c r="K168" s="704"/>
      <c r="L168" s="704"/>
      <c r="M168" s="704"/>
      <c r="N168" s="704"/>
      <c r="O168" s="664"/>
    </row>
    <row r="169" spans="1:15" ht="15.75" customHeight="1" x14ac:dyDescent="0.3">
      <c r="A169" s="768"/>
      <c r="B169" s="768"/>
      <c r="C169" s="700"/>
      <c r="D169" s="701"/>
      <c r="E169" s="700"/>
      <c r="F169" s="328"/>
      <c r="G169" s="700"/>
      <c r="H169" s="700"/>
      <c r="I169" s="703"/>
      <c r="J169" s="704"/>
      <c r="K169" s="704"/>
      <c r="L169" s="704"/>
      <c r="M169" s="704"/>
      <c r="N169" s="704"/>
      <c r="O169" s="664"/>
    </row>
    <row r="170" spans="1:15" ht="15.75" customHeight="1" x14ac:dyDescent="0.3">
      <c r="A170" s="768"/>
      <c r="B170" s="768"/>
      <c r="C170" s="700"/>
      <c r="D170" s="701"/>
      <c r="E170" s="700"/>
      <c r="F170" s="328"/>
      <c r="G170" s="700"/>
      <c r="H170" s="700"/>
      <c r="I170" s="703"/>
      <c r="J170" s="704"/>
      <c r="K170" s="704"/>
      <c r="L170" s="704"/>
      <c r="M170" s="704"/>
      <c r="N170" s="704"/>
      <c r="O170" s="664"/>
    </row>
    <row r="171" spans="1:15" ht="15.75" customHeight="1" x14ac:dyDescent="0.3">
      <c r="A171" s="768"/>
      <c r="B171" s="768"/>
      <c r="C171" s="700"/>
      <c r="D171" s="701"/>
      <c r="E171" s="700"/>
      <c r="F171" s="328"/>
      <c r="G171" s="700"/>
      <c r="H171" s="700"/>
      <c r="I171" s="703"/>
      <c r="J171" s="704"/>
      <c r="K171" s="704"/>
      <c r="L171" s="704"/>
      <c r="M171" s="704"/>
      <c r="N171" s="704"/>
      <c r="O171" s="664"/>
    </row>
    <row r="172" spans="1:15" ht="15.75" customHeight="1" x14ac:dyDescent="0.3">
      <c r="A172" s="768"/>
      <c r="B172" s="768"/>
      <c r="C172" s="700"/>
      <c r="D172" s="701"/>
      <c r="E172" s="700"/>
      <c r="F172" s="328"/>
      <c r="G172" s="700"/>
      <c r="H172" s="700"/>
      <c r="I172" s="703"/>
      <c r="J172" s="704"/>
      <c r="K172" s="704"/>
      <c r="L172" s="704"/>
      <c r="M172" s="704"/>
      <c r="N172" s="704"/>
      <c r="O172" s="664"/>
    </row>
    <row r="173" spans="1:15" ht="15.75" customHeight="1" x14ac:dyDescent="0.3">
      <c r="A173" s="768"/>
      <c r="B173" s="768"/>
      <c r="C173" s="700"/>
      <c r="D173" s="701"/>
      <c r="E173" s="700"/>
      <c r="F173" s="328"/>
      <c r="G173" s="700"/>
      <c r="H173" s="700"/>
      <c r="I173" s="703"/>
      <c r="J173" s="704"/>
      <c r="K173" s="704"/>
      <c r="L173" s="704"/>
      <c r="M173" s="704"/>
      <c r="N173" s="704"/>
      <c r="O173" s="664"/>
    </row>
    <row r="174" spans="1:15" ht="15.75" customHeight="1" x14ac:dyDescent="0.3">
      <c r="A174" s="768"/>
      <c r="B174" s="768"/>
      <c r="C174" s="700"/>
      <c r="D174" s="701"/>
      <c r="E174" s="700"/>
      <c r="F174" s="328"/>
      <c r="G174" s="700"/>
      <c r="H174" s="700"/>
      <c r="I174" s="703"/>
      <c r="J174" s="704"/>
      <c r="K174" s="704"/>
      <c r="L174" s="704"/>
      <c r="M174" s="704"/>
      <c r="N174" s="704"/>
      <c r="O174" s="664"/>
    </row>
    <row r="175" spans="1:15" ht="15.75" customHeight="1" x14ac:dyDescent="0.3">
      <c r="A175" s="768"/>
      <c r="B175" s="768"/>
      <c r="C175" s="700"/>
      <c r="D175" s="701"/>
      <c r="E175" s="700"/>
      <c r="F175" s="328"/>
      <c r="G175" s="700"/>
      <c r="H175" s="700"/>
      <c r="I175" s="703"/>
      <c r="J175" s="704"/>
      <c r="K175" s="704"/>
      <c r="L175" s="704"/>
      <c r="M175" s="704"/>
      <c r="N175" s="704"/>
      <c r="O175" s="664"/>
    </row>
    <row r="176" spans="1:15" ht="15.75" customHeight="1" x14ac:dyDescent="0.3">
      <c r="A176" s="768"/>
      <c r="B176" s="768"/>
      <c r="C176" s="700"/>
      <c r="D176" s="701"/>
      <c r="E176" s="700"/>
      <c r="F176" s="328"/>
      <c r="G176" s="700"/>
      <c r="H176" s="700"/>
      <c r="I176" s="703"/>
      <c r="J176" s="704"/>
      <c r="K176" s="704"/>
      <c r="L176" s="704"/>
      <c r="M176" s="704"/>
      <c r="N176" s="704"/>
      <c r="O176" s="664"/>
    </row>
    <row r="177" spans="1:15" ht="15.75" customHeight="1" x14ac:dyDescent="0.3">
      <c r="A177" s="768"/>
      <c r="B177" s="768"/>
      <c r="C177" s="700"/>
      <c r="D177" s="701"/>
      <c r="E177" s="700"/>
      <c r="F177" s="328"/>
      <c r="G177" s="700"/>
      <c r="H177" s="700"/>
      <c r="I177" s="703"/>
      <c r="J177" s="704"/>
      <c r="K177" s="704"/>
      <c r="L177" s="704"/>
      <c r="M177" s="704"/>
      <c r="N177" s="704"/>
      <c r="O177" s="664"/>
    </row>
    <row r="178" spans="1:15" ht="15.75" customHeight="1" x14ac:dyDescent="0.3">
      <c r="A178" s="768"/>
      <c r="B178" s="768"/>
      <c r="C178" s="700"/>
      <c r="D178" s="701"/>
      <c r="E178" s="700"/>
      <c r="F178" s="328"/>
      <c r="G178" s="700"/>
      <c r="H178" s="700"/>
      <c r="I178" s="703"/>
      <c r="J178" s="704"/>
      <c r="K178" s="704"/>
      <c r="L178" s="704"/>
      <c r="M178" s="704"/>
      <c r="N178" s="704"/>
      <c r="O178" s="664"/>
    </row>
    <row r="179" spans="1:15" ht="15.75" customHeight="1" x14ac:dyDescent="0.3">
      <c r="A179" s="768"/>
      <c r="B179" s="768"/>
      <c r="C179" s="700"/>
      <c r="D179" s="701"/>
      <c r="E179" s="700"/>
      <c r="F179" s="328"/>
      <c r="G179" s="700"/>
      <c r="H179" s="700"/>
      <c r="I179" s="703"/>
      <c r="J179" s="704"/>
      <c r="K179" s="704"/>
      <c r="L179" s="704"/>
      <c r="M179" s="704"/>
      <c r="N179" s="704"/>
      <c r="O179" s="664"/>
    </row>
    <row r="180" spans="1:15" ht="15.75" customHeight="1" x14ac:dyDescent="0.3">
      <c r="A180" s="768"/>
      <c r="B180" s="768"/>
      <c r="C180" s="700"/>
      <c r="D180" s="701"/>
      <c r="E180" s="700"/>
      <c r="F180" s="328"/>
      <c r="G180" s="700"/>
      <c r="H180" s="700"/>
      <c r="I180" s="703"/>
      <c r="J180" s="704"/>
      <c r="K180" s="704"/>
      <c r="L180" s="704"/>
      <c r="M180" s="704"/>
      <c r="N180" s="704"/>
      <c r="O180" s="664"/>
    </row>
    <row r="181" spans="1:15" ht="15.75" customHeight="1" x14ac:dyDescent="0.3">
      <c r="A181" s="768"/>
      <c r="B181" s="768"/>
      <c r="C181" s="700"/>
      <c r="D181" s="701"/>
      <c r="E181" s="700"/>
      <c r="F181" s="328"/>
      <c r="G181" s="700"/>
      <c r="H181" s="700"/>
      <c r="I181" s="703"/>
      <c r="J181" s="704"/>
      <c r="K181" s="704"/>
      <c r="L181" s="704"/>
      <c r="M181" s="704"/>
      <c r="N181" s="704"/>
      <c r="O181" s="664"/>
    </row>
    <row r="182" spans="1:15" ht="15.75" customHeight="1" x14ac:dyDescent="0.3">
      <c r="A182" s="768"/>
      <c r="B182" s="768"/>
      <c r="C182" s="700"/>
      <c r="D182" s="701"/>
      <c r="E182" s="700"/>
      <c r="F182" s="328"/>
      <c r="G182" s="700"/>
      <c r="H182" s="700"/>
      <c r="I182" s="703"/>
      <c r="J182" s="704"/>
      <c r="K182" s="704"/>
      <c r="L182" s="704"/>
      <c r="M182" s="704"/>
      <c r="N182" s="704"/>
      <c r="O182" s="664"/>
    </row>
    <row r="183" spans="1:15" ht="15.75" customHeight="1" x14ac:dyDescent="0.3">
      <c r="A183" s="768"/>
      <c r="B183" s="768"/>
      <c r="C183" s="700"/>
      <c r="D183" s="701"/>
      <c r="E183" s="700"/>
      <c r="F183" s="328"/>
      <c r="G183" s="700"/>
      <c r="H183" s="700"/>
      <c r="I183" s="703"/>
      <c r="J183" s="704"/>
      <c r="K183" s="704"/>
      <c r="L183" s="704"/>
      <c r="M183" s="704"/>
      <c r="N183" s="704"/>
      <c r="O183" s="664"/>
    </row>
    <row r="184" spans="1:15" ht="15.75" customHeight="1" x14ac:dyDescent="0.3">
      <c r="A184" s="768"/>
      <c r="B184" s="768"/>
      <c r="C184" s="700"/>
      <c r="D184" s="701"/>
      <c r="E184" s="700"/>
      <c r="F184" s="328"/>
      <c r="G184" s="700"/>
      <c r="H184" s="700"/>
      <c r="I184" s="703"/>
      <c r="J184" s="704"/>
      <c r="K184" s="704"/>
      <c r="L184" s="704"/>
      <c r="M184" s="704"/>
      <c r="N184" s="704"/>
      <c r="O184" s="664"/>
    </row>
    <row r="185" spans="1:15" ht="15.75" customHeight="1" x14ac:dyDescent="0.3">
      <c r="A185" s="768"/>
      <c r="B185" s="768"/>
      <c r="C185" s="700"/>
      <c r="D185" s="701"/>
      <c r="E185" s="700"/>
      <c r="F185" s="328"/>
      <c r="G185" s="700"/>
      <c r="H185" s="700"/>
      <c r="I185" s="703"/>
      <c r="J185" s="704"/>
      <c r="K185" s="704"/>
      <c r="L185" s="704"/>
      <c r="M185" s="704"/>
      <c r="N185" s="704"/>
      <c r="O185" s="664"/>
    </row>
    <row r="186" spans="1:15" ht="15.75" customHeight="1" x14ac:dyDescent="0.3">
      <c r="A186" s="768"/>
      <c r="B186" s="768"/>
      <c r="C186" s="700"/>
      <c r="D186" s="701"/>
      <c r="E186" s="700"/>
      <c r="F186" s="328"/>
      <c r="G186" s="700"/>
      <c r="H186" s="700"/>
      <c r="I186" s="703"/>
      <c r="J186" s="704"/>
      <c r="K186" s="704"/>
      <c r="L186" s="704"/>
      <c r="M186" s="704"/>
      <c r="N186" s="704"/>
      <c r="O186" s="664"/>
    </row>
    <row r="187" spans="1:15" ht="15.75" customHeight="1" x14ac:dyDescent="0.3">
      <c r="A187" s="768"/>
      <c r="B187" s="768"/>
      <c r="C187" s="700"/>
      <c r="D187" s="701"/>
      <c r="E187" s="700"/>
      <c r="F187" s="328"/>
      <c r="G187" s="700"/>
      <c r="H187" s="700"/>
      <c r="I187" s="703"/>
      <c r="J187" s="704"/>
      <c r="K187" s="704"/>
      <c r="L187" s="704"/>
      <c r="M187" s="704"/>
      <c r="N187" s="704"/>
      <c r="O187" s="664"/>
    </row>
    <row r="188" spans="1:15" ht="15.75" customHeight="1" x14ac:dyDescent="0.3">
      <c r="A188" s="768"/>
      <c r="B188" s="768"/>
      <c r="C188" s="700"/>
      <c r="D188" s="701"/>
      <c r="E188" s="700"/>
      <c r="F188" s="328"/>
      <c r="G188" s="700"/>
      <c r="H188" s="700"/>
      <c r="I188" s="703"/>
      <c r="J188" s="704"/>
      <c r="K188" s="704"/>
      <c r="L188" s="704"/>
      <c r="M188" s="704"/>
      <c r="N188" s="704"/>
      <c r="O188" s="664"/>
    </row>
    <row r="189" spans="1:15" ht="15.75" customHeight="1" x14ac:dyDescent="0.3">
      <c r="A189" s="768"/>
      <c r="B189" s="768"/>
      <c r="C189" s="700"/>
      <c r="D189" s="701"/>
      <c r="E189" s="700"/>
      <c r="F189" s="328"/>
      <c r="G189" s="700"/>
      <c r="H189" s="700"/>
      <c r="I189" s="703"/>
      <c r="J189" s="704"/>
      <c r="K189" s="704"/>
      <c r="L189" s="704"/>
      <c r="M189" s="704"/>
      <c r="N189" s="704"/>
      <c r="O189" s="664"/>
    </row>
    <row r="190" spans="1:15" ht="15.75" customHeight="1" x14ac:dyDescent="0.3">
      <c r="A190" s="768"/>
      <c r="B190" s="768"/>
      <c r="C190" s="700"/>
      <c r="D190" s="701"/>
      <c r="E190" s="700"/>
      <c r="F190" s="328"/>
      <c r="G190" s="700"/>
      <c r="H190" s="700"/>
      <c r="I190" s="703"/>
      <c r="J190" s="704"/>
      <c r="K190" s="704"/>
      <c r="L190" s="704"/>
      <c r="M190" s="704"/>
      <c r="N190" s="704"/>
      <c r="O190" s="664"/>
    </row>
    <row r="191" spans="1:15" ht="15.75" customHeight="1" x14ac:dyDescent="0.3">
      <c r="A191" s="768"/>
      <c r="B191" s="768"/>
      <c r="C191" s="700"/>
      <c r="D191" s="701"/>
      <c r="E191" s="700"/>
      <c r="F191" s="328"/>
      <c r="G191" s="700"/>
      <c r="H191" s="700"/>
      <c r="I191" s="703"/>
      <c r="J191" s="704"/>
      <c r="K191" s="704"/>
      <c r="L191" s="704"/>
      <c r="M191" s="704"/>
      <c r="N191" s="704"/>
      <c r="O191" s="664"/>
    </row>
    <row r="192" spans="1:15" ht="15.75" customHeight="1" x14ac:dyDescent="0.3">
      <c r="A192" s="768"/>
      <c r="B192" s="768"/>
      <c r="C192" s="700"/>
      <c r="D192" s="701"/>
      <c r="E192" s="700"/>
      <c r="F192" s="328"/>
      <c r="G192" s="700"/>
      <c r="H192" s="700"/>
      <c r="I192" s="703"/>
      <c r="J192" s="704"/>
      <c r="K192" s="704"/>
      <c r="L192" s="704"/>
      <c r="M192" s="704"/>
      <c r="N192" s="704"/>
      <c r="O192" s="664"/>
    </row>
    <row r="193" spans="1:15" ht="15.75" customHeight="1" x14ac:dyDescent="0.3">
      <c r="A193" s="768"/>
      <c r="B193" s="768"/>
      <c r="C193" s="700"/>
      <c r="D193" s="701"/>
      <c r="E193" s="700"/>
      <c r="F193" s="328"/>
      <c r="G193" s="700"/>
      <c r="H193" s="700"/>
      <c r="I193" s="703"/>
      <c r="J193" s="704"/>
      <c r="K193" s="704"/>
      <c r="L193" s="704"/>
      <c r="M193" s="704"/>
      <c r="N193" s="704"/>
      <c r="O193" s="664"/>
    </row>
    <row r="194" spans="1:15" ht="15.75" customHeight="1" x14ac:dyDescent="0.3">
      <c r="A194" s="768"/>
      <c r="B194" s="768"/>
      <c r="C194" s="700"/>
      <c r="D194" s="701"/>
      <c r="E194" s="700"/>
      <c r="F194" s="328"/>
      <c r="G194" s="700"/>
      <c r="H194" s="700"/>
      <c r="I194" s="703"/>
      <c r="J194" s="704"/>
      <c r="K194" s="704"/>
      <c r="L194" s="704"/>
      <c r="M194" s="704"/>
      <c r="N194" s="704"/>
      <c r="O194" s="664"/>
    </row>
    <row r="195" spans="1:15" ht="15.75" customHeight="1" x14ac:dyDescent="0.3">
      <c r="A195" s="768"/>
      <c r="B195" s="768"/>
      <c r="C195" s="700"/>
      <c r="D195" s="701"/>
      <c r="E195" s="700"/>
      <c r="F195" s="328"/>
      <c r="G195" s="700"/>
      <c r="H195" s="700"/>
      <c r="I195" s="703"/>
      <c r="J195" s="704"/>
      <c r="K195" s="704"/>
      <c r="L195" s="704"/>
      <c r="M195" s="704"/>
      <c r="N195" s="704"/>
      <c r="O195" s="664"/>
    </row>
    <row r="196" spans="1:15" ht="15.75" customHeight="1" x14ac:dyDescent="0.3">
      <c r="A196" s="768"/>
      <c r="B196" s="768"/>
      <c r="C196" s="700"/>
      <c r="D196" s="701"/>
      <c r="E196" s="700"/>
      <c r="F196" s="328"/>
      <c r="G196" s="700"/>
      <c r="H196" s="700"/>
      <c r="I196" s="703"/>
      <c r="J196" s="704"/>
      <c r="K196" s="704"/>
      <c r="L196" s="704"/>
      <c r="M196" s="704"/>
      <c r="N196" s="704"/>
      <c r="O196" s="664"/>
    </row>
    <row r="197" spans="1:15" ht="15.75" customHeight="1" x14ac:dyDescent="0.3">
      <c r="A197" s="768"/>
      <c r="B197" s="768"/>
      <c r="C197" s="700"/>
      <c r="D197" s="701"/>
      <c r="E197" s="700"/>
      <c r="F197" s="328"/>
      <c r="G197" s="700"/>
      <c r="H197" s="700"/>
      <c r="I197" s="703"/>
      <c r="J197" s="704"/>
      <c r="K197" s="704"/>
      <c r="L197" s="704"/>
      <c r="M197" s="704"/>
      <c r="N197" s="704"/>
      <c r="O197" s="664"/>
    </row>
    <row r="198" spans="1:15" ht="15.75" customHeight="1" x14ac:dyDescent="0.3">
      <c r="A198" s="768"/>
      <c r="B198" s="768"/>
      <c r="C198" s="700"/>
      <c r="D198" s="701"/>
      <c r="E198" s="700"/>
      <c r="F198" s="328"/>
      <c r="G198" s="700"/>
      <c r="H198" s="700"/>
      <c r="I198" s="703"/>
      <c r="J198" s="704"/>
      <c r="K198" s="704"/>
      <c r="L198" s="704"/>
      <c r="M198" s="704"/>
      <c r="N198" s="704"/>
      <c r="O198" s="664"/>
    </row>
    <row r="199" spans="1:15" ht="15.75" customHeight="1" x14ac:dyDescent="0.3">
      <c r="A199" s="768"/>
      <c r="B199" s="768"/>
      <c r="C199" s="700"/>
      <c r="D199" s="701"/>
      <c r="E199" s="700"/>
      <c r="F199" s="328"/>
      <c r="G199" s="700"/>
      <c r="H199" s="700"/>
      <c r="I199" s="703"/>
      <c r="J199" s="704"/>
      <c r="K199" s="704"/>
      <c r="L199" s="704"/>
      <c r="M199" s="704"/>
      <c r="N199" s="704"/>
      <c r="O199" s="664"/>
    </row>
    <row r="200" spans="1:15" ht="15.75" customHeight="1" x14ac:dyDescent="0.3">
      <c r="A200" s="768"/>
      <c r="B200" s="768"/>
      <c r="C200" s="700"/>
      <c r="D200" s="701"/>
      <c r="E200" s="700"/>
      <c r="F200" s="328"/>
      <c r="G200" s="700"/>
      <c r="H200" s="700"/>
      <c r="I200" s="703"/>
      <c r="J200" s="704"/>
      <c r="K200" s="704"/>
      <c r="L200" s="704"/>
      <c r="M200" s="704"/>
      <c r="N200" s="704"/>
      <c r="O200" s="664"/>
    </row>
    <row r="201" spans="1:15" ht="15.75" customHeight="1" x14ac:dyDescent="0.3">
      <c r="A201" s="768"/>
      <c r="B201" s="768"/>
      <c r="C201" s="700"/>
      <c r="D201" s="701"/>
      <c r="E201" s="700"/>
      <c r="F201" s="328"/>
      <c r="G201" s="700"/>
      <c r="H201" s="700"/>
      <c r="I201" s="703"/>
      <c r="J201" s="704"/>
      <c r="K201" s="704"/>
      <c r="L201" s="704"/>
      <c r="M201" s="704"/>
      <c r="N201" s="704"/>
      <c r="O201" s="664"/>
    </row>
    <row r="202" spans="1:15" ht="15.75" customHeight="1" x14ac:dyDescent="0.3">
      <c r="A202" s="768"/>
      <c r="B202" s="768"/>
      <c r="C202" s="700"/>
      <c r="D202" s="701"/>
      <c r="E202" s="700"/>
      <c r="F202" s="328"/>
      <c r="G202" s="700"/>
      <c r="H202" s="700"/>
      <c r="I202" s="703"/>
      <c r="J202" s="704"/>
      <c r="K202" s="704"/>
      <c r="L202" s="704"/>
      <c r="M202" s="704"/>
      <c r="N202" s="704"/>
      <c r="O202" s="664"/>
    </row>
    <row r="203" spans="1:15" ht="15.75" customHeight="1" x14ac:dyDescent="0.3">
      <c r="A203" s="768"/>
      <c r="B203" s="768"/>
      <c r="C203" s="700"/>
      <c r="D203" s="701"/>
      <c r="E203" s="700"/>
      <c r="F203" s="328"/>
      <c r="G203" s="700"/>
      <c r="H203" s="700"/>
      <c r="I203" s="703"/>
      <c r="J203" s="704"/>
      <c r="K203" s="704"/>
      <c r="L203" s="704"/>
      <c r="M203" s="704"/>
      <c r="N203" s="704"/>
      <c r="O203" s="664"/>
    </row>
    <row r="204" spans="1:15" ht="15.75" customHeight="1" x14ac:dyDescent="0.3">
      <c r="A204" s="768"/>
      <c r="B204" s="768"/>
      <c r="C204" s="700"/>
      <c r="D204" s="701"/>
      <c r="E204" s="700"/>
      <c r="F204" s="328"/>
      <c r="G204" s="700"/>
      <c r="H204" s="700"/>
      <c r="I204" s="703"/>
      <c r="J204" s="704"/>
      <c r="K204" s="704"/>
      <c r="L204" s="704"/>
      <c r="M204" s="704"/>
      <c r="N204" s="704"/>
      <c r="O204" s="664"/>
    </row>
    <row r="205" spans="1:15" ht="15.75" customHeight="1" x14ac:dyDescent="0.3">
      <c r="A205" s="768"/>
      <c r="B205" s="768"/>
      <c r="C205" s="700"/>
      <c r="D205" s="701"/>
      <c r="E205" s="700"/>
      <c r="F205" s="328"/>
      <c r="G205" s="700"/>
      <c r="H205" s="700"/>
      <c r="I205" s="703"/>
      <c r="J205" s="704"/>
      <c r="K205" s="704"/>
      <c r="L205" s="704"/>
      <c r="M205" s="704"/>
      <c r="N205" s="704"/>
      <c r="O205" s="664"/>
    </row>
    <row r="206" spans="1:15" ht="15.75" customHeight="1" x14ac:dyDescent="0.3">
      <c r="A206" s="768"/>
      <c r="B206" s="768"/>
      <c r="C206" s="700"/>
      <c r="D206" s="701"/>
      <c r="E206" s="700"/>
      <c r="F206" s="328"/>
      <c r="G206" s="700"/>
      <c r="H206" s="700"/>
      <c r="I206" s="703"/>
      <c r="J206" s="704"/>
      <c r="K206" s="704"/>
      <c r="L206" s="704"/>
      <c r="M206" s="704"/>
      <c r="N206" s="704"/>
      <c r="O206" s="664"/>
    </row>
    <row r="207" spans="1:15" ht="15.75" customHeight="1" x14ac:dyDescent="0.3">
      <c r="A207" s="768"/>
      <c r="B207" s="768"/>
      <c r="C207" s="700"/>
      <c r="D207" s="701"/>
      <c r="E207" s="700"/>
      <c r="F207" s="328"/>
      <c r="G207" s="700"/>
      <c r="H207" s="700"/>
      <c r="I207" s="703"/>
      <c r="J207" s="704"/>
      <c r="K207" s="704"/>
      <c r="L207" s="704"/>
      <c r="M207" s="704"/>
      <c r="N207" s="704"/>
      <c r="O207" s="664"/>
    </row>
    <row r="208" spans="1:15" ht="15.75" customHeight="1" x14ac:dyDescent="0.3">
      <c r="A208" s="768"/>
      <c r="B208" s="768"/>
      <c r="C208" s="700"/>
      <c r="D208" s="701"/>
      <c r="E208" s="700"/>
      <c r="F208" s="328"/>
      <c r="G208" s="700"/>
      <c r="H208" s="700"/>
      <c r="I208" s="703"/>
      <c r="J208" s="704"/>
      <c r="K208" s="704"/>
      <c r="L208" s="704"/>
      <c r="M208" s="704"/>
      <c r="N208" s="704"/>
      <c r="O208" s="664"/>
    </row>
    <row r="209" spans="1:15" ht="15.75" customHeight="1" x14ac:dyDescent="0.3">
      <c r="A209" s="768"/>
      <c r="B209" s="768"/>
      <c r="C209" s="700"/>
      <c r="D209" s="701"/>
      <c r="E209" s="700"/>
      <c r="F209" s="328"/>
      <c r="G209" s="700"/>
      <c r="H209" s="700"/>
      <c r="I209" s="703"/>
      <c r="J209" s="704"/>
      <c r="K209" s="704"/>
      <c r="L209" s="704"/>
      <c r="M209" s="704"/>
      <c r="N209" s="704"/>
      <c r="O209" s="664"/>
    </row>
    <row r="210" spans="1:15" ht="15.75" customHeight="1" x14ac:dyDescent="0.3">
      <c r="A210" s="768"/>
      <c r="B210" s="768"/>
      <c r="C210" s="700"/>
      <c r="D210" s="701"/>
      <c r="E210" s="700"/>
      <c r="F210" s="328"/>
      <c r="G210" s="700"/>
      <c r="H210" s="700"/>
      <c r="I210" s="703"/>
      <c r="J210" s="704"/>
      <c r="K210" s="704"/>
      <c r="L210" s="704"/>
      <c r="M210" s="704"/>
      <c r="N210" s="704"/>
      <c r="O210" s="664"/>
    </row>
    <row r="211" spans="1:15" ht="15.75" customHeight="1" x14ac:dyDescent="0.3">
      <c r="A211" s="768"/>
      <c r="B211" s="768"/>
      <c r="C211" s="700"/>
      <c r="D211" s="701"/>
      <c r="E211" s="700"/>
      <c r="F211" s="328"/>
      <c r="G211" s="700"/>
      <c r="H211" s="700"/>
      <c r="I211" s="703"/>
      <c r="J211" s="704"/>
      <c r="K211" s="704"/>
      <c r="L211" s="704"/>
      <c r="M211" s="704"/>
      <c r="N211" s="704"/>
      <c r="O211" s="664"/>
    </row>
    <row r="212" spans="1:15" ht="15.75" customHeight="1" x14ac:dyDescent="0.3">
      <c r="A212" s="768"/>
      <c r="B212" s="768"/>
      <c r="C212" s="700"/>
      <c r="D212" s="701"/>
      <c r="E212" s="700"/>
      <c r="F212" s="328"/>
      <c r="G212" s="700"/>
      <c r="H212" s="700"/>
      <c r="I212" s="703"/>
      <c r="J212" s="704"/>
      <c r="K212" s="704"/>
      <c r="L212" s="704"/>
      <c r="M212" s="704"/>
      <c r="N212" s="704"/>
      <c r="O212" s="664"/>
    </row>
    <row r="213" spans="1:15" ht="15.75" customHeight="1" x14ac:dyDescent="0.3">
      <c r="A213" s="768"/>
      <c r="B213" s="768"/>
      <c r="C213" s="700"/>
      <c r="D213" s="701"/>
      <c r="E213" s="700"/>
      <c r="F213" s="328"/>
      <c r="G213" s="700"/>
      <c r="H213" s="700"/>
      <c r="I213" s="703"/>
      <c r="J213" s="704"/>
      <c r="K213" s="704"/>
      <c r="L213" s="704"/>
      <c r="M213" s="704"/>
      <c r="N213" s="704"/>
      <c r="O213" s="664"/>
    </row>
    <row r="214" spans="1:15" ht="15.75" customHeight="1" x14ac:dyDescent="0.3">
      <c r="A214" s="768"/>
      <c r="B214" s="768"/>
      <c r="C214" s="700"/>
      <c r="D214" s="701"/>
      <c r="E214" s="700"/>
      <c r="F214" s="328"/>
      <c r="G214" s="700"/>
      <c r="H214" s="700"/>
      <c r="I214" s="703"/>
      <c r="J214" s="704"/>
      <c r="K214" s="704"/>
      <c r="L214" s="704"/>
      <c r="M214" s="704"/>
      <c r="N214" s="704"/>
      <c r="O214" s="664"/>
    </row>
    <row r="215" spans="1:15" ht="15.75" customHeight="1" x14ac:dyDescent="0.3">
      <c r="A215" s="768"/>
      <c r="B215" s="768"/>
      <c r="C215" s="700"/>
      <c r="D215" s="701"/>
      <c r="E215" s="700"/>
      <c r="F215" s="328"/>
      <c r="G215" s="700"/>
      <c r="H215" s="700"/>
      <c r="I215" s="703"/>
      <c r="J215" s="704"/>
      <c r="K215" s="704"/>
      <c r="L215" s="704"/>
      <c r="M215" s="704"/>
      <c r="N215" s="704"/>
      <c r="O215" s="664"/>
    </row>
    <row r="216" spans="1:15" ht="15.75" customHeight="1" x14ac:dyDescent="0.3">
      <c r="A216" s="768"/>
      <c r="B216" s="768"/>
      <c r="C216" s="700"/>
      <c r="D216" s="701"/>
      <c r="E216" s="700"/>
      <c r="F216" s="328"/>
      <c r="G216" s="700"/>
      <c r="H216" s="700"/>
      <c r="I216" s="703"/>
      <c r="J216" s="704"/>
      <c r="K216" s="704"/>
      <c r="L216" s="704"/>
      <c r="M216" s="704"/>
      <c r="N216" s="704"/>
      <c r="O216" s="664"/>
    </row>
    <row r="217" spans="1:15" ht="15.75" customHeight="1" x14ac:dyDescent="0.3">
      <c r="A217" s="768"/>
      <c r="B217" s="768"/>
      <c r="C217" s="700"/>
      <c r="D217" s="701"/>
      <c r="E217" s="700"/>
      <c r="F217" s="328"/>
      <c r="G217" s="700"/>
      <c r="H217" s="700"/>
      <c r="I217" s="703"/>
      <c r="J217" s="704"/>
      <c r="K217" s="704"/>
      <c r="L217" s="704"/>
      <c r="M217" s="704"/>
      <c r="N217" s="704"/>
      <c r="O217" s="664"/>
    </row>
    <row r="218" spans="1:15" ht="15.75" customHeight="1" x14ac:dyDescent="0.3">
      <c r="A218" s="768"/>
      <c r="B218" s="768"/>
      <c r="C218" s="700"/>
      <c r="D218" s="701"/>
      <c r="E218" s="700"/>
      <c r="F218" s="328"/>
      <c r="G218" s="700"/>
      <c r="H218" s="700"/>
      <c r="I218" s="703"/>
      <c r="J218" s="704"/>
      <c r="K218" s="704"/>
      <c r="L218" s="704"/>
      <c r="M218" s="704"/>
      <c r="N218" s="704"/>
      <c r="O218" s="664"/>
    </row>
    <row r="219" spans="1:15" ht="15.75" customHeight="1" x14ac:dyDescent="0.3">
      <c r="A219" s="768"/>
      <c r="B219" s="768"/>
      <c r="C219" s="700"/>
      <c r="D219" s="701"/>
      <c r="E219" s="700"/>
      <c r="F219" s="328"/>
      <c r="G219" s="700"/>
      <c r="H219" s="700"/>
      <c r="I219" s="703"/>
      <c r="J219" s="704"/>
      <c r="K219" s="704"/>
      <c r="L219" s="704"/>
      <c r="M219" s="704"/>
      <c r="N219" s="704"/>
      <c r="O219" s="664"/>
    </row>
    <row r="220" spans="1:15" ht="15.75" customHeight="1" x14ac:dyDescent="0.3">
      <c r="A220" s="768"/>
      <c r="B220" s="768"/>
      <c r="C220" s="700"/>
      <c r="D220" s="701"/>
      <c r="E220" s="700"/>
      <c r="F220" s="328"/>
      <c r="G220" s="700"/>
      <c r="H220" s="700"/>
      <c r="I220" s="703"/>
      <c r="J220" s="704"/>
      <c r="K220" s="704"/>
      <c r="L220" s="704"/>
      <c r="M220" s="704"/>
      <c r="N220" s="704"/>
      <c r="O220" s="664"/>
    </row>
    <row r="221" spans="1:15" ht="15.75" customHeight="1" x14ac:dyDescent="0.3">
      <c r="A221" s="768"/>
      <c r="B221" s="768"/>
      <c r="C221" s="700"/>
      <c r="D221" s="701"/>
      <c r="E221" s="700"/>
      <c r="F221" s="328"/>
      <c r="G221" s="700"/>
      <c r="H221" s="700"/>
      <c r="I221" s="703"/>
      <c r="J221" s="704"/>
      <c r="K221" s="704"/>
      <c r="L221" s="704"/>
      <c r="M221" s="704"/>
      <c r="N221" s="704"/>
      <c r="O221" s="664"/>
    </row>
    <row r="222" spans="1:15" ht="15.75" customHeight="1" x14ac:dyDescent="0.3">
      <c r="A222" s="768"/>
      <c r="B222" s="768"/>
      <c r="C222" s="700"/>
      <c r="D222" s="701"/>
      <c r="E222" s="700"/>
      <c r="F222" s="328"/>
      <c r="G222" s="700"/>
      <c r="H222" s="700"/>
      <c r="I222" s="703"/>
      <c r="J222" s="704"/>
      <c r="K222" s="704"/>
      <c r="L222" s="704"/>
      <c r="M222" s="704"/>
      <c r="N222" s="704"/>
      <c r="O222" s="664"/>
    </row>
    <row r="223" spans="1:15" ht="15.75" customHeight="1" x14ac:dyDescent="0.3">
      <c r="A223" s="768"/>
      <c r="B223" s="768"/>
      <c r="C223" s="700"/>
      <c r="D223" s="701"/>
      <c r="E223" s="700"/>
      <c r="F223" s="328"/>
      <c r="G223" s="700"/>
      <c r="H223" s="700"/>
      <c r="I223" s="703"/>
      <c r="J223" s="704"/>
      <c r="K223" s="704"/>
      <c r="L223" s="704"/>
      <c r="M223" s="704"/>
      <c r="N223" s="704"/>
      <c r="O223" s="664"/>
    </row>
    <row r="224" spans="1:15" ht="15.75" customHeight="1" x14ac:dyDescent="0.3">
      <c r="A224" s="768"/>
      <c r="B224" s="768"/>
      <c r="C224" s="700"/>
      <c r="D224" s="701"/>
      <c r="E224" s="700"/>
      <c r="F224" s="328"/>
      <c r="G224" s="700"/>
      <c r="H224" s="700"/>
      <c r="I224" s="703"/>
      <c r="J224" s="704"/>
      <c r="K224" s="704"/>
      <c r="L224" s="704"/>
      <c r="M224" s="704"/>
      <c r="N224" s="704"/>
      <c r="O224" s="664"/>
    </row>
    <row r="225" spans="1:15" ht="15.75" customHeight="1" x14ac:dyDescent="0.3">
      <c r="A225" s="768"/>
      <c r="B225" s="768"/>
      <c r="C225" s="700"/>
      <c r="D225" s="701"/>
      <c r="E225" s="700"/>
      <c r="F225" s="328"/>
      <c r="G225" s="700"/>
      <c r="H225" s="700"/>
      <c r="I225" s="703"/>
      <c r="J225" s="704"/>
      <c r="K225" s="704"/>
      <c r="L225" s="704"/>
      <c r="M225" s="704"/>
      <c r="N225" s="704"/>
      <c r="O225" s="664"/>
    </row>
    <row r="226" spans="1:15" ht="15.75" customHeight="1" x14ac:dyDescent="0.3">
      <c r="A226" s="768"/>
      <c r="B226" s="768"/>
      <c r="C226" s="700"/>
      <c r="D226" s="701"/>
      <c r="E226" s="700"/>
      <c r="F226" s="328"/>
      <c r="G226" s="700"/>
      <c r="H226" s="700"/>
      <c r="I226" s="703"/>
      <c r="J226" s="704"/>
      <c r="K226" s="704"/>
      <c r="L226" s="704"/>
      <c r="M226" s="704"/>
      <c r="N226" s="704"/>
      <c r="O226" s="664"/>
    </row>
    <row r="227" spans="1:15" ht="15.75" customHeight="1" x14ac:dyDescent="0.3">
      <c r="A227" s="768"/>
      <c r="B227" s="768"/>
      <c r="C227" s="700"/>
      <c r="D227" s="701"/>
      <c r="E227" s="700"/>
      <c r="F227" s="328"/>
      <c r="G227" s="700"/>
      <c r="H227" s="700"/>
      <c r="I227" s="703"/>
      <c r="J227" s="704"/>
      <c r="K227" s="704"/>
      <c r="L227" s="704"/>
      <c r="M227" s="704"/>
      <c r="N227" s="704"/>
      <c r="O227" s="664"/>
    </row>
    <row r="228" spans="1:15" ht="15.75" customHeight="1" x14ac:dyDescent="0.3">
      <c r="A228" s="768"/>
      <c r="B228" s="768"/>
      <c r="C228" s="700"/>
      <c r="D228" s="701"/>
      <c r="E228" s="700"/>
      <c r="F228" s="328"/>
      <c r="G228" s="700"/>
      <c r="H228" s="700"/>
      <c r="I228" s="703"/>
      <c r="J228" s="704"/>
      <c r="K228" s="704"/>
      <c r="L228" s="704"/>
      <c r="M228" s="704"/>
      <c r="N228" s="704"/>
      <c r="O228" s="664"/>
    </row>
    <row r="229" spans="1:15" ht="15.75" customHeight="1" x14ac:dyDescent="0.3">
      <c r="A229" s="768"/>
      <c r="B229" s="768"/>
      <c r="C229" s="700"/>
      <c r="D229" s="701"/>
      <c r="E229" s="700"/>
      <c r="F229" s="328"/>
      <c r="G229" s="700"/>
      <c r="H229" s="700"/>
      <c r="I229" s="703"/>
      <c r="J229" s="704"/>
      <c r="K229" s="704"/>
      <c r="L229" s="704"/>
      <c r="M229" s="704"/>
      <c r="N229" s="704"/>
      <c r="O229" s="664"/>
    </row>
    <row r="230" spans="1:15" ht="15.75" customHeight="1" x14ac:dyDescent="0.3">
      <c r="A230" s="768"/>
      <c r="B230" s="768"/>
      <c r="C230" s="700"/>
      <c r="D230" s="701"/>
      <c r="E230" s="700"/>
      <c r="F230" s="328"/>
      <c r="G230" s="700"/>
      <c r="H230" s="700"/>
      <c r="I230" s="703"/>
      <c r="J230" s="704"/>
      <c r="K230" s="704"/>
      <c r="L230" s="704"/>
      <c r="M230" s="704"/>
      <c r="N230" s="704"/>
      <c r="O230" s="664"/>
    </row>
    <row r="231" spans="1:15" ht="15.75" customHeight="1" x14ac:dyDescent="0.3">
      <c r="A231" s="768"/>
      <c r="B231" s="768"/>
      <c r="C231" s="700"/>
      <c r="D231" s="701"/>
      <c r="E231" s="700"/>
      <c r="F231" s="328"/>
      <c r="G231" s="700"/>
      <c r="H231" s="700"/>
      <c r="I231" s="703"/>
      <c r="J231" s="704"/>
      <c r="K231" s="704"/>
      <c r="L231" s="704"/>
      <c r="M231" s="704"/>
      <c r="N231" s="704"/>
      <c r="O231" s="664"/>
    </row>
    <row r="232" spans="1:15" ht="15.75" customHeight="1" x14ac:dyDescent="0.3">
      <c r="A232" s="768"/>
      <c r="B232" s="768"/>
      <c r="C232" s="700"/>
      <c r="D232" s="701"/>
      <c r="E232" s="700"/>
      <c r="F232" s="328"/>
      <c r="G232" s="700"/>
      <c r="H232" s="700"/>
      <c r="I232" s="703"/>
      <c r="J232" s="704"/>
      <c r="K232" s="704"/>
      <c r="L232" s="704"/>
      <c r="M232" s="704"/>
      <c r="N232" s="704"/>
      <c r="O232" s="664"/>
    </row>
    <row r="233" spans="1:15" ht="15.75" customHeight="1" x14ac:dyDescent="0.3">
      <c r="A233" s="768"/>
      <c r="B233" s="768"/>
      <c r="C233" s="700"/>
      <c r="D233" s="701"/>
      <c r="E233" s="700"/>
      <c r="F233" s="328"/>
      <c r="G233" s="700"/>
      <c r="H233" s="700"/>
      <c r="I233" s="703"/>
      <c r="J233" s="704"/>
      <c r="K233" s="704"/>
      <c r="L233" s="704"/>
      <c r="M233" s="704"/>
      <c r="N233" s="704"/>
      <c r="O233" s="664"/>
    </row>
    <row r="234" spans="1:15" ht="15.75" customHeight="1" x14ac:dyDescent="0.3">
      <c r="A234" s="768"/>
      <c r="B234" s="768"/>
      <c r="C234" s="700"/>
      <c r="D234" s="701"/>
      <c r="E234" s="700"/>
      <c r="F234" s="328"/>
      <c r="G234" s="700"/>
      <c r="H234" s="700"/>
      <c r="I234" s="703"/>
      <c r="J234" s="704"/>
      <c r="K234" s="704"/>
      <c r="L234" s="704"/>
      <c r="M234" s="704"/>
      <c r="N234" s="704"/>
      <c r="O234" s="664"/>
    </row>
    <row r="235" spans="1:15" ht="15.75" customHeight="1" x14ac:dyDescent="0.3">
      <c r="A235" s="768"/>
      <c r="B235" s="768"/>
      <c r="C235" s="700"/>
      <c r="D235" s="701"/>
      <c r="E235" s="700"/>
      <c r="F235" s="328"/>
      <c r="G235" s="700"/>
      <c r="H235" s="700"/>
      <c r="I235" s="703"/>
      <c r="J235" s="704"/>
      <c r="K235" s="704"/>
      <c r="L235" s="704"/>
      <c r="M235" s="704"/>
      <c r="N235" s="704"/>
      <c r="O235" s="664"/>
    </row>
    <row r="236" spans="1:15" ht="15.75" customHeight="1" x14ac:dyDescent="0.3">
      <c r="A236" s="768"/>
      <c r="B236" s="768"/>
      <c r="C236" s="700"/>
      <c r="D236" s="701"/>
      <c r="E236" s="700"/>
      <c r="F236" s="328"/>
      <c r="G236" s="700"/>
      <c r="H236" s="700"/>
      <c r="I236" s="703"/>
      <c r="J236" s="704"/>
      <c r="K236" s="704"/>
      <c r="L236" s="704"/>
      <c r="M236" s="704"/>
      <c r="N236" s="704"/>
      <c r="O236" s="664"/>
    </row>
    <row r="237" spans="1:15" ht="15.75" customHeight="1" x14ac:dyDescent="0.25">
      <c r="A237" s="770"/>
      <c r="B237" s="770"/>
      <c r="C237" s="619"/>
      <c r="D237" s="708"/>
      <c r="E237" s="619"/>
      <c r="F237" s="329"/>
      <c r="G237" s="619"/>
      <c r="H237" s="619"/>
      <c r="I237" s="710"/>
      <c r="J237" s="710"/>
      <c r="K237" s="710"/>
      <c r="L237" s="710"/>
      <c r="M237" s="710"/>
      <c r="N237" s="710"/>
      <c r="O237" s="619"/>
    </row>
    <row r="238" spans="1:15" ht="15.75" customHeight="1" x14ac:dyDescent="0.25">
      <c r="A238" s="770"/>
      <c r="B238" s="770"/>
      <c r="C238" s="619"/>
      <c r="D238" s="708"/>
      <c r="E238" s="619"/>
      <c r="F238" s="329"/>
      <c r="G238" s="619"/>
      <c r="H238" s="619"/>
      <c r="I238" s="710"/>
      <c r="J238" s="710"/>
      <c r="K238" s="710"/>
      <c r="L238" s="710"/>
      <c r="M238" s="710"/>
      <c r="N238" s="710"/>
      <c r="O238" s="619"/>
    </row>
    <row r="239" spans="1:15" ht="15.75" customHeight="1" x14ac:dyDescent="0.25">
      <c r="A239" s="770"/>
      <c r="B239" s="770"/>
      <c r="C239" s="619"/>
      <c r="D239" s="708"/>
      <c r="E239" s="619"/>
      <c r="F239" s="329"/>
      <c r="G239" s="619"/>
      <c r="H239" s="619"/>
      <c r="I239" s="710"/>
      <c r="J239" s="710"/>
      <c r="K239" s="710"/>
      <c r="L239" s="710"/>
      <c r="M239" s="710"/>
      <c r="N239" s="710"/>
      <c r="O239" s="619"/>
    </row>
    <row r="240" spans="1:15" ht="15.75" customHeight="1" x14ac:dyDescent="0.25">
      <c r="A240" s="770"/>
      <c r="B240" s="770"/>
      <c r="C240" s="619"/>
      <c r="D240" s="708"/>
      <c r="E240" s="619"/>
      <c r="F240" s="329"/>
      <c r="G240" s="619"/>
      <c r="H240" s="619"/>
      <c r="I240" s="710"/>
      <c r="J240" s="710"/>
      <c r="K240" s="710"/>
      <c r="L240" s="710"/>
      <c r="M240" s="710"/>
      <c r="N240" s="710"/>
      <c r="O240" s="619"/>
    </row>
    <row r="241" spans="1:15" ht="15.75" customHeight="1" x14ac:dyDescent="0.25">
      <c r="A241" s="770"/>
      <c r="B241" s="770"/>
      <c r="C241" s="619"/>
      <c r="D241" s="708"/>
      <c r="E241" s="619"/>
      <c r="F241" s="329"/>
      <c r="G241" s="619"/>
      <c r="H241" s="619"/>
      <c r="I241" s="710"/>
      <c r="J241" s="710"/>
      <c r="K241" s="710"/>
      <c r="L241" s="710"/>
      <c r="M241" s="710"/>
      <c r="N241" s="710"/>
      <c r="O241" s="619"/>
    </row>
    <row r="242" spans="1:15" ht="15.75" customHeight="1" x14ac:dyDescent="0.25">
      <c r="A242" s="770"/>
      <c r="B242" s="770"/>
      <c r="C242" s="619"/>
      <c r="D242" s="708"/>
      <c r="E242" s="619"/>
      <c r="F242" s="329"/>
      <c r="G242" s="619"/>
      <c r="H242" s="619"/>
      <c r="I242" s="710"/>
      <c r="J242" s="710"/>
      <c r="K242" s="710"/>
      <c r="L242" s="710"/>
      <c r="M242" s="710"/>
      <c r="N242" s="710"/>
      <c r="O242" s="619"/>
    </row>
    <row r="243" spans="1:15" ht="15.75" customHeight="1" x14ac:dyDescent="0.25">
      <c r="A243" s="770"/>
      <c r="B243" s="770"/>
      <c r="C243" s="619"/>
      <c r="D243" s="708"/>
      <c r="E243" s="619"/>
      <c r="F243" s="329"/>
      <c r="G243" s="619"/>
      <c r="H243" s="619"/>
      <c r="I243" s="710"/>
      <c r="J243" s="710"/>
      <c r="K243" s="710"/>
      <c r="L243" s="710"/>
      <c r="M243" s="710"/>
      <c r="N243" s="710"/>
      <c r="O243" s="619"/>
    </row>
    <row r="244" spans="1:15" ht="15.75" customHeight="1" x14ac:dyDescent="0.25">
      <c r="A244" s="770"/>
      <c r="B244" s="770"/>
      <c r="C244" s="619"/>
      <c r="D244" s="708"/>
      <c r="E244" s="619"/>
      <c r="F244" s="329"/>
      <c r="G244" s="619"/>
      <c r="H244" s="619"/>
      <c r="I244" s="710"/>
      <c r="J244" s="710"/>
      <c r="K244" s="710"/>
      <c r="L244" s="710"/>
      <c r="M244" s="710"/>
      <c r="N244" s="710"/>
      <c r="O244" s="619"/>
    </row>
    <row r="245" spans="1:15" ht="15.75" customHeight="1" x14ac:dyDescent="0.25">
      <c r="A245" s="770"/>
      <c r="B245" s="770"/>
      <c r="C245" s="619"/>
      <c r="D245" s="708"/>
      <c r="E245" s="619"/>
      <c r="F245" s="329"/>
      <c r="G245" s="619"/>
      <c r="H245" s="619"/>
      <c r="I245" s="710"/>
      <c r="J245" s="710"/>
      <c r="K245" s="710"/>
      <c r="L245" s="710"/>
      <c r="M245" s="710"/>
      <c r="N245" s="710"/>
      <c r="O245" s="619"/>
    </row>
    <row r="246" spans="1:15" ht="15.75" customHeight="1" x14ac:dyDescent="0.25">
      <c r="A246" s="770"/>
      <c r="B246" s="770"/>
      <c r="C246" s="619"/>
      <c r="D246" s="708"/>
      <c r="E246" s="619"/>
      <c r="F246" s="329"/>
      <c r="G246" s="619"/>
      <c r="H246" s="619"/>
      <c r="I246" s="710"/>
      <c r="J246" s="710"/>
      <c r="K246" s="710"/>
      <c r="L246" s="710"/>
      <c r="M246" s="710"/>
      <c r="N246" s="710"/>
      <c r="O246" s="619"/>
    </row>
    <row r="247" spans="1:15" ht="15.75" customHeight="1" x14ac:dyDescent="0.25">
      <c r="A247" s="770"/>
      <c r="B247" s="770"/>
      <c r="C247" s="619"/>
      <c r="D247" s="708"/>
      <c r="E247" s="619"/>
      <c r="F247" s="329"/>
      <c r="G247" s="619"/>
      <c r="H247" s="619"/>
      <c r="I247" s="710"/>
      <c r="J247" s="710"/>
      <c r="K247" s="710"/>
      <c r="L247" s="710"/>
      <c r="M247" s="710"/>
      <c r="N247" s="710"/>
      <c r="O247" s="619"/>
    </row>
    <row r="248" spans="1:15" ht="15.75" customHeight="1" x14ac:dyDescent="0.25">
      <c r="A248" s="770"/>
      <c r="B248" s="770"/>
      <c r="C248" s="619"/>
      <c r="D248" s="708"/>
      <c r="E248" s="619"/>
      <c r="F248" s="329"/>
      <c r="G248" s="619"/>
      <c r="H248" s="619"/>
      <c r="I248" s="710"/>
      <c r="J248" s="710"/>
      <c r="K248" s="710"/>
      <c r="L248" s="710"/>
      <c r="M248" s="710"/>
      <c r="N248" s="710"/>
      <c r="O248" s="619"/>
    </row>
    <row r="249" spans="1:15" ht="15.75" customHeight="1" x14ac:dyDescent="0.25">
      <c r="A249" s="770"/>
      <c r="B249" s="770"/>
      <c r="C249" s="619"/>
      <c r="D249" s="708"/>
      <c r="E249" s="619"/>
      <c r="F249" s="329"/>
      <c r="G249" s="619"/>
      <c r="H249" s="619"/>
      <c r="I249" s="710"/>
      <c r="J249" s="710"/>
      <c r="K249" s="710"/>
      <c r="L249" s="710"/>
      <c r="M249" s="710"/>
      <c r="N249" s="710"/>
      <c r="O249" s="619"/>
    </row>
    <row r="250" spans="1:15" ht="15.75" customHeight="1" x14ac:dyDescent="0.25">
      <c r="A250" s="770"/>
      <c r="B250" s="770"/>
      <c r="C250" s="619"/>
      <c r="D250" s="708"/>
      <c r="E250" s="619"/>
      <c r="F250" s="329"/>
      <c r="G250" s="619"/>
      <c r="H250" s="619"/>
      <c r="I250" s="710"/>
      <c r="J250" s="710"/>
      <c r="K250" s="710"/>
      <c r="L250" s="710"/>
      <c r="M250" s="710"/>
      <c r="N250" s="710"/>
      <c r="O250" s="619"/>
    </row>
    <row r="251" spans="1:15" ht="15.75" customHeight="1" x14ac:dyDescent="0.25">
      <c r="A251" s="770"/>
      <c r="B251" s="770"/>
      <c r="C251" s="619"/>
      <c r="D251" s="708"/>
      <c r="E251" s="619"/>
      <c r="F251" s="329"/>
      <c r="G251" s="619"/>
      <c r="H251" s="619"/>
      <c r="I251" s="710"/>
      <c r="J251" s="710"/>
      <c r="K251" s="710"/>
      <c r="L251" s="710"/>
      <c r="M251" s="710"/>
      <c r="N251" s="710"/>
      <c r="O251" s="619"/>
    </row>
    <row r="252" spans="1:15" ht="15.75" customHeight="1" x14ac:dyDescent="0.25">
      <c r="A252" s="770"/>
      <c r="B252" s="770"/>
      <c r="C252" s="619"/>
      <c r="D252" s="708"/>
      <c r="E252" s="619"/>
      <c r="F252" s="329"/>
      <c r="G252" s="619"/>
      <c r="H252" s="619"/>
      <c r="I252" s="710"/>
      <c r="J252" s="710"/>
      <c r="K252" s="710"/>
      <c r="L252" s="710"/>
      <c r="M252" s="710"/>
      <c r="N252" s="710"/>
      <c r="O252" s="619"/>
    </row>
    <row r="253" spans="1:15" ht="15.75" customHeight="1" x14ac:dyDescent="0.25">
      <c r="A253" s="770"/>
      <c r="B253" s="770"/>
      <c r="C253" s="619"/>
      <c r="D253" s="708"/>
      <c r="E253" s="619"/>
      <c r="F253" s="329"/>
      <c r="G253" s="619"/>
      <c r="H253" s="619"/>
      <c r="I253" s="710"/>
      <c r="J253" s="710"/>
      <c r="K253" s="710"/>
      <c r="L253" s="710"/>
      <c r="M253" s="710"/>
      <c r="N253" s="710"/>
      <c r="O253" s="619"/>
    </row>
    <row r="254" spans="1:15" ht="15.75" customHeight="1" x14ac:dyDescent="0.25">
      <c r="A254" s="770"/>
      <c r="B254" s="770"/>
      <c r="C254" s="619"/>
      <c r="D254" s="708"/>
      <c r="E254" s="619"/>
      <c r="F254" s="329"/>
      <c r="G254" s="619"/>
      <c r="H254" s="619"/>
      <c r="I254" s="710"/>
      <c r="J254" s="710"/>
      <c r="K254" s="710"/>
      <c r="L254" s="710"/>
      <c r="M254" s="710"/>
      <c r="N254" s="710"/>
      <c r="O254" s="619"/>
    </row>
    <row r="255" spans="1:15" ht="15.75" customHeight="1" x14ac:dyDescent="0.25">
      <c r="A255" s="770"/>
      <c r="B255" s="770"/>
      <c r="C255" s="619"/>
      <c r="D255" s="708"/>
      <c r="E255" s="619"/>
      <c r="F255" s="329"/>
      <c r="G255" s="619"/>
      <c r="H255" s="619"/>
      <c r="I255" s="710"/>
      <c r="J255" s="710"/>
      <c r="K255" s="710"/>
      <c r="L255" s="710"/>
      <c r="M255" s="710"/>
      <c r="N255" s="710"/>
      <c r="O255" s="619"/>
    </row>
    <row r="256" spans="1:15" ht="15.75" customHeight="1" x14ac:dyDescent="0.25">
      <c r="A256" s="770"/>
      <c r="B256" s="770"/>
      <c r="C256" s="619"/>
      <c r="D256" s="708"/>
      <c r="E256" s="619"/>
      <c r="F256" s="329"/>
      <c r="G256" s="619"/>
      <c r="H256" s="619"/>
      <c r="I256" s="710"/>
      <c r="J256" s="710"/>
      <c r="K256" s="710"/>
      <c r="L256" s="710"/>
      <c r="M256" s="710"/>
      <c r="N256" s="710"/>
      <c r="O256" s="619"/>
    </row>
    <row r="257" spans="1:15" ht="15.75" customHeight="1" x14ac:dyDescent="0.25">
      <c r="A257" s="770"/>
      <c r="B257" s="770"/>
      <c r="C257" s="619"/>
      <c r="D257" s="708"/>
      <c r="E257" s="619"/>
      <c r="F257" s="329"/>
      <c r="G257" s="619"/>
      <c r="H257" s="619"/>
      <c r="I257" s="710"/>
      <c r="J257" s="710"/>
      <c r="K257" s="710"/>
      <c r="L257" s="710"/>
      <c r="M257" s="710"/>
      <c r="N257" s="710"/>
      <c r="O257" s="619"/>
    </row>
    <row r="258" spans="1:15" ht="15.75" customHeight="1" x14ac:dyDescent="0.25">
      <c r="A258" s="770"/>
      <c r="B258" s="770"/>
      <c r="C258" s="619"/>
      <c r="D258" s="708"/>
      <c r="E258" s="619"/>
      <c r="F258" s="329"/>
      <c r="G258" s="619"/>
      <c r="H258" s="619"/>
      <c r="I258" s="710"/>
      <c r="J258" s="710"/>
      <c r="K258" s="710"/>
      <c r="L258" s="710"/>
      <c r="M258" s="710"/>
      <c r="N258" s="710"/>
      <c r="O258" s="619"/>
    </row>
    <row r="259" spans="1:15" ht="15.75" customHeight="1" x14ac:dyDescent="0.25">
      <c r="A259" s="770"/>
      <c r="B259" s="770"/>
      <c r="C259" s="619"/>
      <c r="D259" s="708"/>
      <c r="E259" s="619"/>
      <c r="F259" s="329"/>
      <c r="G259" s="619"/>
      <c r="H259" s="619"/>
      <c r="I259" s="710"/>
      <c r="J259" s="710"/>
      <c r="K259" s="710"/>
      <c r="L259" s="710"/>
      <c r="M259" s="710"/>
      <c r="N259" s="710"/>
      <c r="O259" s="619"/>
    </row>
    <row r="260" spans="1:15" ht="15.75" customHeight="1" x14ac:dyDescent="0.25">
      <c r="A260" s="770"/>
      <c r="B260" s="770"/>
      <c r="C260" s="619"/>
      <c r="D260" s="708"/>
      <c r="E260" s="619"/>
      <c r="F260" s="329"/>
      <c r="G260" s="619"/>
      <c r="H260" s="619"/>
      <c r="I260" s="710"/>
      <c r="J260" s="710"/>
      <c r="K260" s="710"/>
      <c r="L260" s="710"/>
      <c r="M260" s="710"/>
      <c r="N260" s="710"/>
      <c r="O260" s="619"/>
    </row>
    <row r="261" spans="1:15" ht="15.75" customHeight="1" x14ac:dyDescent="0.25">
      <c r="A261" s="770"/>
      <c r="B261" s="770"/>
      <c r="C261" s="619"/>
      <c r="D261" s="708"/>
      <c r="E261" s="619"/>
      <c r="F261" s="329"/>
      <c r="G261" s="619"/>
      <c r="H261" s="619"/>
      <c r="I261" s="710"/>
      <c r="J261" s="710"/>
      <c r="K261" s="710"/>
      <c r="L261" s="710"/>
      <c r="M261" s="710"/>
      <c r="N261" s="710"/>
      <c r="O261" s="619"/>
    </row>
    <row r="262" spans="1:15" ht="15.75" customHeight="1" x14ac:dyDescent="0.25">
      <c r="A262" s="770"/>
      <c r="B262" s="770"/>
      <c r="C262" s="619"/>
      <c r="D262" s="708"/>
      <c r="E262" s="619"/>
      <c r="F262" s="329"/>
      <c r="G262" s="619"/>
      <c r="H262" s="619"/>
      <c r="I262" s="710"/>
      <c r="J262" s="710"/>
      <c r="K262" s="710"/>
      <c r="L262" s="710"/>
      <c r="M262" s="710"/>
      <c r="N262" s="710"/>
      <c r="O262" s="619"/>
    </row>
    <row r="263" spans="1:15" ht="15.75" customHeight="1" x14ac:dyDescent="0.25">
      <c r="A263" s="770"/>
      <c r="B263" s="770"/>
      <c r="C263" s="619"/>
      <c r="D263" s="708"/>
      <c r="E263" s="619"/>
      <c r="F263" s="329"/>
      <c r="G263" s="619"/>
      <c r="H263" s="619"/>
      <c r="I263" s="710"/>
      <c r="J263" s="710"/>
      <c r="K263" s="710"/>
      <c r="L263" s="710"/>
      <c r="M263" s="710"/>
      <c r="N263" s="710"/>
      <c r="O263" s="619"/>
    </row>
    <row r="264" spans="1:15" ht="15.75" customHeight="1" x14ac:dyDescent="0.25">
      <c r="A264" s="770"/>
      <c r="B264" s="770"/>
      <c r="C264" s="619"/>
      <c r="D264" s="708"/>
      <c r="E264" s="619"/>
      <c r="F264" s="329"/>
      <c r="G264" s="619"/>
      <c r="H264" s="619"/>
      <c r="I264" s="710"/>
      <c r="J264" s="710"/>
      <c r="K264" s="710"/>
      <c r="L264" s="710"/>
      <c r="M264" s="710"/>
      <c r="N264" s="710"/>
      <c r="O264" s="619"/>
    </row>
    <row r="265" spans="1:15" ht="15.75" customHeight="1" x14ac:dyDescent="0.25">
      <c r="A265" s="770"/>
      <c r="B265" s="770"/>
      <c r="C265" s="619"/>
      <c r="D265" s="708"/>
      <c r="E265" s="619"/>
      <c r="F265" s="329"/>
      <c r="G265" s="619"/>
      <c r="H265" s="619"/>
      <c r="I265" s="710"/>
      <c r="J265" s="710"/>
      <c r="K265" s="710"/>
      <c r="L265" s="710"/>
      <c r="M265" s="710"/>
      <c r="N265" s="710"/>
      <c r="O265" s="619"/>
    </row>
    <row r="266" spans="1:15" ht="15.75" customHeight="1" x14ac:dyDescent="0.25">
      <c r="A266" s="770"/>
      <c r="B266" s="770"/>
      <c r="C266" s="619"/>
      <c r="D266" s="708"/>
      <c r="E266" s="619"/>
      <c r="F266" s="329"/>
      <c r="G266" s="619"/>
      <c r="H266" s="619"/>
      <c r="I266" s="710"/>
      <c r="J266" s="710"/>
      <c r="K266" s="710"/>
      <c r="L266" s="710"/>
      <c r="M266" s="710"/>
      <c r="N266" s="710"/>
      <c r="O266" s="619"/>
    </row>
    <row r="267" spans="1:15" ht="15.75" customHeight="1" x14ac:dyDescent="0.25">
      <c r="A267" s="770"/>
      <c r="B267" s="770"/>
      <c r="C267" s="619"/>
      <c r="D267" s="708"/>
      <c r="E267" s="619"/>
      <c r="F267" s="329"/>
      <c r="G267" s="619"/>
      <c r="H267" s="619"/>
      <c r="I267" s="710"/>
      <c r="J267" s="710"/>
      <c r="K267" s="710"/>
      <c r="L267" s="710"/>
      <c r="M267" s="710"/>
      <c r="N267" s="710"/>
      <c r="O267" s="619"/>
    </row>
    <row r="268" spans="1:15" ht="15.75" customHeight="1" x14ac:dyDescent="0.25">
      <c r="A268" s="770"/>
      <c r="B268" s="770"/>
      <c r="C268" s="619"/>
      <c r="D268" s="708"/>
      <c r="E268" s="619"/>
      <c r="F268" s="329"/>
      <c r="G268" s="619"/>
      <c r="H268" s="619"/>
      <c r="I268" s="710"/>
      <c r="J268" s="710"/>
      <c r="K268" s="710"/>
      <c r="L268" s="710"/>
      <c r="M268" s="710"/>
      <c r="N268" s="710"/>
      <c r="O268" s="619"/>
    </row>
    <row r="269" spans="1:15" ht="15.75" customHeight="1" x14ac:dyDescent="0.25">
      <c r="A269" s="770"/>
      <c r="B269" s="770"/>
      <c r="C269" s="619"/>
      <c r="D269" s="708"/>
      <c r="E269" s="619"/>
      <c r="F269" s="329"/>
      <c r="G269" s="619"/>
      <c r="H269" s="619"/>
      <c r="I269" s="710"/>
      <c r="J269" s="710"/>
      <c r="K269" s="710"/>
      <c r="L269" s="710"/>
      <c r="M269" s="710"/>
      <c r="N269" s="710"/>
      <c r="O269" s="619"/>
    </row>
    <row r="270" spans="1:15" ht="15.75" customHeight="1" x14ac:dyDescent="0.25">
      <c r="A270" s="770"/>
      <c r="B270" s="770"/>
      <c r="C270" s="619"/>
      <c r="D270" s="708"/>
      <c r="E270" s="619"/>
      <c r="F270" s="329"/>
      <c r="G270" s="619"/>
      <c r="H270" s="619"/>
      <c r="I270" s="710"/>
      <c r="J270" s="710"/>
      <c r="K270" s="710"/>
      <c r="L270" s="710"/>
      <c r="M270" s="710"/>
      <c r="N270" s="710"/>
      <c r="O270" s="619"/>
    </row>
    <row r="271" spans="1:15" ht="15.75" customHeight="1" x14ac:dyDescent="0.25">
      <c r="A271" s="770"/>
      <c r="B271" s="770"/>
      <c r="C271" s="619"/>
      <c r="D271" s="708"/>
      <c r="E271" s="619"/>
      <c r="F271" s="329"/>
      <c r="G271" s="619"/>
      <c r="H271" s="619"/>
      <c r="I271" s="710"/>
      <c r="J271" s="710"/>
      <c r="K271" s="710"/>
      <c r="L271" s="710"/>
      <c r="M271" s="710"/>
      <c r="N271" s="710"/>
      <c r="O271" s="619"/>
    </row>
    <row r="272" spans="1:15" ht="15.75" customHeight="1" x14ac:dyDescent="0.25">
      <c r="A272" s="770"/>
      <c r="B272" s="770"/>
      <c r="C272" s="619"/>
      <c r="D272" s="708"/>
      <c r="E272" s="619"/>
      <c r="F272" s="329"/>
      <c r="G272" s="619"/>
      <c r="H272" s="619"/>
      <c r="I272" s="710"/>
      <c r="J272" s="710"/>
      <c r="K272" s="710"/>
      <c r="L272" s="710"/>
      <c r="M272" s="710"/>
      <c r="N272" s="710"/>
      <c r="O272" s="619"/>
    </row>
    <row r="273" spans="1:15" ht="15.75" customHeight="1" x14ac:dyDescent="0.25">
      <c r="A273" s="770"/>
      <c r="B273" s="770"/>
      <c r="C273" s="619"/>
      <c r="D273" s="708"/>
      <c r="E273" s="619"/>
      <c r="F273" s="329"/>
      <c r="G273" s="619"/>
      <c r="H273" s="619"/>
      <c r="I273" s="710"/>
      <c r="J273" s="710"/>
      <c r="K273" s="710"/>
      <c r="L273" s="710"/>
      <c r="M273" s="710"/>
      <c r="N273" s="710"/>
      <c r="O273" s="619"/>
    </row>
    <row r="274" spans="1:15" ht="15.75" customHeight="1" x14ac:dyDescent="0.25">
      <c r="A274" s="770"/>
      <c r="B274" s="770"/>
      <c r="C274" s="619"/>
      <c r="D274" s="708"/>
      <c r="E274" s="619"/>
      <c r="F274" s="329"/>
      <c r="G274" s="619"/>
      <c r="H274" s="619"/>
      <c r="I274" s="710"/>
      <c r="J274" s="710"/>
      <c r="K274" s="710"/>
      <c r="L274" s="710"/>
      <c r="M274" s="710"/>
      <c r="N274" s="710"/>
      <c r="O274" s="619"/>
    </row>
    <row r="275" spans="1:15" ht="15.75" customHeight="1" x14ac:dyDescent="0.25">
      <c r="A275" s="770"/>
      <c r="B275" s="770"/>
      <c r="C275" s="619"/>
      <c r="D275" s="708"/>
      <c r="E275" s="619"/>
      <c r="F275" s="329"/>
      <c r="G275" s="619"/>
      <c r="H275" s="619"/>
      <c r="I275" s="710"/>
      <c r="J275" s="710"/>
      <c r="K275" s="710"/>
      <c r="L275" s="710"/>
      <c r="M275" s="710"/>
      <c r="N275" s="710"/>
      <c r="O275" s="619"/>
    </row>
    <row r="276" spans="1:15" ht="15.75" customHeight="1" x14ac:dyDescent="0.25">
      <c r="A276" s="770"/>
      <c r="B276" s="770"/>
      <c r="C276" s="619"/>
      <c r="D276" s="708"/>
      <c r="E276" s="619"/>
      <c r="F276" s="329"/>
      <c r="G276" s="619"/>
      <c r="H276" s="619"/>
      <c r="I276" s="710"/>
      <c r="J276" s="710"/>
      <c r="K276" s="710"/>
      <c r="L276" s="710"/>
      <c r="M276" s="710"/>
      <c r="N276" s="710"/>
      <c r="O276" s="619"/>
    </row>
    <row r="277" spans="1:15" ht="15.75" customHeight="1" x14ac:dyDescent="0.25">
      <c r="A277" s="770"/>
      <c r="B277" s="770"/>
      <c r="C277" s="619"/>
      <c r="D277" s="708"/>
      <c r="E277" s="619"/>
      <c r="F277" s="329"/>
      <c r="G277" s="619"/>
      <c r="H277" s="619"/>
      <c r="I277" s="710"/>
      <c r="J277" s="710"/>
      <c r="K277" s="710"/>
      <c r="L277" s="710"/>
      <c r="M277" s="710"/>
      <c r="N277" s="710"/>
      <c r="O277" s="619"/>
    </row>
    <row r="278" spans="1:15" ht="15.75" customHeight="1" x14ac:dyDescent="0.25">
      <c r="A278" s="770"/>
      <c r="B278" s="770"/>
      <c r="C278" s="619"/>
      <c r="D278" s="708"/>
      <c r="E278" s="619"/>
      <c r="F278" s="329"/>
      <c r="G278" s="619"/>
      <c r="H278" s="619"/>
      <c r="I278" s="710"/>
      <c r="J278" s="710"/>
      <c r="K278" s="710"/>
      <c r="L278" s="710"/>
      <c r="M278" s="710"/>
      <c r="N278" s="710"/>
      <c r="O278" s="619"/>
    </row>
    <row r="279" spans="1:15" ht="15.75" customHeight="1" x14ac:dyDescent="0.25">
      <c r="A279" s="770"/>
      <c r="B279" s="770"/>
      <c r="C279" s="619"/>
      <c r="D279" s="708"/>
      <c r="E279" s="619"/>
      <c r="F279" s="329"/>
      <c r="G279" s="619"/>
      <c r="H279" s="619"/>
      <c r="I279" s="710"/>
      <c r="J279" s="710"/>
      <c r="K279" s="710"/>
      <c r="L279" s="710"/>
      <c r="M279" s="710"/>
      <c r="N279" s="710"/>
      <c r="O279" s="619"/>
    </row>
    <row r="280" spans="1:15" ht="15.75" customHeight="1" x14ac:dyDescent="0.25">
      <c r="A280" s="770"/>
      <c r="B280" s="770"/>
      <c r="C280" s="619"/>
      <c r="D280" s="708"/>
      <c r="E280" s="619"/>
      <c r="F280" s="329"/>
      <c r="G280" s="619"/>
      <c r="H280" s="619"/>
      <c r="I280" s="710"/>
      <c r="J280" s="710"/>
      <c r="K280" s="710"/>
      <c r="L280" s="710"/>
      <c r="M280" s="710"/>
      <c r="N280" s="710"/>
      <c r="O280" s="619"/>
    </row>
    <row r="281" spans="1:15" ht="15.75" customHeight="1" x14ac:dyDescent="0.25">
      <c r="A281" s="770"/>
      <c r="B281" s="770"/>
      <c r="C281" s="619"/>
      <c r="D281" s="708"/>
      <c r="E281" s="619"/>
      <c r="F281" s="329"/>
      <c r="G281" s="619"/>
      <c r="H281" s="619"/>
      <c r="I281" s="710"/>
      <c r="J281" s="710"/>
      <c r="K281" s="710"/>
      <c r="L281" s="710"/>
      <c r="M281" s="710"/>
      <c r="N281" s="710"/>
      <c r="O281" s="619"/>
    </row>
    <row r="282" spans="1:15" ht="15.75" customHeight="1" x14ac:dyDescent="0.25">
      <c r="A282" s="770"/>
      <c r="B282" s="770"/>
      <c r="C282" s="619"/>
      <c r="D282" s="708"/>
      <c r="E282" s="619"/>
      <c r="F282" s="329"/>
      <c r="G282" s="619"/>
      <c r="H282" s="619"/>
      <c r="I282" s="710"/>
      <c r="J282" s="710"/>
      <c r="K282" s="710"/>
      <c r="L282" s="710"/>
      <c r="M282" s="710"/>
      <c r="N282" s="710"/>
      <c r="O282" s="619"/>
    </row>
    <row r="283" spans="1:15" ht="15.75" customHeight="1" x14ac:dyDescent="0.25">
      <c r="A283" s="770"/>
      <c r="B283" s="770"/>
      <c r="C283" s="619"/>
      <c r="D283" s="708"/>
      <c r="E283" s="619"/>
      <c r="F283" s="329"/>
      <c r="G283" s="619"/>
      <c r="H283" s="619"/>
      <c r="I283" s="710"/>
      <c r="J283" s="710"/>
      <c r="K283" s="710"/>
      <c r="L283" s="710"/>
      <c r="M283" s="710"/>
      <c r="N283" s="710"/>
      <c r="O283" s="619"/>
    </row>
    <row r="284" spans="1:15" ht="15.75" customHeight="1" x14ac:dyDescent="0.25">
      <c r="A284" s="770"/>
      <c r="B284" s="770"/>
      <c r="C284" s="619"/>
      <c r="D284" s="708"/>
      <c r="E284" s="619"/>
      <c r="F284" s="329"/>
      <c r="G284" s="619"/>
      <c r="H284" s="619"/>
      <c r="I284" s="710"/>
      <c r="J284" s="710"/>
      <c r="K284" s="710"/>
      <c r="L284" s="710"/>
      <c r="M284" s="710"/>
      <c r="N284" s="710"/>
      <c r="O284" s="619"/>
    </row>
    <row r="285" spans="1:15" ht="15.75" customHeight="1" x14ac:dyDescent="0.25">
      <c r="A285" s="770"/>
      <c r="B285" s="770"/>
      <c r="C285" s="619"/>
      <c r="D285" s="708"/>
      <c r="E285" s="619"/>
      <c r="F285" s="329"/>
      <c r="G285" s="619"/>
      <c r="H285" s="619"/>
      <c r="I285" s="710"/>
      <c r="J285" s="710"/>
      <c r="K285" s="710"/>
      <c r="L285" s="710"/>
      <c r="M285" s="710"/>
      <c r="N285" s="710"/>
      <c r="O285" s="619"/>
    </row>
    <row r="286" spans="1:15" ht="15.75" customHeight="1" x14ac:dyDescent="0.25">
      <c r="A286" s="770"/>
      <c r="B286" s="770"/>
      <c r="C286" s="619"/>
      <c r="D286" s="708"/>
      <c r="E286" s="619"/>
      <c r="F286" s="329"/>
      <c r="G286" s="619"/>
      <c r="H286" s="619"/>
      <c r="I286" s="710"/>
      <c r="J286" s="710"/>
      <c r="K286" s="710"/>
      <c r="L286" s="710"/>
      <c r="M286" s="710"/>
      <c r="N286" s="710"/>
      <c r="O286" s="619"/>
    </row>
    <row r="287" spans="1:15" ht="15.75" customHeight="1" x14ac:dyDescent="0.25">
      <c r="A287" s="770"/>
      <c r="B287" s="770"/>
      <c r="C287" s="619"/>
      <c r="D287" s="708"/>
      <c r="E287" s="619"/>
      <c r="F287" s="329"/>
      <c r="G287" s="619"/>
      <c r="H287" s="619"/>
      <c r="I287" s="710"/>
      <c r="J287" s="710"/>
      <c r="K287" s="710"/>
      <c r="L287" s="710"/>
      <c r="M287" s="710"/>
      <c r="N287" s="710"/>
      <c r="O287" s="619"/>
    </row>
    <row r="288" spans="1:15" ht="15.75" customHeight="1" x14ac:dyDescent="0.25">
      <c r="A288" s="770"/>
      <c r="B288" s="770"/>
      <c r="C288" s="619"/>
      <c r="D288" s="708"/>
      <c r="E288" s="619"/>
      <c r="F288" s="329"/>
      <c r="G288" s="619"/>
      <c r="H288" s="619"/>
      <c r="I288" s="710"/>
      <c r="J288" s="710"/>
      <c r="K288" s="710"/>
      <c r="L288" s="710"/>
      <c r="M288" s="710"/>
      <c r="N288" s="710"/>
      <c r="O288" s="619"/>
    </row>
    <row r="289" spans="1:15" ht="15.75" customHeight="1" x14ac:dyDescent="0.25">
      <c r="A289" s="770"/>
      <c r="B289" s="770"/>
      <c r="C289" s="619"/>
      <c r="D289" s="708"/>
      <c r="E289" s="619"/>
      <c r="F289" s="329"/>
      <c r="G289" s="619"/>
      <c r="H289" s="619"/>
      <c r="I289" s="710"/>
      <c r="J289" s="710"/>
      <c r="K289" s="710"/>
      <c r="L289" s="710"/>
      <c r="M289" s="710"/>
      <c r="N289" s="710"/>
      <c r="O289" s="619"/>
    </row>
    <row r="290" spans="1:15" ht="15.75" customHeight="1" x14ac:dyDescent="0.25">
      <c r="A290" s="770"/>
      <c r="B290" s="770"/>
      <c r="C290" s="619"/>
      <c r="D290" s="708"/>
      <c r="E290" s="619"/>
      <c r="F290" s="329"/>
      <c r="G290" s="619"/>
      <c r="H290" s="619"/>
      <c r="I290" s="710"/>
      <c r="J290" s="710"/>
      <c r="K290" s="710"/>
      <c r="L290" s="710"/>
      <c r="M290" s="710"/>
      <c r="N290" s="710"/>
      <c r="O290" s="619"/>
    </row>
    <row r="291" spans="1:15" ht="15.75" customHeight="1" x14ac:dyDescent="0.25">
      <c r="A291" s="770"/>
      <c r="B291" s="770"/>
      <c r="C291" s="619"/>
      <c r="D291" s="708"/>
      <c r="E291" s="619"/>
      <c r="F291" s="329"/>
      <c r="G291" s="619"/>
      <c r="H291" s="619"/>
      <c r="I291" s="710"/>
      <c r="J291" s="710"/>
      <c r="K291" s="710"/>
      <c r="L291" s="710"/>
      <c r="M291" s="710"/>
      <c r="N291" s="710"/>
      <c r="O291" s="619"/>
    </row>
    <row r="292" spans="1:15" ht="15.75" customHeight="1" x14ac:dyDescent="0.25">
      <c r="A292" s="770"/>
      <c r="B292" s="770"/>
      <c r="C292" s="619"/>
      <c r="D292" s="708"/>
      <c r="E292" s="619"/>
      <c r="F292" s="329"/>
      <c r="G292" s="619"/>
      <c r="H292" s="619"/>
      <c r="I292" s="710"/>
      <c r="J292" s="710"/>
      <c r="K292" s="710"/>
      <c r="L292" s="710"/>
      <c r="M292" s="710"/>
      <c r="N292" s="710"/>
      <c r="O292" s="619"/>
    </row>
    <row r="293" spans="1:15" ht="15.75" customHeight="1" x14ac:dyDescent="0.25">
      <c r="A293" s="770"/>
      <c r="B293" s="770"/>
      <c r="C293" s="619"/>
      <c r="D293" s="708"/>
      <c r="E293" s="619"/>
      <c r="F293" s="329"/>
      <c r="G293" s="619"/>
      <c r="H293" s="619"/>
      <c r="I293" s="710"/>
      <c r="J293" s="710"/>
      <c r="K293" s="710"/>
      <c r="L293" s="710"/>
      <c r="M293" s="710"/>
      <c r="N293" s="710"/>
      <c r="O293" s="619"/>
    </row>
    <row r="294" spans="1:15" ht="15.75" customHeight="1" x14ac:dyDescent="0.25">
      <c r="A294" s="770"/>
      <c r="B294" s="770"/>
      <c r="C294" s="619"/>
      <c r="D294" s="708"/>
      <c r="E294" s="619"/>
      <c r="F294" s="329"/>
      <c r="G294" s="619"/>
      <c r="H294" s="619"/>
      <c r="I294" s="710"/>
      <c r="J294" s="710"/>
      <c r="K294" s="710"/>
      <c r="L294" s="710"/>
      <c r="M294" s="710"/>
      <c r="N294" s="710"/>
      <c r="O294" s="619"/>
    </row>
    <row r="295" spans="1:15" ht="15.75" customHeight="1" x14ac:dyDescent="0.25">
      <c r="A295" s="770"/>
      <c r="B295" s="770"/>
      <c r="C295" s="619"/>
      <c r="D295" s="708"/>
      <c r="E295" s="619"/>
      <c r="F295" s="329"/>
      <c r="G295" s="619"/>
      <c r="H295" s="619"/>
      <c r="I295" s="710"/>
      <c r="J295" s="710"/>
      <c r="K295" s="710"/>
      <c r="L295" s="710"/>
      <c r="M295" s="710"/>
      <c r="N295" s="710"/>
      <c r="O295" s="619"/>
    </row>
    <row r="296" spans="1:15" ht="15.75" customHeight="1" x14ac:dyDescent="0.25">
      <c r="A296" s="770"/>
      <c r="B296" s="770"/>
      <c r="C296" s="619"/>
      <c r="D296" s="708"/>
      <c r="E296" s="619"/>
      <c r="F296" s="329"/>
      <c r="G296" s="619"/>
      <c r="H296" s="619"/>
      <c r="I296" s="710"/>
      <c r="J296" s="710"/>
      <c r="K296" s="710"/>
      <c r="L296" s="710"/>
      <c r="M296" s="710"/>
      <c r="N296" s="710"/>
      <c r="O296" s="619"/>
    </row>
    <row r="297" spans="1:15" ht="15.75" customHeight="1" x14ac:dyDescent="0.25">
      <c r="A297" s="770"/>
      <c r="B297" s="770"/>
      <c r="C297" s="619"/>
      <c r="D297" s="708"/>
      <c r="E297" s="619"/>
      <c r="F297" s="329"/>
      <c r="G297" s="619"/>
      <c r="H297" s="619"/>
      <c r="I297" s="710"/>
      <c r="J297" s="710"/>
      <c r="K297" s="710"/>
      <c r="L297" s="710"/>
      <c r="M297" s="710"/>
      <c r="N297" s="710"/>
      <c r="O297" s="619"/>
    </row>
    <row r="298" spans="1:15" ht="15.75" customHeight="1" x14ac:dyDescent="0.25">
      <c r="A298" s="770"/>
      <c r="B298" s="770"/>
      <c r="C298" s="619"/>
      <c r="D298" s="708"/>
      <c r="E298" s="619"/>
      <c r="F298" s="329"/>
      <c r="G298" s="619"/>
      <c r="H298" s="619"/>
      <c r="I298" s="710"/>
      <c r="J298" s="710"/>
      <c r="K298" s="710"/>
      <c r="L298" s="710"/>
      <c r="M298" s="710"/>
      <c r="N298" s="710"/>
      <c r="O298" s="619"/>
    </row>
    <row r="299" spans="1:15" ht="15.75" customHeight="1" x14ac:dyDescent="0.25">
      <c r="A299" s="770"/>
      <c r="B299" s="770"/>
      <c r="C299" s="619"/>
      <c r="D299" s="708"/>
      <c r="E299" s="619"/>
      <c r="F299" s="329"/>
      <c r="G299" s="619"/>
      <c r="H299" s="619"/>
      <c r="I299" s="710"/>
      <c r="J299" s="710"/>
      <c r="K299" s="710"/>
      <c r="L299" s="710"/>
      <c r="M299" s="710"/>
      <c r="N299" s="710"/>
      <c r="O299" s="619"/>
    </row>
    <row r="300" spans="1:15" ht="15.75" customHeight="1" x14ac:dyDescent="0.25">
      <c r="A300" s="770"/>
      <c r="B300" s="770"/>
      <c r="C300" s="619"/>
      <c r="D300" s="708"/>
      <c r="E300" s="619"/>
      <c r="F300" s="329"/>
      <c r="G300" s="619"/>
      <c r="H300" s="619"/>
      <c r="I300" s="710"/>
      <c r="J300" s="710"/>
      <c r="K300" s="710"/>
      <c r="L300" s="710"/>
      <c r="M300" s="710"/>
      <c r="N300" s="710"/>
      <c r="O300" s="619"/>
    </row>
    <row r="301" spans="1:15" ht="15.75" customHeight="1" x14ac:dyDescent="0.25">
      <c r="A301" s="770"/>
      <c r="B301" s="770"/>
      <c r="C301" s="619"/>
      <c r="D301" s="708"/>
      <c r="E301" s="619"/>
      <c r="F301" s="329"/>
      <c r="G301" s="619"/>
      <c r="H301" s="619"/>
      <c r="I301" s="710"/>
      <c r="J301" s="710"/>
      <c r="K301" s="710"/>
      <c r="L301" s="710"/>
      <c r="M301" s="710"/>
      <c r="N301" s="710"/>
      <c r="O301" s="619"/>
    </row>
    <row r="302" spans="1:15" ht="15.75" customHeight="1" x14ac:dyDescent="0.25">
      <c r="A302" s="770"/>
      <c r="B302" s="770"/>
      <c r="C302" s="619"/>
      <c r="D302" s="708"/>
      <c r="E302" s="619"/>
      <c r="F302" s="329"/>
      <c r="G302" s="619"/>
      <c r="H302" s="619"/>
      <c r="I302" s="710"/>
      <c r="J302" s="710"/>
      <c r="K302" s="710"/>
      <c r="L302" s="710"/>
      <c r="M302" s="710"/>
      <c r="N302" s="710"/>
      <c r="O302" s="619"/>
    </row>
    <row r="303" spans="1:15" ht="15.75" customHeight="1" x14ac:dyDescent="0.25">
      <c r="A303" s="770"/>
      <c r="B303" s="770"/>
      <c r="C303" s="619"/>
      <c r="D303" s="708"/>
      <c r="E303" s="619"/>
      <c r="F303" s="329"/>
      <c r="G303" s="619"/>
      <c r="H303" s="619"/>
      <c r="I303" s="710"/>
      <c r="J303" s="710"/>
      <c r="K303" s="710"/>
      <c r="L303" s="710"/>
      <c r="M303" s="710"/>
      <c r="N303" s="710"/>
      <c r="O303" s="619"/>
    </row>
    <row r="304" spans="1:15" ht="15.75" customHeight="1" x14ac:dyDescent="0.25">
      <c r="A304" s="770"/>
      <c r="B304" s="770"/>
      <c r="C304" s="619"/>
      <c r="D304" s="708"/>
      <c r="E304" s="619"/>
      <c r="F304" s="329"/>
      <c r="G304" s="619"/>
      <c r="H304" s="619"/>
      <c r="I304" s="710"/>
      <c r="J304" s="710"/>
      <c r="K304" s="710"/>
      <c r="L304" s="710"/>
      <c r="M304" s="710"/>
      <c r="N304" s="710"/>
      <c r="O304" s="619"/>
    </row>
    <row r="305" spans="1:15" ht="15.75" customHeight="1" x14ac:dyDescent="0.25">
      <c r="A305" s="770"/>
      <c r="B305" s="770"/>
      <c r="C305" s="619"/>
      <c r="D305" s="708"/>
      <c r="E305" s="619"/>
      <c r="F305" s="329"/>
      <c r="G305" s="619"/>
      <c r="H305" s="619"/>
      <c r="I305" s="710"/>
      <c r="J305" s="710"/>
      <c r="K305" s="710"/>
      <c r="L305" s="710"/>
      <c r="M305" s="710"/>
      <c r="N305" s="710"/>
      <c r="O305" s="619"/>
    </row>
    <row r="306" spans="1:15" ht="15.75" customHeight="1" x14ac:dyDescent="0.25">
      <c r="A306" s="770"/>
      <c r="B306" s="770"/>
      <c r="C306" s="619"/>
      <c r="D306" s="708"/>
      <c r="E306" s="619"/>
      <c r="F306" s="329"/>
      <c r="G306" s="619"/>
      <c r="H306" s="619"/>
      <c r="I306" s="710"/>
      <c r="J306" s="710"/>
      <c r="K306" s="710"/>
      <c r="L306" s="710"/>
      <c r="M306" s="710"/>
      <c r="N306" s="710"/>
      <c r="O306" s="619"/>
    </row>
    <row r="307" spans="1:15" ht="15.75" customHeight="1" x14ac:dyDescent="0.25">
      <c r="A307" s="770"/>
      <c r="B307" s="770"/>
      <c r="C307" s="619"/>
      <c r="D307" s="708"/>
      <c r="E307" s="619"/>
      <c r="F307" s="329"/>
      <c r="G307" s="619"/>
      <c r="H307" s="619"/>
      <c r="I307" s="710"/>
      <c r="J307" s="710"/>
      <c r="K307" s="710"/>
      <c r="L307" s="710"/>
      <c r="M307" s="710"/>
      <c r="N307" s="710"/>
      <c r="O307" s="619"/>
    </row>
    <row r="308" spans="1:15" ht="15.75" customHeight="1" x14ac:dyDescent="0.25">
      <c r="A308" s="770"/>
      <c r="B308" s="770"/>
      <c r="C308" s="619"/>
      <c r="D308" s="708"/>
      <c r="E308" s="619"/>
      <c r="F308" s="329"/>
      <c r="G308" s="619"/>
      <c r="H308" s="619"/>
      <c r="I308" s="710"/>
      <c r="J308" s="710"/>
      <c r="K308" s="710"/>
      <c r="L308" s="710"/>
      <c r="M308" s="710"/>
      <c r="N308" s="710"/>
      <c r="O308" s="619"/>
    </row>
    <row r="309" spans="1:15" ht="15.75" customHeight="1" x14ac:dyDescent="0.25">
      <c r="A309" s="770"/>
      <c r="B309" s="770"/>
      <c r="C309" s="619"/>
      <c r="D309" s="708"/>
      <c r="E309" s="619"/>
      <c r="F309" s="329"/>
      <c r="G309" s="619"/>
      <c r="H309" s="619"/>
      <c r="I309" s="710"/>
      <c r="J309" s="710"/>
      <c r="K309" s="710"/>
      <c r="L309" s="710"/>
      <c r="M309" s="710"/>
      <c r="N309" s="710"/>
      <c r="O309" s="619"/>
    </row>
    <row r="310" spans="1:15" ht="15.75" customHeight="1" x14ac:dyDescent="0.25">
      <c r="A310" s="770"/>
      <c r="B310" s="770"/>
      <c r="C310" s="619"/>
      <c r="D310" s="708"/>
      <c r="E310" s="619"/>
      <c r="F310" s="329"/>
      <c r="G310" s="619"/>
      <c r="H310" s="619"/>
      <c r="I310" s="710"/>
      <c r="J310" s="710"/>
      <c r="K310" s="710"/>
      <c r="L310" s="710"/>
      <c r="M310" s="710"/>
      <c r="N310" s="710"/>
      <c r="O310" s="619"/>
    </row>
    <row r="311" spans="1:15" ht="15.75" customHeight="1" x14ac:dyDescent="0.25">
      <c r="A311" s="770"/>
      <c r="B311" s="770"/>
      <c r="C311" s="619"/>
      <c r="D311" s="708"/>
      <c r="E311" s="619"/>
      <c r="F311" s="329"/>
      <c r="G311" s="619"/>
      <c r="H311" s="619"/>
      <c r="I311" s="710"/>
      <c r="J311" s="710"/>
      <c r="K311" s="710"/>
      <c r="L311" s="710"/>
      <c r="M311" s="710"/>
      <c r="N311" s="710"/>
      <c r="O311" s="619"/>
    </row>
    <row r="312" spans="1:15" ht="15.75" customHeight="1" x14ac:dyDescent="0.25">
      <c r="A312" s="770"/>
      <c r="B312" s="770"/>
      <c r="C312" s="619"/>
      <c r="D312" s="708"/>
      <c r="E312" s="619"/>
      <c r="F312" s="329"/>
      <c r="G312" s="619"/>
      <c r="H312" s="619"/>
      <c r="I312" s="710"/>
      <c r="J312" s="710"/>
      <c r="K312" s="710"/>
      <c r="L312" s="710"/>
      <c r="M312" s="710"/>
      <c r="N312" s="710"/>
      <c r="O312" s="619"/>
    </row>
    <row r="313" spans="1:15" ht="15.75" customHeight="1" x14ac:dyDescent="0.25">
      <c r="A313" s="770"/>
      <c r="B313" s="770"/>
      <c r="C313" s="619"/>
      <c r="D313" s="708"/>
      <c r="E313" s="619"/>
      <c r="F313" s="329"/>
      <c r="G313" s="619"/>
      <c r="H313" s="619"/>
      <c r="I313" s="710"/>
      <c r="J313" s="710"/>
      <c r="K313" s="710"/>
      <c r="L313" s="710"/>
      <c r="M313" s="710"/>
      <c r="N313" s="710"/>
      <c r="O313" s="619"/>
    </row>
    <row r="314" spans="1:15" ht="15.75" customHeight="1" x14ac:dyDescent="0.25">
      <c r="A314" s="770"/>
      <c r="B314" s="770"/>
      <c r="C314" s="619"/>
      <c r="D314" s="708"/>
      <c r="E314" s="619"/>
      <c r="F314" s="329"/>
      <c r="G314" s="619"/>
      <c r="H314" s="619"/>
      <c r="I314" s="710"/>
      <c r="J314" s="710"/>
      <c r="K314" s="710"/>
      <c r="L314" s="710"/>
      <c r="M314" s="710"/>
      <c r="N314" s="710"/>
      <c r="O314" s="619"/>
    </row>
    <row r="315" spans="1:15" ht="15.75" customHeight="1" x14ac:dyDescent="0.25">
      <c r="A315" s="770"/>
      <c r="B315" s="770"/>
      <c r="C315" s="619"/>
      <c r="D315" s="708"/>
      <c r="E315" s="619"/>
      <c r="F315" s="329"/>
      <c r="G315" s="619"/>
      <c r="H315" s="619"/>
      <c r="I315" s="710"/>
      <c r="J315" s="710"/>
      <c r="K315" s="710"/>
      <c r="L315" s="710"/>
      <c r="M315" s="710"/>
      <c r="N315" s="710"/>
      <c r="O315" s="619"/>
    </row>
  </sheetData>
  <sheetProtection algorithmName="SHA-512" hashValue="eO8zUr2CCh3sNOWqGOxIPuIkHBwAq3q6H/kfA6NcTNMs0uGqw7004XC4j1E0zQnW6xscE1AsAuK/8w6zeShXBA==" saltValue="bg8mnSKYrYuB+QcK6/dVkQ==" spinCount="100000" sheet="1" objects="1" scenarios="1"/>
  <mergeCells count="51">
    <mergeCell ref="M34:N34"/>
    <mergeCell ref="M35:N35"/>
    <mergeCell ref="M36:N36"/>
    <mergeCell ref="M37:N37"/>
    <mergeCell ref="M29:N29"/>
    <mergeCell ref="M30:N30"/>
    <mergeCell ref="M31:N31"/>
    <mergeCell ref="M32:N32"/>
    <mergeCell ref="M33:N33"/>
    <mergeCell ref="M22:N22"/>
    <mergeCell ref="M23:N23"/>
    <mergeCell ref="M24:N24"/>
    <mergeCell ref="M25:N25"/>
    <mergeCell ref="M28:N28"/>
    <mergeCell ref="M17:N17"/>
    <mergeCell ref="M18:N18"/>
    <mergeCell ref="M19:N19"/>
    <mergeCell ref="M20:N20"/>
    <mergeCell ref="M21:N21"/>
    <mergeCell ref="M12:N12"/>
    <mergeCell ref="M13:N13"/>
    <mergeCell ref="M14:N14"/>
    <mergeCell ref="M15:N15"/>
    <mergeCell ref="M16:N16"/>
    <mergeCell ref="M7:N7"/>
    <mergeCell ref="M8:N8"/>
    <mergeCell ref="M9:N9"/>
    <mergeCell ref="M10:N10"/>
    <mergeCell ref="M11:N11"/>
    <mergeCell ref="G3:G4"/>
    <mergeCell ref="A5:D5"/>
    <mergeCell ref="B6:C6"/>
    <mergeCell ref="A26:C26"/>
    <mergeCell ref="B27:C27"/>
    <mergeCell ref="A7:B25"/>
    <mergeCell ref="D1:L1"/>
    <mergeCell ref="A28:B32"/>
    <mergeCell ref="A33:B37"/>
    <mergeCell ref="M3:N4"/>
    <mergeCell ref="A1:C1"/>
    <mergeCell ref="A2:O2"/>
    <mergeCell ref="D3:D4"/>
    <mergeCell ref="E3:E4"/>
    <mergeCell ref="L3:L4"/>
    <mergeCell ref="H3:H4"/>
    <mergeCell ref="I3:I4"/>
    <mergeCell ref="J3:J4"/>
    <mergeCell ref="K3:K4"/>
    <mergeCell ref="A3:B4"/>
    <mergeCell ref="C3:C4"/>
    <mergeCell ref="F3:F4"/>
  </mergeCells>
  <phoneticPr fontId="146" type="noConversion"/>
  <conditionalFormatting sqref="K6:K50">
    <cfRule type="expression" dxfId="311" priority="16">
      <formula>H6=1</formula>
    </cfRule>
  </conditionalFormatting>
  <conditionalFormatting sqref="I7:I50">
    <cfRule type="cellIs" dxfId="310" priority="8" operator="lessThan">
      <formula>0</formula>
    </cfRule>
  </conditionalFormatting>
  <conditionalFormatting sqref="L6:L50">
    <cfRule type="cellIs" dxfId="309" priority="6" operator="greaterThan">
      <formula>0</formula>
    </cfRule>
    <cfRule type="cellIs" dxfId="308" priority="7" operator="equal">
      <formula>0</formula>
    </cfRule>
  </conditionalFormatting>
  <conditionalFormatting sqref="O6:O50">
    <cfRule type="containsText" dxfId="307" priority="9" operator="containsText" text="Expired">
      <formula>NOT(ISERROR(SEARCH("Expired",O6)))</formula>
    </cfRule>
    <cfRule type="containsText" dxfId="306" priority="10" operator="containsText" text="B1">
      <formula>NOT(ISERROR(SEARCH("B1",O6)))</formula>
    </cfRule>
    <cfRule type="containsText" dxfId="305" priority="11" operator="containsText" text="LCA">
      <formula>NOT(ISERROR(SEARCH("LCA",O6)))</formula>
    </cfRule>
    <cfRule type="containsText" dxfId="304" priority="12" operator="containsText" text="ICE">
      <formula>NOT(ISERROR(SEARCH("ICE",O6)))</formula>
    </cfRule>
    <cfRule type="containsText" dxfId="303" priority="13" operator="containsText" text="No">
      <formula>NOT(ISERROR(SEARCH("No",O6)))</formula>
    </cfRule>
    <cfRule type="containsText" dxfId="302" priority="14" operator="containsText" text="None">
      <formula>NOT(ISERROR(SEARCH("None",O6)))</formula>
    </cfRule>
    <cfRule type="containsText" dxfId="301" priority="15" operator="containsText" text="A1-">
      <formula>NOT(ISERROR(SEARCH("A1-",O6)))</formula>
    </cfRule>
  </conditionalFormatting>
  <conditionalFormatting sqref="P4">
    <cfRule type="cellIs" dxfId="300" priority="2" operator="greaterThan">
      <formula>0</formula>
    </cfRule>
    <cfRule type="cellIs" dxfId="299" priority="3" operator="equal">
      <formula>0</formula>
    </cfRule>
  </conditionalFormatting>
  <conditionalFormatting sqref="O4">
    <cfRule type="expression" dxfId="298" priority="1">
      <formula>COUNTIF($H:$H, 1)&gt;0</formula>
    </cfRule>
  </conditionalFormatting>
  <dataValidations count="1">
    <dataValidation type="whole" errorStyle="warning" operator="equal" allowBlank="1" showErrorMessage="1" errorTitle="Enter 1 to select" error="Options:_x000a_To select item, enter '1'_x000a_To unselect, leave cell empty" sqref="H28:H37 H7:H25" xr:uid="{00000000-0002-0000-0900-000000000000}">
      <formula1>1</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tabColor theme="9" tint="0.59999389629810485"/>
  </sheetPr>
  <dimension ref="A1:Z1331"/>
  <sheetViews>
    <sheetView zoomScale="80" zoomScaleNormal="80" workbookViewId="0">
      <pane ySplit="4" topLeftCell="A5" activePane="bottomLeft" state="frozen"/>
      <selection activeCell="K14" sqref="K14"/>
      <selection pane="bottomLeft" activeCell="A5" sqref="A5:C5"/>
    </sheetView>
  </sheetViews>
  <sheetFormatPr defaultColWidth="11.36328125" defaultRowHeight="15" customHeight="1" x14ac:dyDescent="0.25"/>
  <cols>
    <col min="1" max="1" width="8.6328125" customWidth="1"/>
    <col min="2" max="2" width="12.90625" customWidth="1"/>
    <col min="3" max="3" width="57.54296875" customWidth="1"/>
    <col min="4" max="4" width="19.81640625" style="712" customWidth="1"/>
    <col min="5" max="5" width="5.6328125" customWidth="1"/>
    <col min="6" max="6" width="6.6328125" style="331" customWidth="1"/>
    <col min="7" max="7" width="2.36328125" customWidth="1"/>
    <col min="8" max="8" width="6.6328125" customWidth="1"/>
    <col min="9" max="9" width="13.6328125" style="714" hidden="1" customWidth="1"/>
    <col min="10" max="10" width="16.6328125" style="714" hidden="1" customWidth="1"/>
    <col min="11" max="12" width="13.6328125" style="714" customWidth="1"/>
    <col min="13" max="13" width="12.6328125" style="714" customWidth="1"/>
    <col min="14" max="14" width="35.90625" style="714" customWidth="1"/>
    <col min="15" max="15" width="28.6328125" customWidth="1"/>
    <col min="16" max="16" width="25.90625" style="620" customWidth="1"/>
    <col min="17" max="17" width="15.54296875" style="757" customWidth="1"/>
    <col min="18" max="18" width="13.6328125" style="757" customWidth="1"/>
    <col min="19" max="25" width="10.54296875" style="619" customWidth="1"/>
    <col min="26" max="16384" width="11.36328125" style="619"/>
  </cols>
  <sheetData>
    <row r="1" spans="1:26" ht="54.75" customHeight="1" x14ac:dyDescent="0.25">
      <c r="A1" s="1528" t="s">
        <v>3427</v>
      </c>
      <c r="B1" s="1529"/>
      <c r="C1" s="1530"/>
      <c r="D1" s="1608" t="s">
        <v>3366</v>
      </c>
      <c r="E1" s="1608"/>
      <c r="F1" s="1608"/>
      <c r="G1" s="1608"/>
      <c r="H1" s="1608"/>
      <c r="I1" s="1608"/>
      <c r="J1" s="1608"/>
      <c r="K1" s="1608"/>
      <c r="L1" s="1608"/>
      <c r="M1" s="1609"/>
      <c r="N1" s="1609"/>
      <c r="O1" s="1608"/>
      <c r="P1" s="618"/>
    </row>
    <row r="2" spans="1:26" ht="19.2" customHeight="1" x14ac:dyDescent="0.3">
      <c r="A2" s="1591" t="s">
        <v>7209</v>
      </c>
      <c r="B2" s="1591"/>
      <c r="C2" s="1591"/>
      <c r="D2" s="1591"/>
      <c r="E2" s="1591"/>
      <c r="F2" s="1591"/>
      <c r="G2" s="1591"/>
      <c r="H2" s="1591"/>
      <c r="I2" s="1591"/>
      <c r="J2" s="1591"/>
      <c r="K2" s="1591"/>
      <c r="L2" s="1591"/>
      <c r="M2" s="1591"/>
      <c r="N2" s="1591"/>
      <c r="O2" s="1591"/>
      <c r="Z2" s="621"/>
    </row>
    <row r="3" spans="1:26" s="624" customFormat="1" ht="60" customHeight="1" x14ac:dyDescent="0.25">
      <c r="A3" s="1537" t="s">
        <v>1031</v>
      </c>
      <c r="B3" s="1537"/>
      <c r="C3" s="1537" t="s">
        <v>13</v>
      </c>
      <c r="D3" s="1532" t="s">
        <v>1583</v>
      </c>
      <c r="E3" s="1534"/>
      <c r="F3" s="1537" t="s">
        <v>14</v>
      </c>
      <c r="G3" s="1537"/>
      <c r="H3" s="1538" t="s">
        <v>3417</v>
      </c>
      <c r="I3" s="1526" t="s">
        <v>7157</v>
      </c>
      <c r="J3" s="1526" t="s">
        <v>7158</v>
      </c>
      <c r="K3" s="1535" t="s">
        <v>900</v>
      </c>
      <c r="L3" s="1535" t="s">
        <v>7156</v>
      </c>
      <c r="M3" s="1520" t="s">
        <v>7165</v>
      </c>
      <c r="N3" s="1520"/>
      <c r="O3" s="622" t="s">
        <v>7187</v>
      </c>
      <c r="P3" s="622" t="s">
        <v>7206</v>
      </c>
      <c r="Q3" s="728"/>
      <c r="R3" s="728"/>
      <c r="S3" s="623"/>
      <c r="T3" s="623"/>
      <c r="U3" s="623"/>
      <c r="V3" s="623"/>
      <c r="W3" s="623"/>
      <c r="X3" s="623"/>
      <c r="Y3" s="623"/>
      <c r="Z3" s="623"/>
    </row>
    <row r="4" spans="1:26" s="624" customFormat="1" ht="30.15" customHeight="1" x14ac:dyDescent="0.3">
      <c r="A4" s="1537"/>
      <c r="B4" s="1537"/>
      <c r="C4" s="1537"/>
      <c r="D4" s="1533"/>
      <c r="E4" s="1523"/>
      <c r="F4" s="1537"/>
      <c r="G4" s="1537"/>
      <c r="H4" s="1539"/>
      <c r="I4" s="1527"/>
      <c r="J4" s="1527"/>
      <c r="K4" s="1536"/>
      <c r="L4" s="1536"/>
      <c r="M4" s="1520"/>
      <c r="N4" s="1520"/>
      <c r="O4" s="405">
        <f>SUMIF(H6:H252, 1, K6:K252)</f>
        <v>0</v>
      </c>
      <c r="P4" s="424">
        <f>SUMIF(H6:H252, 1, L6:L252)</f>
        <v>0</v>
      </c>
      <c r="Q4" s="626" t="s">
        <v>107</v>
      </c>
      <c r="R4" s="626" t="s">
        <v>1072</v>
      </c>
      <c r="S4" s="627" t="s">
        <v>749</v>
      </c>
      <c r="T4" s="627" t="s">
        <v>108</v>
      </c>
      <c r="Z4" s="627"/>
    </row>
    <row r="5" spans="1:26" s="624" customFormat="1" ht="54.75" customHeight="1" x14ac:dyDescent="0.25">
      <c r="A5" s="1522" t="s">
        <v>1608</v>
      </c>
      <c r="B5" s="1523"/>
      <c r="C5" s="1523"/>
      <c r="D5" s="629" t="s">
        <v>38</v>
      </c>
      <c r="E5" s="1"/>
      <c r="F5" s="323" t="s">
        <v>1622</v>
      </c>
      <c r="G5" s="650"/>
      <c r="H5" s="650"/>
      <c r="I5" s="651"/>
      <c r="J5" s="651"/>
      <c r="K5" s="652"/>
      <c r="L5" s="759"/>
      <c r="M5" s="759"/>
      <c r="N5" s="759"/>
      <c r="O5" s="637"/>
      <c r="P5" s="637"/>
      <c r="Q5" s="761"/>
      <c r="R5" s="728"/>
      <c r="T5" s="638"/>
      <c r="U5" s="638"/>
      <c r="V5" s="638"/>
      <c r="W5" s="638"/>
      <c r="X5" s="638"/>
      <c r="Y5" s="638"/>
      <c r="Z5" s="638"/>
    </row>
    <row r="6" spans="1:26" s="624" customFormat="1" ht="23.25" customHeight="1" x14ac:dyDescent="0.25">
      <c r="A6" s="639"/>
      <c r="B6" s="1524" t="s">
        <v>6836</v>
      </c>
      <c r="C6" s="1523"/>
      <c r="D6" s="640"/>
      <c r="E6" s="641"/>
      <c r="F6" s="325"/>
      <c r="G6" s="678"/>
      <c r="H6" s="679"/>
      <c r="I6" s="733"/>
      <c r="J6" s="733"/>
      <c r="K6" s="698"/>
      <c r="L6" s="698"/>
      <c r="M6" s="698"/>
      <c r="N6" s="698"/>
      <c r="O6" s="772"/>
      <c r="P6" s="637"/>
      <c r="Q6" s="728"/>
      <c r="R6" s="728"/>
      <c r="T6" s="638"/>
      <c r="U6" s="638"/>
      <c r="V6" s="638"/>
      <c r="W6" s="638"/>
      <c r="X6" s="638"/>
      <c r="Y6" s="638"/>
      <c r="Z6" s="638"/>
    </row>
    <row r="7" spans="1:26" ht="22.8" x14ac:dyDescent="0.25">
      <c r="A7" s="1542"/>
      <c r="B7" s="1542"/>
      <c r="C7" s="669" t="str">
        <f>INDEX('Master sheet'!$A$1:$A$670,MATCH("248-1",'Master sheet'!$AN$1:$AN$670,0))</f>
        <v xml:space="preserve">Wood - SPF / Canadian Wood Council / British Columbia / </v>
      </c>
      <c r="D7" s="15">
        <f>'USER INPUT SHEET'!$D$32+'USER INPUT SHEET'!$D$47</f>
        <v>0</v>
      </c>
      <c r="E7" s="16" t="str">
        <f>'USER INPUT SHEET'!$F$32</f>
        <v>m2</v>
      </c>
      <c r="F7" s="3">
        <v>1</v>
      </c>
      <c r="G7" s="670"/>
      <c r="H7" s="8"/>
      <c r="I7" s="95">
        <f t="shared" ref="I7:I12" si="0">K7-L7-IF(N7,M7,0)</f>
        <v>0</v>
      </c>
      <c r="J7" s="93" t="str">
        <f t="shared" ref="J7:J12" si="1">IF(H7=1,I7,"")</f>
        <v/>
      </c>
      <c r="K7" s="406">
        <f>$F7*IF($E$5=16,$D7*0.25,$D7*0.22)*VLOOKUP($C7,'Master sheet'!$A:$AL,13,FALSE)*0.0889</f>
        <v>0</v>
      </c>
      <c r="L7" s="94">
        <f>$F7*IF($E$5=16,$D7*0.25,$D7*0.22)*VLOOKUP($C7,'Master sheet'!$A:$AL,27,FALSE)*0.0889</f>
        <v>0</v>
      </c>
      <c r="M7" s="1562"/>
      <c r="N7" s="1562"/>
      <c r="O7" s="25" t="str">
        <f>_xlfn.IFNA(VLOOKUP($C7,'Master sheet'!$A:$AR,44,FALSE),"")&amp;""</f>
        <v/>
      </c>
      <c r="P7" s="685"/>
      <c r="Q7" s="717" t="s">
        <v>52</v>
      </c>
      <c r="R7" s="717" t="s">
        <v>1608</v>
      </c>
      <c r="S7" s="737" t="s">
        <v>7250</v>
      </c>
      <c r="T7" s="665"/>
      <c r="U7" s="664"/>
      <c r="V7" s="664"/>
      <c r="W7" s="664"/>
      <c r="X7" s="664"/>
      <c r="Y7" s="664"/>
      <c r="Z7" s="638"/>
    </row>
    <row r="8" spans="1:26" ht="22.8" x14ac:dyDescent="0.25">
      <c r="A8" s="1542"/>
      <c r="B8" s="1542"/>
      <c r="C8" s="669" t="str">
        <f>INDEX('Master sheet'!$A$1:$A$670,MATCH("248-2",'Master sheet'!$AN$1:$AN$670,0))</f>
        <v xml:space="preserve">Wood - SPF / Canadian Wood Council / Alberta / </v>
      </c>
      <c r="D8" s="15">
        <f>'USER INPUT SHEET'!$D$32+'USER INPUT SHEET'!$D$47</f>
        <v>0</v>
      </c>
      <c r="E8" s="16" t="str">
        <f>'USER INPUT SHEET'!$F$32</f>
        <v>m2</v>
      </c>
      <c r="F8" s="3">
        <v>1</v>
      </c>
      <c r="G8" s="670"/>
      <c r="H8" s="8"/>
      <c r="I8" s="95">
        <f t="shared" si="0"/>
        <v>0</v>
      </c>
      <c r="J8" s="93" t="str">
        <f t="shared" si="1"/>
        <v/>
      </c>
      <c r="K8" s="406">
        <f>$F8*IF($E$5=16,$D8*0.25,$D8*0.22)*VLOOKUP($C8,'Master sheet'!$A:$AL,13,FALSE)*0.0889</f>
        <v>0</v>
      </c>
      <c r="L8" s="94">
        <f>$F8*IF($E$5=16,$D8*0.25,$D8*0.22)*VLOOKUP($C8,'Master sheet'!$A:$AL,27,FALSE)*0.0889</f>
        <v>0</v>
      </c>
      <c r="M8" s="1552"/>
      <c r="N8" s="1552"/>
      <c r="O8" s="25" t="str">
        <f>_xlfn.IFNA(VLOOKUP($C8,'Master sheet'!$A:$AR,44,FALSE),"")&amp;""</f>
        <v/>
      </c>
      <c r="P8" s="685"/>
      <c r="Q8" s="717" t="s">
        <v>52</v>
      </c>
      <c r="R8" s="717" t="s">
        <v>1608</v>
      </c>
      <c r="S8" s="737" t="s">
        <v>7250</v>
      </c>
      <c r="T8" s="665"/>
      <c r="U8" s="664"/>
      <c r="V8" s="664"/>
      <c r="W8" s="664"/>
      <c r="X8" s="664"/>
      <c r="Y8" s="664"/>
      <c r="Z8" s="638"/>
    </row>
    <row r="9" spans="1:26" ht="22.8" x14ac:dyDescent="0.25">
      <c r="A9" s="1542"/>
      <c r="B9" s="1542"/>
      <c r="C9" s="669" t="str">
        <f>INDEX('Master sheet'!$A$1:$A$670,MATCH("248-3",'Master sheet'!$AN$1:$AN$670,0))</f>
        <v xml:space="preserve">Wood - SPF / Canadian Wood Council / Ontario / </v>
      </c>
      <c r="D9" s="15">
        <f>'USER INPUT SHEET'!$D$32+'USER INPUT SHEET'!$D$47</f>
        <v>0</v>
      </c>
      <c r="E9" s="16" t="str">
        <f>'USER INPUT SHEET'!$F$32</f>
        <v>m2</v>
      </c>
      <c r="F9" s="3">
        <v>1</v>
      </c>
      <c r="G9" s="670"/>
      <c r="H9" s="8"/>
      <c r="I9" s="95">
        <f t="shared" si="0"/>
        <v>0</v>
      </c>
      <c r="J9" s="93" t="str">
        <f t="shared" si="1"/>
        <v/>
      </c>
      <c r="K9" s="406">
        <f>$F9*IF($E$5=16,$D9*0.25,$D9*0.22)*VLOOKUP($C9,'Master sheet'!$A:$AL,13,FALSE)*0.0889</f>
        <v>0</v>
      </c>
      <c r="L9" s="94">
        <f>$F9*IF($E$5=16,$D9*0.25,$D9*0.22)*VLOOKUP($C9,'Master sheet'!$A:$AL,27,FALSE)*0.0889</f>
        <v>0</v>
      </c>
      <c r="M9" s="1552"/>
      <c r="N9" s="1552"/>
      <c r="O9" s="25" t="str">
        <f>_xlfn.IFNA(VLOOKUP($C9,'Master sheet'!$A:$AR,44,FALSE),"")&amp;""</f>
        <v/>
      </c>
      <c r="P9" s="685"/>
      <c r="Q9" s="717" t="s">
        <v>52</v>
      </c>
      <c r="R9" s="717" t="s">
        <v>1608</v>
      </c>
      <c r="S9" s="737" t="s">
        <v>7250</v>
      </c>
      <c r="T9" s="665"/>
      <c r="U9" s="664"/>
      <c r="V9" s="664"/>
      <c r="W9" s="664"/>
      <c r="X9" s="664"/>
      <c r="Y9" s="664"/>
      <c r="Z9" s="664"/>
    </row>
    <row r="10" spans="1:26" ht="22.8" x14ac:dyDescent="0.25">
      <c r="A10" s="1542"/>
      <c r="B10" s="1542"/>
      <c r="C10" s="669" t="str">
        <f>INDEX('Master sheet'!$A$1:$A$670,MATCH("248-4",'Master sheet'!$AN$1:$AN$670,0))</f>
        <v xml:space="preserve">Wood - SPF / Canadian Wood Council / Quebec / </v>
      </c>
      <c r="D10" s="15">
        <f>'USER INPUT SHEET'!$D$32+'USER INPUT SHEET'!$D$47</f>
        <v>0</v>
      </c>
      <c r="E10" s="16" t="str">
        <f>'USER INPUT SHEET'!$F$32</f>
        <v>m2</v>
      </c>
      <c r="F10" s="3">
        <v>1</v>
      </c>
      <c r="G10" s="670"/>
      <c r="H10" s="8"/>
      <c r="I10" s="95">
        <f t="shared" si="0"/>
        <v>0</v>
      </c>
      <c r="J10" s="93" t="str">
        <f t="shared" si="1"/>
        <v/>
      </c>
      <c r="K10" s="406">
        <f>$F10*IF($E$5=16,$D10*0.25,$D10*0.22)*VLOOKUP($C10,'Master sheet'!$A:$AL,13,FALSE)*0.0889</f>
        <v>0</v>
      </c>
      <c r="L10" s="94">
        <f>$F10*IF($E$5=16,$D10*0.25,$D10*0.22)*VLOOKUP($C10,'Master sheet'!$A:$AL,27,FALSE)*0.0889</f>
        <v>0</v>
      </c>
      <c r="M10" s="1552"/>
      <c r="N10" s="1552"/>
      <c r="O10" s="25" t="str">
        <f>_xlfn.IFNA(VLOOKUP($C10,'Master sheet'!$A:$AR,44,FALSE),"")&amp;""</f>
        <v/>
      </c>
      <c r="P10" s="685"/>
      <c r="Q10" s="717" t="s">
        <v>52</v>
      </c>
      <c r="R10" s="717" t="s">
        <v>1608</v>
      </c>
      <c r="S10" s="737" t="s">
        <v>7250</v>
      </c>
      <c r="T10" s="665"/>
      <c r="U10" s="664"/>
      <c r="V10" s="664"/>
      <c r="W10" s="664"/>
      <c r="X10" s="664"/>
      <c r="Y10" s="664"/>
      <c r="Z10" s="664"/>
    </row>
    <row r="11" spans="1:26" ht="22.8" x14ac:dyDescent="0.25">
      <c r="A11" s="1542"/>
      <c r="B11" s="1542"/>
      <c r="C11" s="669" t="str">
        <f>INDEX('Master sheet'!$A$1:$A$670,MATCH("248-5",'Master sheet'!$AN$1:$AN$670,0))</f>
        <v xml:space="preserve">Wood - SPF / Canadian Wood Council / New Brunswick / </v>
      </c>
      <c r="D11" s="15">
        <f>'USER INPUT SHEET'!$D$32+'USER INPUT SHEET'!$D$47</f>
        <v>0</v>
      </c>
      <c r="E11" s="16" t="str">
        <f>'USER INPUT SHEET'!$F$32</f>
        <v>m2</v>
      </c>
      <c r="F11" s="3">
        <v>1</v>
      </c>
      <c r="G11" s="670"/>
      <c r="H11" s="8"/>
      <c r="I11" s="95">
        <f t="shared" si="0"/>
        <v>0</v>
      </c>
      <c r="J11" s="93" t="str">
        <f t="shared" si="1"/>
        <v/>
      </c>
      <c r="K11" s="406">
        <f>$F11*IF($E$5=16,$D11*0.25,$D11*0.22)*VLOOKUP($C11,'Master sheet'!$A:$AL,13,FALSE)*0.0889</f>
        <v>0</v>
      </c>
      <c r="L11" s="94">
        <f>$F11*IF($E$5=16,$D11*0.25,$D11*0.22)*VLOOKUP($C11,'Master sheet'!$A:$AL,27,FALSE)*0.0889</f>
        <v>0</v>
      </c>
      <c r="M11" s="1552"/>
      <c r="N11" s="1552"/>
      <c r="O11" s="25" t="str">
        <f>_xlfn.IFNA(VLOOKUP($C11,'Master sheet'!$A:$AR,44,FALSE),"")&amp;""</f>
        <v/>
      </c>
      <c r="P11" s="685"/>
      <c r="Q11" s="717" t="s">
        <v>52</v>
      </c>
      <c r="R11" s="717" t="s">
        <v>1608</v>
      </c>
      <c r="S11" s="737" t="s">
        <v>7250</v>
      </c>
      <c r="T11" s="665"/>
      <c r="U11" s="664"/>
      <c r="V11" s="664"/>
      <c r="W11" s="664"/>
      <c r="X11" s="664"/>
      <c r="Y11" s="664"/>
      <c r="Z11" s="664"/>
    </row>
    <row r="12" spans="1:26" ht="22.8" x14ac:dyDescent="0.25">
      <c r="A12" s="1542"/>
      <c r="B12" s="1542"/>
      <c r="C12" s="669" t="str">
        <f>INDEX('Master sheet'!$A$1:$A$670,MATCH("248-6",'Master sheet'!$AN$1:$AN$670,0))</f>
        <v xml:space="preserve">Wood - SPF / Canadian Wood Council / Atlantic Canada / </v>
      </c>
      <c r="D12" s="15">
        <f>'USER INPUT SHEET'!$D$32+'USER INPUT SHEET'!$D$47</f>
        <v>0</v>
      </c>
      <c r="E12" s="16" t="str">
        <f>'USER INPUT SHEET'!$F$32</f>
        <v>m2</v>
      </c>
      <c r="F12" s="3">
        <v>1</v>
      </c>
      <c r="G12" s="670"/>
      <c r="H12" s="8"/>
      <c r="I12" s="95">
        <f t="shared" si="0"/>
        <v>0</v>
      </c>
      <c r="J12" s="93" t="str">
        <f t="shared" si="1"/>
        <v/>
      </c>
      <c r="K12" s="406">
        <f>$F12*IF($E$5=16,$D12*0.25,$D12*0.22)*VLOOKUP($C12,'Master sheet'!$A:$AL,13,FALSE)*0.0889</f>
        <v>0</v>
      </c>
      <c r="L12" s="94">
        <f>$F12*IF($E$5=16,$D12*0.25,$D12*0.22)*VLOOKUP($C12,'Master sheet'!$A:$AL,27,FALSE)*0.0889</f>
        <v>0</v>
      </c>
      <c r="M12" s="1552"/>
      <c r="N12" s="1552"/>
      <c r="O12" s="25" t="str">
        <f>_xlfn.IFNA(VLOOKUP($C12,'Master sheet'!$A:$AR,44,FALSE),"")&amp;""</f>
        <v/>
      </c>
      <c r="P12" s="685"/>
      <c r="Q12" s="717" t="s">
        <v>52</v>
      </c>
      <c r="R12" s="717" t="s">
        <v>1608</v>
      </c>
      <c r="S12" s="737" t="s">
        <v>7250</v>
      </c>
      <c r="T12" s="665"/>
      <c r="U12" s="664"/>
      <c r="V12" s="664"/>
      <c r="W12" s="664"/>
      <c r="X12" s="664"/>
      <c r="Y12" s="664"/>
      <c r="Z12" s="664"/>
    </row>
    <row r="13" spans="1:26" s="624" customFormat="1" ht="21" x14ac:dyDescent="0.25">
      <c r="A13" s="639"/>
      <c r="B13" s="1524" t="s">
        <v>6837</v>
      </c>
      <c r="C13" s="1523"/>
      <c r="D13" s="640"/>
      <c r="E13" s="641"/>
      <c r="F13" s="334"/>
      <c r="G13" s="678"/>
      <c r="H13" s="639"/>
      <c r="I13" s="733"/>
      <c r="J13" s="733"/>
      <c r="K13" s="698"/>
      <c r="L13" s="736"/>
      <c r="M13" s="736"/>
      <c r="N13" s="736"/>
      <c r="O13" s="25" t="str">
        <f>_xlfn.IFNA(VLOOKUP($C13,'Master sheet'!$A:$AR,44,FALSE),"")&amp;""</f>
        <v/>
      </c>
      <c r="P13" s="637"/>
      <c r="Q13" s="722"/>
      <c r="R13" s="722"/>
      <c r="S13" s="623"/>
      <c r="T13" s="638"/>
      <c r="U13" s="638"/>
      <c r="V13" s="638"/>
      <c r="W13" s="638"/>
      <c r="X13" s="638"/>
      <c r="Y13" s="638"/>
      <c r="Z13" s="664"/>
    </row>
    <row r="14" spans="1:26" ht="22.8" x14ac:dyDescent="0.25">
      <c r="A14" s="1542"/>
      <c r="B14" s="1542"/>
      <c r="C14" s="669" t="str">
        <f>INDEX('Master sheet'!$A$1:$A$670,MATCH("248-1",'Master sheet'!$AN$1:$AN$670,0))</f>
        <v xml:space="preserve">Wood - SPF / Canadian Wood Council / British Columbia / </v>
      </c>
      <c r="D14" s="15">
        <f>'USER INPUT SHEET'!$D$32+'USER INPUT SHEET'!$D$47</f>
        <v>0</v>
      </c>
      <c r="E14" s="16" t="str">
        <f>'USER INPUT SHEET'!$F$32</f>
        <v>m2</v>
      </c>
      <c r="F14" s="3">
        <v>1</v>
      </c>
      <c r="G14" s="670"/>
      <c r="H14" s="8"/>
      <c r="I14" s="95">
        <f t="shared" ref="I14:I19" si="2">K14-L14-IF(N14,M14,0)</f>
        <v>0</v>
      </c>
      <c r="J14" s="93" t="str">
        <f t="shared" ref="J14:J19" si="3">IF(H14=1,I14,"")</f>
        <v/>
      </c>
      <c r="K14" s="406">
        <f>$F14*IF($E$5=16,$D14*0.25,$D14*0.22)*VLOOKUP($C14,'Master sheet'!$A:$AL,13,FALSE)*0.1397</f>
        <v>0</v>
      </c>
      <c r="L14" s="94">
        <f>$F14*IF($E$5=16,$D14*0.25,$D14*0.22)*VLOOKUP($C14,'Master sheet'!$A:$AL,27,FALSE)*0.1397</f>
        <v>0</v>
      </c>
      <c r="M14" s="1562"/>
      <c r="N14" s="1562"/>
      <c r="O14" s="25" t="str">
        <f>_xlfn.IFNA(VLOOKUP($C14,'Master sheet'!$A:$AR,44,FALSE),"")&amp;""</f>
        <v/>
      </c>
      <c r="P14" s="685"/>
      <c r="Q14" s="717" t="s">
        <v>52</v>
      </c>
      <c r="R14" s="717" t="s">
        <v>1608</v>
      </c>
      <c r="S14" s="737" t="s">
        <v>7251</v>
      </c>
      <c r="T14" s="665"/>
      <c r="U14" s="664"/>
      <c r="V14" s="664"/>
      <c r="W14" s="664"/>
      <c r="X14" s="664"/>
      <c r="Y14" s="664"/>
      <c r="Z14" s="664"/>
    </row>
    <row r="15" spans="1:26" ht="22.8" x14ac:dyDescent="0.25">
      <c r="A15" s="1542"/>
      <c r="B15" s="1542"/>
      <c r="C15" s="669" t="str">
        <f>INDEX('Master sheet'!$A$1:$A$670,MATCH("248-2",'Master sheet'!$AN$1:$AN$670,0))</f>
        <v xml:space="preserve">Wood - SPF / Canadian Wood Council / Alberta / </v>
      </c>
      <c r="D15" s="15">
        <f>'USER INPUT SHEET'!$D$32+'USER INPUT SHEET'!$D$47</f>
        <v>0</v>
      </c>
      <c r="E15" s="16" t="str">
        <f>'USER INPUT SHEET'!$F$32</f>
        <v>m2</v>
      </c>
      <c r="F15" s="3">
        <v>1</v>
      </c>
      <c r="G15" s="670"/>
      <c r="H15" s="8"/>
      <c r="I15" s="95">
        <f t="shared" si="2"/>
        <v>0</v>
      </c>
      <c r="J15" s="93" t="str">
        <f t="shared" si="3"/>
        <v/>
      </c>
      <c r="K15" s="406">
        <f>$F15*IF($E$5=16,$D15*0.25,$D15*0.22)*VLOOKUP($C15,'Master sheet'!$A:$AL,13,FALSE)*0.1397</f>
        <v>0</v>
      </c>
      <c r="L15" s="94">
        <f>$F15*IF($E$5=16,$D15*0.25,$D15*0.22)*VLOOKUP($C15,'Master sheet'!$A:$AL,27,FALSE)*0.1397</f>
        <v>0</v>
      </c>
      <c r="M15" s="1552"/>
      <c r="N15" s="1552"/>
      <c r="O15" s="25" t="str">
        <f>_xlfn.IFNA(VLOOKUP($C15,'Master sheet'!$A:$AR,44,FALSE),"")&amp;""</f>
        <v/>
      </c>
      <c r="P15" s="685"/>
      <c r="Q15" s="717" t="s">
        <v>52</v>
      </c>
      <c r="R15" s="717" t="s">
        <v>1608</v>
      </c>
      <c r="S15" s="737" t="s">
        <v>7251</v>
      </c>
      <c r="T15" s="665"/>
      <c r="U15" s="664"/>
      <c r="V15" s="664"/>
      <c r="W15" s="664"/>
      <c r="X15" s="664"/>
      <c r="Y15" s="664"/>
      <c r="Z15" s="664"/>
    </row>
    <row r="16" spans="1:26" ht="22.8" x14ac:dyDescent="0.25">
      <c r="A16" s="1542"/>
      <c r="B16" s="1542"/>
      <c r="C16" s="669" t="str">
        <f>INDEX('Master sheet'!$A$1:$A$670,MATCH("248-3",'Master sheet'!$AN$1:$AN$670,0))</f>
        <v xml:space="preserve">Wood - SPF / Canadian Wood Council / Ontario / </v>
      </c>
      <c r="D16" s="15">
        <f>'USER INPUT SHEET'!$D$32+'USER INPUT SHEET'!$D$47</f>
        <v>0</v>
      </c>
      <c r="E16" s="16" t="str">
        <f>'USER INPUT SHEET'!$F$32</f>
        <v>m2</v>
      </c>
      <c r="F16" s="3">
        <v>1</v>
      </c>
      <c r="G16" s="670"/>
      <c r="H16" s="8"/>
      <c r="I16" s="95">
        <f t="shared" si="2"/>
        <v>0</v>
      </c>
      <c r="J16" s="93" t="str">
        <f t="shared" si="3"/>
        <v/>
      </c>
      <c r="K16" s="406">
        <f>$F16*IF($E$5=16,$D16*0.25,$D16*0.22)*VLOOKUP($C16,'Master sheet'!$A:$AL,13,FALSE)*0.1397</f>
        <v>0</v>
      </c>
      <c r="L16" s="94">
        <f>$F16*IF($E$5=16,$D16*0.25,$D16*0.22)*VLOOKUP($C16,'Master sheet'!$A:$AL,27,FALSE)*0.1397</f>
        <v>0</v>
      </c>
      <c r="M16" s="1552"/>
      <c r="N16" s="1552"/>
      <c r="O16" s="25" t="str">
        <f>_xlfn.IFNA(VLOOKUP($C16,'Master sheet'!$A:$AR,44,FALSE),"")&amp;""</f>
        <v/>
      </c>
      <c r="P16" s="685"/>
      <c r="Q16" s="717" t="s">
        <v>52</v>
      </c>
      <c r="R16" s="717" t="s">
        <v>1608</v>
      </c>
      <c r="S16" s="737" t="s">
        <v>7251</v>
      </c>
      <c r="T16" s="665"/>
      <c r="U16" s="664"/>
      <c r="V16" s="664"/>
      <c r="W16" s="664"/>
      <c r="X16" s="664"/>
      <c r="Y16" s="664"/>
      <c r="Z16" s="638"/>
    </row>
    <row r="17" spans="1:26" ht="22.8" x14ac:dyDescent="0.25">
      <c r="A17" s="1542"/>
      <c r="B17" s="1542"/>
      <c r="C17" s="669" t="str">
        <f>INDEX('Master sheet'!$A$1:$A$670,MATCH("248-4",'Master sheet'!$AN$1:$AN$670,0))</f>
        <v xml:space="preserve">Wood - SPF / Canadian Wood Council / Quebec / </v>
      </c>
      <c r="D17" s="15">
        <f>'USER INPUT SHEET'!$D$32+'USER INPUT SHEET'!$D$47</f>
        <v>0</v>
      </c>
      <c r="E17" s="16" t="str">
        <f>'USER INPUT SHEET'!$F$32</f>
        <v>m2</v>
      </c>
      <c r="F17" s="3">
        <v>1</v>
      </c>
      <c r="G17" s="670"/>
      <c r="H17" s="8"/>
      <c r="I17" s="95">
        <f t="shared" si="2"/>
        <v>0</v>
      </c>
      <c r="J17" s="93" t="str">
        <f t="shared" si="3"/>
        <v/>
      </c>
      <c r="K17" s="406">
        <f>$F17*IF($E$5=16,$D17*0.25,$D17*0.22)*VLOOKUP($C17,'Master sheet'!$A:$AL,13,FALSE)*0.1397</f>
        <v>0</v>
      </c>
      <c r="L17" s="94">
        <f>$F17*IF($E$5=16,$D17*0.25,$D17*0.22)*VLOOKUP($C17,'Master sheet'!$A:$AL,27,FALSE)*0.1397</f>
        <v>0</v>
      </c>
      <c r="M17" s="1552"/>
      <c r="N17" s="1552"/>
      <c r="O17" s="25" t="str">
        <f>_xlfn.IFNA(VLOOKUP($C17,'Master sheet'!$A:$AR,44,FALSE),"")&amp;""</f>
        <v/>
      </c>
      <c r="P17" s="685"/>
      <c r="Q17" s="717" t="s">
        <v>52</v>
      </c>
      <c r="R17" s="717" t="s">
        <v>1608</v>
      </c>
      <c r="S17" s="737" t="s">
        <v>7251</v>
      </c>
      <c r="T17" s="665"/>
      <c r="U17" s="664"/>
      <c r="V17" s="664"/>
      <c r="W17" s="664"/>
      <c r="X17" s="664"/>
      <c r="Y17" s="664"/>
      <c r="Z17" s="664"/>
    </row>
    <row r="18" spans="1:26" ht="22.8" x14ac:dyDescent="0.25">
      <c r="A18" s="1542"/>
      <c r="B18" s="1542"/>
      <c r="C18" s="669" t="str">
        <f>INDEX('Master sheet'!$A$1:$A$670,MATCH("248-5",'Master sheet'!$AN$1:$AN$670,0))</f>
        <v xml:space="preserve">Wood - SPF / Canadian Wood Council / New Brunswick / </v>
      </c>
      <c r="D18" s="15">
        <f>'USER INPUT SHEET'!$D$32+'USER INPUT SHEET'!$D$47</f>
        <v>0</v>
      </c>
      <c r="E18" s="16" t="str">
        <f>'USER INPUT SHEET'!$F$32</f>
        <v>m2</v>
      </c>
      <c r="F18" s="3">
        <v>1</v>
      </c>
      <c r="G18" s="670"/>
      <c r="H18" s="8"/>
      <c r="I18" s="95">
        <f t="shared" si="2"/>
        <v>0</v>
      </c>
      <c r="J18" s="93" t="str">
        <f t="shared" si="3"/>
        <v/>
      </c>
      <c r="K18" s="406">
        <f>$F18*IF($E$5=16,$D18*0.25,$D18*0.22)*VLOOKUP($C18,'Master sheet'!$A:$AL,13,FALSE)*0.1397</f>
        <v>0</v>
      </c>
      <c r="L18" s="94">
        <f>$F18*IF($E$5=16,$D18*0.25,$D18*0.22)*VLOOKUP($C18,'Master sheet'!$A:$AL,27,FALSE)*0.1397</f>
        <v>0</v>
      </c>
      <c r="M18" s="1552"/>
      <c r="N18" s="1552"/>
      <c r="O18" s="25" t="str">
        <f>_xlfn.IFNA(VLOOKUP($C18,'Master sheet'!$A:$AR,44,FALSE),"")&amp;""</f>
        <v/>
      </c>
      <c r="P18" s="685"/>
      <c r="Q18" s="717" t="s">
        <v>52</v>
      </c>
      <c r="R18" s="717" t="s">
        <v>1608</v>
      </c>
      <c r="S18" s="737" t="s">
        <v>7251</v>
      </c>
      <c r="T18" s="665"/>
      <c r="U18" s="664"/>
      <c r="V18" s="664"/>
      <c r="W18" s="664"/>
      <c r="X18" s="664"/>
      <c r="Y18" s="664"/>
      <c r="Z18" s="664"/>
    </row>
    <row r="19" spans="1:26" ht="22.8" x14ac:dyDescent="0.25">
      <c r="A19" s="1542"/>
      <c r="B19" s="1542"/>
      <c r="C19" s="669" t="str">
        <f>INDEX('Master sheet'!$A$1:$A$670,MATCH("248-6",'Master sheet'!$AN$1:$AN$670,0))</f>
        <v xml:space="preserve">Wood - SPF / Canadian Wood Council / Atlantic Canada / </v>
      </c>
      <c r="D19" s="15">
        <f>'USER INPUT SHEET'!$D$32+'USER INPUT SHEET'!$D$47</f>
        <v>0</v>
      </c>
      <c r="E19" s="16" t="str">
        <f>'USER INPUT SHEET'!$F$32</f>
        <v>m2</v>
      </c>
      <c r="F19" s="3">
        <v>1</v>
      </c>
      <c r="G19" s="670"/>
      <c r="H19" s="8"/>
      <c r="I19" s="95">
        <f t="shared" si="2"/>
        <v>0</v>
      </c>
      <c r="J19" s="93" t="str">
        <f t="shared" si="3"/>
        <v/>
      </c>
      <c r="K19" s="406">
        <f>$F19*IF($E$5=16,$D19*0.25,$D19*0.22)*VLOOKUP($C19,'Master sheet'!$A:$AL,13,FALSE)*0.1397</f>
        <v>0</v>
      </c>
      <c r="L19" s="94">
        <f>$F19*IF($E$5=16,$D19*0.25,$D19*0.22)*VLOOKUP($C19,'Master sheet'!$A:$AL,27,FALSE)*0.1397</f>
        <v>0</v>
      </c>
      <c r="M19" s="1552"/>
      <c r="N19" s="1552"/>
      <c r="O19" s="25" t="str">
        <f>_xlfn.IFNA(VLOOKUP($C19,'Master sheet'!$A:$AR,44,FALSE),"")&amp;""</f>
        <v/>
      </c>
      <c r="P19" s="685"/>
      <c r="Q19" s="717" t="s">
        <v>52</v>
      </c>
      <c r="R19" s="717" t="s">
        <v>1608</v>
      </c>
      <c r="S19" s="737" t="s">
        <v>7251</v>
      </c>
      <c r="T19" s="665"/>
      <c r="U19" s="664"/>
      <c r="V19" s="664"/>
      <c r="W19" s="664"/>
      <c r="X19" s="664"/>
      <c r="Y19" s="664"/>
      <c r="Z19" s="664"/>
    </row>
    <row r="20" spans="1:26" s="624" customFormat="1" ht="21" x14ac:dyDescent="0.25">
      <c r="A20" s="639"/>
      <c r="B20" s="1524" t="s">
        <v>6838</v>
      </c>
      <c r="C20" s="1523"/>
      <c r="D20" s="640"/>
      <c r="E20" s="641"/>
      <c r="F20" s="334"/>
      <c r="G20" s="678"/>
      <c r="H20" s="639"/>
      <c r="I20" s="733"/>
      <c r="J20" s="733"/>
      <c r="K20" s="698"/>
      <c r="L20" s="736"/>
      <c r="M20" s="736"/>
      <c r="N20" s="736"/>
      <c r="O20" s="25" t="str">
        <f>_xlfn.IFNA(VLOOKUP($C20,'Master sheet'!$A:$AR,44,FALSE),"")&amp;""</f>
        <v/>
      </c>
      <c r="P20" s="637"/>
      <c r="Q20" s="722"/>
      <c r="R20" s="722"/>
      <c r="S20" s="623"/>
      <c r="T20" s="638"/>
      <c r="U20" s="638"/>
      <c r="V20" s="638"/>
      <c r="W20" s="638"/>
      <c r="X20" s="638"/>
      <c r="Y20" s="638"/>
      <c r="Z20" s="664"/>
    </row>
    <row r="21" spans="1:26" ht="22.8" x14ac:dyDescent="0.25">
      <c r="A21" s="1542"/>
      <c r="B21" s="1542"/>
      <c r="C21" s="669" t="str">
        <f>INDEX('Master sheet'!$A$1:$A$670,MATCH("248-1",'Master sheet'!$AN$1:$AN$670,0))</f>
        <v xml:space="preserve">Wood - SPF / Canadian Wood Council / British Columbia / </v>
      </c>
      <c r="D21" s="15">
        <f>'USER INPUT SHEET'!$D$32+'USER INPUT SHEET'!$D$47</f>
        <v>0</v>
      </c>
      <c r="E21" s="16" t="str">
        <f>'USER INPUT SHEET'!$F$32</f>
        <v>m2</v>
      </c>
      <c r="F21" s="3">
        <v>1</v>
      </c>
      <c r="G21" s="670"/>
      <c r="H21" s="8"/>
      <c r="I21" s="95">
        <f t="shared" ref="I21:I26" si="4">K21-L21-IF(N21,M21,0)</f>
        <v>0</v>
      </c>
      <c r="J21" s="93" t="str">
        <f t="shared" ref="J21:J26" si="5">IF(H21=1,I21,"")</f>
        <v/>
      </c>
      <c r="K21" s="406">
        <f>$F21*IF($E$5=16,$D21*0.25,$D21*0.22)*VLOOKUP($C21,'Master sheet'!$A:$AL,13,FALSE)*0.18415</f>
        <v>0</v>
      </c>
      <c r="L21" s="94">
        <f>$F21*IF($E$5=16,$D21*0.25,$D21*0.22)*VLOOKUP($C21,'Master sheet'!$A:$AL,27,FALSE)*0.18415</f>
        <v>0</v>
      </c>
      <c r="M21" s="1562"/>
      <c r="N21" s="1562"/>
      <c r="O21" s="25" t="str">
        <f>_xlfn.IFNA(VLOOKUP($C21,'Master sheet'!$A:$AR,44,FALSE),"")&amp;""</f>
        <v/>
      </c>
      <c r="P21" s="685"/>
      <c r="Q21" s="717" t="s">
        <v>52</v>
      </c>
      <c r="R21" s="717" t="s">
        <v>1608</v>
      </c>
      <c r="S21" s="737" t="s">
        <v>7252</v>
      </c>
      <c r="T21" s="665"/>
      <c r="U21" s="664"/>
      <c r="V21" s="664"/>
      <c r="W21" s="664"/>
      <c r="X21" s="664"/>
      <c r="Y21" s="664"/>
      <c r="Z21" s="664"/>
    </row>
    <row r="22" spans="1:26" ht="22.8" x14ac:dyDescent="0.25">
      <c r="A22" s="1542"/>
      <c r="B22" s="1542"/>
      <c r="C22" s="669" t="str">
        <f>INDEX('Master sheet'!$A$1:$A$670,MATCH("248-2",'Master sheet'!$AN$1:$AN$670,0))</f>
        <v xml:space="preserve">Wood - SPF / Canadian Wood Council / Alberta / </v>
      </c>
      <c r="D22" s="15">
        <f>'USER INPUT SHEET'!$D$32+'USER INPUT SHEET'!$D$47</f>
        <v>0</v>
      </c>
      <c r="E22" s="16" t="str">
        <f>'USER INPUT SHEET'!$F$32</f>
        <v>m2</v>
      </c>
      <c r="F22" s="3">
        <v>1</v>
      </c>
      <c r="G22" s="670"/>
      <c r="H22" s="8"/>
      <c r="I22" s="95">
        <f t="shared" si="4"/>
        <v>0</v>
      </c>
      <c r="J22" s="93" t="str">
        <f t="shared" si="5"/>
        <v/>
      </c>
      <c r="K22" s="406">
        <f>$F22*IF($E$5=16,$D22*0.25,$D22*0.22)*VLOOKUP($C22,'Master sheet'!$A:$AL,13,FALSE)*0.18415</f>
        <v>0</v>
      </c>
      <c r="L22" s="94">
        <f>$F22*IF($E$5=16,$D22*0.25,$D22*0.22)*VLOOKUP($C22,'Master sheet'!$A:$AL,27,FALSE)*0.18415</f>
        <v>0</v>
      </c>
      <c r="M22" s="1552"/>
      <c r="N22" s="1552"/>
      <c r="O22" s="25" t="str">
        <f>_xlfn.IFNA(VLOOKUP($C22,'Master sheet'!$A:$AR,44,FALSE),"")&amp;""</f>
        <v/>
      </c>
      <c r="P22" s="685"/>
      <c r="Q22" s="717" t="s">
        <v>52</v>
      </c>
      <c r="R22" s="717" t="s">
        <v>1608</v>
      </c>
      <c r="S22" s="737" t="s">
        <v>7252</v>
      </c>
      <c r="T22" s="665"/>
      <c r="U22" s="664"/>
      <c r="V22" s="664"/>
      <c r="W22" s="664"/>
      <c r="X22" s="664"/>
      <c r="Y22" s="664"/>
      <c r="Z22" s="664"/>
    </row>
    <row r="23" spans="1:26" ht="22.8" x14ac:dyDescent="0.25">
      <c r="A23" s="1542"/>
      <c r="B23" s="1542"/>
      <c r="C23" s="669" t="str">
        <f>INDEX('Master sheet'!$A$1:$A$670,MATCH("248-3",'Master sheet'!$AN$1:$AN$670,0))</f>
        <v xml:space="preserve">Wood - SPF / Canadian Wood Council / Ontario / </v>
      </c>
      <c r="D23" s="15">
        <f>'USER INPUT SHEET'!$D$32+'USER INPUT SHEET'!$D$47</f>
        <v>0</v>
      </c>
      <c r="E23" s="16" t="str">
        <f>'USER INPUT SHEET'!$F$32</f>
        <v>m2</v>
      </c>
      <c r="F23" s="3">
        <v>1</v>
      </c>
      <c r="G23" s="670"/>
      <c r="H23" s="8"/>
      <c r="I23" s="95">
        <f t="shared" si="4"/>
        <v>0</v>
      </c>
      <c r="J23" s="93" t="str">
        <f t="shared" si="5"/>
        <v/>
      </c>
      <c r="K23" s="406">
        <f>$F23*IF($E$5=16,$D23*0.25,$D23*0.22)*VLOOKUP($C23,'Master sheet'!$A:$AL,13,FALSE)*0.18415</f>
        <v>0</v>
      </c>
      <c r="L23" s="94">
        <f>$F23*IF($E$5=16,$D23*0.25,$D23*0.22)*VLOOKUP($C23,'Master sheet'!$A:$AL,27,FALSE)*0.18415</f>
        <v>0</v>
      </c>
      <c r="M23" s="1552"/>
      <c r="N23" s="1552"/>
      <c r="O23" s="25" t="str">
        <f>_xlfn.IFNA(VLOOKUP($C23,'Master sheet'!$A:$AR,44,FALSE),"")&amp;""</f>
        <v/>
      </c>
      <c r="P23" s="685"/>
      <c r="Q23" s="717" t="s">
        <v>52</v>
      </c>
      <c r="R23" s="717" t="s">
        <v>1608</v>
      </c>
      <c r="S23" s="737" t="s">
        <v>7252</v>
      </c>
      <c r="T23" s="665"/>
      <c r="U23" s="664"/>
      <c r="V23" s="664"/>
      <c r="W23" s="664"/>
      <c r="X23" s="664"/>
      <c r="Y23" s="664"/>
      <c r="Z23" s="664"/>
    </row>
    <row r="24" spans="1:26" ht="22.8" x14ac:dyDescent="0.25">
      <c r="A24" s="1542"/>
      <c r="B24" s="1542"/>
      <c r="C24" s="669" t="str">
        <f>INDEX('Master sheet'!$A$1:$A$670,MATCH("248-4",'Master sheet'!$AN$1:$AN$670,0))</f>
        <v xml:space="preserve">Wood - SPF / Canadian Wood Council / Quebec / </v>
      </c>
      <c r="D24" s="15">
        <f>'USER INPUT SHEET'!$D$32+'USER INPUT SHEET'!$D$47</f>
        <v>0</v>
      </c>
      <c r="E24" s="16" t="str">
        <f>'USER INPUT SHEET'!$F$32</f>
        <v>m2</v>
      </c>
      <c r="F24" s="3">
        <v>1</v>
      </c>
      <c r="G24" s="670"/>
      <c r="H24" s="8"/>
      <c r="I24" s="95">
        <f t="shared" si="4"/>
        <v>0</v>
      </c>
      <c r="J24" s="93" t="str">
        <f t="shared" si="5"/>
        <v/>
      </c>
      <c r="K24" s="406">
        <f>$F24*IF($E$5=16,$D24*0.25,$D24*0.22)*VLOOKUP($C24,'Master sheet'!$A:$AL,13,FALSE)*0.18415</f>
        <v>0</v>
      </c>
      <c r="L24" s="94">
        <f>$F24*IF($E$5=16,$D24*0.25,$D24*0.22)*VLOOKUP($C24,'Master sheet'!$A:$AL,27,FALSE)*0.18415</f>
        <v>0</v>
      </c>
      <c r="M24" s="1552"/>
      <c r="N24" s="1552"/>
      <c r="O24" s="25" t="str">
        <f>_xlfn.IFNA(VLOOKUP($C24,'Master sheet'!$A:$AR,44,FALSE),"")&amp;""</f>
        <v/>
      </c>
      <c r="P24" s="685"/>
      <c r="Q24" s="717" t="s">
        <v>52</v>
      </c>
      <c r="R24" s="717" t="s">
        <v>1608</v>
      </c>
      <c r="S24" s="737" t="s">
        <v>7252</v>
      </c>
      <c r="T24" s="665"/>
      <c r="U24" s="664"/>
      <c r="V24" s="664"/>
      <c r="W24" s="664"/>
      <c r="X24" s="664"/>
      <c r="Y24" s="664"/>
      <c r="Z24" s="638"/>
    </row>
    <row r="25" spans="1:26" ht="22.8" x14ac:dyDescent="0.25">
      <c r="A25" s="1542"/>
      <c r="B25" s="1542"/>
      <c r="C25" s="669" t="str">
        <f>INDEX('Master sheet'!$A$1:$A$670,MATCH("248-5",'Master sheet'!$AN$1:$AN$670,0))</f>
        <v xml:space="preserve">Wood - SPF / Canadian Wood Council / New Brunswick / </v>
      </c>
      <c r="D25" s="15">
        <f>'USER INPUT SHEET'!$D$32+'USER INPUT SHEET'!$D$47</f>
        <v>0</v>
      </c>
      <c r="E25" s="16" t="str">
        <f>'USER INPUT SHEET'!$F$32</f>
        <v>m2</v>
      </c>
      <c r="F25" s="3">
        <v>1</v>
      </c>
      <c r="G25" s="670"/>
      <c r="H25" s="8"/>
      <c r="I25" s="95">
        <f t="shared" si="4"/>
        <v>0</v>
      </c>
      <c r="J25" s="93" t="str">
        <f t="shared" si="5"/>
        <v/>
      </c>
      <c r="K25" s="406">
        <f>$F25*IF($E$5=16,$D25*0.25,$D25*0.22)*VLOOKUP($C25,'Master sheet'!$A:$AL,13,FALSE)*0.18415</f>
        <v>0</v>
      </c>
      <c r="L25" s="94">
        <f>$F25*IF($E$5=16,$D25*0.25,$D25*0.22)*VLOOKUP($C25,'Master sheet'!$A:$AL,27,FALSE)*0.18415</f>
        <v>0</v>
      </c>
      <c r="M25" s="1552"/>
      <c r="N25" s="1552"/>
      <c r="O25" s="25" t="str">
        <f>_xlfn.IFNA(VLOOKUP($C25,'Master sheet'!$A:$AR,44,FALSE),"")&amp;""</f>
        <v/>
      </c>
      <c r="P25" s="685"/>
      <c r="Q25" s="717" t="s">
        <v>52</v>
      </c>
      <c r="R25" s="717" t="s">
        <v>1608</v>
      </c>
      <c r="S25" s="737" t="s">
        <v>7252</v>
      </c>
      <c r="T25" s="665"/>
      <c r="U25" s="664"/>
      <c r="V25" s="664"/>
      <c r="W25" s="664"/>
      <c r="X25" s="664"/>
      <c r="Y25" s="664"/>
      <c r="Z25" s="664"/>
    </row>
    <row r="26" spans="1:26" ht="22.8" x14ac:dyDescent="0.25">
      <c r="A26" s="1542"/>
      <c r="B26" s="1542"/>
      <c r="C26" s="669" t="str">
        <f>INDEX('Master sheet'!$A$1:$A$670,MATCH("248-6",'Master sheet'!$AN$1:$AN$670,0))</f>
        <v xml:space="preserve">Wood - SPF / Canadian Wood Council / Atlantic Canada / </v>
      </c>
      <c r="D26" s="15">
        <f>'USER INPUT SHEET'!$D$32+'USER INPUT SHEET'!$D$47</f>
        <v>0</v>
      </c>
      <c r="E26" s="16" t="str">
        <f>'USER INPUT SHEET'!$F$32</f>
        <v>m2</v>
      </c>
      <c r="F26" s="3">
        <v>1</v>
      </c>
      <c r="G26" s="670"/>
      <c r="H26" s="8"/>
      <c r="I26" s="95">
        <f t="shared" si="4"/>
        <v>0</v>
      </c>
      <c r="J26" s="93" t="str">
        <f t="shared" si="5"/>
        <v/>
      </c>
      <c r="K26" s="406">
        <f>$F26*IF($E$5=16,$D26*0.25,$D26*0.22)*VLOOKUP($C26,'Master sheet'!$A:$AL,13,FALSE)*0.18415</f>
        <v>0</v>
      </c>
      <c r="L26" s="94">
        <f>$F26*IF($E$5=16,$D26*0.25,$D26*0.22)*VLOOKUP($C26,'Master sheet'!$A:$AL,27,FALSE)*0.18415</f>
        <v>0</v>
      </c>
      <c r="M26" s="1562"/>
      <c r="N26" s="1562"/>
      <c r="O26" s="25" t="str">
        <f>_xlfn.IFNA(VLOOKUP($C26,'Master sheet'!$A:$AR,44,FALSE),"")&amp;""</f>
        <v/>
      </c>
      <c r="P26" s="685"/>
      <c r="Q26" s="717" t="s">
        <v>52</v>
      </c>
      <c r="R26" s="717" t="s">
        <v>1608</v>
      </c>
      <c r="S26" s="737" t="s">
        <v>7252</v>
      </c>
      <c r="T26" s="665"/>
      <c r="U26" s="664"/>
      <c r="V26" s="664"/>
      <c r="W26" s="664"/>
      <c r="X26" s="664"/>
      <c r="Y26" s="664"/>
      <c r="Z26" s="664"/>
    </row>
    <row r="27" spans="1:26" s="624" customFormat="1" ht="21" x14ac:dyDescent="0.25">
      <c r="A27" s="639"/>
      <c r="B27" s="1524" t="s">
        <v>6839</v>
      </c>
      <c r="C27" s="1523"/>
      <c r="D27" s="640"/>
      <c r="E27" s="641"/>
      <c r="F27" s="334"/>
      <c r="G27" s="678"/>
      <c r="H27" s="639"/>
      <c r="I27" s="733"/>
      <c r="J27" s="733"/>
      <c r="K27" s="698"/>
      <c r="L27" s="736"/>
      <c r="M27" s="736"/>
      <c r="N27" s="736"/>
      <c r="O27" s="25" t="str">
        <f>_xlfn.IFNA(VLOOKUP($C27,'Master sheet'!$A:$AR,44,FALSE),"")&amp;""</f>
        <v/>
      </c>
      <c r="P27" s="637"/>
      <c r="Q27" s="722"/>
      <c r="R27" s="722"/>
      <c r="S27" s="623"/>
      <c r="T27" s="638"/>
      <c r="U27" s="638"/>
      <c r="V27" s="638"/>
      <c r="W27" s="638"/>
      <c r="X27" s="638"/>
      <c r="Y27" s="638"/>
      <c r="Z27" s="664"/>
    </row>
    <row r="28" spans="1:26" ht="22.8" x14ac:dyDescent="0.25">
      <c r="A28" s="1542"/>
      <c r="B28" s="1542"/>
      <c r="C28" s="673" t="str">
        <f>INDEX('Master sheet'!$A$1:$A$670,MATCH("248-1",'Master sheet'!$AN$1:$AN$670,0))</f>
        <v xml:space="preserve">Wood - SPF / Canadian Wood Council / British Columbia / </v>
      </c>
      <c r="D28" s="17">
        <f>'USER INPUT SHEET'!$D$32+'USER INPUT SHEET'!$D$47</f>
        <v>0</v>
      </c>
      <c r="E28" s="18" t="str">
        <f>'USER INPUT SHEET'!$F$32</f>
        <v>m2</v>
      </c>
      <c r="F28" s="4">
        <v>1</v>
      </c>
      <c r="G28" s="674"/>
      <c r="H28" s="9"/>
      <c r="I28" s="95">
        <f t="shared" ref="I28:I33" si="6">K28-L28-IF(N28,M28,0)</f>
        <v>0</v>
      </c>
      <c r="J28" s="96" t="str">
        <f t="shared" ref="J28:J33" si="7">IF(H28=1,I28,"")</f>
        <v/>
      </c>
      <c r="K28" s="407">
        <f>$F28*IF($E$5=16,$D28*0.25,$D28*0.22)*VLOOKUP($C28,'Master sheet'!$A:$AL,13,FALSE)*(2*0.0889)</f>
        <v>0</v>
      </c>
      <c r="L28" s="97">
        <f>$F28*IF($E$5=16,$D28*0.25,$D28*0.22)*VLOOKUP($C28,'Master sheet'!$A:$AL,27,FALSE)*(2*0.0889)</f>
        <v>0</v>
      </c>
      <c r="M28" s="1562"/>
      <c r="N28" s="1562"/>
      <c r="O28" s="25" t="str">
        <f>_xlfn.IFNA(VLOOKUP($C28,'Master sheet'!$A:$AR,44,FALSE),"")&amp;""</f>
        <v/>
      </c>
      <c r="P28" s="637"/>
      <c r="Q28" s="722" t="s">
        <v>52</v>
      </c>
      <c r="R28" s="717" t="s">
        <v>1608</v>
      </c>
      <c r="S28" s="638" t="s">
        <v>7253</v>
      </c>
      <c r="T28" s="623"/>
      <c r="U28" s="638"/>
      <c r="V28" s="664"/>
      <c r="W28" s="664"/>
      <c r="X28" s="664"/>
      <c r="Y28" s="664"/>
      <c r="Z28" s="664"/>
    </row>
    <row r="29" spans="1:26" ht="22.8" x14ac:dyDescent="0.25">
      <c r="A29" s="1542"/>
      <c r="B29" s="1542"/>
      <c r="C29" s="669" t="str">
        <f>INDEX('Master sheet'!$A$1:$A$670,MATCH("248-2",'Master sheet'!$AN$1:$AN$670,0))</f>
        <v xml:space="preserve">Wood - SPF / Canadian Wood Council / Alberta / </v>
      </c>
      <c r="D29" s="15">
        <f>'USER INPUT SHEET'!$D$32+'USER INPUT SHEET'!$D$47</f>
        <v>0</v>
      </c>
      <c r="E29" s="16" t="str">
        <f>'USER INPUT SHEET'!$F$32</f>
        <v>m2</v>
      </c>
      <c r="F29" s="3">
        <v>1</v>
      </c>
      <c r="G29" s="670"/>
      <c r="H29" s="8"/>
      <c r="I29" s="95">
        <f t="shared" si="6"/>
        <v>0</v>
      </c>
      <c r="J29" s="93" t="str">
        <f t="shared" si="7"/>
        <v/>
      </c>
      <c r="K29" s="406">
        <f>$F29*IF($E$5=16,$D29*0.25,$D29*0.22)*VLOOKUP($C29,'Master sheet'!$A:$AL,13,FALSE)*(2*0.0889)</f>
        <v>0</v>
      </c>
      <c r="L29" s="94">
        <f>$F29*IF($E$5=16,$D29*0.25,$D29*0.22)*VLOOKUP($C29,'Master sheet'!$A:$AL,27,FALSE)*(2*0.0889)</f>
        <v>0</v>
      </c>
      <c r="M29" s="1552"/>
      <c r="N29" s="1552"/>
      <c r="O29" s="25" t="str">
        <f>_xlfn.IFNA(VLOOKUP($C29,'Master sheet'!$A:$AR,44,FALSE),"")&amp;""</f>
        <v/>
      </c>
      <c r="P29" s="685"/>
      <c r="Q29" s="717" t="s">
        <v>52</v>
      </c>
      <c r="R29" s="717" t="s">
        <v>1608</v>
      </c>
      <c r="S29" s="638" t="s">
        <v>7253</v>
      </c>
      <c r="T29" s="665"/>
      <c r="U29" s="664"/>
      <c r="V29" s="664"/>
      <c r="W29" s="664"/>
      <c r="X29" s="664"/>
      <c r="Y29" s="664"/>
      <c r="Z29" s="664"/>
    </row>
    <row r="30" spans="1:26" ht="22.8" x14ac:dyDescent="0.25">
      <c r="A30" s="1542"/>
      <c r="B30" s="1542"/>
      <c r="C30" s="669" t="str">
        <f>INDEX('Master sheet'!$A$1:$A$670,MATCH("248-3",'Master sheet'!$AN$1:$AN$670,0))</f>
        <v xml:space="preserve">Wood - SPF / Canadian Wood Council / Ontario / </v>
      </c>
      <c r="D30" s="15">
        <f>'USER INPUT SHEET'!$D$32+'USER INPUT SHEET'!$D$47</f>
        <v>0</v>
      </c>
      <c r="E30" s="16" t="str">
        <f>'USER INPUT SHEET'!$F$32</f>
        <v>m2</v>
      </c>
      <c r="F30" s="3">
        <v>1</v>
      </c>
      <c r="G30" s="670"/>
      <c r="H30" s="8"/>
      <c r="I30" s="95">
        <f t="shared" si="6"/>
        <v>0</v>
      </c>
      <c r="J30" s="93" t="str">
        <f t="shared" si="7"/>
        <v/>
      </c>
      <c r="K30" s="406">
        <f>$F30*IF($E$5=16,$D30*0.25,$D30*0.22)*VLOOKUP($C30,'Master sheet'!$A:$AL,13,FALSE)*(2*0.0889)</f>
        <v>0</v>
      </c>
      <c r="L30" s="94">
        <f>$F30*IF($E$5=16,$D30*0.25,$D30*0.22)*VLOOKUP($C30,'Master sheet'!$A:$AL,27,FALSE)*(2*0.0889)</f>
        <v>0</v>
      </c>
      <c r="M30" s="1552"/>
      <c r="N30" s="1552"/>
      <c r="O30" s="25" t="str">
        <f>_xlfn.IFNA(VLOOKUP($C30,'Master sheet'!$A:$AR,44,FALSE),"")&amp;""</f>
        <v/>
      </c>
      <c r="P30" s="685"/>
      <c r="Q30" s="717" t="s">
        <v>52</v>
      </c>
      <c r="R30" s="717" t="s">
        <v>1608</v>
      </c>
      <c r="S30" s="638" t="s">
        <v>7253</v>
      </c>
      <c r="T30" s="665"/>
      <c r="U30" s="664"/>
      <c r="V30" s="664"/>
      <c r="W30" s="664"/>
      <c r="X30" s="664"/>
      <c r="Y30" s="664"/>
      <c r="Z30" s="664"/>
    </row>
    <row r="31" spans="1:26" ht="22.8" x14ac:dyDescent="0.25">
      <c r="A31" s="1542"/>
      <c r="B31" s="1542"/>
      <c r="C31" s="669" t="str">
        <f>INDEX('Master sheet'!$A$1:$A$670,MATCH("248-4",'Master sheet'!$AN$1:$AN$670,0))</f>
        <v xml:space="preserve">Wood - SPF / Canadian Wood Council / Quebec / </v>
      </c>
      <c r="D31" s="15">
        <f>'USER INPUT SHEET'!$D$32+'USER INPUT SHEET'!$D$47</f>
        <v>0</v>
      </c>
      <c r="E31" s="16" t="str">
        <f>'USER INPUT SHEET'!$F$32</f>
        <v>m2</v>
      </c>
      <c r="F31" s="3">
        <v>1</v>
      </c>
      <c r="G31" s="670"/>
      <c r="H31" s="8"/>
      <c r="I31" s="95">
        <f t="shared" si="6"/>
        <v>0</v>
      </c>
      <c r="J31" s="93" t="str">
        <f t="shared" si="7"/>
        <v/>
      </c>
      <c r="K31" s="406">
        <f>$F31*IF($E$5=16,$D31*0.25,$D31*0.22)*VLOOKUP($C31,'Master sheet'!$A:$AL,13,FALSE)*(2*0.0889)</f>
        <v>0</v>
      </c>
      <c r="L31" s="94">
        <f>$F31*IF($E$5=16,$D31*0.25,$D31*0.22)*VLOOKUP($C31,'Master sheet'!$A:$AL,27,FALSE)*(2*0.0889)</f>
        <v>0</v>
      </c>
      <c r="M31" s="1552"/>
      <c r="N31" s="1552"/>
      <c r="O31" s="25" t="str">
        <f>_xlfn.IFNA(VLOOKUP($C31,'Master sheet'!$A:$AR,44,FALSE),"")&amp;""</f>
        <v/>
      </c>
      <c r="P31" s="685"/>
      <c r="Q31" s="717" t="s">
        <v>52</v>
      </c>
      <c r="R31" s="717" t="s">
        <v>1608</v>
      </c>
      <c r="S31" s="638" t="s">
        <v>7253</v>
      </c>
      <c r="T31" s="665"/>
      <c r="U31" s="664"/>
      <c r="V31" s="664"/>
      <c r="W31" s="664"/>
      <c r="X31" s="664"/>
      <c r="Y31" s="664"/>
      <c r="Z31" s="664"/>
    </row>
    <row r="32" spans="1:26" ht="22.8" x14ac:dyDescent="0.25">
      <c r="A32" s="1542"/>
      <c r="B32" s="1542"/>
      <c r="C32" s="669" t="str">
        <f>INDEX('Master sheet'!$A$1:$A$670,MATCH("248-5",'Master sheet'!$AN$1:$AN$670,0))</f>
        <v xml:space="preserve">Wood - SPF / Canadian Wood Council / New Brunswick / </v>
      </c>
      <c r="D32" s="15">
        <f>'USER INPUT SHEET'!$D$32+'USER INPUT SHEET'!$D$47</f>
        <v>0</v>
      </c>
      <c r="E32" s="16" t="str">
        <f>'USER INPUT SHEET'!$F$32</f>
        <v>m2</v>
      </c>
      <c r="F32" s="3">
        <v>1</v>
      </c>
      <c r="G32" s="670"/>
      <c r="H32" s="8"/>
      <c r="I32" s="95">
        <f t="shared" si="6"/>
        <v>0</v>
      </c>
      <c r="J32" s="93" t="str">
        <f t="shared" si="7"/>
        <v/>
      </c>
      <c r="K32" s="406">
        <f>$F32*IF($E$5=16,$D32*0.25,$D32*0.22)*VLOOKUP($C32,'Master sheet'!$A:$AL,13,FALSE)*(2*0.0889)</f>
        <v>0</v>
      </c>
      <c r="L32" s="94">
        <f>$F32*IF($E$5=16,$D32*0.25,$D32*0.22)*VLOOKUP($C32,'Master sheet'!$A:$AL,27,FALSE)*(2*0.0889)</f>
        <v>0</v>
      </c>
      <c r="M32" s="1552"/>
      <c r="N32" s="1552"/>
      <c r="O32" s="25" t="str">
        <f>_xlfn.IFNA(VLOOKUP($C32,'Master sheet'!$A:$AR,44,FALSE),"")&amp;""</f>
        <v/>
      </c>
      <c r="P32" s="685"/>
      <c r="Q32" s="717" t="s">
        <v>52</v>
      </c>
      <c r="R32" s="717" t="s">
        <v>1608</v>
      </c>
      <c r="S32" s="638" t="s">
        <v>7253</v>
      </c>
      <c r="T32" s="665"/>
      <c r="U32" s="664"/>
      <c r="V32" s="664"/>
      <c r="W32" s="664"/>
      <c r="X32" s="664"/>
      <c r="Y32" s="664"/>
      <c r="Z32" s="638"/>
    </row>
    <row r="33" spans="1:26" ht="22.8" x14ac:dyDescent="0.25">
      <c r="A33" s="1542"/>
      <c r="B33" s="1542"/>
      <c r="C33" s="669" t="str">
        <f>INDEX('Master sheet'!$A$1:$A$670,MATCH("248-6",'Master sheet'!$AN$1:$AN$670,0))</f>
        <v xml:space="preserve">Wood - SPF / Canadian Wood Council / Atlantic Canada / </v>
      </c>
      <c r="D33" s="15">
        <f>'USER INPUT SHEET'!$D$32+'USER INPUT SHEET'!$D$47</f>
        <v>0</v>
      </c>
      <c r="E33" s="16" t="str">
        <f>'USER INPUT SHEET'!$F$32</f>
        <v>m2</v>
      </c>
      <c r="F33" s="3">
        <v>1</v>
      </c>
      <c r="G33" s="670"/>
      <c r="H33" s="8"/>
      <c r="I33" s="95">
        <f t="shared" si="6"/>
        <v>0</v>
      </c>
      <c r="J33" s="93" t="str">
        <f t="shared" si="7"/>
        <v/>
      </c>
      <c r="K33" s="406">
        <f>$F33*IF($E$5=16,$D33*0.25,$D33*0.22)*VLOOKUP($C33,'Master sheet'!$A:$AL,13,FALSE)*(2*0.0889)</f>
        <v>0</v>
      </c>
      <c r="L33" s="94">
        <f>$F33*IF($E$5=16,$D33*0.25,$D33*0.22)*VLOOKUP($C33,'Master sheet'!$A:$AL,27,FALSE)*(2*0.0889)</f>
        <v>0</v>
      </c>
      <c r="M33" s="1552"/>
      <c r="N33" s="1552"/>
      <c r="O33" s="25" t="str">
        <f>_xlfn.IFNA(VLOOKUP($C33,'Master sheet'!$A:$AR,44,FALSE),"")&amp;""</f>
        <v/>
      </c>
      <c r="P33" s="685"/>
      <c r="Q33" s="717" t="s">
        <v>52</v>
      </c>
      <c r="R33" s="717" t="s">
        <v>1608</v>
      </c>
      <c r="S33" s="638" t="s">
        <v>7253</v>
      </c>
      <c r="T33" s="665"/>
      <c r="U33" s="664"/>
      <c r="V33" s="664"/>
      <c r="W33" s="664"/>
      <c r="X33" s="664"/>
      <c r="Y33" s="664"/>
      <c r="Z33" s="638"/>
    </row>
    <row r="34" spans="1:26" s="624" customFormat="1" ht="54.75" customHeight="1" x14ac:dyDescent="0.25">
      <c r="A34" s="1522" t="s">
        <v>1609</v>
      </c>
      <c r="B34" s="1522"/>
      <c r="C34" s="1522"/>
      <c r="D34" s="629" t="s">
        <v>38</v>
      </c>
      <c r="E34" s="1"/>
      <c r="F34" s="323" t="s">
        <v>1622</v>
      </c>
      <c r="G34" s="650"/>
      <c r="H34" s="650"/>
      <c r="I34" s="651"/>
      <c r="J34" s="103" t="str">
        <f t="shared" ref="J34:J76" si="8">IF(H34=1,I34,"")</f>
        <v/>
      </c>
      <c r="K34" s="652"/>
      <c r="L34" s="759"/>
      <c r="M34" s="759"/>
      <c r="N34" s="759"/>
      <c r="O34" s="25" t="str">
        <f>_xlfn.IFNA(VLOOKUP($C34,'Master sheet'!$A:$AR,44,FALSE),"")&amp;""</f>
        <v/>
      </c>
      <c r="P34" s="655"/>
      <c r="Q34" s="761"/>
      <c r="R34" s="728"/>
      <c r="T34" s="638"/>
      <c r="U34" s="638"/>
      <c r="V34" s="638"/>
      <c r="W34" s="638"/>
      <c r="X34" s="638"/>
      <c r="Y34" s="638"/>
      <c r="Z34" s="664"/>
    </row>
    <row r="35" spans="1:26" s="624" customFormat="1" ht="23.25" customHeight="1" x14ac:dyDescent="0.25">
      <c r="A35" s="639"/>
      <c r="B35" s="1524" t="s">
        <v>1044</v>
      </c>
      <c r="C35" s="1524"/>
      <c r="D35" s="773"/>
      <c r="E35" s="641"/>
      <c r="F35" s="340"/>
      <c r="G35" s="739"/>
      <c r="H35" s="740"/>
      <c r="I35" s="642"/>
      <c r="J35" s="643"/>
      <c r="K35" s="676"/>
      <c r="L35" s="677"/>
      <c r="M35" s="677"/>
      <c r="N35" s="677"/>
      <c r="O35" s="25" t="str">
        <f>_xlfn.IFNA(VLOOKUP($C35,'Master sheet'!$A:$AR,44,FALSE),"")&amp;""</f>
        <v/>
      </c>
      <c r="P35" s="663"/>
      <c r="Q35" s="728"/>
      <c r="R35" s="728"/>
      <c r="T35" s="638"/>
      <c r="U35" s="638"/>
      <c r="V35" s="638"/>
      <c r="W35" s="638"/>
      <c r="X35" s="638"/>
      <c r="Y35" s="638"/>
      <c r="Z35" s="664"/>
    </row>
    <row r="36" spans="1:26" ht="22.8" x14ac:dyDescent="0.25">
      <c r="A36" s="1589" t="s">
        <v>1732</v>
      </c>
      <c r="B36" s="1589"/>
      <c r="C36" s="691" t="s">
        <v>1359</v>
      </c>
      <c r="D36" s="19">
        <f>'USER INPUT SHEET'!$D$32+'USER INPUT SHEET'!$D$47</f>
        <v>0</v>
      </c>
      <c r="E36" s="20" t="str">
        <f>'USER INPUT SHEET'!$F$32</f>
        <v>m2</v>
      </c>
      <c r="F36" s="6">
        <v>1</v>
      </c>
      <c r="G36" s="692"/>
      <c r="H36" s="10"/>
      <c r="I36" s="98">
        <f t="shared" ref="I36:I39" si="9">K36-L36</f>
        <v>0</v>
      </c>
      <c r="J36" s="91" t="str">
        <f>IF(H36=1,I36,"")</f>
        <v/>
      </c>
      <c r="K36" s="410">
        <f>F36*AVERAGE(K37:K39)</f>
        <v>0</v>
      </c>
      <c r="L36" s="99">
        <f>F36*AVERAGE(L37:L39)</f>
        <v>0</v>
      </c>
      <c r="M36" s="1552"/>
      <c r="N36" s="1552"/>
      <c r="O36" s="25" t="str">
        <f>_xlfn.IFNA(VLOOKUP($C36,'Master sheet'!$A:$AR,44,FALSE),"")&amp;""</f>
        <v/>
      </c>
      <c r="P36" s="637"/>
      <c r="Q36" s="765" t="s">
        <v>52</v>
      </c>
      <c r="R36" s="757" t="s">
        <v>1609</v>
      </c>
      <c r="S36" s="664"/>
      <c r="T36" s="664"/>
      <c r="U36" s="664"/>
      <c r="V36" s="664"/>
      <c r="W36" s="664"/>
      <c r="X36" s="664"/>
      <c r="Y36" s="664"/>
      <c r="Z36" s="664"/>
    </row>
    <row r="37" spans="1:26" ht="31.5" customHeight="1" x14ac:dyDescent="0.25">
      <c r="A37" s="1589"/>
      <c r="B37" s="1589"/>
      <c r="C37" s="669" t="str">
        <f>INDEX('Master sheet'!$A$1:$A$670,MATCH(201,'Master sheet'!$AN$1:$AN$670,0))</f>
        <v>Steel studs - Load bearing / MarinoWARE / Structural stud and track / 600-S-137-54, 16 gauge, "2x6"</v>
      </c>
      <c r="D37" s="15">
        <f>'USER INPUT SHEET'!$D$32+'USER INPUT SHEET'!$D$47</f>
        <v>0</v>
      </c>
      <c r="E37" s="16" t="str">
        <f>'USER INPUT SHEET'!$F$32</f>
        <v>m2</v>
      </c>
      <c r="F37" s="3">
        <v>1</v>
      </c>
      <c r="G37" s="670"/>
      <c r="H37" s="8"/>
      <c r="I37" s="92">
        <f t="shared" si="9"/>
        <v>0</v>
      </c>
      <c r="J37" s="93" t="str">
        <f t="shared" si="8"/>
        <v/>
      </c>
      <c r="K37" s="406">
        <f>$D37*$F37*IF($E$34=16,3.79,2.97)*VLOOKUP($C37,'Master sheet'!$A:$AL,13,FALSE)</f>
        <v>0</v>
      </c>
      <c r="L37" s="94">
        <f>$D37*$F37*IF($E$34=16,3.79,2.97)*VLOOKUP($C37,'Master sheet'!$A:$AL,27,FALSE)</f>
        <v>0</v>
      </c>
      <c r="M37" s="1552"/>
      <c r="N37" s="1552"/>
      <c r="O37" s="25" t="str">
        <f ca="1">_xlfn.IFNA(VLOOKUP($C37,'Master sheet'!$A:$AR,44,FALSE),"")&amp;""</f>
        <v/>
      </c>
      <c r="P37" s="671"/>
      <c r="Q37" s="757" t="s">
        <v>52</v>
      </c>
      <c r="R37" s="757" t="s">
        <v>1609</v>
      </c>
      <c r="T37" s="664"/>
      <c r="U37" s="664"/>
      <c r="V37" s="664"/>
      <c r="W37" s="664"/>
      <c r="X37" s="664"/>
      <c r="Y37" s="664"/>
      <c r="Z37" s="664"/>
    </row>
    <row r="38" spans="1:26" ht="23.25" customHeight="1" x14ac:dyDescent="0.25">
      <c r="A38" s="1589"/>
      <c r="B38" s="1589"/>
      <c r="C38" s="669" t="str">
        <f>INDEX('Master sheet'!$A$1:$A$670,MATCH(203,'Master sheet'!$AN$1:$AN$670,0))</f>
        <v>Steel studs - Load bearing / Scafco /  / 600-S-137-54, 16 gauge</v>
      </c>
      <c r="D38" s="15">
        <f>'USER INPUT SHEET'!$D$32+'USER INPUT SHEET'!$D$47</f>
        <v>0</v>
      </c>
      <c r="E38" s="16" t="str">
        <f>'USER INPUT SHEET'!$F$32</f>
        <v>m2</v>
      </c>
      <c r="F38" s="3">
        <v>1</v>
      </c>
      <c r="G38" s="670"/>
      <c r="H38" s="8"/>
      <c r="I38" s="92">
        <f t="shared" si="9"/>
        <v>0</v>
      </c>
      <c r="J38" s="93" t="str">
        <f t="shared" si="8"/>
        <v/>
      </c>
      <c r="K38" s="406">
        <f>$D38*$F38*IF($E$34=16,3.79,2.97)*VLOOKUP($C38,'Master sheet'!$A:$AL,13,FALSE)</f>
        <v>0</v>
      </c>
      <c r="L38" s="94">
        <f>$D38*$F38*IF($E$34=16,3.79,2.97)*VLOOKUP($C38,'Master sheet'!$A:$AL,27,FALSE)</f>
        <v>0</v>
      </c>
      <c r="M38" s="1552"/>
      <c r="N38" s="1552"/>
      <c r="O38" s="25" t="str">
        <f ca="1">_xlfn.IFNA(VLOOKUP($C38,'Master sheet'!$A:$AR,44,FALSE),"")&amp;""</f>
        <v>Expired 2024</v>
      </c>
      <c r="P38" s="672"/>
      <c r="Q38" s="757" t="s">
        <v>52</v>
      </c>
      <c r="R38" s="757" t="s">
        <v>1609</v>
      </c>
      <c r="T38" s="664"/>
      <c r="U38" s="664"/>
      <c r="V38" s="664"/>
      <c r="W38" s="664"/>
      <c r="X38" s="664"/>
      <c r="Y38" s="664"/>
      <c r="Z38" s="664"/>
    </row>
    <row r="39" spans="1:26" s="624" customFormat="1" ht="31.5" customHeight="1" x14ac:dyDescent="0.25">
      <c r="A39" s="1589"/>
      <c r="B39" s="1589"/>
      <c r="C39" s="673" t="str">
        <f>INDEX('Master sheet'!$A$1:$A$670,MATCH(200,'Master sheet'!$AN$1:$AN$670,0))</f>
        <v>Steel studs - Load bearing  / ClarkDietrich /  / 600-S-137-54, 16 gauge</v>
      </c>
      <c r="D39" s="17">
        <f>'USER INPUT SHEET'!$D$32+'USER INPUT SHEET'!$D$47</f>
        <v>0</v>
      </c>
      <c r="E39" s="18" t="str">
        <f>'USER INPUT SHEET'!$F$32</f>
        <v>m2</v>
      </c>
      <c r="F39" s="4">
        <v>1</v>
      </c>
      <c r="G39" s="674"/>
      <c r="H39" s="9"/>
      <c r="I39" s="95">
        <f t="shared" si="9"/>
        <v>0</v>
      </c>
      <c r="J39" s="96" t="str">
        <f t="shared" si="8"/>
        <v/>
      </c>
      <c r="K39" s="407">
        <f>$D39*$F39*IF($E$34=16,3.79,2.97)*VLOOKUP($C39,'Master sheet'!$A:$AL,13,FALSE)</f>
        <v>0</v>
      </c>
      <c r="L39" s="97">
        <f>$D39*$F39*IF($E$34=16,3.79,2.97)*VLOOKUP($C39,'Master sheet'!$A:$AL,27,FALSE)</f>
        <v>0</v>
      </c>
      <c r="M39" s="1552"/>
      <c r="N39" s="1552"/>
      <c r="O39" s="25" t="str">
        <f ca="1">_xlfn.IFNA(VLOOKUP($C39,'Master sheet'!$A:$AR,44,FALSE),"")&amp;""</f>
        <v/>
      </c>
      <c r="P39" s="637"/>
      <c r="Q39" s="728" t="s">
        <v>52</v>
      </c>
      <c r="R39" s="757" t="s">
        <v>1609</v>
      </c>
      <c r="T39" s="638"/>
      <c r="U39" s="638"/>
      <c r="V39" s="638"/>
      <c r="W39" s="638"/>
      <c r="X39" s="638"/>
      <c r="Y39" s="638"/>
      <c r="Z39" s="664"/>
    </row>
    <row r="40" spans="1:26" s="624" customFormat="1" ht="54.75" customHeight="1" x14ac:dyDescent="0.25">
      <c r="A40" s="1522" t="s">
        <v>54</v>
      </c>
      <c r="B40" s="1523"/>
      <c r="C40" s="1523"/>
      <c r="D40" s="629" t="s">
        <v>38</v>
      </c>
      <c r="E40" s="1"/>
      <c r="F40" s="323" t="s">
        <v>1622</v>
      </c>
      <c r="G40" s="650"/>
      <c r="H40" s="650"/>
      <c r="I40" s="651"/>
      <c r="J40" s="103" t="str">
        <f t="shared" si="8"/>
        <v/>
      </c>
      <c r="K40" s="652"/>
      <c r="L40" s="759"/>
      <c r="M40" s="759"/>
      <c r="N40" s="759"/>
      <c r="O40" s="25" t="str">
        <f>_xlfn.IFNA(VLOOKUP($C40,'Master sheet'!$A:$AR,44,FALSE),"")&amp;""</f>
        <v/>
      </c>
      <c r="P40" s="637"/>
      <c r="Q40" s="728"/>
      <c r="R40" s="728"/>
      <c r="T40" s="638"/>
      <c r="U40" s="638"/>
      <c r="V40" s="638"/>
      <c r="W40" s="638"/>
      <c r="X40" s="638"/>
      <c r="Y40" s="638"/>
      <c r="Z40" s="664"/>
    </row>
    <row r="41" spans="1:26" ht="109.95" customHeight="1" x14ac:dyDescent="0.25">
      <c r="A41" s="1604" t="s">
        <v>1064</v>
      </c>
      <c r="B41" s="774" t="s">
        <v>816</v>
      </c>
      <c r="C41" s="669" t="str">
        <f>INDEX('Master sheet'!$A$1:$A$670,MATCH(249,'Master sheet'!$AN$1:$AN$670,0))</f>
        <v>Wood I joist / Canadian Wood Council /  / TJI 230/360</v>
      </c>
      <c r="D41" s="15">
        <f>'USER INPUT SHEET'!$D$32+'USER INPUT SHEET'!$D$47</f>
        <v>0</v>
      </c>
      <c r="E41" s="16" t="str">
        <f>'USER INPUT SHEET'!$F$32</f>
        <v>m2</v>
      </c>
      <c r="F41" s="3">
        <v>1</v>
      </c>
      <c r="G41" s="670"/>
      <c r="H41" s="8"/>
      <c r="I41" s="95">
        <f>K41-L41-IF(N41,M41,0)</f>
        <v>0</v>
      </c>
      <c r="J41" s="93" t="str">
        <f t="shared" si="8"/>
        <v/>
      </c>
      <c r="K41" s="406">
        <f>$D41*$F41*IF($E$40=16,2.4606,1.6404)*VLOOKUP($C41,'Master sheet'!$A:$AL,13,FALSE)*0.926</f>
        <v>0</v>
      </c>
      <c r="L41" s="94">
        <f>$D41*$F41*IF($E$40=16,2.4606,1.6404)*VLOOKUP($C41,'Master sheet'!$A:$AL,27,FALSE)*0.926</f>
        <v>0</v>
      </c>
      <c r="M41" s="1562"/>
      <c r="N41" s="1562"/>
      <c r="O41" s="25" t="str">
        <f>_xlfn.IFNA(VLOOKUP($C41,'Master sheet'!$A:$AR,44,FALSE),"")&amp;""</f>
        <v/>
      </c>
      <c r="P41" s="637"/>
      <c r="Q41" s="757" t="s">
        <v>52</v>
      </c>
      <c r="R41" s="757" t="s">
        <v>1610</v>
      </c>
      <c r="S41" s="770" t="s">
        <v>7255</v>
      </c>
      <c r="T41" s="664"/>
      <c r="U41" s="664"/>
      <c r="V41" s="664"/>
      <c r="W41" s="664"/>
      <c r="X41" s="664"/>
      <c r="Y41" s="664"/>
      <c r="Z41" s="664"/>
    </row>
    <row r="42" spans="1:26" s="624" customFormat="1" ht="109.95" customHeight="1" x14ac:dyDescent="0.25">
      <c r="A42" s="1604"/>
      <c r="B42" s="775" t="s">
        <v>77</v>
      </c>
      <c r="C42" s="673" t="str">
        <f>INDEX('Master sheet'!$A$1:$A$670,MATCH(249,'Master sheet'!$AN$1:$AN$670,0))</f>
        <v>Wood I joist / Canadian Wood Council /  / TJI 230/360</v>
      </c>
      <c r="D42" s="17">
        <f>'USER INPUT SHEET'!$D$32+'USER INPUT SHEET'!$D$47</f>
        <v>0</v>
      </c>
      <c r="E42" s="18" t="str">
        <f>'USER INPUT SHEET'!$F$32</f>
        <v>m2</v>
      </c>
      <c r="F42" s="4">
        <v>1</v>
      </c>
      <c r="G42" s="674"/>
      <c r="H42" s="9"/>
      <c r="I42" s="95">
        <f>K42-L42-IF(N42,M42,0)</f>
        <v>0</v>
      </c>
      <c r="J42" s="96" t="str">
        <f t="shared" si="8"/>
        <v/>
      </c>
      <c r="K42" s="407">
        <f>$D42*$F42*IF($E$40=16,2.4606,1.6404)*VLOOKUP($C42,'Master sheet'!$A:$AL,13,FALSE)*1.029</f>
        <v>0</v>
      </c>
      <c r="L42" s="97">
        <f>$D42*$F42*IF($E$40=16,2.4606,1.6404)*VLOOKUP($C42,'Master sheet'!$A:$AL,27,FALSE)*1.029</f>
        <v>0</v>
      </c>
      <c r="M42" s="1552"/>
      <c r="N42" s="1552"/>
      <c r="O42" s="25" t="str">
        <f>_xlfn.IFNA(VLOOKUP($C42,'Master sheet'!$A:$AR,44,FALSE),"")&amp;""</f>
        <v/>
      </c>
      <c r="P42" s="637"/>
      <c r="Q42" s="728" t="s">
        <v>52</v>
      </c>
      <c r="R42" s="757" t="s">
        <v>1610</v>
      </c>
      <c r="S42" s="776" t="s">
        <v>7256</v>
      </c>
      <c r="T42" s="638"/>
      <c r="U42" s="638"/>
      <c r="V42" s="638"/>
      <c r="W42" s="638"/>
      <c r="X42" s="638"/>
      <c r="Y42" s="638"/>
      <c r="Z42" s="664"/>
    </row>
    <row r="43" spans="1:26" s="624" customFormat="1" ht="54.75" customHeight="1" x14ac:dyDescent="0.25">
      <c r="A43" s="1522" t="s">
        <v>57</v>
      </c>
      <c r="B43" s="1523"/>
      <c r="C43" s="1523"/>
      <c r="D43" s="649"/>
      <c r="E43" s="650"/>
      <c r="F43" s="321"/>
      <c r="G43" s="650"/>
      <c r="H43" s="650"/>
      <c r="I43" s="651"/>
      <c r="J43" s="103" t="str">
        <f>IF(H43=1,I43,"")</f>
        <v/>
      </c>
      <c r="K43" s="652"/>
      <c r="L43" s="759"/>
      <c r="M43" s="759"/>
      <c r="N43" s="759"/>
      <c r="O43" s="25" t="str">
        <f>_xlfn.IFNA(VLOOKUP($C43,'Master sheet'!$A:$AR,44,FALSE),"")&amp;""</f>
        <v/>
      </c>
      <c r="P43" s="707"/>
      <c r="Q43" s="761"/>
      <c r="R43" s="728"/>
      <c r="T43" s="638"/>
      <c r="U43" s="638"/>
      <c r="V43" s="638"/>
      <c r="W43" s="638"/>
      <c r="X43" s="638"/>
      <c r="Y43" s="638"/>
      <c r="Z43" s="638"/>
    </row>
    <row r="44" spans="1:26" ht="22.8" x14ac:dyDescent="0.25">
      <c r="A44" s="686"/>
      <c r="B44" s="1541" t="s">
        <v>1043</v>
      </c>
      <c r="C44" s="1530"/>
      <c r="D44" s="656"/>
      <c r="E44" s="657"/>
      <c r="F44" s="339"/>
      <c r="G44" s="724"/>
      <c r="H44" s="763"/>
      <c r="I44" s="658"/>
      <c r="J44" s="659"/>
      <c r="K44" s="660"/>
      <c r="L44" s="723"/>
      <c r="M44" s="727"/>
      <c r="N44" s="727"/>
      <c r="O44" s="25" t="str">
        <f>_xlfn.IFNA(VLOOKUP($C44,'Master sheet'!$A:$AR,44,FALSE),"")&amp;""</f>
        <v/>
      </c>
      <c r="P44" s="707"/>
      <c r="T44" s="664"/>
      <c r="U44" s="664"/>
      <c r="V44" s="664"/>
      <c r="W44" s="664"/>
      <c r="X44" s="664"/>
      <c r="Y44" s="664"/>
      <c r="Z44" s="664"/>
    </row>
    <row r="45" spans="1:26" ht="22.8" x14ac:dyDescent="0.25">
      <c r="A45" s="729"/>
      <c r="B45" s="729"/>
      <c r="C45" s="691" t="s">
        <v>1366</v>
      </c>
      <c r="D45" s="19">
        <f>'USER INPUT SHEET'!$D$32+'USER INPUT SHEET'!$D$47</f>
        <v>0</v>
      </c>
      <c r="E45" s="20" t="str">
        <f>'USER INPUT SHEET'!$F$32</f>
        <v>m2</v>
      </c>
      <c r="F45" s="6">
        <v>1</v>
      </c>
      <c r="G45" s="692"/>
      <c r="H45" s="10"/>
      <c r="I45" s="98">
        <f>K45-L45-IF(N45,M45,0)</f>
        <v>0</v>
      </c>
      <c r="J45" s="91" t="str">
        <f>IF(H45=1,I45,"")</f>
        <v/>
      </c>
      <c r="K45" s="410">
        <f>F45*AVERAGE(K46:K47)</f>
        <v>0</v>
      </c>
      <c r="L45" s="99">
        <f>F45*AVERAGE(L46:L47)</f>
        <v>0</v>
      </c>
      <c r="M45" s="1552"/>
      <c r="N45" s="1552"/>
      <c r="O45" s="25" t="str">
        <f>_xlfn.IFNA(VLOOKUP($C45,'Master sheet'!$A:$AR,44,FALSE),"")&amp;""</f>
        <v/>
      </c>
      <c r="P45" s="671"/>
      <c r="Q45" s="765" t="s">
        <v>52</v>
      </c>
      <c r="R45" s="757" t="s">
        <v>57</v>
      </c>
      <c r="S45" s="664"/>
      <c r="T45" s="664"/>
      <c r="U45" s="664"/>
      <c r="V45" s="664"/>
      <c r="W45" s="664"/>
      <c r="X45" s="664"/>
      <c r="Y45" s="664"/>
      <c r="Z45" s="664"/>
    </row>
    <row r="46" spans="1:26" ht="31.5" customHeight="1" x14ac:dyDescent="0.25">
      <c r="A46" s="1605" t="s">
        <v>788</v>
      </c>
      <c r="B46" s="1605"/>
      <c r="C46" s="669" t="str">
        <f>INDEX('Master sheet'!$A$1:$A$670,MATCH(84,'Master sheet'!$AN$1:$AN$670,0))</f>
        <v>Cross Laminated Timber (CLT) / Structurlam / CrossLam / 3-1/2" (90mm) thick</v>
      </c>
      <c r="D46" s="15">
        <f>'USER INPUT SHEET'!$D$32+'USER INPUT SHEET'!$D$47</f>
        <v>0</v>
      </c>
      <c r="E46" s="16" t="str">
        <f>'USER INPUT SHEET'!$F$32</f>
        <v>m2</v>
      </c>
      <c r="F46" s="3">
        <v>1</v>
      </c>
      <c r="G46" s="670"/>
      <c r="H46" s="8"/>
      <c r="I46" s="95">
        <f>K46-L46-IF(N46,M46,0)</f>
        <v>0</v>
      </c>
      <c r="J46" s="93" t="str">
        <f>IF(H46=1,I46,"")</f>
        <v/>
      </c>
      <c r="K46" s="406">
        <f>$D46*$F46*VLOOKUP($C46,'Master sheet'!$A:$AL,13,FALSE)</f>
        <v>0</v>
      </c>
      <c r="L46" s="94">
        <f>$D46*$F46*VLOOKUP($C46,'Master sheet'!$A:$AL,27,FALSE)</f>
        <v>0</v>
      </c>
      <c r="M46" s="1552"/>
      <c r="N46" s="1552"/>
      <c r="O46" s="25" t="str">
        <f ca="1">_xlfn.IFNA(VLOOKUP($C46,'Master sheet'!$A:$AR,44,FALSE),"")&amp;""</f>
        <v>Expired 2025</v>
      </c>
      <c r="P46" s="637"/>
      <c r="Q46" s="757" t="s">
        <v>52</v>
      </c>
      <c r="R46" s="757" t="s">
        <v>57</v>
      </c>
      <c r="T46" s="664"/>
      <c r="U46" s="664"/>
      <c r="V46" s="664"/>
      <c r="W46" s="664"/>
      <c r="X46" s="664"/>
      <c r="Y46" s="664"/>
      <c r="Z46" s="664"/>
    </row>
    <row r="47" spans="1:26" s="624" customFormat="1" ht="31.5" customHeight="1" x14ac:dyDescent="0.25">
      <c r="A47" s="1605"/>
      <c r="B47" s="1605"/>
      <c r="C47" s="673" t="str">
        <f>INDEX('Master sheet'!$A$1:$A$670,MATCH(85,'Master sheet'!$AN$1:$AN$670,0))</f>
        <v>Dowel Laminated Timber / StructureCraft / DowelLam / 3-1/2" (90mm) thick</v>
      </c>
      <c r="D47" s="17">
        <f>'USER INPUT SHEET'!$D$32+'USER INPUT SHEET'!$D$47</f>
        <v>0</v>
      </c>
      <c r="E47" s="18" t="str">
        <f>'USER INPUT SHEET'!$F$32</f>
        <v>m2</v>
      </c>
      <c r="F47" s="4">
        <v>1</v>
      </c>
      <c r="G47" s="674"/>
      <c r="H47" s="9"/>
      <c r="I47" s="95">
        <f>K47-L47-IF(N47,M47,0)</f>
        <v>0</v>
      </c>
      <c r="J47" s="96" t="str">
        <f>IF(H47=1,I47,"")</f>
        <v/>
      </c>
      <c r="K47" s="407">
        <f>$D47*$F47*VLOOKUP($C47,'Master sheet'!$A:$AL,13,FALSE)</f>
        <v>0</v>
      </c>
      <c r="L47" s="97">
        <f>$D47*$F47*VLOOKUP($C47,'Master sheet'!$A:$AL,27,FALSE)</f>
        <v>0</v>
      </c>
      <c r="M47" s="1552"/>
      <c r="N47" s="1552"/>
      <c r="O47" s="25" t="str">
        <f ca="1">_xlfn.IFNA(VLOOKUP($C47,'Master sheet'!$A:$AR,44,FALSE),"")&amp;""</f>
        <v>Expired 2025</v>
      </c>
      <c r="P47" s="685"/>
      <c r="Q47" s="728" t="s">
        <v>52</v>
      </c>
      <c r="R47" s="728" t="s">
        <v>57</v>
      </c>
      <c r="T47" s="638"/>
      <c r="U47" s="638"/>
      <c r="V47" s="638"/>
      <c r="W47" s="638"/>
      <c r="X47" s="638"/>
      <c r="Y47" s="638"/>
      <c r="Z47" s="638"/>
    </row>
    <row r="48" spans="1:26" s="624" customFormat="1" ht="54.75" customHeight="1" x14ac:dyDescent="0.25">
      <c r="A48" s="1522" t="s">
        <v>1655</v>
      </c>
      <c r="B48" s="1523"/>
      <c r="C48" s="1523"/>
      <c r="D48" s="649"/>
      <c r="E48" s="650"/>
      <c r="F48" s="321"/>
      <c r="G48" s="650"/>
      <c r="H48" s="650"/>
      <c r="I48" s="651"/>
      <c r="J48" s="103" t="str">
        <f>IF(H48=1,I48,"")</f>
        <v/>
      </c>
      <c r="K48" s="652"/>
      <c r="L48" s="759"/>
      <c r="M48" s="759"/>
      <c r="N48" s="759"/>
      <c r="O48" s="25" t="str">
        <f>_xlfn.IFNA(VLOOKUP($C48,'Master sheet'!$A:$AR,44,FALSE),"")&amp;""</f>
        <v/>
      </c>
      <c r="P48" s="685"/>
      <c r="Q48" s="761"/>
      <c r="R48" s="728"/>
      <c r="T48" s="638"/>
      <c r="U48" s="638"/>
      <c r="V48" s="638"/>
      <c r="W48" s="638"/>
      <c r="X48" s="638"/>
      <c r="Y48" s="638"/>
      <c r="Z48" s="664"/>
    </row>
    <row r="49" spans="1:26" ht="22.8" x14ac:dyDescent="0.25">
      <c r="A49" s="686"/>
      <c r="B49" s="1541" t="s">
        <v>1729</v>
      </c>
      <c r="C49" s="1530"/>
      <c r="D49" s="656"/>
      <c r="E49" s="657"/>
      <c r="F49" s="339"/>
      <c r="G49" s="724"/>
      <c r="H49" s="763"/>
      <c r="I49" s="658"/>
      <c r="J49" s="659"/>
      <c r="K49" s="660"/>
      <c r="L49" s="723"/>
      <c r="M49" s="727"/>
      <c r="N49" s="727"/>
      <c r="O49" s="25" t="str">
        <f>_xlfn.IFNA(VLOOKUP($C49,'Master sheet'!$A:$AR,44,FALSE),"")&amp;""</f>
        <v/>
      </c>
      <c r="P49" s="685"/>
      <c r="T49" s="664"/>
      <c r="U49" s="664"/>
      <c r="V49" s="664"/>
      <c r="W49" s="664"/>
      <c r="X49" s="664"/>
      <c r="Y49" s="664"/>
      <c r="Z49" s="664"/>
    </row>
    <row r="50" spans="1:26" ht="22.8" x14ac:dyDescent="0.25">
      <c r="A50" s="729"/>
      <c r="B50" s="729"/>
      <c r="C50" s="691" t="s">
        <v>1730</v>
      </c>
      <c r="D50" s="19">
        <f>'USER INPUT SHEET'!$D$32+'USER INPUT SHEET'!$D$47</f>
        <v>0</v>
      </c>
      <c r="E50" s="20" t="str">
        <f>'USER INPUT SHEET'!$F$32</f>
        <v>m2</v>
      </c>
      <c r="F50" s="6">
        <v>1</v>
      </c>
      <c r="G50" s="692"/>
      <c r="H50" s="10"/>
      <c r="I50" s="98">
        <f t="shared" ref="I50:I56" si="10">K50-L50</f>
        <v>0</v>
      </c>
      <c r="J50" s="91" t="str">
        <f t="shared" ref="J50:J56" si="11">IF(H50=1,I50,"")</f>
        <v/>
      </c>
      <c r="K50" s="410">
        <f>F50*AVERAGE(K51:K56)</f>
        <v>0</v>
      </c>
      <c r="L50" s="99">
        <f>F50*AVERAGE(L51:L56)</f>
        <v>0</v>
      </c>
      <c r="M50" s="1552"/>
      <c r="N50" s="1552"/>
      <c r="O50" s="25" t="str">
        <f>_xlfn.IFNA(VLOOKUP($C50,'Master sheet'!$A:$AR,44,FALSE),"")&amp;""</f>
        <v/>
      </c>
      <c r="Q50" s="765" t="s">
        <v>52</v>
      </c>
      <c r="R50" s="728" t="s">
        <v>1677</v>
      </c>
      <c r="S50" s="664"/>
      <c r="T50" s="664"/>
      <c r="U50" s="664"/>
      <c r="V50" s="664"/>
      <c r="W50" s="664"/>
      <c r="X50" s="664"/>
      <c r="Y50" s="664"/>
      <c r="Z50" s="664"/>
    </row>
    <row r="51" spans="1:26" ht="31.5" customHeight="1" x14ac:dyDescent="0.25">
      <c r="A51" s="1606" t="s">
        <v>1728</v>
      </c>
      <c r="B51" s="1606"/>
      <c r="C51" s="749" t="str">
        <f>INDEX('Master sheet'!$A$1:$A$670,MATCH("A15",'Master sheet'!$AN$1:$AN$670,0))</f>
        <v xml:space="preserve">CMU - Light weight / Brampton Brick (Boehmers) / 8" CarboClave Block / 8 x 8 x 16 </v>
      </c>
      <c r="D51" s="250">
        <f>'USER INPUT SHEET'!$D$32+'USER INPUT SHEET'!$D$47</f>
        <v>0</v>
      </c>
      <c r="E51" s="251" t="str">
        <f>'USER INPUT SHEET'!$F$32</f>
        <v>m2</v>
      </c>
      <c r="F51" s="252">
        <v>1</v>
      </c>
      <c r="G51" s="750"/>
      <c r="H51" s="253"/>
      <c r="I51" s="254">
        <f t="shared" ref="I51:I55" si="12">K51-L51</f>
        <v>0</v>
      </c>
      <c r="J51" s="255" t="str">
        <f t="shared" ref="J51:J55" si="13">IF(H51=1,I51,"")</f>
        <v/>
      </c>
      <c r="K51" s="417">
        <f>$D51*$F51*VLOOKUP($C51,'Master sheet'!$A:$AL,13,FALSE)</f>
        <v>0</v>
      </c>
      <c r="L51" s="256">
        <f>$D51*$F51*VLOOKUP($C51,'Master sheet'!$A:$AL,27,FALSE)</f>
        <v>0</v>
      </c>
      <c r="M51" s="1552"/>
      <c r="N51" s="1552"/>
      <c r="O51" s="25" t="str">
        <f>_xlfn.IFNA(VLOOKUP($C51,'Master sheet'!$A:$AR,44,FALSE),"")&amp;""</f>
        <v/>
      </c>
      <c r="Q51" s="765" t="s">
        <v>52</v>
      </c>
      <c r="R51" s="728" t="s">
        <v>1677</v>
      </c>
      <c r="T51" s="664"/>
      <c r="U51" s="664"/>
      <c r="V51" s="664"/>
      <c r="W51" s="664"/>
      <c r="X51" s="664"/>
      <c r="Y51" s="664"/>
      <c r="Z51" s="664"/>
    </row>
    <row r="52" spans="1:26" ht="46.8" x14ac:dyDescent="0.25">
      <c r="A52" s="1606"/>
      <c r="B52" s="1606"/>
      <c r="C52" s="749" t="str">
        <f>INDEX('Master sheet'!$A$1:$A$670,MATCH("A16",'Master sheet'!$AN$1:$AN$670,0))</f>
        <v xml:space="preserve">CMU - Light weight / Canadian Concrete Masonry Producers Assn, East Region / 8" Light weight blocks / 15 MPa, 390 x 190 x 190 mm </v>
      </c>
      <c r="D52" s="250">
        <f>'USER INPUT SHEET'!$D$32+'USER INPUT SHEET'!$D$47</f>
        <v>0</v>
      </c>
      <c r="E52" s="251" t="str">
        <f>'USER INPUT SHEET'!$F$32</f>
        <v>m2</v>
      </c>
      <c r="F52" s="252">
        <v>1</v>
      </c>
      <c r="G52" s="750"/>
      <c r="H52" s="253"/>
      <c r="I52" s="254">
        <f t="shared" si="12"/>
        <v>0</v>
      </c>
      <c r="J52" s="255" t="str">
        <f t="shared" si="13"/>
        <v/>
      </c>
      <c r="K52" s="417">
        <f>$D52*$F52*VLOOKUP($C52,'Master sheet'!$A:$AL,13,FALSE)</f>
        <v>0</v>
      </c>
      <c r="L52" s="256">
        <f>$D52*$F52*VLOOKUP($C52,'Master sheet'!$A:$AL,27,FALSE)</f>
        <v>0</v>
      </c>
      <c r="M52" s="1552"/>
      <c r="N52" s="1552"/>
      <c r="O52" s="25" t="str">
        <f>_xlfn.IFNA(VLOOKUP($C52,'Master sheet'!$A:$AR,44,FALSE),"")&amp;""</f>
        <v/>
      </c>
      <c r="Q52" s="765" t="s">
        <v>52</v>
      </c>
      <c r="R52" s="728" t="s">
        <v>1677</v>
      </c>
      <c r="T52" s="664"/>
      <c r="U52" s="664"/>
      <c r="V52" s="664"/>
      <c r="W52" s="664"/>
      <c r="X52" s="664"/>
      <c r="Y52" s="664"/>
      <c r="Z52" s="664"/>
    </row>
    <row r="53" spans="1:26" ht="46.8" x14ac:dyDescent="0.25">
      <c r="A53" s="1606"/>
      <c r="B53" s="1606"/>
      <c r="C53" s="749" t="str">
        <f>INDEX('Master sheet'!$A$1:$A$670,MATCH("A17",'Master sheet'!$AN$1:$AN$670,0))</f>
        <v xml:space="preserve">CMU - Light weight / Canadian Concrete Masonry Producers Assn, West Region / 8" Light weight blocks / 15 MPa, 390 x 190 x 190 mm </v>
      </c>
      <c r="D53" s="250">
        <f>'USER INPUT SHEET'!$D$32+'USER INPUT SHEET'!$D$47</f>
        <v>0</v>
      </c>
      <c r="E53" s="251" t="str">
        <f>'USER INPUT SHEET'!$F$32</f>
        <v>m2</v>
      </c>
      <c r="F53" s="252">
        <v>1</v>
      </c>
      <c r="G53" s="750"/>
      <c r="H53" s="253"/>
      <c r="I53" s="254">
        <f t="shared" si="12"/>
        <v>0</v>
      </c>
      <c r="J53" s="255" t="str">
        <f t="shared" si="13"/>
        <v/>
      </c>
      <c r="K53" s="417">
        <f>$D53*$F53*VLOOKUP($C53,'Master sheet'!$A:$AL,13,FALSE)</f>
        <v>0</v>
      </c>
      <c r="L53" s="256">
        <f>$D53*$F53*VLOOKUP($C53,'Master sheet'!$A:$AL,27,FALSE)</f>
        <v>0</v>
      </c>
      <c r="M53" s="1552"/>
      <c r="N53" s="1552"/>
      <c r="O53" s="25" t="str">
        <f>_xlfn.IFNA(VLOOKUP($C53,'Master sheet'!$A:$AR,44,FALSE),"")&amp;""</f>
        <v/>
      </c>
      <c r="Q53" s="765" t="s">
        <v>52</v>
      </c>
      <c r="R53" s="728" t="s">
        <v>1677</v>
      </c>
      <c r="T53" s="664"/>
      <c r="U53" s="664"/>
      <c r="V53" s="664"/>
      <c r="W53" s="664"/>
      <c r="X53" s="664"/>
      <c r="Y53" s="664"/>
      <c r="Z53" s="664"/>
    </row>
    <row r="54" spans="1:26" ht="31.2" x14ac:dyDescent="0.25">
      <c r="A54" s="1606"/>
      <c r="B54" s="1606"/>
      <c r="C54" s="749" t="str">
        <f>INDEX('Master sheet'!$A$1:$A$670,MATCH("A20",'Master sheet'!$AN$1:$AN$670,0))</f>
        <v xml:space="preserve">CMU - Normal weight / Brampton Brick (Boehmers) / 8" CarboClave Block / 8 x 8 x 16 </v>
      </c>
      <c r="D54" s="250">
        <f>'USER INPUT SHEET'!$D$32+'USER INPUT SHEET'!$D$47</f>
        <v>0</v>
      </c>
      <c r="E54" s="251" t="str">
        <f>'USER INPUT SHEET'!$F$32</f>
        <v>m2</v>
      </c>
      <c r="F54" s="252">
        <v>1</v>
      </c>
      <c r="G54" s="750"/>
      <c r="H54" s="253"/>
      <c r="I54" s="254">
        <f t="shared" si="12"/>
        <v>0</v>
      </c>
      <c r="J54" s="255" t="str">
        <f t="shared" si="13"/>
        <v/>
      </c>
      <c r="K54" s="417">
        <f>$D54*$F54*VLOOKUP($C54,'Master sheet'!$A:$AL,13,FALSE)</f>
        <v>0</v>
      </c>
      <c r="L54" s="256">
        <f>$D54*$F54*VLOOKUP($C54,'Master sheet'!$A:$AL,27,FALSE)</f>
        <v>0</v>
      </c>
      <c r="M54" s="1552"/>
      <c r="N54" s="1552"/>
      <c r="O54" s="25" t="str">
        <f>_xlfn.IFNA(VLOOKUP($C54,'Master sheet'!$A:$AR,44,FALSE),"")&amp;""</f>
        <v/>
      </c>
      <c r="Q54" s="765" t="s">
        <v>52</v>
      </c>
      <c r="R54" s="728" t="s">
        <v>1677</v>
      </c>
      <c r="T54" s="664"/>
      <c r="U54" s="664"/>
      <c r="V54" s="664"/>
      <c r="W54" s="664"/>
      <c r="X54" s="664"/>
      <c r="Y54" s="664"/>
      <c r="Z54" s="664"/>
    </row>
    <row r="55" spans="1:26" ht="46.8" x14ac:dyDescent="0.25">
      <c r="A55" s="1606"/>
      <c r="B55" s="1606"/>
      <c r="C55" s="749" t="str">
        <f>INDEX('Master sheet'!$A$1:$A$670,MATCH("A18",'Master sheet'!$AN$1:$AN$670,0))</f>
        <v xml:space="preserve">CMU - Normal weight / Canadian Concrete Masonry Producers Assn, East Region / 8" Normal weight blocks / 15 MPa, 390 x 190 x 190 mm </v>
      </c>
      <c r="D55" s="250">
        <f>'USER INPUT SHEET'!$D$32+'USER INPUT SHEET'!$D$47</f>
        <v>0</v>
      </c>
      <c r="E55" s="251" t="str">
        <f>'USER INPUT SHEET'!$F$32</f>
        <v>m2</v>
      </c>
      <c r="F55" s="252">
        <v>1</v>
      </c>
      <c r="G55" s="750"/>
      <c r="H55" s="253"/>
      <c r="I55" s="254">
        <f t="shared" si="12"/>
        <v>0</v>
      </c>
      <c r="J55" s="255" t="str">
        <f t="shared" si="13"/>
        <v/>
      </c>
      <c r="K55" s="417">
        <f>$D55*$F55*VLOOKUP($C55,'Master sheet'!$A:$AL,13,FALSE)</f>
        <v>0</v>
      </c>
      <c r="L55" s="256">
        <f>$D55*$F55*VLOOKUP($C55,'Master sheet'!$A:$AL,27,FALSE)</f>
        <v>0</v>
      </c>
      <c r="M55" s="1552"/>
      <c r="N55" s="1552"/>
      <c r="O55" s="25" t="str">
        <f>_xlfn.IFNA(VLOOKUP($C55,'Master sheet'!$A:$AR,44,FALSE),"")&amp;""</f>
        <v/>
      </c>
      <c r="Q55" s="765" t="s">
        <v>52</v>
      </c>
      <c r="R55" s="728" t="s">
        <v>1677</v>
      </c>
      <c r="T55" s="664"/>
      <c r="U55" s="664"/>
      <c r="V55" s="664"/>
      <c r="W55" s="664"/>
      <c r="X55" s="664"/>
      <c r="Y55" s="664"/>
      <c r="Z55" s="664"/>
    </row>
    <row r="56" spans="1:26" s="624" customFormat="1" ht="46.8" x14ac:dyDescent="0.25">
      <c r="A56" s="1607"/>
      <c r="B56" s="1607"/>
      <c r="C56" s="749" t="str">
        <f>INDEX('Master sheet'!$A$1:$A$670,MATCH("A19",'Master sheet'!$AN$1:$AN$670,0))</f>
        <v xml:space="preserve">CMU - Normal weight / Canadian Concrete Masonry Producers Assn, West Region / 8" Normal weight blocks / 15 MPa, 390 x 190 x 190 mm </v>
      </c>
      <c r="D56" s="250">
        <f>'USER INPUT SHEET'!$D$32+'USER INPUT SHEET'!$D$47</f>
        <v>0</v>
      </c>
      <c r="E56" s="251" t="str">
        <f>'USER INPUT SHEET'!$F$32</f>
        <v>m2</v>
      </c>
      <c r="F56" s="252">
        <v>1</v>
      </c>
      <c r="G56" s="750"/>
      <c r="H56" s="253"/>
      <c r="I56" s="254">
        <f t="shared" si="10"/>
        <v>0</v>
      </c>
      <c r="J56" s="255" t="str">
        <f t="shared" si="11"/>
        <v/>
      </c>
      <c r="K56" s="417">
        <f>$D56*$F56*VLOOKUP($C56,'Master sheet'!$A:$AL,13,FALSE)</f>
        <v>0</v>
      </c>
      <c r="L56" s="256">
        <f>$D56*$F56*VLOOKUP($C56,'Master sheet'!$A:$AL,27,FALSE)</f>
        <v>0</v>
      </c>
      <c r="M56" s="1552"/>
      <c r="N56" s="1552"/>
      <c r="O56" s="25" t="str">
        <f>_xlfn.IFNA(VLOOKUP($C56,'Master sheet'!$A:$AR,44,FALSE),"")&amp;""</f>
        <v/>
      </c>
      <c r="P56" s="620"/>
      <c r="Q56" s="765" t="s">
        <v>52</v>
      </c>
      <c r="R56" s="728" t="s">
        <v>1677</v>
      </c>
      <c r="T56" s="638"/>
      <c r="U56" s="638"/>
      <c r="V56" s="638"/>
      <c r="W56" s="638"/>
      <c r="X56" s="638"/>
      <c r="Y56" s="638"/>
      <c r="Z56" s="664"/>
    </row>
    <row r="57" spans="1:26" s="624" customFormat="1" ht="54.75" customHeight="1" x14ac:dyDescent="0.25">
      <c r="A57" s="1522" t="s">
        <v>1678</v>
      </c>
      <c r="B57" s="1523"/>
      <c r="C57" s="1523"/>
      <c r="D57" s="629" t="s">
        <v>1651</v>
      </c>
      <c r="E57" s="1"/>
      <c r="F57" s="323" t="s">
        <v>1652</v>
      </c>
      <c r="G57" s="650"/>
      <c r="H57" s="650"/>
      <c r="I57" s="631"/>
      <c r="J57" s="632"/>
      <c r="K57" s="777"/>
      <c r="L57" s="720"/>
      <c r="M57" s="720"/>
      <c r="N57" s="720"/>
      <c r="O57" s="25" t="str">
        <f>_xlfn.IFNA(VLOOKUP($C57,'Master sheet'!$A:$AR,44,FALSE),"")&amp;""</f>
        <v/>
      </c>
      <c r="P57" s="637"/>
      <c r="Q57" s="722"/>
      <c r="R57" s="722"/>
      <c r="S57" s="638"/>
      <c r="T57" s="638"/>
      <c r="U57" s="638"/>
      <c r="V57" s="638"/>
      <c r="W57" s="638"/>
      <c r="X57" s="638"/>
      <c r="Y57" s="638"/>
      <c r="Z57" s="664"/>
    </row>
    <row r="58" spans="1:26" ht="23.85" customHeight="1" x14ac:dyDescent="0.25">
      <c r="A58" s="639"/>
      <c r="B58" s="1524" t="s">
        <v>1349</v>
      </c>
      <c r="C58" s="1524"/>
      <c r="D58" s="656"/>
      <c r="E58" s="657"/>
      <c r="F58" s="322"/>
      <c r="G58" s="657"/>
      <c r="H58" s="657"/>
      <c r="I58" s="658"/>
      <c r="J58" s="659"/>
      <c r="K58" s="660"/>
      <c r="L58" s="661"/>
      <c r="M58" s="677"/>
      <c r="N58" s="677"/>
      <c r="O58" s="25" t="str">
        <f>_xlfn.IFNA(VLOOKUP($C58,'Master sheet'!$A:$AR,44,FALSE),"")&amp;""</f>
        <v/>
      </c>
      <c r="P58" s="663"/>
      <c r="Q58" s="30"/>
      <c r="R58" s="21"/>
      <c r="S58" s="664"/>
      <c r="T58" s="664"/>
      <c r="U58" s="664"/>
      <c r="V58" s="664"/>
      <c r="W58" s="664"/>
      <c r="X58" s="664"/>
      <c r="Y58" s="664"/>
      <c r="Z58" s="638"/>
    </row>
    <row r="59" spans="1:26" ht="31.5" customHeight="1" x14ac:dyDescent="0.25">
      <c r="A59" s="1570" t="s">
        <v>1731</v>
      </c>
      <c r="B59" s="1570"/>
      <c r="C59" s="667" t="str" cm="1">
        <f t="array" ref="C59">INDEX('Master sheet'!$A$1:$A$670,MATCH(1,("0-25" = 'Master sheet'!$AO$1:$AO$670)*(1 = 'Master sheet'!$AP$1:$AP$670)*('Master sheet'!$AT$1:$AT$670),0))</f>
        <v xml:space="preserve">Concrete - 25 MPa, GU / SRMCA / Can. Sask Avg. / </v>
      </c>
      <c r="D59" s="230">
        <f t="shared" ref="D59:D65" si="14">$E$57</f>
        <v>0</v>
      </c>
      <c r="E59" s="308" t="s">
        <v>3</v>
      </c>
      <c r="F59" s="5">
        <v>1</v>
      </c>
      <c r="G59" s="668"/>
      <c r="H59" s="10"/>
      <c r="I59" s="232">
        <f t="shared" ref="I59:I65" si="15">K59-L59</f>
        <v>0</v>
      </c>
      <c r="J59" s="233" t="str">
        <f t="shared" ref="J59:J65" si="16">IF(H59=1,I59,"")</f>
        <v/>
      </c>
      <c r="K59" s="409">
        <f>$D59*$F59*VLOOKUP($C59,'Master sheet'!$A:$AL,13,FALSE)</f>
        <v>0</v>
      </c>
      <c r="L59" s="234">
        <v>0</v>
      </c>
      <c r="M59" s="1552"/>
      <c r="N59" s="1552"/>
      <c r="O59" s="25" t="str">
        <f ca="1">_xlfn.IFNA(VLOOKUP($C59,'Master sheet'!$A:$AR,44,FALSE),"")&amp;""</f>
        <v/>
      </c>
      <c r="P59" s="637"/>
      <c r="Q59" s="728" t="s">
        <v>52</v>
      </c>
      <c r="R59" s="757" t="s">
        <v>1650</v>
      </c>
      <c r="S59" s="664"/>
      <c r="T59" s="664"/>
      <c r="U59" s="664"/>
      <c r="V59" s="664"/>
      <c r="W59" s="664"/>
      <c r="X59" s="664"/>
      <c r="Y59" s="664"/>
      <c r="Z59" s="664"/>
    </row>
    <row r="60" spans="1:26" ht="23.25" customHeight="1" x14ac:dyDescent="0.25">
      <c r="A60" s="1570"/>
      <c r="B60" s="1570"/>
      <c r="C60" s="669" t="str" cm="1">
        <f t="array" ref="C60">INDEX('Master sheet'!$A$1:$A$670,MATCH(1,("0-25" = 'Master sheet'!$AO$1:$AO$670)*(2 = 'Master sheet'!$AP$1:$AP$670)*('Master sheet'!$AT$1:$AT$670),0))</f>
        <v xml:space="preserve">Concrete - 25 MPa, 10% FA, GU / SRMCA / Can. Sask Avg. / </v>
      </c>
      <c r="D60" s="15">
        <f t="shared" si="14"/>
        <v>0</v>
      </c>
      <c r="E60" s="16" t="s">
        <v>3</v>
      </c>
      <c r="F60" s="3">
        <v>1</v>
      </c>
      <c r="G60" s="670"/>
      <c r="H60" s="8"/>
      <c r="I60" s="92">
        <f t="shared" si="15"/>
        <v>0</v>
      </c>
      <c r="J60" s="93" t="str">
        <f t="shared" si="16"/>
        <v/>
      </c>
      <c r="K60" s="406">
        <f>$D60*$F60*VLOOKUP($C60,'Master sheet'!$A:$AL,13,FALSE)</f>
        <v>0</v>
      </c>
      <c r="L60" s="94">
        <v>0</v>
      </c>
      <c r="M60" s="1552"/>
      <c r="N60" s="1552"/>
      <c r="O60" s="25" t="str">
        <f ca="1">_xlfn.IFNA(VLOOKUP($C60,'Master sheet'!$A:$AR,44,FALSE),"")&amp;""</f>
        <v/>
      </c>
      <c r="P60" s="671"/>
      <c r="Q60" s="728" t="s">
        <v>52</v>
      </c>
      <c r="R60" s="757" t="s">
        <v>1650</v>
      </c>
      <c r="S60" s="664"/>
      <c r="T60" s="664"/>
      <c r="U60" s="664"/>
      <c r="V60" s="664"/>
      <c r="W60" s="664"/>
      <c r="X60" s="664"/>
      <c r="Y60" s="664"/>
      <c r="Z60" s="664"/>
    </row>
    <row r="61" spans="1:26" ht="23.25" customHeight="1" x14ac:dyDescent="0.25">
      <c r="A61" s="1570"/>
      <c r="B61" s="1570"/>
      <c r="C61" s="669" t="str" cm="1">
        <f t="array" ref="C61">INDEX('Master sheet'!$A$1:$A$670,MATCH(1,("0-25" = 'Master sheet'!$AO$1:$AO$670)*(3 = 'Master sheet'!$AP$1:$AP$670)*('Master sheet'!$AT$1:$AT$670),0))</f>
        <v xml:space="preserve">Concrete - 25 MPa, 20% FA, GU / SRMCA / Can. Sask Avg. / </v>
      </c>
      <c r="D61" s="15">
        <f t="shared" si="14"/>
        <v>0</v>
      </c>
      <c r="E61" s="16" t="s">
        <v>3</v>
      </c>
      <c r="F61" s="3">
        <v>1</v>
      </c>
      <c r="G61" s="670"/>
      <c r="H61" s="8"/>
      <c r="I61" s="92">
        <f t="shared" si="15"/>
        <v>0</v>
      </c>
      <c r="J61" s="93" t="str">
        <f t="shared" si="16"/>
        <v/>
      </c>
      <c r="K61" s="406">
        <f>$D61*$F61*VLOOKUP($C61,'Master sheet'!$A:$AL,13,FALSE)</f>
        <v>0</v>
      </c>
      <c r="L61" s="94">
        <v>0</v>
      </c>
      <c r="M61" s="1552"/>
      <c r="N61" s="1552"/>
      <c r="O61" s="25" t="str">
        <f ca="1">_xlfn.IFNA(VLOOKUP($C61,'Master sheet'!$A:$AR,44,FALSE),"")&amp;""</f>
        <v/>
      </c>
      <c r="P61" s="672"/>
      <c r="Q61" s="728" t="s">
        <v>52</v>
      </c>
      <c r="R61" s="757" t="s">
        <v>1650</v>
      </c>
      <c r="S61" s="664"/>
      <c r="T61" s="664"/>
      <c r="U61" s="664"/>
      <c r="V61" s="664"/>
      <c r="W61" s="664"/>
      <c r="X61" s="664"/>
      <c r="Y61" s="664"/>
      <c r="Z61" s="664"/>
    </row>
    <row r="62" spans="1:26" ht="23.25" customHeight="1" x14ac:dyDescent="0.25">
      <c r="A62" s="1570"/>
      <c r="B62" s="1570"/>
      <c r="C62" s="669" t="str" cm="1">
        <f t="array" ref="C62">INDEX('Master sheet'!$A$1:$A$670,MATCH(1,("0-25" = 'Master sheet'!$AO$1:$AO$670)*(4 = 'Master sheet'!$AP$1:$AP$670)*('Master sheet'!$AT$1:$AT$670),0))</f>
        <v xml:space="preserve">Concrete - 25 MPa, 30% FA, GU / SRMCA / Can. Sask Avg. / </v>
      </c>
      <c r="D62" s="15">
        <f t="shared" si="14"/>
        <v>0</v>
      </c>
      <c r="E62" s="16" t="s">
        <v>3</v>
      </c>
      <c r="F62" s="3">
        <v>1</v>
      </c>
      <c r="G62" s="670"/>
      <c r="H62" s="8"/>
      <c r="I62" s="92">
        <f t="shared" si="15"/>
        <v>0</v>
      </c>
      <c r="J62" s="93" t="str">
        <f t="shared" si="16"/>
        <v/>
      </c>
      <c r="K62" s="406">
        <f>$D62*$F62*VLOOKUP($C62,'Master sheet'!$A:$AL,13,FALSE)</f>
        <v>0</v>
      </c>
      <c r="L62" s="94">
        <v>0</v>
      </c>
      <c r="M62" s="1552"/>
      <c r="N62" s="1552"/>
      <c r="O62" s="25" t="str">
        <f ca="1">_xlfn.IFNA(VLOOKUP($C62,'Master sheet'!$A:$AR,44,FALSE),"")&amp;""</f>
        <v/>
      </c>
      <c r="P62" s="672"/>
      <c r="Q62" s="728" t="s">
        <v>52</v>
      </c>
      <c r="R62" s="757" t="s">
        <v>1650</v>
      </c>
      <c r="S62" s="664"/>
      <c r="T62" s="664"/>
      <c r="U62" s="664"/>
      <c r="V62" s="664"/>
      <c r="W62" s="664"/>
      <c r="X62" s="664"/>
      <c r="Y62" s="664"/>
      <c r="Z62" s="664"/>
    </row>
    <row r="63" spans="1:26" ht="23.25" customHeight="1" x14ac:dyDescent="0.25">
      <c r="A63" s="1570"/>
      <c r="B63" s="1570"/>
      <c r="C63" s="669" t="str" cm="1">
        <f t="array" ref="C63">INDEX('Master sheet'!$A$1:$A$670,MATCH(1,("0-25" = 'Master sheet'!$AO$1:$AO$670)*(5 = 'Master sheet'!$AP$1:$AP$670)*('Master sheet'!$AT$1:$AT$670),0))</f>
        <v xml:space="preserve">Concrete - 25 MPa, 40% FA, GU / SRMCA / Can. Sask Avg. / </v>
      </c>
      <c r="D63" s="15">
        <f t="shared" si="14"/>
        <v>0</v>
      </c>
      <c r="E63" s="16" t="s">
        <v>3</v>
      </c>
      <c r="F63" s="3">
        <v>1</v>
      </c>
      <c r="G63" s="670"/>
      <c r="H63" s="8"/>
      <c r="I63" s="92">
        <f t="shared" si="15"/>
        <v>0</v>
      </c>
      <c r="J63" s="93" t="str">
        <f t="shared" si="16"/>
        <v/>
      </c>
      <c r="K63" s="406">
        <f>$D63*$F63*VLOOKUP($C63,'Master sheet'!$A:$AL,13,FALSE)</f>
        <v>0</v>
      </c>
      <c r="L63" s="94">
        <v>0</v>
      </c>
      <c r="M63" s="1562"/>
      <c r="N63" s="1562"/>
      <c r="O63" s="25" t="str">
        <f ca="1">_xlfn.IFNA(VLOOKUP($C63,'Master sheet'!$A:$AR,44,FALSE),"")&amp;""</f>
        <v/>
      </c>
      <c r="P63" s="672"/>
      <c r="Q63" s="728" t="s">
        <v>52</v>
      </c>
      <c r="R63" s="757" t="s">
        <v>1650</v>
      </c>
      <c r="S63" s="664"/>
      <c r="T63" s="664"/>
      <c r="U63" s="664"/>
      <c r="V63" s="664"/>
      <c r="W63" s="664"/>
      <c r="X63" s="664"/>
      <c r="Y63" s="664"/>
      <c r="Z63" s="664"/>
    </row>
    <row r="64" spans="1:26" ht="23.25" hidden="1" customHeight="1" x14ac:dyDescent="0.25">
      <c r="A64" s="1570"/>
      <c r="B64" s="1570"/>
      <c r="C64" s="669" t="e" cm="1">
        <f t="array" ref="C64">INDEX('Master sheet'!$A$1:$A$670,MATCH(1,("0-25" = 'Master sheet'!$AO$1:$AO$670)*(6 = 'Master sheet'!$AP$1:$AP$670)*('Master sheet'!$AT$1:$AT$670),0))</f>
        <v>#N/A</v>
      </c>
      <c r="D64" s="15">
        <f t="shared" si="14"/>
        <v>0</v>
      </c>
      <c r="E64" s="16" t="s">
        <v>3</v>
      </c>
      <c r="F64" s="3">
        <v>1</v>
      </c>
      <c r="G64" s="670"/>
      <c r="H64" s="8"/>
      <c r="I64" s="92" t="e">
        <f t="shared" si="15"/>
        <v>#N/A</v>
      </c>
      <c r="J64" s="93" t="str">
        <f t="shared" ref="J64" si="17">IF(H64=1,I64,"")</f>
        <v/>
      </c>
      <c r="K64" s="406" t="e">
        <f>$D64*$F64*VLOOKUP($C64,'Master sheet'!$A:$AL,13,FALSE)</f>
        <v>#N/A</v>
      </c>
      <c r="L64" s="94">
        <v>0</v>
      </c>
      <c r="M64" s="1562"/>
      <c r="N64" s="1562"/>
      <c r="O64" s="25" t="str">
        <f>_xlfn.IFNA(VLOOKUP($C64,'Master sheet'!$A:$AR,44,FALSE),"")&amp;""</f>
        <v/>
      </c>
      <c r="P64" s="672"/>
      <c r="Q64" s="728" t="s">
        <v>52</v>
      </c>
      <c r="R64" s="757" t="s">
        <v>1650</v>
      </c>
      <c r="S64" s="664"/>
      <c r="T64" s="664"/>
      <c r="U64" s="664"/>
      <c r="V64" s="664"/>
      <c r="W64" s="664"/>
      <c r="X64" s="664"/>
      <c r="Y64" s="664"/>
      <c r="Z64" s="664"/>
    </row>
    <row r="65" spans="1:26" s="624" customFormat="1" ht="23.25" hidden="1" customHeight="1" x14ac:dyDescent="0.25">
      <c r="A65" s="1570"/>
      <c r="B65" s="1570"/>
      <c r="C65" s="673" t="e" cm="1">
        <f t="array" ref="C65">INDEX('Master sheet'!$A$1:$A$670,MATCH(1,("0-25" = 'Master sheet'!$AO$1:$AO$670)*(7 = 'Master sheet'!$AP$1:$AP$670)*('Master sheet'!$AT$1:$AT$670),0))</f>
        <v>#N/A</v>
      </c>
      <c r="D65" s="17">
        <f t="shared" si="14"/>
        <v>0</v>
      </c>
      <c r="E65" s="309" t="s">
        <v>3</v>
      </c>
      <c r="F65" s="4">
        <v>1</v>
      </c>
      <c r="G65" s="674"/>
      <c r="H65" s="9"/>
      <c r="I65" s="95" t="e">
        <f t="shared" si="15"/>
        <v>#N/A</v>
      </c>
      <c r="J65" s="96" t="str">
        <f t="shared" si="16"/>
        <v/>
      </c>
      <c r="K65" s="407" t="e">
        <f>$D65*$F65*VLOOKUP($C65,'Master sheet'!$A:$AL,13,FALSE)</f>
        <v>#N/A</v>
      </c>
      <c r="L65" s="97">
        <v>0</v>
      </c>
      <c r="M65" s="1562"/>
      <c r="N65" s="1562"/>
      <c r="O65" s="25" t="str">
        <f>_xlfn.IFNA(VLOOKUP($C65,'Master sheet'!$A:$AR,44,FALSE),"")&amp;""</f>
        <v/>
      </c>
      <c r="P65" s="637"/>
      <c r="Q65" s="728" t="s">
        <v>52</v>
      </c>
      <c r="R65" s="757" t="s">
        <v>1650</v>
      </c>
      <c r="S65" s="638"/>
      <c r="T65" s="638"/>
      <c r="U65" s="638"/>
      <c r="V65" s="638"/>
      <c r="W65" s="638"/>
      <c r="X65" s="638"/>
      <c r="Y65" s="638"/>
      <c r="Z65" s="664"/>
    </row>
    <row r="66" spans="1:26" ht="23.85" customHeight="1" x14ac:dyDescent="0.25">
      <c r="A66" s="639"/>
      <c r="B66" s="1524" t="s">
        <v>1350</v>
      </c>
      <c r="C66" s="1524"/>
      <c r="D66" s="656"/>
      <c r="E66" s="657"/>
      <c r="F66" s="322"/>
      <c r="G66" s="657"/>
      <c r="H66" s="657"/>
      <c r="I66" s="658"/>
      <c r="J66" s="659"/>
      <c r="K66" s="660"/>
      <c r="L66" s="661"/>
      <c r="M66" s="677"/>
      <c r="N66" s="677"/>
      <c r="O66" s="25" t="str">
        <f>_xlfn.IFNA(VLOOKUP($C66,'Master sheet'!$A:$AR,44,FALSE),"")&amp;""</f>
        <v/>
      </c>
      <c r="P66" s="663"/>
      <c r="Q66" s="30"/>
      <c r="R66" s="21"/>
      <c r="S66" s="664"/>
      <c r="T66" s="664"/>
      <c r="U66" s="664"/>
      <c r="V66" s="664"/>
      <c r="W66" s="664"/>
      <c r="X66" s="664"/>
      <c r="Y66" s="664"/>
      <c r="Z66" s="638"/>
    </row>
    <row r="67" spans="1:26" ht="31.5" customHeight="1" x14ac:dyDescent="0.25">
      <c r="A67" s="1570" t="s">
        <v>1731</v>
      </c>
      <c r="B67" s="1570"/>
      <c r="C67" s="667" t="str" cm="1">
        <f t="array" ref="C67">INDEX('Master sheet'!$A$1:$A$670,MATCH(1,("26-30" = 'Master sheet'!$AO$1:$AO$670)*(1 = 'Master sheet'!$AP$1:$AP$670)*('Master sheet'!$AT$1:$AT$670),0))</f>
        <v xml:space="preserve">Concrete - 30 MPa, GU / SRMCA / Can. Sask Avg. / </v>
      </c>
      <c r="D67" s="230">
        <f t="shared" ref="D67:D73" si="18">$E$57</f>
        <v>0</v>
      </c>
      <c r="E67" s="308" t="s">
        <v>3</v>
      </c>
      <c r="F67" s="5">
        <v>1</v>
      </c>
      <c r="G67" s="668"/>
      <c r="H67" s="10"/>
      <c r="I67" s="232">
        <f t="shared" ref="I67:I73" si="19">K67-L67</f>
        <v>0</v>
      </c>
      <c r="J67" s="233" t="str">
        <f t="shared" ref="J67:J73" si="20">IF(H67=1,I67,"")</f>
        <v/>
      </c>
      <c r="K67" s="409">
        <f>$D67*$F67*VLOOKUP($C67,'Master sheet'!$A:$AL,13,FALSE)</f>
        <v>0</v>
      </c>
      <c r="L67" s="234">
        <v>0</v>
      </c>
      <c r="M67" s="1552"/>
      <c r="N67" s="1552"/>
      <c r="O67" s="25" t="str">
        <f ca="1">_xlfn.IFNA(VLOOKUP($C67,'Master sheet'!$A:$AR,44,FALSE),"")&amp;""</f>
        <v/>
      </c>
      <c r="P67" s="637"/>
      <c r="Q67" s="728" t="s">
        <v>52</v>
      </c>
      <c r="R67" s="757" t="s">
        <v>1650</v>
      </c>
      <c r="S67" s="664"/>
      <c r="T67" s="664"/>
      <c r="U67" s="664"/>
      <c r="V67" s="664"/>
      <c r="W67" s="664"/>
      <c r="X67" s="664"/>
      <c r="Y67" s="664"/>
      <c r="Z67" s="664"/>
    </row>
    <row r="68" spans="1:26" ht="23.25" customHeight="1" x14ac:dyDescent="0.25">
      <c r="A68" s="1570"/>
      <c r="B68" s="1570"/>
      <c r="C68" s="669" t="str" cm="1">
        <f t="array" ref="C68">INDEX('Master sheet'!$A$1:$A$670,MATCH(1,("26-30" = 'Master sheet'!$AO$1:$AO$670)*(2 = 'Master sheet'!$AP$1:$AP$670)*('Master sheet'!$AT$1:$AT$670),0))</f>
        <v xml:space="preserve">Concrete - 30 MPa, 10% FA, GU / SRMCA / Can. Sask Avg. / </v>
      </c>
      <c r="D68" s="15">
        <f t="shared" si="18"/>
        <v>0</v>
      </c>
      <c r="E68" s="16" t="s">
        <v>3</v>
      </c>
      <c r="F68" s="3">
        <v>1</v>
      </c>
      <c r="G68" s="670"/>
      <c r="H68" s="8"/>
      <c r="I68" s="92">
        <f t="shared" si="19"/>
        <v>0</v>
      </c>
      <c r="J68" s="93" t="str">
        <f t="shared" si="20"/>
        <v/>
      </c>
      <c r="K68" s="406">
        <f>$D68*$F68*VLOOKUP($C68,'Master sheet'!$A:$AL,13,FALSE)</f>
        <v>0</v>
      </c>
      <c r="L68" s="94">
        <v>0</v>
      </c>
      <c r="M68" s="1552"/>
      <c r="N68" s="1552"/>
      <c r="O68" s="25" t="str">
        <f ca="1">_xlfn.IFNA(VLOOKUP($C68,'Master sheet'!$A:$AR,44,FALSE),"")&amp;""</f>
        <v/>
      </c>
      <c r="P68" s="671"/>
      <c r="Q68" s="728" t="s">
        <v>52</v>
      </c>
      <c r="R68" s="757" t="s">
        <v>1650</v>
      </c>
      <c r="S68" s="664"/>
      <c r="T68" s="664"/>
      <c r="U68" s="664"/>
      <c r="V68" s="664"/>
      <c r="W68" s="664"/>
      <c r="X68" s="664"/>
      <c r="Y68" s="664"/>
      <c r="Z68" s="664"/>
    </row>
    <row r="69" spans="1:26" ht="23.25" customHeight="1" x14ac:dyDescent="0.25">
      <c r="A69" s="1570"/>
      <c r="B69" s="1570"/>
      <c r="C69" s="669" t="str" cm="1">
        <f t="array" ref="C69">INDEX('Master sheet'!$A$1:$A$670,MATCH(1,("26-30" = 'Master sheet'!$AO$1:$AO$670)*(3 = 'Master sheet'!$AP$1:$AP$670)*('Master sheet'!$AT$1:$AT$670),0))</f>
        <v xml:space="preserve">Concrete - 30 MPa, 20% FA, GU / SRMCA / Can. Sask Avg. / </v>
      </c>
      <c r="D69" s="15">
        <f t="shared" si="18"/>
        <v>0</v>
      </c>
      <c r="E69" s="16" t="s">
        <v>3</v>
      </c>
      <c r="F69" s="3">
        <v>1</v>
      </c>
      <c r="G69" s="670"/>
      <c r="H69" s="8"/>
      <c r="I69" s="92">
        <f t="shared" si="19"/>
        <v>0</v>
      </c>
      <c r="J69" s="93" t="str">
        <f t="shared" si="20"/>
        <v/>
      </c>
      <c r="K69" s="406">
        <f>$D69*$F69*VLOOKUP($C69,'Master sheet'!$A:$AL,13,FALSE)</f>
        <v>0</v>
      </c>
      <c r="L69" s="94">
        <v>0</v>
      </c>
      <c r="M69" s="1552"/>
      <c r="N69" s="1552"/>
      <c r="O69" s="25" t="str">
        <f ca="1">_xlfn.IFNA(VLOOKUP($C69,'Master sheet'!$A:$AR,44,FALSE),"")&amp;""</f>
        <v/>
      </c>
      <c r="P69" s="672"/>
      <c r="Q69" s="728" t="s">
        <v>52</v>
      </c>
      <c r="R69" s="757" t="s">
        <v>1650</v>
      </c>
      <c r="S69" s="664"/>
      <c r="T69" s="664"/>
      <c r="U69" s="664"/>
      <c r="V69" s="664"/>
      <c r="W69" s="664"/>
      <c r="X69" s="664"/>
      <c r="Y69" s="664"/>
      <c r="Z69" s="664"/>
    </row>
    <row r="70" spans="1:26" ht="23.25" customHeight="1" x14ac:dyDescent="0.25">
      <c r="A70" s="1570"/>
      <c r="B70" s="1570"/>
      <c r="C70" s="669" t="str" cm="1">
        <f t="array" ref="C70">INDEX('Master sheet'!$A$1:$A$670,MATCH(1,("26-30" = 'Master sheet'!$AO$1:$AO$670)*(4 = 'Master sheet'!$AP$1:$AP$670)*('Master sheet'!$AT$1:$AT$670),0))</f>
        <v xml:space="preserve">Concrete - 30 MPa, 30% FA, GU / SRMCA / Can. Sask Avg. / </v>
      </c>
      <c r="D70" s="15">
        <f t="shared" si="18"/>
        <v>0</v>
      </c>
      <c r="E70" s="16" t="s">
        <v>3</v>
      </c>
      <c r="F70" s="3">
        <v>1</v>
      </c>
      <c r="G70" s="670"/>
      <c r="H70" s="8"/>
      <c r="I70" s="92">
        <f t="shared" si="19"/>
        <v>0</v>
      </c>
      <c r="J70" s="93" t="str">
        <f t="shared" si="20"/>
        <v/>
      </c>
      <c r="K70" s="406">
        <f>$D70*$F70*VLOOKUP($C70,'Master sheet'!$A:$AL,13,FALSE)</f>
        <v>0</v>
      </c>
      <c r="L70" s="94">
        <v>0</v>
      </c>
      <c r="M70" s="1552"/>
      <c r="N70" s="1552"/>
      <c r="O70" s="25" t="str">
        <f ca="1">_xlfn.IFNA(VLOOKUP($C70,'Master sheet'!$A:$AR,44,FALSE),"")&amp;""</f>
        <v/>
      </c>
      <c r="P70" s="672"/>
      <c r="Q70" s="728" t="s">
        <v>52</v>
      </c>
      <c r="R70" s="757" t="s">
        <v>1650</v>
      </c>
      <c r="S70" s="664"/>
      <c r="T70" s="664"/>
      <c r="U70" s="664"/>
      <c r="V70" s="664"/>
      <c r="W70" s="664"/>
      <c r="X70" s="664"/>
      <c r="Y70" s="664"/>
      <c r="Z70" s="664"/>
    </row>
    <row r="71" spans="1:26" ht="23.25" customHeight="1" x14ac:dyDescent="0.25">
      <c r="A71" s="1570"/>
      <c r="B71" s="1570"/>
      <c r="C71" s="669" t="str" cm="1">
        <f t="array" ref="C71">INDEX('Master sheet'!$A$1:$A$670,MATCH(1,("26-30" = 'Master sheet'!$AO$1:$AO$670)*(5 = 'Master sheet'!$AP$1:$AP$670)*('Master sheet'!$AT$1:$AT$670),0))</f>
        <v xml:space="preserve">Concrete - 30 MPa, 40% FA, GU / SRMCA / Can. Sask Avg. / </v>
      </c>
      <c r="D71" s="15">
        <f t="shared" si="18"/>
        <v>0</v>
      </c>
      <c r="E71" s="16" t="s">
        <v>3</v>
      </c>
      <c r="F71" s="3">
        <v>1</v>
      </c>
      <c r="G71" s="670"/>
      <c r="H71" s="8"/>
      <c r="I71" s="92">
        <f t="shared" si="19"/>
        <v>0</v>
      </c>
      <c r="J71" s="93" t="str">
        <f t="shared" si="20"/>
        <v/>
      </c>
      <c r="K71" s="406">
        <f>$D71*$F71*VLOOKUP($C71,'Master sheet'!$A:$AL,13,FALSE)</f>
        <v>0</v>
      </c>
      <c r="L71" s="94">
        <v>0</v>
      </c>
      <c r="M71" s="1552"/>
      <c r="N71" s="1552"/>
      <c r="O71" s="25" t="str">
        <f ca="1">_xlfn.IFNA(VLOOKUP($C71,'Master sheet'!$A:$AR,44,FALSE),"")&amp;""</f>
        <v/>
      </c>
      <c r="P71" s="672"/>
      <c r="Q71" s="728" t="s">
        <v>52</v>
      </c>
      <c r="R71" s="757" t="s">
        <v>1650</v>
      </c>
      <c r="S71" s="664"/>
      <c r="T71" s="664"/>
      <c r="U71" s="664"/>
      <c r="V71" s="664"/>
      <c r="W71" s="664"/>
      <c r="X71" s="664"/>
      <c r="Y71" s="664"/>
      <c r="Z71" s="664"/>
    </row>
    <row r="72" spans="1:26" ht="23.25" hidden="1" customHeight="1" x14ac:dyDescent="0.25">
      <c r="A72" s="1570"/>
      <c r="B72" s="1570"/>
      <c r="C72" s="669" t="e" cm="1">
        <f t="array" ref="C72">INDEX('Master sheet'!$A$1:$A$670,MATCH(1,("26-30" = 'Master sheet'!$AO$1:$AO$670)*(6 = 'Master sheet'!$AP$1:$AP$670)*('Master sheet'!$AT$1:$AT$670),0))</f>
        <v>#N/A</v>
      </c>
      <c r="D72" s="15">
        <f t="shared" si="18"/>
        <v>0</v>
      </c>
      <c r="E72" s="16" t="s">
        <v>3</v>
      </c>
      <c r="F72" s="3">
        <v>1</v>
      </c>
      <c r="G72" s="670"/>
      <c r="H72" s="8"/>
      <c r="I72" s="92" t="e">
        <f t="shared" si="19"/>
        <v>#N/A</v>
      </c>
      <c r="J72" s="93" t="str">
        <f t="shared" ref="J72" si="21">IF(H72=1,I72,"")</f>
        <v/>
      </c>
      <c r="K72" s="406" t="e">
        <f>$D72*$F72*VLOOKUP($C72,'Master sheet'!$A:$AL,13,FALSE)</f>
        <v>#N/A</v>
      </c>
      <c r="L72" s="94">
        <v>0</v>
      </c>
      <c r="M72" s="1552"/>
      <c r="N72" s="1552"/>
      <c r="O72" s="25" t="str">
        <f>_xlfn.IFNA(VLOOKUP($C72,'Master sheet'!$A:$AR,44,FALSE),"")&amp;""</f>
        <v/>
      </c>
      <c r="P72" s="672"/>
      <c r="Q72" s="728" t="s">
        <v>52</v>
      </c>
      <c r="R72" s="757" t="s">
        <v>1650</v>
      </c>
      <c r="S72" s="664"/>
      <c r="T72" s="664"/>
      <c r="U72" s="664"/>
      <c r="V72" s="664"/>
      <c r="W72" s="664"/>
      <c r="X72" s="664"/>
      <c r="Y72" s="664"/>
      <c r="Z72" s="664"/>
    </row>
    <row r="73" spans="1:26" s="624" customFormat="1" ht="23.25" hidden="1" customHeight="1" x14ac:dyDescent="0.25">
      <c r="A73" s="1570"/>
      <c r="B73" s="1570"/>
      <c r="C73" s="673" t="e" cm="1">
        <f t="array" ref="C73">INDEX('Master sheet'!$A$1:$A$670,MATCH(1,("26-30" = 'Master sheet'!$AO$1:$AO$670)*(7 = 'Master sheet'!$AP$1:$AP$670)*('Master sheet'!$AT$1:$AT$670),0))</f>
        <v>#N/A</v>
      </c>
      <c r="D73" s="17">
        <f t="shared" si="18"/>
        <v>0</v>
      </c>
      <c r="E73" s="309" t="s">
        <v>3</v>
      </c>
      <c r="F73" s="4">
        <v>1</v>
      </c>
      <c r="G73" s="674"/>
      <c r="H73" s="9"/>
      <c r="I73" s="95" t="e">
        <f t="shared" si="19"/>
        <v>#N/A</v>
      </c>
      <c r="J73" s="96" t="str">
        <f t="shared" si="20"/>
        <v/>
      </c>
      <c r="K73" s="407" t="e">
        <f>$D73*$F73*VLOOKUP($C73,'Master sheet'!$A:$AL,13,FALSE)</f>
        <v>#N/A</v>
      </c>
      <c r="L73" s="97">
        <v>0</v>
      </c>
      <c r="M73" s="1552"/>
      <c r="N73" s="1552"/>
      <c r="O73" s="25" t="str">
        <f>_xlfn.IFNA(VLOOKUP($C73,'Master sheet'!$A:$AR,44,FALSE),"")&amp;""</f>
        <v/>
      </c>
      <c r="P73" s="637"/>
      <c r="Q73" s="728" t="s">
        <v>52</v>
      </c>
      <c r="R73" s="757" t="s">
        <v>1650</v>
      </c>
      <c r="S73" s="638"/>
      <c r="T73" s="638"/>
      <c r="U73" s="638"/>
      <c r="V73" s="638"/>
      <c r="W73" s="638"/>
      <c r="X73" s="638"/>
      <c r="Y73" s="638"/>
      <c r="Z73" s="664"/>
    </row>
    <row r="74" spans="1:26" s="624" customFormat="1" ht="54.75" customHeight="1" x14ac:dyDescent="0.25">
      <c r="A74" s="1522" t="s">
        <v>55</v>
      </c>
      <c r="B74" s="1523"/>
      <c r="C74" s="1523"/>
      <c r="D74" s="649"/>
      <c r="E74" s="650"/>
      <c r="F74" s="321"/>
      <c r="G74" s="650"/>
      <c r="H74" s="650"/>
      <c r="I74" s="651"/>
      <c r="J74" s="103" t="str">
        <f t="shared" si="8"/>
        <v/>
      </c>
      <c r="K74" s="652"/>
      <c r="L74" s="759"/>
      <c r="M74" s="759"/>
      <c r="N74" s="759"/>
      <c r="O74" s="25" t="str">
        <f>_xlfn.IFNA(VLOOKUP($C74,'Master sheet'!$A:$AR,44,FALSE),"")&amp;""</f>
        <v/>
      </c>
      <c r="P74" s="637"/>
      <c r="Q74" s="728"/>
      <c r="R74" s="728"/>
      <c r="T74" s="638"/>
      <c r="U74" s="638"/>
      <c r="V74" s="638"/>
      <c r="W74" s="638"/>
      <c r="X74" s="638"/>
      <c r="Y74" s="638"/>
      <c r="Z74" s="638"/>
    </row>
    <row r="75" spans="1:26" s="624" customFormat="1" ht="23.25" customHeight="1" x14ac:dyDescent="0.25">
      <c r="A75" s="639"/>
      <c r="B75" s="1524" t="s">
        <v>978</v>
      </c>
      <c r="C75" s="1523"/>
      <c r="D75" s="773"/>
      <c r="E75" s="778"/>
      <c r="F75" s="340"/>
      <c r="G75" s="739"/>
      <c r="H75" s="740"/>
      <c r="I75" s="779"/>
      <c r="J75" s="742"/>
      <c r="K75" s="741"/>
      <c r="L75" s="743"/>
      <c r="M75" s="743"/>
      <c r="N75" s="743"/>
      <c r="O75" s="25" t="str">
        <f>_xlfn.IFNA(VLOOKUP($C75,'Master sheet'!$A:$AR,44,FALSE),"")&amp;""</f>
        <v/>
      </c>
      <c r="P75" s="637"/>
      <c r="Q75" s="728"/>
      <c r="R75" s="728"/>
      <c r="T75" s="638"/>
      <c r="U75" s="638"/>
      <c r="V75" s="638"/>
      <c r="W75" s="638"/>
      <c r="X75" s="638"/>
      <c r="Y75" s="638"/>
      <c r="Z75" s="638"/>
    </row>
    <row r="76" spans="1:26" s="624" customFormat="1" ht="22.8" x14ac:dyDescent="0.25">
      <c r="A76" s="1598"/>
      <c r="B76" s="1599"/>
      <c r="C76" s="647" t="str">
        <f>INDEX('Master sheet'!$A$1:$A$670,MATCH("154-1",'Master sheet'!$AN$1:$AN$670,0))</f>
        <v>OSB sheathing / Canadian Wood Council -Eastern /  / 1/2"</v>
      </c>
      <c r="D76" s="13">
        <f>'USER INPUT SHEET'!$D$32</f>
        <v>0</v>
      </c>
      <c r="E76" s="14" t="str">
        <f>'USER INPUT SHEET'!$F$32</f>
        <v>m2</v>
      </c>
      <c r="F76" s="2">
        <v>1</v>
      </c>
      <c r="G76" s="648"/>
      <c r="H76" s="7"/>
      <c r="I76" s="88">
        <f>K76-L76-IF(N76,M76,0)</f>
        <v>0</v>
      </c>
      <c r="J76" s="89" t="str">
        <f t="shared" si="8"/>
        <v/>
      </c>
      <c r="K76" s="404">
        <f>$D76*$F76*VLOOKUP($C76,'Master sheet'!$A:$AL,13,FALSE)</f>
        <v>0</v>
      </c>
      <c r="L76" s="90">
        <f>$D76*$F76*VLOOKUP($C76,'Master sheet'!$A:$AL,27,FALSE)</f>
        <v>0</v>
      </c>
      <c r="M76" s="1552"/>
      <c r="N76" s="1552"/>
      <c r="O76" s="25" t="str">
        <f>_xlfn.IFNA(VLOOKUP($C76,'Master sheet'!$A:$AR,44,FALSE),"")&amp;""</f>
        <v/>
      </c>
      <c r="P76" s="637"/>
      <c r="Q76" s="780" t="s">
        <v>52</v>
      </c>
      <c r="R76" s="728" t="s">
        <v>55</v>
      </c>
      <c r="T76" s="638"/>
      <c r="U76" s="638"/>
      <c r="V76" s="638"/>
      <c r="W76" s="638"/>
      <c r="X76" s="638"/>
      <c r="Y76" s="638"/>
      <c r="Z76" s="664"/>
    </row>
    <row r="77" spans="1:26" s="624" customFormat="1" ht="22.8" x14ac:dyDescent="0.25">
      <c r="A77" s="1598"/>
      <c r="B77" s="1599"/>
      <c r="C77" s="647" t="str">
        <f>INDEX('Master sheet'!$A$1:$A$670,MATCH("154-2",'Master sheet'!$AN$1:$AN$670,0))</f>
        <v>OSB sheathing / Canadian Wood Council -Western /  / 1/2"</v>
      </c>
      <c r="D77" s="13">
        <f>'USER INPUT SHEET'!$D$32</f>
        <v>0</v>
      </c>
      <c r="E77" s="14" t="str">
        <f>'USER INPUT SHEET'!$F$32</f>
        <v>m2</v>
      </c>
      <c r="F77" s="2">
        <v>1</v>
      </c>
      <c r="G77" s="648"/>
      <c r="H77" s="7"/>
      <c r="I77" s="88">
        <f>K77-L77-IF(N77,M77,0)</f>
        <v>0</v>
      </c>
      <c r="J77" s="89" t="str">
        <f t="shared" ref="J77" si="22">IF(H77=1,I77,"")</f>
        <v/>
      </c>
      <c r="K77" s="404">
        <f>$D77*$F77*VLOOKUP($C77,'Master sheet'!$A:$AL,13,FALSE)</f>
        <v>0</v>
      </c>
      <c r="L77" s="90">
        <f>$D77*$F77*VLOOKUP($C77,'Master sheet'!$A:$AL,27,FALSE)</f>
        <v>0</v>
      </c>
      <c r="M77" s="1552"/>
      <c r="N77" s="1552"/>
      <c r="O77" s="25" t="str">
        <f>_xlfn.IFNA(VLOOKUP($C77,'Master sheet'!$A:$AR,44,FALSE),"")&amp;""</f>
        <v/>
      </c>
      <c r="P77" s="637"/>
      <c r="Q77" s="780" t="s">
        <v>52</v>
      </c>
      <c r="R77" s="728" t="s">
        <v>55</v>
      </c>
      <c r="T77" s="638"/>
      <c r="U77" s="638"/>
      <c r="V77" s="638"/>
      <c r="W77" s="638"/>
      <c r="X77" s="638"/>
      <c r="Y77" s="638"/>
      <c r="Z77" s="664"/>
    </row>
    <row r="78" spans="1:26" ht="22.8" x14ac:dyDescent="0.25">
      <c r="A78" s="1598"/>
      <c r="B78" s="1599"/>
      <c r="C78" s="669" t="str">
        <f>INDEX('Master sheet'!$A$1:$A$670,MATCH("155-1",'Master sheet'!$AN$1:$AN$670,0))</f>
        <v>OSB sheathing / Canadian Wood Council -Eastern /  / 5/8"</v>
      </c>
      <c r="D78" s="15">
        <f>'USER INPUT SHEET'!$D$32</f>
        <v>0</v>
      </c>
      <c r="E78" s="16" t="str">
        <f>'USER INPUT SHEET'!$F$32</f>
        <v>m2</v>
      </c>
      <c r="F78" s="3">
        <v>1</v>
      </c>
      <c r="G78" s="670"/>
      <c r="H78" s="8"/>
      <c r="I78" s="92">
        <f t="shared" ref="I78:I83" si="23">K78-L78-IF(N78,M78,0)</f>
        <v>0</v>
      </c>
      <c r="J78" s="93" t="str">
        <f t="shared" ref="J78:J83" si="24">IF(H78=1,I78,"")</f>
        <v/>
      </c>
      <c r="K78" s="406">
        <f>$D78*$F78*VLOOKUP($C78,'Master sheet'!$A:$AL,13,FALSE)</f>
        <v>0</v>
      </c>
      <c r="L78" s="94">
        <f>$D78*$F78*VLOOKUP($C78,'Master sheet'!$A:$AL,27,FALSE)</f>
        <v>0</v>
      </c>
      <c r="M78" s="1552"/>
      <c r="N78" s="1552"/>
      <c r="O78" s="25" t="str">
        <f>_xlfn.IFNA(VLOOKUP($C78,'Master sheet'!$A:$AR,44,FALSE),"")&amp;""</f>
        <v/>
      </c>
      <c r="P78" s="685"/>
      <c r="Q78" s="757" t="s">
        <v>52</v>
      </c>
      <c r="R78" s="757" t="s">
        <v>55</v>
      </c>
      <c r="T78" s="664"/>
      <c r="U78" s="664"/>
      <c r="V78" s="664"/>
      <c r="W78" s="664"/>
      <c r="X78" s="664"/>
      <c r="Y78" s="664"/>
      <c r="Z78" s="638"/>
    </row>
    <row r="79" spans="1:26" ht="22.8" x14ac:dyDescent="0.25">
      <c r="A79" s="1598"/>
      <c r="B79" s="1599"/>
      <c r="C79" s="669" t="str">
        <f>INDEX('Master sheet'!$A$1:$A$670,MATCH("155-2",'Master sheet'!$AN$1:$AN$670,0))</f>
        <v>OSB sheathing / Canadian Wood Council -Western /  / 5/8"</v>
      </c>
      <c r="D79" s="15">
        <f>'USER INPUT SHEET'!$D$32</f>
        <v>0</v>
      </c>
      <c r="E79" s="16" t="str">
        <f>'USER INPUT SHEET'!$F$32</f>
        <v>m2</v>
      </c>
      <c r="F79" s="3">
        <v>1</v>
      </c>
      <c r="G79" s="670"/>
      <c r="H79" s="8"/>
      <c r="I79" s="92">
        <f t="shared" ref="I79" si="25">K79-L79-IF(N79,M79,0)</f>
        <v>0</v>
      </c>
      <c r="J79" s="93" t="str">
        <f t="shared" si="24"/>
        <v/>
      </c>
      <c r="K79" s="406">
        <f>$D79*$F79*VLOOKUP($C79,'Master sheet'!$A:$AL,13,FALSE)</f>
        <v>0</v>
      </c>
      <c r="L79" s="94">
        <f>$D79*$F79*VLOOKUP($C79,'Master sheet'!$A:$AL,27,FALSE)</f>
        <v>0</v>
      </c>
      <c r="M79" s="1552"/>
      <c r="N79" s="1552"/>
      <c r="O79" s="25" t="str">
        <f>_xlfn.IFNA(VLOOKUP($C79,'Master sheet'!$A:$AR,44,FALSE),"")&amp;""</f>
        <v/>
      </c>
      <c r="P79" s="685"/>
      <c r="Q79" s="757" t="s">
        <v>52</v>
      </c>
      <c r="R79" s="757" t="s">
        <v>55</v>
      </c>
      <c r="T79" s="664"/>
      <c r="U79" s="664"/>
      <c r="V79" s="664"/>
      <c r="W79" s="664"/>
      <c r="X79" s="664"/>
      <c r="Y79" s="664"/>
      <c r="Z79" s="664"/>
    </row>
    <row r="80" spans="1:26" ht="31.5" customHeight="1" x14ac:dyDescent="0.25">
      <c r="A80" s="1598"/>
      <c r="B80" s="1599"/>
      <c r="C80" s="669" t="str">
        <f>INDEX('Master sheet'!$A$1:$A$670,MATCH(157,'Master sheet'!$AN$1:$AN$670,0))</f>
        <v xml:space="preserve">OSB sheathing &amp; barrier / Huber  / ZIP System - Wall and Roof Sheathing / 7/16" </v>
      </c>
      <c r="D80" s="15">
        <f>'USER INPUT SHEET'!$D$32</f>
        <v>0</v>
      </c>
      <c r="E80" s="16" t="str">
        <f>'USER INPUT SHEET'!$F$32</f>
        <v>m2</v>
      </c>
      <c r="F80" s="3">
        <v>1</v>
      </c>
      <c r="G80" s="670"/>
      <c r="H80" s="8"/>
      <c r="I80" s="92">
        <f t="shared" si="23"/>
        <v>0</v>
      </c>
      <c r="J80" s="93" t="str">
        <f t="shared" si="24"/>
        <v/>
      </c>
      <c r="K80" s="406">
        <f>$D80*$F80*VLOOKUP($C80,'Master sheet'!$A:$AL,13,FALSE)</f>
        <v>0</v>
      </c>
      <c r="L80" s="94">
        <f>$D80*$F80*VLOOKUP($C80,'Master sheet'!$A:$AL,27,FALSE)</f>
        <v>0</v>
      </c>
      <c r="M80" s="1552"/>
      <c r="N80" s="1552"/>
      <c r="O80" s="25" t="str">
        <f ca="1">_xlfn.IFNA(VLOOKUP($C80,'Master sheet'!$A:$AR,44,FALSE),"")&amp;""</f>
        <v>Expired 2025</v>
      </c>
      <c r="P80" s="685"/>
      <c r="Q80" s="757" t="s">
        <v>52</v>
      </c>
      <c r="R80" s="757" t="s">
        <v>55</v>
      </c>
      <c r="T80" s="664"/>
      <c r="U80" s="664"/>
      <c r="V80" s="664"/>
      <c r="W80" s="664"/>
      <c r="X80" s="664"/>
      <c r="Y80" s="664"/>
      <c r="Z80" s="664"/>
    </row>
    <row r="81" spans="1:26" ht="22.8" x14ac:dyDescent="0.25">
      <c r="A81" s="1598"/>
      <c r="B81" s="1599"/>
      <c r="C81" s="673" t="str">
        <f>INDEX('Master sheet'!$A$1:$A$670,MATCH(156,'Master sheet'!$AN$1:$AN$670,0))</f>
        <v>OSB sheathing / Huber  / AdvanTech / 1/2" Sheathing</v>
      </c>
      <c r="D81" s="17">
        <f>'USER INPUT SHEET'!$D$32</f>
        <v>0</v>
      </c>
      <c r="E81" s="18" t="str">
        <f>'USER INPUT SHEET'!$F$32</f>
        <v>m2</v>
      </c>
      <c r="F81" s="4">
        <v>1</v>
      </c>
      <c r="G81" s="674"/>
      <c r="H81" s="9"/>
      <c r="I81" s="95">
        <f t="shared" ref="I81:I82" si="26">K81-L81-IF(N81,M81,0)</f>
        <v>0</v>
      </c>
      <c r="J81" s="96" t="str">
        <f t="shared" si="24"/>
        <v/>
      </c>
      <c r="K81" s="407">
        <f>$D81*$F81*VLOOKUP($C81,'Master sheet'!$A:$AL,13,FALSE)</f>
        <v>0</v>
      </c>
      <c r="L81" s="97">
        <f>$D81*$F81*VLOOKUP($C81,'Master sheet'!$A:$AL,27,FALSE)</f>
        <v>0</v>
      </c>
      <c r="M81" s="1552"/>
      <c r="N81" s="1552"/>
      <c r="O81" s="25" t="str">
        <f ca="1">_xlfn.IFNA(VLOOKUP($C81,'Master sheet'!$A:$AR,44,FALSE),"")&amp;""</f>
        <v>Expired 2025</v>
      </c>
      <c r="P81" s="685"/>
      <c r="Q81" s="728" t="s">
        <v>52</v>
      </c>
      <c r="R81" s="728" t="s">
        <v>55</v>
      </c>
      <c r="S81" s="624"/>
      <c r="T81" s="638"/>
      <c r="U81" s="638"/>
      <c r="V81" s="638"/>
      <c r="W81" s="638"/>
      <c r="X81" s="664"/>
      <c r="Y81" s="664"/>
      <c r="Z81" s="664"/>
    </row>
    <row r="82" spans="1:26" ht="31.5" customHeight="1" x14ac:dyDescent="0.25">
      <c r="A82" s="1598"/>
      <c r="B82" s="1599"/>
      <c r="C82" s="673" t="str">
        <f>INDEX('Master sheet'!$A$1:$A$670,MATCH("A78",'Master sheet'!$AN$1:$AN$670,0))</f>
        <v>OSB sheathing / LP / FlameBlock® Fire-Rated / 7/16", coated 1 side</v>
      </c>
      <c r="D82" s="17">
        <f>'USER INPUT SHEET'!$D$32</f>
        <v>0</v>
      </c>
      <c r="E82" s="18" t="str">
        <f>'USER INPUT SHEET'!$F$32</f>
        <v>m2</v>
      </c>
      <c r="F82" s="4">
        <v>1</v>
      </c>
      <c r="G82" s="674"/>
      <c r="H82" s="9"/>
      <c r="I82" s="95">
        <f t="shared" si="26"/>
        <v>0</v>
      </c>
      <c r="J82" s="96" t="str">
        <f t="shared" si="24"/>
        <v/>
      </c>
      <c r="K82" s="407">
        <f>$D82*$F82*VLOOKUP($C82,'Master sheet'!$A:$AL,13,FALSE)</f>
        <v>0</v>
      </c>
      <c r="L82" s="97">
        <f>$D82*$F82*VLOOKUP($C82,'Master sheet'!$A:$AL,27,FALSE)</f>
        <v>0</v>
      </c>
      <c r="M82" s="1552"/>
      <c r="N82" s="1552"/>
      <c r="O82" s="25" t="str">
        <f>_xlfn.IFNA(VLOOKUP($C82,'Master sheet'!$A:$AR,44,FALSE),"")&amp;""</f>
        <v/>
      </c>
      <c r="P82" s="685"/>
      <c r="Q82" s="728" t="s">
        <v>52</v>
      </c>
      <c r="R82" s="728" t="s">
        <v>55</v>
      </c>
      <c r="S82" s="624"/>
      <c r="T82" s="638"/>
      <c r="U82" s="638"/>
      <c r="V82" s="638"/>
      <c r="W82" s="638"/>
      <c r="X82" s="664"/>
      <c r="Y82" s="664"/>
      <c r="Z82" s="664"/>
    </row>
    <row r="83" spans="1:26" s="624" customFormat="1" ht="23.25" customHeight="1" x14ac:dyDescent="0.25">
      <c r="A83" s="1598"/>
      <c r="B83" s="1599"/>
      <c r="C83" s="673" t="str">
        <f>INDEX('Master sheet'!$A$1:$A$670,MATCH("A79",'Master sheet'!$AN$1:$AN$670,0))</f>
        <v>OSB sheathing / LP / LP® TopNotch® 350 / 7/16"</v>
      </c>
      <c r="D83" s="17">
        <f>'USER INPUT SHEET'!$D$32</f>
        <v>0</v>
      </c>
      <c r="E83" s="18" t="str">
        <f>'USER INPUT SHEET'!$F$32</f>
        <v>m2</v>
      </c>
      <c r="F83" s="4">
        <v>1</v>
      </c>
      <c r="G83" s="674"/>
      <c r="H83" s="9"/>
      <c r="I83" s="95">
        <f t="shared" si="23"/>
        <v>0</v>
      </c>
      <c r="J83" s="96" t="str">
        <f t="shared" si="24"/>
        <v/>
      </c>
      <c r="K83" s="407">
        <f>$D83*$F83*VLOOKUP($C83,'Master sheet'!$A:$AL,13,FALSE)</f>
        <v>0</v>
      </c>
      <c r="L83" s="97">
        <f>$D83*$F83*VLOOKUP($C83,'Master sheet'!$A:$AL,27,FALSE)</f>
        <v>0</v>
      </c>
      <c r="M83" s="1610"/>
      <c r="N83" s="1610"/>
      <c r="O83" s="25" t="str">
        <f>_xlfn.IFNA(VLOOKUP($C83,'Master sheet'!$A:$AR,44,FALSE),"")&amp;""</f>
        <v/>
      </c>
      <c r="P83" s="685"/>
      <c r="Q83" s="728" t="s">
        <v>52</v>
      </c>
      <c r="R83" s="728" t="s">
        <v>55</v>
      </c>
      <c r="T83" s="638"/>
      <c r="U83" s="638"/>
      <c r="V83" s="638"/>
      <c r="W83" s="638"/>
      <c r="X83" s="638"/>
      <c r="Y83" s="638"/>
      <c r="Z83" s="664"/>
    </row>
    <row r="84" spans="1:26" s="624" customFormat="1" ht="23.25" customHeight="1" x14ac:dyDescent="0.25">
      <c r="A84" s="639"/>
      <c r="B84" s="1524" t="s">
        <v>4778</v>
      </c>
      <c r="C84" s="1523"/>
      <c r="D84" s="773"/>
      <c r="E84" s="778"/>
      <c r="F84" s="340"/>
      <c r="G84" s="739"/>
      <c r="H84" s="740"/>
      <c r="I84" s="779"/>
      <c r="J84" s="742"/>
      <c r="K84" s="741"/>
      <c r="L84" s="743"/>
      <c r="M84" s="743"/>
      <c r="N84" s="743"/>
      <c r="O84" s="25" t="str">
        <f>_xlfn.IFNA(VLOOKUP($C84,'Master sheet'!$A:$AR,44,FALSE),"")&amp;""</f>
        <v/>
      </c>
      <c r="P84" s="637"/>
      <c r="Q84" s="728"/>
      <c r="R84" s="728"/>
      <c r="T84" s="638"/>
      <c r="U84" s="638"/>
      <c r="V84" s="638"/>
      <c r="W84" s="638"/>
      <c r="X84" s="638"/>
      <c r="Y84" s="638"/>
      <c r="Z84" s="664"/>
    </row>
    <row r="85" spans="1:26" s="624" customFormat="1" ht="31.2" x14ac:dyDescent="0.25">
      <c r="A85" s="1598"/>
      <c r="B85" s="1598"/>
      <c r="C85" s="647" t="str">
        <f>INDEX('Master sheet'!$A$1:$A$670,MATCH("A81",'Master sheet'!$AN$1:$AN$670,0))</f>
        <v>OSB sheathing &amp; barrier / Huber  / ZIP System - Wall and Roof Sheathing / 1/2"</v>
      </c>
      <c r="D85" s="13">
        <f>'USER INPUT SHEET'!$D$32</f>
        <v>0</v>
      </c>
      <c r="E85" s="14" t="str">
        <f>'USER INPUT SHEET'!$F$32</f>
        <v>m2</v>
      </c>
      <c r="F85" s="2">
        <v>1</v>
      </c>
      <c r="G85" s="648"/>
      <c r="H85" s="7"/>
      <c r="I85" s="88">
        <f>K85-L85-IF(N85,M85,0)</f>
        <v>0</v>
      </c>
      <c r="J85" s="89" t="str">
        <f t="shared" ref="J85" si="27">IF(H85=1,I85,"")</f>
        <v/>
      </c>
      <c r="K85" s="404">
        <f>$D85*$F85*VLOOKUP($C85,'Master sheet'!$A:$AL,13,FALSE)</f>
        <v>0</v>
      </c>
      <c r="L85" s="90">
        <f>$D85*$F85*VLOOKUP($C85,'Master sheet'!$A:$AL,27,FALSE)</f>
        <v>0</v>
      </c>
      <c r="M85" s="1552"/>
      <c r="N85" s="1552"/>
      <c r="O85" s="25" t="str">
        <f>_xlfn.IFNA(VLOOKUP($C85,'Master sheet'!$A:$AR,44,FALSE),"")&amp;""</f>
        <v/>
      </c>
      <c r="P85" s="637"/>
      <c r="Q85" s="780" t="s">
        <v>52</v>
      </c>
      <c r="R85" s="728" t="s">
        <v>55</v>
      </c>
      <c r="T85" s="638"/>
      <c r="U85" s="638"/>
      <c r="V85" s="638"/>
      <c r="W85" s="638"/>
      <c r="X85" s="638"/>
      <c r="Y85" s="638"/>
      <c r="Z85" s="664"/>
    </row>
    <row r="86" spans="1:26" s="624" customFormat="1" ht="31.2" x14ac:dyDescent="0.25">
      <c r="A86" s="1598"/>
      <c r="B86" s="1598"/>
      <c r="C86" s="669" t="str">
        <f>INDEX('Master sheet'!$A$1:$A$670,MATCH("A80",'Master sheet'!$AN$1:$AN$670,0))</f>
        <v>OSB sheathing &amp; barrier / Huber  / ZIP System - Wall and Roof Sheathing / 5/8"</v>
      </c>
      <c r="D86" s="15">
        <f>'USER INPUT SHEET'!$D$32</f>
        <v>0</v>
      </c>
      <c r="E86" s="16" t="str">
        <f>'USER INPUT SHEET'!$F$32</f>
        <v>m2</v>
      </c>
      <c r="F86" s="3">
        <v>1</v>
      </c>
      <c r="G86" s="670"/>
      <c r="H86" s="8"/>
      <c r="I86" s="92">
        <f t="shared" ref="I86:I88" si="28">K86-L86-IF(N86,M86,0)</f>
        <v>0</v>
      </c>
      <c r="J86" s="93" t="str">
        <f>IF(H86=1,I86,"")</f>
        <v/>
      </c>
      <c r="K86" s="406">
        <f>$D86*$F86*VLOOKUP($C86,'Master sheet'!$A:$AL,13,FALSE)</f>
        <v>0</v>
      </c>
      <c r="L86" s="94">
        <f>$D86*$F86*VLOOKUP($C86,'Master sheet'!$A:$AL,27,FALSE)</f>
        <v>0</v>
      </c>
      <c r="M86" s="1552"/>
      <c r="N86" s="1552"/>
      <c r="O86" s="25" t="str">
        <f>_xlfn.IFNA(VLOOKUP($C86,'Master sheet'!$A:$AR,44,FALSE),"")&amp;""</f>
        <v/>
      </c>
      <c r="P86" s="685"/>
      <c r="Q86" s="757" t="s">
        <v>52</v>
      </c>
      <c r="R86" s="757" t="s">
        <v>55</v>
      </c>
      <c r="S86" s="619"/>
      <c r="T86" s="664"/>
      <c r="U86" s="664"/>
      <c r="V86" s="664"/>
      <c r="W86" s="638"/>
      <c r="X86" s="638"/>
      <c r="Y86" s="638"/>
      <c r="Z86" s="664"/>
    </row>
    <row r="87" spans="1:26" s="624" customFormat="1" ht="31.2" x14ac:dyDescent="0.25">
      <c r="A87" s="1598"/>
      <c r="B87" s="1598"/>
      <c r="C87" s="669" t="str">
        <f>INDEX('Master sheet'!$A$1:$A$670,MATCH("A82",'Master sheet'!$AN$1:$AN$670,0))</f>
        <v>OSB sheathing &amp; barrier / LP / WeatherLogic® Air &amp; Water Barrier / 1/2"</v>
      </c>
      <c r="D87" s="15">
        <f>'USER INPUT SHEET'!$D$32</f>
        <v>0</v>
      </c>
      <c r="E87" s="16" t="str">
        <f>'USER INPUT SHEET'!$F$32</f>
        <v>m2</v>
      </c>
      <c r="F87" s="3">
        <v>1</v>
      </c>
      <c r="G87" s="670"/>
      <c r="H87" s="8"/>
      <c r="I87" s="92">
        <f t="shared" si="28"/>
        <v>0</v>
      </c>
      <c r="J87" s="93" t="str">
        <f>IF(H87=1,I87,"")</f>
        <v/>
      </c>
      <c r="K87" s="406">
        <f>$D87*$F87*VLOOKUP($C87,'Master sheet'!$A:$AL,13,FALSE)</f>
        <v>0</v>
      </c>
      <c r="L87" s="94">
        <f>$D87*$F87*VLOOKUP($C87,'Master sheet'!$A:$AL,27,FALSE)</f>
        <v>0</v>
      </c>
      <c r="M87" s="1552"/>
      <c r="N87" s="1552"/>
      <c r="O87" s="25" t="str">
        <f>_xlfn.IFNA(VLOOKUP($C87,'Master sheet'!$A:$AR,44,FALSE),"")&amp;""</f>
        <v/>
      </c>
      <c r="P87" s="685"/>
      <c r="Q87" s="757" t="s">
        <v>52</v>
      </c>
      <c r="R87" s="757" t="s">
        <v>55</v>
      </c>
      <c r="S87" s="619"/>
      <c r="T87" s="664"/>
      <c r="U87" s="664"/>
      <c r="V87" s="664"/>
      <c r="W87" s="638"/>
      <c r="X87" s="638"/>
      <c r="Y87" s="638"/>
      <c r="Z87" s="664"/>
    </row>
    <row r="88" spans="1:26" s="624" customFormat="1" ht="31.2" x14ac:dyDescent="0.25">
      <c r="A88" s="1598"/>
      <c r="B88" s="1598"/>
      <c r="C88" s="673" t="str">
        <f>INDEX('Master sheet'!$A$1:$A$670,MATCH("A83",'Master sheet'!$AN$1:$AN$670,0))</f>
        <v>OSB sheathing &amp; barrier / LP / WeatherLogic® Air &amp; Water Barrier / 7/16"</v>
      </c>
      <c r="D88" s="17">
        <f>'USER INPUT SHEET'!$D$32</f>
        <v>0</v>
      </c>
      <c r="E88" s="18" t="str">
        <f>'USER INPUT SHEET'!$F$32</f>
        <v>m2</v>
      </c>
      <c r="F88" s="4">
        <v>1</v>
      </c>
      <c r="G88" s="674"/>
      <c r="H88" s="9"/>
      <c r="I88" s="95">
        <f t="shared" si="28"/>
        <v>0</v>
      </c>
      <c r="J88" s="96" t="str">
        <f>IF(H88=1,I88,"")</f>
        <v/>
      </c>
      <c r="K88" s="407">
        <f>$D88*$F88*VLOOKUP($C88,'Master sheet'!$A:$AL,13,FALSE)</f>
        <v>0</v>
      </c>
      <c r="L88" s="97">
        <f>$D88*$F88*VLOOKUP($C88,'Master sheet'!$A:$AL,27,FALSE)</f>
        <v>0</v>
      </c>
      <c r="M88" s="1610"/>
      <c r="N88" s="1610"/>
      <c r="O88" s="25" t="str">
        <f>_xlfn.IFNA(VLOOKUP($C88,'Master sheet'!$A:$AR,44,FALSE),"")&amp;""</f>
        <v/>
      </c>
      <c r="P88" s="685"/>
      <c r="Q88" s="728" t="s">
        <v>52</v>
      </c>
      <c r="R88" s="728" t="s">
        <v>55</v>
      </c>
      <c r="T88" s="638"/>
      <c r="U88" s="638"/>
      <c r="V88" s="638"/>
      <c r="W88" s="638"/>
      <c r="X88" s="638"/>
      <c r="Y88" s="638"/>
      <c r="Z88" s="664"/>
    </row>
    <row r="89" spans="1:26" s="624" customFormat="1" ht="23.25" customHeight="1" x14ac:dyDescent="0.25">
      <c r="A89" s="639"/>
      <c r="B89" s="1524" t="s">
        <v>979</v>
      </c>
      <c r="C89" s="1523"/>
      <c r="D89" s="773"/>
      <c r="E89" s="778"/>
      <c r="F89" s="340"/>
      <c r="G89" s="739"/>
      <c r="H89" s="740"/>
      <c r="I89" s="779"/>
      <c r="J89" s="742"/>
      <c r="K89" s="741"/>
      <c r="L89" s="743"/>
      <c r="M89" s="743"/>
      <c r="N89" s="743"/>
      <c r="O89" s="25" t="str">
        <f>_xlfn.IFNA(VLOOKUP($C89,'Master sheet'!$A:$AR,44,FALSE),"")&amp;""</f>
        <v/>
      </c>
      <c r="P89" s="685"/>
      <c r="Q89" s="728"/>
      <c r="R89" s="728"/>
      <c r="T89" s="638"/>
      <c r="U89" s="638"/>
      <c r="V89" s="638"/>
      <c r="W89" s="638"/>
      <c r="X89" s="638"/>
      <c r="Y89" s="638"/>
      <c r="Z89" s="638"/>
    </row>
    <row r="90" spans="1:26" ht="22.8" x14ac:dyDescent="0.25">
      <c r="A90" s="1597"/>
      <c r="B90" s="1597"/>
      <c r="C90" s="669" t="str">
        <f>INDEX('Master sheet'!$A$1:$A$670,MATCH("159-1",'Master sheet'!$AN$1:$AN$670,0))</f>
        <v>Plywood / Canadian Wood Council /  / 1/2"</v>
      </c>
      <c r="D90" s="15">
        <f>'USER INPUT SHEET'!$D$32</f>
        <v>0</v>
      </c>
      <c r="E90" s="16" t="str">
        <f>'USER INPUT SHEET'!$F$32</f>
        <v>m2</v>
      </c>
      <c r="F90" s="3">
        <v>1</v>
      </c>
      <c r="G90" s="670"/>
      <c r="H90" s="8"/>
      <c r="I90" s="95">
        <f>K90-L90-IF(N90,M90,0)</f>
        <v>0</v>
      </c>
      <c r="J90" s="93" t="str">
        <f t="shared" ref="J90:J164" si="29">IF(H90=1,I90,"")</f>
        <v/>
      </c>
      <c r="K90" s="406">
        <f>$D90*$F90*VLOOKUP($C90,'Master sheet'!$A:$AL,13,FALSE)</f>
        <v>0</v>
      </c>
      <c r="L90" s="94">
        <f>$D90*$F90*VLOOKUP($C90,'Master sheet'!$A:$AL,27,FALSE)</f>
        <v>0</v>
      </c>
      <c r="M90" s="1562"/>
      <c r="N90" s="1562"/>
      <c r="O90" s="25" t="str">
        <f>_xlfn.IFNA(VLOOKUP($C90,'Master sheet'!$A:$AR,44,FALSE),"")&amp;""</f>
        <v/>
      </c>
      <c r="P90" s="637"/>
      <c r="Q90" s="757" t="s">
        <v>52</v>
      </c>
      <c r="R90" s="757" t="s">
        <v>55</v>
      </c>
      <c r="T90" s="664"/>
      <c r="U90" s="664"/>
      <c r="V90" s="664"/>
      <c r="W90" s="664"/>
      <c r="X90" s="664"/>
      <c r="Y90" s="664"/>
      <c r="Z90" s="664"/>
    </row>
    <row r="91" spans="1:26" ht="22.8" x14ac:dyDescent="0.25">
      <c r="A91" s="1597"/>
      <c r="B91" s="1597"/>
      <c r="C91" s="669" t="str">
        <f>INDEX('Master sheet'!$A$1:$A$670,MATCH(160,'Master sheet'!$AN$1:$AN$670,0))</f>
        <v>Plywood / Canadian Wood Council /  / 5/8"</v>
      </c>
      <c r="D91" s="15">
        <f>'USER INPUT SHEET'!$D$32</f>
        <v>0</v>
      </c>
      <c r="E91" s="16" t="str">
        <f>'USER INPUT SHEET'!$F$32</f>
        <v>m2</v>
      </c>
      <c r="F91" s="3">
        <v>1</v>
      </c>
      <c r="G91" s="670"/>
      <c r="H91" s="8"/>
      <c r="I91" s="95">
        <f>K91-L91-IF(N91,M91,0)</f>
        <v>0</v>
      </c>
      <c r="J91" s="93" t="str">
        <f>IF(H91=1,I91,"")</f>
        <v/>
      </c>
      <c r="K91" s="406">
        <f>$D91*$F91*VLOOKUP($C91,'Master sheet'!$A:$AL,13,FALSE)</f>
        <v>0</v>
      </c>
      <c r="L91" s="94">
        <f>$D91*$F91*VLOOKUP($C91,'Master sheet'!$A:$AL,27,FALSE)</f>
        <v>0</v>
      </c>
      <c r="M91" s="1552"/>
      <c r="N91" s="1552"/>
      <c r="O91" s="25" t="str">
        <f>_xlfn.IFNA(VLOOKUP($C91,'Master sheet'!$A:$AR,44,FALSE),"")&amp;""</f>
        <v/>
      </c>
      <c r="P91" s="637"/>
      <c r="Q91" s="757" t="s">
        <v>52</v>
      </c>
      <c r="R91" s="757" t="s">
        <v>55</v>
      </c>
      <c r="T91" s="664"/>
      <c r="U91" s="664"/>
      <c r="V91" s="664"/>
      <c r="W91" s="664"/>
      <c r="X91" s="664"/>
      <c r="Y91" s="664"/>
      <c r="Z91" s="664"/>
    </row>
    <row r="92" spans="1:26" ht="22.8" x14ac:dyDescent="0.25">
      <c r="A92" s="1597"/>
      <c r="B92" s="1597"/>
      <c r="C92" s="673" t="str">
        <f>INDEX('Master sheet'!$A$1:$A$670,MATCH(161,'Master sheet'!$AN$1:$AN$670,0))</f>
        <v>Plywood / Canadian Wood Council /  / 3/4"</v>
      </c>
      <c r="D92" s="17">
        <f>'USER INPUT SHEET'!$D$32</f>
        <v>0</v>
      </c>
      <c r="E92" s="18" t="str">
        <f>'USER INPUT SHEET'!$F$32</f>
        <v>m2</v>
      </c>
      <c r="F92" s="4">
        <v>1</v>
      </c>
      <c r="G92" s="674"/>
      <c r="H92" s="9"/>
      <c r="I92" s="95">
        <f>K92-L92-IF(N92,M92,0)</f>
        <v>0</v>
      </c>
      <c r="J92" s="96" t="str">
        <f t="shared" ref="J92:J97" si="30">IF(H92=1,I92,"")</f>
        <v/>
      </c>
      <c r="K92" s="407">
        <f>$D92*$F92*VLOOKUP($C92,'Master sheet'!$A:$AL,13,FALSE)</f>
        <v>0</v>
      </c>
      <c r="L92" s="97">
        <f>$D92*$F92*VLOOKUP($C92,'Master sheet'!$A:$AL,27,FALSE)</f>
        <v>0</v>
      </c>
      <c r="M92" s="1552"/>
      <c r="N92" s="1552"/>
      <c r="O92" s="25" t="str">
        <f>_xlfn.IFNA(VLOOKUP($C92,'Master sheet'!$A:$AR,44,FALSE),"")&amp;""</f>
        <v/>
      </c>
      <c r="P92" s="637"/>
      <c r="Q92" s="728" t="s">
        <v>52</v>
      </c>
      <c r="R92" s="728" t="s">
        <v>55</v>
      </c>
      <c r="S92" s="624"/>
      <c r="T92" s="638"/>
      <c r="U92" s="638"/>
      <c r="V92" s="638"/>
      <c r="W92" s="638"/>
      <c r="X92" s="664"/>
      <c r="Y92" s="664"/>
      <c r="Z92" s="664"/>
    </row>
    <row r="93" spans="1:26" ht="31.5" customHeight="1" x14ac:dyDescent="0.25">
      <c r="A93" s="1597"/>
      <c r="B93" s="1597"/>
      <c r="C93" s="673" t="str">
        <f>INDEX('Master sheet'!$A$1:$A$670,MATCH("A85",'Master sheet'!$AN$1:$AN$670,0))</f>
        <v>Plywood / British Columbia Average / Includes : West Fraser Mills, Thompson River Veneer Products / 1/2"</v>
      </c>
      <c r="D93" s="17">
        <f>'USER INPUT SHEET'!$D$32</f>
        <v>0</v>
      </c>
      <c r="E93" s="18" t="str">
        <f>'USER INPUT SHEET'!$F$32</f>
        <v>m2</v>
      </c>
      <c r="F93" s="4">
        <v>1</v>
      </c>
      <c r="G93" s="674"/>
      <c r="H93" s="9"/>
      <c r="I93" s="95">
        <f t="shared" ref="I93:I98" si="31">K93-L93-IF(N93,M93,0)</f>
        <v>0</v>
      </c>
      <c r="J93" s="96" t="str">
        <f t="shared" si="30"/>
        <v/>
      </c>
      <c r="K93" s="407">
        <f>$D93*$F93*VLOOKUP($C93,'Master sheet'!$A:$AL,13,FALSE)</f>
        <v>0</v>
      </c>
      <c r="L93" s="97">
        <f>$D93*$F93*VLOOKUP($C93,'Master sheet'!$A:$AL,27,FALSE)</f>
        <v>0</v>
      </c>
      <c r="M93" s="1552"/>
      <c r="N93" s="1552"/>
      <c r="O93" s="25" t="str">
        <f>_xlfn.IFNA(VLOOKUP($C93,'Master sheet'!$A:$AR,44,FALSE),"")&amp;""</f>
        <v/>
      </c>
      <c r="P93" s="637"/>
      <c r="Q93" s="728" t="s">
        <v>52</v>
      </c>
      <c r="R93" s="728" t="s">
        <v>55</v>
      </c>
      <c r="S93" s="624"/>
      <c r="T93" s="638"/>
      <c r="U93" s="638"/>
      <c r="V93" s="638"/>
      <c r="W93" s="638"/>
      <c r="X93" s="664"/>
      <c r="Y93" s="664"/>
      <c r="Z93" s="664"/>
    </row>
    <row r="94" spans="1:26" ht="31.5" customHeight="1" x14ac:dyDescent="0.25">
      <c r="A94" s="1597"/>
      <c r="B94" s="1597"/>
      <c r="C94" s="673" t="str">
        <f>INDEX('Master sheet'!$A$1:$A$670,MATCH("A86",'Master sheet'!$AN$1:$AN$670,0))</f>
        <v>Plywood / British Columbia Average / Includes : West Fraser Mills, Thompson River Veneer Products / 3/4"</v>
      </c>
      <c r="D94" s="17">
        <f>'USER INPUT SHEET'!$D$32</f>
        <v>0</v>
      </c>
      <c r="E94" s="18" t="str">
        <f>'USER INPUT SHEET'!$F$32</f>
        <v>m2</v>
      </c>
      <c r="F94" s="4">
        <v>1</v>
      </c>
      <c r="G94" s="674"/>
      <c r="H94" s="9"/>
      <c r="I94" s="95">
        <f t="shared" si="31"/>
        <v>0</v>
      </c>
      <c r="J94" s="96" t="str">
        <f t="shared" si="30"/>
        <v/>
      </c>
      <c r="K94" s="407">
        <f>$D94*$F94*VLOOKUP($C94,'Master sheet'!$A:$AL,13,FALSE)</f>
        <v>0</v>
      </c>
      <c r="L94" s="97">
        <f>$D94*$F94*VLOOKUP($C94,'Master sheet'!$A:$AL,27,FALSE)</f>
        <v>0</v>
      </c>
      <c r="M94" s="1552"/>
      <c r="N94" s="1552"/>
      <c r="O94" s="25" t="str">
        <f>_xlfn.IFNA(VLOOKUP($C94,'Master sheet'!$A:$AR,44,FALSE),"")&amp;""</f>
        <v/>
      </c>
      <c r="P94" s="637"/>
      <c r="Q94" s="728" t="s">
        <v>52</v>
      </c>
      <c r="R94" s="728" t="s">
        <v>55</v>
      </c>
      <c r="S94" s="624"/>
      <c r="T94" s="638"/>
      <c r="U94" s="638"/>
      <c r="V94" s="638"/>
      <c r="W94" s="638"/>
      <c r="X94" s="664"/>
      <c r="Y94" s="664"/>
      <c r="Z94" s="638"/>
    </row>
    <row r="95" spans="1:26" ht="31.5" customHeight="1" x14ac:dyDescent="0.25">
      <c r="A95" s="1597"/>
      <c r="B95" s="1597"/>
      <c r="C95" s="673" t="str">
        <f>INDEX('Master sheet'!$A$1:$A$670,MATCH("A87",'Master sheet'!$AN$1:$AN$670,0))</f>
        <v>Plywood / British Columbia Average / Includes : West Fraser Mills, Thompson River Veneer Products / 5/8"</v>
      </c>
      <c r="D95" s="17">
        <f>'USER INPUT SHEET'!$D$32</f>
        <v>0</v>
      </c>
      <c r="E95" s="18" t="str">
        <f>'USER INPUT SHEET'!$F$32</f>
        <v>m2</v>
      </c>
      <c r="F95" s="4">
        <v>1</v>
      </c>
      <c r="G95" s="674"/>
      <c r="H95" s="9"/>
      <c r="I95" s="95">
        <f t="shared" si="31"/>
        <v>0</v>
      </c>
      <c r="J95" s="96" t="str">
        <f t="shared" si="30"/>
        <v/>
      </c>
      <c r="K95" s="407">
        <f>$D95*$F95*VLOOKUP($C95,'Master sheet'!$A:$AL,13,FALSE)</f>
        <v>0</v>
      </c>
      <c r="L95" s="97">
        <f>$D95*$F95*VLOOKUP($C95,'Master sheet'!$A:$AL,27,FALSE)</f>
        <v>0</v>
      </c>
      <c r="M95" s="1552"/>
      <c r="N95" s="1552"/>
      <c r="O95" s="25" t="str">
        <f>_xlfn.IFNA(VLOOKUP($C95,'Master sheet'!$A:$AR,44,FALSE),"")&amp;""</f>
        <v/>
      </c>
      <c r="P95" s="637"/>
      <c r="Q95" s="728" t="s">
        <v>52</v>
      </c>
      <c r="R95" s="728" t="s">
        <v>55</v>
      </c>
      <c r="S95" s="624"/>
      <c r="T95" s="638"/>
      <c r="U95" s="638"/>
      <c r="V95" s="638"/>
      <c r="W95" s="638"/>
      <c r="X95" s="664"/>
      <c r="Y95" s="664"/>
      <c r="Z95" s="638"/>
    </row>
    <row r="96" spans="1:26" ht="31.5" customHeight="1" x14ac:dyDescent="0.25">
      <c r="A96" s="1597"/>
      <c r="B96" s="1597"/>
      <c r="C96" s="673" t="str">
        <f>INDEX('Master sheet'!$A$1:$A$670,MATCH("A88",'Master sheet'!$AN$1:$AN$670,0))</f>
        <v>Plywood / Roseburg / Hardwood plywood. Includes:  walnut, alder, cherry, mahogany, oak, birch, maple faces  / 3/4"</v>
      </c>
      <c r="D96" s="17">
        <f>'USER INPUT SHEET'!$D$32</f>
        <v>0</v>
      </c>
      <c r="E96" s="18" t="str">
        <f>'USER INPUT SHEET'!$F$32</f>
        <v>m2</v>
      </c>
      <c r="F96" s="4">
        <v>1</v>
      </c>
      <c r="G96" s="674"/>
      <c r="H96" s="9"/>
      <c r="I96" s="95">
        <f t="shared" si="31"/>
        <v>0</v>
      </c>
      <c r="J96" s="96" t="str">
        <f t="shared" si="30"/>
        <v/>
      </c>
      <c r="K96" s="407">
        <f>$D96*$F96*VLOOKUP($C96,'Master sheet'!$A:$AL,13,FALSE)</f>
        <v>0</v>
      </c>
      <c r="L96" s="97">
        <f>$D96*$F96*VLOOKUP($C96,'Master sheet'!$A:$AL,27,FALSE)</f>
        <v>0</v>
      </c>
      <c r="M96" s="1552"/>
      <c r="N96" s="1552"/>
      <c r="O96" s="25" t="str">
        <f>_xlfn.IFNA(VLOOKUP($C96,'Master sheet'!$A:$AR,44,FALSE),"")&amp;""</f>
        <v/>
      </c>
      <c r="P96" s="637"/>
      <c r="Q96" s="728" t="s">
        <v>52</v>
      </c>
      <c r="R96" s="728" t="s">
        <v>55</v>
      </c>
      <c r="S96" s="624"/>
      <c r="T96" s="638"/>
      <c r="U96" s="638"/>
      <c r="V96" s="638"/>
      <c r="W96" s="638"/>
      <c r="X96" s="664"/>
      <c r="Y96" s="664"/>
      <c r="Z96" s="638"/>
    </row>
    <row r="97" spans="1:26" ht="22.8" x14ac:dyDescent="0.25">
      <c r="A97" s="1597"/>
      <c r="B97" s="1597"/>
      <c r="C97" s="673" t="str">
        <f>INDEX('Master sheet'!$A$1:$A$670,MATCH("A89",'Master sheet'!$AN$1:$AN$670,0))</f>
        <v>Plywood / Roseburg / softwood plywood / 1/2"</v>
      </c>
      <c r="D97" s="17">
        <f>'USER INPUT SHEET'!$D$32</f>
        <v>0</v>
      </c>
      <c r="E97" s="18" t="str">
        <f>'USER INPUT SHEET'!$F$32</f>
        <v>m2</v>
      </c>
      <c r="F97" s="4">
        <v>1</v>
      </c>
      <c r="G97" s="674"/>
      <c r="H97" s="9"/>
      <c r="I97" s="95">
        <f t="shared" si="31"/>
        <v>0</v>
      </c>
      <c r="J97" s="96" t="str">
        <f t="shared" si="30"/>
        <v/>
      </c>
      <c r="K97" s="407">
        <f>$D97*$F97*VLOOKUP($C97,'Master sheet'!$A:$AL,13,FALSE)</f>
        <v>0</v>
      </c>
      <c r="L97" s="97">
        <f>$D97*$F97*VLOOKUP($C97,'Master sheet'!$A:$AL,27,FALSE)</f>
        <v>0</v>
      </c>
      <c r="M97" s="1552"/>
      <c r="N97" s="1552"/>
      <c r="O97" s="25" t="str">
        <f>_xlfn.IFNA(VLOOKUP($C97,'Master sheet'!$A:$AR,44,FALSE),"")&amp;""</f>
        <v/>
      </c>
      <c r="P97" s="637"/>
      <c r="Q97" s="728" t="s">
        <v>52</v>
      </c>
      <c r="R97" s="728" t="s">
        <v>55</v>
      </c>
      <c r="S97" s="624"/>
      <c r="T97" s="638"/>
      <c r="U97" s="638"/>
      <c r="V97" s="638"/>
      <c r="W97" s="638"/>
      <c r="X97" s="664"/>
      <c r="Y97" s="664"/>
      <c r="Z97" s="638"/>
    </row>
    <row r="98" spans="1:26" s="624" customFormat="1" ht="22.8" x14ac:dyDescent="0.25">
      <c r="A98" s="1597"/>
      <c r="B98" s="1597"/>
      <c r="C98" s="673" t="str">
        <f>INDEX('Master sheet'!$A$1:$A$670,MATCH("A90",'Master sheet'!$AN$1:$AN$670,0))</f>
        <v>Plywood / Roseburg / softwood plywood / 3/4"</v>
      </c>
      <c r="D98" s="17">
        <f>'USER INPUT SHEET'!$D$32</f>
        <v>0</v>
      </c>
      <c r="E98" s="18" t="str">
        <f>'USER INPUT SHEET'!$F$32</f>
        <v>m2</v>
      </c>
      <c r="F98" s="4">
        <v>1</v>
      </c>
      <c r="G98" s="674"/>
      <c r="H98" s="9"/>
      <c r="I98" s="95">
        <f t="shared" si="31"/>
        <v>0</v>
      </c>
      <c r="J98" s="96" t="str">
        <f>IF(H98=1,I98,"")</f>
        <v/>
      </c>
      <c r="K98" s="407">
        <f>$D98*$F98*VLOOKUP($C98,'Master sheet'!$A:$AL,13,FALSE)</f>
        <v>0</v>
      </c>
      <c r="L98" s="97">
        <f>$D98*$F98*VLOOKUP($C98,'Master sheet'!$A:$AL,27,FALSE)</f>
        <v>0</v>
      </c>
      <c r="M98" s="1610"/>
      <c r="N98" s="1610"/>
      <c r="O98" s="25" t="str">
        <f>_xlfn.IFNA(VLOOKUP($C98,'Master sheet'!$A:$AR,44,FALSE),"")&amp;""</f>
        <v/>
      </c>
      <c r="P98" s="637"/>
      <c r="Q98" s="728" t="s">
        <v>52</v>
      </c>
      <c r="R98" s="728" t="s">
        <v>55</v>
      </c>
      <c r="T98" s="638"/>
      <c r="U98" s="638"/>
      <c r="V98" s="638"/>
      <c r="W98" s="638"/>
      <c r="X98" s="638"/>
      <c r="Y98" s="638"/>
      <c r="Z98" s="638"/>
    </row>
    <row r="99" spans="1:26" s="624" customFormat="1" ht="22.8" x14ac:dyDescent="0.25">
      <c r="A99" s="639"/>
      <c r="B99" s="1524" t="s">
        <v>980</v>
      </c>
      <c r="C99" s="1523"/>
      <c r="D99" s="773"/>
      <c r="E99" s="778"/>
      <c r="F99" s="340"/>
      <c r="G99" s="739"/>
      <c r="H99" s="740"/>
      <c r="I99" s="779"/>
      <c r="J99" s="742"/>
      <c r="K99" s="741"/>
      <c r="L99" s="743"/>
      <c r="M99" s="743"/>
      <c r="N99" s="743"/>
      <c r="O99" s="25" t="str">
        <f>_xlfn.IFNA(VLOOKUP($C99,'Master sheet'!$A:$AR,44,FALSE),"")&amp;""</f>
        <v/>
      </c>
      <c r="P99" s="685"/>
      <c r="Q99" s="728"/>
      <c r="R99" s="728"/>
      <c r="T99" s="638"/>
      <c r="U99" s="638"/>
      <c r="V99" s="638"/>
      <c r="W99" s="638"/>
      <c r="X99" s="638"/>
      <c r="Y99" s="638"/>
      <c r="Z99" s="638"/>
    </row>
    <row r="100" spans="1:26" ht="22.8" x14ac:dyDescent="0.25">
      <c r="A100" s="1540"/>
      <c r="B100" s="1540"/>
      <c r="C100" s="673" t="str">
        <f>INDEX('Master sheet'!$A$1:$A$670,MATCH(116,'Master sheet'!$AN$1:$AN$670,0))</f>
        <v>Gypsum panels - glass mat / USG / Securock ExoAir 430 / 1/2"</v>
      </c>
      <c r="D100" s="15">
        <f>'USER INPUT SHEET'!$D$32</f>
        <v>0</v>
      </c>
      <c r="E100" s="16" t="str">
        <f>'USER INPUT SHEET'!$F$32</f>
        <v>m2</v>
      </c>
      <c r="F100" s="3">
        <v>1</v>
      </c>
      <c r="G100" s="670"/>
      <c r="H100" s="8"/>
      <c r="I100" s="92">
        <f>K100-L100</f>
        <v>0</v>
      </c>
      <c r="J100" s="93" t="str">
        <f t="shared" ref="J100:J104" si="32">IF(H100=1,I100,"")</f>
        <v/>
      </c>
      <c r="K100" s="406">
        <f>$D100*$F100*VLOOKUP($C100,'Master sheet'!$A:$AL,13,FALSE)</f>
        <v>0</v>
      </c>
      <c r="L100" s="94">
        <f>$D100*$F100*VLOOKUP($C100,'Master sheet'!$A:$AL,27,FALSE)</f>
        <v>0</v>
      </c>
      <c r="M100" s="1562"/>
      <c r="N100" s="1562"/>
      <c r="O100" s="25" t="str">
        <f ca="1">_xlfn.IFNA(VLOOKUP($C100,'Master sheet'!$A:$AR,44,FALSE),"")&amp;""</f>
        <v>Expired 2024</v>
      </c>
      <c r="P100" s="637"/>
      <c r="Q100" s="757" t="s">
        <v>52</v>
      </c>
      <c r="R100" s="757" t="s">
        <v>55</v>
      </c>
      <c r="T100" s="664"/>
      <c r="U100" s="664"/>
      <c r="V100" s="664"/>
      <c r="W100" s="664"/>
      <c r="X100" s="664"/>
      <c r="Y100" s="664"/>
      <c r="Z100" s="638"/>
    </row>
    <row r="101" spans="1:26" ht="31.2" x14ac:dyDescent="0.25">
      <c r="A101" s="1540"/>
      <c r="B101" s="1540"/>
      <c r="C101" s="673" t="str">
        <f>INDEX('Master sheet'!$A$1:$A$670,MATCH(418,'Master sheet'!$AN$1:$AN$670,0))</f>
        <v xml:space="preserve">Gypsum panels - glass mat / CertainTeed / GlasRoc Sheathing gypsum board / 5/8" </v>
      </c>
      <c r="D101" s="17">
        <f>'USER INPUT SHEET'!$D$32</f>
        <v>0</v>
      </c>
      <c r="E101" s="18" t="str">
        <f>'USER INPUT SHEET'!$F$32</f>
        <v>m2</v>
      </c>
      <c r="F101" s="4">
        <v>1</v>
      </c>
      <c r="G101" s="674"/>
      <c r="H101" s="9"/>
      <c r="I101" s="95">
        <f t="shared" ref="I101:I104" si="33">K101-L101</f>
        <v>0</v>
      </c>
      <c r="J101" s="96" t="str">
        <f t="shared" si="32"/>
        <v/>
      </c>
      <c r="K101" s="407">
        <f>$D101*$F101*VLOOKUP($C101,'Master sheet'!$A:$AL,13,FALSE)</f>
        <v>0</v>
      </c>
      <c r="L101" s="97">
        <f>$D101*$F101*VLOOKUP($C101,'Master sheet'!$A:$AL,27,FALSE)</f>
        <v>0</v>
      </c>
      <c r="M101" s="1552"/>
      <c r="N101" s="1552"/>
      <c r="O101" s="25" t="str">
        <f ca="1">_xlfn.IFNA(VLOOKUP($C101,'Master sheet'!$A:$AR,44,FALSE),"")&amp;""</f>
        <v/>
      </c>
      <c r="P101" s="637"/>
      <c r="Q101" s="728" t="s">
        <v>52</v>
      </c>
      <c r="R101" s="728" t="s">
        <v>55</v>
      </c>
      <c r="S101" s="624"/>
      <c r="T101" s="638"/>
      <c r="U101" s="638"/>
      <c r="V101" s="664"/>
      <c r="W101" s="664"/>
      <c r="X101" s="664"/>
      <c r="Y101" s="664"/>
      <c r="Z101" s="638"/>
    </row>
    <row r="102" spans="1:26" ht="31.2" x14ac:dyDescent="0.25">
      <c r="A102" s="1540"/>
      <c r="B102" s="1540"/>
      <c r="C102" s="673" t="str">
        <f>INDEX('Master sheet'!$A$1:$A$670,MATCH("A51",'Master sheet'!$AN$1:$AN$670,0))</f>
        <v>Gypsum panels - glass mat / Georgia-Pacific / DensGlass Sheathing  / 1/2"</v>
      </c>
      <c r="D102" s="17">
        <f>'USER INPUT SHEET'!$D$32</f>
        <v>0</v>
      </c>
      <c r="E102" s="18" t="str">
        <f>'USER INPUT SHEET'!$F$32</f>
        <v>m2</v>
      </c>
      <c r="F102" s="4">
        <v>1</v>
      </c>
      <c r="G102" s="674"/>
      <c r="H102" s="9"/>
      <c r="I102" s="95">
        <f t="shared" si="33"/>
        <v>0</v>
      </c>
      <c r="J102" s="96" t="str">
        <f t="shared" si="32"/>
        <v/>
      </c>
      <c r="K102" s="407">
        <f>$D102*$F102*VLOOKUP($C102,'Master sheet'!$A:$AL,13,FALSE)</f>
        <v>0</v>
      </c>
      <c r="L102" s="97">
        <f>$D102*$F102*VLOOKUP($C102,'Master sheet'!$A:$AL,27,FALSE)</f>
        <v>0</v>
      </c>
      <c r="M102" s="1552"/>
      <c r="N102" s="1552"/>
      <c r="O102" s="25" t="str">
        <f>_xlfn.IFNA(VLOOKUP($C102,'Master sheet'!$A:$AR,44,FALSE),"")&amp;""</f>
        <v/>
      </c>
      <c r="P102" s="637"/>
      <c r="Q102" s="728" t="s">
        <v>52</v>
      </c>
      <c r="R102" s="728" t="s">
        <v>55</v>
      </c>
      <c r="S102" s="624"/>
      <c r="T102" s="638"/>
      <c r="U102" s="638"/>
      <c r="V102" s="664"/>
      <c r="W102" s="664"/>
      <c r="X102" s="664"/>
      <c r="Y102" s="664"/>
      <c r="Z102" s="664"/>
    </row>
    <row r="103" spans="1:26" ht="31.2" x14ac:dyDescent="0.25">
      <c r="A103" s="1540"/>
      <c r="B103" s="1540"/>
      <c r="C103" s="673" t="str">
        <f>INDEX('Master sheet'!$A$1:$A$670,MATCH("A142",'Master sheet'!$AN$1:$AN$670,0))</f>
        <v>Gypsum panels - glass mat / Georgia-Pacific / DensGlass Sheathing / 5/8"</v>
      </c>
      <c r="D103" s="17">
        <f>'USER INPUT SHEET'!$D$32</f>
        <v>0</v>
      </c>
      <c r="E103" s="18" t="str">
        <f>'USER INPUT SHEET'!$F$32</f>
        <v>m2</v>
      </c>
      <c r="F103" s="4">
        <v>1</v>
      </c>
      <c r="G103" s="674"/>
      <c r="H103" s="9"/>
      <c r="I103" s="95">
        <f t="shared" si="33"/>
        <v>0</v>
      </c>
      <c r="J103" s="96" t="str">
        <f t="shared" si="32"/>
        <v/>
      </c>
      <c r="K103" s="407">
        <f>$D103*$F103*VLOOKUP($C103,'Master sheet'!$A:$AL,13,FALSE)</f>
        <v>0</v>
      </c>
      <c r="L103" s="97">
        <f>$D103*$F103*VLOOKUP($C103,'Master sheet'!$A:$AL,27,FALSE)</f>
        <v>0</v>
      </c>
      <c r="M103" s="1552"/>
      <c r="N103" s="1552"/>
      <c r="O103" s="25" t="str">
        <f>_xlfn.IFNA(VLOOKUP($C103,'Master sheet'!$A:$AR,44,FALSE),"")&amp;""</f>
        <v/>
      </c>
      <c r="P103" s="637"/>
      <c r="Q103" s="728" t="s">
        <v>52</v>
      </c>
      <c r="R103" s="728" t="s">
        <v>55</v>
      </c>
      <c r="S103" s="624"/>
      <c r="T103" s="638"/>
      <c r="U103" s="638"/>
      <c r="V103" s="664"/>
      <c r="W103" s="664"/>
      <c r="X103" s="664"/>
      <c r="Y103" s="664"/>
      <c r="Z103" s="664"/>
    </row>
    <row r="104" spans="1:26" ht="31.2" x14ac:dyDescent="0.25">
      <c r="A104" s="1540"/>
      <c r="B104" s="1540"/>
      <c r="C104" s="673" t="str">
        <f>INDEX('Master sheet'!$A$1:$A$670,MATCH("A50",'Master sheet'!$AN$1:$AN$670,0))</f>
        <v>Gypsum panels - glass mat / Gypsum Association / North American Industry Average / 1/2"</v>
      </c>
      <c r="D104" s="17">
        <f>'USER INPUT SHEET'!$D$32</f>
        <v>0</v>
      </c>
      <c r="E104" s="18" t="str">
        <f>'USER INPUT SHEET'!$F$32</f>
        <v>m2</v>
      </c>
      <c r="F104" s="4">
        <v>1</v>
      </c>
      <c r="G104" s="674"/>
      <c r="H104" s="9"/>
      <c r="I104" s="95">
        <f t="shared" si="33"/>
        <v>0</v>
      </c>
      <c r="J104" s="96" t="str">
        <f t="shared" si="32"/>
        <v/>
      </c>
      <c r="K104" s="407">
        <f>$D104*$F104*VLOOKUP($C104,'Master sheet'!$A:$AL,13,FALSE)</f>
        <v>0</v>
      </c>
      <c r="L104" s="97">
        <f>$D104*$F104*VLOOKUP($C104,'Master sheet'!$A:$AL,27,FALSE)</f>
        <v>0</v>
      </c>
      <c r="M104" s="1552"/>
      <c r="N104" s="1552"/>
      <c r="O104" s="25" t="str">
        <f>_xlfn.IFNA(VLOOKUP($C104,'Master sheet'!$A:$AR,44,FALSE),"")&amp;""</f>
        <v/>
      </c>
      <c r="P104" s="637"/>
      <c r="Q104" s="728" t="s">
        <v>52</v>
      </c>
      <c r="R104" s="728" t="s">
        <v>55</v>
      </c>
      <c r="S104" s="624"/>
      <c r="T104" s="638"/>
      <c r="U104" s="638"/>
      <c r="V104" s="664"/>
      <c r="W104" s="664"/>
      <c r="X104" s="664"/>
      <c r="Y104" s="664"/>
      <c r="Z104" s="638"/>
    </row>
    <row r="105" spans="1:26" s="624" customFormat="1" ht="31.2" x14ac:dyDescent="0.25">
      <c r="A105" s="1540"/>
      <c r="B105" s="1540"/>
      <c r="C105" s="673" t="str">
        <f>INDEX('Master sheet'!$A$1:$A$670,MATCH("A143",'Master sheet'!$AN$1:$AN$670,0))</f>
        <v>Gypsum panels - glass mat / Gypsum Association / North American Industry Average / 5/8" Type X</v>
      </c>
      <c r="D105" s="17">
        <f>'USER INPUT SHEET'!$D$32</f>
        <v>0</v>
      </c>
      <c r="E105" s="18" t="str">
        <f>'USER INPUT SHEET'!$F$32</f>
        <v>m2</v>
      </c>
      <c r="F105" s="4">
        <v>1</v>
      </c>
      <c r="G105" s="674"/>
      <c r="H105" s="9"/>
      <c r="I105" s="95">
        <f>K105-L105</f>
        <v>0</v>
      </c>
      <c r="J105" s="96" t="str">
        <f t="shared" ref="J105" si="34">IF(H105=1,I105,"")</f>
        <v/>
      </c>
      <c r="K105" s="407">
        <f>$D105*$F105*VLOOKUP($C105,'Master sheet'!$A:$AL,13,FALSE)</f>
        <v>0</v>
      </c>
      <c r="L105" s="97">
        <f>$D105*$F105*VLOOKUP($C105,'Master sheet'!$A:$AL,27,FALSE)</f>
        <v>0</v>
      </c>
      <c r="M105" s="1610"/>
      <c r="N105" s="1610"/>
      <c r="O105" s="25" t="str">
        <f>_xlfn.IFNA(VLOOKUP($C105,'Master sheet'!$A:$AR,44,FALSE),"")&amp;""</f>
        <v/>
      </c>
      <c r="P105" s="637"/>
      <c r="Q105" s="728" t="s">
        <v>52</v>
      </c>
      <c r="R105" s="728" t="s">
        <v>55</v>
      </c>
      <c r="T105" s="638"/>
      <c r="U105" s="638"/>
      <c r="V105" s="638"/>
      <c r="W105" s="638"/>
      <c r="X105" s="638"/>
      <c r="Y105" s="638"/>
      <c r="Z105" s="664"/>
    </row>
    <row r="106" spans="1:26" s="624" customFormat="1" ht="22.8" x14ac:dyDescent="0.25">
      <c r="A106" s="639"/>
      <c r="B106" s="1524" t="s">
        <v>1647</v>
      </c>
      <c r="C106" s="1523"/>
      <c r="D106" s="773"/>
      <c r="E106" s="778"/>
      <c r="F106" s="340"/>
      <c r="G106" s="739"/>
      <c r="H106" s="740"/>
      <c r="I106" s="779"/>
      <c r="J106" s="742"/>
      <c r="K106" s="741"/>
      <c r="L106" s="743"/>
      <c r="M106" s="743"/>
      <c r="N106" s="743"/>
      <c r="O106" s="25" t="str">
        <f>_xlfn.IFNA(VLOOKUP($C106,'Master sheet'!$A:$AR,44,FALSE),"")&amp;""</f>
        <v/>
      </c>
      <c r="P106" s="685"/>
      <c r="Q106" s="728"/>
      <c r="R106" s="728"/>
      <c r="T106" s="638"/>
      <c r="U106" s="638"/>
      <c r="V106" s="638"/>
      <c r="W106" s="638"/>
      <c r="X106" s="638"/>
      <c r="Y106" s="638"/>
      <c r="Z106" s="638"/>
    </row>
    <row r="107" spans="1:26" ht="23.25" customHeight="1" x14ac:dyDescent="0.25">
      <c r="A107" s="1540"/>
      <c r="B107" s="1540"/>
      <c r="C107" s="669" t="str">
        <f>INDEX('Master sheet'!$A$1:$A$670,MATCH(36,'Master sheet'!$AN$1:$AN$670,0))</f>
        <v>Cement board 1/2" / USG / Durock (132) / 1/2" (12.7 mm)</v>
      </c>
      <c r="D107" s="15">
        <f>'USER INPUT SHEET'!$D$32</f>
        <v>0</v>
      </c>
      <c r="E107" s="16" t="str">
        <f>'USER INPUT SHEET'!$F$32</f>
        <v>m2</v>
      </c>
      <c r="F107" s="3">
        <v>1</v>
      </c>
      <c r="G107" s="670"/>
      <c r="H107" s="8"/>
      <c r="I107" s="92">
        <f>K107-L107</f>
        <v>0</v>
      </c>
      <c r="J107" s="93" t="str">
        <f t="shared" si="29"/>
        <v/>
      </c>
      <c r="K107" s="406">
        <f>$D107*$F107*VLOOKUP($C107,'Master sheet'!$A:$AL,13,FALSE)</f>
        <v>0</v>
      </c>
      <c r="L107" s="94">
        <f>$D107*$F107*VLOOKUP($C107,'Master sheet'!$A:$AL,27,FALSE)</f>
        <v>0</v>
      </c>
      <c r="M107" s="1562"/>
      <c r="N107" s="1562"/>
      <c r="O107" s="25" t="str">
        <f ca="1">_xlfn.IFNA(VLOOKUP($C107,'Master sheet'!$A:$AR,44,FALSE),"")&amp;""</f>
        <v>Expired 2025</v>
      </c>
      <c r="P107" s="637"/>
      <c r="Q107" s="757" t="s">
        <v>52</v>
      </c>
      <c r="R107" s="757" t="s">
        <v>55</v>
      </c>
      <c r="T107" s="664"/>
      <c r="U107" s="664"/>
      <c r="V107" s="664"/>
      <c r="W107" s="664"/>
      <c r="X107" s="664"/>
      <c r="Y107" s="664"/>
      <c r="Z107" s="638"/>
    </row>
    <row r="108" spans="1:26" s="624" customFormat="1" ht="23.25" customHeight="1" x14ac:dyDescent="0.25">
      <c r="A108" s="1540"/>
      <c r="B108" s="1540"/>
      <c r="C108" s="673" t="str">
        <f>INDEX('Master sheet'!$A$1:$A$670,MATCH(37,'Master sheet'!$AN$1:$AN$670,0))</f>
        <v>Cement board 1/2" / USG / Durock (133) / 1/2" (12.7 mm)</v>
      </c>
      <c r="D108" s="17">
        <f>'USER INPUT SHEET'!$D$32</f>
        <v>0</v>
      </c>
      <c r="E108" s="18" t="str">
        <f>'USER INPUT SHEET'!$F$32</f>
        <v>m2</v>
      </c>
      <c r="F108" s="4">
        <v>1</v>
      </c>
      <c r="G108" s="674"/>
      <c r="H108" s="9"/>
      <c r="I108" s="95">
        <f>K108-L108</f>
        <v>0</v>
      </c>
      <c r="J108" s="96" t="str">
        <f t="shared" si="29"/>
        <v/>
      </c>
      <c r="K108" s="407">
        <f>$D108*$F108*VLOOKUP($C108,'Master sheet'!$A:$AL,13,FALSE)</f>
        <v>0</v>
      </c>
      <c r="L108" s="97">
        <f>$D108*$F108*VLOOKUP($C108,'Master sheet'!$A:$AL,27,FALSE)</f>
        <v>0</v>
      </c>
      <c r="M108" s="1552"/>
      <c r="N108" s="1552"/>
      <c r="O108" s="25" t="str">
        <f ca="1">_xlfn.IFNA(VLOOKUP($C108,'Master sheet'!$A:$AR,44,FALSE),"")&amp;""</f>
        <v>Expired 2025</v>
      </c>
      <c r="P108" s="637"/>
      <c r="Q108" s="728" t="s">
        <v>52</v>
      </c>
      <c r="R108" s="728" t="s">
        <v>55</v>
      </c>
      <c r="T108" s="638"/>
      <c r="U108" s="638"/>
      <c r="V108" s="638"/>
      <c r="W108" s="638"/>
      <c r="X108" s="638"/>
      <c r="Y108" s="638"/>
      <c r="Z108" s="638"/>
    </row>
    <row r="109" spans="1:26" s="624" customFormat="1" ht="55.2" customHeight="1" x14ac:dyDescent="0.25">
      <c r="A109" s="1522" t="s">
        <v>4591</v>
      </c>
      <c r="B109" s="1523"/>
      <c r="C109" s="1523"/>
      <c r="D109" s="649"/>
      <c r="E109" s="650"/>
      <c r="F109" s="321"/>
      <c r="G109" s="650"/>
      <c r="H109" s="650"/>
      <c r="I109" s="651"/>
      <c r="J109" s="103"/>
      <c r="K109" s="652"/>
      <c r="L109" s="653"/>
      <c r="M109" s="653"/>
      <c r="N109" s="653"/>
      <c r="O109" s="25" t="str">
        <f>_xlfn.IFNA(VLOOKUP($C109,'Master sheet'!$A:$AR,44,FALSE),"")&amp;""</f>
        <v/>
      </c>
      <c r="P109" s="637"/>
      <c r="Q109" s="722"/>
      <c r="R109" s="717"/>
      <c r="S109" s="638"/>
      <c r="T109" s="638"/>
      <c r="U109" s="638"/>
      <c r="V109" s="638"/>
      <c r="W109" s="638"/>
      <c r="X109" s="638"/>
      <c r="Y109" s="638"/>
      <c r="Z109" s="638"/>
    </row>
    <row r="110" spans="1:26" ht="23.85" customHeight="1" x14ac:dyDescent="0.25">
      <c r="A110" s="686"/>
      <c r="B110" s="1541" t="s">
        <v>4768</v>
      </c>
      <c r="C110" s="1541"/>
      <c r="D110" s="656"/>
      <c r="E110" s="657"/>
      <c r="F110" s="327"/>
      <c r="G110" s="695"/>
      <c r="H110" s="695"/>
      <c r="I110" s="658"/>
      <c r="J110" s="659"/>
      <c r="K110" s="660"/>
      <c r="L110" s="661"/>
      <c r="M110" s="677"/>
      <c r="N110" s="677"/>
      <c r="O110" s="25" t="str">
        <f>_xlfn.IFNA(VLOOKUP($C110,'Master sheet'!$A:$AR,44,FALSE),"")&amp;""</f>
        <v/>
      </c>
      <c r="P110" s="637"/>
      <c r="Q110" s="722"/>
      <c r="R110" s="717"/>
      <c r="S110" s="638"/>
      <c r="T110" s="638"/>
      <c r="U110" s="664"/>
      <c r="V110" s="664"/>
      <c r="W110" s="664"/>
      <c r="X110" s="664"/>
      <c r="Y110" s="664"/>
      <c r="Z110" s="638"/>
    </row>
    <row r="111" spans="1:26" ht="22.8" x14ac:dyDescent="0.25">
      <c r="A111" s="1576"/>
      <c r="B111" s="1576"/>
      <c r="C111" s="691" t="s">
        <v>4771</v>
      </c>
      <c r="D111" s="19">
        <f>'USER INPUT SHEET'!$D$32</f>
        <v>0</v>
      </c>
      <c r="E111" s="20" t="str">
        <f>'USER INPUT SHEET'!$F$32</f>
        <v>m2</v>
      </c>
      <c r="F111" s="6">
        <v>1</v>
      </c>
      <c r="G111" s="692"/>
      <c r="H111" s="10"/>
      <c r="I111" s="98">
        <f t="shared" ref="I111:I117" si="35">K111-L111</f>
        <v>0</v>
      </c>
      <c r="J111" s="106" t="str">
        <f>IF(H111=1,I111,"")</f>
        <v/>
      </c>
      <c r="K111" s="410">
        <f>$F111*AVERAGE(K112:K117)</f>
        <v>0</v>
      </c>
      <c r="L111" s="99">
        <f>$F111*AVERAGE(L112:L117)</f>
        <v>0</v>
      </c>
      <c r="M111" s="1552"/>
      <c r="N111" s="1552"/>
      <c r="O111" s="25" t="str">
        <f>_xlfn.IFNA(VLOOKUP($C111,'Master sheet'!$A:$AR,44,FALSE),"")&amp;""</f>
        <v/>
      </c>
      <c r="P111" s="685"/>
      <c r="Q111" s="728" t="s">
        <v>52</v>
      </c>
      <c r="R111" s="717" t="s">
        <v>4591</v>
      </c>
      <c r="S111" s="664"/>
      <c r="T111" s="664"/>
      <c r="U111" s="664"/>
      <c r="V111" s="664"/>
      <c r="W111" s="664"/>
      <c r="X111" s="664"/>
      <c r="Y111" s="664"/>
      <c r="Z111" s="638"/>
    </row>
    <row r="112" spans="1:26" s="624" customFormat="1" ht="31.2" x14ac:dyDescent="0.25">
      <c r="A112" s="1576"/>
      <c r="B112" s="1576"/>
      <c r="C112" s="673" t="str">
        <f>INDEX('Master sheet'!$A$1:$A$670,MATCH("A159",'Master sheet'!$AN$1:$AN$670,0))</f>
        <v>Ext. &amp; Int. Wall &amp; Roof Barrier, sheet / Rothoblaas / Traspir EVO 160 / 12.3 Perms / 0.5 mm</v>
      </c>
      <c r="D112" s="17">
        <f>'USER INPUT SHEET'!$D$32</f>
        <v>0</v>
      </c>
      <c r="E112" s="18" t="str">
        <f>'USER INPUT SHEET'!$F$32</f>
        <v>m2</v>
      </c>
      <c r="F112" s="4">
        <v>1</v>
      </c>
      <c r="G112" s="674"/>
      <c r="H112" s="9"/>
      <c r="I112" s="95">
        <f t="shared" si="35"/>
        <v>0</v>
      </c>
      <c r="J112" s="96" t="str">
        <f t="shared" ref="J112:J117" si="36">IF(H112=1,I112,"")</f>
        <v/>
      </c>
      <c r="K112" s="407">
        <f>$D112*$F112*VLOOKUP($C112,'Master sheet'!$A:$AL,13,FALSE)</f>
        <v>0</v>
      </c>
      <c r="L112" s="97">
        <f>$D112*$F112*VLOOKUP($C112,'Master sheet'!$A:$AL,27,FALSE)</f>
        <v>0</v>
      </c>
      <c r="M112" s="1552"/>
      <c r="N112" s="1552"/>
      <c r="O112" s="25" t="str">
        <f>_xlfn.IFNA(VLOOKUP($C112,'Master sheet'!$A:$AR,44,FALSE),"")&amp;""</f>
        <v/>
      </c>
      <c r="P112" s="637"/>
      <c r="Q112" s="728" t="s">
        <v>52</v>
      </c>
      <c r="R112" s="717" t="s">
        <v>4591</v>
      </c>
      <c r="S112" s="638"/>
      <c r="T112" s="638"/>
      <c r="U112" s="638"/>
      <c r="V112" s="638"/>
      <c r="W112" s="638"/>
      <c r="X112" s="638"/>
      <c r="Y112" s="638"/>
      <c r="Z112" s="638"/>
    </row>
    <row r="113" spans="1:26" s="624" customFormat="1" ht="31.2" x14ac:dyDescent="0.25">
      <c r="A113" s="1576"/>
      <c r="B113" s="1576"/>
      <c r="C113" s="673" t="str">
        <f>INDEX('Master sheet'!$A$1:$A$670,MATCH("A161",'Master sheet'!$AN$1:$AN$670,0))</f>
        <v>Ext. &amp; Int. Wall Barrier, sheet / Rothoblaas / Traspir 110 / 101 Perms / 0.4 mm</v>
      </c>
      <c r="D113" s="17">
        <f>'USER INPUT SHEET'!$D$32</f>
        <v>0</v>
      </c>
      <c r="E113" s="18" t="str">
        <f>'USER INPUT SHEET'!$F$32</f>
        <v>m2</v>
      </c>
      <c r="F113" s="4">
        <v>1</v>
      </c>
      <c r="G113" s="674"/>
      <c r="H113" s="9"/>
      <c r="I113" s="95">
        <f t="shared" si="35"/>
        <v>0</v>
      </c>
      <c r="J113" s="96" t="str">
        <f t="shared" si="36"/>
        <v/>
      </c>
      <c r="K113" s="407">
        <f>$D113*$F113*VLOOKUP($C113,'Master sheet'!$A:$AL,13,FALSE)</f>
        <v>0</v>
      </c>
      <c r="L113" s="97">
        <f>$D113*$F113*VLOOKUP($C113,'Master sheet'!$A:$AL,27,FALSE)</f>
        <v>0</v>
      </c>
      <c r="M113" s="1552"/>
      <c r="N113" s="1552"/>
      <c r="O113" s="25" t="str">
        <f>_xlfn.IFNA(VLOOKUP($C113,'Master sheet'!$A:$AR,44,FALSE),"")&amp;""</f>
        <v/>
      </c>
      <c r="P113" s="637"/>
      <c r="Q113" s="728" t="s">
        <v>52</v>
      </c>
      <c r="R113" s="717" t="s">
        <v>4591</v>
      </c>
      <c r="S113" s="638"/>
      <c r="T113" s="638"/>
      <c r="U113" s="638"/>
      <c r="V113" s="638"/>
      <c r="W113" s="638"/>
      <c r="X113" s="638"/>
      <c r="Y113" s="638"/>
      <c r="Z113" s="664"/>
    </row>
    <row r="114" spans="1:26" s="624" customFormat="1" ht="31.2" x14ac:dyDescent="0.25">
      <c r="A114" s="1576"/>
      <c r="B114" s="1576"/>
      <c r="C114" s="673" t="str">
        <f>INDEX('Master sheet'!$A$1:$A$670,MATCH("A162",'Master sheet'!$AN$1:$AN$670,0))</f>
        <v>Ext. &amp; Int. Wall Barrier, sheet / Rothoblaas / Traspir EVO UV 210 / 41.7 Perms / 0.3 mm</v>
      </c>
      <c r="D114" s="17">
        <f>'USER INPUT SHEET'!$D$32</f>
        <v>0</v>
      </c>
      <c r="E114" s="18" t="str">
        <f>'USER INPUT SHEET'!$F$32</f>
        <v>m2</v>
      </c>
      <c r="F114" s="4">
        <v>1</v>
      </c>
      <c r="G114" s="674"/>
      <c r="H114" s="9"/>
      <c r="I114" s="95">
        <f t="shared" si="35"/>
        <v>0</v>
      </c>
      <c r="J114" s="96" t="str">
        <f t="shared" si="36"/>
        <v/>
      </c>
      <c r="K114" s="407">
        <f>$D114*$F114*VLOOKUP($C114,'Master sheet'!$A:$AL,13,FALSE)</f>
        <v>0</v>
      </c>
      <c r="L114" s="97">
        <f>$D114*$F114*VLOOKUP($C114,'Master sheet'!$A:$AL,27,FALSE)</f>
        <v>0</v>
      </c>
      <c r="M114" s="1552"/>
      <c r="N114" s="1552"/>
      <c r="O114" s="25" t="str">
        <f>_xlfn.IFNA(VLOOKUP($C114,'Master sheet'!$A:$AR,44,FALSE),"")&amp;""</f>
        <v/>
      </c>
      <c r="P114" s="637"/>
      <c r="Q114" s="728" t="s">
        <v>52</v>
      </c>
      <c r="R114" s="717" t="s">
        <v>4591</v>
      </c>
      <c r="S114" s="638"/>
      <c r="T114" s="638"/>
      <c r="U114" s="638"/>
      <c r="V114" s="638"/>
      <c r="W114" s="638"/>
      <c r="X114" s="638"/>
      <c r="Y114" s="638"/>
      <c r="Z114" s="638"/>
    </row>
    <row r="115" spans="1:26" s="624" customFormat="1" ht="31.2" x14ac:dyDescent="0.25">
      <c r="A115" s="1576"/>
      <c r="B115" s="1576"/>
      <c r="C115" s="673" t="str">
        <f>INDEX('Master sheet'!$A$1:$A$670,MATCH("A163",'Master sheet'!$AN$1:$AN$670,0))</f>
        <v>Ext. Roof Barrier, sheet / Rothoblaas / Traspir Weld EVO 360 / 17.5 Perms / 1.0 mm</v>
      </c>
      <c r="D115" s="17">
        <f>'USER INPUT SHEET'!$D$32</f>
        <v>0</v>
      </c>
      <c r="E115" s="18" t="str">
        <f>'USER INPUT SHEET'!$F$32</f>
        <v>m2</v>
      </c>
      <c r="F115" s="4">
        <v>1</v>
      </c>
      <c r="G115" s="674"/>
      <c r="H115" s="9"/>
      <c r="I115" s="95">
        <f t="shared" si="35"/>
        <v>0</v>
      </c>
      <c r="J115" s="96" t="str">
        <f t="shared" si="36"/>
        <v/>
      </c>
      <c r="K115" s="407">
        <f>$D115*$F115*VLOOKUP($C115,'Master sheet'!$A:$AL,13,FALSE)</f>
        <v>0</v>
      </c>
      <c r="L115" s="97">
        <f>$D115*$F115*VLOOKUP($C115,'Master sheet'!$A:$AL,27,FALSE)</f>
        <v>0</v>
      </c>
      <c r="M115" s="1552"/>
      <c r="N115" s="1552"/>
      <c r="O115" s="25" t="str">
        <f>_xlfn.IFNA(VLOOKUP($C115,'Master sheet'!$A:$AR,44,FALSE),"")&amp;""</f>
        <v/>
      </c>
      <c r="P115" s="637"/>
      <c r="Q115" s="728" t="s">
        <v>52</v>
      </c>
      <c r="R115" s="717" t="s">
        <v>4591</v>
      </c>
      <c r="S115" s="638"/>
      <c r="T115" s="638"/>
      <c r="U115" s="638"/>
      <c r="V115" s="638"/>
      <c r="W115" s="638"/>
      <c r="X115" s="638"/>
      <c r="Y115" s="638"/>
      <c r="Z115" s="638"/>
    </row>
    <row r="116" spans="1:26" s="624" customFormat="1" ht="31.2" x14ac:dyDescent="0.25">
      <c r="A116" s="1576"/>
      <c r="B116" s="1576"/>
      <c r="C116" s="673" t="str">
        <f>INDEX('Master sheet'!$A$1:$A$670,MATCH("A166",'Master sheet'!$AN$1:$AN$670,0))</f>
        <v xml:space="preserve">Ext. Wall &amp; Roof Barrier, sheet / Dupont / Tyvek Monolayer 60 / Permeable / </v>
      </c>
      <c r="D116" s="17">
        <f>'USER INPUT SHEET'!$D$32</f>
        <v>0</v>
      </c>
      <c r="E116" s="18" t="str">
        <f>'USER INPUT SHEET'!$F$32</f>
        <v>m2</v>
      </c>
      <c r="F116" s="4">
        <v>1</v>
      </c>
      <c r="G116" s="674"/>
      <c r="H116" s="9"/>
      <c r="I116" s="95">
        <f t="shared" si="35"/>
        <v>0</v>
      </c>
      <c r="J116" s="96" t="str">
        <f t="shared" si="36"/>
        <v/>
      </c>
      <c r="K116" s="407">
        <f>$D116*$F116*VLOOKUP($C116,'Master sheet'!$A:$AL,13,FALSE)</f>
        <v>0</v>
      </c>
      <c r="L116" s="97">
        <f>$D116*$F116*VLOOKUP($C116,'Master sheet'!$A:$AL,27,FALSE)</f>
        <v>0</v>
      </c>
      <c r="M116" s="1552"/>
      <c r="N116" s="1552"/>
      <c r="O116" s="25" t="str">
        <f>_xlfn.IFNA(VLOOKUP($C116,'Master sheet'!$A:$AR,44,FALSE),"")&amp;""</f>
        <v/>
      </c>
      <c r="P116" s="637"/>
      <c r="Q116" s="728" t="s">
        <v>52</v>
      </c>
      <c r="R116" s="717" t="s">
        <v>4591</v>
      </c>
      <c r="S116" s="638"/>
      <c r="T116" s="638"/>
      <c r="U116" s="638"/>
      <c r="V116" s="638"/>
      <c r="W116" s="638"/>
      <c r="X116" s="638"/>
      <c r="Y116" s="638"/>
      <c r="Z116" s="664"/>
    </row>
    <row r="117" spans="1:26" s="624" customFormat="1" ht="31.2" x14ac:dyDescent="0.25">
      <c r="A117" s="1576"/>
      <c r="B117" s="1576"/>
      <c r="C117" s="673" t="str">
        <f>INDEX('Master sheet'!$A$1:$A$670,MATCH("A167",'Master sheet'!$AN$1:$AN$670,0))</f>
        <v xml:space="preserve">Ext. Wall &amp; Roof Barrier, sheet / Partel / Exoperm Mono 150 / Permeable / </v>
      </c>
      <c r="D117" s="17">
        <f>'USER INPUT SHEET'!$D$32</f>
        <v>0</v>
      </c>
      <c r="E117" s="18" t="str">
        <f>'USER INPUT SHEET'!$F$32</f>
        <v>m2</v>
      </c>
      <c r="F117" s="4">
        <v>1</v>
      </c>
      <c r="G117" s="674"/>
      <c r="H117" s="9"/>
      <c r="I117" s="95">
        <f t="shared" si="35"/>
        <v>0</v>
      </c>
      <c r="J117" s="96" t="str">
        <f t="shared" si="36"/>
        <v/>
      </c>
      <c r="K117" s="407">
        <f>$D117*$F117*VLOOKUP($C117,'Master sheet'!$A:$AL,13,FALSE)</f>
        <v>0</v>
      </c>
      <c r="L117" s="97">
        <f>$D117*$F117*VLOOKUP($C117,'Master sheet'!$A:$AL,27,FALSE)</f>
        <v>0</v>
      </c>
      <c r="M117" s="1610"/>
      <c r="N117" s="1610"/>
      <c r="O117" s="25" t="str">
        <f>_xlfn.IFNA(VLOOKUP($C117,'Master sheet'!$A:$AR,44,FALSE),"")&amp;""</f>
        <v/>
      </c>
      <c r="P117" s="637"/>
      <c r="Q117" s="728" t="s">
        <v>52</v>
      </c>
      <c r="R117" s="717" t="s">
        <v>4591</v>
      </c>
      <c r="S117" s="638"/>
      <c r="T117" s="638"/>
      <c r="U117" s="638"/>
      <c r="V117" s="638"/>
      <c r="W117" s="638"/>
      <c r="X117" s="638"/>
      <c r="Y117" s="638"/>
      <c r="Z117" s="638"/>
    </row>
    <row r="118" spans="1:26" ht="23.85" customHeight="1" x14ac:dyDescent="0.25">
      <c r="A118" s="686"/>
      <c r="B118" s="1541" t="s">
        <v>4769</v>
      </c>
      <c r="C118" s="1541"/>
      <c r="D118" s="656"/>
      <c r="E118" s="657"/>
      <c r="F118" s="327"/>
      <c r="G118" s="695"/>
      <c r="H118" s="695"/>
      <c r="I118" s="658"/>
      <c r="J118" s="659"/>
      <c r="K118" s="660"/>
      <c r="L118" s="661"/>
      <c r="M118" s="677"/>
      <c r="N118" s="677"/>
      <c r="O118" s="25" t="str">
        <f>_xlfn.IFNA(VLOOKUP($C118,'Master sheet'!$A:$AR,44,FALSE),"")&amp;""</f>
        <v/>
      </c>
      <c r="P118" s="637"/>
      <c r="Q118" s="722"/>
      <c r="R118" s="717" t="s">
        <v>4591</v>
      </c>
      <c r="S118" s="638"/>
      <c r="T118" s="638"/>
      <c r="U118" s="664"/>
      <c r="V118" s="664"/>
      <c r="W118" s="664"/>
      <c r="X118" s="664"/>
      <c r="Y118" s="664"/>
      <c r="Z118" s="638"/>
    </row>
    <row r="119" spans="1:26" ht="22.8" x14ac:dyDescent="0.25">
      <c r="A119" s="1576"/>
      <c r="B119" s="1576"/>
      <c r="C119" s="691" t="s">
        <v>4772</v>
      </c>
      <c r="D119" s="19">
        <f>'USER INPUT SHEET'!$D$32</f>
        <v>0</v>
      </c>
      <c r="E119" s="20" t="str">
        <f>'USER INPUT SHEET'!$F$32</f>
        <v>m2</v>
      </c>
      <c r="F119" s="6">
        <v>1</v>
      </c>
      <c r="G119" s="692"/>
      <c r="H119" s="10"/>
      <c r="I119" s="98">
        <f t="shared" ref="I119:I123" si="37">K119-L119</f>
        <v>0</v>
      </c>
      <c r="J119" s="106" t="str">
        <f>IF(H119=1,I119,"")</f>
        <v/>
      </c>
      <c r="K119" s="410">
        <f>$F119*AVERAGE(K120:K123)</f>
        <v>0</v>
      </c>
      <c r="L119" s="99">
        <f>$F119*AVERAGE(L120:L123)</f>
        <v>0</v>
      </c>
      <c r="M119" s="1552"/>
      <c r="N119" s="1552"/>
      <c r="O119" s="25" t="str">
        <f>_xlfn.IFNA(VLOOKUP($C119,'Master sheet'!$A:$AR,44,FALSE),"")&amp;""</f>
        <v/>
      </c>
      <c r="P119" s="685"/>
      <c r="Q119" s="728" t="s">
        <v>52</v>
      </c>
      <c r="R119" s="717" t="s">
        <v>4591</v>
      </c>
      <c r="S119" s="664"/>
      <c r="T119" s="664"/>
      <c r="U119" s="664"/>
      <c r="V119" s="664"/>
      <c r="W119" s="664"/>
      <c r="X119" s="664"/>
      <c r="Y119" s="664"/>
      <c r="Z119" s="664"/>
    </row>
    <row r="120" spans="1:26" s="624" customFormat="1" ht="31.2" x14ac:dyDescent="0.25">
      <c r="A120" s="1576"/>
      <c r="B120" s="1576"/>
      <c r="C120" s="673" t="str">
        <f>INDEX('Master sheet'!$A$1:$A$670,MATCH("A158",'Master sheet'!$AN$1:$AN$670,0))</f>
        <v>Ext. &amp; Int. Wall &amp; Roof Barrier, sheet / Rothoblaas / Clima Control Net 160 / Moisture-variable / 0.5 mm</v>
      </c>
      <c r="D120" s="17">
        <f>'USER INPUT SHEET'!$D$32</f>
        <v>0</v>
      </c>
      <c r="E120" s="18" t="str">
        <f>'USER INPUT SHEET'!$F$32</f>
        <v>m2</v>
      </c>
      <c r="F120" s="4">
        <v>1</v>
      </c>
      <c r="G120" s="674"/>
      <c r="H120" s="9"/>
      <c r="I120" s="95">
        <f t="shared" si="37"/>
        <v>0</v>
      </c>
      <c r="J120" s="96" t="str">
        <f t="shared" ref="J120:J123" si="38">IF(H120=1,I120,"")</f>
        <v/>
      </c>
      <c r="K120" s="407">
        <f>$D120*$F120*VLOOKUP($C120,'Master sheet'!$A:$AL,13,FALSE)</f>
        <v>0</v>
      </c>
      <c r="L120" s="97">
        <f>$D120*$F120*VLOOKUP($C120,'Master sheet'!$A:$AL,27,FALSE)</f>
        <v>0</v>
      </c>
      <c r="M120" s="1552"/>
      <c r="N120" s="1552"/>
      <c r="O120" s="25" t="str">
        <f>_xlfn.IFNA(VLOOKUP($C120,'Master sheet'!$A:$AR,44,FALSE),"")&amp;""</f>
        <v/>
      </c>
      <c r="P120" s="637"/>
      <c r="Q120" s="728" t="s">
        <v>52</v>
      </c>
      <c r="R120" s="717" t="s">
        <v>4591</v>
      </c>
      <c r="S120" s="638"/>
      <c r="T120" s="638"/>
      <c r="U120" s="638"/>
      <c r="V120" s="638"/>
      <c r="W120" s="638"/>
      <c r="X120" s="638"/>
      <c r="Y120" s="638"/>
      <c r="Z120" s="664"/>
    </row>
    <row r="121" spans="1:26" s="624" customFormat="1" ht="31.2" x14ac:dyDescent="0.25">
      <c r="A121" s="1576"/>
      <c r="B121" s="1576"/>
      <c r="C121" s="673" t="str">
        <f>INDEX('Master sheet'!$A$1:$A$670,MATCH("A182",'Master sheet'!$AN$1:$AN$670,0))</f>
        <v xml:space="preserve">Int. Wall &amp; Ceiling Barrier, sheet / Partel / VARA PLUS / Moisture-variable / </v>
      </c>
      <c r="D121" s="17">
        <f>'USER INPUT SHEET'!$D$32</f>
        <v>0</v>
      </c>
      <c r="E121" s="18" t="str">
        <f>'USER INPUT SHEET'!$F$32</f>
        <v>m2</v>
      </c>
      <c r="F121" s="4">
        <v>1</v>
      </c>
      <c r="G121" s="674"/>
      <c r="H121" s="9"/>
      <c r="I121" s="95">
        <f t="shared" si="37"/>
        <v>0</v>
      </c>
      <c r="J121" s="96" t="str">
        <f t="shared" si="38"/>
        <v/>
      </c>
      <c r="K121" s="407">
        <f>$D121*$F121*VLOOKUP($C121,'Master sheet'!$A:$AL,13,FALSE)</f>
        <v>0</v>
      </c>
      <c r="L121" s="97">
        <f>$D121*$F121*VLOOKUP($C121,'Master sheet'!$A:$AL,27,FALSE)</f>
        <v>0</v>
      </c>
      <c r="M121" s="1552"/>
      <c r="N121" s="1552"/>
      <c r="O121" s="25" t="str">
        <f>_xlfn.IFNA(VLOOKUP($C121,'Master sheet'!$A:$AR,44,FALSE),"")&amp;""</f>
        <v/>
      </c>
      <c r="P121" s="637"/>
      <c r="Q121" s="728" t="s">
        <v>52</v>
      </c>
      <c r="R121" s="717" t="s">
        <v>4591</v>
      </c>
      <c r="S121" s="638"/>
      <c r="T121" s="638"/>
      <c r="U121" s="638"/>
      <c r="V121" s="638"/>
      <c r="W121" s="638"/>
      <c r="X121" s="638"/>
      <c r="Y121" s="638"/>
      <c r="Z121" s="664"/>
    </row>
    <row r="122" spans="1:26" s="624" customFormat="1" ht="31.2" x14ac:dyDescent="0.25">
      <c r="A122" s="1576"/>
      <c r="B122" s="1576"/>
      <c r="C122" s="673" t="str">
        <f>INDEX('Master sheet'!$A$1:$A$670,MATCH("A183",'Master sheet'!$AN$1:$AN$670,0))</f>
        <v>Int. Wall &amp; Ceiling Barrier, sheet / Rothoblaas / Clima Control 80 / Moisture-variable / 0.22 mm</v>
      </c>
      <c r="D122" s="17">
        <f>'USER INPUT SHEET'!$D$32</f>
        <v>0</v>
      </c>
      <c r="E122" s="18" t="str">
        <f>'USER INPUT SHEET'!$F$32</f>
        <v>m2</v>
      </c>
      <c r="F122" s="4">
        <v>1</v>
      </c>
      <c r="G122" s="674"/>
      <c r="H122" s="9"/>
      <c r="I122" s="95">
        <f t="shared" si="37"/>
        <v>0</v>
      </c>
      <c r="J122" s="96" t="str">
        <f t="shared" si="38"/>
        <v/>
      </c>
      <c r="K122" s="407">
        <f>$D122*$F122*VLOOKUP($C122,'Master sheet'!$A:$AL,13,FALSE)</f>
        <v>0</v>
      </c>
      <c r="L122" s="97">
        <f>$D122*$F122*VLOOKUP($C122,'Master sheet'!$A:$AL,27,FALSE)</f>
        <v>0</v>
      </c>
      <c r="M122" s="1552"/>
      <c r="N122" s="1552"/>
      <c r="O122" s="25" t="str">
        <f>_xlfn.IFNA(VLOOKUP($C122,'Master sheet'!$A:$AR,44,FALSE),"")&amp;""</f>
        <v/>
      </c>
      <c r="P122" s="637"/>
      <c r="Q122" s="728" t="s">
        <v>52</v>
      </c>
      <c r="R122" s="717" t="s">
        <v>4591</v>
      </c>
      <c r="S122" s="638"/>
      <c r="T122" s="638"/>
      <c r="U122" s="638"/>
      <c r="V122" s="638"/>
      <c r="W122" s="638"/>
      <c r="X122" s="638"/>
      <c r="Y122" s="638"/>
      <c r="Z122" s="638"/>
    </row>
    <row r="123" spans="1:26" s="624" customFormat="1" ht="31.2" x14ac:dyDescent="0.25">
      <c r="A123" s="1576"/>
      <c r="B123" s="1576"/>
      <c r="C123" s="673" t="str">
        <f>INDEX('Master sheet'!$A$1:$A$670,MATCH("A185",'Master sheet'!$AN$1:$AN$670,0))</f>
        <v xml:space="preserve">Int. Wall &amp; Ceiling Barrier, sheet / SIGA / Majrex 200 / Moisture-variable / </v>
      </c>
      <c r="D123" s="17">
        <f>'USER INPUT SHEET'!$D$32</f>
        <v>0</v>
      </c>
      <c r="E123" s="18" t="str">
        <f>'USER INPUT SHEET'!$F$32</f>
        <v>m2</v>
      </c>
      <c r="F123" s="4">
        <v>1</v>
      </c>
      <c r="G123" s="674"/>
      <c r="H123" s="9"/>
      <c r="I123" s="95">
        <f t="shared" si="37"/>
        <v>0</v>
      </c>
      <c r="J123" s="96" t="str">
        <f t="shared" si="38"/>
        <v/>
      </c>
      <c r="K123" s="407">
        <f>$D123*$F123*VLOOKUP($C123,'Master sheet'!$A:$AL,13,FALSE)</f>
        <v>0</v>
      </c>
      <c r="L123" s="97">
        <f>$D123*$F123*VLOOKUP($C123,'Master sheet'!$A:$AL,27,FALSE)</f>
        <v>0</v>
      </c>
      <c r="M123" s="1610"/>
      <c r="N123" s="1610"/>
      <c r="O123" s="25" t="str">
        <f>_xlfn.IFNA(VLOOKUP($C123,'Master sheet'!$A:$AR,44,FALSE),"")&amp;""</f>
        <v/>
      </c>
      <c r="P123" s="637"/>
      <c r="Q123" s="728" t="s">
        <v>52</v>
      </c>
      <c r="R123" s="717" t="s">
        <v>4591</v>
      </c>
      <c r="S123" s="638"/>
      <c r="T123" s="638"/>
      <c r="U123" s="638"/>
      <c r="V123" s="638"/>
      <c r="W123" s="638"/>
      <c r="X123" s="638"/>
      <c r="Y123" s="638"/>
      <c r="Z123" s="638"/>
    </row>
    <row r="124" spans="1:26" ht="23.85" customHeight="1" x14ac:dyDescent="0.25">
      <c r="A124" s="686"/>
      <c r="B124" s="1541" t="s">
        <v>4770</v>
      </c>
      <c r="C124" s="1541"/>
      <c r="D124" s="656"/>
      <c r="E124" s="657"/>
      <c r="F124" s="327"/>
      <c r="G124" s="695"/>
      <c r="H124" s="695"/>
      <c r="I124" s="658"/>
      <c r="J124" s="659"/>
      <c r="K124" s="660"/>
      <c r="L124" s="661"/>
      <c r="M124" s="677"/>
      <c r="N124" s="677"/>
      <c r="O124" s="25" t="str">
        <f>_xlfn.IFNA(VLOOKUP($C124,'Master sheet'!$A:$AR,44,FALSE),"")&amp;""</f>
        <v/>
      </c>
      <c r="P124" s="637"/>
      <c r="Q124" s="722"/>
      <c r="R124" s="717" t="s">
        <v>4591</v>
      </c>
      <c r="S124" s="638"/>
      <c r="T124" s="638"/>
      <c r="U124" s="664"/>
      <c r="V124" s="664"/>
      <c r="W124" s="664"/>
      <c r="X124" s="664"/>
      <c r="Y124" s="664"/>
      <c r="Z124" s="638"/>
    </row>
    <row r="125" spans="1:26" ht="22.8" x14ac:dyDescent="0.25">
      <c r="A125" s="1576"/>
      <c r="B125" s="1576"/>
      <c r="C125" s="691" t="s">
        <v>4773</v>
      </c>
      <c r="D125" s="19">
        <f>'USER INPUT SHEET'!$D$32</f>
        <v>0</v>
      </c>
      <c r="E125" s="20" t="str">
        <f>'USER INPUT SHEET'!$F$32</f>
        <v>m2</v>
      </c>
      <c r="F125" s="6">
        <v>1</v>
      </c>
      <c r="G125" s="692"/>
      <c r="H125" s="10"/>
      <c r="I125" s="98">
        <f t="shared" ref="I125:I126" si="39">K125-L125</f>
        <v>0</v>
      </c>
      <c r="J125" s="106" t="str">
        <f>IF(H125=1,I125,"")</f>
        <v/>
      </c>
      <c r="K125" s="410">
        <f>$F125*AVERAGE(K126:K132)</f>
        <v>0</v>
      </c>
      <c r="L125" s="99">
        <f>$F125*AVERAGE(L126:L132)</f>
        <v>0</v>
      </c>
      <c r="M125" s="1552"/>
      <c r="N125" s="1552"/>
      <c r="O125" s="25" t="str">
        <f>_xlfn.IFNA(VLOOKUP($C125,'Master sheet'!$A:$AR,44,FALSE),"")&amp;""</f>
        <v/>
      </c>
      <c r="P125" s="685"/>
      <c r="Q125" s="728" t="s">
        <v>52</v>
      </c>
      <c r="R125" s="717" t="s">
        <v>4591</v>
      </c>
      <c r="S125" s="664"/>
      <c r="T125" s="664"/>
      <c r="U125" s="664"/>
      <c r="V125" s="664"/>
      <c r="W125" s="664"/>
      <c r="X125" s="664"/>
      <c r="Y125" s="664"/>
      <c r="Z125" s="664"/>
    </row>
    <row r="126" spans="1:26" s="624" customFormat="1" ht="31.2" x14ac:dyDescent="0.25">
      <c r="A126" s="1576"/>
      <c r="B126" s="1576"/>
      <c r="C126" s="673" t="str">
        <f>INDEX('Master sheet'!$A$1:$A$670,MATCH("A157",'Master sheet'!$AN$1:$AN$670,0))</f>
        <v>Int. Wall &amp; Ceiling Barrier, sheet / Rothoblaas / Vapor In Green 200 / Non-permeable / 0.35 mm</v>
      </c>
      <c r="D126" s="17">
        <f>'USER INPUT SHEET'!$D$32</f>
        <v>0</v>
      </c>
      <c r="E126" s="18" t="str">
        <f>'USER INPUT SHEET'!$F$32</f>
        <v>m2</v>
      </c>
      <c r="F126" s="4">
        <v>1</v>
      </c>
      <c r="G126" s="674"/>
      <c r="H126" s="9"/>
      <c r="I126" s="95">
        <f t="shared" si="39"/>
        <v>0</v>
      </c>
      <c r="J126" s="96" t="str">
        <f t="shared" ref="J126" si="40">IF(H126=1,I126,"")</f>
        <v/>
      </c>
      <c r="K126" s="407">
        <f>$D126*$F126*VLOOKUP($C126,'Master sheet'!$A:$AL,13,FALSE)</f>
        <v>0</v>
      </c>
      <c r="L126" s="97">
        <f>$D126*$F126*VLOOKUP($C126,'Master sheet'!$A:$AL,27,FALSE)</f>
        <v>0</v>
      </c>
      <c r="M126" s="1552"/>
      <c r="N126" s="1552"/>
      <c r="O126" s="25" t="str">
        <f>_xlfn.IFNA(VLOOKUP($C126,'Master sheet'!$A:$AR,44,FALSE),"")&amp;""</f>
        <v/>
      </c>
      <c r="P126" s="637"/>
      <c r="Q126" s="728" t="s">
        <v>52</v>
      </c>
      <c r="R126" s="717" t="s">
        <v>4591</v>
      </c>
      <c r="T126" s="638"/>
      <c r="U126" s="638"/>
      <c r="V126" s="638"/>
      <c r="W126" s="638"/>
      <c r="X126" s="638"/>
      <c r="Y126" s="638"/>
      <c r="Z126" s="664"/>
    </row>
    <row r="127" spans="1:26" s="624" customFormat="1" ht="31.2" x14ac:dyDescent="0.25">
      <c r="A127" s="1576"/>
      <c r="B127" s="1576"/>
      <c r="C127" s="673" t="str">
        <f>INDEX('Master sheet'!$A$1:$A$670,MATCH("A160",'Master sheet'!$AN$1:$AN$670,0))</f>
        <v>Ext. &amp; Int. Wall &amp; Roof Barrier, sheet / Rothoblaas / Traspir Vapor 225 / Non-permeable / 0.8 mm</v>
      </c>
      <c r="D127" s="17">
        <f>'USER INPUT SHEET'!$D$32</f>
        <v>0</v>
      </c>
      <c r="E127" s="18" t="str">
        <f>'USER INPUT SHEET'!$F$32</f>
        <v>m2</v>
      </c>
      <c r="F127" s="4">
        <v>1</v>
      </c>
      <c r="G127" s="674"/>
      <c r="H127" s="9"/>
      <c r="I127" s="95">
        <f t="shared" ref="I127:I132" si="41">K127-L127</f>
        <v>0</v>
      </c>
      <c r="J127" s="96" t="str">
        <f t="shared" ref="J127:J132" si="42">IF(H127=1,I127,"")</f>
        <v/>
      </c>
      <c r="K127" s="407">
        <f>$D127*$F127*VLOOKUP($C127,'Master sheet'!$A:$AL,13,FALSE)</f>
        <v>0</v>
      </c>
      <c r="L127" s="97">
        <f>$D127*$F127*VLOOKUP($C127,'Master sheet'!$A:$AL,27,FALSE)</f>
        <v>0</v>
      </c>
      <c r="M127" s="1552"/>
      <c r="N127" s="1552"/>
      <c r="O127" s="25" t="str">
        <f>_xlfn.IFNA(VLOOKUP($C127,'Master sheet'!$A:$AR,44,FALSE),"")&amp;""</f>
        <v/>
      </c>
      <c r="P127" s="637"/>
      <c r="Q127" s="728" t="s">
        <v>52</v>
      </c>
      <c r="R127" s="717" t="s">
        <v>4591</v>
      </c>
      <c r="T127" s="638"/>
      <c r="U127" s="638"/>
      <c r="V127" s="638"/>
      <c r="W127" s="638"/>
      <c r="X127" s="638"/>
      <c r="Y127" s="638"/>
      <c r="Z127" s="664"/>
    </row>
    <row r="128" spans="1:26" s="624" customFormat="1" ht="31.2" x14ac:dyDescent="0.25">
      <c r="A128" s="1576"/>
      <c r="B128" s="1576"/>
      <c r="C128" s="673" t="str">
        <f>INDEX('Master sheet'!$A$1:$A$670,MATCH("A176",'Master sheet'!$AN$1:$AN$670,0))</f>
        <v>Ext. Wall barrier, sheet / GCP / Perm-a-Barrier NPS / Non-permeable / 0.46 mm</v>
      </c>
      <c r="D128" s="17">
        <f>'USER INPUT SHEET'!$D$32</f>
        <v>0</v>
      </c>
      <c r="E128" s="18" t="str">
        <f>'USER INPUT SHEET'!$F$32</f>
        <v>m2</v>
      </c>
      <c r="F128" s="4">
        <v>1</v>
      </c>
      <c r="G128" s="674"/>
      <c r="H128" s="9"/>
      <c r="I128" s="95">
        <f t="shared" si="41"/>
        <v>0</v>
      </c>
      <c r="J128" s="96" t="str">
        <f t="shared" si="42"/>
        <v/>
      </c>
      <c r="K128" s="407">
        <f>$D128*$F128*VLOOKUP($C128,'Master sheet'!$A:$AL,13,FALSE)</f>
        <v>0</v>
      </c>
      <c r="L128" s="97">
        <f>$D128*$F128*VLOOKUP($C128,'Master sheet'!$A:$AL,27,FALSE)</f>
        <v>0</v>
      </c>
      <c r="M128" s="1552"/>
      <c r="N128" s="1552"/>
      <c r="O128" s="25" t="str">
        <f>_xlfn.IFNA(VLOOKUP($C128,'Master sheet'!$A:$AR,44,FALSE),"")&amp;""</f>
        <v/>
      </c>
      <c r="P128" s="637"/>
      <c r="Q128" s="728" t="s">
        <v>52</v>
      </c>
      <c r="R128" s="717" t="s">
        <v>4591</v>
      </c>
      <c r="T128" s="638"/>
      <c r="U128" s="638"/>
      <c r="V128" s="638"/>
      <c r="W128" s="638"/>
      <c r="X128" s="638"/>
      <c r="Y128" s="638"/>
      <c r="Z128" s="664"/>
    </row>
    <row r="129" spans="1:26" s="624" customFormat="1" ht="31.2" x14ac:dyDescent="0.25">
      <c r="A129" s="1576"/>
      <c r="B129" s="1576"/>
      <c r="C129" s="673" t="str">
        <f>INDEX('Master sheet'!$A$1:$A$670,MATCH("A181",'Master sheet'!$AN$1:$AN$670,0))</f>
        <v xml:space="preserve">Int. Wall &amp; Ceiling Barrier, sheet / Partel / IZOPERM PLUS / Non-permeable / </v>
      </c>
      <c r="D129" s="17">
        <f>'USER INPUT SHEET'!$D$32</f>
        <v>0</v>
      </c>
      <c r="E129" s="18" t="str">
        <f>'USER INPUT SHEET'!$F$32</f>
        <v>m2</v>
      </c>
      <c r="F129" s="4">
        <v>1</v>
      </c>
      <c r="G129" s="674"/>
      <c r="H129" s="9"/>
      <c r="I129" s="95">
        <f t="shared" si="41"/>
        <v>0</v>
      </c>
      <c r="J129" s="96" t="str">
        <f t="shared" si="42"/>
        <v/>
      </c>
      <c r="K129" s="407">
        <f>$D129*$F129*VLOOKUP($C129,'Master sheet'!$A:$AL,13,FALSE)</f>
        <v>0</v>
      </c>
      <c r="L129" s="97">
        <f>$D129*$F129*VLOOKUP($C129,'Master sheet'!$A:$AL,27,FALSE)</f>
        <v>0</v>
      </c>
      <c r="M129" s="1552"/>
      <c r="N129" s="1552"/>
      <c r="O129" s="25" t="str">
        <f>_xlfn.IFNA(VLOOKUP($C129,'Master sheet'!$A:$AR,44,FALSE),"")&amp;""</f>
        <v/>
      </c>
      <c r="P129" s="637"/>
      <c r="Q129" s="728" t="s">
        <v>52</v>
      </c>
      <c r="R129" s="717" t="s">
        <v>4591</v>
      </c>
      <c r="T129" s="638"/>
      <c r="U129" s="638"/>
      <c r="V129" s="638"/>
      <c r="W129" s="638"/>
      <c r="X129" s="638"/>
      <c r="Y129" s="638"/>
      <c r="Z129" s="638"/>
    </row>
    <row r="130" spans="1:26" s="624" customFormat="1" ht="31.2" x14ac:dyDescent="0.25">
      <c r="A130" s="1576"/>
      <c r="B130" s="1576"/>
      <c r="C130" s="673" t="str">
        <f>INDEX('Master sheet'!$A$1:$A$670,MATCH("A184",'Master sheet'!$AN$1:$AN$670,0))</f>
        <v>Int. Wall &amp; Ceiling Barrier, sheet / Rothoblaas / Vapor in NET 140 / Non-permeable / 0.15 mm</v>
      </c>
      <c r="D130" s="17">
        <f>'USER INPUT SHEET'!$D$32</f>
        <v>0</v>
      </c>
      <c r="E130" s="18" t="str">
        <f>'USER INPUT SHEET'!$F$32</f>
        <v>m2</v>
      </c>
      <c r="F130" s="4">
        <v>1</v>
      </c>
      <c r="G130" s="674"/>
      <c r="H130" s="9"/>
      <c r="I130" s="95">
        <f t="shared" si="41"/>
        <v>0</v>
      </c>
      <c r="J130" s="96" t="str">
        <f t="shared" si="42"/>
        <v/>
      </c>
      <c r="K130" s="407">
        <f>$D130*$F130*VLOOKUP($C130,'Master sheet'!$A:$AL,13,FALSE)</f>
        <v>0</v>
      </c>
      <c r="L130" s="97">
        <f>$D130*$F130*VLOOKUP($C130,'Master sheet'!$A:$AL,27,FALSE)</f>
        <v>0</v>
      </c>
      <c r="M130" s="1552"/>
      <c r="N130" s="1552"/>
      <c r="O130" s="25" t="str">
        <f>_xlfn.IFNA(VLOOKUP($C130,'Master sheet'!$A:$AR,44,FALSE),"")&amp;""</f>
        <v/>
      </c>
      <c r="P130" s="637"/>
      <c r="Q130" s="728" t="s">
        <v>52</v>
      </c>
      <c r="R130" s="717" t="s">
        <v>4591</v>
      </c>
      <c r="T130" s="638"/>
      <c r="U130" s="638"/>
      <c r="V130" s="638"/>
      <c r="W130" s="638"/>
      <c r="X130" s="638"/>
      <c r="Y130" s="638"/>
      <c r="Z130" s="664"/>
    </row>
    <row r="131" spans="1:26" s="624" customFormat="1" ht="23.25" customHeight="1" x14ac:dyDescent="0.25">
      <c r="A131" s="1576"/>
      <c r="B131" s="1576"/>
      <c r="C131" s="673" t="str">
        <f>INDEX('Master sheet'!$A$1:$A$670,MATCH("A186",'Master sheet'!$AN$1:$AN$670,0))</f>
        <v>Barrier, sheet /  / Polyethylene sheet / 10 mil</v>
      </c>
      <c r="D131" s="17">
        <f>'USER INPUT SHEET'!$D$32</f>
        <v>0</v>
      </c>
      <c r="E131" s="18" t="str">
        <f>'USER INPUT SHEET'!$F$32</f>
        <v>m2</v>
      </c>
      <c r="F131" s="4">
        <v>1</v>
      </c>
      <c r="G131" s="674"/>
      <c r="H131" s="9"/>
      <c r="I131" s="95">
        <f t="shared" si="41"/>
        <v>0</v>
      </c>
      <c r="J131" s="96" t="str">
        <f t="shared" si="42"/>
        <v/>
      </c>
      <c r="K131" s="407">
        <f>$D131*$F131*VLOOKUP($C131,'Master sheet'!$A:$AL,13,FALSE)</f>
        <v>0</v>
      </c>
      <c r="L131" s="97">
        <f>$D131*$F131*VLOOKUP($C131,'Master sheet'!$A:$AL,27,FALSE)</f>
        <v>0</v>
      </c>
      <c r="M131" s="1552"/>
      <c r="N131" s="1552"/>
      <c r="O131" s="25" t="str">
        <f>_xlfn.IFNA(VLOOKUP($C131,'Master sheet'!$A:$AR,44,FALSE),"")&amp;""</f>
        <v/>
      </c>
      <c r="P131" s="637"/>
      <c r="Q131" s="728" t="s">
        <v>52</v>
      </c>
      <c r="R131" s="717" t="s">
        <v>4591</v>
      </c>
      <c r="T131" s="638"/>
      <c r="U131" s="638"/>
      <c r="V131" s="638"/>
      <c r="W131" s="638"/>
      <c r="X131" s="638"/>
      <c r="Y131" s="638"/>
      <c r="Z131" s="638"/>
    </row>
    <row r="132" spans="1:26" s="624" customFormat="1" ht="23.25" customHeight="1" x14ac:dyDescent="0.25">
      <c r="A132" s="1576"/>
      <c r="B132" s="1576"/>
      <c r="C132" s="673" t="str">
        <f>INDEX('Master sheet'!$A$1:$A$670,MATCH("A187",'Master sheet'!$AN$1:$AN$670,0))</f>
        <v>Barrier, sheet /  / Polyethylene sheet / 6 mil</v>
      </c>
      <c r="D132" s="17">
        <f>'USER INPUT SHEET'!$D$32</f>
        <v>0</v>
      </c>
      <c r="E132" s="18" t="str">
        <f>'USER INPUT SHEET'!$F$32</f>
        <v>m2</v>
      </c>
      <c r="F132" s="4">
        <v>1</v>
      </c>
      <c r="G132" s="674"/>
      <c r="H132" s="9"/>
      <c r="I132" s="95">
        <f t="shared" si="41"/>
        <v>0</v>
      </c>
      <c r="J132" s="96" t="str">
        <f t="shared" si="42"/>
        <v/>
      </c>
      <c r="K132" s="407">
        <f>$D132*$F132*VLOOKUP($C132,'Master sheet'!$A:$AL,13,FALSE)</f>
        <v>0</v>
      </c>
      <c r="L132" s="97">
        <f>$D132*$F132*VLOOKUP($C132,'Master sheet'!$A:$AL,27,FALSE)</f>
        <v>0</v>
      </c>
      <c r="M132" s="1610"/>
      <c r="N132" s="1610"/>
      <c r="O132" s="25" t="str">
        <f>_xlfn.IFNA(VLOOKUP($C132,'Master sheet'!$A:$AR,44,FALSE),"")&amp;""</f>
        <v/>
      </c>
      <c r="P132" s="637"/>
      <c r="Q132" s="728" t="s">
        <v>52</v>
      </c>
      <c r="R132" s="717" t="s">
        <v>4591</v>
      </c>
      <c r="T132" s="638"/>
      <c r="U132" s="638"/>
      <c r="V132" s="638"/>
      <c r="W132" s="638"/>
      <c r="X132" s="638"/>
      <c r="Y132" s="638"/>
      <c r="Z132" s="638"/>
    </row>
    <row r="133" spans="1:26" ht="23.85" customHeight="1" x14ac:dyDescent="0.25">
      <c r="A133" s="686"/>
      <c r="B133" s="1541" t="s">
        <v>4593</v>
      </c>
      <c r="C133" s="1541"/>
      <c r="D133" s="656"/>
      <c r="E133" s="657"/>
      <c r="F133" s="327"/>
      <c r="G133" s="695"/>
      <c r="H133" s="695"/>
      <c r="I133" s="658"/>
      <c r="J133" s="659"/>
      <c r="K133" s="660"/>
      <c r="L133" s="661"/>
      <c r="M133" s="677"/>
      <c r="N133" s="677"/>
      <c r="O133" s="25" t="str">
        <f>_xlfn.IFNA(VLOOKUP($C133,'Master sheet'!$A:$AR,44,FALSE),"")&amp;""</f>
        <v/>
      </c>
      <c r="P133" s="637"/>
      <c r="Q133" s="722"/>
      <c r="R133" s="717" t="s">
        <v>4591</v>
      </c>
      <c r="S133" s="638"/>
      <c r="T133" s="638"/>
      <c r="U133" s="664"/>
      <c r="V133" s="664"/>
      <c r="W133" s="664"/>
      <c r="X133" s="664"/>
      <c r="Y133" s="664"/>
      <c r="Z133" s="638"/>
    </row>
    <row r="134" spans="1:26" ht="22.8" x14ac:dyDescent="0.25">
      <c r="A134" s="1576"/>
      <c r="B134" s="1576"/>
      <c r="C134" s="691" t="s">
        <v>4766</v>
      </c>
      <c r="D134" s="19">
        <f>'USER INPUT SHEET'!$D$32</f>
        <v>0</v>
      </c>
      <c r="E134" s="20" t="str">
        <f>'USER INPUT SHEET'!$F$32</f>
        <v>m2</v>
      </c>
      <c r="F134" s="6">
        <v>1</v>
      </c>
      <c r="G134" s="692"/>
      <c r="H134" s="10"/>
      <c r="I134" s="98">
        <f t="shared" ref="I134:I141" si="43">K134-L134</f>
        <v>0</v>
      </c>
      <c r="J134" s="106" t="str">
        <f>IF(H134=1,I134,"")</f>
        <v/>
      </c>
      <c r="K134" s="410">
        <f>$F134*AVERAGE(K135:K141)</f>
        <v>0</v>
      </c>
      <c r="L134" s="99">
        <f>$F134*AVERAGE(L135:L141)</f>
        <v>0</v>
      </c>
      <c r="M134" s="1552"/>
      <c r="N134" s="1552"/>
      <c r="O134" s="25" t="str">
        <f>_xlfn.IFNA(VLOOKUP($C134,'Master sheet'!$A:$AR,44,FALSE),"")&amp;""</f>
        <v/>
      </c>
      <c r="P134" s="685"/>
      <c r="Q134" s="728" t="s">
        <v>52</v>
      </c>
      <c r="R134" s="717" t="s">
        <v>4591</v>
      </c>
      <c r="S134" s="664"/>
      <c r="T134" s="664"/>
      <c r="U134" s="664"/>
      <c r="V134" s="664"/>
      <c r="W134" s="664"/>
      <c r="X134" s="664"/>
      <c r="Y134" s="664"/>
      <c r="Z134" s="638"/>
    </row>
    <row r="135" spans="1:26" s="624" customFormat="1" ht="31.2" x14ac:dyDescent="0.25">
      <c r="A135" s="1576"/>
      <c r="B135" s="1576"/>
      <c r="C135" s="673" t="str">
        <f>INDEX('Master sheet'!$A$1:$A$670,MATCH("A165",'Master sheet'!$AN$1:$AN$670,0))</f>
        <v>Ext. Wall &amp; Roof Barrier, liquid applied / Carlisle / Barrithane VP / 11.1 Perms / 40 mils</v>
      </c>
      <c r="D135" s="17">
        <f>'USER INPUT SHEET'!$D$32</f>
        <v>0</v>
      </c>
      <c r="E135" s="18" t="str">
        <f>'USER INPUT SHEET'!$F$32</f>
        <v>m2</v>
      </c>
      <c r="F135" s="4">
        <v>1</v>
      </c>
      <c r="G135" s="674"/>
      <c r="H135" s="9"/>
      <c r="I135" s="95">
        <f t="shared" si="43"/>
        <v>0</v>
      </c>
      <c r="J135" s="96" t="str">
        <f t="shared" ref="J135:J141" si="44">IF(H135=1,I135,"")</f>
        <v/>
      </c>
      <c r="K135" s="407">
        <f>$D135*$F135*VLOOKUP($C135,'Master sheet'!$A:$AL,13,FALSE)</f>
        <v>0</v>
      </c>
      <c r="L135" s="97">
        <f>$D135*$F135*VLOOKUP($C135,'Master sheet'!$A:$AL,27,FALSE)</f>
        <v>0</v>
      </c>
      <c r="M135" s="1552"/>
      <c r="N135" s="1552"/>
      <c r="O135" s="25" t="str">
        <f>_xlfn.IFNA(VLOOKUP($C135,'Master sheet'!$A:$AR,44,FALSE),"")&amp;""</f>
        <v/>
      </c>
      <c r="P135" s="637"/>
      <c r="Q135" s="728" t="s">
        <v>52</v>
      </c>
      <c r="R135" s="717" t="s">
        <v>4591</v>
      </c>
      <c r="T135" s="638"/>
      <c r="U135" s="638"/>
      <c r="V135" s="638"/>
      <c r="W135" s="638"/>
      <c r="X135" s="638"/>
      <c r="Y135" s="638"/>
      <c r="Z135" s="664"/>
    </row>
    <row r="136" spans="1:26" s="624" customFormat="1" ht="31.2" x14ac:dyDescent="0.25">
      <c r="A136" s="1576"/>
      <c r="B136" s="1576"/>
      <c r="C136" s="673" t="str">
        <f>INDEX('Master sheet'!$A$1:$A$670,MATCH("A173",'Master sheet'!$AN$1:$AN$670,0))</f>
        <v>Ext. Wall barrier, liquid applied / GCP / Perm-a-Barrier NPL 10 / Non-permeable / 1 mm</v>
      </c>
      <c r="D136" s="17">
        <f>'USER INPUT SHEET'!$D$32</f>
        <v>0</v>
      </c>
      <c r="E136" s="18" t="str">
        <f>'USER INPUT SHEET'!$F$32</f>
        <v>m2</v>
      </c>
      <c r="F136" s="4">
        <v>1</v>
      </c>
      <c r="G136" s="674"/>
      <c r="H136" s="9"/>
      <c r="I136" s="95">
        <f t="shared" si="43"/>
        <v>0</v>
      </c>
      <c r="J136" s="96" t="str">
        <f t="shared" si="44"/>
        <v/>
      </c>
      <c r="K136" s="407">
        <f>$D136*$F136*VLOOKUP($C136,'Master sheet'!$A:$AL,13,FALSE)</f>
        <v>0</v>
      </c>
      <c r="L136" s="97">
        <f>$D136*$F136*VLOOKUP($C136,'Master sheet'!$A:$AL,27,FALSE)</f>
        <v>0</v>
      </c>
      <c r="M136" s="1552"/>
      <c r="N136" s="1552"/>
      <c r="O136" s="25" t="str">
        <f>_xlfn.IFNA(VLOOKUP($C136,'Master sheet'!$A:$AR,44,FALSE),"")&amp;""</f>
        <v/>
      </c>
      <c r="P136" s="637"/>
      <c r="Q136" s="728" t="s">
        <v>52</v>
      </c>
      <c r="R136" s="717" t="s">
        <v>4591</v>
      </c>
      <c r="T136" s="638"/>
      <c r="U136" s="638"/>
      <c r="V136" s="638"/>
      <c r="W136" s="638"/>
      <c r="X136" s="638"/>
      <c r="Y136" s="638"/>
      <c r="Z136" s="664"/>
    </row>
    <row r="137" spans="1:26" s="624" customFormat="1" ht="31.2" x14ac:dyDescent="0.25">
      <c r="A137" s="1576"/>
      <c r="B137" s="1576"/>
      <c r="C137" s="673" t="str">
        <f>INDEX('Master sheet'!$A$1:$A$670,MATCH("A174",'Master sheet'!$AN$1:$AN$670,0))</f>
        <v>Ext. Wall barrier, liquid applied / GCP / Perm-a-Barrier VPL / 20 Perms / 0.64 mm</v>
      </c>
      <c r="D137" s="17">
        <f>'USER INPUT SHEET'!$D$32</f>
        <v>0</v>
      </c>
      <c r="E137" s="18" t="str">
        <f>'USER INPUT SHEET'!$F$32</f>
        <v>m2</v>
      </c>
      <c r="F137" s="4">
        <v>1</v>
      </c>
      <c r="G137" s="674"/>
      <c r="H137" s="9"/>
      <c r="I137" s="95">
        <f t="shared" si="43"/>
        <v>0</v>
      </c>
      <c r="J137" s="96" t="str">
        <f t="shared" si="44"/>
        <v/>
      </c>
      <c r="K137" s="407">
        <f>$D137*$F137*VLOOKUP($C137,'Master sheet'!$A:$AL,13,FALSE)</f>
        <v>0</v>
      </c>
      <c r="L137" s="97">
        <f>$D137*$F137*VLOOKUP($C137,'Master sheet'!$A:$AL,27,FALSE)</f>
        <v>0</v>
      </c>
      <c r="M137" s="1552"/>
      <c r="N137" s="1552"/>
      <c r="O137" s="25" t="str">
        <f>_xlfn.IFNA(VLOOKUP($C137,'Master sheet'!$A:$AR,44,FALSE),"")&amp;""</f>
        <v/>
      </c>
      <c r="P137" s="637"/>
      <c r="Q137" s="728" t="s">
        <v>52</v>
      </c>
      <c r="R137" s="717" t="s">
        <v>4591</v>
      </c>
      <c r="T137" s="638"/>
      <c r="U137" s="638"/>
      <c r="V137" s="638"/>
      <c r="W137" s="638"/>
      <c r="X137" s="638"/>
      <c r="Y137" s="638"/>
      <c r="Z137" s="664"/>
    </row>
    <row r="138" spans="1:26" s="624" customFormat="1" ht="31.2" x14ac:dyDescent="0.25">
      <c r="A138" s="1576"/>
      <c r="B138" s="1576"/>
      <c r="C138" s="673" t="str">
        <f>INDEX('Master sheet'!$A$1:$A$670,MATCH("A175",'Master sheet'!$AN$1:$AN$670,0))</f>
        <v>Ext. Wall barrier, liquid applied / GCP / Perm-a-Barrier VPL 50 RS / 13 Perms / 0.51 mm</v>
      </c>
      <c r="D138" s="17">
        <f>'USER INPUT SHEET'!$D$32</f>
        <v>0</v>
      </c>
      <c r="E138" s="18" t="str">
        <f>'USER INPUT SHEET'!$F$32</f>
        <v>m2</v>
      </c>
      <c r="F138" s="4">
        <v>1</v>
      </c>
      <c r="G138" s="674"/>
      <c r="H138" s="9"/>
      <c r="I138" s="95">
        <f t="shared" si="43"/>
        <v>0</v>
      </c>
      <c r="J138" s="96" t="str">
        <f t="shared" si="44"/>
        <v/>
      </c>
      <c r="K138" s="407">
        <f>$D138*$F138*VLOOKUP($C138,'Master sheet'!$A:$AL,13,FALSE)</f>
        <v>0</v>
      </c>
      <c r="L138" s="97">
        <f>$D138*$F138*VLOOKUP($C138,'Master sheet'!$A:$AL,27,FALSE)</f>
        <v>0</v>
      </c>
      <c r="M138" s="1552"/>
      <c r="N138" s="1552"/>
      <c r="O138" s="25" t="str">
        <f>_xlfn.IFNA(VLOOKUP($C138,'Master sheet'!$A:$AR,44,FALSE),"")&amp;""</f>
        <v/>
      </c>
      <c r="P138" s="637"/>
      <c r="Q138" s="728" t="s">
        <v>52</v>
      </c>
      <c r="R138" s="717" t="s">
        <v>4591</v>
      </c>
      <c r="T138" s="638"/>
      <c r="U138" s="638"/>
      <c r="V138" s="638"/>
      <c r="W138" s="638"/>
      <c r="X138" s="638"/>
      <c r="Y138" s="638"/>
      <c r="Z138" s="664"/>
    </row>
    <row r="139" spans="1:26" s="624" customFormat="1" ht="31.2" x14ac:dyDescent="0.25">
      <c r="A139" s="1576"/>
      <c r="B139" s="1576"/>
      <c r="C139" s="673" t="str">
        <f>INDEX('Master sheet'!$A$1:$A$670,MATCH("A177",'Master sheet'!$AN$1:$AN$670,0))</f>
        <v xml:space="preserve">Ext. Wall Barrier, liquid applied / Soprema / Sopraseal LM 200 S / 0.6 Perm / </v>
      </c>
      <c r="D139" s="17">
        <f>'USER INPUT SHEET'!$D$32</f>
        <v>0</v>
      </c>
      <c r="E139" s="18" t="str">
        <f>'USER INPUT SHEET'!$F$32</f>
        <v>m2</v>
      </c>
      <c r="F139" s="4">
        <v>1</v>
      </c>
      <c r="G139" s="674"/>
      <c r="H139" s="9"/>
      <c r="I139" s="95">
        <f t="shared" si="43"/>
        <v>0</v>
      </c>
      <c r="J139" s="96" t="str">
        <f t="shared" si="44"/>
        <v/>
      </c>
      <c r="K139" s="407">
        <f>$D139*$F139*VLOOKUP($C139,'Master sheet'!$A:$AL,13,FALSE)</f>
        <v>0</v>
      </c>
      <c r="L139" s="97">
        <f>$D139*$F139*VLOOKUP($C139,'Master sheet'!$A:$AL,27,FALSE)</f>
        <v>0</v>
      </c>
      <c r="M139" s="1552"/>
      <c r="N139" s="1552"/>
      <c r="O139" s="25" t="str">
        <f>_xlfn.IFNA(VLOOKUP($C139,'Master sheet'!$A:$AR,44,FALSE),"")&amp;""</f>
        <v/>
      </c>
      <c r="P139" s="637"/>
      <c r="Q139" s="728" t="s">
        <v>52</v>
      </c>
      <c r="R139" s="717" t="s">
        <v>4591</v>
      </c>
      <c r="T139" s="638"/>
      <c r="U139" s="638"/>
      <c r="V139" s="638"/>
      <c r="W139" s="638"/>
      <c r="X139" s="638"/>
      <c r="Y139" s="638"/>
      <c r="Z139" s="638"/>
    </row>
    <row r="140" spans="1:26" s="624" customFormat="1" ht="31.2" x14ac:dyDescent="0.25">
      <c r="A140" s="1576"/>
      <c r="B140" s="1576"/>
      <c r="C140" s="673" t="str">
        <f>INDEX('Master sheet'!$A$1:$A$670,MATCH("A178",'Master sheet'!$AN$1:$AN$670,0))</f>
        <v>Ext. Wall Barrier, liquid applied / Soprema / SOPRASEAL LM 204 VP / 10-17 Perms / 0.6 mm</v>
      </c>
      <c r="D140" s="17">
        <f>'USER INPUT SHEET'!$D$32</f>
        <v>0</v>
      </c>
      <c r="E140" s="18" t="str">
        <f>'USER INPUT SHEET'!$F$32</f>
        <v>m2</v>
      </c>
      <c r="F140" s="4">
        <v>1</v>
      </c>
      <c r="G140" s="674"/>
      <c r="H140" s="9"/>
      <c r="I140" s="95">
        <f t="shared" si="43"/>
        <v>0</v>
      </c>
      <c r="J140" s="96" t="str">
        <f t="shared" si="44"/>
        <v/>
      </c>
      <c r="K140" s="407">
        <f>$D140*$F140*VLOOKUP($C140,'Master sheet'!$A:$AL,13,FALSE)</f>
        <v>0</v>
      </c>
      <c r="L140" s="97">
        <f>$D140*$F140*VLOOKUP($C140,'Master sheet'!$A:$AL,27,FALSE)</f>
        <v>0</v>
      </c>
      <c r="M140" s="1552"/>
      <c r="N140" s="1552"/>
      <c r="O140" s="25" t="str">
        <f>_xlfn.IFNA(VLOOKUP($C140,'Master sheet'!$A:$AR,44,FALSE),"")&amp;""</f>
        <v/>
      </c>
      <c r="P140" s="637"/>
      <c r="Q140" s="728" t="s">
        <v>52</v>
      </c>
      <c r="R140" s="717" t="s">
        <v>4591</v>
      </c>
      <c r="T140" s="638"/>
      <c r="U140" s="638"/>
      <c r="V140" s="638"/>
      <c r="W140" s="638"/>
      <c r="X140" s="638"/>
      <c r="Y140" s="638"/>
      <c r="Z140" s="638"/>
    </row>
    <row r="141" spans="1:26" s="624" customFormat="1" ht="31.2" x14ac:dyDescent="0.25">
      <c r="A141" s="1576"/>
      <c r="B141" s="1576"/>
      <c r="C141" s="673" t="str">
        <f>INDEX('Master sheet'!$A$1:$A$670,MATCH("A180",'Master sheet'!$AN$1:$AN$670,0))</f>
        <v xml:space="preserve">Ext. Waterproofing Barrier, liquid applied / Carlisle / MiraSEAL &amp; MiraTITE / </v>
      </c>
      <c r="D141" s="17">
        <f>'USER INPUT SHEET'!$D$32</f>
        <v>0</v>
      </c>
      <c r="E141" s="18" t="str">
        <f>'USER INPUT SHEET'!$F$32</f>
        <v>m2</v>
      </c>
      <c r="F141" s="4">
        <v>1</v>
      </c>
      <c r="G141" s="674"/>
      <c r="H141" s="9"/>
      <c r="I141" s="95">
        <f t="shared" si="43"/>
        <v>0</v>
      </c>
      <c r="J141" s="96" t="str">
        <f t="shared" si="44"/>
        <v/>
      </c>
      <c r="K141" s="407">
        <f>$D141*$F141*VLOOKUP($C141,'Master sheet'!$A:$AL,13,FALSE)</f>
        <v>0</v>
      </c>
      <c r="L141" s="97">
        <f>$D141*$F141*VLOOKUP($C141,'Master sheet'!$A:$AL,27,FALSE)</f>
        <v>0</v>
      </c>
      <c r="M141" s="1610"/>
      <c r="N141" s="1610"/>
      <c r="O141" s="25" t="str">
        <f>_xlfn.IFNA(VLOOKUP($C141,'Master sheet'!$A:$AR,44,FALSE),"")&amp;""</f>
        <v/>
      </c>
      <c r="P141" s="637"/>
      <c r="Q141" s="728" t="s">
        <v>52</v>
      </c>
      <c r="R141" s="717" t="s">
        <v>4591</v>
      </c>
      <c r="T141" s="638"/>
      <c r="U141" s="638"/>
      <c r="V141" s="638"/>
      <c r="W141" s="638"/>
      <c r="X141" s="638"/>
      <c r="Y141" s="638"/>
      <c r="Z141" s="664"/>
    </row>
    <row r="142" spans="1:26" ht="23.85" customHeight="1" x14ac:dyDescent="0.25">
      <c r="A142" s="686"/>
      <c r="B142" s="1541" t="s">
        <v>4764</v>
      </c>
      <c r="C142" s="1541"/>
      <c r="D142" s="656"/>
      <c r="E142" s="657"/>
      <c r="F142" s="327"/>
      <c r="G142" s="695"/>
      <c r="H142" s="695"/>
      <c r="I142" s="658"/>
      <c r="J142" s="659"/>
      <c r="K142" s="660"/>
      <c r="L142" s="661"/>
      <c r="M142" s="677"/>
      <c r="N142" s="677"/>
      <c r="O142" s="25" t="str">
        <f>_xlfn.IFNA(VLOOKUP($C142,'Master sheet'!$A:$AR,44,FALSE),"")&amp;""</f>
        <v/>
      </c>
      <c r="P142" s="637"/>
      <c r="Q142" s="722"/>
      <c r="R142" s="717" t="s">
        <v>4591</v>
      </c>
      <c r="S142" s="638"/>
      <c r="T142" s="638"/>
      <c r="U142" s="664"/>
      <c r="V142" s="664"/>
      <c r="W142" s="664"/>
      <c r="X142" s="664"/>
      <c r="Y142" s="664"/>
      <c r="Z142" s="664"/>
    </row>
    <row r="143" spans="1:26" ht="22.8" x14ac:dyDescent="0.25">
      <c r="A143" s="1576"/>
      <c r="B143" s="1576"/>
      <c r="C143" s="691" t="s">
        <v>4767</v>
      </c>
      <c r="D143" s="19">
        <f>'USER INPUT SHEET'!$D$32</f>
        <v>0</v>
      </c>
      <c r="E143" s="20" t="str">
        <f>'USER INPUT SHEET'!$F$32</f>
        <v>m2</v>
      </c>
      <c r="F143" s="6">
        <v>1</v>
      </c>
      <c r="G143" s="692"/>
      <c r="H143" s="10"/>
      <c r="I143" s="98">
        <f t="shared" ref="I143:I150" si="45">K143-L143</f>
        <v>0</v>
      </c>
      <c r="J143" s="106" t="str">
        <f>IF(H143=1,I143,"")</f>
        <v/>
      </c>
      <c r="K143" s="410">
        <f>$F143*AVERAGE(K144:K150)</f>
        <v>0</v>
      </c>
      <c r="L143" s="99">
        <f>$F143*AVERAGE(L144:L150)</f>
        <v>0</v>
      </c>
      <c r="M143" s="1552"/>
      <c r="N143" s="1552"/>
      <c r="O143" s="25" t="str">
        <f>_xlfn.IFNA(VLOOKUP($C143,'Master sheet'!$A:$AR,44,FALSE),"")&amp;""</f>
        <v/>
      </c>
      <c r="P143" s="685"/>
      <c r="Q143" s="728" t="s">
        <v>52</v>
      </c>
      <c r="R143" s="717" t="s">
        <v>4591</v>
      </c>
      <c r="S143" s="664"/>
      <c r="T143" s="664"/>
      <c r="U143" s="664"/>
      <c r="V143" s="664"/>
      <c r="W143" s="664"/>
      <c r="X143" s="664"/>
      <c r="Y143" s="664"/>
      <c r="Z143" s="638"/>
    </row>
    <row r="144" spans="1:26" s="624" customFormat="1" ht="31.2" x14ac:dyDescent="0.25">
      <c r="A144" s="1576"/>
      <c r="B144" s="1576"/>
      <c r="C144" s="673" t="str">
        <f>INDEX('Master sheet'!$A$1:$A$670,MATCH("A164",'Master sheet'!$AN$1:$AN$670,0))</f>
        <v xml:space="preserve">Ext. Wall &amp; Roof Barrier, adhesive / Partel / Exoperm Mono SA 250 / Permeable / </v>
      </c>
      <c r="D144" s="17">
        <f>'USER INPUT SHEET'!$D$32</f>
        <v>0</v>
      </c>
      <c r="E144" s="18" t="str">
        <f>'USER INPUT SHEET'!$F$32</f>
        <v>m2</v>
      </c>
      <c r="F144" s="4">
        <v>1</v>
      </c>
      <c r="G144" s="674"/>
      <c r="H144" s="9"/>
      <c r="I144" s="95">
        <f t="shared" si="45"/>
        <v>0</v>
      </c>
      <c r="J144" s="96" t="str">
        <f t="shared" ref="J144:J150" si="46">IF(H144=1,I144,"")</f>
        <v/>
      </c>
      <c r="K144" s="407">
        <f>$D144*$F144*VLOOKUP($C144,'Master sheet'!$A:$AL,13,FALSE)</f>
        <v>0</v>
      </c>
      <c r="L144" s="97">
        <f>$D144*$F144*VLOOKUP($C144,'Master sheet'!$A:$AL,27,FALSE)</f>
        <v>0</v>
      </c>
      <c r="M144" s="1552"/>
      <c r="N144" s="1552"/>
      <c r="O144" s="25" t="str">
        <f>_xlfn.IFNA(VLOOKUP($C144,'Master sheet'!$A:$AR,44,FALSE),"")&amp;""</f>
        <v/>
      </c>
      <c r="P144" s="637"/>
      <c r="Q144" s="728" t="s">
        <v>52</v>
      </c>
      <c r="R144" s="717" t="s">
        <v>4591</v>
      </c>
      <c r="T144" s="638"/>
      <c r="U144" s="638"/>
      <c r="V144" s="638"/>
      <c r="W144" s="638"/>
      <c r="X144" s="638"/>
      <c r="Y144" s="638"/>
      <c r="Z144" s="638"/>
    </row>
    <row r="145" spans="1:26" s="624" customFormat="1" ht="31.2" x14ac:dyDescent="0.25">
      <c r="A145" s="1576"/>
      <c r="B145" s="1576"/>
      <c r="C145" s="673" t="str">
        <f>INDEX('Master sheet'!$A$1:$A$670,MATCH("A168",'Master sheet'!$AN$1:$AN$670,0))</f>
        <v>Ext. Wall barrier, adhesive / GCP / Perm-a-Barrier / Non-permeable / 1 mm</v>
      </c>
      <c r="D145" s="17">
        <f>'USER INPUT SHEET'!$D$32</f>
        <v>0</v>
      </c>
      <c r="E145" s="18" t="str">
        <f>'USER INPUT SHEET'!$F$32</f>
        <v>m2</v>
      </c>
      <c r="F145" s="4">
        <v>1</v>
      </c>
      <c r="G145" s="674"/>
      <c r="H145" s="9"/>
      <c r="I145" s="95">
        <f t="shared" si="45"/>
        <v>0</v>
      </c>
      <c r="J145" s="96" t="str">
        <f t="shared" si="46"/>
        <v/>
      </c>
      <c r="K145" s="407">
        <f>$D145*$F145*VLOOKUP($C145,'Master sheet'!$A:$AL,13,FALSE)</f>
        <v>0</v>
      </c>
      <c r="L145" s="97">
        <f>$D145*$F145*VLOOKUP($C145,'Master sheet'!$A:$AL,27,FALSE)</f>
        <v>0</v>
      </c>
      <c r="M145" s="1552"/>
      <c r="N145" s="1552"/>
      <c r="O145" s="25" t="str">
        <f>_xlfn.IFNA(VLOOKUP($C145,'Master sheet'!$A:$AR,44,FALSE),"")&amp;""</f>
        <v/>
      </c>
      <c r="P145" s="637"/>
      <c r="Q145" s="728" t="s">
        <v>52</v>
      </c>
      <c r="R145" s="717" t="s">
        <v>4591</v>
      </c>
      <c r="T145" s="638"/>
      <c r="U145" s="638"/>
      <c r="V145" s="638"/>
      <c r="W145" s="638"/>
      <c r="X145" s="638"/>
      <c r="Y145" s="638"/>
      <c r="Z145" s="664"/>
    </row>
    <row r="146" spans="1:26" s="624" customFormat="1" ht="31.2" x14ac:dyDescent="0.25">
      <c r="A146" s="1576"/>
      <c r="B146" s="1576"/>
      <c r="C146" s="673" t="str">
        <f>INDEX('Master sheet'!$A$1:$A$670,MATCH("A169",'Master sheet'!$AN$1:$AN$670,0))</f>
        <v>Ext. Wall Barrier, adhesive / Soprema / Sopraseal Stick 1100 T / Non-permeable / 1.0 mm</v>
      </c>
      <c r="D146" s="17">
        <f>'USER INPUT SHEET'!$D$32</f>
        <v>0</v>
      </c>
      <c r="E146" s="18" t="str">
        <f>'USER INPUT SHEET'!$F$32</f>
        <v>m2</v>
      </c>
      <c r="F146" s="4">
        <v>1</v>
      </c>
      <c r="G146" s="674"/>
      <c r="H146" s="9"/>
      <c r="I146" s="95">
        <f t="shared" si="45"/>
        <v>0</v>
      </c>
      <c r="J146" s="96" t="str">
        <f t="shared" si="46"/>
        <v/>
      </c>
      <c r="K146" s="407">
        <f>$D146*$F146*VLOOKUP($C146,'Master sheet'!$A:$AL,13,FALSE)</f>
        <v>0</v>
      </c>
      <c r="L146" s="97">
        <f>$D146*$F146*VLOOKUP($C146,'Master sheet'!$A:$AL,27,FALSE)</f>
        <v>0</v>
      </c>
      <c r="M146" s="1552"/>
      <c r="N146" s="1552"/>
      <c r="O146" s="25" t="str">
        <f>_xlfn.IFNA(VLOOKUP($C146,'Master sheet'!$A:$AR,44,FALSE),"")&amp;""</f>
        <v/>
      </c>
      <c r="P146" s="637"/>
      <c r="Q146" s="728" t="s">
        <v>52</v>
      </c>
      <c r="R146" s="717" t="s">
        <v>4591</v>
      </c>
      <c r="T146" s="638"/>
      <c r="U146" s="638"/>
      <c r="V146" s="638"/>
      <c r="W146" s="638"/>
      <c r="X146" s="638"/>
      <c r="Y146" s="638"/>
      <c r="Z146" s="638"/>
    </row>
    <row r="147" spans="1:26" s="624" customFormat="1" ht="31.2" x14ac:dyDescent="0.25">
      <c r="A147" s="1576"/>
      <c r="B147" s="1576"/>
      <c r="C147" s="673" t="str">
        <f>INDEX('Master sheet'!$A$1:$A$670,MATCH("A170",'Master sheet'!$AN$1:$AN$670,0))</f>
        <v>Ext. Wall Barrier, adhesive / Soprema / Sopraseal Stick VP / 11-17 Perms / 0.6 mm</v>
      </c>
      <c r="D147" s="17">
        <f>'USER INPUT SHEET'!$D$32</f>
        <v>0</v>
      </c>
      <c r="E147" s="18" t="str">
        <f>'USER INPUT SHEET'!$F$32</f>
        <v>m2</v>
      </c>
      <c r="F147" s="4">
        <v>1</v>
      </c>
      <c r="G147" s="674"/>
      <c r="H147" s="9"/>
      <c r="I147" s="95">
        <f t="shared" si="45"/>
        <v>0</v>
      </c>
      <c r="J147" s="96" t="str">
        <f t="shared" si="46"/>
        <v/>
      </c>
      <c r="K147" s="407">
        <f>$D147*$F147*VLOOKUP($C147,'Master sheet'!$A:$AL,13,FALSE)</f>
        <v>0</v>
      </c>
      <c r="L147" s="97">
        <f>$D147*$F147*VLOOKUP($C147,'Master sheet'!$A:$AL,27,FALSE)</f>
        <v>0</v>
      </c>
      <c r="M147" s="1552"/>
      <c r="N147" s="1552"/>
      <c r="O147" s="25" t="str">
        <f>_xlfn.IFNA(VLOOKUP($C147,'Master sheet'!$A:$AR,44,FALSE),"")&amp;""</f>
        <v/>
      </c>
      <c r="P147" s="637"/>
      <c r="Q147" s="728" t="s">
        <v>52</v>
      </c>
      <c r="R147" s="717" t="s">
        <v>4591</v>
      </c>
      <c r="T147" s="638"/>
      <c r="U147" s="638"/>
      <c r="V147" s="638"/>
      <c r="W147" s="638"/>
      <c r="X147" s="638"/>
      <c r="Y147" s="638"/>
      <c r="Z147" s="638"/>
    </row>
    <row r="148" spans="1:26" s="624" customFormat="1" ht="31.2" x14ac:dyDescent="0.25">
      <c r="A148" s="1576"/>
      <c r="B148" s="1576"/>
      <c r="C148" s="673" t="str">
        <f>INDEX('Master sheet'!$A$1:$A$670,MATCH("A171",'Master sheet'!$AN$1:$AN$670,0))</f>
        <v>Ext. Wall Barrier, adhesive / Soprema / Soprasolin HD / Non-permeable / 1.0 mm</v>
      </c>
      <c r="D148" s="17">
        <f>'USER INPUT SHEET'!$D$32</f>
        <v>0</v>
      </c>
      <c r="E148" s="18" t="str">
        <f>'USER INPUT SHEET'!$F$32</f>
        <v>m2</v>
      </c>
      <c r="F148" s="4">
        <v>1</v>
      </c>
      <c r="G148" s="674"/>
      <c r="H148" s="9"/>
      <c r="I148" s="95">
        <f t="shared" si="45"/>
        <v>0</v>
      </c>
      <c r="J148" s="96" t="str">
        <f t="shared" si="46"/>
        <v/>
      </c>
      <c r="K148" s="407">
        <f>$D148*$F148*VLOOKUP($C148,'Master sheet'!$A:$AL,13,FALSE)</f>
        <v>0</v>
      </c>
      <c r="L148" s="97">
        <f>$D148*$F148*VLOOKUP($C148,'Master sheet'!$A:$AL,27,FALSE)</f>
        <v>0</v>
      </c>
      <c r="M148" s="1552"/>
      <c r="N148" s="1552"/>
      <c r="O148" s="25" t="str">
        <f>_xlfn.IFNA(VLOOKUP($C148,'Master sheet'!$A:$AR,44,FALSE),"")&amp;""</f>
        <v/>
      </c>
      <c r="P148" s="637"/>
      <c r="Q148" s="728" t="s">
        <v>52</v>
      </c>
      <c r="R148" s="717" t="s">
        <v>4591</v>
      </c>
      <c r="T148" s="638"/>
      <c r="U148" s="638"/>
      <c r="V148" s="638"/>
      <c r="W148" s="638"/>
      <c r="X148" s="638"/>
      <c r="Y148" s="638"/>
      <c r="Z148" s="638"/>
    </row>
    <row r="149" spans="1:26" s="624" customFormat="1" ht="31.2" x14ac:dyDescent="0.25">
      <c r="A149" s="1576"/>
      <c r="B149" s="1576"/>
      <c r="C149" s="673" t="str">
        <f>INDEX('Master sheet'!$A$1:$A$670,MATCH("A172",'Master sheet'!$AN$1:$AN$670,0))</f>
        <v>Ext. Wall Barrier, adhesive / Soprema / SOPRAVAP'R / Non-permeable / 0.8 mm</v>
      </c>
      <c r="D149" s="17">
        <f>'USER INPUT SHEET'!$D$32</f>
        <v>0</v>
      </c>
      <c r="E149" s="18" t="str">
        <f>'USER INPUT SHEET'!$F$32</f>
        <v>m2</v>
      </c>
      <c r="F149" s="4">
        <v>1</v>
      </c>
      <c r="G149" s="674"/>
      <c r="H149" s="9"/>
      <c r="I149" s="95">
        <f t="shared" si="45"/>
        <v>0</v>
      </c>
      <c r="J149" s="96" t="str">
        <f t="shared" si="46"/>
        <v/>
      </c>
      <c r="K149" s="407">
        <f>$D149*$F149*VLOOKUP($C149,'Master sheet'!$A:$AL,13,FALSE)</f>
        <v>0</v>
      </c>
      <c r="L149" s="97">
        <f>$D149*$F149*VLOOKUP($C149,'Master sheet'!$A:$AL,27,FALSE)</f>
        <v>0</v>
      </c>
      <c r="M149" s="1552"/>
      <c r="N149" s="1552"/>
      <c r="O149" s="25" t="str">
        <f>_xlfn.IFNA(VLOOKUP($C149,'Master sheet'!$A:$AR,44,FALSE),"")&amp;""</f>
        <v/>
      </c>
      <c r="P149" s="637"/>
      <c r="Q149" s="728" t="s">
        <v>52</v>
      </c>
      <c r="R149" s="717" t="s">
        <v>4591</v>
      </c>
      <c r="T149" s="638"/>
      <c r="U149" s="638"/>
      <c r="V149" s="638"/>
      <c r="W149" s="638"/>
      <c r="X149" s="638"/>
      <c r="Y149" s="638"/>
      <c r="Z149" s="638"/>
    </row>
    <row r="150" spans="1:26" s="624" customFormat="1" ht="22.8" x14ac:dyDescent="0.25">
      <c r="A150" s="1576"/>
      <c r="B150" s="1576"/>
      <c r="C150" s="673" t="str">
        <f>INDEX('Master sheet'!$A$1:$A$670,MATCH("A179",'Master sheet'!$AN$1:$AN$670,0))</f>
        <v xml:space="preserve">Ext. Waterproofing Barrier, adhesive / Carlisle / MiraPLY V / </v>
      </c>
      <c r="D150" s="17">
        <f>'USER INPUT SHEET'!$D$32</f>
        <v>0</v>
      </c>
      <c r="E150" s="18" t="str">
        <f>'USER INPUT SHEET'!$F$32</f>
        <v>m2</v>
      </c>
      <c r="F150" s="4">
        <v>1</v>
      </c>
      <c r="G150" s="674"/>
      <c r="H150" s="9"/>
      <c r="I150" s="95">
        <f t="shared" si="45"/>
        <v>0</v>
      </c>
      <c r="J150" s="96" t="str">
        <f t="shared" si="46"/>
        <v/>
      </c>
      <c r="K150" s="407">
        <f>$D150*$F150*VLOOKUP($C150,'Master sheet'!$A:$AL,13,FALSE)</f>
        <v>0</v>
      </c>
      <c r="L150" s="97">
        <f>$D150*$F150*VLOOKUP($C150,'Master sheet'!$A:$AL,27,FALSE)</f>
        <v>0</v>
      </c>
      <c r="M150" s="1552"/>
      <c r="N150" s="1552"/>
      <c r="O150" s="25" t="str">
        <f>_xlfn.IFNA(VLOOKUP($C150,'Master sheet'!$A:$AR,44,FALSE),"")&amp;""</f>
        <v/>
      </c>
      <c r="P150" s="637"/>
      <c r="Q150" s="728" t="s">
        <v>52</v>
      </c>
      <c r="R150" s="717" t="s">
        <v>4591</v>
      </c>
      <c r="T150" s="638"/>
      <c r="U150" s="638"/>
      <c r="V150" s="638"/>
      <c r="W150" s="638"/>
      <c r="X150" s="638"/>
      <c r="Y150" s="638"/>
      <c r="Z150" s="638"/>
    </row>
    <row r="151" spans="1:26" s="624" customFormat="1" ht="54.75" customHeight="1" x14ac:dyDescent="0.25">
      <c r="A151" s="1522" t="s">
        <v>45</v>
      </c>
      <c r="B151" s="1522"/>
      <c r="C151" s="1522"/>
      <c r="D151" s="629" t="str">
        <f>IF(LOWER(Setting!rng_language)="english","R-VALUE:","VALEUR R :")</f>
        <v>R-VALUE:</v>
      </c>
      <c r="E151" s="1"/>
      <c r="F151" s="323"/>
      <c r="G151" s="650"/>
      <c r="H151" s="650"/>
      <c r="I151" s="651"/>
      <c r="J151" s="103" t="str">
        <f t="shared" si="29"/>
        <v/>
      </c>
      <c r="K151" s="652"/>
      <c r="L151" s="759"/>
      <c r="M151" s="759"/>
      <c r="N151" s="759"/>
      <c r="O151" s="25" t="str">
        <f>_xlfn.IFNA(VLOOKUP($C151,'Master sheet'!$A:$AR,44,FALSE),"")&amp;""</f>
        <v/>
      </c>
      <c r="P151" s="685"/>
      <c r="Q151" s="761"/>
      <c r="R151" s="728"/>
      <c r="T151" s="638"/>
      <c r="U151" s="638"/>
      <c r="V151" s="638"/>
      <c r="W151" s="638"/>
      <c r="X151" s="638"/>
      <c r="Y151" s="638"/>
      <c r="Z151" s="638"/>
    </row>
    <row r="152" spans="1:26" ht="22.8" x14ac:dyDescent="0.25">
      <c r="A152" s="686"/>
      <c r="B152" s="1541" t="s">
        <v>966</v>
      </c>
      <c r="C152" s="1530"/>
      <c r="D152" s="687" t="str">
        <f>IF(LOWER(Setting!rng_language)="english","R-VALUE:","VALEUR R :")</f>
        <v>R-VALUE:</v>
      </c>
      <c r="E152" s="1"/>
      <c r="F152" s="341"/>
      <c r="G152" s="781"/>
      <c r="H152" s="782"/>
      <c r="I152" s="783"/>
      <c r="J152" s="784"/>
      <c r="K152" s="783"/>
      <c r="L152" s="785"/>
      <c r="M152" s="743"/>
      <c r="N152" s="743"/>
      <c r="O152" s="25" t="str">
        <f>_xlfn.IFNA(VLOOKUP($C152,'Master sheet'!$A:$AR,44,FALSE),"")&amp;""</f>
        <v/>
      </c>
      <c r="P152" s="685"/>
      <c r="T152" s="664"/>
      <c r="U152" s="664"/>
      <c r="V152" s="664"/>
      <c r="W152" s="664"/>
      <c r="X152" s="664"/>
      <c r="Y152" s="664"/>
      <c r="Z152" s="638"/>
    </row>
    <row r="153" spans="1:26" ht="22.8" x14ac:dyDescent="0.25">
      <c r="A153" s="729"/>
      <c r="B153" s="729"/>
      <c r="C153" s="691" t="s">
        <v>1360</v>
      </c>
      <c r="D153" s="19">
        <f>'USER INPUT SHEET'!$D$32</f>
        <v>0</v>
      </c>
      <c r="E153" s="20" t="str">
        <f>'USER INPUT SHEET'!$F$32</f>
        <v>m2</v>
      </c>
      <c r="F153" s="6">
        <v>1</v>
      </c>
      <c r="G153" s="692"/>
      <c r="H153" s="10"/>
      <c r="I153" s="98">
        <f>K153-L153</f>
        <v>0</v>
      </c>
      <c r="J153" s="91" t="str">
        <f>IF(H153=1,I153,"")</f>
        <v/>
      </c>
      <c r="K153" s="410">
        <f>F153*AVERAGE(K154:K156)</f>
        <v>0</v>
      </c>
      <c r="L153" s="99">
        <f>F153*AVERAGE(L154:L156)</f>
        <v>0</v>
      </c>
      <c r="M153" s="1552"/>
      <c r="N153" s="1552"/>
      <c r="O153" s="25" t="str">
        <f>_xlfn.IFNA(VLOOKUP($C153,'Master sheet'!$A:$AR,44,FALSE),"")&amp;""</f>
        <v/>
      </c>
      <c r="P153" s="685"/>
      <c r="Q153" s="765" t="s">
        <v>52</v>
      </c>
      <c r="R153" s="757" t="s">
        <v>45</v>
      </c>
      <c r="S153" s="664"/>
      <c r="T153" s="664"/>
      <c r="U153" s="664"/>
      <c r="V153" s="664"/>
      <c r="W153" s="664"/>
      <c r="X153" s="664"/>
      <c r="Y153" s="664"/>
      <c r="Z153" s="638"/>
    </row>
    <row r="154" spans="1:26" ht="31.5" customHeight="1" x14ac:dyDescent="0.25">
      <c r="A154" s="729"/>
      <c r="B154" s="729"/>
      <c r="C154" s="673" t="str">
        <f>INDEX('Master sheet'!$A$1:$A$670,MATCH("A36",'Master sheet'!$AN$1:$AN$670,0))</f>
        <v>Fiberglass batt / Johns Manville / Unfaced, ComfortTherm, Cavity-SHIELD, FSK-25 / R 3.4/inch</v>
      </c>
      <c r="D154" s="17">
        <f>'USER INPUT SHEET'!$D$32</f>
        <v>0</v>
      </c>
      <c r="E154" s="18" t="str">
        <f>'USER INPUT SHEET'!$F$32</f>
        <v>m2</v>
      </c>
      <c r="F154" s="4">
        <v>1</v>
      </c>
      <c r="G154" s="674"/>
      <c r="H154" s="9"/>
      <c r="I154" s="95">
        <f t="shared" ref="I154:I155" si="47">K154-L154</f>
        <v>0</v>
      </c>
      <c r="J154" s="96" t="str">
        <f t="shared" ref="J154:J155" si="48">IF(H154=1,I154,"")</f>
        <v/>
      </c>
      <c r="K154" s="407">
        <f>$D154*($E$152/5.678)*$F154*VLOOKUP($C154,'Master sheet'!$A:$AL,13,FALSE)</f>
        <v>0</v>
      </c>
      <c r="L154" s="97">
        <f>$D154*($E$152/5.678)*$F154*VLOOKUP($C154,'Master sheet'!$A:$AL,27,FALSE)</f>
        <v>0</v>
      </c>
      <c r="M154" s="1552"/>
      <c r="N154" s="1552"/>
      <c r="O154" s="25" t="str">
        <f>_xlfn.IFNA(VLOOKUP($C154,'Master sheet'!$A:$AR,44,FALSE),"")&amp;""</f>
        <v/>
      </c>
      <c r="P154" s="685"/>
      <c r="Q154" s="765" t="s">
        <v>52</v>
      </c>
      <c r="R154" s="757" t="s">
        <v>45</v>
      </c>
      <c r="T154" s="664"/>
      <c r="U154" s="664"/>
      <c r="V154" s="664"/>
      <c r="W154" s="664"/>
      <c r="X154" s="664"/>
      <c r="Y154" s="664"/>
      <c r="Z154" s="638"/>
    </row>
    <row r="155" spans="1:26" ht="22.8" x14ac:dyDescent="0.25">
      <c r="A155" s="729"/>
      <c r="B155" s="729"/>
      <c r="C155" s="673" t="str">
        <f>INDEX('Master sheet'!$A$1:$A$670,MATCH("A37",'Master sheet'!$AN$1:$AN$670,0))</f>
        <v>Fiberglass batt / NAIMA  /  / R 4.4/inch</v>
      </c>
      <c r="D155" s="17">
        <f>'USER INPUT SHEET'!$D$32</f>
        <v>0</v>
      </c>
      <c r="E155" s="18" t="str">
        <f>'USER INPUT SHEET'!$F$32</f>
        <v>m2</v>
      </c>
      <c r="F155" s="4">
        <v>1</v>
      </c>
      <c r="G155" s="674"/>
      <c r="H155" s="9"/>
      <c r="I155" s="95">
        <f t="shared" si="47"/>
        <v>0</v>
      </c>
      <c r="J155" s="96" t="str">
        <f t="shared" si="48"/>
        <v/>
      </c>
      <c r="K155" s="407">
        <f>$D155*($E$152/5.678)*$F155*VLOOKUP($C155,'Master sheet'!$A:$AL,13,FALSE)</f>
        <v>0</v>
      </c>
      <c r="L155" s="97">
        <f>$D155*($E$152/5.678)*$F155*VLOOKUP($C155,'Master sheet'!$A:$AL,27,FALSE)</f>
        <v>0</v>
      </c>
      <c r="M155" s="1552"/>
      <c r="N155" s="1552"/>
      <c r="O155" s="25" t="str">
        <f>_xlfn.IFNA(VLOOKUP($C155,'Master sheet'!$A:$AR,44,FALSE),"")&amp;""</f>
        <v/>
      </c>
      <c r="P155" s="685"/>
      <c r="Q155" s="765" t="s">
        <v>52</v>
      </c>
      <c r="R155" s="757" t="s">
        <v>45</v>
      </c>
      <c r="T155" s="664"/>
      <c r="U155" s="664"/>
      <c r="V155" s="664"/>
      <c r="W155" s="664"/>
      <c r="X155" s="664"/>
      <c r="Y155" s="664"/>
      <c r="Z155" s="638"/>
    </row>
    <row r="156" spans="1:26" s="624" customFormat="1" ht="31.2" x14ac:dyDescent="0.25">
      <c r="A156" s="729"/>
      <c r="B156" s="729"/>
      <c r="C156" s="673" t="str">
        <f>INDEX('Master sheet'!$A$1:$A$670,MATCH("A38",'Master sheet'!$AN$1:$AN$670,0))</f>
        <v>Fiberglass batt &amp; roll  / Owens Corning /  Unfaced, PINK Next Gen Fiberglas / R 3.6/inch avg.</v>
      </c>
      <c r="D156" s="17">
        <f>'USER INPUT SHEET'!$D$32</f>
        <v>0</v>
      </c>
      <c r="E156" s="18" t="str">
        <f>'USER INPUT SHEET'!$F$32</f>
        <v>m2</v>
      </c>
      <c r="F156" s="4">
        <v>1</v>
      </c>
      <c r="G156" s="674"/>
      <c r="H156" s="9"/>
      <c r="I156" s="95">
        <f>K156-L156</f>
        <v>0</v>
      </c>
      <c r="J156" s="96" t="str">
        <f t="shared" si="29"/>
        <v/>
      </c>
      <c r="K156" s="407">
        <f>$D156*($E$152/5.678)*$F156*VLOOKUP($C156,'Master sheet'!$A:$AL,13,FALSE)</f>
        <v>0</v>
      </c>
      <c r="L156" s="97">
        <f>$D156*($E$152/5.678)*$F156*VLOOKUP($C156,'Master sheet'!$A:$AL,27,FALSE)</f>
        <v>0</v>
      </c>
      <c r="M156" s="1610"/>
      <c r="N156" s="1610"/>
      <c r="O156" s="25" t="str">
        <f>_xlfn.IFNA(VLOOKUP($C156,'Master sheet'!$A:$AR,44,FALSE),"")&amp;""</f>
        <v/>
      </c>
      <c r="P156" s="685"/>
      <c r="Q156" s="765" t="s">
        <v>52</v>
      </c>
      <c r="R156" s="757" t="s">
        <v>45</v>
      </c>
      <c r="T156" s="638"/>
      <c r="U156" s="638"/>
      <c r="V156" s="638"/>
      <c r="W156" s="638"/>
      <c r="X156" s="638"/>
      <c r="Y156" s="638"/>
      <c r="Z156" s="638"/>
    </row>
    <row r="157" spans="1:26" s="624" customFormat="1" ht="22.8" x14ac:dyDescent="0.25">
      <c r="A157" s="639"/>
      <c r="B157" s="1524" t="s">
        <v>1041</v>
      </c>
      <c r="C157" s="1523"/>
      <c r="D157" s="687" t="str">
        <f>IF(LOWER(Setting!rng_language)="english","R-VALUE:","VALEUR R :")</f>
        <v>R-VALUE:</v>
      </c>
      <c r="E157" s="1"/>
      <c r="F157" s="340"/>
      <c r="G157" s="739"/>
      <c r="H157" s="740"/>
      <c r="I157" s="741"/>
      <c r="J157" s="742"/>
      <c r="K157" s="741"/>
      <c r="L157" s="743"/>
      <c r="M157" s="743"/>
      <c r="N157" s="743"/>
      <c r="O157" s="25" t="str">
        <f>_xlfn.IFNA(VLOOKUP($C157,'Master sheet'!$A:$AR,44,FALSE),"")&amp;""</f>
        <v/>
      </c>
      <c r="P157" s="637"/>
      <c r="Q157" s="728"/>
      <c r="R157" s="728"/>
      <c r="T157" s="638"/>
      <c r="U157" s="638"/>
      <c r="V157" s="638"/>
      <c r="W157" s="638"/>
      <c r="X157" s="638"/>
      <c r="Y157" s="638"/>
      <c r="Z157" s="638"/>
    </row>
    <row r="158" spans="1:26" ht="22.8" x14ac:dyDescent="0.25">
      <c r="A158" s="729"/>
      <c r="B158" s="729"/>
      <c r="C158" s="691" t="s">
        <v>1361</v>
      </c>
      <c r="D158" s="19">
        <f>'USER INPUT SHEET'!$D$32</f>
        <v>0</v>
      </c>
      <c r="E158" s="20" t="str">
        <f>'USER INPUT SHEET'!$F$32</f>
        <v>m2</v>
      </c>
      <c r="F158" s="6">
        <v>1</v>
      </c>
      <c r="G158" s="692"/>
      <c r="H158" s="10"/>
      <c r="I158" s="98">
        <f t="shared" ref="I158:I162" si="49">K158-L158</f>
        <v>0</v>
      </c>
      <c r="J158" s="91" t="str">
        <f>IF(H158=1,I158,"")</f>
        <v/>
      </c>
      <c r="K158" s="410">
        <f>F158*AVERAGE(K159:K162)</f>
        <v>0</v>
      </c>
      <c r="L158" s="99">
        <f>F158*AVERAGE(L159:L162)</f>
        <v>0</v>
      </c>
      <c r="M158" s="1552"/>
      <c r="N158" s="1552"/>
      <c r="O158" s="25" t="str">
        <f>_xlfn.IFNA(VLOOKUP($C158,'Master sheet'!$A:$AR,44,FALSE),"")&amp;""</f>
        <v/>
      </c>
      <c r="P158" s="637"/>
      <c r="Q158" s="765" t="s">
        <v>52</v>
      </c>
      <c r="R158" s="757" t="s">
        <v>45</v>
      </c>
      <c r="S158" s="664"/>
      <c r="T158" s="664"/>
      <c r="U158" s="664"/>
      <c r="V158" s="664"/>
      <c r="W158" s="664"/>
      <c r="X158" s="664"/>
      <c r="Y158" s="664"/>
      <c r="Z158" s="664"/>
    </row>
    <row r="159" spans="1:26" ht="31.5" customHeight="1" x14ac:dyDescent="0.25">
      <c r="A159" s="1564"/>
      <c r="B159" s="1564"/>
      <c r="C159" s="669" t="str">
        <f>INDEX('Master sheet'!$A$1:$A$670,MATCH(105,'Master sheet'!$AN$1:$AN$670,0))</f>
        <v>Fiberglass loose fill / CertainTeed / InsulSafe, Optima, TruComfort / R 2.6/inch</v>
      </c>
      <c r="D159" s="15">
        <f>'USER INPUT SHEET'!$D$32</f>
        <v>0</v>
      </c>
      <c r="E159" s="16" t="str">
        <f>'USER INPUT SHEET'!$F$32</f>
        <v>m2</v>
      </c>
      <c r="F159" s="3">
        <v>1</v>
      </c>
      <c r="G159" s="670"/>
      <c r="H159" s="8"/>
      <c r="I159" s="92">
        <f t="shared" si="49"/>
        <v>0</v>
      </c>
      <c r="J159" s="93" t="str">
        <f t="shared" si="29"/>
        <v/>
      </c>
      <c r="K159" s="406">
        <f>$D159*($E$157/5.678)*$F159*VLOOKUP($C159,'Master sheet'!$A:$AL,13,FALSE)</f>
        <v>0</v>
      </c>
      <c r="L159" s="94">
        <f>$D159*($E$157/5.678)*$F159*VLOOKUP($C159,'Master sheet'!$A:$AL,27,FALSE)</f>
        <v>0</v>
      </c>
      <c r="M159" s="1552"/>
      <c r="N159" s="1552"/>
      <c r="O159" s="25" t="str">
        <f ca="1">_xlfn.IFNA(VLOOKUP($C159,'Master sheet'!$A:$AR,44,FALSE),"")&amp;""</f>
        <v>Expired 2024</v>
      </c>
      <c r="P159" s="685"/>
      <c r="Q159" s="765" t="s">
        <v>52</v>
      </c>
      <c r="R159" s="757" t="s">
        <v>45</v>
      </c>
      <c r="T159" s="664"/>
      <c r="U159" s="664"/>
      <c r="V159" s="664"/>
      <c r="W159" s="664"/>
      <c r="X159" s="664"/>
      <c r="Y159" s="664"/>
    </row>
    <row r="160" spans="1:26" ht="47.25" customHeight="1" x14ac:dyDescent="0.25">
      <c r="A160" s="1564"/>
      <c r="B160" s="1564"/>
      <c r="C160" s="673" t="str">
        <f>INDEX('Master sheet'!$A$1:$A$670,MATCH(374,'Master sheet'!$AN$1:$AN$670,0))</f>
        <v>Fiberglass loose fill / Johns Manville / Climate Pro, Attic Protector, JM Spider PLUS (Canada) / R 2.8/inch, Formaldehyde-free</v>
      </c>
      <c r="D160" s="17">
        <f>'USER INPUT SHEET'!$D$32</f>
        <v>0</v>
      </c>
      <c r="E160" s="18" t="str">
        <f>'USER INPUT SHEET'!$F$32</f>
        <v>m2</v>
      </c>
      <c r="F160" s="4">
        <v>1</v>
      </c>
      <c r="G160" s="674"/>
      <c r="H160" s="9"/>
      <c r="I160" s="95">
        <f t="shared" si="49"/>
        <v>0</v>
      </c>
      <c r="J160" s="96" t="str">
        <f t="shared" ref="J160:J161" si="50">IF(H160=1,I160,"")</f>
        <v/>
      </c>
      <c r="K160" s="407">
        <f>$D160*($E$157/5.678)*$F160*VLOOKUP($C160,'Master sheet'!$A:$AL,13,FALSE)</f>
        <v>0</v>
      </c>
      <c r="L160" s="97">
        <f>$D160*($E$157/5.678)*$F160*VLOOKUP($C160,'Master sheet'!$A:$AL,27,FALSE)</f>
        <v>0</v>
      </c>
      <c r="M160" s="1552"/>
      <c r="N160" s="1552"/>
      <c r="O160" s="25" t="str">
        <f ca="1">_xlfn.IFNA(VLOOKUP($C160,'Master sheet'!$A:$AR,44,FALSE),"")&amp;""</f>
        <v/>
      </c>
      <c r="P160" s="685"/>
      <c r="Q160" s="780" t="s">
        <v>52</v>
      </c>
      <c r="R160" s="728" t="s">
        <v>45</v>
      </c>
      <c r="S160" s="624"/>
      <c r="T160" s="638" t="s">
        <v>7295</v>
      </c>
      <c r="U160" s="638"/>
      <c r="V160" s="638"/>
      <c r="W160" s="664"/>
      <c r="X160" s="664"/>
      <c r="Y160" s="664"/>
    </row>
    <row r="161" spans="1:26" ht="47.25" customHeight="1" x14ac:dyDescent="0.25">
      <c r="A161" s="1564"/>
      <c r="B161" s="1564"/>
      <c r="C161" s="673" t="str">
        <f>INDEX('Master sheet'!$A$1:$A$670,MATCH("A40",'Master sheet'!$AN$1:$AN$670,0))</f>
        <v>Fiberglass loose fill / NAIMA  / Includes : CertainTeed, Inc. Saint-Gobin, Johns Manville, Knauf Insulation North America, Owens Corning / R 2.2/inch</v>
      </c>
      <c r="D161" s="17">
        <f>'USER INPUT SHEET'!$D$32</f>
        <v>0</v>
      </c>
      <c r="E161" s="18" t="str">
        <f>'USER INPUT SHEET'!$F$32</f>
        <v>m2</v>
      </c>
      <c r="F161" s="4">
        <v>1</v>
      </c>
      <c r="G161" s="674"/>
      <c r="H161" s="9"/>
      <c r="I161" s="95">
        <f t="shared" si="49"/>
        <v>0</v>
      </c>
      <c r="J161" s="96" t="str">
        <f t="shared" si="50"/>
        <v/>
      </c>
      <c r="K161" s="407">
        <f>$D161*($E$157/5.678)*$F161*VLOOKUP($C161,'Master sheet'!$A:$AL,13,FALSE)</f>
        <v>0</v>
      </c>
      <c r="L161" s="97">
        <f>$D161*($E$157/5.678)*$F161*VLOOKUP($C161,'Master sheet'!$A:$AL,27,FALSE)</f>
        <v>0</v>
      </c>
      <c r="M161" s="1552"/>
      <c r="N161" s="1552"/>
      <c r="O161" s="25" t="str">
        <f>_xlfn.IFNA(VLOOKUP($C161,'Master sheet'!$A:$AR,44,FALSE),"")&amp;""</f>
        <v/>
      </c>
      <c r="P161" s="685"/>
      <c r="Q161" s="780" t="s">
        <v>52</v>
      </c>
      <c r="R161" s="728" t="s">
        <v>45</v>
      </c>
      <c r="S161" s="624"/>
      <c r="T161" s="638" t="s">
        <v>7295</v>
      </c>
      <c r="U161" s="638"/>
      <c r="V161" s="638"/>
      <c r="W161" s="664"/>
      <c r="X161" s="664"/>
      <c r="Y161" s="664"/>
    </row>
    <row r="162" spans="1:26" s="624" customFormat="1" ht="31.2" x14ac:dyDescent="0.25">
      <c r="A162" s="1564"/>
      <c r="B162" s="1564"/>
      <c r="C162" s="673" t="str">
        <f>INDEX('Master sheet'!$A$1:$A$670,MATCH("A39",'Master sheet'!$AN$1:$AN$670,0))</f>
        <v>Fiberglass loose fill / Owens Corning / AttiCat, ProCat, ProPink / R 3.28/inch</v>
      </c>
      <c r="D162" s="17">
        <f>'USER INPUT SHEET'!$D$32</f>
        <v>0</v>
      </c>
      <c r="E162" s="18" t="str">
        <f>'USER INPUT SHEET'!$F$32</f>
        <v>m2</v>
      </c>
      <c r="F162" s="4">
        <v>1</v>
      </c>
      <c r="G162" s="674"/>
      <c r="H162" s="9"/>
      <c r="I162" s="95">
        <f t="shared" si="49"/>
        <v>0</v>
      </c>
      <c r="J162" s="96" t="str">
        <f t="shared" si="29"/>
        <v/>
      </c>
      <c r="K162" s="407">
        <f>$D162*($E$157/5.678)*$F162*VLOOKUP($C162,'Master sheet'!$A:$AL,13,FALSE)</f>
        <v>0</v>
      </c>
      <c r="L162" s="97">
        <f>$D162*($E$157/5.678)*$F162*VLOOKUP($C162,'Master sheet'!$A:$AL,27,FALSE)</f>
        <v>0</v>
      </c>
      <c r="M162" s="1610"/>
      <c r="N162" s="1610"/>
      <c r="O162" s="25" t="str">
        <f>_xlfn.IFNA(VLOOKUP($C162,'Master sheet'!$A:$AR,44,FALSE),"")&amp;""</f>
        <v/>
      </c>
      <c r="P162" s="685"/>
      <c r="Q162" s="780" t="s">
        <v>52</v>
      </c>
      <c r="R162" s="728" t="s">
        <v>45</v>
      </c>
      <c r="T162" s="638"/>
      <c r="U162" s="638"/>
      <c r="V162" s="638"/>
      <c r="W162" s="638"/>
      <c r="X162" s="638"/>
      <c r="Y162" s="638"/>
      <c r="Z162" s="619"/>
    </row>
    <row r="163" spans="1:26" s="624" customFormat="1" ht="22.8" x14ac:dyDescent="0.25">
      <c r="A163" s="639"/>
      <c r="B163" s="1524" t="s">
        <v>968</v>
      </c>
      <c r="C163" s="1523"/>
      <c r="D163" s="687" t="str">
        <f>IF(LOWER(Setting!rng_language)="english","R-VALUE:","VALEUR R :")</f>
        <v>R-VALUE:</v>
      </c>
      <c r="E163" s="1"/>
      <c r="F163" s="340"/>
      <c r="G163" s="739"/>
      <c r="H163" s="740"/>
      <c r="I163" s="741"/>
      <c r="J163" s="742"/>
      <c r="K163" s="741"/>
      <c r="L163" s="743"/>
      <c r="M163" s="743"/>
      <c r="N163" s="743"/>
      <c r="O163" s="25" t="str">
        <f>_xlfn.IFNA(VLOOKUP($C163,'Master sheet'!$A:$AR,44,FALSE),"")&amp;""</f>
        <v/>
      </c>
      <c r="P163" s="685"/>
      <c r="Q163" s="728"/>
      <c r="R163" s="728"/>
      <c r="T163" s="638"/>
      <c r="U163" s="638"/>
      <c r="V163" s="638"/>
      <c r="W163" s="638"/>
      <c r="X163" s="638"/>
      <c r="Y163" s="638"/>
      <c r="Z163" s="619"/>
    </row>
    <row r="164" spans="1:26" ht="31.5" customHeight="1" x14ac:dyDescent="0.25">
      <c r="A164" s="1600"/>
      <c r="B164" s="1564"/>
      <c r="C164" s="669" t="str">
        <f>INDEX('Master sheet'!$A$1:$A$670,MATCH("A189",'Master sheet'!$AN$1:$AN$670,0))</f>
        <v>Mineral wool batt / Owens Corning / UltraBatt - Fire and Sound guard Plus R-15, R-30 / R 4.2-inch</v>
      </c>
      <c r="D164" s="15">
        <f>'USER INPUT SHEET'!$D$32</f>
        <v>0</v>
      </c>
      <c r="E164" s="16" t="str">
        <f>'USER INPUT SHEET'!$F$32</f>
        <v>m2</v>
      </c>
      <c r="F164" s="3">
        <v>1</v>
      </c>
      <c r="G164" s="670"/>
      <c r="H164" s="8"/>
      <c r="I164" s="92">
        <f t="shared" ref="I164:I169" si="51">K164-L164</f>
        <v>0</v>
      </c>
      <c r="J164" s="93" t="str">
        <f t="shared" si="29"/>
        <v/>
      </c>
      <c r="K164" s="406">
        <f>$D164*($E$163/5.678)*$F164*VLOOKUP($C164,'Master sheet'!$A:$AL,13,FALSE)</f>
        <v>0</v>
      </c>
      <c r="L164" s="94">
        <f>$D164*($E$163/5.678)*$F164*VLOOKUP($C164,'Master sheet'!$A:$AL,27,FALSE)</f>
        <v>0</v>
      </c>
      <c r="M164" s="1562"/>
      <c r="N164" s="1562"/>
      <c r="O164" s="25" t="str">
        <f>_xlfn.IFNA(VLOOKUP($C164,'Master sheet'!$A:$AR,44,FALSE),"")&amp;""</f>
        <v/>
      </c>
      <c r="P164" s="637"/>
      <c r="Q164" s="765" t="s">
        <v>52</v>
      </c>
      <c r="R164" s="757" t="s">
        <v>45</v>
      </c>
      <c r="T164" s="664"/>
      <c r="U164" s="664"/>
      <c r="V164" s="664"/>
      <c r="W164" s="664"/>
      <c r="X164" s="664"/>
      <c r="Y164" s="664"/>
    </row>
    <row r="165" spans="1:26" ht="31.5" customHeight="1" x14ac:dyDescent="0.25">
      <c r="A165" s="1600"/>
      <c r="B165" s="1564"/>
      <c r="C165" s="673" t="str">
        <f>INDEX('Master sheet'!$A$1:$A$670,MATCH("A190",'Master sheet'!$AN$1:$AN$670,0))</f>
        <v>Mineral wool batt / Owens Corning / UltraBatt - Fire and Sound guard Plus R-23 / R 4.2-inch</v>
      </c>
      <c r="D165" s="17">
        <f>'USER INPUT SHEET'!$D$32</f>
        <v>0</v>
      </c>
      <c r="E165" s="18" t="str">
        <f>'USER INPUT SHEET'!$F$32</f>
        <v>m2</v>
      </c>
      <c r="F165" s="4">
        <v>1</v>
      </c>
      <c r="G165" s="674"/>
      <c r="H165" s="9"/>
      <c r="I165" s="95">
        <f t="shared" si="51"/>
        <v>0</v>
      </c>
      <c r="J165" s="96" t="str">
        <f t="shared" ref="J165:J169" si="52">IF(H165=1,I165,"")</f>
        <v/>
      </c>
      <c r="K165" s="407">
        <f>$D165*($E$163/5.678)*$F165*VLOOKUP($C165,'Master sheet'!$A:$AL,13,FALSE)</f>
        <v>0</v>
      </c>
      <c r="L165" s="97">
        <f>$D165*($E$163/5.678)*$F165*VLOOKUP($C165,'Master sheet'!$A:$AL,27,FALSE)</f>
        <v>0</v>
      </c>
      <c r="M165" s="1552"/>
      <c r="N165" s="1552"/>
      <c r="O165" s="25" t="str">
        <f>_xlfn.IFNA(VLOOKUP($C165,'Master sheet'!$A:$AR,44,FALSE),"")&amp;""</f>
        <v/>
      </c>
      <c r="P165" s="637"/>
      <c r="Q165" s="780" t="s">
        <v>52</v>
      </c>
      <c r="R165" s="728" t="s">
        <v>45</v>
      </c>
      <c r="T165" s="664"/>
      <c r="U165" s="664"/>
      <c r="V165" s="664"/>
      <c r="W165" s="664"/>
      <c r="X165" s="664"/>
      <c r="Y165" s="664"/>
    </row>
    <row r="166" spans="1:26" ht="31.2" x14ac:dyDescent="0.25">
      <c r="A166" s="1600"/>
      <c r="B166" s="1564"/>
      <c r="C166" s="673" t="str">
        <f>INDEX('Master sheet'!$A$1:$A$670,MATCH("A191",'Master sheet'!$AN$1:$AN$670,0))</f>
        <v>Mineral wool batt / Owens Corning / UltraBatt - Fire and Sound guard Plus R-24 / R 4.0-inch</v>
      </c>
      <c r="D166" s="17">
        <f>'USER INPUT SHEET'!$D$32</f>
        <v>0</v>
      </c>
      <c r="E166" s="18" t="str">
        <f>'USER INPUT SHEET'!$F$32</f>
        <v>m2</v>
      </c>
      <c r="F166" s="4">
        <v>1</v>
      </c>
      <c r="G166" s="674"/>
      <c r="H166" s="9"/>
      <c r="I166" s="95">
        <f t="shared" si="51"/>
        <v>0</v>
      </c>
      <c r="J166" s="96" t="str">
        <f t="shared" si="52"/>
        <v/>
      </c>
      <c r="K166" s="407">
        <f>$D166*($E$163/5.678)*$F166*VLOOKUP($C166,'Master sheet'!$A:$AL,13,FALSE)</f>
        <v>0</v>
      </c>
      <c r="L166" s="97">
        <f>$D166*($E$163/5.678)*$F166*VLOOKUP($C166,'Master sheet'!$A:$AL,27,FALSE)</f>
        <v>0</v>
      </c>
      <c r="M166" s="1552"/>
      <c r="N166" s="1552"/>
      <c r="O166" s="25" t="str">
        <f>_xlfn.IFNA(VLOOKUP($C166,'Master sheet'!$A:$AR,44,FALSE),"")&amp;""</f>
        <v/>
      </c>
      <c r="P166" s="637"/>
      <c r="Q166" s="780" t="s">
        <v>52</v>
      </c>
      <c r="R166" s="728" t="s">
        <v>45</v>
      </c>
      <c r="T166" s="664"/>
      <c r="U166" s="664"/>
      <c r="V166" s="664"/>
      <c r="W166" s="664"/>
      <c r="X166" s="664"/>
      <c r="Y166" s="664"/>
    </row>
    <row r="167" spans="1:26" ht="22.95" customHeight="1" x14ac:dyDescent="0.25">
      <c r="A167" s="1600"/>
      <c r="B167" s="1564"/>
      <c r="C167" s="673" t="str">
        <f>INDEX('Master sheet'!$A$1:$A$670,MATCH("A195",'Master sheet'!$AN$1:$AN$670,0))</f>
        <v>Mineral wool batt / Rockwool / ComfortBatt R-23 / R 4.2-inch</v>
      </c>
      <c r="D167" s="17">
        <f>'USER INPUT SHEET'!$D$32</f>
        <v>0</v>
      </c>
      <c r="E167" s="18" t="str">
        <f>'USER INPUT SHEET'!$F$32</f>
        <v>m2</v>
      </c>
      <c r="F167" s="4">
        <v>1</v>
      </c>
      <c r="G167" s="674"/>
      <c r="H167" s="9"/>
      <c r="I167" s="95">
        <f t="shared" si="51"/>
        <v>0</v>
      </c>
      <c r="J167" s="96" t="str">
        <f t="shared" si="52"/>
        <v/>
      </c>
      <c r="K167" s="407">
        <f>$D167*($E$163/5.678)*$F167*VLOOKUP($C167,'Master sheet'!$A:$AL,13,FALSE)</f>
        <v>0</v>
      </c>
      <c r="L167" s="97">
        <f>$D167*($E$163/5.678)*$F167*VLOOKUP($C167,'Master sheet'!$A:$AL,27,FALSE)</f>
        <v>0</v>
      </c>
      <c r="M167" s="1552"/>
      <c r="N167" s="1552"/>
      <c r="O167" s="25" t="str">
        <f>_xlfn.IFNA(VLOOKUP($C167,'Master sheet'!$A:$AR,44,FALSE),"")&amp;""</f>
        <v/>
      </c>
      <c r="P167" s="637"/>
      <c r="Q167" s="780" t="s">
        <v>52</v>
      </c>
      <c r="R167" s="728" t="s">
        <v>45</v>
      </c>
      <c r="T167" s="664"/>
      <c r="U167" s="664"/>
      <c r="V167" s="664"/>
      <c r="W167" s="664"/>
      <c r="X167" s="664"/>
      <c r="Y167" s="664"/>
    </row>
    <row r="168" spans="1:26" ht="31.2" x14ac:dyDescent="0.25">
      <c r="A168" s="1600"/>
      <c r="B168" s="1564"/>
      <c r="C168" s="673" t="str">
        <f>INDEX('Master sheet'!$A$1:$A$670,MATCH("A196",'Master sheet'!$AN$1:$AN$670,0))</f>
        <v>Mineral wool batt / Rockwool / ComfortBatt R-24 (Steel Studs) / R 4.0-inch</v>
      </c>
      <c r="D168" s="17">
        <f>'USER INPUT SHEET'!$D$32</f>
        <v>0</v>
      </c>
      <c r="E168" s="18" t="str">
        <f>'USER INPUT SHEET'!$F$32</f>
        <v>m2</v>
      </c>
      <c r="F168" s="4">
        <v>1</v>
      </c>
      <c r="G168" s="674"/>
      <c r="H168" s="9"/>
      <c r="I168" s="95">
        <f t="shared" si="51"/>
        <v>0</v>
      </c>
      <c r="J168" s="96" t="str">
        <f t="shared" si="52"/>
        <v/>
      </c>
      <c r="K168" s="407">
        <f>$D168*($E$163/5.678)*$F168*VLOOKUP($C168,'Master sheet'!$A:$AL,13,FALSE)</f>
        <v>0</v>
      </c>
      <c r="L168" s="97">
        <f>$D168*($E$163/5.678)*$F168*VLOOKUP($C168,'Master sheet'!$A:$AL,27,FALSE)</f>
        <v>0</v>
      </c>
      <c r="M168" s="1552"/>
      <c r="N168" s="1552"/>
      <c r="O168" s="25" t="str">
        <f>_xlfn.IFNA(VLOOKUP($C168,'Master sheet'!$A:$AR,44,FALSE),"")&amp;""</f>
        <v/>
      </c>
      <c r="P168" s="637"/>
      <c r="Q168" s="780" t="s">
        <v>52</v>
      </c>
      <c r="R168" s="728" t="s">
        <v>45</v>
      </c>
      <c r="T168" s="664"/>
      <c r="U168" s="664"/>
      <c r="V168" s="664"/>
      <c r="W168" s="664"/>
      <c r="X168" s="664"/>
      <c r="Y168" s="664"/>
    </row>
    <row r="169" spans="1:26" ht="31.2" x14ac:dyDescent="0.25">
      <c r="A169" s="1600"/>
      <c r="B169" s="1564"/>
      <c r="C169" s="673" t="str">
        <f>INDEX('Master sheet'!$A$1:$A$670,MATCH("A197",'Master sheet'!$AN$1:$AN$670,0))</f>
        <v>Mineral wool batt / Rockwool / ComfortBatt R-24 (Wood Studs) / R 4.4-inch</v>
      </c>
      <c r="D169" s="17">
        <f>'USER INPUT SHEET'!$D$32</f>
        <v>0</v>
      </c>
      <c r="E169" s="18" t="str">
        <f>'USER INPUT SHEET'!$F$32</f>
        <v>m2</v>
      </c>
      <c r="F169" s="4">
        <v>1</v>
      </c>
      <c r="G169" s="674"/>
      <c r="H169" s="9"/>
      <c r="I169" s="95">
        <f t="shared" si="51"/>
        <v>0</v>
      </c>
      <c r="J169" s="96" t="str">
        <f t="shared" si="52"/>
        <v/>
      </c>
      <c r="K169" s="407">
        <f>$D169*($E$163/5.678)*$F169*VLOOKUP($C169,'Master sheet'!$A:$AL,13,FALSE)</f>
        <v>0</v>
      </c>
      <c r="L169" s="97">
        <f>$D169*($E$163/5.678)*$F169*VLOOKUP($C169,'Master sheet'!$A:$AL,27,FALSE)</f>
        <v>0</v>
      </c>
      <c r="M169" s="1610"/>
      <c r="N169" s="1610"/>
      <c r="O169" s="25" t="str">
        <f>_xlfn.IFNA(VLOOKUP($C169,'Master sheet'!$A:$AR,44,FALSE),"")&amp;""</f>
        <v/>
      </c>
      <c r="P169" s="637"/>
      <c r="Q169" s="780" t="s">
        <v>52</v>
      </c>
      <c r="R169" s="728" t="s">
        <v>45</v>
      </c>
      <c r="T169" s="664"/>
      <c r="U169" s="664"/>
      <c r="V169" s="664"/>
      <c r="W169" s="664"/>
      <c r="X169" s="664"/>
      <c r="Y169" s="664"/>
    </row>
    <row r="170" spans="1:26" s="624" customFormat="1" ht="22.8" x14ac:dyDescent="0.25">
      <c r="A170" s="639"/>
      <c r="B170" s="1524" t="s">
        <v>3437</v>
      </c>
      <c r="C170" s="1523"/>
      <c r="D170" s="687" t="str">
        <f>IF(LOWER(Setting!rng_language)="english","R-VALUE:","VALEUR R :")</f>
        <v>R-VALUE:</v>
      </c>
      <c r="E170" s="1"/>
      <c r="F170" s="340"/>
      <c r="G170" s="739"/>
      <c r="H170" s="740"/>
      <c r="I170" s="741"/>
      <c r="J170" s="742"/>
      <c r="K170" s="741"/>
      <c r="L170" s="743"/>
      <c r="M170" s="743"/>
      <c r="N170" s="743"/>
      <c r="O170" s="25" t="str">
        <f>_xlfn.IFNA(VLOOKUP($C170,'Master sheet'!$A:$AR,44,FALSE),"")&amp;""</f>
        <v/>
      </c>
      <c r="P170" s="685"/>
      <c r="Q170" s="728"/>
      <c r="R170" s="728"/>
      <c r="T170" s="638"/>
      <c r="U170" s="638"/>
      <c r="V170" s="638"/>
      <c r="W170" s="638"/>
      <c r="X170" s="638"/>
      <c r="Y170" s="638"/>
    </row>
    <row r="171" spans="1:26" s="624" customFormat="1" ht="31.5" customHeight="1" x14ac:dyDescent="0.25">
      <c r="A171" s="1603"/>
      <c r="B171" s="1603"/>
      <c r="C171" s="669" t="str">
        <f>INDEX('Master sheet'!$A$1:$A$670,MATCH("A77",'Master sheet'!$AN$1:$AN$670,0))</f>
        <v>Mineral wool loose fill / NAIMA / USG, American Rockwool  / R 3/inch</v>
      </c>
      <c r="D171" s="15">
        <f>'USER INPUT SHEET'!$D$32</f>
        <v>0</v>
      </c>
      <c r="E171" s="16" t="str">
        <f>'USER INPUT SHEET'!$F$32</f>
        <v>m2</v>
      </c>
      <c r="F171" s="3">
        <v>1</v>
      </c>
      <c r="G171" s="670"/>
      <c r="H171" s="8"/>
      <c r="I171" s="92">
        <f>K171-L171</f>
        <v>0</v>
      </c>
      <c r="J171" s="93" t="str">
        <f t="shared" ref="J171" si="53">IF(H171=1,I171,"")</f>
        <v/>
      </c>
      <c r="K171" s="406">
        <f>$D171*($E$170/5.678)*$F171*VLOOKUP($C171,'Master sheet'!$A:$AL,13,FALSE)</f>
        <v>0</v>
      </c>
      <c r="L171" s="94">
        <f>$D171*($E$170/5.678)*$F171*VLOOKUP($C171,'Master sheet'!$A:$AL,27,FALSE)</f>
        <v>0</v>
      </c>
      <c r="M171" s="1610"/>
      <c r="N171" s="1610"/>
      <c r="O171" s="25" t="str">
        <f>_xlfn.IFNA(VLOOKUP($C171,'Master sheet'!$A:$AR,44,FALSE),"")&amp;""</f>
        <v/>
      </c>
      <c r="P171" s="637"/>
      <c r="Q171" s="765" t="s">
        <v>52</v>
      </c>
      <c r="R171" s="757" t="s">
        <v>45</v>
      </c>
      <c r="S171" s="619"/>
      <c r="T171" s="638"/>
      <c r="U171" s="638"/>
      <c r="V171" s="638"/>
      <c r="W171" s="638"/>
      <c r="X171" s="638"/>
      <c r="Y171" s="638"/>
    </row>
    <row r="172" spans="1:26" s="624" customFormat="1" ht="22.8" x14ac:dyDescent="0.25">
      <c r="A172" s="639"/>
      <c r="B172" s="1524" t="s">
        <v>46</v>
      </c>
      <c r="C172" s="1523"/>
      <c r="D172" s="687" t="str">
        <f>IF(LOWER(Setting!rng_language)="english","R-VALUE:","VALEUR R :")</f>
        <v>R-VALUE:</v>
      </c>
      <c r="E172" s="1"/>
      <c r="F172" s="340"/>
      <c r="G172" s="739"/>
      <c r="H172" s="740"/>
      <c r="I172" s="741"/>
      <c r="J172" s="742"/>
      <c r="K172" s="741"/>
      <c r="L172" s="743"/>
      <c r="M172" s="743"/>
      <c r="N172" s="743"/>
      <c r="O172" s="25" t="str">
        <f>_xlfn.IFNA(VLOOKUP($C172,'Master sheet'!$A:$AR,44,FALSE),"")&amp;""</f>
        <v/>
      </c>
      <c r="P172" s="685"/>
      <c r="Q172" s="728"/>
      <c r="R172" s="728"/>
      <c r="T172" s="638"/>
      <c r="U172" s="638"/>
      <c r="V172" s="638"/>
      <c r="W172" s="638"/>
      <c r="X172" s="638"/>
      <c r="Y172" s="638"/>
    </row>
    <row r="173" spans="1:26" ht="22.8" x14ac:dyDescent="0.25">
      <c r="A173" s="729"/>
      <c r="B173" s="729"/>
      <c r="C173" s="691" t="s">
        <v>1362</v>
      </c>
      <c r="D173" s="19">
        <f>'USER INPUT SHEET'!$D$32</f>
        <v>0</v>
      </c>
      <c r="E173" s="20" t="str">
        <f>'USER INPUT SHEET'!$F$32</f>
        <v>m2</v>
      </c>
      <c r="F173" s="6">
        <v>1</v>
      </c>
      <c r="G173" s="692"/>
      <c r="H173" s="10"/>
      <c r="I173" s="98">
        <f>K173-L173</f>
        <v>0</v>
      </c>
      <c r="J173" s="91" t="str">
        <f>IF(H173=1,I173,"")</f>
        <v/>
      </c>
      <c r="K173" s="410">
        <f>F173*AVERAGE(K174:K176)</f>
        <v>0</v>
      </c>
      <c r="L173" s="99">
        <f>F173*AVERAGE(L174:L176)</f>
        <v>0</v>
      </c>
      <c r="M173" s="1552"/>
      <c r="N173" s="1552"/>
      <c r="O173" s="25" t="str">
        <f>_xlfn.IFNA(VLOOKUP($C173,'Master sheet'!$A:$AR,44,FALSE),"")&amp;""</f>
        <v/>
      </c>
      <c r="P173" s="685"/>
      <c r="Q173" s="765" t="s">
        <v>52</v>
      </c>
      <c r="R173" s="757" t="s">
        <v>45</v>
      </c>
      <c r="S173" s="664"/>
      <c r="T173" s="664"/>
      <c r="U173" s="664"/>
      <c r="V173" s="664"/>
      <c r="W173" s="664"/>
      <c r="X173" s="664"/>
      <c r="Y173" s="664"/>
    </row>
    <row r="174" spans="1:26" ht="47.25" customHeight="1" x14ac:dyDescent="0.25">
      <c r="A174" s="1600"/>
      <c r="B174" s="1564"/>
      <c r="C174" s="669" t="str">
        <f>INDEX('Master sheet'!$A$1:$A$670,MATCH(33,'Master sheet'!$AN$1:$AN$670,0))</f>
        <v>Cellulose - dense pack /  / R 3.7/inch / Includes AFT, Applegate, Can-Cell, Cell-Pak, Cleanfiber, Climatizer, Fiberlite, Igloo, ICC, Mason City, Nu-Wool, Soprema, Thermo-Kool</v>
      </c>
      <c r="D174" s="15">
        <f>'USER INPUT SHEET'!$D$32</f>
        <v>0</v>
      </c>
      <c r="E174" s="16" t="str">
        <f>'USER INPUT SHEET'!$F$32</f>
        <v>m2</v>
      </c>
      <c r="F174" s="3">
        <v>1</v>
      </c>
      <c r="G174" s="670"/>
      <c r="H174" s="8"/>
      <c r="I174" s="92">
        <f>K174-L174</f>
        <v>0</v>
      </c>
      <c r="J174" s="93" t="str">
        <f t="shared" ref="J174:J180" si="54">IF(H174=1,I174,"")</f>
        <v/>
      </c>
      <c r="K174" s="406">
        <f>$D174*($E$172/5.678)*$F174*VLOOKUP($C174,'Master sheet'!$A:$AL,13,FALSE)</f>
        <v>0</v>
      </c>
      <c r="L174" s="94">
        <f>$D174*($E$172/5.678)*$F174*VLOOKUP($C174,'Master sheet'!$A:$AL,27,FALSE)</f>
        <v>0</v>
      </c>
      <c r="M174" s="1552"/>
      <c r="N174" s="1552"/>
      <c r="O174" s="25" t="str">
        <f ca="1">_xlfn.IFNA(VLOOKUP($C174,'Master sheet'!$A:$AR,44,FALSE),"")&amp;""</f>
        <v>Expired 2024</v>
      </c>
      <c r="P174" s="637"/>
      <c r="Q174" s="765" t="s">
        <v>52</v>
      </c>
      <c r="R174" s="757" t="s">
        <v>45</v>
      </c>
      <c r="T174" s="664"/>
      <c r="U174" s="664"/>
      <c r="V174" s="664"/>
      <c r="W174" s="664"/>
      <c r="X174" s="664"/>
      <c r="Y174" s="664"/>
    </row>
    <row r="175" spans="1:26" ht="23.25" customHeight="1" x14ac:dyDescent="0.25">
      <c r="A175" s="1564"/>
      <c r="B175" s="1564"/>
      <c r="C175" s="669" t="str">
        <f>INDEX('Master sheet'!$A$1:$A$670,MATCH(32,'Master sheet'!$AN$1:$AN$670,0))</f>
        <v>Cellulose - batt / CMS / R 3.6/inch / EcoCell</v>
      </c>
      <c r="D175" s="15">
        <f>'USER INPUT SHEET'!$D$32</f>
        <v>0</v>
      </c>
      <c r="E175" s="16" t="str">
        <f>'USER INPUT SHEET'!$F$32</f>
        <v>m2</v>
      </c>
      <c r="F175" s="3">
        <v>1</v>
      </c>
      <c r="G175" s="670"/>
      <c r="H175" s="8"/>
      <c r="I175" s="92">
        <f>K175-L175</f>
        <v>0</v>
      </c>
      <c r="J175" s="93" t="str">
        <f t="shared" si="54"/>
        <v/>
      </c>
      <c r="K175" s="406">
        <f>$D175*($E$172/5.678)*$F175*VLOOKUP($C175,'Master sheet'!$A:$AL,13,FALSE)</f>
        <v>0</v>
      </c>
      <c r="L175" s="94">
        <f>$D175*($E$172/5.678)*$F175*VLOOKUP($C175,'Master sheet'!$A:$AL,27,FALSE)</f>
        <v>0</v>
      </c>
      <c r="M175" s="1552"/>
      <c r="N175" s="1552"/>
      <c r="O175" s="25" t="str">
        <f ca="1">_xlfn.IFNA(VLOOKUP($C175,'Master sheet'!$A:$AR,44,FALSE),"")&amp;""</f>
        <v>Expired 2024</v>
      </c>
      <c r="P175" s="637"/>
      <c r="Q175" s="765" t="s">
        <v>52</v>
      </c>
      <c r="R175" s="757" t="s">
        <v>45</v>
      </c>
      <c r="T175" s="664"/>
      <c r="U175" s="664"/>
      <c r="V175" s="664"/>
      <c r="W175" s="664"/>
      <c r="X175" s="664"/>
      <c r="Y175" s="664"/>
    </row>
    <row r="176" spans="1:26" s="624" customFormat="1" ht="31.5" customHeight="1" x14ac:dyDescent="0.25">
      <c r="A176" s="1564"/>
      <c r="B176" s="1564"/>
      <c r="C176" s="673" t="str">
        <f>INDEX('Master sheet'!$A$1:$A$670,MATCH(35,'Master sheet'!$AN$1:$AN$670,0))</f>
        <v>Cellulose - spray applied / R 3.75/inch / International Cellulose Corp. / K-13, ThermoCon</v>
      </c>
      <c r="D176" s="17">
        <f>'USER INPUT SHEET'!$D$32</f>
        <v>0</v>
      </c>
      <c r="E176" s="18" t="str">
        <f>'USER INPUT SHEET'!$F$32</f>
        <v>m2</v>
      </c>
      <c r="F176" s="4">
        <v>1</v>
      </c>
      <c r="G176" s="674"/>
      <c r="H176" s="9"/>
      <c r="I176" s="95">
        <f>K176-L176</f>
        <v>0</v>
      </c>
      <c r="J176" s="96" t="str">
        <f t="shared" si="54"/>
        <v/>
      </c>
      <c r="K176" s="407">
        <f>$D176*($E$172/5.678)*$F176*VLOOKUP($C176,'Master sheet'!$A:$AL,13,FALSE)</f>
        <v>0</v>
      </c>
      <c r="L176" s="97">
        <f>$D176*($E$172/5.678)*$F176*VLOOKUP($C176,'Master sheet'!$A:$AL,27,FALSE)</f>
        <v>0</v>
      </c>
      <c r="M176" s="1610"/>
      <c r="N176" s="1610"/>
      <c r="O176" s="25" t="str">
        <f ca="1">_xlfn.IFNA(VLOOKUP($C176,'Master sheet'!$A:$AR,44,FALSE),"")&amp;""</f>
        <v>Expired 2025</v>
      </c>
      <c r="P176" s="685"/>
      <c r="Q176" s="780" t="s">
        <v>52</v>
      </c>
      <c r="R176" s="728" t="s">
        <v>45</v>
      </c>
      <c r="T176" s="638"/>
      <c r="U176" s="638"/>
      <c r="V176" s="638"/>
      <c r="W176" s="638"/>
      <c r="X176" s="638"/>
      <c r="Y176" s="638"/>
    </row>
    <row r="177" spans="1:25" s="624" customFormat="1" ht="22.8" x14ac:dyDescent="0.25">
      <c r="A177" s="639"/>
      <c r="B177" s="1524" t="s">
        <v>969</v>
      </c>
      <c r="C177" s="1523"/>
      <c r="D177" s="687" t="str">
        <f>IF(LOWER(Setting!rng_language)="english","R-VALUE:","VALEUR R :")</f>
        <v>R-VALUE:</v>
      </c>
      <c r="E177" s="1"/>
      <c r="F177" s="340"/>
      <c r="G177" s="739"/>
      <c r="H177" s="740"/>
      <c r="I177" s="741"/>
      <c r="J177" s="742"/>
      <c r="K177" s="741"/>
      <c r="L177" s="743"/>
      <c r="M177" s="743"/>
      <c r="N177" s="743"/>
      <c r="O177" s="25" t="str">
        <f>_xlfn.IFNA(VLOOKUP($C177,'Master sheet'!$A:$AR,44,FALSE),"")&amp;""</f>
        <v/>
      </c>
      <c r="P177" s="685"/>
      <c r="Q177" s="728"/>
      <c r="R177" s="728"/>
      <c r="T177" s="638"/>
      <c r="U177" s="638"/>
      <c r="V177" s="638"/>
      <c r="W177" s="638"/>
      <c r="X177" s="638"/>
      <c r="Y177" s="638"/>
    </row>
    <row r="178" spans="1:25" ht="22.8" x14ac:dyDescent="0.25">
      <c r="A178" s="729"/>
      <c r="B178" s="729"/>
      <c r="C178" s="691" t="s">
        <v>1363</v>
      </c>
      <c r="D178" s="19">
        <f>'USER INPUT SHEET'!$D$32</f>
        <v>0</v>
      </c>
      <c r="E178" s="20" t="str">
        <f>'USER INPUT SHEET'!$F$32</f>
        <v>m2</v>
      </c>
      <c r="F178" s="6">
        <v>1</v>
      </c>
      <c r="G178" s="692"/>
      <c r="H178" s="10"/>
      <c r="I178" s="98">
        <f t="shared" ref="I178:I180" si="55">K178-L178</f>
        <v>0</v>
      </c>
      <c r="J178" s="91" t="str">
        <f>IF(H178=1,I178,"")</f>
        <v/>
      </c>
      <c r="K178" s="410">
        <f>F178*AVERAGE(K179:K180)</f>
        <v>0</v>
      </c>
      <c r="L178" s="99">
        <f>F178*AVERAGE(L179:L180)</f>
        <v>0</v>
      </c>
      <c r="M178" s="1552"/>
      <c r="N178" s="1552"/>
      <c r="O178" s="25" t="str">
        <f>_xlfn.IFNA(VLOOKUP($C178,'Master sheet'!$A:$AR,44,FALSE),"")&amp;""</f>
        <v/>
      </c>
      <c r="P178" s="685"/>
      <c r="Q178" s="765" t="s">
        <v>52</v>
      </c>
      <c r="R178" s="757" t="s">
        <v>45</v>
      </c>
      <c r="S178" s="664"/>
      <c r="T178" s="664"/>
      <c r="U178" s="664"/>
      <c r="V178" s="664"/>
      <c r="W178" s="664"/>
      <c r="X178" s="664"/>
      <c r="Y178" s="664"/>
    </row>
    <row r="179" spans="1:25" ht="23.25" customHeight="1" x14ac:dyDescent="0.25">
      <c r="A179" s="1564"/>
      <c r="B179" s="1564"/>
      <c r="C179" s="673" t="str">
        <f>INDEX('Master sheet'!$A$1:$A$670,MATCH(238,'Master sheet'!$AN$1:$AN$670,0))</f>
        <v>Wood fiber - loose fill / GUTEX / ThermoFiber / R 3.6/inch</v>
      </c>
      <c r="D179" s="17">
        <f>'USER INPUT SHEET'!$D$32</f>
        <v>0</v>
      </c>
      <c r="E179" s="18" t="str">
        <f>'USER INPUT SHEET'!$F$32</f>
        <v>m2</v>
      </c>
      <c r="F179" s="4">
        <v>1</v>
      </c>
      <c r="G179" s="674"/>
      <c r="H179" s="9"/>
      <c r="I179" s="95">
        <f t="shared" si="55"/>
        <v>0</v>
      </c>
      <c r="J179" s="96" t="str">
        <f t="shared" ref="J179" si="56">IF(H179=1,I179,"")</f>
        <v/>
      </c>
      <c r="K179" s="407">
        <f>$D179*($E$177/5.678)*$F179*VLOOKUP($C179,'Master sheet'!$A:$AL,13,FALSE)</f>
        <v>0</v>
      </c>
      <c r="L179" s="97">
        <f>$D179*($E$177/5.678)*$F179*VLOOKUP($C179,'Master sheet'!$A:$AL,27,FALSE)</f>
        <v>0</v>
      </c>
      <c r="M179" s="1552"/>
      <c r="N179" s="1552"/>
      <c r="O179" s="25" t="str">
        <f ca="1">_xlfn.IFNA(VLOOKUP($C179,'Master sheet'!$A:$AR,44,FALSE),"")&amp;""</f>
        <v>Expired 2024</v>
      </c>
      <c r="P179" s="637"/>
      <c r="Q179" s="780" t="s">
        <v>52</v>
      </c>
      <c r="R179" s="728" t="s">
        <v>45</v>
      </c>
      <c r="S179" s="624"/>
      <c r="T179" s="638"/>
      <c r="U179" s="638"/>
      <c r="V179" s="664"/>
      <c r="W179" s="664"/>
      <c r="X179" s="664"/>
      <c r="Y179" s="664"/>
    </row>
    <row r="180" spans="1:25" s="624" customFormat="1" ht="23.25" customHeight="1" x14ac:dyDescent="0.25">
      <c r="A180" s="1564"/>
      <c r="B180" s="1564"/>
      <c r="C180" s="673" t="str">
        <f>INDEX('Master sheet'!$A$1:$A$670,MATCH("A122",'Master sheet'!$AN$1:$AN$670,0))</f>
        <v>Wood fiber batt / Steico / SteicoFlex / R 3.8/inch</v>
      </c>
      <c r="D180" s="17">
        <f>'USER INPUT SHEET'!$D$32</f>
        <v>0</v>
      </c>
      <c r="E180" s="18" t="str">
        <f>'USER INPUT SHEET'!$F$32</f>
        <v>m2</v>
      </c>
      <c r="F180" s="4">
        <v>1</v>
      </c>
      <c r="G180" s="674"/>
      <c r="H180" s="9"/>
      <c r="I180" s="95">
        <f t="shared" si="55"/>
        <v>0</v>
      </c>
      <c r="J180" s="96" t="str">
        <f t="shared" si="54"/>
        <v/>
      </c>
      <c r="K180" s="407">
        <f>$D180*($E$177/5.678)*$F180*VLOOKUP($C180,'Master sheet'!$A:$AL,13,FALSE)</f>
        <v>0</v>
      </c>
      <c r="L180" s="97">
        <f>$D180*($E$177/5.678)*$F180*VLOOKUP($C180,'Master sheet'!$A:$AL,27,FALSE)</f>
        <v>0</v>
      </c>
      <c r="M180" s="1610"/>
      <c r="N180" s="1610"/>
      <c r="O180" s="25" t="str">
        <f>_xlfn.IFNA(VLOOKUP($C180,'Master sheet'!$A:$AR,44,FALSE),"")&amp;""</f>
        <v/>
      </c>
      <c r="P180" s="637"/>
      <c r="Q180" s="780" t="s">
        <v>52</v>
      </c>
      <c r="R180" s="728" t="s">
        <v>45</v>
      </c>
      <c r="T180" s="638"/>
      <c r="U180" s="638"/>
      <c r="V180" s="638"/>
      <c r="W180" s="638"/>
      <c r="X180" s="638"/>
      <c r="Y180" s="638"/>
    </row>
    <row r="181" spans="1:25" s="624" customFormat="1" ht="22.8" x14ac:dyDescent="0.25">
      <c r="A181" s="639"/>
      <c r="B181" s="1524" t="s">
        <v>56</v>
      </c>
      <c r="C181" s="1523"/>
      <c r="D181" s="687" t="str">
        <f>IF(LOWER(Setting!rng_language)="english","R-VALUE:","VALEUR R :")</f>
        <v>R-VALUE:</v>
      </c>
      <c r="E181" s="1"/>
      <c r="F181" s="325"/>
      <c r="G181" s="678"/>
      <c r="H181" s="679"/>
      <c r="I181" s="642"/>
      <c r="J181" s="643"/>
      <c r="K181" s="676"/>
      <c r="L181" s="677"/>
      <c r="M181" s="677"/>
      <c r="N181" s="677"/>
      <c r="O181" s="25" t="str">
        <f>_xlfn.IFNA(VLOOKUP($C181,'Master sheet'!$A:$AR,44,FALSE),"")&amp;""</f>
        <v/>
      </c>
      <c r="P181" s="685"/>
      <c r="Q181" s="728"/>
      <c r="R181" s="728"/>
      <c r="T181" s="638"/>
      <c r="U181" s="638"/>
      <c r="V181" s="638"/>
      <c r="W181" s="638"/>
      <c r="X181" s="638"/>
      <c r="Y181" s="638"/>
    </row>
    <row r="182" spans="1:25" s="624" customFormat="1" ht="23.25" customHeight="1" x14ac:dyDescent="0.25">
      <c r="A182" s="1600"/>
      <c r="B182" s="1564"/>
      <c r="C182" s="647" t="str">
        <f>INDEX('Master sheet'!$A$1:$A$670,MATCH(254,'Master sheet'!$AN$1:$AN$670,0))</f>
        <v>Wool batt / Havelock Wool /  / R 3.6/inch</v>
      </c>
      <c r="D182" s="13">
        <f>'USER INPUT SHEET'!$D$32</f>
        <v>0</v>
      </c>
      <c r="E182" s="14" t="str">
        <f>'USER INPUT SHEET'!$F$32</f>
        <v>m2</v>
      </c>
      <c r="F182" s="2">
        <v>1</v>
      </c>
      <c r="G182" s="648"/>
      <c r="H182" s="7"/>
      <c r="I182" s="88">
        <f t="shared" ref="I182:I185" si="57">K182-L182</f>
        <v>0</v>
      </c>
      <c r="J182" s="89" t="str">
        <f t="shared" ref="J182:J185" si="58">IF(H182=1,I182,"")</f>
        <v/>
      </c>
      <c r="K182" s="404">
        <f>$D182*($E$181/5.678)*$F182*VLOOKUP($C182,'Master sheet'!$A:$AL,13,FALSE)</f>
        <v>0</v>
      </c>
      <c r="L182" s="90">
        <f>$D182*($E$181/5.678)*$F182*VLOOKUP($C182,'Master sheet'!$A:$AL,27,FALSE)</f>
        <v>0</v>
      </c>
      <c r="M182" s="1552"/>
      <c r="N182" s="1552"/>
      <c r="O182" s="25" t="str">
        <f ca="1">_xlfn.IFNA(VLOOKUP($C182,'Master sheet'!$A:$AR,44,FALSE),"")&amp;""</f>
        <v>Expired 2025</v>
      </c>
      <c r="P182" s="685"/>
      <c r="Q182" s="780" t="s">
        <v>52</v>
      </c>
      <c r="R182" s="728" t="s">
        <v>45</v>
      </c>
      <c r="T182" s="638"/>
      <c r="U182" s="638"/>
      <c r="V182" s="638"/>
      <c r="W182" s="638"/>
      <c r="X182" s="638"/>
      <c r="Y182" s="638"/>
    </row>
    <row r="183" spans="1:25" ht="23.25" customHeight="1" x14ac:dyDescent="0.25">
      <c r="A183" s="1564"/>
      <c r="B183" s="1564"/>
      <c r="C183" s="669" t="str">
        <f>INDEX('Master sheet'!$A$1:$A$670,MATCH(255,'Master sheet'!$AN$1:$AN$670,0))</f>
        <v>Wool loose fill / Havelock Wool /  / R 4.4/inch</v>
      </c>
      <c r="D183" s="15">
        <f>'USER INPUT SHEET'!$D$32</f>
        <v>0</v>
      </c>
      <c r="E183" s="16" t="str">
        <f>'USER INPUT SHEET'!$F$32</f>
        <v>m2</v>
      </c>
      <c r="F183" s="3">
        <v>1</v>
      </c>
      <c r="G183" s="670"/>
      <c r="H183" s="8"/>
      <c r="I183" s="92">
        <f t="shared" si="57"/>
        <v>0</v>
      </c>
      <c r="J183" s="93" t="str">
        <f t="shared" si="58"/>
        <v/>
      </c>
      <c r="K183" s="406">
        <f>$D183*($E$181/5.678)*$F183*VLOOKUP($C183,'Master sheet'!$A:$AL,13,FALSE)</f>
        <v>0</v>
      </c>
      <c r="L183" s="94">
        <f>$D183*($E$181/5.678)*$F183*VLOOKUP($C183,'Master sheet'!$A:$AL,27,FALSE)</f>
        <v>0</v>
      </c>
      <c r="M183" s="1552"/>
      <c r="N183" s="1552"/>
      <c r="O183" s="25" t="str">
        <f ca="1">_xlfn.IFNA(VLOOKUP($C183,'Master sheet'!$A:$AR,44,FALSE),"")&amp;""</f>
        <v/>
      </c>
      <c r="P183" s="685"/>
      <c r="Q183" s="765" t="s">
        <v>52</v>
      </c>
      <c r="R183" s="757" t="s">
        <v>45</v>
      </c>
      <c r="T183" s="664"/>
      <c r="U183" s="664"/>
      <c r="V183" s="664"/>
      <c r="W183" s="664"/>
      <c r="X183" s="664"/>
      <c r="Y183" s="664"/>
    </row>
    <row r="184" spans="1:25" ht="23.25" customHeight="1" x14ac:dyDescent="0.25">
      <c r="A184" s="1564"/>
      <c r="B184" s="1564"/>
      <c r="C184" s="673" t="str">
        <f>INDEX('Master sheet'!$A$1:$A$670,MATCH(412,'Master sheet'!$AN$1:$AN$670,0))</f>
        <v>Straw Bale / SNaB (UK) / Wheat &amp; barley straw / R 2.8/inch</v>
      </c>
      <c r="D184" s="17">
        <f>'USER INPUT SHEET'!$D$32</f>
        <v>0</v>
      </c>
      <c r="E184" s="18" t="str">
        <f>'USER INPUT SHEET'!$F$32</f>
        <v>m2</v>
      </c>
      <c r="F184" s="4">
        <v>1</v>
      </c>
      <c r="G184" s="674"/>
      <c r="H184" s="9"/>
      <c r="I184" s="95">
        <f t="shared" si="57"/>
        <v>0</v>
      </c>
      <c r="J184" s="96" t="str">
        <f t="shared" si="58"/>
        <v/>
      </c>
      <c r="K184" s="407">
        <f>$D184*($E$181/5.678)*$F184*VLOOKUP($C184,'Master sheet'!$A:$AL,13,FALSE)</f>
        <v>0</v>
      </c>
      <c r="L184" s="97">
        <f>$D184*($E$181/5.678)*$F184*VLOOKUP($C184,'Master sheet'!$A:$AL,27,FALSE)</f>
        <v>0</v>
      </c>
      <c r="M184" s="1552"/>
      <c r="N184" s="1552"/>
      <c r="O184" s="25" t="str">
        <f ca="1">_xlfn.IFNA(VLOOKUP($C184,'Master sheet'!$A:$AR,44,FALSE),"")&amp;""</f>
        <v/>
      </c>
      <c r="P184" s="637"/>
      <c r="Q184" s="780" t="s">
        <v>52</v>
      </c>
      <c r="R184" s="728" t="s">
        <v>45</v>
      </c>
      <c r="S184" s="624"/>
      <c r="T184" s="638"/>
      <c r="U184" s="638"/>
      <c r="V184" s="638"/>
      <c r="W184" s="664"/>
      <c r="X184" s="664"/>
      <c r="Y184" s="664"/>
    </row>
    <row r="185" spans="1:25" s="624" customFormat="1" ht="23.25" customHeight="1" x14ac:dyDescent="0.25">
      <c r="A185" s="1564"/>
      <c r="B185" s="1564"/>
      <c r="C185" s="673" t="str">
        <f>INDEX('Master sheet'!$A$1:$A$670,MATCH("A54",'Master sheet'!$AN$1:$AN$670,0))</f>
        <v>Hemp fiber batt / NaturFibre / Hemp Wool / R 3.7/inch</v>
      </c>
      <c r="D185" s="17">
        <f>'USER INPUT SHEET'!$D$32</f>
        <v>0</v>
      </c>
      <c r="E185" s="18" t="str">
        <f>'USER INPUT SHEET'!$F$32</f>
        <v>m2</v>
      </c>
      <c r="F185" s="4">
        <v>1</v>
      </c>
      <c r="G185" s="674"/>
      <c r="H185" s="9"/>
      <c r="I185" s="95">
        <f t="shared" si="57"/>
        <v>0</v>
      </c>
      <c r="J185" s="96" t="str">
        <f t="shared" si="58"/>
        <v/>
      </c>
      <c r="K185" s="407">
        <f>$D185*($E$181/5.678)*$F185*VLOOKUP($C185,'Master sheet'!$A:$AL,13,FALSE)</f>
        <v>0</v>
      </c>
      <c r="L185" s="97">
        <f>$D185*($E$181/5.678)*$F185*VLOOKUP($C185,'Master sheet'!$A:$AL,27,FALSE)</f>
        <v>0</v>
      </c>
      <c r="M185" s="1610"/>
      <c r="N185" s="1610"/>
      <c r="O185" s="25" t="str">
        <f>_xlfn.IFNA(VLOOKUP($C185,'Master sheet'!$A:$AR,44,FALSE),"")&amp;""</f>
        <v/>
      </c>
      <c r="P185" s="637"/>
      <c r="Q185" s="780" t="s">
        <v>52</v>
      </c>
      <c r="R185" s="728" t="s">
        <v>45</v>
      </c>
      <c r="T185" s="638"/>
      <c r="U185" s="638"/>
      <c r="V185" s="638"/>
      <c r="W185" s="638"/>
      <c r="X185" s="638"/>
      <c r="Y185" s="638"/>
    </row>
    <row r="186" spans="1:25" s="624" customFormat="1" ht="22.8" x14ac:dyDescent="0.25">
      <c r="A186" s="639"/>
      <c r="B186" s="1524" t="s">
        <v>3428</v>
      </c>
      <c r="C186" s="1523"/>
      <c r="D186" s="687" t="str">
        <f>IF(LOWER(Setting!rng_language)="english","R-VALUE:","VALEUR R :")</f>
        <v>R-VALUE:</v>
      </c>
      <c r="E186" s="1"/>
      <c r="F186" s="325"/>
      <c r="G186" s="678"/>
      <c r="H186" s="679"/>
      <c r="I186" s="642"/>
      <c r="J186" s="643"/>
      <c r="K186" s="676"/>
      <c r="L186" s="727"/>
      <c r="M186" s="727"/>
      <c r="N186" s="727"/>
      <c r="O186" s="25" t="str">
        <f>_xlfn.IFNA(VLOOKUP($C186,'Master sheet'!$A:$AR,44,FALSE),"")&amp;""</f>
        <v/>
      </c>
      <c r="P186" s="637"/>
      <c r="Q186" s="728"/>
      <c r="R186" s="728"/>
      <c r="T186" s="638"/>
      <c r="U186" s="638"/>
      <c r="V186" s="638"/>
      <c r="W186" s="638"/>
      <c r="X186" s="638"/>
      <c r="Y186" s="638"/>
    </row>
    <row r="187" spans="1:25" s="624" customFormat="1" ht="31.5" customHeight="1" x14ac:dyDescent="0.25">
      <c r="A187" s="729"/>
      <c r="B187" s="729"/>
      <c r="C187" s="673" t="str">
        <f>INDEX('Master sheet'!$A$1:$A$670,MATCH(184,'Master sheet'!$AN$1:$AN$670,0))</f>
        <v>Spray polyurethane foam - Closed Cell - HFO gas filled / SPFA /  / R 6.6/inch</v>
      </c>
      <c r="D187" s="17">
        <f>'USER INPUT SHEET'!$D$32</f>
        <v>0</v>
      </c>
      <c r="E187" s="18" t="str">
        <f>'USER INPUT SHEET'!$F$32</f>
        <v>m2</v>
      </c>
      <c r="F187" s="4">
        <v>1</v>
      </c>
      <c r="G187" s="674"/>
      <c r="H187" s="9"/>
      <c r="I187" s="95">
        <f>K187-L187</f>
        <v>0</v>
      </c>
      <c r="J187" s="96" t="str">
        <f>IF(H187=1,I187,"")</f>
        <v/>
      </c>
      <c r="K187" s="407">
        <f>$D187*($E$186/5.678)*$F187*VLOOKUP($C187,'Master sheet'!$A:$AL,13,FALSE)</f>
        <v>0</v>
      </c>
      <c r="L187" s="97">
        <f>$D187*($E$186/5.678)*$F187*VLOOKUP($C187,'Master sheet'!$A:$AL,27,FALSE)</f>
        <v>0</v>
      </c>
      <c r="M187" s="1562"/>
      <c r="N187" s="1562"/>
      <c r="O187" s="25" t="str">
        <f ca="1">_xlfn.IFNA(VLOOKUP($C187,'Master sheet'!$A:$AR,44,FALSE),"")&amp;""</f>
        <v/>
      </c>
      <c r="P187" s="685"/>
      <c r="Q187" s="780" t="s">
        <v>52</v>
      </c>
      <c r="R187" s="728" t="s">
        <v>45</v>
      </c>
      <c r="T187" s="638"/>
      <c r="U187" s="638"/>
      <c r="V187" s="638"/>
      <c r="W187" s="638"/>
      <c r="X187" s="638"/>
      <c r="Y187" s="638"/>
    </row>
    <row r="188" spans="1:25" s="624" customFormat="1" ht="31.5" customHeight="1" x14ac:dyDescent="0.25">
      <c r="A188" s="1601"/>
      <c r="B188" s="1602"/>
      <c r="C188" s="673" t="str">
        <f>INDEX('Master sheet'!$A$1:$A$670,MATCH(410,'Master sheet'!$AN$1:$AN$670,0))</f>
        <v xml:space="preserve">Spray polyurethane foam - Closed Cell (HFO) / Huntsman Building Solutions / Heatlok HFO &amp; Heatlok Soya HFO / </v>
      </c>
      <c r="D188" s="17">
        <f>'USER INPUT SHEET'!$D$32</f>
        <v>0</v>
      </c>
      <c r="E188" s="18" t="str">
        <f>'USER INPUT SHEET'!$F$32</f>
        <v>m2</v>
      </c>
      <c r="F188" s="4">
        <v>1</v>
      </c>
      <c r="G188" s="674"/>
      <c r="H188" s="9"/>
      <c r="I188" s="95">
        <f>K188-L188</f>
        <v>0</v>
      </c>
      <c r="J188" s="96" t="str">
        <f>IF(H188=1,I188,"")</f>
        <v/>
      </c>
      <c r="K188" s="407">
        <f>$D188*($E$186/5.678)*$F188*VLOOKUP($C188,'Master sheet'!$A:$AL,13,FALSE)</f>
        <v>0</v>
      </c>
      <c r="L188" s="97">
        <f>$D188*($E$186/5.678)*$F188*VLOOKUP($C188,'Master sheet'!$A:$AL,27,FALSE)</f>
        <v>0</v>
      </c>
      <c r="M188" s="1610"/>
      <c r="N188" s="1610"/>
      <c r="O188" s="25" t="str">
        <f>_xlfn.IFNA(VLOOKUP($C188,'Master sheet'!$A:$AR,44,FALSE),"")&amp;""</f>
        <v>A1-B1</v>
      </c>
      <c r="P188" s="685"/>
      <c r="Q188" s="780" t="s">
        <v>52</v>
      </c>
      <c r="R188" s="728" t="s">
        <v>45</v>
      </c>
      <c r="T188" s="638"/>
      <c r="U188" s="638"/>
      <c r="V188" s="638"/>
      <c r="W188" s="638"/>
      <c r="X188" s="638"/>
      <c r="Y188" s="638"/>
    </row>
    <row r="189" spans="1:25" s="624" customFormat="1" ht="22.8" x14ac:dyDescent="0.25">
      <c r="A189" s="639"/>
      <c r="B189" s="1524" t="s">
        <v>3429</v>
      </c>
      <c r="C189" s="1523"/>
      <c r="D189" s="687" t="str">
        <f>IF(LOWER(Setting!rng_language)="english","R-VALUE:","VALEUR R :")</f>
        <v>R-VALUE:</v>
      </c>
      <c r="E189" s="1"/>
      <c r="F189" s="325"/>
      <c r="G189" s="678"/>
      <c r="H189" s="679"/>
      <c r="I189" s="642"/>
      <c r="J189" s="643"/>
      <c r="K189" s="676"/>
      <c r="L189" s="727"/>
      <c r="M189" s="727"/>
      <c r="N189" s="727"/>
      <c r="O189" s="25" t="str">
        <f>_xlfn.IFNA(VLOOKUP($C189,'Master sheet'!$A:$AR,44,FALSE),"")&amp;""</f>
        <v/>
      </c>
      <c r="P189" s="685"/>
      <c r="Q189" s="728"/>
      <c r="R189" s="728"/>
      <c r="T189" s="638"/>
      <c r="U189" s="638"/>
      <c r="V189" s="638"/>
      <c r="W189" s="638"/>
      <c r="X189" s="638"/>
      <c r="Y189" s="638"/>
    </row>
    <row r="190" spans="1:25" s="624" customFormat="1" ht="31.5" customHeight="1" x14ac:dyDescent="0.25">
      <c r="A190" s="729"/>
      <c r="B190" s="729"/>
      <c r="C190" s="673" t="str">
        <f>INDEX('Master sheet'!$A$1:$A$670,MATCH(188,'Master sheet'!$AN$1:$AN$670,0))</f>
        <v>Spray polyurethane foam - Open Cell - HFO gas / SPFA /  / R 4.1/inch</v>
      </c>
      <c r="D190" s="17">
        <f>'USER INPUT SHEET'!$D$32</f>
        <v>0</v>
      </c>
      <c r="E190" s="18" t="str">
        <f>'USER INPUT SHEET'!$F$32</f>
        <v>m2</v>
      </c>
      <c r="F190" s="4">
        <v>1</v>
      </c>
      <c r="G190" s="674"/>
      <c r="H190" s="9"/>
      <c r="I190" s="95">
        <f>K190-L190</f>
        <v>0</v>
      </c>
      <c r="J190" s="96" t="str">
        <f>IF(H190=1,I190,"")</f>
        <v/>
      </c>
      <c r="K190" s="407">
        <f>$D190*($E$189/5.678)*$F190*VLOOKUP($C190,'Master sheet'!$A:$AL,13,FALSE)</f>
        <v>0</v>
      </c>
      <c r="L190" s="97">
        <f>$D190*($E$189/5.678)*$F190*VLOOKUP($C190,'Master sheet'!$A:$AL,27,FALSE)</f>
        <v>0</v>
      </c>
      <c r="M190" s="1610"/>
      <c r="N190" s="1610"/>
      <c r="O190" s="25" t="str">
        <f ca="1">_xlfn.IFNA(VLOOKUP($C190,'Master sheet'!$A:$AR,44,FALSE),"")&amp;""</f>
        <v/>
      </c>
      <c r="P190" s="637"/>
      <c r="Q190" s="780" t="s">
        <v>52</v>
      </c>
      <c r="R190" s="728" t="s">
        <v>45</v>
      </c>
      <c r="T190" s="638"/>
      <c r="U190" s="638"/>
      <c r="V190" s="638"/>
      <c r="W190" s="638"/>
      <c r="X190" s="638"/>
      <c r="Y190" s="638"/>
    </row>
    <row r="191" spans="1:25" s="624" customFormat="1" ht="22.8" x14ac:dyDescent="0.25">
      <c r="A191" s="639"/>
      <c r="B191" s="1524" t="s">
        <v>1042</v>
      </c>
      <c r="C191" s="1523"/>
      <c r="D191" s="687" t="str">
        <f>IF(LOWER(Setting!rng_language)="english","R-VALUE:","VALEUR R :")</f>
        <v>R-VALUE:</v>
      </c>
      <c r="E191" s="1"/>
      <c r="F191" s="325"/>
      <c r="G191" s="678"/>
      <c r="H191" s="679"/>
      <c r="I191" s="642"/>
      <c r="J191" s="643"/>
      <c r="K191" s="676"/>
      <c r="L191" s="727"/>
      <c r="M191" s="727"/>
      <c r="N191" s="727"/>
      <c r="O191" s="25" t="str">
        <f>_xlfn.IFNA(VLOOKUP($C191,'Master sheet'!$A:$AR,44,FALSE),"")&amp;""</f>
        <v/>
      </c>
      <c r="P191" s="685"/>
      <c r="Q191" s="728"/>
      <c r="R191" s="728"/>
      <c r="T191" s="638"/>
      <c r="U191" s="638"/>
      <c r="V191" s="638"/>
      <c r="W191" s="638"/>
      <c r="X191" s="638"/>
      <c r="Y191" s="638"/>
    </row>
    <row r="192" spans="1:25" ht="22.8" x14ac:dyDescent="0.25">
      <c r="A192" s="729"/>
      <c r="B192" s="729"/>
      <c r="C192" s="691" t="s">
        <v>1364</v>
      </c>
      <c r="D192" s="19">
        <f>'USER INPUT SHEET'!$D$32</f>
        <v>0</v>
      </c>
      <c r="E192" s="20" t="str">
        <f>'USER INPUT SHEET'!$F$32</f>
        <v>m2</v>
      </c>
      <c r="F192" s="6">
        <v>1</v>
      </c>
      <c r="G192" s="692"/>
      <c r="H192" s="10"/>
      <c r="I192" s="98">
        <f t="shared" ref="I192:I199" si="59">K192-L192</f>
        <v>0</v>
      </c>
      <c r="J192" s="91" t="str">
        <f>IF(H192=1,I192,"")</f>
        <v/>
      </c>
      <c r="K192" s="410">
        <f>F192*AVERAGE(K193:K199)</f>
        <v>0</v>
      </c>
      <c r="L192" s="99">
        <f>F192*AVERAGE(L193:L199)</f>
        <v>0</v>
      </c>
      <c r="M192" s="1552"/>
      <c r="N192" s="1552"/>
      <c r="O192" s="25" t="str">
        <f>_xlfn.IFNA(VLOOKUP($C192,'Master sheet'!$A:$AR,44,FALSE),"")&amp;""</f>
        <v/>
      </c>
      <c r="P192" s="685"/>
      <c r="Q192" s="765" t="s">
        <v>52</v>
      </c>
      <c r="R192" s="757" t="s">
        <v>45</v>
      </c>
      <c r="S192" s="664"/>
      <c r="T192" s="664"/>
      <c r="U192" s="664"/>
      <c r="V192" s="664"/>
      <c r="W192" s="664"/>
      <c r="X192" s="664"/>
      <c r="Y192" s="664"/>
    </row>
    <row r="193" spans="1:25" ht="31.5" customHeight="1" x14ac:dyDescent="0.25">
      <c r="A193" s="1600"/>
      <c r="B193" s="1564"/>
      <c r="C193" s="669" t="str">
        <f>INDEX('Master sheet'!$A$1:$A$670,MATCH(124,'Master sheet'!$AN$1:$AN$670,0))</f>
        <v>Hempcrete / Cast in-situ / Site mixed / USA / R 2.1/inch, Avg. mix using NHL &amp; PHL</v>
      </c>
      <c r="D193" s="15">
        <f>'USER INPUT SHEET'!$D$32</f>
        <v>0</v>
      </c>
      <c r="E193" s="16" t="str">
        <f>'USER INPUT SHEET'!$F$32</f>
        <v>m2</v>
      </c>
      <c r="F193" s="3">
        <v>1</v>
      </c>
      <c r="G193" s="670"/>
      <c r="H193" s="8"/>
      <c r="I193" s="92">
        <f t="shared" si="59"/>
        <v>0</v>
      </c>
      <c r="J193" s="93" t="str">
        <f t="shared" ref="J193:J236" si="60">IF(H193=1,I193,"")</f>
        <v/>
      </c>
      <c r="K193" s="406">
        <f>$D193*($E$191/5.678)*$F193*VLOOKUP($C193,'Master sheet'!$A:$AL,13,FALSE)</f>
        <v>0</v>
      </c>
      <c r="L193" s="94">
        <f>$D193*($E$191/5.678)*$F193*VLOOKUP($C193,'Master sheet'!$A:$AL,27,FALSE)</f>
        <v>0</v>
      </c>
      <c r="M193" s="1552"/>
      <c r="N193" s="1552"/>
      <c r="O193" s="25" t="str">
        <f>_xlfn.IFNA(VLOOKUP($C193,'Master sheet'!$A:$AR,44,FALSE),"")&amp;""</f>
        <v>Peer-reviewed LCA, 2020</v>
      </c>
      <c r="P193" s="637"/>
      <c r="Q193" s="765" t="s">
        <v>52</v>
      </c>
      <c r="R193" s="757" t="s">
        <v>45</v>
      </c>
      <c r="T193" s="664"/>
      <c r="U193" s="664"/>
      <c r="V193" s="664"/>
      <c r="W193" s="664"/>
      <c r="X193" s="664"/>
      <c r="Y193" s="664"/>
    </row>
    <row r="194" spans="1:25" ht="31.2" x14ac:dyDescent="0.25">
      <c r="A194" s="1564"/>
      <c r="B194" s="1564"/>
      <c r="C194" s="669" t="str">
        <f>INDEX('Master sheet'!$A$1:$A$670,MATCH(123,'Master sheet'!$AN$1:$AN$670,0))</f>
        <v>Hempcrete / Cast in-situ / Site mixed / Europe / R 2.1/inch, Avg. of 9 mixes</v>
      </c>
      <c r="D194" s="15">
        <f>'USER INPUT SHEET'!$D$32</f>
        <v>0</v>
      </c>
      <c r="E194" s="16" t="str">
        <f>'USER INPUT SHEET'!$F$32</f>
        <v>m2</v>
      </c>
      <c r="F194" s="3">
        <v>1</v>
      </c>
      <c r="G194" s="670"/>
      <c r="H194" s="8"/>
      <c r="I194" s="92">
        <f t="shared" si="59"/>
        <v>0</v>
      </c>
      <c r="J194" s="93" t="str">
        <f t="shared" si="60"/>
        <v/>
      </c>
      <c r="K194" s="406">
        <f>$D194*($E$191/5.678)*$F194*VLOOKUP($C194,'Master sheet'!$A:$AL,13,FALSE)</f>
        <v>0</v>
      </c>
      <c r="L194" s="94">
        <f>$D194*($E$191/5.678)*$F194*VLOOKUP($C194,'Master sheet'!$A:$AL,27,FALSE)</f>
        <v>0</v>
      </c>
      <c r="M194" s="1552"/>
      <c r="N194" s="1552"/>
      <c r="O194" s="25" t="str">
        <f>_xlfn.IFNA(VLOOKUP($C194,'Master sheet'!$A:$AR,44,FALSE),"")&amp;""</f>
        <v>Peer-reviewed LCA, 2017</v>
      </c>
      <c r="P194" s="637"/>
      <c r="Q194" s="765" t="s">
        <v>52</v>
      </c>
      <c r="R194" s="757" t="s">
        <v>45</v>
      </c>
      <c r="T194" s="664"/>
      <c r="U194" s="664"/>
      <c r="V194" s="664"/>
      <c r="W194" s="664"/>
      <c r="X194" s="664"/>
      <c r="Y194" s="664"/>
    </row>
    <row r="195" spans="1:25" ht="23.25" customHeight="1" x14ac:dyDescent="0.25">
      <c r="A195" s="1564"/>
      <c r="B195" s="1564"/>
      <c r="C195" s="673" t="str">
        <f>INDEX('Master sheet'!$A$1:$A$670,MATCH("A57",'Master sheet'!$AN$1:$AN$670,0))</f>
        <v>Hempcrete / Cast in-situ / IsoHemp / Europe / R 2.1/inch</v>
      </c>
      <c r="D195" s="17">
        <f>'USER INPUT SHEET'!$D$32</f>
        <v>0</v>
      </c>
      <c r="E195" s="18" t="str">
        <f>'USER INPUT SHEET'!$F$32</f>
        <v>m2</v>
      </c>
      <c r="F195" s="4">
        <v>1</v>
      </c>
      <c r="G195" s="674"/>
      <c r="H195" s="9"/>
      <c r="I195" s="95">
        <f t="shared" si="59"/>
        <v>0</v>
      </c>
      <c r="J195" s="96" t="str">
        <f t="shared" ref="J195:J198" si="61">IF(H195=1,I195,"")</f>
        <v/>
      </c>
      <c r="K195" s="407">
        <f>$D195*($E$191/5.678)*$F195*VLOOKUP($C195,'Master sheet'!$A:$AL,13,FALSE)</f>
        <v>0</v>
      </c>
      <c r="L195" s="97">
        <f>$D195*($E$191/5.678)*$F195*VLOOKUP($C195,'Master sheet'!$A:$AL,27,FALSE)</f>
        <v>0</v>
      </c>
      <c r="M195" s="1552"/>
      <c r="N195" s="1552"/>
      <c r="O195" s="25" t="str">
        <f>_xlfn.IFNA(VLOOKUP($C195,'Master sheet'!$A:$AR,44,FALSE),"")&amp;""</f>
        <v/>
      </c>
      <c r="P195" s="637"/>
      <c r="Q195" s="780" t="s">
        <v>52</v>
      </c>
      <c r="R195" s="728" t="s">
        <v>45</v>
      </c>
      <c r="S195" s="624"/>
      <c r="T195" s="664"/>
      <c r="U195" s="664"/>
      <c r="V195" s="664"/>
      <c r="W195" s="664"/>
      <c r="X195" s="664"/>
      <c r="Y195" s="664"/>
    </row>
    <row r="196" spans="1:25" ht="31.2" x14ac:dyDescent="0.25">
      <c r="A196" s="1564"/>
      <c r="B196" s="1564"/>
      <c r="C196" s="673" t="str">
        <f>INDEX('Master sheet'!$A$1:$A$670,MATCH("A60",'Master sheet'!$AN$1:$AN$670,0))</f>
        <v xml:space="preserve">Hempcrete / Cast in-situ / Senini / Bio Beton Jet / 230 kg/m3 / R 2.7/inch </v>
      </c>
      <c r="D196" s="17">
        <f>'USER INPUT SHEET'!$D$32</f>
        <v>0</v>
      </c>
      <c r="E196" s="18" t="str">
        <f>'USER INPUT SHEET'!$F$32</f>
        <v>m2</v>
      </c>
      <c r="F196" s="4">
        <v>1</v>
      </c>
      <c r="G196" s="674"/>
      <c r="H196" s="9"/>
      <c r="I196" s="95">
        <f t="shared" si="59"/>
        <v>0</v>
      </c>
      <c r="J196" s="96" t="str">
        <f t="shared" si="61"/>
        <v/>
      </c>
      <c r="K196" s="407">
        <f>$D196*($E$191/5.678)*$F196*VLOOKUP($C196,'Master sheet'!$A:$AL,13,FALSE)</f>
        <v>0</v>
      </c>
      <c r="L196" s="97">
        <f>$D196*($E$191/5.678)*$F196*VLOOKUP($C196,'Master sheet'!$A:$AL,27,FALSE)</f>
        <v>0</v>
      </c>
      <c r="M196" s="1552"/>
      <c r="N196" s="1552"/>
      <c r="O196" s="25" t="str">
        <f>_xlfn.IFNA(VLOOKUP($C196,'Master sheet'!$A:$AR,44,FALSE),"")&amp;""</f>
        <v/>
      </c>
      <c r="P196" s="637"/>
      <c r="Q196" s="780" t="s">
        <v>52</v>
      </c>
      <c r="R196" s="728" t="s">
        <v>45</v>
      </c>
      <c r="S196" s="624"/>
      <c r="T196" s="664"/>
      <c r="U196" s="664"/>
      <c r="V196" s="664"/>
      <c r="W196" s="664"/>
      <c r="X196" s="664"/>
      <c r="Y196" s="664"/>
    </row>
    <row r="197" spans="1:25" ht="31.2" x14ac:dyDescent="0.25">
      <c r="A197" s="1564"/>
      <c r="B197" s="1564"/>
      <c r="C197" s="673" t="str">
        <f>INDEX('Master sheet'!$A$1:$A$670,MATCH("A58",'Master sheet'!$AN$1:$AN$670,0))</f>
        <v>Hempcrete block / Isohemp / Hemp Block PAL36EX including mortar / 600 x 300 x 360 mm  / R 2/inch</v>
      </c>
      <c r="D197" s="17">
        <f>'USER INPUT SHEET'!$D$32</f>
        <v>0</v>
      </c>
      <c r="E197" s="18" t="str">
        <f>'USER INPUT SHEET'!$F$32</f>
        <v>m2</v>
      </c>
      <c r="F197" s="4">
        <v>1</v>
      </c>
      <c r="G197" s="674"/>
      <c r="H197" s="9"/>
      <c r="I197" s="95">
        <f t="shared" si="59"/>
        <v>0</v>
      </c>
      <c r="J197" s="96" t="str">
        <f t="shared" si="61"/>
        <v/>
      </c>
      <c r="K197" s="407">
        <f>$D197*($E$191/5.678)*$F197*VLOOKUP($C197,'Master sheet'!$A:$AL,13,FALSE)</f>
        <v>0</v>
      </c>
      <c r="L197" s="97">
        <f>$D197*($E$191/5.678)*$F197*VLOOKUP($C197,'Master sheet'!$A:$AL,27,FALSE)</f>
        <v>0</v>
      </c>
      <c r="M197" s="1552"/>
      <c r="N197" s="1552"/>
      <c r="O197" s="25" t="str">
        <f>_xlfn.IFNA(VLOOKUP($C197,'Master sheet'!$A:$AR,44,FALSE),"")&amp;""</f>
        <v/>
      </c>
      <c r="P197" s="637"/>
      <c r="Q197" s="780" t="s">
        <v>52</v>
      </c>
      <c r="R197" s="728" t="s">
        <v>45</v>
      </c>
      <c r="S197" s="624"/>
      <c r="T197" s="664"/>
      <c r="U197" s="664"/>
      <c r="V197" s="664"/>
      <c r="W197" s="664"/>
      <c r="X197" s="664"/>
      <c r="Y197" s="664"/>
    </row>
    <row r="198" spans="1:25" ht="31.2" x14ac:dyDescent="0.25">
      <c r="A198" s="1564"/>
      <c r="B198" s="1564"/>
      <c r="C198" s="673" t="str">
        <f>INDEX('Master sheet'!$A$1:$A$670,MATCH("A59",'Master sheet'!$AN$1:$AN$670,0))</f>
        <v>Hempcrete block / Senini / Blocco Ambiente / 200 x 500 x 300 mm / 330 kg/m3 / R 2.1/inch</v>
      </c>
      <c r="D198" s="17">
        <f>'USER INPUT SHEET'!$D$32</f>
        <v>0</v>
      </c>
      <c r="E198" s="18" t="str">
        <f>'USER INPUT SHEET'!$F$32</f>
        <v>m2</v>
      </c>
      <c r="F198" s="4">
        <v>1</v>
      </c>
      <c r="G198" s="674"/>
      <c r="H198" s="9"/>
      <c r="I198" s="95">
        <f t="shared" si="59"/>
        <v>0</v>
      </c>
      <c r="J198" s="96" t="str">
        <f t="shared" si="61"/>
        <v/>
      </c>
      <c r="K198" s="407">
        <f>$D198*($E$191/5.678)*$F198*VLOOKUP($C198,'Master sheet'!$A:$AL,13,FALSE)</f>
        <v>0</v>
      </c>
      <c r="L198" s="97">
        <f>$D198*($E$191/5.678)*$F198*VLOOKUP($C198,'Master sheet'!$A:$AL,27,FALSE)</f>
        <v>0</v>
      </c>
      <c r="M198" s="1552"/>
      <c r="N198" s="1552"/>
      <c r="O198" s="25" t="str">
        <f>_xlfn.IFNA(VLOOKUP($C198,'Master sheet'!$A:$AR,44,FALSE),"")&amp;""</f>
        <v/>
      </c>
      <c r="P198" s="637"/>
      <c r="Q198" s="780" t="s">
        <v>52</v>
      </c>
      <c r="R198" s="728" t="s">
        <v>45</v>
      </c>
      <c r="S198" s="624"/>
      <c r="T198" s="664"/>
      <c r="U198" s="664"/>
      <c r="V198" s="664"/>
      <c r="W198" s="664"/>
      <c r="X198" s="664"/>
      <c r="Y198" s="664"/>
    </row>
    <row r="199" spans="1:25" s="624" customFormat="1" ht="31.2" x14ac:dyDescent="0.25">
      <c r="A199" s="1564"/>
      <c r="B199" s="1564"/>
      <c r="C199" s="673" t="str">
        <f>INDEX('Master sheet'!$A$1:$A$670,MATCH("A61",'Master sheet'!$AN$1:$AN$670,0))</f>
        <v xml:space="preserve">Hempcrete dry fill / Senini / Bio Beton Pronto / 190 kg/m3 / R 2.7/inch </v>
      </c>
      <c r="D199" s="17">
        <f>'USER INPUT SHEET'!$D$32</f>
        <v>0</v>
      </c>
      <c r="E199" s="18" t="str">
        <f>'USER INPUT SHEET'!$F$32</f>
        <v>m2</v>
      </c>
      <c r="F199" s="4">
        <v>1</v>
      </c>
      <c r="G199" s="674"/>
      <c r="H199" s="9"/>
      <c r="I199" s="95">
        <f t="shared" si="59"/>
        <v>0</v>
      </c>
      <c r="J199" s="96" t="str">
        <f t="shared" si="60"/>
        <v/>
      </c>
      <c r="K199" s="407">
        <f>$D199*($E$191/5.678)*$F199*VLOOKUP($C199,'Master sheet'!$A:$AL,13,FALSE)</f>
        <v>0</v>
      </c>
      <c r="L199" s="97">
        <f>$D199*($E$191/5.678)*$F199*VLOOKUP($C199,'Master sheet'!$A:$AL,27,FALSE)</f>
        <v>0</v>
      </c>
      <c r="M199" s="1552"/>
      <c r="N199" s="1552"/>
      <c r="O199" s="25" t="str">
        <f>_xlfn.IFNA(VLOOKUP($C199,'Master sheet'!$A:$AR,44,FALSE),"")&amp;""</f>
        <v/>
      </c>
      <c r="P199" s="637"/>
      <c r="Q199" s="780" t="s">
        <v>52</v>
      </c>
      <c r="R199" s="728" t="s">
        <v>45</v>
      </c>
      <c r="T199" s="638"/>
      <c r="U199" s="638"/>
      <c r="V199" s="638"/>
      <c r="W199" s="638"/>
      <c r="X199" s="638"/>
      <c r="Y199" s="638"/>
    </row>
    <row r="200" spans="1:25" s="624" customFormat="1" ht="54.75" customHeight="1" x14ac:dyDescent="0.25">
      <c r="A200" s="1522" t="s">
        <v>924</v>
      </c>
      <c r="B200" s="1523"/>
      <c r="C200" s="1523"/>
      <c r="D200" s="629" t="str">
        <f>IF(LOWER(Setting!rng_language)="english","R-VALUE:","VALEUR R :")</f>
        <v>R-VALUE:</v>
      </c>
      <c r="E200" s="1"/>
      <c r="F200" s="323"/>
      <c r="G200" s="650"/>
      <c r="H200" s="650"/>
      <c r="I200" s="651"/>
      <c r="J200" s="103" t="str">
        <f t="shared" si="60"/>
        <v/>
      </c>
      <c r="K200" s="652"/>
      <c r="L200" s="759"/>
      <c r="M200" s="759"/>
      <c r="N200" s="759"/>
      <c r="O200" s="25" t="str">
        <f>_xlfn.IFNA(VLOOKUP($C200,'Master sheet'!$A:$AR,44,FALSE),"")&amp;""</f>
        <v/>
      </c>
      <c r="P200" s="637"/>
      <c r="Q200" s="761"/>
      <c r="R200" s="728"/>
      <c r="T200" s="638"/>
      <c r="U200" s="638"/>
      <c r="V200" s="638"/>
      <c r="W200" s="638"/>
      <c r="X200" s="638"/>
      <c r="Y200" s="638"/>
    </row>
    <row r="201" spans="1:25" s="624" customFormat="1" ht="22.8" x14ac:dyDescent="0.25">
      <c r="A201" s="639"/>
      <c r="B201" s="1524" t="s">
        <v>1024</v>
      </c>
      <c r="C201" s="1523"/>
      <c r="D201" s="687" t="str">
        <f>IF(LOWER(Setting!rng_language)="english","R-VALUE:","VALEUR R :")</f>
        <v>R-VALUE:</v>
      </c>
      <c r="E201" s="1"/>
      <c r="F201" s="325"/>
      <c r="G201" s="678"/>
      <c r="H201" s="679"/>
      <c r="I201" s="642"/>
      <c r="J201" s="643"/>
      <c r="K201" s="676"/>
      <c r="L201" s="727"/>
      <c r="M201" s="727"/>
      <c r="N201" s="727"/>
      <c r="O201" s="25" t="str">
        <f>_xlfn.IFNA(VLOOKUP($C201,'Master sheet'!$A:$AR,44,FALSE),"")&amp;""</f>
        <v/>
      </c>
      <c r="P201" s="685"/>
      <c r="Q201" s="728"/>
      <c r="R201" s="728"/>
      <c r="T201" s="638"/>
      <c r="U201" s="638"/>
      <c r="V201" s="638"/>
      <c r="W201" s="638"/>
      <c r="X201" s="638"/>
      <c r="Y201" s="638"/>
    </row>
    <row r="202" spans="1:25" ht="22.8" x14ac:dyDescent="0.25">
      <c r="A202" s="729"/>
      <c r="B202" s="729"/>
      <c r="C202" s="691" t="s">
        <v>1051</v>
      </c>
      <c r="D202" s="19">
        <f>'USER INPUT SHEET'!$D$32</f>
        <v>0</v>
      </c>
      <c r="E202" s="20" t="str">
        <f>'USER INPUT SHEET'!$F$32</f>
        <v>m2</v>
      </c>
      <c r="F202" s="6">
        <v>1</v>
      </c>
      <c r="G202" s="692"/>
      <c r="H202" s="10"/>
      <c r="I202" s="98">
        <f>K202-L202</f>
        <v>0</v>
      </c>
      <c r="J202" s="91" t="str">
        <f>IF(H202=1,I202,"")</f>
        <v/>
      </c>
      <c r="K202" s="410">
        <f>F202*AVERAGE(K203:K210)</f>
        <v>0</v>
      </c>
      <c r="L202" s="99">
        <f>F202*AVERAGE(L203:L210)</f>
        <v>0</v>
      </c>
      <c r="M202" s="1552"/>
      <c r="N202" s="1552"/>
      <c r="O202" s="25" t="str">
        <f>_xlfn.IFNA(VLOOKUP($C202,'Master sheet'!$A:$AR,44,FALSE),"")&amp;""</f>
        <v/>
      </c>
      <c r="P202" s="685"/>
      <c r="Q202" s="765" t="s">
        <v>52</v>
      </c>
      <c r="R202" s="757" t="s">
        <v>924</v>
      </c>
      <c r="S202" s="664"/>
      <c r="T202" s="664"/>
      <c r="U202" s="664"/>
      <c r="V202" s="664"/>
      <c r="W202" s="664"/>
      <c r="X202" s="664"/>
      <c r="Y202" s="664"/>
    </row>
    <row r="203" spans="1:25" ht="31.5" customHeight="1" x14ac:dyDescent="0.25">
      <c r="A203" s="1600"/>
      <c r="B203" s="1564"/>
      <c r="C203" s="673" t="str">
        <f>INDEX('Master sheet'!$A$1:$A$670,MATCH("A28",'Master sheet'!$AN$1:$AN$670,0))</f>
        <v>EPS foam board / EPS Industry Alliance /  / R 3.6/inch, Type I, 10 psi (70 kPa)</v>
      </c>
      <c r="D203" s="17">
        <f>'USER INPUT SHEET'!$D$32</f>
        <v>0</v>
      </c>
      <c r="E203" s="18" t="str">
        <f>'USER INPUT SHEET'!$F$32</f>
        <v>m2</v>
      </c>
      <c r="F203" s="4">
        <v>1</v>
      </c>
      <c r="G203" s="674"/>
      <c r="H203" s="9"/>
      <c r="I203" s="95">
        <f t="shared" ref="I203:I209" si="62">K203-L203</f>
        <v>0</v>
      </c>
      <c r="J203" s="96" t="str">
        <f t="shared" ref="J203:J209" si="63">IF(H203=1,I203,"")</f>
        <v/>
      </c>
      <c r="K203" s="407">
        <f>$D203*($E$201/5.678)*$F203*VLOOKUP($C203,'Master sheet'!$A:$AL,13,FALSE)</f>
        <v>0</v>
      </c>
      <c r="L203" s="97">
        <f>$D203*($E$201/5.678)*$F203*VLOOKUP($C203,'Master sheet'!$A:$AL,27,FALSE)</f>
        <v>0</v>
      </c>
      <c r="M203" s="1552"/>
      <c r="N203" s="1552"/>
      <c r="O203" s="25" t="str">
        <f>_xlfn.IFNA(VLOOKUP($C203,'Master sheet'!$A:$AR,44,FALSE),"")&amp;""</f>
        <v/>
      </c>
      <c r="Q203" s="765" t="s">
        <v>52</v>
      </c>
      <c r="R203" s="757" t="s">
        <v>924</v>
      </c>
      <c r="S203" s="664"/>
      <c r="T203" s="664"/>
      <c r="U203" s="664"/>
      <c r="V203" s="664"/>
      <c r="W203" s="664"/>
      <c r="X203" s="664"/>
      <c r="Y203" s="664"/>
    </row>
    <row r="204" spans="1:25" ht="31.5" customHeight="1" x14ac:dyDescent="0.25">
      <c r="A204" s="1600"/>
      <c r="B204" s="1564"/>
      <c r="C204" s="673" t="str">
        <f>INDEX('Master sheet'!$A$1:$A$670,MATCH("A29",'Master sheet'!$AN$1:$AN$670,0))</f>
        <v>EPS foam board / EPS Industry Alliance /  / R 4.0/inch, Type II, 15 psi (100 kPa)</v>
      </c>
      <c r="D204" s="17">
        <f>'USER INPUT SHEET'!$D$32</f>
        <v>0</v>
      </c>
      <c r="E204" s="18" t="str">
        <f>'USER INPUT SHEET'!$F$32</f>
        <v>m2</v>
      </c>
      <c r="F204" s="4">
        <v>1</v>
      </c>
      <c r="G204" s="674"/>
      <c r="H204" s="9"/>
      <c r="I204" s="95">
        <f t="shared" si="62"/>
        <v>0</v>
      </c>
      <c r="J204" s="96" t="str">
        <f t="shared" si="63"/>
        <v/>
      </c>
      <c r="K204" s="407">
        <f>$D204*($E$201/5.678)*$F204*VLOOKUP($C204,'Master sheet'!$A:$AL,13,FALSE)</f>
        <v>0</v>
      </c>
      <c r="L204" s="97">
        <f>$D204*($E$201/5.678)*$F204*VLOOKUP($C204,'Master sheet'!$A:$AL,27,FALSE)</f>
        <v>0</v>
      </c>
      <c r="M204" s="1552"/>
      <c r="N204" s="1552"/>
      <c r="O204" s="25" t="str">
        <f>_xlfn.IFNA(VLOOKUP($C204,'Master sheet'!$A:$AR,44,FALSE),"")&amp;""</f>
        <v/>
      </c>
      <c r="Q204" s="765" t="s">
        <v>52</v>
      </c>
      <c r="R204" s="757" t="s">
        <v>924</v>
      </c>
      <c r="S204" s="664"/>
      <c r="T204" s="664"/>
      <c r="U204" s="664"/>
      <c r="V204" s="664"/>
      <c r="W204" s="664"/>
      <c r="X204" s="664"/>
      <c r="Y204" s="664"/>
    </row>
    <row r="205" spans="1:25" ht="31.5" customHeight="1" x14ac:dyDescent="0.25">
      <c r="A205" s="1600"/>
      <c r="B205" s="1564"/>
      <c r="C205" s="673" t="str">
        <f>INDEX('Master sheet'!$A$1:$A$670,MATCH("A30",'Master sheet'!$AN$1:$AN$670,0))</f>
        <v>EPS foam board / EPS Industry Alliance /  / R 4.2/inch, Type IX, 25 psi (170 kPa)</v>
      </c>
      <c r="D205" s="17">
        <f>'USER INPUT SHEET'!$D$32</f>
        <v>0</v>
      </c>
      <c r="E205" s="18" t="str">
        <f>'USER INPUT SHEET'!$F$32</f>
        <v>m2</v>
      </c>
      <c r="F205" s="4">
        <v>1</v>
      </c>
      <c r="G205" s="674"/>
      <c r="H205" s="9"/>
      <c r="I205" s="95">
        <f t="shared" si="62"/>
        <v>0</v>
      </c>
      <c r="J205" s="96" t="str">
        <f t="shared" si="63"/>
        <v/>
      </c>
      <c r="K205" s="407">
        <f>$D205*($E$201/5.678)*$F205*VLOOKUP($C205,'Master sheet'!$A:$AL,13,FALSE)</f>
        <v>0</v>
      </c>
      <c r="L205" s="97">
        <f>$D205*($E$201/5.678)*$F205*VLOOKUP($C205,'Master sheet'!$A:$AL,27,FALSE)</f>
        <v>0</v>
      </c>
      <c r="M205" s="1552"/>
      <c r="N205" s="1552"/>
      <c r="O205" s="25" t="str">
        <f>_xlfn.IFNA(VLOOKUP($C205,'Master sheet'!$A:$AR,44,FALSE),"")&amp;""</f>
        <v/>
      </c>
      <c r="Q205" s="765" t="s">
        <v>52</v>
      </c>
      <c r="R205" s="757" t="s">
        <v>924</v>
      </c>
      <c r="S205" s="664"/>
      <c r="T205" s="664"/>
      <c r="U205" s="664"/>
      <c r="V205" s="664"/>
      <c r="W205" s="664"/>
      <c r="X205" s="664"/>
      <c r="Y205" s="664"/>
    </row>
    <row r="206" spans="1:25" ht="31.5" customHeight="1" x14ac:dyDescent="0.25">
      <c r="A206" s="1600"/>
      <c r="B206" s="1564"/>
      <c r="C206" s="673" t="str">
        <f>INDEX('Master sheet'!$A$1:$A$670,MATCH("A31",'Master sheet'!$AN$1:$AN$670,0))</f>
        <v>EPS foam board / EPS Industry Alliance /  / R 4.3/inch, Type XV, 60 psi (400 kPa)</v>
      </c>
      <c r="D206" s="17">
        <f>'USER INPUT SHEET'!$D$32</f>
        <v>0</v>
      </c>
      <c r="E206" s="18" t="str">
        <f>'USER INPUT SHEET'!$F$32</f>
        <v>m2</v>
      </c>
      <c r="F206" s="4">
        <v>1</v>
      </c>
      <c r="G206" s="674"/>
      <c r="H206" s="9"/>
      <c r="I206" s="95">
        <f t="shared" si="62"/>
        <v>0</v>
      </c>
      <c r="J206" s="96" t="str">
        <f t="shared" si="63"/>
        <v/>
      </c>
      <c r="K206" s="407">
        <f>$D206*($E$201/5.678)*$F206*VLOOKUP($C206,'Master sheet'!$A:$AL,13,FALSE)</f>
        <v>0</v>
      </c>
      <c r="L206" s="97">
        <f>$D206*($E$201/5.678)*$F206*VLOOKUP($C206,'Master sheet'!$A:$AL,27,FALSE)</f>
        <v>0</v>
      </c>
      <c r="M206" s="1552"/>
      <c r="N206" s="1552"/>
      <c r="O206" s="25" t="str">
        <f>_xlfn.IFNA(VLOOKUP($C206,'Master sheet'!$A:$AR,44,FALSE),"")&amp;""</f>
        <v/>
      </c>
      <c r="Q206" s="765" t="s">
        <v>52</v>
      </c>
      <c r="R206" s="757" t="s">
        <v>924</v>
      </c>
      <c r="S206" s="664"/>
      <c r="T206" s="664"/>
      <c r="U206" s="664"/>
      <c r="V206" s="664"/>
      <c r="W206" s="664"/>
      <c r="X206" s="664"/>
      <c r="Y206" s="664"/>
    </row>
    <row r="207" spans="1:25" ht="31.5" customHeight="1" x14ac:dyDescent="0.25">
      <c r="A207" s="1600"/>
      <c r="B207" s="1564"/>
      <c r="C207" s="673" t="str">
        <f>INDEX('Master sheet'!$A$1:$A$670,MATCH("A33",'Master sheet'!$AN$1:$AN$670,0))</f>
        <v>EPS foam board with graphite / BASF  / Neopor F 5200 &amp; F 5300 Plus BMB / R 4.7/inch, Type II, 15 psi (Type 2, 110 kPa)</v>
      </c>
      <c r="D207" s="17">
        <f>'USER INPUT SHEET'!$D$32</f>
        <v>0</v>
      </c>
      <c r="E207" s="18" t="str">
        <f>'USER INPUT SHEET'!$F$32</f>
        <v>m2</v>
      </c>
      <c r="F207" s="4">
        <v>1</v>
      </c>
      <c r="G207" s="674"/>
      <c r="H207" s="9"/>
      <c r="I207" s="95">
        <f t="shared" si="62"/>
        <v>0</v>
      </c>
      <c r="J207" s="96" t="str">
        <f t="shared" si="63"/>
        <v/>
      </c>
      <c r="K207" s="407">
        <f>$D207*($E$201/5.678)*$F207*VLOOKUP($C207,'Master sheet'!$A:$AL,13,FALSE)</f>
        <v>0</v>
      </c>
      <c r="L207" s="97">
        <f>$D207*($E$201/5.678)*$F207*VLOOKUP($C207,'Master sheet'!$A:$AL,27,FALSE)</f>
        <v>0</v>
      </c>
      <c r="M207" s="1552"/>
      <c r="N207" s="1552"/>
      <c r="O207" s="25" t="str">
        <f>_xlfn.IFNA(VLOOKUP($C207,'Master sheet'!$A:$AR,44,FALSE),"")&amp;""</f>
        <v/>
      </c>
      <c r="Q207" s="765" t="s">
        <v>52</v>
      </c>
      <c r="R207" s="757" t="s">
        <v>924</v>
      </c>
      <c r="S207" s="664"/>
      <c r="T207" s="664"/>
      <c r="U207" s="664"/>
      <c r="V207" s="664"/>
      <c r="W207" s="664"/>
      <c r="X207" s="664"/>
      <c r="Y207" s="664"/>
    </row>
    <row r="208" spans="1:25" ht="31.5" customHeight="1" x14ac:dyDescent="0.25">
      <c r="A208" s="1600"/>
      <c r="B208" s="1564"/>
      <c r="C208" s="673" t="str">
        <f>INDEX('Master sheet'!$A$1:$A$670,MATCH("A34",'Master sheet'!$AN$1:$AN$670,0))</f>
        <v>EPS foam board with graphite / BASF  / Neopor F 5200 &amp; F 5300 Plus BMB / R 4.7/inch, Type IX, 25 psi (Type 9, 175 kPa)</v>
      </c>
      <c r="D208" s="17">
        <f>'USER INPUT SHEET'!$D$32</f>
        <v>0</v>
      </c>
      <c r="E208" s="18" t="str">
        <f>'USER INPUT SHEET'!$F$32</f>
        <v>m2</v>
      </c>
      <c r="F208" s="4">
        <v>1</v>
      </c>
      <c r="G208" s="674"/>
      <c r="H208" s="9"/>
      <c r="I208" s="95">
        <f t="shared" si="62"/>
        <v>0</v>
      </c>
      <c r="J208" s="96" t="str">
        <f t="shared" si="63"/>
        <v/>
      </c>
      <c r="K208" s="407">
        <f>$D208*($E$201/5.678)*$F208*VLOOKUP($C208,'Master sheet'!$A:$AL,13,FALSE)</f>
        <v>0</v>
      </c>
      <c r="L208" s="97">
        <f>$D208*($E$201/5.678)*$F208*VLOOKUP($C208,'Master sheet'!$A:$AL,27,FALSE)</f>
        <v>0</v>
      </c>
      <c r="M208" s="1552"/>
      <c r="N208" s="1552"/>
      <c r="O208" s="25" t="str">
        <f>_xlfn.IFNA(VLOOKUP($C208,'Master sheet'!$A:$AR,44,FALSE),"")&amp;""</f>
        <v/>
      </c>
      <c r="Q208" s="765" t="s">
        <v>52</v>
      </c>
      <c r="R208" s="757" t="s">
        <v>924</v>
      </c>
      <c r="S208" s="664"/>
      <c r="T208" s="664"/>
      <c r="U208" s="664"/>
      <c r="V208" s="664"/>
      <c r="W208" s="664"/>
      <c r="X208" s="664"/>
      <c r="Y208" s="664"/>
    </row>
    <row r="209" spans="1:25" ht="31.5" customHeight="1" x14ac:dyDescent="0.25">
      <c r="A209" s="1600"/>
      <c r="B209" s="1564"/>
      <c r="C209" s="673" t="str">
        <f>INDEX('Master sheet'!$A$1:$A$670,MATCH("A32",'Master sheet'!$AN$1:$AN$670,0))</f>
        <v>EPS foam board with graphite / BASF  / Neopor F 5200 Plus / R 4.7-inch, Type IX, 25 psi</v>
      </c>
      <c r="D209" s="17">
        <f>'USER INPUT SHEET'!$D$32</f>
        <v>0</v>
      </c>
      <c r="E209" s="18" t="str">
        <f>'USER INPUT SHEET'!$F$32</f>
        <v>m2</v>
      </c>
      <c r="F209" s="4">
        <v>1</v>
      </c>
      <c r="G209" s="674"/>
      <c r="H209" s="9"/>
      <c r="I209" s="95">
        <f t="shared" si="62"/>
        <v>0</v>
      </c>
      <c r="J209" s="96" t="str">
        <f t="shared" si="63"/>
        <v/>
      </c>
      <c r="K209" s="407">
        <f>$D209*($E$201/5.678)*$F209*VLOOKUP($C209,'Master sheet'!$A:$AL,13,FALSE)</f>
        <v>0</v>
      </c>
      <c r="L209" s="97">
        <f>$D209*($E$201/5.678)*$F209*VLOOKUP($C209,'Master sheet'!$A:$AL,27,FALSE)</f>
        <v>0</v>
      </c>
      <c r="M209" s="1552"/>
      <c r="N209" s="1552"/>
      <c r="O209" s="25" t="str">
        <f>_xlfn.IFNA(VLOOKUP($C209,'Master sheet'!$A:$AR,44,FALSE),"")&amp;""</f>
        <v/>
      </c>
      <c r="Q209" s="765" t="s">
        <v>52</v>
      </c>
      <c r="R209" s="757" t="s">
        <v>924</v>
      </c>
      <c r="S209" s="664"/>
      <c r="T209" s="664"/>
      <c r="U209" s="664"/>
      <c r="V209" s="664"/>
      <c r="W209" s="664"/>
      <c r="X209" s="664"/>
      <c r="Y209" s="664"/>
    </row>
    <row r="210" spans="1:25" s="624" customFormat="1" ht="31.5" customHeight="1" x14ac:dyDescent="0.25">
      <c r="A210" s="1564"/>
      <c r="B210" s="1564"/>
      <c r="C210" s="673" t="str">
        <f>INDEX('Master sheet'!$A$1:$A$670,MATCH("A35",'Master sheet'!$AN$1:$AN$670,0))</f>
        <v>EPS foam board with graphite / BASF / Neopor F 5200 Plus / R 4.7/inch, Type II, 15 psi (Type 2, 110 kPa)</v>
      </c>
      <c r="D210" s="17">
        <f>'USER INPUT SHEET'!$D$32</f>
        <v>0</v>
      </c>
      <c r="E210" s="18" t="str">
        <f>'USER INPUT SHEET'!$F$32</f>
        <v>m2</v>
      </c>
      <c r="F210" s="4">
        <v>1</v>
      </c>
      <c r="G210" s="674"/>
      <c r="H210" s="9"/>
      <c r="I210" s="95">
        <f>K210-L210</f>
        <v>0</v>
      </c>
      <c r="J210" s="96" t="str">
        <f t="shared" si="60"/>
        <v/>
      </c>
      <c r="K210" s="407">
        <f>$D210*($E$201/5.678)*$F210*VLOOKUP($C210,'Master sheet'!$A:$AL,13,FALSE)</f>
        <v>0</v>
      </c>
      <c r="L210" s="97">
        <f>$D210*($E$201/5.678)*$F210*VLOOKUP($C210,'Master sheet'!$A:$AL,27,FALSE)</f>
        <v>0</v>
      </c>
      <c r="M210" s="1610"/>
      <c r="N210" s="1610"/>
      <c r="O210" s="25" t="str">
        <f>_xlfn.IFNA(VLOOKUP($C210,'Master sheet'!$A:$AR,44,FALSE),"")&amp;""</f>
        <v/>
      </c>
      <c r="P210" s="685"/>
      <c r="Q210" s="765" t="s">
        <v>52</v>
      </c>
      <c r="R210" s="757" t="s">
        <v>924</v>
      </c>
      <c r="S210" s="664"/>
      <c r="T210" s="638"/>
      <c r="U210" s="638"/>
      <c r="V210" s="638"/>
      <c r="W210" s="638"/>
      <c r="X210" s="638"/>
      <c r="Y210" s="638"/>
    </row>
    <row r="211" spans="1:25" s="624" customFormat="1" ht="22.8" x14ac:dyDescent="0.25">
      <c r="A211" s="639"/>
      <c r="B211" s="1524" t="s">
        <v>1035</v>
      </c>
      <c r="C211" s="1523"/>
      <c r="D211" s="687" t="str">
        <f>IF(LOWER(Setting!rng_language)="english","R-VALUE:","VALEUR R :")</f>
        <v>R-VALUE:</v>
      </c>
      <c r="E211" s="1"/>
      <c r="F211" s="325"/>
      <c r="G211" s="678"/>
      <c r="H211" s="679"/>
      <c r="I211" s="642"/>
      <c r="J211" s="643"/>
      <c r="K211" s="676"/>
      <c r="L211" s="727"/>
      <c r="M211" s="727"/>
      <c r="N211" s="727"/>
      <c r="O211" s="25" t="str">
        <f>_xlfn.IFNA(VLOOKUP($C211,'Master sheet'!$A:$AR,44,FALSE),"")&amp;""</f>
        <v/>
      </c>
      <c r="P211" s="637"/>
      <c r="Q211" s="728"/>
      <c r="R211" s="728"/>
      <c r="T211" s="638"/>
      <c r="U211" s="638"/>
      <c r="V211" s="638"/>
      <c r="W211" s="638"/>
      <c r="X211" s="638"/>
      <c r="Y211" s="638"/>
    </row>
    <row r="212" spans="1:25" ht="22.8" x14ac:dyDescent="0.25">
      <c r="A212" s="729"/>
      <c r="B212" s="729"/>
      <c r="C212" s="691" t="s">
        <v>1355</v>
      </c>
      <c r="D212" s="19">
        <f>'USER INPUT SHEET'!$D$32</f>
        <v>0</v>
      </c>
      <c r="E212" s="20" t="str">
        <f>'USER INPUT SHEET'!$F$32</f>
        <v>m2</v>
      </c>
      <c r="F212" s="6">
        <v>1</v>
      </c>
      <c r="G212" s="692"/>
      <c r="H212" s="10"/>
      <c r="I212" s="98">
        <f>K212-L212</f>
        <v>0</v>
      </c>
      <c r="J212" s="91" t="str">
        <f>IF(H212=1,I212,"")</f>
        <v/>
      </c>
      <c r="K212" s="410">
        <f>F212*AVERAGE(K213:K221)</f>
        <v>0</v>
      </c>
      <c r="L212" s="99">
        <f>F212*AVERAGE(L213:L221)</f>
        <v>0</v>
      </c>
      <c r="M212" s="1552"/>
      <c r="N212" s="1552"/>
      <c r="O212" s="25" t="str">
        <f>_xlfn.IFNA(VLOOKUP($C212,'Master sheet'!$A:$AR,44,FALSE),"")&amp;""</f>
        <v/>
      </c>
      <c r="P212" s="637"/>
      <c r="Q212" s="765" t="s">
        <v>52</v>
      </c>
      <c r="R212" s="757" t="s">
        <v>924</v>
      </c>
      <c r="S212" s="664"/>
      <c r="T212" s="664"/>
      <c r="U212" s="664"/>
      <c r="V212" s="664"/>
      <c r="W212" s="664"/>
      <c r="X212" s="664"/>
      <c r="Y212" s="664"/>
    </row>
    <row r="213" spans="1:25" ht="22.8" x14ac:dyDescent="0.25">
      <c r="A213" s="1564"/>
      <c r="B213" s="1564"/>
      <c r="C213" s="669" t="str">
        <f>INDEX('Master sheet'!$A$1:$A$670,MATCH(243,'Master sheet'!$AN$1:$AN$670,0))</f>
        <v>Wood fiber board / GUTEX / Multi-Therm / R 3.6/inch, 40-200 mm</v>
      </c>
      <c r="D213" s="15">
        <f>'USER INPUT SHEET'!$D$32</f>
        <v>0</v>
      </c>
      <c r="E213" s="16" t="str">
        <f>'USER INPUT SHEET'!$F$32</f>
        <v>m2</v>
      </c>
      <c r="F213" s="3">
        <v>1</v>
      </c>
      <c r="G213" s="670"/>
      <c r="H213" s="8"/>
      <c r="I213" s="92">
        <f>K213-L213</f>
        <v>0</v>
      </c>
      <c r="J213" s="93" t="str">
        <f t="shared" si="60"/>
        <v/>
      </c>
      <c r="K213" s="406">
        <f>$D213*($E$211/5.678)*$F213*VLOOKUP($C213,'Master sheet'!$A:$AL,13,FALSE)</f>
        <v>0</v>
      </c>
      <c r="L213" s="94">
        <f>$D213*($E$211/5.678)*$F213*VLOOKUP($C213,'Master sheet'!$A:$AL,27,FALSE)</f>
        <v>0</v>
      </c>
      <c r="M213" s="1552"/>
      <c r="N213" s="1552"/>
      <c r="O213" s="25" t="str">
        <f ca="1">_xlfn.IFNA(VLOOKUP($C213,'Master sheet'!$A:$AR,44,FALSE),"")&amp;""</f>
        <v>Expired 2025</v>
      </c>
      <c r="P213" s="685"/>
      <c r="Q213" s="757" t="s">
        <v>52</v>
      </c>
      <c r="R213" s="757" t="s">
        <v>924</v>
      </c>
      <c r="T213" s="664"/>
      <c r="U213" s="664"/>
      <c r="V213" s="664"/>
      <c r="W213" s="664"/>
      <c r="X213" s="664"/>
      <c r="Y213" s="664"/>
    </row>
    <row r="214" spans="1:25" ht="31.2" x14ac:dyDescent="0.25">
      <c r="A214" s="1564"/>
      <c r="B214" s="1564"/>
      <c r="C214" s="673" t="str">
        <f>INDEX('Master sheet'!$A$1:$A$670,MATCH(397,'Master sheet'!$AN$1:$AN$670,0))</f>
        <v>Wood fiber board / North American Fiberboard Association / Includes: MSL, Blue Ridge Fiberboard Inc. / R 2.7/inch</v>
      </c>
      <c r="D214" s="17">
        <f>'USER INPUT SHEET'!$D$32</f>
        <v>0</v>
      </c>
      <c r="E214" s="18" t="str">
        <f>'USER INPUT SHEET'!$F$32</f>
        <v>m2</v>
      </c>
      <c r="F214" s="4">
        <v>1</v>
      </c>
      <c r="G214" s="674"/>
      <c r="H214" s="9"/>
      <c r="I214" s="95">
        <f t="shared" ref="I214:I220" si="64">K214-L214</f>
        <v>0</v>
      </c>
      <c r="J214" s="96" t="str">
        <f t="shared" ref="J214:J220" si="65">IF(H214=1,I214,"")</f>
        <v/>
      </c>
      <c r="K214" s="407">
        <f>$D214*($E$211/5.678)*$F214*VLOOKUP($C214,'Master sheet'!$A:$AL,13,FALSE)</f>
        <v>0</v>
      </c>
      <c r="L214" s="97">
        <f>$D214*($E$211/5.678)*$F214*VLOOKUP($C214,'Master sheet'!$A:$AL,27,FALSE)</f>
        <v>0</v>
      </c>
      <c r="M214" s="1552"/>
      <c r="N214" s="1552"/>
      <c r="O214" s="25" t="str">
        <f ca="1">_xlfn.IFNA(VLOOKUP($C214,'Master sheet'!$A:$AR,44,FALSE),"")&amp;""</f>
        <v/>
      </c>
      <c r="P214" s="637"/>
      <c r="Q214" s="728" t="s">
        <v>52</v>
      </c>
      <c r="R214" s="728" t="s">
        <v>924</v>
      </c>
      <c r="S214" s="624"/>
      <c r="T214" s="638"/>
      <c r="U214" s="664"/>
      <c r="V214" s="664"/>
      <c r="W214" s="664"/>
      <c r="X214" s="664"/>
      <c r="Y214" s="664"/>
    </row>
    <row r="215" spans="1:25" ht="31.2" x14ac:dyDescent="0.25">
      <c r="A215" s="1564"/>
      <c r="B215" s="1564"/>
      <c r="C215" s="673" t="str">
        <f>INDEX('Master sheet'!$A$1:$A$670,MATCH("A123",'Master sheet'!$AN$1:$AN$670,0))</f>
        <v>Wood fiber board / Pavatex / Isolair, Isoroof, Isolair Multi / R 3.3-inch / 200 kg/m3, 30-80 mm</v>
      </c>
      <c r="D215" s="17">
        <f>'USER INPUT SHEET'!$D$32</f>
        <v>0</v>
      </c>
      <c r="E215" s="18" t="str">
        <f>'USER INPUT SHEET'!$F$32</f>
        <v>m2</v>
      </c>
      <c r="F215" s="4">
        <v>1</v>
      </c>
      <c r="G215" s="674"/>
      <c r="H215" s="9"/>
      <c r="I215" s="95">
        <f t="shared" si="64"/>
        <v>0</v>
      </c>
      <c r="J215" s="96" t="str">
        <f t="shared" si="65"/>
        <v/>
      </c>
      <c r="K215" s="407">
        <f>$D215*($E$211/5.678)*$F215*VLOOKUP($C215,'Master sheet'!$A:$AL,13,FALSE)</f>
        <v>0</v>
      </c>
      <c r="L215" s="97">
        <f>$D215*($E$211/5.678)*$F215*VLOOKUP($C215,'Master sheet'!$A:$AL,27,FALSE)</f>
        <v>0</v>
      </c>
      <c r="M215" s="1552"/>
      <c r="N215" s="1552"/>
      <c r="O215" s="25" t="str">
        <f>_xlfn.IFNA(VLOOKUP($C215,'Master sheet'!$A:$AR,44,FALSE),"")&amp;""</f>
        <v/>
      </c>
      <c r="P215" s="637"/>
      <c r="Q215" s="728" t="s">
        <v>52</v>
      </c>
      <c r="R215" s="728" t="s">
        <v>924</v>
      </c>
      <c r="S215" s="624"/>
      <c r="T215" s="638"/>
      <c r="U215" s="664"/>
      <c r="V215" s="664"/>
      <c r="W215" s="664"/>
      <c r="X215" s="664"/>
      <c r="Y215" s="664"/>
    </row>
    <row r="216" spans="1:25" ht="31.5" customHeight="1" x14ac:dyDescent="0.25">
      <c r="A216" s="1564"/>
      <c r="B216" s="1564"/>
      <c r="C216" s="673" t="str">
        <f>INDEX('Master sheet'!$A$1:$A$670,MATCH("A124",'Master sheet'!$AN$1:$AN$670,0))</f>
        <v>Wood fiber board / Pavatex / Pavatherm / R 3.3-inch / 110 kg/m3</v>
      </c>
      <c r="D216" s="17">
        <f>'USER INPUT SHEET'!$D$32</f>
        <v>0</v>
      </c>
      <c r="E216" s="18" t="str">
        <f>'USER INPUT SHEET'!$F$32</f>
        <v>m2</v>
      </c>
      <c r="F216" s="4">
        <v>1</v>
      </c>
      <c r="G216" s="674"/>
      <c r="H216" s="9"/>
      <c r="I216" s="95">
        <f t="shared" si="64"/>
        <v>0</v>
      </c>
      <c r="J216" s="96" t="str">
        <f t="shared" si="65"/>
        <v/>
      </c>
      <c r="K216" s="407">
        <f>$D216*($E$211/5.678)*$F216*VLOOKUP($C216,'Master sheet'!$A:$AL,13,FALSE)</f>
        <v>0</v>
      </c>
      <c r="L216" s="97">
        <f>$D216*($E$211/5.678)*$F216*VLOOKUP($C216,'Master sheet'!$A:$AL,27,FALSE)</f>
        <v>0</v>
      </c>
      <c r="M216" s="1552"/>
      <c r="N216" s="1552"/>
      <c r="O216" s="25" t="str">
        <f>_xlfn.IFNA(VLOOKUP($C216,'Master sheet'!$A:$AR,44,FALSE),"")&amp;""</f>
        <v/>
      </c>
      <c r="P216" s="637"/>
      <c r="Q216" s="728" t="s">
        <v>52</v>
      </c>
      <c r="R216" s="728" t="s">
        <v>924</v>
      </c>
      <c r="S216" s="624"/>
      <c r="T216" s="638" t="s">
        <v>7295</v>
      </c>
      <c r="U216" s="664"/>
      <c r="V216" s="664"/>
      <c r="W216" s="664"/>
      <c r="X216" s="664"/>
      <c r="Y216" s="664"/>
    </row>
    <row r="217" spans="1:25" ht="31.2" x14ac:dyDescent="0.25">
      <c r="A217" s="1564"/>
      <c r="B217" s="1564"/>
      <c r="C217" s="673" t="str">
        <f>INDEX('Master sheet'!$A$1:$A$670,MATCH("A125",'Master sheet'!$AN$1:$AN$670,0))</f>
        <v xml:space="preserve">Wood fiber board / Pavatex / Pavawall GF, Pavawall Bloc, Pavawall GF XL / R 3.3-inch / 130 kg/m3 </v>
      </c>
      <c r="D217" s="17">
        <f>'USER INPUT SHEET'!$D$32</f>
        <v>0</v>
      </c>
      <c r="E217" s="18" t="str">
        <f>'USER INPUT SHEET'!$F$32</f>
        <v>m2</v>
      </c>
      <c r="F217" s="4">
        <v>1</v>
      </c>
      <c r="G217" s="674"/>
      <c r="H217" s="9"/>
      <c r="I217" s="95">
        <f t="shared" si="64"/>
        <v>0</v>
      </c>
      <c r="J217" s="96" t="str">
        <f t="shared" si="65"/>
        <v/>
      </c>
      <c r="K217" s="407">
        <f>$D217*($E$211/5.678)*$F217*VLOOKUP($C217,'Master sheet'!$A:$AL,13,FALSE)</f>
        <v>0</v>
      </c>
      <c r="L217" s="97">
        <f>$D217*($E$211/5.678)*$F217*VLOOKUP($C217,'Master sheet'!$A:$AL,27,FALSE)</f>
        <v>0</v>
      </c>
      <c r="M217" s="1552"/>
      <c r="N217" s="1552"/>
      <c r="O217" s="25" t="str">
        <f>_xlfn.IFNA(VLOOKUP($C217,'Master sheet'!$A:$AR,44,FALSE),"")&amp;""</f>
        <v/>
      </c>
      <c r="P217" s="637"/>
      <c r="Q217" s="728" t="s">
        <v>52</v>
      </c>
      <c r="R217" s="728" t="s">
        <v>924</v>
      </c>
      <c r="S217" s="624"/>
      <c r="T217" s="638"/>
      <c r="U217" s="664"/>
      <c r="V217" s="664"/>
      <c r="W217" s="664"/>
      <c r="X217" s="664"/>
      <c r="Y217" s="664"/>
    </row>
    <row r="218" spans="1:25" ht="31.2" x14ac:dyDescent="0.25">
      <c r="A218" s="1564"/>
      <c r="B218" s="1564"/>
      <c r="C218" s="673" t="str">
        <f>INDEX('Master sheet'!$A$1:$A$670,MATCH("A126",'Master sheet'!$AN$1:$AN$670,0))</f>
        <v>Wood fiber board / Pavatex / Pavawall Smart, Pavawall Light, Pavawall FW / R 3.3-inch / 115 kg/m3</v>
      </c>
      <c r="D218" s="17">
        <f>'USER INPUT SHEET'!$D$32</f>
        <v>0</v>
      </c>
      <c r="E218" s="18" t="str">
        <f>'USER INPUT SHEET'!$F$32</f>
        <v>m2</v>
      </c>
      <c r="F218" s="4">
        <v>1</v>
      </c>
      <c r="G218" s="674"/>
      <c r="H218" s="9"/>
      <c r="I218" s="95">
        <f t="shared" si="64"/>
        <v>0</v>
      </c>
      <c r="J218" s="96" t="str">
        <f t="shared" si="65"/>
        <v/>
      </c>
      <c r="K218" s="407">
        <f>$D218*($E$211/5.678)*$F218*VLOOKUP($C218,'Master sheet'!$A:$AL,13,FALSE)</f>
        <v>0</v>
      </c>
      <c r="L218" s="97">
        <f>$D218*($E$211/5.678)*$F218*VLOOKUP($C218,'Master sheet'!$A:$AL,27,FALSE)</f>
        <v>0</v>
      </c>
      <c r="M218" s="1552"/>
      <c r="N218" s="1552"/>
      <c r="O218" s="25" t="str">
        <f>_xlfn.IFNA(VLOOKUP($C218,'Master sheet'!$A:$AR,44,FALSE),"")&amp;""</f>
        <v/>
      </c>
      <c r="P218" s="637"/>
      <c r="Q218" s="728" t="s">
        <v>52</v>
      </c>
      <c r="R218" s="728" t="s">
        <v>924</v>
      </c>
      <c r="S218" s="624"/>
      <c r="T218" s="638"/>
      <c r="U218" s="664"/>
      <c r="V218" s="664"/>
      <c r="W218" s="664"/>
      <c r="X218" s="664"/>
      <c r="Y218" s="664"/>
    </row>
    <row r="219" spans="1:25" ht="31.2" x14ac:dyDescent="0.25">
      <c r="A219" s="1564"/>
      <c r="B219" s="1564"/>
      <c r="C219" s="673" t="str">
        <f>INDEX('Master sheet'!$A$1:$A$670,MATCH("A127",'Master sheet'!$AN$1:$AN$670,0))</f>
        <v xml:space="preserve">Wood fiber board / Steico / STEICOprotect M dry, STEICOroof dry, STEICOspecial dry, STEICOtop / R 3.6-inch, 140 kg/m3 </v>
      </c>
      <c r="D219" s="17">
        <f>'USER INPUT SHEET'!$D$32</f>
        <v>0</v>
      </c>
      <c r="E219" s="18" t="str">
        <f>'USER INPUT SHEET'!$F$32</f>
        <v>m2</v>
      </c>
      <c r="F219" s="4">
        <v>1</v>
      </c>
      <c r="G219" s="674"/>
      <c r="H219" s="9"/>
      <c r="I219" s="95">
        <f t="shared" si="64"/>
        <v>0</v>
      </c>
      <c r="J219" s="96" t="str">
        <f t="shared" si="65"/>
        <v/>
      </c>
      <c r="K219" s="407">
        <f>$D219*($E$211/5.678)*$F219*VLOOKUP($C219,'Master sheet'!$A:$AL,13,FALSE)</f>
        <v>0</v>
      </c>
      <c r="L219" s="97">
        <f>$D219*($E$211/5.678)*$F219*VLOOKUP($C219,'Master sheet'!$A:$AL,27,FALSE)</f>
        <v>0</v>
      </c>
      <c r="M219" s="1552"/>
      <c r="N219" s="1552"/>
      <c r="O219" s="25" t="str">
        <f>_xlfn.IFNA(VLOOKUP($C219,'Master sheet'!$A:$AR,44,FALSE),"")&amp;""</f>
        <v/>
      </c>
      <c r="P219" s="637"/>
      <c r="Q219" s="728" t="s">
        <v>52</v>
      </c>
      <c r="R219" s="728" t="s">
        <v>924</v>
      </c>
      <c r="S219" s="624"/>
      <c r="T219" s="638"/>
      <c r="U219" s="664"/>
      <c r="V219" s="664"/>
      <c r="W219" s="664"/>
      <c r="X219" s="664"/>
      <c r="Y219" s="664"/>
    </row>
    <row r="220" spans="1:25" ht="31.2" x14ac:dyDescent="0.25">
      <c r="A220" s="1564"/>
      <c r="B220" s="1564"/>
      <c r="C220" s="673" t="str">
        <f>INDEX('Master sheet'!$A$1:$A$670,MATCH("A128",'Master sheet'!$AN$1:$AN$670,0))</f>
        <v>Wood fiber board / Steico / STEICOprotect S dry, STEICOsafe 40, STEICOuniversal dry / R 3.6-inch, 210 kg/m3</v>
      </c>
      <c r="D220" s="17">
        <f>'USER INPUT SHEET'!$D$32</f>
        <v>0</v>
      </c>
      <c r="E220" s="18" t="str">
        <f>'USER INPUT SHEET'!$F$32</f>
        <v>m2</v>
      </c>
      <c r="F220" s="4">
        <v>1</v>
      </c>
      <c r="G220" s="674"/>
      <c r="H220" s="9"/>
      <c r="I220" s="95">
        <f t="shared" si="64"/>
        <v>0</v>
      </c>
      <c r="J220" s="96" t="str">
        <f t="shared" si="65"/>
        <v/>
      </c>
      <c r="K220" s="407">
        <f>$D220*($E$211/5.678)*$F220*VLOOKUP($C220,'Master sheet'!$A:$AL,13,FALSE)</f>
        <v>0</v>
      </c>
      <c r="L220" s="97">
        <f>$D220*($E$211/5.678)*$F220*VLOOKUP($C220,'Master sheet'!$A:$AL,27,FALSE)</f>
        <v>0</v>
      </c>
      <c r="M220" s="1552"/>
      <c r="N220" s="1552"/>
      <c r="O220" s="25" t="str">
        <f>_xlfn.IFNA(VLOOKUP($C220,'Master sheet'!$A:$AR,44,FALSE),"")&amp;""</f>
        <v/>
      </c>
      <c r="P220" s="637"/>
      <c r="Q220" s="728" t="s">
        <v>52</v>
      </c>
      <c r="R220" s="728" t="s">
        <v>924</v>
      </c>
      <c r="S220" s="624"/>
      <c r="T220" s="638"/>
      <c r="U220" s="664"/>
      <c r="V220" s="664"/>
      <c r="W220" s="664"/>
      <c r="X220" s="664"/>
      <c r="Y220" s="664"/>
    </row>
    <row r="221" spans="1:25" s="624" customFormat="1" ht="31.2" x14ac:dyDescent="0.25">
      <c r="A221" s="1564"/>
      <c r="B221" s="1564"/>
      <c r="C221" s="673" t="str">
        <f>INDEX('Master sheet'!$A$1:$A$670,MATCH("A129",'Master sheet'!$AN$1:$AN$670,0))</f>
        <v>Wood fiber board / Steico / STEICOtherm dry, STEICOprotect L dry, STEICOsafe / R 3.6-inch, 110 kg/m3</v>
      </c>
      <c r="D221" s="17">
        <f>'USER INPUT SHEET'!$D$32</f>
        <v>0</v>
      </c>
      <c r="E221" s="18" t="str">
        <f>'USER INPUT SHEET'!$F$32</f>
        <v>m2</v>
      </c>
      <c r="F221" s="4">
        <v>1</v>
      </c>
      <c r="G221" s="674"/>
      <c r="H221" s="9"/>
      <c r="I221" s="95">
        <f>K221-L221</f>
        <v>0</v>
      </c>
      <c r="J221" s="96" t="str">
        <f t="shared" si="60"/>
        <v/>
      </c>
      <c r="K221" s="407">
        <f>$D221*($E$211/5.678)*$F221*VLOOKUP($C221,'Master sheet'!$A:$AL,13,FALSE)</f>
        <v>0</v>
      </c>
      <c r="L221" s="97">
        <f>$D221*($E$211/5.678)*$F221*VLOOKUP($C221,'Master sheet'!$A:$AL,27,FALSE)</f>
        <v>0</v>
      </c>
      <c r="M221" s="1610"/>
      <c r="N221" s="1610"/>
      <c r="O221" s="25" t="str">
        <f>_xlfn.IFNA(VLOOKUP($C221,'Master sheet'!$A:$AR,44,FALSE),"")&amp;""</f>
        <v/>
      </c>
      <c r="P221" s="637"/>
      <c r="Q221" s="728" t="s">
        <v>52</v>
      </c>
      <c r="R221" s="728" t="s">
        <v>924</v>
      </c>
      <c r="T221" s="638"/>
      <c r="U221" s="638"/>
      <c r="V221" s="638"/>
      <c r="W221" s="638"/>
      <c r="X221" s="638"/>
      <c r="Y221" s="638"/>
    </row>
    <row r="222" spans="1:25" s="624" customFormat="1" ht="22.8" x14ac:dyDescent="0.25">
      <c r="A222" s="639"/>
      <c r="B222" s="1524" t="s">
        <v>1025</v>
      </c>
      <c r="C222" s="1523"/>
      <c r="D222" s="687" t="str">
        <f>IF(LOWER(Setting!rng_language)="english","R-VALUE:","VALEUR R :")</f>
        <v>R-VALUE:</v>
      </c>
      <c r="E222" s="1"/>
      <c r="F222" s="325"/>
      <c r="G222" s="678"/>
      <c r="H222" s="679"/>
      <c r="I222" s="642"/>
      <c r="J222" s="643"/>
      <c r="K222" s="676"/>
      <c r="L222" s="727"/>
      <c r="M222" s="727"/>
      <c r="N222" s="727"/>
      <c r="O222" s="25" t="str">
        <f>_xlfn.IFNA(VLOOKUP($C222,'Master sheet'!$A:$AR,44,FALSE),"")&amp;""</f>
        <v/>
      </c>
      <c r="P222" s="637"/>
      <c r="Q222" s="728"/>
      <c r="R222" s="728"/>
      <c r="T222" s="638"/>
      <c r="U222" s="638"/>
      <c r="V222" s="638"/>
      <c r="W222" s="638"/>
      <c r="X222" s="638"/>
      <c r="Y222" s="638"/>
    </row>
    <row r="223" spans="1:25" ht="22.8" x14ac:dyDescent="0.25">
      <c r="A223" s="729"/>
      <c r="B223" s="729"/>
      <c r="C223" s="691" t="s">
        <v>4023</v>
      </c>
      <c r="D223" s="19">
        <f>'USER INPUT SHEET'!$D$32</f>
        <v>0</v>
      </c>
      <c r="E223" s="20" t="str">
        <f>'USER INPUT SHEET'!$F$32</f>
        <v>m2</v>
      </c>
      <c r="F223" s="6">
        <v>1</v>
      </c>
      <c r="G223" s="692"/>
      <c r="H223" s="10"/>
      <c r="I223" s="98">
        <f>K223-L223</f>
        <v>0</v>
      </c>
      <c r="J223" s="91" t="str">
        <f>IF(H223=1,I223,"")</f>
        <v/>
      </c>
      <c r="K223" s="410">
        <f>F223*AVERAGE(K224:K226)</f>
        <v>0</v>
      </c>
      <c r="L223" s="99">
        <f>F223*AVERAGE(L224:L226)</f>
        <v>0</v>
      </c>
      <c r="M223" s="1552"/>
      <c r="N223" s="1552"/>
      <c r="O223" s="25" t="str">
        <f>_xlfn.IFNA(VLOOKUP($C223,'Master sheet'!$A:$AR,44,FALSE),"")&amp;""</f>
        <v/>
      </c>
      <c r="P223" s="637"/>
      <c r="Q223" s="765" t="s">
        <v>52</v>
      </c>
      <c r="R223" s="757" t="s">
        <v>924</v>
      </c>
      <c r="S223" s="664"/>
      <c r="T223" s="664"/>
      <c r="U223" s="664"/>
      <c r="V223" s="664"/>
      <c r="W223" s="664"/>
      <c r="X223" s="664"/>
      <c r="Y223" s="664"/>
    </row>
    <row r="224" spans="1:25" ht="31.2" customHeight="1" x14ac:dyDescent="0.25">
      <c r="A224" s="729"/>
      <c r="B224" s="729"/>
      <c r="C224" s="673" t="str">
        <f>INDEX('Master sheet'!$A$1:$A$670,MATCH(258,'Master sheet'!$AN$1:$AN$670,0))</f>
        <v>XPS foam board / Owens Corning / Foamular NGX 250  / R 5/inch</v>
      </c>
      <c r="D224" s="17">
        <f>'USER INPUT SHEET'!$D$32</f>
        <v>0</v>
      </c>
      <c r="E224" s="18" t="str">
        <f>'USER INPUT SHEET'!$F$32</f>
        <v>m2</v>
      </c>
      <c r="F224" s="4">
        <v>1</v>
      </c>
      <c r="G224" s="674"/>
      <c r="H224" s="9"/>
      <c r="I224" s="95">
        <f>K224-L224</f>
        <v>0</v>
      </c>
      <c r="J224" s="96" t="str">
        <f>IF(H224=1,I224,"")</f>
        <v/>
      </c>
      <c r="K224" s="407">
        <f>$D224*($E$222/5.678)*$F224*VLOOKUP($C224,'Master sheet'!$A:$AL,13,FALSE)</f>
        <v>0</v>
      </c>
      <c r="L224" s="97">
        <f>$D224*($E$222/5.678)*$F224*VLOOKUP($C224,'Master sheet'!$A:$AL,27,FALSE)</f>
        <v>0</v>
      </c>
      <c r="M224" s="1552"/>
      <c r="N224" s="1552"/>
      <c r="O224" s="25" t="str">
        <f>_xlfn.IFNA(VLOOKUP($C224,'Master sheet'!$A:$AR,44,FALSE),"")&amp;""</f>
        <v>A1-B1</v>
      </c>
      <c r="P224" s="685"/>
      <c r="Q224" s="728" t="s">
        <v>52</v>
      </c>
      <c r="R224" s="728" t="s">
        <v>924</v>
      </c>
      <c r="T224" s="638" t="s">
        <v>7295</v>
      </c>
      <c r="U224" s="664"/>
      <c r="V224" s="664"/>
      <c r="W224" s="664"/>
      <c r="X224" s="664"/>
      <c r="Y224" s="664"/>
    </row>
    <row r="225" spans="1:25" ht="23.25" customHeight="1" x14ac:dyDescent="0.25">
      <c r="A225" s="729"/>
      <c r="B225" s="729"/>
      <c r="C225" s="673" t="str">
        <f>INDEX('Master sheet'!$A$1:$A$670,MATCH(401,'Master sheet'!$AN$1:$AN$670,0))</f>
        <v>XPS foam board / Soprema / SOPRA-XPS / R 5.0/inch</v>
      </c>
      <c r="D225" s="17">
        <f>'USER INPUT SHEET'!$D$32</f>
        <v>0</v>
      </c>
      <c r="E225" s="18" t="str">
        <f>'USER INPUT SHEET'!$F$32</f>
        <v>m2</v>
      </c>
      <c r="F225" s="4">
        <v>1</v>
      </c>
      <c r="G225" s="674"/>
      <c r="H225" s="9"/>
      <c r="I225" s="95">
        <f>K225-L225</f>
        <v>0</v>
      </c>
      <c r="J225" s="96" t="str">
        <f>IF(H225=1,I225,"")</f>
        <v/>
      </c>
      <c r="K225" s="407">
        <f>$D225*($E$222/5.678)*$F225*VLOOKUP($C225,'Master sheet'!$A:$AL,13,FALSE)</f>
        <v>0</v>
      </c>
      <c r="L225" s="97">
        <f>$D225*($E$222/5.678)*$F225*VLOOKUP($C225,'Master sheet'!$A:$AL,27,FALSE)</f>
        <v>0</v>
      </c>
      <c r="M225" s="1552"/>
      <c r="N225" s="1552"/>
      <c r="O225" s="25" t="str">
        <f>_xlfn.IFNA(VLOOKUP($C225,'Master sheet'!$A:$AR,44,FALSE),"")&amp;""</f>
        <v>A1-B1</v>
      </c>
      <c r="P225" s="685"/>
      <c r="Q225" s="728" t="s">
        <v>52</v>
      </c>
      <c r="R225" s="728" t="s">
        <v>924</v>
      </c>
      <c r="T225" s="664"/>
      <c r="U225" s="664"/>
      <c r="V225" s="664"/>
      <c r="W225" s="664"/>
      <c r="X225" s="664"/>
      <c r="Y225" s="664"/>
    </row>
    <row r="226" spans="1:25" ht="31.2" x14ac:dyDescent="0.25">
      <c r="A226" s="729"/>
      <c r="B226" s="729"/>
      <c r="C226" s="673" t="str">
        <f>INDEX('Master sheet'!$A$1:$A$670,MATCH(400,'Master sheet'!$AN$1:$AN$670,0))</f>
        <v>XPS foam board / DuPont / Reduced GWP Grey Styrofoam™ (same as ST-100) / R 5.0/inch</v>
      </c>
      <c r="D226" s="17">
        <f>'USER INPUT SHEET'!$D$32</f>
        <v>0</v>
      </c>
      <c r="E226" s="18" t="str">
        <f>'USER INPUT SHEET'!$F$32</f>
        <v>m2</v>
      </c>
      <c r="F226" s="4">
        <v>1</v>
      </c>
      <c r="G226" s="674"/>
      <c r="H226" s="9"/>
      <c r="I226" s="95">
        <f>K226-L226</f>
        <v>0</v>
      </c>
      <c r="J226" s="96" t="str">
        <f>IF(H226=1,I226,"")</f>
        <v/>
      </c>
      <c r="K226" s="407">
        <f>$D226*($E$222/5.678)*$F226*VLOOKUP($C226,'Master sheet'!$A:$AL,13,FALSE)</f>
        <v>0</v>
      </c>
      <c r="L226" s="97">
        <f>$D226*($E$222/5.678)*$F226*VLOOKUP($C226,'Master sheet'!$A:$AL,27,FALSE)</f>
        <v>0</v>
      </c>
      <c r="M226" s="1610"/>
      <c r="N226" s="1610"/>
      <c r="O226" s="25" t="str">
        <f>_xlfn.IFNA(VLOOKUP($C226,'Master sheet'!$A:$AR,44,FALSE),"")&amp;""</f>
        <v>A1-B1</v>
      </c>
      <c r="P226" s="685"/>
      <c r="Q226" s="728" t="s">
        <v>52</v>
      </c>
      <c r="R226" s="728" t="s">
        <v>924</v>
      </c>
      <c r="T226" s="664"/>
      <c r="U226" s="664"/>
      <c r="V226" s="664"/>
      <c r="W226" s="664"/>
      <c r="X226" s="664"/>
      <c r="Y226" s="664"/>
    </row>
    <row r="227" spans="1:25" s="624" customFormat="1" ht="22.8" x14ac:dyDescent="0.25">
      <c r="A227" s="639"/>
      <c r="B227" s="1524" t="s">
        <v>1065</v>
      </c>
      <c r="C227" s="1523"/>
      <c r="D227" s="687" t="str">
        <f>IF(LOWER(Setting!rng_language)="english","R-VALUE:","VALEUR R :")</f>
        <v>R-VALUE:</v>
      </c>
      <c r="E227" s="1"/>
      <c r="F227" s="325"/>
      <c r="G227" s="678"/>
      <c r="H227" s="679"/>
      <c r="I227" s="642"/>
      <c r="J227" s="643"/>
      <c r="K227" s="676"/>
      <c r="L227" s="727"/>
      <c r="M227" s="727"/>
      <c r="N227" s="727"/>
      <c r="O227" s="25" t="str">
        <f>_xlfn.IFNA(VLOOKUP($C227,'Master sheet'!$A:$AR,44,FALSE),"")&amp;""</f>
        <v/>
      </c>
      <c r="P227" s="637"/>
      <c r="Q227" s="728"/>
      <c r="R227" s="728"/>
      <c r="T227" s="638"/>
      <c r="U227" s="638"/>
      <c r="V227" s="638"/>
      <c r="W227" s="638"/>
      <c r="X227" s="638"/>
      <c r="Y227" s="638"/>
    </row>
    <row r="228" spans="1:25" ht="22.8" x14ac:dyDescent="0.25">
      <c r="A228" s="729"/>
      <c r="B228" s="729"/>
      <c r="C228" s="691" t="s">
        <v>1365</v>
      </c>
      <c r="D228" s="19">
        <f>'USER INPUT SHEET'!$D$32</f>
        <v>0</v>
      </c>
      <c r="E228" s="20" t="str">
        <f>'USER INPUT SHEET'!$F$32</f>
        <v>m2</v>
      </c>
      <c r="F228" s="6">
        <v>1</v>
      </c>
      <c r="G228" s="692"/>
      <c r="H228" s="10"/>
      <c r="I228" s="98">
        <f t="shared" ref="I228:I231" si="66">K228-L228</f>
        <v>0</v>
      </c>
      <c r="J228" s="91" t="str">
        <f>IF(H228=1,I228,"")</f>
        <v/>
      </c>
      <c r="K228" s="410">
        <f>F228*AVERAGE(K229:K231)</f>
        <v>0</v>
      </c>
      <c r="L228" s="99">
        <f>F228*AVERAGE(L229:L231)</f>
        <v>0</v>
      </c>
      <c r="M228" s="1552"/>
      <c r="N228" s="1552"/>
      <c r="O228" s="25" t="str">
        <f>_xlfn.IFNA(VLOOKUP($C228,'Master sheet'!$A:$AR,44,FALSE),"")&amp;""</f>
        <v/>
      </c>
      <c r="P228" s="637"/>
      <c r="Q228" s="757" t="s">
        <v>52</v>
      </c>
      <c r="R228" s="757" t="s">
        <v>924</v>
      </c>
      <c r="S228" s="664"/>
      <c r="T228" s="664"/>
      <c r="U228" s="664"/>
      <c r="V228" s="664"/>
      <c r="W228" s="664"/>
      <c r="X228" s="664"/>
      <c r="Y228" s="664"/>
    </row>
    <row r="229" spans="1:25" ht="31.2" x14ac:dyDescent="0.25">
      <c r="A229" s="1564"/>
      <c r="B229" s="1564"/>
      <c r="C229" s="669" t="str">
        <f>INDEX('Master sheet'!$A$1:$A$670,MATCH(167,'Master sheet'!$AN$1:$AN$670,0))</f>
        <v>Polyiso - wall boards / Hunter / Polysio Wall insulation boards / R 6.5/inch</v>
      </c>
      <c r="D229" s="15">
        <f>'USER INPUT SHEET'!$D$32</f>
        <v>0</v>
      </c>
      <c r="E229" s="16" t="str">
        <f>'USER INPUT SHEET'!$F$32</f>
        <v>m2</v>
      </c>
      <c r="F229" s="3">
        <v>1</v>
      </c>
      <c r="G229" s="670"/>
      <c r="H229" s="8"/>
      <c r="I229" s="92">
        <f t="shared" si="66"/>
        <v>0</v>
      </c>
      <c r="J229" s="93" t="str">
        <f t="shared" si="60"/>
        <v/>
      </c>
      <c r="K229" s="406">
        <f>$D229*($E$227/5.678)*$F229*VLOOKUP($C229,'Master sheet'!$A:$AL,13,FALSE)</f>
        <v>0</v>
      </c>
      <c r="L229" s="94">
        <f>$D229*($E$227/5.678)*$F229*VLOOKUP($C229,'Master sheet'!$A:$AL,27,FALSE)</f>
        <v>0</v>
      </c>
      <c r="M229" s="1552"/>
      <c r="N229" s="1552"/>
      <c r="O229" s="25" t="str">
        <f ca="1">_xlfn.IFNA(VLOOKUP($C229,'Master sheet'!$A:$AR,44,FALSE),"")&amp;""</f>
        <v/>
      </c>
      <c r="P229" s="685"/>
      <c r="Q229" s="757" t="s">
        <v>52</v>
      </c>
      <c r="R229" s="757" t="s">
        <v>924</v>
      </c>
      <c r="T229" s="664"/>
      <c r="U229" s="664"/>
      <c r="V229" s="664"/>
      <c r="W229" s="664"/>
      <c r="X229" s="664"/>
      <c r="Y229" s="664"/>
    </row>
    <row r="230" spans="1:25" ht="22.8" x14ac:dyDescent="0.25">
      <c r="A230" s="1564"/>
      <c r="B230" s="1564"/>
      <c r="C230" s="673" t="str">
        <f>INDEX('Master sheet'!$A$1:$A$670,MATCH(408,'Master sheet'!$AN$1:$AN$670,0))</f>
        <v>Polyiso - wall boards / DuPont / Thermax / R 6.5/inch</v>
      </c>
      <c r="D230" s="17">
        <f>'USER INPUT SHEET'!$D$32</f>
        <v>0</v>
      </c>
      <c r="E230" s="18" t="str">
        <f>'USER INPUT SHEET'!$F$32</f>
        <v>m2</v>
      </c>
      <c r="F230" s="4">
        <v>1</v>
      </c>
      <c r="G230" s="674"/>
      <c r="H230" s="9"/>
      <c r="I230" s="95">
        <f t="shared" si="66"/>
        <v>0</v>
      </c>
      <c r="J230" s="96" t="str">
        <f t="shared" ref="J230" si="67">IF(H230=1,I230,"")</f>
        <v/>
      </c>
      <c r="K230" s="407">
        <f>$D230*($E$227/5.678)*$F230*VLOOKUP($C230,'Master sheet'!$A:$AL,13,FALSE)</f>
        <v>0</v>
      </c>
      <c r="L230" s="97">
        <f>$D230*($E$227/5.678)*$F230*VLOOKUP($C230,'Master sheet'!$A:$AL,27,FALSE)</f>
        <v>0</v>
      </c>
      <c r="M230" s="1552"/>
      <c r="N230" s="1552"/>
      <c r="O230" s="25" t="str">
        <f ca="1">_xlfn.IFNA(VLOOKUP($C230,'Master sheet'!$A:$AR,44,FALSE),"")&amp;""</f>
        <v/>
      </c>
      <c r="P230" s="637"/>
      <c r="Q230" s="728" t="s">
        <v>52</v>
      </c>
      <c r="R230" s="728" t="s">
        <v>924</v>
      </c>
      <c r="T230" s="664"/>
      <c r="U230" s="664"/>
      <c r="V230" s="664"/>
      <c r="W230" s="664"/>
      <c r="X230" s="664"/>
      <c r="Y230" s="664"/>
    </row>
    <row r="231" spans="1:25" s="624" customFormat="1" ht="22.8" x14ac:dyDescent="0.25">
      <c r="A231" s="1564"/>
      <c r="B231" s="1564"/>
      <c r="C231" s="673" t="str">
        <f>INDEX('Master sheet'!$A$1:$A$670,MATCH("A103",'Master sheet'!$AN$1:$AN$670,0))</f>
        <v>Polyiso - wall boards / Carlisle  / R2+ Silver  / R 6.3/inch, 20 psi</v>
      </c>
      <c r="D231" s="17">
        <f>'USER INPUT SHEET'!$D$32</f>
        <v>0</v>
      </c>
      <c r="E231" s="18" t="str">
        <f>'USER INPUT SHEET'!$F$32</f>
        <v>m2</v>
      </c>
      <c r="F231" s="4">
        <v>1</v>
      </c>
      <c r="G231" s="674"/>
      <c r="H231" s="9"/>
      <c r="I231" s="95">
        <f t="shared" si="66"/>
        <v>0</v>
      </c>
      <c r="J231" s="96" t="str">
        <f t="shared" si="60"/>
        <v/>
      </c>
      <c r="K231" s="407">
        <f>$D231*($E$227/5.678)*$F231*VLOOKUP($C231,'Master sheet'!$A:$AL,13,FALSE)</f>
        <v>0</v>
      </c>
      <c r="L231" s="97">
        <f>$D231*($E$227/5.678)*$F231*VLOOKUP($C231,'Master sheet'!$A:$AL,27,FALSE)</f>
        <v>0</v>
      </c>
      <c r="M231" s="1610"/>
      <c r="N231" s="1610"/>
      <c r="O231" s="25" t="str">
        <f>_xlfn.IFNA(VLOOKUP($C231,'Master sheet'!$A:$AR,44,FALSE),"")&amp;""</f>
        <v/>
      </c>
      <c r="P231" s="637"/>
      <c r="Q231" s="728" t="s">
        <v>52</v>
      </c>
      <c r="R231" s="728" t="s">
        <v>924</v>
      </c>
      <c r="T231" s="638"/>
      <c r="U231" s="638"/>
      <c r="V231" s="638"/>
      <c r="W231" s="638"/>
      <c r="X231" s="638"/>
      <c r="Y231" s="638"/>
    </row>
    <row r="232" spans="1:25" s="624" customFormat="1" ht="22.8" x14ac:dyDescent="0.25">
      <c r="A232" s="639"/>
      <c r="B232" s="1524" t="s">
        <v>3418</v>
      </c>
      <c r="C232" s="1523"/>
      <c r="D232" s="687" t="str">
        <f>IF(LOWER(Setting!rng_language)="english","R-VALUE:","VALEUR R :")</f>
        <v>R-VALUE:</v>
      </c>
      <c r="E232" s="1"/>
      <c r="F232" s="325"/>
      <c r="G232" s="678"/>
      <c r="H232" s="679"/>
      <c r="I232" s="642"/>
      <c r="J232" s="643"/>
      <c r="K232" s="676"/>
      <c r="L232" s="727"/>
      <c r="M232" s="727"/>
      <c r="N232" s="727"/>
      <c r="O232" s="25" t="str">
        <f>_xlfn.IFNA(VLOOKUP($C232,'Master sheet'!$A:$AR,44,FALSE),"")&amp;""</f>
        <v/>
      </c>
      <c r="P232" s="637"/>
      <c r="Q232" s="728"/>
      <c r="R232" s="728"/>
      <c r="T232" s="638"/>
      <c r="U232" s="638"/>
      <c r="V232" s="638"/>
      <c r="W232" s="638"/>
      <c r="X232" s="638"/>
      <c r="Y232" s="638"/>
    </row>
    <row r="233" spans="1:25" ht="22.8" x14ac:dyDescent="0.25">
      <c r="A233" s="1576"/>
      <c r="B233" s="1576"/>
      <c r="C233" s="691" t="s">
        <v>1354</v>
      </c>
      <c r="D233" s="19">
        <f>'USER INPUT SHEET'!$D$32</f>
        <v>0</v>
      </c>
      <c r="E233" s="20" t="str">
        <f>'USER INPUT SHEET'!$F$32</f>
        <v>m2</v>
      </c>
      <c r="F233" s="6">
        <v>1</v>
      </c>
      <c r="G233" s="692"/>
      <c r="H233" s="10"/>
      <c r="I233" s="98">
        <f t="shared" ref="I233:I241" si="68">K233-L233</f>
        <v>0</v>
      </c>
      <c r="J233" s="91" t="str">
        <f>IF(H233=1,I233,"")</f>
        <v/>
      </c>
      <c r="K233" s="410">
        <f>F233*AVERAGE(K234:K241)</f>
        <v>0</v>
      </c>
      <c r="L233" s="99">
        <f>F233*AVERAGE(L234:L241)</f>
        <v>0</v>
      </c>
      <c r="M233" s="1552"/>
      <c r="N233" s="1552"/>
      <c r="O233" s="25" t="str">
        <f>_xlfn.IFNA(VLOOKUP($C233,'Master sheet'!$A:$AR,44,FALSE),"")&amp;""</f>
        <v/>
      </c>
      <c r="P233" s="637"/>
      <c r="Q233" s="757" t="s">
        <v>52</v>
      </c>
      <c r="R233" s="757" t="s">
        <v>924</v>
      </c>
      <c r="S233" s="664"/>
      <c r="T233" s="664"/>
      <c r="U233" s="664"/>
      <c r="V233" s="664"/>
      <c r="W233" s="664"/>
      <c r="X233" s="664"/>
      <c r="Y233" s="664"/>
    </row>
    <row r="234" spans="1:25" s="624" customFormat="1" ht="23.25" customHeight="1" x14ac:dyDescent="0.25">
      <c r="A234" s="1576"/>
      <c r="B234" s="1576"/>
      <c r="C234" s="673" t="str">
        <f>INDEX('Master sheet'!$A$1:$A$670,MATCH("A200",'Master sheet'!$AN$1:$AN$670,0))</f>
        <v>Mineral wool board / Rockwool / Comfortboard 80 / R 4.2-inch</v>
      </c>
      <c r="D234" s="17">
        <f>'USER INPUT SHEET'!$D$32</f>
        <v>0</v>
      </c>
      <c r="E234" s="18" t="str">
        <f>'USER INPUT SHEET'!$F$32</f>
        <v>m2</v>
      </c>
      <c r="F234" s="4">
        <v>1</v>
      </c>
      <c r="G234" s="674"/>
      <c r="H234" s="9"/>
      <c r="I234" s="95">
        <f t="shared" si="68"/>
        <v>0</v>
      </c>
      <c r="J234" s="96" t="str">
        <f t="shared" si="60"/>
        <v/>
      </c>
      <c r="K234" s="407">
        <f>$D234*($E$232/5.678)*$F234*VLOOKUP($C234,'Master sheet'!$A:$AL,13,FALSE)</f>
        <v>0</v>
      </c>
      <c r="L234" s="97">
        <f>$D234*($E$232/5.678)*$F234*VLOOKUP($C234,'Master sheet'!$A:$AL,27,FALSE)</f>
        <v>0</v>
      </c>
      <c r="M234" s="1552"/>
      <c r="N234" s="1552"/>
      <c r="O234" s="25" t="str">
        <f>_xlfn.IFNA(VLOOKUP($C234,'Master sheet'!$A:$AR,44,FALSE),"")&amp;""</f>
        <v/>
      </c>
      <c r="P234" s="637"/>
      <c r="Q234" s="728" t="s">
        <v>52</v>
      </c>
      <c r="R234" s="728" t="s">
        <v>924</v>
      </c>
      <c r="T234" s="638"/>
      <c r="U234" s="638"/>
      <c r="V234" s="638"/>
      <c r="W234" s="638"/>
      <c r="X234" s="638"/>
      <c r="Y234" s="638"/>
    </row>
    <row r="235" spans="1:25" s="624" customFormat="1" ht="31.2" x14ac:dyDescent="0.25">
      <c r="A235" s="744"/>
      <c r="B235" s="744"/>
      <c r="C235" s="673" t="str">
        <f>INDEX('Master sheet'!$A$1:$A$670,MATCH("A75",'Master sheet'!$AN$1:$AN$670,0))</f>
        <v>Mineral wool board - heavy density / NAIMA / Owens Corning, Johns Manville, Rolan / R 4.4/inch</v>
      </c>
      <c r="D235" s="17">
        <f>'USER INPUT SHEET'!$D$32</f>
        <v>0</v>
      </c>
      <c r="E235" s="18" t="str">
        <f>'USER INPUT SHEET'!$F$32</f>
        <v>m2</v>
      </c>
      <c r="F235" s="4">
        <v>1</v>
      </c>
      <c r="G235" s="674"/>
      <c r="H235" s="9"/>
      <c r="I235" s="95">
        <f t="shared" si="68"/>
        <v>0</v>
      </c>
      <c r="J235" s="96" t="str">
        <f t="shared" si="60"/>
        <v/>
      </c>
      <c r="K235" s="407">
        <f>$D235*($E$232/5.678)*$F235*VLOOKUP($C235,'Master sheet'!$A:$AL,13,FALSE)</f>
        <v>0</v>
      </c>
      <c r="L235" s="97">
        <f>$D235*($E$232/5.678)*$F235*VLOOKUP($C235,'Master sheet'!$A:$AL,27,FALSE)</f>
        <v>0</v>
      </c>
      <c r="M235" s="1552"/>
      <c r="N235" s="1552"/>
      <c r="O235" s="25" t="str">
        <f>_xlfn.IFNA(VLOOKUP($C235,'Master sheet'!$A:$AR,44,FALSE),"")&amp;""</f>
        <v/>
      </c>
      <c r="P235" s="637"/>
      <c r="Q235" s="728" t="s">
        <v>52</v>
      </c>
      <c r="R235" s="728" t="s">
        <v>924</v>
      </c>
      <c r="T235" s="638"/>
      <c r="U235" s="638"/>
      <c r="V235" s="638"/>
      <c r="W235" s="638"/>
      <c r="X235" s="638"/>
      <c r="Y235" s="638"/>
    </row>
    <row r="236" spans="1:25" s="624" customFormat="1" ht="31.2" x14ac:dyDescent="0.25">
      <c r="A236" s="744"/>
      <c r="B236" s="744"/>
      <c r="C236" s="673" t="str">
        <f>INDEX('Master sheet'!$A$1:$A$670,MATCH("A76",'Master sheet'!$AN$1:$AN$670,0))</f>
        <v>Mineral wool board - light density / NAIMA / Owens Corning, Johns Manville, Rolan / R 3.9/inch</v>
      </c>
      <c r="D236" s="17">
        <f>'USER INPUT SHEET'!$D$32</f>
        <v>0</v>
      </c>
      <c r="E236" s="18" t="str">
        <f>'USER INPUT SHEET'!$F$32</f>
        <v>m2</v>
      </c>
      <c r="F236" s="4">
        <v>1</v>
      </c>
      <c r="G236" s="674"/>
      <c r="H236" s="9"/>
      <c r="I236" s="95">
        <f t="shared" si="68"/>
        <v>0</v>
      </c>
      <c r="J236" s="96" t="str">
        <f t="shared" si="60"/>
        <v/>
      </c>
      <c r="K236" s="407">
        <f>$D236*($E$232/5.678)*$F236*VLOOKUP($C236,'Master sheet'!$A:$AL,13,FALSE)</f>
        <v>0</v>
      </c>
      <c r="L236" s="97">
        <f>$D236*($E$232/5.678)*$F236*VLOOKUP($C236,'Master sheet'!$A:$AL,27,FALSE)</f>
        <v>0</v>
      </c>
      <c r="M236" s="1552"/>
      <c r="N236" s="1552"/>
      <c r="O236" s="25" t="str">
        <f>_xlfn.IFNA(VLOOKUP($C236,'Master sheet'!$A:$AR,44,FALSE),"")&amp;""</f>
        <v/>
      </c>
      <c r="P236" s="637"/>
      <c r="Q236" s="728" t="s">
        <v>52</v>
      </c>
      <c r="R236" s="728" t="s">
        <v>924</v>
      </c>
      <c r="T236" s="638"/>
      <c r="U236" s="638"/>
      <c r="V236" s="638"/>
      <c r="W236" s="638"/>
      <c r="X236" s="638"/>
      <c r="Y236" s="638"/>
    </row>
    <row r="237" spans="1:25" s="624" customFormat="1" ht="31.2" x14ac:dyDescent="0.25">
      <c r="A237" s="744"/>
      <c r="B237" s="744"/>
      <c r="C237" s="673" t="str">
        <f>INDEX('Master sheet'!$A$1:$A$670,MATCH("A192",'Master sheet'!$AN$1:$AN$670,0))</f>
        <v>Mineral wool board / Owens Corning / Thermafiber RainBarrier ci 80 / R 4.2-inch</v>
      </c>
      <c r="D237" s="17">
        <f>'USER INPUT SHEET'!$D$32</f>
        <v>0</v>
      </c>
      <c r="E237" s="18" t="str">
        <f>'USER INPUT SHEET'!$F$32</f>
        <v>m2</v>
      </c>
      <c r="F237" s="4">
        <v>1</v>
      </c>
      <c r="G237" s="674"/>
      <c r="H237" s="9"/>
      <c r="I237" s="95">
        <f t="shared" si="68"/>
        <v>0</v>
      </c>
      <c r="J237" s="96" t="str">
        <f t="shared" ref="J237:J241" si="69">IF(H237=1,I237,"")</f>
        <v/>
      </c>
      <c r="K237" s="407">
        <f>$D237*($E$232/5.678)*$F237*VLOOKUP($C237,'Master sheet'!$A:$AL,13,FALSE)</f>
        <v>0</v>
      </c>
      <c r="L237" s="97">
        <f>$D237*($E$232/5.678)*$F237*VLOOKUP($C237,'Master sheet'!$A:$AL,27,FALSE)</f>
        <v>0</v>
      </c>
      <c r="M237" s="1552"/>
      <c r="N237" s="1552"/>
      <c r="O237" s="25" t="str">
        <f>_xlfn.IFNA(VLOOKUP($C237,'Master sheet'!$A:$AR,44,FALSE),"")&amp;""</f>
        <v/>
      </c>
      <c r="P237" s="637"/>
      <c r="Q237" s="728" t="s">
        <v>52</v>
      </c>
      <c r="R237" s="728" t="s">
        <v>924</v>
      </c>
      <c r="T237" s="638"/>
      <c r="U237" s="638"/>
      <c r="V237" s="638"/>
      <c r="W237" s="638"/>
      <c r="X237" s="638"/>
      <c r="Y237" s="638"/>
    </row>
    <row r="238" spans="1:25" s="624" customFormat="1" ht="31.2" x14ac:dyDescent="0.25">
      <c r="A238" s="744"/>
      <c r="B238" s="744"/>
      <c r="C238" s="673" t="str">
        <f>INDEX('Master sheet'!$A$1:$A$670,MATCH("A193",'Master sheet'!$AN$1:$AN$670,0))</f>
        <v>Mineral wool board / Owens Corning / Thermafiber RainBarrier ci HC 140 / R 4.2-inch</v>
      </c>
      <c r="D238" s="17">
        <f>'USER INPUT SHEET'!$D$32</f>
        <v>0</v>
      </c>
      <c r="E238" s="18" t="str">
        <f>'USER INPUT SHEET'!$F$32</f>
        <v>m2</v>
      </c>
      <c r="F238" s="4">
        <v>1</v>
      </c>
      <c r="G238" s="674"/>
      <c r="H238" s="9"/>
      <c r="I238" s="95">
        <f t="shared" si="68"/>
        <v>0</v>
      </c>
      <c r="J238" s="96" t="str">
        <f t="shared" ref="J238" si="70">IF(H238=1,I238,"")</f>
        <v/>
      </c>
      <c r="K238" s="407">
        <f>$D238*($E$232/5.678)*$F238*VLOOKUP($C238,'Master sheet'!$A:$AL,13,FALSE)</f>
        <v>0</v>
      </c>
      <c r="L238" s="97">
        <f>$D238*($E$232/5.678)*$F238*VLOOKUP($C238,'Master sheet'!$A:$AL,27,FALSE)</f>
        <v>0</v>
      </c>
      <c r="M238" s="1552"/>
      <c r="N238" s="1552"/>
      <c r="O238" s="25" t="str">
        <f>_xlfn.IFNA(VLOOKUP($C238,'Master sheet'!$A:$AR,44,FALSE),"")&amp;""</f>
        <v/>
      </c>
      <c r="P238" s="637"/>
      <c r="Q238" s="728" t="s">
        <v>52</v>
      </c>
      <c r="R238" s="728" t="s">
        <v>924</v>
      </c>
      <c r="T238" s="638"/>
      <c r="U238" s="638"/>
      <c r="V238" s="638"/>
      <c r="W238" s="638"/>
      <c r="X238" s="638"/>
      <c r="Y238" s="638"/>
    </row>
    <row r="239" spans="1:25" s="624" customFormat="1" ht="31.2" x14ac:dyDescent="0.25">
      <c r="A239" s="744"/>
      <c r="B239" s="744"/>
      <c r="C239" s="673" t="str">
        <f>INDEX('Master sheet'!$A$1:$A$670,MATCH("A194",'Master sheet'!$AN$1:$AN$670,0))</f>
        <v>Mineral wool board / Owens Corning / Thermafiber RainBarrier ci HC 110 / R 4.3-inch</v>
      </c>
      <c r="D239" s="17">
        <f>'USER INPUT SHEET'!$D$32</f>
        <v>0</v>
      </c>
      <c r="E239" s="18" t="str">
        <f>'USER INPUT SHEET'!$F$32</f>
        <v>m2</v>
      </c>
      <c r="F239" s="4">
        <v>1</v>
      </c>
      <c r="G239" s="674"/>
      <c r="H239" s="9"/>
      <c r="I239" s="95">
        <f t="shared" si="68"/>
        <v>0</v>
      </c>
      <c r="J239" s="96" t="str">
        <f t="shared" si="69"/>
        <v/>
      </c>
      <c r="K239" s="407">
        <f>$D239*($E$232/5.678)*$F239*VLOOKUP($C239,'Master sheet'!$A:$AL,13,FALSE)</f>
        <v>0</v>
      </c>
      <c r="L239" s="97">
        <f>$D239*($E$232/5.678)*$F239*VLOOKUP($C239,'Master sheet'!$A:$AL,27,FALSE)</f>
        <v>0</v>
      </c>
      <c r="M239" s="1552"/>
      <c r="N239" s="1552"/>
      <c r="O239" s="25" t="str">
        <f>_xlfn.IFNA(VLOOKUP($C239,'Master sheet'!$A:$AR,44,FALSE),"")&amp;""</f>
        <v/>
      </c>
      <c r="P239" s="637"/>
      <c r="Q239" s="728" t="s">
        <v>52</v>
      </c>
      <c r="R239" s="728" t="s">
        <v>924</v>
      </c>
      <c r="T239" s="638"/>
      <c r="U239" s="638"/>
      <c r="V239" s="638"/>
      <c r="W239" s="638"/>
      <c r="X239" s="638"/>
      <c r="Y239" s="638"/>
    </row>
    <row r="240" spans="1:25" s="624" customFormat="1" ht="22.8" x14ac:dyDescent="0.25">
      <c r="A240" s="744"/>
      <c r="B240" s="744"/>
      <c r="C240" s="673" t="str">
        <f>INDEX('Master sheet'!$A$1:$A$670,MATCH("A198",'Master sheet'!$AN$1:$AN$670,0))</f>
        <v>Mineral wool board / Rockwool / Cavityrock / R 4.3-inch</v>
      </c>
      <c r="D240" s="17">
        <f>'USER INPUT SHEET'!$D$32</f>
        <v>0</v>
      </c>
      <c r="E240" s="18" t="str">
        <f>'USER INPUT SHEET'!$F$32</f>
        <v>m2</v>
      </c>
      <c r="F240" s="4">
        <v>1</v>
      </c>
      <c r="G240" s="674"/>
      <c r="H240" s="9"/>
      <c r="I240" s="95">
        <f t="shared" si="68"/>
        <v>0</v>
      </c>
      <c r="J240" s="96" t="str">
        <f t="shared" ref="J240" si="71">IF(H240=1,I240,"")</f>
        <v/>
      </c>
      <c r="K240" s="407">
        <f>$D240*($E$232/5.678)*$F240*VLOOKUP($C240,'Master sheet'!$A:$AL,13,FALSE)</f>
        <v>0</v>
      </c>
      <c r="L240" s="97">
        <f>$D240*($E$232/5.678)*$F240*VLOOKUP($C240,'Master sheet'!$A:$AL,27,FALSE)</f>
        <v>0</v>
      </c>
      <c r="M240" s="1552"/>
      <c r="N240" s="1552"/>
      <c r="O240" s="25" t="str">
        <f>_xlfn.IFNA(VLOOKUP($C240,'Master sheet'!$A:$AR,44,FALSE),"")&amp;""</f>
        <v/>
      </c>
      <c r="P240" s="637"/>
      <c r="Q240" s="728" t="s">
        <v>52</v>
      </c>
      <c r="R240" s="728" t="s">
        <v>924</v>
      </c>
      <c r="T240" s="638"/>
      <c r="U240" s="638"/>
      <c r="V240" s="638"/>
      <c r="W240" s="638"/>
      <c r="X240" s="638"/>
      <c r="Y240" s="638"/>
    </row>
    <row r="241" spans="1:25" s="624" customFormat="1" ht="23.25" customHeight="1" x14ac:dyDescent="0.25">
      <c r="A241" s="744"/>
      <c r="B241" s="744"/>
      <c r="C241" s="673" t="str">
        <f>INDEX('Master sheet'!$A$1:$A$670,MATCH("A199",'Master sheet'!$AN$1:$AN$670,0))</f>
        <v>Mineral wool board / Rockwool / Comfortboard 110 / R 4.0-inch</v>
      </c>
      <c r="D241" s="17">
        <f>'USER INPUT SHEET'!$D$32</f>
        <v>0</v>
      </c>
      <c r="E241" s="18" t="str">
        <f>'USER INPUT SHEET'!$F$32</f>
        <v>m2</v>
      </c>
      <c r="F241" s="4">
        <v>1</v>
      </c>
      <c r="G241" s="674"/>
      <c r="H241" s="9"/>
      <c r="I241" s="95">
        <f t="shared" si="68"/>
        <v>0</v>
      </c>
      <c r="J241" s="96" t="str">
        <f t="shared" si="69"/>
        <v/>
      </c>
      <c r="K241" s="407">
        <f>$D241*($E$232/5.678)*$F241*VLOOKUP($C241,'Master sheet'!$A:$AL,13,FALSE)</f>
        <v>0</v>
      </c>
      <c r="L241" s="97">
        <f>$D241*($E$232/5.678)*$F241*VLOOKUP($C241,'Master sheet'!$A:$AL,27,FALSE)</f>
        <v>0</v>
      </c>
      <c r="M241" s="1610"/>
      <c r="N241" s="1610"/>
      <c r="O241" s="25" t="str">
        <f>_xlfn.IFNA(VLOOKUP($C241,'Master sheet'!$A:$AR,44,FALSE),"")&amp;""</f>
        <v/>
      </c>
      <c r="P241" s="637"/>
      <c r="Q241" s="728" t="s">
        <v>52</v>
      </c>
      <c r="R241" s="728" t="s">
        <v>924</v>
      </c>
      <c r="T241" s="638"/>
      <c r="U241" s="638"/>
      <c r="V241" s="638"/>
      <c r="W241" s="638"/>
      <c r="X241" s="638"/>
      <c r="Y241" s="638"/>
    </row>
    <row r="242" spans="1:25" s="624" customFormat="1" ht="22.8" x14ac:dyDescent="0.25">
      <c r="A242" s="639"/>
      <c r="B242" s="1524" t="s">
        <v>4776</v>
      </c>
      <c r="C242" s="1523"/>
      <c r="D242" s="687" t="str">
        <f>IF(LOWER(Setting!rng_language)="english","R-VALUE:","VALEUR R :")</f>
        <v>R-VALUE:</v>
      </c>
      <c r="E242" s="1"/>
      <c r="F242" s="325"/>
      <c r="G242" s="678"/>
      <c r="H242" s="679"/>
      <c r="I242" s="642"/>
      <c r="J242" s="643"/>
      <c r="K242" s="676"/>
      <c r="L242" s="727"/>
      <c r="M242" s="727"/>
      <c r="N242" s="727"/>
      <c r="O242" s="25" t="str">
        <f>_xlfn.IFNA(VLOOKUP($C242,'Master sheet'!$A:$AR,44,FALSE),"")&amp;""</f>
        <v/>
      </c>
      <c r="P242" s="637"/>
      <c r="Q242" s="728"/>
      <c r="R242" s="728"/>
      <c r="T242" s="638"/>
      <c r="U242" s="638"/>
      <c r="V242" s="638"/>
      <c r="W242" s="638"/>
      <c r="X242" s="638"/>
      <c r="Y242" s="638"/>
    </row>
    <row r="243" spans="1:25" ht="35.4" customHeight="1" x14ac:dyDescent="0.25">
      <c r="A243" s="1576"/>
      <c r="B243" s="1576"/>
      <c r="C243" s="669" t="str">
        <f>INDEX('Master sheet'!$A$1:$A$670,MATCH("A148",'Master sheet'!$AN$1:$AN$670,0))</f>
        <v>Fiberglass board / NAIMA / Includes :  Johns Manville, Knauf, Owens Corning, CertainTeed / R-3.2/inch</v>
      </c>
      <c r="D243" s="15">
        <f>'USER INPUT SHEET'!$D$32</f>
        <v>0</v>
      </c>
      <c r="E243" s="16" t="str">
        <f>'USER INPUT SHEET'!$F$32</f>
        <v>m2</v>
      </c>
      <c r="F243" s="3">
        <v>1</v>
      </c>
      <c r="G243" s="670"/>
      <c r="H243" s="8"/>
      <c r="I243" s="92">
        <f>K243-L243</f>
        <v>0</v>
      </c>
      <c r="J243" s="93" t="str">
        <f t="shared" ref="J243" si="72">IF(H243=1,I243,"")</f>
        <v/>
      </c>
      <c r="K243" s="406">
        <f>$D243*($E$242/5.678)*$F243*VLOOKUP($C243,'Master sheet'!$A:$AL,13,FALSE)</f>
        <v>0</v>
      </c>
      <c r="L243" s="94">
        <f>$D243*($E$242/5.678)*$F243*VLOOKUP($C243,'Master sheet'!$A:$AL,27,FALSE)</f>
        <v>0</v>
      </c>
      <c r="M243" s="1552"/>
      <c r="N243" s="1552"/>
      <c r="O243" s="25" t="str">
        <f>_xlfn.IFNA(VLOOKUP($C243,'Master sheet'!$A:$AR,44,FALSE),"")&amp;""</f>
        <v/>
      </c>
      <c r="P243" s="637"/>
      <c r="Q243" s="757" t="s">
        <v>52</v>
      </c>
      <c r="R243" s="757" t="s">
        <v>924</v>
      </c>
      <c r="T243" s="664"/>
      <c r="U243" s="664"/>
      <c r="V243" s="664"/>
      <c r="W243" s="664"/>
      <c r="X243" s="664"/>
      <c r="Y243" s="664"/>
    </row>
    <row r="244" spans="1:25" s="624" customFormat="1" ht="22.8" x14ac:dyDescent="0.25">
      <c r="A244" s="639"/>
      <c r="B244" s="1524" t="s">
        <v>1027</v>
      </c>
      <c r="C244" s="1523"/>
      <c r="D244" s="687" t="str">
        <f>IF(LOWER(Setting!rng_language)="english","R-VALUE:","VALEUR R :")</f>
        <v>R-VALUE:</v>
      </c>
      <c r="E244" s="1"/>
      <c r="F244" s="320"/>
      <c r="G244" s="678"/>
      <c r="H244" s="641"/>
      <c r="I244" s="642"/>
      <c r="J244" s="643"/>
      <c r="K244" s="676"/>
      <c r="L244" s="677"/>
      <c r="M244" s="677"/>
      <c r="N244" s="677"/>
      <c r="O244" s="25" t="str">
        <f>_xlfn.IFNA(VLOOKUP($C244,'Master sheet'!$A:$AR,44,FALSE),"")&amp;""</f>
        <v/>
      </c>
      <c r="P244" s="637"/>
      <c r="Q244" s="722"/>
      <c r="R244" s="757" t="s">
        <v>924</v>
      </c>
      <c r="S244" s="638"/>
      <c r="T244" s="638"/>
      <c r="U244" s="638"/>
      <c r="V244" s="638"/>
      <c r="W244" s="638"/>
      <c r="X244" s="638"/>
      <c r="Y244" s="638"/>
    </row>
    <row r="245" spans="1:25" ht="35.4" customHeight="1" x14ac:dyDescent="0.25">
      <c r="A245" s="1601"/>
      <c r="B245" s="1601"/>
      <c r="C245" s="669" t="str">
        <f>INDEX('Master sheet'!$A$1:$A$670,MATCH("A21",'Master sheet'!$AN$1:$AN$670,0))</f>
        <v>Cork board insulation / Amorim  / Expanded Insulation Corkboard (ICB) / R3.6-inch, 115 kg/m3</v>
      </c>
      <c r="D245" s="15">
        <f>'USER INPUT SHEET'!$D$32</f>
        <v>0</v>
      </c>
      <c r="E245" s="16" t="str">
        <f>'USER INPUT SHEET'!$F$32</f>
        <v>m2</v>
      </c>
      <c r="F245" s="3">
        <v>1</v>
      </c>
      <c r="G245" s="670"/>
      <c r="H245" s="8"/>
      <c r="I245" s="92">
        <f>K245-L245</f>
        <v>0</v>
      </c>
      <c r="J245" s="93" t="str">
        <f t="shared" ref="J245" si="73">IF(H245=1,I245,"")</f>
        <v/>
      </c>
      <c r="K245" s="406">
        <f>$D245*($E$244/5.678)*$F245*VLOOKUP($C245,'Master sheet'!$A:$AL,13,FALSE)</f>
        <v>0</v>
      </c>
      <c r="L245" s="94">
        <f>$D245*($E$244/5.678)*$F245*VLOOKUP($C245,'Master sheet'!$A:$AL,27,FALSE)</f>
        <v>0</v>
      </c>
      <c r="M245" s="1552"/>
      <c r="N245" s="1552"/>
      <c r="O245" s="25" t="str">
        <f>_xlfn.IFNA(VLOOKUP($C245,'Master sheet'!$A:$AR,44,FALSE),"")&amp;""</f>
        <v/>
      </c>
      <c r="P245" s="637"/>
      <c r="Q245" s="757" t="s">
        <v>52</v>
      </c>
      <c r="R245" s="757" t="s">
        <v>924</v>
      </c>
      <c r="T245" s="664"/>
      <c r="U245" s="664"/>
      <c r="V245" s="664"/>
      <c r="W245" s="664"/>
      <c r="X245" s="664"/>
      <c r="Y245" s="664"/>
    </row>
    <row r="246" spans="1:25" ht="23.4" customHeight="1" x14ac:dyDescent="0.3">
      <c r="A246" s="700"/>
      <c r="B246" s="700"/>
      <c r="C246" s="700"/>
      <c r="D246" s="701"/>
      <c r="E246" s="700"/>
      <c r="F246" s="328"/>
      <c r="G246" s="700"/>
      <c r="H246" s="706"/>
      <c r="I246" s="704"/>
      <c r="J246" s="704"/>
      <c r="K246" s="704"/>
      <c r="L246" s="704"/>
      <c r="M246" s="704"/>
      <c r="N246" s="704"/>
      <c r="O246" s="685"/>
    </row>
    <row r="247" spans="1:25" ht="15.6" x14ac:dyDescent="0.3">
      <c r="A247" s="700"/>
      <c r="B247" s="706" t="s">
        <v>4901</v>
      </c>
      <c r="C247" s="700"/>
      <c r="D247" s="701"/>
      <c r="E247" s="700"/>
      <c r="F247" s="328"/>
      <c r="G247" s="700"/>
      <c r="H247" s="706"/>
      <c r="I247" s="704"/>
      <c r="J247" s="704"/>
      <c r="K247" s="704"/>
      <c r="L247" s="704"/>
      <c r="M247" s="704"/>
      <c r="N247" s="704"/>
      <c r="O247" s="685"/>
    </row>
    <row r="248" spans="1:25" ht="15.6" x14ac:dyDescent="0.3">
      <c r="A248" s="700"/>
      <c r="B248" s="706" t="s">
        <v>4900</v>
      </c>
      <c r="C248" s="700"/>
      <c r="D248" s="701"/>
      <c r="E248" s="700"/>
      <c r="F248" s="328"/>
      <c r="G248" s="700"/>
      <c r="H248" s="706"/>
      <c r="I248" s="704"/>
      <c r="J248" s="704"/>
      <c r="K248" s="704"/>
      <c r="L248" s="704"/>
      <c r="M248" s="704"/>
      <c r="N248" s="704"/>
      <c r="O248" s="685"/>
    </row>
    <row r="249" spans="1:25" ht="15.6" x14ac:dyDescent="0.3">
      <c r="A249" s="700"/>
      <c r="B249" s="700"/>
      <c r="C249" s="700"/>
      <c r="D249" s="701"/>
      <c r="E249" s="700"/>
      <c r="F249" s="328"/>
      <c r="G249" s="700"/>
      <c r="H249" s="706"/>
      <c r="I249" s="704"/>
      <c r="J249" s="704"/>
      <c r="K249" s="704"/>
      <c r="L249" s="704"/>
      <c r="M249" s="704"/>
      <c r="N249" s="704"/>
      <c r="O249" s="685"/>
    </row>
    <row r="250" spans="1:25" ht="15.6" x14ac:dyDescent="0.3">
      <c r="A250" s="700"/>
      <c r="B250" s="700"/>
      <c r="C250" s="700"/>
      <c r="D250" s="701"/>
      <c r="E250" s="700"/>
      <c r="F250" s="328"/>
      <c r="G250" s="700"/>
      <c r="H250" s="706"/>
      <c r="I250" s="704"/>
      <c r="J250" s="704"/>
      <c r="K250" s="704"/>
      <c r="L250" s="704"/>
      <c r="M250" s="704"/>
      <c r="N250" s="704"/>
      <c r="O250" s="685"/>
    </row>
    <row r="251" spans="1:25" ht="15.6" x14ac:dyDescent="0.3">
      <c r="A251" s="700"/>
      <c r="B251" s="700"/>
      <c r="C251" s="700"/>
      <c r="D251" s="701"/>
      <c r="E251" s="700"/>
      <c r="F251" s="328"/>
      <c r="G251" s="700"/>
      <c r="H251" s="706"/>
      <c r="I251" s="704"/>
      <c r="J251" s="704"/>
      <c r="K251" s="704"/>
      <c r="L251" s="704"/>
      <c r="M251" s="704"/>
      <c r="N251" s="704"/>
      <c r="O251" s="685"/>
    </row>
    <row r="252" spans="1:25" ht="15.6" x14ac:dyDescent="0.3">
      <c r="A252" s="700"/>
      <c r="B252" s="700"/>
      <c r="C252" s="700"/>
      <c r="D252" s="701"/>
      <c r="E252" s="700"/>
      <c r="F252" s="328"/>
      <c r="G252" s="700"/>
      <c r="H252" s="706"/>
      <c r="I252" s="704"/>
      <c r="J252" s="704"/>
      <c r="K252" s="704"/>
      <c r="L252" s="704"/>
      <c r="M252" s="704"/>
      <c r="N252" s="704"/>
      <c r="O252" s="685"/>
    </row>
    <row r="253" spans="1:25" ht="15.6" x14ac:dyDescent="0.3">
      <c r="A253" s="700"/>
      <c r="B253" s="700"/>
      <c r="C253" s="700"/>
      <c r="D253" s="701"/>
      <c r="E253" s="700"/>
      <c r="F253" s="328"/>
      <c r="G253" s="700"/>
      <c r="H253" s="706"/>
      <c r="I253" s="704"/>
      <c r="J253" s="704"/>
      <c r="K253" s="704"/>
      <c r="L253" s="704"/>
      <c r="M253" s="704"/>
      <c r="N253" s="704"/>
      <c r="O253" s="685"/>
    </row>
    <row r="254" spans="1:25" ht="15.6" x14ac:dyDescent="0.3">
      <c r="A254" s="700"/>
      <c r="B254" s="700"/>
      <c r="C254" s="700"/>
      <c r="D254" s="701"/>
      <c r="E254" s="700"/>
      <c r="F254" s="328"/>
      <c r="G254" s="700"/>
      <c r="H254" s="706"/>
      <c r="I254" s="704"/>
      <c r="J254" s="704"/>
      <c r="K254" s="704"/>
      <c r="L254" s="704"/>
      <c r="M254" s="704"/>
      <c r="N254" s="704"/>
      <c r="O254" s="685"/>
    </row>
    <row r="255" spans="1:25" ht="15.6" x14ac:dyDescent="0.3">
      <c r="A255" s="700"/>
      <c r="B255" s="700"/>
      <c r="C255" s="700"/>
      <c r="D255" s="701"/>
      <c r="E255" s="700"/>
      <c r="F255" s="328"/>
      <c r="G255" s="700"/>
      <c r="H255" s="706"/>
      <c r="I255" s="704"/>
      <c r="J255" s="704"/>
      <c r="K255" s="704"/>
      <c r="L255" s="704"/>
      <c r="M255" s="704"/>
      <c r="N255" s="704"/>
      <c r="O255" s="685"/>
    </row>
    <row r="256" spans="1:25" ht="15.6" x14ac:dyDescent="0.3">
      <c r="A256" s="700"/>
      <c r="B256" s="700"/>
      <c r="C256" s="700"/>
      <c r="D256" s="701"/>
      <c r="E256" s="700"/>
      <c r="F256" s="328"/>
      <c r="G256" s="700"/>
      <c r="H256" s="706"/>
      <c r="I256" s="704"/>
      <c r="J256" s="704"/>
      <c r="K256" s="704"/>
      <c r="L256" s="704"/>
      <c r="M256" s="704"/>
      <c r="N256" s="704"/>
      <c r="O256" s="685"/>
    </row>
    <row r="257" spans="1:15" ht="15.6" x14ac:dyDescent="0.3">
      <c r="A257" s="700"/>
      <c r="B257" s="700"/>
      <c r="C257" s="700"/>
      <c r="D257" s="701"/>
      <c r="E257" s="700"/>
      <c r="F257" s="328"/>
      <c r="G257" s="700"/>
      <c r="H257" s="706"/>
      <c r="I257" s="704"/>
      <c r="J257" s="704"/>
      <c r="K257" s="704"/>
      <c r="L257" s="704"/>
      <c r="M257" s="704"/>
      <c r="N257" s="704"/>
      <c r="O257" s="685"/>
    </row>
    <row r="258" spans="1:15" ht="15.6" x14ac:dyDescent="0.3">
      <c r="A258" s="700"/>
      <c r="B258" s="700"/>
      <c r="C258" s="700"/>
      <c r="D258" s="701"/>
      <c r="E258" s="700"/>
      <c r="F258" s="328"/>
      <c r="G258" s="700"/>
      <c r="H258" s="706"/>
      <c r="I258" s="704"/>
      <c r="J258" s="704"/>
      <c r="K258" s="704"/>
      <c r="L258" s="704"/>
      <c r="M258" s="704"/>
      <c r="N258" s="704"/>
      <c r="O258" s="685"/>
    </row>
    <row r="259" spans="1:15" ht="15.6" x14ac:dyDescent="0.3">
      <c r="A259" s="700"/>
      <c r="B259" s="700"/>
      <c r="C259" s="700"/>
      <c r="D259" s="701"/>
      <c r="E259" s="700"/>
      <c r="F259" s="328"/>
      <c r="G259" s="700"/>
      <c r="H259" s="706"/>
      <c r="I259" s="704"/>
      <c r="J259" s="704"/>
      <c r="K259" s="704"/>
      <c r="L259" s="704"/>
      <c r="M259" s="704"/>
      <c r="N259" s="704"/>
      <c r="O259" s="685"/>
    </row>
    <row r="260" spans="1:15" ht="15.6" x14ac:dyDescent="0.3">
      <c r="A260" s="700"/>
      <c r="B260" s="700"/>
      <c r="C260" s="700"/>
      <c r="D260" s="701"/>
      <c r="E260" s="700"/>
      <c r="F260" s="328"/>
      <c r="G260" s="700"/>
      <c r="H260" s="706"/>
      <c r="I260" s="704"/>
      <c r="J260" s="704"/>
      <c r="K260" s="704"/>
      <c r="L260" s="704"/>
      <c r="M260" s="704"/>
      <c r="N260" s="704"/>
      <c r="O260" s="685"/>
    </row>
    <row r="261" spans="1:15" ht="15.6" x14ac:dyDescent="0.3">
      <c r="A261" s="700"/>
      <c r="B261" s="700"/>
      <c r="C261" s="700"/>
      <c r="D261" s="701"/>
      <c r="E261" s="700"/>
      <c r="F261" s="328"/>
      <c r="G261" s="700"/>
      <c r="H261" s="706"/>
      <c r="I261" s="704"/>
      <c r="J261" s="704"/>
      <c r="K261" s="704"/>
      <c r="L261" s="704"/>
      <c r="M261" s="704"/>
      <c r="N261" s="704"/>
      <c r="O261" s="685"/>
    </row>
    <row r="262" spans="1:15" ht="15.6" x14ac:dyDescent="0.3">
      <c r="A262" s="700"/>
      <c r="B262" s="700"/>
      <c r="C262" s="700"/>
      <c r="D262" s="701"/>
      <c r="E262" s="700"/>
      <c r="F262" s="328"/>
      <c r="G262" s="700"/>
      <c r="H262" s="706"/>
      <c r="I262" s="704"/>
      <c r="J262" s="704"/>
      <c r="K262" s="704"/>
      <c r="L262" s="704"/>
      <c r="M262" s="704"/>
      <c r="N262" s="704"/>
      <c r="O262" s="685"/>
    </row>
    <row r="263" spans="1:15" ht="15.6" x14ac:dyDescent="0.3">
      <c r="A263" s="700"/>
      <c r="B263" s="700"/>
      <c r="C263" s="700"/>
      <c r="D263" s="701"/>
      <c r="E263" s="700"/>
      <c r="F263" s="328"/>
      <c r="G263" s="700"/>
      <c r="H263" s="706"/>
      <c r="I263" s="704"/>
      <c r="J263" s="704"/>
      <c r="K263" s="704"/>
      <c r="L263" s="704"/>
      <c r="M263" s="704"/>
      <c r="N263" s="704"/>
      <c r="O263" s="685"/>
    </row>
    <row r="264" spans="1:15" ht="15.6" x14ac:dyDescent="0.3">
      <c r="A264" s="700"/>
      <c r="B264" s="700"/>
      <c r="C264" s="700"/>
      <c r="D264" s="701"/>
      <c r="E264" s="700"/>
      <c r="F264" s="328"/>
      <c r="G264" s="700"/>
      <c r="H264" s="706"/>
      <c r="I264" s="704"/>
      <c r="J264" s="704"/>
      <c r="K264" s="704"/>
      <c r="L264" s="704"/>
      <c r="M264" s="704"/>
      <c r="N264" s="704"/>
      <c r="O264" s="685"/>
    </row>
    <row r="265" spans="1:15" ht="15.6" x14ac:dyDescent="0.3">
      <c r="A265" s="700"/>
      <c r="B265" s="700"/>
      <c r="C265" s="700"/>
      <c r="D265" s="701"/>
      <c r="E265" s="700"/>
      <c r="F265" s="328"/>
      <c r="G265" s="700"/>
      <c r="H265" s="706"/>
      <c r="I265" s="704"/>
      <c r="J265" s="704"/>
      <c r="K265" s="704"/>
      <c r="L265" s="704"/>
      <c r="M265" s="704"/>
      <c r="N265" s="704"/>
      <c r="O265" s="685"/>
    </row>
    <row r="266" spans="1:15" ht="15.6" x14ac:dyDescent="0.3">
      <c r="A266" s="700"/>
      <c r="B266" s="700"/>
      <c r="C266" s="700"/>
      <c r="D266" s="701"/>
      <c r="E266" s="700"/>
      <c r="F266" s="328"/>
      <c r="G266" s="700"/>
      <c r="H266" s="706"/>
      <c r="I266" s="704"/>
      <c r="J266" s="704"/>
      <c r="K266" s="704"/>
      <c r="L266" s="704"/>
      <c r="M266" s="704"/>
      <c r="N266" s="704"/>
      <c r="O266" s="685"/>
    </row>
    <row r="267" spans="1:15" ht="15.6" x14ac:dyDescent="0.3">
      <c r="A267" s="700"/>
      <c r="B267" s="700"/>
      <c r="C267" s="700"/>
      <c r="D267" s="701"/>
      <c r="E267" s="700"/>
      <c r="F267" s="328"/>
      <c r="G267" s="700"/>
      <c r="H267" s="706"/>
      <c r="I267" s="704"/>
      <c r="J267" s="704"/>
      <c r="K267" s="704"/>
      <c r="L267" s="704"/>
      <c r="M267" s="704"/>
      <c r="N267" s="704"/>
      <c r="O267" s="685"/>
    </row>
    <row r="268" spans="1:15" ht="15.6" x14ac:dyDescent="0.3">
      <c r="A268" s="700"/>
      <c r="B268" s="700"/>
      <c r="C268" s="700"/>
      <c r="D268" s="701"/>
      <c r="E268" s="700"/>
      <c r="F268" s="328"/>
      <c r="G268" s="700"/>
      <c r="H268" s="706"/>
      <c r="I268" s="704"/>
      <c r="J268" s="704"/>
      <c r="K268" s="704"/>
      <c r="L268" s="704"/>
      <c r="M268" s="704"/>
      <c r="N268" s="704"/>
      <c r="O268" s="685"/>
    </row>
    <row r="269" spans="1:15" ht="15.6" x14ac:dyDescent="0.3">
      <c r="A269" s="700"/>
      <c r="B269" s="700"/>
      <c r="C269" s="700"/>
      <c r="D269" s="701"/>
      <c r="E269" s="700"/>
      <c r="F269" s="328"/>
      <c r="G269" s="700"/>
      <c r="H269" s="706"/>
      <c r="I269" s="704"/>
      <c r="J269" s="704"/>
      <c r="K269" s="704"/>
      <c r="L269" s="704"/>
      <c r="M269" s="704"/>
      <c r="N269" s="704"/>
      <c r="O269" s="685"/>
    </row>
    <row r="270" spans="1:15" ht="15.6" x14ac:dyDescent="0.3">
      <c r="A270" s="700"/>
      <c r="B270" s="700"/>
      <c r="C270" s="700"/>
      <c r="D270" s="701"/>
      <c r="E270" s="700"/>
      <c r="F270" s="328"/>
      <c r="G270" s="700"/>
      <c r="H270" s="706"/>
      <c r="I270" s="704"/>
      <c r="J270" s="704"/>
      <c r="K270" s="704"/>
      <c r="L270" s="704"/>
      <c r="M270" s="704"/>
      <c r="N270" s="704"/>
      <c r="O270" s="685"/>
    </row>
    <row r="271" spans="1:15" ht="15.6" x14ac:dyDescent="0.3">
      <c r="A271" s="700"/>
      <c r="B271" s="700"/>
      <c r="C271" s="700"/>
      <c r="D271" s="701"/>
      <c r="E271" s="700"/>
      <c r="F271" s="328"/>
      <c r="G271" s="700"/>
      <c r="H271" s="706"/>
      <c r="I271" s="704"/>
      <c r="J271" s="704"/>
      <c r="K271" s="704"/>
      <c r="L271" s="704"/>
      <c r="M271" s="704"/>
      <c r="N271" s="704"/>
      <c r="O271" s="685"/>
    </row>
    <row r="272" spans="1:15" ht="15.6" x14ac:dyDescent="0.3">
      <c r="A272" s="700"/>
      <c r="B272" s="700"/>
      <c r="C272" s="700"/>
      <c r="D272" s="701"/>
      <c r="E272" s="700"/>
      <c r="F272" s="328"/>
      <c r="G272" s="700"/>
      <c r="H272" s="706"/>
      <c r="I272" s="704"/>
      <c r="J272" s="704"/>
      <c r="K272" s="704"/>
      <c r="L272" s="704"/>
      <c r="M272" s="704"/>
      <c r="N272" s="704"/>
      <c r="O272" s="685"/>
    </row>
    <row r="273" spans="1:15" ht="15.6" x14ac:dyDescent="0.3">
      <c r="A273" s="700"/>
      <c r="B273" s="700"/>
      <c r="C273" s="700"/>
      <c r="D273" s="701"/>
      <c r="E273" s="700"/>
      <c r="F273" s="328"/>
      <c r="G273" s="700"/>
      <c r="H273" s="706"/>
      <c r="I273" s="704"/>
      <c r="J273" s="704"/>
      <c r="K273" s="704"/>
      <c r="L273" s="704"/>
      <c r="M273" s="704"/>
      <c r="N273" s="704"/>
      <c r="O273" s="685"/>
    </row>
    <row r="274" spans="1:15" ht="15.6" x14ac:dyDescent="0.3">
      <c r="A274" s="700"/>
      <c r="B274" s="700"/>
      <c r="C274" s="700"/>
      <c r="D274" s="701"/>
      <c r="E274" s="700"/>
      <c r="F274" s="328"/>
      <c r="G274" s="700"/>
      <c r="H274" s="706"/>
      <c r="I274" s="704"/>
      <c r="J274" s="704"/>
      <c r="K274" s="704"/>
      <c r="L274" s="704"/>
      <c r="M274" s="704"/>
      <c r="N274" s="704"/>
      <c r="O274" s="685"/>
    </row>
    <row r="275" spans="1:15" ht="15.6" x14ac:dyDescent="0.3">
      <c r="A275" s="700"/>
      <c r="B275" s="700"/>
      <c r="C275" s="700"/>
      <c r="D275" s="701"/>
      <c r="E275" s="700"/>
      <c r="F275" s="328"/>
      <c r="G275" s="700"/>
      <c r="H275" s="706"/>
      <c r="I275" s="704"/>
      <c r="J275" s="704"/>
      <c r="K275" s="704"/>
      <c r="L275" s="704"/>
      <c r="M275" s="704"/>
      <c r="N275" s="704"/>
      <c r="O275" s="685"/>
    </row>
    <row r="276" spans="1:15" ht="15.6" x14ac:dyDescent="0.3">
      <c r="A276" s="700"/>
      <c r="B276" s="700"/>
      <c r="C276" s="700"/>
      <c r="D276" s="701"/>
      <c r="E276" s="700"/>
      <c r="F276" s="328"/>
      <c r="G276" s="700"/>
      <c r="H276" s="706"/>
      <c r="I276" s="704"/>
      <c r="J276" s="704"/>
      <c r="K276" s="704"/>
      <c r="L276" s="704"/>
      <c r="M276" s="704"/>
      <c r="N276" s="704"/>
      <c r="O276" s="685"/>
    </row>
    <row r="277" spans="1:15" ht="15.6" x14ac:dyDescent="0.3">
      <c r="A277" s="700"/>
      <c r="B277" s="700"/>
      <c r="C277" s="700"/>
      <c r="D277" s="701"/>
      <c r="E277" s="700"/>
      <c r="F277" s="328"/>
      <c r="G277" s="700"/>
      <c r="H277" s="706"/>
      <c r="I277" s="704"/>
      <c r="J277" s="704"/>
      <c r="K277" s="704"/>
      <c r="L277" s="704"/>
      <c r="M277" s="704"/>
      <c r="N277" s="704"/>
      <c r="O277" s="685"/>
    </row>
    <row r="278" spans="1:15" ht="15.6" x14ac:dyDescent="0.3">
      <c r="A278" s="700"/>
      <c r="B278" s="700"/>
      <c r="C278" s="700"/>
      <c r="D278" s="701"/>
      <c r="E278" s="700"/>
      <c r="F278" s="328"/>
      <c r="G278" s="700"/>
      <c r="H278" s="706"/>
      <c r="I278" s="704"/>
      <c r="J278" s="704"/>
      <c r="K278" s="704"/>
      <c r="L278" s="704"/>
      <c r="M278" s="704"/>
      <c r="N278" s="704"/>
      <c r="O278" s="685"/>
    </row>
    <row r="279" spans="1:15" ht="15.6" x14ac:dyDescent="0.3">
      <c r="A279" s="700"/>
      <c r="B279" s="700"/>
      <c r="C279" s="700"/>
      <c r="D279" s="701"/>
      <c r="E279" s="700"/>
      <c r="F279" s="328"/>
      <c r="G279" s="700"/>
      <c r="H279" s="706"/>
      <c r="I279" s="704"/>
      <c r="J279" s="704"/>
      <c r="K279" s="704"/>
      <c r="L279" s="704"/>
      <c r="M279" s="704"/>
      <c r="N279" s="704"/>
      <c r="O279" s="685"/>
    </row>
    <row r="280" spans="1:15" ht="15.6" x14ac:dyDescent="0.3">
      <c r="A280" s="700"/>
      <c r="B280" s="700"/>
      <c r="C280" s="700"/>
      <c r="D280" s="701"/>
      <c r="E280" s="700"/>
      <c r="F280" s="328"/>
      <c r="G280" s="700"/>
      <c r="H280" s="706"/>
      <c r="I280" s="704"/>
      <c r="J280" s="704"/>
      <c r="K280" s="704"/>
      <c r="L280" s="704"/>
      <c r="M280" s="704"/>
      <c r="N280" s="704"/>
      <c r="O280" s="685"/>
    </row>
    <row r="281" spans="1:15" ht="15.6" x14ac:dyDescent="0.3">
      <c r="A281" s="700"/>
      <c r="B281" s="700"/>
      <c r="C281" s="700"/>
      <c r="D281" s="701"/>
      <c r="E281" s="700"/>
      <c r="F281" s="328"/>
      <c r="G281" s="700"/>
      <c r="H281" s="706"/>
      <c r="I281" s="704"/>
      <c r="J281" s="704"/>
      <c r="K281" s="704"/>
      <c r="L281" s="704"/>
      <c r="M281" s="704"/>
      <c r="N281" s="704"/>
      <c r="O281" s="685"/>
    </row>
    <row r="282" spans="1:15" ht="15.6" x14ac:dyDescent="0.3">
      <c r="A282" s="700"/>
      <c r="B282" s="700"/>
      <c r="C282" s="700"/>
      <c r="D282" s="701"/>
      <c r="E282" s="700"/>
      <c r="F282" s="328"/>
      <c r="G282" s="700"/>
      <c r="H282" s="706"/>
      <c r="I282" s="704"/>
      <c r="J282" s="704"/>
      <c r="K282" s="704"/>
      <c r="L282" s="704"/>
      <c r="M282" s="704"/>
      <c r="N282" s="704"/>
      <c r="O282" s="685"/>
    </row>
    <row r="283" spans="1:15" ht="15.6" x14ac:dyDescent="0.3">
      <c r="A283" s="700"/>
      <c r="B283" s="700"/>
      <c r="C283" s="700"/>
      <c r="D283" s="701"/>
      <c r="E283" s="700"/>
      <c r="F283" s="328"/>
      <c r="G283" s="700"/>
      <c r="H283" s="706"/>
      <c r="I283" s="704"/>
      <c r="J283" s="704"/>
      <c r="K283" s="704"/>
      <c r="L283" s="704"/>
      <c r="M283" s="704"/>
      <c r="N283" s="704"/>
      <c r="O283" s="685"/>
    </row>
    <row r="284" spans="1:15" ht="15.6" x14ac:dyDescent="0.3">
      <c r="A284" s="700"/>
      <c r="B284" s="700"/>
      <c r="C284" s="700"/>
      <c r="D284" s="701"/>
      <c r="E284" s="700"/>
      <c r="F284" s="328"/>
      <c r="G284" s="700"/>
      <c r="H284" s="706"/>
      <c r="I284" s="704"/>
      <c r="J284" s="704"/>
      <c r="K284" s="704"/>
      <c r="L284" s="704"/>
      <c r="M284" s="704"/>
      <c r="N284" s="704"/>
      <c r="O284" s="685"/>
    </row>
    <row r="285" spans="1:15" ht="15.6" x14ac:dyDescent="0.3">
      <c r="A285" s="700"/>
      <c r="B285" s="700"/>
      <c r="C285" s="700"/>
      <c r="D285" s="701"/>
      <c r="E285" s="700"/>
      <c r="F285" s="328"/>
      <c r="G285" s="700"/>
      <c r="H285" s="706"/>
      <c r="I285" s="704"/>
      <c r="J285" s="704"/>
      <c r="K285" s="704"/>
      <c r="L285" s="704"/>
      <c r="M285" s="704"/>
      <c r="N285" s="704"/>
      <c r="O285" s="685"/>
    </row>
    <row r="286" spans="1:15" ht="15.6" x14ac:dyDescent="0.3">
      <c r="A286" s="700"/>
      <c r="B286" s="700"/>
      <c r="C286" s="700"/>
      <c r="D286" s="701"/>
      <c r="E286" s="700"/>
      <c r="F286" s="328"/>
      <c r="G286" s="700"/>
      <c r="H286" s="706"/>
      <c r="I286" s="704"/>
      <c r="J286" s="704"/>
      <c r="K286" s="704"/>
      <c r="L286" s="704"/>
      <c r="M286" s="704"/>
      <c r="N286" s="704"/>
      <c r="O286" s="685"/>
    </row>
    <row r="287" spans="1:15" ht="15.6" x14ac:dyDescent="0.3">
      <c r="A287" s="700"/>
      <c r="B287" s="700"/>
      <c r="C287" s="700"/>
      <c r="D287" s="701"/>
      <c r="E287" s="700"/>
      <c r="F287" s="328"/>
      <c r="G287" s="700"/>
      <c r="H287" s="706"/>
      <c r="I287" s="704"/>
      <c r="J287" s="704"/>
      <c r="K287" s="704"/>
      <c r="L287" s="704"/>
      <c r="M287" s="704"/>
      <c r="N287" s="704"/>
      <c r="O287" s="685"/>
    </row>
    <row r="288" spans="1:15" ht="15.6" x14ac:dyDescent="0.3">
      <c r="A288" s="700"/>
      <c r="B288" s="700"/>
      <c r="C288" s="700"/>
      <c r="D288" s="701"/>
      <c r="E288" s="700"/>
      <c r="F288" s="328"/>
      <c r="G288" s="700"/>
      <c r="H288" s="706"/>
      <c r="I288" s="704"/>
      <c r="J288" s="704"/>
      <c r="K288" s="704"/>
      <c r="L288" s="704"/>
      <c r="M288" s="704"/>
      <c r="N288" s="704"/>
      <c r="O288" s="685"/>
    </row>
    <row r="289" spans="1:15" ht="15.6" x14ac:dyDescent="0.3">
      <c r="A289" s="700"/>
      <c r="B289" s="700"/>
      <c r="C289" s="700"/>
      <c r="D289" s="701"/>
      <c r="E289" s="700"/>
      <c r="F289" s="328"/>
      <c r="G289" s="700"/>
      <c r="H289" s="706"/>
      <c r="I289" s="704"/>
      <c r="J289" s="704"/>
      <c r="K289" s="704"/>
      <c r="L289" s="704"/>
      <c r="M289" s="704"/>
      <c r="N289" s="704"/>
      <c r="O289" s="685"/>
    </row>
    <row r="290" spans="1:15" ht="15.6" x14ac:dyDescent="0.3">
      <c r="A290" s="700"/>
      <c r="B290" s="700"/>
      <c r="C290" s="700"/>
      <c r="D290" s="701"/>
      <c r="E290" s="700"/>
      <c r="F290" s="328"/>
      <c r="G290" s="700"/>
      <c r="H290" s="706"/>
      <c r="I290" s="704"/>
      <c r="J290" s="704"/>
      <c r="K290" s="704"/>
      <c r="L290" s="704"/>
      <c r="M290" s="704"/>
      <c r="N290" s="704"/>
      <c r="O290" s="685"/>
    </row>
    <row r="291" spans="1:15" ht="15.6" x14ac:dyDescent="0.3">
      <c r="A291" s="700"/>
      <c r="B291" s="700"/>
      <c r="C291" s="700"/>
      <c r="D291" s="701"/>
      <c r="E291" s="700"/>
      <c r="F291" s="328"/>
      <c r="G291" s="700"/>
      <c r="H291" s="706"/>
      <c r="I291" s="704"/>
      <c r="J291" s="704"/>
      <c r="K291" s="704"/>
      <c r="L291" s="704"/>
      <c r="M291" s="704"/>
      <c r="N291" s="704"/>
      <c r="O291" s="685"/>
    </row>
    <row r="292" spans="1:15" ht="15.6" x14ac:dyDescent="0.3">
      <c r="A292" s="700"/>
      <c r="B292" s="700"/>
      <c r="C292" s="700"/>
      <c r="D292" s="701"/>
      <c r="E292" s="700"/>
      <c r="F292" s="328"/>
      <c r="G292" s="700"/>
      <c r="H292" s="706"/>
      <c r="I292" s="704"/>
      <c r="J292" s="704"/>
      <c r="K292" s="704"/>
      <c r="L292" s="704"/>
      <c r="M292" s="704"/>
      <c r="N292" s="704"/>
      <c r="O292" s="685"/>
    </row>
    <row r="293" spans="1:15" ht="15.6" x14ac:dyDescent="0.3">
      <c r="A293" s="700"/>
      <c r="B293" s="700"/>
      <c r="C293" s="700"/>
      <c r="D293" s="701"/>
      <c r="E293" s="700"/>
      <c r="F293" s="328"/>
      <c r="G293" s="700"/>
      <c r="H293" s="706"/>
      <c r="I293" s="704"/>
      <c r="J293" s="704"/>
      <c r="K293" s="704"/>
      <c r="L293" s="704"/>
      <c r="M293" s="704"/>
      <c r="N293" s="704"/>
      <c r="O293" s="685"/>
    </row>
    <row r="294" spans="1:15" ht="15.6" x14ac:dyDescent="0.3">
      <c r="A294" s="700"/>
      <c r="B294" s="700"/>
      <c r="C294" s="700"/>
      <c r="D294" s="701"/>
      <c r="E294" s="700"/>
      <c r="F294" s="328"/>
      <c r="G294" s="700"/>
      <c r="H294" s="706"/>
      <c r="I294" s="704"/>
      <c r="J294" s="704"/>
      <c r="K294" s="704"/>
      <c r="L294" s="704"/>
      <c r="M294" s="704"/>
      <c r="N294" s="704"/>
      <c r="O294" s="685"/>
    </row>
    <row r="295" spans="1:15" ht="15.6" x14ac:dyDescent="0.3">
      <c r="A295" s="700"/>
      <c r="B295" s="700"/>
      <c r="C295" s="700"/>
      <c r="D295" s="701"/>
      <c r="E295" s="700"/>
      <c r="F295" s="328"/>
      <c r="G295" s="700"/>
      <c r="H295" s="706"/>
      <c r="I295" s="704"/>
      <c r="J295" s="704"/>
      <c r="K295" s="704"/>
      <c r="L295" s="704"/>
      <c r="M295" s="704"/>
      <c r="N295" s="704"/>
      <c r="O295" s="685"/>
    </row>
    <row r="296" spans="1:15" ht="15.6" x14ac:dyDescent="0.3">
      <c r="A296" s="700"/>
      <c r="B296" s="700"/>
      <c r="C296" s="700"/>
      <c r="D296" s="701"/>
      <c r="E296" s="700"/>
      <c r="F296" s="328"/>
      <c r="G296" s="700"/>
      <c r="H296" s="706"/>
      <c r="I296" s="704"/>
      <c r="J296" s="704"/>
      <c r="K296" s="704"/>
      <c r="L296" s="704"/>
      <c r="M296" s="704"/>
      <c r="N296" s="704"/>
      <c r="O296" s="685"/>
    </row>
    <row r="297" spans="1:15" ht="15.6" x14ac:dyDescent="0.3">
      <c r="A297" s="700"/>
      <c r="B297" s="700"/>
      <c r="C297" s="700"/>
      <c r="D297" s="701"/>
      <c r="E297" s="700"/>
      <c r="F297" s="328"/>
      <c r="G297" s="700"/>
      <c r="H297" s="706"/>
      <c r="I297" s="704"/>
      <c r="J297" s="704"/>
      <c r="K297" s="704"/>
      <c r="L297" s="704"/>
      <c r="M297" s="704"/>
      <c r="N297" s="704"/>
      <c r="O297" s="685"/>
    </row>
    <row r="298" spans="1:15" ht="15.6" x14ac:dyDescent="0.3">
      <c r="A298" s="700"/>
      <c r="B298" s="700"/>
      <c r="C298" s="700"/>
      <c r="D298" s="701"/>
      <c r="E298" s="700"/>
      <c r="F298" s="328"/>
      <c r="G298" s="700"/>
      <c r="H298" s="706"/>
      <c r="I298" s="704"/>
      <c r="J298" s="704"/>
      <c r="K298" s="704"/>
      <c r="L298" s="704"/>
      <c r="M298" s="704"/>
      <c r="N298" s="704"/>
      <c r="O298" s="685"/>
    </row>
    <row r="299" spans="1:15" ht="15.6" x14ac:dyDescent="0.3">
      <c r="A299" s="700"/>
      <c r="B299" s="700"/>
      <c r="C299" s="700"/>
      <c r="D299" s="701"/>
      <c r="E299" s="700"/>
      <c r="F299" s="328"/>
      <c r="G299" s="700"/>
      <c r="H299" s="706"/>
      <c r="I299" s="704"/>
      <c r="J299" s="704"/>
      <c r="K299" s="704"/>
      <c r="L299" s="704"/>
      <c r="M299" s="704"/>
      <c r="N299" s="704"/>
      <c r="O299" s="685"/>
    </row>
    <row r="300" spans="1:15" ht="15.6" x14ac:dyDescent="0.3">
      <c r="A300" s="700"/>
      <c r="B300" s="700"/>
      <c r="C300" s="700"/>
      <c r="D300" s="701"/>
      <c r="E300" s="700"/>
      <c r="F300" s="328"/>
      <c r="G300" s="700"/>
      <c r="H300" s="706"/>
      <c r="I300" s="704"/>
      <c r="J300" s="704"/>
      <c r="K300" s="704"/>
      <c r="L300" s="704"/>
      <c r="M300" s="704"/>
      <c r="N300" s="704"/>
      <c r="O300" s="685"/>
    </row>
    <row r="301" spans="1:15" ht="15.6" x14ac:dyDescent="0.3">
      <c r="A301" s="700"/>
      <c r="B301" s="700"/>
      <c r="C301" s="700"/>
      <c r="D301" s="701"/>
      <c r="E301" s="700"/>
      <c r="F301" s="328"/>
      <c r="G301" s="700"/>
      <c r="H301" s="706"/>
      <c r="I301" s="704"/>
      <c r="J301" s="704"/>
      <c r="K301" s="704"/>
      <c r="L301" s="704"/>
      <c r="M301" s="704"/>
      <c r="N301" s="704"/>
      <c r="O301" s="685"/>
    </row>
    <row r="302" spans="1:15" ht="15.6" x14ac:dyDescent="0.3">
      <c r="A302" s="700"/>
      <c r="B302" s="700"/>
      <c r="C302" s="700"/>
      <c r="D302" s="701"/>
      <c r="E302" s="700"/>
      <c r="F302" s="328"/>
      <c r="G302" s="700"/>
      <c r="H302" s="706"/>
      <c r="I302" s="704"/>
      <c r="J302" s="704"/>
      <c r="K302" s="704"/>
      <c r="L302" s="704"/>
      <c r="M302" s="704"/>
      <c r="N302" s="704"/>
      <c r="O302" s="685"/>
    </row>
    <row r="303" spans="1:15" ht="15.6" x14ac:dyDescent="0.3">
      <c r="A303" s="700"/>
      <c r="B303" s="700"/>
      <c r="C303" s="700"/>
      <c r="D303" s="701"/>
      <c r="E303" s="700"/>
      <c r="F303" s="328"/>
      <c r="G303" s="700"/>
      <c r="H303" s="706"/>
      <c r="I303" s="704"/>
      <c r="J303" s="704"/>
      <c r="K303" s="704"/>
      <c r="L303" s="704"/>
      <c r="M303" s="704"/>
      <c r="N303" s="704"/>
      <c r="O303" s="685"/>
    </row>
    <row r="304" spans="1:15" ht="15.6" x14ac:dyDescent="0.3">
      <c r="A304" s="700"/>
      <c r="B304" s="700"/>
      <c r="C304" s="700"/>
      <c r="D304" s="701"/>
      <c r="E304" s="700"/>
      <c r="F304" s="328"/>
      <c r="G304" s="700"/>
      <c r="H304" s="706"/>
      <c r="I304" s="704"/>
      <c r="J304" s="704"/>
      <c r="K304" s="704"/>
      <c r="L304" s="704"/>
      <c r="M304" s="704"/>
      <c r="N304" s="704"/>
      <c r="O304" s="685"/>
    </row>
    <row r="305" spans="1:15" ht="15.6" x14ac:dyDescent="0.3">
      <c r="A305" s="700"/>
      <c r="B305" s="700"/>
      <c r="C305" s="700"/>
      <c r="D305" s="701"/>
      <c r="E305" s="700"/>
      <c r="F305" s="328"/>
      <c r="G305" s="700"/>
      <c r="H305" s="706"/>
      <c r="I305" s="704"/>
      <c r="J305" s="704"/>
      <c r="K305" s="704"/>
      <c r="L305" s="704"/>
      <c r="M305" s="704"/>
      <c r="N305" s="704"/>
      <c r="O305" s="685"/>
    </row>
    <row r="306" spans="1:15" ht="15.6" x14ac:dyDescent="0.3">
      <c r="A306" s="700"/>
      <c r="B306" s="700"/>
      <c r="C306" s="700"/>
      <c r="D306" s="701"/>
      <c r="E306" s="700"/>
      <c r="F306" s="328"/>
      <c r="G306" s="700"/>
      <c r="H306" s="706"/>
      <c r="I306" s="704"/>
      <c r="J306" s="704"/>
      <c r="K306" s="704"/>
      <c r="L306" s="704"/>
      <c r="M306" s="704"/>
      <c r="N306" s="704"/>
      <c r="O306" s="685"/>
    </row>
    <row r="307" spans="1:15" ht="15.6" x14ac:dyDescent="0.3">
      <c r="A307" s="700"/>
      <c r="B307" s="700"/>
      <c r="C307" s="700"/>
      <c r="D307" s="701"/>
      <c r="E307" s="700"/>
      <c r="F307" s="328"/>
      <c r="G307" s="700"/>
      <c r="H307" s="706"/>
      <c r="I307" s="704"/>
      <c r="J307" s="704"/>
      <c r="K307" s="704"/>
      <c r="L307" s="704"/>
      <c r="M307" s="704"/>
      <c r="N307" s="704"/>
      <c r="O307" s="685"/>
    </row>
    <row r="308" spans="1:15" ht="15.6" x14ac:dyDescent="0.3">
      <c r="A308" s="700"/>
      <c r="B308" s="700"/>
      <c r="C308" s="700"/>
      <c r="D308" s="701"/>
      <c r="E308" s="700"/>
      <c r="F308" s="328"/>
      <c r="G308" s="700"/>
      <c r="H308" s="706"/>
      <c r="I308" s="704"/>
      <c r="J308" s="704"/>
      <c r="K308" s="704"/>
      <c r="L308" s="704"/>
      <c r="M308" s="704"/>
      <c r="N308" s="704"/>
      <c r="O308" s="685"/>
    </row>
    <row r="309" spans="1:15" ht="15.6" x14ac:dyDescent="0.3">
      <c r="A309" s="700"/>
      <c r="B309" s="700"/>
      <c r="C309" s="700"/>
      <c r="D309" s="701"/>
      <c r="E309" s="700"/>
      <c r="F309" s="328"/>
      <c r="G309" s="700"/>
      <c r="H309" s="706"/>
      <c r="I309" s="704"/>
      <c r="J309" s="704"/>
      <c r="K309" s="704"/>
      <c r="L309" s="704"/>
      <c r="M309" s="704"/>
      <c r="N309" s="704"/>
      <c r="O309" s="685"/>
    </row>
    <row r="310" spans="1:15" ht="15.6" x14ac:dyDescent="0.3">
      <c r="A310" s="700"/>
      <c r="B310" s="700"/>
      <c r="C310" s="700"/>
      <c r="D310" s="701"/>
      <c r="E310" s="700"/>
      <c r="F310" s="328"/>
      <c r="G310" s="700"/>
      <c r="H310" s="706"/>
      <c r="I310" s="704"/>
      <c r="J310" s="704"/>
      <c r="K310" s="704"/>
      <c r="L310" s="704"/>
      <c r="M310" s="704"/>
      <c r="N310" s="704"/>
      <c r="O310" s="685"/>
    </row>
    <row r="311" spans="1:15" ht="15.6" x14ac:dyDescent="0.3">
      <c r="A311" s="700"/>
      <c r="B311" s="700"/>
      <c r="C311" s="700"/>
      <c r="D311" s="701"/>
      <c r="E311" s="700"/>
      <c r="F311" s="328"/>
      <c r="G311" s="700"/>
      <c r="H311" s="706"/>
      <c r="I311" s="704"/>
      <c r="J311" s="704"/>
      <c r="K311" s="704"/>
      <c r="L311" s="704"/>
      <c r="M311" s="704"/>
      <c r="N311" s="704"/>
      <c r="O311" s="685"/>
    </row>
    <row r="312" spans="1:15" ht="15.6" x14ac:dyDescent="0.3">
      <c r="A312" s="700"/>
      <c r="B312" s="700"/>
      <c r="C312" s="700"/>
      <c r="D312" s="701"/>
      <c r="E312" s="700"/>
      <c r="F312" s="328"/>
      <c r="G312" s="700"/>
      <c r="H312" s="706"/>
      <c r="I312" s="704"/>
      <c r="J312" s="704"/>
      <c r="K312" s="704"/>
      <c r="L312" s="704"/>
      <c r="M312" s="704"/>
      <c r="N312" s="704"/>
      <c r="O312" s="685"/>
    </row>
    <row r="313" spans="1:15" ht="15.6" x14ac:dyDescent="0.3">
      <c r="A313" s="700"/>
      <c r="B313" s="700"/>
      <c r="C313" s="700"/>
      <c r="D313" s="701"/>
      <c r="E313" s="700"/>
      <c r="F313" s="328"/>
      <c r="G313" s="700"/>
      <c r="H313" s="706"/>
      <c r="I313" s="704"/>
      <c r="J313" s="704"/>
      <c r="K313" s="704"/>
      <c r="L313" s="704"/>
      <c r="M313" s="704"/>
      <c r="N313" s="704"/>
      <c r="O313" s="685"/>
    </row>
    <row r="314" spans="1:15" ht="15.6" x14ac:dyDescent="0.3">
      <c r="A314" s="700"/>
      <c r="B314" s="700"/>
      <c r="C314" s="700"/>
      <c r="D314" s="701"/>
      <c r="E314" s="700"/>
      <c r="F314" s="328"/>
      <c r="G314" s="700"/>
      <c r="H314" s="706"/>
      <c r="I314" s="704"/>
      <c r="J314" s="704"/>
      <c r="K314" s="704"/>
      <c r="L314" s="704"/>
      <c r="M314" s="704"/>
      <c r="N314" s="704"/>
      <c r="O314" s="685"/>
    </row>
    <row r="315" spans="1:15" ht="15.6" x14ac:dyDescent="0.3">
      <c r="A315" s="700"/>
      <c r="B315" s="700"/>
      <c r="C315" s="700"/>
      <c r="D315" s="701"/>
      <c r="E315" s="700"/>
      <c r="F315" s="328"/>
      <c r="G315" s="700"/>
      <c r="H315" s="706"/>
      <c r="I315" s="704"/>
      <c r="J315" s="704"/>
      <c r="K315" s="704"/>
      <c r="L315" s="704"/>
      <c r="M315" s="704"/>
      <c r="N315" s="704"/>
      <c r="O315" s="685"/>
    </row>
    <row r="316" spans="1:15" ht="15.6" x14ac:dyDescent="0.3">
      <c r="A316" s="700"/>
      <c r="B316" s="700"/>
      <c r="C316" s="700"/>
      <c r="D316" s="701"/>
      <c r="E316" s="700"/>
      <c r="F316" s="328"/>
      <c r="G316" s="700"/>
      <c r="H316" s="706"/>
      <c r="I316" s="704"/>
      <c r="J316" s="704"/>
      <c r="K316" s="704"/>
      <c r="L316" s="704"/>
      <c r="M316" s="704"/>
      <c r="N316" s="704"/>
      <c r="O316" s="685"/>
    </row>
    <row r="317" spans="1:15" ht="15.6" x14ac:dyDescent="0.3">
      <c r="A317" s="700"/>
      <c r="B317" s="700"/>
      <c r="C317" s="700"/>
      <c r="D317" s="701"/>
      <c r="E317" s="700"/>
      <c r="F317" s="328"/>
      <c r="G317" s="700"/>
      <c r="H317" s="706"/>
      <c r="I317" s="704"/>
      <c r="J317" s="704"/>
      <c r="K317" s="704"/>
      <c r="L317" s="704"/>
      <c r="M317" s="704"/>
      <c r="N317" s="704"/>
      <c r="O317" s="685"/>
    </row>
    <row r="318" spans="1:15" ht="15.6" x14ac:dyDescent="0.3">
      <c r="A318" s="700"/>
      <c r="B318" s="700"/>
      <c r="C318" s="700"/>
      <c r="D318" s="701"/>
      <c r="E318" s="700"/>
      <c r="F318" s="328"/>
      <c r="G318" s="700"/>
      <c r="H318" s="706"/>
      <c r="I318" s="704"/>
      <c r="J318" s="704"/>
      <c r="K318" s="704"/>
      <c r="L318" s="704"/>
      <c r="M318" s="704"/>
      <c r="N318" s="704"/>
      <c r="O318" s="685"/>
    </row>
    <row r="319" spans="1:15" ht="15.6" x14ac:dyDescent="0.3">
      <c r="A319" s="700"/>
      <c r="B319" s="700"/>
      <c r="C319" s="700"/>
      <c r="D319" s="701"/>
      <c r="E319" s="700"/>
      <c r="F319" s="328"/>
      <c r="G319" s="700"/>
      <c r="H319" s="706"/>
      <c r="I319" s="704"/>
      <c r="J319" s="704"/>
      <c r="K319" s="704"/>
      <c r="L319" s="704"/>
      <c r="M319" s="704"/>
      <c r="N319" s="704"/>
      <c r="O319" s="685"/>
    </row>
    <row r="320" spans="1:15" ht="15.6" x14ac:dyDescent="0.3">
      <c r="A320" s="700"/>
      <c r="B320" s="700"/>
      <c r="C320" s="700"/>
      <c r="D320" s="701"/>
      <c r="E320" s="700"/>
      <c r="F320" s="328"/>
      <c r="G320" s="700"/>
      <c r="H320" s="706"/>
      <c r="I320" s="704"/>
      <c r="J320" s="704"/>
      <c r="K320" s="704"/>
      <c r="L320" s="704"/>
      <c r="M320" s="704"/>
      <c r="N320" s="704"/>
      <c r="O320" s="685"/>
    </row>
    <row r="321" spans="1:15" ht="15.6" x14ac:dyDescent="0.3">
      <c r="A321" s="700"/>
      <c r="B321" s="700"/>
      <c r="C321" s="700"/>
      <c r="D321" s="701"/>
      <c r="E321" s="700"/>
      <c r="F321" s="328"/>
      <c r="G321" s="700"/>
      <c r="H321" s="706"/>
      <c r="I321" s="704"/>
      <c r="J321" s="704"/>
      <c r="K321" s="704"/>
      <c r="L321" s="704"/>
      <c r="M321" s="704"/>
      <c r="N321" s="704"/>
      <c r="O321" s="685"/>
    </row>
    <row r="322" spans="1:15" ht="15.6" x14ac:dyDescent="0.3">
      <c r="A322" s="700"/>
      <c r="B322" s="700"/>
      <c r="C322" s="700"/>
      <c r="D322" s="701"/>
      <c r="E322" s="700"/>
      <c r="F322" s="328"/>
      <c r="G322" s="700"/>
      <c r="H322" s="706"/>
      <c r="I322" s="704"/>
      <c r="J322" s="704"/>
      <c r="K322" s="704"/>
      <c r="L322" s="704"/>
      <c r="M322" s="704"/>
      <c r="N322" s="704"/>
      <c r="O322" s="685"/>
    </row>
    <row r="323" spans="1:15" ht="15.6" x14ac:dyDescent="0.3">
      <c r="A323" s="700"/>
      <c r="B323" s="700"/>
      <c r="C323" s="700"/>
      <c r="D323" s="701"/>
      <c r="E323" s="700"/>
      <c r="F323" s="328"/>
      <c r="G323" s="700"/>
      <c r="H323" s="706"/>
      <c r="I323" s="704"/>
      <c r="J323" s="704"/>
      <c r="K323" s="704"/>
      <c r="L323" s="704"/>
      <c r="M323" s="704"/>
      <c r="N323" s="704"/>
      <c r="O323" s="685"/>
    </row>
    <row r="324" spans="1:15" ht="15.6" x14ac:dyDescent="0.3">
      <c r="A324" s="700"/>
      <c r="B324" s="700"/>
      <c r="C324" s="700"/>
      <c r="D324" s="701"/>
      <c r="E324" s="700"/>
      <c r="F324" s="328"/>
      <c r="G324" s="700"/>
      <c r="H324" s="706"/>
      <c r="I324" s="704"/>
      <c r="J324" s="704"/>
      <c r="K324" s="704"/>
      <c r="L324" s="704"/>
      <c r="M324" s="704"/>
      <c r="N324" s="704"/>
      <c r="O324" s="685"/>
    </row>
    <row r="325" spans="1:15" ht="15.6" x14ac:dyDescent="0.3">
      <c r="A325" s="700"/>
      <c r="B325" s="700"/>
      <c r="C325" s="700"/>
      <c r="D325" s="701"/>
      <c r="E325" s="700"/>
      <c r="F325" s="328"/>
      <c r="G325" s="700"/>
      <c r="H325" s="706"/>
      <c r="I325" s="704"/>
      <c r="J325" s="704"/>
      <c r="K325" s="704"/>
      <c r="L325" s="704"/>
      <c r="M325" s="704"/>
      <c r="N325" s="704"/>
      <c r="O325" s="685"/>
    </row>
    <row r="326" spans="1:15" ht="15.6" x14ac:dyDescent="0.3">
      <c r="A326" s="700"/>
      <c r="B326" s="700"/>
      <c r="C326" s="700"/>
      <c r="D326" s="701"/>
      <c r="E326" s="700"/>
      <c r="F326" s="328"/>
      <c r="G326" s="700"/>
      <c r="H326" s="706"/>
      <c r="I326" s="704"/>
      <c r="J326" s="704"/>
      <c r="K326" s="704"/>
      <c r="L326" s="704"/>
      <c r="M326" s="704"/>
      <c r="N326" s="704"/>
      <c r="O326" s="685"/>
    </row>
    <row r="327" spans="1:15" ht="15.6" x14ac:dyDescent="0.3">
      <c r="A327" s="700"/>
      <c r="B327" s="700"/>
      <c r="C327" s="700"/>
      <c r="D327" s="701"/>
      <c r="E327" s="700"/>
      <c r="F327" s="328"/>
      <c r="G327" s="700"/>
      <c r="H327" s="706"/>
      <c r="I327" s="704"/>
      <c r="J327" s="704"/>
      <c r="K327" s="704"/>
      <c r="L327" s="704"/>
      <c r="M327" s="704"/>
      <c r="N327" s="704"/>
      <c r="O327" s="685"/>
    </row>
    <row r="328" spans="1:15" ht="15.6" x14ac:dyDescent="0.3">
      <c r="A328" s="700"/>
      <c r="B328" s="700"/>
      <c r="C328" s="700"/>
      <c r="D328" s="701"/>
      <c r="E328" s="700"/>
      <c r="F328" s="328"/>
      <c r="G328" s="700"/>
      <c r="H328" s="706"/>
      <c r="I328" s="704"/>
      <c r="J328" s="704"/>
      <c r="K328" s="704"/>
      <c r="L328" s="704"/>
      <c r="M328" s="704"/>
      <c r="N328" s="704"/>
      <c r="O328" s="685"/>
    </row>
    <row r="329" spans="1:15" ht="15.6" x14ac:dyDescent="0.3">
      <c r="A329" s="700"/>
      <c r="B329" s="700"/>
      <c r="C329" s="700"/>
      <c r="D329" s="701"/>
      <c r="E329" s="700"/>
      <c r="F329" s="328"/>
      <c r="G329" s="700"/>
      <c r="H329" s="706"/>
      <c r="I329" s="704"/>
      <c r="J329" s="704"/>
      <c r="K329" s="704"/>
      <c r="L329" s="704"/>
      <c r="M329" s="704"/>
      <c r="N329" s="704"/>
      <c r="O329" s="685"/>
    </row>
    <row r="330" spans="1:15" ht="15.6" x14ac:dyDescent="0.3">
      <c r="A330" s="700"/>
      <c r="B330" s="700"/>
      <c r="C330" s="700"/>
      <c r="D330" s="701"/>
      <c r="E330" s="700"/>
      <c r="F330" s="328"/>
      <c r="G330" s="700"/>
      <c r="H330" s="706"/>
      <c r="I330" s="704"/>
      <c r="J330" s="704"/>
      <c r="K330" s="704"/>
      <c r="L330" s="704"/>
      <c r="M330" s="704"/>
      <c r="N330" s="704"/>
      <c r="O330" s="685"/>
    </row>
    <row r="331" spans="1:15" ht="15.6" x14ac:dyDescent="0.3">
      <c r="A331" s="700"/>
      <c r="B331" s="700"/>
      <c r="C331" s="700"/>
      <c r="D331" s="701"/>
      <c r="E331" s="700"/>
      <c r="F331" s="328"/>
      <c r="G331" s="700"/>
      <c r="H331" s="706"/>
      <c r="I331" s="704"/>
      <c r="J331" s="704"/>
      <c r="K331" s="704"/>
      <c r="L331" s="704"/>
      <c r="M331" s="704"/>
      <c r="N331" s="704"/>
      <c r="O331" s="685"/>
    </row>
    <row r="332" spans="1:15" ht="15.6" x14ac:dyDescent="0.3">
      <c r="A332" s="700"/>
      <c r="B332" s="700"/>
      <c r="C332" s="700"/>
      <c r="D332" s="701"/>
      <c r="E332" s="700"/>
      <c r="F332" s="328"/>
      <c r="G332" s="700"/>
      <c r="H332" s="706"/>
      <c r="I332" s="704"/>
      <c r="J332" s="704"/>
      <c r="K332" s="704"/>
      <c r="L332" s="704"/>
      <c r="M332" s="704"/>
      <c r="N332" s="704"/>
      <c r="O332" s="685"/>
    </row>
    <row r="333" spans="1:15" ht="15.6" x14ac:dyDescent="0.3">
      <c r="A333" s="700"/>
      <c r="B333" s="700"/>
      <c r="C333" s="700"/>
      <c r="D333" s="701"/>
      <c r="E333" s="700"/>
      <c r="F333" s="328"/>
      <c r="G333" s="700"/>
      <c r="H333" s="706"/>
      <c r="I333" s="704"/>
      <c r="J333" s="704"/>
      <c r="K333" s="704"/>
      <c r="L333" s="704"/>
      <c r="M333" s="704"/>
      <c r="N333" s="704"/>
      <c r="O333" s="685"/>
    </row>
    <row r="334" spans="1:15" ht="15.6" x14ac:dyDescent="0.3">
      <c r="A334" s="700"/>
      <c r="B334" s="700"/>
      <c r="C334" s="700"/>
      <c r="D334" s="701"/>
      <c r="E334" s="700"/>
      <c r="F334" s="328"/>
      <c r="G334" s="700"/>
      <c r="H334" s="706"/>
      <c r="I334" s="704"/>
      <c r="J334" s="704"/>
      <c r="K334" s="704"/>
      <c r="L334" s="704"/>
      <c r="M334" s="704"/>
      <c r="N334" s="704"/>
      <c r="O334" s="685"/>
    </row>
    <row r="335" spans="1:15" ht="15.6" x14ac:dyDescent="0.3">
      <c r="A335" s="700"/>
      <c r="B335" s="700"/>
      <c r="C335" s="700"/>
      <c r="D335" s="701"/>
      <c r="E335" s="700"/>
      <c r="F335" s="328"/>
      <c r="G335" s="700"/>
      <c r="H335" s="706"/>
      <c r="I335" s="704"/>
      <c r="J335" s="704"/>
      <c r="K335" s="704"/>
      <c r="L335" s="704"/>
      <c r="M335" s="704"/>
      <c r="N335" s="704"/>
      <c r="O335" s="685"/>
    </row>
    <row r="336" spans="1:15" ht="15.6" x14ac:dyDescent="0.3">
      <c r="A336" s="700"/>
      <c r="B336" s="700"/>
      <c r="C336" s="700"/>
      <c r="D336" s="701"/>
      <c r="E336" s="700"/>
      <c r="F336" s="328"/>
      <c r="G336" s="700"/>
      <c r="H336" s="706"/>
      <c r="I336" s="704"/>
      <c r="J336" s="704"/>
      <c r="K336" s="704"/>
      <c r="L336" s="704"/>
      <c r="M336" s="704"/>
      <c r="N336" s="704"/>
      <c r="O336" s="685"/>
    </row>
    <row r="337" spans="1:15" ht="15.6" x14ac:dyDescent="0.3">
      <c r="A337" s="700"/>
      <c r="B337" s="700"/>
      <c r="C337" s="700"/>
      <c r="D337" s="701"/>
      <c r="E337" s="700"/>
      <c r="F337" s="328"/>
      <c r="G337" s="700"/>
      <c r="H337" s="706"/>
      <c r="I337" s="704"/>
      <c r="J337" s="704"/>
      <c r="K337" s="704"/>
      <c r="L337" s="704"/>
      <c r="M337" s="704"/>
      <c r="N337" s="704"/>
      <c r="O337" s="685"/>
    </row>
    <row r="338" spans="1:15" ht="15.6" x14ac:dyDescent="0.3">
      <c r="A338" s="700"/>
      <c r="B338" s="700"/>
      <c r="C338" s="700"/>
      <c r="D338" s="701"/>
      <c r="E338" s="700"/>
      <c r="F338" s="328"/>
      <c r="G338" s="700"/>
      <c r="H338" s="706"/>
      <c r="I338" s="704"/>
      <c r="J338" s="704"/>
      <c r="K338" s="704"/>
      <c r="L338" s="704"/>
      <c r="M338" s="704"/>
      <c r="N338" s="704"/>
      <c r="O338" s="685"/>
    </row>
    <row r="339" spans="1:15" ht="15.6" x14ac:dyDescent="0.3">
      <c r="A339" s="700"/>
      <c r="B339" s="700"/>
      <c r="C339" s="700"/>
      <c r="D339" s="701"/>
      <c r="E339" s="700"/>
      <c r="F339" s="328"/>
      <c r="G339" s="700"/>
      <c r="H339" s="706"/>
      <c r="I339" s="704"/>
      <c r="J339" s="704"/>
      <c r="K339" s="704"/>
      <c r="L339" s="704"/>
      <c r="M339" s="704"/>
      <c r="N339" s="704"/>
      <c r="O339" s="685"/>
    </row>
    <row r="340" spans="1:15" ht="15.6" x14ac:dyDescent="0.3">
      <c r="A340" s="700"/>
      <c r="B340" s="700"/>
      <c r="C340" s="700"/>
      <c r="D340" s="701"/>
      <c r="E340" s="700"/>
      <c r="F340" s="328"/>
      <c r="G340" s="700"/>
      <c r="H340" s="706"/>
      <c r="I340" s="704"/>
      <c r="J340" s="704"/>
      <c r="K340" s="704"/>
      <c r="L340" s="704"/>
      <c r="M340" s="704"/>
      <c r="N340" s="704"/>
      <c r="O340" s="685"/>
    </row>
    <row r="341" spans="1:15" ht="15.6" x14ac:dyDescent="0.3">
      <c r="A341" s="700"/>
      <c r="B341" s="700"/>
      <c r="C341" s="700"/>
      <c r="D341" s="701"/>
      <c r="E341" s="700"/>
      <c r="F341" s="328"/>
      <c r="G341" s="700"/>
      <c r="H341" s="706"/>
      <c r="I341" s="704"/>
      <c r="J341" s="704"/>
      <c r="K341" s="704"/>
      <c r="L341" s="704"/>
      <c r="M341" s="704"/>
      <c r="N341" s="704"/>
      <c r="O341" s="685"/>
    </row>
    <row r="342" spans="1:15" ht="15.6" x14ac:dyDescent="0.3">
      <c r="A342" s="700"/>
      <c r="B342" s="700"/>
      <c r="C342" s="700"/>
      <c r="D342" s="701"/>
      <c r="E342" s="700"/>
      <c r="F342" s="328"/>
      <c r="G342" s="700"/>
      <c r="H342" s="706"/>
      <c r="I342" s="704"/>
      <c r="J342" s="704"/>
      <c r="K342" s="704"/>
      <c r="L342" s="704"/>
      <c r="M342" s="704"/>
      <c r="N342" s="704"/>
      <c r="O342" s="685"/>
    </row>
    <row r="343" spans="1:15" ht="15.6" x14ac:dyDescent="0.3">
      <c r="A343" s="700"/>
      <c r="B343" s="700"/>
      <c r="C343" s="700"/>
      <c r="D343" s="701"/>
      <c r="E343" s="700"/>
      <c r="F343" s="328"/>
      <c r="G343" s="700"/>
      <c r="H343" s="706"/>
      <c r="I343" s="704"/>
      <c r="J343" s="704"/>
      <c r="K343" s="704"/>
      <c r="L343" s="704"/>
      <c r="M343" s="704"/>
      <c r="N343" s="704"/>
      <c r="O343" s="685"/>
    </row>
    <row r="344" spans="1:15" ht="15.6" x14ac:dyDescent="0.3">
      <c r="A344" s="700"/>
      <c r="B344" s="700"/>
      <c r="C344" s="700"/>
      <c r="D344" s="701"/>
      <c r="E344" s="700"/>
      <c r="F344" s="328"/>
      <c r="G344" s="700"/>
      <c r="H344" s="706"/>
      <c r="I344" s="704"/>
      <c r="J344" s="704"/>
      <c r="K344" s="704"/>
      <c r="L344" s="704"/>
      <c r="M344" s="704"/>
      <c r="N344" s="704"/>
      <c r="O344" s="685"/>
    </row>
    <row r="345" spans="1:15" ht="15.6" x14ac:dyDescent="0.3">
      <c r="A345" s="700"/>
      <c r="B345" s="700"/>
      <c r="C345" s="700"/>
      <c r="D345" s="701"/>
      <c r="E345" s="700"/>
      <c r="F345" s="328"/>
      <c r="G345" s="700"/>
      <c r="H345" s="706"/>
      <c r="I345" s="704"/>
      <c r="J345" s="704"/>
      <c r="K345" s="704"/>
      <c r="L345" s="704"/>
      <c r="M345" s="704"/>
      <c r="N345" s="704"/>
      <c r="O345" s="685"/>
    </row>
    <row r="346" spans="1:15" ht="15.6" x14ac:dyDescent="0.3">
      <c r="A346" s="700"/>
      <c r="B346" s="700"/>
      <c r="C346" s="700"/>
      <c r="D346" s="701"/>
      <c r="E346" s="700"/>
      <c r="F346" s="328"/>
      <c r="G346" s="700"/>
      <c r="H346" s="706"/>
      <c r="I346" s="704"/>
      <c r="J346" s="704"/>
      <c r="K346" s="704"/>
      <c r="L346" s="704"/>
      <c r="M346" s="704"/>
      <c r="N346" s="704"/>
      <c r="O346" s="685"/>
    </row>
    <row r="347" spans="1:15" ht="15.6" x14ac:dyDescent="0.3">
      <c r="A347" s="700"/>
      <c r="B347" s="700"/>
      <c r="C347" s="700"/>
      <c r="D347" s="701"/>
      <c r="E347" s="700"/>
      <c r="F347" s="328"/>
      <c r="G347" s="700"/>
      <c r="H347" s="706"/>
      <c r="I347" s="704"/>
      <c r="J347" s="704"/>
      <c r="K347" s="704"/>
      <c r="L347" s="704"/>
      <c r="M347" s="704"/>
      <c r="N347" s="704"/>
      <c r="O347" s="685"/>
    </row>
    <row r="348" spans="1:15" ht="15.6" x14ac:dyDescent="0.3">
      <c r="A348" s="700"/>
      <c r="B348" s="700"/>
      <c r="C348" s="700"/>
      <c r="D348" s="701"/>
      <c r="E348" s="700"/>
      <c r="F348" s="328"/>
      <c r="G348" s="700"/>
      <c r="H348" s="706"/>
      <c r="I348" s="704"/>
      <c r="J348" s="704"/>
      <c r="K348" s="704"/>
      <c r="L348" s="704"/>
      <c r="M348" s="704"/>
      <c r="N348" s="704"/>
      <c r="O348" s="685"/>
    </row>
    <row r="349" spans="1:15" ht="15.6" x14ac:dyDescent="0.3">
      <c r="A349" s="700"/>
      <c r="B349" s="700"/>
      <c r="C349" s="700"/>
      <c r="D349" s="701"/>
      <c r="E349" s="700"/>
      <c r="F349" s="328"/>
      <c r="G349" s="700"/>
      <c r="H349" s="706"/>
      <c r="I349" s="704"/>
      <c r="J349" s="704"/>
      <c r="K349" s="704"/>
      <c r="L349" s="704"/>
      <c r="M349" s="704"/>
      <c r="N349" s="704"/>
      <c r="O349" s="685"/>
    </row>
    <row r="350" spans="1:15" ht="15.6" x14ac:dyDescent="0.3">
      <c r="A350" s="700"/>
      <c r="B350" s="700"/>
      <c r="C350" s="700"/>
      <c r="D350" s="701"/>
      <c r="E350" s="700"/>
      <c r="F350" s="328"/>
      <c r="G350" s="700"/>
      <c r="H350" s="706"/>
      <c r="I350" s="704"/>
      <c r="J350" s="704"/>
      <c r="K350" s="704"/>
      <c r="L350" s="704"/>
      <c r="M350" s="704"/>
      <c r="N350" s="704"/>
      <c r="O350" s="685"/>
    </row>
    <row r="351" spans="1:15" ht="15.6" x14ac:dyDescent="0.3">
      <c r="A351" s="700"/>
      <c r="B351" s="700"/>
      <c r="C351" s="700"/>
      <c r="D351" s="701"/>
      <c r="E351" s="700"/>
      <c r="F351" s="328"/>
      <c r="G351" s="700"/>
      <c r="H351" s="706"/>
      <c r="I351" s="704"/>
      <c r="J351" s="704"/>
      <c r="K351" s="704"/>
      <c r="L351" s="704"/>
      <c r="M351" s="704"/>
      <c r="N351" s="704"/>
      <c r="O351" s="685"/>
    </row>
    <row r="352" spans="1:15" ht="15.6" x14ac:dyDescent="0.3">
      <c r="A352" s="700"/>
      <c r="B352" s="700"/>
      <c r="C352" s="700"/>
      <c r="D352" s="701"/>
      <c r="E352" s="700"/>
      <c r="F352" s="328"/>
      <c r="G352" s="700"/>
      <c r="H352" s="706"/>
      <c r="I352" s="704"/>
      <c r="J352" s="704"/>
      <c r="K352" s="704"/>
      <c r="L352" s="704"/>
      <c r="M352" s="704"/>
      <c r="N352" s="704"/>
      <c r="O352" s="685"/>
    </row>
    <row r="353" spans="1:15" ht="15.6" x14ac:dyDescent="0.3">
      <c r="A353" s="700"/>
      <c r="B353" s="700"/>
      <c r="C353" s="700"/>
      <c r="D353" s="701"/>
      <c r="E353" s="700"/>
      <c r="F353" s="328"/>
      <c r="G353" s="700"/>
      <c r="H353" s="706"/>
      <c r="I353" s="704"/>
      <c r="J353" s="704"/>
      <c r="K353" s="704"/>
      <c r="L353" s="704"/>
      <c r="M353" s="704"/>
      <c r="N353" s="704"/>
      <c r="O353" s="685"/>
    </row>
    <row r="354" spans="1:15" ht="15.6" x14ac:dyDescent="0.3">
      <c r="A354" s="700"/>
      <c r="B354" s="700"/>
      <c r="C354" s="700"/>
      <c r="D354" s="701"/>
      <c r="E354" s="700"/>
      <c r="F354" s="328"/>
      <c r="G354" s="700"/>
      <c r="H354" s="706"/>
      <c r="I354" s="704"/>
      <c r="J354" s="704"/>
      <c r="K354" s="704"/>
      <c r="L354" s="704"/>
      <c r="M354" s="704"/>
      <c r="N354" s="704"/>
      <c r="O354" s="685"/>
    </row>
    <row r="355" spans="1:15" ht="15.6" x14ac:dyDescent="0.3">
      <c r="A355" s="700"/>
      <c r="B355" s="700"/>
      <c r="C355" s="700"/>
      <c r="D355" s="701"/>
      <c r="E355" s="700"/>
      <c r="F355" s="328"/>
      <c r="G355" s="700"/>
      <c r="H355" s="706"/>
      <c r="I355" s="704"/>
      <c r="J355" s="704"/>
      <c r="K355" s="704"/>
      <c r="L355" s="704"/>
      <c r="M355" s="704"/>
      <c r="N355" s="704"/>
      <c r="O355" s="685"/>
    </row>
    <row r="356" spans="1:15" ht="15.6" x14ac:dyDescent="0.3">
      <c r="A356" s="700"/>
      <c r="B356" s="700"/>
      <c r="C356" s="700"/>
      <c r="D356" s="701"/>
      <c r="E356" s="700"/>
      <c r="F356" s="328"/>
      <c r="G356" s="700"/>
      <c r="H356" s="706"/>
      <c r="I356" s="704"/>
      <c r="J356" s="704"/>
      <c r="K356" s="704"/>
      <c r="L356" s="704"/>
      <c r="M356" s="704"/>
      <c r="N356" s="704"/>
      <c r="O356" s="685"/>
    </row>
    <row r="357" spans="1:15" ht="15.6" x14ac:dyDescent="0.3">
      <c r="A357" s="700"/>
      <c r="B357" s="700"/>
      <c r="C357" s="700"/>
      <c r="D357" s="701"/>
      <c r="E357" s="700"/>
      <c r="F357" s="328"/>
      <c r="G357" s="700"/>
      <c r="H357" s="706"/>
      <c r="I357" s="704"/>
      <c r="J357" s="704"/>
      <c r="K357" s="704"/>
      <c r="L357" s="704"/>
      <c r="M357" s="704"/>
      <c r="N357" s="704"/>
      <c r="O357" s="685"/>
    </row>
    <row r="358" spans="1:15" ht="15.6" x14ac:dyDescent="0.3">
      <c r="A358" s="700"/>
      <c r="B358" s="700"/>
      <c r="C358" s="700"/>
      <c r="D358" s="701"/>
      <c r="E358" s="700"/>
      <c r="F358" s="328"/>
      <c r="G358" s="700"/>
      <c r="H358" s="706"/>
      <c r="I358" s="704"/>
      <c r="J358" s="704"/>
      <c r="K358" s="704"/>
      <c r="L358" s="704"/>
      <c r="M358" s="704"/>
      <c r="N358" s="704"/>
      <c r="O358" s="685"/>
    </row>
    <row r="359" spans="1:15" ht="15.6" x14ac:dyDescent="0.3">
      <c r="A359" s="700"/>
      <c r="B359" s="700"/>
      <c r="C359" s="700"/>
      <c r="D359" s="701"/>
      <c r="E359" s="700"/>
      <c r="F359" s="328"/>
      <c r="G359" s="700"/>
      <c r="H359" s="706"/>
      <c r="I359" s="704"/>
      <c r="J359" s="704"/>
      <c r="K359" s="704"/>
      <c r="L359" s="704"/>
      <c r="M359" s="704"/>
      <c r="N359" s="704"/>
      <c r="O359" s="685"/>
    </row>
    <row r="360" spans="1:15" ht="15.6" x14ac:dyDescent="0.3">
      <c r="A360" s="700"/>
      <c r="B360" s="700"/>
      <c r="C360" s="700"/>
      <c r="D360" s="701"/>
      <c r="E360" s="700"/>
      <c r="F360" s="328"/>
      <c r="G360" s="700"/>
      <c r="H360" s="706"/>
      <c r="I360" s="704"/>
      <c r="J360" s="704"/>
      <c r="K360" s="704"/>
      <c r="L360" s="704"/>
      <c r="M360" s="704"/>
      <c r="N360" s="704"/>
      <c r="O360" s="685"/>
    </row>
    <row r="361" spans="1:15" ht="15.6" x14ac:dyDescent="0.3">
      <c r="A361" s="700"/>
      <c r="B361" s="700"/>
      <c r="C361" s="700"/>
      <c r="D361" s="701"/>
      <c r="E361" s="700"/>
      <c r="F361" s="328"/>
      <c r="G361" s="700"/>
      <c r="H361" s="706"/>
      <c r="I361" s="704"/>
      <c r="J361" s="704"/>
      <c r="K361" s="704"/>
      <c r="L361" s="704"/>
      <c r="M361" s="704"/>
      <c r="N361" s="704"/>
      <c r="O361" s="685"/>
    </row>
    <row r="362" spans="1:15" ht="15.6" x14ac:dyDescent="0.3">
      <c r="A362" s="700"/>
      <c r="B362" s="700"/>
      <c r="C362" s="700"/>
      <c r="D362" s="701"/>
      <c r="E362" s="700"/>
      <c r="F362" s="328"/>
      <c r="G362" s="700"/>
      <c r="H362" s="706"/>
      <c r="I362" s="704"/>
      <c r="J362" s="704"/>
      <c r="K362" s="704"/>
      <c r="L362" s="704"/>
      <c r="M362" s="704"/>
      <c r="N362" s="704"/>
      <c r="O362" s="685"/>
    </row>
    <row r="363" spans="1:15" ht="15.6" x14ac:dyDescent="0.3">
      <c r="A363" s="700"/>
      <c r="B363" s="700"/>
      <c r="C363" s="700"/>
      <c r="D363" s="701"/>
      <c r="E363" s="700"/>
      <c r="F363" s="328"/>
      <c r="G363" s="700"/>
      <c r="H363" s="706"/>
      <c r="I363" s="704"/>
      <c r="J363" s="704"/>
      <c r="K363" s="704"/>
      <c r="L363" s="704"/>
      <c r="M363" s="704"/>
      <c r="N363" s="704"/>
      <c r="O363" s="685"/>
    </row>
    <row r="364" spans="1:15" ht="15.6" x14ac:dyDescent="0.3">
      <c r="A364" s="700"/>
      <c r="B364" s="700"/>
      <c r="C364" s="700"/>
      <c r="D364" s="701"/>
      <c r="E364" s="700"/>
      <c r="F364" s="328"/>
      <c r="G364" s="700"/>
      <c r="H364" s="706"/>
      <c r="I364" s="704"/>
      <c r="J364" s="704"/>
      <c r="K364" s="704"/>
      <c r="L364" s="704"/>
      <c r="M364" s="704"/>
      <c r="N364" s="704"/>
      <c r="O364" s="685"/>
    </row>
    <row r="365" spans="1:15" ht="15.6" x14ac:dyDescent="0.3">
      <c r="A365" s="700"/>
      <c r="B365" s="700"/>
      <c r="C365" s="700"/>
      <c r="D365" s="701"/>
      <c r="E365" s="700"/>
      <c r="F365" s="328"/>
      <c r="G365" s="700"/>
      <c r="H365" s="706"/>
      <c r="I365" s="704"/>
      <c r="J365" s="704"/>
      <c r="K365" s="704"/>
      <c r="L365" s="704"/>
      <c r="M365" s="704"/>
      <c r="N365" s="704"/>
      <c r="O365" s="685"/>
    </row>
    <row r="366" spans="1:15" ht="15.6" x14ac:dyDescent="0.3">
      <c r="A366" s="700"/>
      <c r="B366" s="700"/>
      <c r="C366" s="700"/>
      <c r="D366" s="701"/>
      <c r="E366" s="700"/>
      <c r="F366" s="328"/>
      <c r="G366" s="700"/>
      <c r="H366" s="706"/>
      <c r="I366" s="704"/>
      <c r="J366" s="704"/>
      <c r="K366" s="704"/>
      <c r="L366" s="704"/>
      <c r="M366" s="704"/>
      <c r="N366" s="704"/>
      <c r="O366" s="685"/>
    </row>
    <row r="367" spans="1:15" ht="15.6" x14ac:dyDescent="0.3">
      <c r="A367" s="700"/>
      <c r="B367" s="700"/>
      <c r="C367" s="700"/>
      <c r="D367" s="701"/>
      <c r="E367" s="700"/>
      <c r="F367" s="328"/>
      <c r="G367" s="700"/>
      <c r="H367" s="706"/>
      <c r="I367" s="704"/>
      <c r="J367" s="704"/>
      <c r="K367" s="704"/>
      <c r="L367" s="704"/>
      <c r="M367" s="704"/>
      <c r="N367" s="704"/>
      <c r="O367" s="685"/>
    </row>
    <row r="368" spans="1:15" ht="15.6" x14ac:dyDescent="0.3">
      <c r="A368" s="700"/>
      <c r="B368" s="700"/>
      <c r="C368" s="700"/>
      <c r="D368" s="701"/>
      <c r="E368" s="700"/>
      <c r="F368" s="328"/>
      <c r="G368" s="700"/>
      <c r="H368" s="706"/>
      <c r="I368" s="704"/>
      <c r="J368" s="704"/>
      <c r="K368" s="704"/>
      <c r="L368" s="704"/>
      <c r="M368" s="704"/>
      <c r="N368" s="704"/>
      <c r="O368" s="685"/>
    </row>
    <row r="369" spans="1:15" ht="15.6" x14ac:dyDescent="0.3">
      <c r="A369" s="700"/>
      <c r="B369" s="700"/>
      <c r="C369" s="700"/>
      <c r="D369" s="701"/>
      <c r="E369" s="700"/>
      <c r="F369" s="328"/>
      <c r="G369" s="700"/>
      <c r="H369" s="706"/>
      <c r="I369" s="704"/>
      <c r="J369" s="704"/>
      <c r="K369" s="704"/>
      <c r="L369" s="704"/>
      <c r="M369" s="704"/>
      <c r="N369" s="704"/>
      <c r="O369" s="685"/>
    </row>
    <row r="370" spans="1:15" ht="15.6" x14ac:dyDescent="0.3">
      <c r="A370" s="700"/>
      <c r="B370" s="700"/>
      <c r="C370" s="700"/>
      <c r="D370" s="701"/>
      <c r="E370" s="700"/>
      <c r="F370" s="328"/>
      <c r="G370" s="700"/>
      <c r="H370" s="706"/>
      <c r="I370" s="704"/>
      <c r="J370" s="704"/>
      <c r="K370" s="704"/>
      <c r="L370" s="704"/>
      <c r="M370" s="704"/>
      <c r="N370" s="704"/>
      <c r="O370" s="685"/>
    </row>
    <row r="371" spans="1:15" ht="15.6" x14ac:dyDescent="0.3">
      <c r="A371" s="700"/>
      <c r="B371" s="700"/>
      <c r="C371" s="700"/>
      <c r="D371" s="701"/>
      <c r="E371" s="700"/>
      <c r="F371" s="328"/>
      <c r="G371" s="700"/>
      <c r="H371" s="706"/>
      <c r="I371" s="704"/>
      <c r="J371" s="704"/>
      <c r="K371" s="704"/>
      <c r="L371" s="704"/>
      <c r="M371" s="704"/>
      <c r="N371" s="704"/>
      <c r="O371" s="685"/>
    </row>
    <row r="372" spans="1:15" ht="15.6" x14ac:dyDescent="0.3">
      <c r="A372" s="700"/>
      <c r="B372" s="700"/>
      <c r="C372" s="700"/>
      <c r="D372" s="701"/>
      <c r="E372" s="700"/>
      <c r="F372" s="328"/>
      <c r="G372" s="700"/>
      <c r="H372" s="706"/>
      <c r="I372" s="704"/>
      <c r="J372" s="704"/>
      <c r="K372" s="704"/>
      <c r="L372" s="704"/>
      <c r="M372" s="704"/>
      <c r="N372" s="704"/>
      <c r="O372" s="685"/>
    </row>
    <row r="373" spans="1:15" ht="15.6" x14ac:dyDescent="0.3">
      <c r="A373" s="700"/>
      <c r="B373" s="700"/>
      <c r="C373" s="700"/>
      <c r="D373" s="701"/>
      <c r="E373" s="700"/>
      <c r="F373" s="328"/>
      <c r="G373" s="700"/>
      <c r="H373" s="706"/>
      <c r="I373" s="704"/>
      <c r="J373" s="704"/>
      <c r="K373" s="704"/>
      <c r="L373" s="704"/>
      <c r="M373" s="704"/>
      <c r="N373" s="704"/>
      <c r="O373" s="685"/>
    </row>
    <row r="374" spans="1:15" ht="15.6" x14ac:dyDescent="0.3">
      <c r="A374" s="700"/>
      <c r="B374" s="700"/>
      <c r="C374" s="700"/>
      <c r="D374" s="701"/>
      <c r="E374" s="700"/>
      <c r="F374" s="328"/>
      <c r="G374" s="700"/>
      <c r="H374" s="706"/>
      <c r="I374" s="704"/>
      <c r="J374" s="704"/>
      <c r="K374" s="704"/>
      <c r="L374" s="704"/>
      <c r="M374" s="704"/>
      <c r="N374" s="704"/>
      <c r="O374" s="685"/>
    </row>
    <row r="375" spans="1:15" ht="15.6" x14ac:dyDescent="0.3">
      <c r="A375" s="700"/>
      <c r="B375" s="700"/>
      <c r="C375" s="700"/>
      <c r="D375" s="701"/>
      <c r="E375" s="700"/>
      <c r="F375" s="328"/>
      <c r="G375" s="700"/>
      <c r="H375" s="706"/>
      <c r="I375" s="704"/>
      <c r="J375" s="704"/>
      <c r="K375" s="704"/>
      <c r="L375" s="704"/>
      <c r="M375" s="704"/>
      <c r="N375" s="704"/>
      <c r="O375" s="685"/>
    </row>
    <row r="376" spans="1:15" ht="15.6" x14ac:dyDescent="0.3">
      <c r="A376" s="700"/>
      <c r="B376" s="700"/>
      <c r="C376" s="700"/>
      <c r="D376" s="701"/>
      <c r="E376" s="700"/>
      <c r="F376" s="328"/>
      <c r="G376" s="700"/>
      <c r="H376" s="706"/>
      <c r="I376" s="704"/>
      <c r="J376" s="704"/>
      <c r="K376" s="704"/>
      <c r="L376" s="704"/>
      <c r="M376" s="704"/>
      <c r="N376" s="704"/>
      <c r="O376" s="685"/>
    </row>
    <row r="377" spans="1:15" ht="15.6" x14ac:dyDescent="0.3">
      <c r="A377" s="700"/>
      <c r="B377" s="700"/>
      <c r="C377" s="700"/>
      <c r="D377" s="701"/>
      <c r="E377" s="700"/>
      <c r="F377" s="328"/>
      <c r="G377" s="700"/>
      <c r="H377" s="706"/>
      <c r="I377" s="704"/>
      <c r="J377" s="704"/>
      <c r="K377" s="704"/>
      <c r="L377" s="704"/>
      <c r="M377" s="704"/>
      <c r="N377" s="704"/>
      <c r="O377" s="685"/>
    </row>
    <row r="378" spans="1:15" ht="15.6" x14ac:dyDescent="0.3">
      <c r="A378" s="700"/>
      <c r="B378" s="700"/>
      <c r="C378" s="700"/>
      <c r="D378" s="701"/>
      <c r="E378" s="700"/>
      <c r="F378" s="328"/>
      <c r="G378" s="700"/>
      <c r="H378" s="706"/>
      <c r="I378" s="704"/>
      <c r="J378" s="704"/>
      <c r="K378" s="704"/>
      <c r="L378" s="704"/>
      <c r="M378" s="704"/>
      <c r="N378" s="704"/>
      <c r="O378" s="685"/>
    </row>
    <row r="379" spans="1:15" ht="15.6" x14ac:dyDescent="0.3">
      <c r="A379" s="700"/>
      <c r="B379" s="700"/>
      <c r="C379" s="700"/>
      <c r="D379" s="701"/>
      <c r="E379" s="700"/>
      <c r="F379" s="328"/>
      <c r="G379" s="700"/>
      <c r="H379" s="706"/>
      <c r="I379" s="704"/>
      <c r="J379" s="704"/>
      <c r="K379" s="704"/>
      <c r="L379" s="704"/>
      <c r="M379" s="704"/>
      <c r="N379" s="704"/>
      <c r="O379" s="685"/>
    </row>
    <row r="380" spans="1:15" ht="15.6" x14ac:dyDescent="0.3">
      <c r="A380" s="700"/>
      <c r="B380" s="700"/>
      <c r="C380" s="700"/>
      <c r="D380" s="701"/>
      <c r="E380" s="700"/>
      <c r="F380" s="328"/>
      <c r="G380" s="700"/>
      <c r="H380" s="706"/>
      <c r="I380" s="704"/>
      <c r="J380" s="704"/>
      <c r="K380" s="704"/>
      <c r="L380" s="704"/>
      <c r="M380" s="704"/>
      <c r="N380" s="704"/>
      <c r="O380" s="685"/>
    </row>
    <row r="381" spans="1:15" ht="15.6" x14ac:dyDescent="0.3">
      <c r="A381" s="700"/>
      <c r="B381" s="700"/>
      <c r="C381" s="700"/>
      <c r="D381" s="701"/>
      <c r="E381" s="700"/>
      <c r="F381" s="328"/>
      <c r="G381" s="700"/>
      <c r="H381" s="706"/>
      <c r="I381" s="704"/>
      <c r="J381" s="704"/>
      <c r="K381" s="704"/>
      <c r="L381" s="704"/>
      <c r="M381" s="704"/>
      <c r="N381" s="704"/>
      <c r="O381" s="685"/>
    </row>
    <row r="382" spans="1:15" ht="15.6" x14ac:dyDescent="0.3">
      <c r="A382" s="700"/>
      <c r="B382" s="700"/>
      <c r="C382" s="700"/>
      <c r="D382" s="701"/>
      <c r="E382" s="700"/>
      <c r="F382" s="328"/>
      <c r="G382" s="700"/>
      <c r="H382" s="706"/>
      <c r="I382" s="704"/>
      <c r="J382" s="704"/>
      <c r="K382" s="704"/>
      <c r="L382" s="704"/>
      <c r="M382" s="704"/>
      <c r="N382" s="704"/>
      <c r="O382" s="685"/>
    </row>
    <row r="383" spans="1:15" ht="15.6" x14ac:dyDescent="0.3">
      <c r="A383" s="700"/>
      <c r="B383" s="700"/>
      <c r="C383" s="700"/>
      <c r="D383" s="701"/>
      <c r="E383" s="700"/>
      <c r="F383" s="328"/>
      <c r="G383" s="700"/>
      <c r="H383" s="706"/>
      <c r="I383" s="704"/>
      <c r="J383" s="704"/>
      <c r="K383" s="704"/>
      <c r="L383" s="704"/>
      <c r="M383" s="704"/>
      <c r="N383" s="704"/>
      <c r="O383" s="685"/>
    </row>
    <row r="384" spans="1:15" ht="15.6" x14ac:dyDescent="0.3">
      <c r="A384" s="700"/>
      <c r="B384" s="700"/>
      <c r="C384" s="700"/>
      <c r="D384" s="701"/>
      <c r="E384" s="700"/>
      <c r="F384" s="328"/>
      <c r="G384" s="700"/>
      <c r="H384" s="706"/>
      <c r="I384" s="704"/>
      <c r="J384" s="704"/>
      <c r="K384" s="704"/>
      <c r="L384" s="704"/>
      <c r="M384" s="704"/>
      <c r="N384" s="704"/>
      <c r="O384" s="685"/>
    </row>
    <row r="385" spans="1:15" ht="15.6" x14ac:dyDescent="0.3">
      <c r="A385" s="700"/>
      <c r="B385" s="700"/>
      <c r="C385" s="700"/>
      <c r="D385" s="701"/>
      <c r="E385" s="700"/>
      <c r="F385" s="328"/>
      <c r="G385" s="700"/>
      <c r="H385" s="706"/>
      <c r="I385" s="704"/>
      <c r="J385" s="704"/>
      <c r="K385" s="704"/>
      <c r="L385" s="704"/>
      <c r="M385" s="704"/>
      <c r="N385" s="704"/>
      <c r="O385" s="685"/>
    </row>
    <row r="386" spans="1:15" ht="15.6" x14ac:dyDescent="0.3">
      <c r="A386" s="700"/>
      <c r="B386" s="700"/>
      <c r="C386" s="700"/>
      <c r="D386" s="701"/>
      <c r="E386" s="700"/>
      <c r="F386" s="328"/>
      <c r="G386" s="700"/>
      <c r="H386" s="706"/>
      <c r="I386" s="704"/>
      <c r="J386" s="704"/>
      <c r="K386" s="704"/>
      <c r="L386" s="704"/>
      <c r="M386" s="704"/>
      <c r="N386" s="704"/>
      <c r="O386" s="685"/>
    </row>
    <row r="387" spans="1:15" ht="15.6" x14ac:dyDescent="0.3">
      <c r="A387" s="700"/>
      <c r="B387" s="700"/>
      <c r="C387" s="700"/>
      <c r="D387" s="701"/>
      <c r="E387" s="700"/>
      <c r="F387" s="328"/>
      <c r="G387" s="700"/>
      <c r="H387" s="706"/>
      <c r="I387" s="704"/>
      <c r="J387" s="704"/>
      <c r="K387" s="704"/>
      <c r="L387" s="704"/>
      <c r="M387" s="704"/>
      <c r="N387" s="704"/>
      <c r="O387" s="685"/>
    </row>
    <row r="388" spans="1:15" ht="15.6" x14ac:dyDescent="0.3">
      <c r="A388" s="700"/>
      <c r="B388" s="700"/>
      <c r="C388" s="700"/>
      <c r="D388" s="701"/>
      <c r="E388" s="700"/>
      <c r="F388" s="328"/>
      <c r="G388" s="700"/>
      <c r="H388" s="706"/>
      <c r="I388" s="704"/>
      <c r="J388" s="704"/>
      <c r="K388" s="704"/>
      <c r="L388" s="704"/>
      <c r="M388" s="704"/>
      <c r="N388" s="704"/>
      <c r="O388" s="685"/>
    </row>
    <row r="389" spans="1:15" ht="15.6" x14ac:dyDescent="0.3">
      <c r="A389" s="700"/>
      <c r="B389" s="700"/>
      <c r="C389" s="700"/>
      <c r="D389" s="701"/>
      <c r="E389" s="700"/>
      <c r="F389" s="328"/>
      <c r="G389" s="700"/>
      <c r="H389" s="706"/>
      <c r="I389" s="704"/>
      <c r="J389" s="704"/>
      <c r="K389" s="704"/>
      <c r="L389" s="704"/>
      <c r="M389" s="704"/>
      <c r="N389" s="704"/>
      <c r="O389" s="685"/>
    </row>
    <row r="390" spans="1:15" ht="15.6" x14ac:dyDescent="0.3">
      <c r="A390" s="700"/>
      <c r="B390" s="700"/>
      <c r="C390" s="700"/>
      <c r="D390" s="701"/>
      <c r="E390" s="700"/>
      <c r="F390" s="328"/>
      <c r="G390" s="700"/>
      <c r="H390" s="706"/>
      <c r="I390" s="704"/>
      <c r="J390" s="704"/>
      <c r="K390" s="704"/>
      <c r="L390" s="704"/>
      <c r="M390" s="704"/>
      <c r="N390" s="704"/>
      <c r="O390" s="685"/>
    </row>
    <row r="391" spans="1:15" ht="15.6" x14ac:dyDescent="0.3">
      <c r="A391" s="700"/>
      <c r="B391" s="700"/>
      <c r="C391" s="700"/>
      <c r="D391" s="701"/>
      <c r="E391" s="700"/>
      <c r="F391" s="328"/>
      <c r="G391" s="700"/>
      <c r="H391" s="706"/>
      <c r="I391" s="704"/>
      <c r="J391" s="704"/>
      <c r="K391" s="704"/>
      <c r="L391" s="704"/>
      <c r="M391" s="704"/>
      <c r="N391" s="704"/>
      <c r="O391" s="685"/>
    </row>
    <row r="392" spans="1:15" ht="15.6" x14ac:dyDescent="0.3">
      <c r="A392" s="700"/>
      <c r="B392" s="700"/>
      <c r="C392" s="700"/>
      <c r="D392" s="701"/>
      <c r="E392" s="700"/>
      <c r="F392" s="328"/>
      <c r="G392" s="700"/>
      <c r="H392" s="706"/>
      <c r="I392" s="704"/>
      <c r="J392" s="704"/>
      <c r="K392" s="704"/>
      <c r="L392" s="704"/>
      <c r="M392" s="704"/>
      <c r="N392" s="704"/>
      <c r="O392" s="685"/>
    </row>
    <row r="393" spans="1:15" ht="15.6" x14ac:dyDescent="0.3">
      <c r="A393" s="700"/>
      <c r="B393" s="700"/>
      <c r="C393" s="700"/>
      <c r="D393" s="701"/>
      <c r="E393" s="700"/>
      <c r="F393" s="328"/>
      <c r="G393" s="700"/>
      <c r="H393" s="706"/>
      <c r="I393" s="704"/>
      <c r="J393" s="704"/>
      <c r="K393" s="704"/>
      <c r="L393" s="704"/>
      <c r="M393" s="704"/>
      <c r="N393" s="704"/>
      <c r="O393" s="685"/>
    </row>
    <row r="394" spans="1:15" ht="15.6" x14ac:dyDescent="0.3">
      <c r="A394" s="700"/>
      <c r="B394" s="700"/>
      <c r="C394" s="700"/>
      <c r="D394" s="701"/>
      <c r="E394" s="700"/>
      <c r="F394" s="328"/>
      <c r="G394" s="700"/>
      <c r="H394" s="706"/>
      <c r="I394" s="704"/>
      <c r="J394" s="704"/>
      <c r="K394" s="704"/>
      <c r="L394" s="704"/>
      <c r="M394" s="704"/>
      <c r="N394" s="704"/>
      <c r="O394" s="685"/>
    </row>
    <row r="395" spans="1:15" ht="15.6" x14ac:dyDescent="0.3">
      <c r="A395" s="700"/>
      <c r="B395" s="700"/>
      <c r="C395" s="700"/>
      <c r="D395" s="701"/>
      <c r="E395" s="700"/>
      <c r="F395" s="328"/>
      <c r="G395" s="700"/>
      <c r="H395" s="706"/>
      <c r="I395" s="704"/>
      <c r="J395" s="704"/>
      <c r="K395" s="704"/>
      <c r="L395" s="704"/>
      <c r="M395" s="704"/>
      <c r="N395" s="704"/>
      <c r="O395" s="685"/>
    </row>
    <row r="396" spans="1:15" ht="15.6" x14ac:dyDescent="0.3">
      <c r="A396" s="700"/>
      <c r="B396" s="700"/>
      <c r="C396" s="700"/>
      <c r="D396" s="701"/>
      <c r="E396" s="700"/>
      <c r="F396" s="328"/>
      <c r="G396" s="700"/>
      <c r="H396" s="706"/>
      <c r="I396" s="704"/>
      <c r="J396" s="704"/>
      <c r="K396" s="704"/>
      <c r="L396" s="704"/>
      <c r="M396" s="704"/>
      <c r="N396" s="704"/>
      <c r="O396" s="685"/>
    </row>
    <row r="397" spans="1:15" ht="15.6" x14ac:dyDescent="0.3">
      <c r="A397" s="752"/>
      <c r="B397" s="752"/>
      <c r="C397" s="752"/>
      <c r="D397" s="753"/>
      <c r="E397" s="752"/>
      <c r="F397" s="338"/>
      <c r="G397" s="752"/>
      <c r="H397" s="754"/>
      <c r="I397" s="755"/>
      <c r="J397" s="755"/>
      <c r="K397" s="755"/>
      <c r="L397" s="755"/>
      <c r="M397" s="755"/>
      <c r="N397" s="755"/>
      <c r="O397" s="787"/>
    </row>
    <row r="398" spans="1:15" ht="15.6" x14ac:dyDescent="0.3">
      <c r="A398" s="752"/>
      <c r="B398" s="752"/>
      <c r="C398" s="752"/>
      <c r="D398" s="753"/>
      <c r="E398" s="752"/>
      <c r="F398" s="338"/>
      <c r="G398" s="752"/>
      <c r="H398" s="754"/>
      <c r="I398" s="755"/>
      <c r="J398" s="755"/>
      <c r="K398" s="755"/>
      <c r="L398" s="755"/>
      <c r="M398" s="755"/>
      <c r="N398" s="755"/>
      <c r="O398" s="787"/>
    </row>
    <row r="399" spans="1:15" ht="15.6" x14ac:dyDescent="0.3">
      <c r="A399" s="752"/>
      <c r="B399" s="752"/>
      <c r="C399" s="752"/>
      <c r="D399" s="753"/>
      <c r="E399" s="752"/>
      <c r="F399" s="338"/>
      <c r="G399" s="752"/>
      <c r="H399" s="754"/>
      <c r="I399" s="755"/>
      <c r="J399" s="755"/>
      <c r="K399" s="755"/>
      <c r="L399" s="755"/>
      <c r="M399" s="755"/>
      <c r="N399" s="755"/>
      <c r="O399" s="787"/>
    </row>
    <row r="400" spans="1:15" ht="15.6" x14ac:dyDescent="0.3">
      <c r="A400" s="752"/>
      <c r="B400" s="752"/>
      <c r="C400" s="752"/>
      <c r="D400" s="753"/>
      <c r="E400" s="752"/>
      <c r="F400" s="338"/>
      <c r="G400" s="752"/>
      <c r="H400" s="754"/>
      <c r="I400" s="755"/>
      <c r="J400" s="755"/>
      <c r="K400" s="755"/>
      <c r="L400" s="755"/>
      <c r="M400" s="755"/>
      <c r="N400" s="755"/>
      <c r="O400" s="787"/>
    </row>
    <row r="401" spans="1:15" ht="15.6" x14ac:dyDescent="0.3">
      <c r="A401" s="752"/>
      <c r="B401" s="752"/>
      <c r="C401" s="752"/>
      <c r="D401" s="753"/>
      <c r="E401" s="752"/>
      <c r="F401" s="338"/>
      <c r="G401" s="752"/>
      <c r="H401" s="754"/>
      <c r="I401" s="755"/>
      <c r="J401" s="755"/>
      <c r="K401" s="755"/>
      <c r="L401" s="755"/>
      <c r="M401" s="755"/>
      <c r="N401" s="755"/>
      <c r="O401" s="787"/>
    </row>
    <row r="402" spans="1:15" ht="15.6" x14ac:dyDescent="0.3">
      <c r="A402" s="752"/>
      <c r="B402" s="752"/>
      <c r="C402" s="752"/>
      <c r="D402" s="753"/>
      <c r="E402" s="752"/>
      <c r="F402" s="338"/>
      <c r="G402" s="752"/>
      <c r="H402" s="754"/>
      <c r="I402" s="755"/>
      <c r="J402" s="755"/>
      <c r="K402" s="755"/>
      <c r="L402" s="755"/>
      <c r="M402" s="755"/>
      <c r="N402" s="755"/>
      <c r="O402" s="787"/>
    </row>
    <row r="403" spans="1:15" ht="15.6" x14ac:dyDescent="0.3">
      <c r="A403" s="752"/>
      <c r="B403" s="752"/>
      <c r="C403" s="752"/>
      <c r="D403" s="753"/>
      <c r="E403" s="752"/>
      <c r="F403" s="338"/>
      <c r="G403" s="752"/>
      <c r="H403" s="754"/>
      <c r="I403" s="755"/>
      <c r="J403" s="755"/>
      <c r="K403" s="755"/>
      <c r="L403" s="755"/>
      <c r="M403" s="755"/>
      <c r="N403" s="755"/>
      <c r="O403" s="787"/>
    </row>
    <row r="404" spans="1:15" ht="15.6" x14ac:dyDescent="0.3">
      <c r="A404" s="752"/>
      <c r="B404" s="752"/>
      <c r="C404" s="752"/>
      <c r="D404" s="753"/>
      <c r="E404" s="752"/>
      <c r="F404" s="338"/>
      <c r="G404" s="752"/>
      <c r="H404" s="754"/>
      <c r="I404" s="755"/>
      <c r="J404" s="755"/>
      <c r="K404" s="755"/>
      <c r="L404" s="755"/>
      <c r="M404" s="755"/>
      <c r="N404" s="755"/>
      <c r="O404" s="787"/>
    </row>
    <row r="405" spans="1:15" ht="15.6" x14ac:dyDescent="0.3">
      <c r="A405" s="752"/>
      <c r="B405" s="752"/>
      <c r="C405" s="752"/>
      <c r="D405" s="753"/>
      <c r="E405" s="752"/>
      <c r="F405" s="338"/>
      <c r="G405" s="752"/>
      <c r="H405" s="754"/>
      <c r="I405" s="755"/>
      <c r="J405" s="755"/>
      <c r="K405" s="755"/>
      <c r="L405" s="755"/>
      <c r="M405" s="755"/>
      <c r="N405" s="755"/>
      <c r="O405" s="787"/>
    </row>
    <row r="406" spans="1:15" ht="15.6" x14ac:dyDescent="0.3">
      <c r="A406" s="752"/>
      <c r="B406" s="752"/>
      <c r="C406" s="752"/>
      <c r="D406" s="753"/>
      <c r="E406" s="752"/>
      <c r="F406" s="338"/>
      <c r="G406" s="752"/>
      <c r="H406" s="754"/>
      <c r="I406" s="755"/>
      <c r="J406" s="755"/>
      <c r="K406" s="755"/>
      <c r="L406" s="755"/>
      <c r="M406" s="755"/>
      <c r="N406" s="755"/>
      <c r="O406" s="787"/>
    </row>
    <row r="407" spans="1:15" ht="15.6" x14ac:dyDescent="0.3">
      <c r="A407" s="752"/>
      <c r="B407" s="752"/>
      <c r="C407" s="752"/>
      <c r="D407" s="753"/>
      <c r="E407" s="752"/>
      <c r="F407" s="338"/>
      <c r="G407" s="752"/>
      <c r="H407" s="754"/>
      <c r="I407" s="755"/>
      <c r="J407" s="755"/>
      <c r="K407" s="755"/>
      <c r="L407" s="755"/>
      <c r="M407" s="755"/>
      <c r="N407" s="755"/>
      <c r="O407" s="787"/>
    </row>
    <row r="408" spans="1:15" ht="15.6" x14ac:dyDescent="0.3">
      <c r="A408" s="752"/>
      <c r="B408" s="752"/>
      <c r="C408" s="752"/>
      <c r="D408" s="753"/>
      <c r="E408" s="752"/>
      <c r="F408" s="338"/>
      <c r="G408" s="752"/>
      <c r="H408" s="754"/>
      <c r="I408" s="755"/>
      <c r="J408" s="755"/>
      <c r="K408" s="755"/>
      <c r="L408" s="755"/>
      <c r="M408" s="755"/>
      <c r="N408" s="755"/>
      <c r="O408" s="787"/>
    </row>
    <row r="409" spans="1:15" ht="15.6" x14ac:dyDescent="0.3">
      <c r="A409" s="752"/>
      <c r="B409" s="752"/>
      <c r="C409" s="752"/>
      <c r="D409" s="753"/>
      <c r="E409" s="752"/>
      <c r="F409" s="338"/>
      <c r="G409" s="752"/>
      <c r="H409" s="754"/>
      <c r="I409" s="755"/>
      <c r="J409" s="755"/>
      <c r="K409" s="755"/>
      <c r="L409" s="755"/>
      <c r="M409" s="755"/>
      <c r="N409" s="755"/>
      <c r="O409" s="787"/>
    </row>
    <row r="410" spans="1:15" ht="15.6" x14ac:dyDescent="0.3">
      <c r="A410" s="752"/>
      <c r="B410" s="752"/>
      <c r="C410" s="752"/>
      <c r="D410" s="753"/>
      <c r="E410" s="752"/>
      <c r="F410" s="338"/>
      <c r="G410" s="752"/>
      <c r="H410" s="754"/>
      <c r="I410" s="755"/>
      <c r="J410" s="755"/>
      <c r="K410" s="755"/>
      <c r="L410" s="755"/>
      <c r="M410" s="755"/>
      <c r="N410" s="755"/>
      <c r="O410" s="787"/>
    </row>
    <row r="411" spans="1:15" ht="15.6" x14ac:dyDescent="0.3">
      <c r="A411" s="752"/>
      <c r="B411" s="752"/>
      <c r="C411" s="752"/>
      <c r="D411" s="753"/>
      <c r="E411" s="752"/>
      <c r="F411" s="338"/>
      <c r="G411" s="752"/>
      <c r="H411" s="754"/>
      <c r="I411" s="755"/>
      <c r="J411" s="755"/>
      <c r="K411" s="755"/>
      <c r="L411" s="755"/>
      <c r="M411" s="755"/>
      <c r="N411" s="755"/>
      <c r="O411" s="787"/>
    </row>
    <row r="412" spans="1:15" ht="15.6" x14ac:dyDescent="0.3">
      <c r="A412" s="752"/>
      <c r="B412" s="752"/>
      <c r="C412" s="752"/>
      <c r="D412" s="753"/>
      <c r="E412" s="752"/>
      <c r="F412" s="338"/>
      <c r="G412" s="752"/>
      <c r="H412" s="754"/>
      <c r="I412" s="755"/>
      <c r="J412" s="755"/>
      <c r="K412" s="755"/>
      <c r="L412" s="755"/>
      <c r="M412" s="755"/>
      <c r="N412" s="755"/>
      <c r="O412" s="787"/>
    </row>
    <row r="413" spans="1:15" ht="15.6" x14ac:dyDescent="0.3">
      <c r="A413" s="752"/>
      <c r="B413" s="752"/>
      <c r="C413" s="752"/>
      <c r="D413" s="753"/>
      <c r="E413" s="752"/>
      <c r="F413" s="338"/>
      <c r="G413" s="752"/>
      <c r="H413" s="754"/>
      <c r="I413" s="755"/>
      <c r="J413" s="755"/>
      <c r="K413" s="755"/>
      <c r="L413" s="755"/>
      <c r="M413" s="755"/>
      <c r="N413" s="755"/>
      <c r="O413" s="787"/>
    </row>
    <row r="414" spans="1:15" ht="15.6" x14ac:dyDescent="0.3">
      <c r="A414" s="752"/>
      <c r="B414" s="752"/>
      <c r="C414" s="752"/>
      <c r="D414" s="753"/>
      <c r="E414" s="752"/>
      <c r="F414" s="338"/>
      <c r="G414" s="752"/>
      <c r="H414" s="754"/>
      <c r="I414" s="755"/>
      <c r="J414" s="755"/>
      <c r="K414" s="755"/>
      <c r="L414" s="755"/>
      <c r="M414" s="755"/>
      <c r="N414" s="755"/>
      <c r="O414" s="787"/>
    </row>
    <row r="415" spans="1:15" ht="15.6" x14ac:dyDescent="0.3">
      <c r="A415" s="752"/>
      <c r="B415" s="752"/>
      <c r="C415" s="752"/>
      <c r="D415" s="753"/>
      <c r="E415" s="752"/>
      <c r="F415" s="338"/>
      <c r="G415" s="752"/>
      <c r="H415" s="754"/>
      <c r="I415" s="755"/>
      <c r="J415" s="755"/>
      <c r="K415" s="755"/>
      <c r="L415" s="755"/>
      <c r="M415" s="755"/>
      <c r="N415" s="755"/>
      <c r="O415" s="787"/>
    </row>
    <row r="416" spans="1:15" ht="15.6" x14ac:dyDescent="0.3">
      <c r="A416" s="752"/>
      <c r="B416" s="752"/>
      <c r="C416" s="752"/>
      <c r="D416" s="753"/>
      <c r="E416" s="752"/>
      <c r="F416" s="338"/>
      <c r="G416" s="752"/>
      <c r="H416" s="754"/>
      <c r="I416" s="755"/>
      <c r="J416" s="755"/>
      <c r="K416" s="755"/>
      <c r="L416" s="755"/>
      <c r="M416" s="755"/>
      <c r="N416" s="755"/>
      <c r="O416" s="787"/>
    </row>
    <row r="417" spans="1:15" ht="15.6" x14ac:dyDescent="0.3">
      <c r="A417" s="752"/>
      <c r="B417" s="752"/>
      <c r="C417" s="752"/>
      <c r="D417" s="753"/>
      <c r="E417" s="752"/>
      <c r="F417" s="338"/>
      <c r="G417" s="752"/>
      <c r="H417" s="754"/>
      <c r="I417" s="755"/>
      <c r="J417" s="755"/>
      <c r="K417" s="755"/>
      <c r="L417" s="755"/>
      <c r="M417" s="755"/>
      <c r="N417" s="755"/>
      <c r="O417" s="787"/>
    </row>
    <row r="418" spans="1:15" ht="15.6" x14ac:dyDescent="0.3">
      <c r="A418" s="752"/>
      <c r="B418" s="752"/>
      <c r="C418" s="752"/>
      <c r="D418" s="753"/>
      <c r="E418" s="752"/>
      <c r="F418" s="338"/>
      <c r="G418" s="752"/>
      <c r="H418" s="754"/>
      <c r="I418" s="755"/>
      <c r="J418" s="755"/>
      <c r="K418" s="755"/>
      <c r="L418" s="755"/>
      <c r="M418" s="755"/>
      <c r="N418" s="755"/>
      <c r="O418" s="787"/>
    </row>
    <row r="419" spans="1:15" ht="15.6" x14ac:dyDescent="0.3">
      <c r="A419" s="752"/>
      <c r="B419" s="752"/>
      <c r="C419" s="752"/>
      <c r="D419" s="753"/>
      <c r="E419" s="752"/>
      <c r="F419" s="338"/>
      <c r="G419" s="752"/>
      <c r="H419" s="754"/>
      <c r="I419" s="755"/>
      <c r="J419" s="755"/>
      <c r="K419" s="755"/>
      <c r="L419" s="755"/>
      <c r="M419" s="755"/>
      <c r="N419" s="755"/>
      <c r="O419" s="787"/>
    </row>
    <row r="420" spans="1:15" ht="15.6" x14ac:dyDescent="0.3">
      <c r="A420" s="752"/>
      <c r="B420" s="752"/>
      <c r="C420" s="752"/>
      <c r="D420" s="753"/>
      <c r="E420" s="752"/>
      <c r="F420" s="338"/>
      <c r="G420" s="752"/>
      <c r="H420" s="754"/>
      <c r="I420" s="755"/>
      <c r="J420" s="755"/>
      <c r="K420" s="755"/>
      <c r="L420" s="755"/>
      <c r="M420" s="755"/>
      <c r="N420" s="755"/>
      <c r="O420" s="787"/>
    </row>
    <row r="421" spans="1:15" ht="15.6" x14ac:dyDescent="0.3">
      <c r="A421" s="752"/>
      <c r="B421" s="752"/>
      <c r="C421" s="752"/>
      <c r="D421" s="753"/>
      <c r="E421" s="752"/>
      <c r="F421" s="338"/>
      <c r="G421" s="752"/>
      <c r="H421" s="754"/>
      <c r="I421" s="755"/>
      <c r="J421" s="755"/>
      <c r="K421" s="755"/>
      <c r="L421" s="755"/>
      <c r="M421" s="755"/>
      <c r="N421" s="755"/>
      <c r="O421" s="787"/>
    </row>
    <row r="422" spans="1:15" ht="15.6" x14ac:dyDescent="0.3">
      <c r="A422" s="752"/>
      <c r="B422" s="752"/>
      <c r="C422" s="752"/>
      <c r="D422" s="753"/>
      <c r="E422" s="752"/>
      <c r="F422" s="338"/>
      <c r="G422" s="752"/>
      <c r="H422" s="754"/>
      <c r="I422" s="755"/>
      <c r="J422" s="755"/>
      <c r="K422" s="755"/>
      <c r="L422" s="755"/>
      <c r="M422" s="755"/>
      <c r="N422" s="755"/>
      <c r="O422" s="787"/>
    </row>
    <row r="423" spans="1:15" ht="15.6" x14ac:dyDescent="0.3">
      <c r="A423" s="752"/>
      <c r="B423" s="752"/>
      <c r="C423" s="752"/>
      <c r="D423" s="753"/>
      <c r="E423" s="752"/>
      <c r="F423" s="338"/>
      <c r="G423" s="752"/>
      <c r="H423" s="754"/>
      <c r="I423" s="755"/>
      <c r="J423" s="755"/>
      <c r="K423" s="755"/>
      <c r="L423" s="755"/>
      <c r="M423" s="755"/>
      <c r="N423" s="755"/>
      <c r="O423" s="787"/>
    </row>
    <row r="424" spans="1:15" ht="15.6" x14ac:dyDescent="0.3">
      <c r="A424" s="752"/>
      <c r="B424" s="752"/>
      <c r="C424" s="752"/>
      <c r="D424" s="753"/>
      <c r="E424" s="752"/>
      <c r="F424" s="338"/>
      <c r="G424" s="752"/>
      <c r="H424" s="754"/>
      <c r="I424" s="755"/>
      <c r="J424" s="755"/>
      <c r="K424" s="755"/>
      <c r="L424" s="755"/>
      <c r="M424" s="755"/>
      <c r="N424" s="755"/>
      <c r="O424" s="787"/>
    </row>
    <row r="425" spans="1:15" ht="15.6" x14ac:dyDescent="0.3">
      <c r="A425" s="752"/>
      <c r="B425" s="752"/>
      <c r="C425" s="752"/>
      <c r="D425" s="753"/>
      <c r="E425" s="752"/>
      <c r="F425" s="338"/>
      <c r="G425" s="752"/>
      <c r="H425" s="754"/>
      <c r="I425" s="755"/>
      <c r="J425" s="755"/>
      <c r="K425" s="755"/>
      <c r="L425" s="755"/>
      <c r="M425" s="755"/>
      <c r="N425" s="755"/>
      <c r="O425" s="787"/>
    </row>
    <row r="426" spans="1:15" ht="15.6" x14ac:dyDescent="0.3">
      <c r="A426" s="752"/>
      <c r="B426" s="752"/>
      <c r="C426" s="752"/>
      <c r="D426" s="753"/>
      <c r="E426" s="752"/>
      <c r="F426" s="338"/>
      <c r="G426" s="752"/>
      <c r="H426" s="754"/>
      <c r="I426" s="755"/>
      <c r="J426" s="755"/>
      <c r="K426" s="755"/>
      <c r="L426" s="755"/>
      <c r="M426" s="755"/>
      <c r="N426" s="755"/>
      <c r="O426" s="787"/>
    </row>
    <row r="427" spans="1:15" ht="15.6" x14ac:dyDescent="0.3">
      <c r="A427" s="752"/>
      <c r="B427" s="752"/>
      <c r="C427" s="752"/>
      <c r="D427" s="753"/>
      <c r="E427" s="752"/>
      <c r="F427" s="338"/>
      <c r="G427" s="752"/>
      <c r="H427" s="754"/>
      <c r="I427" s="755"/>
      <c r="J427" s="755"/>
      <c r="K427" s="755"/>
      <c r="L427" s="755"/>
      <c r="M427" s="755"/>
      <c r="N427" s="755"/>
      <c r="O427" s="787"/>
    </row>
    <row r="428" spans="1:15" ht="15.6" x14ac:dyDescent="0.3">
      <c r="A428" s="752"/>
      <c r="B428" s="752"/>
      <c r="C428" s="752"/>
      <c r="D428" s="753"/>
      <c r="E428" s="752"/>
      <c r="F428" s="338"/>
      <c r="G428" s="752"/>
      <c r="H428" s="754"/>
      <c r="I428" s="755"/>
      <c r="J428" s="755"/>
      <c r="K428" s="755"/>
      <c r="L428" s="755"/>
      <c r="M428" s="755"/>
      <c r="N428" s="755"/>
      <c r="O428" s="787"/>
    </row>
    <row r="429" spans="1:15" ht="15.6" x14ac:dyDescent="0.3">
      <c r="A429" s="752"/>
      <c r="B429" s="752"/>
      <c r="C429" s="752"/>
      <c r="D429" s="753"/>
      <c r="E429" s="752"/>
      <c r="F429" s="338"/>
      <c r="G429" s="752"/>
      <c r="H429" s="754"/>
      <c r="I429" s="755"/>
      <c r="J429" s="755"/>
      <c r="K429" s="755"/>
      <c r="L429" s="755"/>
      <c r="M429" s="755"/>
      <c r="N429" s="755"/>
      <c r="O429" s="787"/>
    </row>
    <row r="430" spans="1:15" ht="15.6" x14ac:dyDescent="0.3">
      <c r="A430" s="752"/>
      <c r="B430" s="752"/>
      <c r="C430" s="752"/>
      <c r="D430" s="753"/>
      <c r="E430" s="752"/>
      <c r="F430" s="338"/>
      <c r="G430" s="752"/>
      <c r="H430" s="754"/>
      <c r="I430" s="755"/>
      <c r="J430" s="755"/>
      <c r="K430" s="755"/>
      <c r="L430" s="755"/>
      <c r="M430" s="755"/>
      <c r="N430" s="755"/>
      <c r="O430" s="787"/>
    </row>
    <row r="431" spans="1:15" ht="15.6" x14ac:dyDescent="0.3">
      <c r="A431" s="752"/>
      <c r="B431" s="752"/>
      <c r="C431" s="752"/>
      <c r="D431" s="753"/>
      <c r="E431" s="752"/>
      <c r="F431" s="338"/>
      <c r="G431" s="752"/>
      <c r="H431" s="754"/>
      <c r="I431" s="755"/>
      <c r="J431" s="755"/>
      <c r="K431" s="755"/>
      <c r="L431" s="755"/>
      <c r="M431" s="755"/>
      <c r="N431" s="755"/>
      <c r="O431" s="787"/>
    </row>
    <row r="432" spans="1:15" ht="15.6" x14ac:dyDescent="0.3">
      <c r="A432" s="752"/>
      <c r="B432" s="752"/>
      <c r="C432" s="752"/>
      <c r="D432" s="753"/>
      <c r="E432" s="752"/>
      <c r="F432" s="338"/>
      <c r="G432" s="752"/>
      <c r="H432" s="754"/>
      <c r="I432" s="755"/>
      <c r="J432" s="755"/>
      <c r="K432" s="755"/>
      <c r="L432" s="755"/>
      <c r="M432" s="755"/>
      <c r="N432" s="755"/>
      <c r="O432" s="787"/>
    </row>
    <row r="433" spans="1:15" ht="15.6" x14ac:dyDescent="0.3">
      <c r="A433" s="752"/>
      <c r="B433" s="752"/>
      <c r="C433" s="752"/>
      <c r="D433" s="753"/>
      <c r="E433" s="752"/>
      <c r="F433" s="338"/>
      <c r="G433" s="752"/>
      <c r="H433" s="754"/>
      <c r="I433" s="755"/>
      <c r="J433" s="755"/>
      <c r="K433" s="755"/>
      <c r="L433" s="755"/>
      <c r="M433" s="755"/>
      <c r="N433" s="755"/>
      <c r="O433" s="787"/>
    </row>
    <row r="434" spans="1:15" ht="15.6" x14ac:dyDescent="0.3">
      <c r="A434" s="752"/>
      <c r="B434" s="752"/>
      <c r="C434" s="752"/>
      <c r="D434" s="753"/>
      <c r="E434" s="752"/>
      <c r="F434" s="338"/>
      <c r="G434" s="752"/>
      <c r="H434" s="754"/>
      <c r="I434" s="755"/>
      <c r="J434" s="755"/>
      <c r="K434" s="755"/>
      <c r="L434" s="755"/>
      <c r="M434" s="755"/>
      <c r="N434" s="755"/>
      <c r="O434" s="787"/>
    </row>
    <row r="435" spans="1:15" ht="15.6" x14ac:dyDescent="0.3">
      <c r="A435" s="752"/>
      <c r="B435" s="752"/>
      <c r="C435" s="752"/>
      <c r="D435" s="753"/>
      <c r="E435" s="752"/>
      <c r="F435" s="338"/>
      <c r="G435" s="752"/>
      <c r="H435" s="754"/>
      <c r="I435" s="755"/>
      <c r="J435" s="755"/>
      <c r="K435" s="755"/>
      <c r="L435" s="755"/>
      <c r="M435" s="755"/>
      <c r="N435" s="755"/>
      <c r="O435" s="787"/>
    </row>
    <row r="436" spans="1:15" ht="15.6" x14ac:dyDescent="0.3">
      <c r="A436" s="752"/>
      <c r="B436" s="752"/>
      <c r="C436" s="752"/>
      <c r="D436" s="753"/>
      <c r="E436" s="752"/>
      <c r="F436" s="338"/>
      <c r="G436" s="752"/>
      <c r="H436" s="754"/>
      <c r="I436" s="755"/>
      <c r="J436" s="755"/>
      <c r="K436" s="755"/>
      <c r="L436" s="755"/>
      <c r="M436" s="755"/>
      <c r="N436" s="755"/>
      <c r="O436" s="787"/>
    </row>
    <row r="437" spans="1:15" ht="15.6" x14ac:dyDescent="0.3">
      <c r="A437" s="752"/>
      <c r="B437" s="752"/>
      <c r="C437" s="752"/>
      <c r="D437" s="753"/>
      <c r="E437" s="752"/>
      <c r="F437" s="338"/>
      <c r="G437" s="752"/>
      <c r="H437" s="754"/>
      <c r="I437" s="755"/>
      <c r="J437" s="755"/>
      <c r="K437" s="755"/>
      <c r="L437" s="755"/>
      <c r="M437" s="755"/>
      <c r="N437" s="755"/>
      <c r="O437" s="787"/>
    </row>
    <row r="438" spans="1:15" ht="15.6" x14ac:dyDescent="0.3">
      <c r="A438" s="752"/>
      <c r="B438" s="752"/>
      <c r="C438" s="752"/>
      <c r="D438" s="753"/>
      <c r="E438" s="752"/>
      <c r="F438" s="338"/>
      <c r="G438" s="752"/>
      <c r="H438" s="754"/>
      <c r="I438" s="755"/>
      <c r="J438" s="755"/>
      <c r="K438" s="755"/>
      <c r="L438" s="755"/>
      <c r="M438" s="755"/>
      <c r="N438" s="755"/>
      <c r="O438" s="787"/>
    </row>
    <row r="439" spans="1:15" ht="15.6" x14ac:dyDescent="0.3">
      <c r="A439" s="752"/>
      <c r="B439" s="752"/>
      <c r="C439" s="752"/>
      <c r="D439" s="753"/>
      <c r="E439" s="752"/>
      <c r="F439" s="338"/>
      <c r="G439" s="752"/>
      <c r="H439" s="754"/>
      <c r="I439" s="755"/>
      <c r="J439" s="755"/>
      <c r="K439" s="755"/>
      <c r="L439" s="755"/>
      <c r="M439" s="755"/>
      <c r="N439" s="755"/>
      <c r="O439" s="787"/>
    </row>
    <row r="440" spans="1:15" ht="15.6" x14ac:dyDescent="0.3">
      <c r="A440" s="752"/>
      <c r="B440" s="752"/>
      <c r="C440" s="752"/>
      <c r="D440" s="753"/>
      <c r="E440" s="752"/>
      <c r="F440" s="338"/>
      <c r="G440" s="752"/>
      <c r="H440" s="754"/>
      <c r="I440" s="755"/>
      <c r="J440" s="755"/>
      <c r="K440" s="755"/>
      <c r="L440" s="755"/>
      <c r="M440" s="755"/>
      <c r="N440" s="755"/>
      <c r="O440" s="787"/>
    </row>
    <row r="441" spans="1:15" ht="15.6" x14ac:dyDescent="0.3">
      <c r="A441" s="752"/>
      <c r="B441" s="752"/>
      <c r="C441" s="752"/>
      <c r="D441" s="753"/>
      <c r="E441" s="752"/>
      <c r="F441" s="338"/>
      <c r="G441" s="752"/>
      <c r="H441" s="754"/>
      <c r="I441" s="755"/>
      <c r="J441" s="755"/>
      <c r="K441" s="755"/>
      <c r="L441" s="755"/>
      <c r="M441" s="755"/>
      <c r="N441" s="755"/>
      <c r="O441" s="787"/>
    </row>
    <row r="442" spans="1:15" ht="15.6" x14ac:dyDescent="0.3">
      <c r="A442" s="752"/>
      <c r="B442" s="752"/>
      <c r="C442" s="752"/>
      <c r="D442" s="753"/>
      <c r="E442" s="752"/>
      <c r="F442" s="338"/>
      <c r="G442" s="752"/>
      <c r="H442" s="754"/>
      <c r="I442" s="755"/>
      <c r="J442" s="755"/>
      <c r="K442" s="755"/>
      <c r="L442" s="755"/>
      <c r="M442" s="755"/>
      <c r="N442" s="755"/>
      <c r="O442" s="787"/>
    </row>
    <row r="443" spans="1:15" ht="15.6" x14ac:dyDescent="0.3">
      <c r="A443" s="752"/>
      <c r="B443" s="752"/>
      <c r="C443" s="752"/>
      <c r="D443" s="753"/>
      <c r="E443" s="752"/>
      <c r="F443" s="338"/>
      <c r="G443" s="752"/>
      <c r="H443" s="754"/>
      <c r="I443" s="755"/>
      <c r="J443" s="755"/>
      <c r="K443" s="755"/>
      <c r="L443" s="755"/>
      <c r="M443" s="755"/>
      <c r="N443" s="755"/>
      <c r="O443" s="787"/>
    </row>
    <row r="444" spans="1:15" ht="15.6" x14ac:dyDescent="0.25">
      <c r="F444" s="330"/>
      <c r="O444" s="787"/>
    </row>
    <row r="445" spans="1:15" ht="15.6" x14ac:dyDescent="0.25">
      <c r="F445" s="330"/>
      <c r="O445" s="787"/>
    </row>
    <row r="446" spans="1:15" ht="15.6" x14ac:dyDescent="0.25">
      <c r="F446" s="330"/>
      <c r="O446" s="787"/>
    </row>
    <row r="447" spans="1:15" ht="15.6" x14ac:dyDescent="0.25">
      <c r="F447" s="330"/>
      <c r="O447" s="787"/>
    </row>
    <row r="448" spans="1:15" ht="15.6" x14ac:dyDescent="0.25">
      <c r="F448" s="330"/>
      <c r="O448" s="787"/>
    </row>
    <row r="449" spans="6:15" ht="15.6" x14ac:dyDescent="0.25">
      <c r="F449" s="330"/>
      <c r="O449" s="787"/>
    </row>
    <row r="450" spans="6:15" ht="15.6" x14ac:dyDescent="0.25">
      <c r="F450" s="330"/>
      <c r="O450" s="787"/>
    </row>
    <row r="451" spans="6:15" ht="15.6" x14ac:dyDescent="0.25">
      <c r="F451" s="330"/>
      <c r="O451" s="787"/>
    </row>
    <row r="452" spans="6:15" ht="15.6" x14ac:dyDescent="0.25">
      <c r="F452" s="330"/>
      <c r="O452" s="787"/>
    </row>
    <row r="453" spans="6:15" ht="15.6" x14ac:dyDescent="0.25">
      <c r="F453" s="330"/>
      <c r="O453" s="787"/>
    </row>
    <row r="454" spans="6:15" ht="15.6" x14ac:dyDescent="0.25">
      <c r="F454" s="330"/>
      <c r="O454" s="787"/>
    </row>
    <row r="455" spans="6:15" ht="15.6" x14ac:dyDescent="0.25">
      <c r="F455" s="330"/>
      <c r="O455" s="787"/>
    </row>
    <row r="456" spans="6:15" ht="15.6" x14ac:dyDescent="0.25">
      <c r="F456" s="330"/>
      <c r="O456" s="787"/>
    </row>
    <row r="457" spans="6:15" ht="15.6" x14ac:dyDescent="0.25">
      <c r="F457" s="330"/>
      <c r="O457" s="787"/>
    </row>
    <row r="458" spans="6:15" ht="15.6" x14ac:dyDescent="0.25">
      <c r="F458" s="330"/>
      <c r="O458" s="787"/>
    </row>
    <row r="459" spans="6:15" ht="15.6" x14ac:dyDescent="0.25">
      <c r="F459" s="330"/>
      <c r="O459" s="787"/>
    </row>
    <row r="460" spans="6:15" ht="15.6" x14ac:dyDescent="0.25">
      <c r="F460" s="330"/>
      <c r="O460" s="787"/>
    </row>
    <row r="461" spans="6:15" ht="15.6" x14ac:dyDescent="0.25">
      <c r="F461" s="330"/>
      <c r="O461" s="787"/>
    </row>
    <row r="462" spans="6:15" ht="15.6" x14ac:dyDescent="0.25">
      <c r="F462" s="330"/>
      <c r="O462" s="787"/>
    </row>
    <row r="463" spans="6:15" ht="15.6" x14ac:dyDescent="0.25">
      <c r="F463" s="330"/>
      <c r="O463" s="787"/>
    </row>
    <row r="464" spans="6:15" ht="15.6" x14ac:dyDescent="0.25">
      <c r="F464" s="330"/>
      <c r="O464" s="787"/>
    </row>
    <row r="465" spans="6:15" ht="15.6" x14ac:dyDescent="0.25">
      <c r="F465" s="330"/>
      <c r="O465" s="787"/>
    </row>
    <row r="466" spans="6:15" ht="15.6" x14ac:dyDescent="0.25">
      <c r="F466" s="330"/>
      <c r="O466" s="787"/>
    </row>
    <row r="467" spans="6:15" ht="15.6" x14ac:dyDescent="0.25">
      <c r="F467" s="330"/>
      <c r="O467" s="787"/>
    </row>
    <row r="468" spans="6:15" ht="15.6" x14ac:dyDescent="0.25">
      <c r="F468" s="330"/>
      <c r="O468" s="787"/>
    </row>
    <row r="469" spans="6:15" ht="15.6" x14ac:dyDescent="0.25">
      <c r="F469" s="330"/>
      <c r="O469" s="787"/>
    </row>
    <row r="470" spans="6:15" ht="15.6" x14ac:dyDescent="0.25">
      <c r="F470" s="330"/>
      <c r="O470" s="787"/>
    </row>
    <row r="471" spans="6:15" ht="15.6" x14ac:dyDescent="0.25">
      <c r="F471" s="330"/>
      <c r="O471" s="787"/>
    </row>
    <row r="472" spans="6:15" ht="15.6" x14ac:dyDescent="0.25">
      <c r="F472" s="330"/>
      <c r="O472" s="787"/>
    </row>
    <row r="473" spans="6:15" ht="15.6" x14ac:dyDescent="0.25">
      <c r="F473" s="330"/>
      <c r="O473" s="787"/>
    </row>
    <row r="474" spans="6:15" ht="15.6" x14ac:dyDescent="0.25">
      <c r="F474" s="330"/>
      <c r="O474" s="787"/>
    </row>
    <row r="475" spans="6:15" ht="15.6" x14ac:dyDescent="0.25">
      <c r="F475" s="330"/>
      <c r="O475" s="787"/>
    </row>
    <row r="476" spans="6:15" ht="15.6" x14ac:dyDescent="0.25">
      <c r="F476" s="330"/>
      <c r="O476" s="787"/>
    </row>
    <row r="477" spans="6:15" ht="15.6" x14ac:dyDescent="0.25">
      <c r="F477" s="330"/>
      <c r="O477" s="787"/>
    </row>
    <row r="478" spans="6:15" ht="15.6" x14ac:dyDescent="0.25">
      <c r="F478" s="330"/>
      <c r="O478" s="787"/>
    </row>
    <row r="479" spans="6:15" ht="15.6" x14ac:dyDescent="0.25">
      <c r="F479" s="330"/>
      <c r="O479" s="787"/>
    </row>
    <row r="480" spans="6:15" ht="15.6" x14ac:dyDescent="0.25">
      <c r="F480" s="330"/>
      <c r="O480" s="787"/>
    </row>
    <row r="481" spans="6:15" ht="15.6" x14ac:dyDescent="0.25">
      <c r="F481" s="330"/>
      <c r="O481" s="787"/>
    </row>
    <row r="482" spans="6:15" ht="15.6" x14ac:dyDescent="0.25">
      <c r="F482" s="330"/>
      <c r="O482" s="787"/>
    </row>
    <row r="483" spans="6:15" ht="15.6" x14ac:dyDescent="0.25">
      <c r="F483" s="330"/>
      <c r="O483" s="787"/>
    </row>
    <row r="484" spans="6:15" ht="15.6" x14ac:dyDescent="0.25">
      <c r="F484" s="330"/>
      <c r="O484" s="787"/>
    </row>
    <row r="485" spans="6:15" ht="15.6" x14ac:dyDescent="0.25">
      <c r="F485" s="330"/>
      <c r="O485" s="787"/>
    </row>
    <row r="486" spans="6:15" ht="15.6" x14ac:dyDescent="0.25">
      <c r="F486" s="330"/>
      <c r="O486" s="787"/>
    </row>
    <row r="487" spans="6:15" ht="15.6" x14ac:dyDescent="0.25">
      <c r="F487" s="330"/>
      <c r="O487" s="787"/>
    </row>
    <row r="488" spans="6:15" ht="15.6" x14ac:dyDescent="0.25">
      <c r="F488" s="330"/>
      <c r="O488" s="787"/>
    </row>
    <row r="489" spans="6:15" ht="15.6" x14ac:dyDescent="0.25">
      <c r="F489" s="330"/>
      <c r="O489" s="787"/>
    </row>
    <row r="490" spans="6:15" ht="15.6" x14ac:dyDescent="0.25">
      <c r="F490" s="330"/>
      <c r="O490" s="787"/>
    </row>
    <row r="491" spans="6:15" ht="15.6" x14ac:dyDescent="0.25">
      <c r="F491" s="330"/>
      <c r="O491" s="787"/>
    </row>
    <row r="492" spans="6:15" ht="15.6" x14ac:dyDescent="0.25">
      <c r="F492" s="330"/>
      <c r="O492" s="787"/>
    </row>
    <row r="493" spans="6:15" ht="15.6" x14ac:dyDescent="0.25">
      <c r="F493" s="330"/>
      <c r="O493" s="787"/>
    </row>
    <row r="494" spans="6:15" ht="15.6" x14ac:dyDescent="0.25">
      <c r="F494" s="330"/>
      <c r="O494" s="787"/>
    </row>
    <row r="495" spans="6:15" ht="15.6" x14ac:dyDescent="0.25">
      <c r="F495" s="330"/>
      <c r="O495" s="787"/>
    </row>
    <row r="496" spans="6:15" ht="15.6" x14ac:dyDescent="0.25">
      <c r="F496" s="330"/>
      <c r="O496" s="787"/>
    </row>
    <row r="497" spans="6:15" ht="15.6" x14ac:dyDescent="0.25">
      <c r="F497" s="330"/>
      <c r="O497" s="787"/>
    </row>
    <row r="498" spans="6:15" ht="15.6" x14ac:dyDescent="0.25">
      <c r="F498" s="330"/>
      <c r="O498" s="787"/>
    </row>
    <row r="499" spans="6:15" ht="15.6" x14ac:dyDescent="0.25">
      <c r="F499" s="330"/>
      <c r="O499" s="787"/>
    </row>
    <row r="500" spans="6:15" ht="15.6" x14ac:dyDescent="0.25">
      <c r="F500" s="330"/>
      <c r="O500" s="787"/>
    </row>
    <row r="501" spans="6:15" ht="15.6" x14ac:dyDescent="0.25">
      <c r="F501" s="330"/>
      <c r="O501" s="787"/>
    </row>
    <row r="502" spans="6:15" ht="15.6" x14ac:dyDescent="0.25">
      <c r="F502" s="330"/>
      <c r="O502" s="787"/>
    </row>
    <row r="503" spans="6:15" ht="15.6" x14ac:dyDescent="0.25">
      <c r="F503" s="330"/>
      <c r="O503" s="787"/>
    </row>
    <row r="504" spans="6:15" ht="15.6" x14ac:dyDescent="0.25">
      <c r="F504" s="330"/>
      <c r="O504" s="787"/>
    </row>
    <row r="505" spans="6:15" ht="15.6" x14ac:dyDescent="0.25">
      <c r="F505" s="330"/>
      <c r="O505" s="787"/>
    </row>
    <row r="506" spans="6:15" ht="15.6" x14ac:dyDescent="0.25">
      <c r="F506" s="330"/>
      <c r="O506" s="787"/>
    </row>
    <row r="507" spans="6:15" ht="15.6" x14ac:dyDescent="0.25">
      <c r="F507" s="330"/>
      <c r="O507" s="787"/>
    </row>
    <row r="508" spans="6:15" ht="15.6" x14ac:dyDescent="0.25">
      <c r="F508" s="330"/>
      <c r="O508" s="787"/>
    </row>
    <row r="509" spans="6:15" ht="15.6" x14ac:dyDescent="0.25">
      <c r="F509" s="330"/>
      <c r="O509" s="787"/>
    </row>
    <row r="510" spans="6:15" ht="15.6" x14ac:dyDescent="0.25">
      <c r="F510" s="330"/>
      <c r="O510" s="787"/>
    </row>
    <row r="511" spans="6:15" ht="15.6" x14ac:dyDescent="0.25">
      <c r="F511" s="330"/>
      <c r="O511" s="787"/>
    </row>
    <row r="512" spans="6:15" ht="15.6" x14ac:dyDescent="0.25">
      <c r="F512" s="330"/>
      <c r="O512" s="787"/>
    </row>
    <row r="513" spans="6:15" ht="15.6" x14ac:dyDescent="0.25">
      <c r="F513" s="330"/>
      <c r="O513" s="787"/>
    </row>
    <row r="514" spans="6:15" ht="15.6" x14ac:dyDescent="0.25">
      <c r="F514" s="330"/>
      <c r="O514" s="787"/>
    </row>
    <row r="515" spans="6:15" ht="15.6" x14ac:dyDescent="0.25">
      <c r="F515" s="330"/>
      <c r="O515" s="787"/>
    </row>
    <row r="516" spans="6:15" ht="15.6" x14ac:dyDescent="0.25">
      <c r="F516" s="330"/>
      <c r="O516" s="787"/>
    </row>
    <row r="517" spans="6:15" ht="15.6" x14ac:dyDescent="0.25">
      <c r="F517" s="330"/>
      <c r="O517" s="787"/>
    </row>
    <row r="518" spans="6:15" ht="15.6" x14ac:dyDescent="0.25">
      <c r="F518" s="330"/>
      <c r="O518" s="787"/>
    </row>
    <row r="519" spans="6:15" ht="15.6" x14ac:dyDescent="0.25">
      <c r="F519" s="330"/>
      <c r="O519" s="787"/>
    </row>
    <row r="520" spans="6:15" ht="15.6" x14ac:dyDescent="0.25">
      <c r="F520" s="330"/>
      <c r="O520" s="787"/>
    </row>
    <row r="521" spans="6:15" ht="15.6" x14ac:dyDescent="0.25">
      <c r="F521" s="330"/>
      <c r="O521" s="787"/>
    </row>
    <row r="522" spans="6:15" ht="15.6" x14ac:dyDescent="0.25">
      <c r="F522" s="330"/>
      <c r="O522" s="787"/>
    </row>
    <row r="523" spans="6:15" ht="15.6" x14ac:dyDescent="0.25">
      <c r="F523" s="330"/>
      <c r="O523" s="787"/>
    </row>
    <row r="524" spans="6:15" ht="15.6" x14ac:dyDescent="0.25">
      <c r="F524" s="330"/>
      <c r="O524" s="787"/>
    </row>
    <row r="525" spans="6:15" ht="15.6" x14ac:dyDescent="0.25">
      <c r="F525" s="330"/>
      <c r="O525" s="787"/>
    </row>
    <row r="526" spans="6:15" ht="15.6" x14ac:dyDescent="0.25">
      <c r="F526" s="330"/>
      <c r="O526" s="787"/>
    </row>
    <row r="527" spans="6:15" ht="15.6" x14ac:dyDescent="0.25">
      <c r="F527" s="330"/>
      <c r="O527" s="787"/>
    </row>
    <row r="528" spans="6:15" ht="15.6" x14ac:dyDescent="0.25">
      <c r="F528" s="330"/>
      <c r="O528" s="787"/>
    </row>
    <row r="529" spans="6:15" ht="15.6" x14ac:dyDescent="0.25">
      <c r="F529" s="330"/>
      <c r="O529" s="787"/>
    </row>
    <row r="530" spans="6:15" ht="15.6" x14ac:dyDescent="0.25">
      <c r="F530" s="330"/>
      <c r="O530" s="787"/>
    </row>
    <row r="531" spans="6:15" ht="15.6" x14ac:dyDescent="0.25">
      <c r="F531" s="330"/>
      <c r="O531" s="787"/>
    </row>
    <row r="532" spans="6:15" ht="15.6" x14ac:dyDescent="0.25">
      <c r="F532" s="330"/>
      <c r="O532" s="787"/>
    </row>
    <row r="533" spans="6:15" ht="15.6" x14ac:dyDescent="0.25">
      <c r="F533" s="330"/>
      <c r="O533" s="787"/>
    </row>
    <row r="534" spans="6:15" ht="15.6" x14ac:dyDescent="0.25">
      <c r="F534" s="330"/>
      <c r="O534" s="787"/>
    </row>
    <row r="535" spans="6:15" ht="15.6" x14ac:dyDescent="0.25">
      <c r="F535" s="330"/>
      <c r="O535" s="787"/>
    </row>
    <row r="536" spans="6:15" ht="15.6" x14ac:dyDescent="0.25">
      <c r="F536" s="330"/>
      <c r="O536" s="787"/>
    </row>
    <row r="537" spans="6:15" ht="15.6" x14ac:dyDescent="0.25">
      <c r="F537" s="330"/>
      <c r="O537" s="787"/>
    </row>
    <row r="538" spans="6:15" ht="15.6" x14ac:dyDescent="0.25">
      <c r="F538" s="330"/>
      <c r="O538" s="787"/>
    </row>
    <row r="539" spans="6:15" ht="15.6" x14ac:dyDescent="0.25">
      <c r="F539" s="330"/>
      <c r="O539" s="787"/>
    </row>
    <row r="540" spans="6:15" ht="15.6" x14ac:dyDescent="0.25">
      <c r="F540" s="330"/>
      <c r="O540" s="787"/>
    </row>
    <row r="541" spans="6:15" ht="15.6" x14ac:dyDescent="0.25">
      <c r="F541" s="330"/>
      <c r="O541" s="787"/>
    </row>
    <row r="542" spans="6:15" ht="15.6" x14ac:dyDescent="0.25">
      <c r="F542" s="330"/>
      <c r="O542" s="787"/>
    </row>
    <row r="543" spans="6:15" ht="15.6" x14ac:dyDescent="0.25">
      <c r="F543" s="330"/>
      <c r="O543" s="787"/>
    </row>
    <row r="544" spans="6:15" ht="15.6" x14ac:dyDescent="0.25">
      <c r="F544" s="330"/>
      <c r="O544" s="787"/>
    </row>
    <row r="545" spans="6:15" ht="15.6" x14ac:dyDescent="0.25">
      <c r="F545" s="330"/>
      <c r="O545" s="787"/>
    </row>
    <row r="546" spans="6:15" ht="15.6" x14ac:dyDescent="0.25">
      <c r="F546" s="330"/>
      <c r="O546" s="787"/>
    </row>
    <row r="547" spans="6:15" ht="15.6" x14ac:dyDescent="0.25">
      <c r="F547" s="330"/>
      <c r="O547" s="787"/>
    </row>
    <row r="548" spans="6:15" ht="15.6" x14ac:dyDescent="0.25">
      <c r="F548" s="330"/>
      <c r="O548" s="787"/>
    </row>
    <row r="549" spans="6:15" ht="15.6" x14ac:dyDescent="0.25">
      <c r="F549" s="330"/>
      <c r="O549" s="787"/>
    </row>
    <row r="550" spans="6:15" ht="15.6" x14ac:dyDescent="0.25">
      <c r="F550" s="330"/>
      <c r="O550" s="787"/>
    </row>
    <row r="551" spans="6:15" ht="15.6" x14ac:dyDescent="0.25">
      <c r="F551" s="330"/>
      <c r="O551" s="787"/>
    </row>
    <row r="552" spans="6:15" ht="15.6" x14ac:dyDescent="0.25">
      <c r="F552" s="330"/>
      <c r="O552" s="787"/>
    </row>
    <row r="553" spans="6:15" ht="15.6" x14ac:dyDescent="0.25">
      <c r="F553" s="330"/>
      <c r="O553" s="787"/>
    </row>
    <row r="554" spans="6:15" ht="15.6" x14ac:dyDescent="0.25">
      <c r="F554" s="330"/>
      <c r="O554" s="787"/>
    </row>
    <row r="555" spans="6:15" ht="15.6" x14ac:dyDescent="0.25">
      <c r="F555" s="330"/>
      <c r="O555" s="787"/>
    </row>
    <row r="556" spans="6:15" ht="15.6" x14ac:dyDescent="0.25">
      <c r="F556" s="330"/>
      <c r="O556" s="787"/>
    </row>
    <row r="557" spans="6:15" ht="15.6" x14ac:dyDescent="0.25">
      <c r="F557" s="330"/>
      <c r="O557" s="787"/>
    </row>
    <row r="558" spans="6:15" ht="15.6" x14ac:dyDescent="0.25">
      <c r="F558" s="330"/>
      <c r="O558" s="787"/>
    </row>
    <row r="559" spans="6:15" ht="15.6" x14ac:dyDescent="0.25">
      <c r="F559" s="330"/>
      <c r="O559" s="787"/>
    </row>
    <row r="560" spans="6:15" ht="15.6" x14ac:dyDescent="0.25">
      <c r="F560" s="330"/>
      <c r="O560" s="787"/>
    </row>
    <row r="561" spans="6:15" ht="15.6" x14ac:dyDescent="0.25">
      <c r="F561" s="330"/>
      <c r="O561" s="787"/>
    </row>
    <row r="562" spans="6:15" ht="15.6" x14ac:dyDescent="0.25">
      <c r="F562" s="330"/>
      <c r="O562" s="787"/>
    </row>
    <row r="563" spans="6:15" ht="15.6" x14ac:dyDescent="0.25">
      <c r="F563" s="330"/>
      <c r="O563" s="787"/>
    </row>
    <row r="564" spans="6:15" ht="15.6" x14ac:dyDescent="0.25">
      <c r="F564" s="330"/>
      <c r="O564" s="787"/>
    </row>
    <row r="565" spans="6:15" ht="15.6" x14ac:dyDescent="0.25">
      <c r="F565" s="330"/>
      <c r="O565" s="787"/>
    </row>
    <row r="566" spans="6:15" ht="15.6" x14ac:dyDescent="0.25">
      <c r="F566" s="330"/>
      <c r="O566" s="787"/>
    </row>
    <row r="567" spans="6:15" ht="15.6" x14ac:dyDescent="0.25">
      <c r="F567" s="330"/>
      <c r="O567" s="787"/>
    </row>
    <row r="568" spans="6:15" ht="15.6" x14ac:dyDescent="0.25">
      <c r="F568" s="330"/>
      <c r="O568" s="787"/>
    </row>
    <row r="569" spans="6:15" ht="15.6" x14ac:dyDescent="0.25">
      <c r="F569" s="330"/>
      <c r="O569" s="787"/>
    </row>
    <row r="570" spans="6:15" ht="15.6" x14ac:dyDescent="0.25">
      <c r="F570" s="330"/>
      <c r="O570" s="787"/>
    </row>
    <row r="571" spans="6:15" ht="15.6" x14ac:dyDescent="0.25">
      <c r="F571" s="330"/>
      <c r="O571" s="787"/>
    </row>
    <row r="572" spans="6:15" ht="15.6" x14ac:dyDescent="0.25">
      <c r="F572" s="330"/>
      <c r="O572" s="787"/>
    </row>
    <row r="573" spans="6:15" ht="15.6" x14ac:dyDescent="0.25">
      <c r="F573" s="330"/>
      <c r="O573" s="787"/>
    </row>
    <row r="574" spans="6:15" ht="15.6" x14ac:dyDescent="0.25">
      <c r="F574" s="330"/>
      <c r="O574" s="787"/>
    </row>
    <row r="575" spans="6:15" ht="15.6" x14ac:dyDescent="0.25">
      <c r="F575" s="330"/>
      <c r="O575" s="787"/>
    </row>
    <row r="576" spans="6:15" ht="15.6" x14ac:dyDescent="0.25">
      <c r="F576" s="330"/>
      <c r="O576" s="787"/>
    </row>
    <row r="577" spans="6:15" ht="15.6" x14ac:dyDescent="0.25">
      <c r="F577" s="330"/>
      <c r="O577" s="787"/>
    </row>
    <row r="578" spans="6:15" ht="15.6" x14ac:dyDescent="0.25">
      <c r="F578" s="330"/>
      <c r="O578" s="787"/>
    </row>
    <row r="579" spans="6:15" ht="15.6" x14ac:dyDescent="0.25">
      <c r="F579" s="330"/>
      <c r="O579" s="787"/>
    </row>
    <row r="580" spans="6:15" ht="15.6" x14ac:dyDescent="0.25">
      <c r="F580" s="330"/>
      <c r="O580" s="787"/>
    </row>
    <row r="581" spans="6:15" ht="15.6" x14ac:dyDescent="0.25">
      <c r="F581" s="330"/>
      <c r="O581" s="787"/>
    </row>
    <row r="582" spans="6:15" ht="15.6" x14ac:dyDescent="0.25">
      <c r="F582" s="330"/>
      <c r="O582" s="787"/>
    </row>
    <row r="583" spans="6:15" ht="15.6" x14ac:dyDescent="0.25">
      <c r="F583" s="330"/>
      <c r="O583" s="787"/>
    </row>
    <row r="584" spans="6:15" ht="15.6" x14ac:dyDescent="0.25">
      <c r="F584" s="330"/>
      <c r="O584" s="787"/>
    </row>
    <row r="585" spans="6:15" ht="15.6" x14ac:dyDescent="0.25">
      <c r="F585" s="330"/>
      <c r="O585" s="787"/>
    </row>
    <row r="586" spans="6:15" ht="15.6" x14ac:dyDescent="0.25">
      <c r="F586" s="330"/>
      <c r="O586" s="787"/>
    </row>
    <row r="587" spans="6:15" ht="15.6" x14ac:dyDescent="0.25">
      <c r="F587" s="330"/>
      <c r="O587" s="787"/>
    </row>
    <row r="588" spans="6:15" ht="15.6" x14ac:dyDescent="0.25">
      <c r="F588" s="330"/>
      <c r="O588" s="787"/>
    </row>
    <row r="589" spans="6:15" ht="15.6" x14ac:dyDescent="0.25">
      <c r="F589" s="330"/>
      <c r="O589" s="787"/>
    </row>
    <row r="590" spans="6:15" ht="15.6" x14ac:dyDescent="0.25">
      <c r="F590" s="330"/>
      <c r="O590" s="787"/>
    </row>
    <row r="591" spans="6:15" ht="15.6" x14ac:dyDescent="0.25">
      <c r="F591" s="330"/>
      <c r="O591" s="787"/>
    </row>
    <row r="592" spans="6:15" ht="15.6" x14ac:dyDescent="0.25">
      <c r="F592" s="330"/>
      <c r="O592" s="787"/>
    </row>
    <row r="593" spans="6:15" ht="15.6" x14ac:dyDescent="0.25">
      <c r="F593" s="330"/>
      <c r="O593" s="787"/>
    </row>
    <row r="594" spans="6:15" ht="15.6" x14ac:dyDescent="0.25">
      <c r="F594" s="330"/>
      <c r="O594" s="787"/>
    </row>
    <row r="595" spans="6:15" ht="15.6" x14ac:dyDescent="0.25">
      <c r="F595" s="330"/>
      <c r="O595" s="787"/>
    </row>
    <row r="596" spans="6:15" ht="15.6" x14ac:dyDescent="0.25">
      <c r="F596" s="330"/>
      <c r="O596" s="787"/>
    </row>
    <row r="597" spans="6:15" ht="15.6" x14ac:dyDescent="0.25">
      <c r="F597" s="330"/>
      <c r="O597" s="787"/>
    </row>
    <row r="598" spans="6:15" ht="15.6" x14ac:dyDescent="0.25">
      <c r="F598" s="330"/>
      <c r="O598" s="787"/>
    </row>
    <row r="599" spans="6:15" ht="15.6" x14ac:dyDescent="0.25">
      <c r="F599" s="330"/>
      <c r="O599" s="787"/>
    </row>
    <row r="600" spans="6:15" ht="15.6" x14ac:dyDescent="0.25">
      <c r="F600" s="330"/>
      <c r="O600" s="787"/>
    </row>
    <row r="601" spans="6:15" ht="15.6" x14ac:dyDescent="0.25">
      <c r="F601" s="330"/>
      <c r="O601" s="787"/>
    </row>
    <row r="602" spans="6:15" ht="15.6" x14ac:dyDescent="0.25">
      <c r="F602" s="330"/>
      <c r="O602" s="787"/>
    </row>
    <row r="603" spans="6:15" ht="15.6" x14ac:dyDescent="0.25">
      <c r="F603" s="330"/>
      <c r="O603" s="787"/>
    </row>
    <row r="604" spans="6:15" ht="15.6" x14ac:dyDescent="0.25">
      <c r="F604" s="330"/>
      <c r="O604" s="787"/>
    </row>
    <row r="605" spans="6:15" ht="15.6" x14ac:dyDescent="0.25">
      <c r="F605" s="330"/>
      <c r="O605" s="787"/>
    </row>
    <row r="606" spans="6:15" ht="15.6" x14ac:dyDescent="0.25">
      <c r="F606" s="330"/>
      <c r="O606" s="787"/>
    </row>
    <row r="607" spans="6:15" ht="15.6" x14ac:dyDescent="0.25">
      <c r="F607" s="330"/>
      <c r="O607" s="787"/>
    </row>
    <row r="608" spans="6:15" ht="15.6" x14ac:dyDescent="0.25">
      <c r="F608" s="330"/>
      <c r="O608" s="787"/>
    </row>
    <row r="609" spans="6:15" ht="15.6" x14ac:dyDescent="0.25">
      <c r="F609" s="330"/>
      <c r="O609" s="787"/>
    </row>
    <row r="610" spans="6:15" ht="15.6" x14ac:dyDescent="0.25">
      <c r="F610" s="330"/>
      <c r="O610" s="787"/>
    </row>
    <row r="611" spans="6:15" ht="15.6" x14ac:dyDescent="0.25">
      <c r="F611" s="330"/>
      <c r="O611" s="787"/>
    </row>
    <row r="612" spans="6:15" ht="15.6" x14ac:dyDescent="0.25">
      <c r="F612" s="330"/>
      <c r="O612" s="787"/>
    </row>
    <row r="613" spans="6:15" ht="15.6" x14ac:dyDescent="0.25">
      <c r="F613" s="330"/>
      <c r="O613" s="787"/>
    </row>
    <row r="614" spans="6:15" ht="15.6" x14ac:dyDescent="0.25">
      <c r="F614" s="330"/>
      <c r="O614" s="787"/>
    </row>
    <row r="615" spans="6:15" ht="15.6" x14ac:dyDescent="0.25">
      <c r="F615" s="330"/>
      <c r="O615" s="787"/>
    </row>
    <row r="616" spans="6:15" ht="15.6" x14ac:dyDescent="0.25">
      <c r="F616" s="330"/>
      <c r="O616" s="787"/>
    </row>
    <row r="617" spans="6:15" ht="15.6" x14ac:dyDescent="0.25">
      <c r="F617" s="330"/>
      <c r="O617" s="787"/>
    </row>
    <row r="618" spans="6:15" ht="15.6" x14ac:dyDescent="0.25">
      <c r="F618" s="330"/>
      <c r="O618" s="787"/>
    </row>
    <row r="619" spans="6:15" ht="15.6" x14ac:dyDescent="0.25">
      <c r="F619" s="330"/>
      <c r="O619" s="787"/>
    </row>
    <row r="620" spans="6:15" ht="15.6" x14ac:dyDescent="0.25">
      <c r="F620" s="330"/>
      <c r="O620" s="787"/>
    </row>
    <row r="621" spans="6:15" ht="15.6" x14ac:dyDescent="0.25">
      <c r="F621" s="330"/>
      <c r="O621" s="787"/>
    </row>
    <row r="622" spans="6:15" ht="15.6" x14ac:dyDescent="0.25">
      <c r="F622" s="330"/>
      <c r="O622" s="787"/>
    </row>
    <row r="623" spans="6:15" ht="15.6" x14ac:dyDescent="0.25">
      <c r="F623" s="330"/>
      <c r="O623" s="787"/>
    </row>
    <row r="624" spans="6:15" ht="15.6" x14ac:dyDescent="0.25">
      <c r="F624" s="330"/>
      <c r="O624" s="787"/>
    </row>
    <row r="625" spans="6:15" ht="15.6" x14ac:dyDescent="0.25">
      <c r="F625" s="330"/>
      <c r="O625" s="787"/>
    </row>
    <row r="626" spans="6:15" ht="15.6" x14ac:dyDescent="0.25">
      <c r="F626" s="330"/>
      <c r="O626" s="787"/>
    </row>
    <row r="627" spans="6:15" ht="15.6" x14ac:dyDescent="0.25">
      <c r="F627" s="330"/>
      <c r="O627" s="787"/>
    </row>
    <row r="628" spans="6:15" ht="15.6" x14ac:dyDescent="0.25">
      <c r="F628" s="330"/>
      <c r="O628" s="787"/>
    </row>
    <row r="629" spans="6:15" ht="15.6" x14ac:dyDescent="0.25">
      <c r="F629" s="330"/>
      <c r="O629" s="787"/>
    </row>
    <row r="630" spans="6:15" ht="15.6" x14ac:dyDescent="0.25">
      <c r="F630" s="330"/>
      <c r="O630" s="787"/>
    </row>
    <row r="631" spans="6:15" ht="15.6" x14ac:dyDescent="0.25">
      <c r="F631" s="330"/>
      <c r="O631" s="787"/>
    </row>
    <row r="632" spans="6:15" ht="15.6" x14ac:dyDescent="0.25">
      <c r="F632" s="330"/>
      <c r="O632" s="787"/>
    </row>
    <row r="633" spans="6:15" ht="15.6" x14ac:dyDescent="0.25">
      <c r="F633" s="330"/>
      <c r="O633" s="787"/>
    </row>
    <row r="634" spans="6:15" ht="15.6" x14ac:dyDescent="0.25">
      <c r="F634" s="330"/>
      <c r="O634" s="787"/>
    </row>
    <row r="635" spans="6:15" ht="15.6" x14ac:dyDescent="0.25">
      <c r="F635" s="330"/>
      <c r="O635" s="787"/>
    </row>
    <row r="636" spans="6:15" ht="15.6" x14ac:dyDescent="0.25">
      <c r="F636" s="330"/>
      <c r="O636" s="787"/>
    </row>
    <row r="637" spans="6:15" ht="15.6" x14ac:dyDescent="0.25">
      <c r="F637" s="330"/>
      <c r="O637" s="787"/>
    </row>
    <row r="638" spans="6:15" ht="15.6" x14ac:dyDescent="0.25">
      <c r="F638" s="330"/>
      <c r="O638" s="787"/>
    </row>
    <row r="639" spans="6:15" ht="15.6" x14ac:dyDescent="0.25">
      <c r="F639" s="330"/>
      <c r="O639" s="787"/>
    </row>
    <row r="640" spans="6:15" ht="15.6" x14ac:dyDescent="0.25">
      <c r="F640" s="330"/>
      <c r="O640" s="787"/>
    </row>
    <row r="641" spans="6:15" ht="15.6" x14ac:dyDescent="0.25">
      <c r="F641" s="330"/>
      <c r="O641" s="787"/>
    </row>
    <row r="642" spans="6:15" ht="15.6" x14ac:dyDescent="0.25">
      <c r="F642" s="330"/>
      <c r="O642" s="787"/>
    </row>
    <row r="643" spans="6:15" ht="15.6" x14ac:dyDescent="0.25">
      <c r="F643" s="330"/>
      <c r="O643" s="787"/>
    </row>
    <row r="644" spans="6:15" ht="15.6" x14ac:dyDescent="0.25">
      <c r="F644" s="330"/>
      <c r="O644" s="787"/>
    </row>
    <row r="645" spans="6:15" ht="15.6" x14ac:dyDescent="0.25">
      <c r="F645" s="330"/>
      <c r="O645" s="787"/>
    </row>
    <row r="646" spans="6:15" ht="15.6" x14ac:dyDescent="0.25">
      <c r="F646" s="330"/>
      <c r="O646" s="787"/>
    </row>
    <row r="647" spans="6:15" ht="15.6" x14ac:dyDescent="0.25">
      <c r="F647" s="330"/>
      <c r="O647" s="787"/>
    </row>
    <row r="648" spans="6:15" ht="15.6" x14ac:dyDescent="0.25">
      <c r="F648" s="330"/>
      <c r="O648" s="787"/>
    </row>
    <row r="649" spans="6:15" ht="15.6" x14ac:dyDescent="0.25">
      <c r="F649" s="330"/>
      <c r="O649" s="787"/>
    </row>
    <row r="650" spans="6:15" ht="15.6" x14ac:dyDescent="0.25">
      <c r="F650" s="330"/>
      <c r="O650" s="787"/>
    </row>
    <row r="651" spans="6:15" ht="15.6" x14ac:dyDescent="0.25">
      <c r="F651" s="330"/>
      <c r="O651" s="787"/>
    </row>
    <row r="652" spans="6:15" ht="15.6" x14ac:dyDescent="0.25">
      <c r="F652" s="330"/>
      <c r="O652" s="787"/>
    </row>
    <row r="653" spans="6:15" ht="15.6" x14ac:dyDescent="0.25">
      <c r="F653" s="330"/>
      <c r="O653" s="787"/>
    </row>
    <row r="654" spans="6:15" ht="15.6" x14ac:dyDescent="0.25">
      <c r="F654" s="330"/>
      <c r="O654" s="787"/>
    </row>
    <row r="655" spans="6:15" ht="15.6" x14ac:dyDescent="0.25">
      <c r="F655" s="330"/>
      <c r="O655" s="787"/>
    </row>
    <row r="656" spans="6:15" ht="15.6" x14ac:dyDescent="0.25">
      <c r="F656" s="330"/>
      <c r="O656" s="787"/>
    </row>
    <row r="657" spans="6:15" ht="15.6" x14ac:dyDescent="0.25">
      <c r="F657" s="330"/>
      <c r="O657" s="787"/>
    </row>
    <row r="658" spans="6:15" ht="15.6" x14ac:dyDescent="0.25">
      <c r="F658" s="330"/>
      <c r="O658" s="787"/>
    </row>
    <row r="659" spans="6:15" ht="15.6" x14ac:dyDescent="0.25">
      <c r="F659" s="330"/>
      <c r="O659" s="787"/>
    </row>
    <row r="660" spans="6:15" ht="15.6" x14ac:dyDescent="0.25">
      <c r="F660" s="330"/>
      <c r="O660" s="787"/>
    </row>
    <row r="661" spans="6:15" ht="15.6" x14ac:dyDescent="0.25">
      <c r="F661" s="330"/>
      <c r="O661" s="787"/>
    </row>
    <row r="662" spans="6:15" ht="15.6" x14ac:dyDescent="0.25">
      <c r="F662" s="330"/>
      <c r="O662" s="787"/>
    </row>
    <row r="663" spans="6:15" ht="15.6" x14ac:dyDescent="0.25">
      <c r="F663" s="330"/>
      <c r="O663" s="787"/>
    </row>
    <row r="664" spans="6:15" ht="15.6" x14ac:dyDescent="0.25">
      <c r="F664" s="330"/>
      <c r="O664" s="787"/>
    </row>
    <row r="665" spans="6:15" ht="15.6" x14ac:dyDescent="0.25">
      <c r="F665" s="330"/>
      <c r="O665" s="787"/>
    </row>
    <row r="666" spans="6:15" ht="15.6" x14ac:dyDescent="0.25">
      <c r="F666" s="330"/>
      <c r="O666" s="787"/>
    </row>
    <row r="667" spans="6:15" ht="15.6" x14ac:dyDescent="0.25">
      <c r="F667" s="330"/>
      <c r="O667" s="787"/>
    </row>
    <row r="668" spans="6:15" ht="15.6" x14ac:dyDescent="0.25">
      <c r="F668" s="330"/>
      <c r="O668" s="787"/>
    </row>
    <row r="669" spans="6:15" ht="15.6" x14ac:dyDescent="0.25">
      <c r="F669" s="330"/>
      <c r="O669" s="787"/>
    </row>
    <row r="670" spans="6:15" ht="15.6" x14ac:dyDescent="0.25">
      <c r="F670" s="330"/>
      <c r="O670" s="787"/>
    </row>
    <row r="671" spans="6:15" ht="15.6" x14ac:dyDescent="0.25">
      <c r="F671" s="330"/>
      <c r="O671" s="787"/>
    </row>
    <row r="672" spans="6:15" ht="15.6" x14ac:dyDescent="0.25">
      <c r="F672" s="330"/>
      <c r="O672" s="787"/>
    </row>
    <row r="673" spans="6:15" ht="15.6" x14ac:dyDescent="0.25">
      <c r="F673" s="330"/>
      <c r="O673" s="787"/>
    </row>
    <row r="674" spans="6:15" ht="15.6" x14ac:dyDescent="0.25">
      <c r="F674" s="330"/>
      <c r="O674" s="787"/>
    </row>
    <row r="675" spans="6:15" ht="15.6" x14ac:dyDescent="0.25">
      <c r="F675" s="330"/>
      <c r="O675" s="787"/>
    </row>
    <row r="676" spans="6:15" ht="15.6" x14ac:dyDescent="0.25">
      <c r="F676" s="330"/>
      <c r="O676" s="787"/>
    </row>
    <row r="677" spans="6:15" ht="15.6" x14ac:dyDescent="0.25">
      <c r="F677" s="330"/>
      <c r="O677" s="787"/>
    </row>
    <row r="678" spans="6:15" ht="15.6" x14ac:dyDescent="0.25">
      <c r="F678" s="330"/>
      <c r="O678" s="787"/>
    </row>
    <row r="679" spans="6:15" ht="15.6" x14ac:dyDescent="0.25">
      <c r="F679" s="330"/>
      <c r="O679" s="787"/>
    </row>
    <row r="680" spans="6:15" ht="15.6" x14ac:dyDescent="0.25">
      <c r="F680" s="330"/>
      <c r="O680" s="787"/>
    </row>
    <row r="681" spans="6:15" ht="15.6" x14ac:dyDescent="0.25">
      <c r="F681" s="330"/>
      <c r="O681" s="787"/>
    </row>
    <row r="682" spans="6:15" ht="15.6" x14ac:dyDescent="0.25">
      <c r="F682" s="330"/>
      <c r="O682" s="787"/>
    </row>
    <row r="683" spans="6:15" ht="15.6" x14ac:dyDescent="0.25">
      <c r="F683" s="330"/>
      <c r="O683" s="787"/>
    </row>
    <row r="684" spans="6:15" ht="15.6" x14ac:dyDescent="0.25">
      <c r="F684" s="330"/>
      <c r="O684" s="787"/>
    </row>
    <row r="685" spans="6:15" ht="15.6" x14ac:dyDescent="0.25">
      <c r="F685" s="330"/>
      <c r="O685" s="787"/>
    </row>
    <row r="686" spans="6:15" ht="15.6" x14ac:dyDescent="0.25">
      <c r="F686" s="330"/>
      <c r="O686" s="787"/>
    </row>
    <row r="687" spans="6:15" ht="15.6" x14ac:dyDescent="0.25">
      <c r="F687" s="330"/>
      <c r="O687" s="787"/>
    </row>
    <row r="688" spans="6:15" ht="15.6" x14ac:dyDescent="0.25">
      <c r="F688" s="330"/>
      <c r="O688" s="787"/>
    </row>
    <row r="689" spans="6:15" ht="15.6" x14ac:dyDescent="0.25">
      <c r="F689" s="330"/>
      <c r="O689" s="787"/>
    </row>
    <row r="690" spans="6:15" ht="15.6" x14ac:dyDescent="0.25">
      <c r="F690" s="330"/>
      <c r="O690" s="787"/>
    </row>
    <row r="691" spans="6:15" ht="15.6" x14ac:dyDescent="0.25">
      <c r="F691" s="330"/>
      <c r="O691" s="787"/>
    </row>
    <row r="692" spans="6:15" ht="15.6" x14ac:dyDescent="0.25">
      <c r="F692" s="330"/>
      <c r="O692" s="787"/>
    </row>
    <row r="693" spans="6:15" ht="15.6" x14ac:dyDescent="0.25">
      <c r="F693" s="330"/>
      <c r="O693" s="787"/>
    </row>
    <row r="694" spans="6:15" ht="15.6" x14ac:dyDescent="0.25">
      <c r="F694" s="330"/>
      <c r="O694" s="787"/>
    </row>
    <row r="695" spans="6:15" ht="15.6" x14ac:dyDescent="0.25">
      <c r="F695" s="330"/>
      <c r="O695" s="787"/>
    </row>
    <row r="696" spans="6:15" ht="15.6" x14ac:dyDescent="0.25">
      <c r="F696" s="330"/>
      <c r="O696" s="787"/>
    </row>
    <row r="697" spans="6:15" ht="15.6" x14ac:dyDescent="0.25">
      <c r="F697" s="330"/>
      <c r="O697" s="787"/>
    </row>
    <row r="698" spans="6:15" ht="15.6" x14ac:dyDescent="0.25">
      <c r="F698" s="330"/>
      <c r="O698" s="787"/>
    </row>
    <row r="699" spans="6:15" ht="15.6" x14ac:dyDescent="0.25">
      <c r="F699" s="330"/>
      <c r="O699" s="787"/>
    </row>
    <row r="700" spans="6:15" ht="15.6" x14ac:dyDescent="0.25">
      <c r="F700" s="330"/>
      <c r="O700" s="787"/>
    </row>
    <row r="701" spans="6:15" ht="15.6" x14ac:dyDescent="0.25">
      <c r="F701" s="330"/>
      <c r="O701" s="787"/>
    </row>
    <row r="702" spans="6:15" ht="15.6" x14ac:dyDescent="0.25">
      <c r="F702" s="330"/>
      <c r="O702" s="787"/>
    </row>
    <row r="703" spans="6:15" ht="15.6" x14ac:dyDescent="0.25">
      <c r="F703" s="330"/>
      <c r="O703" s="787"/>
    </row>
    <row r="704" spans="6:15" ht="15.6" x14ac:dyDescent="0.25">
      <c r="F704" s="330"/>
      <c r="O704" s="787"/>
    </row>
    <row r="705" spans="6:15" ht="15.6" x14ac:dyDescent="0.25">
      <c r="F705" s="330"/>
      <c r="O705" s="787"/>
    </row>
    <row r="706" spans="6:15" ht="15.6" x14ac:dyDescent="0.25">
      <c r="F706" s="330"/>
      <c r="O706" s="787"/>
    </row>
    <row r="707" spans="6:15" ht="15.6" x14ac:dyDescent="0.25">
      <c r="F707" s="330"/>
      <c r="O707" s="787"/>
    </row>
    <row r="708" spans="6:15" ht="15.6" x14ac:dyDescent="0.25">
      <c r="F708" s="330"/>
      <c r="O708" s="787"/>
    </row>
    <row r="709" spans="6:15" ht="15.6" x14ac:dyDescent="0.25">
      <c r="F709" s="330"/>
      <c r="O709" s="787"/>
    </row>
    <row r="710" spans="6:15" ht="15.6" x14ac:dyDescent="0.25">
      <c r="F710" s="330"/>
      <c r="O710" s="787"/>
    </row>
    <row r="711" spans="6:15" ht="15.6" x14ac:dyDescent="0.25">
      <c r="F711" s="330"/>
      <c r="O711" s="787"/>
    </row>
    <row r="712" spans="6:15" ht="15.6" x14ac:dyDescent="0.25">
      <c r="F712" s="330"/>
      <c r="O712" s="787"/>
    </row>
    <row r="713" spans="6:15" ht="15.6" x14ac:dyDescent="0.25">
      <c r="F713" s="330"/>
      <c r="O713" s="787"/>
    </row>
    <row r="714" spans="6:15" ht="15.6" x14ac:dyDescent="0.25">
      <c r="F714" s="330"/>
      <c r="O714" s="787"/>
    </row>
    <row r="715" spans="6:15" ht="15.6" x14ac:dyDescent="0.25">
      <c r="F715" s="330"/>
      <c r="O715" s="787"/>
    </row>
    <row r="716" spans="6:15" ht="15.6" x14ac:dyDescent="0.25">
      <c r="F716" s="330"/>
      <c r="O716" s="787"/>
    </row>
    <row r="717" spans="6:15" ht="15.6" x14ac:dyDescent="0.25">
      <c r="F717" s="330"/>
      <c r="O717" s="787"/>
    </row>
    <row r="718" spans="6:15" ht="15.6" x14ac:dyDescent="0.25">
      <c r="F718" s="330"/>
      <c r="O718" s="787"/>
    </row>
    <row r="719" spans="6:15" ht="15.6" x14ac:dyDescent="0.25">
      <c r="F719" s="330"/>
      <c r="O719" s="787"/>
    </row>
    <row r="720" spans="6:15" ht="15.6" x14ac:dyDescent="0.25">
      <c r="F720" s="330"/>
      <c r="O720" s="787"/>
    </row>
    <row r="721" spans="6:15" ht="15.6" x14ac:dyDescent="0.25">
      <c r="F721" s="330"/>
      <c r="O721" s="787"/>
    </row>
    <row r="722" spans="6:15" ht="15.6" x14ac:dyDescent="0.25">
      <c r="F722" s="330"/>
      <c r="O722" s="787"/>
    </row>
    <row r="723" spans="6:15" ht="15.6" x14ac:dyDescent="0.25">
      <c r="F723" s="330"/>
      <c r="O723" s="787"/>
    </row>
    <row r="724" spans="6:15" ht="15.6" x14ac:dyDescent="0.25">
      <c r="F724" s="330"/>
      <c r="O724" s="787"/>
    </row>
    <row r="725" spans="6:15" ht="15.6" x14ac:dyDescent="0.25">
      <c r="F725" s="330"/>
      <c r="O725" s="787"/>
    </row>
    <row r="726" spans="6:15" ht="15.6" x14ac:dyDescent="0.25">
      <c r="F726" s="330"/>
      <c r="O726" s="787"/>
    </row>
    <row r="727" spans="6:15" ht="15.6" x14ac:dyDescent="0.25">
      <c r="F727" s="330"/>
      <c r="O727" s="787"/>
    </row>
    <row r="728" spans="6:15" ht="15.6" x14ac:dyDescent="0.25">
      <c r="F728" s="330"/>
      <c r="O728" s="787"/>
    </row>
    <row r="729" spans="6:15" ht="15.6" x14ac:dyDescent="0.25">
      <c r="F729" s="330"/>
      <c r="O729" s="787"/>
    </row>
    <row r="730" spans="6:15" ht="15.6" x14ac:dyDescent="0.25">
      <c r="F730" s="330"/>
      <c r="O730" s="787"/>
    </row>
    <row r="731" spans="6:15" ht="15.6" x14ac:dyDescent="0.25">
      <c r="F731" s="330"/>
      <c r="O731" s="787"/>
    </row>
    <row r="732" spans="6:15" ht="15.6" x14ac:dyDescent="0.25">
      <c r="F732" s="330"/>
      <c r="O732" s="787"/>
    </row>
    <row r="733" spans="6:15" ht="15.6" x14ac:dyDescent="0.25">
      <c r="F733" s="330"/>
      <c r="O733" s="787"/>
    </row>
    <row r="734" spans="6:15" ht="15.6" x14ac:dyDescent="0.25">
      <c r="F734" s="330"/>
      <c r="O734" s="787"/>
    </row>
    <row r="735" spans="6:15" ht="15.6" x14ac:dyDescent="0.25">
      <c r="F735" s="330"/>
      <c r="O735" s="787"/>
    </row>
    <row r="736" spans="6:15" ht="15.6" x14ac:dyDescent="0.25">
      <c r="F736" s="330"/>
      <c r="O736" s="787"/>
    </row>
    <row r="737" spans="6:15" ht="15.6" x14ac:dyDescent="0.25">
      <c r="F737" s="330"/>
      <c r="O737" s="787"/>
    </row>
    <row r="738" spans="6:15" ht="15.6" x14ac:dyDescent="0.25">
      <c r="F738" s="330"/>
      <c r="O738" s="787"/>
    </row>
    <row r="739" spans="6:15" ht="15.6" x14ac:dyDescent="0.25">
      <c r="F739" s="330"/>
      <c r="O739" s="787"/>
    </row>
    <row r="740" spans="6:15" ht="15.6" x14ac:dyDescent="0.25">
      <c r="F740" s="330"/>
      <c r="O740" s="787"/>
    </row>
    <row r="741" spans="6:15" ht="15.6" x14ac:dyDescent="0.25">
      <c r="F741" s="330"/>
      <c r="O741" s="787"/>
    </row>
    <row r="742" spans="6:15" ht="15.6" x14ac:dyDescent="0.25">
      <c r="F742" s="330"/>
      <c r="O742" s="787"/>
    </row>
    <row r="743" spans="6:15" ht="15.6" x14ac:dyDescent="0.25">
      <c r="F743" s="330"/>
      <c r="O743" s="787"/>
    </row>
    <row r="744" spans="6:15" ht="15.6" x14ac:dyDescent="0.25">
      <c r="F744" s="330"/>
      <c r="O744" s="787"/>
    </row>
    <row r="745" spans="6:15" ht="15.6" x14ac:dyDescent="0.25">
      <c r="F745" s="330"/>
      <c r="O745" s="787"/>
    </row>
    <row r="746" spans="6:15" ht="15.6" x14ac:dyDescent="0.25">
      <c r="F746" s="330"/>
      <c r="O746" s="787"/>
    </row>
    <row r="747" spans="6:15" ht="15.6" x14ac:dyDescent="0.25">
      <c r="F747" s="330"/>
      <c r="O747" s="787"/>
    </row>
    <row r="748" spans="6:15" ht="15.6" x14ac:dyDescent="0.25">
      <c r="F748" s="330"/>
      <c r="O748" s="787"/>
    </row>
    <row r="749" spans="6:15" ht="15.6" x14ac:dyDescent="0.25">
      <c r="F749" s="330"/>
      <c r="O749" s="787"/>
    </row>
    <row r="750" spans="6:15" ht="15.6" x14ac:dyDescent="0.25">
      <c r="F750" s="330"/>
      <c r="O750" s="787"/>
    </row>
    <row r="751" spans="6:15" ht="15.6" x14ac:dyDescent="0.25">
      <c r="F751" s="330"/>
      <c r="O751" s="787"/>
    </row>
    <row r="752" spans="6:15" ht="15.6" x14ac:dyDescent="0.25">
      <c r="F752" s="330"/>
      <c r="O752" s="787"/>
    </row>
    <row r="753" spans="6:15" ht="15.6" x14ac:dyDescent="0.25">
      <c r="F753" s="330"/>
      <c r="O753" s="787"/>
    </row>
    <row r="754" spans="6:15" ht="15.6" x14ac:dyDescent="0.25">
      <c r="F754" s="330"/>
      <c r="O754" s="787"/>
    </row>
    <row r="755" spans="6:15" ht="15.6" x14ac:dyDescent="0.25">
      <c r="F755" s="330"/>
      <c r="O755" s="787"/>
    </row>
    <row r="756" spans="6:15" ht="15.6" x14ac:dyDescent="0.25">
      <c r="F756" s="330"/>
      <c r="O756" s="787"/>
    </row>
    <row r="757" spans="6:15" ht="15.6" x14ac:dyDescent="0.25">
      <c r="F757" s="330"/>
      <c r="O757" s="787"/>
    </row>
    <row r="758" spans="6:15" ht="15.6" x14ac:dyDescent="0.25">
      <c r="F758" s="330"/>
      <c r="O758" s="787"/>
    </row>
    <row r="759" spans="6:15" ht="15.6" x14ac:dyDescent="0.25">
      <c r="F759" s="330"/>
      <c r="O759" s="787"/>
    </row>
    <row r="760" spans="6:15" ht="15.6" x14ac:dyDescent="0.25">
      <c r="F760" s="330"/>
      <c r="O760" s="787"/>
    </row>
    <row r="761" spans="6:15" ht="15.6" x14ac:dyDescent="0.25">
      <c r="F761" s="330"/>
      <c r="O761" s="787"/>
    </row>
    <row r="762" spans="6:15" ht="15.6" x14ac:dyDescent="0.25">
      <c r="F762" s="330"/>
      <c r="O762" s="787"/>
    </row>
    <row r="763" spans="6:15" ht="15.6" x14ac:dyDescent="0.25">
      <c r="F763" s="330"/>
      <c r="O763" s="787"/>
    </row>
    <row r="764" spans="6:15" ht="15.6" x14ac:dyDescent="0.25">
      <c r="F764" s="330"/>
      <c r="O764" s="787"/>
    </row>
    <row r="765" spans="6:15" ht="15.6" x14ac:dyDescent="0.25">
      <c r="F765" s="330"/>
      <c r="O765" s="787"/>
    </row>
    <row r="766" spans="6:15" ht="15.6" x14ac:dyDescent="0.25">
      <c r="F766" s="330"/>
      <c r="O766" s="787"/>
    </row>
    <row r="767" spans="6:15" ht="15.6" x14ac:dyDescent="0.25">
      <c r="F767" s="330"/>
      <c r="O767" s="787"/>
    </row>
    <row r="768" spans="6:15" ht="15.6" x14ac:dyDescent="0.25">
      <c r="F768" s="330"/>
      <c r="O768" s="787"/>
    </row>
    <row r="769" spans="6:15" ht="15.6" x14ac:dyDescent="0.25">
      <c r="F769" s="330"/>
      <c r="O769" s="787"/>
    </row>
    <row r="770" spans="6:15" ht="15.6" x14ac:dyDescent="0.25">
      <c r="F770" s="330"/>
      <c r="O770" s="787"/>
    </row>
    <row r="771" spans="6:15" ht="15.6" x14ac:dyDescent="0.25">
      <c r="F771" s="330"/>
      <c r="O771" s="787"/>
    </row>
    <row r="772" spans="6:15" ht="15.6" x14ac:dyDescent="0.25">
      <c r="F772" s="330"/>
      <c r="O772" s="787"/>
    </row>
    <row r="773" spans="6:15" ht="15.6" x14ac:dyDescent="0.25">
      <c r="F773" s="330"/>
      <c r="O773" s="787"/>
    </row>
    <row r="774" spans="6:15" ht="15.6" x14ac:dyDescent="0.25">
      <c r="F774" s="330"/>
      <c r="O774" s="787"/>
    </row>
    <row r="775" spans="6:15" ht="15.6" x14ac:dyDescent="0.25">
      <c r="F775" s="330"/>
      <c r="O775" s="787"/>
    </row>
    <row r="776" spans="6:15" ht="15.6" x14ac:dyDescent="0.25">
      <c r="F776" s="330"/>
      <c r="O776" s="787"/>
    </row>
    <row r="777" spans="6:15" ht="15.6" x14ac:dyDescent="0.25">
      <c r="F777" s="330"/>
      <c r="O777" s="787"/>
    </row>
    <row r="778" spans="6:15" ht="15.6" x14ac:dyDescent="0.25">
      <c r="F778" s="330"/>
      <c r="O778" s="787"/>
    </row>
    <row r="779" spans="6:15" ht="15.6" x14ac:dyDescent="0.25">
      <c r="F779" s="330"/>
      <c r="O779" s="787"/>
    </row>
    <row r="780" spans="6:15" ht="15.6" x14ac:dyDescent="0.25">
      <c r="F780" s="330"/>
      <c r="O780" s="787"/>
    </row>
    <row r="781" spans="6:15" ht="15.6" x14ac:dyDescent="0.25">
      <c r="F781" s="330"/>
      <c r="O781" s="787"/>
    </row>
    <row r="782" spans="6:15" ht="15.6" x14ac:dyDescent="0.25">
      <c r="F782" s="330"/>
      <c r="O782" s="787"/>
    </row>
    <row r="783" spans="6:15" ht="15.6" x14ac:dyDescent="0.25">
      <c r="F783" s="330"/>
      <c r="O783" s="787"/>
    </row>
    <row r="784" spans="6:15" ht="15.6" x14ac:dyDescent="0.25">
      <c r="F784" s="330"/>
      <c r="O784" s="787"/>
    </row>
    <row r="785" spans="6:15" ht="15.6" x14ac:dyDescent="0.25">
      <c r="F785" s="330"/>
      <c r="O785" s="787"/>
    </row>
    <row r="786" spans="6:15" ht="15.6" x14ac:dyDescent="0.25">
      <c r="F786" s="330"/>
      <c r="O786" s="787"/>
    </row>
    <row r="787" spans="6:15" ht="15.6" x14ac:dyDescent="0.25">
      <c r="F787" s="330"/>
      <c r="O787" s="787"/>
    </row>
    <row r="788" spans="6:15" ht="15.6" x14ac:dyDescent="0.25">
      <c r="F788" s="330"/>
      <c r="O788" s="787"/>
    </row>
    <row r="789" spans="6:15" ht="15.6" x14ac:dyDescent="0.25">
      <c r="F789" s="330"/>
      <c r="O789" s="787"/>
    </row>
    <row r="790" spans="6:15" ht="15.6" x14ac:dyDescent="0.25">
      <c r="F790" s="330"/>
      <c r="O790" s="787"/>
    </row>
    <row r="791" spans="6:15" ht="15.6" x14ac:dyDescent="0.25">
      <c r="F791" s="330"/>
      <c r="O791" s="787"/>
    </row>
    <row r="792" spans="6:15" ht="15.6" x14ac:dyDescent="0.25">
      <c r="F792" s="330"/>
      <c r="O792" s="787"/>
    </row>
    <row r="793" spans="6:15" ht="15.6" x14ac:dyDescent="0.25">
      <c r="F793" s="330"/>
      <c r="O793" s="787"/>
    </row>
    <row r="794" spans="6:15" ht="15.6" x14ac:dyDescent="0.25">
      <c r="F794" s="330"/>
      <c r="O794" s="787"/>
    </row>
    <row r="795" spans="6:15" ht="15.6" x14ac:dyDescent="0.25">
      <c r="F795" s="330"/>
      <c r="O795" s="787"/>
    </row>
    <row r="796" spans="6:15" ht="15.6" x14ac:dyDescent="0.25">
      <c r="F796" s="330"/>
      <c r="O796" s="787"/>
    </row>
    <row r="797" spans="6:15" ht="15.6" x14ac:dyDescent="0.25">
      <c r="F797" s="330"/>
      <c r="O797" s="787"/>
    </row>
    <row r="798" spans="6:15" ht="15.6" x14ac:dyDescent="0.25">
      <c r="F798" s="330"/>
      <c r="O798" s="787"/>
    </row>
    <row r="799" spans="6:15" ht="15.6" x14ac:dyDescent="0.25">
      <c r="F799" s="330"/>
      <c r="O799" s="787"/>
    </row>
    <row r="800" spans="6:15" ht="15.6" x14ac:dyDescent="0.25">
      <c r="F800" s="330"/>
      <c r="O800" s="787"/>
    </row>
    <row r="801" spans="6:15" ht="15.6" x14ac:dyDescent="0.25">
      <c r="F801" s="330"/>
      <c r="O801" s="787"/>
    </row>
    <row r="802" spans="6:15" ht="15.6" x14ac:dyDescent="0.25">
      <c r="F802" s="330"/>
      <c r="O802" s="787"/>
    </row>
    <row r="803" spans="6:15" ht="15.6" x14ac:dyDescent="0.25">
      <c r="F803" s="330"/>
      <c r="O803" s="787"/>
    </row>
    <row r="804" spans="6:15" ht="15.6" x14ac:dyDescent="0.25">
      <c r="F804" s="330"/>
      <c r="O804" s="787"/>
    </row>
    <row r="805" spans="6:15" ht="15.6" x14ac:dyDescent="0.25">
      <c r="F805" s="330"/>
      <c r="O805" s="787"/>
    </row>
    <row r="806" spans="6:15" ht="15.6" x14ac:dyDescent="0.25">
      <c r="F806" s="330"/>
      <c r="O806" s="787"/>
    </row>
    <row r="807" spans="6:15" ht="15.6" x14ac:dyDescent="0.25">
      <c r="F807" s="330"/>
      <c r="O807" s="787"/>
    </row>
    <row r="808" spans="6:15" ht="15.6" x14ac:dyDescent="0.25">
      <c r="F808" s="330"/>
      <c r="O808" s="787"/>
    </row>
    <row r="809" spans="6:15" ht="15.6" x14ac:dyDescent="0.25">
      <c r="F809" s="330"/>
      <c r="O809" s="787"/>
    </row>
    <row r="810" spans="6:15" ht="15.6" x14ac:dyDescent="0.25">
      <c r="F810" s="330"/>
      <c r="O810" s="787"/>
    </row>
    <row r="811" spans="6:15" ht="15.6" x14ac:dyDescent="0.25">
      <c r="F811" s="330"/>
      <c r="O811" s="787"/>
    </row>
    <row r="812" spans="6:15" ht="15.6" x14ac:dyDescent="0.25">
      <c r="F812" s="330"/>
      <c r="O812" s="787"/>
    </row>
    <row r="813" spans="6:15" ht="15.6" x14ac:dyDescent="0.25">
      <c r="F813" s="330"/>
      <c r="O813" s="787"/>
    </row>
    <row r="814" spans="6:15" ht="15.6" x14ac:dyDescent="0.25">
      <c r="F814" s="330"/>
      <c r="O814" s="787"/>
    </row>
    <row r="815" spans="6:15" ht="15.6" x14ac:dyDescent="0.25">
      <c r="F815" s="330"/>
      <c r="O815" s="787"/>
    </row>
    <row r="816" spans="6:15" ht="15.6" x14ac:dyDescent="0.25">
      <c r="F816" s="330"/>
      <c r="O816" s="787"/>
    </row>
    <row r="817" spans="6:15" ht="15.6" x14ac:dyDescent="0.25">
      <c r="F817" s="330"/>
      <c r="O817" s="787"/>
    </row>
    <row r="818" spans="6:15" ht="15.6" x14ac:dyDescent="0.25">
      <c r="F818" s="330"/>
      <c r="O818" s="787"/>
    </row>
    <row r="819" spans="6:15" ht="15.6" x14ac:dyDescent="0.25">
      <c r="F819" s="330"/>
      <c r="O819" s="787"/>
    </row>
    <row r="820" spans="6:15" ht="15.6" x14ac:dyDescent="0.25">
      <c r="F820" s="330"/>
      <c r="O820" s="787"/>
    </row>
    <row r="821" spans="6:15" ht="15.6" x14ac:dyDescent="0.25">
      <c r="F821" s="330"/>
      <c r="O821" s="787"/>
    </row>
    <row r="822" spans="6:15" ht="15.6" x14ac:dyDescent="0.25">
      <c r="F822" s="330"/>
      <c r="O822" s="787"/>
    </row>
    <row r="823" spans="6:15" ht="15.6" x14ac:dyDescent="0.25">
      <c r="F823" s="330"/>
      <c r="O823" s="787"/>
    </row>
    <row r="824" spans="6:15" ht="15.6" x14ac:dyDescent="0.25">
      <c r="F824" s="330"/>
      <c r="O824" s="787"/>
    </row>
    <row r="825" spans="6:15" ht="15.6" x14ac:dyDescent="0.25">
      <c r="F825" s="330"/>
      <c r="O825" s="787"/>
    </row>
    <row r="826" spans="6:15" ht="15.6" x14ac:dyDescent="0.25">
      <c r="F826" s="330"/>
      <c r="O826" s="787"/>
    </row>
    <row r="827" spans="6:15" ht="15.6" x14ac:dyDescent="0.25">
      <c r="F827" s="330"/>
      <c r="O827" s="787"/>
    </row>
    <row r="828" spans="6:15" ht="15.6" x14ac:dyDescent="0.25">
      <c r="F828" s="330"/>
      <c r="O828" s="787"/>
    </row>
    <row r="829" spans="6:15" ht="15.6" x14ac:dyDescent="0.25">
      <c r="F829" s="330"/>
      <c r="O829" s="787"/>
    </row>
    <row r="830" spans="6:15" ht="15.6" x14ac:dyDescent="0.25">
      <c r="F830" s="330"/>
      <c r="O830" s="787"/>
    </row>
    <row r="831" spans="6:15" ht="15.6" x14ac:dyDescent="0.25">
      <c r="F831" s="330"/>
      <c r="O831" s="787"/>
    </row>
    <row r="832" spans="6:15" ht="15.6" x14ac:dyDescent="0.25">
      <c r="F832" s="330"/>
      <c r="O832" s="787"/>
    </row>
    <row r="833" spans="6:15" ht="15.6" x14ac:dyDescent="0.25">
      <c r="F833" s="330"/>
      <c r="O833" s="787"/>
    </row>
    <row r="834" spans="6:15" ht="15.6" x14ac:dyDescent="0.25">
      <c r="F834" s="330"/>
      <c r="O834" s="787"/>
    </row>
    <row r="835" spans="6:15" ht="15.6" x14ac:dyDescent="0.25">
      <c r="F835" s="330"/>
      <c r="O835" s="787"/>
    </row>
    <row r="836" spans="6:15" ht="15.6" x14ac:dyDescent="0.25">
      <c r="F836" s="330"/>
      <c r="O836" s="787"/>
    </row>
    <row r="837" spans="6:15" ht="15.6" x14ac:dyDescent="0.25">
      <c r="F837" s="330"/>
      <c r="O837" s="787"/>
    </row>
    <row r="838" spans="6:15" ht="15.6" x14ac:dyDescent="0.25">
      <c r="F838" s="330"/>
      <c r="O838" s="787"/>
    </row>
    <row r="839" spans="6:15" ht="15.6" x14ac:dyDescent="0.25">
      <c r="F839" s="330"/>
      <c r="O839" s="787"/>
    </row>
    <row r="840" spans="6:15" ht="15.6" x14ac:dyDescent="0.25">
      <c r="F840" s="330"/>
      <c r="O840" s="787"/>
    </row>
    <row r="841" spans="6:15" ht="15.6" x14ac:dyDescent="0.25">
      <c r="F841" s="330"/>
      <c r="O841" s="787"/>
    </row>
    <row r="842" spans="6:15" ht="15.6" x14ac:dyDescent="0.25">
      <c r="F842" s="330"/>
      <c r="O842" s="787"/>
    </row>
    <row r="843" spans="6:15" ht="15.6" x14ac:dyDescent="0.25">
      <c r="F843" s="330"/>
      <c r="O843" s="787"/>
    </row>
    <row r="844" spans="6:15" ht="15.6" x14ac:dyDescent="0.25">
      <c r="F844" s="330"/>
      <c r="O844" s="787"/>
    </row>
    <row r="845" spans="6:15" ht="15.6" x14ac:dyDescent="0.25">
      <c r="F845" s="330"/>
      <c r="O845" s="787"/>
    </row>
    <row r="846" spans="6:15" ht="15.6" x14ac:dyDescent="0.25">
      <c r="F846" s="330"/>
      <c r="O846" s="787"/>
    </row>
    <row r="847" spans="6:15" ht="15.6" x14ac:dyDescent="0.25">
      <c r="F847" s="330"/>
      <c r="O847" s="787"/>
    </row>
    <row r="848" spans="6:15" ht="15.6" x14ac:dyDescent="0.25">
      <c r="F848" s="330"/>
      <c r="O848" s="787"/>
    </row>
    <row r="849" spans="6:15" ht="15.6" x14ac:dyDescent="0.25">
      <c r="F849" s="330"/>
      <c r="O849" s="787"/>
    </row>
    <row r="850" spans="6:15" ht="15.6" x14ac:dyDescent="0.25">
      <c r="F850" s="330"/>
      <c r="O850" s="787"/>
    </row>
    <row r="851" spans="6:15" ht="15.6" x14ac:dyDescent="0.25">
      <c r="F851" s="330"/>
      <c r="O851" s="787"/>
    </row>
    <row r="852" spans="6:15" ht="15.6" x14ac:dyDescent="0.25">
      <c r="F852" s="330"/>
      <c r="O852" s="787"/>
    </row>
    <row r="853" spans="6:15" ht="15.6" x14ac:dyDescent="0.25">
      <c r="F853" s="330"/>
      <c r="O853" s="787"/>
    </row>
    <row r="854" spans="6:15" ht="15.6" x14ac:dyDescent="0.25">
      <c r="F854" s="330"/>
      <c r="O854" s="787"/>
    </row>
    <row r="855" spans="6:15" ht="15.6" x14ac:dyDescent="0.25">
      <c r="F855" s="330"/>
      <c r="O855" s="787"/>
    </row>
    <row r="856" spans="6:15" ht="15.6" x14ac:dyDescent="0.25">
      <c r="F856" s="330"/>
      <c r="O856" s="787"/>
    </row>
    <row r="857" spans="6:15" ht="15.6" x14ac:dyDescent="0.25">
      <c r="F857" s="330"/>
      <c r="O857" s="787"/>
    </row>
    <row r="858" spans="6:15" ht="15.6" x14ac:dyDescent="0.25">
      <c r="F858" s="330"/>
      <c r="O858" s="787"/>
    </row>
    <row r="859" spans="6:15" ht="15.6" x14ac:dyDescent="0.25">
      <c r="F859" s="330"/>
      <c r="O859" s="787"/>
    </row>
    <row r="860" spans="6:15" ht="15.6" x14ac:dyDescent="0.25">
      <c r="F860" s="330"/>
      <c r="O860" s="787"/>
    </row>
    <row r="861" spans="6:15" ht="15.6" x14ac:dyDescent="0.25">
      <c r="F861" s="330"/>
      <c r="O861" s="787"/>
    </row>
    <row r="862" spans="6:15" ht="15.6" x14ac:dyDescent="0.25">
      <c r="F862" s="330"/>
      <c r="O862" s="787"/>
    </row>
    <row r="863" spans="6:15" ht="15.6" x14ac:dyDescent="0.25">
      <c r="F863" s="330"/>
      <c r="O863" s="787"/>
    </row>
    <row r="864" spans="6:15" ht="15.6" x14ac:dyDescent="0.25">
      <c r="F864" s="330"/>
      <c r="O864" s="787"/>
    </row>
    <row r="865" spans="6:15" ht="15.6" x14ac:dyDescent="0.25">
      <c r="F865" s="330"/>
      <c r="O865" s="787"/>
    </row>
    <row r="866" spans="6:15" ht="15.6" x14ac:dyDescent="0.25">
      <c r="F866" s="330"/>
      <c r="O866" s="787"/>
    </row>
    <row r="867" spans="6:15" ht="15.6" x14ac:dyDescent="0.25">
      <c r="F867" s="330"/>
      <c r="O867" s="787"/>
    </row>
    <row r="868" spans="6:15" ht="15.6" x14ac:dyDescent="0.25">
      <c r="F868" s="330"/>
      <c r="O868" s="787"/>
    </row>
    <row r="869" spans="6:15" ht="15.6" x14ac:dyDescent="0.25">
      <c r="F869" s="330"/>
      <c r="O869" s="787"/>
    </row>
    <row r="870" spans="6:15" ht="15.6" x14ac:dyDescent="0.25">
      <c r="F870" s="330"/>
      <c r="O870" s="787"/>
    </row>
    <row r="871" spans="6:15" ht="15.6" x14ac:dyDescent="0.25">
      <c r="F871" s="330"/>
      <c r="O871" s="787"/>
    </row>
    <row r="872" spans="6:15" ht="15.6" x14ac:dyDescent="0.25">
      <c r="F872" s="330"/>
      <c r="O872" s="787"/>
    </row>
    <row r="873" spans="6:15" ht="15.6" x14ac:dyDescent="0.25">
      <c r="F873" s="330"/>
      <c r="O873" s="787"/>
    </row>
    <row r="874" spans="6:15" ht="15.6" x14ac:dyDescent="0.25">
      <c r="F874" s="330"/>
      <c r="O874" s="787"/>
    </row>
    <row r="875" spans="6:15" ht="15.6" x14ac:dyDescent="0.25">
      <c r="F875" s="330"/>
      <c r="O875" s="787"/>
    </row>
    <row r="876" spans="6:15" ht="15.6" x14ac:dyDescent="0.25">
      <c r="F876" s="330"/>
      <c r="O876" s="787"/>
    </row>
    <row r="877" spans="6:15" ht="15.6" x14ac:dyDescent="0.25">
      <c r="F877" s="330"/>
      <c r="O877" s="787"/>
    </row>
    <row r="878" spans="6:15" ht="15.6" x14ac:dyDescent="0.25">
      <c r="F878" s="330"/>
      <c r="O878" s="787"/>
    </row>
    <row r="879" spans="6:15" ht="15.6" x14ac:dyDescent="0.25">
      <c r="F879" s="330"/>
      <c r="O879" s="787"/>
    </row>
    <row r="880" spans="6:15" ht="15.6" x14ac:dyDescent="0.25">
      <c r="F880" s="330"/>
      <c r="O880" s="787"/>
    </row>
    <row r="881" spans="6:15" ht="15.6" x14ac:dyDescent="0.25">
      <c r="F881" s="330"/>
      <c r="O881" s="787"/>
    </row>
    <row r="882" spans="6:15" ht="15.6" x14ac:dyDescent="0.25">
      <c r="F882" s="330"/>
      <c r="O882" s="787"/>
    </row>
    <row r="883" spans="6:15" ht="15.6" x14ac:dyDescent="0.25">
      <c r="F883" s="330"/>
      <c r="O883" s="787"/>
    </row>
    <row r="884" spans="6:15" ht="15.6" x14ac:dyDescent="0.25">
      <c r="F884" s="330"/>
      <c r="O884" s="787"/>
    </row>
    <row r="885" spans="6:15" ht="15.6" x14ac:dyDescent="0.25">
      <c r="F885" s="330"/>
      <c r="O885" s="787"/>
    </row>
    <row r="886" spans="6:15" ht="15.6" x14ac:dyDescent="0.25">
      <c r="F886" s="330"/>
      <c r="O886" s="787"/>
    </row>
    <row r="887" spans="6:15" ht="15.6" x14ac:dyDescent="0.25">
      <c r="F887" s="330"/>
      <c r="O887" s="787"/>
    </row>
    <row r="888" spans="6:15" ht="15.6" x14ac:dyDescent="0.25">
      <c r="F888" s="330"/>
      <c r="O888" s="787"/>
    </row>
    <row r="889" spans="6:15" ht="15.6" x14ac:dyDescent="0.25">
      <c r="F889" s="330"/>
      <c r="O889" s="787"/>
    </row>
    <row r="890" spans="6:15" ht="15.6" x14ac:dyDescent="0.25">
      <c r="F890" s="330"/>
      <c r="O890" s="787"/>
    </row>
    <row r="891" spans="6:15" ht="15.6" x14ac:dyDescent="0.25">
      <c r="F891" s="330"/>
      <c r="O891" s="787"/>
    </row>
    <row r="892" spans="6:15" ht="15.6" x14ac:dyDescent="0.25">
      <c r="F892" s="330"/>
      <c r="O892" s="787"/>
    </row>
    <row r="893" spans="6:15" ht="15.6" x14ac:dyDescent="0.25">
      <c r="F893" s="330"/>
      <c r="O893" s="787"/>
    </row>
    <row r="894" spans="6:15" ht="15.6" x14ac:dyDescent="0.25">
      <c r="F894" s="330"/>
      <c r="O894" s="787"/>
    </row>
    <row r="895" spans="6:15" ht="15.6" x14ac:dyDescent="0.25">
      <c r="F895" s="330"/>
      <c r="O895" s="787"/>
    </row>
    <row r="896" spans="6:15" ht="15.6" x14ac:dyDescent="0.25">
      <c r="F896" s="330"/>
      <c r="O896" s="787"/>
    </row>
    <row r="897" spans="6:15" ht="15.6" x14ac:dyDescent="0.25">
      <c r="F897" s="330"/>
      <c r="O897" s="787"/>
    </row>
    <row r="898" spans="6:15" ht="15.6" x14ac:dyDescent="0.25">
      <c r="F898" s="330"/>
      <c r="O898" s="787"/>
    </row>
    <row r="899" spans="6:15" ht="15.6" x14ac:dyDescent="0.25">
      <c r="F899" s="330"/>
      <c r="O899" s="787"/>
    </row>
    <row r="900" spans="6:15" ht="15.6" x14ac:dyDescent="0.25">
      <c r="F900" s="330"/>
      <c r="O900" s="787"/>
    </row>
    <row r="901" spans="6:15" ht="15.6" x14ac:dyDescent="0.25">
      <c r="F901" s="330"/>
      <c r="O901" s="787"/>
    </row>
    <row r="902" spans="6:15" ht="15.6" x14ac:dyDescent="0.25">
      <c r="F902" s="330"/>
      <c r="O902" s="787"/>
    </row>
    <row r="903" spans="6:15" ht="15.6" x14ac:dyDescent="0.25">
      <c r="F903" s="330"/>
      <c r="O903" s="787"/>
    </row>
    <row r="904" spans="6:15" ht="15.6" x14ac:dyDescent="0.25">
      <c r="F904" s="330"/>
      <c r="O904" s="787"/>
    </row>
    <row r="905" spans="6:15" ht="15.6" x14ac:dyDescent="0.25">
      <c r="F905" s="330"/>
      <c r="O905" s="787"/>
    </row>
    <row r="906" spans="6:15" ht="15.6" x14ac:dyDescent="0.25">
      <c r="F906" s="330"/>
      <c r="O906" s="787"/>
    </row>
    <row r="907" spans="6:15" ht="15.6" x14ac:dyDescent="0.25">
      <c r="F907" s="330"/>
      <c r="O907" s="787"/>
    </row>
    <row r="908" spans="6:15" ht="15.6" x14ac:dyDescent="0.25">
      <c r="F908" s="330"/>
      <c r="O908" s="787"/>
    </row>
    <row r="909" spans="6:15" ht="15.6" x14ac:dyDescent="0.25">
      <c r="F909" s="330"/>
      <c r="O909" s="787"/>
    </row>
    <row r="910" spans="6:15" ht="15.6" x14ac:dyDescent="0.25">
      <c r="F910" s="330"/>
      <c r="O910" s="787"/>
    </row>
    <row r="911" spans="6:15" ht="15.6" x14ac:dyDescent="0.25">
      <c r="F911" s="330"/>
      <c r="O911" s="787"/>
    </row>
    <row r="912" spans="6:15" ht="15.6" x14ac:dyDescent="0.25">
      <c r="F912" s="330"/>
      <c r="O912" s="787"/>
    </row>
    <row r="913" spans="6:15" ht="15.6" x14ac:dyDescent="0.25">
      <c r="F913" s="330"/>
      <c r="O913" s="787"/>
    </row>
    <row r="914" spans="6:15" ht="15.6" x14ac:dyDescent="0.25">
      <c r="F914" s="330"/>
      <c r="O914" s="787"/>
    </row>
    <row r="915" spans="6:15" ht="15.6" x14ac:dyDescent="0.25">
      <c r="F915" s="330"/>
      <c r="O915" s="787"/>
    </row>
    <row r="916" spans="6:15" ht="15.6" x14ac:dyDescent="0.25">
      <c r="F916" s="330"/>
      <c r="O916" s="787"/>
    </row>
    <row r="917" spans="6:15" ht="15.6" x14ac:dyDescent="0.25">
      <c r="F917" s="330"/>
      <c r="O917" s="787"/>
    </row>
    <row r="918" spans="6:15" ht="15.6" x14ac:dyDescent="0.25">
      <c r="F918" s="330"/>
      <c r="O918" s="787"/>
    </row>
    <row r="919" spans="6:15" ht="15.6" x14ac:dyDescent="0.25">
      <c r="F919" s="330"/>
      <c r="O919" s="787"/>
    </row>
    <row r="920" spans="6:15" ht="15.6" x14ac:dyDescent="0.25">
      <c r="F920" s="330"/>
      <c r="O920" s="787"/>
    </row>
    <row r="921" spans="6:15" ht="15.6" x14ac:dyDescent="0.25">
      <c r="F921" s="330"/>
      <c r="O921" s="787"/>
    </row>
    <row r="922" spans="6:15" ht="15.6" x14ac:dyDescent="0.25">
      <c r="F922" s="330"/>
      <c r="O922" s="787"/>
    </row>
    <row r="923" spans="6:15" ht="15.6" x14ac:dyDescent="0.25">
      <c r="F923" s="330"/>
      <c r="O923" s="787"/>
    </row>
    <row r="924" spans="6:15" ht="15.6" x14ac:dyDescent="0.25">
      <c r="F924" s="330"/>
      <c r="O924" s="787"/>
    </row>
    <row r="925" spans="6:15" ht="15.6" x14ac:dyDescent="0.25">
      <c r="F925" s="330"/>
      <c r="O925" s="787"/>
    </row>
    <row r="926" spans="6:15" ht="15.6" x14ac:dyDescent="0.25">
      <c r="F926" s="330"/>
      <c r="O926" s="787"/>
    </row>
    <row r="927" spans="6:15" ht="15.6" x14ac:dyDescent="0.25">
      <c r="F927" s="330"/>
      <c r="O927" s="787"/>
    </row>
    <row r="928" spans="6:15" ht="15.6" x14ac:dyDescent="0.25">
      <c r="F928" s="330"/>
      <c r="O928" s="787"/>
    </row>
    <row r="929" spans="6:15" ht="15.6" x14ac:dyDescent="0.25">
      <c r="F929" s="330"/>
      <c r="O929" s="787"/>
    </row>
    <row r="930" spans="6:15" ht="15.6" x14ac:dyDescent="0.25">
      <c r="F930" s="330"/>
      <c r="O930" s="787"/>
    </row>
    <row r="931" spans="6:15" ht="15.6" x14ac:dyDescent="0.25">
      <c r="F931" s="330"/>
      <c r="O931" s="787"/>
    </row>
    <row r="932" spans="6:15" ht="15.6" x14ac:dyDescent="0.25">
      <c r="F932" s="330"/>
      <c r="O932" s="787"/>
    </row>
    <row r="933" spans="6:15" ht="15.6" x14ac:dyDescent="0.25">
      <c r="F933" s="330"/>
      <c r="O933" s="787"/>
    </row>
    <row r="934" spans="6:15" ht="15.6" x14ac:dyDescent="0.25">
      <c r="F934" s="330"/>
      <c r="O934" s="787"/>
    </row>
    <row r="935" spans="6:15" ht="15.6" x14ac:dyDescent="0.25">
      <c r="F935" s="330"/>
      <c r="O935" s="787"/>
    </row>
    <row r="936" spans="6:15" ht="15.6" x14ac:dyDescent="0.25">
      <c r="F936" s="330"/>
      <c r="O936" s="787"/>
    </row>
    <row r="937" spans="6:15" ht="15.6" x14ac:dyDescent="0.25">
      <c r="F937" s="330"/>
      <c r="O937" s="787"/>
    </row>
    <row r="938" spans="6:15" ht="15.6" x14ac:dyDescent="0.25">
      <c r="F938" s="330"/>
      <c r="O938" s="787"/>
    </row>
    <row r="939" spans="6:15" ht="15.6" x14ac:dyDescent="0.25">
      <c r="F939" s="330"/>
      <c r="O939" s="787"/>
    </row>
    <row r="940" spans="6:15" ht="15.6" x14ac:dyDescent="0.25">
      <c r="F940" s="330"/>
      <c r="O940" s="787"/>
    </row>
    <row r="941" spans="6:15" ht="15.6" x14ac:dyDescent="0.25">
      <c r="F941" s="330"/>
      <c r="O941" s="787"/>
    </row>
    <row r="942" spans="6:15" ht="15.6" x14ac:dyDescent="0.25">
      <c r="F942" s="330"/>
      <c r="O942" s="787"/>
    </row>
    <row r="943" spans="6:15" ht="15.6" x14ac:dyDescent="0.25">
      <c r="F943" s="330"/>
      <c r="O943" s="787"/>
    </row>
    <row r="944" spans="6:15" ht="15.6" x14ac:dyDescent="0.25">
      <c r="F944" s="330"/>
      <c r="O944" s="787"/>
    </row>
    <row r="945" spans="6:15" ht="15.6" x14ac:dyDescent="0.25">
      <c r="F945" s="330"/>
      <c r="O945" s="787"/>
    </row>
    <row r="946" spans="6:15" ht="15.6" x14ac:dyDescent="0.25">
      <c r="F946" s="330"/>
      <c r="O946" s="787"/>
    </row>
    <row r="947" spans="6:15" ht="15.6" x14ac:dyDescent="0.25">
      <c r="F947" s="330"/>
      <c r="O947" s="787"/>
    </row>
    <row r="948" spans="6:15" ht="15.6" x14ac:dyDescent="0.25">
      <c r="F948" s="330"/>
      <c r="O948" s="787"/>
    </row>
    <row r="949" spans="6:15" ht="15.6" x14ac:dyDescent="0.25">
      <c r="F949" s="330"/>
      <c r="O949" s="787"/>
    </row>
    <row r="950" spans="6:15" ht="15.6" x14ac:dyDescent="0.25">
      <c r="F950" s="330"/>
      <c r="O950" s="787"/>
    </row>
    <row r="951" spans="6:15" ht="15.6" x14ac:dyDescent="0.25">
      <c r="F951" s="330"/>
      <c r="O951" s="787"/>
    </row>
    <row r="952" spans="6:15" ht="15.6" x14ac:dyDescent="0.25">
      <c r="F952" s="330"/>
      <c r="O952" s="787"/>
    </row>
    <row r="953" spans="6:15" ht="15.6" x14ac:dyDescent="0.25">
      <c r="F953" s="330"/>
      <c r="O953" s="787"/>
    </row>
    <row r="954" spans="6:15" ht="15.6" x14ac:dyDescent="0.25">
      <c r="F954" s="330"/>
      <c r="O954" s="787"/>
    </row>
    <row r="955" spans="6:15" ht="15.6" x14ac:dyDescent="0.25">
      <c r="F955" s="330"/>
      <c r="O955" s="787"/>
    </row>
    <row r="956" spans="6:15" ht="15.6" x14ac:dyDescent="0.25">
      <c r="F956" s="330"/>
      <c r="O956" s="787"/>
    </row>
    <row r="957" spans="6:15" ht="15.6" x14ac:dyDescent="0.25">
      <c r="F957" s="330"/>
      <c r="O957" s="787"/>
    </row>
    <row r="958" spans="6:15" ht="15.6" x14ac:dyDescent="0.25">
      <c r="F958" s="330"/>
      <c r="O958" s="787"/>
    </row>
    <row r="959" spans="6:15" ht="15.6" x14ac:dyDescent="0.25">
      <c r="F959" s="330"/>
      <c r="O959" s="787"/>
    </row>
    <row r="960" spans="6:15" ht="15.6" x14ac:dyDescent="0.25">
      <c r="F960" s="330"/>
      <c r="O960" s="787"/>
    </row>
    <row r="961" spans="6:15" ht="15.6" x14ac:dyDescent="0.25">
      <c r="F961" s="330"/>
      <c r="O961" s="787"/>
    </row>
    <row r="962" spans="6:15" ht="15.6" x14ac:dyDescent="0.25">
      <c r="F962" s="330"/>
      <c r="O962" s="787"/>
    </row>
    <row r="963" spans="6:15" ht="15.6" x14ac:dyDescent="0.25">
      <c r="F963" s="330"/>
      <c r="O963" s="787"/>
    </row>
    <row r="964" spans="6:15" ht="15.6" x14ac:dyDescent="0.25">
      <c r="F964" s="330"/>
      <c r="O964" s="787"/>
    </row>
    <row r="965" spans="6:15" ht="15.6" x14ac:dyDescent="0.25">
      <c r="F965" s="330"/>
      <c r="O965" s="787"/>
    </row>
    <row r="966" spans="6:15" ht="15.6" x14ac:dyDescent="0.25">
      <c r="F966" s="330"/>
      <c r="O966" s="787"/>
    </row>
    <row r="967" spans="6:15" ht="15.6" x14ac:dyDescent="0.25">
      <c r="F967" s="330"/>
      <c r="O967" s="787"/>
    </row>
    <row r="968" spans="6:15" ht="15.6" x14ac:dyDescent="0.25">
      <c r="F968" s="330"/>
      <c r="O968" s="787"/>
    </row>
    <row r="969" spans="6:15" ht="15.6" x14ac:dyDescent="0.25">
      <c r="F969" s="330"/>
      <c r="O969" s="787"/>
    </row>
    <row r="970" spans="6:15" ht="15.6" x14ac:dyDescent="0.25">
      <c r="F970" s="330"/>
      <c r="O970" s="787"/>
    </row>
    <row r="971" spans="6:15" ht="15.6" x14ac:dyDescent="0.25">
      <c r="F971" s="330"/>
      <c r="O971" s="787"/>
    </row>
    <row r="972" spans="6:15" ht="15.6" x14ac:dyDescent="0.25">
      <c r="F972" s="330"/>
      <c r="O972" s="787"/>
    </row>
    <row r="973" spans="6:15" ht="15.6" x14ac:dyDescent="0.25">
      <c r="F973" s="330"/>
      <c r="O973" s="787"/>
    </row>
    <row r="974" spans="6:15" ht="15.6" x14ac:dyDescent="0.25">
      <c r="F974" s="330"/>
      <c r="O974" s="787"/>
    </row>
    <row r="975" spans="6:15" ht="15.6" x14ac:dyDescent="0.25">
      <c r="F975" s="330"/>
      <c r="O975" s="787"/>
    </row>
    <row r="976" spans="6:15" ht="15.6" x14ac:dyDescent="0.25">
      <c r="F976" s="330"/>
      <c r="O976" s="787"/>
    </row>
    <row r="977" spans="6:15" ht="15.6" x14ac:dyDescent="0.25">
      <c r="F977" s="330"/>
      <c r="O977" s="787"/>
    </row>
    <row r="978" spans="6:15" ht="15.6" x14ac:dyDescent="0.25">
      <c r="F978" s="330"/>
      <c r="O978" s="787"/>
    </row>
    <row r="979" spans="6:15" ht="15.6" x14ac:dyDescent="0.25">
      <c r="F979" s="330"/>
      <c r="O979" s="787"/>
    </row>
    <row r="980" spans="6:15" ht="15.6" x14ac:dyDescent="0.25">
      <c r="F980" s="330"/>
      <c r="O980" s="787"/>
    </row>
    <row r="981" spans="6:15" ht="15.6" x14ac:dyDescent="0.25">
      <c r="F981" s="330"/>
      <c r="O981" s="787"/>
    </row>
    <row r="982" spans="6:15" ht="15.6" x14ac:dyDescent="0.25">
      <c r="F982" s="330"/>
      <c r="O982" s="787"/>
    </row>
    <row r="983" spans="6:15" ht="15.6" x14ac:dyDescent="0.25">
      <c r="F983" s="330"/>
      <c r="O983" s="787"/>
    </row>
    <row r="984" spans="6:15" ht="15.6" x14ac:dyDescent="0.25">
      <c r="F984" s="330"/>
      <c r="O984" s="787"/>
    </row>
    <row r="985" spans="6:15" ht="15.6" x14ac:dyDescent="0.25">
      <c r="F985" s="330"/>
      <c r="O985" s="787"/>
    </row>
    <row r="986" spans="6:15" ht="15.6" x14ac:dyDescent="0.25">
      <c r="F986" s="330"/>
      <c r="O986" s="787"/>
    </row>
    <row r="987" spans="6:15" ht="15.6" x14ac:dyDescent="0.25">
      <c r="F987" s="330"/>
      <c r="O987" s="787"/>
    </row>
    <row r="988" spans="6:15" ht="15.6" x14ac:dyDescent="0.25">
      <c r="F988" s="330"/>
      <c r="O988" s="787"/>
    </row>
    <row r="989" spans="6:15" ht="15.6" x14ac:dyDescent="0.25">
      <c r="F989" s="330"/>
      <c r="O989" s="787"/>
    </row>
    <row r="990" spans="6:15" ht="15.6" x14ac:dyDescent="0.25">
      <c r="F990" s="330"/>
      <c r="O990" s="787"/>
    </row>
    <row r="991" spans="6:15" ht="15.6" x14ac:dyDescent="0.25">
      <c r="F991" s="330"/>
      <c r="O991" s="787"/>
    </row>
    <row r="992" spans="6:15" ht="15.6" x14ac:dyDescent="0.25">
      <c r="F992" s="330"/>
      <c r="O992" s="787"/>
    </row>
    <row r="993" spans="6:15" ht="15.6" x14ac:dyDescent="0.25">
      <c r="F993" s="330"/>
      <c r="O993" s="787"/>
    </row>
    <row r="994" spans="6:15" ht="15.6" x14ac:dyDescent="0.25">
      <c r="F994" s="330"/>
      <c r="O994" s="787"/>
    </row>
    <row r="995" spans="6:15" ht="15.6" x14ac:dyDescent="0.25">
      <c r="F995" s="330"/>
      <c r="O995" s="787"/>
    </row>
    <row r="996" spans="6:15" ht="15.6" x14ac:dyDescent="0.25">
      <c r="F996" s="330"/>
      <c r="O996" s="787"/>
    </row>
    <row r="997" spans="6:15" ht="15.6" x14ac:dyDescent="0.25">
      <c r="F997" s="330"/>
      <c r="O997" s="787"/>
    </row>
    <row r="998" spans="6:15" ht="15.6" x14ac:dyDescent="0.25">
      <c r="F998" s="330"/>
      <c r="O998" s="787"/>
    </row>
    <row r="999" spans="6:15" ht="15.6" x14ac:dyDescent="0.25">
      <c r="F999" s="330"/>
      <c r="O999" s="787"/>
    </row>
    <row r="1000" spans="6:15" ht="15.6" x14ac:dyDescent="0.25">
      <c r="F1000" s="330"/>
      <c r="O1000" s="787"/>
    </row>
    <row r="1001" spans="6:15" ht="15.6" x14ac:dyDescent="0.25">
      <c r="F1001" s="330"/>
      <c r="O1001" s="787"/>
    </row>
    <row r="1002" spans="6:15" ht="15.6" x14ac:dyDescent="0.25">
      <c r="F1002" s="330"/>
      <c r="O1002" s="787"/>
    </row>
    <row r="1003" spans="6:15" ht="15.6" x14ac:dyDescent="0.25">
      <c r="F1003" s="330"/>
      <c r="O1003" s="787"/>
    </row>
    <row r="1004" spans="6:15" ht="15.6" x14ac:dyDescent="0.25">
      <c r="F1004" s="330"/>
      <c r="O1004" s="787"/>
    </row>
    <row r="1005" spans="6:15" ht="15.6" x14ac:dyDescent="0.25">
      <c r="F1005" s="330"/>
      <c r="O1005" s="787"/>
    </row>
    <row r="1006" spans="6:15" ht="15.6" x14ac:dyDescent="0.25">
      <c r="F1006" s="330"/>
      <c r="O1006" s="787"/>
    </row>
    <row r="1007" spans="6:15" ht="15.6" x14ac:dyDescent="0.25">
      <c r="F1007" s="330"/>
      <c r="O1007" s="787"/>
    </row>
    <row r="1008" spans="6:15" ht="15.6" x14ac:dyDescent="0.25">
      <c r="F1008" s="330"/>
      <c r="O1008" s="787"/>
    </row>
    <row r="1009" spans="6:15" ht="15.6" x14ac:dyDescent="0.25">
      <c r="F1009" s="330"/>
      <c r="O1009" s="787"/>
    </row>
    <row r="1010" spans="6:15" ht="15.6" x14ac:dyDescent="0.25">
      <c r="F1010" s="330"/>
      <c r="O1010" s="787"/>
    </row>
    <row r="1011" spans="6:15" ht="15.6" x14ac:dyDescent="0.25">
      <c r="F1011" s="330"/>
      <c r="O1011" s="787"/>
    </row>
    <row r="1012" spans="6:15" ht="15.6" x14ac:dyDescent="0.25">
      <c r="F1012" s="330"/>
      <c r="O1012" s="787"/>
    </row>
    <row r="1013" spans="6:15" ht="15.6" x14ac:dyDescent="0.25">
      <c r="F1013" s="330"/>
      <c r="O1013" s="787"/>
    </row>
    <row r="1014" spans="6:15" ht="15.6" x14ac:dyDescent="0.25">
      <c r="F1014" s="330"/>
      <c r="O1014" s="787"/>
    </row>
    <row r="1015" spans="6:15" ht="15.6" x14ac:dyDescent="0.25">
      <c r="F1015" s="330"/>
      <c r="O1015" s="787"/>
    </row>
    <row r="1016" spans="6:15" ht="15.6" x14ac:dyDescent="0.25">
      <c r="F1016" s="330"/>
      <c r="O1016" s="787"/>
    </row>
    <row r="1017" spans="6:15" ht="15.6" x14ac:dyDescent="0.25">
      <c r="F1017" s="330"/>
      <c r="O1017" s="787"/>
    </row>
    <row r="1018" spans="6:15" ht="15.6" x14ac:dyDescent="0.25">
      <c r="F1018" s="330"/>
      <c r="O1018" s="787"/>
    </row>
    <row r="1019" spans="6:15" ht="15.6" x14ac:dyDescent="0.25">
      <c r="F1019" s="330"/>
      <c r="O1019" s="787"/>
    </row>
    <row r="1020" spans="6:15" ht="15.6" x14ac:dyDescent="0.25">
      <c r="F1020" s="330"/>
      <c r="O1020" s="787"/>
    </row>
    <row r="1021" spans="6:15" ht="15.6" x14ac:dyDescent="0.25">
      <c r="F1021" s="330"/>
      <c r="O1021" s="787"/>
    </row>
    <row r="1022" spans="6:15" ht="15.6" x14ac:dyDescent="0.25">
      <c r="F1022" s="330"/>
      <c r="O1022" s="787"/>
    </row>
    <row r="1023" spans="6:15" ht="15.6" x14ac:dyDescent="0.25">
      <c r="F1023" s="330"/>
      <c r="O1023" s="787"/>
    </row>
    <row r="1024" spans="6:15" ht="15.6" x14ac:dyDescent="0.25">
      <c r="F1024" s="330"/>
      <c r="O1024" s="787"/>
    </row>
    <row r="1025" spans="6:15" ht="15.6" x14ac:dyDescent="0.25">
      <c r="F1025" s="330"/>
      <c r="O1025" s="787"/>
    </row>
    <row r="1026" spans="6:15" ht="15.6" x14ac:dyDescent="0.25">
      <c r="F1026" s="330"/>
      <c r="O1026" s="787"/>
    </row>
    <row r="1027" spans="6:15" ht="15.6" x14ac:dyDescent="0.25">
      <c r="F1027" s="330"/>
      <c r="O1027" s="787"/>
    </row>
    <row r="1028" spans="6:15" ht="15.6" x14ac:dyDescent="0.25">
      <c r="F1028" s="330"/>
      <c r="O1028" s="787"/>
    </row>
    <row r="1029" spans="6:15" ht="15.6" x14ac:dyDescent="0.25">
      <c r="F1029" s="330"/>
      <c r="O1029" s="787"/>
    </row>
    <row r="1030" spans="6:15" ht="15.6" x14ac:dyDescent="0.25">
      <c r="F1030" s="330"/>
      <c r="O1030" s="787"/>
    </row>
    <row r="1031" spans="6:15" ht="15.6" x14ac:dyDescent="0.25">
      <c r="F1031" s="330"/>
      <c r="O1031" s="787"/>
    </row>
    <row r="1032" spans="6:15" ht="15.6" x14ac:dyDescent="0.25">
      <c r="F1032" s="330"/>
      <c r="O1032" s="787"/>
    </row>
    <row r="1033" spans="6:15" ht="15.6" x14ac:dyDescent="0.25">
      <c r="F1033" s="330"/>
      <c r="O1033" s="787"/>
    </row>
    <row r="1034" spans="6:15" ht="15.6" x14ac:dyDescent="0.25">
      <c r="F1034" s="330"/>
      <c r="O1034" s="787"/>
    </row>
    <row r="1035" spans="6:15" ht="15.6" x14ac:dyDescent="0.25">
      <c r="F1035" s="330"/>
      <c r="O1035" s="787"/>
    </row>
    <row r="1036" spans="6:15" ht="15.6" x14ac:dyDescent="0.25">
      <c r="F1036" s="330"/>
      <c r="O1036" s="787"/>
    </row>
    <row r="1037" spans="6:15" ht="15.6" x14ac:dyDescent="0.25">
      <c r="F1037" s="330"/>
      <c r="O1037" s="787"/>
    </row>
    <row r="1038" spans="6:15" ht="15.6" x14ac:dyDescent="0.25">
      <c r="F1038" s="330"/>
      <c r="O1038" s="787"/>
    </row>
    <row r="1039" spans="6:15" ht="15.6" x14ac:dyDescent="0.25">
      <c r="F1039" s="330"/>
      <c r="O1039" s="787"/>
    </row>
    <row r="1040" spans="6:15" ht="15.6" x14ac:dyDescent="0.25">
      <c r="F1040" s="330"/>
      <c r="O1040" s="787"/>
    </row>
    <row r="1041" spans="6:15" ht="15.6" x14ac:dyDescent="0.25">
      <c r="F1041" s="330"/>
      <c r="O1041" s="787"/>
    </row>
    <row r="1042" spans="6:15" ht="15.6" x14ac:dyDescent="0.25">
      <c r="F1042" s="330"/>
      <c r="O1042" s="787"/>
    </row>
    <row r="1043" spans="6:15" ht="15.6" x14ac:dyDescent="0.25">
      <c r="F1043" s="330"/>
      <c r="O1043" s="787"/>
    </row>
    <row r="1044" spans="6:15" ht="15.6" x14ac:dyDescent="0.25">
      <c r="F1044" s="330"/>
      <c r="O1044" s="787"/>
    </row>
    <row r="1045" spans="6:15" ht="15.6" x14ac:dyDescent="0.25">
      <c r="F1045" s="330"/>
      <c r="O1045" s="787"/>
    </row>
    <row r="1046" spans="6:15" ht="15.6" x14ac:dyDescent="0.25">
      <c r="F1046" s="330"/>
      <c r="O1046" s="787"/>
    </row>
    <row r="1047" spans="6:15" ht="15.6" x14ac:dyDescent="0.25">
      <c r="F1047" s="330"/>
      <c r="O1047" s="787"/>
    </row>
    <row r="1048" spans="6:15" ht="15.6" x14ac:dyDescent="0.25">
      <c r="F1048" s="330"/>
      <c r="O1048" s="787"/>
    </row>
    <row r="1049" spans="6:15" ht="15.6" x14ac:dyDescent="0.25">
      <c r="F1049" s="330"/>
      <c r="O1049" s="787"/>
    </row>
    <row r="1050" spans="6:15" ht="15.6" x14ac:dyDescent="0.25">
      <c r="F1050" s="330"/>
      <c r="O1050" s="787"/>
    </row>
    <row r="1051" spans="6:15" ht="15.6" x14ac:dyDescent="0.25">
      <c r="F1051" s="330"/>
      <c r="O1051" s="787"/>
    </row>
    <row r="1052" spans="6:15" ht="15.6" x14ac:dyDescent="0.25">
      <c r="F1052" s="330"/>
      <c r="O1052" s="787"/>
    </row>
    <row r="1053" spans="6:15" ht="15.6" x14ac:dyDescent="0.25">
      <c r="F1053" s="330"/>
      <c r="O1053" s="787"/>
    </row>
    <row r="1054" spans="6:15" ht="15.6" x14ac:dyDescent="0.25">
      <c r="F1054" s="330"/>
      <c r="O1054" s="787"/>
    </row>
    <row r="1055" spans="6:15" ht="15.6" x14ac:dyDescent="0.25">
      <c r="F1055" s="330"/>
      <c r="O1055" s="787"/>
    </row>
    <row r="1056" spans="6:15" ht="15.6" x14ac:dyDescent="0.25">
      <c r="F1056" s="330"/>
      <c r="O1056" s="787"/>
    </row>
    <row r="1057" spans="6:15" ht="15.6" x14ac:dyDescent="0.25">
      <c r="F1057" s="330"/>
      <c r="O1057" s="787"/>
    </row>
    <row r="1058" spans="6:15" ht="15.6" x14ac:dyDescent="0.25">
      <c r="F1058" s="330"/>
      <c r="O1058" s="787"/>
    </row>
    <row r="1059" spans="6:15" ht="15.6" x14ac:dyDescent="0.25">
      <c r="F1059" s="330"/>
      <c r="O1059" s="787"/>
    </row>
    <row r="1060" spans="6:15" ht="15.6" x14ac:dyDescent="0.25">
      <c r="F1060" s="330"/>
      <c r="O1060" s="787"/>
    </row>
    <row r="1061" spans="6:15" ht="15.6" x14ac:dyDescent="0.25">
      <c r="F1061" s="330"/>
      <c r="O1061" s="787"/>
    </row>
    <row r="1062" spans="6:15" ht="15.6" x14ac:dyDescent="0.25">
      <c r="F1062" s="330"/>
      <c r="O1062" s="787"/>
    </row>
    <row r="1063" spans="6:15" ht="15.6" x14ac:dyDescent="0.25">
      <c r="F1063" s="330"/>
      <c r="O1063" s="787"/>
    </row>
    <row r="1064" spans="6:15" ht="15.6" x14ac:dyDescent="0.25">
      <c r="F1064" s="330"/>
      <c r="O1064" s="787"/>
    </row>
    <row r="1065" spans="6:15" ht="15.6" x14ac:dyDescent="0.25">
      <c r="F1065" s="330"/>
      <c r="O1065" s="787"/>
    </row>
    <row r="1066" spans="6:15" ht="15.6" x14ac:dyDescent="0.25">
      <c r="F1066" s="330"/>
      <c r="O1066" s="787"/>
    </row>
    <row r="1067" spans="6:15" ht="15.6" x14ac:dyDescent="0.25">
      <c r="F1067" s="330"/>
      <c r="O1067" s="787"/>
    </row>
    <row r="1068" spans="6:15" ht="15.6" x14ac:dyDescent="0.25">
      <c r="F1068" s="330"/>
      <c r="O1068" s="787"/>
    </row>
    <row r="1069" spans="6:15" ht="15.6" x14ac:dyDescent="0.25">
      <c r="F1069" s="330"/>
      <c r="O1069" s="787"/>
    </row>
    <row r="1070" spans="6:15" ht="15.6" x14ac:dyDescent="0.25">
      <c r="F1070" s="330"/>
      <c r="O1070" s="787"/>
    </row>
    <row r="1071" spans="6:15" ht="15.6" x14ac:dyDescent="0.25">
      <c r="F1071" s="330"/>
      <c r="O1071" s="787"/>
    </row>
    <row r="1072" spans="6:15" ht="15.6" x14ac:dyDescent="0.25">
      <c r="F1072" s="330"/>
      <c r="O1072" s="787"/>
    </row>
    <row r="1073" spans="6:15" ht="15.6" x14ac:dyDescent="0.25">
      <c r="F1073" s="330"/>
      <c r="O1073" s="787"/>
    </row>
    <row r="1074" spans="6:15" ht="15.6" x14ac:dyDescent="0.25">
      <c r="F1074" s="330"/>
      <c r="O1074" s="787"/>
    </row>
    <row r="1075" spans="6:15" ht="15.6" x14ac:dyDescent="0.25">
      <c r="F1075" s="330"/>
      <c r="O1075" s="787"/>
    </row>
    <row r="1076" spans="6:15" ht="15.6" x14ac:dyDescent="0.25">
      <c r="F1076" s="330"/>
      <c r="O1076" s="787"/>
    </row>
    <row r="1077" spans="6:15" ht="15.6" x14ac:dyDescent="0.25">
      <c r="F1077" s="330"/>
      <c r="O1077" s="787"/>
    </row>
    <row r="1078" spans="6:15" ht="15.6" x14ac:dyDescent="0.25">
      <c r="F1078" s="330"/>
      <c r="O1078" s="787"/>
    </row>
    <row r="1079" spans="6:15" ht="15.6" x14ac:dyDescent="0.25">
      <c r="F1079" s="330"/>
      <c r="O1079" s="787"/>
    </row>
    <row r="1080" spans="6:15" ht="15.6" x14ac:dyDescent="0.25">
      <c r="F1080" s="330"/>
      <c r="O1080" s="787"/>
    </row>
    <row r="1081" spans="6:15" ht="15.6" x14ac:dyDescent="0.25">
      <c r="F1081" s="330"/>
      <c r="O1081" s="787"/>
    </row>
    <row r="1082" spans="6:15" ht="15.6" x14ac:dyDescent="0.25">
      <c r="F1082" s="330"/>
      <c r="O1082" s="787"/>
    </row>
    <row r="1083" spans="6:15" ht="15.6" x14ac:dyDescent="0.25">
      <c r="F1083" s="330"/>
      <c r="O1083" s="787"/>
    </row>
    <row r="1084" spans="6:15" ht="15.6" x14ac:dyDescent="0.25">
      <c r="F1084" s="330"/>
      <c r="O1084" s="787"/>
    </row>
    <row r="1085" spans="6:15" ht="15.6" x14ac:dyDescent="0.25">
      <c r="F1085" s="330"/>
      <c r="O1085" s="787"/>
    </row>
    <row r="1086" spans="6:15" ht="15.6" x14ac:dyDescent="0.25">
      <c r="F1086" s="330"/>
      <c r="O1086" s="787"/>
    </row>
    <row r="1087" spans="6:15" ht="15.6" x14ac:dyDescent="0.25">
      <c r="F1087" s="330"/>
      <c r="O1087" s="787"/>
    </row>
    <row r="1088" spans="6:15" ht="15.6" x14ac:dyDescent="0.25">
      <c r="F1088" s="330"/>
      <c r="O1088" s="787"/>
    </row>
    <row r="1089" spans="6:15" ht="15.6" x14ac:dyDescent="0.25">
      <c r="F1089" s="330"/>
      <c r="O1089" s="787"/>
    </row>
    <row r="1090" spans="6:15" ht="15.6" x14ac:dyDescent="0.25">
      <c r="F1090" s="330"/>
      <c r="O1090" s="787"/>
    </row>
    <row r="1091" spans="6:15" ht="15.6" x14ac:dyDescent="0.25">
      <c r="F1091" s="330"/>
      <c r="O1091" s="787"/>
    </row>
    <row r="1092" spans="6:15" ht="15.6" x14ac:dyDescent="0.25">
      <c r="F1092" s="330"/>
      <c r="O1092" s="787"/>
    </row>
    <row r="1093" spans="6:15" ht="15.6" x14ac:dyDescent="0.25">
      <c r="F1093" s="330"/>
      <c r="O1093" s="787"/>
    </row>
    <row r="1094" spans="6:15" ht="15.6" x14ac:dyDescent="0.25">
      <c r="F1094" s="330"/>
      <c r="O1094" s="787"/>
    </row>
    <row r="1095" spans="6:15" ht="15.6" x14ac:dyDescent="0.25">
      <c r="F1095" s="330"/>
      <c r="O1095" s="787"/>
    </row>
    <row r="1096" spans="6:15" ht="15.6" x14ac:dyDescent="0.25">
      <c r="F1096" s="330"/>
      <c r="O1096" s="787"/>
    </row>
    <row r="1097" spans="6:15" ht="15.6" x14ac:dyDescent="0.25">
      <c r="F1097" s="330"/>
      <c r="O1097" s="787"/>
    </row>
    <row r="1098" spans="6:15" ht="15.6" x14ac:dyDescent="0.25">
      <c r="F1098" s="330"/>
      <c r="O1098" s="787"/>
    </row>
    <row r="1099" spans="6:15" ht="15.6" x14ac:dyDescent="0.25">
      <c r="F1099" s="330"/>
      <c r="O1099" s="787"/>
    </row>
    <row r="1100" spans="6:15" ht="15.6" x14ac:dyDescent="0.25">
      <c r="F1100" s="330"/>
      <c r="O1100" s="787"/>
    </row>
    <row r="1101" spans="6:15" ht="15.6" x14ac:dyDescent="0.25">
      <c r="F1101" s="330"/>
      <c r="O1101" s="787"/>
    </row>
    <row r="1102" spans="6:15" ht="15.6" x14ac:dyDescent="0.25">
      <c r="F1102" s="330"/>
      <c r="O1102" s="787"/>
    </row>
    <row r="1103" spans="6:15" ht="15.6" x14ac:dyDescent="0.25">
      <c r="F1103" s="330"/>
      <c r="O1103" s="787"/>
    </row>
    <row r="1104" spans="6:15" ht="15.6" x14ac:dyDescent="0.25">
      <c r="F1104" s="330"/>
      <c r="O1104" s="787"/>
    </row>
    <row r="1105" spans="6:15" ht="15.6" x14ac:dyDescent="0.25">
      <c r="F1105" s="330"/>
      <c r="O1105" s="787"/>
    </row>
    <row r="1106" spans="6:15" ht="15.6" x14ac:dyDescent="0.25">
      <c r="F1106" s="330"/>
      <c r="O1106" s="787"/>
    </row>
    <row r="1107" spans="6:15" ht="15.6" x14ac:dyDescent="0.25">
      <c r="F1107" s="330"/>
      <c r="O1107" s="787"/>
    </row>
    <row r="1108" spans="6:15" ht="15.6" x14ac:dyDescent="0.25">
      <c r="F1108" s="330"/>
      <c r="O1108" s="787"/>
    </row>
    <row r="1109" spans="6:15" ht="15.6" x14ac:dyDescent="0.25">
      <c r="F1109" s="330"/>
      <c r="O1109" s="787"/>
    </row>
    <row r="1110" spans="6:15" ht="15.6" x14ac:dyDescent="0.25">
      <c r="F1110" s="330"/>
      <c r="O1110" s="787"/>
    </row>
    <row r="1111" spans="6:15" ht="15.6" x14ac:dyDescent="0.25">
      <c r="F1111" s="330"/>
      <c r="O1111" s="787"/>
    </row>
    <row r="1112" spans="6:15" ht="15.6" x14ac:dyDescent="0.25">
      <c r="F1112" s="330"/>
      <c r="O1112" s="787"/>
    </row>
    <row r="1113" spans="6:15" ht="15.6" x14ac:dyDescent="0.25">
      <c r="F1113" s="330"/>
      <c r="O1113" s="787"/>
    </row>
    <row r="1114" spans="6:15" ht="15.75" customHeight="1" x14ac:dyDescent="0.25">
      <c r="F1114" s="330"/>
      <c r="O1114" s="787"/>
    </row>
    <row r="1115" spans="6:15" ht="15.75" customHeight="1" x14ac:dyDescent="0.25">
      <c r="F1115" s="330"/>
      <c r="O1115" s="787"/>
    </row>
    <row r="1116" spans="6:15" ht="15.75" customHeight="1" x14ac:dyDescent="0.25">
      <c r="F1116" s="330"/>
      <c r="O1116" s="787"/>
    </row>
    <row r="1117" spans="6:15" ht="15.75" customHeight="1" x14ac:dyDescent="0.25">
      <c r="F1117" s="330"/>
      <c r="O1117" s="787"/>
    </row>
    <row r="1118" spans="6:15" ht="15.75" customHeight="1" x14ac:dyDescent="0.25">
      <c r="F1118" s="330"/>
      <c r="O1118" s="787"/>
    </row>
    <row r="1119" spans="6:15" ht="15.75" customHeight="1" x14ac:dyDescent="0.25">
      <c r="F1119" s="330"/>
      <c r="O1119" s="787"/>
    </row>
    <row r="1120" spans="6:15" ht="15.75" customHeight="1" x14ac:dyDescent="0.25">
      <c r="F1120" s="330"/>
      <c r="O1120" s="787"/>
    </row>
    <row r="1121" spans="6:15" ht="15.75" customHeight="1" x14ac:dyDescent="0.25">
      <c r="F1121" s="330"/>
      <c r="O1121" s="787"/>
    </row>
    <row r="1122" spans="6:15" ht="15.75" customHeight="1" x14ac:dyDescent="0.25">
      <c r="F1122" s="330"/>
      <c r="O1122" s="787"/>
    </row>
    <row r="1123" spans="6:15" ht="15.75" customHeight="1" x14ac:dyDescent="0.25">
      <c r="F1123" s="330"/>
      <c r="O1123" s="787"/>
    </row>
    <row r="1124" spans="6:15" ht="15.75" customHeight="1" x14ac:dyDescent="0.25">
      <c r="F1124" s="330"/>
      <c r="O1124" s="787"/>
    </row>
    <row r="1125" spans="6:15" ht="15.75" customHeight="1" x14ac:dyDescent="0.25">
      <c r="F1125" s="330"/>
      <c r="O1125" s="787"/>
    </row>
    <row r="1126" spans="6:15" ht="15.75" customHeight="1" x14ac:dyDescent="0.25">
      <c r="F1126" s="330"/>
      <c r="O1126" s="787"/>
    </row>
    <row r="1127" spans="6:15" ht="15.75" customHeight="1" x14ac:dyDescent="0.25">
      <c r="F1127" s="330"/>
      <c r="O1127" s="787"/>
    </row>
    <row r="1128" spans="6:15" ht="15.75" customHeight="1" x14ac:dyDescent="0.25">
      <c r="F1128" s="330"/>
      <c r="O1128" s="787"/>
    </row>
    <row r="1129" spans="6:15" ht="15.75" customHeight="1" x14ac:dyDescent="0.25">
      <c r="F1129" s="330"/>
      <c r="O1129" s="787"/>
    </row>
    <row r="1130" spans="6:15" ht="15.75" customHeight="1" x14ac:dyDescent="0.25">
      <c r="F1130" s="330"/>
      <c r="O1130" s="787"/>
    </row>
    <row r="1131" spans="6:15" ht="15.75" customHeight="1" x14ac:dyDescent="0.25">
      <c r="F1131" s="330"/>
      <c r="O1131" s="787"/>
    </row>
    <row r="1132" spans="6:15" ht="15.75" customHeight="1" x14ac:dyDescent="0.25">
      <c r="F1132" s="330"/>
      <c r="O1132" s="787"/>
    </row>
    <row r="1133" spans="6:15" ht="15.75" customHeight="1" x14ac:dyDescent="0.25">
      <c r="F1133" s="330"/>
      <c r="O1133" s="787"/>
    </row>
    <row r="1134" spans="6:15" ht="15.75" customHeight="1" x14ac:dyDescent="0.25">
      <c r="F1134" s="330"/>
      <c r="O1134" s="787"/>
    </row>
    <row r="1135" spans="6:15" ht="15.75" customHeight="1" x14ac:dyDescent="0.25">
      <c r="F1135" s="330"/>
      <c r="O1135" s="787"/>
    </row>
    <row r="1136" spans="6:15" ht="15.75" customHeight="1" x14ac:dyDescent="0.25">
      <c r="F1136" s="330"/>
      <c r="O1136" s="787"/>
    </row>
    <row r="1137" spans="6:15" ht="15.75" customHeight="1" x14ac:dyDescent="0.25">
      <c r="F1137" s="330"/>
      <c r="O1137" s="787"/>
    </row>
    <row r="1138" spans="6:15" ht="15.75" customHeight="1" x14ac:dyDescent="0.25">
      <c r="F1138" s="330"/>
      <c r="O1138" s="787"/>
    </row>
    <row r="1139" spans="6:15" ht="15.75" customHeight="1" x14ac:dyDescent="0.25">
      <c r="F1139" s="330"/>
      <c r="O1139" s="787"/>
    </row>
    <row r="1140" spans="6:15" ht="15.75" customHeight="1" x14ac:dyDescent="0.25">
      <c r="F1140" s="330"/>
      <c r="O1140" s="787"/>
    </row>
    <row r="1141" spans="6:15" ht="15.75" customHeight="1" x14ac:dyDescent="0.25">
      <c r="F1141" s="330"/>
      <c r="O1141" s="787"/>
    </row>
    <row r="1142" spans="6:15" ht="15.75" customHeight="1" x14ac:dyDescent="0.25">
      <c r="F1142" s="330"/>
      <c r="O1142" s="787"/>
    </row>
    <row r="1143" spans="6:15" ht="15.75" customHeight="1" x14ac:dyDescent="0.25">
      <c r="F1143" s="330"/>
      <c r="O1143" s="787"/>
    </row>
    <row r="1144" spans="6:15" ht="15.75" customHeight="1" x14ac:dyDescent="0.25">
      <c r="F1144" s="330"/>
      <c r="O1144" s="787"/>
    </row>
    <row r="1145" spans="6:15" ht="15.75" customHeight="1" x14ac:dyDescent="0.25">
      <c r="F1145" s="330"/>
      <c r="O1145" s="787"/>
    </row>
    <row r="1146" spans="6:15" ht="15.75" customHeight="1" x14ac:dyDescent="0.25">
      <c r="F1146" s="330"/>
      <c r="O1146" s="787"/>
    </row>
    <row r="1147" spans="6:15" ht="15.75" customHeight="1" x14ac:dyDescent="0.25">
      <c r="F1147" s="330"/>
      <c r="O1147" s="787"/>
    </row>
    <row r="1148" spans="6:15" ht="15.75" customHeight="1" x14ac:dyDescent="0.25">
      <c r="F1148" s="330"/>
      <c r="O1148" s="787"/>
    </row>
    <row r="1149" spans="6:15" ht="15.75" customHeight="1" x14ac:dyDescent="0.25">
      <c r="F1149" s="330"/>
      <c r="O1149" s="787"/>
    </row>
    <row r="1150" spans="6:15" ht="15.75" customHeight="1" x14ac:dyDescent="0.25">
      <c r="F1150" s="330"/>
      <c r="O1150" s="787"/>
    </row>
    <row r="1151" spans="6:15" ht="15.75" customHeight="1" x14ac:dyDescent="0.25">
      <c r="F1151" s="330"/>
      <c r="O1151" s="787"/>
    </row>
    <row r="1152" spans="6:15" ht="15.75" customHeight="1" x14ac:dyDescent="0.25">
      <c r="F1152" s="330"/>
      <c r="O1152" s="787"/>
    </row>
    <row r="1153" spans="6:15" ht="15.75" customHeight="1" x14ac:dyDescent="0.25">
      <c r="F1153" s="330"/>
      <c r="O1153" s="787"/>
    </row>
    <row r="1154" spans="6:15" ht="15.75" customHeight="1" x14ac:dyDescent="0.25">
      <c r="F1154" s="330"/>
      <c r="O1154" s="787"/>
    </row>
    <row r="1155" spans="6:15" ht="15.75" customHeight="1" x14ac:dyDescent="0.25">
      <c r="F1155" s="330"/>
      <c r="O1155" s="787"/>
    </row>
    <row r="1156" spans="6:15" ht="15.75" customHeight="1" x14ac:dyDescent="0.25">
      <c r="F1156" s="330"/>
      <c r="O1156" s="787"/>
    </row>
    <row r="1157" spans="6:15" ht="15.75" customHeight="1" x14ac:dyDescent="0.25">
      <c r="F1157" s="330"/>
      <c r="O1157" s="787"/>
    </row>
    <row r="1158" spans="6:15" ht="15.75" customHeight="1" x14ac:dyDescent="0.25">
      <c r="F1158" s="330"/>
      <c r="O1158" s="787"/>
    </row>
    <row r="1159" spans="6:15" ht="15.75" customHeight="1" x14ac:dyDescent="0.25">
      <c r="F1159" s="330"/>
      <c r="O1159" s="787"/>
    </row>
    <row r="1160" spans="6:15" ht="15.75" customHeight="1" x14ac:dyDescent="0.25">
      <c r="F1160" s="330"/>
      <c r="O1160" s="787"/>
    </row>
    <row r="1161" spans="6:15" ht="15.75" customHeight="1" x14ac:dyDescent="0.25">
      <c r="F1161" s="330"/>
      <c r="O1161" s="787"/>
    </row>
    <row r="1162" spans="6:15" ht="15.75" customHeight="1" x14ac:dyDescent="0.25">
      <c r="F1162" s="330"/>
      <c r="O1162" s="787"/>
    </row>
    <row r="1163" spans="6:15" ht="15.75" customHeight="1" x14ac:dyDescent="0.25">
      <c r="F1163" s="330"/>
      <c r="O1163" s="787"/>
    </row>
    <row r="1164" spans="6:15" ht="15.75" customHeight="1" x14ac:dyDescent="0.25">
      <c r="F1164" s="330"/>
      <c r="O1164" s="787"/>
    </row>
    <row r="1165" spans="6:15" ht="15.75" customHeight="1" x14ac:dyDescent="0.25">
      <c r="F1165" s="330"/>
      <c r="O1165" s="787"/>
    </row>
    <row r="1166" spans="6:15" ht="15.75" customHeight="1" x14ac:dyDescent="0.25">
      <c r="F1166" s="330"/>
      <c r="O1166" s="787"/>
    </row>
    <row r="1167" spans="6:15" ht="15.75" customHeight="1" x14ac:dyDescent="0.25">
      <c r="F1167" s="330"/>
      <c r="O1167" s="787"/>
    </row>
    <row r="1168" spans="6:15" ht="15.75" customHeight="1" x14ac:dyDescent="0.25">
      <c r="F1168" s="330"/>
      <c r="O1168" s="787"/>
    </row>
    <row r="1169" spans="6:15" ht="15.75" customHeight="1" x14ac:dyDescent="0.25">
      <c r="F1169" s="330"/>
      <c r="O1169" s="787"/>
    </row>
    <row r="1170" spans="6:15" ht="15.75" customHeight="1" x14ac:dyDescent="0.25">
      <c r="F1170" s="330"/>
      <c r="O1170" s="787"/>
    </row>
    <row r="1171" spans="6:15" ht="15.75" customHeight="1" x14ac:dyDescent="0.25">
      <c r="F1171" s="330"/>
      <c r="O1171" s="787"/>
    </row>
    <row r="1172" spans="6:15" ht="15.75" customHeight="1" x14ac:dyDescent="0.25">
      <c r="F1172" s="330"/>
      <c r="O1172" s="787"/>
    </row>
    <row r="1173" spans="6:15" ht="15.75" customHeight="1" x14ac:dyDescent="0.25">
      <c r="F1173" s="330"/>
      <c r="O1173" s="787"/>
    </row>
    <row r="1174" spans="6:15" ht="15.75" customHeight="1" x14ac:dyDescent="0.25">
      <c r="F1174" s="330"/>
      <c r="O1174" s="787"/>
    </row>
    <row r="1175" spans="6:15" ht="15.75" customHeight="1" x14ac:dyDescent="0.25">
      <c r="F1175" s="330"/>
      <c r="O1175" s="787"/>
    </row>
    <row r="1176" spans="6:15" ht="15.75" customHeight="1" x14ac:dyDescent="0.25">
      <c r="F1176" s="330"/>
      <c r="O1176" s="787"/>
    </row>
    <row r="1177" spans="6:15" ht="15.75" customHeight="1" x14ac:dyDescent="0.25">
      <c r="F1177" s="330"/>
      <c r="O1177" s="787"/>
    </row>
    <row r="1178" spans="6:15" ht="15.75" customHeight="1" x14ac:dyDescent="0.25">
      <c r="F1178" s="330"/>
      <c r="O1178" s="787"/>
    </row>
    <row r="1179" spans="6:15" ht="15.75" customHeight="1" x14ac:dyDescent="0.25">
      <c r="F1179" s="330"/>
      <c r="O1179" s="787"/>
    </row>
    <row r="1180" spans="6:15" ht="15.75" customHeight="1" x14ac:dyDescent="0.25">
      <c r="F1180" s="330"/>
      <c r="O1180" s="787"/>
    </row>
    <row r="1181" spans="6:15" ht="15.75" customHeight="1" x14ac:dyDescent="0.25">
      <c r="F1181" s="330"/>
      <c r="O1181" s="787"/>
    </row>
    <row r="1182" spans="6:15" ht="15.75" customHeight="1" x14ac:dyDescent="0.25">
      <c r="F1182" s="330"/>
      <c r="O1182" s="787"/>
    </row>
    <row r="1183" spans="6:15" ht="15.75" customHeight="1" x14ac:dyDescent="0.25">
      <c r="F1183" s="330"/>
      <c r="O1183" s="787"/>
    </row>
    <row r="1184" spans="6:15" ht="15.75" customHeight="1" x14ac:dyDescent="0.25">
      <c r="F1184" s="330"/>
      <c r="O1184" s="787"/>
    </row>
    <row r="1185" spans="6:15" ht="15.75" customHeight="1" x14ac:dyDescent="0.25">
      <c r="F1185" s="330"/>
      <c r="O1185" s="787"/>
    </row>
    <row r="1186" spans="6:15" ht="15.75" customHeight="1" x14ac:dyDescent="0.25">
      <c r="F1186" s="330"/>
      <c r="O1186" s="787"/>
    </row>
    <row r="1187" spans="6:15" ht="15.75" customHeight="1" x14ac:dyDescent="0.25">
      <c r="F1187" s="330"/>
      <c r="O1187" s="787"/>
    </row>
    <row r="1188" spans="6:15" ht="15.75" customHeight="1" x14ac:dyDescent="0.25">
      <c r="F1188" s="330"/>
      <c r="O1188" s="787"/>
    </row>
    <row r="1189" spans="6:15" ht="15.75" customHeight="1" x14ac:dyDescent="0.25">
      <c r="F1189" s="330"/>
      <c r="O1189" s="787"/>
    </row>
    <row r="1190" spans="6:15" ht="15.75" customHeight="1" x14ac:dyDescent="0.25">
      <c r="F1190" s="330"/>
      <c r="O1190" s="787"/>
    </row>
    <row r="1191" spans="6:15" ht="15.75" customHeight="1" x14ac:dyDescent="0.25">
      <c r="F1191" s="330"/>
      <c r="O1191" s="787"/>
    </row>
    <row r="1192" spans="6:15" ht="15.75" customHeight="1" x14ac:dyDescent="0.25">
      <c r="F1192" s="330"/>
      <c r="O1192" s="787"/>
    </row>
    <row r="1193" spans="6:15" ht="15.75" customHeight="1" x14ac:dyDescent="0.25">
      <c r="F1193" s="330"/>
      <c r="O1193" s="787"/>
    </row>
    <row r="1194" spans="6:15" ht="15.75" customHeight="1" x14ac:dyDescent="0.25">
      <c r="F1194" s="330"/>
      <c r="O1194" s="787"/>
    </row>
    <row r="1195" spans="6:15" ht="15.75" customHeight="1" x14ac:dyDescent="0.25">
      <c r="F1195" s="330"/>
      <c r="O1195" s="787"/>
    </row>
    <row r="1196" spans="6:15" ht="15.75" customHeight="1" x14ac:dyDescent="0.25">
      <c r="F1196" s="330"/>
      <c r="O1196" s="787"/>
    </row>
    <row r="1197" spans="6:15" ht="15.75" customHeight="1" x14ac:dyDescent="0.25">
      <c r="F1197" s="330"/>
      <c r="O1197" s="787"/>
    </row>
    <row r="1198" spans="6:15" ht="15.75" customHeight="1" x14ac:dyDescent="0.25">
      <c r="F1198" s="330"/>
      <c r="O1198" s="787"/>
    </row>
    <row r="1199" spans="6:15" ht="15.75" customHeight="1" x14ac:dyDescent="0.25">
      <c r="F1199" s="330"/>
      <c r="O1199" s="787"/>
    </row>
    <row r="1200" spans="6:15" ht="15.75" customHeight="1" x14ac:dyDescent="0.25">
      <c r="F1200" s="330"/>
      <c r="O1200" s="787"/>
    </row>
    <row r="1201" spans="6:15" ht="15.75" customHeight="1" x14ac:dyDescent="0.25">
      <c r="F1201" s="330"/>
      <c r="O1201" s="787"/>
    </row>
    <row r="1202" spans="6:15" ht="15.75" customHeight="1" x14ac:dyDescent="0.25">
      <c r="F1202" s="330"/>
      <c r="O1202" s="787"/>
    </row>
    <row r="1203" spans="6:15" ht="15.75" customHeight="1" x14ac:dyDescent="0.25">
      <c r="F1203" s="330"/>
      <c r="O1203" s="787"/>
    </row>
    <row r="1204" spans="6:15" ht="15.75" customHeight="1" x14ac:dyDescent="0.25">
      <c r="F1204" s="330"/>
      <c r="O1204" s="787"/>
    </row>
    <row r="1205" spans="6:15" ht="15.75" customHeight="1" x14ac:dyDescent="0.25">
      <c r="F1205" s="330"/>
      <c r="O1205" s="787"/>
    </row>
    <row r="1206" spans="6:15" ht="15.75" customHeight="1" x14ac:dyDescent="0.25">
      <c r="F1206" s="330"/>
      <c r="O1206" s="787"/>
    </row>
    <row r="1207" spans="6:15" ht="15.75" customHeight="1" x14ac:dyDescent="0.25">
      <c r="F1207" s="330"/>
      <c r="O1207" s="787"/>
    </row>
    <row r="1208" spans="6:15" ht="15.75" customHeight="1" x14ac:dyDescent="0.25">
      <c r="F1208" s="330"/>
      <c r="O1208" s="787"/>
    </row>
    <row r="1209" spans="6:15" ht="15.75" customHeight="1" x14ac:dyDescent="0.25">
      <c r="F1209" s="330"/>
      <c r="O1209" s="787"/>
    </row>
    <row r="1210" spans="6:15" ht="15.75" customHeight="1" x14ac:dyDescent="0.25">
      <c r="F1210" s="330"/>
      <c r="O1210" s="787"/>
    </row>
    <row r="1211" spans="6:15" ht="15.75" customHeight="1" x14ac:dyDescent="0.25">
      <c r="F1211" s="330"/>
      <c r="O1211" s="787"/>
    </row>
    <row r="1212" spans="6:15" ht="15.75" customHeight="1" x14ac:dyDescent="0.25">
      <c r="F1212" s="330"/>
      <c r="O1212" s="787"/>
    </row>
    <row r="1213" spans="6:15" ht="15.75" customHeight="1" x14ac:dyDescent="0.25">
      <c r="F1213" s="330"/>
      <c r="O1213" s="787"/>
    </row>
    <row r="1214" spans="6:15" ht="15.75" customHeight="1" x14ac:dyDescent="0.25">
      <c r="F1214" s="330"/>
      <c r="O1214" s="787"/>
    </row>
    <row r="1215" spans="6:15" ht="15.75" customHeight="1" x14ac:dyDescent="0.25">
      <c r="F1215" s="330"/>
      <c r="O1215" s="787"/>
    </row>
    <row r="1216" spans="6:15" ht="15.75" customHeight="1" x14ac:dyDescent="0.25">
      <c r="F1216" s="330"/>
      <c r="O1216" s="787"/>
    </row>
    <row r="1217" spans="6:15" ht="15.75" customHeight="1" x14ac:dyDescent="0.25">
      <c r="F1217" s="330"/>
      <c r="O1217" s="787"/>
    </row>
    <row r="1218" spans="6:15" ht="15.75" customHeight="1" x14ac:dyDescent="0.25">
      <c r="F1218" s="330"/>
      <c r="O1218" s="787"/>
    </row>
    <row r="1219" spans="6:15" ht="15.75" customHeight="1" x14ac:dyDescent="0.25">
      <c r="F1219" s="330"/>
      <c r="O1219" s="787"/>
    </row>
    <row r="1220" spans="6:15" ht="15.75" customHeight="1" x14ac:dyDescent="0.25">
      <c r="F1220" s="330"/>
      <c r="O1220" s="787"/>
    </row>
    <row r="1221" spans="6:15" ht="15.75" customHeight="1" x14ac:dyDescent="0.25">
      <c r="F1221" s="330"/>
      <c r="O1221" s="787"/>
    </row>
    <row r="1222" spans="6:15" ht="15.75" customHeight="1" x14ac:dyDescent="0.25">
      <c r="F1222" s="330"/>
      <c r="O1222" s="787"/>
    </row>
    <row r="1223" spans="6:15" ht="15.75" customHeight="1" x14ac:dyDescent="0.25">
      <c r="F1223" s="330"/>
      <c r="O1223" s="787"/>
    </row>
    <row r="1224" spans="6:15" ht="15.75" customHeight="1" x14ac:dyDescent="0.25">
      <c r="F1224" s="330"/>
      <c r="O1224" s="787"/>
    </row>
    <row r="1225" spans="6:15" ht="15.75" customHeight="1" x14ac:dyDescent="0.25">
      <c r="F1225" s="330"/>
      <c r="O1225" s="787"/>
    </row>
    <row r="1226" spans="6:15" ht="15.75" customHeight="1" x14ac:dyDescent="0.25">
      <c r="F1226" s="330"/>
      <c r="O1226" s="787"/>
    </row>
    <row r="1227" spans="6:15" ht="15.75" customHeight="1" x14ac:dyDescent="0.25">
      <c r="F1227" s="330"/>
      <c r="O1227" s="787"/>
    </row>
    <row r="1228" spans="6:15" ht="15.75" customHeight="1" x14ac:dyDescent="0.25">
      <c r="F1228" s="330"/>
      <c r="O1228" s="787"/>
    </row>
    <row r="1229" spans="6:15" ht="15.75" customHeight="1" x14ac:dyDescent="0.25">
      <c r="F1229" s="330"/>
      <c r="O1229" s="787"/>
    </row>
    <row r="1230" spans="6:15" ht="15.75" customHeight="1" x14ac:dyDescent="0.25">
      <c r="F1230" s="330"/>
      <c r="O1230" s="787"/>
    </row>
    <row r="1231" spans="6:15" ht="15.75" customHeight="1" x14ac:dyDescent="0.25">
      <c r="F1231" s="330"/>
      <c r="O1231" s="787"/>
    </row>
    <row r="1232" spans="6:15" ht="15.75" customHeight="1" x14ac:dyDescent="0.25">
      <c r="F1232" s="330"/>
      <c r="O1232" s="787"/>
    </row>
    <row r="1233" spans="6:15" ht="15.75" customHeight="1" x14ac:dyDescent="0.25">
      <c r="F1233" s="330"/>
      <c r="O1233" s="787"/>
    </row>
    <row r="1234" spans="6:15" ht="15.75" customHeight="1" x14ac:dyDescent="0.25">
      <c r="F1234" s="330"/>
      <c r="O1234" s="787"/>
    </row>
    <row r="1235" spans="6:15" ht="15.75" customHeight="1" x14ac:dyDescent="0.25">
      <c r="F1235" s="330"/>
      <c r="O1235" s="787"/>
    </row>
    <row r="1236" spans="6:15" ht="15.75" customHeight="1" x14ac:dyDescent="0.25">
      <c r="F1236" s="330"/>
      <c r="O1236" s="787"/>
    </row>
    <row r="1237" spans="6:15" ht="15.75" customHeight="1" x14ac:dyDescent="0.25">
      <c r="F1237" s="330"/>
      <c r="O1237" s="787"/>
    </row>
    <row r="1238" spans="6:15" ht="15.75" customHeight="1" x14ac:dyDescent="0.25">
      <c r="F1238" s="330"/>
      <c r="O1238" s="787"/>
    </row>
    <row r="1239" spans="6:15" ht="15.75" customHeight="1" x14ac:dyDescent="0.25">
      <c r="F1239" s="330"/>
      <c r="O1239" s="787"/>
    </row>
    <row r="1240" spans="6:15" ht="15.75" customHeight="1" x14ac:dyDescent="0.25">
      <c r="F1240" s="330"/>
      <c r="O1240" s="787"/>
    </row>
    <row r="1241" spans="6:15" ht="15.75" customHeight="1" x14ac:dyDescent="0.25">
      <c r="F1241" s="330"/>
      <c r="O1241" s="787"/>
    </row>
    <row r="1242" spans="6:15" ht="15.75" customHeight="1" x14ac:dyDescent="0.25">
      <c r="F1242" s="330"/>
      <c r="O1242" s="787"/>
    </row>
    <row r="1243" spans="6:15" ht="15.75" customHeight="1" x14ac:dyDescent="0.25">
      <c r="F1243" s="330"/>
      <c r="O1243" s="787"/>
    </row>
    <row r="1244" spans="6:15" ht="15.75" customHeight="1" x14ac:dyDescent="0.25">
      <c r="F1244" s="330"/>
      <c r="O1244" s="787"/>
    </row>
    <row r="1245" spans="6:15" ht="15.75" customHeight="1" x14ac:dyDescent="0.25">
      <c r="F1245" s="330"/>
      <c r="O1245" s="787"/>
    </row>
    <row r="1246" spans="6:15" ht="15.75" customHeight="1" x14ac:dyDescent="0.25">
      <c r="F1246" s="330"/>
      <c r="O1246" s="787"/>
    </row>
    <row r="1247" spans="6:15" ht="15.75" customHeight="1" x14ac:dyDescent="0.25">
      <c r="F1247" s="330"/>
      <c r="O1247" s="787"/>
    </row>
    <row r="1248" spans="6:15" ht="15.75" customHeight="1" x14ac:dyDescent="0.25">
      <c r="F1248" s="330"/>
      <c r="O1248" s="787"/>
    </row>
    <row r="1249" spans="6:15" ht="15.75" customHeight="1" x14ac:dyDescent="0.25">
      <c r="F1249" s="330"/>
      <c r="O1249" s="787"/>
    </row>
    <row r="1250" spans="6:15" ht="15.75" customHeight="1" x14ac:dyDescent="0.25">
      <c r="F1250" s="330"/>
      <c r="O1250" s="787"/>
    </row>
    <row r="1251" spans="6:15" ht="15.75" customHeight="1" x14ac:dyDescent="0.25">
      <c r="F1251" s="330"/>
      <c r="O1251" s="787"/>
    </row>
    <row r="1252" spans="6:15" ht="15.75" customHeight="1" x14ac:dyDescent="0.25">
      <c r="F1252" s="330"/>
      <c r="O1252" s="787"/>
    </row>
    <row r="1253" spans="6:15" ht="15.75" customHeight="1" x14ac:dyDescent="0.25">
      <c r="F1253" s="330"/>
      <c r="O1253" s="787"/>
    </row>
    <row r="1254" spans="6:15" ht="15.75" customHeight="1" x14ac:dyDescent="0.25">
      <c r="F1254" s="330"/>
      <c r="O1254" s="787"/>
    </row>
    <row r="1255" spans="6:15" ht="15.75" customHeight="1" x14ac:dyDescent="0.25">
      <c r="F1255" s="330"/>
      <c r="O1255" s="787"/>
    </row>
    <row r="1256" spans="6:15" ht="15.75" customHeight="1" x14ac:dyDescent="0.25">
      <c r="F1256" s="330"/>
      <c r="O1256" s="787"/>
    </row>
    <row r="1257" spans="6:15" ht="15.75" customHeight="1" x14ac:dyDescent="0.25">
      <c r="F1257" s="330"/>
      <c r="O1257" s="787"/>
    </row>
    <row r="1258" spans="6:15" ht="15.75" customHeight="1" x14ac:dyDescent="0.25">
      <c r="F1258" s="330"/>
      <c r="O1258" s="787"/>
    </row>
    <row r="1259" spans="6:15" ht="15.75" customHeight="1" x14ac:dyDescent="0.25">
      <c r="F1259" s="330"/>
      <c r="O1259" s="787"/>
    </row>
    <row r="1260" spans="6:15" ht="15.75" customHeight="1" x14ac:dyDescent="0.25">
      <c r="F1260" s="330"/>
      <c r="O1260" s="787"/>
    </row>
    <row r="1261" spans="6:15" ht="15.75" customHeight="1" x14ac:dyDescent="0.25">
      <c r="F1261" s="330"/>
      <c r="O1261" s="787"/>
    </row>
    <row r="1262" spans="6:15" ht="15.75" customHeight="1" x14ac:dyDescent="0.25">
      <c r="F1262" s="330"/>
      <c r="O1262" s="787"/>
    </row>
    <row r="1263" spans="6:15" ht="15.75" customHeight="1" x14ac:dyDescent="0.25">
      <c r="F1263" s="330"/>
      <c r="O1263" s="787"/>
    </row>
    <row r="1264" spans="6:15" ht="15.75" customHeight="1" x14ac:dyDescent="0.25">
      <c r="F1264" s="330"/>
      <c r="O1264" s="787"/>
    </row>
    <row r="1265" spans="6:15" ht="15.75" customHeight="1" x14ac:dyDescent="0.25">
      <c r="F1265" s="330"/>
      <c r="O1265" s="787"/>
    </row>
    <row r="1266" spans="6:15" ht="15.75" customHeight="1" x14ac:dyDescent="0.25">
      <c r="F1266" s="330"/>
      <c r="O1266" s="787"/>
    </row>
    <row r="1267" spans="6:15" ht="15.75" customHeight="1" x14ac:dyDescent="0.25">
      <c r="F1267" s="330"/>
      <c r="O1267" s="787"/>
    </row>
    <row r="1268" spans="6:15" ht="15.75" customHeight="1" x14ac:dyDescent="0.25">
      <c r="F1268" s="330"/>
      <c r="O1268" s="787"/>
    </row>
    <row r="1269" spans="6:15" ht="15.75" customHeight="1" x14ac:dyDescent="0.25">
      <c r="F1269" s="330"/>
      <c r="O1269" s="787"/>
    </row>
    <row r="1270" spans="6:15" ht="15.75" customHeight="1" x14ac:dyDescent="0.25">
      <c r="F1270" s="330"/>
      <c r="O1270" s="787"/>
    </row>
    <row r="1271" spans="6:15" ht="15.75" customHeight="1" x14ac:dyDescent="0.25">
      <c r="F1271" s="330"/>
      <c r="O1271" s="787"/>
    </row>
    <row r="1272" spans="6:15" ht="15.75" customHeight="1" x14ac:dyDescent="0.25">
      <c r="F1272" s="330"/>
      <c r="O1272" s="787"/>
    </row>
    <row r="1273" spans="6:15" ht="15.75" customHeight="1" x14ac:dyDescent="0.25">
      <c r="F1273" s="330"/>
      <c r="O1273" s="787"/>
    </row>
    <row r="1274" spans="6:15" ht="15.75" customHeight="1" x14ac:dyDescent="0.25">
      <c r="F1274" s="330"/>
      <c r="O1274" s="787"/>
    </row>
    <row r="1275" spans="6:15" ht="15.75" customHeight="1" x14ac:dyDescent="0.25">
      <c r="F1275" s="330"/>
      <c r="O1275" s="787"/>
    </row>
    <row r="1276" spans="6:15" ht="15.75" customHeight="1" x14ac:dyDescent="0.25">
      <c r="F1276" s="330"/>
      <c r="O1276" s="787"/>
    </row>
    <row r="1277" spans="6:15" ht="15.75" customHeight="1" x14ac:dyDescent="0.25">
      <c r="F1277" s="330"/>
      <c r="O1277" s="787"/>
    </row>
    <row r="1278" spans="6:15" ht="15.75" customHeight="1" x14ac:dyDescent="0.25">
      <c r="F1278" s="330"/>
      <c r="O1278" s="787"/>
    </row>
    <row r="1279" spans="6:15" ht="15.75" customHeight="1" x14ac:dyDescent="0.25">
      <c r="F1279" s="330"/>
      <c r="O1279" s="787"/>
    </row>
    <row r="1280" spans="6:15" ht="15.75" customHeight="1" x14ac:dyDescent="0.25">
      <c r="F1280" s="330"/>
      <c r="O1280" s="787"/>
    </row>
    <row r="1281" spans="6:15" ht="15.75" customHeight="1" x14ac:dyDescent="0.25">
      <c r="F1281" s="330"/>
      <c r="O1281" s="787"/>
    </row>
    <row r="1282" spans="6:15" ht="15.75" customHeight="1" x14ac:dyDescent="0.25">
      <c r="F1282" s="330"/>
      <c r="O1282" s="787"/>
    </row>
    <row r="1283" spans="6:15" ht="15.75" customHeight="1" x14ac:dyDescent="0.25">
      <c r="F1283" s="330"/>
      <c r="O1283" s="787"/>
    </row>
    <row r="1284" spans="6:15" ht="15.75" customHeight="1" x14ac:dyDescent="0.25">
      <c r="F1284" s="330"/>
      <c r="O1284" s="787"/>
    </row>
    <row r="1285" spans="6:15" ht="15.75" customHeight="1" x14ac:dyDescent="0.25">
      <c r="F1285" s="330"/>
      <c r="O1285" s="787"/>
    </row>
    <row r="1286" spans="6:15" ht="15.75" customHeight="1" x14ac:dyDescent="0.25">
      <c r="F1286" s="330"/>
      <c r="O1286" s="787"/>
    </row>
    <row r="1287" spans="6:15" ht="15.75" customHeight="1" x14ac:dyDescent="0.25">
      <c r="F1287" s="330"/>
      <c r="O1287" s="787"/>
    </row>
    <row r="1288" spans="6:15" ht="15.75" customHeight="1" x14ac:dyDescent="0.25">
      <c r="F1288" s="330"/>
      <c r="O1288" s="787"/>
    </row>
    <row r="1289" spans="6:15" ht="15.75" customHeight="1" x14ac:dyDescent="0.25">
      <c r="F1289" s="330"/>
      <c r="O1289" s="787"/>
    </row>
    <row r="1290" spans="6:15" ht="15.75" customHeight="1" x14ac:dyDescent="0.25">
      <c r="F1290" s="330"/>
      <c r="O1290" s="787"/>
    </row>
    <row r="1291" spans="6:15" ht="15.75" customHeight="1" x14ac:dyDescent="0.25">
      <c r="F1291" s="330"/>
      <c r="O1291" s="787"/>
    </row>
    <row r="1292" spans="6:15" ht="15.75" customHeight="1" x14ac:dyDescent="0.25">
      <c r="F1292" s="330"/>
      <c r="O1292" s="787"/>
    </row>
    <row r="1293" spans="6:15" ht="15.75" customHeight="1" x14ac:dyDescent="0.25">
      <c r="F1293" s="330"/>
      <c r="O1293" s="787"/>
    </row>
    <row r="1294" spans="6:15" ht="15.75" customHeight="1" x14ac:dyDescent="0.25">
      <c r="F1294" s="330"/>
      <c r="O1294" s="787"/>
    </row>
    <row r="1295" spans="6:15" ht="15.75" customHeight="1" x14ac:dyDescent="0.25">
      <c r="F1295" s="330"/>
      <c r="O1295" s="787"/>
    </row>
    <row r="1296" spans="6:15" ht="15.75" customHeight="1" x14ac:dyDescent="0.25">
      <c r="F1296" s="330"/>
      <c r="O1296" s="787"/>
    </row>
    <row r="1297" spans="6:15" ht="15.75" customHeight="1" x14ac:dyDescent="0.25">
      <c r="F1297" s="330"/>
      <c r="O1297" s="787"/>
    </row>
    <row r="1298" spans="6:15" ht="15.75" customHeight="1" x14ac:dyDescent="0.25">
      <c r="F1298" s="330"/>
      <c r="O1298" s="787"/>
    </row>
    <row r="1299" spans="6:15" ht="15.75" customHeight="1" x14ac:dyDescent="0.25">
      <c r="F1299" s="330"/>
      <c r="O1299" s="787"/>
    </row>
    <row r="1300" spans="6:15" ht="15.75" customHeight="1" x14ac:dyDescent="0.25">
      <c r="F1300" s="330"/>
      <c r="O1300" s="787"/>
    </row>
    <row r="1301" spans="6:15" ht="15.75" customHeight="1" x14ac:dyDescent="0.25">
      <c r="F1301" s="330"/>
      <c r="O1301" s="787"/>
    </row>
    <row r="1302" spans="6:15" ht="15.75" customHeight="1" x14ac:dyDescent="0.25">
      <c r="F1302" s="330"/>
      <c r="O1302" s="787"/>
    </row>
    <row r="1303" spans="6:15" ht="15.75" customHeight="1" x14ac:dyDescent="0.25">
      <c r="F1303" s="330"/>
      <c r="O1303" s="787"/>
    </row>
    <row r="1304" spans="6:15" ht="15.75" customHeight="1" x14ac:dyDescent="0.25">
      <c r="F1304" s="330"/>
      <c r="O1304" s="787"/>
    </row>
    <row r="1305" spans="6:15" ht="15.75" customHeight="1" x14ac:dyDescent="0.25">
      <c r="F1305" s="330"/>
      <c r="O1305" s="787"/>
    </row>
    <row r="1306" spans="6:15" ht="15.75" customHeight="1" x14ac:dyDescent="0.25">
      <c r="F1306" s="330"/>
      <c r="O1306" s="787"/>
    </row>
    <row r="1307" spans="6:15" ht="15.75" customHeight="1" x14ac:dyDescent="0.25">
      <c r="F1307" s="330"/>
      <c r="O1307" s="787"/>
    </row>
    <row r="1308" spans="6:15" ht="15.75" customHeight="1" x14ac:dyDescent="0.25">
      <c r="F1308" s="330"/>
      <c r="O1308" s="787"/>
    </row>
    <row r="1309" spans="6:15" ht="15.75" customHeight="1" x14ac:dyDescent="0.25">
      <c r="F1309" s="330"/>
      <c r="O1309" s="787"/>
    </row>
    <row r="1310" spans="6:15" ht="15.75" customHeight="1" x14ac:dyDescent="0.25">
      <c r="F1310" s="330"/>
      <c r="O1310" s="787"/>
    </row>
    <row r="1311" spans="6:15" ht="15.75" customHeight="1" x14ac:dyDescent="0.25">
      <c r="F1311" s="330"/>
      <c r="O1311" s="787"/>
    </row>
    <row r="1312" spans="6:15" ht="15.75" customHeight="1" x14ac:dyDescent="0.25">
      <c r="F1312" s="330"/>
      <c r="O1312" s="787"/>
    </row>
    <row r="1313" spans="6:15" ht="15.75" customHeight="1" x14ac:dyDescent="0.25">
      <c r="F1313" s="330"/>
      <c r="O1313" s="787"/>
    </row>
    <row r="1314" spans="6:15" ht="15.6" x14ac:dyDescent="0.25"/>
    <row r="1315" spans="6:15" ht="15.6" x14ac:dyDescent="0.25"/>
    <row r="1316" spans="6:15" ht="15.6" x14ac:dyDescent="0.25"/>
    <row r="1317" spans="6:15" ht="15.6" x14ac:dyDescent="0.25"/>
    <row r="1318" spans="6:15" ht="15.6" x14ac:dyDescent="0.25"/>
    <row r="1319" spans="6:15" ht="15.6" x14ac:dyDescent="0.25"/>
    <row r="1320" spans="6:15" ht="15.6" x14ac:dyDescent="0.25"/>
    <row r="1321" spans="6:15" ht="15.6" x14ac:dyDescent="0.25"/>
    <row r="1322" spans="6:15" ht="15.6" x14ac:dyDescent="0.25"/>
    <row r="1323" spans="6:15" ht="15.6" x14ac:dyDescent="0.25"/>
    <row r="1324" spans="6:15" ht="15.6" x14ac:dyDescent="0.25"/>
    <row r="1325" spans="6:15" ht="15.6" x14ac:dyDescent="0.25"/>
    <row r="1326" spans="6:15" ht="15.6" x14ac:dyDescent="0.25"/>
    <row r="1327" spans="6:15" ht="15.6" x14ac:dyDescent="0.25"/>
    <row r="1328" spans="6:15" ht="15.6" x14ac:dyDescent="0.25"/>
    <row r="1329" ht="15.6" x14ac:dyDescent="0.25"/>
    <row r="1330" ht="15.6" x14ac:dyDescent="0.25"/>
    <row r="1331" ht="15.6" x14ac:dyDescent="0.25"/>
  </sheetData>
  <sheetProtection algorithmName="SHA-512" hashValue="BGqmSWane4tGRp/8QdqR8PxpSpQou1BDZLr1bN0jVlyhJDeutRL8zsLoObzmN+POPojensstFOh/YcBjHuyhYA==" saltValue="mxR7JbHkhVDLgwVyFHCb+w==" spinCount="100000" sheet="1" objects="1" scenarios="1"/>
  <mergeCells count="290">
    <mergeCell ref="M245:N245"/>
    <mergeCell ref="M239:N239"/>
    <mergeCell ref="M240:N240"/>
    <mergeCell ref="M241:N241"/>
    <mergeCell ref="M243:N243"/>
    <mergeCell ref="M234:N234"/>
    <mergeCell ref="M235:N235"/>
    <mergeCell ref="M236:N236"/>
    <mergeCell ref="M237:N237"/>
    <mergeCell ref="M238:N238"/>
    <mergeCell ref="M229:N229"/>
    <mergeCell ref="M230:N230"/>
    <mergeCell ref="M231:N231"/>
    <mergeCell ref="M233:N233"/>
    <mergeCell ref="M223:N223"/>
    <mergeCell ref="M224:N224"/>
    <mergeCell ref="M225:N225"/>
    <mergeCell ref="M226:N226"/>
    <mergeCell ref="M228:N228"/>
    <mergeCell ref="M217:N217"/>
    <mergeCell ref="M218:N218"/>
    <mergeCell ref="M219:N219"/>
    <mergeCell ref="M220:N220"/>
    <mergeCell ref="M221:N221"/>
    <mergeCell ref="M212:N212"/>
    <mergeCell ref="M213:N213"/>
    <mergeCell ref="M214:N214"/>
    <mergeCell ref="M215:N215"/>
    <mergeCell ref="M216:N216"/>
    <mergeCell ref="M206:N206"/>
    <mergeCell ref="M207:N207"/>
    <mergeCell ref="M208:N208"/>
    <mergeCell ref="M209:N209"/>
    <mergeCell ref="M210:N210"/>
    <mergeCell ref="M199:N199"/>
    <mergeCell ref="M202:N202"/>
    <mergeCell ref="M203:N203"/>
    <mergeCell ref="M204:N204"/>
    <mergeCell ref="M205:N205"/>
    <mergeCell ref="M194:N194"/>
    <mergeCell ref="M195:N195"/>
    <mergeCell ref="M196:N196"/>
    <mergeCell ref="M197:N197"/>
    <mergeCell ref="M198:N198"/>
    <mergeCell ref="M187:N187"/>
    <mergeCell ref="M188:N188"/>
    <mergeCell ref="M190:N190"/>
    <mergeCell ref="M192:N192"/>
    <mergeCell ref="M193:N193"/>
    <mergeCell ref="M180:N180"/>
    <mergeCell ref="M182:N182"/>
    <mergeCell ref="M183:N183"/>
    <mergeCell ref="M184:N184"/>
    <mergeCell ref="M185:N185"/>
    <mergeCell ref="M174:N174"/>
    <mergeCell ref="M175:N175"/>
    <mergeCell ref="M176:N176"/>
    <mergeCell ref="M178:N178"/>
    <mergeCell ref="M179:N179"/>
    <mergeCell ref="M167:N167"/>
    <mergeCell ref="M168:N168"/>
    <mergeCell ref="M169:N169"/>
    <mergeCell ref="M171:N171"/>
    <mergeCell ref="M173:N173"/>
    <mergeCell ref="M161:N161"/>
    <mergeCell ref="M162:N162"/>
    <mergeCell ref="M164:N164"/>
    <mergeCell ref="M165:N165"/>
    <mergeCell ref="M166:N166"/>
    <mergeCell ref="M155:N155"/>
    <mergeCell ref="M156:N156"/>
    <mergeCell ref="M158:N158"/>
    <mergeCell ref="M159:N159"/>
    <mergeCell ref="M160:N160"/>
    <mergeCell ref="M149:N149"/>
    <mergeCell ref="M150:N150"/>
    <mergeCell ref="M153:N153"/>
    <mergeCell ref="M154:N154"/>
    <mergeCell ref="M144:N144"/>
    <mergeCell ref="M145:N145"/>
    <mergeCell ref="M146:N146"/>
    <mergeCell ref="M147:N147"/>
    <mergeCell ref="M148:N148"/>
    <mergeCell ref="M138:N138"/>
    <mergeCell ref="M139:N139"/>
    <mergeCell ref="M140:N140"/>
    <mergeCell ref="M141:N141"/>
    <mergeCell ref="M143:N143"/>
    <mergeCell ref="M132:N132"/>
    <mergeCell ref="M134:N134"/>
    <mergeCell ref="M135:N135"/>
    <mergeCell ref="M136:N136"/>
    <mergeCell ref="M137:N137"/>
    <mergeCell ref="M127:N127"/>
    <mergeCell ref="M128:N128"/>
    <mergeCell ref="M129:N129"/>
    <mergeCell ref="M130:N130"/>
    <mergeCell ref="M131:N131"/>
    <mergeCell ref="M121:N121"/>
    <mergeCell ref="M122:N122"/>
    <mergeCell ref="M123:N123"/>
    <mergeCell ref="M125:N125"/>
    <mergeCell ref="M126:N126"/>
    <mergeCell ref="M115:N115"/>
    <mergeCell ref="M116:N116"/>
    <mergeCell ref="M117:N117"/>
    <mergeCell ref="M119:N119"/>
    <mergeCell ref="M120:N120"/>
    <mergeCell ref="M108:N108"/>
    <mergeCell ref="M111:N111"/>
    <mergeCell ref="M112:N112"/>
    <mergeCell ref="M113:N113"/>
    <mergeCell ref="M114:N114"/>
    <mergeCell ref="M102:N102"/>
    <mergeCell ref="M103:N103"/>
    <mergeCell ref="M104:N104"/>
    <mergeCell ref="M105:N105"/>
    <mergeCell ref="M107:N107"/>
    <mergeCell ref="M76:N76"/>
    <mergeCell ref="M77:N77"/>
    <mergeCell ref="M78:N78"/>
    <mergeCell ref="M96:N96"/>
    <mergeCell ref="M97:N97"/>
    <mergeCell ref="M98:N98"/>
    <mergeCell ref="M100:N100"/>
    <mergeCell ref="M101:N101"/>
    <mergeCell ref="M92:N92"/>
    <mergeCell ref="M93:N93"/>
    <mergeCell ref="M94:N94"/>
    <mergeCell ref="M95:N95"/>
    <mergeCell ref="M91:N91"/>
    <mergeCell ref="M79:N79"/>
    <mergeCell ref="M80:N80"/>
    <mergeCell ref="M85:N85"/>
    <mergeCell ref="M86:N86"/>
    <mergeCell ref="M87:N87"/>
    <mergeCell ref="M88:N88"/>
    <mergeCell ref="M90:N90"/>
    <mergeCell ref="M81:N81"/>
    <mergeCell ref="M82:N82"/>
    <mergeCell ref="M83:N83"/>
    <mergeCell ref="M72:N72"/>
    <mergeCell ref="M73:N73"/>
    <mergeCell ref="M68:N68"/>
    <mergeCell ref="M69:N69"/>
    <mergeCell ref="M55:N55"/>
    <mergeCell ref="M56:N56"/>
    <mergeCell ref="M59:N59"/>
    <mergeCell ref="M60:N60"/>
    <mergeCell ref="M61:N61"/>
    <mergeCell ref="M64:N64"/>
    <mergeCell ref="M65:N65"/>
    <mergeCell ref="M70:N70"/>
    <mergeCell ref="M71:N71"/>
    <mergeCell ref="M33:N33"/>
    <mergeCell ref="M36:N36"/>
    <mergeCell ref="M37:N37"/>
    <mergeCell ref="M38:N38"/>
    <mergeCell ref="M28:N28"/>
    <mergeCell ref="M29:N29"/>
    <mergeCell ref="M30:N30"/>
    <mergeCell ref="M31:N31"/>
    <mergeCell ref="M32:N32"/>
    <mergeCell ref="A109:C109"/>
    <mergeCell ref="B110:C110"/>
    <mergeCell ref="B118:C118"/>
    <mergeCell ref="A111:B117"/>
    <mergeCell ref="A125:B132"/>
    <mergeCell ref="M22:N22"/>
    <mergeCell ref="M23:N23"/>
    <mergeCell ref="M24:N24"/>
    <mergeCell ref="M25:N25"/>
    <mergeCell ref="M26:N26"/>
    <mergeCell ref="M39:N39"/>
    <mergeCell ref="M50:N50"/>
    <mergeCell ref="M51:N51"/>
    <mergeCell ref="M52:N52"/>
    <mergeCell ref="M53:N53"/>
    <mergeCell ref="M54:N54"/>
    <mergeCell ref="M41:N41"/>
    <mergeCell ref="M42:N42"/>
    <mergeCell ref="M45:N45"/>
    <mergeCell ref="M46:N46"/>
    <mergeCell ref="M47:N47"/>
    <mergeCell ref="M62:N62"/>
    <mergeCell ref="M63:N63"/>
    <mergeCell ref="M67:N67"/>
    <mergeCell ref="A21:B26"/>
    <mergeCell ref="A51:B56"/>
    <mergeCell ref="A59:B65"/>
    <mergeCell ref="B66:C66"/>
    <mergeCell ref="A1:C1"/>
    <mergeCell ref="D1:O1"/>
    <mergeCell ref="A2:O2"/>
    <mergeCell ref="D3:D4"/>
    <mergeCell ref="E3:E4"/>
    <mergeCell ref="L3:L4"/>
    <mergeCell ref="A3:B4"/>
    <mergeCell ref="C3:C4"/>
    <mergeCell ref="H3:H4"/>
    <mergeCell ref="F3:F4"/>
    <mergeCell ref="G3:G4"/>
    <mergeCell ref="I3:I4"/>
    <mergeCell ref="J3:J4"/>
    <mergeCell ref="K3:K4"/>
    <mergeCell ref="M3:N4"/>
    <mergeCell ref="M16:N16"/>
    <mergeCell ref="M17:N17"/>
    <mergeCell ref="M18:N18"/>
    <mergeCell ref="M19:N19"/>
    <mergeCell ref="M21:N21"/>
    <mergeCell ref="A243:B243"/>
    <mergeCell ref="B232:C232"/>
    <mergeCell ref="B244:C244"/>
    <mergeCell ref="A245:B245"/>
    <mergeCell ref="A233:B234"/>
    <mergeCell ref="A5:C5"/>
    <mergeCell ref="B6:C6"/>
    <mergeCell ref="A34:C34"/>
    <mergeCell ref="B35:C35"/>
    <mergeCell ref="A41:A42"/>
    <mergeCell ref="A48:C48"/>
    <mergeCell ref="B49:C49"/>
    <mergeCell ref="A67:B73"/>
    <mergeCell ref="A57:C57"/>
    <mergeCell ref="A43:C43"/>
    <mergeCell ref="B44:C44"/>
    <mergeCell ref="A46:B47"/>
    <mergeCell ref="B58:C58"/>
    <mergeCell ref="B27:C27"/>
    <mergeCell ref="A28:B33"/>
    <mergeCell ref="A7:B12"/>
    <mergeCell ref="B13:C13"/>
    <mergeCell ref="A14:B19"/>
    <mergeCell ref="B20:C20"/>
    <mergeCell ref="A200:C200"/>
    <mergeCell ref="B201:C201"/>
    <mergeCell ref="A203:B210"/>
    <mergeCell ref="B211:C211"/>
    <mergeCell ref="A213:B221"/>
    <mergeCell ref="B222:C222"/>
    <mergeCell ref="B227:C227"/>
    <mergeCell ref="A229:B231"/>
    <mergeCell ref="B242:C242"/>
    <mergeCell ref="A193:B199"/>
    <mergeCell ref="B133:C133"/>
    <mergeCell ref="B142:C142"/>
    <mergeCell ref="B163:C163"/>
    <mergeCell ref="B172:C172"/>
    <mergeCell ref="A164:B169"/>
    <mergeCell ref="B152:C152"/>
    <mergeCell ref="B157:C157"/>
    <mergeCell ref="A174:B176"/>
    <mergeCell ref="B177:C177"/>
    <mergeCell ref="B189:C189"/>
    <mergeCell ref="A179:B180"/>
    <mergeCell ref="A182:B185"/>
    <mergeCell ref="A188:B188"/>
    <mergeCell ref="B186:C186"/>
    <mergeCell ref="A159:B162"/>
    <mergeCell ref="A151:C151"/>
    <mergeCell ref="A134:B141"/>
    <mergeCell ref="A143:B150"/>
    <mergeCell ref="B170:C170"/>
    <mergeCell ref="B181:C181"/>
    <mergeCell ref="A171:B171"/>
    <mergeCell ref="M7:N7"/>
    <mergeCell ref="M8:N8"/>
    <mergeCell ref="M9:N9"/>
    <mergeCell ref="M10:N10"/>
    <mergeCell ref="M11:N11"/>
    <mergeCell ref="M12:N12"/>
    <mergeCell ref="M14:N14"/>
    <mergeCell ref="M15:N15"/>
    <mergeCell ref="B191:C191"/>
    <mergeCell ref="B124:C124"/>
    <mergeCell ref="A119:B123"/>
    <mergeCell ref="A36:B39"/>
    <mergeCell ref="A74:C74"/>
    <mergeCell ref="A40:C40"/>
    <mergeCell ref="B75:C75"/>
    <mergeCell ref="A90:B98"/>
    <mergeCell ref="A107:B108"/>
    <mergeCell ref="A76:B83"/>
    <mergeCell ref="B89:C89"/>
    <mergeCell ref="B99:C99"/>
    <mergeCell ref="B84:C84"/>
    <mergeCell ref="A85:B88"/>
    <mergeCell ref="B106:C106"/>
    <mergeCell ref="A100:B105"/>
  </mergeCells>
  <conditionalFormatting sqref="K6:K252">
    <cfRule type="expression" dxfId="297" priority="16">
      <formula>H6=1</formula>
    </cfRule>
  </conditionalFormatting>
  <conditionalFormatting sqref="I7:I252">
    <cfRule type="cellIs" dxfId="296" priority="8" operator="lessThan">
      <formula>0</formula>
    </cfRule>
  </conditionalFormatting>
  <conditionalFormatting sqref="L6:L252">
    <cfRule type="cellIs" dxfId="295" priority="6" operator="greaterThan">
      <formula>0</formula>
    </cfRule>
    <cfRule type="cellIs" dxfId="294" priority="7" operator="equal">
      <formula>0</formula>
    </cfRule>
  </conditionalFormatting>
  <conditionalFormatting sqref="O6:O252">
    <cfRule type="containsText" dxfId="293" priority="9" operator="containsText" text="Expired">
      <formula>NOT(ISERROR(SEARCH("Expired",O6)))</formula>
    </cfRule>
    <cfRule type="containsText" dxfId="292" priority="10" operator="containsText" text="B1">
      <formula>NOT(ISERROR(SEARCH("B1",O6)))</formula>
    </cfRule>
    <cfRule type="containsText" dxfId="291" priority="11" operator="containsText" text="LCA">
      <formula>NOT(ISERROR(SEARCH("LCA",O6)))</formula>
    </cfRule>
    <cfRule type="containsText" dxfId="290" priority="12" operator="containsText" text="ICE">
      <formula>NOT(ISERROR(SEARCH("ICE",O6)))</formula>
    </cfRule>
    <cfRule type="containsText" dxfId="289" priority="13" operator="containsText" text="No">
      <formula>NOT(ISERROR(SEARCH("No",O6)))</formula>
    </cfRule>
    <cfRule type="containsText" dxfId="288" priority="14" operator="containsText" text="None">
      <formula>NOT(ISERROR(SEARCH("None",O6)))</formula>
    </cfRule>
    <cfRule type="containsText" dxfId="287" priority="15" operator="containsText" text="A1-">
      <formula>NOT(ISERROR(SEARCH("A1-",O6)))</formula>
    </cfRule>
  </conditionalFormatting>
  <conditionalFormatting sqref="P4">
    <cfRule type="cellIs" dxfId="286" priority="2" operator="greaterThan">
      <formula>0</formula>
    </cfRule>
    <cfRule type="cellIs" dxfId="285" priority="3" operator="equal">
      <formula>0</formula>
    </cfRule>
  </conditionalFormatting>
  <conditionalFormatting sqref="O4">
    <cfRule type="expression" dxfId="284" priority="1">
      <formula>COUNTIF($H:$H, 1)&gt;0</formula>
    </cfRule>
  </conditionalFormatting>
  <dataValidations count="2">
    <dataValidation type="list" allowBlank="1" showErrorMessage="1" sqref="E5 E34 E40" xr:uid="{00000000-0002-0000-0A00-000000000000}">
      <formula1>spacing</formula1>
    </dataValidation>
    <dataValidation type="whole" errorStyle="warning" operator="equal" allowBlank="1" showErrorMessage="1" errorTitle="Enter 1 to select" error="Options:_x000a_To select item, enter '1'_x000a_To unselect, leave cell empty" sqref="H7:H57 H59:H245" xr:uid="{00000000-0002-0000-0A00-000001000000}">
      <formula1>1</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6">
    <tabColor theme="9" tint="0.59999389629810485"/>
  </sheetPr>
  <dimension ref="A1:Z1229"/>
  <sheetViews>
    <sheetView zoomScale="80" zoomScaleNormal="80" workbookViewId="0">
      <pane ySplit="4" topLeftCell="A5" activePane="bottomLeft" state="frozen"/>
      <selection activeCell="K14" sqref="K14"/>
      <selection pane="bottomLeft" activeCell="A5" sqref="A5:C5"/>
    </sheetView>
  </sheetViews>
  <sheetFormatPr defaultColWidth="11.36328125" defaultRowHeight="15" customHeight="1" x14ac:dyDescent="0.25"/>
  <cols>
    <col min="1" max="1" width="8.6328125" style="771" customWidth="1"/>
    <col min="2" max="2" width="13.08984375" style="771" customWidth="1"/>
    <col min="3" max="3" width="57.54296875" customWidth="1"/>
    <col min="4" max="4" width="19.1796875" style="712" customWidth="1"/>
    <col min="5" max="5" width="5.6328125" customWidth="1"/>
    <col min="6" max="6" width="6.6328125" style="331" customWidth="1"/>
    <col min="7" max="7" width="2.36328125" customWidth="1"/>
    <col min="8" max="8" width="6.6328125" customWidth="1"/>
    <col min="9" max="9" width="13.6328125" style="714" hidden="1" customWidth="1"/>
    <col min="10" max="10" width="16.6328125" style="714" hidden="1" customWidth="1"/>
    <col min="11" max="12" width="13.6328125" style="714" customWidth="1"/>
    <col min="13" max="13" width="12.6328125" style="714" customWidth="1"/>
    <col min="14" max="14" width="35.90625" style="714" customWidth="1"/>
    <col min="15" max="15" width="31.08984375" customWidth="1"/>
    <col min="16" max="16" width="30.453125" style="620" customWidth="1"/>
    <col min="17" max="17" width="20" style="788" customWidth="1"/>
    <col min="18" max="18" width="45.453125" style="788" customWidth="1"/>
    <col min="19" max="26" width="10.54296875" style="619" customWidth="1"/>
    <col min="27" max="16384" width="11.36328125" style="619"/>
  </cols>
  <sheetData>
    <row r="1" spans="1:26" ht="54.75" customHeight="1" x14ac:dyDescent="0.25">
      <c r="A1" s="1528" t="s">
        <v>3430</v>
      </c>
      <c r="B1" s="1529"/>
      <c r="C1" s="1530"/>
      <c r="D1" s="1521" t="s">
        <v>59</v>
      </c>
      <c r="E1" s="1521"/>
      <c r="F1" s="1521"/>
      <c r="G1" s="1521"/>
      <c r="H1" s="1521"/>
      <c r="I1" s="1521"/>
      <c r="J1" s="1521"/>
      <c r="K1" s="1521"/>
      <c r="L1" s="1521"/>
      <c r="M1" s="716"/>
      <c r="N1" s="716"/>
      <c r="O1" s="618"/>
      <c r="P1" s="618"/>
    </row>
    <row r="2" spans="1:26" s="621" customFormat="1" ht="19.2" customHeight="1" x14ac:dyDescent="0.3">
      <c r="A2" s="1591" t="s">
        <v>7209</v>
      </c>
      <c r="B2" s="1591"/>
      <c r="C2" s="1591"/>
      <c r="D2" s="1591"/>
      <c r="E2" s="1591"/>
      <c r="F2" s="1591"/>
      <c r="G2" s="1591"/>
      <c r="H2" s="1591"/>
      <c r="I2" s="1591"/>
      <c r="J2" s="1591"/>
      <c r="K2" s="1591"/>
      <c r="L2" s="1591"/>
      <c r="M2" s="1591"/>
      <c r="N2" s="1591"/>
      <c r="O2" s="1591"/>
      <c r="P2" s="620"/>
      <c r="Q2" s="789"/>
      <c r="R2" s="789"/>
    </row>
    <row r="3" spans="1:26" s="624" customFormat="1" ht="60" customHeight="1" x14ac:dyDescent="0.25">
      <c r="A3" s="1537" t="s">
        <v>1031</v>
      </c>
      <c r="B3" s="1537"/>
      <c r="C3" s="1537" t="s">
        <v>13</v>
      </c>
      <c r="D3" s="1532" t="s">
        <v>1583</v>
      </c>
      <c r="E3" s="1534"/>
      <c r="F3" s="1537" t="s">
        <v>14</v>
      </c>
      <c r="G3" s="1537"/>
      <c r="H3" s="1538" t="s">
        <v>3417</v>
      </c>
      <c r="I3" s="1526" t="s">
        <v>7157</v>
      </c>
      <c r="J3" s="1526" t="s">
        <v>7158</v>
      </c>
      <c r="K3" s="1535" t="s">
        <v>900</v>
      </c>
      <c r="L3" s="1535" t="s">
        <v>7156</v>
      </c>
      <c r="M3" s="1520" t="s">
        <v>7165</v>
      </c>
      <c r="N3" s="1520"/>
      <c r="O3" s="622" t="s">
        <v>7188</v>
      </c>
      <c r="P3" s="622" t="s">
        <v>7205</v>
      </c>
      <c r="Q3" s="790"/>
      <c r="R3" s="790"/>
      <c r="S3" s="623"/>
      <c r="T3" s="623"/>
      <c r="U3" s="623"/>
      <c r="V3" s="623"/>
      <c r="W3" s="623"/>
      <c r="X3" s="623"/>
      <c r="Y3" s="623"/>
      <c r="Z3" s="623"/>
    </row>
    <row r="4" spans="1:26" s="624" customFormat="1" ht="30.15" customHeight="1" x14ac:dyDescent="0.3">
      <c r="A4" s="1537"/>
      <c r="B4" s="1537"/>
      <c r="C4" s="1537"/>
      <c r="D4" s="1533"/>
      <c r="E4" s="1523"/>
      <c r="F4" s="1537"/>
      <c r="G4" s="1537"/>
      <c r="H4" s="1539"/>
      <c r="I4" s="1527"/>
      <c r="J4" s="1527"/>
      <c r="K4" s="1536"/>
      <c r="L4" s="1536"/>
      <c r="M4" s="1520"/>
      <c r="N4" s="1520"/>
      <c r="O4" s="405">
        <f>SUMIF(H6:H80, 1, K6:K80)</f>
        <v>0</v>
      </c>
      <c r="P4" s="424">
        <f>SUMIF(H6:H80, 1, L6:L80)</f>
        <v>0</v>
      </c>
      <c r="Q4" s="626" t="s">
        <v>107</v>
      </c>
      <c r="R4" s="626" t="s">
        <v>1072</v>
      </c>
      <c r="S4" s="627" t="s">
        <v>749</v>
      </c>
      <c r="T4" s="627" t="s">
        <v>108</v>
      </c>
    </row>
    <row r="5" spans="1:26" s="624" customFormat="1" ht="54.75" customHeight="1" x14ac:dyDescent="0.25">
      <c r="A5" s="1522" t="s">
        <v>35</v>
      </c>
      <c r="B5" s="1523"/>
      <c r="C5" s="1523"/>
      <c r="D5" s="649"/>
      <c r="E5" s="650"/>
      <c r="F5" s="321"/>
      <c r="G5" s="650"/>
      <c r="H5" s="650"/>
      <c r="I5" s="651"/>
      <c r="J5" s="651"/>
      <c r="K5" s="652"/>
      <c r="L5" s="759"/>
      <c r="M5" s="759"/>
      <c r="N5" s="759"/>
      <c r="O5" s="791"/>
      <c r="P5" s="637"/>
      <c r="Q5" s="790"/>
      <c r="R5" s="790"/>
      <c r="S5" s="638"/>
      <c r="T5" s="638"/>
      <c r="U5" s="638"/>
      <c r="V5" s="638"/>
      <c r="W5" s="638"/>
      <c r="X5" s="638"/>
      <c r="Y5" s="638"/>
      <c r="Z5" s="638"/>
    </row>
    <row r="6" spans="1:26" s="624" customFormat="1" ht="59.25" customHeight="1" x14ac:dyDescent="0.3">
      <c r="A6" s="1587" t="s">
        <v>917</v>
      </c>
      <c r="B6" s="1611"/>
      <c r="C6" s="681" t="str">
        <f>INDEX('Master sheet'!$A$1:$A$670,MATCH(259,'Master sheet'!$AN$1:$AN$670,0))</f>
        <v>EPS FOAM ICF R-23, 2 Sheets of 2.75" @ R4/in., 15M rebar (6" CONCRETE CORE must be added separately)</v>
      </c>
      <c r="D6" s="22">
        <f>'USER INPUT SHEET'!$D$32</f>
        <v>0</v>
      </c>
      <c r="E6" s="23" t="str">
        <f>'USER INPUT SHEET'!$F$32</f>
        <v>m2</v>
      </c>
      <c r="F6" s="6">
        <v>1</v>
      </c>
      <c r="G6" s="682"/>
      <c r="H6" s="10"/>
      <c r="I6" s="100">
        <f t="shared" ref="I6:I14" si="0">K6-L6</f>
        <v>0</v>
      </c>
      <c r="J6" s="101" t="str">
        <f t="shared" ref="J6:J14" si="1">IF(H6=1,I6,"")</f>
        <v/>
      </c>
      <c r="K6" s="408">
        <f>$D6*$F6*VLOOKUP($C6,'Master sheet'!$A:$AL,13,FALSE)</f>
        <v>0</v>
      </c>
      <c r="L6" s="102">
        <f>$D6*$F6*VLOOKUP($C6,'Master sheet'!$A:$AL,27,FALSE)</f>
        <v>0</v>
      </c>
      <c r="M6" s="1610"/>
      <c r="N6" s="1610"/>
      <c r="O6" s="25" t="str">
        <f ca="1">_xlfn.IFNA(VLOOKUP($C6,'Master sheet'!$A:$AR,44,FALSE),"")&amp;""</f>
        <v/>
      </c>
      <c r="P6" s="637"/>
      <c r="Q6" s="790" t="s">
        <v>59</v>
      </c>
      <c r="R6" s="790" t="s">
        <v>35</v>
      </c>
      <c r="S6" s="638"/>
      <c r="T6" s="638"/>
      <c r="U6" s="638"/>
      <c r="V6" s="638"/>
      <c r="W6" s="638"/>
      <c r="X6" s="638"/>
      <c r="Y6" s="638"/>
      <c r="Z6" s="638"/>
    </row>
    <row r="7" spans="1:26" s="624" customFormat="1" ht="23.85" customHeight="1" x14ac:dyDescent="0.25">
      <c r="A7" s="639"/>
      <c r="B7" s="1524" t="s">
        <v>1349</v>
      </c>
      <c r="C7" s="1524"/>
      <c r="D7" s="640"/>
      <c r="E7" s="641"/>
      <c r="F7" s="320"/>
      <c r="G7" s="641"/>
      <c r="H7" s="641"/>
      <c r="I7" s="642"/>
      <c r="J7" s="643"/>
      <c r="K7" s="676"/>
      <c r="L7" s="677"/>
      <c r="M7" s="677"/>
      <c r="N7" s="677"/>
      <c r="O7" s="25" t="str">
        <f>_xlfn.IFNA(VLOOKUP($C7,'Master sheet'!$A:$AR,44,FALSE),"")&amp;""</f>
        <v/>
      </c>
      <c r="P7" s="637"/>
      <c r="Q7" s="790"/>
      <c r="R7" s="790"/>
      <c r="S7" s="638"/>
      <c r="T7" s="638"/>
      <c r="U7" s="638"/>
      <c r="V7" s="638"/>
      <c r="W7" s="638"/>
      <c r="X7" s="638"/>
      <c r="Y7" s="638"/>
      <c r="Z7" s="638"/>
    </row>
    <row r="8" spans="1:26" ht="31.5" customHeight="1" x14ac:dyDescent="0.25">
      <c r="A8" s="1570" t="s">
        <v>1058</v>
      </c>
      <c r="B8" s="1615"/>
      <c r="C8" s="734" t="str" cm="1">
        <f t="array" ref="C8">INDEX('Master sheet'!$A$1:$A$670,MATCH(1,("0-25" = 'Master sheet'!$AO$1:$AO$670)*(1 = 'Master sheet'!$AP$1:$AP$670)*('Master sheet'!$AT$1:$AT$670),0))</f>
        <v xml:space="preserve">Concrete - 25 MPa, GU / SRMCA / Can. Sask Avg. / </v>
      </c>
      <c r="D8" s="235">
        <f>'USER INPUT SHEET'!$D$32</f>
        <v>0</v>
      </c>
      <c r="E8" s="14" t="str">
        <f>'USER INPUT SHEET'!$F$32</f>
        <v>m2</v>
      </c>
      <c r="F8" s="6">
        <v>1</v>
      </c>
      <c r="G8" s="735"/>
      <c r="H8" s="10"/>
      <c r="I8" s="237">
        <f t="shared" si="0"/>
        <v>0</v>
      </c>
      <c r="J8" s="238" t="str">
        <f>IF(H8=1,I8,"")</f>
        <v/>
      </c>
      <c r="K8" s="416">
        <f>$D8*$F8*VLOOKUP($C8,'Master sheet'!$A:$AL,13,FALSE)*0.15875</f>
        <v>0</v>
      </c>
      <c r="L8" s="239">
        <f>$D8*$F8*VLOOKUP($C8,'Master sheet'!$A:$AL,27,FALSE)*0.15875</f>
        <v>0</v>
      </c>
      <c r="M8" s="1552"/>
      <c r="N8" s="1552"/>
      <c r="O8" s="25" t="str">
        <f ca="1">_xlfn.IFNA(VLOOKUP($C8,'Master sheet'!$A:$AR,44,FALSE),"")&amp;""</f>
        <v/>
      </c>
      <c r="P8" s="637"/>
      <c r="Q8" s="792" t="s">
        <v>59</v>
      </c>
      <c r="R8" s="788" t="s">
        <v>35</v>
      </c>
      <c r="S8" s="664"/>
      <c r="T8" s="664"/>
      <c r="U8" s="664"/>
      <c r="V8" s="664"/>
      <c r="W8" s="664"/>
      <c r="X8" s="664"/>
      <c r="Y8" s="664"/>
      <c r="Z8" s="664"/>
    </row>
    <row r="9" spans="1:26" ht="23.25" customHeight="1" x14ac:dyDescent="0.25">
      <c r="A9" s="1570"/>
      <c r="B9" s="1615"/>
      <c r="C9" s="669" t="str" cm="1">
        <f t="array" ref="C9">INDEX('Master sheet'!$A$1:$A$670,MATCH(1,("0-25" = 'Master sheet'!$AO$1:$AO$670)*(2 = 'Master sheet'!$AP$1:$AP$670)*('Master sheet'!$AT$1:$AT$670),0))</f>
        <v xml:space="preserve">Concrete - 25 MPa, 10% FA, GU / SRMCA / Can. Sask Avg. / </v>
      </c>
      <c r="D9" s="15">
        <f>'USER INPUT SHEET'!$D$32</f>
        <v>0</v>
      </c>
      <c r="E9" s="16" t="str">
        <f>'USER INPUT SHEET'!$F$32</f>
        <v>m2</v>
      </c>
      <c r="F9" s="3">
        <v>1</v>
      </c>
      <c r="G9" s="670"/>
      <c r="H9" s="8"/>
      <c r="I9" s="92">
        <f t="shared" si="0"/>
        <v>0</v>
      </c>
      <c r="J9" s="93" t="str">
        <f t="shared" si="1"/>
        <v/>
      </c>
      <c r="K9" s="406">
        <f>$D9*$F9*VLOOKUP($C9,'Master sheet'!$A:$AL,13,FALSE)*0.15875</f>
        <v>0</v>
      </c>
      <c r="L9" s="94">
        <f>$D9*$F9*VLOOKUP($C9,'Master sheet'!$A:$AL,27,FALSE)*0.15875</f>
        <v>0</v>
      </c>
      <c r="M9" s="1552"/>
      <c r="N9" s="1552"/>
      <c r="O9" s="25" t="str">
        <f ca="1">_xlfn.IFNA(VLOOKUP($C9,'Master sheet'!$A:$AR,44,FALSE),"")&amp;""</f>
        <v/>
      </c>
      <c r="P9" s="685"/>
      <c r="Q9" s="788" t="s">
        <v>59</v>
      </c>
      <c r="R9" s="788" t="s">
        <v>35</v>
      </c>
      <c r="S9" s="664"/>
      <c r="T9" s="664"/>
      <c r="U9" s="664"/>
      <c r="V9" s="664"/>
      <c r="W9" s="664"/>
      <c r="X9" s="664"/>
      <c r="Y9" s="664"/>
      <c r="Z9" s="664"/>
    </row>
    <row r="10" spans="1:26" ht="23.25" customHeight="1" x14ac:dyDescent="0.25">
      <c r="A10" s="1570"/>
      <c r="B10" s="1615"/>
      <c r="C10" s="669" t="str" cm="1">
        <f t="array" ref="C10">INDEX('Master sheet'!$A$1:$A$670,MATCH(1,("0-25" = 'Master sheet'!$AO$1:$AO$670)*(3 = 'Master sheet'!$AP$1:$AP$670)*('Master sheet'!$AT$1:$AT$670),0))</f>
        <v xml:space="preserve">Concrete - 25 MPa, 20% FA, GU / SRMCA / Can. Sask Avg. / </v>
      </c>
      <c r="D10" s="15">
        <f>'USER INPUT SHEET'!$D$32</f>
        <v>0</v>
      </c>
      <c r="E10" s="16" t="str">
        <f>'USER INPUT SHEET'!$F$32</f>
        <v>m2</v>
      </c>
      <c r="F10" s="3">
        <v>1</v>
      </c>
      <c r="G10" s="670"/>
      <c r="H10" s="8"/>
      <c r="I10" s="92">
        <f t="shared" si="0"/>
        <v>0</v>
      </c>
      <c r="J10" s="93" t="str">
        <f t="shared" si="1"/>
        <v/>
      </c>
      <c r="K10" s="406">
        <f>$D10*$F10*VLOOKUP($C10,'Master sheet'!$A:$AL,13,FALSE)*0.15875</f>
        <v>0</v>
      </c>
      <c r="L10" s="94">
        <f>$D10*$F10*VLOOKUP($C10,'Master sheet'!$A:$AL,27,FALSE)*0.15875</f>
        <v>0</v>
      </c>
      <c r="M10" s="1552"/>
      <c r="N10" s="1552"/>
      <c r="O10" s="25" t="str">
        <f ca="1">_xlfn.IFNA(VLOOKUP($C10,'Master sheet'!$A:$AR,44,FALSE),"")&amp;""</f>
        <v/>
      </c>
      <c r="P10" s="685"/>
      <c r="Q10" s="788" t="s">
        <v>59</v>
      </c>
      <c r="R10" s="788" t="s">
        <v>35</v>
      </c>
      <c r="S10" s="664"/>
      <c r="T10" s="664"/>
      <c r="U10" s="664"/>
      <c r="V10" s="664"/>
      <c r="W10" s="664"/>
      <c r="X10" s="664"/>
      <c r="Y10" s="664"/>
      <c r="Z10" s="664"/>
    </row>
    <row r="11" spans="1:26" ht="23.25" customHeight="1" x14ac:dyDescent="0.25">
      <c r="A11" s="1570"/>
      <c r="B11" s="1615"/>
      <c r="C11" s="669" t="str" cm="1">
        <f t="array" ref="C11">INDEX('Master sheet'!$A$1:$A$670,MATCH(1,("0-25" = 'Master sheet'!$AO$1:$AO$670)*(4 = 'Master sheet'!$AP$1:$AP$670)*('Master sheet'!$AT$1:$AT$670),0))</f>
        <v xml:space="preserve">Concrete - 25 MPa, 30% FA, GU / SRMCA / Can. Sask Avg. / </v>
      </c>
      <c r="D11" s="15">
        <f>'USER INPUT SHEET'!$D$32</f>
        <v>0</v>
      </c>
      <c r="E11" s="16" t="str">
        <f>'USER INPUT SHEET'!$F$32</f>
        <v>m2</v>
      </c>
      <c r="F11" s="3">
        <v>1</v>
      </c>
      <c r="G11" s="670"/>
      <c r="H11" s="8"/>
      <c r="I11" s="92">
        <f t="shared" si="0"/>
        <v>0</v>
      </c>
      <c r="J11" s="93" t="str">
        <f t="shared" si="1"/>
        <v/>
      </c>
      <c r="K11" s="406">
        <f>$D11*$F11*VLOOKUP($C11,'Master sheet'!$A:$AL,13,FALSE)*0.15875</f>
        <v>0</v>
      </c>
      <c r="L11" s="94">
        <f>$D11*$F11*VLOOKUP($C11,'Master sheet'!$A:$AL,27,FALSE)*0.15875</f>
        <v>0</v>
      </c>
      <c r="M11" s="1552"/>
      <c r="N11" s="1552"/>
      <c r="O11" s="25" t="str">
        <f ca="1">_xlfn.IFNA(VLOOKUP($C11,'Master sheet'!$A:$AR,44,FALSE),"")&amp;""</f>
        <v/>
      </c>
      <c r="P11" s="685"/>
      <c r="Q11" s="788" t="s">
        <v>59</v>
      </c>
      <c r="R11" s="788" t="s">
        <v>35</v>
      </c>
      <c r="S11" s="664"/>
      <c r="T11" s="664"/>
      <c r="U11" s="664"/>
      <c r="V11" s="664"/>
      <c r="W11" s="664"/>
      <c r="X11" s="664"/>
      <c r="Y11" s="664"/>
      <c r="Z11" s="664"/>
    </row>
    <row r="12" spans="1:26" ht="23.25" customHeight="1" x14ac:dyDescent="0.25">
      <c r="A12" s="1570"/>
      <c r="B12" s="1615"/>
      <c r="C12" s="669" t="str" cm="1">
        <f t="array" ref="C12">INDEX('Master sheet'!$A$1:$A$670,MATCH(1,("0-25" = 'Master sheet'!$AO$1:$AO$670)*(5 = 'Master sheet'!$AP$1:$AP$670)*('Master sheet'!$AT$1:$AT$670),0))</f>
        <v xml:space="preserve">Concrete - 25 MPa, 40% FA, GU / SRMCA / Can. Sask Avg. / </v>
      </c>
      <c r="D12" s="15">
        <f>'USER INPUT SHEET'!$D$32</f>
        <v>0</v>
      </c>
      <c r="E12" s="16" t="str">
        <f>'USER INPUT SHEET'!$F$32</f>
        <v>m2</v>
      </c>
      <c r="F12" s="3">
        <v>1</v>
      </c>
      <c r="G12" s="670"/>
      <c r="H12" s="8"/>
      <c r="I12" s="92">
        <f t="shared" si="0"/>
        <v>0</v>
      </c>
      <c r="J12" s="93" t="str">
        <f t="shared" si="1"/>
        <v/>
      </c>
      <c r="K12" s="406">
        <f>$D12*$F12*VLOOKUP($C12,'Master sheet'!$A:$AL,13,FALSE)*0.15875</f>
        <v>0</v>
      </c>
      <c r="L12" s="94">
        <f>$D12*$F12*VLOOKUP($C12,'Master sheet'!$A:$AL,27,FALSE)*0.15875</f>
        <v>0</v>
      </c>
      <c r="M12" s="1552"/>
      <c r="N12" s="1552"/>
      <c r="O12" s="25" t="str">
        <f ca="1">_xlfn.IFNA(VLOOKUP($C12,'Master sheet'!$A:$AR,44,FALSE),"")&amp;""</f>
        <v/>
      </c>
      <c r="P12" s="637"/>
      <c r="Q12" s="788" t="s">
        <v>59</v>
      </c>
      <c r="R12" s="788" t="s">
        <v>35</v>
      </c>
      <c r="S12" s="664"/>
      <c r="T12" s="664"/>
      <c r="U12" s="664"/>
      <c r="V12" s="664"/>
      <c r="W12" s="664"/>
      <c r="X12" s="664"/>
      <c r="Y12" s="664"/>
      <c r="Z12" s="664"/>
    </row>
    <row r="13" spans="1:26" ht="23.25" hidden="1" customHeight="1" x14ac:dyDescent="0.25">
      <c r="A13" s="1570"/>
      <c r="B13" s="1615"/>
      <c r="C13" s="669" t="e" cm="1">
        <f t="array" ref="C13">INDEX('Master sheet'!$A$1:$A$670,MATCH(1,("0-25" = 'Master sheet'!$AO$1:$AO$670)*(6 = 'Master sheet'!$AP$1:$AP$670)*('Master sheet'!$AT$1:$AT$670),0))</f>
        <v>#N/A</v>
      </c>
      <c r="D13" s="15">
        <f>'USER INPUT SHEET'!$D$32</f>
        <v>0</v>
      </c>
      <c r="E13" s="16" t="str">
        <f>'USER INPUT SHEET'!$F$32</f>
        <v>m2</v>
      </c>
      <c r="F13" s="3">
        <v>1</v>
      </c>
      <c r="G13" s="670"/>
      <c r="H13" s="8"/>
      <c r="I13" s="92" t="e">
        <f t="shared" ref="I13" si="2">K13-L13</f>
        <v>#N/A</v>
      </c>
      <c r="J13" s="93" t="str">
        <f t="shared" ref="J13" si="3">IF(H13=1,I13,"")</f>
        <v/>
      </c>
      <c r="K13" s="406" t="e">
        <f>$D13*$F13*VLOOKUP($C13,'Master sheet'!$A:$AL,13,FALSE)*0.15875</f>
        <v>#N/A</v>
      </c>
      <c r="L13" s="94" t="e">
        <f>$D13*$F13*VLOOKUP($C13,'Master sheet'!$A:$AL,27,FALSE)*0.15875</f>
        <v>#N/A</v>
      </c>
      <c r="M13" s="1552"/>
      <c r="N13" s="1552"/>
      <c r="O13" s="25" t="str">
        <f>_xlfn.IFNA(VLOOKUP($C13,'Master sheet'!$A:$AR,44,FALSE),"")&amp;""</f>
        <v/>
      </c>
      <c r="P13" s="637"/>
      <c r="Q13" s="788" t="s">
        <v>59</v>
      </c>
      <c r="R13" s="788" t="s">
        <v>35</v>
      </c>
      <c r="S13" s="664"/>
      <c r="T13" s="664"/>
      <c r="U13" s="664"/>
      <c r="V13" s="664"/>
      <c r="W13" s="664"/>
      <c r="X13" s="664"/>
      <c r="Y13" s="664"/>
      <c r="Z13" s="664"/>
    </row>
    <row r="14" spans="1:26" s="624" customFormat="1" ht="23.25" hidden="1" customHeight="1" x14ac:dyDescent="0.25">
      <c r="A14" s="1571"/>
      <c r="B14" s="1616"/>
      <c r="C14" s="673" t="e" cm="1">
        <f t="array" ref="C14">INDEX('Master sheet'!$A$1:$A$670,MATCH(1,("0-25" = 'Master sheet'!$AO$1:$AO$670)*(7 = 'Master sheet'!$AP$1:$AP$670)*('Master sheet'!$AT$1:$AT$670),0))</f>
        <v>#N/A</v>
      </c>
      <c r="D14" s="17">
        <f>'USER INPUT SHEET'!$D$32</f>
        <v>0</v>
      </c>
      <c r="E14" s="16" t="str">
        <f>'USER INPUT SHEET'!$F$32</f>
        <v>m2</v>
      </c>
      <c r="F14" s="4">
        <v>1</v>
      </c>
      <c r="G14" s="674"/>
      <c r="H14" s="9"/>
      <c r="I14" s="95" t="e">
        <f t="shared" si="0"/>
        <v>#N/A</v>
      </c>
      <c r="J14" s="96" t="str">
        <f t="shared" si="1"/>
        <v/>
      </c>
      <c r="K14" s="407" t="e">
        <f>$D14*$F14*VLOOKUP($C14,'Master sheet'!$A:$AL,13,FALSE)*0.15875</f>
        <v>#N/A</v>
      </c>
      <c r="L14" s="97" t="e">
        <f>$D14*$F14*VLOOKUP($C14,'Master sheet'!$A:$AL,27,FALSE)*0.15875</f>
        <v>#N/A</v>
      </c>
      <c r="M14" s="1552"/>
      <c r="N14" s="1552"/>
      <c r="O14" s="25" t="str">
        <f>_xlfn.IFNA(VLOOKUP($C14,'Master sheet'!$A:$AR,44,FALSE),"")&amp;""</f>
        <v/>
      </c>
      <c r="P14" s="655"/>
      <c r="Q14" s="790" t="s">
        <v>59</v>
      </c>
      <c r="R14" s="790" t="s">
        <v>35</v>
      </c>
      <c r="S14" s="638"/>
      <c r="T14" s="638"/>
      <c r="U14" s="638"/>
      <c r="V14" s="638"/>
      <c r="W14" s="638"/>
      <c r="X14" s="638"/>
      <c r="Y14" s="638"/>
      <c r="Z14" s="638"/>
    </row>
    <row r="15" spans="1:26" ht="23.85" customHeight="1" x14ac:dyDescent="0.25">
      <c r="A15" s="639"/>
      <c r="B15" s="1524" t="s">
        <v>1350</v>
      </c>
      <c r="C15" s="1524"/>
      <c r="D15" s="656"/>
      <c r="E15" s="641"/>
      <c r="F15" s="322"/>
      <c r="G15" s="657"/>
      <c r="H15" s="657"/>
      <c r="I15" s="658"/>
      <c r="J15" s="659"/>
      <c r="K15" s="660"/>
      <c r="L15" s="661"/>
      <c r="M15" s="677"/>
      <c r="N15" s="677"/>
      <c r="O15" s="25" t="str">
        <f>_xlfn.IFNA(VLOOKUP($C15,'Master sheet'!$A:$AR,44,FALSE),"")&amp;""</f>
        <v/>
      </c>
      <c r="P15" s="663"/>
      <c r="Q15" s="30"/>
      <c r="R15" s="21"/>
      <c r="S15" s="664"/>
      <c r="T15" s="664"/>
      <c r="U15" s="664"/>
      <c r="V15" s="664"/>
      <c r="W15" s="664"/>
      <c r="X15" s="664"/>
      <c r="Y15" s="664"/>
      <c r="Z15" s="664"/>
    </row>
    <row r="16" spans="1:26" ht="31.5" customHeight="1" x14ac:dyDescent="0.25">
      <c r="A16" s="1525" t="s">
        <v>786</v>
      </c>
      <c r="B16" s="1525"/>
      <c r="C16" s="667" t="str" cm="1">
        <f t="array" ref="C16">INDEX('Master sheet'!$A$1:$A$670,MATCH(1,("26-30" = 'Master sheet'!$AO$1:$AO$670)*(1 = 'Master sheet'!$AP$1:$AP$670)*('Master sheet'!$AT$1:$AT$670),0))</f>
        <v xml:space="preserve">Concrete - 30 MPa, GU / SRMCA / Can. Sask Avg. / </v>
      </c>
      <c r="D16" s="230">
        <f>'USER INPUT SHEET'!$D$32</f>
        <v>0</v>
      </c>
      <c r="E16" s="14" t="str">
        <f>'USER INPUT SHEET'!$F$32</f>
        <v>m2</v>
      </c>
      <c r="F16" s="5">
        <v>1</v>
      </c>
      <c r="G16" s="668"/>
      <c r="H16" s="10"/>
      <c r="I16" s="232">
        <f t="shared" ref="I16:I22" si="4">K16-L16</f>
        <v>0</v>
      </c>
      <c r="J16" s="233" t="str">
        <f t="shared" ref="J16:J22" si="5">IF(H16=1,I16,"")</f>
        <v/>
      </c>
      <c r="K16" s="416">
        <f>$D16*$F16*VLOOKUP($C16,'Master sheet'!$A:$AL,13,FALSE)*0.15875</f>
        <v>0</v>
      </c>
      <c r="L16" s="239">
        <f>$D16*$F16*VLOOKUP($C16,'Master sheet'!$A:$AL,27,FALSE)*0.15875</f>
        <v>0</v>
      </c>
      <c r="M16" s="1552"/>
      <c r="N16" s="1552"/>
      <c r="O16" s="25" t="str">
        <f ca="1">_xlfn.IFNA(VLOOKUP($C16,'Master sheet'!$A:$AR,44,FALSE),"")&amp;""</f>
        <v/>
      </c>
      <c r="P16" s="637"/>
      <c r="Q16" s="788" t="s">
        <v>59</v>
      </c>
      <c r="R16" s="788" t="s">
        <v>35</v>
      </c>
      <c r="S16" s="664"/>
      <c r="T16" s="664"/>
      <c r="U16" s="664"/>
      <c r="V16" s="664"/>
      <c r="W16" s="664"/>
      <c r="X16" s="664"/>
      <c r="Y16" s="664"/>
      <c r="Z16" s="664"/>
    </row>
    <row r="17" spans="1:26" ht="23.25" customHeight="1" x14ac:dyDescent="0.25">
      <c r="A17" s="1525"/>
      <c r="B17" s="1525"/>
      <c r="C17" s="669" t="str" cm="1">
        <f t="array" ref="C17">INDEX('Master sheet'!$A$1:$A$670,MATCH(1,("26-30" = 'Master sheet'!$AO$1:$AO$670)*(2 = 'Master sheet'!$AP$1:$AP$670)*('Master sheet'!$AT$1:$AT$670),0))</f>
        <v xml:space="preserve">Concrete - 30 MPa, 10% FA, GU / SRMCA / Can. Sask Avg. / </v>
      </c>
      <c r="D17" s="15">
        <f>'USER INPUT SHEET'!$D$32</f>
        <v>0</v>
      </c>
      <c r="E17" s="16" t="str">
        <f>'USER INPUT SHEET'!$F$32</f>
        <v>m2</v>
      </c>
      <c r="F17" s="3">
        <v>1</v>
      </c>
      <c r="G17" s="670"/>
      <c r="H17" s="8"/>
      <c r="I17" s="92">
        <f t="shared" si="4"/>
        <v>0</v>
      </c>
      <c r="J17" s="93" t="str">
        <f t="shared" si="5"/>
        <v/>
      </c>
      <c r="K17" s="406">
        <f>$D17*$F17*VLOOKUP($C17,'Master sheet'!$A:$AL,13,FALSE)*0.15875</f>
        <v>0</v>
      </c>
      <c r="L17" s="94">
        <f>$D17*$F17*VLOOKUP($C17,'Master sheet'!$A:$AL,27,FALSE)*0.15875</f>
        <v>0</v>
      </c>
      <c r="M17" s="1552"/>
      <c r="N17" s="1552"/>
      <c r="O17" s="25" t="str">
        <f ca="1">_xlfn.IFNA(VLOOKUP($C17,'Master sheet'!$A:$AR,44,FALSE),"")&amp;""</f>
        <v/>
      </c>
      <c r="P17" s="671"/>
      <c r="Q17" s="788" t="s">
        <v>59</v>
      </c>
      <c r="R17" s="788" t="s">
        <v>35</v>
      </c>
      <c r="S17" s="664"/>
      <c r="T17" s="664"/>
      <c r="U17" s="664"/>
      <c r="V17" s="664"/>
      <c r="W17" s="664"/>
      <c r="X17" s="664"/>
      <c r="Y17" s="664"/>
      <c r="Z17" s="664"/>
    </row>
    <row r="18" spans="1:26" ht="23.25" customHeight="1" x14ac:dyDescent="0.25">
      <c r="A18" s="1525"/>
      <c r="B18" s="1525"/>
      <c r="C18" s="669" t="str" cm="1">
        <f t="array" ref="C18">INDEX('Master sheet'!$A$1:$A$670,MATCH(1,("26-30" = 'Master sheet'!$AO$1:$AO$670)*(3 = 'Master sheet'!$AP$1:$AP$670)*('Master sheet'!$AT$1:$AT$670),0))</f>
        <v xml:space="preserve">Concrete - 30 MPa, 20% FA, GU / SRMCA / Can. Sask Avg. / </v>
      </c>
      <c r="D18" s="15">
        <f>'USER INPUT SHEET'!$D$32</f>
        <v>0</v>
      </c>
      <c r="E18" s="16" t="str">
        <f>'USER INPUT SHEET'!$F$32</f>
        <v>m2</v>
      </c>
      <c r="F18" s="3">
        <v>1</v>
      </c>
      <c r="G18" s="670"/>
      <c r="H18" s="8"/>
      <c r="I18" s="92">
        <f t="shared" si="4"/>
        <v>0</v>
      </c>
      <c r="J18" s="93" t="str">
        <f t="shared" si="5"/>
        <v/>
      </c>
      <c r="K18" s="406">
        <f>$D18*$F18*VLOOKUP($C18,'Master sheet'!$A:$AL,13,FALSE)*0.15875</f>
        <v>0</v>
      </c>
      <c r="L18" s="94">
        <f>$D18*$F18*VLOOKUP($C18,'Master sheet'!$A:$AL,27,FALSE)*0.15875</f>
        <v>0</v>
      </c>
      <c r="M18" s="1552"/>
      <c r="N18" s="1552"/>
      <c r="O18" s="25" t="str">
        <f ca="1">_xlfn.IFNA(VLOOKUP($C18,'Master sheet'!$A:$AR,44,FALSE),"")&amp;""</f>
        <v/>
      </c>
      <c r="P18" s="672"/>
      <c r="Q18" s="788" t="s">
        <v>59</v>
      </c>
      <c r="R18" s="788" t="s">
        <v>35</v>
      </c>
      <c r="S18" s="664"/>
      <c r="T18" s="664"/>
      <c r="U18" s="664"/>
      <c r="V18" s="664"/>
      <c r="W18" s="664"/>
      <c r="X18" s="664"/>
      <c r="Y18" s="664"/>
      <c r="Z18" s="664"/>
    </row>
    <row r="19" spans="1:26" ht="23.25" customHeight="1" x14ac:dyDescent="0.25">
      <c r="A19" s="1525"/>
      <c r="B19" s="1525"/>
      <c r="C19" s="669" t="str" cm="1">
        <f t="array" ref="C19">INDEX('Master sheet'!$A$1:$A$670,MATCH(1,("26-30" = 'Master sheet'!$AO$1:$AO$670)*(4 = 'Master sheet'!$AP$1:$AP$670)*('Master sheet'!$AT$1:$AT$670),0))</f>
        <v xml:space="preserve">Concrete - 30 MPa, 30% FA, GU / SRMCA / Can. Sask Avg. / </v>
      </c>
      <c r="D19" s="15">
        <f>'USER INPUT SHEET'!$D$32</f>
        <v>0</v>
      </c>
      <c r="E19" s="16" t="str">
        <f>'USER INPUT SHEET'!$F$32</f>
        <v>m2</v>
      </c>
      <c r="F19" s="3">
        <v>1</v>
      </c>
      <c r="G19" s="670"/>
      <c r="H19" s="8"/>
      <c r="I19" s="92">
        <f t="shared" si="4"/>
        <v>0</v>
      </c>
      <c r="J19" s="93" t="str">
        <f t="shared" si="5"/>
        <v/>
      </c>
      <c r="K19" s="406">
        <f>$D19*$F19*VLOOKUP($C19,'Master sheet'!$A:$AL,13,FALSE)*0.15875</f>
        <v>0</v>
      </c>
      <c r="L19" s="94">
        <f>$D19*$F19*VLOOKUP($C19,'Master sheet'!$A:$AL,27,FALSE)*0.15875</f>
        <v>0</v>
      </c>
      <c r="M19" s="1552"/>
      <c r="N19" s="1552"/>
      <c r="O19" s="25" t="str">
        <f ca="1">_xlfn.IFNA(VLOOKUP($C19,'Master sheet'!$A:$AR,44,FALSE),"")&amp;""</f>
        <v/>
      </c>
      <c r="P19" s="672"/>
      <c r="Q19" s="788" t="s">
        <v>59</v>
      </c>
      <c r="R19" s="788" t="s">
        <v>35</v>
      </c>
      <c r="S19" s="664"/>
      <c r="T19" s="664"/>
      <c r="U19" s="664"/>
      <c r="V19" s="664"/>
      <c r="W19" s="664"/>
      <c r="X19" s="664"/>
      <c r="Y19" s="664"/>
      <c r="Z19" s="664"/>
    </row>
    <row r="20" spans="1:26" ht="23.25" customHeight="1" x14ac:dyDescent="0.25">
      <c r="A20" s="1525"/>
      <c r="B20" s="1525"/>
      <c r="C20" s="669" t="str" cm="1">
        <f t="array" ref="C20">INDEX('Master sheet'!$A$1:$A$670,MATCH(1,("26-30" = 'Master sheet'!$AO$1:$AO$670)*(5 = 'Master sheet'!$AP$1:$AP$670)*('Master sheet'!$AT$1:$AT$670),0))</f>
        <v xml:space="preserve">Concrete - 30 MPa, 40% FA, GU / SRMCA / Can. Sask Avg. / </v>
      </c>
      <c r="D20" s="15">
        <f>'USER INPUT SHEET'!$D$32</f>
        <v>0</v>
      </c>
      <c r="E20" s="16" t="str">
        <f>'USER INPUT SHEET'!$F$32</f>
        <v>m2</v>
      </c>
      <c r="F20" s="3">
        <v>1</v>
      </c>
      <c r="G20" s="670"/>
      <c r="H20" s="8"/>
      <c r="I20" s="92">
        <f t="shared" si="4"/>
        <v>0</v>
      </c>
      <c r="J20" s="93" t="str">
        <f t="shared" si="5"/>
        <v/>
      </c>
      <c r="K20" s="406">
        <f>$D20*$F20*VLOOKUP($C20,'Master sheet'!$A:$AL,13,FALSE)*0.15875</f>
        <v>0</v>
      </c>
      <c r="L20" s="94">
        <f>$D20*$F20*VLOOKUP($C20,'Master sheet'!$A:$AL,27,FALSE)*0.15875</f>
        <v>0</v>
      </c>
      <c r="M20" s="1552"/>
      <c r="N20" s="1552"/>
      <c r="O20" s="25" t="str">
        <f ca="1">_xlfn.IFNA(VLOOKUP($C20,'Master sheet'!$A:$AR,44,FALSE),"")&amp;""</f>
        <v/>
      </c>
      <c r="P20" s="672"/>
      <c r="Q20" s="788" t="s">
        <v>59</v>
      </c>
      <c r="R20" s="788" t="s">
        <v>35</v>
      </c>
      <c r="S20" s="664"/>
      <c r="T20" s="664"/>
      <c r="U20" s="664"/>
      <c r="V20" s="664"/>
      <c r="W20" s="664"/>
      <c r="X20" s="664"/>
      <c r="Y20" s="664"/>
      <c r="Z20" s="664"/>
    </row>
    <row r="21" spans="1:26" ht="23.25" hidden="1" customHeight="1" x14ac:dyDescent="0.25">
      <c r="A21" s="1525"/>
      <c r="B21" s="1525"/>
      <c r="C21" s="669" t="e" cm="1">
        <f t="array" ref="C21">INDEX('Master sheet'!$A$1:$A$670,MATCH(1,("26-30" = 'Master sheet'!$AO$1:$AO$670)*(6 = 'Master sheet'!$AP$1:$AP$670)*('Master sheet'!$AT$1:$AT$670),0))</f>
        <v>#N/A</v>
      </c>
      <c r="D21" s="15">
        <f>'USER INPUT SHEET'!$D$32</f>
        <v>0</v>
      </c>
      <c r="E21" s="16" t="str">
        <f>'USER INPUT SHEET'!$F$32</f>
        <v>m2</v>
      </c>
      <c r="F21" s="3">
        <v>1</v>
      </c>
      <c r="G21" s="670"/>
      <c r="H21" s="8"/>
      <c r="I21" s="92" t="e">
        <f t="shared" si="4"/>
        <v>#N/A</v>
      </c>
      <c r="J21" s="93" t="str">
        <f t="shared" si="5"/>
        <v/>
      </c>
      <c r="K21" s="406" t="e">
        <f>$D21*$F21*VLOOKUP($C21,'Master sheet'!$A:$AL,13,FALSE)*0.15875</f>
        <v>#N/A</v>
      </c>
      <c r="L21" s="94" t="e">
        <f>$D21*$F21*VLOOKUP($C21,'Master sheet'!$A:$AL,27,FALSE)*0.15875</f>
        <v>#N/A</v>
      </c>
      <c r="M21" s="1552"/>
      <c r="N21" s="1552"/>
      <c r="O21" s="25" t="str">
        <f>_xlfn.IFNA(VLOOKUP($C21,'Master sheet'!$A:$AR,44,FALSE),"")&amp;""</f>
        <v/>
      </c>
      <c r="P21" s="672"/>
      <c r="Q21" s="788" t="s">
        <v>59</v>
      </c>
      <c r="R21" s="788" t="s">
        <v>35</v>
      </c>
      <c r="S21" s="664"/>
      <c r="T21" s="664"/>
      <c r="U21" s="664"/>
      <c r="V21" s="664"/>
      <c r="W21" s="664"/>
      <c r="X21" s="664"/>
      <c r="Y21" s="664"/>
      <c r="Z21" s="664"/>
    </row>
    <row r="22" spans="1:26" s="624" customFormat="1" ht="23.25" hidden="1" customHeight="1" x14ac:dyDescent="0.25">
      <c r="A22" s="1525"/>
      <c r="B22" s="1525"/>
      <c r="C22" s="673" t="e" cm="1">
        <f t="array" ref="C22">INDEX('Master sheet'!$A$1:$A$670,MATCH(1,("26-30" = 'Master sheet'!$AO$1:$AO$670)*(7 = 'Master sheet'!$AP$1:$AP$670)*('Master sheet'!$AT$1:$AT$670),0))</f>
        <v>#N/A</v>
      </c>
      <c r="D22" s="17">
        <f>'USER INPUT SHEET'!$D$32</f>
        <v>0</v>
      </c>
      <c r="E22" s="18" t="str">
        <f>'USER INPUT SHEET'!$F$32</f>
        <v>m2</v>
      </c>
      <c r="F22" s="4">
        <v>1</v>
      </c>
      <c r="G22" s="674"/>
      <c r="H22" s="9"/>
      <c r="I22" s="95" t="e">
        <f t="shared" si="4"/>
        <v>#N/A</v>
      </c>
      <c r="J22" s="96" t="str">
        <f t="shared" si="5"/>
        <v/>
      </c>
      <c r="K22" s="407" t="e">
        <f>$D22*$F22*VLOOKUP($C22,'Master sheet'!$A:$AL,13,FALSE)*0.15875</f>
        <v>#N/A</v>
      </c>
      <c r="L22" s="97" t="e">
        <f>$D22*$F22*VLOOKUP($C22,'Master sheet'!$A:$AL,27,FALSE)*0.15875</f>
        <v>#N/A</v>
      </c>
      <c r="M22" s="1552"/>
      <c r="N22" s="1552"/>
      <c r="O22" s="25" t="str">
        <f>_xlfn.IFNA(VLOOKUP($C22,'Master sheet'!$A:$AR,44,FALSE),"")&amp;""</f>
        <v/>
      </c>
      <c r="P22" s="637"/>
      <c r="Q22" s="722" t="s">
        <v>32</v>
      </c>
      <c r="R22" s="790" t="s">
        <v>35</v>
      </c>
      <c r="S22" s="638"/>
      <c r="T22" s="638"/>
      <c r="U22" s="638"/>
      <c r="V22" s="638"/>
      <c r="W22" s="638"/>
      <c r="X22" s="638"/>
      <c r="Y22" s="638"/>
      <c r="Z22" s="638"/>
    </row>
    <row r="23" spans="1:26" ht="23.85" customHeight="1" x14ac:dyDescent="0.25">
      <c r="A23" s="639"/>
      <c r="B23" s="1524" t="s">
        <v>1351</v>
      </c>
      <c r="C23" s="1524"/>
      <c r="D23" s="656"/>
      <c r="E23" s="641"/>
      <c r="F23" s="322"/>
      <c r="G23" s="657"/>
      <c r="H23" s="657"/>
      <c r="I23" s="658"/>
      <c r="J23" s="659"/>
      <c r="K23" s="660"/>
      <c r="L23" s="661"/>
      <c r="M23" s="677"/>
      <c r="N23" s="677"/>
      <c r="O23" s="25" t="str">
        <f>_xlfn.IFNA(VLOOKUP($C23,'Master sheet'!$A:$AR,44,FALSE),"")&amp;""</f>
        <v/>
      </c>
      <c r="P23" s="663"/>
      <c r="Q23" s="30"/>
      <c r="R23" s="21"/>
      <c r="S23" s="664"/>
      <c r="T23" s="664"/>
      <c r="U23" s="664"/>
      <c r="V23" s="664"/>
      <c r="W23" s="664"/>
      <c r="X23" s="664"/>
      <c r="Y23" s="664"/>
      <c r="Z23" s="664"/>
    </row>
    <row r="24" spans="1:26" ht="31.5" customHeight="1" x14ac:dyDescent="0.25">
      <c r="A24" s="1525" t="s">
        <v>786</v>
      </c>
      <c r="B24" s="1525"/>
      <c r="C24" s="667" t="str" cm="1">
        <f t="array" ref="C24">INDEX('Master sheet'!$A$1:$A$670,MATCH(1,("31-35" = 'Master sheet'!$AO$1:$AO$670)*(1 = 'Master sheet'!$AP$1:$AP$670)*('Master sheet'!$AT$1:$AT$670),0))</f>
        <v xml:space="preserve">Concrete - 35 MPa, GU / SRMCA / Can. Sask Avg. / </v>
      </c>
      <c r="D24" s="230">
        <f>'USER INPUT SHEET'!$D$32</f>
        <v>0</v>
      </c>
      <c r="E24" s="14" t="str">
        <f>'USER INPUT SHEET'!$F$32</f>
        <v>m2</v>
      </c>
      <c r="F24" s="5">
        <v>1</v>
      </c>
      <c r="G24" s="668"/>
      <c r="H24" s="10"/>
      <c r="I24" s="232">
        <f t="shared" ref="I24:I30" si="6">K24-L24</f>
        <v>0</v>
      </c>
      <c r="J24" s="233" t="str">
        <f t="shared" ref="J24:J30" si="7">IF(H24=1,I24,"")</f>
        <v/>
      </c>
      <c r="K24" s="416">
        <f>$D24*$F24*VLOOKUP($C24,'Master sheet'!$A:$AL,13,FALSE)*0.15875</f>
        <v>0</v>
      </c>
      <c r="L24" s="239">
        <f>$D24*$F24*VLOOKUP($C24,'Master sheet'!$A:$AL,27,FALSE)*0.15875</f>
        <v>0</v>
      </c>
      <c r="M24" s="1552"/>
      <c r="N24" s="1552"/>
      <c r="O24" s="25" t="str">
        <f ca="1">_xlfn.IFNA(VLOOKUP($C24,'Master sheet'!$A:$AR,44,FALSE),"")&amp;""</f>
        <v/>
      </c>
      <c r="P24" s="637"/>
      <c r="Q24" s="788" t="s">
        <v>59</v>
      </c>
      <c r="R24" s="788" t="s">
        <v>35</v>
      </c>
      <c r="S24" s="664"/>
      <c r="T24" s="664"/>
      <c r="U24" s="664"/>
      <c r="V24" s="664"/>
      <c r="W24" s="664"/>
      <c r="X24" s="664"/>
      <c r="Y24" s="664"/>
      <c r="Z24" s="664"/>
    </row>
    <row r="25" spans="1:26" ht="23.25" customHeight="1" x14ac:dyDescent="0.25">
      <c r="A25" s="1525"/>
      <c r="B25" s="1525"/>
      <c r="C25" s="669" t="str" cm="1">
        <f t="array" ref="C25">INDEX('Master sheet'!$A$1:$A$670,MATCH(1,("31-35" = 'Master sheet'!$AO$1:$AO$670)*(2 = 'Master sheet'!$AP$1:$AP$670)*('Master sheet'!$AT$1:$AT$670),0))</f>
        <v xml:space="preserve">Concrete - 35 MPa, 10% FA, GU / SRMCA / Can. Sask Avg. / </v>
      </c>
      <c r="D25" s="15">
        <f>'USER INPUT SHEET'!$D$32</f>
        <v>0</v>
      </c>
      <c r="E25" s="16" t="str">
        <f>'USER INPUT SHEET'!$F$32</f>
        <v>m2</v>
      </c>
      <c r="F25" s="3">
        <v>1</v>
      </c>
      <c r="G25" s="670"/>
      <c r="H25" s="8"/>
      <c r="I25" s="92">
        <f t="shared" si="6"/>
        <v>0</v>
      </c>
      <c r="J25" s="93" t="str">
        <f t="shared" si="7"/>
        <v/>
      </c>
      <c r="K25" s="406">
        <f>$D25*$F25*VLOOKUP($C25,'Master sheet'!$A:$AL,13,FALSE)*0.15875</f>
        <v>0</v>
      </c>
      <c r="L25" s="94">
        <f>$D25*$F25*VLOOKUP($C25,'Master sheet'!$A:$AL,27,FALSE)*0.15875</f>
        <v>0</v>
      </c>
      <c r="M25" s="1552"/>
      <c r="N25" s="1552"/>
      <c r="O25" s="25" t="str">
        <f ca="1">_xlfn.IFNA(VLOOKUP($C25,'Master sheet'!$A:$AR,44,FALSE),"")&amp;""</f>
        <v/>
      </c>
      <c r="P25" s="671"/>
      <c r="Q25" s="788" t="s">
        <v>59</v>
      </c>
      <c r="R25" s="788" t="s">
        <v>35</v>
      </c>
      <c r="S25" s="664"/>
      <c r="T25" s="664"/>
      <c r="U25" s="664"/>
      <c r="V25" s="664"/>
      <c r="W25" s="664"/>
      <c r="X25" s="664"/>
      <c r="Y25" s="664"/>
      <c r="Z25" s="664"/>
    </row>
    <row r="26" spans="1:26" ht="23.25" customHeight="1" x14ac:dyDescent="0.25">
      <c r="A26" s="1525"/>
      <c r="B26" s="1525"/>
      <c r="C26" s="669" t="str" cm="1">
        <f t="array" ref="C26">INDEX('Master sheet'!$A$1:$A$670,MATCH(1,("31-35" = 'Master sheet'!$AO$1:$AO$670)*(3 = 'Master sheet'!$AP$1:$AP$670)*('Master sheet'!$AT$1:$AT$670),0))</f>
        <v xml:space="preserve">Concrete - 35 MPa, 20% FA, GU / SRMCA / Can. Sask Avg. / </v>
      </c>
      <c r="D26" s="15">
        <f>'USER INPUT SHEET'!$D$32</f>
        <v>0</v>
      </c>
      <c r="E26" s="16" t="str">
        <f>'USER INPUT SHEET'!$F$32</f>
        <v>m2</v>
      </c>
      <c r="F26" s="3">
        <v>1</v>
      </c>
      <c r="G26" s="670"/>
      <c r="H26" s="8"/>
      <c r="I26" s="92">
        <f t="shared" si="6"/>
        <v>0</v>
      </c>
      <c r="J26" s="93" t="str">
        <f t="shared" si="7"/>
        <v/>
      </c>
      <c r="K26" s="406">
        <f>$D26*$F26*VLOOKUP($C26,'Master sheet'!$A:$AL,13,FALSE)*0.15875</f>
        <v>0</v>
      </c>
      <c r="L26" s="94">
        <f>$D26*$F26*VLOOKUP($C26,'Master sheet'!$A:$AL,27,FALSE)*0.15875</f>
        <v>0</v>
      </c>
      <c r="M26" s="1552"/>
      <c r="N26" s="1552"/>
      <c r="O26" s="25" t="str">
        <f ca="1">_xlfn.IFNA(VLOOKUP($C26,'Master sheet'!$A:$AR,44,FALSE),"")&amp;""</f>
        <v/>
      </c>
      <c r="P26" s="672"/>
      <c r="Q26" s="788" t="s">
        <v>59</v>
      </c>
      <c r="R26" s="788" t="s">
        <v>35</v>
      </c>
      <c r="S26" s="664"/>
      <c r="T26" s="664"/>
      <c r="U26" s="664"/>
      <c r="V26" s="664"/>
      <c r="W26" s="664"/>
      <c r="X26" s="664"/>
      <c r="Y26" s="664"/>
      <c r="Z26" s="664"/>
    </row>
    <row r="27" spans="1:26" ht="23.25" customHeight="1" x14ac:dyDescent="0.25">
      <c r="A27" s="1525"/>
      <c r="B27" s="1525"/>
      <c r="C27" s="669" t="str" cm="1">
        <f t="array" ref="C27">INDEX('Master sheet'!$A$1:$A$670,MATCH(1,("31-35" = 'Master sheet'!$AO$1:$AO$670)*(4 = 'Master sheet'!$AP$1:$AP$670)*('Master sheet'!$AT$1:$AT$670),0))</f>
        <v xml:space="preserve">Concrete - 35 MPa, 30% FA, GU / SRMCA / Can. Sask Avg. / </v>
      </c>
      <c r="D27" s="15">
        <f>'USER INPUT SHEET'!$D$32</f>
        <v>0</v>
      </c>
      <c r="E27" s="16" t="str">
        <f>'USER INPUT SHEET'!$F$32</f>
        <v>m2</v>
      </c>
      <c r="F27" s="3">
        <v>1</v>
      </c>
      <c r="G27" s="670"/>
      <c r="H27" s="8"/>
      <c r="I27" s="92">
        <f t="shared" si="6"/>
        <v>0</v>
      </c>
      <c r="J27" s="93" t="str">
        <f t="shared" si="7"/>
        <v/>
      </c>
      <c r="K27" s="406">
        <f>$D27*$F27*VLOOKUP($C27,'Master sheet'!$A:$AL,13,FALSE)*0.15875</f>
        <v>0</v>
      </c>
      <c r="L27" s="94">
        <f>$D27*$F27*VLOOKUP($C27,'Master sheet'!$A:$AL,27,FALSE)*0.15875</f>
        <v>0</v>
      </c>
      <c r="M27" s="1552"/>
      <c r="N27" s="1552"/>
      <c r="O27" s="25" t="str">
        <f ca="1">_xlfn.IFNA(VLOOKUP($C27,'Master sheet'!$A:$AR,44,FALSE),"")&amp;""</f>
        <v/>
      </c>
      <c r="P27" s="672"/>
      <c r="Q27" s="788" t="s">
        <v>59</v>
      </c>
      <c r="R27" s="788" t="s">
        <v>35</v>
      </c>
      <c r="S27" s="664"/>
      <c r="T27" s="664"/>
      <c r="U27" s="664"/>
      <c r="V27" s="664"/>
      <c r="W27" s="664"/>
      <c r="X27" s="664"/>
      <c r="Y27" s="664"/>
      <c r="Z27" s="664"/>
    </row>
    <row r="28" spans="1:26" ht="23.25" customHeight="1" x14ac:dyDescent="0.25">
      <c r="A28" s="1525"/>
      <c r="B28" s="1525"/>
      <c r="C28" s="669" t="str" cm="1">
        <f t="array" ref="C28">INDEX('Master sheet'!$A$1:$A$670,MATCH(1,("31-35" = 'Master sheet'!$AO$1:$AO$670)*(5 = 'Master sheet'!$AP$1:$AP$670)*('Master sheet'!$AT$1:$AT$670),0))</f>
        <v xml:space="preserve">Concrete - 35 MPa, 40% FA, GU / SRMCA / Can. Sask Avg. / </v>
      </c>
      <c r="D28" s="15">
        <f>'USER INPUT SHEET'!$D$32</f>
        <v>0</v>
      </c>
      <c r="E28" s="16" t="str">
        <f>'USER INPUT SHEET'!$F$32</f>
        <v>m2</v>
      </c>
      <c r="F28" s="3">
        <v>1</v>
      </c>
      <c r="G28" s="670"/>
      <c r="H28" s="8"/>
      <c r="I28" s="92">
        <f t="shared" si="6"/>
        <v>0</v>
      </c>
      <c r="J28" s="93" t="str">
        <f t="shared" si="7"/>
        <v/>
      </c>
      <c r="K28" s="406">
        <f>$D28*$F28*VLOOKUP($C28,'Master sheet'!$A:$AL,13,FALSE)*0.15875</f>
        <v>0</v>
      </c>
      <c r="L28" s="94">
        <f>$D28*$F28*VLOOKUP($C28,'Master sheet'!$A:$AL,27,FALSE)*0.15875</f>
        <v>0</v>
      </c>
      <c r="M28" s="1552"/>
      <c r="N28" s="1552"/>
      <c r="O28" s="25" t="str">
        <f ca="1">_xlfn.IFNA(VLOOKUP($C28,'Master sheet'!$A:$AR,44,FALSE),"")&amp;""</f>
        <v/>
      </c>
      <c r="P28" s="672"/>
      <c r="Q28" s="788" t="s">
        <v>59</v>
      </c>
      <c r="R28" s="788" t="s">
        <v>35</v>
      </c>
      <c r="S28" s="664"/>
      <c r="T28" s="664"/>
      <c r="U28" s="664"/>
      <c r="V28" s="664"/>
      <c r="W28" s="664"/>
      <c r="X28" s="664"/>
      <c r="Y28" s="664"/>
      <c r="Z28" s="664"/>
    </row>
    <row r="29" spans="1:26" ht="23.25" hidden="1" customHeight="1" x14ac:dyDescent="0.25">
      <c r="A29" s="1525"/>
      <c r="B29" s="1525"/>
      <c r="C29" s="669" t="e" cm="1">
        <f t="array" ref="C29">INDEX('Master sheet'!$A$1:$A$670,MATCH(1,("31-35" = 'Master sheet'!$AO$1:$AO$670)*(6 = 'Master sheet'!$AP$1:$AP$670)*('Master sheet'!$AT$1:$AT$670),0))</f>
        <v>#N/A</v>
      </c>
      <c r="D29" s="15">
        <f>'USER INPUT SHEET'!$D$32</f>
        <v>0</v>
      </c>
      <c r="E29" s="16" t="str">
        <f>'USER INPUT SHEET'!$F$32</f>
        <v>m2</v>
      </c>
      <c r="F29" s="3">
        <v>1</v>
      </c>
      <c r="G29" s="670"/>
      <c r="H29" s="8"/>
      <c r="I29" s="92" t="e">
        <f t="shared" si="6"/>
        <v>#N/A</v>
      </c>
      <c r="J29" s="93" t="str">
        <f t="shared" si="7"/>
        <v/>
      </c>
      <c r="K29" s="406" t="e">
        <f>$D29*$F29*VLOOKUP($C29,'Master sheet'!$A:$AL,13,FALSE)*0.15875</f>
        <v>#N/A</v>
      </c>
      <c r="L29" s="94" t="e">
        <f>$D29*$F29*VLOOKUP($C29,'Master sheet'!$A:$AL,27,FALSE)*0.15875</f>
        <v>#N/A</v>
      </c>
      <c r="M29" s="1552"/>
      <c r="N29" s="1552"/>
      <c r="O29" s="25" t="str">
        <f>_xlfn.IFNA(VLOOKUP($C29,'Master sheet'!$A:$AR,44,FALSE),"")&amp;""</f>
        <v/>
      </c>
      <c r="P29" s="672"/>
      <c r="Q29" s="788" t="s">
        <v>59</v>
      </c>
      <c r="R29" s="788" t="s">
        <v>35</v>
      </c>
      <c r="S29" s="664"/>
      <c r="T29" s="664"/>
      <c r="U29" s="664"/>
      <c r="V29" s="664"/>
      <c r="W29" s="664"/>
      <c r="X29" s="664"/>
      <c r="Y29" s="664"/>
      <c r="Z29" s="664"/>
    </row>
    <row r="30" spans="1:26" s="624" customFormat="1" ht="23.25" hidden="1" customHeight="1" x14ac:dyDescent="0.25">
      <c r="A30" s="1544"/>
      <c r="B30" s="1544"/>
      <c r="C30" s="673" t="e" cm="1">
        <f t="array" ref="C30">INDEX('Master sheet'!$A$1:$A$670,MATCH(1,("31-35" = 'Master sheet'!$AO$1:$AO$670)*(7 = 'Master sheet'!$AP$1:$AP$670)*('Master sheet'!$AT$1:$AT$670),0))</f>
        <v>#N/A</v>
      </c>
      <c r="D30" s="17">
        <f>'USER INPUT SHEET'!$D$32</f>
        <v>0</v>
      </c>
      <c r="E30" s="16" t="str">
        <f>'USER INPUT SHEET'!$F$32</f>
        <v>m2</v>
      </c>
      <c r="F30" s="4">
        <v>1</v>
      </c>
      <c r="G30" s="674"/>
      <c r="H30" s="9"/>
      <c r="I30" s="95" t="e">
        <f t="shared" si="6"/>
        <v>#N/A</v>
      </c>
      <c r="J30" s="96" t="str">
        <f t="shared" si="7"/>
        <v/>
      </c>
      <c r="K30" s="407" t="e">
        <f>$D30*$F30*VLOOKUP($C30,'Master sheet'!$A:$AL,13,FALSE)*0.15875</f>
        <v>#N/A</v>
      </c>
      <c r="L30" s="97" t="e">
        <f>$D30*$F30*VLOOKUP($C30,'Master sheet'!$A:$AL,27,FALSE)*0.15875</f>
        <v>#N/A</v>
      </c>
      <c r="M30" s="1552"/>
      <c r="N30" s="1552"/>
      <c r="O30" s="25" t="str">
        <f>_xlfn.IFNA(VLOOKUP($C30,'Master sheet'!$A:$AR,44,FALSE),"")&amp;""</f>
        <v/>
      </c>
      <c r="P30" s="637"/>
      <c r="Q30" s="722" t="s">
        <v>32</v>
      </c>
      <c r="R30" s="790" t="s">
        <v>35</v>
      </c>
      <c r="S30" s="638"/>
      <c r="T30" s="638"/>
      <c r="U30" s="638"/>
      <c r="V30" s="638"/>
      <c r="W30" s="638"/>
      <c r="X30" s="638"/>
      <c r="Y30" s="638"/>
      <c r="Z30" s="638"/>
    </row>
    <row r="31" spans="1:26" s="624" customFormat="1" ht="54.75" customHeight="1" x14ac:dyDescent="0.25">
      <c r="A31" s="1592" t="s">
        <v>37</v>
      </c>
      <c r="B31" s="1523"/>
      <c r="C31" s="1523"/>
      <c r="D31" s="1523"/>
      <c r="E31" s="1523"/>
      <c r="F31" s="1523"/>
      <c r="G31" s="650"/>
      <c r="H31" s="650"/>
      <c r="I31" s="651"/>
      <c r="J31" s="651"/>
      <c r="K31" s="652"/>
      <c r="L31" s="759"/>
      <c r="M31" s="759"/>
      <c r="N31" s="759"/>
      <c r="O31" s="25" t="str">
        <f>_xlfn.IFNA(VLOOKUP($C31,'Master sheet'!$A:$AR,44,FALSE),"")&amp;""</f>
        <v/>
      </c>
      <c r="P31" s="663"/>
      <c r="Q31" s="790"/>
      <c r="R31" s="790"/>
      <c r="S31" s="638"/>
      <c r="T31" s="638"/>
      <c r="U31" s="638"/>
      <c r="V31" s="638"/>
      <c r="W31" s="638"/>
      <c r="X31" s="638"/>
      <c r="Y31" s="638"/>
      <c r="Z31" s="638"/>
    </row>
    <row r="32" spans="1:26" s="624" customFormat="1" ht="31.5" customHeight="1" x14ac:dyDescent="0.25">
      <c r="A32" s="1570" t="s">
        <v>1368</v>
      </c>
      <c r="B32" s="1570"/>
      <c r="C32" s="667" t="str">
        <f>INDEX('Master sheet'!$A$1:$A$670,MATCH(264,'Master sheet'!$AN$1:$AN$670,0))</f>
        <v>WOOD CHIP CEMENT ICF 12" R-22 with MINERAL WOOL INSERTS, (3 in. @ R4.2/in.), 15M REBAR</v>
      </c>
      <c r="D32" s="230">
        <f>'USER INPUT SHEET'!$D$32</f>
        <v>0</v>
      </c>
      <c r="E32" s="14" t="str">
        <f>'USER INPUT SHEET'!$F$32</f>
        <v>m2</v>
      </c>
      <c r="F32" s="5">
        <v>1</v>
      </c>
      <c r="G32" s="668"/>
      <c r="H32" s="10"/>
      <c r="I32" s="232">
        <f t="shared" ref="I32:I41" si="8">K32-L32</f>
        <v>0</v>
      </c>
      <c r="J32" s="233" t="str">
        <f t="shared" ref="J32:J43" si="9">IF(H32=1,I32,"")</f>
        <v/>
      </c>
      <c r="K32" s="416">
        <f>$D32*$F32*VLOOKUP($C32,'Master sheet'!$A:$AL,13,FALSE)</f>
        <v>0</v>
      </c>
      <c r="L32" s="239">
        <f>$D32*$F32*VLOOKUP($C32,'Master sheet'!$A:$AL,27,FALSE)</f>
        <v>0</v>
      </c>
      <c r="M32" s="1552"/>
      <c r="N32" s="1552"/>
      <c r="O32" s="25" t="str">
        <f>_xlfn.IFNA(VLOOKUP($C32,'Master sheet'!$A:$AR,44,FALSE),"")&amp;""</f>
        <v>LCA in Composite</v>
      </c>
      <c r="P32" s="637"/>
      <c r="Q32" s="790" t="s">
        <v>59</v>
      </c>
      <c r="R32" s="790" t="s">
        <v>37</v>
      </c>
      <c r="S32" s="638"/>
      <c r="T32" s="638"/>
      <c r="U32" s="638"/>
      <c r="V32" s="638"/>
      <c r="W32" s="638"/>
      <c r="X32" s="638"/>
      <c r="Y32" s="638"/>
      <c r="Z32" s="638"/>
    </row>
    <row r="33" spans="1:26" ht="31.5" customHeight="1" x14ac:dyDescent="0.25">
      <c r="A33" s="1570"/>
      <c r="B33" s="1570"/>
      <c r="C33" s="669" t="str">
        <f>INDEX('Master sheet'!$A$1:$A$670,MATCH(265,'Master sheet'!$AN$1:$AN$670,0))</f>
        <v>WOOD CHIP CEMENT ICF 14" R-28 with MINERAL WOOL INSERTS (5 in. @ R4.2/in.), 15M REBAR</v>
      </c>
      <c r="D33" s="15">
        <f>'USER INPUT SHEET'!$D$32</f>
        <v>0</v>
      </c>
      <c r="E33" s="16" t="str">
        <f>'USER INPUT SHEET'!$F$32</f>
        <v>m2</v>
      </c>
      <c r="F33" s="3">
        <v>1</v>
      </c>
      <c r="G33" s="670"/>
      <c r="H33" s="8"/>
      <c r="I33" s="92">
        <f t="shared" si="8"/>
        <v>0</v>
      </c>
      <c r="J33" s="93" t="str">
        <f t="shared" si="9"/>
        <v/>
      </c>
      <c r="K33" s="406">
        <f>$D33*$F33*VLOOKUP($C33,'Master sheet'!$A:$AL,13,FALSE)</f>
        <v>0</v>
      </c>
      <c r="L33" s="94">
        <f>$D33*$F33*VLOOKUP($C33,'Master sheet'!$A:$AL,27,FALSE)</f>
        <v>0</v>
      </c>
      <c r="M33" s="1552"/>
      <c r="N33" s="1552"/>
      <c r="O33" s="25" t="str">
        <f>_xlfn.IFNA(VLOOKUP($C33,'Master sheet'!$A:$AR,44,FALSE),"")&amp;""</f>
        <v>LCA in Composite</v>
      </c>
      <c r="P33" s="671"/>
      <c r="Q33" s="788" t="s">
        <v>59</v>
      </c>
      <c r="R33" s="788" t="s">
        <v>37</v>
      </c>
      <c r="S33" s="664"/>
      <c r="T33" s="664"/>
      <c r="U33" s="664"/>
      <c r="V33" s="664"/>
      <c r="W33" s="664"/>
      <c r="X33" s="664"/>
      <c r="Y33" s="664"/>
      <c r="Z33" s="664"/>
    </row>
    <row r="34" spans="1:26" s="624" customFormat="1" ht="31.5" customHeight="1" x14ac:dyDescent="0.25">
      <c r="A34" s="1570"/>
      <c r="B34" s="1570"/>
      <c r="C34" s="669" t="str">
        <f>INDEX('Master sheet'!$A$1:$A$670,MATCH(266,'Master sheet'!$AN$1:$AN$670,0))</f>
        <v>WOOD CHIP CEMENT ICF 12" R-21 with CORK BOARD INSERTS (3 in. @ R4/in.), 15M REBAR</v>
      </c>
      <c r="D34" s="15">
        <f>'USER INPUT SHEET'!$D$32</f>
        <v>0</v>
      </c>
      <c r="E34" s="16" t="str">
        <f>'USER INPUT SHEET'!$F$32</f>
        <v>m2</v>
      </c>
      <c r="F34" s="3">
        <v>1</v>
      </c>
      <c r="G34" s="670"/>
      <c r="H34" s="8"/>
      <c r="I34" s="92">
        <f t="shared" si="8"/>
        <v>0</v>
      </c>
      <c r="J34" s="93" t="str">
        <f t="shared" si="9"/>
        <v/>
      </c>
      <c r="K34" s="406">
        <f>$D34*$F34*VLOOKUP($C34,'Master sheet'!$A:$AL,13,FALSE)</f>
        <v>0</v>
      </c>
      <c r="L34" s="94">
        <f>$D34*$F34*VLOOKUP($C34,'Master sheet'!$A:$AL,27,FALSE)</f>
        <v>0</v>
      </c>
      <c r="M34" s="1552"/>
      <c r="N34" s="1552"/>
      <c r="O34" s="25" t="str">
        <f>_xlfn.IFNA(VLOOKUP($C34,'Master sheet'!$A:$AR,44,FALSE),"")&amp;""</f>
        <v>LCA in Composite</v>
      </c>
      <c r="P34" s="685"/>
      <c r="Q34" s="788" t="s">
        <v>59</v>
      </c>
      <c r="R34" s="788" t="s">
        <v>37</v>
      </c>
      <c r="S34" s="638"/>
      <c r="T34" s="638"/>
      <c r="U34" s="638"/>
      <c r="V34" s="638"/>
      <c r="W34" s="638"/>
      <c r="X34" s="638"/>
      <c r="Y34" s="638"/>
      <c r="Z34" s="638"/>
    </row>
    <row r="35" spans="1:26" ht="32.25" customHeight="1" x14ac:dyDescent="0.25">
      <c r="A35" s="1570"/>
      <c r="B35" s="1570"/>
      <c r="C35" s="669" t="str">
        <f>INDEX('Master sheet'!$A$1:$A$670,MATCH(267,'Master sheet'!$AN$1:$AN$670,0))</f>
        <v>WOOD CHIP CEMENT ICF 14" R-27 with CORK BOARD INSERTS (5 in. @ R4/in.), 15M REBAR</v>
      </c>
      <c r="D35" s="15">
        <f>'USER INPUT SHEET'!$D$32</f>
        <v>0</v>
      </c>
      <c r="E35" s="16" t="str">
        <f>'USER INPUT SHEET'!$F$32</f>
        <v>m2</v>
      </c>
      <c r="F35" s="3">
        <v>1</v>
      </c>
      <c r="G35" s="670"/>
      <c r="H35" s="8"/>
      <c r="I35" s="92">
        <f>K35-L35</f>
        <v>0</v>
      </c>
      <c r="J35" s="93" t="str">
        <f>IF(H35=1,I35,"")</f>
        <v/>
      </c>
      <c r="K35" s="406">
        <f>$D35*$F35*VLOOKUP($C35,'Master sheet'!$A:$AL,13,FALSE)</f>
        <v>0</v>
      </c>
      <c r="L35" s="94">
        <f>$D35*$F35*VLOOKUP($C35,'Master sheet'!$A:$AL,27,FALSE)</f>
        <v>0</v>
      </c>
      <c r="M35" s="1552"/>
      <c r="N35" s="1552"/>
      <c r="O35" s="25" t="str">
        <f>_xlfn.IFNA(VLOOKUP($C35,'Master sheet'!$A:$AR,44,FALSE),"")&amp;""</f>
        <v>LCA in Composite</v>
      </c>
      <c r="P35" s="637"/>
      <c r="Q35" s="788" t="s">
        <v>59</v>
      </c>
      <c r="R35" s="788" t="s">
        <v>37</v>
      </c>
      <c r="S35" s="664"/>
      <c r="T35" s="664"/>
      <c r="U35" s="664"/>
      <c r="V35" s="664"/>
      <c r="W35" s="664"/>
      <c r="X35" s="664"/>
      <c r="Y35" s="664"/>
      <c r="Z35" s="664"/>
    </row>
    <row r="36" spans="1:26" ht="23.85" customHeight="1" x14ac:dyDescent="0.25">
      <c r="A36" s="639"/>
      <c r="B36" s="1524" t="s">
        <v>1349</v>
      </c>
      <c r="C36" s="1524"/>
      <c r="D36" s="640"/>
      <c r="E36" s="641"/>
      <c r="F36" s="320"/>
      <c r="G36" s="641"/>
      <c r="H36" s="641"/>
      <c r="I36" s="642"/>
      <c r="J36" s="643"/>
      <c r="K36" s="676"/>
      <c r="L36" s="677"/>
      <c r="M36" s="677"/>
      <c r="N36" s="677"/>
      <c r="O36" s="25" t="str">
        <f>_xlfn.IFNA(VLOOKUP($C36,'Master sheet'!$A:$AR,44,FALSE),"")&amp;""</f>
        <v/>
      </c>
      <c r="P36" s="637"/>
      <c r="S36" s="664"/>
      <c r="T36" s="664"/>
      <c r="U36" s="664"/>
      <c r="V36" s="664"/>
      <c r="W36" s="664"/>
      <c r="X36" s="664"/>
      <c r="Y36" s="664"/>
      <c r="Z36" s="664"/>
    </row>
    <row r="37" spans="1:26" ht="31.5" customHeight="1" x14ac:dyDescent="0.25">
      <c r="A37" s="1565" t="s">
        <v>1714</v>
      </c>
      <c r="B37" s="1613"/>
      <c r="C37" s="734" t="str" cm="1">
        <f t="array" ref="C37">INDEX('Master sheet'!$A$1:$A$670,MATCH(1,("0-25" = 'Master sheet'!$AO$1:$AO$670)*(1 = 'Master sheet'!$AP$1:$AP$670)*('Master sheet'!$AT$1:$AT$670),0))</f>
        <v xml:space="preserve">Concrete - 25 MPa, GU / SRMCA / Can. Sask Avg. / </v>
      </c>
      <c r="D37" s="235">
        <f>'USER INPUT SHEET'!$D$32</f>
        <v>0</v>
      </c>
      <c r="E37" s="236" t="str">
        <f>'USER INPUT SHEET'!$F$32</f>
        <v>m2</v>
      </c>
      <c r="F37" s="6">
        <v>1</v>
      </c>
      <c r="G37" s="735"/>
      <c r="H37" s="10"/>
      <c r="I37" s="237">
        <f t="shared" si="8"/>
        <v>0</v>
      </c>
      <c r="J37" s="238" t="str">
        <f>IF(H37=1,I37,"")</f>
        <v/>
      </c>
      <c r="K37" s="416">
        <f>$D37*$F37*IF($H$32=1,0.105,IF($H$33=1,0.098,IF($H$34=1,0.105,IF($H$35=1,0.098,0))))*VLOOKUP($C37,'Master sheet'!$A:$AL,13,FALSE)</f>
        <v>0</v>
      </c>
      <c r="L37" s="239">
        <v>0</v>
      </c>
      <c r="M37" s="1552"/>
      <c r="N37" s="1552"/>
      <c r="O37" s="25" t="str">
        <f ca="1">_xlfn.IFNA(VLOOKUP($C37,'Master sheet'!$A:$AR,44,FALSE),"")&amp;""</f>
        <v/>
      </c>
      <c r="P37" s="672"/>
      <c r="Q37" s="792" t="s">
        <v>59</v>
      </c>
      <c r="R37" s="788" t="s">
        <v>37</v>
      </c>
      <c r="S37" s="664"/>
      <c r="T37" s="664"/>
      <c r="U37" s="664"/>
      <c r="V37" s="664"/>
      <c r="W37" s="664"/>
      <c r="X37" s="664"/>
      <c r="Y37" s="664"/>
      <c r="Z37" s="664"/>
    </row>
    <row r="38" spans="1:26" ht="23.25" customHeight="1" x14ac:dyDescent="0.25">
      <c r="A38" s="1565"/>
      <c r="B38" s="1613"/>
      <c r="C38" s="669" t="str" cm="1">
        <f t="array" ref="C38">INDEX('Master sheet'!$A$1:$A$670,MATCH(1,("0-25" = 'Master sheet'!$AO$1:$AO$670)*(2 = 'Master sheet'!$AP$1:$AP$670)*('Master sheet'!$AT$1:$AT$670),0))</f>
        <v xml:space="preserve">Concrete - 25 MPa, 10% FA, GU / SRMCA / Can. Sask Avg. / </v>
      </c>
      <c r="D38" s="15">
        <f>'USER INPUT SHEET'!$D$32</f>
        <v>0</v>
      </c>
      <c r="E38" s="16" t="str">
        <f>'USER INPUT SHEET'!$F$32</f>
        <v>m2</v>
      </c>
      <c r="F38" s="3">
        <v>1</v>
      </c>
      <c r="G38" s="670"/>
      <c r="H38" s="8"/>
      <c r="I38" s="92">
        <f t="shared" si="8"/>
        <v>0</v>
      </c>
      <c r="J38" s="93" t="str">
        <f t="shared" si="9"/>
        <v/>
      </c>
      <c r="K38" s="406">
        <f>$D38*$F38*IF($H$32=1,0.105,IF($H$33=1,0.098,IF($H$34=1,0.105,IF($H$35=1,0.098,0))))*VLOOKUP($C38,'Master sheet'!$A:$AL,13,FALSE)</f>
        <v>0</v>
      </c>
      <c r="L38" s="94">
        <v>0</v>
      </c>
      <c r="M38" s="1552"/>
      <c r="N38" s="1552"/>
      <c r="O38" s="25" t="str">
        <f ca="1">_xlfn.IFNA(VLOOKUP($C38,'Master sheet'!$A:$AR,44,FALSE),"")&amp;""</f>
        <v/>
      </c>
      <c r="P38" s="672"/>
      <c r="Q38" s="788" t="s">
        <v>59</v>
      </c>
      <c r="R38" s="788" t="s">
        <v>37</v>
      </c>
      <c r="S38" s="664"/>
      <c r="T38" s="664"/>
      <c r="U38" s="664"/>
      <c r="V38" s="664"/>
      <c r="W38" s="664"/>
      <c r="X38" s="664"/>
      <c r="Y38" s="664"/>
      <c r="Z38" s="664"/>
    </row>
    <row r="39" spans="1:26" ht="23.25" customHeight="1" x14ac:dyDescent="0.25">
      <c r="A39" s="1565"/>
      <c r="B39" s="1613"/>
      <c r="C39" s="669" t="str" cm="1">
        <f t="array" ref="C39">INDEX('Master sheet'!$A$1:$A$670,MATCH(1,("0-25" = 'Master sheet'!$AO$1:$AO$670)*(3 = 'Master sheet'!$AP$1:$AP$670)*('Master sheet'!$AT$1:$AT$670),0))</f>
        <v xml:space="preserve">Concrete - 25 MPa, 20% FA, GU / SRMCA / Can. Sask Avg. / </v>
      </c>
      <c r="D39" s="15">
        <f>'USER INPUT SHEET'!$D$32</f>
        <v>0</v>
      </c>
      <c r="E39" s="16" t="str">
        <f>'USER INPUT SHEET'!$F$32</f>
        <v>m2</v>
      </c>
      <c r="F39" s="3">
        <v>1</v>
      </c>
      <c r="G39" s="670"/>
      <c r="H39" s="8"/>
      <c r="I39" s="92">
        <f t="shared" si="8"/>
        <v>0</v>
      </c>
      <c r="J39" s="93" t="str">
        <f t="shared" si="9"/>
        <v/>
      </c>
      <c r="K39" s="406">
        <f>$D39*$F39*IF($H$32=1,0.105,IF($H$33=1,0.098,IF($H$34=1,0.105,IF($H$35=1,0.098,0))))*VLOOKUP($C39,'Master sheet'!$A:$AL,13,FALSE)</f>
        <v>0</v>
      </c>
      <c r="L39" s="94">
        <v>0</v>
      </c>
      <c r="M39" s="1552"/>
      <c r="N39" s="1552"/>
      <c r="O39" s="25" t="str">
        <f ca="1">_xlfn.IFNA(VLOOKUP($C39,'Master sheet'!$A:$AR,44,FALSE),"")&amp;""</f>
        <v/>
      </c>
      <c r="P39" s="672"/>
      <c r="Q39" s="788" t="s">
        <v>59</v>
      </c>
      <c r="R39" s="788" t="s">
        <v>37</v>
      </c>
      <c r="S39" s="664"/>
      <c r="T39" s="664"/>
      <c r="U39" s="664"/>
      <c r="V39" s="664"/>
      <c r="W39" s="664"/>
      <c r="X39" s="664"/>
      <c r="Y39" s="664"/>
      <c r="Z39" s="664"/>
    </row>
    <row r="40" spans="1:26" ht="23.25" customHeight="1" x14ac:dyDescent="0.25">
      <c r="A40" s="1565"/>
      <c r="B40" s="1613"/>
      <c r="C40" s="669" t="str" cm="1">
        <f t="array" ref="C40">INDEX('Master sheet'!$A$1:$A$670,MATCH(1,("0-25" = 'Master sheet'!$AO$1:$AO$670)*(4 = 'Master sheet'!$AP$1:$AP$670)*('Master sheet'!$AT$1:$AT$670),0))</f>
        <v xml:space="preserve">Concrete - 25 MPa, 30% FA, GU / SRMCA / Can. Sask Avg. / </v>
      </c>
      <c r="D40" s="15">
        <f>'USER INPUT SHEET'!$D$32</f>
        <v>0</v>
      </c>
      <c r="E40" s="16" t="str">
        <f>'USER INPUT SHEET'!$F$32</f>
        <v>m2</v>
      </c>
      <c r="F40" s="3">
        <v>1</v>
      </c>
      <c r="G40" s="670"/>
      <c r="H40" s="8"/>
      <c r="I40" s="92">
        <f t="shared" si="8"/>
        <v>0</v>
      </c>
      <c r="J40" s="93" t="str">
        <f t="shared" si="9"/>
        <v/>
      </c>
      <c r="K40" s="406">
        <f>$D40*$F40*IF($H$32=1,0.105,IF($H$33=1,0.098,IF($H$34=1,0.105,IF($H$35=1,0.098,0))))*VLOOKUP($C40,'Master sheet'!$A:$AL,13,FALSE)</f>
        <v>0</v>
      </c>
      <c r="L40" s="94">
        <v>0</v>
      </c>
      <c r="M40" s="1552"/>
      <c r="N40" s="1552"/>
      <c r="O40" s="25" t="str">
        <f ca="1">_xlfn.IFNA(VLOOKUP($C40,'Master sheet'!$A:$AR,44,FALSE),"")&amp;""</f>
        <v/>
      </c>
      <c r="P40" s="637"/>
      <c r="Q40" s="788" t="s">
        <v>59</v>
      </c>
      <c r="R40" s="788" t="s">
        <v>37</v>
      </c>
      <c r="S40" s="664"/>
      <c r="T40" s="664"/>
      <c r="U40" s="664"/>
      <c r="V40" s="664"/>
      <c r="W40" s="664"/>
      <c r="X40" s="664"/>
      <c r="Y40" s="664"/>
      <c r="Z40" s="664"/>
    </row>
    <row r="41" spans="1:26" ht="23.25" customHeight="1" x14ac:dyDescent="0.25">
      <c r="A41" s="1565"/>
      <c r="B41" s="1613"/>
      <c r="C41" s="669" t="str" cm="1">
        <f t="array" ref="C41">INDEX('Master sheet'!$A$1:$A$670,MATCH(1,("0-25" = 'Master sheet'!$AO$1:$AO$670)*(5 = 'Master sheet'!$AP$1:$AP$670)*('Master sheet'!$AT$1:$AT$670),0))</f>
        <v xml:space="preserve">Concrete - 25 MPa, 40% FA, GU / SRMCA / Can. Sask Avg. / </v>
      </c>
      <c r="D41" s="15">
        <f>'USER INPUT SHEET'!$D$32</f>
        <v>0</v>
      </c>
      <c r="E41" s="16" t="str">
        <f>'USER INPUT SHEET'!$F$32</f>
        <v>m2</v>
      </c>
      <c r="F41" s="3">
        <v>1</v>
      </c>
      <c r="G41" s="670"/>
      <c r="H41" s="8"/>
      <c r="I41" s="92">
        <f t="shared" si="8"/>
        <v>0</v>
      </c>
      <c r="J41" s="93" t="str">
        <f t="shared" si="9"/>
        <v/>
      </c>
      <c r="K41" s="406">
        <f>$D41*$F41*IF($H$32=1,0.105,IF($H$33=1,0.098,IF($H$34=1,0.105,IF($H$35=1,0.098,0))))*VLOOKUP($C41,'Master sheet'!$A:$AL,13,FALSE)</f>
        <v>0</v>
      </c>
      <c r="L41" s="94">
        <v>0</v>
      </c>
      <c r="M41" s="1552"/>
      <c r="N41" s="1552"/>
      <c r="O41" s="25" t="str">
        <f ca="1">_xlfn.IFNA(VLOOKUP($C41,'Master sheet'!$A:$AR,44,FALSE),"")&amp;""</f>
        <v/>
      </c>
      <c r="P41" s="637"/>
      <c r="Q41" s="788" t="s">
        <v>59</v>
      </c>
      <c r="R41" s="788" t="s">
        <v>37</v>
      </c>
      <c r="S41" s="664"/>
      <c r="T41" s="664"/>
      <c r="U41" s="664"/>
      <c r="V41" s="664"/>
      <c r="W41" s="664"/>
      <c r="X41" s="664"/>
      <c r="Y41" s="664"/>
      <c r="Z41" s="664"/>
    </row>
    <row r="42" spans="1:26" ht="22.8" hidden="1" x14ac:dyDescent="0.25">
      <c r="A42" s="1565"/>
      <c r="B42" s="1613"/>
      <c r="C42" s="669" t="e" cm="1">
        <f t="array" ref="C42">INDEX('Master sheet'!$A$1:$A$670,MATCH(1,("0-25" = 'Master sheet'!$AO$1:$AO$670)*(6 = 'Master sheet'!$AP$1:$AP$670)*('Master sheet'!$AT$1:$AT$670),0))</f>
        <v>#N/A</v>
      </c>
      <c r="D42" s="15">
        <f>'USER INPUT SHEET'!$D$32</f>
        <v>0</v>
      </c>
      <c r="E42" s="16" t="str">
        <f>'USER INPUT SHEET'!$F$32</f>
        <v>m2</v>
      </c>
      <c r="F42" s="3">
        <v>1</v>
      </c>
      <c r="G42" s="670"/>
      <c r="H42" s="8"/>
      <c r="I42" s="92" t="e">
        <f t="shared" ref="I42" si="10">K42-L42</f>
        <v>#N/A</v>
      </c>
      <c r="J42" s="93" t="str">
        <f t="shared" ref="J42" si="11">IF(H42=1,I42,"")</f>
        <v/>
      </c>
      <c r="K42" s="406" t="e">
        <f>$D42*$F42*IF($H$32=1,0.105,IF($H$33=1,0.098,IF($H$34=1,0.105,IF($H$35=1,0.098,0))))*VLOOKUP($C42,'Master sheet'!$A:$AL,13,FALSE)</f>
        <v>#N/A</v>
      </c>
      <c r="L42" s="94">
        <v>0</v>
      </c>
      <c r="M42" s="1552"/>
      <c r="N42" s="1552"/>
      <c r="O42" s="25" t="str">
        <f>_xlfn.IFNA(VLOOKUP($C42,'Master sheet'!$A:$AR,44,FALSE),"")&amp;""</f>
        <v/>
      </c>
      <c r="P42" s="637"/>
      <c r="Q42" s="788" t="s">
        <v>59</v>
      </c>
      <c r="R42" s="788" t="s">
        <v>37</v>
      </c>
      <c r="S42" s="664"/>
      <c r="T42" s="664"/>
      <c r="U42" s="664"/>
      <c r="V42" s="664"/>
      <c r="W42" s="664"/>
      <c r="X42" s="664"/>
      <c r="Y42" s="664"/>
      <c r="Z42" s="664"/>
    </row>
    <row r="43" spans="1:26" s="624" customFormat="1" ht="23.25" hidden="1" customHeight="1" x14ac:dyDescent="0.25">
      <c r="A43" s="1567"/>
      <c r="B43" s="1614"/>
      <c r="C43" s="673" t="e" cm="1">
        <f t="array" ref="C43">INDEX('Master sheet'!$A$1:$A$670,MATCH(1,("0-25" = 'Master sheet'!$AO$1:$AO$670)*(7 = 'Master sheet'!$AP$1:$AP$670)*('Master sheet'!$AT$1:$AT$670),0))</f>
        <v>#N/A</v>
      </c>
      <c r="D43" s="17">
        <f>'USER INPUT SHEET'!$D$32</f>
        <v>0</v>
      </c>
      <c r="E43" s="18" t="str">
        <f>'USER INPUT SHEET'!$F$32</f>
        <v>m2</v>
      </c>
      <c r="F43" s="4">
        <v>1</v>
      </c>
      <c r="G43" s="674"/>
      <c r="H43" s="9"/>
      <c r="I43" s="95" t="e">
        <f>K43-L43</f>
        <v>#N/A</v>
      </c>
      <c r="J43" s="96" t="str">
        <f t="shared" si="9"/>
        <v/>
      </c>
      <c r="K43" s="407" t="e">
        <f>$D43*$F43*IF($H$32=1,0.105,IF($H$33=1,0.098,IF($H$34=1,0.105,IF($H$35=1,0.098,0))))*VLOOKUP($C43,'Master sheet'!$A:$AL,13,FALSE)</f>
        <v>#N/A</v>
      </c>
      <c r="L43" s="97">
        <v>0</v>
      </c>
      <c r="M43" s="1552"/>
      <c r="N43" s="1552"/>
      <c r="O43" s="25" t="str">
        <f>_xlfn.IFNA(VLOOKUP($C43,'Master sheet'!$A:$AR,44,FALSE),"")&amp;""</f>
        <v/>
      </c>
      <c r="P43" s="637"/>
      <c r="Q43" s="790" t="s">
        <v>59</v>
      </c>
      <c r="R43" s="790" t="s">
        <v>37</v>
      </c>
      <c r="S43" s="638"/>
      <c r="T43" s="638"/>
      <c r="U43" s="638"/>
      <c r="V43" s="638"/>
      <c r="W43" s="638"/>
      <c r="X43" s="638"/>
      <c r="Y43" s="638"/>
      <c r="Z43" s="638"/>
    </row>
    <row r="44" spans="1:26" ht="23.85" customHeight="1" x14ac:dyDescent="0.25">
      <c r="A44" s="639"/>
      <c r="B44" s="1524" t="s">
        <v>1350</v>
      </c>
      <c r="C44" s="1524"/>
      <c r="D44" s="656"/>
      <c r="E44" s="641"/>
      <c r="F44" s="322"/>
      <c r="G44" s="657"/>
      <c r="H44" s="657"/>
      <c r="I44" s="658"/>
      <c r="J44" s="659"/>
      <c r="K44" s="660"/>
      <c r="L44" s="661"/>
      <c r="M44" s="677"/>
      <c r="N44" s="677"/>
      <c r="O44" s="25" t="str">
        <f>_xlfn.IFNA(VLOOKUP($C44,'Master sheet'!$A:$AR,44,FALSE),"")&amp;""</f>
        <v/>
      </c>
      <c r="P44" s="663"/>
      <c r="Q44" s="30"/>
      <c r="R44" s="21"/>
      <c r="S44" s="664"/>
      <c r="T44" s="664"/>
      <c r="U44" s="664"/>
      <c r="V44" s="664"/>
      <c r="W44" s="664"/>
      <c r="X44" s="664"/>
      <c r="Y44" s="664"/>
      <c r="Z44" s="664"/>
    </row>
    <row r="45" spans="1:26" ht="31.5" customHeight="1" x14ac:dyDescent="0.25">
      <c r="A45" s="1525" t="s">
        <v>786</v>
      </c>
      <c r="B45" s="1525"/>
      <c r="C45" s="667" t="str" cm="1">
        <f t="array" ref="C45">INDEX('Master sheet'!$A$1:$A$670,MATCH(1,("26-30" = 'Master sheet'!$AO$1:$AO$670)*(1 = 'Master sheet'!$AP$1:$AP$670)*('Master sheet'!$AT$1:$AT$670),0))</f>
        <v xml:space="preserve">Concrete - 30 MPa, GU / SRMCA / Can. Sask Avg. / </v>
      </c>
      <c r="D45" s="230">
        <f>'USER INPUT SHEET'!$D$32</f>
        <v>0</v>
      </c>
      <c r="E45" s="14" t="str">
        <f>'USER INPUT SHEET'!$F$32</f>
        <v>m2</v>
      </c>
      <c r="F45" s="5">
        <v>1</v>
      </c>
      <c r="G45" s="668"/>
      <c r="H45" s="10"/>
      <c r="I45" s="232">
        <f t="shared" ref="I45:I51" si="12">K45-L45</f>
        <v>0</v>
      </c>
      <c r="J45" s="233" t="str">
        <f t="shared" ref="J45:J51" si="13">IF(H45=1,I45,"")</f>
        <v/>
      </c>
      <c r="K45" s="416">
        <f>$D45*$F45*IF($H$32=1,0.105,IF($H$33=1,0.098,IF($H$34=1,0.105,IF($H$35=1,0.098,0))))*VLOOKUP($C45,'Master sheet'!$A:$AL,13,FALSE)</f>
        <v>0</v>
      </c>
      <c r="L45" s="239">
        <v>0</v>
      </c>
      <c r="M45" s="1552"/>
      <c r="N45" s="1552"/>
      <c r="O45" s="25" t="str">
        <f ca="1">_xlfn.IFNA(VLOOKUP($C45,'Master sheet'!$A:$AR,44,FALSE),"")&amp;""</f>
        <v/>
      </c>
      <c r="P45" s="637"/>
      <c r="Q45" s="788" t="s">
        <v>59</v>
      </c>
      <c r="R45" s="788" t="s">
        <v>37</v>
      </c>
      <c r="S45" s="664"/>
      <c r="T45" s="664"/>
      <c r="U45" s="664"/>
      <c r="V45" s="664"/>
      <c r="W45" s="664"/>
      <c r="X45" s="664"/>
      <c r="Y45" s="664"/>
      <c r="Z45" s="664"/>
    </row>
    <row r="46" spans="1:26" ht="23.25" customHeight="1" x14ac:dyDescent="0.25">
      <c r="A46" s="1525"/>
      <c r="B46" s="1525"/>
      <c r="C46" s="669" t="str" cm="1">
        <f t="array" ref="C46">INDEX('Master sheet'!$A$1:$A$670,MATCH(1,("26-30" = 'Master sheet'!$AO$1:$AO$670)*(2 = 'Master sheet'!$AP$1:$AP$670)*('Master sheet'!$AT$1:$AT$670),0))</f>
        <v xml:space="preserve">Concrete - 30 MPa, 10% FA, GU / SRMCA / Can. Sask Avg. / </v>
      </c>
      <c r="D46" s="15">
        <f>'USER INPUT SHEET'!$D$32</f>
        <v>0</v>
      </c>
      <c r="E46" s="16" t="str">
        <f>'USER INPUT SHEET'!$F$32</f>
        <v>m2</v>
      </c>
      <c r="F46" s="3">
        <v>1</v>
      </c>
      <c r="G46" s="670"/>
      <c r="H46" s="8"/>
      <c r="I46" s="92">
        <f t="shared" si="12"/>
        <v>0</v>
      </c>
      <c r="J46" s="93" t="str">
        <f t="shared" si="13"/>
        <v/>
      </c>
      <c r="K46" s="406">
        <f>$D46*$F46*IF($H$32=1,0.105,IF($H$33=1,0.098,IF($H$34=1,0.105,IF($H$35=1,0.098,0))))*VLOOKUP($C46,'Master sheet'!$A:$AL,13,FALSE)</f>
        <v>0</v>
      </c>
      <c r="L46" s="94">
        <v>0</v>
      </c>
      <c r="M46" s="1552"/>
      <c r="N46" s="1552"/>
      <c r="O46" s="25" t="str">
        <f ca="1">_xlfn.IFNA(VLOOKUP($C46,'Master sheet'!$A:$AR,44,FALSE),"")&amp;""</f>
        <v/>
      </c>
      <c r="P46" s="671"/>
      <c r="Q46" s="788" t="s">
        <v>59</v>
      </c>
      <c r="R46" s="788" t="s">
        <v>37</v>
      </c>
      <c r="S46" s="664"/>
      <c r="T46" s="664"/>
      <c r="U46" s="664"/>
      <c r="V46" s="664"/>
      <c r="W46" s="664"/>
      <c r="X46" s="664"/>
      <c r="Y46" s="664"/>
      <c r="Z46" s="664"/>
    </row>
    <row r="47" spans="1:26" ht="23.25" customHeight="1" x14ac:dyDescent="0.25">
      <c r="A47" s="1525"/>
      <c r="B47" s="1525"/>
      <c r="C47" s="669" t="str" cm="1">
        <f t="array" ref="C47">INDEX('Master sheet'!$A$1:$A$670,MATCH(1,("26-30" = 'Master sheet'!$AO$1:$AO$670)*(3 = 'Master sheet'!$AP$1:$AP$670)*('Master sheet'!$AT$1:$AT$670),0))</f>
        <v xml:space="preserve">Concrete - 30 MPa, 20% FA, GU / SRMCA / Can. Sask Avg. / </v>
      </c>
      <c r="D47" s="15">
        <f>'USER INPUT SHEET'!$D$32</f>
        <v>0</v>
      </c>
      <c r="E47" s="16" t="str">
        <f>'USER INPUT SHEET'!$F$32</f>
        <v>m2</v>
      </c>
      <c r="F47" s="3">
        <v>1</v>
      </c>
      <c r="G47" s="670"/>
      <c r="H47" s="8"/>
      <c r="I47" s="92">
        <f t="shared" si="12"/>
        <v>0</v>
      </c>
      <c r="J47" s="93" t="str">
        <f t="shared" si="13"/>
        <v/>
      </c>
      <c r="K47" s="406">
        <f>$D47*$F47*IF($H$32=1,0.105,IF($H$33=1,0.098,IF($H$34=1,0.105,IF($H$35=1,0.098,0))))*VLOOKUP($C47,'Master sheet'!$A:$AL,13,FALSE)</f>
        <v>0</v>
      </c>
      <c r="L47" s="94">
        <v>0</v>
      </c>
      <c r="M47" s="1552"/>
      <c r="N47" s="1552"/>
      <c r="O47" s="25" t="str">
        <f ca="1">_xlfn.IFNA(VLOOKUP($C47,'Master sheet'!$A:$AR,44,FALSE),"")&amp;""</f>
        <v/>
      </c>
      <c r="P47" s="672"/>
      <c r="Q47" s="788" t="s">
        <v>59</v>
      </c>
      <c r="R47" s="788" t="s">
        <v>37</v>
      </c>
      <c r="S47" s="664"/>
      <c r="T47" s="664"/>
      <c r="U47" s="664"/>
      <c r="V47" s="664"/>
      <c r="W47" s="664"/>
      <c r="X47" s="664"/>
      <c r="Y47" s="664"/>
      <c r="Z47" s="664"/>
    </row>
    <row r="48" spans="1:26" ht="23.25" customHeight="1" x14ac:dyDescent="0.25">
      <c r="A48" s="1525"/>
      <c r="B48" s="1525"/>
      <c r="C48" s="669" t="str" cm="1">
        <f t="array" ref="C48">INDEX('Master sheet'!$A$1:$A$670,MATCH(1,("26-30" = 'Master sheet'!$AO$1:$AO$670)*(4 = 'Master sheet'!$AP$1:$AP$670)*('Master sheet'!$AT$1:$AT$670),0))</f>
        <v xml:space="preserve">Concrete - 30 MPa, 30% FA, GU / SRMCA / Can. Sask Avg. / </v>
      </c>
      <c r="D48" s="15">
        <f>'USER INPUT SHEET'!$D$32</f>
        <v>0</v>
      </c>
      <c r="E48" s="16" t="str">
        <f>'USER INPUT SHEET'!$F$32</f>
        <v>m2</v>
      </c>
      <c r="F48" s="3">
        <v>1</v>
      </c>
      <c r="G48" s="670"/>
      <c r="H48" s="8"/>
      <c r="I48" s="92">
        <f t="shared" si="12"/>
        <v>0</v>
      </c>
      <c r="J48" s="93" t="str">
        <f t="shared" si="13"/>
        <v/>
      </c>
      <c r="K48" s="406">
        <f>$D48*$F48*IF($H$32=1,0.105,IF($H$33=1,0.098,IF($H$34=1,0.105,IF($H$35=1,0.098,0))))*VLOOKUP($C48,'Master sheet'!$A:$AL,13,FALSE)</f>
        <v>0</v>
      </c>
      <c r="L48" s="94">
        <v>0</v>
      </c>
      <c r="M48" s="1552"/>
      <c r="N48" s="1552"/>
      <c r="O48" s="25" t="str">
        <f ca="1">_xlfn.IFNA(VLOOKUP($C48,'Master sheet'!$A:$AR,44,FALSE),"")&amp;""</f>
        <v/>
      </c>
      <c r="P48" s="672"/>
      <c r="Q48" s="788" t="s">
        <v>59</v>
      </c>
      <c r="R48" s="788" t="s">
        <v>37</v>
      </c>
      <c r="S48" s="664"/>
      <c r="T48" s="664"/>
      <c r="U48" s="664"/>
      <c r="V48" s="664"/>
      <c r="W48" s="664"/>
      <c r="X48" s="664"/>
      <c r="Y48" s="664"/>
      <c r="Z48" s="664"/>
    </row>
    <row r="49" spans="1:26" ht="23.25" customHeight="1" x14ac:dyDescent="0.25">
      <c r="A49" s="1525"/>
      <c r="B49" s="1525"/>
      <c r="C49" s="669" t="str" cm="1">
        <f t="array" ref="C49">INDEX('Master sheet'!$A$1:$A$670,MATCH(1,("26-30" = 'Master sheet'!$AO$1:$AO$670)*(5 = 'Master sheet'!$AP$1:$AP$670)*('Master sheet'!$AT$1:$AT$670),0))</f>
        <v xml:space="preserve">Concrete - 30 MPa, 40% FA, GU / SRMCA / Can. Sask Avg. / </v>
      </c>
      <c r="D49" s="15">
        <f>'USER INPUT SHEET'!$D$32</f>
        <v>0</v>
      </c>
      <c r="E49" s="16" t="str">
        <f>'USER INPUT SHEET'!$F$32</f>
        <v>m2</v>
      </c>
      <c r="F49" s="3">
        <v>1</v>
      </c>
      <c r="G49" s="670"/>
      <c r="H49" s="8"/>
      <c r="I49" s="92">
        <f t="shared" si="12"/>
        <v>0</v>
      </c>
      <c r="J49" s="93" t="str">
        <f t="shared" si="13"/>
        <v/>
      </c>
      <c r="K49" s="406">
        <f>$D49*$F49*IF($H$32=1,0.105,IF($H$33=1,0.098,IF($H$34=1,0.105,IF($H$35=1,0.098,0))))*VLOOKUP($C49,'Master sheet'!$A:$AL,13,FALSE)</f>
        <v>0</v>
      </c>
      <c r="L49" s="94">
        <v>0</v>
      </c>
      <c r="M49" s="1562"/>
      <c r="N49" s="1562"/>
      <c r="O49" s="25" t="str">
        <f ca="1">_xlfn.IFNA(VLOOKUP($C49,'Master sheet'!$A:$AR,44,FALSE),"")&amp;""</f>
        <v/>
      </c>
      <c r="P49" s="672"/>
      <c r="Q49" s="788" t="s">
        <v>59</v>
      </c>
      <c r="R49" s="788" t="s">
        <v>37</v>
      </c>
      <c r="S49" s="664"/>
      <c r="T49" s="664"/>
      <c r="U49" s="664"/>
      <c r="V49" s="664"/>
      <c r="W49" s="664"/>
      <c r="X49" s="664"/>
      <c r="Y49" s="664"/>
      <c r="Z49" s="664"/>
    </row>
    <row r="50" spans="1:26" ht="23.25" hidden="1" customHeight="1" x14ac:dyDescent="0.25">
      <c r="A50" s="1525"/>
      <c r="B50" s="1525"/>
      <c r="C50" s="669" t="e" cm="1">
        <f t="array" ref="C50">INDEX('Master sheet'!$A$1:$A$670,MATCH(1,("26-30" = 'Master sheet'!$AO$1:$AO$670)*(6 = 'Master sheet'!$AP$1:$AP$670)*('Master sheet'!$AT$1:$AT$670),0))</f>
        <v>#N/A</v>
      </c>
      <c r="D50" s="15">
        <f>'USER INPUT SHEET'!$D$32</f>
        <v>0</v>
      </c>
      <c r="E50" s="16" t="str">
        <f>'USER INPUT SHEET'!$F$32</f>
        <v>m2</v>
      </c>
      <c r="F50" s="3">
        <v>1</v>
      </c>
      <c r="G50" s="670"/>
      <c r="H50" s="8"/>
      <c r="I50" s="92" t="e">
        <f t="shared" si="12"/>
        <v>#N/A</v>
      </c>
      <c r="J50" s="93" t="str">
        <f t="shared" si="13"/>
        <v/>
      </c>
      <c r="K50" s="406" t="e">
        <f>$D50*$F50*IF($H$32=1,0.105,IF($H$33=1,0.098,IF($H$34=1,0.105,IF($H$35=1,0.098,0))))*VLOOKUP($C50,'Master sheet'!$A:$AL,13,FALSE)</f>
        <v>#N/A</v>
      </c>
      <c r="L50" s="94">
        <v>0</v>
      </c>
      <c r="M50" s="1562"/>
      <c r="N50" s="1562"/>
      <c r="O50" s="25" t="str">
        <f>_xlfn.IFNA(VLOOKUP($C50,'Master sheet'!$A:$AR,44,FALSE),"")&amp;""</f>
        <v/>
      </c>
      <c r="P50" s="672"/>
      <c r="Q50" s="788" t="s">
        <v>59</v>
      </c>
      <c r="R50" s="788" t="s">
        <v>37</v>
      </c>
      <c r="S50" s="664"/>
      <c r="T50" s="664"/>
      <c r="U50" s="664"/>
      <c r="V50" s="664"/>
      <c r="W50" s="664"/>
      <c r="X50" s="664"/>
      <c r="Y50" s="664"/>
      <c r="Z50" s="664"/>
    </row>
    <row r="51" spans="1:26" s="624" customFormat="1" ht="23.25" hidden="1" customHeight="1" x14ac:dyDescent="0.25">
      <c r="A51" s="1525"/>
      <c r="B51" s="1525"/>
      <c r="C51" s="673" t="e" cm="1">
        <f t="array" ref="C51">INDEX('Master sheet'!$A$1:$A$670,MATCH(1,("26-30" = 'Master sheet'!$AO$1:$AO$670)*(7 = 'Master sheet'!$AP$1:$AP$670)*('Master sheet'!$AT$1:$AT$670),0))</f>
        <v>#N/A</v>
      </c>
      <c r="D51" s="17">
        <f>'USER INPUT SHEET'!$D$32</f>
        <v>0</v>
      </c>
      <c r="E51" s="18" t="str">
        <f>'USER INPUT SHEET'!$F$32</f>
        <v>m2</v>
      </c>
      <c r="F51" s="4">
        <v>1</v>
      </c>
      <c r="G51" s="674"/>
      <c r="H51" s="9"/>
      <c r="I51" s="95" t="e">
        <f t="shared" si="12"/>
        <v>#N/A</v>
      </c>
      <c r="J51" s="96" t="str">
        <f t="shared" si="13"/>
        <v/>
      </c>
      <c r="K51" s="407" t="e">
        <f>$D51*$F51*IF($H$32=1,0.105,IF($H$33=1,0.098,IF($H$34=1,0.105,IF($H$35=1,0.098,0))))*VLOOKUP($C51,'Master sheet'!$A:$AL,13,FALSE)</f>
        <v>#N/A</v>
      </c>
      <c r="L51" s="97">
        <v>0</v>
      </c>
      <c r="M51" s="1562"/>
      <c r="N51" s="1562"/>
      <c r="O51" s="25" t="str">
        <f>_xlfn.IFNA(VLOOKUP($C51,'Master sheet'!$A:$AR,44,FALSE),"")&amp;""</f>
        <v/>
      </c>
      <c r="P51" s="637"/>
      <c r="Q51" s="722" t="s">
        <v>32</v>
      </c>
      <c r="R51" s="790" t="s">
        <v>37</v>
      </c>
      <c r="S51" s="638"/>
      <c r="T51" s="638"/>
      <c r="U51" s="638"/>
      <c r="V51" s="638"/>
      <c r="W51" s="638"/>
      <c r="X51" s="638"/>
      <c r="Y51" s="638"/>
      <c r="Z51" s="638"/>
    </row>
    <row r="52" spans="1:26" ht="23.85" customHeight="1" x14ac:dyDescent="0.25">
      <c r="A52" s="639"/>
      <c r="B52" s="1524" t="s">
        <v>1351</v>
      </c>
      <c r="C52" s="1524"/>
      <c r="D52" s="656"/>
      <c r="E52" s="641"/>
      <c r="F52" s="322"/>
      <c r="G52" s="657"/>
      <c r="H52" s="657"/>
      <c r="I52" s="658"/>
      <c r="J52" s="659"/>
      <c r="K52" s="660"/>
      <c r="L52" s="661"/>
      <c r="M52" s="677"/>
      <c r="N52" s="677"/>
      <c r="O52" s="25" t="str">
        <f>_xlfn.IFNA(VLOOKUP($C52,'Master sheet'!$A:$AR,44,FALSE),"")&amp;""</f>
        <v/>
      </c>
      <c r="P52" s="663"/>
      <c r="Q52" s="30"/>
      <c r="R52" s="21"/>
      <c r="S52" s="664"/>
      <c r="T52" s="664"/>
      <c r="U52" s="664"/>
      <c r="V52" s="664"/>
      <c r="W52" s="664"/>
      <c r="X52" s="664"/>
      <c r="Y52" s="664"/>
      <c r="Z52" s="664"/>
    </row>
    <row r="53" spans="1:26" ht="31.5" customHeight="1" x14ac:dyDescent="0.25">
      <c r="A53" s="1525" t="s">
        <v>786</v>
      </c>
      <c r="B53" s="1525"/>
      <c r="C53" s="667" t="str" cm="1">
        <f t="array" ref="C53">INDEX('Master sheet'!$A$1:$A$670,MATCH(1,("31-35" = 'Master sheet'!$AO$1:$AO$670)*(1 = 'Master sheet'!$AP$1:$AP$670)*('Master sheet'!$AT$1:$AT$670),0))</f>
        <v xml:space="preserve">Concrete - 35 MPa, GU / SRMCA / Can. Sask Avg. / </v>
      </c>
      <c r="D53" s="230">
        <f>'USER INPUT SHEET'!$D$32</f>
        <v>0</v>
      </c>
      <c r="E53" s="14" t="str">
        <f>'USER INPUT SHEET'!$F$32</f>
        <v>m2</v>
      </c>
      <c r="F53" s="5">
        <v>1</v>
      </c>
      <c r="G53" s="668"/>
      <c r="H53" s="10"/>
      <c r="I53" s="232">
        <f t="shared" ref="I53:I59" si="14">K53-L53</f>
        <v>0</v>
      </c>
      <c r="J53" s="233" t="str">
        <f t="shared" ref="J53:J59" si="15">IF(H53=1,I53,"")</f>
        <v/>
      </c>
      <c r="K53" s="416">
        <f>$D53*$F53*IF($H$32=1,0.105,IF($H$33=1,0.098,IF($H$34=1,0.105,IF($H$35=1,0.098,0))))*VLOOKUP($C53,'Master sheet'!$A:$AL,13,FALSE)</f>
        <v>0</v>
      </c>
      <c r="L53" s="239">
        <v>0</v>
      </c>
      <c r="M53" s="1552"/>
      <c r="N53" s="1552"/>
      <c r="O53" s="25" t="str">
        <f ca="1">_xlfn.IFNA(VLOOKUP($C53,'Master sheet'!$A:$AR,44,FALSE),"")&amp;""</f>
        <v/>
      </c>
      <c r="P53" s="637"/>
      <c r="Q53" s="788" t="s">
        <v>59</v>
      </c>
      <c r="R53" s="788" t="s">
        <v>37</v>
      </c>
      <c r="S53" s="664"/>
      <c r="T53" s="664"/>
      <c r="U53" s="664"/>
      <c r="V53" s="664"/>
      <c r="W53" s="664"/>
      <c r="X53" s="664"/>
      <c r="Y53" s="664"/>
      <c r="Z53" s="664"/>
    </row>
    <row r="54" spans="1:26" ht="23.25" customHeight="1" x14ac:dyDescent="0.25">
      <c r="A54" s="1525"/>
      <c r="B54" s="1525"/>
      <c r="C54" s="669" t="str" cm="1">
        <f t="array" ref="C54">INDEX('Master sheet'!$A$1:$A$670,MATCH(1,("31-35" = 'Master sheet'!$AO$1:$AO$670)*(2 = 'Master sheet'!$AP$1:$AP$670)*('Master sheet'!$AT$1:$AT$670),0))</f>
        <v xml:space="preserve">Concrete - 35 MPa, 10% FA, GU / SRMCA / Can. Sask Avg. / </v>
      </c>
      <c r="D54" s="15">
        <f>'USER INPUT SHEET'!$D$32</f>
        <v>0</v>
      </c>
      <c r="E54" s="16" t="str">
        <f>'USER INPUT SHEET'!$F$32</f>
        <v>m2</v>
      </c>
      <c r="F54" s="3">
        <v>1</v>
      </c>
      <c r="G54" s="670"/>
      <c r="H54" s="8"/>
      <c r="I54" s="92">
        <f t="shared" si="14"/>
        <v>0</v>
      </c>
      <c r="J54" s="93" t="str">
        <f t="shared" si="15"/>
        <v/>
      </c>
      <c r="K54" s="406">
        <f>$D54*$F54*IF($H$32=1,0.105,IF($H$33=1,0.098,IF($H$34=1,0.105,IF($H$35=1,0.098,0))))*VLOOKUP($C54,'Master sheet'!$A:$AL,13,FALSE)</f>
        <v>0</v>
      </c>
      <c r="L54" s="94">
        <v>0</v>
      </c>
      <c r="M54" s="1552"/>
      <c r="N54" s="1552"/>
      <c r="O54" s="25" t="str">
        <f ca="1">_xlfn.IFNA(VLOOKUP($C54,'Master sheet'!$A:$AR,44,FALSE),"")&amp;""</f>
        <v/>
      </c>
      <c r="P54" s="671"/>
      <c r="Q54" s="788" t="s">
        <v>59</v>
      </c>
      <c r="R54" s="788" t="s">
        <v>37</v>
      </c>
      <c r="S54" s="664"/>
      <c r="T54" s="664"/>
      <c r="U54" s="664"/>
      <c r="V54" s="664"/>
      <c r="W54" s="664"/>
      <c r="X54" s="664"/>
      <c r="Y54" s="664"/>
      <c r="Z54" s="664"/>
    </row>
    <row r="55" spans="1:26" ht="23.25" customHeight="1" x14ac:dyDescent="0.25">
      <c r="A55" s="1525"/>
      <c r="B55" s="1525"/>
      <c r="C55" s="669" t="str" cm="1">
        <f t="array" ref="C55">INDEX('Master sheet'!$A$1:$A$670,MATCH(1,("31-35" = 'Master sheet'!$AO$1:$AO$670)*(3 = 'Master sheet'!$AP$1:$AP$670)*('Master sheet'!$AT$1:$AT$670),0))</f>
        <v xml:space="preserve">Concrete - 35 MPa, 20% FA, GU / SRMCA / Can. Sask Avg. / </v>
      </c>
      <c r="D55" s="15">
        <f>'USER INPUT SHEET'!$D$32</f>
        <v>0</v>
      </c>
      <c r="E55" s="16" t="str">
        <f>'USER INPUT SHEET'!$F$32</f>
        <v>m2</v>
      </c>
      <c r="F55" s="3">
        <v>1</v>
      </c>
      <c r="G55" s="670"/>
      <c r="H55" s="8"/>
      <c r="I55" s="92">
        <f t="shared" si="14"/>
        <v>0</v>
      </c>
      <c r="J55" s="93" t="str">
        <f t="shared" si="15"/>
        <v/>
      </c>
      <c r="K55" s="406">
        <f>$D55*$F55*IF($H$32=1,0.105,IF($H$33=1,0.098,IF($H$34=1,0.105,IF($H$35=1,0.098,0))))*VLOOKUP($C55,'Master sheet'!$A:$AL,13,FALSE)</f>
        <v>0</v>
      </c>
      <c r="L55" s="94">
        <v>0</v>
      </c>
      <c r="M55" s="1552"/>
      <c r="N55" s="1552"/>
      <c r="O55" s="25" t="str">
        <f ca="1">_xlfn.IFNA(VLOOKUP($C55,'Master sheet'!$A:$AR,44,FALSE),"")&amp;""</f>
        <v/>
      </c>
      <c r="P55" s="672"/>
      <c r="Q55" s="788" t="s">
        <v>59</v>
      </c>
      <c r="R55" s="788" t="s">
        <v>37</v>
      </c>
      <c r="S55" s="664"/>
      <c r="T55" s="664"/>
      <c r="U55" s="664"/>
      <c r="V55" s="664"/>
      <c r="W55" s="664"/>
      <c r="X55" s="664"/>
      <c r="Y55" s="664"/>
      <c r="Z55" s="664"/>
    </row>
    <row r="56" spans="1:26" ht="23.25" customHeight="1" x14ac:dyDescent="0.25">
      <c r="A56" s="1525"/>
      <c r="B56" s="1525"/>
      <c r="C56" s="669" t="str" cm="1">
        <f t="array" ref="C56">INDEX('Master sheet'!$A$1:$A$670,MATCH(1,("31-35" = 'Master sheet'!$AO$1:$AO$670)*(4 = 'Master sheet'!$AP$1:$AP$670)*('Master sheet'!$AT$1:$AT$670),0))</f>
        <v xml:space="preserve">Concrete - 35 MPa, 30% FA, GU / SRMCA / Can. Sask Avg. / </v>
      </c>
      <c r="D56" s="15">
        <f>'USER INPUT SHEET'!$D$32</f>
        <v>0</v>
      </c>
      <c r="E56" s="16" t="str">
        <f>'USER INPUT SHEET'!$F$32</f>
        <v>m2</v>
      </c>
      <c r="F56" s="3">
        <v>1</v>
      </c>
      <c r="G56" s="670"/>
      <c r="H56" s="8"/>
      <c r="I56" s="92">
        <f t="shared" si="14"/>
        <v>0</v>
      </c>
      <c r="J56" s="93" t="str">
        <f t="shared" si="15"/>
        <v/>
      </c>
      <c r="K56" s="406">
        <f>$D56*$F56*IF($H$32=1,0.105,IF($H$33=1,0.098,IF($H$34=1,0.105,IF($H$35=1,0.098,0))))*VLOOKUP($C56,'Master sheet'!$A:$AL,13,FALSE)</f>
        <v>0</v>
      </c>
      <c r="L56" s="94">
        <v>0</v>
      </c>
      <c r="M56" s="1552"/>
      <c r="N56" s="1552"/>
      <c r="O56" s="25" t="str">
        <f ca="1">_xlfn.IFNA(VLOOKUP($C56,'Master sheet'!$A:$AR,44,FALSE),"")&amp;""</f>
        <v/>
      </c>
      <c r="P56" s="672"/>
      <c r="Q56" s="788" t="s">
        <v>59</v>
      </c>
      <c r="R56" s="788" t="s">
        <v>37</v>
      </c>
      <c r="S56" s="664"/>
      <c r="T56" s="664"/>
      <c r="U56" s="664"/>
      <c r="V56" s="664"/>
      <c r="W56" s="664"/>
      <c r="X56" s="664"/>
      <c r="Y56" s="664"/>
      <c r="Z56" s="664"/>
    </row>
    <row r="57" spans="1:26" ht="23.25" customHeight="1" x14ac:dyDescent="0.25">
      <c r="A57" s="1525"/>
      <c r="B57" s="1525"/>
      <c r="C57" s="669" t="str" cm="1">
        <f t="array" ref="C57">INDEX('Master sheet'!$A$1:$A$670,MATCH(1,("31-35" = 'Master sheet'!$AO$1:$AO$670)*(5 = 'Master sheet'!$AP$1:$AP$670)*('Master sheet'!$AT$1:$AT$670),0))</f>
        <v xml:space="preserve">Concrete - 35 MPa, 40% FA, GU / SRMCA / Can. Sask Avg. / </v>
      </c>
      <c r="D57" s="15">
        <f>'USER INPUT SHEET'!$D$32</f>
        <v>0</v>
      </c>
      <c r="E57" s="16" t="str">
        <f>'USER INPUT SHEET'!$F$32</f>
        <v>m2</v>
      </c>
      <c r="F57" s="3">
        <v>1</v>
      </c>
      <c r="G57" s="670"/>
      <c r="H57" s="8"/>
      <c r="I57" s="92">
        <f t="shared" si="14"/>
        <v>0</v>
      </c>
      <c r="J57" s="93" t="str">
        <f t="shared" si="15"/>
        <v/>
      </c>
      <c r="K57" s="406">
        <f>$D57*$F57*IF($H$32=1,0.105,IF($H$33=1,0.098,IF($H$34=1,0.105,IF($H$35=1,0.098,0))))*VLOOKUP($C57,'Master sheet'!$A:$AL,13,FALSE)</f>
        <v>0</v>
      </c>
      <c r="L57" s="94">
        <v>0</v>
      </c>
      <c r="M57" s="1552"/>
      <c r="N57" s="1552"/>
      <c r="O57" s="25" t="str">
        <f ca="1">_xlfn.IFNA(VLOOKUP($C57,'Master sheet'!$A:$AR,44,FALSE),"")&amp;""</f>
        <v/>
      </c>
      <c r="P57" s="672"/>
      <c r="Q57" s="788" t="s">
        <v>59</v>
      </c>
      <c r="R57" s="788" t="s">
        <v>37</v>
      </c>
      <c r="S57" s="664"/>
      <c r="T57" s="664"/>
      <c r="U57" s="664"/>
      <c r="V57" s="664"/>
      <c r="W57" s="664"/>
      <c r="X57" s="664"/>
      <c r="Y57" s="664"/>
      <c r="Z57" s="664"/>
    </row>
    <row r="58" spans="1:26" ht="23.25" hidden="1" customHeight="1" x14ac:dyDescent="0.25">
      <c r="A58" s="1525"/>
      <c r="B58" s="1525"/>
      <c r="C58" s="669" t="e" cm="1">
        <f t="array" ref="C58">INDEX('Master sheet'!$A$1:$A$670,MATCH(1,("31-35" = 'Master sheet'!$AO$1:$AO$670)*(6 = 'Master sheet'!$AP$1:$AP$670)*('Master sheet'!$AT$1:$AT$670),0))</f>
        <v>#N/A</v>
      </c>
      <c r="D58" s="15">
        <f>'USER INPUT SHEET'!$D$32</f>
        <v>0</v>
      </c>
      <c r="E58" s="16" t="str">
        <f>'USER INPUT SHEET'!$F$32</f>
        <v>m2</v>
      </c>
      <c r="F58" s="3">
        <v>1</v>
      </c>
      <c r="G58" s="670"/>
      <c r="H58" s="8"/>
      <c r="I58" s="92" t="e">
        <f t="shared" si="14"/>
        <v>#N/A</v>
      </c>
      <c r="J58" s="93" t="str">
        <f t="shared" si="15"/>
        <v/>
      </c>
      <c r="K58" s="406" t="e">
        <f>$D58*$F58*IF($H$32=1,0.105,IF($H$33=1,0.098,IF($H$34=1,0.105,IF($H$35=1,0.098,0))))*VLOOKUP($C58,'Master sheet'!$A:$AL,13,FALSE)</f>
        <v>#N/A</v>
      </c>
      <c r="L58" s="94">
        <v>0</v>
      </c>
      <c r="M58" s="1552"/>
      <c r="N58" s="1552"/>
      <c r="O58" s="25" t="str">
        <f>_xlfn.IFNA(VLOOKUP($C58,'Master sheet'!$A:$AR,44,FALSE),"")&amp;""</f>
        <v/>
      </c>
      <c r="P58" s="672"/>
      <c r="Q58" s="788" t="s">
        <v>59</v>
      </c>
      <c r="R58" s="788" t="s">
        <v>37</v>
      </c>
      <c r="S58" s="664"/>
      <c r="T58" s="664"/>
      <c r="U58" s="664"/>
      <c r="V58" s="664"/>
      <c r="W58" s="664"/>
      <c r="X58" s="664"/>
      <c r="Y58" s="664"/>
      <c r="Z58" s="664"/>
    </row>
    <row r="59" spans="1:26" s="624" customFormat="1" ht="23.25" hidden="1" customHeight="1" x14ac:dyDescent="0.25">
      <c r="A59" s="1544"/>
      <c r="B59" s="1544"/>
      <c r="C59" s="673" t="e" cm="1">
        <f t="array" ref="C59">INDEX('Master sheet'!$A$1:$A$670,MATCH(1,("31-35" = 'Master sheet'!$AO$1:$AO$670)*(7 = 'Master sheet'!$AP$1:$AP$670)*('Master sheet'!$AT$1:$AT$670),0))</f>
        <v>#N/A</v>
      </c>
      <c r="D59" s="17">
        <f>'USER INPUT SHEET'!$D$32</f>
        <v>0</v>
      </c>
      <c r="E59" s="16" t="str">
        <f>'USER INPUT SHEET'!$F$32</f>
        <v>m2</v>
      </c>
      <c r="F59" s="4">
        <v>1</v>
      </c>
      <c r="G59" s="674"/>
      <c r="H59" s="9"/>
      <c r="I59" s="95" t="e">
        <f t="shared" si="14"/>
        <v>#N/A</v>
      </c>
      <c r="J59" s="96" t="str">
        <f t="shared" si="15"/>
        <v/>
      </c>
      <c r="K59" s="407" t="e">
        <f>$D59*$F59*IF($H$32=1,0.105,IF($H$33=1,0.098,IF($H$34=1,0.105,IF($H$35=1,0.098,0))))*VLOOKUP($C59,'Master sheet'!$A:$AL,13,FALSE)</f>
        <v>#N/A</v>
      </c>
      <c r="L59" s="97">
        <v>0</v>
      </c>
      <c r="M59" s="1552"/>
      <c r="N59" s="1552"/>
      <c r="O59" s="25" t="str">
        <f>_xlfn.IFNA(VLOOKUP($C59,'Master sheet'!$A:$AR,44,FALSE),"")&amp;""</f>
        <v/>
      </c>
      <c r="P59" s="637"/>
      <c r="Q59" s="722" t="s">
        <v>32</v>
      </c>
      <c r="R59" s="790" t="s">
        <v>37</v>
      </c>
      <c r="S59" s="638"/>
      <c r="T59" s="638"/>
      <c r="U59" s="638"/>
      <c r="V59" s="638"/>
      <c r="W59" s="638"/>
      <c r="X59" s="638"/>
      <c r="Y59" s="638"/>
      <c r="Z59" s="638"/>
    </row>
    <row r="60" spans="1:26" s="624" customFormat="1" ht="54.15" customHeight="1" x14ac:dyDescent="0.25">
      <c r="A60" s="1592" t="s">
        <v>1066</v>
      </c>
      <c r="B60" s="1523"/>
      <c r="C60" s="1523"/>
      <c r="D60" s="1523"/>
      <c r="E60" s="1523"/>
      <c r="F60" s="1523"/>
      <c r="G60" s="650"/>
      <c r="H60" s="650"/>
      <c r="I60" s="651"/>
      <c r="J60" s="651"/>
      <c r="K60" s="652"/>
      <c r="L60" s="759"/>
      <c r="M60" s="759"/>
      <c r="N60" s="759"/>
      <c r="O60" s="25" t="str">
        <f>_xlfn.IFNA(VLOOKUP($C60,'Master sheet'!$A:$AR,44,FALSE),"")&amp;""</f>
        <v/>
      </c>
      <c r="P60" s="637"/>
      <c r="Q60" s="790"/>
      <c r="R60" s="790"/>
      <c r="S60" s="638"/>
      <c r="T60" s="638"/>
      <c r="U60" s="638"/>
      <c r="V60" s="638"/>
      <c r="W60" s="638"/>
      <c r="X60" s="638"/>
      <c r="Y60" s="638"/>
      <c r="Z60" s="638"/>
    </row>
    <row r="61" spans="1:26" s="624" customFormat="1" ht="23.1" customHeight="1" x14ac:dyDescent="0.25">
      <c r="A61" s="766"/>
      <c r="B61" s="1524" t="s">
        <v>60</v>
      </c>
      <c r="C61" s="1523"/>
      <c r="D61" s="640"/>
      <c r="E61" s="641"/>
      <c r="F61" s="325"/>
      <c r="G61" s="678"/>
      <c r="H61" s="679"/>
      <c r="I61" s="642"/>
      <c r="J61" s="643"/>
      <c r="K61" s="676"/>
      <c r="L61" s="677"/>
      <c r="M61" s="677"/>
      <c r="N61" s="677"/>
      <c r="O61" s="25" t="str">
        <f>_xlfn.IFNA(VLOOKUP($C61,'Master sheet'!$A:$AR,44,FALSE),"")&amp;""</f>
        <v/>
      </c>
      <c r="P61" s="637"/>
      <c r="Q61" s="790"/>
      <c r="R61" s="790"/>
      <c r="S61" s="638"/>
      <c r="T61" s="638"/>
      <c r="U61" s="638"/>
      <c r="V61" s="638"/>
      <c r="W61" s="638"/>
      <c r="X61" s="638"/>
      <c r="Y61" s="638"/>
      <c r="Z61" s="638"/>
    </row>
    <row r="62" spans="1:26" s="624" customFormat="1" ht="31.5" customHeight="1" x14ac:dyDescent="0.25">
      <c r="A62" s="1612"/>
      <c r="B62" s="1612"/>
      <c r="C62" s="681" t="str">
        <f>INDEX('Master sheet'!$A$1:$A$670,MATCH(269,'Master sheet'!$AN$1:$AN$670,0))</f>
        <v>WOOD FRAME with STRAW BALE INFILL - 14" R-46, Double 2x4 @ 30" o/c</v>
      </c>
      <c r="D62" s="22">
        <f>'USER INPUT SHEET'!$D$32</f>
        <v>0</v>
      </c>
      <c r="E62" s="23" t="str">
        <f>'USER INPUT SHEET'!$F$32</f>
        <v>m2</v>
      </c>
      <c r="F62" s="6">
        <v>1</v>
      </c>
      <c r="G62" s="682"/>
      <c r="H62" s="10"/>
      <c r="I62" s="100">
        <f>K62-L62</f>
        <v>0</v>
      </c>
      <c r="J62" s="101" t="str">
        <f>IF(H62=1,I62,"")</f>
        <v/>
      </c>
      <c r="K62" s="408">
        <f>$D62*$F62*VLOOKUP($C62,'Master sheet'!$A:$AL,13,FALSE)</f>
        <v>0</v>
      </c>
      <c r="L62" s="102">
        <f>$D62*$F62*VLOOKUP($C62,'Master sheet'!$A:$AL,27,FALSE)</f>
        <v>0</v>
      </c>
      <c r="M62" s="1552"/>
      <c r="N62" s="1552"/>
      <c r="O62" s="25" t="str">
        <f>_xlfn.IFNA(VLOOKUP($C62,'Master sheet'!$A:$AR,44,FALSE),"")&amp;""</f>
        <v>LCA in Composite</v>
      </c>
      <c r="P62" s="637"/>
      <c r="Q62" s="790" t="s">
        <v>59</v>
      </c>
      <c r="R62" s="790" t="s">
        <v>1066</v>
      </c>
      <c r="S62" s="638"/>
      <c r="T62" s="638"/>
      <c r="U62" s="638"/>
      <c r="V62" s="638"/>
      <c r="W62" s="638"/>
      <c r="X62" s="638"/>
      <c r="Y62" s="638"/>
      <c r="Z62" s="638"/>
    </row>
    <row r="63" spans="1:26" s="624" customFormat="1" ht="31.5" customHeight="1" x14ac:dyDescent="0.25">
      <c r="C63" s="793" t="str">
        <f>INDEX('Master sheet'!$A$1:$A$670,MATCH(387,'Master sheet'!$AN$1:$AN$670,0))</f>
        <v>Straw Panels / Ecocoon / Standard and Brace Panels / 40cm R16, panel only</v>
      </c>
      <c r="D63" s="389">
        <f>'USER INPUT SHEET'!$D$32</f>
        <v>0</v>
      </c>
      <c r="E63" s="390" t="str">
        <f>'USER INPUT SHEET'!$F$32</f>
        <v>m2</v>
      </c>
      <c r="F63" s="391">
        <v>1</v>
      </c>
      <c r="G63" s="794"/>
      <c r="H63" s="392"/>
      <c r="I63" s="393">
        <f>K63-L63</f>
        <v>0</v>
      </c>
      <c r="J63" s="394" t="str">
        <f>IF(H63=1,I63,"")</f>
        <v/>
      </c>
      <c r="K63" s="418">
        <f>$D63*$F63*VLOOKUP($C63,'Master sheet'!$A:$AL,13,FALSE)</f>
        <v>0</v>
      </c>
      <c r="L63" s="395">
        <f>$D63*$F63*VLOOKUP($C63,'Master sheet'!$A:$AL,27,FALSE)</f>
        <v>0</v>
      </c>
      <c r="M63" s="1610"/>
      <c r="N63" s="1610"/>
      <c r="O63" s="25" t="str">
        <f ca="1">_xlfn.IFNA(VLOOKUP($C63,'Master sheet'!$A:$AR,44,FALSE),"")&amp;""</f>
        <v/>
      </c>
      <c r="P63" s="637"/>
      <c r="Q63" s="790" t="s">
        <v>59</v>
      </c>
      <c r="R63" s="790" t="s">
        <v>1066</v>
      </c>
      <c r="S63" s="638"/>
      <c r="T63" s="638"/>
      <c r="U63" s="638"/>
      <c r="V63" s="638"/>
      <c r="W63" s="638"/>
      <c r="X63" s="638"/>
      <c r="Y63" s="638"/>
      <c r="Z63" s="638"/>
    </row>
    <row r="64" spans="1:26" s="624" customFormat="1" ht="22.8" x14ac:dyDescent="0.25">
      <c r="A64" s="766"/>
      <c r="B64" s="1524" t="s">
        <v>61</v>
      </c>
      <c r="C64" s="1523"/>
      <c r="D64" s="640"/>
      <c r="E64" s="641"/>
      <c r="F64" s="325"/>
      <c r="G64" s="678"/>
      <c r="H64" s="679"/>
      <c r="I64" s="642"/>
      <c r="J64" s="643"/>
      <c r="K64" s="676"/>
      <c r="L64" s="677"/>
      <c r="M64" s="677"/>
      <c r="N64" s="677"/>
      <c r="O64" s="25" t="str">
        <f>_xlfn.IFNA(VLOOKUP($C64,'Master sheet'!$A:$AR,44,FALSE),"")&amp;""</f>
        <v/>
      </c>
      <c r="P64" s="637"/>
      <c r="Q64" s="795"/>
      <c r="R64" s="790"/>
      <c r="S64" s="638"/>
      <c r="T64" s="638"/>
      <c r="U64" s="638"/>
      <c r="V64" s="638"/>
      <c r="W64" s="638"/>
      <c r="X64" s="638"/>
      <c r="Y64" s="638"/>
      <c r="Z64" s="638"/>
    </row>
    <row r="65" spans="1:26" ht="22.8" x14ac:dyDescent="0.25">
      <c r="A65" s="796"/>
      <c r="B65" s="796"/>
      <c r="C65" s="681" t="str">
        <f>INDEX('Master sheet'!$A$1:$A$670,MATCH("A207",'Master sheet'!$AN$1:$AN$670,0))</f>
        <v>SIP panels - EPS foam &amp; OSB / SIPA / R-15 4.5" panel</v>
      </c>
      <c r="D65" s="22">
        <f>'USER INPUT SHEET'!$D$32</f>
        <v>0</v>
      </c>
      <c r="E65" s="23" t="str">
        <f>'USER INPUT SHEET'!$F$32</f>
        <v>m2</v>
      </c>
      <c r="F65" s="6">
        <v>1</v>
      </c>
      <c r="G65" s="682"/>
      <c r="H65" s="10"/>
      <c r="I65" s="100">
        <f>K65-L65-IF(N65,M65,0)</f>
        <v>0</v>
      </c>
      <c r="J65" s="101" t="str">
        <f>IF(H65=1,I65,"")</f>
        <v/>
      </c>
      <c r="K65" s="408">
        <f>$D65*$F65*VLOOKUP($C65,'Master sheet'!$A:$AL,13,FALSE)</f>
        <v>0</v>
      </c>
      <c r="L65" s="102">
        <f>$D65*$F65*VLOOKUP($C65,'Master sheet'!$A:$AL,27,FALSE)</f>
        <v>0</v>
      </c>
      <c r="M65" s="1552"/>
      <c r="N65" s="1552"/>
      <c r="O65" s="25" t="str">
        <f>_xlfn.IFNA(VLOOKUP($C65,'Master sheet'!$A:$AR,44,FALSE),"")&amp;""</f>
        <v/>
      </c>
      <c r="P65" s="685"/>
      <c r="Q65" s="788" t="s">
        <v>59</v>
      </c>
      <c r="R65" s="788" t="s">
        <v>1066</v>
      </c>
      <c r="S65" s="664"/>
      <c r="T65" s="664"/>
      <c r="U65" s="664"/>
      <c r="V65" s="664"/>
      <c r="W65" s="664"/>
      <c r="X65" s="664"/>
      <c r="Y65" s="664"/>
      <c r="Z65" s="664"/>
    </row>
    <row r="66" spans="1:26" ht="22.8" x14ac:dyDescent="0.25">
      <c r="A66" s="796"/>
      <c r="B66" s="796"/>
      <c r="C66" s="669" t="str">
        <f>INDEX('Master sheet'!$A$1:$A$670,MATCH("A208",'Master sheet'!$AN$1:$AN$670,0))</f>
        <v>SIP panels - EPS foam &amp; OSB / SIPA / R-23 6.5" panel</v>
      </c>
      <c r="D66" s="15">
        <f>'USER INPUT SHEET'!$D$32</f>
        <v>0</v>
      </c>
      <c r="E66" s="16" t="str">
        <f>'USER INPUT SHEET'!$F$32</f>
        <v>m2</v>
      </c>
      <c r="F66" s="3">
        <v>1</v>
      </c>
      <c r="G66" s="670"/>
      <c r="H66" s="8"/>
      <c r="I66" s="92">
        <f t="shared" ref="I66:I69" si="16">K66-L66-IF(N66,M66,0)</f>
        <v>0</v>
      </c>
      <c r="J66" s="93" t="str">
        <f>IF(H66=1,I66,"")</f>
        <v/>
      </c>
      <c r="K66" s="406">
        <f>$D66*$F66*VLOOKUP($C66,'Master sheet'!$A:$AL,13,FALSE)</f>
        <v>0</v>
      </c>
      <c r="L66" s="94">
        <f>$D66*$F66*VLOOKUP($C66,'Master sheet'!$A:$AL,27,FALSE)</f>
        <v>0</v>
      </c>
      <c r="M66" s="1552"/>
      <c r="N66" s="1552"/>
      <c r="O66" s="25" t="str">
        <f>_xlfn.IFNA(VLOOKUP($C66,'Master sheet'!$A:$AR,44,FALSE),"")&amp;""</f>
        <v/>
      </c>
      <c r="P66" s="685"/>
      <c r="Q66" s="788" t="s">
        <v>59</v>
      </c>
      <c r="R66" s="788" t="s">
        <v>1066</v>
      </c>
      <c r="S66" s="664"/>
      <c r="T66" s="664"/>
      <c r="U66" s="664"/>
      <c r="V66" s="664"/>
      <c r="W66" s="664"/>
      <c r="X66" s="664"/>
      <c r="Y66" s="664"/>
      <c r="Z66" s="664"/>
    </row>
    <row r="67" spans="1:26" ht="22.8" x14ac:dyDescent="0.25">
      <c r="A67" s="796"/>
      <c r="B67" s="796"/>
      <c r="C67" s="669" t="str">
        <f>INDEX('Master sheet'!$A$1:$A$670,MATCH("A209",'Master sheet'!$AN$1:$AN$670,0))</f>
        <v>SIP panels - EPS foam &amp; OSB / SIPA / R-30 8.25" panel</v>
      </c>
      <c r="D67" s="15">
        <f>'USER INPUT SHEET'!$D$32</f>
        <v>0</v>
      </c>
      <c r="E67" s="16" t="str">
        <f>'USER INPUT SHEET'!$F$32</f>
        <v>m2</v>
      </c>
      <c r="F67" s="3">
        <v>1</v>
      </c>
      <c r="G67" s="670"/>
      <c r="H67" s="8"/>
      <c r="I67" s="92">
        <f t="shared" si="16"/>
        <v>0</v>
      </c>
      <c r="J67" s="93" t="str">
        <f>IF(H67=1,I67,"")</f>
        <v/>
      </c>
      <c r="K67" s="406">
        <f>$D67*$F67*VLOOKUP($C67,'Master sheet'!$A:$AL,13,FALSE)</f>
        <v>0</v>
      </c>
      <c r="L67" s="94">
        <f>$D67*$F67*VLOOKUP($C67,'Master sheet'!$A:$AL,27,FALSE)</f>
        <v>0</v>
      </c>
      <c r="M67" s="1552"/>
      <c r="N67" s="1552"/>
      <c r="O67" s="25" t="str">
        <f>_xlfn.IFNA(VLOOKUP($C67,'Master sheet'!$A:$AR,44,FALSE),"")&amp;""</f>
        <v/>
      </c>
      <c r="P67" s="685"/>
      <c r="Q67" s="788" t="s">
        <v>59</v>
      </c>
      <c r="R67" s="788" t="s">
        <v>1066</v>
      </c>
      <c r="S67" s="664"/>
      <c r="T67" s="664"/>
      <c r="U67" s="664"/>
      <c r="V67" s="664"/>
      <c r="W67" s="664"/>
      <c r="X67" s="664"/>
      <c r="Y67" s="664"/>
      <c r="Z67" s="664"/>
    </row>
    <row r="68" spans="1:26" ht="22.8" x14ac:dyDescent="0.25">
      <c r="A68" s="796"/>
      <c r="B68" s="796"/>
      <c r="C68" s="749" t="str">
        <f>INDEX('Master sheet'!$A$1:$A$670,MATCH("A210",'Master sheet'!$AN$1:$AN$670,0))</f>
        <v>SIP panels - EPS foam &amp; OSB / SIPA / R-38 10.25" panel</v>
      </c>
      <c r="D68" s="250">
        <f>'USER INPUT SHEET'!$D$32</f>
        <v>0</v>
      </c>
      <c r="E68" s="251" t="str">
        <f>'USER INPUT SHEET'!$F$32</f>
        <v>m2</v>
      </c>
      <c r="F68" s="252">
        <v>1</v>
      </c>
      <c r="G68" s="750"/>
      <c r="H68" s="253"/>
      <c r="I68" s="254">
        <f t="shared" si="16"/>
        <v>0</v>
      </c>
      <c r="J68" s="255" t="str">
        <f>IF(H68=1,I68,"")</f>
        <v/>
      </c>
      <c r="K68" s="417">
        <f>$D68*$F68*VLOOKUP($C68,'Master sheet'!$A:$AL,13,FALSE)</f>
        <v>0</v>
      </c>
      <c r="L68" s="256">
        <f>$D68*$F68*VLOOKUP($C68,'Master sheet'!$A:$AL,27,FALSE)</f>
        <v>0</v>
      </c>
      <c r="M68" s="1552"/>
      <c r="N68" s="1552"/>
      <c r="O68" s="25" t="str">
        <f>_xlfn.IFNA(VLOOKUP($C68,'Master sheet'!$A:$AR,44,FALSE),"")&amp;""</f>
        <v/>
      </c>
      <c r="P68" s="685"/>
      <c r="Q68" s="790" t="s">
        <v>59</v>
      </c>
      <c r="R68" s="790" t="s">
        <v>1066</v>
      </c>
      <c r="S68" s="638"/>
      <c r="T68" s="638"/>
      <c r="U68" s="664"/>
      <c r="V68" s="664"/>
      <c r="W68" s="664"/>
      <c r="X68" s="664"/>
      <c r="Y68" s="664"/>
      <c r="Z68" s="664"/>
    </row>
    <row r="69" spans="1:26" s="624" customFormat="1" ht="22.8" x14ac:dyDescent="0.25">
      <c r="A69" s="797"/>
      <c r="B69" s="797"/>
      <c r="C69" s="749" t="str">
        <f>INDEX('Master sheet'!$A$1:$A$670,MATCH("A211",'Master sheet'!$AN$1:$AN$670,0))</f>
        <v>SIP panels - EPS foam &amp; OSB / SIPA / R-45 12.25" panel</v>
      </c>
      <c r="D69" s="250">
        <f>'USER INPUT SHEET'!$D$32</f>
        <v>0</v>
      </c>
      <c r="E69" s="251" t="str">
        <f>'USER INPUT SHEET'!$F$32</f>
        <v>m2</v>
      </c>
      <c r="F69" s="252">
        <v>1</v>
      </c>
      <c r="G69" s="750"/>
      <c r="H69" s="253"/>
      <c r="I69" s="254">
        <f t="shared" si="16"/>
        <v>0</v>
      </c>
      <c r="J69" s="255" t="str">
        <f>IF(H69=1,I69,"")</f>
        <v/>
      </c>
      <c r="K69" s="417">
        <f>$D69*$F69*VLOOKUP($C69,'Master sheet'!$A:$AL,13,FALSE)</f>
        <v>0</v>
      </c>
      <c r="L69" s="256">
        <f>$D69*$F69*VLOOKUP($C69,'Master sheet'!$A:$AL,27,FALSE)</f>
        <v>0</v>
      </c>
      <c r="M69" s="1552"/>
      <c r="N69" s="1552"/>
      <c r="O69" s="25" t="str">
        <f>_xlfn.IFNA(VLOOKUP($C69,'Master sheet'!$A:$AR,44,FALSE),"")&amp;""</f>
        <v/>
      </c>
      <c r="P69" s="685"/>
      <c r="Q69" s="790" t="s">
        <v>59</v>
      </c>
      <c r="R69" s="790" t="s">
        <v>1066</v>
      </c>
      <c r="S69" s="638"/>
      <c r="T69" s="638"/>
      <c r="U69" s="638"/>
      <c r="V69" s="638"/>
      <c r="W69" s="638"/>
      <c r="X69" s="638"/>
      <c r="Y69" s="638"/>
      <c r="Z69" s="638"/>
    </row>
    <row r="70" spans="1:26" ht="15.75" customHeight="1" x14ac:dyDescent="0.3">
      <c r="A70" s="768"/>
      <c r="B70" s="768"/>
      <c r="C70" s="700"/>
      <c r="D70" s="701"/>
      <c r="E70" s="700"/>
      <c r="F70" s="328"/>
      <c r="G70" s="700"/>
      <c r="H70" s="700"/>
      <c r="I70" s="703"/>
      <c r="J70" s="704"/>
      <c r="K70" s="704"/>
      <c r="L70" s="704"/>
      <c r="M70" s="704"/>
      <c r="N70" s="704"/>
      <c r="O70" s="685"/>
      <c r="P70" s="637"/>
    </row>
    <row r="71" spans="1:26" ht="15.75" customHeight="1" x14ac:dyDescent="0.3">
      <c r="A71" s="768"/>
      <c r="B71" s="706" t="s">
        <v>4901</v>
      </c>
      <c r="C71" s="700"/>
      <c r="D71" s="701"/>
      <c r="E71" s="700"/>
      <c r="F71" s="328"/>
      <c r="G71" s="700"/>
      <c r="H71" s="700"/>
      <c r="I71" s="703"/>
      <c r="J71" s="704"/>
      <c r="K71" s="704"/>
      <c r="L71" s="704"/>
      <c r="M71" s="704"/>
      <c r="N71" s="704"/>
      <c r="O71" s="685"/>
      <c r="P71" s="685"/>
    </row>
    <row r="72" spans="1:26" ht="15.75" customHeight="1" x14ac:dyDescent="0.3">
      <c r="A72" s="768"/>
      <c r="B72" s="706" t="s">
        <v>4900</v>
      </c>
      <c r="C72" s="700"/>
      <c r="D72" s="701"/>
      <c r="E72" s="700"/>
      <c r="F72" s="328"/>
      <c r="G72" s="700"/>
      <c r="H72" s="700"/>
      <c r="I72" s="703"/>
      <c r="J72" s="704"/>
      <c r="K72" s="704"/>
      <c r="L72" s="704"/>
      <c r="M72" s="704"/>
      <c r="N72" s="704"/>
      <c r="O72" s="685"/>
      <c r="P72" s="685"/>
    </row>
    <row r="73" spans="1:26" ht="15.75" customHeight="1" x14ac:dyDescent="0.3">
      <c r="A73" s="768"/>
      <c r="B73" s="768"/>
      <c r="C73" s="700"/>
      <c r="D73" s="701"/>
      <c r="E73" s="700"/>
      <c r="F73" s="328"/>
      <c r="G73" s="700"/>
      <c r="H73" s="700"/>
      <c r="I73" s="703"/>
      <c r="J73" s="704"/>
      <c r="K73" s="704"/>
      <c r="L73" s="704"/>
      <c r="M73" s="704"/>
      <c r="N73" s="704"/>
      <c r="O73" s="685"/>
      <c r="P73" s="685"/>
    </row>
    <row r="74" spans="1:26" ht="15.75" customHeight="1" x14ac:dyDescent="0.3">
      <c r="A74" s="768"/>
      <c r="B74" s="768"/>
      <c r="C74" s="700"/>
      <c r="D74" s="701"/>
      <c r="E74" s="700"/>
      <c r="F74" s="328"/>
      <c r="G74" s="700"/>
      <c r="H74" s="700"/>
      <c r="I74" s="703"/>
      <c r="J74" s="704"/>
      <c r="K74" s="704"/>
      <c r="L74" s="704"/>
      <c r="M74" s="704"/>
      <c r="N74" s="704"/>
      <c r="O74" s="685"/>
      <c r="P74" s="685"/>
    </row>
    <row r="75" spans="1:26" ht="15.75" customHeight="1" x14ac:dyDescent="0.3">
      <c r="A75" s="768"/>
      <c r="B75" s="768"/>
      <c r="C75" s="700"/>
      <c r="D75" s="701"/>
      <c r="E75" s="700"/>
      <c r="F75" s="328"/>
      <c r="G75" s="700"/>
      <c r="H75" s="700"/>
      <c r="I75" s="703"/>
      <c r="J75" s="704"/>
      <c r="K75" s="704"/>
      <c r="L75" s="704"/>
      <c r="M75" s="704"/>
      <c r="N75" s="704"/>
      <c r="O75" s="685"/>
      <c r="P75" s="685"/>
    </row>
    <row r="76" spans="1:26" ht="15.75" customHeight="1" x14ac:dyDescent="0.3">
      <c r="A76" s="768"/>
      <c r="B76" s="768"/>
      <c r="C76" s="700"/>
      <c r="D76" s="701"/>
      <c r="E76" s="700"/>
      <c r="F76" s="328"/>
      <c r="G76" s="700"/>
      <c r="H76" s="700"/>
      <c r="I76" s="703"/>
      <c r="J76" s="704"/>
      <c r="K76" s="704"/>
      <c r="L76" s="704"/>
      <c r="M76" s="704"/>
      <c r="N76" s="704"/>
      <c r="O76" s="685"/>
      <c r="P76" s="685"/>
    </row>
    <row r="77" spans="1:26" ht="15.75" customHeight="1" x14ac:dyDescent="0.3">
      <c r="A77" s="768"/>
      <c r="B77" s="768"/>
      <c r="C77" s="700"/>
      <c r="D77" s="701"/>
      <c r="E77" s="700"/>
      <c r="F77" s="328"/>
      <c r="G77" s="700"/>
      <c r="H77" s="700"/>
      <c r="I77" s="703"/>
      <c r="J77" s="704"/>
      <c r="K77" s="704"/>
      <c r="L77" s="704"/>
      <c r="M77" s="704"/>
      <c r="N77" s="704"/>
      <c r="O77" s="685"/>
      <c r="P77" s="637"/>
    </row>
    <row r="78" spans="1:26" ht="15.75" customHeight="1" x14ac:dyDescent="0.3">
      <c r="A78" s="768"/>
      <c r="B78" s="768"/>
      <c r="C78" s="700"/>
      <c r="D78" s="701"/>
      <c r="E78" s="700"/>
      <c r="F78" s="328"/>
      <c r="G78" s="700"/>
      <c r="H78" s="700"/>
      <c r="I78" s="703"/>
      <c r="J78" s="704"/>
      <c r="K78" s="704"/>
      <c r="L78" s="704"/>
      <c r="M78" s="704"/>
      <c r="N78" s="704"/>
      <c r="O78" s="685"/>
      <c r="P78" s="637"/>
    </row>
    <row r="79" spans="1:26" ht="15.75" customHeight="1" x14ac:dyDescent="0.3">
      <c r="A79" s="768"/>
      <c r="B79" s="768"/>
      <c r="C79" s="700"/>
      <c r="D79" s="701"/>
      <c r="E79" s="700"/>
      <c r="F79" s="328"/>
      <c r="G79" s="700"/>
      <c r="H79" s="700"/>
      <c r="I79" s="703"/>
      <c r="J79" s="704"/>
      <c r="K79" s="704"/>
      <c r="L79" s="704"/>
      <c r="M79" s="704"/>
      <c r="N79" s="704"/>
      <c r="O79" s="685"/>
      <c r="P79" s="685"/>
    </row>
    <row r="80" spans="1:26" ht="15.75" customHeight="1" x14ac:dyDescent="0.3">
      <c r="A80" s="768"/>
      <c r="B80" s="768"/>
      <c r="C80" s="700"/>
      <c r="D80" s="701"/>
      <c r="E80" s="700"/>
      <c r="F80" s="328"/>
      <c r="G80" s="700"/>
      <c r="H80" s="700"/>
      <c r="I80" s="703"/>
      <c r="J80" s="704"/>
      <c r="K80" s="704"/>
      <c r="L80" s="704"/>
      <c r="M80" s="704"/>
      <c r="N80" s="704"/>
      <c r="O80" s="685"/>
      <c r="P80" s="685"/>
    </row>
    <row r="81" spans="1:16" ht="15.75" customHeight="1" x14ac:dyDescent="0.3">
      <c r="A81" s="768"/>
      <c r="B81" s="768"/>
      <c r="C81" s="700"/>
      <c r="D81" s="701"/>
      <c r="E81" s="700"/>
      <c r="F81" s="328"/>
      <c r="G81" s="700"/>
      <c r="H81" s="700"/>
      <c r="I81" s="703"/>
      <c r="J81" s="704"/>
      <c r="K81" s="704"/>
      <c r="L81" s="704"/>
      <c r="M81" s="704"/>
      <c r="N81" s="704"/>
      <c r="O81" s="685"/>
      <c r="P81" s="685"/>
    </row>
    <row r="82" spans="1:16" ht="15.75" customHeight="1" x14ac:dyDescent="0.3">
      <c r="A82" s="768"/>
      <c r="B82" s="768"/>
      <c r="C82" s="700"/>
      <c r="D82" s="701"/>
      <c r="E82" s="700"/>
      <c r="F82" s="328"/>
      <c r="G82" s="700"/>
      <c r="H82" s="700"/>
      <c r="I82" s="703"/>
      <c r="J82" s="704"/>
      <c r="K82" s="704"/>
      <c r="L82" s="704"/>
      <c r="M82" s="704"/>
      <c r="N82" s="704"/>
      <c r="O82" s="685"/>
      <c r="P82" s="685"/>
    </row>
    <row r="83" spans="1:16" ht="15.75" customHeight="1" x14ac:dyDescent="0.3">
      <c r="A83" s="768"/>
      <c r="B83" s="768"/>
      <c r="C83" s="700"/>
      <c r="D83" s="701"/>
      <c r="E83" s="700"/>
      <c r="F83" s="328"/>
      <c r="G83" s="700"/>
      <c r="H83" s="700"/>
      <c r="I83" s="703"/>
      <c r="J83" s="704"/>
      <c r="K83" s="704"/>
      <c r="L83" s="704"/>
      <c r="M83" s="704"/>
      <c r="N83" s="704"/>
      <c r="O83" s="685"/>
      <c r="P83" s="685"/>
    </row>
    <row r="84" spans="1:16" ht="15.75" customHeight="1" x14ac:dyDescent="0.3">
      <c r="A84" s="768"/>
      <c r="B84" s="768"/>
      <c r="C84" s="700"/>
      <c r="D84" s="701"/>
      <c r="E84" s="700"/>
      <c r="F84" s="328"/>
      <c r="G84" s="700"/>
      <c r="H84" s="700"/>
      <c r="I84" s="703"/>
      <c r="J84" s="704"/>
      <c r="K84" s="704"/>
      <c r="L84" s="704"/>
      <c r="M84" s="704"/>
      <c r="N84" s="704"/>
      <c r="O84" s="685"/>
      <c r="P84" s="637"/>
    </row>
    <row r="85" spans="1:16" ht="15.75" customHeight="1" x14ac:dyDescent="0.3">
      <c r="A85" s="768"/>
      <c r="B85" s="768"/>
      <c r="C85" s="700"/>
      <c r="D85" s="701"/>
      <c r="E85" s="700"/>
      <c r="F85" s="328"/>
      <c r="G85" s="700"/>
      <c r="H85" s="700"/>
      <c r="I85" s="703"/>
      <c r="J85" s="704"/>
      <c r="K85" s="704"/>
      <c r="L85" s="704"/>
      <c r="M85" s="704"/>
      <c r="N85" s="704"/>
      <c r="O85" s="685"/>
      <c r="P85" s="637"/>
    </row>
    <row r="86" spans="1:16" ht="15.75" customHeight="1" x14ac:dyDescent="0.3">
      <c r="A86" s="768"/>
      <c r="B86" s="768"/>
      <c r="C86" s="700"/>
      <c r="D86" s="701"/>
      <c r="E86" s="700"/>
      <c r="F86" s="328"/>
      <c r="G86" s="700"/>
      <c r="H86" s="700"/>
      <c r="I86" s="703"/>
      <c r="J86" s="704"/>
      <c r="K86" s="704"/>
      <c r="L86" s="704"/>
      <c r="M86" s="704"/>
      <c r="N86" s="704"/>
      <c r="O86" s="685"/>
      <c r="P86" s="685"/>
    </row>
    <row r="87" spans="1:16" ht="15.75" customHeight="1" x14ac:dyDescent="0.3">
      <c r="A87" s="768"/>
      <c r="B87" s="768"/>
      <c r="C87" s="700"/>
      <c r="D87" s="701"/>
      <c r="E87" s="700"/>
      <c r="F87" s="328"/>
      <c r="G87" s="700"/>
      <c r="H87" s="700"/>
      <c r="I87" s="703"/>
      <c r="J87" s="704"/>
      <c r="K87" s="704"/>
      <c r="L87" s="704"/>
      <c r="M87" s="704"/>
      <c r="N87" s="704"/>
      <c r="O87" s="685"/>
      <c r="P87" s="685"/>
    </row>
    <row r="88" spans="1:16" ht="15.75" customHeight="1" x14ac:dyDescent="0.3">
      <c r="A88" s="768"/>
      <c r="B88" s="768"/>
      <c r="C88" s="700"/>
      <c r="D88" s="701"/>
      <c r="E88" s="700"/>
      <c r="F88" s="328"/>
      <c r="G88" s="700"/>
      <c r="H88" s="700"/>
      <c r="I88" s="703"/>
      <c r="J88" s="704"/>
      <c r="K88" s="704"/>
      <c r="L88" s="704"/>
      <c r="M88" s="704"/>
      <c r="N88" s="704"/>
      <c r="O88" s="685"/>
      <c r="P88" s="637"/>
    </row>
    <row r="89" spans="1:16" ht="15.75" customHeight="1" x14ac:dyDescent="0.3">
      <c r="A89" s="768"/>
      <c r="B89" s="768"/>
      <c r="C89" s="700"/>
      <c r="D89" s="701"/>
      <c r="E89" s="700"/>
      <c r="F89" s="328"/>
      <c r="G89" s="700"/>
      <c r="H89" s="700"/>
      <c r="I89" s="703"/>
      <c r="J89" s="704"/>
      <c r="K89" s="704"/>
      <c r="L89" s="704"/>
      <c r="M89" s="704"/>
      <c r="N89" s="704"/>
      <c r="O89" s="685"/>
      <c r="P89" s="637"/>
    </row>
    <row r="90" spans="1:16" ht="15.75" customHeight="1" x14ac:dyDescent="0.3">
      <c r="A90" s="768"/>
      <c r="B90" s="768"/>
      <c r="C90" s="700"/>
      <c r="D90" s="701"/>
      <c r="E90" s="700"/>
      <c r="F90" s="328"/>
      <c r="G90" s="700"/>
      <c r="H90" s="700"/>
      <c r="I90" s="703"/>
      <c r="J90" s="704"/>
      <c r="K90" s="704"/>
      <c r="L90" s="704"/>
      <c r="M90" s="704"/>
      <c r="N90" s="704"/>
      <c r="O90" s="685"/>
      <c r="P90" s="685"/>
    </row>
    <row r="91" spans="1:16" ht="15.75" customHeight="1" x14ac:dyDescent="0.3">
      <c r="A91" s="768"/>
      <c r="B91" s="768"/>
      <c r="C91" s="700"/>
      <c r="D91" s="701"/>
      <c r="E91" s="700"/>
      <c r="F91" s="328"/>
      <c r="G91" s="700"/>
      <c r="H91" s="700"/>
      <c r="I91" s="703"/>
      <c r="J91" s="704"/>
      <c r="K91" s="704"/>
      <c r="L91" s="704"/>
      <c r="M91" s="704"/>
      <c r="N91" s="704"/>
      <c r="O91" s="685"/>
      <c r="P91" s="685"/>
    </row>
    <row r="92" spans="1:16" ht="15.75" customHeight="1" x14ac:dyDescent="0.3">
      <c r="A92" s="768"/>
      <c r="B92" s="768"/>
      <c r="C92" s="700"/>
      <c r="D92" s="701"/>
      <c r="E92" s="700"/>
      <c r="F92" s="328"/>
      <c r="G92" s="700"/>
      <c r="H92" s="700"/>
      <c r="I92" s="703"/>
      <c r="J92" s="704"/>
      <c r="K92" s="704"/>
      <c r="L92" s="704"/>
      <c r="M92" s="704"/>
      <c r="N92" s="704"/>
      <c r="O92" s="685"/>
      <c r="P92" s="685"/>
    </row>
    <row r="93" spans="1:16" ht="15.75" customHeight="1" x14ac:dyDescent="0.3">
      <c r="A93" s="768"/>
      <c r="B93" s="768"/>
      <c r="C93" s="700"/>
      <c r="D93" s="701"/>
      <c r="E93" s="700"/>
      <c r="F93" s="328"/>
      <c r="G93" s="700"/>
      <c r="H93" s="700"/>
      <c r="I93" s="703"/>
      <c r="J93" s="704"/>
      <c r="K93" s="704"/>
      <c r="L93" s="704"/>
      <c r="M93" s="704"/>
      <c r="N93" s="704"/>
      <c r="O93" s="685"/>
      <c r="P93" s="637"/>
    </row>
    <row r="94" spans="1:16" ht="15.75" customHeight="1" x14ac:dyDescent="0.3">
      <c r="A94" s="768"/>
      <c r="B94" s="768"/>
      <c r="C94" s="700"/>
      <c r="D94" s="701"/>
      <c r="E94" s="700"/>
      <c r="F94" s="328"/>
      <c r="G94" s="700"/>
      <c r="H94" s="700"/>
      <c r="I94" s="703"/>
      <c r="J94" s="704"/>
      <c r="K94" s="704"/>
      <c r="L94" s="704"/>
      <c r="M94" s="704"/>
      <c r="N94" s="704"/>
      <c r="O94" s="685"/>
      <c r="P94" s="637"/>
    </row>
    <row r="95" spans="1:16" ht="15.75" customHeight="1" x14ac:dyDescent="0.3">
      <c r="A95" s="768"/>
      <c r="B95" s="768"/>
      <c r="C95" s="700"/>
      <c r="D95" s="701"/>
      <c r="E95" s="700"/>
      <c r="F95" s="328"/>
      <c r="G95" s="700"/>
      <c r="H95" s="700"/>
      <c r="I95" s="703"/>
      <c r="J95" s="704"/>
      <c r="K95" s="704"/>
      <c r="L95" s="704"/>
      <c r="M95" s="704"/>
      <c r="N95" s="704"/>
      <c r="O95" s="685"/>
      <c r="P95" s="637"/>
    </row>
    <row r="96" spans="1:16" ht="15.75" customHeight="1" x14ac:dyDescent="0.3">
      <c r="A96" s="768"/>
      <c r="B96" s="768"/>
      <c r="C96" s="700"/>
      <c r="D96" s="701"/>
      <c r="E96" s="700"/>
      <c r="F96" s="328"/>
      <c r="G96" s="700"/>
      <c r="H96" s="700"/>
      <c r="I96" s="703"/>
      <c r="J96" s="704"/>
      <c r="K96" s="704"/>
      <c r="L96" s="704"/>
      <c r="M96" s="704"/>
      <c r="N96" s="704"/>
      <c r="O96" s="685"/>
      <c r="P96" s="637"/>
    </row>
    <row r="97" spans="1:16" ht="15.75" customHeight="1" x14ac:dyDescent="0.3">
      <c r="A97" s="768"/>
      <c r="B97" s="768"/>
      <c r="C97" s="700"/>
      <c r="D97" s="701"/>
      <c r="E97" s="700"/>
      <c r="F97" s="328"/>
      <c r="G97" s="700"/>
      <c r="H97" s="700"/>
      <c r="I97" s="703"/>
      <c r="J97" s="704"/>
      <c r="K97" s="704"/>
      <c r="L97" s="704"/>
      <c r="M97" s="704"/>
      <c r="N97" s="704"/>
      <c r="O97" s="685"/>
      <c r="P97" s="685"/>
    </row>
    <row r="98" spans="1:16" ht="15.75" customHeight="1" x14ac:dyDescent="0.3">
      <c r="A98" s="768"/>
      <c r="B98" s="768"/>
      <c r="C98" s="700"/>
      <c r="D98" s="701"/>
      <c r="E98" s="700"/>
      <c r="F98" s="328"/>
      <c r="G98" s="700"/>
      <c r="H98" s="700"/>
      <c r="I98" s="703"/>
      <c r="J98" s="704"/>
      <c r="K98" s="704"/>
      <c r="L98" s="704"/>
      <c r="M98" s="704"/>
      <c r="N98" s="704"/>
      <c r="O98" s="685"/>
      <c r="P98" s="685"/>
    </row>
    <row r="99" spans="1:16" ht="15.75" customHeight="1" x14ac:dyDescent="0.3">
      <c r="A99" s="768"/>
      <c r="B99" s="768"/>
      <c r="C99" s="700"/>
      <c r="D99" s="701"/>
      <c r="E99" s="700"/>
      <c r="F99" s="328"/>
      <c r="G99" s="700"/>
      <c r="H99" s="700"/>
      <c r="I99" s="703"/>
      <c r="J99" s="704"/>
      <c r="K99" s="704"/>
      <c r="L99" s="704"/>
      <c r="M99" s="704"/>
      <c r="N99" s="704"/>
      <c r="O99" s="685"/>
      <c r="P99" s="685"/>
    </row>
    <row r="100" spans="1:16" ht="15.75" customHeight="1" x14ac:dyDescent="0.3">
      <c r="A100" s="768"/>
      <c r="B100" s="768"/>
      <c r="C100" s="700"/>
      <c r="D100" s="701"/>
      <c r="E100" s="700"/>
      <c r="F100" s="328"/>
      <c r="G100" s="700"/>
      <c r="H100" s="700"/>
      <c r="I100" s="703"/>
      <c r="J100" s="704"/>
      <c r="K100" s="704"/>
      <c r="L100" s="704"/>
      <c r="M100" s="704"/>
      <c r="N100" s="704"/>
      <c r="O100" s="685"/>
      <c r="P100" s="685"/>
    </row>
    <row r="101" spans="1:16" ht="15.75" customHeight="1" x14ac:dyDescent="0.3">
      <c r="A101" s="768"/>
      <c r="B101" s="768"/>
      <c r="C101" s="700"/>
      <c r="D101" s="701"/>
      <c r="E101" s="700"/>
      <c r="F101" s="328"/>
      <c r="G101" s="700"/>
      <c r="H101" s="700"/>
      <c r="I101" s="703"/>
      <c r="J101" s="704"/>
      <c r="K101" s="704"/>
      <c r="L101" s="704"/>
      <c r="M101" s="704"/>
      <c r="N101" s="704"/>
      <c r="O101" s="685"/>
      <c r="P101" s="637"/>
    </row>
    <row r="102" spans="1:16" ht="15.75" customHeight="1" x14ac:dyDescent="0.3">
      <c r="A102" s="768"/>
      <c r="B102" s="768"/>
      <c r="C102" s="700"/>
      <c r="D102" s="701"/>
      <c r="E102" s="700"/>
      <c r="F102" s="328"/>
      <c r="G102" s="700"/>
      <c r="H102" s="700"/>
      <c r="I102" s="703"/>
      <c r="J102" s="704"/>
      <c r="K102" s="704"/>
      <c r="L102" s="704"/>
      <c r="M102" s="704"/>
      <c r="N102" s="704"/>
      <c r="O102" s="685"/>
      <c r="P102" s="637"/>
    </row>
    <row r="103" spans="1:16" ht="15.75" customHeight="1" x14ac:dyDescent="0.3">
      <c r="A103" s="768"/>
      <c r="B103" s="768"/>
      <c r="C103" s="700"/>
      <c r="D103" s="701"/>
      <c r="E103" s="700"/>
      <c r="F103" s="328"/>
      <c r="G103" s="700"/>
      <c r="H103" s="700"/>
      <c r="I103" s="703"/>
      <c r="J103" s="704"/>
      <c r="K103" s="704"/>
      <c r="L103" s="704"/>
      <c r="M103" s="704"/>
      <c r="N103" s="704"/>
      <c r="O103" s="685"/>
      <c r="P103" s="685"/>
    </row>
    <row r="104" spans="1:16" ht="15.75" customHeight="1" x14ac:dyDescent="0.3">
      <c r="A104" s="768"/>
      <c r="B104" s="768"/>
      <c r="C104" s="700"/>
      <c r="D104" s="701"/>
      <c r="E104" s="700"/>
      <c r="F104" s="328"/>
      <c r="G104" s="700"/>
      <c r="H104" s="700"/>
      <c r="I104" s="703"/>
      <c r="J104" s="704"/>
      <c r="K104" s="704"/>
      <c r="L104" s="704"/>
      <c r="M104" s="704"/>
      <c r="N104" s="704"/>
      <c r="O104" s="685"/>
      <c r="P104" s="685"/>
    </row>
    <row r="105" spans="1:16" ht="15.75" customHeight="1" x14ac:dyDescent="0.3">
      <c r="A105" s="768"/>
      <c r="B105" s="768"/>
      <c r="C105" s="700"/>
      <c r="D105" s="701"/>
      <c r="E105" s="700"/>
      <c r="F105" s="328"/>
      <c r="G105" s="700"/>
      <c r="H105" s="700"/>
      <c r="I105" s="703"/>
      <c r="J105" s="704"/>
      <c r="K105" s="704"/>
      <c r="L105" s="704"/>
      <c r="M105" s="704"/>
      <c r="N105" s="704"/>
      <c r="O105" s="685"/>
      <c r="P105" s="685"/>
    </row>
    <row r="106" spans="1:16" ht="15.75" customHeight="1" x14ac:dyDescent="0.3">
      <c r="A106" s="768"/>
      <c r="B106" s="768"/>
      <c r="C106" s="700"/>
      <c r="D106" s="701"/>
      <c r="E106" s="700"/>
      <c r="F106" s="328"/>
      <c r="G106" s="700"/>
      <c r="H106" s="700"/>
      <c r="I106" s="703"/>
      <c r="J106" s="704"/>
      <c r="K106" s="704"/>
      <c r="L106" s="704"/>
      <c r="M106" s="704"/>
      <c r="N106" s="704"/>
      <c r="O106" s="685"/>
      <c r="P106" s="637"/>
    </row>
    <row r="107" spans="1:16" ht="15.75" customHeight="1" x14ac:dyDescent="0.3">
      <c r="A107" s="768"/>
      <c r="B107" s="768"/>
      <c r="C107" s="700"/>
      <c r="D107" s="701"/>
      <c r="E107" s="700"/>
      <c r="F107" s="328"/>
      <c r="G107" s="700"/>
      <c r="H107" s="700"/>
      <c r="I107" s="703"/>
      <c r="J107" s="704"/>
      <c r="K107" s="704"/>
      <c r="L107" s="704"/>
      <c r="M107" s="704"/>
      <c r="N107" s="704"/>
      <c r="O107" s="685"/>
      <c r="P107" s="637"/>
    </row>
    <row r="108" spans="1:16" ht="15.75" customHeight="1" x14ac:dyDescent="0.3">
      <c r="A108" s="768"/>
      <c r="B108" s="768"/>
      <c r="C108" s="700"/>
      <c r="D108" s="701"/>
      <c r="E108" s="700"/>
      <c r="F108" s="328"/>
      <c r="G108" s="700"/>
      <c r="H108" s="700"/>
      <c r="I108" s="703"/>
      <c r="J108" s="704"/>
      <c r="K108" s="704"/>
      <c r="L108" s="704"/>
      <c r="M108" s="704"/>
      <c r="N108" s="704"/>
      <c r="O108" s="685"/>
      <c r="P108" s="685"/>
    </row>
    <row r="109" spans="1:16" ht="15.75" customHeight="1" x14ac:dyDescent="0.3">
      <c r="A109" s="768"/>
      <c r="B109" s="768"/>
      <c r="C109" s="700"/>
      <c r="D109" s="701"/>
      <c r="E109" s="700"/>
      <c r="F109" s="328"/>
      <c r="G109" s="700"/>
      <c r="H109" s="700"/>
      <c r="I109" s="703"/>
      <c r="J109" s="704"/>
      <c r="K109" s="704"/>
      <c r="L109" s="704"/>
      <c r="M109" s="704"/>
      <c r="N109" s="704"/>
      <c r="O109" s="685"/>
      <c r="P109" s="685"/>
    </row>
    <row r="110" spans="1:16" ht="15.75" customHeight="1" x14ac:dyDescent="0.3">
      <c r="A110" s="768"/>
      <c r="B110" s="768"/>
      <c r="C110" s="700"/>
      <c r="D110" s="701"/>
      <c r="E110" s="700"/>
      <c r="F110" s="328"/>
      <c r="G110" s="700"/>
      <c r="H110" s="700"/>
      <c r="I110" s="703"/>
      <c r="J110" s="704"/>
      <c r="K110" s="704"/>
      <c r="L110" s="704"/>
      <c r="M110" s="704"/>
      <c r="N110" s="704"/>
      <c r="O110" s="685"/>
      <c r="P110" s="637"/>
    </row>
    <row r="111" spans="1:16" ht="15.75" customHeight="1" x14ac:dyDescent="0.3">
      <c r="A111" s="768"/>
      <c r="B111" s="768"/>
      <c r="C111" s="700"/>
      <c r="D111" s="701"/>
      <c r="E111" s="700"/>
      <c r="F111" s="328"/>
      <c r="G111" s="700"/>
      <c r="H111" s="700"/>
      <c r="I111" s="703"/>
      <c r="J111" s="704"/>
      <c r="K111" s="704"/>
      <c r="L111" s="704"/>
      <c r="M111" s="704"/>
      <c r="N111" s="704"/>
      <c r="O111" s="685"/>
      <c r="P111" s="637"/>
    </row>
    <row r="112" spans="1:16" ht="15.75" customHeight="1" x14ac:dyDescent="0.3">
      <c r="A112" s="768"/>
      <c r="B112" s="768"/>
      <c r="C112" s="700"/>
      <c r="D112" s="701"/>
      <c r="E112" s="700"/>
      <c r="F112" s="328"/>
      <c r="G112" s="700"/>
      <c r="H112" s="700"/>
      <c r="I112" s="703"/>
      <c r="J112" s="704"/>
      <c r="K112" s="704"/>
      <c r="L112" s="704"/>
      <c r="M112" s="704"/>
      <c r="N112" s="704"/>
      <c r="O112" s="685"/>
      <c r="P112" s="637"/>
    </row>
    <row r="113" spans="1:16" ht="15.75" customHeight="1" x14ac:dyDescent="0.3">
      <c r="A113" s="768"/>
      <c r="B113" s="768"/>
      <c r="C113" s="700"/>
      <c r="D113" s="701"/>
      <c r="E113" s="700"/>
      <c r="F113" s="328"/>
      <c r="G113" s="700"/>
      <c r="H113" s="700"/>
      <c r="I113" s="703"/>
      <c r="J113" s="704"/>
      <c r="K113" s="704"/>
      <c r="L113" s="704"/>
      <c r="M113" s="704"/>
      <c r="N113" s="704"/>
      <c r="O113" s="685"/>
      <c r="P113" s="637"/>
    </row>
    <row r="114" spans="1:16" ht="15.75" customHeight="1" x14ac:dyDescent="0.3">
      <c r="A114" s="768"/>
      <c r="B114" s="768"/>
      <c r="C114" s="700"/>
      <c r="D114" s="701"/>
      <c r="E114" s="700"/>
      <c r="F114" s="328"/>
      <c r="G114" s="700"/>
      <c r="H114" s="700"/>
      <c r="I114" s="703"/>
      <c r="J114" s="704"/>
      <c r="K114" s="704"/>
      <c r="L114" s="704"/>
      <c r="M114" s="704"/>
      <c r="N114" s="704"/>
      <c r="O114" s="685"/>
      <c r="P114" s="685"/>
    </row>
    <row r="115" spans="1:16" ht="15.75" customHeight="1" x14ac:dyDescent="0.3">
      <c r="A115" s="768"/>
      <c r="B115" s="768"/>
      <c r="C115" s="700"/>
      <c r="D115" s="701"/>
      <c r="E115" s="700"/>
      <c r="F115" s="328"/>
      <c r="G115" s="700"/>
      <c r="H115" s="700"/>
      <c r="I115" s="703"/>
      <c r="J115" s="704"/>
      <c r="K115" s="704"/>
      <c r="L115" s="704"/>
      <c r="M115" s="704"/>
      <c r="N115" s="704"/>
      <c r="O115" s="685"/>
      <c r="P115" s="685"/>
    </row>
    <row r="116" spans="1:16" ht="15.75" customHeight="1" x14ac:dyDescent="0.3">
      <c r="A116" s="768"/>
      <c r="B116" s="768"/>
      <c r="C116" s="700"/>
      <c r="D116" s="701"/>
      <c r="E116" s="700"/>
      <c r="F116" s="328"/>
      <c r="G116" s="700"/>
      <c r="H116" s="700"/>
      <c r="I116" s="703"/>
      <c r="J116" s="704"/>
      <c r="K116" s="704"/>
      <c r="L116" s="704"/>
      <c r="M116" s="704"/>
      <c r="N116" s="704"/>
      <c r="O116" s="685"/>
    </row>
    <row r="117" spans="1:16" ht="15.75" customHeight="1" x14ac:dyDescent="0.3">
      <c r="A117" s="768"/>
      <c r="B117" s="768"/>
      <c r="C117" s="700"/>
      <c r="D117" s="701"/>
      <c r="E117" s="700"/>
      <c r="F117" s="328"/>
      <c r="G117" s="700"/>
      <c r="H117" s="700"/>
      <c r="I117" s="703"/>
      <c r="J117" s="704"/>
      <c r="K117" s="704"/>
      <c r="L117" s="704"/>
      <c r="M117" s="704"/>
      <c r="N117" s="704"/>
      <c r="O117" s="685"/>
      <c r="P117" s="685"/>
    </row>
    <row r="118" spans="1:16" ht="15.75" customHeight="1" x14ac:dyDescent="0.3">
      <c r="A118" s="768"/>
      <c r="B118" s="768"/>
      <c r="C118" s="700"/>
      <c r="D118" s="701"/>
      <c r="E118" s="700"/>
      <c r="F118" s="328"/>
      <c r="G118" s="700"/>
      <c r="H118" s="700"/>
      <c r="I118" s="703"/>
      <c r="J118" s="704"/>
      <c r="K118" s="704"/>
      <c r="L118" s="704"/>
      <c r="M118" s="704"/>
      <c r="N118" s="704"/>
      <c r="O118" s="685"/>
      <c r="P118" s="637"/>
    </row>
    <row r="119" spans="1:16" ht="15.75" customHeight="1" x14ac:dyDescent="0.3">
      <c r="A119" s="768"/>
      <c r="B119" s="768"/>
      <c r="C119" s="700"/>
      <c r="D119" s="701"/>
      <c r="E119" s="700"/>
      <c r="F119" s="328"/>
      <c r="G119" s="700"/>
      <c r="H119" s="700"/>
      <c r="I119" s="703"/>
      <c r="J119" s="704"/>
      <c r="K119" s="704"/>
      <c r="L119" s="704"/>
      <c r="M119" s="704"/>
      <c r="N119" s="704"/>
      <c r="O119" s="685"/>
      <c r="P119" s="637"/>
    </row>
    <row r="120" spans="1:16" ht="15.75" customHeight="1" x14ac:dyDescent="0.3">
      <c r="A120" s="768"/>
      <c r="B120" s="768"/>
      <c r="C120" s="700"/>
      <c r="D120" s="701"/>
      <c r="E120" s="700"/>
      <c r="F120" s="328"/>
      <c r="G120" s="700"/>
      <c r="H120" s="700"/>
      <c r="I120" s="703"/>
      <c r="J120" s="704"/>
      <c r="K120" s="704"/>
      <c r="L120" s="704"/>
      <c r="M120" s="704"/>
      <c r="N120" s="704"/>
      <c r="O120" s="685"/>
      <c r="P120" s="685"/>
    </row>
    <row r="121" spans="1:16" ht="15.75" customHeight="1" x14ac:dyDescent="0.3">
      <c r="A121" s="768"/>
      <c r="B121" s="768"/>
      <c r="C121" s="700"/>
      <c r="D121" s="701"/>
      <c r="E121" s="700"/>
      <c r="F121" s="328"/>
      <c r="G121" s="700"/>
      <c r="H121" s="700"/>
      <c r="I121" s="703"/>
      <c r="J121" s="704"/>
      <c r="K121" s="704"/>
      <c r="L121" s="704"/>
      <c r="M121" s="704"/>
      <c r="N121" s="704"/>
      <c r="O121" s="685"/>
      <c r="P121" s="685"/>
    </row>
    <row r="122" spans="1:16" ht="15.75" customHeight="1" x14ac:dyDescent="0.3">
      <c r="A122" s="768"/>
      <c r="B122" s="768"/>
      <c r="C122" s="700"/>
      <c r="D122" s="701"/>
      <c r="E122" s="700"/>
      <c r="F122" s="328"/>
      <c r="G122" s="700"/>
      <c r="H122" s="700"/>
      <c r="I122" s="703"/>
      <c r="J122" s="704"/>
      <c r="K122" s="704"/>
      <c r="L122" s="704"/>
      <c r="M122" s="704"/>
      <c r="N122" s="704"/>
      <c r="O122" s="685"/>
      <c r="P122" s="685"/>
    </row>
    <row r="123" spans="1:16" ht="15.75" customHeight="1" x14ac:dyDescent="0.3">
      <c r="A123" s="768"/>
      <c r="B123" s="768"/>
      <c r="C123" s="700"/>
      <c r="D123" s="701"/>
      <c r="E123" s="700"/>
      <c r="F123" s="328"/>
      <c r="G123" s="700"/>
      <c r="H123" s="700"/>
      <c r="I123" s="703"/>
      <c r="J123" s="704"/>
      <c r="K123" s="704"/>
      <c r="L123" s="704"/>
      <c r="M123" s="704"/>
      <c r="N123" s="704"/>
      <c r="O123" s="685"/>
      <c r="P123" s="637"/>
    </row>
    <row r="124" spans="1:16" ht="15.75" customHeight="1" x14ac:dyDescent="0.3">
      <c r="A124" s="768"/>
      <c r="B124" s="768"/>
      <c r="C124" s="700"/>
      <c r="D124" s="701"/>
      <c r="E124" s="700"/>
      <c r="F124" s="328"/>
      <c r="G124" s="700"/>
      <c r="H124" s="700"/>
      <c r="I124" s="703"/>
      <c r="J124" s="704"/>
      <c r="K124" s="704"/>
      <c r="L124" s="704"/>
      <c r="M124" s="704"/>
      <c r="N124" s="704"/>
      <c r="O124" s="685"/>
      <c r="P124" s="637"/>
    </row>
    <row r="125" spans="1:16" ht="15.75" customHeight="1" x14ac:dyDescent="0.3">
      <c r="A125" s="768"/>
      <c r="B125" s="768"/>
      <c r="C125" s="700"/>
      <c r="D125" s="701"/>
      <c r="E125" s="700"/>
      <c r="F125" s="328"/>
      <c r="G125" s="700"/>
      <c r="H125" s="700"/>
      <c r="I125" s="703"/>
      <c r="J125" s="704"/>
      <c r="K125" s="704"/>
      <c r="L125" s="704"/>
      <c r="M125" s="704"/>
      <c r="N125" s="704"/>
      <c r="O125" s="685"/>
      <c r="P125" s="637"/>
    </row>
    <row r="126" spans="1:16" ht="15.75" customHeight="1" x14ac:dyDescent="0.3">
      <c r="A126" s="768"/>
      <c r="B126" s="768"/>
      <c r="C126" s="700"/>
      <c r="D126" s="701"/>
      <c r="E126" s="700"/>
      <c r="F126" s="328"/>
      <c r="G126" s="700"/>
      <c r="H126" s="700"/>
      <c r="I126" s="703"/>
      <c r="J126" s="704"/>
      <c r="K126" s="704"/>
      <c r="L126" s="704"/>
      <c r="M126" s="704"/>
      <c r="N126" s="704"/>
      <c r="O126" s="685"/>
      <c r="P126" s="685"/>
    </row>
    <row r="127" spans="1:16" ht="15.75" customHeight="1" x14ac:dyDescent="0.3">
      <c r="A127" s="768"/>
      <c r="B127" s="768"/>
      <c r="C127" s="700"/>
      <c r="D127" s="701"/>
      <c r="E127" s="700"/>
      <c r="F127" s="328"/>
      <c r="G127" s="700"/>
      <c r="H127" s="700"/>
      <c r="I127" s="703"/>
      <c r="J127" s="704"/>
      <c r="K127" s="704"/>
      <c r="L127" s="704"/>
      <c r="M127" s="704"/>
      <c r="N127" s="704"/>
      <c r="O127" s="685"/>
      <c r="P127" s="685"/>
    </row>
    <row r="128" spans="1:16" ht="15.75" customHeight="1" x14ac:dyDescent="0.3">
      <c r="A128" s="768"/>
      <c r="B128" s="768"/>
      <c r="C128" s="700"/>
      <c r="D128" s="701"/>
      <c r="E128" s="700"/>
      <c r="F128" s="328"/>
      <c r="G128" s="700"/>
      <c r="H128" s="700"/>
      <c r="I128" s="703"/>
      <c r="J128" s="704"/>
      <c r="K128" s="704"/>
      <c r="L128" s="704"/>
      <c r="M128" s="704"/>
      <c r="N128" s="704"/>
      <c r="O128" s="685"/>
      <c r="P128" s="685"/>
    </row>
    <row r="129" spans="1:16" ht="15.75" customHeight="1" x14ac:dyDescent="0.3">
      <c r="A129" s="768"/>
      <c r="B129" s="768"/>
      <c r="C129" s="700"/>
      <c r="D129" s="701"/>
      <c r="E129" s="700"/>
      <c r="F129" s="328"/>
      <c r="G129" s="700"/>
      <c r="H129" s="700"/>
      <c r="I129" s="703"/>
      <c r="J129" s="704"/>
      <c r="K129" s="704"/>
      <c r="L129" s="704"/>
      <c r="M129" s="704"/>
      <c r="N129" s="704"/>
      <c r="O129" s="685"/>
      <c r="P129" s="637"/>
    </row>
    <row r="130" spans="1:16" ht="15.75" customHeight="1" x14ac:dyDescent="0.3">
      <c r="A130" s="768"/>
      <c r="B130" s="768"/>
      <c r="C130" s="700"/>
      <c r="D130" s="701"/>
      <c r="E130" s="700"/>
      <c r="F130" s="328"/>
      <c r="G130" s="700"/>
      <c r="H130" s="700"/>
      <c r="I130" s="703"/>
      <c r="J130" s="704"/>
      <c r="K130" s="704"/>
      <c r="L130" s="704"/>
      <c r="M130" s="704"/>
      <c r="N130" s="704"/>
      <c r="O130" s="685"/>
      <c r="P130" s="637"/>
    </row>
    <row r="131" spans="1:16" ht="15.75" customHeight="1" x14ac:dyDescent="0.3">
      <c r="A131" s="768"/>
      <c r="B131" s="768"/>
      <c r="C131" s="700"/>
      <c r="D131" s="701"/>
      <c r="E131" s="700"/>
      <c r="F131" s="328"/>
      <c r="G131" s="700"/>
      <c r="H131" s="700"/>
      <c r="I131" s="703"/>
      <c r="J131" s="704"/>
      <c r="K131" s="704"/>
      <c r="L131" s="704"/>
      <c r="M131" s="704"/>
      <c r="N131" s="704"/>
      <c r="O131" s="685"/>
      <c r="P131" s="685"/>
    </row>
    <row r="132" spans="1:16" ht="15.75" customHeight="1" x14ac:dyDescent="0.3">
      <c r="A132" s="768"/>
      <c r="B132" s="768"/>
      <c r="C132" s="700"/>
      <c r="D132" s="701"/>
      <c r="E132" s="700"/>
      <c r="F132" s="328"/>
      <c r="G132" s="700"/>
      <c r="H132" s="700"/>
      <c r="I132" s="703"/>
      <c r="J132" s="704"/>
      <c r="K132" s="704"/>
      <c r="L132" s="704"/>
      <c r="M132" s="704"/>
      <c r="N132" s="704"/>
      <c r="O132" s="685"/>
      <c r="P132" s="685"/>
    </row>
    <row r="133" spans="1:16" ht="15.75" customHeight="1" x14ac:dyDescent="0.3">
      <c r="A133" s="768"/>
      <c r="B133" s="768"/>
      <c r="C133" s="700"/>
      <c r="D133" s="701"/>
      <c r="E133" s="700"/>
      <c r="F133" s="328"/>
      <c r="G133" s="700"/>
      <c r="H133" s="700"/>
      <c r="I133" s="703"/>
      <c r="J133" s="704"/>
      <c r="K133" s="704"/>
      <c r="L133" s="704"/>
      <c r="M133" s="704"/>
      <c r="N133" s="704"/>
      <c r="O133" s="685"/>
      <c r="P133" s="637"/>
    </row>
    <row r="134" spans="1:16" ht="15.75" customHeight="1" x14ac:dyDescent="0.3">
      <c r="A134" s="768"/>
      <c r="B134" s="768"/>
      <c r="C134" s="700"/>
      <c r="D134" s="701"/>
      <c r="E134" s="700"/>
      <c r="F134" s="328"/>
      <c r="G134" s="700"/>
      <c r="H134" s="700"/>
      <c r="I134" s="703"/>
      <c r="J134" s="704"/>
      <c r="K134" s="704"/>
      <c r="L134" s="704"/>
      <c r="M134" s="704"/>
      <c r="N134" s="704"/>
      <c r="O134" s="685"/>
      <c r="P134" s="637"/>
    </row>
    <row r="135" spans="1:16" ht="15.75" customHeight="1" x14ac:dyDescent="0.3">
      <c r="A135" s="768"/>
      <c r="B135" s="768"/>
      <c r="C135" s="700"/>
      <c r="D135" s="701"/>
      <c r="E135" s="700"/>
      <c r="F135" s="328"/>
      <c r="G135" s="700"/>
      <c r="H135" s="700"/>
      <c r="I135" s="703"/>
      <c r="J135" s="704"/>
      <c r="K135" s="704"/>
      <c r="L135" s="704"/>
      <c r="M135" s="704"/>
      <c r="N135" s="704"/>
      <c r="O135" s="685"/>
      <c r="P135" s="637"/>
    </row>
    <row r="136" spans="1:16" ht="15.75" customHeight="1" x14ac:dyDescent="0.3">
      <c r="A136" s="768"/>
      <c r="B136" s="768"/>
      <c r="C136" s="700"/>
      <c r="D136" s="701"/>
      <c r="E136" s="700"/>
      <c r="F136" s="328"/>
      <c r="G136" s="700"/>
      <c r="H136" s="700"/>
      <c r="I136" s="703"/>
      <c r="J136" s="704"/>
      <c r="K136" s="704"/>
      <c r="L136" s="704"/>
      <c r="M136" s="704"/>
      <c r="N136" s="704"/>
      <c r="O136" s="685"/>
      <c r="P136" s="637"/>
    </row>
    <row r="137" spans="1:16" ht="15.75" customHeight="1" x14ac:dyDescent="0.3">
      <c r="A137" s="768"/>
      <c r="B137" s="768"/>
      <c r="C137" s="700"/>
      <c r="D137" s="701"/>
      <c r="E137" s="700"/>
      <c r="F137" s="328"/>
      <c r="G137" s="700"/>
      <c r="H137" s="700"/>
      <c r="I137" s="703"/>
      <c r="J137" s="704"/>
      <c r="K137" s="704"/>
      <c r="L137" s="704"/>
      <c r="M137" s="704"/>
      <c r="N137" s="704"/>
      <c r="O137" s="685"/>
      <c r="P137" s="637"/>
    </row>
    <row r="138" spans="1:16" ht="15.75" customHeight="1" x14ac:dyDescent="0.3">
      <c r="A138" s="768"/>
      <c r="B138" s="768"/>
      <c r="C138" s="700"/>
      <c r="D138" s="701"/>
      <c r="E138" s="700"/>
      <c r="F138" s="328"/>
      <c r="G138" s="700"/>
      <c r="H138" s="700"/>
      <c r="I138" s="703"/>
      <c r="J138" s="704"/>
      <c r="K138" s="704"/>
      <c r="L138" s="704"/>
      <c r="M138" s="704"/>
      <c r="N138" s="704"/>
      <c r="O138" s="685"/>
      <c r="P138" s="685"/>
    </row>
    <row r="139" spans="1:16" ht="15.75" customHeight="1" x14ac:dyDescent="0.3">
      <c r="A139" s="768"/>
      <c r="B139" s="768"/>
      <c r="C139" s="700"/>
      <c r="D139" s="701"/>
      <c r="E139" s="700"/>
      <c r="F139" s="328"/>
      <c r="G139" s="700"/>
      <c r="H139" s="700"/>
      <c r="I139" s="703"/>
      <c r="J139" s="704"/>
      <c r="K139" s="704"/>
      <c r="L139" s="704"/>
      <c r="M139" s="704"/>
      <c r="N139" s="704"/>
      <c r="O139" s="685"/>
      <c r="P139" s="685"/>
    </row>
    <row r="140" spans="1:16" ht="15.75" customHeight="1" x14ac:dyDescent="0.3">
      <c r="A140" s="768"/>
      <c r="B140" s="768"/>
      <c r="C140" s="700"/>
      <c r="D140" s="701"/>
      <c r="E140" s="700"/>
      <c r="F140" s="328"/>
      <c r="G140" s="700"/>
      <c r="H140" s="700"/>
      <c r="I140" s="703"/>
      <c r="J140" s="704"/>
      <c r="K140" s="704"/>
      <c r="L140" s="704"/>
      <c r="M140" s="704"/>
      <c r="N140" s="704"/>
      <c r="O140" s="685"/>
      <c r="P140" s="707"/>
    </row>
    <row r="141" spans="1:16" ht="15.75" customHeight="1" x14ac:dyDescent="0.3">
      <c r="A141" s="768"/>
      <c r="B141" s="768"/>
      <c r="C141" s="700"/>
      <c r="D141" s="701"/>
      <c r="E141" s="700"/>
      <c r="F141" s="328"/>
      <c r="G141" s="700"/>
      <c r="H141" s="700"/>
      <c r="I141" s="703"/>
      <c r="J141" s="704"/>
      <c r="K141" s="704"/>
      <c r="L141" s="704"/>
      <c r="M141" s="704"/>
      <c r="N141" s="704"/>
      <c r="O141" s="685"/>
      <c r="P141" s="707"/>
    </row>
    <row r="142" spans="1:16" ht="15.75" customHeight="1" x14ac:dyDescent="0.3">
      <c r="A142" s="768"/>
      <c r="B142" s="768"/>
      <c r="C142" s="700"/>
      <c r="D142" s="701"/>
      <c r="E142" s="700"/>
      <c r="F142" s="328"/>
      <c r="G142" s="700"/>
      <c r="H142" s="700"/>
      <c r="I142" s="703"/>
      <c r="J142" s="704"/>
      <c r="K142" s="704"/>
      <c r="L142" s="704"/>
      <c r="M142" s="704"/>
      <c r="N142" s="704"/>
      <c r="O142" s="685"/>
      <c r="P142" s="707"/>
    </row>
    <row r="143" spans="1:16" ht="15.75" customHeight="1" x14ac:dyDescent="0.3">
      <c r="A143" s="768"/>
      <c r="B143" s="768"/>
      <c r="C143" s="700"/>
      <c r="D143" s="701"/>
      <c r="E143" s="700"/>
      <c r="F143" s="328"/>
      <c r="G143" s="700"/>
      <c r="H143" s="700"/>
      <c r="I143" s="703"/>
      <c r="J143" s="704"/>
      <c r="K143" s="704"/>
      <c r="L143" s="704"/>
      <c r="M143" s="704"/>
      <c r="N143" s="704"/>
      <c r="O143" s="685"/>
      <c r="P143" s="671"/>
    </row>
    <row r="144" spans="1:16" ht="15.75" customHeight="1" x14ac:dyDescent="0.3">
      <c r="A144" s="768"/>
      <c r="B144" s="768"/>
      <c r="C144" s="700"/>
      <c r="D144" s="701"/>
      <c r="E144" s="700"/>
      <c r="F144" s="328"/>
      <c r="G144" s="700"/>
      <c r="H144" s="700"/>
      <c r="I144" s="703"/>
      <c r="J144" s="704"/>
      <c r="K144" s="704"/>
      <c r="L144" s="704"/>
      <c r="M144" s="704"/>
      <c r="N144" s="704"/>
      <c r="O144" s="685"/>
      <c r="P144" s="637"/>
    </row>
    <row r="145" spans="1:16" ht="15.75" customHeight="1" x14ac:dyDescent="0.3">
      <c r="A145" s="768"/>
      <c r="B145" s="768"/>
      <c r="C145" s="700"/>
      <c r="D145" s="701"/>
      <c r="E145" s="700"/>
      <c r="F145" s="328"/>
      <c r="G145" s="700"/>
      <c r="H145" s="700"/>
      <c r="I145" s="703"/>
      <c r="J145" s="704"/>
      <c r="K145" s="704"/>
      <c r="L145" s="704"/>
      <c r="M145" s="704"/>
      <c r="N145" s="704"/>
      <c r="O145" s="685"/>
      <c r="P145" s="637"/>
    </row>
    <row r="146" spans="1:16" ht="15.75" customHeight="1" x14ac:dyDescent="0.3">
      <c r="A146" s="768"/>
      <c r="B146" s="768"/>
      <c r="C146" s="700"/>
      <c r="D146" s="701"/>
      <c r="E146" s="700"/>
      <c r="F146" s="328"/>
      <c r="G146" s="700"/>
      <c r="H146" s="700"/>
      <c r="I146" s="703"/>
      <c r="J146" s="704"/>
      <c r="K146" s="704"/>
      <c r="L146" s="704"/>
      <c r="M146" s="704"/>
      <c r="N146" s="704"/>
      <c r="O146" s="685"/>
      <c r="P146" s="685"/>
    </row>
    <row r="147" spans="1:16" ht="15.75" customHeight="1" x14ac:dyDescent="0.3">
      <c r="A147" s="768"/>
      <c r="B147" s="768"/>
      <c r="C147" s="700"/>
      <c r="D147" s="701"/>
      <c r="E147" s="700"/>
      <c r="F147" s="328"/>
      <c r="G147" s="700"/>
      <c r="H147" s="700"/>
      <c r="I147" s="703"/>
      <c r="J147" s="704"/>
      <c r="K147" s="704"/>
      <c r="L147" s="704"/>
      <c r="M147" s="704"/>
      <c r="N147" s="704"/>
      <c r="O147" s="685"/>
      <c r="P147" s="685"/>
    </row>
    <row r="148" spans="1:16" ht="15.75" customHeight="1" x14ac:dyDescent="0.3">
      <c r="A148" s="768"/>
      <c r="B148" s="768"/>
      <c r="C148" s="700"/>
      <c r="D148" s="701"/>
      <c r="E148" s="700"/>
      <c r="F148" s="328"/>
      <c r="G148" s="700"/>
      <c r="H148" s="700"/>
      <c r="I148" s="703"/>
      <c r="J148" s="704"/>
      <c r="K148" s="704"/>
      <c r="L148" s="704"/>
      <c r="M148" s="704"/>
      <c r="N148" s="704"/>
      <c r="O148" s="685"/>
      <c r="P148" s="685"/>
    </row>
    <row r="149" spans="1:16" ht="15.75" customHeight="1" x14ac:dyDescent="0.3">
      <c r="A149" s="768"/>
      <c r="B149" s="768"/>
      <c r="C149" s="700"/>
      <c r="D149" s="701"/>
      <c r="E149" s="700"/>
      <c r="F149" s="328"/>
      <c r="G149" s="700"/>
      <c r="H149" s="700"/>
      <c r="I149" s="703"/>
      <c r="J149" s="704"/>
      <c r="K149" s="704"/>
      <c r="L149" s="704"/>
      <c r="M149" s="704"/>
      <c r="N149" s="704"/>
      <c r="O149" s="685"/>
    </row>
    <row r="150" spans="1:16" ht="15.75" customHeight="1" x14ac:dyDescent="0.3">
      <c r="A150" s="768"/>
      <c r="B150" s="768"/>
      <c r="C150" s="700"/>
      <c r="D150" s="701"/>
      <c r="E150" s="700"/>
      <c r="F150" s="328"/>
      <c r="G150" s="700"/>
      <c r="H150" s="700"/>
      <c r="I150" s="703"/>
      <c r="J150" s="704"/>
      <c r="K150" s="704"/>
      <c r="L150" s="704"/>
      <c r="M150" s="704"/>
      <c r="N150" s="704"/>
      <c r="O150" s="685"/>
    </row>
    <row r="151" spans="1:16" ht="15.75" customHeight="1" x14ac:dyDescent="0.3">
      <c r="A151" s="768"/>
      <c r="B151" s="768"/>
      <c r="C151" s="700"/>
      <c r="D151" s="701"/>
      <c r="E151" s="700"/>
      <c r="F151" s="328"/>
      <c r="G151" s="700"/>
      <c r="H151" s="700"/>
      <c r="I151" s="703"/>
      <c r="J151" s="704"/>
      <c r="K151" s="704"/>
      <c r="L151" s="704"/>
      <c r="M151" s="704"/>
      <c r="N151" s="704"/>
      <c r="O151" s="685"/>
    </row>
    <row r="152" spans="1:16" ht="15.75" customHeight="1" x14ac:dyDescent="0.3">
      <c r="A152" s="768"/>
      <c r="B152" s="768"/>
      <c r="C152" s="700"/>
      <c r="D152" s="701"/>
      <c r="E152" s="700"/>
      <c r="F152" s="328"/>
      <c r="G152" s="700"/>
      <c r="H152" s="700"/>
      <c r="I152" s="703"/>
      <c r="J152" s="704"/>
      <c r="K152" s="704"/>
      <c r="L152" s="704"/>
      <c r="M152" s="704"/>
      <c r="N152" s="704"/>
      <c r="O152" s="685"/>
    </row>
    <row r="153" spans="1:16" ht="15.75" customHeight="1" x14ac:dyDescent="0.3">
      <c r="A153" s="768"/>
      <c r="B153" s="768"/>
      <c r="C153" s="700"/>
      <c r="D153" s="701"/>
      <c r="E153" s="700"/>
      <c r="F153" s="328"/>
      <c r="G153" s="700"/>
      <c r="H153" s="700"/>
      <c r="I153" s="703"/>
      <c r="J153" s="704"/>
      <c r="K153" s="704"/>
      <c r="L153" s="704"/>
      <c r="M153" s="704"/>
      <c r="N153" s="704"/>
      <c r="O153" s="685"/>
    </row>
    <row r="154" spans="1:16" ht="15.75" customHeight="1" x14ac:dyDescent="0.3">
      <c r="A154" s="768"/>
      <c r="B154" s="768"/>
      <c r="C154" s="700"/>
      <c r="D154" s="701"/>
      <c r="E154" s="700"/>
      <c r="F154" s="328"/>
      <c r="G154" s="700"/>
      <c r="H154" s="700"/>
      <c r="I154" s="703"/>
      <c r="J154" s="704"/>
      <c r="K154" s="704"/>
      <c r="L154" s="704"/>
      <c r="M154" s="704"/>
      <c r="N154" s="704"/>
      <c r="O154" s="685"/>
    </row>
    <row r="155" spans="1:16" ht="15.75" customHeight="1" x14ac:dyDescent="0.3">
      <c r="A155" s="768"/>
      <c r="B155" s="768"/>
      <c r="C155" s="700"/>
      <c r="D155" s="701"/>
      <c r="E155" s="700"/>
      <c r="F155" s="328"/>
      <c r="G155" s="700"/>
      <c r="H155" s="700"/>
      <c r="I155" s="703"/>
      <c r="J155" s="704"/>
      <c r="K155" s="704"/>
      <c r="L155" s="704"/>
      <c r="M155" s="704"/>
      <c r="N155" s="704"/>
      <c r="O155" s="685"/>
    </row>
    <row r="156" spans="1:16" ht="15.75" customHeight="1" x14ac:dyDescent="0.3">
      <c r="A156" s="768"/>
      <c r="B156" s="768"/>
      <c r="C156" s="700"/>
      <c r="D156" s="701"/>
      <c r="E156" s="700"/>
      <c r="F156" s="328"/>
      <c r="G156" s="700"/>
      <c r="H156" s="700"/>
      <c r="I156" s="703"/>
      <c r="J156" s="704"/>
      <c r="K156" s="704"/>
      <c r="L156" s="704"/>
      <c r="M156" s="704"/>
      <c r="N156" s="704"/>
      <c r="O156" s="685"/>
    </row>
    <row r="157" spans="1:16" ht="15.75" customHeight="1" x14ac:dyDescent="0.3">
      <c r="A157" s="768"/>
      <c r="B157" s="768"/>
      <c r="C157" s="700"/>
      <c r="D157" s="701"/>
      <c r="E157" s="700"/>
      <c r="F157" s="328"/>
      <c r="G157" s="700"/>
      <c r="H157" s="700"/>
      <c r="I157" s="703"/>
      <c r="J157" s="704"/>
      <c r="K157" s="704"/>
      <c r="L157" s="704"/>
      <c r="M157" s="704"/>
      <c r="N157" s="704"/>
      <c r="O157" s="685"/>
    </row>
    <row r="158" spans="1:16" ht="15.75" customHeight="1" x14ac:dyDescent="0.3">
      <c r="A158" s="768"/>
      <c r="B158" s="768"/>
      <c r="C158" s="700"/>
      <c r="D158" s="701"/>
      <c r="E158" s="700"/>
      <c r="F158" s="328"/>
      <c r="G158" s="700"/>
      <c r="H158" s="700"/>
      <c r="I158" s="703"/>
      <c r="J158" s="704"/>
      <c r="K158" s="704"/>
      <c r="L158" s="704"/>
      <c r="M158" s="704"/>
      <c r="N158" s="704"/>
      <c r="O158" s="685"/>
    </row>
    <row r="159" spans="1:16" ht="15.75" customHeight="1" x14ac:dyDescent="0.3">
      <c r="A159" s="768"/>
      <c r="B159" s="768"/>
      <c r="C159" s="700"/>
      <c r="D159" s="701"/>
      <c r="E159" s="700"/>
      <c r="F159" s="328"/>
      <c r="G159" s="700"/>
      <c r="H159" s="700"/>
      <c r="I159" s="703"/>
      <c r="J159" s="704"/>
      <c r="K159" s="704"/>
      <c r="L159" s="704"/>
      <c r="M159" s="704"/>
      <c r="N159" s="704"/>
      <c r="O159" s="685"/>
    </row>
    <row r="160" spans="1:16" ht="15.75" customHeight="1" x14ac:dyDescent="0.3">
      <c r="A160" s="768"/>
      <c r="B160" s="768"/>
      <c r="C160" s="700"/>
      <c r="D160" s="701"/>
      <c r="E160" s="700"/>
      <c r="F160" s="328"/>
      <c r="G160" s="700"/>
      <c r="H160" s="700"/>
      <c r="I160" s="703"/>
      <c r="J160" s="704"/>
      <c r="K160" s="704"/>
      <c r="L160" s="704"/>
      <c r="M160" s="704"/>
      <c r="N160" s="704"/>
      <c r="O160" s="685"/>
    </row>
    <row r="161" spans="1:15" ht="15.75" customHeight="1" x14ac:dyDescent="0.3">
      <c r="A161" s="768"/>
      <c r="B161" s="768"/>
      <c r="C161" s="700"/>
      <c r="D161" s="701"/>
      <c r="E161" s="700"/>
      <c r="F161" s="328"/>
      <c r="G161" s="700"/>
      <c r="H161" s="700"/>
      <c r="I161" s="703"/>
      <c r="J161" s="704"/>
      <c r="K161" s="704"/>
      <c r="L161" s="704"/>
      <c r="M161" s="704"/>
      <c r="N161" s="704"/>
      <c r="O161" s="685"/>
    </row>
    <row r="162" spans="1:15" ht="15.75" customHeight="1" x14ac:dyDescent="0.3">
      <c r="A162" s="768"/>
      <c r="B162" s="768"/>
      <c r="C162" s="700"/>
      <c r="D162" s="701"/>
      <c r="E162" s="700"/>
      <c r="F162" s="328"/>
      <c r="G162" s="700"/>
      <c r="H162" s="700"/>
      <c r="I162" s="703"/>
      <c r="J162" s="704"/>
      <c r="K162" s="704"/>
      <c r="L162" s="704"/>
      <c r="M162" s="704"/>
      <c r="N162" s="704"/>
      <c r="O162" s="685"/>
    </row>
    <row r="163" spans="1:15" ht="15.75" customHeight="1" x14ac:dyDescent="0.3">
      <c r="A163" s="768"/>
      <c r="B163" s="768"/>
      <c r="C163" s="700"/>
      <c r="D163" s="701"/>
      <c r="E163" s="700"/>
      <c r="F163" s="328"/>
      <c r="G163" s="700"/>
      <c r="H163" s="700"/>
      <c r="I163" s="703"/>
      <c r="J163" s="704"/>
      <c r="K163" s="704"/>
      <c r="L163" s="704"/>
      <c r="M163" s="704"/>
      <c r="N163" s="704"/>
      <c r="O163" s="685"/>
    </row>
    <row r="164" spans="1:15" ht="15.75" customHeight="1" x14ac:dyDescent="0.3">
      <c r="A164" s="768"/>
      <c r="B164" s="768"/>
      <c r="C164" s="700"/>
      <c r="D164" s="701"/>
      <c r="E164" s="700"/>
      <c r="F164" s="328"/>
      <c r="G164" s="700"/>
      <c r="H164" s="700"/>
      <c r="I164" s="703"/>
      <c r="J164" s="704"/>
      <c r="K164" s="704"/>
      <c r="L164" s="704"/>
      <c r="M164" s="704"/>
      <c r="N164" s="704"/>
      <c r="O164" s="685"/>
    </row>
    <row r="165" spans="1:15" ht="15.75" customHeight="1" x14ac:dyDescent="0.3">
      <c r="A165" s="768"/>
      <c r="B165" s="768"/>
      <c r="C165" s="700"/>
      <c r="D165" s="701"/>
      <c r="E165" s="700"/>
      <c r="F165" s="328"/>
      <c r="G165" s="700"/>
      <c r="H165" s="700"/>
      <c r="I165" s="703"/>
      <c r="J165" s="704"/>
      <c r="K165" s="704"/>
      <c r="L165" s="704"/>
      <c r="M165" s="704"/>
      <c r="N165" s="704"/>
      <c r="O165" s="685"/>
    </row>
    <row r="166" spans="1:15" ht="15.75" customHeight="1" x14ac:dyDescent="0.3">
      <c r="A166" s="768"/>
      <c r="B166" s="768"/>
      <c r="C166" s="700"/>
      <c r="D166" s="701"/>
      <c r="E166" s="700"/>
      <c r="F166" s="328"/>
      <c r="G166" s="700"/>
      <c r="H166" s="700"/>
      <c r="I166" s="703"/>
      <c r="J166" s="704"/>
      <c r="K166" s="704"/>
      <c r="L166" s="704"/>
      <c r="M166" s="704"/>
      <c r="N166" s="704"/>
      <c r="O166" s="685"/>
    </row>
    <row r="167" spans="1:15" ht="15.75" customHeight="1" x14ac:dyDescent="0.3">
      <c r="A167" s="768"/>
      <c r="B167" s="768"/>
      <c r="C167" s="700"/>
      <c r="D167" s="701"/>
      <c r="E167" s="700"/>
      <c r="F167" s="328"/>
      <c r="G167" s="700"/>
      <c r="H167" s="700"/>
      <c r="I167" s="703"/>
      <c r="J167" s="704"/>
      <c r="K167" s="704"/>
      <c r="L167" s="704"/>
      <c r="M167" s="704"/>
      <c r="N167" s="704"/>
      <c r="O167" s="685"/>
    </row>
    <row r="168" spans="1:15" ht="15.75" customHeight="1" x14ac:dyDescent="0.3">
      <c r="A168" s="768"/>
      <c r="B168" s="768"/>
      <c r="C168" s="700"/>
      <c r="D168" s="701"/>
      <c r="E168" s="700"/>
      <c r="F168" s="328"/>
      <c r="G168" s="700"/>
      <c r="H168" s="700"/>
      <c r="I168" s="703"/>
      <c r="J168" s="704"/>
      <c r="K168" s="704"/>
      <c r="L168" s="704"/>
      <c r="M168" s="704"/>
      <c r="N168" s="704"/>
      <c r="O168" s="685"/>
    </row>
    <row r="169" spans="1:15" ht="15.75" customHeight="1" x14ac:dyDescent="0.3">
      <c r="A169" s="768"/>
      <c r="B169" s="768"/>
      <c r="C169" s="700"/>
      <c r="D169" s="701"/>
      <c r="E169" s="700"/>
      <c r="F169" s="328"/>
      <c r="G169" s="700"/>
      <c r="H169" s="700"/>
      <c r="I169" s="703"/>
      <c r="J169" s="704"/>
      <c r="K169" s="704"/>
      <c r="L169" s="704"/>
      <c r="M169" s="704"/>
      <c r="N169" s="704"/>
      <c r="O169" s="685"/>
    </row>
    <row r="170" spans="1:15" ht="15.75" customHeight="1" x14ac:dyDescent="0.3">
      <c r="A170" s="768"/>
      <c r="B170" s="768"/>
      <c r="C170" s="700"/>
      <c r="D170" s="701"/>
      <c r="E170" s="700"/>
      <c r="F170" s="328"/>
      <c r="G170" s="700"/>
      <c r="H170" s="700"/>
      <c r="I170" s="703"/>
      <c r="J170" s="704"/>
      <c r="K170" s="704"/>
      <c r="L170" s="704"/>
      <c r="M170" s="704"/>
      <c r="N170" s="704"/>
      <c r="O170" s="685"/>
    </row>
    <row r="171" spans="1:15" ht="15.75" customHeight="1" x14ac:dyDescent="0.3">
      <c r="A171" s="768"/>
      <c r="B171" s="768"/>
      <c r="C171" s="700"/>
      <c r="D171" s="701"/>
      <c r="E171" s="700"/>
      <c r="F171" s="328"/>
      <c r="G171" s="700"/>
      <c r="H171" s="700"/>
      <c r="I171" s="703"/>
      <c r="J171" s="704"/>
      <c r="K171" s="704"/>
      <c r="L171" s="704"/>
      <c r="M171" s="704"/>
      <c r="N171" s="704"/>
      <c r="O171" s="685"/>
    </row>
    <row r="172" spans="1:15" ht="15.75" customHeight="1" x14ac:dyDescent="0.3">
      <c r="A172" s="768"/>
      <c r="B172" s="768"/>
      <c r="C172" s="700"/>
      <c r="D172" s="701"/>
      <c r="E172" s="700"/>
      <c r="F172" s="328"/>
      <c r="G172" s="700"/>
      <c r="H172" s="700"/>
      <c r="I172" s="703"/>
      <c r="J172" s="704"/>
      <c r="K172" s="704"/>
      <c r="L172" s="704"/>
      <c r="M172" s="704"/>
      <c r="N172" s="704"/>
      <c r="O172" s="685"/>
    </row>
    <row r="173" spans="1:15" ht="15.75" customHeight="1" x14ac:dyDescent="0.3">
      <c r="A173" s="768"/>
      <c r="B173" s="768"/>
      <c r="C173" s="700"/>
      <c r="D173" s="701"/>
      <c r="E173" s="700"/>
      <c r="F173" s="328"/>
      <c r="G173" s="700"/>
      <c r="H173" s="700"/>
      <c r="I173" s="703"/>
      <c r="J173" s="704"/>
      <c r="K173" s="704"/>
      <c r="L173" s="704"/>
      <c r="M173" s="704"/>
      <c r="N173" s="704"/>
      <c r="O173" s="685"/>
    </row>
    <row r="174" spans="1:15" ht="15.75" customHeight="1" x14ac:dyDescent="0.3">
      <c r="A174" s="768"/>
      <c r="B174" s="768"/>
      <c r="C174" s="700"/>
      <c r="D174" s="701"/>
      <c r="E174" s="700"/>
      <c r="F174" s="328"/>
      <c r="G174" s="700"/>
      <c r="H174" s="700"/>
      <c r="I174" s="703"/>
      <c r="J174" s="704"/>
      <c r="K174" s="704"/>
      <c r="L174" s="704"/>
      <c r="M174" s="704"/>
      <c r="N174" s="704"/>
      <c r="O174" s="685"/>
    </row>
    <row r="175" spans="1:15" ht="15.75" customHeight="1" x14ac:dyDescent="0.3">
      <c r="A175" s="768"/>
      <c r="B175" s="768"/>
      <c r="C175" s="700"/>
      <c r="D175" s="701"/>
      <c r="E175" s="700"/>
      <c r="F175" s="328"/>
      <c r="G175" s="700"/>
      <c r="H175" s="700"/>
      <c r="I175" s="703"/>
      <c r="J175" s="704"/>
      <c r="K175" s="704"/>
      <c r="L175" s="704"/>
      <c r="M175" s="704"/>
      <c r="N175" s="704"/>
      <c r="O175" s="685"/>
    </row>
    <row r="176" spans="1:15" ht="15.75" customHeight="1" x14ac:dyDescent="0.3">
      <c r="A176" s="768"/>
      <c r="B176" s="768"/>
      <c r="C176" s="700"/>
      <c r="D176" s="701"/>
      <c r="E176" s="700"/>
      <c r="F176" s="328"/>
      <c r="G176" s="700"/>
      <c r="H176" s="700"/>
      <c r="I176" s="703"/>
      <c r="J176" s="704"/>
      <c r="K176" s="704"/>
      <c r="L176" s="704"/>
      <c r="M176" s="704"/>
      <c r="N176" s="704"/>
      <c r="O176" s="685"/>
    </row>
    <row r="177" spans="1:15" ht="15.75" customHeight="1" x14ac:dyDescent="0.3">
      <c r="A177" s="768"/>
      <c r="B177" s="768"/>
      <c r="C177" s="700"/>
      <c r="D177" s="701"/>
      <c r="E177" s="700"/>
      <c r="F177" s="328"/>
      <c r="G177" s="700"/>
      <c r="H177" s="700"/>
      <c r="I177" s="703"/>
      <c r="J177" s="704"/>
      <c r="K177" s="704"/>
      <c r="L177" s="704"/>
      <c r="M177" s="704"/>
      <c r="N177" s="704"/>
      <c r="O177" s="685"/>
    </row>
    <row r="178" spans="1:15" ht="15.75" customHeight="1" x14ac:dyDescent="0.3">
      <c r="A178" s="768"/>
      <c r="B178" s="768"/>
      <c r="C178" s="700"/>
      <c r="D178" s="701"/>
      <c r="E178" s="700"/>
      <c r="F178" s="328"/>
      <c r="G178" s="700"/>
      <c r="H178" s="700"/>
      <c r="I178" s="703"/>
      <c r="J178" s="704"/>
      <c r="K178" s="704"/>
      <c r="L178" s="704"/>
      <c r="M178" s="704"/>
      <c r="N178" s="704"/>
      <c r="O178" s="685"/>
    </row>
    <row r="179" spans="1:15" ht="15.75" customHeight="1" x14ac:dyDescent="0.3">
      <c r="A179" s="768"/>
      <c r="B179" s="768"/>
      <c r="C179" s="700"/>
      <c r="D179" s="701"/>
      <c r="E179" s="700"/>
      <c r="F179" s="328"/>
      <c r="G179" s="700"/>
      <c r="H179" s="700"/>
      <c r="I179" s="703"/>
      <c r="J179" s="704"/>
      <c r="K179" s="704"/>
      <c r="L179" s="704"/>
      <c r="M179" s="704"/>
      <c r="N179" s="704"/>
      <c r="O179" s="685"/>
    </row>
    <row r="180" spans="1:15" ht="15.75" customHeight="1" x14ac:dyDescent="0.3">
      <c r="A180" s="768"/>
      <c r="B180" s="768"/>
      <c r="C180" s="700"/>
      <c r="D180" s="701"/>
      <c r="E180" s="700"/>
      <c r="F180" s="328"/>
      <c r="G180" s="700"/>
      <c r="H180" s="700"/>
      <c r="I180" s="703"/>
      <c r="J180" s="704"/>
      <c r="K180" s="704"/>
      <c r="L180" s="704"/>
      <c r="M180" s="704"/>
      <c r="N180" s="704"/>
      <c r="O180" s="685"/>
    </row>
    <row r="181" spans="1:15" ht="15.75" customHeight="1" x14ac:dyDescent="0.3">
      <c r="A181" s="768"/>
      <c r="B181" s="768"/>
      <c r="C181" s="700"/>
      <c r="D181" s="701"/>
      <c r="E181" s="700"/>
      <c r="F181" s="328"/>
      <c r="G181" s="700"/>
      <c r="H181" s="700"/>
      <c r="I181" s="703"/>
      <c r="J181" s="704"/>
      <c r="K181" s="704"/>
      <c r="L181" s="704"/>
      <c r="M181" s="704"/>
      <c r="N181" s="704"/>
      <c r="O181" s="685"/>
    </row>
    <row r="182" spans="1:15" ht="15.75" customHeight="1" x14ac:dyDescent="0.3">
      <c r="A182" s="768"/>
      <c r="B182" s="768"/>
      <c r="C182" s="700"/>
      <c r="D182" s="701"/>
      <c r="E182" s="700"/>
      <c r="F182" s="328"/>
      <c r="G182" s="700"/>
      <c r="H182" s="700"/>
      <c r="I182" s="703"/>
      <c r="J182" s="704"/>
      <c r="K182" s="704"/>
      <c r="L182" s="704"/>
      <c r="M182" s="704"/>
      <c r="N182" s="704"/>
      <c r="O182" s="685"/>
    </row>
    <row r="183" spans="1:15" ht="15.75" customHeight="1" x14ac:dyDescent="0.3">
      <c r="A183" s="768"/>
      <c r="B183" s="768"/>
      <c r="C183" s="700"/>
      <c r="D183" s="701"/>
      <c r="E183" s="700"/>
      <c r="F183" s="328"/>
      <c r="G183" s="700"/>
      <c r="H183" s="700"/>
      <c r="I183" s="703"/>
      <c r="J183" s="704"/>
      <c r="K183" s="704"/>
      <c r="L183" s="704"/>
      <c r="M183" s="704"/>
      <c r="N183" s="704"/>
      <c r="O183" s="685"/>
    </row>
    <row r="184" spans="1:15" ht="15.75" customHeight="1" x14ac:dyDescent="0.3">
      <c r="A184" s="768"/>
      <c r="B184" s="768"/>
      <c r="C184" s="700"/>
      <c r="D184" s="701"/>
      <c r="E184" s="700"/>
      <c r="F184" s="328"/>
      <c r="G184" s="700"/>
      <c r="H184" s="700"/>
      <c r="I184" s="703"/>
      <c r="J184" s="704"/>
      <c r="K184" s="704"/>
      <c r="L184" s="704"/>
      <c r="M184" s="704"/>
      <c r="N184" s="704"/>
      <c r="O184" s="685"/>
    </row>
    <row r="185" spans="1:15" ht="15.75" customHeight="1" x14ac:dyDescent="0.3">
      <c r="A185" s="768"/>
      <c r="B185" s="768"/>
      <c r="C185" s="700"/>
      <c r="D185" s="701"/>
      <c r="E185" s="700"/>
      <c r="F185" s="328"/>
      <c r="G185" s="700"/>
      <c r="H185" s="700"/>
      <c r="I185" s="703"/>
      <c r="J185" s="704"/>
      <c r="K185" s="704"/>
      <c r="L185" s="704"/>
      <c r="M185" s="704"/>
      <c r="N185" s="704"/>
      <c r="O185" s="685"/>
    </row>
    <row r="186" spans="1:15" ht="15.75" customHeight="1" x14ac:dyDescent="0.3">
      <c r="A186" s="768"/>
      <c r="B186" s="768"/>
      <c r="C186" s="700"/>
      <c r="D186" s="701"/>
      <c r="E186" s="700"/>
      <c r="F186" s="328"/>
      <c r="G186" s="700"/>
      <c r="H186" s="700"/>
      <c r="I186" s="703"/>
      <c r="J186" s="704"/>
      <c r="K186" s="704"/>
      <c r="L186" s="704"/>
      <c r="M186" s="704"/>
      <c r="N186" s="704"/>
      <c r="O186" s="685"/>
    </row>
    <row r="187" spans="1:15" ht="15.75" customHeight="1" x14ac:dyDescent="0.3">
      <c r="A187" s="768"/>
      <c r="B187" s="768"/>
      <c r="C187" s="700"/>
      <c r="D187" s="701"/>
      <c r="E187" s="700"/>
      <c r="F187" s="328"/>
      <c r="G187" s="700"/>
      <c r="H187" s="700"/>
      <c r="I187" s="703"/>
      <c r="J187" s="704"/>
      <c r="K187" s="704"/>
      <c r="L187" s="704"/>
      <c r="M187" s="704"/>
      <c r="N187" s="704"/>
      <c r="O187" s="685"/>
    </row>
    <row r="188" spans="1:15" ht="15.75" customHeight="1" x14ac:dyDescent="0.3">
      <c r="A188" s="768"/>
      <c r="B188" s="768"/>
      <c r="C188" s="700"/>
      <c r="D188" s="701"/>
      <c r="E188" s="700"/>
      <c r="F188" s="328"/>
      <c r="G188" s="700"/>
      <c r="H188" s="700"/>
      <c r="I188" s="703"/>
      <c r="J188" s="704"/>
      <c r="K188" s="704"/>
      <c r="L188" s="704"/>
      <c r="M188" s="704"/>
      <c r="N188" s="704"/>
      <c r="O188" s="685"/>
    </row>
    <row r="189" spans="1:15" ht="15.75" customHeight="1" x14ac:dyDescent="0.3">
      <c r="A189" s="768"/>
      <c r="B189" s="768"/>
      <c r="C189" s="700"/>
      <c r="D189" s="701"/>
      <c r="E189" s="700"/>
      <c r="F189" s="328"/>
      <c r="G189" s="700"/>
      <c r="H189" s="700"/>
      <c r="I189" s="703"/>
      <c r="J189" s="704"/>
      <c r="K189" s="704"/>
      <c r="L189" s="704"/>
      <c r="M189" s="704"/>
      <c r="N189" s="704"/>
      <c r="O189" s="685"/>
    </row>
    <row r="190" spans="1:15" ht="15.75" customHeight="1" x14ac:dyDescent="0.3">
      <c r="A190" s="768"/>
      <c r="B190" s="768"/>
      <c r="C190" s="700"/>
      <c r="D190" s="701"/>
      <c r="E190" s="700"/>
      <c r="F190" s="328"/>
      <c r="G190" s="700"/>
      <c r="H190" s="700"/>
      <c r="I190" s="703"/>
      <c r="J190" s="704"/>
      <c r="K190" s="704"/>
      <c r="L190" s="704"/>
      <c r="M190" s="704"/>
      <c r="N190" s="704"/>
      <c r="O190" s="685"/>
    </row>
    <row r="191" spans="1:15" ht="15.75" customHeight="1" x14ac:dyDescent="0.3">
      <c r="A191" s="768"/>
      <c r="B191" s="768"/>
      <c r="C191" s="700"/>
      <c r="D191" s="701"/>
      <c r="E191" s="700"/>
      <c r="F191" s="328"/>
      <c r="G191" s="700"/>
      <c r="H191" s="700"/>
      <c r="I191" s="703"/>
      <c r="J191" s="704"/>
      <c r="K191" s="704"/>
      <c r="L191" s="704"/>
      <c r="M191" s="704"/>
      <c r="N191" s="704"/>
      <c r="O191" s="685"/>
    </row>
    <row r="192" spans="1:15" ht="15.75" customHeight="1" x14ac:dyDescent="0.3">
      <c r="A192" s="768"/>
      <c r="B192" s="768"/>
      <c r="C192" s="700"/>
      <c r="D192" s="701"/>
      <c r="E192" s="700"/>
      <c r="F192" s="328"/>
      <c r="G192" s="700"/>
      <c r="H192" s="700"/>
      <c r="I192" s="703"/>
      <c r="J192" s="704"/>
      <c r="K192" s="704"/>
      <c r="L192" s="704"/>
      <c r="M192" s="704"/>
      <c r="N192" s="704"/>
      <c r="O192" s="685"/>
    </row>
    <row r="193" spans="1:15" ht="15.75" customHeight="1" x14ac:dyDescent="0.3">
      <c r="A193" s="768"/>
      <c r="B193" s="768"/>
      <c r="C193" s="700"/>
      <c r="D193" s="701"/>
      <c r="E193" s="700"/>
      <c r="F193" s="328"/>
      <c r="G193" s="700"/>
      <c r="H193" s="700"/>
      <c r="I193" s="703"/>
      <c r="J193" s="704"/>
      <c r="K193" s="704"/>
      <c r="L193" s="704"/>
      <c r="M193" s="704"/>
      <c r="N193" s="704"/>
      <c r="O193" s="685"/>
    </row>
    <row r="194" spans="1:15" ht="15.75" customHeight="1" x14ac:dyDescent="0.3">
      <c r="A194" s="768"/>
      <c r="B194" s="768"/>
      <c r="C194" s="700"/>
      <c r="D194" s="701"/>
      <c r="E194" s="700"/>
      <c r="F194" s="328"/>
      <c r="G194" s="700"/>
      <c r="H194" s="700"/>
      <c r="I194" s="703"/>
      <c r="J194" s="704"/>
      <c r="K194" s="704"/>
      <c r="L194" s="704"/>
      <c r="M194" s="704"/>
      <c r="N194" s="704"/>
      <c r="O194" s="685"/>
    </row>
    <row r="195" spans="1:15" ht="15.75" customHeight="1" x14ac:dyDescent="0.3">
      <c r="A195" s="768"/>
      <c r="B195" s="768"/>
      <c r="C195" s="700"/>
      <c r="D195" s="701"/>
      <c r="E195" s="700"/>
      <c r="F195" s="328"/>
      <c r="G195" s="700"/>
      <c r="H195" s="700"/>
      <c r="I195" s="703"/>
      <c r="J195" s="704"/>
      <c r="K195" s="704"/>
      <c r="L195" s="704"/>
      <c r="M195" s="704"/>
      <c r="N195" s="704"/>
      <c r="O195" s="685"/>
    </row>
    <row r="196" spans="1:15" ht="15.75" customHeight="1" x14ac:dyDescent="0.3">
      <c r="A196" s="768"/>
      <c r="B196" s="768"/>
      <c r="C196" s="700"/>
      <c r="D196" s="701"/>
      <c r="E196" s="700"/>
      <c r="F196" s="328"/>
      <c r="G196" s="700"/>
      <c r="H196" s="700"/>
      <c r="I196" s="703"/>
      <c r="J196" s="704"/>
      <c r="K196" s="704"/>
      <c r="L196" s="704"/>
      <c r="M196" s="704"/>
      <c r="N196" s="704"/>
      <c r="O196" s="685"/>
    </row>
    <row r="197" spans="1:15" ht="15.75" customHeight="1" x14ac:dyDescent="0.3">
      <c r="A197" s="768"/>
      <c r="B197" s="768"/>
      <c r="C197" s="700"/>
      <c r="D197" s="701"/>
      <c r="E197" s="700"/>
      <c r="F197" s="328"/>
      <c r="G197" s="700"/>
      <c r="H197" s="700"/>
      <c r="I197" s="703"/>
      <c r="J197" s="704"/>
      <c r="K197" s="704"/>
      <c r="L197" s="704"/>
      <c r="M197" s="704"/>
      <c r="N197" s="704"/>
      <c r="O197" s="685"/>
    </row>
    <row r="198" spans="1:15" ht="15.75" customHeight="1" x14ac:dyDescent="0.3">
      <c r="A198" s="768"/>
      <c r="B198" s="768"/>
      <c r="C198" s="700"/>
      <c r="D198" s="701"/>
      <c r="E198" s="700"/>
      <c r="F198" s="328"/>
      <c r="G198" s="700"/>
      <c r="H198" s="700"/>
      <c r="I198" s="703"/>
      <c r="J198" s="704"/>
      <c r="K198" s="704"/>
      <c r="L198" s="704"/>
      <c r="M198" s="704"/>
      <c r="N198" s="704"/>
      <c r="O198" s="685"/>
    </row>
    <row r="199" spans="1:15" ht="15.75" customHeight="1" x14ac:dyDescent="0.3">
      <c r="A199" s="768"/>
      <c r="B199" s="768"/>
      <c r="C199" s="700"/>
      <c r="D199" s="701"/>
      <c r="E199" s="700"/>
      <c r="F199" s="328"/>
      <c r="G199" s="700"/>
      <c r="H199" s="700"/>
      <c r="I199" s="703"/>
      <c r="J199" s="704"/>
      <c r="K199" s="704"/>
      <c r="L199" s="704"/>
      <c r="M199" s="704"/>
      <c r="N199" s="704"/>
      <c r="O199" s="685"/>
    </row>
    <row r="200" spans="1:15" ht="15.75" customHeight="1" x14ac:dyDescent="0.3">
      <c r="A200" s="768"/>
      <c r="B200" s="768"/>
      <c r="C200" s="700"/>
      <c r="D200" s="701"/>
      <c r="E200" s="700"/>
      <c r="F200" s="328"/>
      <c r="G200" s="700"/>
      <c r="H200" s="700"/>
      <c r="I200" s="703"/>
      <c r="J200" s="704"/>
      <c r="K200" s="704"/>
      <c r="L200" s="704"/>
      <c r="M200" s="704"/>
      <c r="N200" s="704"/>
      <c r="O200" s="685"/>
    </row>
    <row r="201" spans="1:15" ht="15.75" customHeight="1" x14ac:dyDescent="0.3">
      <c r="A201" s="768"/>
      <c r="B201" s="768"/>
      <c r="C201" s="700"/>
      <c r="D201" s="701"/>
      <c r="E201" s="700"/>
      <c r="F201" s="328"/>
      <c r="G201" s="700"/>
      <c r="H201" s="700"/>
      <c r="I201" s="703"/>
      <c r="J201" s="704"/>
      <c r="K201" s="704"/>
      <c r="L201" s="704"/>
      <c r="M201" s="704"/>
      <c r="N201" s="704"/>
      <c r="O201" s="685"/>
    </row>
    <row r="202" spans="1:15" ht="15.75" customHeight="1" x14ac:dyDescent="0.3">
      <c r="A202" s="768"/>
      <c r="B202" s="768"/>
      <c r="C202" s="700"/>
      <c r="D202" s="701"/>
      <c r="E202" s="700"/>
      <c r="F202" s="328"/>
      <c r="G202" s="700"/>
      <c r="H202" s="700"/>
      <c r="I202" s="703"/>
      <c r="J202" s="704"/>
      <c r="K202" s="704"/>
      <c r="L202" s="704"/>
      <c r="M202" s="704"/>
      <c r="N202" s="704"/>
      <c r="O202" s="685"/>
    </row>
    <row r="203" spans="1:15" ht="15.75" customHeight="1" x14ac:dyDescent="0.3">
      <c r="A203" s="768"/>
      <c r="B203" s="768"/>
      <c r="C203" s="700"/>
      <c r="D203" s="701"/>
      <c r="E203" s="700"/>
      <c r="F203" s="328"/>
      <c r="G203" s="700"/>
      <c r="H203" s="700"/>
      <c r="I203" s="703"/>
      <c r="J203" s="704"/>
      <c r="K203" s="704"/>
      <c r="L203" s="704"/>
      <c r="M203" s="704"/>
      <c r="N203" s="704"/>
      <c r="O203" s="685"/>
    </row>
    <row r="204" spans="1:15" ht="15.75" customHeight="1" x14ac:dyDescent="0.3">
      <c r="A204" s="768"/>
      <c r="B204" s="768"/>
      <c r="C204" s="700"/>
      <c r="D204" s="701"/>
      <c r="E204" s="700"/>
      <c r="F204" s="328"/>
      <c r="G204" s="700"/>
      <c r="H204" s="700"/>
      <c r="I204" s="703"/>
      <c r="J204" s="704"/>
      <c r="K204" s="704"/>
      <c r="L204" s="704"/>
      <c r="M204" s="704"/>
      <c r="N204" s="704"/>
      <c r="O204" s="685"/>
    </row>
    <row r="205" spans="1:15" ht="15.75" customHeight="1" x14ac:dyDescent="0.3">
      <c r="A205" s="768"/>
      <c r="B205" s="768"/>
      <c r="C205" s="700"/>
      <c r="D205" s="701"/>
      <c r="E205" s="700"/>
      <c r="F205" s="328"/>
      <c r="G205" s="700"/>
      <c r="H205" s="700"/>
      <c r="I205" s="703"/>
      <c r="J205" s="704"/>
      <c r="K205" s="704"/>
      <c r="L205" s="704"/>
      <c r="M205" s="704"/>
      <c r="N205" s="704"/>
      <c r="O205" s="685"/>
    </row>
    <row r="206" spans="1:15" ht="15.75" customHeight="1" x14ac:dyDescent="0.3">
      <c r="A206" s="768"/>
      <c r="B206" s="768"/>
      <c r="C206" s="700"/>
      <c r="D206" s="701"/>
      <c r="E206" s="700"/>
      <c r="F206" s="328"/>
      <c r="G206" s="700"/>
      <c r="H206" s="700"/>
      <c r="I206" s="703"/>
      <c r="J206" s="704"/>
      <c r="K206" s="704"/>
      <c r="L206" s="704"/>
      <c r="M206" s="704"/>
      <c r="N206" s="704"/>
      <c r="O206" s="685"/>
    </row>
    <row r="207" spans="1:15" ht="15.75" customHeight="1" x14ac:dyDescent="0.3">
      <c r="A207" s="768"/>
      <c r="B207" s="768"/>
      <c r="C207" s="700"/>
      <c r="D207" s="701"/>
      <c r="E207" s="700"/>
      <c r="F207" s="328"/>
      <c r="G207" s="700"/>
      <c r="H207" s="700"/>
      <c r="I207" s="703"/>
      <c r="J207" s="704"/>
      <c r="K207" s="704"/>
      <c r="L207" s="704"/>
      <c r="M207" s="704"/>
      <c r="N207" s="704"/>
      <c r="O207" s="685"/>
    </row>
    <row r="208" spans="1:15" ht="15.75" customHeight="1" x14ac:dyDescent="0.3">
      <c r="A208" s="768"/>
      <c r="B208" s="768"/>
      <c r="C208" s="700"/>
      <c r="D208" s="701"/>
      <c r="E208" s="700"/>
      <c r="F208" s="328"/>
      <c r="G208" s="700"/>
      <c r="H208" s="700"/>
      <c r="I208" s="703"/>
      <c r="J208" s="704"/>
      <c r="K208" s="704"/>
      <c r="L208" s="704"/>
      <c r="M208" s="704"/>
      <c r="N208" s="704"/>
      <c r="O208" s="685"/>
    </row>
    <row r="209" spans="1:15" ht="15.75" customHeight="1" x14ac:dyDescent="0.3">
      <c r="A209" s="768"/>
      <c r="B209" s="768"/>
      <c r="C209" s="700"/>
      <c r="D209" s="701"/>
      <c r="E209" s="700"/>
      <c r="F209" s="328"/>
      <c r="G209" s="700"/>
      <c r="H209" s="700"/>
      <c r="I209" s="703"/>
      <c r="J209" s="704"/>
      <c r="K209" s="704"/>
      <c r="L209" s="704"/>
      <c r="M209" s="704"/>
      <c r="N209" s="704"/>
      <c r="O209" s="685"/>
    </row>
    <row r="210" spans="1:15" ht="15.75" customHeight="1" x14ac:dyDescent="0.3">
      <c r="A210" s="768"/>
      <c r="B210" s="768"/>
      <c r="C210" s="700"/>
      <c r="D210" s="701"/>
      <c r="E210" s="700"/>
      <c r="F210" s="328"/>
      <c r="G210" s="700"/>
      <c r="H210" s="700"/>
      <c r="I210" s="703"/>
      <c r="J210" s="704"/>
      <c r="K210" s="704"/>
      <c r="L210" s="704"/>
      <c r="M210" s="704"/>
      <c r="N210" s="704"/>
      <c r="O210" s="685"/>
    </row>
    <row r="211" spans="1:15" ht="15.75" customHeight="1" x14ac:dyDescent="0.3">
      <c r="A211" s="768"/>
      <c r="B211" s="768"/>
      <c r="C211" s="700"/>
      <c r="D211" s="701"/>
      <c r="E211" s="700"/>
      <c r="F211" s="328"/>
      <c r="G211" s="700"/>
      <c r="H211" s="700"/>
      <c r="I211" s="703"/>
      <c r="J211" s="704"/>
      <c r="K211" s="704"/>
      <c r="L211" s="704"/>
      <c r="M211" s="704"/>
      <c r="N211" s="704"/>
      <c r="O211" s="685"/>
    </row>
    <row r="212" spans="1:15" ht="15.75" customHeight="1" x14ac:dyDescent="0.3">
      <c r="A212" s="768"/>
      <c r="B212" s="768"/>
      <c r="C212" s="700"/>
      <c r="D212" s="701"/>
      <c r="E212" s="700"/>
      <c r="F212" s="328"/>
      <c r="G212" s="700"/>
      <c r="H212" s="700"/>
      <c r="I212" s="703"/>
      <c r="J212" s="704"/>
      <c r="K212" s="704"/>
      <c r="L212" s="704"/>
      <c r="M212" s="704"/>
      <c r="N212" s="704"/>
      <c r="O212" s="685"/>
    </row>
    <row r="213" spans="1:15" ht="15.75" customHeight="1" x14ac:dyDescent="0.3">
      <c r="A213" s="768"/>
      <c r="B213" s="768"/>
      <c r="C213" s="700"/>
      <c r="D213" s="701"/>
      <c r="E213" s="700"/>
      <c r="F213" s="328"/>
      <c r="G213" s="700"/>
      <c r="H213" s="700"/>
      <c r="I213" s="703"/>
      <c r="J213" s="704"/>
      <c r="K213" s="704"/>
      <c r="L213" s="704"/>
      <c r="M213" s="704"/>
      <c r="N213" s="704"/>
      <c r="O213" s="685"/>
    </row>
    <row r="214" spans="1:15" ht="15.75" customHeight="1" x14ac:dyDescent="0.3">
      <c r="A214" s="768"/>
      <c r="B214" s="768"/>
      <c r="C214" s="700"/>
      <c r="D214" s="701"/>
      <c r="E214" s="700"/>
      <c r="F214" s="328"/>
      <c r="G214" s="700"/>
      <c r="H214" s="700"/>
      <c r="I214" s="703"/>
      <c r="J214" s="704"/>
      <c r="K214" s="704"/>
      <c r="L214" s="704"/>
      <c r="M214" s="704"/>
      <c r="N214" s="704"/>
      <c r="O214" s="685"/>
    </row>
    <row r="215" spans="1:15" ht="15.75" customHeight="1" x14ac:dyDescent="0.3">
      <c r="A215" s="768"/>
      <c r="B215" s="768"/>
      <c r="C215" s="700"/>
      <c r="D215" s="701"/>
      <c r="E215" s="700"/>
      <c r="F215" s="328"/>
      <c r="G215" s="700"/>
      <c r="H215" s="700"/>
      <c r="I215" s="703"/>
      <c r="J215" s="704"/>
      <c r="K215" s="704"/>
      <c r="L215" s="704"/>
      <c r="M215" s="704"/>
      <c r="N215" s="704"/>
      <c r="O215" s="685"/>
    </row>
    <row r="216" spans="1:15" ht="15.75" customHeight="1" x14ac:dyDescent="0.3">
      <c r="A216" s="768"/>
      <c r="B216" s="768"/>
      <c r="C216" s="700"/>
      <c r="D216" s="701"/>
      <c r="E216" s="700"/>
      <c r="F216" s="328"/>
      <c r="G216" s="700"/>
      <c r="H216" s="700"/>
      <c r="I216" s="703"/>
      <c r="J216" s="704"/>
      <c r="K216" s="704"/>
      <c r="L216" s="704"/>
      <c r="M216" s="704"/>
      <c r="N216" s="704"/>
      <c r="O216" s="685"/>
    </row>
    <row r="217" spans="1:15" ht="15.75" customHeight="1" x14ac:dyDescent="0.3">
      <c r="A217" s="768"/>
      <c r="B217" s="768"/>
      <c r="C217" s="700"/>
      <c r="D217" s="701"/>
      <c r="E217" s="700"/>
      <c r="F217" s="328"/>
      <c r="G217" s="700"/>
      <c r="H217" s="700"/>
      <c r="I217" s="703"/>
      <c r="J217" s="704"/>
      <c r="K217" s="704"/>
      <c r="L217" s="704"/>
      <c r="M217" s="704"/>
      <c r="N217" s="704"/>
      <c r="O217" s="685"/>
    </row>
    <row r="218" spans="1:15" ht="15.75" customHeight="1" x14ac:dyDescent="0.3">
      <c r="A218" s="768"/>
      <c r="B218" s="768"/>
      <c r="C218" s="700"/>
      <c r="D218" s="701"/>
      <c r="E218" s="700"/>
      <c r="F218" s="328"/>
      <c r="G218" s="700"/>
      <c r="H218" s="700"/>
      <c r="I218" s="703"/>
      <c r="J218" s="704"/>
      <c r="K218" s="704"/>
      <c r="L218" s="704"/>
      <c r="M218" s="704"/>
      <c r="N218" s="704"/>
      <c r="O218" s="685"/>
    </row>
    <row r="219" spans="1:15" ht="15.75" customHeight="1" x14ac:dyDescent="0.3">
      <c r="A219" s="768"/>
      <c r="B219" s="768"/>
      <c r="C219" s="700"/>
      <c r="D219" s="701"/>
      <c r="E219" s="700"/>
      <c r="F219" s="328"/>
      <c r="G219" s="700"/>
      <c r="H219" s="700"/>
      <c r="I219" s="703"/>
      <c r="J219" s="704"/>
      <c r="K219" s="704"/>
      <c r="L219" s="704"/>
      <c r="M219" s="704"/>
      <c r="N219" s="704"/>
      <c r="O219" s="685"/>
    </row>
    <row r="220" spans="1:15" ht="15.75" customHeight="1" x14ac:dyDescent="0.3">
      <c r="A220" s="768"/>
      <c r="B220" s="768"/>
      <c r="C220" s="700"/>
      <c r="D220" s="701"/>
      <c r="E220" s="700"/>
      <c r="F220" s="328"/>
      <c r="G220" s="700"/>
      <c r="H220" s="700"/>
      <c r="I220" s="703"/>
      <c r="J220" s="704"/>
      <c r="K220" s="704"/>
      <c r="L220" s="704"/>
      <c r="M220" s="704"/>
      <c r="N220" s="704"/>
      <c r="O220" s="685"/>
    </row>
    <row r="221" spans="1:15" ht="15.75" customHeight="1" x14ac:dyDescent="0.3">
      <c r="A221" s="768"/>
      <c r="B221" s="768"/>
      <c r="C221" s="700"/>
      <c r="D221" s="701"/>
      <c r="E221" s="700"/>
      <c r="F221" s="328"/>
      <c r="G221" s="700"/>
      <c r="H221" s="700"/>
      <c r="I221" s="703"/>
      <c r="J221" s="704"/>
      <c r="K221" s="704"/>
      <c r="L221" s="704"/>
      <c r="M221" s="704"/>
      <c r="N221" s="704"/>
      <c r="O221" s="685"/>
    </row>
    <row r="222" spans="1:15" ht="15.75" customHeight="1" x14ac:dyDescent="0.3">
      <c r="A222" s="768"/>
      <c r="B222" s="768"/>
      <c r="C222" s="700"/>
      <c r="D222" s="701"/>
      <c r="E222" s="700"/>
      <c r="F222" s="328"/>
      <c r="G222" s="700"/>
      <c r="H222" s="700"/>
      <c r="I222" s="703"/>
      <c r="J222" s="704"/>
      <c r="K222" s="704"/>
      <c r="L222" s="704"/>
      <c r="M222" s="704"/>
      <c r="N222" s="704"/>
      <c r="O222" s="685"/>
    </row>
    <row r="223" spans="1:15" ht="15.75" customHeight="1" x14ac:dyDescent="0.3">
      <c r="A223" s="768"/>
      <c r="B223" s="768"/>
      <c r="C223" s="700"/>
      <c r="D223" s="701"/>
      <c r="E223" s="700"/>
      <c r="F223" s="328"/>
      <c r="G223" s="700"/>
      <c r="H223" s="700"/>
      <c r="I223" s="703"/>
      <c r="J223" s="704"/>
      <c r="K223" s="704"/>
      <c r="L223" s="704"/>
      <c r="M223" s="704"/>
      <c r="N223" s="704"/>
      <c r="O223" s="685"/>
    </row>
    <row r="224" spans="1:15" ht="15.75" customHeight="1" x14ac:dyDescent="0.3">
      <c r="A224" s="768"/>
      <c r="B224" s="768"/>
      <c r="C224" s="700"/>
      <c r="D224" s="701"/>
      <c r="E224" s="700"/>
      <c r="F224" s="328"/>
      <c r="G224" s="700"/>
      <c r="H224" s="700"/>
      <c r="I224" s="703"/>
      <c r="J224" s="704"/>
      <c r="K224" s="704"/>
      <c r="L224" s="704"/>
      <c r="M224" s="704"/>
      <c r="N224" s="704"/>
      <c r="O224" s="685"/>
    </row>
    <row r="225" spans="1:15" ht="15.75" customHeight="1" x14ac:dyDescent="0.3">
      <c r="A225" s="768"/>
      <c r="B225" s="768"/>
      <c r="C225" s="700"/>
      <c r="D225" s="701"/>
      <c r="E225" s="700"/>
      <c r="F225" s="328"/>
      <c r="G225" s="700"/>
      <c r="H225" s="700"/>
      <c r="I225" s="703"/>
      <c r="J225" s="704"/>
      <c r="K225" s="704"/>
      <c r="L225" s="704"/>
      <c r="M225" s="704"/>
      <c r="N225" s="704"/>
      <c r="O225" s="685"/>
    </row>
    <row r="226" spans="1:15" ht="15.75" customHeight="1" x14ac:dyDescent="0.3">
      <c r="A226" s="768"/>
      <c r="B226" s="768"/>
      <c r="C226" s="700"/>
      <c r="D226" s="701"/>
      <c r="E226" s="700"/>
      <c r="F226" s="328"/>
      <c r="G226" s="700"/>
      <c r="H226" s="700"/>
      <c r="I226" s="703"/>
      <c r="J226" s="704"/>
      <c r="K226" s="704"/>
      <c r="L226" s="704"/>
      <c r="M226" s="704"/>
      <c r="N226" s="704"/>
      <c r="O226" s="685"/>
    </row>
    <row r="227" spans="1:15" ht="15.75" customHeight="1" x14ac:dyDescent="0.3">
      <c r="A227" s="768"/>
      <c r="B227" s="768"/>
      <c r="C227" s="700"/>
      <c r="D227" s="701"/>
      <c r="E227" s="700"/>
      <c r="F227" s="328"/>
      <c r="G227" s="700"/>
      <c r="H227" s="700"/>
      <c r="I227" s="703"/>
      <c r="J227" s="704"/>
      <c r="K227" s="704"/>
      <c r="L227" s="704"/>
      <c r="M227" s="704"/>
      <c r="N227" s="704"/>
      <c r="O227" s="685"/>
    </row>
    <row r="228" spans="1:15" ht="15.75" customHeight="1" x14ac:dyDescent="0.3">
      <c r="A228" s="768"/>
      <c r="B228" s="768"/>
      <c r="C228" s="700"/>
      <c r="D228" s="701"/>
      <c r="E228" s="700"/>
      <c r="F228" s="328"/>
      <c r="G228" s="700"/>
      <c r="H228" s="700"/>
      <c r="I228" s="703"/>
      <c r="J228" s="704"/>
      <c r="K228" s="704"/>
      <c r="L228" s="704"/>
      <c r="M228" s="704"/>
      <c r="N228" s="704"/>
      <c r="O228" s="685"/>
    </row>
    <row r="229" spans="1:15" ht="15.75" customHeight="1" x14ac:dyDescent="0.3">
      <c r="A229" s="768"/>
      <c r="B229" s="768"/>
      <c r="C229" s="700"/>
      <c r="D229" s="701"/>
      <c r="E229" s="700"/>
      <c r="F229" s="328"/>
      <c r="G229" s="700"/>
      <c r="H229" s="700"/>
      <c r="I229" s="703"/>
      <c r="J229" s="704"/>
      <c r="K229" s="704"/>
      <c r="L229" s="704"/>
      <c r="M229" s="704"/>
      <c r="N229" s="704"/>
      <c r="O229" s="685"/>
    </row>
    <row r="230" spans="1:15" ht="15.75" customHeight="1" x14ac:dyDescent="0.3">
      <c r="A230" s="768"/>
      <c r="B230" s="768"/>
      <c r="C230" s="700"/>
      <c r="D230" s="701"/>
      <c r="E230" s="700"/>
      <c r="F230" s="328"/>
      <c r="G230" s="700"/>
      <c r="H230" s="700"/>
      <c r="I230" s="703"/>
      <c r="J230" s="704"/>
      <c r="K230" s="704"/>
      <c r="L230" s="704"/>
      <c r="M230" s="704"/>
      <c r="N230" s="704"/>
      <c r="O230" s="685"/>
    </row>
    <row r="231" spans="1:15" ht="15.75" customHeight="1" x14ac:dyDescent="0.3">
      <c r="A231" s="768"/>
      <c r="B231" s="768"/>
      <c r="C231" s="700"/>
      <c r="D231" s="701"/>
      <c r="E231" s="700"/>
      <c r="F231" s="328"/>
      <c r="G231" s="700"/>
      <c r="H231" s="700"/>
      <c r="I231" s="703"/>
      <c r="J231" s="704"/>
      <c r="K231" s="704"/>
      <c r="L231" s="704"/>
      <c r="M231" s="704"/>
      <c r="N231" s="704"/>
      <c r="O231" s="685"/>
    </row>
    <row r="232" spans="1:15" ht="15.75" customHeight="1" x14ac:dyDescent="0.3">
      <c r="A232" s="768"/>
      <c r="B232" s="768"/>
      <c r="C232" s="700"/>
      <c r="D232" s="701"/>
      <c r="E232" s="700"/>
      <c r="F232" s="328"/>
      <c r="G232" s="700"/>
      <c r="H232" s="700"/>
      <c r="I232" s="703"/>
      <c r="J232" s="704"/>
      <c r="K232" s="704"/>
      <c r="L232" s="704"/>
      <c r="M232" s="704"/>
      <c r="N232" s="704"/>
      <c r="O232" s="685"/>
    </row>
    <row r="233" spans="1:15" ht="15.75" customHeight="1" x14ac:dyDescent="0.3">
      <c r="A233" s="768"/>
      <c r="B233" s="768"/>
      <c r="C233" s="700"/>
      <c r="D233" s="701"/>
      <c r="E233" s="700"/>
      <c r="F233" s="328"/>
      <c r="G233" s="700"/>
      <c r="H233" s="700"/>
      <c r="I233" s="703"/>
      <c r="J233" s="704"/>
      <c r="K233" s="704"/>
      <c r="L233" s="704"/>
      <c r="M233" s="704"/>
      <c r="N233" s="704"/>
      <c r="O233" s="685"/>
    </row>
    <row r="234" spans="1:15" ht="15.75" customHeight="1" x14ac:dyDescent="0.3">
      <c r="A234" s="768"/>
      <c r="B234" s="768"/>
      <c r="C234" s="700"/>
      <c r="D234" s="701"/>
      <c r="E234" s="700"/>
      <c r="F234" s="328"/>
      <c r="G234" s="700"/>
      <c r="H234" s="700"/>
      <c r="I234" s="703"/>
      <c r="J234" s="704"/>
      <c r="K234" s="704"/>
      <c r="L234" s="704"/>
      <c r="M234" s="704"/>
      <c r="N234" s="704"/>
      <c r="O234" s="685"/>
    </row>
    <row r="235" spans="1:15" ht="15.75" customHeight="1" x14ac:dyDescent="0.3">
      <c r="A235" s="768"/>
      <c r="B235" s="768"/>
      <c r="C235" s="700"/>
      <c r="D235" s="701"/>
      <c r="E235" s="700"/>
      <c r="F235" s="328"/>
      <c r="G235" s="700"/>
      <c r="H235" s="700"/>
      <c r="I235" s="703"/>
      <c r="J235" s="704"/>
      <c r="K235" s="704"/>
      <c r="L235" s="704"/>
      <c r="M235" s="704"/>
      <c r="N235" s="704"/>
      <c r="O235" s="685"/>
    </row>
    <row r="236" spans="1:15" ht="15.75" customHeight="1" x14ac:dyDescent="0.3">
      <c r="A236" s="768"/>
      <c r="B236" s="768"/>
      <c r="C236" s="700"/>
      <c r="D236" s="701"/>
      <c r="E236" s="700"/>
      <c r="F236" s="328"/>
      <c r="G236" s="700"/>
      <c r="H236" s="700"/>
      <c r="I236" s="703"/>
      <c r="J236" s="704"/>
      <c r="K236" s="704"/>
      <c r="L236" s="704"/>
      <c r="M236" s="704"/>
      <c r="N236" s="704"/>
      <c r="O236" s="685"/>
    </row>
    <row r="237" spans="1:15" ht="15.75" customHeight="1" x14ac:dyDescent="0.3">
      <c r="A237" s="768"/>
      <c r="B237" s="768"/>
      <c r="C237" s="700"/>
      <c r="D237" s="701"/>
      <c r="E237" s="700"/>
      <c r="F237" s="328"/>
      <c r="G237" s="700"/>
      <c r="H237" s="700"/>
      <c r="I237" s="703"/>
      <c r="J237" s="704"/>
      <c r="K237" s="704"/>
      <c r="L237" s="704"/>
      <c r="M237" s="704"/>
      <c r="N237" s="704"/>
      <c r="O237" s="685"/>
    </row>
    <row r="238" spans="1:15" ht="15.75" customHeight="1" x14ac:dyDescent="0.3">
      <c r="A238" s="768"/>
      <c r="B238" s="768"/>
      <c r="C238" s="700"/>
      <c r="D238" s="701"/>
      <c r="E238" s="700"/>
      <c r="F238" s="328"/>
      <c r="G238" s="700"/>
      <c r="H238" s="700"/>
      <c r="I238" s="703"/>
      <c r="J238" s="704"/>
      <c r="K238" s="704"/>
      <c r="L238" s="704"/>
      <c r="M238" s="704"/>
      <c r="N238" s="704"/>
      <c r="O238" s="685"/>
    </row>
    <row r="239" spans="1:15" ht="15.75" customHeight="1" x14ac:dyDescent="0.3">
      <c r="A239" s="768"/>
      <c r="B239" s="768"/>
      <c r="C239" s="700"/>
      <c r="D239" s="701"/>
      <c r="E239" s="700"/>
      <c r="F239" s="328"/>
      <c r="G239" s="700"/>
      <c r="H239" s="700"/>
      <c r="I239" s="703"/>
      <c r="J239" s="704"/>
      <c r="K239" s="704"/>
      <c r="L239" s="704"/>
      <c r="M239" s="704"/>
      <c r="N239" s="704"/>
      <c r="O239" s="685"/>
    </row>
    <row r="240" spans="1:15" ht="15.75" customHeight="1" x14ac:dyDescent="0.3">
      <c r="A240" s="768"/>
      <c r="B240" s="768"/>
      <c r="C240" s="700"/>
      <c r="D240" s="701"/>
      <c r="E240" s="700"/>
      <c r="F240" s="328"/>
      <c r="G240" s="700"/>
      <c r="H240" s="700"/>
      <c r="I240" s="703"/>
      <c r="J240" s="704"/>
      <c r="K240" s="704"/>
      <c r="L240" s="704"/>
      <c r="M240" s="704"/>
      <c r="N240" s="704"/>
      <c r="O240" s="685"/>
    </row>
    <row r="241" spans="1:15" ht="15.75" customHeight="1" x14ac:dyDescent="0.3">
      <c r="A241" s="768"/>
      <c r="B241" s="768"/>
      <c r="C241" s="700"/>
      <c r="D241" s="701"/>
      <c r="E241" s="700"/>
      <c r="F241" s="328"/>
      <c r="G241" s="700"/>
      <c r="H241" s="700"/>
      <c r="I241" s="703"/>
      <c r="J241" s="704"/>
      <c r="K241" s="704"/>
      <c r="L241" s="704"/>
      <c r="M241" s="704"/>
      <c r="N241" s="704"/>
      <c r="O241" s="685"/>
    </row>
    <row r="242" spans="1:15" ht="15.75" customHeight="1" x14ac:dyDescent="0.3">
      <c r="A242" s="768"/>
      <c r="B242" s="768"/>
      <c r="C242" s="700"/>
      <c r="D242" s="701"/>
      <c r="E242" s="700"/>
      <c r="F242" s="328"/>
      <c r="G242" s="700"/>
      <c r="H242" s="700"/>
      <c r="I242" s="703"/>
      <c r="J242" s="704"/>
      <c r="K242" s="704"/>
      <c r="L242" s="704"/>
      <c r="M242" s="704"/>
      <c r="N242" s="704"/>
      <c r="O242" s="685"/>
    </row>
    <row r="243" spans="1:15" ht="15.75" customHeight="1" x14ac:dyDescent="0.3">
      <c r="A243" s="768"/>
      <c r="B243" s="768"/>
      <c r="C243" s="700"/>
      <c r="D243" s="701"/>
      <c r="E243" s="700"/>
      <c r="F243" s="328"/>
      <c r="G243" s="700"/>
      <c r="H243" s="700"/>
      <c r="I243" s="703"/>
      <c r="J243" s="704"/>
      <c r="K243" s="704"/>
      <c r="L243" s="704"/>
      <c r="M243" s="704"/>
      <c r="N243" s="704"/>
      <c r="O243" s="685"/>
    </row>
    <row r="244" spans="1:15" ht="15.75" customHeight="1" x14ac:dyDescent="0.3">
      <c r="A244" s="768"/>
      <c r="B244" s="768"/>
      <c r="C244" s="700"/>
      <c r="D244" s="701"/>
      <c r="E244" s="700"/>
      <c r="F244" s="328"/>
      <c r="G244" s="700"/>
      <c r="H244" s="700"/>
      <c r="I244" s="703"/>
      <c r="J244" s="704"/>
      <c r="K244" s="704"/>
      <c r="L244" s="704"/>
      <c r="M244" s="704"/>
      <c r="N244" s="704"/>
      <c r="O244" s="685"/>
    </row>
    <row r="245" spans="1:15" ht="15.75" customHeight="1" x14ac:dyDescent="0.3">
      <c r="A245" s="768"/>
      <c r="B245" s="768"/>
      <c r="C245" s="700"/>
      <c r="D245" s="701"/>
      <c r="E245" s="700"/>
      <c r="F245" s="328"/>
      <c r="G245" s="700"/>
      <c r="H245" s="700"/>
      <c r="I245" s="703"/>
      <c r="J245" s="704"/>
      <c r="K245" s="704"/>
      <c r="L245" s="704"/>
      <c r="M245" s="704"/>
      <c r="N245" s="704"/>
      <c r="O245" s="685"/>
    </row>
    <row r="246" spans="1:15" ht="15.75" customHeight="1" x14ac:dyDescent="0.3">
      <c r="A246" s="768"/>
      <c r="B246" s="768"/>
      <c r="C246" s="700"/>
      <c r="D246" s="701"/>
      <c r="E246" s="700"/>
      <c r="F246" s="328"/>
      <c r="G246" s="700"/>
      <c r="H246" s="700"/>
      <c r="I246" s="703"/>
      <c r="J246" s="704"/>
      <c r="K246" s="704"/>
      <c r="L246" s="704"/>
      <c r="M246" s="704"/>
      <c r="N246" s="704"/>
      <c r="O246" s="685"/>
    </row>
    <row r="247" spans="1:15" ht="15.75" customHeight="1" x14ac:dyDescent="0.3">
      <c r="A247" s="768"/>
      <c r="B247" s="768"/>
      <c r="C247" s="700"/>
      <c r="D247" s="701"/>
      <c r="E247" s="700"/>
      <c r="F247" s="328"/>
      <c r="G247" s="700"/>
      <c r="H247" s="700"/>
      <c r="I247" s="703"/>
      <c r="J247" s="704"/>
      <c r="K247" s="704"/>
      <c r="L247" s="704"/>
      <c r="M247" s="704"/>
      <c r="N247" s="704"/>
      <c r="O247" s="685"/>
    </row>
    <row r="248" spans="1:15" ht="15.75" customHeight="1" x14ac:dyDescent="0.3">
      <c r="A248" s="768"/>
      <c r="B248" s="768"/>
      <c r="C248" s="700"/>
      <c r="D248" s="701"/>
      <c r="E248" s="700"/>
      <c r="F248" s="328"/>
      <c r="G248" s="700"/>
      <c r="H248" s="700"/>
      <c r="I248" s="703"/>
      <c r="J248" s="704"/>
      <c r="K248" s="704"/>
      <c r="L248" s="704"/>
      <c r="M248" s="704"/>
      <c r="N248" s="704"/>
      <c r="O248" s="685"/>
    </row>
    <row r="249" spans="1:15" ht="15.75" customHeight="1" x14ac:dyDescent="0.3">
      <c r="A249" s="768"/>
      <c r="B249" s="768"/>
      <c r="C249" s="700"/>
      <c r="D249" s="701"/>
      <c r="E249" s="700"/>
      <c r="F249" s="328"/>
      <c r="G249" s="700"/>
      <c r="H249" s="700"/>
      <c r="I249" s="703"/>
      <c r="J249" s="704"/>
      <c r="K249" s="704"/>
      <c r="L249" s="704"/>
      <c r="M249" s="704"/>
      <c r="N249" s="704"/>
      <c r="O249" s="685"/>
    </row>
    <row r="250" spans="1:15" ht="15.75" customHeight="1" x14ac:dyDescent="0.3">
      <c r="A250" s="768"/>
      <c r="B250" s="768"/>
      <c r="C250" s="700"/>
      <c r="D250" s="701"/>
      <c r="E250" s="700"/>
      <c r="F250" s="328"/>
      <c r="G250" s="700"/>
      <c r="H250" s="700"/>
      <c r="I250" s="703"/>
      <c r="J250" s="704"/>
      <c r="K250" s="704"/>
      <c r="L250" s="704"/>
      <c r="M250" s="704"/>
      <c r="N250" s="704"/>
      <c r="O250" s="685"/>
    </row>
    <row r="251" spans="1:15" ht="15.75" customHeight="1" x14ac:dyDescent="0.3">
      <c r="A251" s="768"/>
      <c r="B251" s="768"/>
      <c r="C251" s="700"/>
      <c r="D251" s="701"/>
      <c r="E251" s="700"/>
      <c r="F251" s="328"/>
      <c r="G251" s="700"/>
      <c r="H251" s="700"/>
      <c r="I251" s="703"/>
      <c r="J251" s="704"/>
      <c r="K251" s="704"/>
      <c r="L251" s="704"/>
      <c r="M251" s="704"/>
      <c r="N251" s="704"/>
      <c r="O251" s="685"/>
    </row>
    <row r="252" spans="1:15" ht="15.75" customHeight="1" x14ac:dyDescent="0.3">
      <c r="A252" s="768"/>
      <c r="B252" s="768"/>
      <c r="C252" s="700"/>
      <c r="D252" s="701"/>
      <c r="E252" s="700"/>
      <c r="F252" s="328"/>
      <c r="G252" s="700"/>
      <c r="H252" s="700"/>
      <c r="I252" s="703"/>
      <c r="J252" s="704"/>
      <c r="K252" s="704"/>
      <c r="L252" s="704"/>
      <c r="M252" s="704"/>
      <c r="N252" s="704"/>
      <c r="O252" s="685"/>
    </row>
    <row r="253" spans="1:15" ht="15.75" customHeight="1" x14ac:dyDescent="0.3">
      <c r="A253" s="768"/>
      <c r="B253" s="768"/>
      <c r="C253" s="700"/>
      <c r="D253" s="701"/>
      <c r="E253" s="700"/>
      <c r="F253" s="328"/>
      <c r="G253" s="700"/>
      <c r="H253" s="700"/>
      <c r="I253" s="703"/>
      <c r="J253" s="704"/>
      <c r="K253" s="704"/>
      <c r="L253" s="704"/>
      <c r="M253" s="704"/>
      <c r="N253" s="704"/>
      <c r="O253" s="685"/>
    </row>
    <row r="254" spans="1:15" ht="15.75" customHeight="1" x14ac:dyDescent="0.3">
      <c r="A254" s="768"/>
      <c r="B254" s="768"/>
      <c r="C254" s="700"/>
      <c r="D254" s="701"/>
      <c r="E254" s="700"/>
      <c r="F254" s="328"/>
      <c r="G254" s="700"/>
      <c r="H254" s="700"/>
      <c r="I254" s="703"/>
      <c r="J254" s="704"/>
      <c r="K254" s="704"/>
      <c r="L254" s="704"/>
      <c r="M254" s="704"/>
      <c r="N254" s="704"/>
      <c r="O254" s="685"/>
    </row>
    <row r="255" spans="1:15" ht="15.75" customHeight="1" x14ac:dyDescent="0.3">
      <c r="A255" s="768"/>
      <c r="B255" s="768"/>
      <c r="C255" s="700"/>
      <c r="D255" s="701"/>
      <c r="E255" s="700"/>
      <c r="F255" s="328"/>
      <c r="G255" s="700"/>
      <c r="H255" s="700"/>
      <c r="I255" s="703"/>
      <c r="J255" s="704"/>
      <c r="K255" s="704"/>
      <c r="L255" s="704"/>
      <c r="M255" s="704"/>
      <c r="N255" s="704"/>
      <c r="O255" s="685"/>
    </row>
    <row r="256" spans="1:15" ht="15.75" customHeight="1" x14ac:dyDescent="0.3">
      <c r="A256" s="768"/>
      <c r="B256" s="768"/>
      <c r="C256" s="700"/>
      <c r="D256" s="701"/>
      <c r="E256" s="700"/>
      <c r="F256" s="328"/>
      <c r="G256" s="700"/>
      <c r="H256" s="700"/>
      <c r="I256" s="703"/>
      <c r="J256" s="704"/>
      <c r="K256" s="704"/>
      <c r="L256" s="704"/>
      <c r="M256" s="704"/>
      <c r="N256" s="704"/>
      <c r="O256" s="685"/>
    </row>
    <row r="257" spans="1:15" ht="15.75" customHeight="1" x14ac:dyDescent="0.3">
      <c r="A257" s="768"/>
      <c r="B257" s="768"/>
      <c r="C257" s="700"/>
      <c r="D257" s="701"/>
      <c r="E257" s="700"/>
      <c r="F257" s="328"/>
      <c r="G257" s="700"/>
      <c r="H257" s="700"/>
      <c r="I257" s="703"/>
      <c r="J257" s="704"/>
      <c r="K257" s="704"/>
      <c r="L257" s="704"/>
      <c r="M257" s="704"/>
      <c r="N257" s="704"/>
      <c r="O257" s="685"/>
    </row>
    <row r="258" spans="1:15" ht="15.75" customHeight="1" x14ac:dyDescent="0.3">
      <c r="A258" s="768"/>
      <c r="B258" s="768"/>
      <c r="C258" s="700"/>
      <c r="D258" s="701"/>
      <c r="E258" s="700"/>
      <c r="F258" s="328"/>
      <c r="G258" s="700"/>
      <c r="H258" s="700"/>
      <c r="I258" s="703"/>
      <c r="J258" s="704"/>
      <c r="K258" s="704"/>
      <c r="L258" s="704"/>
      <c r="M258" s="704"/>
      <c r="N258" s="704"/>
      <c r="O258" s="685"/>
    </row>
    <row r="259" spans="1:15" ht="15.75" customHeight="1" x14ac:dyDescent="0.3">
      <c r="A259" s="768"/>
      <c r="B259" s="768"/>
      <c r="C259" s="700"/>
      <c r="D259" s="701"/>
      <c r="E259" s="700"/>
      <c r="F259" s="328"/>
      <c r="G259" s="700"/>
      <c r="H259" s="700"/>
      <c r="I259" s="703"/>
      <c r="J259" s="704"/>
      <c r="K259" s="704"/>
      <c r="L259" s="704"/>
      <c r="M259" s="704"/>
      <c r="N259" s="704"/>
      <c r="O259" s="685"/>
    </row>
    <row r="260" spans="1:15" ht="15.75" customHeight="1" x14ac:dyDescent="0.3">
      <c r="A260" s="768"/>
      <c r="B260" s="768"/>
      <c r="C260" s="700"/>
      <c r="D260" s="701"/>
      <c r="E260" s="700"/>
      <c r="F260" s="328"/>
      <c r="G260" s="700"/>
      <c r="H260" s="700"/>
      <c r="I260" s="703"/>
      <c r="J260" s="704"/>
      <c r="K260" s="704"/>
      <c r="L260" s="704"/>
      <c r="M260" s="704"/>
      <c r="N260" s="704"/>
      <c r="O260" s="685"/>
    </row>
    <row r="261" spans="1:15" ht="15.75" customHeight="1" x14ac:dyDescent="0.3">
      <c r="A261" s="768"/>
      <c r="B261" s="768"/>
      <c r="C261" s="700"/>
      <c r="D261" s="701"/>
      <c r="E261" s="700"/>
      <c r="F261" s="328"/>
      <c r="G261" s="700"/>
      <c r="H261" s="700"/>
      <c r="I261" s="703"/>
      <c r="J261" s="704"/>
      <c r="K261" s="704"/>
      <c r="L261" s="704"/>
      <c r="M261" s="704"/>
      <c r="N261" s="704"/>
      <c r="O261" s="685"/>
    </row>
    <row r="262" spans="1:15" ht="15.75" customHeight="1" x14ac:dyDescent="0.3">
      <c r="A262" s="768"/>
      <c r="B262" s="768"/>
      <c r="C262" s="700"/>
      <c r="D262" s="701"/>
      <c r="E262" s="700"/>
      <c r="F262" s="328"/>
      <c r="G262" s="700"/>
      <c r="H262" s="700"/>
      <c r="I262" s="703"/>
      <c r="J262" s="704"/>
      <c r="K262" s="704"/>
      <c r="L262" s="704"/>
      <c r="M262" s="704"/>
      <c r="N262" s="704"/>
      <c r="O262" s="685"/>
    </row>
    <row r="263" spans="1:15" ht="15.75" customHeight="1" x14ac:dyDescent="0.3">
      <c r="A263" s="768"/>
      <c r="B263" s="768"/>
      <c r="C263" s="700"/>
      <c r="D263" s="701"/>
      <c r="E263" s="700"/>
      <c r="F263" s="328"/>
      <c r="G263" s="700"/>
      <c r="H263" s="700"/>
      <c r="I263" s="703"/>
      <c r="J263" s="704"/>
      <c r="K263" s="704"/>
      <c r="L263" s="704"/>
      <c r="M263" s="704"/>
      <c r="N263" s="704"/>
      <c r="O263" s="685"/>
    </row>
    <row r="264" spans="1:15" ht="15.75" customHeight="1" x14ac:dyDescent="0.3">
      <c r="A264" s="768"/>
      <c r="B264" s="768"/>
      <c r="C264" s="700"/>
      <c r="D264" s="701"/>
      <c r="E264" s="700"/>
      <c r="F264" s="328"/>
      <c r="G264" s="700"/>
      <c r="H264" s="700"/>
      <c r="I264" s="703"/>
      <c r="J264" s="704"/>
      <c r="K264" s="704"/>
      <c r="L264" s="704"/>
      <c r="M264" s="704"/>
      <c r="N264" s="704"/>
      <c r="O264" s="685"/>
    </row>
    <row r="265" spans="1:15" ht="15.75" customHeight="1" x14ac:dyDescent="0.3">
      <c r="A265" s="768"/>
      <c r="B265" s="768"/>
      <c r="C265" s="700"/>
      <c r="D265" s="701"/>
      <c r="E265" s="700"/>
      <c r="F265" s="328"/>
      <c r="G265" s="700"/>
      <c r="H265" s="700"/>
      <c r="I265" s="703"/>
      <c r="J265" s="704"/>
      <c r="K265" s="704"/>
      <c r="L265" s="704"/>
      <c r="M265" s="704"/>
      <c r="N265" s="704"/>
      <c r="O265" s="685"/>
    </row>
    <row r="266" spans="1:15" ht="15.75" customHeight="1" x14ac:dyDescent="0.3">
      <c r="A266" s="768"/>
      <c r="B266" s="768"/>
      <c r="C266" s="700"/>
      <c r="D266" s="701"/>
      <c r="E266" s="700"/>
      <c r="F266" s="328"/>
      <c r="G266" s="700"/>
      <c r="H266" s="700"/>
      <c r="I266" s="703"/>
      <c r="J266" s="704"/>
      <c r="K266" s="704"/>
      <c r="L266" s="704"/>
      <c r="M266" s="704"/>
      <c r="N266" s="704"/>
      <c r="O266" s="685"/>
    </row>
    <row r="267" spans="1:15" ht="15.75" customHeight="1" x14ac:dyDescent="0.3">
      <c r="A267" s="768"/>
      <c r="B267" s="768"/>
      <c r="C267" s="700"/>
      <c r="D267" s="701"/>
      <c r="E267" s="700"/>
      <c r="F267" s="328"/>
      <c r="G267" s="700"/>
      <c r="H267" s="700"/>
      <c r="I267" s="703"/>
      <c r="J267" s="704"/>
      <c r="K267" s="704"/>
      <c r="L267" s="704"/>
      <c r="M267" s="704"/>
      <c r="N267" s="704"/>
      <c r="O267" s="685"/>
    </row>
    <row r="268" spans="1:15" ht="15.75" customHeight="1" x14ac:dyDescent="0.3">
      <c r="A268" s="768"/>
      <c r="B268" s="768"/>
      <c r="C268" s="700"/>
      <c r="D268" s="701"/>
      <c r="E268" s="700"/>
      <c r="F268" s="328"/>
      <c r="G268" s="700"/>
      <c r="H268" s="700"/>
      <c r="I268" s="703"/>
      <c r="J268" s="704"/>
      <c r="K268" s="704"/>
      <c r="L268" s="704"/>
      <c r="M268" s="704"/>
      <c r="N268" s="704"/>
      <c r="O268" s="685"/>
    </row>
    <row r="269" spans="1:15" ht="15.75" customHeight="1" x14ac:dyDescent="0.3">
      <c r="A269" s="768"/>
      <c r="B269" s="768"/>
      <c r="C269" s="700"/>
      <c r="D269" s="701"/>
      <c r="E269" s="700"/>
      <c r="F269" s="328"/>
      <c r="G269" s="700"/>
      <c r="H269" s="700"/>
      <c r="I269" s="703"/>
      <c r="J269" s="704"/>
      <c r="K269" s="704"/>
      <c r="L269" s="704"/>
      <c r="M269" s="704"/>
      <c r="N269" s="704"/>
      <c r="O269" s="685"/>
    </row>
    <row r="270" spans="1:15" ht="15.75" customHeight="1" x14ac:dyDescent="0.25">
      <c r="A270" s="770"/>
      <c r="B270" s="770"/>
      <c r="C270" s="619"/>
      <c r="D270" s="708"/>
      <c r="E270" s="619"/>
      <c r="F270" s="329"/>
      <c r="G270" s="619"/>
      <c r="H270" s="619"/>
      <c r="I270" s="710"/>
      <c r="J270" s="710"/>
      <c r="K270" s="710"/>
      <c r="L270" s="710"/>
      <c r="M270" s="710"/>
      <c r="N270" s="710"/>
      <c r="O270" s="685"/>
    </row>
    <row r="271" spans="1:15" ht="15.75" customHeight="1" x14ac:dyDescent="0.25">
      <c r="A271" s="770"/>
      <c r="B271" s="770"/>
      <c r="C271" s="619"/>
      <c r="D271" s="708"/>
      <c r="E271" s="619"/>
      <c r="F271" s="329"/>
      <c r="G271" s="619"/>
      <c r="H271" s="619"/>
      <c r="I271" s="710"/>
      <c r="J271" s="710"/>
      <c r="K271" s="710"/>
      <c r="L271" s="710"/>
      <c r="M271" s="710"/>
      <c r="N271" s="710"/>
      <c r="O271" s="685"/>
    </row>
    <row r="272" spans="1:15" ht="15.75" customHeight="1" x14ac:dyDescent="0.25">
      <c r="A272" s="770"/>
      <c r="B272" s="770"/>
      <c r="C272" s="619"/>
      <c r="D272" s="708"/>
      <c r="E272" s="619"/>
      <c r="F272" s="329"/>
      <c r="G272" s="619"/>
      <c r="H272" s="619"/>
      <c r="I272" s="710"/>
      <c r="J272" s="710"/>
      <c r="K272" s="710"/>
      <c r="L272" s="710"/>
      <c r="M272" s="710"/>
      <c r="N272" s="710"/>
      <c r="O272" s="685"/>
    </row>
    <row r="273" spans="1:15" ht="15.75" customHeight="1" x14ac:dyDescent="0.25">
      <c r="A273" s="770"/>
      <c r="B273" s="770"/>
      <c r="C273" s="619"/>
      <c r="D273" s="708"/>
      <c r="E273" s="619"/>
      <c r="F273" s="329"/>
      <c r="G273" s="619"/>
      <c r="H273" s="619"/>
      <c r="I273" s="710"/>
      <c r="J273" s="710"/>
      <c r="K273" s="710"/>
      <c r="L273" s="710"/>
      <c r="M273" s="710"/>
      <c r="N273" s="710"/>
      <c r="O273" s="685"/>
    </row>
    <row r="274" spans="1:15" ht="15.75" customHeight="1" x14ac:dyDescent="0.25">
      <c r="A274" s="770"/>
      <c r="B274" s="770"/>
      <c r="C274" s="619"/>
      <c r="D274" s="708"/>
      <c r="E274" s="619"/>
      <c r="F274" s="329"/>
      <c r="G274" s="619"/>
      <c r="H274" s="619"/>
      <c r="I274" s="710"/>
      <c r="J274" s="710"/>
      <c r="K274" s="710"/>
      <c r="L274" s="710"/>
      <c r="M274" s="710"/>
      <c r="N274" s="710"/>
      <c r="O274" s="685"/>
    </row>
    <row r="275" spans="1:15" ht="15.75" customHeight="1" x14ac:dyDescent="0.25">
      <c r="A275" s="770"/>
      <c r="B275" s="770"/>
      <c r="C275" s="619"/>
      <c r="D275" s="708"/>
      <c r="E275" s="619"/>
      <c r="F275" s="329"/>
      <c r="G275" s="619"/>
      <c r="H275" s="619"/>
      <c r="I275" s="710"/>
      <c r="J275" s="710"/>
      <c r="K275" s="710"/>
      <c r="L275" s="710"/>
      <c r="M275" s="710"/>
      <c r="N275" s="710"/>
      <c r="O275" s="685"/>
    </row>
    <row r="276" spans="1:15" ht="15.75" customHeight="1" x14ac:dyDescent="0.25">
      <c r="A276" s="770"/>
      <c r="B276" s="770"/>
      <c r="C276" s="619"/>
      <c r="D276" s="708"/>
      <c r="E276" s="619"/>
      <c r="F276" s="329"/>
      <c r="G276" s="619"/>
      <c r="H276" s="619"/>
      <c r="I276" s="710"/>
      <c r="J276" s="710"/>
      <c r="K276" s="710"/>
      <c r="L276" s="710"/>
      <c r="M276" s="710"/>
      <c r="N276" s="710"/>
      <c r="O276" s="685"/>
    </row>
    <row r="277" spans="1:15" ht="15.75" customHeight="1" x14ac:dyDescent="0.25">
      <c r="A277" s="770"/>
      <c r="B277" s="770"/>
      <c r="C277" s="619"/>
      <c r="D277" s="708"/>
      <c r="E277" s="619"/>
      <c r="F277" s="329"/>
      <c r="G277" s="619"/>
      <c r="H277" s="619"/>
      <c r="I277" s="710"/>
      <c r="J277" s="710"/>
      <c r="K277" s="710"/>
      <c r="L277" s="710"/>
      <c r="M277" s="710"/>
      <c r="N277" s="710"/>
      <c r="O277" s="685"/>
    </row>
    <row r="278" spans="1:15" ht="15.75" customHeight="1" x14ac:dyDescent="0.25">
      <c r="A278" s="770"/>
      <c r="B278" s="770"/>
      <c r="C278" s="619"/>
      <c r="D278" s="708"/>
      <c r="E278" s="619"/>
      <c r="F278" s="329"/>
      <c r="G278" s="619"/>
      <c r="H278" s="619"/>
      <c r="I278" s="710"/>
      <c r="J278" s="710"/>
      <c r="K278" s="710"/>
      <c r="L278" s="710"/>
      <c r="M278" s="710"/>
      <c r="N278" s="710"/>
      <c r="O278" s="685"/>
    </row>
    <row r="279" spans="1:15" ht="15.75" customHeight="1" x14ac:dyDescent="0.25">
      <c r="A279" s="770"/>
      <c r="B279" s="770"/>
      <c r="C279" s="619"/>
      <c r="D279" s="708"/>
      <c r="E279" s="619"/>
      <c r="F279" s="329"/>
      <c r="G279" s="619"/>
      <c r="H279" s="619"/>
      <c r="I279" s="710"/>
      <c r="J279" s="710"/>
      <c r="K279" s="710"/>
      <c r="L279" s="710"/>
      <c r="M279" s="710"/>
      <c r="N279" s="710"/>
      <c r="O279" s="685"/>
    </row>
    <row r="280" spans="1:15" ht="15.75" customHeight="1" x14ac:dyDescent="0.25">
      <c r="A280" s="770"/>
      <c r="B280" s="770"/>
      <c r="C280" s="619"/>
      <c r="D280" s="708"/>
      <c r="E280" s="619"/>
      <c r="F280" s="329"/>
      <c r="G280" s="619"/>
      <c r="H280" s="619"/>
      <c r="I280" s="710"/>
      <c r="J280" s="710"/>
      <c r="K280" s="710"/>
      <c r="L280" s="710"/>
      <c r="M280" s="710"/>
      <c r="N280" s="710"/>
      <c r="O280" s="685"/>
    </row>
    <row r="281" spans="1:15" ht="15.75" customHeight="1" x14ac:dyDescent="0.25">
      <c r="A281" s="770"/>
      <c r="B281" s="770"/>
      <c r="C281" s="619"/>
      <c r="D281" s="708"/>
      <c r="E281" s="619"/>
      <c r="F281" s="329"/>
      <c r="G281" s="619"/>
      <c r="H281" s="619"/>
      <c r="I281" s="710"/>
      <c r="J281" s="710"/>
      <c r="K281" s="710"/>
      <c r="L281" s="710"/>
      <c r="M281" s="710"/>
      <c r="N281" s="710"/>
      <c r="O281" s="685"/>
    </row>
    <row r="282" spans="1:15" ht="15.75" customHeight="1" x14ac:dyDescent="0.25">
      <c r="A282" s="770"/>
      <c r="B282" s="770"/>
      <c r="C282" s="619"/>
      <c r="D282" s="708"/>
      <c r="E282" s="619"/>
      <c r="F282" s="329"/>
      <c r="G282" s="619"/>
      <c r="H282" s="619"/>
      <c r="I282" s="710"/>
      <c r="J282" s="710"/>
      <c r="K282" s="710"/>
      <c r="L282" s="710"/>
      <c r="M282" s="710"/>
      <c r="N282" s="710"/>
      <c r="O282" s="685"/>
    </row>
    <row r="283" spans="1:15" ht="15.75" customHeight="1" x14ac:dyDescent="0.25">
      <c r="A283" s="770"/>
      <c r="B283" s="770"/>
      <c r="C283" s="619"/>
      <c r="D283" s="708"/>
      <c r="E283" s="619"/>
      <c r="F283" s="329"/>
      <c r="G283" s="619"/>
      <c r="H283" s="619"/>
      <c r="I283" s="710"/>
      <c r="J283" s="710"/>
      <c r="K283" s="710"/>
      <c r="L283" s="710"/>
      <c r="M283" s="710"/>
      <c r="N283" s="710"/>
      <c r="O283" s="685"/>
    </row>
    <row r="284" spans="1:15" ht="15.75" customHeight="1" x14ac:dyDescent="0.25">
      <c r="A284" s="770"/>
      <c r="B284" s="770"/>
      <c r="C284" s="619"/>
      <c r="D284" s="708"/>
      <c r="E284" s="619"/>
      <c r="F284" s="329"/>
      <c r="G284" s="619"/>
      <c r="H284" s="619"/>
      <c r="I284" s="710"/>
      <c r="J284" s="710"/>
      <c r="K284" s="710"/>
      <c r="L284" s="710"/>
      <c r="M284" s="710"/>
      <c r="N284" s="710"/>
      <c r="O284" s="685"/>
    </row>
    <row r="285" spans="1:15" ht="15.75" customHeight="1" x14ac:dyDescent="0.25">
      <c r="A285" s="770"/>
      <c r="B285" s="770"/>
      <c r="C285" s="619"/>
      <c r="D285" s="708"/>
      <c r="E285" s="619"/>
      <c r="F285" s="329"/>
      <c r="G285" s="619"/>
      <c r="H285" s="619"/>
      <c r="I285" s="710"/>
      <c r="J285" s="710"/>
      <c r="K285" s="710"/>
      <c r="L285" s="710"/>
      <c r="M285" s="710"/>
      <c r="N285" s="710"/>
      <c r="O285" s="685"/>
    </row>
    <row r="286" spans="1:15" ht="15.75" customHeight="1" x14ac:dyDescent="0.25">
      <c r="A286" s="770"/>
      <c r="B286" s="770"/>
      <c r="C286" s="619"/>
      <c r="D286" s="708"/>
      <c r="E286" s="619"/>
      <c r="F286" s="329"/>
      <c r="G286" s="619"/>
      <c r="H286" s="619"/>
      <c r="I286" s="710"/>
      <c r="J286" s="710"/>
      <c r="K286" s="710"/>
      <c r="L286" s="710"/>
      <c r="M286" s="710"/>
      <c r="N286" s="710"/>
      <c r="O286" s="685"/>
    </row>
    <row r="287" spans="1:15" ht="15.75" customHeight="1" x14ac:dyDescent="0.25">
      <c r="A287" s="770"/>
      <c r="B287" s="770"/>
      <c r="C287" s="619"/>
      <c r="D287" s="708"/>
      <c r="E287" s="619"/>
      <c r="F287" s="329"/>
      <c r="G287" s="619"/>
      <c r="H287" s="619"/>
      <c r="I287" s="710"/>
      <c r="J287" s="710"/>
      <c r="K287" s="710"/>
      <c r="L287" s="710"/>
      <c r="M287" s="710"/>
      <c r="N287" s="710"/>
      <c r="O287" s="685"/>
    </row>
    <row r="288" spans="1:15" ht="15.75" customHeight="1" x14ac:dyDescent="0.25">
      <c r="A288" s="770"/>
      <c r="B288" s="770"/>
      <c r="C288" s="619"/>
      <c r="D288" s="708"/>
      <c r="E288" s="619"/>
      <c r="F288" s="329"/>
      <c r="G288" s="619"/>
      <c r="H288" s="619"/>
      <c r="I288" s="710"/>
      <c r="J288" s="710"/>
      <c r="K288" s="710"/>
      <c r="L288" s="710"/>
      <c r="M288" s="710"/>
      <c r="N288" s="710"/>
      <c r="O288" s="685"/>
    </row>
    <row r="289" spans="1:15" ht="15.75" customHeight="1" x14ac:dyDescent="0.25">
      <c r="A289" s="770"/>
      <c r="B289" s="770"/>
      <c r="C289" s="619"/>
      <c r="D289" s="708"/>
      <c r="E289" s="619"/>
      <c r="F289" s="329"/>
      <c r="G289" s="619"/>
      <c r="H289" s="619"/>
      <c r="I289" s="710"/>
      <c r="J289" s="710"/>
      <c r="K289" s="710"/>
      <c r="L289" s="710"/>
      <c r="M289" s="710"/>
      <c r="N289" s="710"/>
      <c r="O289" s="685"/>
    </row>
    <row r="290" spans="1:15" ht="15.75" customHeight="1" x14ac:dyDescent="0.25">
      <c r="A290" s="770"/>
      <c r="B290" s="770"/>
      <c r="C290" s="619"/>
      <c r="D290" s="708"/>
      <c r="E290" s="619"/>
      <c r="F290" s="329"/>
      <c r="G290" s="619"/>
      <c r="H290" s="619"/>
      <c r="I290" s="710"/>
      <c r="J290" s="710"/>
      <c r="K290" s="710"/>
      <c r="L290" s="710"/>
      <c r="M290" s="710"/>
      <c r="N290" s="710"/>
      <c r="O290" s="685"/>
    </row>
    <row r="291" spans="1:15" ht="15.75" customHeight="1" x14ac:dyDescent="0.25">
      <c r="A291" s="770"/>
      <c r="B291" s="770"/>
      <c r="C291" s="619"/>
      <c r="D291" s="708"/>
      <c r="E291" s="619"/>
      <c r="F291" s="329"/>
      <c r="G291" s="619"/>
      <c r="H291" s="619"/>
      <c r="I291" s="710"/>
      <c r="J291" s="710"/>
      <c r="K291" s="710"/>
      <c r="L291" s="710"/>
      <c r="M291" s="710"/>
      <c r="N291" s="710"/>
      <c r="O291" s="685"/>
    </row>
    <row r="292" spans="1:15" ht="15.75" customHeight="1" x14ac:dyDescent="0.25">
      <c r="A292" s="770"/>
      <c r="B292" s="770"/>
      <c r="C292" s="619"/>
      <c r="D292" s="708"/>
      <c r="E292" s="619"/>
      <c r="F292" s="329"/>
      <c r="G292" s="619"/>
      <c r="H292" s="619"/>
      <c r="I292" s="710"/>
      <c r="J292" s="710"/>
      <c r="K292" s="710"/>
      <c r="L292" s="710"/>
      <c r="M292" s="710"/>
      <c r="N292" s="710"/>
      <c r="O292" s="685"/>
    </row>
    <row r="293" spans="1:15" ht="15.75" customHeight="1" x14ac:dyDescent="0.25">
      <c r="A293" s="770"/>
      <c r="B293" s="770"/>
      <c r="C293" s="619"/>
      <c r="D293" s="708"/>
      <c r="E293" s="619"/>
      <c r="F293" s="329"/>
      <c r="G293" s="619"/>
      <c r="H293" s="619"/>
      <c r="I293" s="710"/>
      <c r="J293" s="710"/>
      <c r="K293" s="710"/>
      <c r="L293" s="710"/>
      <c r="M293" s="710"/>
      <c r="N293" s="710"/>
      <c r="O293" s="685"/>
    </row>
    <row r="294" spans="1:15" ht="15.75" customHeight="1" x14ac:dyDescent="0.25">
      <c r="A294" s="770"/>
      <c r="B294" s="770"/>
      <c r="C294" s="619"/>
      <c r="D294" s="708"/>
      <c r="E294" s="619"/>
      <c r="F294" s="329"/>
      <c r="G294" s="619"/>
      <c r="H294" s="619"/>
      <c r="I294" s="710"/>
      <c r="J294" s="710"/>
      <c r="K294" s="710"/>
      <c r="L294" s="710"/>
      <c r="M294" s="710"/>
      <c r="N294" s="710"/>
      <c r="O294" s="685"/>
    </row>
    <row r="295" spans="1:15" ht="15.75" customHeight="1" x14ac:dyDescent="0.25">
      <c r="A295" s="770"/>
      <c r="B295" s="770"/>
      <c r="C295" s="619"/>
      <c r="D295" s="708"/>
      <c r="E295" s="619"/>
      <c r="F295" s="329"/>
      <c r="G295" s="619"/>
      <c r="H295" s="619"/>
      <c r="I295" s="710"/>
      <c r="J295" s="710"/>
      <c r="K295" s="710"/>
      <c r="L295" s="710"/>
      <c r="M295" s="710"/>
      <c r="N295" s="710"/>
      <c r="O295" s="685"/>
    </row>
    <row r="296" spans="1:15" ht="15.75" customHeight="1" x14ac:dyDescent="0.25">
      <c r="A296" s="770"/>
      <c r="B296" s="770"/>
      <c r="C296" s="619"/>
      <c r="D296" s="708"/>
      <c r="E296" s="619"/>
      <c r="F296" s="329"/>
      <c r="G296" s="619"/>
      <c r="H296" s="619"/>
      <c r="I296" s="710"/>
      <c r="J296" s="710"/>
      <c r="K296" s="710"/>
      <c r="L296" s="710"/>
      <c r="M296" s="710"/>
      <c r="N296" s="710"/>
      <c r="O296" s="685"/>
    </row>
    <row r="297" spans="1:15" ht="15.75" customHeight="1" x14ac:dyDescent="0.25">
      <c r="A297" s="770"/>
      <c r="B297" s="770"/>
      <c r="C297" s="619"/>
      <c r="D297" s="708"/>
      <c r="E297" s="619"/>
      <c r="F297" s="329"/>
      <c r="G297" s="619"/>
      <c r="H297" s="619"/>
      <c r="I297" s="710"/>
      <c r="J297" s="710"/>
      <c r="K297" s="710"/>
      <c r="L297" s="710"/>
      <c r="M297" s="710"/>
      <c r="N297" s="710"/>
      <c r="O297" s="685"/>
    </row>
    <row r="298" spans="1:15" ht="15.75" customHeight="1" x14ac:dyDescent="0.25">
      <c r="A298" s="770"/>
      <c r="B298" s="770"/>
      <c r="C298" s="619"/>
      <c r="D298" s="708"/>
      <c r="E298" s="619"/>
      <c r="F298" s="329"/>
      <c r="G298" s="619"/>
      <c r="H298" s="619"/>
      <c r="I298" s="710"/>
      <c r="J298" s="710"/>
      <c r="K298" s="710"/>
      <c r="L298" s="710"/>
      <c r="M298" s="710"/>
      <c r="N298" s="710"/>
      <c r="O298" s="685"/>
    </row>
    <row r="299" spans="1:15" ht="15.75" customHeight="1" x14ac:dyDescent="0.25">
      <c r="A299" s="770"/>
      <c r="B299" s="770"/>
      <c r="C299" s="619"/>
      <c r="D299" s="708"/>
      <c r="E299" s="619"/>
      <c r="F299" s="329"/>
      <c r="G299" s="619"/>
      <c r="H299" s="619"/>
      <c r="I299" s="710"/>
      <c r="J299" s="710"/>
      <c r="K299" s="710"/>
      <c r="L299" s="710"/>
      <c r="M299" s="710"/>
      <c r="N299" s="710"/>
      <c r="O299" s="685"/>
    </row>
    <row r="300" spans="1:15" ht="15.75" customHeight="1" x14ac:dyDescent="0.25">
      <c r="A300" s="770"/>
      <c r="B300" s="770"/>
      <c r="C300" s="619"/>
      <c r="D300" s="708"/>
      <c r="E300" s="619"/>
      <c r="F300" s="329"/>
      <c r="G300" s="619"/>
      <c r="H300" s="619"/>
      <c r="I300" s="710"/>
      <c r="J300" s="710"/>
      <c r="K300" s="710"/>
      <c r="L300" s="710"/>
      <c r="M300" s="710"/>
      <c r="N300" s="710"/>
      <c r="O300" s="685"/>
    </row>
    <row r="301" spans="1:15" ht="15.75" customHeight="1" x14ac:dyDescent="0.25">
      <c r="A301" s="770"/>
      <c r="B301" s="770"/>
      <c r="C301" s="619"/>
      <c r="D301" s="708"/>
      <c r="E301" s="619"/>
      <c r="F301" s="329"/>
      <c r="G301" s="619"/>
      <c r="H301" s="619"/>
      <c r="I301" s="710"/>
      <c r="J301" s="710"/>
      <c r="K301" s="710"/>
      <c r="L301" s="710"/>
      <c r="M301" s="710"/>
      <c r="N301" s="710"/>
      <c r="O301" s="685"/>
    </row>
    <row r="302" spans="1:15" ht="15.75" customHeight="1" x14ac:dyDescent="0.25">
      <c r="A302" s="770"/>
      <c r="B302" s="770"/>
      <c r="C302" s="619"/>
      <c r="D302" s="708"/>
      <c r="E302" s="619"/>
      <c r="F302" s="329"/>
      <c r="G302" s="619"/>
      <c r="H302" s="619"/>
      <c r="I302" s="710"/>
      <c r="J302" s="710"/>
      <c r="K302" s="710"/>
      <c r="L302" s="710"/>
      <c r="M302" s="710"/>
      <c r="N302" s="710"/>
      <c r="O302" s="685"/>
    </row>
    <row r="303" spans="1:15" ht="15.75" customHeight="1" x14ac:dyDescent="0.25">
      <c r="A303" s="770"/>
      <c r="B303" s="770"/>
      <c r="C303" s="619"/>
      <c r="D303" s="708"/>
      <c r="E303" s="619"/>
      <c r="F303" s="329"/>
      <c r="G303" s="619"/>
      <c r="H303" s="619"/>
      <c r="I303" s="710"/>
      <c r="J303" s="710"/>
      <c r="K303" s="710"/>
      <c r="L303" s="710"/>
      <c r="M303" s="710"/>
      <c r="N303" s="710"/>
      <c r="O303" s="685"/>
    </row>
    <row r="304" spans="1:15" ht="15.75" customHeight="1" x14ac:dyDescent="0.25">
      <c r="A304" s="770"/>
      <c r="B304" s="770"/>
      <c r="C304" s="619"/>
      <c r="D304" s="708"/>
      <c r="E304" s="619"/>
      <c r="F304" s="329"/>
      <c r="G304" s="619"/>
      <c r="H304" s="619"/>
      <c r="I304" s="710"/>
      <c r="J304" s="710"/>
      <c r="K304" s="710"/>
      <c r="L304" s="710"/>
      <c r="M304" s="710"/>
      <c r="N304" s="710"/>
      <c r="O304" s="685"/>
    </row>
    <row r="305" spans="1:15" ht="15.75" customHeight="1" x14ac:dyDescent="0.25">
      <c r="A305" s="770"/>
      <c r="B305" s="770"/>
      <c r="C305" s="619"/>
      <c r="D305" s="708"/>
      <c r="E305" s="619"/>
      <c r="F305" s="329"/>
      <c r="G305" s="619"/>
      <c r="H305" s="619"/>
      <c r="I305" s="710"/>
      <c r="J305" s="710"/>
      <c r="K305" s="710"/>
      <c r="L305" s="710"/>
      <c r="M305" s="710"/>
      <c r="N305" s="710"/>
      <c r="O305" s="685"/>
    </row>
    <row r="306" spans="1:15" ht="15.75" customHeight="1" x14ac:dyDescent="0.25">
      <c r="A306" s="770"/>
      <c r="B306" s="770"/>
      <c r="C306" s="619"/>
      <c r="D306" s="708"/>
      <c r="E306" s="619"/>
      <c r="F306" s="329"/>
      <c r="G306" s="619"/>
      <c r="H306" s="619"/>
      <c r="I306" s="710"/>
      <c r="J306" s="710"/>
      <c r="K306" s="710"/>
      <c r="L306" s="710"/>
      <c r="M306" s="710"/>
      <c r="N306" s="710"/>
      <c r="O306" s="685"/>
    </row>
    <row r="307" spans="1:15" ht="15.75" customHeight="1" x14ac:dyDescent="0.25">
      <c r="A307" s="770"/>
      <c r="B307" s="770"/>
      <c r="C307" s="619"/>
      <c r="D307" s="708"/>
      <c r="E307" s="619"/>
      <c r="F307" s="329"/>
      <c r="G307" s="619"/>
      <c r="H307" s="619"/>
      <c r="I307" s="710"/>
      <c r="J307" s="710"/>
      <c r="K307" s="710"/>
      <c r="L307" s="710"/>
      <c r="M307" s="710"/>
      <c r="N307" s="710"/>
      <c r="O307" s="685"/>
    </row>
    <row r="308" spans="1:15" ht="15.75" customHeight="1" x14ac:dyDescent="0.25">
      <c r="A308" s="770"/>
      <c r="B308" s="770"/>
      <c r="C308" s="619"/>
      <c r="D308" s="708"/>
      <c r="E308" s="619"/>
      <c r="F308" s="329"/>
      <c r="G308" s="619"/>
      <c r="H308" s="619"/>
      <c r="I308" s="710"/>
      <c r="J308" s="710"/>
      <c r="K308" s="710"/>
      <c r="L308" s="710"/>
      <c r="M308" s="710"/>
      <c r="N308" s="710"/>
      <c r="O308" s="685"/>
    </row>
    <row r="309" spans="1:15" ht="15.75" customHeight="1" x14ac:dyDescent="0.25">
      <c r="A309" s="770"/>
      <c r="B309" s="770"/>
      <c r="C309" s="619"/>
      <c r="D309" s="708"/>
      <c r="E309" s="619"/>
      <c r="F309" s="329"/>
      <c r="G309" s="619"/>
      <c r="H309" s="619"/>
      <c r="I309" s="710"/>
      <c r="J309" s="710"/>
      <c r="K309" s="710"/>
      <c r="L309" s="710"/>
      <c r="M309" s="710"/>
      <c r="N309" s="710"/>
      <c r="O309" s="685"/>
    </row>
    <row r="310" spans="1:15" ht="15.75" customHeight="1" x14ac:dyDescent="0.25">
      <c r="A310" s="770"/>
      <c r="B310" s="770"/>
      <c r="C310" s="619"/>
      <c r="D310" s="708"/>
      <c r="E310" s="619"/>
      <c r="F310" s="329"/>
      <c r="G310" s="619"/>
      <c r="H310" s="619"/>
      <c r="I310" s="710"/>
      <c r="J310" s="710"/>
      <c r="K310" s="710"/>
      <c r="L310" s="710"/>
      <c r="M310" s="710"/>
      <c r="N310" s="710"/>
      <c r="O310" s="685"/>
    </row>
    <row r="311" spans="1:15" ht="15.75" customHeight="1" x14ac:dyDescent="0.25">
      <c r="A311" s="770"/>
      <c r="B311" s="770"/>
      <c r="C311" s="619"/>
      <c r="D311" s="708"/>
      <c r="E311" s="619"/>
      <c r="F311" s="329"/>
      <c r="G311" s="619"/>
      <c r="H311" s="619"/>
      <c r="I311" s="710"/>
      <c r="J311" s="710"/>
      <c r="K311" s="710"/>
      <c r="L311" s="710"/>
      <c r="M311" s="710"/>
      <c r="N311" s="710"/>
      <c r="O311" s="685"/>
    </row>
    <row r="312" spans="1:15" ht="15.75" customHeight="1" x14ac:dyDescent="0.25">
      <c r="A312" s="770"/>
      <c r="B312" s="770"/>
      <c r="C312" s="619"/>
      <c r="D312" s="708"/>
      <c r="E312" s="619"/>
      <c r="F312" s="329"/>
      <c r="G312" s="619"/>
      <c r="H312" s="619"/>
      <c r="I312" s="710"/>
      <c r="J312" s="710"/>
      <c r="K312" s="710"/>
      <c r="L312" s="710"/>
      <c r="M312" s="710"/>
      <c r="N312" s="710"/>
      <c r="O312" s="685"/>
    </row>
    <row r="313" spans="1:15" ht="15.75" customHeight="1" x14ac:dyDescent="0.25">
      <c r="A313" s="770"/>
      <c r="B313" s="770"/>
      <c r="C313" s="619"/>
      <c r="D313" s="708"/>
      <c r="E313" s="619"/>
      <c r="F313" s="329"/>
      <c r="G313" s="619"/>
      <c r="H313" s="619"/>
      <c r="I313" s="710"/>
      <c r="J313" s="710"/>
      <c r="K313" s="710"/>
      <c r="L313" s="710"/>
      <c r="M313" s="710"/>
      <c r="N313" s="710"/>
      <c r="O313" s="685"/>
    </row>
    <row r="314" spans="1:15" ht="15.75" customHeight="1" x14ac:dyDescent="0.25">
      <c r="A314" s="770"/>
      <c r="B314" s="770"/>
      <c r="C314" s="619"/>
      <c r="D314" s="708"/>
      <c r="E314" s="619"/>
      <c r="F314" s="329"/>
      <c r="G314" s="619"/>
      <c r="H314" s="619"/>
      <c r="I314" s="710"/>
      <c r="J314" s="710"/>
      <c r="K314" s="710"/>
      <c r="L314" s="710"/>
      <c r="M314" s="710"/>
      <c r="N314" s="710"/>
      <c r="O314" s="685"/>
    </row>
    <row r="315" spans="1:15" ht="15.75" customHeight="1" x14ac:dyDescent="0.25">
      <c r="A315" s="770"/>
      <c r="B315" s="770"/>
      <c r="C315" s="619"/>
      <c r="D315" s="708"/>
      <c r="E315" s="619"/>
      <c r="F315" s="329"/>
      <c r="G315" s="619"/>
      <c r="H315" s="619"/>
      <c r="I315" s="710"/>
      <c r="J315" s="710"/>
      <c r="K315" s="710"/>
      <c r="L315" s="710"/>
      <c r="M315" s="710"/>
      <c r="N315" s="710"/>
      <c r="O315" s="685"/>
    </row>
    <row r="316" spans="1:15" ht="15.75" customHeight="1" x14ac:dyDescent="0.25">
      <c r="A316" s="770"/>
      <c r="B316" s="770"/>
      <c r="C316" s="619"/>
      <c r="D316" s="708"/>
      <c r="E316" s="619"/>
      <c r="F316" s="329"/>
      <c r="G316" s="619"/>
      <c r="H316" s="619"/>
      <c r="I316" s="710"/>
      <c r="J316" s="710"/>
      <c r="K316" s="710"/>
      <c r="L316" s="710"/>
      <c r="M316" s="710"/>
      <c r="N316" s="710"/>
      <c r="O316" s="685"/>
    </row>
    <row r="317" spans="1:15" ht="15.75" customHeight="1" x14ac:dyDescent="0.25">
      <c r="A317" s="770"/>
      <c r="B317" s="770"/>
      <c r="C317" s="619"/>
      <c r="D317" s="708"/>
      <c r="E317" s="619"/>
      <c r="F317" s="329"/>
      <c r="G317" s="619"/>
      <c r="H317" s="619"/>
      <c r="I317" s="710"/>
      <c r="J317" s="710"/>
      <c r="K317" s="710"/>
      <c r="L317" s="710"/>
      <c r="M317" s="710"/>
      <c r="N317" s="710"/>
      <c r="O317" s="685"/>
    </row>
    <row r="318" spans="1:15" ht="15.75" customHeight="1" x14ac:dyDescent="0.25">
      <c r="A318" s="770"/>
      <c r="B318" s="770"/>
      <c r="C318" s="619"/>
      <c r="D318" s="708"/>
      <c r="E318" s="619"/>
      <c r="F318" s="329"/>
      <c r="G318" s="619"/>
      <c r="H318" s="619"/>
      <c r="I318" s="710"/>
      <c r="J318" s="710"/>
      <c r="K318" s="710"/>
      <c r="L318" s="710"/>
      <c r="M318" s="710"/>
      <c r="N318" s="710"/>
      <c r="O318" s="685"/>
    </row>
    <row r="319" spans="1:15" ht="15.75" customHeight="1" x14ac:dyDescent="0.25">
      <c r="A319" s="770"/>
      <c r="B319" s="770"/>
      <c r="C319" s="619"/>
      <c r="D319" s="708"/>
      <c r="E319" s="619"/>
      <c r="F319" s="329"/>
      <c r="G319" s="619"/>
      <c r="H319" s="619"/>
      <c r="I319" s="710"/>
      <c r="J319" s="710"/>
      <c r="K319" s="710"/>
      <c r="L319" s="710"/>
      <c r="M319" s="710"/>
      <c r="N319" s="710"/>
      <c r="O319" s="685"/>
    </row>
    <row r="320" spans="1:15" ht="15.75" customHeight="1" x14ac:dyDescent="0.25">
      <c r="A320" s="770"/>
      <c r="B320" s="770"/>
      <c r="C320" s="619"/>
      <c r="D320" s="708"/>
      <c r="E320" s="619"/>
      <c r="F320" s="329"/>
      <c r="G320" s="619"/>
      <c r="H320" s="619"/>
      <c r="I320" s="710"/>
      <c r="J320" s="710"/>
      <c r="K320" s="710"/>
      <c r="L320" s="710"/>
      <c r="M320" s="710"/>
      <c r="N320" s="710"/>
      <c r="O320" s="685"/>
    </row>
    <row r="321" spans="1:15" ht="15.75" customHeight="1" x14ac:dyDescent="0.25">
      <c r="A321" s="770"/>
      <c r="B321" s="770"/>
      <c r="C321" s="619"/>
      <c r="D321" s="708"/>
      <c r="E321" s="619"/>
      <c r="F321" s="329"/>
      <c r="G321" s="619"/>
      <c r="H321" s="619"/>
      <c r="I321" s="710"/>
      <c r="J321" s="710"/>
      <c r="K321" s="710"/>
      <c r="L321" s="710"/>
      <c r="M321" s="710"/>
      <c r="N321" s="710"/>
      <c r="O321" s="685"/>
    </row>
    <row r="322" spans="1:15" ht="15.75" customHeight="1" x14ac:dyDescent="0.25">
      <c r="A322" s="770"/>
      <c r="B322" s="770"/>
      <c r="C322" s="619"/>
      <c r="D322" s="708"/>
      <c r="E322" s="619"/>
      <c r="F322" s="329"/>
      <c r="G322" s="619"/>
      <c r="H322" s="619"/>
      <c r="I322" s="710"/>
      <c r="J322" s="710"/>
      <c r="K322" s="710"/>
      <c r="L322" s="710"/>
      <c r="M322" s="710"/>
      <c r="N322" s="710"/>
      <c r="O322" s="685"/>
    </row>
    <row r="323" spans="1:15" ht="15.75" customHeight="1" x14ac:dyDescent="0.25">
      <c r="A323" s="770"/>
      <c r="B323" s="770"/>
      <c r="C323" s="619"/>
      <c r="D323" s="708"/>
      <c r="E323" s="619"/>
      <c r="F323" s="329"/>
      <c r="G323" s="619"/>
      <c r="H323" s="619"/>
      <c r="I323" s="710"/>
      <c r="J323" s="710"/>
      <c r="K323" s="710"/>
      <c r="L323" s="710"/>
      <c r="M323" s="710"/>
      <c r="N323" s="710"/>
      <c r="O323" s="685"/>
    </row>
    <row r="324" spans="1:15" ht="15.75" customHeight="1" x14ac:dyDescent="0.25">
      <c r="A324" s="770"/>
      <c r="B324" s="770"/>
      <c r="C324" s="619"/>
      <c r="D324" s="708"/>
      <c r="E324" s="619"/>
      <c r="F324" s="329"/>
      <c r="G324" s="619"/>
      <c r="H324" s="619"/>
      <c r="I324" s="710"/>
      <c r="J324" s="710"/>
      <c r="K324" s="710"/>
      <c r="L324" s="710"/>
      <c r="M324" s="710"/>
      <c r="N324" s="710"/>
      <c r="O324" s="685"/>
    </row>
    <row r="325" spans="1:15" ht="15.75" customHeight="1" x14ac:dyDescent="0.25">
      <c r="A325" s="770"/>
      <c r="B325" s="770"/>
      <c r="C325" s="619"/>
      <c r="D325" s="708"/>
      <c r="E325" s="619"/>
      <c r="F325" s="329"/>
      <c r="G325" s="619"/>
      <c r="H325" s="619"/>
      <c r="I325" s="710"/>
      <c r="J325" s="710"/>
      <c r="K325" s="710"/>
      <c r="L325" s="710"/>
      <c r="M325" s="710"/>
      <c r="N325" s="710"/>
      <c r="O325" s="685"/>
    </row>
    <row r="326" spans="1:15" ht="15.75" customHeight="1" x14ac:dyDescent="0.25">
      <c r="A326" s="770"/>
      <c r="B326" s="770"/>
      <c r="C326" s="619"/>
      <c r="D326" s="708"/>
      <c r="E326" s="619"/>
      <c r="F326" s="329"/>
      <c r="G326" s="619"/>
      <c r="H326" s="619"/>
      <c r="I326" s="710"/>
      <c r="J326" s="710"/>
      <c r="K326" s="710"/>
      <c r="L326" s="710"/>
      <c r="M326" s="710"/>
      <c r="N326" s="710"/>
      <c r="O326" s="685"/>
    </row>
    <row r="327" spans="1:15" ht="15.75" customHeight="1" x14ac:dyDescent="0.25">
      <c r="A327" s="770"/>
      <c r="B327" s="770"/>
      <c r="C327" s="619"/>
      <c r="D327" s="708"/>
      <c r="E327" s="619"/>
      <c r="F327" s="329"/>
      <c r="G327" s="619"/>
      <c r="H327" s="619"/>
      <c r="I327" s="710"/>
      <c r="J327" s="710"/>
      <c r="K327" s="710"/>
      <c r="L327" s="710"/>
      <c r="M327" s="710"/>
      <c r="N327" s="710"/>
      <c r="O327" s="685"/>
    </row>
    <row r="328" spans="1:15" ht="15.75" customHeight="1" x14ac:dyDescent="0.25">
      <c r="A328" s="770"/>
      <c r="B328" s="770"/>
      <c r="C328" s="619"/>
      <c r="D328" s="708"/>
      <c r="E328" s="619"/>
      <c r="F328" s="329"/>
      <c r="G328" s="619"/>
      <c r="H328" s="619"/>
      <c r="I328" s="710"/>
      <c r="J328" s="710"/>
      <c r="K328" s="710"/>
      <c r="L328" s="710"/>
      <c r="M328" s="710"/>
      <c r="N328" s="710"/>
      <c r="O328" s="685"/>
    </row>
    <row r="329" spans="1:15" ht="15.75" customHeight="1" x14ac:dyDescent="0.25">
      <c r="A329" s="770"/>
      <c r="B329" s="770"/>
      <c r="C329" s="619"/>
      <c r="D329" s="708"/>
      <c r="E329" s="619"/>
      <c r="F329" s="329"/>
      <c r="G329" s="619"/>
      <c r="H329" s="619"/>
      <c r="I329" s="710"/>
      <c r="J329" s="710"/>
      <c r="K329" s="710"/>
      <c r="L329" s="710"/>
      <c r="M329" s="710"/>
      <c r="N329" s="710"/>
      <c r="O329" s="685"/>
    </row>
    <row r="330" spans="1:15" ht="15.75" customHeight="1" x14ac:dyDescent="0.25">
      <c r="A330" s="770"/>
      <c r="B330" s="770"/>
      <c r="C330" s="619"/>
      <c r="D330" s="708"/>
      <c r="E330" s="619"/>
      <c r="F330" s="329"/>
      <c r="G330" s="619"/>
      <c r="H330" s="619"/>
      <c r="I330" s="710"/>
      <c r="J330" s="710"/>
      <c r="K330" s="710"/>
      <c r="L330" s="710"/>
      <c r="M330" s="710"/>
      <c r="N330" s="710"/>
      <c r="O330" s="685"/>
    </row>
    <row r="331" spans="1:15" ht="15.75" customHeight="1" x14ac:dyDescent="0.25">
      <c r="A331" s="770"/>
      <c r="B331" s="770"/>
      <c r="C331" s="619"/>
      <c r="D331" s="708"/>
      <c r="E331" s="619"/>
      <c r="F331" s="329"/>
      <c r="G331" s="619"/>
      <c r="H331" s="619"/>
      <c r="I331" s="710"/>
      <c r="J331" s="710"/>
      <c r="K331" s="710"/>
      <c r="L331" s="710"/>
      <c r="M331" s="710"/>
      <c r="N331" s="710"/>
      <c r="O331" s="685"/>
    </row>
    <row r="332" spans="1:15" ht="15.75" customHeight="1" x14ac:dyDescent="0.25">
      <c r="A332" s="770"/>
      <c r="B332" s="770"/>
      <c r="C332" s="619"/>
      <c r="D332" s="708"/>
      <c r="E332" s="619"/>
      <c r="F332" s="329"/>
      <c r="G332" s="619"/>
      <c r="H332" s="619"/>
      <c r="I332" s="710"/>
      <c r="J332" s="710"/>
      <c r="K332" s="710"/>
      <c r="L332" s="710"/>
      <c r="M332" s="710"/>
      <c r="N332" s="710"/>
      <c r="O332" s="685"/>
    </row>
    <row r="333" spans="1:15" ht="15.75" customHeight="1" x14ac:dyDescent="0.25">
      <c r="A333" s="770"/>
      <c r="B333" s="770"/>
      <c r="C333" s="619"/>
      <c r="D333" s="708"/>
      <c r="E333" s="619"/>
      <c r="F333" s="329"/>
      <c r="G333" s="619"/>
      <c r="H333" s="619"/>
      <c r="I333" s="710"/>
      <c r="J333" s="710"/>
      <c r="K333" s="710"/>
      <c r="L333" s="710"/>
      <c r="M333" s="710"/>
      <c r="N333" s="710"/>
      <c r="O333" s="685"/>
    </row>
    <row r="334" spans="1:15" ht="15.75" customHeight="1" x14ac:dyDescent="0.25">
      <c r="A334" s="770"/>
      <c r="B334" s="770"/>
      <c r="C334" s="619"/>
      <c r="D334" s="708"/>
      <c r="E334" s="619"/>
      <c r="F334" s="329"/>
      <c r="G334" s="619"/>
      <c r="H334" s="619"/>
      <c r="I334" s="710"/>
      <c r="J334" s="710"/>
      <c r="K334" s="710"/>
      <c r="L334" s="710"/>
      <c r="M334" s="710"/>
      <c r="N334" s="710"/>
      <c r="O334" s="685"/>
    </row>
    <row r="335" spans="1:15" ht="15.75" customHeight="1" x14ac:dyDescent="0.25">
      <c r="A335" s="770"/>
      <c r="B335" s="770"/>
      <c r="C335" s="619"/>
      <c r="D335" s="708"/>
      <c r="E335" s="619"/>
      <c r="F335" s="329"/>
      <c r="G335" s="619"/>
      <c r="H335" s="619"/>
      <c r="I335" s="710"/>
      <c r="J335" s="710"/>
      <c r="K335" s="710"/>
      <c r="L335" s="710"/>
      <c r="M335" s="710"/>
      <c r="N335" s="710"/>
      <c r="O335" s="685"/>
    </row>
    <row r="336" spans="1:15" ht="15.75" customHeight="1" x14ac:dyDescent="0.25">
      <c r="A336" s="770"/>
      <c r="B336" s="770"/>
      <c r="C336" s="619"/>
      <c r="D336" s="708"/>
      <c r="E336" s="619"/>
      <c r="F336" s="329"/>
      <c r="G336" s="619"/>
      <c r="H336" s="619"/>
      <c r="I336" s="710"/>
      <c r="J336" s="710"/>
      <c r="K336" s="710"/>
      <c r="L336" s="710"/>
      <c r="M336" s="710"/>
      <c r="N336" s="710"/>
      <c r="O336" s="685"/>
    </row>
    <row r="337" spans="1:15" ht="15.75" customHeight="1" x14ac:dyDescent="0.25">
      <c r="A337" s="770"/>
      <c r="B337" s="770"/>
      <c r="C337" s="619"/>
      <c r="D337" s="708"/>
      <c r="E337" s="619"/>
      <c r="F337" s="329"/>
      <c r="G337" s="619"/>
      <c r="H337" s="619"/>
      <c r="I337" s="710"/>
      <c r="J337" s="710"/>
      <c r="K337" s="710"/>
      <c r="L337" s="710"/>
      <c r="M337" s="710"/>
      <c r="N337" s="710"/>
      <c r="O337" s="685"/>
    </row>
    <row r="338" spans="1:15" ht="15.75" customHeight="1" x14ac:dyDescent="0.25">
      <c r="A338" s="770"/>
      <c r="B338" s="770"/>
      <c r="C338" s="619"/>
      <c r="D338" s="708"/>
      <c r="E338" s="619"/>
      <c r="F338" s="329"/>
      <c r="G338" s="619"/>
      <c r="H338" s="619"/>
      <c r="I338" s="710"/>
      <c r="J338" s="710"/>
      <c r="K338" s="710"/>
      <c r="L338" s="710"/>
      <c r="M338" s="710"/>
      <c r="N338" s="710"/>
      <c r="O338" s="685"/>
    </row>
    <row r="339" spans="1:15" ht="15.75" customHeight="1" x14ac:dyDescent="0.25">
      <c r="A339" s="770"/>
      <c r="B339" s="770"/>
      <c r="C339" s="619"/>
      <c r="D339" s="708"/>
      <c r="E339" s="619"/>
      <c r="F339" s="329"/>
      <c r="G339" s="619"/>
      <c r="H339" s="619"/>
      <c r="I339" s="710"/>
      <c r="J339" s="710"/>
      <c r="K339" s="710"/>
      <c r="L339" s="710"/>
      <c r="M339" s="710"/>
      <c r="N339" s="710"/>
      <c r="O339" s="685"/>
    </row>
    <row r="340" spans="1:15" ht="15.75" customHeight="1" x14ac:dyDescent="0.25">
      <c r="A340" s="770"/>
      <c r="B340" s="770"/>
      <c r="C340" s="619"/>
      <c r="D340" s="708"/>
      <c r="E340" s="619"/>
      <c r="F340" s="329"/>
      <c r="G340" s="619"/>
      <c r="H340" s="619"/>
      <c r="I340" s="710"/>
      <c r="J340" s="710"/>
      <c r="K340" s="710"/>
      <c r="L340" s="710"/>
      <c r="M340" s="710"/>
      <c r="N340" s="710"/>
      <c r="O340" s="685"/>
    </row>
    <row r="341" spans="1:15" ht="15.75" customHeight="1" x14ac:dyDescent="0.25">
      <c r="F341" s="330"/>
      <c r="O341" s="787"/>
    </row>
    <row r="342" spans="1:15" ht="15.75" customHeight="1" x14ac:dyDescent="0.25">
      <c r="F342" s="330"/>
      <c r="O342" s="787"/>
    </row>
    <row r="343" spans="1:15" ht="15.75" customHeight="1" x14ac:dyDescent="0.25">
      <c r="F343" s="330"/>
      <c r="O343" s="787"/>
    </row>
    <row r="344" spans="1:15" ht="15.75" customHeight="1" x14ac:dyDescent="0.25">
      <c r="F344" s="330"/>
      <c r="O344" s="787"/>
    </row>
    <row r="345" spans="1:15" ht="15.75" customHeight="1" x14ac:dyDescent="0.25">
      <c r="F345" s="330"/>
      <c r="O345" s="787"/>
    </row>
    <row r="346" spans="1:15" ht="15.75" customHeight="1" x14ac:dyDescent="0.25">
      <c r="F346" s="330"/>
      <c r="O346" s="787"/>
    </row>
    <row r="347" spans="1:15" ht="15.75" customHeight="1" x14ac:dyDescent="0.25">
      <c r="F347" s="330"/>
      <c r="O347" s="787"/>
    </row>
    <row r="348" spans="1:15" ht="15.75" customHeight="1" x14ac:dyDescent="0.25">
      <c r="F348" s="330"/>
      <c r="O348" s="787"/>
    </row>
    <row r="349" spans="1:15" ht="15.75" customHeight="1" x14ac:dyDescent="0.25">
      <c r="F349" s="330"/>
      <c r="O349" s="787"/>
    </row>
    <row r="350" spans="1:15" ht="15.75" customHeight="1" x14ac:dyDescent="0.25">
      <c r="F350" s="330"/>
      <c r="O350" s="787"/>
    </row>
    <row r="351" spans="1:15" ht="15.75" customHeight="1" x14ac:dyDescent="0.25">
      <c r="F351" s="330"/>
      <c r="O351" s="787"/>
    </row>
    <row r="352" spans="1:15" ht="15.75" customHeight="1" x14ac:dyDescent="0.25">
      <c r="F352" s="330"/>
      <c r="O352" s="787"/>
    </row>
    <row r="353" spans="6:15" ht="15.75" customHeight="1" x14ac:dyDescent="0.25">
      <c r="F353" s="330"/>
      <c r="O353" s="787"/>
    </row>
    <row r="354" spans="6:15" ht="15.75" customHeight="1" x14ac:dyDescent="0.25">
      <c r="F354" s="330"/>
      <c r="O354" s="787"/>
    </row>
    <row r="355" spans="6:15" ht="15.75" customHeight="1" x14ac:dyDescent="0.25">
      <c r="F355" s="330"/>
      <c r="O355" s="787"/>
    </row>
    <row r="356" spans="6:15" ht="15.75" customHeight="1" x14ac:dyDescent="0.25">
      <c r="F356" s="330"/>
      <c r="O356" s="787"/>
    </row>
    <row r="357" spans="6:15" ht="15.75" customHeight="1" x14ac:dyDescent="0.25">
      <c r="F357" s="330"/>
      <c r="O357" s="787"/>
    </row>
    <row r="358" spans="6:15" ht="15.75" customHeight="1" x14ac:dyDescent="0.25">
      <c r="F358" s="330"/>
      <c r="O358" s="787"/>
    </row>
    <row r="359" spans="6:15" ht="15.75" customHeight="1" x14ac:dyDescent="0.25">
      <c r="F359" s="330"/>
      <c r="O359" s="787"/>
    </row>
    <row r="360" spans="6:15" ht="15.75" customHeight="1" x14ac:dyDescent="0.25">
      <c r="F360" s="330"/>
      <c r="O360" s="787"/>
    </row>
    <row r="361" spans="6:15" ht="15.75" customHeight="1" x14ac:dyDescent="0.25">
      <c r="F361" s="330"/>
      <c r="O361" s="787"/>
    </row>
    <row r="362" spans="6:15" ht="15.75" customHeight="1" x14ac:dyDescent="0.25">
      <c r="F362" s="330"/>
      <c r="O362" s="787"/>
    </row>
    <row r="363" spans="6:15" ht="15.75" customHeight="1" x14ac:dyDescent="0.25">
      <c r="F363" s="330"/>
      <c r="O363" s="787"/>
    </row>
    <row r="364" spans="6:15" ht="15.75" customHeight="1" x14ac:dyDescent="0.25">
      <c r="F364" s="330"/>
      <c r="O364" s="787"/>
    </row>
    <row r="365" spans="6:15" ht="15.75" customHeight="1" x14ac:dyDescent="0.25">
      <c r="F365" s="330"/>
      <c r="O365" s="787"/>
    </row>
    <row r="366" spans="6:15" ht="15.75" customHeight="1" x14ac:dyDescent="0.25">
      <c r="F366" s="330"/>
      <c r="O366" s="787"/>
    </row>
    <row r="367" spans="6:15" ht="15.75" customHeight="1" x14ac:dyDescent="0.25">
      <c r="F367" s="330"/>
      <c r="O367" s="787"/>
    </row>
    <row r="368" spans="6:15" ht="15.75" customHeight="1" x14ac:dyDescent="0.25">
      <c r="F368" s="330"/>
      <c r="O368" s="787"/>
    </row>
    <row r="369" spans="6:15" ht="15.75" customHeight="1" x14ac:dyDescent="0.25">
      <c r="F369" s="330"/>
      <c r="O369" s="787"/>
    </row>
    <row r="370" spans="6:15" ht="15.75" customHeight="1" x14ac:dyDescent="0.25">
      <c r="F370" s="330"/>
      <c r="O370" s="787"/>
    </row>
    <row r="371" spans="6:15" ht="15.75" customHeight="1" x14ac:dyDescent="0.25">
      <c r="F371" s="330"/>
      <c r="O371" s="787"/>
    </row>
    <row r="372" spans="6:15" ht="15.75" customHeight="1" x14ac:dyDescent="0.25">
      <c r="F372" s="330"/>
      <c r="O372" s="787"/>
    </row>
    <row r="373" spans="6:15" ht="15.75" customHeight="1" x14ac:dyDescent="0.25">
      <c r="F373" s="330"/>
      <c r="O373" s="787"/>
    </row>
    <row r="374" spans="6:15" ht="15.75" customHeight="1" x14ac:dyDescent="0.25">
      <c r="F374" s="330"/>
      <c r="O374" s="787"/>
    </row>
    <row r="375" spans="6:15" ht="15.75" customHeight="1" x14ac:dyDescent="0.25">
      <c r="F375" s="330"/>
      <c r="O375" s="787"/>
    </row>
    <row r="376" spans="6:15" ht="15.75" customHeight="1" x14ac:dyDescent="0.25">
      <c r="F376" s="330"/>
      <c r="O376" s="787"/>
    </row>
    <row r="377" spans="6:15" ht="15.75" customHeight="1" x14ac:dyDescent="0.25">
      <c r="F377" s="330"/>
      <c r="O377" s="787"/>
    </row>
    <row r="378" spans="6:15" ht="15.75" customHeight="1" x14ac:dyDescent="0.25">
      <c r="F378" s="330"/>
      <c r="O378" s="787"/>
    </row>
    <row r="379" spans="6:15" ht="15.75" customHeight="1" x14ac:dyDescent="0.25">
      <c r="F379" s="330"/>
      <c r="O379" s="787"/>
    </row>
    <row r="380" spans="6:15" ht="15.75" customHeight="1" x14ac:dyDescent="0.25">
      <c r="F380" s="330"/>
      <c r="O380" s="787"/>
    </row>
    <row r="381" spans="6:15" ht="15.75" customHeight="1" x14ac:dyDescent="0.25">
      <c r="F381" s="330"/>
      <c r="O381" s="787"/>
    </row>
    <row r="382" spans="6:15" ht="15.75" customHeight="1" x14ac:dyDescent="0.25">
      <c r="F382" s="330"/>
      <c r="O382" s="787"/>
    </row>
    <row r="383" spans="6:15" ht="15.75" customHeight="1" x14ac:dyDescent="0.25">
      <c r="F383" s="330"/>
      <c r="O383" s="787"/>
    </row>
    <row r="384" spans="6:15" ht="15.75" customHeight="1" x14ac:dyDescent="0.25">
      <c r="F384" s="330"/>
      <c r="O384" s="787"/>
    </row>
    <row r="385" spans="6:15" ht="15.75" customHeight="1" x14ac:dyDescent="0.25">
      <c r="F385" s="330"/>
      <c r="O385" s="787"/>
    </row>
    <row r="386" spans="6:15" ht="15.75" customHeight="1" x14ac:dyDescent="0.25">
      <c r="F386" s="330"/>
      <c r="O386" s="787"/>
    </row>
    <row r="387" spans="6:15" ht="15.75" customHeight="1" x14ac:dyDescent="0.25">
      <c r="F387" s="330"/>
      <c r="O387" s="787"/>
    </row>
    <row r="388" spans="6:15" ht="15.75" customHeight="1" x14ac:dyDescent="0.25">
      <c r="F388" s="330"/>
      <c r="O388" s="787"/>
    </row>
    <row r="389" spans="6:15" ht="15.75" customHeight="1" x14ac:dyDescent="0.25">
      <c r="F389" s="330"/>
      <c r="O389" s="787"/>
    </row>
    <row r="390" spans="6:15" ht="15.75" customHeight="1" x14ac:dyDescent="0.25">
      <c r="F390" s="330"/>
      <c r="O390" s="787"/>
    </row>
    <row r="391" spans="6:15" ht="15.75" customHeight="1" x14ac:dyDescent="0.25">
      <c r="F391" s="330"/>
      <c r="O391" s="787"/>
    </row>
    <row r="392" spans="6:15" ht="15.75" customHeight="1" x14ac:dyDescent="0.25">
      <c r="F392" s="330"/>
      <c r="O392" s="787"/>
    </row>
    <row r="393" spans="6:15" ht="15.75" customHeight="1" x14ac:dyDescent="0.25">
      <c r="F393" s="330"/>
      <c r="O393" s="787"/>
    </row>
    <row r="394" spans="6:15" ht="15.75" customHeight="1" x14ac:dyDescent="0.25">
      <c r="F394" s="330"/>
      <c r="O394" s="787"/>
    </row>
    <row r="395" spans="6:15" ht="15.75" customHeight="1" x14ac:dyDescent="0.25">
      <c r="F395" s="330"/>
      <c r="O395" s="787"/>
    </row>
    <row r="396" spans="6:15" ht="15.75" customHeight="1" x14ac:dyDescent="0.25">
      <c r="F396" s="330"/>
      <c r="O396" s="787"/>
    </row>
    <row r="397" spans="6:15" ht="15.75" customHeight="1" x14ac:dyDescent="0.25">
      <c r="F397" s="330"/>
      <c r="O397" s="787"/>
    </row>
    <row r="398" spans="6:15" ht="15.75" customHeight="1" x14ac:dyDescent="0.25">
      <c r="F398" s="330"/>
      <c r="O398" s="787"/>
    </row>
    <row r="399" spans="6:15" ht="15.75" customHeight="1" x14ac:dyDescent="0.25">
      <c r="F399" s="330"/>
      <c r="O399" s="787"/>
    </row>
    <row r="400" spans="6:15" ht="15.75" customHeight="1" x14ac:dyDescent="0.25">
      <c r="F400" s="330"/>
      <c r="O400" s="787"/>
    </row>
    <row r="401" spans="6:15" ht="15.75" customHeight="1" x14ac:dyDescent="0.25">
      <c r="F401" s="330"/>
      <c r="O401" s="787"/>
    </row>
    <row r="402" spans="6:15" ht="15.75" customHeight="1" x14ac:dyDescent="0.25">
      <c r="F402" s="330"/>
      <c r="O402" s="787"/>
    </row>
    <row r="403" spans="6:15" ht="15.75" customHeight="1" x14ac:dyDescent="0.25">
      <c r="F403" s="330"/>
      <c r="O403" s="787"/>
    </row>
    <row r="404" spans="6:15" ht="15.75" customHeight="1" x14ac:dyDescent="0.25">
      <c r="F404" s="330"/>
      <c r="O404" s="787"/>
    </row>
    <row r="405" spans="6:15" ht="15.75" customHeight="1" x14ac:dyDescent="0.25">
      <c r="F405" s="330"/>
      <c r="O405" s="787"/>
    </row>
    <row r="406" spans="6:15" ht="15.75" customHeight="1" x14ac:dyDescent="0.25">
      <c r="F406" s="330"/>
      <c r="O406" s="787"/>
    </row>
    <row r="407" spans="6:15" ht="15.75" customHeight="1" x14ac:dyDescent="0.25">
      <c r="F407" s="330"/>
      <c r="O407" s="787"/>
    </row>
    <row r="408" spans="6:15" ht="15.75" customHeight="1" x14ac:dyDescent="0.25">
      <c r="F408" s="330"/>
      <c r="O408" s="787"/>
    </row>
    <row r="409" spans="6:15" ht="15.75" customHeight="1" x14ac:dyDescent="0.25">
      <c r="F409" s="330"/>
      <c r="O409" s="787"/>
    </row>
    <row r="410" spans="6:15" ht="15.75" customHeight="1" x14ac:dyDescent="0.25">
      <c r="F410" s="330"/>
      <c r="O410" s="787"/>
    </row>
    <row r="411" spans="6:15" ht="15.75" customHeight="1" x14ac:dyDescent="0.25">
      <c r="F411" s="330"/>
      <c r="O411" s="787"/>
    </row>
    <row r="412" spans="6:15" ht="15.75" customHeight="1" x14ac:dyDescent="0.25">
      <c r="F412" s="330"/>
      <c r="O412" s="787"/>
    </row>
    <row r="413" spans="6:15" ht="15.75" customHeight="1" x14ac:dyDescent="0.25">
      <c r="F413" s="330"/>
      <c r="O413" s="787"/>
    </row>
    <row r="414" spans="6:15" ht="15.75" customHeight="1" x14ac:dyDescent="0.25">
      <c r="F414" s="330"/>
      <c r="O414" s="787"/>
    </row>
    <row r="415" spans="6:15" ht="15.75" customHeight="1" x14ac:dyDescent="0.25">
      <c r="F415" s="330"/>
      <c r="O415" s="787"/>
    </row>
    <row r="416" spans="6:15" ht="15.75" customHeight="1" x14ac:dyDescent="0.25">
      <c r="F416" s="330"/>
      <c r="O416" s="787"/>
    </row>
    <row r="417" spans="6:15" ht="15.75" customHeight="1" x14ac:dyDescent="0.25">
      <c r="F417" s="330"/>
      <c r="O417" s="787"/>
    </row>
    <row r="418" spans="6:15" ht="15.75" customHeight="1" x14ac:dyDescent="0.25">
      <c r="F418" s="330"/>
      <c r="O418" s="787"/>
    </row>
    <row r="419" spans="6:15" ht="15.75" customHeight="1" x14ac:dyDescent="0.25">
      <c r="F419" s="330"/>
      <c r="O419" s="787"/>
    </row>
    <row r="420" spans="6:15" ht="15.75" customHeight="1" x14ac:dyDescent="0.25">
      <c r="F420" s="330"/>
      <c r="O420" s="787"/>
    </row>
    <row r="421" spans="6:15" ht="15.75" customHeight="1" x14ac:dyDescent="0.25">
      <c r="F421" s="330"/>
      <c r="O421" s="787"/>
    </row>
    <row r="422" spans="6:15" ht="15.75" customHeight="1" x14ac:dyDescent="0.25">
      <c r="F422" s="330"/>
      <c r="O422" s="787"/>
    </row>
    <row r="423" spans="6:15" ht="15.75" customHeight="1" x14ac:dyDescent="0.25">
      <c r="F423" s="330"/>
      <c r="O423" s="787"/>
    </row>
    <row r="424" spans="6:15" ht="15.75" customHeight="1" x14ac:dyDescent="0.25">
      <c r="F424" s="330"/>
      <c r="O424" s="787"/>
    </row>
    <row r="425" spans="6:15" ht="15.75" customHeight="1" x14ac:dyDescent="0.25">
      <c r="F425" s="330"/>
      <c r="O425" s="787"/>
    </row>
    <row r="426" spans="6:15" ht="15.75" customHeight="1" x14ac:dyDescent="0.25">
      <c r="F426" s="330"/>
      <c r="O426" s="787"/>
    </row>
    <row r="427" spans="6:15" ht="15.75" customHeight="1" x14ac:dyDescent="0.25">
      <c r="F427" s="330"/>
      <c r="O427" s="787"/>
    </row>
    <row r="428" spans="6:15" ht="15.75" customHeight="1" x14ac:dyDescent="0.25">
      <c r="F428" s="330"/>
      <c r="O428" s="787"/>
    </row>
    <row r="429" spans="6:15" ht="15.75" customHeight="1" x14ac:dyDescent="0.25">
      <c r="F429" s="330"/>
      <c r="O429" s="787"/>
    </row>
    <row r="430" spans="6:15" ht="15.75" customHeight="1" x14ac:dyDescent="0.25">
      <c r="F430" s="330"/>
      <c r="O430" s="787"/>
    </row>
    <row r="431" spans="6:15" ht="15.75" customHeight="1" x14ac:dyDescent="0.25">
      <c r="F431" s="330"/>
      <c r="O431" s="787"/>
    </row>
    <row r="432" spans="6:15" ht="15.75" customHeight="1" x14ac:dyDescent="0.25">
      <c r="F432" s="330"/>
      <c r="O432" s="787"/>
    </row>
    <row r="433" spans="6:15" ht="15.75" customHeight="1" x14ac:dyDescent="0.25">
      <c r="F433" s="330"/>
      <c r="O433" s="787"/>
    </row>
    <row r="434" spans="6:15" ht="15.75" customHeight="1" x14ac:dyDescent="0.25">
      <c r="F434" s="330"/>
      <c r="O434" s="787"/>
    </row>
    <row r="435" spans="6:15" ht="15.75" customHeight="1" x14ac:dyDescent="0.25">
      <c r="F435" s="330"/>
      <c r="O435" s="787"/>
    </row>
    <row r="436" spans="6:15" ht="15.75" customHeight="1" x14ac:dyDescent="0.25">
      <c r="F436" s="330"/>
      <c r="O436" s="787"/>
    </row>
    <row r="437" spans="6:15" ht="15.75" customHeight="1" x14ac:dyDescent="0.25">
      <c r="F437" s="330"/>
      <c r="O437" s="787"/>
    </row>
    <row r="438" spans="6:15" ht="15.75" customHeight="1" x14ac:dyDescent="0.25">
      <c r="F438" s="330"/>
      <c r="O438" s="787"/>
    </row>
    <row r="439" spans="6:15" ht="15.75" customHeight="1" x14ac:dyDescent="0.25">
      <c r="F439" s="330"/>
      <c r="O439" s="787"/>
    </row>
    <row r="440" spans="6:15" ht="15.75" customHeight="1" x14ac:dyDescent="0.25">
      <c r="F440" s="330"/>
      <c r="O440" s="787"/>
    </row>
    <row r="441" spans="6:15" ht="15.75" customHeight="1" x14ac:dyDescent="0.25">
      <c r="F441" s="330"/>
      <c r="O441" s="787"/>
    </row>
    <row r="442" spans="6:15" ht="15.75" customHeight="1" x14ac:dyDescent="0.25">
      <c r="F442" s="330"/>
      <c r="O442" s="787"/>
    </row>
    <row r="443" spans="6:15" ht="15.75" customHeight="1" x14ac:dyDescent="0.25">
      <c r="F443" s="330"/>
      <c r="O443" s="787"/>
    </row>
    <row r="444" spans="6:15" ht="15.75" customHeight="1" x14ac:dyDescent="0.25">
      <c r="F444" s="330"/>
      <c r="O444" s="787"/>
    </row>
    <row r="445" spans="6:15" ht="15.75" customHeight="1" x14ac:dyDescent="0.25">
      <c r="F445" s="330"/>
      <c r="O445" s="787"/>
    </row>
    <row r="446" spans="6:15" ht="15.75" customHeight="1" x14ac:dyDescent="0.25">
      <c r="F446" s="330"/>
      <c r="O446" s="787"/>
    </row>
    <row r="447" spans="6:15" ht="15.75" customHeight="1" x14ac:dyDescent="0.25">
      <c r="F447" s="330"/>
      <c r="O447" s="787"/>
    </row>
    <row r="448" spans="6:15" ht="15.75" customHeight="1" x14ac:dyDescent="0.25">
      <c r="F448" s="330"/>
      <c r="O448" s="787"/>
    </row>
    <row r="449" spans="6:15" ht="15.75" customHeight="1" x14ac:dyDescent="0.25">
      <c r="F449" s="330"/>
      <c r="O449" s="787"/>
    </row>
    <row r="450" spans="6:15" ht="15.75" customHeight="1" x14ac:dyDescent="0.25">
      <c r="F450" s="330"/>
      <c r="O450" s="787"/>
    </row>
    <row r="451" spans="6:15" ht="15.75" customHeight="1" x14ac:dyDescent="0.25">
      <c r="F451" s="330"/>
      <c r="O451" s="787"/>
    </row>
    <row r="452" spans="6:15" ht="15.75" customHeight="1" x14ac:dyDescent="0.25">
      <c r="F452" s="330"/>
      <c r="O452" s="787"/>
    </row>
    <row r="453" spans="6:15" ht="15.75" customHeight="1" x14ac:dyDescent="0.25">
      <c r="F453" s="330"/>
      <c r="O453" s="787"/>
    </row>
    <row r="454" spans="6:15" ht="15.75" customHeight="1" x14ac:dyDescent="0.25">
      <c r="F454" s="330"/>
      <c r="O454" s="787"/>
    </row>
    <row r="455" spans="6:15" ht="15.75" customHeight="1" x14ac:dyDescent="0.25">
      <c r="F455" s="330"/>
      <c r="O455" s="787"/>
    </row>
    <row r="456" spans="6:15" ht="15.75" customHeight="1" x14ac:dyDescent="0.25">
      <c r="F456" s="330"/>
      <c r="O456" s="787"/>
    </row>
    <row r="457" spans="6:15" ht="15.75" customHeight="1" x14ac:dyDescent="0.25">
      <c r="F457" s="330"/>
      <c r="O457" s="787"/>
    </row>
    <row r="458" spans="6:15" ht="15.75" customHeight="1" x14ac:dyDescent="0.25">
      <c r="F458" s="330"/>
      <c r="O458" s="787"/>
    </row>
    <row r="459" spans="6:15" ht="15.75" customHeight="1" x14ac:dyDescent="0.25">
      <c r="F459" s="330"/>
      <c r="O459" s="787"/>
    </row>
    <row r="460" spans="6:15" ht="15.75" customHeight="1" x14ac:dyDescent="0.25">
      <c r="F460" s="330"/>
      <c r="O460" s="787"/>
    </row>
    <row r="461" spans="6:15" ht="15.75" customHeight="1" x14ac:dyDescent="0.25">
      <c r="F461" s="330"/>
      <c r="O461" s="787"/>
    </row>
    <row r="462" spans="6:15" ht="15.75" customHeight="1" x14ac:dyDescent="0.25">
      <c r="F462" s="330"/>
      <c r="O462" s="787"/>
    </row>
    <row r="463" spans="6:15" ht="15.75" customHeight="1" x14ac:dyDescent="0.25">
      <c r="F463" s="330"/>
      <c r="O463" s="787"/>
    </row>
    <row r="464" spans="6:15" ht="15.75" customHeight="1" x14ac:dyDescent="0.25">
      <c r="F464" s="330"/>
      <c r="O464" s="787"/>
    </row>
    <row r="465" spans="6:15" ht="15.75" customHeight="1" x14ac:dyDescent="0.25">
      <c r="F465" s="330"/>
      <c r="O465" s="787"/>
    </row>
    <row r="466" spans="6:15" ht="15.75" customHeight="1" x14ac:dyDescent="0.25">
      <c r="F466" s="330"/>
      <c r="O466" s="787"/>
    </row>
    <row r="467" spans="6:15" ht="15.75" customHeight="1" x14ac:dyDescent="0.25">
      <c r="F467" s="330"/>
      <c r="O467" s="787"/>
    </row>
    <row r="468" spans="6:15" ht="15.75" customHeight="1" x14ac:dyDescent="0.25">
      <c r="F468" s="330"/>
      <c r="O468" s="787"/>
    </row>
    <row r="469" spans="6:15" ht="15.75" customHeight="1" x14ac:dyDescent="0.25">
      <c r="F469" s="330"/>
      <c r="O469" s="787"/>
    </row>
    <row r="470" spans="6:15" ht="15.75" customHeight="1" x14ac:dyDescent="0.25">
      <c r="F470" s="330"/>
      <c r="O470" s="787"/>
    </row>
    <row r="471" spans="6:15" ht="15.75" customHeight="1" x14ac:dyDescent="0.25">
      <c r="F471" s="330"/>
      <c r="O471" s="787"/>
    </row>
    <row r="472" spans="6:15" ht="15.75" customHeight="1" x14ac:dyDescent="0.25">
      <c r="F472" s="330"/>
      <c r="O472" s="787"/>
    </row>
    <row r="473" spans="6:15" ht="15.75" customHeight="1" x14ac:dyDescent="0.25">
      <c r="F473" s="330"/>
      <c r="O473" s="787"/>
    </row>
    <row r="474" spans="6:15" ht="15.75" customHeight="1" x14ac:dyDescent="0.25">
      <c r="F474" s="330"/>
      <c r="O474" s="787"/>
    </row>
    <row r="475" spans="6:15" ht="15.75" customHeight="1" x14ac:dyDescent="0.25">
      <c r="F475" s="330"/>
      <c r="O475" s="787"/>
    </row>
    <row r="476" spans="6:15" ht="15.75" customHeight="1" x14ac:dyDescent="0.25">
      <c r="F476" s="330"/>
      <c r="O476" s="787"/>
    </row>
    <row r="477" spans="6:15" ht="15.75" customHeight="1" x14ac:dyDescent="0.25">
      <c r="F477" s="330"/>
      <c r="O477" s="787"/>
    </row>
    <row r="478" spans="6:15" ht="15.75" customHeight="1" x14ac:dyDescent="0.25">
      <c r="F478" s="330"/>
      <c r="O478" s="787"/>
    </row>
    <row r="479" spans="6:15" ht="15.75" customHeight="1" x14ac:dyDescent="0.25">
      <c r="F479" s="330"/>
      <c r="O479" s="787"/>
    </row>
    <row r="480" spans="6:15" ht="15.75" customHeight="1" x14ac:dyDescent="0.25">
      <c r="F480" s="330"/>
      <c r="O480" s="787"/>
    </row>
    <row r="481" spans="6:15" ht="15.75" customHeight="1" x14ac:dyDescent="0.25">
      <c r="F481" s="330"/>
      <c r="O481" s="787"/>
    </row>
    <row r="482" spans="6:15" ht="15.75" customHeight="1" x14ac:dyDescent="0.25">
      <c r="F482" s="330"/>
      <c r="O482" s="787"/>
    </row>
    <row r="483" spans="6:15" ht="15.75" customHeight="1" x14ac:dyDescent="0.25">
      <c r="F483" s="330"/>
      <c r="O483" s="787"/>
    </row>
    <row r="484" spans="6:15" ht="15.75" customHeight="1" x14ac:dyDescent="0.25">
      <c r="F484" s="330"/>
      <c r="O484" s="787"/>
    </row>
    <row r="485" spans="6:15" ht="15.75" customHeight="1" x14ac:dyDescent="0.25">
      <c r="F485" s="330"/>
      <c r="O485" s="787"/>
    </row>
    <row r="486" spans="6:15" ht="15.75" customHeight="1" x14ac:dyDescent="0.25">
      <c r="F486" s="330"/>
      <c r="O486" s="787"/>
    </row>
    <row r="487" spans="6:15" ht="15.75" customHeight="1" x14ac:dyDescent="0.25">
      <c r="F487" s="330"/>
      <c r="O487" s="787"/>
    </row>
    <row r="488" spans="6:15" ht="15.75" customHeight="1" x14ac:dyDescent="0.25">
      <c r="F488" s="330"/>
      <c r="O488" s="787"/>
    </row>
    <row r="489" spans="6:15" ht="15.75" customHeight="1" x14ac:dyDescent="0.25">
      <c r="F489" s="330"/>
      <c r="O489" s="787"/>
    </row>
    <row r="490" spans="6:15" ht="15.75" customHeight="1" x14ac:dyDescent="0.25">
      <c r="F490" s="330"/>
      <c r="O490" s="787"/>
    </row>
    <row r="491" spans="6:15" ht="15.75" customHeight="1" x14ac:dyDescent="0.25">
      <c r="F491" s="330"/>
      <c r="O491" s="787"/>
    </row>
    <row r="492" spans="6:15" ht="15.75" customHeight="1" x14ac:dyDescent="0.25">
      <c r="F492" s="330"/>
      <c r="O492" s="787"/>
    </row>
    <row r="493" spans="6:15" ht="15.75" customHeight="1" x14ac:dyDescent="0.25">
      <c r="F493" s="330"/>
      <c r="O493" s="787"/>
    </row>
    <row r="494" spans="6:15" ht="15.75" customHeight="1" x14ac:dyDescent="0.25">
      <c r="F494" s="330"/>
      <c r="O494" s="787"/>
    </row>
    <row r="495" spans="6:15" ht="15.75" customHeight="1" x14ac:dyDescent="0.25">
      <c r="F495" s="330"/>
      <c r="O495" s="787"/>
    </row>
    <row r="496" spans="6:15" ht="15.75" customHeight="1" x14ac:dyDescent="0.25">
      <c r="F496" s="330"/>
      <c r="O496" s="787"/>
    </row>
    <row r="497" spans="6:15" ht="15.75" customHeight="1" x14ac:dyDescent="0.25">
      <c r="F497" s="330"/>
      <c r="O497" s="787"/>
    </row>
    <row r="498" spans="6:15" ht="15.75" customHeight="1" x14ac:dyDescent="0.25">
      <c r="F498" s="330"/>
      <c r="O498" s="787"/>
    </row>
    <row r="499" spans="6:15" ht="15.75" customHeight="1" x14ac:dyDescent="0.25">
      <c r="F499" s="330"/>
      <c r="O499" s="787"/>
    </row>
    <row r="500" spans="6:15" ht="15.75" customHeight="1" x14ac:dyDescent="0.25">
      <c r="F500" s="330"/>
      <c r="O500" s="787"/>
    </row>
    <row r="501" spans="6:15" ht="15.75" customHeight="1" x14ac:dyDescent="0.25">
      <c r="F501" s="330"/>
      <c r="O501" s="787"/>
    </row>
    <row r="502" spans="6:15" ht="15.75" customHeight="1" x14ac:dyDescent="0.25">
      <c r="F502" s="330"/>
      <c r="O502" s="787"/>
    </row>
    <row r="503" spans="6:15" ht="15.75" customHeight="1" x14ac:dyDescent="0.25">
      <c r="F503" s="330"/>
      <c r="O503" s="787"/>
    </row>
    <row r="504" spans="6:15" ht="15.75" customHeight="1" x14ac:dyDescent="0.25">
      <c r="F504" s="330"/>
      <c r="O504" s="787"/>
    </row>
    <row r="505" spans="6:15" ht="15.75" customHeight="1" x14ac:dyDescent="0.25">
      <c r="F505" s="330"/>
      <c r="O505" s="787"/>
    </row>
    <row r="506" spans="6:15" ht="15.75" customHeight="1" x14ac:dyDescent="0.25">
      <c r="F506" s="330"/>
      <c r="O506" s="787"/>
    </row>
    <row r="507" spans="6:15" ht="15.75" customHeight="1" x14ac:dyDescent="0.25">
      <c r="F507" s="330"/>
      <c r="O507" s="787"/>
    </row>
    <row r="508" spans="6:15" ht="15.75" customHeight="1" x14ac:dyDescent="0.25">
      <c r="F508" s="330"/>
      <c r="O508" s="787"/>
    </row>
    <row r="509" spans="6:15" ht="15.75" customHeight="1" x14ac:dyDescent="0.25">
      <c r="F509" s="330"/>
      <c r="O509" s="787"/>
    </row>
    <row r="510" spans="6:15" ht="15.75" customHeight="1" x14ac:dyDescent="0.25">
      <c r="F510" s="330"/>
      <c r="O510" s="787"/>
    </row>
    <row r="511" spans="6:15" ht="15.75" customHeight="1" x14ac:dyDescent="0.25">
      <c r="F511" s="330"/>
      <c r="O511" s="787"/>
    </row>
    <row r="512" spans="6:15" ht="15.75" customHeight="1" x14ac:dyDescent="0.25">
      <c r="F512" s="330"/>
      <c r="O512" s="787"/>
    </row>
    <row r="513" spans="6:15" ht="15.75" customHeight="1" x14ac:dyDescent="0.25">
      <c r="F513" s="330"/>
      <c r="O513" s="787"/>
    </row>
    <row r="514" spans="6:15" ht="15.75" customHeight="1" x14ac:dyDescent="0.25">
      <c r="F514" s="330"/>
      <c r="O514" s="787"/>
    </row>
    <row r="515" spans="6:15" ht="15.75" customHeight="1" x14ac:dyDescent="0.25">
      <c r="F515" s="330"/>
      <c r="O515" s="787"/>
    </row>
    <row r="516" spans="6:15" ht="15.75" customHeight="1" x14ac:dyDescent="0.25">
      <c r="F516" s="330"/>
      <c r="O516" s="787"/>
    </row>
    <row r="517" spans="6:15" ht="15.75" customHeight="1" x14ac:dyDescent="0.25">
      <c r="F517" s="330"/>
      <c r="O517" s="787"/>
    </row>
    <row r="518" spans="6:15" ht="15.75" customHeight="1" x14ac:dyDescent="0.25">
      <c r="F518" s="330"/>
      <c r="O518" s="787"/>
    </row>
    <row r="519" spans="6:15" ht="15.75" customHeight="1" x14ac:dyDescent="0.25">
      <c r="F519" s="330"/>
      <c r="O519" s="787"/>
    </row>
    <row r="520" spans="6:15" ht="15.75" customHeight="1" x14ac:dyDescent="0.25">
      <c r="F520" s="330"/>
      <c r="O520" s="787"/>
    </row>
    <row r="521" spans="6:15" ht="15.75" customHeight="1" x14ac:dyDescent="0.25">
      <c r="F521" s="330"/>
      <c r="O521" s="787"/>
    </row>
    <row r="522" spans="6:15" ht="15.75" customHeight="1" x14ac:dyDescent="0.25">
      <c r="F522" s="330"/>
      <c r="O522" s="787"/>
    </row>
    <row r="523" spans="6:15" ht="15.75" customHeight="1" x14ac:dyDescent="0.25">
      <c r="F523" s="330"/>
      <c r="O523" s="787"/>
    </row>
    <row r="524" spans="6:15" ht="15.75" customHeight="1" x14ac:dyDescent="0.25">
      <c r="F524" s="330"/>
      <c r="O524" s="787"/>
    </row>
    <row r="525" spans="6:15" ht="15.75" customHeight="1" x14ac:dyDescent="0.25">
      <c r="F525" s="330"/>
      <c r="O525" s="787"/>
    </row>
    <row r="526" spans="6:15" ht="15.75" customHeight="1" x14ac:dyDescent="0.25">
      <c r="F526" s="330"/>
      <c r="O526" s="787"/>
    </row>
    <row r="527" spans="6:15" ht="15.75" customHeight="1" x14ac:dyDescent="0.25">
      <c r="F527" s="330"/>
      <c r="O527" s="787"/>
    </row>
    <row r="528" spans="6:15" ht="15.75" customHeight="1" x14ac:dyDescent="0.25">
      <c r="F528" s="330"/>
      <c r="O528" s="787"/>
    </row>
    <row r="529" spans="6:15" ht="15.75" customHeight="1" x14ac:dyDescent="0.25">
      <c r="F529" s="330"/>
      <c r="O529" s="787"/>
    </row>
    <row r="530" spans="6:15" ht="15.75" customHeight="1" x14ac:dyDescent="0.25">
      <c r="F530" s="330"/>
      <c r="O530" s="787"/>
    </row>
    <row r="531" spans="6:15" ht="15.75" customHeight="1" x14ac:dyDescent="0.25">
      <c r="F531" s="330"/>
      <c r="O531" s="787"/>
    </row>
    <row r="532" spans="6:15" ht="15.75" customHeight="1" x14ac:dyDescent="0.25">
      <c r="F532" s="330"/>
      <c r="O532" s="787"/>
    </row>
    <row r="533" spans="6:15" ht="15.75" customHeight="1" x14ac:dyDescent="0.25">
      <c r="F533" s="330"/>
      <c r="O533" s="787"/>
    </row>
    <row r="534" spans="6:15" ht="15.75" customHeight="1" x14ac:dyDescent="0.25">
      <c r="F534" s="330"/>
      <c r="O534" s="787"/>
    </row>
    <row r="535" spans="6:15" ht="15.75" customHeight="1" x14ac:dyDescent="0.25">
      <c r="F535" s="330"/>
      <c r="O535" s="787"/>
    </row>
    <row r="536" spans="6:15" ht="15.75" customHeight="1" x14ac:dyDescent="0.25">
      <c r="F536" s="330"/>
      <c r="O536" s="787"/>
    </row>
    <row r="537" spans="6:15" ht="15.75" customHeight="1" x14ac:dyDescent="0.25">
      <c r="F537" s="330"/>
      <c r="O537" s="787"/>
    </row>
    <row r="538" spans="6:15" ht="15.75" customHeight="1" x14ac:dyDescent="0.25">
      <c r="F538" s="330"/>
      <c r="O538" s="787"/>
    </row>
    <row r="539" spans="6:15" ht="15.75" customHeight="1" x14ac:dyDescent="0.25">
      <c r="F539" s="330"/>
      <c r="O539" s="787"/>
    </row>
    <row r="540" spans="6:15" ht="15.75" customHeight="1" x14ac:dyDescent="0.25">
      <c r="F540" s="330"/>
      <c r="O540" s="787"/>
    </row>
    <row r="541" spans="6:15" ht="15.75" customHeight="1" x14ac:dyDescent="0.25">
      <c r="F541" s="330"/>
      <c r="O541" s="787"/>
    </row>
    <row r="542" spans="6:15" ht="15.75" customHeight="1" x14ac:dyDescent="0.25">
      <c r="F542" s="330"/>
      <c r="O542" s="787"/>
    </row>
    <row r="543" spans="6:15" ht="15.75" customHeight="1" x14ac:dyDescent="0.25">
      <c r="F543" s="330"/>
      <c r="O543" s="787"/>
    </row>
    <row r="544" spans="6:15" ht="15.75" customHeight="1" x14ac:dyDescent="0.25">
      <c r="F544" s="330"/>
      <c r="O544" s="787"/>
    </row>
    <row r="545" spans="6:15" ht="15.75" customHeight="1" x14ac:dyDescent="0.25">
      <c r="F545" s="330"/>
      <c r="O545" s="787"/>
    </row>
    <row r="546" spans="6:15" ht="15.75" customHeight="1" x14ac:dyDescent="0.25">
      <c r="F546" s="330"/>
      <c r="O546" s="787"/>
    </row>
    <row r="547" spans="6:15" ht="15.75" customHeight="1" x14ac:dyDescent="0.25">
      <c r="F547" s="330"/>
      <c r="O547" s="787"/>
    </row>
    <row r="548" spans="6:15" ht="15.75" customHeight="1" x14ac:dyDescent="0.25">
      <c r="F548" s="330"/>
      <c r="O548" s="787"/>
    </row>
    <row r="549" spans="6:15" ht="15.75" customHeight="1" x14ac:dyDescent="0.25">
      <c r="F549" s="330"/>
      <c r="O549" s="787"/>
    </row>
    <row r="550" spans="6:15" ht="15.75" customHeight="1" x14ac:dyDescent="0.25">
      <c r="F550" s="330"/>
      <c r="O550" s="787"/>
    </row>
    <row r="551" spans="6:15" ht="15.75" customHeight="1" x14ac:dyDescent="0.25">
      <c r="F551" s="330"/>
      <c r="O551" s="787"/>
    </row>
    <row r="552" spans="6:15" ht="15.75" customHeight="1" x14ac:dyDescent="0.25">
      <c r="F552" s="330"/>
      <c r="O552" s="787"/>
    </row>
    <row r="553" spans="6:15" ht="15.75" customHeight="1" x14ac:dyDescent="0.25">
      <c r="F553" s="330"/>
      <c r="O553" s="787"/>
    </row>
    <row r="554" spans="6:15" ht="15.75" customHeight="1" x14ac:dyDescent="0.25">
      <c r="F554" s="330"/>
      <c r="O554" s="787"/>
    </row>
    <row r="555" spans="6:15" ht="15.75" customHeight="1" x14ac:dyDescent="0.25">
      <c r="F555" s="330"/>
      <c r="O555" s="787"/>
    </row>
    <row r="556" spans="6:15" ht="15.75" customHeight="1" x14ac:dyDescent="0.25">
      <c r="F556" s="330"/>
      <c r="O556" s="787"/>
    </row>
    <row r="557" spans="6:15" ht="15.75" customHeight="1" x14ac:dyDescent="0.25">
      <c r="F557" s="330"/>
      <c r="O557" s="787"/>
    </row>
    <row r="558" spans="6:15" ht="15.75" customHeight="1" x14ac:dyDescent="0.25">
      <c r="F558" s="330"/>
      <c r="O558" s="787"/>
    </row>
    <row r="559" spans="6:15" ht="15.75" customHeight="1" x14ac:dyDescent="0.25">
      <c r="F559" s="330"/>
      <c r="O559" s="787"/>
    </row>
    <row r="560" spans="6:15" ht="15.75" customHeight="1" x14ac:dyDescent="0.25">
      <c r="F560" s="330"/>
      <c r="O560" s="787"/>
    </row>
    <row r="561" spans="6:15" ht="15.75" customHeight="1" x14ac:dyDescent="0.25">
      <c r="F561" s="330"/>
      <c r="O561" s="787"/>
    </row>
    <row r="562" spans="6:15" ht="15.75" customHeight="1" x14ac:dyDescent="0.25">
      <c r="F562" s="330"/>
      <c r="O562" s="787"/>
    </row>
    <row r="563" spans="6:15" ht="15.75" customHeight="1" x14ac:dyDescent="0.25">
      <c r="F563" s="330"/>
      <c r="O563" s="787"/>
    </row>
    <row r="564" spans="6:15" ht="15.75" customHeight="1" x14ac:dyDescent="0.25">
      <c r="F564" s="330"/>
      <c r="O564" s="787"/>
    </row>
    <row r="565" spans="6:15" ht="15.75" customHeight="1" x14ac:dyDescent="0.25">
      <c r="F565" s="330"/>
      <c r="O565" s="787"/>
    </row>
    <row r="566" spans="6:15" ht="15.75" customHeight="1" x14ac:dyDescent="0.25">
      <c r="F566" s="330"/>
      <c r="O566" s="787"/>
    </row>
    <row r="567" spans="6:15" ht="15.75" customHeight="1" x14ac:dyDescent="0.25">
      <c r="F567" s="330"/>
      <c r="O567" s="787"/>
    </row>
    <row r="568" spans="6:15" ht="15.75" customHeight="1" x14ac:dyDescent="0.25">
      <c r="F568" s="330"/>
      <c r="O568" s="787"/>
    </row>
    <row r="569" spans="6:15" ht="15.75" customHeight="1" x14ac:dyDescent="0.25">
      <c r="F569" s="330"/>
      <c r="O569" s="787"/>
    </row>
    <row r="570" spans="6:15" ht="15.75" customHeight="1" x14ac:dyDescent="0.25">
      <c r="F570" s="330"/>
      <c r="O570" s="787"/>
    </row>
    <row r="571" spans="6:15" ht="15.75" customHeight="1" x14ac:dyDescent="0.25">
      <c r="F571" s="330"/>
      <c r="O571" s="787"/>
    </row>
    <row r="572" spans="6:15" ht="15.75" customHeight="1" x14ac:dyDescent="0.25">
      <c r="F572" s="330"/>
      <c r="O572" s="787"/>
    </row>
    <row r="573" spans="6:15" ht="15.75" customHeight="1" x14ac:dyDescent="0.25">
      <c r="F573" s="330"/>
      <c r="O573" s="787"/>
    </row>
    <row r="574" spans="6:15" ht="15.75" customHeight="1" x14ac:dyDescent="0.25">
      <c r="F574" s="330"/>
      <c r="O574" s="787"/>
    </row>
    <row r="575" spans="6:15" ht="15.75" customHeight="1" x14ac:dyDescent="0.25">
      <c r="F575" s="330"/>
      <c r="O575" s="787"/>
    </row>
    <row r="576" spans="6:15" ht="15.75" customHeight="1" x14ac:dyDescent="0.25">
      <c r="F576" s="330"/>
      <c r="O576" s="787"/>
    </row>
    <row r="577" spans="6:15" ht="15.75" customHeight="1" x14ac:dyDescent="0.25">
      <c r="F577" s="330"/>
      <c r="O577" s="787"/>
    </row>
    <row r="578" spans="6:15" ht="15.75" customHeight="1" x14ac:dyDescent="0.25">
      <c r="F578" s="330"/>
      <c r="O578" s="787"/>
    </row>
    <row r="579" spans="6:15" ht="15.75" customHeight="1" x14ac:dyDescent="0.25">
      <c r="F579" s="330"/>
      <c r="O579" s="787"/>
    </row>
    <row r="580" spans="6:15" ht="15.75" customHeight="1" x14ac:dyDescent="0.25">
      <c r="F580" s="330"/>
      <c r="O580" s="787"/>
    </row>
    <row r="581" spans="6:15" ht="15.75" customHeight="1" x14ac:dyDescent="0.25">
      <c r="F581" s="330"/>
      <c r="O581" s="787"/>
    </row>
    <row r="582" spans="6:15" ht="15.75" customHeight="1" x14ac:dyDescent="0.25">
      <c r="F582" s="330"/>
      <c r="O582" s="787"/>
    </row>
    <row r="583" spans="6:15" ht="15.75" customHeight="1" x14ac:dyDescent="0.25">
      <c r="F583" s="330"/>
      <c r="O583" s="787"/>
    </row>
    <row r="584" spans="6:15" ht="15.75" customHeight="1" x14ac:dyDescent="0.25">
      <c r="F584" s="330"/>
      <c r="O584" s="787"/>
    </row>
    <row r="585" spans="6:15" ht="15.75" customHeight="1" x14ac:dyDescent="0.25">
      <c r="F585" s="330"/>
      <c r="O585" s="787"/>
    </row>
    <row r="586" spans="6:15" ht="15.75" customHeight="1" x14ac:dyDescent="0.25">
      <c r="F586" s="330"/>
      <c r="O586" s="787"/>
    </row>
    <row r="587" spans="6:15" ht="15.75" customHeight="1" x14ac:dyDescent="0.25">
      <c r="F587" s="330"/>
      <c r="O587" s="787"/>
    </row>
    <row r="588" spans="6:15" ht="15.75" customHeight="1" x14ac:dyDescent="0.25">
      <c r="F588" s="330"/>
      <c r="O588" s="787"/>
    </row>
    <row r="589" spans="6:15" ht="15.75" customHeight="1" x14ac:dyDescent="0.25">
      <c r="F589" s="330"/>
      <c r="O589" s="787"/>
    </row>
    <row r="590" spans="6:15" ht="15.75" customHeight="1" x14ac:dyDescent="0.25">
      <c r="F590" s="330"/>
      <c r="O590" s="787"/>
    </row>
    <row r="591" spans="6:15" ht="15.75" customHeight="1" x14ac:dyDescent="0.25">
      <c r="F591" s="330"/>
      <c r="O591" s="787"/>
    </row>
    <row r="592" spans="6:15" ht="15.75" customHeight="1" x14ac:dyDescent="0.25">
      <c r="F592" s="330"/>
      <c r="O592" s="787"/>
    </row>
    <row r="593" spans="6:15" ht="15.75" customHeight="1" x14ac:dyDescent="0.25">
      <c r="F593" s="330"/>
      <c r="O593" s="787"/>
    </row>
    <row r="594" spans="6:15" ht="15.75" customHeight="1" x14ac:dyDescent="0.25">
      <c r="F594" s="330"/>
      <c r="O594" s="787"/>
    </row>
    <row r="595" spans="6:15" ht="15.75" customHeight="1" x14ac:dyDescent="0.25">
      <c r="F595" s="330"/>
      <c r="O595" s="787"/>
    </row>
    <row r="596" spans="6:15" ht="15.75" customHeight="1" x14ac:dyDescent="0.25">
      <c r="F596" s="330"/>
      <c r="O596" s="787"/>
    </row>
    <row r="597" spans="6:15" ht="15.75" customHeight="1" x14ac:dyDescent="0.25">
      <c r="F597" s="330"/>
      <c r="O597" s="787"/>
    </row>
    <row r="598" spans="6:15" ht="15.75" customHeight="1" x14ac:dyDescent="0.25">
      <c r="F598" s="330"/>
      <c r="O598" s="787"/>
    </row>
    <row r="599" spans="6:15" ht="15.75" customHeight="1" x14ac:dyDescent="0.25">
      <c r="F599" s="330"/>
      <c r="O599" s="787"/>
    </row>
    <row r="600" spans="6:15" ht="15.75" customHeight="1" x14ac:dyDescent="0.25">
      <c r="F600" s="330"/>
      <c r="O600" s="787"/>
    </row>
    <row r="601" spans="6:15" ht="15.75" customHeight="1" x14ac:dyDescent="0.25">
      <c r="F601" s="330"/>
      <c r="O601" s="787"/>
    </row>
    <row r="602" spans="6:15" ht="15.75" customHeight="1" x14ac:dyDescent="0.25">
      <c r="F602" s="330"/>
      <c r="O602" s="787"/>
    </row>
    <row r="603" spans="6:15" ht="15.75" customHeight="1" x14ac:dyDescent="0.25">
      <c r="F603" s="330"/>
      <c r="O603" s="787"/>
    </row>
    <row r="604" spans="6:15" ht="15.75" customHeight="1" x14ac:dyDescent="0.25">
      <c r="F604" s="330"/>
      <c r="O604" s="787"/>
    </row>
    <row r="605" spans="6:15" ht="15.75" customHeight="1" x14ac:dyDescent="0.25">
      <c r="F605" s="330"/>
      <c r="O605" s="787"/>
    </row>
    <row r="606" spans="6:15" ht="15.75" customHeight="1" x14ac:dyDescent="0.25">
      <c r="F606" s="330"/>
      <c r="O606" s="787"/>
    </row>
    <row r="607" spans="6:15" ht="15.75" customHeight="1" x14ac:dyDescent="0.25">
      <c r="F607" s="330"/>
      <c r="O607" s="787"/>
    </row>
    <row r="608" spans="6:15" ht="15.75" customHeight="1" x14ac:dyDescent="0.25">
      <c r="F608" s="330"/>
      <c r="O608" s="787"/>
    </row>
    <row r="609" spans="6:15" ht="15.75" customHeight="1" x14ac:dyDescent="0.25">
      <c r="F609" s="330"/>
      <c r="O609" s="787"/>
    </row>
    <row r="610" spans="6:15" ht="15.75" customHeight="1" x14ac:dyDescent="0.25">
      <c r="F610" s="330"/>
      <c r="O610" s="787"/>
    </row>
    <row r="611" spans="6:15" ht="15.75" customHeight="1" x14ac:dyDescent="0.25">
      <c r="F611" s="330"/>
      <c r="O611" s="787"/>
    </row>
    <row r="612" spans="6:15" ht="15.75" customHeight="1" x14ac:dyDescent="0.25">
      <c r="F612" s="330"/>
      <c r="O612" s="787"/>
    </row>
    <row r="613" spans="6:15" ht="15.75" customHeight="1" x14ac:dyDescent="0.25">
      <c r="F613" s="330"/>
      <c r="O613" s="787"/>
    </row>
    <row r="614" spans="6:15" ht="15.75" customHeight="1" x14ac:dyDescent="0.25">
      <c r="F614" s="330"/>
      <c r="O614" s="787"/>
    </row>
    <row r="615" spans="6:15" ht="15.75" customHeight="1" x14ac:dyDescent="0.25">
      <c r="F615" s="330"/>
      <c r="O615" s="787"/>
    </row>
    <row r="616" spans="6:15" ht="15.75" customHeight="1" x14ac:dyDescent="0.25">
      <c r="F616" s="330"/>
      <c r="O616" s="787"/>
    </row>
    <row r="617" spans="6:15" ht="15.75" customHeight="1" x14ac:dyDescent="0.25">
      <c r="F617" s="330"/>
      <c r="O617" s="787"/>
    </row>
    <row r="618" spans="6:15" ht="15.75" customHeight="1" x14ac:dyDescent="0.25">
      <c r="F618" s="330"/>
      <c r="O618" s="787"/>
    </row>
    <row r="619" spans="6:15" ht="15.75" customHeight="1" x14ac:dyDescent="0.25">
      <c r="F619" s="330"/>
      <c r="O619" s="787"/>
    </row>
    <row r="620" spans="6:15" ht="15.75" customHeight="1" x14ac:dyDescent="0.25">
      <c r="F620" s="330"/>
      <c r="O620" s="787"/>
    </row>
    <row r="621" spans="6:15" ht="15.75" customHeight="1" x14ac:dyDescent="0.25">
      <c r="F621" s="330"/>
      <c r="O621" s="787"/>
    </row>
    <row r="622" spans="6:15" ht="15.75" customHeight="1" x14ac:dyDescent="0.25">
      <c r="F622" s="330"/>
      <c r="O622" s="787"/>
    </row>
    <row r="623" spans="6:15" ht="15.75" customHeight="1" x14ac:dyDescent="0.25">
      <c r="F623" s="330"/>
      <c r="O623" s="787"/>
    </row>
    <row r="624" spans="6:15" ht="15.75" customHeight="1" x14ac:dyDescent="0.25">
      <c r="F624" s="330"/>
      <c r="O624" s="787"/>
    </row>
    <row r="625" spans="6:15" ht="15.75" customHeight="1" x14ac:dyDescent="0.25">
      <c r="F625" s="330"/>
      <c r="O625" s="787"/>
    </row>
    <row r="626" spans="6:15" ht="15.75" customHeight="1" x14ac:dyDescent="0.25">
      <c r="F626" s="330"/>
      <c r="O626" s="787"/>
    </row>
    <row r="627" spans="6:15" ht="15.75" customHeight="1" x14ac:dyDescent="0.25">
      <c r="F627" s="330"/>
      <c r="O627" s="787"/>
    </row>
    <row r="628" spans="6:15" ht="15.75" customHeight="1" x14ac:dyDescent="0.25">
      <c r="F628" s="330"/>
      <c r="O628" s="787"/>
    </row>
    <row r="629" spans="6:15" ht="15.75" customHeight="1" x14ac:dyDescent="0.25">
      <c r="F629" s="330"/>
      <c r="O629" s="787"/>
    </row>
    <row r="630" spans="6:15" ht="15.75" customHeight="1" x14ac:dyDescent="0.25">
      <c r="F630" s="330"/>
      <c r="O630" s="787"/>
    </row>
    <row r="631" spans="6:15" ht="15.75" customHeight="1" x14ac:dyDescent="0.25">
      <c r="F631" s="330"/>
      <c r="O631" s="787"/>
    </row>
    <row r="632" spans="6:15" ht="15.75" customHeight="1" x14ac:dyDescent="0.25">
      <c r="F632" s="330"/>
      <c r="O632" s="787"/>
    </row>
    <row r="633" spans="6:15" ht="15.75" customHeight="1" x14ac:dyDescent="0.25">
      <c r="F633" s="330"/>
      <c r="O633" s="787"/>
    </row>
    <row r="634" spans="6:15" ht="15.75" customHeight="1" x14ac:dyDescent="0.25">
      <c r="F634" s="330"/>
      <c r="O634" s="787"/>
    </row>
    <row r="635" spans="6:15" ht="15.75" customHeight="1" x14ac:dyDescent="0.25">
      <c r="F635" s="330"/>
      <c r="O635" s="787"/>
    </row>
    <row r="636" spans="6:15" ht="15.75" customHeight="1" x14ac:dyDescent="0.25">
      <c r="F636" s="330"/>
      <c r="O636" s="787"/>
    </row>
    <row r="637" spans="6:15" ht="15.75" customHeight="1" x14ac:dyDescent="0.25">
      <c r="F637" s="330"/>
      <c r="O637" s="787"/>
    </row>
    <row r="638" spans="6:15" ht="15.75" customHeight="1" x14ac:dyDescent="0.25">
      <c r="F638" s="330"/>
      <c r="O638" s="787"/>
    </row>
    <row r="639" spans="6:15" ht="15.75" customHeight="1" x14ac:dyDescent="0.25">
      <c r="F639" s="330"/>
      <c r="O639" s="787"/>
    </row>
    <row r="640" spans="6:15" ht="15.75" customHeight="1" x14ac:dyDescent="0.25">
      <c r="F640" s="330"/>
      <c r="O640" s="787"/>
    </row>
    <row r="641" spans="6:15" ht="15.75" customHeight="1" x14ac:dyDescent="0.25">
      <c r="F641" s="330"/>
      <c r="O641" s="787"/>
    </row>
    <row r="642" spans="6:15" ht="15.75" customHeight="1" x14ac:dyDescent="0.25">
      <c r="F642" s="330"/>
      <c r="O642" s="787"/>
    </row>
    <row r="643" spans="6:15" ht="15.75" customHeight="1" x14ac:dyDescent="0.25">
      <c r="F643" s="330"/>
      <c r="O643" s="787"/>
    </row>
    <row r="644" spans="6:15" ht="15.75" customHeight="1" x14ac:dyDescent="0.25">
      <c r="F644" s="330"/>
      <c r="O644" s="787"/>
    </row>
    <row r="645" spans="6:15" ht="15.75" customHeight="1" x14ac:dyDescent="0.25">
      <c r="F645" s="330"/>
      <c r="O645" s="787"/>
    </row>
    <row r="646" spans="6:15" ht="15.75" customHeight="1" x14ac:dyDescent="0.25">
      <c r="F646" s="330"/>
      <c r="O646" s="787"/>
    </row>
    <row r="647" spans="6:15" ht="15.75" customHeight="1" x14ac:dyDescent="0.25">
      <c r="F647" s="330"/>
      <c r="O647" s="787"/>
    </row>
    <row r="648" spans="6:15" ht="15.75" customHeight="1" x14ac:dyDescent="0.25">
      <c r="F648" s="330"/>
      <c r="O648" s="787"/>
    </row>
    <row r="649" spans="6:15" ht="15.75" customHeight="1" x14ac:dyDescent="0.25">
      <c r="F649" s="330"/>
      <c r="O649" s="787"/>
    </row>
    <row r="650" spans="6:15" ht="15.75" customHeight="1" x14ac:dyDescent="0.25">
      <c r="F650" s="330"/>
      <c r="O650" s="787"/>
    </row>
    <row r="651" spans="6:15" ht="15.75" customHeight="1" x14ac:dyDescent="0.25">
      <c r="F651" s="330"/>
      <c r="O651" s="787"/>
    </row>
    <row r="652" spans="6:15" ht="15.75" customHeight="1" x14ac:dyDescent="0.25">
      <c r="F652" s="330"/>
      <c r="O652" s="787"/>
    </row>
    <row r="653" spans="6:15" ht="15.75" customHeight="1" x14ac:dyDescent="0.25">
      <c r="F653" s="330"/>
      <c r="O653" s="787"/>
    </row>
    <row r="654" spans="6:15" ht="15.75" customHeight="1" x14ac:dyDescent="0.25">
      <c r="F654" s="330"/>
      <c r="O654" s="787"/>
    </row>
    <row r="655" spans="6:15" ht="15.75" customHeight="1" x14ac:dyDescent="0.25">
      <c r="F655" s="330"/>
      <c r="O655" s="787"/>
    </row>
    <row r="656" spans="6:15" ht="15.75" customHeight="1" x14ac:dyDescent="0.25">
      <c r="F656" s="330"/>
      <c r="O656" s="787"/>
    </row>
    <row r="657" spans="6:15" ht="15.75" customHeight="1" x14ac:dyDescent="0.25">
      <c r="F657" s="330"/>
      <c r="O657" s="787"/>
    </row>
    <row r="658" spans="6:15" ht="15.75" customHeight="1" x14ac:dyDescent="0.25">
      <c r="F658" s="330"/>
      <c r="O658" s="787"/>
    </row>
    <row r="659" spans="6:15" ht="15.75" customHeight="1" x14ac:dyDescent="0.25">
      <c r="F659" s="330"/>
      <c r="O659" s="787"/>
    </row>
    <row r="660" spans="6:15" ht="15.75" customHeight="1" x14ac:dyDescent="0.25">
      <c r="F660" s="330"/>
      <c r="O660" s="787"/>
    </row>
    <row r="661" spans="6:15" ht="15.75" customHeight="1" x14ac:dyDescent="0.25">
      <c r="F661" s="330"/>
      <c r="O661" s="787"/>
    </row>
    <row r="662" spans="6:15" ht="15.75" customHeight="1" x14ac:dyDescent="0.25">
      <c r="F662" s="330"/>
      <c r="O662" s="787"/>
    </row>
    <row r="663" spans="6:15" ht="15.75" customHeight="1" x14ac:dyDescent="0.25">
      <c r="F663" s="330"/>
      <c r="O663" s="787"/>
    </row>
    <row r="664" spans="6:15" ht="15.75" customHeight="1" x14ac:dyDescent="0.25">
      <c r="F664" s="330"/>
      <c r="O664" s="787"/>
    </row>
    <row r="665" spans="6:15" ht="15.75" customHeight="1" x14ac:dyDescent="0.25">
      <c r="F665" s="330"/>
      <c r="O665" s="787"/>
    </row>
    <row r="666" spans="6:15" ht="15.75" customHeight="1" x14ac:dyDescent="0.25">
      <c r="F666" s="330"/>
      <c r="O666" s="787"/>
    </row>
    <row r="667" spans="6:15" ht="15.75" customHeight="1" x14ac:dyDescent="0.25">
      <c r="F667" s="330"/>
      <c r="O667" s="787"/>
    </row>
    <row r="668" spans="6:15" ht="15.75" customHeight="1" x14ac:dyDescent="0.25">
      <c r="F668" s="330"/>
      <c r="O668" s="787"/>
    </row>
    <row r="669" spans="6:15" ht="15.75" customHeight="1" x14ac:dyDescent="0.25">
      <c r="F669" s="330"/>
      <c r="O669" s="787"/>
    </row>
    <row r="670" spans="6:15" ht="15.75" customHeight="1" x14ac:dyDescent="0.25">
      <c r="F670" s="330"/>
      <c r="O670" s="787"/>
    </row>
    <row r="671" spans="6:15" ht="15.75" customHeight="1" x14ac:dyDescent="0.25">
      <c r="F671" s="330"/>
      <c r="O671" s="787"/>
    </row>
    <row r="672" spans="6:15" ht="15.75" customHeight="1" x14ac:dyDescent="0.25">
      <c r="F672" s="330"/>
      <c r="O672" s="787"/>
    </row>
    <row r="673" spans="6:15" ht="15.75" customHeight="1" x14ac:dyDescent="0.25">
      <c r="F673" s="330"/>
      <c r="O673" s="787"/>
    </row>
    <row r="674" spans="6:15" ht="15.75" customHeight="1" x14ac:dyDescent="0.25">
      <c r="F674" s="330"/>
      <c r="O674" s="787"/>
    </row>
    <row r="675" spans="6:15" ht="15.75" customHeight="1" x14ac:dyDescent="0.25">
      <c r="F675" s="330"/>
      <c r="O675" s="787"/>
    </row>
    <row r="676" spans="6:15" ht="15.75" customHeight="1" x14ac:dyDescent="0.25">
      <c r="F676" s="330"/>
      <c r="O676" s="787"/>
    </row>
    <row r="677" spans="6:15" ht="15.75" customHeight="1" x14ac:dyDescent="0.25">
      <c r="F677" s="330"/>
      <c r="O677" s="787"/>
    </row>
    <row r="678" spans="6:15" ht="15.75" customHeight="1" x14ac:dyDescent="0.25">
      <c r="F678" s="330"/>
      <c r="O678" s="787"/>
    </row>
    <row r="679" spans="6:15" ht="15.75" customHeight="1" x14ac:dyDescent="0.25">
      <c r="F679" s="330"/>
      <c r="O679" s="787"/>
    </row>
    <row r="680" spans="6:15" ht="15.75" customHeight="1" x14ac:dyDescent="0.25">
      <c r="F680" s="330"/>
      <c r="O680" s="787"/>
    </row>
    <row r="681" spans="6:15" ht="15.75" customHeight="1" x14ac:dyDescent="0.25">
      <c r="F681" s="330"/>
      <c r="O681" s="787"/>
    </row>
    <row r="682" spans="6:15" ht="15.75" customHeight="1" x14ac:dyDescent="0.25">
      <c r="F682" s="330"/>
      <c r="O682" s="787"/>
    </row>
    <row r="683" spans="6:15" ht="15.75" customHeight="1" x14ac:dyDescent="0.25">
      <c r="F683" s="330"/>
      <c r="O683" s="787"/>
    </row>
    <row r="684" spans="6:15" ht="15.75" customHeight="1" x14ac:dyDescent="0.25">
      <c r="F684" s="330"/>
      <c r="O684" s="787"/>
    </row>
    <row r="685" spans="6:15" ht="15.75" customHeight="1" x14ac:dyDescent="0.25">
      <c r="F685" s="330"/>
      <c r="O685" s="787"/>
    </row>
    <row r="686" spans="6:15" ht="15.75" customHeight="1" x14ac:dyDescent="0.25">
      <c r="F686" s="330"/>
      <c r="O686" s="787"/>
    </row>
    <row r="687" spans="6:15" ht="15.75" customHeight="1" x14ac:dyDescent="0.25">
      <c r="F687" s="330"/>
      <c r="O687" s="787"/>
    </row>
    <row r="688" spans="6:15" ht="15.75" customHeight="1" x14ac:dyDescent="0.25">
      <c r="F688" s="330"/>
      <c r="O688" s="787"/>
    </row>
    <row r="689" spans="6:15" ht="15.75" customHeight="1" x14ac:dyDescent="0.25">
      <c r="F689" s="330"/>
      <c r="O689" s="787"/>
    </row>
    <row r="690" spans="6:15" ht="15.75" customHeight="1" x14ac:dyDescent="0.25">
      <c r="F690" s="330"/>
      <c r="O690" s="787"/>
    </row>
    <row r="691" spans="6:15" ht="15.75" customHeight="1" x14ac:dyDescent="0.25">
      <c r="F691" s="330"/>
      <c r="O691" s="787"/>
    </row>
    <row r="692" spans="6:15" ht="15.75" customHeight="1" x14ac:dyDescent="0.25">
      <c r="F692" s="330"/>
      <c r="O692" s="787"/>
    </row>
    <row r="693" spans="6:15" ht="15.75" customHeight="1" x14ac:dyDescent="0.25">
      <c r="F693" s="330"/>
      <c r="O693" s="787"/>
    </row>
    <row r="694" spans="6:15" ht="15.75" customHeight="1" x14ac:dyDescent="0.25">
      <c r="F694" s="330"/>
      <c r="O694" s="787"/>
    </row>
    <row r="695" spans="6:15" ht="15.75" customHeight="1" x14ac:dyDescent="0.25">
      <c r="F695" s="330"/>
      <c r="O695" s="787"/>
    </row>
    <row r="696" spans="6:15" ht="15.75" customHeight="1" x14ac:dyDescent="0.25">
      <c r="F696" s="330"/>
      <c r="O696" s="787"/>
    </row>
    <row r="697" spans="6:15" ht="15.75" customHeight="1" x14ac:dyDescent="0.25">
      <c r="F697" s="330"/>
      <c r="O697" s="787"/>
    </row>
    <row r="698" spans="6:15" ht="15.75" customHeight="1" x14ac:dyDescent="0.25">
      <c r="F698" s="330"/>
      <c r="O698" s="787"/>
    </row>
    <row r="699" spans="6:15" ht="15.75" customHeight="1" x14ac:dyDescent="0.25">
      <c r="F699" s="330"/>
      <c r="O699" s="787"/>
    </row>
    <row r="700" spans="6:15" ht="15.75" customHeight="1" x14ac:dyDescent="0.25">
      <c r="F700" s="330"/>
      <c r="O700" s="787"/>
    </row>
    <row r="701" spans="6:15" ht="15.75" customHeight="1" x14ac:dyDescent="0.25">
      <c r="F701" s="330"/>
      <c r="O701" s="787"/>
    </row>
    <row r="702" spans="6:15" ht="15.75" customHeight="1" x14ac:dyDescent="0.25">
      <c r="F702" s="330"/>
      <c r="O702" s="787"/>
    </row>
    <row r="703" spans="6:15" ht="15.75" customHeight="1" x14ac:dyDescent="0.25">
      <c r="F703" s="330"/>
      <c r="O703" s="787"/>
    </row>
    <row r="704" spans="6:15" ht="15.75" customHeight="1" x14ac:dyDescent="0.25">
      <c r="F704" s="330"/>
      <c r="O704" s="787"/>
    </row>
    <row r="705" spans="6:15" ht="15.75" customHeight="1" x14ac:dyDescent="0.25">
      <c r="F705" s="330"/>
      <c r="O705" s="787"/>
    </row>
    <row r="706" spans="6:15" ht="15.75" customHeight="1" x14ac:dyDescent="0.25">
      <c r="F706" s="330"/>
      <c r="O706" s="787"/>
    </row>
    <row r="707" spans="6:15" ht="15.75" customHeight="1" x14ac:dyDescent="0.25">
      <c r="F707" s="330"/>
      <c r="O707" s="787"/>
    </row>
    <row r="708" spans="6:15" ht="15.75" customHeight="1" x14ac:dyDescent="0.25">
      <c r="F708" s="330"/>
      <c r="O708" s="787"/>
    </row>
    <row r="709" spans="6:15" ht="15.75" customHeight="1" x14ac:dyDescent="0.25">
      <c r="F709" s="330"/>
      <c r="O709" s="787"/>
    </row>
    <row r="710" spans="6:15" ht="15.75" customHeight="1" x14ac:dyDescent="0.25">
      <c r="F710" s="330"/>
      <c r="O710" s="787"/>
    </row>
    <row r="711" spans="6:15" ht="15.75" customHeight="1" x14ac:dyDescent="0.25">
      <c r="F711" s="330"/>
      <c r="O711" s="787"/>
    </row>
    <row r="712" spans="6:15" ht="15.75" customHeight="1" x14ac:dyDescent="0.25">
      <c r="F712" s="330"/>
      <c r="O712" s="787"/>
    </row>
    <row r="713" spans="6:15" ht="15.75" customHeight="1" x14ac:dyDescent="0.25">
      <c r="F713" s="330"/>
      <c r="O713" s="787"/>
    </row>
    <row r="714" spans="6:15" ht="15.75" customHeight="1" x14ac:dyDescent="0.25">
      <c r="F714" s="330"/>
      <c r="O714" s="787"/>
    </row>
    <row r="715" spans="6:15" ht="15.75" customHeight="1" x14ac:dyDescent="0.25">
      <c r="F715" s="330"/>
      <c r="O715" s="787"/>
    </row>
    <row r="716" spans="6:15" ht="15.75" customHeight="1" x14ac:dyDescent="0.25">
      <c r="F716" s="330"/>
      <c r="O716" s="787"/>
    </row>
    <row r="717" spans="6:15" ht="15.75" customHeight="1" x14ac:dyDescent="0.25">
      <c r="F717" s="330"/>
      <c r="O717" s="787"/>
    </row>
    <row r="718" spans="6:15" ht="15.75" customHeight="1" x14ac:dyDescent="0.25">
      <c r="F718" s="330"/>
      <c r="O718" s="787"/>
    </row>
    <row r="719" spans="6:15" ht="15.75" customHeight="1" x14ac:dyDescent="0.25">
      <c r="F719" s="330"/>
      <c r="O719" s="787"/>
    </row>
    <row r="720" spans="6:15" ht="15.75" customHeight="1" x14ac:dyDescent="0.25">
      <c r="F720" s="330"/>
      <c r="O720" s="787"/>
    </row>
    <row r="721" spans="6:15" ht="15.75" customHeight="1" x14ac:dyDescent="0.25">
      <c r="F721" s="330"/>
      <c r="O721" s="787"/>
    </row>
    <row r="722" spans="6:15" ht="15.75" customHeight="1" x14ac:dyDescent="0.25">
      <c r="F722" s="330"/>
      <c r="O722" s="787"/>
    </row>
    <row r="723" spans="6:15" ht="15.75" customHeight="1" x14ac:dyDescent="0.25">
      <c r="F723" s="330"/>
      <c r="O723" s="787"/>
    </row>
    <row r="724" spans="6:15" ht="15.75" customHeight="1" x14ac:dyDescent="0.25">
      <c r="F724" s="330"/>
      <c r="O724" s="787"/>
    </row>
    <row r="725" spans="6:15" ht="15.75" customHeight="1" x14ac:dyDescent="0.25">
      <c r="F725" s="330"/>
      <c r="O725" s="787"/>
    </row>
    <row r="726" spans="6:15" ht="15.75" customHeight="1" x14ac:dyDescent="0.25">
      <c r="F726" s="330"/>
      <c r="O726" s="787"/>
    </row>
    <row r="727" spans="6:15" ht="15.75" customHeight="1" x14ac:dyDescent="0.25">
      <c r="F727" s="330"/>
      <c r="O727" s="787"/>
    </row>
    <row r="728" spans="6:15" ht="15.75" customHeight="1" x14ac:dyDescent="0.25">
      <c r="F728" s="330"/>
      <c r="O728" s="787"/>
    </row>
    <row r="729" spans="6:15" ht="15.75" customHeight="1" x14ac:dyDescent="0.25">
      <c r="F729" s="330"/>
      <c r="O729" s="787"/>
    </row>
    <row r="730" spans="6:15" ht="15.75" customHeight="1" x14ac:dyDescent="0.25">
      <c r="F730" s="330"/>
      <c r="O730" s="787"/>
    </row>
    <row r="731" spans="6:15" ht="15.75" customHeight="1" x14ac:dyDescent="0.25">
      <c r="F731" s="330"/>
      <c r="O731" s="787"/>
    </row>
    <row r="732" spans="6:15" ht="15.75" customHeight="1" x14ac:dyDescent="0.25">
      <c r="F732" s="330"/>
      <c r="O732" s="787"/>
    </row>
    <row r="733" spans="6:15" ht="15.75" customHeight="1" x14ac:dyDescent="0.25">
      <c r="F733" s="330"/>
      <c r="O733" s="787"/>
    </row>
    <row r="734" spans="6:15" ht="15.75" customHeight="1" x14ac:dyDescent="0.25">
      <c r="F734" s="330"/>
      <c r="O734" s="787"/>
    </row>
    <row r="735" spans="6:15" ht="15.75" customHeight="1" x14ac:dyDescent="0.25">
      <c r="F735" s="330"/>
      <c r="O735" s="787"/>
    </row>
    <row r="736" spans="6:15" ht="15.75" customHeight="1" x14ac:dyDescent="0.25">
      <c r="F736" s="330"/>
      <c r="O736" s="787"/>
    </row>
    <row r="737" spans="6:15" ht="15.75" customHeight="1" x14ac:dyDescent="0.25">
      <c r="F737" s="330"/>
      <c r="O737" s="787"/>
    </row>
    <row r="738" spans="6:15" ht="15.75" customHeight="1" x14ac:dyDescent="0.25">
      <c r="F738" s="330"/>
      <c r="O738" s="787"/>
    </row>
    <row r="739" spans="6:15" ht="15.75" customHeight="1" x14ac:dyDescent="0.25">
      <c r="F739" s="330"/>
      <c r="O739" s="787"/>
    </row>
    <row r="740" spans="6:15" ht="15.75" customHeight="1" x14ac:dyDescent="0.25">
      <c r="F740" s="330"/>
      <c r="O740" s="787"/>
    </row>
    <row r="741" spans="6:15" ht="15.75" customHeight="1" x14ac:dyDescent="0.25">
      <c r="F741" s="330"/>
      <c r="O741" s="787"/>
    </row>
    <row r="742" spans="6:15" ht="15.75" customHeight="1" x14ac:dyDescent="0.25">
      <c r="F742" s="330"/>
      <c r="O742" s="787"/>
    </row>
    <row r="743" spans="6:15" ht="15.75" customHeight="1" x14ac:dyDescent="0.25">
      <c r="F743" s="330"/>
      <c r="O743" s="787"/>
    </row>
    <row r="744" spans="6:15" ht="15.75" customHeight="1" x14ac:dyDescent="0.25">
      <c r="F744" s="330"/>
      <c r="O744" s="787"/>
    </row>
    <row r="745" spans="6:15" ht="15.75" customHeight="1" x14ac:dyDescent="0.25">
      <c r="F745" s="330"/>
      <c r="O745" s="787"/>
    </row>
    <row r="746" spans="6:15" ht="15.75" customHeight="1" x14ac:dyDescent="0.25">
      <c r="F746" s="330"/>
      <c r="O746" s="787"/>
    </row>
    <row r="747" spans="6:15" ht="15.75" customHeight="1" x14ac:dyDescent="0.25">
      <c r="F747" s="330"/>
      <c r="O747" s="787"/>
    </row>
    <row r="748" spans="6:15" ht="15.75" customHeight="1" x14ac:dyDescent="0.25">
      <c r="F748" s="330"/>
      <c r="O748" s="787"/>
    </row>
    <row r="749" spans="6:15" ht="15.75" customHeight="1" x14ac:dyDescent="0.25">
      <c r="F749" s="330"/>
      <c r="O749" s="787"/>
    </row>
    <row r="750" spans="6:15" ht="15.75" customHeight="1" x14ac:dyDescent="0.25">
      <c r="F750" s="330"/>
      <c r="O750" s="787"/>
    </row>
    <row r="751" spans="6:15" ht="15.75" customHeight="1" x14ac:dyDescent="0.25">
      <c r="F751" s="330"/>
      <c r="O751" s="787"/>
    </row>
    <row r="752" spans="6:15" ht="15.75" customHeight="1" x14ac:dyDescent="0.25">
      <c r="F752" s="330"/>
      <c r="O752" s="787"/>
    </row>
    <row r="753" spans="6:15" ht="15.75" customHeight="1" x14ac:dyDescent="0.25">
      <c r="F753" s="330"/>
      <c r="O753" s="787"/>
    </row>
    <row r="754" spans="6:15" ht="15.75" customHeight="1" x14ac:dyDescent="0.25">
      <c r="F754" s="330"/>
      <c r="O754" s="787"/>
    </row>
    <row r="755" spans="6:15" ht="15.75" customHeight="1" x14ac:dyDescent="0.25">
      <c r="F755" s="330"/>
      <c r="O755" s="787"/>
    </row>
    <row r="756" spans="6:15" ht="15.75" customHeight="1" x14ac:dyDescent="0.25">
      <c r="F756" s="330"/>
      <c r="O756" s="787"/>
    </row>
    <row r="757" spans="6:15" ht="15.75" customHeight="1" x14ac:dyDescent="0.25">
      <c r="F757" s="330"/>
      <c r="O757" s="787"/>
    </row>
    <row r="758" spans="6:15" ht="15.75" customHeight="1" x14ac:dyDescent="0.25">
      <c r="F758" s="330"/>
      <c r="O758" s="787"/>
    </row>
    <row r="759" spans="6:15" ht="15.75" customHeight="1" x14ac:dyDescent="0.25">
      <c r="F759" s="330"/>
      <c r="O759" s="787"/>
    </row>
    <row r="760" spans="6:15" ht="15.75" customHeight="1" x14ac:dyDescent="0.25">
      <c r="F760" s="330"/>
      <c r="O760" s="787"/>
    </row>
    <row r="761" spans="6:15" ht="15.75" customHeight="1" x14ac:dyDescent="0.25">
      <c r="F761" s="330"/>
      <c r="O761" s="787"/>
    </row>
    <row r="762" spans="6:15" ht="15.75" customHeight="1" x14ac:dyDescent="0.25">
      <c r="F762" s="330"/>
      <c r="O762" s="787"/>
    </row>
    <row r="763" spans="6:15" ht="15.75" customHeight="1" x14ac:dyDescent="0.25">
      <c r="F763" s="330"/>
      <c r="O763" s="787"/>
    </row>
    <row r="764" spans="6:15" ht="15.75" customHeight="1" x14ac:dyDescent="0.25">
      <c r="F764" s="330"/>
      <c r="O764" s="787"/>
    </row>
    <row r="765" spans="6:15" ht="15.75" customHeight="1" x14ac:dyDescent="0.25">
      <c r="F765" s="330"/>
      <c r="O765" s="787"/>
    </row>
    <row r="766" spans="6:15" ht="15.75" customHeight="1" x14ac:dyDescent="0.25">
      <c r="F766" s="330"/>
      <c r="O766" s="787"/>
    </row>
    <row r="767" spans="6:15" ht="15.75" customHeight="1" x14ac:dyDescent="0.25">
      <c r="F767" s="330"/>
      <c r="O767" s="787"/>
    </row>
    <row r="768" spans="6:15" ht="15.75" customHeight="1" x14ac:dyDescent="0.25">
      <c r="F768" s="330"/>
      <c r="O768" s="787"/>
    </row>
    <row r="769" spans="6:15" ht="15.75" customHeight="1" x14ac:dyDescent="0.25">
      <c r="F769" s="330"/>
      <c r="O769" s="787"/>
    </row>
    <row r="770" spans="6:15" ht="15.75" customHeight="1" x14ac:dyDescent="0.25">
      <c r="F770" s="330"/>
      <c r="O770" s="787"/>
    </row>
    <row r="771" spans="6:15" ht="15.75" customHeight="1" x14ac:dyDescent="0.25">
      <c r="F771" s="330"/>
      <c r="O771" s="787"/>
    </row>
    <row r="772" spans="6:15" ht="15.75" customHeight="1" x14ac:dyDescent="0.25">
      <c r="F772" s="330"/>
      <c r="O772" s="787"/>
    </row>
    <row r="773" spans="6:15" ht="15.75" customHeight="1" x14ac:dyDescent="0.25">
      <c r="F773" s="330"/>
      <c r="O773" s="787"/>
    </row>
    <row r="774" spans="6:15" ht="15.75" customHeight="1" x14ac:dyDescent="0.25">
      <c r="F774" s="330"/>
      <c r="O774" s="787"/>
    </row>
    <row r="775" spans="6:15" ht="15.75" customHeight="1" x14ac:dyDescent="0.25">
      <c r="F775" s="330"/>
      <c r="O775" s="787"/>
    </row>
    <row r="776" spans="6:15" ht="15.75" customHeight="1" x14ac:dyDescent="0.25">
      <c r="F776" s="330"/>
      <c r="O776" s="787"/>
    </row>
    <row r="777" spans="6:15" ht="15.75" customHeight="1" x14ac:dyDescent="0.25">
      <c r="F777" s="330"/>
      <c r="O777" s="787"/>
    </row>
    <row r="778" spans="6:15" ht="15.75" customHeight="1" x14ac:dyDescent="0.25">
      <c r="F778" s="330"/>
      <c r="O778" s="787"/>
    </row>
    <row r="779" spans="6:15" ht="15.75" customHeight="1" x14ac:dyDescent="0.25">
      <c r="F779" s="330"/>
      <c r="O779" s="787"/>
    </row>
    <row r="780" spans="6:15" ht="15.75" customHeight="1" x14ac:dyDescent="0.25">
      <c r="F780" s="330"/>
      <c r="O780" s="787"/>
    </row>
    <row r="781" spans="6:15" ht="15.75" customHeight="1" x14ac:dyDescent="0.25">
      <c r="F781" s="330"/>
      <c r="O781" s="787"/>
    </row>
    <row r="782" spans="6:15" ht="15.75" customHeight="1" x14ac:dyDescent="0.25">
      <c r="F782" s="330"/>
      <c r="O782" s="787"/>
    </row>
    <row r="783" spans="6:15" ht="15.75" customHeight="1" x14ac:dyDescent="0.25">
      <c r="F783" s="330"/>
      <c r="O783" s="787"/>
    </row>
    <row r="784" spans="6:15" ht="15.75" customHeight="1" x14ac:dyDescent="0.25">
      <c r="F784" s="330"/>
      <c r="O784" s="787"/>
    </row>
    <row r="785" spans="6:15" ht="15.75" customHeight="1" x14ac:dyDescent="0.25">
      <c r="F785" s="330"/>
      <c r="O785" s="787"/>
    </row>
    <row r="786" spans="6:15" ht="15.75" customHeight="1" x14ac:dyDescent="0.25">
      <c r="F786" s="330"/>
      <c r="O786" s="787"/>
    </row>
    <row r="787" spans="6:15" ht="15.75" customHeight="1" x14ac:dyDescent="0.25">
      <c r="F787" s="330"/>
      <c r="O787" s="787"/>
    </row>
    <row r="788" spans="6:15" ht="15.75" customHeight="1" x14ac:dyDescent="0.25">
      <c r="F788" s="330"/>
      <c r="O788" s="787"/>
    </row>
    <row r="789" spans="6:15" ht="15.75" customHeight="1" x14ac:dyDescent="0.25">
      <c r="F789" s="330"/>
      <c r="O789" s="787"/>
    </row>
    <row r="790" spans="6:15" ht="15.75" customHeight="1" x14ac:dyDescent="0.25">
      <c r="F790" s="330"/>
      <c r="O790" s="787"/>
    </row>
    <row r="791" spans="6:15" ht="15.75" customHeight="1" x14ac:dyDescent="0.25">
      <c r="F791" s="330"/>
      <c r="O791" s="787"/>
    </row>
    <row r="792" spans="6:15" ht="15.75" customHeight="1" x14ac:dyDescent="0.25">
      <c r="F792" s="330"/>
      <c r="O792" s="787"/>
    </row>
    <row r="793" spans="6:15" ht="15.75" customHeight="1" x14ac:dyDescent="0.25">
      <c r="F793" s="330"/>
      <c r="O793" s="787"/>
    </row>
    <row r="794" spans="6:15" ht="15.75" customHeight="1" x14ac:dyDescent="0.25">
      <c r="F794" s="330"/>
      <c r="O794" s="787"/>
    </row>
    <row r="795" spans="6:15" ht="15.75" customHeight="1" x14ac:dyDescent="0.25">
      <c r="F795" s="330"/>
      <c r="O795" s="787"/>
    </row>
    <row r="796" spans="6:15" ht="15.75" customHeight="1" x14ac:dyDescent="0.25">
      <c r="F796" s="330"/>
      <c r="O796" s="787"/>
    </row>
    <row r="797" spans="6:15" ht="15.75" customHeight="1" x14ac:dyDescent="0.25">
      <c r="F797" s="330"/>
      <c r="O797" s="787"/>
    </row>
    <row r="798" spans="6:15" ht="15.75" customHeight="1" x14ac:dyDescent="0.25">
      <c r="F798" s="330"/>
      <c r="O798" s="787"/>
    </row>
    <row r="799" spans="6:15" ht="15.75" customHeight="1" x14ac:dyDescent="0.25">
      <c r="F799" s="330"/>
      <c r="O799" s="787"/>
    </row>
    <row r="800" spans="6:15" ht="15.75" customHeight="1" x14ac:dyDescent="0.25">
      <c r="F800" s="330"/>
      <c r="O800" s="787"/>
    </row>
    <row r="801" spans="6:15" ht="15.75" customHeight="1" x14ac:dyDescent="0.25">
      <c r="F801" s="330"/>
      <c r="O801" s="787"/>
    </row>
    <row r="802" spans="6:15" ht="15.75" customHeight="1" x14ac:dyDescent="0.25">
      <c r="F802" s="330"/>
      <c r="O802" s="787"/>
    </row>
    <row r="803" spans="6:15" ht="15.75" customHeight="1" x14ac:dyDescent="0.25">
      <c r="F803" s="330"/>
      <c r="O803" s="787"/>
    </row>
    <row r="804" spans="6:15" ht="15.75" customHeight="1" x14ac:dyDescent="0.25">
      <c r="F804" s="330"/>
      <c r="O804" s="787"/>
    </row>
    <row r="805" spans="6:15" ht="15.75" customHeight="1" x14ac:dyDescent="0.25">
      <c r="F805" s="330"/>
      <c r="O805" s="787"/>
    </row>
    <row r="806" spans="6:15" ht="15.75" customHeight="1" x14ac:dyDescent="0.25">
      <c r="F806" s="330"/>
      <c r="O806" s="787"/>
    </row>
    <row r="807" spans="6:15" ht="15.75" customHeight="1" x14ac:dyDescent="0.25">
      <c r="F807" s="330"/>
      <c r="O807" s="787"/>
    </row>
    <row r="808" spans="6:15" ht="15.75" customHeight="1" x14ac:dyDescent="0.25">
      <c r="F808" s="330"/>
      <c r="O808" s="787"/>
    </row>
    <row r="809" spans="6:15" ht="15.75" customHeight="1" x14ac:dyDescent="0.25">
      <c r="F809" s="330"/>
      <c r="O809" s="787"/>
    </row>
    <row r="810" spans="6:15" ht="15.75" customHeight="1" x14ac:dyDescent="0.25">
      <c r="F810" s="330"/>
      <c r="O810" s="787"/>
    </row>
    <row r="811" spans="6:15" ht="15.75" customHeight="1" x14ac:dyDescent="0.25">
      <c r="F811" s="330"/>
      <c r="O811" s="787"/>
    </row>
    <row r="812" spans="6:15" ht="15.75" customHeight="1" x14ac:dyDescent="0.25">
      <c r="F812" s="330"/>
      <c r="O812" s="787"/>
    </row>
    <row r="813" spans="6:15" ht="15.75" customHeight="1" x14ac:dyDescent="0.25">
      <c r="F813" s="330"/>
      <c r="O813" s="787"/>
    </row>
    <row r="814" spans="6:15" ht="15.75" customHeight="1" x14ac:dyDescent="0.25">
      <c r="F814" s="330"/>
      <c r="O814" s="787"/>
    </row>
    <row r="815" spans="6:15" ht="15.75" customHeight="1" x14ac:dyDescent="0.25">
      <c r="F815" s="330"/>
      <c r="O815" s="787"/>
    </row>
    <row r="816" spans="6:15" ht="15.75" customHeight="1" x14ac:dyDescent="0.25">
      <c r="F816" s="330"/>
      <c r="O816" s="787"/>
    </row>
    <row r="817" spans="6:15" ht="15.75" customHeight="1" x14ac:dyDescent="0.25">
      <c r="F817" s="330"/>
      <c r="O817" s="787"/>
    </row>
    <row r="818" spans="6:15" ht="15.75" customHeight="1" x14ac:dyDescent="0.25">
      <c r="F818" s="330"/>
      <c r="O818" s="787"/>
    </row>
    <row r="819" spans="6:15" ht="15.75" customHeight="1" x14ac:dyDescent="0.25">
      <c r="F819" s="330"/>
      <c r="O819" s="787"/>
    </row>
    <row r="820" spans="6:15" ht="15.75" customHeight="1" x14ac:dyDescent="0.25">
      <c r="F820" s="330"/>
      <c r="O820" s="787"/>
    </row>
    <row r="821" spans="6:15" ht="15.75" customHeight="1" x14ac:dyDescent="0.25">
      <c r="F821" s="330"/>
      <c r="O821" s="787"/>
    </row>
    <row r="822" spans="6:15" ht="15.75" customHeight="1" x14ac:dyDescent="0.25">
      <c r="F822" s="330"/>
      <c r="O822" s="787"/>
    </row>
    <row r="823" spans="6:15" ht="15.75" customHeight="1" x14ac:dyDescent="0.25">
      <c r="F823" s="330"/>
      <c r="O823" s="787"/>
    </row>
    <row r="824" spans="6:15" ht="15.75" customHeight="1" x14ac:dyDescent="0.25">
      <c r="F824" s="330"/>
      <c r="O824" s="787"/>
    </row>
    <row r="825" spans="6:15" ht="15.75" customHeight="1" x14ac:dyDescent="0.25">
      <c r="F825" s="330"/>
      <c r="O825" s="787"/>
    </row>
    <row r="826" spans="6:15" ht="15.75" customHeight="1" x14ac:dyDescent="0.25">
      <c r="F826" s="330"/>
      <c r="O826" s="787"/>
    </row>
    <row r="827" spans="6:15" ht="15.75" customHeight="1" x14ac:dyDescent="0.25">
      <c r="F827" s="330"/>
      <c r="O827" s="787"/>
    </row>
    <row r="828" spans="6:15" ht="15.75" customHeight="1" x14ac:dyDescent="0.25">
      <c r="F828" s="330"/>
      <c r="O828" s="787"/>
    </row>
    <row r="829" spans="6:15" ht="15.75" customHeight="1" x14ac:dyDescent="0.25">
      <c r="F829" s="330"/>
      <c r="O829" s="787"/>
    </row>
    <row r="830" spans="6:15" ht="15.75" customHeight="1" x14ac:dyDescent="0.25">
      <c r="F830" s="330"/>
      <c r="O830" s="787"/>
    </row>
    <row r="831" spans="6:15" ht="15.75" customHeight="1" x14ac:dyDescent="0.25">
      <c r="F831" s="330"/>
      <c r="O831" s="787"/>
    </row>
    <row r="832" spans="6:15" ht="15.75" customHeight="1" x14ac:dyDescent="0.25">
      <c r="F832" s="330"/>
      <c r="O832" s="787"/>
    </row>
    <row r="833" spans="6:15" ht="15.75" customHeight="1" x14ac:dyDescent="0.25">
      <c r="F833" s="330"/>
      <c r="O833" s="787"/>
    </row>
    <row r="834" spans="6:15" ht="15.75" customHeight="1" x14ac:dyDescent="0.25">
      <c r="F834" s="330"/>
      <c r="O834" s="787"/>
    </row>
    <row r="835" spans="6:15" ht="15.75" customHeight="1" x14ac:dyDescent="0.25">
      <c r="F835" s="330"/>
      <c r="O835" s="787"/>
    </row>
    <row r="836" spans="6:15" ht="15.75" customHeight="1" x14ac:dyDescent="0.25">
      <c r="F836" s="330"/>
      <c r="O836" s="787"/>
    </row>
    <row r="837" spans="6:15" ht="15.75" customHeight="1" x14ac:dyDescent="0.25">
      <c r="F837" s="330"/>
      <c r="O837" s="787"/>
    </row>
    <row r="838" spans="6:15" ht="15.75" customHeight="1" x14ac:dyDescent="0.25">
      <c r="F838" s="330"/>
      <c r="O838" s="787"/>
    </row>
    <row r="839" spans="6:15" ht="15.75" customHeight="1" x14ac:dyDescent="0.25">
      <c r="F839" s="330"/>
      <c r="O839" s="787"/>
    </row>
    <row r="840" spans="6:15" ht="15.75" customHeight="1" x14ac:dyDescent="0.25">
      <c r="F840" s="330"/>
      <c r="O840" s="787"/>
    </row>
    <row r="841" spans="6:15" ht="15.75" customHeight="1" x14ac:dyDescent="0.25">
      <c r="F841" s="330"/>
      <c r="O841" s="787"/>
    </row>
    <row r="842" spans="6:15" ht="15.75" customHeight="1" x14ac:dyDescent="0.25">
      <c r="F842" s="330"/>
      <c r="O842" s="787"/>
    </row>
    <row r="843" spans="6:15" ht="15.75" customHeight="1" x14ac:dyDescent="0.25">
      <c r="F843" s="330"/>
      <c r="O843" s="787"/>
    </row>
    <row r="844" spans="6:15" ht="15.75" customHeight="1" x14ac:dyDescent="0.25">
      <c r="F844" s="330"/>
      <c r="O844" s="787"/>
    </row>
    <row r="845" spans="6:15" ht="15.75" customHeight="1" x14ac:dyDescent="0.25">
      <c r="F845" s="330"/>
      <c r="O845" s="787"/>
    </row>
    <row r="846" spans="6:15" ht="15.75" customHeight="1" x14ac:dyDescent="0.25">
      <c r="F846" s="330"/>
      <c r="O846" s="787"/>
    </row>
    <row r="847" spans="6:15" ht="15.75" customHeight="1" x14ac:dyDescent="0.25">
      <c r="F847" s="330"/>
      <c r="O847" s="787"/>
    </row>
    <row r="848" spans="6:15" ht="15.75" customHeight="1" x14ac:dyDescent="0.25">
      <c r="F848" s="330"/>
      <c r="O848" s="787"/>
    </row>
    <row r="849" spans="6:15" ht="15.75" customHeight="1" x14ac:dyDescent="0.25">
      <c r="F849" s="330"/>
      <c r="O849" s="787"/>
    </row>
    <row r="850" spans="6:15" ht="15.75" customHeight="1" x14ac:dyDescent="0.25">
      <c r="F850" s="330"/>
      <c r="O850" s="787"/>
    </row>
    <row r="851" spans="6:15" ht="15.75" customHeight="1" x14ac:dyDescent="0.25">
      <c r="F851" s="330"/>
      <c r="O851" s="787"/>
    </row>
    <row r="852" spans="6:15" ht="15.75" customHeight="1" x14ac:dyDescent="0.25">
      <c r="F852" s="330"/>
      <c r="O852" s="787"/>
    </row>
    <row r="853" spans="6:15" ht="15.75" customHeight="1" x14ac:dyDescent="0.25">
      <c r="F853" s="330"/>
      <c r="O853" s="787"/>
    </row>
    <row r="854" spans="6:15" ht="15.75" customHeight="1" x14ac:dyDescent="0.25">
      <c r="F854" s="330"/>
      <c r="O854" s="787"/>
    </row>
    <row r="855" spans="6:15" ht="15.75" customHeight="1" x14ac:dyDescent="0.25">
      <c r="F855" s="330"/>
      <c r="O855" s="787"/>
    </row>
    <row r="856" spans="6:15" ht="15.75" customHeight="1" x14ac:dyDescent="0.25">
      <c r="F856" s="330"/>
      <c r="O856" s="787"/>
    </row>
    <row r="857" spans="6:15" ht="15.75" customHeight="1" x14ac:dyDescent="0.25">
      <c r="F857" s="330"/>
      <c r="O857" s="787"/>
    </row>
    <row r="858" spans="6:15" ht="15.75" customHeight="1" x14ac:dyDescent="0.25">
      <c r="F858" s="330"/>
      <c r="O858" s="787"/>
    </row>
    <row r="859" spans="6:15" ht="15.75" customHeight="1" x14ac:dyDescent="0.25">
      <c r="F859" s="330"/>
      <c r="O859" s="787"/>
    </row>
    <row r="860" spans="6:15" ht="15.75" customHeight="1" x14ac:dyDescent="0.25">
      <c r="F860" s="330"/>
      <c r="O860" s="787"/>
    </row>
    <row r="861" spans="6:15" ht="15.75" customHeight="1" x14ac:dyDescent="0.25">
      <c r="F861" s="330"/>
      <c r="O861" s="787"/>
    </row>
    <row r="862" spans="6:15" ht="15.75" customHeight="1" x14ac:dyDescent="0.25">
      <c r="F862" s="330"/>
      <c r="O862" s="787"/>
    </row>
    <row r="863" spans="6:15" ht="15.75" customHeight="1" x14ac:dyDescent="0.25">
      <c r="F863" s="330"/>
      <c r="O863" s="787"/>
    </row>
    <row r="864" spans="6:15" ht="15.75" customHeight="1" x14ac:dyDescent="0.25">
      <c r="F864" s="330"/>
      <c r="O864" s="787"/>
    </row>
    <row r="865" spans="6:15" ht="15.75" customHeight="1" x14ac:dyDescent="0.25">
      <c r="F865" s="330"/>
      <c r="O865" s="787"/>
    </row>
    <row r="866" spans="6:15" ht="15.75" customHeight="1" x14ac:dyDescent="0.25">
      <c r="F866" s="330"/>
      <c r="O866" s="787"/>
    </row>
    <row r="867" spans="6:15" ht="15.75" customHeight="1" x14ac:dyDescent="0.25">
      <c r="F867" s="330"/>
      <c r="O867" s="787"/>
    </row>
    <row r="868" spans="6:15" ht="15.75" customHeight="1" x14ac:dyDescent="0.25">
      <c r="F868" s="330"/>
      <c r="O868" s="787"/>
    </row>
    <row r="869" spans="6:15" ht="15.75" customHeight="1" x14ac:dyDescent="0.25">
      <c r="F869" s="330"/>
      <c r="O869" s="787"/>
    </row>
    <row r="870" spans="6:15" ht="15.75" customHeight="1" x14ac:dyDescent="0.25">
      <c r="F870" s="330"/>
      <c r="O870" s="787"/>
    </row>
    <row r="871" spans="6:15" ht="15.75" customHeight="1" x14ac:dyDescent="0.25">
      <c r="F871" s="330"/>
      <c r="O871" s="787"/>
    </row>
    <row r="872" spans="6:15" ht="15.75" customHeight="1" x14ac:dyDescent="0.25">
      <c r="F872" s="330"/>
      <c r="O872" s="787"/>
    </row>
    <row r="873" spans="6:15" ht="15.75" customHeight="1" x14ac:dyDescent="0.25">
      <c r="F873" s="330"/>
      <c r="O873" s="787"/>
    </row>
    <row r="874" spans="6:15" ht="15.75" customHeight="1" x14ac:dyDescent="0.25">
      <c r="F874" s="330"/>
      <c r="O874" s="787"/>
    </row>
    <row r="875" spans="6:15" ht="15.75" customHeight="1" x14ac:dyDescent="0.25">
      <c r="F875" s="330"/>
      <c r="O875" s="787"/>
    </row>
    <row r="876" spans="6:15" ht="15.75" customHeight="1" x14ac:dyDescent="0.25">
      <c r="F876" s="330"/>
      <c r="O876" s="787"/>
    </row>
    <row r="877" spans="6:15" ht="15.75" customHeight="1" x14ac:dyDescent="0.25">
      <c r="F877" s="330"/>
      <c r="O877" s="787"/>
    </row>
    <row r="878" spans="6:15" ht="15.75" customHeight="1" x14ac:dyDescent="0.25">
      <c r="F878" s="330"/>
      <c r="O878" s="787"/>
    </row>
    <row r="879" spans="6:15" ht="15.75" customHeight="1" x14ac:dyDescent="0.25">
      <c r="F879" s="330"/>
      <c r="O879" s="787"/>
    </row>
    <row r="880" spans="6:15" ht="15.75" customHeight="1" x14ac:dyDescent="0.25">
      <c r="F880" s="330"/>
      <c r="O880" s="787"/>
    </row>
    <row r="881" spans="6:15" ht="15.75" customHeight="1" x14ac:dyDescent="0.25">
      <c r="F881" s="330"/>
      <c r="O881" s="787"/>
    </row>
    <row r="882" spans="6:15" ht="15.75" customHeight="1" x14ac:dyDescent="0.25">
      <c r="F882" s="330"/>
      <c r="O882" s="787"/>
    </row>
    <row r="883" spans="6:15" ht="15.75" customHeight="1" x14ac:dyDescent="0.25">
      <c r="F883" s="330"/>
      <c r="O883" s="787"/>
    </row>
    <row r="884" spans="6:15" ht="15.75" customHeight="1" x14ac:dyDescent="0.25">
      <c r="F884" s="330"/>
      <c r="O884" s="787"/>
    </row>
    <row r="885" spans="6:15" ht="15.75" customHeight="1" x14ac:dyDescent="0.25">
      <c r="F885" s="330"/>
      <c r="O885" s="787"/>
    </row>
    <row r="886" spans="6:15" ht="15.75" customHeight="1" x14ac:dyDescent="0.25">
      <c r="F886" s="330"/>
      <c r="O886" s="787"/>
    </row>
    <row r="887" spans="6:15" ht="15.75" customHeight="1" x14ac:dyDescent="0.25">
      <c r="F887" s="330"/>
      <c r="O887" s="787"/>
    </row>
    <row r="888" spans="6:15" ht="15.75" customHeight="1" x14ac:dyDescent="0.25">
      <c r="F888" s="330"/>
      <c r="O888" s="787"/>
    </row>
    <row r="889" spans="6:15" ht="15.75" customHeight="1" x14ac:dyDescent="0.25">
      <c r="F889" s="330"/>
      <c r="O889" s="787"/>
    </row>
    <row r="890" spans="6:15" ht="15.75" customHeight="1" x14ac:dyDescent="0.25">
      <c r="F890" s="330"/>
      <c r="O890" s="787"/>
    </row>
    <row r="891" spans="6:15" ht="15.75" customHeight="1" x14ac:dyDescent="0.25">
      <c r="F891" s="330"/>
      <c r="O891" s="787"/>
    </row>
    <row r="892" spans="6:15" ht="15.75" customHeight="1" x14ac:dyDescent="0.25">
      <c r="F892" s="330"/>
      <c r="O892" s="787"/>
    </row>
    <row r="893" spans="6:15" ht="15.75" customHeight="1" x14ac:dyDescent="0.25">
      <c r="F893" s="330"/>
      <c r="O893" s="787"/>
    </row>
    <row r="894" spans="6:15" ht="15.75" customHeight="1" x14ac:dyDescent="0.25">
      <c r="F894" s="330"/>
      <c r="O894" s="787"/>
    </row>
    <row r="895" spans="6:15" ht="15.75" customHeight="1" x14ac:dyDescent="0.25">
      <c r="F895" s="330"/>
      <c r="O895" s="787"/>
    </row>
    <row r="896" spans="6:15" ht="15.75" customHeight="1" x14ac:dyDescent="0.25">
      <c r="F896" s="330"/>
      <c r="O896" s="787"/>
    </row>
    <row r="897" spans="6:15" ht="15.75" customHeight="1" x14ac:dyDescent="0.25">
      <c r="F897" s="330"/>
      <c r="O897" s="787"/>
    </row>
    <row r="898" spans="6:15" ht="15.75" customHeight="1" x14ac:dyDescent="0.25">
      <c r="F898" s="330"/>
      <c r="O898" s="787"/>
    </row>
    <row r="899" spans="6:15" ht="15.75" customHeight="1" x14ac:dyDescent="0.25">
      <c r="F899" s="330"/>
      <c r="O899" s="787"/>
    </row>
    <row r="900" spans="6:15" ht="15.75" customHeight="1" x14ac:dyDescent="0.25">
      <c r="F900" s="330"/>
      <c r="O900" s="787"/>
    </row>
    <row r="901" spans="6:15" ht="15.75" customHeight="1" x14ac:dyDescent="0.25">
      <c r="F901" s="330"/>
      <c r="O901" s="787"/>
    </row>
    <row r="902" spans="6:15" ht="15.75" customHeight="1" x14ac:dyDescent="0.25">
      <c r="F902" s="330"/>
      <c r="O902" s="787"/>
    </row>
    <row r="903" spans="6:15" ht="15.75" customHeight="1" x14ac:dyDescent="0.25">
      <c r="F903" s="330"/>
      <c r="O903" s="787"/>
    </row>
    <row r="904" spans="6:15" ht="15.75" customHeight="1" x14ac:dyDescent="0.25">
      <c r="F904" s="330"/>
      <c r="O904" s="787"/>
    </row>
    <row r="905" spans="6:15" ht="15.75" customHeight="1" x14ac:dyDescent="0.25">
      <c r="F905" s="330"/>
      <c r="O905" s="787"/>
    </row>
    <row r="906" spans="6:15" ht="15.75" customHeight="1" x14ac:dyDescent="0.25">
      <c r="F906" s="330"/>
      <c r="O906" s="787"/>
    </row>
    <row r="907" spans="6:15" ht="15.75" customHeight="1" x14ac:dyDescent="0.25">
      <c r="F907" s="330"/>
      <c r="O907" s="787"/>
    </row>
    <row r="908" spans="6:15" ht="15.75" customHeight="1" x14ac:dyDescent="0.25">
      <c r="F908" s="330"/>
      <c r="O908" s="787"/>
    </row>
    <row r="909" spans="6:15" ht="15.75" customHeight="1" x14ac:dyDescent="0.25">
      <c r="F909" s="330"/>
      <c r="O909" s="787"/>
    </row>
    <row r="910" spans="6:15" ht="15.75" customHeight="1" x14ac:dyDescent="0.25">
      <c r="F910" s="330"/>
      <c r="O910" s="787"/>
    </row>
    <row r="911" spans="6:15" ht="15.75" customHeight="1" x14ac:dyDescent="0.25">
      <c r="F911" s="330"/>
      <c r="O911" s="787"/>
    </row>
    <row r="912" spans="6:15" ht="15.75" customHeight="1" x14ac:dyDescent="0.25">
      <c r="F912" s="330"/>
      <c r="O912" s="787"/>
    </row>
    <row r="913" spans="6:15" ht="15.75" customHeight="1" x14ac:dyDescent="0.25">
      <c r="F913" s="330"/>
      <c r="O913" s="787"/>
    </row>
    <row r="914" spans="6:15" ht="15.75" customHeight="1" x14ac:dyDescent="0.25">
      <c r="F914" s="330"/>
      <c r="O914" s="787"/>
    </row>
    <row r="915" spans="6:15" ht="15.75" customHeight="1" x14ac:dyDescent="0.25">
      <c r="F915" s="330"/>
      <c r="O915" s="787"/>
    </row>
    <row r="916" spans="6:15" ht="15.75" customHeight="1" x14ac:dyDescent="0.25">
      <c r="F916" s="330"/>
      <c r="O916" s="787"/>
    </row>
    <row r="917" spans="6:15" ht="15.75" customHeight="1" x14ac:dyDescent="0.25">
      <c r="F917" s="330"/>
      <c r="O917" s="787"/>
    </row>
    <row r="918" spans="6:15" ht="15.75" customHeight="1" x14ac:dyDescent="0.25">
      <c r="F918" s="330"/>
      <c r="O918" s="787"/>
    </row>
    <row r="919" spans="6:15" ht="15.75" customHeight="1" x14ac:dyDescent="0.25">
      <c r="F919" s="330"/>
      <c r="O919" s="787"/>
    </row>
    <row r="920" spans="6:15" ht="15.75" customHeight="1" x14ac:dyDescent="0.25">
      <c r="F920" s="330"/>
      <c r="O920" s="787"/>
    </row>
    <row r="921" spans="6:15" ht="15.75" customHeight="1" x14ac:dyDescent="0.25">
      <c r="F921" s="330"/>
      <c r="O921" s="787"/>
    </row>
    <row r="922" spans="6:15" ht="15.75" customHeight="1" x14ac:dyDescent="0.25">
      <c r="F922" s="330"/>
      <c r="O922" s="787"/>
    </row>
    <row r="923" spans="6:15" ht="15.75" customHeight="1" x14ac:dyDescent="0.25">
      <c r="F923" s="330"/>
      <c r="O923" s="787"/>
    </row>
    <row r="924" spans="6:15" ht="15.75" customHeight="1" x14ac:dyDescent="0.25">
      <c r="F924" s="330"/>
      <c r="O924" s="787"/>
    </row>
    <row r="925" spans="6:15" ht="15.75" customHeight="1" x14ac:dyDescent="0.25">
      <c r="F925" s="330"/>
      <c r="O925" s="787"/>
    </row>
    <row r="926" spans="6:15" ht="15.75" customHeight="1" x14ac:dyDescent="0.25">
      <c r="F926" s="330"/>
      <c r="O926" s="787"/>
    </row>
    <row r="927" spans="6:15" ht="15.75" customHeight="1" x14ac:dyDescent="0.25">
      <c r="F927" s="330"/>
      <c r="O927" s="787"/>
    </row>
    <row r="928" spans="6:15" ht="15.75" customHeight="1" x14ac:dyDescent="0.25">
      <c r="F928" s="330"/>
      <c r="O928" s="787"/>
    </row>
    <row r="929" spans="6:15" ht="15.75" customHeight="1" x14ac:dyDescent="0.25">
      <c r="F929" s="330"/>
      <c r="O929" s="787"/>
    </row>
    <row r="930" spans="6:15" ht="15.75" customHeight="1" x14ac:dyDescent="0.25">
      <c r="F930" s="330"/>
      <c r="O930" s="787"/>
    </row>
    <row r="931" spans="6:15" ht="15.75" customHeight="1" x14ac:dyDescent="0.25">
      <c r="F931" s="330"/>
      <c r="O931" s="787"/>
    </row>
    <row r="932" spans="6:15" ht="15.75" customHeight="1" x14ac:dyDescent="0.25">
      <c r="F932" s="330"/>
      <c r="O932" s="787"/>
    </row>
    <row r="933" spans="6:15" ht="15.75" customHeight="1" x14ac:dyDescent="0.25">
      <c r="F933" s="330"/>
      <c r="O933" s="787"/>
    </row>
    <row r="934" spans="6:15" ht="15.75" customHeight="1" x14ac:dyDescent="0.25">
      <c r="F934" s="330"/>
      <c r="O934" s="787"/>
    </row>
    <row r="935" spans="6:15" ht="15.75" customHeight="1" x14ac:dyDescent="0.25">
      <c r="F935" s="330"/>
      <c r="O935" s="787"/>
    </row>
    <row r="936" spans="6:15" ht="15.75" customHeight="1" x14ac:dyDescent="0.25">
      <c r="F936" s="330"/>
      <c r="O936" s="787"/>
    </row>
    <row r="937" spans="6:15" ht="15.75" customHeight="1" x14ac:dyDescent="0.25">
      <c r="F937" s="330"/>
      <c r="O937" s="787"/>
    </row>
    <row r="938" spans="6:15" ht="15.75" customHeight="1" x14ac:dyDescent="0.25">
      <c r="F938" s="330"/>
      <c r="O938" s="787"/>
    </row>
    <row r="939" spans="6:15" ht="15.75" customHeight="1" x14ac:dyDescent="0.25">
      <c r="F939" s="330"/>
      <c r="O939" s="787"/>
    </row>
    <row r="940" spans="6:15" ht="15.75" customHeight="1" x14ac:dyDescent="0.25">
      <c r="F940" s="330"/>
      <c r="O940" s="787"/>
    </row>
    <row r="941" spans="6:15" ht="15.75" customHeight="1" x14ac:dyDescent="0.25">
      <c r="F941" s="330"/>
      <c r="O941" s="787"/>
    </row>
    <row r="942" spans="6:15" ht="15.75" customHeight="1" x14ac:dyDescent="0.25">
      <c r="F942" s="330"/>
      <c r="O942" s="787"/>
    </row>
    <row r="943" spans="6:15" ht="15.75" customHeight="1" x14ac:dyDescent="0.25">
      <c r="F943" s="330"/>
      <c r="O943" s="787"/>
    </row>
    <row r="944" spans="6:15" ht="15.75" customHeight="1" x14ac:dyDescent="0.25">
      <c r="F944" s="330"/>
      <c r="O944" s="787"/>
    </row>
    <row r="945" spans="6:15" ht="15.75" customHeight="1" x14ac:dyDescent="0.25">
      <c r="F945" s="330"/>
      <c r="O945" s="787"/>
    </row>
    <row r="946" spans="6:15" ht="15.75" customHeight="1" x14ac:dyDescent="0.25">
      <c r="F946" s="330"/>
      <c r="O946" s="787"/>
    </row>
    <row r="947" spans="6:15" ht="15.75" customHeight="1" x14ac:dyDescent="0.25">
      <c r="F947" s="330"/>
      <c r="O947" s="787"/>
    </row>
    <row r="948" spans="6:15" ht="15.75" customHeight="1" x14ac:dyDescent="0.25">
      <c r="F948" s="330"/>
      <c r="O948" s="787"/>
    </row>
    <row r="949" spans="6:15" ht="15.75" customHeight="1" x14ac:dyDescent="0.25">
      <c r="F949" s="330"/>
      <c r="O949" s="787"/>
    </row>
    <row r="950" spans="6:15" ht="15.75" customHeight="1" x14ac:dyDescent="0.25">
      <c r="F950" s="330"/>
      <c r="O950" s="787"/>
    </row>
    <row r="951" spans="6:15" ht="15.75" customHeight="1" x14ac:dyDescent="0.25">
      <c r="F951" s="330"/>
      <c r="O951" s="787"/>
    </row>
    <row r="952" spans="6:15" ht="15.75" customHeight="1" x14ac:dyDescent="0.25">
      <c r="F952" s="330"/>
      <c r="O952" s="787"/>
    </row>
    <row r="953" spans="6:15" ht="15.75" customHeight="1" x14ac:dyDescent="0.25">
      <c r="F953" s="330"/>
      <c r="O953" s="787"/>
    </row>
    <row r="954" spans="6:15" ht="15.75" customHeight="1" x14ac:dyDescent="0.25">
      <c r="F954" s="330"/>
      <c r="O954" s="787"/>
    </row>
    <row r="955" spans="6:15" ht="15.75" customHeight="1" x14ac:dyDescent="0.25">
      <c r="F955" s="330"/>
      <c r="O955" s="787"/>
    </row>
    <row r="956" spans="6:15" ht="15.75" customHeight="1" x14ac:dyDescent="0.25">
      <c r="F956" s="330"/>
      <c r="O956" s="787"/>
    </row>
    <row r="957" spans="6:15" ht="15.75" customHeight="1" x14ac:dyDescent="0.25">
      <c r="F957" s="330"/>
      <c r="O957" s="787"/>
    </row>
    <row r="958" spans="6:15" ht="15.75" customHeight="1" x14ac:dyDescent="0.25">
      <c r="F958" s="330"/>
      <c r="O958" s="787"/>
    </row>
    <row r="959" spans="6:15" ht="15.75" customHeight="1" x14ac:dyDescent="0.25">
      <c r="F959" s="330"/>
      <c r="O959" s="787"/>
    </row>
    <row r="960" spans="6:15" ht="15.75" customHeight="1" x14ac:dyDescent="0.25">
      <c r="F960" s="330"/>
      <c r="O960" s="787"/>
    </row>
    <row r="961" spans="6:15" ht="15.75" customHeight="1" x14ac:dyDescent="0.25">
      <c r="F961" s="330"/>
      <c r="O961" s="787"/>
    </row>
    <row r="962" spans="6:15" ht="15.75" customHeight="1" x14ac:dyDescent="0.25">
      <c r="F962" s="330"/>
      <c r="O962" s="787"/>
    </row>
    <row r="963" spans="6:15" ht="15.75" customHeight="1" x14ac:dyDescent="0.25">
      <c r="F963" s="330"/>
      <c r="O963" s="787"/>
    </row>
    <row r="964" spans="6:15" ht="15.75" customHeight="1" x14ac:dyDescent="0.25">
      <c r="F964" s="330"/>
      <c r="O964" s="787"/>
    </row>
    <row r="965" spans="6:15" ht="15.75" customHeight="1" x14ac:dyDescent="0.25">
      <c r="F965" s="330"/>
      <c r="O965" s="787"/>
    </row>
    <row r="966" spans="6:15" ht="15.75" customHeight="1" x14ac:dyDescent="0.25">
      <c r="F966" s="330"/>
      <c r="O966" s="787"/>
    </row>
    <row r="967" spans="6:15" ht="15.75" customHeight="1" x14ac:dyDescent="0.25">
      <c r="F967" s="330"/>
      <c r="O967" s="787"/>
    </row>
    <row r="968" spans="6:15" ht="15.75" customHeight="1" x14ac:dyDescent="0.25">
      <c r="F968" s="330"/>
      <c r="O968" s="787"/>
    </row>
    <row r="969" spans="6:15" ht="15.75" customHeight="1" x14ac:dyDescent="0.25">
      <c r="F969" s="330"/>
      <c r="O969" s="787"/>
    </row>
    <row r="970" spans="6:15" ht="15.75" customHeight="1" x14ac:dyDescent="0.25">
      <c r="F970" s="330"/>
      <c r="O970" s="787"/>
    </row>
    <row r="971" spans="6:15" ht="15.75" customHeight="1" x14ac:dyDescent="0.25">
      <c r="F971" s="330"/>
      <c r="O971" s="787"/>
    </row>
    <row r="972" spans="6:15" ht="15.75" customHeight="1" x14ac:dyDescent="0.25">
      <c r="F972" s="330"/>
      <c r="O972" s="787"/>
    </row>
    <row r="973" spans="6:15" ht="15.75" customHeight="1" x14ac:dyDescent="0.25">
      <c r="F973" s="330"/>
      <c r="O973" s="787"/>
    </row>
    <row r="974" spans="6:15" ht="15.75" customHeight="1" x14ac:dyDescent="0.25">
      <c r="F974" s="330"/>
      <c r="O974" s="787"/>
    </row>
    <row r="975" spans="6:15" ht="15.75" customHeight="1" x14ac:dyDescent="0.25">
      <c r="F975" s="330"/>
      <c r="O975" s="787"/>
    </row>
    <row r="976" spans="6:15" ht="15.75" customHeight="1" x14ac:dyDescent="0.25">
      <c r="F976" s="330"/>
      <c r="O976" s="787"/>
    </row>
    <row r="977" spans="6:15" ht="15.75" customHeight="1" x14ac:dyDescent="0.25">
      <c r="F977" s="330"/>
      <c r="O977" s="787"/>
    </row>
    <row r="978" spans="6:15" ht="15.75" customHeight="1" x14ac:dyDescent="0.25">
      <c r="F978" s="330"/>
      <c r="O978" s="787"/>
    </row>
    <row r="979" spans="6:15" ht="15.75" customHeight="1" x14ac:dyDescent="0.25">
      <c r="F979" s="330"/>
      <c r="O979" s="787"/>
    </row>
    <row r="980" spans="6:15" ht="15.75" customHeight="1" x14ac:dyDescent="0.25">
      <c r="F980" s="330"/>
      <c r="O980" s="787"/>
    </row>
    <row r="981" spans="6:15" ht="15.75" customHeight="1" x14ac:dyDescent="0.25">
      <c r="F981" s="330"/>
      <c r="O981" s="787"/>
    </row>
    <row r="982" spans="6:15" ht="15.75" customHeight="1" x14ac:dyDescent="0.25">
      <c r="F982" s="330"/>
      <c r="O982" s="787"/>
    </row>
    <row r="983" spans="6:15" ht="15.75" customHeight="1" x14ac:dyDescent="0.25">
      <c r="F983" s="330"/>
      <c r="O983" s="787"/>
    </row>
    <row r="984" spans="6:15" ht="15.75" customHeight="1" x14ac:dyDescent="0.25">
      <c r="F984" s="330"/>
      <c r="O984" s="787"/>
    </row>
    <row r="985" spans="6:15" ht="15.75" customHeight="1" x14ac:dyDescent="0.25">
      <c r="F985" s="330"/>
      <c r="O985" s="787"/>
    </row>
    <row r="986" spans="6:15" ht="15.75" customHeight="1" x14ac:dyDescent="0.25">
      <c r="F986" s="330"/>
      <c r="O986" s="787"/>
    </row>
    <row r="987" spans="6:15" ht="15.75" customHeight="1" x14ac:dyDescent="0.25">
      <c r="F987" s="330"/>
      <c r="O987" s="787"/>
    </row>
    <row r="988" spans="6:15" ht="15.75" customHeight="1" x14ac:dyDescent="0.25">
      <c r="F988" s="330"/>
      <c r="O988" s="787"/>
    </row>
    <row r="989" spans="6:15" ht="15.75" customHeight="1" x14ac:dyDescent="0.25">
      <c r="F989" s="330"/>
      <c r="O989" s="787"/>
    </row>
    <row r="990" spans="6:15" ht="15.75" customHeight="1" x14ac:dyDescent="0.25">
      <c r="F990" s="330"/>
      <c r="O990" s="787"/>
    </row>
    <row r="991" spans="6:15" ht="15.75" customHeight="1" x14ac:dyDescent="0.25">
      <c r="F991" s="330"/>
      <c r="O991" s="787"/>
    </row>
    <row r="992" spans="6:15" ht="15.75" customHeight="1" x14ac:dyDescent="0.25">
      <c r="F992" s="330"/>
      <c r="O992" s="787"/>
    </row>
    <row r="993" spans="6:15" ht="15.75" customHeight="1" x14ac:dyDescent="0.25">
      <c r="F993" s="330"/>
      <c r="O993" s="787"/>
    </row>
    <row r="994" spans="6:15" ht="15.75" customHeight="1" x14ac:dyDescent="0.25">
      <c r="F994" s="330"/>
      <c r="O994" s="787"/>
    </row>
    <row r="995" spans="6:15" ht="15.75" customHeight="1" x14ac:dyDescent="0.25">
      <c r="F995" s="330"/>
      <c r="O995" s="787"/>
    </row>
    <row r="996" spans="6:15" ht="15.75" customHeight="1" x14ac:dyDescent="0.25">
      <c r="F996" s="330"/>
      <c r="O996" s="787"/>
    </row>
    <row r="997" spans="6:15" ht="15.75" customHeight="1" x14ac:dyDescent="0.25">
      <c r="F997" s="330"/>
      <c r="O997" s="787"/>
    </row>
    <row r="998" spans="6:15" ht="15.75" customHeight="1" x14ac:dyDescent="0.25">
      <c r="F998" s="330"/>
      <c r="O998" s="787"/>
    </row>
    <row r="999" spans="6:15" ht="15.75" customHeight="1" x14ac:dyDescent="0.25">
      <c r="F999" s="330"/>
      <c r="O999" s="787"/>
    </row>
    <row r="1000" spans="6:15" ht="15.75" customHeight="1" x14ac:dyDescent="0.25">
      <c r="F1000" s="330"/>
      <c r="O1000" s="787"/>
    </row>
    <row r="1001" spans="6:15" ht="15.75" customHeight="1" x14ac:dyDescent="0.25">
      <c r="F1001" s="330"/>
      <c r="O1001" s="787"/>
    </row>
    <row r="1002" spans="6:15" ht="15.75" customHeight="1" x14ac:dyDescent="0.25">
      <c r="F1002" s="330"/>
      <c r="O1002" s="787"/>
    </row>
    <row r="1003" spans="6:15" ht="15.75" customHeight="1" x14ac:dyDescent="0.25">
      <c r="F1003" s="330"/>
      <c r="O1003" s="787"/>
    </row>
    <row r="1004" spans="6:15" ht="15.75" customHeight="1" x14ac:dyDescent="0.25">
      <c r="F1004" s="330"/>
      <c r="O1004" s="787"/>
    </row>
    <row r="1005" spans="6:15" ht="15.75" customHeight="1" x14ac:dyDescent="0.25">
      <c r="F1005" s="330"/>
      <c r="O1005" s="787"/>
    </row>
    <row r="1006" spans="6:15" ht="15.75" customHeight="1" x14ac:dyDescent="0.25">
      <c r="F1006" s="330"/>
      <c r="O1006" s="787"/>
    </row>
    <row r="1007" spans="6:15" ht="15.75" customHeight="1" x14ac:dyDescent="0.25">
      <c r="F1007" s="330"/>
      <c r="O1007" s="787"/>
    </row>
    <row r="1008" spans="6:15" ht="15.75" customHeight="1" x14ac:dyDescent="0.25">
      <c r="F1008" s="330"/>
      <c r="O1008" s="787"/>
    </row>
    <row r="1009" spans="6:15" ht="15.75" customHeight="1" x14ac:dyDescent="0.25">
      <c r="F1009" s="330"/>
      <c r="O1009" s="787"/>
    </row>
    <row r="1010" spans="6:15" ht="15.75" customHeight="1" x14ac:dyDescent="0.25">
      <c r="F1010" s="330"/>
      <c r="O1010" s="787"/>
    </row>
    <row r="1011" spans="6:15" ht="15.75" customHeight="1" x14ac:dyDescent="0.25">
      <c r="F1011" s="330"/>
      <c r="O1011" s="787"/>
    </row>
    <row r="1012" spans="6:15" ht="15.75" customHeight="1" x14ac:dyDescent="0.25">
      <c r="F1012" s="330"/>
      <c r="O1012" s="787"/>
    </row>
    <row r="1013" spans="6:15" ht="15.75" customHeight="1" x14ac:dyDescent="0.25">
      <c r="F1013" s="330"/>
      <c r="O1013" s="787"/>
    </row>
    <row r="1014" spans="6:15" ht="15.75" customHeight="1" x14ac:dyDescent="0.25">
      <c r="F1014" s="330"/>
      <c r="O1014" s="787"/>
    </row>
    <row r="1015" spans="6:15" ht="15.75" customHeight="1" x14ac:dyDescent="0.25">
      <c r="F1015" s="330"/>
      <c r="O1015" s="787"/>
    </row>
    <row r="1016" spans="6:15" ht="15.75" customHeight="1" x14ac:dyDescent="0.25">
      <c r="F1016" s="330"/>
      <c r="O1016" s="787"/>
    </row>
    <row r="1017" spans="6:15" ht="15.75" customHeight="1" x14ac:dyDescent="0.25">
      <c r="F1017" s="330"/>
      <c r="O1017" s="787"/>
    </row>
    <row r="1018" spans="6:15" ht="15.75" customHeight="1" x14ac:dyDescent="0.25">
      <c r="F1018" s="330"/>
      <c r="O1018" s="787"/>
    </row>
    <row r="1019" spans="6:15" ht="15.75" customHeight="1" x14ac:dyDescent="0.25">
      <c r="F1019" s="330"/>
      <c r="O1019" s="787"/>
    </row>
    <row r="1020" spans="6:15" ht="15.75" customHeight="1" x14ac:dyDescent="0.25">
      <c r="F1020" s="330"/>
      <c r="O1020" s="787"/>
    </row>
    <row r="1021" spans="6:15" ht="15.75" customHeight="1" x14ac:dyDescent="0.25">
      <c r="F1021" s="330"/>
      <c r="O1021" s="787"/>
    </row>
    <row r="1022" spans="6:15" ht="15.75" customHeight="1" x14ac:dyDescent="0.25">
      <c r="F1022" s="330"/>
      <c r="O1022" s="787"/>
    </row>
    <row r="1023" spans="6:15" ht="15.75" customHeight="1" x14ac:dyDescent="0.25">
      <c r="F1023" s="330"/>
      <c r="O1023" s="787"/>
    </row>
    <row r="1024" spans="6:15" ht="15.75" customHeight="1" x14ac:dyDescent="0.25">
      <c r="F1024" s="330"/>
      <c r="O1024" s="787"/>
    </row>
    <row r="1025" spans="6:15" ht="15.75" customHeight="1" x14ac:dyDescent="0.25">
      <c r="F1025" s="330"/>
      <c r="O1025" s="787"/>
    </row>
    <row r="1026" spans="6:15" ht="15.75" customHeight="1" x14ac:dyDescent="0.25">
      <c r="F1026" s="330"/>
      <c r="O1026" s="787"/>
    </row>
    <row r="1027" spans="6:15" ht="15.75" customHeight="1" x14ac:dyDescent="0.25">
      <c r="F1027" s="330"/>
      <c r="O1027" s="787"/>
    </row>
    <row r="1028" spans="6:15" ht="15.75" customHeight="1" x14ac:dyDescent="0.25">
      <c r="F1028" s="330"/>
      <c r="O1028" s="787"/>
    </row>
    <row r="1029" spans="6:15" ht="15" customHeight="1" x14ac:dyDescent="0.25">
      <c r="F1029" s="330"/>
      <c r="O1029" s="787"/>
    </row>
    <row r="1030" spans="6:15" ht="15" customHeight="1" x14ac:dyDescent="0.25">
      <c r="F1030" s="330"/>
      <c r="O1030" s="787"/>
    </row>
    <row r="1031" spans="6:15" ht="15" customHeight="1" x14ac:dyDescent="0.25">
      <c r="F1031" s="330"/>
      <c r="O1031" s="787"/>
    </row>
    <row r="1032" spans="6:15" ht="15" customHeight="1" x14ac:dyDescent="0.25">
      <c r="F1032" s="330"/>
      <c r="O1032" s="787"/>
    </row>
    <row r="1033" spans="6:15" ht="15" customHeight="1" x14ac:dyDescent="0.25">
      <c r="F1033" s="330"/>
      <c r="O1033" s="787"/>
    </row>
    <row r="1034" spans="6:15" ht="15" customHeight="1" x14ac:dyDescent="0.25">
      <c r="F1034" s="330"/>
      <c r="O1034" s="787"/>
    </row>
    <row r="1035" spans="6:15" ht="15" customHeight="1" x14ac:dyDescent="0.25">
      <c r="F1035" s="330"/>
      <c r="O1035" s="787"/>
    </row>
    <row r="1036" spans="6:15" ht="15" customHeight="1" x14ac:dyDescent="0.25">
      <c r="F1036" s="330"/>
      <c r="O1036" s="787"/>
    </row>
    <row r="1037" spans="6:15" ht="15" customHeight="1" x14ac:dyDescent="0.25">
      <c r="F1037" s="330"/>
      <c r="O1037" s="787"/>
    </row>
    <row r="1038" spans="6:15" ht="15" customHeight="1" x14ac:dyDescent="0.25">
      <c r="F1038" s="330"/>
      <c r="O1038" s="787"/>
    </row>
    <row r="1039" spans="6:15" ht="15" customHeight="1" x14ac:dyDescent="0.25">
      <c r="F1039" s="330"/>
      <c r="O1039" s="787"/>
    </row>
    <row r="1040" spans="6:15" ht="15" customHeight="1" x14ac:dyDescent="0.25">
      <c r="F1040" s="330"/>
      <c r="O1040" s="787"/>
    </row>
    <row r="1041" spans="6:15" ht="15" customHeight="1" x14ac:dyDescent="0.25">
      <c r="F1041" s="330"/>
      <c r="O1041" s="787"/>
    </row>
    <row r="1042" spans="6:15" ht="15" customHeight="1" x14ac:dyDescent="0.25">
      <c r="F1042" s="330"/>
      <c r="O1042" s="787"/>
    </row>
    <row r="1043" spans="6:15" ht="15" customHeight="1" x14ac:dyDescent="0.25">
      <c r="F1043" s="330"/>
      <c r="O1043" s="787"/>
    </row>
    <row r="1044" spans="6:15" ht="15" customHeight="1" x14ac:dyDescent="0.25">
      <c r="F1044" s="330"/>
      <c r="O1044" s="787"/>
    </row>
    <row r="1045" spans="6:15" ht="15" customHeight="1" x14ac:dyDescent="0.25">
      <c r="F1045" s="330"/>
      <c r="O1045" s="787"/>
    </row>
    <row r="1046" spans="6:15" ht="15" customHeight="1" x14ac:dyDescent="0.25">
      <c r="F1046" s="330"/>
      <c r="O1046" s="787"/>
    </row>
    <row r="1047" spans="6:15" ht="15" customHeight="1" x14ac:dyDescent="0.25">
      <c r="F1047" s="330"/>
      <c r="O1047" s="787"/>
    </row>
    <row r="1048" spans="6:15" ht="15" customHeight="1" x14ac:dyDescent="0.25">
      <c r="F1048" s="330"/>
      <c r="O1048" s="787"/>
    </row>
    <row r="1049" spans="6:15" ht="15" customHeight="1" x14ac:dyDescent="0.25">
      <c r="F1049" s="330"/>
      <c r="O1049" s="787"/>
    </row>
    <row r="1050" spans="6:15" ht="15" customHeight="1" x14ac:dyDescent="0.25">
      <c r="F1050" s="330"/>
      <c r="O1050" s="787"/>
    </row>
    <row r="1051" spans="6:15" ht="15" customHeight="1" x14ac:dyDescent="0.25">
      <c r="F1051" s="330"/>
      <c r="O1051" s="787"/>
    </row>
    <row r="1052" spans="6:15" ht="15" customHeight="1" x14ac:dyDescent="0.25">
      <c r="F1052" s="330"/>
      <c r="O1052" s="787"/>
    </row>
    <row r="1053" spans="6:15" ht="15" customHeight="1" x14ac:dyDescent="0.25">
      <c r="F1053" s="330"/>
      <c r="O1053" s="787"/>
    </row>
    <row r="1054" spans="6:15" ht="15" customHeight="1" x14ac:dyDescent="0.25">
      <c r="F1054" s="330"/>
      <c r="O1054" s="787"/>
    </row>
    <row r="1055" spans="6:15" ht="15" customHeight="1" x14ac:dyDescent="0.25">
      <c r="F1055" s="330"/>
      <c r="O1055" s="787"/>
    </row>
    <row r="1056" spans="6:15" ht="15" customHeight="1" x14ac:dyDescent="0.25">
      <c r="F1056" s="330"/>
      <c r="O1056" s="787"/>
    </row>
    <row r="1057" spans="6:15" ht="15" customHeight="1" x14ac:dyDescent="0.25">
      <c r="F1057" s="330"/>
      <c r="O1057" s="787"/>
    </row>
    <row r="1058" spans="6:15" ht="15" customHeight="1" x14ac:dyDescent="0.25">
      <c r="F1058" s="330"/>
      <c r="O1058" s="787"/>
    </row>
    <row r="1059" spans="6:15" ht="15" customHeight="1" x14ac:dyDescent="0.25">
      <c r="F1059" s="330"/>
      <c r="O1059" s="787"/>
    </row>
    <row r="1060" spans="6:15" ht="15" customHeight="1" x14ac:dyDescent="0.25">
      <c r="F1060" s="330"/>
      <c r="O1060" s="787"/>
    </row>
    <row r="1061" spans="6:15" ht="15" customHeight="1" x14ac:dyDescent="0.25">
      <c r="F1061" s="330"/>
      <c r="O1061" s="787"/>
    </row>
    <row r="1062" spans="6:15" ht="15" customHeight="1" x14ac:dyDescent="0.25">
      <c r="F1062" s="330"/>
      <c r="O1062" s="787"/>
    </row>
    <row r="1063" spans="6:15" ht="15" customHeight="1" x14ac:dyDescent="0.25">
      <c r="F1063" s="330"/>
      <c r="O1063" s="787"/>
    </row>
    <row r="1064" spans="6:15" ht="15" customHeight="1" x14ac:dyDescent="0.25">
      <c r="F1064" s="330"/>
      <c r="O1064" s="787"/>
    </row>
    <row r="1065" spans="6:15" ht="15" customHeight="1" x14ac:dyDescent="0.25">
      <c r="F1065" s="330"/>
      <c r="O1065" s="787"/>
    </row>
    <row r="1066" spans="6:15" ht="15" customHeight="1" x14ac:dyDescent="0.25">
      <c r="F1066" s="330"/>
      <c r="O1066" s="787"/>
    </row>
    <row r="1067" spans="6:15" ht="15" customHeight="1" x14ac:dyDescent="0.25">
      <c r="F1067" s="330"/>
      <c r="O1067" s="787"/>
    </row>
    <row r="1068" spans="6:15" ht="15" customHeight="1" x14ac:dyDescent="0.25">
      <c r="F1068" s="330"/>
      <c r="O1068" s="787"/>
    </row>
    <row r="1069" spans="6:15" ht="15" customHeight="1" x14ac:dyDescent="0.25">
      <c r="F1069" s="330"/>
      <c r="O1069" s="787"/>
    </row>
    <row r="1070" spans="6:15" ht="15" customHeight="1" x14ac:dyDescent="0.25">
      <c r="F1070" s="330"/>
      <c r="O1070" s="787"/>
    </row>
    <row r="1071" spans="6:15" ht="15" customHeight="1" x14ac:dyDescent="0.25">
      <c r="F1071" s="330"/>
      <c r="O1071" s="787"/>
    </row>
    <row r="1072" spans="6:15" ht="15" customHeight="1" x14ac:dyDescent="0.25">
      <c r="F1072" s="330"/>
      <c r="O1072" s="787"/>
    </row>
    <row r="1073" spans="6:15" ht="15" customHeight="1" x14ac:dyDescent="0.25">
      <c r="F1073" s="330"/>
      <c r="O1073" s="787"/>
    </row>
    <row r="1074" spans="6:15" ht="15" customHeight="1" x14ac:dyDescent="0.25">
      <c r="F1074" s="330"/>
      <c r="O1074" s="787"/>
    </row>
    <row r="1075" spans="6:15" ht="15" customHeight="1" x14ac:dyDescent="0.25">
      <c r="F1075" s="330"/>
      <c r="O1075" s="787"/>
    </row>
    <row r="1076" spans="6:15" ht="15" customHeight="1" x14ac:dyDescent="0.25">
      <c r="F1076" s="330"/>
      <c r="O1076" s="787"/>
    </row>
    <row r="1077" spans="6:15" ht="15" customHeight="1" x14ac:dyDescent="0.25">
      <c r="F1077" s="330"/>
      <c r="O1077" s="787"/>
    </row>
    <row r="1078" spans="6:15" ht="15" customHeight="1" x14ac:dyDescent="0.25">
      <c r="F1078" s="330"/>
      <c r="O1078" s="787"/>
    </row>
    <row r="1079" spans="6:15" ht="15" customHeight="1" x14ac:dyDescent="0.25">
      <c r="F1079" s="330"/>
      <c r="O1079" s="787"/>
    </row>
    <row r="1080" spans="6:15" ht="15" customHeight="1" x14ac:dyDescent="0.25">
      <c r="F1080" s="330"/>
      <c r="O1080" s="787"/>
    </row>
    <row r="1081" spans="6:15" ht="15" customHeight="1" x14ac:dyDescent="0.25">
      <c r="F1081" s="330"/>
      <c r="O1081" s="787"/>
    </row>
    <row r="1082" spans="6:15" ht="15" customHeight="1" x14ac:dyDescent="0.25">
      <c r="F1082" s="330"/>
      <c r="O1082" s="787"/>
    </row>
    <row r="1083" spans="6:15" ht="15" customHeight="1" x14ac:dyDescent="0.25">
      <c r="F1083" s="330"/>
      <c r="O1083" s="787"/>
    </row>
    <row r="1084" spans="6:15" ht="15" customHeight="1" x14ac:dyDescent="0.25">
      <c r="F1084" s="330"/>
      <c r="O1084" s="787"/>
    </row>
    <row r="1085" spans="6:15" ht="15" customHeight="1" x14ac:dyDescent="0.25">
      <c r="F1085" s="330"/>
      <c r="O1085" s="787"/>
    </row>
    <row r="1086" spans="6:15" ht="15" customHeight="1" x14ac:dyDescent="0.25">
      <c r="F1086" s="330"/>
      <c r="O1086" s="787"/>
    </row>
    <row r="1087" spans="6:15" ht="15" customHeight="1" x14ac:dyDescent="0.25">
      <c r="F1087" s="330"/>
      <c r="O1087" s="787"/>
    </row>
    <row r="1088" spans="6:15" ht="15" customHeight="1" x14ac:dyDescent="0.25">
      <c r="F1088" s="330"/>
      <c r="O1088" s="787"/>
    </row>
    <row r="1089" spans="6:15" ht="15" customHeight="1" x14ac:dyDescent="0.25">
      <c r="F1089" s="330"/>
      <c r="O1089" s="787"/>
    </row>
    <row r="1090" spans="6:15" ht="15" customHeight="1" x14ac:dyDescent="0.25">
      <c r="F1090" s="330"/>
      <c r="O1090" s="787"/>
    </row>
    <row r="1091" spans="6:15" ht="15" customHeight="1" x14ac:dyDescent="0.25">
      <c r="F1091" s="330"/>
      <c r="O1091" s="787"/>
    </row>
    <row r="1092" spans="6:15" ht="15" customHeight="1" x14ac:dyDescent="0.25">
      <c r="F1092" s="330"/>
      <c r="O1092" s="787"/>
    </row>
    <row r="1093" spans="6:15" ht="15" customHeight="1" x14ac:dyDescent="0.25">
      <c r="F1093" s="330"/>
      <c r="O1093" s="787"/>
    </row>
    <row r="1094" spans="6:15" ht="15" customHeight="1" x14ac:dyDescent="0.25">
      <c r="F1094" s="330"/>
      <c r="O1094" s="787"/>
    </row>
    <row r="1095" spans="6:15" ht="15" customHeight="1" x14ac:dyDescent="0.25">
      <c r="F1095" s="330"/>
      <c r="O1095" s="787"/>
    </row>
    <row r="1096" spans="6:15" ht="15" customHeight="1" x14ac:dyDescent="0.25">
      <c r="F1096" s="330"/>
      <c r="O1096" s="787"/>
    </row>
    <row r="1097" spans="6:15" ht="15" customHeight="1" x14ac:dyDescent="0.25">
      <c r="F1097" s="330"/>
      <c r="O1097" s="787"/>
    </row>
    <row r="1098" spans="6:15" ht="15" customHeight="1" x14ac:dyDescent="0.25">
      <c r="F1098" s="330"/>
      <c r="O1098" s="787"/>
    </row>
    <row r="1099" spans="6:15" ht="15" customHeight="1" x14ac:dyDescent="0.25">
      <c r="F1099" s="330"/>
      <c r="O1099" s="787"/>
    </row>
    <row r="1100" spans="6:15" ht="15" customHeight="1" x14ac:dyDescent="0.25">
      <c r="F1100" s="330"/>
      <c r="O1100" s="787"/>
    </row>
    <row r="1101" spans="6:15" ht="15" customHeight="1" x14ac:dyDescent="0.25">
      <c r="F1101" s="330"/>
      <c r="O1101" s="787"/>
    </row>
    <row r="1102" spans="6:15" ht="15" customHeight="1" x14ac:dyDescent="0.25">
      <c r="F1102" s="330"/>
      <c r="O1102" s="787"/>
    </row>
    <row r="1103" spans="6:15" ht="15" customHeight="1" x14ac:dyDescent="0.25">
      <c r="F1103" s="330"/>
      <c r="O1103" s="787"/>
    </row>
    <row r="1104" spans="6:15" ht="15" customHeight="1" x14ac:dyDescent="0.25">
      <c r="F1104" s="330"/>
      <c r="O1104" s="787"/>
    </row>
    <row r="1105" spans="6:15" ht="15" customHeight="1" x14ac:dyDescent="0.25">
      <c r="F1105" s="330"/>
      <c r="O1105" s="787"/>
    </row>
    <row r="1106" spans="6:15" ht="15" customHeight="1" x14ac:dyDescent="0.25">
      <c r="F1106" s="330"/>
      <c r="O1106" s="787"/>
    </row>
    <row r="1107" spans="6:15" ht="15" customHeight="1" x14ac:dyDescent="0.25">
      <c r="F1107" s="330"/>
      <c r="O1107" s="787"/>
    </row>
    <row r="1108" spans="6:15" ht="15" customHeight="1" x14ac:dyDescent="0.25">
      <c r="F1108" s="330"/>
      <c r="O1108" s="787"/>
    </row>
    <row r="1109" spans="6:15" ht="15" customHeight="1" x14ac:dyDescent="0.25">
      <c r="F1109" s="330"/>
      <c r="O1109" s="787"/>
    </row>
    <row r="1110" spans="6:15" ht="15" customHeight="1" x14ac:dyDescent="0.25">
      <c r="F1110" s="330"/>
      <c r="O1110" s="787"/>
    </row>
    <row r="1111" spans="6:15" ht="15" customHeight="1" x14ac:dyDescent="0.25">
      <c r="F1111" s="330"/>
      <c r="O1111" s="787"/>
    </row>
    <row r="1112" spans="6:15" ht="15" customHeight="1" x14ac:dyDescent="0.25">
      <c r="F1112" s="330"/>
      <c r="O1112" s="787"/>
    </row>
    <row r="1113" spans="6:15" ht="15" customHeight="1" x14ac:dyDescent="0.25">
      <c r="F1113" s="330"/>
      <c r="O1113" s="787"/>
    </row>
    <row r="1114" spans="6:15" ht="15" customHeight="1" x14ac:dyDescent="0.25">
      <c r="F1114" s="330"/>
      <c r="O1114" s="787"/>
    </row>
    <row r="1115" spans="6:15" ht="15" customHeight="1" x14ac:dyDescent="0.25">
      <c r="F1115" s="330"/>
      <c r="O1115" s="787"/>
    </row>
    <row r="1116" spans="6:15" ht="15" customHeight="1" x14ac:dyDescent="0.25">
      <c r="F1116" s="330"/>
      <c r="O1116" s="787"/>
    </row>
    <row r="1117" spans="6:15" ht="15" customHeight="1" x14ac:dyDescent="0.25">
      <c r="F1117" s="330"/>
      <c r="O1117" s="787"/>
    </row>
    <row r="1118" spans="6:15" ht="15" customHeight="1" x14ac:dyDescent="0.25">
      <c r="F1118" s="330"/>
      <c r="O1118" s="787"/>
    </row>
    <row r="1119" spans="6:15" ht="15" customHeight="1" x14ac:dyDescent="0.25">
      <c r="F1119" s="330"/>
      <c r="O1119" s="787"/>
    </row>
    <row r="1120" spans="6:15" ht="15" customHeight="1" x14ac:dyDescent="0.25">
      <c r="F1120" s="330"/>
      <c r="O1120" s="787"/>
    </row>
    <row r="1121" spans="6:15" ht="15" customHeight="1" x14ac:dyDescent="0.25">
      <c r="F1121" s="330"/>
      <c r="O1121" s="787"/>
    </row>
    <row r="1122" spans="6:15" ht="15" customHeight="1" x14ac:dyDescent="0.25">
      <c r="F1122" s="330"/>
      <c r="O1122" s="787"/>
    </row>
    <row r="1123" spans="6:15" ht="15" customHeight="1" x14ac:dyDescent="0.25">
      <c r="F1123" s="330"/>
      <c r="O1123" s="787"/>
    </row>
    <row r="1124" spans="6:15" ht="15" customHeight="1" x14ac:dyDescent="0.25">
      <c r="F1124" s="330"/>
      <c r="O1124" s="787"/>
    </row>
    <row r="1125" spans="6:15" ht="15" customHeight="1" x14ac:dyDescent="0.25">
      <c r="F1125" s="330"/>
      <c r="O1125" s="787"/>
    </row>
    <row r="1126" spans="6:15" ht="15" customHeight="1" x14ac:dyDescent="0.25">
      <c r="F1126" s="330"/>
      <c r="O1126" s="787"/>
    </row>
    <row r="1127" spans="6:15" ht="15" customHeight="1" x14ac:dyDescent="0.25">
      <c r="F1127" s="330"/>
      <c r="O1127" s="787"/>
    </row>
    <row r="1128" spans="6:15" ht="15" customHeight="1" x14ac:dyDescent="0.25">
      <c r="F1128" s="330"/>
      <c r="O1128" s="787"/>
    </row>
    <row r="1129" spans="6:15" ht="15" customHeight="1" x14ac:dyDescent="0.25">
      <c r="F1129" s="330"/>
      <c r="O1129" s="787"/>
    </row>
    <row r="1130" spans="6:15" ht="15" customHeight="1" x14ac:dyDescent="0.25">
      <c r="F1130" s="330"/>
      <c r="O1130" s="787"/>
    </row>
    <row r="1131" spans="6:15" ht="15" customHeight="1" x14ac:dyDescent="0.25">
      <c r="F1131" s="330"/>
      <c r="O1131" s="787"/>
    </row>
    <row r="1132" spans="6:15" ht="15" customHeight="1" x14ac:dyDescent="0.25">
      <c r="F1132" s="330"/>
      <c r="O1132" s="787"/>
    </row>
    <row r="1133" spans="6:15" ht="15" customHeight="1" x14ac:dyDescent="0.25">
      <c r="F1133" s="330"/>
      <c r="O1133" s="787"/>
    </row>
    <row r="1134" spans="6:15" ht="15" customHeight="1" x14ac:dyDescent="0.25">
      <c r="F1134" s="330"/>
      <c r="O1134" s="787"/>
    </row>
    <row r="1135" spans="6:15" ht="15" customHeight="1" x14ac:dyDescent="0.25">
      <c r="F1135" s="330"/>
      <c r="O1135" s="787"/>
    </row>
    <row r="1136" spans="6:15" ht="15" customHeight="1" x14ac:dyDescent="0.25">
      <c r="F1136" s="330"/>
      <c r="O1136" s="787"/>
    </row>
    <row r="1137" spans="6:15" ht="15" customHeight="1" x14ac:dyDescent="0.25">
      <c r="F1137" s="330"/>
      <c r="O1137" s="787"/>
    </row>
    <row r="1138" spans="6:15" ht="15" customHeight="1" x14ac:dyDescent="0.25">
      <c r="F1138" s="330"/>
      <c r="O1138" s="787"/>
    </row>
    <row r="1139" spans="6:15" ht="15" customHeight="1" x14ac:dyDescent="0.25">
      <c r="F1139" s="330"/>
      <c r="O1139" s="787"/>
    </row>
    <row r="1140" spans="6:15" ht="15" customHeight="1" x14ac:dyDescent="0.25">
      <c r="F1140" s="330"/>
      <c r="O1140" s="787"/>
    </row>
    <row r="1141" spans="6:15" ht="15" customHeight="1" x14ac:dyDescent="0.25">
      <c r="F1141" s="330"/>
      <c r="O1141" s="787"/>
    </row>
    <row r="1142" spans="6:15" ht="15" customHeight="1" x14ac:dyDescent="0.25">
      <c r="F1142" s="330"/>
      <c r="O1142" s="787"/>
    </row>
    <row r="1143" spans="6:15" ht="15" customHeight="1" x14ac:dyDescent="0.25">
      <c r="F1143" s="330"/>
      <c r="O1143" s="787"/>
    </row>
    <row r="1144" spans="6:15" ht="15" customHeight="1" x14ac:dyDescent="0.25">
      <c r="F1144" s="330"/>
      <c r="O1144" s="787"/>
    </row>
    <row r="1145" spans="6:15" ht="15" customHeight="1" x14ac:dyDescent="0.25">
      <c r="F1145" s="330"/>
      <c r="O1145" s="787"/>
    </row>
    <row r="1146" spans="6:15" ht="15" customHeight="1" x14ac:dyDescent="0.25">
      <c r="F1146" s="330"/>
      <c r="O1146" s="787"/>
    </row>
    <row r="1147" spans="6:15" ht="15" customHeight="1" x14ac:dyDescent="0.25">
      <c r="F1147" s="330"/>
      <c r="O1147" s="787"/>
    </row>
    <row r="1148" spans="6:15" ht="15" customHeight="1" x14ac:dyDescent="0.25">
      <c r="F1148" s="330"/>
      <c r="O1148" s="787"/>
    </row>
    <row r="1149" spans="6:15" ht="15" customHeight="1" x14ac:dyDescent="0.25">
      <c r="F1149" s="330"/>
      <c r="O1149" s="787"/>
    </row>
    <row r="1150" spans="6:15" ht="15" customHeight="1" x14ac:dyDescent="0.25">
      <c r="F1150" s="330"/>
      <c r="O1150" s="787"/>
    </row>
    <row r="1151" spans="6:15" ht="15" customHeight="1" x14ac:dyDescent="0.25">
      <c r="F1151" s="330"/>
      <c r="O1151" s="787"/>
    </row>
    <row r="1152" spans="6:15" ht="15" customHeight="1" x14ac:dyDescent="0.25">
      <c r="F1152" s="330"/>
      <c r="O1152" s="787"/>
    </row>
    <row r="1153" spans="6:15" ht="15" customHeight="1" x14ac:dyDescent="0.25">
      <c r="F1153" s="330"/>
      <c r="O1153" s="787"/>
    </row>
    <row r="1154" spans="6:15" ht="15" customHeight="1" x14ac:dyDescent="0.25">
      <c r="F1154" s="330"/>
      <c r="O1154" s="787"/>
    </row>
    <row r="1155" spans="6:15" ht="15" customHeight="1" x14ac:dyDescent="0.25">
      <c r="F1155" s="330"/>
      <c r="O1155" s="787"/>
    </row>
    <row r="1156" spans="6:15" ht="15" customHeight="1" x14ac:dyDescent="0.25">
      <c r="F1156" s="330"/>
      <c r="O1156" s="787"/>
    </row>
    <row r="1157" spans="6:15" ht="15" customHeight="1" x14ac:dyDescent="0.25">
      <c r="F1157" s="330"/>
      <c r="O1157" s="787"/>
    </row>
    <row r="1158" spans="6:15" ht="15" customHeight="1" x14ac:dyDescent="0.25">
      <c r="F1158" s="330"/>
      <c r="O1158" s="787"/>
    </row>
    <row r="1159" spans="6:15" ht="15" customHeight="1" x14ac:dyDescent="0.25">
      <c r="F1159" s="330"/>
      <c r="O1159" s="787"/>
    </row>
    <row r="1160" spans="6:15" ht="15" customHeight="1" x14ac:dyDescent="0.25">
      <c r="F1160" s="330"/>
      <c r="O1160" s="787"/>
    </row>
    <row r="1161" spans="6:15" ht="15" customHeight="1" x14ac:dyDescent="0.25">
      <c r="F1161" s="330"/>
      <c r="O1161" s="787"/>
    </row>
    <row r="1162" spans="6:15" ht="15" customHeight="1" x14ac:dyDescent="0.25">
      <c r="F1162" s="330"/>
      <c r="O1162" s="787"/>
    </row>
    <row r="1163" spans="6:15" ht="15" customHeight="1" x14ac:dyDescent="0.25">
      <c r="F1163" s="330"/>
      <c r="O1163" s="787"/>
    </row>
    <row r="1164" spans="6:15" ht="15" customHeight="1" x14ac:dyDescent="0.25">
      <c r="F1164" s="330"/>
      <c r="O1164" s="787"/>
    </row>
    <row r="1165" spans="6:15" ht="15" customHeight="1" x14ac:dyDescent="0.25">
      <c r="F1165" s="330"/>
      <c r="O1165" s="787"/>
    </row>
    <row r="1166" spans="6:15" ht="15" customHeight="1" x14ac:dyDescent="0.25">
      <c r="F1166" s="330"/>
      <c r="O1166" s="787"/>
    </row>
    <row r="1167" spans="6:15" ht="15" customHeight="1" x14ac:dyDescent="0.25">
      <c r="F1167" s="330"/>
      <c r="O1167" s="787"/>
    </row>
    <row r="1168" spans="6:15" ht="15" customHeight="1" x14ac:dyDescent="0.25">
      <c r="F1168" s="330"/>
      <c r="O1168" s="787"/>
    </row>
    <row r="1169" spans="6:15" ht="15" customHeight="1" x14ac:dyDescent="0.25">
      <c r="F1169" s="330"/>
      <c r="O1169" s="787"/>
    </row>
    <row r="1170" spans="6:15" ht="15" customHeight="1" x14ac:dyDescent="0.25">
      <c r="F1170" s="330"/>
      <c r="O1170" s="787"/>
    </row>
    <row r="1171" spans="6:15" ht="15" customHeight="1" x14ac:dyDescent="0.25">
      <c r="F1171" s="330"/>
      <c r="O1171" s="787"/>
    </row>
    <row r="1172" spans="6:15" ht="15" customHeight="1" x14ac:dyDescent="0.25">
      <c r="F1172" s="330"/>
      <c r="O1172" s="787"/>
    </row>
    <row r="1173" spans="6:15" ht="15" customHeight="1" x14ac:dyDescent="0.25">
      <c r="F1173" s="330"/>
      <c r="O1173" s="787"/>
    </row>
    <row r="1174" spans="6:15" ht="15" customHeight="1" x14ac:dyDescent="0.25">
      <c r="F1174" s="330"/>
      <c r="O1174" s="787"/>
    </row>
    <row r="1175" spans="6:15" ht="15" customHeight="1" x14ac:dyDescent="0.25">
      <c r="F1175" s="330"/>
      <c r="O1175" s="787"/>
    </row>
    <row r="1176" spans="6:15" ht="15" customHeight="1" x14ac:dyDescent="0.25">
      <c r="F1176" s="330"/>
      <c r="O1176" s="787"/>
    </row>
    <row r="1177" spans="6:15" ht="15" customHeight="1" x14ac:dyDescent="0.25">
      <c r="F1177" s="330"/>
      <c r="O1177" s="787"/>
    </row>
    <row r="1178" spans="6:15" ht="15" customHeight="1" x14ac:dyDescent="0.25">
      <c r="F1178" s="330"/>
      <c r="O1178" s="787"/>
    </row>
    <row r="1179" spans="6:15" ht="15" customHeight="1" x14ac:dyDescent="0.25">
      <c r="F1179" s="330"/>
      <c r="O1179" s="787"/>
    </row>
    <row r="1180" spans="6:15" ht="15" customHeight="1" x14ac:dyDescent="0.25">
      <c r="F1180" s="330"/>
      <c r="O1180" s="787"/>
    </row>
    <row r="1181" spans="6:15" ht="15" customHeight="1" x14ac:dyDescent="0.25">
      <c r="F1181" s="330"/>
      <c r="O1181" s="787"/>
    </row>
    <row r="1182" spans="6:15" ht="15" customHeight="1" x14ac:dyDescent="0.25">
      <c r="F1182" s="330"/>
      <c r="O1182" s="787"/>
    </row>
    <row r="1183" spans="6:15" ht="15" customHeight="1" x14ac:dyDescent="0.25">
      <c r="F1183" s="330"/>
      <c r="O1183" s="787"/>
    </row>
    <row r="1184" spans="6:15" ht="15" customHeight="1" x14ac:dyDescent="0.25">
      <c r="F1184" s="330"/>
      <c r="O1184" s="787"/>
    </row>
    <row r="1185" spans="6:15" ht="15" customHeight="1" x14ac:dyDescent="0.25">
      <c r="F1185" s="330"/>
      <c r="O1185" s="787"/>
    </row>
    <row r="1186" spans="6:15" ht="15" customHeight="1" x14ac:dyDescent="0.25">
      <c r="F1186" s="330"/>
      <c r="O1186" s="787"/>
    </row>
    <row r="1187" spans="6:15" ht="15" customHeight="1" x14ac:dyDescent="0.25">
      <c r="F1187" s="330"/>
      <c r="O1187" s="787"/>
    </row>
    <row r="1188" spans="6:15" ht="15" customHeight="1" x14ac:dyDescent="0.25">
      <c r="F1188" s="330"/>
      <c r="O1188" s="787"/>
    </row>
    <row r="1189" spans="6:15" ht="15" customHeight="1" x14ac:dyDescent="0.25">
      <c r="F1189" s="330"/>
      <c r="O1189" s="787"/>
    </row>
    <row r="1190" spans="6:15" ht="15" customHeight="1" x14ac:dyDescent="0.25">
      <c r="F1190" s="330"/>
      <c r="O1190" s="787"/>
    </row>
    <row r="1191" spans="6:15" ht="15" customHeight="1" x14ac:dyDescent="0.25">
      <c r="F1191" s="330"/>
      <c r="O1191" s="787"/>
    </row>
    <row r="1192" spans="6:15" ht="15" customHeight="1" x14ac:dyDescent="0.25">
      <c r="F1192" s="330"/>
      <c r="O1192" s="787"/>
    </row>
    <row r="1193" spans="6:15" ht="15" customHeight="1" x14ac:dyDescent="0.25">
      <c r="F1193" s="330"/>
      <c r="O1193" s="787"/>
    </row>
    <row r="1194" spans="6:15" ht="15" customHeight="1" x14ac:dyDescent="0.25">
      <c r="F1194" s="330"/>
      <c r="O1194" s="787"/>
    </row>
    <row r="1195" spans="6:15" ht="15" customHeight="1" x14ac:dyDescent="0.25">
      <c r="F1195" s="330"/>
      <c r="O1195" s="787"/>
    </row>
    <row r="1196" spans="6:15" ht="15" customHeight="1" x14ac:dyDescent="0.25">
      <c r="F1196" s="330"/>
      <c r="O1196" s="787"/>
    </row>
    <row r="1197" spans="6:15" ht="15" customHeight="1" x14ac:dyDescent="0.25">
      <c r="F1197" s="330"/>
      <c r="O1197" s="787"/>
    </row>
    <row r="1198" spans="6:15" ht="15" customHeight="1" x14ac:dyDescent="0.25">
      <c r="F1198" s="330"/>
      <c r="O1198" s="787"/>
    </row>
    <row r="1199" spans="6:15" ht="15" customHeight="1" x14ac:dyDescent="0.25">
      <c r="F1199" s="330"/>
      <c r="O1199" s="787"/>
    </row>
    <row r="1200" spans="6:15" ht="15" customHeight="1" x14ac:dyDescent="0.25">
      <c r="F1200" s="330"/>
      <c r="O1200" s="787"/>
    </row>
    <row r="1201" spans="6:15" ht="15" customHeight="1" x14ac:dyDescent="0.25">
      <c r="F1201" s="330"/>
      <c r="O1201" s="787"/>
    </row>
    <row r="1202" spans="6:15" ht="15" customHeight="1" x14ac:dyDescent="0.25">
      <c r="F1202" s="330"/>
      <c r="O1202" s="787"/>
    </row>
    <row r="1203" spans="6:15" ht="15" customHeight="1" x14ac:dyDescent="0.25">
      <c r="F1203" s="330"/>
      <c r="O1203" s="787"/>
    </row>
    <row r="1204" spans="6:15" ht="15" customHeight="1" x14ac:dyDescent="0.25">
      <c r="F1204" s="330"/>
      <c r="O1204" s="787"/>
    </row>
    <row r="1205" spans="6:15" ht="15" customHeight="1" x14ac:dyDescent="0.25">
      <c r="F1205" s="330"/>
      <c r="O1205" s="787"/>
    </row>
    <row r="1206" spans="6:15" ht="15" customHeight="1" x14ac:dyDescent="0.25">
      <c r="F1206" s="330"/>
      <c r="O1206" s="787"/>
    </row>
    <row r="1207" spans="6:15" ht="15" customHeight="1" x14ac:dyDescent="0.25">
      <c r="F1207" s="330"/>
      <c r="O1207" s="787"/>
    </row>
    <row r="1208" spans="6:15" ht="15" customHeight="1" x14ac:dyDescent="0.25">
      <c r="F1208" s="330"/>
      <c r="O1208" s="787"/>
    </row>
    <row r="1209" spans="6:15" ht="15" customHeight="1" x14ac:dyDescent="0.25">
      <c r="F1209" s="330"/>
      <c r="O1209" s="787"/>
    </row>
    <row r="1210" spans="6:15" ht="15" customHeight="1" x14ac:dyDescent="0.25">
      <c r="F1210" s="330"/>
      <c r="O1210" s="787"/>
    </row>
    <row r="1211" spans="6:15" ht="15" customHeight="1" x14ac:dyDescent="0.25">
      <c r="F1211" s="330"/>
      <c r="O1211" s="787"/>
    </row>
    <row r="1212" spans="6:15" ht="15" customHeight="1" x14ac:dyDescent="0.25">
      <c r="F1212" s="330"/>
      <c r="O1212" s="787"/>
    </row>
    <row r="1213" spans="6:15" ht="15" customHeight="1" x14ac:dyDescent="0.25">
      <c r="F1213" s="330"/>
      <c r="O1213" s="787"/>
    </row>
    <row r="1214" spans="6:15" ht="15" customHeight="1" x14ac:dyDescent="0.25">
      <c r="F1214" s="330"/>
      <c r="O1214" s="787"/>
    </row>
    <row r="1215" spans="6:15" ht="15" customHeight="1" x14ac:dyDescent="0.25">
      <c r="F1215" s="330"/>
      <c r="O1215" s="787"/>
    </row>
    <row r="1216" spans="6:15" ht="15" customHeight="1" x14ac:dyDescent="0.25">
      <c r="F1216" s="330"/>
      <c r="O1216" s="787"/>
    </row>
    <row r="1217" spans="6:15" ht="15" customHeight="1" x14ac:dyDescent="0.25">
      <c r="F1217" s="330"/>
      <c r="O1217" s="787"/>
    </row>
    <row r="1218" spans="6:15" ht="15" customHeight="1" x14ac:dyDescent="0.25">
      <c r="F1218" s="330"/>
      <c r="O1218" s="787"/>
    </row>
    <row r="1219" spans="6:15" ht="15" customHeight="1" x14ac:dyDescent="0.25">
      <c r="F1219" s="330"/>
      <c r="O1219" s="787"/>
    </row>
    <row r="1220" spans="6:15" ht="15" customHeight="1" x14ac:dyDescent="0.25">
      <c r="F1220" s="330"/>
      <c r="O1220" s="787"/>
    </row>
    <row r="1221" spans="6:15" ht="15" customHeight="1" x14ac:dyDescent="0.25">
      <c r="F1221" s="330"/>
      <c r="O1221" s="787"/>
    </row>
    <row r="1222" spans="6:15" ht="15" customHeight="1" x14ac:dyDescent="0.25">
      <c r="F1222" s="330"/>
      <c r="O1222" s="787"/>
    </row>
    <row r="1223" spans="6:15" ht="15" customHeight="1" x14ac:dyDescent="0.25">
      <c r="F1223" s="330"/>
      <c r="O1223" s="787"/>
    </row>
    <row r="1224" spans="6:15" ht="15" customHeight="1" x14ac:dyDescent="0.25">
      <c r="F1224" s="330"/>
      <c r="O1224" s="787"/>
    </row>
    <row r="1225" spans="6:15" ht="15" customHeight="1" x14ac:dyDescent="0.25">
      <c r="F1225" s="330"/>
      <c r="O1225" s="787"/>
    </row>
    <row r="1226" spans="6:15" ht="15" customHeight="1" x14ac:dyDescent="0.25">
      <c r="F1226" s="330"/>
      <c r="O1226" s="787"/>
    </row>
    <row r="1227" spans="6:15" ht="15" customHeight="1" x14ac:dyDescent="0.25">
      <c r="F1227" s="330"/>
      <c r="O1227" s="787"/>
    </row>
    <row r="1228" spans="6:15" ht="15" customHeight="1" x14ac:dyDescent="0.25">
      <c r="F1228" s="330"/>
      <c r="O1228" s="787"/>
    </row>
    <row r="1229" spans="6:15" ht="15" customHeight="1" x14ac:dyDescent="0.25">
      <c r="F1229" s="330"/>
    </row>
  </sheetData>
  <sheetProtection algorithmName="SHA-512" hashValue="gJoC4PJgfwJCrY6CjjkL6RmmoF8elGrwJzWCwNgvjwB3kIRVEcgfT1giEpYzQ9sdoglG1D73jO3opIgVTJULaw==" saltValue="5CUW9B0pPgcs3u77fgngxg==" spinCount="100000" sheet="1" objects="1" scenarios="1"/>
  <mergeCells count="89">
    <mergeCell ref="M41:N41"/>
    <mergeCell ref="M45:N45"/>
    <mergeCell ref="M46:N46"/>
    <mergeCell ref="M19:N19"/>
    <mergeCell ref="M20:N20"/>
    <mergeCell ref="M24:N24"/>
    <mergeCell ref="M25:N25"/>
    <mergeCell ref="M26:N26"/>
    <mergeCell ref="M27:N27"/>
    <mergeCell ref="M28:N28"/>
    <mergeCell ref="M32:N32"/>
    <mergeCell ref="M33:N33"/>
    <mergeCell ref="M21:N21"/>
    <mergeCell ref="M65:N65"/>
    <mergeCell ref="M66:N66"/>
    <mergeCell ref="M67:N67"/>
    <mergeCell ref="M68:N68"/>
    <mergeCell ref="M69:N69"/>
    <mergeCell ref="M51:N51"/>
    <mergeCell ref="M58:N58"/>
    <mergeCell ref="M59:N59"/>
    <mergeCell ref="M47:N47"/>
    <mergeCell ref="M48:N48"/>
    <mergeCell ref="M49:N49"/>
    <mergeCell ref="M53:N53"/>
    <mergeCell ref="M54:N54"/>
    <mergeCell ref="M50:N50"/>
    <mergeCell ref="D1:L1"/>
    <mergeCell ref="A32:B35"/>
    <mergeCell ref="A1:C1"/>
    <mergeCell ref="A2:O2"/>
    <mergeCell ref="D3:D4"/>
    <mergeCell ref="E3:E4"/>
    <mergeCell ref="L3:L4"/>
    <mergeCell ref="H3:H4"/>
    <mergeCell ref="I3:I4"/>
    <mergeCell ref="J3:J4"/>
    <mergeCell ref="K3:K4"/>
    <mergeCell ref="F3:F4"/>
    <mergeCell ref="A5:C5"/>
    <mergeCell ref="B7:C7"/>
    <mergeCell ref="C3:C4"/>
    <mergeCell ref="M6:N6"/>
    <mergeCell ref="M16:N16"/>
    <mergeCell ref="M17:N17"/>
    <mergeCell ref="M18:N18"/>
    <mergeCell ref="M8:N8"/>
    <mergeCell ref="M9:N9"/>
    <mergeCell ref="M10:N10"/>
    <mergeCell ref="M11:N11"/>
    <mergeCell ref="M12:N12"/>
    <mergeCell ref="B64:C64"/>
    <mergeCell ref="A62:B62"/>
    <mergeCell ref="A37:B43"/>
    <mergeCell ref="A8:B14"/>
    <mergeCell ref="A31:F31"/>
    <mergeCell ref="B61:C61"/>
    <mergeCell ref="M63:N63"/>
    <mergeCell ref="M22:N22"/>
    <mergeCell ref="M29:N29"/>
    <mergeCell ref="M30:N30"/>
    <mergeCell ref="M42:N42"/>
    <mergeCell ref="M43:N43"/>
    <mergeCell ref="M34:N34"/>
    <mergeCell ref="M35:N35"/>
    <mergeCell ref="M37:N37"/>
    <mergeCell ref="M38:N38"/>
    <mergeCell ref="M39:N39"/>
    <mergeCell ref="M40:N40"/>
    <mergeCell ref="M55:N55"/>
    <mergeCell ref="M56:N56"/>
    <mergeCell ref="M57:N57"/>
    <mergeCell ref="M62:N62"/>
    <mergeCell ref="M3:N4"/>
    <mergeCell ref="G3:G4"/>
    <mergeCell ref="A3:B4"/>
    <mergeCell ref="A6:B6"/>
    <mergeCell ref="A60:F60"/>
    <mergeCell ref="B15:C15"/>
    <mergeCell ref="A16:B22"/>
    <mergeCell ref="B23:C23"/>
    <mergeCell ref="A24:B30"/>
    <mergeCell ref="A53:B59"/>
    <mergeCell ref="B44:C44"/>
    <mergeCell ref="B36:C36"/>
    <mergeCell ref="B52:C52"/>
    <mergeCell ref="A45:B51"/>
    <mergeCell ref="M13:N13"/>
    <mergeCell ref="M14:N14"/>
  </mergeCells>
  <conditionalFormatting sqref="K6:K80">
    <cfRule type="expression" dxfId="283" priority="16">
      <formula>H6=1</formula>
    </cfRule>
  </conditionalFormatting>
  <conditionalFormatting sqref="I7:I80">
    <cfRule type="cellIs" dxfId="282" priority="8" operator="lessThan">
      <formula>0</formula>
    </cfRule>
  </conditionalFormatting>
  <conditionalFormatting sqref="L6:L80">
    <cfRule type="cellIs" dxfId="281" priority="6" operator="greaterThan">
      <formula>0</formula>
    </cfRule>
    <cfRule type="cellIs" dxfId="280" priority="7" operator="equal">
      <formula>0</formula>
    </cfRule>
  </conditionalFormatting>
  <conditionalFormatting sqref="O6:O80">
    <cfRule type="containsText" dxfId="279" priority="9" operator="containsText" text="Expired">
      <formula>NOT(ISERROR(SEARCH("Expired",O6)))</formula>
    </cfRule>
    <cfRule type="containsText" dxfId="278" priority="10" operator="containsText" text="B1">
      <formula>NOT(ISERROR(SEARCH("B1",O6)))</formula>
    </cfRule>
    <cfRule type="containsText" dxfId="277" priority="11" operator="containsText" text="LCA">
      <formula>NOT(ISERROR(SEARCH("LCA",O6)))</formula>
    </cfRule>
    <cfRule type="containsText" dxfId="276" priority="12" operator="containsText" text="ICE">
      <formula>NOT(ISERROR(SEARCH("ICE",O6)))</formula>
    </cfRule>
    <cfRule type="containsText" dxfId="275" priority="13" operator="containsText" text="No">
      <formula>NOT(ISERROR(SEARCH("No",O6)))</formula>
    </cfRule>
    <cfRule type="containsText" dxfId="274" priority="14" operator="containsText" text="None">
      <formula>NOT(ISERROR(SEARCH("None",O6)))</formula>
    </cfRule>
    <cfRule type="containsText" dxfId="273" priority="15" operator="containsText" text="A1-">
      <formula>NOT(ISERROR(SEARCH("A1-",O6)))</formula>
    </cfRule>
  </conditionalFormatting>
  <conditionalFormatting sqref="P4">
    <cfRule type="cellIs" dxfId="272" priority="2" operator="greaterThan">
      <formula>0</formula>
    </cfRule>
    <cfRule type="cellIs" dxfId="271" priority="3" operator="equal">
      <formula>0</formula>
    </cfRule>
  </conditionalFormatting>
  <conditionalFormatting sqref="O4">
    <cfRule type="expression" dxfId="270" priority="1">
      <formula>COUNTIF($H:$H, 1)&gt;0</formula>
    </cfRule>
  </conditionalFormatting>
  <dataValidations disablePrompts="1" count="1">
    <dataValidation type="whole" errorStyle="warning" operator="equal" allowBlank="1" showErrorMessage="1" errorTitle="Enter 1 to select" error="Options:_x000a_To select item, enter '1'_x000a_To unselect, leave cell empty" sqref="H6 H8:H35 H37:H69" xr:uid="{00000000-0002-0000-0B00-000000000000}">
      <formula1>1</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6">
    <tabColor theme="9" tint="0.59999389629810485"/>
  </sheetPr>
  <dimension ref="A1:AA1393"/>
  <sheetViews>
    <sheetView zoomScale="80" zoomScaleNormal="80" workbookViewId="0">
      <pane ySplit="5" topLeftCell="A6" activePane="bottomLeft" state="frozen"/>
      <selection activeCell="L34" activeCellId="1" sqref="H6 L34"/>
      <selection pane="bottomLeft" activeCell="A6" sqref="A6:C6"/>
    </sheetView>
  </sheetViews>
  <sheetFormatPr defaultColWidth="11.36328125" defaultRowHeight="15" customHeight="1" x14ac:dyDescent="0.25"/>
  <cols>
    <col min="1" max="1" width="8.6328125" customWidth="1"/>
    <col min="2" max="2" width="13.08984375" customWidth="1"/>
    <col min="3" max="3" width="57.54296875" customWidth="1"/>
    <col min="4" max="4" width="19.81640625" style="712" customWidth="1"/>
    <col min="5" max="5" width="5.6328125" customWidth="1"/>
    <col min="6" max="6" width="6.6328125" style="331" customWidth="1"/>
    <col min="7" max="7" width="2.36328125" customWidth="1"/>
    <col min="8" max="8" width="6.6328125" customWidth="1"/>
    <col min="9" max="9" width="13.6328125" style="714" hidden="1" customWidth="1"/>
    <col min="10" max="10" width="16.6328125" style="714" hidden="1" customWidth="1"/>
    <col min="11" max="12" width="13.6328125" style="714" customWidth="1"/>
    <col min="13" max="13" width="12.6328125" style="714" customWidth="1"/>
    <col min="14" max="14" width="35.90625" style="714" customWidth="1"/>
    <col min="15" max="15" width="28.6328125" customWidth="1"/>
    <col min="16" max="16" width="27.81640625" style="620" customWidth="1"/>
    <col min="17" max="17" width="15.08984375" style="757" customWidth="1"/>
    <col min="18" max="18" width="12.81640625" style="757" customWidth="1"/>
    <col min="19" max="26" width="10.54296875" style="619" customWidth="1"/>
    <col min="27" max="16384" width="11.36328125" style="619"/>
  </cols>
  <sheetData>
    <row r="1" spans="1:27" ht="54.75" customHeight="1" x14ac:dyDescent="0.25">
      <c r="A1" s="1528" t="s">
        <v>3431</v>
      </c>
      <c r="B1" s="1529"/>
      <c r="C1" s="1530"/>
      <c r="D1" s="1608" t="s">
        <v>1642</v>
      </c>
      <c r="E1" s="1608"/>
      <c r="F1" s="1608"/>
      <c r="G1" s="1608"/>
      <c r="H1" s="1608"/>
      <c r="I1" s="1608"/>
      <c r="J1" s="1608"/>
      <c r="K1" s="1608"/>
      <c r="L1" s="1608"/>
      <c r="M1" s="1609"/>
      <c r="N1" s="1609"/>
      <c r="O1" s="1608"/>
      <c r="P1" s="618"/>
    </row>
    <row r="2" spans="1:27" ht="19.2" customHeight="1" x14ac:dyDescent="0.3">
      <c r="A2" s="1591" t="s">
        <v>7209</v>
      </c>
      <c r="B2" s="1591"/>
      <c r="C2" s="1591"/>
      <c r="D2" s="1591"/>
      <c r="E2" s="1591"/>
      <c r="F2" s="1591"/>
      <c r="G2" s="1591"/>
      <c r="H2" s="1591"/>
      <c r="I2" s="1591"/>
      <c r="J2" s="1591"/>
      <c r="K2" s="1591"/>
      <c r="L2" s="1591"/>
      <c r="M2" s="1591"/>
      <c r="N2" s="1591"/>
      <c r="O2" s="1591"/>
      <c r="AA2" s="621"/>
    </row>
    <row r="3" spans="1:27" s="624" customFormat="1" ht="60" customHeight="1" x14ac:dyDescent="0.25">
      <c r="A3" s="1537" t="s">
        <v>1031</v>
      </c>
      <c r="B3" s="1537"/>
      <c r="C3" s="1537" t="s">
        <v>13</v>
      </c>
      <c r="D3" s="1532" t="s">
        <v>1583</v>
      </c>
      <c r="E3" s="1534"/>
      <c r="F3" s="1537" t="s">
        <v>14</v>
      </c>
      <c r="G3" s="1537"/>
      <c r="H3" s="1538" t="s">
        <v>3417</v>
      </c>
      <c r="I3" s="1526" t="s">
        <v>7157</v>
      </c>
      <c r="J3" s="1526" t="s">
        <v>7158</v>
      </c>
      <c r="K3" s="1535" t="s">
        <v>900</v>
      </c>
      <c r="L3" s="1535" t="s">
        <v>7156</v>
      </c>
      <c r="M3" s="1520" t="s">
        <v>7165</v>
      </c>
      <c r="N3" s="1520"/>
      <c r="O3" s="622" t="s">
        <v>7189</v>
      </c>
      <c r="P3" s="622" t="s">
        <v>7203</v>
      </c>
      <c r="Q3" s="728"/>
      <c r="R3" s="728"/>
      <c r="S3" s="623"/>
      <c r="T3" s="623"/>
      <c r="U3" s="623"/>
      <c r="V3" s="623"/>
      <c r="W3" s="623"/>
      <c r="X3" s="623"/>
      <c r="Y3" s="623"/>
      <c r="Z3" s="623"/>
      <c r="AA3" s="623"/>
    </row>
    <row r="4" spans="1:27" s="624" customFormat="1" ht="30.15" customHeight="1" x14ac:dyDescent="0.3">
      <c r="A4" s="1537"/>
      <c r="B4" s="1537"/>
      <c r="C4" s="1537"/>
      <c r="D4" s="1533"/>
      <c r="E4" s="1523"/>
      <c r="F4" s="1537"/>
      <c r="G4" s="1537"/>
      <c r="H4" s="1539"/>
      <c r="I4" s="1527"/>
      <c r="J4" s="1527"/>
      <c r="K4" s="1536"/>
      <c r="L4" s="1536"/>
      <c r="M4" s="1520"/>
      <c r="N4" s="1520"/>
      <c r="O4" s="405">
        <f>SUMIF(H6:H314, 1, K6:K314)</f>
        <v>0</v>
      </c>
      <c r="P4" s="425">
        <f>SUMIF(H6:H314, 1, L6:L314)</f>
        <v>0</v>
      </c>
      <c r="Q4" s="728"/>
      <c r="R4" s="728"/>
      <c r="AA4" s="627"/>
    </row>
    <row r="5" spans="1:27" s="624" customFormat="1" ht="30.15" customHeight="1" x14ac:dyDescent="0.3">
      <c r="A5" s="798" t="s">
        <v>1656</v>
      </c>
      <c r="B5" s="799"/>
      <c r="C5" s="799"/>
      <c r="D5" s="800"/>
      <c r="E5" s="801"/>
      <c r="F5" s="802"/>
      <c r="G5" s="802"/>
      <c r="H5" s="803"/>
      <c r="I5" s="804"/>
      <c r="J5" s="804"/>
      <c r="K5" s="804"/>
      <c r="L5" s="804"/>
      <c r="M5" s="804"/>
      <c r="N5" s="804"/>
      <c r="O5" s="805"/>
      <c r="P5" s="805"/>
      <c r="Q5" s="626" t="s">
        <v>107</v>
      </c>
      <c r="R5" s="626" t="s">
        <v>1072</v>
      </c>
      <c r="S5" s="627" t="s">
        <v>749</v>
      </c>
      <c r="T5" s="627" t="s">
        <v>108</v>
      </c>
      <c r="AA5" s="638"/>
    </row>
    <row r="6" spans="1:27" s="624" customFormat="1" ht="54.75" customHeight="1" x14ac:dyDescent="0.25">
      <c r="A6" s="1522" t="s">
        <v>1608</v>
      </c>
      <c r="B6" s="1523"/>
      <c r="C6" s="1523"/>
      <c r="D6" s="629" t="s">
        <v>38</v>
      </c>
      <c r="E6" s="1"/>
      <c r="F6" s="323" t="str">
        <f>IF(LOWER(Setting!rng_language)="english","in","po")</f>
        <v>in</v>
      </c>
      <c r="G6" s="650"/>
      <c r="H6" s="650"/>
      <c r="I6" s="651"/>
      <c r="J6" s="651"/>
      <c r="K6" s="652"/>
      <c r="L6" s="759"/>
      <c r="M6" s="759"/>
      <c r="N6" s="759"/>
      <c r="O6" s="637"/>
      <c r="P6" s="637"/>
      <c r="Q6" s="29"/>
      <c r="R6" s="728"/>
      <c r="T6" s="638"/>
      <c r="U6" s="638"/>
      <c r="V6" s="638"/>
      <c r="W6" s="638"/>
      <c r="X6" s="638"/>
      <c r="Y6" s="638"/>
      <c r="Z6" s="638"/>
      <c r="AA6" s="638"/>
    </row>
    <row r="7" spans="1:27" s="624" customFormat="1" ht="23.25" customHeight="1" x14ac:dyDescent="0.25">
      <c r="A7" s="639"/>
      <c r="B7" s="1524" t="s">
        <v>6836</v>
      </c>
      <c r="C7" s="1523"/>
      <c r="D7" s="640"/>
      <c r="E7" s="641"/>
      <c r="F7" s="325"/>
      <c r="G7" s="678"/>
      <c r="H7" s="679"/>
      <c r="I7" s="733"/>
      <c r="J7" s="733"/>
      <c r="K7" s="698"/>
      <c r="L7" s="698"/>
      <c r="M7" s="698"/>
      <c r="N7" s="698"/>
      <c r="O7" s="772"/>
      <c r="P7" s="637"/>
      <c r="Q7" s="29"/>
      <c r="R7" s="728"/>
      <c r="T7" s="638"/>
      <c r="U7" s="638"/>
      <c r="V7" s="638"/>
      <c r="W7" s="638"/>
      <c r="X7" s="638"/>
      <c r="Y7" s="638"/>
      <c r="Z7" s="638"/>
      <c r="AA7" s="638"/>
    </row>
    <row r="8" spans="1:27" ht="22.8" x14ac:dyDescent="0.25">
      <c r="A8" s="1542"/>
      <c r="B8" s="1542"/>
      <c r="C8" s="669" t="str">
        <f>INDEX('Master sheet'!$A$1:$A$670,MATCH("248-1",'Master sheet'!$AN$1:$AN$670,0))</f>
        <v xml:space="preserve">Wood - SPF / Canadian Wood Council / British Columbia / </v>
      </c>
      <c r="D8" s="15">
        <f>'USER INPUT SHEET'!$D$40</f>
        <v>0</v>
      </c>
      <c r="E8" s="16" t="str">
        <f>'USER INPUT SHEET'!$F$40</f>
        <v>m2</v>
      </c>
      <c r="F8" s="3">
        <v>1</v>
      </c>
      <c r="G8" s="670"/>
      <c r="H8" s="8"/>
      <c r="I8" s="92">
        <f t="shared" ref="I8:I13" si="0">K8-L8-IF(N8,M8,0)</f>
        <v>0</v>
      </c>
      <c r="J8" s="93" t="str">
        <f t="shared" ref="J8:J13" si="1">IF(H8=1,I8,"")</f>
        <v/>
      </c>
      <c r="K8" s="406">
        <f>$F8*IF($E$6=16,$D8*0.25,$D8*0.22)*VLOOKUP($C8,'Master sheet'!$A:$AL,13,FALSE)*0.0889</f>
        <v>0</v>
      </c>
      <c r="L8" s="94">
        <f>$F8*IF($E$6=16,$D8*0.25,$D8*0.22)*VLOOKUP($C8,'Master sheet'!$A:$AL,27,FALSE)*0.0889</f>
        <v>0</v>
      </c>
      <c r="M8" s="1562"/>
      <c r="N8" s="1562"/>
      <c r="O8" s="25" t="str">
        <f>_xlfn.IFNA(VLOOKUP($C8,'Master sheet'!$A:$AR,44,FALSE),"")&amp;""</f>
        <v/>
      </c>
      <c r="P8" s="685"/>
      <c r="Q8" s="765" t="s">
        <v>1642</v>
      </c>
      <c r="R8" s="757" t="s">
        <v>1734</v>
      </c>
      <c r="S8" s="770" t="s">
        <v>7250</v>
      </c>
      <c r="T8" s="665"/>
      <c r="U8" s="664"/>
      <c r="V8" s="664"/>
      <c r="W8" s="664"/>
      <c r="X8" s="664"/>
      <c r="Y8" s="664"/>
      <c r="Z8" s="664"/>
      <c r="AA8" s="638"/>
    </row>
    <row r="9" spans="1:27" ht="22.8" x14ac:dyDescent="0.25">
      <c r="A9" s="1542"/>
      <c r="B9" s="1542"/>
      <c r="C9" s="669" t="str">
        <f>INDEX('Master sheet'!$A$1:$A$670,MATCH("248-2",'Master sheet'!$AN$1:$AN$670,0))</f>
        <v xml:space="preserve">Wood - SPF / Canadian Wood Council / Alberta / </v>
      </c>
      <c r="D9" s="310">
        <f>'USER INPUT SHEET'!$D$40</f>
        <v>0</v>
      </c>
      <c r="E9" s="308" t="str">
        <f>'USER INPUT SHEET'!$F$40</f>
        <v>m2</v>
      </c>
      <c r="F9" s="311">
        <v>1</v>
      </c>
      <c r="G9" s="806"/>
      <c r="H9" s="312"/>
      <c r="I9" s="88">
        <f t="shared" si="0"/>
        <v>0</v>
      </c>
      <c r="J9" s="89" t="str">
        <f t="shared" si="1"/>
        <v/>
      </c>
      <c r="K9" s="404">
        <f>$F9*IF($E$6=16,$D9*0.25,$D9*0.22)*VLOOKUP($C9,'Master sheet'!$A:$AL,13,FALSE)*0.0889</f>
        <v>0</v>
      </c>
      <c r="L9" s="90">
        <f>$F9*IF($E$6=16,$D9*0.25,$D9*0.22)*VLOOKUP($C9,'Master sheet'!$A:$AL,27,FALSE)*0.0889</f>
        <v>0</v>
      </c>
      <c r="M9" s="1552"/>
      <c r="N9" s="1552"/>
      <c r="O9" s="25" t="str">
        <f>_xlfn.IFNA(VLOOKUP($C9,'Master sheet'!$A:$AR,44,FALSE),"")&amp;""</f>
        <v/>
      </c>
      <c r="P9" s="685"/>
      <c r="Q9" s="765" t="s">
        <v>1642</v>
      </c>
      <c r="R9" s="757" t="s">
        <v>1734</v>
      </c>
      <c r="S9" s="770" t="s">
        <v>7250</v>
      </c>
      <c r="T9" s="665"/>
      <c r="U9" s="664"/>
      <c r="V9" s="664"/>
      <c r="W9" s="664"/>
      <c r="X9" s="664"/>
      <c r="Y9" s="664"/>
      <c r="Z9" s="664"/>
      <c r="AA9" s="664"/>
    </row>
    <row r="10" spans="1:27" ht="22.8" x14ac:dyDescent="0.25">
      <c r="A10" s="1542"/>
      <c r="B10" s="1542"/>
      <c r="C10" s="669" t="str">
        <f>INDEX('Master sheet'!$A$1:$A$670,MATCH("248-3",'Master sheet'!$AN$1:$AN$670,0))</f>
        <v xml:space="preserve">Wood - SPF / Canadian Wood Council / Ontario / </v>
      </c>
      <c r="D10" s="310">
        <f>'USER INPUT SHEET'!$D$40</f>
        <v>0</v>
      </c>
      <c r="E10" s="308" t="str">
        <f>'USER INPUT SHEET'!$F$40</f>
        <v>m2</v>
      </c>
      <c r="F10" s="311">
        <v>1</v>
      </c>
      <c r="G10" s="806"/>
      <c r="H10" s="312"/>
      <c r="I10" s="88">
        <f t="shared" si="0"/>
        <v>0</v>
      </c>
      <c r="J10" s="89" t="str">
        <f t="shared" si="1"/>
        <v/>
      </c>
      <c r="K10" s="404">
        <f>$F10*IF($E$6=16,$D10*0.25,$D10*0.22)*VLOOKUP($C10,'Master sheet'!$A:$AL,13,FALSE)*0.0889</f>
        <v>0</v>
      </c>
      <c r="L10" s="90">
        <f>$F10*IF($E$6=16,$D10*0.25,$D10*0.22)*VLOOKUP($C10,'Master sheet'!$A:$AL,27,FALSE)*0.0889</f>
        <v>0</v>
      </c>
      <c r="M10" s="1552"/>
      <c r="N10" s="1552"/>
      <c r="O10" s="25" t="str">
        <f>_xlfn.IFNA(VLOOKUP($C10,'Master sheet'!$A:$AR,44,FALSE),"")&amp;""</f>
        <v/>
      </c>
      <c r="P10" s="685"/>
      <c r="Q10" s="765" t="s">
        <v>1642</v>
      </c>
      <c r="R10" s="757" t="s">
        <v>1734</v>
      </c>
      <c r="S10" s="770" t="s">
        <v>7250</v>
      </c>
      <c r="T10" s="665"/>
      <c r="U10" s="664"/>
      <c r="V10" s="664"/>
      <c r="W10" s="664"/>
      <c r="X10" s="664"/>
      <c r="Y10" s="664"/>
      <c r="Z10" s="664"/>
      <c r="AA10" s="664"/>
    </row>
    <row r="11" spans="1:27" ht="22.8" x14ac:dyDescent="0.25">
      <c r="A11" s="1542"/>
      <c r="B11" s="1542"/>
      <c r="C11" s="669" t="str">
        <f>INDEX('Master sheet'!$A$1:$A$670,MATCH("248-4",'Master sheet'!$AN$1:$AN$670,0))</f>
        <v xml:space="preserve">Wood - SPF / Canadian Wood Council / Quebec / </v>
      </c>
      <c r="D11" s="310">
        <f>'USER INPUT SHEET'!$D$40</f>
        <v>0</v>
      </c>
      <c r="E11" s="308" t="str">
        <f>'USER INPUT SHEET'!$F$40</f>
        <v>m2</v>
      </c>
      <c r="F11" s="311">
        <v>1</v>
      </c>
      <c r="G11" s="806"/>
      <c r="H11" s="312"/>
      <c r="I11" s="88">
        <f t="shared" si="0"/>
        <v>0</v>
      </c>
      <c r="J11" s="89" t="str">
        <f t="shared" si="1"/>
        <v/>
      </c>
      <c r="K11" s="404">
        <f>$F11*IF($E$6=16,$D11*0.25,$D11*0.22)*VLOOKUP($C11,'Master sheet'!$A:$AL,13,FALSE)*0.0889</f>
        <v>0</v>
      </c>
      <c r="L11" s="90">
        <f>$F11*IF($E$6=16,$D11*0.25,$D11*0.22)*VLOOKUP($C11,'Master sheet'!$A:$AL,27,FALSE)*0.0889</f>
        <v>0</v>
      </c>
      <c r="M11" s="1552"/>
      <c r="N11" s="1552"/>
      <c r="O11" s="25" t="str">
        <f>_xlfn.IFNA(VLOOKUP($C11,'Master sheet'!$A:$AR,44,FALSE),"")&amp;""</f>
        <v/>
      </c>
      <c r="P11" s="685"/>
      <c r="Q11" s="765" t="s">
        <v>1642</v>
      </c>
      <c r="R11" s="757" t="s">
        <v>1734</v>
      </c>
      <c r="S11" s="770" t="s">
        <v>7250</v>
      </c>
      <c r="T11" s="665"/>
      <c r="U11" s="664"/>
      <c r="V11" s="664"/>
      <c r="W11" s="664"/>
      <c r="X11" s="664"/>
      <c r="Y11" s="664"/>
      <c r="Z11" s="664"/>
      <c r="AA11" s="664"/>
    </row>
    <row r="12" spans="1:27" ht="22.8" x14ac:dyDescent="0.25">
      <c r="A12" s="1542"/>
      <c r="B12" s="1542"/>
      <c r="C12" s="669" t="str">
        <f>INDEX('Master sheet'!$A$1:$A$670,MATCH("248-5",'Master sheet'!$AN$1:$AN$670,0))</f>
        <v xml:space="preserve">Wood - SPF / Canadian Wood Council / New Brunswick / </v>
      </c>
      <c r="D12" s="310">
        <f>'USER INPUT SHEET'!$D$40</f>
        <v>0</v>
      </c>
      <c r="E12" s="308" t="str">
        <f>'USER INPUT SHEET'!$F$40</f>
        <v>m2</v>
      </c>
      <c r="F12" s="311">
        <v>1</v>
      </c>
      <c r="G12" s="806"/>
      <c r="H12" s="312"/>
      <c r="I12" s="88">
        <f t="shared" si="0"/>
        <v>0</v>
      </c>
      <c r="J12" s="89" t="str">
        <f t="shared" si="1"/>
        <v/>
      </c>
      <c r="K12" s="404">
        <f>$F12*IF($E$6=16,$D12*0.25,$D12*0.22)*VLOOKUP($C12,'Master sheet'!$A:$AL,13,FALSE)*0.0889</f>
        <v>0</v>
      </c>
      <c r="L12" s="90">
        <f>$F12*IF($E$6=16,$D12*0.25,$D12*0.22)*VLOOKUP($C12,'Master sheet'!$A:$AL,27,FALSE)*0.0889</f>
        <v>0</v>
      </c>
      <c r="M12" s="1552"/>
      <c r="N12" s="1552"/>
      <c r="O12" s="25" t="str">
        <f>_xlfn.IFNA(VLOOKUP($C12,'Master sheet'!$A:$AR,44,FALSE),"")&amp;""</f>
        <v/>
      </c>
      <c r="P12" s="685"/>
      <c r="Q12" s="765" t="s">
        <v>1642</v>
      </c>
      <c r="R12" s="757" t="s">
        <v>1734</v>
      </c>
      <c r="S12" s="770" t="s">
        <v>7250</v>
      </c>
      <c r="T12" s="665"/>
      <c r="U12" s="664"/>
      <c r="V12" s="664"/>
      <c r="W12" s="664"/>
      <c r="X12" s="664"/>
      <c r="Y12" s="664"/>
      <c r="Z12" s="664"/>
      <c r="AA12" s="664"/>
    </row>
    <row r="13" spans="1:27" ht="22.8" x14ac:dyDescent="0.25">
      <c r="A13" s="1542"/>
      <c r="B13" s="1542"/>
      <c r="C13" s="669" t="str">
        <f>INDEX('Master sheet'!$A$1:$A$670,MATCH("248-6",'Master sheet'!$AN$1:$AN$670,0))</f>
        <v xml:space="preserve">Wood - SPF / Canadian Wood Council / Atlantic Canada / </v>
      </c>
      <c r="D13" s="310">
        <f>'USER INPUT SHEET'!$D$40</f>
        <v>0</v>
      </c>
      <c r="E13" s="308" t="str">
        <f>'USER INPUT SHEET'!$F$40</f>
        <v>m2</v>
      </c>
      <c r="F13" s="311">
        <v>1</v>
      </c>
      <c r="G13" s="806"/>
      <c r="H13" s="312"/>
      <c r="I13" s="88">
        <f t="shared" si="0"/>
        <v>0</v>
      </c>
      <c r="J13" s="89" t="str">
        <f t="shared" si="1"/>
        <v/>
      </c>
      <c r="K13" s="404">
        <f>$F13*IF($E$6=16,$D13*0.25,$D13*0.22)*VLOOKUP($C13,'Master sheet'!$A:$AL,13,FALSE)*0.0889</f>
        <v>0</v>
      </c>
      <c r="L13" s="90">
        <f>$F13*IF($E$6=16,$D13*0.25,$D13*0.22)*VLOOKUP($C13,'Master sheet'!$A:$AL,27,FALSE)*0.0889</f>
        <v>0</v>
      </c>
      <c r="M13" s="1552"/>
      <c r="N13" s="1552"/>
      <c r="O13" s="25" t="str">
        <f>_xlfn.IFNA(VLOOKUP($C13,'Master sheet'!$A:$AR,44,FALSE),"")&amp;""</f>
        <v/>
      </c>
      <c r="P13" s="685"/>
      <c r="Q13" s="765" t="s">
        <v>1642</v>
      </c>
      <c r="R13" s="757" t="s">
        <v>1734</v>
      </c>
      <c r="S13" s="770" t="s">
        <v>7250</v>
      </c>
      <c r="T13" s="665"/>
      <c r="U13" s="664"/>
      <c r="V13" s="664"/>
      <c r="W13" s="664"/>
      <c r="X13" s="664"/>
      <c r="Y13" s="664"/>
      <c r="Z13" s="664"/>
      <c r="AA13" s="664"/>
    </row>
    <row r="14" spans="1:27" s="624" customFormat="1" ht="21" x14ac:dyDescent="0.25">
      <c r="A14" s="639"/>
      <c r="B14" s="1524" t="s">
        <v>6837</v>
      </c>
      <c r="C14" s="1523"/>
      <c r="D14" s="640"/>
      <c r="E14" s="641"/>
      <c r="F14" s="334"/>
      <c r="G14" s="678"/>
      <c r="H14" s="639"/>
      <c r="I14" s="733"/>
      <c r="J14" s="733"/>
      <c r="K14" s="698"/>
      <c r="L14" s="736"/>
      <c r="M14" s="736"/>
      <c r="N14" s="736"/>
      <c r="O14" s="25" t="str">
        <f>_xlfn.IFNA(VLOOKUP($C14,'Master sheet'!$A:$AR,44,FALSE),"")&amp;""</f>
        <v/>
      </c>
      <c r="P14" s="637"/>
      <c r="Q14" s="722"/>
      <c r="R14" s="722"/>
      <c r="S14" s="623"/>
      <c r="T14" s="638"/>
      <c r="U14" s="638"/>
      <c r="V14" s="638"/>
      <c r="W14" s="638"/>
      <c r="X14" s="638"/>
      <c r="Y14" s="638"/>
      <c r="Z14" s="638"/>
      <c r="AA14" s="664"/>
    </row>
    <row r="15" spans="1:27" ht="22.8" x14ac:dyDescent="0.25">
      <c r="A15" s="1542"/>
      <c r="B15" s="1542"/>
      <c r="C15" s="669" t="str">
        <f>INDEX('Master sheet'!$A$1:$A$670,MATCH("248-1",'Master sheet'!$AN$1:$AN$670,0))</f>
        <v xml:space="preserve">Wood - SPF / Canadian Wood Council / British Columbia / </v>
      </c>
      <c r="D15" s="15">
        <f>'USER INPUT SHEET'!$D$40</f>
        <v>0</v>
      </c>
      <c r="E15" s="16" t="str">
        <f>'USER INPUT SHEET'!$F$40</f>
        <v>m2</v>
      </c>
      <c r="F15" s="3">
        <v>1</v>
      </c>
      <c r="G15" s="670"/>
      <c r="H15" s="8"/>
      <c r="I15" s="92">
        <f t="shared" ref="I15:I20" si="2">K15-L15-IF(N15,M15,0)</f>
        <v>0</v>
      </c>
      <c r="J15" s="93" t="str">
        <f t="shared" ref="J15:J20" si="3">IF(H15=1,I15,"")</f>
        <v/>
      </c>
      <c r="K15" s="406">
        <f>$F15*IF($E$6=16,$D15*0.25,$D15*0.22)*VLOOKUP($C15,'Master sheet'!$A:$AL,13,FALSE)*0.1397</f>
        <v>0</v>
      </c>
      <c r="L15" s="94">
        <f>$F15*IF($E$6=16,$D15*0.25,$D15*0.22)*VLOOKUP($C15,'Master sheet'!$A:$AL,27,FALSE)*0.1397</f>
        <v>0</v>
      </c>
      <c r="M15" s="1562"/>
      <c r="N15" s="1562"/>
      <c r="O15" s="25" t="str">
        <f>_xlfn.IFNA(VLOOKUP($C15,'Master sheet'!$A:$AR,44,FALSE),"")&amp;""</f>
        <v/>
      </c>
      <c r="P15" s="685"/>
      <c r="Q15" s="765" t="s">
        <v>1642</v>
      </c>
      <c r="R15" s="757" t="s">
        <v>1734</v>
      </c>
      <c r="S15" s="770" t="s">
        <v>7251</v>
      </c>
      <c r="T15" s="665"/>
      <c r="U15" s="664"/>
      <c r="V15" s="664"/>
      <c r="W15" s="664"/>
      <c r="X15" s="664"/>
      <c r="Y15" s="664"/>
      <c r="Z15" s="664"/>
      <c r="AA15" s="664"/>
    </row>
    <row r="16" spans="1:27" ht="22.8" x14ac:dyDescent="0.25">
      <c r="A16" s="1542"/>
      <c r="B16" s="1542"/>
      <c r="C16" s="669" t="str">
        <f>INDEX('Master sheet'!$A$1:$A$670,MATCH("248-2",'Master sheet'!$AN$1:$AN$670,0))</f>
        <v xml:space="preserve">Wood - SPF / Canadian Wood Council / Alberta / </v>
      </c>
      <c r="D16" s="310">
        <f>'USER INPUT SHEET'!$D$40</f>
        <v>0</v>
      </c>
      <c r="E16" s="308" t="str">
        <f>'USER INPUT SHEET'!$F$40</f>
        <v>m2</v>
      </c>
      <c r="F16" s="311">
        <v>1</v>
      </c>
      <c r="G16" s="806"/>
      <c r="H16" s="312"/>
      <c r="I16" s="88">
        <f t="shared" si="2"/>
        <v>0</v>
      </c>
      <c r="J16" s="89" t="str">
        <f t="shared" si="3"/>
        <v/>
      </c>
      <c r="K16" s="404">
        <f>$F16*IF($E$6=16,$D16*0.25,$D16*0.22)*VLOOKUP($C16,'Master sheet'!$A:$AL,13,FALSE)*0.1397</f>
        <v>0</v>
      </c>
      <c r="L16" s="90">
        <f>$F16*IF($E$6=16,$D16*0.25,$D16*0.22)*VLOOKUP($C16,'Master sheet'!$A:$AL,27,FALSE)*0.1397</f>
        <v>0</v>
      </c>
      <c r="M16" s="1552"/>
      <c r="N16" s="1552"/>
      <c r="O16" s="25" t="str">
        <f>_xlfn.IFNA(VLOOKUP($C16,'Master sheet'!$A:$AR,44,FALSE),"")&amp;""</f>
        <v/>
      </c>
      <c r="P16" s="685"/>
      <c r="Q16" s="765" t="s">
        <v>1642</v>
      </c>
      <c r="R16" s="757" t="s">
        <v>1734</v>
      </c>
      <c r="S16" s="770" t="s">
        <v>7251</v>
      </c>
      <c r="T16" s="665"/>
      <c r="U16" s="664"/>
      <c r="V16" s="664"/>
      <c r="W16" s="664"/>
      <c r="X16" s="664"/>
      <c r="Y16" s="664"/>
      <c r="Z16" s="664"/>
      <c r="AA16" s="638"/>
    </row>
    <row r="17" spans="1:27" ht="22.8" x14ac:dyDescent="0.25">
      <c r="A17" s="1542"/>
      <c r="B17" s="1542"/>
      <c r="C17" s="669" t="str">
        <f>INDEX('Master sheet'!$A$1:$A$670,MATCH("248-3",'Master sheet'!$AN$1:$AN$670,0))</f>
        <v xml:space="preserve">Wood - SPF / Canadian Wood Council / Ontario / </v>
      </c>
      <c r="D17" s="310">
        <f>'USER INPUT SHEET'!$D$40</f>
        <v>0</v>
      </c>
      <c r="E17" s="308" t="str">
        <f>'USER INPUT SHEET'!$F$40</f>
        <v>m2</v>
      </c>
      <c r="F17" s="311">
        <v>1</v>
      </c>
      <c r="G17" s="806"/>
      <c r="H17" s="312"/>
      <c r="I17" s="88">
        <f t="shared" si="2"/>
        <v>0</v>
      </c>
      <c r="J17" s="89" t="str">
        <f t="shared" si="3"/>
        <v/>
      </c>
      <c r="K17" s="404">
        <f>$F17*IF($E$6=16,$D17*0.25,$D17*0.22)*VLOOKUP($C17,'Master sheet'!$A:$AL,13,FALSE)*0.1397</f>
        <v>0</v>
      </c>
      <c r="L17" s="90">
        <f>$F17*IF($E$6=16,$D17*0.25,$D17*0.22)*VLOOKUP($C17,'Master sheet'!$A:$AL,27,FALSE)*0.1397</f>
        <v>0</v>
      </c>
      <c r="M17" s="1552"/>
      <c r="N17" s="1552"/>
      <c r="O17" s="25" t="str">
        <f>_xlfn.IFNA(VLOOKUP($C17,'Master sheet'!$A:$AR,44,FALSE),"")&amp;""</f>
        <v/>
      </c>
      <c r="P17" s="685"/>
      <c r="Q17" s="765" t="s">
        <v>1642</v>
      </c>
      <c r="R17" s="757" t="s">
        <v>1734</v>
      </c>
      <c r="S17" s="770" t="s">
        <v>7251</v>
      </c>
      <c r="T17" s="665"/>
      <c r="U17" s="664"/>
      <c r="V17" s="664"/>
      <c r="W17" s="664"/>
      <c r="X17" s="664"/>
      <c r="Y17" s="664"/>
      <c r="Z17" s="664"/>
      <c r="AA17" s="664"/>
    </row>
    <row r="18" spans="1:27" ht="22.8" x14ac:dyDescent="0.25">
      <c r="A18" s="1542"/>
      <c r="B18" s="1542"/>
      <c r="C18" s="669" t="str">
        <f>INDEX('Master sheet'!$A$1:$A$670,MATCH("248-4",'Master sheet'!$AN$1:$AN$670,0))</f>
        <v xml:space="preserve">Wood - SPF / Canadian Wood Council / Quebec / </v>
      </c>
      <c r="D18" s="310">
        <f>'USER INPUT SHEET'!$D$40</f>
        <v>0</v>
      </c>
      <c r="E18" s="308" t="str">
        <f>'USER INPUT SHEET'!$F$40</f>
        <v>m2</v>
      </c>
      <c r="F18" s="311">
        <v>1</v>
      </c>
      <c r="G18" s="806"/>
      <c r="H18" s="312"/>
      <c r="I18" s="88">
        <f t="shared" si="2"/>
        <v>0</v>
      </c>
      <c r="J18" s="89" t="str">
        <f t="shared" si="3"/>
        <v/>
      </c>
      <c r="K18" s="404">
        <f>$F18*IF($E$6=16,$D18*0.25,$D18*0.22)*VLOOKUP($C18,'Master sheet'!$A:$AL,13,FALSE)*0.1397</f>
        <v>0</v>
      </c>
      <c r="L18" s="90">
        <f>$F18*IF($E$6=16,$D18*0.25,$D18*0.22)*VLOOKUP($C18,'Master sheet'!$A:$AL,27,FALSE)*0.1397</f>
        <v>0</v>
      </c>
      <c r="M18" s="1552"/>
      <c r="N18" s="1552"/>
      <c r="O18" s="25" t="str">
        <f>_xlfn.IFNA(VLOOKUP($C18,'Master sheet'!$A:$AR,44,FALSE),"")&amp;""</f>
        <v/>
      </c>
      <c r="P18" s="685"/>
      <c r="Q18" s="765" t="s">
        <v>1642</v>
      </c>
      <c r="R18" s="757" t="s">
        <v>1734</v>
      </c>
      <c r="S18" s="770" t="s">
        <v>7251</v>
      </c>
      <c r="T18" s="665"/>
      <c r="U18" s="664"/>
      <c r="V18" s="664"/>
      <c r="W18" s="664"/>
      <c r="X18" s="664"/>
      <c r="Y18" s="664"/>
      <c r="Z18" s="664"/>
      <c r="AA18" s="664"/>
    </row>
    <row r="19" spans="1:27" ht="22.8" x14ac:dyDescent="0.25">
      <c r="A19" s="1542"/>
      <c r="B19" s="1542"/>
      <c r="C19" s="669" t="str">
        <f>INDEX('Master sheet'!$A$1:$A$670,MATCH("248-5",'Master sheet'!$AN$1:$AN$670,0))</f>
        <v xml:space="preserve">Wood - SPF / Canadian Wood Council / New Brunswick / </v>
      </c>
      <c r="D19" s="310">
        <f>'USER INPUT SHEET'!$D$40</f>
        <v>0</v>
      </c>
      <c r="E19" s="308" t="str">
        <f>'USER INPUT SHEET'!$F$40</f>
        <v>m2</v>
      </c>
      <c r="F19" s="311">
        <v>1</v>
      </c>
      <c r="G19" s="806"/>
      <c r="H19" s="312"/>
      <c r="I19" s="88">
        <f t="shared" si="2"/>
        <v>0</v>
      </c>
      <c r="J19" s="89" t="str">
        <f t="shared" si="3"/>
        <v/>
      </c>
      <c r="K19" s="404">
        <f>$F19*IF($E$6=16,$D19*0.25,$D19*0.22)*VLOOKUP($C19,'Master sheet'!$A:$AL,13,FALSE)*0.1397</f>
        <v>0</v>
      </c>
      <c r="L19" s="90">
        <f>$F19*IF($E$6=16,$D19*0.25,$D19*0.22)*VLOOKUP($C19,'Master sheet'!$A:$AL,27,FALSE)*0.1397</f>
        <v>0</v>
      </c>
      <c r="M19" s="1552"/>
      <c r="N19" s="1552"/>
      <c r="O19" s="25" t="str">
        <f>_xlfn.IFNA(VLOOKUP($C19,'Master sheet'!$A:$AR,44,FALSE),"")&amp;""</f>
        <v/>
      </c>
      <c r="P19" s="685"/>
      <c r="Q19" s="765" t="s">
        <v>1642</v>
      </c>
      <c r="R19" s="757" t="s">
        <v>1734</v>
      </c>
      <c r="S19" s="770" t="s">
        <v>7251</v>
      </c>
      <c r="T19" s="665"/>
      <c r="U19" s="664"/>
      <c r="V19" s="664"/>
      <c r="W19" s="664"/>
      <c r="X19" s="664"/>
      <c r="Y19" s="664"/>
      <c r="Z19" s="664"/>
      <c r="AA19" s="664"/>
    </row>
    <row r="20" spans="1:27" ht="22.8" x14ac:dyDescent="0.25">
      <c r="A20" s="1542"/>
      <c r="B20" s="1542"/>
      <c r="C20" s="669" t="str">
        <f>INDEX('Master sheet'!$A$1:$A$670,MATCH("248-6",'Master sheet'!$AN$1:$AN$670,0))</f>
        <v xml:space="preserve">Wood - SPF / Canadian Wood Council / Atlantic Canada / </v>
      </c>
      <c r="D20" s="310">
        <f>'USER INPUT SHEET'!$D$40</f>
        <v>0</v>
      </c>
      <c r="E20" s="308" t="str">
        <f>'USER INPUT SHEET'!$F$40</f>
        <v>m2</v>
      </c>
      <c r="F20" s="311">
        <v>1</v>
      </c>
      <c r="G20" s="806"/>
      <c r="H20" s="312"/>
      <c r="I20" s="88">
        <f t="shared" si="2"/>
        <v>0</v>
      </c>
      <c r="J20" s="89" t="str">
        <f t="shared" si="3"/>
        <v/>
      </c>
      <c r="K20" s="404">
        <f>$F20*IF($E$6=16,$D20*0.25,$D20*0.22)*VLOOKUP($C20,'Master sheet'!$A:$AL,13,FALSE)*0.1397</f>
        <v>0</v>
      </c>
      <c r="L20" s="90">
        <f>$F20*IF($E$6=16,$D20*0.25,$D20*0.22)*VLOOKUP($C20,'Master sheet'!$A:$AL,27,FALSE)*0.1397</f>
        <v>0</v>
      </c>
      <c r="M20" s="1552"/>
      <c r="N20" s="1552"/>
      <c r="O20" s="25" t="str">
        <f>_xlfn.IFNA(VLOOKUP($C20,'Master sheet'!$A:$AR,44,FALSE),"")&amp;""</f>
        <v/>
      </c>
      <c r="P20" s="685"/>
      <c r="Q20" s="765" t="s">
        <v>1642</v>
      </c>
      <c r="R20" s="757" t="s">
        <v>1734</v>
      </c>
      <c r="S20" s="770" t="s">
        <v>7251</v>
      </c>
      <c r="T20" s="665"/>
      <c r="U20" s="664"/>
      <c r="V20" s="664"/>
      <c r="W20" s="664"/>
      <c r="X20" s="664"/>
      <c r="Y20" s="664"/>
      <c r="Z20" s="664"/>
      <c r="AA20" s="664"/>
    </row>
    <row r="21" spans="1:27" s="624" customFormat="1" ht="21" x14ac:dyDescent="0.25">
      <c r="A21" s="639"/>
      <c r="B21" s="1524" t="s">
        <v>6838</v>
      </c>
      <c r="C21" s="1523"/>
      <c r="D21" s="640"/>
      <c r="E21" s="641"/>
      <c r="F21" s="334"/>
      <c r="G21" s="678"/>
      <c r="H21" s="639"/>
      <c r="I21" s="733"/>
      <c r="J21" s="733"/>
      <c r="K21" s="698"/>
      <c r="L21" s="736"/>
      <c r="M21" s="736"/>
      <c r="N21" s="736"/>
      <c r="O21" s="25" t="str">
        <f>_xlfn.IFNA(VLOOKUP($C21,'Master sheet'!$A:$AR,44,FALSE),"")&amp;""</f>
        <v/>
      </c>
      <c r="P21" s="637"/>
      <c r="Q21" s="722"/>
      <c r="R21" s="722"/>
      <c r="S21" s="623"/>
      <c r="T21" s="638"/>
      <c r="U21" s="638"/>
      <c r="V21" s="638"/>
      <c r="W21" s="638"/>
      <c r="X21" s="638"/>
      <c r="Y21" s="638"/>
      <c r="Z21" s="638"/>
      <c r="AA21" s="664"/>
    </row>
    <row r="22" spans="1:27" ht="22.8" x14ac:dyDescent="0.25">
      <c r="A22" s="1542"/>
      <c r="B22" s="1542"/>
      <c r="C22" s="669" t="str">
        <f>INDEX('Master sheet'!$A$1:$A$670,MATCH("248-1",'Master sheet'!$AN$1:$AN$670,0))</f>
        <v xml:space="preserve">Wood - SPF / Canadian Wood Council / British Columbia / </v>
      </c>
      <c r="D22" s="15">
        <f>'USER INPUT SHEET'!$D$40</f>
        <v>0</v>
      </c>
      <c r="E22" s="16" t="str">
        <f>'USER INPUT SHEET'!$F$40</f>
        <v>m2</v>
      </c>
      <c r="F22" s="3">
        <v>1</v>
      </c>
      <c r="G22" s="670"/>
      <c r="H22" s="8"/>
      <c r="I22" s="92">
        <f t="shared" ref="I22:I27" si="4">K22-L22-IF(N22,M22,0)</f>
        <v>0</v>
      </c>
      <c r="J22" s="93" t="str">
        <f t="shared" ref="J22:J27" si="5">IF(H22=1,I22,"")</f>
        <v/>
      </c>
      <c r="K22" s="406">
        <f>$F22*IF($E$6=16,$D22*0.25,$D22*0.22)*VLOOKUP($C22,'Master sheet'!$A:$AL,13,FALSE)*0.18415</f>
        <v>0</v>
      </c>
      <c r="L22" s="94">
        <f>$F22*IF($E$6=16,$D22*0.25,$D22*0.22)*VLOOKUP($C22,'Master sheet'!$A:$AL,27,FALSE)*0.18415</f>
        <v>0</v>
      </c>
      <c r="M22" s="1562"/>
      <c r="N22" s="1562"/>
      <c r="O22" s="25" t="str">
        <f>_xlfn.IFNA(VLOOKUP($C22,'Master sheet'!$A:$AR,44,FALSE),"")&amp;""</f>
        <v/>
      </c>
      <c r="P22" s="685"/>
      <c r="Q22" s="765" t="s">
        <v>1642</v>
      </c>
      <c r="R22" s="757" t="s">
        <v>1734</v>
      </c>
      <c r="S22" s="770" t="s">
        <v>7252</v>
      </c>
      <c r="T22" s="665"/>
      <c r="U22" s="664"/>
      <c r="V22" s="664"/>
      <c r="W22" s="664"/>
      <c r="X22" s="664"/>
      <c r="Y22" s="664"/>
      <c r="Z22" s="664"/>
      <c r="AA22" s="664"/>
    </row>
    <row r="23" spans="1:27" ht="22.8" x14ac:dyDescent="0.25">
      <c r="A23" s="1542"/>
      <c r="B23" s="1542"/>
      <c r="C23" s="669" t="str">
        <f>INDEX('Master sheet'!$A$1:$A$670,MATCH("248-2",'Master sheet'!$AN$1:$AN$670,0))</f>
        <v xml:space="preserve">Wood - SPF / Canadian Wood Council / Alberta / </v>
      </c>
      <c r="D23" s="310">
        <f>'USER INPUT SHEET'!$D$40</f>
        <v>0</v>
      </c>
      <c r="E23" s="308" t="str">
        <f>'USER INPUT SHEET'!$F$40</f>
        <v>m2</v>
      </c>
      <c r="F23" s="311">
        <v>1</v>
      </c>
      <c r="G23" s="806"/>
      <c r="H23" s="312"/>
      <c r="I23" s="88">
        <f t="shared" si="4"/>
        <v>0</v>
      </c>
      <c r="J23" s="89" t="str">
        <f t="shared" si="5"/>
        <v/>
      </c>
      <c r="K23" s="404">
        <f>$F23*IF($E$6=16,$D23*0.25,$D23*0.22)*VLOOKUP($C23,'Master sheet'!$A:$AL,13,FALSE)*0.18415</f>
        <v>0</v>
      </c>
      <c r="L23" s="90">
        <f>$F23*IF($E$6=16,$D23*0.25,$D23*0.22)*VLOOKUP($C23,'Master sheet'!$A:$AL,27,FALSE)*0.18415</f>
        <v>0</v>
      </c>
      <c r="M23" s="1552"/>
      <c r="N23" s="1552"/>
      <c r="O23" s="25" t="str">
        <f>_xlfn.IFNA(VLOOKUP($C23,'Master sheet'!$A:$AR,44,FALSE),"")&amp;""</f>
        <v/>
      </c>
      <c r="P23" s="685"/>
      <c r="Q23" s="765" t="s">
        <v>1642</v>
      </c>
      <c r="R23" s="757" t="s">
        <v>1734</v>
      </c>
      <c r="S23" s="770" t="s">
        <v>7252</v>
      </c>
      <c r="T23" s="665"/>
      <c r="U23" s="664"/>
      <c r="V23" s="664"/>
      <c r="W23" s="664"/>
      <c r="X23" s="664"/>
      <c r="Y23" s="664"/>
      <c r="Z23" s="664"/>
      <c r="AA23" s="664"/>
    </row>
    <row r="24" spans="1:27" ht="22.8" x14ac:dyDescent="0.25">
      <c r="A24" s="1542"/>
      <c r="B24" s="1542"/>
      <c r="C24" s="669" t="str">
        <f>INDEX('Master sheet'!$A$1:$A$670,MATCH("248-3",'Master sheet'!$AN$1:$AN$670,0))</f>
        <v xml:space="preserve">Wood - SPF / Canadian Wood Council / Ontario / </v>
      </c>
      <c r="D24" s="310">
        <f>'USER INPUT SHEET'!$D$40</f>
        <v>0</v>
      </c>
      <c r="E24" s="308" t="str">
        <f>'USER INPUT SHEET'!$F$40</f>
        <v>m2</v>
      </c>
      <c r="F24" s="311">
        <v>1</v>
      </c>
      <c r="G24" s="806"/>
      <c r="H24" s="312"/>
      <c r="I24" s="88">
        <f t="shared" si="4"/>
        <v>0</v>
      </c>
      <c r="J24" s="89" t="str">
        <f t="shared" si="5"/>
        <v/>
      </c>
      <c r="K24" s="404">
        <f>$F24*IF($E$6=16,$D24*0.25,$D24*0.22)*VLOOKUP($C24,'Master sheet'!$A:$AL,13,FALSE)*0.18415</f>
        <v>0</v>
      </c>
      <c r="L24" s="90">
        <f>$F24*IF($E$6=16,$D24*0.25,$D24*0.22)*VLOOKUP($C24,'Master sheet'!$A:$AL,27,FALSE)*0.18415</f>
        <v>0</v>
      </c>
      <c r="M24" s="1552"/>
      <c r="N24" s="1552"/>
      <c r="O24" s="25" t="str">
        <f>_xlfn.IFNA(VLOOKUP($C24,'Master sheet'!$A:$AR,44,FALSE),"")&amp;""</f>
        <v/>
      </c>
      <c r="P24" s="685"/>
      <c r="Q24" s="765" t="s">
        <v>1642</v>
      </c>
      <c r="R24" s="757" t="s">
        <v>1734</v>
      </c>
      <c r="S24" s="770" t="s">
        <v>7252</v>
      </c>
      <c r="T24" s="665"/>
      <c r="U24" s="664"/>
      <c r="V24" s="664"/>
      <c r="W24" s="664"/>
      <c r="X24" s="664"/>
      <c r="Y24" s="664"/>
      <c r="Z24" s="664"/>
      <c r="AA24" s="638"/>
    </row>
    <row r="25" spans="1:27" ht="22.8" x14ac:dyDescent="0.25">
      <c r="A25" s="1542"/>
      <c r="B25" s="1542"/>
      <c r="C25" s="669" t="str">
        <f>INDEX('Master sheet'!$A$1:$A$670,MATCH("248-4",'Master sheet'!$AN$1:$AN$670,0))</f>
        <v xml:space="preserve">Wood - SPF / Canadian Wood Council / Quebec / </v>
      </c>
      <c r="D25" s="310">
        <f>'USER INPUT SHEET'!$D$40</f>
        <v>0</v>
      </c>
      <c r="E25" s="308" t="str">
        <f>'USER INPUT SHEET'!$F$40</f>
        <v>m2</v>
      </c>
      <c r="F25" s="311">
        <v>1</v>
      </c>
      <c r="G25" s="806"/>
      <c r="H25" s="312"/>
      <c r="I25" s="88">
        <f t="shared" si="4"/>
        <v>0</v>
      </c>
      <c r="J25" s="89" t="str">
        <f t="shared" si="5"/>
        <v/>
      </c>
      <c r="K25" s="404">
        <f>$F25*IF($E$6=16,$D25*0.25,$D25*0.22)*VLOOKUP($C25,'Master sheet'!$A:$AL,13,FALSE)*0.18415</f>
        <v>0</v>
      </c>
      <c r="L25" s="90">
        <f>$F25*IF($E$6=16,$D25*0.25,$D25*0.22)*VLOOKUP($C25,'Master sheet'!$A:$AL,27,FALSE)*0.18415</f>
        <v>0</v>
      </c>
      <c r="M25" s="1552"/>
      <c r="N25" s="1552"/>
      <c r="O25" s="25" t="str">
        <f>_xlfn.IFNA(VLOOKUP($C25,'Master sheet'!$A:$AR,44,FALSE),"")&amp;""</f>
        <v/>
      </c>
      <c r="P25" s="685"/>
      <c r="Q25" s="765" t="s">
        <v>1642</v>
      </c>
      <c r="R25" s="757" t="s">
        <v>1734</v>
      </c>
      <c r="S25" s="770" t="s">
        <v>7252</v>
      </c>
      <c r="T25" s="665"/>
      <c r="U25" s="664"/>
      <c r="V25" s="664"/>
      <c r="W25" s="664"/>
      <c r="X25" s="664"/>
      <c r="Y25" s="664"/>
      <c r="Z25" s="664"/>
      <c r="AA25" s="664"/>
    </row>
    <row r="26" spans="1:27" ht="22.8" x14ac:dyDescent="0.25">
      <c r="A26" s="1542"/>
      <c r="B26" s="1542"/>
      <c r="C26" s="669" t="str">
        <f>INDEX('Master sheet'!$A$1:$A$670,MATCH("248-5",'Master sheet'!$AN$1:$AN$670,0))</f>
        <v xml:space="preserve">Wood - SPF / Canadian Wood Council / New Brunswick / </v>
      </c>
      <c r="D26" s="310">
        <f>'USER INPUT SHEET'!$D$40</f>
        <v>0</v>
      </c>
      <c r="E26" s="308" t="str">
        <f>'USER INPUT SHEET'!$F$40</f>
        <v>m2</v>
      </c>
      <c r="F26" s="311">
        <v>1</v>
      </c>
      <c r="G26" s="806"/>
      <c r="H26" s="312"/>
      <c r="I26" s="88">
        <f t="shared" si="4"/>
        <v>0</v>
      </c>
      <c r="J26" s="89" t="str">
        <f t="shared" si="5"/>
        <v/>
      </c>
      <c r="K26" s="404">
        <f>$F26*IF($E$6=16,$D26*0.25,$D26*0.22)*VLOOKUP($C26,'Master sheet'!$A:$AL,13,FALSE)*0.18415</f>
        <v>0</v>
      </c>
      <c r="L26" s="90">
        <f>$F26*IF($E$6=16,$D26*0.25,$D26*0.22)*VLOOKUP($C26,'Master sheet'!$A:$AL,27,FALSE)*0.18415</f>
        <v>0</v>
      </c>
      <c r="M26" s="1552"/>
      <c r="N26" s="1552"/>
      <c r="O26" s="25" t="str">
        <f>_xlfn.IFNA(VLOOKUP($C26,'Master sheet'!$A:$AR,44,FALSE),"")&amp;""</f>
        <v/>
      </c>
      <c r="P26" s="685"/>
      <c r="Q26" s="765" t="s">
        <v>1642</v>
      </c>
      <c r="R26" s="757" t="s">
        <v>1734</v>
      </c>
      <c r="S26" s="770" t="s">
        <v>7252</v>
      </c>
      <c r="T26" s="665"/>
      <c r="U26" s="664"/>
      <c r="V26" s="664"/>
      <c r="W26" s="664"/>
      <c r="X26" s="664"/>
      <c r="Y26" s="664"/>
      <c r="Z26" s="664"/>
      <c r="AA26" s="664"/>
    </row>
    <row r="27" spans="1:27" ht="22.8" x14ac:dyDescent="0.25">
      <c r="A27" s="1542"/>
      <c r="B27" s="1542"/>
      <c r="C27" s="669" t="str">
        <f>INDEX('Master sheet'!$A$1:$A$670,MATCH("248-6",'Master sheet'!$AN$1:$AN$670,0))</f>
        <v xml:space="preserve">Wood - SPF / Canadian Wood Council / Atlantic Canada / </v>
      </c>
      <c r="D27" s="310">
        <f>'USER INPUT SHEET'!$D$40</f>
        <v>0</v>
      </c>
      <c r="E27" s="308" t="str">
        <f>'USER INPUT SHEET'!$F$40</f>
        <v>m2</v>
      </c>
      <c r="F27" s="311">
        <v>1</v>
      </c>
      <c r="G27" s="806"/>
      <c r="H27" s="312"/>
      <c r="I27" s="88">
        <f t="shared" si="4"/>
        <v>0</v>
      </c>
      <c r="J27" s="89" t="str">
        <f t="shared" si="5"/>
        <v/>
      </c>
      <c r="K27" s="404">
        <f>$F27*IF($E$6=16,$D27*0.25,$D27*0.22)*VLOOKUP($C27,'Master sheet'!$A:$AL,13,FALSE)*0.18415</f>
        <v>0</v>
      </c>
      <c r="L27" s="90">
        <f>$F27*IF($E$6=16,$D27*0.25,$D27*0.22)*VLOOKUP($C27,'Master sheet'!$A:$AL,27,FALSE)*0.18415</f>
        <v>0</v>
      </c>
      <c r="M27" s="1552"/>
      <c r="N27" s="1552"/>
      <c r="O27" s="25" t="str">
        <f>_xlfn.IFNA(VLOOKUP($C27,'Master sheet'!$A:$AR,44,FALSE),"")&amp;""</f>
        <v/>
      </c>
      <c r="P27" s="685"/>
      <c r="Q27" s="765" t="s">
        <v>1642</v>
      </c>
      <c r="R27" s="757" t="s">
        <v>1734</v>
      </c>
      <c r="S27" s="770" t="s">
        <v>7252</v>
      </c>
      <c r="T27" s="665"/>
      <c r="U27" s="664"/>
      <c r="V27" s="664"/>
      <c r="W27" s="664"/>
      <c r="X27" s="664"/>
      <c r="Y27" s="664"/>
      <c r="Z27" s="664"/>
      <c r="AA27" s="664"/>
    </row>
    <row r="28" spans="1:27" s="624" customFormat="1" ht="21" x14ac:dyDescent="0.25">
      <c r="A28" s="639"/>
      <c r="B28" s="1524" t="s">
        <v>6839</v>
      </c>
      <c r="C28" s="1523"/>
      <c r="D28" s="640"/>
      <c r="E28" s="641"/>
      <c r="F28" s="334"/>
      <c r="G28" s="678"/>
      <c r="H28" s="639"/>
      <c r="I28" s="733"/>
      <c r="J28" s="733"/>
      <c r="K28" s="698"/>
      <c r="L28" s="736"/>
      <c r="M28" s="736"/>
      <c r="N28" s="736"/>
      <c r="O28" s="25" t="str">
        <f>_xlfn.IFNA(VLOOKUP($C28,'Master sheet'!$A:$AR,44,FALSE),"")&amp;""</f>
        <v/>
      </c>
      <c r="P28" s="637"/>
      <c r="Q28" s="722"/>
      <c r="R28" s="722"/>
      <c r="S28" s="623"/>
      <c r="T28" s="638"/>
      <c r="U28" s="638"/>
      <c r="V28" s="638"/>
      <c r="W28" s="638"/>
      <c r="X28" s="638"/>
      <c r="Y28" s="638"/>
      <c r="Z28" s="638"/>
      <c r="AA28" s="664"/>
    </row>
    <row r="29" spans="1:27" ht="22.8" x14ac:dyDescent="0.25">
      <c r="A29" s="1542"/>
      <c r="B29" s="1542"/>
      <c r="C29" s="673" t="str">
        <f>INDEX('Master sheet'!$A$1:$A$670,MATCH("248-1",'Master sheet'!$AN$1:$AN$670,0))</f>
        <v xml:space="preserve">Wood - SPF / Canadian Wood Council / British Columbia / </v>
      </c>
      <c r="D29" s="15">
        <f>'USER INPUT SHEET'!$D$40</f>
        <v>0</v>
      </c>
      <c r="E29" s="16" t="str">
        <f>'USER INPUT SHEET'!$F$40</f>
        <v>m2</v>
      </c>
      <c r="F29" s="3">
        <v>1</v>
      </c>
      <c r="G29" s="670"/>
      <c r="H29" s="8"/>
      <c r="I29" s="92">
        <f t="shared" ref="I29:I34" si="6">K29-L29-IF(N29,M29,0)</f>
        <v>0</v>
      </c>
      <c r="J29" s="93" t="str">
        <f t="shared" ref="J29:J34" si="7">IF(H29=1,I29,"")</f>
        <v/>
      </c>
      <c r="K29" s="406">
        <f>$F29*IF($E$6=16,$D29*0.25,$D29*0.22)*VLOOKUP($C29,'Master sheet'!$A:$AL,13,FALSE)*(2*0.0889)</f>
        <v>0</v>
      </c>
      <c r="L29" s="94">
        <f>$F29*IF($E$6=16,$D29*0.25,$D29*0.22)*VLOOKUP($C29,'Master sheet'!$A:$AL,27,FALSE)*(2*0.0889)</f>
        <v>0</v>
      </c>
      <c r="M29" s="1562"/>
      <c r="N29" s="1562"/>
      <c r="O29" s="25" t="str">
        <f>_xlfn.IFNA(VLOOKUP($C29,'Master sheet'!$A:$AR,44,FALSE),"")&amp;""</f>
        <v/>
      </c>
      <c r="P29" s="685"/>
      <c r="Q29" s="765" t="s">
        <v>1642</v>
      </c>
      <c r="R29" s="757" t="s">
        <v>1734</v>
      </c>
      <c r="S29" s="770" t="s">
        <v>7253</v>
      </c>
      <c r="T29" s="623"/>
      <c r="U29" s="638"/>
      <c r="V29" s="664"/>
      <c r="W29" s="664"/>
      <c r="X29" s="664"/>
      <c r="Y29" s="664"/>
      <c r="Z29" s="664"/>
      <c r="AA29" s="664"/>
    </row>
    <row r="30" spans="1:27" ht="22.8" x14ac:dyDescent="0.25">
      <c r="A30" s="1542"/>
      <c r="B30" s="1542"/>
      <c r="C30" s="669" t="str">
        <f>INDEX('Master sheet'!$A$1:$A$670,MATCH("248-2",'Master sheet'!$AN$1:$AN$670,0))</f>
        <v xml:space="preserve">Wood - SPF / Canadian Wood Council / Alberta / </v>
      </c>
      <c r="D30" s="310">
        <f>'USER INPUT SHEET'!$D$40</f>
        <v>0</v>
      </c>
      <c r="E30" s="308" t="str">
        <f>'USER INPUT SHEET'!$F$40</f>
        <v>m2</v>
      </c>
      <c r="F30" s="311">
        <v>1</v>
      </c>
      <c r="G30" s="806"/>
      <c r="H30" s="312"/>
      <c r="I30" s="88">
        <f t="shared" si="6"/>
        <v>0</v>
      </c>
      <c r="J30" s="89" t="str">
        <f t="shared" si="7"/>
        <v/>
      </c>
      <c r="K30" s="404">
        <f>$F30*IF($E$6=16,$D30*0.25,$D30*0.22)*VLOOKUP($C30,'Master sheet'!$A:$AL,13,FALSE)*(2*0.0889)</f>
        <v>0</v>
      </c>
      <c r="L30" s="90">
        <f>$F30*IF($E$6=16,$D30*0.25,$D30*0.22)*VLOOKUP($C30,'Master sheet'!$A:$AL,27,FALSE)*(2*0.0889)</f>
        <v>0</v>
      </c>
      <c r="M30" s="1552"/>
      <c r="N30" s="1552"/>
      <c r="O30" s="25" t="str">
        <f>_xlfn.IFNA(VLOOKUP($C30,'Master sheet'!$A:$AR,44,FALSE),"")&amp;""</f>
        <v/>
      </c>
      <c r="P30" s="685"/>
      <c r="Q30" s="765" t="s">
        <v>1642</v>
      </c>
      <c r="R30" s="757" t="s">
        <v>1734</v>
      </c>
      <c r="S30" s="770" t="s">
        <v>7253</v>
      </c>
      <c r="T30" s="665"/>
      <c r="U30" s="664"/>
      <c r="V30" s="664"/>
      <c r="W30" s="664"/>
      <c r="X30" s="664"/>
      <c r="Y30" s="664"/>
      <c r="Z30" s="664"/>
      <c r="AA30" s="664"/>
    </row>
    <row r="31" spans="1:27" ht="22.8" x14ac:dyDescent="0.25">
      <c r="A31" s="1542"/>
      <c r="B31" s="1542"/>
      <c r="C31" s="669" t="str">
        <f>INDEX('Master sheet'!$A$1:$A$670,MATCH("248-3",'Master sheet'!$AN$1:$AN$670,0))</f>
        <v xml:space="preserve">Wood - SPF / Canadian Wood Council / Ontario / </v>
      </c>
      <c r="D31" s="310">
        <f>'USER INPUT SHEET'!$D$40</f>
        <v>0</v>
      </c>
      <c r="E31" s="308" t="str">
        <f>'USER INPUT SHEET'!$F$40</f>
        <v>m2</v>
      </c>
      <c r="F31" s="311">
        <v>1</v>
      </c>
      <c r="G31" s="806"/>
      <c r="H31" s="312"/>
      <c r="I31" s="88">
        <f t="shared" si="6"/>
        <v>0</v>
      </c>
      <c r="J31" s="89" t="str">
        <f t="shared" si="7"/>
        <v/>
      </c>
      <c r="K31" s="404">
        <f>$F31*IF($E$6=16,$D31*0.25,$D31*0.22)*VLOOKUP($C31,'Master sheet'!$A:$AL,13,FALSE)*(2*0.0889)</f>
        <v>0</v>
      </c>
      <c r="L31" s="90">
        <f>$F31*IF($E$6=16,$D31*0.25,$D31*0.22)*VLOOKUP($C31,'Master sheet'!$A:$AL,27,FALSE)*(2*0.0889)</f>
        <v>0</v>
      </c>
      <c r="M31" s="1552"/>
      <c r="N31" s="1552"/>
      <c r="O31" s="25" t="str">
        <f>_xlfn.IFNA(VLOOKUP($C31,'Master sheet'!$A:$AR,44,FALSE),"")&amp;""</f>
        <v/>
      </c>
      <c r="P31" s="685"/>
      <c r="Q31" s="765" t="s">
        <v>1642</v>
      </c>
      <c r="R31" s="757" t="s">
        <v>1734</v>
      </c>
      <c r="S31" s="770" t="s">
        <v>7253</v>
      </c>
      <c r="T31" s="665"/>
      <c r="U31" s="664"/>
      <c r="V31" s="664"/>
      <c r="W31" s="664"/>
      <c r="X31" s="664"/>
      <c r="Y31" s="664"/>
      <c r="Z31" s="664"/>
      <c r="AA31" s="664"/>
    </row>
    <row r="32" spans="1:27" ht="22.8" x14ac:dyDescent="0.25">
      <c r="A32" s="1542"/>
      <c r="B32" s="1542"/>
      <c r="C32" s="669" t="str">
        <f>INDEX('Master sheet'!$A$1:$A$670,MATCH("248-4",'Master sheet'!$AN$1:$AN$670,0))</f>
        <v xml:space="preserve">Wood - SPF / Canadian Wood Council / Quebec / </v>
      </c>
      <c r="D32" s="310">
        <f>'USER INPUT SHEET'!$D$40</f>
        <v>0</v>
      </c>
      <c r="E32" s="308" t="str">
        <f>'USER INPUT SHEET'!$F$40</f>
        <v>m2</v>
      </c>
      <c r="F32" s="311">
        <v>1</v>
      </c>
      <c r="G32" s="806"/>
      <c r="H32" s="312"/>
      <c r="I32" s="88">
        <f t="shared" si="6"/>
        <v>0</v>
      </c>
      <c r="J32" s="89" t="str">
        <f t="shared" si="7"/>
        <v/>
      </c>
      <c r="K32" s="404">
        <f>$F32*IF($E$6=16,$D32*0.25,$D32*0.22)*VLOOKUP($C32,'Master sheet'!$A:$AL,13,FALSE)*(2*0.0889)</f>
        <v>0</v>
      </c>
      <c r="L32" s="90">
        <f>$F32*IF($E$6=16,$D32*0.25,$D32*0.22)*VLOOKUP($C32,'Master sheet'!$A:$AL,27,FALSE)*(2*0.0889)</f>
        <v>0</v>
      </c>
      <c r="M32" s="1552"/>
      <c r="N32" s="1552"/>
      <c r="O32" s="25" t="str">
        <f>_xlfn.IFNA(VLOOKUP($C32,'Master sheet'!$A:$AR,44,FALSE),"")&amp;""</f>
        <v/>
      </c>
      <c r="P32" s="685"/>
      <c r="Q32" s="765" t="s">
        <v>1642</v>
      </c>
      <c r="R32" s="757" t="s">
        <v>1734</v>
      </c>
      <c r="S32" s="770" t="s">
        <v>7253</v>
      </c>
      <c r="T32" s="665"/>
      <c r="U32" s="664"/>
      <c r="V32" s="664"/>
      <c r="W32" s="664"/>
      <c r="X32" s="664"/>
      <c r="Y32" s="664"/>
      <c r="Z32" s="664"/>
      <c r="AA32" s="638"/>
    </row>
    <row r="33" spans="1:27" ht="22.8" x14ac:dyDescent="0.25">
      <c r="A33" s="1542"/>
      <c r="B33" s="1542"/>
      <c r="C33" s="669" t="str">
        <f>INDEX('Master sheet'!$A$1:$A$670,MATCH("248-5",'Master sheet'!$AN$1:$AN$670,0))</f>
        <v xml:space="preserve">Wood - SPF / Canadian Wood Council / New Brunswick / </v>
      </c>
      <c r="D33" s="310">
        <f>'USER INPUT SHEET'!$D$40</f>
        <v>0</v>
      </c>
      <c r="E33" s="308" t="str">
        <f>'USER INPUT SHEET'!$F$40</f>
        <v>m2</v>
      </c>
      <c r="F33" s="311">
        <v>1</v>
      </c>
      <c r="G33" s="806"/>
      <c r="H33" s="312"/>
      <c r="I33" s="88">
        <f t="shared" si="6"/>
        <v>0</v>
      </c>
      <c r="J33" s="89" t="str">
        <f t="shared" si="7"/>
        <v/>
      </c>
      <c r="K33" s="404">
        <f>$F33*IF($E$6=16,$D33*0.25,$D33*0.22)*VLOOKUP($C33,'Master sheet'!$A:$AL,13,FALSE)*(2*0.0889)</f>
        <v>0</v>
      </c>
      <c r="L33" s="90">
        <f>$F33*IF($E$6=16,$D33*0.25,$D33*0.22)*VLOOKUP($C33,'Master sheet'!$A:$AL,27,FALSE)*(2*0.0889)</f>
        <v>0</v>
      </c>
      <c r="M33" s="1552"/>
      <c r="N33" s="1552"/>
      <c r="O33" s="25" t="str">
        <f>_xlfn.IFNA(VLOOKUP($C33,'Master sheet'!$A:$AR,44,FALSE),"")&amp;""</f>
        <v/>
      </c>
      <c r="P33" s="685"/>
      <c r="Q33" s="765" t="s">
        <v>1642</v>
      </c>
      <c r="R33" s="757" t="s">
        <v>1734</v>
      </c>
      <c r="S33" s="770" t="s">
        <v>7253</v>
      </c>
      <c r="T33" s="665"/>
      <c r="U33" s="664"/>
      <c r="V33" s="664"/>
      <c r="W33" s="664"/>
      <c r="X33" s="664"/>
      <c r="Y33" s="664"/>
      <c r="Z33" s="664"/>
      <c r="AA33" s="638"/>
    </row>
    <row r="34" spans="1:27" ht="22.8" x14ac:dyDescent="0.25">
      <c r="A34" s="1542"/>
      <c r="B34" s="1542"/>
      <c r="C34" s="669" t="str">
        <f>INDEX('Master sheet'!$A$1:$A$670,MATCH("248-6",'Master sheet'!$AN$1:$AN$670,0))</f>
        <v xml:space="preserve">Wood - SPF / Canadian Wood Council / Atlantic Canada / </v>
      </c>
      <c r="D34" s="310">
        <f>'USER INPUT SHEET'!$D$40</f>
        <v>0</v>
      </c>
      <c r="E34" s="308" t="str">
        <f>'USER INPUT SHEET'!$F$40</f>
        <v>m2</v>
      </c>
      <c r="F34" s="311">
        <v>1</v>
      </c>
      <c r="G34" s="806"/>
      <c r="H34" s="312"/>
      <c r="I34" s="88">
        <f t="shared" si="6"/>
        <v>0</v>
      </c>
      <c r="J34" s="89" t="str">
        <f t="shared" si="7"/>
        <v/>
      </c>
      <c r="K34" s="404">
        <f>$F34*IF($E$6=16,$D34*0.25,$D34*0.22)*VLOOKUP($C34,'Master sheet'!$A:$AL,13,FALSE)*(2*0.0889)</f>
        <v>0</v>
      </c>
      <c r="L34" s="90">
        <f>$F34*IF($E$6=16,$D34*0.25,$D34*0.22)*VLOOKUP($C34,'Master sheet'!$A:$AL,27,FALSE)*(2*0.0889)</f>
        <v>0</v>
      </c>
      <c r="M34" s="1552"/>
      <c r="N34" s="1552"/>
      <c r="O34" s="25" t="str">
        <f>_xlfn.IFNA(VLOOKUP($C34,'Master sheet'!$A:$AR,44,FALSE),"")&amp;""</f>
        <v/>
      </c>
      <c r="P34" s="685"/>
      <c r="Q34" s="765" t="s">
        <v>1642</v>
      </c>
      <c r="R34" s="757" t="s">
        <v>1734</v>
      </c>
      <c r="S34" s="770" t="s">
        <v>7253</v>
      </c>
      <c r="T34" s="665"/>
      <c r="U34" s="664"/>
      <c r="V34" s="664"/>
      <c r="W34" s="664"/>
      <c r="X34" s="664"/>
      <c r="Y34" s="664"/>
      <c r="Z34" s="664"/>
      <c r="AA34" s="664"/>
    </row>
    <row r="35" spans="1:27" s="624" customFormat="1" ht="54.75" customHeight="1" x14ac:dyDescent="0.25">
      <c r="A35" s="1522" t="s">
        <v>1609</v>
      </c>
      <c r="B35" s="1523"/>
      <c r="C35" s="1523"/>
      <c r="D35" s="629" t="s">
        <v>38</v>
      </c>
      <c r="E35" s="1"/>
      <c r="F35" s="323" t="str">
        <f>IF(LOWER(Setting!rng_language)="english","in","po")</f>
        <v>in</v>
      </c>
      <c r="G35" s="650"/>
      <c r="H35" s="650"/>
      <c r="I35" s="651"/>
      <c r="J35" s="103" t="str">
        <f t="shared" ref="J35:J44" si="8">IF(H35=1,I35,"")</f>
        <v/>
      </c>
      <c r="K35" s="652"/>
      <c r="L35" s="759"/>
      <c r="M35" s="759"/>
      <c r="N35" s="759"/>
      <c r="O35" s="25" t="str">
        <f>_xlfn.IFNA(VLOOKUP($C35,'Master sheet'!$A:$AR,44,FALSE),"")&amp;""</f>
        <v/>
      </c>
      <c r="P35" s="655"/>
      <c r="Q35" s="29"/>
      <c r="R35" s="728"/>
      <c r="T35" s="638"/>
      <c r="U35" s="638"/>
      <c r="V35" s="638"/>
      <c r="W35" s="638"/>
      <c r="X35" s="638"/>
      <c r="Y35" s="638"/>
      <c r="Z35" s="638"/>
      <c r="AA35" s="664"/>
    </row>
    <row r="36" spans="1:27" s="624" customFormat="1" ht="23.25" customHeight="1" x14ac:dyDescent="0.25">
      <c r="A36" s="639"/>
      <c r="B36" s="1524" t="s">
        <v>1036</v>
      </c>
      <c r="C36" s="1523"/>
      <c r="D36" s="640"/>
      <c r="E36" s="641"/>
      <c r="F36" s="325"/>
      <c r="G36" s="678"/>
      <c r="H36" s="679"/>
      <c r="I36" s="642"/>
      <c r="J36" s="643"/>
      <c r="K36" s="676"/>
      <c r="L36" s="677"/>
      <c r="M36" s="677"/>
      <c r="N36" s="677"/>
      <c r="O36" s="25" t="str">
        <f>_xlfn.IFNA(VLOOKUP($C36,'Master sheet'!$A:$AR,44,FALSE),"")&amp;""</f>
        <v/>
      </c>
      <c r="P36" s="637"/>
      <c r="Q36" s="726"/>
      <c r="R36" s="726"/>
      <c r="S36" s="638"/>
      <c r="T36" s="638"/>
      <c r="U36" s="638"/>
      <c r="V36" s="638"/>
      <c r="W36" s="638"/>
      <c r="X36" s="638"/>
      <c r="Y36" s="638"/>
      <c r="Z36" s="638"/>
      <c r="AA36" s="664"/>
    </row>
    <row r="37" spans="1:27" ht="22.8" x14ac:dyDescent="0.25">
      <c r="A37" s="729"/>
      <c r="B37" s="807"/>
      <c r="C37" s="808" t="s">
        <v>1070</v>
      </c>
      <c r="D37" s="19">
        <f>'USER INPUT SHEET'!$D$40</f>
        <v>0</v>
      </c>
      <c r="E37" s="20" t="str">
        <f>'USER INPUT SHEET'!$F$40</f>
        <v>m2</v>
      </c>
      <c r="F37" s="6">
        <v>1</v>
      </c>
      <c r="G37" s="692"/>
      <c r="H37" s="10"/>
      <c r="I37" s="98">
        <f t="shared" ref="I37:I39" si="9">K37-L37</f>
        <v>0</v>
      </c>
      <c r="J37" s="91" t="str">
        <f t="shared" ref="J37:J39" si="10">IF(H37=1,I37,"")</f>
        <v/>
      </c>
      <c r="K37" s="410">
        <f>F37*AVERAGE(K38:K39)</f>
        <v>0</v>
      </c>
      <c r="L37" s="99">
        <f>F37*AVERAGE(L38:L39)</f>
        <v>0</v>
      </c>
      <c r="M37" s="1552"/>
      <c r="N37" s="1552"/>
      <c r="O37" s="25" t="str">
        <f>_xlfn.IFNA(VLOOKUP($C37,'Master sheet'!$A:$AR,44,FALSE),"")&amp;""</f>
        <v/>
      </c>
      <c r="P37" s="655"/>
      <c r="Q37" s="765" t="s">
        <v>1642</v>
      </c>
      <c r="R37" s="757" t="s">
        <v>1734</v>
      </c>
      <c r="S37" s="664"/>
      <c r="T37" s="664"/>
      <c r="U37" s="664"/>
      <c r="V37" s="664"/>
      <c r="W37" s="664"/>
      <c r="X37" s="664"/>
      <c r="Y37" s="664"/>
      <c r="Z37" s="664"/>
      <c r="AA37" s="664"/>
    </row>
    <row r="38" spans="1:27" ht="31.5" customHeight="1" x14ac:dyDescent="0.25">
      <c r="A38" s="1589" t="s">
        <v>790</v>
      </c>
      <c r="B38" s="1617"/>
      <c r="C38" s="669" t="str">
        <f>INDEX('Master sheet'!$A$1:$A$670,MATCH(206,'Master sheet'!$AN$1:$AN$670,0))</f>
        <v>Steel studs - Non-loadbearing / MarinoWARE / Viper Stud Viper 20 / 362-S-125-18, 20EQ gauge, "2x4"</v>
      </c>
      <c r="D38" s="15">
        <f>'USER INPUT SHEET'!$D$40</f>
        <v>0</v>
      </c>
      <c r="E38" s="16" t="str">
        <f>'USER INPUT SHEET'!$F$40</f>
        <v>m2</v>
      </c>
      <c r="F38" s="3">
        <v>1</v>
      </c>
      <c r="G38" s="670"/>
      <c r="H38" s="8"/>
      <c r="I38" s="92">
        <f t="shared" si="9"/>
        <v>0</v>
      </c>
      <c r="J38" s="93" t="str">
        <f t="shared" si="10"/>
        <v/>
      </c>
      <c r="K38" s="406">
        <f>$D38*$F38*IF($E$35=16,3.13,2.31)*VLOOKUP($C38,'Master sheet'!$A:$AL,13,FALSE)</f>
        <v>0</v>
      </c>
      <c r="L38" s="94">
        <f>$D38*$F38*IF($E$35=16,3.13,2.31)*VLOOKUP($C38,'Master sheet'!$A:$AL,27,FALSE)</f>
        <v>0</v>
      </c>
      <c r="M38" s="1552"/>
      <c r="N38" s="1552"/>
      <c r="O38" s="25" t="str">
        <f ca="1">_xlfn.IFNA(VLOOKUP($C38,'Master sheet'!$A:$AR,44,FALSE),"")&amp;""</f>
        <v/>
      </c>
      <c r="P38" s="663"/>
      <c r="Q38" s="765" t="s">
        <v>1642</v>
      </c>
      <c r="R38" s="757" t="s">
        <v>1734</v>
      </c>
      <c r="S38" s="664"/>
      <c r="T38" s="664"/>
      <c r="U38" s="664"/>
      <c r="V38" s="664"/>
      <c r="W38" s="664"/>
      <c r="X38" s="664"/>
      <c r="Y38" s="664"/>
      <c r="Z38" s="664"/>
      <c r="AA38" s="664"/>
    </row>
    <row r="39" spans="1:27" s="624" customFormat="1" ht="31.5" customHeight="1" x14ac:dyDescent="0.25">
      <c r="A39" s="1618"/>
      <c r="B39" s="1617"/>
      <c r="C39" s="673" t="str">
        <f>INDEX('Master sheet'!$A$1:$A$670,MATCH(205,'Master sheet'!$AN$1:$AN$670,0))</f>
        <v>Steel studs - Non-loadbearing / ClarkDietrich /  / 362-S-125-18, 20EQ gauge, "2x4"</v>
      </c>
      <c r="D39" s="17">
        <f>'USER INPUT SHEET'!$D$40</f>
        <v>0</v>
      </c>
      <c r="E39" s="18" t="str">
        <f>'USER INPUT SHEET'!$F$40</f>
        <v>m2</v>
      </c>
      <c r="F39" s="4">
        <v>1</v>
      </c>
      <c r="G39" s="674"/>
      <c r="H39" s="9"/>
      <c r="I39" s="95">
        <f t="shared" si="9"/>
        <v>0</v>
      </c>
      <c r="J39" s="96" t="str">
        <f t="shared" si="10"/>
        <v/>
      </c>
      <c r="K39" s="407">
        <f>$D39*$F39*IF($E$35=16,3.13,2.31)*VLOOKUP($C39,'Master sheet'!$A:$AL,13,FALSE)</f>
        <v>0</v>
      </c>
      <c r="L39" s="97">
        <f>$D39*$F39*IF($E$35=16,3.13,2.31)*VLOOKUP($C39,'Master sheet'!$A:$AL,27,FALSE)</f>
        <v>0</v>
      </c>
      <c r="M39" s="1610"/>
      <c r="N39" s="1610"/>
      <c r="O39" s="25" t="str">
        <f ca="1">_xlfn.IFNA(VLOOKUP($C39,'Master sheet'!$A:$AR,44,FALSE),"")&amp;""</f>
        <v/>
      </c>
      <c r="P39" s="672"/>
      <c r="Q39" s="765" t="s">
        <v>1642</v>
      </c>
      <c r="R39" s="757" t="s">
        <v>1734</v>
      </c>
      <c r="S39" s="638"/>
      <c r="T39" s="638"/>
      <c r="U39" s="638"/>
      <c r="V39" s="638"/>
      <c r="W39" s="638"/>
      <c r="X39" s="638"/>
      <c r="Y39" s="638"/>
      <c r="Z39" s="638"/>
      <c r="AA39" s="664"/>
    </row>
    <row r="40" spans="1:27" s="624" customFormat="1" ht="23.25" customHeight="1" x14ac:dyDescent="0.25">
      <c r="A40" s="639"/>
      <c r="B40" s="1524" t="s">
        <v>1044</v>
      </c>
      <c r="C40" s="1523"/>
      <c r="D40" s="773"/>
      <c r="E40" s="641"/>
      <c r="F40" s="340"/>
      <c r="G40" s="739"/>
      <c r="H40" s="740"/>
      <c r="I40" s="642"/>
      <c r="J40" s="643"/>
      <c r="K40" s="676"/>
      <c r="L40" s="677"/>
      <c r="M40" s="677"/>
      <c r="N40" s="677"/>
      <c r="O40" s="25" t="str">
        <f>_xlfn.IFNA(VLOOKUP($C40,'Master sheet'!$A:$AR,44,FALSE),"")&amp;""</f>
        <v/>
      </c>
      <c r="P40" s="663"/>
      <c r="Q40" s="29"/>
      <c r="R40" s="728"/>
      <c r="T40" s="638"/>
      <c r="U40" s="638"/>
      <c r="V40" s="638"/>
      <c r="W40" s="638"/>
      <c r="X40" s="638"/>
      <c r="Y40" s="638"/>
      <c r="Z40" s="638"/>
      <c r="AA40" s="664"/>
    </row>
    <row r="41" spans="1:27" ht="22.8" x14ac:dyDescent="0.25">
      <c r="A41" s="1540" t="s">
        <v>787</v>
      </c>
      <c r="B41" s="1540"/>
      <c r="C41" s="691" t="s">
        <v>1359</v>
      </c>
      <c r="D41" s="19">
        <f>'USER INPUT SHEET'!$D$40</f>
        <v>0</v>
      </c>
      <c r="E41" s="20" t="str">
        <f>'USER INPUT SHEET'!$F$40</f>
        <v>m2</v>
      </c>
      <c r="F41" s="6">
        <v>1</v>
      </c>
      <c r="G41" s="692"/>
      <c r="H41" s="10"/>
      <c r="I41" s="98">
        <f t="shared" ref="I41:I44" si="11">K41-L41</f>
        <v>0</v>
      </c>
      <c r="J41" s="91" t="str">
        <f>IF(H41=1,I41,"")</f>
        <v/>
      </c>
      <c r="K41" s="410">
        <f>F41*AVERAGE(K42:K44)</f>
        <v>0</v>
      </c>
      <c r="L41" s="99">
        <f>F41*AVERAGE(L42:L44)</f>
        <v>0</v>
      </c>
      <c r="M41" s="1552"/>
      <c r="N41" s="1552"/>
      <c r="O41" s="25" t="str">
        <f>_xlfn.IFNA(VLOOKUP($C41,'Master sheet'!$A:$AR,44,FALSE),"")&amp;""</f>
        <v/>
      </c>
      <c r="P41" s="637"/>
      <c r="Q41" s="765" t="s">
        <v>1642</v>
      </c>
      <c r="R41" s="757" t="s">
        <v>1734</v>
      </c>
      <c r="S41" s="664"/>
      <c r="T41" s="664"/>
      <c r="U41" s="664"/>
      <c r="V41" s="664"/>
      <c r="W41" s="664"/>
      <c r="X41" s="664"/>
      <c r="Y41" s="664"/>
      <c r="Z41" s="664"/>
      <c r="AA41" s="664"/>
    </row>
    <row r="42" spans="1:27" ht="31.65" customHeight="1" x14ac:dyDescent="0.25">
      <c r="A42" s="1540"/>
      <c r="B42" s="1540"/>
      <c r="C42" s="669" t="str">
        <f>INDEX('Master sheet'!$A$1:$A$670,MATCH(201,'Master sheet'!$AN$1:$AN$670,0))</f>
        <v>Steel studs - Load bearing / MarinoWARE / Structural stud and track / 600-S-137-54, 16 gauge, "2x6"</v>
      </c>
      <c r="D42" s="15">
        <f>'USER INPUT SHEET'!$D$40</f>
        <v>0</v>
      </c>
      <c r="E42" s="16" t="str">
        <f>'USER INPUT SHEET'!$F$40</f>
        <v>m2</v>
      </c>
      <c r="F42" s="3">
        <v>1</v>
      </c>
      <c r="G42" s="670"/>
      <c r="H42" s="8"/>
      <c r="I42" s="92">
        <f t="shared" si="11"/>
        <v>0</v>
      </c>
      <c r="J42" s="93" t="str">
        <f t="shared" si="8"/>
        <v/>
      </c>
      <c r="K42" s="406">
        <f>$D42*$F42*IF($E$35=16,3.13,2.31)*VLOOKUP($C42,'Master sheet'!$A:$AL,13,FALSE)</f>
        <v>0</v>
      </c>
      <c r="L42" s="94">
        <f>$D42*$F42*IF($E$35=16,3.13,2.31)*VLOOKUP($C42,'Master sheet'!$A:$AL,27,FALSE)</f>
        <v>0</v>
      </c>
      <c r="M42" s="1552"/>
      <c r="N42" s="1552"/>
      <c r="O42" s="25" t="str">
        <f ca="1">_xlfn.IFNA(VLOOKUP($C42,'Master sheet'!$A:$AR,44,FALSE),"")&amp;""</f>
        <v/>
      </c>
      <c r="P42" s="671"/>
      <c r="Q42" s="765" t="s">
        <v>1642</v>
      </c>
      <c r="R42" s="757" t="s">
        <v>1734</v>
      </c>
      <c r="T42" s="664"/>
      <c r="U42" s="664"/>
      <c r="V42" s="664"/>
      <c r="W42" s="664"/>
      <c r="X42" s="664"/>
      <c r="Y42" s="664"/>
      <c r="Z42" s="664"/>
      <c r="AA42" s="638"/>
    </row>
    <row r="43" spans="1:27" ht="23.25" customHeight="1" x14ac:dyDescent="0.25">
      <c r="A43" s="1540"/>
      <c r="B43" s="1540"/>
      <c r="C43" s="669" t="str">
        <f>INDEX('Master sheet'!$A$1:$A$670,MATCH(203,'Master sheet'!$AN$1:$AN$670,0))</f>
        <v>Steel studs - Load bearing / Scafco /  / 600-S-137-54, 16 gauge</v>
      </c>
      <c r="D43" s="15">
        <f>'USER INPUT SHEET'!$D$40</f>
        <v>0</v>
      </c>
      <c r="E43" s="16" t="str">
        <f>'USER INPUT SHEET'!$F$40</f>
        <v>m2</v>
      </c>
      <c r="F43" s="3">
        <v>1</v>
      </c>
      <c r="G43" s="670"/>
      <c r="H43" s="8"/>
      <c r="I43" s="92">
        <f t="shared" si="11"/>
        <v>0</v>
      </c>
      <c r="J43" s="93" t="str">
        <f t="shared" si="8"/>
        <v/>
      </c>
      <c r="K43" s="406">
        <f>$D43*$F43*IF($E$35=16,3.13,2.31)*VLOOKUP($C43,'Master sheet'!$A:$AL,13,FALSE)</f>
        <v>0</v>
      </c>
      <c r="L43" s="94">
        <f>$D43*$F43*IF($E$35=16,3.13,2.31)*VLOOKUP($C43,'Master sheet'!$A:$AL,27,FALSE)</f>
        <v>0</v>
      </c>
      <c r="M43" s="1552"/>
      <c r="N43" s="1552"/>
      <c r="O43" s="25" t="str">
        <f ca="1">_xlfn.IFNA(VLOOKUP($C43,'Master sheet'!$A:$AR,44,FALSE),"")&amp;""</f>
        <v>Expired 2024</v>
      </c>
      <c r="P43" s="672"/>
      <c r="Q43" s="765" t="s">
        <v>1642</v>
      </c>
      <c r="R43" s="757" t="s">
        <v>1734</v>
      </c>
      <c r="T43" s="664"/>
      <c r="U43" s="664"/>
      <c r="V43" s="664"/>
      <c r="W43" s="664"/>
      <c r="X43" s="664"/>
      <c r="Y43" s="664"/>
      <c r="Z43" s="664"/>
      <c r="AA43" s="664"/>
    </row>
    <row r="44" spans="1:27" s="624" customFormat="1" ht="31.5" customHeight="1" x14ac:dyDescent="0.25">
      <c r="A44" s="1540"/>
      <c r="B44" s="1540"/>
      <c r="C44" s="673" t="str">
        <f>INDEX('Master sheet'!$A$1:$A$670,MATCH(200,'Master sheet'!$AN$1:$AN$670,0))</f>
        <v>Steel studs - Load bearing  / ClarkDietrich /  / 600-S-137-54, 16 gauge</v>
      </c>
      <c r="D44" s="17">
        <f>'USER INPUT SHEET'!$D$40</f>
        <v>0</v>
      </c>
      <c r="E44" s="18" t="str">
        <f>'USER INPUT SHEET'!$F$40</f>
        <v>m2</v>
      </c>
      <c r="F44" s="4">
        <v>1</v>
      </c>
      <c r="G44" s="674"/>
      <c r="H44" s="9"/>
      <c r="I44" s="95">
        <f t="shared" si="11"/>
        <v>0</v>
      </c>
      <c r="J44" s="96" t="str">
        <f t="shared" si="8"/>
        <v/>
      </c>
      <c r="K44" s="407">
        <f>$D44*$F44*IF($E$35=16,3.13,2.31)*VLOOKUP($C44,'Master sheet'!$A:$AL,13,FALSE)</f>
        <v>0</v>
      </c>
      <c r="L44" s="97">
        <f>$D44*$F44*IF($E$35=16,3.13,2.31)*VLOOKUP($C44,'Master sheet'!$A:$AL,27,FALSE)</f>
        <v>0</v>
      </c>
      <c r="M44" s="1552"/>
      <c r="N44" s="1552"/>
      <c r="O44" s="25" t="str">
        <f ca="1">_xlfn.IFNA(VLOOKUP($C44,'Master sheet'!$A:$AR,44,FALSE),"")&amp;""</f>
        <v/>
      </c>
      <c r="P44" s="637"/>
      <c r="Q44" s="765" t="s">
        <v>1642</v>
      </c>
      <c r="R44" s="757" t="s">
        <v>1734</v>
      </c>
      <c r="T44" s="638"/>
      <c r="U44" s="638"/>
      <c r="V44" s="638"/>
      <c r="W44" s="638"/>
      <c r="X44" s="638"/>
      <c r="Y44" s="638"/>
      <c r="Z44" s="638"/>
      <c r="AA44" s="664"/>
    </row>
    <row r="45" spans="1:27" s="624" customFormat="1" ht="54.75" customHeight="1" x14ac:dyDescent="0.25">
      <c r="A45" s="1522" t="s">
        <v>1653</v>
      </c>
      <c r="B45" s="1523"/>
      <c r="C45" s="1523"/>
      <c r="D45" s="649"/>
      <c r="E45" s="650"/>
      <c r="F45" s="321"/>
      <c r="G45" s="650"/>
      <c r="H45" s="650"/>
      <c r="I45" s="651"/>
      <c r="J45" s="103" t="str">
        <f>IF(H45=1,I45,"")</f>
        <v/>
      </c>
      <c r="K45" s="652"/>
      <c r="L45" s="759"/>
      <c r="M45" s="759"/>
      <c r="N45" s="759"/>
      <c r="O45" s="25" t="str">
        <f>_xlfn.IFNA(VLOOKUP($C45,'Master sheet'!$A:$AR,44,FALSE),"")&amp;""</f>
        <v/>
      </c>
      <c r="P45" s="685"/>
      <c r="Q45" s="761"/>
      <c r="R45" s="728"/>
      <c r="T45" s="638"/>
      <c r="U45" s="638"/>
      <c r="V45" s="638"/>
      <c r="W45" s="638"/>
      <c r="X45" s="638"/>
      <c r="Y45" s="638"/>
      <c r="Z45" s="638"/>
      <c r="AA45" s="664"/>
    </row>
    <row r="46" spans="1:27" ht="22.8" x14ac:dyDescent="0.25">
      <c r="A46" s="686"/>
      <c r="B46" s="1541" t="s">
        <v>1654</v>
      </c>
      <c r="C46" s="1530"/>
      <c r="D46" s="656"/>
      <c r="E46" s="657"/>
      <c r="F46" s="339"/>
      <c r="G46" s="724"/>
      <c r="H46" s="763"/>
      <c r="I46" s="658"/>
      <c r="J46" s="659"/>
      <c r="K46" s="660"/>
      <c r="L46" s="723"/>
      <c r="M46" s="727"/>
      <c r="N46" s="727"/>
      <c r="O46" s="25" t="str">
        <f>_xlfn.IFNA(VLOOKUP($C46,'Master sheet'!$A:$AR,44,FALSE),"")&amp;""</f>
        <v/>
      </c>
      <c r="P46" s="685"/>
      <c r="T46" s="664"/>
      <c r="U46" s="664"/>
      <c r="V46" s="664"/>
      <c r="W46" s="664"/>
      <c r="X46" s="664"/>
      <c r="Y46" s="664"/>
      <c r="Z46" s="664"/>
      <c r="AA46" s="638"/>
    </row>
    <row r="47" spans="1:27" ht="22.8" x14ac:dyDescent="0.25">
      <c r="A47" s="729"/>
      <c r="B47" s="729"/>
      <c r="C47" s="691" t="s">
        <v>1733</v>
      </c>
      <c r="D47" s="19">
        <f>'USER INPUT SHEET'!$D$40</f>
        <v>0</v>
      </c>
      <c r="E47" s="20" t="str">
        <f>'USER INPUT SHEET'!$F$40</f>
        <v>m2</v>
      </c>
      <c r="F47" s="6">
        <v>1</v>
      </c>
      <c r="G47" s="692"/>
      <c r="H47" s="10"/>
      <c r="I47" s="98">
        <f>K47-L47</f>
        <v>0</v>
      </c>
      <c r="J47" s="91" t="str">
        <f t="shared" ref="J47:J53" si="12">IF(H47=1,I47,"")</f>
        <v/>
      </c>
      <c r="K47" s="410">
        <f>F47*AVERAGE(K48:K53)</f>
        <v>0</v>
      </c>
      <c r="L47" s="99">
        <f>F47*AVERAGE(L48:L53)</f>
        <v>0</v>
      </c>
      <c r="M47" s="1552"/>
      <c r="N47" s="1552"/>
      <c r="O47" s="25" t="str">
        <f>_xlfn.IFNA(VLOOKUP($C47,'Master sheet'!$A:$AR,44,FALSE),"")&amp;""</f>
        <v/>
      </c>
      <c r="Q47" s="765" t="s">
        <v>1642</v>
      </c>
      <c r="R47" s="757" t="s">
        <v>1653</v>
      </c>
      <c r="S47" s="664"/>
      <c r="T47" s="664"/>
      <c r="U47" s="664"/>
      <c r="V47" s="664"/>
      <c r="W47" s="664"/>
      <c r="X47" s="664"/>
      <c r="Y47" s="664"/>
      <c r="Z47" s="664"/>
      <c r="AA47" s="664"/>
    </row>
    <row r="48" spans="1:27" ht="31.5" customHeight="1" x14ac:dyDescent="0.25">
      <c r="A48" s="1540" t="s">
        <v>789</v>
      </c>
      <c r="B48" s="1540"/>
      <c r="C48" s="749" t="str">
        <f>INDEX('Master sheet'!$A$1:$A$670,MATCH("A15",'Master sheet'!$AN$1:$AN$670,0))</f>
        <v xml:space="preserve">CMU - Light weight / Brampton Brick (Boehmers) / 8" CarboClave Block / 8 x 8 x 16 </v>
      </c>
      <c r="D48" s="250">
        <f>'USER INPUT SHEET'!$D$40</f>
        <v>0</v>
      </c>
      <c r="E48" s="251" t="str">
        <f>'USER INPUT SHEET'!$F$40</f>
        <v>m2</v>
      </c>
      <c r="F48" s="252">
        <v>1</v>
      </c>
      <c r="G48" s="750"/>
      <c r="H48" s="253"/>
      <c r="I48" s="254">
        <f t="shared" ref="I48:I52" si="13">K48-L48</f>
        <v>0</v>
      </c>
      <c r="J48" s="255" t="str">
        <f t="shared" ref="J48:J52" si="14">IF(H48=1,I48,"")</f>
        <v/>
      </c>
      <c r="K48" s="417">
        <f>$D48*$F48*VLOOKUP($C48,'Master sheet'!$A:$AL,13,FALSE)</f>
        <v>0</v>
      </c>
      <c r="L48" s="256">
        <f>$D48*$F48*VLOOKUP($C48,'Master sheet'!$A:$AL,27,FALSE)</f>
        <v>0</v>
      </c>
      <c r="M48" s="1552"/>
      <c r="N48" s="1552"/>
      <c r="O48" s="25" t="str">
        <f>_xlfn.IFNA(VLOOKUP($C48,'Master sheet'!$A:$AR,44,FALSE),"")&amp;""</f>
        <v/>
      </c>
      <c r="Q48" s="765" t="s">
        <v>1642</v>
      </c>
      <c r="R48" s="757" t="s">
        <v>1653</v>
      </c>
      <c r="T48" s="664"/>
      <c r="U48" s="664"/>
      <c r="V48" s="664"/>
      <c r="W48" s="664"/>
      <c r="X48" s="664"/>
      <c r="Y48" s="664"/>
      <c r="Z48" s="664"/>
      <c r="AA48" s="664"/>
    </row>
    <row r="49" spans="1:27" ht="46.8" x14ac:dyDescent="0.25">
      <c r="A49" s="1540"/>
      <c r="B49" s="1540"/>
      <c r="C49" s="749" t="str">
        <f>INDEX('Master sheet'!$A$1:$A$670,MATCH("A16",'Master sheet'!$AN$1:$AN$670,0))</f>
        <v xml:space="preserve">CMU - Light weight / Canadian Concrete Masonry Producers Assn, East Region / 8" Light weight blocks / 15 MPa, 390 x 190 x 190 mm </v>
      </c>
      <c r="D49" s="250">
        <f>'USER INPUT SHEET'!$D$40</f>
        <v>0</v>
      </c>
      <c r="E49" s="251" t="str">
        <f>'USER INPUT SHEET'!$F$40</f>
        <v>m2</v>
      </c>
      <c r="F49" s="252">
        <v>1</v>
      </c>
      <c r="G49" s="750"/>
      <c r="H49" s="253"/>
      <c r="I49" s="254">
        <f t="shared" si="13"/>
        <v>0</v>
      </c>
      <c r="J49" s="255" t="str">
        <f t="shared" si="14"/>
        <v/>
      </c>
      <c r="K49" s="417">
        <f>$D49*$F49*VLOOKUP($C49,'Master sheet'!$A:$AL,13,FALSE)</f>
        <v>0</v>
      </c>
      <c r="L49" s="256">
        <f>$D49*$F49*VLOOKUP($C49,'Master sheet'!$A:$AL,27,FALSE)</f>
        <v>0</v>
      </c>
      <c r="M49" s="1552"/>
      <c r="N49" s="1552"/>
      <c r="O49" s="25" t="str">
        <f>_xlfn.IFNA(VLOOKUP($C49,'Master sheet'!$A:$AR,44,FALSE),"")&amp;""</f>
        <v/>
      </c>
      <c r="Q49" s="765" t="s">
        <v>1642</v>
      </c>
      <c r="R49" s="757" t="s">
        <v>1653</v>
      </c>
      <c r="T49" s="664"/>
      <c r="U49" s="664"/>
      <c r="V49" s="664"/>
      <c r="W49" s="664"/>
      <c r="X49" s="664"/>
      <c r="Y49" s="664"/>
      <c r="Z49" s="664"/>
      <c r="AA49" s="664"/>
    </row>
    <row r="50" spans="1:27" ht="46.8" x14ac:dyDescent="0.25">
      <c r="A50" s="1540"/>
      <c r="B50" s="1540"/>
      <c r="C50" s="749" t="str">
        <f>INDEX('Master sheet'!$A$1:$A$670,MATCH("A17",'Master sheet'!$AN$1:$AN$670,0))</f>
        <v xml:space="preserve">CMU - Light weight / Canadian Concrete Masonry Producers Assn, West Region / 8" Light weight blocks / 15 MPa, 390 x 190 x 190 mm </v>
      </c>
      <c r="D50" s="250">
        <f>'USER INPUT SHEET'!$D$40</f>
        <v>0</v>
      </c>
      <c r="E50" s="251" t="str">
        <f>'USER INPUT SHEET'!$F$40</f>
        <v>m2</v>
      </c>
      <c r="F50" s="252">
        <v>1</v>
      </c>
      <c r="G50" s="750"/>
      <c r="H50" s="253"/>
      <c r="I50" s="254">
        <f t="shared" si="13"/>
        <v>0</v>
      </c>
      <c r="J50" s="255" t="str">
        <f t="shared" si="14"/>
        <v/>
      </c>
      <c r="K50" s="417">
        <f>$D50*$F50*VLOOKUP($C50,'Master sheet'!$A:$AL,13,FALSE)</f>
        <v>0</v>
      </c>
      <c r="L50" s="256">
        <f>$D50*$F50*VLOOKUP($C50,'Master sheet'!$A:$AL,27,FALSE)</f>
        <v>0</v>
      </c>
      <c r="M50" s="1552"/>
      <c r="N50" s="1552"/>
      <c r="O50" s="25" t="str">
        <f>_xlfn.IFNA(VLOOKUP($C50,'Master sheet'!$A:$AR,44,FALSE),"")&amp;""</f>
        <v/>
      </c>
      <c r="Q50" s="765" t="s">
        <v>1642</v>
      </c>
      <c r="R50" s="757" t="s">
        <v>1653</v>
      </c>
      <c r="T50" s="664"/>
      <c r="U50" s="664"/>
      <c r="V50" s="664"/>
      <c r="W50" s="664"/>
      <c r="X50" s="664"/>
      <c r="Y50" s="664"/>
      <c r="Z50" s="664"/>
      <c r="AA50" s="664"/>
    </row>
    <row r="51" spans="1:27" ht="31.2" x14ac:dyDescent="0.25">
      <c r="A51" s="1540"/>
      <c r="B51" s="1540"/>
      <c r="C51" s="749" t="str">
        <f>INDEX('Master sheet'!$A$1:$A$670,MATCH("A20",'Master sheet'!$AN$1:$AN$670,0))</f>
        <v xml:space="preserve">CMU - Normal weight / Brampton Brick (Boehmers) / 8" CarboClave Block / 8 x 8 x 16 </v>
      </c>
      <c r="D51" s="250">
        <f>'USER INPUT SHEET'!$D$40</f>
        <v>0</v>
      </c>
      <c r="E51" s="251" t="str">
        <f>'USER INPUT SHEET'!$F$40</f>
        <v>m2</v>
      </c>
      <c r="F51" s="252">
        <v>1</v>
      </c>
      <c r="G51" s="750"/>
      <c r="H51" s="253"/>
      <c r="I51" s="254">
        <f t="shared" si="13"/>
        <v>0</v>
      </c>
      <c r="J51" s="255" t="str">
        <f t="shared" si="14"/>
        <v/>
      </c>
      <c r="K51" s="417">
        <f>$D51*$F51*VLOOKUP($C51,'Master sheet'!$A:$AL,13,FALSE)</f>
        <v>0</v>
      </c>
      <c r="L51" s="256">
        <f>$D51*$F51*VLOOKUP($C51,'Master sheet'!$A:$AL,27,FALSE)</f>
        <v>0</v>
      </c>
      <c r="M51" s="1552"/>
      <c r="N51" s="1552"/>
      <c r="O51" s="25" t="str">
        <f>_xlfn.IFNA(VLOOKUP($C51,'Master sheet'!$A:$AR,44,FALSE),"")&amp;""</f>
        <v/>
      </c>
      <c r="Q51" s="765" t="s">
        <v>1642</v>
      </c>
      <c r="R51" s="757" t="s">
        <v>1653</v>
      </c>
      <c r="T51" s="664"/>
      <c r="U51" s="664"/>
      <c r="V51" s="664"/>
      <c r="W51" s="664"/>
      <c r="X51" s="664"/>
      <c r="Y51" s="664"/>
      <c r="Z51" s="664"/>
      <c r="AA51" s="664"/>
    </row>
    <row r="52" spans="1:27" ht="46.8" x14ac:dyDescent="0.25">
      <c r="A52" s="1540"/>
      <c r="B52" s="1540"/>
      <c r="C52" s="749" t="str">
        <f>INDEX('Master sheet'!$A$1:$A$670,MATCH("A18",'Master sheet'!$AN$1:$AN$670,0))</f>
        <v xml:space="preserve">CMU - Normal weight / Canadian Concrete Masonry Producers Assn, East Region / 8" Normal weight blocks / 15 MPa, 390 x 190 x 190 mm </v>
      </c>
      <c r="D52" s="250">
        <f>'USER INPUT SHEET'!$D$40</f>
        <v>0</v>
      </c>
      <c r="E52" s="251" t="str">
        <f>'USER INPUT SHEET'!$F$40</f>
        <v>m2</v>
      </c>
      <c r="F52" s="252">
        <v>1</v>
      </c>
      <c r="G52" s="750"/>
      <c r="H52" s="253"/>
      <c r="I52" s="254">
        <f t="shared" si="13"/>
        <v>0</v>
      </c>
      <c r="J52" s="255" t="str">
        <f t="shared" si="14"/>
        <v/>
      </c>
      <c r="K52" s="417">
        <f>$D52*$F52*VLOOKUP($C52,'Master sheet'!$A:$AL,13,FALSE)</f>
        <v>0</v>
      </c>
      <c r="L52" s="256">
        <f>$D52*$F52*VLOOKUP($C52,'Master sheet'!$A:$AL,27,FALSE)</f>
        <v>0</v>
      </c>
      <c r="M52" s="1552"/>
      <c r="N52" s="1552"/>
      <c r="O52" s="25" t="str">
        <f>_xlfn.IFNA(VLOOKUP($C52,'Master sheet'!$A:$AR,44,FALSE),"")&amp;""</f>
        <v/>
      </c>
      <c r="Q52" s="765" t="s">
        <v>1642</v>
      </c>
      <c r="R52" s="757" t="s">
        <v>1653</v>
      </c>
      <c r="T52" s="664"/>
      <c r="U52" s="664"/>
      <c r="V52" s="664"/>
      <c r="W52" s="664"/>
      <c r="X52" s="664"/>
      <c r="Y52" s="664"/>
      <c r="Z52" s="664"/>
      <c r="AA52" s="664"/>
    </row>
    <row r="53" spans="1:27" s="624" customFormat="1" ht="46.8" x14ac:dyDescent="0.25">
      <c r="A53" s="1619"/>
      <c r="B53" s="1619"/>
      <c r="C53" s="749" t="str">
        <f>INDEX('Master sheet'!$A$1:$A$670,MATCH("A19",'Master sheet'!$AN$1:$AN$670,0))</f>
        <v xml:space="preserve">CMU - Normal weight / Canadian Concrete Masonry Producers Assn, West Region / 8" Normal weight blocks / 15 MPa, 390 x 190 x 190 mm </v>
      </c>
      <c r="D53" s="250">
        <f>'USER INPUT SHEET'!$D$40</f>
        <v>0</v>
      </c>
      <c r="E53" s="251" t="str">
        <f>'USER INPUT SHEET'!$F$40</f>
        <v>m2</v>
      </c>
      <c r="F53" s="252">
        <v>1</v>
      </c>
      <c r="G53" s="750"/>
      <c r="H53" s="253"/>
      <c r="I53" s="254">
        <f t="shared" ref="I53" si="15">K53-L53</f>
        <v>0</v>
      </c>
      <c r="J53" s="255" t="str">
        <f t="shared" si="12"/>
        <v/>
      </c>
      <c r="K53" s="417">
        <f>$D53*$F53*VLOOKUP($C53,'Master sheet'!$A:$AL,13,FALSE)</f>
        <v>0</v>
      </c>
      <c r="L53" s="256">
        <f>$D53*$F53*VLOOKUP($C53,'Master sheet'!$A:$AL,27,FALSE)</f>
        <v>0</v>
      </c>
      <c r="M53" s="1552"/>
      <c r="N53" s="1552"/>
      <c r="O53" s="25" t="str">
        <f>_xlfn.IFNA(VLOOKUP($C53,'Master sheet'!$A:$AR,44,FALSE),"")&amp;""</f>
        <v/>
      </c>
      <c r="P53" s="620"/>
      <c r="Q53" s="765" t="s">
        <v>1642</v>
      </c>
      <c r="R53" s="757" t="s">
        <v>1653</v>
      </c>
      <c r="T53" s="638"/>
      <c r="U53" s="638"/>
      <c r="V53" s="638"/>
      <c r="W53" s="638"/>
      <c r="X53" s="638"/>
      <c r="Y53" s="638"/>
      <c r="Z53" s="638"/>
      <c r="AA53" s="664"/>
    </row>
    <row r="54" spans="1:27" s="624" customFormat="1" ht="54.75" customHeight="1" x14ac:dyDescent="0.25">
      <c r="A54" s="1522" t="s">
        <v>1650</v>
      </c>
      <c r="B54" s="1523"/>
      <c r="C54" s="1523"/>
      <c r="D54" s="629" t="s">
        <v>1676</v>
      </c>
      <c r="E54" s="1"/>
      <c r="F54" s="323" t="s">
        <v>1652</v>
      </c>
      <c r="G54" s="650"/>
      <c r="H54" s="650"/>
      <c r="I54" s="631"/>
      <c r="J54" s="632"/>
      <c r="K54" s="777"/>
      <c r="L54" s="720"/>
      <c r="M54" s="720"/>
      <c r="N54" s="720"/>
      <c r="O54" s="25" t="str">
        <f>_xlfn.IFNA(VLOOKUP($C54,'Master sheet'!$A:$AR,44,FALSE),"")&amp;""</f>
        <v/>
      </c>
      <c r="P54" s="637"/>
      <c r="Q54" s="722"/>
      <c r="R54" s="722"/>
      <c r="S54" s="638"/>
      <c r="T54" s="638"/>
      <c r="U54" s="638"/>
      <c r="V54" s="638"/>
      <c r="W54" s="638"/>
      <c r="X54" s="638"/>
      <c r="Y54" s="638"/>
      <c r="Z54" s="638"/>
      <c r="AA54" s="664"/>
    </row>
    <row r="55" spans="1:27" ht="23.85" customHeight="1" x14ac:dyDescent="0.25">
      <c r="A55" s="639"/>
      <c r="B55" s="1524" t="s">
        <v>1349</v>
      </c>
      <c r="C55" s="1524"/>
      <c r="D55" s="656"/>
      <c r="E55" s="657"/>
      <c r="F55" s="322"/>
      <c r="G55" s="657"/>
      <c r="H55" s="657"/>
      <c r="I55" s="658"/>
      <c r="J55" s="659"/>
      <c r="K55" s="660"/>
      <c r="L55" s="661"/>
      <c r="M55" s="677"/>
      <c r="N55" s="677"/>
      <c r="O55" s="25" t="str">
        <f>_xlfn.IFNA(VLOOKUP($C55,'Master sheet'!$A:$AR,44,FALSE),"")&amp;""</f>
        <v/>
      </c>
      <c r="P55" s="663"/>
      <c r="Q55" s="30"/>
      <c r="R55" s="21"/>
      <c r="S55" s="664"/>
      <c r="T55" s="664"/>
      <c r="U55" s="664"/>
      <c r="V55" s="664"/>
      <c r="W55" s="664"/>
      <c r="X55" s="664"/>
      <c r="Y55" s="664"/>
      <c r="Z55" s="664"/>
      <c r="AA55" s="664"/>
    </row>
    <row r="56" spans="1:27" ht="31.5" customHeight="1" x14ac:dyDescent="0.25">
      <c r="A56" s="1525" t="s">
        <v>786</v>
      </c>
      <c r="B56" s="1525"/>
      <c r="C56" s="667" t="str" cm="1">
        <f t="array" ref="C56">INDEX('Master sheet'!$A$1:$A$670,MATCH(1,("0-25" = 'Master sheet'!$AO$1:$AO$670)*(1 = 'Master sheet'!$AP$1:$AP$670)*('Master sheet'!$AT$1:$AT$670),0))</f>
        <v xml:space="preserve">Concrete - 25 MPa, GU / SRMCA / Can. Sask Avg. / </v>
      </c>
      <c r="D56" s="230">
        <f>$E$54</f>
        <v>0</v>
      </c>
      <c r="E56" s="308" t="s">
        <v>3</v>
      </c>
      <c r="F56" s="5">
        <v>1</v>
      </c>
      <c r="G56" s="668"/>
      <c r="H56" s="10"/>
      <c r="I56" s="232">
        <f t="shared" ref="I56:I62" si="16">K56-L56</f>
        <v>0</v>
      </c>
      <c r="J56" s="233" t="str">
        <f t="shared" ref="J56:J62" si="17">IF(H56=1,I56,"")</f>
        <v/>
      </c>
      <c r="K56" s="409">
        <f>$D56*$F56*VLOOKUP($C56,'Master sheet'!$A:$AL,13,FALSE)</f>
        <v>0</v>
      </c>
      <c r="L56" s="234">
        <v>0</v>
      </c>
      <c r="M56" s="1552"/>
      <c r="N56" s="1552"/>
      <c r="O56" s="25" t="str">
        <f ca="1">_xlfn.IFNA(VLOOKUP($C56,'Master sheet'!$A:$AR,44,FALSE),"")&amp;""</f>
        <v/>
      </c>
      <c r="P56" s="637"/>
      <c r="Q56" s="765" t="s">
        <v>1642</v>
      </c>
      <c r="R56" s="757" t="s">
        <v>1653</v>
      </c>
      <c r="S56" s="664"/>
      <c r="T56" s="664"/>
      <c r="U56" s="664"/>
      <c r="V56" s="664"/>
      <c r="W56" s="664"/>
      <c r="X56" s="664"/>
      <c r="Y56" s="664"/>
      <c r="Z56" s="664"/>
      <c r="AA56" s="664"/>
    </row>
    <row r="57" spans="1:27" ht="23.25" customHeight="1" x14ac:dyDescent="0.25">
      <c r="A57" s="1525"/>
      <c r="B57" s="1525"/>
      <c r="C57" s="669" t="str" cm="1">
        <f t="array" ref="C57">INDEX('Master sheet'!$A$1:$A$670,MATCH(1,("0-25" = 'Master sheet'!$AO$1:$AO$670)*(2 = 'Master sheet'!$AP$1:$AP$670)*('Master sheet'!$AT$1:$AT$670),0))</f>
        <v xml:space="preserve">Concrete - 25 MPa, 10% FA, GU / SRMCA / Can. Sask Avg. / </v>
      </c>
      <c r="D57" s="15">
        <f t="shared" ref="D57:D62" si="18">$E$54</f>
        <v>0</v>
      </c>
      <c r="E57" s="16" t="s">
        <v>3</v>
      </c>
      <c r="F57" s="3">
        <v>1</v>
      </c>
      <c r="G57" s="670"/>
      <c r="H57" s="8"/>
      <c r="I57" s="92">
        <f t="shared" si="16"/>
        <v>0</v>
      </c>
      <c r="J57" s="93" t="str">
        <f t="shared" si="17"/>
        <v/>
      </c>
      <c r="K57" s="406">
        <f>$D57*$F57*VLOOKUP($C57,'Master sheet'!$A:$AL,13,FALSE)</f>
        <v>0</v>
      </c>
      <c r="L57" s="94">
        <v>0</v>
      </c>
      <c r="M57" s="1552"/>
      <c r="N57" s="1552"/>
      <c r="O57" s="25" t="str">
        <f ca="1">_xlfn.IFNA(VLOOKUP($C57,'Master sheet'!$A:$AR,44,FALSE),"")&amp;""</f>
        <v/>
      </c>
      <c r="P57" s="671"/>
      <c r="Q57" s="765" t="s">
        <v>1642</v>
      </c>
      <c r="R57" s="757" t="s">
        <v>1653</v>
      </c>
      <c r="S57" s="664"/>
      <c r="T57" s="664"/>
      <c r="U57" s="664"/>
      <c r="V57" s="664"/>
      <c r="W57" s="664"/>
      <c r="X57" s="664"/>
      <c r="Y57" s="664"/>
      <c r="Z57" s="664"/>
      <c r="AA57" s="638"/>
    </row>
    <row r="58" spans="1:27" ht="23.25" customHeight="1" x14ac:dyDescent="0.25">
      <c r="A58" s="1525"/>
      <c r="B58" s="1525"/>
      <c r="C58" s="669" t="str" cm="1">
        <f t="array" ref="C58">INDEX('Master sheet'!$A$1:$A$670,MATCH(1,("0-25" = 'Master sheet'!$AO$1:$AO$670)*(3 = 'Master sheet'!$AP$1:$AP$670)*('Master sheet'!$AT$1:$AT$670),0))</f>
        <v xml:space="preserve">Concrete - 25 MPa, 20% FA, GU / SRMCA / Can. Sask Avg. / </v>
      </c>
      <c r="D58" s="15">
        <f t="shared" si="18"/>
        <v>0</v>
      </c>
      <c r="E58" s="16" t="s">
        <v>3</v>
      </c>
      <c r="F58" s="3">
        <v>1</v>
      </c>
      <c r="G58" s="670"/>
      <c r="H58" s="8"/>
      <c r="I58" s="92">
        <f t="shared" si="16"/>
        <v>0</v>
      </c>
      <c r="J58" s="93" t="str">
        <f t="shared" si="17"/>
        <v/>
      </c>
      <c r="K58" s="406">
        <f>$D58*$F58*VLOOKUP($C58,'Master sheet'!$A:$AL,13,FALSE)</f>
        <v>0</v>
      </c>
      <c r="L58" s="94">
        <v>0</v>
      </c>
      <c r="M58" s="1552"/>
      <c r="N58" s="1552"/>
      <c r="O58" s="25" t="str">
        <f ca="1">_xlfn.IFNA(VLOOKUP($C58,'Master sheet'!$A:$AR,44,FALSE),"")&amp;""</f>
        <v/>
      </c>
      <c r="P58" s="672"/>
      <c r="Q58" s="765" t="s">
        <v>1642</v>
      </c>
      <c r="R58" s="757" t="s">
        <v>1653</v>
      </c>
      <c r="S58" s="664"/>
      <c r="T58" s="664"/>
      <c r="U58" s="664"/>
      <c r="V58" s="664"/>
      <c r="W58" s="664"/>
      <c r="X58" s="664"/>
      <c r="Y58" s="664"/>
      <c r="Z58" s="664"/>
      <c r="AA58" s="664"/>
    </row>
    <row r="59" spans="1:27" ht="23.25" customHeight="1" x14ac:dyDescent="0.25">
      <c r="A59" s="1525"/>
      <c r="B59" s="1525"/>
      <c r="C59" s="669" t="str" cm="1">
        <f t="array" ref="C59">INDEX('Master sheet'!$A$1:$A$670,MATCH(1,("0-25" = 'Master sheet'!$AO$1:$AO$670)*(4 = 'Master sheet'!$AP$1:$AP$670)*('Master sheet'!$AT$1:$AT$670),0))</f>
        <v xml:space="preserve">Concrete - 25 MPa, 30% FA, GU / SRMCA / Can. Sask Avg. / </v>
      </c>
      <c r="D59" s="15">
        <f t="shared" si="18"/>
        <v>0</v>
      </c>
      <c r="E59" s="16" t="s">
        <v>3</v>
      </c>
      <c r="F59" s="3">
        <v>1</v>
      </c>
      <c r="G59" s="670"/>
      <c r="H59" s="8"/>
      <c r="I59" s="92">
        <f t="shared" si="16"/>
        <v>0</v>
      </c>
      <c r="J59" s="93" t="str">
        <f t="shared" si="17"/>
        <v/>
      </c>
      <c r="K59" s="406">
        <f>$D59*$F59*VLOOKUP($C59,'Master sheet'!$A:$AL,13,FALSE)</f>
        <v>0</v>
      </c>
      <c r="L59" s="94">
        <v>0</v>
      </c>
      <c r="M59" s="1552"/>
      <c r="N59" s="1552"/>
      <c r="O59" s="25" t="str">
        <f ca="1">_xlfn.IFNA(VLOOKUP($C59,'Master sheet'!$A:$AR,44,FALSE),"")&amp;""</f>
        <v/>
      </c>
      <c r="P59" s="672"/>
      <c r="Q59" s="765" t="s">
        <v>1642</v>
      </c>
      <c r="R59" s="757" t="s">
        <v>1653</v>
      </c>
      <c r="S59" s="664"/>
      <c r="T59" s="664"/>
      <c r="U59" s="664"/>
      <c r="V59" s="664"/>
      <c r="W59" s="664"/>
      <c r="X59" s="664"/>
      <c r="Y59" s="664"/>
      <c r="Z59" s="664"/>
      <c r="AA59" s="664"/>
    </row>
    <row r="60" spans="1:27" ht="23.25" customHeight="1" x14ac:dyDescent="0.25">
      <c r="A60" s="1525"/>
      <c r="B60" s="1525"/>
      <c r="C60" s="669" t="str" cm="1">
        <f t="array" ref="C60">INDEX('Master sheet'!$A$1:$A$670,MATCH(1,("0-25" = 'Master sheet'!$AO$1:$AO$670)*(5 = 'Master sheet'!$AP$1:$AP$670)*('Master sheet'!$AT$1:$AT$670),0))</f>
        <v xml:space="preserve">Concrete - 25 MPa, 40% FA, GU / SRMCA / Can. Sask Avg. / </v>
      </c>
      <c r="D60" s="15">
        <f t="shared" si="18"/>
        <v>0</v>
      </c>
      <c r="E60" s="16" t="s">
        <v>3</v>
      </c>
      <c r="F60" s="3">
        <v>1</v>
      </c>
      <c r="G60" s="670"/>
      <c r="H60" s="8"/>
      <c r="I60" s="92">
        <f t="shared" si="16"/>
        <v>0</v>
      </c>
      <c r="J60" s="93" t="str">
        <f t="shared" si="17"/>
        <v/>
      </c>
      <c r="K60" s="406">
        <f>$D60*$F60*VLOOKUP($C60,'Master sheet'!$A:$AL,13,FALSE)</f>
        <v>0</v>
      </c>
      <c r="L60" s="94">
        <v>0</v>
      </c>
      <c r="M60" s="1552"/>
      <c r="N60" s="1552"/>
      <c r="O60" s="25" t="str">
        <f ca="1">_xlfn.IFNA(VLOOKUP($C60,'Master sheet'!$A:$AR,44,FALSE),"")&amp;""</f>
        <v/>
      </c>
      <c r="P60" s="672"/>
      <c r="Q60" s="765" t="s">
        <v>1642</v>
      </c>
      <c r="R60" s="757" t="s">
        <v>1653</v>
      </c>
      <c r="S60" s="664"/>
      <c r="T60" s="664"/>
      <c r="U60" s="664"/>
      <c r="V60" s="664"/>
      <c r="W60" s="664"/>
      <c r="X60" s="664"/>
      <c r="Y60" s="664"/>
      <c r="Z60" s="664"/>
      <c r="AA60" s="664"/>
    </row>
    <row r="61" spans="1:27" ht="23.25" hidden="1" customHeight="1" x14ac:dyDescent="0.25">
      <c r="A61" s="1525"/>
      <c r="B61" s="1525"/>
      <c r="C61" s="669" t="e" cm="1">
        <f t="array" ref="C61">INDEX('Master sheet'!$A$1:$A$670,MATCH(1,("0-25" = 'Master sheet'!$AO$1:$AO$670)*(6 = 'Master sheet'!$AP$1:$AP$670)*('Master sheet'!$AT$1:$AT$670),0))</f>
        <v>#N/A</v>
      </c>
      <c r="D61" s="15">
        <f t="shared" si="18"/>
        <v>0</v>
      </c>
      <c r="E61" s="16" t="s">
        <v>3</v>
      </c>
      <c r="F61" s="3">
        <v>1</v>
      </c>
      <c r="G61" s="670"/>
      <c r="H61" s="8"/>
      <c r="I61" s="92" t="e">
        <f t="shared" ref="I61" si="19">K61-L61</f>
        <v>#N/A</v>
      </c>
      <c r="J61" s="93" t="str">
        <f t="shared" ref="J61" si="20">IF(H61=1,I61,"")</f>
        <v/>
      </c>
      <c r="K61" s="406" t="e">
        <f>$D61*$F61*VLOOKUP($C61,'Master sheet'!$A:$AL,13,FALSE)</f>
        <v>#N/A</v>
      </c>
      <c r="L61" s="94">
        <v>0</v>
      </c>
      <c r="M61" s="1552"/>
      <c r="N61" s="1552"/>
      <c r="O61" s="25" t="str">
        <f>_xlfn.IFNA(VLOOKUP($C61,'Master sheet'!$A:$AR,44,FALSE),"")&amp;""</f>
        <v/>
      </c>
      <c r="P61" s="672"/>
      <c r="Q61" s="765" t="s">
        <v>1642</v>
      </c>
      <c r="R61" s="757" t="s">
        <v>1653</v>
      </c>
      <c r="S61" s="664"/>
      <c r="T61" s="664"/>
      <c r="U61" s="664"/>
      <c r="V61" s="664"/>
      <c r="W61" s="664"/>
      <c r="X61" s="664"/>
      <c r="Y61" s="664"/>
      <c r="Z61" s="664"/>
      <c r="AA61" s="664"/>
    </row>
    <row r="62" spans="1:27" s="624" customFormat="1" ht="23.25" hidden="1" customHeight="1" x14ac:dyDescent="0.25">
      <c r="A62" s="1525"/>
      <c r="B62" s="1525"/>
      <c r="C62" s="673" t="e" cm="1">
        <f t="array" ref="C62">INDEX('Master sheet'!$A$1:$A$670,MATCH(1,("0-25" = 'Master sheet'!$AO$1:$AO$670)*(7 = 'Master sheet'!$AP$1:$AP$670)*('Master sheet'!$AT$1:$AT$670),0))</f>
        <v>#N/A</v>
      </c>
      <c r="D62" s="17">
        <f t="shared" si="18"/>
        <v>0</v>
      </c>
      <c r="E62" s="309" t="s">
        <v>3</v>
      </c>
      <c r="F62" s="4">
        <v>1</v>
      </c>
      <c r="G62" s="674"/>
      <c r="H62" s="9"/>
      <c r="I62" s="95" t="e">
        <f t="shared" si="16"/>
        <v>#N/A</v>
      </c>
      <c r="J62" s="96" t="str">
        <f t="shared" si="17"/>
        <v/>
      </c>
      <c r="K62" s="407" t="e">
        <f>$D62*$F62*VLOOKUP($C62,'Master sheet'!$A:$AL,13,FALSE)</f>
        <v>#N/A</v>
      </c>
      <c r="L62" s="97">
        <v>0</v>
      </c>
      <c r="M62" s="1552"/>
      <c r="N62" s="1552"/>
      <c r="O62" s="25" t="str">
        <f>_xlfn.IFNA(VLOOKUP($C62,'Master sheet'!$A:$AR,44,FALSE),"")&amp;""</f>
        <v/>
      </c>
      <c r="P62" s="637"/>
      <c r="Q62" s="765" t="s">
        <v>1642</v>
      </c>
      <c r="R62" s="757" t="s">
        <v>1653</v>
      </c>
      <c r="S62" s="638"/>
      <c r="T62" s="638"/>
      <c r="U62" s="638"/>
      <c r="V62" s="638"/>
      <c r="W62" s="638"/>
      <c r="X62" s="638"/>
      <c r="Y62" s="638"/>
      <c r="Z62" s="638"/>
      <c r="AA62" s="664"/>
    </row>
    <row r="63" spans="1:27" ht="23.85" customHeight="1" x14ac:dyDescent="0.25">
      <c r="A63" s="639"/>
      <c r="B63" s="1524" t="s">
        <v>1350</v>
      </c>
      <c r="C63" s="1524"/>
      <c r="D63" s="656"/>
      <c r="E63" s="657"/>
      <c r="F63" s="322"/>
      <c r="G63" s="657"/>
      <c r="H63" s="657"/>
      <c r="I63" s="658"/>
      <c r="J63" s="659"/>
      <c r="K63" s="660"/>
      <c r="L63" s="661"/>
      <c r="M63" s="677"/>
      <c r="N63" s="677"/>
      <c r="O63" s="25" t="str">
        <f>_xlfn.IFNA(VLOOKUP($C63,'Master sheet'!$A:$AR,44,FALSE),"")&amp;""</f>
        <v/>
      </c>
      <c r="P63" s="663"/>
      <c r="Q63" s="30"/>
      <c r="R63" s="21"/>
      <c r="S63" s="664"/>
      <c r="T63" s="664"/>
      <c r="U63" s="664"/>
      <c r="V63" s="664"/>
      <c r="W63" s="664"/>
      <c r="X63" s="664"/>
      <c r="Y63" s="664"/>
      <c r="Z63" s="664"/>
      <c r="AA63" s="664"/>
    </row>
    <row r="64" spans="1:27" ht="31.5" customHeight="1" x14ac:dyDescent="0.25">
      <c r="A64" s="1525" t="s">
        <v>786</v>
      </c>
      <c r="B64" s="1525"/>
      <c r="C64" s="667" t="str" cm="1">
        <f t="array" ref="C64">INDEX('Master sheet'!$A$1:$A$670,MATCH(1,("26-30" = 'Master sheet'!$AO$1:$AO$670)*(1 = 'Master sheet'!$AP$1:$AP$670)*('Master sheet'!$AT$1:$AT$670),0))</f>
        <v xml:space="preserve">Concrete - 30 MPa, GU / SRMCA / Can. Sask Avg. / </v>
      </c>
      <c r="D64" s="230">
        <f t="shared" ref="D64:D70" si="21">$E$54</f>
        <v>0</v>
      </c>
      <c r="E64" s="308" t="s">
        <v>3</v>
      </c>
      <c r="F64" s="5">
        <v>1</v>
      </c>
      <c r="G64" s="668"/>
      <c r="H64" s="10"/>
      <c r="I64" s="232">
        <f t="shared" ref="I64:I70" si="22">K64-L64</f>
        <v>0</v>
      </c>
      <c r="J64" s="233" t="str">
        <f t="shared" ref="J64:J70" si="23">IF(H64=1,I64,"")</f>
        <v/>
      </c>
      <c r="K64" s="409">
        <f>$D64*$F64*VLOOKUP($C64,'Master sheet'!$A:$AL,13,FALSE)</f>
        <v>0</v>
      </c>
      <c r="L64" s="234">
        <v>0</v>
      </c>
      <c r="M64" s="1552"/>
      <c r="N64" s="1552"/>
      <c r="O64" s="25" t="str">
        <f ca="1">_xlfn.IFNA(VLOOKUP($C64,'Master sheet'!$A:$AR,44,FALSE),"")&amp;""</f>
        <v/>
      </c>
      <c r="P64" s="637"/>
      <c r="Q64" s="765" t="s">
        <v>1642</v>
      </c>
      <c r="R64" s="757" t="s">
        <v>1653</v>
      </c>
      <c r="S64" s="664"/>
      <c r="T64" s="664"/>
      <c r="U64" s="664"/>
      <c r="V64" s="664"/>
      <c r="W64" s="664"/>
      <c r="X64" s="664"/>
      <c r="Y64" s="664"/>
      <c r="Z64" s="664"/>
      <c r="AA64" s="664"/>
    </row>
    <row r="65" spans="1:27" ht="23.25" customHeight="1" x14ac:dyDescent="0.25">
      <c r="A65" s="1525"/>
      <c r="B65" s="1525"/>
      <c r="C65" s="669" t="str" cm="1">
        <f t="array" ref="C65">INDEX('Master sheet'!$A$1:$A$670,MATCH(1,("26-30" = 'Master sheet'!$AO$1:$AO$670)*(2 = 'Master sheet'!$AP$1:$AP$670)*('Master sheet'!$AT$1:$AT$670),0))</f>
        <v xml:space="preserve">Concrete - 30 MPa, 10% FA, GU / SRMCA / Can. Sask Avg. / </v>
      </c>
      <c r="D65" s="15">
        <f t="shared" si="21"/>
        <v>0</v>
      </c>
      <c r="E65" s="16" t="s">
        <v>3</v>
      </c>
      <c r="F65" s="3">
        <v>1</v>
      </c>
      <c r="G65" s="670"/>
      <c r="H65" s="8"/>
      <c r="I65" s="92">
        <f t="shared" si="22"/>
        <v>0</v>
      </c>
      <c r="J65" s="93" t="str">
        <f t="shared" si="23"/>
        <v/>
      </c>
      <c r="K65" s="406">
        <f>$D65*$F65*VLOOKUP($C65,'Master sheet'!$A:$AL,13,FALSE)</f>
        <v>0</v>
      </c>
      <c r="L65" s="94">
        <v>0</v>
      </c>
      <c r="M65" s="1552"/>
      <c r="N65" s="1552"/>
      <c r="O65" s="25" t="str">
        <f ca="1">_xlfn.IFNA(VLOOKUP($C65,'Master sheet'!$A:$AR,44,FALSE),"")&amp;""</f>
        <v/>
      </c>
      <c r="P65" s="671"/>
      <c r="Q65" s="765" t="s">
        <v>1642</v>
      </c>
      <c r="R65" s="757" t="s">
        <v>1653</v>
      </c>
      <c r="S65" s="664"/>
      <c r="T65" s="664"/>
      <c r="U65" s="664"/>
      <c r="V65" s="664"/>
      <c r="W65" s="664"/>
      <c r="X65" s="664"/>
      <c r="Y65" s="664"/>
      <c r="Z65" s="664"/>
      <c r="AA65" s="638"/>
    </row>
    <row r="66" spans="1:27" ht="23.25" customHeight="1" x14ac:dyDescent="0.25">
      <c r="A66" s="1525"/>
      <c r="B66" s="1525"/>
      <c r="C66" s="669" t="str" cm="1">
        <f t="array" ref="C66">INDEX('Master sheet'!$A$1:$A$670,MATCH(1,("26-30" = 'Master sheet'!$AO$1:$AO$670)*(3 = 'Master sheet'!$AP$1:$AP$670)*('Master sheet'!$AT$1:$AT$670),0))</f>
        <v xml:space="preserve">Concrete - 30 MPa, 20% FA, GU / SRMCA / Can. Sask Avg. / </v>
      </c>
      <c r="D66" s="15">
        <f t="shared" si="21"/>
        <v>0</v>
      </c>
      <c r="E66" s="16" t="s">
        <v>3</v>
      </c>
      <c r="F66" s="3">
        <v>1</v>
      </c>
      <c r="G66" s="670"/>
      <c r="H66" s="8"/>
      <c r="I66" s="92">
        <f t="shared" si="22"/>
        <v>0</v>
      </c>
      <c r="J66" s="93" t="str">
        <f t="shared" si="23"/>
        <v/>
      </c>
      <c r="K66" s="406">
        <f>$D66*$F66*VLOOKUP($C66,'Master sheet'!$A:$AL,13,FALSE)</f>
        <v>0</v>
      </c>
      <c r="L66" s="94">
        <v>0</v>
      </c>
      <c r="M66" s="1552"/>
      <c r="N66" s="1552"/>
      <c r="O66" s="25" t="str">
        <f ca="1">_xlfn.IFNA(VLOOKUP($C66,'Master sheet'!$A:$AR,44,FALSE),"")&amp;""</f>
        <v/>
      </c>
      <c r="P66" s="672"/>
      <c r="Q66" s="765" t="s">
        <v>1642</v>
      </c>
      <c r="R66" s="757" t="s">
        <v>1653</v>
      </c>
      <c r="S66" s="664"/>
      <c r="T66" s="664"/>
      <c r="U66" s="664"/>
      <c r="V66" s="664"/>
      <c r="W66" s="664"/>
      <c r="X66" s="664"/>
      <c r="Y66" s="664"/>
      <c r="Z66" s="664"/>
      <c r="AA66" s="664"/>
    </row>
    <row r="67" spans="1:27" ht="23.25" customHeight="1" x14ac:dyDescent="0.25">
      <c r="A67" s="1525"/>
      <c r="B67" s="1525"/>
      <c r="C67" s="669" t="str" cm="1">
        <f t="array" ref="C67">INDEX('Master sheet'!$A$1:$A$670,MATCH(1,("26-30" = 'Master sheet'!$AO$1:$AO$670)*(4 = 'Master sheet'!$AP$1:$AP$670)*('Master sheet'!$AT$1:$AT$670),0))</f>
        <v xml:space="preserve">Concrete - 30 MPa, 30% FA, GU / SRMCA / Can. Sask Avg. / </v>
      </c>
      <c r="D67" s="15">
        <f t="shared" si="21"/>
        <v>0</v>
      </c>
      <c r="E67" s="16" t="s">
        <v>3</v>
      </c>
      <c r="F67" s="3">
        <v>1</v>
      </c>
      <c r="G67" s="670"/>
      <c r="H67" s="8"/>
      <c r="I67" s="92">
        <f t="shared" si="22"/>
        <v>0</v>
      </c>
      <c r="J67" s="93" t="str">
        <f t="shared" si="23"/>
        <v/>
      </c>
      <c r="K67" s="406">
        <f>$D67*$F67*VLOOKUP($C67,'Master sheet'!$A:$AL,13,FALSE)</f>
        <v>0</v>
      </c>
      <c r="L67" s="94">
        <v>0</v>
      </c>
      <c r="M67" s="1552"/>
      <c r="N67" s="1552"/>
      <c r="O67" s="25" t="str">
        <f ca="1">_xlfn.IFNA(VLOOKUP($C67,'Master sheet'!$A:$AR,44,FALSE),"")&amp;""</f>
        <v/>
      </c>
      <c r="P67" s="672"/>
      <c r="Q67" s="765" t="s">
        <v>1642</v>
      </c>
      <c r="R67" s="757" t="s">
        <v>1653</v>
      </c>
      <c r="S67" s="664"/>
      <c r="T67" s="664"/>
      <c r="U67" s="664"/>
      <c r="V67" s="664"/>
      <c r="W67" s="664"/>
      <c r="X67" s="664"/>
      <c r="Y67" s="664"/>
      <c r="Z67" s="664"/>
      <c r="AA67" s="664"/>
    </row>
    <row r="68" spans="1:27" ht="23.25" customHeight="1" x14ac:dyDescent="0.25">
      <c r="A68" s="1525"/>
      <c r="B68" s="1525"/>
      <c r="C68" s="669" t="str" cm="1">
        <f t="array" ref="C68">INDEX('Master sheet'!$A$1:$A$670,MATCH(1,("26-30" = 'Master sheet'!$AO$1:$AO$670)*(5 = 'Master sheet'!$AP$1:$AP$670)*('Master sheet'!$AT$1:$AT$670),0))</f>
        <v xml:space="preserve">Concrete - 30 MPa, 40% FA, GU / SRMCA / Can. Sask Avg. / </v>
      </c>
      <c r="D68" s="15">
        <f t="shared" si="21"/>
        <v>0</v>
      </c>
      <c r="E68" s="16" t="s">
        <v>3</v>
      </c>
      <c r="F68" s="3">
        <v>1</v>
      </c>
      <c r="G68" s="670"/>
      <c r="H68" s="8"/>
      <c r="I68" s="92">
        <f t="shared" si="22"/>
        <v>0</v>
      </c>
      <c r="J68" s="93" t="str">
        <f t="shared" si="23"/>
        <v/>
      </c>
      <c r="K68" s="406">
        <f>$D68*$F68*VLOOKUP($C68,'Master sheet'!$A:$AL,13,FALSE)</f>
        <v>0</v>
      </c>
      <c r="L68" s="94">
        <v>0</v>
      </c>
      <c r="M68" s="1552"/>
      <c r="N68" s="1552"/>
      <c r="O68" s="25" t="str">
        <f ca="1">_xlfn.IFNA(VLOOKUP($C68,'Master sheet'!$A:$AR,44,FALSE),"")&amp;""</f>
        <v/>
      </c>
      <c r="P68" s="672"/>
      <c r="Q68" s="765" t="s">
        <v>1642</v>
      </c>
      <c r="R68" s="757" t="s">
        <v>1653</v>
      </c>
      <c r="S68" s="664"/>
      <c r="T68" s="664"/>
      <c r="U68" s="664"/>
      <c r="V68" s="664"/>
      <c r="W68" s="664"/>
      <c r="X68" s="664"/>
      <c r="Y68" s="664"/>
      <c r="Z68" s="664"/>
      <c r="AA68" s="664"/>
    </row>
    <row r="69" spans="1:27" ht="23.25" hidden="1" customHeight="1" x14ac:dyDescent="0.25">
      <c r="A69" s="1525"/>
      <c r="B69" s="1525"/>
      <c r="C69" s="669" t="e" cm="1">
        <f t="array" ref="C69">INDEX('Master sheet'!$A$1:$A$670,MATCH(1,("26-30" = 'Master sheet'!$AO$1:$AO$670)*(6 = 'Master sheet'!$AP$1:$AP$670)*('Master sheet'!$AT$1:$AT$670),0))</f>
        <v>#N/A</v>
      </c>
      <c r="D69" s="15">
        <f t="shared" si="21"/>
        <v>0</v>
      </c>
      <c r="E69" s="16" t="s">
        <v>3</v>
      </c>
      <c r="F69" s="3">
        <v>1</v>
      </c>
      <c r="G69" s="670"/>
      <c r="H69" s="8"/>
      <c r="I69" s="92" t="e">
        <f t="shared" ref="I69" si="24">K69-L69</f>
        <v>#N/A</v>
      </c>
      <c r="J69" s="93" t="str">
        <f t="shared" ref="J69" si="25">IF(H69=1,I69,"")</f>
        <v/>
      </c>
      <c r="K69" s="406" t="e">
        <f>$D69*$F69*VLOOKUP($C69,'Master sheet'!$A:$AL,13,FALSE)</f>
        <v>#N/A</v>
      </c>
      <c r="L69" s="94">
        <v>0</v>
      </c>
      <c r="M69" s="1552"/>
      <c r="N69" s="1552"/>
      <c r="O69" s="25" t="str">
        <f>_xlfn.IFNA(VLOOKUP($C69,'Master sheet'!$A:$AR,44,FALSE),"")&amp;""</f>
        <v/>
      </c>
      <c r="P69" s="672"/>
      <c r="Q69" s="765" t="s">
        <v>1642</v>
      </c>
      <c r="R69" s="757" t="s">
        <v>1653</v>
      </c>
      <c r="S69" s="664"/>
      <c r="T69" s="664"/>
      <c r="U69" s="664"/>
      <c r="V69" s="664"/>
      <c r="W69" s="664"/>
      <c r="X69" s="664"/>
      <c r="Y69" s="664"/>
      <c r="Z69" s="664"/>
      <c r="AA69" s="664"/>
    </row>
    <row r="70" spans="1:27" s="624" customFormat="1" ht="23.25" hidden="1" customHeight="1" x14ac:dyDescent="0.25">
      <c r="A70" s="1525"/>
      <c r="B70" s="1525"/>
      <c r="C70" s="673" t="e" cm="1">
        <f t="array" ref="C70">INDEX('Master sheet'!$A$1:$A$670,MATCH(1,("26-30" = 'Master sheet'!$AO$1:$AO$670)*(7 = 'Master sheet'!$AP$1:$AP$670)*('Master sheet'!$AT$1:$AT$670),0))</f>
        <v>#N/A</v>
      </c>
      <c r="D70" s="17">
        <f t="shared" si="21"/>
        <v>0</v>
      </c>
      <c r="E70" s="309" t="s">
        <v>3</v>
      </c>
      <c r="F70" s="4">
        <v>1</v>
      </c>
      <c r="G70" s="674"/>
      <c r="H70" s="9"/>
      <c r="I70" s="95" t="e">
        <f t="shared" si="22"/>
        <v>#N/A</v>
      </c>
      <c r="J70" s="96" t="str">
        <f t="shared" si="23"/>
        <v/>
      </c>
      <c r="K70" s="407" t="e">
        <f>$D70*$F70*VLOOKUP($C70,'Master sheet'!$A:$AL,13,FALSE)</f>
        <v>#N/A</v>
      </c>
      <c r="L70" s="97">
        <v>0</v>
      </c>
      <c r="M70" s="1552"/>
      <c r="N70" s="1552"/>
      <c r="O70" s="25" t="str">
        <f>_xlfn.IFNA(VLOOKUP($C70,'Master sheet'!$A:$AR,44,FALSE),"")&amp;""</f>
        <v/>
      </c>
      <c r="P70" s="637"/>
      <c r="Q70" s="765" t="s">
        <v>1642</v>
      </c>
      <c r="R70" s="757" t="s">
        <v>1653</v>
      </c>
      <c r="S70" s="638"/>
      <c r="T70" s="638"/>
      <c r="U70" s="638"/>
      <c r="V70" s="638"/>
      <c r="W70" s="638"/>
      <c r="X70" s="638"/>
      <c r="Y70" s="638"/>
      <c r="Z70" s="638"/>
      <c r="AA70" s="664"/>
    </row>
    <row r="71" spans="1:27" s="624" customFormat="1" ht="40.200000000000003" customHeight="1" x14ac:dyDescent="0.25">
      <c r="A71" s="1522" t="s">
        <v>4591</v>
      </c>
      <c r="B71" s="1523"/>
      <c r="C71" s="1523"/>
      <c r="D71" s="629"/>
      <c r="E71" s="629"/>
      <c r="F71" s="323"/>
      <c r="G71" s="650"/>
      <c r="H71" s="650"/>
      <c r="I71" s="651"/>
      <c r="J71" s="103" t="str">
        <f>IF(H71=1,I71,"")</f>
        <v/>
      </c>
      <c r="K71" s="652"/>
      <c r="L71" s="759"/>
      <c r="M71" s="759"/>
      <c r="N71" s="759"/>
      <c r="O71" s="25" t="str">
        <f>_xlfn.IFNA(VLOOKUP($C71,'Master sheet'!$A:$AR,44,FALSE),"")&amp;""</f>
        <v/>
      </c>
      <c r="P71" s="685"/>
      <c r="Q71" s="761"/>
      <c r="R71" s="728"/>
      <c r="T71" s="638"/>
      <c r="U71" s="638"/>
      <c r="V71" s="638"/>
      <c r="W71" s="638"/>
      <c r="X71" s="638"/>
      <c r="Y71" s="638"/>
      <c r="Z71" s="638"/>
      <c r="AA71" s="664"/>
    </row>
    <row r="72" spans="1:27" ht="22.95" customHeight="1" x14ac:dyDescent="0.25">
      <c r="A72" s="686"/>
      <c r="B72" s="1541" t="s">
        <v>4768</v>
      </c>
      <c r="C72" s="1541"/>
      <c r="D72" s="687"/>
      <c r="E72" s="687"/>
      <c r="F72" s="341"/>
      <c r="G72" s="781"/>
      <c r="H72" s="782"/>
      <c r="I72" s="783"/>
      <c r="J72" s="784"/>
      <c r="K72" s="783"/>
      <c r="L72" s="785"/>
      <c r="M72" s="743"/>
      <c r="N72" s="743"/>
      <c r="O72" s="25" t="str">
        <f>_xlfn.IFNA(VLOOKUP($C72,'Master sheet'!$A:$AR,44,FALSE),"")&amp;""</f>
        <v/>
      </c>
      <c r="P72" s="685"/>
      <c r="T72" s="664"/>
      <c r="U72" s="664"/>
      <c r="V72" s="664"/>
      <c r="W72" s="664"/>
      <c r="X72" s="664"/>
      <c r="Y72" s="664"/>
      <c r="Z72" s="664"/>
      <c r="AA72" s="664"/>
    </row>
    <row r="73" spans="1:27" ht="22.8" x14ac:dyDescent="0.25">
      <c r="A73" s="1576"/>
      <c r="B73" s="1576"/>
      <c r="C73" s="691" t="s">
        <v>4771</v>
      </c>
      <c r="D73" s="19">
        <f>'USER INPUT SHEET'!$D$40</f>
        <v>0</v>
      </c>
      <c r="E73" s="20" t="str">
        <f>'USER INPUT SHEET'!$F$32</f>
        <v>m2</v>
      </c>
      <c r="F73" s="6">
        <v>1</v>
      </c>
      <c r="G73" s="692"/>
      <c r="H73" s="10"/>
      <c r="I73" s="98">
        <f t="shared" ref="I73:I79" si="26">K73-L73</f>
        <v>0</v>
      </c>
      <c r="J73" s="91" t="str">
        <f>IF(H73=1,I73,"")</f>
        <v/>
      </c>
      <c r="K73" s="410">
        <f>$F73*AVERAGE(K74:K79)</f>
        <v>0</v>
      </c>
      <c r="L73" s="99">
        <f>$F73*AVERAGE(L74:L79)</f>
        <v>0</v>
      </c>
      <c r="M73" s="1552"/>
      <c r="N73" s="1552"/>
      <c r="O73" s="25" t="str">
        <f>_xlfn.IFNA(VLOOKUP($C73,'Master sheet'!$A:$AR,44,FALSE),"")&amp;""</f>
        <v/>
      </c>
      <c r="P73" s="685"/>
      <c r="Q73" s="765" t="s">
        <v>1642</v>
      </c>
      <c r="R73" s="728" t="s">
        <v>4591</v>
      </c>
      <c r="S73" s="664"/>
      <c r="T73" s="664"/>
      <c r="U73" s="664"/>
      <c r="V73" s="664"/>
      <c r="W73" s="664"/>
      <c r="X73" s="664"/>
      <c r="Y73" s="664"/>
      <c r="Z73" s="664"/>
      <c r="AA73" s="638"/>
    </row>
    <row r="74" spans="1:27" ht="31.2" x14ac:dyDescent="0.25">
      <c r="A74" s="1576"/>
      <c r="B74" s="1576"/>
      <c r="C74" s="669" t="str">
        <f>INDEX('Master sheet'!$A$1:$A$670,MATCH("A159",'Master sheet'!$AN$1:$AN$670,0))</f>
        <v>Ext. &amp; Int. Wall &amp; Roof Barrier, sheet / Rothoblaas / Traspir EVO 160 / 12.3 Perms / 0.5 mm</v>
      </c>
      <c r="D74" s="17">
        <f>'USER INPUT SHEET'!$D$40</f>
        <v>0</v>
      </c>
      <c r="E74" s="18" t="str">
        <f>'USER INPUT SHEET'!$F$32</f>
        <v>m2</v>
      </c>
      <c r="F74" s="4">
        <v>1</v>
      </c>
      <c r="G74" s="674"/>
      <c r="H74" s="9"/>
      <c r="I74" s="95">
        <f t="shared" si="26"/>
        <v>0</v>
      </c>
      <c r="J74" s="96" t="str">
        <f t="shared" ref="J74:J79" si="27">IF(H74=1,I74,"")</f>
        <v/>
      </c>
      <c r="K74" s="407">
        <f>$D74*$F74*VLOOKUP($C74,'Master sheet'!$A:$AL,13,FALSE)</f>
        <v>0</v>
      </c>
      <c r="L74" s="97">
        <f>$D74*$F74*VLOOKUP($C74,'Master sheet'!$A:$AL,27,FALSE)</f>
        <v>0</v>
      </c>
      <c r="M74" s="1552"/>
      <c r="N74" s="1552"/>
      <c r="O74" s="25" t="str">
        <f>_xlfn.IFNA(VLOOKUP($C74,'Master sheet'!$A:$AR,44,FALSE),"")&amp;""</f>
        <v/>
      </c>
      <c r="P74" s="637"/>
      <c r="Q74" s="765" t="s">
        <v>1642</v>
      </c>
      <c r="R74" s="717" t="s">
        <v>4591</v>
      </c>
      <c r="S74" s="624"/>
      <c r="T74" s="664"/>
      <c r="U74" s="664"/>
      <c r="V74" s="664"/>
      <c r="W74" s="664"/>
      <c r="X74" s="664"/>
      <c r="Y74" s="664"/>
      <c r="Z74" s="664"/>
      <c r="AA74" s="638"/>
    </row>
    <row r="75" spans="1:27" ht="31.2" x14ac:dyDescent="0.25">
      <c r="A75" s="1576"/>
      <c r="B75" s="1576"/>
      <c r="C75" s="647" t="str">
        <f>INDEX('Master sheet'!$A$1:$A$670,MATCH("A161",'Master sheet'!$AN$1:$AN$670,0))</f>
        <v>Ext. &amp; Int. Wall Barrier, sheet / Rothoblaas / Traspir 110 / 101 Perms / 0.4 mm</v>
      </c>
      <c r="D75" s="17">
        <f>'USER INPUT SHEET'!$D$40</f>
        <v>0</v>
      </c>
      <c r="E75" s="18" t="str">
        <f>'USER INPUT SHEET'!$F$32</f>
        <v>m2</v>
      </c>
      <c r="F75" s="4">
        <v>1</v>
      </c>
      <c r="G75" s="674"/>
      <c r="H75" s="9"/>
      <c r="I75" s="95">
        <f t="shared" si="26"/>
        <v>0</v>
      </c>
      <c r="J75" s="96" t="str">
        <f t="shared" si="27"/>
        <v/>
      </c>
      <c r="K75" s="407">
        <f>$D75*$F75*VLOOKUP($C75,'Master sheet'!$A:$AL,13,FALSE)</f>
        <v>0</v>
      </c>
      <c r="L75" s="97">
        <f>$D75*$F75*VLOOKUP($C75,'Master sheet'!$A:$AL,27,FALSE)</f>
        <v>0</v>
      </c>
      <c r="M75" s="1552"/>
      <c r="N75" s="1552"/>
      <c r="O75" s="25" t="str">
        <f>_xlfn.IFNA(VLOOKUP($C75,'Master sheet'!$A:$AR,44,FALSE),"")&amp;""</f>
        <v/>
      </c>
      <c r="P75" s="637"/>
      <c r="Q75" s="765" t="s">
        <v>1642</v>
      </c>
      <c r="R75" s="717" t="s">
        <v>4591</v>
      </c>
      <c r="S75" s="624"/>
      <c r="T75" s="664"/>
      <c r="U75" s="664"/>
      <c r="V75" s="664"/>
      <c r="W75" s="664"/>
      <c r="X75" s="664"/>
      <c r="Y75" s="664"/>
      <c r="Z75" s="664"/>
      <c r="AA75" s="664"/>
    </row>
    <row r="76" spans="1:27" ht="31.2" x14ac:dyDescent="0.25">
      <c r="A76" s="1576"/>
      <c r="B76" s="1576"/>
      <c r="C76" s="647" t="str">
        <f>INDEX('Master sheet'!$A$1:$A$670,MATCH("A162",'Master sheet'!$AN$1:$AN$670,0))</f>
        <v>Ext. &amp; Int. Wall Barrier, sheet / Rothoblaas / Traspir EVO UV 210 / 41.7 Perms / 0.3 mm</v>
      </c>
      <c r="D76" s="17">
        <f>'USER INPUT SHEET'!$D$40</f>
        <v>0</v>
      </c>
      <c r="E76" s="18" t="str">
        <f>'USER INPUT SHEET'!$F$32</f>
        <v>m2</v>
      </c>
      <c r="F76" s="4">
        <v>1</v>
      </c>
      <c r="G76" s="674"/>
      <c r="H76" s="9"/>
      <c r="I76" s="95">
        <f t="shared" si="26"/>
        <v>0</v>
      </c>
      <c r="J76" s="96" t="str">
        <f t="shared" si="27"/>
        <v/>
      </c>
      <c r="K76" s="407">
        <f>$D76*$F76*VLOOKUP($C76,'Master sheet'!$A:$AL,13,FALSE)</f>
        <v>0</v>
      </c>
      <c r="L76" s="97">
        <f>$D76*$F76*VLOOKUP($C76,'Master sheet'!$A:$AL,27,FALSE)</f>
        <v>0</v>
      </c>
      <c r="M76" s="1552"/>
      <c r="N76" s="1552"/>
      <c r="O76" s="25" t="str">
        <f>_xlfn.IFNA(VLOOKUP($C76,'Master sheet'!$A:$AR,44,FALSE),"")&amp;""</f>
        <v/>
      </c>
      <c r="P76" s="637"/>
      <c r="Q76" s="765" t="s">
        <v>1642</v>
      </c>
      <c r="R76" s="717" t="s">
        <v>4591</v>
      </c>
      <c r="S76" s="624"/>
      <c r="T76" s="664"/>
      <c r="U76" s="664"/>
      <c r="V76" s="664"/>
      <c r="W76" s="664"/>
      <c r="X76" s="664"/>
      <c r="Y76" s="664"/>
      <c r="Z76" s="664"/>
      <c r="AA76" s="664"/>
    </row>
    <row r="77" spans="1:27" ht="31.2" x14ac:dyDescent="0.25">
      <c r="A77" s="1576"/>
      <c r="B77" s="1576"/>
      <c r="C77" s="647" t="str">
        <f>INDEX('Master sheet'!$A$1:$A$670,MATCH("A163",'Master sheet'!$AN$1:$AN$670,0))</f>
        <v>Ext. Roof Barrier, sheet / Rothoblaas / Traspir Weld EVO 360 / 17.5 Perms / 1.0 mm</v>
      </c>
      <c r="D77" s="17">
        <f>'USER INPUT SHEET'!$D$40</f>
        <v>0</v>
      </c>
      <c r="E77" s="18" t="str">
        <f>'USER INPUT SHEET'!$F$32</f>
        <v>m2</v>
      </c>
      <c r="F77" s="4">
        <v>1</v>
      </c>
      <c r="G77" s="674"/>
      <c r="H77" s="9"/>
      <c r="I77" s="95">
        <f t="shared" si="26"/>
        <v>0</v>
      </c>
      <c r="J77" s="96" t="str">
        <f t="shared" si="27"/>
        <v/>
      </c>
      <c r="K77" s="407">
        <f>$D77*$F77*VLOOKUP($C77,'Master sheet'!$A:$AL,13,FALSE)</f>
        <v>0</v>
      </c>
      <c r="L77" s="97">
        <f>$D77*$F77*VLOOKUP($C77,'Master sheet'!$A:$AL,27,FALSE)</f>
        <v>0</v>
      </c>
      <c r="M77" s="1552"/>
      <c r="N77" s="1552"/>
      <c r="O77" s="25" t="str">
        <f>_xlfn.IFNA(VLOOKUP($C77,'Master sheet'!$A:$AR,44,FALSE),"")&amp;""</f>
        <v/>
      </c>
      <c r="P77" s="637"/>
      <c r="Q77" s="765" t="s">
        <v>1642</v>
      </c>
      <c r="R77" s="717" t="s">
        <v>4591</v>
      </c>
      <c r="S77" s="624"/>
      <c r="T77" s="664"/>
      <c r="U77" s="664"/>
      <c r="V77" s="664"/>
      <c r="W77" s="664"/>
      <c r="X77" s="664"/>
      <c r="Y77" s="664"/>
      <c r="Z77" s="664"/>
      <c r="AA77" s="638"/>
    </row>
    <row r="78" spans="1:27" ht="31.2" x14ac:dyDescent="0.25">
      <c r="A78" s="1576"/>
      <c r="B78" s="1576"/>
      <c r="C78" s="647" t="str">
        <f>INDEX('Master sheet'!$A$1:$A$670,MATCH("A166",'Master sheet'!$AN$1:$AN$670,0))</f>
        <v xml:space="preserve">Ext. Wall &amp; Roof Barrier, sheet / Dupont / Tyvek Monolayer 60 / Permeable / </v>
      </c>
      <c r="D78" s="17">
        <f>'USER INPUT SHEET'!$D$40</f>
        <v>0</v>
      </c>
      <c r="E78" s="18" t="str">
        <f>'USER INPUT SHEET'!$F$32</f>
        <v>m2</v>
      </c>
      <c r="F78" s="4">
        <v>1</v>
      </c>
      <c r="G78" s="674"/>
      <c r="H78" s="9"/>
      <c r="I78" s="95">
        <f t="shared" si="26"/>
        <v>0</v>
      </c>
      <c r="J78" s="96" t="str">
        <f t="shared" si="27"/>
        <v/>
      </c>
      <c r="K78" s="407">
        <f>$D78*$F78*VLOOKUP($C78,'Master sheet'!$A:$AL,13,FALSE)</f>
        <v>0</v>
      </c>
      <c r="L78" s="97">
        <f>$D78*$F78*VLOOKUP($C78,'Master sheet'!$A:$AL,27,FALSE)</f>
        <v>0</v>
      </c>
      <c r="M78" s="1552"/>
      <c r="N78" s="1552"/>
      <c r="O78" s="25" t="str">
        <f>_xlfn.IFNA(VLOOKUP($C78,'Master sheet'!$A:$AR,44,FALSE),"")&amp;""</f>
        <v/>
      </c>
      <c r="P78" s="637"/>
      <c r="Q78" s="765" t="s">
        <v>1642</v>
      </c>
      <c r="R78" s="717" t="s">
        <v>4591</v>
      </c>
      <c r="S78" s="624"/>
      <c r="T78" s="664"/>
      <c r="U78" s="664"/>
      <c r="V78" s="664"/>
      <c r="W78" s="664"/>
      <c r="X78" s="664"/>
      <c r="Y78" s="664"/>
      <c r="Z78" s="664"/>
      <c r="AA78" s="664"/>
    </row>
    <row r="79" spans="1:27" ht="31.2" x14ac:dyDescent="0.25">
      <c r="A79" s="1576"/>
      <c r="B79" s="1576"/>
      <c r="C79" s="681" t="str">
        <f>INDEX('Master sheet'!$A$1:$A$670,MATCH("A167",'Master sheet'!$AN$1:$AN$670,0))</f>
        <v xml:space="preserve">Ext. Wall &amp; Roof Barrier, sheet / Partel / Exoperm Mono 150 / Permeable / </v>
      </c>
      <c r="D79" s="17">
        <f>'USER INPUT SHEET'!$D$40</f>
        <v>0</v>
      </c>
      <c r="E79" s="18" t="str">
        <f>'USER INPUT SHEET'!$F$32</f>
        <v>m2</v>
      </c>
      <c r="F79" s="4">
        <v>1</v>
      </c>
      <c r="G79" s="674"/>
      <c r="H79" s="9"/>
      <c r="I79" s="95">
        <f t="shared" si="26"/>
        <v>0</v>
      </c>
      <c r="J79" s="96" t="str">
        <f t="shared" si="27"/>
        <v/>
      </c>
      <c r="K79" s="407">
        <f>$D79*$F79*VLOOKUP($C79,'Master sheet'!$A:$AL,13,FALSE)</f>
        <v>0</v>
      </c>
      <c r="L79" s="97">
        <f>$D79*$F79*VLOOKUP($C79,'Master sheet'!$A:$AL,27,FALSE)</f>
        <v>0</v>
      </c>
      <c r="M79" s="1610"/>
      <c r="N79" s="1610"/>
      <c r="O79" s="25" t="str">
        <f>_xlfn.IFNA(VLOOKUP($C79,'Master sheet'!$A:$AR,44,FALSE),"")&amp;""</f>
        <v/>
      </c>
      <c r="P79" s="637"/>
      <c r="Q79" s="765" t="s">
        <v>1642</v>
      </c>
      <c r="R79" s="717" t="s">
        <v>4591</v>
      </c>
      <c r="S79" s="624"/>
      <c r="T79" s="638"/>
      <c r="U79" s="638"/>
      <c r="V79" s="638"/>
      <c r="W79" s="664"/>
      <c r="X79" s="664"/>
      <c r="Y79" s="664"/>
      <c r="Z79" s="664"/>
      <c r="AA79" s="664"/>
    </row>
    <row r="80" spans="1:27" ht="23.4" x14ac:dyDescent="0.25">
      <c r="A80" s="686"/>
      <c r="B80" s="1541" t="s">
        <v>4769</v>
      </c>
      <c r="C80" s="1541"/>
      <c r="D80" s="656"/>
      <c r="E80" s="657"/>
      <c r="F80" s="327"/>
      <c r="G80" s="695"/>
      <c r="H80" s="695"/>
      <c r="I80" s="658"/>
      <c r="J80" s="659"/>
      <c r="K80" s="660"/>
      <c r="L80" s="661"/>
      <c r="M80" s="677"/>
      <c r="N80" s="677"/>
      <c r="O80" s="25" t="str">
        <f>_xlfn.IFNA(VLOOKUP($C80,'Master sheet'!$A:$AR,44,FALSE),"")&amp;""</f>
        <v/>
      </c>
      <c r="P80" s="637"/>
      <c r="Q80" s="722"/>
      <c r="R80" s="717" t="s">
        <v>4591</v>
      </c>
      <c r="S80" s="638"/>
      <c r="T80" s="638"/>
      <c r="U80" s="664"/>
      <c r="V80" s="664"/>
      <c r="W80" s="664"/>
      <c r="X80" s="664"/>
      <c r="Y80" s="664"/>
      <c r="Z80" s="664"/>
      <c r="AA80" s="664"/>
    </row>
    <row r="81" spans="1:27" ht="22.8" x14ac:dyDescent="0.25">
      <c r="A81" s="1576"/>
      <c r="B81" s="1576"/>
      <c r="C81" s="691" t="s">
        <v>4772</v>
      </c>
      <c r="D81" s="19">
        <f>'USER INPUT SHEET'!$D$40</f>
        <v>0</v>
      </c>
      <c r="E81" s="20" t="str">
        <f>'USER INPUT SHEET'!$F$32</f>
        <v>m2</v>
      </c>
      <c r="F81" s="6">
        <v>1</v>
      </c>
      <c r="G81" s="692"/>
      <c r="H81" s="10"/>
      <c r="I81" s="98">
        <f t="shared" ref="I81:I85" si="28">K81-L81</f>
        <v>0</v>
      </c>
      <c r="J81" s="106" t="str">
        <f>IF(H81=1,I81,"")</f>
        <v/>
      </c>
      <c r="K81" s="410">
        <f>$F81*AVERAGE(K82:K85)</f>
        <v>0</v>
      </c>
      <c r="L81" s="99">
        <f>$F81*AVERAGE(L82:L85)</f>
        <v>0</v>
      </c>
      <c r="M81" s="1552"/>
      <c r="N81" s="1552"/>
      <c r="O81" s="25" t="str">
        <f>_xlfn.IFNA(VLOOKUP($C81,'Master sheet'!$A:$AR,44,FALSE),"")&amp;""</f>
        <v/>
      </c>
      <c r="P81" s="685"/>
      <c r="Q81" s="765" t="s">
        <v>1642</v>
      </c>
      <c r="R81" s="717" t="s">
        <v>4591</v>
      </c>
      <c r="S81" s="664"/>
      <c r="T81" s="664"/>
      <c r="U81" s="664"/>
      <c r="V81" s="664"/>
      <c r="W81" s="664"/>
      <c r="X81" s="664"/>
      <c r="Y81" s="664"/>
      <c r="Z81" s="664"/>
      <c r="AA81" s="664"/>
    </row>
    <row r="82" spans="1:27" ht="31.5" customHeight="1" x14ac:dyDescent="0.25">
      <c r="A82" s="1576"/>
      <c r="B82" s="1576"/>
      <c r="C82" s="673" t="str">
        <f>INDEX('Master sheet'!$A$1:$A$670,MATCH("A158",'Master sheet'!$AN$1:$AN$670,0))</f>
        <v>Ext. &amp; Int. Wall &amp; Roof Barrier, sheet / Rothoblaas / Clima Control Net 160 / Moisture-variable / 0.5 mm</v>
      </c>
      <c r="D82" s="17">
        <f>'USER INPUT SHEET'!$D$40</f>
        <v>0</v>
      </c>
      <c r="E82" s="18" t="str">
        <f>'USER INPUT SHEET'!$F$32</f>
        <v>m2</v>
      </c>
      <c r="F82" s="4">
        <v>1</v>
      </c>
      <c r="G82" s="674"/>
      <c r="H82" s="9"/>
      <c r="I82" s="95">
        <f t="shared" si="28"/>
        <v>0</v>
      </c>
      <c r="J82" s="96" t="str">
        <f t="shared" ref="J82:J85" si="29">IF(H82=1,I82,"")</f>
        <v/>
      </c>
      <c r="K82" s="407">
        <f>$D82*$F82*VLOOKUP($C82,'Master sheet'!$A:$AL,13,FALSE)</f>
        <v>0</v>
      </c>
      <c r="L82" s="97">
        <f>$D82*$F82*VLOOKUP($C82,'Master sheet'!$A:$AL,27,FALSE)</f>
        <v>0</v>
      </c>
      <c r="M82" s="1552"/>
      <c r="N82" s="1552"/>
      <c r="O82" s="25" t="str">
        <f>_xlfn.IFNA(VLOOKUP($C82,'Master sheet'!$A:$AR,44,FALSE),"")&amp;""</f>
        <v/>
      </c>
      <c r="P82" s="637"/>
      <c r="Q82" s="765" t="s">
        <v>1642</v>
      </c>
      <c r="R82" s="717" t="s">
        <v>4591</v>
      </c>
      <c r="S82" s="624"/>
      <c r="T82" s="638"/>
      <c r="U82" s="664"/>
      <c r="V82" s="664"/>
      <c r="W82" s="664"/>
      <c r="X82" s="664"/>
      <c r="Y82" s="664"/>
      <c r="Z82" s="664"/>
      <c r="AA82" s="664"/>
    </row>
    <row r="83" spans="1:27" ht="31.5" customHeight="1" x14ac:dyDescent="0.25">
      <c r="A83" s="1576"/>
      <c r="B83" s="1576"/>
      <c r="C83" s="673" t="str">
        <f>INDEX('Master sheet'!$A$1:$A$670,MATCH("A182",'Master sheet'!$AN$1:$AN$670,0))</f>
        <v xml:space="preserve">Int. Wall &amp; Ceiling Barrier, sheet / Partel / VARA PLUS / Moisture-variable / </v>
      </c>
      <c r="D83" s="17">
        <f>'USER INPUT SHEET'!$D$40</f>
        <v>0</v>
      </c>
      <c r="E83" s="18" t="str">
        <f>'USER INPUT SHEET'!$F$32</f>
        <v>m2</v>
      </c>
      <c r="F83" s="4">
        <v>1</v>
      </c>
      <c r="G83" s="674"/>
      <c r="H83" s="9"/>
      <c r="I83" s="95">
        <f t="shared" si="28"/>
        <v>0</v>
      </c>
      <c r="J83" s="96" t="str">
        <f t="shared" si="29"/>
        <v/>
      </c>
      <c r="K83" s="407">
        <f>$D83*$F83*VLOOKUP($C83,'Master sheet'!$A:$AL,13,FALSE)</f>
        <v>0</v>
      </c>
      <c r="L83" s="97">
        <f>$D83*$F83*VLOOKUP($C83,'Master sheet'!$A:$AL,27,FALSE)</f>
        <v>0</v>
      </c>
      <c r="M83" s="1552"/>
      <c r="N83" s="1552"/>
      <c r="O83" s="25" t="str">
        <f>_xlfn.IFNA(VLOOKUP($C83,'Master sheet'!$A:$AR,44,FALSE),"")&amp;""</f>
        <v/>
      </c>
      <c r="P83" s="637"/>
      <c r="Q83" s="765" t="s">
        <v>1642</v>
      </c>
      <c r="R83" s="717" t="s">
        <v>4591</v>
      </c>
      <c r="S83" s="624"/>
      <c r="T83" s="638"/>
      <c r="U83" s="664"/>
      <c r="V83" s="664"/>
      <c r="W83" s="664"/>
      <c r="X83" s="664"/>
      <c r="Y83" s="664"/>
      <c r="Z83" s="664"/>
      <c r="AA83" s="664"/>
    </row>
    <row r="84" spans="1:27" ht="31.5" customHeight="1" x14ac:dyDescent="0.25">
      <c r="A84" s="1576"/>
      <c r="B84" s="1576"/>
      <c r="C84" s="673" t="str">
        <f>INDEX('Master sheet'!$A$1:$A$670,MATCH("A183",'Master sheet'!$AN$1:$AN$670,0))</f>
        <v>Int. Wall &amp; Ceiling Barrier, sheet / Rothoblaas / Clima Control 80 / Moisture-variable / 0.22 mm</v>
      </c>
      <c r="D84" s="17">
        <f>'USER INPUT SHEET'!$D$40</f>
        <v>0</v>
      </c>
      <c r="E84" s="18" t="str">
        <f>'USER INPUT SHEET'!$F$32</f>
        <v>m2</v>
      </c>
      <c r="F84" s="4">
        <v>1</v>
      </c>
      <c r="G84" s="674"/>
      <c r="H84" s="9"/>
      <c r="I84" s="95">
        <f t="shared" si="28"/>
        <v>0</v>
      </c>
      <c r="J84" s="96" t="str">
        <f t="shared" si="29"/>
        <v/>
      </c>
      <c r="K84" s="407">
        <f>$D84*$F84*VLOOKUP($C84,'Master sheet'!$A:$AL,13,FALSE)</f>
        <v>0</v>
      </c>
      <c r="L84" s="97">
        <f>$D84*$F84*VLOOKUP($C84,'Master sheet'!$A:$AL,27,FALSE)</f>
        <v>0</v>
      </c>
      <c r="M84" s="1552"/>
      <c r="N84" s="1552"/>
      <c r="O84" s="25" t="str">
        <f>_xlfn.IFNA(VLOOKUP($C84,'Master sheet'!$A:$AR,44,FALSE),"")&amp;""</f>
        <v/>
      </c>
      <c r="P84" s="637"/>
      <c r="Q84" s="765" t="s">
        <v>1642</v>
      </c>
      <c r="R84" s="717" t="s">
        <v>4591</v>
      </c>
      <c r="S84" s="624"/>
      <c r="T84" s="638"/>
      <c r="U84" s="664"/>
      <c r="V84" s="664"/>
      <c r="W84" s="664"/>
      <c r="X84" s="664"/>
      <c r="Y84" s="664"/>
      <c r="Z84" s="664"/>
      <c r="AA84" s="664"/>
    </row>
    <row r="85" spans="1:27" ht="31.5" customHeight="1" x14ac:dyDescent="0.25">
      <c r="A85" s="1576"/>
      <c r="B85" s="1576"/>
      <c r="C85" s="673" t="str">
        <f>INDEX('Master sheet'!$A$1:$A$670,MATCH("A185",'Master sheet'!$AN$1:$AN$670,0))</f>
        <v xml:space="preserve">Int. Wall &amp; Ceiling Barrier, sheet / SIGA / Majrex 200 / Moisture-variable / </v>
      </c>
      <c r="D85" s="17">
        <f>'USER INPUT SHEET'!$D$40</f>
        <v>0</v>
      </c>
      <c r="E85" s="18" t="str">
        <f>'USER INPUT SHEET'!$F$32</f>
        <v>m2</v>
      </c>
      <c r="F85" s="4">
        <v>1</v>
      </c>
      <c r="G85" s="674"/>
      <c r="H85" s="9"/>
      <c r="I85" s="95">
        <f t="shared" si="28"/>
        <v>0</v>
      </c>
      <c r="J85" s="96" t="str">
        <f t="shared" si="29"/>
        <v/>
      </c>
      <c r="K85" s="407">
        <f>$D85*$F85*VLOOKUP($C85,'Master sheet'!$A:$AL,13,FALSE)</f>
        <v>0</v>
      </c>
      <c r="L85" s="97">
        <f>$D85*$F85*VLOOKUP($C85,'Master sheet'!$A:$AL,27,FALSE)</f>
        <v>0</v>
      </c>
      <c r="M85" s="1610"/>
      <c r="N85" s="1610"/>
      <c r="O85" s="25" t="str">
        <f>_xlfn.IFNA(VLOOKUP($C85,'Master sheet'!$A:$AR,44,FALSE),"")&amp;""</f>
        <v/>
      </c>
      <c r="P85" s="637"/>
      <c r="Q85" s="765" t="s">
        <v>1642</v>
      </c>
      <c r="R85" s="717" t="s">
        <v>4591</v>
      </c>
      <c r="S85" s="624"/>
      <c r="T85" s="638"/>
      <c r="U85" s="664"/>
      <c r="V85" s="664"/>
      <c r="W85" s="664"/>
      <c r="X85" s="664"/>
      <c r="Y85" s="664"/>
      <c r="Z85" s="664"/>
      <c r="AA85" s="664"/>
    </row>
    <row r="86" spans="1:27" ht="31.5" customHeight="1" x14ac:dyDescent="0.25">
      <c r="A86" s="686"/>
      <c r="B86" s="1541" t="s">
        <v>4770</v>
      </c>
      <c r="C86" s="1541"/>
      <c r="D86" s="656"/>
      <c r="E86" s="657"/>
      <c r="F86" s="327"/>
      <c r="G86" s="695"/>
      <c r="H86" s="695"/>
      <c r="I86" s="658"/>
      <c r="J86" s="659"/>
      <c r="K86" s="660"/>
      <c r="L86" s="661"/>
      <c r="M86" s="677"/>
      <c r="N86" s="677"/>
      <c r="O86" s="25" t="str">
        <f>_xlfn.IFNA(VLOOKUP($C86,'Master sheet'!$A:$AR,44,FALSE),"")&amp;""</f>
        <v/>
      </c>
      <c r="P86" s="637"/>
      <c r="Q86" s="722"/>
      <c r="R86" s="717" t="s">
        <v>4591</v>
      </c>
      <c r="S86" s="638"/>
      <c r="T86" s="638"/>
      <c r="U86" s="664"/>
      <c r="V86" s="664"/>
      <c r="W86" s="664"/>
      <c r="X86" s="664"/>
      <c r="Y86" s="664"/>
      <c r="Z86" s="664"/>
      <c r="AA86" s="664"/>
    </row>
    <row r="87" spans="1:27" ht="22.8" x14ac:dyDescent="0.25">
      <c r="A87" s="1576"/>
      <c r="B87" s="1576"/>
      <c r="C87" s="691" t="s">
        <v>4773</v>
      </c>
      <c r="D87" s="19">
        <f>'USER INPUT SHEET'!$D$40</f>
        <v>0</v>
      </c>
      <c r="E87" s="20" t="str">
        <f>'USER INPUT SHEET'!$F$32</f>
        <v>m2</v>
      </c>
      <c r="F87" s="6">
        <v>1</v>
      </c>
      <c r="G87" s="692"/>
      <c r="H87" s="10"/>
      <c r="I87" s="98">
        <f t="shared" ref="I87:I94" si="30">K87-L87</f>
        <v>0</v>
      </c>
      <c r="J87" s="106" t="str">
        <f>IF(H87=1,I87,"")</f>
        <v/>
      </c>
      <c r="K87" s="410">
        <f>$F87*AVERAGE(K88:K94)</f>
        <v>0</v>
      </c>
      <c r="L87" s="99">
        <f>$F87*AVERAGE(L88:L94)</f>
        <v>0</v>
      </c>
      <c r="M87" s="1552"/>
      <c r="N87" s="1552"/>
      <c r="O87" s="25" t="str">
        <f>_xlfn.IFNA(VLOOKUP($C87,'Master sheet'!$A:$AR,44,FALSE),"")&amp;""</f>
        <v/>
      </c>
      <c r="P87" s="685"/>
      <c r="Q87" s="765" t="s">
        <v>1642</v>
      </c>
      <c r="R87" s="717" t="s">
        <v>4591</v>
      </c>
      <c r="S87" s="664"/>
      <c r="T87" s="664"/>
      <c r="U87" s="664"/>
      <c r="V87" s="664"/>
      <c r="W87" s="664"/>
      <c r="X87" s="664"/>
      <c r="Y87" s="664"/>
      <c r="Z87" s="664"/>
      <c r="AA87" s="664"/>
    </row>
    <row r="88" spans="1:27" ht="31.5" customHeight="1" x14ac:dyDescent="0.25">
      <c r="A88" s="1576"/>
      <c r="B88" s="1576"/>
      <c r="C88" s="673" t="str">
        <f>INDEX('Master sheet'!$A$1:$A$670,MATCH("A157",'Master sheet'!$AN$1:$AN$670,0))</f>
        <v>Int. Wall &amp; Ceiling Barrier, sheet / Rothoblaas / Vapor In Green 200 / Non-permeable / 0.35 mm</v>
      </c>
      <c r="D88" s="17">
        <f>'USER INPUT SHEET'!$D$40</f>
        <v>0</v>
      </c>
      <c r="E88" s="18" t="str">
        <f>'USER INPUT SHEET'!$F$32</f>
        <v>m2</v>
      </c>
      <c r="F88" s="4">
        <v>1</v>
      </c>
      <c r="G88" s="674"/>
      <c r="H88" s="9"/>
      <c r="I88" s="95">
        <f t="shared" si="30"/>
        <v>0</v>
      </c>
      <c r="J88" s="96" t="str">
        <f t="shared" ref="J88:J94" si="31">IF(H88=1,I88,"")</f>
        <v/>
      </c>
      <c r="K88" s="407">
        <f>$D88*$F88*VLOOKUP($C88,'Master sheet'!$A:$AL,13,FALSE)</f>
        <v>0</v>
      </c>
      <c r="L88" s="97">
        <f>$D88*$F88*VLOOKUP($C88,'Master sheet'!$A:$AL,27,FALSE)</f>
        <v>0</v>
      </c>
      <c r="M88" s="1552"/>
      <c r="N88" s="1552"/>
      <c r="O88" s="25" t="str">
        <f>_xlfn.IFNA(VLOOKUP($C88,'Master sheet'!$A:$AR,44,FALSE),"")&amp;""</f>
        <v/>
      </c>
      <c r="P88" s="637"/>
      <c r="Q88" s="765" t="s">
        <v>1642</v>
      </c>
      <c r="R88" s="717" t="s">
        <v>4591</v>
      </c>
      <c r="S88" s="624"/>
      <c r="T88" s="638"/>
      <c r="U88" s="664"/>
      <c r="V88" s="664"/>
      <c r="W88" s="664"/>
      <c r="X88" s="664"/>
      <c r="Y88" s="664"/>
      <c r="Z88" s="664"/>
      <c r="AA88" s="638"/>
    </row>
    <row r="89" spans="1:27" ht="31.5" customHeight="1" x14ac:dyDescent="0.25">
      <c r="A89" s="1576"/>
      <c r="B89" s="1576"/>
      <c r="C89" s="673" t="str">
        <f>INDEX('Master sheet'!$A$1:$A$670,MATCH("A160",'Master sheet'!$AN$1:$AN$670,0))</f>
        <v>Ext. &amp; Int. Wall &amp; Roof Barrier, sheet / Rothoblaas / Traspir Vapor 225 / Non-permeable / 0.8 mm</v>
      </c>
      <c r="D89" s="17">
        <f>'USER INPUT SHEET'!$D$40</f>
        <v>0</v>
      </c>
      <c r="E89" s="18" t="str">
        <f>'USER INPUT SHEET'!$F$32</f>
        <v>m2</v>
      </c>
      <c r="F89" s="4">
        <v>1</v>
      </c>
      <c r="G89" s="674"/>
      <c r="H89" s="9"/>
      <c r="I89" s="95">
        <f t="shared" si="30"/>
        <v>0</v>
      </c>
      <c r="J89" s="96" t="str">
        <f t="shared" si="31"/>
        <v/>
      </c>
      <c r="K89" s="407">
        <f>$D89*$F89*VLOOKUP($C89,'Master sheet'!$A:$AL,13,FALSE)</f>
        <v>0</v>
      </c>
      <c r="L89" s="97">
        <f>$D89*$F89*VLOOKUP($C89,'Master sheet'!$A:$AL,27,FALSE)</f>
        <v>0</v>
      </c>
      <c r="M89" s="1552"/>
      <c r="N89" s="1552"/>
      <c r="O89" s="25" t="str">
        <f>_xlfn.IFNA(VLOOKUP($C89,'Master sheet'!$A:$AR,44,FALSE),"")&amp;""</f>
        <v/>
      </c>
      <c r="P89" s="637"/>
      <c r="Q89" s="765" t="s">
        <v>1642</v>
      </c>
      <c r="R89" s="717" t="s">
        <v>4591</v>
      </c>
      <c r="S89" s="624"/>
      <c r="T89" s="638"/>
      <c r="U89" s="664"/>
      <c r="V89" s="664"/>
      <c r="W89" s="664"/>
      <c r="X89" s="664"/>
      <c r="Y89" s="664"/>
      <c r="Z89" s="664"/>
      <c r="AA89" s="664"/>
    </row>
    <row r="90" spans="1:27" ht="31.5" customHeight="1" x14ac:dyDescent="0.25">
      <c r="A90" s="1576"/>
      <c r="B90" s="1576"/>
      <c r="C90" s="673" t="str">
        <f>INDEX('Master sheet'!$A$1:$A$670,MATCH("A176",'Master sheet'!$AN$1:$AN$670,0))</f>
        <v>Ext. Wall barrier, sheet / GCP / Perm-a-Barrier NPS / Non-permeable / 0.46 mm</v>
      </c>
      <c r="D90" s="17">
        <f>'USER INPUT SHEET'!$D$40</f>
        <v>0</v>
      </c>
      <c r="E90" s="18" t="str">
        <f>'USER INPUT SHEET'!$F$32</f>
        <v>m2</v>
      </c>
      <c r="F90" s="4">
        <v>1</v>
      </c>
      <c r="G90" s="674"/>
      <c r="H90" s="9"/>
      <c r="I90" s="95">
        <f t="shared" si="30"/>
        <v>0</v>
      </c>
      <c r="J90" s="96" t="str">
        <f t="shared" si="31"/>
        <v/>
      </c>
      <c r="K90" s="407">
        <f>$D90*$F90*VLOOKUP($C90,'Master sheet'!$A:$AL,13,FALSE)</f>
        <v>0</v>
      </c>
      <c r="L90" s="97">
        <f>$D90*$F90*VLOOKUP($C90,'Master sheet'!$A:$AL,27,FALSE)</f>
        <v>0</v>
      </c>
      <c r="M90" s="1552"/>
      <c r="N90" s="1552"/>
      <c r="O90" s="25" t="str">
        <f>_xlfn.IFNA(VLOOKUP($C90,'Master sheet'!$A:$AR,44,FALSE),"")&amp;""</f>
        <v/>
      </c>
      <c r="P90" s="637"/>
      <c r="Q90" s="765" t="s">
        <v>1642</v>
      </c>
      <c r="R90" s="717" t="s">
        <v>4591</v>
      </c>
      <c r="S90" s="624"/>
      <c r="T90" s="638"/>
      <c r="U90" s="664"/>
      <c r="V90" s="664"/>
      <c r="W90" s="664"/>
      <c r="X90" s="664"/>
      <c r="Y90" s="664"/>
      <c r="Z90" s="664"/>
      <c r="AA90" s="664"/>
    </row>
    <row r="91" spans="1:27" ht="31.5" customHeight="1" x14ac:dyDescent="0.25">
      <c r="A91" s="1576"/>
      <c r="B91" s="1576"/>
      <c r="C91" s="673" t="str">
        <f>INDEX('Master sheet'!$A$1:$A$670,MATCH("A181",'Master sheet'!$AN$1:$AN$670,0))</f>
        <v xml:space="preserve">Int. Wall &amp; Ceiling Barrier, sheet / Partel / IZOPERM PLUS / Non-permeable / </v>
      </c>
      <c r="D91" s="17">
        <f>'USER INPUT SHEET'!$D$40</f>
        <v>0</v>
      </c>
      <c r="E91" s="18" t="str">
        <f>'USER INPUT SHEET'!$F$32</f>
        <v>m2</v>
      </c>
      <c r="F91" s="4">
        <v>1</v>
      </c>
      <c r="G91" s="674"/>
      <c r="H91" s="9"/>
      <c r="I91" s="95">
        <f t="shared" si="30"/>
        <v>0</v>
      </c>
      <c r="J91" s="96" t="str">
        <f t="shared" si="31"/>
        <v/>
      </c>
      <c r="K91" s="407">
        <f>$D91*$F91*VLOOKUP($C91,'Master sheet'!$A:$AL,13,FALSE)</f>
        <v>0</v>
      </c>
      <c r="L91" s="97">
        <f>$D91*$F91*VLOOKUP($C91,'Master sheet'!$A:$AL,27,FALSE)</f>
        <v>0</v>
      </c>
      <c r="M91" s="1552"/>
      <c r="N91" s="1552"/>
      <c r="O91" s="25" t="str">
        <f>_xlfn.IFNA(VLOOKUP($C91,'Master sheet'!$A:$AR,44,FALSE),"")&amp;""</f>
        <v/>
      </c>
      <c r="P91" s="637"/>
      <c r="Q91" s="765" t="s">
        <v>1642</v>
      </c>
      <c r="R91" s="717" t="s">
        <v>4591</v>
      </c>
      <c r="S91" s="624"/>
      <c r="T91" s="638"/>
      <c r="U91" s="664"/>
      <c r="V91" s="664"/>
      <c r="W91" s="664"/>
      <c r="X91" s="664"/>
      <c r="Y91" s="664"/>
      <c r="Z91" s="664"/>
      <c r="AA91" s="664"/>
    </row>
    <row r="92" spans="1:27" ht="31.5" customHeight="1" x14ac:dyDescent="0.25">
      <c r="A92" s="1576"/>
      <c r="B92" s="1576"/>
      <c r="C92" s="673" t="str">
        <f>INDEX('Master sheet'!$A$1:$A$670,MATCH("A184",'Master sheet'!$AN$1:$AN$670,0))</f>
        <v>Int. Wall &amp; Ceiling Barrier, sheet / Rothoblaas / Vapor in NET 140 / Non-permeable / 0.15 mm</v>
      </c>
      <c r="D92" s="17">
        <f>'USER INPUT SHEET'!$D$40</f>
        <v>0</v>
      </c>
      <c r="E92" s="18" t="str">
        <f>'USER INPUT SHEET'!$F$32</f>
        <v>m2</v>
      </c>
      <c r="F92" s="4">
        <v>1</v>
      </c>
      <c r="G92" s="674"/>
      <c r="H92" s="9"/>
      <c r="I92" s="95">
        <f t="shared" si="30"/>
        <v>0</v>
      </c>
      <c r="J92" s="96" t="str">
        <f t="shared" si="31"/>
        <v/>
      </c>
      <c r="K92" s="407">
        <f>$D92*$F92*VLOOKUP($C92,'Master sheet'!$A:$AL,13,FALSE)</f>
        <v>0</v>
      </c>
      <c r="L92" s="97">
        <f>$D92*$F92*VLOOKUP($C92,'Master sheet'!$A:$AL,27,FALSE)</f>
        <v>0</v>
      </c>
      <c r="M92" s="1552"/>
      <c r="N92" s="1552"/>
      <c r="O92" s="25" t="str">
        <f>_xlfn.IFNA(VLOOKUP($C92,'Master sheet'!$A:$AR,44,FALSE),"")&amp;""</f>
        <v/>
      </c>
      <c r="P92" s="637"/>
      <c r="Q92" s="765" t="s">
        <v>1642</v>
      </c>
      <c r="R92" s="717" t="s">
        <v>4591</v>
      </c>
      <c r="S92" s="624"/>
      <c r="T92" s="638"/>
      <c r="U92" s="664"/>
      <c r="V92" s="664"/>
      <c r="W92" s="664"/>
      <c r="X92" s="664"/>
      <c r="Y92" s="664"/>
      <c r="Z92" s="664"/>
      <c r="AA92" s="664"/>
    </row>
    <row r="93" spans="1:27" ht="22.8" x14ac:dyDescent="0.25">
      <c r="A93" s="1576"/>
      <c r="B93" s="1576"/>
      <c r="C93" s="673" t="str">
        <f>INDEX('Master sheet'!$A$1:$A$670,MATCH("A186",'Master sheet'!$AN$1:$AN$670,0))</f>
        <v>Barrier, sheet /  / Polyethylene sheet / 10 mil</v>
      </c>
      <c r="D93" s="17">
        <f>'USER INPUT SHEET'!$D$40</f>
        <v>0</v>
      </c>
      <c r="E93" s="18" t="str">
        <f>'USER INPUT SHEET'!$F$32</f>
        <v>m2</v>
      </c>
      <c r="F93" s="4">
        <v>1</v>
      </c>
      <c r="G93" s="674"/>
      <c r="H93" s="9"/>
      <c r="I93" s="95">
        <f t="shared" si="30"/>
        <v>0</v>
      </c>
      <c r="J93" s="96" t="str">
        <f t="shared" si="31"/>
        <v/>
      </c>
      <c r="K93" s="407">
        <f>$D93*$F93*VLOOKUP($C93,'Master sheet'!$A:$AL,13,FALSE)</f>
        <v>0</v>
      </c>
      <c r="L93" s="97">
        <f>$D93*$F93*VLOOKUP($C93,'Master sheet'!$A:$AL,27,FALSE)</f>
        <v>0</v>
      </c>
      <c r="M93" s="1552"/>
      <c r="N93" s="1552"/>
      <c r="O93" s="25" t="str">
        <f>_xlfn.IFNA(VLOOKUP($C93,'Master sheet'!$A:$AR,44,FALSE),"")&amp;""</f>
        <v/>
      </c>
      <c r="P93" s="637"/>
      <c r="Q93" s="765" t="s">
        <v>1642</v>
      </c>
      <c r="R93" s="717" t="s">
        <v>4591</v>
      </c>
      <c r="S93" s="624"/>
      <c r="T93" s="638"/>
      <c r="U93" s="664"/>
      <c r="V93" s="664"/>
      <c r="W93" s="664"/>
      <c r="X93" s="664"/>
      <c r="Y93" s="664"/>
      <c r="Z93" s="664"/>
      <c r="AA93" s="638"/>
    </row>
    <row r="94" spans="1:27" ht="22.8" x14ac:dyDescent="0.25">
      <c r="A94" s="1576"/>
      <c r="B94" s="1576"/>
      <c r="C94" s="673" t="str">
        <f>INDEX('Master sheet'!$A$1:$A$670,MATCH("A187",'Master sheet'!$AN$1:$AN$670,0))</f>
        <v>Barrier, sheet /  / Polyethylene sheet / 6 mil</v>
      </c>
      <c r="D94" s="17">
        <f>'USER INPUT SHEET'!$D$40</f>
        <v>0</v>
      </c>
      <c r="E94" s="18" t="str">
        <f>'USER INPUT SHEET'!$F$32</f>
        <v>m2</v>
      </c>
      <c r="F94" s="4">
        <v>1</v>
      </c>
      <c r="G94" s="674"/>
      <c r="H94" s="9"/>
      <c r="I94" s="95">
        <f t="shared" si="30"/>
        <v>0</v>
      </c>
      <c r="J94" s="96" t="str">
        <f t="shared" si="31"/>
        <v/>
      </c>
      <c r="K94" s="407">
        <f>$D94*$F94*VLOOKUP($C94,'Master sheet'!$A:$AL,13,FALSE)</f>
        <v>0</v>
      </c>
      <c r="L94" s="97">
        <f>$D94*$F94*VLOOKUP($C94,'Master sheet'!$A:$AL,27,FALSE)</f>
        <v>0</v>
      </c>
      <c r="M94" s="1610"/>
      <c r="N94" s="1610"/>
      <c r="O94" s="25" t="str">
        <f>_xlfn.IFNA(VLOOKUP($C94,'Master sheet'!$A:$AR,44,FALSE),"")&amp;""</f>
        <v/>
      </c>
      <c r="P94" s="637"/>
      <c r="Q94" s="765" t="s">
        <v>1642</v>
      </c>
      <c r="R94" s="717" t="s">
        <v>4591</v>
      </c>
      <c r="S94" s="624"/>
      <c r="T94" s="638"/>
      <c r="U94" s="664"/>
      <c r="V94" s="664"/>
      <c r="W94" s="664"/>
      <c r="X94" s="664"/>
      <c r="Y94" s="664"/>
      <c r="Z94" s="664"/>
      <c r="AA94" s="638"/>
    </row>
    <row r="95" spans="1:27" ht="31.5" customHeight="1" x14ac:dyDescent="0.25">
      <c r="A95" s="686"/>
      <c r="B95" s="1541" t="s">
        <v>4593</v>
      </c>
      <c r="C95" s="1541"/>
      <c r="D95" s="656"/>
      <c r="E95" s="657"/>
      <c r="F95" s="327"/>
      <c r="G95" s="695"/>
      <c r="H95" s="695"/>
      <c r="I95" s="658"/>
      <c r="J95" s="659"/>
      <c r="K95" s="660"/>
      <c r="L95" s="661"/>
      <c r="M95" s="677"/>
      <c r="N95" s="677"/>
      <c r="O95" s="25" t="str">
        <f>_xlfn.IFNA(VLOOKUP($C95,'Master sheet'!$A:$AR,44,FALSE),"")&amp;""</f>
        <v/>
      </c>
      <c r="P95" s="637"/>
      <c r="Q95" s="722"/>
      <c r="R95" s="717" t="s">
        <v>4591</v>
      </c>
      <c r="S95" s="638"/>
      <c r="T95" s="638"/>
      <c r="U95" s="664"/>
      <c r="V95" s="664"/>
      <c r="W95" s="664"/>
      <c r="X95" s="664"/>
      <c r="Y95" s="664"/>
      <c r="Z95" s="664"/>
      <c r="AA95" s="638"/>
    </row>
    <row r="96" spans="1:27" ht="22.8" x14ac:dyDescent="0.25">
      <c r="A96" s="1576"/>
      <c r="B96" s="1576"/>
      <c r="C96" s="691" t="s">
        <v>4766</v>
      </c>
      <c r="D96" s="19">
        <f>'USER INPUT SHEET'!$D$40</f>
        <v>0</v>
      </c>
      <c r="E96" s="20" t="str">
        <f>'USER INPUT SHEET'!$F$32</f>
        <v>m2</v>
      </c>
      <c r="F96" s="6">
        <v>1</v>
      </c>
      <c r="G96" s="692"/>
      <c r="H96" s="10"/>
      <c r="I96" s="98">
        <f t="shared" ref="I96:I97" si="32">K96-L96</f>
        <v>0</v>
      </c>
      <c r="J96" s="106" t="str">
        <f>IF(H96=1,I96,"")</f>
        <v/>
      </c>
      <c r="K96" s="410">
        <f>$F96*AVERAGE(K97:K103)</f>
        <v>0</v>
      </c>
      <c r="L96" s="99">
        <f>$F96*AVERAGE(L97:L103)</f>
        <v>0</v>
      </c>
      <c r="M96" s="1552"/>
      <c r="N96" s="1552"/>
      <c r="O96" s="25" t="str">
        <f>_xlfn.IFNA(VLOOKUP($C96,'Master sheet'!$A:$AR,44,FALSE),"")&amp;""</f>
        <v/>
      </c>
      <c r="P96" s="685"/>
      <c r="Q96" s="765" t="s">
        <v>1642</v>
      </c>
      <c r="R96" s="717" t="s">
        <v>4591</v>
      </c>
      <c r="S96" s="664"/>
      <c r="T96" s="664"/>
      <c r="U96" s="664"/>
      <c r="V96" s="664"/>
      <c r="W96" s="664"/>
      <c r="X96" s="664"/>
      <c r="Y96" s="664"/>
      <c r="Z96" s="664"/>
      <c r="AA96" s="638"/>
    </row>
    <row r="97" spans="1:27" ht="31.5" customHeight="1" x14ac:dyDescent="0.25">
      <c r="A97" s="1576"/>
      <c r="B97" s="1576"/>
      <c r="C97" s="673" t="str">
        <f>INDEX('Master sheet'!$A$1:$A$670,MATCH("A165",'Master sheet'!$AN$1:$AN$670,0))</f>
        <v>Ext. Wall &amp; Roof Barrier, liquid applied / Carlisle / Barrithane VP / 11.1 Perms / 40 mils</v>
      </c>
      <c r="D97" s="17">
        <f>'USER INPUT SHEET'!$D$40</f>
        <v>0</v>
      </c>
      <c r="E97" s="18" t="str">
        <f>'USER INPUT SHEET'!$F$32</f>
        <v>m2</v>
      </c>
      <c r="F97" s="4">
        <v>1</v>
      </c>
      <c r="G97" s="674"/>
      <c r="H97" s="9"/>
      <c r="I97" s="95">
        <f t="shared" si="32"/>
        <v>0</v>
      </c>
      <c r="J97" s="96" t="str">
        <f t="shared" ref="J97" si="33">IF(H97=1,I97,"")</f>
        <v/>
      </c>
      <c r="K97" s="407">
        <f>$D97*$F97*VLOOKUP($C97,'Master sheet'!$A:$AL,13,FALSE)</f>
        <v>0</v>
      </c>
      <c r="L97" s="97">
        <f>$D97*$F97*VLOOKUP($C97,'Master sheet'!$A:$AL,27,FALSE)</f>
        <v>0</v>
      </c>
      <c r="M97" s="1552"/>
      <c r="N97" s="1552"/>
      <c r="O97" s="25" t="str">
        <f>_xlfn.IFNA(VLOOKUP($C97,'Master sheet'!$A:$AR,44,FALSE),"")&amp;""</f>
        <v/>
      </c>
      <c r="P97" s="637"/>
      <c r="Q97" s="765" t="s">
        <v>1642</v>
      </c>
      <c r="R97" s="717" t="s">
        <v>4591</v>
      </c>
      <c r="S97" s="624"/>
      <c r="T97" s="638"/>
      <c r="U97" s="664"/>
      <c r="V97" s="664"/>
      <c r="W97" s="664"/>
      <c r="X97" s="664"/>
      <c r="Y97" s="664"/>
      <c r="Z97" s="664"/>
      <c r="AA97" s="638"/>
    </row>
    <row r="98" spans="1:27" ht="31.5" customHeight="1" x14ac:dyDescent="0.25">
      <c r="A98" s="1576"/>
      <c r="B98" s="1576"/>
      <c r="C98" s="673" t="str">
        <f>INDEX('Master sheet'!$A$1:$A$670,MATCH("A173",'Master sheet'!$AN$1:$AN$670,0))</f>
        <v>Ext. Wall barrier, liquid applied / GCP / Perm-a-Barrier NPL 10 / Non-permeable / 1 mm</v>
      </c>
      <c r="D98" s="17">
        <f>'USER INPUT SHEET'!$D$40</f>
        <v>0</v>
      </c>
      <c r="E98" s="18" t="str">
        <f>'USER INPUT SHEET'!$F$32</f>
        <v>m2</v>
      </c>
      <c r="F98" s="4">
        <v>1</v>
      </c>
      <c r="G98" s="674"/>
      <c r="H98" s="9"/>
      <c r="I98" s="95">
        <f t="shared" ref="I98:I103" si="34">K98-L98</f>
        <v>0</v>
      </c>
      <c r="J98" s="96" t="str">
        <f t="shared" ref="J98:J103" si="35">IF(H98=1,I98,"")</f>
        <v/>
      </c>
      <c r="K98" s="407">
        <f>$D98*$F98*VLOOKUP($C98,'Master sheet'!$A:$AL,13,FALSE)</f>
        <v>0</v>
      </c>
      <c r="L98" s="97">
        <f>$D98*$F98*VLOOKUP($C98,'Master sheet'!$A:$AL,27,FALSE)</f>
        <v>0</v>
      </c>
      <c r="M98" s="1552"/>
      <c r="N98" s="1552"/>
      <c r="O98" s="25" t="str">
        <f>_xlfn.IFNA(VLOOKUP($C98,'Master sheet'!$A:$AR,44,FALSE),"")&amp;""</f>
        <v/>
      </c>
      <c r="P98" s="637"/>
      <c r="Q98" s="765" t="s">
        <v>1642</v>
      </c>
      <c r="R98" s="717" t="s">
        <v>4591</v>
      </c>
      <c r="S98" s="624"/>
      <c r="T98" s="638"/>
      <c r="U98" s="664"/>
      <c r="V98" s="664"/>
      <c r="W98" s="664"/>
      <c r="X98" s="664"/>
      <c r="Y98" s="664"/>
      <c r="Z98" s="664"/>
      <c r="AA98" s="638"/>
    </row>
    <row r="99" spans="1:27" ht="31.5" customHeight="1" x14ac:dyDescent="0.25">
      <c r="A99" s="1576"/>
      <c r="B99" s="1576"/>
      <c r="C99" s="673" t="str">
        <f>INDEX('Master sheet'!$A$1:$A$670,MATCH("A174",'Master sheet'!$AN$1:$AN$670,0))</f>
        <v>Ext. Wall barrier, liquid applied / GCP / Perm-a-Barrier VPL / 20 Perms / 0.64 mm</v>
      </c>
      <c r="D99" s="17">
        <f>'USER INPUT SHEET'!$D$40</f>
        <v>0</v>
      </c>
      <c r="E99" s="18" t="str">
        <f>'USER INPUT SHEET'!$F$32</f>
        <v>m2</v>
      </c>
      <c r="F99" s="4">
        <v>1</v>
      </c>
      <c r="G99" s="674"/>
      <c r="H99" s="9"/>
      <c r="I99" s="95">
        <f t="shared" si="34"/>
        <v>0</v>
      </c>
      <c r="J99" s="96" t="str">
        <f t="shared" si="35"/>
        <v/>
      </c>
      <c r="K99" s="407">
        <f>$D99*$F99*VLOOKUP($C99,'Master sheet'!$A:$AL,13,FALSE)</f>
        <v>0</v>
      </c>
      <c r="L99" s="97">
        <f>$D99*$F99*VLOOKUP($C99,'Master sheet'!$A:$AL,27,FALSE)</f>
        <v>0</v>
      </c>
      <c r="M99" s="1552"/>
      <c r="N99" s="1552"/>
      <c r="O99" s="25" t="str">
        <f>_xlfn.IFNA(VLOOKUP($C99,'Master sheet'!$A:$AR,44,FALSE),"")&amp;""</f>
        <v/>
      </c>
      <c r="P99" s="637"/>
      <c r="Q99" s="765" t="s">
        <v>1642</v>
      </c>
      <c r="R99" s="717" t="s">
        <v>4591</v>
      </c>
      <c r="S99" s="624"/>
      <c r="T99" s="638"/>
      <c r="U99" s="664"/>
      <c r="V99" s="664"/>
      <c r="W99" s="664"/>
      <c r="X99" s="664"/>
      <c r="Y99" s="664"/>
      <c r="Z99" s="664"/>
      <c r="AA99" s="638"/>
    </row>
    <row r="100" spans="1:27" ht="31.5" customHeight="1" x14ac:dyDescent="0.25">
      <c r="A100" s="1576"/>
      <c r="B100" s="1576"/>
      <c r="C100" s="673" t="str">
        <f>INDEX('Master sheet'!$A$1:$A$670,MATCH("A175",'Master sheet'!$AN$1:$AN$670,0))</f>
        <v>Ext. Wall barrier, liquid applied / GCP / Perm-a-Barrier VPL 50 RS / 13 Perms / 0.51 mm</v>
      </c>
      <c r="D100" s="17">
        <f>'USER INPUT SHEET'!$D$40</f>
        <v>0</v>
      </c>
      <c r="E100" s="18" t="str">
        <f>'USER INPUT SHEET'!$F$32</f>
        <v>m2</v>
      </c>
      <c r="F100" s="4">
        <v>1</v>
      </c>
      <c r="G100" s="674"/>
      <c r="H100" s="9"/>
      <c r="I100" s="95">
        <f t="shared" si="34"/>
        <v>0</v>
      </c>
      <c r="J100" s="96" t="str">
        <f t="shared" si="35"/>
        <v/>
      </c>
      <c r="K100" s="407">
        <f>$D100*$F100*VLOOKUP($C100,'Master sheet'!$A:$AL,13,FALSE)</f>
        <v>0</v>
      </c>
      <c r="L100" s="97">
        <f>$D100*$F100*VLOOKUP($C100,'Master sheet'!$A:$AL,27,FALSE)</f>
        <v>0</v>
      </c>
      <c r="M100" s="1552"/>
      <c r="N100" s="1552"/>
      <c r="O100" s="25" t="str">
        <f>_xlfn.IFNA(VLOOKUP($C100,'Master sheet'!$A:$AR,44,FALSE),"")&amp;""</f>
        <v/>
      </c>
      <c r="P100" s="637"/>
      <c r="Q100" s="765" t="s">
        <v>1642</v>
      </c>
      <c r="R100" s="717" t="s">
        <v>4591</v>
      </c>
      <c r="S100" s="624"/>
      <c r="T100" s="638"/>
      <c r="U100" s="664"/>
      <c r="V100" s="664"/>
      <c r="W100" s="664"/>
      <c r="X100" s="664"/>
      <c r="Y100" s="664"/>
      <c r="Z100" s="664"/>
      <c r="AA100" s="638"/>
    </row>
    <row r="101" spans="1:27" ht="31.5" customHeight="1" x14ac:dyDescent="0.25">
      <c r="A101" s="1576"/>
      <c r="B101" s="1576"/>
      <c r="C101" s="673" t="str">
        <f>INDEX('Master sheet'!$A$1:$A$670,MATCH("A177",'Master sheet'!$AN$1:$AN$670,0))</f>
        <v xml:space="preserve">Ext. Wall Barrier, liquid applied / Soprema / Sopraseal LM 200 S / 0.6 Perm / </v>
      </c>
      <c r="D101" s="17">
        <f>'USER INPUT SHEET'!$D$40</f>
        <v>0</v>
      </c>
      <c r="E101" s="18" t="str">
        <f>'USER INPUT SHEET'!$F$32</f>
        <v>m2</v>
      </c>
      <c r="F101" s="4">
        <v>1</v>
      </c>
      <c r="G101" s="674"/>
      <c r="H101" s="9"/>
      <c r="I101" s="95">
        <f t="shared" si="34"/>
        <v>0</v>
      </c>
      <c r="J101" s="96" t="str">
        <f t="shared" si="35"/>
        <v/>
      </c>
      <c r="K101" s="407">
        <f>$D101*$F101*VLOOKUP($C101,'Master sheet'!$A:$AL,13,FALSE)</f>
        <v>0</v>
      </c>
      <c r="L101" s="97">
        <f>$D101*$F101*VLOOKUP($C101,'Master sheet'!$A:$AL,27,FALSE)</f>
        <v>0</v>
      </c>
      <c r="M101" s="1552"/>
      <c r="N101" s="1552"/>
      <c r="O101" s="25" t="str">
        <f>_xlfn.IFNA(VLOOKUP($C101,'Master sheet'!$A:$AR,44,FALSE),"")&amp;""</f>
        <v/>
      </c>
      <c r="P101" s="637"/>
      <c r="Q101" s="765" t="s">
        <v>1642</v>
      </c>
      <c r="R101" s="717" t="s">
        <v>4591</v>
      </c>
      <c r="S101" s="624"/>
      <c r="T101" s="638"/>
      <c r="U101" s="664"/>
      <c r="V101" s="664"/>
      <c r="W101" s="664"/>
      <c r="X101" s="664"/>
      <c r="Y101" s="664"/>
      <c r="Z101" s="664"/>
      <c r="AA101" s="664"/>
    </row>
    <row r="102" spans="1:27" ht="31.5" customHeight="1" x14ac:dyDescent="0.25">
      <c r="A102" s="1576"/>
      <c r="B102" s="1576"/>
      <c r="C102" s="673" t="str">
        <f>INDEX('Master sheet'!$A$1:$A$670,MATCH("A178",'Master sheet'!$AN$1:$AN$670,0))</f>
        <v>Ext. Wall Barrier, liquid applied / Soprema / SOPRASEAL LM 204 VP / 10-17 Perms / 0.6 mm</v>
      </c>
      <c r="D102" s="17">
        <f>'USER INPUT SHEET'!$D$40</f>
        <v>0</v>
      </c>
      <c r="E102" s="18" t="str">
        <f>'USER INPUT SHEET'!$F$32</f>
        <v>m2</v>
      </c>
      <c r="F102" s="4">
        <v>1</v>
      </c>
      <c r="G102" s="674"/>
      <c r="H102" s="9"/>
      <c r="I102" s="95">
        <f t="shared" si="34"/>
        <v>0</v>
      </c>
      <c r="J102" s="96" t="str">
        <f t="shared" si="35"/>
        <v/>
      </c>
      <c r="K102" s="407">
        <f>$D102*$F102*VLOOKUP($C102,'Master sheet'!$A:$AL,13,FALSE)</f>
        <v>0</v>
      </c>
      <c r="L102" s="97">
        <f>$D102*$F102*VLOOKUP($C102,'Master sheet'!$A:$AL,27,FALSE)</f>
        <v>0</v>
      </c>
      <c r="M102" s="1552"/>
      <c r="N102" s="1552"/>
      <c r="O102" s="25" t="str">
        <f>_xlfn.IFNA(VLOOKUP($C102,'Master sheet'!$A:$AR,44,FALSE),"")&amp;""</f>
        <v/>
      </c>
      <c r="P102" s="637"/>
      <c r="Q102" s="765" t="s">
        <v>1642</v>
      </c>
      <c r="R102" s="717" t="s">
        <v>4591</v>
      </c>
      <c r="S102" s="624"/>
      <c r="T102" s="638"/>
      <c r="U102" s="664"/>
      <c r="V102" s="664"/>
      <c r="W102" s="664"/>
      <c r="X102" s="664"/>
      <c r="Y102" s="664"/>
      <c r="Z102" s="664"/>
      <c r="AA102" s="664"/>
    </row>
    <row r="103" spans="1:27" ht="31.5" customHeight="1" x14ac:dyDescent="0.25">
      <c r="A103" s="1576"/>
      <c r="B103" s="1576"/>
      <c r="C103" s="673" t="str">
        <f>INDEX('Master sheet'!$A$1:$A$670,MATCH("A180",'Master sheet'!$AN$1:$AN$670,0))</f>
        <v xml:space="preserve">Ext. Waterproofing Barrier, liquid applied / Carlisle / MiraSEAL &amp; MiraTITE / </v>
      </c>
      <c r="D103" s="17">
        <f>'USER INPUT SHEET'!$D$40</f>
        <v>0</v>
      </c>
      <c r="E103" s="18" t="str">
        <f>'USER INPUT SHEET'!$F$32</f>
        <v>m2</v>
      </c>
      <c r="F103" s="4">
        <v>1</v>
      </c>
      <c r="G103" s="674"/>
      <c r="H103" s="9"/>
      <c r="I103" s="95">
        <f t="shared" si="34"/>
        <v>0</v>
      </c>
      <c r="J103" s="96" t="str">
        <f t="shared" si="35"/>
        <v/>
      </c>
      <c r="K103" s="407">
        <f>$D103*$F103*VLOOKUP($C103,'Master sheet'!$A:$AL,13,FALSE)</f>
        <v>0</v>
      </c>
      <c r="L103" s="97">
        <f>$D103*$F103*VLOOKUP($C103,'Master sheet'!$A:$AL,27,FALSE)</f>
        <v>0</v>
      </c>
      <c r="M103" s="1610"/>
      <c r="N103" s="1610"/>
      <c r="O103" s="25" t="str">
        <f>_xlfn.IFNA(VLOOKUP($C103,'Master sheet'!$A:$AR,44,FALSE),"")&amp;""</f>
        <v/>
      </c>
      <c r="P103" s="637"/>
      <c r="Q103" s="765" t="s">
        <v>1642</v>
      </c>
      <c r="R103" s="717" t="s">
        <v>4591</v>
      </c>
      <c r="S103" s="624"/>
      <c r="T103" s="638"/>
      <c r="U103" s="664"/>
      <c r="V103" s="664"/>
      <c r="W103" s="664"/>
      <c r="X103" s="664"/>
      <c r="Y103" s="664"/>
      <c r="Z103" s="664"/>
      <c r="AA103" s="638"/>
    </row>
    <row r="104" spans="1:27" ht="31.5" customHeight="1" x14ac:dyDescent="0.25">
      <c r="A104" s="686"/>
      <c r="B104" s="1541" t="s">
        <v>4764</v>
      </c>
      <c r="C104" s="1541"/>
      <c r="D104" s="656"/>
      <c r="E104" s="657"/>
      <c r="F104" s="327"/>
      <c r="G104" s="695"/>
      <c r="H104" s="695"/>
      <c r="I104" s="658"/>
      <c r="J104" s="659"/>
      <c r="K104" s="660"/>
      <c r="L104" s="661"/>
      <c r="M104" s="677"/>
      <c r="N104" s="677"/>
      <c r="O104" s="25" t="str">
        <f>_xlfn.IFNA(VLOOKUP($C104,'Master sheet'!$A:$AR,44,FALSE),"")&amp;""</f>
        <v/>
      </c>
      <c r="P104" s="637"/>
      <c r="Q104" s="722"/>
      <c r="R104" s="717" t="s">
        <v>4591</v>
      </c>
      <c r="S104" s="638"/>
      <c r="T104" s="638"/>
      <c r="U104" s="664"/>
      <c r="V104" s="664"/>
      <c r="W104" s="664"/>
      <c r="X104" s="664"/>
      <c r="Y104" s="664"/>
      <c r="Z104" s="664"/>
      <c r="AA104" s="664"/>
    </row>
    <row r="105" spans="1:27" ht="22.8" x14ac:dyDescent="0.25">
      <c r="A105" s="1576"/>
      <c r="B105" s="1576"/>
      <c r="C105" s="691" t="s">
        <v>4767</v>
      </c>
      <c r="D105" s="19">
        <f>'USER INPUT SHEET'!$D$40</f>
        <v>0</v>
      </c>
      <c r="E105" s="20" t="str">
        <f>'USER INPUT SHEET'!$F$32</f>
        <v>m2</v>
      </c>
      <c r="F105" s="6">
        <v>1</v>
      </c>
      <c r="G105" s="692"/>
      <c r="H105" s="10"/>
      <c r="I105" s="98">
        <f t="shared" ref="I105:I112" si="36">K105-L105</f>
        <v>0</v>
      </c>
      <c r="J105" s="106" t="str">
        <f>IF(H105=1,I105,"")</f>
        <v/>
      </c>
      <c r="K105" s="410">
        <f>$F105*AVERAGE(K106:K112)</f>
        <v>0</v>
      </c>
      <c r="L105" s="99">
        <f>$F105*AVERAGE(L106:L112)</f>
        <v>0</v>
      </c>
      <c r="M105" s="1552"/>
      <c r="N105" s="1552"/>
      <c r="O105" s="25" t="str">
        <f>_xlfn.IFNA(VLOOKUP($C105,'Master sheet'!$A:$AR,44,FALSE),"")&amp;""</f>
        <v/>
      </c>
      <c r="P105" s="685"/>
      <c r="Q105" s="765" t="s">
        <v>1642</v>
      </c>
      <c r="R105" s="717" t="s">
        <v>4591</v>
      </c>
      <c r="S105" s="664"/>
      <c r="T105" s="664"/>
      <c r="U105" s="664"/>
      <c r="V105" s="664"/>
      <c r="W105" s="664"/>
      <c r="X105" s="664"/>
      <c r="Y105" s="664"/>
      <c r="Z105" s="664"/>
      <c r="AA105" s="638"/>
    </row>
    <row r="106" spans="1:27" ht="31.2" x14ac:dyDescent="0.25">
      <c r="A106" s="1576"/>
      <c r="B106" s="1576"/>
      <c r="C106" s="673" t="str">
        <f>INDEX('Master sheet'!$A$1:$A$670,MATCH("A164",'Master sheet'!$AN$1:$AN$670,0))</f>
        <v xml:space="preserve">Ext. Wall &amp; Roof Barrier, adhesive / Partel / Exoperm Mono SA 250 / Permeable / </v>
      </c>
      <c r="D106" s="17">
        <f>'USER INPUT SHEET'!$D$40</f>
        <v>0</v>
      </c>
      <c r="E106" s="18" t="str">
        <f>'USER INPUT SHEET'!$F$32</f>
        <v>m2</v>
      </c>
      <c r="F106" s="4">
        <v>1</v>
      </c>
      <c r="G106" s="674"/>
      <c r="H106" s="9"/>
      <c r="I106" s="95">
        <f t="shared" si="36"/>
        <v>0</v>
      </c>
      <c r="J106" s="96" t="str">
        <f t="shared" ref="J106:J112" si="37">IF(H106=1,I106,"")</f>
        <v/>
      </c>
      <c r="K106" s="407">
        <f>$D106*$F106*VLOOKUP($C106,'Master sheet'!$A:$AL,13,FALSE)</f>
        <v>0</v>
      </c>
      <c r="L106" s="97">
        <f>$D106*$F106*VLOOKUP($C106,'Master sheet'!$A:$AL,27,FALSE)</f>
        <v>0</v>
      </c>
      <c r="M106" s="1552"/>
      <c r="N106" s="1552"/>
      <c r="O106" s="25" t="str">
        <f>_xlfn.IFNA(VLOOKUP($C106,'Master sheet'!$A:$AR,44,FALSE),"")&amp;""</f>
        <v/>
      </c>
      <c r="P106" s="637"/>
      <c r="Q106" s="765" t="s">
        <v>1642</v>
      </c>
      <c r="R106" s="717" t="s">
        <v>4591</v>
      </c>
      <c r="S106" s="624"/>
      <c r="T106" s="638"/>
      <c r="U106" s="664"/>
      <c r="V106" s="664"/>
      <c r="W106" s="664"/>
      <c r="X106" s="664"/>
      <c r="Y106" s="664"/>
      <c r="Z106" s="664"/>
      <c r="AA106" s="638"/>
    </row>
    <row r="107" spans="1:27" ht="31.2" x14ac:dyDescent="0.25">
      <c r="A107" s="1576"/>
      <c r="B107" s="1576"/>
      <c r="C107" s="673" t="str">
        <f>INDEX('Master sheet'!$A$1:$A$670,MATCH("A168",'Master sheet'!$AN$1:$AN$670,0))</f>
        <v>Ext. Wall barrier, adhesive / GCP / Perm-a-Barrier / Non-permeable / 1 mm</v>
      </c>
      <c r="D107" s="17">
        <f>'USER INPUT SHEET'!$D$40</f>
        <v>0</v>
      </c>
      <c r="E107" s="18" t="str">
        <f>'USER INPUT SHEET'!$F$32</f>
        <v>m2</v>
      </c>
      <c r="F107" s="4">
        <v>1</v>
      </c>
      <c r="G107" s="674"/>
      <c r="H107" s="9"/>
      <c r="I107" s="95">
        <f t="shared" si="36"/>
        <v>0</v>
      </c>
      <c r="J107" s="96" t="str">
        <f t="shared" si="37"/>
        <v/>
      </c>
      <c r="K107" s="407">
        <f>$D107*$F107*VLOOKUP($C107,'Master sheet'!$A:$AL,13,FALSE)</f>
        <v>0</v>
      </c>
      <c r="L107" s="97">
        <f>$D107*$F107*VLOOKUP($C107,'Master sheet'!$A:$AL,27,FALSE)</f>
        <v>0</v>
      </c>
      <c r="M107" s="1552"/>
      <c r="N107" s="1552"/>
      <c r="O107" s="25" t="str">
        <f>_xlfn.IFNA(VLOOKUP($C107,'Master sheet'!$A:$AR,44,FALSE),"")&amp;""</f>
        <v/>
      </c>
      <c r="P107" s="637"/>
      <c r="Q107" s="765" t="s">
        <v>1642</v>
      </c>
      <c r="R107" s="717" t="s">
        <v>4591</v>
      </c>
      <c r="S107" s="624"/>
      <c r="T107" s="638"/>
      <c r="U107" s="664"/>
      <c r="V107" s="664"/>
      <c r="W107" s="664"/>
      <c r="X107" s="664"/>
      <c r="Y107" s="664"/>
      <c r="Z107" s="664"/>
      <c r="AA107" s="638"/>
    </row>
    <row r="108" spans="1:27" ht="31.5" customHeight="1" x14ac:dyDescent="0.25">
      <c r="A108" s="729"/>
      <c r="B108" s="729"/>
      <c r="C108" s="673" t="str">
        <f>INDEX('Master sheet'!$A$1:$A$670,MATCH("A169",'Master sheet'!$AN$1:$AN$670,0))</f>
        <v>Ext. Wall Barrier, adhesive / Soprema / Sopraseal Stick 1100 T / Non-permeable / 1.0 mm</v>
      </c>
      <c r="D108" s="17">
        <f>'USER INPUT SHEET'!$D$40</f>
        <v>0</v>
      </c>
      <c r="E108" s="18" t="str">
        <f>'USER INPUT SHEET'!$F$32</f>
        <v>m2</v>
      </c>
      <c r="F108" s="4">
        <v>1</v>
      </c>
      <c r="G108" s="674"/>
      <c r="H108" s="9"/>
      <c r="I108" s="95">
        <f t="shared" si="36"/>
        <v>0</v>
      </c>
      <c r="J108" s="96" t="str">
        <f t="shared" si="37"/>
        <v/>
      </c>
      <c r="K108" s="407">
        <f>$D108*$F108*VLOOKUP($C108,'Master sheet'!$A:$AL,13,FALSE)</f>
        <v>0</v>
      </c>
      <c r="L108" s="97">
        <f>$D108*$F108*VLOOKUP($C108,'Master sheet'!$A:$AL,27,FALSE)</f>
        <v>0</v>
      </c>
      <c r="M108" s="1552"/>
      <c r="N108" s="1552"/>
      <c r="O108" s="25" t="str">
        <f>_xlfn.IFNA(VLOOKUP($C108,'Master sheet'!$A:$AR,44,FALSE),"")&amp;""</f>
        <v/>
      </c>
      <c r="P108" s="637"/>
      <c r="Q108" s="765" t="s">
        <v>1642</v>
      </c>
      <c r="R108" s="717" t="s">
        <v>4591</v>
      </c>
      <c r="S108" s="624"/>
      <c r="T108" s="664"/>
      <c r="U108" s="664"/>
      <c r="V108" s="664"/>
      <c r="W108" s="664"/>
      <c r="X108" s="664"/>
      <c r="Y108" s="664"/>
      <c r="Z108" s="664"/>
      <c r="AA108" s="638"/>
    </row>
    <row r="109" spans="1:27" ht="31.5" customHeight="1" x14ac:dyDescent="0.25">
      <c r="A109" s="729"/>
      <c r="B109" s="729"/>
      <c r="C109" s="673" t="str">
        <f>INDEX('Master sheet'!$A$1:$A$670,MATCH("A170",'Master sheet'!$AN$1:$AN$670,0))</f>
        <v>Ext. Wall Barrier, adhesive / Soprema / Sopraseal Stick VP / 11-17 Perms / 0.6 mm</v>
      </c>
      <c r="D109" s="17">
        <f>'USER INPUT SHEET'!$D$40</f>
        <v>0</v>
      </c>
      <c r="E109" s="18" t="str">
        <f>'USER INPUT SHEET'!$F$32</f>
        <v>m2</v>
      </c>
      <c r="F109" s="4">
        <v>1</v>
      </c>
      <c r="G109" s="674"/>
      <c r="H109" s="9"/>
      <c r="I109" s="95">
        <f t="shared" si="36"/>
        <v>0</v>
      </c>
      <c r="J109" s="96" t="str">
        <f t="shared" si="37"/>
        <v/>
      </c>
      <c r="K109" s="407">
        <f>$D109*$F109*VLOOKUP($C109,'Master sheet'!$A:$AL,13,FALSE)</f>
        <v>0</v>
      </c>
      <c r="L109" s="97">
        <f>$D109*$F109*VLOOKUP($C109,'Master sheet'!$A:$AL,27,FALSE)</f>
        <v>0</v>
      </c>
      <c r="M109" s="1552"/>
      <c r="N109" s="1552"/>
      <c r="O109" s="25" t="str">
        <f>_xlfn.IFNA(VLOOKUP($C109,'Master sheet'!$A:$AR,44,FALSE),"")&amp;""</f>
        <v/>
      </c>
      <c r="P109" s="637"/>
      <c r="Q109" s="765" t="s">
        <v>1642</v>
      </c>
      <c r="R109" s="717" t="s">
        <v>4591</v>
      </c>
      <c r="S109" s="624"/>
      <c r="T109" s="664"/>
      <c r="U109" s="664"/>
      <c r="V109" s="664"/>
      <c r="W109" s="664"/>
      <c r="X109" s="664"/>
      <c r="Y109" s="664"/>
      <c r="Z109" s="664"/>
      <c r="AA109" s="638"/>
    </row>
    <row r="110" spans="1:27" ht="31.5" customHeight="1" x14ac:dyDescent="0.25">
      <c r="A110" s="729"/>
      <c r="B110" s="729"/>
      <c r="C110" s="673" t="str">
        <f>INDEX('Master sheet'!$A$1:$A$670,MATCH("A171",'Master sheet'!$AN$1:$AN$670,0))</f>
        <v>Ext. Wall Barrier, adhesive / Soprema / Soprasolin HD / Non-permeable / 1.0 mm</v>
      </c>
      <c r="D110" s="17">
        <f>'USER INPUT SHEET'!$D$40</f>
        <v>0</v>
      </c>
      <c r="E110" s="18" t="str">
        <f>'USER INPUT SHEET'!$F$32</f>
        <v>m2</v>
      </c>
      <c r="F110" s="4">
        <v>1</v>
      </c>
      <c r="G110" s="674"/>
      <c r="H110" s="9"/>
      <c r="I110" s="95">
        <f t="shared" si="36"/>
        <v>0</v>
      </c>
      <c r="J110" s="96" t="str">
        <f t="shared" si="37"/>
        <v/>
      </c>
      <c r="K110" s="407">
        <f>$D110*$F110*VLOOKUP($C110,'Master sheet'!$A:$AL,13,FALSE)</f>
        <v>0</v>
      </c>
      <c r="L110" s="97">
        <f>$D110*$F110*VLOOKUP($C110,'Master sheet'!$A:$AL,27,FALSE)</f>
        <v>0</v>
      </c>
      <c r="M110" s="1552"/>
      <c r="N110" s="1552"/>
      <c r="O110" s="25" t="str">
        <f>_xlfn.IFNA(VLOOKUP($C110,'Master sheet'!$A:$AR,44,FALSE),"")&amp;""</f>
        <v/>
      </c>
      <c r="P110" s="637"/>
      <c r="Q110" s="765" t="s">
        <v>1642</v>
      </c>
      <c r="R110" s="717" t="s">
        <v>4591</v>
      </c>
      <c r="S110" s="624"/>
      <c r="T110" s="664"/>
      <c r="U110" s="664"/>
      <c r="V110" s="664"/>
      <c r="W110" s="664"/>
      <c r="X110" s="664"/>
      <c r="Y110" s="664"/>
      <c r="Z110" s="664"/>
      <c r="AA110" s="638"/>
    </row>
    <row r="111" spans="1:27" ht="31.5" customHeight="1" x14ac:dyDescent="0.25">
      <c r="A111" s="729"/>
      <c r="B111" s="729"/>
      <c r="C111" s="673" t="str">
        <f>INDEX('Master sheet'!$A$1:$A$670,MATCH("A172",'Master sheet'!$AN$1:$AN$670,0))</f>
        <v>Ext. Wall Barrier, adhesive / Soprema / SOPRAVAP'R / Non-permeable / 0.8 mm</v>
      </c>
      <c r="D111" s="17">
        <f>'USER INPUT SHEET'!$D$40</f>
        <v>0</v>
      </c>
      <c r="E111" s="18" t="str">
        <f>'USER INPUT SHEET'!$F$32</f>
        <v>m2</v>
      </c>
      <c r="F111" s="4">
        <v>1</v>
      </c>
      <c r="G111" s="674"/>
      <c r="H111" s="9"/>
      <c r="I111" s="95">
        <f t="shared" si="36"/>
        <v>0</v>
      </c>
      <c r="J111" s="96" t="str">
        <f t="shared" si="37"/>
        <v/>
      </c>
      <c r="K111" s="407">
        <f>$D111*$F111*VLOOKUP($C111,'Master sheet'!$A:$AL,13,FALSE)</f>
        <v>0</v>
      </c>
      <c r="L111" s="97">
        <f>$D111*$F111*VLOOKUP($C111,'Master sheet'!$A:$AL,27,FALSE)</f>
        <v>0</v>
      </c>
      <c r="M111" s="1552"/>
      <c r="N111" s="1552"/>
      <c r="O111" s="25" t="str">
        <f>_xlfn.IFNA(VLOOKUP($C111,'Master sheet'!$A:$AR,44,FALSE),"")&amp;""</f>
        <v/>
      </c>
      <c r="P111" s="637"/>
      <c r="Q111" s="765" t="s">
        <v>1642</v>
      </c>
      <c r="R111" s="717" t="s">
        <v>4591</v>
      </c>
      <c r="S111" s="624"/>
      <c r="T111" s="664"/>
      <c r="U111" s="664"/>
      <c r="V111" s="664"/>
      <c r="W111" s="664"/>
      <c r="X111" s="664"/>
      <c r="Y111" s="664"/>
      <c r="Z111" s="664"/>
      <c r="AA111" s="638"/>
    </row>
    <row r="112" spans="1:27" ht="31.5" customHeight="1" x14ac:dyDescent="0.25">
      <c r="A112" s="729"/>
      <c r="B112" s="729"/>
      <c r="C112" s="673" t="str">
        <f>INDEX('Master sheet'!$A$1:$A$670,MATCH("A179",'Master sheet'!$AN$1:$AN$670,0))</f>
        <v xml:space="preserve">Ext. Waterproofing Barrier, adhesive / Carlisle / MiraPLY V / </v>
      </c>
      <c r="D112" s="17">
        <f>'USER INPUT SHEET'!$D$40</f>
        <v>0</v>
      </c>
      <c r="E112" s="18" t="str">
        <f>'USER INPUT SHEET'!$F$32</f>
        <v>m2</v>
      </c>
      <c r="F112" s="4">
        <v>1</v>
      </c>
      <c r="G112" s="674"/>
      <c r="H112" s="9"/>
      <c r="I112" s="95">
        <f t="shared" si="36"/>
        <v>0</v>
      </c>
      <c r="J112" s="96" t="str">
        <f t="shared" si="37"/>
        <v/>
      </c>
      <c r="K112" s="407">
        <f>$D112*$F112*VLOOKUP($C112,'Master sheet'!$A:$AL,13,FALSE)</f>
        <v>0</v>
      </c>
      <c r="L112" s="97">
        <f>$D112*$F112*VLOOKUP($C112,'Master sheet'!$A:$AL,27,FALSE)</f>
        <v>0</v>
      </c>
      <c r="M112" s="1552"/>
      <c r="N112" s="1552"/>
      <c r="O112" s="25" t="str">
        <f>_xlfn.IFNA(VLOOKUP($C112,'Master sheet'!$A:$AR,44,FALSE),"")&amp;""</f>
        <v/>
      </c>
      <c r="P112" s="637"/>
      <c r="Q112" s="765" t="s">
        <v>1642</v>
      </c>
      <c r="R112" s="717" t="s">
        <v>4591</v>
      </c>
      <c r="S112" s="624"/>
      <c r="T112" s="664"/>
      <c r="U112" s="664"/>
      <c r="V112" s="664"/>
      <c r="W112" s="664"/>
      <c r="X112" s="664"/>
      <c r="Y112" s="664"/>
      <c r="Z112" s="664"/>
      <c r="AA112" s="664"/>
    </row>
    <row r="113" spans="1:27" s="624" customFormat="1" ht="54.75" customHeight="1" x14ac:dyDescent="0.25">
      <c r="A113" s="1522" t="s">
        <v>45</v>
      </c>
      <c r="B113" s="1523"/>
      <c r="C113" s="1523"/>
      <c r="D113" s="629" t="str">
        <f>IF(LOWER(Setting!rng_language)="english","R-VALUE:","VALEUR R :")</f>
        <v>R-VALUE:</v>
      </c>
      <c r="E113" s="1"/>
      <c r="F113" s="323"/>
      <c r="G113" s="650"/>
      <c r="H113" s="650"/>
      <c r="I113" s="651"/>
      <c r="J113" s="103" t="str">
        <f>IF(H113=1,I113,"")</f>
        <v/>
      </c>
      <c r="K113" s="652"/>
      <c r="L113" s="759"/>
      <c r="M113" s="759"/>
      <c r="N113" s="759"/>
      <c r="O113" s="25" t="str">
        <f>_xlfn.IFNA(VLOOKUP($C113,'Master sheet'!$A:$AR,44,FALSE),"")&amp;""</f>
        <v/>
      </c>
      <c r="P113" s="685"/>
      <c r="Q113" s="761"/>
      <c r="R113" s="728"/>
      <c r="T113" s="638"/>
      <c r="U113" s="638"/>
      <c r="V113" s="638"/>
      <c r="W113" s="638"/>
      <c r="X113" s="638"/>
      <c r="Y113" s="638"/>
      <c r="Z113" s="638"/>
      <c r="AA113" s="638"/>
    </row>
    <row r="114" spans="1:27" ht="22.8" x14ac:dyDescent="0.25">
      <c r="A114" s="686"/>
      <c r="B114" s="1541" t="s">
        <v>966</v>
      </c>
      <c r="C114" s="1530"/>
      <c r="D114" s="687" t="str">
        <f>IF(LOWER(Setting!rng_language)="english","R-VALUE:","VALEUR R :")</f>
        <v>R-VALUE:</v>
      </c>
      <c r="E114" s="1"/>
      <c r="F114" s="341"/>
      <c r="G114" s="781"/>
      <c r="H114" s="782"/>
      <c r="I114" s="783"/>
      <c r="J114" s="784"/>
      <c r="K114" s="783"/>
      <c r="L114" s="785"/>
      <c r="M114" s="743"/>
      <c r="N114" s="743"/>
      <c r="O114" s="25" t="str">
        <f>_xlfn.IFNA(VLOOKUP($C114,'Master sheet'!$A:$AR,44,FALSE),"")&amp;""</f>
        <v/>
      </c>
      <c r="P114" s="685"/>
      <c r="T114" s="664"/>
      <c r="U114" s="664"/>
      <c r="V114" s="664"/>
      <c r="W114" s="664"/>
      <c r="X114" s="664"/>
      <c r="Y114" s="664"/>
      <c r="Z114" s="664"/>
      <c r="AA114" s="638"/>
    </row>
    <row r="115" spans="1:27" ht="22.8" x14ac:dyDescent="0.25">
      <c r="A115" s="729"/>
      <c r="B115" s="729"/>
      <c r="C115" s="691" t="s">
        <v>1360</v>
      </c>
      <c r="D115" s="19">
        <f>'USER INPUT SHEET'!$D$40</f>
        <v>0</v>
      </c>
      <c r="E115" s="20" t="str">
        <f>'USER INPUT SHEET'!$F$40</f>
        <v>m2</v>
      </c>
      <c r="F115" s="6">
        <v>1</v>
      </c>
      <c r="G115" s="692"/>
      <c r="H115" s="10"/>
      <c r="I115" s="98">
        <f>K115-L115</f>
        <v>0</v>
      </c>
      <c r="J115" s="91" t="str">
        <f>IF(H115=1,I115,"")</f>
        <v/>
      </c>
      <c r="K115" s="410">
        <f>F115*AVERAGE(K116:K118)</f>
        <v>0</v>
      </c>
      <c r="L115" s="99">
        <f>F115*AVERAGE(L116:L118)</f>
        <v>0</v>
      </c>
      <c r="M115" s="1552"/>
      <c r="N115" s="1552"/>
      <c r="O115" s="25" t="str">
        <f>_xlfn.IFNA(VLOOKUP($C115,'Master sheet'!$A:$AR,44,FALSE),"")&amp;""</f>
        <v/>
      </c>
      <c r="P115" s="685"/>
      <c r="Q115" s="765" t="s">
        <v>1642</v>
      </c>
      <c r="R115" s="728" t="s">
        <v>1643</v>
      </c>
      <c r="S115" s="664"/>
      <c r="T115" s="664"/>
      <c r="U115" s="664"/>
      <c r="V115" s="664"/>
      <c r="W115" s="664"/>
      <c r="X115" s="664"/>
      <c r="Y115" s="664"/>
      <c r="Z115" s="664"/>
      <c r="AA115" s="664"/>
    </row>
    <row r="116" spans="1:27" ht="31.5" customHeight="1" x14ac:dyDescent="0.25">
      <c r="A116" s="729"/>
      <c r="B116" s="729"/>
      <c r="C116" s="673" t="str">
        <f>INDEX('Master sheet'!$A$1:$A$670,MATCH("A36",'Master sheet'!$AN$1:$AN$670,0))</f>
        <v>Fiberglass batt / Johns Manville / Unfaced, ComfortTherm, Cavity-SHIELD, FSK-25 / R 3.4/inch</v>
      </c>
      <c r="D116" s="17">
        <f>'USER INPUT SHEET'!$D$40</f>
        <v>0</v>
      </c>
      <c r="E116" s="18" t="str">
        <f>'USER INPUT SHEET'!$F$40</f>
        <v>m2</v>
      </c>
      <c r="F116" s="4">
        <v>1</v>
      </c>
      <c r="G116" s="674"/>
      <c r="H116" s="9"/>
      <c r="I116" s="95">
        <f t="shared" ref="I116:I117" si="38">K116-L116</f>
        <v>0</v>
      </c>
      <c r="J116" s="96" t="str">
        <f t="shared" ref="J116:J117" si="39">IF(H116=1,I116,"")</f>
        <v/>
      </c>
      <c r="K116" s="407">
        <f>$D116*($E$114/5.678)*$F116*VLOOKUP($C116,'Master sheet'!$A:$AL,13,FALSE)</f>
        <v>0</v>
      </c>
      <c r="L116" s="97">
        <f>$D116*($E$114/5.678)*$F116*VLOOKUP($C116,'Master sheet'!$A:$AL,27,FALSE)</f>
        <v>0</v>
      </c>
      <c r="M116" s="1552"/>
      <c r="N116" s="1552"/>
      <c r="O116" s="25" t="str">
        <f>_xlfn.IFNA(VLOOKUP($C116,'Master sheet'!$A:$AR,44,FALSE),"")&amp;""</f>
        <v/>
      </c>
      <c r="P116" s="685"/>
      <c r="Q116" s="765" t="s">
        <v>1642</v>
      </c>
      <c r="R116" s="728" t="s">
        <v>1643</v>
      </c>
      <c r="T116" s="664"/>
      <c r="U116" s="664"/>
      <c r="V116" s="664"/>
      <c r="W116" s="664"/>
      <c r="X116" s="664"/>
      <c r="Y116" s="664"/>
      <c r="Z116" s="664"/>
      <c r="AA116" s="638"/>
    </row>
    <row r="117" spans="1:27" ht="22.8" x14ac:dyDescent="0.25">
      <c r="A117" s="729"/>
      <c r="B117" s="729"/>
      <c r="C117" s="673" t="str">
        <f>INDEX('Master sheet'!$A$1:$A$670,MATCH("A37",'Master sheet'!$AN$1:$AN$670,0))</f>
        <v>Fiberglass batt / NAIMA  /  / R 4.4/inch</v>
      </c>
      <c r="D117" s="17">
        <f>'USER INPUT SHEET'!$D$40</f>
        <v>0</v>
      </c>
      <c r="E117" s="18" t="str">
        <f>'USER INPUT SHEET'!$F$40</f>
        <v>m2</v>
      </c>
      <c r="F117" s="4">
        <v>1</v>
      </c>
      <c r="G117" s="674"/>
      <c r="H117" s="9"/>
      <c r="I117" s="95">
        <f t="shared" si="38"/>
        <v>0</v>
      </c>
      <c r="J117" s="96" t="str">
        <f t="shared" si="39"/>
        <v/>
      </c>
      <c r="K117" s="407">
        <f>$D117*($E$114/5.678)*$F117*VLOOKUP($C117,'Master sheet'!$A:$AL,13,FALSE)</f>
        <v>0</v>
      </c>
      <c r="L117" s="97">
        <f>$D117*($E$114/5.678)*$F117*VLOOKUP($C117,'Master sheet'!$A:$AL,27,FALSE)</f>
        <v>0</v>
      </c>
      <c r="M117" s="1552"/>
      <c r="N117" s="1552"/>
      <c r="O117" s="25" t="str">
        <f>_xlfn.IFNA(VLOOKUP($C117,'Master sheet'!$A:$AR,44,FALSE),"")&amp;""</f>
        <v/>
      </c>
      <c r="P117" s="685"/>
      <c r="Q117" s="765" t="s">
        <v>1642</v>
      </c>
      <c r="R117" s="728" t="s">
        <v>1643</v>
      </c>
      <c r="T117" s="664"/>
      <c r="U117" s="664"/>
      <c r="V117" s="664"/>
      <c r="W117" s="664"/>
      <c r="X117" s="664"/>
      <c r="Y117" s="664"/>
      <c r="Z117" s="664"/>
      <c r="AA117" s="664"/>
    </row>
    <row r="118" spans="1:27" s="624" customFormat="1" ht="31.2" x14ac:dyDescent="0.25">
      <c r="A118" s="729"/>
      <c r="B118" s="729"/>
      <c r="C118" s="673" t="str">
        <f>INDEX('Master sheet'!$A$1:$A$670,MATCH("A38",'Master sheet'!$AN$1:$AN$670,0))</f>
        <v>Fiberglass batt &amp; roll  / Owens Corning /  Unfaced, PINK Next Gen Fiberglas / R 3.6/inch avg.</v>
      </c>
      <c r="D118" s="17">
        <f>'USER INPUT SHEET'!$D$40</f>
        <v>0</v>
      </c>
      <c r="E118" s="18" t="str">
        <f>'USER INPUT SHEET'!$F$40</f>
        <v>m2</v>
      </c>
      <c r="F118" s="4">
        <v>1</v>
      </c>
      <c r="G118" s="674"/>
      <c r="H118" s="9"/>
      <c r="I118" s="95">
        <f>K118-L118</f>
        <v>0</v>
      </c>
      <c r="J118" s="96" t="str">
        <f>IF(H118=1,I118,"")</f>
        <v/>
      </c>
      <c r="K118" s="407">
        <f>$D118*($E$114/5.678)*$F118*VLOOKUP($C118,'Master sheet'!$A:$AL,13,FALSE)</f>
        <v>0</v>
      </c>
      <c r="L118" s="97">
        <f>$D118*($E$114/5.678)*$F118*VLOOKUP($C118,'Master sheet'!$A:$AL,27,FALSE)</f>
        <v>0</v>
      </c>
      <c r="M118" s="1610"/>
      <c r="N118" s="1610"/>
      <c r="O118" s="25" t="str">
        <f>_xlfn.IFNA(VLOOKUP($C118,'Master sheet'!$A:$AR,44,FALSE),"")&amp;""</f>
        <v/>
      </c>
      <c r="P118" s="685"/>
      <c r="Q118" s="765" t="s">
        <v>1642</v>
      </c>
      <c r="R118" s="728" t="s">
        <v>1643</v>
      </c>
      <c r="T118" s="638"/>
      <c r="U118" s="638"/>
      <c r="V118" s="638"/>
      <c r="W118" s="638"/>
      <c r="X118" s="638"/>
      <c r="Y118" s="638"/>
      <c r="Z118" s="638"/>
      <c r="AA118" s="664"/>
    </row>
    <row r="119" spans="1:27" s="624" customFormat="1" ht="22.8" x14ac:dyDescent="0.25">
      <c r="A119" s="639"/>
      <c r="B119" s="1524" t="s">
        <v>1041</v>
      </c>
      <c r="C119" s="1523"/>
      <c r="D119" s="687" t="str">
        <f>IF(LOWER(Setting!rng_language)="english","R-VALUE:","VALEUR R :")</f>
        <v>R-VALUE:</v>
      </c>
      <c r="E119" s="1"/>
      <c r="F119" s="340"/>
      <c r="G119" s="739"/>
      <c r="H119" s="740"/>
      <c r="I119" s="741"/>
      <c r="J119" s="742"/>
      <c r="K119" s="741"/>
      <c r="L119" s="743"/>
      <c r="M119" s="743"/>
      <c r="N119" s="743"/>
      <c r="O119" s="25" t="str">
        <f>_xlfn.IFNA(VLOOKUP($C119,'Master sheet'!$A:$AR,44,FALSE),"")&amp;""</f>
        <v/>
      </c>
      <c r="P119" s="637"/>
      <c r="Q119" s="765" t="s">
        <v>1642</v>
      </c>
      <c r="R119" s="728" t="s">
        <v>1643</v>
      </c>
      <c r="T119" s="638"/>
      <c r="U119" s="638"/>
      <c r="V119" s="638"/>
      <c r="W119" s="638"/>
      <c r="X119" s="638"/>
      <c r="Y119" s="638"/>
      <c r="Z119" s="638"/>
      <c r="AA119" s="664"/>
    </row>
    <row r="120" spans="1:27" ht="22.8" x14ac:dyDescent="0.25">
      <c r="A120" s="729"/>
      <c r="B120" s="729"/>
      <c r="C120" s="691" t="s">
        <v>1361</v>
      </c>
      <c r="D120" s="19">
        <f>'USER INPUT SHEET'!$D$40</f>
        <v>0</v>
      </c>
      <c r="E120" s="20" t="str">
        <f>'USER INPUT SHEET'!$F$40</f>
        <v>m2</v>
      </c>
      <c r="F120" s="6">
        <v>1</v>
      </c>
      <c r="G120" s="692"/>
      <c r="H120" s="10"/>
      <c r="I120" s="98">
        <f t="shared" ref="I120:I124" si="40">K120-L120</f>
        <v>0</v>
      </c>
      <c r="J120" s="91" t="str">
        <f t="shared" ref="J120:J124" si="41">IF(H120=1,I120,"")</f>
        <v/>
      </c>
      <c r="K120" s="410">
        <f>F120*AVERAGE(K121:K124)</f>
        <v>0</v>
      </c>
      <c r="L120" s="99">
        <f>F120*AVERAGE(L121:L124)</f>
        <v>0</v>
      </c>
      <c r="M120" s="1552"/>
      <c r="N120" s="1552"/>
      <c r="O120" s="25" t="str">
        <f>_xlfn.IFNA(VLOOKUP($C120,'Master sheet'!$A:$AR,44,FALSE),"")&amp;""</f>
        <v/>
      </c>
      <c r="P120" s="637"/>
      <c r="Q120" s="765" t="s">
        <v>1642</v>
      </c>
      <c r="R120" s="728" t="s">
        <v>1643</v>
      </c>
      <c r="S120" s="664"/>
      <c r="T120" s="664"/>
      <c r="U120" s="664"/>
      <c r="V120" s="664"/>
      <c r="W120" s="664"/>
      <c r="X120" s="664"/>
      <c r="Y120" s="664"/>
      <c r="Z120" s="664"/>
      <c r="AA120" s="638"/>
    </row>
    <row r="121" spans="1:27" ht="31.5" customHeight="1" x14ac:dyDescent="0.25">
      <c r="A121" s="1564"/>
      <c r="B121" s="1564"/>
      <c r="C121" s="669" t="str">
        <f>INDEX('Master sheet'!$A$1:$A$670,MATCH(105,'Master sheet'!$AN$1:$AN$670,0))</f>
        <v>Fiberglass loose fill / CertainTeed / InsulSafe, Optima, TruComfort / R 2.6/inch</v>
      </c>
      <c r="D121" s="15">
        <f>'USER INPUT SHEET'!$D$40</f>
        <v>0</v>
      </c>
      <c r="E121" s="16" t="str">
        <f>'USER INPUT SHEET'!$F$40</f>
        <v>m2</v>
      </c>
      <c r="F121" s="3">
        <v>1</v>
      </c>
      <c r="G121" s="670"/>
      <c r="H121" s="8"/>
      <c r="I121" s="92">
        <f t="shared" si="40"/>
        <v>0</v>
      </c>
      <c r="J121" s="93" t="str">
        <f t="shared" si="41"/>
        <v/>
      </c>
      <c r="K121" s="406">
        <f>$D121*($E$119/5.678)*$F121*VLOOKUP($C121,'Master sheet'!$A:$AL,13,FALSE)</f>
        <v>0</v>
      </c>
      <c r="L121" s="94">
        <f>$D121*($E$119/5.678)*$F121*VLOOKUP($C121,'Master sheet'!$A:$AL,27,FALSE)</f>
        <v>0</v>
      </c>
      <c r="M121" s="1552"/>
      <c r="N121" s="1552"/>
      <c r="O121" s="25" t="str">
        <f ca="1">_xlfn.IFNA(VLOOKUP($C121,'Master sheet'!$A:$AR,44,FALSE),"")&amp;""</f>
        <v>Expired 2024</v>
      </c>
      <c r="P121" s="685"/>
      <c r="Q121" s="765" t="s">
        <v>1642</v>
      </c>
      <c r="R121" s="728" t="s">
        <v>1643</v>
      </c>
      <c r="T121" s="664"/>
      <c r="U121" s="664"/>
      <c r="V121" s="664"/>
      <c r="W121" s="664"/>
      <c r="X121" s="664"/>
      <c r="Y121" s="664"/>
      <c r="Z121" s="664"/>
      <c r="AA121" s="638"/>
    </row>
    <row r="122" spans="1:27" ht="47.25" customHeight="1" x14ac:dyDescent="0.25">
      <c r="A122" s="1564"/>
      <c r="B122" s="1564"/>
      <c r="C122" s="673" t="str">
        <f>INDEX('Master sheet'!$A$1:$A$670,MATCH(374,'Master sheet'!$AN$1:$AN$670,0))</f>
        <v>Fiberglass loose fill / Johns Manville / Climate Pro, Attic Protector, JM Spider PLUS (Canada) / R 2.8/inch, Formaldehyde-free</v>
      </c>
      <c r="D122" s="17">
        <f>'USER INPUT SHEET'!$D$40</f>
        <v>0</v>
      </c>
      <c r="E122" s="18" t="str">
        <f>'USER INPUT SHEET'!$F$40</f>
        <v>m2</v>
      </c>
      <c r="F122" s="4">
        <v>1</v>
      </c>
      <c r="G122" s="674"/>
      <c r="H122" s="9"/>
      <c r="I122" s="95">
        <f t="shared" si="40"/>
        <v>0</v>
      </c>
      <c r="J122" s="96" t="str">
        <f t="shared" si="41"/>
        <v/>
      </c>
      <c r="K122" s="407">
        <f>$D122*($E$119/5.678)*$F122*VLOOKUP($C122,'Master sheet'!$A:$AL,13,FALSE)</f>
        <v>0</v>
      </c>
      <c r="L122" s="97">
        <f>$D122*($E$119/5.678)*$F122*VLOOKUP($C122,'Master sheet'!$A:$AL,27,FALSE)</f>
        <v>0</v>
      </c>
      <c r="M122" s="1552"/>
      <c r="N122" s="1552"/>
      <c r="O122" s="25" t="str">
        <f ca="1">_xlfn.IFNA(VLOOKUP($C122,'Master sheet'!$A:$AR,44,FALSE),"")&amp;""</f>
        <v/>
      </c>
      <c r="P122" s="685"/>
      <c r="Q122" s="765" t="s">
        <v>1642</v>
      </c>
      <c r="R122" s="728" t="s">
        <v>1643</v>
      </c>
      <c r="S122" s="624"/>
      <c r="T122" s="638" t="s">
        <v>7295</v>
      </c>
      <c r="U122" s="638"/>
      <c r="V122" s="664"/>
      <c r="W122" s="664"/>
      <c r="X122" s="664"/>
      <c r="Y122" s="664"/>
      <c r="Z122" s="664"/>
      <c r="AA122" s="638"/>
    </row>
    <row r="123" spans="1:27" ht="47.25" customHeight="1" x14ac:dyDescent="0.25">
      <c r="A123" s="1564"/>
      <c r="B123" s="1564"/>
      <c r="C123" s="673" t="str">
        <f>INDEX('Master sheet'!$A$1:$A$670,MATCH("A40",'Master sheet'!$AN$1:$AN$670,0))</f>
        <v>Fiberglass loose fill / NAIMA  / Includes : CertainTeed, Inc. Saint-Gobin, Johns Manville, Knauf Insulation North America, Owens Corning / R 2.2/inch</v>
      </c>
      <c r="D123" s="17">
        <f>'USER INPUT SHEET'!$D$40</f>
        <v>0</v>
      </c>
      <c r="E123" s="18" t="str">
        <f>'USER INPUT SHEET'!$F$40</f>
        <v>m2</v>
      </c>
      <c r="F123" s="4">
        <v>1</v>
      </c>
      <c r="G123" s="674"/>
      <c r="H123" s="9"/>
      <c r="I123" s="95">
        <f t="shared" si="40"/>
        <v>0</v>
      </c>
      <c r="J123" s="96" t="str">
        <f t="shared" si="41"/>
        <v/>
      </c>
      <c r="K123" s="407">
        <f>$D123*($E$119/5.678)*$F123*VLOOKUP($C123,'Master sheet'!$A:$AL,13,FALSE)</f>
        <v>0</v>
      </c>
      <c r="L123" s="97">
        <f>$D123*($E$119/5.678)*$F123*VLOOKUP($C123,'Master sheet'!$A:$AL,27,FALSE)</f>
        <v>0</v>
      </c>
      <c r="M123" s="1552"/>
      <c r="N123" s="1552"/>
      <c r="O123" s="25" t="str">
        <f>_xlfn.IFNA(VLOOKUP($C123,'Master sheet'!$A:$AR,44,FALSE),"")&amp;""</f>
        <v/>
      </c>
      <c r="P123" s="685"/>
      <c r="Q123" s="765" t="s">
        <v>1642</v>
      </c>
      <c r="R123" s="728" t="s">
        <v>1643</v>
      </c>
      <c r="S123" s="624"/>
      <c r="T123" s="638" t="s">
        <v>7295</v>
      </c>
      <c r="U123" s="638"/>
      <c r="V123" s="664"/>
      <c r="W123" s="664"/>
      <c r="X123" s="664"/>
      <c r="Y123" s="664"/>
      <c r="Z123" s="664"/>
      <c r="AA123" s="664"/>
    </row>
    <row r="124" spans="1:27" s="624" customFormat="1" ht="31.2" x14ac:dyDescent="0.25">
      <c r="A124" s="1564"/>
      <c r="B124" s="1564"/>
      <c r="C124" s="673" t="str">
        <f>INDEX('Master sheet'!$A$1:$A$670,MATCH("A39",'Master sheet'!$AN$1:$AN$670,0))</f>
        <v>Fiberglass loose fill / Owens Corning / AttiCat, ProCat, ProPink / R 3.28/inch</v>
      </c>
      <c r="D124" s="17">
        <f>'USER INPUT SHEET'!$D$40</f>
        <v>0</v>
      </c>
      <c r="E124" s="18" t="str">
        <f>'USER INPUT SHEET'!$F$40</f>
        <v>m2</v>
      </c>
      <c r="F124" s="4">
        <v>1</v>
      </c>
      <c r="G124" s="674"/>
      <c r="H124" s="9"/>
      <c r="I124" s="95">
        <f t="shared" si="40"/>
        <v>0</v>
      </c>
      <c r="J124" s="96" t="str">
        <f t="shared" si="41"/>
        <v/>
      </c>
      <c r="K124" s="407">
        <f>$D124*($E$119/5.678)*$F124*VLOOKUP($C124,'Master sheet'!$A:$AL,13,FALSE)</f>
        <v>0</v>
      </c>
      <c r="L124" s="97">
        <f>$D124*($E$119/5.678)*$F124*VLOOKUP($C124,'Master sheet'!$A:$AL,27,FALSE)</f>
        <v>0</v>
      </c>
      <c r="M124" s="1610"/>
      <c r="N124" s="1610"/>
      <c r="O124" s="25" t="str">
        <f>_xlfn.IFNA(VLOOKUP($C124,'Master sheet'!$A:$AR,44,FALSE),"")&amp;""</f>
        <v/>
      </c>
      <c r="P124" s="685"/>
      <c r="Q124" s="765" t="s">
        <v>1642</v>
      </c>
      <c r="R124" s="728" t="s">
        <v>1643</v>
      </c>
      <c r="T124" s="638"/>
      <c r="U124" s="638"/>
      <c r="V124" s="638"/>
      <c r="W124" s="638"/>
      <c r="X124" s="638"/>
      <c r="Y124" s="638"/>
      <c r="Z124" s="638"/>
      <c r="AA124" s="664"/>
    </row>
    <row r="125" spans="1:27" s="624" customFormat="1" ht="22.8" x14ac:dyDescent="0.25">
      <c r="A125" s="639"/>
      <c r="B125" s="1524" t="s">
        <v>968</v>
      </c>
      <c r="C125" s="1523"/>
      <c r="D125" s="687" t="str">
        <f>IF(LOWER(Setting!rng_language)="english","R-VALUE:","VALEUR R :")</f>
        <v>R-VALUE:</v>
      </c>
      <c r="E125" s="1"/>
      <c r="F125" s="340"/>
      <c r="G125" s="739"/>
      <c r="H125" s="740"/>
      <c r="I125" s="741"/>
      <c r="J125" s="742"/>
      <c r="K125" s="741"/>
      <c r="L125" s="743"/>
      <c r="M125" s="743"/>
      <c r="N125" s="743"/>
      <c r="O125" s="25" t="str">
        <f>_xlfn.IFNA(VLOOKUP($C125,'Master sheet'!$A:$AR,44,FALSE),"")&amp;""</f>
        <v/>
      </c>
      <c r="P125" s="685"/>
      <c r="Q125" s="765" t="s">
        <v>1642</v>
      </c>
      <c r="R125" s="728" t="s">
        <v>1643</v>
      </c>
      <c r="T125" s="638"/>
      <c r="U125" s="638"/>
      <c r="V125" s="638"/>
      <c r="W125" s="638"/>
      <c r="X125" s="638"/>
      <c r="Y125" s="638"/>
      <c r="Z125" s="638"/>
      <c r="AA125" s="664"/>
    </row>
    <row r="126" spans="1:27" ht="31.5" customHeight="1" x14ac:dyDescent="0.25">
      <c r="A126" s="1600"/>
      <c r="B126" s="1564"/>
      <c r="C126" s="669" t="str">
        <f>INDEX('Master sheet'!$A$1:$A$670,MATCH("A188",'Master sheet'!$AN$1:$AN$670,0))</f>
        <v>Mineral wool batt / Owens Corning / Thermafiber SAFB (4pcf), Versaboard 40 / R 3.7-inch</v>
      </c>
      <c r="D126" s="15">
        <f>'USER INPUT SHEET'!$D$40</f>
        <v>0</v>
      </c>
      <c r="E126" s="16" t="str">
        <f>'USER INPUT SHEET'!$F$40</f>
        <v>m2</v>
      </c>
      <c r="F126" s="3">
        <v>1</v>
      </c>
      <c r="G126" s="670"/>
      <c r="H126" s="8"/>
      <c r="I126" s="92">
        <f t="shared" ref="I126:I127" si="42">K126-L126</f>
        <v>0</v>
      </c>
      <c r="J126" s="93" t="str">
        <f t="shared" ref="J126:J127" si="43">IF(H126=1,I126,"")</f>
        <v/>
      </c>
      <c r="K126" s="406">
        <f>$D126*($E$125/5.678)*$F126*VLOOKUP($C126,'Master sheet'!$A:$AL,13,FALSE)</f>
        <v>0</v>
      </c>
      <c r="L126" s="94">
        <f>$D126*($E$125/5.678)*$F126*VLOOKUP($C126,'Master sheet'!$A:$AL,27,FALSE)</f>
        <v>0</v>
      </c>
      <c r="M126" s="1562"/>
      <c r="N126" s="1562"/>
      <c r="O126" s="25" t="str">
        <f>_xlfn.IFNA(VLOOKUP($C126,'Master sheet'!$A:$AR,44,FALSE),"")&amp;""</f>
        <v/>
      </c>
      <c r="P126" s="637"/>
      <c r="Q126" s="765" t="s">
        <v>1642</v>
      </c>
      <c r="R126" s="728" t="s">
        <v>1643</v>
      </c>
      <c r="T126" s="664"/>
      <c r="U126" s="664"/>
      <c r="V126" s="664"/>
      <c r="W126" s="664"/>
      <c r="X126" s="664"/>
      <c r="Y126" s="664"/>
      <c r="Z126" s="664"/>
      <c r="AA126" s="664"/>
    </row>
    <row r="127" spans="1:27" ht="22.8" x14ac:dyDescent="0.25">
      <c r="A127" s="1600"/>
      <c r="B127" s="1564"/>
      <c r="C127" s="673" t="str">
        <f>INDEX('Master sheet'!$A$1:$A$670,MATCH("A202",'Master sheet'!$AN$1:$AN$670,0))</f>
        <v>Mineral wool batt / Rockwool / Safe'n'Sound / R 4.0-inch</v>
      </c>
      <c r="D127" s="17">
        <f>'USER INPUT SHEET'!$D$40</f>
        <v>0</v>
      </c>
      <c r="E127" s="18" t="str">
        <f>'USER INPUT SHEET'!$F$40</f>
        <v>m2</v>
      </c>
      <c r="F127" s="4">
        <v>1</v>
      </c>
      <c r="G127" s="674"/>
      <c r="H127" s="9"/>
      <c r="I127" s="95">
        <f t="shared" si="42"/>
        <v>0</v>
      </c>
      <c r="J127" s="96" t="str">
        <f t="shared" si="43"/>
        <v/>
      </c>
      <c r="K127" s="407">
        <f>$D127*($E$125/5.678)*$F127*VLOOKUP($C127,'Master sheet'!$A:$AL,13,FALSE)</f>
        <v>0</v>
      </c>
      <c r="L127" s="97">
        <f>$D127*($E$125/5.678)*$F127*VLOOKUP($C127,'Master sheet'!$A:$AL,27,FALSE)</f>
        <v>0</v>
      </c>
      <c r="M127" s="1610"/>
      <c r="N127" s="1610"/>
      <c r="O127" s="25" t="str">
        <f>_xlfn.IFNA(VLOOKUP($C127,'Master sheet'!$A:$AR,44,FALSE),"")&amp;""</f>
        <v/>
      </c>
      <c r="P127" s="637"/>
      <c r="Q127" s="765" t="s">
        <v>1642</v>
      </c>
      <c r="R127" s="728" t="s">
        <v>1643</v>
      </c>
      <c r="T127" s="664"/>
      <c r="U127" s="664"/>
      <c r="V127" s="664"/>
      <c r="W127" s="664"/>
      <c r="X127" s="664"/>
      <c r="Y127" s="664"/>
      <c r="Z127" s="664"/>
      <c r="AA127" s="638"/>
    </row>
    <row r="128" spans="1:27" s="624" customFormat="1" ht="22.95" customHeight="1" x14ac:dyDescent="0.25">
      <c r="A128" s="639"/>
      <c r="B128" s="1524" t="s">
        <v>3437</v>
      </c>
      <c r="C128" s="1523"/>
      <c r="D128" s="687" t="str">
        <f>IF(LOWER(Setting!rng_language)="english","R-VALUE:","VALEUR R :")</f>
        <v>R-VALUE:</v>
      </c>
      <c r="E128" s="1"/>
      <c r="F128" s="340"/>
      <c r="G128" s="739"/>
      <c r="H128" s="740"/>
      <c r="I128" s="741"/>
      <c r="J128" s="742"/>
      <c r="K128" s="741"/>
      <c r="L128" s="743"/>
      <c r="M128" s="743"/>
      <c r="N128" s="743"/>
      <c r="O128" s="25" t="str">
        <f>_xlfn.IFNA(VLOOKUP($C128,'Master sheet'!$A:$AR,44,FALSE),"")&amp;""</f>
        <v/>
      </c>
      <c r="P128" s="685"/>
      <c r="Q128" s="765"/>
      <c r="R128" s="728"/>
      <c r="T128" s="638"/>
      <c r="U128" s="638"/>
      <c r="V128" s="638"/>
      <c r="W128" s="638"/>
      <c r="X128" s="638"/>
      <c r="Y128" s="638"/>
      <c r="Z128" s="638"/>
      <c r="AA128" s="664"/>
    </row>
    <row r="129" spans="1:27" s="624" customFormat="1" ht="31.5" customHeight="1" x14ac:dyDescent="0.25">
      <c r="A129" s="1603"/>
      <c r="B129" s="1603"/>
      <c r="C129" s="669" t="str">
        <f>INDEX('Master sheet'!$A$1:$A$670,MATCH("A77",'Master sheet'!$AN$1:$AN$670,0))</f>
        <v>Mineral wool loose fill / NAIMA / USG, American Rockwool  / R 3/inch</v>
      </c>
      <c r="D129" s="15">
        <f>'USER INPUT SHEET'!$D$40</f>
        <v>0</v>
      </c>
      <c r="E129" s="16" t="str">
        <f>'USER INPUT SHEET'!$F$40</f>
        <v>m2</v>
      </c>
      <c r="F129" s="3">
        <v>1</v>
      </c>
      <c r="G129" s="670"/>
      <c r="H129" s="8"/>
      <c r="I129" s="92">
        <f>K129-L129</f>
        <v>0</v>
      </c>
      <c r="J129" s="93" t="str">
        <f>IF(H129=1,I129,"")</f>
        <v/>
      </c>
      <c r="K129" s="406">
        <f>$D129*($E$128/5.678)*$F129*VLOOKUP($C129,'Master sheet'!$A:$AL,13,FALSE)</f>
        <v>0</v>
      </c>
      <c r="L129" s="94">
        <f>$D129*($E$128/5.678)*$F129*VLOOKUP($C129,'Master sheet'!$A:$AL,27,FALSE)</f>
        <v>0</v>
      </c>
      <c r="M129" s="1562"/>
      <c r="N129" s="1562"/>
      <c r="O129" s="25" t="str">
        <f>_xlfn.IFNA(VLOOKUP($C129,'Master sheet'!$A:$AR,44,FALSE),"")&amp;""</f>
        <v/>
      </c>
      <c r="P129" s="637"/>
      <c r="Q129" s="765" t="s">
        <v>1642</v>
      </c>
      <c r="R129" s="728" t="s">
        <v>1643</v>
      </c>
      <c r="S129" s="619"/>
      <c r="T129" s="638"/>
      <c r="U129" s="638"/>
      <c r="V129" s="638"/>
      <c r="W129" s="638"/>
      <c r="X129" s="638"/>
      <c r="Y129" s="638"/>
      <c r="Z129" s="638"/>
      <c r="AA129" s="638"/>
    </row>
    <row r="130" spans="1:27" s="624" customFormat="1" ht="22.8" x14ac:dyDescent="0.25">
      <c r="A130" s="639"/>
      <c r="B130" s="1524" t="s">
        <v>46</v>
      </c>
      <c r="C130" s="1523"/>
      <c r="D130" s="687" t="str">
        <f>IF(LOWER(Setting!rng_language)="english","R-VALUE:","VALEUR R :")</f>
        <v>R-VALUE:</v>
      </c>
      <c r="E130" s="1"/>
      <c r="F130" s="340"/>
      <c r="G130" s="739"/>
      <c r="H130" s="740"/>
      <c r="I130" s="741"/>
      <c r="J130" s="742"/>
      <c r="K130" s="741"/>
      <c r="L130" s="743"/>
      <c r="M130" s="743"/>
      <c r="N130" s="743"/>
      <c r="O130" s="25" t="str">
        <f>_xlfn.IFNA(VLOOKUP($C130,'Master sheet'!$A:$AR,44,FALSE),"")&amp;""</f>
        <v/>
      </c>
      <c r="P130" s="685"/>
      <c r="Q130" s="765" t="s">
        <v>1642</v>
      </c>
      <c r="R130" s="728" t="s">
        <v>1643</v>
      </c>
      <c r="T130" s="638"/>
      <c r="U130" s="638"/>
      <c r="V130" s="638"/>
      <c r="W130" s="638"/>
      <c r="X130" s="638"/>
      <c r="Y130" s="638"/>
      <c r="Z130" s="638"/>
      <c r="AA130" s="638"/>
    </row>
    <row r="131" spans="1:27" ht="22.8" x14ac:dyDescent="0.25">
      <c r="A131" s="729"/>
      <c r="B131" s="729"/>
      <c r="C131" s="691" t="s">
        <v>1362</v>
      </c>
      <c r="D131" s="19">
        <f>'USER INPUT SHEET'!$D$40</f>
        <v>0</v>
      </c>
      <c r="E131" s="20" t="str">
        <f>'USER INPUT SHEET'!$F$40</f>
        <v>m2</v>
      </c>
      <c r="F131" s="6">
        <v>1</v>
      </c>
      <c r="G131" s="692"/>
      <c r="H131" s="10"/>
      <c r="I131" s="98">
        <f>K131-L131</f>
        <v>0</v>
      </c>
      <c r="J131" s="91" t="str">
        <f>IF(H131=1,I131,"")</f>
        <v/>
      </c>
      <c r="K131" s="410">
        <f>F131*AVERAGE(K132:K134)</f>
        <v>0</v>
      </c>
      <c r="L131" s="99">
        <f>F131*AVERAGE(L132:L134)</f>
        <v>0</v>
      </c>
      <c r="M131" s="1552"/>
      <c r="N131" s="1552"/>
      <c r="O131" s="25" t="str">
        <f>_xlfn.IFNA(VLOOKUP($C131,'Master sheet'!$A:$AR,44,FALSE),"")&amp;""</f>
        <v/>
      </c>
      <c r="P131" s="685"/>
      <c r="Q131" s="765" t="s">
        <v>1642</v>
      </c>
      <c r="R131" s="728" t="s">
        <v>1643</v>
      </c>
      <c r="S131" s="664"/>
      <c r="T131" s="664"/>
      <c r="U131" s="664"/>
      <c r="V131" s="664"/>
      <c r="W131" s="664"/>
      <c r="X131" s="664"/>
      <c r="Y131" s="664"/>
      <c r="Z131" s="664"/>
      <c r="AA131" s="638"/>
    </row>
    <row r="132" spans="1:27" ht="47.25" customHeight="1" x14ac:dyDescent="0.25">
      <c r="A132" s="1600"/>
      <c r="B132" s="1564"/>
      <c r="C132" s="669" t="str">
        <f>INDEX('Master sheet'!$A$1:$A$670,MATCH(33,'Master sheet'!$AN$1:$AN$670,0))</f>
        <v>Cellulose - dense pack /  / R 3.7/inch / Includes AFT, Applegate, Can-Cell, Cell-Pak, Cleanfiber, Climatizer, Fiberlite, Igloo, ICC, Mason City, Nu-Wool, Soprema, Thermo-Kool</v>
      </c>
      <c r="D132" s="15">
        <f>'USER INPUT SHEET'!$D$40</f>
        <v>0</v>
      </c>
      <c r="E132" s="16" t="str">
        <f>'USER INPUT SHEET'!$F$40</f>
        <v>m2</v>
      </c>
      <c r="F132" s="3">
        <v>1</v>
      </c>
      <c r="G132" s="670"/>
      <c r="H132" s="8"/>
      <c r="I132" s="92">
        <f>K132-L132</f>
        <v>0</v>
      </c>
      <c r="J132" s="93" t="str">
        <f>IF(H132=1,I132,"")</f>
        <v/>
      </c>
      <c r="K132" s="406">
        <f>$D132*($E$130/5.678)*$F132*VLOOKUP($C132,'Master sheet'!$A:$AL,13,FALSE)</f>
        <v>0</v>
      </c>
      <c r="L132" s="94">
        <f>$D132*($E$130/5.678)*$F132*VLOOKUP($C132,'Master sheet'!$A:$AL,27,FALSE)</f>
        <v>0</v>
      </c>
      <c r="M132" s="1552"/>
      <c r="N132" s="1552"/>
      <c r="O132" s="25" t="str">
        <f ca="1">_xlfn.IFNA(VLOOKUP($C132,'Master sheet'!$A:$AR,44,FALSE),"")&amp;""</f>
        <v>Expired 2024</v>
      </c>
      <c r="P132" s="637"/>
      <c r="Q132" s="765" t="s">
        <v>1642</v>
      </c>
      <c r="R132" s="728" t="s">
        <v>1643</v>
      </c>
      <c r="T132" s="664"/>
      <c r="U132" s="664"/>
      <c r="V132" s="664"/>
      <c r="W132" s="664"/>
      <c r="X132" s="664"/>
      <c r="Y132" s="664"/>
      <c r="Z132" s="664"/>
      <c r="AA132" s="638"/>
    </row>
    <row r="133" spans="1:27" ht="23.25" customHeight="1" x14ac:dyDescent="0.25">
      <c r="A133" s="1564"/>
      <c r="B133" s="1564"/>
      <c r="C133" s="669" t="str">
        <f>INDEX('Master sheet'!$A$1:$A$670,MATCH(32,'Master sheet'!$AN$1:$AN$670,0))</f>
        <v>Cellulose - batt / CMS / R 3.6/inch / EcoCell</v>
      </c>
      <c r="D133" s="15">
        <f>'USER INPUT SHEET'!$D$40</f>
        <v>0</v>
      </c>
      <c r="E133" s="16" t="str">
        <f>'USER INPUT SHEET'!$F$40</f>
        <v>m2</v>
      </c>
      <c r="F133" s="3">
        <v>1</v>
      </c>
      <c r="G133" s="670"/>
      <c r="H133" s="8"/>
      <c r="I133" s="92">
        <f>K133-L133</f>
        <v>0</v>
      </c>
      <c r="J133" s="93" t="str">
        <f>IF(H133=1,I133,"")</f>
        <v/>
      </c>
      <c r="K133" s="406">
        <f>$D133*($E$130/5.678)*$F133*VLOOKUP($C133,'Master sheet'!$A:$AL,13,FALSE)</f>
        <v>0</v>
      </c>
      <c r="L133" s="94">
        <f>$D133*($E$130/5.678)*$F133*VLOOKUP($C133,'Master sheet'!$A:$AL,27,FALSE)</f>
        <v>0</v>
      </c>
      <c r="M133" s="1552"/>
      <c r="N133" s="1552"/>
      <c r="O133" s="25" t="str">
        <f ca="1">_xlfn.IFNA(VLOOKUP($C133,'Master sheet'!$A:$AR,44,FALSE),"")&amp;""</f>
        <v>Expired 2024</v>
      </c>
      <c r="P133" s="637"/>
      <c r="Q133" s="765" t="s">
        <v>1642</v>
      </c>
      <c r="R133" s="728" t="s">
        <v>1643</v>
      </c>
      <c r="T133" s="664"/>
      <c r="U133" s="664"/>
      <c r="V133" s="664"/>
      <c r="W133" s="664"/>
      <c r="X133" s="664"/>
      <c r="Y133" s="664"/>
      <c r="Z133" s="664"/>
      <c r="AA133" s="664"/>
    </row>
    <row r="134" spans="1:27" s="624" customFormat="1" ht="31.5" customHeight="1" x14ac:dyDescent="0.25">
      <c r="A134" s="1564"/>
      <c r="B134" s="1564"/>
      <c r="C134" s="673" t="str">
        <f>INDEX('Master sheet'!$A$1:$A$670,MATCH(35,'Master sheet'!$AN$1:$AN$670,0))</f>
        <v>Cellulose - spray applied / R 3.75/inch / International Cellulose Corp. / K-13, ThermoCon</v>
      </c>
      <c r="D134" s="17">
        <f>'USER INPUT SHEET'!$D$40</f>
        <v>0</v>
      </c>
      <c r="E134" s="18" t="str">
        <f>'USER INPUT SHEET'!$F$40</f>
        <v>m2</v>
      </c>
      <c r="F134" s="4">
        <v>1</v>
      </c>
      <c r="G134" s="674"/>
      <c r="H134" s="9"/>
      <c r="I134" s="95">
        <f>K134-L134</f>
        <v>0</v>
      </c>
      <c r="J134" s="96" t="str">
        <f>IF(H134=1,I134,"")</f>
        <v/>
      </c>
      <c r="K134" s="407">
        <f>$D134*($E$130/5.678)*$F134*VLOOKUP($C134,'Master sheet'!$A:$AL,13,FALSE)</f>
        <v>0</v>
      </c>
      <c r="L134" s="97">
        <f>$D134*($E$130/5.678)*$F134*VLOOKUP($C134,'Master sheet'!$A:$AL,27,FALSE)</f>
        <v>0</v>
      </c>
      <c r="M134" s="1610"/>
      <c r="N134" s="1610"/>
      <c r="O134" s="25" t="str">
        <f ca="1">_xlfn.IFNA(VLOOKUP($C134,'Master sheet'!$A:$AR,44,FALSE),"")&amp;""</f>
        <v>Expired 2025</v>
      </c>
      <c r="P134" s="685"/>
      <c r="Q134" s="765" t="s">
        <v>1642</v>
      </c>
      <c r="R134" s="728" t="s">
        <v>1643</v>
      </c>
      <c r="T134" s="638"/>
      <c r="U134" s="638"/>
      <c r="V134" s="638"/>
      <c r="W134" s="638"/>
      <c r="X134" s="638"/>
      <c r="Y134" s="638"/>
      <c r="Z134" s="638"/>
      <c r="AA134" s="664"/>
    </row>
    <row r="135" spans="1:27" s="624" customFormat="1" ht="22.8" x14ac:dyDescent="0.25">
      <c r="A135" s="639"/>
      <c r="B135" s="1524" t="s">
        <v>969</v>
      </c>
      <c r="C135" s="1523"/>
      <c r="D135" s="687" t="str">
        <f>IF(LOWER(Setting!rng_language)="english","R-VALUE:","VALEUR R :")</f>
        <v>R-VALUE:</v>
      </c>
      <c r="E135" s="1"/>
      <c r="F135" s="340"/>
      <c r="G135" s="739"/>
      <c r="H135" s="740"/>
      <c r="I135" s="741"/>
      <c r="J135" s="742"/>
      <c r="K135" s="741"/>
      <c r="L135" s="743"/>
      <c r="M135" s="743"/>
      <c r="N135" s="743"/>
      <c r="O135" s="25" t="str">
        <f>_xlfn.IFNA(VLOOKUP($C135,'Master sheet'!$A:$AR,44,FALSE),"")&amp;""</f>
        <v/>
      </c>
      <c r="P135" s="685"/>
      <c r="Q135" s="765" t="s">
        <v>1642</v>
      </c>
      <c r="R135" s="728" t="s">
        <v>1643</v>
      </c>
      <c r="T135" s="638"/>
      <c r="U135" s="638"/>
      <c r="V135" s="638"/>
      <c r="W135" s="638"/>
      <c r="X135" s="638"/>
      <c r="Y135" s="638"/>
      <c r="Z135" s="638"/>
      <c r="AA135" s="664"/>
    </row>
    <row r="136" spans="1:27" ht="22.8" x14ac:dyDescent="0.25">
      <c r="A136" s="729"/>
      <c r="B136" s="729"/>
      <c r="C136" s="691" t="s">
        <v>1363</v>
      </c>
      <c r="D136" s="19">
        <f>'USER INPUT SHEET'!$D$40</f>
        <v>0</v>
      </c>
      <c r="E136" s="20" t="str">
        <f>'USER INPUT SHEET'!$F$40</f>
        <v>m2</v>
      </c>
      <c r="F136" s="6">
        <v>1</v>
      </c>
      <c r="G136" s="692"/>
      <c r="H136" s="10"/>
      <c r="I136" s="98">
        <f t="shared" ref="I136:I138" si="44">K136-L136</f>
        <v>0</v>
      </c>
      <c r="J136" s="91" t="str">
        <f t="shared" ref="J136:J138" si="45">IF(H136=1,I136,"")</f>
        <v/>
      </c>
      <c r="K136" s="410">
        <f>F136*AVERAGE(K137:K138)</f>
        <v>0</v>
      </c>
      <c r="L136" s="99">
        <f>F136*AVERAGE(L137:L138)</f>
        <v>0</v>
      </c>
      <c r="M136" s="1552"/>
      <c r="N136" s="1552"/>
      <c r="O136" s="25" t="str">
        <f>_xlfn.IFNA(VLOOKUP($C136,'Master sheet'!$A:$AR,44,FALSE),"")&amp;""</f>
        <v/>
      </c>
      <c r="P136" s="685"/>
      <c r="Q136" s="765" t="s">
        <v>1642</v>
      </c>
      <c r="R136" s="728" t="s">
        <v>1643</v>
      </c>
      <c r="S136" s="664"/>
      <c r="T136" s="664"/>
      <c r="U136" s="664"/>
      <c r="V136" s="664"/>
      <c r="W136" s="664"/>
      <c r="X136" s="664"/>
      <c r="Y136" s="664"/>
      <c r="Z136" s="664"/>
      <c r="AA136" s="664"/>
    </row>
    <row r="137" spans="1:27" ht="23.25" customHeight="1" x14ac:dyDescent="0.25">
      <c r="A137" s="1564"/>
      <c r="B137" s="1564"/>
      <c r="C137" s="673" t="str">
        <f>INDEX('Master sheet'!$A$1:$A$670,MATCH(238,'Master sheet'!$AN$1:$AN$670,0))</f>
        <v>Wood fiber - loose fill / GUTEX / ThermoFiber / R 3.6/inch</v>
      </c>
      <c r="D137" s="17">
        <f>'USER INPUT SHEET'!$D$40</f>
        <v>0</v>
      </c>
      <c r="E137" s="18" t="str">
        <f>'USER INPUT SHEET'!$F$40</f>
        <v>m2</v>
      </c>
      <c r="F137" s="4">
        <v>1</v>
      </c>
      <c r="G137" s="674"/>
      <c r="H137" s="9"/>
      <c r="I137" s="95">
        <f t="shared" si="44"/>
        <v>0</v>
      </c>
      <c r="J137" s="96" t="str">
        <f t="shared" si="45"/>
        <v/>
      </c>
      <c r="K137" s="407">
        <f>$D137*($E$135/5.678)*$F137*VLOOKUP($C137,'Master sheet'!$A:$AL,13,FALSE)</f>
        <v>0</v>
      </c>
      <c r="L137" s="97">
        <f>$D137*($E$135/5.678)*$F137*VLOOKUP($C137,'Master sheet'!$A:$AL,27,FALSE)</f>
        <v>0</v>
      </c>
      <c r="M137" s="1552"/>
      <c r="N137" s="1552"/>
      <c r="O137" s="25" t="str">
        <f ca="1">_xlfn.IFNA(VLOOKUP($C137,'Master sheet'!$A:$AR,44,FALSE),"")&amp;""</f>
        <v>Expired 2024</v>
      </c>
      <c r="P137" s="637"/>
      <c r="Q137" s="765" t="s">
        <v>1642</v>
      </c>
      <c r="R137" s="728" t="s">
        <v>1643</v>
      </c>
      <c r="S137" s="624"/>
      <c r="T137" s="638"/>
      <c r="U137" s="638"/>
      <c r="V137" s="638"/>
      <c r="W137" s="638"/>
      <c r="X137" s="664"/>
      <c r="Y137" s="664"/>
      <c r="Z137" s="664"/>
      <c r="AA137" s="638"/>
    </row>
    <row r="138" spans="1:27" s="624" customFormat="1" ht="23.25" customHeight="1" x14ac:dyDescent="0.25">
      <c r="A138" s="1564"/>
      <c r="B138" s="1564"/>
      <c r="C138" s="673" t="str">
        <f>INDEX('Master sheet'!$A$1:$A$670,MATCH("A122",'Master sheet'!$AN$1:$AN$670,0))</f>
        <v>Wood fiber batt / Steico / SteicoFlex / R 3.8/inch</v>
      </c>
      <c r="D138" s="17">
        <f>'USER INPUT SHEET'!$D$40</f>
        <v>0</v>
      </c>
      <c r="E138" s="18" t="str">
        <f>'USER INPUT SHEET'!$F$40</f>
        <v>m2</v>
      </c>
      <c r="F138" s="4">
        <v>1</v>
      </c>
      <c r="G138" s="674"/>
      <c r="H138" s="9"/>
      <c r="I138" s="95">
        <f t="shared" si="44"/>
        <v>0</v>
      </c>
      <c r="J138" s="96" t="str">
        <f t="shared" si="45"/>
        <v/>
      </c>
      <c r="K138" s="407">
        <f>$D138*($E$135/5.678)*$F138*VLOOKUP($C138,'Master sheet'!$A:$AL,13,FALSE)</f>
        <v>0</v>
      </c>
      <c r="L138" s="97">
        <f>$D138*($E$135/5.678)*$F138*VLOOKUP($C138,'Master sheet'!$A:$AL,27,FALSE)</f>
        <v>0</v>
      </c>
      <c r="M138" s="1552"/>
      <c r="N138" s="1552"/>
      <c r="O138" s="25" t="str">
        <f>_xlfn.IFNA(VLOOKUP($C138,'Master sheet'!$A:$AR,44,FALSE),"")&amp;""</f>
        <v/>
      </c>
      <c r="P138" s="637"/>
      <c r="Q138" s="765" t="s">
        <v>1642</v>
      </c>
      <c r="R138" s="728" t="s">
        <v>1643</v>
      </c>
      <c r="T138" s="638"/>
      <c r="U138" s="638"/>
      <c r="V138" s="638"/>
      <c r="W138" s="638"/>
      <c r="X138" s="638"/>
      <c r="Y138" s="638"/>
      <c r="Z138" s="638"/>
      <c r="AA138" s="638"/>
    </row>
    <row r="139" spans="1:27" s="624" customFormat="1" ht="22.8" x14ac:dyDescent="0.25">
      <c r="A139" s="639"/>
      <c r="B139" s="1524" t="s">
        <v>56</v>
      </c>
      <c r="C139" s="1523"/>
      <c r="D139" s="687" t="str">
        <f>IF(LOWER(Setting!rng_language)="english","R-VALUE:","VALEUR R :")</f>
        <v>R-VALUE:</v>
      </c>
      <c r="E139" s="1"/>
      <c r="F139" s="325"/>
      <c r="G139" s="678"/>
      <c r="H139" s="679"/>
      <c r="I139" s="642"/>
      <c r="J139" s="643"/>
      <c r="K139" s="676"/>
      <c r="L139" s="677"/>
      <c r="M139" s="677"/>
      <c r="N139" s="677"/>
      <c r="O139" s="25" t="str">
        <f>_xlfn.IFNA(VLOOKUP($C139,'Master sheet'!$A:$AR,44,FALSE),"")&amp;""</f>
        <v/>
      </c>
      <c r="P139" s="685"/>
      <c r="Q139" s="765" t="s">
        <v>1642</v>
      </c>
      <c r="R139" s="728" t="s">
        <v>1643</v>
      </c>
      <c r="T139" s="638"/>
      <c r="U139" s="638"/>
      <c r="V139" s="638"/>
      <c r="W139" s="638"/>
      <c r="X139" s="638"/>
      <c r="Y139" s="638"/>
      <c r="Z139" s="638"/>
      <c r="AA139" s="664"/>
    </row>
    <row r="140" spans="1:27" s="624" customFormat="1" ht="23.25" customHeight="1" x14ac:dyDescent="0.25">
      <c r="A140" s="1600"/>
      <c r="B140" s="1564"/>
      <c r="C140" s="647" t="str">
        <f>INDEX('Master sheet'!$A$1:$A$670,MATCH(254,'Master sheet'!$AN$1:$AN$670,0))</f>
        <v>Wool batt / Havelock Wool /  / R 3.6/inch</v>
      </c>
      <c r="D140" s="13">
        <f>'USER INPUT SHEET'!$D$40</f>
        <v>0</v>
      </c>
      <c r="E140" s="14" t="str">
        <f>'USER INPUT SHEET'!$F$40</f>
        <v>m2</v>
      </c>
      <c r="F140" s="2">
        <v>1</v>
      </c>
      <c r="G140" s="648"/>
      <c r="H140" s="7"/>
      <c r="I140" s="88">
        <f t="shared" ref="I140:I143" si="46">K140-L140</f>
        <v>0</v>
      </c>
      <c r="J140" s="89" t="str">
        <f t="shared" ref="J140:J143" si="47">IF(H140=1,I140,"")</f>
        <v/>
      </c>
      <c r="K140" s="404">
        <f>$D140*($E$139/5.678)*$F140*VLOOKUP($C140,'Master sheet'!$A:$AL,13,FALSE)</f>
        <v>0</v>
      </c>
      <c r="L140" s="90">
        <f>$D140*($E$139/5.678)*$F140*VLOOKUP($C140,'Master sheet'!$A:$AL,27,FALSE)</f>
        <v>0</v>
      </c>
      <c r="M140" s="1552"/>
      <c r="N140" s="1552"/>
      <c r="O140" s="25" t="str">
        <f ca="1">_xlfn.IFNA(VLOOKUP($C140,'Master sheet'!$A:$AR,44,FALSE),"")&amp;""</f>
        <v>Expired 2025</v>
      </c>
      <c r="P140" s="685"/>
      <c r="Q140" s="765" t="s">
        <v>1642</v>
      </c>
      <c r="R140" s="728" t="s">
        <v>1643</v>
      </c>
      <c r="T140" s="638"/>
      <c r="U140" s="638"/>
      <c r="V140" s="638"/>
      <c r="W140" s="638"/>
      <c r="X140" s="638"/>
      <c r="Y140" s="638"/>
      <c r="Z140" s="638"/>
      <c r="AA140" s="664"/>
    </row>
    <row r="141" spans="1:27" ht="23.25" customHeight="1" x14ac:dyDescent="0.25">
      <c r="A141" s="1564"/>
      <c r="B141" s="1564"/>
      <c r="C141" s="669" t="str">
        <f>INDEX('Master sheet'!$A$1:$A$670,MATCH(255,'Master sheet'!$AN$1:$AN$670,0))</f>
        <v>Wool loose fill / Havelock Wool /  / R 4.4/inch</v>
      </c>
      <c r="D141" s="15">
        <f>'USER INPUT SHEET'!$D$40</f>
        <v>0</v>
      </c>
      <c r="E141" s="16" t="str">
        <f>'USER INPUT SHEET'!$F$40</f>
        <v>m2</v>
      </c>
      <c r="F141" s="3">
        <v>1</v>
      </c>
      <c r="G141" s="670"/>
      <c r="H141" s="8"/>
      <c r="I141" s="92">
        <f t="shared" si="46"/>
        <v>0</v>
      </c>
      <c r="J141" s="93" t="str">
        <f t="shared" si="47"/>
        <v/>
      </c>
      <c r="K141" s="406">
        <f>$D141*($E$139/5.678)*$F141*VLOOKUP($C141,'Master sheet'!$A:$AL,13,FALSE)</f>
        <v>0</v>
      </c>
      <c r="L141" s="94">
        <f>$D141*($E$139/5.678)*$F141*VLOOKUP($C141,'Master sheet'!$A:$AL,27,FALSE)</f>
        <v>0</v>
      </c>
      <c r="M141" s="1552"/>
      <c r="N141" s="1552"/>
      <c r="O141" s="25" t="str">
        <f ca="1">_xlfn.IFNA(VLOOKUP($C141,'Master sheet'!$A:$AR,44,FALSE),"")&amp;""</f>
        <v/>
      </c>
      <c r="P141" s="685"/>
      <c r="Q141" s="765" t="s">
        <v>1642</v>
      </c>
      <c r="R141" s="728" t="s">
        <v>1643</v>
      </c>
      <c r="T141" s="664"/>
      <c r="U141" s="664"/>
      <c r="V141" s="664"/>
      <c r="W141" s="664"/>
      <c r="X141" s="664"/>
      <c r="Y141" s="664"/>
      <c r="Z141" s="664"/>
      <c r="AA141" s="638"/>
    </row>
    <row r="142" spans="1:27" ht="23.25" customHeight="1" x14ac:dyDescent="0.25">
      <c r="A142" s="1564"/>
      <c r="B142" s="1564"/>
      <c r="C142" s="673" t="str">
        <f>INDEX('Master sheet'!$A$1:$A$670,MATCH(412,'Master sheet'!$AN$1:$AN$670,0))</f>
        <v>Straw Bale / SNaB (UK) / Wheat &amp; barley straw / R 2.8/inch</v>
      </c>
      <c r="D142" s="17">
        <f>'USER INPUT SHEET'!$D$40</f>
        <v>0</v>
      </c>
      <c r="E142" s="18" t="str">
        <f>'USER INPUT SHEET'!$F$40</f>
        <v>m2</v>
      </c>
      <c r="F142" s="4">
        <v>1</v>
      </c>
      <c r="G142" s="674"/>
      <c r="H142" s="9"/>
      <c r="I142" s="95">
        <f t="shared" si="46"/>
        <v>0</v>
      </c>
      <c r="J142" s="96" t="str">
        <f t="shared" si="47"/>
        <v/>
      </c>
      <c r="K142" s="407">
        <f>$D142*($E$139/5.678)*$F142*VLOOKUP($C142,'Master sheet'!$A:$AL,13,FALSE)</f>
        <v>0</v>
      </c>
      <c r="L142" s="97">
        <f>$D142*($E$139/5.678)*$F142*VLOOKUP($C142,'Master sheet'!$A:$AL,27,FALSE)</f>
        <v>0</v>
      </c>
      <c r="M142" s="1552"/>
      <c r="N142" s="1552"/>
      <c r="O142" s="25" t="str">
        <f ca="1">_xlfn.IFNA(VLOOKUP($C142,'Master sheet'!$A:$AR,44,FALSE),"")&amp;""</f>
        <v/>
      </c>
      <c r="P142" s="637"/>
      <c r="Q142" s="765" t="s">
        <v>1642</v>
      </c>
      <c r="R142" s="728" t="s">
        <v>1643</v>
      </c>
      <c r="S142" s="624"/>
      <c r="T142" s="638"/>
      <c r="U142" s="638"/>
      <c r="V142" s="664"/>
      <c r="W142" s="664"/>
      <c r="X142" s="664"/>
      <c r="Y142" s="664"/>
      <c r="Z142" s="664"/>
      <c r="AA142" s="638"/>
    </row>
    <row r="143" spans="1:27" s="624" customFormat="1" ht="23.25" customHeight="1" x14ac:dyDescent="0.25">
      <c r="A143" s="1564"/>
      <c r="B143" s="1564"/>
      <c r="C143" s="673" t="str">
        <f>INDEX('Master sheet'!$A$1:$A$670,MATCH("A54",'Master sheet'!$AN$1:$AN$670,0))</f>
        <v>Hemp fiber batt / NaturFibre / Hemp Wool / R 3.7/inch</v>
      </c>
      <c r="D143" s="17">
        <f>'USER INPUT SHEET'!$D$40</f>
        <v>0</v>
      </c>
      <c r="E143" s="18" t="str">
        <f>'USER INPUT SHEET'!$F$40</f>
        <v>m2</v>
      </c>
      <c r="F143" s="4">
        <v>1</v>
      </c>
      <c r="G143" s="674"/>
      <c r="H143" s="9"/>
      <c r="I143" s="95">
        <f t="shared" si="46"/>
        <v>0</v>
      </c>
      <c r="J143" s="96" t="str">
        <f t="shared" si="47"/>
        <v/>
      </c>
      <c r="K143" s="407">
        <f>$D143*($E$139/5.678)*$F143*VLOOKUP($C143,'Master sheet'!$A:$AL,13,FALSE)</f>
        <v>0</v>
      </c>
      <c r="L143" s="97">
        <f>$D143*($E$139/5.678)*$F143*VLOOKUP($C143,'Master sheet'!$A:$AL,27,FALSE)</f>
        <v>0</v>
      </c>
      <c r="M143" s="1610"/>
      <c r="N143" s="1610"/>
      <c r="O143" s="25" t="str">
        <f>_xlfn.IFNA(VLOOKUP($C143,'Master sheet'!$A:$AR,44,FALSE),"")&amp;""</f>
        <v/>
      </c>
      <c r="P143" s="637"/>
      <c r="Q143" s="765" t="s">
        <v>1642</v>
      </c>
      <c r="R143" s="728" t="s">
        <v>1643</v>
      </c>
      <c r="T143" s="638"/>
      <c r="U143" s="638"/>
      <c r="V143" s="638"/>
      <c r="W143" s="638"/>
      <c r="X143" s="638"/>
      <c r="Y143" s="638"/>
      <c r="Z143" s="638"/>
      <c r="AA143" s="664"/>
    </row>
    <row r="144" spans="1:27" s="624" customFormat="1" ht="22.8" x14ac:dyDescent="0.25">
      <c r="A144" s="639"/>
      <c r="B144" s="1524" t="s">
        <v>3428</v>
      </c>
      <c r="C144" s="1523"/>
      <c r="D144" s="687" t="str">
        <f>IF(LOWER(Setting!rng_language)="english","R-VALUE:","VALEUR R :")</f>
        <v>R-VALUE:</v>
      </c>
      <c r="E144" s="1"/>
      <c r="F144" s="325"/>
      <c r="G144" s="678"/>
      <c r="H144" s="679"/>
      <c r="I144" s="642"/>
      <c r="J144" s="643"/>
      <c r="K144" s="676"/>
      <c r="L144" s="727"/>
      <c r="M144" s="727"/>
      <c r="N144" s="727"/>
      <c r="O144" s="25" t="str">
        <f>_xlfn.IFNA(VLOOKUP($C144,'Master sheet'!$A:$AR,44,FALSE),"")&amp;""</f>
        <v/>
      </c>
      <c r="P144" s="637"/>
      <c r="Q144" s="765" t="s">
        <v>1642</v>
      </c>
      <c r="R144" s="728" t="s">
        <v>1643</v>
      </c>
      <c r="T144" s="638"/>
      <c r="U144" s="638"/>
      <c r="V144" s="638"/>
      <c r="W144" s="638"/>
      <c r="X144" s="638"/>
      <c r="Y144" s="638"/>
      <c r="Z144" s="638"/>
      <c r="AA144" s="638"/>
    </row>
    <row r="145" spans="1:27" s="624" customFormat="1" ht="31.5" customHeight="1" x14ac:dyDescent="0.25">
      <c r="A145" s="1601"/>
      <c r="B145" s="1602"/>
      <c r="C145" s="673" t="str">
        <f>INDEX('Master sheet'!$A$1:$A$670,MATCH(184,'Master sheet'!$AN$1:$AN$670,0))</f>
        <v>Spray polyurethane foam - Closed Cell - HFO gas filled / SPFA /  / R 6.6/inch</v>
      </c>
      <c r="D145" s="17">
        <f>'USER INPUT SHEET'!$D$40</f>
        <v>0</v>
      </c>
      <c r="E145" s="18" t="str">
        <f>'USER INPUT SHEET'!$F$40</f>
        <v>m2</v>
      </c>
      <c r="F145" s="4">
        <v>1</v>
      </c>
      <c r="G145" s="674"/>
      <c r="H145" s="9"/>
      <c r="I145" s="95">
        <f>K145-L145</f>
        <v>0</v>
      </c>
      <c r="J145" s="96" t="str">
        <f>IF(H145=1,I145,"")</f>
        <v/>
      </c>
      <c r="K145" s="407">
        <f>$D145*($E$144/5.678)*$F145*VLOOKUP($C145,'Master sheet'!$A:$AL,13,FALSE)</f>
        <v>0</v>
      </c>
      <c r="L145" s="97">
        <f>$D145*($E$144/5.678)*$F145*VLOOKUP($C145,'Master sheet'!$A:$AL,27,FALSE)</f>
        <v>0</v>
      </c>
      <c r="M145" s="1562"/>
      <c r="N145" s="1562"/>
      <c r="O145" s="25" t="str">
        <f ca="1">_xlfn.IFNA(VLOOKUP($C145,'Master sheet'!$A:$AR,44,FALSE),"")&amp;""</f>
        <v/>
      </c>
      <c r="P145" s="685"/>
      <c r="Q145" s="765" t="s">
        <v>1642</v>
      </c>
      <c r="R145" s="728" t="s">
        <v>1643</v>
      </c>
      <c r="T145" s="638"/>
      <c r="U145" s="638"/>
      <c r="V145" s="638"/>
      <c r="W145" s="638"/>
      <c r="X145" s="638"/>
      <c r="Y145" s="638"/>
      <c r="Z145" s="638"/>
      <c r="AA145" s="638"/>
    </row>
    <row r="146" spans="1:27" s="624" customFormat="1" ht="31.5" customHeight="1" x14ac:dyDescent="0.25">
      <c r="A146" s="1601"/>
      <c r="B146" s="1602"/>
      <c r="C146" s="673" t="str">
        <f>INDEX('Master sheet'!$A$1:$A$670,MATCH(410,'Master sheet'!$AN$1:$AN$670,0))</f>
        <v xml:space="preserve">Spray polyurethane foam - Closed Cell (HFO) / Huntsman Building Solutions / Heatlok HFO &amp; Heatlok Soya HFO / </v>
      </c>
      <c r="D146" s="17">
        <f>'USER INPUT SHEET'!$D$40</f>
        <v>0</v>
      </c>
      <c r="E146" s="18" t="str">
        <f>'USER INPUT SHEET'!$F$40</f>
        <v>m2</v>
      </c>
      <c r="F146" s="4">
        <v>1</v>
      </c>
      <c r="G146" s="674"/>
      <c r="H146" s="9"/>
      <c r="I146" s="95">
        <f>K146-L146</f>
        <v>0</v>
      </c>
      <c r="J146" s="96" t="str">
        <f>IF(H146=1,I146,"")</f>
        <v/>
      </c>
      <c r="K146" s="407">
        <f>$D146*($E$144/5.678)*$F146*VLOOKUP($C146,'Master sheet'!$A:$AL,13,FALSE)</f>
        <v>0</v>
      </c>
      <c r="L146" s="97">
        <f>$D146*($E$144/5.678)*$F146*VLOOKUP($C146,'Master sheet'!$A:$AL,27,FALSE)</f>
        <v>0</v>
      </c>
      <c r="M146" s="1610"/>
      <c r="N146" s="1610"/>
      <c r="O146" s="25" t="str">
        <f>_xlfn.IFNA(VLOOKUP($C146,'Master sheet'!$A:$AR,44,FALSE),"")&amp;""</f>
        <v>A1-B1</v>
      </c>
      <c r="P146" s="685"/>
      <c r="Q146" s="765" t="s">
        <v>1642</v>
      </c>
      <c r="R146" s="728" t="s">
        <v>1643</v>
      </c>
      <c r="T146" s="638"/>
      <c r="U146" s="638"/>
      <c r="V146" s="638"/>
      <c r="W146" s="638"/>
      <c r="X146" s="638"/>
      <c r="Y146" s="638"/>
      <c r="Z146" s="638"/>
      <c r="AA146" s="638"/>
    </row>
    <row r="147" spans="1:27" s="624" customFormat="1" ht="22.8" x14ac:dyDescent="0.25">
      <c r="A147" s="639"/>
      <c r="B147" s="1524" t="s">
        <v>3429</v>
      </c>
      <c r="C147" s="1523"/>
      <c r="D147" s="687" t="str">
        <f>IF(LOWER(Setting!rng_language)="english","R-VALUE:","VALEUR R :")</f>
        <v>R-VALUE:</v>
      </c>
      <c r="E147" s="1"/>
      <c r="F147" s="325"/>
      <c r="G147" s="678"/>
      <c r="H147" s="679"/>
      <c r="I147" s="642"/>
      <c r="J147" s="643"/>
      <c r="K147" s="676"/>
      <c r="L147" s="727"/>
      <c r="M147" s="727"/>
      <c r="N147" s="727"/>
      <c r="O147" s="25" t="str">
        <f>_xlfn.IFNA(VLOOKUP($C147,'Master sheet'!$A:$AR,44,FALSE),"")&amp;""</f>
        <v/>
      </c>
      <c r="P147" s="685"/>
      <c r="Q147" s="765" t="s">
        <v>1642</v>
      </c>
      <c r="R147" s="728" t="s">
        <v>1643</v>
      </c>
      <c r="T147" s="638"/>
      <c r="U147" s="638"/>
      <c r="V147" s="638"/>
      <c r="W147" s="638"/>
      <c r="X147" s="638"/>
      <c r="Y147" s="638"/>
      <c r="Z147" s="638"/>
      <c r="AA147" s="638"/>
    </row>
    <row r="148" spans="1:27" s="624" customFormat="1" ht="31.5" customHeight="1" x14ac:dyDescent="0.25">
      <c r="A148" s="729"/>
      <c r="B148" s="729"/>
      <c r="C148" s="673" t="str">
        <f>INDEX('Master sheet'!$A$1:$A$670,MATCH(188,'Master sheet'!$AN$1:$AN$670,0))</f>
        <v>Spray polyurethane foam - Open Cell - HFO gas / SPFA /  / R 4.1/inch</v>
      </c>
      <c r="D148" s="17">
        <f>'USER INPUT SHEET'!$D$40</f>
        <v>0</v>
      </c>
      <c r="E148" s="18" t="str">
        <f>'USER INPUT SHEET'!$F$40</f>
        <v>m2</v>
      </c>
      <c r="F148" s="4">
        <v>1</v>
      </c>
      <c r="G148" s="674"/>
      <c r="H148" s="9"/>
      <c r="I148" s="95">
        <f>K148-L148</f>
        <v>0</v>
      </c>
      <c r="J148" s="96" t="str">
        <f>IF(H148=1,I148,"")</f>
        <v/>
      </c>
      <c r="K148" s="407">
        <f>$D148*($E$147/5.678)*$F148*VLOOKUP($C148,'Master sheet'!$A:$AL,13,FALSE)</f>
        <v>0</v>
      </c>
      <c r="L148" s="97">
        <f>$D148*($E$147/5.678)*$F148*VLOOKUP($C148,'Master sheet'!$A:$AL,27,FALSE)</f>
        <v>0</v>
      </c>
      <c r="M148" s="1610"/>
      <c r="N148" s="1610"/>
      <c r="O148" s="25" t="str">
        <f ca="1">_xlfn.IFNA(VLOOKUP($C148,'Master sheet'!$A:$AR,44,FALSE),"")&amp;""</f>
        <v/>
      </c>
      <c r="P148" s="637"/>
      <c r="Q148" s="765" t="s">
        <v>1642</v>
      </c>
      <c r="R148" s="728" t="s">
        <v>1643</v>
      </c>
      <c r="T148" s="638"/>
      <c r="U148" s="638"/>
      <c r="V148" s="638"/>
      <c r="W148" s="638"/>
      <c r="X148" s="638"/>
      <c r="Y148" s="638"/>
      <c r="Z148" s="638"/>
      <c r="AA148" s="638"/>
    </row>
    <row r="149" spans="1:27" s="624" customFormat="1" ht="22.8" x14ac:dyDescent="0.25">
      <c r="A149" s="639"/>
      <c r="B149" s="1524" t="s">
        <v>1042</v>
      </c>
      <c r="C149" s="1523"/>
      <c r="D149" s="687" t="str">
        <f>IF(LOWER(Setting!rng_language)="english","R-VALUE:","VALEUR R :")</f>
        <v>R-VALUE:</v>
      </c>
      <c r="E149" s="1"/>
      <c r="F149" s="325"/>
      <c r="G149" s="678"/>
      <c r="H149" s="679"/>
      <c r="I149" s="642"/>
      <c r="J149" s="643"/>
      <c r="K149" s="676"/>
      <c r="L149" s="727"/>
      <c r="M149" s="727"/>
      <c r="N149" s="727"/>
      <c r="O149" s="25" t="str">
        <f>_xlfn.IFNA(VLOOKUP($C149,'Master sheet'!$A:$AR,44,FALSE),"")&amp;""</f>
        <v/>
      </c>
      <c r="P149" s="685"/>
      <c r="Q149" s="765" t="s">
        <v>1642</v>
      </c>
      <c r="R149" s="728" t="s">
        <v>1643</v>
      </c>
      <c r="T149" s="638"/>
      <c r="U149" s="638"/>
      <c r="V149" s="638"/>
      <c r="W149" s="638"/>
      <c r="X149" s="638"/>
      <c r="Y149" s="638"/>
      <c r="Z149" s="638"/>
      <c r="AA149" s="638"/>
    </row>
    <row r="150" spans="1:27" ht="22.8" x14ac:dyDescent="0.25">
      <c r="A150" s="729"/>
      <c r="B150" s="729"/>
      <c r="C150" s="691" t="s">
        <v>1364</v>
      </c>
      <c r="D150" s="19">
        <f>'USER INPUT SHEET'!$D$40</f>
        <v>0</v>
      </c>
      <c r="E150" s="20" t="str">
        <f>'USER INPUT SHEET'!$F$40</f>
        <v>m2</v>
      </c>
      <c r="F150" s="6">
        <v>1</v>
      </c>
      <c r="G150" s="692"/>
      <c r="H150" s="10"/>
      <c r="I150" s="98">
        <f t="shared" ref="I150:I157" si="48">K150-L150</f>
        <v>0</v>
      </c>
      <c r="J150" s="91" t="str">
        <f t="shared" ref="J150:J157" si="49">IF(H150=1,I150,"")</f>
        <v/>
      </c>
      <c r="K150" s="410">
        <f>F150*AVERAGE(K151:K157)</f>
        <v>0</v>
      </c>
      <c r="L150" s="99">
        <f>F150*AVERAGE(L151:L157)</f>
        <v>0</v>
      </c>
      <c r="M150" s="1552"/>
      <c r="N150" s="1552"/>
      <c r="O150" s="25" t="str">
        <f>_xlfn.IFNA(VLOOKUP($C150,'Master sheet'!$A:$AR,44,FALSE),"")&amp;""</f>
        <v/>
      </c>
      <c r="P150" s="685"/>
      <c r="Q150" s="765" t="s">
        <v>1642</v>
      </c>
      <c r="R150" s="728" t="s">
        <v>1643</v>
      </c>
      <c r="S150" s="664"/>
      <c r="T150" s="664"/>
      <c r="U150" s="664"/>
      <c r="V150" s="664"/>
      <c r="W150" s="664"/>
      <c r="X150" s="664"/>
      <c r="Y150" s="664"/>
      <c r="Z150" s="664"/>
      <c r="AA150" s="638"/>
    </row>
    <row r="151" spans="1:27" ht="31.5" customHeight="1" x14ac:dyDescent="0.25">
      <c r="A151" s="1601"/>
      <c r="B151" s="1602"/>
      <c r="C151" s="669" t="str">
        <f>INDEX('Master sheet'!$A$1:$A$670,MATCH(124,'Master sheet'!$AN$1:$AN$670,0))</f>
        <v>Hempcrete / Cast in-situ / Site mixed / USA / R 2.1/inch, Avg. mix using NHL &amp; PHL</v>
      </c>
      <c r="D151" s="15">
        <f>'USER INPUT SHEET'!$D$40</f>
        <v>0</v>
      </c>
      <c r="E151" s="16" t="str">
        <f>'USER INPUT SHEET'!$F$40</f>
        <v>m2</v>
      </c>
      <c r="F151" s="3">
        <v>1</v>
      </c>
      <c r="G151" s="670"/>
      <c r="H151" s="8"/>
      <c r="I151" s="92">
        <f t="shared" si="48"/>
        <v>0</v>
      </c>
      <c r="J151" s="93" t="str">
        <f t="shared" si="49"/>
        <v/>
      </c>
      <c r="K151" s="406">
        <f>$D151*($E$149/5.678)*$F151*VLOOKUP($C151,'Master sheet'!$A:$AL,13,FALSE)</f>
        <v>0</v>
      </c>
      <c r="L151" s="94">
        <f>$D151*($E$149/5.678)*$F151*VLOOKUP($C151,'Master sheet'!$A:$AL,27,FALSE)</f>
        <v>0</v>
      </c>
      <c r="M151" s="1552"/>
      <c r="N151" s="1552"/>
      <c r="O151" s="25" t="str">
        <f>_xlfn.IFNA(VLOOKUP($C151,'Master sheet'!$A:$AR,44,FALSE),"")&amp;""</f>
        <v>Peer-reviewed LCA, 2020</v>
      </c>
      <c r="P151" s="637"/>
      <c r="Q151" s="765" t="s">
        <v>1642</v>
      </c>
      <c r="R151" s="728" t="s">
        <v>1643</v>
      </c>
      <c r="T151" s="664"/>
      <c r="U151" s="664"/>
      <c r="V151" s="664"/>
      <c r="W151" s="664"/>
      <c r="X151" s="664"/>
      <c r="Y151" s="664"/>
      <c r="Z151" s="664"/>
      <c r="AA151" s="638"/>
    </row>
    <row r="152" spans="1:27" ht="31.2" x14ac:dyDescent="0.25">
      <c r="A152" s="1602"/>
      <c r="B152" s="1602"/>
      <c r="C152" s="669" t="str">
        <f>INDEX('Master sheet'!$A$1:$A$670,MATCH(123,'Master sheet'!$AN$1:$AN$670,0))</f>
        <v>Hempcrete / Cast in-situ / Site mixed / Europe / R 2.1/inch, Avg. of 9 mixes</v>
      </c>
      <c r="D152" s="15">
        <f>'USER INPUT SHEET'!$D$40</f>
        <v>0</v>
      </c>
      <c r="E152" s="16" t="str">
        <f>'USER INPUT SHEET'!$F$40</f>
        <v>m2</v>
      </c>
      <c r="F152" s="3">
        <v>1</v>
      </c>
      <c r="G152" s="670"/>
      <c r="H152" s="8"/>
      <c r="I152" s="92">
        <f t="shared" si="48"/>
        <v>0</v>
      </c>
      <c r="J152" s="93" t="str">
        <f t="shared" si="49"/>
        <v/>
      </c>
      <c r="K152" s="406">
        <f>$D152*($E$149/5.678)*$F152*VLOOKUP($C152,'Master sheet'!$A:$AL,13,FALSE)</f>
        <v>0</v>
      </c>
      <c r="L152" s="94">
        <f>$D152*($E$149/5.678)*$F152*VLOOKUP($C152,'Master sheet'!$A:$AL,27,FALSE)</f>
        <v>0</v>
      </c>
      <c r="M152" s="1552"/>
      <c r="N152" s="1552"/>
      <c r="O152" s="25" t="str">
        <f>_xlfn.IFNA(VLOOKUP($C152,'Master sheet'!$A:$AR,44,FALSE),"")&amp;""</f>
        <v>Peer-reviewed LCA, 2017</v>
      </c>
      <c r="P152" s="637"/>
      <c r="Q152" s="765" t="s">
        <v>1642</v>
      </c>
      <c r="R152" s="728" t="s">
        <v>1643</v>
      </c>
      <c r="T152" s="664"/>
      <c r="U152" s="664"/>
      <c r="V152" s="664"/>
      <c r="W152" s="664"/>
      <c r="X152" s="664"/>
      <c r="Y152" s="664"/>
      <c r="Z152" s="664"/>
      <c r="AA152" s="638"/>
    </row>
    <row r="153" spans="1:27" ht="23.25" customHeight="1" x14ac:dyDescent="0.25">
      <c r="A153" s="1602"/>
      <c r="B153" s="1602"/>
      <c r="C153" s="809" t="str">
        <f>INDEX('Master sheet'!$A$1:$A$670,MATCH("A57",'Master sheet'!$AN$1:$AN$670,0))</f>
        <v>Hempcrete / Cast in-situ / IsoHemp / Europe / R 2.1/inch</v>
      </c>
      <c r="D153" s="293">
        <f>'USER INPUT SHEET'!$D$40</f>
        <v>0</v>
      </c>
      <c r="E153" s="294" t="str">
        <f>'USER INPUT SHEET'!$F$40</f>
        <v>m2</v>
      </c>
      <c r="F153" s="295">
        <v>1</v>
      </c>
      <c r="G153" s="810"/>
      <c r="H153" s="296"/>
      <c r="I153" s="297">
        <f t="shared" si="48"/>
        <v>0</v>
      </c>
      <c r="J153" s="298" t="str">
        <f t="shared" si="49"/>
        <v/>
      </c>
      <c r="K153" s="419">
        <f>$D153*($E$149/5.678)*$F153*VLOOKUP($C153,'Master sheet'!$A:$AL,13,FALSE)</f>
        <v>0</v>
      </c>
      <c r="L153" s="299">
        <f>$D153*($E$149/5.678)*$F153*VLOOKUP($C153,'Master sheet'!$A:$AL,27,FALSE)</f>
        <v>0</v>
      </c>
      <c r="M153" s="1552"/>
      <c r="N153" s="1552"/>
      <c r="O153" s="25" t="str">
        <f>_xlfn.IFNA(VLOOKUP($C153,'Master sheet'!$A:$AR,44,FALSE),"")&amp;""</f>
        <v/>
      </c>
      <c r="P153" s="637"/>
      <c r="Q153" s="765" t="s">
        <v>1642</v>
      </c>
      <c r="R153" s="728" t="s">
        <v>1643</v>
      </c>
      <c r="S153" s="624"/>
      <c r="T153" s="638"/>
      <c r="U153" s="638"/>
      <c r="V153" s="664"/>
      <c r="W153" s="664"/>
      <c r="X153" s="664"/>
      <c r="Y153" s="664"/>
      <c r="Z153" s="664"/>
      <c r="AA153" s="638"/>
    </row>
    <row r="154" spans="1:27" ht="31.2" x14ac:dyDescent="0.25">
      <c r="A154" s="1602"/>
      <c r="B154" s="1602"/>
      <c r="C154" s="809" t="str">
        <f>INDEX('Master sheet'!$A$1:$A$670,MATCH("A60",'Master sheet'!$AN$1:$AN$670,0))</f>
        <v xml:space="preserve">Hempcrete / Cast in-situ / Senini / Bio Beton Jet / 230 kg/m3 / R 2.7/inch </v>
      </c>
      <c r="D154" s="293">
        <f>'USER INPUT SHEET'!$D$40</f>
        <v>0</v>
      </c>
      <c r="E154" s="294" t="str">
        <f>'USER INPUT SHEET'!$F$40</f>
        <v>m2</v>
      </c>
      <c r="F154" s="295">
        <v>1</v>
      </c>
      <c r="G154" s="810"/>
      <c r="H154" s="296"/>
      <c r="I154" s="297">
        <f t="shared" si="48"/>
        <v>0</v>
      </c>
      <c r="J154" s="298" t="str">
        <f t="shared" si="49"/>
        <v/>
      </c>
      <c r="K154" s="419">
        <f>$D154*($E$149/5.678)*$F154*VLOOKUP($C154,'Master sheet'!$A:$AL,13,FALSE)</f>
        <v>0</v>
      </c>
      <c r="L154" s="299">
        <f>$D154*($E$149/5.678)*$F154*VLOOKUP($C154,'Master sheet'!$A:$AL,27,FALSE)</f>
        <v>0</v>
      </c>
      <c r="M154" s="1552"/>
      <c r="N154" s="1552"/>
      <c r="O154" s="25" t="str">
        <f>_xlfn.IFNA(VLOOKUP($C154,'Master sheet'!$A:$AR,44,FALSE),"")&amp;""</f>
        <v/>
      </c>
      <c r="P154" s="637"/>
      <c r="Q154" s="765" t="s">
        <v>1642</v>
      </c>
      <c r="R154" s="728" t="s">
        <v>1643</v>
      </c>
      <c r="S154" s="624"/>
      <c r="T154" s="638"/>
      <c r="U154" s="638"/>
      <c r="V154" s="664"/>
      <c r="W154" s="664"/>
      <c r="X154" s="664"/>
      <c r="Y154" s="664"/>
      <c r="Z154" s="664"/>
      <c r="AA154" s="638"/>
    </row>
    <row r="155" spans="1:27" ht="31.2" x14ac:dyDescent="0.25">
      <c r="A155" s="1602"/>
      <c r="B155" s="1602"/>
      <c r="C155" s="809" t="str">
        <f>INDEX('Master sheet'!$A$1:$A$670,MATCH("A58",'Master sheet'!$AN$1:$AN$670,0))</f>
        <v>Hempcrete block / Isohemp / Hemp Block PAL36EX including mortar / 600 x 300 x 360 mm  / R 2/inch</v>
      </c>
      <c r="D155" s="293">
        <f>'USER INPUT SHEET'!$D$40</f>
        <v>0</v>
      </c>
      <c r="E155" s="294" t="str">
        <f>'USER INPUT SHEET'!$F$40</f>
        <v>m2</v>
      </c>
      <c r="F155" s="295">
        <v>1</v>
      </c>
      <c r="G155" s="810"/>
      <c r="H155" s="296"/>
      <c r="I155" s="297">
        <f t="shared" si="48"/>
        <v>0</v>
      </c>
      <c r="J155" s="298" t="str">
        <f t="shared" si="49"/>
        <v/>
      </c>
      <c r="K155" s="419">
        <f>$D155*($E$149/5.678)*$F155*VLOOKUP($C155,'Master sheet'!$A:$AL,13,FALSE)</f>
        <v>0</v>
      </c>
      <c r="L155" s="299">
        <f>$D155*($E$149/5.678)*$F155*VLOOKUP($C155,'Master sheet'!$A:$AL,27,FALSE)</f>
        <v>0</v>
      </c>
      <c r="M155" s="1552"/>
      <c r="N155" s="1552"/>
      <c r="O155" s="25" t="str">
        <f>_xlfn.IFNA(VLOOKUP($C155,'Master sheet'!$A:$AR,44,FALSE),"")&amp;""</f>
        <v/>
      </c>
      <c r="P155" s="637"/>
      <c r="Q155" s="765" t="s">
        <v>1642</v>
      </c>
      <c r="R155" s="728" t="s">
        <v>1643</v>
      </c>
      <c r="S155" s="624"/>
      <c r="T155" s="638"/>
      <c r="U155" s="638"/>
      <c r="V155" s="664"/>
      <c r="W155" s="664"/>
      <c r="X155" s="664"/>
      <c r="Y155" s="664"/>
      <c r="Z155" s="664"/>
      <c r="AA155" s="638"/>
    </row>
    <row r="156" spans="1:27" ht="31.2" x14ac:dyDescent="0.25">
      <c r="A156" s="1602"/>
      <c r="B156" s="1602"/>
      <c r="C156" s="809" t="str">
        <f>INDEX('Master sheet'!$A$1:$A$670,MATCH("A59",'Master sheet'!$AN$1:$AN$670,0))</f>
        <v>Hempcrete block / Senini / Blocco Ambiente / 200 x 500 x 300 mm / 330 kg/m3 / R 2.1/inch</v>
      </c>
      <c r="D156" s="293">
        <f>'USER INPUT SHEET'!$D$40</f>
        <v>0</v>
      </c>
      <c r="E156" s="294" t="str">
        <f>'USER INPUT SHEET'!$F$40</f>
        <v>m2</v>
      </c>
      <c r="F156" s="295">
        <v>1</v>
      </c>
      <c r="G156" s="810"/>
      <c r="H156" s="296"/>
      <c r="I156" s="297">
        <f t="shared" si="48"/>
        <v>0</v>
      </c>
      <c r="J156" s="298" t="str">
        <f t="shared" si="49"/>
        <v/>
      </c>
      <c r="K156" s="419">
        <f>$D156*($E$149/5.678)*$F156*VLOOKUP($C156,'Master sheet'!$A:$AL,13,FALSE)</f>
        <v>0</v>
      </c>
      <c r="L156" s="299">
        <f>$D156*($E$149/5.678)*$F156*VLOOKUP($C156,'Master sheet'!$A:$AL,27,FALSE)</f>
        <v>0</v>
      </c>
      <c r="M156" s="1552"/>
      <c r="N156" s="1552"/>
      <c r="O156" s="25" t="str">
        <f>_xlfn.IFNA(VLOOKUP($C156,'Master sheet'!$A:$AR,44,FALSE),"")&amp;""</f>
        <v/>
      </c>
      <c r="P156" s="637"/>
      <c r="Q156" s="765" t="s">
        <v>1642</v>
      </c>
      <c r="R156" s="728" t="s">
        <v>1643</v>
      </c>
      <c r="S156" s="624"/>
      <c r="T156" s="638"/>
      <c r="U156" s="638"/>
      <c r="V156" s="664"/>
      <c r="W156" s="664"/>
      <c r="X156" s="664"/>
      <c r="Y156" s="664"/>
      <c r="Z156" s="664"/>
      <c r="AA156" s="638"/>
    </row>
    <row r="157" spans="1:27" s="624" customFormat="1" ht="31.2" x14ac:dyDescent="0.25">
      <c r="A157" s="1627"/>
      <c r="B157" s="1627"/>
      <c r="C157" s="809" t="str">
        <f>INDEX('Master sheet'!$A$1:$A$670,MATCH("A61",'Master sheet'!$AN$1:$AN$670,0))</f>
        <v xml:space="preserve">Hempcrete dry fill / Senini / Bio Beton Pronto / 190 kg/m3 / R 2.7/inch </v>
      </c>
      <c r="D157" s="293">
        <f>'USER INPUT SHEET'!$D$40</f>
        <v>0</v>
      </c>
      <c r="E157" s="294" t="str">
        <f>'USER INPUT SHEET'!$F$40</f>
        <v>m2</v>
      </c>
      <c r="F157" s="295">
        <v>1</v>
      </c>
      <c r="G157" s="810"/>
      <c r="H157" s="296"/>
      <c r="I157" s="297">
        <f t="shared" si="48"/>
        <v>0</v>
      </c>
      <c r="J157" s="298" t="str">
        <f t="shared" si="49"/>
        <v/>
      </c>
      <c r="K157" s="419">
        <f>$D157*($E$149/5.678)*$F157*VLOOKUP($C157,'Master sheet'!$A:$AL,13,FALSE)</f>
        <v>0</v>
      </c>
      <c r="L157" s="299">
        <f>$D157*($E$149/5.678)*$F157*VLOOKUP($C157,'Master sheet'!$A:$AL,27,FALSE)</f>
        <v>0</v>
      </c>
      <c r="M157" s="1552"/>
      <c r="N157" s="1552"/>
      <c r="O157" s="25" t="str">
        <f>_xlfn.IFNA(VLOOKUP($C157,'Master sheet'!$A:$AR,44,FALSE),"")&amp;""</f>
        <v/>
      </c>
      <c r="P157" s="637"/>
      <c r="Q157" s="765" t="s">
        <v>1642</v>
      </c>
      <c r="R157" s="728" t="s">
        <v>1643</v>
      </c>
      <c r="T157" s="638"/>
      <c r="U157" s="638"/>
      <c r="V157" s="638"/>
      <c r="W157" s="638"/>
      <c r="X157" s="638"/>
      <c r="Y157" s="638"/>
      <c r="Z157" s="638"/>
      <c r="AA157" s="664"/>
    </row>
    <row r="158" spans="1:27" s="624" customFormat="1" ht="54.75" customHeight="1" x14ac:dyDescent="0.25">
      <c r="A158" s="1522" t="s">
        <v>4780</v>
      </c>
      <c r="B158" s="1523"/>
      <c r="C158" s="1523"/>
      <c r="D158" s="629" t="str">
        <f>IF(LOWER(Setting!rng_language)="english","R-VALUE:","VALEUR R :")</f>
        <v>R-VALUE:</v>
      </c>
      <c r="E158" s="1"/>
      <c r="F158" s="323"/>
      <c r="G158" s="650"/>
      <c r="H158" s="650"/>
      <c r="I158" s="651"/>
      <c r="J158" s="103" t="str">
        <f t="shared" ref="J158:J191" si="50">IF(H158=1,I158,"")</f>
        <v/>
      </c>
      <c r="K158" s="652"/>
      <c r="L158" s="759"/>
      <c r="M158" s="759"/>
      <c r="N158" s="759"/>
      <c r="O158" s="25" t="str">
        <f>_xlfn.IFNA(VLOOKUP($C158,'Master sheet'!$A:$AR,44,FALSE),"")&amp;""</f>
        <v/>
      </c>
      <c r="P158" s="637"/>
      <c r="Q158" s="761"/>
      <c r="R158" s="728"/>
      <c r="T158" s="638"/>
      <c r="U158" s="638"/>
      <c r="V158" s="638"/>
      <c r="W158" s="638"/>
      <c r="X158" s="638"/>
      <c r="Y158" s="638"/>
      <c r="Z158" s="638"/>
      <c r="AA158" s="619"/>
    </row>
    <row r="159" spans="1:27" s="624" customFormat="1" ht="22.8" x14ac:dyDescent="0.25">
      <c r="A159" s="639"/>
      <c r="B159" s="1524" t="s">
        <v>1024</v>
      </c>
      <c r="C159" s="1523"/>
      <c r="D159" s="687" t="str">
        <f>IF(LOWER(Setting!rng_language)="english","R-VALUE:","VALEUR R :")</f>
        <v>R-VALUE:</v>
      </c>
      <c r="E159" s="1"/>
      <c r="F159" s="325"/>
      <c r="G159" s="678"/>
      <c r="H159" s="679"/>
      <c r="I159" s="642"/>
      <c r="J159" s="643"/>
      <c r="K159" s="676"/>
      <c r="L159" s="727"/>
      <c r="M159" s="727"/>
      <c r="N159" s="727"/>
      <c r="O159" s="25" t="str">
        <f>_xlfn.IFNA(VLOOKUP($C159,'Master sheet'!$A:$AR,44,FALSE),"")&amp;""</f>
        <v/>
      </c>
      <c r="P159" s="685"/>
      <c r="Q159" s="728"/>
      <c r="R159" s="728"/>
      <c r="T159" s="638"/>
      <c r="U159" s="638"/>
      <c r="V159" s="638"/>
      <c r="W159" s="638"/>
      <c r="X159" s="638"/>
      <c r="Y159" s="638"/>
      <c r="Z159" s="638"/>
      <c r="AA159" s="619"/>
    </row>
    <row r="160" spans="1:27" ht="22.8" x14ac:dyDescent="0.25">
      <c r="A160" s="729"/>
      <c r="B160" s="729"/>
      <c r="C160" s="691" t="s">
        <v>1051</v>
      </c>
      <c r="D160" s="19">
        <f>'USER INPUT SHEET'!$D$40</f>
        <v>0</v>
      </c>
      <c r="E160" s="20" t="str">
        <f>'USER INPUT SHEET'!$F$40</f>
        <v>m2</v>
      </c>
      <c r="F160" s="6">
        <v>1</v>
      </c>
      <c r="G160" s="692"/>
      <c r="H160" s="10"/>
      <c r="I160" s="98">
        <f>K160-L160</f>
        <v>0</v>
      </c>
      <c r="J160" s="91" t="str">
        <f>IF(H160=1,I160,"")</f>
        <v/>
      </c>
      <c r="K160" s="410">
        <f>F160*AVERAGE(K161:K168)</f>
        <v>0</v>
      </c>
      <c r="L160" s="99">
        <f>F160*AVERAGE(L161:L168)</f>
        <v>0</v>
      </c>
      <c r="M160" s="1552"/>
      <c r="N160" s="1552"/>
      <c r="O160" s="25" t="str">
        <f>_xlfn.IFNA(VLOOKUP($C160,'Master sheet'!$A:$AR,44,FALSE),"")&amp;""</f>
        <v/>
      </c>
      <c r="P160" s="685"/>
      <c r="Q160" s="765" t="s">
        <v>1642</v>
      </c>
      <c r="R160" s="728" t="s">
        <v>1643</v>
      </c>
      <c r="S160" s="664"/>
      <c r="T160" s="664"/>
      <c r="U160" s="664"/>
      <c r="V160" s="664"/>
      <c r="W160" s="664"/>
      <c r="X160" s="664"/>
      <c r="Y160" s="664"/>
      <c r="Z160" s="664"/>
    </row>
    <row r="161" spans="1:26" ht="31.5" customHeight="1" x14ac:dyDescent="0.25">
      <c r="A161" s="1600"/>
      <c r="B161" s="1564"/>
      <c r="C161" s="673" t="str">
        <f>INDEX('Master sheet'!$A$1:$A$670,MATCH("A28",'Master sheet'!$AN$1:$AN$670,0))</f>
        <v>EPS foam board / EPS Industry Alliance /  / R 3.6/inch, Type I, 10 psi (70 kPa)</v>
      </c>
      <c r="D161" s="17">
        <f>'USER INPUT SHEET'!$D$40</f>
        <v>0</v>
      </c>
      <c r="E161" s="18" t="str">
        <f>'USER INPUT SHEET'!$F$40</f>
        <v>m2</v>
      </c>
      <c r="F161" s="4">
        <v>1</v>
      </c>
      <c r="G161" s="674"/>
      <c r="H161" s="9"/>
      <c r="I161" s="95">
        <f t="shared" ref="I161:I167" si="51">K161-L161</f>
        <v>0</v>
      </c>
      <c r="J161" s="96" t="str">
        <f t="shared" ref="J161:J167" si="52">IF(H161=1,I161,"")</f>
        <v/>
      </c>
      <c r="K161" s="407">
        <f>$D161*($E$159/5.678)*$F161*VLOOKUP($C161,'Master sheet'!$A:$AL,13,FALSE)</f>
        <v>0</v>
      </c>
      <c r="L161" s="97">
        <f>$D161*($E$159/5.678)*$F161*VLOOKUP($C161,'Master sheet'!$A:$AL,27,FALSE)</f>
        <v>0</v>
      </c>
      <c r="M161" s="1552"/>
      <c r="N161" s="1552"/>
      <c r="O161" s="25" t="str">
        <f>_xlfn.IFNA(VLOOKUP($C161,'Master sheet'!$A:$AR,44,FALSE),"")&amp;""</f>
        <v/>
      </c>
      <c r="Q161" s="765" t="s">
        <v>1642</v>
      </c>
      <c r="R161" s="728" t="s">
        <v>1643</v>
      </c>
      <c r="T161" s="664"/>
      <c r="U161" s="664"/>
      <c r="V161" s="664"/>
      <c r="W161" s="664"/>
      <c r="X161" s="664"/>
      <c r="Y161" s="664"/>
      <c r="Z161" s="664"/>
    </row>
    <row r="162" spans="1:26" ht="31.5" customHeight="1" x14ac:dyDescent="0.25">
      <c r="A162" s="1600"/>
      <c r="B162" s="1564"/>
      <c r="C162" s="673" t="str">
        <f>INDEX('Master sheet'!$A$1:$A$670,MATCH("A29",'Master sheet'!$AN$1:$AN$670,0))</f>
        <v>EPS foam board / EPS Industry Alliance /  / R 4.0/inch, Type II, 15 psi (100 kPa)</v>
      </c>
      <c r="D162" s="17">
        <f>'USER INPUT SHEET'!$D$40</f>
        <v>0</v>
      </c>
      <c r="E162" s="18" t="str">
        <f>'USER INPUT SHEET'!$F$40</f>
        <v>m2</v>
      </c>
      <c r="F162" s="4">
        <v>1</v>
      </c>
      <c r="G162" s="674"/>
      <c r="H162" s="9"/>
      <c r="I162" s="95">
        <f t="shared" si="51"/>
        <v>0</v>
      </c>
      <c r="J162" s="96" t="str">
        <f t="shared" si="52"/>
        <v/>
      </c>
      <c r="K162" s="407">
        <f>$D162*($E$159/5.678)*$F162*VLOOKUP($C162,'Master sheet'!$A:$AL,13,FALSE)</f>
        <v>0</v>
      </c>
      <c r="L162" s="97">
        <f>$D162*($E$159/5.678)*$F162*VLOOKUP($C162,'Master sheet'!$A:$AL,27,FALSE)</f>
        <v>0</v>
      </c>
      <c r="M162" s="1552"/>
      <c r="N162" s="1552"/>
      <c r="O162" s="25" t="str">
        <f>_xlfn.IFNA(VLOOKUP($C162,'Master sheet'!$A:$AR,44,FALSE),"")&amp;""</f>
        <v/>
      </c>
      <c r="Q162" s="765" t="s">
        <v>1642</v>
      </c>
      <c r="R162" s="728" t="s">
        <v>1643</v>
      </c>
      <c r="T162" s="664"/>
      <c r="U162" s="664"/>
      <c r="V162" s="664"/>
      <c r="W162" s="664"/>
      <c r="X162" s="664"/>
      <c r="Y162" s="664"/>
      <c r="Z162" s="664"/>
    </row>
    <row r="163" spans="1:26" ht="31.5" customHeight="1" x14ac:dyDescent="0.25">
      <c r="A163" s="1600"/>
      <c r="B163" s="1564"/>
      <c r="C163" s="673" t="str">
        <f>INDEX('Master sheet'!$A$1:$A$670,MATCH("A30",'Master sheet'!$AN$1:$AN$670,0))</f>
        <v>EPS foam board / EPS Industry Alliance /  / R 4.2/inch, Type IX, 25 psi (170 kPa)</v>
      </c>
      <c r="D163" s="17">
        <f>'USER INPUT SHEET'!$D$40</f>
        <v>0</v>
      </c>
      <c r="E163" s="18" t="str">
        <f>'USER INPUT SHEET'!$F$40</f>
        <v>m2</v>
      </c>
      <c r="F163" s="4">
        <v>1</v>
      </c>
      <c r="G163" s="674"/>
      <c r="H163" s="9"/>
      <c r="I163" s="95">
        <f t="shared" si="51"/>
        <v>0</v>
      </c>
      <c r="J163" s="96" t="str">
        <f t="shared" si="52"/>
        <v/>
      </c>
      <c r="K163" s="407">
        <f>$D163*($E$159/5.678)*$F163*VLOOKUP($C163,'Master sheet'!$A:$AL,13,FALSE)</f>
        <v>0</v>
      </c>
      <c r="L163" s="97">
        <f>$D163*($E$159/5.678)*$F163*VLOOKUP($C163,'Master sheet'!$A:$AL,27,FALSE)</f>
        <v>0</v>
      </c>
      <c r="M163" s="1552"/>
      <c r="N163" s="1552"/>
      <c r="O163" s="25" t="str">
        <f>_xlfn.IFNA(VLOOKUP($C163,'Master sheet'!$A:$AR,44,FALSE),"")&amp;""</f>
        <v/>
      </c>
      <c r="Q163" s="765" t="s">
        <v>1642</v>
      </c>
      <c r="R163" s="728" t="s">
        <v>1643</v>
      </c>
      <c r="T163" s="664"/>
      <c r="U163" s="664"/>
      <c r="V163" s="664"/>
      <c r="W163" s="664"/>
      <c r="X163" s="664"/>
      <c r="Y163" s="664"/>
      <c r="Z163" s="664"/>
    </row>
    <row r="164" spans="1:26" ht="31.5" customHeight="1" x14ac:dyDescent="0.25">
      <c r="A164" s="1600"/>
      <c r="B164" s="1564"/>
      <c r="C164" s="673" t="str">
        <f>INDEX('Master sheet'!$A$1:$A$670,MATCH("A31",'Master sheet'!$AN$1:$AN$670,0))</f>
        <v>EPS foam board / EPS Industry Alliance /  / R 4.3/inch, Type XV, 60 psi (400 kPa)</v>
      </c>
      <c r="D164" s="17">
        <f>'USER INPUT SHEET'!$D$40</f>
        <v>0</v>
      </c>
      <c r="E164" s="18" t="str">
        <f>'USER INPUT SHEET'!$F$40</f>
        <v>m2</v>
      </c>
      <c r="F164" s="4">
        <v>1</v>
      </c>
      <c r="G164" s="674"/>
      <c r="H164" s="9"/>
      <c r="I164" s="95">
        <f t="shared" si="51"/>
        <v>0</v>
      </c>
      <c r="J164" s="96" t="str">
        <f t="shared" si="52"/>
        <v/>
      </c>
      <c r="K164" s="407">
        <f>$D164*($E$159/5.678)*$F164*VLOOKUP($C164,'Master sheet'!$A:$AL,13,FALSE)</f>
        <v>0</v>
      </c>
      <c r="L164" s="97">
        <f>$D164*($E$159/5.678)*$F164*VLOOKUP($C164,'Master sheet'!$A:$AL,27,FALSE)</f>
        <v>0</v>
      </c>
      <c r="M164" s="1552"/>
      <c r="N164" s="1552"/>
      <c r="O164" s="25" t="str">
        <f>_xlfn.IFNA(VLOOKUP($C164,'Master sheet'!$A:$AR,44,FALSE),"")&amp;""</f>
        <v/>
      </c>
      <c r="Q164" s="765" t="s">
        <v>1642</v>
      </c>
      <c r="R164" s="728" t="s">
        <v>1643</v>
      </c>
      <c r="T164" s="664"/>
      <c r="U164" s="664"/>
      <c r="V164" s="664"/>
      <c r="W164" s="664"/>
      <c r="X164" s="664"/>
      <c r="Y164" s="664"/>
      <c r="Z164" s="664"/>
    </row>
    <row r="165" spans="1:26" ht="31.5" customHeight="1" x14ac:dyDescent="0.25">
      <c r="A165" s="1600"/>
      <c r="B165" s="1564"/>
      <c r="C165" s="673" t="str">
        <f>INDEX('Master sheet'!$A$1:$A$670,MATCH("A33",'Master sheet'!$AN$1:$AN$670,0))</f>
        <v>EPS foam board with graphite / BASF  / Neopor F 5200 &amp; F 5300 Plus BMB / R 4.7/inch, Type II, 15 psi (Type 2, 110 kPa)</v>
      </c>
      <c r="D165" s="17">
        <f>'USER INPUT SHEET'!$D$40</f>
        <v>0</v>
      </c>
      <c r="E165" s="18" t="str">
        <f>'USER INPUT SHEET'!$F$40</f>
        <v>m2</v>
      </c>
      <c r="F165" s="4">
        <v>1</v>
      </c>
      <c r="G165" s="674"/>
      <c r="H165" s="9"/>
      <c r="I165" s="95">
        <f t="shared" si="51"/>
        <v>0</v>
      </c>
      <c r="J165" s="96" t="str">
        <f t="shared" si="52"/>
        <v/>
      </c>
      <c r="K165" s="407">
        <f>$D165*($E$159/5.678)*$F165*VLOOKUP($C165,'Master sheet'!$A:$AL,13,FALSE)</f>
        <v>0</v>
      </c>
      <c r="L165" s="97">
        <f>$D165*($E$159/5.678)*$F165*VLOOKUP($C165,'Master sheet'!$A:$AL,27,FALSE)</f>
        <v>0</v>
      </c>
      <c r="M165" s="1552"/>
      <c r="N165" s="1552"/>
      <c r="O165" s="25" t="str">
        <f>_xlfn.IFNA(VLOOKUP($C165,'Master sheet'!$A:$AR,44,FALSE),"")&amp;""</f>
        <v/>
      </c>
      <c r="Q165" s="765" t="s">
        <v>1642</v>
      </c>
      <c r="R165" s="728" t="s">
        <v>1643</v>
      </c>
      <c r="T165" s="664"/>
      <c r="U165" s="664"/>
      <c r="V165" s="664"/>
      <c r="W165" s="664"/>
      <c r="X165" s="664"/>
      <c r="Y165" s="664"/>
      <c r="Z165" s="664"/>
    </row>
    <row r="166" spans="1:26" ht="31.5" customHeight="1" x14ac:dyDescent="0.25">
      <c r="A166" s="1600"/>
      <c r="B166" s="1564"/>
      <c r="C166" s="673" t="str">
        <f>INDEX('Master sheet'!$A$1:$A$670,MATCH("A34",'Master sheet'!$AN$1:$AN$670,0))</f>
        <v>EPS foam board with graphite / BASF  / Neopor F 5200 &amp; F 5300 Plus BMB / R 4.7/inch, Type IX, 25 psi (Type 9, 175 kPa)</v>
      </c>
      <c r="D166" s="17">
        <f>'USER INPUT SHEET'!$D$40</f>
        <v>0</v>
      </c>
      <c r="E166" s="18" t="str">
        <f>'USER INPUT SHEET'!$F$40</f>
        <v>m2</v>
      </c>
      <c r="F166" s="4">
        <v>1</v>
      </c>
      <c r="G166" s="674"/>
      <c r="H166" s="9"/>
      <c r="I166" s="95">
        <f t="shared" si="51"/>
        <v>0</v>
      </c>
      <c r="J166" s="96" t="str">
        <f t="shared" si="52"/>
        <v/>
      </c>
      <c r="K166" s="407">
        <f>$D166*($E$159/5.678)*$F166*VLOOKUP($C166,'Master sheet'!$A:$AL,13,FALSE)</f>
        <v>0</v>
      </c>
      <c r="L166" s="97">
        <f>$D166*($E$159/5.678)*$F166*VLOOKUP($C166,'Master sheet'!$A:$AL,27,FALSE)</f>
        <v>0</v>
      </c>
      <c r="M166" s="1552"/>
      <c r="N166" s="1552"/>
      <c r="O166" s="25" t="str">
        <f>_xlfn.IFNA(VLOOKUP($C166,'Master sheet'!$A:$AR,44,FALSE),"")&amp;""</f>
        <v/>
      </c>
      <c r="Q166" s="765" t="s">
        <v>1642</v>
      </c>
      <c r="R166" s="728" t="s">
        <v>1643</v>
      </c>
      <c r="T166" s="664"/>
      <c r="U166" s="664"/>
      <c r="V166" s="664"/>
      <c r="W166" s="664"/>
      <c r="X166" s="664"/>
      <c r="Y166" s="664"/>
      <c r="Z166" s="664"/>
    </row>
    <row r="167" spans="1:26" ht="31.5" customHeight="1" x14ac:dyDescent="0.25">
      <c r="A167" s="1600"/>
      <c r="B167" s="1564"/>
      <c r="C167" s="673" t="str">
        <f>INDEX('Master sheet'!$A$1:$A$670,MATCH("A32",'Master sheet'!$AN$1:$AN$670,0))</f>
        <v>EPS foam board with graphite / BASF  / Neopor F 5200 Plus / R 4.7-inch, Type IX, 25 psi</v>
      </c>
      <c r="D167" s="17">
        <f>'USER INPUT SHEET'!$D$40</f>
        <v>0</v>
      </c>
      <c r="E167" s="18" t="str">
        <f>'USER INPUT SHEET'!$F$40</f>
        <v>m2</v>
      </c>
      <c r="F167" s="4">
        <v>1</v>
      </c>
      <c r="G167" s="674"/>
      <c r="H167" s="9"/>
      <c r="I167" s="95">
        <f t="shared" si="51"/>
        <v>0</v>
      </c>
      <c r="J167" s="96" t="str">
        <f t="shared" si="52"/>
        <v/>
      </c>
      <c r="K167" s="407">
        <f>$D167*($E$159/5.678)*$F167*VLOOKUP($C167,'Master sheet'!$A:$AL,13,FALSE)</f>
        <v>0</v>
      </c>
      <c r="L167" s="97">
        <f>$D167*($E$159/5.678)*$F167*VLOOKUP($C167,'Master sheet'!$A:$AL,27,FALSE)</f>
        <v>0</v>
      </c>
      <c r="M167" s="1552"/>
      <c r="N167" s="1552"/>
      <c r="O167" s="25" t="str">
        <f>_xlfn.IFNA(VLOOKUP($C167,'Master sheet'!$A:$AR,44,FALSE),"")&amp;""</f>
        <v/>
      </c>
      <c r="Q167" s="765" t="s">
        <v>1642</v>
      </c>
      <c r="R167" s="728" t="s">
        <v>1643</v>
      </c>
      <c r="T167" s="664"/>
      <c r="U167" s="664"/>
      <c r="V167" s="664"/>
      <c r="W167" s="664"/>
      <c r="X167" s="664"/>
      <c r="Y167" s="664"/>
      <c r="Z167" s="664"/>
    </row>
    <row r="168" spans="1:26" s="624" customFormat="1" ht="31.5" customHeight="1" x14ac:dyDescent="0.25">
      <c r="A168" s="1564"/>
      <c r="B168" s="1564"/>
      <c r="C168" s="673" t="str">
        <f>INDEX('Master sheet'!$A$1:$A$670,MATCH("A35",'Master sheet'!$AN$1:$AN$670,0))</f>
        <v>EPS foam board with graphite / BASF / Neopor F 5200 Plus / R 4.7/inch, Type II, 15 psi (Type 2, 110 kPa)</v>
      </c>
      <c r="D168" s="17">
        <f>'USER INPUT SHEET'!$D$40</f>
        <v>0</v>
      </c>
      <c r="E168" s="18" t="str">
        <f>'USER INPUT SHEET'!$F$40</f>
        <v>m2</v>
      </c>
      <c r="F168" s="4">
        <v>1</v>
      </c>
      <c r="G168" s="674"/>
      <c r="H168" s="9"/>
      <c r="I168" s="95">
        <f t="shared" ref="I168:I191" si="53">K168-L168</f>
        <v>0</v>
      </c>
      <c r="J168" s="96" t="str">
        <f t="shared" si="50"/>
        <v/>
      </c>
      <c r="K168" s="407">
        <f>$D168*($E$159/5.678)*$F168*VLOOKUP($C168,'Master sheet'!$A:$AL,13,FALSE)</f>
        <v>0</v>
      </c>
      <c r="L168" s="97">
        <f>$D168*($E$159/5.678)*$F168*VLOOKUP($C168,'Master sheet'!$A:$AL,27,FALSE)</f>
        <v>0</v>
      </c>
      <c r="M168" s="1610"/>
      <c r="N168" s="1610"/>
      <c r="O168" s="25" t="str">
        <f>_xlfn.IFNA(VLOOKUP($C168,'Master sheet'!$A:$AR,44,FALSE),"")&amp;""</f>
        <v/>
      </c>
      <c r="P168" s="685"/>
      <c r="Q168" s="765" t="s">
        <v>1642</v>
      </c>
      <c r="R168" s="728" t="s">
        <v>1643</v>
      </c>
      <c r="T168" s="638"/>
      <c r="U168" s="638"/>
      <c r="V168" s="638"/>
      <c r="W168" s="638"/>
      <c r="X168" s="638"/>
      <c r="Y168" s="638"/>
      <c r="Z168" s="638"/>
    </row>
    <row r="169" spans="1:26" s="624" customFormat="1" ht="22.8" x14ac:dyDescent="0.25">
      <c r="A169" s="639"/>
      <c r="B169" s="1524" t="s">
        <v>1035</v>
      </c>
      <c r="C169" s="1523"/>
      <c r="D169" s="687" t="str">
        <f>IF(LOWER(Setting!rng_language)="english","R-VALUE:","VALEUR R :")</f>
        <v>R-VALUE:</v>
      </c>
      <c r="E169" s="1"/>
      <c r="F169" s="325"/>
      <c r="G169" s="678"/>
      <c r="H169" s="679"/>
      <c r="I169" s="642"/>
      <c r="J169" s="643"/>
      <c r="K169" s="676"/>
      <c r="L169" s="727"/>
      <c r="M169" s="727"/>
      <c r="N169" s="727"/>
      <c r="O169" s="25" t="str">
        <f>_xlfn.IFNA(VLOOKUP($C169,'Master sheet'!$A:$AR,44,FALSE),"")&amp;""</f>
        <v/>
      </c>
      <c r="P169" s="637"/>
      <c r="Q169" s="728"/>
      <c r="R169" s="728"/>
      <c r="T169" s="638"/>
      <c r="U169" s="638"/>
      <c r="V169" s="638"/>
      <c r="W169" s="638"/>
      <c r="X169" s="638"/>
      <c r="Y169" s="638"/>
      <c r="Z169" s="638"/>
    </row>
    <row r="170" spans="1:26" ht="22.8" x14ac:dyDescent="0.25">
      <c r="A170" s="729"/>
      <c r="B170" s="729"/>
      <c r="C170" s="691" t="s">
        <v>1355</v>
      </c>
      <c r="D170" s="19">
        <f>'USER INPUT SHEET'!$D$40</f>
        <v>0</v>
      </c>
      <c r="E170" s="20" t="str">
        <f>'USER INPUT SHEET'!$F$40</f>
        <v>m2</v>
      </c>
      <c r="F170" s="6">
        <v>1</v>
      </c>
      <c r="G170" s="692"/>
      <c r="H170" s="10"/>
      <c r="I170" s="98">
        <f>K170-L170</f>
        <v>0</v>
      </c>
      <c r="J170" s="91" t="str">
        <f>IF(H170=1,I170,"")</f>
        <v/>
      </c>
      <c r="K170" s="410">
        <f>F170*AVERAGE(K171:K179)</f>
        <v>0</v>
      </c>
      <c r="L170" s="99">
        <f>F170*AVERAGE(L171:L179)</f>
        <v>0</v>
      </c>
      <c r="M170" s="1552"/>
      <c r="N170" s="1552"/>
      <c r="O170" s="25" t="str">
        <f>_xlfn.IFNA(VLOOKUP($C170,'Master sheet'!$A:$AR,44,FALSE),"")&amp;""</f>
        <v/>
      </c>
      <c r="P170" s="637"/>
      <c r="Q170" s="765" t="s">
        <v>1642</v>
      </c>
      <c r="R170" s="728" t="s">
        <v>1643</v>
      </c>
      <c r="S170" s="664"/>
      <c r="T170" s="664"/>
      <c r="U170" s="664"/>
      <c r="V170" s="664"/>
      <c r="W170" s="664"/>
      <c r="X170" s="664"/>
      <c r="Y170" s="664"/>
      <c r="Z170" s="664"/>
    </row>
    <row r="171" spans="1:26" ht="22.8" x14ac:dyDescent="0.25">
      <c r="A171" s="1564"/>
      <c r="B171" s="1564"/>
      <c r="C171" s="669" t="str">
        <f>INDEX('Master sheet'!$A$1:$A$670,MATCH(243,'Master sheet'!$AN$1:$AN$670,0))</f>
        <v>Wood fiber board / GUTEX / Multi-Therm / R 3.6/inch, 40-200 mm</v>
      </c>
      <c r="D171" s="15">
        <f>'USER INPUT SHEET'!$D$40</f>
        <v>0</v>
      </c>
      <c r="E171" s="16" t="str">
        <f>'USER INPUT SHEET'!$F$40</f>
        <v>m2</v>
      </c>
      <c r="F171" s="3">
        <v>1</v>
      </c>
      <c r="G171" s="670"/>
      <c r="H171" s="8"/>
      <c r="I171" s="92">
        <f t="shared" si="53"/>
        <v>0</v>
      </c>
      <c r="J171" s="93" t="str">
        <f t="shared" si="50"/>
        <v/>
      </c>
      <c r="K171" s="406">
        <f>$D171*($E$169/5.678)*$F171*VLOOKUP($C171,'Master sheet'!$A:$AL,13,FALSE)</f>
        <v>0</v>
      </c>
      <c r="L171" s="94">
        <f>$D171*($E$169/5.678)*$F171*VLOOKUP($C171,'Master sheet'!$A:$AL,27,FALSE)</f>
        <v>0</v>
      </c>
      <c r="M171" s="1552"/>
      <c r="N171" s="1552"/>
      <c r="O171" s="25" t="str">
        <f ca="1">_xlfn.IFNA(VLOOKUP($C171,'Master sheet'!$A:$AR,44,FALSE),"")&amp;""</f>
        <v>Expired 2025</v>
      </c>
      <c r="P171" s="685"/>
      <c r="Q171" s="765" t="s">
        <v>1642</v>
      </c>
      <c r="R171" s="728" t="s">
        <v>1643</v>
      </c>
      <c r="T171" s="664"/>
      <c r="U171" s="664"/>
      <c r="V171" s="664"/>
      <c r="W171" s="664"/>
      <c r="X171" s="664"/>
      <c r="Y171" s="664"/>
      <c r="Z171" s="664"/>
    </row>
    <row r="172" spans="1:26" ht="31.2" x14ac:dyDescent="0.25">
      <c r="A172" s="1564"/>
      <c r="B172" s="1564"/>
      <c r="C172" s="673" t="str">
        <f>INDEX('Master sheet'!$A$1:$A$670,MATCH(397,'Master sheet'!$AN$1:$AN$670,0))</f>
        <v>Wood fiber board / North American Fiberboard Association / Includes: MSL, Blue Ridge Fiberboard Inc. / R 2.7/inch</v>
      </c>
      <c r="D172" s="17">
        <f>'USER INPUT SHEET'!$D$40</f>
        <v>0</v>
      </c>
      <c r="E172" s="18" t="str">
        <f>'USER INPUT SHEET'!$F$40</f>
        <v>m2</v>
      </c>
      <c r="F172" s="4">
        <v>1</v>
      </c>
      <c r="G172" s="674"/>
      <c r="H172" s="9"/>
      <c r="I172" s="95">
        <f t="shared" ref="I172:I178" si="54">K172-L172</f>
        <v>0</v>
      </c>
      <c r="J172" s="96" t="str">
        <f t="shared" ref="J172:J178" si="55">IF(H172=1,I172,"")</f>
        <v/>
      </c>
      <c r="K172" s="407">
        <f>$D172*($E$169/5.678)*$F172*VLOOKUP($C172,'Master sheet'!$A:$AL,13,FALSE)</f>
        <v>0</v>
      </c>
      <c r="L172" s="97">
        <f>$D172*($E$169/5.678)*$F172*VLOOKUP($C172,'Master sheet'!$A:$AL,27,FALSE)</f>
        <v>0</v>
      </c>
      <c r="M172" s="1552"/>
      <c r="N172" s="1552"/>
      <c r="O172" s="25" t="str">
        <f ca="1">_xlfn.IFNA(VLOOKUP($C172,'Master sheet'!$A:$AR,44,FALSE),"")&amp;""</f>
        <v/>
      </c>
      <c r="P172" s="637"/>
      <c r="Q172" s="765" t="s">
        <v>1642</v>
      </c>
      <c r="R172" s="728" t="s">
        <v>1643</v>
      </c>
      <c r="S172" s="624"/>
      <c r="T172" s="638"/>
      <c r="U172" s="664"/>
      <c r="V172" s="664"/>
      <c r="W172" s="664"/>
      <c r="X172" s="664"/>
      <c r="Y172" s="664"/>
      <c r="Z172" s="664"/>
    </row>
    <row r="173" spans="1:26" ht="31.2" x14ac:dyDescent="0.25">
      <c r="A173" s="1564"/>
      <c r="B173" s="1564"/>
      <c r="C173" s="673" t="str">
        <f>INDEX('Master sheet'!$A$1:$A$670,MATCH("A123",'Master sheet'!$AN$1:$AN$670,0))</f>
        <v>Wood fiber board / Pavatex / Isolair, Isoroof, Isolair Multi / R 3.3-inch / 200 kg/m3, 30-80 mm</v>
      </c>
      <c r="D173" s="17">
        <f>'USER INPUT SHEET'!$D$40</f>
        <v>0</v>
      </c>
      <c r="E173" s="18" t="str">
        <f>'USER INPUT SHEET'!$F$40</f>
        <v>m2</v>
      </c>
      <c r="F173" s="4">
        <v>1</v>
      </c>
      <c r="G173" s="674"/>
      <c r="H173" s="9"/>
      <c r="I173" s="95">
        <f t="shared" si="54"/>
        <v>0</v>
      </c>
      <c r="J173" s="96" t="str">
        <f t="shared" si="55"/>
        <v/>
      </c>
      <c r="K173" s="407">
        <f>$D173*($E$169/5.678)*$F173*VLOOKUP($C173,'Master sheet'!$A:$AL,13,FALSE)</f>
        <v>0</v>
      </c>
      <c r="L173" s="97">
        <f>$D173*($E$169/5.678)*$F173*VLOOKUP($C173,'Master sheet'!$A:$AL,27,FALSE)</f>
        <v>0</v>
      </c>
      <c r="M173" s="1552"/>
      <c r="N173" s="1552"/>
      <c r="O173" s="25" t="str">
        <f>_xlfn.IFNA(VLOOKUP($C173,'Master sheet'!$A:$AR,44,FALSE),"")&amp;""</f>
        <v/>
      </c>
      <c r="P173" s="637"/>
      <c r="Q173" s="765" t="s">
        <v>1642</v>
      </c>
      <c r="R173" s="728" t="s">
        <v>1643</v>
      </c>
      <c r="S173" s="624"/>
      <c r="T173" s="638"/>
      <c r="U173" s="664"/>
      <c r="V173" s="664"/>
      <c r="W173" s="664"/>
      <c r="X173" s="664"/>
      <c r="Y173" s="664"/>
      <c r="Z173" s="664"/>
    </row>
    <row r="174" spans="1:26" ht="31.2" customHeight="1" x14ac:dyDescent="0.25">
      <c r="A174" s="1564"/>
      <c r="B174" s="1564"/>
      <c r="C174" s="673" t="str">
        <f>INDEX('Master sheet'!$A$1:$A$670,MATCH("A124",'Master sheet'!$AN$1:$AN$670,0))</f>
        <v>Wood fiber board / Pavatex / Pavatherm / R 3.3-inch / 110 kg/m3</v>
      </c>
      <c r="D174" s="17">
        <f>'USER INPUT SHEET'!$D$40</f>
        <v>0</v>
      </c>
      <c r="E174" s="18" t="str">
        <f>'USER INPUT SHEET'!$F$40</f>
        <v>m2</v>
      </c>
      <c r="F174" s="4">
        <v>1</v>
      </c>
      <c r="G174" s="674"/>
      <c r="H174" s="9"/>
      <c r="I174" s="95">
        <f t="shared" si="54"/>
        <v>0</v>
      </c>
      <c r="J174" s="96" t="str">
        <f t="shared" si="55"/>
        <v/>
      </c>
      <c r="K174" s="407">
        <f>$D174*($E$169/5.678)*$F174*VLOOKUP($C174,'Master sheet'!$A:$AL,13,FALSE)</f>
        <v>0</v>
      </c>
      <c r="L174" s="97">
        <f>$D174*($E$169/5.678)*$F174*VLOOKUP($C174,'Master sheet'!$A:$AL,27,FALSE)</f>
        <v>0</v>
      </c>
      <c r="M174" s="1552"/>
      <c r="N174" s="1552"/>
      <c r="O174" s="25" t="str">
        <f>_xlfn.IFNA(VLOOKUP($C174,'Master sheet'!$A:$AR,44,FALSE),"")&amp;""</f>
        <v/>
      </c>
      <c r="P174" s="637"/>
      <c r="Q174" s="765" t="s">
        <v>1642</v>
      </c>
      <c r="R174" s="728" t="s">
        <v>1643</v>
      </c>
      <c r="S174" s="624"/>
      <c r="T174" s="638" t="s">
        <v>7295</v>
      </c>
      <c r="U174" s="664"/>
      <c r="V174" s="664"/>
      <c r="W174" s="664"/>
      <c r="X174" s="664"/>
      <c r="Y174" s="664"/>
      <c r="Z174" s="664"/>
    </row>
    <row r="175" spans="1:26" ht="31.2" x14ac:dyDescent="0.25">
      <c r="A175" s="1564"/>
      <c r="B175" s="1564"/>
      <c r="C175" s="673" t="str">
        <f>INDEX('Master sheet'!$A$1:$A$670,MATCH("A125",'Master sheet'!$AN$1:$AN$670,0))</f>
        <v xml:space="preserve">Wood fiber board / Pavatex / Pavawall GF, Pavawall Bloc, Pavawall GF XL / R 3.3-inch / 130 kg/m3 </v>
      </c>
      <c r="D175" s="17">
        <f>'USER INPUT SHEET'!$D$40</f>
        <v>0</v>
      </c>
      <c r="E175" s="18" t="str">
        <f>'USER INPUT SHEET'!$F$40</f>
        <v>m2</v>
      </c>
      <c r="F175" s="4">
        <v>1</v>
      </c>
      <c r="G175" s="674"/>
      <c r="H175" s="9"/>
      <c r="I175" s="95">
        <f t="shared" si="54"/>
        <v>0</v>
      </c>
      <c r="J175" s="96" t="str">
        <f t="shared" si="55"/>
        <v/>
      </c>
      <c r="K175" s="407">
        <f>$D175*($E$169/5.678)*$F175*VLOOKUP($C175,'Master sheet'!$A:$AL,13,FALSE)</f>
        <v>0</v>
      </c>
      <c r="L175" s="97">
        <f>$D175*($E$169/5.678)*$F175*VLOOKUP($C175,'Master sheet'!$A:$AL,27,FALSE)</f>
        <v>0</v>
      </c>
      <c r="M175" s="1552"/>
      <c r="N175" s="1552"/>
      <c r="O175" s="25" t="str">
        <f>_xlfn.IFNA(VLOOKUP($C175,'Master sheet'!$A:$AR,44,FALSE),"")&amp;""</f>
        <v/>
      </c>
      <c r="P175" s="637"/>
      <c r="Q175" s="765" t="s">
        <v>1642</v>
      </c>
      <c r="R175" s="728" t="s">
        <v>1643</v>
      </c>
      <c r="S175" s="624"/>
      <c r="T175" s="638"/>
      <c r="U175" s="664"/>
      <c r="V175" s="664"/>
      <c r="W175" s="664"/>
      <c r="X175" s="664"/>
      <c r="Y175" s="664"/>
      <c r="Z175" s="664"/>
    </row>
    <row r="176" spans="1:26" ht="31.2" x14ac:dyDescent="0.25">
      <c r="A176" s="1564"/>
      <c r="B176" s="1564"/>
      <c r="C176" s="673" t="str">
        <f>INDEX('Master sheet'!$A$1:$A$670,MATCH("A126",'Master sheet'!$AN$1:$AN$670,0))</f>
        <v>Wood fiber board / Pavatex / Pavawall Smart, Pavawall Light, Pavawall FW / R 3.3-inch / 115 kg/m3</v>
      </c>
      <c r="D176" s="17">
        <f>'USER INPUT SHEET'!$D$40</f>
        <v>0</v>
      </c>
      <c r="E176" s="18" t="str">
        <f>'USER INPUT SHEET'!$F$40</f>
        <v>m2</v>
      </c>
      <c r="F176" s="4">
        <v>1</v>
      </c>
      <c r="G176" s="674"/>
      <c r="H176" s="9"/>
      <c r="I176" s="95">
        <f t="shared" si="54"/>
        <v>0</v>
      </c>
      <c r="J176" s="96" t="str">
        <f t="shared" si="55"/>
        <v/>
      </c>
      <c r="K176" s="407">
        <f>$D176*($E$169/5.678)*$F176*VLOOKUP($C176,'Master sheet'!$A:$AL,13,FALSE)</f>
        <v>0</v>
      </c>
      <c r="L176" s="97">
        <f>$D176*($E$169/5.678)*$F176*VLOOKUP($C176,'Master sheet'!$A:$AL,27,FALSE)</f>
        <v>0</v>
      </c>
      <c r="M176" s="1552"/>
      <c r="N176" s="1552"/>
      <c r="O176" s="25" t="str">
        <f>_xlfn.IFNA(VLOOKUP($C176,'Master sheet'!$A:$AR,44,FALSE),"")&amp;""</f>
        <v/>
      </c>
      <c r="P176" s="637"/>
      <c r="Q176" s="765" t="s">
        <v>1642</v>
      </c>
      <c r="R176" s="728" t="s">
        <v>1643</v>
      </c>
      <c r="S176" s="624"/>
      <c r="T176" s="638"/>
      <c r="U176" s="664"/>
      <c r="V176" s="664"/>
      <c r="W176" s="664"/>
      <c r="X176" s="664"/>
      <c r="Y176" s="664"/>
      <c r="Z176" s="664"/>
    </row>
    <row r="177" spans="1:26" ht="31.2" x14ac:dyDescent="0.25">
      <c r="A177" s="1564"/>
      <c r="B177" s="1564"/>
      <c r="C177" s="673" t="str">
        <f>INDEX('Master sheet'!$A$1:$A$670,MATCH("A127",'Master sheet'!$AN$1:$AN$670,0))</f>
        <v xml:space="preserve">Wood fiber board / Steico / STEICOprotect M dry, STEICOroof dry, STEICOspecial dry, STEICOtop / R 3.6-inch, 140 kg/m3 </v>
      </c>
      <c r="D177" s="17">
        <f>'USER INPUT SHEET'!$D$40</f>
        <v>0</v>
      </c>
      <c r="E177" s="18" t="str">
        <f>'USER INPUT SHEET'!$F$40</f>
        <v>m2</v>
      </c>
      <c r="F177" s="4">
        <v>1</v>
      </c>
      <c r="G177" s="674"/>
      <c r="H177" s="9"/>
      <c r="I177" s="95">
        <f t="shared" si="54"/>
        <v>0</v>
      </c>
      <c r="J177" s="96" t="str">
        <f t="shared" si="55"/>
        <v/>
      </c>
      <c r="K177" s="407">
        <f>$D177*($E$169/5.678)*$F177*VLOOKUP($C177,'Master sheet'!$A:$AL,13,FALSE)</f>
        <v>0</v>
      </c>
      <c r="L177" s="97">
        <f>$D177*($E$169/5.678)*$F177*VLOOKUP($C177,'Master sheet'!$A:$AL,27,FALSE)</f>
        <v>0</v>
      </c>
      <c r="M177" s="1552"/>
      <c r="N177" s="1552"/>
      <c r="O177" s="25" t="str">
        <f>_xlfn.IFNA(VLOOKUP($C177,'Master sheet'!$A:$AR,44,FALSE),"")&amp;""</f>
        <v/>
      </c>
      <c r="P177" s="637"/>
      <c r="Q177" s="765" t="s">
        <v>1642</v>
      </c>
      <c r="R177" s="728" t="s">
        <v>1643</v>
      </c>
      <c r="S177" s="624"/>
      <c r="T177" s="638"/>
      <c r="U177" s="664"/>
      <c r="V177" s="664"/>
      <c r="W177" s="664"/>
      <c r="X177" s="664"/>
      <c r="Y177" s="664"/>
      <c r="Z177" s="664"/>
    </row>
    <row r="178" spans="1:26" ht="31.2" x14ac:dyDescent="0.25">
      <c r="A178" s="1564"/>
      <c r="B178" s="1564"/>
      <c r="C178" s="673" t="str">
        <f>INDEX('Master sheet'!$A$1:$A$670,MATCH("A128",'Master sheet'!$AN$1:$AN$670,0))</f>
        <v>Wood fiber board / Steico / STEICOprotect S dry, STEICOsafe 40, STEICOuniversal dry / R 3.6-inch, 210 kg/m3</v>
      </c>
      <c r="D178" s="17">
        <f>'USER INPUT SHEET'!$D$40</f>
        <v>0</v>
      </c>
      <c r="E178" s="18" t="str">
        <f>'USER INPUT SHEET'!$F$40</f>
        <v>m2</v>
      </c>
      <c r="F178" s="4">
        <v>1</v>
      </c>
      <c r="G178" s="674"/>
      <c r="H178" s="9"/>
      <c r="I178" s="95">
        <f t="shared" si="54"/>
        <v>0</v>
      </c>
      <c r="J178" s="96" t="str">
        <f t="shared" si="55"/>
        <v/>
      </c>
      <c r="K178" s="407">
        <f>$D178*($E$169/5.678)*$F178*VLOOKUP($C178,'Master sheet'!$A:$AL,13,FALSE)</f>
        <v>0</v>
      </c>
      <c r="L178" s="97">
        <f>$D178*($E$169/5.678)*$F178*VLOOKUP($C178,'Master sheet'!$A:$AL,27,FALSE)</f>
        <v>0</v>
      </c>
      <c r="M178" s="1552"/>
      <c r="N178" s="1552"/>
      <c r="O178" s="25" t="str">
        <f>_xlfn.IFNA(VLOOKUP($C178,'Master sheet'!$A:$AR,44,FALSE),"")&amp;""</f>
        <v/>
      </c>
      <c r="P178" s="637"/>
      <c r="Q178" s="765" t="s">
        <v>1642</v>
      </c>
      <c r="R178" s="728" t="s">
        <v>1643</v>
      </c>
      <c r="S178" s="624"/>
      <c r="T178" s="638"/>
      <c r="U178" s="664"/>
      <c r="V178" s="664"/>
      <c r="W178" s="664"/>
      <c r="X178" s="664"/>
      <c r="Y178" s="664"/>
      <c r="Z178" s="664"/>
    </row>
    <row r="179" spans="1:26" s="624" customFormat="1" ht="31.2" x14ac:dyDescent="0.25">
      <c r="A179" s="1564"/>
      <c r="B179" s="1564"/>
      <c r="C179" s="673" t="str">
        <f>INDEX('Master sheet'!$A$1:$A$670,MATCH("A129",'Master sheet'!$AN$1:$AN$670,0))</f>
        <v>Wood fiber board / Steico / STEICOtherm dry, STEICOprotect L dry, STEICOsafe / R 3.6-inch, 110 kg/m3</v>
      </c>
      <c r="D179" s="17">
        <f>'USER INPUT SHEET'!$D$40</f>
        <v>0</v>
      </c>
      <c r="E179" s="18" t="str">
        <f>'USER INPUT SHEET'!$F$40</f>
        <v>m2</v>
      </c>
      <c r="F179" s="4">
        <v>1</v>
      </c>
      <c r="G179" s="674"/>
      <c r="H179" s="9"/>
      <c r="I179" s="95">
        <f t="shared" si="53"/>
        <v>0</v>
      </c>
      <c r="J179" s="96" t="str">
        <f t="shared" si="50"/>
        <v/>
      </c>
      <c r="K179" s="407">
        <f>$D179*($E$169/5.678)*$F179*VLOOKUP($C179,'Master sheet'!$A:$AL,13,FALSE)</f>
        <v>0</v>
      </c>
      <c r="L179" s="97">
        <f>$D179*($E$169/5.678)*$F179*VLOOKUP($C179,'Master sheet'!$A:$AL,27,FALSE)</f>
        <v>0</v>
      </c>
      <c r="M179" s="1610"/>
      <c r="N179" s="1610"/>
      <c r="O179" s="25" t="str">
        <f>_xlfn.IFNA(VLOOKUP($C179,'Master sheet'!$A:$AR,44,FALSE),"")&amp;""</f>
        <v/>
      </c>
      <c r="P179" s="637"/>
      <c r="Q179" s="765" t="s">
        <v>1642</v>
      </c>
      <c r="R179" s="728" t="s">
        <v>1643</v>
      </c>
      <c r="T179" s="638"/>
      <c r="U179" s="638"/>
      <c r="V179" s="638"/>
      <c r="W179" s="638"/>
      <c r="X179" s="638"/>
      <c r="Y179" s="638"/>
      <c r="Z179" s="638"/>
    </row>
    <row r="180" spans="1:26" s="624" customFormat="1" ht="22.8" x14ac:dyDescent="0.25">
      <c r="A180" s="639"/>
      <c r="B180" s="1524" t="s">
        <v>1025</v>
      </c>
      <c r="C180" s="1523"/>
      <c r="D180" s="687" t="str">
        <f>IF(LOWER(Setting!rng_language)="english","R-VALUE:","VALEUR R :")</f>
        <v>R-VALUE:</v>
      </c>
      <c r="E180" s="1"/>
      <c r="F180" s="325"/>
      <c r="G180" s="678"/>
      <c r="H180" s="679"/>
      <c r="I180" s="642"/>
      <c r="J180" s="643"/>
      <c r="K180" s="676"/>
      <c r="L180" s="727"/>
      <c r="M180" s="727"/>
      <c r="N180" s="727"/>
      <c r="O180" s="25" t="str">
        <f>_xlfn.IFNA(VLOOKUP($C180,'Master sheet'!$A:$AR,44,FALSE),"")&amp;""</f>
        <v/>
      </c>
      <c r="P180" s="637"/>
      <c r="Q180" s="728"/>
      <c r="R180" s="728"/>
      <c r="T180" s="638"/>
      <c r="U180" s="638"/>
      <c r="V180" s="638"/>
      <c r="W180" s="638"/>
      <c r="X180" s="638"/>
      <c r="Y180" s="638"/>
      <c r="Z180" s="638"/>
    </row>
    <row r="181" spans="1:26" ht="23.25" customHeight="1" x14ac:dyDescent="0.25">
      <c r="A181" s="729"/>
      <c r="B181" s="729"/>
      <c r="C181" s="691" t="s">
        <v>4023</v>
      </c>
      <c r="D181" s="19">
        <f>'USER INPUT SHEET'!$D$40</f>
        <v>0</v>
      </c>
      <c r="E181" s="20" t="str">
        <f>'USER INPUT SHEET'!$F$40</f>
        <v>m2</v>
      </c>
      <c r="F181" s="6">
        <v>1</v>
      </c>
      <c r="G181" s="692"/>
      <c r="H181" s="10"/>
      <c r="I181" s="98">
        <f>K181-L181</f>
        <v>0</v>
      </c>
      <c r="J181" s="91" t="str">
        <f>IF(H181=1,I181,"")</f>
        <v/>
      </c>
      <c r="K181" s="410">
        <f>F181*AVERAGE(K182:K184)</f>
        <v>0</v>
      </c>
      <c r="L181" s="99">
        <f>F181*AVERAGE(L182:L184)</f>
        <v>0</v>
      </c>
      <c r="M181" s="1552"/>
      <c r="N181" s="1552"/>
      <c r="O181" s="25" t="str">
        <f>_xlfn.IFNA(VLOOKUP($C181,'Master sheet'!$A:$AR,44,FALSE),"")&amp;""</f>
        <v/>
      </c>
      <c r="P181" s="637"/>
      <c r="Q181" s="765" t="s">
        <v>1642</v>
      </c>
      <c r="R181" s="728" t="s">
        <v>1643</v>
      </c>
      <c r="S181" s="664"/>
      <c r="T181" s="664"/>
      <c r="U181" s="664"/>
      <c r="V181" s="664"/>
      <c r="W181" s="664"/>
      <c r="X181" s="664"/>
      <c r="Y181" s="664"/>
      <c r="Z181" s="664"/>
    </row>
    <row r="182" spans="1:26" ht="31.2" customHeight="1" x14ac:dyDescent="0.25">
      <c r="A182" s="729"/>
      <c r="B182" s="729"/>
      <c r="C182" s="673" t="str">
        <f>INDEX('Master sheet'!$A$1:$A$670,MATCH(258,'Master sheet'!$AN$1:$AN$670,0))</f>
        <v>XPS foam board / Owens Corning / Foamular NGX 250  / R 5/inch</v>
      </c>
      <c r="D182" s="17">
        <f>'USER INPUT SHEET'!$D$40</f>
        <v>0</v>
      </c>
      <c r="E182" s="18" t="str">
        <f>'USER INPUT SHEET'!$F$40</f>
        <v>m2</v>
      </c>
      <c r="F182" s="4">
        <v>1</v>
      </c>
      <c r="G182" s="674"/>
      <c r="H182" s="9"/>
      <c r="I182" s="95">
        <f>K182-L182</f>
        <v>0</v>
      </c>
      <c r="J182" s="96" t="str">
        <f>IF(H182=1,I182,"")</f>
        <v/>
      </c>
      <c r="K182" s="407">
        <f>$D182*($E$180/5.678)*$F182*VLOOKUP($C182,'Master sheet'!$A:$AL,13,FALSE)</f>
        <v>0</v>
      </c>
      <c r="L182" s="97">
        <f>$D182*($E$180/5.678)*$F182*VLOOKUP($C182,'Master sheet'!$A:$AL,27,FALSE)</f>
        <v>0</v>
      </c>
      <c r="M182" s="1552"/>
      <c r="N182" s="1552"/>
      <c r="O182" s="25" t="str">
        <f>_xlfn.IFNA(VLOOKUP($C182,'Master sheet'!$A:$AR,44,FALSE),"")&amp;""</f>
        <v>A1-B1</v>
      </c>
      <c r="P182" s="685"/>
      <c r="Q182" s="765" t="s">
        <v>1642</v>
      </c>
      <c r="R182" s="728" t="s">
        <v>1643</v>
      </c>
      <c r="T182" s="638" t="s">
        <v>7295</v>
      </c>
      <c r="U182" s="664"/>
      <c r="V182" s="664"/>
      <c r="W182" s="664"/>
      <c r="X182" s="664"/>
      <c r="Y182" s="664"/>
      <c r="Z182" s="664"/>
    </row>
    <row r="183" spans="1:26" ht="23.25" customHeight="1" x14ac:dyDescent="0.25">
      <c r="A183" s="729"/>
      <c r="B183" s="729"/>
      <c r="C183" s="673" t="str">
        <f>INDEX('Master sheet'!$A$1:$A$670,MATCH(401,'Master sheet'!$AN$1:$AN$670,0))</f>
        <v>XPS foam board / Soprema / SOPRA-XPS / R 5.0/inch</v>
      </c>
      <c r="D183" s="17">
        <f>'USER INPUT SHEET'!$D$40</f>
        <v>0</v>
      </c>
      <c r="E183" s="18" t="str">
        <f>'USER INPUT SHEET'!$F$40</f>
        <v>m2</v>
      </c>
      <c r="F183" s="4">
        <v>1</v>
      </c>
      <c r="G183" s="674"/>
      <c r="H183" s="9"/>
      <c r="I183" s="95">
        <f>K183-L183</f>
        <v>0</v>
      </c>
      <c r="J183" s="96" t="str">
        <f>IF(H183=1,I183,"")</f>
        <v/>
      </c>
      <c r="K183" s="407">
        <f>$D183*($E$180/5.678)*$F183*VLOOKUP($C183,'Master sheet'!$A:$AL,13,FALSE)</f>
        <v>0</v>
      </c>
      <c r="L183" s="97">
        <f>$D183*($E$180/5.678)*$F183*VLOOKUP($C183,'Master sheet'!$A:$AL,27,FALSE)</f>
        <v>0</v>
      </c>
      <c r="M183" s="1552"/>
      <c r="N183" s="1552"/>
      <c r="O183" s="25" t="str">
        <f>_xlfn.IFNA(VLOOKUP($C183,'Master sheet'!$A:$AR,44,FALSE),"")&amp;""</f>
        <v>A1-B1</v>
      </c>
      <c r="P183" s="685"/>
      <c r="Q183" s="765" t="s">
        <v>1642</v>
      </c>
      <c r="R183" s="728" t="s">
        <v>1643</v>
      </c>
      <c r="T183" s="664"/>
      <c r="U183" s="664"/>
      <c r="V183" s="664"/>
      <c r="W183" s="664"/>
      <c r="X183" s="664"/>
      <c r="Y183" s="664"/>
      <c r="Z183" s="664"/>
    </row>
    <row r="184" spans="1:26" ht="31.2" x14ac:dyDescent="0.25">
      <c r="A184" s="729"/>
      <c r="B184" s="729"/>
      <c r="C184" s="673" t="str">
        <f>INDEX('Master sheet'!$A$1:$A$670,MATCH(400,'Master sheet'!$AN$1:$AN$670,0))</f>
        <v>XPS foam board / DuPont / Reduced GWP Grey Styrofoam™ (same as ST-100) / R 5.0/inch</v>
      </c>
      <c r="D184" s="17">
        <f>'USER INPUT SHEET'!$D$40</f>
        <v>0</v>
      </c>
      <c r="E184" s="18" t="str">
        <f>'USER INPUT SHEET'!$F$40</f>
        <v>m2</v>
      </c>
      <c r="F184" s="4">
        <v>1</v>
      </c>
      <c r="G184" s="674"/>
      <c r="H184" s="9"/>
      <c r="I184" s="95">
        <f>K184-L184</f>
        <v>0</v>
      </c>
      <c r="J184" s="96" t="str">
        <f>IF(H184=1,I184,"")</f>
        <v/>
      </c>
      <c r="K184" s="407">
        <f>$D184*($E$180/5.678)*$F184*VLOOKUP($C184,'Master sheet'!$A:$AL,13,FALSE)</f>
        <v>0</v>
      </c>
      <c r="L184" s="97">
        <f>$D184*($E$180/5.678)*$F184*VLOOKUP($C184,'Master sheet'!$A:$AL,27,FALSE)</f>
        <v>0</v>
      </c>
      <c r="M184" s="1610"/>
      <c r="N184" s="1610"/>
      <c r="O184" s="25" t="str">
        <f>_xlfn.IFNA(VLOOKUP($C184,'Master sheet'!$A:$AR,44,FALSE),"")&amp;""</f>
        <v>A1-B1</v>
      </c>
      <c r="P184" s="685"/>
      <c r="Q184" s="765" t="s">
        <v>1642</v>
      </c>
      <c r="R184" s="728" t="s">
        <v>1643</v>
      </c>
      <c r="T184" s="664"/>
      <c r="U184" s="664"/>
      <c r="V184" s="664"/>
      <c r="W184" s="664"/>
      <c r="X184" s="664"/>
      <c r="Y184" s="664"/>
      <c r="Z184" s="664"/>
    </row>
    <row r="185" spans="1:26" s="624" customFormat="1" ht="22.8" x14ac:dyDescent="0.25">
      <c r="A185" s="639"/>
      <c r="B185" s="1524" t="s">
        <v>1065</v>
      </c>
      <c r="C185" s="1523"/>
      <c r="D185" s="687" t="str">
        <f>IF(LOWER(Setting!rng_language)="english","R-VALUE:","VALEUR R :")</f>
        <v>R-VALUE:</v>
      </c>
      <c r="E185" s="1"/>
      <c r="F185" s="325"/>
      <c r="G185" s="678"/>
      <c r="H185" s="679"/>
      <c r="I185" s="642"/>
      <c r="J185" s="643"/>
      <c r="K185" s="676"/>
      <c r="L185" s="727"/>
      <c r="M185" s="727"/>
      <c r="N185" s="727"/>
      <c r="O185" s="25" t="str">
        <f>_xlfn.IFNA(VLOOKUP($C185,'Master sheet'!$A:$AR,44,FALSE),"")&amp;""</f>
        <v/>
      </c>
      <c r="P185" s="637"/>
      <c r="Q185" s="728"/>
      <c r="R185" s="728"/>
      <c r="T185" s="638"/>
      <c r="U185" s="638"/>
      <c r="V185" s="638"/>
      <c r="W185" s="638"/>
      <c r="X185" s="638"/>
      <c r="Y185" s="638"/>
      <c r="Z185" s="638"/>
    </row>
    <row r="186" spans="1:26" ht="22.8" x14ac:dyDescent="0.25">
      <c r="A186" s="729"/>
      <c r="B186" s="729"/>
      <c r="C186" s="691" t="s">
        <v>1365</v>
      </c>
      <c r="D186" s="19">
        <f>'USER INPUT SHEET'!$D$40</f>
        <v>0</v>
      </c>
      <c r="E186" s="20" t="str">
        <f>'USER INPUT SHEET'!$F$40</f>
        <v>m2</v>
      </c>
      <c r="F186" s="6">
        <v>1</v>
      </c>
      <c r="G186" s="692"/>
      <c r="H186" s="10"/>
      <c r="I186" s="98">
        <f>K186-L186</f>
        <v>0</v>
      </c>
      <c r="J186" s="91" t="str">
        <f>IF(H186=1,I186,"")</f>
        <v/>
      </c>
      <c r="K186" s="410">
        <f>F186*AVERAGE(K187:K189)</f>
        <v>0</v>
      </c>
      <c r="L186" s="99">
        <f>F186*AVERAGE(L187:L189)</f>
        <v>0</v>
      </c>
      <c r="M186" s="1552"/>
      <c r="N186" s="1552"/>
      <c r="O186" s="25" t="str">
        <f>_xlfn.IFNA(VLOOKUP($C186,'Master sheet'!$A:$AR,44,FALSE),"")&amp;""</f>
        <v/>
      </c>
      <c r="P186" s="637"/>
      <c r="Q186" s="765" t="s">
        <v>1642</v>
      </c>
      <c r="R186" s="728" t="s">
        <v>1643</v>
      </c>
      <c r="S186" s="664"/>
      <c r="T186" s="664"/>
      <c r="U186" s="664"/>
      <c r="V186" s="664"/>
      <c r="W186" s="664"/>
      <c r="X186" s="664"/>
      <c r="Y186" s="664"/>
      <c r="Z186" s="664"/>
    </row>
    <row r="187" spans="1:26" ht="31.2" x14ac:dyDescent="0.25">
      <c r="A187" s="1564"/>
      <c r="B187" s="1564"/>
      <c r="C187" s="669" t="str">
        <f>INDEX('Master sheet'!$A$1:$A$670,MATCH(167,'Master sheet'!$AN$1:$AN$670,0))</f>
        <v>Polyiso - wall boards / Hunter / Polysio Wall insulation boards / R 6.5/inch</v>
      </c>
      <c r="D187" s="15">
        <f>'USER INPUT SHEET'!$D$40</f>
        <v>0</v>
      </c>
      <c r="E187" s="16" t="str">
        <f>'USER INPUT SHEET'!$F$40</f>
        <v>m2</v>
      </c>
      <c r="F187" s="3">
        <v>1</v>
      </c>
      <c r="G187" s="670"/>
      <c r="H187" s="8"/>
      <c r="I187" s="92">
        <f t="shared" si="53"/>
        <v>0</v>
      </c>
      <c r="J187" s="93" t="str">
        <f t="shared" si="50"/>
        <v/>
      </c>
      <c r="K187" s="406">
        <f>$D187*($E$185/5.678)*$F187*VLOOKUP($C187,'Master sheet'!$A:$AL,13,FALSE)</f>
        <v>0</v>
      </c>
      <c r="L187" s="94">
        <f>$D187*($E$185/5.678)*$F187*VLOOKUP($C187,'Master sheet'!$A:$AL,27,FALSE)</f>
        <v>0</v>
      </c>
      <c r="M187" s="1552"/>
      <c r="N187" s="1552"/>
      <c r="O187" s="25" t="str">
        <f ca="1">_xlfn.IFNA(VLOOKUP($C187,'Master sheet'!$A:$AR,44,FALSE),"")&amp;""</f>
        <v/>
      </c>
      <c r="P187" s="685"/>
      <c r="Q187" s="765" t="s">
        <v>1642</v>
      </c>
      <c r="R187" s="728" t="s">
        <v>1643</v>
      </c>
      <c r="T187" s="664"/>
      <c r="U187" s="664"/>
      <c r="V187" s="664"/>
      <c r="W187" s="664"/>
      <c r="X187" s="664"/>
      <c r="Y187" s="664"/>
      <c r="Z187" s="664"/>
    </row>
    <row r="188" spans="1:26" ht="22.8" x14ac:dyDescent="0.25">
      <c r="A188" s="1564"/>
      <c r="B188" s="1564"/>
      <c r="C188" s="673" t="str">
        <f>INDEX('Master sheet'!$A$1:$A$670,MATCH(408,'Master sheet'!$AN$1:$AN$670,0))</f>
        <v>Polyiso - wall boards / DuPont / Thermax / R 6.5/inch</v>
      </c>
      <c r="D188" s="17">
        <f>'USER INPUT SHEET'!$D$40</f>
        <v>0</v>
      </c>
      <c r="E188" s="18" t="str">
        <f>'USER INPUT SHEET'!$F$40</f>
        <v>m2</v>
      </c>
      <c r="F188" s="4">
        <v>1</v>
      </c>
      <c r="G188" s="674"/>
      <c r="H188" s="9"/>
      <c r="I188" s="95">
        <f t="shared" ref="I188" si="56">K188-L188</f>
        <v>0</v>
      </c>
      <c r="J188" s="96" t="str">
        <f t="shared" ref="J188" si="57">IF(H188=1,I188,"")</f>
        <v/>
      </c>
      <c r="K188" s="407">
        <f>$D188*($E$185/5.678)*$F188*VLOOKUP($C188,'Master sheet'!$A:$AL,13,FALSE)</f>
        <v>0</v>
      </c>
      <c r="L188" s="97">
        <f>$D188*($E$185/5.678)*$F188*VLOOKUP($C188,'Master sheet'!$A:$AL,27,FALSE)</f>
        <v>0</v>
      </c>
      <c r="M188" s="1552"/>
      <c r="N188" s="1552"/>
      <c r="O188" s="25" t="str">
        <f ca="1">_xlfn.IFNA(VLOOKUP($C188,'Master sheet'!$A:$AR,44,FALSE),"")&amp;""</f>
        <v/>
      </c>
      <c r="P188" s="637"/>
      <c r="Q188" s="765" t="s">
        <v>1642</v>
      </c>
      <c r="R188" s="728" t="s">
        <v>1643</v>
      </c>
      <c r="T188" s="664"/>
      <c r="U188" s="664"/>
      <c r="V188" s="664"/>
      <c r="W188" s="664"/>
      <c r="X188" s="664"/>
      <c r="Y188" s="664"/>
      <c r="Z188" s="664"/>
    </row>
    <row r="189" spans="1:26" s="624" customFormat="1" ht="22.8" x14ac:dyDescent="0.25">
      <c r="A189" s="1564"/>
      <c r="B189" s="1564"/>
      <c r="C189" s="673" t="str">
        <f>INDEX('Master sheet'!$A$1:$A$670,MATCH("A103",'Master sheet'!$AN$1:$AN$670,0))</f>
        <v>Polyiso - wall boards / Carlisle  / R2+ Silver  / R 6.3/inch, 20 psi</v>
      </c>
      <c r="D189" s="17">
        <f>'USER INPUT SHEET'!$D$40</f>
        <v>0</v>
      </c>
      <c r="E189" s="18" t="str">
        <f>'USER INPUT SHEET'!$F$40</f>
        <v>m2</v>
      </c>
      <c r="F189" s="4">
        <v>1</v>
      </c>
      <c r="G189" s="674"/>
      <c r="H189" s="9"/>
      <c r="I189" s="95">
        <f t="shared" si="53"/>
        <v>0</v>
      </c>
      <c r="J189" s="96" t="str">
        <f t="shared" si="50"/>
        <v/>
      </c>
      <c r="K189" s="407">
        <f>$D189*($E$185/5.678)*$F189*VLOOKUP($C189,'Master sheet'!$A:$AL,13,FALSE)</f>
        <v>0</v>
      </c>
      <c r="L189" s="97">
        <f>$D189*($E$185/5.678)*$F189*VLOOKUP($C189,'Master sheet'!$A:$AL,27,FALSE)</f>
        <v>0</v>
      </c>
      <c r="M189" s="1610"/>
      <c r="N189" s="1610"/>
      <c r="O189" s="25" t="str">
        <f>_xlfn.IFNA(VLOOKUP($C189,'Master sheet'!$A:$AR,44,FALSE),"")&amp;""</f>
        <v/>
      </c>
      <c r="P189" s="637"/>
      <c r="Q189" s="765" t="s">
        <v>1642</v>
      </c>
      <c r="R189" s="728" t="s">
        <v>1643</v>
      </c>
      <c r="T189" s="638"/>
      <c r="U189" s="638"/>
      <c r="V189" s="638"/>
      <c r="W189" s="638"/>
      <c r="X189" s="638"/>
      <c r="Y189" s="638"/>
      <c r="Z189" s="638"/>
    </row>
    <row r="190" spans="1:26" s="624" customFormat="1" ht="22.8" x14ac:dyDescent="0.25">
      <c r="A190" s="639"/>
      <c r="B190" s="1524" t="s">
        <v>3418</v>
      </c>
      <c r="C190" s="1523"/>
      <c r="D190" s="687" t="str">
        <f>IF(LOWER(Setting!rng_language)="english","R-VALUE:","VALEUR R :")</f>
        <v>R-VALUE:</v>
      </c>
      <c r="E190" s="1"/>
      <c r="F190" s="325"/>
      <c r="G190" s="678"/>
      <c r="H190" s="679"/>
      <c r="I190" s="642"/>
      <c r="J190" s="643"/>
      <c r="K190" s="676"/>
      <c r="L190" s="727"/>
      <c r="M190" s="727"/>
      <c r="N190" s="727"/>
      <c r="O190" s="25" t="str">
        <f>_xlfn.IFNA(VLOOKUP($C190,'Master sheet'!$A:$AR,44,FALSE),"")&amp;""</f>
        <v/>
      </c>
      <c r="P190" s="637"/>
      <c r="Q190" s="728"/>
      <c r="R190" s="728"/>
      <c r="T190" s="638"/>
      <c r="U190" s="638"/>
      <c r="V190" s="638"/>
      <c r="W190" s="638"/>
      <c r="X190" s="638"/>
      <c r="Y190" s="638"/>
      <c r="Z190" s="638"/>
    </row>
    <row r="191" spans="1:26" s="624" customFormat="1" ht="23.25" customHeight="1" x14ac:dyDescent="0.25">
      <c r="A191" s="1564"/>
      <c r="B191" s="1564"/>
      <c r="C191" s="673" t="str">
        <f>INDEX('Master sheet'!$A$1:$A$670,MATCH("A200",'Master sheet'!$AN$1:$AN$670,0))</f>
        <v>Mineral wool board / Rockwool / Comfortboard 80 / R 4.2-inch</v>
      </c>
      <c r="D191" s="17">
        <f>'USER INPUT SHEET'!$D$40</f>
        <v>0</v>
      </c>
      <c r="E191" s="18" t="str">
        <f>'USER INPUT SHEET'!$F$40</f>
        <v>m2</v>
      </c>
      <c r="F191" s="4">
        <v>1</v>
      </c>
      <c r="G191" s="674"/>
      <c r="H191" s="9"/>
      <c r="I191" s="95">
        <f t="shared" si="53"/>
        <v>0</v>
      </c>
      <c r="J191" s="96" t="str">
        <f t="shared" si="50"/>
        <v/>
      </c>
      <c r="K191" s="407">
        <f>$D191*($E$190/5.678)*$F191*VLOOKUP($C191,'Master sheet'!$A:$AL,13,FALSE)</f>
        <v>0</v>
      </c>
      <c r="L191" s="97">
        <f>$D191*($E$190/5.678)*$F191*VLOOKUP($C191,'Master sheet'!$A:$AL,27,FALSE)</f>
        <v>0</v>
      </c>
      <c r="M191" s="1610"/>
      <c r="N191" s="1610"/>
      <c r="O191" s="25" t="str">
        <f>_xlfn.IFNA(VLOOKUP($C191,'Master sheet'!$A:$AR,44,FALSE),"")&amp;""</f>
        <v/>
      </c>
      <c r="P191" s="637"/>
      <c r="Q191" s="765" t="s">
        <v>1642</v>
      </c>
      <c r="R191" s="728" t="s">
        <v>1643</v>
      </c>
      <c r="T191" s="638"/>
      <c r="U191" s="638"/>
      <c r="V191" s="638"/>
      <c r="W191" s="638"/>
      <c r="X191" s="638"/>
      <c r="Y191" s="638"/>
      <c r="Z191" s="638"/>
    </row>
    <row r="192" spans="1:26" s="624" customFormat="1" ht="22.8" x14ac:dyDescent="0.25">
      <c r="A192" s="639"/>
      <c r="B192" s="1524" t="s">
        <v>1027</v>
      </c>
      <c r="C192" s="1523"/>
      <c r="D192" s="687" t="str">
        <f>IF(LOWER(Setting!rng_language)="english","R-VALUE:","VALEUR R :")</f>
        <v>R-VALUE:</v>
      </c>
      <c r="E192" s="1"/>
      <c r="F192" s="320"/>
      <c r="G192" s="678"/>
      <c r="H192" s="641"/>
      <c r="I192" s="642"/>
      <c r="J192" s="643"/>
      <c r="K192" s="676"/>
      <c r="L192" s="677"/>
      <c r="M192" s="677"/>
      <c r="N192" s="677"/>
      <c r="O192" s="25" t="str">
        <f>_xlfn.IFNA(VLOOKUP($C192,'Master sheet'!$A:$AR,44,FALSE),"")&amp;""</f>
        <v/>
      </c>
      <c r="P192" s="637"/>
      <c r="Q192" s="722"/>
      <c r="R192" s="728" t="s">
        <v>1643</v>
      </c>
      <c r="S192" s="638"/>
      <c r="T192" s="638"/>
      <c r="U192" s="638"/>
      <c r="V192" s="638"/>
      <c r="W192" s="638"/>
      <c r="X192" s="638"/>
      <c r="Y192" s="638"/>
      <c r="Z192" s="638"/>
    </row>
    <row r="193" spans="1:26" ht="35.4" customHeight="1" x14ac:dyDescent="0.25">
      <c r="A193" s="1601"/>
      <c r="B193" s="1601"/>
      <c r="C193" s="669" t="str">
        <f>INDEX('Master sheet'!$A$1:$A$670,MATCH("A21",'Master sheet'!$AN$1:$AN$670,0))</f>
        <v>Cork board insulation / Amorim  / Expanded Insulation Corkboard (ICB) / R3.6-inch, 115 kg/m3</v>
      </c>
      <c r="D193" s="15">
        <f>'USER INPUT SHEET'!$D$40</f>
        <v>0</v>
      </c>
      <c r="E193" s="16" t="str">
        <f>'USER INPUT SHEET'!$F$40</f>
        <v>m2</v>
      </c>
      <c r="F193" s="3">
        <v>1</v>
      </c>
      <c r="G193" s="670"/>
      <c r="H193" s="8"/>
      <c r="I193" s="95">
        <f t="shared" ref="I193" si="58">K193-L193</f>
        <v>0</v>
      </c>
      <c r="J193" s="96" t="str">
        <f t="shared" ref="J193" si="59">IF(H193=1,I193,"")</f>
        <v/>
      </c>
      <c r="K193" s="407">
        <f>$D193*($E$192/5.678)*$F193*VLOOKUP($C193,'Master sheet'!$A:$AL,13,FALSE)</f>
        <v>0</v>
      </c>
      <c r="L193" s="97">
        <f>$D193*($E$192/5.678)*$F193*VLOOKUP($C193,'Master sheet'!$A:$AL,27,FALSE)</f>
        <v>0</v>
      </c>
      <c r="M193" s="1552"/>
      <c r="N193" s="1552"/>
      <c r="O193" s="25" t="str">
        <f>_xlfn.IFNA(VLOOKUP($C193,'Master sheet'!$A:$AR,44,FALSE),"")&amp;""</f>
        <v/>
      </c>
      <c r="P193" s="637"/>
      <c r="Q193" s="765" t="s">
        <v>1642</v>
      </c>
      <c r="R193" s="728" t="s">
        <v>1643</v>
      </c>
      <c r="S193" s="624"/>
      <c r="T193" s="664"/>
      <c r="U193" s="664"/>
      <c r="V193" s="664"/>
      <c r="W193" s="664"/>
      <c r="X193" s="664"/>
      <c r="Y193" s="664"/>
      <c r="Z193" s="664"/>
    </row>
    <row r="194" spans="1:26" s="624" customFormat="1" ht="54.75" customHeight="1" x14ac:dyDescent="0.25">
      <c r="A194" s="1522" t="s">
        <v>1644</v>
      </c>
      <c r="B194" s="1523"/>
      <c r="C194" s="1523"/>
      <c r="D194" s="649"/>
      <c r="E194" s="650"/>
      <c r="F194" s="321"/>
      <c r="G194" s="650"/>
      <c r="H194" s="650"/>
      <c r="I194" s="651"/>
      <c r="J194" s="651"/>
      <c r="K194" s="652"/>
      <c r="L194" s="759"/>
      <c r="M194" s="759"/>
      <c r="N194" s="759"/>
      <c r="O194" s="25" t="str">
        <f>_xlfn.IFNA(VLOOKUP($C194,'Master sheet'!$A:$AR,44,FALSE),"")&amp;""</f>
        <v/>
      </c>
      <c r="P194" s="637"/>
      <c r="Q194" s="811"/>
      <c r="R194" s="638"/>
      <c r="S194" s="638"/>
      <c r="T194" s="638"/>
      <c r="U194" s="638"/>
      <c r="V194" s="638"/>
      <c r="W194" s="638"/>
      <c r="X194" s="638"/>
      <c r="Y194" s="638"/>
      <c r="Z194" s="638"/>
    </row>
    <row r="195" spans="1:26" ht="23.25" customHeight="1" x14ac:dyDescent="0.25">
      <c r="A195" s="686"/>
      <c r="B195" s="1541" t="s">
        <v>1038</v>
      </c>
      <c r="C195" s="1530"/>
      <c r="D195" s="812"/>
      <c r="E195" s="813"/>
      <c r="F195" s="341"/>
      <c r="G195" s="781"/>
      <c r="H195" s="782"/>
      <c r="I195" s="814"/>
      <c r="J195" s="784"/>
      <c r="K195" s="783"/>
      <c r="L195" s="785"/>
      <c r="M195" s="743"/>
      <c r="N195" s="743"/>
      <c r="O195" s="25" t="str">
        <f>_xlfn.IFNA(VLOOKUP($C195,'Master sheet'!$A:$AR,44,FALSE),"")&amp;""</f>
        <v/>
      </c>
      <c r="P195" s="685"/>
      <c r="Q195" s="664"/>
      <c r="R195" s="664"/>
      <c r="S195" s="664"/>
      <c r="T195" s="664"/>
      <c r="U195" s="664"/>
      <c r="V195" s="664"/>
      <c r="W195" s="664"/>
      <c r="X195" s="664"/>
      <c r="Y195" s="664"/>
      <c r="Z195" s="664"/>
    </row>
    <row r="196" spans="1:26" ht="31.5" customHeight="1" x14ac:dyDescent="0.25">
      <c r="A196" s="729"/>
      <c r="B196" s="729"/>
      <c r="C196" s="691" t="s">
        <v>1069</v>
      </c>
      <c r="D196" s="19">
        <f>'USER INPUT SHEET'!$D$40</f>
        <v>0</v>
      </c>
      <c r="E196" s="20" t="str">
        <f>'USER INPUT SHEET'!$F$40</f>
        <v>m2</v>
      </c>
      <c r="F196" s="6">
        <v>1</v>
      </c>
      <c r="G196" s="692"/>
      <c r="H196" s="10"/>
      <c r="I196" s="98">
        <f>K196-L196</f>
        <v>0</v>
      </c>
      <c r="J196" s="91" t="str">
        <f>IF(H196=1,I196,"")</f>
        <v/>
      </c>
      <c r="K196" s="410">
        <f>F196*AVERAGE(K197:K198)</f>
        <v>0</v>
      </c>
      <c r="L196" s="99">
        <f>F196*AVERAGE(L197:L198)</f>
        <v>0</v>
      </c>
      <c r="M196" s="1552"/>
      <c r="N196" s="1552"/>
      <c r="O196" s="25" t="str">
        <f>_xlfn.IFNA(VLOOKUP($C196,'Master sheet'!$A:$AR,44,FALSE),"")&amp;""</f>
        <v/>
      </c>
      <c r="P196" s="685"/>
      <c r="Q196" s="765" t="s">
        <v>1642</v>
      </c>
      <c r="R196" s="664" t="s">
        <v>1645</v>
      </c>
      <c r="S196" s="664"/>
      <c r="T196" s="664"/>
      <c r="U196" s="664"/>
      <c r="V196" s="664"/>
      <c r="W196" s="664"/>
      <c r="X196" s="664"/>
      <c r="Y196" s="664"/>
      <c r="Z196" s="664"/>
    </row>
    <row r="197" spans="1:26" ht="22.8" x14ac:dyDescent="0.25">
      <c r="A197" s="1564"/>
      <c r="B197" s="1564"/>
      <c r="C197" s="673" t="str">
        <f>INDEX('Master sheet'!$A$1:$A$670,MATCH(89,'Master sheet'!$AN$1:$AN$670,0))</f>
        <v>Drywall 1/2" / Pabco / QuietRock / QuietRock 1/2"</v>
      </c>
      <c r="D197" s="15">
        <f>'USER INPUT SHEET'!$D$40</f>
        <v>0</v>
      </c>
      <c r="E197" s="16" t="str">
        <f>'USER INPUT SHEET'!$F$40</f>
        <v>m2</v>
      </c>
      <c r="F197" s="3">
        <v>1</v>
      </c>
      <c r="G197" s="670"/>
      <c r="H197" s="8"/>
      <c r="I197" s="92">
        <f t="shared" ref="I197:I198" si="60">K197-L197</f>
        <v>0</v>
      </c>
      <c r="J197" s="93" t="str">
        <f t="shared" ref="J197:J198" si="61">IF(H197=1,I197,"")</f>
        <v/>
      </c>
      <c r="K197" s="406">
        <f>$D197*$F197*VLOOKUP($C197,'Master sheet'!$A:$AL,13,FALSE)</f>
        <v>0</v>
      </c>
      <c r="L197" s="94">
        <f>$D197*$F197*VLOOKUP($C197,'Master sheet'!$A:$AL,27,FALSE)</f>
        <v>0</v>
      </c>
      <c r="M197" s="1552"/>
      <c r="N197" s="1552"/>
      <c r="O197" s="25" t="str">
        <f ca="1">_xlfn.IFNA(VLOOKUP($C197,'Master sheet'!$A:$AR,44,FALSE),"")&amp;""</f>
        <v>Expired 2025</v>
      </c>
      <c r="P197" s="685"/>
      <c r="Q197" s="765" t="s">
        <v>1642</v>
      </c>
      <c r="R197" s="664" t="s">
        <v>1645</v>
      </c>
      <c r="S197" s="664"/>
      <c r="T197" s="664"/>
      <c r="U197" s="664"/>
      <c r="V197" s="664"/>
      <c r="W197" s="664"/>
      <c r="X197" s="664"/>
      <c r="Y197" s="664"/>
      <c r="Z197" s="664"/>
    </row>
    <row r="198" spans="1:26" ht="31.2" x14ac:dyDescent="0.25">
      <c r="A198" s="1564"/>
      <c r="B198" s="1564"/>
      <c r="C198" s="673" t="str">
        <f>INDEX('Master sheet'!$A$1:$A$670,MATCH(376,'Master sheet'!$AN$1:$AN$670,0))</f>
        <v>Drywall 1/2" / National Gypsum / Gold Bond XP Gypsum Board  / 1/2" (12.7 mm)</v>
      </c>
      <c r="D198" s="15">
        <f>'USER INPUT SHEET'!$D$40</f>
        <v>0</v>
      </c>
      <c r="E198" s="16" t="str">
        <f>'USER INPUT SHEET'!$F$40</f>
        <v>m2</v>
      </c>
      <c r="F198" s="3">
        <v>1</v>
      </c>
      <c r="G198" s="670"/>
      <c r="H198" s="8"/>
      <c r="I198" s="92">
        <f t="shared" si="60"/>
        <v>0</v>
      </c>
      <c r="J198" s="93" t="str">
        <f t="shared" si="61"/>
        <v/>
      </c>
      <c r="K198" s="406">
        <f>$D198*$F198*VLOOKUP($C198,'Master sheet'!$A:$AL,13,FALSE)</f>
        <v>0</v>
      </c>
      <c r="L198" s="94">
        <f>$D198*$F198*VLOOKUP($C198,'Master sheet'!$A:$AL,27,FALSE)</f>
        <v>0</v>
      </c>
      <c r="M198" s="1552"/>
      <c r="N198" s="1552"/>
      <c r="O198" s="25" t="str">
        <f ca="1">_xlfn.IFNA(VLOOKUP($C198,'Master sheet'!$A:$AR,44,FALSE),"")&amp;""</f>
        <v/>
      </c>
      <c r="P198" s="685"/>
      <c r="Q198" s="765" t="s">
        <v>1642</v>
      </c>
      <c r="R198" s="664" t="s">
        <v>1645</v>
      </c>
      <c r="S198" s="664"/>
      <c r="T198" s="664"/>
      <c r="U198" s="664"/>
      <c r="V198" s="664"/>
      <c r="W198" s="664"/>
      <c r="X198" s="664"/>
      <c r="Y198" s="664"/>
      <c r="Z198" s="664"/>
    </row>
    <row r="199" spans="1:26" s="624" customFormat="1" ht="23.25" customHeight="1" x14ac:dyDescent="0.25">
      <c r="A199" s="639"/>
      <c r="B199" s="1524" t="s">
        <v>1039</v>
      </c>
      <c r="C199" s="1523"/>
      <c r="D199" s="773"/>
      <c r="E199" s="778"/>
      <c r="F199" s="340"/>
      <c r="G199" s="739"/>
      <c r="H199" s="740"/>
      <c r="I199" s="779"/>
      <c r="J199" s="742"/>
      <c r="K199" s="741"/>
      <c r="L199" s="743"/>
      <c r="M199" s="743"/>
      <c r="N199" s="743"/>
      <c r="O199" s="25" t="str">
        <f>_xlfn.IFNA(VLOOKUP($C199,'Master sheet'!$A:$AR,44,FALSE),"")&amp;""</f>
        <v/>
      </c>
      <c r="P199" s="637"/>
      <c r="Q199" s="765"/>
      <c r="R199" s="638"/>
      <c r="S199" s="638"/>
      <c r="T199" s="638"/>
      <c r="U199" s="638"/>
      <c r="V199" s="638"/>
      <c r="W199" s="638"/>
      <c r="X199" s="638"/>
      <c r="Y199" s="638"/>
      <c r="Z199" s="638"/>
    </row>
    <row r="200" spans="1:26" s="624" customFormat="1" ht="31.2" x14ac:dyDescent="0.25">
      <c r="A200" s="729"/>
      <c r="B200" s="729"/>
      <c r="C200" s="691" t="s">
        <v>4937</v>
      </c>
      <c r="D200" s="19">
        <f>'USER INPUT SHEET'!$D$40</f>
        <v>0</v>
      </c>
      <c r="E200" s="20" t="str">
        <f>'USER INPUT SHEET'!$F$40</f>
        <v>m2</v>
      </c>
      <c r="F200" s="6">
        <v>1</v>
      </c>
      <c r="G200" s="692"/>
      <c r="H200" s="10"/>
      <c r="I200" s="98">
        <f>K200-L200</f>
        <v>0</v>
      </c>
      <c r="J200" s="91" t="str">
        <f>IF(H200=1,I200,"")</f>
        <v/>
      </c>
      <c r="K200" s="410">
        <f>F200*AVERAGE(K201:K203)</f>
        <v>0</v>
      </c>
      <c r="L200" s="99">
        <f>F200*AVERAGE(L201:L203)</f>
        <v>0</v>
      </c>
      <c r="M200" s="1552"/>
      <c r="N200" s="1552"/>
      <c r="O200" s="25" t="str">
        <f>_xlfn.IFNA(VLOOKUP($C200,'Master sheet'!$A:$AR,44,FALSE),"")&amp;""</f>
        <v/>
      </c>
      <c r="P200" s="685"/>
      <c r="Q200" s="765" t="s">
        <v>1642</v>
      </c>
      <c r="R200" s="664" t="s">
        <v>1645</v>
      </c>
      <c r="S200" s="664"/>
      <c r="T200" s="664"/>
      <c r="U200" s="638"/>
      <c r="V200" s="638"/>
      <c r="W200" s="638"/>
      <c r="X200" s="638"/>
      <c r="Y200" s="638"/>
      <c r="Z200" s="638"/>
    </row>
    <row r="201" spans="1:26" ht="47.25" customHeight="1" x14ac:dyDescent="0.25">
      <c r="A201" s="1600"/>
      <c r="B201" s="1600"/>
      <c r="C201" s="669" t="str">
        <f>INDEX('Master sheet'!$A$1:$A$670,MATCH(90,'Master sheet'!$AN$1:$AN$670,0))</f>
        <v>Drywall 5/8" /  / Includes American Gypsum, CertainTeed, Continental, Georgia-Pacific, National Gypsum, Pabco, USG, CGC / 5/8"</v>
      </c>
      <c r="D201" s="15">
        <f>'USER INPUT SHEET'!$D$40</f>
        <v>0</v>
      </c>
      <c r="E201" s="16" t="str">
        <f>'USER INPUT SHEET'!$F$40</f>
        <v>m2</v>
      </c>
      <c r="F201" s="3">
        <v>1</v>
      </c>
      <c r="G201" s="670"/>
      <c r="H201" s="8"/>
      <c r="I201" s="92">
        <f t="shared" ref="I201:I202" si="62">K201-L201</f>
        <v>0</v>
      </c>
      <c r="J201" s="93" t="str">
        <f t="shared" ref="J201:J202" si="63">IF(H201=1,I201,"")</f>
        <v/>
      </c>
      <c r="K201" s="406">
        <f>$D201*$F201*VLOOKUP($C201,'Master sheet'!$A:$AL,13,FALSE)</f>
        <v>0</v>
      </c>
      <c r="L201" s="94">
        <f>$D201*$F201*VLOOKUP($C201,'Master sheet'!$A:$AL,27,FALSE)</f>
        <v>0</v>
      </c>
      <c r="M201" s="1552"/>
      <c r="N201" s="1552"/>
      <c r="O201" s="25" t="str">
        <f ca="1">_xlfn.IFNA(VLOOKUP($C201,'Master sheet'!$A:$AR,44,FALSE),"")&amp;""</f>
        <v>Expired 2025</v>
      </c>
      <c r="P201" s="685"/>
      <c r="Q201" s="765" t="s">
        <v>1642</v>
      </c>
      <c r="R201" s="664" t="s">
        <v>1645</v>
      </c>
      <c r="S201" s="664"/>
      <c r="T201" s="664"/>
      <c r="U201" s="664"/>
      <c r="V201" s="664"/>
      <c r="W201" s="664"/>
      <c r="X201" s="664"/>
      <c r="Y201" s="664"/>
      <c r="Z201" s="664"/>
    </row>
    <row r="202" spans="1:26" s="624" customFormat="1" ht="31.2" x14ac:dyDescent="0.25">
      <c r="A202" s="1600"/>
      <c r="B202" s="1600"/>
      <c r="C202" s="673" t="str">
        <f>INDEX('Master sheet'!$A$1:$A$670,MATCH(377,'Master sheet'!$AN$1:$AN$670,0))</f>
        <v>Drywall 5/8" Type X / National Gypsum / Gold Bond XP Fire-Shield Gypsum Board  / 5/8'' type X</v>
      </c>
      <c r="D202" s="17">
        <f>'USER INPUT SHEET'!$D$40</f>
        <v>0</v>
      </c>
      <c r="E202" s="18" t="str">
        <f>'USER INPUT SHEET'!$F$40</f>
        <v>m2</v>
      </c>
      <c r="F202" s="4">
        <v>1</v>
      </c>
      <c r="G202" s="674"/>
      <c r="H202" s="9"/>
      <c r="I202" s="95">
        <f t="shared" si="62"/>
        <v>0</v>
      </c>
      <c r="J202" s="96" t="str">
        <f t="shared" si="63"/>
        <v/>
      </c>
      <c r="K202" s="407">
        <f>$D202*$F202*VLOOKUP($C202,'Master sheet'!$A:$AL,13,FALSE)</f>
        <v>0</v>
      </c>
      <c r="L202" s="97">
        <f>$D202*$F202*VLOOKUP($C202,'Master sheet'!$A:$AL,27,FALSE)</f>
        <v>0</v>
      </c>
      <c r="M202" s="1552"/>
      <c r="N202" s="1552"/>
      <c r="O202" s="25" t="str">
        <f ca="1">_xlfn.IFNA(VLOOKUP($C202,'Master sheet'!$A:$AR,44,FALSE),"")&amp;""</f>
        <v/>
      </c>
      <c r="P202" s="685"/>
      <c r="Q202" s="765" t="s">
        <v>1642</v>
      </c>
      <c r="R202" s="664" t="s">
        <v>1645</v>
      </c>
      <c r="S202" s="638"/>
      <c r="T202" s="638"/>
      <c r="U202" s="638"/>
      <c r="V202" s="638"/>
      <c r="W202" s="638"/>
      <c r="X202" s="638"/>
      <c r="Y202" s="638"/>
      <c r="Z202" s="638"/>
    </row>
    <row r="203" spans="1:26" s="624" customFormat="1" ht="31.2" x14ac:dyDescent="0.25">
      <c r="A203" s="1600"/>
      <c r="B203" s="1600"/>
      <c r="C203" s="673" t="str">
        <f>INDEX('Master sheet'!$A$1:$A$670,MATCH("A27",'Master sheet'!$AN$1:$AN$670,0))</f>
        <v>Drywall 5/8"  / USG / Sheetrock Brand EcoSmart Firecode X  / 5/8'' type X</v>
      </c>
      <c r="D203" s="17">
        <f>'USER INPUT SHEET'!$D$40</f>
        <v>0</v>
      </c>
      <c r="E203" s="18" t="str">
        <f>'USER INPUT SHEET'!$F$40</f>
        <v>m2</v>
      </c>
      <c r="F203" s="4">
        <v>1</v>
      </c>
      <c r="G203" s="674"/>
      <c r="H203" s="9"/>
      <c r="I203" s="95">
        <f t="shared" ref="I203" si="64">K203-L203</f>
        <v>0</v>
      </c>
      <c r="J203" s="96" t="str">
        <f t="shared" ref="J203" si="65">IF(H203=1,I203,"")</f>
        <v/>
      </c>
      <c r="K203" s="407">
        <f>$D203*$F203*VLOOKUP($C203,'Master sheet'!$A:$AL,13,FALSE)</f>
        <v>0</v>
      </c>
      <c r="L203" s="97">
        <f>$D203*$F203*VLOOKUP($C203,'Master sheet'!$A:$AL,27,FALSE)</f>
        <v>0</v>
      </c>
      <c r="M203" s="1610"/>
      <c r="N203" s="1610"/>
      <c r="O203" s="25" t="str">
        <f>_xlfn.IFNA(VLOOKUP($C203,'Master sheet'!$A:$AR,44,FALSE),"")&amp;""</f>
        <v/>
      </c>
      <c r="P203" s="685"/>
      <c r="Q203" s="765" t="s">
        <v>1642</v>
      </c>
      <c r="R203" s="664" t="s">
        <v>1645</v>
      </c>
      <c r="S203" s="638"/>
      <c r="T203" s="638"/>
      <c r="U203" s="638"/>
      <c r="V203" s="638"/>
      <c r="W203" s="638"/>
      <c r="X203" s="638"/>
      <c r="Y203" s="638"/>
      <c r="Z203" s="638"/>
    </row>
    <row r="204" spans="1:26" s="624" customFormat="1" ht="23.25" customHeight="1" x14ac:dyDescent="0.25">
      <c r="A204" s="639"/>
      <c r="B204" s="1524" t="s">
        <v>50</v>
      </c>
      <c r="C204" s="1524"/>
      <c r="D204" s="640"/>
      <c r="E204" s="641"/>
      <c r="F204" s="325"/>
      <c r="G204" s="678"/>
      <c r="H204" s="679"/>
      <c r="I204" s="642"/>
      <c r="J204" s="643"/>
      <c r="K204" s="676"/>
      <c r="L204" s="677"/>
      <c r="M204" s="677"/>
      <c r="N204" s="677"/>
      <c r="O204" s="25" t="str">
        <f>_xlfn.IFNA(VLOOKUP($C204,'Master sheet'!$A:$AR,44,FALSE),"")&amp;""</f>
        <v/>
      </c>
      <c r="P204" s="637"/>
      <c r="Q204" s="765"/>
      <c r="R204" s="638"/>
      <c r="S204" s="638"/>
      <c r="T204" s="638"/>
      <c r="U204" s="638"/>
      <c r="V204" s="638"/>
      <c r="W204" s="638"/>
      <c r="X204" s="638"/>
      <c r="Y204" s="638"/>
      <c r="Z204" s="638"/>
    </row>
    <row r="205" spans="1:26" s="624" customFormat="1" ht="23.25" customHeight="1" x14ac:dyDescent="0.25">
      <c r="A205" s="815"/>
      <c r="C205" s="647" t="str">
        <f>INDEX('Master sheet'!$A$1:$A$670,MATCH(146,'Master sheet'!$AN$1:$AN$670,0))</f>
        <v>MgO board 1/2" / North American MgO / MagTech Ultra / 1/2"</v>
      </c>
      <c r="D205" s="13">
        <f>'USER INPUT SHEET'!$D$40</f>
        <v>0</v>
      </c>
      <c r="E205" s="14" t="str">
        <f>'USER INPUT SHEET'!$F$40</f>
        <v>m2</v>
      </c>
      <c r="F205" s="2">
        <v>1</v>
      </c>
      <c r="G205" s="648"/>
      <c r="H205" s="7"/>
      <c r="I205" s="88">
        <f>K205-L205</f>
        <v>0</v>
      </c>
      <c r="J205" s="89" t="str">
        <f t="shared" ref="J205:J220" si="66">IF(H205=1,I205,"")</f>
        <v/>
      </c>
      <c r="K205" s="404">
        <f>$D205*$F205*VLOOKUP($C205,'Master sheet'!$A:$AL,13,FALSE)</f>
        <v>0</v>
      </c>
      <c r="L205" s="90">
        <f>$D205*$F205*VLOOKUP($C205,'Master sheet'!$A:$AL,27,FALSE)</f>
        <v>0</v>
      </c>
      <c r="M205" s="1552"/>
      <c r="N205" s="1552"/>
      <c r="O205" s="25" t="str">
        <f ca="1">_xlfn.IFNA(VLOOKUP($C205,'Master sheet'!$A:$AR,44,FALSE),"")&amp;""</f>
        <v>Expired 2023</v>
      </c>
      <c r="P205" s="637"/>
      <c r="Q205" s="765" t="s">
        <v>1642</v>
      </c>
      <c r="R205" s="664" t="s">
        <v>1645</v>
      </c>
      <c r="S205" s="638"/>
      <c r="T205" s="638"/>
      <c r="U205" s="638"/>
      <c r="V205" s="638"/>
      <c r="W205" s="638"/>
      <c r="X205" s="638"/>
      <c r="Y205" s="638"/>
      <c r="Z205" s="638"/>
    </row>
    <row r="206" spans="1:26" s="624" customFormat="1" ht="22.8" x14ac:dyDescent="0.25">
      <c r="A206" s="815"/>
      <c r="B206" s="748" t="s">
        <v>937</v>
      </c>
      <c r="C206" s="647" t="str">
        <f>INDEX('Master sheet'!$A$1:$A$670,MATCH("248-1",'Master sheet'!$AN$1:$AN$670,0))</f>
        <v xml:space="preserve">Wood - SPF / Canadian Wood Council / British Columbia / </v>
      </c>
      <c r="D206" s="13">
        <f>'USER INPUT SHEET'!$D$40</f>
        <v>0</v>
      </c>
      <c r="E206" s="14" t="str">
        <f>'USER INPUT SHEET'!$F$40</f>
        <v>m2</v>
      </c>
      <c r="F206" s="2">
        <v>1</v>
      </c>
      <c r="G206" s="648"/>
      <c r="H206" s="7"/>
      <c r="I206" s="92">
        <f t="shared" ref="I206:I213" si="67">K206-L206-IF(N206,M206,0)</f>
        <v>0</v>
      </c>
      <c r="J206" s="89" t="str">
        <f t="shared" si="66"/>
        <v/>
      </c>
      <c r="K206" s="404">
        <f>$D206*$F206*VLOOKUP($C206,'Master sheet'!$A:$AL,13,FALSE)*0.01905</f>
        <v>0</v>
      </c>
      <c r="L206" s="90">
        <f>$D206*$F206*VLOOKUP($C206,'Master sheet'!$A:$AL,27,FALSE)*0.01905</f>
        <v>0</v>
      </c>
      <c r="M206" s="1552"/>
      <c r="N206" s="1552"/>
      <c r="O206" s="25" t="str">
        <f>_xlfn.IFNA(VLOOKUP($C206,'Master sheet'!$A:$AR,44,FALSE),"")&amp;""</f>
        <v/>
      </c>
      <c r="P206" s="637"/>
      <c r="Q206" s="765" t="s">
        <v>1642</v>
      </c>
      <c r="R206" s="664" t="s">
        <v>1645</v>
      </c>
      <c r="S206" s="638" t="s">
        <v>7254</v>
      </c>
      <c r="T206" s="638"/>
      <c r="U206" s="638"/>
      <c r="V206" s="638"/>
      <c r="W206" s="638"/>
      <c r="X206" s="638"/>
      <c r="Y206" s="638"/>
      <c r="Z206" s="638"/>
    </row>
    <row r="207" spans="1:26" s="624" customFormat="1" ht="22.8" x14ac:dyDescent="0.25">
      <c r="A207" s="815"/>
      <c r="B207" s="748" t="s">
        <v>937</v>
      </c>
      <c r="C207" s="647" t="str">
        <f>INDEX('Master sheet'!$A$1:$A$670,MATCH("248-2",'Master sheet'!$AN$1:$AN$670,0))</f>
        <v xml:space="preserve">Wood - SPF / Canadian Wood Council / Alberta / </v>
      </c>
      <c r="D207" s="13">
        <f>'USER INPUT SHEET'!$D$40</f>
        <v>0</v>
      </c>
      <c r="E207" s="14" t="str">
        <f>'USER INPUT SHEET'!$F$40</f>
        <v>m2</v>
      </c>
      <c r="F207" s="2">
        <v>1</v>
      </c>
      <c r="G207" s="648"/>
      <c r="H207" s="7"/>
      <c r="I207" s="92">
        <f t="shared" si="67"/>
        <v>0</v>
      </c>
      <c r="J207" s="89" t="str">
        <f t="shared" ref="J207:J211" si="68">IF(H207=1,I207,"")</f>
        <v/>
      </c>
      <c r="K207" s="404">
        <f>$D207*$F207*VLOOKUP($C207,'Master sheet'!$A:$AL,13,FALSE)*0.01905</f>
        <v>0</v>
      </c>
      <c r="L207" s="90">
        <f>$D207*$F207*VLOOKUP($C207,'Master sheet'!$A:$AL,27,FALSE)*0.01905</f>
        <v>0</v>
      </c>
      <c r="M207" s="1552"/>
      <c r="N207" s="1552"/>
      <c r="O207" s="25" t="str">
        <f>_xlfn.IFNA(VLOOKUP($C207,'Master sheet'!$A:$AR,44,FALSE),"")&amp;""</f>
        <v/>
      </c>
      <c r="P207" s="637"/>
      <c r="Q207" s="765" t="s">
        <v>1642</v>
      </c>
      <c r="R207" s="664" t="s">
        <v>1645</v>
      </c>
      <c r="S207" s="638" t="s">
        <v>7254</v>
      </c>
      <c r="T207" s="638"/>
      <c r="U207" s="638"/>
      <c r="V207" s="638"/>
      <c r="W207" s="638"/>
      <c r="X207" s="638"/>
      <c r="Y207" s="638"/>
      <c r="Z207" s="638"/>
    </row>
    <row r="208" spans="1:26" s="624" customFormat="1" ht="22.8" x14ac:dyDescent="0.25">
      <c r="A208" s="815"/>
      <c r="B208" s="748" t="s">
        <v>937</v>
      </c>
      <c r="C208" s="647" t="str">
        <f>INDEX('Master sheet'!$A$1:$A$670,MATCH("248-3",'Master sheet'!$AN$1:$AN$670,0))</f>
        <v xml:space="preserve">Wood - SPF / Canadian Wood Council / Ontario / </v>
      </c>
      <c r="D208" s="13">
        <f>'USER INPUT SHEET'!$D$40</f>
        <v>0</v>
      </c>
      <c r="E208" s="14" t="str">
        <f>'USER INPUT SHEET'!$F$40</f>
        <v>m2</v>
      </c>
      <c r="F208" s="2">
        <v>1</v>
      </c>
      <c r="G208" s="648"/>
      <c r="H208" s="7"/>
      <c r="I208" s="92">
        <f t="shared" si="67"/>
        <v>0</v>
      </c>
      <c r="J208" s="89" t="str">
        <f t="shared" si="68"/>
        <v/>
      </c>
      <c r="K208" s="404">
        <f>$D208*$F208*VLOOKUP($C208,'Master sheet'!$A:$AL,13,FALSE)*0.01905</f>
        <v>0</v>
      </c>
      <c r="L208" s="90">
        <f>$D208*$F208*VLOOKUP($C208,'Master sheet'!$A:$AL,27,FALSE)*0.01905</f>
        <v>0</v>
      </c>
      <c r="M208" s="1552"/>
      <c r="N208" s="1552"/>
      <c r="O208" s="25" t="str">
        <f>_xlfn.IFNA(VLOOKUP($C208,'Master sheet'!$A:$AR,44,FALSE),"")&amp;""</f>
        <v/>
      </c>
      <c r="P208" s="637"/>
      <c r="Q208" s="765" t="s">
        <v>1642</v>
      </c>
      <c r="R208" s="664" t="s">
        <v>1645</v>
      </c>
      <c r="S208" s="638" t="s">
        <v>7254</v>
      </c>
      <c r="T208" s="638"/>
      <c r="U208" s="638"/>
      <c r="V208" s="638"/>
      <c r="W208" s="638"/>
      <c r="X208" s="638"/>
      <c r="Y208" s="638"/>
      <c r="Z208" s="638"/>
    </row>
    <row r="209" spans="1:26" s="624" customFormat="1" ht="22.8" x14ac:dyDescent="0.25">
      <c r="A209" s="815"/>
      <c r="B209" s="748" t="s">
        <v>937</v>
      </c>
      <c r="C209" s="647" t="str">
        <f>INDEX('Master sheet'!$A$1:$A$670,MATCH("248-4",'Master sheet'!$AN$1:$AN$670,0))</f>
        <v xml:space="preserve">Wood - SPF / Canadian Wood Council / Quebec / </v>
      </c>
      <c r="D209" s="13">
        <f>'USER INPUT SHEET'!$D$40</f>
        <v>0</v>
      </c>
      <c r="E209" s="14" t="str">
        <f>'USER INPUT SHEET'!$F$40</f>
        <v>m2</v>
      </c>
      <c r="F209" s="2">
        <v>1</v>
      </c>
      <c r="G209" s="648"/>
      <c r="H209" s="7"/>
      <c r="I209" s="92">
        <f t="shared" si="67"/>
        <v>0</v>
      </c>
      <c r="J209" s="89" t="str">
        <f t="shared" si="68"/>
        <v/>
      </c>
      <c r="K209" s="404">
        <f>$D209*$F209*VLOOKUP($C209,'Master sheet'!$A:$AL,13,FALSE)*0.01905</f>
        <v>0</v>
      </c>
      <c r="L209" s="90">
        <f>$D209*$F209*VLOOKUP($C209,'Master sheet'!$A:$AL,27,FALSE)*0.01905</f>
        <v>0</v>
      </c>
      <c r="M209" s="1552"/>
      <c r="N209" s="1552"/>
      <c r="O209" s="25" t="str">
        <f>_xlfn.IFNA(VLOOKUP($C209,'Master sheet'!$A:$AR,44,FALSE),"")&amp;""</f>
        <v/>
      </c>
      <c r="P209" s="637"/>
      <c r="Q209" s="765" t="s">
        <v>1642</v>
      </c>
      <c r="R209" s="664" t="s">
        <v>1645</v>
      </c>
      <c r="S209" s="638" t="s">
        <v>7254</v>
      </c>
      <c r="T209" s="638"/>
      <c r="U209" s="638"/>
      <c r="V209" s="638"/>
      <c r="W209" s="638"/>
      <c r="X209" s="638"/>
      <c r="Y209" s="638"/>
      <c r="Z209" s="638"/>
    </row>
    <row r="210" spans="1:26" s="624" customFormat="1" ht="22.8" x14ac:dyDescent="0.25">
      <c r="A210" s="815"/>
      <c r="B210" s="748" t="s">
        <v>937</v>
      </c>
      <c r="C210" s="647" t="str">
        <f>INDEX('Master sheet'!$A$1:$A$670,MATCH("248-5",'Master sheet'!$AN$1:$AN$670,0))</f>
        <v xml:space="preserve">Wood - SPF / Canadian Wood Council / New Brunswick / </v>
      </c>
      <c r="D210" s="13">
        <f>'USER INPUT SHEET'!$D$40</f>
        <v>0</v>
      </c>
      <c r="E210" s="14" t="str">
        <f>'USER INPUT SHEET'!$F$40</f>
        <v>m2</v>
      </c>
      <c r="F210" s="2">
        <v>1</v>
      </c>
      <c r="G210" s="648"/>
      <c r="H210" s="7"/>
      <c r="I210" s="92">
        <f t="shared" si="67"/>
        <v>0</v>
      </c>
      <c r="J210" s="89" t="str">
        <f t="shared" si="68"/>
        <v/>
      </c>
      <c r="K210" s="404">
        <f>$D210*$F210*VLOOKUP($C210,'Master sheet'!$A:$AL,13,FALSE)*0.01905</f>
        <v>0</v>
      </c>
      <c r="L210" s="90">
        <f>$D210*$F210*VLOOKUP($C210,'Master sheet'!$A:$AL,27,FALSE)*0.01905</f>
        <v>0</v>
      </c>
      <c r="M210" s="1552"/>
      <c r="N210" s="1552"/>
      <c r="O210" s="25" t="str">
        <f>_xlfn.IFNA(VLOOKUP($C210,'Master sheet'!$A:$AR,44,FALSE),"")&amp;""</f>
        <v/>
      </c>
      <c r="P210" s="637"/>
      <c r="Q210" s="765" t="s">
        <v>1642</v>
      </c>
      <c r="R210" s="664" t="s">
        <v>1645</v>
      </c>
      <c r="S210" s="638" t="s">
        <v>7254</v>
      </c>
      <c r="T210" s="638"/>
      <c r="U210" s="638"/>
      <c r="V210" s="638"/>
      <c r="W210" s="638"/>
      <c r="X210" s="638"/>
      <c r="Y210" s="638"/>
      <c r="Z210" s="638"/>
    </row>
    <row r="211" spans="1:26" s="624" customFormat="1" ht="22.8" x14ac:dyDescent="0.25">
      <c r="A211" s="815"/>
      <c r="B211" s="748" t="s">
        <v>937</v>
      </c>
      <c r="C211" s="647" t="str">
        <f>INDEX('Master sheet'!$A$1:$A$670,MATCH("248-6",'Master sheet'!$AN$1:$AN$670,0))</f>
        <v xml:space="preserve">Wood - SPF / Canadian Wood Council / Atlantic Canada / </v>
      </c>
      <c r="D211" s="13">
        <f>'USER INPUT SHEET'!$D$40</f>
        <v>0</v>
      </c>
      <c r="E211" s="14" t="str">
        <f>'USER INPUT SHEET'!$F$40</f>
        <v>m2</v>
      </c>
      <c r="F211" s="2">
        <v>1</v>
      </c>
      <c r="G211" s="648"/>
      <c r="H211" s="7"/>
      <c r="I211" s="92">
        <f t="shared" si="67"/>
        <v>0</v>
      </c>
      <c r="J211" s="89" t="str">
        <f t="shared" si="68"/>
        <v/>
      </c>
      <c r="K211" s="404">
        <f>$D211*$F211*VLOOKUP($C211,'Master sheet'!$A:$AL,13,FALSE)*0.01905</f>
        <v>0</v>
      </c>
      <c r="L211" s="90">
        <f>$D211*$F211*VLOOKUP($C211,'Master sheet'!$A:$AL,27,FALSE)*0.01905</f>
        <v>0</v>
      </c>
      <c r="M211" s="1552"/>
      <c r="N211" s="1552"/>
      <c r="O211" s="25" t="str">
        <f>_xlfn.IFNA(VLOOKUP($C211,'Master sheet'!$A:$AR,44,FALSE),"")&amp;""</f>
        <v/>
      </c>
      <c r="P211" s="637"/>
      <c r="Q211" s="765" t="s">
        <v>1642</v>
      </c>
      <c r="R211" s="664" t="s">
        <v>1645</v>
      </c>
      <c r="S211" s="638" t="s">
        <v>7254</v>
      </c>
      <c r="T211" s="638"/>
      <c r="U211" s="638"/>
      <c r="V211" s="638"/>
      <c r="W211" s="638"/>
      <c r="X211" s="638"/>
      <c r="Y211" s="638"/>
      <c r="Z211" s="638"/>
    </row>
    <row r="212" spans="1:26" ht="31.5" customHeight="1" x14ac:dyDescent="0.25">
      <c r="A212" s="624"/>
      <c r="B212" s="624"/>
      <c r="C212" s="669" t="str">
        <f>INDEX('Master sheet'!$A$1:$A$670,MATCH(31,'Master sheet'!$AN$1:$AN$670,0))</f>
        <v>Cedar Siding / Western Red Cedar Lumber Assn /  / 1 x 6 Boards</v>
      </c>
      <c r="D212" s="15">
        <f>'USER INPUT SHEET'!$D$40</f>
        <v>0</v>
      </c>
      <c r="E212" s="16" t="str">
        <f>'USER INPUT SHEET'!$F$40</f>
        <v>m2</v>
      </c>
      <c r="F212" s="3">
        <v>1</v>
      </c>
      <c r="G212" s="670"/>
      <c r="H212" s="8"/>
      <c r="I212" s="92">
        <f t="shared" si="67"/>
        <v>0</v>
      </c>
      <c r="J212" s="93" t="str">
        <f t="shared" si="66"/>
        <v/>
      </c>
      <c r="K212" s="406">
        <f>$D212*$F212*VLOOKUP($C212,'Master sheet'!$A:$AL,13,FALSE)</f>
        <v>0</v>
      </c>
      <c r="L212" s="94">
        <f>$D212*$F212*VLOOKUP($C212,'Master sheet'!$A:$AL,27,FALSE)</f>
        <v>0</v>
      </c>
      <c r="M212" s="1552"/>
      <c r="N212" s="1552"/>
      <c r="O212" s="25" t="str">
        <f ca="1">_xlfn.IFNA(VLOOKUP($C212,'Master sheet'!$A:$AR,44,FALSE),"")&amp;""</f>
        <v>Expired 2021</v>
      </c>
      <c r="P212" s="637"/>
      <c r="Q212" s="765" t="s">
        <v>1642</v>
      </c>
      <c r="R212" s="664" t="s">
        <v>1645</v>
      </c>
      <c r="S212" s="664"/>
      <c r="T212" s="638" t="s">
        <v>7295</v>
      </c>
      <c r="U212" s="664"/>
      <c r="V212" s="664"/>
      <c r="W212" s="664"/>
      <c r="X212" s="664"/>
      <c r="Y212" s="664"/>
      <c r="Z212" s="664"/>
    </row>
    <row r="213" spans="1:26" ht="22.8" x14ac:dyDescent="0.25">
      <c r="A213" s="624"/>
      <c r="B213" s="624"/>
      <c r="C213" s="669" t="str">
        <f>INDEX('Master sheet'!$A$1:$A$670,MATCH("159-1",'Master sheet'!$AN$1:$AN$670,0))</f>
        <v>Plywood / Canadian Wood Council /  / 1/2"</v>
      </c>
      <c r="D213" s="15">
        <f>'USER INPUT SHEET'!$D$40</f>
        <v>0</v>
      </c>
      <c r="E213" s="16" t="str">
        <f>'USER INPUT SHEET'!$F$40</f>
        <v>m2</v>
      </c>
      <c r="F213" s="3">
        <v>1</v>
      </c>
      <c r="G213" s="670"/>
      <c r="H213" s="8"/>
      <c r="I213" s="92">
        <f t="shared" si="67"/>
        <v>0</v>
      </c>
      <c r="J213" s="93" t="str">
        <f t="shared" si="66"/>
        <v/>
      </c>
      <c r="K213" s="406">
        <f>$D213*$F213*VLOOKUP($C213,'Master sheet'!$A:$AL,13,FALSE)</f>
        <v>0</v>
      </c>
      <c r="L213" s="94">
        <f>$D213*$F213*VLOOKUP($C213,'Master sheet'!$A:$AL,27,FALSE)</f>
        <v>0</v>
      </c>
      <c r="M213" s="1552"/>
      <c r="N213" s="1552"/>
      <c r="O213" s="25" t="str">
        <f>_xlfn.IFNA(VLOOKUP($C213,'Master sheet'!$A:$AR,44,FALSE),"")&amp;""</f>
        <v/>
      </c>
      <c r="P213" s="637"/>
      <c r="Q213" s="765" t="s">
        <v>1642</v>
      </c>
      <c r="R213" s="664" t="s">
        <v>1645</v>
      </c>
      <c r="S213" s="664"/>
      <c r="T213" s="664"/>
      <c r="U213" s="664"/>
      <c r="V213" s="664"/>
      <c r="W213" s="664"/>
      <c r="X213" s="664"/>
      <c r="Y213" s="664"/>
      <c r="Z213" s="664"/>
    </row>
    <row r="214" spans="1:26" ht="23.25" customHeight="1" x14ac:dyDescent="0.25">
      <c r="A214" s="624"/>
      <c r="B214" s="624"/>
      <c r="C214" s="669" t="str">
        <f>INDEX('Master sheet'!$A$1:$A$670,MATCH(42,'Master sheet'!$AN$1:$AN$670,0))</f>
        <v>Clay plaster / Site mixed /  / 15 mm</v>
      </c>
      <c r="D214" s="15">
        <f>'USER INPUT SHEET'!$D$40</f>
        <v>0</v>
      </c>
      <c r="E214" s="16" t="str">
        <f>'USER INPUT SHEET'!$F$40</f>
        <v>m2</v>
      </c>
      <c r="F214" s="3">
        <v>1</v>
      </c>
      <c r="G214" s="670"/>
      <c r="H214" s="8"/>
      <c r="I214" s="92">
        <f t="shared" ref="I214" si="69">K214-L214</f>
        <v>0</v>
      </c>
      <c r="J214" s="93" t="str">
        <f t="shared" si="66"/>
        <v/>
      </c>
      <c r="K214" s="406">
        <f>$D214*$F214*VLOOKUP($C214,'Master sheet'!$A:$AL,13,FALSE)</f>
        <v>0</v>
      </c>
      <c r="L214" s="94">
        <f>$D214*$F214*VLOOKUP($C214,'Master sheet'!$A:$AL,27,FALSE)</f>
        <v>0</v>
      </c>
      <c r="M214" s="1552"/>
      <c r="N214" s="1552"/>
      <c r="O214" s="25" t="str">
        <f>_xlfn.IFNA(VLOOKUP($C214,'Master sheet'!$A:$AR,44,FALSE),"")&amp;""</f>
        <v>Peer-reviewed LCA, 2014</v>
      </c>
      <c r="P214" s="637"/>
      <c r="Q214" s="765" t="s">
        <v>1642</v>
      </c>
      <c r="R214" s="664" t="s">
        <v>1645</v>
      </c>
      <c r="S214" s="664"/>
      <c r="T214" s="664"/>
      <c r="U214" s="664"/>
      <c r="V214" s="664"/>
      <c r="W214" s="664"/>
      <c r="X214" s="664"/>
      <c r="Y214" s="664"/>
      <c r="Z214" s="664"/>
    </row>
    <row r="215" spans="1:26" ht="23.25" customHeight="1" x14ac:dyDescent="0.25">
      <c r="A215" s="624"/>
      <c r="B215" s="624"/>
      <c r="C215" s="749" t="str">
        <f>INDEX('Master sheet'!$A$1:$A$670,MATCH("A9",'Master sheet'!$AN$1:$AN$670,0))</f>
        <v>Bamboo plywood / Smith &amp; Fong / Plyboo / 1/2" (12.7 mm)</v>
      </c>
      <c r="D215" s="250">
        <f>'USER INPUT SHEET'!$D$40</f>
        <v>0</v>
      </c>
      <c r="E215" s="251" t="str">
        <f>'USER INPUT SHEET'!$F$40</f>
        <v>m2</v>
      </c>
      <c r="F215" s="252">
        <v>1</v>
      </c>
      <c r="G215" s="750"/>
      <c r="H215" s="253"/>
      <c r="I215" s="254">
        <f t="shared" ref="I215:I216" si="70">K215-L215</f>
        <v>0</v>
      </c>
      <c r="J215" s="255" t="str">
        <f t="shared" ref="J215:J216" si="71">IF(H215=1,I215,"")</f>
        <v/>
      </c>
      <c r="K215" s="417">
        <f>$D215*$F215*VLOOKUP($C215,'Master sheet'!$A:$AL,13,FALSE)</f>
        <v>0</v>
      </c>
      <c r="L215" s="256">
        <f>$D215*$F215*VLOOKUP($C215,'Master sheet'!$A:$AL,27,FALSE)</f>
        <v>0</v>
      </c>
      <c r="M215" s="1552"/>
      <c r="N215" s="1552"/>
      <c r="O215" s="25" t="str">
        <f>_xlfn.IFNA(VLOOKUP($C215,'Master sheet'!$A:$AR,44,FALSE),"")&amp;""</f>
        <v/>
      </c>
      <c r="P215" s="637"/>
      <c r="Q215" s="765" t="s">
        <v>1642</v>
      </c>
      <c r="R215" s="664" t="s">
        <v>1645</v>
      </c>
      <c r="S215" s="664"/>
      <c r="T215" s="664"/>
      <c r="U215" s="664"/>
      <c r="V215" s="664"/>
      <c r="W215" s="664"/>
      <c r="X215" s="664"/>
      <c r="Y215" s="664"/>
      <c r="Z215" s="664"/>
    </row>
    <row r="216" spans="1:26" ht="23.25" customHeight="1" x14ac:dyDescent="0.25">
      <c r="A216" s="624"/>
      <c r="B216" s="624"/>
      <c r="C216" s="749" t="str">
        <f>INDEX('Master sheet'!$A$1:$A$670,MATCH("A10",'Master sheet'!$AN$1:$AN$670,0))</f>
        <v>Bamboo plywood / Smith &amp; Fong / Plyboo / 3/4" (19 mm)</v>
      </c>
      <c r="D216" s="250">
        <f>'USER INPUT SHEET'!$D$40</f>
        <v>0</v>
      </c>
      <c r="E216" s="251" t="str">
        <f>'USER INPUT SHEET'!$F$40</f>
        <v>m2</v>
      </c>
      <c r="F216" s="252">
        <v>1</v>
      </c>
      <c r="G216" s="750"/>
      <c r="H216" s="253"/>
      <c r="I216" s="254">
        <f t="shared" si="70"/>
        <v>0</v>
      </c>
      <c r="J216" s="255" t="str">
        <f t="shared" si="71"/>
        <v/>
      </c>
      <c r="K216" s="417">
        <f>$D216*$F216*VLOOKUP($C216,'Master sheet'!$A:$AL,13,FALSE)</f>
        <v>0</v>
      </c>
      <c r="L216" s="256">
        <f>$D216*$F216*VLOOKUP($C216,'Master sheet'!$A:$AL,27,FALSE)</f>
        <v>0</v>
      </c>
      <c r="M216" s="1552"/>
      <c r="N216" s="1552"/>
      <c r="O216" s="25" t="str">
        <f>_xlfn.IFNA(VLOOKUP($C216,'Master sheet'!$A:$AR,44,FALSE),"")&amp;""</f>
        <v/>
      </c>
      <c r="P216" s="685"/>
      <c r="Q216" s="765" t="s">
        <v>1642</v>
      </c>
      <c r="R216" s="664" t="s">
        <v>1645</v>
      </c>
      <c r="S216" s="638"/>
      <c r="T216" s="638"/>
      <c r="U216" s="664"/>
      <c r="V216" s="664"/>
      <c r="W216" s="664"/>
      <c r="X216" s="664"/>
      <c r="Y216" s="664"/>
      <c r="Z216" s="664"/>
    </row>
    <row r="217" spans="1:26" s="624" customFormat="1" ht="31.5" customHeight="1" x14ac:dyDescent="0.25">
      <c r="A217" s="816"/>
      <c r="B217" s="816"/>
      <c r="C217" s="749" t="str">
        <f>INDEX('Master sheet'!$A$1:$A$670,MATCH("A85",'Master sheet'!$AN$1:$AN$670,0))</f>
        <v>Plywood / British Columbia Average / Includes : West Fraser Mills, Thompson River Veneer Products / 1/2"</v>
      </c>
      <c r="D217" s="250">
        <f>'USER INPUT SHEET'!$D$40</f>
        <v>0</v>
      </c>
      <c r="E217" s="251" t="str">
        <f>'USER INPUT SHEET'!$F$40</f>
        <v>m2</v>
      </c>
      <c r="F217" s="252">
        <v>1</v>
      </c>
      <c r="G217" s="750"/>
      <c r="H217" s="253"/>
      <c r="I217" s="92">
        <f>K217-L217-IF(N217,M217,0)</f>
        <v>0</v>
      </c>
      <c r="J217" s="255" t="str">
        <f t="shared" si="66"/>
        <v/>
      </c>
      <c r="K217" s="417">
        <f>$D217*$F217*VLOOKUP($C217,'Master sheet'!$A:$AL,13,FALSE)</f>
        <v>0</v>
      </c>
      <c r="L217" s="94">
        <f>$D217*$F217*VLOOKUP($C217,'Master sheet'!$A:$AL,27,FALSE)</f>
        <v>0</v>
      </c>
      <c r="M217" s="1552"/>
      <c r="N217" s="1552"/>
      <c r="O217" s="25" t="str">
        <f>_xlfn.IFNA(VLOOKUP($C217,'Master sheet'!$A:$AR,44,FALSE),"")&amp;""</f>
        <v/>
      </c>
      <c r="P217" s="685"/>
      <c r="Q217" s="765" t="s">
        <v>1642</v>
      </c>
      <c r="R217" s="664" t="s">
        <v>1645</v>
      </c>
      <c r="S217" s="638"/>
      <c r="T217" s="638"/>
      <c r="U217" s="638"/>
      <c r="V217" s="638"/>
      <c r="W217" s="638"/>
      <c r="X217" s="638"/>
      <c r="Y217" s="638"/>
      <c r="Z217" s="638"/>
    </row>
    <row r="218" spans="1:26" s="624" customFormat="1" ht="54.75" customHeight="1" x14ac:dyDescent="0.25">
      <c r="A218" s="1522" t="s">
        <v>55</v>
      </c>
      <c r="B218" s="1523"/>
      <c r="C218" s="1523"/>
      <c r="D218" s="649"/>
      <c r="E218" s="650"/>
      <c r="F218" s="321"/>
      <c r="G218" s="650"/>
      <c r="H218" s="650"/>
      <c r="I218" s="651"/>
      <c r="J218" s="103" t="str">
        <f t="shared" si="66"/>
        <v/>
      </c>
      <c r="K218" s="652"/>
      <c r="L218" s="759"/>
      <c r="M218" s="759"/>
      <c r="N218" s="759"/>
      <c r="O218" s="25" t="str">
        <f>_xlfn.IFNA(VLOOKUP($C218,'Master sheet'!$A:$AR,44,FALSE),"")&amp;""</f>
        <v/>
      </c>
      <c r="P218" s="637"/>
      <c r="Q218" s="728"/>
      <c r="R218" s="728"/>
      <c r="T218" s="638"/>
      <c r="U218" s="638"/>
      <c r="V218" s="638"/>
      <c r="W218" s="638"/>
      <c r="X218" s="638"/>
      <c r="Y218" s="638"/>
      <c r="Z218" s="638"/>
    </row>
    <row r="219" spans="1:26" s="624" customFormat="1" ht="23.25" customHeight="1" x14ac:dyDescent="0.25">
      <c r="A219" s="639"/>
      <c r="B219" s="1524" t="s">
        <v>978</v>
      </c>
      <c r="C219" s="1523"/>
      <c r="D219" s="773"/>
      <c r="E219" s="778"/>
      <c r="F219" s="340"/>
      <c r="G219" s="739"/>
      <c r="H219" s="740"/>
      <c r="I219" s="779"/>
      <c r="J219" s="742"/>
      <c r="K219" s="741"/>
      <c r="L219" s="743"/>
      <c r="M219" s="743"/>
      <c r="N219" s="743"/>
      <c r="O219" s="25" t="str">
        <f>_xlfn.IFNA(VLOOKUP($C219,'Master sheet'!$A:$AR,44,FALSE),"")&amp;""</f>
        <v/>
      </c>
      <c r="P219" s="637"/>
      <c r="Q219" s="728"/>
      <c r="R219" s="728"/>
      <c r="T219" s="638"/>
      <c r="U219" s="638"/>
      <c r="V219" s="638"/>
      <c r="W219" s="638"/>
      <c r="X219" s="638"/>
      <c r="Y219" s="638"/>
      <c r="Z219" s="638"/>
    </row>
    <row r="220" spans="1:26" s="624" customFormat="1" ht="22.8" x14ac:dyDescent="0.25">
      <c r="A220" s="1598"/>
      <c r="B220" s="1599"/>
      <c r="C220" s="647" t="str">
        <f>INDEX('Master sheet'!$A$1:$A$670,MATCH("154-1",'Master sheet'!$AN$1:$AN$670,0))</f>
        <v>OSB sheathing / Canadian Wood Council -Eastern /  / 1/2"</v>
      </c>
      <c r="D220" s="13">
        <f>'USER INPUT SHEET'!$D$40</f>
        <v>0</v>
      </c>
      <c r="E220" s="14" t="str">
        <f>'USER INPUT SHEET'!$F$40</f>
        <v>m2</v>
      </c>
      <c r="F220" s="2">
        <v>1</v>
      </c>
      <c r="G220" s="648"/>
      <c r="H220" s="7"/>
      <c r="I220" s="88">
        <f>K220-L220-IF(N220,M220,0)</f>
        <v>0</v>
      </c>
      <c r="J220" s="89" t="str">
        <f t="shared" si="66"/>
        <v/>
      </c>
      <c r="K220" s="404">
        <f>$D220*$F220*VLOOKUP($C220,'Master sheet'!$A:$AL,13,FALSE)</f>
        <v>0</v>
      </c>
      <c r="L220" s="90">
        <f>$D220*$F220*VLOOKUP($C220,'Master sheet'!$A:$AL,27,FALSE)</f>
        <v>0</v>
      </c>
      <c r="M220" s="1552"/>
      <c r="N220" s="1552"/>
      <c r="O220" s="25" t="str">
        <f>_xlfn.IFNA(VLOOKUP($C220,'Master sheet'!$A:$AR,44,FALSE),"")&amp;""</f>
        <v/>
      </c>
      <c r="P220" s="637"/>
      <c r="Q220" s="765" t="s">
        <v>1642</v>
      </c>
      <c r="R220" s="728" t="s">
        <v>1646</v>
      </c>
      <c r="T220" s="638"/>
      <c r="U220" s="638"/>
      <c r="V220" s="638"/>
      <c r="W220" s="638"/>
      <c r="X220" s="638"/>
      <c r="Y220" s="638"/>
      <c r="Z220" s="638"/>
    </row>
    <row r="221" spans="1:26" s="624" customFormat="1" ht="22.8" x14ac:dyDescent="0.25">
      <c r="A221" s="1598"/>
      <c r="B221" s="1599"/>
      <c r="C221" s="647" t="str">
        <f>INDEX('Master sheet'!$A$1:$A$670,MATCH("154-2",'Master sheet'!$AN$1:$AN$670,0))</f>
        <v>OSB sheathing / Canadian Wood Council -Western /  / 1/2"</v>
      </c>
      <c r="D221" s="13">
        <f>'USER INPUT SHEET'!$D$40</f>
        <v>0</v>
      </c>
      <c r="E221" s="14" t="str">
        <f>'USER INPUT SHEET'!$F$40</f>
        <v>m2</v>
      </c>
      <c r="F221" s="2">
        <v>1</v>
      </c>
      <c r="G221" s="648"/>
      <c r="H221" s="7"/>
      <c r="I221" s="88">
        <f>K221-L221-IF(N221,M221,0)</f>
        <v>0</v>
      </c>
      <c r="J221" s="89" t="str">
        <f t="shared" ref="J221" si="72">IF(H221=1,I221,"")</f>
        <v/>
      </c>
      <c r="K221" s="404">
        <f>$D221*$F221*VLOOKUP($C221,'Master sheet'!$A:$AL,13,FALSE)</f>
        <v>0</v>
      </c>
      <c r="L221" s="90">
        <f>$D221*$F221*VLOOKUP($C221,'Master sheet'!$A:$AL,27,FALSE)</f>
        <v>0</v>
      </c>
      <c r="M221" s="1552"/>
      <c r="N221" s="1552"/>
      <c r="O221" s="25" t="str">
        <f>_xlfn.IFNA(VLOOKUP($C221,'Master sheet'!$A:$AR,44,FALSE),"")&amp;""</f>
        <v/>
      </c>
      <c r="P221" s="637"/>
      <c r="Q221" s="765" t="s">
        <v>1642</v>
      </c>
      <c r="R221" s="728" t="s">
        <v>1646</v>
      </c>
      <c r="T221" s="638"/>
      <c r="U221" s="638"/>
      <c r="V221" s="638"/>
      <c r="W221" s="638"/>
      <c r="X221" s="638"/>
      <c r="Y221" s="638"/>
      <c r="Z221" s="638"/>
    </row>
    <row r="222" spans="1:26" ht="22.8" x14ac:dyDescent="0.25">
      <c r="A222" s="1598"/>
      <c r="B222" s="1599"/>
      <c r="C222" s="669" t="str">
        <f>INDEX('Master sheet'!$A$1:$A$670,MATCH("155-1",'Master sheet'!$AN$1:$AN$670,0))</f>
        <v>OSB sheathing / Canadian Wood Council -Eastern /  / 5/8"</v>
      </c>
      <c r="D222" s="15">
        <f>'USER INPUT SHEET'!$D$40</f>
        <v>0</v>
      </c>
      <c r="E222" s="16" t="str">
        <f>'USER INPUT SHEET'!$F$40</f>
        <v>m2</v>
      </c>
      <c r="F222" s="3">
        <v>1</v>
      </c>
      <c r="G222" s="670"/>
      <c r="H222" s="8"/>
      <c r="I222" s="88">
        <f t="shared" ref="I222:I242" si="73">K222-L222-IF(N222,M222,0)</f>
        <v>0</v>
      </c>
      <c r="J222" s="93" t="str">
        <f t="shared" ref="J222:J227" si="74">IF(H222=1,I222,"")</f>
        <v/>
      </c>
      <c r="K222" s="406">
        <f>$D222*$F222*VLOOKUP($C222,'Master sheet'!$A:$AL,13,FALSE)</f>
        <v>0</v>
      </c>
      <c r="L222" s="90">
        <f>$D222*$F222*VLOOKUP($C222,'Master sheet'!$A:$AL,27,FALSE)</f>
        <v>0</v>
      </c>
      <c r="M222" s="1552"/>
      <c r="N222" s="1552"/>
      <c r="O222" s="25" t="str">
        <f>_xlfn.IFNA(VLOOKUP($C222,'Master sheet'!$A:$AR,44,FALSE),"")&amp;""</f>
        <v/>
      </c>
      <c r="P222" s="685"/>
      <c r="Q222" s="765" t="s">
        <v>1642</v>
      </c>
      <c r="R222" s="728" t="s">
        <v>1646</v>
      </c>
      <c r="T222" s="664"/>
      <c r="U222" s="664"/>
      <c r="V222" s="664"/>
      <c r="W222" s="664"/>
      <c r="X222" s="664"/>
      <c r="Y222" s="664"/>
      <c r="Z222" s="664"/>
    </row>
    <row r="223" spans="1:26" ht="22.8" x14ac:dyDescent="0.25">
      <c r="A223" s="1598"/>
      <c r="B223" s="1599"/>
      <c r="C223" s="669" t="str">
        <f>INDEX('Master sheet'!$A$1:$A$670,MATCH("155-2",'Master sheet'!$AN$1:$AN$670,0))</f>
        <v>OSB sheathing / Canadian Wood Council -Western /  / 5/8"</v>
      </c>
      <c r="D223" s="15">
        <f>'USER INPUT SHEET'!$D$40</f>
        <v>0</v>
      </c>
      <c r="E223" s="16" t="str">
        <f>'USER INPUT SHEET'!$F$40</f>
        <v>m2</v>
      </c>
      <c r="F223" s="3">
        <v>1</v>
      </c>
      <c r="G223" s="670"/>
      <c r="H223" s="8"/>
      <c r="I223" s="88">
        <f t="shared" ref="I223" si="75">K223-L223-IF(N223,M223,0)</f>
        <v>0</v>
      </c>
      <c r="J223" s="93" t="str">
        <f t="shared" si="74"/>
        <v/>
      </c>
      <c r="K223" s="406">
        <f>$D223*$F223*VLOOKUP($C223,'Master sheet'!$A:$AL,13,FALSE)</f>
        <v>0</v>
      </c>
      <c r="L223" s="90">
        <f>$D223*$F223*VLOOKUP($C223,'Master sheet'!$A:$AL,27,FALSE)</f>
        <v>0</v>
      </c>
      <c r="M223" s="1552"/>
      <c r="N223" s="1552"/>
      <c r="O223" s="25" t="str">
        <f>_xlfn.IFNA(VLOOKUP($C223,'Master sheet'!$A:$AR,44,FALSE),"")&amp;""</f>
        <v/>
      </c>
      <c r="P223" s="685"/>
      <c r="Q223" s="765" t="s">
        <v>1642</v>
      </c>
      <c r="R223" s="728" t="s">
        <v>1646</v>
      </c>
      <c r="T223" s="664"/>
      <c r="U223" s="664"/>
      <c r="V223" s="664"/>
      <c r="W223" s="664"/>
      <c r="X223" s="664"/>
      <c r="Y223" s="664"/>
      <c r="Z223" s="664"/>
    </row>
    <row r="224" spans="1:26" ht="31.5" customHeight="1" x14ac:dyDescent="0.25">
      <c r="A224" s="1598"/>
      <c r="B224" s="1599"/>
      <c r="C224" s="669" t="str">
        <f>INDEX('Master sheet'!$A$1:$A$670,MATCH(157,'Master sheet'!$AN$1:$AN$670,0))</f>
        <v xml:space="preserve">OSB sheathing &amp; barrier / Huber  / ZIP System - Wall and Roof Sheathing / 7/16" </v>
      </c>
      <c r="D224" s="15">
        <f>'USER INPUT SHEET'!$D$40</f>
        <v>0</v>
      </c>
      <c r="E224" s="16" t="str">
        <f>'USER INPUT SHEET'!$F$40</f>
        <v>m2</v>
      </c>
      <c r="F224" s="3">
        <v>1</v>
      </c>
      <c r="G224" s="670"/>
      <c r="H224" s="8"/>
      <c r="I224" s="88">
        <f t="shared" si="73"/>
        <v>0</v>
      </c>
      <c r="J224" s="93" t="str">
        <f t="shared" si="74"/>
        <v/>
      </c>
      <c r="K224" s="406">
        <f>$D224*$F224*VLOOKUP($C224,'Master sheet'!$A:$AL,13,FALSE)</f>
        <v>0</v>
      </c>
      <c r="L224" s="90">
        <f>$D224*$F224*VLOOKUP($C224,'Master sheet'!$A:$AL,27,FALSE)</f>
        <v>0</v>
      </c>
      <c r="M224" s="1552"/>
      <c r="N224" s="1552"/>
      <c r="O224" s="25" t="str">
        <f ca="1">_xlfn.IFNA(VLOOKUP($C224,'Master sheet'!$A:$AR,44,FALSE),"")&amp;""</f>
        <v>Expired 2025</v>
      </c>
      <c r="P224" s="685"/>
      <c r="Q224" s="765" t="s">
        <v>1642</v>
      </c>
      <c r="R224" s="728" t="s">
        <v>1646</v>
      </c>
      <c r="T224" s="664"/>
      <c r="U224" s="664"/>
      <c r="V224" s="664"/>
      <c r="W224" s="664"/>
      <c r="X224" s="664"/>
      <c r="Y224" s="664"/>
      <c r="Z224" s="664"/>
    </row>
    <row r="225" spans="1:26" ht="22.8" x14ac:dyDescent="0.25">
      <c r="A225" s="1598"/>
      <c r="B225" s="1599"/>
      <c r="C225" s="673" t="str">
        <f>INDEX('Master sheet'!$A$1:$A$670,MATCH(156,'Master sheet'!$AN$1:$AN$670,0))</f>
        <v>OSB sheathing / Huber  / AdvanTech / 1/2" Sheathing</v>
      </c>
      <c r="D225" s="17">
        <f>'USER INPUT SHEET'!$D$40</f>
        <v>0</v>
      </c>
      <c r="E225" s="18" t="str">
        <f>'USER INPUT SHEET'!$F$40</f>
        <v>m2</v>
      </c>
      <c r="F225" s="4">
        <v>1</v>
      </c>
      <c r="G225" s="674"/>
      <c r="H225" s="9"/>
      <c r="I225" s="88">
        <f t="shared" si="73"/>
        <v>0</v>
      </c>
      <c r="J225" s="96" t="str">
        <f t="shared" si="74"/>
        <v/>
      </c>
      <c r="K225" s="407">
        <f>$D225*$F225*VLOOKUP($C225,'Master sheet'!$A:$AL,13,FALSE)</f>
        <v>0</v>
      </c>
      <c r="L225" s="90">
        <f>$D225*$F225*VLOOKUP($C225,'Master sheet'!$A:$AL,27,FALSE)</f>
        <v>0</v>
      </c>
      <c r="M225" s="1552"/>
      <c r="N225" s="1552"/>
      <c r="O225" s="25" t="str">
        <f ca="1">_xlfn.IFNA(VLOOKUP($C225,'Master sheet'!$A:$AR,44,FALSE),"")&amp;""</f>
        <v>Expired 2025</v>
      </c>
      <c r="P225" s="685"/>
      <c r="Q225" s="765" t="s">
        <v>1642</v>
      </c>
      <c r="R225" s="728" t="s">
        <v>1646</v>
      </c>
      <c r="S225" s="624"/>
      <c r="T225" s="638"/>
      <c r="U225" s="638"/>
      <c r="V225" s="638"/>
      <c r="W225" s="638"/>
      <c r="X225" s="638"/>
      <c r="Y225" s="638"/>
      <c r="Z225" s="638"/>
    </row>
    <row r="226" spans="1:26" ht="31.5" customHeight="1" x14ac:dyDescent="0.25">
      <c r="A226" s="1598"/>
      <c r="B226" s="1599"/>
      <c r="C226" s="673" t="str">
        <f>INDEX('Master sheet'!$A$1:$A$670,MATCH("A78",'Master sheet'!$AN$1:$AN$670,0))</f>
        <v>OSB sheathing / LP / FlameBlock® Fire-Rated / 7/16", coated 1 side</v>
      </c>
      <c r="D226" s="17">
        <f>'USER INPUT SHEET'!$D$40</f>
        <v>0</v>
      </c>
      <c r="E226" s="18" t="str">
        <f>'USER INPUT SHEET'!$F$40</f>
        <v>m2</v>
      </c>
      <c r="F226" s="4">
        <v>1</v>
      </c>
      <c r="G226" s="674"/>
      <c r="H226" s="9"/>
      <c r="I226" s="88">
        <f t="shared" si="73"/>
        <v>0</v>
      </c>
      <c r="J226" s="96" t="str">
        <f t="shared" si="74"/>
        <v/>
      </c>
      <c r="K226" s="407">
        <f>$D226*$F226*VLOOKUP($C226,'Master sheet'!$A:$AL,13,FALSE)</f>
        <v>0</v>
      </c>
      <c r="L226" s="90">
        <f>$D226*$F226*VLOOKUP($C226,'Master sheet'!$A:$AL,27,FALSE)</f>
        <v>0</v>
      </c>
      <c r="M226" s="1552"/>
      <c r="N226" s="1552"/>
      <c r="O226" s="25" t="str">
        <f>_xlfn.IFNA(VLOOKUP($C226,'Master sheet'!$A:$AR,44,FALSE),"")&amp;""</f>
        <v/>
      </c>
      <c r="P226" s="685"/>
      <c r="Q226" s="765" t="s">
        <v>1642</v>
      </c>
      <c r="R226" s="728" t="s">
        <v>1646</v>
      </c>
      <c r="S226" s="624"/>
      <c r="T226" s="638"/>
      <c r="U226" s="638"/>
      <c r="V226" s="638"/>
      <c r="W226" s="638"/>
      <c r="X226" s="638"/>
      <c r="Y226" s="638"/>
      <c r="Z226" s="638"/>
    </row>
    <row r="227" spans="1:26" s="624" customFormat="1" ht="23.25" customHeight="1" x14ac:dyDescent="0.25">
      <c r="A227" s="1598"/>
      <c r="B227" s="1599"/>
      <c r="C227" s="673" t="str">
        <f>INDEX('Master sheet'!$A$1:$A$670,MATCH("A79",'Master sheet'!$AN$1:$AN$670,0))</f>
        <v>OSB sheathing / LP / LP® TopNotch® 350 / 7/16"</v>
      </c>
      <c r="D227" s="17">
        <f>'USER INPUT SHEET'!$D$40</f>
        <v>0</v>
      </c>
      <c r="E227" s="18" t="str">
        <f>'USER INPUT SHEET'!$F$40</f>
        <v>m2</v>
      </c>
      <c r="F227" s="4">
        <v>1</v>
      </c>
      <c r="G227" s="674"/>
      <c r="H227" s="9"/>
      <c r="I227" s="88">
        <f t="shared" si="73"/>
        <v>0</v>
      </c>
      <c r="J227" s="96" t="str">
        <f t="shared" si="74"/>
        <v/>
      </c>
      <c r="K227" s="407">
        <f>$D227*$F227*VLOOKUP($C227,'Master sheet'!$A:$AL,13,FALSE)</f>
        <v>0</v>
      </c>
      <c r="L227" s="97">
        <f>$D227*$F227*VLOOKUP($C227,'Master sheet'!$A:$AL,27,FALSE)</f>
        <v>0</v>
      </c>
      <c r="M227" s="1610"/>
      <c r="N227" s="1610"/>
      <c r="O227" s="25" t="str">
        <f>_xlfn.IFNA(VLOOKUP($C227,'Master sheet'!$A:$AR,44,FALSE),"")&amp;""</f>
        <v/>
      </c>
      <c r="P227" s="685"/>
      <c r="Q227" s="765" t="s">
        <v>1642</v>
      </c>
      <c r="R227" s="728" t="s">
        <v>1646</v>
      </c>
      <c r="T227" s="638"/>
      <c r="U227" s="638"/>
      <c r="V227" s="638"/>
      <c r="W227" s="638"/>
      <c r="X227" s="638"/>
      <c r="Y227" s="638"/>
      <c r="Z227" s="638"/>
    </row>
    <row r="228" spans="1:26" s="624" customFormat="1" ht="23.25" customHeight="1" x14ac:dyDescent="0.25">
      <c r="A228" s="639"/>
      <c r="B228" s="1524" t="s">
        <v>4778</v>
      </c>
      <c r="C228" s="1523"/>
      <c r="D228" s="773"/>
      <c r="E228" s="778"/>
      <c r="F228" s="340"/>
      <c r="G228" s="739"/>
      <c r="H228" s="740"/>
      <c r="I228" s="779"/>
      <c r="J228" s="742"/>
      <c r="K228" s="741"/>
      <c r="L228" s="743"/>
      <c r="M228" s="743"/>
      <c r="N228" s="743"/>
      <c r="O228" s="25" t="str">
        <f>_xlfn.IFNA(VLOOKUP($C228,'Master sheet'!$A:$AR,44,FALSE),"")&amp;""</f>
        <v/>
      </c>
      <c r="P228" s="637"/>
      <c r="Q228" s="728"/>
      <c r="R228" s="728"/>
      <c r="T228" s="638"/>
      <c r="U228" s="638"/>
      <c r="V228" s="638"/>
      <c r="W228" s="638"/>
      <c r="X228" s="638"/>
      <c r="Y228" s="638"/>
      <c r="Z228" s="638"/>
    </row>
    <row r="229" spans="1:26" s="624" customFormat="1" ht="31.2" x14ac:dyDescent="0.25">
      <c r="A229" s="1598"/>
      <c r="B229" s="1598"/>
      <c r="C229" s="647" t="str">
        <f>INDEX('Master sheet'!$A$1:$A$670,MATCH("A81",'Master sheet'!$AN$1:$AN$670,0))</f>
        <v>OSB sheathing &amp; barrier / Huber  / ZIP System - Wall and Roof Sheathing / 1/2"</v>
      </c>
      <c r="D229" s="13">
        <f>'USER INPUT SHEET'!$D$40</f>
        <v>0</v>
      </c>
      <c r="E229" s="14" t="str">
        <f>'USER INPUT SHEET'!$F$40</f>
        <v>m2</v>
      </c>
      <c r="F229" s="2">
        <v>1</v>
      </c>
      <c r="G229" s="648"/>
      <c r="H229" s="7"/>
      <c r="I229" s="88">
        <f t="shared" si="73"/>
        <v>0</v>
      </c>
      <c r="J229" s="89" t="str">
        <f t="shared" ref="J229" si="76">IF(H229=1,I229,"")</f>
        <v/>
      </c>
      <c r="K229" s="404">
        <f>$D229*$F229*VLOOKUP($C229,'Master sheet'!$A:$AL,13,FALSE)</f>
        <v>0</v>
      </c>
      <c r="L229" s="90">
        <f>$D229*$F229*VLOOKUP($C229,'Master sheet'!$A:$AL,27,FALSE)</f>
        <v>0</v>
      </c>
      <c r="M229" s="1552"/>
      <c r="N229" s="1552"/>
      <c r="O229" s="25" t="str">
        <f>_xlfn.IFNA(VLOOKUP($C229,'Master sheet'!$A:$AR,44,FALSE),"")&amp;""</f>
        <v/>
      </c>
      <c r="P229" s="637"/>
      <c r="Q229" s="765" t="s">
        <v>1642</v>
      </c>
      <c r="R229" s="728" t="s">
        <v>1646</v>
      </c>
      <c r="T229" s="638"/>
      <c r="U229" s="638"/>
      <c r="V229" s="638"/>
      <c r="W229" s="638"/>
      <c r="X229" s="638"/>
      <c r="Y229" s="638"/>
      <c r="Z229" s="638"/>
    </row>
    <row r="230" spans="1:26" s="624" customFormat="1" ht="31.2" x14ac:dyDescent="0.25">
      <c r="A230" s="1598"/>
      <c r="B230" s="1598"/>
      <c r="C230" s="669" t="str">
        <f>INDEX('Master sheet'!$A$1:$A$670,MATCH("A80",'Master sheet'!$AN$1:$AN$670,0))</f>
        <v>OSB sheathing &amp; barrier / Huber  / ZIP System - Wall and Roof Sheathing / 5/8"</v>
      </c>
      <c r="D230" s="15">
        <f>'USER INPUT SHEET'!$D$40</f>
        <v>0</v>
      </c>
      <c r="E230" s="16" t="str">
        <f>'USER INPUT SHEET'!$F$40</f>
        <v>m2</v>
      </c>
      <c r="F230" s="3">
        <v>1</v>
      </c>
      <c r="G230" s="670"/>
      <c r="H230" s="8"/>
      <c r="I230" s="92">
        <f t="shared" si="73"/>
        <v>0</v>
      </c>
      <c r="J230" s="93" t="str">
        <f>IF(H230=1,I230,"")</f>
        <v/>
      </c>
      <c r="K230" s="406">
        <f>$D230*$F230*VLOOKUP($C230,'Master sheet'!$A:$AL,13,FALSE)</f>
        <v>0</v>
      </c>
      <c r="L230" s="94">
        <f>$D230*$F230*VLOOKUP($C230,'Master sheet'!$A:$AL,27,FALSE)</f>
        <v>0</v>
      </c>
      <c r="M230" s="1552"/>
      <c r="N230" s="1552"/>
      <c r="O230" s="25" t="str">
        <f>_xlfn.IFNA(VLOOKUP($C230,'Master sheet'!$A:$AR,44,FALSE),"")&amp;""</f>
        <v/>
      </c>
      <c r="P230" s="685"/>
      <c r="Q230" s="765" t="s">
        <v>1642</v>
      </c>
      <c r="R230" s="728" t="s">
        <v>1646</v>
      </c>
      <c r="S230" s="619"/>
      <c r="T230" s="664"/>
      <c r="U230" s="664"/>
      <c r="V230" s="664"/>
      <c r="W230" s="638"/>
      <c r="X230" s="638"/>
      <c r="Y230" s="638"/>
      <c r="Z230" s="638"/>
    </row>
    <row r="231" spans="1:26" s="624" customFormat="1" ht="31.2" x14ac:dyDescent="0.25">
      <c r="A231" s="1598"/>
      <c r="B231" s="1598"/>
      <c r="C231" s="669" t="str">
        <f>INDEX('Master sheet'!$A$1:$A$670,MATCH("A82",'Master sheet'!$AN$1:$AN$670,0))</f>
        <v>OSB sheathing &amp; barrier / LP / WeatherLogic® Air &amp; Water Barrier / 1/2"</v>
      </c>
      <c r="D231" s="15">
        <f>'USER INPUT SHEET'!$D$40</f>
        <v>0</v>
      </c>
      <c r="E231" s="16" t="str">
        <f>'USER INPUT SHEET'!$F$40</f>
        <v>m2</v>
      </c>
      <c r="F231" s="3">
        <v>1</v>
      </c>
      <c r="G231" s="670"/>
      <c r="H231" s="8"/>
      <c r="I231" s="92">
        <f t="shared" si="73"/>
        <v>0</v>
      </c>
      <c r="J231" s="93" t="str">
        <f>IF(H231=1,I231,"")</f>
        <v/>
      </c>
      <c r="K231" s="406">
        <f>$D231*$F231*VLOOKUP($C231,'Master sheet'!$A:$AL,13,FALSE)</f>
        <v>0</v>
      </c>
      <c r="L231" s="94">
        <f>$D231*$F231*VLOOKUP($C231,'Master sheet'!$A:$AL,27,FALSE)</f>
        <v>0</v>
      </c>
      <c r="M231" s="1552"/>
      <c r="N231" s="1552"/>
      <c r="O231" s="25" t="str">
        <f>_xlfn.IFNA(VLOOKUP($C231,'Master sheet'!$A:$AR,44,FALSE),"")&amp;""</f>
        <v/>
      </c>
      <c r="P231" s="685"/>
      <c r="Q231" s="765" t="s">
        <v>1642</v>
      </c>
      <c r="R231" s="728" t="s">
        <v>1646</v>
      </c>
      <c r="S231" s="619"/>
      <c r="T231" s="664"/>
      <c r="U231" s="664"/>
      <c r="V231" s="664"/>
      <c r="W231" s="638"/>
      <c r="X231" s="638"/>
      <c r="Y231" s="638"/>
      <c r="Z231" s="638"/>
    </row>
    <row r="232" spans="1:26" s="624" customFormat="1" ht="31.2" x14ac:dyDescent="0.25">
      <c r="A232" s="1598"/>
      <c r="B232" s="1598"/>
      <c r="C232" s="673" t="str">
        <f>INDEX('Master sheet'!$A$1:$A$670,MATCH("A83",'Master sheet'!$AN$1:$AN$670,0))</f>
        <v>OSB sheathing &amp; barrier / LP / WeatherLogic® Air &amp; Water Barrier / 7/16"</v>
      </c>
      <c r="D232" s="17">
        <f>'USER INPUT SHEET'!$D$40</f>
        <v>0</v>
      </c>
      <c r="E232" s="18" t="str">
        <f>'USER INPUT SHEET'!$F$40</f>
        <v>m2</v>
      </c>
      <c r="F232" s="4">
        <v>1</v>
      </c>
      <c r="G232" s="674"/>
      <c r="H232" s="9"/>
      <c r="I232" s="95">
        <f t="shared" si="73"/>
        <v>0</v>
      </c>
      <c r="J232" s="96" t="str">
        <f>IF(H232=1,I232,"")</f>
        <v/>
      </c>
      <c r="K232" s="407">
        <f>$D232*$F232*VLOOKUP($C232,'Master sheet'!$A:$AL,13,FALSE)</f>
        <v>0</v>
      </c>
      <c r="L232" s="97">
        <f>$D232*$F232*VLOOKUP($C232,'Master sheet'!$A:$AL,27,FALSE)</f>
        <v>0</v>
      </c>
      <c r="M232" s="1610"/>
      <c r="N232" s="1610"/>
      <c r="O232" s="25" t="str">
        <f>_xlfn.IFNA(VLOOKUP($C232,'Master sheet'!$A:$AR,44,FALSE),"")&amp;""</f>
        <v/>
      </c>
      <c r="P232" s="685"/>
      <c r="Q232" s="765" t="s">
        <v>1642</v>
      </c>
      <c r="R232" s="728" t="s">
        <v>1646</v>
      </c>
      <c r="T232" s="638"/>
      <c r="U232" s="638"/>
      <c r="V232" s="638"/>
      <c r="W232" s="638"/>
      <c r="X232" s="638"/>
      <c r="Y232" s="638"/>
      <c r="Z232" s="638"/>
    </row>
    <row r="233" spans="1:26" s="624" customFormat="1" ht="23.25" customHeight="1" x14ac:dyDescent="0.25">
      <c r="A233" s="639"/>
      <c r="B233" s="1524" t="s">
        <v>979</v>
      </c>
      <c r="C233" s="1523"/>
      <c r="D233" s="773"/>
      <c r="E233" s="778"/>
      <c r="F233" s="340"/>
      <c r="G233" s="739"/>
      <c r="H233" s="740"/>
      <c r="I233" s="779"/>
      <c r="J233" s="742"/>
      <c r="K233" s="741"/>
      <c r="L233" s="743"/>
      <c r="M233" s="743"/>
      <c r="N233" s="743"/>
      <c r="O233" s="25" t="str">
        <f>_xlfn.IFNA(VLOOKUP($C233,'Master sheet'!$A:$AR,44,FALSE),"")&amp;""</f>
        <v/>
      </c>
      <c r="P233" s="685"/>
      <c r="Q233" s="728"/>
      <c r="R233" s="728"/>
      <c r="T233" s="638"/>
      <c r="U233" s="638"/>
      <c r="V233" s="638"/>
      <c r="W233" s="638"/>
      <c r="X233" s="638"/>
      <c r="Y233" s="638"/>
      <c r="Z233" s="638"/>
    </row>
    <row r="234" spans="1:26" ht="22.8" x14ac:dyDescent="0.25">
      <c r="A234" s="1597"/>
      <c r="B234" s="1597"/>
      <c r="C234" s="669" t="str">
        <f>INDEX('Master sheet'!$A$1:$A$670,MATCH("159-1",'Master sheet'!$AN$1:$AN$670,0))</f>
        <v>Plywood / Canadian Wood Council /  / 1/2"</v>
      </c>
      <c r="D234" s="15">
        <f>'USER INPUT SHEET'!$D$40</f>
        <v>0</v>
      </c>
      <c r="E234" s="16" t="str">
        <f>'USER INPUT SHEET'!$F$40</f>
        <v>m2</v>
      </c>
      <c r="F234" s="3">
        <v>1</v>
      </c>
      <c r="G234" s="670"/>
      <c r="H234" s="8"/>
      <c r="I234" s="95">
        <f t="shared" si="73"/>
        <v>0</v>
      </c>
      <c r="J234" s="93" t="str">
        <f t="shared" ref="J234:J249" si="77">IF(H234=1,I234,"")</f>
        <v/>
      </c>
      <c r="K234" s="406">
        <f>$D234*$F234*VLOOKUP($C234,'Master sheet'!$A:$AL,13,FALSE)</f>
        <v>0</v>
      </c>
      <c r="L234" s="94">
        <f>$D234*$F234*VLOOKUP($C234,'Master sheet'!$A:$AL,27,FALSE)</f>
        <v>0</v>
      </c>
      <c r="M234" s="1562"/>
      <c r="N234" s="1562"/>
      <c r="O234" s="25" t="str">
        <f>_xlfn.IFNA(VLOOKUP($C234,'Master sheet'!$A:$AR,44,FALSE),"")&amp;""</f>
        <v/>
      </c>
      <c r="P234" s="637"/>
      <c r="Q234" s="765" t="s">
        <v>1642</v>
      </c>
      <c r="R234" s="728" t="s">
        <v>1646</v>
      </c>
      <c r="T234" s="664"/>
      <c r="U234" s="664"/>
      <c r="V234" s="664"/>
      <c r="W234" s="664"/>
      <c r="X234" s="664"/>
      <c r="Y234" s="664"/>
      <c r="Z234" s="664"/>
    </row>
    <row r="235" spans="1:26" ht="22.8" x14ac:dyDescent="0.25">
      <c r="A235" s="1597"/>
      <c r="B235" s="1597"/>
      <c r="C235" s="669" t="str">
        <f>INDEX('Master sheet'!$A$1:$A$670,MATCH(160,'Master sheet'!$AN$1:$AN$670,0))</f>
        <v>Plywood / Canadian Wood Council /  / 5/8"</v>
      </c>
      <c r="D235" s="15">
        <f>'USER INPUT SHEET'!$D$40</f>
        <v>0</v>
      </c>
      <c r="E235" s="16" t="str">
        <f>'USER INPUT SHEET'!$F$40</f>
        <v>m2</v>
      </c>
      <c r="F235" s="3">
        <v>1</v>
      </c>
      <c r="G235" s="670"/>
      <c r="H235" s="8"/>
      <c r="I235" s="95">
        <f t="shared" si="73"/>
        <v>0</v>
      </c>
      <c r="J235" s="93" t="str">
        <f t="shared" ref="J235:J242" si="78">IF(H235=1,I235,"")</f>
        <v/>
      </c>
      <c r="K235" s="406">
        <f>$D235*$F235*VLOOKUP($C235,'Master sheet'!$A:$AL,13,FALSE)</f>
        <v>0</v>
      </c>
      <c r="L235" s="94">
        <f>$D235*$F235*VLOOKUP($C235,'Master sheet'!$A:$AL,27,FALSE)</f>
        <v>0</v>
      </c>
      <c r="M235" s="1552"/>
      <c r="N235" s="1552"/>
      <c r="O235" s="25" t="str">
        <f>_xlfn.IFNA(VLOOKUP($C235,'Master sheet'!$A:$AR,44,FALSE),"")&amp;""</f>
        <v/>
      </c>
      <c r="P235" s="637"/>
      <c r="Q235" s="765" t="s">
        <v>1642</v>
      </c>
      <c r="R235" s="728" t="s">
        <v>1646</v>
      </c>
      <c r="T235" s="664"/>
      <c r="U235" s="664"/>
      <c r="V235" s="664"/>
      <c r="W235" s="664"/>
      <c r="X235" s="664"/>
      <c r="Y235" s="664"/>
      <c r="Z235" s="664"/>
    </row>
    <row r="236" spans="1:26" ht="22.8" x14ac:dyDescent="0.25">
      <c r="A236" s="1597"/>
      <c r="B236" s="1597"/>
      <c r="C236" s="673" t="str">
        <f>INDEX('Master sheet'!$A$1:$A$670,MATCH(161,'Master sheet'!$AN$1:$AN$670,0))</f>
        <v>Plywood / Canadian Wood Council /  / 3/4"</v>
      </c>
      <c r="D236" s="17">
        <f>'USER INPUT SHEET'!$D$40</f>
        <v>0</v>
      </c>
      <c r="E236" s="18" t="str">
        <f>'USER INPUT SHEET'!$F$40</f>
        <v>m2</v>
      </c>
      <c r="F236" s="4">
        <v>1</v>
      </c>
      <c r="G236" s="674"/>
      <c r="H236" s="9"/>
      <c r="I236" s="95">
        <f t="shared" si="73"/>
        <v>0</v>
      </c>
      <c r="J236" s="96" t="str">
        <f t="shared" si="78"/>
        <v/>
      </c>
      <c r="K236" s="407">
        <f>$D236*$F236*VLOOKUP($C236,'Master sheet'!$A:$AL,13,FALSE)</f>
        <v>0</v>
      </c>
      <c r="L236" s="97">
        <f>$D236*$F236*VLOOKUP($C236,'Master sheet'!$A:$AL,27,FALSE)</f>
        <v>0</v>
      </c>
      <c r="M236" s="1552"/>
      <c r="N236" s="1552"/>
      <c r="O236" s="25" t="str">
        <f>_xlfn.IFNA(VLOOKUP($C236,'Master sheet'!$A:$AR,44,FALSE),"")&amp;""</f>
        <v/>
      </c>
      <c r="P236" s="637"/>
      <c r="Q236" s="765" t="s">
        <v>1642</v>
      </c>
      <c r="R236" s="728" t="s">
        <v>1646</v>
      </c>
      <c r="S236" s="624"/>
      <c r="T236" s="638"/>
      <c r="U236" s="664"/>
      <c r="V236" s="664"/>
      <c r="W236" s="664"/>
      <c r="X236" s="664"/>
      <c r="Y236" s="664"/>
      <c r="Z236" s="664"/>
    </row>
    <row r="237" spans="1:26" ht="31.5" customHeight="1" x14ac:dyDescent="0.25">
      <c r="A237" s="1597"/>
      <c r="B237" s="1597"/>
      <c r="C237" s="673" t="str">
        <f>INDEX('Master sheet'!$A$1:$A$670,MATCH("A85",'Master sheet'!$AN$1:$AN$670,0))</f>
        <v>Plywood / British Columbia Average / Includes : West Fraser Mills, Thompson River Veneer Products / 1/2"</v>
      </c>
      <c r="D237" s="17">
        <f>'USER INPUT SHEET'!$D$40</f>
        <v>0</v>
      </c>
      <c r="E237" s="18" t="str">
        <f>'USER INPUT SHEET'!$F$40</f>
        <v>m2</v>
      </c>
      <c r="F237" s="4">
        <v>1</v>
      </c>
      <c r="G237" s="674"/>
      <c r="H237" s="9"/>
      <c r="I237" s="95">
        <f t="shared" si="73"/>
        <v>0</v>
      </c>
      <c r="J237" s="96" t="str">
        <f t="shared" si="78"/>
        <v/>
      </c>
      <c r="K237" s="407">
        <f>$D237*$F237*VLOOKUP($C237,'Master sheet'!$A:$AL,13,FALSE)</f>
        <v>0</v>
      </c>
      <c r="L237" s="97">
        <f>$D237*$F237*VLOOKUP($C237,'Master sheet'!$A:$AL,27,FALSE)</f>
        <v>0</v>
      </c>
      <c r="M237" s="1552"/>
      <c r="N237" s="1552"/>
      <c r="O237" s="25" t="str">
        <f>_xlfn.IFNA(VLOOKUP($C237,'Master sheet'!$A:$AR,44,FALSE),"")&amp;""</f>
        <v/>
      </c>
      <c r="P237" s="637"/>
      <c r="Q237" s="765" t="s">
        <v>1642</v>
      </c>
      <c r="R237" s="728" t="s">
        <v>1646</v>
      </c>
      <c r="S237" s="624"/>
      <c r="T237" s="638"/>
      <c r="U237" s="664"/>
      <c r="V237" s="664"/>
      <c r="W237" s="664"/>
      <c r="X237" s="664"/>
      <c r="Y237" s="664"/>
      <c r="Z237" s="664"/>
    </row>
    <row r="238" spans="1:26" ht="31.5" customHeight="1" x14ac:dyDescent="0.25">
      <c r="A238" s="1597"/>
      <c r="B238" s="1597"/>
      <c r="C238" s="673" t="str">
        <f>INDEX('Master sheet'!$A$1:$A$670,MATCH("A86",'Master sheet'!$AN$1:$AN$670,0))</f>
        <v>Plywood / British Columbia Average / Includes : West Fraser Mills, Thompson River Veneer Products / 3/4"</v>
      </c>
      <c r="D238" s="17">
        <f>'USER INPUT SHEET'!$D$40</f>
        <v>0</v>
      </c>
      <c r="E238" s="18" t="str">
        <f>'USER INPUT SHEET'!$F$40</f>
        <v>m2</v>
      </c>
      <c r="F238" s="4">
        <v>1</v>
      </c>
      <c r="G238" s="674"/>
      <c r="H238" s="9"/>
      <c r="I238" s="95">
        <f t="shared" si="73"/>
        <v>0</v>
      </c>
      <c r="J238" s="96" t="str">
        <f t="shared" si="78"/>
        <v/>
      </c>
      <c r="K238" s="407">
        <f>$D238*$F238*VLOOKUP($C238,'Master sheet'!$A:$AL,13,FALSE)</f>
        <v>0</v>
      </c>
      <c r="L238" s="97">
        <f>$D238*$F238*VLOOKUP($C238,'Master sheet'!$A:$AL,27,FALSE)</f>
        <v>0</v>
      </c>
      <c r="M238" s="1552"/>
      <c r="N238" s="1552"/>
      <c r="O238" s="25" t="str">
        <f>_xlfn.IFNA(VLOOKUP($C238,'Master sheet'!$A:$AR,44,FALSE),"")&amp;""</f>
        <v/>
      </c>
      <c r="P238" s="637"/>
      <c r="Q238" s="765" t="s">
        <v>1642</v>
      </c>
      <c r="R238" s="728" t="s">
        <v>1646</v>
      </c>
      <c r="S238" s="624"/>
      <c r="T238" s="638"/>
      <c r="U238" s="664"/>
      <c r="V238" s="664"/>
      <c r="W238" s="664"/>
      <c r="X238" s="664"/>
      <c r="Y238" s="664"/>
      <c r="Z238" s="664"/>
    </row>
    <row r="239" spans="1:26" ht="31.5" customHeight="1" x14ac:dyDescent="0.25">
      <c r="A239" s="1597"/>
      <c r="B239" s="1597"/>
      <c r="C239" s="673" t="str">
        <f>INDEX('Master sheet'!$A$1:$A$670,MATCH("A87",'Master sheet'!$AN$1:$AN$670,0))</f>
        <v>Plywood / British Columbia Average / Includes : West Fraser Mills, Thompson River Veneer Products / 5/8"</v>
      </c>
      <c r="D239" s="17">
        <f>'USER INPUT SHEET'!$D$40</f>
        <v>0</v>
      </c>
      <c r="E239" s="18" t="str">
        <f>'USER INPUT SHEET'!$F$40</f>
        <v>m2</v>
      </c>
      <c r="F239" s="4">
        <v>1</v>
      </c>
      <c r="G239" s="674"/>
      <c r="H239" s="9"/>
      <c r="I239" s="95">
        <f t="shared" si="73"/>
        <v>0</v>
      </c>
      <c r="J239" s="96" t="str">
        <f t="shared" si="78"/>
        <v/>
      </c>
      <c r="K239" s="407">
        <f>$D239*$F239*VLOOKUP($C239,'Master sheet'!$A:$AL,13,FALSE)</f>
        <v>0</v>
      </c>
      <c r="L239" s="97">
        <f>$D239*$F239*VLOOKUP($C239,'Master sheet'!$A:$AL,27,FALSE)</f>
        <v>0</v>
      </c>
      <c r="M239" s="1552"/>
      <c r="N239" s="1552"/>
      <c r="O239" s="25" t="str">
        <f>_xlfn.IFNA(VLOOKUP($C239,'Master sheet'!$A:$AR,44,FALSE),"")&amp;""</f>
        <v/>
      </c>
      <c r="P239" s="637"/>
      <c r="Q239" s="765" t="s">
        <v>1642</v>
      </c>
      <c r="R239" s="728" t="s">
        <v>1646</v>
      </c>
      <c r="S239" s="624"/>
      <c r="T239" s="638"/>
      <c r="U239" s="664"/>
      <c r="V239" s="664"/>
      <c r="W239" s="664"/>
      <c r="X239" s="664"/>
      <c r="Y239" s="664"/>
      <c r="Z239" s="664"/>
    </row>
    <row r="240" spans="1:26" ht="31.5" customHeight="1" x14ac:dyDescent="0.25">
      <c r="A240" s="1597"/>
      <c r="B240" s="1597"/>
      <c r="C240" s="673" t="str">
        <f>INDEX('Master sheet'!$A$1:$A$670,MATCH("A88",'Master sheet'!$AN$1:$AN$670,0))</f>
        <v>Plywood / Roseburg / Hardwood plywood. Includes:  walnut, alder, cherry, mahogany, oak, birch, maple faces  / 3/4"</v>
      </c>
      <c r="D240" s="17">
        <f>'USER INPUT SHEET'!$D$40</f>
        <v>0</v>
      </c>
      <c r="E240" s="18" t="str">
        <f>'USER INPUT SHEET'!$F$40</f>
        <v>m2</v>
      </c>
      <c r="F240" s="4">
        <v>1</v>
      </c>
      <c r="G240" s="674"/>
      <c r="H240" s="9"/>
      <c r="I240" s="95">
        <f t="shared" si="73"/>
        <v>0</v>
      </c>
      <c r="J240" s="96" t="str">
        <f t="shared" si="78"/>
        <v/>
      </c>
      <c r="K240" s="407">
        <f>$D240*$F240*VLOOKUP($C240,'Master sheet'!$A:$AL,13,FALSE)</f>
        <v>0</v>
      </c>
      <c r="L240" s="97">
        <f>$D240*$F240*VLOOKUP($C240,'Master sheet'!$A:$AL,27,FALSE)</f>
        <v>0</v>
      </c>
      <c r="M240" s="1552"/>
      <c r="N240" s="1552"/>
      <c r="O240" s="25" t="str">
        <f>_xlfn.IFNA(VLOOKUP($C240,'Master sheet'!$A:$AR,44,FALSE),"")&amp;""</f>
        <v/>
      </c>
      <c r="P240" s="637"/>
      <c r="Q240" s="765" t="s">
        <v>1642</v>
      </c>
      <c r="R240" s="728" t="s">
        <v>1646</v>
      </c>
      <c r="S240" s="624"/>
      <c r="T240" s="638"/>
      <c r="U240" s="664"/>
      <c r="V240" s="664"/>
      <c r="W240" s="664"/>
      <c r="X240" s="664"/>
      <c r="Y240" s="664"/>
      <c r="Z240" s="664"/>
    </row>
    <row r="241" spans="1:26" ht="22.8" x14ac:dyDescent="0.25">
      <c r="A241" s="1597"/>
      <c r="B241" s="1597"/>
      <c r="C241" s="673" t="str">
        <f>INDEX('Master sheet'!$A$1:$A$670,MATCH("A89",'Master sheet'!$AN$1:$AN$670,0))</f>
        <v>Plywood / Roseburg / softwood plywood / 1/2"</v>
      </c>
      <c r="D241" s="17">
        <f>'USER INPUT SHEET'!$D$40</f>
        <v>0</v>
      </c>
      <c r="E241" s="18" t="str">
        <f>'USER INPUT SHEET'!$F$40</f>
        <v>m2</v>
      </c>
      <c r="F241" s="4">
        <v>1</v>
      </c>
      <c r="G241" s="674"/>
      <c r="H241" s="9"/>
      <c r="I241" s="95">
        <f t="shared" si="73"/>
        <v>0</v>
      </c>
      <c r="J241" s="96" t="str">
        <f t="shared" si="78"/>
        <v/>
      </c>
      <c r="K241" s="407">
        <f>$D241*$F241*VLOOKUP($C241,'Master sheet'!$A:$AL,13,FALSE)</f>
        <v>0</v>
      </c>
      <c r="L241" s="97">
        <f>$D241*$F241*VLOOKUP($C241,'Master sheet'!$A:$AL,27,FALSE)</f>
        <v>0</v>
      </c>
      <c r="M241" s="1552"/>
      <c r="N241" s="1552"/>
      <c r="O241" s="25" t="str">
        <f>_xlfn.IFNA(VLOOKUP($C241,'Master sheet'!$A:$AR,44,FALSE),"")&amp;""</f>
        <v/>
      </c>
      <c r="P241" s="637"/>
      <c r="Q241" s="765" t="s">
        <v>1642</v>
      </c>
      <c r="R241" s="728" t="s">
        <v>1646</v>
      </c>
      <c r="S241" s="624"/>
      <c r="T241" s="638"/>
      <c r="U241" s="664"/>
      <c r="V241" s="664"/>
      <c r="W241" s="664"/>
      <c r="X241" s="664"/>
      <c r="Y241" s="664"/>
      <c r="Z241" s="664"/>
    </row>
    <row r="242" spans="1:26" s="624" customFormat="1" ht="22.8" x14ac:dyDescent="0.25">
      <c r="A242" s="1597"/>
      <c r="B242" s="1597"/>
      <c r="C242" s="673" t="str">
        <f>INDEX('Master sheet'!$A$1:$A$670,MATCH("A90",'Master sheet'!$AN$1:$AN$670,0))</f>
        <v>Plywood / Roseburg / softwood plywood / 3/4"</v>
      </c>
      <c r="D242" s="17">
        <f>'USER INPUT SHEET'!$D$40</f>
        <v>0</v>
      </c>
      <c r="E242" s="18" t="str">
        <f>'USER INPUT SHEET'!$F$40</f>
        <v>m2</v>
      </c>
      <c r="F242" s="4">
        <v>1</v>
      </c>
      <c r="G242" s="674"/>
      <c r="H242" s="9"/>
      <c r="I242" s="95">
        <f t="shared" si="73"/>
        <v>0</v>
      </c>
      <c r="J242" s="96" t="str">
        <f t="shared" si="78"/>
        <v/>
      </c>
      <c r="K242" s="407">
        <f>$D242*$F242*VLOOKUP($C242,'Master sheet'!$A:$AL,13,FALSE)</f>
        <v>0</v>
      </c>
      <c r="L242" s="97">
        <f>$D242*$F242*VLOOKUP($C242,'Master sheet'!$A:$AL,27,FALSE)</f>
        <v>0</v>
      </c>
      <c r="M242" s="1610"/>
      <c r="N242" s="1610"/>
      <c r="O242" s="25" t="str">
        <f>_xlfn.IFNA(VLOOKUP($C242,'Master sheet'!$A:$AR,44,FALSE),"")&amp;""</f>
        <v/>
      </c>
      <c r="P242" s="637"/>
      <c r="Q242" s="765" t="s">
        <v>1642</v>
      </c>
      <c r="R242" s="728" t="s">
        <v>1646</v>
      </c>
      <c r="T242" s="638"/>
      <c r="U242" s="638"/>
      <c r="V242" s="638"/>
      <c r="W242" s="638"/>
      <c r="X242" s="638"/>
      <c r="Y242" s="638"/>
      <c r="Z242" s="638"/>
    </row>
    <row r="243" spans="1:26" s="624" customFormat="1" ht="22.8" x14ac:dyDescent="0.25">
      <c r="A243" s="639"/>
      <c r="B243" s="1524" t="s">
        <v>980</v>
      </c>
      <c r="C243" s="1523"/>
      <c r="D243" s="773"/>
      <c r="E243" s="778"/>
      <c r="F243" s="340"/>
      <c r="G243" s="739"/>
      <c r="H243" s="740"/>
      <c r="I243" s="779"/>
      <c r="J243" s="742"/>
      <c r="K243" s="741"/>
      <c r="L243" s="743"/>
      <c r="M243" s="743"/>
      <c r="N243" s="743"/>
      <c r="O243" s="25" t="str">
        <f>_xlfn.IFNA(VLOOKUP($C243,'Master sheet'!$A:$AR,44,FALSE),"")&amp;""</f>
        <v/>
      </c>
      <c r="P243" s="685"/>
      <c r="Q243" s="728"/>
      <c r="R243" s="728"/>
      <c r="T243" s="638"/>
      <c r="U243" s="638"/>
      <c r="V243" s="638"/>
      <c r="W243" s="638"/>
      <c r="X243" s="638"/>
      <c r="Y243" s="638"/>
      <c r="Z243" s="638"/>
    </row>
    <row r="244" spans="1:26" ht="22.8" x14ac:dyDescent="0.25">
      <c r="A244" s="1540"/>
      <c r="B244" s="1540"/>
      <c r="C244" s="673" t="str">
        <f>INDEX('Master sheet'!$A$1:$A$670,MATCH(116,'Master sheet'!$AN$1:$AN$670,0))</f>
        <v>Gypsum panels - glass mat / USG / Securock ExoAir 430 / 1/2"</v>
      </c>
      <c r="D244" s="15">
        <f>'USER INPUT SHEET'!$D$40</f>
        <v>0</v>
      </c>
      <c r="E244" s="16" t="str">
        <f>'USER INPUT SHEET'!$F$40</f>
        <v>m2</v>
      </c>
      <c r="F244" s="3">
        <v>1</v>
      </c>
      <c r="G244" s="670"/>
      <c r="H244" s="8"/>
      <c r="I244" s="92">
        <f t="shared" ref="I244:I248" si="79">K244-L244</f>
        <v>0</v>
      </c>
      <c r="J244" s="93" t="str">
        <f t="shared" ref="J244:J248" si="80">IF(H244=1,I244,"")</f>
        <v/>
      </c>
      <c r="K244" s="406">
        <f>$D244*$F244*VLOOKUP($C244,'Master sheet'!$A:$AL,13,FALSE)</f>
        <v>0</v>
      </c>
      <c r="L244" s="94">
        <f>$D244*$F244*VLOOKUP($C244,'Master sheet'!$A:$AL,27,FALSE)</f>
        <v>0</v>
      </c>
      <c r="M244" s="1562"/>
      <c r="N244" s="1562"/>
      <c r="O244" s="25" t="str">
        <f ca="1">_xlfn.IFNA(VLOOKUP($C244,'Master sheet'!$A:$AR,44,FALSE),"")&amp;""</f>
        <v>Expired 2024</v>
      </c>
      <c r="P244" s="637"/>
      <c r="Q244" s="765" t="s">
        <v>1642</v>
      </c>
      <c r="R244" s="728" t="s">
        <v>1646</v>
      </c>
      <c r="T244" s="664"/>
      <c r="U244" s="664"/>
      <c r="V244" s="664"/>
      <c r="W244" s="664"/>
      <c r="X244" s="664"/>
      <c r="Y244" s="664"/>
      <c r="Z244" s="664"/>
    </row>
    <row r="245" spans="1:26" ht="31.2" x14ac:dyDescent="0.25">
      <c r="A245" s="1540"/>
      <c r="B245" s="1540"/>
      <c r="C245" s="673" t="str">
        <f>INDEX('Master sheet'!$A$1:$A$670,MATCH(418,'Master sheet'!$AN$1:$AN$670,0))</f>
        <v xml:space="preserve">Gypsum panels - glass mat / CertainTeed / GlasRoc Sheathing gypsum board / 5/8" </v>
      </c>
      <c r="D245" s="17">
        <f>'USER INPUT SHEET'!$D$40</f>
        <v>0</v>
      </c>
      <c r="E245" s="18" t="str">
        <f>'USER INPUT SHEET'!$F$40</f>
        <v>m2</v>
      </c>
      <c r="F245" s="4">
        <v>1</v>
      </c>
      <c r="G245" s="674"/>
      <c r="H245" s="9"/>
      <c r="I245" s="95">
        <f t="shared" si="79"/>
        <v>0</v>
      </c>
      <c r="J245" s="96" t="str">
        <f t="shared" si="80"/>
        <v/>
      </c>
      <c r="K245" s="407">
        <f>$D245*$F245*VLOOKUP($C245,'Master sheet'!$A:$AL,13,FALSE)</f>
        <v>0</v>
      </c>
      <c r="L245" s="97">
        <f>$D245*$F245*VLOOKUP($C245,'Master sheet'!$A:$AL,27,FALSE)</f>
        <v>0</v>
      </c>
      <c r="M245" s="1552"/>
      <c r="N245" s="1552"/>
      <c r="O245" s="25" t="str">
        <f ca="1">_xlfn.IFNA(VLOOKUP($C245,'Master sheet'!$A:$AR,44,FALSE),"")&amp;""</f>
        <v/>
      </c>
      <c r="P245" s="637"/>
      <c r="Q245" s="765" t="s">
        <v>1642</v>
      </c>
      <c r="R245" s="728" t="s">
        <v>1646</v>
      </c>
      <c r="S245" s="624"/>
      <c r="T245" s="638"/>
      <c r="U245" s="664"/>
      <c r="V245" s="664"/>
      <c r="W245" s="664"/>
      <c r="X245" s="664"/>
      <c r="Y245" s="664"/>
      <c r="Z245" s="664"/>
    </row>
    <row r="246" spans="1:26" ht="31.2" x14ac:dyDescent="0.25">
      <c r="A246" s="1540"/>
      <c r="B246" s="1540"/>
      <c r="C246" s="673" t="str">
        <f>INDEX('Master sheet'!$A$1:$A$670,MATCH("A51",'Master sheet'!$AN$1:$AN$670,0))</f>
        <v>Gypsum panels - glass mat / Georgia-Pacific / DensGlass Sheathing  / 1/2"</v>
      </c>
      <c r="D246" s="17">
        <f>'USER INPUT SHEET'!$D$40</f>
        <v>0</v>
      </c>
      <c r="E246" s="18" t="str">
        <f>'USER INPUT SHEET'!$F$40</f>
        <v>m2</v>
      </c>
      <c r="F246" s="4">
        <v>1</v>
      </c>
      <c r="G246" s="674"/>
      <c r="H246" s="9"/>
      <c r="I246" s="95">
        <f t="shared" si="79"/>
        <v>0</v>
      </c>
      <c r="J246" s="96" t="str">
        <f t="shared" si="80"/>
        <v/>
      </c>
      <c r="K246" s="407">
        <f>$D246*$F246*VLOOKUP($C246,'Master sheet'!$A:$AL,13,FALSE)</f>
        <v>0</v>
      </c>
      <c r="L246" s="97">
        <f>$D246*$F246*VLOOKUP($C246,'Master sheet'!$A:$AL,27,FALSE)</f>
        <v>0</v>
      </c>
      <c r="M246" s="1552"/>
      <c r="N246" s="1552"/>
      <c r="O246" s="25" t="str">
        <f>_xlfn.IFNA(VLOOKUP($C246,'Master sheet'!$A:$AR,44,FALSE),"")&amp;""</f>
        <v/>
      </c>
      <c r="P246" s="637"/>
      <c r="Q246" s="765" t="s">
        <v>1642</v>
      </c>
      <c r="R246" s="728" t="s">
        <v>1646</v>
      </c>
      <c r="S246" s="624"/>
      <c r="T246" s="638"/>
      <c r="U246" s="664"/>
      <c r="V246" s="664"/>
      <c r="W246" s="664"/>
      <c r="X246" s="664"/>
      <c r="Y246" s="664"/>
      <c r="Z246" s="664"/>
    </row>
    <row r="247" spans="1:26" ht="31.2" x14ac:dyDescent="0.25">
      <c r="A247" s="1540"/>
      <c r="B247" s="1540"/>
      <c r="C247" s="673" t="str">
        <f>INDEX('Master sheet'!$A$1:$A$670,MATCH("A142",'Master sheet'!$AN$1:$AN$670,0))</f>
        <v>Gypsum panels - glass mat / Georgia-Pacific / DensGlass Sheathing / 5/8"</v>
      </c>
      <c r="D247" s="17">
        <f>'USER INPUT SHEET'!$D$40</f>
        <v>0</v>
      </c>
      <c r="E247" s="18" t="str">
        <f>'USER INPUT SHEET'!$F$40</f>
        <v>m2</v>
      </c>
      <c r="F247" s="4">
        <v>1</v>
      </c>
      <c r="G247" s="674"/>
      <c r="H247" s="9"/>
      <c r="I247" s="95">
        <f t="shared" si="79"/>
        <v>0</v>
      </c>
      <c r="J247" s="96" t="str">
        <f t="shared" si="80"/>
        <v/>
      </c>
      <c r="K247" s="407">
        <f>$D247*$F247*VLOOKUP($C247,'Master sheet'!$A:$AL,13,FALSE)</f>
        <v>0</v>
      </c>
      <c r="L247" s="97">
        <f>$D247*$F247*VLOOKUP($C247,'Master sheet'!$A:$AL,27,FALSE)</f>
        <v>0</v>
      </c>
      <c r="M247" s="1552"/>
      <c r="N247" s="1552"/>
      <c r="O247" s="25" t="str">
        <f>_xlfn.IFNA(VLOOKUP($C247,'Master sheet'!$A:$AR,44,FALSE),"")&amp;""</f>
        <v/>
      </c>
      <c r="P247" s="637"/>
      <c r="Q247" s="765" t="s">
        <v>1642</v>
      </c>
      <c r="R247" s="728" t="s">
        <v>1646</v>
      </c>
      <c r="S247" s="624"/>
      <c r="T247" s="638"/>
      <c r="U247" s="664"/>
      <c r="V247" s="664"/>
      <c r="W247" s="664"/>
      <c r="X247" s="664"/>
      <c r="Y247" s="664"/>
      <c r="Z247" s="664"/>
    </row>
    <row r="248" spans="1:26" ht="31.2" x14ac:dyDescent="0.25">
      <c r="A248" s="1540"/>
      <c r="B248" s="1540"/>
      <c r="C248" s="673" t="str">
        <f>INDEX('Master sheet'!$A$1:$A$670,MATCH("A50",'Master sheet'!$AN$1:$AN$670,0))</f>
        <v>Gypsum panels - glass mat / Gypsum Association / North American Industry Average / 1/2"</v>
      </c>
      <c r="D248" s="17">
        <f>'USER INPUT SHEET'!$D$40</f>
        <v>0</v>
      </c>
      <c r="E248" s="18" t="str">
        <f>'USER INPUT SHEET'!$F$40</f>
        <v>m2</v>
      </c>
      <c r="F248" s="4">
        <v>1</v>
      </c>
      <c r="G248" s="674"/>
      <c r="H248" s="9"/>
      <c r="I248" s="95">
        <f t="shared" si="79"/>
        <v>0</v>
      </c>
      <c r="J248" s="96" t="str">
        <f t="shared" si="80"/>
        <v/>
      </c>
      <c r="K248" s="407">
        <f>$D248*$F248*VLOOKUP($C248,'Master sheet'!$A:$AL,13,FALSE)</f>
        <v>0</v>
      </c>
      <c r="L248" s="97">
        <f>$D248*$F248*VLOOKUP($C248,'Master sheet'!$A:$AL,27,FALSE)</f>
        <v>0</v>
      </c>
      <c r="M248" s="1552"/>
      <c r="N248" s="1552"/>
      <c r="O248" s="25" t="str">
        <f>_xlfn.IFNA(VLOOKUP($C248,'Master sheet'!$A:$AR,44,FALSE),"")&amp;""</f>
        <v/>
      </c>
      <c r="P248" s="637"/>
      <c r="Q248" s="765" t="s">
        <v>1642</v>
      </c>
      <c r="R248" s="728" t="s">
        <v>1646</v>
      </c>
      <c r="S248" s="624"/>
      <c r="T248" s="638"/>
      <c r="U248" s="664"/>
      <c r="V248" s="664"/>
      <c r="W248" s="664"/>
      <c r="X248" s="664"/>
      <c r="Y248" s="664"/>
      <c r="Z248" s="664"/>
    </row>
    <row r="249" spans="1:26" s="624" customFormat="1" ht="31.2" x14ac:dyDescent="0.25">
      <c r="A249" s="1540"/>
      <c r="B249" s="1540"/>
      <c r="C249" s="673" t="str">
        <f>INDEX('Master sheet'!$A$1:$A$670,MATCH("A143",'Master sheet'!$AN$1:$AN$670,0))</f>
        <v>Gypsum panels - glass mat / Gypsum Association / North American Industry Average / 5/8" Type X</v>
      </c>
      <c r="D249" s="17">
        <f>'USER INPUT SHEET'!$D$40</f>
        <v>0</v>
      </c>
      <c r="E249" s="18" t="str">
        <f>'USER INPUT SHEET'!$F$40</f>
        <v>m2</v>
      </c>
      <c r="F249" s="4">
        <v>1</v>
      </c>
      <c r="G249" s="674"/>
      <c r="H249" s="9"/>
      <c r="I249" s="95">
        <f t="shared" ref="I249" si="81">K249-L249</f>
        <v>0</v>
      </c>
      <c r="J249" s="96" t="str">
        <f t="shared" si="77"/>
        <v/>
      </c>
      <c r="K249" s="407">
        <f>$D249*$F249*VLOOKUP($C249,'Master sheet'!$A:$AL,13,FALSE)</f>
        <v>0</v>
      </c>
      <c r="L249" s="97">
        <f>$D249*$F249*VLOOKUP($C249,'Master sheet'!$A:$AL,27,FALSE)</f>
        <v>0</v>
      </c>
      <c r="M249" s="1610"/>
      <c r="N249" s="1610"/>
      <c r="O249" s="25" t="str">
        <f>_xlfn.IFNA(VLOOKUP($C249,'Master sheet'!$A:$AR,44,FALSE),"")&amp;""</f>
        <v/>
      </c>
      <c r="P249" s="637"/>
      <c r="Q249" s="765" t="s">
        <v>1642</v>
      </c>
      <c r="R249" s="728" t="s">
        <v>1646</v>
      </c>
      <c r="T249" s="638"/>
      <c r="U249" s="638"/>
      <c r="V249" s="638"/>
      <c r="W249" s="638"/>
      <c r="X249" s="638"/>
      <c r="Y249" s="638"/>
      <c r="Z249" s="638"/>
    </row>
    <row r="250" spans="1:26" s="624" customFormat="1" ht="22.8" x14ac:dyDescent="0.25">
      <c r="A250" s="639"/>
      <c r="B250" s="1524" t="s">
        <v>1647</v>
      </c>
      <c r="C250" s="1523"/>
      <c r="D250" s="773"/>
      <c r="E250" s="778"/>
      <c r="F250" s="340"/>
      <c r="G250" s="739"/>
      <c r="H250" s="740"/>
      <c r="I250" s="779"/>
      <c r="J250" s="742"/>
      <c r="K250" s="741"/>
      <c r="L250" s="743"/>
      <c r="M250" s="743"/>
      <c r="N250" s="743"/>
      <c r="O250" s="25" t="str">
        <f>_xlfn.IFNA(VLOOKUP($C250,'Master sheet'!$A:$AR,44,FALSE),"")&amp;""</f>
        <v/>
      </c>
      <c r="P250" s="685"/>
      <c r="Q250" s="728"/>
      <c r="R250" s="728"/>
      <c r="T250" s="638"/>
      <c r="U250" s="638"/>
      <c r="V250" s="638"/>
      <c r="W250" s="638"/>
      <c r="X250" s="638"/>
      <c r="Y250" s="638"/>
      <c r="Z250" s="638"/>
    </row>
    <row r="251" spans="1:26" ht="22.8" x14ac:dyDescent="0.25">
      <c r="A251" s="1540"/>
      <c r="B251" s="1540"/>
      <c r="C251" s="669" t="str">
        <f>INDEX('Master sheet'!$A$1:$A$670,MATCH(36,'Master sheet'!$AN$1:$AN$670,0))</f>
        <v>Cement board 1/2" / USG / Durock (132) / 1/2" (12.7 mm)</v>
      </c>
      <c r="D251" s="15">
        <f>'USER INPUT SHEET'!$D$40</f>
        <v>0</v>
      </c>
      <c r="E251" s="16" t="str">
        <f>'USER INPUT SHEET'!$F$40</f>
        <v>m2</v>
      </c>
      <c r="F251" s="3">
        <v>1</v>
      </c>
      <c r="G251" s="670"/>
      <c r="H251" s="8"/>
      <c r="I251" s="92">
        <f t="shared" ref="I251:I252" si="82">K251-L251</f>
        <v>0</v>
      </c>
      <c r="J251" s="93" t="str">
        <f t="shared" ref="J251:J252" si="83">IF(H251=1,I251,"")</f>
        <v/>
      </c>
      <c r="K251" s="406">
        <f>$D251*$F251*VLOOKUP($C251,'Master sheet'!$A:$AL,13,FALSE)</f>
        <v>0</v>
      </c>
      <c r="L251" s="94">
        <f>$D251*$F251*VLOOKUP($C251,'Master sheet'!$A:$AL,27,FALSE)</f>
        <v>0</v>
      </c>
      <c r="M251" s="1562"/>
      <c r="N251" s="1562"/>
      <c r="O251" s="25" t="str">
        <f ca="1">_xlfn.IFNA(VLOOKUP($C251,'Master sheet'!$A:$AR,44,FALSE),"")&amp;""</f>
        <v>Expired 2025</v>
      </c>
      <c r="P251" s="637"/>
      <c r="Q251" s="765" t="s">
        <v>1642</v>
      </c>
      <c r="R251" s="728" t="s">
        <v>1646</v>
      </c>
      <c r="T251" s="664"/>
      <c r="U251" s="664"/>
      <c r="V251" s="664"/>
      <c r="W251" s="664"/>
      <c r="X251" s="664"/>
      <c r="Y251" s="664"/>
      <c r="Z251" s="664"/>
    </row>
    <row r="252" spans="1:26" s="624" customFormat="1" ht="22.8" x14ac:dyDescent="0.25">
      <c r="A252" s="1540"/>
      <c r="B252" s="1540"/>
      <c r="C252" s="673" t="str">
        <f>INDEX('Master sheet'!$A$1:$A$670,MATCH(37,'Master sheet'!$AN$1:$AN$670,0))</f>
        <v>Cement board 1/2" / USG / Durock (133) / 1/2" (12.7 mm)</v>
      </c>
      <c r="D252" s="17">
        <f>'USER INPUT SHEET'!$D$40</f>
        <v>0</v>
      </c>
      <c r="E252" s="18" t="str">
        <f>'USER INPUT SHEET'!$F$40</f>
        <v>m2</v>
      </c>
      <c r="F252" s="4">
        <v>1</v>
      </c>
      <c r="G252" s="674"/>
      <c r="H252" s="9"/>
      <c r="I252" s="95">
        <f t="shared" si="82"/>
        <v>0</v>
      </c>
      <c r="J252" s="96" t="str">
        <f t="shared" si="83"/>
        <v/>
      </c>
      <c r="K252" s="407">
        <f>$D252*$F252*VLOOKUP($C252,'Master sheet'!$A:$AL,13,FALSE)</f>
        <v>0</v>
      </c>
      <c r="L252" s="97">
        <f>$D252*$F252*VLOOKUP($C252,'Master sheet'!$A:$AL,27,FALSE)</f>
        <v>0</v>
      </c>
      <c r="M252" s="1552"/>
      <c r="N252" s="1552"/>
      <c r="O252" s="25" t="str">
        <f ca="1">_xlfn.IFNA(VLOOKUP($C252,'Master sheet'!$A:$AR,44,FALSE),"")&amp;""</f>
        <v>Expired 2025</v>
      </c>
      <c r="P252" s="637"/>
      <c r="Q252" s="765" t="s">
        <v>1642</v>
      </c>
      <c r="R252" s="728" t="s">
        <v>1646</v>
      </c>
      <c r="T252" s="638"/>
      <c r="U252" s="638"/>
      <c r="V252" s="638"/>
      <c r="W252" s="638"/>
      <c r="X252" s="638"/>
      <c r="Y252" s="638"/>
      <c r="Z252" s="638"/>
    </row>
    <row r="253" spans="1:26" s="624" customFormat="1" ht="54.75" customHeight="1" x14ac:dyDescent="0.25">
      <c r="A253" s="1522" t="s">
        <v>35</v>
      </c>
      <c r="B253" s="1523"/>
      <c r="C253" s="1523"/>
      <c r="D253" s="649"/>
      <c r="E253" s="650"/>
      <c r="F253" s="321"/>
      <c r="G253" s="650"/>
      <c r="H253" s="650"/>
      <c r="I253" s="651"/>
      <c r="J253" s="651"/>
      <c r="K253" s="652"/>
      <c r="L253" s="759"/>
      <c r="M253" s="759"/>
      <c r="N253" s="759"/>
      <c r="O253" s="25" t="str">
        <f>_xlfn.IFNA(VLOOKUP($C253,'Master sheet'!$A:$AR,44,FALSE),"")&amp;""</f>
        <v/>
      </c>
      <c r="P253" s="637"/>
      <c r="Q253" s="790"/>
      <c r="R253" s="790"/>
      <c r="S253" s="638"/>
      <c r="T253" s="638"/>
      <c r="U253" s="638"/>
      <c r="V253" s="638"/>
      <c r="W253" s="638"/>
      <c r="X253" s="638"/>
      <c r="Y253" s="638"/>
      <c r="Z253" s="638"/>
    </row>
    <row r="254" spans="1:26" s="624" customFormat="1" ht="32.25" customHeight="1" x14ac:dyDescent="0.3">
      <c r="A254" s="1623" t="s">
        <v>917</v>
      </c>
      <c r="B254" s="1611"/>
      <c r="C254" s="681" t="str">
        <f>INDEX('Master sheet'!$A$1:$A$670,MATCH(259,'Master sheet'!$AN$1:$AN$670,0))</f>
        <v>EPS FOAM ICF R-23, 2 Sheets of 2.75" @ R4/in., 15M rebar (6" CONCRETE CORE must be added separately)</v>
      </c>
      <c r="D254" s="22">
        <f>'USER INPUT SHEET'!$D$40</f>
        <v>0</v>
      </c>
      <c r="E254" s="23" t="str">
        <f>'USER INPUT SHEET'!$F$40</f>
        <v>m2</v>
      </c>
      <c r="F254" s="6">
        <v>1</v>
      </c>
      <c r="G254" s="682"/>
      <c r="H254" s="10"/>
      <c r="I254" s="100">
        <f t="shared" ref="I254:I262" si="84">K254-L254</f>
        <v>0</v>
      </c>
      <c r="J254" s="101" t="str">
        <f t="shared" ref="J254:J262" si="85">IF(H254=1,I254,"")</f>
        <v/>
      </c>
      <c r="K254" s="408">
        <f>$D254*$F254*VLOOKUP($C254,'Master sheet'!$A:$AL,13,FALSE)</f>
        <v>0</v>
      </c>
      <c r="L254" s="102">
        <f>$D254*$F254*VLOOKUP($C254,'Master sheet'!$A:$AL,27,FALSE)</f>
        <v>0</v>
      </c>
      <c r="M254" s="1610"/>
      <c r="N254" s="1610"/>
      <c r="O254" s="25" t="str">
        <f ca="1">_xlfn.IFNA(VLOOKUP($C254,'Master sheet'!$A:$AR,44,FALSE),"")&amp;""</f>
        <v/>
      </c>
      <c r="P254" s="637"/>
      <c r="Q254" s="765" t="s">
        <v>1642</v>
      </c>
      <c r="R254" s="790" t="s">
        <v>1648</v>
      </c>
      <c r="S254" s="638"/>
      <c r="T254" s="638"/>
      <c r="U254" s="638"/>
      <c r="V254" s="638"/>
      <c r="W254" s="638"/>
      <c r="X254" s="638"/>
      <c r="Y254" s="638"/>
      <c r="Z254" s="638"/>
    </row>
    <row r="255" spans="1:26" s="624" customFormat="1" ht="32.25" customHeight="1" x14ac:dyDescent="0.25">
      <c r="A255" s="639"/>
      <c r="B255" s="1524" t="s">
        <v>1349</v>
      </c>
      <c r="C255" s="1524"/>
      <c r="D255" s="640"/>
      <c r="E255" s="641"/>
      <c r="F255" s="320"/>
      <c r="G255" s="641"/>
      <c r="H255" s="641"/>
      <c r="I255" s="642"/>
      <c r="J255" s="643"/>
      <c r="K255" s="676"/>
      <c r="L255" s="677"/>
      <c r="M255" s="677"/>
      <c r="N255" s="677"/>
      <c r="O255" s="25" t="str">
        <f>_xlfn.IFNA(VLOOKUP($C255,'Master sheet'!$A:$AR,44,FALSE),"")&amp;""</f>
        <v/>
      </c>
      <c r="P255" s="637"/>
      <c r="Q255" s="765"/>
      <c r="R255" s="790"/>
      <c r="S255" s="638"/>
      <c r="T255" s="638"/>
      <c r="U255" s="638"/>
      <c r="V255" s="638"/>
      <c r="W255" s="638"/>
      <c r="X255" s="638"/>
      <c r="Y255" s="638"/>
      <c r="Z255" s="638"/>
    </row>
    <row r="256" spans="1:26" ht="31.5" customHeight="1" x14ac:dyDescent="0.25">
      <c r="A256" s="1525" t="s">
        <v>1058</v>
      </c>
      <c r="B256" s="1624"/>
      <c r="C256" s="734" t="str" cm="1">
        <f t="array" ref="C256">INDEX('Master sheet'!$A$1:$A$670,MATCH(1,("0-25" = 'Master sheet'!$AO$1:$AO$670)*(1 = 'Master sheet'!$AP$1:$AP$670)*('Master sheet'!$AT$1:$AT$670),0))</f>
        <v xml:space="preserve">Concrete - 25 MPa, GU / SRMCA / Can. Sask Avg. / </v>
      </c>
      <c r="D256" s="235">
        <f>'USER INPUT SHEET'!$D$40</f>
        <v>0</v>
      </c>
      <c r="E256" s="14" t="str">
        <f>'USER INPUT SHEET'!$F$40</f>
        <v>m2</v>
      </c>
      <c r="F256" s="6">
        <v>1</v>
      </c>
      <c r="G256" s="735"/>
      <c r="H256" s="10"/>
      <c r="I256" s="237">
        <f t="shared" si="84"/>
        <v>0</v>
      </c>
      <c r="J256" s="238" t="str">
        <f>IF(H256=1,I256,"")</f>
        <v/>
      </c>
      <c r="K256" s="416">
        <f>$D256*$F256*VLOOKUP($C256,'Master sheet'!$A:$AL,13,FALSE)*0.15875</f>
        <v>0</v>
      </c>
      <c r="L256" s="239">
        <f>$D256*$F256*VLOOKUP($C256,'Master sheet'!$A:$AL,27,FALSE)*0.15875</f>
        <v>0</v>
      </c>
      <c r="M256" s="1552"/>
      <c r="N256" s="1552"/>
      <c r="O256" s="25" t="str">
        <f ca="1">_xlfn.IFNA(VLOOKUP($C256,'Master sheet'!$A:$AR,44,FALSE),"")&amp;""</f>
        <v/>
      </c>
      <c r="P256" s="637"/>
      <c r="Q256" s="765" t="s">
        <v>1642</v>
      </c>
      <c r="R256" s="790" t="s">
        <v>1648</v>
      </c>
      <c r="S256" s="664"/>
      <c r="T256" s="664"/>
      <c r="U256" s="664"/>
      <c r="V256" s="664"/>
      <c r="W256" s="664"/>
      <c r="X256" s="664"/>
      <c r="Y256" s="664"/>
      <c r="Z256" s="664"/>
    </row>
    <row r="257" spans="1:26" ht="23.25" customHeight="1" x14ac:dyDescent="0.25">
      <c r="A257" s="1525"/>
      <c r="B257" s="1624"/>
      <c r="C257" s="669" t="str" cm="1">
        <f t="array" ref="C257">INDEX('Master sheet'!$A$1:$A$670,MATCH(1,("0-25" = 'Master sheet'!$AO$1:$AO$670)*(2 = 'Master sheet'!$AP$1:$AP$670)*('Master sheet'!$AT$1:$AT$670),0))</f>
        <v xml:space="preserve">Concrete - 25 MPa, 10% FA, GU / SRMCA / Can. Sask Avg. / </v>
      </c>
      <c r="D257" s="15">
        <f>'USER INPUT SHEET'!$D$40</f>
        <v>0</v>
      </c>
      <c r="E257" s="16" t="str">
        <f>'USER INPUT SHEET'!$F$40</f>
        <v>m2</v>
      </c>
      <c r="F257" s="3">
        <v>1</v>
      </c>
      <c r="G257" s="670"/>
      <c r="H257" s="8"/>
      <c r="I257" s="92">
        <f t="shared" si="84"/>
        <v>0</v>
      </c>
      <c r="J257" s="93" t="str">
        <f t="shared" si="85"/>
        <v/>
      </c>
      <c r="K257" s="406">
        <f>$D257*$F257*VLOOKUP($C257,'Master sheet'!$A:$AL,13,FALSE)*0.15875</f>
        <v>0</v>
      </c>
      <c r="L257" s="94">
        <f>$D257*$F257*VLOOKUP($C257,'Master sheet'!$A:$AL,27,FALSE)*0.15875</f>
        <v>0</v>
      </c>
      <c r="M257" s="1552"/>
      <c r="N257" s="1552"/>
      <c r="O257" s="25" t="str">
        <f ca="1">_xlfn.IFNA(VLOOKUP($C257,'Master sheet'!$A:$AR,44,FALSE),"")&amp;""</f>
        <v/>
      </c>
      <c r="P257" s="685"/>
      <c r="Q257" s="765" t="s">
        <v>1642</v>
      </c>
      <c r="R257" s="790" t="s">
        <v>1648</v>
      </c>
      <c r="S257" s="664"/>
      <c r="T257" s="664"/>
      <c r="U257" s="664"/>
      <c r="V257" s="664"/>
      <c r="W257" s="664"/>
      <c r="X257" s="664"/>
      <c r="Y257" s="664"/>
      <c r="Z257" s="664"/>
    </row>
    <row r="258" spans="1:26" ht="23.25" customHeight="1" x14ac:dyDescent="0.25">
      <c r="A258" s="1525"/>
      <c r="B258" s="1624"/>
      <c r="C258" s="669" t="str" cm="1">
        <f t="array" ref="C258">INDEX('Master sheet'!$A$1:$A$670,MATCH(1,("0-25" = 'Master sheet'!$AO$1:$AO$670)*(3 = 'Master sheet'!$AP$1:$AP$670)*('Master sheet'!$AT$1:$AT$670),0))</f>
        <v xml:space="preserve">Concrete - 25 MPa, 20% FA, GU / SRMCA / Can. Sask Avg. / </v>
      </c>
      <c r="D258" s="15">
        <f>'USER INPUT SHEET'!$D$40</f>
        <v>0</v>
      </c>
      <c r="E258" s="16" t="str">
        <f>'USER INPUT SHEET'!$F$40</f>
        <v>m2</v>
      </c>
      <c r="F258" s="3">
        <v>1</v>
      </c>
      <c r="G258" s="670"/>
      <c r="H258" s="8"/>
      <c r="I258" s="92">
        <f t="shared" si="84"/>
        <v>0</v>
      </c>
      <c r="J258" s="93" t="str">
        <f t="shared" si="85"/>
        <v/>
      </c>
      <c r="K258" s="406">
        <f>$D258*$F258*VLOOKUP($C258,'Master sheet'!$A:$AL,13,FALSE)*0.15875</f>
        <v>0</v>
      </c>
      <c r="L258" s="94">
        <f>$D258*$F258*VLOOKUP($C258,'Master sheet'!$A:$AL,27,FALSE)*0.15875</f>
        <v>0</v>
      </c>
      <c r="M258" s="1552"/>
      <c r="N258" s="1552"/>
      <c r="O258" s="25" t="str">
        <f ca="1">_xlfn.IFNA(VLOOKUP($C258,'Master sheet'!$A:$AR,44,FALSE),"")&amp;""</f>
        <v/>
      </c>
      <c r="P258" s="685"/>
      <c r="Q258" s="765" t="s">
        <v>1642</v>
      </c>
      <c r="R258" s="790" t="s">
        <v>1648</v>
      </c>
      <c r="S258" s="664"/>
      <c r="T258" s="664"/>
      <c r="U258" s="664"/>
      <c r="V258" s="664"/>
      <c r="W258" s="664"/>
      <c r="X258" s="664"/>
      <c r="Y258" s="664"/>
      <c r="Z258" s="664"/>
    </row>
    <row r="259" spans="1:26" ht="23.25" customHeight="1" x14ac:dyDescent="0.25">
      <c r="A259" s="1525"/>
      <c r="B259" s="1624"/>
      <c r="C259" s="669" t="str" cm="1">
        <f t="array" ref="C259">INDEX('Master sheet'!$A$1:$A$670,MATCH(1,("0-25" = 'Master sheet'!$AO$1:$AO$670)*(4 = 'Master sheet'!$AP$1:$AP$670)*('Master sheet'!$AT$1:$AT$670),0))</f>
        <v xml:space="preserve">Concrete - 25 MPa, 30% FA, GU / SRMCA / Can. Sask Avg. / </v>
      </c>
      <c r="D259" s="15">
        <f>'USER INPUT SHEET'!$D$40</f>
        <v>0</v>
      </c>
      <c r="E259" s="16" t="str">
        <f>'USER INPUT SHEET'!$F$40</f>
        <v>m2</v>
      </c>
      <c r="F259" s="3">
        <v>1</v>
      </c>
      <c r="G259" s="670"/>
      <c r="H259" s="8"/>
      <c r="I259" s="92">
        <f t="shared" si="84"/>
        <v>0</v>
      </c>
      <c r="J259" s="93" t="str">
        <f t="shared" si="85"/>
        <v/>
      </c>
      <c r="K259" s="406">
        <f>$D259*$F259*VLOOKUP($C259,'Master sheet'!$A:$AL,13,FALSE)*0.15875</f>
        <v>0</v>
      </c>
      <c r="L259" s="94">
        <f>$D259*$F259*VLOOKUP($C259,'Master sheet'!$A:$AL,27,FALSE)*0.15875</f>
        <v>0</v>
      </c>
      <c r="M259" s="1552"/>
      <c r="N259" s="1552"/>
      <c r="O259" s="25" t="str">
        <f ca="1">_xlfn.IFNA(VLOOKUP($C259,'Master sheet'!$A:$AR,44,FALSE),"")&amp;""</f>
        <v/>
      </c>
      <c r="P259" s="685"/>
      <c r="Q259" s="765" t="s">
        <v>1642</v>
      </c>
      <c r="R259" s="790" t="s">
        <v>1648</v>
      </c>
      <c r="S259" s="664"/>
      <c r="T259" s="664"/>
      <c r="U259" s="664"/>
      <c r="V259" s="664"/>
      <c r="W259" s="664"/>
      <c r="X259" s="664"/>
      <c r="Y259" s="664"/>
      <c r="Z259" s="664"/>
    </row>
    <row r="260" spans="1:26" ht="23.25" customHeight="1" x14ac:dyDescent="0.25">
      <c r="A260" s="1525"/>
      <c r="B260" s="1624"/>
      <c r="C260" s="669" t="str" cm="1">
        <f t="array" ref="C260">INDEX('Master sheet'!$A$1:$A$670,MATCH(1,("0-25" = 'Master sheet'!$AO$1:$AO$670)*(5 = 'Master sheet'!$AP$1:$AP$670)*('Master sheet'!$AT$1:$AT$670),0))</f>
        <v xml:space="preserve">Concrete - 25 MPa, 40% FA, GU / SRMCA / Can. Sask Avg. / </v>
      </c>
      <c r="D260" s="15">
        <f>'USER INPUT SHEET'!$D$40</f>
        <v>0</v>
      </c>
      <c r="E260" s="16" t="str">
        <f>'USER INPUT SHEET'!$F$40</f>
        <v>m2</v>
      </c>
      <c r="F260" s="3">
        <v>1</v>
      </c>
      <c r="G260" s="670"/>
      <c r="H260" s="8"/>
      <c r="I260" s="92">
        <f t="shared" si="84"/>
        <v>0</v>
      </c>
      <c r="J260" s="93" t="str">
        <f t="shared" si="85"/>
        <v/>
      </c>
      <c r="K260" s="406">
        <f>$D260*$F260*VLOOKUP($C260,'Master sheet'!$A:$AL,13,FALSE)*0.15875</f>
        <v>0</v>
      </c>
      <c r="L260" s="94">
        <f>$D260*$F260*VLOOKUP($C260,'Master sheet'!$A:$AL,27,FALSE)*0.15875</f>
        <v>0</v>
      </c>
      <c r="M260" s="1552"/>
      <c r="N260" s="1552"/>
      <c r="O260" s="25" t="str">
        <f ca="1">_xlfn.IFNA(VLOOKUP($C260,'Master sheet'!$A:$AR,44,FALSE),"")&amp;""</f>
        <v/>
      </c>
      <c r="P260" s="637"/>
      <c r="Q260" s="765" t="s">
        <v>1642</v>
      </c>
      <c r="R260" s="790" t="s">
        <v>1648</v>
      </c>
      <c r="S260" s="664"/>
      <c r="T260" s="664"/>
      <c r="U260" s="664"/>
      <c r="V260" s="664"/>
      <c r="W260" s="664"/>
      <c r="X260" s="664"/>
      <c r="Y260" s="664"/>
      <c r="Z260" s="664"/>
    </row>
    <row r="261" spans="1:26" ht="23.25" hidden="1" customHeight="1" x14ac:dyDescent="0.25">
      <c r="A261" s="1525"/>
      <c r="B261" s="1624"/>
      <c r="C261" s="669" t="e" cm="1">
        <f t="array" ref="C261">INDEX('Master sheet'!$A$1:$A$670,MATCH(1,("0-25" = 'Master sheet'!$AO$1:$AO$670)*(6 = 'Master sheet'!$AP$1:$AP$670)*('Master sheet'!$AT$1:$AT$670),0))</f>
        <v>#N/A</v>
      </c>
      <c r="D261" s="15">
        <f>'USER INPUT SHEET'!$D$40</f>
        <v>0</v>
      </c>
      <c r="E261" s="16" t="str">
        <f>'USER INPUT SHEET'!$F$40</f>
        <v>m2</v>
      </c>
      <c r="F261" s="3">
        <v>1</v>
      </c>
      <c r="G261" s="670"/>
      <c r="H261" s="8"/>
      <c r="I261" s="92" t="e">
        <f t="shared" ref="I261" si="86">K261-L261</f>
        <v>#N/A</v>
      </c>
      <c r="J261" s="93" t="str">
        <f t="shared" ref="J261" si="87">IF(H261=1,I261,"")</f>
        <v/>
      </c>
      <c r="K261" s="406" t="e">
        <f>$D261*$F261*VLOOKUP($C261,'Master sheet'!$A:$AL,13,FALSE)*0.15875</f>
        <v>#N/A</v>
      </c>
      <c r="L261" s="94" t="e">
        <f>$D261*$F261*VLOOKUP($C261,'Master sheet'!$A:$AL,27,FALSE)*0.15875</f>
        <v>#N/A</v>
      </c>
      <c r="M261" s="1552"/>
      <c r="N261" s="1552"/>
      <c r="O261" s="25" t="str">
        <f>_xlfn.IFNA(VLOOKUP($C261,'Master sheet'!$A:$AR,44,FALSE),"")&amp;""</f>
        <v/>
      </c>
      <c r="P261" s="637"/>
      <c r="Q261" s="765" t="s">
        <v>1642</v>
      </c>
      <c r="R261" s="790" t="s">
        <v>1648</v>
      </c>
      <c r="S261" s="664"/>
      <c r="T261" s="664"/>
      <c r="U261" s="664"/>
      <c r="V261" s="664"/>
      <c r="W261" s="664"/>
      <c r="X261" s="664"/>
      <c r="Y261" s="664"/>
      <c r="Z261" s="664"/>
    </row>
    <row r="262" spans="1:26" s="624" customFormat="1" ht="23.25" hidden="1" customHeight="1" x14ac:dyDescent="0.25">
      <c r="A262" s="1625"/>
      <c r="B262" s="1626"/>
      <c r="C262" s="673" t="e" cm="1">
        <f t="array" ref="C262">INDEX('Master sheet'!$A$1:$A$670,MATCH(1,("0-25" = 'Master sheet'!$AO$1:$AO$670)*(7 = 'Master sheet'!$AP$1:$AP$670)*('Master sheet'!$AT$1:$AT$670),0))</f>
        <v>#N/A</v>
      </c>
      <c r="D262" s="17">
        <f>'USER INPUT SHEET'!$D$40</f>
        <v>0</v>
      </c>
      <c r="E262" s="16" t="str">
        <f>'USER INPUT SHEET'!$F$40</f>
        <v>m2</v>
      </c>
      <c r="F262" s="4">
        <v>1</v>
      </c>
      <c r="G262" s="674"/>
      <c r="H262" s="9"/>
      <c r="I262" s="95" t="e">
        <f t="shared" si="84"/>
        <v>#N/A</v>
      </c>
      <c r="J262" s="96" t="str">
        <f t="shared" si="85"/>
        <v/>
      </c>
      <c r="K262" s="407" t="e">
        <f>$D262*$F262*VLOOKUP($C262,'Master sheet'!$A:$AL,13,FALSE)*0.15875</f>
        <v>#N/A</v>
      </c>
      <c r="L262" s="97" t="e">
        <f>$D262*$F262*VLOOKUP($C262,'Master sheet'!$A:$AL,27,FALSE)*0.15875</f>
        <v>#N/A</v>
      </c>
      <c r="M262" s="1552"/>
      <c r="N262" s="1552"/>
      <c r="O262" s="25" t="str">
        <f>_xlfn.IFNA(VLOOKUP($C262,'Master sheet'!$A:$AR,44,FALSE),"")&amp;""</f>
        <v/>
      </c>
      <c r="P262" s="655"/>
      <c r="Q262" s="765" t="s">
        <v>1642</v>
      </c>
      <c r="R262" s="790" t="s">
        <v>1648</v>
      </c>
      <c r="S262" s="638"/>
      <c r="T262" s="638"/>
      <c r="U262" s="638"/>
      <c r="V262" s="638"/>
      <c r="W262" s="638"/>
      <c r="X262" s="638"/>
      <c r="Y262" s="638"/>
      <c r="Z262" s="638"/>
    </row>
    <row r="263" spans="1:26" ht="23.85" customHeight="1" x14ac:dyDescent="0.25">
      <c r="A263" s="639"/>
      <c r="B263" s="1524" t="s">
        <v>1350</v>
      </c>
      <c r="C263" s="1524"/>
      <c r="D263" s="656"/>
      <c r="E263" s="641"/>
      <c r="F263" s="322"/>
      <c r="G263" s="657"/>
      <c r="H263" s="657"/>
      <c r="I263" s="658"/>
      <c r="J263" s="659"/>
      <c r="K263" s="660"/>
      <c r="L263" s="661"/>
      <c r="M263" s="677"/>
      <c r="N263" s="677"/>
      <c r="O263" s="25" t="str">
        <f>_xlfn.IFNA(VLOOKUP($C263,'Master sheet'!$A:$AR,44,FALSE),"")&amp;""</f>
        <v/>
      </c>
      <c r="P263" s="663"/>
      <c r="Q263" s="30"/>
      <c r="R263" s="21"/>
      <c r="S263" s="664"/>
      <c r="T263" s="664"/>
      <c r="U263" s="664"/>
      <c r="V263" s="664"/>
      <c r="W263" s="664"/>
      <c r="X263" s="664"/>
      <c r="Y263" s="664"/>
      <c r="Z263" s="664"/>
    </row>
    <row r="264" spans="1:26" ht="31.5" customHeight="1" x14ac:dyDescent="0.25">
      <c r="A264" s="1525" t="s">
        <v>786</v>
      </c>
      <c r="B264" s="1525"/>
      <c r="C264" s="667" t="str" cm="1">
        <f t="array" ref="C264">INDEX('Master sheet'!$A$1:$A$670,MATCH(1,("26-30" = 'Master sheet'!$AO$1:$AO$670)*(1 = 'Master sheet'!$AP$1:$AP$670)*('Master sheet'!$AT$1:$AT$670),0))</f>
        <v xml:space="preserve">Concrete - 30 MPa, GU / SRMCA / Can. Sask Avg. / </v>
      </c>
      <c r="D264" s="230">
        <f>'USER INPUT SHEET'!$D$40</f>
        <v>0</v>
      </c>
      <c r="E264" s="14" t="str">
        <f>'USER INPUT SHEET'!$F$40</f>
        <v>m2</v>
      </c>
      <c r="F264" s="5">
        <v>1</v>
      </c>
      <c r="G264" s="668"/>
      <c r="H264" s="10"/>
      <c r="I264" s="232">
        <f t="shared" ref="I264:I270" si="88">K264-L264</f>
        <v>0</v>
      </c>
      <c r="J264" s="233" t="str">
        <f t="shared" ref="J264:J270" si="89">IF(H264=1,I264,"")</f>
        <v/>
      </c>
      <c r="K264" s="416">
        <f>$D264*$F264*VLOOKUP($C264,'Master sheet'!$A:$AL,13,FALSE)*0.15875</f>
        <v>0</v>
      </c>
      <c r="L264" s="239">
        <f>$D264*$F264*VLOOKUP($C264,'Master sheet'!$A:$AL,27,FALSE)*0.15875</f>
        <v>0</v>
      </c>
      <c r="M264" s="1552"/>
      <c r="N264" s="1552"/>
      <c r="O264" s="25" t="str">
        <f ca="1">_xlfn.IFNA(VLOOKUP($C264,'Master sheet'!$A:$AR,44,FALSE),"")&amp;""</f>
        <v/>
      </c>
      <c r="P264" s="637"/>
      <c r="Q264" s="765" t="s">
        <v>1642</v>
      </c>
      <c r="R264" s="790" t="s">
        <v>1648</v>
      </c>
      <c r="S264" s="664"/>
      <c r="T264" s="664"/>
      <c r="U264" s="664"/>
      <c r="V264" s="664"/>
      <c r="W264" s="664"/>
      <c r="X264" s="664"/>
      <c r="Y264" s="664"/>
      <c r="Z264" s="664"/>
    </row>
    <row r="265" spans="1:26" ht="23.25" customHeight="1" x14ac:dyDescent="0.25">
      <c r="A265" s="1525"/>
      <c r="B265" s="1525"/>
      <c r="C265" s="669" t="str" cm="1">
        <f t="array" ref="C265">INDEX('Master sheet'!$A$1:$A$670,MATCH(1,("26-30" = 'Master sheet'!$AO$1:$AO$670)*(2 = 'Master sheet'!$AP$1:$AP$670)*('Master sheet'!$AT$1:$AT$670),0))</f>
        <v xml:space="preserve">Concrete - 30 MPa, 10% FA, GU / SRMCA / Can. Sask Avg. / </v>
      </c>
      <c r="D265" s="15">
        <f>'USER INPUT SHEET'!$D$40</f>
        <v>0</v>
      </c>
      <c r="E265" s="16" t="str">
        <f>'USER INPUT SHEET'!$F$40</f>
        <v>m2</v>
      </c>
      <c r="F265" s="3">
        <v>1</v>
      </c>
      <c r="G265" s="670"/>
      <c r="H265" s="8"/>
      <c r="I265" s="92">
        <f t="shared" si="88"/>
        <v>0</v>
      </c>
      <c r="J265" s="93" t="str">
        <f t="shared" si="89"/>
        <v/>
      </c>
      <c r="K265" s="406">
        <f>$D265*$F265*VLOOKUP($C265,'Master sheet'!$A:$AL,13,FALSE)*0.15875</f>
        <v>0</v>
      </c>
      <c r="L265" s="94">
        <f>$D265*$F265*VLOOKUP($C265,'Master sheet'!$A:$AL,27,FALSE)*0.15875</f>
        <v>0</v>
      </c>
      <c r="M265" s="1552"/>
      <c r="N265" s="1552"/>
      <c r="O265" s="25" t="str">
        <f ca="1">_xlfn.IFNA(VLOOKUP($C265,'Master sheet'!$A:$AR,44,FALSE),"")&amp;""</f>
        <v/>
      </c>
      <c r="P265" s="671"/>
      <c r="Q265" s="765" t="s">
        <v>1642</v>
      </c>
      <c r="R265" s="790" t="s">
        <v>1648</v>
      </c>
      <c r="S265" s="664"/>
      <c r="T265" s="664"/>
      <c r="U265" s="664"/>
      <c r="V265" s="664"/>
      <c r="W265" s="664"/>
      <c r="X265" s="664"/>
      <c r="Y265" s="664"/>
      <c r="Z265" s="664"/>
    </row>
    <row r="266" spans="1:26" ht="23.25" customHeight="1" x14ac:dyDescent="0.25">
      <c r="A266" s="1525"/>
      <c r="B266" s="1525"/>
      <c r="C266" s="669" t="str" cm="1">
        <f t="array" ref="C266">INDEX('Master sheet'!$A$1:$A$670,MATCH(1,("26-30" = 'Master sheet'!$AO$1:$AO$670)*(3 = 'Master sheet'!$AP$1:$AP$670)*('Master sheet'!$AT$1:$AT$670),0))</f>
        <v xml:space="preserve">Concrete - 30 MPa, 20% FA, GU / SRMCA / Can. Sask Avg. / </v>
      </c>
      <c r="D266" s="15">
        <f>'USER INPUT SHEET'!$D$40</f>
        <v>0</v>
      </c>
      <c r="E266" s="16" t="str">
        <f>'USER INPUT SHEET'!$F$40</f>
        <v>m2</v>
      </c>
      <c r="F266" s="3">
        <v>1</v>
      </c>
      <c r="G266" s="670"/>
      <c r="H266" s="8"/>
      <c r="I266" s="92">
        <f t="shared" si="88"/>
        <v>0</v>
      </c>
      <c r="J266" s="93" t="str">
        <f t="shared" si="89"/>
        <v/>
      </c>
      <c r="K266" s="406">
        <f>$D266*$F266*VLOOKUP($C266,'Master sheet'!$A:$AL,13,FALSE)*0.15875</f>
        <v>0</v>
      </c>
      <c r="L266" s="94">
        <f>$D266*$F266*VLOOKUP($C266,'Master sheet'!$A:$AL,27,FALSE)*0.15875</f>
        <v>0</v>
      </c>
      <c r="M266" s="1552"/>
      <c r="N266" s="1552"/>
      <c r="O266" s="25" t="str">
        <f ca="1">_xlfn.IFNA(VLOOKUP($C266,'Master sheet'!$A:$AR,44,FALSE),"")&amp;""</f>
        <v/>
      </c>
      <c r="P266" s="672"/>
      <c r="Q266" s="765" t="s">
        <v>1642</v>
      </c>
      <c r="R266" s="790" t="s">
        <v>1648</v>
      </c>
      <c r="S266" s="664"/>
      <c r="T266" s="664"/>
      <c r="U266" s="664"/>
      <c r="V266" s="664"/>
      <c r="W266" s="664"/>
      <c r="X266" s="664"/>
      <c r="Y266" s="664"/>
      <c r="Z266" s="664"/>
    </row>
    <row r="267" spans="1:26" ht="23.25" customHeight="1" x14ac:dyDescent="0.25">
      <c r="A267" s="1525"/>
      <c r="B267" s="1525"/>
      <c r="C267" s="669" t="str" cm="1">
        <f t="array" ref="C267">INDEX('Master sheet'!$A$1:$A$670,MATCH(1,("26-30" = 'Master sheet'!$AO$1:$AO$670)*(4 = 'Master sheet'!$AP$1:$AP$670)*('Master sheet'!$AT$1:$AT$670),0))</f>
        <v xml:space="preserve">Concrete - 30 MPa, 30% FA, GU / SRMCA / Can. Sask Avg. / </v>
      </c>
      <c r="D267" s="15">
        <f>'USER INPUT SHEET'!$D$40</f>
        <v>0</v>
      </c>
      <c r="E267" s="16" t="str">
        <f>'USER INPUT SHEET'!$F$40</f>
        <v>m2</v>
      </c>
      <c r="F267" s="3">
        <v>1</v>
      </c>
      <c r="G267" s="670"/>
      <c r="H267" s="8"/>
      <c r="I267" s="92">
        <f t="shared" si="88"/>
        <v>0</v>
      </c>
      <c r="J267" s="93" t="str">
        <f t="shared" si="89"/>
        <v/>
      </c>
      <c r="K267" s="406">
        <f>$D267*$F267*VLOOKUP($C267,'Master sheet'!$A:$AL,13,FALSE)*0.15875</f>
        <v>0</v>
      </c>
      <c r="L267" s="94">
        <f>$D267*$F267*VLOOKUP($C267,'Master sheet'!$A:$AL,27,FALSE)*0.15875</f>
        <v>0</v>
      </c>
      <c r="M267" s="1552"/>
      <c r="N267" s="1552"/>
      <c r="O267" s="25" t="str">
        <f ca="1">_xlfn.IFNA(VLOOKUP($C267,'Master sheet'!$A:$AR,44,FALSE),"")&amp;""</f>
        <v/>
      </c>
      <c r="P267" s="672"/>
      <c r="Q267" s="765" t="s">
        <v>1642</v>
      </c>
      <c r="R267" s="790" t="s">
        <v>1648</v>
      </c>
      <c r="S267" s="664"/>
      <c r="T267" s="664"/>
      <c r="U267" s="664"/>
      <c r="V267" s="664"/>
      <c r="W267" s="664"/>
      <c r="X267" s="664"/>
      <c r="Y267" s="664"/>
      <c r="Z267" s="664"/>
    </row>
    <row r="268" spans="1:26" ht="23.25" customHeight="1" x14ac:dyDescent="0.25">
      <c r="A268" s="1525"/>
      <c r="B268" s="1525"/>
      <c r="C268" s="669" t="str" cm="1">
        <f t="array" ref="C268">INDEX('Master sheet'!$A$1:$A$670,MATCH(1,("26-30" = 'Master sheet'!$AO$1:$AO$670)*(5 = 'Master sheet'!$AP$1:$AP$670)*('Master sheet'!$AT$1:$AT$670),0))</f>
        <v xml:space="preserve">Concrete - 30 MPa, 40% FA, GU / SRMCA / Can. Sask Avg. / </v>
      </c>
      <c r="D268" s="15">
        <f>'USER INPUT SHEET'!$D$40</f>
        <v>0</v>
      </c>
      <c r="E268" s="16" t="str">
        <f>'USER INPUT SHEET'!$F$40</f>
        <v>m2</v>
      </c>
      <c r="F268" s="3">
        <v>1</v>
      </c>
      <c r="G268" s="670"/>
      <c r="H268" s="8"/>
      <c r="I268" s="92">
        <f t="shared" si="88"/>
        <v>0</v>
      </c>
      <c r="J268" s="93" t="str">
        <f t="shared" si="89"/>
        <v/>
      </c>
      <c r="K268" s="406">
        <f>$D268*$F268*VLOOKUP($C268,'Master sheet'!$A:$AL,13,FALSE)*0.15875</f>
        <v>0</v>
      </c>
      <c r="L268" s="94">
        <f>$D268*$F268*VLOOKUP($C268,'Master sheet'!$A:$AL,27,FALSE)*0.15875</f>
        <v>0</v>
      </c>
      <c r="M268" s="1552"/>
      <c r="N268" s="1552"/>
      <c r="O268" s="25" t="str">
        <f ca="1">_xlfn.IFNA(VLOOKUP($C268,'Master sheet'!$A:$AR,44,FALSE),"")&amp;""</f>
        <v/>
      </c>
      <c r="P268" s="672"/>
      <c r="Q268" s="765" t="s">
        <v>1642</v>
      </c>
      <c r="R268" s="790" t="s">
        <v>1648</v>
      </c>
      <c r="S268" s="664"/>
      <c r="T268" s="664"/>
      <c r="U268" s="664"/>
      <c r="V268" s="664"/>
      <c r="W268" s="664"/>
      <c r="X268" s="664"/>
      <c r="Y268" s="664"/>
      <c r="Z268" s="664"/>
    </row>
    <row r="269" spans="1:26" ht="23.25" hidden="1" customHeight="1" x14ac:dyDescent="0.25">
      <c r="A269" s="1525"/>
      <c r="B269" s="1525"/>
      <c r="C269" s="669" t="e" cm="1">
        <f t="array" ref="C269">INDEX('Master sheet'!$A$1:$A$670,MATCH(1,("26-30" = 'Master sheet'!$AO$1:$AO$670)*(6 = 'Master sheet'!$AP$1:$AP$670)*('Master sheet'!$AT$1:$AT$670),0))</f>
        <v>#N/A</v>
      </c>
      <c r="D269" s="15">
        <f>'USER INPUT SHEET'!$D$40</f>
        <v>0</v>
      </c>
      <c r="E269" s="16" t="str">
        <f>'USER INPUT SHEET'!$F$40</f>
        <v>m2</v>
      </c>
      <c r="F269" s="3">
        <v>1</v>
      </c>
      <c r="G269" s="670"/>
      <c r="H269" s="8"/>
      <c r="I269" s="92" t="e">
        <f t="shared" si="88"/>
        <v>#N/A</v>
      </c>
      <c r="J269" s="93" t="str">
        <f t="shared" si="89"/>
        <v/>
      </c>
      <c r="K269" s="406" t="e">
        <f>$D269*$F269*VLOOKUP($C269,'Master sheet'!$A:$AL,13,FALSE)*0.15875</f>
        <v>#N/A</v>
      </c>
      <c r="L269" s="94" t="e">
        <f>$D269*$F269*VLOOKUP($C269,'Master sheet'!$A:$AL,27,FALSE)*0.15875</f>
        <v>#N/A</v>
      </c>
      <c r="M269" s="1552"/>
      <c r="N269" s="1552"/>
      <c r="O269" s="25" t="str">
        <f>_xlfn.IFNA(VLOOKUP($C269,'Master sheet'!$A:$AR,44,FALSE),"")&amp;""</f>
        <v/>
      </c>
      <c r="P269" s="672"/>
      <c r="Q269" s="765" t="s">
        <v>1642</v>
      </c>
      <c r="R269" s="790" t="s">
        <v>1648</v>
      </c>
      <c r="S269" s="664"/>
      <c r="T269" s="664"/>
      <c r="U269" s="664"/>
      <c r="V269" s="664"/>
      <c r="W269" s="664"/>
      <c r="X269" s="664"/>
      <c r="Y269" s="664"/>
      <c r="Z269" s="664"/>
    </row>
    <row r="270" spans="1:26" s="624" customFormat="1" ht="23.25" hidden="1" customHeight="1" x14ac:dyDescent="0.25">
      <c r="A270" s="1525"/>
      <c r="B270" s="1525"/>
      <c r="C270" s="673" t="e" cm="1">
        <f t="array" ref="C270">INDEX('Master sheet'!$A$1:$A$670,MATCH(1,("26-30" = 'Master sheet'!$AO$1:$AO$670)*(7 = 'Master sheet'!$AP$1:$AP$670)*('Master sheet'!$AT$1:$AT$670),0))</f>
        <v>#N/A</v>
      </c>
      <c r="D270" s="17">
        <f>'USER INPUT SHEET'!$D$40</f>
        <v>0</v>
      </c>
      <c r="E270" s="18" t="str">
        <f>'USER INPUT SHEET'!$F$40</f>
        <v>m2</v>
      </c>
      <c r="F270" s="4">
        <v>1</v>
      </c>
      <c r="G270" s="674"/>
      <c r="H270" s="9"/>
      <c r="I270" s="95" t="e">
        <f t="shared" si="88"/>
        <v>#N/A</v>
      </c>
      <c r="J270" s="96" t="str">
        <f t="shared" si="89"/>
        <v/>
      </c>
      <c r="K270" s="407" t="e">
        <f>$D270*$F270*VLOOKUP($C270,'Master sheet'!$A:$AL,13,FALSE)*0.15875</f>
        <v>#N/A</v>
      </c>
      <c r="L270" s="97" t="e">
        <f>$D270*$F270*VLOOKUP($C270,'Master sheet'!$A:$AL,27,FALSE)*0.15875</f>
        <v>#N/A</v>
      </c>
      <c r="M270" s="1552"/>
      <c r="N270" s="1552"/>
      <c r="O270" s="25" t="str">
        <f>_xlfn.IFNA(VLOOKUP($C270,'Master sheet'!$A:$AR,44,FALSE),"")&amp;""</f>
        <v/>
      </c>
      <c r="P270" s="637"/>
      <c r="Q270" s="765" t="s">
        <v>1642</v>
      </c>
      <c r="R270" s="790" t="s">
        <v>1648</v>
      </c>
      <c r="S270" s="638"/>
      <c r="T270" s="638"/>
      <c r="U270" s="638"/>
      <c r="V270" s="638"/>
      <c r="W270" s="638"/>
      <c r="X270" s="638"/>
      <c r="Y270" s="638"/>
      <c r="Z270" s="638"/>
    </row>
    <row r="271" spans="1:26" ht="23.85" customHeight="1" x14ac:dyDescent="0.25">
      <c r="A271" s="639"/>
      <c r="B271" s="1524" t="s">
        <v>1351</v>
      </c>
      <c r="C271" s="1524"/>
      <c r="D271" s="656"/>
      <c r="E271" s="641"/>
      <c r="F271" s="322"/>
      <c r="G271" s="657"/>
      <c r="H271" s="657"/>
      <c r="I271" s="658"/>
      <c r="J271" s="659"/>
      <c r="K271" s="660"/>
      <c r="L271" s="661"/>
      <c r="M271" s="677"/>
      <c r="N271" s="677"/>
      <c r="O271" s="25" t="str">
        <f>_xlfn.IFNA(VLOOKUP($C271,'Master sheet'!$A:$AR,44,FALSE),"")&amp;""</f>
        <v/>
      </c>
      <c r="P271" s="663"/>
      <c r="Q271" s="30"/>
      <c r="R271" s="21"/>
      <c r="S271" s="664"/>
      <c r="T271" s="664"/>
      <c r="U271" s="664"/>
      <c r="V271" s="664"/>
      <c r="W271" s="664"/>
      <c r="X271" s="664"/>
      <c r="Y271" s="664"/>
      <c r="Z271" s="664"/>
    </row>
    <row r="272" spans="1:26" ht="31.5" customHeight="1" x14ac:dyDescent="0.25">
      <c r="A272" s="1525" t="s">
        <v>786</v>
      </c>
      <c r="B272" s="1525"/>
      <c r="C272" s="667" t="str" cm="1">
        <f t="array" ref="C272">INDEX('Master sheet'!$A$1:$A$670,MATCH(1,("31-35" = 'Master sheet'!$AO$1:$AO$670)*(1 = 'Master sheet'!$AP$1:$AP$670)*('Master sheet'!$AT$1:$AT$670),0))</f>
        <v xml:space="preserve">Concrete - 35 MPa, GU / SRMCA / Can. Sask Avg. / </v>
      </c>
      <c r="D272" s="230">
        <f>'USER INPUT SHEET'!$D$40</f>
        <v>0</v>
      </c>
      <c r="E272" s="14" t="str">
        <f>'USER INPUT SHEET'!$F$40</f>
        <v>m2</v>
      </c>
      <c r="F272" s="5">
        <v>1</v>
      </c>
      <c r="G272" s="668"/>
      <c r="H272" s="10"/>
      <c r="I272" s="232">
        <f t="shared" ref="I272:I278" si="90">K272-L272</f>
        <v>0</v>
      </c>
      <c r="J272" s="233" t="str">
        <f t="shared" ref="J272:J278" si="91">IF(H272=1,I272,"")</f>
        <v/>
      </c>
      <c r="K272" s="416">
        <f>$D272*$F272*VLOOKUP($C272,'Master sheet'!$A:$AL,13,FALSE)*0.15875</f>
        <v>0</v>
      </c>
      <c r="L272" s="239">
        <f>$D272*$F272*VLOOKUP($C272,'Master sheet'!$A:$AL,27,FALSE)*0.15875</f>
        <v>0</v>
      </c>
      <c r="M272" s="1552"/>
      <c r="N272" s="1552"/>
      <c r="O272" s="25" t="str">
        <f ca="1">_xlfn.IFNA(VLOOKUP($C272,'Master sheet'!$A:$AR,44,FALSE),"")&amp;""</f>
        <v/>
      </c>
      <c r="P272" s="637"/>
      <c r="Q272" s="765" t="s">
        <v>1642</v>
      </c>
      <c r="R272" s="790" t="s">
        <v>1648</v>
      </c>
      <c r="S272" s="664"/>
      <c r="T272" s="664"/>
      <c r="U272" s="664"/>
      <c r="V272" s="664"/>
      <c r="W272" s="664"/>
      <c r="X272" s="664"/>
      <c r="Y272" s="664"/>
      <c r="Z272" s="664"/>
    </row>
    <row r="273" spans="1:26" ht="23.25" customHeight="1" x14ac:dyDescent="0.25">
      <c r="A273" s="1525"/>
      <c r="B273" s="1525"/>
      <c r="C273" s="669" t="str" cm="1">
        <f t="array" ref="C273">INDEX('Master sheet'!$A$1:$A$670,MATCH(1,("31-35" = 'Master sheet'!$AO$1:$AO$670)*(2 = 'Master sheet'!$AP$1:$AP$670)*('Master sheet'!$AT$1:$AT$670),0))</f>
        <v xml:space="preserve">Concrete - 35 MPa, 10% FA, GU / SRMCA / Can. Sask Avg. / </v>
      </c>
      <c r="D273" s="15">
        <f>'USER INPUT SHEET'!$D$40</f>
        <v>0</v>
      </c>
      <c r="E273" s="16" t="str">
        <f>'USER INPUT SHEET'!$F$40</f>
        <v>m2</v>
      </c>
      <c r="F273" s="3">
        <v>1</v>
      </c>
      <c r="G273" s="670"/>
      <c r="H273" s="8"/>
      <c r="I273" s="92">
        <f t="shared" si="90"/>
        <v>0</v>
      </c>
      <c r="J273" s="93" t="str">
        <f t="shared" si="91"/>
        <v/>
      </c>
      <c r="K273" s="406">
        <f>$D273*$F273*VLOOKUP($C273,'Master sheet'!$A:$AL,13,FALSE)*0.15875</f>
        <v>0</v>
      </c>
      <c r="L273" s="94">
        <f>$D273*$F273*VLOOKUP($C273,'Master sheet'!$A:$AL,27,FALSE)*0.15875</f>
        <v>0</v>
      </c>
      <c r="M273" s="1552"/>
      <c r="N273" s="1552"/>
      <c r="O273" s="25" t="str">
        <f ca="1">_xlfn.IFNA(VLOOKUP($C273,'Master sheet'!$A:$AR,44,FALSE),"")&amp;""</f>
        <v/>
      </c>
      <c r="P273" s="671"/>
      <c r="Q273" s="765" t="s">
        <v>1642</v>
      </c>
      <c r="R273" s="790" t="s">
        <v>1648</v>
      </c>
      <c r="S273" s="664"/>
      <c r="T273" s="664"/>
      <c r="U273" s="664"/>
      <c r="V273" s="664"/>
      <c r="W273" s="664"/>
      <c r="X273" s="664"/>
      <c r="Y273" s="664"/>
      <c r="Z273" s="664"/>
    </row>
    <row r="274" spans="1:26" ht="23.25" customHeight="1" x14ac:dyDescent="0.25">
      <c r="A274" s="1525"/>
      <c r="B274" s="1525"/>
      <c r="C274" s="669" t="str" cm="1">
        <f t="array" ref="C274">INDEX('Master sheet'!$A$1:$A$670,MATCH(1,("31-35" = 'Master sheet'!$AO$1:$AO$670)*(3 = 'Master sheet'!$AP$1:$AP$670)*('Master sheet'!$AT$1:$AT$670),0))</f>
        <v xml:space="preserve">Concrete - 35 MPa, 20% FA, GU / SRMCA / Can. Sask Avg. / </v>
      </c>
      <c r="D274" s="15">
        <f>'USER INPUT SHEET'!$D$40</f>
        <v>0</v>
      </c>
      <c r="E274" s="16" t="str">
        <f>'USER INPUT SHEET'!$F$40</f>
        <v>m2</v>
      </c>
      <c r="F274" s="3">
        <v>1</v>
      </c>
      <c r="G274" s="670"/>
      <c r="H274" s="8"/>
      <c r="I274" s="92">
        <f t="shared" si="90"/>
        <v>0</v>
      </c>
      <c r="J274" s="93" t="str">
        <f t="shared" si="91"/>
        <v/>
      </c>
      <c r="K274" s="406">
        <f>$D274*$F274*VLOOKUP($C274,'Master sheet'!$A:$AL,13,FALSE)*0.15875</f>
        <v>0</v>
      </c>
      <c r="L274" s="94">
        <f>$D274*$F274*VLOOKUP($C274,'Master sheet'!$A:$AL,27,FALSE)*0.15875</f>
        <v>0</v>
      </c>
      <c r="M274" s="1552"/>
      <c r="N274" s="1552"/>
      <c r="O274" s="25" t="str">
        <f ca="1">_xlfn.IFNA(VLOOKUP($C274,'Master sheet'!$A:$AR,44,FALSE),"")&amp;""</f>
        <v/>
      </c>
      <c r="P274" s="672"/>
      <c r="Q274" s="765" t="s">
        <v>1642</v>
      </c>
      <c r="R274" s="790" t="s">
        <v>1648</v>
      </c>
      <c r="S274" s="664"/>
      <c r="T274" s="664"/>
      <c r="U274" s="664"/>
      <c r="V274" s="664"/>
      <c r="W274" s="664"/>
      <c r="X274" s="664"/>
      <c r="Y274" s="664"/>
      <c r="Z274" s="664"/>
    </row>
    <row r="275" spans="1:26" ht="23.25" customHeight="1" x14ac:dyDescent="0.25">
      <c r="A275" s="1525"/>
      <c r="B275" s="1525"/>
      <c r="C275" s="669" t="str" cm="1">
        <f t="array" ref="C275">INDEX('Master sheet'!$A$1:$A$670,MATCH(1,("31-35" = 'Master sheet'!$AO$1:$AO$670)*(4 = 'Master sheet'!$AP$1:$AP$670)*('Master sheet'!$AT$1:$AT$670),0))</f>
        <v xml:space="preserve">Concrete - 35 MPa, 30% FA, GU / SRMCA / Can. Sask Avg. / </v>
      </c>
      <c r="D275" s="15">
        <f>'USER INPUT SHEET'!$D$40</f>
        <v>0</v>
      </c>
      <c r="E275" s="16" t="str">
        <f>'USER INPUT SHEET'!$F$40</f>
        <v>m2</v>
      </c>
      <c r="F275" s="3">
        <v>1</v>
      </c>
      <c r="G275" s="670"/>
      <c r="H275" s="8"/>
      <c r="I275" s="92">
        <f t="shared" si="90"/>
        <v>0</v>
      </c>
      <c r="J275" s="93" t="str">
        <f t="shared" si="91"/>
        <v/>
      </c>
      <c r="K275" s="406">
        <f>$D275*$F275*VLOOKUP($C275,'Master sheet'!$A:$AL,13,FALSE)*0.15875</f>
        <v>0</v>
      </c>
      <c r="L275" s="94">
        <f>$D275*$F275*VLOOKUP($C275,'Master sheet'!$A:$AL,27,FALSE)*0.15875</f>
        <v>0</v>
      </c>
      <c r="M275" s="1552"/>
      <c r="N275" s="1552"/>
      <c r="O275" s="25" t="str">
        <f ca="1">_xlfn.IFNA(VLOOKUP($C275,'Master sheet'!$A:$AR,44,FALSE),"")&amp;""</f>
        <v/>
      </c>
      <c r="P275" s="672"/>
      <c r="Q275" s="765" t="s">
        <v>1642</v>
      </c>
      <c r="R275" s="790" t="s">
        <v>1648</v>
      </c>
      <c r="S275" s="664"/>
      <c r="T275" s="664"/>
      <c r="U275" s="664"/>
      <c r="V275" s="664"/>
      <c r="W275" s="664"/>
      <c r="X275" s="664"/>
      <c r="Y275" s="664"/>
      <c r="Z275" s="664"/>
    </row>
    <row r="276" spans="1:26" ht="23.25" customHeight="1" x14ac:dyDescent="0.25">
      <c r="A276" s="1525"/>
      <c r="B276" s="1525"/>
      <c r="C276" s="669" t="str" cm="1">
        <f t="array" ref="C276">INDEX('Master sheet'!$A$1:$A$670,MATCH(1,("31-35" = 'Master sheet'!$AO$1:$AO$670)*(5 = 'Master sheet'!$AP$1:$AP$670)*('Master sheet'!$AT$1:$AT$670),0))</f>
        <v xml:space="preserve">Concrete - 35 MPa, 40% FA, GU / SRMCA / Can. Sask Avg. / </v>
      </c>
      <c r="D276" s="15">
        <f>'USER INPUT SHEET'!$D$40</f>
        <v>0</v>
      </c>
      <c r="E276" s="16" t="str">
        <f>'USER INPUT SHEET'!$F$40</f>
        <v>m2</v>
      </c>
      <c r="F276" s="3">
        <v>1</v>
      </c>
      <c r="G276" s="670"/>
      <c r="H276" s="8"/>
      <c r="I276" s="92">
        <f t="shared" si="90"/>
        <v>0</v>
      </c>
      <c r="J276" s="93" t="str">
        <f t="shared" si="91"/>
        <v/>
      </c>
      <c r="K276" s="406">
        <f>$D276*$F276*VLOOKUP($C276,'Master sheet'!$A:$AL,13,FALSE)*0.15875</f>
        <v>0</v>
      </c>
      <c r="L276" s="94">
        <f>$D276*$F276*VLOOKUP($C276,'Master sheet'!$A:$AL,27,FALSE)*0.15875</f>
        <v>0</v>
      </c>
      <c r="M276" s="1552"/>
      <c r="N276" s="1552"/>
      <c r="O276" s="25" t="str">
        <f ca="1">_xlfn.IFNA(VLOOKUP($C276,'Master sheet'!$A:$AR,44,FALSE),"")&amp;""</f>
        <v/>
      </c>
      <c r="P276" s="672"/>
      <c r="Q276" s="765" t="s">
        <v>1642</v>
      </c>
      <c r="R276" s="790" t="s">
        <v>1648</v>
      </c>
      <c r="S276" s="664"/>
      <c r="T276" s="664"/>
      <c r="U276" s="664"/>
      <c r="V276" s="664"/>
      <c r="W276" s="664"/>
      <c r="X276" s="664"/>
      <c r="Y276" s="664"/>
      <c r="Z276" s="664"/>
    </row>
    <row r="277" spans="1:26" ht="23.25" hidden="1" customHeight="1" x14ac:dyDescent="0.25">
      <c r="A277" s="1525"/>
      <c r="B277" s="1525"/>
      <c r="C277" s="669" t="e" cm="1">
        <f t="array" ref="C277">INDEX('Master sheet'!$A$1:$A$670,MATCH(1,("31-35" = 'Master sheet'!$AO$1:$AO$670)*(6 = 'Master sheet'!$AP$1:$AP$670)*('Master sheet'!$AT$1:$AT$670),0))</f>
        <v>#N/A</v>
      </c>
      <c r="D277" s="15">
        <f>'USER INPUT SHEET'!$D$40</f>
        <v>0</v>
      </c>
      <c r="E277" s="16" t="str">
        <f>'USER INPUT SHEET'!$F$40</f>
        <v>m2</v>
      </c>
      <c r="F277" s="3">
        <v>1</v>
      </c>
      <c r="G277" s="670"/>
      <c r="H277" s="8"/>
      <c r="I277" s="92" t="e">
        <f t="shared" si="90"/>
        <v>#N/A</v>
      </c>
      <c r="J277" s="93" t="str">
        <f t="shared" si="91"/>
        <v/>
      </c>
      <c r="K277" s="406" t="e">
        <f>$D277*$F277*VLOOKUP($C277,'Master sheet'!$A:$AL,13,FALSE)*0.15875</f>
        <v>#N/A</v>
      </c>
      <c r="L277" s="94" t="e">
        <f>$D277*$F277*VLOOKUP($C277,'Master sheet'!$A:$AL,27,FALSE)*0.15875</f>
        <v>#N/A</v>
      </c>
      <c r="M277" s="1552"/>
      <c r="N277" s="1552"/>
      <c r="O277" s="25" t="str">
        <f>_xlfn.IFNA(VLOOKUP($C277,'Master sheet'!$A:$AR,44,FALSE),"")&amp;""</f>
        <v/>
      </c>
      <c r="P277" s="672"/>
      <c r="Q277" s="765" t="s">
        <v>1642</v>
      </c>
      <c r="R277" s="790" t="s">
        <v>1648</v>
      </c>
      <c r="S277" s="664"/>
      <c r="T277" s="664"/>
      <c r="U277" s="664"/>
      <c r="V277" s="664"/>
      <c r="W277" s="664"/>
      <c r="X277" s="664"/>
      <c r="Y277" s="664"/>
      <c r="Z277" s="664"/>
    </row>
    <row r="278" spans="1:26" s="624" customFormat="1" ht="23.25" hidden="1" customHeight="1" x14ac:dyDescent="0.25">
      <c r="A278" s="1544"/>
      <c r="B278" s="1544"/>
      <c r="C278" s="673" t="e" cm="1">
        <f t="array" ref="C278">INDEX('Master sheet'!$A$1:$A$670,MATCH(1,("31-35" = 'Master sheet'!$AO$1:$AO$670)*(7 = 'Master sheet'!$AP$1:$AP$670)*('Master sheet'!$AT$1:$AT$670),0))</f>
        <v>#N/A</v>
      </c>
      <c r="D278" s="17">
        <f>'USER INPUT SHEET'!$D$40</f>
        <v>0</v>
      </c>
      <c r="E278" s="16" t="str">
        <f>'USER INPUT SHEET'!$F$40</f>
        <v>m2</v>
      </c>
      <c r="F278" s="4">
        <v>1</v>
      </c>
      <c r="G278" s="674"/>
      <c r="H278" s="9"/>
      <c r="I278" s="95" t="e">
        <f t="shared" si="90"/>
        <v>#N/A</v>
      </c>
      <c r="J278" s="96" t="str">
        <f t="shared" si="91"/>
        <v/>
      </c>
      <c r="K278" s="407" t="e">
        <f>$D278*$F278*VLOOKUP($C278,'Master sheet'!$A:$AL,13,FALSE)*0.15875</f>
        <v>#N/A</v>
      </c>
      <c r="L278" s="97" t="e">
        <f>$D278*$F278*VLOOKUP($C278,'Master sheet'!$A:$AL,27,FALSE)*0.15875</f>
        <v>#N/A</v>
      </c>
      <c r="M278" s="1552"/>
      <c r="N278" s="1552"/>
      <c r="O278" s="25" t="str">
        <f>_xlfn.IFNA(VLOOKUP($C278,'Master sheet'!$A:$AR,44,FALSE),"")&amp;""</f>
        <v/>
      </c>
      <c r="P278" s="637"/>
      <c r="Q278" s="765" t="s">
        <v>1642</v>
      </c>
      <c r="R278" s="790" t="s">
        <v>1648</v>
      </c>
      <c r="S278" s="638"/>
      <c r="T278" s="638"/>
      <c r="U278" s="638"/>
      <c r="V278" s="638"/>
      <c r="W278" s="638"/>
      <c r="X278" s="638"/>
      <c r="Y278" s="638"/>
      <c r="Z278" s="638"/>
    </row>
    <row r="279" spans="1:26" s="624" customFormat="1" ht="54.75" customHeight="1" x14ac:dyDescent="0.25">
      <c r="A279" s="1592" t="s">
        <v>37</v>
      </c>
      <c r="B279" s="1523"/>
      <c r="C279" s="1523"/>
      <c r="D279" s="1523"/>
      <c r="E279" s="1523"/>
      <c r="F279" s="1523"/>
      <c r="G279" s="650"/>
      <c r="H279" s="650"/>
      <c r="I279" s="651"/>
      <c r="J279" s="651"/>
      <c r="K279" s="652"/>
      <c r="L279" s="759"/>
      <c r="M279" s="759"/>
      <c r="N279" s="759"/>
      <c r="O279" s="25" t="str">
        <f>_xlfn.IFNA(VLOOKUP($C279,'Master sheet'!$A:$AR,44,FALSE),"")&amp;""</f>
        <v/>
      </c>
      <c r="P279" s="663"/>
      <c r="Q279" s="765"/>
      <c r="R279" s="790"/>
      <c r="S279" s="638"/>
      <c r="T279" s="638"/>
      <c r="U279" s="638"/>
      <c r="V279" s="638"/>
      <c r="W279" s="638"/>
      <c r="X279" s="638"/>
      <c r="Y279" s="638"/>
      <c r="Z279" s="638"/>
    </row>
    <row r="280" spans="1:26" s="624" customFormat="1" ht="31.5" customHeight="1" x14ac:dyDescent="0.25">
      <c r="A280" s="1620" t="s">
        <v>1368</v>
      </c>
      <c r="B280" s="1621"/>
      <c r="C280" s="817" t="str">
        <f>INDEX('Master sheet'!$A$1:$A$670,MATCH(264,'Master sheet'!$AN$1:$AN$670,0))</f>
        <v>WOOD CHIP CEMENT ICF 12" R-22 with MINERAL WOOL INSERTS, (3 in. @ R4.2/in.), 15M REBAR</v>
      </c>
      <c r="D280" s="13">
        <f>'USER INPUT SHEET'!$D$40</f>
        <v>0</v>
      </c>
      <c r="E280" s="14" t="str">
        <f>'USER INPUT SHEET'!$F$40</f>
        <v>m2</v>
      </c>
      <c r="F280" s="2">
        <v>1</v>
      </c>
      <c r="G280" s="648"/>
      <c r="H280" s="7"/>
      <c r="I280" s="88">
        <f t="shared" ref="I280:I289" si="92">K280-L280</f>
        <v>0</v>
      </c>
      <c r="J280" s="89" t="str">
        <f t="shared" ref="J280:J289" si="93">IF(H280=1,I280,"")</f>
        <v/>
      </c>
      <c r="K280" s="404">
        <f>$D280*$F280*VLOOKUP($C280,'Master sheet'!$A:$AL,13,FALSE)</f>
        <v>0</v>
      </c>
      <c r="L280" s="90">
        <f>$D280*$F280*VLOOKUP($C280,'Master sheet'!$A:$AL,27,FALSE)</f>
        <v>0</v>
      </c>
      <c r="M280" s="1552"/>
      <c r="N280" s="1552"/>
      <c r="O280" s="25" t="str">
        <f>_xlfn.IFNA(VLOOKUP($C280,'Master sheet'!$A:$AR,44,FALSE),"")&amp;""</f>
        <v>LCA in Composite</v>
      </c>
      <c r="P280" s="637"/>
      <c r="Q280" s="765" t="s">
        <v>1642</v>
      </c>
      <c r="R280" s="790" t="s">
        <v>1648</v>
      </c>
      <c r="S280" s="638"/>
      <c r="T280" s="638"/>
      <c r="U280" s="638"/>
      <c r="V280" s="638"/>
      <c r="W280" s="638"/>
      <c r="X280" s="638"/>
      <c r="Y280" s="638"/>
      <c r="Z280" s="638"/>
    </row>
    <row r="281" spans="1:26" ht="31.5" customHeight="1" x14ac:dyDescent="0.25">
      <c r="A281" s="1622"/>
      <c r="B281" s="1525"/>
      <c r="C281" s="818" t="str">
        <f>INDEX('Master sheet'!$A$1:$A$670,MATCH(265,'Master sheet'!$AN$1:$AN$670,0))</f>
        <v>WOOD CHIP CEMENT ICF 14" R-28 with MINERAL WOOL INSERTS (5 in. @ R4.2/in.), 15M REBAR</v>
      </c>
      <c r="D281" s="15">
        <f>'USER INPUT SHEET'!$D$40</f>
        <v>0</v>
      </c>
      <c r="E281" s="16" t="str">
        <f>'USER INPUT SHEET'!$F$40</f>
        <v>m2</v>
      </c>
      <c r="F281" s="3">
        <v>1</v>
      </c>
      <c r="G281" s="670"/>
      <c r="H281" s="8"/>
      <c r="I281" s="92">
        <f t="shared" si="92"/>
        <v>0</v>
      </c>
      <c r="J281" s="93" t="str">
        <f t="shared" si="93"/>
        <v/>
      </c>
      <c r="K281" s="406">
        <f>$D281*$F281*VLOOKUP($C281,'Master sheet'!$A:$AL,13,FALSE)</f>
        <v>0</v>
      </c>
      <c r="L281" s="94">
        <f>$D281*$F281*VLOOKUP($C281,'Master sheet'!$A:$AL,27,FALSE)</f>
        <v>0</v>
      </c>
      <c r="M281" s="1552"/>
      <c r="N281" s="1552"/>
      <c r="O281" s="25" t="str">
        <f>_xlfn.IFNA(VLOOKUP($C281,'Master sheet'!$A:$AR,44,FALSE),"")&amp;""</f>
        <v>LCA in Composite</v>
      </c>
      <c r="P281" s="671"/>
      <c r="Q281" s="765" t="s">
        <v>1642</v>
      </c>
      <c r="R281" s="790" t="s">
        <v>1648</v>
      </c>
      <c r="S281" s="664"/>
      <c r="T281" s="664"/>
      <c r="U281" s="664"/>
      <c r="V281" s="664"/>
      <c r="W281" s="664"/>
      <c r="X281" s="664"/>
      <c r="Y281" s="664"/>
      <c r="Z281" s="664"/>
    </row>
    <row r="282" spans="1:26" s="624" customFormat="1" ht="31.5" customHeight="1" x14ac:dyDescent="0.25">
      <c r="A282" s="1622"/>
      <c r="B282" s="1525"/>
      <c r="C282" s="818" t="str">
        <f>INDEX('Master sheet'!$A$1:$A$670,MATCH(266,'Master sheet'!$AN$1:$AN$670,0))</f>
        <v>WOOD CHIP CEMENT ICF 12" R-21 with CORK BOARD INSERTS (3 in. @ R4/in.), 15M REBAR</v>
      </c>
      <c r="D282" s="13">
        <f>'USER INPUT SHEET'!$D$40</f>
        <v>0</v>
      </c>
      <c r="E282" s="14" t="str">
        <f>'USER INPUT SHEET'!$F$40</f>
        <v>m2</v>
      </c>
      <c r="F282" s="2">
        <v>1</v>
      </c>
      <c r="G282" s="648"/>
      <c r="H282" s="7"/>
      <c r="I282" s="88">
        <f t="shared" si="92"/>
        <v>0</v>
      </c>
      <c r="J282" s="89" t="str">
        <f t="shared" si="93"/>
        <v/>
      </c>
      <c r="K282" s="404">
        <f>$D282*$F282*VLOOKUP($C282,'Master sheet'!$A:$AL,13,FALSE)</f>
        <v>0</v>
      </c>
      <c r="L282" s="90">
        <f>$D282*$F282*VLOOKUP($C282,'Master sheet'!$A:$AL,27,FALSE)</f>
        <v>0</v>
      </c>
      <c r="M282" s="1552"/>
      <c r="N282" s="1552"/>
      <c r="O282" s="25" t="str">
        <f>_xlfn.IFNA(VLOOKUP($C282,'Master sheet'!$A:$AR,44,FALSE),"")&amp;""</f>
        <v>LCA in Composite</v>
      </c>
      <c r="P282" s="685"/>
      <c r="Q282" s="765" t="s">
        <v>1642</v>
      </c>
      <c r="R282" s="790" t="s">
        <v>1648</v>
      </c>
      <c r="S282" s="638"/>
      <c r="T282" s="638"/>
      <c r="U282" s="638"/>
      <c r="V282" s="638"/>
      <c r="W282" s="638"/>
      <c r="X282" s="638"/>
      <c r="Y282" s="638"/>
      <c r="Z282" s="638"/>
    </row>
    <row r="283" spans="1:26" ht="31.95" customHeight="1" x14ac:dyDescent="0.25">
      <c r="A283" s="1622"/>
      <c r="B283" s="1525"/>
      <c r="C283" s="819" t="str">
        <f>INDEX('Master sheet'!$A$1:$A$670,MATCH(267,'Master sheet'!$AN$1:$AN$670,0))</f>
        <v>WOOD CHIP CEMENT ICF 14" R-27 with CORK BOARD INSERTS (5 in. @ R4/in.), 15M REBAR</v>
      </c>
      <c r="D283" s="17">
        <f>'USER INPUT SHEET'!$D$40</f>
        <v>0</v>
      </c>
      <c r="E283" s="18" t="str">
        <f>'USER INPUT SHEET'!$F$40</f>
        <v>m2</v>
      </c>
      <c r="F283" s="4">
        <v>1</v>
      </c>
      <c r="G283" s="674"/>
      <c r="H283" s="9"/>
      <c r="I283" s="95">
        <f>K283-L283</f>
        <v>0</v>
      </c>
      <c r="J283" s="96" t="str">
        <f>IF(H283=1,I283,"")</f>
        <v/>
      </c>
      <c r="K283" s="407">
        <f>$D283*$F283*VLOOKUP($C283,'Master sheet'!$A:$AL,13,FALSE)</f>
        <v>0</v>
      </c>
      <c r="L283" s="97">
        <f>$D283*$F283*VLOOKUP($C283,'Master sheet'!$A:$AL,27,FALSE)</f>
        <v>0</v>
      </c>
      <c r="M283" s="1610"/>
      <c r="N283" s="1610"/>
      <c r="O283" s="25" t="str">
        <f>_xlfn.IFNA(VLOOKUP($C283,'Master sheet'!$A:$AR,44,FALSE),"")&amp;""</f>
        <v>LCA in Composite</v>
      </c>
      <c r="P283" s="637"/>
      <c r="Q283" s="765" t="s">
        <v>1642</v>
      </c>
      <c r="R283" s="790" t="s">
        <v>1648</v>
      </c>
      <c r="S283" s="664"/>
      <c r="T283" s="664"/>
      <c r="U283" s="664"/>
      <c r="V283" s="664"/>
      <c r="W283" s="664"/>
      <c r="X283" s="664"/>
      <c r="Y283" s="664"/>
      <c r="Z283" s="664"/>
    </row>
    <row r="284" spans="1:26" ht="23.85" customHeight="1" x14ac:dyDescent="0.25">
      <c r="A284" s="639"/>
      <c r="B284" s="1524" t="s">
        <v>1349</v>
      </c>
      <c r="C284" s="1524"/>
      <c r="D284" s="640"/>
      <c r="E284" s="641"/>
      <c r="F284" s="320"/>
      <c r="G284" s="641"/>
      <c r="H284" s="641"/>
      <c r="I284" s="642"/>
      <c r="J284" s="643"/>
      <c r="K284" s="676"/>
      <c r="L284" s="677"/>
      <c r="M284" s="677"/>
      <c r="N284" s="677"/>
      <c r="O284" s="25" t="str">
        <f>_xlfn.IFNA(VLOOKUP($C284,'Master sheet'!$A:$AR,44,FALSE),"")&amp;""</f>
        <v/>
      </c>
      <c r="P284" s="637"/>
      <c r="Q284" s="765"/>
      <c r="R284" s="790"/>
      <c r="S284" s="664"/>
      <c r="T284" s="664"/>
      <c r="U284" s="664"/>
      <c r="V284" s="664"/>
      <c r="W284" s="664"/>
      <c r="X284" s="664"/>
      <c r="Y284" s="664"/>
      <c r="Z284" s="664"/>
    </row>
    <row r="285" spans="1:26" ht="31.5" customHeight="1" x14ac:dyDescent="0.25">
      <c r="A285" s="1565" t="s">
        <v>1714</v>
      </c>
      <c r="B285" s="1613"/>
      <c r="C285" s="734" t="str" cm="1">
        <f t="array" ref="C285">INDEX('Master sheet'!$A$1:$A$670,MATCH(1,("0-25" = 'Master sheet'!$AO$1:$AO$670)*(1 = 'Master sheet'!$AP$1:$AP$670)*('Master sheet'!$AT$1:$AT$670),0))</f>
        <v xml:space="preserve">Concrete - 25 MPa, GU / SRMCA / Can. Sask Avg. / </v>
      </c>
      <c r="D285" s="235">
        <f>'USER INPUT SHEET'!$D$40</f>
        <v>0</v>
      </c>
      <c r="E285" s="14" t="str">
        <f>'USER INPUT SHEET'!$F$40</f>
        <v>m2</v>
      </c>
      <c r="F285" s="6">
        <v>1</v>
      </c>
      <c r="G285" s="735"/>
      <c r="H285" s="10"/>
      <c r="I285" s="237">
        <f t="shared" si="92"/>
        <v>0</v>
      </c>
      <c r="J285" s="238" t="str">
        <f>IF(H285=1,I285,"")</f>
        <v/>
      </c>
      <c r="K285" s="416">
        <f>$D285*$F285*IF($H$280=1,0.105,IF($H$281=1,0.098,IF($H$282=1,0.105,IF($H$283=1,0.098,0))))*VLOOKUP($C285,'Master sheet'!$A:$AL,13,FALSE)</f>
        <v>0</v>
      </c>
      <c r="L285" s="239">
        <f>$D285*$F285*IF($H$280=1,0.105,IF($H$281=1,0.098,IF($H$282=1,0.105,IF($H$283=1,0.098,0))))*VLOOKUP($C285,'Master sheet'!$A:$AL,27,FALSE)</f>
        <v>0</v>
      </c>
      <c r="M285" s="1552"/>
      <c r="N285" s="1552"/>
      <c r="O285" s="25" t="str">
        <f ca="1">_xlfn.IFNA(VLOOKUP($C285,'Master sheet'!$A:$AR,44,FALSE),"")&amp;""</f>
        <v/>
      </c>
      <c r="P285" s="672"/>
      <c r="Q285" s="765" t="s">
        <v>1642</v>
      </c>
      <c r="R285" s="790" t="s">
        <v>1648</v>
      </c>
      <c r="S285" s="664"/>
      <c r="T285" s="664"/>
      <c r="U285" s="664"/>
      <c r="V285" s="664"/>
      <c r="W285" s="664"/>
      <c r="X285" s="664"/>
      <c r="Y285" s="664"/>
      <c r="Z285" s="664"/>
    </row>
    <row r="286" spans="1:26" ht="23.25" customHeight="1" x14ac:dyDescent="0.25">
      <c r="A286" s="1565"/>
      <c r="B286" s="1613"/>
      <c r="C286" s="669" t="str" cm="1">
        <f t="array" ref="C286">INDEX('Master sheet'!$A$1:$A$670,MATCH(1,("0-25" = 'Master sheet'!$AO$1:$AO$670)*(2 = 'Master sheet'!$AP$1:$AP$670)*('Master sheet'!$AT$1:$AT$670),0))</f>
        <v xml:space="preserve">Concrete - 25 MPa, 10% FA, GU / SRMCA / Can. Sask Avg. / </v>
      </c>
      <c r="D286" s="15">
        <f>'USER INPUT SHEET'!$D$40</f>
        <v>0</v>
      </c>
      <c r="E286" s="16" t="str">
        <f>'USER INPUT SHEET'!$F$40</f>
        <v>m2</v>
      </c>
      <c r="F286" s="3">
        <v>1</v>
      </c>
      <c r="G286" s="670"/>
      <c r="H286" s="8"/>
      <c r="I286" s="92">
        <f t="shared" si="92"/>
        <v>0</v>
      </c>
      <c r="J286" s="93" t="str">
        <f t="shared" si="93"/>
        <v/>
      </c>
      <c r="K286" s="406">
        <f>$D286*$F286*IF($H$280=1,0.105,IF($H$281=1,0.098,IF($H$282=1,0.105,IF($H$283=1,0.098,0))))*VLOOKUP($C286,'Master sheet'!$A:$AL,13,FALSE)</f>
        <v>0</v>
      </c>
      <c r="L286" s="94">
        <f>$D286*$F286*IF($H$280=1,0.105,IF($H$281=1,0.098,IF($H$282=1,0.105,IF($H$283=1,0.098,0))))*VLOOKUP($C286,'Master sheet'!$A:$AL,27,FALSE)</f>
        <v>0</v>
      </c>
      <c r="M286" s="1552"/>
      <c r="N286" s="1552"/>
      <c r="O286" s="25" t="str">
        <f ca="1">_xlfn.IFNA(VLOOKUP($C286,'Master sheet'!$A:$AR,44,FALSE),"")&amp;""</f>
        <v/>
      </c>
      <c r="P286" s="672"/>
      <c r="Q286" s="765" t="s">
        <v>1642</v>
      </c>
      <c r="R286" s="790" t="s">
        <v>1648</v>
      </c>
      <c r="S286" s="664"/>
      <c r="T286" s="664"/>
      <c r="U286" s="664"/>
      <c r="V286" s="664"/>
      <c r="W286" s="664"/>
      <c r="X286" s="664"/>
      <c r="Y286" s="664"/>
      <c r="Z286" s="664"/>
    </row>
    <row r="287" spans="1:26" ht="23.25" customHeight="1" x14ac:dyDescent="0.25">
      <c r="A287" s="1565"/>
      <c r="B287" s="1613"/>
      <c r="C287" s="669" t="str" cm="1">
        <f t="array" ref="C287">INDEX('Master sheet'!$A$1:$A$670,MATCH(1,("0-25" = 'Master sheet'!$AO$1:$AO$670)*(3 = 'Master sheet'!$AP$1:$AP$670)*('Master sheet'!$AT$1:$AT$670),0))</f>
        <v xml:space="preserve">Concrete - 25 MPa, 20% FA, GU / SRMCA / Can. Sask Avg. / </v>
      </c>
      <c r="D287" s="15">
        <f>'USER INPUT SHEET'!$D$40</f>
        <v>0</v>
      </c>
      <c r="E287" s="16" t="str">
        <f>'USER INPUT SHEET'!$F$40</f>
        <v>m2</v>
      </c>
      <c r="F287" s="3">
        <v>1</v>
      </c>
      <c r="G287" s="670"/>
      <c r="H287" s="8"/>
      <c r="I287" s="92">
        <f t="shared" si="92"/>
        <v>0</v>
      </c>
      <c r="J287" s="93" t="str">
        <f t="shared" si="93"/>
        <v/>
      </c>
      <c r="K287" s="406">
        <f>$D287*$F287*IF($H$280=1,0.105,IF($H$281=1,0.098,IF($H$282=1,0.105,IF($H$283=1,0.098,0))))*VLOOKUP($C287,'Master sheet'!$A:$AL,13,FALSE)</f>
        <v>0</v>
      </c>
      <c r="L287" s="94">
        <f>$D287*$F287*IF($H$280=1,0.105,IF($H$281=1,0.098,IF($H$282=1,0.105,IF($H$283=1,0.098,0))))*VLOOKUP($C287,'Master sheet'!$A:$AL,27,FALSE)</f>
        <v>0</v>
      </c>
      <c r="M287" s="1552"/>
      <c r="N287" s="1552"/>
      <c r="O287" s="25" t="str">
        <f ca="1">_xlfn.IFNA(VLOOKUP($C287,'Master sheet'!$A:$AR,44,FALSE),"")&amp;""</f>
        <v/>
      </c>
      <c r="P287" s="672"/>
      <c r="Q287" s="765" t="s">
        <v>1642</v>
      </c>
      <c r="R287" s="790" t="s">
        <v>1648</v>
      </c>
      <c r="S287" s="664"/>
      <c r="T287" s="664"/>
      <c r="U287" s="664"/>
      <c r="V287" s="664"/>
      <c r="W287" s="664"/>
      <c r="X287" s="664"/>
      <c r="Y287" s="664"/>
      <c r="Z287" s="664"/>
    </row>
    <row r="288" spans="1:26" ht="23.25" customHeight="1" x14ac:dyDescent="0.25">
      <c r="A288" s="1565"/>
      <c r="B288" s="1613"/>
      <c r="C288" s="669" t="str" cm="1">
        <f t="array" ref="C288">INDEX('Master sheet'!$A$1:$A$670,MATCH(1,("0-25" = 'Master sheet'!$AO$1:$AO$670)*(4 = 'Master sheet'!$AP$1:$AP$670)*('Master sheet'!$AT$1:$AT$670),0))</f>
        <v xml:space="preserve">Concrete - 25 MPa, 30% FA, GU / SRMCA / Can. Sask Avg. / </v>
      </c>
      <c r="D288" s="15">
        <f>'USER INPUT SHEET'!$D$40</f>
        <v>0</v>
      </c>
      <c r="E288" s="16" t="str">
        <f>'USER INPUT SHEET'!$F$40</f>
        <v>m2</v>
      </c>
      <c r="F288" s="3">
        <v>1</v>
      </c>
      <c r="G288" s="670"/>
      <c r="H288" s="8"/>
      <c r="I288" s="92">
        <f t="shared" si="92"/>
        <v>0</v>
      </c>
      <c r="J288" s="93" t="str">
        <f t="shared" si="93"/>
        <v/>
      </c>
      <c r="K288" s="406">
        <f>$D288*$F288*IF($H$280=1,0.105,IF($H$281=1,0.098,IF($H$282=1,0.105,IF($H$283=1,0.098,0))))*VLOOKUP($C288,'Master sheet'!$A:$AL,13,FALSE)</f>
        <v>0</v>
      </c>
      <c r="L288" s="94">
        <f>$D288*$F288*IF($H$280=1,0.105,IF($H$281=1,0.098,IF($H$282=1,0.105,IF($H$283=1,0.098,0))))*VLOOKUP($C288,'Master sheet'!$A:$AL,27,FALSE)</f>
        <v>0</v>
      </c>
      <c r="M288" s="1552"/>
      <c r="N288" s="1552"/>
      <c r="O288" s="25" t="str">
        <f ca="1">_xlfn.IFNA(VLOOKUP($C288,'Master sheet'!$A:$AR,44,FALSE),"")&amp;""</f>
        <v/>
      </c>
      <c r="P288" s="637"/>
      <c r="Q288" s="765" t="s">
        <v>1642</v>
      </c>
      <c r="R288" s="790" t="s">
        <v>1648</v>
      </c>
      <c r="S288" s="664"/>
      <c r="T288" s="664"/>
      <c r="U288" s="664"/>
      <c r="V288" s="664"/>
      <c r="W288" s="664"/>
      <c r="X288" s="664"/>
      <c r="Y288" s="664"/>
      <c r="Z288" s="664"/>
    </row>
    <row r="289" spans="1:26" ht="23.25" customHeight="1" x14ac:dyDescent="0.25">
      <c r="A289" s="1565"/>
      <c r="B289" s="1613"/>
      <c r="C289" s="669" t="str" cm="1">
        <f t="array" ref="C289">INDEX('Master sheet'!$A$1:$A$670,MATCH(1,("0-25" = 'Master sheet'!$AO$1:$AO$670)*(5 = 'Master sheet'!$AP$1:$AP$670)*('Master sheet'!$AT$1:$AT$670),0))</f>
        <v xml:space="preserve">Concrete - 25 MPa, 40% FA, GU / SRMCA / Can. Sask Avg. / </v>
      </c>
      <c r="D289" s="15">
        <f>'USER INPUT SHEET'!$D$40</f>
        <v>0</v>
      </c>
      <c r="E289" s="16" t="str">
        <f>'USER INPUT SHEET'!$F$40</f>
        <v>m2</v>
      </c>
      <c r="F289" s="3">
        <v>1</v>
      </c>
      <c r="G289" s="670"/>
      <c r="H289" s="8"/>
      <c r="I289" s="92">
        <f t="shared" si="92"/>
        <v>0</v>
      </c>
      <c r="J289" s="93" t="str">
        <f t="shared" si="93"/>
        <v/>
      </c>
      <c r="K289" s="406">
        <f>$D289*$F289*IF($H$280=1,0.105,IF($H$281=1,0.098,IF($H$282=1,0.105,IF($H$283=1,0.098,0))))*VLOOKUP($C289,'Master sheet'!$A:$AL,13,FALSE)</f>
        <v>0</v>
      </c>
      <c r="L289" s="94">
        <f>$D289*$F289*IF($H$280=1,0.105,IF($H$281=1,0.098,IF($H$282=1,0.105,IF($H$283=1,0.098,0))))*VLOOKUP($C289,'Master sheet'!$A:$AL,27,FALSE)</f>
        <v>0</v>
      </c>
      <c r="M289" s="1552"/>
      <c r="N289" s="1552"/>
      <c r="O289" s="25" t="str">
        <f ca="1">_xlfn.IFNA(VLOOKUP($C289,'Master sheet'!$A:$AR,44,FALSE),"")&amp;""</f>
        <v/>
      </c>
      <c r="P289" s="637"/>
      <c r="Q289" s="765" t="s">
        <v>1642</v>
      </c>
      <c r="R289" s="790" t="s">
        <v>1648</v>
      </c>
      <c r="S289" s="664"/>
      <c r="T289" s="664"/>
      <c r="U289" s="664"/>
      <c r="V289" s="664"/>
      <c r="W289" s="664"/>
      <c r="X289" s="664"/>
      <c r="Y289" s="664"/>
      <c r="Z289" s="664"/>
    </row>
    <row r="290" spans="1:26" ht="22.8" hidden="1" x14ac:dyDescent="0.25">
      <c r="A290" s="1565"/>
      <c r="B290" s="1613"/>
      <c r="C290" s="669" t="e" cm="1">
        <f t="array" ref="C290">INDEX('Master sheet'!$A$1:$A$670,MATCH(1,("0-25" = 'Master sheet'!$AO$1:$AO$670)*(6 = 'Master sheet'!$AP$1:$AP$670)*('Master sheet'!$AT$1:$AT$670),0))</f>
        <v>#N/A</v>
      </c>
      <c r="D290" s="15">
        <f>'USER INPUT SHEET'!$D$40</f>
        <v>0</v>
      </c>
      <c r="E290" s="16" t="str">
        <f>'USER INPUT SHEET'!$F$40</f>
        <v>m2</v>
      </c>
      <c r="F290" s="3">
        <v>1</v>
      </c>
      <c r="G290" s="670"/>
      <c r="H290" s="8"/>
      <c r="I290" s="92" t="e">
        <f t="shared" ref="I290" si="94">K290-L290</f>
        <v>#N/A</v>
      </c>
      <c r="J290" s="93" t="str">
        <f t="shared" ref="J290:J291" si="95">IF(H290=1,I290,"")</f>
        <v/>
      </c>
      <c r="K290" s="406" t="e">
        <f>$D290*$F290*IF($H$280=1,0.105,IF($H$281=1,0.098,IF($H$282=1,0.105,IF($H$283=1,0.098,0))))*VLOOKUP($C290,'Master sheet'!$A:$AL,13,FALSE)</f>
        <v>#N/A</v>
      </c>
      <c r="L290" s="94" t="e">
        <f>$D290*$F290*IF($H$280=1,0.105,IF($H$281=1,0.098,IF($H$282=1,0.105,IF($H$283=1,0.098,0))))*VLOOKUP($C290,'Master sheet'!$A:$AL,27,FALSE)</f>
        <v>#N/A</v>
      </c>
      <c r="M290" s="1552"/>
      <c r="N290" s="1552"/>
      <c r="O290" s="25" t="str">
        <f>_xlfn.IFNA(VLOOKUP($C290,'Master sheet'!$A:$AR,44,FALSE),"")&amp;""</f>
        <v/>
      </c>
      <c r="P290" s="637"/>
      <c r="Q290" s="765" t="s">
        <v>1642</v>
      </c>
      <c r="R290" s="790" t="s">
        <v>1648</v>
      </c>
      <c r="S290" s="664"/>
      <c r="T290" s="664"/>
      <c r="U290" s="664"/>
      <c r="V290" s="664"/>
      <c r="W290" s="664"/>
      <c r="X290" s="664"/>
      <c r="Y290" s="664"/>
      <c r="Z290" s="664"/>
    </row>
    <row r="291" spans="1:26" ht="22.8" hidden="1" x14ac:dyDescent="0.25">
      <c r="A291" s="1565"/>
      <c r="B291" s="1613"/>
      <c r="C291" s="673" t="e" cm="1">
        <f t="array" ref="C291">INDEX('Master sheet'!$A$1:$A$670,MATCH(1,("0-25" = 'Master sheet'!$AO$1:$AO$670)*(7 = 'Master sheet'!$AP$1:$AP$670)*('Master sheet'!$AT$1:$AT$670),0))</f>
        <v>#N/A</v>
      </c>
      <c r="D291" s="17">
        <f>'USER INPUT SHEET'!$D$40</f>
        <v>0</v>
      </c>
      <c r="E291" s="18" t="str">
        <f>'USER INPUT SHEET'!$F$40</f>
        <v>m2</v>
      </c>
      <c r="F291" s="4">
        <v>1</v>
      </c>
      <c r="G291" s="674"/>
      <c r="H291" s="9"/>
      <c r="I291" s="95" t="e">
        <f>K291-L291</f>
        <v>#N/A</v>
      </c>
      <c r="J291" s="96" t="str">
        <f t="shared" si="95"/>
        <v/>
      </c>
      <c r="K291" s="407" t="e">
        <f>$D291*$F291*IF($H$280=1,0.105,IF($H$281=1,0.098,IF($H$282=1,0.105,IF($H$283=1,0.098,0))))*VLOOKUP($C291,'Master sheet'!$A:$AL,13,FALSE)</f>
        <v>#N/A</v>
      </c>
      <c r="L291" s="97" t="e">
        <f>$D291*$F291*IF($H$280=1,0.105,IF($H$281=1,0.098,IF($H$282=1,0.105,IF($H$283=1,0.098,0))))*VLOOKUP($C291,'Master sheet'!$A:$AL,27,FALSE)</f>
        <v>#N/A</v>
      </c>
      <c r="M291" s="1552"/>
      <c r="N291" s="1552"/>
      <c r="O291" s="25" t="str">
        <f>_xlfn.IFNA(VLOOKUP($C291,'Master sheet'!$A:$AR,44,FALSE),"")&amp;""</f>
        <v/>
      </c>
      <c r="P291" s="637"/>
      <c r="Q291" s="765" t="s">
        <v>1642</v>
      </c>
      <c r="R291" s="790" t="s">
        <v>1648</v>
      </c>
      <c r="S291" s="664"/>
      <c r="T291" s="664"/>
      <c r="U291" s="664"/>
      <c r="V291" s="664"/>
      <c r="W291" s="664"/>
      <c r="X291" s="664"/>
      <c r="Y291" s="664"/>
      <c r="Z291" s="664"/>
    </row>
    <row r="292" spans="1:26" ht="23.85" customHeight="1" x14ac:dyDescent="0.25">
      <c r="A292" s="639"/>
      <c r="B292" s="1524" t="s">
        <v>1350</v>
      </c>
      <c r="C292" s="1524"/>
      <c r="D292" s="656"/>
      <c r="E292" s="641"/>
      <c r="F292" s="322"/>
      <c r="G292" s="657"/>
      <c r="H292" s="657"/>
      <c r="I292" s="658"/>
      <c r="J292" s="659"/>
      <c r="K292" s="660"/>
      <c r="L292" s="661"/>
      <c r="M292" s="677"/>
      <c r="N292" s="677"/>
      <c r="O292" s="25" t="str">
        <f>_xlfn.IFNA(VLOOKUP($C292,'Master sheet'!$A:$AR,44,FALSE),"")&amp;""</f>
        <v/>
      </c>
      <c r="P292" s="663"/>
      <c r="Q292" s="30"/>
      <c r="R292" s="21"/>
      <c r="S292" s="664"/>
      <c r="T292" s="664"/>
      <c r="U292" s="664"/>
      <c r="V292" s="664"/>
      <c r="W292" s="664"/>
      <c r="X292" s="664"/>
      <c r="Y292" s="664"/>
      <c r="Z292" s="664"/>
    </row>
    <row r="293" spans="1:26" ht="31.5" customHeight="1" x14ac:dyDescent="0.25">
      <c r="A293" s="1525" t="s">
        <v>786</v>
      </c>
      <c r="B293" s="1525"/>
      <c r="C293" s="667" t="str" cm="1">
        <f t="array" ref="C293">INDEX('Master sheet'!$A$1:$A$670,MATCH(1,("26-30" = 'Master sheet'!$AO$1:$AO$670)*(1 = 'Master sheet'!$AP$1:$AP$670)*('Master sheet'!$AT$1:$AT$670),0))</f>
        <v xml:space="preserve">Concrete - 30 MPa, GU / SRMCA / Can. Sask Avg. / </v>
      </c>
      <c r="D293" s="230">
        <f>'USER INPUT SHEET'!$D$40</f>
        <v>0</v>
      </c>
      <c r="E293" s="14" t="str">
        <f>'USER INPUT SHEET'!$F$40</f>
        <v>m2</v>
      </c>
      <c r="F293" s="5">
        <v>1</v>
      </c>
      <c r="G293" s="668"/>
      <c r="H293" s="10"/>
      <c r="I293" s="232">
        <f t="shared" ref="I293:I299" si="96">K293-L293</f>
        <v>0</v>
      </c>
      <c r="J293" s="233" t="str">
        <f t="shared" ref="J293:J299" si="97">IF(H293=1,I293,"")</f>
        <v/>
      </c>
      <c r="K293" s="416">
        <f>$D293*$F293*IF($H$280=1,0.105,IF($H$281=1,0.098,IF($H$282=1,0.105,IF($H$283=1,0.098,0))))*VLOOKUP($C293,'Master sheet'!$A:$AL,13,FALSE)</f>
        <v>0</v>
      </c>
      <c r="L293" s="239">
        <f>$D293*$F293*IF($H$280=1,0.105,IF($H$281=1,0.098,IF($H$282=1,0.105,IF($H$283=1,0.098,0))))*VLOOKUP($C293,'Master sheet'!$A:$AL,27,FALSE)</f>
        <v>0</v>
      </c>
      <c r="M293" s="1552"/>
      <c r="N293" s="1552"/>
      <c r="O293" s="25" t="str">
        <f ca="1">_xlfn.IFNA(VLOOKUP($C293,'Master sheet'!$A:$AR,44,FALSE),"")&amp;""</f>
        <v/>
      </c>
      <c r="P293" s="637"/>
      <c r="Q293" s="765" t="s">
        <v>1642</v>
      </c>
      <c r="R293" s="790" t="s">
        <v>1648</v>
      </c>
      <c r="S293" s="664"/>
      <c r="T293" s="664"/>
      <c r="U293" s="664"/>
      <c r="V293" s="664"/>
      <c r="W293" s="664"/>
      <c r="X293" s="664"/>
      <c r="Y293" s="664"/>
      <c r="Z293" s="664"/>
    </row>
    <row r="294" spans="1:26" ht="23.25" customHeight="1" x14ac:dyDescent="0.25">
      <c r="A294" s="1525"/>
      <c r="B294" s="1525"/>
      <c r="C294" s="669" t="str" cm="1">
        <f t="array" ref="C294">INDEX('Master sheet'!$A$1:$A$670,MATCH(1,("26-30" = 'Master sheet'!$AO$1:$AO$670)*(2 = 'Master sheet'!$AP$1:$AP$670)*('Master sheet'!$AT$1:$AT$670),0))</f>
        <v xml:space="preserve">Concrete - 30 MPa, 10% FA, GU / SRMCA / Can. Sask Avg. / </v>
      </c>
      <c r="D294" s="15">
        <f>'USER INPUT SHEET'!$D$40</f>
        <v>0</v>
      </c>
      <c r="E294" s="16" t="str">
        <f>'USER INPUT SHEET'!$F$40</f>
        <v>m2</v>
      </c>
      <c r="F294" s="3">
        <v>1</v>
      </c>
      <c r="G294" s="670"/>
      <c r="H294" s="8"/>
      <c r="I294" s="92">
        <f t="shared" si="96"/>
        <v>0</v>
      </c>
      <c r="J294" s="93" t="str">
        <f t="shared" si="97"/>
        <v/>
      </c>
      <c r="K294" s="406">
        <f>$D294*$F294*IF($H$280=1,0.105,IF($H$281=1,0.098,IF($H$282=1,0.105,IF($H$283=1,0.098,0))))*VLOOKUP($C294,'Master sheet'!$A:$AL,13,FALSE)</f>
        <v>0</v>
      </c>
      <c r="L294" s="94">
        <f>$D294*$F294*IF($H$280=1,0.105,IF($H$281=1,0.098,IF($H$282=1,0.105,IF($H$283=1,0.098,0))))*VLOOKUP($C294,'Master sheet'!$A:$AL,27,FALSE)</f>
        <v>0</v>
      </c>
      <c r="M294" s="1552"/>
      <c r="N294" s="1552"/>
      <c r="O294" s="25" t="str">
        <f ca="1">_xlfn.IFNA(VLOOKUP($C294,'Master sheet'!$A:$AR,44,FALSE),"")&amp;""</f>
        <v/>
      </c>
      <c r="P294" s="671"/>
      <c r="Q294" s="765" t="s">
        <v>1642</v>
      </c>
      <c r="R294" s="790" t="s">
        <v>1648</v>
      </c>
      <c r="S294" s="664"/>
      <c r="T294" s="664"/>
      <c r="U294" s="664"/>
      <c r="V294" s="664"/>
      <c r="W294" s="664"/>
      <c r="X294" s="664"/>
      <c r="Y294" s="664"/>
      <c r="Z294" s="664"/>
    </row>
    <row r="295" spans="1:26" ht="23.25" customHeight="1" x14ac:dyDescent="0.25">
      <c r="A295" s="1525"/>
      <c r="B295" s="1525"/>
      <c r="C295" s="669" t="str" cm="1">
        <f t="array" ref="C295">INDEX('Master sheet'!$A$1:$A$670,MATCH(1,("26-30" = 'Master sheet'!$AO$1:$AO$670)*(3 = 'Master sheet'!$AP$1:$AP$670)*('Master sheet'!$AT$1:$AT$670),0))</f>
        <v xml:space="preserve">Concrete - 30 MPa, 20% FA, GU / SRMCA / Can. Sask Avg. / </v>
      </c>
      <c r="D295" s="15">
        <f>'USER INPUT SHEET'!$D$40</f>
        <v>0</v>
      </c>
      <c r="E295" s="16" t="str">
        <f>'USER INPUT SHEET'!$F$40</f>
        <v>m2</v>
      </c>
      <c r="F295" s="3">
        <v>1</v>
      </c>
      <c r="G295" s="670"/>
      <c r="H295" s="8"/>
      <c r="I295" s="92">
        <f t="shared" si="96"/>
        <v>0</v>
      </c>
      <c r="J295" s="93" t="str">
        <f t="shared" si="97"/>
        <v/>
      </c>
      <c r="K295" s="406">
        <f>$D295*$F295*IF($H$280=1,0.105,IF($H$281=1,0.098,IF($H$282=1,0.105,IF($H$283=1,0.098,0))))*VLOOKUP($C295,'Master sheet'!$A:$AL,13,FALSE)</f>
        <v>0</v>
      </c>
      <c r="L295" s="94">
        <f>$D295*$F295*IF($H$280=1,0.105,IF($H$281=1,0.098,IF($H$282=1,0.105,IF($H$283=1,0.098,0))))*VLOOKUP($C295,'Master sheet'!$A:$AL,27,FALSE)</f>
        <v>0</v>
      </c>
      <c r="M295" s="1552"/>
      <c r="N295" s="1552"/>
      <c r="O295" s="25" t="str">
        <f ca="1">_xlfn.IFNA(VLOOKUP($C295,'Master sheet'!$A:$AR,44,FALSE),"")&amp;""</f>
        <v/>
      </c>
      <c r="P295" s="672"/>
      <c r="Q295" s="765" t="s">
        <v>1642</v>
      </c>
      <c r="R295" s="790" t="s">
        <v>1648</v>
      </c>
      <c r="S295" s="664"/>
      <c r="T295" s="664"/>
      <c r="U295" s="664"/>
      <c r="V295" s="664"/>
      <c r="W295" s="664"/>
      <c r="X295" s="664"/>
      <c r="Y295" s="664"/>
      <c r="Z295" s="664"/>
    </row>
    <row r="296" spans="1:26" ht="23.25" customHeight="1" x14ac:dyDescent="0.25">
      <c r="A296" s="1525"/>
      <c r="B296" s="1525"/>
      <c r="C296" s="669" t="str" cm="1">
        <f t="array" ref="C296">INDEX('Master sheet'!$A$1:$A$670,MATCH(1,("26-30" = 'Master sheet'!$AO$1:$AO$670)*(4 = 'Master sheet'!$AP$1:$AP$670)*('Master sheet'!$AT$1:$AT$670),0))</f>
        <v xml:space="preserve">Concrete - 30 MPa, 30% FA, GU / SRMCA / Can. Sask Avg. / </v>
      </c>
      <c r="D296" s="15">
        <f>'USER INPUT SHEET'!$D$40</f>
        <v>0</v>
      </c>
      <c r="E296" s="16" t="str">
        <f>'USER INPUT SHEET'!$F$40</f>
        <v>m2</v>
      </c>
      <c r="F296" s="3">
        <v>1</v>
      </c>
      <c r="G296" s="670"/>
      <c r="H296" s="8"/>
      <c r="I296" s="92">
        <f t="shared" si="96"/>
        <v>0</v>
      </c>
      <c r="J296" s="93" t="str">
        <f t="shared" si="97"/>
        <v/>
      </c>
      <c r="K296" s="406">
        <f>$D296*$F296*IF($H$280=1,0.105,IF($H$281=1,0.098,IF($H$282=1,0.105,IF($H$283=1,0.098,0))))*VLOOKUP($C296,'Master sheet'!$A:$AL,13,FALSE)</f>
        <v>0</v>
      </c>
      <c r="L296" s="94">
        <f>$D296*$F296*IF($H$280=1,0.105,IF($H$281=1,0.098,IF($H$282=1,0.105,IF($H$283=1,0.098,0))))*VLOOKUP($C296,'Master sheet'!$A:$AL,27,FALSE)</f>
        <v>0</v>
      </c>
      <c r="M296" s="1552"/>
      <c r="N296" s="1552"/>
      <c r="O296" s="25" t="str">
        <f ca="1">_xlfn.IFNA(VLOOKUP($C296,'Master sheet'!$A:$AR,44,FALSE),"")&amp;""</f>
        <v/>
      </c>
      <c r="P296" s="672"/>
      <c r="Q296" s="765" t="s">
        <v>1642</v>
      </c>
      <c r="R296" s="790" t="s">
        <v>1648</v>
      </c>
      <c r="S296" s="664"/>
      <c r="T296" s="664"/>
      <c r="U296" s="664"/>
      <c r="V296" s="664"/>
      <c r="W296" s="664"/>
      <c r="X296" s="664"/>
      <c r="Y296" s="664"/>
      <c r="Z296" s="664"/>
    </row>
    <row r="297" spans="1:26" ht="23.25" customHeight="1" x14ac:dyDescent="0.25">
      <c r="A297" s="1525"/>
      <c r="B297" s="1525"/>
      <c r="C297" s="669" t="str" cm="1">
        <f t="array" ref="C297">INDEX('Master sheet'!$A$1:$A$670,MATCH(1,("26-30" = 'Master sheet'!$AO$1:$AO$670)*(5 = 'Master sheet'!$AP$1:$AP$670)*('Master sheet'!$AT$1:$AT$670),0))</f>
        <v xml:space="preserve">Concrete - 30 MPa, 40% FA, GU / SRMCA / Can. Sask Avg. / </v>
      </c>
      <c r="D297" s="15">
        <f>'USER INPUT SHEET'!$D$40</f>
        <v>0</v>
      </c>
      <c r="E297" s="16" t="str">
        <f>'USER INPUT SHEET'!$F$40</f>
        <v>m2</v>
      </c>
      <c r="F297" s="3">
        <v>1</v>
      </c>
      <c r="G297" s="670"/>
      <c r="H297" s="8"/>
      <c r="I297" s="92">
        <f t="shared" si="96"/>
        <v>0</v>
      </c>
      <c r="J297" s="93" t="str">
        <f t="shared" si="97"/>
        <v/>
      </c>
      <c r="K297" s="406">
        <f>$D297*$F297*IF($H$280=1,0.105,IF($H$281=1,0.098,IF($H$282=1,0.105,IF($H$283=1,0.098,0))))*VLOOKUP($C297,'Master sheet'!$A:$AL,13,FALSE)</f>
        <v>0</v>
      </c>
      <c r="L297" s="94">
        <f>$D297*$F297*IF($H$280=1,0.105,IF($H$281=1,0.098,IF($H$282=1,0.105,IF($H$283=1,0.098,0))))*VLOOKUP($C297,'Master sheet'!$A:$AL,27,FALSE)</f>
        <v>0</v>
      </c>
      <c r="M297" s="1552"/>
      <c r="N297" s="1552"/>
      <c r="O297" s="25" t="str">
        <f ca="1">_xlfn.IFNA(VLOOKUP($C297,'Master sheet'!$A:$AR,44,FALSE),"")&amp;""</f>
        <v/>
      </c>
      <c r="P297" s="672"/>
      <c r="Q297" s="765" t="s">
        <v>1642</v>
      </c>
      <c r="R297" s="790" t="s">
        <v>1648</v>
      </c>
      <c r="S297" s="664"/>
      <c r="T297" s="664"/>
      <c r="U297" s="664"/>
      <c r="V297" s="664"/>
      <c r="W297" s="664"/>
      <c r="X297" s="664"/>
      <c r="Y297" s="664"/>
      <c r="Z297" s="664"/>
    </row>
    <row r="298" spans="1:26" ht="23.25" hidden="1" customHeight="1" x14ac:dyDescent="0.25">
      <c r="A298" s="1525"/>
      <c r="B298" s="1525"/>
      <c r="C298" s="669" t="e" cm="1">
        <f t="array" ref="C298">INDEX('Master sheet'!$A$1:$A$670,MATCH(1,("26-30" = 'Master sheet'!$AO$1:$AO$670)*(6 = 'Master sheet'!$AP$1:$AP$670)*('Master sheet'!$AT$1:$AT$670),0))</f>
        <v>#N/A</v>
      </c>
      <c r="D298" s="15">
        <f>'USER INPUT SHEET'!$D$40</f>
        <v>0</v>
      </c>
      <c r="E298" s="16" t="str">
        <f>'USER INPUT SHEET'!$F$40</f>
        <v>m2</v>
      </c>
      <c r="F298" s="3">
        <v>1</v>
      </c>
      <c r="G298" s="670"/>
      <c r="H298" s="8"/>
      <c r="I298" s="92" t="e">
        <f t="shared" si="96"/>
        <v>#N/A</v>
      </c>
      <c r="J298" s="93" t="str">
        <f t="shared" si="97"/>
        <v/>
      </c>
      <c r="K298" s="406" t="e">
        <f>$D298*$F298*IF($H$280=1,0.105,IF($H$281=1,0.098,IF($H$282=1,0.105,IF($H$283=1,0.098,0))))*VLOOKUP($C298,'Master sheet'!$A:$AL,13,FALSE)</f>
        <v>#N/A</v>
      </c>
      <c r="L298" s="94" t="e">
        <f>$D298*$F298*IF($H$280=1,0.105,IF($H$281=1,0.098,IF($H$282=1,0.105,IF($H$283=1,0.098,0))))*VLOOKUP($C298,'Master sheet'!$A:$AL,27,FALSE)</f>
        <v>#N/A</v>
      </c>
      <c r="M298" s="1552"/>
      <c r="N298" s="1552"/>
      <c r="O298" s="25" t="str">
        <f>_xlfn.IFNA(VLOOKUP($C298,'Master sheet'!$A:$AR,44,FALSE),"")&amp;""</f>
        <v/>
      </c>
      <c r="P298" s="672"/>
      <c r="Q298" s="765" t="s">
        <v>1642</v>
      </c>
      <c r="R298" s="790" t="s">
        <v>1648</v>
      </c>
      <c r="S298" s="664"/>
      <c r="T298" s="664"/>
      <c r="U298" s="664"/>
      <c r="V298" s="664"/>
      <c r="W298" s="664"/>
      <c r="X298" s="664"/>
      <c r="Y298" s="664"/>
      <c r="Z298" s="664"/>
    </row>
    <row r="299" spans="1:26" s="624" customFormat="1" ht="23.25" hidden="1" customHeight="1" x14ac:dyDescent="0.25">
      <c r="A299" s="1525"/>
      <c r="B299" s="1525"/>
      <c r="C299" s="673" t="e" cm="1">
        <f t="array" ref="C299">INDEX('Master sheet'!$A$1:$A$670,MATCH(1,("26-30" = 'Master sheet'!$AO$1:$AO$670)*(7 = 'Master sheet'!$AP$1:$AP$670)*('Master sheet'!$AT$1:$AT$670),0))</f>
        <v>#N/A</v>
      </c>
      <c r="D299" s="17">
        <f>'USER INPUT SHEET'!$D$40</f>
        <v>0</v>
      </c>
      <c r="E299" s="18" t="str">
        <f>'USER INPUT SHEET'!$F$40</f>
        <v>m2</v>
      </c>
      <c r="F299" s="4">
        <v>1</v>
      </c>
      <c r="G299" s="674"/>
      <c r="H299" s="9"/>
      <c r="I299" s="95" t="e">
        <f t="shared" si="96"/>
        <v>#N/A</v>
      </c>
      <c r="J299" s="96" t="str">
        <f t="shared" si="97"/>
        <v/>
      </c>
      <c r="K299" s="407" t="e">
        <f>$D299*$F299*IF($H$280=1,0.105,IF($H$281=1,0.098,IF($H$282=1,0.105,IF($H$283=1,0.098,0))))*VLOOKUP($C299,'Master sheet'!$A:$AL,13,FALSE)</f>
        <v>#N/A</v>
      </c>
      <c r="L299" s="97" t="e">
        <f>$D299*$F299*IF($H$280=1,0.105,IF($H$281=1,0.098,IF($H$282=1,0.105,IF($H$283=1,0.098,0))))*VLOOKUP($C299,'Master sheet'!$A:$AL,27,FALSE)</f>
        <v>#N/A</v>
      </c>
      <c r="M299" s="1552"/>
      <c r="N299" s="1552"/>
      <c r="O299" s="25" t="str">
        <f>_xlfn.IFNA(VLOOKUP($C299,'Master sheet'!$A:$AR,44,FALSE),"")&amp;""</f>
        <v/>
      </c>
      <c r="P299" s="637"/>
      <c r="Q299" s="765" t="s">
        <v>1642</v>
      </c>
      <c r="R299" s="790" t="s">
        <v>1648</v>
      </c>
      <c r="S299" s="638"/>
      <c r="T299" s="638"/>
      <c r="U299" s="638"/>
      <c r="V299" s="638"/>
      <c r="W299" s="638"/>
      <c r="X299" s="638"/>
      <c r="Y299" s="638"/>
      <c r="Z299" s="638"/>
    </row>
    <row r="300" spans="1:26" ht="23.85" customHeight="1" x14ac:dyDescent="0.25">
      <c r="A300" s="639"/>
      <c r="B300" s="1524" t="s">
        <v>1351</v>
      </c>
      <c r="C300" s="1524"/>
      <c r="D300" s="656"/>
      <c r="E300" s="641"/>
      <c r="F300" s="322"/>
      <c r="G300" s="657"/>
      <c r="H300" s="657"/>
      <c r="I300" s="658"/>
      <c r="J300" s="659"/>
      <c r="K300" s="660"/>
      <c r="L300" s="661"/>
      <c r="M300" s="677"/>
      <c r="N300" s="677"/>
      <c r="O300" s="25" t="str">
        <f>_xlfn.IFNA(VLOOKUP($C300,'Master sheet'!$A:$AR,44,FALSE),"")&amp;""</f>
        <v/>
      </c>
      <c r="P300" s="663"/>
      <c r="Q300" s="30"/>
      <c r="R300" s="21"/>
      <c r="S300" s="664"/>
      <c r="T300" s="664"/>
      <c r="U300" s="664"/>
      <c r="V300" s="664"/>
      <c r="W300" s="664"/>
      <c r="X300" s="664"/>
      <c r="Y300" s="664"/>
      <c r="Z300" s="664"/>
    </row>
    <row r="301" spans="1:26" ht="31.5" customHeight="1" x14ac:dyDescent="0.25">
      <c r="A301" s="1525" t="s">
        <v>786</v>
      </c>
      <c r="B301" s="1525"/>
      <c r="C301" s="667" t="str" cm="1">
        <f t="array" ref="C301">INDEX('Master sheet'!$A$1:$A$670,MATCH(1,("31-35" = 'Master sheet'!$AO$1:$AO$670)*(1 = 'Master sheet'!$AP$1:$AP$670)*('Master sheet'!$AT$1:$AT$670),0))</f>
        <v xml:space="preserve">Concrete - 35 MPa, GU / SRMCA / Can. Sask Avg. / </v>
      </c>
      <c r="D301" s="230">
        <f>'USER INPUT SHEET'!$D$40</f>
        <v>0</v>
      </c>
      <c r="E301" s="14" t="str">
        <f>'USER INPUT SHEET'!$F$40</f>
        <v>m2</v>
      </c>
      <c r="F301" s="5">
        <v>1</v>
      </c>
      <c r="G301" s="668"/>
      <c r="H301" s="10"/>
      <c r="I301" s="232">
        <f t="shared" ref="I301:I307" si="98">K301-L301</f>
        <v>0</v>
      </c>
      <c r="J301" s="233" t="str">
        <f t="shared" ref="J301:J307" si="99">IF(H301=1,I301,"")</f>
        <v/>
      </c>
      <c r="K301" s="416">
        <f>$D301*$F301*IF($H$280=1,0.105,IF($H$281=1,0.098,IF($H$282=1,0.105,IF($H$283=1,0.098,0))))*VLOOKUP($C301,'Master sheet'!$A:$AL,13,FALSE)</f>
        <v>0</v>
      </c>
      <c r="L301" s="239">
        <f>$D301*$F301*IF($H$280=1,0.105,IF($H$281=1,0.098,IF($H$282=1,0.105,IF($H$283=1,0.098,0))))*VLOOKUP($C301,'Master sheet'!$A:$AL,27,FALSE)</f>
        <v>0</v>
      </c>
      <c r="M301" s="1552"/>
      <c r="N301" s="1552"/>
      <c r="O301" s="25" t="str">
        <f ca="1">_xlfn.IFNA(VLOOKUP($C301,'Master sheet'!$A:$AR,44,FALSE),"")&amp;""</f>
        <v/>
      </c>
      <c r="P301" s="637"/>
      <c r="Q301" s="765" t="s">
        <v>1642</v>
      </c>
      <c r="R301" s="790" t="s">
        <v>1648</v>
      </c>
      <c r="S301" s="664"/>
      <c r="T301" s="664"/>
      <c r="U301" s="664"/>
      <c r="V301" s="664"/>
      <c r="W301" s="664"/>
      <c r="X301" s="664"/>
      <c r="Y301" s="664"/>
      <c r="Z301" s="664"/>
    </row>
    <row r="302" spans="1:26" ht="23.25" customHeight="1" x14ac:dyDescent="0.25">
      <c r="A302" s="1525"/>
      <c r="B302" s="1525"/>
      <c r="C302" s="669" t="str" cm="1">
        <f t="array" ref="C302">INDEX('Master sheet'!$A$1:$A$670,MATCH(1,("31-35" = 'Master sheet'!$AO$1:$AO$670)*(2 = 'Master sheet'!$AP$1:$AP$670)*('Master sheet'!$AT$1:$AT$670),0))</f>
        <v xml:space="preserve">Concrete - 35 MPa, 10% FA, GU / SRMCA / Can. Sask Avg. / </v>
      </c>
      <c r="D302" s="15">
        <f>'USER INPUT SHEET'!$D$40</f>
        <v>0</v>
      </c>
      <c r="E302" s="16" t="str">
        <f>'USER INPUT SHEET'!$F$40</f>
        <v>m2</v>
      </c>
      <c r="F302" s="3">
        <v>1</v>
      </c>
      <c r="G302" s="670"/>
      <c r="H302" s="8"/>
      <c r="I302" s="92">
        <f t="shared" si="98"/>
        <v>0</v>
      </c>
      <c r="J302" s="93" t="str">
        <f t="shared" si="99"/>
        <v/>
      </c>
      <c r="K302" s="406">
        <f>$D302*$F302*IF($H$280=1,0.105,IF($H$281=1,0.098,IF($H$282=1,0.105,IF($H$283=1,0.098,0))))*VLOOKUP($C302,'Master sheet'!$A:$AL,13,FALSE)</f>
        <v>0</v>
      </c>
      <c r="L302" s="94">
        <f>$D302*$F302*IF($H$280=1,0.105,IF($H$281=1,0.098,IF($H$282=1,0.105,IF($H$283=1,0.098,0))))*VLOOKUP($C302,'Master sheet'!$A:$AL,27,FALSE)</f>
        <v>0</v>
      </c>
      <c r="M302" s="1552"/>
      <c r="N302" s="1552"/>
      <c r="O302" s="25" t="str">
        <f ca="1">_xlfn.IFNA(VLOOKUP($C302,'Master sheet'!$A:$AR,44,FALSE),"")&amp;""</f>
        <v/>
      </c>
      <c r="P302" s="671"/>
      <c r="Q302" s="765" t="s">
        <v>1642</v>
      </c>
      <c r="R302" s="790" t="s">
        <v>1648</v>
      </c>
      <c r="S302" s="664"/>
      <c r="T302" s="664"/>
      <c r="U302" s="664"/>
      <c r="V302" s="664"/>
      <c r="W302" s="664"/>
      <c r="X302" s="664"/>
      <c r="Y302" s="664"/>
      <c r="Z302" s="664"/>
    </row>
    <row r="303" spans="1:26" ht="23.25" customHeight="1" x14ac:dyDescent="0.25">
      <c r="A303" s="1525"/>
      <c r="B303" s="1525"/>
      <c r="C303" s="669" t="str" cm="1">
        <f t="array" ref="C303">INDEX('Master sheet'!$A$1:$A$670,MATCH(1,("31-35" = 'Master sheet'!$AO$1:$AO$670)*(3 = 'Master sheet'!$AP$1:$AP$670)*('Master sheet'!$AT$1:$AT$670),0))</f>
        <v xml:space="preserve">Concrete - 35 MPa, 20% FA, GU / SRMCA / Can. Sask Avg. / </v>
      </c>
      <c r="D303" s="15">
        <f>'USER INPUT SHEET'!$D$40</f>
        <v>0</v>
      </c>
      <c r="E303" s="16" t="str">
        <f>'USER INPUT SHEET'!$F$40</f>
        <v>m2</v>
      </c>
      <c r="F303" s="3">
        <v>1</v>
      </c>
      <c r="G303" s="670"/>
      <c r="H303" s="8"/>
      <c r="I303" s="92">
        <f t="shared" si="98"/>
        <v>0</v>
      </c>
      <c r="J303" s="93" t="str">
        <f t="shared" si="99"/>
        <v/>
      </c>
      <c r="K303" s="406">
        <f>$D303*$F303*IF($H$280=1,0.105,IF($H$281=1,0.098,IF($H$282=1,0.105,IF($H$283=1,0.098,0))))*VLOOKUP($C303,'Master sheet'!$A:$AL,13,FALSE)</f>
        <v>0</v>
      </c>
      <c r="L303" s="94">
        <f>$D303*$F303*IF($H$280=1,0.105,IF($H$281=1,0.098,IF($H$282=1,0.105,IF($H$283=1,0.098,0))))*VLOOKUP($C303,'Master sheet'!$A:$AL,27,FALSE)</f>
        <v>0</v>
      </c>
      <c r="M303" s="1552"/>
      <c r="N303" s="1552"/>
      <c r="O303" s="25" t="str">
        <f ca="1">_xlfn.IFNA(VLOOKUP($C303,'Master sheet'!$A:$AR,44,FALSE),"")&amp;""</f>
        <v/>
      </c>
      <c r="P303" s="672"/>
      <c r="Q303" s="765" t="s">
        <v>1642</v>
      </c>
      <c r="R303" s="790" t="s">
        <v>1648</v>
      </c>
      <c r="S303" s="664"/>
      <c r="T303" s="664"/>
      <c r="U303" s="664"/>
      <c r="V303" s="664"/>
      <c r="W303" s="664"/>
      <c r="X303" s="664"/>
      <c r="Y303" s="664"/>
      <c r="Z303" s="664"/>
    </row>
    <row r="304" spans="1:26" ht="23.25" customHeight="1" x14ac:dyDescent="0.25">
      <c r="A304" s="1525"/>
      <c r="B304" s="1525"/>
      <c r="C304" s="669" t="str" cm="1">
        <f t="array" ref="C304">INDEX('Master sheet'!$A$1:$A$670,MATCH(1,("31-35" = 'Master sheet'!$AO$1:$AO$670)*(4 = 'Master sheet'!$AP$1:$AP$670)*('Master sheet'!$AT$1:$AT$670),0))</f>
        <v xml:space="preserve">Concrete - 35 MPa, 30% FA, GU / SRMCA / Can. Sask Avg. / </v>
      </c>
      <c r="D304" s="15">
        <f>'USER INPUT SHEET'!$D$40</f>
        <v>0</v>
      </c>
      <c r="E304" s="16" t="str">
        <f>'USER INPUT SHEET'!$F$40</f>
        <v>m2</v>
      </c>
      <c r="F304" s="3">
        <v>1</v>
      </c>
      <c r="G304" s="670"/>
      <c r="H304" s="8"/>
      <c r="I304" s="92">
        <f t="shared" si="98"/>
        <v>0</v>
      </c>
      <c r="J304" s="93" t="str">
        <f t="shared" si="99"/>
        <v/>
      </c>
      <c r="K304" s="406">
        <f>$D304*$F304*IF($H$280=1,0.105,IF($H$281=1,0.098,IF($H$282=1,0.105,IF($H$283=1,0.098,0))))*VLOOKUP($C304,'Master sheet'!$A:$AL,13,FALSE)</f>
        <v>0</v>
      </c>
      <c r="L304" s="94">
        <f>$D304*$F304*IF($H$280=1,0.105,IF($H$281=1,0.098,IF($H$282=1,0.105,IF($H$283=1,0.098,0))))*VLOOKUP($C304,'Master sheet'!$A:$AL,27,FALSE)</f>
        <v>0</v>
      </c>
      <c r="M304" s="1552"/>
      <c r="N304" s="1552"/>
      <c r="O304" s="25" t="str">
        <f ca="1">_xlfn.IFNA(VLOOKUP($C304,'Master sheet'!$A:$AR,44,FALSE),"")&amp;""</f>
        <v/>
      </c>
      <c r="P304" s="672"/>
      <c r="Q304" s="765" t="s">
        <v>1642</v>
      </c>
      <c r="R304" s="790" t="s">
        <v>1648</v>
      </c>
      <c r="S304" s="664"/>
      <c r="T304" s="664"/>
      <c r="U304" s="664"/>
      <c r="V304" s="664"/>
      <c r="W304" s="664"/>
      <c r="X304" s="664"/>
      <c r="Y304" s="664"/>
      <c r="Z304" s="664"/>
    </row>
    <row r="305" spans="1:26" ht="23.25" customHeight="1" x14ac:dyDescent="0.25">
      <c r="A305" s="1525"/>
      <c r="B305" s="1525"/>
      <c r="C305" s="669" t="str" cm="1">
        <f t="array" ref="C305">INDEX('Master sheet'!$A$1:$A$670,MATCH(1,("31-35" = 'Master sheet'!$AO$1:$AO$670)*(5 = 'Master sheet'!$AP$1:$AP$670)*('Master sheet'!$AT$1:$AT$670),0))</f>
        <v xml:space="preserve">Concrete - 35 MPa, 40% FA, GU / SRMCA / Can. Sask Avg. / </v>
      </c>
      <c r="D305" s="15">
        <f>'USER INPUT SHEET'!$D$40</f>
        <v>0</v>
      </c>
      <c r="E305" s="16" t="str">
        <f>'USER INPUT SHEET'!$F$40</f>
        <v>m2</v>
      </c>
      <c r="F305" s="3">
        <v>1</v>
      </c>
      <c r="G305" s="670"/>
      <c r="H305" s="8"/>
      <c r="I305" s="92">
        <f t="shared" si="98"/>
        <v>0</v>
      </c>
      <c r="J305" s="93" t="str">
        <f t="shared" si="99"/>
        <v/>
      </c>
      <c r="K305" s="406">
        <f>$D305*$F305*IF($H$280=1,0.105,IF($H$281=1,0.098,IF($H$282=1,0.105,IF($H$283=1,0.098,0))))*VLOOKUP($C305,'Master sheet'!$A:$AL,13,FALSE)</f>
        <v>0</v>
      </c>
      <c r="L305" s="94">
        <f>$D305*$F305*IF($H$280=1,0.105,IF($H$281=1,0.098,IF($H$282=1,0.105,IF($H$283=1,0.098,0))))*VLOOKUP($C305,'Master sheet'!$A:$AL,27,FALSE)</f>
        <v>0</v>
      </c>
      <c r="M305" s="1552"/>
      <c r="N305" s="1552"/>
      <c r="O305" s="25" t="str">
        <f ca="1">_xlfn.IFNA(VLOOKUP($C305,'Master sheet'!$A:$AR,44,FALSE),"")&amp;""</f>
        <v/>
      </c>
      <c r="P305" s="672"/>
      <c r="Q305" s="765" t="s">
        <v>1642</v>
      </c>
      <c r="R305" s="790" t="s">
        <v>1648</v>
      </c>
      <c r="S305" s="664"/>
      <c r="T305" s="664"/>
      <c r="U305" s="664"/>
      <c r="V305" s="664"/>
      <c r="W305" s="664"/>
      <c r="X305" s="664"/>
      <c r="Y305" s="664"/>
      <c r="Z305" s="664"/>
    </row>
    <row r="306" spans="1:26" ht="23.25" hidden="1" customHeight="1" x14ac:dyDescent="0.25">
      <c r="A306" s="1525"/>
      <c r="B306" s="1525"/>
      <c r="C306" s="669" t="e" cm="1">
        <f t="array" ref="C306">INDEX('Master sheet'!$A$1:$A$670,MATCH(1,("31-35" = 'Master sheet'!$AO$1:$AO$670)*(6 = 'Master sheet'!$AP$1:$AP$670)*('Master sheet'!$AT$1:$AT$670),0))</f>
        <v>#N/A</v>
      </c>
      <c r="D306" s="15">
        <f>'USER INPUT SHEET'!$D$40</f>
        <v>0</v>
      </c>
      <c r="E306" s="16" t="str">
        <f>'USER INPUT SHEET'!$F$40</f>
        <v>m2</v>
      </c>
      <c r="F306" s="3">
        <v>1</v>
      </c>
      <c r="G306" s="670"/>
      <c r="H306" s="8"/>
      <c r="I306" s="92" t="e">
        <f t="shared" si="98"/>
        <v>#N/A</v>
      </c>
      <c r="J306" s="93" t="str">
        <f t="shared" si="99"/>
        <v/>
      </c>
      <c r="K306" s="406" t="e">
        <f>$D306*$F306*IF($H$280=1,0.105,IF($H$281=1,0.098,IF($H$282=1,0.105,IF($H$283=1,0.098,0))))*VLOOKUP($C306,'Master sheet'!$A:$AL,13,FALSE)</f>
        <v>#N/A</v>
      </c>
      <c r="L306" s="94" t="e">
        <f>$D306*$F306*IF($H$280=1,0.105,IF($H$281=1,0.098,IF($H$282=1,0.105,IF($H$283=1,0.098,0))))*VLOOKUP($C306,'Master sheet'!$A:$AL,27,FALSE)</f>
        <v>#N/A</v>
      </c>
      <c r="M306" s="1552"/>
      <c r="N306" s="1552"/>
      <c r="O306" s="25" t="str">
        <f>IF(ISTEXT(VLOOKUP($C306,'Master sheet'!$A:$AR,42,FALSE)),VLOOKUP($C306,'Master sheet'!$A:$AR,42,FALSE),"")</f>
        <v/>
      </c>
      <c r="P306" s="672"/>
      <c r="Q306" s="765" t="s">
        <v>1642</v>
      </c>
      <c r="R306" s="790" t="s">
        <v>1648</v>
      </c>
      <c r="S306" s="664"/>
      <c r="T306" s="664"/>
      <c r="U306" s="664"/>
      <c r="V306" s="664"/>
      <c r="W306" s="664"/>
      <c r="X306" s="664"/>
      <c r="Y306" s="664"/>
      <c r="Z306" s="664"/>
    </row>
    <row r="307" spans="1:26" s="624" customFormat="1" ht="23.25" hidden="1" customHeight="1" x14ac:dyDescent="0.25">
      <c r="A307" s="1544"/>
      <c r="B307" s="1544"/>
      <c r="C307" s="749" t="e" cm="1">
        <f t="array" ref="C307">INDEX('Master sheet'!$A$1:$A$670,MATCH(1,("31-35" = 'Master sheet'!$AO$1:$AO$670)*(7 = 'Master sheet'!$AP$1:$AP$670)*('Master sheet'!$AT$1:$AT$670),0))</f>
        <v>#N/A</v>
      </c>
      <c r="D307" s="250">
        <f>'USER INPUT SHEET'!$D$40</f>
        <v>0</v>
      </c>
      <c r="E307" s="251" t="str">
        <f>'USER INPUT SHEET'!$F$40</f>
        <v>m2</v>
      </c>
      <c r="F307" s="252">
        <v>1</v>
      </c>
      <c r="G307" s="750"/>
      <c r="H307" s="253"/>
      <c r="I307" s="254" t="e">
        <f t="shared" si="98"/>
        <v>#N/A</v>
      </c>
      <c r="J307" s="255" t="str">
        <f t="shared" si="99"/>
        <v/>
      </c>
      <c r="K307" s="417" t="e">
        <f>$D307*$F307*IF($H$280=1,0.105,IF($H$281=1,0.098,IF($H$282=1,0.105,IF($H$283=1,0.098,0))))*VLOOKUP($C307,'Master sheet'!$A:$AL,13,FALSE)</f>
        <v>#N/A</v>
      </c>
      <c r="L307" s="256" t="e">
        <f>$D307*$F307*IF($H$280=1,0.105,IF($H$281=1,0.098,IF($H$282=1,0.105,IF($H$283=1,0.098,0))))*VLOOKUP($C307,'Master sheet'!$A:$AL,27,FALSE)</f>
        <v>#N/A</v>
      </c>
      <c r="M307" s="1552"/>
      <c r="N307" s="1552"/>
      <c r="O307" s="25" t="str">
        <f>IF(ISTEXT(VLOOKUP($C307,'Master sheet'!$A:$AR,42,FALSE)),VLOOKUP($C307,'Master sheet'!$A:$AR,42,FALSE),"")</f>
        <v/>
      </c>
      <c r="P307" s="637"/>
      <c r="Q307" s="765" t="s">
        <v>1642</v>
      </c>
      <c r="R307" s="790" t="s">
        <v>1648</v>
      </c>
      <c r="S307" s="638"/>
      <c r="T307" s="638"/>
      <c r="U307" s="638"/>
      <c r="V307" s="638"/>
      <c r="W307" s="638"/>
      <c r="X307" s="638"/>
      <c r="Y307" s="638"/>
      <c r="Z307" s="638"/>
    </row>
    <row r="308" spans="1:26" ht="15.6" x14ac:dyDescent="0.3">
      <c r="A308" s="700"/>
      <c r="B308" s="700"/>
      <c r="C308" s="700"/>
      <c r="D308" s="701"/>
      <c r="E308" s="700"/>
      <c r="F308" s="328"/>
      <c r="G308" s="700"/>
      <c r="H308" s="706"/>
      <c r="I308" s="704"/>
      <c r="J308" s="704"/>
      <c r="K308" s="704"/>
      <c r="L308" s="704"/>
      <c r="M308" s="704"/>
      <c r="N308" s="704"/>
      <c r="O308" s="685"/>
    </row>
    <row r="309" spans="1:26" ht="15.6" x14ac:dyDescent="0.3">
      <c r="A309" s="700"/>
      <c r="B309" s="700"/>
      <c r="C309" s="700"/>
      <c r="D309" s="701"/>
      <c r="E309" s="700"/>
      <c r="F309" s="328"/>
      <c r="G309" s="700"/>
      <c r="H309" s="706"/>
      <c r="I309" s="704"/>
      <c r="J309" s="704"/>
      <c r="K309" s="704"/>
      <c r="L309" s="704"/>
      <c r="M309" s="704"/>
      <c r="N309" s="704"/>
      <c r="O309" s="685"/>
    </row>
    <row r="310" spans="1:26" ht="15.6" x14ac:dyDescent="0.3">
      <c r="A310" s="700"/>
      <c r="B310" s="706" t="s">
        <v>4901</v>
      </c>
      <c r="C310" s="700"/>
      <c r="D310" s="701"/>
      <c r="E310" s="700"/>
      <c r="F310" s="328"/>
      <c r="G310" s="700"/>
      <c r="H310" s="706"/>
      <c r="I310" s="704"/>
      <c r="J310" s="704"/>
      <c r="K310" s="704"/>
      <c r="L310" s="704"/>
      <c r="M310" s="704"/>
      <c r="N310" s="704"/>
      <c r="O310" s="685"/>
    </row>
    <row r="311" spans="1:26" ht="15.6" x14ac:dyDescent="0.3">
      <c r="A311" s="700"/>
      <c r="B311" s="706" t="s">
        <v>4900</v>
      </c>
      <c r="C311" s="700"/>
      <c r="D311" s="701"/>
      <c r="E311" s="700"/>
      <c r="F311" s="328"/>
      <c r="G311" s="700"/>
      <c r="H311" s="706"/>
      <c r="I311" s="704"/>
      <c r="J311" s="704"/>
      <c r="K311" s="704"/>
      <c r="L311" s="704"/>
      <c r="M311" s="704"/>
      <c r="N311" s="704"/>
      <c r="O311" s="685"/>
    </row>
    <row r="312" spans="1:26" ht="15.6" x14ac:dyDescent="0.3">
      <c r="A312" s="700"/>
      <c r="B312" s="700"/>
      <c r="C312" s="700"/>
      <c r="D312" s="701"/>
      <c r="E312" s="700"/>
      <c r="F312" s="328"/>
      <c r="G312" s="700"/>
      <c r="H312" s="706"/>
      <c r="I312" s="704"/>
      <c r="J312" s="704"/>
      <c r="K312" s="704"/>
      <c r="L312" s="704"/>
      <c r="M312" s="704"/>
      <c r="N312" s="704"/>
      <c r="O312" s="685"/>
    </row>
    <row r="313" spans="1:26" ht="15.6" x14ac:dyDescent="0.3">
      <c r="A313" s="700"/>
      <c r="B313" s="700"/>
      <c r="C313" s="700"/>
      <c r="D313" s="701"/>
      <c r="E313" s="700"/>
      <c r="F313" s="328"/>
      <c r="G313" s="700"/>
      <c r="H313" s="706"/>
      <c r="I313" s="704"/>
      <c r="J313" s="704"/>
      <c r="K313" s="704"/>
      <c r="L313" s="704"/>
      <c r="M313" s="704"/>
      <c r="N313" s="704"/>
      <c r="O313" s="685"/>
    </row>
    <row r="314" spans="1:26" ht="15.6" x14ac:dyDescent="0.3">
      <c r="A314" s="700"/>
      <c r="B314" s="700"/>
      <c r="C314" s="700"/>
      <c r="D314" s="701"/>
      <c r="E314" s="700"/>
      <c r="F314" s="328"/>
      <c r="G314" s="700"/>
      <c r="H314" s="706"/>
      <c r="I314" s="704"/>
      <c r="J314" s="704"/>
      <c r="K314" s="704"/>
      <c r="L314" s="704"/>
      <c r="M314" s="704"/>
      <c r="N314" s="704"/>
      <c r="O314" s="685"/>
    </row>
    <row r="315" spans="1:26" ht="15.6" x14ac:dyDescent="0.3">
      <c r="A315" s="700"/>
      <c r="B315" s="700"/>
      <c r="C315" s="700"/>
      <c r="D315" s="701"/>
      <c r="E315" s="700"/>
      <c r="F315" s="328"/>
      <c r="G315" s="700"/>
      <c r="H315" s="706"/>
      <c r="I315" s="704"/>
      <c r="J315" s="704"/>
      <c r="K315" s="704"/>
      <c r="L315" s="704"/>
      <c r="M315" s="704"/>
      <c r="N315" s="704"/>
      <c r="O315" s="685"/>
    </row>
    <row r="316" spans="1:26" ht="15.6" x14ac:dyDescent="0.3">
      <c r="A316" s="700"/>
      <c r="B316" s="700"/>
      <c r="C316" s="700"/>
      <c r="D316" s="701"/>
      <c r="E316" s="700"/>
      <c r="F316" s="328"/>
      <c r="G316" s="700"/>
      <c r="H316" s="706"/>
      <c r="I316" s="704"/>
      <c r="J316" s="704"/>
      <c r="K316" s="704"/>
      <c r="L316" s="704"/>
      <c r="M316" s="704"/>
      <c r="N316" s="704"/>
      <c r="O316" s="685"/>
    </row>
    <row r="317" spans="1:26" ht="15.6" x14ac:dyDescent="0.3">
      <c r="A317" s="700"/>
      <c r="B317" s="700"/>
      <c r="C317" s="700"/>
      <c r="D317" s="701"/>
      <c r="E317" s="700"/>
      <c r="F317" s="328"/>
      <c r="G317" s="700"/>
      <c r="H317" s="706"/>
      <c r="I317" s="704"/>
      <c r="J317" s="704"/>
      <c r="K317" s="704"/>
      <c r="L317" s="704"/>
      <c r="M317" s="704"/>
      <c r="N317" s="704"/>
      <c r="O317" s="685"/>
    </row>
    <row r="318" spans="1:26" ht="15.6" x14ac:dyDescent="0.3">
      <c r="A318" s="700"/>
      <c r="B318" s="700"/>
      <c r="C318" s="700"/>
      <c r="D318" s="701"/>
      <c r="E318" s="700"/>
      <c r="F318" s="328"/>
      <c r="G318" s="700"/>
      <c r="H318" s="706"/>
      <c r="I318" s="704"/>
      <c r="J318" s="704"/>
      <c r="K318" s="704"/>
      <c r="L318" s="704"/>
      <c r="M318" s="704"/>
      <c r="N318" s="704"/>
      <c r="O318" s="685"/>
    </row>
    <row r="319" spans="1:26" ht="15.6" x14ac:dyDescent="0.3">
      <c r="A319" s="700"/>
      <c r="B319" s="700"/>
      <c r="C319" s="700"/>
      <c r="D319" s="701"/>
      <c r="E319" s="700"/>
      <c r="F319" s="328"/>
      <c r="G319" s="700"/>
      <c r="H319" s="706"/>
      <c r="I319" s="704"/>
      <c r="J319" s="704"/>
      <c r="K319" s="704"/>
      <c r="L319" s="704"/>
      <c r="M319" s="704"/>
      <c r="N319" s="704"/>
      <c r="O319" s="685"/>
    </row>
    <row r="320" spans="1:26" ht="15.6" x14ac:dyDescent="0.3">
      <c r="A320" s="700"/>
      <c r="B320" s="700"/>
      <c r="C320" s="700"/>
      <c r="D320" s="701"/>
      <c r="E320" s="700"/>
      <c r="F320" s="328"/>
      <c r="G320" s="700"/>
      <c r="H320" s="706"/>
      <c r="I320" s="704"/>
      <c r="J320" s="704"/>
      <c r="K320" s="704"/>
      <c r="L320" s="704"/>
      <c r="M320" s="704"/>
      <c r="N320" s="704"/>
      <c r="O320" s="685"/>
    </row>
    <row r="321" spans="1:15" ht="15.6" x14ac:dyDescent="0.3">
      <c r="A321" s="700"/>
      <c r="B321" s="700"/>
      <c r="C321" s="700"/>
      <c r="D321" s="701"/>
      <c r="E321" s="700"/>
      <c r="F321" s="328"/>
      <c r="G321" s="700"/>
      <c r="H321" s="706"/>
      <c r="I321" s="704"/>
      <c r="J321" s="704"/>
      <c r="K321" s="704"/>
      <c r="L321" s="704"/>
      <c r="M321" s="704"/>
      <c r="N321" s="704"/>
      <c r="O321" s="685"/>
    </row>
    <row r="322" spans="1:15" ht="15.6" x14ac:dyDescent="0.3">
      <c r="A322" s="700"/>
      <c r="B322" s="700"/>
      <c r="C322" s="700"/>
      <c r="D322" s="701"/>
      <c r="E322" s="700"/>
      <c r="F322" s="328"/>
      <c r="G322" s="700"/>
      <c r="H322" s="706"/>
      <c r="I322" s="704"/>
      <c r="J322" s="704"/>
      <c r="K322" s="704"/>
      <c r="L322" s="704"/>
      <c r="M322" s="704"/>
      <c r="N322" s="704"/>
      <c r="O322" s="685"/>
    </row>
    <row r="323" spans="1:15" ht="15.6" x14ac:dyDescent="0.3">
      <c r="A323" s="700"/>
      <c r="B323" s="700"/>
      <c r="C323" s="700"/>
      <c r="D323" s="701"/>
      <c r="E323" s="700"/>
      <c r="F323" s="328"/>
      <c r="G323" s="700"/>
      <c r="H323" s="706"/>
      <c r="I323" s="704"/>
      <c r="J323" s="704"/>
      <c r="K323" s="704"/>
      <c r="L323" s="704"/>
      <c r="M323" s="704"/>
      <c r="N323" s="704"/>
      <c r="O323" s="685"/>
    </row>
    <row r="324" spans="1:15" ht="15.6" x14ac:dyDescent="0.3">
      <c r="A324" s="700"/>
      <c r="B324" s="700"/>
      <c r="C324" s="700"/>
      <c r="D324" s="701"/>
      <c r="E324" s="700"/>
      <c r="F324" s="328"/>
      <c r="G324" s="700"/>
      <c r="H324" s="706"/>
      <c r="I324" s="704"/>
      <c r="J324" s="704"/>
      <c r="K324" s="704"/>
      <c r="L324" s="704"/>
      <c r="M324" s="704"/>
      <c r="N324" s="704"/>
      <c r="O324" s="685"/>
    </row>
    <row r="325" spans="1:15" ht="15.6" x14ac:dyDescent="0.3">
      <c r="A325" s="700"/>
      <c r="B325" s="700"/>
      <c r="C325" s="700"/>
      <c r="D325" s="701"/>
      <c r="E325" s="700"/>
      <c r="F325" s="328"/>
      <c r="G325" s="700"/>
      <c r="H325" s="706"/>
      <c r="I325" s="704"/>
      <c r="J325" s="704"/>
      <c r="K325" s="704"/>
      <c r="L325" s="704"/>
      <c r="M325" s="704"/>
      <c r="N325" s="704"/>
      <c r="O325" s="685"/>
    </row>
    <row r="326" spans="1:15" ht="15.6" x14ac:dyDescent="0.3">
      <c r="A326" s="700"/>
      <c r="B326" s="700"/>
      <c r="C326" s="700"/>
      <c r="D326" s="701"/>
      <c r="E326" s="700"/>
      <c r="F326" s="328"/>
      <c r="G326" s="700"/>
      <c r="H326" s="706"/>
      <c r="I326" s="704"/>
      <c r="J326" s="704"/>
      <c r="K326" s="704"/>
      <c r="L326" s="704"/>
      <c r="M326" s="704"/>
      <c r="N326" s="704"/>
      <c r="O326" s="685"/>
    </row>
    <row r="327" spans="1:15" ht="15.6" x14ac:dyDescent="0.3">
      <c r="A327" s="700"/>
      <c r="B327" s="700"/>
      <c r="C327" s="700"/>
      <c r="D327" s="701"/>
      <c r="E327" s="700"/>
      <c r="F327" s="328"/>
      <c r="G327" s="700"/>
      <c r="H327" s="706"/>
      <c r="I327" s="704"/>
      <c r="J327" s="704"/>
      <c r="K327" s="704"/>
      <c r="L327" s="704"/>
      <c r="M327" s="704"/>
      <c r="N327" s="704"/>
      <c r="O327" s="685"/>
    </row>
    <row r="328" spans="1:15" ht="15.6" x14ac:dyDescent="0.3">
      <c r="A328" s="700"/>
      <c r="B328" s="700"/>
      <c r="C328" s="700"/>
      <c r="D328" s="701"/>
      <c r="E328" s="700"/>
      <c r="F328" s="328"/>
      <c r="G328" s="700"/>
      <c r="H328" s="706"/>
      <c r="I328" s="704"/>
      <c r="J328" s="704"/>
      <c r="K328" s="704"/>
      <c r="L328" s="704"/>
      <c r="M328" s="704"/>
      <c r="N328" s="704"/>
      <c r="O328" s="685"/>
    </row>
    <row r="329" spans="1:15" ht="15.6" x14ac:dyDescent="0.3">
      <c r="A329" s="700"/>
      <c r="B329" s="700"/>
      <c r="C329" s="700"/>
      <c r="D329" s="701"/>
      <c r="E329" s="700"/>
      <c r="F329" s="328"/>
      <c r="G329" s="700"/>
      <c r="H329" s="706"/>
      <c r="I329" s="704"/>
      <c r="J329" s="704"/>
      <c r="K329" s="704"/>
      <c r="L329" s="704"/>
      <c r="M329" s="704"/>
      <c r="N329" s="704"/>
      <c r="O329" s="685"/>
    </row>
    <row r="330" spans="1:15" ht="15.6" x14ac:dyDescent="0.3">
      <c r="A330" s="700"/>
      <c r="B330" s="700"/>
      <c r="C330" s="700"/>
      <c r="D330" s="701"/>
      <c r="E330" s="700"/>
      <c r="F330" s="328"/>
      <c r="G330" s="700"/>
      <c r="H330" s="706"/>
      <c r="I330" s="704"/>
      <c r="J330" s="704"/>
      <c r="K330" s="704"/>
      <c r="L330" s="704"/>
      <c r="M330" s="704"/>
      <c r="N330" s="704"/>
      <c r="O330" s="685"/>
    </row>
    <row r="331" spans="1:15" ht="15.6" x14ac:dyDescent="0.3">
      <c r="A331" s="700"/>
      <c r="B331" s="700"/>
      <c r="C331" s="700"/>
      <c r="D331" s="701"/>
      <c r="E331" s="700"/>
      <c r="F331" s="328"/>
      <c r="G331" s="700"/>
      <c r="H331" s="706"/>
      <c r="I331" s="704"/>
      <c r="J331" s="704"/>
      <c r="K331" s="704"/>
      <c r="L331" s="704"/>
      <c r="M331" s="704"/>
      <c r="N331" s="704"/>
      <c r="O331" s="685"/>
    </row>
    <row r="332" spans="1:15" ht="15.6" x14ac:dyDescent="0.3">
      <c r="A332" s="700"/>
      <c r="B332" s="700"/>
      <c r="C332" s="700"/>
      <c r="D332" s="701"/>
      <c r="E332" s="700"/>
      <c r="F332" s="328"/>
      <c r="G332" s="700"/>
      <c r="H332" s="706"/>
      <c r="I332" s="704"/>
      <c r="J332" s="704"/>
      <c r="K332" s="704"/>
      <c r="L332" s="704"/>
      <c r="M332" s="704"/>
      <c r="N332" s="704"/>
      <c r="O332" s="685"/>
    </row>
    <row r="333" spans="1:15" ht="15.6" x14ac:dyDescent="0.3">
      <c r="A333" s="700"/>
      <c r="B333" s="700"/>
      <c r="C333" s="700"/>
      <c r="D333" s="701"/>
      <c r="E333" s="700"/>
      <c r="F333" s="328"/>
      <c r="G333" s="700"/>
      <c r="H333" s="706"/>
      <c r="I333" s="704"/>
      <c r="J333" s="704"/>
      <c r="K333" s="704"/>
      <c r="L333" s="704"/>
      <c r="M333" s="704"/>
      <c r="N333" s="704"/>
      <c r="O333" s="685"/>
    </row>
    <row r="334" spans="1:15" ht="15.6" x14ac:dyDescent="0.3">
      <c r="A334" s="700"/>
      <c r="B334" s="700"/>
      <c r="C334" s="700"/>
      <c r="D334" s="701"/>
      <c r="E334" s="700"/>
      <c r="F334" s="328"/>
      <c r="G334" s="700"/>
      <c r="H334" s="706"/>
      <c r="I334" s="704"/>
      <c r="J334" s="704"/>
      <c r="K334" s="704"/>
      <c r="L334" s="704"/>
      <c r="M334" s="704"/>
      <c r="N334" s="704"/>
      <c r="O334" s="685"/>
    </row>
    <row r="335" spans="1:15" ht="15.6" x14ac:dyDescent="0.3">
      <c r="A335" s="700"/>
      <c r="B335" s="700"/>
      <c r="C335" s="700"/>
      <c r="D335" s="701"/>
      <c r="E335" s="700"/>
      <c r="F335" s="328"/>
      <c r="G335" s="700"/>
      <c r="H335" s="706"/>
      <c r="I335" s="704"/>
      <c r="J335" s="704"/>
      <c r="K335" s="704"/>
      <c r="L335" s="704"/>
      <c r="M335" s="704"/>
      <c r="N335" s="704"/>
      <c r="O335" s="685"/>
    </row>
    <row r="336" spans="1:15" ht="15.6" x14ac:dyDescent="0.3">
      <c r="A336" s="700"/>
      <c r="B336" s="700"/>
      <c r="C336" s="700"/>
      <c r="D336" s="701"/>
      <c r="E336" s="700"/>
      <c r="F336" s="328"/>
      <c r="G336" s="700"/>
      <c r="H336" s="706"/>
      <c r="I336" s="704"/>
      <c r="J336" s="704"/>
      <c r="K336" s="704"/>
      <c r="L336" s="704"/>
      <c r="M336" s="704"/>
      <c r="N336" s="704"/>
      <c r="O336" s="685"/>
    </row>
    <row r="337" spans="1:15" ht="15.6" x14ac:dyDescent="0.3">
      <c r="A337" s="700"/>
      <c r="B337" s="700"/>
      <c r="C337" s="700"/>
      <c r="D337" s="701"/>
      <c r="E337" s="700"/>
      <c r="F337" s="328"/>
      <c r="G337" s="700"/>
      <c r="H337" s="706"/>
      <c r="I337" s="704"/>
      <c r="J337" s="704"/>
      <c r="K337" s="704"/>
      <c r="L337" s="704"/>
      <c r="M337" s="704"/>
      <c r="N337" s="704"/>
      <c r="O337" s="685"/>
    </row>
    <row r="338" spans="1:15" ht="15.6" x14ac:dyDescent="0.3">
      <c r="A338" s="700"/>
      <c r="B338" s="700"/>
      <c r="C338" s="700"/>
      <c r="D338" s="701"/>
      <c r="E338" s="700"/>
      <c r="F338" s="328"/>
      <c r="G338" s="700"/>
      <c r="H338" s="706"/>
      <c r="I338" s="704"/>
      <c r="J338" s="704"/>
      <c r="K338" s="704"/>
      <c r="L338" s="704"/>
      <c r="M338" s="704"/>
      <c r="N338" s="704"/>
      <c r="O338" s="685"/>
    </row>
    <row r="339" spans="1:15" ht="15.6" x14ac:dyDescent="0.3">
      <c r="A339" s="700"/>
      <c r="B339" s="700"/>
      <c r="C339" s="700"/>
      <c r="D339" s="701"/>
      <c r="E339" s="700"/>
      <c r="F339" s="328"/>
      <c r="G339" s="700"/>
      <c r="H339" s="706"/>
      <c r="I339" s="704"/>
      <c r="J339" s="704"/>
      <c r="K339" s="704"/>
      <c r="L339" s="704"/>
      <c r="M339" s="704"/>
      <c r="N339" s="704"/>
      <c r="O339" s="685"/>
    </row>
    <row r="340" spans="1:15" ht="15.6" x14ac:dyDescent="0.3">
      <c r="A340" s="700"/>
      <c r="B340" s="700"/>
      <c r="C340" s="700"/>
      <c r="D340" s="701"/>
      <c r="E340" s="700"/>
      <c r="F340" s="328"/>
      <c r="G340" s="700"/>
      <c r="H340" s="706"/>
      <c r="I340" s="704"/>
      <c r="J340" s="704"/>
      <c r="K340" s="704"/>
      <c r="L340" s="704"/>
      <c r="M340" s="704"/>
      <c r="N340" s="704"/>
      <c r="O340" s="685"/>
    </row>
    <row r="341" spans="1:15" ht="15.6" x14ac:dyDescent="0.3">
      <c r="A341" s="700"/>
      <c r="B341" s="700"/>
      <c r="C341" s="700"/>
      <c r="D341" s="701"/>
      <c r="E341" s="700"/>
      <c r="F341" s="328"/>
      <c r="G341" s="700"/>
      <c r="H341" s="706"/>
      <c r="I341" s="704"/>
      <c r="J341" s="704"/>
      <c r="K341" s="704"/>
      <c r="L341" s="704"/>
      <c r="M341" s="704"/>
      <c r="N341" s="704"/>
      <c r="O341" s="685"/>
    </row>
    <row r="342" spans="1:15" ht="15.6" x14ac:dyDescent="0.3">
      <c r="A342" s="700"/>
      <c r="B342" s="700"/>
      <c r="C342" s="700"/>
      <c r="D342" s="701"/>
      <c r="E342" s="700"/>
      <c r="F342" s="328"/>
      <c r="G342" s="700"/>
      <c r="H342" s="706"/>
      <c r="I342" s="704"/>
      <c r="J342" s="704"/>
      <c r="K342" s="704"/>
      <c r="L342" s="704"/>
      <c r="M342" s="704"/>
      <c r="N342" s="704"/>
      <c r="O342" s="685"/>
    </row>
    <row r="343" spans="1:15" ht="15.6" x14ac:dyDescent="0.3">
      <c r="A343" s="700"/>
      <c r="B343" s="700"/>
      <c r="C343" s="700"/>
      <c r="D343" s="701"/>
      <c r="E343" s="700"/>
      <c r="F343" s="328"/>
      <c r="G343" s="700"/>
      <c r="H343" s="706"/>
      <c r="I343" s="704"/>
      <c r="J343" s="704"/>
      <c r="K343" s="704"/>
      <c r="L343" s="704"/>
      <c r="M343" s="704"/>
      <c r="N343" s="704"/>
      <c r="O343" s="685"/>
    </row>
    <row r="344" spans="1:15" ht="15.6" x14ac:dyDescent="0.3">
      <c r="A344" s="700"/>
      <c r="B344" s="700"/>
      <c r="C344" s="700"/>
      <c r="D344" s="701"/>
      <c r="E344" s="700"/>
      <c r="F344" s="328"/>
      <c r="G344" s="700"/>
      <c r="H344" s="706"/>
      <c r="I344" s="704"/>
      <c r="J344" s="704"/>
      <c r="K344" s="704"/>
      <c r="L344" s="704"/>
      <c r="M344" s="704"/>
      <c r="N344" s="704"/>
      <c r="O344" s="685"/>
    </row>
    <row r="345" spans="1:15" ht="15.6" x14ac:dyDescent="0.3">
      <c r="A345" s="700"/>
      <c r="B345" s="700"/>
      <c r="C345" s="700"/>
      <c r="D345" s="701"/>
      <c r="E345" s="700"/>
      <c r="F345" s="328"/>
      <c r="G345" s="700"/>
      <c r="H345" s="706"/>
      <c r="I345" s="704"/>
      <c r="J345" s="704"/>
      <c r="K345" s="704"/>
      <c r="L345" s="704"/>
      <c r="M345" s="704"/>
      <c r="N345" s="704"/>
      <c r="O345" s="685"/>
    </row>
    <row r="346" spans="1:15" ht="15.6" x14ac:dyDescent="0.3">
      <c r="A346" s="700"/>
      <c r="B346" s="700"/>
      <c r="C346" s="700"/>
      <c r="D346" s="701"/>
      <c r="E346" s="700"/>
      <c r="F346" s="328"/>
      <c r="G346" s="700"/>
      <c r="H346" s="706"/>
      <c r="I346" s="704"/>
      <c r="J346" s="704"/>
      <c r="K346" s="704"/>
      <c r="L346" s="704"/>
      <c r="M346" s="704"/>
      <c r="N346" s="704"/>
      <c r="O346" s="685"/>
    </row>
    <row r="347" spans="1:15" ht="15.6" x14ac:dyDescent="0.3">
      <c r="A347" s="700"/>
      <c r="B347" s="700"/>
      <c r="C347" s="700"/>
      <c r="D347" s="701"/>
      <c r="E347" s="700"/>
      <c r="F347" s="328"/>
      <c r="G347" s="700"/>
      <c r="H347" s="706"/>
      <c r="I347" s="704"/>
      <c r="J347" s="704"/>
      <c r="K347" s="704"/>
      <c r="L347" s="704"/>
      <c r="M347" s="704"/>
      <c r="N347" s="704"/>
      <c r="O347" s="685"/>
    </row>
    <row r="348" spans="1:15" ht="15.6" x14ac:dyDescent="0.3">
      <c r="A348" s="700"/>
      <c r="B348" s="700"/>
      <c r="C348" s="700"/>
      <c r="D348" s="701"/>
      <c r="E348" s="700"/>
      <c r="F348" s="328"/>
      <c r="G348" s="700"/>
      <c r="H348" s="706"/>
      <c r="I348" s="704"/>
      <c r="J348" s="704"/>
      <c r="K348" s="704"/>
      <c r="L348" s="704"/>
      <c r="M348" s="704"/>
      <c r="N348" s="704"/>
      <c r="O348" s="685"/>
    </row>
    <row r="349" spans="1:15" ht="15.6" x14ac:dyDescent="0.3">
      <c r="A349" s="700"/>
      <c r="B349" s="700"/>
      <c r="C349" s="700"/>
      <c r="D349" s="701"/>
      <c r="E349" s="700"/>
      <c r="F349" s="328"/>
      <c r="G349" s="700"/>
      <c r="H349" s="706"/>
      <c r="I349" s="704"/>
      <c r="J349" s="704"/>
      <c r="K349" s="704"/>
      <c r="L349" s="704"/>
      <c r="M349" s="704"/>
      <c r="N349" s="704"/>
      <c r="O349" s="685"/>
    </row>
    <row r="350" spans="1:15" ht="15.6" x14ac:dyDescent="0.3">
      <c r="A350" s="700"/>
      <c r="B350" s="700"/>
      <c r="C350" s="700"/>
      <c r="D350" s="701"/>
      <c r="E350" s="700"/>
      <c r="F350" s="328"/>
      <c r="G350" s="700"/>
      <c r="H350" s="706"/>
      <c r="I350" s="704"/>
      <c r="J350" s="704"/>
      <c r="K350" s="704"/>
      <c r="L350" s="704"/>
      <c r="M350" s="704"/>
      <c r="N350" s="704"/>
      <c r="O350" s="685"/>
    </row>
    <row r="351" spans="1:15" ht="15.6" x14ac:dyDescent="0.3">
      <c r="A351" s="700"/>
      <c r="B351" s="700"/>
      <c r="C351" s="700"/>
      <c r="D351" s="701"/>
      <c r="E351" s="700"/>
      <c r="F351" s="328"/>
      <c r="G351" s="700"/>
      <c r="H351" s="706"/>
      <c r="I351" s="704"/>
      <c r="J351" s="704"/>
      <c r="K351" s="704"/>
      <c r="L351" s="704"/>
      <c r="M351" s="704"/>
      <c r="N351" s="704"/>
      <c r="O351" s="685"/>
    </row>
    <row r="352" spans="1:15" ht="15.6" x14ac:dyDescent="0.3">
      <c r="A352" s="700"/>
      <c r="B352" s="700"/>
      <c r="C352" s="700"/>
      <c r="D352" s="701"/>
      <c r="E352" s="700"/>
      <c r="F352" s="328"/>
      <c r="G352" s="700"/>
      <c r="H352" s="706"/>
      <c r="I352" s="704"/>
      <c r="J352" s="704"/>
      <c r="K352" s="704"/>
      <c r="L352" s="704"/>
      <c r="M352" s="704"/>
      <c r="N352" s="704"/>
      <c r="O352" s="685"/>
    </row>
    <row r="353" spans="1:15" ht="15.6" x14ac:dyDescent="0.3">
      <c r="A353" s="700"/>
      <c r="B353" s="700"/>
      <c r="C353" s="700"/>
      <c r="D353" s="701"/>
      <c r="E353" s="700"/>
      <c r="F353" s="328"/>
      <c r="G353" s="700"/>
      <c r="H353" s="706"/>
      <c r="I353" s="704"/>
      <c r="J353" s="704"/>
      <c r="K353" s="704"/>
      <c r="L353" s="704"/>
      <c r="M353" s="704"/>
      <c r="N353" s="704"/>
      <c r="O353" s="685"/>
    </row>
    <row r="354" spans="1:15" ht="15.6" x14ac:dyDescent="0.3">
      <c r="A354" s="700"/>
      <c r="B354" s="700"/>
      <c r="C354" s="700"/>
      <c r="D354" s="701"/>
      <c r="E354" s="700"/>
      <c r="F354" s="328"/>
      <c r="G354" s="700"/>
      <c r="H354" s="706"/>
      <c r="I354" s="704"/>
      <c r="J354" s="704"/>
      <c r="K354" s="704"/>
      <c r="L354" s="704"/>
      <c r="M354" s="704"/>
      <c r="N354" s="704"/>
      <c r="O354" s="685"/>
    </row>
    <row r="355" spans="1:15" ht="15.6" x14ac:dyDescent="0.3">
      <c r="A355" s="700"/>
      <c r="B355" s="700"/>
      <c r="C355" s="700"/>
      <c r="D355" s="701"/>
      <c r="E355" s="700"/>
      <c r="F355" s="328"/>
      <c r="G355" s="700"/>
      <c r="H355" s="706"/>
      <c r="I355" s="704"/>
      <c r="J355" s="704"/>
      <c r="K355" s="704"/>
      <c r="L355" s="704"/>
      <c r="M355" s="704"/>
      <c r="N355" s="704"/>
      <c r="O355" s="685"/>
    </row>
    <row r="356" spans="1:15" ht="15.6" x14ac:dyDescent="0.3">
      <c r="A356" s="700"/>
      <c r="B356" s="700"/>
      <c r="C356" s="700"/>
      <c r="D356" s="701"/>
      <c r="E356" s="700"/>
      <c r="F356" s="328"/>
      <c r="G356" s="700"/>
      <c r="H356" s="706"/>
      <c r="I356" s="704"/>
      <c r="J356" s="704"/>
      <c r="K356" s="704"/>
      <c r="L356" s="704"/>
      <c r="M356" s="704"/>
      <c r="N356" s="704"/>
      <c r="O356" s="685"/>
    </row>
    <row r="357" spans="1:15" ht="15.6" x14ac:dyDescent="0.3">
      <c r="A357" s="700"/>
      <c r="B357" s="700"/>
      <c r="C357" s="700"/>
      <c r="D357" s="701"/>
      <c r="E357" s="700"/>
      <c r="F357" s="328"/>
      <c r="G357" s="700"/>
      <c r="H357" s="706"/>
      <c r="I357" s="704"/>
      <c r="J357" s="704"/>
      <c r="K357" s="704"/>
      <c r="L357" s="704"/>
      <c r="M357" s="704"/>
      <c r="N357" s="704"/>
      <c r="O357" s="685"/>
    </row>
    <row r="358" spans="1:15" ht="15.6" x14ac:dyDescent="0.3">
      <c r="A358" s="700"/>
      <c r="B358" s="700"/>
      <c r="C358" s="700"/>
      <c r="D358" s="701"/>
      <c r="E358" s="700"/>
      <c r="F358" s="328"/>
      <c r="G358" s="700"/>
      <c r="H358" s="706"/>
      <c r="I358" s="704"/>
      <c r="J358" s="704"/>
      <c r="K358" s="704"/>
      <c r="L358" s="704"/>
      <c r="M358" s="704"/>
      <c r="N358" s="704"/>
      <c r="O358" s="685"/>
    </row>
    <row r="359" spans="1:15" ht="15.6" x14ac:dyDescent="0.3">
      <c r="A359" s="700"/>
      <c r="B359" s="700"/>
      <c r="C359" s="700"/>
      <c r="D359" s="701"/>
      <c r="E359" s="700"/>
      <c r="F359" s="328"/>
      <c r="G359" s="700"/>
      <c r="H359" s="706"/>
      <c r="I359" s="704"/>
      <c r="J359" s="704"/>
      <c r="K359" s="704"/>
      <c r="L359" s="704"/>
      <c r="M359" s="704"/>
      <c r="N359" s="704"/>
      <c r="O359" s="685"/>
    </row>
    <row r="360" spans="1:15" ht="15.6" x14ac:dyDescent="0.3">
      <c r="A360" s="700"/>
      <c r="B360" s="700"/>
      <c r="C360" s="700"/>
      <c r="D360" s="701"/>
      <c r="E360" s="700"/>
      <c r="F360" s="328"/>
      <c r="G360" s="700"/>
      <c r="H360" s="706"/>
      <c r="I360" s="704"/>
      <c r="J360" s="704"/>
      <c r="K360" s="704"/>
      <c r="L360" s="704"/>
      <c r="M360" s="704"/>
      <c r="N360" s="704"/>
      <c r="O360" s="685"/>
    </row>
    <row r="361" spans="1:15" ht="15.6" x14ac:dyDescent="0.3">
      <c r="A361" s="700"/>
      <c r="B361" s="700"/>
      <c r="C361" s="700"/>
      <c r="D361" s="701"/>
      <c r="E361" s="700"/>
      <c r="F361" s="328"/>
      <c r="G361" s="700"/>
      <c r="H361" s="706"/>
      <c r="I361" s="704"/>
      <c r="J361" s="704"/>
      <c r="K361" s="704"/>
      <c r="L361" s="704"/>
      <c r="M361" s="704"/>
      <c r="N361" s="704"/>
      <c r="O361" s="685"/>
    </row>
    <row r="362" spans="1:15" ht="15.6" x14ac:dyDescent="0.3">
      <c r="A362" s="700"/>
      <c r="B362" s="700"/>
      <c r="C362" s="700"/>
      <c r="D362" s="701"/>
      <c r="E362" s="700"/>
      <c r="F362" s="328"/>
      <c r="G362" s="700"/>
      <c r="H362" s="706"/>
      <c r="I362" s="704"/>
      <c r="J362" s="704"/>
      <c r="K362" s="704"/>
      <c r="L362" s="704"/>
      <c r="M362" s="704"/>
      <c r="N362" s="704"/>
      <c r="O362" s="685"/>
    </row>
    <row r="363" spans="1:15" ht="15.6" x14ac:dyDescent="0.3">
      <c r="A363" s="700"/>
      <c r="B363" s="700"/>
      <c r="C363" s="700"/>
      <c r="D363" s="701"/>
      <c r="E363" s="700"/>
      <c r="F363" s="328"/>
      <c r="G363" s="700"/>
      <c r="H363" s="706"/>
      <c r="I363" s="704"/>
      <c r="J363" s="704"/>
      <c r="K363" s="704"/>
      <c r="L363" s="704"/>
      <c r="M363" s="704"/>
      <c r="N363" s="704"/>
      <c r="O363" s="685"/>
    </row>
    <row r="364" spans="1:15" ht="15.6" x14ac:dyDescent="0.3">
      <c r="A364" s="700"/>
      <c r="B364" s="700"/>
      <c r="C364" s="700"/>
      <c r="D364" s="701"/>
      <c r="E364" s="700"/>
      <c r="F364" s="328"/>
      <c r="G364" s="700"/>
      <c r="H364" s="706"/>
      <c r="I364" s="704"/>
      <c r="J364" s="704"/>
      <c r="K364" s="704"/>
      <c r="L364" s="704"/>
      <c r="M364" s="704"/>
      <c r="N364" s="704"/>
      <c r="O364" s="685"/>
    </row>
    <row r="365" spans="1:15" ht="15.6" x14ac:dyDescent="0.3">
      <c r="A365" s="700"/>
      <c r="B365" s="700"/>
      <c r="C365" s="700"/>
      <c r="D365" s="701"/>
      <c r="E365" s="700"/>
      <c r="F365" s="328"/>
      <c r="G365" s="700"/>
      <c r="H365" s="706"/>
      <c r="I365" s="704"/>
      <c r="J365" s="704"/>
      <c r="K365" s="704"/>
      <c r="L365" s="704"/>
      <c r="M365" s="704"/>
      <c r="N365" s="704"/>
      <c r="O365" s="685"/>
    </row>
    <row r="366" spans="1:15" ht="15.6" x14ac:dyDescent="0.3">
      <c r="A366" s="700"/>
      <c r="B366" s="700"/>
      <c r="C366" s="700"/>
      <c r="D366" s="701"/>
      <c r="E366" s="700"/>
      <c r="F366" s="328"/>
      <c r="G366" s="700"/>
      <c r="H366" s="706"/>
      <c r="I366" s="704"/>
      <c r="J366" s="704"/>
      <c r="K366" s="704"/>
      <c r="L366" s="704"/>
      <c r="M366" s="704"/>
      <c r="N366" s="704"/>
      <c r="O366" s="685"/>
    </row>
    <row r="367" spans="1:15" ht="15.6" x14ac:dyDescent="0.3">
      <c r="A367" s="700"/>
      <c r="B367" s="700"/>
      <c r="C367" s="700"/>
      <c r="D367" s="701"/>
      <c r="E367" s="700"/>
      <c r="F367" s="328"/>
      <c r="G367" s="700"/>
      <c r="H367" s="706"/>
      <c r="I367" s="704"/>
      <c r="J367" s="704"/>
      <c r="K367" s="704"/>
      <c r="L367" s="704"/>
      <c r="M367" s="704"/>
      <c r="N367" s="704"/>
      <c r="O367" s="685"/>
    </row>
    <row r="368" spans="1:15" ht="15.6" x14ac:dyDescent="0.3">
      <c r="A368" s="700"/>
      <c r="B368" s="700"/>
      <c r="C368" s="700"/>
      <c r="D368" s="701"/>
      <c r="E368" s="700"/>
      <c r="F368" s="328"/>
      <c r="G368" s="700"/>
      <c r="H368" s="706"/>
      <c r="I368" s="704"/>
      <c r="J368" s="704"/>
      <c r="K368" s="704"/>
      <c r="L368" s="704"/>
      <c r="M368" s="704"/>
      <c r="N368" s="704"/>
      <c r="O368" s="685"/>
    </row>
    <row r="369" spans="1:15" ht="15.6" x14ac:dyDescent="0.3">
      <c r="A369" s="700"/>
      <c r="B369" s="700"/>
      <c r="C369" s="700"/>
      <c r="D369" s="701"/>
      <c r="E369" s="700"/>
      <c r="F369" s="328"/>
      <c r="G369" s="700"/>
      <c r="H369" s="706"/>
      <c r="I369" s="704"/>
      <c r="J369" s="704"/>
      <c r="K369" s="704"/>
      <c r="L369" s="704"/>
      <c r="M369" s="704"/>
      <c r="N369" s="704"/>
      <c r="O369" s="685"/>
    </row>
    <row r="370" spans="1:15" ht="15.6" x14ac:dyDescent="0.3">
      <c r="A370" s="700"/>
      <c r="B370" s="700"/>
      <c r="C370" s="700"/>
      <c r="D370" s="701"/>
      <c r="E370" s="700"/>
      <c r="F370" s="328"/>
      <c r="G370" s="700"/>
      <c r="H370" s="706"/>
      <c r="I370" s="704"/>
      <c r="J370" s="704"/>
      <c r="K370" s="704"/>
      <c r="L370" s="704"/>
      <c r="M370" s="704"/>
      <c r="N370" s="704"/>
      <c r="O370" s="685"/>
    </row>
    <row r="371" spans="1:15" ht="15.6" x14ac:dyDescent="0.3">
      <c r="A371" s="700"/>
      <c r="B371" s="700"/>
      <c r="C371" s="700"/>
      <c r="D371" s="701"/>
      <c r="E371" s="700"/>
      <c r="F371" s="328"/>
      <c r="G371" s="700"/>
      <c r="H371" s="706"/>
      <c r="I371" s="704"/>
      <c r="J371" s="704"/>
      <c r="K371" s="704"/>
      <c r="L371" s="704"/>
      <c r="M371" s="704"/>
      <c r="N371" s="704"/>
      <c r="O371" s="685"/>
    </row>
    <row r="372" spans="1:15" ht="15.6" x14ac:dyDescent="0.3">
      <c r="A372" s="700"/>
      <c r="B372" s="700"/>
      <c r="C372" s="700"/>
      <c r="D372" s="701"/>
      <c r="E372" s="700"/>
      <c r="F372" s="328"/>
      <c r="G372" s="700"/>
      <c r="H372" s="706"/>
      <c r="I372" s="704"/>
      <c r="J372" s="704"/>
      <c r="K372" s="704"/>
      <c r="L372" s="704"/>
      <c r="M372" s="704"/>
      <c r="N372" s="704"/>
      <c r="O372" s="685"/>
    </row>
    <row r="373" spans="1:15" ht="15.6" x14ac:dyDescent="0.3">
      <c r="A373" s="700"/>
      <c r="B373" s="700"/>
      <c r="C373" s="700"/>
      <c r="D373" s="701"/>
      <c r="E373" s="700"/>
      <c r="F373" s="328"/>
      <c r="G373" s="700"/>
      <c r="H373" s="706"/>
      <c r="I373" s="704"/>
      <c r="J373" s="704"/>
      <c r="K373" s="704"/>
      <c r="L373" s="704"/>
      <c r="M373" s="704"/>
      <c r="N373" s="704"/>
      <c r="O373" s="685"/>
    </row>
    <row r="374" spans="1:15" ht="15.6" x14ac:dyDescent="0.3">
      <c r="A374" s="700"/>
      <c r="B374" s="700"/>
      <c r="C374" s="700"/>
      <c r="D374" s="701"/>
      <c r="E374" s="700"/>
      <c r="F374" s="328"/>
      <c r="G374" s="700"/>
      <c r="H374" s="706"/>
      <c r="I374" s="704"/>
      <c r="J374" s="704"/>
      <c r="K374" s="704"/>
      <c r="L374" s="704"/>
      <c r="M374" s="704"/>
      <c r="N374" s="704"/>
      <c r="O374" s="685"/>
    </row>
    <row r="375" spans="1:15" ht="15.6" x14ac:dyDescent="0.3">
      <c r="A375" s="700"/>
      <c r="B375" s="700"/>
      <c r="C375" s="700"/>
      <c r="D375" s="701"/>
      <c r="E375" s="700"/>
      <c r="F375" s="328"/>
      <c r="G375" s="700"/>
      <c r="H375" s="706"/>
      <c r="I375" s="704"/>
      <c r="J375" s="704"/>
      <c r="K375" s="704"/>
      <c r="L375" s="704"/>
      <c r="M375" s="704"/>
      <c r="N375" s="704"/>
      <c r="O375" s="685"/>
    </row>
    <row r="376" spans="1:15" ht="15.6" x14ac:dyDescent="0.3">
      <c r="A376" s="700"/>
      <c r="B376" s="700"/>
      <c r="C376" s="700"/>
      <c r="D376" s="701"/>
      <c r="E376" s="700"/>
      <c r="F376" s="328"/>
      <c r="G376" s="700"/>
      <c r="H376" s="706"/>
      <c r="I376" s="704"/>
      <c r="J376" s="704"/>
      <c r="K376" s="704"/>
      <c r="L376" s="704"/>
      <c r="M376" s="704"/>
      <c r="N376" s="704"/>
      <c r="O376" s="685"/>
    </row>
    <row r="377" spans="1:15" ht="15.6" x14ac:dyDescent="0.3">
      <c r="A377" s="700"/>
      <c r="B377" s="700"/>
      <c r="C377" s="700"/>
      <c r="D377" s="701"/>
      <c r="E377" s="700"/>
      <c r="F377" s="328"/>
      <c r="G377" s="700"/>
      <c r="H377" s="706"/>
      <c r="I377" s="704"/>
      <c r="J377" s="704"/>
      <c r="K377" s="704"/>
      <c r="L377" s="704"/>
      <c r="M377" s="704"/>
      <c r="N377" s="704"/>
      <c r="O377" s="685"/>
    </row>
    <row r="378" spans="1:15" ht="15.6" x14ac:dyDescent="0.3">
      <c r="A378" s="700"/>
      <c r="B378" s="700"/>
      <c r="C378" s="700"/>
      <c r="D378" s="701"/>
      <c r="E378" s="700"/>
      <c r="F378" s="328"/>
      <c r="G378" s="700"/>
      <c r="H378" s="706"/>
      <c r="I378" s="704"/>
      <c r="J378" s="704"/>
      <c r="K378" s="704"/>
      <c r="L378" s="704"/>
      <c r="M378" s="704"/>
      <c r="N378" s="704"/>
      <c r="O378" s="685"/>
    </row>
    <row r="379" spans="1:15" ht="15.6" x14ac:dyDescent="0.3">
      <c r="A379" s="700"/>
      <c r="B379" s="700"/>
      <c r="C379" s="700"/>
      <c r="D379" s="701"/>
      <c r="E379" s="700"/>
      <c r="F379" s="328"/>
      <c r="G379" s="700"/>
      <c r="H379" s="706"/>
      <c r="I379" s="704"/>
      <c r="J379" s="704"/>
      <c r="K379" s="704"/>
      <c r="L379" s="704"/>
      <c r="M379" s="704"/>
      <c r="N379" s="704"/>
      <c r="O379" s="685"/>
    </row>
    <row r="380" spans="1:15" ht="15.6" x14ac:dyDescent="0.3">
      <c r="A380" s="700"/>
      <c r="B380" s="700"/>
      <c r="C380" s="700"/>
      <c r="D380" s="701"/>
      <c r="E380" s="700"/>
      <c r="F380" s="328"/>
      <c r="G380" s="700"/>
      <c r="H380" s="706"/>
      <c r="I380" s="704"/>
      <c r="J380" s="704"/>
      <c r="K380" s="704"/>
      <c r="L380" s="704"/>
      <c r="M380" s="704"/>
      <c r="N380" s="704"/>
      <c r="O380" s="685"/>
    </row>
    <row r="381" spans="1:15" ht="15.6" x14ac:dyDescent="0.3">
      <c r="A381" s="700"/>
      <c r="B381" s="700"/>
      <c r="C381" s="700"/>
      <c r="D381" s="701"/>
      <c r="E381" s="700"/>
      <c r="F381" s="328"/>
      <c r="G381" s="700"/>
      <c r="H381" s="706"/>
      <c r="I381" s="704"/>
      <c r="J381" s="704"/>
      <c r="K381" s="704"/>
      <c r="L381" s="704"/>
      <c r="M381" s="704"/>
      <c r="N381" s="704"/>
      <c r="O381" s="685"/>
    </row>
    <row r="382" spans="1:15" ht="15.6" x14ac:dyDescent="0.3">
      <c r="A382" s="700"/>
      <c r="B382" s="700"/>
      <c r="C382" s="700"/>
      <c r="D382" s="701"/>
      <c r="E382" s="700"/>
      <c r="F382" s="328"/>
      <c r="G382" s="700"/>
      <c r="H382" s="706"/>
      <c r="I382" s="704"/>
      <c r="J382" s="704"/>
      <c r="K382" s="704"/>
      <c r="L382" s="704"/>
      <c r="M382" s="704"/>
      <c r="N382" s="704"/>
      <c r="O382" s="685"/>
    </row>
    <row r="383" spans="1:15" ht="15.6" x14ac:dyDescent="0.3">
      <c r="A383" s="700"/>
      <c r="B383" s="700"/>
      <c r="C383" s="700"/>
      <c r="D383" s="701"/>
      <c r="E383" s="700"/>
      <c r="F383" s="328"/>
      <c r="G383" s="700"/>
      <c r="H383" s="706"/>
      <c r="I383" s="704"/>
      <c r="J383" s="704"/>
      <c r="K383" s="704"/>
      <c r="L383" s="704"/>
      <c r="M383" s="704"/>
      <c r="N383" s="704"/>
      <c r="O383" s="685"/>
    </row>
    <row r="384" spans="1:15" ht="15.6" x14ac:dyDescent="0.3">
      <c r="A384" s="700"/>
      <c r="B384" s="700"/>
      <c r="C384" s="700"/>
      <c r="D384" s="701"/>
      <c r="E384" s="700"/>
      <c r="F384" s="328"/>
      <c r="G384" s="700"/>
      <c r="H384" s="706"/>
      <c r="I384" s="704"/>
      <c r="J384" s="704"/>
      <c r="K384" s="704"/>
      <c r="L384" s="704"/>
      <c r="M384" s="704"/>
      <c r="N384" s="704"/>
      <c r="O384" s="685"/>
    </row>
    <row r="385" spans="1:15" ht="15.6" x14ac:dyDescent="0.3">
      <c r="A385" s="700"/>
      <c r="B385" s="700"/>
      <c r="C385" s="700"/>
      <c r="D385" s="701"/>
      <c r="E385" s="700"/>
      <c r="F385" s="328"/>
      <c r="G385" s="700"/>
      <c r="H385" s="706"/>
      <c r="I385" s="704"/>
      <c r="J385" s="704"/>
      <c r="K385" s="704"/>
      <c r="L385" s="704"/>
      <c r="M385" s="704"/>
      <c r="N385" s="704"/>
      <c r="O385" s="685"/>
    </row>
    <row r="386" spans="1:15" ht="15.6" x14ac:dyDescent="0.3">
      <c r="A386" s="700"/>
      <c r="B386" s="700"/>
      <c r="C386" s="700"/>
      <c r="D386" s="701"/>
      <c r="E386" s="700"/>
      <c r="F386" s="328"/>
      <c r="G386" s="700"/>
      <c r="H386" s="706"/>
      <c r="I386" s="704"/>
      <c r="J386" s="704"/>
      <c r="K386" s="704"/>
      <c r="L386" s="704"/>
      <c r="M386" s="704"/>
      <c r="N386" s="704"/>
      <c r="O386" s="685"/>
    </row>
    <row r="387" spans="1:15" ht="15.6" x14ac:dyDescent="0.3">
      <c r="A387" s="700"/>
      <c r="B387" s="700"/>
      <c r="C387" s="700"/>
      <c r="D387" s="701"/>
      <c r="E387" s="700"/>
      <c r="F387" s="328"/>
      <c r="G387" s="700"/>
      <c r="H387" s="706"/>
      <c r="I387" s="704"/>
      <c r="J387" s="704"/>
      <c r="K387" s="704"/>
      <c r="L387" s="704"/>
      <c r="M387" s="704"/>
      <c r="N387" s="704"/>
      <c r="O387" s="685"/>
    </row>
    <row r="388" spans="1:15" ht="15.6" x14ac:dyDescent="0.3">
      <c r="A388" s="700"/>
      <c r="B388" s="700"/>
      <c r="C388" s="700"/>
      <c r="D388" s="701"/>
      <c r="E388" s="700"/>
      <c r="F388" s="328"/>
      <c r="G388" s="700"/>
      <c r="H388" s="706"/>
      <c r="I388" s="704"/>
      <c r="J388" s="704"/>
      <c r="K388" s="704"/>
      <c r="L388" s="704"/>
      <c r="M388" s="704"/>
      <c r="N388" s="704"/>
      <c r="O388" s="685"/>
    </row>
    <row r="389" spans="1:15" ht="15.6" x14ac:dyDescent="0.3">
      <c r="A389" s="700"/>
      <c r="B389" s="700"/>
      <c r="C389" s="700"/>
      <c r="D389" s="701"/>
      <c r="E389" s="700"/>
      <c r="F389" s="328"/>
      <c r="G389" s="700"/>
      <c r="H389" s="706"/>
      <c r="I389" s="704"/>
      <c r="J389" s="704"/>
      <c r="K389" s="704"/>
      <c r="L389" s="704"/>
      <c r="M389" s="704"/>
      <c r="N389" s="704"/>
      <c r="O389" s="685"/>
    </row>
    <row r="390" spans="1:15" ht="15.6" x14ac:dyDescent="0.3">
      <c r="A390" s="700"/>
      <c r="B390" s="700"/>
      <c r="C390" s="700"/>
      <c r="D390" s="701"/>
      <c r="E390" s="700"/>
      <c r="F390" s="328"/>
      <c r="G390" s="700"/>
      <c r="H390" s="706"/>
      <c r="I390" s="704"/>
      <c r="J390" s="704"/>
      <c r="K390" s="704"/>
      <c r="L390" s="704"/>
      <c r="M390" s="704"/>
      <c r="N390" s="704"/>
      <c r="O390" s="685"/>
    </row>
    <row r="391" spans="1:15" ht="15.6" x14ac:dyDescent="0.3">
      <c r="A391" s="700"/>
      <c r="B391" s="700"/>
      <c r="C391" s="700"/>
      <c r="D391" s="701"/>
      <c r="E391" s="700"/>
      <c r="F391" s="328"/>
      <c r="G391" s="700"/>
      <c r="H391" s="706"/>
      <c r="I391" s="704"/>
      <c r="J391" s="704"/>
      <c r="K391" s="704"/>
      <c r="L391" s="704"/>
      <c r="M391" s="704"/>
      <c r="N391" s="704"/>
      <c r="O391" s="685"/>
    </row>
    <row r="392" spans="1:15" ht="15.6" x14ac:dyDescent="0.3">
      <c r="A392" s="700"/>
      <c r="B392" s="700"/>
      <c r="C392" s="700"/>
      <c r="D392" s="701"/>
      <c r="E392" s="700"/>
      <c r="F392" s="328"/>
      <c r="G392" s="700"/>
      <c r="H392" s="706"/>
      <c r="I392" s="704"/>
      <c r="J392" s="704"/>
      <c r="K392" s="704"/>
      <c r="L392" s="704"/>
      <c r="M392" s="704"/>
      <c r="N392" s="704"/>
      <c r="O392" s="685"/>
    </row>
    <row r="393" spans="1:15" ht="15.6" x14ac:dyDescent="0.3">
      <c r="A393" s="700"/>
      <c r="B393" s="700"/>
      <c r="C393" s="700"/>
      <c r="D393" s="701"/>
      <c r="E393" s="700"/>
      <c r="F393" s="328"/>
      <c r="G393" s="700"/>
      <c r="H393" s="706"/>
      <c r="I393" s="704"/>
      <c r="J393" s="704"/>
      <c r="K393" s="704"/>
      <c r="L393" s="704"/>
      <c r="M393" s="704"/>
      <c r="N393" s="704"/>
      <c r="O393" s="685"/>
    </row>
    <row r="394" spans="1:15" ht="15.6" x14ac:dyDescent="0.3">
      <c r="A394" s="700"/>
      <c r="B394" s="700"/>
      <c r="C394" s="700"/>
      <c r="D394" s="701"/>
      <c r="E394" s="700"/>
      <c r="F394" s="328"/>
      <c r="G394" s="700"/>
      <c r="H394" s="706"/>
      <c r="I394" s="704"/>
      <c r="J394" s="704"/>
      <c r="K394" s="704"/>
      <c r="L394" s="704"/>
      <c r="M394" s="704"/>
      <c r="N394" s="704"/>
      <c r="O394" s="685"/>
    </row>
    <row r="395" spans="1:15" ht="15.6" x14ac:dyDescent="0.3">
      <c r="A395" s="700"/>
      <c r="B395" s="700"/>
      <c r="C395" s="700"/>
      <c r="D395" s="701"/>
      <c r="E395" s="700"/>
      <c r="F395" s="328"/>
      <c r="G395" s="700"/>
      <c r="H395" s="706"/>
      <c r="I395" s="704"/>
      <c r="J395" s="704"/>
      <c r="K395" s="704"/>
      <c r="L395" s="704"/>
      <c r="M395" s="704"/>
      <c r="N395" s="704"/>
      <c r="O395" s="685"/>
    </row>
    <row r="396" spans="1:15" ht="15.6" x14ac:dyDescent="0.3">
      <c r="A396" s="700"/>
      <c r="B396" s="700"/>
      <c r="C396" s="700"/>
      <c r="D396" s="701"/>
      <c r="E396" s="700"/>
      <c r="F396" s="328"/>
      <c r="G396" s="700"/>
      <c r="H396" s="706"/>
      <c r="I396" s="704"/>
      <c r="J396" s="704"/>
      <c r="K396" s="704"/>
      <c r="L396" s="704"/>
      <c r="M396" s="704"/>
      <c r="N396" s="704"/>
      <c r="O396" s="685"/>
    </row>
    <row r="397" spans="1:15" ht="15.6" x14ac:dyDescent="0.3">
      <c r="A397" s="700"/>
      <c r="B397" s="700"/>
      <c r="C397" s="700"/>
      <c r="D397" s="701"/>
      <c r="E397" s="700"/>
      <c r="F397" s="328"/>
      <c r="G397" s="700"/>
      <c r="H397" s="706"/>
      <c r="I397" s="704"/>
      <c r="J397" s="704"/>
      <c r="K397" s="704"/>
      <c r="L397" s="704"/>
      <c r="M397" s="704"/>
      <c r="N397" s="704"/>
      <c r="O397" s="685"/>
    </row>
    <row r="398" spans="1:15" ht="15.6" x14ac:dyDescent="0.3">
      <c r="A398" s="700"/>
      <c r="B398" s="700"/>
      <c r="C398" s="700"/>
      <c r="D398" s="701"/>
      <c r="E398" s="700"/>
      <c r="F398" s="328"/>
      <c r="G398" s="700"/>
      <c r="H398" s="706"/>
      <c r="I398" s="704"/>
      <c r="J398" s="704"/>
      <c r="K398" s="704"/>
      <c r="L398" s="704"/>
      <c r="M398" s="704"/>
      <c r="N398" s="704"/>
      <c r="O398" s="685"/>
    </row>
    <row r="399" spans="1:15" ht="15.6" x14ac:dyDescent="0.3">
      <c r="A399" s="700"/>
      <c r="B399" s="700"/>
      <c r="C399" s="700"/>
      <c r="D399" s="701"/>
      <c r="E399" s="700"/>
      <c r="F399" s="328"/>
      <c r="G399" s="700"/>
      <c r="H399" s="706"/>
      <c r="I399" s="704"/>
      <c r="J399" s="704"/>
      <c r="K399" s="704"/>
      <c r="L399" s="704"/>
      <c r="M399" s="704"/>
      <c r="N399" s="704"/>
      <c r="O399" s="685"/>
    </row>
    <row r="400" spans="1:15" ht="15.6" x14ac:dyDescent="0.3">
      <c r="A400" s="700"/>
      <c r="B400" s="700"/>
      <c r="C400" s="700"/>
      <c r="D400" s="701"/>
      <c r="E400" s="700"/>
      <c r="F400" s="328"/>
      <c r="G400" s="700"/>
      <c r="H400" s="706"/>
      <c r="I400" s="704"/>
      <c r="J400" s="704"/>
      <c r="K400" s="704"/>
      <c r="L400" s="704"/>
      <c r="M400" s="704"/>
      <c r="N400" s="704"/>
      <c r="O400" s="685"/>
    </row>
    <row r="401" spans="1:15" ht="15.6" x14ac:dyDescent="0.3">
      <c r="A401" s="700"/>
      <c r="B401" s="700"/>
      <c r="C401" s="700"/>
      <c r="D401" s="701"/>
      <c r="E401" s="700"/>
      <c r="F401" s="328"/>
      <c r="G401" s="700"/>
      <c r="H401" s="706"/>
      <c r="I401" s="704"/>
      <c r="J401" s="704"/>
      <c r="K401" s="704"/>
      <c r="L401" s="704"/>
      <c r="M401" s="704"/>
      <c r="N401" s="704"/>
      <c r="O401" s="685"/>
    </row>
    <row r="402" spans="1:15" ht="15.6" x14ac:dyDescent="0.3">
      <c r="A402" s="700"/>
      <c r="B402" s="700"/>
      <c r="C402" s="700"/>
      <c r="D402" s="701"/>
      <c r="E402" s="700"/>
      <c r="F402" s="328"/>
      <c r="G402" s="700"/>
      <c r="H402" s="706"/>
      <c r="I402" s="704"/>
      <c r="J402" s="704"/>
      <c r="K402" s="704"/>
      <c r="L402" s="704"/>
      <c r="M402" s="704"/>
      <c r="N402" s="704"/>
      <c r="O402" s="685"/>
    </row>
    <row r="403" spans="1:15" ht="15.6" x14ac:dyDescent="0.3">
      <c r="A403" s="700"/>
      <c r="B403" s="700"/>
      <c r="C403" s="700"/>
      <c r="D403" s="701"/>
      <c r="E403" s="700"/>
      <c r="F403" s="328"/>
      <c r="G403" s="700"/>
      <c r="H403" s="706"/>
      <c r="I403" s="704"/>
      <c r="J403" s="704"/>
      <c r="K403" s="704"/>
      <c r="L403" s="704"/>
      <c r="M403" s="704"/>
      <c r="N403" s="704"/>
      <c r="O403" s="685"/>
    </row>
    <row r="404" spans="1:15" ht="15.6" x14ac:dyDescent="0.3">
      <c r="A404" s="700"/>
      <c r="B404" s="700"/>
      <c r="C404" s="700"/>
      <c r="D404" s="701"/>
      <c r="E404" s="700"/>
      <c r="F404" s="328"/>
      <c r="G404" s="700"/>
      <c r="H404" s="706"/>
      <c r="I404" s="704"/>
      <c r="J404" s="704"/>
      <c r="K404" s="704"/>
      <c r="L404" s="704"/>
      <c r="M404" s="704"/>
      <c r="N404" s="704"/>
      <c r="O404" s="685"/>
    </row>
    <row r="405" spans="1:15" ht="15.6" x14ac:dyDescent="0.3">
      <c r="A405" s="700"/>
      <c r="B405" s="700"/>
      <c r="C405" s="700"/>
      <c r="D405" s="701"/>
      <c r="E405" s="700"/>
      <c r="F405" s="328"/>
      <c r="G405" s="700"/>
      <c r="H405" s="706"/>
      <c r="I405" s="704"/>
      <c r="J405" s="704"/>
      <c r="K405" s="704"/>
      <c r="L405" s="704"/>
      <c r="M405" s="704"/>
      <c r="N405" s="704"/>
      <c r="O405" s="685"/>
    </row>
    <row r="406" spans="1:15" ht="15.6" x14ac:dyDescent="0.3">
      <c r="A406" s="700"/>
      <c r="B406" s="700"/>
      <c r="C406" s="700"/>
      <c r="D406" s="701"/>
      <c r="E406" s="700"/>
      <c r="F406" s="328"/>
      <c r="G406" s="700"/>
      <c r="H406" s="706"/>
      <c r="I406" s="704"/>
      <c r="J406" s="704"/>
      <c r="K406" s="704"/>
      <c r="L406" s="704"/>
      <c r="M406" s="704"/>
      <c r="N406" s="704"/>
      <c r="O406" s="685"/>
    </row>
    <row r="407" spans="1:15" ht="15.6" x14ac:dyDescent="0.3">
      <c r="A407" s="700"/>
      <c r="B407" s="700"/>
      <c r="C407" s="700"/>
      <c r="D407" s="701"/>
      <c r="E407" s="700"/>
      <c r="F407" s="328"/>
      <c r="G407" s="700"/>
      <c r="H407" s="706"/>
      <c r="I407" s="704"/>
      <c r="J407" s="704"/>
      <c r="K407" s="704"/>
      <c r="L407" s="704"/>
      <c r="M407" s="704"/>
      <c r="N407" s="704"/>
      <c r="O407" s="685"/>
    </row>
    <row r="408" spans="1:15" ht="15.6" x14ac:dyDescent="0.3">
      <c r="A408" s="700"/>
      <c r="B408" s="700"/>
      <c r="C408" s="700"/>
      <c r="D408" s="701"/>
      <c r="E408" s="700"/>
      <c r="F408" s="328"/>
      <c r="G408" s="700"/>
      <c r="H408" s="706"/>
      <c r="I408" s="704"/>
      <c r="J408" s="704"/>
      <c r="K408" s="704"/>
      <c r="L408" s="704"/>
      <c r="M408" s="704"/>
      <c r="N408" s="704"/>
      <c r="O408" s="685"/>
    </row>
    <row r="409" spans="1:15" ht="15.6" x14ac:dyDescent="0.3">
      <c r="A409" s="700"/>
      <c r="B409" s="700"/>
      <c r="C409" s="700"/>
      <c r="D409" s="701"/>
      <c r="E409" s="700"/>
      <c r="F409" s="328"/>
      <c r="G409" s="700"/>
      <c r="H409" s="706"/>
      <c r="I409" s="704"/>
      <c r="J409" s="704"/>
      <c r="K409" s="704"/>
      <c r="L409" s="704"/>
      <c r="M409" s="704"/>
      <c r="N409" s="704"/>
      <c r="O409" s="685"/>
    </row>
    <row r="410" spans="1:15" ht="15.6" x14ac:dyDescent="0.3">
      <c r="A410" s="700"/>
      <c r="B410" s="700"/>
      <c r="C410" s="700"/>
      <c r="D410" s="701"/>
      <c r="E410" s="700"/>
      <c r="F410" s="328"/>
      <c r="G410" s="700"/>
      <c r="H410" s="706"/>
      <c r="I410" s="704"/>
      <c r="J410" s="704"/>
      <c r="K410" s="704"/>
      <c r="L410" s="704"/>
      <c r="M410" s="704"/>
      <c r="N410" s="704"/>
      <c r="O410" s="685"/>
    </row>
    <row r="411" spans="1:15" ht="15.6" x14ac:dyDescent="0.3">
      <c r="A411" s="700"/>
      <c r="B411" s="700"/>
      <c r="C411" s="700"/>
      <c r="D411" s="701"/>
      <c r="E411" s="700"/>
      <c r="F411" s="328"/>
      <c r="G411" s="700"/>
      <c r="H411" s="706"/>
      <c r="I411" s="704"/>
      <c r="J411" s="704"/>
      <c r="K411" s="704"/>
      <c r="L411" s="704"/>
      <c r="M411" s="704"/>
      <c r="N411" s="704"/>
      <c r="O411" s="685"/>
    </row>
    <row r="412" spans="1:15" ht="15.6" x14ac:dyDescent="0.3">
      <c r="A412" s="700"/>
      <c r="B412" s="700"/>
      <c r="C412" s="700"/>
      <c r="D412" s="701"/>
      <c r="E412" s="700"/>
      <c r="F412" s="328"/>
      <c r="G412" s="700"/>
      <c r="H412" s="706"/>
      <c r="I412" s="704"/>
      <c r="J412" s="704"/>
      <c r="K412" s="704"/>
      <c r="L412" s="704"/>
      <c r="M412" s="704"/>
      <c r="N412" s="704"/>
      <c r="O412" s="685"/>
    </row>
    <row r="413" spans="1:15" ht="15.6" x14ac:dyDescent="0.3">
      <c r="A413" s="700"/>
      <c r="B413" s="700"/>
      <c r="C413" s="700"/>
      <c r="D413" s="701"/>
      <c r="E413" s="700"/>
      <c r="F413" s="328"/>
      <c r="G413" s="700"/>
      <c r="H413" s="706"/>
      <c r="I413" s="704"/>
      <c r="J413" s="704"/>
      <c r="K413" s="704"/>
      <c r="L413" s="704"/>
      <c r="M413" s="704"/>
      <c r="N413" s="704"/>
      <c r="O413" s="685"/>
    </row>
    <row r="414" spans="1:15" ht="15.6" x14ac:dyDescent="0.3">
      <c r="A414" s="700"/>
      <c r="B414" s="700"/>
      <c r="C414" s="700"/>
      <c r="D414" s="701"/>
      <c r="E414" s="700"/>
      <c r="F414" s="328"/>
      <c r="G414" s="700"/>
      <c r="H414" s="706"/>
      <c r="I414" s="704"/>
      <c r="J414" s="704"/>
      <c r="K414" s="704"/>
      <c r="L414" s="704"/>
      <c r="M414" s="704"/>
      <c r="N414" s="704"/>
      <c r="O414" s="685"/>
    </row>
    <row r="415" spans="1:15" ht="15.6" x14ac:dyDescent="0.3">
      <c r="A415" s="700"/>
      <c r="B415" s="700"/>
      <c r="C415" s="700"/>
      <c r="D415" s="701"/>
      <c r="E415" s="700"/>
      <c r="F415" s="328"/>
      <c r="G415" s="700"/>
      <c r="H415" s="706"/>
      <c r="I415" s="704"/>
      <c r="J415" s="704"/>
      <c r="K415" s="704"/>
      <c r="L415" s="704"/>
      <c r="M415" s="704"/>
      <c r="N415" s="704"/>
      <c r="O415" s="685"/>
    </row>
    <row r="416" spans="1:15" ht="15.6" x14ac:dyDescent="0.3">
      <c r="A416" s="700"/>
      <c r="B416" s="700"/>
      <c r="C416" s="700"/>
      <c r="D416" s="701"/>
      <c r="E416" s="700"/>
      <c r="F416" s="328"/>
      <c r="G416" s="700"/>
      <c r="H416" s="706"/>
      <c r="I416" s="704"/>
      <c r="J416" s="704"/>
      <c r="K416" s="704"/>
      <c r="L416" s="704"/>
      <c r="M416" s="704"/>
      <c r="N416" s="704"/>
      <c r="O416" s="685"/>
    </row>
    <row r="417" spans="1:15" ht="15.6" x14ac:dyDescent="0.3">
      <c r="A417" s="700"/>
      <c r="B417" s="700"/>
      <c r="C417" s="700"/>
      <c r="D417" s="701"/>
      <c r="E417" s="700"/>
      <c r="F417" s="328"/>
      <c r="G417" s="700"/>
      <c r="H417" s="706"/>
      <c r="I417" s="704"/>
      <c r="J417" s="704"/>
      <c r="K417" s="704"/>
      <c r="L417" s="704"/>
      <c r="M417" s="704"/>
      <c r="N417" s="704"/>
      <c r="O417" s="685"/>
    </row>
    <row r="418" spans="1:15" ht="15.6" x14ac:dyDescent="0.3">
      <c r="A418" s="700"/>
      <c r="B418" s="700"/>
      <c r="C418" s="700"/>
      <c r="D418" s="701"/>
      <c r="E418" s="700"/>
      <c r="F418" s="328"/>
      <c r="G418" s="700"/>
      <c r="H418" s="706"/>
      <c r="I418" s="704"/>
      <c r="J418" s="704"/>
      <c r="K418" s="704"/>
      <c r="L418" s="704"/>
      <c r="M418" s="704"/>
      <c r="N418" s="704"/>
      <c r="O418" s="685"/>
    </row>
    <row r="419" spans="1:15" ht="15.6" x14ac:dyDescent="0.3">
      <c r="A419" s="700"/>
      <c r="B419" s="700"/>
      <c r="C419" s="700"/>
      <c r="D419" s="701"/>
      <c r="E419" s="700"/>
      <c r="F419" s="328"/>
      <c r="G419" s="700"/>
      <c r="H419" s="706"/>
      <c r="I419" s="704"/>
      <c r="J419" s="704"/>
      <c r="K419" s="704"/>
      <c r="L419" s="704"/>
      <c r="M419" s="704"/>
      <c r="N419" s="704"/>
      <c r="O419" s="685"/>
    </row>
    <row r="420" spans="1:15" ht="15.6" x14ac:dyDescent="0.3">
      <c r="A420" s="700"/>
      <c r="B420" s="700"/>
      <c r="C420" s="700"/>
      <c r="D420" s="701"/>
      <c r="E420" s="700"/>
      <c r="F420" s="328"/>
      <c r="G420" s="700"/>
      <c r="H420" s="706"/>
      <c r="I420" s="704"/>
      <c r="J420" s="704"/>
      <c r="K420" s="704"/>
      <c r="L420" s="704"/>
      <c r="M420" s="704"/>
      <c r="N420" s="704"/>
      <c r="O420" s="685"/>
    </row>
    <row r="421" spans="1:15" ht="15.6" x14ac:dyDescent="0.3">
      <c r="A421" s="700"/>
      <c r="B421" s="700"/>
      <c r="C421" s="700"/>
      <c r="D421" s="701"/>
      <c r="E421" s="700"/>
      <c r="F421" s="328"/>
      <c r="G421" s="700"/>
      <c r="H421" s="706"/>
      <c r="I421" s="704"/>
      <c r="J421" s="704"/>
      <c r="K421" s="704"/>
      <c r="L421" s="704"/>
      <c r="M421" s="704"/>
      <c r="N421" s="704"/>
      <c r="O421" s="685"/>
    </row>
    <row r="422" spans="1:15" ht="15.6" x14ac:dyDescent="0.3">
      <c r="A422" s="700"/>
      <c r="B422" s="700"/>
      <c r="C422" s="700"/>
      <c r="D422" s="701"/>
      <c r="E422" s="700"/>
      <c r="F422" s="328"/>
      <c r="G422" s="700"/>
      <c r="H422" s="706"/>
      <c r="I422" s="704"/>
      <c r="J422" s="704"/>
      <c r="K422" s="704"/>
      <c r="L422" s="704"/>
      <c r="M422" s="704"/>
      <c r="N422" s="704"/>
      <c r="O422" s="685"/>
    </row>
    <row r="423" spans="1:15" ht="15.6" x14ac:dyDescent="0.3">
      <c r="A423" s="700"/>
      <c r="B423" s="700"/>
      <c r="C423" s="700"/>
      <c r="D423" s="701"/>
      <c r="E423" s="700"/>
      <c r="F423" s="328"/>
      <c r="G423" s="700"/>
      <c r="H423" s="706"/>
      <c r="I423" s="704"/>
      <c r="J423" s="704"/>
      <c r="K423" s="704"/>
      <c r="L423" s="704"/>
      <c r="M423" s="704"/>
      <c r="N423" s="704"/>
      <c r="O423" s="685"/>
    </row>
    <row r="424" spans="1:15" ht="15.6" x14ac:dyDescent="0.3">
      <c r="A424" s="700"/>
      <c r="B424" s="700"/>
      <c r="C424" s="700"/>
      <c r="D424" s="701"/>
      <c r="E424" s="700"/>
      <c r="F424" s="328"/>
      <c r="G424" s="700"/>
      <c r="H424" s="706"/>
      <c r="I424" s="704"/>
      <c r="J424" s="704"/>
      <c r="K424" s="704"/>
      <c r="L424" s="704"/>
      <c r="M424" s="704"/>
      <c r="N424" s="704"/>
      <c r="O424" s="685"/>
    </row>
    <row r="425" spans="1:15" ht="15.6" x14ac:dyDescent="0.3">
      <c r="A425" s="700"/>
      <c r="B425" s="700"/>
      <c r="C425" s="700"/>
      <c r="D425" s="701"/>
      <c r="E425" s="700"/>
      <c r="F425" s="328"/>
      <c r="G425" s="700"/>
      <c r="H425" s="706"/>
      <c r="I425" s="704"/>
      <c r="J425" s="704"/>
      <c r="K425" s="704"/>
      <c r="L425" s="704"/>
      <c r="M425" s="704"/>
      <c r="N425" s="704"/>
      <c r="O425" s="685"/>
    </row>
    <row r="426" spans="1:15" ht="15.6" x14ac:dyDescent="0.3">
      <c r="A426" s="700"/>
      <c r="B426" s="700"/>
      <c r="C426" s="700"/>
      <c r="D426" s="701"/>
      <c r="E426" s="700"/>
      <c r="F426" s="328"/>
      <c r="G426" s="700"/>
      <c r="H426" s="706"/>
      <c r="I426" s="704"/>
      <c r="J426" s="704"/>
      <c r="K426" s="704"/>
      <c r="L426" s="704"/>
      <c r="M426" s="704"/>
      <c r="N426" s="704"/>
      <c r="O426" s="685"/>
    </row>
    <row r="427" spans="1:15" ht="15.6" x14ac:dyDescent="0.3">
      <c r="A427" s="700"/>
      <c r="B427" s="700"/>
      <c r="C427" s="700"/>
      <c r="D427" s="701"/>
      <c r="E427" s="700"/>
      <c r="F427" s="328"/>
      <c r="G427" s="700"/>
      <c r="H427" s="706"/>
      <c r="I427" s="704"/>
      <c r="J427" s="704"/>
      <c r="K427" s="704"/>
      <c r="L427" s="704"/>
      <c r="M427" s="704"/>
      <c r="N427" s="704"/>
      <c r="O427" s="685"/>
    </row>
    <row r="428" spans="1:15" ht="15.6" x14ac:dyDescent="0.3">
      <c r="A428" s="700"/>
      <c r="B428" s="700"/>
      <c r="C428" s="700"/>
      <c r="D428" s="701"/>
      <c r="E428" s="700"/>
      <c r="F428" s="328"/>
      <c r="G428" s="700"/>
      <c r="H428" s="706"/>
      <c r="I428" s="704"/>
      <c r="J428" s="704"/>
      <c r="K428" s="704"/>
      <c r="L428" s="704"/>
      <c r="M428" s="704"/>
      <c r="N428" s="704"/>
      <c r="O428" s="685"/>
    </row>
    <row r="429" spans="1:15" ht="15.6" x14ac:dyDescent="0.3">
      <c r="A429" s="700"/>
      <c r="B429" s="700"/>
      <c r="C429" s="700"/>
      <c r="D429" s="701"/>
      <c r="E429" s="700"/>
      <c r="F429" s="328"/>
      <c r="G429" s="700"/>
      <c r="H429" s="706"/>
      <c r="I429" s="704"/>
      <c r="J429" s="704"/>
      <c r="K429" s="704"/>
      <c r="L429" s="704"/>
      <c r="M429" s="704"/>
      <c r="N429" s="704"/>
      <c r="O429" s="685"/>
    </row>
    <row r="430" spans="1:15" ht="15.6" x14ac:dyDescent="0.3">
      <c r="A430" s="700"/>
      <c r="B430" s="700"/>
      <c r="C430" s="700"/>
      <c r="D430" s="701"/>
      <c r="E430" s="700"/>
      <c r="F430" s="328"/>
      <c r="G430" s="700"/>
      <c r="H430" s="706"/>
      <c r="I430" s="704"/>
      <c r="J430" s="704"/>
      <c r="K430" s="704"/>
      <c r="L430" s="704"/>
      <c r="M430" s="704"/>
      <c r="N430" s="704"/>
      <c r="O430" s="685"/>
    </row>
    <row r="431" spans="1:15" ht="15.6" x14ac:dyDescent="0.3">
      <c r="A431" s="700"/>
      <c r="B431" s="700"/>
      <c r="C431" s="700"/>
      <c r="D431" s="701"/>
      <c r="E431" s="700"/>
      <c r="F431" s="328"/>
      <c r="G431" s="700"/>
      <c r="H431" s="706"/>
      <c r="I431" s="704"/>
      <c r="J431" s="704"/>
      <c r="K431" s="704"/>
      <c r="L431" s="704"/>
      <c r="M431" s="704"/>
      <c r="N431" s="704"/>
      <c r="O431" s="685"/>
    </row>
    <row r="432" spans="1:15" ht="15.6" x14ac:dyDescent="0.3">
      <c r="A432" s="700"/>
      <c r="B432" s="700"/>
      <c r="C432" s="700"/>
      <c r="D432" s="701"/>
      <c r="E432" s="700"/>
      <c r="F432" s="328"/>
      <c r="G432" s="700"/>
      <c r="H432" s="706"/>
      <c r="I432" s="704"/>
      <c r="J432" s="704"/>
      <c r="K432" s="704"/>
      <c r="L432" s="704"/>
      <c r="M432" s="704"/>
      <c r="N432" s="704"/>
      <c r="O432" s="685"/>
    </row>
    <row r="433" spans="1:15" ht="15.6" x14ac:dyDescent="0.3">
      <c r="A433" s="700"/>
      <c r="B433" s="700"/>
      <c r="C433" s="700"/>
      <c r="D433" s="701"/>
      <c r="E433" s="700"/>
      <c r="F433" s="328"/>
      <c r="G433" s="700"/>
      <c r="H433" s="706"/>
      <c r="I433" s="704"/>
      <c r="J433" s="704"/>
      <c r="K433" s="704"/>
      <c r="L433" s="704"/>
      <c r="M433" s="704"/>
      <c r="N433" s="704"/>
      <c r="O433" s="685"/>
    </row>
    <row r="434" spans="1:15" ht="15.6" x14ac:dyDescent="0.3">
      <c r="A434" s="700"/>
      <c r="B434" s="700"/>
      <c r="C434" s="700"/>
      <c r="D434" s="701"/>
      <c r="E434" s="700"/>
      <c r="F434" s="328"/>
      <c r="G434" s="700"/>
      <c r="H434" s="706"/>
      <c r="I434" s="704"/>
      <c r="J434" s="704"/>
      <c r="K434" s="704"/>
      <c r="L434" s="704"/>
      <c r="M434" s="704"/>
      <c r="N434" s="704"/>
      <c r="O434" s="685"/>
    </row>
    <row r="435" spans="1:15" ht="15.6" x14ac:dyDescent="0.3">
      <c r="A435" s="700"/>
      <c r="B435" s="700"/>
      <c r="C435" s="700"/>
      <c r="D435" s="701"/>
      <c r="E435" s="700"/>
      <c r="F435" s="328"/>
      <c r="G435" s="700"/>
      <c r="H435" s="706"/>
      <c r="I435" s="704"/>
      <c r="J435" s="704"/>
      <c r="K435" s="704"/>
      <c r="L435" s="704"/>
      <c r="M435" s="704"/>
      <c r="N435" s="704"/>
      <c r="O435" s="685"/>
    </row>
    <row r="436" spans="1:15" ht="15.6" x14ac:dyDescent="0.3">
      <c r="A436" s="700"/>
      <c r="B436" s="700"/>
      <c r="C436" s="700"/>
      <c r="D436" s="701"/>
      <c r="E436" s="700"/>
      <c r="F436" s="328"/>
      <c r="G436" s="700"/>
      <c r="H436" s="706"/>
      <c r="I436" s="704"/>
      <c r="J436" s="704"/>
      <c r="K436" s="704"/>
      <c r="L436" s="704"/>
      <c r="M436" s="704"/>
      <c r="N436" s="704"/>
      <c r="O436" s="685"/>
    </row>
    <row r="437" spans="1:15" ht="15.6" x14ac:dyDescent="0.3">
      <c r="A437" s="700"/>
      <c r="B437" s="700"/>
      <c r="C437" s="700"/>
      <c r="D437" s="701"/>
      <c r="E437" s="700"/>
      <c r="F437" s="328"/>
      <c r="G437" s="700"/>
      <c r="H437" s="706"/>
      <c r="I437" s="704"/>
      <c r="J437" s="704"/>
      <c r="K437" s="704"/>
      <c r="L437" s="704"/>
      <c r="M437" s="704"/>
      <c r="N437" s="704"/>
      <c r="O437" s="685"/>
    </row>
    <row r="438" spans="1:15" ht="15.6" x14ac:dyDescent="0.3">
      <c r="A438" s="700"/>
      <c r="B438" s="700"/>
      <c r="C438" s="700"/>
      <c r="D438" s="701"/>
      <c r="E438" s="700"/>
      <c r="F438" s="328"/>
      <c r="G438" s="700"/>
      <c r="H438" s="706"/>
      <c r="I438" s="704"/>
      <c r="J438" s="704"/>
      <c r="K438" s="704"/>
      <c r="L438" s="704"/>
      <c r="M438" s="704"/>
      <c r="N438" s="704"/>
      <c r="O438" s="685"/>
    </row>
    <row r="439" spans="1:15" ht="15.6" x14ac:dyDescent="0.3">
      <c r="A439" s="700"/>
      <c r="B439" s="700"/>
      <c r="C439" s="700"/>
      <c r="D439" s="701"/>
      <c r="E439" s="700"/>
      <c r="F439" s="328"/>
      <c r="G439" s="700"/>
      <c r="H439" s="706"/>
      <c r="I439" s="704"/>
      <c r="J439" s="704"/>
      <c r="K439" s="704"/>
      <c r="L439" s="704"/>
      <c r="M439" s="704"/>
      <c r="N439" s="704"/>
      <c r="O439" s="685"/>
    </row>
    <row r="440" spans="1:15" ht="15.6" x14ac:dyDescent="0.3">
      <c r="A440" s="700"/>
      <c r="B440" s="700"/>
      <c r="C440" s="700"/>
      <c r="D440" s="701"/>
      <c r="E440" s="700"/>
      <c r="F440" s="328"/>
      <c r="G440" s="700"/>
      <c r="H440" s="706"/>
      <c r="I440" s="704"/>
      <c r="J440" s="704"/>
      <c r="K440" s="704"/>
      <c r="L440" s="704"/>
      <c r="M440" s="704"/>
      <c r="N440" s="704"/>
      <c r="O440" s="685"/>
    </row>
    <row r="441" spans="1:15" ht="15.6" x14ac:dyDescent="0.3">
      <c r="A441" s="700"/>
      <c r="B441" s="700"/>
      <c r="C441" s="700"/>
      <c r="D441" s="701"/>
      <c r="E441" s="700"/>
      <c r="F441" s="328"/>
      <c r="G441" s="700"/>
      <c r="H441" s="706"/>
      <c r="I441" s="704"/>
      <c r="J441" s="704"/>
      <c r="K441" s="704"/>
      <c r="L441" s="704"/>
      <c r="M441" s="704"/>
      <c r="N441" s="704"/>
      <c r="O441" s="685"/>
    </row>
    <row r="442" spans="1:15" ht="15.6" x14ac:dyDescent="0.3">
      <c r="A442" s="700"/>
      <c r="B442" s="700"/>
      <c r="C442" s="700"/>
      <c r="D442" s="701"/>
      <c r="E442" s="700"/>
      <c r="F442" s="328"/>
      <c r="G442" s="700"/>
      <c r="H442" s="706"/>
      <c r="I442" s="704"/>
      <c r="J442" s="704"/>
      <c r="K442" s="704"/>
      <c r="L442" s="704"/>
      <c r="M442" s="704"/>
      <c r="N442" s="704"/>
      <c r="O442" s="685"/>
    </row>
    <row r="443" spans="1:15" ht="15.6" x14ac:dyDescent="0.3">
      <c r="A443" s="700"/>
      <c r="B443" s="700"/>
      <c r="C443" s="700"/>
      <c r="D443" s="701"/>
      <c r="E443" s="700"/>
      <c r="F443" s="328"/>
      <c r="G443" s="700"/>
      <c r="H443" s="706"/>
      <c r="I443" s="704"/>
      <c r="J443" s="704"/>
      <c r="K443" s="704"/>
      <c r="L443" s="704"/>
      <c r="M443" s="704"/>
      <c r="N443" s="704"/>
      <c r="O443" s="685"/>
    </row>
    <row r="444" spans="1:15" ht="15.6" x14ac:dyDescent="0.3">
      <c r="A444" s="700"/>
      <c r="B444" s="700"/>
      <c r="C444" s="700"/>
      <c r="D444" s="701"/>
      <c r="E444" s="700"/>
      <c r="F444" s="328"/>
      <c r="G444" s="700"/>
      <c r="H444" s="706"/>
      <c r="I444" s="704"/>
      <c r="J444" s="704"/>
      <c r="K444" s="704"/>
      <c r="L444" s="704"/>
      <c r="M444" s="704"/>
      <c r="N444" s="704"/>
      <c r="O444" s="685"/>
    </row>
    <row r="445" spans="1:15" ht="15.6" x14ac:dyDescent="0.3">
      <c r="A445" s="700"/>
      <c r="B445" s="700"/>
      <c r="C445" s="700"/>
      <c r="D445" s="701"/>
      <c r="E445" s="700"/>
      <c r="F445" s="328"/>
      <c r="G445" s="700"/>
      <c r="H445" s="706"/>
      <c r="I445" s="704"/>
      <c r="J445" s="704"/>
      <c r="K445" s="704"/>
      <c r="L445" s="704"/>
      <c r="M445" s="704"/>
      <c r="N445" s="704"/>
      <c r="O445" s="685"/>
    </row>
    <row r="446" spans="1:15" ht="15.6" x14ac:dyDescent="0.3">
      <c r="A446" s="700"/>
      <c r="B446" s="700"/>
      <c r="C446" s="700"/>
      <c r="D446" s="701"/>
      <c r="E446" s="700"/>
      <c r="F446" s="328"/>
      <c r="G446" s="700"/>
      <c r="H446" s="706"/>
      <c r="I446" s="704"/>
      <c r="J446" s="704"/>
      <c r="K446" s="704"/>
      <c r="L446" s="704"/>
      <c r="M446" s="704"/>
      <c r="N446" s="704"/>
      <c r="O446" s="685"/>
    </row>
    <row r="447" spans="1:15" ht="15.6" x14ac:dyDescent="0.3">
      <c r="A447" s="700"/>
      <c r="B447" s="700"/>
      <c r="C447" s="700"/>
      <c r="D447" s="701"/>
      <c r="E447" s="700"/>
      <c r="F447" s="328"/>
      <c r="G447" s="700"/>
      <c r="H447" s="706"/>
      <c r="I447" s="704"/>
      <c r="J447" s="704"/>
      <c r="K447" s="704"/>
      <c r="L447" s="704"/>
      <c r="M447" s="704"/>
      <c r="N447" s="704"/>
      <c r="O447" s="685"/>
    </row>
    <row r="448" spans="1:15" ht="15.6" x14ac:dyDescent="0.3">
      <c r="A448" s="700"/>
      <c r="B448" s="700"/>
      <c r="C448" s="700"/>
      <c r="D448" s="701"/>
      <c r="E448" s="700"/>
      <c r="F448" s="328"/>
      <c r="G448" s="700"/>
      <c r="H448" s="706"/>
      <c r="I448" s="704"/>
      <c r="J448" s="704"/>
      <c r="K448" s="704"/>
      <c r="L448" s="704"/>
      <c r="M448" s="704"/>
      <c r="N448" s="704"/>
      <c r="O448" s="685"/>
    </row>
    <row r="449" spans="1:15" ht="15.6" x14ac:dyDescent="0.3">
      <c r="A449" s="700"/>
      <c r="B449" s="700"/>
      <c r="C449" s="700"/>
      <c r="D449" s="701"/>
      <c r="E449" s="700"/>
      <c r="F449" s="328"/>
      <c r="G449" s="700"/>
      <c r="H449" s="706"/>
      <c r="I449" s="704"/>
      <c r="J449" s="704"/>
      <c r="K449" s="704"/>
      <c r="L449" s="704"/>
      <c r="M449" s="704"/>
      <c r="N449" s="704"/>
      <c r="O449" s="685"/>
    </row>
    <row r="450" spans="1:15" ht="15.6" x14ac:dyDescent="0.3">
      <c r="A450" s="700"/>
      <c r="B450" s="700"/>
      <c r="C450" s="700"/>
      <c r="D450" s="701"/>
      <c r="E450" s="700"/>
      <c r="F450" s="328"/>
      <c r="G450" s="700"/>
      <c r="H450" s="706"/>
      <c r="I450" s="704"/>
      <c r="J450" s="704"/>
      <c r="K450" s="704"/>
      <c r="L450" s="704"/>
      <c r="M450" s="704"/>
      <c r="N450" s="704"/>
      <c r="O450" s="685"/>
    </row>
    <row r="451" spans="1:15" ht="15.6" x14ac:dyDescent="0.3">
      <c r="A451" s="700"/>
      <c r="B451" s="700"/>
      <c r="C451" s="700"/>
      <c r="D451" s="701"/>
      <c r="E451" s="700"/>
      <c r="F451" s="328"/>
      <c r="G451" s="700"/>
      <c r="H451" s="706"/>
      <c r="I451" s="704"/>
      <c r="J451" s="704"/>
      <c r="K451" s="704"/>
      <c r="L451" s="704"/>
      <c r="M451" s="704"/>
      <c r="N451" s="704"/>
      <c r="O451" s="685"/>
    </row>
    <row r="452" spans="1:15" ht="15.6" x14ac:dyDescent="0.3">
      <c r="A452" s="700"/>
      <c r="B452" s="700"/>
      <c r="C452" s="700"/>
      <c r="D452" s="701"/>
      <c r="E452" s="700"/>
      <c r="F452" s="328"/>
      <c r="G452" s="700"/>
      <c r="H452" s="706"/>
      <c r="I452" s="704"/>
      <c r="J452" s="704"/>
      <c r="K452" s="704"/>
      <c r="L452" s="704"/>
      <c r="M452" s="704"/>
      <c r="N452" s="704"/>
      <c r="O452" s="685"/>
    </row>
    <row r="453" spans="1:15" ht="15.6" x14ac:dyDescent="0.3">
      <c r="A453" s="700"/>
      <c r="B453" s="700"/>
      <c r="C453" s="700"/>
      <c r="D453" s="701"/>
      <c r="E453" s="700"/>
      <c r="F453" s="328"/>
      <c r="G453" s="700"/>
      <c r="H453" s="706"/>
      <c r="I453" s="704"/>
      <c r="J453" s="704"/>
      <c r="K453" s="704"/>
      <c r="L453" s="704"/>
      <c r="M453" s="704"/>
      <c r="N453" s="704"/>
      <c r="O453" s="685"/>
    </row>
    <row r="454" spans="1:15" ht="15.6" x14ac:dyDescent="0.3">
      <c r="A454" s="700"/>
      <c r="B454" s="700"/>
      <c r="C454" s="700"/>
      <c r="D454" s="701"/>
      <c r="E454" s="700"/>
      <c r="F454" s="328"/>
      <c r="G454" s="700"/>
      <c r="H454" s="706"/>
      <c r="I454" s="704"/>
      <c r="J454" s="704"/>
      <c r="K454" s="704"/>
      <c r="L454" s="704"/>
      <c r="M454" s="704"/>
      <c r="N454" s="704"/>
      <c r="O454" s="685"/>
    </row>
    <row r="455" spans="1:15" ht="15.6" x14ac:dyDescent="0.3">
      <c r="A455" s="700"/>
      <c r="B455" s="700"/>
      <c r="C455" s="700"/>
      <c r="D455" s="701"/>
      <c r="E455" s="700"/>
      <c r="F455" s="328"/>
      <c r="G455" s="700"/>
      <c r="H455" s="706"/>
      <c r="I455" s="704"/>
      <c r="J455" s="704"/>
      <c r="K455" s="704"/>
      <c r="L455" s="704"/>
      <c r="M455" s="704"/>
      <c r="N455" s="704"/>
      <c r="O455" s="685"/>
    </row>
    <row r="456" spans="1:15" ht="15.6" x14ac:dyDescent="0.3">
      <c r="A456" s="700"/>
      <c r="B456" s="700"/>
      <c r="C456" s="700"/>
      <c r="D456" s="701"/>
      <c r="E456" s="700"/>
      <c r="F456" s="328"/>
      <c r="G456" s="700"/>
      <c r="H456" s="706"/>
      <c r="I456" s="704"/>
      <c r="J456" s="704"/>
      <c r="K456" s="704"/>
      <c r="L456" s="704"/>
      <c r="M456" s="704"/>
      <c r="N456" s="704"/>
      <c r="O456" s="685"/>
    </row>
    <row r="457" spans="1:15" ht="15.6" x14ac:dyDescent="0.3">
      <c r="A457" s="700"/>
      <c r="B457" s="700"/>
      <c r="C457" s="700"/>
      <c r="D457" s="701"/>
      <c r="E457" s="700"/>
      <c r="F457" s="328"/>
      <c r="G457" s="700"/>
      <c r="H457" s="706"/>
      <c r="I457" s="704"/>
      <c r="J457" s="704"/>
      <c r="K457" s="704"/>
      <c r="L457" s="704"/>
      <c r="M457" s="704"/>
      <c r="N457" s="704"/>
      <c r="O457" s="685"/>
    </row>
    <row r="458" spans="1:15" ht="15.6" x14ac:dyDescent="0.3">
      <c r="A458" s="700"/>
      <c r="B458" s="700"/>
      <c r="C458" s="700"/>
      <c r="D458" s="701"/>
      <c r="E458" s="700"/>
      <c r="F458" s="328"/>
      <c r="G458" s="700"/>
      <c r="H458" s="706"/>
      <c r="I458" s="704"/>
      <c r="J458" s="704"/>
      <c r="K458" s="704"/>
      <c r="L458" s="704"/>
      <c r="M458" s="704"/>
      <c r="N458" s="704"/>
      <c r="O458" s="685"/>
    </row>
    <row r="459" spans="1:15" ht="15.6" x14ac:dyDescent="0.3">
      <c r="A459" s="752"/>
      <c r="B459" s="752"/>
      <c r="C459" s="752"/>
      <c r="D459" s="753"/>
      <c r="E459" s="752"/>
      <c r="F459" s="338"/>
      <c r="G459" s="752"/>
      <c r="H459" s="754"/>
      <c r="I459" s="755"/>
      <c r="J459" s="755"/>
      <c r="K459" s="755"/>
      <c r="L459" s="755"/>
      <c r="M459" s="755"/>
      <c r="N459" s="755"/>
      <c r="O459" s="787"/>
    </row>
    <row r="460" spans="1:15" ht="15.6" x14ac:dyDescent="0.3">
      <c r="A460" s="752"/>
      <c r="B460" s="752"/>
      <c r="C460" s="752"/>
      <c r="D460" s="753"/>
      <c r="E460" s="752"/>
      <c r="F460" s="338"/>
      <c r="G460" s="752"/>
      <c r="H460" s="754"/>
      <c r="I460" s="755"/>
      <c r="J460" s="755"/>
      <c r="K460" s="755"/>
      <c r="L460" s="755"/>
      <c r="M460" s="755"/>
      <c r="N460" s="755"/>
      <c r="O460" s="787"/>
    </row>
    <row r="461" spans="1:15" ht="15.6" x14ac:dyDescent="0.3">
      <c r="A461" s="752"/>
      <c r="B461" s="752"/>
      <c r="C461" s="752"/>
      <c r="D461" s="753"/>
      <c r="E461" s="752"/>
      <c r="F461" s="338"/>
      <c r="G461" s="752"/>
      <c r="H461" s="754"/>
      <c r="I461" s="755"/>
      <c r="J461" s="755"/>
      <c r="K461" s="755"/>
      <c r="L461" s="755"/>
      <c r="M461" s="755"/>
      <c r="N461" s="755"/>
      <c r="O461" s="787"/>
    </row>
    <row r="462" spans="1:15" ht="15.6" x14ac:dyDescent="0.3">
      <c r="A462" s="752"/>
      <c r="B462" s="752"/>
      <c r="C462" s="752"/>
      <c r="D462" s="753"/>
      <c r="E462" s="752"/>
      <c r="F462" s="338"/>
      <c r="G462" s="752"/>
      <c r="H462" s="754"/>
      <c r="I462" s="755"/>
      <c r="J462" s="755"/>
      <c r="K462" s="755"/>
      <c r="L462" s="755"/>
      <c r="M462" s="755"/>
      <c r="N462" s="755"/>
      <c r="O462" s="787"/>
    </row>
    <row r="463" spans="1:15" ht="15.6" x14ac:dyDescent="0.3">
      <c r="A463" s="752"/>
      <c r="B463" s="752"/>
      <c r="C463" s="752"/>
      <c r="D463" s="753"/>
      <c r="E463" s="752"/>
      <c r="F463" s="338"/>
      <c r="G463" s="752"/>
      <c r="H463" s="754"/>
      <c r="I463" s="755"/>
      <c r="J463" s="755"/>
      <c r="K463" s="755"/>
      <c r="L463" s="755"/>
      <c r="M463" s="755"/>
      <c r="N463" s="755"/>
      <c r="O463" s="787"/>
    </row>
    <row r="464" spans="1:15" ht="15.6" x14ac:dyDescent="0.3">
      <c r="A464" s="752"/>
      <c r="B464" s="752"/>
      <c r="C464" s="752"/>
      <c r="D464" s="753"/>
      <c r="E464" s="752"/>
      <c r="F464" s="338"/>
      <c r="G464" s="752"/>
      <c r="H464" s="754"/>
      <c r="I464" s="755"/>
      <c r="J464" s="755"/>
      <c r="K464" s="755"/>
      <c r="L464" s="755"/>
      <c r="M464" s="755"/>
      <c r="N464" s="755"/>
      <c r="O464" s="787"/>
    </row>
    <row r="465" spans="1:15" ht="15.6" x14ac:dyDescent="0.3">
      <c r="A465" s="752"/>
      <c r="B465" s="752"/>
      <c r="C465" s="752"/>
      <c r="D465" s="753"/>
      <c r="E465" s="752"/>
      <c r="F465" s="338"/>
      <c r="G465" s="752"/>
      <c r="H465" s="754"/>
      <c r="I465" s="755"/>
      <c r="J465" s="755"/>
      <c r="K465" s="755"/>
      <c r="L465" s="755"/>
      <c r="M465" s="755"/>
      <c r="N465" s="755"/>
      <c r="O465" s="787"/>
    </row>
    <row r="466" spans="1:15" ht="15.6" x14ac:dyDescent="0.3">
      <c r="A466" s="752"/>
      <c r="B466" s="752"/>
      <c r="C466" s="752"/>
      <c r="D466" s="753"/>
      <c r="E466" s="752"/>
      <c r="F466" s="338"/>
      <c r="G466" s="752"/>
      <c r="H466" s="754"/>
      <c r="I466" s="755"/>
      <c r="J466" s="755"/>
      <c r="K466" s="755"/>
      <c r="L466" s="755"/>
      <c r="M466" s="755"/>
      <c r="N466" s="755"/>
      <c r="O466" s="787"/>
    </row>
    <row r="467" spans="1:15" ht="15.6" x14ac:dyDescent="0.3">
      <c r="A467" s="752"/>
      <c r="B467" s="752"/>
      <c r="C467" s="752"/>
      <c r="D467" s="753"/>
      <c r="E467" s="752"/>
      <c r="F467" s="338"/>
      <c r="G467" s="752"/>
      <c r="H467" s="754"/>
      <c r="I467" s="755"/>
      <c r="J467" s="755"/>
      <c r="K467" s="755"/>
      <c r="L467" s="755"/>
      <c r="M467" s="755"/>
      <c r="N467" s="755"/>
      <c r="O467" s="787"/>
    </row>
    <row r="468" spans="1:15" ht="15.6" x14ac:dyDescent="0.3">
      <c r="A468" s="752"/>
      <c r="B468" s="752"/>
      <c r="C468" s="752"/>
      <c r="D468" s="753"/>
      <c r="E468" s="752"/>
      <c r="F468" s="338"/>
      <c r="G468" s="752"/>
      <c r="H468" s="754"/>
      <c r="I468" s="755"/>
      <c r="J468" s="755"/>
      <c r="K468" s="755"/>
      <c r="L468" s="755"/>
      <c r="M468" s="755"/>
      <c r="N468" s="755"/>
      <c r="O468" s="787"/>
    </row>
    <row r="469" spans="1:15" ht="15.6" x14ac:dyDescent="0.3">
      <c r="A469" s="752"/>
      <c r="B469" s="752"/>
      <c r="C469" s="752"/>
      <c r="D469" s="753"/>
      <c r="E469" s="752"/>
      <c r="F469" s="338"/>
      <c r="G469" s="752"/>
      <c r="H469" s="754"/>
      <c r="I469" s="755"/>
      <c r="J469" s="755"/>
      <c r="K469" s="755"/>
      <c r="L469" s="755"/>
      <c r="M469" s="755"/>
      <c r="N469" s="755"/>
      <c r="O469" s="787"/>
    </row>
    <row r="470" spans="1:15" ht="15.6" x14ac:dyDescent="0.3">
      <c r="A470" s="752"/>
      <c r="B470" s="752"/>
      <c r="C470" s="752"/>
      <c r="D470" s="753"/>
      <c r="E470" s="752"/>
      <c r="F470" s="338"/>
      <c r="G470" s="752"/>
      <c r="H470" s="754"/>
      <c r="I470" s="755"/>
      <c r="J470" s="755"/>
      <c r="K470" s="755"/>
      <c r="L470" s="755"/>
      <c r="M470" s="755"/>
      <c r="N470" s="755"/>
      <c r="O470" s="787"/>
    </row>
    <row r="471" spans="1:15" ht="15.6" x14ac:dyDescent="0.3">
      <c r="A471" s="752"/>
      <c r="B471" s="752"/>
      <c r="C471" s="752"/>
      <c r="D471" s="753"/>
      <c r="E471" s="752"/>
      <c r="F471" s="338"/>
      <c r="G471" s="752"/>
      <c r="H471" s="754"/>
      <c r="I471" s="755"/>
      <c r="J471" s="755"/>
      <c r="K471" s="755"/>
      <c r="L471" s="755"/>
      <c r="M471" s="755"/>
      <c r="N471" s="755"/>
      <c r="O471" s="787"/>
    </row>
    <row r="472" spans="1:15" ht="15.6" x14ac:dyDescent="0.3">
      <c r="A472" s="752"/>
      <c r="B472" s="752"/>
      <c r="C472" s="752"/>
      <c r="D472" s="753"/>
      <c r="E472" s="752"/>
      <c r="F472" s="338"/>
      <c r="G472" s="752"/>
      <c r="H472" s="754"/>
      <c r="I472" s="755"/>
      <c r="J472" s="755"/>
      <c r="K472" s="755"/>
      <c r="L472" s="755"/>
      <c r="M472" s="755"/>
      <c r="N472" s="755"/>
      <c r="O472" s="787"/>
    </row>
    <row r="473" spans="1:15" ht="15.6" x14ac:dyDescent="0.3">
      <c r="A473" s="752"/>
      <c r="B473" s="752"/>
      <c r="C473" s="752"/>
      <c r="D473" s="753"/>
      <c r="E473" s="752"/>
      <c r="F473" s="338"/>
      <c r="G473" s="752"/>
      <c r="H473" s="754"/>
      <c r="I473" s="755"/>
      <c r="J473" s="755"/>
      <c r="K473" s="755"/>
      <c r="L473" s="755"/>
      <c r="M473" s="755"/>
      <c r="N473" s="755"/>
      <c r="O473" s="787"/>
    </row>
    <row r="474" spans="1:15" ht="15.6" x14ac:dyDescent="0.3">
      <c r="A474" s="752"/>
      <c r="B474" s="752"/>
      <c r="C474" s="752"/>
      <c r="D474" s="753"/>
      <c r="E474" s="752"/>
      <c r="F474" s="338"/>
      <c r="G474" s="752"/>
      <c r="H474" s="754"/>
      <c r="I474" s="755"/>
      <c r="J474" s="755"/>
      <c r="K474" s="755"/>
      <c r="L474" s="755"/>
      <c r="M474" s="755"/>
      <c r="N474" s="755"/>
      <c r="O474" s="787"/>
    </row>
    <row r="475" spans="1:15" ht="15.6" x14ac:dyDescent="0.3">
      <c r="A475" s="752"/>
      <c r="B475" s="752"/>
      <c r="C475" s="752"/>
      <c r="D475" s="753"/>
      <c r="E475" s="752"/>
      <c r="F475" s="338"/>
      <c r="G475" s="752"/>
      <c r="H475" s="754"/>
      <c r="I475" s="755"/>
      <c r="J475" s="755"/>
      <c r="K475" s="755"/>
      <c r="L475" s="755"/>
      <c r="M475" s="755"/>
      <c r="N475" s="755"/>
      <c r="O475" s="787"/>
    </row>
    <row r="476" spans="1:15" ht="15.6" x14ac:dyDescent="0.3">
      <c r="A476" s="752"/>
      <c r="B476" s="752"/>
      <c r="C476" s="752"/>
      <c r="D476" s="753"/>
      <c r="E476" s="752"/>
      <c r="F476" s="338"/>
      <c r="G476" s="752"/>
      <c r="H476" s="754"/>
      <c r="I476" s="755"/>
      <c r="J476" s="755"/>
      <c r="K476" s="755"/>
      <c r="L476" s="755"/>
      <c r="M476" s="755"/>
      <c r="N476" s="755"/>
      <c r="O476" s="787"/>
    </row>
    <row r="477" spans="1:15" ht="15.6" x14ac:dyDescent="0.3">
      <c r="A477" s="752"/>
      <c r="B477" s="752"/>
      <c r="C477" s="752"/>
      <c r="D477" s="753"/>
      <c r="E477" s="752"/>
      <c r="F477" s="338"/>
      <c r="G477" s="752"/>
      <c r="H477" s="754"/>
      <c r="I477" s="755"/>
      <c r="J477" s="755"/>
      <c r="K477" s="755"/>
      <c r="L477" s="755"/>
      <c r="M477" s="755"/>
      <c r="N477" s="755"/>
      <c r="O477" s="787"/>
    </row>
    <row r="478" spans="1:15" ht="15.6" x14ac:dyDescent="0.3">
      <c r="A478" s="752"/>
      <c r="B478" s="752"/>
      <c r="C478" s="752"/>
      <c r="D478" s="753"/>
      <c r="E478" s="752"/>
      <c r="F478" s="338"/>
      <c r="G478" s="752"/>
      <c r="H478" s="754"/>
      <c r="I478" s="755"/>
      <c r="J478" s="755"/>
      <c r="K478" s="755"/>
      <c r="L478" s="755"/>
      <c r="M478" s="755"/>
      <c r="N478" s="755"/>
      <c r="O478" s="787"/>
    </row>
    <row r="479" spans="1:15" ht="15.6" x14ac:dyDescent="0.3">
      <c r="A479" s="752"/>
      <c r="B479" s="752"/>
      <c r="C479" s="752"/>
      <c r="D479" s="753"/>
      <c r="E479" s="752"/>
      <c r="F479" s="338"/>
      <c r="G479" s="752"/>
      <c r="H479" s="754"/>
      <c r="I479" s="755"/>
      <c r="J479" s="755"/>
      <c r="K479" s="755"/>
      <c r="L479" s="755"/>
      <c r="M479" s="755"/>
      <c r="N479" s="755"/>
      <c r="O479" s="787"/>
    </row>
    <row r="480" spans="1:15" ht="15.6" x14ac:dyDescent="0.3">
      <c r="A480" s="752"/>
      <c r="B480" s="752"/>
      <c r="C480" s="752"/>
      <c r="D480" s="753"/>
      <c r="E480" s="752"/>
      <c r="F480" s="338"/>
      <c r="G480" s="752"/>
      <c r="H480" s="754"/>
      <c r="I480" s="755"/>
      <c r="J480" s="755"/>
      <c r="K480" s="755"/>
      <c r="L480" s="755"/>
      <c r="M480" s="755"/>
      <c r="N480" s="755"/>
      <c r="O480" s="787"/>
    </row>
    <row r="481" spans="1:15" ht="15.6" x14ac:dyDescent="0.3">
      <c r="A481" s="752"/>
      <c r="B481" s="752"/>
      <c r="C481" s="752"/>
      <c r="D481" s="753"/>
      <c r="E481" s="752"/>
      <c r="F481" s="338"/>
      <c r="G481" s="752"/>
      <c r="H481" s="754"/>
      <c r="I481" s="755"/>
      <c r="J481" s="755"/>
      <c r="K481" s="755"/>
      <c r="L481" s="755"/>
      <c r="M481" s="755"/>
      <c r="N481" s="755"/>
      <c r="O481" s="787"/>
    </row>
    <row r="482" spans="1:15" ht="15.6" x14ac:dyDescent="0.3">
      <c r="A482" s="752"/>
      <c r="B482" s="752"/>
      <c r="C482" s="752"/>
      <c r="D482" s="753"/>
      <c r="E482" s="752"/>
      <c r="F482" s="338"/>
      <c r="G482" s="752"/>
      <c r="H482" s="754"/>
      <c r="I482" s="755"/>
      <c r="J482" s="755"/>
      <c r="K482" s="755"/>
      <c r="L482" s="755"/>
      <c r="M482" s="755"/>
      <c r="N482" s="755"/>
      <c r="O482" s="787"/>
    </row>
    <row r="483" spans="1:15" ht="15.6" x14ac:dyDescent="0.3">
      <c r="A483" s="752"/>
      <c r="B483" s="752"/>
      <c r="C483" s="752"/>
      <c r="D483" s="753"/>
      <c r="E483" s="752"/>
      <c r="F483" s="338"/>
      <c r="G483" s="752"/>
      <c r="H483" s="754"/>
      <c r="I483" s="755"/>
      <c r="J483" s="755"/>
      <c r="K483" s="755"/>
      <c r="L483" s="755"/>
      <c r="M483" s="755"/>
      <c r="N483" s="755"/>
      <c r="O483" s="787"/>
    </row>
    <row r="484" spans="1:15" ht="15.6" x14ac:dyDescent="0.3">
      <c r="A484" s="752"/>
      <c r="B484" s="752"/>
      <c r="C484" s="752"/>
      <c r="D484" s="753"/>
      <c r="E484" s="752"/>
      <c r="F484" s="338"/>
      <c r="G484" s="752"/>
      <c r="H484" s="754"/>
      <c r="I484" s="755"/>
      <c r="J484" s="755"/>
      <c r="K484" s="755"/>
      <c r="L484" s="755"/>
      <c r="M484" s="755"/>
      <c r="N484" s="755"/>
      <c r="O484" s="787"/>
    </row>
    <row r="485" spans="1:15" ht="15.6" x14ac:dyDescent="0.3">
      <c r="A485" s="752"/>
      <c r="B485" s="752"/>
      <c r="C485" s="752"/>
      <c r="D485" s="753"/>
      <c r="E485" s="752"/>
      <c r="F485" s="338"/>
      <c r="G485" s="752"/>
      <c r="H485" s="754"/>
      <c r="I485" s="755"/>
      <c r="J485" s="755"/>
      <c r="K485" s="755"/>
      <c r="L485" s="755"/>
      <c r="M485" s="755"/>
      <c r="N485" s="755"/>
      <c r="O485" s="787"/>
    </row>
    <row r="486" spans="1:15" ht="15.6" x14ac:dyDescent="0.3">
      <c r="A486" s="752"/>
      <c r="B486" s="752"/>
      <c r="C486" s="752"/>
      <c r="D486" s="753"/>
      <c r="E486" s="752"/>
      <c r="F486" s="338"/>
      <c r="G486" s="752"/>
      <c r="H486" s="754"/>
      <c r="I486" s="755"/>
      <c r="J486" s="755"/>
      <c r="K486" s="755"/>
      <c r="L486" s="755"/>
      <c r="M486" s="755"/>
      <c r="N486" s="755"/>
      <c r="O486" s="787"/>
    </row>
    <row r="487" spans="1:15" ht="15.6" x14ac:dyDescent="0.3">
      <c r="A487" s="752"/>
      <c r="B487" s="752"/>
      <c r="C487" s="752"/>
      <c r="D487" s="753"/>
      <c r="E487" s="752"/>
      <c r="F487" s="338"/>
      <c r="G487" s="752"/>
      <c r="H487" s="754"/>
      <c r="I487" s="755"/>
      <c r="J487" s="755"/>
      <c r="K487" s="755"/>
      <c r="L487" s="755"/>
      <c r="M487" s="755"/>
      <c r="N487" s="755"/>
      <c r="O487" s="787"/>
    </row>
    <row r="488" spans="1:15" ht="15.6" x14ac:dyDescent="0.3">
      <c r="A488" s="752"/>
      <c r="B488" s="752"/>
      <c r="C488" s="752"/>
      <c r="D488" s="753"/>
      <c r="E488" s="752"/>
      <c r="F488" s="338"/>
      <c r="G488" s="752"/>
      <c r="H488" s="754"/>
      <c r="I488" s="755"/>
      <c r="J488" s="755"/>
      <c r="K488" s="755"/>
      <c r="L488" s="755"/>
      <c r="M488" s="755"/>
      <c r="N488" s="755"/>
      <c r="O488" s="787"/>
    </row>
    <row r="489" spans="1:15" ht="15.6" x14ac:dyDescent="0.3">
      <c r="A489" s="752"/>
      <c r="B489" s="752"/>
      <c r="C489" s="752"/>
      <c r="D489" s="753"/>
      <c r="E489" s="752"/>
      <c r="F489" s="338"/>
      <c r="G489" s="752"/>
      <c r="H489" s="754"/>
      <c r="I489" s="755"/>
      <c r="J489" s="755"/>
      <c r="K489" s="755"/>
      <c r="L489" s="755"/>
      <c r="M489" s="755"/>
      <c r="N489" s="755"/>
      <c r="O489" s="787"/>
    </row>
    <row r="490" spans="1:15" ht="15.6" x14ac:dyDescent="0.3">
      <c r="A490" s="752"/>
      <c r="B490" s="752"/>
      <c r="C490" s="752"/>
      <c r="D490" s="753"/>
      <c r="E490" s="752"/>
      <c r="F490" s="338"/>
      <c r="G490" s="752"/>
      <c r="H490" s="754"/>
      <c r="I490" s="755"/>
      <c r="J490" s="755"/>
      <c r="K490" s="755"/>
      <c r="L490" s="755"/>
      <c r="M490" s="755"/>
      <c r="N490" s="755"/>
      <c r="O490" s="787"/>
    </row>
    <row r="491" spans="1:15" ht="15.6" x14ac:dyDescent="0.3">
      <c r="A491" s="752"/>
      <c r="B491" s="752"/>
      <c r="C491" s="752"/>
      <c r="D491" s="753"/>
      <c r="E491" s="752"/>
      <c r="F491" s="338"/>
      <c r="G491" s="752"/>
      <c r="H491" s="754"/>
      <c r="I491" s="755"/>
      <c r="J491" s="755"/>
      <c r="K491" s="755"/>
      <c r="L491" s="755"/>
      <c r="M491" s="755"/>
      <c r="N491" s="755"/>
      <c r="O491" s="787"/>
    </row>
    <row r="492" spans="1:15" ht="15.6" x14ac:dyDescent="0.3">
      <c r="A492" s="752"/>
      <c r="B492" s="752"/>
      <c r="C492" s="752"/>
      <c r="D492" s="753"/>
      <c r="E492" s="752"/>
      <c r="F492" s="338"/>
      <c r="G492" s="752"/>
      <c r="H492" s="754"/>
      <c r="I492" s="755"/>
      <c r="J492" s="755"/>
      <c r="K492" s="755"/>
      <c r="L492" s="755"/>
      <c r="M492" s="755"/>
      <c r="N492" s="755"/>
      <c r="O492" s="787"/>
    </row>
    <row r="493" spans="1:15" ht="15.6" x14ac:dyDescent="0.3">
      <c r="A493" s="752"/>
      <c r="B493" s="752"/>
      <c r="C493" s="752"/>
      <c r="D493" s="753"/>
      <c r="E493" s="752"/>
      <c r="F493" s="338"/>
      <c r="G493" s="752"/>
      <c r="H493" s="754"/>
      <c r="I493" s="755"/>
      <c r="J493" s="755"/>
      <c r="K493" s="755"/>
      <c r="L493" s="755"/>
      <c r="M493" s="755"/>
      <c r="N493" s="755"/>
      <c r="O493" s="787"/>
    </row>
    <row r="494" spans="1:15" ht="15.6" x14ac:dyDescent="0.3">
      <c r="A494" s="752"/>
      <c r="B494" s="752"/>
      <c r="C494" s="752"/>
      <c r="D494" s="753"/>
      <c r="E494" s="752"/>
      <c r="F494" s="338"/>
      <c r="G494" s="752"/>
      <c r="H494" s="754"/>
      <c r="I494" s="755"/>
      <c r="J494" s="755"/>
      <c r="K494" s="755"/>
      <c r="L494" s="755"/>
      <c r="M494" s="755"/>
      <c r="N494" s="755"/>
      <c r="O494" s="787"/>
    </row>
    <row r="495" spans="1:15" ht="15.6" x14ac:dyDescent="0.3">
      <c r="A495" s="752"/>
      <c r="B495" s="752"/>
      <c r="C495" s="752"/>
      <c r="D495" s="753"/>
      <c r="E495" s="752"/>
      <c r="F495" s="338"/>
      <c r="G495" s="752"/>
      <c r="H495" s="754"/>
      <c r="I495" s="755"/>
      <c r="J495" s="755"/>
      <c r="K495" s="755"/>
      <c r="L495" s="755"/>
      <c r="M495" s="755"/>
      <c r="N495" s="755"/>
      <c r="O495" s="787"/>
    </row>
    <row r="496" spans="1:15" ht="15.6" x14ac:dyDescent="0.3">
      <c r="A496" s="752"/>
      <c r="B496" s="752"/>
      <c r="C496" s="752"/>
      <c r="D496" s="753"/>
      <c r="E496" s="752"/>
      <c r="F496" s="338"/>
      <c r="G496" s="752"/>
      <c r="H496" s="754"/>
      <c r="I496" s="755"/>
      <c r="J496" s="755"/>
      <c r="K496" s="755"/>
      <c r="L496" s="755"/>
      <c r="M496" s="755"/>
      <c r="N496" s="755"/>
      <c r="O496" s="787"/>
    </row>
    <row r="497" spans="1:15" ht="15.6" x14ac:dyDescent="0.3">
      <c r="A497" s="752"/>
      <c r="B497" s="752"/>
      <c r="C497" s="752"/>
      <c r="D497" s="753"/>
      <c r="E497" s="752"/>
      <c r="F497" s="338"/>
      <c r="G497" s="752"/>
      <c r="H497" s="754"/>
      <c r="I497" s="755"/>
      <c r="J497" s="755"/>
      <c r="K497" s="755"/>
      <c r="L497" s="755"/>
      <c r="M497" s="755"/>
      <c r="N497" s="755"/>
      <c r="O497" s="787"/>
    </row>
    <row r="498" spans="1:15" ht="15.6" x14ac:dyDescent="0.3">
      <c r="A498" s="752"/>
      <c r="B498" s="752"/>
      <c r="C498" s="752"/>
      <c r="D498" s="753"/>
      <c r="E498" s="752"/>
      <c r="F498" s="338"/>
      <c r="G498" s="752"/>
      <c r="H498" s="754"/>
      <c r="I498" s="755"/>
      <c r="J498" s="755"/>
      <c r="K498" s="755"/>
      <c r="L498" s="755"/>
      <c r="M498" s="755"/>
      <c r="N498" s="755"/>
      <c r="O498" s="787"/>
    </row>
    <row r="499" spans="1:15" ht="15.6" x14ac:dyDescent="0.3">
      <c r="A499" s="752"/>
      <c r="B499" s="752"/>
      <c r="C499" s="752"/>
      <c r="D499" s="753"/>
      <c r="E499" s="752"/>
      <c r="F499" s="338"/>
      <c r="G499" s="752"/>
      <c r="H499" s="754"/>
      <c r="I499" s="755"/>
      <c r="J499" s="755"/>
      <c r="K499" s="755"/>
      <c r="L499" s="755"/>
      <c r="M499" s="755"/>
      <c r="N499" s="755"/>
      <c r="O499" s="787"/>
    </row>
    <row r="500" spans="1:15" ht="15.6" x14ac:dyDescent="0.3">
      <c r="A500" s="752"/>
      <c r="B500" s="752"/>
      <c r="C500" s="752"/>
      <c r="D500" s="753"/>
      <c r="E500" s="752"/>
      <c r="F500" s="338"/>
      <c r="G500" s="752"/>
      <c r="H500" s="754"/>
      <c r="I500" s="755"/>
      <c r="J500" s="755"/>
      <c r="K500" s="755"/>
      <c r="L500" s="755"/>
      <c r="M500" s="755"/>
      <c r="N500" s="755"/>
      <c r="O500" s="787"/>
    </row>
    <row r="501" spans="1:15" ht="15.6" x14ac:dyDescent="0.3">
      <c r="A501" s="752"/>
      <c r="B501" s="752"/>
      <c r="C501" s="752"/>
      <c r="D501" s="753"/>
      <c r="E501" s="752"/>
      <c r="F501" s="338"/>
      <c r="G501" s="752"/>
      <c r="H501" s="754"/>
      <c r="I501" s="755"/>
      <c r="J501" s="755"/>
      <c r="K501" s="755"/>
      <c r="L501" s="755"/>
      <c r="M501" s="755"/>
      <c r="N501" s="755"/>
      <c r="O501" s="787"/>
    </row>
    <row r="502" spans="1:15" ht="15.6" x14ac:dyDescent="0.3">
      <c r="A502" s="752"/>
      <c r="B502" s="752"/>
      <c r="C502" s="752"/>
      <c r="D502" s="753"/>
      <c r="E502" s="752"/>
      <c r="F502" s="338"/>
      <c r="G502" s="752"/>
      <c r="H502" s="754"/>
      <c r="I502" s="755"/>
      <c r="J502" s="755"/>
      <c r="K502" s="755"/>
      <c r="L502" s="755"/>
      <c r="M502" s="755"/>
      <c r="N502" s="755"/>
      <c r="O502" s="787"/>
    </row>
    <row r="503" spans="1:15" ht="15.6" x14ac:dyDescent="0.3">
      <c r="A503" s="752"/>
      <c r="B503" s="752"/>
      <c r="C503" s="752"/>
      <c r="D503" s="753"/>
      <c r="E503" s="752"/>
      <c r="F503" s="338"/>
      <c r="G503" s="752"/>
      <c r="H503" s="754"/>
      <c r="I503" s="755"/>
      <c r="J503" s="755"/>
      <c r="K503" s="755"/>
      <c r="L503" s="755"/>
      <c r="M503" s="755"/>
      <c r="N503" s="755"/>
      <c r="O503" s="787"/>
    </row>
    <row r="504" spans="1:15" ht="15.6" x14ac:dyDescent="0.3">
      <c r="A504" s="752"/>
      <c r="B504" s="752"/>
      <c r="C504" s="752"/>
      <c r="D504" s="753"/>
      <c r="E504" s="752"/>
      <c r="F504" s="338"/>
      <c r="G504" s="752"/>
      <c r="H504" s="754"/>
      <c r="I504" s="755"/>
      <c r="J504" s="755"/>
      <c r="K504" s="755"/>
      <c r="L504" s="755"/>
      <c r="M504" s="755"/>
      <c r="N504" s="755"/>
      <c r="O504" s="787"/>
    </row>
    <row r="505" spans="1:15" ht="15.6" x14ac:dyDescent="0.3">
      <c r="A505" s="752"/>
      <c r="B505" s="752"/>
      <c r="C505" s="752"/>
      <c r="D505" s="753"/>
      <c r="E505" s="752"/>
      <c r="F505" s="338"/>
      <c r="G505" s="752"/>
      <c r="H505" s="754"/>
      <c r="I505" s="755"/>
      <c r="J505" s="755"/>
      <c r="K505" s="755"/>
      <c r="L505" s="755"/>
      <c r="M505" s="755"/>
      <c r="N505" s="755"/>
      <c r="O505" s="787"/>
    </row>
    <row r="506" spans="1:15" ht="15.6" x14ac:dyDescent="0.25">
      <c r="F506" s="330"/>
      <c r="O506" s="787"/>
    </row>
    <row r="507" spans="1:15" ht="15.6" x14ac:dyDescent="0.25">
      <c r="F507" s="330"/>
      <c r="O507" s="787"/>
    </row>
    <row r="508" spans="1:15" ht="15.6" x14ac:dyDescent="0.25">
      <c r="F508" s="330"/>
      <c r="O508" s="787"/>
    </row>
    <row r="509" spans="1:15" ht="15.6" x14ac:dyDescent="0.25">
      <c r="F509" s="330"/>
      <c r="O509" s="787"/>
    </row>
    <row r="510" spans="1:15" ht="15.6" x14ac:dyDescent="0.25">
      <c r="F510" s="330"/>
      <c r="O510" s="787"/>
    </row>
    <row r="511" spans="1:15" ht="15.6" x14ac:dyDescent="0.25">
      <c r="F511" s="330"/>
      <c r="O511" s="787"/>
    </row>
    <row r="512" spans="1:15" ht="15.6" x14ac:dyDescent="0.25">
      <c r="F512" s="330"/>
      <c r="O512" s="787"/>
    </row>
    <row r="513" spans="6:15" ht="15.6" x14ac:dyDescent="0.25">
      <c r="F513" s="330"/>
      <c r="O513" s="787"/>
    </row>
    <row r="514" spans="6:15" ht="15.6" x14ac:dyDescent="0.25">
      <c r="F514" s="330"/>
      <c r="O514" s="787"/>
    </row>
    <row r="515" spans="6:15" ht="15.6" x14ac:dyDescent="0.25">
      <c r="F515" s="330"/>
      <c r="O515" s="787"/>
    </row>
    <row r="516" spans="6:15" ht="15.6" x14ac:dyDescent="0.25">
      <c r="F516" s="330"/>
      <c r="O516" s="787"/>
    </row>
    <row r="517" spans="6:15" ht="15.6" x14ac:dyDescent="0.25">
      <c r="F517" s="330"/>
      <c r="O517" s="787"/>
    </row>
    <row r="518" spans="6:15" ht="15.6" x14ac:dyDescent="0.25">
      <c r="F518" s="330"/>
      <c r="O518" s="787"/>
    </row>
    <row r="519" spans="6:15" ht="15.6" x14ac:dyDescent="0.25">
      <c r="F519" s="330"/>
      <c r="O519" s="787"/>
    </row>
    <row r="520" spans="6:15" ht="15.6" x14ac:dyDescent="0.25">
      <c r="F520" s="330"/>
      <c r="O520" s="787"/>
    </row>
    <row r="521" spans="6:15" ht="15.6" x14ac:dyDescent="0.25">
      <c r="F521" s="330"/>
      <c r="O521" s="787"/>
    </row>
    <row r="522" spans="6:15" ht="15.6" x14ac:dyDescent="0.25">
      <c r="F522" s="330"/>
      <c r="O522" s="787"/>
    </row>
    <row r="523" spans="6:15" ht="15.6" x14ac:dyDescent="0.25">
      <c r="F523" s="330"/>
      <c r="O523" s="787"/>
    </row>
    <row r="524" spans="6:15" ht="15.6" x14ac:dyDescent="0.25">
      <c r="F524" s="330"/>
      <c r="O524" s="787"/>
    </row>
    <row r="525" spans="6:15" ht="15.6" x14ac:dyDescent="0.25">
      <c r="F525" s="330"/>
      <c r="O525" s="787"/>
    </row>
    <row r="526" spans="6:15" ht="15.6" x14ac:dyDescent="0.25">
      <c r="F526" s="330"/>
      <c r="O526" s="787"/>
    </row>
    <row r="527" spans="6:15" ht="15.6" x14ac:dyDescent="0.25">
      <c r="F527" s="330"/>
      <c r="O527" s="787"/>
    </row>
    <row r="528" spans="6:15" ht="15.6" x14ac:dyDescent="0.25">
      <c r="F528" s="330"/>
      <c r="O528" s="787"/>
    </row>
    <row r="529" spans="6:15" ht="15.6" x14ac:dyDescent="0.25">
      <c r="F529" s="330"/>
      <c r="O529" s="787"/>
    </row>
    <row r="530" spans="6:15" ht="15.6" x14ac:dyDescent="0.25">
      <c r="F530" s="330"/>
      <c r="O530" s="787"/>
    </row>
    <row r="531" spans="6:15" ht="15.6" x14ac:dyDescent="0.25">
      <c r="F531" s="330"/>
      <c r="O531" s="787"/>
    </row>
    <row r="532" spans="6:15" ht="15.6" x14ac:dyDescent="0.25">
      <c r="F532" s="330"/>
      <c r="O532" s="787"/>
    </row>
    <row r="533" spans="6:15" ht="15.6" x14ac:dyDescent="0.25">
      <c r="F533" s="330"/>
      <c r="O533" s="787"/>
    </row>
    <row r="534" spans="6:15" ht="15.6" x14ac:dyDescent="0.25">
      <c r="F534" s="330"/>
      <c r="O534" s="787"/>
    </row>
    <row r="535" spans="6:15" ht="15.6" x14ac:dyDescent="0.25">
      <c r="F535" s="330"/>
      <c r="O535" s="787"/>
    </row>
    <row r="536" spans="6:15" ht="15.6" x14ac:dyDescent="0.25">
      <c r="F536" s="330"/>
      <c r="O536" s="787"/>
    </row>
    <row r="537" spans="6:15" ht="15.6" x14ac:dyDescent="0.25">
      <c r="F537" s="330"/>
      <c r="O537" s="787"/>
    </row>
    <row r="538" spans="6:15" ht="15.6" x14ac:dyDescent="0.25">
      <c r="F538" s="330"/>
      <c r="O538" s="787"/>
    </row>
    <row r="539" spans="6:15" ht="15.6" x14ac:dyDescent="0.25">
      <c r="F539" s="330"/>
      <c r="O539" s="787"/>
    </row>
    <row r="540" spans="6:15" ht="15.6" x14ac:dyDescent="0.25">
      <c r="F540" s="330"/>
      <c r="O540" s="787"/>
    </row>
    <row r="541" spans="6:15" ht="15.6" x14ac:dyDescent="0.25">
      <c r="F541" s="330"/>
      <c r="O541" s="787"/>
    </row>
    <row r="542" spans="6:15" ht="15.6" x14ac:dyDescent="0.25">
      <c r="F542" s="330"/>
      <c r="O542" s="787"/>
    </row>
    <row r="543" spans="6:15" ht="15.6" x14ac:dyDescent="0.25">
      <c r="F543" s="330"/>
      <c r="O543" s="787"/>
    </row>
    <row r="544" spans="6:15" ht="15.6" x14ac:dyDescent="0.25">
      <c r="F544" s="330"/>
      <c r="O544" s="787"/>
    </row>
    <row r="545" spans="6:15" ht="15.6" x14ac:dyDescent="0.25">
      <c r="F545" s="330"/>
      <c r="O545" s="787"/>
    </row>
    <row r="546" spans="6:15" ht="15.6" x14ac:dyDescent="0.25">
      <c r="F546" s="330"/>
      <c r="O546" s="787"/>
    </row>
    <row r="547" spans="6:15" ht="15.6" x14ac:dyDescent="0.25">
      <c r="F547" s="330"/>
      <c r="O547" s="787"/>
    </row>
    <row r="548" spans="6:15" ht="15.6" x14ac:dyDescent="0.25">
      <c r="F548" s="330"/>
      <c r="O548" s="787"/>
    </row>
    <row r="549" spans="6:15" ht="15.6" x14ac:dyDescent="0.25">
      <c r="F549" s="330"/>
      <c r="O549" s="787"/>
    </row>
    <row r="550" spans="6:15" ht="15.6" x14ac:dyDescent="0.25">
      <c r="F550" s="330"/>
      <c r="O550" s="787"/>
    </row>
    <row r="551" spans="6:15" ht="15.6" x14ac:dyDescent="0.25">
      <c r="F551" s="330"/>
      <c r="O551" s="787"/>
    </row>
    <row r="552" spans="6:15" ht="15.6" x14ac:dyDescent="0.25">
      <c r="F552" s="330"/>
      <c r="O552" s="787"/>
    </row>
    <row r="553" spans="6:15" ht="15.6" x14ac:dyDescent="0.25">
      <c r="F553" s="330"/>
      <c r="O553" s="787"/>
    </row>
    <row r="554" spans="6:15" ht="15.6" x14ac:dyDescent="0.25">
      <c r="F554" s="330"/>
      <c r="O554" s="787"/>
    </row>
    <row r="555" spans="6:15" ht="15.6" x14ac:dyDescent="0.25">
      <c r="F555" s="330"/>
      <c r="O555" s="787"/>
    </row>
    <row r="556" spans="6:15" ht="15.6" x14ac:dyDescent="0.25">
      <c r="F556" s="330"/>
      <c r="O556" s="787"/>
    </row>
    <row r="557" spans="6:15" ht="15.6" x14ac:dyDescent="0.25">
      <c r="F557" s="330"/>
      <c r="O557" s="787"/>
    </row>
    <row r="558" spans="6:15" ht="15.6" x14ac:dyDescent="0.25">
      <c r="F558" s="330"/>
      <c r="O558" s="787"/>
    </row>
    <row r="559" spans="6:15" ht="15.6" x14ac:dyDescent="0.25">
      <c r="F559" s="330"/>
      <c r="O559" s="787"/>
    </row>
    <row r="560" spans="6:15" ht="15.6" x14ac:dyDescent="0.25">
      <c r="F560" s="330"/>
      <c r="O560" s="787"/>
    </row>
    <row r="561" spans="6:15" ht="15.6" x14ac:dyDescent="0.25">
      <c r="F561" s="330"/>
      <c r="O561" s="787"/>
    </row>
    <row r="562" spans="6:15" ht="15.6" x14ac:dyDescent="0.25">
      <c r="F562" s="330"/>
      <c r="O562" s="787"/>
    </row>
    <row r="563" spans="6:15" ht="15.6" x14ac:dyDescent="0.25">
      <c r="F563" s="330"/>
      <c r="O563" s="787"/>
    </row>
    <row r="564" spans="6:15" ht="15.6" x14ac:dyDescent="0.25">
      <c r="F564" s="330"/>
      <c r="O564" s="787"/>
    </row>
    <row r="565" spans="6:15" ht="15.6" x14ac:dyDescent="0.25">
      <c r="F565" s="330"/>
      <c r="O565" s="787"/>
    </row>
    <row r="566" spans="6:15" ht="15.6" x14ac:dyDescent="0.25">
      <c r="F566" s="330"/>
      <c r="O566" s="787"/>
    </row>
    <row r="567" spans="6:15" ht="15.6" x14ac:dyDescent="0.25">
      <c r="F567" s="330"/>
      <c r="O567" s="787"/>
    </row>
    <row r="568" spans="6:15" ht="15.6" x14ac:dyDescent="0.25">
      <c r="F568" s="330"/>
      <c r="O568" s="787"/>
    </row>
    <row r="569" spans="6:15" ht="15.6" x14ac:dyDescent="0.25">
      <c r="F569" s="330"/>
      <c r="O569" s="787"/>
    </row>
    <row r="570" spans="6:15" ht="15.6" x14ac:dyDescent="0.25">
      <c r="F570" s="330"/>
      <c r="O570" s="787"/>
    </row>
    <row r="571" spans="6:15" ht="15.6" x14ac:dyDescent="0.25">
      <c r="F571" s="330"/>
      <c r="O571" s="787"/>
    </row>
    <row r="572" spans="6:15" ht="15.6" x14ac:dyDescent="0.25">
      <c r="F572" s="330"/>
      <c r="O572" s="787"/>
    </row>
    <row r="573" spans="6:15" ht="15.6" x14ac:dyDescent="0.25">
      <c r="F573" s="330"/>
      <c r="O573" s="787"/>
    </row>
    <row r="574" spans="6:15" ht="15.6" x14ac:dyDescent="0.25">
      <c r="F574" s="330"/>
      <c r="O574" s="787"/>
    </row>
    <row r="575" spans="6:15" ht="15.6" x14ac:dyDescent="0.25">
      <c r="F575" s="330"/>
      <c r="O575" s="787"/>
    </row>
    <row r="576" spans="6:15" ht="15.6" x14ac:dyDescent="0.25">
      <c r="F576" s="330"/>
      <c r="O576" s="787"/>
    </row>
    <row r="577" spans="6:15" ht="15.6" x14ac:dyDescent="0.25">
      <c r="F577" s="330"/>
      <c r="O577" s="787"/>
    </row>
    <row r="578" spans="6:15" ht="15.6" x14ac:dyDescent="0.25">
      <c r="F578" s="330"/>
      <c r="O578" s="787"/>
    </row>
    <row r="579" spans="6:15" ht="15.6" x14ac:dyDescent="0.25">
      <c r="F579" s="330"/>
      <c r="O579" s="787"/>
    </row>
    <row r="580" spans="6:15" ht="15.6" x14ac:dyDescent="0.25">
      <c r="F580" s="330"/>
      <c r="O580" s="787"/>
    </row>
    <row r="581" spans="6:15" ht="15.6" x14ac:dyDescent="0.25">
      <c r="F581" s="330"/>
      <c r="O581" s="787"/>
    </row>
    <row r="582" spans="6:15" ht="15.6" x14ac:dyDescent="0.25">
      <c r="F582" s="330"/>
      <c r="O582" s="787"/>
    </row>
    <row r="583" spans="6:15" ht="15.6" x14ac:dyDescent="0.25">
      <c r="F583" s="330"/>
      <c r="O583" s="787"/>
    </row>
    <row r="584" spans="6:15" ht="15.6" x14ac:dyDescent="0.25">
      <c r="F584" s="330"/>
      <c r="O584" s="787"/>
    </row>
    <row r="585" spans="6:15" ht="15.6" x14ac:dyDescent="0.25">
      <c r="F585" s="330"/>
      <c r="O585" s="787"/>
    </row>
    <row r="586" spans="6:15" ht="15.6" x14ac:dyDescent="0.25">
      <c r="F586" s="330"/>
      <c r="O586" s="787"/>
    </row>
    <row r="587" spans="6:15" ht="15.6" x14ac:dyDescent="0.25">
      <c r="F587" s="330"/>
      <c r="O587" s="787"/>
    </row>
    <row r="588" spans="6:15" ht="15.6" x14ac:dyDescent="0.25">
      <c r="F588" s="330"/>
      <c r="O588" s="787"/>
    </row>
    <row r="589" spans="6:15" ht="15.6" x14ac:dyDescent="0.25">
      <c r="F589" s="330"/>
      <c r="O589" s="787"/>
    </row>
    <row r="590" spans="6:15" ht="15.6" x14ac:dyDescent="0.25">
      <c r="F590" s="330"/>
      <c r="O590" s="787"/>
    </row>
    <row r="591" spans="6:15" ht="15.6" x14ac:dyDescent="0.25">
      <c r="F591" s="330"/>
      <c r="O591" s="787"/>
    </row>
    <row r="592" spans="6:15" ht="15.6" x14ac:dyDescent="0.25">
      <c r="F592" s="330"/>
      <c r="O592" s="787"/>
    </row>
    <row r="593" spans="6:15" ht="15.6" x14ac:dyDescent="0.25">
      <c r="F593" s="330"/>
      <c r="O593" s="787"/>
    </row>
    <row r="594" spans="6:15" ht="15.6" x14ac:dyDescent="0.25">
      <c r="F594" s="330"/>
      <c r="O594" s="787"/>
    </row>
    <row r="595" spans="6:15" ht="15.6" x14ac:dyDescent="0.25">
      <c r="F595" s="330"/>
      <c r="O595" s="787"/>
    </row>
    <row r="596" spans="6:15" ht="15.6" x14ac:dyDescent="0.25">
      <c r="F596" s="330"/>
      <c r="O596" s="787"/>
    </row>
    <row r="597" spans="6:15" ht="15.6" x14ac:dyDescent="0.25">
      <c r="F597" s="330"/>
      <c r="O597" s="787"/>
    </row>
    <row r="598" spans="6:15" ht="15.6" x14ac:dyDescent="0.25">
      <c r="F598" s="330"/>
      <c r="O598" s="787"/>
    </row>
    <row r="599" spans="6:15" ht="15.6" x14ac:dyDescent="0.25">
      <c r="F599" s="330"/>
      <c r="O599" s="787"/>
    </row>
    <row r="600" spans="6:15" ht="15.6" x14ac:dyDescent="0.25">
      <c r="F600" s="330"/>
      <c r="O600" s="787"/>
    </row>
    <row r="601" spans="6:15" ht="15.6" x14ac:dyDescent="0.25">
      <c r="F601" s="330"/>
      <c r="O601" s="787"/>
    </row>
    <row r="602" spans="6:15" ht="15.6" x14ac:dyDescent="0.25">
      <c r="F602" s="330"/>
      <c r="O602" s="787"/>
    </row>
    <row r="603" spans="6:15" ht="15.6" x14ac:dyDescent="0.25">
      <c r="F603" s="330"/>
      <c r="O603" s="787"/>
    </row>
    <row r="604" spans="6:15" ht="15.6" x14ac:dyDescent="0.25">
      <c r="F604" s="330"/>
      <c r="O604" s="787"/>
    </row>
    <row r="605" spans="6:15" ht="15.6" x14ac:dyDescent="0.25">
      <c r="F605" s="330"/>
      <c r="O605" s="787"/>
    </row>
    <row r="606" spans="6:15" ht="15.6" x14ac:dyDescent="0.25">
      <c r="F606" s="330"/>
      <c r="O606" s="787"/>
    </row>
    <row r="607" spans="6:15" ht="15.6" x14ac:dyDescent="0.25">
      <c r="F607" s="330"/>
      <c r="O607" s="787"/>
    </row>
    <row r="608" spans="6:15" ht="15.6" x14ac:dyDescent="0.25">
      <c r="F608" s="330"/>
      <c r="O608" s="787"/>
    </row>
    <row r="609" spans="6:15" ht="15.6" x14ac:dyDescent="0.25">
      <c r="F609" s="330"/>
      <c r="O609" s="787"/>
    </row>
    <row r="610" spans="6:15" ht="15.6" x14ac:dyDescent="0.25">
      <c r="F610" s="330"/>
      <c r="O610" s="787"/>
    </row>
    <row r="611" spans="6:15" ht="15.6" x14ac:dyDescent="0.25">
      <c r="F611" s="330"/>
      <c r="O611" s="787"/>
    </row>
    <row r="612" spans="6:15" ht="15.6" x14ac:dyDescent="0.25">
      <c r="F612" s="330"/>
      <c r="O612" s="787"/>
    </row>
    <row r="613" spans="6:15" ht="15.6" x14ac:dyDescent="0.25">
      <c r="F613" s="330"/>
      <c r="O613" s="787"/>
    </row>
    <row r="614" spans="6:15" ht="15.6" x14ac:dyDescent="0.25">
      <c r="F614" s="330"/>
      <c r="O614" s="787"/>
    </row>
    <row r="615" spans="6:15" ht="15.6" x14ac:dyDescent="0.25">
      <c r="F615" s="330"/>
      <c r="O615" s="787"/>
    </row>
    <row r="616" spans="6:15" ht="15.6" x14ac:dyDescent="0.25">
      <c r="F616" s="330"/>
      <c r="O616" s="787"/>
    </row>
    <row r="617" spans="6:15" ht="15.6" x14ac:dyDescent="0.25">
      <c r="F617" s="330"/>
      <c r="O617" s="787"/>
    </row>
    <row r="618" spans="6:15" ht="15.6" x14ac:dyDescent="0.25">
      <c r="F618" s="330"/>
      <c r="O618" s="787"/>
    </row>
    <row r="619" spans="6:15" ht="15.6" x14ac:dyDescent="0.25">
      <c r="F619" s="330"/>
      <c r="O619" s="787"/>
    </row>
    <row r="620" spans="6:15" ht="15.6" x14ac:dyDescent="0.25">
      <c r="F620" s="330"/>
      <c r="O620" s="787"/>
    </row>
    <row r="621" spans="6:15" ht="15.6" x14ac:dyDescent="0.25">
      <c r="F621" s="330"/>
      <c r="O621" s="787"/>
    </row>
    <row r="622" spans="6:15" ht="15.6" x14ac:dyDescent="0.25">
      <c r="F622" s="330"/>
      <c r="O622" s="787"/>
    </row>
    <row r="623" spans="6:15" ht="15.6" x14ac:dyDescent="0.25">
      <c r="F623" s="330"/>
      <c r="O623" s="787"/>
    </row>
    <row r="624" spans="6:15" ht="15.6" x14ac:dyDescent="0.25">
      <c r="F624" s="330"/>
      <c r="O624" s="787"/>
    </row>
    <row r="625" spans="6:15" ht="15.6" x14ac:dyDescent="0.25">
      <c r="F625" s="330"/>
      <c r="O625" s="787"/>
    </row>
    <row r="626" spans="6:15" ht="15.6" x14ac:dyDescent="0.25">
      <c r="F626" s="330"/>
      <c r="O626" s="787"/>
    </row>
    <row r="627" spans="6:15" ht="15.6" x14ac:dyDescent="0.25">
      <c r="F627" s="330"/>
      <c r="O627" s="787"/>
    </row>
    <row r="628" spans="6:15" ht="15.6" x14ac:dyDescent="0.25">
      <c r="F628" s="330"/>
      <c r="O628" s="787"/>
    </row>
    <row r="629" spans="6:15" ht="15.6" x14ac:dyDescent="0.25">
      <c r="F629" s="330"/>
      <c r="O629" s="787"/>
    </row>
    <row r="630" spans="6:15" ht="15.6" x14ac:dyDescent="0.25">
      <c r="F630" s="330"/>
      <c r="O630" s="787"/>
    </row>
    <row r="631" spans="6:15" ht="15.6" x14ac:dyDescent="0.25">
      <c r="F631" s="330"/>
      <c r="O631" s="787"/>
    </row>
    <row r="632" spans="6:15" ht="15.6" x14ac:dyDescent="0.25">
      <c r="F632" s="330"/>
      <c r="O632" s="787"/>
    </row>
    <row r="633" spans="6:15" ht="15.6" x14ac:dyDescent="0.25">
      <c r="F633" s="330"/>
      <c r="O633" s="787"/>
    </row>
    <row r="634" spans="6:15" ht="15.6" x14ac:dyDescent="0.25">
      <c r="F634" s="330"/>
      <c r="O634" s="787"/>
    </row>
    <row r="635" spans="6:15" ht="15.6" x14ac:dyDescent="0.25">
      <c r="F635" s="330"/>
      <c r="O635" s="787"/>
    </row>
    <row r="636" spans="6:15" ht="15.6" x14ac:dyDescent="0.25">
      <c r="F636" s="330"/>
      <c r="O636" s="787"/>
    </row>
    <row r="637" spans="6:15" ht="15.6" x14ac:dyDescent="0.25">
      <c r="F637" s="330"/>
      <c r="O637" s="787"/>
    </row>
    <row r="638" spans="6:15" ht="15.6" x14ac:dyDescent="0.25">
      <c r="F638" s="330"/>
      <c r="O638" s="787"/>
    </row>
    <row r="639" spans="6:15" ht="15.6" x14ac:dyDescent="0.25">
      <c r="F639" s="330"/>
      <c r="O639" s="787"/>
    </row>
    <row r="640" spans="6:15" ht="15.6" x14ac:dyDescent="0.25">
      <c r="F640" s="330"/>
      <c r="O640" s="787"/>
    </row>
    <row r="641" spans="6:15" ht="15.6" x14ac:dyDescent="0.25">
      <c r="F641" s="330"/>
      <c r="O641" s="787"/>
    </row>
    <row r="642" spans="6:15" ht="15.6" x14ac:dyDescent="0.25">
      <c r="F642" s="330"/>
      <c r="O642" s="787"/>
    </row>
    <row r="643" spans="6:15" ht="15.6" x14ac:dyDescent="0.25">
      <c r="F643" s="330"/>
      <c r="O643" s="787"/>
    </row>
    <row r="644" spans="6:15" ht="15.6" x14ac:dyDescent="0.25">
      <c r="F644" s="330"/>
      <c r="O644" s="787"/>
    </row>
    <row r="645" spans="6:15" ht="15.6" x14ac:dyDescent="0.25">
      <c r="F645" s="330"/>
      <c r="O645" s="787"/>
    </row>
    <row r="646" spans="6:15" ht="15.6" x14ac:dyDescent="0.25">
      <c r="F646" s="330"/>
      <c r="O646" s="787"/>
    </row>
    <row r="647" spans="6:15" ht="15.6" x14ac:dyDescent="0.25">
      <c r="F647" s="330"/>
      <c r="O647" s="787"/>
    </row>
    <row r="648" spans="6:15" ht="15.6" x14ac:dyDescent="0.25">
      <c r="F648" s="330"/>
      <c r="O648" s="787"/>
    </row>
    <row r="649" spans="6:15" ht="15.6" x14ac:dyDescent="0.25">
      <c r="F649" s="330"/>
      <c r="O649" s="787"/>
    </row>
    <row r="650" spans="6:15" ht="15.6" x14ac:dyDescent="0.25">
      <c r="F650" s="330"/>
      <c r="O650" s="787"/>
    </row>
    <row r="651" spans="6:15" ht="15.6" x14ac:dyDescent="0.25">
      <c r="F651" s="330"/>
      <c r="O651" s="787"/>
    </row>
    <row r="652" spans="6:15" ht="15.6" x14ac:dyDescent="0.25">
      <c r="F652" s="330"/>
      <c r="O652" s="787"/>
    </row>
    <row r="653" spans="6:15" ht="15.6" x14ac:dyDescent="0.25">
      <c r="F653" s="330"/>
      <c r="O653" s="787"/>
    </row>
    <row r="654" spans="6:15" ht="15.6" x14ac:dyDescent="0.25">
      <c r="F654" s="330"/>
      <c r="O654" s="787"/>
    </row>
    <row r="655" spans="6:15" ht="15.6" x14ac:dyDescent="0.25">
      <c r="F655" s="330"/>
      <c r="O655" s="787"/>
    </row>
    <row r="656" spans="6:15" ht="15.6" x14ac:dyDescent="0.25">
      <c r="F656" s="330"/>
      <c r="O656" s="787"/>
    </row>
    <row r="657" spans="6:15" ht="15.6" x14ac:dyDescent="0.25">
      <c r="F657" s="330"/>
      <c r="O657" s="787"/>
    </row>
    <row r="658" spans="6:15" ht="15.6" x14ac:dyDescent="0.25">
      <c r="F658" s="330"/>
      <c r="O658" s="787"/>
    </row>
    <row r="659" spans="6:15" ht="15.6" x14ac:dyDescent="0.25">
      <c r="F659" s="330"/>
      <c r="O659" s="787"/>
    </row>
    <row r="660" spans="6:15" ht="15.6" x14ac:dyDescent="0.25">
      <c r="F660" s="330"/>
      <c r="O660" s="787"/>
    </row>
    <row r="661" spans="6:15" ht="15.6" x14ac:dyDescent="0.25">
      <c r="F661" s="330"/>
      <c r="O661" s="787"/>
    </row>
    <row r="662" spans="6:15" ht="15.6" x14ac:dyDescent="0.25">
      <c r="F662" s="330"/>
      <c r="O662" s="787"/>
    </row>
    <row r="663" spans="6:15" ht="15.6" x14ac:dyDescent="0.25">
      <c r="F663" s="330"/>
      <c r="O663" s="787"/>
    </row>
    <row r="664" spans="6:15" ht="15.6" x14ac:dyDescent="0.25">
      <c r="F664" s="330"/>
      <c r="O664" s="787"/>
    </row>
    <row r="665" spans="6:15" ht="15.6" x14ac:dyDescent="0.25">
      <c r="F665" s="330"/>
      <c r="O665" s="787"/>
    </row>
    <row r="666" spans="6:15" ht="15.6" x14ac:dyDescent="0.25">
      <c r="F666" s="330"/>
      <c r="O666" s="787"/>
    </row>
    <row r="667" spans="6:15" ht="15.6" x14ac:dyDescent="0.25">
      <c r="F667" s="330"/>
      <c r="O667" s="787"/>
    </row>
    <row r="668" spans="6:15" ht="15.6" x14ac:dyDescent="0.25">
      <c r="F668" s="330"/>
      <c r="O668" s="787"/>
    </row>
    <row r="669" spans="6:15" ht="15.6" x14ac:dyDescent="0.25">
      <c r="F669" s="330"/>
      <c r="O669" s="787"/>
    </row>
    <row r="670" spans="6:15" ht="15.6" x14ac:dyDescent="0.25">
      <c r="F670" s="330"/>
      <c r="O670" s="787"/>
    </row>
    <row r="671" spans="6:15" ht="15.6" x14ac:dyDescent="0.25">
      <c r="F671" s="330"/>
      <c r="O671" s="787"/>
    </row>
    <row r="672" spans="6:15" ht="15.6" x14ac:dyDescent="0.25">
      <c r="F672" s="330"/>
      <c r="O672" s="787"/>
    </row>
    <row r="673" spans="6:15" ht="15.6" x14ac:dyDescent="0.25">
      <c r="F673" s="330"/>
      <c r="O673" s="787"/>
    </row>
    <row r="674" spans="6:15" ht="15.6" x14ac:dyDescent="0.25">
      <c r="F674" s="330"/>
      <c r="O674" s="787"/>
    </row>
    <row r="675" spans="6:15" ht="15.6" x14ac:dyDescent="0.25">
      <c r="F675" s="330"/>
      <c r="O675" s="787"/>
    </row>
    <row r="676" spans="6:15" ht="15.6" x14ac:dyDescent="0.25">
      <c r="F676" s="330"/>
      <c r="O676" s="787"/>
    </row>
    <row r="677" spans="6:15" ht="15.6" x14ac:dyDescent="0.25">
      <c r="F677" s="330"/>
      <c r="O677" s="787"/>
    </row>
    <row r="678" spans="6:15" ht="15.6" x14ac:dyDescent="0.25">
      <c r="F678" s="330"/>
      <c r="O678" s="787"/>
    </row>
    <row r="679" spans="6:15" ht="15.6" x14ac:dyDescent="0.25">
      <c r="F679" s="330"/>
      <c r="O679" s="787"/>
    </row>
    <row r="680" spans="6:15" ht="15.6" x14ac:dyDescent="0.25">
      <c r="F680" s="330"/>
      <c r="O680" s="787"/>
    </row>
    <row r="681" spans="6:15" ht="15.6" x14ac:dyDescent="0.25">
      <c r="F681" s="330"/>
      <c r="O681" s="787"/>
    </row>
    <row r="682" spans="6:15" ht="15.6" x14ac:dyDescent="0.25">
      <c r="F682" s="330"/>
      <c r="O682" s="787"/>
    </row>
    <row r="683" spans="6:15" ht="15.6" x14ac:dyDescent="0.25">
      <c r="F683" s="330"/>
      <c r="O683" s="787"/>
    </row>
    <row r="684" spans="6:15" ht="15.6" x14ac:dyDescent="0.25">
      <c r="F684" s="330"/>
      <c r="O684" s="787"/>
    </row>
    <row r="685" spans="6:15" ht="15.6" x14ac:dyDescent="0.25">
      <c r="F685" s="330"/>
      <c r="O685" s="787"/>
    </row>
    <row r="686" spans="6:15" ht="15.6" x14ac:dyDescent="0.25">
      <c r="F686" s="330"/>
      <c r="O686" s="787"/>
    </row>
    <row r="687" spans="6:15" ht="15.6" x14ac:dyDescent="0.25">
      <c r="F687" s="330"/>
      <c r="O687" s="787"/>
    </row>
    <row r="688" spans="6:15" ht="15.6" x14ac:dyDescent="0.25">
      <c r="F688" s="330"/>
      <c r="O688" s="787"/>
    </row>
    <row r="689" spans="6:15" ht="15.6" x14ac:dyDescent="0.25">
      <c r="F689" s="330"/>
      <c r="O689" s="787"/>
    </row>
    <row r="690" spans="6:15" ht="15.6" x14ac:dyDescent="0.25">
      <c r="F690" s="330"/>
      <c r="O690" s="787"/>
    </row>
    <row r="691" spans="6:15" ht="15.6" x14ac:dyDescent="0.25">
      <c r="F691" s="330"/>
      <c r="O691" s="787"/>
    </row>
    <row r="692" spans="6:15" ht="15.6" x14ac:dyDescent="0.25">
      <c r="F692" s="330"/>
      <c r="O692" s="787"/>
    </row>
    <row r="693" spans="6:15" ht="15.6" x14ac:dyDescent="0.25">
      <c r="F693" s="330"/>
      <c r="O693" s="787"/>
    </row>
    <row r="694" spans="6:15" ht="15.6" x14ac:dyDescent="0.25">
      <c r="F694" s="330"/>
      <c r="O694" s="787"/>
    </row>
    <row r="695" spans="6:15" ht="15.6" x14ac:dyDescent="0.25">
      <c r="F695" s="330"/>
      <c r="O695" s="787"/>
    </row>
    <row r="696" spans="6:15" ht="15.6" x14ac:dyDescent="0.25">
      <c r="F696" s="330"/>
      <c r="O696" s="787"/>
    </row>
    <row r="697" spans="6:15" ht="15.6" x14ac:dyDescent="0.25">
      <c r="F697" s="330"/>
      <c r="O697" s="787"/>
    </row>
    <row r="698" spans="6:15" ht="15.6" x14ac:dyDescent="0.25">
      <c r="F698" s="330"/>
      <c r="O698" s="787"/>
    </row>
    <row r="699" spans="6:15" ht="15.6" x14ac:dyDescent="0.25">
      <c r="F699" s="330"/>
      <c r="O699" s="787"/>
    </row>
    <row r="700" spans="6:15" ht="15.6" x14ac:dyDescent="0.25">
      <c r="F700" s="330"/>
      <c r="O700" s="787"/>
    </row>
    <row r="701" spans="6:15" ht="15.6" x14ac:dyDescent="0.25">
      <c r="F701" s="330"/>
      <c r="O701" s="787"/>
    </row>
    <row r="702" spans="6:15" ht="15.6" x14ac:dyDescent="0.25">
      <c r="F702" s="330"/>
      <c r="O702" s="787"/>
    </row>
    <row r="703" spans="6:15" ht="15.6" x14ac:dyDescent="0.25">
      <c r="F703" s="330"/>
      <c r="O703" s="787"/>
    </row>
    <row r="704" spans="6:15" ht="15.6" x14ac:dyDescent="0.25">
      <c r="F704" s="330"/>
      <c r="O704" s="787"/>
    </row>
    <row r="705" spans="6:15" ht="15.6" x14ac:dyDescent="0.25">
      <c r="F705" s="330"/>
      <c r="O705" s="787"/>
    </row>
    <row r="706" spans="6:15" ht="15.6" x14ac:dyDescent="0.25">
      <c r="F706" s="330"/>
      <c r="O706" s="787"/>
    </row>
    <row r="707" spans="6:15" ht="15.6" x14ac:dyDescent="0.25">
      <c r="F707" s="330"/>
      <c r="O707" s="787"/>
    </row>
    <row r="708" spans="6:15" ht="15.6" x14ac:dyDescent="0.25">
      <c r="F708" s="330"/>
      <c r="O708" s="787"/>
    </row>
    <row r="709" spans="6:15" ht="15.6" x14ac:dyDescent="0.25">
      <c r="F709" s="330"/>
      <c r="O709" s="787"/>
    </row>
    <row r="710" spans="6:15" ht="15.6" x14ac:dyDescent="0.25">
      <c r="F710" s="330"/>
      <c r="O710" s="787"/>
    </row>
    <row r="711" spans="6:15" ht="15.6" x14ac:dyDescent="0.25">
      <c r="F711" s="330"/>
      <c r="O711" s="787"/>
    </row>
    <row r="712" spans="6:15" ht="15.6" x14ac:dyDescent="0.25">
      <c r="F712" s="330"/>
      <c r="O712" s="787"/>
    </row>
    <row r="713" spans="6:15" ht="15.6" x14ac:dyDescent="0.25">
      <c r="F713" s="330"/>
      <c r="O713" s="787"/>
    </row>
    <row r="714" spans="6:15" ht="15.6" x14ac:dyDescent="0.25">
      <c r="F714" s="330"/>
      <c r="O714" s="787"/>
    </row>
    <row r="715" spans="6:15" ht="15.6" x14ac:dyDescent="0.25">
      <c r="F715" s="330"/>
      <c r="O715" s="787"/>
    </row>
    <row r="716" spans="6:15" ht="15.6" x14ac:dyDescent="0.25">
      <c r="F716" s="330"/>
      <c r="O716" s="787"/>
    </row>
    <row r="717" spans="6:15" ht="15.6" x14ac:dyDescent="0.25">
      <c r="F717" s="330"/>
      <c r="O717" s="787"/>
    </row>
    <row r="718" spans="6:15" ht="15.6" x14ac:dyDescent="0.25">
      <c r="F718" s="330"/>
      <c r="O718" s="787"/>
    </row>
    <row r="719" spans="6:15" ht="15.6" x14ac:dyDescent="0.25">
      <c r="F719" s="330"/>
      <c r="O719" s="787"/>
    </row>
    <row r="720" spans="6:15" ht="15.6" x14ac:dyDescent="0.25">
      <c r="F720" s="330"/>
      <c r="O720" s="787"/>
    </row>
    <row r="721" spans="6:15" ht="15.6" x14ac:dyDescent="0.25">
      <c r="F721" s="330"/>
      <c r="O721" s="787"/>
    </row>
    <row r="722" spans="6:15" ht="15.6" x14ac:dyDescent="0.25">
      <c r="F722" s="330"/>
      <c r="O722" s="787"/>
    </row>
    <row r="723" spans="6:15" ht="15.6" x14ac:dyDescent="0.25">
      <c r="F723" s="330"/>
      <c r="O723" s="787"/>
    </row>
    <row r="724" spans="6:15" ht="15.6" x14ac:dyDescent="0.25">
      <c r="F724" s="330"/>
      <c r="O724" s="787"/>
    </row>
    <row r="725" spans="6:15" ht="15.6" x14ac:dyDescent="0.25">
      <c r="F725" s="330"/>
      <c r="O725" s="787"/>
    </row>
    <row r="726" spans="6:15" ht="15.6" x14ac:dyDescent="0.25">
      <c r="F726" s="330"/>
      <c r="O726" s="787"/>
    </row>
    <row r="727" spans="6:15" ht="15.6" x14ac:dyDescent="0.25">
      <c r="F727" s="330"/>
      <c r="O727" s="787"/>
    </row>
    <row r="728" spans="6:15" ht="15.6" x14ac:dyDescent="0.25">
      <c r="F728" s="330"/>
      <c r="O728" s="787"/>
    </row>
    <row r="729" spans="6:15" ht="15.6" x14ac:dyDescent="0.25">
      <c r="F729" s="330"/>
      <c r="O729" s="787"/>
    </row>
    <row r="730" spans="6:15" ht="15.6" x14ac:dyDescent="0.25">
      <c r="F730" s="330"/>
      <c r="O730" s="787"/>
    </row>
    <row r="731" spans="6:15" ht="15.6" x14ac:dyDescent="0.25">
      <c r="F731" s="330"/>
      <c r="O731" s="787"/>
    </row>
    <row r="732" spans="6:15" ht="15.6" x14ac:dyDescent="0.25">
      <c r="F732" s="330"/>
      <c r="O732" s="787"/>
    </row>
    <row r="733" spans="6:15" ht="15.6" x14ac:dyDescent="0.25">
      <c r="F733" s="330"/>
      <c r="O733" s="787"/>
    </row>
    <row r="734" spans="6:15" ht="15.6" x14ac:dyDescent="0.25">
      <c r="F734" s="330"/>
      <c r="O734" s="787"/>
    </row>
    <row r="735" spans="6:15" ht="15.6" x14ac:dyDescent="0.25">
      <c r="F735" s="330"/>
      <c r="O735" s="787"/>
    </row>
    <row r="736" spans="6:15" ht="15.6" x14ac:dyDescent="0.25">
      <c r="F736" s="330"/>
      <c r="O736" s="787"/>
    </row>
    <row r="737" spans="6:15" ht="15.6" x14ac:dyDescent="0.25">
      <c r="F737" s="330"/>
      <c r="O737" s="787"/>
    </row>
    <row r="738" spans="6:15" ht="15.6" x14ac:dyDescent="0.25">
      <c r="F738" s="330"/>
      <c r="O738" s="787"/>
    </row>
    <row r="739" spans="6:15" ht="15.6" x14ac:dyDescent="0.25">
      <c r="F739" s="330"/>
      <c r="O739" s="787"/>
    </row>
    <row r="740" spans="6:15" ht="15.6" x14ac:dyDescent="0.25">
      <c r="F740" s="330"/>
      <c r="O740" s="787"/>
    </row>
    <row r="741" spans="6:15" ht="15.6" x14ac:dyDescent="0.25">
      <c r="F741" s="330"/>
      <c r="O741" s="787"/>
    </row>
    <row r="742" spans="6:15" ht="15.6" x14ac:dyDescent="0.25">
      <c r="F742" s="330"/>
      <c r="O742" s="787"/>
    </row>
    <row r="743" spans="6:15" ht="15.6" x14ac:dyDescent="0.25">
      <c r="F743" s="330"/>
      <c r="O743" s="787"/>
    </row>
    <row r="744" spans="6:15" ht="15.6" x14ac:dyDescent="0.25">
      <c r="F744" s="330"/>
      <c r="O744" s="787"/>
    </row>
    <row r="745" spans="6:15" ht="15.6" x14ac:dyDescent="0.25">
      <c r="F745" s="330"/>
      <c r="O745" s="787"/>
    </row>
    <row r="746" spans="6:15" ht="15.6" x14ac:dyDescent="0.25">
      <c r="F746" s="330"/>
      <c r="O746" s="787"/>
    </row>
    <row r="747" spans="6:15" ht="15.6" x14ac:dyDescent="0.25">
      <c r="F747" s="330"/>
      <c r="O747" s="787"/>
    </row>
    <row r="748" spans="6:15" ht="15.6" x14ac:dyDescent="0.25">
      <c r="F748" s="330"/>
      <c r="O748" s="787"/>
    </row>
    <row r="749" spans="6:15" ht="15.6" x14ac:dyDescent="0.25">
      <c r="F749" s="330"/>
      <c r="O749" s="787"/>
    </row>
    <row r="750" spans="6:15" ht="15.6" x14ac:dyDescent="0.25">
      <c r="F750" s="330"/>
      <c r="O750" s="787"/>
    </row>
    <row r="751" spans="6:15" ht="15.6" x14ac:dyDescent="0.25">
      <c r="F751" s="330"/>
      <c r="O751" s="787"/>
    </row>
    <row r="752" spans="6:15" ht="15.6" x14ac:dyDescent="0.25">
      <c r="F752" s="330"/>
      <c r="O752" s="787"/>
    </row>
    <row r="753" spans="6:15" ht="15.6" x14ac:dyDescent="0.25">
      <c r="F753" s="330"/>
      <c r="O753" s="787"/>
    </row>
    <row r="754" spans="6:15" ht="15.6" x14ac:dyDescent="0.25">
      <c r="F754" s="330"/>
      <c r="O754" s="787"/>
    </row>
    <row r="755" spans="6:15" ht="15.6" x14ac:dyDescent="0.25">
      <c r="F755" s="330"/>
      <c r="O755" s="787"/>
    </row>
    <row r="756" spans="6:15" ht="15.6" x14ac:dyDescent="0.25">
      <c r="F756" s="330"/>
      <c r="O756" s="787"/>
    </row>
    <row r="757" spans="6:15" ht="15.6" x14ac:dyDescent="0.25">
      <c r="F757" s="330"/>
      <c r="O757" s="787"/>
    </row>
    <row r="758" spans="6:15" ht="15.6" x14ac:dyDescent="0.25">
      <c r="F758" s="330"/>
      <c r="O758" s="787"/>
    </row>
    <row r="759" spans="6:15" ht="15.6" x14ac:dyDescent="0.25">
      <c r="F759" s="330"/>
      <c r="O759" s="787"/>
    </row>
    <row r="760" spans="6:15" ht="15.6" x14ac:dyDescent="0.25">
      <c r="F760" s="330"/>
      <c r="O760" s="787"/>
    </row>
    <row r="761" spans="6:15" ht="15.6" x14ac:dyDescent="0.25">
      <c r="F761" s="330"/>
      <c r="O761" s="787"/>
    </row>
    <row r="762" spans="6:15" ht="15.6" x14ac:dyDescent="0.25">
      <c r="F762" s="330"/>
      <c r="O762" s="787"/>
    </row>
    <row r="763" spans="6:15" ht="15.6" x14ac:dyDescent="0.25">
      <c r="F763" s="330"/>
      <c r="O763" s="787"/>
    </row>
    <row r="764" spans="6:15" ht="15.6" x14ac:dyDescent="0.25">
      <c r="F764" s="330"/>
      <c r="O764" s="787"/>
    </row>
    <row r="765" spans="6:15" ht="15.6" x14ac:dyDescent="0.25">
      <c r="F765" s="330"/>
      <c r="O765" s="787"/>
    </row>
    <row r="766" spans="6:15" ht="15.6" x14ac:dyDescent="0.25">
      <c r="F766" s="330"/>
      <c r="O766" s="787"/>
    </row>
    <row r="767" spans="6:15" ht="15.6" x14ac:dyDescent="0.25">
      <c r="F767" s="330"/>
      <c r="O767" s="787"/>
    </row>
    <row r="768" spans="6:15" ht="15.6" x14ac:dyDescent="0.25">
      <c r="F768" s="330"/>
      <c r="O768" s="787"/>
    </row>
    <row r="769" spans="6:15" ht="15.6" x14ac:dyDescent="0.25">
      <c r="F769" s="330"/>
      <c r="O769" s="787"/>
    </row>
    <row r="770" spans="6:15" ht="15.6" x14ac:dyDescent="0.25">
      <c r="F770" s="330"/>
      <c r="O770" s="787"/>
    </row>
    <row r="771" spans="6:15" ht="15.6" x14ac:dyDescent="0.25">
      <c r="F771" s="330"/>
      <c r="O771" s="787"/>
    </row>
    <row r="772" spans="6:15" ht="15.6" x14ac:dyDescent="0.25">
      <c r="F772" s="330"/>
      <c r="O772" s="787"/>
    </row>
    <row r="773" spans="6:15" ht="15.6" x14ac:dyDescent="0.25">
      <c r="F773" s="330"/>
      <c r="O773" s="787"/>
    </row>
    <row r="774" spans="6:15" ht="15.6" x14ac:dyDescent="0.25">
      <c r="F774" s="330"/>
      <c r="O774" s="787"/>
    </row>
    <row r="775" spans="6:15" ht="15.6" x14ac:dyDescent="0.25">
      <c r="F775" s="330"/>
      <c r="O775" s="787"/>
    </row>
    <row r="776" spans="6:15" ht="15.6" x14ac:dyDescent="0.25">
      <c r="F776" s="330"/>
      <c r="O776" s="787"/>
    </row>
    <row r="777" spans="6:15" ht="15.6" x14ac:dyDescent="0.25">
      <c r="F777" s="330"/>
      <c r="O777" s="787"/>
    </row>
    <row r="778" spans="6:15" ht="15.6" x14ac:dyDescent="0.25">
      <c r="F778" s="330"/>
      <c r="O778" s="787"/>
    </row>
    <row r="779" spans="6:15" ht="15.6" x14ac:dyDescent="0.25">
      <c r="F779" s="330"/>
      <c r="O779" s="787"/>
    </row>
    <row r="780" spans="6:15" ht="15.6" x14ac:dyDescent="0.25">
      <c r="F780" s="330"/>
      <c r="O780" s="787"/>
    </row>
    <row r="781" spans="6:15" ht="15.6" x14ac:dyDescent="0.25">
      <c r="F781" s="330"/>
      <c r="O781" s="787"/>
    </row>
    <row r="782" spans="6:15" ht="15.6" x14ac:dyDescent="0.25">
      <c r="F782" s="330"/>
      <c r="O782" s="787"/>
    </row>
    <row r="783" spans="6:15" ht="15.6" x14ac:dyDescent="0.25">
      <c r="F783" s="330"/>
      <c r="O783" s="787"/>
    </row>
    <row r="784" spans="6:15" ht="15.6" x14ac:dyDescent="0.25">
      <c r="F784" s="330"/>
      <c r="O784" s="787"/>
    </row>
    <row r="785" spans="6:15" ht="15.6" x14ac:dyDescent="0.25">
      <c r="F785" s="330"/>
      <c r="O785" s="787"/>
    </row>
    <row r="786" spans="6:15" ht="15.6" x14ac:dyDescent="0.25">
      <c r="F786" s="330"/>
      <c r="O786" s="787"/>
    </row>
    <row r="787" spans="6:15" ht="15.6" x14ac:dyDescent="0.25">
      <c r="F787" s="330"/>
      <c r="O787" s="787"/>
    </row>
    <row r="788" spans="6:15" ht="15.6" x14ac:dyDescent="0.25">
      <c r="F788" s="330"/>
      <c r="O788" s="787"/>
    </row>
    <row r="789" spans="6:15" ht="15.6" x14ac:dyDescent="0.25">
      <c r="F789" s="330"/>
      <c r="O789" s="787"/>
    </row>
    <row r="790" spans="6:15" ht="15.6" x14ac:dyDescent="0.25">
      <c r="F790" s="330"/>
      <c r="O790" s="787"/>
    </row>
    <row r="791" spans="6:15" ht="15.6" x14ac:dyDescent="0.25">
      <c r="F791" s="330"/>
      <c r="O791" s="787"/>
    </row>
    <row r="792" spans="6:15" ht="15.6" x14ac:dyDescent="0.25">
      <c r="F792" s="330"/>
      <c r="O792" s="787"/>
    </row>
    <row r="793" spans="6:15" ht="15.6" x14ac:dyDescent="0.25">
      <c r="F793" s="330"/>
      <c r="O793" s="787"/>
    </row>
    <row r="794" spans="6:15" ht="15.6" x14ac:dyDescent="0.25">
      <c r="F794" s="330"/>
      <c r="O794" s="787"/>
    </row>
    <row r="795" spans="6:15" ht="15.6" x14ac:dyDescent="0.25">
      <c r="F795" s="330"/>
      <c r="O795" s="787"/>
    </row>
    <row r="796" spans="6:15" ht="15.6" x14ac:dyDescent="0.25">
      <c r="F796" s="330"/>
      <c r="O796" s="787"/>
    </row>
    <row r="797" spans="6:15" ht="15.6" x14ac:dyDescent="0.25">
      <c r="F797" s="330"/>
      <c r="O797" s="787"/>
    </row>
    <row r="798" spans="6:15" ht="15.6" x14ac:dyDescent="0.25">
      <c r="F798" s="330"/>
      <c r="O798" s="787"/>
    </row>
    <row r="799" spans="6:15" ht="15.6" x14ac:dyDescent="0.25">
      <c r="F799" s="330"/>
      <c r="O799" s="787"/>
    </row>
    <row r="800" spans="6:15" ht="15.6" x14ac:dyDescent="0.25">
      <c r="F800" s="330"/>
      <c r="O800" s="787"/>
    </row>
    <row r="801" spans="6:15" ht="15.6" x14ac:dyDescent="0.25">
      <c r="F801" s="330"/>
      <c r="O801" s="787"/>
    </row>
    <row r="802" spans="6:15" ht="15.6" x14ac:dyDescent="0.25">
      <c r="F802" s="330"/>
      <c r="O802" s="787"/>
    </row>
    <row r="803" spans="6:15" ht="15.6" x14ac:dyDescent="0.25">
      <c r="F803" s="330"/>
      <c r="O803" s="787"/>
    </row>
    <row r="804" spans="6:15" ht="15.6" x14ac:dyDescent="0.25">
      <c r="F804" s="330"/>
      <c r="O804" s="787"/>
    </row>
    <row r="805" spans="6:15" ht="15.6" x14ac:dyDescent="0.25">
      <c r="F805" s="330"/>
      <c r="O805" s="787"/>
    </row>
    <row r="806" spans="6:15" ht="15.6" x14ac:dyDescent="0.25">
      <c r="F806" s="330"/>
      <c r="O806" s="787"/>
    </row>
    <row r="807" spans="6:15" ht="15.6" x14ac:dyDescent="0.25">
      <c r="F807" s="330"/>
      <c r="O807" s="787"/>
    </row>
    <row r="808" spans="6:15" ht="15.6" x14ac:dyDescent="0.25">
      <c r="F808" s="330"/>
      <c r="O808" s="787"/>
    </row>
    <row r="809" spans="6:15" ht="15.6" x14ac:dyDescent="0.25">
      <c r="F809" s="330"/>
      <c r="O809" s="787"/>
    </row>
    <row r="810" spans="6:15" ht="15.6" x14ac:dyDescent="0.25">
      <c r="F810" s="330"/>
      <c r="O810" s="787"/>
    </row>
    <row r="811" spans="6:15" ht="15.6" x14ac:dyDescent="0.25">
      <c r="F811" s="330"/>
      <c r="O811" s="787"/>
    </row>
    <row r="812" spans="6:15" ht="15.6" x14ac:dyDescent="0.25">
      <c r="F812" s="330"/>
      <c r="O812" s="787"/>
    </row>
    <row r="813" spans="6:15" ht="15.6" x14ac:dyDescent="0.25">
      <c r="F813" s="330"/>
      <c r="O813" s="787"/>
    </row>
    <row r="814" spans="6:15" ht="15.6" x14ac:dyDescent="0.25">
      <c r="F814" s="330"/>
      <c r="O814" s="787"/>
    </row>
    <row r="815" spans="6:15" ht="15.6" x14ac:dyDescent="0.25">
      <c r="F815" s="330"/>
      <c r="O815" s="787"/>
    </row>
    <row r="816" spans="6:15" ht="15.6" x14ac:dyDescent="0.25">
      <c r="F816" s="330"/>
      <c r="O816" s="787"/>
    </row>
    <row r="817" spans="6:15" ht="15.6" x14ac:dyDescent="0.25">
      <c r="F817" s="330"/>
      <c r="O817" s="787"/>
    </row>
    <row r="818" spans="6:15" ht="15.6" x14ac:dyDescent="0.25">
      <c r="F818" s="330"/>
      <c r="O818" s="787"/>
    </row>
    <row r="819" spans="6:15" ht="15.6" x14ac:dyDescent="0.25">
      <c r="F819" s="330"/>
      <c r="O819" s="787"/>
    </row>
    <row r="820" spans="6:15" ht="15.6" x14ac:dyDescent="0.25">
      <c r="F820" s="330"/>
      <c r="O820" s="787"/>
    </row>
    <row r="821" spans="6:15" ht="15.6" x14ac:dyDescent="0.25">
      <c r="F821" s="330"/>
      <c r="O821" s="787"/>
    </row>
    <row r="822" spans="6:15" ht="15.6" x14ac:dyDescent="0.25">
      <c r="F822" s="330"/>
      <c r="O822" s="787"/>
    </row>
    <row r="823" spans="6:15" ht="15.6" x14ac:dyDescent="0.25">
      <c r="F823" s="330"/>
      <c r="O823" s="787"/>
    </row>
    <row r="824" spans="6:15" ht="15.6" x14ac:dyDescent="0.25">
      <c r="F824" s="330"/>
      <c r="O824" s="787"/>
    </row>
    <row r="825" spans="6:15" ht="15.6" x14ac:dyDescent="0.25">
      <c r="F825" s="330"/>
      <c r="O825" s="787"/>
    </row>
    <row r="826" spans="6:15" ht="15.6" x14ac:dyDescent="0.25">
      <c r="F826" s="330"/>
      <c r="O826" s="787"/>
    </row>
    <row r="827" spans="6:15" ht="15.6" x14ac:dyDescent="0.25">
      <c r="F827" s="330"/>
      <c r="O827" s="787"/>
    </row>
    <row r="828" spans="6:15" ht="15.6" x14ac:dyDescent="0.25">
      <c r="F828" s="330"/>
      <c r="O828" s="787"/>
    </row>
    <row r="829" spans="6:15" ht="15.6" x14ac:dyDescent="0.25">
      <c r="F829" s="330"/>
      <c r="O829" s="787"/>
    </row>
    <row r="830" spans="6:15" ht="15.6" x14ac:dyDescent="0.25">
      <c r="F830" s="330"/>
      <c r="O830" s="787"/>
    </row>
    <row r="831" spans="6:15" ht="15.6" x14ac:dyDescent="0.25">
      <c r="F831" s="330"/>
      <c r="O831" s="787"/>
    </row>
    <row r="832" spans="6:15" ht="15.6" x14ac:dyDescent="0.25">
      <c r="F832" s="330"/>
      <c r="O832" s="787"/>
    </row>
    <row r="833" spans="6:15" ht="15.6" x14ac:dyDescent="0.25">
      <c r="F833" s="330"/>
      <c r="O833" s="787"/>
    </row>
    <row r="834" spans="6:15" ht="15.6" x14ac:dyDescent="0.25">
      <c r="F834" s="330"/>
      <c r="O834" s="787"/>
    </row>
    <row r="835" spans="6:15" ht="15.6" x14ac:dyDescent="0.25">
      <c r="F835" s="330"/>
      <c r="O835" s="787"/>
    </row>
    <row r="836" spans="6:15" ht="15.6" x14ac:dyDescent="0.25">
      <c r="F836" s="330"/>
      <c r="O836" s="787"/>
    </row>
    <row r="837" spans="6:15" ht="15.6" x14ac:dyDescent="0.25">
      <c r="F837" s="330"/>
      <c r="O837" s="787"/>
    </row>
    <row r="838" spans="6:15" ht="15.6" x14ac:dyDescent="0.25">
      <c r="F838" s="330"/>
      <c r="O838" s="787"/>
    </row>
    <row r="839" spans="6:15" ht="15.6" x14ac:dyDescent="0.25">
      <c r="F839" s="330"/>
      <c r="O839" s="787"/>
    </row>
    <row r="840" spans="6:15" ht="15.6" x14ac:dyDescent="0.25">
      <c r="F840" s="330"/>
      <c r="O840" s="787"/>
    </row>
    <row r="841" spans="6:15" ht="15.6" x14ac:dyDescent="0.25">
      <c r="F841" s="330"/>
      <c r="O841" s="787"/>
    </row>
    <row r="842" spans="6:15" ht="15.6" x14ac:dyDescent="0.25">
      <c r="F842" s="330"/>
      <c r="O842" s="787"/>
    </row>
    <row r="843" spans="6:15" ht="15.6" x14ac:dyDescent="0.25">
      <c r="F843" s="330"/>
      <c r="O843" s="787"/>
    </row>
    <row r="844" spans="6:15" ht="15.6" x14ac:dyDescent="0.25">
      <c r="F844" s="330"/>
      <c r="O844" s="787"/>
    </row>
    <row r="845" spans="6:15" ht="15.6" x14ac:dyDescent="0.25">
      <c r="F845" s="330"/>
      <c r="O845" s="787"/>
    </row>
    <row r="846" spans="6:15" ht="15.6" x14ac:dyDescent="0.25">
      <c r="F846" s="330"/>
      <c r="O846" s="787"/>
    </row>
    <row r="847" spans="6:15" ht="15.6" x14ac:dyDescent="0.25">
      <c r="F847" s="330"/>
      <c r="O847" s="787"/>
    </row>
    <row r="848" spans="6:15" ht="15.6" x14ac:dyDescent="0.25">
      <c r="F848" s="330"/>
      <c r="O848" s="787"/>
    </row>
    <row r="849" spans="6:15" ht="15.6" x14ac:dyDescent="0.25">
      <c r="F849" s="330"/>
      <c r="O849" s="787"/>
    </row>
    <row r="850" spans="6:15" ht="15.6" x14ac:dyDescent="0.25">
      <c r="F850" s="330"/>
      <c r="O850" s="787"/>
    </row>
    <row r="851" spans="6:15" ht="15.6" x14ac:dyDescent="0.25">
      <c r="F851" s="330"/>
      <c r="O851" s="787"/>
    </row>
    <row r="852" spans="6:15" ht="15.6" x14ac:dyDescent="0.25">
      <c r="F852" s="330"/>
      <c r="O852" s="787"/>
    </row>
    <row r="853" spans="6:15" ht="15.6" x14ac:dyDescent="0.25">
      <c r="F853" s="330"/>
      <c r="O853" s="787"/>
    </row>
    <row r="854" spans="6:15" ht="15.6" x14ac:dyDescent="0.25">
      <c r="F854" s="330"/>
      <c r="O854" s="787"/>
    </row>
    <row r="855" spans="6:15" ht="15.6" x14ac:dyDescent="0.25">
      <c r="F855" s="330"/>
      <c r="O855" s="787"/>
    </row>
    <row r="856" spans="6:15" ht="15.6" x14ac:dyDescent="0.25">
      <c r="F856" s="330"/>
      <c r="O856" s="787"/>
    </row>
    <row r="857" spans="6:15" ht="15.6" x14ac:dyDescent="0.25">
      <c r="F857" s="330"/>
      <c r="O857" s="787"/>
    </row>
    <row r="858" spans="6:15" ht="15.6" x14ac:dyDescent="0.25">
      <c r="F858" s="330"/>
      <c r="O858" s="787"/>
    </row>
    <row r="859" spans="6:15" ht="15.6" x14ac:dyDescent="0.25">
      <c r="F859" s="330"/>
      <c r="O859" s="787"/>
    </row>
    <row r="860" spans="6:15" ht="15.6" x14ac:dyDescent="0.25">
      <c r="F860" s="330"/>
      <c r="O860" s="787"/>
    </row>
    <row r="861" spans="6:15" ht="15.6" x14ac:dyDescent="0.25">
      <c r="F861" s="330"/>
      <c r="O861" s="787"/>
    </row>
    <row r="862" spans="6:15" ht="15.6" x14ac:dyDescent="0.25">
      <c r="F862" s="330"/>
      <c r="O862" s="787"/>
    </row>
    <row r="863" spans="6:15" ht="15.6" x14ac:dyDescent="0.25">
      <c r="F863" s="330"/>
      <c r="O863" s="787"/>
    </row>
    <row r="864" spans="6:15" ht="15.6" x14ac:dyDescent="0.25">
      <c r="F864" s="330"/>
      <c r="O864" s="787"/>
    </row>
    <row r="865" spans="6:15" ht="15.6" x14ac:dyDescent="0.25">
      <c r="F865" s="330"/>
      <c r="O865" s="787"/>
    </row>
    <row r="866" spans="6:15" ht="15.6" x14ac:dyDescent="0.25">
      <c r="F866" s="330"/>
      <c r="O866" s="787"/>
    </row>
    <row r="867" spans="6:15" ht="15.6" x14ac:dyDescent="0.25">
      <c r="F867" s="330"/>
      <c r="O867" s="787"/>
    </row>
    <row r="868" spans="6:15" ht="15.6" x14ac:dyDescent="0.25">
      <c r="F868" s="330"/>
      <c r="O868" s="787"/>
    </row>
    <row r="869" spans="6:15" ht="15.6" x14ac:dyDescent="0.25">
      <c r="F869" s="330"/>
      <c r="O869" s="787"/>
    </row>
    <row r="870" spans="6:15" ht="15.6" x14ac:dyDescent="0.25">
      <c r="F870" s="330"/>
      <c r="O870" s="787"/>
    </row>
    <row r="871" spans="6:15" ht="15.6" x14ac:dyDescent="0.25">
      <c r="F871" s="330"/>
      <c r="O871" s="787"/>
    </row>
    <row r="872" spans="6:15" ht="15.6" x14ac:dyDescent="0.25">
      <c r="F872" s="330"/>
      <c r="O872" s="787"/>
    </row>
    <row r="873" spans="6:15" ht="15.6" x14ac:dyDescent="0.25">
      <c r="F873" s="330"/>
      <c r="O873" s="787"/>
    </row>
    <row r="874" spans="6:15" ht="15.6" x14ac:dyDescent="0.25">
      <c r="F874" s="330"/>
      <c r="O874" s="787"/>
    </row>
    <row r="875" spans="6:15" ht="15.6" x14ac:dyDescent="0.25">
      <c r="F875" s="330"/>
      <c r="O875" s="787"/>
    </row>
    <row r="876" spans="6:15" ht="15.6" x14ac:dyDescent="0.25">
      <c r="F876" s="330"/>
      <c r="O876" s="787"/>
    </row>
    <row r="877" spans="6:15" ht="15.6" x14ac:dyDescent="0.25">
      <c r="F877" s="330"/>
      <c r="O877" s="787"/>
    </row>
    <row r="878" spans="6:15" ht="15.6" x14ac:dyDescent="0.25">
      <c r="F878" s="330"/>
      <c r="O878" s="787"/>
    </row>
    <row r="879" spans="6:15" ht="15.6" x14ac:dyDescent="0.25">
      <c r="F879" s="330"/>
      <c r="O879" s="787"/>
    </row>
    <row r="880" spans="6:15" ht="15.6" x14ac:dyDescent="0.25">
      <c r="F880" s="330"/>
      <c r="O880" s="787"/>
    </row>
    <row r="881" spans="6:15" ht="15.6" x14ac:dyDescent="0.25">
      <c r="F881" s="330"/>
      <c r="O881" s="787"/>
    </row>
    <row r="882" spans="6:15" ht="15.6" x14ac:dyDescent="0.25">
      <c r="F882" s="330"/>
      <c r="O882" s="787"/>
    </row>
    <row r="883" spans="6:15" ht="15.6" x14ac:dyDescent="0.25">
      <c r="F883" s="330"/>
      <c r="O883" s="787"/>
    </row>
    <row r="884" spans="6:15" ht="15.6" x14ac:dyDescent="0.25">
      <c r="F884" s="330"/>
      <c r="O884" s="787"/>
    </row>
    <row r="885" spans="6:15" ht="15.6" x14ac:dyDescent="0.25">
      <c r="F885" s="330"/>
      <c r="O885" s="787"/>
    </row>
    <row r="886" spans="6:15" ht="15.6" x14ac:dyDescent="0.25">
      <c r="F886" s="330"/>
      <c r="O886" s="787"/>
    </row>
    <row r="887" spans="6:15" ht="15.6" x14ac:dyDescent="0.25">
      <c r="F887" s="330"/>
      <c r="O887" s="787"/>
    </row>
    <row r="888" spans="6:15" ht="15.6" x14ac:dyDescent="0.25">
      <c r="F888" s="330"/>
      <c r="O888" s="787"/>
    </row>
    <row r="889" spans="6:15" ht="15.6" x14ac:dyDescent="0.25">
      <c r="F889" s="330"/>
      <c r="O889" s="787"/>
    </row>
    <row r="890" spans="6:15" ht="15.6" x14ac:dyDescent="0.25">
      <c r="F890" s="330"/>
      <c r="O890" s="787"/>
    </row>
    <row r="891" spans="6:15" ht="15.6" x14ac:dyDescent="0.25">
      <c r="F891" s="330"/>
      <c r="O891" s="787"/>
    </row>
    <row r="892" spans="6:15" ht="15.6" x14ac:dyDescent="0.25">
      <c r="F892" s="330"/>
      <c r="O892" s="787"/>
    </row>
    <row r="893" spans="6:15" ht="15.6" x14ac:dyDescent="0.25">
      <c r="F893" s="330"/>
      <c r="O893" s="787"/>
    </row>
    <row r="894" spans="6:15" ht="15.6" x14ac:dyDescent="0.25">
      <c r="F894" s="330"/>
      <c r="O894" s="787"/>
    </row>
    <row r="895" spans="6:15" ht="15.6" x14ac:dyDescent="0.25">
      <c r="F895" s="330"/>
      <c r="O895" s="787"/>
    </row>
    <row r="896" spans="6:15" ht="15.6" x14ac:dyDescent="0.25">
      <c r="F896" s="330"/>
      <c r="O896" s="787"/>
    </row>
    <row r="897" spans="6:15" ht="15.6" x14ac:dyDescent="0.25">
      <c r="F897" s="330"/>
      <c r="O897" s="787"/>
    </row>
    <row r="898" spans="6:15" ht="15.6" x14ac:dyDescent="0.25">
      <c r="F898" s="330"/>
      <c r="O898" s="787"/>
    </row>
    <row r="899" spans="6:15" ht="15.6" x14ac:dyDescent="0.25">
      <c r="F899" s="330"/>
      <c r="O899" s="787"/>
    </row>
    <row r="900" spans="6:15" ht="15.6" x14ac:dyDescent="0.25">
      <c r="F900" s="330"/>
      <c r="O900" s="787"/>
    </row>
    <row r="901" spans="6:15" ht="15.6" x14ac:dyDescent="0.25">
      <c r="F901" s="330"/>
      <c r="O901" s="787"/>
    </row>
    <row r="902" spans="6:15" ht="15.6" x14ac:dyDescent="0.25">
      <c r="F902" s="330"/>
      <c r="O902" s="787"/>
    </row>
    <row r="903" spans="6:15" ht="15.6" x14ac:dyDescent="0.25">
      <c r="F903" s="330"/>
      <c r="O903" s="787"/>
    </row>
    <row r="904" spans="6:15" ht="15.6" x14ac:dyDescent="0.25">
      <c r="F904" s="330"/>
      <c r="O904" s="787"/>
    </row>
    <row r="905" spans="6:15" ht="15.6" x14ac:dyDescent="0.25">
      <c r="F905" s="330"/>
      <c r="O905" s="787"/>
    </row>
    <row r="906" spans="6:15" ht="15.6" x14ac:dyDescent="0.25">
      <c r="F906" s="330"/>
      <c r="O906" s="787"/>
    </row>
    <row r="907" spans="6:15" ht="15.6" x14ac:dyDescent="0.25">
      <c r="F907" s="330"/>
      <c r="O907" s="787"/>
    </row>
    <row r="908" spans="6:15" ht="15.6" x14ac:dyDescent="0.25">
      <c r="F908" s="330"/>
      <c r="O908" s="787"/>
    </row>
    <row r="909" spans="6:15" ht="15.6" x14ac:dyDescent="0.25">
      <c r="F909" s="330"/>
      <c r="O909" s="787"/>
    </row>
    <row r="910" spans="6:15" ht="15.6" x14ac:dyDescent="0.25">
      <c r="F910" s="330"/>
      <c r="O910" s="787"/>
    </row>
    <row r="911" spans="6:15" ht="15.6" x14ac:dyDescent="0.25">
      <c r="F911" s="330"/>
      <c r="O911" s="787"/>
    </row>
    <row r="912" spans="6:15" ht="15.6" x14ac:dyDescent="0.25">
      <c r="F912" s="330"/>
      <c r="O912" s="787"/>
    </row>
    <row r="913" spans="6:15" ht="15.6" x14ac:dyDescent="0.25">
      <c r="F913" s="330"/>
      <c r="O913" s="787"/>
    </row>
    <row r="914" spans="6:15" ht="15.6" x14ac:dyDescent="0.25">
      <c r="F914" s="330"/>
      <c r="O914" s="787"/>
    </row>
    <row r="915" spans="6:15" ht="15.6" x14ac:dyDescent="0.25">
      <c r="F915" s="330"/>
      <c r="O915" s="787"/>
    </row>
    <row r="916" spans="6:15" ht="15.6" x14ac:dyDescent="0.25">
      <c r="F916" s="330"/>
      <c r="O916" s="787"/>
    </row>
    <row r="917" spans="6:15" ht="15.6" x14ac:dyDescent="0.25">
      <c r="F917" s="330"/>
      <c r="O917" s="787"/>
    </row>
    <row r="918" spans="6:15" ht="15.6" x14ac:dyDescent="0.25">
      <c r="F918" s="330"/>
      <c r="O918" s="787"/>
    </row>
    <row r="919" spans="6:15" ht="15.6" x14ac:dyDescent="0.25">
      <c r="F919" s="330"/>
      <c r="O919" s="787"/>
    </row>
    <row r="920" spans="6:15" ht="15.6" x14ac:dyDescent="0.25">
      <c r="F920" s="330"/>
      <c r="O920" s="787"/>
    </row>
    <row r="921" spans="6:15" ht="15.6" x14ac:dyDescent="0.25">
      <c r="F921" s="330"/>
      <c r="O921" s="787"/>
    </row>
    <row r="922" spans="6:15" ht="15.6" x14ac:dyDescent="0.25">
      <c r="F922" s="330"/>
      <c r="O922" s="787"/>
    </row>
    <row r="923" spans="6:15" ht="15.6" x14ac:dyDescent="0.25">
      <c r="F923" s="330"/>
      <c r="O923" s="787"/>
    </row>
    <row r="924" spans="6:15" ht="15.6" x14ac:dyDescent="0.25">
      <c r="F924" s="330"/>
      <c r="O924" s="787"/>
    </row>
    <row r="925" spans="6:15" ht="15.6" x14ac:dyDescent="0.25">
      <c r="F925" s="330"/>
      <c r="O925" s="787"/>
    </row>
    <row r="926" spans="6:15" ht="15.6" x14ac:dyDescent="0.25">
      <c r="F926" s="330"/>
      <c r="O926" s="787"/>
    </row>
    <row r="927" spans="6:15" ht="15.6" x14ac:dyDescent="0.25">
      <c r="F927" s="330"/>
      <c r="O927" s="787"/>
    </row>
    <row r="928" spans="6:15" ht="15.6" x14ac:dyDescent="0.25">
      <c r="F928" s="330"/>
      <c r="O928" s="787"/>
    </row>
    <row r="929" spans="6:15" ht="15.6" x14ac:dyDescent="0.25">
      <c r="F929" s="330"/>
      <c r="O929" s="787"/>
    </row>
    <row r="930" spans="6:15" ht="15.6" x14ac:dyDescent="0.25">
      <c r="F930" s="330"/>
      <c r="O930" s="787"/>
    </row>
    <row r="931" spans="6:15" ht="15.6" x14ac:dyDescent="0.25">
      <c r="F931" s="330"/>
      <c r="O931" s="787"/>
    </row>
    <row r="932" spans="6:15" ht="15.6" x14ac:dyDescent="0.25">
      <c r="F932" s="330"/>
      <c r="O932" s="787"/>
    </row>
    <row r="933" spans="6:15" ht="15.6" x14ac:dyDescent="0.25">
      <c r="F933" s="330"/>
      <c r="O933" s="787"/>
    </row>
    <row r="934" spans="6:15" ht="15.6" x14ac:dyDescent="0.25">
      <c r="F934" s="330"/>
      <c r="O934" s="787"/>
    </row>
    <row r="935" spans="6:15" ht="15.6" x14ac:dyDescent="0.25">
      <c r="F935" s="330"/>
      <c r="O935" s="787"/>
    </row>
    <row r="936" spans="6:15" ht="15.6" x14ac:dyDescent="0.25">
      <c r="F936" s="330"/>
      <c r="O936" s="787"/>
    </row>
    <row r="937" spans="6:15" ht="15.6" x14ac:dyDescent="0.25">
      <c r="F937" s="330"/>
      <c r="O937" s="787"/>
    </row>
    <row r="938" spans="6:15" ht="15.6" x14ac:dyDescent="0.25">
      <c r="F938" s="330"/>
      <c r="O938" s="787"/>
    </row>
    <row r="939" spans="6:15" ht="15.6" x14ac:dyDescent="0.25">
      <c r="F939" s="330"/>
      <c r="O939" s="787"/>
    </row>
    <row r="940" spans="6:15" ht="15.6" x14ac:dyDescent="0.25">
      <c r="F940" s="330"/>
      <c r="O940" s="787"/>
    </row>
    <row r="941" spans="6:15" ht="15.6" x14ac:dyDescent="0.25">
      <c r="F941" s="330"/>
      <c r="O941" s="787"/>
    </row>
    <row r="942" spans="6:15" ht="15.6" x14ac:dyDescent="0.25">
      <c r="F942" s="330"/>
      <c r="O942" s="787"/>
    </row>
    <row r="943" spans="6:15" ht="15.6" x14ac:dyDescent="0.25">
      <c r="F943" s="330"/>
      <c r="O943" s="787"/>
    </row>
    <row r="944" spans="6:15" ht="15.6" x14ac:dyDescent="0.25">
      <c r="F944" s="330"/>
      <c r="O944" s="787"/>
    </row>
    <row r="945" spans="6:15" ht="15.6" x14ac:dyDescent="0.25">
      <c r="F945" s="330"/>
      <c r="O945" s="787"/>
    </row>
    <row r="946" spans="6:15" ht="15.6" x14ac:dyDescent="0.25">
      <c r="F946" s="330"/>
      <c r="O946" s="787"/>
    </row>
    <row r="947" spans="6:15" ht="15.6" x14ac:dyDescent="0.25">
      <c r="F947" s="330"/>
      <c r="O947" s="787"/>
    </row>
    <row r="948" spans="6:15" ht="15.6" x14ac:dyDescent="0.25">
      <c r="F948" s="330"/>
      <c r="O948" s="787"/>
    </row>
    <row r="949" spans="6:15" ht="15.6" x14ac:dyDescent="0.25">
      <c r="F949" s="330"/>
      <c r="O949" s="787"/>
    </row>
    <row r="950" spans="6:15" ht="15.6" x14ac:dyDescent="0.25">
      <c r="F950" s="330"/>
      <c r="O950" s="787"/>
    </row>
    <row r="951" spans="6:15" ht="15.6" x14ac:dyDescent="0.25">
      <c r="F951" s="330"/>
      <c r="O951" s="787"/>
    </row>
    <row r="952" spans="6:15" ht="15.6" x14ac:dyDescent="0.25">
      <c r="F952" s="330"/>
      <c r="O952" s="787"/>
    </row>
    <row r="953" spans="6:15" ht="15.6" x14ac:dyDescent="0.25">
      <c r="F953" s="330"/>
      <c r="O953" s="787"/>
    </row>
    <row r="954" spans="6:15" ht="15.6" x14ac:dyDescent="0.25">
      <c r="F954" s="330"/>
      <c r="O954" s="787"/>
    </row>
    <row r="955" spans="6:15" ht="15.6" x14ac:dyDescent="0.25">
      <c r="F955" s="330"/>
      <c r="O955" s="787"/>
    </row>
    <row r="956" spans="6:15" ht="15.6" x14ac:dyDescent="0.25">
      <c r="F956" s="330"/>
      <c r="O956" s="787"/>
    </row>
    <row r="957" spans="6:15" ht="15.6" x14ac:dyDescent="0.25">
      <c r="F957" s="330"/>
      <c r="O957" s="787"/>
    </row>
    <row r="958" spans="6:15" ht="15.6" x14ac:dyDescent="0.25">
      <c r="F958" s="330"/>
      <c r="O958" s="787"/>
    </row>
    <row r="959" spans="6:15" ht="15.6" x14ac:dyDescent="0.25">
      <c r="F959" s="330"/>
      <c r="O959" s="787"/>
    </row>
    <row r="960" spans="6:15" ht="15.6" x14ac:dyDescent="0.25">
      <c r="F960" s="330"/>
      <c r="O960" s="787"/>
    </row>
    <row r="961" spans="6:15" ht="15.6" x14ac:dyDescent="0.25">
      <c r="F961" s="330"/>
      <c r="O961" s="787"/>
    </row>
    <row r="962" spans="6:15" ht="15.6" x14ac:dyDescent="0.25">
      <c r="F962" s="330"/>
      <c r="O962" s="787"/>
    </row>
    <row r="963" spans="6:15" ht="15.6" x14ac:dyDescent="0.25">
      <c r="F963" s="330"/>
      <c r="O963" s="787"/>
    </row>
    <row r="964" spans="6:15" ht="15.6" x14ac:dyDescent="0.25">
      <c r="F964" s="330"/>
      <c r="O964" s="787"/>
    </row>
    <row r="965" spans="6:15" ht="15.6" x14ac:dyDescent="0.25">
      <c r="F965" s="330"/>
      <c r="O965" s="787"/>
    </row>
    <row r="966" spans="6:15" ht="15.6" x14ac:dyDescent="0.25">
      <c r="F966" s="330"/>
      <c r="O966" s="787"/>
    </row>
    <row r="967" spans="6:15" ht="15.6" x14ac:dyDescent="0.25">
      <c r="F967" s="330"/>
      <c r="O967" s="787"/>
    </row>
    <row r="968" spans="6:15" ht="15.6" x14ac:dyDescent="0.25">
      <c r="F968" s="330"/>
      <c r="O968" s="787"/>
    </row>
    <row r="969" spans="6:15" ht="15.6" x14ac:dyDescent="0.25">
      <c r="F969" s="330"/>
      <c r="O969" s="787"/>
    </row>
    <row r="970" spans="6:15" ht="15.6" x14ac:dyDescent="0.25">
      <c r="F970" s="330"/>
      <c r="O970" s="787"/>
    </row>
    <row r="971" spans="6:15" ht="15.6" x14ac:dyDescent="0.25">
      <c r="F971" s="330"/>
      <c r="O971" s="787"/>
    </row>
    <row r="972" spans="6:15" ht="15.6" x14ac:dyDescent="0.25">
      <c r="F972" s="330"/>
      <c r="O972" s="787"/>
    </row>
    <row r="973" spans="6:15" ht="15.6" x14ac:dyDescent="0.25">
      <c r="F973" s="330"/>
      <c r="O973" s="787"/>
    </row>
    <row r="974" spans="6:15" ht="15.6" x14ac:dyDescent="0.25">
      <c r="F974" s="330"/>
      <c r="O974" s="787"/>
    </row>
    <row r="975" spans="6:15" ht="15.6" x14ac:dyDescent="0.25">
      <c r="F975" s="330"/>
      <c r="O975" s="787"/>
    </row>
    <row r="976" spans="6:15" ht="15.6" x14ac:dyDescent="0.25">
      <c r="F976" s="330"/>
      <c r="O976" s="787"/>
    </row>
    <row r="977" spans="6:15" ht="15.6" x14ac:dyDescent="0.25">
      <c r="F977" s="330"/>
      <c r="O977" s="787"/>
    </row>
    <row r="978" spans="6:15" ht="15.6" x14ac:dyDescent="0.25">
      <c r="F978" s="330"/>
      <c r="O978" s="787"/>
    </row>
    <row r="979" spans="6:15" ht="15.6" x14ac:dyDescent="0.25">
      <c r="F979" s="330"/>
      <c r="O979" s="787"/>
    </row>
    <row r="980" spans="6:15" ht="15.6" x14ac:dyDescent="0.25">
      <c r="F980" s="330"/>
      <c r="O980" s="787"/>
    </row>
    <row r="981" spans="6:15" ht="15.6" x14ac:dyDescent="0.25">
      <c r="F981" s="330"/>
      <c r="O981" s="787"/>
    </row>
    <row r="982" spans="6:15" ht="15.6" x14ac:dyDescent="0.25">
      <c r="F982" s="330"/>
      <c r="O982" s="787"/>
    </row>
    <row r="983" spans="6:15" ht="15.6" x14ac:dyDescent="0.25">
      <c r="F983" s="330"/>
      <c r="O983" s="787"/>
    </row>
    <row r="984" spans="6:15" ht="15.6" x14ac:dyDescent="0.25">
      <c r="F984" s="330"/>
      <c r="O984" s="787"/>
    </row>
    <row r="985" spans="6:15" ht="15.6" x14ac:dyDescent="0.25">
      <c r="F985" s="330"/>
      <c r="O985" s="787"/>
    </row>
    <row r="986" spans="6:15" ht="15.6" x14ac:dyDescent="0.25">
      <c r="F986" s="330"/>
      <c r="O986" s="787"/>
    </row>
    <row r="987" spans="6:15" ht="15.6" x14ac:dyDescent="0.25">
      <c r="F987" s="330"/>
      <c r="O987" s="787"/>
    </row>
    <row r="988" spans="6:15" ht="15.6" x14ac:dyDescent="0.25">
      <c r="F988" s="330"/>
      <c r="O988" s="787"/>
    </row>
    <row r="989" spans="6:15" ht="15.6" x14ac:dyDescent="0.25">
      <c r="F989" s="330"/>
      <c r="O989" s="787"/>
    </row>
    <row r="990" spans="6:15" ht="15.6" x14ac:dyDescent="0.25">
      <c r="F990" s="330"/>
      <c r="O990" s="787"/>
    </row>
    <row r="991" spans="6:15" ht="15.6" x14ac:dyDescent="0.25">
      <c r="F991" s="330"/>
      <c r="O991" s="787"/>
    </row>
    <row r="992" spans="6:15" ht="15.6" x14ac:dyDescent="0.25">
      <c r="F992" s="330"/>
      <c r="O992" s="787"/>
    </row>
    <row r="993" spans="6:15" ht="15.6" x14ac:dyDescent="0.25">
      <c r="F993" s="330"/>
      <c r="O993" s="787"/>
    </row>
    <row r="994" spans="6:15" ht="15.6" x14ac:dyDescent="0.25">
      <c r="F994" s="330"/>
      <c r="O994" s="787"/>
    </row>
    <row r="995" spans="6:15" ht="15.6" x14ac:dyDescent="0.25">
      <c r="F995" s="330"/>
      <c r="O995" s="787"/>
    </row>
    <row r="996" spans="6:15" ht="15.6" x14ac:dyDescent="0.25">
      <c r="F996" s="330"/>
      <c r="O996" s="787"/>
    </row>
    <row r="997" spans="6:15" ht="15.6" x14ac:dyDescent="0.25">
      <c r="F997" s="330"/>
      <c r="O997" s="787"/>
    </row>
    <row r="998" spans="6:15" ht="15.6" x14ac:dyDescent="0.25">
      <c r="F998" s="330"/>
      <c r="O998" s="787"/>
    </row>
    <row r="999" spans="6:15" ht="15.6" x14ac:dyDescent="0.25">
      <c r="F999" s="330"/>
      <c r="O999" s="787"/>
    </row>
    <row r="1000" spans="6:15" ht="15.6" x14ac:dyDescent="0.25">
      <c r="F1000" s="330"/>
      <c r="O1000" s="787"/>
    </row>
    <row r="1001" spans="6:15" ht="15.6" x14ac:dyDescent="0.25">
      <c r="F1001" s="330"/>
      <c r="O1001" s="787"/>
    </row>
    <row r="1002" spans="6:15" ht="15.6" x14ac:dyDescent="0.25">
      <c r="F1002" s="330"/>
      <c r="O1002" s="787"/>
    </row>
    <row r="1003" spans="6:15" ht="15.6" x14ac:dyDescent="0.25">
      <c r="F1003" s="330"/>
      <c r="O1003" s="787"/>
    </row>
    <row r="1004" spans="6:15" ht="15.6" x14ac:dyDescent="0.25">
      <c r="F1004" s="330"/>
      <c r="O1004" s="787"/>
    </row>
    <row r="1005" spans="6:15" ht="15.6" x14ac:dyDescent="0.25">
      <c r="F1005" s="330"/>
      <c r="O1005" s="787"/>
    </row>
    <row r="1006" spans="6:15" ht="15.6" x14ac:dyDescent="0.25">
      <c r="F1006" s="330"/>
      <c r="O1006" s="787"/>
    </row>
    <row r="1007" spans="6:15" ht="15.6" x14ac:dyDescent="0.25">
      <c r="F1007" s="330"/>
      <c r="O1007" s="787"/>
    </row>
    <row r="1008" spans="6:15" ht="15.6" x14ac:dyDescent="0.25">
      <c r="F1008" s="330"/>
      <c r="O1008" s="787"/>
    </row>
    <row r="1009" spans="6:15" ht="15.6" x14ac:dyDescent="0.25">
      <c r="F1009" s="330"/>
      <c r="O1009" s="787"/>
    </row>
    <row r="1010" spans="6:15" ht="15.6" x14ac:dyDescent="0.25">
      <c r="F1010" s="330"/>
      <c r="O1010" s="787"/>
    </row>
    <row r="1011" spans="6:15" ht="15.6" x14ac:dyDescent="0.25">
      <c r="F1011" s="330"/>
      <c r="O1011" s="787"/>
    </row>
    <row r="1012" spans="6:15" ht="15.6" x14ac:dyDescent="0.25">
      <c r="F1012" s="330"/>
      <c r="O1012" s="787"/>
    </row>
    <row r="1013" spans="6:15" ht="15.6" x14ac:dyDescent="0.25">
      <c r="F1013" s="330"/>
      <c r="O1013" s="787"/>
    </row>
    <row r="1014" spans="6:15" ht="15.6" x14ac:dyDescent="0.25">
      <c r="F1014" s="330"/>
      <c r="O1014" s="787"/>
    </row>
    <row r="1015" spans="6:15" ht="15.6" x14ac:dyDescent="0.25">
      <c r="F1015" s="330"/>
      <c r="O1015" s="787"/>
    </row>
    <row r="1016" spans="6:15" ht="15.6" x14ac:dyDescent="0.25">
      <c r="F1016" s="330"/>
      <c r="O1016" s="787"/>
    </row>
    <row r="1017" spans="6:15" ht="15.6" x14ac:dyDescent="0.25">
      <c r="F1017" s="330"/>
      <c r="O1017" s="787"/>
    </row>
    <row r="1018" spans="6:15" ht="15.6" x14ac:dyDescent="0.25">
      <c r="F1018" s="330"/>
      <c r="O1018" s="787"/>
    </row>
    <row r="1019" spans="6:15" ht="15.6" x14ac:dyDescent="0.25">
      <c r="F1019" s="330"/>
      <c r="O1019" s="787"/>
    </row>
    <row r="1020" spans="6:15" ht="15.6" x14ac:dyDescent="0.25">
      <c r="F1020" s="330"/>
      <c r="O1020" s="787"/>
    </row>
    <row r="1021" spans="6:15" ht="15.6" x14ac:dyDescent="0.25">
      <c r="F1021" s="330"/>
      <c r="O1021" s="787"/>
    </row>
    <row r="1022" spans="6:15" ht="15.6" x14ac:dyDescent="0.25">
      <c r="F1022" s="330"/>
      <c r="O1022" s="787"/>
    </row>
    <row r="1023" spans="6:15" ht="15.6" x14ac:dyDescent="0.25">
      <c r="F1023" s="330"/>
      <c r="O1023" s="787"/>
    </row>
    <row r="1024" spans="6:15" ht="15.6" x14ac:dyDescent="0.25">
      <c r="F1024" s="330"/>
      <c r="O1024" s="787"/>
    </row>
    <row r="1025" spans="6:15" ht="15.6" x14ac:dyDescent="0.25">
      <c r="F1025" s="330"/>
      <c r="O1025" s="787"/>
    </row>
    <row r="1026" spans="6:15" ht="15.6" x14ac:dyDescent="0.25">
      <c r="F1026" s="330"/>
      <c r="O1026" s="787"/>
    </row>
    <row r="1027" spans="6:15" ht="15.6" x14ac:dyDescent="0.25">
      <c r="F1027" s="330"/>
      <c r="O1027" s="787"/>
    </row>
    <row r="1028" spans="6:15" ht="15.6" x14ac:dyDescent="0.25">
      <c r="F1028" s="330"/>
      <c r="O1028" s="787"/>
    </row>
    <row r="1029" spans="6:15" ht="15.6" x14ac:dyDescent="0.25">
      <c r="F1029" s="330"/>
      <c r="O1029" s="787"/>
    </row>
    <row r="1030" spans="6:15" ht="15.6" x14ac:dyDescent="0.25">
      <c r="F1030" s="330"/>
      <c r="O1030" s="787"/>
    </row>
    <row r="1031" spans="6:15" ht="15.6" x14ac:dyDescent="0.25">
      <c r="F1031" s="330"/>
      <c r="O1031" s="787"/>
    </row>
    <row r="1032" spans="6:15" ht="15.6" x14ac:dyDescent="0.25">
      <c r="F1032" s="330"/>
      <c r="O1032" s="787"/>
    </row>
    <row r="1033" spans="6:15" ht="15.6" x14ac:dyDescent="0.25">
      <c r="F1033" s="330"/>
      <c r="O1033" s="787"/>
    </row>
    <row r="1034" spans="6:15" ht="15.6" x14ac:dyDescent="0.25">
      <c r="F1034" s="330"/>
      <c r="O1034" s="787"/>
    </row>
    <row r="1035" spans="6:15" ht="15.6" x14ac:dyDescent="0.25">
      <c r="F1035" s="330"/>
      <c r="O1035" s="787"/>
    </row>
    <row r="1036" spans="6:15" ht="15.6" x14ac:dyDescent="0.25">
      <c r="F1036" s="330"/>
      <c r="O1036" s="787"/>
    </row>
    <row r="1037" spans="6:15" ht="15.6" x14ac:dyDescent="0.25">
      <c r="F1037" s="330"/>
      <c r="O1037" s="787"/>
    </row>
    <row r="1038" spans="6:15" ht="15.6" x14ac:dyDescent="0.25">
      <c r="F1038" s="330"/>
      <c r="O1038" s="787"/>
    </row>
    <row r="1039" spans="6:15" ht="15.6" x14ac:dyDescent="0.25">
      <c r="F1039" s="330"/>
      <c r="O1039" s="787"/>
    </row>
    <row r="1040" spans="6:15" ht="15.6" x14ac:dyDescent="0.25">
      <c r="F1040" s="330"/>
      <c r="O1040" s="787"/>
    </row>
    <row r="1041" spans="6:15" ht="15.6" x14ac:dyDescent="0.25">
      <c r="F1041" s="330"/>
      <c r="O1041" s="787"/>
    </row>
    <row r="1042" spans="6:15" ht="15.6" x14ac:dyDescent="0.25">
      <c r="F1042" s="330"/>
      <c r="O1042" s="787"/>
    </row>
    <row r="1043" spans="6:15" ht="15.6" x14ac:dyDescent="0.25">
      <c r="F1043" s="330"/>
      <c r="O1043" s="787"/>
    </row>
    <row r="1044" spans="6:15" ht="15.6" x14ac:dyDescent="0.25">
      <c r="F1044" s="330"/>
      <c r="O1044" s="787"/>
    </row>
    <row r="1045" spans="6:15" ht="15.6" x14ac:dyDescent="0.25">
      <c r="F1045" s="330"/>
      <c r="O1045" s="787"/>
    </row>
    <row r="1046" spans="6:15" ht="15.6" x14ac:dyDescent="0.25">
      <c r="F1046" s="330"/>
      <c r="O1046" s="787"/>
    </row>
    <row r="1047" spans="6:15" ht="15.6" x14ac:dyDescent="0.25">
      <c r="F1047" s="330"/>
      <c r="O1047" s="787"/>
    </row>
    <row r="1048" spans="6:15" ht="15.6" x14ac:dyDescent="0.25">
      <c r="F1048" s="330"/>
      <c r="O1048" s="787"/>
    </row>
    <row r="1049" spans="6:15" ht="15.6" x14ac:dyDescent="0.25">
      <c r="F1049" s="330"/>
      <c r="O1049" s="787"/>
    </row>
    <row r="1050" spans="6:15" ht="15.6" x14ac:dyDescent="0.25">
      <c r="F1050" s="330"/>
      <c r="O1050" s="787"/>
    </row>
    <row r="1051" spans="6:15" ht="15.6" x14ac:dyDescent="0.25">
      <c r="F1051" s="330"/>
      <c r="O1051" s="787"/>
    </row>
    <row r="1052" spans="6:15" ht="15.6" x14ac:dyDescent="0.25">
      <c r="F1052" s="330"/>
      <c r="O1052" s="787"/>
    </row>
    <row r="1053" spans="6:15" ht="15.6" x14ac:dyDescent="0.25">
      <c r="F1053" s="330"/>
      <c r="O1053" s="787"/>
    </row>
    <row r="1054" spans="6:15" ht="15.6" x14ac:dyDescent="0.25">
      <c r="F1054" s="330"/>
      <c r="O1054" s="787"/>
    </row>
    <row r="1055" spans="6:15" ht="15.6" x14ac:dyDescent="0.25">
      <c r="F1055" s="330"/>
      <c r="O1055" s="787"/>
    </row>
    <row r="1056" spans="6:15" ht="15.6" x14ac:dyDescent="0.25">
      <c r="F1056" s="330"/>
      <c r="O1056" s="787"/>
    </row>
    <row r="1057" spans="6:15" ht="15.6" x14ac:dyDescent="0.25">
      <c r="F1057" s="330"/>
      <c r="O1057" s="787"/>
    </row>
    <row r="1058" spans="6:15" ht="15.6" x14ac:dyDescent="0.25">
      <c r="F1058" s="330"/>
      <c r="O1058" s="787"/>
    </row>
    <row r="1059" spans="6:15" ht="15.6" x14ac:dyDescent="0.25">
      <c r="F1059" s="330"/>
      <c r="O1059" s="787"/>
    </row>
    <row r="1060" spans="6:15" ht="15.6" x14ac:dyDescent="0.25">
      <c r="F1060" s="330"/>
      <c r="O1060" s="787"/>
    </row>
    <row r="1061" spans="6:15" ht="15.6" x14ac:dyDescent="0.25">
      <c r="F1061" s="330"/>
      <c r="O1061" s="787"/>
    </row>
    <row r="1062" spans="6:15" ht="15.6" x14ac:dyDescent="0.25">
      <c r="F1062" s="330"/>
      <c r="O1062" s="787"/>
    </row>
    <row r="1063" spans="6:15" ht="15.6" x14ac:dyDescent="0.25">
      <c r="F1063" s="330"/>
      <c r="O1063" s="787"/>
    </row>
    <row r="1064" spans="6:15" ht="15.6" x14ac:dyDescent="0.25">
      <c r="F1064" s="330"/>
      <c r="O1064" s="787"/>
    </row>
    <row r="1065" spans="6:15" ht="15.6" x14ac:dyDescent="0.25">
      <c r="F1065" s="330"/>
      <c r="O1065" s="787"/>
    </row>
    <row r="1066" spans="6:15" ht="15.6" x14ac:dyDescent="0.25">
      <c r="F1066" s="330"/>
      <c r="O1066" s="787"/>
    </row>
    <row r="1067" spans="6:15" ht="15.6" x14ac:dyDescent="0.25">
      <c r="F1067" s="330"/>
      <c r="O1067" s="787"/>
    </row>
    <row r="1068" spans="6:15" ht="15.6" x14ac:dyDescent="0.25">
      <c r="F1068" s="330"/>
      <c r="O1068" s="787"/>
    </row>
    <row r="1069" spans="6:15" ht="15.6" x14ac:dyDescent="0.25">
      <c r="F1069" s="330"/>
      <c r="O1069" s="787"/>
    </row>
    <row r="1070" spans="6:15" ht="15.6" x14ac:dyDescent="0.25">
      <c r="F1070" s="330"/>
      <c r="O1070" s="787"/>
    </row>
    <row r="1071" spans="6:15" ht="15.6" x14ac:dyDescent="0.25">
      <c r="F1071" s="330"/>
      <c r="O1071" s="787"/>
    </row>
    <row r="1072" spans="6:15" ht="15.6" x14ac:dyDescent="0.25">
      <c r="F1072" s="330"/>
      <c r="O1072" s="787"/>
    </row>
    <row r="1073" spans="6:15" ht="15.6" x14ac:dyDescent="0.25">
      <c r="F1073" s="330"/>
      <c r="O1073" s="787"/>
    </row>
    <row r="1074" spans="6:15" ht="15.6" x14ac:dyDescent="0.25">
      <c r="F1074" s="330"/>
      <c r="O1074" s="787"/>
    </row>
    <row r="1075" spans="6:15" ht="15.6" x14ac:dyDescent="0.25">
      <c r="F1075" s="330"/>
      <c r="O1075" s="787"/>
    </row>
    <row r="1076" spans="6:15" ht="15.6" x14ac:dyDescent="0.25">
      <c r="F1076" s="330"/>
      <c r="O1076" s="787"/>
    </row>
    <row r="1077" spans="6:15" ht="15.6" x14ac:dyDescent="0.25">
      <c r="F1077" s="330"/>
      <c r="O1077" s="787"/>
    </row>
    <row r="1078" spans="6:15" ht="15.6" x14ac:dyDescent="0.25">
      <c r="F1078" s="330"/>
      <c r="O1078" s="787"/>
    </row>
    <row r="1079" spans="6:15" ht="15.6" x14ac:dyDescent="0.25">
      <c r="F1079" s="330"/>
      <c r="O1079" s="787"/>
    </row>
    <row r="1080" spans="6:15" ht="15.6" x14ac:dyDescent="0.25">
      <c r="F1080" s="330"/>
      <c r="O1080" s="787"/>
    </row>
    <row r="1081" spans="6:15" ht="15.6" x14ac:dyDescent="0.25">
      <c r="F1081" s="330"/>
      <c r="O1081" s="787"/>
    </row>
    <row r="1082" spans="6:15" ht="15.6" x14ac:dyDescent="0.25">
      <c r="F1082" s="330"/>
      <c r="O1082" s="787"/>
    </row>
    <row r="1083" spans="6:15" ht="15.6" x14ac:dyDescent="0.25">
      <c r="F1083" s="330"/>
      <c r="O1083" s="787"/>
    </row>
    <row r="1084" spans="6:15" ht="15.6" x14ac:dyDescent="0.25">
      <c r="F1084" s="330"/>
      <c r="O1084" s="787"/>
    </row>
    <row r="1085" spans="6:15" ht="15.6" x14ac:dyDescent="0.25">
      <c r="F1085" s="330"/>
      <c r="O1085" s="787"/>
    </row>
    <row r="1086" spans="6:15" ht="15.6" x14ac:dyDescent="0.25">
      <c r="F1086" s="330"/>
      <c r="O1086" s="787"/>
    </row>
    <row r="1087" spans="6:15" ht="15.6" x14ac:dyDescent="0.25">
      <c r="F1087" s="330"/>
      <c r="O1087" s="787"/>
    </row>
    <row r="1088" spans="6:15" ht="15.6" x14ac:dyDescent="0.25">
      <c r="F1088" s="330"/>
      <c r="O1088" s="787"/>
    </row>
    <row r="1089" spans="6:15" ht="15.6" x14ac:dyDescent="0.25">
      <c r="F1089" s="330"/>
      <c r="O1089" s="787"/>
    </row>
    <row r="1090" spans="6:15" ht="15.6" x14ac:dyDescent="0.25">
      <c r="F1090" s="330"/>
      <c r="O1090" s="787"/>
    </row>
    <row r="1091" spans="6:15" ht="15.6" x14ac:dyDescent="0.25">
      <c r="F1091" s="330"/>
      <c r="O1091" s="787"/>
    </row>
    <row r="1092" spans="6:15" ht="15.6" x14ac:dyDescent="0.25">
      <c r="F1092" s="330"/>
      <c r="O1092" s="787"/>
    </row>
    <row r="1093" spans="6:15" ht="15.6" x14ac:dyDescent="0.25">
      <c r="F1093" s="330"/>
      <c r="O1093" s="787"/>
    </row>
    <row r="1094" spans="6:15" ht="15.6" x14ac:dyDescent="0.25">
      <c r="F1094" s="330"/>
      <c r="O1094" s="787"/>
    </row>
    <row r="1095" spans="6:15" ht="15.6" x14ac:dyDescent="0.25">
      <c r="F1095" s="330"/>
      <c r="O1095" s="787"/>
    </row>
    <row r="1096" spans="6:15" ht="15.6" x14ac:dyDescent="0.25">
      <c r="F1096" s="330"/>
      <c r="O1096" s="787"/>
    </row>
    <row r="1097" spans="6:15" ht="15.6" x14ac:dyDescent="0.25">
      <c r="F1097" s="330"/>
      <c r="O1097" s="787"/>
    </row>
    <row r="1098" spans="6:15" ht="15.6" x14ac:dyDescent="0.25">
      <c r="F1098" s="330"/>
      <c r="O1098" s="787"/>
    </row>
    <row r="1099" spans="6:15" ht="15.6" x14ac:dyDescent="0.25">
      <c r="F1099" s="330"/>
      <c r="O1099" s="787"/>
    </row>
    <row r="1100" spans="6:15" ht="15.6" x14ac:dyDescent="0.25">
      <c r="F1100" s="330"/>
      <c r="O1100" s="787"/>
    </row>
    <row r="1101" spans="6:15" ht="15.6" x14ac:dyDescent="0.25">
      <c r="F1101" s="330"/>
      <c r="O1101" s="787"/>
    </row>
    <row r="1102" spans="6:15" ht="15.6" x14ac:dyDescent="0.25">
      <c r="F1102" s="330"/>
      <c r="O1102" s="787"/>
    </row>
    <row r="1103" spans="6:15" ht="15.6" x14ac:dyDescent="0.25">
      <c r="F1103" s="330"/>
      <c r="O1103" s="787"/>
    </row>
    <row r="1104" spans="6:15" ht="15.6" x14ac:dyDescent="0.25">
      <c r="F1104" s="330"/>
      <c r="O1104" s="787"/>
    </row>
    <row r="1105" spans="6:15" ht="15.6" x14ac:dyDescent="0.25">
      <c r="F1105" s="330"/>
      <c r="O1105" s="787"/>
    </row>
    <row r="1106" spans="6:15" ht="15.6" x14ac:dyDescent="0.25">
      <c r="F1106" s="330"/>
      <c r="O1106" s="787"/>
    </row>
    <row r="1107" spans="6:15" ht="15.6" x14ac:dyDescent="0.25">
      <c r="F1107" s="330"/>
      <c r="O1107" s="787"/>
    </row>
    <row r="1108" spans="6:15" ht="15.6" x14ac:dyDescent="0.25">
      <c r="F1108" s="330"/>
      <c r="O1108" s="787"/>
    </row>
    <row r="1109" spans="6:15" ht="15.6" x14ac:dyDescent="0.25">
      <c r="F1109" s="330"/>
      <c r="O1109" s="787"/>
    </row>
    <row r="1110" spans="6:15" ht="15.6" x14ac:dyDescent="0.25">
      <c r="F1110" s="330"/>
      <c r="O1110" s="787"/>
    </row>
    <row r="1111" spans="6:15" ht="15.6" x14ac:dyDescent="0.25">
      <c r="F1111" s="330"/>
      <c r="O1111" s="787"/>
    </row>
    <row r="1112" spans="6:15" ht="15.6" x14ac:dyDescent="0.25">
      <c r="F1112" s="330"/>
      <c r="O1112" s="787"/>
    </row>
    <row r="1113" spans="6:15" ht="15.6" x14ac:dyDescent="0.25">
      <c r="F1113" s="330"/>
      <c r="O1113" s="787"/>
    </row>
    <row r="1114" spans="6:15" ht="15.6" x14ac:dyDescent="0.25">
      <c r="F1114" s="330"/>
      <c r="O1114" s="787"/>
    </row>
    <row r="1115" spans="6:15" ht="15.6" x14ac:dyDescent="0.25">
      <c r="F1115" s="330"/>
      <c r="O1115" s="787"/>
    </row>
    <row r="1116" spans="6:15" ht="15.6" x14ac:dyDescent="0.25">
      <c r="F1116" s="330"/>
      <c r="O1116" s="787"/>
    </row>
    <row r="1117" spans="6:15" ht="15.6" x14ac:dyDescent="0.25">
      <c r="F1117" s="330"/>
      <c r="O1117" s="787"/>
    </row>
    <row r="1118" spans="6:15" ht="15.6" x14ac:dyDescent="0.25">
      <c r="F1118" s="330"/>
      <c r="O1118" s="787"/>
    </row>
    <row r="1119" spans="6:15" ht="15.6" x14ac:dyDescent="0.25">
      <c r="F1119" s="330"/>
      <c r="O1119" s="787"/>
    </row>
    <row r="1120" spans="6:15" ht="15.6" x14ac:dyDescent="0.25">
      <c r="F1120" s="330"/>
      <c r="O1120" s="787"/>
    </row>
    <row r="1121" spans="6:15" ht="15.6" x14ac:dyDescent="0.25">
      <c r="F1121" s="330"/>
      <c r="O1121" s="787"/>
    </row>
    <row r="1122" spans="6:15" ht="15.6" x14ac:dyDescent="0.25">
      <c r="F1122" s="330"/>
      <c r="O1122" s="787"/>
    </row>
    <row r="1123" spans="6:15" ht="15.6" x14ac:dyDescent="0.25">
      <c r="F1123" s="330"/>
      <c r="O1123" s="787"/>
    </row>
    <row r="1124" spans="6:15" ht="15.6" x14ac:dyDescent="0.25">
      <c r="F1124" s="330"/>
      <c r="O1124" s="787"/>
    </row>
    <row r="1125" spans="6:15" ht="15.6" x14ac:dyDescent="0.25">
      <c r="F1125" s="330"/>
      <c r="O1125" s="787"/>
    </row>
    <row r="1126" spans="6:15" ht="15.6" x14ac:dyDescent="0.25">
      <c r="F1126" s="330"/>
      <c r="O1126" s="787"/>
    </row>
    <row r="1127" spans="6:15" ht="15.6" x14ac:dyDescent="0.25">
      <c r="F1127" s="330"/>
      <c r="O1127" s="787"/>
    </row>
    <row r="1128" spans="6:15" ht="15.6" x14ac:dyDescent="0.25">
      <c r="F1128" s="330"/>
      <c r="O1128" s="787"/>
    </row>
    <row r="1129" spans="6:15" ht="15.6" x14ac:dyDescent="0.25">
      <c r="F1129" s="330"/>
      <c r="O1129" s="787"/>
    </row>
    <row r="1130" spans="6:15" ht="15.6" x14ac:dyDescent="0.25">
      <c r="F1130" s="330"/>
      <c r="O1130" s="787"/>
    </row>
    <row r="1131" spans="6:15" ht="15.6" x14ac:dyDescent="0.25">
      <c r="F1131" s="330"/>
      <c r="O1131" s="787"/>
    </row>
    <row r="1132" spans="6:15" ht="15.6" x14ac:dyDescent="0.25">
      <c r="F1132" s="330"/>
      <c r="O1132" s="787"/>
    </row>
    <row r="1133" spans="6:15" ht="15.6" x14ac:dyDescent="0.25">
      <c r="F1133" s="330"/>
      <c r="O1133" s="787"/>
    </row>
    <row r="1134" spans="6:15" ht="15.6" x14ac:dyDescent="0.25">
      <c r="F1134" s="330"/>
      <c r="O1134" s="787"/>
    </row>
    <row r="1135" spans="6:15" ht="15.6" x14ac:dyDescent="0.25">
      <c r="F1135" s="330"/>
      <c r="O1135" s="787"/>
    </row>
    <row r="1136" spans="6:15" ht="15.6" x14ac:dyDescent="0.25">
      <c r="F1136" s="330"/>
      <c r="O1136" s="787"/>
    </row>
    <row r="1137" spans="6:15" ht="15.6" x14ac:dyDescent="0.25">
      <c r="F1137" s="330"/>
      <c r="O1137" s="787"/>
    </row>
    <row r="1138" spans="6:15" ht="15.6" x14ac:dyDescent="0.25">
      <c r="F1138" s="330"/>
      <c r="O1138" s="787"/>
    </row>
    <row r="1139" spans="6:15" ht="15.6" x14ac:dyDescent="0.25">
      <c r="F1139" s="330"/>
      <c r="O1139" s="787"/>
    </row>
    <row r="1140" spans="6:15" ht="15.6" x14ac:dyDescent="0.25">
      <c r="F1140" s="330"/>
      <c r="O1140" s="787"/>
    </row>
    <row r="1141" spans="6:15" ht="15.6" x14ac:dyDescent="0.25">
      <c r="F1141" s="330"/>
      <c r="O1141" s="787"/>
    </row>
    <row r="1142" spans="6:15" ht="15.6" x14ac:dyDescent="0.25">
      <c r="F1142" s="330"/>
      <c r="O1142" s="787"/>
    </row>
    <row r="1143" spans="6:15" ht="15.6" x14ac:dyDescent="0.25">
      <c r="F1143" s="330"/>
      <c r="O1143" s="787"/>
    </row>
    <row r="1144" spans="6:15" ht="15.6" x14ac:dyDescent="0.25">
      <c r="F1144" s="330"/>
      <c r="O1144" s="787"/>
    </row>
    <row r="1145" spans="6:15" ht="15.6" x14ac:dyDescent="0.25">
      <c r="F1145" s="330"/>
      <c r="O1145" s="787"/>
    </row>
    <row r="1146" spans="6:15" ht="15.6" x14ac:dyDescent="0.25">
      <c r="F1146" s="330"/>
      <c r="O1146" s="787"/>
    </row>
    <row r="1147" spans="6:15" ht="15.6" x14ac:dyDescent="0.25">
      <c r="F1147" s="330"/>
      <c r="O1147" s="787"/>
    </row>
    <row r="1148" spans="6:15" ht="15.6" x14ac:dyDescent="0.25">
      <c r="F1148" s="330"/>
      <c r="O1148" s="787"/>
    </row>
    <row r="1149" spans="6:15" ht="15.6" x14ac:dyDescent="0.25">
      <c r="F1149" s="330"/>
      <c r="O1149" s="787"/>
    </row>
    <row r="1150" spans="6:15" ht="15.6" x14ac:dyDescent="0.25">
      <c r="F1150" s="330"/>
      <c r="O1150" s="787"/>
    </row>
    <row r="1151" spans="6:15" ht="15.6" x14ac:dyDescent="0.25">
      <c r="F1151" s="330"/>
      <c r="O1151" s="787"/>
    </row>
    <row r="1152" spans="6:15" ht="15.6" x14ac:dyDescent="0.25">
      <c r="F1152" s="330"/>
      <c r="O1152" s="787"/>
    </row>
    <row r="1153" spans="6:15" ht="15.6" x14ac:dyDescent="0.25">
      <c r="F1153" s="330"/>
      <c r="O1153" s="787"/>
    </row>
    <row r="1154" spans="6:15" ht="15.6" x14ac:dyDescent="0.25">
      <c r="F1154" s="330"/>
      <c r="O1154" s="787"/>
    </row>
    <row r="1155" spans="6:15" ht="15.6" x14ac:dyDescent="0.25">
      <c r="F1155" s="330"/>
      <c r="O1155" s="787"/>
    </row>
    <row r="1156" spans="6:15" ht="15.6" x14ac:dyDescent="0.25">
      <c r="F1156" s="330"/>
      <c r="O1156" s="787"/>
    </row>
    <row r="1157" spans="6:15" ht="15.6" x14ac:dyDescent="0.25">
      <c r="F1157" s="330"/>
      <c r="O1157" s="787"/>
    </row>
    <row r="1158" spans="6:15" ht="15.6" x14ac:dyDescent="0.25">
      <c r="F1158" s="330"/>
      <c r="O1158" s="787"/>
    </row>
    <row r="1159" spans="6:15" ht="15.6" x14ac:dyDescent="0.25">
      <c r="F1159" s="330"/>
      <c r="O1159" s="787"/>
    </row>
    <row r="1160" spans="6:15" ht="15.6" x14ac:dyDescent="0.25">
      <c r="F1160" s="330"/>
      <c r="O1160" s="787"/>
    </row>
    <row r="1161" spans="6:15" ht="15.6" x14ac:dyDescent="0.25">
      <c r="F1161" s="330"/>
      <c r="O1161" s="787"/>
    </row>
    <row r="1162" spans="6:15" ht="15.6" x14ac:dyDescent="0.25">
      <c r="F1162" s="330"/>
      <c r="O1162" s="787"/>
    </row>
    <row r="1163" spans="6:15" ht="15.6" x14ac:dyDescent="0.25">
      <c r="F1163" s="330"/>
      <c r="O1163" s="787"/>
    </row>
    <row r="1164" spans="6:15" ht="15.6" x14ac:dyDescent="0.25">
      <c r="F1164" s="330"/>
      <c r="O1164" s="787"/>
    </row>
    <row r="1165" spans="6:15" ht="15.6" x14ac:dyDescent="0.25">
      <c r="F1165" s="330"/>
      <c r="O1165" s="787"/>
    </row>
    <row r="1166" spans="6:15" ht="15.6" x14ac:dyDescent="0.25">
      <c r="F1166" s="330"/>
      <c r="O1166" s="787"/>
    </row>
    <row r="1167" spans="6:15" ht="15.6" x14ac:dyDescent="0.25">
      <c r="F1167" s="330"/>
      <c r="O1167" s="787"/>
    </row>
    <row r="1168" spans="6:15" ht="15.6" x14ac:dyDescent="0.25">
      <c r="F1168" s="330"/>
      <c r="O1168" s="787"/>
    </row>
    <row r="1169" spans="6:15" ht="15.6" x14ac:dyDescent="0.25">
      <c r="F1169" s="330"/>
      <c r="O1169" s="787"/>
    </row>
    <row r="1170" spans="6:15" ht="15.6" x14ac:dyDescent="0.25">
      <c r="F1170" s="330"/>
      <c r="O1170" s="787"/>
    </row>
    <row r="1171" spans="6:15" ht="15.6" x14ac:dyDescent="0.25">
      <c r="F1171" s="330"/>
      <c r="O1171" s="787"/>
    </row>
    <row r="1172" spans="6:15" ht="15.6" x14ac:dyDescent="0.25">
      <c r="F1172" s="330"/>
      <c r="O1172" s="787"/>
    </row>
    <row r="1173" spans="6:15" ht="15.6" x14ac:dyDescent="0.25">
      <c r="F1173" s="330"/>
      <c r="O1173" s="787"/>
    </row>
    <row r="1174" spans="6:15" ht="15.6" x14ac:dyDescent="0.25">
      <c r="F1174" s="330"/>
      <c r="O1174" s="787"/>
    </row>
    <row r="1175" spans="6:15" ht="15.6" x14ac:dyDescent="0.25">
      <c r="F1175" s="330"/>
      <c r="O1175" s="787"/>
    </row>
    <row r="1176" spans="6:15" ht="15.75" customHeight="1" x14ac:dyDescent="0.25">
      <c r="F1176" s="330"/>
      <c r="O1176" s="787"/>
    </row>
    <row r="1177" spans="6:15" ht="15.75" customHeight="1" x14ac:dyDescent="0.25">
      <c r="F1177" s="330"/>
      <c r="O1177" s="787"/>
    </row>
    <row r="1178" spans="6:15" ht="15.75" customHeight="1" x14ac:dyDescent="0.25">
      <c r="F1178" s="330"/>
      <c r="O1178" s="787"/>
    </row>
    <row r="1179" spans="6:15" ht="15.75" customHeight="1" x14ac:dyDescent="0.25">
      <c r="F1179" s="330"/>
      <c r="O1179" s="787"/>
    </row>
    <row r="1180" spans="6:15" ht="15.75" customHeight="1" x14ac:dyDescent="0.25">
      <c r="F1180" s="330"/>
      <c r="O1180" s="787"/>
    </row>
    <row r="1181" spans="6:15" ht="15.75" customHeight="1" x14ac:dyDescent="0.25">
      <c r="F1181" s="330"/>
      <c r="O1181" s="787"/>
    </row>
    <row r="1182" spans="6:15" ht="15.75" customHeight="1" x14ac:dyDescent="0.25">
      <c r="F1182" s="330"/>
      <c r="O1182" s="787"/>
    </row>
    <row r="1183" spans="6:15" ht="15.75" customHeight="1" x14ac:dyDescent="0.25">
      <c r="F1183" s="330"/>
      <c r="O1183" s="787"/>
    </row>
    <row r="1184" spans="6:15" ht="15.75" customHeight="1" x14ac:dyDescent="0.25">
      <c r="F1184" s="330"/>
      <c r="O1184" s="787"/>
    </row>
    <row r="1185" spans="6:15" ht="15.75" customHeight="1" x14ac:dyDescent="0.25">
      <c r="F1185" s="330"/>
      <c r="O1185" s="787"/>
    </row>
    <row r="1186" spans="6:15" ht="15.75" customHeight="1" x14ac:dyDescent="0.25">
      <c r="F1186" s="330"/>
      <c r="O1186" s="787"/>
    </row>
    <row r="1187" spans="6:15" ht="15.75" customHeight="1" x14ac:dyDescent="0.25">
      <c r="F1187" s="330"/>
      <c r="O1187" s="787"/>
    </row>
    <row r="1188" spans="6:15" ht="15.75" customHeight="1" x14ac:dyDescent="0.25">
      <c r="F1188" s="330"/>
      <c r="O1188" s="787"/>
    </row>
    <row r="1189" spans="6:15" ht="15.75" customHeight="1" x14ac:dyDescent="0.25">
      <c r="F1189" s="330"/>
      <c r="O1189" s="787"/>
    </row>
    <row r="1190" spans="6:15" ht="15.75" customHeight="1" x14ac:dyDescent="0.25">
      <c r="F1190" s="330"/>
      <c r="O1190" s="787"/>
    </row>
    <row r="1191" spans="6:15" ht="15.75" customHeight="1" x14ac:dyDescent="0.25">
      <c r="F1191" s="330"/>
      <c r="O1191" s="787"/>
    </row>
    <row r="1192" spans="6:15" ht="15.75" customHeight="1" x14ac:dyDescent="0.25">
      <c r="F1192" s="330"/>
      <c r="O1192" s="787"/>
    </row>
    <row r="1193" spans="6:15" ht="15.75" customHeight="1" x14ac:dyDescent="0.25">
      <c r="F1193" s="330"/>
      <c r="O1193" s="787"/>
    </row>
    <row r="1194" spans="6:15" ht="15.75" customHeight="1" x14ac:dyDescent="0.25">
      <c r="F1194" s="330"/>
      <c r="O1194" s="787"/>
    </row>
    <row r="1195" spans="6:15" ht="15.75" customHeight="1" x14ac:dyDescent="0.25">
      <c r="F1195" s="330"/>
      <c r="O1195" s="787"/>
    </row>
    <row r="1196" spans="6:15" ht="15.75" customHeight="1" x14ac:dyDescent="0.25">
      <c r="F1196" s="330"/>
      <c r="O1196" s="787"/>
    </row>
    <row r="1197" spans="6:15" ht="15.75" customHeight="1" x14ac:dyDescent="0.25">
      <c r="F1197" s="330"/>
      <c r="O1197" s="787"/>
    </row>
    <row r="1198" spans="6:15" ht="15.75" customHeight="1" x14ac:dyDescent="0.25">
      <c r="F1198" s="330"/>
      <c r="O1198" s="787"/>
    </row>
    <row r="1199" spans="6:15" ht="15.75" customHeight="1" x14ac:dyDescent="0.25">
      <c r="F1199" s="330"/>
      <c r="O1199" s="787"/>
    </row>
    <row r="1200" spans="6:15" ht="15.75" customHeight="1" x14ac:dyDescent="0.25">
      <c r="F1200" s="330"/>
      <c r="O1200" s="787"/>
    </row>
    <row r="1201" spans="6:15" ht="15.75" customHeight="1" x14ac:dyDescent="0.25">
      <c r="F1201" s="330"/>
      <c r="O1201" s="787"/>
    </row>
    <row r="1202" spans="6:15" ht="15.75" customHeight="1" x14ac:dyDescent="0.25">
      <c r="F1202" s="330"/>
      <c r="O1202" s="787"/>
    </row>
    <row r="1203" spans="6:15" ht="15.75" customHeight="1" x14ac:dyDescent="0.25">
      <c r="F1203" s="330"/>
      <c r="O1203" s="787"/>
    </row>
    <row r="1204" spans="6:15" ht="15.75" customHeight="1" x14ac:dyDescent="0.25">
      <c r="F1204" s="330"/>
      <c r="O1204" s="787"/>
    </row>
    <row r="1205" spans="6:15" ht="15.75" customHeight="1" x14ac:dyDescent="0.25">
      <c r="F1205" s="330"/>
      <c r="O1205" s="787"/>
    </row>
    <row r="1206" spans="6:15" ht="15.75" customHeight="1" x14ac:dyDescent="0.25">
      <c r="F1206" s="330"/>
      <c r="O1206" s="787"/>
    </row>
    <row r="1207" spans="6:15" ht="15.75" customHeight="1" x14ac:dyDescent="0.25">
      <c r="F1207" s="330"/>
      <c r="O1207" s="787"/>
    </row>
    <row r="1208" spans="6:15" ht="15.75" customHeight="1" x14ac:dyDescent="0.25">
      <c r="F1208" s="330"/>
      <c r="O1208" s="787"/>
    </row>
    <row r="1209" spans="6:15" ht="15.75" customHeight="1" x14ac:dyDescent="0.25">
      <c r="F1209" s="330"/>
      <c r="O1209" s="787"/>
    </row>
    <row r="1210" spans="6:15" ht="15.75" customHeight="1" x14ac:dyDescent="0.25">
      <c r="F1210" s="330"/>
      <c r="O1210" s="787"/>
    </row>
    <row r="1211" spans="6:15" ht="15.75" customHeight="1" x14ac:dyDescent="0.25">
      <c r="F1211" s="330"/>
      <c r="O1211" s="787"/>
    </row>
    <row r="1212" spans="6:15" ht="15.75" customHeight="1" x14ac:dyDescent="0.25">
      <c r="F1212" s="330"/>
      <c r="O1212" s="787"/>
    </row>
    <row r="1213" spans="6:15" ht="15.75" customHeight="1" x14ac:dyDescent="0.25">
      <c r="F1213" s="330"/>
      <c r="O1213" s="787"/>
    </row>
    <row r="1214" spans="6:15" ht="15.75" customHeight="1" x14ac:dyDescent="0.25">
      <c r="F1214" s="330"/>
      <c r="O1214" s="787"/>
    </row>
    <row r="1215" spans="6:15" ht="15.75" customHeight="1" x14ac:dyDescent="0.25">
      <c r="F1215" s="330"/>
      <c r="O1215" s="787"/>
    </row>
    <row r="1216" spans="6:15" ht="15.75" customHeight="1" x14ac:dyDescent="0.25">
      <c r="F1216" s="330"/>
      <c r="O1216" s="787"/>
    </row>
    <row r="1217" spans="6:15" ht="15.75" customHeight="1" x14ac:dyDescent="0.25">
      <c r="F1217" s="330"/>
      <c r="O1217" s="787"/>
    </row>
    <row r="1218" spans="6:15" ht="15.75" customHeight="1" x14ac:dyDescent="0.25">
      <c r="F1218" s="330"/>
      <c r="O1218" s="787"/>
    </row>
    <row r="1219" spans="6:15" ht="15.75" customHeight="1" x14ac:dyDescent="0.25">
      <c r="F1219" s="330"/>
      <c r="O1219" s="787"/>
    </row>
    <row r="1220" spans="6:15" ht="15.75" customHeight="1" x14ac:dyDescent="0.25">
      <c r="F1220" s="330"/>
      <c r="O1220" s="787"/>
    </row>
    <row r="1221" spans="6:15" ht="15.75" customHeight="1" x14ac:dyDescent="0.25">
      <c r="F1221" s="330"/>
      <c r="O1221" s="787"/>
    </row>
    <row r="1222" spans="6:15" ht="15.75" customHeight="1" x14ac:dyDescent="0.25">
      <c r="F1222" s="330"/>
      <c r="O1222" s="787"/>
    </row>
    <row r="1223" spans="6:15" ht="15.75" customHeight="1" x14ac:dyDescent="0.25">
      <c r="F1223" s="330"/>
      <c r="O1223" s="787"/>
    </row>
    <row r="1224" spans="6:15" ht="15.75" customHeight="1" x14ac:dyDescent="0.25">
      <c r="F1224" s="330"/>
      <c r="O1224" s="787"/>
    </row>
    <row r="1225" spans="6:15" ht="15.75" customHeight="1" x14ac:dyDescent="0.25">
      <c r="F1225" s="330"/>
      <c r="O1225" s="787"/>
    </row>
    <row r="1226" spans="6:15" ht="15.75" customHeight="1" x14ac:dyDescent="0.25">
      <c r="F1226" s="330"/>
      <c r="O1226" s="787"/>
    </row>
    <row r="1227" spans="6:15" ht="15.75" customHeight="1" x14ac:dyDescent="0.25">
      <c r="F1227" s="330"/>
      <c r="O1227" s="787"/>
    </row>
    <row r="1228" spans="6:15" ht="15.75" customHeight="1" x14ac:dyDescent="0.25">
      <c r="F1228" s="330"/>
      <c r="O1228" s="787"/>
    </row>
    <row r="1229" spans="6:15" ht="15.75" customHeight="1" x14ac:dyDescent="0.25">
      <c r="F1229" s="330"/>
      <c r="O1229" s="787"/>
    </row>
    <row r="1230" spans="6:15" ht="15.75" customHeight="1" x14ac:dyDescent="0.25">
      <c r="F1230" s="330"/>
      <c r="O1230" s="787"/>
    </row>
    <row r="1231" spans="6:15" ht="15.75" customHeight="1" x14ac:dyDescent="0.25">
      <c r="F1231" s="330"/>
      <c r="O1231" s="787"/>
    </row>
    <row r="1232" spans="6:15" ht="15.75" customHeight="1" x14ac:dyDescent="0.25">
      <c r="F1232" s="330"/>
      <c r="O1232" s="787"/>
    </row>
    <row r="1233" spans="6:15" ht="15.75" customHeight="1" x14ac:dyDescent="0.25">
      <c r="F1233" s="330"/>
      <c r="O1233" s="787"/>
    </row>
    <row r="1234" spans="6:15" ht="15.75" customHeight="1" x14ac:dyDescent="0.25">
      <c r="F1234" s="330"/>
      <c r="O1234" s="787"/>
    </row>
    <row r="1235" spans="6:15" ht="15.75" customHeight="1" x14ac:dyDescent="0.25">
      <c r="F1235" s="330"/>
      <c r="O1235" s="787"/>
    </row>
    <row r="1236" spans="6:15" ht="15.75" customHeight="1" x14ac:dyDescent="0.25">
      <c r="F1236" s="330"/>
      <c r="O1236" s="787"/>
    </row>
    <row r="1237" spans="6:15" ht="15.75" customHeight="1" x14ac:dyDescent="0.25">
      <c r="F1237" s="330"/>
      <c r="O1237" s="787"/>
    </row>
    <row r="1238" spans="6:15" ht="15.75" customHeight="1" x14ac:dyDescent="0.25">
      <c r="F1238" s="330"/>
      <c r="O1238" s="787"/>
    </row>
    <row r="1239" spans="6:15" ht="15.75" customHeight="1" x14ac:dyDescent="0.25">
      <c r="F1239" s="330"/>
      <c r="O1239" s="787"/>
    </row>
    <row r="1240" spans="6:15" ht="15.75" customHeight="1" x14ac:dyDescent="0.25">
      <c r="F1240" s="330"/>
      <c r="O1240" s="787"/>
    </row>
    <row r="1241" spans="6:15" ht="15.75" customHeight="1" x14ac:dyDescent="0.25">
      <c r="F1241" s="330"/>
      <c r="O1241" s="787"/>
    </row>
    <row r="1242" spans="6:15" ht="15.75" customHeight="1" x14ac:dyDescent="0.25">
      <c r="F1242" s="330"/>
      <c r="O1242" s="787"/>
    </row>
    <row r="1243" spans="6:15" ht="15.75" customHeight="1" x14ac:dyDescent="0.25">
      <c r="F1243" s="330"/>
      <c r="O1243" s="787"/>
    </row>
    <row r="1244" spans="6:15" ht="15.75" customHeight="1" x14ac:dyDescent="0.25">
      <c r="F1244" s="330"/>
      <c r="O1244" s="787"/>
    </row>
    <row r="1245" spans="6:15" ht="15.75" customHeight="1" x14ac:dyDescent="0.25">
      <c r="F1245" s="330"/>
      <c r="O1245" s="787"/>
    </row>
    <row r="1246" spans="6:15" ht="15.75" customHeight="1" x14ac:dyDescent="0.25">
      <c r="F1246" s="330"/>
      <c r="O1246" s="787"/>
    </row>
    <row r="1247" spans="6:15" ht="15.75" customHeight="1" x14ac:dyDescent="0.25">
      <c r="F1247" s="330"/>
      <c r="O1247" s="787"/>
    </row>
    <row r="1248" spans="6:15" ht="15.75" customHeight="1" x14ac:dyDescent="0.25">
      <c r="F1248" s="330"/>
      <c r="O1248" s="787"/>
    </row>
    <row r="1249" spans="6:15" ht="15.75" customHeight="1" x14ac:dyDescent="0.25">
      <c r="F1249" s="330"/>
      <c r="O1249" s="787"/>
    </row>
    <row r="1250" spans="6:15" ht="15.75" customHeight="1" x14ac:dyDescent="0.25">
      <c r="F1250" s="330"/>
      <c r="O1250" s="787"/>
    </row>
    <row r="1251" spans="6:15" ht="15.75" customHeight="1" x14ac:dyDescent="0.25">
      <c r="F1251" s="330"/>
      <c r="O1251" s="787"/>
    </row>
    <row r="1252" spans="6:15" ht="15.75" customHeight="1" x14ac:dyDescent="0.25">
      <c r="F1252" s="330"/>
      <c r="O1252" s="787"/>
    </row>
    <row r="1253" spans="6:15" ht="15.75" customHeight="1" x14ac:dyDescent="0.25">
      <c r="F1253" s="330"/>
      <c r="O1253" s="787"/>
    </row>
    <row r="1254" spans="6:15" ht="15.75" customHeight="1" x14ac:dyDescent="0.25">
      <c r="F1254" s="330"/>
      <c r="O1254" s="787"/>
    </row>
    <row r="1255" spans="6:15" ht="15.75" customHeight="1" x14ac:dyDescent="0.25">
      <c r="F1255" s="330"/>
      <c r="O1255" s="787"/>
    </row>
    <row r="1256" spans="6:15" ht="15.75" customHeight="1" x14ac:dyDescent="0.25">
      <c r="F1256" s="330"/>
      <c r="O1256" s="787"/>
    </row>
    <row r="1257" spans="6:15" ht="15.75" customHeight="1" x14ac:dyDescent="0.25">
      <c r="F1257" s="330"/>
      <c r="O1257" s="787"/>
    </row>
    <row r="1258" spans="6:15" ht="15.75" customHeight="1" x14ac:dyDescent="0.25">
      <c r="F1258" s="330"/>
      <c r="O1258" s="787"/>
    </row>
    <row r="1259" spans="6:15" ht="15.75" customHeight="1" x14ac:dyDescent="0.25">
      <c r="F1259" s="330"/>
      <c r="O1259" s="787"/>
    </row>
    <row r="1260" spans="6:15" ht="15.75" customHeight="1" x14ac:dyDescent="0.25">
      <c r="F1260" s="330"/>
      <c r="O1260" s="787"/>
    </row>
    <row r="1261" spans="6:15" ht="15.75" customHeight="1" x14ac:dyDescent="0.25">
      <c r="F1261" s="330"/>
      <c r="O1261" s="787"/>
    </row>
    <row r="1262" spans="6:15" ht="15.75" customHeight="1" x14ac:dyDescent="0.25">
      <c r="F1262" s="330"/>
      <c r="O1262" s="787"/>
    </row>
    <row r="1263" spans="6:15" ht="15.75" customHeight="1" x14ac:dyDescent="0.25">
      <c r="F1263" s="330"/>
      <c r="O1263" s="787"/>
    </row>
    <row r="1264" spans="6:15" ht="15.75" customHeight="1" x14ac:dyDescent="0.25">
      <c r="F1264" s="330"/>
      <c r="O1264" s="787"/>
    </row>
    <row r="1265" spans="6:15" ht="15.75" customHeight="1" x14ac:dyDescent="0.25">
      <c r="F1265" s="330"/>
      <c r="O1265" s="787"/>
    </row>
    <row r="1266" spans="6:15" ht="15.75" customHeight="1" x14ac:dyDescent="0.25">
      <c r="F1266" s="330"/>
      <c r="O1266" s="787"/>
    </row>
    <row r="1267" spans="6:15" ht="15.75" customHeight="1" x14ac:dyDescent="0.25">
      <c r="F1267" s="330"/>
      <c r="O1267" s="787"/>
    </row>
    <row r="1268" spans="6:15" ht="15.75" customHeight="1" x14ac:dyDescent="0.25">
      <c r="F1268" s="330"/>
      <c r="O1268" s="787"/>
    </row>
    <row r="1269" spans="6:15" ht="15.75" customHeight="1" x14ac:dyDescent="0.25">
      <c r="F1269" s="330"/>
      <c r="O1269" s="787"/>
    </row>
    <row r="1270" spans="6:15" ht="15.75" customHeight="1" x14ac:dyDescent="0.25">
      <c r="F1270" s="330"/>
      <c r="O1270" s="787"/>
    </row>
    <row r="1271" spans="6:15" ht="15.75" customHeight="1" x14ac:dyDescent="0.25">
      <c r="F1271" s="330"/>
      <c r="O1271" s="787"/>
    </row>
    <row r="1272" spans="6:15" ht="15.75" customHeight="1" x14ac:dyDescent="0.25">
      <c r="F1272" s="330"/>
      <c r="O1272" s="787"/>
    </row>
    <row r="1273" spans="6:15" ht="15.75" customHeight="1" x14ac:dyDescent="0.25">
      <c r="F1273" s="330"/>
      <c r="O1273" s="787"/>
    </row>
    <row r="1274" spans="6:15" ht="15.75" customHeight="1" x14ac:dyDescent="0.25">
      <c r="F1274" s="330"/>
      <c r="O1274" s="787"/>
    </row>
    <row r="1275" spans="6:15" ht="15.75" customHeight="1" x14ac:dyDescent="0.25">
      <c r="F1275" s="330"/>
      <c r="O1275" s="787"/>
    </row>
    <row r="1276" spans="6:15" ht="15.75" customHeight="1" x14ac:dyDescent="0.25">
      <c r="F1276" s="330"/>
      <c r="O1276" s="787"/>
    </row>
    <row r="1277" spans="6:15" ht="15.75" customHeight="1" x14ac:dyDescent="0.25">
      <c r="F1277" s="330"/>
      <c r="O1277" s="787"/>
    </row>
    <row r="1278" spans="6:15" ht="15.75" customHeight="1" x14ac:dyDescent="0.25">
      <c r="F1278" s="330"/>
      <c r="O1278" s="787"/>
    </row>
    <row r="1279" spans="6:15" ht="15.75" customHeight="1" x14ac:dyDescent="0.25">
      <c r="F1279" s="330"/>
      <c r="O1279" s="787"/>
    </row>
    <row r="1280" spans="6:15" ht="15.75" customHeight="1" x14ac:dyDescent="0.25">
      <c r="F1280" s="330"/>
      <c r="O1280" s="787"/>
    </row>
    <row r="1281" spans="6:15" ht="15.75" customHeight="1" x14ac:dyDescent="0.25">
      <c r="F1281" s="330"/>
      <c r="O1281" s="787"/>
    </row>
    <row r="1282" spans="6:15" ht="15.75" customHeight="1" x14ac:dyDescent="0.25">
      <c r="F1282" s="330"/>
      <c r="O1282" s="787"/>
    </row>
    <row r="1283" spans="6:15" ht="15.75" customHeight="1" x14ac:dyDescent="0.25">
      <c r="F1283" s="330"/>
      <c r="O1283" s="787"/>
    </row>
    <row r="1284" spans="6:15" ht="15.75" customHeight="1" x14ac:dyDescent="0.25">
      <c r="F1284" s="330"/>
      <c r="O1284" s="787"/>
    </row>
    <row r="1285" spans="6:15" ht="15.75" customHeight="1" x14ac:dyDescent="0.25">
      <c r="F1285" s="330"/>
      <c r="O1285" s="787"/>
    </row>
    <row r="1286" spans="6:15" ht="15.75" customHeight="1" x14ac:dyDescent="0.25">
      <c r="F1286" s="330"/>
      <c r="O1286" s="787"/>
    </row>
    <row r="1287" spans="6:15" ht="15.75" customHeight="1" x14ac:dyDescent="0.25">
      <c r="F1287" s="330"/>
      <c r="O1287" s="787"/>
    </row>
    <row r="1288" spans="6:15" ht="15.75" customHeight="1" x14ac:dyDescent="0.25">
      <c r="F1288" s="330"/>
      <c r="O1288" s="787"/>
    </row>
    <row r="1289" spans="6:15" ht="15.75" customHeight="1" x14ac:dyDescent="0.25">
      <c r="F1289" s="330"/>
      <c r="O1289" s="787"/>
    </row>
    <row r="1290" spans="6:15" ht="15.75" customHeight="1" x14ac:dyDescent="0.25">
      <c r="F1290" s="330"/>
      <c r="O1290" s="787"/>
    </row>
    <row r="1291" spans="6:15" ht="15.75" customHeight="1" x14ac:dyDescent="0.25">
      <c r="F1291" s="330"/>
      <c r="O1291" s="787"/>
    </row>
    <row r="1292" spans="6:15" ht="15.75" customHeight="1" x14ac:dyDescent="0.25">
      <c r="F1292" s="330"/>
      <c r="O1292" s="787"/>
    </row>
    <row r="1293" spans="6:15" ht="15.75" customHeight="1" x14ac:dyDescent="0.25">
      <c r="F1293" s="330"/>
      <c r="O1293" s="787"/>
    </row>
    <row r="1294" spans="6:15" ht="15.75" customHeight="1" x14ac:dyDescent="0.25">
      <c r="F1294" s="330"/>
      <c r="O1294" s="787"/>
    </row>
    <row r="1295" spans="6:15" ht="15.75" customHeight="1" x14ac:dyDescent="0.25">
      <c r="F1295" s="330"/>
      <c r="O1295" s="787"/>
    </row>
    <row r="1296" spans="6:15" ht="15.75" customHeight="1" x14ac:dyDescent="0.25">
      <c r="F1296" s="330"/>
      <c r="O1296" s="787"/>
    </row>
    <row r="1297" spans="6:15" ht="15.75" customHeight="1" x14ac:dyDescent="0.25">
      <c r="F1297" s="330"/>
      <c r="O1297" s="787"/>
    </row>
    <row r="1298" spans="6:15" ht="15.75" customHeight="1" x14ac:dyDescent="0.25">
      <c r="F1298" s="330"/>
      <c r="O1298" s="787"/>
    </row>
    <row r="1299" spans="6:15" ht="15.75" customHeight="1" x14ac:dyDescent="0.25">
      <c r="F1299" s="330"/>
      <c r="O1299" s="787"/>
    </row>
    <row r="1300" spans="6:15" ht="15.75" customHeight="1" x14ac:dyDescent="0.25">
      <c r="F1300" s="330"/>
      <c r="O1300" s="787"/>
    </row>
    <row r="1301" spans="6:15" ht="15.75" customHeight="1" x14ac:dyDescent="0.25">
      <c r="F1301" s="330"/>
      <c r="O1301" s="787"/>
    </row>
    <row r="1302" spans="6:15" ht="15.75" customHeight="1" x14ac:dyDescent="0.25">
      <c r="F1302" s="330"/>
      <c r="O1302" s="787"/>
    </row>
    <row r="1303" spans="6:15" ht="15.75" customHeight="1" x14ac:dyDescent="0.25">
      <c r="F1303" s="330"/>
      <c r="O1303" s="787"/>
    </row>
    <row r="1304" spans="6:15" ht="15.75" customHeight="1" x14ac:dyDescent="0.25">
      <c r="F1304" s="330"/>
      <c r="O1304" s="787"/>
    </row>
    <row r="1305" spans="6:15" ht="15.75" customHeight="1" x14ac:dyDescent="0.25">
      <c r="F1305" s="330"/>
      <c r="O1305" s="787"/>
    </row>
    <row r="1306" spans="6:15" ht="15.75" customHeight="1" x14ac:dyDescent="0.25">
      <c r="F1306" s="330"/>
      <c r="O1306" s="787"/>
    </row>
    <row r="1307" spans="6:15" ht="15.75" customHeight="1" x14ac:dyDescent="0.25">
      <c r="F1307" s="330"/>
      <c r="O1307" s="787"/>
    </row>
    <row r="1308" spans="6:15" ht="15.75" customHeight="1" x14ac:dyDescent="0.25">
      <c r="F1308" s="330"/>
      <c r="O1308" s="787"/>
    </row>
    <row r="1309" spans="6:15" ht="15.75" customHeight="1" x14ac:dyDescent="0.25">
      <c r="F1309" s="330"/>
      <c r="O1309" s="787"/>
    </row>
    <row r="1310" spans="6:15" ht="15.75" customHeight="1" x14ac:dyDescent="0.25">
      <c r="F1310" s="330"/>
      <c r="O1310" s="787"/>
    </row>
    <row r="1311" spans="6:15" ht="15.75" customHeight="1" x14ac:dyDescent="0.25">
      <c r="F1311" s="330"/>
      <c r="O1311" s="787"/>
    </row>
    <row r="1312" spans="6:15" ht="15.75" customHeight="1" x14ac:dyDescent="0.25">
      <c r="F1312" s="330"/>
      <c r="O1312" s="787"/>
    </row>
    <row r="1313" spans="6:15" ht="15.75" customHeight="1" x14ac:dyDescent="0.25">
      <c r="F1313" s="330"/>
      <c r="O1313" s="787"/>
    </row>
    <row r="1314" spans="6:15" ht="15.75" customHeight="1" x14ac:dyDescent="0.25">
      <c r="F1314" s="330"/>
      <c r="O1314" s="787"/>
    </row>
    <row r="1315" spans="6:15" ht="15.75" customHeight="1" x14ac:dyDescent="0.25">
      <c r="F1315" s="330"/>
      <c r="O1315" s="787"/>
    </row>
    <row r="1316" spans="6:15" ht="15.75" customHeight="1" x14ac:dyDescent="0.25">
      <c r="F1316" s="330"/>
      <c r="O1316" s="787"/>
    </row>
    <row r="1317" spans="6:15" ht="15.75" customHeight="1" x14ac:dyDescent="0.25">
      <c r="F1317" s="330"/>
      <c r="O1317" s="787"/>
    </row>
    <row r="1318" spans="6:15" ht="15.75" customHeight="1" x14ac:dyDescent="0.25">
      <c r="F1318" s="330"/>
      <c r="O1318" s="787"/>
    </row>
    <row r="1319" spans="6:15" ht="15.75" customHeight="1" x14ac:dyDescent="0.25">
      <c r="F1319" s="330"/>
      <c r="O1319" s="787"/>
    </row>
    <row r="1320" spans="6:15" ht="15.75" customHeight="1" x14ac:dyDescent="0.25">
      <c r="F1320" s="330"/>
      <c r="O1320" s="787"/>
    </row>
    <row r="1321" spans="6:15" ht="15.75" customHeight="1" x14ac:dyDescent="0.25">
      <c r="F1321" s="330"/>
      <c r="O1321" s="787"/>
    </row>
    <row r="1322" spans="6:15" ht="15.75" customHeight="1" x14ac:dyDescent="0.25">
      <c r="F1322" s="330"/>
      <c r="O1322" s="787"/>
    </row>
    <row r="1323" spans="6:15" ht="15.75" customHeight="1" x14ac:dyDescent="0.25">
      <c r="F1323" s="330"/>
      <c r="O1323" s="787"/>
    </row>
    <row r="1324" spans="6:15" ht="15.75" customHeight="1" x14ac:dyDescent="0.25">
      <c r="F1324" s="330"/>
      <c r="O1324" s="787"/>
    </row>
    <row r="1325" spans="6:15" ht="15.75" customHeight="1" x14ac:dyDescent="0.25">
      <c r="F1325" s="330"/>
      <c r="O1325" s="787"/>
    </row>
    <row r="1326" spans="6:15" ht="15.75" customHeight="1" x14ac:dyDescent="0.25">
      <c r="F1326" s="330"/>
      <c r="O1326" s="787"/>
    </row>
    <row r="1327" spans="6:15" ht="15.75" customHeight="1" x14ac:dyDescent="0.25">
      <c r="F1327" s="330"/>
      <c r="O1327" s="787"/>
    </row>
    <row r="1328" spans="6:15" ht="15.75" customHeight="1" x14ac:dyDescent="0.25">
      <c r="F1328" s="330"/>
      <c r="O1328" s="787"/>
    </row>
    <row r="1329" spans="6:15" ht="15.75" customHeight="1" x14ac:dyDescent="0.25">
      <c r="F1329" s="330"/>
      <c r="O1329" s="787"/>
    </row>
    <row r="1330" spans="6:15" ht="15.75" customHeight="1" x14ac:dyDescent="0.25">
      <c r="F1330" s="330"/>
      <c r="O1330" s="787"/>
    </row>
    <row r="1331" spans="6:15" ht="15.75" customHeight="1" x14ac:dyDescent="0.25">
      <c r="F1331" s="330"/>
      <c r="O1331" s="787"/>
    </row>
    <row r="1332" spans="6:15" ht="15.75" customHeight="1" x14ac:dyDescent="0.25">
      <c r="F1332" s="330"/>
      <c r="O1332" s="787"/>
    </row>
    <row r="1333" spans="6:15" ht="15.75" customHeight="1" x14ac:dyDescent="0.25">
      <c r="F1333" s="330"/>
      <c r="O1333" s="787"/>
    </row>
    <row r="1334" spans="6:15" ht="15.75" customHeight="1" x14ac:dyDescent="0.25">
      <c r="F1334" s="330"/>
      <c r="O1334" s="787"/>
    </row>
    <row r="1335" spans="6:15" ht="15.75" customHeight="1" x14ac:dyDescent="0.25">
      <c r="F1335" s="330"/>
      <c r="O1335" s="787"/>
    </row>
    <row r="1336" spans="6:15" ht="15.75" customHeight="1" x14ac:dyDescent="0.25">
      <c r="F1336" s="330"/>
      <c r="O1336" s="787"/>
    </row>
    <row r="1337" spans="6:15" ht="15.75" customHeight="1" x14ac:dyDescent="0.25">
      <c r="F1337" s="330"/>
      <c r="O1337" s="787"/>
    </row>
    <row r="1338" spans="6:15" ht="15.75" customHeight="1" x14ac:dyDescent="0.25">
      <c r="F1338" s="330"/>
      <c r="O1338" s="787"/>
    </row>
    <row r="1339" spans="6:15" ht="15.75" customHeight="1" x14ac:dyDescent="0.25">
      <c r="F1339" s="330"/>
      <c r="O1339" s="787"/>
    </row>
    <row r="1340" spans="6:15" ht="15.75" customHeight="1" x14ac:dyDescent="0.25">
      <c r="F1340" s="330"/>
      <c r="O1340" s="787"/>
    </row>
    <row r="1341" spans="6:15" ht="15.75" customHeight="1" x14ac:dyDescent="0.25">
      <c r="F1341" s="330"/>
      <c r="O1341" s="787"/>
    </row>
    <row r="1342" spans="6:15" ht="15.75" customHeight="1" x14ac:dyDescent="0.25">
      <c r="F1342" s="330"/>
      <c r="O1342" s="787"/>
    </row>
    <row r="1343" spans="6:15" ht="15.75" customHeight="1" x14ac:dyDescent="0.25">
      <c r="F1343" s="330"/>
      <c r="O1343" s="787"/>
    </row>
    <row r="1344" spans="6:15" ht="15.75" customHeight="1" x14ac:dyDescent="0.25">
      <c r="F1344" s="330"/>
      <c r="O1344" s="787"/>
    </row>
    <row r="1345" spans="6:15" ht="15.75" customHeight="1" x14ac:dyDescent="0.25">
      <c r="F1345" s="330"/>
      <c r="O1345" s="787"/>
    </row>
    <row r="1346" spans="6:15" ht="15.75" customHeight="1" x14ac:dyDescent="0.25">
      <c r="F1346" s="330"/>
      <c r="O1346" s="787"/>
    </row>
    <row r="1347" spans="6:15" ht="15.75" customHeight="1" x14ac:dyDescent="0.25">
      <c r="F1347" s="330"/>
      <c r="O1347" s="787"/>
    </row>
    <row r="1348" spans="6:15" ht="15.75" customHeight="1" x14ac:dyDescent="0.25">
      <c r="F1348" s="330"/>
      <c r="O1348" s="787"/>
    </row>
    <row r="1349" spans="6:15" ht="15.75" customHeight="1" x14ac:dyDescent="0.25">
      <c r="F1349" s="330"/>
      <c r="O1349" s="787"/>
    </row>
    <row r="1350" spans="6:15" ht="15.75" customHeight="1" x14ac:dyDescent="0.25">
      <c r="F1350" s="330"/>
      <c r="O1350" s="787"/>
    </row>
    <row r="1351" spans="6:15" ht="15.75" customHeight="1" x14ac:dyDescent="0.25">
      <c r="F1351" s="330"/>
      <c r="O1351" s="787"/>
    </row>
    <row r="1352" spans="6:15" ht="15.75" customHeight="1" x14ac:dyDescent="0.25">
      <c r="F1352" s="330"/>
      <c r="O1352" s="787"/>
    </row>
    <row r="1353" spans="6:15" ht="15.75" customHeight="1" x14ac:dyDescent="0.25">
      <c r="F1353" s="330"/>
      <c r="O1353" s="787"/>
    </row>
    <row r="1354" spans="6:15" ht="15.75" customHeight="1" x14ac:dyDescent="0.25">
      <c r="F1354" s="330"/>
      <c r="O1354" s="787"/>
    </row>
    <row r="1355" spans="6:15" ht="15.75" customHeight="1" x14ac:dyDescent="0.25">
      <c r="F1355" s="330"/>
      <c r="O1355" s="787"/>
    </row>
    <row r="1356" spans="6:15" ht="15.75" customHeight="1" x14ac:dyDescent="0.25">
      <c r="F1356" s="330"/>
      <c r="O1356" s="787"/>
    </row>
    <row r="1357" spans="6:15" ht="15.75" customHeight="1" x14ac:dyDescent="0.25">
      <c r="F1357" s="330"/>
      <c r="O1357" s="787"/>
    </row>
    <row r="1358" spans="6:15" ht="15.75" customHeight="1" x14ac:dyDescent="0.25">
      <c r="F1358" s="330"/>
      <c r="O1358" s="787"/>
    </row>
    <row r="1359" spans="6:15" ht="15.75" customHeight="1" x14ac:dyDescent="0.25">
      <c r="F1359" s="330"/>
      <c r="O1359" s="787"/>
    </row>
    <row r="1360" spans="6:15" ht="15.75" customHeight="1" x14ac:dyDescent="0.25">
      <c r="F1360" s="330"/>
      <c r="O1360" s="787"/>
    </row>
    <row r="1361" spans="6:15" ht="15.75" customHeight="1" x14ac:dyDescent="0.25">
      <c r="F1361" s="330"/>
      <c r="O1361" s="787"/>
    </row>
    <row r="1362" spans="6:15" ht="15.75" customHeight="1" x14ac:dyDescent="0.25">
      <c r="F1362" s="330"/>
      <c r="O1362" s="787"/>
    </row>
    <row r="1363" spans="6:15" ht="15.75" customHeight="1" x14ac:dyDescent="0.25">
      <c r="F1363" s="330"/>
      <c r="O1363" s="787"/>
    </row>
    <row r="1364" spans="6:15" ht="15.75" customHeight="1" x14ac:dyDescent="0.25">
      <c r="F1364" s="330"/>
      <c r="O1364" s="787"/>
    </row>
    <row r="1365" spans="6:15" ht="15.75" customHeight="1" x14ac:dyDescent="0.25">
      <c r="F1365" s="330"/>
      <c r="O1365" s="787"/>
    </row>
    <row r="1366" spans="6:15" ht="15.75" customHeight="1" x14ac:dyDescent="0.25">
      <c r="F1366" s="330"/>
      <c r="O1366" s="787"/>
    </row>
    <row r="1367" spans="6:15" ht="15.75" customHeight="1" x14ac:dyDescent="0.25">
      <c r="F1367" s="330"/>
      <c r="O1367" s="787"/>
    </row>
    <row r="1368" spans="6:15" ht="15.75" customHeight="1" x14ac:dyDescent="0.25">
      <c r="F1368" s="330"/>
      <c r="O1368" s="787"/>
    </row>
    <row r="1369" spans="6:15" ht="15.75" customHeight="1" x14ac:dyDescent="0.25">
      <c r="F1369" s="330"/>
      <c r="O1369" s="787"/>
    </row>
    <row r="1370" spans="6:15" ht="15.75" customHeight="1" x14ac:dyDescent="0.25">
      <c r="F1370" s="330"/>
      <c r="O1370" s="787"/>
    </row>
    <row r="1371" spans="6:15" ht="15.75" customHeight="1" x14ac:dyDescent="0.25">
      <c r="F1371" s="330"/>
      <c r="O1371" s="787"/>
    </row>
    <row r="1372" spans="6:15" ht="15.75" customHeight="1" x14ac:dyDescent="0.25">
      <c r="F1372" s="330"/>
      <c r="O1372" s="787"/>
    </row>
    <row r="1373" spans="6:15" ht="15.75" customHeight="1" x14ac:dyDescent="0.25">
      <c r="F1373" s="330"/>
      <c r="O1373" s="787"/>
    </row>
    <row r="1374" spans="6:15" ht="15.75" customHeight="1" x14ac:dyDescent="0.25">
      <c r="F1374" s="330"/>
      <c r="O1374" s="787"/>
    </row>
    <row r="1375" spans="6:15" ht="15.75" customHeight="1" x14ac:dyDescent="0.25">
      <c r="F1375" s="330"/>
      <c r="O1375" s="787"/>
    </row>
    <row r="1376" spans="6:15" ht="15.6" x14ac:dyDescent="0.25"/>
    <row r="1377" ht="15.6" x14ac:dyDescent="0.25"/>
    <row r="1378" ht="15.6" x14ac:dyDescent="0.25"/>
    <row r="1379" ht="15.6" x14ac:dyDescent="0.25"/>
    <row r="1380" ht="15.6" x14ac:dyDescent="0.25"/>
    <row r="1381" ht="15.6" x14ac:dyDescent="0.25"/>
    <row r="1382" ht="15.6" x14ac:dyDescent="0.25"/>
    <row r="1383" ht="15.6" x14ac:dyDescent="0.25"/>
    <row r="1384" ht="15.6" x14ac:dyDescent="0.25"/>
    <row r="1385" ht="15.6" x14ac:dyDescent="0.25"/>
    <row r="1386" ht="15.6" x14ac:dyDescent="0.25"/>
    <row r="1387" ht="15.6" x14ac:dyDescent="0.25"/>
    <row r="1388" ht="15.6" x14ac:dyDescent="0.25"/>
    <row r="1389" ht="15.6" x14ac:dyDescent="0.25"/>
    <row r="1390" ht="15.6" x14ac:dyDescent="0.25"/>
    <row r="1391" ht="15.6" x14ac:dyDescent="0.25"/>
    <row r="1392" ht="15.6" x14ac:dyDescent="0.25"/>
    <row r="1393" ht="15.6" x14ac:dyDescent="0.25"/>
  </sheetData>
  <sheetProtection algorithmName="SHA-512" hashValue="PXu12pBJvXHHyorxfX80hxEvOipjLDX9VBaHtS6XN1CtlC3lh9tiVHG3qfK2Z0MwZGdr9KixRI26L4Y7wEgJVA==" saltValue="UfBnOraKwbWC1uZE7+cm2g==" spinCount="100000" sheet="1" objects="1" scenarios="1"/>
  <mergeCells count="360">
    <mergeCell ref="M306:N306"/>
    <mergeCell ref="M307:N307"/>
    <mergeCell ref="M261:N261"/>
    <mergeCell ref="M262:N262"/>
    <mergeCell ref="M269:N269"/>
    <mergeCell ref="M270:N270"/>
    <mergeCell ref="M277:N277"/>
    <mergeCell ref="M278:N278"/>
    <mergeCell ref="M290:N290"/>
    <mergeCell ref="M291:N291"/>
    <mergeCell ref="M298:N298"/>
    <mergeCell ref="M304:N304"/>
    <mergeCell ref="M305:N305"/>
    <mergeCell ref="M289:N289"/>
    <mergeCell ref="M293:N293"/>
    <mergeCell ref="M294:N294"/>
    <mergeCell ref="M295:N295"/>
    <mergeCell ref="M296:N296"/>
    <mergeCell ref="M297:N297"/>
    <mergeCell ref="M301:N301"/>
    <mergeCell ref="M302:N302"/>
    <mergeCell ref="M303:N303"/>
    <mergeCell ref="M299:N299"/>
    <mergeCell ref="M276:N276"/>
    <mergeCell ref="M285:N285"/>
    <mergeCell ref="M286:N286"/>
    <mergeCell ref="M287:N287"/>
    <mergeCell ref="M288:N288"/>
    <mergeCell ref="M264:N264"/>
    <mergeCell ref="M265:N265"/>
    <mergeCell ref="M266:N266"/>
    <mergeCell ref="M267:N267"/>
    <mergeCell ref="M268:N268"/>
    <mergeCell ref="M272:N272"/>
    <mergeCell ref="M273:N273"/>
    <mergeCell ref="M274:N274"/>
    <mergeCell ref="M275:N275"/>
    <mergeCell ref="M256:N256"/>
    <mergeCell ref="M257:N257"/>
    <mergeCell ref="M258:N258"/>
    <mergeCell ref="M259:N259"/>
    <mergeCell ref="M260:N260"/>
    <mergeCell ref="M280:N280"/>
    <mergeCell ref="M281:N281"/>
    <mergeCell ref="M282:N282"/>
    <mergeCell ref="M283:N283"/>
    <mergeCell ref="M244:N244"/>
    <mergeCell ref="M245:N245"/>
    <mergeCell ref="M246:N246"/>
    <mergeCell ref="M247:N247"/>
    <mergeCell ref="M248:N248"/>
    <mergeCell ref="M249:N249"/>
    <mergeCell ref="M251:N251"/>
    <mergeCell ref="M252:N252"/>
    <mergeCell ref="M254:N254"/>
    <mergeCell ref="M234:N234"/>
    <mergeCell ref="M235:N235"/>
    <mergeCell ref="M236:N236"/>
    <mergeCell ref="M237:N237"/>
    <mergeCell ref="M238:N238"/>
    <mergeCell ref="M239:N239"/>
    <mergeCell ref="M240:N240"/>
    <mergeCell ref="M241:N241"/>
    <mergeCell ref="M242:N242"/>
    <mergeCell ref="M223:N223"/>
    <mergeCell ref="M224:N224"/>
    <mergeCell ref="M225:N225"/>
    <mergeCell ref="M226:N226"/>
    <mergeCell ref="M227:N227"/>
    <mergeCell ref="M229:N229"/>
    <mergeCell ref="M230:N230"/>
    <mergeCell ref="M231:N231"/>
    <mergeCell ref="M232:N232"/>
    <mergeCell ref="M212:N212"/>
    <mergeCell ref="M213:N213"/>
    <mergeCell ref="M214:N214"/>
    <mergeCell ref="M215:N215"/>
    <mergeCell ref="M216:N216"/>
    <mergeCell ref="M217:N217"/>
    <mergeCell ref="M220:N220"/>
    <mergeCell ref="M221:N221"/>
    <mergeCell ref="M222:N222"/>
    <mergeCell ref="M202:N202"/>
    <mergeCell ref="M203:N203"/>
    <mergeCell ref="M205:N205"/>
    <mergeCell ref="M206:N206"/>
    <mergeCell ref="M207:N207"/>
    <mergeCell ref="M208:N208"/>
    <mergeCell ref="M209:N209"/>
    <mergeCell ref="M210:N210"/>
    <mergeCell ref="M211:N211"/>
    <mergeCell ref="M188:N188"/>
    <mergeCell ref="M189:N189"/>
    <mergeCell ref="M191:N191"/>
    <mergeCell ref="M193:N193"/>
    <mergeCell ref="M196:N196"/>
    <mergeCell ref="M197:N197"/>
    <mergeCell ref="M198:N198"/>
    <mergeCell ref="M200:N200"/>
    <mergeCell ref="M201:N201"/>
    <mergeCell ref="M177:N177"/>
    <mergeCell ref="M178:N178"/>
    <mergeCell ref="M179:N179"/>
    <mergeCell ref="M181:N181"/>
    <mergeCell ref="M182:N182"/>
    <mergeCell ref="M183:N183"/>
    <mergeCell ref="M184:N184"/>
    <mergeCell ref="M186:N186"/>
    <mergeCell ref="M187:N187"/>
    <mergeCell ref="M167:N167"/>
    <mergeCell ref="M168:N168"/>
    <mergeCell ref="M170:N170"/>
    <mergeCell ref="M171:N171"/>
    <mergeCell ref="M172:N172"/>
    <mergeCell ref="M173:N173"/>
    <mergeCell ref="M174:N174"/>
    <mergeCell ref="M175:N175"/>
    <mergeCell ref="M176:N176"/>
    <mergeCell ref="M156:N156"/>
    <mergeCell ref="M157:N157"/>
    <mergeCell ref="M160:N160"/>
    <mergeCell ref="M161:N161"/>
    <mergeCell ref="M162:N162"/>
    <mergeCell ref="M163:N163"/>
    <mergeCell ref="M164:N164"/>
    <mergeCell ref="M165:N165"/>
    <mergeCell ref="M166:N166"/>
    <mergeCell ref="M145:N145"/>
    <mergeCell ref="M146:N146"/>
    <mergeCell ref="M148:N148"/>
    <mergeCell ref="M150:N150"/>
    <mergeCell ref="M151:N151"/>
    <mergeCell ref="M152:N152"/>
    <mergeCell ref="M153:N153"/>
    <mergeCell ref="M154:N154"/>
    <mergeCell ref="M155:N155"/>
    <mergeCell ref="M133:N133"/>
    <mergeCell ref="M134:N134"/>
    <mergeCell ref="M136:N136"/>
    <mergeCell ref="M137:N137"/>
    <mergeCell ref="M138:N138"/>
    <mergeCell ref="M140:N140"/>
    <mergeCell ref="M141:N141"/>
    <mergeCell ref="M142:N142"/>
    <mergeCell ref="M143:N143"/>
    <mergeCell ref="M121:N121"/>
    <mergeCell ref="M122:N122"/>
    <mergeCell ref="M123:N123"/>
    <mergeCell ref="M124:N124"/>
    <mergeCell ref="M126:N126"/>
    <mergeCell ref="M127:N127"/>
    <mergeCell ref="M129:N129"/>
    <mergeCell ref="M131:N131"/>
    <mergeCell ref="M132:N132"/>
    <mergeCell ref="M109:N109"/>
    <mergeCell ref="M110:N110"/>
    <mergeCell ref="M111:N111"/>
    <mergeCell ref="M112:N112"/>
    <mergeCell ref="M115:N115"/>
    <mergeCell ref="M116:N116"/>
    <mergeCell ref="M117:N117"/>
    <mergeCell ref="M118:N118"/>
    <mergeCell ref="M120:N120"/>
    <mergeCell ref="M99:N99"/>
    <mergeCell ref="M100:N100"/>
    <mergeCell ref="M101:N101"/>
    <mergeCell ref="M102:N102"/>
    <mergeCell ref="M103:N103"/>
    <mergeCell ref="M105:N105"/>
    <mergeCell ref="M106:N106"/>
    <mergeCell ref="M107:N107"/>
    <mergeCell ref="M108:N108"/>
    <mergeCell ref="M89:N89"/>
    <mergeCell ref="M90:N90"/>
    <mergeCell ref="M91:N91"/>
    <mergeCell ref="M92:N92"/>
    <mergeCell ref="M93:N93"/>
    <mergeCell ref="M94:N94"/>
    <mergeCell ref="M96:N96"/>
    <mergeCell ref="M97:N97"/>
    <mergeCell ref="M98:N98"/>
    <mergeCell ref="M78:N78"/>
    <mergeCell ref="M79:N79"/>
    <mergeCell ref="M81:N81"/>
    <mergeCell ref="M82:N82"/>
    <mergeCell ref="M83:N83"/>
    <mergeCell ref="M84:N84"/>
    <mergeCell ref="M85:N85"/>
    <mergeCell ref="M87:N87"/>
    <mergeCell ref="M88:N88"/>
    <mergeCell ref="M65:N65"/>
    <mergeCell ref="M66:N66"/>
    <mergeCell ref="M67:N67"/>
    <mergeCell ref="M68:N68"/>
    <mergeCell ref="M73:N73"/>
    <mergeCell ref="M74:N74"/>
    <mergeCell ref="M75:N75"/>
    <mergeCell ref="M76:N76"/>
    <mergeCell ref="M77:N77"/>
    <mergeCell ref="M69:N69"/>
    <mergeCell ref="M70:N70"/>
    <mergeCell ref="M52:N52"/>
    <mergeCell ref="M53:N53"/>
    <mergeCell ref="M56:N56"/>
    <mergeCell ref="M57:N57"/>
    <mergeCell ref="M58:N58"/>
    <mergeCell ref="M59:N59"/>
    <mergeCell ref="M60:N60"/>
    <mergeCell ref="M64:N64"/>
    <mergeCell ref="M61:N61"/>
    <mergeCell ref="M62:N62"/>
    <mergeCell ref="M41:N41"/>
    <mergeCell ref="M42:N42"/>
    <mergeCell ref="M43:N43"/>
    <mergeCell ref="M44:N44"/>
    <mergeCell ref="M47:N47"/>
    <mergeCell ref="M48:N48"/>
    <mergeCell ref="M49:N49"/>
    <mergeCell ref="M50:N50"/>
    <mergeCell ref="M51:N51"/>
    <mergeCell ref="M29:N29"/>
    <mergeCell ref="M30:N30"/>
    <mergeCell ref="M31:N31"/>
    <mergeCell ref="M32:N32"/>
    <mergeCell ref="M33:N33"/>
    <mergeCell ref="M34:N34"/>
    <mergeCell ref="M37:N37"/>
    <mergeCell ref="M38:N38"/>
    <mergeCell ref="M39:N39"/>
    <mergeCell ref="M18:N18"/>
    <mergeCell ref="M19:N19"/>
    <mergeCell ref="M20:N20"/>
    <mergeCell ref="M22:N22"/>
    <mergeCell ref="M23:N23"/>
    <mergeCell ref="M24:N24"/>
    <mergeCell ref="M25:N25"/>
    <mergeCell ref="M26:N26"/>
    <mergeCell ref="M27:N27"/>
    <mergeCell ref="M8:N8"/>
    <mergeCell ref="M9:N9"/>
    <mergeCell ref="M10:N10"/>
    <mergeCell ref="M11:N11"/>
    <mergeCell ref="M12:N12"/>
    <mergeCell ref="M13:N13"/>
    <mergeCell ref="M15:N15"/>
    <mergeCell ref="M16:N16"/>
    <mergeCell ref="M17:N17"/>
    <mergeCell ref="B233:C233"/>
    <mergeCell ref="A218:C218"/>
    <mergeCell ref="B192:C192"/>
    <mergeCell ref="A193:B193"/>
    <mergeCell ref="B128:C128"/>
    <mergeCell ref="A272:B278"/>
    <mergeCell ref="B255:C255"/>
    <mergeCell ref="A244:B249"/>
    <mergeCell ref="B250:C250"/>
    <mergeCell ref="B243:C243"/>
    <mergeCell ref="A145:B145"/>
    <mergeCell ref="B180:C180"/>
    <mergeCell ref="A187:B189"/>
    <mergeCell ref="A151:B157"/>
    <mergeCell ref="A194:C194"/>
    <mergeCell ref="A197:B198"/>
    <mergeCell ref="A191:B191"/>
    <mergeCell ref="B159:C159"/>
    <mergeCell ref="A161:B168"/>
    <mergeCell ref="B169:C169"/>
    <mergeCell ref="A171:B179"/>
    <mergeCell ref="B149:C149"/>
    <mergeCell ref="A132:B134"/>
    <mergeCell ref="B135:C135"/>
    <mergeCell ref="A301:B307"/>
    <mergeCell ref="A285:B291"/>
    <mergeCell ref="B284:C284"/>
    <mergeCell ref="B292:C292"/>
    <mergeCell ref="A293:B299"/>
    <mergeCell ref="B300:C300"/>
    <mergeCell ref="A234:B242"/>
    <mergeCell ref="A280:B283"/>
    <mergeCell ref="A251:B252"/>
    <mergeCell ref="A253:C253"/>
    <mergeCell ref="A254:B254"/>
    <mergeCell ref="B263:C263"/>
    <mergeCell ref="A264:B270"/>
    <mergeCell ref="B271:C271"/>
    <mergeCell ref="A256:B262"/>
    <mergeCell ref="A279:F279"/>
    <mergeCell ref="A6:C6"/>
    <mergeCell ref="B7:C7"/>
    <mergeCell ref="A35:C35"/>
    <mergeCell ref="B40:C40"/>
    <mergeCell ref="A41:B44"/>
    <mergeCell ref="B36:C36"/>
    <mergeCell ref="A38:B39"/>
    <mergeCell ref="A56:B62"/>
    <mergeCell ref="A64:B70"/>
    <mergeCell ref="A45:C45"/>
    <mergeCell ref="B46:C46"/>
    <mergeCell ref="A54:C54"/>
    <mergeCell ref="B55:C55"/>
    <mergeCell ref="B63:C63"/>
    <mergeCell ref="A48:B53"/>
    <mergeCell ref="A8:B13"/>
    <mergeCell ref="B14:C14"/>
    <mergeCell ref="A15:B20"/>
    <mergeCell ref="B21:C21"/>
    <mergeCell ref="A22:B27"/>
    <mergeCell ref="B28:C28"/>
    <mergeCell ref="A29:B34"/>
    <mergeCell ref="B119:C119"/>
    <mergeCell ref="A81:B85"/>
    <mergeCell ref="B86:C86"/>
    <mergeCell ref="A87:B94"/>
    <mergeCell ref="B95:C95"/>
    <mergeCell ref="B125:C125"/>
    <mergeCell ref="A126:B127"/>
    <mergeCell ref="B130:C130"/>
    <mergeCell ref="A129:B129"/>
    <mergeCell ref="A121:B124"/>
    <mergeCell ref="A105:B107"/>
    <mergeCell ref="A113:C113"/>
    <mergeCell ref="A1:C1"/>
    <mergeCell ref="D1:O1"/>
    <mergeCell ref="A2:O2"/>
    <mergeCell ref="A3:B4"/>
    <mergeCell ref="C3:C4"/>
    <mergeCell ref="D3:D4"/>
    <mergeCell ref="E3:E4"/>
    <mergeCell ref="F3:F4"/>
    <mergeCell ref="G3:G4"/>
    <mergeCell ref="H3:H4"/>
    <mergeCell ref="J3:J4"/>
    <mergeCell ref="K3:K4"/>
    <mergeCell ref="L3:L4"/>
    <mergeCell ref="I3:I4"/>
    <mergeCell ref="M3:N4"/>
    <mergeCell ref="A71:C71"/>
    <mergeCell ref="B72:C72"/>
    <mergeCell ref="B80:C80"/>
    <mergeCell ref="B104:C104"/>
    <mergeCell ref="A96:B103"/>
    <mergeCell ref="A73:B79"/>
    <mergeCell ref="A137:B138"/>
    <mergeCell ref="B185:C185"/>
    <mergeCell ref="A229:B232"/>
    <mergeCell ref="A158:C158"/>
    <mergeCell ref="B139:C139"/>
    <mergeCell ref="A140:B143"/>
    <mergeCell ref="B144:C144"/>
    <mergeCell ref="A146:B146"/>
    <mergeCell ref="B147:C147"/>
    <mergeCell ref="B190:C190"/>
    <mergeCell ref="B228:C228"/>
    <mergeCell ref="A220:B227"/>
    <mergeCell ref="B199:C199"/>
    <mergeCell ref="B204:C204"/>
    <mergeCell ref="A201:B203"/>
    <mergeCell ref="B195:C195"/>
    <mergeCell ref="B219:C219"/>
    <mergeCell ref="B114:C114"/>
  </mergeCells>
  <conditionalFormatting sqref="K6:K314">
    <cfRule type="expression" dxfId="269" priority="16">
      <formula>H6=1</formula>
    </cfRule>
  </conditionalFormatting>
  <conditionalFormatting sqref="I7:I314">
    <cfRule type="cellIs" dxfId="268" priority="8" operator="lessThan">
      <formula>0</formula>
    </cfRule>
  </conditionalFormatting>
  <conditionalFormatting sqref="L6:L314">
    <cfRule type="cellIs" dxfId="267" priority="6" operator="greaterThan">
      <formula>0</formula>
    </cfRule>
    <cfRule type="cellIs" dxfId="266" priority="7" operator="equal">
      <formula>0</formula>
    </cfRule>
  </conditionalFormatting>
  <conditionalFormatting sqref="O6:O314">
    <cfRule type="containsText" dxfId="265" priority="9" operator="containsText" text="Expired">
      <formula>NOT(ISERROR(SEARCH("Expired",O6)))</formula>
    </cfRule>
    <cfRule type="containsText" dxfId="264" priority="10" operator="containsText" text="B1">
      <formula>NOT(ISERROR(SEARCH("B1",O6)))</formula>
    </cfRule>
    <cfRule type="containsText" dxfId="263" priority="11" operator="containsText" text="LCA">
      <formula>NOT(ISERROR(SEARCH("LCA",O6)))</formula>
    </cfRule>
    <cfRule type="containsText" dxfId="262" priority="12" operator="containsText" text="ICE">
      <formula>NOT(ISERROR(SEARCH("ICE",O6)))</formula>
    </cfRule>
    <cfRule type="containsText" dxfId="261" priority="13" operator="containsText" text="No">
      <formula>NOT(ISERROR(SEARCH("No",O6)))</formula>
    </cfRule>
    <cfRule type="containsText" dxfId="260" priority="14" operator="containsText" text="None">
      <formula>NOT(ISERROR(SEARCH("None",O6)))</formula>
    </cfRule>
    <cfRule type="containsText" dxfId="259" priority="15" operator="containsText" text="A1-">
      <formula>NOT(ISERROR(SEARCH("A1-",O6)))</formula>
    </cfRule>
  </conditionalFormatting>
  <conditionalFormatting sqref="P4">
    <cfRule type="cellIs" dxfId="258" priority="2" operator="greaterThan">
      <formula>0</formula>
    </cfRule>
    <cfRule type="cellIs" dxfId="257" priority="3" operator="equal">
      <formula>0</formula>
    </cfRule>
  </conditionalFormatting>
  <conditionalFormatting sqref="O4">
    <cfRule type="expression" dxfId="256" priority="1">
      <formula>COUNTIF($H:$H, 1)&gt;0</formula>
    </cfRule>
  </conditionalFormatting>
  <dataValidations count="2">
    <dataValidation type="list" allowBlank="1" showErrorMessage="1" sqref="E6 E35:E36 E38:E39" xr:uid="{00000000-0002-0000-0C00-000000000000}">
      <formula1>spacing</formula1>
    </dataValidation>
    <dataValidation type="whole" errorStyle="warning" operator="equal" allowBlank="1" showErrorMessage="1" errorTitle="Enter 1 to select" error="Options:_x000a_To select item, enter '1'_x000a_To unselect, leave cell empty" sqref="H256:H283 H285:H307 H254 H6:H54 H56:H252" xr:uid="{00000000-0002-0000-0C00-000001000000}">
      <formula1>1</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7">
    <tabColor theme="9" tint="0.59999389629810485"/>
  </sheetPr>
  <dimension ref="A1:Z1032"/>
  <sheetViews>
    <sheetView zoomScale="80" zoomScaleNormal="80" workbookViewId="0">
      <pane ySplit="4" topLeftCell="A5" activePane="bottomLeft" state="frozen"/>
      <selection activeCell="L34" activeCellId="1" sqref="H6 L34"/>
      <selection pane="bottomLeft" activeCell="A5" sqref="A5:C5"/>
    </sheetView>
  </sheetViews>
  <sheetFormatPr defaultColWidth="11.36328125" defaultRowHeight="15" customHeight="1" x14ac:dyDescent="0.25"/>
  <cols>
    <col min="1" max="1" width="8.6328125" customWidth="1"/>
    <col min="2" max="2" width="13" customWidth="1"/>
    <col min="3" max="3" width="57.54296875" customWidth="1"/>
    <col min="4" max="4" width="19.81640625" style="712" customWidth="1"/>
    <col min="5" max="5" width="5.6328125" customWidth="1"/>
    <col min="6" max="6" width="6.6328125" style="331" customWidth="1"/>
    <col min="7" max="7" width="2.36328125" customWidth="1"/>
    <col min="8" max="8" width="6.6328125" customWidth="1"/>
    <col min="9" max="9" width="13.6328125" style="714" hidden="1" customWidth="1"/>
    <col min="10" max="10" width="16.6328125" style="714" hidden="1" customWidth="1"/>
    <col min="11" max="12" width="13.6328125" style="714" customWidth="1"/>
    <col min="13" max="13" width="12.6328125" style="714" customWidth="1"/>
    <col min="14" max="14" width="35.90625" style="714" customWidth="1"/>
    <col min="15" max="15" width="30.453125" customWidth="1"/>
    <col min="16" max="16" width="30.453125" style="620" customWidth="1"/>
    <col min="17" max="17" width="30.1796875" style="619" customWidth="1"/>
    <col min="18" max="18" width="32.453125" style="619" customWidth="1"/>
    <col min="19" max="26" width="10.54296875" style="619" customWidth="1"/>
    <col min="27" max="16384" width="11.36328125" style="619"/>
  </cols>
  <sheetData>
    <row r="1" spans="1:26" ht="54.75" customHeight="1" x14ac:dyDescent="0.25">
      <c r="A1" s="1528" t="s">
        <v>3432</v>
      </c>
      <c r="B1" s="1529"/>
      <c r="C1" s="1530"/>
      <c r="D1" s="1608" t="s">
        <v>65</v>
      </c>
      <c r="E1" s="1608"/>
      <c r="F1" s="1608"/>
      <c r="G1" s="1608"/>
      <c r="H1" s="1608"/>
      <c r="I1" s="1608"/>
      <c r="J1" s="1608"/>
      <c r="K1" s="1608"/>
      <c r="L1" s="1608"/>
      <c r="M1" s="1608"/>
      <c r="N1" s="716"/>
      <c r="O1" s="618"/>
      <c r="P1" s="618"/>
    </row>
    <row r="2" spans="1:26" s="621" customFormat="1" ht="19.2" customHeight="1" x14ac:dyDescent="0.3">
      <c r="A2" s="1591" t="s">
        <v>7209</v>
      </c>
      <c r="B2" s="1591"/>
      <c r="C2" s="1591"/>
      <c r="D2" s="1591"/>
      <c r="E2" s="1591"/>
      <c r="F2" s="1591"/>
      <c r="G2" s="1591"/>
      <c r="H2" s="1591"/>
      <c r="I2" s="1591"/>
      <c r="J2" s="1591"/>
      <c r="K2" s="1591"/>
      <c r="L2" s="1591"/>
      <c r="M2" s="1591"/>
      <c r="N2" s="1591"/>
      <c r="O2" s="1591"/>
      <c r="P2" s="620"/>
    </row>
    <row r="3" spans="1:26" s="624" customFormat="1" ht="60" customHeight="1" x14ac:dyDescent="0.25">
      <c r="A3" s="1537" t="s">
        <v>1031</v>
      </c>
      <c r="B3" s="1537"/>
      <c r="C3" s="1537" t="s">
        <v>13</v>
      </c>
      <c r="D3" s="1532" t="s">
        <v>1583</v>
      </c>
      <c r="E3" s="1534"/>
      <c r="F3" s="1537" t="s">
        <v>14</v>
      </c>
      <c r="G3" s="1537"/>
      <c r="H3" s="1538" t="s">
        <v>3417</v>
      </c>
      <c r="I3" s="1526" t="s">
        <v>7157</v>
      </c>
      <c r="J3" s="1526" t="s">
        <v>7158</v>
      </c>
      <c r="K3" s="1535" t="s">
        <v>900</v>
      </c>
      <c r="L3" s="1535" t="s">
        <v>7156</v>
      </c>
      <c r="M3" s="1520" t="s">
        <v>7165</v>
      </c>
      <c r="N3" s="1520"/>
      <c r="O3" s="622" t="s">
        <v>7190</v>
      </c>
      <c r="P3" s="622" t="s">
        <v>7204</v>
      </c>
      <c r="Q3" s="623"/>
      <c r="R3" s="623"/>
      <c r="S3" s="623"/>
      <c r="T3" s="623"/>
      <c r="U3" s="623"/>
      <c r="V3" s="623"/>
      <c r="W3" s="623"/>
      <c r="X3" s="623"/>
      <c r="Y3" s="623"/>
      <c r="Z3" s="623"/>
    </row>
    <row r="4" spans="1:26" s="624" customFormat="1" ht="30.15" customHeight="1" x14ac:dyDescent="0.3">
      <c r="A4" s="1537"/>
      <c r="B4" s="1537"/>
      <c r="C4" s="1537"/>
      <c r="D4" s="1533"/>
      <c r="E4" s="1523"/>
      <c r="F4" s="1537"/>
      <c r="G4" s="1537"/>
      <c r="H4" s="1539"/>
      <c r="I4" s="1527"/>
      <c r="J4" s="1527"/>
      <c r="K4" s="1536"/>
      <c r="L4" s="1536"/>
      <c r="M4" s="1520"/>
      <c r="N4" s="1520"/>
      <c r="O4" s="405">
        <f>SUMIF(H6:H99, 1, K6:K99)</f>
        <v>0</v>
      </c>
      <c r="P4" s="424">
        <f>SUMIF(H6:H99, 1, L6:L99)</f>
        <v>0</v>
      </c>
      <c r="Q4" s="626" t="s">
        <v>107</v>
      </c>
      <c r="R4" s="626" t="s">
        <v>1072</v>
      </c>
      <c r="S4" s="627" t="s">
        <v>749</v>
      </c>
      <c r="T4" s="627" t="s">
        <v>108</v>
      </c>
    </row>
    <row r="5" spans="1:26" s="624" customFormat="1" ht="54.75" customHeight="1" x14ac:dyDescent="0.25">
      <c r="A5" s="1522" t="s">
        <v>66</v>
      </c>
      <c r="B5" s="1523"/>
      <c r="C5" s="1523"/>
      <c r="D5" s="649"/>
      <c r="E5" s="650"/>
      <c r="F5" s="321"/>
      <c r="G5" s="650"/>
      <c r="H5" s="650"/>
      <c r="I5" s="651"/>
      <c r="J5" s="651"/>
      <c r="K5" s="652"/>
      <c r="L5" s="759"/>
      <c r="M5" s="759"/>
      <c r="N5" s="759"/>
      <c r="O5" s="820"/>
      <c r="P5" s="637"/>
      <c r="Q5" s="811"/>
      <c r="R5" s="638"/>
      <c r="S5" s="638"/>
      <c r="T5" s="638"/>
      <c r="U5" s="638"/>
      <c r="V5" s="638"/>
      <c r="W5" s="638"/>
      <c r="X5" s="638"/>
      <c r="Y5" s="638"/>
      <c r="Z5" s="638"/>
    </row>
    <row r="6" spans="1:26" s="624" customFormat="1" ht="23.25" customHeight="1" x14ac:dyDescent="0.25">
      <c r="A6" s="639"/>
      <c r="B6" s="1524" t="s">
        <v>1045</v>
      </c>
      <c r="C6" s="1523"/>
      <c r="D6" s="640"/>
      <c r="E6" s="641"/>
      <c r="F6" s="340"/>
      <c r="G6" s="739"/>
      <c r="H6" s="821"/>
      <c r="I6" s="642"/>
      <c r="J6" s="643"/>
      <c r="K6" s="727"/>
      <c r="L6" s="677"/>
      <c r="M6" s="677"/>
      <c r="N6" s="677"/>
      <c r="O6" s="822"/>
      <c r="P6" s="637"/>
      <c r="Q6" s="638"/>
      <c r="R6" s="638"/>
      <c r="S6" s="638"/>
      <c r="T6" s="638"/>
      <c r="U6" s="638"/>
      <c r="V6" s="638"/>
      <c r="W6" s="638"/>
      <c r="X6" s="638"/>
      <c r="Y6" s="638"/>
      <c r="Z6" s="638"/>
    </row>
    <row r="7" spans="1:26" s="624" customFormat="1" ht="47.25" customHeight="1" x14ac:dyDescent="0.25">
      <c r="A7" s="1600"/>
      <c r="B7" s="1600"/>
      <c r="C7" s="647" t="str">
        <f>INDEX('Master sheet'!$A$1:$A$670,MATCH(23,'Master sheet'!$AN$1:$AN$670,0))</f>
        <v>Brick, Clay, Generic Modular / Brick Industry Association / US-Canada Industry Average / 3-5/8" x 2-3/4" x 7-5/8" incl. 3/8" mortar</v>
      </c>
      <c r="D7" s="13">
        <f>'USER INPUT SHEET'!$D$32</f>
        <v>0</v>
      </c>
      <c r="E7" s="14" t="str">
        <f>'USER INPUT SHEET'!$F$32</f>
        <v>m2</v>
      </c>
      <c r="F7" s="2">
        <v>1</v>
      </c>
      <c r="G7" s="648"/>
      <c r="H7" s="7"/>
      <c r="I7" s="88">
        <f t="shared" ref="I7:I13" si="0">K7-L7</f>
        <v>0</v>
      </c>
      <c r="J7" s="89" t="str">
        <f t="shared" ref="J7:J13" si="1">IF(H7=1,I7,"")</f>
        <v/>
      </c>
      <c r="K7" s="404">
        <f>$D7*$F7*VLOOKUP($C7,'Master sheet'!$A:$AL,13,FALSE)</f>
        <v>0</v>
      </c>
      <c r="L7" s="90">
        <f>$D7*$F7*VLOOKUP($C7,'Master sheet'!$A:$AL,27,FALSE)</f>
        <v>0</v>
      </c>
      <c r="M7" s="1552"/>
      <c r="N7" s="1552"/>
      <c r="O7" s="25" t="str">
        <f ca="1">_xlfn.IFNA(VLOOKUP($C7,'Master sheet'!$A:$AR,44,FALSE),"")&amp;""</f>
        <v>Expired 2025</v>
      </c>
      <c r="P7" s="637"/>
      <c r="Q7" s="638" t="s">
        <v>65</v>
      </c>
      <c r="R7" s="638" t="s">
        <v>66</v>
      </c>
      <c r="S7" s="638"/>
      <c r="T7" s="638"/>
      <c r="U7" s="638"/>
      <c r="V7" s="638"/>
      <c r="W7" s="638"/>
      <c r="X7" s="638"/>
      <c r="Y7" s="638"/>
      <c r="Z7" s="638"/>
    </row>
    <row r="8" spans="1:26" ht="31.5" customHeight="1" x14ac:dyDescent="0.25">
      <c r="A8" s="1600"/>
      <c r="B8" s="1600"/>
      <c r="C8" s="669" t="str">
        <f>INDEX('Master sheet'!$A$1:$A$670,MATCH(21,'Master sheet'!$AN$1:$AN$670,0))</f>
        <v>Brick, Clay / Interstate / Avg Face Brick / 3-5/8" x 2-3/4" x 7-5/8" (92 x 70 x 194 mm) incl. 3/8" mortar</v>
      </c>
      <c r="D8" s="15">
        <f>'USER INPUT SHEET'!$D$32</f>
        <v>0</v>
      </c>
      <c r="E8" s="16" t="str">
        <f>'USER INPUT SHEET'!$F$32</f>
        <v>m2</v>
      </c>
      <c r="F8" s="3">
        <v>1</v>
      </c>
      <c r="G8" s="670"/>
      <c r="H8" s="8"/>
      <c r="I8" s="92">
        <f t="shared" si="0"/>
        <v>0</v>
      </c>
      <c r="J8" s="93" t="str">
        <f t="shared" si="1"/>
        <v/>
      </c>
      <c r="K8" s="406">
        <f>$D8*$F8*VLOOKUP($C8,'Master sheet'!$A:$AL,13,FALSE)</f>
        <v>0</v>
      </c>
      <c r="L8" s="94">
        <f>$D8*$F8*VLOOKUP($C8,'Master sheet'!$A:$AL,27,FALSE)</f>
        <v>0</v>
      </c>
      <c r="M8" s="1552"/>
      <c r="N8" s="1552"/>
      <c r="O8" s="25" t="str">
        <f ca="1">_xlfn.IFNA(VLOOKUP($C8,'Master sheet'!$A:$AR,44,FALSE),"")&amp;""</f>
        <v>Expired 2025</v>
      </c>
      <c r="P8" s="685"/>
      <c r="Q8" s="664" t="s">
        <v>65</v>
      </c>
      <c r="R8" s="664" t="s">
        <v>66</v>
      </c>
      <c r="S8" s="664"/>
      <c r="T8" s="664"/>
      <c r="U8" s="664"/>
      <c r="V8" s="664"/>
      <c r="W8" s="664"/>
      <c r="X8" s="664"/>
      <c r="Y8" s="664"/>
      <c r="Z8" s="664"/>
    </row>
    <row r="9" spans="1:26" ht="31.5" customHeight="1" x14ac:dyDescent="0.25">
      <c r="A9" s="1600"/>
      <c r="B9" s="1600"/>
      <c r="C9" s="673" t="str">
        <f>INDEX('Master sheet'!$A$1:$A$670,MATCH(22,'Master sheet'!$AN$1:$AN$670,0))</f>
        <v>Brick, Clay / Interstate / Avg Thin Face Brick / 3-9/16" x 5/8" x 11-5/8" (90 x 16 mm x 295) incl. 3/8" mortar</v>
      </c>
      <c r="D9" s="15">
        <f>'USER INPUT SHEET'!$D$32</f>
        <v>0</v>
      </c>
      <c r="E9" s="16" t="str">
        <f>'USER INPUT SHEET'!$F$32</f>
        <v>m2</v>
      </c>
      <c r="F9" s="3">
        <v>1</v>
      </c>
      <c r="G9" s="670"/>
      <c r="H9" s="8"/>
      <c r="I9" s="92">
        <f t="shared" si="0"/>
        <v>0</v>
      </c>
      <c r="J9" s="93" t="str">
        <f t="shared" si="1"/>
        <v/>
      </c>
      <c r="K9" s="406">
        <f>$D9*$F9*VLOOKUP($C9,'Master sheet'!$A:$AL,13,FALSE)</f>
        <v>0</v>
      </c>
      <c r="L9" s="94">
        <f>$D9*$F9*VLOOKUP($C9,'Master sheet'!$A:$AL,27,FALSE)</f>
        <v>0</v>
      </c>
      <c r="M9" s="1552"/>
      <c r="N9" s="1552"/>
      <c r="O9" s="25" t="str">
        <f ca="1">_xlfn.IFNA(VLOOKUP($C9,'Master sheet'!$A:$AR,44,FALSE),"")&amp;""</f>
        <v>Expired 2025</v>
      </c>
      <c r="P9" s="685"/>
      <c r="Q9" s="664" t="s">
        <v>65</v>
      </c>
      <c r="R9" s="664" t="s">
        <v>66</v>
      </c>
      <c r="S9" s="664"/>
      <c r="T9" s="664"/>
      <c r="U9" s="664"/>
      <c r="V9" s="664"/>
      <c r="W9" s="664"/>
      <c r="X9" s="664"/>
      <c r="Y9" s="664"/>
      <c r="Z9" s="664"/>
    </row>
    <row r="10" spans="1:26" ht="31.5" customHeight="1" x14ac:dyDescent="0.25">
      <c r="A10" s="1600"/>
      <c r="B10" s="1600"/>
      <c r="C10" s="673" t="str">
        <f>INDEX('Master sheet'!$A$1:$A$670,MATCH(388,'Master sheet'!$AN$1:$AN$670,0))</f>
        <v>Brick, Clay / SHAW / Slender - Thin Face Brick / 2 1/4" x 1/2" x 7-1/2" (57 x 12.7 mm x 190) incl. 3/8" mortar</v>
      </c>
      <c r="D10" s="15">
        <f>'USER INPUT SHEET'!$D$32</f>
        <v>0</v>
      </c>
      <c r="E10" s="16" t="str">
        <f>'USER INPUT SHEET'!$F$32</f>
        <v>m2</v>
      </c>
      <c r="F10" s="3">
        <v>1</v>
      </c>
      <c r="G10" s="670"/>
      <c r="H10" s="8"/>
      <c r="I10" s="92">
        <f t="shared" si="0"/>
        <v>0</v>
      </c>
      <c r="J10" s="93" t="str">
        <f t="shared" si="1"/>
        <v/>
      </c>
      <c r="K10" s="406">
        <f>$D10*$F10*VLOOKUP($C10,'Master sheet'!$A:$AL,13,FALSE)</f>
        <v>0</v>
      </c>
      <c r="L10" s="94">
        <f>$D10*$F10*VLOOKUP($C10,'Master sheet'!$A:$AL,27,FALSE)</f>
        <v>0</v>
      </c>
      <c r="M10" s="1552"/>
      <c r="N10" s="1552"/>
      <c r="O10" s="25" t="str">
        <f ca="1">_xlfn.IFNA(VLOOKUP($C10,'Master sheet'!$A:$AR,44,FALSE),"")&amp;""</f>
        <v/>
      </c>
      <c r="P10" s="685"/>
      <c r="Q10" s="664" t="s">
        <v>65</v>
      </c>
      <c r="R10" s="664" t="s">
        <v>66</v>
      </c>
      <c r="S10" s="664"/>
      <c r="T10" s="664"/>
      <c r="U10" s="664"/>
      <c r="V10" s="664"/>
      <c r="W10" s="664"/>
      <c r="X10" s="664"/>
      <c r="Y10" s="664"/>
      <c r="Z10" s="664"/>
    </row>
    <row r="11" spans="1:26" ht="31.2" customHeight="1" x14ac:dyDescent="0.25">
      <c r="A11" s="1600"/>
      <c r="B11" s="1600"/>
      <c r="C11" s="673" t="str">
        <f>INDEX('Master sheet'!$A$1:$A$670,MATCH(389,'Master sheet'!$AN$1:$AN$670,0))</f>
        <v>Brick, Clay / SHAW / Avg Face Brick / 3-5/8" x 2-3/4" x 7-5/8" (92 x 70 x 194 mm) incl. 3/8" mortar</v>
      </c>
      <c r="D11" s="17">
        <f>'USER INPUT SHEET'!$D$32</f>
        <v>0</v>
      </c>
      <c r="E11" s="18" t="str">
        <f>'USER INPUT SHEET'!$F$32</f>
        <v>m2</v>
      </c>
      <c r="F11" s="4">
        <v>1</v>
      </c>
      <c r="G11" s="674"/>
      <c r="H11" s="9"/>
      <c r="I11" s="95">
        <f t="shared" ref="I11:I12" si="2">K11-L11</f>
        <v>0</v>
      </c>
      <c r="J11" s="96" t="str">
        <f t="shared" ref="J11:J12" si="3">IF(H11=1,I11,"")</f>
        <v/>
      </c>
      <c r="K11" s="407">
        <f>$D11*$F11*VLOOKUP($C11,'Master sheet'!$A:$AL,13,FALSE)</f>
        <v>0</v>
      </c>
      <c r="L11" s="97">
        <f>$D11*$F11*VLOOKUP($C11,'Master sheet'!$A:$AL,27,FALSE)</f>
        <v>0</v>
      </c>
      <c r="M11" s="1552"/>
      <c r="N11" s="1552"/>
      <c r="O11" s="25" t="str">
        <f ca="1">_xlfn.IFNA(VLOOKUP($C11,'Master sheet'!$A:$AR,44,FALSE),"")&amp;""</f>
        <v/>
      </c>
      <c r="P11" s="685"/>
      <c r="Q11" s="664" t="s">
        <v>65</v>
      </c>
      <c r="R11" s="664" t="s">
        <v>66</v>
      </c>
      <c r="S11" s="664"/>
      <c r="T11" s="664"/>
      <c r="U11" s="664"/>
      <c r="V11" s="664"/>
      <c r="W11" s="664"/>
      <c r="X11" s="664"/>
      <c r="Y11" s="664"/>
      <c r="Z11" s="664"/>
    </row>
    <row r="12" spans="1:26" ht="31.5" customHeight="1" x14ac:dyDescent="0.25">
      <c r="A12" s="1600"/>
      <c r="B12" s="1600"/>
      <c r="C12" s="673" t="str">
        <f>INDEX('Master sheet'!$A$1:$A$670,MATCH("A11",'Master sheet'!$AN$1:$AN$670,0))</f>
        <v>Brick, Clay / Mutual Materials / Avg Face Brick (plant Avg) / 3-5/8" x 2-3/4" x 7-5/8" (92 x 70 x 194 mm) incl. 3/8" mortar</v>
      </c>
      <c r="D12" s="17">
        <f>'USER INPUT SHEET'!$D$32</f>
        <v>0</v>
      </c>
      <c r="E12" s="18" t="str">
        <f>'USER INPUT SHEET'!$F$32</f>
        <v>m2</v>
      </c>
      <c r="F12" s="4">
        <v>1</v>
      </c>
      <c r="G12" s="674"/>
      <c r="H12" s="9"/>
      <c r="I12" s="95">
        <f t="shared" si="2"/>
        <v>0</v>
      </c>
      <c r="J12" s="96" t="str">
        <f t="shared" si="3"/>
        <v/>
      </c>
      <c r="K12" s="407">
        <f>$D12*$F12*VLOOKUP($C12,'Master sheet'!$A:$AL,13,FALSE)</f>
        <v>0</v>
      </c>
      <c r="L12" s="97">
        <f>$D12*$F12*VLOOKUP($C12,'Master sheet'!$A:$AL,27,FALSE)</f>
        <v>0</v>
      </c>
      <c r="M12" s="1552"/>
      <c r="N12" s="1552"/>
      <c r="O12" s="25" t="str">
        <f>_xlfn.IFNA(VLOOKUP($C12,'Master sheet'!$A:$AR,44,FALSE),"")&amp;""</f>
        <v/>
      </c>
      <c r="P12" s="685"/>
      <c r="Q12" s="664" t="s">
        <v>65</v>
      </c>
      <c r="R12" s="664" t="s">
        <v>66</v>
      </c>
      <c r="S12" s="664"/>
      <c r="T12" s="664"/>
      <c r="U12" s="664"/>
      <c r="V12" s="664"/>
      <c r="W12" s="664"/>
      <c r="X12" s="664"/>
      <c r="Y12" s="664"/>
      <c r="Z12" s="664"/>
    </row>
    <row r="13" spans="1:26" s="624" customFormat="1" ht="31.5" customHeight="1" x14ac:dyDescent="0.25">
      <c r="A13" s="1600"/>
      <c r="B13" s="1600"/>
      <c r="C13" s="673" t="str">
        <f>INDEX('Master sheet'!$A$1:$A$670,MATCH("A12",'Master sheet'!$AN$1:$AN$670,0))</f>
        <v>Brick, Clay / Mutual Materials / Avg Thin Face Brick, Columbia Plant / 2-1/2" x 5/8" x 7-1/2" (64 x 16 x 190 mm) incl. 3/8" mortar</v>
      </c>
      <c r="D13" s="17">
        <f>'USER INPUT SHEET'!$D$32</f>
        <v>0</v>
      </c>
      <c r="E13" s="18" t="str">
        <f>'USER INPUT SHEET'!$F$32</f>
        <v>m2</v>
      </c>
      <c r="F13" s="4">
        <v>1</v>
      </c>
      <c r="G13" s="674"/>
      <c r="H13" s="9"/>
      <c r="I13" s="95">
        <f t="shared" si="0"/>
        <v>0</v>
      </c>
      <c r="J13" s="96" t="str">
        <f t="shared" si="1"/>
        <v/>
      </c>
      <c r="K13" s="407">
        <f>$D13*$F13*VLOOKUP($C13,'Master sheet'!$A:$AL,13,FALSE)</f>
        <v>0</v>
      </c>
      <c r="L13" s="97">
        <f>$D13*$F13*VLOOKUP($C13,'Master sheet'!$A:$AL,27,FALSE)</f>
        <v>0</v>
      </c>
      <c r="M13" s="1610"/>
      <c r="N13" s="1610"/>
      <c r="O13" s="25" t="str">
        <f>_xlfn.IFNA(VLOOKUP($C13,'Master sheet'!$A:$AR,44,FALSE),"")&amp;""</f>
        <v/>
      </c>
      <c r="P13" s="637"/>
      <c r="Q13" s="664" t="s">
        <v>65</v>
      </c>
      <c r="R13" s="664" t="s">
        <v>66</v>
      </c>
      <c r="S13" s="638"/>
      <c r="T13" s="638"/>
      <c r="U13" s="638"/>
      <c r="V13" s="638"/>
      <c r="W13" s="638"/>
      <c r="X13" s="638"/>
      <c r="Y13" s="638"/>
      <c r="Z13" s="638"/>
    </row>
    <row r="14" spans="1:26" s="624" customFormat="1" ht="23.25" customHeight="1" x14ac:dyDescent="0.25">
      <c r="A14" s="639"/>
      <c r="B14" s="1524" t="s">
        <v>67</v>
      </c>
      <c r="C14" s="1523"/>
      <c r="D14" s="640"/>
      <c r="E14" s="641"/>
      <c r="F14" s="340"/>
      <c r="G14" s="739"/>
      <c r="H14" s="821"/>
      <c r="I14" s="642"/>
      <c r="J14" s="643"/>
      <c r="K14" s="676"/>
      <c r="L14" s="677"/>
      <c r="M14" s="677"/>
      <c r="N14" s="677"/>
      <c r="O14" s="25" t="str">
        <f>_xlfn.IFNA(VLOOKUP($C14,'Master sheet'!$A:$AR,44,FALSE),"")&amp;""</f>
        <v/>
      </c>
      <c r="P14" s="655"/>
      <c r="Q14" s="638"/>
      <c r="R14" s="638"/>
      <c r="S14" s="638"/>
      <c r="T14" s="638"/>
      <c r="U14" s="638"/>
      <c r="V14" s="638"/>
      <c r="W14" s="638"/>
      <c r="X14" s="638"/>
      <c r="Y14" s="638"/>
      <c r="Z14" s="638"/>
    </row>
    <row r="15" spans="1:26" s="624" customFormat="1" ht="31.5" customHeight="1" x14ac:dyDescent="0.25">
      <c r="A15" s="823"/>
      <c r="B15" s="824" t="s">
        <v>937</v>
      </c>
      <c r="C15" s="647" t="str">
        <f>INDEX('Master sheet'!$A$1:$A$670,MATCH(31,'Master sheet'!$AN$1:$AN$670,0))</f>
        <v>Cedar Siding / Western Red Cedar Lumber Assn /  / 1 x 6 Boards</v>
      </c>
      <c r="D15" s="13">
        <f>'USER INPUT SHEET'!$D$32</f>
        <v>0</v>
      </c>
      <c r="E15" s="14" t="str">
        <f>'USER INPUT SHEET'!$F$32</f>
        <v>m2</v>
      </c>
      <c r="F15" s="2">
        <v>1</v>
      </c>
      <c r="G15" s="648"/>
      <c r="H15" s="7"/>
      <c r="I15" s="88">
        <f>K15-L15-IF(N15,M15,0)</f>
        <v>0</v>
      </c>
      <c r="J15" s="89" t="str">
        <f>IF(H15=1,I15,"")</f>
        <v/>
      </c>
      <c r="K15" s="404">
        <f>$D15*$F15*VLOOKUP($C15,'Master sheet'!$A:$AL,13,FALSE)</f>
        <v>0</v>
      </c>
      <c r="L15" s="90">
        <f>$D15*$F15*VLOOKUP($C15,'Master sheet'!$A:$AL,27,FALSE)</f>
        <v>0</v>
      </c>
      <c r="M15" s="1552"/>
      <c r="N15" s="1552"/>
      <c r="O15" s="25" t="str">
        <f ca="1">_xlfn.IFNA(VLOOKUP($C15,'Master sheet'!$A:$AR,44,FALSE),"")&amp;""</f>
        <v>Expired 2021</v>
      </c>
      <c r="P15" s="663"/>
      <c r="Q15" s="638" t="s">
        <v>65</v>
      </c>
      <c r="R15" s="638" t="s">
        <v>66</v>
      </c>
      <c r="S15" s="638" t="s">
        <v>7254</v>
      </c>
      <c r="T15" s="638" t="s">
        <v>7295</v>
      </c>
      <c r="U15" s="638"/>
      <c r="V15" s="638"/>
      <c r="W15" s="638"/>
      <c r="X15" s="638"/>
      <c r="Y15" s="638"/>
      <c r="Z15" s="638"/>
    </row>
    <row r="16" spans="1:26" s="624" customFormat="1" ht="22.8" x14ac:dyDescent="0.25">
      <c r="A16" s="823"/>
      <c r="B16" s="824" t="s">
        <v>937</v>
      </c>
      <c r="C16" s="647" t="str">
        <f>INDEX('Master sheet'!$A$1:$A$670,MATCH("248-1",'Master sheet'!$AN$1:$AN$670,0))</f>
        <v xml:space="preserve">Wood - SPF / Canadian Wood Council / British Columbia / </v>
      </c>
      <c r="D16" s="13">
        <f>'USER INPUT SHEET'!$D$32</f>
        <v>0</v>
      </c>
      <c r="E16" s="14" t="str">
        <f>'USER INPUT SHEET'!$F$32</f>
        <v>m2</v>
      </c>
      <c r="F16" s="2">
        <v>1</v>
      </c>
      <c r="G16" s="648"/>
      <c r="H16" s="7"/>
      <c r="I16" s="88">
        <f t="shared" ref="I16:I20" si="4">K16-L16-IF(N16,M16,0)</f>
        <v>0</v>
      </c>
      <c r="J16" s="89" t="str">
        <f t="shared" ref="J16:J20" si="5">IF(H16=1,I16,"")</f>
        <v/>
      </c>
      <c r="K16" s="404">
        <f>$D16*$F16*VLOOKUP($C16,'Master sheet'!$A:$AL,13,FALSE)*0.01905</f>
        <v>0</v>
      </c>
      <c r="L16" s="90">
        <f>$D16*$F16*VLOOKUP($C16,'Master sheet'!$A:$AL,27,FALSE)*0.01905</f>
        <v>0</v>
      </c>
      <c r="M16" s="1552"/>
      <c r="N16" s="1552"/>
      <c r="O16" s="25" t="str">
        <f>_xlfn.IFNA(VLOOKUP($C16,'Master sheet'!$A:$AR,44,FALSE),"")&amp;""</f>
        <v/>
      </c>
      <c r="P16" s="663"/>
      <c r="Q16" s="638" t="s">
        <v>65</v>
      </c>
      <c r="R16" s="638" t="s">
        <v>66</v>
      </c>
      <c r="S16" s="638" t="s">
        <v>7254</v>
      </c>
      <c r="T16" s="638"/>
      <c r="U16" s="638"/>
      <c r="V16" s="638"/>
      <c r="W16" s="638"/>
      <c r="X16" s="638"/>
      <c r="Y16" s="638"/>
      <c r="Z16" s="638"/>
    </row>
    <row r="17" spans="1:26" s="624" customFormat="1" ht="22.8" x14ac:dyDescent="0.25">
      <c r="A17" s="823"/>
      <c r="B17" s="824" t="s">
        <v>937</v>
      </c>
      <c r="C17" s="647" t="str">
        <f>INDEX('Master sheet'!$A$1:$A$670,MATCH("248-2",'Master sheet'!$AN$1:$AN$670,0))</f>
        <v xml:space="preserve">Wood - SPF / Canadian Wood Council / Alberta / </v>
      </c>
      <c r="D17" s="13">
        <f>'USER INPUT SHEET'!$D$32</f>
        <v>0</v>
      </c>
      <c r="E17" s="14" t="str">
        <f>'USER INPUT SHEET'!$F$32</f>
        <v>m2</v>
      </c>
      <c r="F17" s="2">
        <v>1</v>
      </c>
      <c r="G17" s="648"/>
      <c r="H17" s="7"/>
      <c r="I17" s="88">
        <f t="shared" si="4"/>
        <v>0</v>
      </c>
      <c r="J17" s="89" t="str">
        <f t="shared" si="5"/>
        <v/>
      </c>
      <c r="K17" s="404">
        <f>$D17*$F17*VLOOKUP($C17,'Master sheet'!$A:$AL,13,FALSE)*0.01905</f>
        <v>0</v>
      </c>
      <c r="L17" s="90">
        <f>$D17*$F17*VLOOKUP($C17,'Master sheet'!$A:$AL,27,FALSE)*0.01905</f>
        <v>0</v>
      </c>
      <c r="M17" s="1552"/>
      <c r="N17" s="1552"/>
      <c r="O17" s="25" t="str">
        <f>_xlfn.IFNA(VLOOKUP($C17,'Master sheet'!$A:$AR,44,FALSE),"")&amp;""</f>
        <v/>
      </c>
      <c r="P17" s="663"/>
      <c r="Q17" s="638" t="s">
        <v>65</v>
      </c>
      <c r="R17" s="638" t="s">
        <v>66</v>
      </c>
      <c r="S17" s="638" t="s">
        <v>7254</v>
      </c>
      <c r="T17" s="638"/>
      <c r="U17" s="638"/>
      <c r="V17" s="638"/>
      <c r="W17" s="638"/>
      <c r="X17" s="638"/>
      <c r="Y17" s="638"/>
      <c r="Z17" s="638"/>
    </row>
    <row r="18" spans="1:26" s="624" customFormat="1" ht="22.8" x14ac:dyDescent="0.25">
      <c r="A18" s="823"/>
      <c r="B18" s="824" t="s">
        <v>937</v>
      </c>
      <c r="C18" s="647" t="str">
        <f>INDEX('Master sheet'!$A$1:$A$670,MATCH("248-3",'Master sheet'!$AN$1:$AN$670,0))</f>
        <v xml:space="preserve">Wood - SPF / Canadian Wood Council / Ontario / </v>
      </c>
      <c r="D18" s="13">
        <f>'USER INPUT SHEET'!$D$32</f>
        <v>0</v>
      </c>
      <c r="E18" s="14" t="str">
        <f>'USER INPUT SHEET'!$F$32</f>
        <v>m2</v>
      </c>
      <c r="F18" s="2">
        <v>1</v>
      </c>
      <c r="G18" s="648"/>
      <c r="H18" s="7"/>
      <c r="I18" s="88">
        <f t="shared" si="4"/>
        <v>0</v>
      </c>
      <c r="J18" s="89" t="str">
        <f t="shared" si="5"/>
        <v/>
      </c>
      <c r="K18" s="404">
        <f>$D18*$F18*VLOOKUP($C18,'Master sheet'!$A:$AL,13,FALSE)*0.01905</f>
        <v>0</v>
      </c>
      <c r="L18" s="90">
        <f>$D18*$F18*VLOOKUP($C18,'Master sheet'!$A:$AL,27,FALSE)*0.01905</f>
        <v>0</v>
      </c>
      <c r="M18" s="1552"/>
      <c r="N18" s="1552"/>
      <c r="O18" s="25" t="str">
        <f>_xlfn.IFNA(VLOOKUP($C18,'Master sheet'!$A:$AR,44,FALSE),"")&amp;""</f>
        <v/>
      </c>
      <c r="P18" s="663"/>
      <c r="Q18" s="638" t="s">
        <v>65</v>
      </c>
      <c r="R18" s="638" t="s">
        <v>66</v>
      </c>
      <c r="S18" s="638" t="s">
        <v>7254</v>
      </c>
      <c r="T18" s="638"/>
      <c r="U18" s="638"/>
      <c r="V18" s="638"/>
      <c r="W18" s="638"/>
      <c r="X18" s="638"/>
      <c r="Y18" s="638"/>
      <c r="Z18" s="638"/>
    </row>
    <row r="19" spans="1:26" s="624" customFormat="1" ht="22.8" x14ac:dyDescent="0.25">
      <c r="A19" s="823"/>
      <c r="B19" s="824" t="s">
        <v>937</v>
      </c>
      <c r="C19" s="647" t="str">
        <f>INDEX('Master sheet'!$A$1:$A$670,MATCH("248-4",'Master sheet'!$AN$1:$AN$670,0))</f>
        <v xml:space="preserve">Wood - SPF / Canadian Wood Council / Quebec / </v>
      </c>
      <c r="D19" s="13">
        <f>'USER INPUT SHEET'!$D$32</f>
        <v>0</v>
      </c>
      <c r="E19" s="14" t="str">
        <f>'USER INPUT SHEET'!$F$32</f>
        <v>m2</v>
      </c>
      <c r="F19" s="2">
        <v>1</v>
      </c>
      <c r="G19" s="648"/>
      <c r="H19" s="7"/>
      <c r="I19" s="88">
        <f t="shared" si="4"/>
        <v>0</v>
      </c>
      <c r="J19" s="89" t="str">
        <f t="shared" si="5"/>
        <v/>
      </c>
      <c r="K19" s="404">
        <f>$D19*$F19*VLOOKUP($C19,'Master sheet'!$A:$AL,13,FALSE)*0.01905</f>
        <v>0</v>
      </c>
      <c r="L19" s="90">
        <f>$D19*$F19*VLOOKUP($C19,'Master sheet'!$A:$AL,27,FALSE)*0.01905</f>
        <v>0</v>
      </c>
      <c r="M19" s="1552"/>
      <c r="N19" s="1552"/>
      <c r="O19" s="25" t="str">
        <f>_xlfn.IFNA(VLOOKUP($C19,'Master sheet'!$A:$AR,44,FALSE),"")&amp;""</f>
        <v/>
      </c>
      <c r="P19" s="663"/>
      <c r="Q19" s="638" t="s">
        <v>65</v>
      </c>
      <c r="R19" s="638" t="s">
        <v>66</v>
      </c>
      <c r="S19" s="638" t="s">
        <v>7254</v>
      </c>
      <c r="T19" s="638"/>
      <c r="U19" s="638"/>
      <c r="V19" s="638"/>
      <c r="W19" s="638"/>
      <c r="X19" s="638"/>
      <c r="Y19" s="638"/>
      <c r="Z19" s="638"/>
    </row>
    <row r="20" spans="1:26" s="624" customFormat="1" ht="22.8" x14ac:dyDescent="0.25">
      <c r="A20" s="823"/>
      <c r="B20" s="824" t="s">
        <v>937</v>
      </c>
      <c r="C20" s="647" t="str">
        <f>INDEX('Master sheet'!$A$1:$A$670,MATCH("248-5",'Master sheet'!$AN$1:$AN$670,0))</f>
        <v xml:space="preserve">Wood - SPF / Canadian Wood Council / New Brunswick / </v>
      </c>
      <c r="D20" s="13">
        <f>'USER INPUT SHEET'!$D$32</f>
        <v>0</v>
      </c>
      <c r="E20" s="14" t="str">
        <f>'USER INPUT SHEET'!$F$32</f>
        <v>m2</v>
      </c>
      <c r="F20" s="2">
        <v>1</v>
      </c>
      <c r="G20" s="648"/>
      <c r="H20" s="7"/>
      <c r="I20" s="88">
        <f t="shared" si="4"/>
        <v>0</v>
      </c>
      <c r="J20" s="89" t="str">
        <f t="shared" si="5"/>
        <v/>
      </c>
      <c r="K20" s="404">
        <f>$D20*$F20*VLOOKUP($C20,'Master sheet'!$A:$AL,13,FALSE)*0.01905</f>
        <v>0</v>
      </c>
      <c r="L20" s="90">
        <f>$D20*$F20*VLOOKUP($C20,'Master sheet'!$A:$AL,27,FALSE)*0.01905</f>
        <v>0</v>
      </c>
      <c r="M20" s="1552"/>
      <c r="N20" s="1552"/>
      <c r="O20" s="25" t="str">
        <f>_xlfn.IFNA(VLOOKUP($C20,'Master sheet'!$A:$AR,44,FALSE),"")&amp;""</f>
        <v/>
      </c>
      <c r="P20" s="663"/>
      <c r="Q20" s="638" t="s">
        <v>65</v>
      </c>
      <c r="R20" s="638" t="s">
        <v>66</v>
      </c>
      <c r="S20" s="638" t="s">
        <v>7254</v>
      </c>
      <c r="T20" s="638"/>
      <c r="U20" s="638"/>
      <c r="V20" s="638"/>
      <c r="W20" s="638"/>
      <c r="X20" s="638"/>
      <c r="Y20" s="638"/>
      <c r="Z20" s="638"/>
    </row>
    <row r="21" spans="1:26" s="624" customFormat="1" ht="22.8" x14ac:dyDescent="0.25">
      <c r="A21" s="823"/>
      <c r="B21" s="824" t="s">
        <v>937</v>
      </c>
      <c r="C21" s="647" t="str">
        <f>INDEX('Master sheet'!$A$1:$A$670,MATCH("248-6",'Master sheet'!$AN$1:$AN$670,0))</f>
        <v xml:space="preserve">Wood - SPF / Canadian Wood Council / Atlantic Canada / </v>
      </c>
      <c r="D21" s="13">
        <f>'USER INPUT SHEET'!$D$32</f>
        <v>0</v>
      </c>
      <c r="E21" s="14" t="str">
        <f>'USER INPUT SHEET'!$F$32</f>
        <v>m2</v>
      </c>
      <c r="F21" s="2">
        <v>1</v>
      </c>
      <c r="G21" s="648"/>
      <c r="H21" s="7"/>
      <c r="I21" s="88">
        <f>K21-L21-IF(N21,M21,0)</f>
        <v>0</v>
      </c>
      <c r="J21" s="89" t="str">
        <f>IF(H21=1,I21,"")</f>
        <v/>
      </c>
      <c r="K21" s="404">
        <f>$D21*$F21*VLOOKUP($C21,'Master sheet'!$A:$AL,13,FALSE)*0.01905</f>
        <v>0</v>
      </c>
      <c r="L21" s="90">
        <f>$D21*$F21*VLOOKUP($C21,'Master sheet'!$A:$AL,27,FALSE)*0.01905</f>
        <v>0</v>
      </c>
      <c r="M21" s="1552"/>
      <c r="N21" s="1552"/>
      <c r="O21" s="25" t="str">
        <f>_xlfn.IFNA(VLOOKUP($C21,'Master sheet'!$A:$AR,44,FALSE),"")&amp;""</f>
        <v/>
      </c>
      <c r="P21" s="663"/>
      <c r="Q21" s="638" t="s">
        <v>65</v>
      </c>
      <c r="R21" s="638" t="s">
        <v>66</v>
      </c>
      <c r="S21" s="638" t="s">
        <v>7254</v>
      </c>
      <c r="T21" s="638"/>
      <c r="U21" s="638"/>
      <c r="V21" s="638"/>
      <c r="W21" s="638"/>
      <c r="X21" s="638"/>
      <c r="Y21" s="638"/>
      <c r="Z21" s="638"/>
    </row>
    <row r="22" spans="1:26" s="624" customFormat="1" ht="23.25" customHeight="1" x14ac:dyDescent="0.25">
      <c r="A22" s="639"/>
      <c r="B22" s="1524" t="s">
        <v>1046</v>
      </c>
      <c r="C22" s="1523"/>
      <c r="D22" s="640"/>
      <c r="E22" s="641"/>
      <c r="F22" s="340"/>
      <c r="G22" s="739"/>
      <c r="H22" s="821"/>
      <c r="I22" s="642"/>
      <c r="J22" s="643"/>
      <c r="K22" s="676"/>
      <c r="L22" s="677"/>
      <c r="M22" s="677"/>
      <c r="N22" s="677"/>
      <c r="O22" s="25" t="str">
        <f>_xlfn.IFNA(VLOOKUP($C22,'Master sheet'!$A:$AR,44,FALSE),"")&amp;""</f>
        <v/>
      </c>
      <c r="P22" s="671"/>
      <c r="Q22" s="638"/>
      <c r="R22" s="638"/>
      <c r="S22" s="638"/>
      <c r="T22" s="638"/>
      <c r="U22" s="638"/>
      <c r="V22" s="638"/>
      <c r="W22" s="638"/>
      <c r="X22" s="638"/>
      <c r="Y22" s="638"/>
      <c r="Z22" s="638"/>
    </row>
    <row r="23" spans="1:26" ht="22.8" x14ac:dyDescent="0.25">
      <c r="A23" s="729"/>
      <c r="B23" s="729"/>
      <c r="C23" s="691" t="s">
        <v>1369</v>
      </c>
      <c r="D23" s="19">
        <f>'USER INPUT SHEET'!$D$32</f>
        <v>0</v>
      </c>
      <c r="E23" s="20" t="str">
        <f>'USER INPUT SHEET'!$F$32</f>
        <v>m2</v>
      </c>
      <c r="F23" s="6">
        <v>1</v>
      </c>
      <c r="G23" s="692"/>
      <c r="H23" s="10"/>
      <c r="I23" s="98">
        <f t="shared" ref="I23:I29" si="6">K23-L23</f>
        <v>0</v>
      </c>
      <c r="J23" s="91" t="str">
        <f t="shared" ref="J23:J29" si="7">IF(H23=1,I23,"")</f>
        <v/>
      </c>
      <c r="K23" s="410">
        <f>F23*AVERAGE(K24:K29)</f>
        <v>0</v>
      </c>
      <c r="L23" s="99">
        <f>F23*AVERAGE(L24:L29)</f>
        <v>0</v>
      </c>
      <c r="M23" s="1552"/>
      <c r="N23" s="1552"/>
      <c r="O23" s="25" t="str">
        <f>_xlfn.IFNA(VLOOKUP($C23,'Master sheet'!$A:$AR,44,FALSE),"")&amp;""</f>
        <v/>
      </c>
      <c r="P23" s="672"/>
      <c r="Q23" s="664" t="s">
        <v>65</v>
      </c>
      <c r="R23" s="664" t="s">
        <v>66</v>
      </c>
      <c r="S23" s="664"/>
      <c r="T23" s="664"/>
      <c r="U23" s="664"/>
      <c r="V23" s="664"/>
      <c r="W23" s="664"/>
      <c r="X23" s="664"/>
      <c r="Y23" s="664"/>
      <c r="Z23" s="664"/>
    </row>
    <row r="24" spans="1:26" ht="31.2" x14ac:dyDescent="0.25">
      <c r="A24" s="1628"/>
      <c r="B24" s="824"/>
      <c r="C24" s="673" t="str">
        <f>INDEX('Master sheet'!$A$1:$A$670,MATCH(384,'Master sheet'!$AN$1:$AN$670,0))</f>
        <v>Fiber Cement siding / Equitone / Pictura and Natura Pro / 8 mm (5/16")</v>
      </c>
      <c r="D24" s="15">
        <f>'USER INPUT SHEET'!$D$32</f>
        <v>0</v>
      </c>
      <c r="E24" s="16" t="str">
        <f>'USER INPUT SHEET'!$F$32</f>
        <v>m2</v>
      </c>
      <c r="F24" s="3">
        <v>1</v>
      </c>
      <c r="G24" s="670"/>
      <c r="H24" s="8"/>
      <c r="I24" s="92">
        <f t="shared" si="6"/>
        <v>0</v>
      </c>
      <c r="J24" s="93" t="str">
        <f t="shared" si="7"/>
        <v/>
      </c>
      <c r="K24" s="406">
        <f>$D24*$F24*VLOOKUP($C24,'Master sheet'!$A:$AL,13,FALSE)</f>
        <v>0</v>
      </c>
      <c r="L24" s="94">
        <f>$D24*$F24*VLOOKUP($C24,'Master sheet'!$A:$AL,27,FALSE)</f>
        <v>0</v>
      </c>
      <c r="M24" s="1552"/>
      <c r="N24" s="1552"/>
      <c r="O24" s="25" t="str">
        <f ca="1">_xlfn.IFNA(VLOOKUP($C24,'Master sheet'!$A:$AR,44,FALSE),"")&amp;""</f>
        <v>Expired 2025</v>
      </c>
      <c r="P24" s="672"/>
      <c r="Q24" s="664" t="s">
        <v>65</v>
      </c>
      <c r="R24" s="664" t="s">
        <v>66</v>
      </c>
      <c r="S24" s="664"/>
      <c r="T24" s="664"/>
      <c r="U24" s="664"/>
      <c r="V24" s="664"/>
      <c r="W24" s="664"/>
      <c r="X24" s="664"/>
      <c r="Y24" s="664"/>
      <c r="Z24" s="664"/>
    </row>
    <row r="25" spans="1:26" ht="22.8" x14ac:dyDescent="0.25">
      <c r="A25" s="1628"/>
      <c r="B25" s="824"/>
      <c r="C25" s="673" t="str">
        <f>INDEX('Master sheet'!$A$1:$A$670,MATCH("A136",'Master sheet'!$AN$1:$AN$670,0))</f>
        <v>Fiber Cement siding / Equitone / Linea|Lunara sheets / 10 mm</v>
      </c>
      <c r="D25" s="17">
        <f>'USER INPUT SHEET'!$D$32</f>
        <v>0</v>
      </c>
      <c r="E25" s="18" t="str">
        <f>'USER INPUT SHEET'!$F$32</f>
        <v>m2</v>
      </c>
      <c r="F25" s="4">
        <v>1</v>
      </c>
      <c r="G25" s="674"/>
      <c r="H25" s="9"/>
      <c r="I25" s="95">
        <f t="shared" ref="I25:I28" si="8">K25-L25</f>
        <v>0</v>
      </c>
      <c r="J25" s="96" t="str">
        <f t="shared" ref="J25:J28" si="9">IF(H25=1,I25,"")</f>
        <v/>
      </c>
      <c r="K25" s="407">
        <f>$D25*$F25*VLOOKUP($C25,'Master sheet'!$A:$AL,13,FALSE)</f>
        <v>0</v>
      </c>
      <c r="L25" s="97">
        <f>$D25*$F25*VLOOKUP($C25,'Master sheet'!$A:$AL,27,FALSE)</f>
        <v>0</v>
      </c>
      <c r="M25" s="1552"/>
      <c r="N25" s="1552"/>
      <c r="O25" s="25" t="str">
        <f>_xlfn.IFNA(VLOOKUP($C25,'Master sheet'!$A:$AR,44,FALSE),"")&amp;""</f>
        <v/>
      </c>
      <c r="P25" s="672"/>
      <c r="Q25" s="664" t="s">
        <v>65</v>
      </c>
      <c r="R25" s="664" t="s">
        <v>66</v>
      </c>
      <c r="S25" s="664"/>
      <c r="T25" s="664"/>
      <c r="U25" s="664"/>
      <c r="V25" s="664"/>
      <c r="W25" s="664"/>
      <c r="X25" s="664"/>
      <c r="Y25" s="664"/>
      <c r="Z25" s="664"/>
    </row>
    <row r="26" spans="1:26" ht="31.2" x14ac:dyDescent="0.25">
      <c r="A26" s="1628"/>
      <c r="B26" s="824"/>
      <c r="C26" s="673" t="str">
        <f>INDEX('Master sheet'!$A$1:$A$670,MATCH("A144",'Master sheet'!$AN$1:$AN$670,0))</f>
        <v>Fiber Cement siding / James Hardie / Hardie Plank HZ10, Hardie Panel HZ10, Hardie Architectural Panel HZ10 / 8 mm</v>
      </c>
      <c r="D26" s="17">
        <f>'USER INPUT SHEET'!$D$32</f>
        <v>0</v>
      </c>
      <c r="E26" s="18" t="str">
        <f>'USER INPUT SHEET'!$F$32</f>
        <v>m2</v>
      </c>
      <c r="F26" s="4">
        <v>1</v>
      </c>
      <c r="G26" s="674"/>
      <c r="H26" s="9"/>
      <c r="I26" s="95">
        <f t="shared" si="8"/>
        <v>0</v>
      </c>
      <c r="J26" s="96" t="str">
        <f t="shared" si="9"/>
        <v/>
      </c>
      <c r="K26" s="407">
        <f>$D26*$F26*VLOOKUP($C26,'Master sheet'!$A:$AL,13,FALSE)</f>
        <v>0</v>
      </c>
      <c r="L26" s="97">
        <f>$D26*$F26*VLOOKUP($C26,'Master sheet'!$A:$AL,27,FALSE)</f>
        <v>0</v>
      </c>
      <c r="M26" s="1552"/>
      <c r="N26" s="1552"/>
      <c r="O26" s="25" t="str">
        <f>_xlfn.IFNA(VLOOKUP($C26,'Master sheet'!$A:$AR,44,FALSE),"")&amp;""</f>
        <v/>
      </c>
      <c r="P26" s="672"/>
      <c r="Q26" s="664" t="s">
        <v>65</v>
      </c>
      <c r="R26" s="664" t="s">
        <v>66</v>
      </c>
      <c r="S26" s="664"/>
      <c r="T26" s="664"/>
      <c r="U26" s="664"/>
      <c r="V26" s="664"/>
      <c r="W26" s="664"/>
      <c r="X26" s="664"/>
      <c r="Y26" s="664"/>
      <c r="Z26" s="664"/>
    </row>
    <row r="27" spans="1:26" ht="31.2" x14ac:dyDescent="0.25">
      <c r="A27" s="1628"/>
      <c r="B27" s="824"/>
      <c r="C27" s="673" t="str">
        <f>INDEX('Master sheet'!$A$1:$A$670,MATCH("A145",'Master sheet'!$AN$1:$AN$670,0))</f>
        <v>Fiber Cement siding / James Hardie / Hardie Plank HZ5, Hardie Panel HZ5, Hardie Architectural Panel HZ5 / 8 mm</v>
      </c>
      <c r="D27" s="17">
        <f>'USER INPUT SHEET'!$D$32</f>
        <v>0</v>
      </c>
      <c r="E27" s="18" t="str">
        <f>'USER INPUT SHEET'!$F$32</f>
        <v>m2</v>
      </c>
      <c r="F27" s="4">
        <v>1</v>
      </c>
      <c r="G27" s="674"/>
      <c r="H27" s="9"/>
      <c r="I27" s="95">
        <f t="shared" si="8"/>
        <v>0</v>
      </c>
      <c r="J27" s="96" t="str">
        <f t="shared" si="9"/>
        <v/>
      </c>
      <c r="K27" s="407">
        <f>$D27*$F27*VLOOKUP($C27,'Master sheet'!$A:$AL,13,FALSE)</f>
        <v>0</v>
      </c>
      <c r="L27" s="97">
        <f>$D27*$F27*VLOOKUP($C27,'Master sheet'!$A:$AL,27,FALSE)</f>
        <v>0</v>
      </c>
      <c r="M27" s="1552"/>
      <c r="N27" s="1552"/>
      <c r="O27" s="25" t="str">
        <f>_xlfn.IFNA(VLOOKUP($C27,'Master sheet'!$A:$AR,44,FALSE),"")&amp;""</f>
        <v/>
      </c>
      <c r="P27" s="672"/>
      <c r="Q27" s="664" t="s">
        <v>65</v>
      </c>
      <c r="R27" s="664" t="s">
        <v>66</v>
      </c>
      <c r="S27" s="664"/>
      <c r="T27" s="664"/>
      <c r="U27" s="664"/>
      <c r="V27" s="664"/>
      <c r="W27" s="664"/>
      <c r="X27" s="664"/>
      <c r="Y27" s="664"/>
      <c r="Z27" s="664"/>
    </row>
    <row r="28" spans="1:26" ht="31.2" x14ac:dyDescent="0.25">
      <c r="A28" s="1628"/>
      <c r="B28" s="824"/>
      <c r="C28" s="673" t="str">
        <f>INDEX('Master sheet'!$A$1:$A$670,MATCH("A146",'Master sheet'!$AN$1:$AN$670,0))</f>
        <v>Fiber Cement siding / James Hardie / Hardie Shingle HZ10 / 6.3mm</v>
      </c>
      <c r="D28" s="17">
        <f>'USER INPUT SHEET'!$D$32</f>
        <v>0</v>
      </c>
      <c r="E28" s="18" t="str">
        <f>'USER INPUT SHEET'!$F$32</f>
        <v>m2</v>
      </c>
      <c r="F28" s="4">
        <v>1</v>
      </c>
      <c r="G28" s="674"/>
      <c r="H28" s="9"/>
      <c r="I28" s="95">
        <f t="shared" si="8"/>
        <v>0</v>
      </c>
      <c r="J28" s="96" t="str">
        <f t="shared" si="9"/>
        <v/>
      </c>
      <c r="K28" s="407">
        <f>$D28*$F28*VLOOKUP($C28,'Master sheet'!$A:$AL,13,FALSE)</f>
        <v>0</v>
      </c>
      <c r="L28" s="97">
        <f>$D28*$F28*VLOOKUP($C28,'Master sheet'!$A:$AL,27,FALSE)</f>
        <v>0</v>
      </c>
      <c r="M28" s="1552"/>
      <c r="N28" s="1552"/>
      <c r="O28" s="25" t="str">
        <f>_xlfn.IFNA(VLOOKUP($C28,'Master sheet'!$A:$AR,44,FALSE),"")&amp;""</f>
        <v/>
      </c>
      <c r="P28" s="672"/>
      <c r="Q28" s="664" t="s">
        <v>65</v>
      </c>
      <c r="R28" s="664" t="s">
        <v>66</v>
      </c>
      <c r="S28" s="664"/>
      <c r="T28" s="664"/>
      <c r="U28" s="664"/>
      <c r="V28" s="664"/>
      <c r="W28" s="664"/>
      <c r="X28" s="664"/>
      <c r="Y28" s="664"/>
      <c r="Z28" s="664"/>
    </row>
    <row r="29" spans="1:26" s="624" customFormat="1" ht="22.8" x14ac:dyDescent="0.25">
      <c r="A29" s="1628"/>
      <c r="B29" s="824"/>
      <c r="C29" s="673" t="str">
        <f>INDEX('Master sheet'!$A$1:$A$670,MATCH("A147",'Master sheet'!$AN$1:$AN$670,0))</f>
        <v>Fiber Cement siding / James Hardie / Hardie Shingle HZ5 / 6.3mm</v>
      </c>
      <c r="D29" s="17">
        <f>'USER INPUT SHEET'!$D$32</f>
        <v>0</v>
      </c>
      <c r="E29" s="18" t="str">
        <f>'USER INPUT SHEET'!$F$32</f>
        <v>m2</v>
      </c>
      <c r="F29" s="4">
        <v>1</v>
      </c>
      <c r="G29" s="674"/>
      <c r="H29" s="9"/>
      <c r="I29" s="95">
        <f t="shared" si="6"/>
        <v>0</v>
      </c>
      <c r="J29" s="96" t="str">
        <f t="shared" si="7"/>
        <v/>
      </c>
      <c r="K29" s="407">
        <f>$D29*$F29*VLOOKUP($C29,'Master sheet'!$A:$AL,13,FALSE)</f>
        <v>0</v>
      </c>
      <c r="L29" s="97">
        <f>$D29*$F29*VLOOKUP($C29,'Master sheet'!$A:$AL,27,FALSE)</f>
        <v>0</v>
      </c>
      <c r="M29" s="1610"/>
      <c r="N29" s="1610"/>
      <c r="O29" s="25" t="str">
        <f>_xlfn.IFNA(VLOOKUP($C29,'Master sheet'!$A:$AR,44,FALSE),"")&amp;""</f>
        <v/>
      </c>
      <c r="P29" s="672"/>
      <c r="Q29" s="664" t="s">
        <v>65</v>
      </c>
      <c r="R29" s="664" t="s">
        <v>66</v>
      </c>
      <c r="S29" s="638"/>
      <c r="T29" s="638"/>
      <c r="U29" s="638"/>
      <c r="V29" s="638"/>
      <c r="W29" s="638"/>
      <c r="X29" s="638"/>
      <c r="Y29" s="638"/>
      <c r="Z29" s="638"/>
    </row>
    <row r="30" spans="1:26" s="624" customFormat="1" ht="23.25" customHeight="1" x14ac:dyDescent="0.25">
      <c r="A30" s="639"/>
      <c r="B30" s="1524" t="s">
        <v>796</v>
      </c>
      <c r="C30" s="1523"/>
      <c r="D30" s="640"/>
      <c r="E30" s="641"/>
      <c r="F30" s="340"/>
      <c r="G30" s="739"/>
      <c r="H30" s="821"/>
      <c r="I30" s="642"/>
      <c r="J30" s="643"/>
      <c r="K30" s="676"/>
      <c r="L30" s="677"/>
      <c r="M30" s="677"/>
      <c r="N30" s="677"/>
      <c r="O30" s="25" t="str">
        <f>_xlfn.IFNA(VLOOKUP($C30,'Master sheet'!$A:$AR,44,FALSE),"")&amp;""</f>
        <v/>
      </c>
      <c r="P30" s="637"/>
      <c r="Q30" s="638"/>
      <c r="R30" s="638"/>
      <c r="S30" s="638"/>
      <c r="T30" s="638"/>
      <c r="U30" s="638"/>
      <c r="V30" s="638"/>
      <c r="W30" s="638"/>
      <c r="X30" s="638"/>
      <c r="Y30" s="638"/>
      <c r="Z30" s="638"/>
    </row>
    <row r="31" spans="1:26" s="624" customFormat="1" ht="46.8" x14ac:dyDescent="0.25">
      <c r="A31" s="1601"/>
      <c r="B31" s="1601"/>
      <c r="C31" s="681" t="str">
        <f>INDEX('Master sheet'!$A$1:$A$670,MATCH(219,'Master sheet'!$AN$1:$AN$670,0))</f>
        <v>Vinyl Siding / Vinyl Siding Institute / Double 4.5" products from: American Original, Associated Materials, CertainTeed, Novik, Ply Gem / 0.040" Double 4.5"</v>
      </c>
      <c r="D31" s="22">
        <f>'USER INPUT SHEET'!$D$32</f>
        <v>0</v>
      </c>
      <c r="E31" s="23" t="str">
        <f>'USER INPUT SHEET'!$F$32</f>
        <v>m2</v>
      </c>
      <c r="F31" s="6">
        <v>1</v>
      </c>
      <c r="G31" s="682"/>
      <c r="H31" s="10"/>
      <c r="I31" s="100">
        <f>K31-L31</f>
        <v>0</v>
      </c>
      <c r="J31" s="101" t="str">
        <f>IF(H31=1,I31,"")</f>
        <v/>
      </c>
      <c r="K31" s="408">
        <f>$D31*$F31*VLOOKUP($C31,'Master sheet'!$A:$AL,13,FALSE)</f>
        <v>0</v>
      </c>
      <c r="L31" s="102">
        <f>$D31*$F31*VLOOKUP($C31,'Master sheet'!$A:$AL,27,FALSE)</f>
        <v>0</v>
      </c>
      <c r="M31" s="1559"/>
      <c r="N31" s="1559"/>
      <c r="O31" s="25" t="str">
        <f ca="1">_xlfn.IFNA(VLOOKUP($C31,'Master sheet'!$A:$AR,44,FALSE),"")&amp;""</f>
        <v/>
      </c>
      <c r="P31" s="637"/>
      <c r="Q31" s="638" t="s">
        <v>65</v>
      </c>
      <c r="R31" s="638" t="s">
        <v>66</v>
      </c>
      <c r="S31" s="638"/>
      <c r="T31" s="638"/>
      <c r="U31" s="638"/>
      <c r="V31" s="638"/>
      <c r="W31" s="638"/>
      <c r="X31" s="638"/>
      <c r="Y31" s="638"/>
      <c r="Z31" s="638"/>
    </row>
    <row r="32" spans="1:26" s="624" customFormat="1" ht="23.25" customHeight="1" x14ac:dyDescent="0.25">
      <c r="A32" s="639"/>
      <c r="B32" s="1524" t="s">
        <v>1047</v>
      </c>
      <c r="C32" s="1523"/>
      <c r="D32" s="640"/>
      <c r="E32" s="641"/>
      <c r="F32" s="340"/>
      <c r="G32" s="739"/>
      <c r="H32" s="821"/>
      <c r="I32" s="642"/>
      <c r="J32" s="643"/>
      <c r="K32" s="676"/>
      <c r="L32" s="677"/>
      <c r="M32" s="677"/>
      <c r="N32" s="677"/>
      <c r="O32" s="25" t="str">
        <f>_xlfn.IFNA(VLOOKUP($C32,'Master sheet'!$A:$AR,44,FALSE),"")&amp;""</f>
        <v/>
      </c>
      <c r="P32" s="637"/>
      <c r="Q32" s="638"/>
      <c r="R32" s="638"/>
      <c r="S32" s="638"/>
      <c r="T32" s="638"/>
      <c r="U32" s="638"/>
      <c r="V32" s="638"/>
      <c r="W32" s="638"/>
      <c r="X32" s="638"/>
      <c r="Y32" s="638"/>
      <c r="Z32" s="638"/>
    </row>
    <row r="33" spans="1:26" s="624" customFormat="1" ht="31.5" customHeight="1" x14ac:dyDescent="0.25">
      <c r="A33" s="1564"/>
      <c r="B33" s="1564"/>
      <c r="C33" s="673" t="str">
        <f>INDEX('Master sheet'!$A$1:$A$670,MATCH(170,'Master sheet'!$AN$1:$AN$670,0))</f>
        <v>Polypropylene siding / Vinyl Siding Institute  /  / 0.085" Single 7" wood Shake appearance</v>
      </c>
      <c r="D33" s="17">
        <f>'USER INPUT SHEET'!$D$32</f>
        <v>0</v>
      </c>
      <c r="E33" s="18" t="str">
        <f>'USER INPUT SHEET'!$F$32</f>
        <v>m2</v>
      </c>
      <c r="F33" s="4">
        <v>1</v>
      </c>
      <c r="G33" s="674"/>
      <c r="H33" s="9"/>
      <c r="I33" s="95">
        <f>K33-L33</f>
        <v>0</v>
      </c>
      <c r="J33" s="96" t="str">
        <f>IF(H33=1,I33,"")</f>
        <v/>
      </c>
      <c r="K33" s="407">
        <f>$D33*$F33*VLOOKUP($C33,'Master sheet'!$A:$AL,13,FALSE)</f>
        <v>0</v>
      </c>
      <c r="L33" s="97">
        <f>$D33*$F33*VLOOKUP($C33,'Master sheet'!$A:$AL,27,FALSE)</f>
        <v>0</v>
      </c>
      <c r="M33" s="1610"/>
      <c r="N33" s="1610"/>
      <c r="O33" s="25" t="str">
        <f ca="1">_xlfn.IFNA(VLOOKUP($C33,'Master sheet'!$A:$AR,44,FALSE),"")&amp;""</f>
        <v/>
      </c>
      <c r="P33" s="637"/>
      <c r="Q33" s="638" t="s">
        <v>65</v>
      </c>
      <c r="R33" s="638" t="s">
        <v>66</v>
      </c>
      <c r="S33" s="638"/>
      <c r="T33" s="638"/>
      <c r="U33" s="638"/>
      <c r="V33" s="638"/>
      <c r="W33" s="638"/>
      <c r="X33" s="638"/>
      <c r="Y33" s="638"/>
      <c r="Z33" s="638"/>
    </row>
    <row r="34" spans="1:26" s="624" customFormat="1" ht="23.25" customHeight="1" x14ac:dyDescent="0.25">
      <c r="A34" s="639"/>
      <c r="B34" s="1524" t="s">
        <v>1067</v>
      </c>
      <c r="C34" s="1523"/>
      <c r="D34" s="640"/>
      <c r="E34" s="641"/>
      <c r="F34" s="340"/>
      <c r="G34" s="739"/>
      <c r="H34" s="821"/>
      <c r="I34" s="642"/>
      <c r="J34" s="643"/>
      <c r="K34" s="676"/>
      <c r="L34" s="677"/>
      <c r="M34" s="677"/>
      <c r="N34" s="677"/>
      <c r="O34" s="25" t="str">
        <f>_xlfn.IFNA(VLOOKUP($C34,'Master sheet'!$A:$AR,44,FALSE),"")&amp;""</f>
        <v/>
      </c>
      <c r="P34" s="637"/>
      <c r="Q34" s="638"/>
      <c r="R34" s="638"/>
      <c r="S34" s="638"/>
      <c r="T34" s="638"/>
      <c r="U34" s="638"/>
      <c r="V34" s="638"/>
      <c r="W34" s="638"/>
      <c r="X34" s="638"/>
      <c r="Y34" s="638"/>
      <c r="Z34" s="638"/>
    </row>
    <row r="35" spans="1:26" ht="22.8" x14ac:dyDescent="0.25">
      <c r="A35" s="729"/>
      <c r="B35" s="729"/>
      <c r="C35" s="691" t="s">
        <v>1371</v>
      </c>
      <c r="D35" s="19">
        <f>'USER INPUT SHEET'!$D$32</f>
        <v>0</v>
      </c>
      <c r="E35" s="20" t="str">
        <f>'USER INPUT SHEET'!$F$32</f>
        <v>m2</v>
      </c>
      <c r="F35" s="6">
        <v>1</v>
      </c>
      <c r="G35" s="692"/>
      <c r="H35" s="10"/>
      <c r="I35" s="98">
        <f t="shared" ref="I35:I41" si="10">K35-L35</f>
        <v>0</v>
      </c>
      <c r="J35" s="91" t="str">
        <f t="shared" ref="J35:J41" si="11">IF(H35=1,I35,"")</f>
        <v/>
      </c>
      <c r="K35" s="410">
        <f>F35*AVERAGE(K36:K41)</f>
        <v>0</v>
      </c>
      <c r="L35" s="99">
        <f>F35*AVERAGE(L36:L41)</f>
        <v>0</v>
      </c>
      <c r="M35" s="1552"/>
      <c r="N35" s="1552"/>
      <c r="O35" s="25" t="str">
        <f>_xlfn.IFNA(VLOOKUP($C35,'Master sheet'!$A:$AR,44,FALSE),"")&amp;""</f>
        <v/>
      </c>
      <c r="P35" s="637"/>
      <c r="Q35" s="664" t="s">
        <v>65</v>
      </c>
      <c r="R35" s="664" t="s">
        <v>66</v>
      </c>
      <c r="S35" s="664"/>
      <c r="T35" s="664"/>
      <c r="U35" s="664"/>
      <c r="V35" s="664"/>
      <c r="W35" s="664"/>
      <c r="X35" s="664"/>
      <c r="Y35" s="664"/>
      <c r="Z35" s="664"/>
    </row>
    <row r="36" spans="1:26" ht="23.25" customHeight="1" x14ac:dyDescent="0.25">
      <c r="A36" s="1600"/>
      <c r="B36" s="1564"/>
      <c r="C36" s="669" t="str">
        <f>INDEX('Master sheet'!$A$1:$A$670,MATCH(144,'Master sheet'!$AN$1:$AN$670,0))</f>
        <v>Metal Panels - Steel / Metal Construction Assn. / 24 gauge</v>
      </c>
      <c r="D36" s="15">
        <f>'USER INPUT SHEET'!$D$32</f>
        <v>0</v>
      </c>
      <c r="E36" s="16" t="str">
        <f>'USER INPUT SHEET'!$F$32</f>
        <v>m2</v>
      </c>
      <c r="F36" s="3">
        <v>1</v>
      </c>
      <c r="G36" s="670"/>
      <c r="H36" s="8"/>
      <c r="I36" s="92">
        <f t="shared" si="10"/>
        <v>0</v>
      </c>
      <c r="J36" s="93" t="str">
        <f t="shared" si="11"/>
        <v/>
      </c>
      <c r="K36" s="406">
        <f>$D36*$F36*VLOOKUP($C36,'Master sheet'!$A:$AL,13,FALSE)</f>
        <v>0</v>
      </c>
      <c r="L36" s="94">
        <f>$D36*$F36*VLOOKUP($C36,'Master sheet'!$A:$AL,27,FALSE)</f>
        <v>0</v>
      </c>
      <c r="M36" s="1552"/>
      <c r="N36" s="1552"/>
      <c r="O36" s="25" t="str">
        <f ca="1">_xlfn.IFNA(VLOOKUP($C36,'Master sheet'!$A:$AR,44,FALSE),"")&amp;""</f>
        <v>Expired 2025</v>
      </c>
      <c r="P36" s="637"/>
      <c r="Q36" s="664" t="s">
        <v>65</v>
      </c>
      <c r="R36" s="664" t="s">
        <v>66</v>
      </c>
      <c r="S36" s="664"/>
      <c r="T36" s="664"/>
      <c r="U36" s="664"/>
      <c r="V36" s="664"/>
      <c r="W36" s="664"/>
      <c r="X36" s="664"/>
      <c r="Y36" s="664"/>
      <c r="Z36" s="664"/>
    </row>
    <row r="37" spans="1:26" ht="31.2" x14ac:dyDescent="0.25">
      <c r="A37" s="1600"/>
      <c r="B37" s="1564"/>
      <c r="C37" s="673" t="str">
        <f>INDEX('Master sheet'!$A$1:$A$670,MATCH("A70",'Master sheet'!$AN$1:$AN$670,0))</f>
        <v>Metal Panels - Steel / AEP Span / All roofing &amp; wall products / 24 gauge</v>
      </c>
      <c r="D37" s="17">
        <f>'USER INPUT SHEET'!$D$32</f>
        <v>0</v>
      </c>
      <c r="E37" s="18" t="str">
        <f>'USER INPUT SHEET'!$F$32</f>
        <v>m2</v>
      </c>
      <c r="F37" s="4">
        <v>1</v>
      </c>
      <c r="G37" s="674"/>
      <c r="H37" s="9"/>
      <c r="I37" s="95">
        <f t="shared" ref="I37:I40" si="12">K37-L37</f>
        <v>0</v>
      </c>
      <c r="J37" s="96" t="str">
        <f t="shared" ref="J37:J40" si="13">IF(H37=1,I37,"")</f>
        <v/>
      </c>
      <c r="K37" s="407">
        <f>$D37*$F37*VLOOKUP($C37,'Master sheet'!$A:$AL,13,FALSE)</f>
        <v>0</v>
      </c>
      <c r="L37" s="97">
        <f>$D37*$F37*VLOOKUP($C37,'Master sheet'!$A:$AL,27,FALSE)</f>
        <v>0</v>
      </c>
      <c r="M37" s="1552"/>
      <c r="N37" s="1552"/>
      <c r="O37" s="25" t="str">
        <f>_xlfn.IFNA(VLOOKUP($C37,'Master sheet'!$A:$AR,44,FALSE),"")&amp;""</f>
        <v/>
      </c>
      <c r="P37" s="637"/>
      <c r="Q37" s="638" t="s">
        <v>65</v>
      </c>
      <c r="R37" s="638" t="s">
        <v>66</v>
      </c>
      <c r="S37" s="638"/>
      <c r="T37" s="638"/>
      <c r="U37" s="638"/>
      <c r="V37" s="664"/>
      <c r="W37" s="664"/>
      <c r="X37" s="664"/>
      <c r="Y37" s="664"/>
      <c r="Z37" s="664"/>
    </row>
    <row r="38" spans="1:26" ht="23.25" customHeight="1" x14ac:dyDescent="0.25">
      <c r="A38" s="1600"/>
      <c r="B38" s="1564"/>
      <c r="C38" s="673" t="str">
        <f>INDEX('Master sheet'!$A$1:$A$670,MATCH("A71",'Master sheet'!$AN$1:$AN$670,0))</f>
        <v>Metal Panels - Steel / ArcelorMittal / XCarb RRP / 24 gauge</v>
      </c>
      <c r="D38" s="17">
        <f>'USER INPUT SHEET'!$D$32</f>
        <v>0</v>
      </c>
      <c r="E38" s="18" t="str">
        <f>'USER INPUT SHEET'!$F$32</f>
        <v>m2</v>
      </c>
      <c r="F38" s="4">
        <v>1</v>
      </c>
      <c r="G38" s="674"/>
      <c r="H38" s="9"/>
      <c r="I38" s="95">
        <f t="shared" si="12"/>
        <v>0</v>
      </c>
      <c r="J38" s="96" t="str">
        <f t="shared" si="13"/>
        <v/>
      </c>
      <c r="K38" s="407">
        <f>$D38*$F38*VLOOKUP($C38,'Master sheet'!$A:$AL,13,FALSE)</f>
        <v>0</v>
      </c>
      <c r="L38" s="97">
        <f>$D38*$F38*VLOOKUP($C38,'Master sheet'!$A:$AL,27,FALSE)</f>
        <v>0</v>
      </c>
      <c r="M38" s="1552"/>
      <c r="N38" s="1552"/>
      <c r="O38" s="25" t="str">
        <f>_xlfn.IFNA(VLOOKUP($C38,'Master sheet'!$A:$AR,44,FALSE),"")&amp;""</f>
        <v/>
      </c>
      <c r="P38" s="637"/>
      <c r="Q38" s="638" t="s">
        <v>65</v>
      </c>
      <c r="R38" s="638" t="s">
        <v>66</v>
      </c>
      <c r="S38" s="638"/>
      <c r="T38" s="638"/>
      <c r="U38" s="638"/>
      <c r="V38" s="664"/>
      <c r="W38" s="664"/>
      <c r="X38" s="664"/>
      <c r="Y38" s="664"/>
      <c r="Z38" s="664"/>
    </row>
    <row r="39" spans="1:26" ht="31.2" x14ac:dyDescent="0.25">
      <c r="A39" s="1600"/>
      <c r="B39" s="1564"/>
      <c r="C39" s="673" t="str">
        <f>INDEX('Master sheet'!$A$1:$A$670,MATCH("A72",'Master sheet'!$AN$1:$AN$670,0))</f>
        <v>Metal Panels - Steel / Canadian Sheet Steel Building Institute / 24 gauge</v>
      </c>
      <c r="D39" s="17">
        <f>'USER INPUT SHEET'!$D$32</f>
        <v>0</v>
      </c>
      <c r="E39" s="18" t="str">
        <f>'USER INPUT SHEET'!$F$32</f>
        <v>m2</v>
      </c>
      <c r="F39" s="4">
        <v>1</v>
      </c>
      <c r="G39" s="674"/>
      <c r="H39" s="9"/>
      <c r="I39" s="95">
        <f t="shared" si="12"/>
        <v>0</v>
      </c>
      <c r="J39" s="96" t="str">
        <f t="shared" si="13"/>
        <v/>
      </c>
      <c r="K39" s="407">
        <f>$D39*$F39*VLOOKUP($C39,'Master sheet'!$A:$AL,13,FALSE)</f>
        <v>0</v>
      </c>
      <c r="L39" s="97">
        <f>$D39*$F39*VLOOKUP($C39,'Master sheet'!$A:$AL,27,FALSE)</f>
        <v>0</v>
      </c>
      <c r="M39" s="1552"/>
      <c r="N39" s="1552"/>
      <c r="O39" s="25" t="str">
        <f>_xlfn.IFNA(VLOOKUP($C39,'Master sheet'!$A:$AR,44,FALSE),"")&amp;""</f>
        <v/>
      </c>
      <c r="P39" s="637"/>
      <c r="Q39" s="638" t="s">
        <v>65</v>
      </c>
      <c r="R39" s="638" t="s">
        <v>66</v>
      </c>
      <c r="S39" s="638"/>
      <c r="T39" s="638"/>
      <c r="U39" s="638"/>
      <c r="V39" s="664"/>
      <c r="W39" s="664"/>
      <c r="X39" s="664"/>
      <c r="Y39" s="664"/>
      <c r="Z39" s="664"/>
    </row>
    <row r="40" spans="1:26" ht="46.8" x14ac:dyDescent="0.25">
      <c r="A40" s="1600"/>
      <c r="B40" s="1564"/>
      <c r="C40" s="673" t="str">
        <f>INDEX('Master sheet'!$A$1:$A$670,MATCH("A73",'Master sheet'!$AN$1:$AN$670,0))</f>
        <v>Metal Panels - Steel / Metal Building Manufacturers Assn / List of participating members: https://www.mbma.com/System_Members.html  / 24 gauge</v>
      </c>
      <c r="D40" s="17">
        <f>'USER INPUT SHEET'!$D$32</f>
        <v>0</v>
      </c>
      <c r="E40" s="18" t="str">
        <f>'USER INPUT SHEET'!$F$32</f>
        <v>m2</v>
      </c>
      <c r="F40" s="4">
        <v>1</v>
      </c>
      <c r="G40" s="674"/>
      <c r="H40" s="9"/>
      <c r="I40" s="95">
        <f t="shared" si="12"/>
        <v>0</v>
      </c>
      <c r="J40" s="96" t="str">
        <f t="shared" si="13"/>
        <v/>
      </c>
      <c r="K40" s="407">
        <f>$D40*$F40*VLOOKUP($C40,'Master sheet'!$A:$AL,13,FALSE)</f>
        <v>0</v>
      </c>
      <c r="L40" s="97">
        <f>$D40*$F40*VLOOKUP($C40,'Master sheet'!$A:$AL,27,FALSE)</f>
        <v>0</v>
      </c>
      <c r="M40" s="1552"/>
      <c r="N40" s="1552"/>
      <c r="O40" s="25" t="str">
        <f>_xlfn.IFNA(VLOOKUP($C40,'Master sheet'!$A:$AR,44,FALSE),"")&amp;""</f>
        <v/>
      </c>
      <c r="P40" s="637"/>
      <c r="Q40" s="638" t="s">
        <v>65</v>
      </c>
      <c r="R40" s="638" t="s">
        <v>66</v>
      </c>
      <c r="S40" s="638"/>
      <c r="T40" s="638"/>
      <c r="U40" s="638"/>
      <c r="V40" s="664"/>
      <c r="W40" s="664"/>
      <c r="X40" s="664"/>
      <c r="Y40" s="664"/>
      <c r="Z40" s="664"/>
    </row>
    <row r="41" spans="1:26" s="624" customFormat="1" ht="31.2" x14ac:dyDescent="0.25">
      <c r="A41" s="1564"/>
      <c r="B41" s="1564"/>
      <c r="C41" s="673" t="str">
        <f>INDEX('Master sheet'!$A$1:$A$670,MATCH("A74",'Master sheet'!$AN$1:$AN$670,0))</f>
        <v>Metal Panels - Steel / Petersen Aluminum Corp / Pac-Clad, all profiles / 24 gauge</v>
      </c>
      <c r="D41" s="17">
        <f>'USER INPUT SHEET'!$D$32</f>
        <v>0</v>
      </c>
      <c r="E41" s="18" t="str">
        <f>'USER INPUT SHEET'!$F$32</f>
        <v>m2</v>
      </c>
      <c r="F41" s="4">
        <v>1</v>
      </c>
      <c r="G41" s="674"/>
      <c r="H41" s="9"/>
      <c r="I41" s="95">
        <f t="shared" si="10"/>
        <v>0</v>
      </c>
      <c r="J41" s="96" t="str">
        <f t="shared" si="11"/>
        <v/>
      </c>
      <c r="K41" s="407">
        <f>$D41*$F41*VLOOKUP($C41,'Master sheet'!$A:$AL,13,FALSE)</f>
        <v>0</v>
      </c>
      <c r="L41" s="97">
        <f>$D41*$F41*VLOOKUP($C41,'Master sheet'!$A:$AL,27,FALSE)</f>
        <v>0</v>
      </c>
      <c r="M41" s="1610"/>
      <c r="N41" s="1610"/>
      <c r="O41" s="25" t="str">
        <f>_xlfn.IFNA(VLOOKUP($C41,'Master sheet'!$A:$AR,44,FALSE),"")&amp;""</f>
        <v/>
      </c>
      <c r="P41" s="637"/>
      <c r="Q41" s="638" t="s">
        <v>65</v>
      </c>
      <c r="R41" s="638" t="s">
        <v>66</v>
      </c>
      <c r="S41" s="638"/>
      <c r="T41" s="638"/>
      <c r="U41" s="638"/>
      <c r="V41" s="638"/>
      <c r="W41" s="638"/>
      <c r="X41" s="638"/>
      <c r="Y41" s="638"/>
      <c r="Z41" s="638"/>
    </row>
    <row r="42" spans="1:26" s="624" customFormat="1" ht="23.25" customHeight="1" x14ac:dyDescent="0.25">
      <c r="A42" s="639"/>
      <c r="B42" s="1524" t="s">
        <v>1068</v>
      </c>
      <c r="C42" s="1523"/>
      <c r="D42" s="640"/>
      <c r="E42" s="641"/>
      <c r="F42" s="340"/>
      <c r="G42" s="739"/>
      <c r="H42" s="821"/>
      <c r="I42" s="642"/>
      <c r="J42" s="643"/>
      <c r="K42" s="676"/>
      <c r="L42" s="677"/>
      <c r="M42" s="677"/>
      <c r="N42" s="677"/>
      <c r="O42" s="25" t="str">
        <f>_xlfn.IFNA(VLOOKUP($C42,'Master sheet'!$A:$AR,44,FALSE),"")&amp;""</f>
        <v/>
      </c>
      <c r="P42" s="637"/>
      <c r="Q42" s="638"/>
      <c r="R42" s="638"/>
      <c r="S42" s="638"/>
      <c r="T42" s="638"/>
      <c r="U42" s="638"/>
      <c r="V42" s="638"/>
      <c r="W42" s="638"/>
      <c r="X42" s="638"/>
      <c r="Y42" s="638"/>
      <c r="Z42" s="638"/>
    </row>
    <row r="43" spans="1:26" ht="22.8" x14ac:dyDescent="0.25">
      <c r="A43" s="729"/>
      <c r="B43" s="729"/>
      <c r="C43" s="691" t="s">
        <v>1372</v>
      </c>
      <c r="D43" s="19">
        <f>'USER INPUT SHEET'!$D$32</f>
        <v>0</v>
      </c>
      <c r="E43" s="20" t="str">
        <f>'USER INPUT SHEET'!$F$32</f>
        <v>m2</v>
      </c>
      <c r="F43" s="6">
        <v>1</v>
      </c>
      <c r="G43" s="692"/>
      <c r="H43" s="10"/>
      <c r="I43" s="98">
        <f>K43-L43</f>
        <v>0</v>
      </c>
      <c r="J43" s="91" t="str">
        <f>IF(H43=1,I43,"")</f>
        <v/>
      </c>
      <c r="K43" s="410">
        <f>F43*AVERAGE(K44:K45)</f>
        <v>0</v>
      </c>
      <c r="L43" s="99">
        <f>F43*AVERAGE(L44:L45)</f>
        <v>0</v>
      </c>
      <c r="M43" s="1552"/>
      <c r="N43" s="1552"/>
      <c r="O43" s="25" t="str">
        <f>_xlfn.IFNA(VLOOKUP($C43,'Master sheet'!$A:$AR,44,FALSE),"")&amp;""</f>
        <v/>
      </c>
      <c r="P43" s="637"/>
      <c r="Q43" s="664" t="s">
        <v>65</v>
      </c>
      <c r="R43" s="664" t="s">
        <v>66</v>
      </c>
      <c r="S43" s="664"/>
      <c r="T43" s="664"/>
      <c r="U43" s="664"/>
      <c r="V43" s="664"/>
      <c r="W43" s="664"/>
      <c r="X43" s="664"/>
      <c r="Y43" s="664"/>
      <c r="Z43" s="664"/>
    </row>
    <row r="44" spans="1:26" ht="31.5" customHeight="1" x14ac:dyDescent="0.25">
      <c r="A44" s="1600"/>
      <c r="B44" s="1564"/>
      <c r="C44" s="669" t="str">
        <f>INDEX('Master sheet'!$A$1:$A$670,MATCH(138,'Master sheet'!$AN$1:$AN$670,0))</f>
        <v>Metal Panels - Aluminum / Metal Construction Assn. / 22 gauge / Includes: ATAS, DMI, Englert, Fabral,McElroy, Pac-Clad</v>
      </c>
      <c r="D44" s="15">
        <f>'USER INPUT SHEET'!$D$32</f>
        <v>0</v>
      </c>
      <c r="E44" s="16" t="str">
        <f>'USER INPUT SHEET'!$F$32</f>
        <v>m2</v>
      </c>
      <c r="F44" s="3">
        <v>1</v>
      </c>
      <c r="G44" s="670"/>
      <c r="H44" s="8"/>
      <c r="I44" s="92">
        <f>K44-L44</f>
        <v>0</v>
      </c>
      <c r="J44" s="93" t="str">
        <f>IF(H44=1,I44,"")</f>
        <v/>
      </c>
      <c r="K44" s="406">
        <f>$D44*$F44*VLOOKUP($C44,'Master sheet'!$A:$AL,13,FALSE)</f>
        <v>0</v>
      </c>
      <c r="L44" s="94">
        <f>$D44*$F44*VLOOKUP($C44,'Master sheet'!$A:$AL,27,FALSE)</f>
        <v>0</v>
      </c>
      <c r="M44" s="1552"/>
      <c r="N44" s="1552"/>
      <c r="O44" s="25" t="str">
        <f ca="1">_xlfn.IFNA(VLOOKUP($C44,'Master sheet'!$A:$AR,44,FALSE),"")&amp;""</f>
        <v/>
      </c>
      <c r="P44" s="685"/>
      <c r="Q44" s="664" t="s">
        <v>65</v>
      </c>
      <c r="R44" s="664" t="s">
        <v>66</v>
      </c>
      <c r="S44" s="664"/>
      <c r="T44" s="664"/>
      <c r="U44" s="664"/>
      <c r="V44" s="664"/>
      <c r="W44" s="664"/>
      <c r="X44" s="664"/>
      <c r="Y44" s="664"/>
      <c r="Z44" s="664"/>
    </row>
    <row r="45" spans="1:26" s="624" customFormat="1" ht="31.5" customHeight="1" x14ac:dyDescent="0.25">
      <c r="A45" s="1564"/>
      <c r="B45" s="1564"/>
      <c r="C45" s="673" t="str">
        <f>INDEX('Master sheet'!$A$1:$A$670,MATCH("A69",'Master sheet'!$AN$1:$AN$670,0))</f>
        <v>Metal Panels - Aluminum / Petersen Aluminum Corp / Pac-Clad, all profiles / 20 gauge</v>
      </c>
      <c r="D45" s="17">
        <f>'USER INPUT SHEET'!$D$32</f>
        <v>0</v>
      </c>
      <c r="E45" s="18" t="str">
        <f>'USER INPUT SHEET'!$F$32</f>
        <v>m2</v>
      </c>
      <c r="F45" s="4">
        <v>1</v>
      </c>
      <c r="G45" s="674"/>
      <c r="H45" s="9"/>
      <c r="I45" s="95">
        <f>K45-L45</f>
        <v>0</v>
      </c>
      <c r="J45" s="96" t="str">
        <f>IF(H45=1,I45,"")</f>
        <v/>
      </c>
      <c r="K45" s="407">
        <f>$D45*$F45*VLOOKUP($C45,'Master sheet'!$A:$AL,13,FALSE)</f>
        <v>0</v>
      </c>
      <c r="L45" s="97">
        <f>$D45*$F45*VLOOKUP($C45,'Master sheet'!$A:$AL,27,FALSE)</f>
        <v>0</v>
      </c>
      <c r="M45" s="1610"/>
      <c r="N45" s="1610"/>
      <c r="O45" s="25" t="str">
        <f>_xlfn.IFNA(VLOOKUP($C45,'Master sheet'!$A:$AR,44,FALSE),"")&amp;""</f>
        <v/>
      </c>
      <c r="P45" s="637"/>
      <c r="Q45" s="638" t="s">
        <v>65</v>
      </c>
      <c r="R45" s="638" t="s">
        <v>66</v>
      </c>
      <c r="S45" s="638"/>
      <c r="T45" s="638"/>
      <c r="U45" s="638"/>
      <c r="V45" s="638"/>
      <c r="W45" s="638"/>
      <c r="X45" s="638"/>
      <c r="Y45" s="638"/>
      <c r="Z45" s="638"/>
    </row>
    <row r="46" spans="1:26" s="624" customFormat="1" ht="23.25" customHeight="1" x14ac:dyDescent="0.25">
      <c r="A46" s="639"/>
      <c r="B46" s="1524" t="s">
        <v>3433</v>
      </c>
      <c r="C46" s="1523"/>
      <c r="D46" s="640"/>
      <c r="E46" s="641"/>
      <c r="F46" s="340"/>
      <c r="G46" s="739"/>
      <c r="H46" s="821"/>
      <c r="I46" s="642"/>
      <c r="J46" s="643"/>
      <c r="K46" s="676"/>
      <c r="L46" s="677"/>
      <c r="M46" s="677"/>
      <c r="N46" s="677"/>
      <c r="O46" s="25" t="str">
        <f>_xlfn.IFNA(VLOOKUP($C46,'Master sheet'!$A:$AR,44,FALSE),"")&amp;""</f>
        <v/>
      </c>
      <c r="P46" s="637"/>
      <c r="Q46" s="638"/>
      <c r="R46" s="638"/>
      <c r="S46" s="638"/>
      <c r="T46" s="638"/>
      <c r="U46" s="638"/>
      <c r="V46" s="638"/>
      <c r="W46" s="638"/>
      <c r="X46" s="638"/>
      <c r="Y46" s="638"/>
      <c r="Z46" s="638"/>
    </row>
    <row r="47" spans="1:26" ht="23.25" customHeight="1" x14ac:dyDescent="0.25">
      <c r="A47" s="1564"/>
      <c r="B47" s="1564"/>
      <c r="C47" s="669" t="str">
        <f>INDEX('Master sheet'!$A$1:$A$670,MATCH(42,'Master sheet'!$AN$1:$AN$670,0))</f>
        <v>Clay plaster / Site mixed /  / 15 mm</v>
      </c>
      <c r="D47" s="15">
        <f>'USER INPUT SHEET'!$D$32</f>
        <v>0</v>
      </c>
      <c r="E47" s="16" t="str">
        <f>'USER INPUT SHEET'!$F$32</f>
        <v>m2</v>
      </c>
      <c r="F47" s="3">
        <v>1</v>
      </c>
      <c r="G47" s="670"/>
      <c r="H47" s="8"/>
      <c r="I47" s="92">
        <f t="shared" ref="I47:I50" si="14">K47-L47</f>
        <v>0</v>
      </c>
      <c r="J47" s="93" t="str">
        <f t="shared" ref="J47:J50" si="15">IF(H47=1,I47,"")</f>
        <v/>
      </c>
      <c r="K47" s="406">
        <f>$D47*$F47*VLOOKUP($C47,'Master sheet'!$A:$AL,13,FALSE)</f>
        <v>0</v>
      </c>
      <c r="L47" s="94">
        <f>$D47*$F47*VLOOKUP($C47,'Master sheet'!$A:$AL,27,FALSE)</f>
        <v>0</v>
      </c>
      <c r="M47" s="1562"/>
      <c r="N47" s="1562"/>
      <c r="O47" s="25" t="str">
        <f>_xlfn.IFNA(VLOOKUP($C47,'Master sheet'!$A:$AR,44,FALSE),"")&amp;""</f>
        <v>Peer-reviewed LCA, 2014</v>
      </c>
      <c r="P47" s="685"/>
      <c r="Q47" s="664" t="s">
        <v>65</v>
      </c>
      <c r="R47" s="664" t="s">
        <v>66</v>
      </c>
      <c r="S47" s="664"/>
      <c r="T47" s="664"/>
      <c r="U47" s="664"/>
      <c r="V47" s="664"/>
      <c r="W47" s="664"/>
      <c r="X47" s="664"/>
      <c r="Y47" s="664"/>
      <c r="Z47" s="664"/>
    </row>
    <row r="48" spans="1:26" ht="31.2" x14ac:dyDescent="0.25">
      <c r="A48" s="1564"/>
      <c r="B48" s="1564"/>
      <c r="C48" s="673" t="str">
        <f>INDEX('Master sheet'!$A$1:$A$670,MATCH(212,'Master sheet'!$AN$1:$AN$670,0))</f>
        <v xml:space="preserve">Acrylic Stucco Textured Finish / Sto / Stolit 1.0, Stolit 1.5, Stolit Freeform / </v>
      </c>
      <c r="D48" s="17">
        <f>'USER INPUT SHEET'!$D$32</f>
        <v>0</v>
      </c>
      <c r="E48" s="18" t="str">
        <f>'USER INPUT SHEET'!$F$32</f>
        <v>m2</v>
      </c>
      <c r="F48" s="4">
        <v>1</v>
      </c>
      <c r="G48" s="674"/>
      <c r="H48" s="9"/>
      <c r="I48" s="95">
        <f t="shared" si="14"/>
        <v>0</v>
      </c>
      <c r="J48" s="96" t="str">
        <f t="shared" si="15"/>
        <v/>
      </c>
      <c r="K48" s="407">
        <f>$D48*$F48*VLOOKUP($C48,'Master sheet'!$A:$AL,13,FALSE)</f>
        <v>0</v>
      </c>
      <c r="L48" s="97">
        <f>$D48*$F48*VLOOKUP($C48,'Master sheet'!$A:$AL,27,FALSE)</f>
        <v>0</v>
      </c>
      <c r="M48" s="1552"/>
      <c r="N48" s="1552"/>
      <c r="O48" s="25" t="str">
        <f ca="1">_xlfn.IFNA(VLOOKUP($C48,'Master sheet'!$A:$AR,44,FALSE),"")&amp;""</f>
        <v>Expired 2024</v>
      </c>
      <c r="P48" s="685"/>
      <c r="Q48" s="638" t="s">
        <v>65</v>
      </c>
      <c r="R48" s="638" t="s">
        <v>66</v>
      </c>
      <c r="S48" s="638"/>
      <c r="T48" s="638"/>
      <c r="U48" s="638"/>
      <c r="V48" s="638"/>
      <c r="W48" s="638"/>
      <c r="X48" s="664"/>
      <c r="Y48" s="664"/>
      <c r="Z48" s="664"/>
    </row>
    <row r="49" spans="1:26" ht="31.2" x14ac:dyDescent="0.25">
      <c r="A49" s="1564"/>
      <c r="B49" s="1564"/>
      <c r="C49" s="673" t="str">
        <f>INDEX('Master sheet'!$A$1:$A$670,MATCH("A64",'Master sheet'!$AN$1:$AN$670,0))</f>
        <v>Lime/Cork Plaster (Ext. &amp; Int.) / Diasen / Diathonite Evolution, R3.2-inch / 3/4"</v>
      </c>
      <c r="D49" s="17">
        <f>'USER INPUT SHEET'!$D$32</f>
        <v>0</v>
      </c>
      <c r="E49" s="18" t="str">
        <f>'USER INPUT SHEET'!$F$32</f>
        <v>m2</v>
      </c>
      <c r="F49" s="4">
        <v>1</v>
      </c>
      <c r="G49" s="674"/>
      <c r="H49" s="9"/>
      <c r="I49" s="95">
        <f t="shared" si="14"/>
        <v>0</v>
      </c>
      <c r="J49" s="96" t="str">
        <f t="shared" si="15"/>
        <v/>
      </c>
      <c r="K49" s="407">
        <f>$D49*$F49*VLOOKUP($C49,'Master sheet'!$A:$AL,13,FALSE)</f>
        <v>0</v>
      </c>
      <c r="L49" s="97">
        <f>$D49*$F49*VLOOKUP($C49,'Master sheet'!$A:$AL,27,FALSE)</f>
        <v>0</v>
      </c>
      <c r="M49" s="1552"/>
      <c r="N49" s="1552"/>
      <c r="O49" s="25" t="str">
        <f>_xlfn.IFNA(VLOOKUP($C49,'Master sheet'!$A:$AR,44,FALSE),"")&amp;""</f>
        <v/>
      </c>
      <c r="P49" s="685"/>
      <c r="Q49" s="638" t="s">
        <v>65</v>
      </c>
      <c r="R49" s="638" t="s">
        <v>66</v>
      </c>
      <c r="S49" s="638"/>
      <c r="T49" s="638"/>
      <c r="U49" s="638"/>
      <c r="V49" s="638"/>
      <c r="W49" s="638"/>
      <c r="X49" s="664"/>
      <c r="Y49" s="664"/>
      <c r="Z49" s="664"/>
    </row>
    <row r="50" spans="1:26" s="624" customFormat="1" ht="31.5" customHeight="1" x14ac:dyDescent="0.25">
      <c r="A50" s="1564"/>
      <c r="B50" s="1564"/>
      <c r="C50" s="673" t="str">
        <f>INDEX('Master sheet'!$A$1:$A$670,MATCH("A65",'Master sheet'!$AN$1:$AN$670,0))</f>
        <v>Lime/Cork Plaster (Ext. &amp; Int.) / Diasen / Diathonite Thermactive.037, R3.9-inch / 3/4"</v>
      </c>
      <c r="D50" s="17">
        <f>'USER INPUT SHEET'!$D$32</f>
        <v>0</v>
      </c>
      <c r="E50" s="18" t="str">
        <f>'USER INPUT SHEET'!$F$32</f>
        <v>m2</v>
      </c>
      <c r="F50" s="4">
        <v>1</v>
      </c>
      <c r="G50" s="674"/>
      <c r="H50" s="9"/>
      <c r="I50" s="95">
        <f t="shared" si="14"/>
        <v>0</v>
      </c>
      <c r="J50" s="96" t="str">
        <f t="shared" si="15"/>
        <v/>
      </c>
      <c r="K50" s="407">
        <f>$D50*$F50*VLOOKUP($C50,'Master sheet'!$A:$AL,13,FALSE)</f>
        <v>0</v>
      </c>
      <c r="L50" s="97">
        <f>$D50*$F50*VLOOKUP($C50,'Master sheet'!$A:$AL,27,FALSE)</f>
        <v>0</v>
      </c>
      <c r="M50" s="1610"/>
      <c r="N50" s="1610"/>
      <c r="O50" s="25" t="str">
        <f>_xlfn.IFNA(VLOOKUP($C50,'Master sheet'!$A:$AR,44,FALSE),"")&amp;""</f>
        <v/>
      </c>
      <c r="P50" s="685"/>
      <c r="Q50" s="638" t="s">
        <v>65</v>
      </c>
      <c r="R50" s="638" t="s">
        <v>66</v>
      </c>
      <c r="S50" s="638"/>
      <c r="T50" s="638"/>
      <c r="U50" s="638"/>
      <c r="V50" s="638"/>
      <c r="W50" s="638"/>
      <c r="X50" s="638"/>
      <c r="Y50" s="638"/>
      <c r="Z50" s="638"/>
    </row>
    <row r="51" spans="1:26" s="624" customFormat="1" ht="31.5" customHeight="1" x14ac:dyDescent="0.25">
      <c r="A51" s="639"/>
      <c r="B51" s="1524" t="s">
        <v>3804</v>
      </c>
      <c r="C51" s="1523"/>
      <c r="D51" s="640"/>
      <c r="E51" s="641"/>
      <c r="F51" s="340"/>
      <c r="G51" s="739"/>
      <c r="H51" s="821"/>
      <c r="I51" s="642"/>
      <c r="J51" s="643"/>
      <c r="K51" s="676"/>
      <c r="L51" s="677"/>
      <c r="M51" s="677"/>
      <c r="N51" s="677"/>
      <c r="O51" s="25" t="str">
        <f>_xlfn.IFNA(VLOOKUP($C51,'Master sheet'!$A:$AR,44,FALSE),"")&amp;""</f>
        <v/>
      </c>
      <c r="P51" s="637"/>
      <c r="Q51" s="638"/>
      <c r="R51" s="638"/>
      <c r="S51" s="638"/>
      <c r="T51" s="638"/>
      <c r="U51" s="638"/>
      <c r="V51" s="638"/>
      <c r="W51" s="638"/>
      <c r="X51" s="638"/>
      <c r="Y51" s="638"/>
      <c r="Z51" s="638"/>
    </row>
    <row r="52" spans="1:26" s="624" customFormat="1" ht="31.5" customHeight="1" x14ac:dyDescent="0.25">
      <c r="A52" s="1564"/>
      <c r="B52" s="1564"/>
      <c r="C52" s="673" t="str">
        <f>INDEX('Master sheet'!$A$1:$A$670,MATCH("A140",'Master sheet'!$AN$1:$AN$670,0))</f>
        <v>Engineered Wood Siding &amp; Trim / LP / BuilderSeries® Lap Siding / 9/32" (7.3 mm)</v>
      </c>
      <c r="D52" s="17">
        <f>'USER INPUT SHEET'!$D$32</f>
        <v>0</v>
      </c>
      <c r="E52" s="18" t="str">
        <f>'USER INPUT SHEET'!$F$32</f>
        <v>m2</v>
      </c>
      <c r="F52" s="4">
        <v>1</v>
      </c>
      <c r="G52" s="674"/>
      <c r="H52" s="9"/>
      <c r="I52" s="92">
        <f t="shared" ref="I52:I56" si="16">K52-L52-IF(N52,M52,0)</f>
        <v>0</v>
      </c>
      <c r="J52" s="96" t="str">
        <f t="shared" ref="J52:J55" si="17">IF(H52=1,I52,"")</f>
        <v/>
      </c>
      <c r="K52" s="407">
        <f>$D52*$F52*VLOOKUP($C52,'Master sheet'!$A:$AL,13,FALSE)</f>
        <v>0</v>
      </c>
      <c r="L52" s="97">
        <f>$D52*$F52*VLOOKUP($C52,'Master sheet'!$A:$AL,27,FALSE)</f>
        <v>0</v>
      </c>
      <c r="M52" s="1562"/>
      <c r="N52" s="1562"/>
      <c r="O52" s="25" t="str">
        <f>_xlfn.IFNA(VLOOKUP($C52,'Master sheet'!$A:$AR,44,FALSE),"")&amp;""</f>
        <v/>
      </c>
      <c r="P52" s="685"/>
      <c r="Q52" s="638" t="s">
        <v>65</v>
      </c>
      <c r="R52" s="638" t="s">
        <v>66</v>
      </c>
      <c r="S52" s="638"/>
      <c r="T52" s="638"/>
      <c r="U52" s="638"/>
      <c r="V52" s="638"/>
      <c r="W52" s="638"/>
      <c r="X52" s="638"/>
      <c r="Y52" s="638"/>
      <c r="Z52" s="638"/>
    </row>
    <row r="53" spans="1:26" s="624" customFormat="1" ht="31.5" customHeight="1" x14ac:dyDescent="0.25">
      <c r="A53" s="1564"/>
      <c r="B53" s="1564"/>
      <c r="C53" s="673" t="str">
        <f>INDEX('Master sheet'!$A$1:$A$670,MATCH("A137",'Master sheet'!$AN$1:$AN$670,0))</f>
        <v>Engineered Wood Siding &amp; Trim / LP / SmartSide / 0.354" (9 mm)</v>
      </c>
      <c r="D53" s="17">
        <f>'USER INPUT SHEET'!$D$32</f>
        <v>0</v>
      </c>
      <c r="E53" s="18" t="str">
        <f>'USER INPUT SHEET'!$F$32</f>
        <v>m2</v>
      </c>
      <c r="F53" s="4">
        <v>1</v>
      </c>
      <c r="G53" s="674"/>
      <c r="H53" s="9"/>
      <c r="I53" s="92">
        <f t="shared" si="16"/>
        <v>0</v>
      </c>
      <c r="J53" s="96" t="str">
        <f t="shared" si="17"/>
        <v/>
      </c>
      <c r="K53" s="407">
        <f>$D53*$F53*VLOOKUP($C53,'Master sheet'!$A:$AL,13,FALSE)</f>
        <v>0</v>
      </c>
      <c r="L53" s="97">
        <f>$D53*$F53*VLOOKUP($C53,'Master sheet'!$A:$AL,27,FALSE)</f>
        <v>0</v>
      </c>
      <c r="M53" s="1552"/>
      <c r="N53" s="1552"/>
      <c r="O53" s="25" t="str">
        <f>_xlfn.IFNA(VLOOKUP($C53,'Master sheet'!$A:$AR,44,FALSE),"")&amp;""</f>
        <v/>
      </c>
      <c r="P53" s="685"/>
      <c r="Q53" s="638" t="s">
        <v>65</v>
      </c>
      <c r="R53" s="638" t="s">
        <v>66</v>
      </c>
      <c r="S53" s="638"/>
      <c r="T53" s="638" t="s">
        <v>7295</v>
      </c>
      <c r="U53" s="638"/>
      <c r="V53" s="638"/>
      <c r="W53" s="638"/>
      <c r="X53" s="638"/>
      <c r="Y53" s="638"/>
      <c r="Z53" s="638"/>
    </row>
    <row r="54" spans="1:26" s="624" customFormat="1" ht="31.5" customHeight="1" x14ac:dyDescent="0.25">
      <c r="A54" s="1564"/>
      <c r="B54" s="1564"/>
      <c r="C54" s="673" t="str">
        <f>INDEX('Master sheet'!$A$1:$A$670,MATCH("A138",'Master sheet'!$AN$1:$AN$670,0))</f>
        <v>Engineered Wood Siding &amp; Trim / LP / SmartSide / 0.418" (10.6 mm)</v>
      </c>
      <c r="D54" s="17">
        <f>'USER INPUT SHEET'!$D$32</f>
        <v>0</v>
      </c>
      <c r="E54" s="18" t="str">
        <f>'USER INPUT SHEET'!$F$32</f>
        <v>m2</v>
      </c>
      <c r="F54" s="4">
        <v>1</v>
      </c>
      <c r="G54" s="674"/>
      <c r="H54" s="9"/>
      <c r="I54" s="92">
        <f t="shared" si="16"/>
        <v>0</v>
      </c>
      <c r="J54" s="96" t="str">
        <f t="shared" si="17"/>
        <v/>
      </c>
      <c r="K54" s="407">
        <f>$D54*$F54*VLOOKUP($C54,'Master sheet'!$A:$AL,13,FALSE)</f>
        <v>0</v>
      </c>
      <c r="L54" s="97">
        <f>$D54*$F54*VLOOKUP($C54,'Master sheet'!$A:$AL,27,FALSE)</f>
        <v>0</v>
      </c>
      <c r="M54" s="1552"/>
      <c r="N54" s="1552"/>
      <c r="O54" s="25" t="str">
        <f>_xlfn.IFNA(VLOOKUP($C54,'Master sheet'!$A:$AR,44,FALSE),"")&amp;""</f>
        <v/>
      </c>
      <c r="P54" s="685"/>
      <c r="Q54" s="638" t="s">
        <v>65</v>
      </c>
      <c r="R54" s="638" t="s">
        <v>66</v>
      </c>
      <c r="S54" s="638"/>
      <c r="T54" s="638"/>
      <c r="U54" s="638"/>
      <c r="V54" s="638"/>
      <c r="W54" s="638"/>
      <c r="X54" s="638"/>
      <c r="Y54" s="638"/>
      <c r="Z54" s="638"/>
    </row>
    <row r="55" spans="1:26" s="624" customFormat="1" ht="31.5" customHeight="1" x14ac:dyDescent="0.25">
      <c r="A55" s="1564"/>
      <c r="B55" s="1564"/>
      <c r="C55" s="673" t="str">
        <f>INDEX('Master sheet'!$A$1:$A$670,MATCH("A139",'Master sheet'!$AN$1:$AN$670,0))</f>
        <v>Engineered Wood Siding &amp; Trim / LP / SmartSide / 0.578" (14.7mm)</v>
      </c>
      <c r="D55" s="17">
        <f>'USER INPUT SHEET'!$D$32</f>
        <v>0</v>
      </c>
      <c r="E55" s="18" t="str">
        <f>'USER INPUT SHEET'!$F$32</f>
        <v>m2</v>
      </c>
      <c r="F55" s="4">
        <v>1</v>
      </c>
      <c r="G55" s="674"/>
      <c r="H55" s="9"/>
      <c r="I55" s="92">
        <f t="shared" si="16"/>
        <v>0</v>
      </c>
      <c r="J55" s="96" t="str">
        <f t="shared" si="17"/>
        <v/>
      </c>
      <c r="K55" s="407">
        <f>$D55*$F55*VLOOKUP($C55,'Master sheet'!$A:$AL,13,FALSE)</f>
        <v>0</v>
      </c>
      <c r="L55" s="97">
        <f>$D55*$F55*VLOOKUP($C55,'Master sheet'!$A:$AL,27,FALSE)</f>
        <v>0</v>
      </c>
      <c r="M55" s="1552"/>
      <c r="N55" s="1552"/>
      <c r="O55" s="25" t="str">
        <f>_xlfn.IFNA(VLOOKUP($C55,'Master sheet'!$A:$AR,44,FALSE),"")&amp;""</f>
        <v/>
      </c>
      <c r="P55" s="685"/>
      <c r="Q55" s="638" t="s">
        <v>65</v>
      </c>
      <c r="R55" s="638" t="s">
        <v>66</v>
      </c>
      <c r="S55" s="638"/>
      <c r="T55" s="638"/>
      <c r="U55" s="638"/>
      <c r="V55" s="638"/>
      <c r="W55" s="638"/>
      <c r="X55" s="638"/>
      <c r="Y55" s="638"/>
      <c r="Z55" s="638"/>
    </row>
    <row r="56" spans="1:26" s="624" customFormat="1" ht="31.5" customHeight="1" x14ac:dyDescent="0.25">
      <c r="A56" s="1564"/>
      <c r="B56" s="1564"/>
      <c r="C56" s="673" t="str">
        <f>INDEX('Master sheet'!$A$1:$A$670,MATCH("A141",'Master sheet'!$AN$1:$AN$670,0))</f>
        <v>Engineered Wood Siding &amp; Trim / LP / SmartSide ExpertFinish / 3/8" (9.5 mm)</v>
      </c>
      <c r="D56" s="17">
        <f>'USER INPUT SHEET'!$D$32</f>
        <v>0</v>
      </c>
      <c r="E56" s="18" t="str">
        <f>'USER INPUT SHEET'!$F$32</f>
        <v>m2</v>
      </c>
      <c r="F56" s="4">
        <v>1</v>
      </c>
      <c r="G56" s="674"/>
      <c r="H56" s="9"/>
      <c r="I56" s="92">
        <f t="shared" si="16"/>
        <v>0</v>
      </c>
      <c r="J56" s="96" t="str">
        <f>IF(H56=1,I56,"")</f>
        <v/>
      </c>
      <c r="K56" s="407">
        <f>$D56*$F56*VLOOKUP($C56,'Master sheet'!$A:$AL,13,FALSE)</f>
        <v>0</v>
      </c>
      <c r="L56" s="97">
        <f>$D56*$F56*VLOOKUP($C56,'Master sheet'!$A:$AL,27,FALSE)</f>
        <v>0</v>
      </c>
      <c r="M56" s="1552"/>
      <c r="N56" s="1552"/>
      <c r="O56" s="25" t="str">
        <f>_xlfn.IFNA(VLOOKUP($C56,'Master sheet'!$A:$AR,44,FALSE),"")&amp;""</f>
        <v/>
      </c>
      <c r="P56" s="685"/>
      <c r="Q56" s="638" t="s">
        <v>65</v>
      </c>
      <c r="R56" s="638" t="s">
        <v>66</v>
      </c>
      <c r="S56" s="638"/>
      <c r="T56" s="638"/>
      <c r="U56" s="638"/>
      <c r="V56" s="638"/>
      <c r="W56" s="638"/>
      <c r="X56" s="638"/>
      <c r="Y56" s="638"/>
      <c r="Z56" s="638"/>
    </row>
    <row r="57" spans="1:26" s="624" customFormat="1" ht="54.75" customHeight="1" x14ac:dyDescent="0.25">
      <c r="A57" s="1522" t="s">
        <v>68</v>
      </c>
      <c r="B57" s="1522"/>
      <c r="C57" s="1522"/>
      <c r="D57" s="629" t="s">
        <v>69</v>
      </c>
      <c r="E57" s="1"/>
      <c r="F57" s="323" t="str">
        <f>IF(LOWER(Setting!rng_language)="english","in","po")</f>
        <v>in</v>
      </c>
      <c r="G57" s="650"/>
      <c r="H57" s="650"/>
      <c r="I57" s="651"/>
      <c r="J57" s="651"/>
      <c r="K57" s="652"/>
      <c r="L57" s="759"/>
      <c r="M57" s="759"/>
      <c r="N57" s="759"/>
      <c r="O57" s="25" t="str">
        <f>_xlfn.IFNA(VLOOKUP($C57,'Master sheet'!$A:$AR,44,FALSE),"")&amp;""</f>
        <v/>
      </c>
      <c r="P57" s="685"/>
      <c r="Q57" s="811"/>
      <c r="R57" s="638"/>
      <c r="S57" s="638"/>
      <c r="T57" s="638"/>
      <c r="U57" s="638"/>
      <c r="V57" s="638"/>
      <c r="W57" s="638"/>
      <c r="X57" s="638"/>
      <c r="Y57" s="638"/>
      <c r="Z57" s="638"/>
    </row>
    <row r="58" spans="1:26" s="624" customFormat="1" ht="21" x14ac:dyDescent="0.25">
      <c r="A58" s="639"/>
      <c r="B58" s="1524" t="s">
        <v>6840</v>
      </c>
      <c r="C58" s="1523"/>
      <c r="D58" s="640"/>
      <c r="E58" s="641"/>
      <c r="F58" s="334"/>
      <c r="G58" s="678"/>
      <c r="H58" s="639"/>
      <c r="I58" s="733"/>
      <c r="J58" s="733"/>
      <c r="K58" s="698"/>
      <c r="L58" s="736"/>
      <c r="M58" s="736"/>
      <c r="N58" s="736"/>
      <c r="O58" s="25" t="str">
        <f>_xlfn.IFNA(VLOOKUP($C58,'Master sheet'!$A:$AR,44,FALSE),"")&amp;""</f>
        <v/>
      </c>
      <c r="P58" s="637"/>
      <c r="Q58" s="722"/>
      <c r="R58" s="722"/>
      <c r="S58" s="623"/>
      <c r="T58" s="638"/>
      <c r="U58" s="638"/>
      <c r="V58" s="638"/>
      <c r="W58" s="638"/>
      <c r="X58" s="638"/>
      <c r="Y58" s="638"/>
      <c r="Z58" s="638"/>
    </row>
    <row r="59" spans="1:26" ht="22.8" x14ac:dyDescent="0.25">
      <c r="A59" s="1542"/>
      <c r="B59" s="1542"/>
      <c r="C59" s="669" t="str">
        <f>INDEX('Master sheet'!$A$1:$A$670,MATCH("248-1",'Master sheet'!$AN$1:$AN$670,0))</f>
        <v xml:space="preserve">Wood - SPF / Canadian Wood Council / British Columbia / </v>
      </c>
      <c r="D59" s="15">
        <f>'USER INPUT SHEET'!$D$32</f>
        <v>0</v>
      </c>
      <c r="E59" s="16" t="str">
        <f>'USER INPUT SHEET'!$F$32</f>
        <v>m2</v>
      </c>
      <c r="F59" s="3">
        <v>1</v>
      </c>
      <c r="G59" s="670"/>
      <c r="H59" s="8"/>
      <c r="I59" s="95">
        <f t="shared" ref="I59:I64" si="18">K59-L59-IF(N59,M59,0)</f>
        <v>0</v>
      </c>
      <c r="J59" s="93" t="str">
        <f t="shared" ref="J59:J64" si="19">IF(H59=1,I59,"")</f>
        <v/>
      </c>
      <c r="K59" s="406">
        <f>$D59*$F59*IF($E$57=16,1/0.406,1/0.61)*VLOOKUP($C59,'Master sheet'!$A:$AL,13,FALSE)*(0.0889*0.01905)</f>
        <v>0</v>
      </c>
      <c r="L59" s="94">
        <f>$D59*$F59*IF($E$57=16,1/0.406,1/0.61)*VLOOKUP($C59,'Master sheet'!$A:$AL,27,FALSE)*(0.0889*0.01905)</f>
        <v>0</v>
      </c>
      <c r="M59" s="1562"/>
      <c r="N59" s="1562"/>
      <c r="O59" s="25" t="str">
        <f>_xlfn.IFNA(VLOOKUP($C59,'Master sheet'!$A:$AR,44,FALSE),"")&amp;""</f>
        <v/>
      </c>
      <c r="P59" s="685"/>
      <c r="Q59" s="717" t="s">
        <v>65</v>
      </c>
      <c r="R59" s="717" t="s">
        <v>68</v>
      </c>
      <c r="S59" s="737" t="s">
        <v>7257</v>
      </c>
      <c r="T59" s="665"/>
      <c r="U59" s="664"/>
      <c r="V59" s="664"/>
      <c r="W59" s="664"/>
      <c r="X59" s="664"/>
      <c r="Y59" s="664"/>
      <c r="Z59" s="664"/>
    </row>
    <row r="60" spans="1:26" ht="22.8" x14ac:dyDescent="0.25">
      <c r="A60" s="1542"/>
      <c r="B60" s="1542"/>
      <c r="C60" s="669" t="str">
        <f>INDEX('Master sheet'!$A$1:$A$670,MATCH("248-2",'Master sheet'!$AN$1:$AN$670,0))</f>
        <v xml:space="preserve">Wood - SPF / Canadian Wood Council / Alberta / </v>
      </c>
      <c r="D60" s="15">
        <f>'USER INPUT SHEET'!$D$32</f>
        <v>0</v>
      </c>
      <c r="E60" s="16" t="str">
        <f>'USER INPUT SHEET'!$F$32</f>
        <v>m2</v>
      </c>
      <c r="F60" s="3">
        <v>1</v>
      </c>
      <c r="G60" s="670"/>
      <c r="H60" s="8"/>
      <c r="I60" s="95">
        <f t="shared" si="18"/>
        <v>0</v>
      </c>
      <c r="J60" s="93" t="str">
        <f t="shared" si="19"/>
        <v/>
      </c>
      <c r="K60" s="406">
        <f>$D60*$F60*IF($E$57=16,1/0.406,1/0.61)*VLOOKUP($C60,'Master sheet'!$A:$AL,13,FALSE)*(0.0889*0.01905)</f>
        <v>0</v>
      </c>
      <c r="L60" s="94">
        <f>$D60*$F60*IF($E$57=16,1/0.406,1/0.61)*VLOOKUP($C60,'Master sheet'!$A:$AL,27,FALSE)*(0.0889*0.01905)</f>
        <v>0</v>
      </c>
      <c r="M60" s="1552"/>
      <c r="N60" s="1552"/>
      <c r="O60" s="25" t="str">
        <f>_xlfn.IFNA(VLOOKUP($C60,'Master sheet'!$A:$AR,44,FALSE),"")&amp;""</f>
        <v/>
      </c>
      <c r="P60" s="685"/>
      <c r="Q60" s="717" t="s">
        <v>65</v>
      </c>
      <c r="R60" s="717" t="s">
        <v>68</v>
      </c>
      <c r="S60" s="737" t="s">
        <v>7257</v>
      </c>
      <c r="T60" s="665"/>
      <c r="U60" s="664"/>
      <c r="V60" s="664"/>
      <c r="W60" s="664"/>
      <c r="X60" s="664"/>
      <c r="Y60" s="664"/>
      <c r="Z60" s="664"/>
    </row>
    <row r="61" spans="1:26" ht="22.8" x14ac:dyDescent="0.25">
      <c r="A61" s="1542"/>
      <c r="B61" s="1542"/>
      <c r="C61" s="669" t="str">
        <f>INDEX('Master sheet'!$A$1:$A$670,MATCH("248-3",'Master sheet'!$AN$1:$AN$670,0))</f>
        <v xml:space="preserve">Wood - SPF / Canadian Wood Council / Ontario / </v>
      </c>
      <c r="D61" s="15">
        <f>'USER INPUT SHEET'!$D$32</f>
        <v>0</v>
      </c>
      <c r="E61" s="16" t="str">
        <f>'USER INPUT SHEET'!$F$32</f>
        <v>m2</v>
      </c>
      <c r="F61" s="3">
        <v>1</v>
      </c>
      <c r="G61" s="670"/>
      <c r="H61" s="8"/>
      <c r="I61" s="95">
        <f t="shared" si="18"/>
        <v>0</v>
      </c>
      <c r="J61" s="93" t="str">
        <f t="shared" si="19"/>
        <v/>
      </c>
      <c r="K61" s="406">
        <f>$D61*$F61*IF($E$57=16,1/0.406,1/0.61)*VLOOKUP($C61,'Master sheet'!$A:$AL,13,FALSE)*(0.0889*0.01905)</f>
        <v>0</v>
      </c>
      <c r="L61" s="94">
        <f>$D61*$F61*IF($E$57=16,1/0.406,1/0.61)*VLOOKUP($C61,'Master sheet'!$A:$AL,27,FALSE)*(0.0889*0.01905)</f>
        <v>0</v>
      </c>
      <c r="M61" s="1552"/>
      <c r="N61" s="1552"/>
      <c r="O61" s="25" t="str">
        <f>_xlfn.IFNA(VLOOKUP($C61,'Master sheet'!$A:$AR,44,FALSE),"")&amp;""</f>
        <v/>
      </c>
      <c r="P61" s="685"/>
      <c r="Q61" s="717" t="s">
        <v>65</v>
      </c>
      <c r="R61" s="717" t="s">
        <v>68</v>
      </c>
      <c r="S61" s="737" t="s">
        <v>7257</v>
      </c>
      <c r="T61" s="665"/>
      <c r="U61" s="664"/>
      <c r="V61" s="664"/>
      <c r="W61" s="664"/>
      <c r="X61" s="664"/>
      <c r="Y61" s="664"/>
      <c r="Z61" s="664"/>
    </row>
    <row r="62" spans="1:26" ht="22.8" x14ac:dyDescent="0.25">
      <c r="A62" s="1542"/>
      <c r="B62" s="1542"/>
      <c r="C62" s="669" t="str">
        <f>INDEX('Master sheet'!$A$1:$A$670,MATCH("248-4",'Master sheet'!$AN$1:$AN$670,0))</f>
        <v xml:space="preserve">Wood - SPF / Canadian Wood Council / Quebec / </v>
      </c>
      <c r="D62" s="15">
        <f>'USER INPUT SHEET'!$D$32</f>
        <v>0</v>
      </c>
      <c r="E62" s="16" t="str">
        <f>'USER INPUT SHEET'!$F$32</f>
        <v>m2</v>
      </c>
      <c r="F62" s="3">
        <v>1</v>
      </c>
      <c r="G62" s="670"/>
      <c r="H62" s="8"/>
      <c r="I62" s="95">
        <f t="shared" si="18"/>
        <v>0</v>
      </c>
      <c r="J62" s="93" t="str">
        <f t="shared" si="19"/>
        <v/>
      </c>
      <c r="K62" s="406">
        <f>$D62*$F62*IF($E$57=16,1/0.406,1/0.61)*VLOOKUP($C62,'Master sheet'!$A:$AL,13,FALSE)*(0.0889*0.01905)</f>
        <v>0</v>
      </c>
      <c r="L62" s="94">
        <f>$D62*$F62*IF($E$57=16,1/0.406,1/0.61)*VLOOKUP($C62,'Master sheet'!$A:$AL,27,FALSE)*(0.0889*0.01905)</f>
        <v>0</v>
      </c>
      <c r="M62" s="1552"/>
      <c r="N62" s="1552"/>
      <c r="O62" s="25" t="str">
        <f>_xlfn.IFNA(VLOOKUP($C62,'Master sheet'!$A:$AR,44,FALSE),"")&amp;""</f>
        <v/>
      </c>
      <c r="P62" s="685"/>
      <c r="Q62" s="717" t="s">
        <v>65</v>
      </c>
      <c r="R62" s="717" t="s">
        <v>68</v>
      </c>
      <c r="S62" s="737" t="s">
        <v>7257</v>
      </c>
      <c r="T62" s="665"/>
      <c r="U62" s="664"/>
      <c r="V62" s="664"/>
      <c r="W62" s="664"/>
      <c r="X62" s="664"/>
      <c r="Y62" s="664"/>
      <c r="Z62" s="664"/>
    </row>
    <row r="63" spans="1:26" ht="22.8" x14ac:dyDescent="0.25">
      <c r="A63" s="1542"/>
      <c r="B63" s="1542"/>
      <c r="C63" s="669" t="str">
        <f>INDEX('Master sheet'!$A$1:$A$670,MATCH("248-5",'Master sheet'!$AN$1:$AN$670,0))</f>
        <v xml:space="preserve">Wood - SPF / Canadian Wood Council / New Brunswick / </v>
      </c>
      <c r="D63" s="15">
        <f>'USER INPUT SHEET'!$D$32</f>
        <v>0</v>
      </c>
      <c r="E63" s="16" t="str">
        <f>'USER INPUT SHEET'!$F$32</f>
        <v>m2</v>
      </c>
      <c r="F63" s="3">
        <v>1</v>
      </c>
      <c r="G63" s="670"/>
      <c r="H63" s="8"/>
      <c r="I63" s="95">
        <f t="shared" si="18"/>
        <v>0</v>
      </c>
      <c r="J63" s="93" t="str">
        <f t="shared" si="19"/>
        <v/>
      </c>
      <c r="K63" s="406">
        <f>$D63*$F63*IF($E$57=16,1/0.406,1/0.61)*VLOOKUP($C63,'Master sheet'!$A:$AL,13,FALSE)*(0.0889*0.01905)</f>
        <v>0</v>
      </c>
      <c r="L63" s="94">
        <f>$D63*$F63*IF($E$57=16,1/0.406,1/0.61)*VLOOKUP($C63,'Master sheet'!$A:$AL,27,FALSE)*(0.0889*0.01905)</f>
        <v>0</v>
      </c>
      <c r="M63" s="1552"/>
      <c r="N63" s="1552"/>
      <c r="O63" s="25" t="str">
        <f>_xlfn.IFNA(VLOOKUP($C63,'Master sheet'!$A:$AR,44,FALSE),"")&amp;""</f>
        <v/>
      </c>
      <c r="P63" s="685"/>
      <c r="Q63" s="717" t="s">
        <v>65</v>
      </c>
      <c r="R63" s="717" t="s">
        <v>68</v>
      </c>
      <c r="S63" s="737" t="s">
        <v>7257</v>
      </c>
      <c r="T63" s="665"/>
      <c r="U63" s="664"/>
      <c r="V63" s="664"/>
      <c r="W63" s="664"/>
      <c r="X63" s="664"/>
      <c r="Y63" s="664"/>
      <c r="Z63" s="664"/>
    </row>
    <row r="64" spans="1:26" ht="22.8" x14ac:dyDescent="0.25">
      <c r="A64" s="1542"/>
      <c r="B64" s="1542"/>
      <c r="C64" s="669" t="str">
        <f>INDEX('Master sheet'!$A$1:$A$670,MATCH("248-6",'Master sheet'!$AN$1:$AN$670,0))</f>
        <v xml:space="preserve">Wood - SPF / Canadian Wood Council / Atlantic Canada / </v>
      </c>
      <c r="D64" s="15">
        <f>'USER INPUT SHEET'!$D$32</f>
        <v>0</v>
      </c>
      <c r="E64" s="16" t="str">
        <f>'USER INPUT SHEET'!$F$32</f>
        <v>m2</v>
      </c>
      <c r="F64" s="3">
        <v>1</v>
      </c>
      <c r="G64" s="670"/>
      <c r="H64" s="8"/>
      <c r="I64" s="95">
        <f t="shared" si="18"/>
        <v>0</v>
      </c>
      <c r="J64" s="93" t="str">
        <f t="shared" si="19"/>
        <v/>
      </c>
      <c r="K64" s="406">
        <f>$D64*$F64*IF($E$57=16,1/0.406,1/0.61)*VLOOKUP($C64,'Master sheet'!$A:$AL,13,FALSE)*(0.0889*0.01905)</f>
        <v>0</v>
      </c>
      <c r="L64" s="94">
        <f>$D64*$F64*IF($E$57=16,1/0.406,1/0.61)*VLOOKUP($C64,'Master sheet'!$A:$AL,27,FALSE)*(0.0889*0.01905)</f>
        <v>0</v>
      </c>
      <c r="M64" s="1552"/>
      <c r="N64" s="1552"/>
      <c r="O64" s="25" t="str">
        <f>_xlfn.IFNA(VLOOKUP($C64,'Master sheet'!$A:$AR,44,FALSE),"")&amp;""</f>
        <v/>
      </c>
      <c r="P64" s="685"/>
      <c r="Q64" s="717" t="s">
        <v>65</v>
      </c>
      <c r="R64" s="717" t="s">
        <v>68</v>
      </c>
      <c r="S64" s="737" t="s">
        <v>7257</v>
      </c>
      <c r="T64" s="665"/>
      <c r="U64" s="664"/>
      <c r="V64" s="664"/>
      <c r="W64" s="664"/>
      <c r="X64" s="664"/>
      <c r="Y64" s="664"/>
      <c r="Z64" s="664"/>
    </row>
    <row r="65" spans="1:26" s="624" customFormat="1" ht="21" customHeight="1" x14ac:dyDescent="0.25">
      <c r="A65" s="639"/>
      <c r="B65" s="1524" t="s">
        <v>6841</v>
      </c>
      <c r="C65" s="1523"/>
      <c r="D65" s="640"/>
      <c r="E65" s="641"/>
      <c r="F65" s="334"/>
      <c r="G65" s="678"/>
      <c r="H65" s="639"/>
      <c r="I65" s="733"/>
      <c r="J65" s="733"/>
      <c r="K65" s="698"/>
      <c r="L65" s="736"/>
      <c r="M65" s="736"/>
      <c r="N65" s="736"/>
      <c r="O65" s="25" t="str">
        <f>_xlfn.IFNA(VLOOKUP($C65,'Master sheet'!$A:$AR,44,FALSE),"")&amp;""</f>
        <v/>
      </c>
      <c r="P65" s="637"/>
      <c r="Q65" s="722"/>
      <c r="R65" s="722"/>
      <c r="S65" s="623"/>
      <c r="T65" s="638"/>
      <c r="U65" s="638"/>
      <c r="V65" s="638"/>
      <c r="W65" s="638"/>
      <c r="X65" s="638"/>
      <c r="Y65" s="638"/>
      <c r="Z65" s="638"/>
    </row>
    <row r="66" spans="1:26" ht="22.8" x14ac:dyDescent="0.25">
      <c r="A66" s="1542"/>
      <c r="B66" s="1542"/>
      <c r="C66" s="669" t="str">
        <f>INDEX('Master sheet'!$A$1:$A$670,MATCH("248-1",'Master sheet'!$AN$1:$AN$670,0))</f>
        <v xml:space="preserve">Wood - SPF / Canadian Wood Council / British Columbia / </v>
      </c>
      <c r="D66" s="15">
        <f>'USER INPUT SHEET'!$D$32</f>
        <v>0</v>
      </c>
      <c r="E66" s="16" t="str">
        <f>'USER INPUT SHEET'!$F$32</f>
        <v>m2</v>
      </c>
      <c r="F66" s="3">
        <v>1</v>
      </c>
      <c r="G66" s="670"/>
      <c r="H66" s="8"/>
      <c r="I66" s="95">
        <f t="shared" ref="I66:I71" si="20">K66-L66-IF(N66,M66,0)</f>
        <v>0</v>
      </c>
      <c r="J66" s="93" t="str">
        <f t="shared" ref="J66:J71" si="21">IF(H66=1,I66,"")</f>
        <v/>
      </c>
      <c r="K66" s="406">
        <f>$D66*$F66*IF($E$57=16,1/0.406,1/0.61)*VLOOKUP($C66,'Master sheet'!$A:$AL,13,FALSE)*(0.0889*0.0381)</f>
        <v>0</v>
      </c>
      <c r="L66" s="94">
        <f>$D66*$F66*IF($E$57=16,1/0.406,1/0.61)*VLOOKUP($C66,'Master sheet'!$A:$AL,27,FALSE)*(0.0889*0.0381)</f>
        <v>0</v>
      </c>
      <c r="M66" s="1562"/>
      <c r="N66" s="1562"/>
      <c r="O66" s="25" t="str">
        <f>_xlfn.IFNA(VLOOKUP($C66,'Master sheet'!$A:$AR,44,FALSE),"")&amp;""</f>
        <v/>
      </c>
      <c r="P66" s="685"/>
      <c r="Q66" s="717" t="s">
        <v>65</v>
      </c>
      <c r="R66" s="717" t="s">
        <v>68</v>
      </c>
      <c r="S66" s="737" t="s">
        <v>7250</v>
      </c>
      <c r="T66" s="665"/>
      <c r="U66" s="664"/>
      <c r="V66" s="664"/>
      <c r="W66" s="664"/>
      <c r="X66" s="664"/>
      <c r="Y66" s="664"/>
      <c r="Z66" s="664"/>
    </row>
    <row r="67" spans="1:26" ht="22.8" x14ac:dyDescent="0.25">
      <c r="A67" s="1542"/>
      <c r="B67" s="1542"/>
      <c r="C67" s="669" t="str">
        <f>INDEX('Master sheet'!$A$1:$A$670,MATCH("248-2",'Master sheet'!$AN$1:$AN$670,0))</f>
        <v xml:space="preserve">Wood - SPF / Canadian Wood Council / Alberta / </v>
      </c>
      <c r="D67" s="15">
        <f>'USER INPUT SHEET'!$D$32</f>
        <v>0</v>
      </c>
      <c r="E67" s="16" t="str">
        <f>'USER INPUT SHEET'!$F$32</f>
        <v>m2</v>
      </c>
      <c r="F67" s="3">
        <v>1</v>
      </c>
      <c r="G67" s="670"/>
      <c r="H67" s="8"/>
      <c r="I67" s="95">
        <f t="shared" si="20"/>
        <v>0</v>
      </c>
      <c r="J67" s="93" t="str">
        <f t="shared" si="21"/>
        <v/>
      </c>
      <c r="K67" s="406">
        <f>$D67*$F67*IF($E$57=16,1/0.406,1/0.61)*VLOOKUP($C67,'Master sheet'!$A:$AL,13,FALSE)*(0.0889*0.0381)</f>
        <v>0</v>
      </c>
      <c r="L67" s="94">
        <f>$D67*$F67*IF($E$57=16,1/0.406,1/0.61)*VLOOKUP($C67,'Master sheet'!$A:$AL,27,FALSE)*(0.0889*0.0381)</f>
        <v>0</v>
      </c>
      <c r="M67" s="1552"/>
      <c r="N67" s="1552"/>
      <c r="O67" s="25" t="str">
        <f>_xlfn.IFNA(VLOOKUP($C67,'Master sheet'!$A:$AR,44,FALSE),"")&amp;""</f>
        <v/>
      </c>
      <c r="P67" s="685"/>
      <c r="Q67" s="717" t="s">
        <v>65</v>
      </c>
      <c r="R67" s="717" t="s">
        <v>68</v>
      </c>
      <c r="S67" s="737" t="s">
        <v>7250</v>
      </c>
      <c r="T67" s="665"/>
      <c r="U67" s="664"/>
      <c r="V67" s="664"/>
      <c r="W67" s="664"/>
      <c r="X67" s="664"/>
      <c r="Y67" s="664"/>
      <c r="Z67" s="664"/>
    </row>
    <row r="68" spans="1:26" ht="22.8" x14ac:dyDescent="0.25">
      <c r="A68" s="1542"/>
      <c r="B68" s="1542"/>
      <c r="C68" s="669" t="str">
        <f>INDEX('Master sheet'!$A$1:$A$670,MATCH("248-3",'Master sheet'!$AN$1:$AN$670,0))</f>
        <v xml:space="preserve">Wood - SPF / Canadian Wood Council / Ontario / </v>
      </c>
      <c r="D68" s="15">
        <f>'USER INPUT SHEET'!$D$32</f>
        <v>0</v>
      </c>
      <c r="E68" s="16" t="str">
        <f>'USER INPUT SHEET'!$F$32</f>
        <v>m2</v>
      </c>
      <c r="F68" s="3">
        <v>1</v>
      </c>
      <c r="G68" s="670"/>
      <c r="H68" s="8"/>
      <c r="I68" s="95">
        <f t="shared" si="20"/>
        <v>0</v>
      </c>
      <c r="J68" s="93" t="str">
        <f t="shared" si="21"/>
        <v/>
      </c>
      <c r="K68" s="406">
        <f>$D68*$F68*IF($E$57=16,1/0.406,1/0.61)*VLOOKUP($C68,'Master sheet'!$A:$AL,13,FALSE)*(0.0889*0.0381)</f>
        <v>0</v>
      </c>
      <c r="L68" s="94">
        <f>$D68*$F68*IF($E$57=16,1/0.406,1/0.61)*VLOOKUP($C68,'Master sheet'!$A:$AL,27,FALSE)*(0.0889*0.0381)</f>
        <v>0</v>
      </c>
      <c r="M68" s="1552"/>
      <c r="N68" s="1552"/>
      <c r="O68" s="25" t="str">
        <f>_xlfn.IFNA(VLOOKUP($C68,'Master sheet'!$A:$AR,44,FALSE),"")&amp;""</f>
        <v/>
      </c>
      <c r="P68" s="685"/>
      <c r="Q68" s="717" t="s">
        <v>65</v>
      </c>
      <c r="R68" s="717" t="s">
        <v>68</v>
      </c>
      <c r="S68" s="737" t="s">
        <v>7250</v>
      </c>
      <c r="T68" s="665"/>
      <c r="U68" s="664"/>
      <c r="V68" s="664"/>
      <c r="W68" s="664"/>
      <c r="X68" s="664"/>
      <c r="Y68" s="664"/>
      <c r="Z68" s="664"/>
    </row>
    <row r="69" spans="1:26" ht="22.8" x14ac:dyDescent="0.25">
      <c r="A69" s="1542"/>
      <c r="B69" s="1542"/>
      <c r="C69" s="669" t="str">
        <f>INDEX('Master sheet'!$A$1:$A$670,MATCH("248-4",'Master sheet'!$AN$1:$AN$670,0))</f>
        <v xml:space="preserve">Wood - SPF / Canadian Wood Council / Quebec / </v>
      </c>
      <c r="D69" s="15">
        <f>'USER INPUT SHEET'!$D$32</f>
        <v>0</v>
      </c>
      <c r="E69" s="16" t="str">
        <f>'USER INPUT SHEET'!$F$32</f>
        <v>m2</v>
      </c>
      <c r="F69" s="3">
        <v>1</v>
      </c>
      <c r="G69" s="670"/>
      <c r="H69" s="8"/>
      <c r="I69" s="95">
        <f t="shared" si="20"/>
        <v>0</v>
      </c>
      <c r="J69" s="93" t="str">
        <f t="shared" si="21"/>
        <v/>
      </c>
      <c r="K69" s="406">
        <f>$D69*$F69*IF($E$57=16,1/0.406,1/0.61)*VLOOKUP($C69,'Master sheet'!$A:$AL,13,FALSE)*(0.0889*0.0381)</f>
        <v>0</v>
      </c>
      <c r="L69" s="94">
        <f>$D69*$F69*IF($E$57=16,1/0.406,1/0.61)*VLOOKUP($C69,'Master sheet'!$A:$AL,27,FALSE)*(0.0889*0.0381)</f>
        <v>0</v>
      </c>
      <c r="M69" s="1552"/>
      <c r="N69" s="1552"/>
      <c r="O69" s="25" t="str">
        <f>_xlfn.IFNA(VLOOKUP($C69,'Master sheet'!$A:$AR,44,FALSE),"")&amp;""</f>
        <v/>
      </c>
      <c r="P69" s="685"/>
      <c r="Q69" s="717" t="s">
        <v>65</v>
      </c>
      <c r="R69" s="717" t="s">
        <v>68</v>
      </c>
      <c r="S69" s="737" t="s">
        <v>7250</v>
      </c>
      <c r="T69" s="665"/>
      <c r="U69" s="664"/>
      <c r="V69" s="664"/>
      <c r="W69" s="664"/>
      <c r="X69" s="664"/>
      <c r="Y69" s="664"/>
      <c r="Z69" s="664"/>
    </row>
    <row r="70" spans="1:26" ht="22.8" x14ac:dyDescent="0.25">
      <c r="A70" s="1542"/>
      <c r="B70" s="1542"/>
      <c r="C70" s="669" t="str">
        <f>INDEX('Master sheet'!$A$1:$A$670,MATCH("248-5",'Master sheet'!$AN$1:$AN$670,0))</f>
        <v xml:space="preserve">Wood - SPF / Canadian Wood Council / New Brunswick / </v>
      </c>
      <c r="D70" s="15">
        <f>'USER INPUT SHEET'!$D$32</f>
        <v>0</v>
      </c>
      <c r="E70" s="16" t="str">
        <f>'USER INPUT SHEET'!$F$32</f>
        <v>m2</v>
      </c>
      <c r="F70" s="3">
        <v>1</v>
      </c>
      <c r="G70" s="670"/>
      <c r="H70" s="8"/>
      <c r="I70" s="95">
        <f t="shared" si="20"/>
        <v>0</v>
      </c>
      <c r="J70" s="93" t="str">
        <f t="shared" si="21"/>
        <v/>
      </c>
      <c r="K70" s="406">
        <f>$D70*$F70*IF($E$57=16,1/0.406,1/0.61)*VLOOKUP($C70,'Master sheet'!$A:$AL,13,FALSE)*(0.0889*0.0381)</f>
        <v>0</v>
      </c>
      <c r="L70" s="94">
        <f>$D70*$F70*IF($E$57=16,1/0.406,1/0.61)*VLOOKUP($C70,'Master sheet'!$A:$AL,27,FALSE)*(0.0889*0.0381)</f>
        <v>0</v>
      </c>
      <c r="M70" s="1552"/>
      <c r="N70" s="1552"/>
      <c r="O70" s="25" t="str">
        <f>_xlfn.IFNA(VLOOKUP($C70,'Master sheet'!$A:$AR,44,FALSE),"")&amp;""</f>
        <v/>
      </c>
      <c r="P70" s="685"/>
      <c r="Q70" s="717" t="s">
        <v>65</v>
      </c>
      <c r="R70" s="717" t="s">
        <v>68</v>
      </c>
      <c r="S70" s="737" t="s">
        <v>7250</v>
      </c>
      <c r="T70" s="665"/>
      <c r="U70" s="664"/>
      <c r="V70" s="664"/>
      <c r="W70" s="664"/>
      <c r="X70" s="664"/>
      <c r="Y70" s="664"/>
      <c r="Z70" s="664"/>
    </row>
    <row r="71" spans="1:26" ht="22.8" x14ac:dyDescent="0.25">
      <c r="A71" s="1542"/>
      <c r="B71" s="1542"/>
      <c r="C71" s="669" t="str">
        <f>INDEX('Master sheet'!$A$1:$A$670,MATCH("248-6",'Master sheet'!$AN$1:$AN$670,0))</f>
        <v xml:space="preserve">Wood - SPF / Canadian Wood Council / Atlantic Canada / </v>
      </c>
      <c r="D71" s="15">
        <f>'USER INPUT SHEET'!$D$32</f>
        <v>0</v>
      </c>
      <c r="E71" s="16" t="str">
        <f>'USER INPUT SHEET'!$F$32</f>
        <v>m2</v>
      </c>
      <c r="F71" s="3">
        <v>1</v>
      </c>
      <c r="G71" s="670"/>
      <c r="H71" s="8"/>
      <c r="I71" s="95">
        <f t="shared" si="20"/>
        <v>0</v>
      </c>
      <c r="J71" s="93" t="str">
        <f t="shared" si="21"/>
        <v/>
      </c>
      <c r="K71" s="406">
        <f>$D71*$F71*IF($E$57=16,1/0.406,1/0.61)*VLOOKUP($C71,'Master sheet'!$A:$AL,13,FALSE)*(0.0889*0.0381)</f>
        <v>0</v>
      </c>
      <c r="L71" s="94">
        <f>$D71*$F71*IF($E$57=16,1/0.406,1/0.61)*VLOOKUP($C71,'Master sheet'!$A:$AL,27,FALSE)*(0.0889*0.0381)</f>
        <v>0</v>
      </c>
      <c r="M71" s="1552"/>
      <c r="N71" s="1552"/>
      <c r="O71" s="25" t="str">
        <f>_xlfn.IFNA(VLOOKUP($C71,'Master sheet'!$A:$AR,44,FALSE),"")&amp;""</f>
        <v/>
      </c>
      <c r="P71" s="685"/>
      <c r="Q71" s="717" t="s">
        <v>65</v>
      </c>
      <c r="R71" s="717" t="s">
        <v>68</v>
      </c>
      <c r="S71" s="737" t="s">
        <v>7250</v>
      </c>
      <c r="T71" s="665"/>
      <c r="U71" s="664"/>
      <c r="V71" s="664"/>
      <c r="W71" s="664"/>
      <c r="X71" s="664"/>
      <c r="Y71" s="664"/>
      <c r="Z71" s="664"/>
    </row>
    <row r="72" spans="1:26" s="624" customFormat="1" ht="54.75" customHeight="1" x14ac:dyDescent="0.25">
      <c r="A72" s="1522" t="s">
        <v>70</v>
      </c>
      <c r="B72" s="1523"/>
      <c r="C72" s="1523"/>
      <c r="D72" s="649"/>
      <c r="E72" s="650"/>
      <c r="F72" s="321"/>
      <c r="G72" s="650"/>
      <c r="H72" s="650"/>
      <c r="I72" s="651"/>
      <c r="J72" s="651"/>
      <c r="K72" s="652"/>
      <c r="L72" s="759"/>
      <c r="M72" s="759"/>
      <c r="N72" s="759"/>
      <c r="O72" s="25" t="str">
        <f>_xlfn.IFNA(VLOOKUP($C72,'Master sheet'!$A:$AR,44,FALSE),"")&amp;""</f>
        <v/>
      </c>
      <c r="P72" s="637"/>
      <c r="Q72" s="811"/>
      <c r="R72" s="638"/>
      <c r="S72" s="638"/>
      <c r="T72" s="638"/>
      <c r="U72" s="638"/>
      <c r="V72" s="638"/>
      <c r="W72" s="638"/>
      <c r="X72" s="638"/>
      <c r="Y72" s="638"/>
      <c r="Z72" s="638"/>
    </row>
    <row r="73" spans="1:26" ht="23.25" customHeight="1" x14ac:dyDescent="0.25">
      <c r="A73" s="686"/>
      <c r="B73" s="1541" t="s">
        <v>1038</v>
      </c>
      <c r="C73" s="1530"/>
      <c r="D73" s="812"/>
      <c r="E73" s="813"/>
      <c r="F73" s="341"/>
      <c r="G73" s="781"/>
      <c r="H73" s="782"/>
      <c r="I73" s="814"/>
      <c r="J73" s="784"/>
      <c r="K73" s="783"/>
      <c r="L73" s="785"/>
      <c r="M73" s="743"/>
      <c r="N73" s="743"/>
      <c r="O73" s="25" t="str">
        <f>_xlfn.IFNA(VLOOKUP($C73,'Master sheet'!$A:$AR,44,FALSE),"")&amp;""</f>
        <v/>
      </c>
      <c r="P73" s="685"/>
      <c r="Q73" s="664"/>
      <c r="R73" s="664"/>
      <c r="S73" s="664"/>
      <c r="T73" s="664"/>
      <c r="U73" s="664"/>
      <c r="V73" s="664"/>
      <c r="W73" s="664"/>
      <c r="X73" s="664"/>
      <c r="Y73" s="664"/>
      <c r="Z73" s="664"/>
    </row>
    <row r="74" spans="1:26" ht="31.5" customHeight="1" x14ac:dyDescent="0.25">
      <c r="A74" s="729"/>
      <c r="B74" s="729"/>
      <c r="C74" s="691" t="s">
        <v>1069</v>
      </c>
      <c r="D74" s="19">
        <f>'USER INPUT SHEET'!$D$32+'USER INPUT SHEET'!$D$47</f>
        <v>0</v>
      </c>
      <c r="E74" s="20" t="str">
        <f>'USER INPUT SHEET'!$F$32</f>
        <v>m2</v>
      </c>
      <c r="F74" s="6">
        <v>1</v>
      </c>
      <c r="G74" s="692"/>
      <c r="H74" s="10"/>
      <c r="I74" s="98">
        <f>K74-L74</f>
        <v>0</v>
      </c>
      <c r="J74" s="91" t="str">
        <f>IF(H74=1,I74,"")</f>
        <v/>
      </c>
      <c r="K74" s="410">
        <f>F74*AVERAGE(K75:K76)</f>
        <v>0</v>
      </c>
      <c r="L74" s="99">
        <f>F74*AVERAGE(L75:L76)</f>
        <v>0</v>
      </c>
      <c r="M74" s="1552"/>
      <c r="N74" s="1552"/>
      <c r="O74" s="25" t="str">
        <f>_xlfn.IFNA(VLOOKUP($C74,'Master sheet'!$A:$AR,44,FALSE),"")&amp;""</f>
        <v/>
      </c>
      <c r="P74" s="685"/>
      <c r="Q74" s="664" t="s">
        <v>65</v>
      </c>
      <c r="R74" s="664" t="s">
        <v>70</v>
      </c>
      <c r="S74" s="664"/>
      <c r="T74" s="664"/>
      <c r="U74" s="664"/>
      <c r="V74" s="664"/>
      <c r="W74" s="664"/>
      <c r="X74" s="664"/>
      <c r="Y74" s="664"/>
      <c r="Z74" s="664"/>
    </row>
    <row r="75" spans="1:26" ht="22.8" x14ac:dyDescent="0.25">
      <c r="A75" s="1564"/>
      <c r="B75" s="1564"/>
      <c r="C75" s="673" t="str">
        <f>INDEX('Master sheet'!$A$1:$A$670,MATCH(89,'Master sheet'!$AN$1:$AN$670,0))</f>
        <v>Drywall 1/2" / Pabco / QuietRock / QuietRock 1/2"</v>
      </c>
      <c r="D75" s="15">
        <f>'USER INPUT SHEET'!$D$32+'USER INPUT SHEET'!$D$47</f>
        <v>0</v>
      </c>
      <c r="E75" s="16" t="str">
        <f>'USER INPUT SHEET'!$F$32</f>
        <v>m2</v>
      </c>
      <c r="F75" s="3">
        <v>1</v>
      </c>
      <c r="G75" s="670"/>
      <c r="H75" s="8"/>
      <c r="I75" s="92">
        <f t="shared" ref="I75:I76" si="22">K75-L75</f>
        <v>0</v>
      </c>
      <c r="J75" s="93" t="str">
        <f t="shared" ref="J75:J76" si="23">IF(H75=1,I75,"")</f>
        <v/>
      </c>
      <c r="K75" s="406">
        <f>$D75*$F75*VLOOKUP($C75,'Master sheet'!$A:$AL,13,FALSE)</f>
        <v>0</v>
      </c>
      <c r="L75" s="94">
        <f>$D75*$F75*VLOOKUP($C75,'Master sheet'!$A:$AL,27,FALSE)</f>
        <v>0</v>
      </c>
      <c r="M75" s="1552"/>
      <c r="N75" s="1552"/>
      <c r="O75" s="25" t="str">
        <f ca="1">_xlfn.IFNA(VLOOKUP($C75,'Master sheet'!$A:$AR,44,FALSE),"")&amp;""</f>
        <v>Expired 2025</v>
      </c>
      <c r="P75" s="685"/>
      <c r="Q75" s="664" t="s">
        <v>65</v>
      </c>
      <c r="R75" s="664" t="s">
        <v>70</v>
      </c>
      <c r="S75" s="664"/>
      <c r="T75" s="664"/>
      <c r="U75" s="664"/>
      <c r="V75" s="664"/>
      <c r="W75" s="664"/>
      <c r="X75" s="664"/>
      <c r="Y75" s="664"/>
      <c r="Z75" s="664"/>
    </row>
    <row r="76" spans="1:26" ht="31.2" x14ac:dyDescent="0.25">
      <c r="A76" s="1564"/>
      <c r="B76" s="1564"/>
      <c r="C76" s="673" t="str">
        <f>INDEX('Master sheet'!$A$1:$A$670,MATCH(376,'Master sheet'!$AN$1:$AN$670,0))</f>
        <v>Drywall 1/2" / National Gypsum / Gold Bond XP Gypsum Board  / 1/2" (12.7 mm)</v>
      </c>
      <c r="D76" s="15">
        <f>'USER INPUT SHEET'!$D$32+'USER INPUT SHEET'!$D$47</f>
        <v>0</v>
      </c>
      <c r="E76" s="16" t="str">
        <f>'USER INPUT SHEET'!$F$32</f>
        <v>m2</v>
      </c>
      <c r="F76" s="3">
        <v>1</v>
      </c>
      <c r="G76" s="670"/>
      <c r="H76" s="8"/>
      <c r="I76" s="92">
        <f t="shared" si="22"/>
        <v>0</v>
      </c>
      <c r="J76" s="93" t="str">
        <f t="shared" si="23"/>
        <v/>
      </c>
      <c r="K76" s="406">
        <f>$D76*$F76*VLOOKUP($C76,'Master sheet'!$A:$AL,13,FALSE)</f>
        <v>0</v>
      </c>
      <c r="L76" s="94">
        <f>$D76*$F76*VLOOKUP($C76,'Master sheet'!$A:$AL,27,FALSE)</f>
        <v>0</v>
      </c>
      <c r="M76" s="1552"/>
      <c r="N76" s="1552"/>
      <c r="O76" s="25" t="str">
        <f ca="1">_xlfn.IFNA(VLOOKUP($C76,'Master sheet'!$A:$AR,44,FALSE),"")&amp;""</f>
        <v/>
      </c>
      <c r="P76" s="685"/>
      <c r="Q76" s="664" t="s">
        <v>65</v>
      </c>
      <c r="R76" s="664" t="s">
        <v>70</v>
      </c>
      <c r="S76" s="664"/>
      <c r="T76" s="664"/>
      <c r="U76" s="664"/>
      <c r="V76" s="664"/>
      <c r="W76" s="664"/>
      <c r="X76" s="664"/>
      <c r="Y76" s="664"/>
      <c r="Z76" s="664"/>
    </row>
    <row r="77" spans="1:26" s="624" customFormat="1" ht="23.25" customHeight="1" x14ac:dyDescent="0.25">
      <c r="A77" s="639"/>
      <c r="B77" s="1524" t="s">
        <v>1039</v>
      </c>
      <c r="C77" s="1523"/>
      <c r="D77" s="773"/>
      <c r="E77" s="778"/>
      <c r="F77" s="340"/>
      <c r="G77" s="739"/>
      <c r="H77" s="740"/>
      <c r="I77" s="779"/>
      <c r="J77" s="742"/>
      <c r="K77" s="741"/>
      <c r="L77" s="743"/>
      <c r="M77" s="743"/>
      <c r="N77" s="743"/>
      <c r="O77" s="25" t="str">
        <f>_xlfn.IFNA(VLOOKUP($C77,'Master sheet'!$A:$AR,44,FALSE),"")&amp;""</f>
        <v/>
      </c>
      <c r="P77" s="637"/>
      <c r="Q77" s="638"/>
      <c r="R77" s="638"/>
      <c r="S77" s="638"/>
      <c r="T77" s="638"/>
      <c r="U77" s="638"/>
      <c r="V77" s="638"/>
      <c r="W77" s="638"/>
      <c r="X77" s="638"/>
      <c r="Y77" s="638"/>
      <c r="Z77" s="638"/>
    </row>
    <row r="78" spans="1:26" s="624" customFormat="1" ht="31.2" x14ac:dyDescent="0.25">
      <c r="A78" s="729"/>
      <c r="B78" s="729"/>
      <c r="C78" s="691" t="s">
        <v>4937</v>
      </c>
      <c r="D78" s="19">
        <f>'USER INPUT SHEET'!$D$32+'USER INPUT SHEET'!$D$47</f>
        <v>0</v>
      </c>
      <c r="E78" s="20" t="str">
        <f>'USER INPUT SHEET'!$F$32</f>
        <v>m2</v>
      </c>
      <c r="F78" s="6">
        <v>1</v>
      </c>
      <c r="G78" s="692"/>
      <c r="H78" s="10"/>
      <c r="I78" s="98">
        <f>K78-L78</f>
        <v>0</v>
      </c>
      <c r="J78" s="91" t="str">
        <f>IF(H78=1,I78,"")</f>
        <v/>
      </c>
      <c r="K78" s="410">
        <f>F78*AVERAGE(K79:K81)</f>
        <v>0</v>
      </c>
      <c r="L78" s="99">
        <f>F78*AVERAGE(L79:L81)</f>
        <v>0</v>
      </c>
      <c r="M78" s="1552"/>
      <c r="N78" s="1552"/>
      <c r="O78" s="25" t="str">
        <f>_xlfn.IFNA(VLOOKUP($C78,'Master sheet'!$A:$AR,44,FALSE),"")&amp;""</f>
        <v/>
      </c>
      <c r="P78" s="685"/>
      <c r="Q78" s="664" t="s">
        <v>65</v>
      </c>
      <c r="R78" s="664" t="s">
        <v>70</v>
      </c>
      <c r="S78" s="664"/>
      <c r="T78" s="638"/>
      <c r="U78" s="638"/>
      <c r="V78" s="638"/>
      <c r="W78" s="638"/>
      <c r="X78" s="638"/>
      <c r="Y78" s="638"/>
      <c r="Z78" s="638"/>
    </row>
    <row r="79" spans="1:26" ht="47.25" customHeight="1" x14ac:dyDescent="0.25">
      <c r="A79" s="1600"/>
      <c r="B79" s="1600"/>
      <c r="C79" s="669" t="str">
        <f>INDEX('Master sheet'!$A$1:$A$670,MATCH(90,'Master sheet'!$AN$1:$AN$670,0))</f>
        <v>Drywall 5/8" /  / Includes American Gypsum, CertainTeed, Continental, Georgia-Pacific, National Gypsum, Pabco, USG, CGC / 5/8"</v>
      </c>
      <c r="D79" s="15">
        <f>'USER INPUT SHEET'!$D$32+'USER INPUT SHEET'!$D$47</f>
        <v>0</v>
      </c>
      <c r="E79" s="16" t="str">
        <f>'USER INPUT SHEET'!$F$32</f>
        <v>m2</v>
      </c>
      <c r="F79" s="3">
        <v>1</v>
      </c>
      <c r="G79" s="670"/>
      <c r="H79" s="8"/>
      <c r="I79" s="92">
        <f t="shared" ref="I79:I80" si="24">K79-L79</f>
        <v>0</v>
      </c>
      <c r="J79" s="93" t="str">
        <f t="shared" ref="J79:J80" si="25">IF(H79=1,I79,"")</f>
        <v/>
      </c>
      <c r="K79" s="406">
        <f>$D79*$F79*VLOOKUP($C79,'Master sheet'!$A:$AL,13,FALSE)</f>
        <v>0</v>
      </c>
      <c r="L79" s="94">
        <f>$D79*$F79*VLOOKUP($C79,'Master sheet'!$A:$AL,27,FALSE)</f>
        <v>0</v>
      </c>
      <c r="M79" s="1552"/>
      <c r="N79" s="1552"/>
      <c r="O79" s="25" t="str">
        <f ca="1">_xlfn.IFNA(VLOOKUP($C79,'Master sheet'!$A:$AR,44,FALSE),"")&amp;""</f>
        <v>Expired 2025</v>
      </c>
      <c r="P79" s="685"/>
      <c r="Q79" s="664" t="s">
        <v>65</v>
      </c>
      <c r="R79" s="664" t="s">
        <v>70</v>
      </c>
      <c r="S79" s="664"/>
      <c r="T79" s="664"/>
      <c r="U79" s="664"/>
      <c r="V79" s="664"/>
      <c r="W79" s="664"/>
      <c r="X79" s="664"/>
      <c r="Y79" s="664"/>
      <c r="Z79" s="664"/>
    </row>
    <row r="80" spans="1:26" s="624" customFormat="1" ht="31.2" x14ac:dyDescent="0.25">
      <c r="A80" s="1600"/>
      <c r="B80" s="1600"/>
      <c r="C80" s="673" t="str">
        <f>INDEX('Master sheet'!$A$1:$A$670,MATCH(377,'Master sheet'!$AN$1:$AN$670,0))</f>
        <v>Drywall 5/8" Type X / National Gypsum / Gold Bond XP Fire-Shield Gypsum Board  / 5/8'' type X</v>
      </c>
      <c r="D80" s="17">
        <f>'USER INPUT SHEET'!$D$32+'USER INPUT SHEET'!$D$47</f>
        <v>0</v>
      </c>
      <c r="E80" s="18" t="str">
        <f>'USER INPUT SHEET'!$F$32</f>
        <v>m2</v>
      </c>
      <c r="F80" s="4">
        <v>1</v>
      </c>
      <c r="G80" s="674"/>
      <c r="H80" s="9"/>
      <c r="I80" s="95">
        <f t="shared" si="24"/>
        <v>0</v>
      </c>
      <c r="J80" s="96" t="str">
        <f t="shared" si="25"/>
        <v/>
      </c>
      <c r="K80" s="407">
        <f>$D80*$F80*VLOOKUP($C80,'Master sheet'!$A:$AL,13,FALSE)</f>
        <v>0</v>
      </c>
      <c r="L80" s="97">
        <f>$D80*$F80*VLOOKUP($C80,'Master sheet'!$A:$AL,27,FALSE)</f>
        <v>0</v>
      </c>
      <c r="M80" s="1552"/>
      <c r="N80" s="1552"/>
      <c r="O80" s="25" t="str">
        <f ca="1">_xlfn.IFNA(VLOOKUP($C80,'Master sheet'!$A:$AR,44,FALSE),"")&amp;""</f>
        <v/>
      </c>
      <c r="P80" s="685"/>
      <c r="Q80" s="664" t="s">
        <v>65</v>
      </c>
      <c r="R80" s="664" t="s">
        <v>70</v>
      </c>
      <c r="S80" s="638"/>
      <c r="T80" s="638"/>
      <c r="U80" s="638"/>
      <c r="V80" s="638"/>
      <c r="W80" s="638"/>
      <c r="X80" s="638"/>
      <c r="Y80" s="638"/>
      <c r="Z80" s="638"/>
    </row>
    <row r="81" spans="1:26" s="624" customFormat="1" ht="31.2" x14ac:dyDescent="0.25">
      <c r="A81" s="1600"/>
      <c r="B81" s="1600"/>
      <c r="C81" s="673" t="str">
        <f>INDEX('Master sheet'!$A$1:$A$670,MATCH("A27",'Master sheet'!$AN$1:$AN$670,0))</f>
        <v>Drywall 5/8"  / USG / Sheetrock Brand EcoSmart Firecode X  / 5/8'' type X</v>
      </c>
      <c r="D81" s="17">
        <f>'USER INPUT SHEET'!$D$32+'USER INPUT SHEET'!$D$47</f>
        <v>0</v>
      </c>
      <c r="E81" s="18" t="str">
        <f>'USER INPUT SHEET'!$F$32</f>
        <v>m2</v>
      </c>
      <c r="F81" s="4">
        <v>1</v>
      </c>
      <c r="G81" s="674"/>
      <c r="H81" s="9"/>
      <c r="I81" s="95">
        <f t="shared" ref="I81" si="26">K81-L81</f>
        <v>0</v>
      </c>
      <c r="J81" s="96" t="str">
        <f t="shared" ref="J81" si="27">IF(H81=1,I81,"")</f>
        <v/>
      </c>
      <c r="K81" s="407">
        <f>$D81*$F81*VLOOKUP($C81,'Master sheet'!$A:$AL,13,FALSE)</f>
        <v>0</v>
      </c>
      <c r="L81" s="97">
        <f>$D81*$F81*VLOOKUP($C81,'Master sheet'!$A:$AL,27,FALSE)</f>
        <v>0</v>
      </c>
      <c r="M81" s="1610"/>
      <c r="N81" s="1610"/>
      <c r="O81" s="25" t="str">
        <f>_xlfn.IFNA(VLOOKUP($C81,'Master sheet'!$A:$AR,44,FALSE),"")&amp;""</f>
        <v/>
      </c>
      <c r="P81" s="685"/>
      <c r="Q81" s="638" t="s">
        <v>65</v>
      </c>
      <c r="R81" s="638" t="s">
        <v>70</v>
      </c>
      <c r="S81" s="638"/>
      <c r="T81" s="638"/>
      <c r="U81" s="638"/>
      <c r="V81" s="638"/>
      <c r="W81" s="638"/>
      <c r="X81" s="638"/>
      <c r="Y81" s="638"/>
      <c r="Z81" s="638"/>
    </row>
    <row r="82" spans="1:26" s="624" customFormat="1" ht="23.25" customHeight="1" x14ac:dyDescent="0.25">
      <c r="A82" s="639"/>
      <c r="B82" s="1524" t="s">
        <v>50</v>
      </c>
      <c r="C82" s="1523"/>
      <c r="D82" s="640"/>
      <c r="E82" s="641"/>
      <c r="F82" s="325"/>
      <c r="G82" s="678"/>
      <c r="H82" s="679"/>
      <c r="I82" s="642"/>
      <c r="J82" s="643"/>
      <c r="K82" s="676"/>
      <c r="L82" s="677"/>
      <c r="M82" s="677"/>
      <c r="N82" s="677"/>
      <c r="O82" s="25" t="str">
        <f>_xlfn.IFNA(VLOOKUP($C82,'Master sheet'!$A:$AR,44,FALSE),"")&amp;""</f>
        <v/>
      </c>
      <c r="P82" s="637"/>
      <c r="Q82" s="638"/>
      <c r="R82" s="638"/>
      <c r="S82" s="638"/>
      <c r="T82" s="638"/>
      <c r="U82" s="638"/>
      <c r="V82" s="638"/>
      <c r="W82" s="638"/>
      <c r="X82" s="638"/>
      <c r="Y82" s="638"/>
      <c r="Z82" s="638"/>
    </row>
    <row r="83" spans="1:26" s="624" customFormat="1" ht="23.25" customHeight="1" x14ac:dyDescent="0.25">
      <c r="A83" s="815"/>
      <c r="C83" s="647" t="str">
        <f>INDEX('Master sheet'!$A$1:$A$670,MATCH(146,'Master sheet'!$AN$1:$AN$670,0))</f>
        <v>MgO board 1/2" / North American MgO / MagTech Ultra / 1/2"</v>
      </c>
      <c r="D83" s="13">
        <f>'USER INPUT SHEET'!$D$32+'USER INPUT SHEET'!$D$47</f>
        <v>0</v>
      </c>
      <c r="E83" s="14" t="str">
        <f>'USER INPUT SHEET'!$F$34</f>
        <v>m2</v>
      </c>
      <c r="F83" s="2">
        <v>1</v>
      </c>
      <c r="G83" s="648"/>
      <c r="H83" s="7"/>
      <c r="I83" s="88">
        <f>K83-L83</f>
        <v>0</v>
      </c>
      <c r="J83" s="89" t="str">
        <f t="shared" ref="J83:J95" si="28">IF(H83=1,I83,"")</f>
        <v/>
      </c>
      <c r="K83" s="404">
        <f>$D83*$F83*VLOOKUP($C83,'Master sheet'!$A:$AL,13,FALSE)</f>
        <v>0</v>
      </c>
      <c r="L83" s="90">
        <f>$D83*$F83*VLOOKUP($C83,'Master sheet'!$A:$AL,27,FALSE)</f>
        <v>0</v>
      </c>
      <c r="M83" s="1552"/>
      <c r="N83" s="1552"/>
      <c r="O83" s="25" t="str">
        <f ca="1">_xlfn.IFNA(VLOOKUP($C83,'Master sheet'!$A:$AR,44,FALSE),"")&amp;""</f>
        <v>Expired 2023</v>
      </c>
      <c r="P83" s="637"/>
      <c r="Q83" s="638" t="s">
        <v>65</v>
      </c>
      <c r="R83" s="638" t="s">
        <v>70</v>
      </c>
      <c r="S83" s="638"/>
      <c r="T83" s="638"/>
      <c r="U83" s="638"/>
      <c r="V83" s="638"/>
      <c r="W83" s="638"/>
      <c r="X83" s="638"/>
      <c r="Y83" s="638"/>
      <c r="Z83" s="638"/>
    </row>
    <row r="84" spans="1:26" s="624" customFormat="1" ht="22.8" x14ac:dyDescent="0.25">
      <c r="A84" s="815"/>
      <c r="B84" s="748" t="s">
        <v>937</v>
      </c>
      <c r="C84" s="647" t="str">
        <f>INDEX('Master sheet'!$A$1:$A$670,MATCH("248-1",'Master sheet'!$AN$1:$AN$670,0))</f>
        <v xml:space="preserve">Wood - SPF / Canadian Wood Council / British Columbia / </v>
      </c>
      <c r="D84" s="13">
        <f>'USER INPUT SHEET'!$D$32+'USER INPUT SHEET'!$D$47</f>
        <v>0</v>
      </c>
      <c r="E84" s="14" t="str">
        <f>'USER INPUT SHEET'!$F$34</f>
        <v>m2</v>
      </c>
      <c r="F84" s="2">
        <v>1</v>
      </c>
      <c r="G84" s="648"/>
      <c r="H84" s="7"/>
      <c r="I84" s="92">
        <f>K84-L84-IF(N84,M84,0)</f>
        <v>0</v>
      </c>
      <c r="J84" s="89" t="str">
        <f t="shared" si="28"/>
        <v/>
      </c>
      <c r="K84" s="404">
        <f>$D84*$F84*VLOOKUP($C84,'Master sheet'!$A:$AL,13,FALSE)*0.01905</f>
        <v>0</v>
      </c>
      <c r="L84" s="90">
        <f>$D84*$F84*VLOOKUP($C84,'Master sheet'!$A:$AL,27,FALSE)*0.01905</f>
        <v>0</v>
      </c>
      <c r="M84" s="1552"/>
      <c r="N84" s="1552"/>
      <c r="O84" s="25" t="str">
        <f>_xlfn.IFNA(VLOOKUP($C84,'Master sheet'!$A:$AR,44,FALSE),"")&amp;""</f>
        <v/>
      </c>
      <c r="P84" s="637"/>
      <c r="Q84" s="638" t="s">
        <v>65</v>
      </c>
      <c r="R84" s="638" t="s">
        <v>70</v>
      </c>
      <c r="S84" s="638" t="s">
        <v>7254</v>
      </c>
      <c r="T84" s="638"/>
      <c r="U84" s="638"/>
      <c r="V84" s="638"/>
      <c r="W84" s="638"/>
      <c r="X84" s="638"/>
      <c r="Y84" s="638"/>
      <c r="Z84" s="638"/>
    </row>
    <row r="85" spans="1:26" s="624" customFormat="1" ht="22.8" x14ac:dyDescent="0.25">
      <c r="A85" s="815"/>
      <c r="B85" s="748" t="s">
        <v>937</v>
      </c>
      <c r="C85" s="647" t="str">
        <f>INDEX('Master sheet'!$A$1:$A$670,MATCH("248-2",'Master sheet'!$AN$1:$AN$670,0))</f>
        <v xml:space="preserve">Wood - SPF / Canadian Wood Council / Alberta / </v>
      </c>
      <c r="D85" s="13">
        <f>'USER INPUT SHEET'!$D$32+'USER INPUT SHEET'!$D$47</f>
        <v>0</v>
      </c>
      <c r="E85" s="14" t="str">
        <f>'USER INPUT SHEET'!$F$34</f>
        <v>m2</v>
      </c>
      <c r="F85" s="2">
        <v>1</v>
      </c>
      <c r="G85" s="648"/>
      <c r="H85" s="7"/>
      <c r="I85" s="92">
        <f t="shared" ref="I85:I89" si="29">K85-L85-IF(N85,M85,0)</f>
        <v>0</v>
      </c>
      <c r="J85" s="89" t="str">
        <f t="shared" ref="J85:J89" si="30">IF(H85=1,I85,"")</f>
        <v/>
      </c>
      <c r="K85" s="404">
        <f>$D85*$F85*VLOOKUP($C85,'Master sheet'!$A:$AL,13,FALSE)*0.01905</f>
        <v>0</v>
      </c>
      <c r="L85" s="90">
        <f>$D85*$F85*VLOOKUP($C85,'Master sheet'!$A:$AL,27,FALSE)*0.01905</f>
        <v>0</v>
      </c>
      <c r="M85" s="1552"/>
      <c r="N85" s="1552"/>
      <c r="O85" s="25" t="str">
        <f>_xlfn.IFNA(VLOOKUP($C85,'Master sheet'!$A:$AR,44,FALSE),"")&amp;""</f>
        <v/>
      </c>
      <c r="P85" s="637"/>
      <c r="Q85" s="638" t="s">
        <v>65</v>
      </c>
      <c r="R85" s="638" t="s">
        <v>70</v>
      </c>
      <c r="S85" s="638" t="s">
        <v>7254</v>
      </c>
      <c r="T85" s="638"/>
      <c r="U85" s="638"/>
      <c r="V85" s="638"/>
      <c r="W85" s="638"/>
      <c r="X85" s="638"/>
      <c r="Y85" s="638"/>
      <c r="Z85" s="638"/>
    </row>
    <row r="86" spans="1:26" s="624" customFormat="1" ht="22.8" x14ac:dyDescent="0.25">
      <c r="A86" s="815"/>
      <c r="B86" s="748" t="s">
        <v>937</v>
      </c>
      <c r="C86" s="647" t="str">
        <f>INDEX('Master sheet'!$A$1:$A$670,MATCH("248-3",'Master sheet'!$AN$1:$AN$670,0))</f>
        <v xml:space="preserve">Wood - SPF / Canadian Wood Council / Ontario / </v>
      </c>
      <c r="D86" s="13">
        <f>'USER INPUT SHEET'!$D$32+'USER INPUT SHEET'!$D$47</f>
        <v>0</v>
      </c>
      <c r="E86" s="14" t="str">
        <f>'USER INPUT SHEET'!$F$34</f>
        <v>m2</v>
      </c>
      <c r="F86" s="2">
        <v>1</v>
      </c>
      <c r="G86" s="648"/>
      <c r="H86" s="7"/>
      <c r="I86" s="92">
        <f t="shared" si="29"/>
        <v>0</v>
      </c>
      <c r="J86" s="89" t="str">
        <f t="shared" si="30"/>
        <v/>
      </c>
      <c r="K86" s="404">
        <f>$D86*$F86*VLOOKUP($C86,'Master sheet'!$A:$AL,13,FALSE)*0.01905</f>
        <v>0</v>
      </c>
      <c r="L86" s="90">
        <f>$D86*$F86*VLOOKUP($C86,'Master sheet'!$A:$AL,27,FALSE)*0.01905</f>
        <v>0</v>
      </c>
      <c r="M86" s="1552"/>
      <c r="N86" s="1552"/>
      <c r="O86" s="25" t="str">
        <f>_xlfn.IFNA(VLOOKUP($C86,'Master sheet'!$A:$AR,44,FALSE),"")&amp;""</f>
        <v/>
      </c>
      <c r="P86" s="637"/>
      <c r="Q86" s="638" t="s">
        <v>65</v>
      </c>
      <c r="R86" s="638" t="s">
        <v>70</v>
      </c>
      <c r="S86" s="638" t="s">
        <v>7254</v>
      </c>
      <c r="T86" s="638"/>
      <c r="U86" s="638"/>
      <c r="V86" s="638"/>
      <c r="W86" s="638"/>
      <c r="X86" s="638"/>
      <c r="Y86" s="638"/>
      <c r="Z86" s="638"/>
    </row>
    <row r="87" spans="1:26" s="624" customFormat="1" ht="22.8" x14ac:dyDescent="0.25">
      <c r="A87" s="815"/>
      <c r="B87" s="748" t="s">
        <v>937</v>
      </c>
      <c r="C87" s="647" t="str">
        <f>INDEX('Master sheet'!$A$1:$A$670,MATCH("248-4",'Master sheet'!$AN$1:$AN$670,0))</f>
        <v xml:space="preserve">Wood - SPF / Canadian Wood Council / Quebec / </v>
      </c>
      <c r="D87" s="13">
        <f>'USER INPUT SHEET'!$D$32+'USER INPUT SHEET'!$D$47</f>
        <v>0</v>
      </c>
      <c r="E87" s="14" t="str">
        <f>'USER INPUT SHEET'!$F$34</f>
        <v>m2</v>
      </c>
      <c r="F87" s="2">
        <v>1</v>
      </c>
      <c r="G87" s="648"/>
      <c r="H87" s="7"/>
      <c r="I87" s="92">
        <f t="shared" si="29"/>
        <v>0</v>
      </c>
      <c r="J87" s="89" t="str">
        <f t="shared" si="30"/>
        <v/>
      </c>
      <c r="K87" s="404">
        <f>$D87*$F87*VLOOKUP($C87,'Master sheet'!$A:$AL,13,FALSE)*0.01905</f>
        <v>0</v>
      </c>
      <c r="L87" s="90">
        <f>$D87*$F87*VLOOKUP($C87,'Master sheet'!$A:$AL,27,FALSE)*0.01905</f>
        <v>0</v>
      </c>
      <c r="M87" s="1552"/>
      <c r="N87" s="1552"/>
      <c r="O87" s="25" t="str">
        <f>_xlfn.IFNA(VLOOKUP($C87,'Master sheet'!$A:$AR,44,FALSE),"")&amp;""</f>
        <v/>
      </c>
      <c r="P87" s="637"/>
      <c r="Q87" s="638" t="s">
        <v>65</v>
      </c>
      <c r="R87" s="638" t="s">
        <v>70</v>
      </c>
      <c r="S87" s="638" t="s">
        <v>7254</v>
      </c>
      <c r="T87" s="638"/>
      <c r="U87" s="638"/>
      <c r="V87" s="638"/>
      <c r="W87" s="638"/>
      <c r="X87" s="638"/>
      <c r="Y87" s="638"/>
      <c r="Z87" s="638"/>
    </row>
    <row r="88" spans="1:26" s="624" customFormat="1" ht="22.8" x14ac:dyDescent="0.25">
      <c r="A88" s="815"/>
      <c r="B88" s="748" t="s">
        <v>937</v>
      </c>
      <c r="C88" s="647" t="str">
        <f>INDEX('Master sheet'!$A$1:$A$670,MATCH("248-5",'Master sheet'!$AN$1:$AN$670,0))</f>
        <v xml:space="preserve">Wood - SPF / Canadian Wood Council / New Brunswick / </v>
      </c>
      <c r="D88" s="13">
        <f>'USER INPUT SHEET'!$D$32+'USER INPUT SHEET'!$D$47</f>
        <v>0</v>
      </c>
      <c r="E88" s="14" t="str">
        <f>'USER INPUT SHEET'!$F$34</f>
        <v>m2</v>
      </c>
      <c r="F88" s="2">
        <v>1</v>
      </c>
      <c r="G88" s="648"/>
      <c r="H88" s="7"/>
      <c r="I88" s="92">
        <f t="shared" si="29"/>
        <v>0</v>
      </c>
      <c r="J88" s="89" t="str">
        <f t="shared" si="30"/>
        <v/>
      </c>
      <c r="K88" s="404">
        <f>$D88*$F88*VLOOKUP($C88,'Master sheet'!$A:$AL,13,FALSE)*0.01905</f>
        <v>0</v>
      </c>
      <c r="L88" s="90">
        <f>$D88*$F88*VLOOKUP($C88,'Master sheet'!$A:$AL,27,FALSE)*0.01905</f>
        <v>0</v>
      </c>
      <c r="M88" s="1552"/>
      <c r="N88" s="1552"/>
      <c r="O88" s="25" t="str">
        <f>_xlfn.IFNA(VLOOKUP($C88,'Master sheet'!$A:$AR,44,FALSE),"")&amp;""</f>
        <v/>
      </c>
      <c r="P88" s="637"/>
      <c r="Q88" s="638" t="s">
        <v>65</v>
      </c>
      <c r="R88" s="638" t="s">
        <v>70</v>
      </c>
      <c r="S88" s="638" t="s">
        <v>7254</v>
      </c>
      <c r="T88" s="638"/>
      <c r="U88" s="638"/>
      <c r="V88" s="638"/>
      <c r="W88" s="638"/>
      <c r="X88" s="638"/>
      <c r="Y88" s="638"/>
      <c r="Z88" s="638"/>
    </row>
    <row r="89" spans="1:26" s="624" customFormat="1" ht="22.8" x14ac:dyDescent="0.25">
      <c r="A89" s="815"/>
      <c r="B89" s="748" t="s">
        <v>937</v>
      </c>
      <c r="C89" s="647" t="str">
        <f>INDEX('Master sheet'!$A$1:$A$670,MATCH("248-6",'Master sheet'!$AN$1:$AN$670,0))</f>
        <v xml:space="preserve">Wood - SPF / Canadian Wood Council / Atlantic Canada / </v>
      </c>
      <c r="D89" s="13">
        <f>'USER INPUT SHEET'!$D$32+'USER INPUT SHEET'!$D$47</f>
        <v>0</v>
      </c>
      <c r="E89" s="14" t="str">
        <f>'USER INPUT SHEET'!$F$34</f>
        <v>m2</v>
      </c>
      <c r="F89" s="2">
        <v>1</v>
      </c>
      <c r="G89" s="648"/>
      <c r="H89" s="7"/>
      <c r="I89" s="92">
        <f t="shared" si="29"/>
        <v>0</v>
      </c>
      <c r="J89" s="89" t="str">
        <f t="shared" si="30"/>
        <v/>
      </c>
      <c r="K89" s="404">
        <f>$D89*$F89*VLOOKUP($C89,'Master sheet'!$A:$AL,13,FALSE)*0.01905</f>
        <v>0</v>
      </c>
      <c r="L89" s="90">
        <f>$D89*$F89*VLOOKUP($C89,'Master sheet'!$A:$AL,27,FALSE)*0.01905</f>
        <v>0</v>
      </c>
      <c r="M89" s="1552"/>
      <c r="N89" s="1552"/>
      <c r="O89" s="25" t="str">
        <f>_xlfn.IFNA(VLOOKUP($C89,'Master sheet'!$A:$AR,44,FALSE),"")&amp;""</f>
        <v/>
      </c>
      <c r="P89" s="637"/>
      <c r="Q89" s="638" t="s">
        <v>65</v>
      </c>
      <c r="R89" s="638" t="s">
        <v>70</v>
      </c>
      <c r="S89" s="638" t="s">
        <v>7254</v>
      </c>
      <c r="T89" s="638"/>
      <c r="U89" s="638"/>
      <c r="V89" s="638"/>
      <c r="W89" s="638"/>
      <c r="X89" s="638"/>
      <c r="Y89" s="638"/>
      <c r="Z89" s="638"/>
    </row>
    <row r="90" spans="1:26" ht="31.5" customHeight="1" x14ac:dyDescent="0.25">
      <c r="A90" s="624"/>
      <c r="B90" s="624"/>
      <c r="C90" s="669" t="str">
        <f>INDEX('Master sheet'!$A$1:$A$670,MATCH(31,'Master sheet'!$AN$1:$AN$670,0))</f>
        <v>Cedar Siding / Western Red Cedar Lumber Assn /  / 1 x 6 Boards</v>
      </c>
      <c r="D90" s="15">
        <f>'USER INPUT SHEET'!$D$32+'USER INPUT SHEET'!$D$47</f>
        <v>0</v>
      </c>
      <c r="E90" s="16" t="str">
        <f>'USER INPUT SHEET'!$F$34</f>
        <v>m2</v>
      </c>
      <c r="F90" s="3">
        <v>1</v>
      </c>
      <c r="G90" s="670"/>
      <c r="H90" s="8"/>
      <c r="I90" s="92">
        <f>K90-L90-IF(N90,M90,0)</f>
        <v>0</v>
      </c>
      <c r="J90" s="93" t="str">
        <f t="shared" si="28"/>
        <v/>
      </c>
      <c r="K90" s="406">
        <f>$D90*$F90*VLOOKUP($C90,'Master sheet'!$A:$AL,13,FALSE)</f>
        <v>0</v>
      </c>
      <c r="L90" s="94">
        <f>$D90*$F90*VLOOKUP($C90,'Master sheet'!$A:$AL,27,FALSE)</f>
        <v>0</v>
      </c>
      <c r="M90" s="1552"/>
      <c r="N90" s="1552"/>
      <c r="O90" s="25" t="str">
        <f ca="1">_xlfn.IFNA(VLOOKUP($C90,'Master sheet'!$A:$AR,44,FALSE),"")&amp;""</f>
        <v>Expired 2021</v>
      </c>
      <c r="P90" s="637"/>
      <c r="Q90" s="638" t="s">
        <v>65</v>
      </c>
      <c r="R90" s="638" t="s">
        <v>70</v>
      </c>
      <c r="S90" s="664"/>
      <c r="T90" s="638" t="s">
        <v>7295</v>
      </c>
      <c r="U90" s="664"/>
      <c r="V90" s="664"/>
      <c r="W90" s="664"/>
      <c r="X90" s="664"/>
      <c r="Y90" s="664"/>
      <c r="Z90" s="664"/>
    </row>
    <row r="91" spans="1:26" ht="22.8" x14ac:dyDescent="0.25">
      <c r="A91" s="624"/>
      <c r="B91" s="624"/>
      <c r="C91" s="669" t="str">
        <f>INDEX('Master sheet'!$A$1:$A$670,MATCH("159-1",'Master sheet'!$AN$1:$AN$670,0))</f>
        <v>Plywood / Canadian Wood Council /  / 1/2"</v>
      </c>
      <c r="D91" s="15">
        <f>'USER INPUT SHEET'!$D$32+'USER INPUT SHEET'!$D$47</f>
        <v>0</v>
      </c>
      <c r="E91" s="16" t="str">
        <f>'USER INPUT SHEET'!$F$34</f>
        <v>m2</v>
      </c>
      <c r="F91" s="3">
        <v>1</v>
      </c>
      <c r="G91" s="670"/>
      <c r="H91" s="8"/>
      <c r="I91" s="92">
        <f>K91-L91-IF(N91,M91,0)</f>
        <v>0</v>
      </c>
      <c r="J91" s="93" t="str">
        <f t="shared" si="28"/>
        <v/>
      </c>
      <c r="K91" s="406">
        <f>$D91*$F91*VLOOKUP($C91,'Master sheet'!$A:$AL,13,FALSE)</f>
        <v>0</v>
      </c>
      <c r="L91" s="94">
        <f>$D91*$F91*VLOOKUP($C91,'Master sheet'!$A:$AL,27,FALSE)</f>
        <v>0</v>
      </c>
      <c r="M91" s="1552"/>
      <c r="N91" s="1552"/>
      <c r="O91" s="25" t="str">
        <f>_xlfn.IFNA(VLOOKUP($C91,'Master sheet'!$A:$AR,44,FALSE),"")&amp;""</f>
        <v/>
      </c>
      <c r="P91" s="637"/>
      <c r="Q91" s="638" t="s">
        <v>65</v>
      </c>
      <c r="R91" s="638" t="s">
        <v>70</v>
      </c>
      <c r="S91" s="664"/>
      <c r="T91" s="664"/>
      <c r="U91" s="664"/>
      <c r="V91" s="664"/>
      <c r="W91" s="664"/>
      <c r="X91" s="664"/>
      <c r="Y91" s="664"/>
      <c r="Z91" s="664"/>
    </row>
    <row r="92" spans="1:26" ht="23.25" customHeight="1" x14ac:dyDescent="0.25">
      <c r="A92" s="624"/>
      <c r="B92" s="624"/>
      <c r="C92" s="669" t="str">
        <f>INDEX('Master sheet'!$A$1:$A$670,MATCH(42,'Master sheet'!$AN$1:$AN$670,0))</f>
        <v>Clay plaster / Site mixed /  / 15 mm</v>
      </c>
      <c r="D92" s="15">
        <f>'USER INPUT SHEET'!$D$32+'USER INPUT SHEET'!$D$47</f>
        <v>0</v>
      </c>
      <c r="E92" s="16" t="str">
        <f>'USER INPUT SHEET'!$F$34</f>
        <v>m2</v>
      </c>
      <c r="F92" s="3">
        <v>1</v>
      </c>
      <c r="G92" s="670"/>
      <c r="H92" s="8"/>
      <c r="I92" s="92">
        <f t="shared" ref="I92" si="31">K92-L92</f>
        <v>0</v>
      </c>
      <c r="J92" s="93" t="str">
        <f t="shared" si="28"/>
        <v/>
      </c>
      <c r="K92" s="406">
        <f>$D92*$F92*VLOOKUP($C92,'Master sheet'!$A:$AL,13,FALSE)</f>
        <v>0</v>
      </c>
      <c r="L92" s="94">
        <f>$D92*$F92*VLOOKUP($C92,'Master sheet'!$A:$AL,27,FALSE)</f>
        <v>0</v>
      </c>
      <c r="M92" s="1552"/>
      <c r="N92" s="1552"/>
      <c r="O92" s="25" t="str">
        <f>_xlfn.IFNA(VLOOKUP($C92,'Master sheet'!$A:$AR,44,FALSE),"")&amp;""</f>
        <v>Peer-reviewed LCA, 2014</v>
      </c>
      <c r="P92" s="637"/>
      <c r="Q92" s="638" t="s">
        <v>65</v>
      </c>
      <c r="R92" s="638" t="s">
        <v>70</v>
      </c>
      <c r="S92" s="664"/>
      <c r="T92" s="664"/>
      <c r="U92" s="664"/>
      <c r="V92" s="664"/>
      <c r="W92" s="664"/>
      <c r="X92" s="664"/>
      <c r="Y92" s="664"/>
      <c r="Z92" s="664"/>
    </row>
    <row r="93" spans="1:26" ht="23.25" customHeight="1" x14ac:dyDescent="0.25">
      <c r="A93" s="624"/>
      <c r="B93" s="624"/>
      <c r="C93" s="749" t="str">
        <f>INDEX('Master sheet'!$A$1:$A$670,MATCH("A9",'Master sheet'!$AN$1:$AN$670,0))</f>
        <v>Bamboo plywood / Smith &amp; Fong / Plyboo / 1/2" (12.7 mm)</v>
      </c>
      <c r="D93" s="250">
        <f>'USER INPUT SHEET'!$D$32+'USER INPUT SHEET'!$D$47</f>
        <v>0</v>
      </c>
      <c r="E93" s="251" t="str">
        <f>'USER INPUT SHEET'!$F$34</f>
        <v>m2</v>
      </c>
      <c r="F93" s="252">
        <v>1</v>
      </c>
      <c r="G93" s="750"/>
      <c r="H93" s="253"/>
      <c r="I93" s="254">
        <f t="shared" ref="I93:I94" si="32">K93-L93</f>
        <v>0</v>
      </c>
      <c r="J93" s="255" t="str">
        <f t="shared" ref="J93:J94" si="33">IF(H93=1,I93,"")</f>
        <v/>
      </c>
      <c r="K93" s="417">
        <f>$D93*$F93*VLOOKUP($C93,'Master sheet'!$A:$AL,13,FALSE)</f>
        <v>0</v>
      </c>
      <c r="L93" s="256">
        <f>$D93*$F93*VLOOKUP($C93,'Master sheet'!$A:$AL,27,FALSE)</f>
        <v>0</v>
      </c>
      <c r="M93" s="1552"/>
      <c r="N93" s="1552"/>
      <c r="O93" s="25" t="str">
        <f>_xlfn.IFNA(VLOOKUP($C93,'Master sheet'!$A:$AR,44,FALSE),"")&amp;""</f>
        <v/>
      </c>
      <c r="P93" s="637"/>
      <c r="Q93" s="638" t="s">
        <v>65</v>
      </c>
      <c r="R93" s="638" t="s">
        <v>70</v>
      </c>
      <c r="S93" s="664"/>
      <c r="T93" s="664"/>
      <c r="U93" s="664"/>
      <c r="V93" s="664"/>
      <c r="W93" s="664"/>
      <c r="X93" s="664"/>
      <c r="Y93" s="664"/>
      <c r="Z93" s="664"/>
    </row>
    <row r="94" spans="1:26" ht="23.25" customHeight="1" x14ac:dyDescent="0.25">
      <c r="A94" s="624"/>
      <c r="B94" s="624"/>
      <c r="C94" s="749" t="str">
        <f>INDEX('Master sheet'!$A$1:$A$670,MATCH("A10",'Master sheet'!$AN$1:$AN$670,0))</f>
        <v>Bamboo plywood / Smith &amp; Fong / Plyboo / 3/4" (19 mm)</v>
      </c>
      <c r="D94" s="250">
        <f>'USER INPUT SHEET'!$D$32+'USER INPUT SHEET'!$D$47</f>
        <v>0</v>
      </c>
      <c r="E94" s="251" t="str">
        <f>'USER INPUT SHEET'!$F$34</f>
        <v>m2</v>
      </c>
      <c r="F94" s="252">
        <v>1</v>
      </c>
      <c r="G94" s="750"/>
      <c r="H94" s="253"/>
      <c r="I94" s="254">
        <f t="shared" si="32"/>
        <v>0</v>
      </c>
      <c r="J94" s="255" t="str">
        <f t="shared" si="33"/>
        <v/>
      </c>
      <c r="K94" s="417">
        <f>$D94*$F94*VLOOKUP($C94,'Master sheet'!$A:$AL,13,FALSE)</f>
        <v>0</v>
      </c>
      <c r="L94" s="256">
        <f>$D94*$F94*VLOOKUP($C94,'Master sheet'!$A:$AL,27,FALSE)</f>
        <v>0</v>
      </c>
      <c r="M94" s="1552"/>
      <c r="N94" s="1552"/>
      <c r="O94" s="25" t="str">
        <f>_xlfn.IFNA(VLOOKUP($C94,'Master sheet'!$A:$AR,44,FALSE),"")&amp;""</f>
        <v/>
      </c>
      <c r="P94" s="637"/>
      <c r="Q94" s="638" t="s">
        <v>65</v>
      </c>
      <c r="R94" s="638" t="s">
        <v>70</v>
      </c>
      <c r="S94" s="664"/>
      <c r="T94" s="664"/>
      <c r="U94" s="664"/>
      <c r="V94" s="664"/>
      <c r="W94" s="664"/>
      <c r="X94" s="664"/>
      <c r="Y94" s="664"/>
      <c r="Z94" s="664"/>
    </row>
    <row r="95" spans="1:26" s="624" customFormat="1" ht="31.5" customHeight="1" x14ac:dyDescent="0.25">
      <c r="A95" s="816"/>
      <c r="B95" s="816"/>
      <c r="C95" s="749" t="str">
        <f>INDEX('Master sheet'!$A$1:$A$670,MATCH("A85",'Master sheet'!$AN$1:$AN$670,0))</f>
        <v>Plywood / British Columbia Average / Includes : West Fraser Mills, Thompson River Veneer Products / 1/2"</v>
      </c>
      <c r="D95" s="250">
        <f>'USER INPUT SHEET'!$D$32+'USER INPUT SHEET'!$D$47</f>
        <v>0</v>
      </c>
      <c r="E95" s="251" t="str">
        <f>'USER INPUT SHEET'!$F$34</f>
        <v>m2</v>
      </c>
      <c r="F95" s="252">
        <v>1</v>
      </c>
      <c r="G95" s="750"/>
      <c r="H95" s="253"/>
      <c r="I95" s="92">
        <f>K95-L95-IF(N95,M95,0)</f>
        <v>0</v>
      </c>
      <c r="J95" s="255" t="str">
        <f t="shared" si="28"/>
        <v/>
      </c>
      <c r="K95" s="417">
        <f>$D95*$F95*VLOOKUP($C95,'Master sheet'!$A:$AL,13,FALSE)</f>
        <v>0</v>
      </c>
      <c r="L95" s="94">
        <f>$D95*$F95*VLOOKUP($C95,'Master sheet'!$A:$AL,27,FALSE)</f>
        <v>0</v>
      </c>
      <c r="M95" s="1552"/>
      <c r="N95" s="1552"/>
      <c r="O95" s="25" t="str">
        <f>_xlfn.IFNA(VLOOKUP($C95,'Master sheet'!$A:$AR,44,FALSE),"")&amp;""</f>
        <v/>
      </c>
      <c r="P95" s="685"/>
      <c r="Q95" s="638" t="s">
        <v>65</v>
      </c>
      <c r="R95" s="638" t="s">
        <v>70</v>
      </c>
      <c r="S95" s="638"/>
      <c r="T95" s="638"/>
      <c r="U95" s="638"/>
      <c r="V95" s="638"/>
      <c r="W95" s="638"/>
      <c r="X95" s="638"/>
      <c r="Y95" s="638"/>
      <c r="Z95" s="638"/>
    </row>
    <row r="96" spans="1:26" ht="15.75" customHeight="1" x14ac:dyDescent="0.3">
      <c r="A96" s="700"/>
      <c r="B96" s="700"/>
      <c r="C96" s="700"/>
      <c r="D96" s="701"/>
      <c r="E96" s="700"/>
      <c r="F96" s="328"/>
      <c r="G96" s="700"/>
      <c r="H96" s="700"/>
      <c r="I96" s="703"/>
      <c r="J96" s="704"/>
      <c r="K96" s="704"/>
      <c r="L96" s="704"/>
      <c r="M96" s="704"/>
      <c r="N96" s="704"/>
      <c r="O96" s="700"/>
      <c r="P96" s="685"/>
    </row>
    <row r="97" spans="1:16" ht="15.75" customHeight="1" x14ac:dyDescent="0.3">
      <c r="A97" s="700"/>
      <c r="B97" s="706" t="s">
        <v>4901</v>
      </c>
      <c r="C97" s="700"/>
      <c r="D97" s="701"/>
      <c r="E97" s="700"/>
      <c r="F97" s="328"/>
      <c r="G97" s="700"/>
      <c r="H97" s="700"/>
      <c r="I97" s="703"/>
      <c r="J97" s="704"/>
      <c r="K97" s="704"/>
      <c r="L97" s="704"/>
      <c r="M97" s="704"/>
      <c r="N97" s="704"/>
      <c r="O97" s="700"/>
      <c r="P97" s="685"/>
    </row>
    <row r="98" spans="1:16" ht="15.75" customHeight="1" x14ac:dyDescent="0.3">
      <c r="A98" s="700"/>
      <c r="B98" s="706" t="s">
        <v>4900</v>
      </c>
      <c r="C98" s="700"/>
      <c r="D98" s="701"/>
      <c r="E98" s="700"/>
      <c r="F98" s="328"/>
      <c r="G98" s="700"/>
      <c r="H98" s="700"/>
      <c r="I98" s="703"/>
      <c r="J98" s="704"/>
      <c r="K98" s="704"/>
      <c r="L98" s="704"/>
      <c r="M98" s="704"/>
      <c r="N98" s="704"/>
      <c r="O98" s="700"/>
      <c r="P98" s="685"/>
    </row>
    <row r="99" spans="1:16" ht="15.75" customHeight="1" x14ac:dyDescent="0.3">
      <c r="A99" s="700"/>
      <c r="B99" s="700"/>
      <c r="C99" s="700"/>
      <c r="D99" s="701"/>
      <c r="E99" s="700"/>
      <c r="F99" s="328"/>
      <c r="G99" s="700"/>
      <c r="H99" s="700"/>
      <c r="I99" s="703"/>
      <c r="J99" s="704"/>
      <c r="K99" s="704"/>
      <c r="L99" s="704"/>
      <c r="M99" s="704"/>
      <c r="N99" s="704"/>
      <c r="O99" s="700"/>
      <c r="P99" s="637"/>
    </row>
    <row r="100" spans="1:16" ht="15.75" customHeight="1" x14ac:dyDescent="0.3">
      <c r="A100" s="700"/>
      <c r="B100" s="700"/>
      <c r="C100" s="700"/>
      <c r="D100" s="701"/>
      <c r="E100" s="700"/>
      <c r="F100" s="328"/>
      <c r="G100" s="700"/>
      <c r="H100" s="700"/>
      <c r="I100" s="703"/>
      <c r="J100" s="704"/>
      <c r="K100" s="704"/>
      <c r="L100" s="704"/>
      <c r="M100" s="704"/>
      <c r="N100" s="704"/>
      <c r="O100" s="700"/>
      <c r="P100" s="637"/>
    </row>
    <row r="101" spans="1:16" ht="15.75" customHeight="1" x14ac:dyDescent="0.3">
      <c r="A101" s="700"/>
      <c r="B101" s="700"/>
      <c r="C101" s="700"/>
      <c r="D101" s="701"/>
      <c r="E101" s="700"/>
      <c r="F101" s="328"/>
      <c r="G101" s="700"/>
      <c r="H101" s="700"/>
      <c r="I101" s="703"/>
      <c r="J101" s="704"/>
      <c r="K101" s="704"/>
      <c r="L101" s="704"/>
      <c r="M101" s="704"/>
      <c r="N101" s="704"/>
      <c r="O101" s="700"/>
      <c r="P101" s="685"/>
    </row>
    <row r="102" spans="1:16" ht="15.75" customHeight="1" x14ac:dyDescent="0.3">
      <c r="A102" s="700"/>
      <c r="B102" s="700"/>
      <c r="C102" s="700"/>
      <c r="D102" s="701"/>
      <c r="E102" s="700"/>
      <c r="F102" s="328"/>
      <c r="G102" s="700"/>
      <c r="H102" s="700"/>
      <c r="I102" s="703"/>
      <c r="J102" s="704"/>
      <c r="K102" s="704"/>
      <c r="L102" s="704"/>
      <c r="M102" s="704"/>
      <c r="N102" s="704"/>
      <c r="O102" s="700"/>
      <c r="P102" s="685"/>
    </row>
    <row r="103" spans="1:16" ht="15.75" customHeight="1" x14ac:dyDescent="0.3">
      <c r="A103" s="700"/>
      <c r="B103" s="700"/>
      <c r="C103" s="700"/>
      <c r="D103" s="701"/>
      <c r="E103" s="700"/>
      <c r="F103" s="328"/>
      <c r="G103" s="700"/>
      <c r="H103" s="700"/>
      <c r="I103" s="703"/>
      <c r="J103" s="704"/>
      <c r="K103" s="704"/>
      <c r="L103" s="704"/>
      <c r="M103" s="704"/>
      <c r="N103" s="704"/>
      <c r="O103" s="700"/>
      <c r="P103" s="685"/>
    </row>
    <row r="104" spans="1:16" ht="15.75" customHeight="1" x14ac:dyDescent="0.3">
      <c r="A104" s="700"/>
      <c r="B104" s="700"/>
      <c r="C104" s="700"/>
      <c r="D104" s="701"/>
      <c r="E104" s="700"/>
      <c r="F104" s="328"/>
      <c r="G104" s="700"/>
      <c r="H104" s="700"/>
      <c r="I104" s="703"/>
      <c r="J104" s="704"/>
      <c r="K104" s="704"/>
      <c r="L104" s="704"/>
      <c r="M104" s="704"/>
      <c r="N104" s="704"/>
      <c r="O104" s="700"/>
      <c r="P104" s="637"/>
    </row>
    <row r="105" spans="1:16" ht="15.75" customHeight="1" x14ac:dyDescent="0.3">
      <c r="A105" s="700"/>
      <c r="B105" s="700"/>
      <c r="C105" s="700"/>
      <c r="D105" s="701"/>
      <c r="E105" s="700"/>
      <c r="F105" s="328"/>
      <c r="G105" s="700"/>
      <c r="H105" s="700"/>
      <c r="I105" s="703"/>
      <c r="J105" s="704"/>
      <c r="K105" s="704"/>
      <c r="L105" s="704"/>
      <c r="M105" s="704"/>
      <c r="N105" s="704"/>
      <c r="O105" s="700"/>
      <c r="P105" s="637"/>
    </row>
    <row r="106" spans="1:16" ht="15.75" customHeight="1" x14ac:dyDescent="0.3">
      <c r="A106" s="700"/>
      <c r="B106" s="700"/>
      <c r="C106" s="700"/>
      <c r="D106" s="701"/>
      <c r="E106" s="700"/>
      <c r="F106" s="328"/>
      <c r="G106" s="700"/>
      <c r="H106" s="700"/>
      <c r="I106" s="703"/>
      <c r="J106" s="704"/>
      <c r="K106" s="704"/>
      <c r="L106" s="704"/>
      <c r="M106" s="704"/>
      <c r="N106" s="704"/>
      <c r="O106" s="700"/>
      <c r="P106" s="685"/>
    </row>
    <row r="107" spans="1:16" ht="15.75" customHeight="1" x14ac:dyDescent="0.3">
      <c r="A107" s="700"/>
      <c r="B107" s="700"/>
      <c r="C107" s="700"/>
      <c r="D107" s="701"/>
      <c r="E107" s="700"/>
      <c r="F107" s="328"/>
      <c r="G107" s="700"/>
      <c r="H107" s="700"/>
      <c r="I107" s="703"/>
      <c r="J107" s="704"/>
      <c r="K107" s="704"/>
      <c r="L107" s="704"/>
      <c r="M107" s="704"/>
      <c r="N107" s="704"/>
      <c r="O107" s="700"/>
      <c r="P107" s="685"/>
    </row>
    <row r="108" spans="1:16" ht="15.75" customHeight="1" x14ac:dyDescent="0.3">
      <c r="A108" s="700"/>
      <c r="B108" s="700"/>
      <c r="C108" s="700"/>
      <c r="D108" s="701"/>
      <c r="E108" s="700"/>
      <c r="F108" s="328"/>
      <c r="G108" s="700"/>
      <c r="H108" s="700"/>
      <c r="I108" s="703"/>
      <c r="J108" s="704"/>
      <c r="K108" s="704"/>
      <c r="L108" s="704"/>
      <c r="M108" s="704"/>
      <c r="N108" s="704"/>
      <c r="O108" s="700"/>
      <c r="P108" s="637"/>
    </row>
    <row r="109" spans="1:16" ht="15.75" customHeight="1" x14ac:dyDescent="0.3">
      <c r="A109" s="700"/>
      <c r="B109" s="700"/>
      <c r="C109" s="700"/>
      <c r="D109" s="701"/>
      <c r="E109" s="700"/>
      <c r="F109" s="328"/>
      <c r="G109" s="700"/>
      <c r="H109" s="700"/>
      <c r="I109" s="703"/>
      <c r="J109" s="704"/>
      <c r="K109" s="704"/>
      <c r="L109" s="704"/>
      <c r="M109" s="704"/>
      <c r="N109" s="704"/>
      <c r="O109" s="700"/>
      <c r="P109" s="637"/>
    </row>
    <row r="110" spans="1:16" ht="15.75" customHeight="1" x14ac:dyDescent="0.3">
      <c r="A110" s="700"/>
      <c r="B110" s="700"/>
      <c r="C110" s="700"/>
      <c r="D110" s="701"/>
      <c r="E110" s="700"/>
      <c r="F110" s="328"/>
      <c r="G110" s="700"/>
      <c r="H110" s="700"/>
      <c r="I110" s="703"/>
      <c r="J110" s="704"/>
      <c r="K110" s="704"/>
      <c r="L110" s="704"/>
      <c r="M110" s="704"/>
      <c r="N110" s="704"/>
      <c r="O110" s="700"/>
      <c r="P110" s="637"/>
    </row>
    <row r="111" spans="1:16" ht="15.75" customHeight="1" x14ac:dyDescent="0.3">
      <c r="A111" s="700"/>
      <c r="B111" s="700"/>
      <c r="C111" s="700"/>
      <c r="D111" s="701"/>
      <c r="E111" s="700"/>
      <c r="F111" s="328"/>
      <c r="G111" s="700"/>
      <c r="H111" s="700"/>
      <c r="I111" s="703"/>
      <c r="J111" s="704"/>
      <c r="K111" s="704"/>
      <c r="L111" s="704"/>
      <c r="M111" s="704"/>
      <c r="N111" s="704"/>
      <c r="O111" s="700"/>
      <c r="P111" s="637"/>
    </row>
    <row r="112" spans="1:16" ht="15.75" customHeight="1" x14ac:dyDescent="0.3">
      <c r="A112" s="700"/>
      <c r="B112" s="700"/>
      <c r="C112" s="700"/>
      <c r="D112" s="701"/>
      <c r="E112" s="700"/>
      <c r="F112" s="328"/>
      <c r="G112" s="700"/>
      <c r="H112" s="700"/>
      <c r="I112" s="703"/>
      <c r="J112" s="704"/>
      <c r="K112" s="704"/>
      <c r="L112" s="704"/>
      <c r="M112" s="704"/>
      <c r="N112" s="704"/>
      <c r="O112" s="700"/>
      <c r="P112" s="685"/>
    </row>
    <row r="113" spans="1:16" ht="15.75" customHeight="1" x14ac:dyDescent="0.3">
      <c r="A113" s="700"/>
      <c r="B113" s="700"/>
      <c r="C113" s="700"/>
      <c r="D113" s="701"/>
      <c r="E113" s="700"/>
      <c r="F113" s="328"/>
      <c r="G113" s="700"/>
      <c r="H113" s="700"/>
      <c r="I113" s="703"/>
      <c r="J113" s="704"/>
      <c r="K113" s="704"/>
      <c r="L113" s="704"/>
      <c r="M113" s="704"/>
      <c r="N113" s="704"/>
      <c r="O113" s="700"/>
      <c r="P113" s="685"/>
    </row>
    <row r="114" spans="1:16" ht="15.75" customHeight="1" x14ac:dyDescent="0.3">
      <c r="A114" s="700"/>
      <c r="B114" s="700"/>
      <c r="C114" s="700"/>
      <c r="D114" s="701"/>
      <c r="E114" s="700"/>
      <c r="F114" s="328"/>
      <c r="G114" s="700"/>
      <c r="H114" s="700"/>
      <c r="I114" s="703"/>
      <c r="J114" s="704"/>
      <c r="K114" s="704"/>
      <c r="L114" s="704"/>
      <c r="M114" s="704"/>
      <c r="N114" s="704"/>
      <c r="O114" s="700"/>
    </row>
    <row r="115" spans="1:16" ht="15.75" customHeight="1" x14ac:dyDescent="0.3">
      <c r="A115" s="700"/>
      <c r="B115" s="700"/>
      <c r="C115" s="700"/>
      <c r="D115" s="701"/>
      <c r="E115" s="700"/>
      <c r="F115" s="328"/>
      <c r="G115" s="700"/>
      <c r="H115" s="700"/>
      <c r="I115" s="703"/>
      <c r="J115" s="704"/>
      <c r="K115" s="704"/>
      <c r="L115" s="704"/>
      <c r="M115" s="704"/>
      <c r="N115" s="704"/>
      <c r="O115" s="700"/>
      <c r="P115" s="685"/>
    </row>
    <row r="116" spans="1:16" ht="15.75" customHeight="1" x14ac:dyDescent="0.3">
      <c r="A116" s="700"/>
      <c r="B116" s="700"/>
      <c r="C116" s="700"/>
      <c r="D116" s="701"/>
      <c r="E116" s="700"/>
      <c r="F116" s="328"/>
      <c r="G116" s="700"/>
      <c r="H116" s="700"/>
      <c r="I116" s="703"/>
      <c r="J116" s="704"/>
      <c r="K116" s="704"/>
      <c r="L116" s="704"/>
      <c r="M116" s="704"/>
      <c r="N116" s="704"/>
      <c r="O116" s="700"/>
      <c r="P116" s="637"/>
    </row>
    <row r="117" spans="1:16" ht="15.75" customHeight="1" x14ac:dyDescent="0.3">
      <c r="A117" s="700"/>
      <c r="B117" s="700"/>
      <c r="C117" s="700"/>
      <c r="D117" s="701"/>
      <c r="E117" s="700"/>
      <c r="F117" s="328"/>
      <c r="G117" s="700"/>
      <c r="H117" s="700"/>
      <c r="I117" s="703"/>
      <c r="J117" s="704"/>
      <c r="K117" s="704"/>
      <c r="L117" s="704"/>
      <c r="M117" s="704"/>
      <c r="N117" s="704"/>
      <c r="O117" s="700"/>
      <c r="P117" s="637"/>
    </row>
    <row r="118" spans="1:16" ht="15.75" customHeight="1" x14ac:dyDescent="0.3">
      <c r="A118" s="700"/>
      <c r="B118" s="700"/>
      <c r="C118" s="700"/>
      <c r="D118" s="701"/>
      <c r="E118" s="700"/>
      <c r="F118" s="328"/>
      <c r="G118" s="700"/>
      <c r="H118" s="700"/>
      <c r="I118" s="703"/>
      <c r="J118" s="704"/>
      <c r="K118" s="704"/>
      <c r="L118" s="704"/>
      <c r="M118" s="704"/>
      <c r="N118" s="704"/>
      <c r="O118" s="700"/>
      <c r="P118" s="685"/>
    </row>
    <row r="119" spans="1:16" ht="15.75" customHeight="1" x14ac:dyDescent="0.3">
      <c r="A119" s="700"/>
      <c r="B119" s="700"/>
      <c r="C119" s="700"/>
      <c r="D119" s="701"/>
      <c r="E119" s="700"/>
      <c r="F119" s="328"/>
      <c r="G119" s="700"/>
      <c r="H119" s="700"/>
      <c r="I119" s="703"/>
      <c r="J119" s="704"/>
      <c r="K119" s="704"/>
      <c r="L119" s="704"/>
      <c r="M119" s="704"/>
      <c r="N119" s="704"/>
      <c r="O119" s="700"/>
      <c r="P119" s="685"/>
    </row>
    <row r="120" spans="1:16" ht="15.75" customHeight="1" x14ac:dyDescent="0.3">
      <c r="A120" s="700"/>
      <c r="B120" s="700"/>
      <c r="C120" s="700"/>
      <c r="D120" s="701"/>
      <c r="E120" s="700"/>
      <c r="F120" s="328"/>
      <c r="G120" s="700"/>
      <c r="H120" s="700"/>
      <c r="I120" s="703"/>
      <c r="J120" s="704"/>
      <c r="K120" s="704"/>
      <c r="L120" s="704"/>
      <c r="M120" s="704"/>
      <c r="N120" s="704"/>
      <c r="O120" s="700"/>
      <c r="P120" s="685"/>
    </row>
    <row r="121" spans="1:16" ht="15.75" customHeight="1" x14ac:dyDescent="0.3">
      <c r="A121" s="700"/>
      <c r="B121" s="700"/>
      <c r="C121" s="700"/>
      <c r="D121" s="701"/>
      <c r="E121" s="700"/>
      <c r="F121" s="328"/>
      <c r="G121" s="700"/>
      <c r="H121" s="700"/>
      <c r="I121" s="703"/>
      <c r="J121" s="704"/>
      <c r="K121" s="704"/>
      <c r="L121" s="704"/>
      <c r="M121" s="704"/>
      <c r="N121" s="704"/>
      <c r="O121" s="700"/>
      <c r="P121" s="637"/>
    </row>
    <row r="122" spans="1:16" ht="15.75" customHeight="1" x14ac:dyDescent="0.3">
      <c r="A122" s="700"/>
      <c r="B122" s="700"/>
      <c r="C122" s="700"/>
      <c r="D122" s="701"/>
      <c r="E122" s="700"/>
      <c r="F122" s="328"/>
      <c r="G122" s="700"/>
      <c r="H122" s="700"/>
      <c r="I122" s="703"/>
      <c r="J122" s="704"/>
      <c r="K122" s="704"/>
      <c r="L122" s="704"/>
      <c r="M122" s="704"/>
      <c r="N122" s="704"/>
      <c r="O122" s="700"/>
      <c r="P122" s="637"/>
    </row>
    <row r="123" spans="1:16" ht="15.75" customHeight="1" x14ac:dyDescent="0.3">
      <c r="A123" s="700"/>
      <c r="B123" s="700"/>
      <c r="C123" s="700"/>
      <c r="D123" s="701"/>
      <c r="E123" s="700"/>
      <c r="F123" s="328"/>
      <c r="G123" s="700"/>
      <c r="H123" s="700"/>
      <c r="I123" s="703"/>
      <c r="J123" s="704"/>
      <c r="K123" s="704"/>
      <c r="L123" s="704"/>
      <c r="M123" s="704"/>
      <c r="N123" s="704"/>
      <c r="O123" s="700"/>
      <c r="P123" s="637"/>
    </row>
    <row r="124" spans="1:16" ht="15.75" customHeight="1" x14ac:dyDescent="0.3">
      <c r="A124" s="700"/>
      <c r="B124" s="700"/>
      <c r="C124" s="700"/>
      <c r="D124" s="701"/>
      <c r="E124" s="700"/>
      <c r="F124" s="328"/>
      <c r="G124" s="700"/>
      <c r="H124" s="700"/>
      <c r="I124" s="703"/>
      <c r="J124" s="704"/>
      <c r="K124" s="704"/>
      <c r="L124" s="704"/>
      <c r="M124" s="704"/>
      <c r="N124" s="704"/>
      <c r="O124" s="700"/>
      <c r="P124" s="685"/>
    </row>
    <row r="125" spans="1:16" ht="15.75" customHeight="1" x14ac:dyDescent="0.3">
      <c r="A125" s="700"/>
      <c r="B125" s="700"/>
      <c r="C125" s="700"/>
      <c r="D125" s="701"/>
      <c r="E125" s="700"/>
      <c r="F125" s="328"/>
      <c r="G125" s="700"/>
      <c r="H125" s="700"/>
      <c r="I125" s="703"/>
      <c r="J125" s="704"/>
      <c r="K125" s="704"/>
      <c r="L125" s="704"/>
      <c r="M125" s="704"/>
      <c r="N125" s="704"/>
      <c r="O125" s="700"/>
      <c r="P125" s="685"/>
    </row>
    <row r="126" spans="1:16" ht="15.75" customHeight="1" x14ac:dyDescent="0.3">
      <c r="A126" s="700"/>
      <c r="B126" s="700"/>
      <c r="C126" s="700"/>
      <c r="D126" s="701"/>
      <c r="E126" s="700"/>
      <c r="F126" s="328"/>
      <c r="G126" s="700"/>
      <c r="H126" s="700"/>
      <c r="I126" s="703"/>
      <c r="J126" s="704"/>
      <c r="K126" s="704"/>
      <c r="L126" s="704"/>
      <c r="M126" s="704"/>
      <c r="N126" s="704"/>
      <c r="O126" s="700"/>
      <c r="P126" s="685"/>
    </row>
    <row r="127" spans="1:16" ht="15.75" customHeight="1" x14ac:dyDescent="0.3">
      <c r="A127" s="700"/>
      <c r="B127" s="700"/>
      <c r="C127" s="700"/>
      <c r="D127" s="701"/>
      <c r="E127" s="700"/>
      <c r="F127" s="328"/>
      <c r="G127" s="700"/>
      <c r="H127" s="700"/>
      <c r="I127" s="703"/>
      <c r="J127" s="704"/>
      <c r="K127" s="704"/>
      <c r="L127" s="704"/>
      <c r="M127" s="704"/>
      <c r="N127" s="704"/>
      <c r="O127" s="700"/>
      <c r="P127" s="637"/>
    </row>
    <row r="128" spans="1:16" ht="15.75" customHeight="1" x14ac:dyDescent="0.3">
      <c r="A128" s="700"/>
      <c r="B128" s="700"/>
      <c r="C128" s="700"/>
      <c r="D128" s="701"/>
      <c r="E128" s="700"/>
      <c r="F128" s="328"/>
      <c r="G128" s="700"/>
      <c r="H128" s="700"/>
      <c r="I128" s="703"/>
      <c r="J128" s="704"/>
      <c r="K128" s="704"/>
      <c r="L128" s="704"/>
      <c r="M128" s="704"/>
      <c r="N128" s="704"/>
      <c r="O128" s="700"/>
      <c r="P128" s="637"/>
    </row>
    <row r="129" spans="1:16" ht="15.75" customHeight="1" x14ac:dyDescent="0.3">
      <c r="A129" s="700"/>
      <c r="B129" s="700"/>
      <c r="C129" s="700"/>
      <c r="D129" s="701"/>
      <c r="E129" s="700"/>
      <c r="F129" s="328"/>
      <c r="G129" s="700"/>
      <c r="H129" s="700"/>
      <c r="I129" s="703"/>
      <c r="J129" s="704"/>
      <c r="K129" s="704"/>
      <c r="L129" s="704"/>
      <c r="M129" s="704"/>
      <c r="N129" s="704"/>
      <c r="O129" s="700"/>
      <c r="P129" s="685"/>
    </row>
    <row r="130" spans="1:16" ht="15.75" customHeight="1" x14ac:dyDescent="0.3">
      <c r="A130" s="700"/>
      <c r="B130" s="700"/>
      <c r="C130" s="700"/>
      <c r="D130" s="701"/>
      <c r="E130" s="700"/>
      <c r="F130" s="328"/>
      <c r="G130" s="700"/>
      <c r="H130" s="700"/>
      <c r="I130" s="703"/>
      <c r="J130" s="704"/>
      <c r="K130" s="704"/>
      <c r="L130" s="704"/>
      <c r="M130" s="704"/>
      <c r="N130" s="704"/>
      <c r="O130" s="700"/>
      <c r="P130" s="685"/>
    </row>
    <row r="131" spans="1:16" ht="15.75" customHeight="1" x14ac:dyDescent="0.3">
      <c r="A131" s="700"/>
      <c r="B131" s="700"/>
      <c r="C131" s="700"/>
      <c r="D131" s="701"/>
      <c r="E131" s="700"/>
      <c r="F131" s="328"/>
      <c r="G131" s="700"/>
      <c r="H131" s="700"/>
      <c r="I131" s="703"/>
      <c r="J131" s="704"/>
      <c r="K131" s="704"/>
      <c r="L131" s="704"/>
      <c r="M131" s="704"/>
      <c r="N131" s="704"/>
      <c r="O131" s="700"/>
      <c r="P131" s="637"/>
    </row>
    <row r="132" spans="1:16" ht="15.75" customHeight="1" x14ac:dyDescent="0.3">
      <c r="A132" s="700"/>
      <c r="B132" s="700"/>
      <c r="C132" s="700"/>
      <c r="D132" s="701"/>
      <c r="E132" s="700"/>
      <c r="F132" s="328"/>
      <c r="G132" s="700"/>
      <c r="H132" s="700"/>
      <c r="I132" s="703"/>
      <c r="J132" s="704"/>
      <c r="K132" s="704"/>
      <c r="L132" s="704"/>
      <c r="M132" s="704"/>
      <c r="N132" s="704"/>
      <c r="O132" s="700"/>
      <c r="P132" s="637"/>
    </row>
    <row r="133" spans="1:16" ht="15.75" customHeight="1" x14ac:dyDescent="0.3">
      <c r="A133" s="700"/>
      <c r="B133" s="700"/>
      <c r="C133" s="700"/>
      <c r="D133" s="701"/>
      <c r="E133" s="700"/>
      <c r="F133" s="328"/>
      <c r="G133" s="700"/>
      <c r="H133" s="700"/>
      <c r="I133" s="703"/>
      <c r="J133" s="704"/>
      <c r="K133" s="704"/>
      <c r="L133" s="704"/>
      <c r="M133" s="704"/>
      <c r="N133" s="704"/>
      <c r="O133" s="700"/>
      <c r="P133" s="637"/>
    </row>
    <row r="134" spans="1:16" ht="15.75" customHeight="1" x14ac:dyDescent="0.3">
      <c r="A134" s="700"/>
      <c r="B134" s="700"/>
      <c r="C134" s="700"/>
      <c r="D134" s="701"/>
      <c r="E134" s="700"/>
      <c r="F134" s="328"/>
      <c r="G134" s="700"/>
      <c r="H134" s="700"/>
      <c r="I134" s="703"/>
      <c r="J134" s="704"/>
      <c r="K134" s="704"/>
      <c r="L134" s="704"/>
      <c r="M134" s="704"/>
      <c r="N134" s="704"/>
      <c r="O134" s="700"/>
      <c r="P134" s="637"/>
    </row>
    <row r="135" spans="1:16" ht="15.75" customHeight="1" x14ac:dyDescent="0.3">
      <c r="A135" s="700"/>
      <c r="B135" s="700"/>
      <c r="C135" s="700"/>
      <c r="D135" s="701"/>
      <c r="E135" s="700"/>
      <c r="F135" s="328"/>
      <c r="G135" s="700"/>
      <c r="H135" s="700"/>
      <c r="I135" s="703"/>
      <c r="J135" s="704"/>
      <c r="K135" s="704"/>
      <c r="L135" s="704"/>
      <c r="M135" s="704"/>
      <c r="N135" s="704"/>
      <c r="O135" s="700"/>
      <c r="P135" s="637"/>
    </row>
    <row r="136" spans="1:16" ht="15.75" customHeight="1" x14ac:dyDescent="0.3">
      <c r="A136" s="700"/>
      <c r="B136" s="700"/>
      <c r="C136" s="700"/>
      <c r="D136" s="701"/>
      <c r="E136" s="700"/>
      <c r="F136" s="328"/>
      <c r="G136" s="700"/>
      <c r="H136" s="700"/>
      <c r="I136" s="703"/>
      <c r="J136" s="704"/>
      <c r="K136" s="704"/>
      <c r="L136" s="704"/>
      <c r="M136" s="704"/>
      <c r="N136" s="704"/>
      <c r="O136" s="700"/>
      <c r="P136" s="685"/>
    </row>
    <row r="137" spans="1:16" ht="15.75" customHeight="1" x14ac:dyDescent="0.3">
      <c r="A137" s="700"/>
      <c r="B137" s="700"/>
      <c r="C137" s="700"/>
      <c r="D137" s="701"/>
      <c r="E137" s="700"/>
      <c r="F137" s="328"/>
      <c r="G137" s="700"/>
      <c r="H137" s="700"/>
      <c r="I137" s="703"/>
      <c r="J137" s="704"/>
      <c r="K137" s="704"/>
      <c r="L137" s="704"/>
      <c r="M137" s="704"/>
      <c r="N137" s="704"/>
      <c r="O137" s="700"/>
      <c r="P137" s="685"/>
    </row>
    <row r="138" spans="1:16" ht="15.75" customHeight="1" x14ac:dyDescent="0.3">
      <c r="A138" s="700"/>
      <c r="B138" s="700"/>
      <c r="C138" s="700"/>
      <c r="D138" s="701"/>
      <c r="E138" s="700"/>
      <c r="F138" s="328"/>
      <c r="G138" s="700"/>
      <c r="H138" s="700"/>
      <c r="I138" s="703"/>
      <c r="J138" s="704"/>
      <c r="K138" s="704"/>
      <c r="L138" s="704"/>
      <c r="M138" s="704"/>
      <c r="N138" s="704"/>
      <c r="O138" s="700"/>
      <c r="P138" s="707"/>
    </row>
    <row r="139" spans="1:16" ht="15.75" customHeight="1" x14ac:dyDescent="0.3">
      <c r="A139" s="700"/>
      <c r="B139" s="700"/>
      <c r="C139" s="700"/>
      <c r="D139" s="701"/>
      <c r="E139" s="700"/>
      <c r="F139" s="328"/>
      <c r="G139" s="700"/>
      <c r="H139" s="700"/>
      <c r="I139" s="703"/>
      <c r="J139" s="704"/>
      <c r="K139" s="704"/>
      <c r="L139" s="704"/>
      <c r="M139" s="704"/>
      <c r="N139" s="704"/>
      <c r="O139" s="700"/>
      <c r="P139" s="707"/>
    </row>
    <row r="140" spans="1:16" ht="15.75" customHeight="1" x14ac:dyDescent="0.3">
      <c r="A140" s="700"/>
      <c r="B140" s="700"/>
      <c r="C140" s="700"/>
      <c r="D140" s="701"/>
      <c r="E140" s="700"/>
      <c r="F140" s="328"/>
      <c r="G140" s="700"/>
      <c r="H140" s="700"/>
      <c r="I140" s="703"/>
      <c r="J140" s="704"/>
      <c r="K140" s="704"/>
      <c r="L140" s="704"/>
      <c r="M140" s="704"/>
      <c r="N140" s="704"/>
      <c r="O140" s="700"/>
      <c r="P140" s="707"/>
    </row>
    <row r="141" spans="1:16" ht="15.75" customHeight="1" x14ac:dyDescent="0.3">
      <c r="A141" s="700"/>
      <c r="B141" s="700"/>
      <c r="C141" s="700"/>
      <c r="D141" s="701"/>
      <c r="E141" s="700"/>
      <c r="F141" s="328"/>
      <c r="G141" s="700"/>
      <c r="H141" s="700"/>
      <c r="I141" s="703"/>
      <c r="J141" s="704"/>
      <c r="K141" s="704"/>
      <c r="L141" s="704"/>
      <c r="M141" s="704"/>
      <c r="N141" s="704"/>
      <c r="O141" s="700"/>
      <c r="P141" s="671"/>
    </row>
    <row r="142" spans="1:16" ht="15.75" customHeight="1" x14ac:dyDescent="0.3">
      <c r="A142" s="700"/>
      <c r="B142" s="700"/>
      <c r="C142" s="700"/>
      <c r="D142" s="701"/>
      <c r="E142" s="700"/>
      <c r="F142" s="328"/>
      <c r="G142" s="700"/>
      <c r="H142" s="700"/>
      <c r="I142" s="703"/>
      <c r="J142" s="704"/>
      <c r="K142" s="704"/>
      <c r="L142" s="704"/>
      <c r="M142" s="704"/>
      <c r="N142" s="704"/>
      <c r="O142" s="700"/>
      <c r="P142" s="637"/>
    </row>
    <row r="143" spans="1:16" ht="15.75" customHeight="1" x14ac:dyDescent="0.3">
      <c r="A143" s="700"/>
      <c r="B143" s="700"/>
      <c r="C143" s="700"/>
      <c r="D143" s="701"/>
      <c r="E143" s="700"/>
      <c r="F143" s="328"/>
      <c r="G143" s="700"/>
      <c r="H143" s="700"/>
      <c r="I143" s="703"/>
      <c r="J143" s="704"/>
      <c r="K143" s="704"/>
      <c r="L143" s="704"/>
      <c r="M143" s="704"/>
      <c r="N143" s="704"/>
      <c r="O143" s="700"/>
      <c r="P143" s="637"/>
    </row>
    <row r="144" spans="1:16" ht="15.75" customHeight="1" x14ac:dyDescent="0.3">
      <c r="A144" s="700"/>
      <c r="B144" s="700"/>
      <c r="C144" s="700"/>
      <c r="D144" s="701"/>
      <c r="E144" s="700"/>
      <c r="F144" s="328"/>
      <c r="G144" s="700"/>
      <c r="H144" s="700"/>
      <c r="I144" s="703"/>
      <c r="J144" s="704"/>
      <c r="K144" s="704"/>
      <c r="L144" s="704"/>
      <c r="M144" s="704"/>
      <c r="N144" s="704"/>
      <c r="O144" s="700"/>
      <c r="P144" s="685"/>
    </row>
    <row r="145" spans="1:16" ht="15.75" customHeight="1" x14ac:dyDescent="0.3">
      <c r="A145" s="700"/>
      <c r="B145" s="700"/>
      <c r="C145" s="700"/>
      <c r="D145" s="701"/>
      <c r="E145" s="700"/>
      <c r="F145" s="328"/>
      <c r="G145" s="700"/>
      <c r="H145" s="700"/>
      <c r="I145" s="703"/>
      <c r="J145" s="704"/>
      <c r="K145" s="704"/>
      <c r="L145" s="704"/>
      <c r="M145" s="704"/>
      <c r="N145" s="704"/>
      <c r="O145" s="700"/>
      <c r="P145" s="685"/>
    </row>
    <row r="146" spans="1:16" ht="15.75" customHeight="1" x14ac:dyDescent="0.3">
      <c r="A146" s="700"/>
      <c r="B146" s="700"/>
      <c r="C146" s="700"/>
      <c r="D146" s="701"/>
      <c r="E146" s="700"/>
      <c r="F146" s="328"/>
      <c r="G146" s="700"/>
      <c r="H146" s="700"/>
      <c r="I146" s="703"/>
      <c r="J146" s="704"/>
      <c r="K146" s="704"/>
      <c r="L146" s="704"/>
      <c r="M146" s="704"/>
      <c r="N146" s="704"/>
      <c r="O146" s="700"/>
      <c r="P146" s="685"/>
    </row>
    <row r="147" spans="1:16" ht="15.75" customHeight="1" x14ac:dyDescent="0.3">
      <c r="A147" s="700"/>
      <c r="B147" s="700"/>
      <c r="C147" s="700"/>
      <c r="D147" s="701"/>
      <c r="E147" s="700"/>
      <c r="F147" s="328"/>
      <c r="G147" s="700"/>
      <c r="H147" s="700"/>
      <c r="I147" s="703"/>
      <c r="J147" s="704"/>
      <c r="K147" s="704"/>
      <c r="L147" s="704"/>
      <c r="M147" s="704"/>
      <c r="N147" s="704"/>
      <c r="O147" s="700"/>
    </row>
    <row r="148" spans="1:16" ht="15.75" customHeight="1" x14ac:dyDescent="0.3">
      <c r="A148" s="700"/>
      <c r="B148" s="700"/>
      <c r="C148" s="700"/>
      <c r="D148" s="701"/>
      <c r="E148" s="700"/>
      <c r="F148" s="328"/>
      <c r="G148" s="700"/>
      <c r="H148" s="700"/>
      <c r="I148" s="703"/>
      <c r="J148" s="704"/>
      <c r="K148" s="704"/>
      <c r="L148" s="704"/>
      <c r="M148" s="704"/>
      <c r="N148" s="704"/>
      <c r="O148" s="700"/>
    </row>
    <row r="149" spans="1:16" ht="15.75" customHeight="1" x14ac:dyDescent="0.3">
      <c r="A149" s="700"/>
      <c r="B149" s="700"/>
      <c r="C149" s="700"/>
      <c r="D149" s="701"/>
      <c r="E149" s="700"/>
      <c r="F149" s="328"/>
      <c r="G149" s="700"/>
      <c r="H149" s="700"/>
      <c r="I149" s="703"/>
      <c r="J149" s="704"/>
      <c r="K149" s="704"/>
      <c r="L149" s="704"/>
      <c r="M149" s="704"/>
      <c r="N149" s="704"/>
      <c r="O149" s="700"/>
    </row>
    <row r="150" spans="1:16" ht="15.75" customHeight="1" x14ac:dyDescent="0.3">
      <c r="A150" s="700"/>
      <c r="B150" s="700"/>
      <c r="C150" s="700"/>
      <c r="D150" s="701"/>
      <c r="E150" s="700"/>
      <c r="F150" s="328"/>
      <c r="G150" s="700"/>
      <c r="H150" s="700"/>
      <c r="I150" s="703"/>
      <c r="J150" s="704"/>
      <c r="K150" s="704"/>
      <c r="L150" s="704"/>
      <c r="M150" s="704"/>
      <c r="N150" s="704"/>
      <c r="O150" s="700"/>
    </row>
    <row r="151" spans="1:16" ht="15.75" customHeight="1" x14ac:dyDescent="0.3">
      <c r="A151" s="700"/>
      <c r="B151" s="700"/>
      <c r="C151" s="700"/>
      <c r="D151" s="701"/>
      <c r="E151" s="700"/>
      <c r="F151" s="328"/>
      <c r="G151" s="700"/>
      <c r="H151" s="700"/>
      <c r="I151" s="703"/>
      <c r="J151" s="704"/>
      <c r="K151" s="704"/>
      <c r="L151" s="704"/>
      <c r="M151" s="704"/>
      <c r="N151" s="704"/>
      <c r="O151" s="700"/>
    </row>
    <row r="152" spans="1:16" ht="15.75" customHeight="1" x14ac:dyDescent="0.3">
      <c r="A152" s="700"/>
      <c r="B152" s="700"/>
      <c r="C152" s="700"/>
      <c r="D152" s="701"/>
      <c r="E152" s="700"/>
      <c r="F152" s="328"/>
      <c r="G152" s="700"/>
      <c r="H152" s="700"/>
      <c r="I152" s="703"/>
      <c r="J152" s="704"/>
      <c r="K152" s="704"/>
      <c r="L152" s="704"/>
      <c r="M152" s="704"/>
      <c r="N152" s="704"/>
      <c r="O152" s="700"/>
    </row>
    <row r="153" spans="1:16" ht="15.75" customHeight="1" x14ac:dyDescent="0.3">
      <c r="A153" s="700"/>
      <c r="B153" s="700"/>
      <c r="C153" s="700"/>
      <c r="D153" s="701"/>
      <c r="E153" s="700"/>
      <c r="F153" s="328"/>
      <c r="G153" s="700"/>
      <c r="H153" s="700"/>
      <c r="I153" s="703"/>
      <c r="J153" s="704"/>
      <c r="K153" s="704"/>
      <c r="L153" s="704"/>
      <c r="M153" s="704"/>
      <c r="N153" s="704"/>
      <c r="O153" s="700"/>
    </row>
    <row r="154" spans="1:16" ht="15.75" customHeight="1" x14ac:dyDescent="0.3">
      <c r="A154" s="700"/>
      <c r="B154" s="700"/>
      <c r="C154" s="700"/>
      <c r="D154" s="701"/>
      <c r="E154" s="700"/>
      <c r="F154" s="328"/>
      <c r="G154" s="700"/>
      <c r="H154" s="700"/>
      <c r="I154" s="703"/>
      <c r="J154" s="704"/>
      <c r="K154" s="704"/>
      <c r="L154" s="704"/>
      <c r="M154" s="704"/>
      <c r="N154" s="704"/>
      <c r="O154" s="700"/>
    </row>
    <row r="155" spans="1:16" ht="15.75" customHeight="1" x14ac:dyDescent="0.3">
      <c r="A155" s="700"/>
      <c r="B155" s="700"/>
      <c r="C155" s="700"/>
      <c r="D155" s="701"/>
      <c r="E155" s="700"/>
      <c r="F155" s="328"/>
      <c r="G155" s="700"/>
      <c r="H155" s="700"/>
      <c r="I155" s="703"/>
      <c r="J155" s="704"/>
      <c r="K155" s="704"/>
      <c r="L155" s="704"/>
      <c r="M155" s="704"/>
      <c r="N155" s="704"/>
      <c r="O155" s="700"/>
    </row>
    <row r="156" spans="1:16" ht="15.75" customHeight="1" x14ac:dyDescent="0.3">
      <c r="A156" s="700"/>
      <c r="B156" s="700"/>
      <c r="C156" s="700"/>
      <c r="D156" s="701"/>
      <c r="E156" s="700"/>
      <c r="F156" s="328"/>
      <c r="G156" s="700"/>
      <c r="H156" s="700"/>
      <c r="I156" s="703"/>
      <c r="J156" s="704"/>
      <c r="K156" s="704"/>
      <c r="L156" s="704"/>
      <c r="M156" s="704"/>
      <c r="N156" s="704"/>
      <c r="O156" s="700"/>
    </row>
    <row r="157" spans="1:16" ht="15.75" customHeight="1" x14ac:dyDescent="0.3">
      <c r="A157" s="700"/>
      <c r="B157" s="700"/>
      <c r="C157" s="700"/>
      <c r="D157" s="701"/>
      <c r="E157" s="700"/>
      <c r="F157" s="328"/>
      <c r="G157" s="700"/>
      <c r="H157" s="700"/>
      <c r="I157" s="703"/>
      <c r="J157" s="704"/>
      <c r="K157" s="704"/>
      <c r="L157" s="704"/>
      <c r="M157" s="704"/>
      <c r="N157" s="704"/>
      <c r="O157" s="700"/>
    </row>
    <row r="158" spans="1:16" ht="15.75" customHeight="1" x14ac:dyDescent="0.3">
      <c r="A158" s="700"/>
      <c r="B158" s="700"/>
      <c r="C158" s="700"/>
      <c r="D158" s="701"/>
      <c r="E158" s="700"/>
      <c r="F158" s="328"/>
      <c r="G158" s="700"/>
      <c r="H158" s="700"/>
      <c r="I158" s="703"/>
      <c r="J158" s="704"/>
      <c r="K158" s="704"/>
      <c r="L158" s="704"/>
      <c r="M158" s="704"/>
      <c r="N158" s="704"/>
      <c r="O158" s="700"/>
    </row>
    <row r="159" spans="1:16" ht="15.75" customHeight="1" x14ac:dyDescent="0.3">
      <c r="A159" s="700"/>
      <c r="B159" s="700"/>
      <c r="C159" s="700"/>
      <c r="D159" s="701"/>
      <c r="E159" s="700"/>
      <c r="F159" s="328"/>
      <c r="G159" s="700"/>
      <c r="H159" s="700"/>
      <c r="I159" s="703"/>
      <c r="J159" s="704"/>
      <c r="K159" s="704"/>
      <c r="L159" s="704"/>
      <c r="M159" s="704"/>
      <c r="N159" s="704"/>
      <c r="O159" s="700"/>
    </row>
    <row r="160" spans="1:16" ht="15.75" customHeight="1" x14ac:dyDescent="0.3">
      <c r="A160" s="700"/>
      <c r="B160" s="700"/>
      <c r="C160" s="700"/>
      <c r="D160" s="701"/>
      <c r="E160" s="700"/>
      <c r="F160" s="328"/>
      <c r="G160" s="700"/>
      <c r="H160" s="700"/>
      <c r="I160" s="703"/>
      <c r="J160" s="704"/>
      <c r="K160" s="704"/>
      <c r="L160" s="704"/>
      <c r="M160" s="704"/>
      <c r="N160" s="704"/>
      <c r="O160" s="700"/>
    </row>
    <row r="161" spans="1:15" ht="15.75" customHeight="1" x14ac:dyDescent="0.3">
      <c r="A161" s="700"/>
      <c r="B161" s="700"/>
      <c r="C161" s="700"/>
      <c r="D161" s="701"/>
      <c r="E161" s="700"/>
      <c r="F161" s="328"/>
      <c r="G161" s="700"/>
      <c r="H161" s="700"/>
      <c r="I161" s="703"/>
      <c r="J161" s="704"/>
      <c r="K161" s="704"/>
      <c r="L161" s="704"/>
      <c r="M161" s="704"/>
      <c r="N161" s="704"/>
      <c r="O161" s="700"/>
    </row>
    <row r="162" spans="1:15" ht="15.75" customHeight="1" x14ac:dyDescent="0.3">
      <c r="A162" s="700"/>
      <c r="B162" s="700"/>
      <c r="C162" s="700"/>
      <c r="D162" s="701"/>
      <c r="E162" s="700"/>
      <c r="F162" s="328"/>
      <c r="G162" s="700"/>
      <c r="H162" s="700"/>
      <c r="I162" s="703"/>
      <c r="J162" s="704"/>
      <c r="K162" s="704"/>
      <c r="L162" s="704"/>
      <c r="M162" s="704"/>
      <c r="N162" s="704"/>
      <c r="O162" s="700"/>
    </row>
    <row r="163" spans="1:15" ht="15.75" customHeight="1" x14ac:dyDescent="0.3">
      <c r="A163" s="700"/>
      <c r="B163" s="700"/>
      <c r="C163" s="700"/>
      <c r="D163" s="701"/>
      <c r="E163" s="700"/>
      <c r="F163" s="328"/>
      <c r="G163" s="700"/>
      <c r="H163" s="700"/>
      <c r="I163" s="703"/>
      <c r="J163" s="704"/>
      <c r="K163" s="704"/>
      <c r="L163" s="704"/>
      <c r="M163" s="704"/>
      <c r="N163" s="704"/>
      <c r="O163" s="700"/>
    </row>
    <row r="164" spans="1:15" ht="15.75" customHeight="1" x14ac:dyDescent="0.3">
      <c r="A164" s="700"/>
      <c r="B164" s="700"/>
      <c r="C164" s="700"/>
      <c r="D164" s="701"/>
      <c r="E164" s="700"/>
      <c r="F164" s="328"/>
      <c r="G164" s="700"/>
      <c r="H164" s="700"/>
      <c r="I164" s="703"/>
      <c r="J164" s="704"/>
      <c r="K164" s="704"/>
      <c r="L164" s="704"/>
      <c r="M164" s="704"/>
      <c r="N164" s="704"/>
      <c r="O164" s="700"/>
    </row>
    <row r="165" spans="1:15" ht="15.75" customHeight="1" x14ac:dyDescent="0.3">
      <c r="A165" s="700"/>
      <c r="B165" s="700"/>
      <c r="C165" s="700"/>
      <c r="D165" s="701"/>
      <c r="E165" s="700"/>
      <c r="F165" s="328"/>
      <c r="G165" s="700"/>
      <c r="H165" s="700"/>
      <c r="I165" s="703"/>
      <c r="J165" s="704"/>
      <c r="K165" s="704"/>
      <c r="L165" s="704"/>
      <c r="M165" s="704"/>
      <c r="N165" s="704"/>
      <c r="O165" s="700"/>
    </row>
    <row r="166" spans="1:15" ht="15.75" customHeight="1" x14ac:dyDescent="0.3">
      <c r="A166" s="700"/>
      <c r="B166" s="700"/>
      <c r="C166" s="700"/>
      <c r="D166" s="701"/>
      <c r="E166" s="700"/>
      <c r="F166" s="328"/>
      <c r="G166" s="700"/>
      <c r="H166" s="700"/>
      <c r="I166" s="703"/>
      <c r="J166" s="704"/>
      <c r="K166" s="704"/>
      <c r="L166" s="704"/>
      <c r="M166" s="704"/>
      <c r="N166" s="704"/>
      <c r="O166" s="700"/>
    </row>
    <row r="167" spans="1:15" ht="15.75" customHeight="1" x14ac:dyDescent="0.3">
      <c r="A167" s="700"/>
      <c r="B167" s="700"/>
      <c r="C167" s="700"/>
      <c r="D167" s="701"/>
      <c r="E167" s="700"/>
      <c r="F167" s="328"/>
      <c r="G167" s="700"/>
      <c r="H167" s="700"/>
      <c r="I167" s="703"/>
      <c r="J167" s="704"/>
      <c r="K167" s="704"/>
      <c r="L167" s="704"/>
      <c r="M167" s="704"/>
      <c r="N167" s="704"/>
      <c r="O167" s="700"/>
    </row>
    <row r="168" spans="1:15" ht="15.75" customHeight="1" x14ac:dyDescent="0.3">
      <c r="A168" s="700"/>
      <c r="B168" s="700"/>
      <c r="C168" s="700"/>
      <c r="D168" s="701"/>
      <c r="E168" s="700"/>
      <c r="F168" s="328"/>
      <c r="G168" s="700"/>
      <c r="H168" s="700"/>
      <c r="I168" s="703"/>
      <c r="J168" s="704"/>
      <c r="K168" s="704"/>
      <c r="L168" s="704"/>
      <c r="M168" s="704"/>
      <c r="N168" s="704"/>
      <c r="O168" s="700"/>
    </row>
    <row r="169" spans="1:15" ht="15.75" customHeight="1" x14ac:dyDescent="0.3">
      <c r="A169" s="700"/>
      <c r="B169" s="700"/>
      <c r="C169" s="700"/>
      <c r="D169" s="701"/>
      <c r="E169" s="700"/>
      <c r="F169" s="328"/>
      <c r="G169" s="700"/>
      <c r="H169" s="700"/>
      <c r="I169" s="703"/>
      <c r="J169" s="704"/>
      <c r="K169" s="704"/>
      <c r="L169" s="704"/>
      <c r="M169" s="704"/>
      <c r="N169" s="704"/>
      <c r="O169" s="700"/>
    </row>
    <row r="170" spans="1:15" ht="15.75" customHeight="1" x14ac:dyDescent="0.3">
      <c r="A170" s="700"/>
      <c r="B170" s="700"/>
      <c r="C170" s="700"/>
      <c r="D170" s="701"/>
      <c r="E170" s="700"/>
      <c r="F170" s="328"/>
      <c r="G170" s="700"/>
      <c r="H170" s="700"/>
      <c r="I170" s="703"/>
      <c r="J170" s="704"/>
      <c r="K170" s="704"/>
      <c r="L170" s="704"/>
      <c r="M170" s="704"/>
      <c r="N170" s="704"/>
      <c r="O170" s="700"/>
    </row>
    <row r="171" spans="1:15" ht="15.75" customHeight="1" x14ac:dyDescent="0.3">
      <c r="A171" s="700"/>
      <c r="B171" s="700"/>
      <c r="C171" s="700"/>
      <c r="D171" s="701"/>
      <c r="E171" s="700"/>
      <c r="F171" s="328"/>
      <c r="G171" s="700"/>
      <c r="H171" s="700"/>
      <c r="I171" s="703"/>
      <c r="J171" s="704"/>
      <c r="K171" s="704"/>
      <c r="L171" s="704"/>
      <c r="M171" s="704"/>
      <c r="N171" s="704"/>
      <c r="O171" s="700"/>
    </row>
    <row r="172" spans="1:15" ht="15.75" customHeight="1" x14ac:dyDescent="0.3">
      <c r="A172" s="700"/>
      <c r="B172" s="700"/>
      <c r="C172" s="700"/>
      <c r="D172" s="701"/>
      <c r="E172" s="700"/>
      <c r="F172" s="328"/>
      <c r="G172" s="700"/>
      <c r="H172" s="700"/>
      <c r="I172" s="703"/>
      <c r="J172" s="704"/>
      <c r="K172" s="704"/>
      <c r="L172" s="704"/>
      <c r="M172" s="704"/>
      <c r="N172" s="704"/>
      <c r="O172" s="700"/>
    </row>
    <row r="173" spans="1:15" ht="15.75" customHeight="1" x14ac:dyDescent="0.3">
      <c r="A173" s="700"/>
      <c r="B173" s="700"/>
      <c r="C173" s="700"/>
      <c r="D173" s="701"/>
      <c r="E173" s="700"/>
      <c r="F173" s="328"/>
      <c r="G173" s="700"/>
      <c r="H173" s="700"/>
      <c r="I173" s="703"/>
      <c r="J173" s="704"/>
      <c r="K173" s="704"/>
      <c r="L173" s="704"/>
      <c r="M173" s="704"/>
      <c r="N173" s="704"/>
      <c r="O173" s="700"/>
    </row>
    <row r="174" spans="1:15" ht="15.75" customHeight="1" x14ac:dyDescent="0.3">
      <c r="A174" s="700"/>
      <c r="B174" s="700"/>
      <c r="C174" s="700"/>
      <c r="D174" s="701"/>
      <c r="E174" s="700"/>
      <c r="F174" s="328"/>
      <c r="G174" s="700"/>
      <c r="H174" s="700"/>
      <c r="I174" s="703"/>
      <c r="J174" s="704"/>
      <c r="K174" s="704"/>
      <c r="L174" s="704"/>
      <c r="M174" s="704"/>
      <c r="N174" s="704"/>
      <c r="O174" s="700"/>
    </row>
    <row r="175" spans="1:15" ht="15.75" customHeight="1" x14ac:dyDescent="0.3">
      <c r="A175" s="700"/>
      <c r="B175" s="700"/>
      <c r="C175" s="700"/>
      <c r="D175" s="701"/>
      <c r="E175" s="700"/>
      <c r="F175" s="328"/>
      <c r="G175" s="700"/>
      <c r="H175" s="700"/>
      <c r="I175" s="703"/>
      <c r="J175" s="704"/>
      <c r="K175" s="704"/>
      <c r="L175" s="704"/>
      <c r="M175" s="704"/>
      <c r="N175" s="704"/>
      <c r="O175" s="700"/>
    </row>
    <row r="176" spans="1:15" ht="15.75" customHeight="1" x14ac:dyDescent="0.3">
      <c r="A176" s="700"/>
      <c r="B176" s="700"/>
      <c r="C176" s="700"/>
      <c r="D176" s="701"/>
      <c r="E176" s="700"/>
      <c r="F176" s="328"/>
      <c r="G176" s="700"/>
      <c r="H176" s="700"/>
      <c r="I176" s="703"/>
      <c r="J176" s="704"/>
      <c r="K176" s="704"/>
      <c r="L176" s="704"/>
      <c r="M176" s="704"/>
      <c r="N176" s="704"/>
      <c r="O176" s="700"/>
    </row>
    <row r="177" spans="1:15" ht="15.75" customHeight="1" x14ac:dyDescent="0.3">
      <c r="A177" s="700"/>
      <c r="B177" s="700"/>
      <c r="C177" s="700"/>
      <c r="D177" s="701"/>
      <c r="E177" s="700"/>
      <c r="F177" s="328"/>
      <c r="G177" s="700"/>
      <c r="H177" s="700"/>
      <c r="I177" s="703"/>
      <c r="J177" s="704"/>
      <c r="K177" s="704"/>
      <c r="L177" s="704"/>
      <c r="M177" s="704"/>
      <c r="N177" s="704"/>
      <c r="O177" s="700"/>
    </row>
    <row r="178" spans="1:15" ht="15.75" customHeight="1" x14ac:dyDescent="0.3">
      <c r="A178" s="700"/>
      <c r="B178" s="700"/>
      <c r="C178" s="700"/>
      <c r="D178" s="701"/>
      <c r="E178" s="700"/>
      <c r="F178" s="328"/>
      <c r="G178" s="700"/>
      <c r="H178" s="700"/>
      <c r="I178" s="703"/>
      <c r="J178" s="704"/>
      <c r="K178" s="704"/>
      <c r="L178" s="704"/>
      <c r="M178" s="704"/>
      <c r="N178" s="704"/>
      <c r="O178" s="700"/>
    </row>
    <row r="179" spans="1:15" ht="15.75" customHeight="1" x14ac:dyDescent="0.3">
      <c r="A179" s="700"/>
      <c r="B179" s="700"/>
      <c r="C179" s="700"/>
      <c r="D179" s="701"/>
      <c r="E179" s="700"/>
      <c r="F179" s="328"/>
      <c r="G179" s="700"/>
      <c r="H179" s="700"/>
      <c r="I179" s="703"/>
      <c r="J179" s="704"/>
      <c r="K179" s="704"/>
      <c r="L179" s="704"/>
      <c r="M179" s="704"/>
      <c r="N179" s="704"/>
      <c r="O179" s="700"/>
    </row>
    <row r="180" spans="1:15" ht="15.75" customHeight="1" x14ac:dyDescent="0.3">
      <c r="A180" s="700"/>
      <c r="B180" s="700"/>
      <c r="C180" s="700"/>
      <c r="D180" s="701"/>
      <c r="E180" s="700"/>
      <c r="F180" s="328"/>
      <c r="G180" s="700"/>
      <c r="H180" s="700"/>
      <c r="I180" s="703"/>
      <c r="J180" s="704"/>
      <c r="K180" s="704"/>
      <c r="L180" s="704"/>
      <c r="M180" s="704"/>
      <c r="N180" s="704"/>
      <c r="O180" s="700"/>
    </row>
    <row r="181" spans="1:15" ht="15.75" customHeight="1" x14ac:dyDescent="0.3">
      <c r="A181" s="700"/>
      <c r="B181" s="700"/>
      <c r="C181" s="700"/>
      <c r="D181" s="701"/>
      <c r="E181" s="700"/>
      <c r="F181" s="328"/>
      <c r="G181" s="700"/>
      <c r="H181" s="700"/>
      <c r="I181" s="703"/>
      <c r="J181" s="704"/>
      <c r="K181" s="704"/>
      <c r="L181" s="704"/>
      <c r="M181" s="704"/>
      <c r="N181" s="704"/>
      <c r="O181" s="700"/>
    </row>
    <row r="182" spans="1:15" ht="15.75" customHeight="1" x14ac:dyDescent="0.3">
      <c r="A182" s="700"/>
      <c r="B182" s="700"/>
      <c r="C182" s="700"/>
      <c r="D182" s="701"/>
      <c r="E182" s="700"/>
      <c r="F182" s="328"/>
      <c r="G182" s="700"/>
      <c r="H182" s="700"/>
      <c r="I182" s="703"/>
      <c r="J182" s="704"/>
      <c r="K182" s="704"/>
      <c r="L182" s="704"/>
      <c r="M182" s="704"/>
      <c r="N182" s="704"/>
      <c r="O182" s="700"/>
    </row>
    <row r="183" spans="1:15" ht="15.75" customHeight="1" x14ac:dyDescent="0.3">
      <c r="A183" s="700"/>
      <c r="B183" s="700"/>
      <c r="C183" s="700"/>
      <c r="D183" s="701"/>
      <c r="E183" s="700"/>
      <c r="F183" s="328"/>
      <c r="G183" s="700"/>
      <c r="H183" s="700"/>
      <c r="I183" s="703"/>
      <c r="J183" s="704"/>
      <c r="K183" s="704"/>
      <c r="L183" s="704"/>
      <c r="M183" s="704"/>
      <c r="N183" s="704"/>
      <c r="O183" s="700"/>
    </row>
    <row r="184" spans="1:15" ht="15.75" customHeight="1" x14ac:dyDescent="0.3">
      <c r="A184" s="700"/>
      <c r="B184" s="700"/>
      <c r="C184" s="700"/>
      <c r="D184" s="701"/>
      <c r="E184" s="700"/>
      <c r="F184" s="328"/>
      <c r="G184" s="700"/>
      <c r="H184" s="700"/>
      <c r="I184" s="703"/>
      <c r="J184" s="704"/>
      <c r="K184" s="704"/>
      <c r="L184" s="704"/>
      <c r="M184" s="704"/>
      <c r="N184" s="704"/>
      <c r="O184" s="700"/>
    </row>
    <row r="185" spans="1:15" ht="15.75" customHeight="1" x14ac:dyDescent="0.3">
      <c r="A185" s="700"/>
      <c r="B185" s="700"/>
      <c r="C185" s="700"/>
      <c r="D185" s="701"/>
      <c r="E185" s="700"/>
      <c r="F185" s="328"/>
      <c r="G185" s="700"/>
      <c r="H185" s="700"/>
      <c r="I185" s="703"/>
      <c r="J185" s="704"/>
      <c r="K185" s="704"/>
      <c r="L185" s="704"/>
      <c r="M185" s="704"/>
      <c r="N185" s="704"/>
      <c r="O185" s="700"/>
    </row>
    <row r="186" spans="1:15" ht="15.75" customHeight="1" x14ac:dyDescent="0.3">
      <c r="A186" s="700"/>
      <c r="B186" s="700"/>
      <c r="C186" s="700"/>
      <c r="D186" s="701"/>
      <c r="E186" s="700"/>
      <c r="F186" s="328"/>
      <c r="G186" s="700"/>
      <c r="H186" s="700"/>
      <c r="I186" s="703"/>
      <c r="J186" s="704"/>
      <c r="K186" s="704"/>
      <c r="L186" s="704"/>
      <c r="M186" s="704"/>
      <c r="N186" s="704"/>
      <c r="O186" s="700"/>
    </row>
    <row r="187" spans="1:15" ht="15.75" customHeight="1" x14ac:dyDescent="0.3">
      <c r="A187" s="700"/>
      <c r="B187" s="700"/>
      <c r="C187" s="700"/>
      <c r="D187" s="701"/>
      <c r="E187" s="700"/>
      <c r="F187" s="328"/>
      <c r="G187" s="700"/>
      <c r="H187" s="700"/>
      <c r="I187" s="703"/>
      <c r="J187" s="704"/>
      <c r="K187" s="704"/>
      <c r="L187" s="704"/>
      <c r="M187" s="704"/>
      <c r="N187" s="704"/>
      <c r="O187" s="700"/>
    </row>
    <row r="188" spans="1:15" ht="15.75" customHeight="1" x14ac:dyDescent="0.3">
      <c r="A188" s="700"/>
      <c r="B188" s="700"/>
      <c r="C188" s="700"/>
      <c r="D188" s="701"/>
      <c r="E188" s="700"/>
      <c r="F188" s="328"/>
      <c r="G188" s="700"/>
      <c r="H188" s="700"/>
      <c r="I188" s="703"/>
      <c r="J188" s="704"/>
      <c r="K188" s="704"/>
      <c r="L188" s="704"/>
      <c r="M188" s="704"/>
      <c r="N188" s="704"/>
      <c r="O188" s="700"/>
    </row>
    <row r="189" spans="1:15" ht="15.75" customHeight="1" x14ac:dyDescent="0.3">
      <c r="A189" s="700"/>
      <c r="B189" s="700"/>
      <c r="C189" s="700"/>
      <c r="D189" s="701"/>
      <c r="E189" s="700"/>
      <c r="F189" s="328"/>
      <c r="G189" s="700"/>
      <c r="H189" s="700"/>
      <c r="I189" s="703"/>
      <c r="J189" s="704"/>
      <c r="K189" s="704"/>
      <c r="L189" s="704"/>
      <c r="M189" s="704"/>
      <c r="N189" s="704"/>
      <c r="O189" s="700"/>
    </row>
    <row r="190" spans="1:15" ht="15.75" customHeight="1" x14ac:dyDescent="0.3">
      <c r="A190" s="700"/>
      <c r="B190" s="700"/>
      <c r="C190" s="700"/>
      <c r="D190" s="701"/>
      <c r="E190" s="700"/>
      <c r="F190" s="328"/>
      <c r="G190" s="700"/>
      <c r="H190" s="700"/>
      <c r="I190" s="703"/>
      <c r="J190" s="704"/>
      <c r="K190" s="704"/>
      <c r="L190" s="704"/>
      <c r="M190" s="704"/>
      <c r="N190" s="704"/>
      <c r="O190" s="700"/>
    </row>
    <row r="191" spans="1:15" ht="15.75" customHeight="1" x14ac:dyDescent="0.3">
      <c r="A191" s="700"/>
      <c r="B191" s="700"/>
      <c r="C191" s="700"/>
      <c r="D191" s="701"/>
      <c r="E191" s="700"/>
      <c r="F191" s="328"/>
      <c r="G191" s="700"/>
      <c r="H191" s="700"/>
      <c r="I191" s="703"/>
      <c r="J191" s="704"/>
      <c r="K191" s="704"/>
      <c r="L191" s="704"/>
      <c r="M191" s="704"/>
      <c r="N191" s="704"/>
      <c r="O191" s="700"/>
    </row>
    <row r="192" spans="1:15" ht="15.75" customHeight="1" x14ac:dyDescent="0.3">
      <c r="A192" s="700"/>
      <c r="B192" s="700"/>
      <c r="C192" s="700"/>
      <c r="D192" s="701"/>
      <c r="E192" s="700"/>
      <c r="F192" s="328"/>
      <c r="G192" s="700"/>
      <c r="H192" s="700"/>
      <c r="I192" s="703"/>
      <c r="J192" s="704"/>
      <c r="K192" s="704"/>
      <c r="L192" s="704"/>
      <c r="M192" s="704"/>
      <c r="N192" s="704"/>
      <c r="O192" s="700"/>
    </row>
    <row r="193" spans="1:15" ht="15.75" customHeight="1" x14ac:dyDescent="0.3">
      <c r="A193" s="700"/>
      <c r="B193" s="700"/>
      <c r="C193" s="700"/>
      <c r="D193" s="701"/>
      <c r="E193" s="700"/>
      <c r="F193" s="328"/>
      <c r="G193" s="700"/>
      <c r="H193" s="700"/>
      <c r="I193" s="703"/>
      <c r="J193" s="704"/>
      <c r="K193" s="704"/>
      <c r="L193" s="704"/>
      <c r="M193" s="704"/>
      <c r="N193" s="704"/>
      <c r="O193" s="700"/>
    </row>
    <row r="194" spans="1:15" ht="15.75" customHeight="1" x14ac:dyDescent="0.3">
      <c r="A194" s="700"/>
      <c r="B194" s="700"/>
      <c r="C194" s="700"/>
      <c r="D194" s="701"/>
      <c r="E194" s="700"/>
      <c r="F194" s="328"/>
      <c r="G194" s="700"/>
      <c r="H194" s="700"/>
      <c r="I194" s="703"/>
      <c r="J194" s="704"/>
      <c r="K194" s="704"/>
      <c r="L194" s="704"/>
      <c r="M194" s="704"/>
      <c r="N194" s="704"/>
      <c r="O194" s="700"/>
    </row>
    <row r="195" spans="1:15" ht="15.75" customHeight="1" x14ac:dyDescent="0.3">
      <c r="A195" s="700"/>
      <c r="B195" s="700"/>
      <c r="C195" s="700"/>
      <c r="D195" s="701"/>
      <c r="E195" s="700"/>
      <c r="F195" s="328"/>
      <c r="G195" s="700"/>
      <c r="H195" s="700"/>
      <c r="I195" s="703"/>
      <c r="J195" s="704"/>
      <c r="K195" s="704"/>
      <c r="L195" s="704"/>
      <c r="M195" s="704"/>
      <c r="N195" s="704"/>
      <c r="O195" s="700"/>
    </row>
    <row r="196" spans="1:15" ht="15.75" customHeight="1" x14ac:dyDescent="0.3">
      <c r="A196" s="700"/>
      <c r="B196" s="700"/>
      <c r="C196" s="700"/>
      <c r="D196" s="701"/>
      <c r="E196" s="700"/>
      <c r="F196" s="328"/>
      <c r="G196" s="700"/>
      <c r="H196" s="700"/>
      <c r="I196" s="703"/>
      <c r="J196" s="704"/>
      <c r="K196" s="704"/>
      <c r="L196" s="704"/>
      <c r="M196" s="704"/>
      <c r="N196" s="704"/>
      <c r="O196" s="700"/>
    </row>
    <row r="197" spans="1:15" ht="15.75" customHeight="1" x14ac:dyDescent="0.3">
      <c r="A197" s="700"/>
      <c r="B197" s="700"/>
      <c r="C197" s="700"/>
      <c r="D197" s="701"/>
      <c r="E197" s="700"/>
      <c r="F197" s="328"/>
      <c r="G197" s="700"/>
      <c r="H197" s="700"/>
      <c r="I197" s="703"/>
      <c r="J197" s="704"/>
      <c r="K197" s="704"/>
      <c r="L197" s="704"/>
      <c r="M197" s="704"/>
      <c r="N197" s="704"/>
      <c r="O197" s="700"/>
    </row>
    <row r="198" spans="1:15" ht="15.75" customHeight="1" x14ac:dyDescent="0.3">
      <c r="A198" s="700"/>
      <c r="B198" s="700"/>
      <c r="C198" s="700"/>
      <c r="D198" s="701"/>
      <c r="E198" s="700"/>
      <c r="F198" s="328"/>
      <c r="G198" s="700"/>
      <c r="H198" s="700"/>
      <c r="I198" s="703"/>
      <c r="J198" s="704"/>
      <c r="K198" s="704"/>
      <c r="L198" s="704"/>
      <c r="M198" s="704"/>
      <c r="N198" s="704"/>
      <c r="O198" s="700"/>
    </row>
    <row r="199" spans="1:15" ht="15.75" customHeight="1" x14ac:dyDescent="0.3">
      <c r="A199" s="700"/>
      <c r="B199" s="700"/>
      <c r="C199" s="700"/>
      <c r="D199" s="701"/>
      <c r="E199" s="700"/>
      <c r="F199" s="328"/>
      <c r="G199" s="700"/>
      <c r="H199" s="700"/>
      <c r="I199" s="703"/>
      <c r="J199" s="704"/>
      <c r="K199" s="704"/>
      <c r="L199" s="704"/>
      <c r="M199" s="704"/>
      <c r="N199" s="704"/>
      <c r="O199" s="700"/>
    </row>
    <row r="200" spans="1:15" ht="15.75" customHeight="1" x14ac:dyDescent="0.3">
      <c r="A200" s="700"/>
      <c r="B200" s="700"/>
      <c r="C200" s="700"/>
      <c r="D200" s="701"/>
      <c r="E200" s="700"/>
      <c r="F200" s="328"/>
      <c r="G200" s="700"/>
      <c r="H200" s="700"/>
      <c r="I200" s="703"/>
      <c r="J200" s="704"/>
      <c r="K200" s="704"/>
      <c r="L200" s="704"/>
      <c r="M200" s="704"/>
      <c r="N200" s="704"/>
      <c r="O200" s="700"/>
    </row>
    <row r="201" spans="1:15" ht="15.75" customHeight="1" x14ac:dyDescent="0.3">
      <c r="A201" s="700"/>
      <c r="B201" s="700"/>
      <c r="C201" s="700"/>
      <c r="D201" s="701"/>
      <c r="E201" s="700"/>
      <c r="F201" s="328"/>
      <c r="G201" s="700"/>
      <c r="H201" s="700"/>
      <c r="I201" s="703"/>
      <c r="J201" s="704"/>
      <c r="K201" s="704"/>
      <c r="L201" s="704"/>
      <c r="M201" s="704"/>
      <c r="N201" s="704"/>
      <c r="O201" s="700"/>
    </row>
    <row r="202" spans="1:15" ht="15.75" customHeight="1" x14ac:dyDescent="0.3">
      <c r="A202" s="700"/>
      <c r="B202" s="700"/>
      <c r="C202" s="700"/>
      <c r="D202" s="701"/>
      <c r="E202" s="700"/>
      <c r="F202" s="328"/>
      <c r="G202" s="700"/>
      <c r="H202" s="700"/>
      <c r="I202" s="703"/>
      <c r="J202" s="704"/>
      <c r="K202" s="704"/>
      <c r="L202" s="704"/>
      <c r="M202" s="704"/>
      <c r="N202" s="704"/>
      <c r="O202" s="700"/>
    </row>
    <row r="203" spans="1:15" ht="15.75" customHeight="1" x14ac:dyDescent="0.3">
      <c r="A203" s="700"/>
      <c r="B203" s="700"/>
      <c r="C203" s="700"/>
      <c r="D203" s="701"/>
      <c r="E203" s="700"/>
      <c r="F203" s="328"/>
      <c r="G203" s="700"/>
      <c r="H203" s="700"/>
      <c r="I203" s="703"/>
      <c r="J203" s="704"/>
      <c r="K203" s="704"/>
      <c r="L203" s="704"/>
      <c r="M203" s="704"/>
      <c r="N203" s="704"/>
      <c r="O203" s="700"/>
    </row>
    <row r="204" spans="1:15" ht="15.75" customHeight="1" x14ac:dyDescent="0.3">
      <c r="A204" s="700"/>
      <c r="B204" s="700"/>
      <c r="C204" s="700"/>
      <c r="D204" s="701"/>
      <c r="E204" s="700"/>
      <c r="F204" s="328"/>
      <c r="G204" s="700"/>
      <c r="H204" s="700"/>
      <c r="I204" s="703"/>
      <c r="J204" s="704"/>
      <c r="K204" s="704"/>
      <c r="L204" s="704"/>
      <c r="M204" s="704"/>
      <c r="N204" s="704"/>
      <c r="O204" s="700"/>
    </row>
    <row r="205" spans="1:15" ht="15.75" customHeight="1" x14ac:dyDescent="0.3">
      <c r="A205" s="700"/>
      <c r="B205" s="700"/>
      <c r="C205" s="700"/>
      <c r="D205" s="701"/>
      <c r="E205" s="700"/>
      <c r="F205" s="328"/>
      <c r="G205" s="700"/>
      <c r="H205" s="700"/>
      <c r="I205" s="703"/>
      <c r="J205" s="704"/>
      <c r="K205" s="704"/>
      <c r="L205" s="704"/>
      <c r="M205" s="704"/>
      <c r="N205" s="704"/>
      <c r="O205" s="700"/>
    </row>
    <row r="206" spans="1:15" ht="15.75" customHeight="1" x14ac:dyDescent="0.3">
      <c r="A206" s="700"/>
      <c r="B206" s="700"/>
      <c r="C206" s="700"/>
      <c r="D206" s="701"/>
      <c r="E206" s="700"/>
      <c r="F206" s="328"/>
      <c r="G206" s="700"/>
      <c r="H206" s="700"/>
      <c r="I206" s="703"/>
      <c r="J206" s="704"/>
      <c r="K206" s="704"/>
      <c r="L206" s="704"/>
      <c r="M206" s="704"/>
      <c r="N206" s="704"/>
      <c r="O206" s="700"/>
    </row>
    <row r="207" spans="1:15" ht="15.75" customHeight="1" x14ac:dyDescent="0.3">
      <c r="A207" s="700"/>
      <c r="B207" s="700"/>
      <c r="C207" s="700"/>
      <c r="D207" s="701"/>
      <c r="E207" s="700"/>
      <c r="F207" s="328"/>
      <c r="G207" s="700"/>
      <c r="H207" s="700"/>
      <c r="I207" s="703"/>
      <c r="J207" s="704"/>
      <c r="K207" s="704"/>
      <c r="L207" s="704"/>
      <c r="M207" s="704"/>
      <c r="N207" s="704"/>
      <c r="O207" s="700"/>
    </row>
    <row r="208" spans="1:15" ht="15.75" customHeight="1" x14ac:dyDescent="0.3">
      <c r="A208" s="700"/>
      <c r="B208" s="700"/>
      <c r="C208" s="700"/>
      <c r="D208" s="701"/>
      <c r="E208" s="700"/>
      <c r="F208" s="328"/>
      <c r="G208" s="700"/>
      <c r="H208" s="700"/>
      <c r="I208" s="703"/>
      <c r="J208" s="704"/>
      <c r="K208" s="704"/>
      <c r="L208" s="704"/>
      <c r="M208" s="704"/>
      <c r="N208" s="704"/>
      <c r="O208" s="700"/>
    </row>
    <row r="209" spans="1:15" ht="15.75" customHeight="1" x14ac:dyDescent="0.3">
      <c r="A209" s="700"/>
      <c r="B209" s="700"/>
      <c r="C209" s="700"/>
      <c r="D209" s="701"/>
      <c r="E209" s="700"/>
      <c r="F209" s="328"/>
      <c r="G209" s="700"/>
      <c r="H209" s="700"/>
      <c r="I209" s="703"/>
      <c r="J209" s="704"/>
      <c r="K209" s="704"/>
      <c r="L209" s="704"/>
      <c r="M209" s="704"/>
      <c r="N209" s="704"/>
      <c r="O209" s="700"/>
    </row>
    <row r="210" spans="1:15" ht="15.75" customHeight="1" x14ac:dyDescent="0.3">
      <c r="A210" s="700"/>
      <c r="B210" s="700"/>
      <c r="C210" s="700"/>
      <c r="D210" s="701"/>
      <c r="E210" s="700"/>
      <c r="F210" s="328"/>
      <c r="G210" s="700"/>
      <c r="H210" s="700"/>
      <c r="I210" s="703"/>
      <c r="J210" s="704"/>
      <c r="K210" s="704"/>
      <c r="L210" s="704"/>
      <c r="M210" s="704"/>
      <c r="N210" s="704"/>
      <c r="O210" s="700"/>
    </row>
    <row r="211" spans="1:15" ht="15.75" customHeight="1" x14ac:dyDescent="0.3">
      <c r="A211" s="700"/>
      <c r="B211" s="700"/>
      <c r="C211" s="700"/>
      <c r="D211" s="701"/>
      <c r="E211" s="700"/>
      <c r="F211" s="328"/>
      <c r="G211" s="700"/>
      <c r="H211" s="700"/>
      <c r="I211" s="703"/>
      <c r="J211" s="704"/>
      <c r="K211" s="704"/>
      <c r="L211" s="704"/>
      <c r="M211" s="704"/>
      <c r="N211" s="704"/>
      <c r="O211" s="700"/>
    </row>
    <row r="212" spans="1:15" ht="15.75" customHeight="1" x14ac:dyDescent="0.3">
      <c r="A212" s="700"/>
      <c r="B212" s="700"/>
      <c r="C212" s="700"/>
      <c r="D212" s="701"/>
      <c r="E212" s="700"/>
      <c r="F212" s="328"/>
      <c r="G212" s="700"/>
      <c r="H212" s="700"/>
      <c r="I212" s="703"/>
      <c r="J212" s="704"/>
      <c r="K212" s="704"/>
      <c r="L212" s="704"/>
      <c r="M212" s="704"/>
      <c r="N212" s="704"/>
      <c r="O212" s="700"/>
    </row>
    <row r="213" spans="1:15" ht="15.75" customHeight="1" x14ac:dyDescent="0.3">
      <c r="A213" s="700"/>
      <c r="B213" s="700"/>
      <c r="C213" s="700"/>
      <c r="D213" s="701"/>
      <c r="E213" s="700"/>
      <c r="F213" s="328"/>
      <c r="G213" s="700"/>
      <c r="H213" s="700"/>
      <c r="I213" s="703"/>
      <c r="J213" s="704"/>
      <c r="K213" s="704"/>
      <c r="L213" s="704"/>
      <c r="M213" s="704"/>
      <c r="N213" s="704"/>
      <c r="O213" s="700"/>
    </row>
    <row r="214" spans="1:15" ht="15.75" customHeight="1" x14ac:dyDescent="0.3">
      <c r="A214" s="700"/>
      <c r="B214" s="700"/>
      <c r="C214" s="700"/>
      <c r="D214" s="701"/>
      <c r="E214" s="700"/>
      <c r="F214" s="328"/>
      <c r="G214" s="700"/>
      <c r="H214" s="700"/>
      <c r="I214" s="703"/>
      <c r="J214" s="704"/>
      <c r="K214" s="704"/>
      <c r="L214" s="704"/>
      <c r="M214" s="704"/>
      <c r="N214" s="704"/>
      <c r="O214" s="700"/>
    </row>
    <row r="215" spans="1:15" ht="15.75" customHeight="1" x14ac:dyDescent="0.3">
      <c r="A215" s="700"/>
      <c r="B215" s="700"/>
      <c r="C215" s="700"/>
      <c r="D215" s="701"/>
      <c r="E215" s="700"/>
      <c r="F215" s="328"/>
      <c r="G215" s="700"/>
      <c r="H215" s="700"/>
      <c r="I215" s="703"/>
      <c r="J215" s="704"/>
      <c r="K215" s="704"/>
      <c r="L215" s="704"/>
      <c r="M215" s="704"/>
      <c r="N215" s="704"/>
      <c r="O215" s="700"/>
    </row>
    <row r="216" spans="1:15" ht="15.75" customHeight="1" x14ac:dyDescent="0.3">
      <c r="A216" s="700"/>
      <c r="B216" s="700"/>
      <c r="C216" s="700"/>
      <c r="D216" s="701"/>
      <c r="E216" s="700"/>
      <c r="F216" s="328"/>
      <c r="G216" s="700"/>
      <c r="H216" s="700"/>
      <c r="I216" s="703"/>
      <c r="J216" s="704"/>
      <c r="K216" s="704"/>
      <c r="L216" s="704"/>
      <c r="M216" s="704"/>
      <c r="N216" s="704"/>
      <c r="O216" s="700"/>
    </row>
    <row r="217" spans="1:15" ht="15.75" customHeight="1" x14ac:dyDescent="0.3">
      <c r="A217" s="700"/>
      <c r="B217" s="700"/>
      <c r="C217" s="700"/>
      <c r="D217" s="701"/>
      <c r="E217" s="700"/>
      <c r="F217" s="328"/>
      <c r="G217" s="700"/>
      <c r="H217" s="700"/>
      <c r="I217" s="703"/>
      <c r="J217" s="704"/>
      <c r="K217" s="704"/>
      <c r="L217" s="704"/>
      <c r="M217" s="704"/>
      <c r="N217" s="704"/>
      <c r="O217" s="700"/>
    </row>
    <row r="218" spans="1:15" ht="15.75" customHeight="1" x14ac:dyDescent="0.3">
      <c r="A218" s="700"/>
      <c r="B218" s="700"/>
      <c r="C218" s="700"/>
      <c r="D218" s="701"/>
      <c r="E218" s="700"/>
      <c r="F218" s="328"/>
      <c r="G218" s="700"/>
      <c r="H218" s="700"/>
      <c r="I218" s="703"/>
      <c r="J218" s="704"/>
      <c r="K218" s="704"/>
      <c r="L218" s="704"/>
      <c r="M218" s="704"/>
      <c r="N218" s="704"/>
      <c r="O218" s="700"/>
    </row>
    <row r="219" spans="1:15" ht="15.75" customHeight="1" x14ac:dyDescent="0.3">
      <c r="A219" s="700"/>
      <c r="B219" s="700"/>
      <c r="C219" s="700"/>
      <c r="D219" s="701"/>
      <c r="E219" s="700"/>
      <c r="F219" s="328"/>
      <c r="G219" s="700"/>
      <c r="H219" s="700"/>
      <c r="I219" s="703"/>
      <c r="J219" s="704"/>
      <c r="K219" s="704"/>
      <c r="L219" s="704"/>
      <c r="M219" s="704"/>
      <c r="N219" s="704"/>
      <c r="O219" s="700"/>
    </row>
    <row r="220" spans="1:15" ht="15.75" customHeight="1" x14ac:dyDescent="0.3">
      <c r="A220" s="700"/>
      <c r="B220" s="700"/>
      <c r="C220" s="700"/>
      <c r="D220" s="701"/>
      <c r="E220" s="700"/>
      <c r="F220" s="328"/>
      <c r="G220" s="700"/>
      <c r="H220" s="700"/>
      <c r="I220" s="703"/>
      <c r="J220" s="704"/>
      <c r="K220" s="704"/>
      <c r="L220" s="704"/>
      <c r="M220" s="704"/>
      <c r="N220" s="704"/>
      <c r="O220" s="700"/>
    </row>
    <row r="221" spans="1:15" ht="15.75" customHeight="1" x14ac:dyDescent="0.3">
      <c r="A221" s="700"/>
      <c r="B221" s="700"/>
      <c r="C221" s="700"/>
      <c r="D221" s="701"/>
      <c r="E221" s="700"/>
      <c r="F221" s="328"/>
      <c r="G221" s="700"/>
      <c r="H221" s="700"/>
      <c r="I221" s="703"/>
      <c r="J221" s="704"/>
      <c r="K221" s="704"/>
      <c r="L221" s="704"/>
      <c r="M221" s="704"/>
      <c r="N221" s="704"/>
      <c r="O221" s="700"/>
    </row>
    <row r="222" spans="1:15" ht="15.75" customHeight="1" x14ac:dyDescent="0.3">
      <c r="A222" s="700"/>
      <c r="B222" s="700"/>
      <c r="C222" s="700"/>
      <c r="D222" s="701"/>
      <c r="E222" s="700"/>
      <c r="F222" s="328"/>
      <c r="G222" s="700"/>
      <c r="H222" s="700"/>
      <c r="I222" s="703"/>
      <c r="J222" s="704"/>
      <c r="K222" s="704"/>
      <c r="L222" s="704"/>
      <c r="M222" s="704"/>
      <c r="N222" s="704"/>
      <c r="O222" s="700"/>
    </row>
    <row r="223" spans="1:15" ht="15.75" customHeight="1" x14ac:dyDescent="0.3">
      <c r="A223" s="700"/>
      <c r="B223" s="700"/>
      <c r="C223" s="700"/>
      <c r="D223" s="701"/>
      <c r="E223" s="700"/>
      <c r="F223" s="328"/>
      <c r="G223" s="700"/>
      <c r="H223" s="700"/>
      <c r="I223" s="703"/>
      <c r="J223" s="704"/>
      <c r="K223" s="704"/>
      <c r="L223" s="704"/>
      <c r="M223" s="704"/>
      <c r="N223" s="704"/>
      <c r="O223" s="700"/>
    </row>
    <row r="224" spans="1:15" ht="15.75" customHeight="1" x14ac:dyDescent="0.3">
      <c r="A224" s="700"/>
      <c r="B224" s="700"/>
      <c r="C224" s="700"/>
      <c r="D224" s="701"/>
      <c r="E224" s="700"/>
      <c r="F224" s="328"/>
      <c r="G224" s="700"/>
      <c r="H224" s="700"/>
      <c r="I224" s="703"/>
      <c r="J224" s="704"/>
      <c r="K224" s="704"/>
      <c r="L224" s="704"/>
      <c r="M224" s="704"/>
      <c r="N224" s="704"/>
      <c r="O224" s="700"/>
    </row>
    <row r="225" spans="1:15" ht="15.75" customHeight="1" x14ac:dyDescent="0.3">
      <c r="A225" s="700"/>
      <c r="B225" s="700"/>
      <c r="C225" s="700"/>
      <c r="D225" s="701"/>
      <c r="E225" s="700"/>
      <c r="F225" s="328"/>
      <c r="G225" s="700"/>
      <c r="H225" s="700"/>
      <c r="I225" s="703"/>
      <c r="J225" s="704"/>
      <c r="K225" s="704"/>
      <c r="L225" s="704"/>
      <c r="M225" s="704"/>
      <c r="N225" s="704"/>
      <c r="O225" s="700"/>
    </row>
    <row r="226" spans="1:15" ht="15.75" customHeight="1" x14ac:dyDescent="0.3">
      <c r="A226" s="700"/>
      <c r="B226" s="700"/>
      <c r="C226" s="700"/>
      <c r="D226" s="701"/>
      <c r="E226" s="700"/>
      <c r="F226" s="328"/>
      <c r="G226" s="700"/>
      <c r="H226" s="700"/>
      <c r="I226" s="703"/>
      <c r="J226" s="704"/>
      <c r="K226" s="704"/>
      <c r="L226" s="704"/>
      <c r="M226" s="704"/>
      <c r="N226" s="704"/>
      <c r="O226" s="700"/>
    </row>
    <row r="227" spans="1:15" ht="15.75" customHeight="1" x14ac:dyDescent="0.3">
      <c r="A227" s="700"/>
      <c r="B227" s="700"/>
      <c r="C227" s="700"/>
      <c r="D227" s="701"/>
      <c r="E227" s="700"/>
      <c r="F227" s="328"/>
      <c r="G227" s="700"/>
      <c r="H227" s="700"/>
      <c r="I227" s="703"/>
      <c r="J227" s="704"/>
      <c r="K227" s="704"/>
      <c r="L227" s="704"/>
      <c r="M227" s="704"/>
      <c r="N227" s="704"/>
      <c r="O227" s="700"/>
    </row>
    <row r="228" spans="1:15" ht="15.75" customHeight="1" x14ac:dyDescent="0.3">
      <c r="A228" s="700"/>
      <c r="B228" s="700"/>
      <c r="C228" s="700"/>
      <c r="D228" s="701"/>
      <c r="E228" s="700"/>
      <c r="F228" s="328"/>
      <c r="G228" s="700"/>
      <c r="H228" s="700"/>
      <c r="I228" s="703"/>
      <c r="J228" s="704"/>
      <c r="K228" s="704"/>
      <c r="L228" s="704"/>
      <c r="M228" s="704"/>
      <c r="N228" s="704"/>
      <c r="O228" s="700"/>
    </row>
    <row r="229" spans="1:15" ht="15.75" customHeight="1" x14ac:dyDescent="0.3">
      <c r="A229" s="700"/>
      <c r="B229" s="700"/>
      <c r="C229" s="700"/>
      <c r="D229" s="701"/>
      <c r="E229" s="700"/>
      <c r="F229" s="328"/>
      <c r="G229" s="700"/>
      <c r="H229" s="700"/>
      <c r="I229" s="703"/>
      <c r="J229" s="704"/>
      <c r="K229" s="704"/>
      <c r="L229" s="704"/>
      <c r="M229" s="704"/>
      <c r="N229" s="704"/>
      <c r="O229" s="700"/>
    </row>
    <row r="230" spans="1:15" ht="15.75" customHeight="1" x14ac:dyDescent="0.3">
      <c r="A230" s="700"/>
      <c r="B230" s="700"/>
      <c r="C230" s="700"/>
      <c r="D230" s="701"/>
      <c r="E230" s="700"/>
      <c r="F230" s="328"/>
      <c r="G230" s="700"/>
      <c r="H230" s="700"/>
      <c r="I230" s="703"/>
      <c r="J230" s="704"/>
      <c r="K230" s="704"/>
      <c r="L230" s="704"/>
      <c r="M230" s="704"/>
      <c r="N230" s="704"/>
      <c r="O230" s="700"/>
    </row>
    <row r="231" spans="1:15" ht="15.75" customHeight="1" x14ac:dyDescent="0.3">
      <c r="A231" s="700"/>
      <c r="B231" s="700"/>
      <c r="C231" s="700"/>
      <c r="D231" s="701"/>
      <c r="E231" s="700"/>
      <c r="F231" s="328"/>
      <c r="G231" s="700"/>
      <c r="H231" s="700"/>
      <c r="I231" s="703"/>
      <c r="J231" s="704"/>
      <c r="K231" s="704"/>
      <c r="L231" s="704"/>
      <c r="M231" s="704"/>
      <c r="N231" s="704"/>
      <c r="O231" s="700"/>
    </row>
    <row r="232" spans="1:15" ht="15.75" customHeight="1" x14ac:dyDescent="0.3">
      <c r="A232" s="700"/>
      <c r="B232" s="700"/>
      <c r="C232" s="700"/>
      <c r="D232" s="701"/>
      <c r="E232" s="700"/>
      <c r="F232" s="328"/>
      <c r="G232" s="700"/>
      <c r="H232" s="700"/>
      <c r="I232" s="703"/>
      <c r="J232" s="704"/>
      <c r="K232" s="704"/>
      <c r="L232" s="704"/>
      <c r="M232" s="704"/>
      <c r="N232" s="704"/>
      <c r="O232" s="700"/>
    </row>
    <row r="233" spans="1:15" ht="15.75" customHeight="1" x14ac:dyDescent="0.3">
      <c r="A233" s="700"/>
      <c r="B233" s="700"/>
      <c r="C233" s="700"/>
      <c r="D233" s="701"/>
      <c r="E233" s="700"/>
      <c r="F233" s="328"/>
      <c r="G233" s="700"/>
      <c r="H233" s="700"/>
      <c r="I233" s="703"/>
      <c r="J233" s="704"/>
      <c r="K233" s="704"/>
      <c r="L233" s="704"/>
      <c r="M233" s="704"/>
      <c r="N233" s="704"/>
      <c r="O233" s="700"/>
    </row>
    <row r="234" spans="1:15" ht="15.75" customHeight="1" x14ac:dyDescent="0.3">
      <c r="A234" s="700"/>
      <c r="B234" s="700"/>
      <c r="C234" s="700"/>
      <c r="D234" s="701"/>
      <c r="E234" s="700"/>
      <c r="F234" s="328"/>
      <c r="G234" s="700"/>
      <c r="H234" s="700"/>
      <c r="I234" s="703"/>
      <c r="J234" s="704"/>
      <c r="K234" s="704"/>
      <c r="L234" s="704"/>
      <c r="M234" s="704"/>
      <c r="N234" s="704"/>
      <c r="O234" s="700"/>
    </row>
    <row r="235" spans="1:15" ht="15.75" customHeight="1" x14ac:dyDescent="0.3">
      <c r="A235" s="700"/>
      <c r="B235" s="700"/>
      <c r="C235" s="700"/>
      <c r="D235" s="701"/>
      <c r="E235" s="700"/>
      <c r="F235" s="328"/>
      <c r="G235" s="700"/>
      <c r="H235" s="700"/>
      <c r="I235" s="703"/>
      <c r="J235" s="704"/>
      <c r="K235" s="704"/>
      <c r="L235" s="704"/>
      <c r="M235" s="704"/>
      <c r="N235" s="704"/>
      <c r="O235" s="700"/>
    </row>
    <row r="236" spans="1:15" ht="15.75" customHeight="1" x14ac:dyDescent="0.3">
      <c r="A236" s="700"/>
      <c r="B236" s="700"/>
      <c r="C236" s="700"/>
      <c r="D236" s="701"/>
      <c r="E236" s="700"/>
      <c r="F236" s="328"/>
      <c r="G236" s="700"/>
      <c r="H236" s="700"/>
      <c r="I236" s="703"/>
      <c r="J236" s="704"/>
      <c r="K236" s="704"/>
      <c r="L236" s="704"/>
      <c r="M236" s="704"/>
      <c r="N236" s="704"/>
      <c r="O236" s="700"/>
    </row>
    <row r="237" spans="1:15" ht="15.75" customHeight="1" x14ac:dyDescent="0.3">
      <c r="A237" s="700"/>
      <c r="B237" s="700"/>
      <c r="C237" s="700"/>
      <c r="D237" s="701"/>
      <c r="E237" s="700"/>
      <c r="F237" s="328"/>
      <c r="G237" s="700"/>
      <c r="H237" s="700"/>
      <c r="I237" s="703"/>
      <c r="J237" s="704"/>
      <c r="K237" s="704"/>
      <c r="L237" s="704"/>
      <c r="M237" s="704"/>
      <c r="N237" s="704"/>
      <c r="O237" s="700"/>
    </row>
    <row r="238" spans="1:15" ht="15.75" customHeight="1" x14ac:dyDescent="0.3">
      <c r="A238" s="700"/>
      <c r="B238" s="700"/>
      <c r="C238" s="700"/>
      <c r="D238" s="701"/>
      <c r="E238" s="700"/>
      <c r="F238" s="328"/>
      <c r="G238" s="700"/>
      <c r="H238" s="700"/>
      <c r="I238" s="703"/>
      <c r="J238" s="704"/>
      <c r="K238" s="704"/>
      <c r="L238" s="704"/>
      <c r="M238" s="704"/>
      <c r="N238" s="704"/>
      <c r="O238" s="700"/>
    </row>
    <row r="239" spans="1:15" ht="15.75" customHeight="1" x14ac:dyDescent="0.3">
      <c r="A239" s="700"/>
      <c r="B239" s="700"/>
      <c r="C239" s="700"/>
      <c r="D239" s="701"/>
      <c r="E239" s="700"/>
      <c r="F239" s="328"/>
      <c r="G239" s="700"/>
      <c r="H239" s="700"/>
      <c r="I239" s="703"/>
      <c r="J239" s="704"/>
      <c r="K239" s="704"/>
      <c r="L239" s="704"/>
      <c r="M239" s="704"/>
      <c r="N239" s="704"/>
      <c r="O239" s="700"/>
    </row>
    <row r="240" spans="1:15" ht="15.75" customHeight="1" x14ac:dyDescent="0.3">
      <c r="A240" s="700"/>
      <c r="B240" s="700"/>
      <c r="C240" s="700"/>
      <c r="D240" s="701"/>
      <c r="E240" s="700"/>
      <c r="F240" s="328"/>
      <c r="G240" s="700"/>
      <c r="H240" s="700"/>
      <c r="I240" s="703"/>
      <c r="J240" s="704"/>
      <c r="K240" s="704"/>
      <c r="L240" s="704"/>
      <c r="M240" s="704"/>
      <c r="N240" s="704"/>
      <c r="O240" s="700"/>
    </row>
    <row r="241" spans="1:15" ht="15.75" customHeight="1" x14ac:dyDescent="0.3">
      <c r="A241" s="700"/>
      <c r="B241" s="700"/>
      <c r="C241" s="700"/>
      <c r="D241" s="701"/>
      <c r="E241" s="700"/>
      <c r="F241" s="328"/>
      <c r="G241" s="700"/>
      <c r="H241" s="700"/>
      <c r="I241" s="703"/>
      <c r="J241" s="704"/>
      <c r="K241" s="704"/>
      <c r="L241" s="704"/>
      <c r="M241" s="704"/>
      <c r="N241" s="704"/>
      <c r="O241" s="700"/>
    </row>
    <row r="242" spans="1:15" ht="15.75" customHeight="1" x14ac:dyDescent="0.3">
      <c r="A242" s="700"/>
      <c r="B242" s="700"/>
      <c r="C242" s="700"/>
      <c r="D242" s="701"/>
      <c r="E242" s="700"/>
      <c r="F242" s="328"/>
      <c r="G242" s="700"/>
      <c r="H242" s="700"/>
      <c r="I242" s="703"/>
      <c r="J242" s="704"/>
      <c r="K242" s="704"/>
      <c r="L242" s="704"/>
      <c r="M242" s="704"/>
      <c r="N242" s="704"/>
      <c r="O242" s="700"/>
    </row>
    <row r="243" spans="1:15" ht="15.75" customHeight="1" x14ac:dyDescent="0.3">
      <c r="A243" s="700"/>
      <c r="B243" s="700"/>
      <c r="C243" s="700"/>
      <c r="D243" s="701"/>
      <c r="E243" s="700"/>
      <c r="F243" s="328"/>
      <c r="G243" s="700"/>
      <c r="H243" s="700"/>
      <c r="I243" s="703"/>
      <c r="J243" s="704"/>
      <c r="K243" s="704"/>
      <c r="L243" s="704"/>
      <c r="M243" s="704"/>
      <c r="N243" s="704"/>
      <c r="O243" s="700"/>
    </row>
    <row r="244" spans="1:15" ht="15.75" customHeight="1" x14ac:dyDescent="0.3">
      <c r="A244" s="700"/>
      <c r="B244" s="700"/>
      <c r="C244" s="700"/>
      <c r="D244" s="701"/>
      <c r="E244" s="700"/>
      <c r="F244" s="328"/>
      <c r="G244" s="700"/>
      <c r="H244" s="700"/>
      <c r="I244" s="703"/>
      <c r="J244" s="704"/>
      <c r="K244" s="704"/>
      <c r="L244" s="704"/>
      <c r="M244" s="704"/>
      <c r="N244" s="704"/>
      <c r="O244" s="700"/>
    </row>
    <row r="245" spans="1:15" ht="15.75" customHeight="1" x14ac:dyDescent="0.3">
      <c r="A245" s="700"/>
      <c r="B245" s="700"/>
      <c r="C245" s="700"/>
      <c r="D245" s="701"/>
      <c r="E245" s="700"/>
      <c r="F245" s="328"/>
      <c r="G245" s="700"/>
      <c r="H245" s="700"/>
      <c r="I245" s="703"/>
      <c r="J245" s="704"/>
      <c r="K245" s="704"/>
      <c r="L245" s="704"/>
      <c r="M245" s="704"/>
      <c r="N245" s="704"/>
      <c r="O245" s="700"/>
    </row>
    <row r="246" spans="1:15" ht="15.75" customHeight="1" x14ac:dyDescent="0.3">
      <c r="A246" s="700"/>
      <c r="B246" s="700"/>
      <c r="C246" s="700"/>
      <c r="D246" s="701"/>
      <c r="E246" s="700"/>
      <c r="F246" s="328"/>
      <c r="G246" s="700"/>
      <c r="H246" s="700"/>
      <c r="I246" s="703"/>
      <c r="J246" s="704"/>
      <c r="K246" s="704"/>
      <c r="L246" s="704"/>
      <c r="M246" s="704"/>
      <c r="N246" s="704"/>
      <c r="O246" s="700"/>
    </row>
    <row r="247" spans="1:15" ht="15.75" customHeight="1" x14ac:dyDescent="0.3">
      <c r="A247" s="700"/>
      <c r="B247" s="700"/>
      <c r="C247" s="700"/>
      <c r="D247" s="701"/>
      <c r="E247" s="700"/>
      <c r="F247" s="328"/>
      <c r="G247" s="700"/>
      <c r="H247" s="700"/>
      <c r="I247" s="703"/>
      <c r="J247" s="704"/>
      <c r="K247" s="704"/>
      <c r="L247" s="704"/>
      <c r="M247" s="704"/>
      <c r="N247" s="704"/>
      <c r="O247" s="700"/>
    </row>
    <row r="248" spans="1:15" ht="15.75" customHeight="1" x14ac:dyDescent="0.3">
      <c r="A248" s="700"/>
      <c r="B248" s="700"/>
      <c r="C248" s="700"/>
      <c r="D248" s="701"/>
      <c r="E248" s="700"/>
      <c r="F248" s="328"/>
      <c r="G248" s="700"/>
      <c r="H248" s="700"/>
      <c r="I248" s="703"/>
      <c r="J248" s="704"/>
      <c r="K248" s="704"/>
      <c r="L248" s="704"/>
      <c r="M248" s="704"/>
      <c r="N248" s="704"/>
      <c r="O248" s="700"/>
    </row>
    <row r="249" spans="1:15" ht="15.75" customHeight="1" x14ac:dyDescent="0.3">
      <c r="A249" s="700"/>
      <c r="B249" s="700"/>
      <c r="C249" s="700"/>
      <c r="D249" s="701"/>
      <c r="E249" s="700"/>
      <c r="F249" s="328"/>
      <c r="G249" s="700"/>
      <c r="H249" s="700"/>
      <c r="I249" s="703"/>
      <c r="J249" s="704"/>
      <c r="K249" s="704"/>
      <c r="L249" s="704"/>
      <c r="M249" s="704"/>
      <c r="N249" s="704"/>
      <c r="O249" s="700"/>
    </row>
    <row r="250" spans="1:15" ht="15.75" customHeight="1" x14ac:dyDescent="0.3">
      <c r="A250" s="700"/>
      <c r="B250" s="700"/>
      <c r="C250" s="700"/>
      <c r="D250" s="701"/>
      <c r="E250" s="700"/>
      <c r="F250" s="328"/>
      <c r="G250" s="700"/>
      <c r="H250" s="700"/>
      <c r="I250" s="703"/>
      <c r="J250" s="704"/>
      <c r="K250" s="704"/>
      <c r="L250" s="704"/>
      <c r="M250" s="704"/>
      <c r="N250" s="704"/>
      <c r="O250" s="700"/>
    </row>
    <row r="251" spans="1:15" ht="15.75" customHeight="1" x14ac:dyDescent="0.3">
      <c r="A251" s="700"/>
      <c r="B251" s="700"/>
      <c r="C251" s="700"/>
      <c r="D251" s="701"/>
      <c r="E251" s="700"/>
      <c r="F251" s="328"/>
      <c r="G251" s="700"/>
      <c r="H251" s="700"/>
      <c r="I251" s="703"/>
      <c r="J251" s="704"/>
      <c r="K251" s="704"/>
      <c r="L251" s="704"/>
      <c r="M251" s="704"/>
      <c r="N251" s="704"/>
      <c r="O251" s="700"/>
    </row>
    <row r="252" spans="1:15" ht="15.75" customHeight="1" x14ac:dyDescent="0.3">
      <c r="A252" s="700"/>
      <c r="B252" s="700"/>
      <c r="C252" s="700"/>
      <c r="D252" s="701"/>
      <c r="E252" s="700"/>
      <c r="F252" s="328"/>
      <c r="G252" s="700"/>
      <c r="H252" s="700"/>
      <c r="I252" s="703"/>
      <c r="J252" s="704"/>
      <c r="K252" s="704"/>
      <c r="L252" s="704"/>
      <c r="M252" s="704"/>
      <c r="N252" s="704"/>
      <c r="O252" s="700"/>
    </row>
    <row r="253" spans="1:15" ht="15.75" customHeight="1" x14ac:dyDescent="0.3">
      <c r="A253" s="700"/>
      <c r="B253" s="700"/>
      <c r="C253" s="700"/>
      <c r="D253" s="701"/>
      <c r="E253" s="700"/>
      <c r="F253" s="328"/>
      <c r="G253" s="700"/>
      <c r="H253" s="700"/>
      <c r="I253" s="703"/>
      <c r="J253" s="704"/>
      <c r="K253" s="704"/>
      <c r="L253" s="704"/>
      <c r="M253" s="704"/>
      <c r="N253" s="704"/>
      <c r="O253" s="700"/>
    </row>
    <row r="254" spans="1:15" ht="15.75" customHeight="1" x14ac:dyDescent="0.3">
      <c r="A254" s="700"/>
      <c r="B254" s="700"/>
      <c r="C254" s="700"/>
      <c r="D254" s="701"/>
      <c r="E254" s="700"/>
      <c r="F254" s="328"/>
      <c r="G254" s="700"/>
      <c r="H254" s="700"/>
      <c r="I254" s="703"/>
      <c r="J254" s="704"/>
      <c r="K254" s="704"/>
      <c r="L254" s="704"/>
      <c r="M254" s="704"/>
      <c r="N254" s="704"/>
      <c r="O254" s="700"/>
    </row>
    <row r="255" spans="1:15" ht="15.75" customHeight="1" x14ac:dyDescent="0.3">
      <c r="A255" s="700"/>
      <c r="B255" s="700"/>
      <c r="C255" s="700"/>
      <c r="D255" s="701"/>
      <c r="E255" s="700"/>
      <c r="F255" s="328"/>
      <c r="G255" s="700"/>
      <c r="H255" s="700"/>
      <c r="I255" s="703"/>
      <c r="J255" s="704"/>
      <c r="K255" s="704"/>
      <c r="L255" s="704"/>
      <c r="M255" s="704"/>
      <c r="N255" s="704"/>
      <c r="O255" s="700"/>
    </row>
    <row r="256" spans="1:15" ht="15.75" customHeight="1" x14ac:dyDescent="0.3">
      <c r="A256" s="700"/>
      <c r="B256" s="700"/>
      <c r="C256" s="700"/>
      <c r="D256" s="701"/>
      <c r="E256" s="700"/>
      <c r="F256" s="328"/>
      <c r="G256" s="700"/>
      <c r="H256" s="700"/>
      <c r="I256" s="703"/>
      <c r="J256" s="704"/>
      <c r="K256" s="704"/>
      <c r="L256" s="704"/>
      <c r="M256" s="704"/>
      <c r="N256" s="704"/>
      <c r="O256" s="700"/>
    </row>
    <row r="257" spans="1:15" ht="15.75" customHeight="1" x14ac:dyDescent="0.3">
      <c r="A257" s="700"/>
      <c r="B257" s="700"/>
      <c r="C257" s="700"/>
      <c r="D257" s="701"/>
      <c r="E257" s="700"/>
      <c r="F257" s="328"/>
      <c r="G257" s="700"/>
      <c r="H257" s="700"/>
      <c r="I257" s="703"/>
      <c r="J257" s="704"/>
      <c r="K257" s="704"/>
      <c r="L257" s="704"/>
      <c r="M257" s="704"/>
      <c r="N257" s="704"/>
      <c r="O257" s="700"/>
    </row>
    <row r="258" spans="1:15" ht="15.75" customHeight="1" x14ac:dyDescent="0.3">
      <c r="A258" s="700"/>
      <c r="B258" s="700"/>
      <c r="C258" s="700"/>
      <c r="D258" s="701"/>
      <c r="E258" s="700"/>
      <c r="F258" s="328"/>
      <c r="G258" s="700"/>
      <c r="H258" s="700"/>
      <c r="I258" s="703"/>
      <c r="J258" s="704"/>
      <c r="K258" s="704"/>
      <c r="L258" s="704"/>
      <c r="M258" s="704"/>
      <c r="N258" s="704"/>
      <c r="O258" s="700"/>
    </row>
    <row r="259" spans="1:15" ht="15.75" customHeight="1" x14ac:dyDescent="0.3">
      <c r="A259" s="700"/>
      <c r="B259" s="700"/>
      <c r="C259" s="700"/>
      <c r="D259" s="701"/>
      <c r="E259" s="700"/>
      <c r="F259" s="328"/>
      <c r="G259" s="700"/>
      <c r="H259" s="700"/>
      <c r="I259" s="703"/>
      <c r="J259" s="704"/>
      <c r="K259" s="704"/>
      <c r="L259" s="704"/>
      <c r="M259" s="704"/>
      <c r="N259" s="704"/>
      <c r="O259" s="700"/>
    </row>
    <row r="260" spans="1:15" ht="15.75" customHeight="1" x14ac:dyDescent="0.3">
      <c r="A260" s="700"/>
      <c r="B260" s="700"/>
      <c r="C260" s="700"/>
      <c r="D260" s="701"/>
      <c r="E260" s="700"/>
      <c r="F260" s="328"/>
      <c r="G260" s="700"/>
      <c r="H260" s="700"/>
      <c r="I260" s="703"/>
      <c r="J260" s="704"/>
      <c r="K260" s="704"/>
      <c r="L260" s="704"/>
      <c r="M260" s="704"/>
      <c r="N260" s="704"/>
      <c r="O260" s="700"/>
    </row>
    <row r="261" spans="1:15" ht="15.75" customHeight="1" x14ac:dyDescent="0.3">
      <c r="A261" s="700"/>
      <c r="B261" s="700"/>
      <c r="C261" s="700"/>
      <c r="D261" s="701"/>
      <c r="E261" s="700"/>
      <c r="F261" s="328"/>
      <c r="G261" s="700"/>
      <c r="H261" s="700"/>
      <c r="I261" s="703"/>
      <c r="J261" s="704"/>
      <c r="K261" s="704"/>
      <c r="L261" s="704"/>
      <c r="M261" s="704"/>
      <c r="N261" s="704"/>
      <c r="O261" s="700"/>
    </row>
    <row r="262" spans="1:15" ht="15.75" customHeight="1" x14ac:dyDescent="0.3">
      <c r="A262" s="700"/>
      <c r="B262" s="700"/>
      <c r="C262" s="700"/>
      <c r="D262" s="701"/>
      <c r="E262" s="700"/>
      <c r="F262" s="328"/>
      <c r="G262" s="700"/>
      <c r="H262" s="700"/>
      <c r="I262" s="703"/>
      <c r="J262" s="704"/>
      <c r="K262" s="704"/>
      <c r="L262" s="704"/>
      <c r="M262" s="704"/>
      <c r="N262" s="704"/>
      <c r="O262" s="700"/>
    </row>
    <row r="263" spans="1:15" ht="15.75" customHeight="1" x14ac:dyDescent="0.3">
      <c r="A263" s="700"/>
      <c r="B263" s="700"/>
      <c r="C263" s="700"/>
      <c r="D263" s="701"/>
      <c r="E263" s="700"/>
      <c r="F263" s="328"/>
      <c r="G263" s="700"/>
      <c r="H263" s="700"/>
      <c r="I263" s="703"/>
      <c r="J263" s="704"/>
      <c r="K263" s="704"/>
      <c r="L263" s="704"/>
      <c r="M263" s="704"/>
      <c r="N263" s="704"/>
      <c r="O263" s="700"/>
    </row>
    <row r="264" spans="1:15" ht="15.75" customHeight="1" x14ac:dyDescent="0.3">
      <c r="A264" s="700"/>
      <c r="B264" s="700"/>
      <c r="C264" s="700"/>
      <c r="D264" s="701"/>
      <c r="E264" s="700"/>
      <c r="F264" s="328"/>
      <c r="G264" s="700"/>
      <c r="H264" s="700"/>
      <c r="I264" s="703"/>
      <c r="J264" s="704"/>
      <c r="K264" s="704"/>
      <c r="L264" s="704"/>
      <c r="M264" s="704"/>
      <c r="N264" s="704"/>
      <c r="O264" s="700"/>
    </row>
    <row r="265" spans="1:15" ht="15.75" customHeight="1" x14ac:dyDescent="0.3">
      <c r="A265" s="700"/>
      <c r="B265" s="700"/>
      <c r="C265" s="700"/>
      <c r="D265" s="701"/>
      <c r="E265" s="700"/>
      <c r="F265" s="328"/>
      <c r="G265" s="700"/>
      <c r="H265" s="700"/>
      <c r="I265" s="703"/>
      <c r="J265" s="704"/>
      <c r="K265" s="704"/>
      <c r="L265" s="704"/>
      <c r="M265" s="704"/>
      <c r="N265" s="704"/>
      <c r="O265" s="700"/>
    </row>
    <row r="266" spans="1:15" ht="15.75" customHeight="1" x14ac:dyDescent="0.3">
      <c r="A266" s="700"/>
      <c r="B266" s="700"/>
      <c r="C266" s="700"/>
      <c r="D266" s="701"/>
      <c r="E266" s="700"/>
      <c r="F266" s="328"/>
      <c r="G266" s="700"/>
      <c r="H266" s="700"/>
      <c r="I266" s="703"/>
      <c r="J266" s="704"/>
      <c r="K266" s="704"/>
      <c r="L266" s="704"/>
      <c r="M266" s="704"/>
      <c r="N266" s="704"/>
      <c r="O266" s="700"/>
    </row>
    <row r="267" spans="1:15" ht="15.75" customHeight="1" x14ac:dyDescent="0.3">
      <c r="A267" s="700"/>
      <c r="B267" s="700"/>
      <c r="C267" s="700"/>
      <c r="D267" s="701"/>
      <c r="E267" s="700"/>
      <c r="F267" s="328"/>
      <c r="G267" s="700"/>
      <c r="H267" s="700"/>
      <c r="I267" s="703"/>
      <c r="J267" s="704"/>
      <c r="K267" s="704"/>
      <c r="L267" s="704"/>
      <c r="M267" s="704"/>
      <c r="N267" s="704"/>
      <c r="O267" s="700"/>
    </row>
    <row r="268" spans="1:15" ht="15.75" customHeight="1" x14ac:dyDescent="0.3">
      <c r="A268" s="700"/>
      <c r="B268" s="700"/>
      <c r="C268" s="700"/>
      <c r="D268" s="701"/>
      <c r="E268" s="700"/>
      <c r="F268" s="328"/>
      <c r="G268" s="700"/>
      <c r="H268" s="700"/>
      <c r="I268" s="703"/>
      <c r="J268" s="704"/>
      <c r="K268" s="704"/>
      <c r="L268" s="704"/>
      <c r="M268" s="704"/>
      <c r="N268" s="704"/>
      <c r="O268" s="700"/>
    </row>
    <row r="269" spans="1:15" ht="15.75" customHeight="1" x14ac:dyDescent="0.3">
      <c r="A269" s="700"/>
      <c r="B269" s="700"/>
      <c r="C269" s="700"/>
      <c r="D269" s="701"/>
      <c r="E269" s="700"/>
      <c r="F269" s="328"/>
      <c r="G269" s="700"/>
      <c r="H269" s="700"/>
      <c r="I269" s="703"/>
      <c r="J269" s="704"/>
      <c r="K269" s="704"/>
      <c r="L269" s="704"/>
      <c r="M269" s="704"/>
      <c r="N269" s="704"/>
      <c r="O269" s="700"/>
    </row>
    <row r="270" spans="1:15" ht="15.75" customHeight="1" x14ac:dyDescent="0.3">
      <c r="A270" s="700"/>
      <c r="B270" s="700"/>
      <c r="C270" s="700"/>
      <c r="D270" s="701"/>
      <c r="E270" s="700"/>
      <c r="F270" s="328"/>
      <c r="G270" s="700"/>
      <c r="H270" s="700"/>
      <c r="I270" s="703"/>
      <c r="J270" s="704"/>
      <c r="K270" s="704"/>
      <c r="L270" s="704"/>
      <c r="M270" s="704"/>
      <c r="N270" s="704"/>
      <c r="O270" s="700"/>
    </row>
    <row r="271" spans="1:15" ht="15.75" customHeight="1" x14ac:dyDescent="0.3">
      <c r="A271" s="700"/>
      <c r="B271" s="700"/>
      <c r="C271" s="700"/>
      <c r="D271" s="701"/>
      <c r="E271" s="700"/>
      <c r="F271" s="328"/>
      <c r="G271" s="700"/>
      <c r="H271" s="700"/>
      <c r="I271" s="703"/>
      <c r="J271" s="704"/>
      <c r="K271" s="704"/>
      <c r="L271" s="704"/>
      <c r="M271" s="704"/>
      <c r="N271" s="704"/>
      <c r="O271" s="700"/>
    </row>
    <row r="272" spans="1:15" ht="15.75" customHeight="1" x14ac:dyDescent="0.3">
      <c r="A272" s="700"/>
      <c r="B272" s="700"/>
      <c r="C272" s="700"/>
      <c r="D272" s="701"/>
      <c r="E272" s="700"/>
      <c r="F272" s="328"/>
      <c r="G272" s="700"/>
      <c r="H272" s="700"/>
      <c r="I272" s="703"/>
      <c r="J272" s="704"/>
      <c r="K272" s="704"/>
      <c r="L272" s="704"/>
      <c r="M272" s="704"/>
      <c r="N272" s="704"/>
      <c r="O272" s="700"/>
    </row>
    <row r="273" spans="1:15" ht="15.75" customHeight="1" x14ac:dyDescent="0.3">
      <c r="A273" s="700"/>
      <c r="B273" s="700"/>
      <c r="C273" s="700"/>
      <c r="D273" s="701"/>
      <c r="E273" s="700"/>
      <c r="F273" s="328"/>
      <c r="G273" s="700"/>
      <c r="H273" s="700"/>
      <c r="I273" s="703"/>
      <c r="J273" s="704"/>
      <c r="K273" s="704"/>
      <c r="L273" s="704"/>
      <c r="M273" s="704"/>
      <c r="N273" s="704"/>
      <c r="O273" s="700"/>
    </row>
    <row r="274" spans="1:15" ht="15.75" customHeight="1" x14ac:dyDescent="0.3">
      <c r="A274" s="700"/>
      <c r="B274" s="700"/>
      <c r="C274" s="700"/>
      <c r="D274" s="701"/>
      <c r="E274" s="700"/>
      <c r="F274" s="328"/>
      <c r="G274" s="700"/>
      <c r="H274" s="700"/>
      <c r="I274" s="703"/>
      <c r="J274" s="704"/>
      <c r="K274" s="704"/>
      <c r="L274" s="704"/>
      <c r="M274" s="704"/>
      <c r="N274" s="704"/>
      <c r="O274" s="700"/>
    </row>
    <row r="275" spans="1:15" ht="15.75" customHeight="1" x14ac:dyDescent="0.3">
      <c r="A275" s="700"/>
      <c r="B275" s="700"/>
      <c r="C275" s="700"/>
      <c r="D275" s="701"/>
      <c r="E275" s="700"/>
      <c r="F275" s="328"/>
      <c r="G275" s="700"/>
      <c r="H275" s="700"/>
      <c r="I275" s="703"/>
      <c r="J275" s="704"/>
      <c r="K275" s="704"/>
      <c r="L275" s="704"/>
      <c r="M275" s="704"/>
      <c r="N275" s="704"/>
      <c r="O275" s="700"/>
    </row>
    <row r="276" spans="1:15" ht="15.75" customHeight="1" x14ac:dyDescent="0.3">
      <c r="A276" s="700"/>
      <c r="B276" s="700"/>
      <c r="C276" s="700"/>
      <c r="D276" s="701"/>
      <c r="E276" s="700"/>
      <c r="F276" s="328"/>
      <c r="G276" s="700"/>
      <c r="H276" s="700"/>
      <c r="I276" s="703"/>
      <c r="J276" s="704"/>
      <c r="K276" s="704"/>
      <c r="L276" s="704"/>
      <c r="M276" s="704"/>
      <c r="N276" s="704"/>
      <c r="O276" s="700"/>
    </row>
    <row r="277" spans="1:15" ht="15.75" customHeight="1" x14ac:dyDescent="0.3">
      <c r="A277" s="700"/>
      <c r="B277" s="700"/>
      <c r="C277" s="700"/>
      <c r="D277" s="701"/>
      <c r="E277" s="700"/>
      <c r="F277" s="328"/>
      <c r="G277" s="700"/>
      <c r="H277" s="700"/>
      <c r="I277" s="703"/>
      <c r="J277" s="704"/>
      <c r="K277" s="704"/>
      <c r="L277" s="704"/>
      <c r="M277" s="704"/>
      <c r="N277" s="704"/>
      <c r="O277" s="700"/>
    </row>
    <row r="278" spans="1:15" ht="15.75" customHeight="1" x14ac:dyDescent="0.3">
      <c r="A278" s="700"/>
      <c r="B278" s="700"/>
      <c r="C278" s="700"/>
      <c r="D278" s="701"/>
      <c r="E278" s="700"/>
      <c r="F278" s="328"/>
      <c r="G278" s="700"/>
      <c r="H278" s="700"/>
      <c r="I278" s="703"/>
      <c r="J278" s="704"/>
      <c r="K278" s="704"/>
      <c r="L278" s="704"/>
      <c r="M278" s="704"/>
      <c r="N278" s="704"/>
      <c r="O278" s="700"/>
    </row>
    <row r="279" spans="1:15" ht="15.75" customHeight="1" x14ac:dyDescent="0.3">
      <c r="A279" s="700"/>
      <c r="B279" s="700"/>
      <c r="C279" s="700"/>
      <c r="D279" s="701"/>
      <c r="E279" s="700"/>
      <c r="F279" s="328"/>
      <c r="G279" s="700"/>
      <c r="H279" s="700"/>
      <c r="I279" s="703"/>
      <c r="J279" s="704"/>
      <c r="K279" s="704"/>
      <c r="L279" s="704"/>
      <c r="M279" s="704"/>
      <c r="N279" s="704"/>
      <c r="O279" s="700"/>
    </row>
    <row r="280" spans="1:15" ht="15.75" customHeight="1" x14ac:dyDescent="0.3">
      <c r="A280" s="700"/>
      <c r="B280" s="700"/>
      <c r="C280" s="700"/>
      <c r="D280" s="701"/>
      <c r="E280" s="700"/>
      <c r="F280" s="328"/>
      <c r="G280" s="700"/>
      <c r="H280" s="700"/>
      <c r="I280" s="703"/>
      <c r="J280" s="704"/>
      <c r="K280" s="704"/>
      <c r="L280" s="704"/>
      <c r="M280" s="704"/>
      <c r="N280" s="704"/>
      <c r="O280" s="700"/>
    </row>
    <row r="281" spans="1:15" ht="15.75" customHeight="1" x14ac:dyDescent="0.3">
      <c r="A281" s="700"/>
      <c r="B281" s="700"/>
      <c r="C281" s="700"/>
      <c r="D281" s="701"/>
      <c r="E281" s="700"/>
      <c r="F281" s="328"/>
      <c r="G281" s="700"/>
      <c r="H281" s="700"/>
      <c r="I281" s="703"/>
      <c r="J281" s="704"/>
      <c r="K281" s="704"/>
      <c r="L281" s="704"/>
      <c r="M281" s="704"/>
      <c r="N281" s="704"/>
      <c r="O281" s="700"/>
    </row>
    <row r="282" spans="1:15" ht="15.75" customHeight="1" x14ac:dyDescent="0.3">
      <c r="A282" s="700"/>
      <c r="B282" s="700"/>
      <c r="C282" s="700"/>
      <c r="D282" s="701"/>
      <c r="E282" s="700"/>
      <c r="F282" s="328"/>
      <c r="G282" s="700"/>
      <c r="H282" s="700"/>
      <c r="I282" s="703"/>
      <c r="J282" s="704"/>
      <c r="K282" s="704"/>
      <c r="L282" s="704"/>
      <c r="M282" s="704"/>
      <c r="N282" s="704"/>
      <c r="O282" s="700"/>
    </row>
    <row r="283" spans="1:15" ht="15.75" customHeight="1" x14ac:dyDescent="0.3">
      <c r="A283" s="700"/>
      <c r="B283" s="700"/>
      <c r="C283" s="700"/>
      <c r="D283" s="701"/>
      <c r="E283" s="700"/>
      <c r="F283" s="328"/>
      <c r="G283" s="700"/>
      <c r="H283" s="700"/>
      <c r="I283" s="703"/>
      <c r="J283" s="704"/>
      <c r="K283" s="704"/>
      <c r="L283" s="704"/>
      <c r="M283" s="704"/>
      <c r="N283" s="704"/>
      <c r="O283" s="700"/>
    </row>
    <row r="284" spans="1:15" ht="15.75" customHeight="1" x14ac:dyDescent="0.3">
      <c r="A284" s="700"/>
      <c r="B284" s="700"/>
      <c r="C284" s="700"/>
      <c r="D284" s="701"/>
      <c r="E284" s="700"/>
      <c r="F284" s="328"/>
      <c r="G284" s="700"/>
      <c r="H284" s="700"/>
      <c r="I284" s="703"/>
      <c r="J284" s="704"/>
      <c r="K284" s="704"/>
      <c r="L284" s="704"/>
      <c r="M284" s="704"/>
      <c r="N284" s="704"/>
      <c r="O284" s="700"/>
    </row>
    <row r="285" spans="1:15" ht="15.75" customHeight="1" x14ac:dyDescent="0.3">
      <c r="A285" s="700"/>
      <c r="B285" s="700"/>
      <c r="C285" s="700"/>
      <c r="D285" s="701"/>
      <c r="E285" s="700"/>
      <c r="F285" s="328"/>
      <c r="G285" s="700"/>
      <c r="H285" s="700"/>
      <c r="I285" s="703"/>
      <c r="J285" s="704"/>
      <c r="K285" s="704"/>
      <c r="L285" s="704"/>
      <c r="M285" s="704"/>
      <c r="N285" s="704"/>
      <c r="O285" s="700"/>
    </row>
    <row r="286" spans="1:15" ht="15.75" customHeight="1" x14ac:dyDescent="0.3">
      <c r="A286" s="700"/>
      <c r="B286" s="700"/>
      <c r="C286" s="700"/>
      <c r="D286" s="701"/>
      <c r="E286" s="700"/>
      <c r="F286" s="328"/>
      <c r="G286" s="700"/>
      <c r="H286" s="700"/>
      <c r="I286" s="703"/>
      <c r="J286" s="704"/>
      <c r="K286" s="704"/>
      <c r="L286" s="704"/>
      <c r="M286" s="704"/>
      <c r="N286" s="704"/>
      <c r="O286" s="700"/>
    </row>
    <row r="287" spans="1:15" ht="15.75" customHeight="1" x14ac:dyDescent="0.3">
      <c r="A287" s="700"/>
      <c r="B287" s="700"/>
      <c r="C287" s="700"/>
      <c r="D287" s="701"/>
      <c r="E287" s="700"/>
      <c r="F287" s="328"/>
      <c r="G287" s="700"/>
      <c r="H287" s="700"/>
      <c r="I287" s="703"/>
      <c r="J287" s="704"/>
      <c r="K287" s="704"/>
      <c r="L287" s="704"/>
      <c r="M287" s="704"/>
      <c r="N287" s="704"/>
      <c r="O287" s="700"/>
    </row>
    <row r="288" spans="1:15" ht="15.75" customHeight="1" x14ac:dyDescent="0.3">
      <c r="A288" s="700"/>
      <c r="B288" s="700"/>
      <c r="C288" s="700"/>
      <c r="D288" s="701"/>
      <c r="E288" s="700"/>
      <c r="F288" s="328"/>
      <c r="G288" s="700"/>
      <c r="H288" s="700"/>
      <c r="I288" s="703"/>
      <c r="J288" s="704"/>
      <c r="K288" s="704"/>
      <c r="L288" s="704"/>
      <c r="M288" s="704"/>
      <c r="N288" s="704"/>
      <c r="O288" s="700"/>
    </row>
    <row r="289" spans="1:15" ht="15.75" customHeight="1" x14ac:dyDescent="0.3">
      <c r="A289" s="700"/>
      <c r="B289" s="700"/>
      <c r="C289" s="700"/>
      <c r="D289" s="701"/>
      <c r="E289" s="700"/>
      <c r="F289" s="328"/>
      <c r="G289" s="700"/>
      <c r="H289" s="700"/>
      <c r="I289" s="703"/>
      <c r="J289" s="704"/>
      <c r="K289" s="704"/>
      <c r="L289" s="704"/>
      <c r="M289" s="704"/>
      <c r="N289" s="704"/>
      <c r="O289" s="700"/>
    </row>
    <row r="290" spans="1:15" ht="15.75" customHeight="1" x14ac:dyDescent="0.3">
      <c r="A290" s="700"/>
      <c r="B290" s="700"/>
      <c r="C290" s="700"/>
      <c r="D290" s="701"/>
      <c r="E290" s="700"/>
      <c r="F290" s="328"/>
      <c r="G290" s="700"/>
      <c r="H290" s="700"/>
      <c r="I290" s="703"/>
      <c r="J290" s="704"/>
      <c r="K290" s="704"/>
      <c r="L290" s="704"/>
      <c r="M290" s="704"/>
      <c r="N290" s="704"/>
      <c r="O290" s="700"/>
    </row>
    <row r="291" spans="1:15" ht="15.75" customHeight="1" x14ac:dyDescent="0.3">
      <c r="A291" s="700"/>
      <c r="B291" s="700"/>
      <c r="C291" s="700"/>
      <c r="D291" s="701"/>
      <c r="E291" s="700"/>
      <c r="F291" s="328"/>
      <c r="G291" s="700"/>
      <c r="H291" s="700"/>
      <c r="I291" s="703"/>
      <c r="J291" s="704"/>
      <c r="K291" s="704"/>
      <c r="L291" s="704"/>
      <c r="M291" s="704"/>
      <c r="N291" s="704"/>
      <c r="O291" s="700"/>
    </row>
    <row r="292" spans="1:15" ht="15.75" customHeight="1" x14ac:dyDescent="0.3">
      <c r="A292" s="700"/>
      <c r="B292" s="700"/>
      <c r="C292" s="700"/>
      <c r="D292" s="701"/>
      <c r="E292" s="700"/>
      <c r="F292" s="328"/>
      <c r="G292" s="700"/>
      <c r="H292" s="700"/>
      <c r="I292" s="703"/>
      <c r="J292" s="704"/>
      <c r="K292" s="704"/>
      <c r="L292" s="704"/>
      <c r="M292" s="704"/>
      <c r="N292" s="704"/>
      <c r="O292" s="700"/>
    </row>
    <row r="293" spans="1:15" ht="15.75" customHeight="1" x14ac:dyDescent="0.3">
      <c r="A293" s="700"/>
      <c r="B293" s="700"/>
      <c r="C293" s="700"/>
      <c r="D293" s="701"/>
      <c r="E293" s="700"/>
      <c r="F293" s="328"/>
      <c r="G293" s="700"/>
      <c r="H293" s="700"/>
      <c r="I293" s="703"/>
      <c r="J293" s="704"/>
      <c r="K293" s="704"/>
      <c r="L293" s="704"/>
      <c r="M293" s="704"/>
      <c r="N293" s="704"/>
      <c r="O293" s="700"/>
    </row>
    <row r="294" spans="1:15" ht="15.75" customHeight="1" x14ac:dyDescent="0.3">
      <c r="A294" s="700"/>
      <c r="B294" s="700"/>
      <c r="C294" s="700"/>
      <c r="D294" s="701"/>
      <c r="E294" s="700"/>
      <c r="F294" s="328"/>
      <c r="G294" s="700"/>
      <c r="H294" s="700"/>
      <c r="I294" s="703"/>
      <c r="J294" s="704"/>
      <c r="K294" s="704"/>
      <c r="L294" s="704"/>
      <c r="M294" s="704"/>
      <c r="N294" s="704"/>
      <c r="O294" s="700"/>
    </row>
    <row r="295" spans="1:15" ht="15.75" customHeight="1" x14ac:dyDescent="0.3">
      <c r="A295" s="700"/>
      <c r="B295" s="700"/>
      <c r="C295" s="700"/>
      <c r="D295" s="701"/>
      <c r="E295" s="700"/>
      <c r="F295" s="328"/>
      <c r="G295" s="700"/>
      <c r="H295" s="700"/>
      <c r="I295" s="703"/>
      <c r="J295" s="704"/>
      <c r="K295" s="704"/>
      <c r="L295" s="704"/>
      <c r="M295" s="704"/>
      <c r="N295" s="704"/>
      <c r="O295" s="700"/>
    </row>
    <row r="296" spans="1:15" ht="15.75" customHeight="1" x14ac:dyDescent="0.25">
      <c r="A296" s="619"/>
      <c r="B296" s="619"/>
      <c r="C296" s="619"/>
      <c r="D296" s="708"/>
      <c r="E296" s="619"/>
      <c r="F296" s="329"/>
      <c r="G296" s="619"/>
      <c r="H296" s="619"/>
      <c r="I296" s="710"/>
      <c r="J296" s="710"/>
      <c r="K296" s="710"/>
      <c r="L296" s="710"/>
      <c r="M296" s="710"/>
      <c r="N296" s="710"/>
      <c r="O296" s="619"/>
    </row>
    <row r="297" spans="1:15" ht="15.75" customHeight="1" x14ac:dyDescent="0.25">
      <c r="A297" s="619"/>
      <c r="B297" s="619"/>
      <c r="C297" s="619"/>
      <c r="D297" s="708"/>
      <c r="E297" s="619"/>
      <c r="F297" s="329"/>
      <c r="G297" s="619"/>
      <c r="H297" s="619"/>
      <c r="I297" s="710"/>
      <c r="J297" s="710"/>
      <c r="K297" s="710"/>
      <c r="L297" s="710"/>
      <c r="M297" s="710"/>
      <c r="N297" s="710"/>
      <c r="O297" s="619"/>
    </row>
    <row r="298" spans="1:15" ht="15.75" customHeight="1" x14ac:dyDescent="0.25">
      <c r="A298" s="619"/>
      <c r="B298" s="619"/>
      <c r="C298" s="619"/>
      <c r="D298" s="708"/>
      <c r="E298" s="619"/>
      <c r="F298" s="329"/>
      <c r="G298" s="619"/>
      <c r="H298" s="619"/>
      <c r="I298" s="710"/>
      <c r="J298" s="710"/>
      <c r="K298" s="710"/>
      <c r="L298" s="710"/>
      <c r="M298" s="710"/>
      <c r="N298" s="710"/>
      <c r="O298" s="619"/>
    </row>
    <row r="299" spans="1:15" ht="15.75" customHeight="1" x14ac:dyDescent="0.25">
      <c r="A299" s="619"/>
      <c r="B299" s="619"/>
      <c r="C299" s="619"/>
      <c r="D299" s="708"/>
      <c r="E299" s="619"/>
      <c r="F299" s="329"/>
      <c r="G299" s="619"/>
      <c r="H299" s="619"/>
      <c r="I299" s="710"/>
      <c r="J299" s="710"/>
      <c r="K299" s="710"/>
      <c r="L299" s="710"/>
      <c r="M299" s="710"/>
      <c r="N299" s="710"/>
      <c r="O299" s="619"/>
    </row>
    <row r="300" spans="1:15" ht="15.75" customHeight="1" x14ac:dyDescent="0.25">
      <c r="A300" s="619"/>
      <c r="B300" s="619"/>
      <c r="C300" s="619"/>
      <c r="D300" s="708"/>
      <c r="E300" s="619"/>
      <c r="F300" s="329"/>
      <c r="G300" s="619"/>
      <c r="H300" s="619"/>
      <c r="I300" s="710"/>
      <c r="J300" s="710"/>
      <c r="K300" s="710"/>
      <c r="L300" s="710"/>
      <c r="M300" s="710"/>
      <c r="N300" s="710"/>
      <c r="O300" s="619"/>
    </row>
    <row r="301" spans="1:15" ht="15.75" customHeight="1" x14ac:dyDescent="0.25">
      <c r="A301" s="619"/>
      <c r="B301" s="619"/>
      <c r="C301" s="619"/>
      <c r="D301" s="708"/>
      <c r="E301" s="619"/>
      <c r="F301" s="329"/>
      <c r="G301" s="619"/>
      <c r="H301" s="619"/>
      <c r="I301" s="710"/>
      <c r="J301" s="710"/>
      <c r="K301" s="710"/>
      <c r="L301" s="710"/>
      <c r="M301" s="710"/>
      <c r="N301" s="710"/>
      <c r="O301" s="619"/>
    </row>
    <row r="302" spans="1:15" ht="15.75" customHeight="1" x14ac:dyDescent="0.25">
      <c r="A302" s="619"/>
      <c r="B302" s="619"/>
      <c r="C302" s="619"/>
      <c r="D302" s="708"/>
      <c r="E302" s="619"/>
      <c r="F302" s="329"/>
      <c r="G302" s="619"/>
      <c r="H302" s="619"/>
      <c r="I302" s="710"/>
      <c r="J302" s="710"/>
      <c r="K302" s="710"/>
      <c r="L302" s="710"/>
      <c r="M302" s="710"/>
      <c r="N302" s="710"/>
      <c r="O302" s="619"/>
    </row>
    <row r="303" spans="1:15" ht="15.75" customHeight="1" x14ac:dyDescent="0.25">
      <c r="A303" s="619"/>
      <c r="B303" s="619"/>
      <c r="C303" s="619"/>
      <c r="D303" s="708"/>
      <c r="E303" s="619"/>
      <c r="F303" s="329"/>
      <c r="G303" s="619"/>
      <c r="H303" s="619"/>
      <c r="I303" s="710"/>
      <c r="J303" s="710"/>
      <c r="K303" s="710"/>
      <c r="L303" s="710"/>
      <c r="M303" s="710"/>
      <c r="N303" s="710"/>
      <c r="O303" s="619"/>
    </row>
    <row r="304" spans="1:15" ht="15.75" customHeight="1" x14ac:dyDescent="0.25">
      <c r="A304" s="619"/>
      <c r="B304" s="619"/>
      <c r="C304" s="619"/>
      <c r="D304" s="708"/>
      <c r="E304" s="619"/>
      <c r="F304" s="329"/>
      <c r="G304" s="619"/>
      <c r="H304" s="619"/>
      <c r="I304" s="710"/>
      <c r="J304" s="710"/>
      <c r="K304" s="710"/>
      <c r="L304" s="710"/>
      <c r="M304" s="710"/>
      <c r="N304" s="710"/>
      <c r="O304" s="619"/>
    </row>
    <row r="305" spans="1:15" ht="15.75" customHeight="1" x14ac:dyDescent="0.25">
      <c r="A305" s="619"/>
      <c r="B305" s="619"/>
      <c r="C305" s="619"/>
      <c r="D305" s="708"/>
      <c r="E305" s="619"/>
      <c r="F305" s="329"/>
      <c r="G305" s="619"/>
      <c r="H305" s="619"/>
      <c r="I305" s="710"/>
      <c r="J305" s="710"/>
      <c r="K305" s="710"/>
      <c r="L305" s="710"/>
      <c r="M305" s="710"/>
      <c r="N305" s="710"/>
      <c r="O305" s="619"/>
    </row>
    <row r="306" spans="1:15" ht="15.75" customHeight="1" x14ac:dyDescent="0.25">
      <c r="A306" s="619"/>
      <c r="B306" s="619"/>
      <c r="C306" s="619"/>
      <c r="D306" s="708"/>
      <c r="E306" s="619"/>
      <c r="F306" s="329"/>
      <c r="G306" s="619"/>
      <c r="H306" s="619"/>
      <c r="I306" s="710"/>
      <c r="J306" s="710"/>
      <c r="K306" s="710"/>
      <c r="L306" s="710"/>
      <c r="M306" s="710"/>
      <c r="N306" s="710"/>
      <c r="O306" s="619"/>
    </row>
    <row r="307" spans="1:15" ht="15.75" customHeight="1" x14ac:dyDescent="0.25">
      <c r="A307" s="619"/>
      <c r="B307" s="619"/>
      <c r="C307" s="619"/>
      <c r="D307" s="708"/>
      <c r="E307" s="619"/>
      <c r="F307" s="329"/>
      <c r="G307" s="619"/>
      <c r="H307" s="619"/>
      <c r="I307" s="710"/>
      <c r="J307" s="710"/>
      <c r="K307" s="710"/>
      <c r="L307" s="710"/>
      <c r="M307" s="710"/>
      <c r="N307" s="710"/>
      <c r="O307" s="619"/>
    </row>
    <row r="308" spans="1:15" ht="15.75" customHeight="1" x14ac:dyDescent="0.25">
      <c r="A308" s="619"/>
      <c r="B308" s="619"/>
      <c r="C308" s="619"/>
      <c r="D308" s="708"/>
      <c r="E308" s="619"/>
      <c r="F308" s="329"/>
      <c r="G308" s="619"/>
      <c r="H308" s="619"/>
      <c r="I308" s="710"/>
      <c r="J308" s="710"/>
      <c r="K308" s="710"/>
      <c r="L308" s="710"/>
      <c r="M308" s="710"/>
      <c r="N308" s="710"/>
      <c r="O308" s="619"/>
    </row>
    <row r="309" spans="1:15" ht="15.75" customHeight="1" x14ac:dyDescent="0.25">
      <c r="A309" s="619"/>
      <c r="B309" s="619"/>
      <c r="C309" s="619"/>
      <c r="D309" s="708"/>
      <c r="E309" s="619"/>
      <c r="F309" s="329"/>
      <c r="G309" s="619"/>
      <c r="H309" s="619"/>
      <c r="I309" s="710"/>
      <c r="J309" s="710"/>
      <c r="K309" s="710"/>
      <c r="L309" s="710"/>
      <c r="M309" s="710"/>
      <c r="N309" s="710"/>
      <c r="O309" s="619"/>
    </row>
    <row r="310" spans="1:15" ht="15.75" customHeight="1" x14ac:dyDescent="0.25">
      <c r="A310" s="619"/>
      <c r="B310" s="619"/>
      <c r="C310" s="619"/>
      <c r="D310" s="708"/>
      <c r="E310" s="619"/>
      <c r="F310" s="329"/>
      <c r="G310" s="619"/>
      <c r="H310" s="619"/>
      <c r="I310" s="710"/>
      <c r="J310" s="710"/>
      <c r="K310" s="710"/>
      <c r="L310" s="710"/>
      <c r="M310" s="710"/>
      <c r="N310" s="710"/>
      <c r="O310" s="619"/>
    </row>
    <row r="311" spans="1:15" ht="15.75" customHeight="1" x14ac:dyDescent="0.25">
      <c r="A311" s="619"/>
      <c r="B311" s="619"/>
      <c r="C311" s="619"/>
      <c r="D311" s="708"/>
      <c r="E311" s="619"/>
      <c r="F311" s="329"/>
      <c r="G311" s="619"/>
      <c r="H311" s="619"/>
      <c r="I311" s="710"/>
      <c r="J311" s="710"/>
      <c r="K311" s="710"/>
      <c r="L311" s="710"/>
      <c r="M311" s="710"/>
      <c r="N311" s="710"/>
      <c r="O311" s="619"/>
    </row>
    <row r="312" spans="1:15" ht="15.75" customHeight="1" x14ac:dyDescent="0.25">
      <c r="A312" s="619"/>
      <c r="B312" s="619"/>
      <c r="C312" s="619"/>
      <c r="D312" s="708"/>
      <c r="E312" s="619"/>
      <c r="F312" s="329"/>
      <c r="G312" s="619"/>
      <c r="H312" s="619"/>
      <c r="I312" s="710"/>
      <c r="J312" s="710"/>
      <c r="K312" s="710"/>
      <c r="L312" s="710"/>
      <c r="M312" s="710"/>
      <c r="N312" s="710"/>
      <c r="O312" s="619"/>
    </row>
    <row r="313" spans="1:15" ht="15.75" customHeight="1" x14ac:dyDescent="0.25">
      <c r="A313" s="619"/>
      <c r="B313" s="619"/>
      <c r="C313" s="619"/>
      <c r="D313" s="708"/>
      <c r="E313" s="619"/>
      <c r="F313" s="329"/>
      <c r="G313" s="619"/>
      <c r="H313" s="619"/>
      <c r="I313" s="710"/>
      <c r="J313" s="710"/>
      <c r="K313" s="710"/>
      <c r="L313" s="710"/>
      <c r="M313" s="710"/>
      <c r="N313" s="710"/>
      <c r="O313" s="619"/>
    </row>
    <row r="314" spans="1:15" ht="15.75" customHeight="1" x14ac:dyDescent="0.25">
      <c r="A314" s="619"/>
      <c r="B314" s="619"/>
      <c r="C314" s="619"/>
      <c r="D314" s="708"/>
      <c r="E314" s="619"/>
      <c r="F314" s="329"/>
      <c r="G314" s="619"/>
      <c r="H314" s="619"/>
      <c r="I314" s="710"/>
      <c r="J314" s="710"/>
      <c r="K314" s="710"/>
      <c r="L314" s="710"/>
      <c r="M314" s="710"/>
      <c r="N314" s="710"/>
      <c r="O314" s="619"/>
    </row>
    <row r="315" spans="1:15" ht="15.75" customHeight="1" x14ac:dyDescent="0.25">
      <c r="A315" s="619"/>
      <c r="B315" s="619"/>
      <c r="C315" s="619"/>
      <c r="D315" s="708"/>
      <c r="E315" s="619"/>
      <c r="F315" s="329"/>
      <c r="G315" s="619"/>
      <c r="H315" s="619"/>
      <c r="I315" s="710"/>
      <c r="J315" s="710"/>
      <c r="K315" s="710"/>
      <c r="L315" s="710"/>
      <c r="M315" s="710"/>
      <c r="N315" s="710"/>
      <c r="O315" s="619"/>
    </row>
    <row r="316" spans="1:15" ht="15.75" customHeight="1" x14ac:dyDescent="0.25">
      <c r="A316" s="619"/>
      <c r="B316" s="619"/>
      <c r="C316" s="619"/>
      <c r="D316" s="708"/>
      <c r="E316" s="619"/>
      <c r="F316" s="329"/>
      <c r="G316" s="619"/>
      <c r="H316" s="619"/>
      <c r="I316" s="710"/>
      <c r="J316" s="710"/>
      <c r="K316" s="710"/>
      <c r="L316" s="710"/>
      <c r="M316" s="710"/>
      <c r="N316" s="710"/>
      <c r="O316" s="619"/>
    </row>
    <row r="317" spans="1:15" ht="15.75" customHeight="1" x14ac:dyDescent="0.25">
      <c r="A317" s="619"/>
      <c r="B317" s="619"/>
      <c r="C317" s="619"/>
      <c r="D317" s="708"/>
      <c r="E317" s="619"/>
      <c r="F317" s="329"/>
      <c r="G317" s="619"/>
      <c r="H317" s="619"/>
      <c r="I317" s="710"/>
      <c r="J317" s="710"/>
      <c r="K317" s="710"/>
      <c r="L317" s="710"/>
      <c r="M317" s="710"/>
      <c r="N317" s="710"/>
      <c r="O317" s="619"/>
    </row>
    <row r="318" spans="1:15" ht="15.75" customHeight="1" x14ac:dyDescent="0.25">
      <c r="A318" s="619"/>
      <c r="B318" s="619"/>
      <c r="C318" s="619"/>
      <c r="D318" s="708"/>
      <c r="E318" s="619"/>
      <c r="F318" s="329"/>
      <c r="G318" s="619"/>
      <c r="H318" s="619"/>
      <c r="I318" s="710"/>
      <c r="J318" s="710"/>
      <c r="K318" s="710"/>
      <c r="L318" s="710"/>
      <c r="M318" s="710"/>
      <c r="N318" s="710"/>
      <c r="O318" s="619"/>
    </row>
    <row r="319" spans="1:15" ht="15.75" customHeight="1" x14ac:dyDescent="0.25">
      <c r="A319" s="619"/>
      <c r="B319" s="619"/>
      <c r="C319" s="619"/>
      <c r="D319" s="708"/>
      <c r="E319" s="619"/>
      <c r="F319" s="329"/>
      <c r="G319" s="619"/>
      <c r="H319" s="619"/>
      <c r="I319" s="710"/>
      <c r="J319" s="710"/>
      <c r="K319" s="710"/>
      <c r="L319" s="710"/>
      <c r="M319" s="710"/>
      <c r="N319" s="710"/>
      <c r="O319" s="619"/>
    </row>
    <row r="320" spans="1:15" ht="15.75" customHeight="1" x14ac:dyDescent="0.25">
      <c r="A320" s="619"/>
      <c r="B320" s="619"/>
      <c r="C320" s="619"/>
      <c r="D320" s="708"/>
      <c r="E320" s="619"/>
      <c r="F320" s="329"/>
      <c r="G320" s="619"/>
      <c r="H320" s="619"/>
      <c r="I320" s="710"/>
      <c r="J320" s="710"/>
      <c r="K320" s="710"/>
      <c r="L320" s="710"/>
      <c r="M320" s="710"/>
      <c r="N320" s="710"/>
      <c r="O320" s="619"/>
    </row>
    <row r="321" spans="1:15" ht="15.75" customHeight="1" x14ac:dyDescent="0.25">
      <c r="A321" s="619"/>
      <c r="B321" s="619"/>
      <c r="C321" s="619"/>
      <c r="D321" s="708"/>
      <c r="E321" s="619"/>
      <c r="F321" s="329"/>
      <c r="G321" s="619"/>
      <c r="H321" s="619"/>
      <c r="I321" s="710"/>
      <c r="J321" s="710"/>
      <c r="K321" s="710"/>
      <c r="L321" s="710"/>
      <c r="M321" s="710"/>
      <c r="N321" s="710"/>
      <c r="O321" s="619"/>
    </row>
    <row r="322" spans="1:15" ht="15.75" customHeight="1" x14ac:dyDescent="0.25">
      <c r="A322" s="619"/>
      <c r="B322" s="619"/>
      <c r="C322" s="619"/>
      <c r="D322" s="708"/>
      <c r="E322" s="619"/>
      <c r="F322" s="329"/>
      <c r="G322" s="619"/>
      <c r="H322" s="619"/>
      <c r="I322" s="710"/>
      <c r="J322" s="710"/>
      <c r="K322" s="710"/>
      <c r="L322" s="710"/>
      <c r="M322" s="710"/>
      <c r="N322" s="710"/>
      <c r="O322" s="619"/>
    </row>
    <row r="323" spans="1:15" ht="15.75" customHeight="1" x14ac:dyDescent="0.25">
      <c r="A323" s="619"/>
      <c r="B323" s="619"/>
      <c r="C323" s="619"/>
      <c r="D323" s="708"/>
      <c r="E323" s="619"/>
      <c r="F323" s="329"/>
      <c r="G323" s="619"/>
      <c r="H323" s="619"/>
      <c r="I323" s="710"/>
      <c r="J323" s="710"/>
      <c r="K323" s="710"/>
      <c r="L323" s="710"/>
      <c r="M323" s="710"/>
      <c r="N323" s="710"/>
      <c r="O323" s="619"/>
    </row>
    <row r="324" spans="1:15" ht="15.75" customHeight="1" x14ac:dyDescent="0.25">
      <c r="A324" s="619"/>
      <c r="B324" s="619"/>
      <c r="C324" s="619"/>
      <c r="D324" s="708"/>
      <c r="E324" s="619"/>
      <c r="F324" s="329"/>
      <c r="G324" s="619"/>
      <c r="H324" s="619"/>
      <c r="I324" s="710"/>
      <c r="J324" s="710"/>
      <c r="K324" s="710"/>
      <c r="L324" s="710"/>
      <c r="M324" s="710"/>
      <c r="N324" s="710"/>
      <c r="O324" s="619"/>
    </row>
    <row r="325" spans="1:15" ht="15.75" customHeight="1" x14ac:dyDescent="0.25">
      <c r="A325" s="619"/>
      <c r="B325" s="619"/>
      <c r="C325" s="619"/>
      <c r="D325" s="708"/>
      <c r="E325" s="619"/>
      <c r="F325" s="329"/>
      <c r="G325" s="619"/>
      <c r="H325" s="619"/>
      <c r="I325" s="710"/>
      <c r="J325" s="710"/>
      <c r="K325" s="710"/>
      <c r="L325" s="710"/>
      <c r="M325" s="710"/>
      <c r="N325" s="710"/>
      <c r="O325" s="619"/>
    </row>
    <row r="326" spans="1:15" ht="15.75" customHeight="1" x14ac:dyDescent="0.25">
      <c r="A326" s="619"/>
      <c r="B326" s="619"/>
      <c r="C326" s="619"/>
      <c r="D326" s="708"/>
      <c r="E326" s="619"/>
      <c r="F326" s="329"/>
      <c r="G326" s="619"/>
      <c r="H326" s="619"/>
      <c r="I326" s="710"/>
      <c r="J326" s="710"/>
      <c r="K326" s="710"/>
      <c r="L326" s="710"/>
      <c r="M326" s="710"/>
      <c r="N326" s="710"/>
      <c r="O326" s="619"/>
    </row>
    <row r="327" spans="1:15" ht="15.75" customHeight="1" x14ac:dyDescent="0.25">
      <c r="A327" s="619"/>
      <c r="B327" s="619"/>
      <c r="C327" s="619"/>
      <c r="D327" s="708"/>
      <c r="E327" s="619"/>
      <c r="F327" s="329"/>
      <c r="G327" s="619"/>
      <c r="H327" s="619"/>
      <c r="I327" s="710"/>
      <c r="J327" s="710"/>
      <c r="K327" s="710"/>
      <c r="L327" s="710"/>
      <c r="M327" s="710"/>
      <c r="N327" s="710"/>
      <c r="O327" s="619"/>
    </row>
    <row r="328" spans="1:15" ht="15.75" customHeight="1" x14ac:dyDescent="0.25">
      <c r="A328" s="619"/>
      <c r="B328" s="619"/>
      <c r="C328" s="619"/>
      <c r="D328" s="708"/>
      <c r="E328" s="619"/>
      <c r="F328" s="329"/>
      <c r="G328" s="619"/>
      <c r="H328" s="619"/>
      <c r="I328" s="710"/>
      <c r="J328" s="710"/>
      <c r="K328" s="710"/>
      <c r="L328" s="710"/>
      <c r="M328" s="710"/>
      <c r="N328" s="710"/>
      <c r="O328" s="619"/>
    </row>
    <row r="329" spans="1:15" ht="15.75" customHeight="1" x14ac:dyDescent="0.25">
      <c r="A329" s="619"/>
      <c r="B329" s="619"/>
      <c r="C329" s="619"/>
      <c r="D329" s="708"/>
      <c r="E329" s="619"/>
      <c r="F329" s="329"/>
      <c r="G329" s="619"/>
      <c r="H329" s="619"/>
      <c r="I329" s="710"/>
      <c r="J329" s="710"/>
      <c r="K329" s="710"/>
      <c r="L329" s="710"/>
      <c r="M329" s="710"/>
      <c r="N329" s="710"/>
      <c r="O329" s="619"/>
    </row>
    <row r="330" spans="1:15" ht="15.75" customHeight="1" x14ac:dyDescent="0.25">
      <c r="A330" s="619"/>
      <c r="B330" s="619"/>
      <c r="C330" s="619"/>
      <c r="D330" s="708"/>
      <c r="E330" s="619"/>
      <c r="F330" s="329"/>
      <c r="G330" s="619"/>
      <c r="H330" s="619"/>
      <c r="I330" s="710"/>
      <c r="J330" s="710"/>
      <c r="K330" s="710"/>
      <c r="L330" s="710"/>
      <c r="M330" s="710"/>
      <c r="N330" s="710"/>
      <c r="O330" s="619"/>
    </row>
    <row r="331" spans="1:15" ht="15.75" customHeight="1" x14ac:dyDescent="0.25">
      <c r="A331" s="619"/>
      <c r="B331" s="619"/>
      <c r="C331" s="619"/>
      <c r="D331" s="708"/>
      <c r="E331" s="619"/>
      <c r="F331" s="329"/>
      <c r="G331" s="619"/>
      <c r="H331" s="619"/>
      <c r="I331" s="710"/>
      <c r="J331" s="710"/>
      <c r="K331" s="710"/>
      <c r="L331" s="710"/>
      <c r="M331" s="710"/>
      <c r="N331" s="710"/>
      <c r="O331" s="619"/>
    </row>
    <row r="332" spans="1:15" ht="15.75" customHeight="1" x14ac:dyDescent="0.25">
      <c r="A332" s="619"/>
      <c r="B332" s="619"/>
      <c r="C332" s="619"/>
      <c r="D332" s="708"/>
      <c r="E332" s="619"/>
      <c r="F332" s="329"/>
      <c r="G332" s="619"/>
      <c r="H332" s="619"/>
      <c r="I332" s="710"/>
      <c r="J332" s="710"/>
      <c r="K332" s="710"/>
      <c r="L332" s="710"/>
      <c r="M332" s="710"/>
      <c r="N332" s="710"/>
      <c r="O332" s="619"/>
    </row>
    <row r="333" spans="1:15" ht="15.75" customHeight="1" x14ac:dyDescent="0.25">
      <c r="A333" s="619"/>
      <c r="B333" s="619"/>
      <c r="C333" s="619"/>
      <c r="D333" s="708"/>
      <c r="E333" s="619"/>
      <c r="F333" s="329"/>
      <c r="G333" s="619"/>
      <c r="H333" s="619"/>
      <c r="I333" s="710"/>
      <c r="J333" s="710"/>
      <c r="K333" s="710"/>
      <c r="L333" s="710"/>
      <c r="M333" s="710"/>
      <c r="N333" s="710"/>
      <c r="O333" s="619"/>
    </row>
    <row r="334" spans="1:15" ht="15.75" customHeight="1" x14ac:dyDescent="0.25">
      <c r="A334" s="619"/>
      <c r="B334" s="619"/>
      <c r="C334" s="619"/>
      <c r="D334" s="708"/>
      <c r="E334" s="619"/>
      <c r="F334" s="329"/>
      <c r="G334" s="619"/>
      <c r="H334" s="619"/>
      <c r="I334" s="710"/>
      <c r="J334" s="710"/>
      <c r="K334" s="710"/>
      <c r="L334" s="710"/>
      <c r="M334" s="710"/>
      <c r="N334" s="710"/>
      <c r="O334" s="619"/>
    </row>
    <row r="335" spans="1:15" ht="15.75" customHeight="1" x14ac:dyDescent="0.25">
      <c r="A335" s="619"/>
      <c r="B335" s="619"/>
      <c r="C335" s="619"/>
      <c r="D335" s="708"/>
      <c r="E335" s="619"/>
      <c r="F335" s="329"/>
      <c r="G335" s="619"/>
      <c r="H335" s="619"/>
      <c r="I335" s="710"/>
      <c r="J335" s="710"/>
      <c r="K335" s="710"/>
      <c r="L335" s="710"/>
      <c r="M335" s="710"/>
      <c r="N335" s="710"/>
      <c r="O335" s="619"/>
    </row>
    <row r="336" spans="1:15" ht="15.75" customHeight="1" x14ac:dyDescent="0.25">
      <c r="A336" s="619"/>
      <c r="B336" s="619"/>
      <c r="C336" s="619"/>
      <c r="D336" s="708"/>
      <c r="E336" s="619"/>
      <c r="F336" s="329"/>
      <c r="G336" s="619"/>
      <c r="H336" s="619"/>
      <c r="I336" s="710"/>
      <c r="J336" s="710"/>
      <c r="K336" s="710"/>
      <c r="L336" s="710"/>
      <c r="M336" s="710"/>
      <c r="N336" s="710"/>
      <c r="O336" s="619"/>
    </row>
    <row r="337" spans="1:15" ht="15.75" customHeight="1" x14ac:dyDescent="0.25">
      <c r="A337" s="619"/>
      <c r="B337" s="619"/>
      <c r="C337" s="619"/>
      <c r="D337" s="708"/>
      <c r="E337" s="619"/>
      <c r="F337" s="329"/>
      <c r="G337" s="619"/>
      <c r="H337" s="619"/>
      <c r="I337" s="710"/>
      <c r="J337" s="710"/>
      <c r="K337" s="710"/>
      <c r="L337" s="710"/>
      <c r="M337" s="710"/>
      <c r="N337" s="710"/>
      <c r="O337" s="619"/>
    </row>
    <row r="338" spans="1:15" ht="15.75" customHeight="1" x14ac:dyDescent="0.25">
      <c r="A338" s="619"/>
      <c r="B338" s="619"/>
      <c r="C338" s="619"/>
      <c r="D338" s="708"/>
      <c r="E338" s="619"/>
      <c r="F338" s="329"/>
      <c r="G338" s="619"/>
      <c r="H338" s="619"/>
      <c r="I338" s="710"/>
      <c r="J338" s="710"/>
      <c r="K338" s="710"/>
      <c r="L338" s="710"/>
      <c r="M338" s="710"/>
      <c r="N338" s="710"/>
      <c r="O338" s="619"/>
    </row>
    <row r="339" spans="1:15" ht="15.75" customHeight="1" x14ac:dyDescent="0.25">
      <c r="A339" s="619"/>
      <c r="B339" s="619"/>
      <c r="C339" s="619"/>
      <c r="D339" s="708"/>
      <c r="E339" s="619"/>
      <c r="F339" s="329"/>
      <c r="G339" s="619"/>
      <c r="H339" s="619"/>
      <c r="I339" s="710"/>
      <c r="J339" s="710"/>
      <c r="K339" s="710"/>
      <c r="L339" s="710"/>
      <c r="M339" s="710"/>
      <c r="N339" s="710"/>
      <c r="O339" s="619"/>
    </row>
    <row r="340" spans="1:15" ht="15.75" customHeight="1" x14ac:dyDescent="0.25">
      <c r="A340" s="619"/>
      <c r="B340" s="619"/>
      <c r="C340" s="619"/>
      <c r="D340" s="708"/>
      <c r="E340" s="619"/>
      <c r="F340" s="329"/>
      <c r="G340" s="619"/>
      <c r="H340" s="619"/>
      <c r="I340" s="710"/>
      <c r="J340" s="710"/>
      <c r="K340" s="710"/>
      <c r="L340" s="710"/>
      <c r="M340" s="710"/>
      <c r="N340" s="710"/>
      <c r="O340" s="619"/>
    </row>
    <row r="341" spans="1:15" ht="15.75" customHeight="1" x14ac:dyDescent="0.25">
      <c r="F341" s="330"/>
    </row>
    <row r="342" spans="1:15" ht="15.75" customHeight="1" x14ac:dyDescent="0.25">
      <c r="F342" s="330"/>
    </row>
    <row r="343" spans="1:15" ht="15.75" customHeight="1" x14ac:dyDescent="0.25">
      <c r="F343" s="330"/>
    </row>
    <row r="344" spans="1:15" ht="15.75" customHeight="1" x14ac:dyDescent="0.25">
      <c r="F344" s="330"/>
    </row>
    <row r="345" spans="1:15" ht="15.75" customHeight="1" x14ac:dyDescent="0.25">
      <c r="F345" s="330"/>
    </row>
    <row r="346" spans="1:15" ht="15.75" customHeight="1" x14ac:dyDescent="0.25">
      <c r="F346" s="330"/>
    </row>
    <row r="347" spans="1:15" ht="15.75" customHeight="1" x14ac:dyDescent="0.25">
      <c r="F347" s="330"/>
    </row>
    <row r="348" spans="1:15" ht="15.75" customHeight="1" x14ac:dyDescent="0.25">
      <c r="F348" s="330"/>
    </row>
    <row r="349" spans="1:15" ht="15.75" customHeight="1" x14ac:dyDescent="0.25">
      <c r="F349" s="330"/>
    </row>
    <row r="350" spans="1:15" ht="15.75" customHeight="1" x14ac:dyDescent="0.25">
      <c r="F350" s="330"/>
    </row>
    <row r="351" spans="1:15" ht="15.75" customHeight="1" x14ac:dyDescent="0.25">
      <c r="F351" s="330"/>
    </row>
    <row r="352" spans="1:15" ht="15.75" customHeight="1" x14ac:dyDescent="0.25">
      <c r="F352" s="330"/>
    </row>
    <row r="353" spans="6:6" ht="15.75" customHeight="1" x14ac:dyDescent="0.25">
      <c r="F353" s="330"/>
    </row>
    <row r="354" spans="6:6" ht="15.75" customHeight="1" x14ac:dyDescent="0.25">
      <c r="F354" s="330"/>
    </row>
    <row r="355" spans="6:6" ht="15.75" customHeight="1" x14ac:dyDescent="0.25">
      <c r="F355" s="330"/>
    </row>
    <row r="356" spans="6:6" ht="15.75" customHeight="1" x14ac:dyDescent="0.25">
      <c r="F356" s="330"/>
    </row>
    <row r="357" spans="6:6" ht="15.75" customHeight="1" x14ac:dyDescent="0.25">
      <c r="F357" s="330"/>
    </row>
    <row r="358" spans="6:6" ht="15.75" customHeight="1" x14ac:dyDescent="0.25">
      <c r="F358" s="330"/>
    </row>
    <row r="359" spans="6:6" ht="15.75" customHeight="1" x14ac:dyDescent="0.25">
      <c r="F359" s="330"/>
    </row>
    <row r="360" spans="6:6" ht="15.75" customHeight="1" x14ac:dyDescent="0.25">
      <c r="F360" s="330"/>
    </row>
    <row r="361" spans="6:6" ht="15.75" customHeight="1" x14ac:dyDescent="0.25">
      <c r="F361" s="330"/>
    </row>
    <row r="362" spans="6:6" ht="15.75" customHeight="1" x14ac:dyDescent="0.25">
      <c r="F362" s="330"/>
    </row>
    <row r="363" spans="6:6" ht="15.75" customHeight="1" x14ac:dyDescent="0.25">
      <c r="F363" s="330"/>
    </row>
    <row r="364" spans="6:6" ht="15.75" customHeight="1" x14ac:dyDescent="0.25">
      <c r="F364" s="330"/>
    </row>
    <row r="365" spans="6:6" ht="15.75" customHeight="1" x14ac:dyDescent="0.25">
      <c r="F365" s="330"/>
    </row>
    <row r="366" spans="6:6" ht="15.75" customHeight="1" x14ac:dyDescent="0.25">
      <c r="F366" s="330"/>
    </row>
    <row r="367" spans="6:6" ht="15.75" customHeight="1" x14ac:dyDescent="0.25">
      <c r="F367" s="330"/>
    </row>
    <row r="368" spans="6:6" ht="15.75" customHeight="1" x14ac:dyDescent="0.25">
      <c r="F368" s="330"/>
    </row>
    <row r="369" spans="6:6" ht="15.75" customHeight="1" x14ac:dyDescent="0.25">
      <c r="F369" s="330"/>
    </row>
    <row r="370" spans="6:6" ht="15.75" customHeight="1" x14ac:dyDescent="0.25">
      <c r="F370" s="330"/>
    </row>
    <row r="371" spans="6:6" ht="15.75" customHeight="1" x14ac:dyDescent="0.25">
      <c r="F371" s="330"/>
    </row>
    <row r="372" spans="6:6" ht="15.75" customHeight="1" x14ac:dyDescent="0.25">
      <c r="F372" s="330"/>
    </row>
    <row r="373" spans="6:6" ht="15.75" customHeight="1" x14ac:dyDescent="0.25">
      <c r="F373" s="330"/>
    </row>
    <row r="374" spans="6:6" ht="15.75" customHeight="1" x14ac:dyDescent="0.25">
      <c r="F374" s="330"/>
    </row>
    <row r="375" spans="6:6" ht="15.75" customHeight="1" x14ac:dyDescent="0.25">
      <c r="F375" s="330"/>
    </row>
    <row r="376" spans="6:6" ht="15.75" customHeight="1" x14ac:dyDescent="0.25">
      <c r="F376" s="330"/>
    </row>
    <row r="377" spans="6:6" ht="15.75" customHeight="1" x14ac:dyDescent="0.25">
      <c r="F377" s="330"/>
    </row>
    <row r="378" spans="6:6" ht="15.75" customHeight="1" x14ac:dyDescent="0.25">
      <c r="F378" s="330"/>
    </row>
    <row r="379" spans="6:6" ht="15.75" customHeight="1" x14ac:dyDescent="0.25">
      <c r="F379" s="330"/>
    </row>
    <row r="380" spans="6:6" ht="15.75" customHeight="1" x14ac:dyDescent="0.25">
      <c r="F380" s="330"/>
    </row>
    <row r="381" spans="6:6" ht="15.75" customHeight="1" x14ac:dyDescent="0.25">
      <c r="F381" s="330"/>
    </row>
    <row r="382" spans="6:6" ht="15.75" customHeight="1" x14ac:dyDescent="0.25">
      <c r="F382" s="330"/>
    </row>
    <row r="383" spans="6:6" ht="15.75" customHeight="1" x14ac:dyDescent="0.25">
      <c r="F383" s="330"/>
    </row>
    <row r="384" spans="6:6" ht="15.75" customHeight="1" x14ac:dyDescent="0.25">
      <c r="F384" s="330"/>
    </row>
    <row r="385" spans="6:6" ht="15.75" customHeight="1" x14ac:dyDescent="0.25">
      <c r="F385" s="330"/>
    </row>
    <row r="386" spans="6:6" ht="15.75" customHeight="1" x14ac:dyDescent="0.25">
      <c r="F386" s="330"/>
    </row>
    <row r="387" spans="6:6" ht="15.75" customHeight="1" x14ac:dyDescent="0.25">
      <c r="F387" s="330"/>
    </row>
    <row r="388" spans="6:6" ht="15.75" customHeight="1" x14ac:dyDescent="0.25">
      <c r="F388" s="330"/>
    </row>
    <row r="389" spans="6:6" ht="15.75" customHeight="1" x14ac:dyDescent="0.25">
      <c r="F389" s="330"/>
    </row>
    <row r="390" spans="6:6" ht="15.75" customHeight="1" x14ac:dyDescent="0.25">
      <c r="F390" s="330"/>
    </row>
    <row r="391" spans="6:6" ht="15.75" customHeight="1" x14ac:dyDescent="0.25">
      <c r="F391" s="330"/>
    </row>
    <row r="392" spans="6:6" ht="15.75" customHeight="1" x14ac:dyDescent="0.25">
      <c r="F392" s="330"/>
    </row>
    <row r="393" spans="6:6" ht="15.75" customHeight="1" x14ac:dyDescent="0.25">
      <c r="F393" s="330"/>
    </row>
    <row r="394" spans="6:6" ht="15.75" customHeight="1" x14ac:dyDescent="0.25">
      <c r="F394" s="330"/>
    </row>
    <row r="395" spans="6:6" ht="15.75" customHeight="1" x14ac:dyDescent="0.25">
      <c r="F395" s="330"/>
    </row>
    <row r="396" spans="6:6" ht="15.75" customHeight="1" x14ac:dyDescent="0.25">
      <c r="F396" s="330"/>
    </row>
    <row r="397" spans="6:6" ht="15.75" customHeight="1" x14ac:dyDescent="0.25">
      <c r="F397" s="330"/>
    </row>
    <row r="398" spans="6:6" ht="15.75" customHeight="1" x14ac:dyDescent="0.25">
      <c r="F398" s="330"/>
    </row>
    <row r="399" spans="6:6" ht="15.75" customHeight="1" x14ac:dyDescent="0.25">
      <c r="F399" s="330"/>
    </row>
    <row r="400" spans="6:6" ht="15.75" customHeight="1" x14ac:dyDescent="0.25">
      <c r="F400" s="330"/>
    </row>
    <row r="401" spans="6:6" ht="15.75" customHeight="1" x14ac:dyDescent="0.25">
      <c r="F401" s="330"/>
    </row>
    <row r="402" spans="6:6" ht="15.75" customHeight="1" x14ac:dyDescent="0.25">
      <c r="F402" s="330"/>
    </row>
    <row r="403" spans="6:6" ht="15.75" customHeight="1" x14ac:dyDescent="0.25">
      <c r="F403" s="330"/>
    </row>
    <row r="404" spans="6:6" ht="15.75" customHeight="1" x14ac:dyDescent="0.25">
      <c r="F404" s="330"/>
    </row>
    <row r="405" spans="6:6" ht="15.75" customHeight="1" x14ac:dyDescent="0.25">
      <c r="F405" s="330"/>
    </row>
    <row r="406" spans="6:6" ht="15.75" customHeight="1" x14ac:dyDescent="0.25">
      <c r="F406" s="330"/>
    </row>
    <row r="407" spans="6:6" ht="15.75" customHeight="1" x14ac:dyDescent="0.25">
      <c r="F407" s="330"/>
    </row>
    <row r="408" spans="6:6" ht="15.75" customHeight="1" x14ac:dyDescent="0.25">
      <c r="F408" s="330"/>
    </row>
    <row r="409" spans="6:6" ht="15.75" customHeight="1" x14ac:dyDescent="0.25">
      <c r="F409" s="330"/>
    </row>
    <row r="410" spans="6:6" ht="15.75" customHeight="1" x14ac:dyDescent="0.25">
      <c r="F410" s="330"/>
    </row>
    <row r="411" spans="6:6" ht="15.75" customHeight="1" x14ac:dyDescent="0.25">
      <c r="F411" s="330"/>
    </row>
    <row r="412" spans="6:6" ht="15.75" customHeight="1" x14ac:dyDescent="0.25">
      <c r="F412" s="330"/>
    </row>
    <row r="413" spans="6:6" ht="15.75" customHeight="1" x14ac:dyDescent="0.25">
      <c r="F413" s="330"/>
    </row>
    <row r="414" spans="6:6" ht="15.75" customHeight="1" x14ac:dyDescent="0.25">
      <c r="F414" s="330"/>
    </row>
    <row r="415" spans="6:6" ht="15.75" customHeight="1" x14ac:dyDescent="0.25">
      <c r="F415" s="330"/>
    </row>
    <row r="416" spans="6:6" ht="15.75" customHeight="1" x14ac:dyDescent="0.25">
      <c r="F416" s="330"/>
    </row>
    <row r="417" spans="6:6" ht="15.75" customHeight="1" x14ac:dyDescent="0.25">
      <c r="F417" s="330"/>
    </row>
    <row r="418" spans="6:6" ht="15.75" customHeight="1" x14ac:dyDescent="0.25">
      <c r="F418" s="330"/>
    </row>
    <row r="419" spans="6:6" ht="15.75" customHeight="1" x14ac:dyDescent="0.25">
      <c r="F419" s="330"/>
    </row>
    <row r="420" spans="6:6" ht="15.75" customHeight="1" x14ac:dyDescent="0.25">
      <c r="F420" s="330"/>
    </row>
    <row r="421" spans="6:6" ht="15.75" customHeight="1" x14ac:dyDescent="0.25">
      <c r="F421" s="330"/>
    </row>
    <row r="422" spans="6:6" ht="15.75" customHeight="1" x14ac:dyDescent="0.25">
      <c r="F422" s="330"/>
    </row>
    <row r="423" spans="6:6" ht="15.75" customHeight="1" x14ac:dyDescent="0.25">
      <c r="F423" s="330"/>
    </row>
    <row r="424" spans="6:6" ht="15.75" customHeight="1" x14ac:dyDescent="0.25">
      <c r="F424" s="330"/>
    </row>
    <row r="425" spans="6:6" ht="15.75" customHeight="1" x14ac:dyDescent="0.25">
      <c r="F425" s="330"/>
    </row>
    <row r="426" spans="6:6" ht="15.75" customHeight="1" x14ac:dyDescent="0.25">
      <c r="F426" s="330"/>
    </row>
    <row r="427" spans="6:6" ht="15.75" customHeight="1" x14ac:dyDescent="0.25">
      <c r="F427" s="330"/>
    </row>
    <row r="428" spans="6:6" ht="15.75" customHeight="1" x14ac:dyDescent="0.25">
      <c r="F428" s="330"/>
    </row>
    <row r="429" spans="6:6" ht="15.75" customHeight="1" x14ac:dyDescent="0.25">
      <c r="F429" s="330"/>
    </row>
    <row r="430" spans="6:6" ht="15.75" customHeight="1" x14ac:dyDescent="0.25">
      <c r="F430" s="330"/>
    </row>
    <row r="431" spans="6:6" ht="15.75" customHeight="1" x14ac:dyDescent="0.25">
      <c r="F431" s="330"/>
    </row>
    <row r="432" spans="6:6" ht="15.75" customHeight="1" x14ac:dyDescent="0.25">
      <c r="F432" s="330"/>
    </row>
    <row r="433" spans="6:6" ht="15.75" customHeight="1" x14ac:dyDescent="0.25">
      <c r="F433" s="330"/>
    </row>
    <row r="434" spans="6:6" ht="15.75" customHeight="1" x14ac:dyDescent="0.25">
      <c r="F434" s="330"/>
    </row>
    <row r="435" spans="6:6" ht="15.75" customHeight="1" x14ac:dyDescent="0.25">
      <c r="F435" s="330"/>
    </row>
    <row r="436" spans="6:6" ht="15.75" customHeight="1" x14ac:dyDescent="0.25">
      <c r="F436" s="330"/>
    </row>
    <row r="437" spans="6:6" ht="15.75" customHeight="1" x14ac:dyDescent="0.25">
      <c r="F437" s="330"/>
    </row>
    <row r="438" spans="6:6" ht="15.75" customHeight="1" x14ac:dyDescent="0.25">
      <c r="F438" s="330"/>
    </row>
    <row r="439" spans="6:6" ht="15.75" customHeight="1" x14ac:dyDescent="0.25">
      <c r="F439" s="330"/>
    </row>
    <row r="440" spans="6:6" ht="15.75" customHeight="1" x14ac:dyDescent="0.25">
      <c r="F440" s="330"/>
    </row>
    <row r="441" spans="6:6" ht="15.75" customHeight="1" x14ac:dyDescent="0.25">
      <c r="F441" s="330"/>
    </row>
    <row r="442" spans="6:6" ht="15.75" customHeight="1" x14ac:dyDescent="0.25">
      <c r="F442" s="330"/>
    </row>
    <row r="443" spans="6:6" ht="15.75" customHeight="1" x14ac:dyDescent="0.25">
      <c r="F443" s="330"/>
    </row>
    <row r="444" spans="6:6" ht="15.75" customHeight="1" x14ac:dyDescent="0.25">
      <c r="F444" s="330"/>
    </row>
    <row r="445" spans="6:6" ht="15.75" customHeight="1" x14ac:dyDescent="0.25">
      <c r="F445" s="330"/>
    </row>
    <row r="446" spans="6:6" ht="15.75" customHeight="1" x14ac:dyDescent="0.25">
      <c r="F446" s="330"/>
    </row>
    <row r="447" spans="6:6" ht="15.75" customHeight="1" x14ac:dyDescent="0.25">
      <c r="F447" s="330"/>
    </row>
    <row r="448" spans="6:6" ht="15.75" customHeight="1" x14ac:dyDescent="0.25">
      <c r="F448" s="330"/>
    </row>
    <row r="449" spans="6:6" ht="15.75" customHeight="1" x14ac:dyDescent="0.25">
      <c r="F449" s="330"/>
    </row>
    <row r="450" spans="6:6" ht="15.75" customHeight="1" x14ac:dyDescent="0.25">
      <c r="F450" s="330"/>
    </row>
    <row r="451" spans="6:6" ht="15.75" customHeight="1" x14ac:dyDescent="0.25">
      <c r="F451" s="330"/>
    </row>
    <row r="452" spans="6:6" ht="15.75" customHeight="1" x14ac:dyDescent="0.25">
      <c r="F452" s="330"/>
    </row>
    <row r="453" spans="6:6" ht="15.75" customHeight="1" x14ac:dyDescent="0.25">
      <c r="F453" s="330"/>
    </row>
    <row r="454" spans="6:6" ht="15.75" customHeight="1" x14ac:dyDescent="0.25">
      <c r="F454" s="330"/>
    </row>
    <row r="455" spans="6:6" ht="15.75" customHeight="1" x14ac:dyDescent="0.25">
      <c r="F455" s="330"/>
    </row>
    <row r="456" spans="6:6" ht="15.75" customHeight="1" x14ac:dyDescent="0.25">
      <c r="F456" s="330"/>
    </row>
    <row r="457" spans="6:6" ht="15.75" customHeight="1" x14ac:dyDescent="0.25">
      <c r="F457" s="330"/>
    </row>
    <row r="458" spans="6:6" ht="15.75" customHeight="1" x14ac:dyDescent="0.25">
      <c r="F458" s="330"/>
    </row>
    <row r="459" spans="6:6" ht="15.75" customHeight="1" x14ac:dyDescent="0.25">
      <c r="F459" s="330"/>
    </row>
    <row r="460" spans="6:6" ht="15.75" customHeight="1" x14ac:dyDescent="0.25">
      <c r="F460" s="330"/>
    </row>
    <row r="461" spans="6:6" ht="15.75" customHeight="1" x14ac:dyDescent="0.25">
      <c r="F461" s="330"/>
    </row>
    <row r="462" spans="6:6" ht="15.75" customHeight="1" x14ac:dyDescent="0.25">
      <c r="F462" s="330"/>
    </row>
    <row r="463" spans="6:6" ht="15.75" customHeight="1" x14ac:dyDescent="0.25">
      <c r="F463" s="330"/>
    </row>
    <row r="464" spans="6:6" ht="15.75" customHeight="1" x14ac:dyDescent="0.25">
      <c r="F464" s="330"/>
    </row>
    <row r="465" spans="6:6" ht="15.75" customHeight="1" x14ac:dyDescent="0.25">
      <c r="F465" s="330"/>
    </row>
    <row r="466" spans="6:6" ht="15.75" customHeight="1" x14ac:dyDescent="0.25">
      <c r="F466" s="330"/>
    </row>
    <row r="467" spans="6:6" ht="15.75" customHeight="1" x14ac:dyDescent="0.25">
      <c r="F467" s="330"/>
    </row>
    <row r="468" spans="6:6" ht="15.75" customHeight="1" x14ac:dyDescent="0.25">
      <c r="F468" s="330"/>
    </row>
    <row r="469" spans="6:6" ht="15.75" customHeight="1" x14ac:dyDescent="0.25">
      <c r="F469" s="330"/>
    </row>
    <row r="470" spans="6:6" ht="15.75" customHeight="1" x14ac:dyDescent="0.25">
      <c r="F470" s="330"/>
    </row>
    <row r="471" spans="6:6" ht="15.75" customHeight="1" x14ac:dyDescent="0.25">
      <c r="F471" s="330"/>
    </row>
    <row r="472" spans="6:6" ht="15.75" customHeight="1" x14ac:dyDescent="0.25">
      <c r="F472" s="330"/>
    </row>
    <row r="473" spans="6:6" ht="15.75" customHeight="1" x14ac:dyDescent="0.25">
      <c r="F473" s="330"/>
    </row>
    <row r="474" spans="6:6" ht="15.75" customHeight="1" x14ac:dyDescent="0.25">
      <c r="F474" s="330"/>
    </row>
    <row r="475" spans="6:6" ht="15.75" customHeight="1" x14ac:dyDescent="0.25">
      <c r="F475" s="330"/>
    </row>
    <row r="476" spans="6:6" ht="15.75" customHeight="1" x14ac:dyDescent="0.25">
      <c r="F476" s="330"/>
    </row>
    <row r="477" spans="6:6" ht="15.75" customHeight="1" x14ac:dyDescent="0.25">
      <c r="F477" s="330"/>
    </row>
    <row r="478" spans="6:6" ht="15.75" customHeight="1" x14ac:dyDescent="0.25">
      <c r="F478" s="330"/>
    </row>
    <row r="479" spans="6:6" ht="15.75" customHeight="1" x14ac:dyDescent="0.25">
      <c r="F479" s="330"/>
    </row>
    <row r="480" spans="6:6" ht="15.75" customHeight="1" x14ac:dyDescent="0.25">
      <c r="F480" s="330"/>
    </row>
    <row r="481" spans="6:6" ht="15.75" customHeight="1" x14ac:dyDescent="0.25">
      <c r="F481" s="330"/>
    </row>
    <row r="482" spans="6:6" ht="15.75" customHeight="1" x14ac:dyDescent="0.25">
      <c r="F482" s="330"/>
    </row>
    <row r="483" spans="6:6" ht="15.75" customHeight="1" x14ac:dyDescent="0.25">
      <c r="F483" s="330"/>
    </row>
    <row r="484" spans="6:6" ht="15.75" customHeight="1" x14ac:dyDescent="0.25">
      <c r="F484" s="330"/>
    </row>
    <row r="485" spans="6:6" ht="15.75" customHeight="1" x14ac:dyDescent="0.25">
      <c r="F485" s="330"/>
    </row>
    <row r="486" spans="6:6" ht="15.75" customHeight="1" x14ac:dyDescent="0.25">
      <c r="F486" s="330"/>
    </row>
    <row r="487" spans="6:6" ht="15.75" customHeight="1" x14ac:dyDescent="0.25">
      <c r="F487" s="330"/>
    </row>
    <row r="488" spans="6:6" ht="15.75" customHeight="1" x14ac:dyDescent="0.25">
      <c r="F488" s="330"/>
    </row>
    <row r="489" spans="6:6" ht="15.75" customHeight="1" x14ac:dyDescent="0.25">
      <c r="F489" s="330"/>
    </row>
    <row r="490" spans="6:6" ht="15.75" customHeight="1" x14ac:dyDescent="0.25">
      <c r="F490" s="330"/>
    </row>
    <row r="491" spans="6:6" ht="15.75" customHeight="1" x14ac:dyDescent="0.25">
      <c r="F491" s="330"/>
    </row>
    <row r="492" spans="6:6" ht="15.75" customHeight="1" x14ac:dyDescent="0.25">
      <c r="F492" s="330"/>
    </row>
    <row r="493" spans="6:6" ht="15.75" customHeight="1" x14ac:dyDescent="0.25">
      <c r="F493" s="330"/>
    </row>
    <row r="494" spans="6:6" ht="15.75" customHeight="1" x14ac:dyDescent="0.25">
      <c r="F494" s="330"/>
    </row>
    <row r="495" spans="6:6" ht="15.75" customHeight="1" x14ac:dyDescent="0.25">
      <c r="F495" s="330"/>
    </row>
    <row r="496" spans="6:6" ht="15.75" customHeight="1" x14ac:dyDescent="0.25">
      <c r="F496" s="330"/>
    </row>
    <row r="497" spans="6:6" ht="15.75" customHeight="1" x14ac:dyDescent="0.25">
      <c r="F497" s="330"/>
    </row>
    <row r="498" spans="6:6" ht="15.75" customHeight="1" x14ac:dyDescent="0.25">
      <c r="F498" s="330"/>
    </row>
    <row r="499" spans="6:6" ht="15.75" customHeight="1" x14ac:dyDescent="0.25">
      <c r="F499" s="330"/>
    </row>
    <row r="500" spans="6:6" ht="15.75" customHeight="1" x14ac:dyDescent="0.25">
      <c r="F500" s="330"/>
    </row>
    <row r="501" spans="6:6" ht="15.75" customHeight="1" x14ac:dyDescent="0.25">
      <c r="F501" s="330"/>
    </row>
    <row r="502" spans="6:6" ht="15.75" customHeight="1" x14ac:dyDescent="0.25">
      <c r="F502" s="330"/>
    </row>
    <row r="503" spans="6:6" ht="15.75" customHeight="1" x14ac:dyDescent="0.25">
      <c r="F503" s="330"/>
    </row>
    <row r="504" spans="6:6" ht="15.75" customHeight="1" x14ac:dyDescent="0.25">
      <c r="F504" s="330"/>
    </row>
    <row r="505" spans="6:6" ht="15.75" customHeight="1" x14ac:dyDescent="0.25">
      <c r="F505" s="330"/>
    </row>
    <row r="506" spans="6:6" ht="15.75" customHeight="1" x14ac:dyDescent="0.25">
      <c r="F506" s="330"/>
    </row>
    <row r="507" spans="6:6" ht="15.75" customHeight="1" x14ac:dyDescent="0.25">
      <c r="F507" s="330"/>
    </row>
    <row r="508" spans="6:6" ht="15.75" customHeight="1" x14ac:dyDescent="0.25">
      <c r="F508" s="330"/>
    </row>
    <row r="509" spans="6:6" ht="15.75" customHeight="1" x14ac:dyDescent="0.25">
      <c r="F509" s="330"/>
    </row>
    <row r="510" spans="6:6" ht="15.75" customHeight="1" x14ac:dyDescent="0.25">
      <c r="F510" s="330"/>
    </row>
    <row r="511" spans="6:6" ht="15.75" customHeight="1" x14ac:dyDescent="0.25">
      <c r="F511" s="330"/>
    </row>
    <row r="512" spans="6:6" ht="15.75" customHeight="1" x14ac:dyDescent="0.25">
      <c r="F512" s="330"/>
    </row>
    <row r="513" spans="6:6" ht="15.75" customHeight="1" x14ac:dyDescent="0.25">
      <c r="F513" s="330"/>
    </row>
    <row r="514" spans="6:6" ht="15.75" customHeight="1" x14ac:dyDescent="0.25">
      <c r="F514" s="330"/>
    </row>
    <row r="515" spans="6:6" ht="15.75" customHeight="1" x14ac:dyDescent="0.25">
      <c r="F515" s="330"/>
    </row>
    <row r="516" spans="6:6" ht="15.75" customHeight="1" x14ac:dyDescent="0.25">
      <c r="F516" s="330"/>
    </row>
    <row r="517" spans="6:6" ht="15.75" customHeight="1" x14ac:dyDescent="0.25">
      <c r="F517" s="330"/>
    </row>
    <row r="518" spans="6:6" ht="15.75" customHeight="1" x14ac:dyDescent="0.25">
      <c r="F518" s="330"/>
    </row>
    <row r="519" spans="6:6" ht="15.75" customHeight="1" x14ac:dyDescent="0.25">
      <c r="F519" s="330"/>
    </row>
    <row r="520" spans="6:6" ht="15.75" customHeight="1" x14ac:dyDescent="0.25">
      <c r="F520" s="330"/>
    </row>
    <row r="521" spans="6:6" ht="15.75" customHeight="1" x14ac:dyDescent="0.25">
      <c r="F521" s="330"/>
    </row>
    <row r="522" spans="6:6" ht="15.75" customHeight="1" x14ac:dyDescent="0.25">
      <c r="F522" s="330"/>
    </row>
    <row r="523" spans="6:6" ht="15.75" customHeight="1" x14ac:dyDescent="0.25">
      <c r="F523" s="330"/>
    </row>
    <row r="524" spans="6:6" ht="15.75" customHeight="1" x14ac:dyDescent="0.25">
      <c r="F524" s="330"/>
    </row>
    <row r="525" spans="6:6" ht="15.75" customHeight="1" x14ac:dyDescent="0.25">
      <c r="F525" s="330"/>
    </row>
    <row r="526" spans="6:6" ht="15.75" customHeight="1" x14ac:dyDescent="0.25">
      <c r="F526" s="330"/>
    </row>
    <row r="527" spans="6:6" ht="15.75" customHeight="1" x14ac:dyDescent="0.25">
      <c r="F527" s="330"/>
    </row>
    <row r="528" spans="6:6" ht="15.75" customHeight="1" x14ac:dyDescent="0.25">
      <c r="F528" s="330"/>
    </row>
    <row r="529" spans="6:6" ht="15.75" customHeight="1" x14ac:dyDescent="0.25">
      <c r="F529" s="330"/>
    </row>
    <row r="530" spans="6:6" ht="15.75" customHeight="1" x14ac:dyDescent="0.25">
      <c r="F530" s="330"/>
    </row>
    <row r="531" spans="6:6" ht="15.75" customHeight="1" x14ac:dyDescent="0.25">
      <c r="F531" s="330"/>
    </row>
    <row r="532" spans="6:6" ht="15.75" customHeight="1" x14ac:dyDescent="0.25">
      <c r="F532" s="330"/>
    </row>
    <row r="533" spans="6:6" ht="15.75" customHeight="1" x14ac:dyDescent="0.25">
      <c r="F533" s="330"/>
    </row>
    <row r="534" spans="6:6" ht="15.75" customHeight="1" x14ac:dyDescent="0.25">
      <c r="F534" s="330"/>
    </row>
    <row r="535" spans="6:6" ht="15.75" customHeight="1" x14ac:dyDescent="0.25">
      <c r="F535" s="330"/>
    </row>
    <row r="536" spans="6:6" ht="15.75" customHeight="1" x14ac:dyDescent="0.25">
      <c r="F536" s="330"/>
    </row>
    <row r="537" spans="6:6" ht="15.75" customHeight="1" x14ac:dyDescent="0.25">
      <c r="F537" s="330"/>
    </row>
    <row r="538" spans="6:6" ht="15.75" customHeight="1" x14ac:dyDescent="0.25">
      <c r="F538" s="330"/>
    </row>
    <row r="539" spans="6:6" ht="15.75" customHeight="1" x14ac:dyDescent="0.25">
      <c r="F539" s="330"/>
    </row>
    <row r="540" spans="6:6" ht="15.75" customHeight="1" x14ac:dyDescent="0.25">
      <c r="F540" s="330"/>
    </row>
    <row r="541" spans="6:6" ht="15.75" customHeight="1" x14ac:dyDescent="0.25">
      <c r="F541" s="330"/>
    </row>
    <row r="542" spans="6:6" ht="15.75" customHeight="1" x14ac:dyDescent="0.25">
      <c r="F542" s="330"/>
    </row>
    <row r="543" spans="6:6" ht="15.75" customHeight="1" x14ac:dyDescent="0.25">
      <c r="F543" s="330"/>
    </row>
    <row r="544" spans="6:6" ht="15.75" customHeight="1" x14ac:dyDescent="0.25">
      <c r="F544" s="330"/>
    </row>
    <row r="545" spans="6:6" ht="15.75" customHeight="1" x14ac:dyDescent="0.25">
      <c r="F545" s="330"/>
    </row>
    <row r="546" spans="6:6" ht="15.75" customHeight="1" x14ac:dyDescent="0.25">
      <c r="F546" s="330"/>
    </row>
    <row r="547" spans="6:6" ht="15.75" customHeight="1" x14ac:dyDescent="0.25">
      <c r="F547" s="330"/>
    </row>
    <row r="548" spans="6:6" ht="15.75" customHeight="1" x14ac:dyDescent="0.25">
      <c r="F548" s="330"/>
    </row>
    <row r="549" spans="6:6" ht="15.75" customHeight="1" x14ac:dyDescent="0.25">
      <c r="F549" s="330"/>
    </row>
    <row r="550" spans="6:6" ht="15.75" customHeight="1" x14ac:dyDescent="0.25">
      <c r="F550" s="330"/>
    </row>
    <row r="551" spans="6:6" ht="15.75" customHeight="1" x14ac:dyDescent="0.25">
      <c r="F551" s="330"/>
    </row>
    <row r="552" spans="6:6" ht="15.75" customHeight="1" x14ac:dyDescent="0.25">
      <c r="F552" s="330"/>
    </row>
    <row r="553" spans="6:6" ht="15.75" customHeight="1" x14ac:dyDescent="0.25">
      <c r="F553" s="330"/>
    </row>
    <row r="554" spans="6:6" ht="15.75" customHeight="1" x14ac:dyDescent="0.25">
      <c r="F554" s="330"/>
    </row>
    <row r="555" spans="6:6" ht="15.75" customHeight="1" x14ac:dyDescent="0.25">
      <c r="F555" s="330"/>
    </row>
    <row r="556" spans="6:6" ht="15.75" customHeight="1" x14ac:dyDescent="0.25">
      <c r="F556" s="330"/>
    </row>
    <row r="557" spans="6:6" ht="15.75" customHeight="1" x14ac:dyDescent="0.25">
      <c r="F557" s="330"/>
    </row>
    <row r="558" spans="6:6" ht="15.75" customHeight="1" x14ac:dyDescent="0.25">
      <c r="F558" s="330"/>
    </row>
    <row r="559" spans="6:6" ht="15.75" customHeight="1" x14ac:dyDescent="0.25">
      <c r="F559" s="330"/>
    </row>
    <row r="560" spans="6:6" ht="15.75" customHeight="1" x14ac:dyDescent="0.25">
      <c r="F560" s="330"/>
    </row>
    <row r="561" spans="6:6" ht="15.75" customHeight="1" x14ac:dyDescent="0.25">
      <c r="F561" s="330"/>
    </row>
    <row r="562" spans="6:6" ht="15.75" customHeight="1" x14ac:dyDescent="0.25">
      <c r="F562" s="330"/>
    </row>
    <row r="563" spans="6:6" ht="15.75" customHeight="1" x14ac:dyDescent="0.25">
      <c r="F563" s="330"/>
    </row>
    <row r="564" spans="6:6" ht="15.75" customHeight="1" x14ac:dyDescent="0.25">
      <c r="F564" s="330"/>
    </row>
    <row r="565" spans="6:6" ht="15.75" customHeight="1" x14ac:dyDescent="0.25">
      <c r="F565" s="330"/>
    </row>
    <row r="566" spans="6:6" ht="15.75" customHeight="1" x14ac:dyDescent="0.25">
      <c r="F566" s="330"/>
    </row>
    <row r="567" spans="6:6" ht="15.75" customHeight="1" x14ac:dyDescent="0.25">
      <c r="F567" s="330"/>
    </row>
    <row r="568" spans="6:6" ht="15.75" customHeight="1" x14ac:dyDescent="0.25">
      <c r="F568" s="330"/>
    </row>
    <row r="569" spans="6:6" ht="15.75" customHeight="1" x14ac:dyDescent="0.25">
      <c r="F569" s="330"/>
    </row>
    <row r="570" spans="6:6" ht="15.75" customHeight="1" x14ac:dyDescent="0.25">
      <c r="F570" s="330"/>
    </row>
    <row r="571" spans="6:6" ht="15.75" customHeight="1" x14ac:dyDescent="0.25">
      <c r="F571" s="330"/>
    </row>
    <row r="572" spans="6:6" ht="15.75" customHeight="1" x14ac:dyDescent="0.25">
      <c r="F572" s="330"/>
    </row>
    <row r="573" spans="6:6" ht="15.75" customHeight="1" x14ac:dyDescent="0.25">
      <c r="F573" s="330"/>
    </row>
    <row r="574" spans="6:6" ht="15.75" customHeight="1" x14ac:dyDescent="0.25">
      <c r="F574" s="330"/>
    </row>
    <row r="575" spans="6:6" ht="15.75" customHeight="1" x14ac:dyDescent="0.25">
      <c r="F575" s="330"/>
    </row>
    <row r="576" spans="6:6" ht="15.75" customHeight="1" x14ac:dyDescent="0.25">
      <c r="F576" s="330"/>
    </row>
    <row r="577" spans="6:6" ht="15.75" customHeight="1" x14ac:dyDescent="0.25">
      <c r="F577" s="330"/>
    </row>
    <row r="578" spans="6:6" ht="15.75" customHeight="1" x14ac:dyDescent="0.25">
      <c r="F578" s="330"/>
    </row>
    <row r="579" spans="6:6" ht="15.75" customHeight="1" x14ac:dyDescent="0.25">
      <c r="F579" s="330"/>
    </row>
    <row r="580" spans="6:6" ht="15.75" customHeight="1" x14ac:dyDescent="0.25">
      <c r="F580" s="330"/>
    </row>
    <row r="581" spans="6:6" ht="15.75" customHeight="1" x14ac:dyDescent="0.25">
      <c r="F581" s="330"/>
    </row>
    <row r="582" spans="6:6" ht="15.75" customHeight="1" x14ac:dyDescent="0.25">
      <c r="F582" s="330"/>
    </row>
    <row r="583" spans="6:6" ht="15.75" customHeight="1" x14ac:dyDescent="0.25">
      <c r="F583" s="330"/>
    </row>
    <row r="584" spans="6:6" ht="15.75" customHeight="1" x14ac:dyDescent="0.25">
      <c r="F584" s="330"/>
    </row>
    <row r="585" spans="6:6" ht="15.75" customHeight="1" x14ac:dyDescent="0.25">
      <c r="F585" s="330"/>
    </row>
    <row r="586" spans="6:6" ht="15.75" customHeight="1" x14ac:dyDescent="0.25">
      <c r="F586" s="330"/>
    </row>
    <row r="587" spans="6:6" ht="15.75" customHeight="1" x14ac:dyDescent="0.25">
      <c r="F587" s="330"/>
    </row>
    <row r="588" spans="6:6" ht="15.75" customHeight="1" x14ac:dyDescent="0.25">
      <c r="F588" s="330"/>
    </row>
    <row r="589" spans="6:6" ht="15.75" customHeight="1" x14ac:dyDescent="0.25">
      <c r="F589" s="330"/>
    </row>
    <row r="590" spans="6:6" ht="15.75" customHeight="1" x14ac:dyDescent="0.25">
      <c r="F590" s="330"/>
    </row>
    <row r="591" spans="6:6" ht="15.75" customHeight="1" x14ac:dyDescent="0.25">
      <c r="F591" s="330"/>
    </row>
    <row r="592" spans="6:6" ht="15.75" customHeight="1" x14ac:dyDescent="0.25">
      <c r="F592" s="330"/>
    </row>
    <row r="593" spans="6:6" ht="15.75" customHeight="1" x14ac:dyDescent="0.25">
      <c r="F593" s="330"/>
    </row>
    <row r="594" spans="6:6" ht="15.75" customHeight="1" x14ac:dyDescent="0.25">
      <c r="F594" s="330"/>
    </row>
    <row r="595" spans="6:6" ht="15.75" customHeight="1" x14ac:dyDescent="0.25">
      <c r="F595" s="330"/>
    </row>
    <row r="596" spans="6:6" ht="15.75" customHeight="1" x14ac:dyDescent="0.25">
      <c r="F596" s="330"/>
    </row>
    <row r="597" spans="6:6" ht="15.75" customHeight="1" x14ac:dyDescent="0.25">
      <c r="F597" s="330"/>
    </row>
    <row r="598" spans="6:6" ht="15.75" customHeight="1" x14ac:dyDescent="0.25">
      <c r="F598" s="330"/>
    </row>
    <row r="599" spans="6:6" ht="15.75" customHeight="1" x14ac:dyDescent="0.25">
      <c r="F599" s="330"/>
    </row>
    <row r="600" spans="6:6" ht="15.75" customHeight="1" x14ac:dyDescent="0.25">
      <c r="F600" s="330"/>
    </row>
    <row r="601" spans="6:6" ht="15.75" customHeight="1" x14ac:dyDescent="0.25">
      <c r="F601" s="330"/>
    </row>
    <row r="602" spans="6:6" ht="15.75" customHeight="1" x14ac:dyDescent="0.25">
      <c r="F602" s="330"/>
    </row>
    <row r="603" spans="6:6" ht="15.75" customHeight="1" x14ac:dyDescent="0.25">
      <c r="F603" s="330"/>
    </row>
    <row r="604" spans="6:6" ht="15.75" customHeight="1" x14ac:dyDescent="0.25">
      <c r="F604" s="330"/>
    </row>
    <row r="605" spans="6:6" ht="15.75" customHeight="1" x14ac:dyDescent="0.25">
      <c r="F605" s="330"/>
    </row>
    <row r="606" spans="6:6" ht="15.75" customHeight="1" x14ac:dyDescent="0.25">
      <c r="F606" s="330"/>
    </row>
    <row r="607" spans="6:6" ht="15.75" customHeight="1" x14ac:dyDescent="0.25">
      <c r="F607" s="330"/>
    </row>
    <row r="608" spans="6:6" ht="15.75" customHeight="1" x14ac:dyDescent="0.25">
      <c r="F608" s="330"/>
    </row>
    <row r="609" spans="6:6" ht="15.75" customHeight="1" x14ac:dyDescent="0.25">
      <c r="F609" s="330"/>
    </row>
    <row r="610" spans="6:6" ht="15.75" customHeight="1" x14ac:dyDescent="0.25">
      <c r="F610" s="330"/>
    </row>
    <row r="611" spans="6:6" ht="15.75" customHeight="1" x14ac:dyDescent="0.25">
      <c r="F611" s="330"/>
    </row>
    <row r="612" spans="6:6" ht="15.75" customHeight="1" x14ac:dyDescent="0.25">
      <c r="F612" s="330"/>
    </row>
    <row r="613" spans="6:6" ht="15.75" customHeight="1" x14ac:dyDescent="0.25">
      <c r="F613" s="330"/>
    </row>
    <row r="614" spans="6:6" ht="15.75" customHeight="1" x14ac:dyDescent="0.25">
      <c r="F614" s="330"/>
    </row>
    <row r="615" spans="6:6" ht="15.75" customHeight="1" x14ac:dyDescent="0.25">
      <c r="F615" s="330"/>
    </row>
    <row r="616" spans="6:6" ht="15.75" customHeight="1" x14ac:dyDescent="0.25">
      <c r="F616" s="330"/>
    </row>
    <row r="617" spans="6:6" ht="15.75" customHeight="1" x14ac:dyDescent="0.25">
      <c r="F617" s="330"/>
    </row>
    <row r="618" spans="6:6" ht="15.75" customHeight="1" x14ac:dyDescent="0.25">
      <c r="F618" s="330"/>
    </row>
    <row r="619" spans="6:6" ht="15.75" customHeight="1" x14ac:dyDescent="0.25">
      <c r="F619" s="330"/>
    </row>
    <row r="620" spans="6:6" ht="15.75" customHeight="1" x14ac:dyDescent="0.25">
      <c r="F620" s="330"/>
    </row>
    <row r="621" spans="6:6" ht="15.75" customHeight="1" x14ac:dyDescent="0.25">
      <c r="F621" s="330"/>
    </row>
    <row r="622" spans="6:6" ht="15.75" customHeight="1" x14ac:dyDescent="0.25">
      <c r="F622" s="330"/>
    </row>
    <row r="623" spans="6:6" ht="15.75" customHeight="1" x14ac:dyDescent="0.25">
      <c r="F623" s="330"/>
    </row>
    <row r="624" spans="6:6" ht="15.75" customHeight="1" x14ac:dyDescent="0.25">
      <c r="F624" s="330"/>
    </row>
    <row r="625" spans="6:6" ht="15.75" customHeight="1" x14ac:dyDescent="0.25">
      <c r="F625" s="330"/>
    </row>
    <row r="626" spans="6:6" ht="15.75" customHeight="1" x14ac:dyDescent="0.25">
      <c r="F626" s="330"/>
    </row>
    <row r="627" spans="6:6" ht="15.75" customHeight="1" x14ac:dyDescent="0.25">
      <c r="F627" s="330"/>
    </row>
    <row r="628" spans="6:6" ht="15.75" customHeight="1" x14ac:dyDescent="0.25">
      <c r="F628" s="330"/>
    </row>
    <row r="629" spans="6:6" ht="15.75" customHeight="1" x14ac:dyDescent="0.25">
      <c r="F629" s="330"/>
    </row>
    <row r="630" spans="6:6" ht="15.75" customHeight="1" x14ac:dyDescent="0.25">
      <c r="F630" s="330"/>
    </row>
    <row r="631" spans="6:6" ht="15.75" customHeight="1" x14ac:dyDescent="0.25">
      <c r="F631" s="330"/>
    </row>
    <row r="632" spans="6:6" ht="15.75" customHeight="1" x14ac:dyDescent="0.25">
      <c r="F632" s="330"/>
    </row>
    <row r="633" spans="6:6" ht="15.75" customHeight="1" x14ac:dyDescent="0.25">
      <c r="F633" s="330"/>
    </row>
    <row r="634" spans="6:6" ht="15.75" customHeight="1" x14ac:dyDescent="0.25">
      <c r="F634" s="330"/>
    </row>
    <row r="635" spans="6:6" ht="15.75" customHeight="1" x14ac:dyDescent="0.25">
      <c r="F635" s="330"/>
    </row>
    <row r="636" spans="6:6" ht="15.75" customHeight="1" x14ac:dyDescent="0.25">
      <c r="F636" s="330"/>
    </row>
    <row r="637" spans="6:6" ht="15.75" customHeight="1" x14ac:dyDescent="0.25">
      <c r="F637" s="330"/>
    </row>
    <row r="638" spans="6:6" ht="15.75" customHeight="1" x14ac:dyDescent="0.25">
      <c r="F638" s="330"/>
    </row>
    <row r="639" spans="6:6" ht="15.75" customHeight="1" x14ac:dyDescent="0.25">
      <c r="F639" s="330"/>
    </row>
    <row r="640" spans="6:6" ht="15.75" customHeight="1" x14ac:dyDescent="0.25">
      <c r="F640" s="330"/>
    </row>
    <row r="641" spans="6:6" ht="15.75" customHeight="1" x14ac:dyDescent="0.25">
      <c r="F641" s="330"/>
    </row>
    <row r="642" spans="6:6" ht="15.75" customHeight="1" x14ac:dyDescent="0.25">
      <c r="F642" s="330"/>
    </row>
    <row r="643" spans="6:6" ht="15.75" customHeight="1" x14ac:dyDescent="0.25">
      <c r="F643" s="330"/>
    </row>
    <row r="644" spans="6:6" ht="15.75" customHeight="1" x14ac:dyDescent="0.25">
      <c r="F644" s="330"/>
    </row>
    <row r="645" spans="6:6" ht="15.75" customHeight="1" x14ac:dyDescent="0.25">
      <c r="F645" s="330"/>
    </row>
    <row r="646" spans="6:6" ht="15.75" customHeight="1" x14ac:dyDescent="0.25">
      <c r="F646" s="330"/>
    </row>
    <row r="647" spans="6:6" ht="15.75" customHeight="1" x14ac:dyDescent="0.25">
      <c r="F647" s="330"/>
    </row>
    <row r="648" spans="6:6" ht="15.75" customHeight="1" x14ac:dyDescent="0.25">
      <c r="F648" s="330"/>
    </row>
    <row r="649" spans="6:6" ht="15.75" customHeight="1" x14ac:dyDescent="0.25">
      <c r="F649" s="330"/>
    </row>
    <row r="650" spans="6:6" ht="15.75" customHeight="1" x14ac:dyDescent="0.25">
      <c r="F650" s="330"/>
    </row>
    <row r="651" spans="6:6" ht="15.75" customHeight="1" x14ac:dyDescent="0.25">
      <c r="F651" s="330"/>
    </row>
    <row r="652" spans="6:6" ht="15.75" customHeight="1" x14ac:dyDescent="0.25">
      <c r="F652" s="330"/>
    </row>
    <row r="653" spans="6:6" ht="15.75" customHeight="1" x14ac:dyDescent="0.25">
      <c r="F653" s="330"/>
    </row>
    <row r="654" spans="6:6" ht="15.75" customHeight="1" x14ac:dyDescent="0.25">
      <c r="F654" s="330"/>
    </row>
    <row r="655" spans="6:6" ht="15.75" customHeight="1" x14ac:dyDescent="0.25">
      <c r="F655" s="330"/>
    </row>
    <row r="656" spans="6:6" ht="15.75" customHeight="1" x14ac:dyDescent="0.25">
      <c r="F656" s="330"/>
    </row>
    <row r="657" spans="6:6" ht="15.75" customHeight="1" x14ac:dyDescent="0.25">
      <c r="F657" s="330"/>
    </row>
    <row r="658" spans="6:6" ht="15.75" customHeight="1" x14ac:dyDescent="0.25">
      <c r="F658" s="330"/>
    </row>
    <row r="659" spans="6:6" ht="15.75" customHeight="1" x14ac:dyDescent="0.25">
      <c r="F659" s="330"/>
    </row>
    <row r="660" spans="6:6" ht="15.75" customHeight="1" x14ac:dyDescent="0.25">
      <c r="F660" s="330"/>
    </row>
    <row r="661" spans="6:6" ht="15.75" customHeight="1" x14ac:dyDescent="0.25">
      <c r="F661" s="330"/>
    </row>
    <row r="662" spans="6:6" ht="15.75" customHeight="1" x14ac:dyDescent="0.25">
      <c r="F662" s="330"/>
    </row>
    <row r="663" spans="6:6" ht="15.75" customHeight="1" x14ac:dyDescent="0.25">
      <c r="F663" s="330"/>
    </row>
    <row r="664" spans="6:6" ht="15.75" customHeight="1" x14ac:dyDescent="0.25">
      <c r="F664" s="330"/>
    </row>
    <row r="665" spans="6:6" ht="15.75" customHeight="1" x14ac:dyDescent="0.25">
      <c r="F665" s="330"/>
    </row>
    <row r="666" spans="6:6" ht="15.75" customHeight="1" x14ac:dyDescent="0.25">
      <c r="F666" s="330"/>
    </row>
    <row r="667" spans="6:6" ht="15.75" customHeight="1" x14ac:dyDescent="0.25">
      <c r="F667" s="330"/>
    </row>
    <row r="668" spans="6:6" ht="15.75" customHeight="1" x14ac:dyDescent="0.25">
      <c r="F668" s="330"/>
    </row>
    <row r="669" spans="6:6" ht="15.75" customHeight="1" x14ac:dyDescent="0.25">
      <c r="F669" s="330"/>
    </row>
    <row r="670" spans="6:6" ht="15.75" customHeight="1" x14ac:dyDescent="0.25">
      <c r="F670" s="330"/>
    </row>
    <row r="671" spans="6:6" ht="15.75" customHeight="1" x14ac:dyDescent="0.25">
      <c r="F671" s="330"/>
    </row>
    <row r="672" spans="6:6" ht="15.75" customHeight="1" x14ac:dyDescent="0.25">
      <c r="F672" s="330"/>
    </row>
    <row r="673" spans="6:6" ht="15.75" customHeight="1" x14ac:dyDescent="0.25">
      <c r="F673" s="330"/>
    </row>
    <row r="674" spans="6:6" ht="15.75" customHeight="1" x14ac:dyDescent="0.25">
      <c r="F674" s="330"/>
    </row>
    <row r="675" spans="6:6" ht="15.75" customHeight="1" x14ac:dyDescent="0.25">
      <c r="F675" s="330"/>
    </row>
    <row r="676" spans="6:6" ht="15.75" customHeight="1" x14ac:dyDescent="0.25">
      <c r="F676" s="330"/>
    </row>
    <row r="677" spans="6:6" ht="15.75" customHeight="1" x14ac:dyDescent="0.25">
      <c r="F677" s="330"/>
    </row>
    <row r="678" spans="6:6" ht="15.75" customHeight="1" x14ac:dyDescent="0.25">
      <c r="F678" s="330"/>
    </row>
    <row r="679" spans="6:6" ht="15.75" customHeight="1" x14ac:dyDescent="0.25">
      <c r="F679" s="330"/>
    </row>
    <row r="680" spans="6:6" ht="15.75" customHeight="1" x14ac:dyDescent="0.25">
      <c r="F680" s="330"/>
    </row>
    <row r="681" spans="6:6" ht="15.75" customHeight="1" x14ac:dyDescent="0.25">
      <c r="F681" s="330"/>
    </row>
    <row r="682" spans="6:6" ht="15.75" customHeight="1" x14ac:dyDescent="0.25">
      <c r="F682" s="330"/>
    </row>
    <row r="683" spans="6:6" ht="15.75" customHeight="1" x14ac:dyDescent="0.25">
      <c r="F683" s="330"/>
    </row>
    <row r="684" spans="6:6" ht="15.75" customHeight="1" x14ac:dyDescent="0.25">
      <c r="F684" s="330"/>
    </row>
    <row r="685" spans="6:6" ht="15.75" customHeight="1" x14ac:dyDescent="0.25">
      <c r="F685" s="330"/>
    </row>
    <row r="686" spans="6:6" ht="15.75" customHeight="1" x14ac:dyDescent="0.25">
      <c r="F686" s="330"/>
    </row>
    <row r="687" spans="6:6" ht="15.75" customHeight="1" x14ac:dyDescent="0.25">
      <c r="F687" s="330"/>
    </row>
    <row r="688" spans="6:6" ht="15.75" customHeight="1" x14ac:dyDescent="0.25">
      <c r="F688" s="330"/>
    </row>
    <row r="689" spans="6:6" ht="15.75" customHeight="1" x14ac:dyDescent="0.25">
      <c r="F689" s="330"/>
    </row>
    <row r="690" spans="6:6" ht="15.75" customHeight="1" x14ac:dyDescent="0.25">
      <c r="F690" s="330"/>
    </row>
    <row r="691" spans="6:6" ht="15.75" customHeight="1" x14ac:dyDescent="0.25">
      <c r="F691" s="330"/>
    </row>
    <row r="692" spans="6:6" ht="15.75" customHeight="1" x14ac:dyDescent="0.25">
      <c r="F692" s="330"/>
    </row>
    <row r="693" spans="6:6" ht="15.75" customHeight="1" x14ac:dyDescent="0.25">
      <c r="F693" s="330"/>
    </row>
    <row r="694" spans="6:6" ht="15.75" customHeight="1" x14ac:dyDescent="0.25">
      <c r="F694" s="330"/>
    </row>
    <row r="695" spans="6:6" ht="15.75" customHeight="1" x14ac:dyDescent="0.25">
      <c r="F695" s="330"/>
    </row>
    <row r="696" spans="6:6" ht="15.75" customHeight="1" x14ac:dyDescent="0.25">
      <c r="F696" s="330"/>
    </row>
    <row r="697" spans="6:6" ht="15.75" customHeight="1" x14ac:dyDescent="0.25">
      <c r="F697" s="330"/>
    </row>
    <row r="698" spans="6:6" ht="15.75" customHeight="1" x14ac:dyDescent="0.25">
      <c r="F698" s="330"/>
    </row>
    <row r="699" spans="6:6" ht="15.75" customHeight="1" x14ac:dyDescent="0.25">
      <c r="F699" s="330"/>
    </row>
    <row r="700" spans="6:6" ht="15.75" customHeight="1" x14ac:dyDescent="0.25">
      <c r="F700" s="330"/>
    </row>
    <row r="701" spans="6:6" ht="15.75" customHeight="1" x14ac:dyDescent="0.25">
      <c r="F701" s="330"/>
    </row>
    <row r="702" spans="6:6" ht="15.75" customHeight="1" x14ac:dyDescent="0.25">
      <c r="F702" s="330"/>
    </row>
    <row r="703" spans="6:6" ht="15.75" customHeight="1" x14ac:dyDescent="0.25">
      <c r="F703" s="330"/>
    </row>
    <row r="704" spans="6:6" ht="15.75" customHeight="1" x14ac:dyDescent="0.25">
      <c r="F704" s="330"/>
    </row>
    <row r="705" spans="6:6" ht="15.75" customHeight="1" x14ac:dyDescent="0.25">
      <c r="F705" s="330"/>
    </row>
    <row r="706" spans="6:6" ht="15.75" customHeight="1" x14ac:dyDescent="0.25">
      <c r="F706" s="330"/>
    </row>
    <row r="707" spans="6:6" ht="15.75" customHeight="1" x14ac:dyDescent="0.25">
      <c r="F707" s="330"/>
    </row>
    <row r="708" spans="6:6" ht="15.75" customHeight="1" x14ac:dyDescent="0.25">
      <c r="F708" s="330"/>
    </row>
    <row r="709" spans="6:6" ht="15.75" customHeight="1" x14ac:dyDescent="0.25">
      <c r="F709" s="330"/>
    </row>
    <row r="710" spans="6:6" ht="15.75" customHeight="1" x14ac:dyDescent="0.25">
      <c r="F710" s="330"/>
    </row>
    <row r="711" spans="6:6" ht="15.75" customHeight="1" x14ac:dyDescent="0.25">
      <c r="F711" s="330"/>
    </row>
    <row r="712" spans="6:6" ht="15.75" customHeight="1" x14ac:dyDescent="0.25">
      <c r="F712" s="330"/>
    </row>
    <row r="713" spans="6:6" ht="15.75" customHeight="1" x14ac:dyDescent="0.25">
      <c r="F713" s="330"/>
    </row>
    <row r="714" spans="6:6" ht="15.75" customHeight="1" x14ac:dyDescent="0.25">
      <c r="F714" s="330"/>
    </row>
    <row r="715" spans="6:6" ht="15.75" customHeight="1" x14ac:dyDescent="0.25">
      <c r="F715" s="330"/>
    </row>
    <row r="716" spans="6:6" ht="15.75" customHeight="1" x14ac:dyDescent="0.25">
      <c r="F716" s="330"/>
    </row>
    <row r="717" spans="6:6" ht="15.75" customHeight="1" x14ac:dyDescent="0.25">
      <c r="F717" s="330"/>
    </row>
    <row r="718" spans="6:6" ht="15.75" customHeight="1" x14ac:dyDescent="0.25">
      <c r="F718" s="330"/>
    </row>
    <row r="719" spans="6:6" ht="15.75" customHeight="1" x14ac:dyDescent="0.25">
      <c r="F719" s="330"/>
    </row>
    <row r="720" spans="6:6" ht="15.75" customHeight="1" x14ac:dyDescent="0.25">
      <c r="F720" s="330"/>
    </row>
    <row r="721" spans="6:6" ht="15.75" customHeight="1" x14ac:dyDescent="0.25">
      <c r="F721" s="330"/>
    </row>
    <row r="722" spans="6:6" ht="15.75" customHeight="1" x14ac:dyDescent="0.25">
      <c r="F722" s="330"/>
    </row>
    <row r="723" spans="6:6" ht="15.75" customHeight="1" x14ac:dyDescent="0.25">
      <c r="F723" s="330"/>
    </row>
    <row r="724" spans="6:6" ht="15.75" customHeight="1" x14ac:dyDescent="0.25">
      <c r="F724" s="330"/>
    </row>
    <row r="725" spans="6:6" ht="15.75" customHeight="1" x14ac:dyDescent="0.25">
      <c r="F725" s="330"/>
    </row>
    <row r="726" spans="6:6" ht="15.75" customHeight="1" x14ac:dyDescent="0.25">
      <c r="F726" s="330"/>
    </row>
    <row r="727" spans="6:6" ht="15.75" customHeight="1" x14ac:dyDescent="0.25">
      <c r="F727" s="330"/>
    </row>
    <row r="728" spans="6:6" ht="15.75" customHeight="1" x14ac:dyDescent="0.25">
      <c r="F728" s="330"/>
    </row>
    <row r="729" spans="6:6" ht="15.75" customHeight="1" x14ac:dyDescent="0.25">
      <c r="F729" s="330"/>
    </row>
    <row r="730" spans="6:6" ht="15.75" customHeight="1" x14ac:dyDescent="0.25">
      <c r="F730" s="330"/>
    </row>
    <row r="731" spans="6:6" ht="15.75" customHeight="1" x14ac:dyDescent="0.25">
      <c r="F731" s="330"/>
    </row>
    <row r="732" spans="6:6" ht="15.75" customHeight="1" x14ac:dyDescent="0.25">
      <c r="F732" s="330"/>
    </row>
    <row r="733" spans="6:6" ht="15.75" customHeight="1" x14ac:dyDescent="0.25">
      <c r="F733" s="330"/>
    </row>
    <row r="734" spans="6:6" ht="15.75" customHeight="1" x14ac:dyDescent="0.25">
      <c r="F734" s="330"/>
    </row>
    <row r="735" spans="6:6" ht="15.75" customHeight="1" x14ac:dyDescent="0.25">
      <c r="F735" s="330"/>
    </row>
    <row r="736" spans="6:6" ht="15.75" customHeight="1" x14ac:dyDescent="0.25">
      <c r="F736" s="330"/>
    </row>
    <row r="737" spans="6:6" ht="15.75" customHeight="1" x14ac:dyDescent="0.25">
      <c r="F737" s="330"/>
    </row>
    <row r="738" spans="6:6" ht="15.75" customHeight="1" x14ac:dyDescent="0.25">
      <c r="F738" s="330"/>
    </row>
    <row r="739" spans="6:6" ht="15.75" customHeight="1" x14ac:dyDescent="0.25">
      <c r="F739" s="330"/>
    </row>
    <row r="740" spans="6:6" ht="15.75" customHeight="1" x14ac:dyDescent="0.25">
      <c r="F740" s="330"/>
    </row>
    <row r="741" spans="6:6" ht="15.75" customHeight="1" x14ac:dyDescent="0.25">
      <c r="F741" s="330"/>
    </row>
    <row r="742" spans="6:6" ht="15.75" customHeight="1" x14ac:dyDescent="0.25">
      <c r="F742" s="330"/>
    </row>
    <row r="743" spans="6:6" ht="15.75" customHeight="1" x14ac:dyDescent="0.25">
      <c r="F743" s="330"/>
    </row>
    <row r="744" spans="6:6" ht="15.75" customHeight="1" x14ac:dyDescent="0.25">
      <c r="F744" s="330"/>
    </row>
    <row r="745" spans="6:6" ht="15.75" customHeight="1" x14ac:dyDescent="0.25">
      <c r="F745" s="330"/>
    </row>
    <row r="746" spans="6:6" ht="15.75" customHeight="1" x14ac:dyDescent="0.25">
      <c r="F746" s="330"/>
    </row>
    <row r="747" spans="6:6" ht="15.75" customHeight="1" x14ac:dyDescent="0.25">
      <c r="F747" s="330"/>
    </row>
    <row r="748" spans="6:6" ht="15.75" customHeight="1" x14ac:dyDescent="0.25">
      <c r="F748" s="330"/>
    </row>
    <row r="749" spans="6:6" ht="15.75" customHeight="1" x14ac:dyDescent="0.25">
      <c r="F749" s="330"/>
    </row>
    <row r="750" spans="6:6" ht="15.75" customHeight="1" x14ac:dyDescent="0.25">
      <c r="F750" s="330"/>
    </row>
    <row r="751" spans="6:6" ht="15.75" customHeight="1" x14ac:dyDescent="0.25">
      <c r="F751" s="330"/>
    </row>
    <row r="752" spans="6:6" ht="15.75" customHeight="1" x14ac:dyDescent="0.25">
      <c r="F752" s="330"/>
    </row>
    <row r="753" spans="6:6" ht="15.75" customHeight="1" x14ac:dyDescent="0.25">
      <c r="F753" s="330"/>
    </row>
    <row r="754" spans="6:6" ht="15.75" customHeight="1" x14ac:dyDescent="0.25">
      <c r="F754" s="330"/>
    </row>
    <row r="755" spans="6:6" ht="15.75" customHeight="1" x14ac:dyDescent="0.25">
      <c r="F755" s="330"/>
    </row>
    <row r="756" spans="6:6" ht="15.75" customHeight="1" x14ac:dyDescent="0.25">
      <c r="F756" s="330"/>
    </row>
    <row r="757" spans="6:6" ht="15.75" customHeight="1" x14ac:dyDescent="0.25">
      <c r="F757" s="330"/>
    </row>
    <row r="758" spans="6:6" ht="15.75" customHeight="1" x14ac:dyDescent="0.25">
      <c r="F758" s="330"/>
    </row>
    <row r="759" spans="6:6" ht="15.75" customHeight="1" x14ac:dyDescent="0.25">
      <c r="F759" s="330"/>
    </row>
    <row r="760" spans="6:6" ht="15.75" customHeight="1" x14ac:dyDescent="0.25">
      <c r="F760" s="330"/>
    </row>
    <row r="761" spans="6:6" ht="15.75" customHeight="1" x14ac:dyDescent="0.25">
      <c r="F761" s="330"/>
    </row>
    <row r="762" spans="6:6" ht="15.75" customHeight="1" x14ac:dyDescent="0.25">
      <c r="F762" s="330"/>
    </row>
    <row r="763" spans="6:6" ht="15.75" customHeight="1" x14ac:dyDescent="0.25">
      <c r="F763" s="330"/>
    </row>
    <row r="764" spans="6:6" ht="15.75" customHeight="1" x14ac:dyDescent="0.25">
      <c r="F764" s="330"/>
    </row>
    <row r="765" spans="6:6" ht="15.75" customHeight="1" x14ac:dyDescent="0.25">
      <c r="F765" s="330"/>
    </row>
    <row r="766" spans="6:6" ht="15.75" customHeight="1" x14ac:dyDescent="0.25">
      <c r="F766" s="330"/>
    </row>
    <row r="767" spans="6:6" ht="15.75" customHeight="1" x14ac:dyDescent="0.25">
      <c r="F767" s="330"/>
    </row>
    <row r="768" spans="6:6" ht="15.75" customHeight="1" x14ac:dyDescent="0.25">
      <c r="F768" s="330"/>
    </row>
    <row r="769" spans="6:6" ht="15.75" customHeight="1" x14ac:dyDescent="0.25">
      <c r="F769" s="330"/>
    </row>
    <row r="770" spans="6:6" ht="15.75" customHeight="1" x14ac:dyDescent="0.25">
      <c r="F770" s="330"/>
    </row>
    <row r="771" spans="6:6" ht="15.75" customHeight="1" x14ac:dyDescent="0.25">
      <c r="F771" s="330"/>
    </row>
    <row r="772" spans="6:6" ht="15.75" customHeight="1" x14ac:dyDescent="0.25">
      <c r="F772" s="330"/>
    </row>
    <row r="773" spans="6:6" ht="15.75" customHeight="1" x14ac:dyDescent="0.25">
      <c r="F773" s="330"/>
    </row>
    <row r="774" spans="6:6" ht="15.75" customHeight="1" x14ac:dyDescent="0.25">
      <c r="F774" s="330"/>
    </row>
    <row r="775" spans="6:6" ht="15.75" customHeight="1" x14ac:dyDescent="0.25">
      <c r="F775" s="330"/>
    </row>
    <row r="776" spans="6:6" ht="15.75" customHeight="1" x14ac:dyDescent="0.25">
      <c r="F776" s="330"/>
    </row>
    <row r="777" spans="6:6" ht="15.75" customHeight="1" x14ac:dyDescent="0.25">
      <c r="F777" s="330"/>
    </row>
    <row r="778" spans="6:6" ht="15.75" customHeight="1" x14ac:dyDescent="0.25">
      <c r="F778" s="330"/>
    </row>
    <row r="779" spans="6:6" ht="15.75" customHeight="1" x14ac:dyDescent="0.25">
      <c r="F779" s="330"/>
    </row>
    <row r="780" spans="6:6" ht="15.75" customHeight="1" x14ac:dyDescent="0.25">
      <c r="F780" s="330"/>
    </row>
    <row r="781" spans="6:6" ht="15.75" customHeight="1" x14ac:dyDescent="0.25">
      <c r="F781" s="330"/>
    </row>
    <row r="782" spans="6:6" ht="15.75" customHeight="1" x14ac:dyDescent="0.25">
      <c r="F782" s="330"/>
    </row>
    <row r="783" spans="6:6" ht="15.75" customHeight="1" x14ac:dyDescent="0.25">
      <c r="F783" s="330"/>
    </row>
    <row r="784" spans="6:6" ht="15.75" customHeight="1" x14ac:dyDescent="0.25">
      <c r="F784" s="330"/>
    </row>
    <row r="785" spans="6:6" ht="15.75" customHeight="1" x14ac:dyDescent="0.25">
      <c r="F785" s="330"/>
    </row>
    <row r="786" spans="6:6" ht="15.75" customHeight="1" x14ac:dyDescent="0.25">
      <c r="F786" s="330"/>
    </row>
    <row r="787" spans="6:6" ht="15.75" customHeight="1" x14ac:dyDescent="0.25">
      <c r="F787" s="330"/>
    </row>
    <row r="788" spans="6:6" ht="15.75" customHeight="1" x14ac:dyDescent="0.25">
      <c r="F788" s="330"/>
    </row>
    <row r="789" spans="6:6" ht="15.75" customHeight="1" x14ac:dyDescent="0.25">
      <c r="F789" s="330"/>
    </row>
    <row r="790" spans="6:6" ht="15.75" customHeight="1" x14ac:dyDescent="0.25">
      <c r="F790" s="330"/>
    </row>
    <row r="791" spans="6:6" ht="15.75" customHeight="1" x14ac:dyDescent="0.25">
      <c r="F791" s="330"/>
    </row>
    <row r="792" spans="6:6" ht="15.75" customHeight="1" x14ac:dyDescent="0.25">
      <c r="F792" s="330"/>
    </row>
    <row r="793" spans="6:6" ht="15.75" customHeight="1" x14ac:dyDescent="0.25">
      <c r="F793" s="330"/>
    </row>
    <row r="794" spans="6:6" ht="15.75" customHeight="1" x14ac:dyDescent="0.25">
      <c r="F794" s="330"/>
    </row>
    <row r="795" spans="6:6" ht="15.75" customHeight="1" x14ac:dyDescent="0.25">
      <c r="F795" s="330"/>
    </row>
    <row r="796" spans="6:6" ht="15.75" customHeight="1" x14ac:dyDescent="0.25">
      <c r="F796" s="330"/>
    </row>
    <row r="797" spans="6:6" ht="15.75" customHeight="1" x14ac:dyDescent="0.25">
      <c r="F797" s="330"/>
    </row>
    <row r="798" spans="6:6" ht="15.75" customHeight="1" x14ac:dyDescent="0.25">
      <c r="F798" s="330"/>
    </row>
    <row r="799" spans="6:6" ht="15.75" customHeight="1" x14ac:dyDescent="0.25">
      <c r="F799" s="330"/>
    </row>
    <row r="800" spans="6:6" ht="15.75" customHeight="1" x14ac:dyDescent="0.25">
      <c r="F800" s="330"/>
    </row>
    <row r="801" spans="6:6" ht="15.75" customHeight="1" x14ac:dyDescent="0.25">
      <c r="F801" s="330"/>
    </row>
    <row r="802" spans="6:6" ht="15.75" customHeight="1" x14ac:dyDescent="0.25">
      <c r="F802" s="330"/>
    </row>
    <row r="803" spans="6:6" ht="15.75" customHeight="1" x14ac:dyDescent="0.25">
      <c r="F803" s="330"/>
    </row>
    <row r="804" spans="6:6" ht="15.75" customHeight="1" x14ac:dyDescent="0.25">
      <c r="F804" s="330"/>
    </row>
    <row r="805" spans="6:6" ht="15.75" customHeight="1" x14ac:dyDescent="0.25">
      <c r="F805" s="330"/>
    </row>
    <row r="806" spans="6:6" ht="15.75" customHeight="1" x14ac:dyDescent="0.25">
      <c r="F806" s="330"/>
    </row>
    <row r="807" spans="6:6" ht="15.75" customHeight="1" x14ac:dyDescent="0.25">
      <c r="F807" s="330"/>
    </row>
    <row r="808" spans="6:6" ht="15.75" customHeight="1" x14ac:dyDescent="0.25">
      <c r="F808" s="330"/>
    </row>
    <row r="809" spans="6:6" ht="15.75" customHeight="1" x14ac:dyDescent="0.25">
      <c r="F809" s="330"/>
    </row>
    <row r="810" spans="6:6" ht="15.75" customHeight="1" x14ac:dyDescent="0.25">
      <c r="F810" s="330"/>
    </row>
    <row r="811" spans="6:6" ht="15.75" customHeight="1" x14ac:dyDescent="0.25">
      <c r="F811" s="330"/>
    </row>
    <row r="812" spans="6:6" ht="15.75" customHeight="1" x14ac:dyDescent="0.25">
      <c r="F812" s="330"/>
    </row>
    <row r="813" spans="6:6" ht="15.75" customHeight="1" x14ac:dyDescent="0.25">
      <c r="F813" s="330"/>
    </row>
    <row r="814" spans="6:6" ht="15.75" customHeight="1" x14ac:dyDescent="0.25">
      <c r="F814" s="330"/>
    </row>
    <row r="815" spans="6:6" ht="15.75" customHeight="1" x14ac:dyDescent="0.25">
      <c r="F815" s="330"/>
    </row>
    <row r="816" spans="6:6" ht="15.75" customHeight="1" x14ac:dyDescent="0.25">
      <c r="F816" s="330"/>
    </row>
    <row r="817" spans="6:6" ht="15.75" customHeight="1" x14ac:dyDescent="0.25">
      <c r="F817" s="330"/>
    </row>
    <row r="818" spans="6:6" ht="15.75" customHeight="1" x14ac:dyDescent="0.25">
      <c r="F818" s="330"/>
    </row>
    <row r="819" spans="6:6" ht="15.75" customHeight="1" x14ac:dyDescent="0.25">
      <c r="F819" s="330"/>
    </row>
    <row r="820" spans="6:6" ht="15.75" customHeight="1" x14ac:dyDescent="0.25">
      <c r="F820" s="330"/>
    </row>
    <row r="821" spans="6:6" ht="15.75" customHeight="1" x14ac:dyDescent="0.25">
      <c r="F821" s="330"/>
    </row>
    <row r="822" spans="6:6" ht="15.75" customHeight="1" x14ac:dyDescent="0.25">
      <c r="F822" s="330"/>
    </row>
    <row r="823" spans="6:6" ht="15.75" customHeight="1" x14ac:dyDescent="0.25">
      <c r="F823" s="330"/>
    </row>
    <row r="824" spans="6:6" ht="15.75" customHeight="1" x14ac:dyDescent="0.25">
      <c r="F824" s="330"/>
    </row>
    <row r="825" spans="6:6" ht="15.75" customHeight="1" x14ac:dyDescent="0.25">
      <c r="F825" s="330"/>
    </row>
    <row r="826" spans="6:6" ht="15.75" customHeight="1" x14ac:dyDescent="0.25">
      <c r="F826" s="330"/>
    </row>
    <row r="827" spans="6:6" ht="15.75" customHeight="1" x14ac:dyDescent="0.25">
      <c r="F827" s="330"/>
    </row>
    <row r="828" spans="6:6" ht="15.75" customHeight="1" x14ac:dyDescent="0.25">
      <c r="F828" s="330"/>
    </row>
    <row r="829" spans="6:6" ht="15.75" customHeight="1" x14ac:dyDescent="0.25">
      <c r="F829" s="330"/>
    </row>
    <row r="830" spans="6:6" ht="15.75" customHeight="1" x14ac:dyDescent="0.25">
      <c r="F830" s="330"/>
    </row>
    <row r="831" spans="6:6" ht="15.75" customHeight="1" x14ac:dyDescent="0.25">
      <c r="F831" s="330"/>
    </row>
    <row r="832" spans="6:6" ht="15.75" customHeight="1" x14ac:dyDescent="0.25">
      <c r="F832" s="330"/>
    </row>
    <row r="833" spans="6:6" ht="15.75" customHeight="1" x14ac:dyDescent="0.25">
      <c r="F833" s="330"/>
    </row>
    <row r="834" spans="6:6" ht="15.75" customHeight="1" x14ac:dyDescent="0.25">
      <c r="F834" s="330"/>
    </row>
    <row r="835" spans="6:6" ht="15.75" customHeight="1" x14ac:dyDescent="0.25">
      <c r="F835" s="330"/>
    </row>
    <row r="836" spans="6:6" ht="15.75" customHeight="1" x14ac:dyDescent="0.25">
      <c r="F836" s="330"/>
    </row>
    <row r="837" spans="6:6" ht="15.75" customHeight="1" x14ac:dyDescent="0.25">
      <c r="F837" s="330"/>
    </row>
    <row r="838" spans="6:6" ht="15.75" customHeight="1" x14ac:dyDescent="0.25">
      <c r="F838" s="330"/>
    </row>
    <row r="839" spans="6:6" ht="15.75" customHeight="1" x14ac:dyDescent="0.25">
      <c r="F839" s="330"/>
    </row>
    <row r="840" spans="6:6" ht="15.75" customHeight="1" x14ac:dyDescent="0.25">
      <c r="F840" s="330"/>
    </row>
    <row r="841" spans="6:6" ht="15.75" customHeight="1" x14ac:dyDescent="0.25">
      <c r="F841" s="330"/>
    </row>
    <row r="842" spans="6:6" ht="15.75" customHeight="1" x14ac:dyDescent="0.25">
      <c r="F842" s="330"/>
    </row>
    <row r="843" spans="6:6" ht="15.75" customHeight="1" x14ac:dyDescent="0.25">
      <c r="F843" s="330"/>
    </row>
    <row r="844" spans="6:6" ht="15.75" customHeight="1" x14ac:dyDescent="0.25">
      <c r="F844" s="330"/>
    </row>
    <row r="845" spans="6:6" ht="15.75" customHeight="1" x14ac:dyDescent="0.25">
      <c r="F845" s="330"/>
    </row>
    <row r="846" spans="6:6" ht="15.75" customHeight="1" x14ac:dyDescent="0.25">
      <c r="F846" s="330"/>
    </row>
    <row r="847" spans="6:6" ht="15.75" customHeight="1" x14ac:dyDescent="0.25">
      <c r="F847" s="330"/>
    </row>
    <row r="848" spans="6:6" ht="15.75" customHeight="1" x14ac:dyDescent="0.25">
      <c r="F848" s="330"/>
    </row>
    <row r="849" spans="6:6" ht="15.75" customHeight="1" x14ac:dyDescent="0.25">
      <c r="F849" s="330"/>
    </row>
    <row r="850" spans="6:6" ht="15.75" customHeight="1" x14ac:dyDescent="0.25">
      <c r="F850" s="330"/>
    </row>
    <row r="851" spans="6:6" ht="15.75" customHeight="1" x14ac:dyDescent="0.25">
      <c r="F851" s="330"/>
    </row>
    <row r="852" spans="6:6" ht="15.75" customHeight="1" x14ac:dyDescent="0.25">
      <c r="F852" s="330"/>
    </row>
    <row r="853" spans="6:6" ht="15.75" customHeight="1" x14ac:dyDescent="0.25">
      <c r="F853" s="330"/>
    </row>
    <row r="854" spans="6:6" ht="15.75" customHeight="1" x14ac:dyDescent="0.25">
      <c r="F854" s="330"/>
    </row>
    <row r="855" spans="6:6" ht="15.75" customHeight="1" x14ac:dyDescent="0.25">
      <c r="F855" s="330"/>
    </row>
    <row r="856" spans="6:6" ht="15.75" customHeight="1" x14ac:dyDescent="0.25">
      <c r="F856" s="330"/>
    </row>
    <row r="857" spans="6:6" ht="15.75" customHeight="1" x14ac:dyDescent="0.25">
      <c r="F857" s="330"/>
    </row>
    <row r="858" spans="6:6" ht="15.75" customHeight="1" x14ac:dyDescent="0.25">
      <c r="F858" s="330"/>
    </row>
    <row r="859" spans="6:6" ht="15.75" customHeight="1" x14ac:dyDescent="0.25">
      <c r="F859" s="330"/>
    </row>
    <row r="860" spans="6:6" ht="15.75" customHeight="1" x14ac:dyDescent="0.25">
      <c r="F860" s="330"/>
    </row>
    <row r="861" spans="6:6" ht="15.75" customHeight="1" x14ac:dyDescent="0.25">
      <c r="F861" s="330"/>
    </row>
    <row r="862" spans="6:6" ht="15.75" customHeight="1" x14ac:dyDescent="0.25">
      <c r="F862" s="330"/>
    </row>
    <row r="863" spans="6:6" ht="15.75" customHeight="1" x14ac:dyDescent="0.25">
      <c r="F863" s="330"/>
    </row>
    <row r="864" spans="6:6" ht="15.75" customHeight="1" x14ac:dyDescent="0.25">
      <c r="F864" s="330"/>
    </row>
    <row r="865" spans="6:6" ht="15.75" customHeight="1" x14ac:dyDescent="0.25">
      <c r="F865" s="330"/>
    </row>
    <row r="866" spans="6:6" ht="15.75" customHeight="1" x14ac:dyDescent="0.25">
      <c r="F866" s="330"/>
    </row>
    <row r="867" spans="6:6" ht="15.75" customHeight="1" x14ac:dyDescent="0.25">
      <c r="F867" s="330"/>
    </row>
    <row r="868" spans="6:6" ht="15.75" customHeight="1" x14ac:dyDescent="0.25">
      <c r="F868" s="330"/>
    </row>
    <row r="869" spans="6:6" ht="15.75" customHeight="1" x14ac:dyDescent="0.25">
      <c r="F869" s="330"/>
    </row>
    <row r="870" spans="6:6" ht="15.75" customHeight="1" x14ac:dyDescent="0.25">
      <c r="F870" s="330"/>
    </row>
    <row r="871" spans="6:6" ht="15.75" customHeight="1" x14ac:dyDescent="0.25">
      <c r="F871" s="330"/>
    </row>
    <row r="872" spans="6:6" ht="15.75" customHeight="1" x14ac:dyDescent="0.25">
      <c r="F872" s="330"/>
    </row>
    <row r="873" spans="6:6" ht="15.75" customHeight="1" x14ac:dyDescent="0.25">
      <c r="F873" s="330"/>
    </row>
    <row r="874" spans="6:6" ht="15.75" customHeight="1" x14ac:dyDescent="0.25">
      <c r="F874" s="330"/>
    </row>
    <row r="875" spans="6:6" ht="15.75" customHeight="1" x14ac:dyDescent="0.25">
      <c r="F875" s="330"/>
    </row>
    <row r="876" spans="6:6" ht="15.75" customHeight="1" x14ac:dyDescent="0.25">
      <c r="F876" s="330"/>
    </row>
    <row r="877" spans="6:6" ht="15.75" customHeight="1" x14ac:dyDescent="0.25">
      <c r="F877" s="330"/>
    </row>
    <row r="878" spans="6:6" ht="15.75" customHeight="1" x14ac:dyDescent="0.25">
      <c r="F878" s="330"/>
    </row>
    <row r="879" spans="6:6" ht="15.75" customHeight="1" x14ac:dyDescent="0.25">
      <c r="F879" s="330"/>
    </row>
    <row r="880" spans="6:6" ht="15.75" customHeight="1" x14ac:dyDescent="0.25">
      <c r="F880" s="330"/>
    </row>
    <row r="881" spans="6:6" ht="15.75" customHeight="1" x14ac:dyDescent="0.25">
      <c r="F881" s="330"/>
    </row>
    <row r="882" spans="6:6" ht="15.75" customHeight="1" x14ac:dyDescent="0.25">
      <c r="F882" s="330"/>
    </row>
    <row r="883" spans="6:6" ht="15.75" customHeight="1" x14ac:dyDescent="0.25">
      <c r="F883" s="330"/>
    </row>
    <row r="884" spans="6:6" ht="15.75" customHeight="1" x14ac:dyDescent="0.25">
      <c r="F884" s="330"/>
    </row>
    <row r="885" spans="6:6" ht="15.75" customHeight="1" x14ac:dyDescent="0.25">
      <c r="F885" s="330"/>
    </row>
    <row r="886" spans="6:6" ht="15.75" customHeight="1" x14ac:dyDescent="0.25">
      <c r="F886" s="330"/>
    </row>
    <row r="887" spans="6:6" ht="15.75" customHeight="1" x14ac:dyDescent="0.25">
      <c r="F887" s="330"/>
    </row>
    <row r="888" spans="6:6" ht="15.75" customHeight="1" x14ac:dyDescent="0.25">
      <c r="F888" s="330"/>
    </row>
    <row r="889" spans="6:6" ht="15.75" customHeight="1" x14ac:dyDescent="0.25">
      <c r="F889" s="330"/>
    </row>
    <row r="890" spans="6:6" ht="15.75" customHeight="1" x14ac:dyDescent="0.25">
      <c r="F890" s="330"/>
    </row>
    <row r="891" spans="6:6" ht="15.75" customHeight="1" x14ac:dyDescent="0.25">
      <c r="F891" s="330"/>
    </row>
    <row r="892" spans="6:6" ht="15.75" customHeight="1" x14ac:dyDescent="0.25">
      <c r="F892" s="330"/>
    </row>
    <row r="893" spans="6:6" ht="15.75" customHeight="1" x14ac:dyDescent="0.25">
      <c r="F893" s="330"/>
    </row>
    <row r="894" spans="6:6" ht="15.75" customHeight="1" x14ac:dyDescent="0.25">
      <c r="F894" s="330"/>
    </row>
    <row r="895" spans="6:6" ht="15.75" customHeight="1" x14ac:dyDescent="0.25">
      <c r="F895" s="330"/>
    </row>
    <row r="896" spans="6:6" ht="15.75" customHeight="1" x14ac:dyDescent="0.25">
      <c r="F896" s="330"/>
    </row>
    <row r="897" spans="6:6" ht="15.75" customHeight="1" x14ac:dyDescent="0.25">
      <c r="F897" s="330"/>
    </row>
    <row r="898" spans="6:6" ht="15.75" customHeight="1" x14ac:dyDescent="0.25">
      <c r="F898" s="330"/>
    </row>
    <row r="899" spans="6:6" ht="15.75" customHeight="1" x14ac:dyDescent="0.25">
      <c r="F899" s="330"/>
    </row>
    <row r="900" spans="6:6" ht="15.75" customHeight="1" x14ac:dyDescent="0.25">
      <c r="F900" s="330"/>
    </row>
    <row r="901" spans="6:6" ht="15.75" customHeight="1" x14ac:dyDescent="0.25">
      <c r="F901" s="330"/>
    </row>
    <row r="902" spans="6:6" ht="15.75" customHeight="1" x14ac:dyDescent="0.25">
      <c r="F902" s="330"/>
    </row>
    <row r="903" spans="6:6" ht="15.75" customHeight="1" x14ac:dyDescent="0.25">
      <c r="F903" s="330"/>
    </row>
    <row r="904" spans="6:6" ht="15.75" customHeight="1" x14ac:dyDescent="0.25">
      <c r="F904" s="330"/>
    </row>
    <row r="905" spans="6:6" ht="15.75" customHeight="1" x14ac:dyDescent="0.25">
      <c r="F905" s="330"/>
    </row>
    <row r="906" spans="6:6" ht="15.75" customHeight="1" x14ac:dyDescent="0.25">
      <c r="F906" s="330"/>
    </row>
    <row r="907" spans="6:6" ht="15.75" customHeight="1" x14ac:dyDescent="0.25">
      <c r="F907" s="330"/>
    </row>
    <row r="908" spans="6:6" ht="15.75" customHeight="1" x14ac:dyDescent="0.25">
      <c r="F908" s="330"/>
    </row>
    <row r="909" spans="6:6" ht="15.75" customHeight="1" x14ac:dyDescent="0.25">
      <c r="F909" s="330"/>
    </row>
    <row r="910" spans="6:6" ht="15.75" customHeight="1" x14ac:dyDescent="0.25">
      <c r="F910" s="330"/>
    </row>
    <row r="911" spans="6:6" ht="15.75" customHeight="1" x14ac:dyDescent="0.25">
      <c r="F911" s="330"/>
    </row>
    <row r="912" spans="6:6" ht="15.75" customHeight="1" x14ac:dyDescent="0.25">
      <c r="F912" s="330"/>
    </row>
    <row r="913" spans="6:6" ht="15.75" customHeight="1" x14ac:dyDescent="0.25">
      <c r="F913" s="330"/>
    </row>
    <row r="914" spans="6:6" ht="15.75" customHeight="1" x14ac:dyDescent="0.25">
      <c r="F914" s="330"/>
    </row>
    <row r="915" spans="6:6" ht="15.75" customHeight="1" x14ac:dyDescent="0.25">
      <c r="F915" s="330"/>
    </row>
    <row r="916" spans="6:6" ht="15.75" customHeight="1" x14ac:dyDescent="0.25">
      <c r="F916" s="330"/>
    </row>
    <row r="917" spans="6:6" ht="15.75" customHeight="1" x14ac:dyDescent="0.25">
      <c r="F917" s="330"/>
    </row>
    <row r="918" spans="6:6" ht="15.75" customHeight="1" x14ac:dyDescent="0.25">
      <c r="F918" s="330"/>
    </row>
    <row r="919" spans="6:6" ht="15.75" customHeight="1" x14ac:dyDescent="0.25">
      <c r="F919" s="330"/>
    </row>
    <row r="920" spans="6:6" ht="15.75" customHeight="1" x14ac:dyDescent="0.25">
      <c r="F920" s="330"/>
    </row>
    <row r="921" spans="6:6" ht="15.75" customHeight="1" x14ac:dyDescent="0.25">
      <c r="F921" s="330"/>
    </row>
    <row r="922" spans="6:6" ht="15.75" customHeight="1" x14ac:dyDescent="0.25">
      <c r="F922" s="330"/>
    </row>
    <row r="923" spans="6:6" ht="15.75" customHeight="1" x14ac:dyDescent="0.25">
      <c r="F923" s="330"/>
    </row>
    <row r="924" spans="6:6" ht="15.75" customHeight="1" x14ac:dyDescent="0.25">
      <c r="F924" s="330"/>
    </row>
    <row r="925" spans="6:6" ht="15.75" customHeight="1" x14ac:dyDescent="0.25">
      <c r="F925" s="330"/>
    </row>
    <row r="926" spans="6:6" ht="15.75" customHeight="1" x14ac:dyDescent="0.25">
      <c r="F926" s="330"/>
    </row>
    <row r="927" spans="6:6" ht="15.75" customHeight="1" x14ac:dyDescent="0.25">
      <c r="F927" s="330"/>
    </row>
    <row r="928" spans="6:6" ht="15.75" customHeight="1" x14ac:dyDescent="0.25">
      <c r="F928" s="330"/>
    </row>
    <row r="929" spans="6:6" ht="15.75" customHeight="1" x14ac:dyDescent="0.25">
      <c r="F929" s="330"/>
    </row>
    <row r="930" spans="6:6" ht="15.75" customHeight="1" x14ac:dyDescent="0.25">
      <c r="F930" s="330"/>
    </row>
    <row r="931" spans="6:6" ht="15.75" customHeight="1" x14ac:dyDescent="0.25">
      <c r="F931" s="330"/>
    </row>
    <row r="932" spans="6:6" ht="15.75" customHeight="1" x14ac:dyDescent="0.25">
      <c r="F932" s="330"/>
    </row>
    <row r="933" spans="6:6" ht="15.75" customHeight="1" x14ac:dyDescent="0.25">
      <c r="F933" s="330"/>
    </row>
    <row r="934" spans="6:6" ht="15.75" customHeight="1" x14ac:dyDescent="0.25">
      <c r="F934" s="330"/>
    </row>
    <row r="935" spans="6:6" ht="15.75" customHeight="1" x14ac:dyDescent="0.25">
      <c r="F935" s="330"/>
    </row>
    <row r="936" spans="6:6" ht="15.75" customHeight="1" x14ac:dyDescent="0.25">
      <c r="F936" s="330"/>
    </row>
    <row r="937" spans="6:6" ht="15.75" customHeight="1" x14ac:dyDescent="0.25">
      <c r="F937" s="330"/>
    </row>
    <row r="938" spans="6:6" ht="15.75" customHeight="1" x14ac:dyDescent="0.25">
      <c r="F938" s="330"/>
    </row>
    <row r="939" spans="6:6" ht="15.75" customHeight="1" x14ac:dyDescent="0.25">
      <c r="F939" s="330"/>
    </row>
    <row r="940" spans="6:6" ht="15.75" customHeight="1" x14ac:dyDescent="0.25">
      <c r="F940" s="330"/>
    </row>
    <row r="941" spans="6:6" ht="15.75" customHeight="1" x14ac:dyDescent="0.25">
      <c r="F941" s="330"/>
    </row>
    <row r="942" spans="6:6" ht="15.75" customHeight="1" x14ac:dyDescent="0.25">
      <c r="F942" s="330"/>
    </row>
    <row r="943" spans="6:6" ht="15.75" customHeight="1" x14ac:dyDescent="0.25">
      <c r="F943" s="330"/>
    </row>
    <row r="944" spans="6:6" ht="15.75" customHeight="1" x14ac:dyDescent="0.25">
      <c r="F944" s="330"/>
    </row>
    <row r="945" spans="6:6" ht="15.75" customHeight="1" x14ac:dyDescent="0.25">
      <c r="F945" s="330"/>
    </row>
    <row r="946" spans="6:6" ht="15.75" customHeight="1" x14ac:dyDescent="0.25">
      <c r="F946" s="330"/>
    </row>
    <row r="947" spans="6:6" ht="15.75" customHeight="1" x14ac:dyDescent="0.25">
      <c r="F947" s="330"/>
    </row>
    <row r="948" spans="6:6" ht="15.75" customHeight="1" x14ac:dyDescent="0.25">
      <c r="F948" s="330"/>
    </row>
    <row r="949" spans="6:6" ht="15.75" customHeight="1" x14ac:dyDescent="0.25">
      <c r="F949" s="330"/>
    </row>
    <row r="950" spans="6:6" ht="15.75" customHeight="1" x14ac:dyDescent="0.25">
      <c r="F950" s="330"/>
    </row>
    <row r="951" spans="6:6" ht="15.75" customHeight="1" x14ac:dyDescent="0.25">
      <c r="F951" s="330"/>
    </row>
    <row r="952" spans="6:6" ht="15.75" customHeight="1" x14ac:dyDescent="0.25">
      <c r="F952" s="330"/>
    </row>
    <row r="953" spans="6:6" ht="15.75" customHeight="1" x14ac:dyDescent="0.25">
      <c r="F953" s="330"/>
    </row>
    <row r="954" spans="6:6" ht="15.75" customHeight="1" x14ac:dyDescent="0.25">
      <c r="F954" s="330"/>
    </row>
    <row r="955" spans="6:6" ht="15.75" customHeight="1" x14ac:dyDescent="0.25">
      <c r="F955" s="330"/>
    </row>
    <row r="956" spans="6:6" ht="15.75" customHeight="1" x14ac:dyDescent="0.25">
      <c r="F956" s="330"/>
    </row>
    <row r="957" spans="6:6" ht="15.75" customHeight="1" x14ac:dyDescent="0.25">
      <c r="F957" s="330"/>
    </row>
    <row r="958" spans="6:6" ht="15.75" customHeight="1" x14ac:dyDescent="0.25">
      <c r="F958" s="330"/>
    </row>
    <row r="959" spans="6:6" ht="15.75" customHeight="1" x14ac:dyDescent="0.25">
      <c r="F959" s="330"/>
    </row>
    <row r="960" spans="6:6" ht="15.75" customHeight="1" x14ac:dyDescent="0.25">
      <c r="F960" s="330"/>
    </row>
    <row r="961" spans="6:6" ht="15.75" customHeight="1" x14ac:dyDescent="0.25">
      <c r="F961" s="330"/>
    </row>
    <row r="962" spans="6:6" ht="15.75" customHeight="1" x14ac:dyDescent="0.25">
      <c r="F962" s="330"/>
    </row>
    <row r="963" spans="6:6" ht="15.75" customHeight="1" x14ac:dyDescent="0.25">
      <c r="F963" s="330"/>
    </row>
    <row r="964" spans="6:6" ht="15.75" customHeight="1" x14ac:dyDescent="0.25">
      <c r="F964" s="330"/>
    </row>
    <row r="965" spans="6:6" ht="15.75" customHeight="1" x14ac:dyDescent="0.25">
      <c r="F965" s="330"/>
    </row>
    <row r="966" spans="6:6" ht="15.75" customHeight="1" x14ac:dyDescent="0.25">
      <c r="F966" s="330"/>
    </row>
    <row r="967" spans="6:6" ht="15.75" customHeight="1" x14ac:dyDescent="0.25">
      <c r="F967" s="330"/>
    </row>
    <row r="968" spans="6:6" ht="15.75" customHeight="1" x14ac:dyDescent="0.25">
      <c r="F968" s="330"/>
    </row>
    <row r="969" spans="6:6" ht="15.75" customHeight="1" x14ac:dyDescent="0.25">
      <c r="F969" s="330"/>
    </row>
    <row r="970" spans="6:6" ht="15.75" customHeight="1" x14ac:dyDescent="0.25">
      <c r="F970" s="330"/>
    </row>
    <row r="971" spans="6:6" ht="15.75" customHeight="1" x14ac:dyDescent="0.25">
      <c r="F971" s="330"/>
    </row>
    <row r="972" spans="6:6" ht="15.75" customHeight="1" x14ac:dyDescent="0.25">
      <c r="F972" s="330"/>
    </row>
    <row r="973" spans="6:6" ht="15.75" customHeight="1" x14ac:dyDescent="0.25">
      <c r="F973" s="330"/>
    </row>
    <row r="974" spans="6:6" ht="15.75" customHeight="1" x14ac:dyDescent="0.25">
      <c r="F974" s="330"/>
    </row>
    <row r="975" spans="6:6" ht="15.75" customHeight="1" x14ac:dyDescent="0.25">
      <c r="F975" s="330"/>
    </row>
    <row r="976" spans="6:6" ht="15.75" customHeight="1" x14ac:dyDescent="0.25">
      <c r="F976" s="330"/>
    </row>
    <row r="977" spans="6:6" ht="15.75" customHeight="1" x14ac:dyDescent="0.25">
      <c r="F977" s="330"/>
    </row>
    <row r="978" spans="6:6" ht="15.75" customHeight="1" x14ac:dyDescent="0.25">
      <c r="F978" s="330"/>
    </row>
    <row r="979" spans="6:6" ht="15.75" customHeight="1" x14ac:dyDescent="0.25">
      <c r="F979" s="330"/>
    </row>
    <row r="980" spans="6:6" ht="15.75" customHeight="1" x14ac:dyDescent="0.25">
      <c r="F980" s="330"/>
    </row>
    <row r="981" spans="6:6" ht="15.75" customHeight="1" x14ac:dyDescent="0.25">
      <c r="F981" s="330"/>
    </row>
    <row r="982" spans="6:6" ht="15.75" customHeight="1" x14ac:dyDescent="0.25">
      <c r="F982" s="330"/>
    </row>
    <row r="983" spans="6:6" ht="15.75" customHeight="1" x14ac:dyDescent="0.25">
      <c r="F983" s="330"/>
    </row>
    <row r="984" spans="6:6" ht="15.75" customHeight="1" x14ac:dyDescent="0.25">
      <c r="F984" s="330"/>
    </row>
    <row r="985" spans="6:6" ht="15.75" customHeight="1" x14ac:dyDescent="0.25">
      <c r="F985" s="330"/>
    </row>
    <row r="986" spans="6:6" ht="15.75" customHeight="1" x14ac:dyDescent="0.25">
      <c r="F986" s="330"/>
    </row>
    <row r="987" spans="6:6" ht="15.75" customHeight="1" x14ac:dyDescent="0.25">
      <c r="F987" s="330"/>
    </row>
    <row r="988" spans="6:6" ht="15.75" customHeight="1" x14ac:dyDescent="0.25">
      <c r="F988" s="330"/>
    </row>
    <row r="989" spans="6:6" ht="15.75" customHeight="1" x14ac:dyDescent="0.25">
      <c r="F989" s="330"/>
    </row>
    <row r="990" spans="6:6" ht="15.75" customHeight="1" x14ac:dyDescent="0.25">
      <c r="F990" s="330"/>
    </row>
    <row r="991" spans="6:6" ht="15.75" customHeight="1" x14ac:dyDescent="0.25">
      <c r="F991" s="330"/>
    </row>
    <row r="992" spans="6:6" ht="15.75" customHeight="1" x14ac:dyDescent="0.25">
      <c r="F992" s="330"/>
    </row>
    <row r="993" spans="6:6" ht="15.75" customHeight="1" x14ac:dyDescent="0.25">
      <c r="F993" s="330"/>
    </row>
    <row r="994" spans="6:6" ht="15.75" customHeight="1" x14ac:dyDescent="0.25">
      <c r="F994" s="330"/>
    </row>
    <row r="995" spans="6:6" ht="15.75" customHeight="1" x14ac:dyDescent="0.25">
      <c r="F995" s="330"/>
    </row>
    <row r="996" spans="6:6" ht="15.75" customHeight="1" x14ac:dyDescent="0.25">
      <c r="F996" s="330"/>
    </row>
    <row r="997" spans="6:6" ht="15.75" customHeight="1" x14ac:dyDescent="0.25">
      <c r="F997" s="330"/>
    </row>
    <row r="998" spans="6:6" ht="15.75" customHeight="1" x14ac:dyDescent="0.25">
      <c r="F998" s="330"/>
    </row>
    <row r="999" spans="6:6" ht="15.75" customHeight="1" x14ac:dyDescent="0.25">
      <c r="F999" s="330"/>
    </row>
    <row r="1000" spans="6:6" ht="15.75" customHeight="1" x14ac:dyDescent="0.25">
      <c r="F1000" s="330"/>
    </row>
    <row r="1001" spans="6:6" ht="15.75" customHeight="1" x14ac:dyDescent="0.25">
      <c r="F1001" s="330"/>
    </row>
    <row r="1002" spans="6:6" ht="15.75" customHeight="1" x14ac:dyDescent="0.25">
      <c r="F1002" s="330"/>
    </row>
    <row r="1003" spans="6:6" ht="15.75" customHeight="1" x14ac:dyDescent="0.25">
      <c r="F1003" s="330"/>
    </row>
    <row r="1004" spans="6:6" ht="15.75" customHeight="1" x14ac:dyDescent="0.25">
      <c r="F1004" s="330"/>
    </row>
    <row r="1005" spans="6:6" ht="15.75" customHeight="1" x14ac:dyDescent="0.25">
      <c r="F1005" s="330"/>
    </row>
    <row r="1006" spans="6:6" ht="15.75" customHeight="1" x14ac:dyDescent="0.25">
      <c r="F1006" s="330"/>
    </row>
    <row r="1007" spans="6:6" ht="15.75" customHeight="1" x14ac:dyDescent="0.25">
      <c r="F1007" s="330"/>
    </row>
    <row r="1008" spans="6:6" ht="15.75" customHeight="1" x14ac:dyDescent="0.25">
      <c r="F1008" s="330"/>
    </row>
    <row r="1009" spans="6:6" ht="15.75" customHeight="1" x14ac:dyDescent="0.25">
      <c r="F1009" s="330"/>
    </row>
    <row r="1010" spans="6:6" ht="15.75" customHeight="1" x14ac:dyDescent="0.25">
      <c r="F1010" s="330"/>
    </row>
    <row r="1011" spans="6:6" ht="15.75" customHeight="1" x14ac:dyDescent="0.25">
      <c r="F1011" s="330"/>
    </row>
    <row r="1012" spans="6:6" ht="15.75" customHeight="1" x14ac:dyDescent="0.25">
      <c r="F1012" s="330"/>
    </row>
    <row r="1013" spans="6:6" ht="15.75" customHeight="1" x14ac:dyDescent="0.25">
      <c r="F1013" s="330"/>
    </row>
    <row r="1014" spans="6:6" ht="15.75" customHeight="1" x14ac:dyDescent="0.25">
      <c r="F1014" s="330"/>
    </row>
    <row r="1015" spans="6:6" ht="15.75" customHeight="1" x14ac:dyDescent="0.25">
      <c r="F1015" s="330"/>
    </row>
    <row r="1016" spans="6:6" ht="15.75" customHeight="1" x14ac:dyDescent="0.25">
      <c r="F1016" s="330"/>
    </row>
    <row r="1017" spans="6:6" ht="15.75" customHeight="1" x14ac:dyDescent="0.25">
      <c r="F1017" s="330"/>
    </row>
    <row r="1018" spans="6:6" ht="15.75" customHeight="1" x14ac:dyDescent="0.25">
      <c r="F1018" s="330"/>
    </row>
    <row r="1019" spans="6:6" ht="15.75" customHeight="1" x14ac:dyDescent="0.25">
      <c r="F1019" s="330"/>
    </row>
    <row r="1020" spans="6:6" ht="15.75" customHeight="1" x14ac:dyDescent="0.25">
      <c r="F1020" s="330"/>
    </row>
    <row r="1021" spans="6:6" ht="15.75" customHeight="1" x14ac:dyDescent="0.25">
      <c r="F1021" s="330"/>
    </row>
    <row r="1022" spans="6:6" ht="15.75" customHeight="1" x14ac:dyDescent="0.25">
      <c r="F1022" s="330"/>
    </row>
    <row r="1023" spans="6:6" ht="15.75" customHeight="1" x14ac:dyDescent="0.25">
      <c r="F1023" s="330"/>
    </row>
    <row r="1024" spans="6:6" ht="15.75" customHeight="1" x14ac:dyDescent="0.25">
      <c r="F1024" s="330"/>
    </row>
    <row r="1025" spans="6:6" ht="15.75" customHeight="1" x14ac:dyDescent="0.25">
      <c r="F1025" s="330"/>
    </row>
    <row r="1026" spans="6:6" ht="15.75" customHeight="1" x14ac:dyDescent="0.25">
      <c r="F1026" s="330"/>
    </row>
    <row r="1027" spans="6:6" ht="15.75" customHeight="1" x14ac:dyDescent="0.25">
      <c r="F1027" s="330"/>
    </row>
    <row r="1028" spans="6:6" ht="15.75" customHeight="1" x14ac:dyDescent="0.25">
      <c r="F1028" s="330"/>
    </row>
    <row r="1029" spans="6:6" ht="15.75" customHeight="1" x14ac:dyDescent="0.25">
      <c r="F1029" s="330"/>
    </row>
    <row r="1030" spans="6:6" ht="15.75" customHeight="1" x14ac:dyDescent="0.25">
      <c r="F1030" s="330"/>
    </row>
    <row r="1031" spans="6:6" ht="15.75" customHeight="1" x14ac:dyDescent="0.25">
      <c r="F1031" s="330"/>
    </row>
    <row r="1032" spans="6:6" ht="15.75" customHeight="1" x14ac:dyDescent="0.25">
      <c r="F1032" s="330"/>
    </row>
  </sheetData>
  <sheetProtection algorithmName="SHA-512" hashValue="XGNAIsFGQILPoLBrWZt/BF/Vg4osNoFOeIHQsd5C/6wYisJnYatvCEbhF8n3L3+25J62ThqBkL7lFUfUaZ8hHQ==" saltValue="xhzuQrGjTZ/K3gr+TIG7rQ==" spinCount="100000" sheet="1" objects="1" scenarios="1"/>
  <mergeCells count="118">
    <mergeCell ref="M93:N93"/>
    <mergeCell ref="M94:N94"/>
    <mergeCell ref="M95:N95"/>
    <mergeCell ref="M88:N88"/>
    <mergeCell ref="M89:N89"/>
    <mergeCell ref="M90:N90"/>
    <mergeCell ref="M91:N91"/>
    <mergeCell ref="M92:N92"/>
    <mergeCell ref="M83:N83"/>
    <mergeCell ref="M84:N84"/>
    <mergeCell ref="M85:N85"/>
    <mergeCell ref="M86:N86"/>
    <mergeCell ref="M87:N87"/>
    <mergeCell ref="M76:N76"/>
    <mergeCell ref="M78:N78"/>
    <mergeCell ref="M79:N79"/>
    <mergeCell ref="M80:N80"/>
    <mergeCell ref="M81:N81"/>
    <mergeCell ref="M69:N69"/>
    <mergeCell ref="M70:N70"/>
    <mergeCell ref="M71:N71"/>
    <mergeCell ref="M74:N74"/>
    <mergeCell ref="M75:N75"/>
    <mergeCell ref="M63:N63"/>
    <mergeCell ref="M64:N64"/>
    <mergeCell ref="M66:N66"/>
    <mergeCell ref="M67:N67"/>
    <mergeCell ref="M68:N68"/>
    <mergeCell ref="M56:N56"/>
    <mergeCell ref="M59:N59"/>
    <mergeCell ref="M60:N60"/>
    <mergeCell ref="M61:N61"/>
    <mergeCell ref="M62:N62"/>
    <mergeCell ref="M50:N50"/>
    <mergeCell ref="M52:N52"/>
    <mergeCell ref="M53:N53"/>
    <mergeCell ref="M54:N54"/>
    <mergeCell ref="M55:N55"/>
    <mergeCell ref="M44:N44"/>
    <mergeCell ref="M45:N45"/>
    <mergeCell ref="M47:N47"/>
    <mergeCell ref="M48:N48"/>
    <mergeCell ref="M49:N49"/>
    <mergeCell ref="M38:N38"/>
    <mergeCell ref="M39:N39"/>
    <mergeCell ref="M40:N40"/>
    <mergeCell ref="M41:N41"/>
    <mergeCell ref="M43:N43"/>
    <mergeCell ref="M31:N31"/>
    <mergeCell ref="M33:N33"/>
    <mergeCell ref="M36:N36"/>
    <mergeCell ref="M37:N37"/>
    <mergeCell ref="M35:N35"/>
    <mergeCell ref="M9:N9"/>
    <mergeCell ref="M10:N10"/>
    <mergeCell ref="M11:N11"/>
    <mergeCell ref="M25:N25"/>
    <mergeCell ref="M26:N26"/>
    <mergeCell ref="M27:N27"/>
    <mergeCell ref="M28:N28"/>
    <mergeCell ref="M29:N29"/>
    <mergeCell ref="M18:N18"/>
    <mergeCell ref="M19:N19"/>
    <mergeCell ref="M20:N20"/>
    <mergeCell ref="M21:N21"/>
    <mergeCell ref="M24:N24"/>
    <mergeCell ref="A36:B41"/>
    <mergeCell ref="A44:B45"/>
    <mergeCell ref="A47:B50"/>
    <mergeCell ref="A57:C57"/>
    <mergeCell ref="A72:C72"/>
    <mergeCell ref="B58:C58"/>
    <mergeCell ref="A59:B64"/>
    <mergeCell ref="B65:C65"/>
    <mergeCell ref="A66:B71"/>
    <mergeCell ref="B77:C77"/>
    <mergeCell ref="B82:C82"/>
    <mergeCell ref="B42:C42"/>
    <mergeCell ref="B46:C46"/>
    <mergeCell ref="A75:B76"/>
    <mergeCell ref="B73:C73"/>
    <mergeCell ref="B51:C51"/>
    <mergeCell ref="A52:B56"/>
    <mergeCell ref="A79:B81"/>
    <mergeCell ref="B30:C30"/>
    <mergeCell ref="B32:C32"/>
    <mergeCell ref="A31:B31"/>
    <mergeCell ref="A33:B33"/>
    <mergeCell ref="B34:C34"/>
    <mergeCell ref="L3:L4"/>
    <mergeCell ref="A3:B4"/>
    <mergeCell ref="C3:C4"/>
    <mergeCell ref="F3:F4"/>
    <mergeCell ref="G3:G4"/>
    <mergeCell ref="M3:N4"/>
    <mergeCell ref="D1:M1"/>
    <mergeCell ref="A24:A29"/>
    <mergeCell ref="H3:H4"/>
    <mergeCell ref="I3:I4"/>
    <mergeCell ref="J3:J4"/>
    <mergeCell ref="K3:K4"/>
    <mergeCell ref="A5:C5"/>
    <mergeCell ref="B6:C6"/>
    <mergeCell ref="B14:C14"/>
    <mergeCell ref="B22:C22"/>
    <mergeCell ref="A7:B13"/>
    <mergeCell ref="A1:C1"/>
    <mergeCell ref="A2:O2"/>
    <mergeCell ref="D3:D4"/>
    <mergeCell ref="E3:E4"/>
    <mergeCell ref="M23:N23"/>
    <mergeCell ref="M12:N12"/>
    <mergeCell ref="M13:N13"/>
    <mergeCell ref="M15:N15"/>
    <mergeCell ref="M16:N16"/>
    <mergeCell ref="M17:N17"/>
    <mergeCell ref="M7:N7"/>
    <mergeCell ref="M8:N8"/>
  </mergeCells>
  <conditionalFormatting sqref="K6:K99">
    <cfRule type="expression" dxfId="255" priority="16">
      <formula>H6=1</formula>
    </cfRule>
  </conditionalFormatting>
  <conditionalFormatting sqref="I7:I99">
    <cfRule type="cellIs" dxfId="254" priority="8" operator="lessThan">
      <formula>0</formula>
    </cfRule>
  </conditionalFormatting>
  <conditionalFormatting sqref="L6:L99">
    <cfRule type="cellIs" dxfId="253" priority="6" operator="greaterThan">
      <formula>0</formula>
    </cfRule>
    <cfRule type="cellIs" dxfId="252" priority="7" operator="equal">
      <formula>0</formula>
    </cfRule>
  </conditionalFormatting>
  <conditionalFormatting sqref="O6:O99">
    <cfRule type="containsText" dxfId="251" priority="9" operator="containsText" text="Expired">
      <formula>NOT(ISERROR(SEARCH("Expired",O6)))</formula>
    </cfRule>
    <cfRule type="containsText" dxfId="250" priority="10" operator="containsText" text="B1">
      <formula>NOT(ISERROR(SEARCH("B1",O6)))</formula>
    </cfRule>
    <cfRule type="containsText" dxfId="249" priority="11" operator="containsText" text="LCA">
      <formula>NOT(ISERROR(SEARCH("LCA",O6)))</formula>
    </cfRule>
    <cfRule type="containsText" dxfId="248" priority="12" operator="containsText" text="ICE">
      <formula>NOT(ISERROR(SEARCH("ICE",O6)))</formula>
    </cfRule>
    <cfRule type="containsText" dxfId="247" priority="13" operator="containsText" text="No">
      <formula>NOT(ISERROR(SEARCH("No",O6)))</formula>
    </cfRule>
    <cfRule type="containsText" dxfId="246" priority="14" operator="containsText" text="None">
      <formula>NOT(ISERROR(SEARCH("None",O6)))</formula>
    </cfRule>
    <cfRule type="containsText" dxfId="245" priority="15" operator="containsText" text="A1-">
      <formula>NOT(ISERROR(SEARCH("A1-",O6)))</formula>
    </cfRule>
  </conditionalFormatting>
  <conditionalFormatting sqref="P4">
    <cfRule type="cellIs" dxfId="244" priority="2" operator="greaterThan">
      <formula>0</formula>
    </cfRule>
    <cfRule type="cellIs" dxfId="243" priority="3" operator="equal">
      <formula>0</formula>
    </cfRule>
  </conditionalFormatting>
  <conditionalFormatting sqref="O4">
    <cfRule type="expression" dxfId="242" priority="1">
      <formula>COUNTIF($H:$H, 1)&gt;0</formula>
    </cfRule>
  </conditionalFormatting>
  <dataValidations count="2">
    <dataValidation type="list" allowBlank="1" showErrorMessage="1" sqref="E57" xr:uid="{00000000-0002-0000-0D00-000000000000}">
      <formula1>spacing</formula1>
    </dataValidation>
    <dataValidation type="whole" errorStyle="warning" operator="equal" allowBlank="1" showErrorMessage="1" errorTitle="Enter 1 to select" error="Options:_x000a_To select item, enter '1'_x000a_To unselect, leave cell empty" sqref="H7:H95" xr:uid="{00000000-0002-0000-0D00-000001000000}">
      <formula1>1</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8">
    <tabColor theme="2" tint="-0.249977111117893"/>
  </sheetPr>
  <dimension ref="A1:X999"/>
  <sheetViews>
    <sheetView zoomScale="80" zoomScaleNormal="80" workbookViewId="0">
      <pane ySplit="4" topLeftCell="A5" activePane="bottomLeft" state="frozen"/>
      <selection activeCell="L34" activeCellId="1" sqref="H6 L34"/>
      <selection pane="bottomLeft" activeCell="A5" sqref="A5:C5"/>
    </sheetView>
  </sheetViews>
  <sheetFormatPr defaultColWidth="11.36328125" defaultRowHeight="15" customHeight="1" x14ac:dyDescent="0.25"/>
  <cols>
    <col min="1" max="1" width="8.6328125" customWidth="1"/>
    <col min="2" max="2" width="13.08984375" customWidth="1"/>
    <col min="3" max="3" width="57.54296875" customWidth="1"/>
    <col min="4" max="4" width="19.81640625" style="712" customWidth="1"/>
    <col min="5" max="5" width="5.6328125" customWidth="1"/>
    <col min="6" max="6" width="6.6328125" style="331" customWidth="1"/>
    <col min="7" max="7" width="2.36328125" customWidth="1"/>
    <col min="8" max="8" width="6.6328125" customWidth="1"/>
    <col min="9" max="9" width="13.6328125" style="714" hidden="1" customWidth="1"/>
    <col min="10" max="10" width="16.6328125" style="714" hidden="1" customWidth="1"/>
    <col min="11" max="12" width="13.6328125" style="714" customWidth="1"/>
    <col min="13" max="13" width="12.6328125" style="714" customWidth="1"/>
    <col min="14" max="14" width="35.90625" style="714" customWidth="1"/>
    <col min="15" max="15" width="28.6328125" customWidth="1"/>
    <col min="16" max="16" width="24.6328125" style="620" customWidth="1"/>
    <col min="17" max="17" width="15.08984375" style="725" customWidth="1"/>
    <col min="18" max="18" width="28" style="725" customWidth="1"/>
    <col min="19" max="24" width="10.54296875" style="619" customWidth="1"/>
    <col min="25" max="16384" width="11.36328125" style="619"/>
  </cols>
  <sheetData>
    <row r="1" spans="1:24" ht="54.75" customHeight="1" x14ac:dyDescent="0.25">
      <c r="A1" s="1528" t="s">
        <v>3434</v>
      </c>
      <c r="B1" s="1529"/>
      <c r="C1" s="1530"/>
      <c r="D1" s="1521" t="s">
        <v>1534</v>
      </c>
      <c r="E1" s="1521"/>
      <c r="F1" s="1521"/>
      <c r="G1" s="1521"/>
      <c r="H1" s="1521"/>
      <c r="I1" s="1521"/>
      <c r="J1" s="1521"/>
      <c r="K1" s="1521"/>
      <c r="L1" s="1521"/>
      <c r="M1" s="716"/>
      <c r="N1" s="716"/>
      <c r="O1" s="618"/>
      <c r="P1" s="618"/>
    </row>
    <row r="2" spans="1:24" ht="19.2" customHeight="1" x14ac:dyDescent="0.25">
      <c r="A2" s="1591" t="s">
        <v>7209</v>
      </c>
      <c r="B2" s="1591"/>
      <c r="C2" s="1591"/>
      <c r="D2" s="1591"/>
      <c r="E2" s="1591"/>
      <c r="F2" s="1591"/>
      <c r="G2" s="1591"/>
      <c r="H2" s="1591"/>
      <c r="I2" s="1591"/>
      <c r="J2" s="1591"/>
      <c r="K2" s="1591"/>
      <c r="L2" s="1591"/>
      <c r="M2" s="1591"/>
      <c r="N2" s="1591"/>
      <c r="O2" s="1591"/>
    </row>
    <row r="3" spans="1:24" s="624" customFormat="1" ht="60" customHeight="1" x14ac:dyDescent="0.25">
      <c r="A3" s="1537" t="s">
        <v>1031</v>
      </c>
      <c r="B3" s="1537"/>
      <c r="C3" s="1537" t="s">
        <v>13</v>
      </c>
      <c r="D3" s="1532" t="s">
        <v>1583</v>
      </c>
      <c r="E3" s="1534"/>
      <c r="F3" s="1537" t="s">
        <v>14</v>
      </c>
      <c r="G3" s="1537"/>
      <c r="H3" s="1538" t="s">
        <v>3417</v>
      </c>
      <c r="I3" s="1526" t="s">
        <v>7157</v>
      </c>
      <c r="J3" s="1526" t="s">
        <v>7158</v>
      </c>
      <c r="K3" s="1535" t="s">
        <v>900</v>
      </c>
      <c r="L3" s="1535" t="s">
        <v>7156</v>
      </c>
      <c r="M3" s="1520" t="s">
        <v>7165</v>
      </c>
      <c r="N3" s="1520"/>
      <c r="O3" s="622" t="s">
        <v>7211</v>
      </c>
      <c r="P3" s="622" t="s">
        <v>7201</v>
      </c>
      <c r="Q3" s="726"/>
      <c r="R3" s="726"/>
      <c r="S3" s="623"/>
      <c r="T3" s="623"/>
      <c r="U3" s="623"/>
      <c r="V3" s="623"/>
      <c r="W3" s="623"/>
      <c r="X3" s="623"/>
    </row>
    <row r="4" spans="1:24" s="624" customFormat="1" ht="30.15" customHeight="1" x14ac:dyDescent="0.3">
      <c r="A4" s="1537"/>
      <c r="B4" s="1537"/>
      <c r="C4" s="1537"/>
      <c r="D4" s="1533"/>
      <c r="E4" s="1523"/>
      <c r="F4" s="1537"/>
      <c r="G4" s="1537"/>
      <c r="H4" s="1539"/>
      <c r="I4" s="1527"/>
      <c r="J4" s="1527"/>
      <c r="K4" s="1536"/>
      <c r="L4" s="1536"/>
      <c r="M4" s="1520"/>
      <c r="N4" s="1520"/>
      <c r="O4" s="405">
        <f>SUMIF(H6:H30, 1, K6:K30)</f>
        <v>0</v>
      </c>
      <c r="P4" s="424">
        <f>SUMIF(H6:H30, 1, L6:L30)</f>
        <v>0</v>
      </c>
      <c r="Q4" s="626" t="s">
        <v>107</v>
      </c>
      <c r="R4" s="626" t="s">
        <v>1072</v>
      </c>
      <c r="S4" s="627" t="s">
        <v>749</v>
      </c>
      <c r="T4" s="627" t="s">
        <v>108</v>
      </c>
    </row>
    <row r="5" spans="1:24" s="624" customFormat="1" ht="54.75" customHeight="1" x14ac:dyDescent="0.25">
      <c r="A5" s="1522" t="s">
        <v>1373</v>
      </c>
      <c r="B5" s="1523"/>
      <c r="C5" s="1523"/>
      <c r="D5" s="649"/>
      <c r="E5" s="650"/>
      <c r="F5" s="321"/>
      <c r="G5" s="650"/>
      <c r="H5" s="650"/>
      <c r="I5" s="651"/>
      <c r="J5" s="651"/>
      <c r="K5" s="652"/>
      <c r="L5" s="759"/>
      <c r="M5" s="759"/>
      <c r="N5" s="759"/>
      <c r="O5" s="825"/>
      <c r="P5" s="637"/>
      <c r="Q5" s="726"/>
      <c r="R5" s="726"/>
      <c r="S5" s="638"/>
      <c r="T5" s="638"/>
      <c r="U5" s="638"/>
      <c r="V5" s="638"/>
      <c r="W5" s="638"/>
      <c r="X5" s="638"/>
    </row>
    <row r="6" spans="1:24" ht="23.25" customHeight="1" x14ac:dyDescent="0.25">
      <c r="A6" s="823"/>
      <c r="B6" s="823"/>
      <c r="C6" s="669" t="str">
        <f>INDEX('Master sheet'!$A$1:$A$670,MATCH(222,'Master sheet'!$AN$1:$AN$670,0))</f>
        <v>Window - double pane / Fiberglass frame /  / USA &amp; CAN</v>
      </c>
      <c r="D6" s="15">
        <f>'USER INPUT SHEET'!$D$33</f>
        <v>0</v>
      </c>
      <c r="E6" s="16" t="str">
        <f>'USER INPUT SHEET'!$F$33</f>
        <v>m2</v>
      </c>
      <c r="F6" s="3">
        <v>1</v>
      </c>
      <c r="G6" s="670"/>
      <c r="H6" s="8"/>
      <c r="I6" s="92">
        <f t="shared" ref="I6:I7" si="0">K6-L6</f>
        <v>0</v>
      </c>
      <c r="J6" s="93" t="str">
        <f t="shared" ref="J6:J8" si="1">IF(H6=1,I6,"")</f>
        <v/>
      </c>
      <c r="K6" s="406">
        <f>$D6*$F6*VLOOKUP($C6,'Master sheet'!$A:$AL,13,FALSE)</f>
        <v>0</v>
      </c>
      <c r="L6" s="94">
        <f>$D6*$F6*VLOOKUP($C6,'Master sheet'!$A:$AL,27,FALSE)</f>
        <v>0</v>
      </c>
      <c r="M6" s="1562"/>
      <c r="N6" s="1562"/>
      <c r="O6" s="25" t="str">
        <f>_xlfn.IFNA(VLOOKUP($C6,'Master sheet'!$A:$AR,44,FALSE),"")&amp;""</f>
        <v>BfCA Study (Tally)</v>
      </c>
      <c r="P6" s="637"/>
      <c r="Q6" s="725" t="s">
        <v>1534</v>
      </c>
      <c r="R6" s="725" t="s">
        <v>99</v>
      </c>
      <c r="S6" s="664"/>
      <c r="T6" s="664"/>
      <c r="U6" s="664"/>
      <c r="V6" s="664"/>
      <c r="W6" s="664"/>
      <c r="X6" s="664"/>
    </row>
    <row r="7" spans="1:24" ht="23.25" customHeight="1" x14ac:dyDescent="0.25">
      <c r="A7" s="823"/>
      <c r="B7" s="823"/>
      <c r="C7" s="669" t="str">
        <f>INDEX('Master sheet'!$A$1:$A$670,MATCH(224,'Master sheet'!$AN$1:$AN$670,0))</f>
        <v>Window - double pane / Vinyl frame /  / USA &amp; CAN</v>
      </c>
      <c r="D7" s="15">
        <f>'USER INPUT SHEET'!$D$33</f>
        <v>0</v>
      </c>
      <c r="E7" s="16" t="str">
        <f>'USER INPUT SHEET'!$F$33</f>
        <v>m2</v>
      </c>
      <c r="F7" s="3">
        <v>1</v>
      </c>
      <c r="G7" s="670"/>
      <c r="H7" s="8"/>
      <c r="I7" s="92">
        <f t="shared" si="0"/>
        <v>0</v>
      </c>
      <c r="J7" s="93" t="str">
        <f t="shared" si="1"/>
        <v/>
      </c>
      <c r="K7" s="406">
        <f>$D7*$F7*VLOOKUP($C7,'Master sheet'!$A:$AL,13,FALSE)</f>
        <v>0</v>
      </c>
      <c r="L7" s="94">
        <f>$D7*$F7*VLOOKUP($C7,'Master sheet'!$A:$AL,27,FALSE)</f>
        <v>0</v>
      </c>
      <c r="M7" s="1552"/>
      <c r="N7" s="1552"/>
      <c r="O7" s="25" t="str">
        <f>_xlfn.IFNA(VLOOKUP($C7,'Master sheet'!$A:$AR,44,FALSE),"")&amp;""</f>
        <v>BfCA Study (Tally)</v>
      </c>
      <c r="P7" s="685"/>
      <c r="Q7" s="725" t="s">
        <v>1534</v>
      </c>
      <c r="R7" s="725" t="s">
        <v>99</v>
      </c>
      <c r="S7" s="664"/>
      <c r="T7" s="664"/>
      <c r="U7" s="664"/>
      <c r="V7" s="664"/>
      <c r="W7" s="664"/>
      <c r="X7" s="664"/>
    </row>
    <row r="8" spans="1:24" ht="23.25" customHeight="1" x14ac:dyDescent="0.25">
      <c r="A8" s="826"/>
      <c r="B8" s="826"/>
      <c r="C8" s="669" t="str">
        <f>INDEX('Master sheet'!$A$1:$A$670,MATCH(226,'Master sheet'!$AN$1:$AN$670,0))</f>
        <v>Window - double pane / Wood frame /  / USA &amp; CAN</v>
      </c>
      <c r="D8" s="15">
        <f>'USER INPUT SHEET'!$D$33</f>
        <v>0</v>
      </c>
      <c r="E8" s="16" t="str">
        <f>'USER INPUT SHEET'!$F$33</f>
        <v>m2</v>
      </c>
      <c r="F8" s="3">
        <v>1</v>
      </c>
      <c r="G8" s="670"/>
      <c r="H8" s="8"/>
      <c r="I8" s="92">
        <f t="shared" ref="I8" si="2">K8-L8-IF(N8,M8,0)</f>
        <v>0</v>
      </c>
      <c r="J8" s="93" t="str">
        <f t="shared" si="1"/>
        <v/>
      </c>
      <c r="K8" s="406">
        <f>$D8*$F8*VLOOKUP($C8,'Master sheet'!$A:$AL,13,FALSE)</f>
        <v>0</v>
      </c>
      <c r="L8" s="94">
        <f>$D8*$F8*VLOOKUP($C8,'Master sheet'!$A:$AL,27,FALSE)</f>
        <v>0</v>
      </c>
      <c r="M8" s="1552"/>
      <c r="N8" s="1552"/>
      <c r="O8" s="25" t="str">
        <f>_xlfn.IFNA(VLOOKUP($C8,'Master sheet'!$A:$AR,44,FALSE),"")&amp;""</f>
        <v>BfCA Study (Tally)</v>
      </c>
      <c r="P8" s="685"/>
      <c r="Q8" s="725" t="s">
        <v>1534</v>
      </c>
      <c r="R8" s="725" t="s">
        <v>99</v>
      </c>
      <c r="S8" s="664"/>
      <c r="T8" s="664"/>
      <c r="U8" s="664"/>
      <c r="V8" s="664"/>
      <c r="W8" s="664"/>
      <c r="X8" s="664"/>
    </row>
    <row r="9" spans="1:24" ht="31.2" customHeight="1" x14ac:dyDescent="0.25">
      <c r="A9" s="826"/>
      <c r="B9" s="826"/>
      <c r="C9" s="669" t="str">
        <f>INDEX('Master sheet'!$A$1:$A$670,MATCH(228,'Master sheet'!$AN$1:$AN$670,0))</f>
        <v>Window - double pane / Wood frame, aluminum cladding /  / USA &amp; CAN</v>
      </c>
      <c r="D9" s="15">
        <f>'USER INPUT SHEET'!$D$33</f>
        <v>0</v>
      </c>
      <c r="E9" s="16" t="str">
        <f>'USER INPUT SHEET'!$F$33</f>
        <v>m2</v>
      </c>
      <c r="F9" s="3">
        <v>1</v>
      </c>
      <c r="G9" s="670"/>
      <c r="H9" s="8"/>
      <c r="I9" s="92">
        <f t="shared" ref="I9" si="3">K9-L9-IF(N9,M9,0)</f>
        <v>0</v>
      </c>
      <c r="J9" s="93" t="str">
        <f t="shared" ref="J9" si="4">IF(H9=1,I9,"")</f>
        <v/>
      </c>
      <c r="K9" s="406">
        <f>$D9*$F9*VLOOKUP($C9,'Master sheet'!$A:$AL,13,FALSE)</f>
        <v>0</v>
      </c>
      <c r="L9" s="94">
        <f>$D9*$F9*VLOOKUP($C9,'Master sheet'!$A:$AL,27,FALSE)</f>
        <v>0</v>
      </c>
      <c r="M9" s="1552"/>
      <c r="N9" s="1552"/>
      <c r="O9" s="25" t="str">
        <f>_xlfn.IFNA(VLOOKUP($C9,'Master sheet'!$A:$AR,44,FALSE),"")&amp;""</f>
        <v>BfCA Study (Tally)</v>
      </c>
      <c r="P9" s="637"/>
      <c r="Q9" s="725" t="s">
        <v>1534</v>
      </c>
      <c r="R9" s="725" t="s">
        <v>99</v>
      </c>
      <c r="S9" s="664"/>
      <c r="T9" s="664"/>
      <c r="U9" s="664"/>
      <c r="V9" s="664"/>
      <c r="W9" s="664"/>
      <c r="X9" s="664"/>
    </row>
    <row r="10" spans="1:24" s="624" customFormat="1" ht="54.75" customHeight="1" x14ac:dyDescent="0.25">
      <c r="A10" s="1522" t="s">
        <v>1374</v>
      </c>
      <c r="B10" s="1523"/>
      <c r="C10" s="1523"/>
      <c r="D10" s="649"/>
      <c r="E10" s="650"/>
      <c r="F10" s="321"/>
      <c r="G10" s="650"/>
      <c r="H10" s="650"/>
      <c r="I10" s="651"/>
      <c r="J10" s="651"/>
      <c r="K10" s="652"/>
      <c r="L10" s="759"/>
      <c r="M10" s="759"/>
      <c r="N10" s="759"/>
      <c r="O10" s="25" t="str">
        <f>_xlfn.IFNA(VLOOKUP($C10,'Master sheet'!$A:$AR,44,FALSE),"")&amp;""</f>
        <v/>
      </c>
      <c r="P10" s="663"/>
      <c r="Q10" s="726"/>
      <c r="R10" s="726"/>
      <c r="S10" s="638"/>
      <c r="T10" s="638"/>
      <c r="U10" s="638"/>
      <c r="V10" s="638"/>
      <c r="W10" s="638"/>
      <c r="X10" s="638"/>
    </row>
    <row r="11" spans="1:24" ht="23.25" customHeight="1" x14ac:dyDescent="0.25">
      <c r="A11" s="823"/>
      <c r="B11" s="619"/>
      <c r="C11" s="669" t="str">
        <f>INDEX('Master sheet'!$A$1:$A$670,MATCH(229,'Master sheet'!$AN$1:$AN$670,0))</f>
        <v>Window - triple pane / Fiberglass frame /  / USA &amp; CAN</v>
      </c>
      <c r="D11" s="15">
        <f>'USER INPUT SHEET'!$D$33</f>
        <v>0</v>
      </c>
      <c r="E11" s="16" t="str">
        <f>'USER INPUT SHEET'!$F$33</f>
        <v>m2</v>
      </c>
      <c r="F11" s="3">
        <v>1</v>
      </c>
      <c r="G11" s="670"/>
      <c r="H11" s="8"/>
      <c r="I11" s="92">
        <f t="shared" ref="I11:I12" si="5">K11-L11</f>
        <v>0</v>
      </c>
      <c r="J11" s="93" t="str">
        <f t="shared" ref="J11:J14" si="6">IF(H11=1,I11,"")</f>
        <v/>
      </c>
      <c r="K11" s="406">
        <f>$D11*$F11*VLOOKUP($C11,'Master sheet'!$A:$AL,13,FALSE)</f>
        <v>0</v>
      </c>
      <c r="L11" s="94">
        <f>$D11*$F11*VLOOKUP($C11,'Master sheet'!$A:$AL,27,FALSE)</f>
        <v>0</v>
      </c>
      <c r="M11" s="1562"/>
      <c r="N11" s="1562"/>
      <c r="O11" s="25" t="str">
        <f>_xlfn.IFNA(VLOOKUP($C11,'Master sheet'!$A:$AR,44,FALSE),"")&amp;""</f>
        <v>BfCA Study (Tally)</v>
      </c>
      <c r="P11" s="671"/>
      <c r="Q11" s="725" t="s">
        <v>1534</v>
      </c>
      <c r="R11" s="725" t="s">
        <v>100</v>
      </c>
      <c r="S11" s="664"/>
      <c r="T11" s="664"/>
      <c r="U11" s="664"/>
      <c r="V11" s="664"/>
      <c r="W11" s="664"/>
      <c r="X11" s="664"/>
    </row>
    <row r="12" spans="1:24" ht="23.25" customHeight="1" x14ac:dyDescent="0.25">
      <c r="A12" s="619"/>
      <c r="B12" s="619"/>
      <c r="C12" s="669" t="str">
        <f>INDEX('Master sheet'!$A$1:$A$670,MATCH(230,'Master sheet'!$AN$1:$AN$670,0))</f>
        <v>Window - triple pane / Vinyl frame /  / USA &amp; CAN</v>
      </c>
      <c r="D12" s="15">
        <f>'USER INPUT SHEET'!$D$33</f>
        <v>0</v>
      </c>
      <c r="E12" s="16" t="str">
        <f>'USER INPUT SHEET'!$F$33</f>
        <v>m2</v>
      </c>
      <c r="F12" s="3">
        <v>1</v>
      </c>
      <c r="G12" s="670"/>
      <c r="H12" s="8"/>
      <c r="I12" s="92">
        <f t="shared" si="5"/>
        <v>0</v>
      </c>
      <c r="J12" s="93" t="str">
        <f t="shared" si="6"/>
        <v/>
      </c>
      <c r="K12" s="406">
        <f>$D12*$F12*VLOOKUP($C12,'Master sheet'!$A:$AL,13,FALSE)</f>
        <v>0</v>
      </c>
      <c r="L12" s="94">
        <f>$D12*$F12*VLOOKUP($C12,'Master sheet'!$A:$AL,27,FALSE)</f>
        <v>0</v>
      </c>
      <c r="M12" s="1552"/>
      <c r="N12" s="1552"/>
      <c r="O12" s="25" t="str">
        <f>_xlfn.IFNA(VLOOKUP($C12,'Master sheet'!$A:$AR,44,FALSE),"")&amp;""</f>
        <v>BfCA Study (Tally)</v>
      </c>
      <c r="P12" s="672"/>
      <c r="Q12" s="725" t="s">
        <v>1534</v>
      </c>
      <c r="R12" s="725" t="s">
        <v>100</v>
      </c>
      <c r="S12" s="664"/>
      <c r="T12" s="664"/>
      <c r="U12" s="664"/>
      <c r="V12" s="664"/>
      <c r="W12" s="664"/>
      <c r="X12" s="664"/>
    </row>
    <row r="13" spans="1:24" ht="23.25" customHeight="1" x14ac:dyDescent="0.25">
      <c r="A13" s="619"/>
      <c r="B13" s="619"/>
      <c r="C13" s="669" t="str">
        <f>INDEX('Master sheet'!$A$1:$A$670,MATCH(232,'Master sheet'!$AN$1:$AN$670,0))</f>
        <v>Window - triple pane / Wood frame /  / USA &amp; CAN</v>
      </c>
      <c r="D13" s="15">
        <f>'USER INPUT SHEET'!$D$33</f>
        <v>0</v>
      </c>
      <c r="E13" s="16" t="str">
        <f>'USER INPUT SHEET'!$F$33</f>
        <v>m2</v>
      </c>
      <c r="F13" s="3">
        <v>1</v>
      </c>
      <c r="G13" s="670"/>
      <c r="H13" s="8"/>
      <c r="I13" s="92">
        <f t="shared" ref="I13:I14" si="7">K13-L13-IF(N13,M13,0)</f>
        <v>0</v>
      </c>
      <c r="J13" s="93" t="str">
        <f t="shared" si="6"/>
        <v/>
      </c>
      <c r="K13" s="406">
        <f>$D13*$F13*VLOOKUP($C13,'Master sheet'!$A:$AL,13,FALSE)</f>
        <v>0</v>
      </c>
      <c r="L13" s="94">
        <f>$D13*$F13*VLOOKUP($C13,'Master sheet'!$A:$AL,27,FALSE)</f>
        <v>0</v>
      </c>
      <c r="M13" s="1552"/>
      <c r="N13" s="1552"/>
      <c r="O13" s="25" t="str">
        <f>_xlfn.IFNA(VLOOKUP($C13,'Master sheet'!$A:$AR,44,FALSE),"")&amp;""</f>
        <v>BfCA Study (Tally)</v>
      </c>
      <c r="P13" s="672"/>
      <c r="Q13" s="725" t="s">
        <v>1534</v>
      </c>
      <c r="R13" s="725" t="s">
        <v>100</v>
      </c>
      <c r="S13" s="664"/>
      <c r="T13" s="664"/>
      <c r="U13" s="664"/>
      <c r="V13" s="664"/>
      <c r="W13" s="664"/>
      <c r="X13" s="664"/>
    </row>
    <row r="14" spans="1:24" s="624" customFormat="1" ht="31.5" customHeight="1" x14ac:dyDescent="0.25">
      <c r="A14" s="619"/>
      <c r="B14" s="619"/>
      <c r="C14" s="673" t="str">
        <f>INDEX('Master sheet'!$A$1:$A$670,MATCH(234,'Master sheet'!$AN$1:$AN$670,0))</f>
        <v>Window - triple pane / Wood frame, aluminum cladding /  / USA &amp; CAN</v>
      </c>
      <c r="D14" s="17">
        <f>'USER INPUT SHEET'!$D$33</f>
        <v>0</v>
      </c>
      <c r="E14" s="18" t="str">
        <f>'USER INPUT SHEET'!$F$33</f>
        <v>m2</v>
      </c>
      <c r="F14" s="4">
        <v>1</v>
      </c>
      <c r="G14" s="674"/>
      <c r="H14" s="9"/>
      <c r="I14" s="92">
        <f t="shared" si="7"/>
        <v>0</v>
      </c>
      <c r="J14" s="96" t="str">
        <f t="shared" si="6"/>
        <v/>
      </c>
      <c r="K14" s="407">
        <f>$D14*$F14*VLOOKUP($C14,'Master sheet'!$A:$AL,13,FALSE)</f>
        <v>0</v>
      </c>
      <c r="L14" s="97">
        <f>$D14*$F14*VLOOKUP($C14,'Master sheet'!$A:$AL,27,FALSE)</f>
        <v>0</v>
      </c>
      <c r="M14" s="1552"/>
      <c r="N14" s="1552"/>
      <c r="O14" s="25" t="str">
        <f>_xlfn.IFNA(VLOOKUP($C14,'Master sheet'!$A:$AR,44,FALSE),"")&amp;""</f>
        <v>BfCA Study (Tally)</v>
      </c>
      <c r="P14" s="637"/>
      <c r="Q14" s="726" t="s">
        <v>1534</v>
      </c>
      <c r="R14" s="726" t="s">
        <v>100</v>
      </c>
      <c r="S14" s="638"/>
      <c r="T14" s="638"/>
      <c r="U14" s="638"/>
      <c r="V14" s="638"/>
      <c r="W14" s="638"/>
      <c r="X14" s="638"/>
    </row>
    <row r="15" spans="1:24" s="624" customFormat="1" ht="54.75" customHeight="1" x14ac:dyDescent="0.25">
      <c r="A15" s="1522" t="s">
        <v>101</v>
      </c>
      <c r="B15" s="1523"/>
      <c r="C15" s="1523"/>
      <c r="D15" s="827"/>
      <c r="E15" s="684"/>
      <c r="F15" s="323"/>
      <c r="G15" s="650"/>
      <c r="H15" s="650"/>
      <c r="I15" s="651"/>
      <c r="J15" s="651"/>
      <c r="K15" s="652"/>
      <c r="L15" s="759"/>
      <c r="M15" s="759"/>
      <c r="N15" s="759"/>
      <c r="O15" s="25" t="str">
        <f>_xlfn.IFNA(VLOOKUP($C15,'Master sheet'!$A:$AR,44,FALSE),"")&amp;""</f>
        <v/>
      </c>
      <c r="P15" s="637"/>
      <c r="Q15" s="726"/>
      <c r="R15" s="726"/>
      <c r="S15" s="638"/>
      <c r="T15" s="638"/>
      <c r="U15" s="638"/>
      <c r="V15" s="638"/>
      <c r="W15" s="638"/>
      <c r="X15" s="638"/>
    </row>
    <row r="16" spans="1:24" s="624" customFormat="1" ht="31.5" customHeight="1" x14ac:dyDescent="0.25">
      <c r="A16" s="1601"/>
      <c r="B16" s="1601"/>
      <c r="C16" s="669" t="str">
        <f>INDEX('Master sheet'!$A$1:$A$670,MATCH(375,'Master sheet'!$AN$1:$AN$670,0))</f>
        <v>Window - double pane / Andersen / E-series (Average Double-hung/Awning/Picture) / Wood frame, aluminum cladding</v>
      </c>
      <c r="D16" s="15">
        <f>'USER INPUT SHEET'!$D$33</f>
        <v>0</v>
      </c>
      <c r="E16" s="16" t="str">
        <f>'USER INPUT SHEET'!$F$33</f>
        <v>m2</v>
      </c>
      <c r="F16" s="3">
        <v>1</v>
      </c>
      <c r="G16" s="670"/>
      <c r="H16" s="8"/>
      <c r="I16" s="92">
        <f t="shared" ref="I16:I24" si="8">K16-L16</f>
        <v>0</v>
      </c>
      <c r="J16" s="93" t="str">
        <f t="shared" ref="J16:J24" si="9">IF(H16=1,I16,"")</f>
        <v/>
      </c>
      <c r="K16" s="406">
        <f>$D16*$F16*VLOOKUP($C16,'Master sheet'!$A:$AL,13,FALSE)</f>
        <v>0</v>
      </c>
      <c r="L16" s="94">
        <f>$D16*$F16*VLOOKUP($C16,'Master sheet'!$A:$AL,27,FALSE)</f>
        <v>0</v>
      </c>
      <c r="M16" s="1562"/>
      <c r="N16" s="1562"/>
      <c r="O16" s="25" t="str">
        <f ca="1">_xlfn.IFNA(VLOOKUP($C16,'Master sheet'!$A:$AR,44,FALSE),"")&amp;""</f>
        <v/>
      </c>
      <c r="P16" s="637"/>
      <c r="Q16" s="726" t="s">
        <v>1534</v>
      </c>
      <c r="R16" s="726" t="s">
        <v>101</v>
      </c>
      <c r="S16" s="638"/>
      <c r="T16" s="638"/>
      <c r="U16" s="638"/>
      <c r="V16" s="638"/>
      <c r="W16" s="638"/>
      <c r="X16" s="638"/>
    </row>
    <row r="17" spans="1:24" s="624" customFormat="1" ht="46.95" customHeight="1" x14ac:dyDescent="0.25">
      <c r="A17" s="1601"/>
      <c r="B17" s="1601"/>
      <c r="C17" s="669" t="str">
        <f>INDEX('Master sheet'!$A$1:$A$670,MATCH(416,'Master sheet'!$AN$1:$AN$670,0))</f>
        <v>Window - double pane / Inline Fiberglass / 300 Series Tilt and Turn, 300 Series Fixed, 325 Series Awning/Casement, 325 Series Fixed, and 400 Series / Fiberglass frame</v>
      </c>
      <c r="D17" s="15">
        <f>'USER INPUT SHEET'!$D$33</f>
        <v>0</v>
      </c>
      <c r="E17" s="16" t="str">
        <f>'USER INPUT SHEET'!$F$33</f>
        <v>m2</v>
      </c>
      <c r="F17" s="3">
        <v>1</v>
      </c>
      <c r="G17" s="670"/>
      <c r="H17" s="8"/>
      <c r="I17" s="92">
        <f t="shared" si="8"/>
        <v>0</v>
      </c>
      <c r="J17" s="93" t="str">
        <f t="shared" si="9"/>
        <v/>
      </c>
      <c r="K17" s="406">
        <f>$D17*$F17*VLOOKUP($C17,'Master sheet'!$A:$AL,13,FALSE)</f>
        <v>0</v>
      </c>
      <c r="L17" s="94">
        <f>$D17*$F17*VLOOKUP($C17,'Master sheet'!$A:$AL,27,FALSE)</f>
        <v>0</v>
      </c>
      <c r="M17" s="1552"/>
      <c r="N17" s="1552"/>
      <c r="O17" s="25" t="str">
        <f ca="1">_xlfn.IFNA(VLOOKUP($C17,'Master sheet'!$A:$AR,44,FALSE),"")&amp;""</f>
        <v/>
      </c>
      <c r="P17" s="637"/>
      <c r="Q17" s="726" t="s">
        <v>1534</v>
      </c>
      <c r="R17" s="726" t="s">
        <v>101</v>
      </c>
      <c r="S17" s="638"/>
      <c r="T17" s="638"/>
      <c r="U17" s="638"/>
      <c r="V17" s="638"/>
      <c r="W17" s="638"/>
      <c r="X17" s="638"/>
    </row>
    <row r="18" spans="1:24" s="624" customFormat="1" ht="31.2" x14ac:dyDescent="0.25">
      <c r="A18" s="1601"/>
      <c r="B18" s="1601"/>
      <c r="C18" s="828" t="str">
        <f>INDEX('Master sheet'!$A$1:$A$670,MATCH("A149",'Master sheet'!$AN$1:$AN$670,0))</f>
        <v>Window - double-glazed  / AluQuebec / Avg of fixed, casement, slider, hung, tilt &amp; turn, awning / Aluminum frame</v>
      </c>
      <c r="D18" s="257">
        <f>'USER INPUT SHEET'!$D$33</f>
        <v>0</v>
      </c>
      <c r="E18" s="258" t="str">
        <f>'USER INPUT SHEET'!$F$33</f>
        <v>m2</v>
      </c>
      <c r="F18" s="259">
        <v>1</v>
      </c>
      <c r="G18" s="829"/>
      <c r="H18" s="260"/>
      <c r="I18" s="261">
        <f t="shared" si="8"/>
        <v>0</v>
      </c>
      <c r="J18" s="262" t="str">
        <f t="shared" si="9"/>
        <v/>
      </c>
      <c r="K18" s="420">
        <f>$D18*$F18*VLOOKUP($C18,'Master sheet'!$A:$AL,13,FALSE)</f>
        <v>0</v>
      </c>
      <c r="L18" s="263">
        <f>$D18*$F18*VLOOKUP($C18,'Master sheet'!$A:$AL,27,FALSE)</f>
        <v>0</v>
      </c>
      <c r="M18" s="1552"/>
      <c r="N18" s="1552"/>
      <c r="O18" s="25" t="str">
        <f>_xlfn.IFNA(VLOOKUP($C18,'Master sheet'!$A:$AR,44,FALSE),"")&amp;""</f>
        <v/>
      </c>
      <c r="P18" s="637"/>
      <c r="Q18" s="726" t="s">
        <v>1534</v>
      </c>
      <c r="R18" s="726" t="s">
        <v>101</v>
      </c>
      <c r="S18" s="638"/>
      <c r="T18" s="638"/>
      <c r="U18" s="638"/>
      <c r="V18" s="638"/>
      <c r="W18" s="638"/>
      <c r="X18" s="638"/>
    </row>
    <row r="19" spans="1:24" s="624" customFormat="1" ht="31.2" x14ac:dyDescent="0.25">
      <c r="A19" s="1601"/>
      <c r="B19" s="1601"/>
      <c r="C19" s="828" t="str">
        <f>INDEX('Master sheet'!$A$1:$A$670,MATCH("A150",'Master sheet'!$AN$1:$AN$670,0))</f>
        <v>Window - double-glazed  / Arcadia / CV200, T200 / Projected &amp; casement / Aluminum frame</v>
      </c>
      <c r="D19" s="257">
        <f>'USER INPUT SHEET'!$D$33</f>
        <v>0</v>
      </c>
      <c r="E19" s="258" t="str">
        <f>'USER INPUT SHEET'!$F$33</f>
        <v>m2</v>
      </c>
      <c r="F19" s="259">
        <v>1</v>
      </c>
      <c r="G19" s="829"/>
      <c r="H19" s="260"/>
      <c r="I19" s="261">
        <f t="shared" si="8"/>
        <v>0</v>
      </c>
      <c r="J19" s="262" t="str">
        <f t="shared" si="9"/>
        <v/>
      </c>
      <c r="K19" s="420">
        <f>$D19*$F19*VLOOKUP($C19,'Master sheet'!$A:$AL,13,FALSE)</f>
        <v>0</v>
      </c>
      <c r="L19" s="263">
        <f>$D19*$F19*VLOOKUP($C19,'Master sheet'!$A:$AL,27,FALSE)</f>
        <v>0</v>
      </c>
      <c r="M19" s="1552"/>
      <c r="N19" s="1552"/>
      <c r="O19" s="25" t="str">
        <f>_xlfn.IFNA(VLOOKUP($C19,'Master sheet'!$A:$AR,44,FALSE),"")&amp;""</f>
        <v/>
      </c>
      <c r="P19" s="637"/>
      <c r="Q19" s="726" t="s">
        <v>1534</v>
      </c>
      <c r="R19" s="726" t="s">
        <v>101</v>
      </c>
      <c r="S19" s="638"/>
      <c r="T19" s="638"/>
      <c r="U19" s="638"/>
      <c r="V19" s="638"/>
      <c r="W19" s="638"/>
      <c r="X19" s="638"/>
    </row>
    <row r="20" spans="1:24" s="624" customFormat="1" ht="31.2" x14ac:dyDescent="0.25">
      <c r="A20" s="1601"/>
      <c r="B20" s="1601"/>
      <c r="C20" s="828" t="str">
        <f>INDEX('Master sheet'!$A$1:$A$670,MATCH("A151",'Master sheet'!$AN$1:$AN$670,0))</f>
        <v>Window - double-glazed  / EFCO / Xtherm, 5FXT, FX45, 6615, 6621, 6715, FX32, OG32, OG45 / Fixed / Aluminum frame</v>
      </c>
      <c r="D20" s="257">
        <f>'USER INPUT SHEET'!$D$33</f>
        <v>0</v>
      </c>
      <c r="E20" s="258" t="str">
        <f>'USER INPUT SHEET'!$F$33</f>
        <v>m2</v>
      </c>
      <c r="F20" s="259">
        <v>1</v>
      </c>
      <c r="G20" s="829"/>
      <c r="H20" s="260"/>
      <c r="I20" s="261">
        <f t="shared" si="8"/>
        <v>0</v>
      </c>
      <c r="J20" s="262" t="str">
        <f t="shared" si="9"/>
        <v/>
      </c>
      <c r="K20" s="420">
        <f>$D20*$F20*VLOOKUP($C20,'Master sheet'!$A:$AL,13,FALSE)</f>
        <v>0</v>
      </c>
      <c r="L20" s="263">
        <f>$D20*$F20*VLOOKUP($C20,'Master sheet'!$A:$AL,27,FALSE)</f>
        <v>0</v>
      </c>
      <c r="M20" s="1552"/>
      <c r="N20" s="1552"/>
      <c r="O20" s="25" t="str">
        <f>_xlfn.IFNA(VLOOKUP($C20,'Master sheet'!$A:$AR,44,FALSE),"")&amp;""</f>
        <v/>
      </c>
      <c r="P20" s="637"/>
      <c r="Q20" s="726" t="s">
        <v>1534</v>
      </c>
      <c r="R20" s="726" t="s">
        <v>101</v>
      </c>
      <c r="S20" s="638"/>
      <c r="T20" s="638"/>
      <c r="U20" s="638"/>
      <c r="V20" s="638"/>
      <c r="W20" s="638"/>
      <c r="X20" s="638"/>
    </row>
    <row r="21" spans="1:24" s="624" customFormat="1" ht="46.95" customHeight="1" x14ac:dyDescent="0.25">
      <c r="A21" s="1601"/>
      <c r="B21" s="1601"/>
      <c r="C21" s="828" t="str">
        <f>INDEX('Master sheet'!$A$1:$A$670,MATCH("A152",'Master sheet'!$AN$1:$AN$670,0))</f>
        <v>Window - double-glazed  / EFCO / Xtherm, 875V, 2700, 2701, 450G, 590X, 6725, PG32, PX32, WV410, WV430 / Projected &amp; casement / Aluminum frame</v>
      </c>
      <c r="D21" s="257">
        <f>'USER INPUT SHEET'!$D$33</f>
        <v>0</v>
      </c>
      <c r="E21" s="258" t="str">
        <f>'USER INPUT SHEET'!$F$33</f>
        <v>m2</v>
      </c>
      <c r="F21" s="259">
        <v>1</v>
      </c>
      <c r="G21" s="829"/>
      <c r="H21" s="260"/>
      <c r="I21" s="261">
        <f t="shared" si="8"/>
        <v>0</v>
      </c>
      <c r="J21" s="262" t="str">
        <f t="shared" si="9"/>
        <v/>
      </c>
      <c r="K21" s="420">
        <f>$D21*$F21*VLOOKUP($C21,'Master sheet'!$A:$AL,13,FALSE)</f>
        <v>0</v>
      </c>
      <c r="L21" s="263">
        <f>$D21*$F21*VLOOKUP($C21,'Master sheet'!$A:$AL,27,FALSE)</f>
        <v>0</v>
      </c>
      <c r="M21" s="1552"/>
      <c r="N21" s="1552"/>
      <c r="O21" s="25" t="str">
        <f>_xlfn.IFNA(VLOOKUP($C21,'Master sheet'!$A:$AR,44,FALSE),"")&amp;""</f>
        <v/>
      </c>
      <c r="P21" s="637"/>
      <c r="Q21" s="726" t="s">
        <v>1534</v>
      </c>
      <c r="R21" s="726" t="s">
        <v>101</v>
      </c>
      <c r="S21" s="638"/>
      <c r="T21" s="638"/>
      <c r="U21" s="638"/>
      <c r="V21" s="638"/>
      <c r="W21" s="638"/>
      <c r="X21" s="638"/>
    </row>
    <row r="22" spans="1:24" s="624" customFormat="1" ht="46.95" customHeight="1" x14ac:dyDescent="0.25">
      <c r="A22" s="1601"/>
      <c r="B22" s="1601"/>
      <c r="C22" s="828" t="str">
        <f>INDEX('Master sheet'!$A$1:$A$670,MATCH("A153",'Master sheet'!$AN$1:$AN$670,0))</f>
        <v>Window - double-glazed  / Kawneer / Optiq AA4325, 8225TL|TLF, 526, AA 6400|6500, NX-300|3000 / Projected &amp; casement / Aluminum frame</v>
      </c>
      <c r="D22" s="257">
        <f>'USER INPUT SHEET'!$D$33</f>
        <v>0</v>
      </c>
      <c r="E22" s="258" t="str">
        <f>'USER INPUT SHEET'!$F$33</f>
        <v>m2</v>
      </c>
      <c r="F22" s="259">
        <v>1</v>
      </c>
      <c r="G22" s="829"/>
      <c r="H22" s="260"/>
      <c r="I22" s="261">
        <f t="shared" si="8"/>
        <v>0</v>
      </c>
      <c r="J22" s="262" t="str">
        <f t="shared" si="9"/>
        <v/>
      </c>
      <c r="K22" s="420">
        <f>$D22*$F22*VLOOKUP($C22,'Master sheet'!$A:$AL,13,FALSE)</f>
        <v>0</v>
      </c>
      <c r="L22" s="263">
        <f>$D22*$F22*VLOOKUP($C22,'Master sheet'!$A:$AL,27,FALSE)</f>
        <v>0</v>
      </c>
      <c r="M22" s="1552"/>
      <c r="N22" s="1552"/>
      <c r="O22" s="25" t="str">
        <f>_xlfn.IFNA(VLOOKUP($C22,'Master sheet'!$A:$AR,44,FALSE),"")&amp;""</f>
        <v/>
      </c>
      <c r="P22" s="637"/>
      <c r="Q22" s="726" t="s">
        <v>1534</v>
      </c>
      <c r="R22" s="726" t="s">
        <v>101</v>
      </c>
      <c r="S22" s="638"/>
      <c r="T22" s="638"/>
      <c r="U22" s="638"/>
      <c r="V22" s="638"/>
      <c r="W22" s="638"/>
      <c r="X22" s="638"/>
    </row>
    <row r="23" spans="1:24" s="624" customFormat="1" ht="31.2" x14ac:dyDescent="0.25">
      <c r="A23" s="1601"/>
      <c r="B23" s="1601"/>
      <c r="C23" s="828" t="str">
        <f>INDEX('Master sheet'!$A$1:$A$670,MATCH("A154",'Master sheet'!$AN$1:$AN$670,0))</f>
        <v>Window - double-glazed  / Kawneer / OptiQ AA5450, TR-9100, 8400TL, AA6400|6500|6600 / Hung &amp; sliding / Aluminum frame</v>
      </c>
      <c r="D23" s="257">
        <f>'USER INPUT SHEET'!$D$33</f>
        <v>0</v>
      </c>
      <c r="E23" s="258" t="str">
        <f>'USER INPUT SHEET'!$F$33</f>
        <v>m2</v>
      </c>
      <c r="F23" s="259">
        <v>1</v>
      </c>
      <c r="G23" s="829"/>
      <c r="H23" s="260"/>
      <c r="I23" s="261">
        <f t="shared" si="8"/>
        <v>0</v>
      </c>
      <c r="J23" s="262" t="str">
        <f t="shared" si="9"/>
        <v/>
      </c>
      <c r="K23" s="420">
        <f>$D23*$F23*VLOOKUP($C23,'Master sheet'!$A:$AL,13,FALSE)</f>
        <v>0</v>
      </c>
      <c r="L23" s="263">
        <f>$D23*$F23*VLOOKUP($C23,'Master sheet'!$A:$AL,27,FALSE)</f>
        <v>0</v>
      </c>
      <c r="M23" s="1552"/>
      <c r="N23" s="1552"/>
      <c r="O23" s="25" t="str">
        <f>_xlfn.IFNA(VLOOKUP($C23,'Master sheet'!$A:$AR,44,FALSE),"")&amp;""</f>
        <v/>
      </c>
      <c r="P23" s="637"/>
      <c r="Q23" s="726" t="s">
        <v>1534</v>
      </c>
      <c r="R23" s="726" t="s">
        <v>101</v>
      </c>
      <c r="S23" s="638"/>
      <c r="T23" s="638"/>
      <c r="U23" s="638"/>
      <c r="V23" s="638"/>
      <c r="W23" s="638"/>
      <c r="X23" s="638"/>
    </row>
    <row r="24" spans="1:24" s="624" customFormat="1" ht="31.2" x14ac:dyDescent="0.25">
      <c r="A24" s="1601"/>
      <c r="B24" s="1601"/>
      <c r="C24" s="828" t="str">
        <f>INDEX('Master sheet'!$A$1:$A$670,MATCH("A155",'Master sheet'!$AN$1:$AN$670,0))</f>
        <v>Window - double-glazed  / Wasau / INvent casement windows / Aluminum frame</v>
      </c>
      <c r="D24" s="257">
        <f>'USER INPUT SHEET'!$D$33</f>
        <v>0</v>
      </c>
      <c r="E24" s="258" t="str">
        <f>'USER INPUT SHEET'!$F$33</f>
        <v>m2</v>
      </c>
      <c r="F24" s="259">
        <v>1</v>
      </c>
      <c r="G24" s="829"/>
      <c r="H24" s="260"/>
      <c r="I24" s="261">
        <f t="shared" si="8"/>
        <v>0</v>
      </c>
      <c r="J24" s="262" t="str">
        <f t="shared" si="9"/>
        <v/>
      </c>
      <c r="K24" s="420">
        <f>$D24*$F24*VLOOKUP($C24,'Master sheet'!$A:$AL,13,FALSE)</f>
        <v>0</v>
      </c>
      <c r="L24" s="263">
        <f>$D24*$F24*VLOOKUP($C24,'Master sheet'!$A:$AL,27,FALSE)</f>
        <v>0</v>
      </c>
      <c r="M24" s="1552"/>
      <c r="N24" s="1552"/>
      <c r="O24" s="25" t="str">
        <f>_xlfn.IFNA(VLOOKUP($C24,'Master sheet'!$A:$AR,44,FALSE),"")&amp;""</f>
        <v/>
      </c>
      <c r="P24" s="637"/>
      <c r="Q24" s="726" t="s">
        <v>1534</v>
      </c>
      <c r="R24" s="726" t="s">
        <v>101</v>
      </c>
      <c r="S24" s="638"/>
      <c r="T24" s="638"/>
      <c r="U24" s="638"/>
      <c r="V24" s="638"/>
      <c r="W24" s="638"/>
      <c r="X24" s="638"/>
    </row>
    <row r="25" spans="1:24" s="624" customFormat="1" ht="31.5" customHeight="1" x14ac:dyDescent="0.25">
      <c r="A25" s="1629"/>
      <c r="B25" s="1629"/>
      <c r="C25" s="828" t="str">
        <f>INDEX('Master sheet'!$A$1:$A$670,MATCH("A156",'Master sheet'!$AN$1:$AN$670,0))</f>
        <v>Window - double-glazed  / Wasau / INvent fixed windows  / Aluminum frame</v>
      </c>
      <c r="D25" s="257">
        <f>'USER INPUT SHEET'!$D$33</f>
        <v>0</v>
      </c>
      <c r="E25" s="258" t="str">
        <f>'USER INPUT SHEET'!$F$33</f>
        <v>m2</v>
      </c>
      <c r="F25" s="259">
        <v>1</v>
      </c>
      <c r="G25" s="829"/>
      <c r="H25" s="260"/>
      <c r="I25" s="261">
        <f>K25-L25</f>
        <v>0</v>
      </c>
      <c r="J25" s="262" t="str">
        <f>IF(H25=1,I25,"")</f>
        <v/>
      </c>
      <c r="K25" s="420">
        <f>$D25*$F25*VLOOKUP($C25,'Master sheet'!$A:$AL,13,FALSE)</f>
        <v>0</v>
      </c>
      <c r="L25" s="263">
        <f>$D25*$F25*VLOOKUP($C25,'Master sheet'!$A:$AL,27,FALSE)</f>
        <v>0</v>
      </c>
      <c r="M25" s="1552"/>
      <c r="N25" s="1552"/>
      <c r="O25" s="25" t="str">
        <f>_xlfn.IFNA(VLOOKUP($C25,'Master sheet'!$A:$AR,44,FALSE),"")&amp;""</f>
        <v/>
      </c>
      <c r="P25" s="637"/>
      <c r="Q25" s="726" t="s">
        <v>1534</v>
      </c>
      <c r="R25" s="726" t="s">
        <v>101</v>
      </c>
      <c r="S25" s="638"/>
      <c r="T25" s="638"/>
      <c r="U25" s="638"/>
      <c r="V25" s="638"/>
      <c r="W25" s="638"/>
      <c r="X25" s="638"/>
    </row>
    <row r="26" spans="1:24" ht="15.75" customHeight="1" x14ac:dyDescent="0.3">
      <c r="A26" s="700"/>
      <c r="B26" s="700"/>
      <c r="C26" s="700"/>
      <c r="D26" s="701"/>
      <c r="E26" s="700"/>
      <c r="F26" s="328"/>
      <c r="G26" s="700"/>
      <c r="H26" s="700"/>
      <c r="I26" s="703"/>
      <c r="J26" s="704"/>
      <c r="K26" s="704"/>
      <c r="L26" s="704"/>
      <c r="M26" s="704"/>
      <c r="N26" s="704"/>
      <c r="O26" s="700"/>
      <c r="P26" s="685"/>
    </row>
    <row r="27" spans="1:24" ht="15.75" customHeight="1" x14ac:dyDescent="0.3">
      <c r="A27" s="700"/>
      <c r="B27" s="706" t="s">
        <v>4901</v>
      </c>
      <c r="C27" s="700"/>
      <c r="D27" s="701"/>
      <c r="E27" s="700"/>
      <c r="F27" s="328"/>
      <c r="G27" s="700"/>
      <c r="H27" s="700"/>
      <c r="I27" s="703"/>
      <c r="J27" s="704"/>
      <c r="K27" s="704"/>
      <c r="L27" s="704"/>
      <c r="M27" s="704"/>
      <c r="N27" s="704"/>
      <c r="O27" s="700"/>
      <c r="P27" s="685"/>
    </row>
    <row r="28" spans="1:24" ht="15.75" customHeight="1" x14ac:dyDescent="0.3">
      <c r="A28" s="700"/>
      <c r="B28" s="706" t="s">
        <v>4900</v>
      </c>
      <c r="C28" s="700"/>
      <c r="D28" s="701"/>
      <c r="E28" s="700"/>
      <c r="F28" s="328"/>
      <c r="G28" s="700"/>
      <c r="H28" s="700"/>
      <c r="I28" s="703"/>
      <c r="J28" s="704"/>
      <c r="K28" s="704"/>
      <c r="L28" s="704"/>
      <c r="M28" s="704"/>
      <c r="N28" s="704"/>
      <c r="O28" s="700"/>
      <c r="P28" s="637"/>
    </row>
    <row r="29" spans="1:24" ht="15.75" customHeight="1" x14ac:dyDescent="0.3">
      <c r="A29" s="700"/>
      <c r="B29" s="700"/>
      <c r="C29" s="700"/>
      <c r="D29" s="701"/>
      <c r="E29" s="700"/>
      <c r="F29" s="328"/>
      <c r="G29" s="700"/>
      <c r="H29" s="700"/>
      <c r="I29" s="703"/>
      <c r="J29" s="704"/>
      <c r="K29" s="704"/>
      <c r="L29" s="704"/>
      <c r="M29" s="704"/>
      <c r="N29" s="704"/>
      <c r="O29" s="700"/>
      <c r="P29" s="637"/>
    </row>
    <row r="30" spans="1:24" ht="15.75" customHeight="1" x14ac:dyDescent="0.3">
      <c r="A30" s="700"/>
      <c r="B30" s="700"/>
      <c r="C30" s="700"/>
      <c r="D30" s="701"/>
      <c r="E30" s="700"/>
      <c r="F30" s="328"/>
      <c r="G30" s="700"/>
      <c r="H30" s="700"/>
      <c r="I30" s="703"/>
      <c r="J30" s="704"/>
      <c r="K30" s="704"/>
      <c r="L30" s="704"/>
      <c r="M30" s="704"/>
      <c r="N30" s="704"/>
      <c r="O30" s="700"/>
      <c r="P30" s="637"/>
    </row>
    <row r="31" spans="1:24" ht="15.75" customHeight="1" x14ac:dyDescent="0.3">
      <c r="A31" s="700"/>
      <c r="B31" s="700"/>
      <c r="C31" s="700"/>
      <c r="D31" s="701"/>
      <c r="E31" s="700"/>
      <c r="F31" s="328"/>
      <c r="G31" s="700"/>
      <c r="H31" s="700"/>
      <c r="I31" s="703"/>
      <c r="J31" s="704"/>
      <c r="K31" s="704"/>
      <c r="L31" s="704"/>
      <c r="M31" s="704"/>
      <c r="N31" s="704"/>
      <c r="O31" s="700"/>
      <c r="P31" s="637"/>
    </row>
    <row r="32" spans="1:24" ht="15.75" customHeight="1" x14ac:dyDescent="0.3">
      <c r="A32" s="700"/>
      <c r="B32" s="700"/>
      <c r="C32" s="700"/>
      <c r="D32" s="701"/>
      <c r="E32" s="700"/>
      <c r="F32" s="328"/>
      <c r="G32" s="700"/>
      <c r="H32" s="700"/>
      <c r="I32" s="703"/>
      <c r="J32" s="704"/>
      <c r="K32" s="704"/>
      <c r="L32" s="704"/>
      <c r="M32" s="704"/>
      <c r="N32" s="704"/>
      <c r="O32" s="700"/>
      <c r="P32" s="685"/>
    </row>
    <row r="33" spans="1:16" ht="15.75" customHeight="1" x14ac:dyDescent="0.3">
      <c r="A33" s="700"/>
      <c r="B33" s="700"/>
      <c r="C33" s="700"/>
      <c r="D33" s="701"/>
      <c r="E33" s="700"/>
      <c r="F33" s="328"/>
      <c r="G33" s="700"/>
      <c r="H33" s="700"/>
      <c r="I33" s="703"/>
      <c r="J33" s="704"/>
      <c r="K33" s="704"/>
      <c r="L33" s="704"/>
      <c r="M33" s="704"/>
      <c r="N33" s="704"/>
      <c r="O33" s="700"/>
      <c r="P33" s="637"/>
    </row>
    <row r="34" spans="1:16" ht="15.75" customHeight="1" x14ac:dyDescent="0.3">
      <c r="A34" s="700"/>
      <c r="B34" s="700"/>
      <c r="C34" s="700"/>
      <c r="D34" s="701"/>
      <c r="E34" s="700"/>
      <c r="F34" s="328"/>
      <c r="G34" s="700"/>
      <c r="H34" s="700"/>
      <c r="I34" s="703"/>
      <c r="J34" s="704"/>
      <c r="K34" s="704"/>
      <c r="L34" s="704"/>
      <c r="M34" s="704"/>
      <c r="N34" s="704"/>
      <c r="O34" s="700"/>
      <c r="P34" s="637"/>
    </row>
    <row r="35" spans="1:16" ht="15.75" customHeight="1" x14ac:dyDescent="0.3">
      <c r="A35" s="700"/>
      <c r="B35" s="700"/>
      <c r="C35" s="700"/>
      <c r="D35" s="701"/>
      <c r="E35" s="700"/>
      <c r="F35" s="328"/>
      <c r="G35" s="700"/>
      <c r="H35" s="700"/>
      <c r="I35" s="703"/>
      <c r="J35" s="704"/>
      <c r="K35" s="704"/>
      <c r="L35" s="704"/>
      <c r="M35" s="704"/>
      <c r="N35" s="704"/>
      <c r="O35" s="700"/>
      <c r="P35" s="685"/>
    </row>
    <row r="36" spans="1:16" ht="15.75" customHeight="1" x14ac:dyDescent="0.3">
      <c r="A36" s="700"/>
      <c r="B36" s="700"/>
      <c r="C36" s="700"/>
      <c r="D36" s="701"/>
      <c r="E36" s="700"/>
      <c r="F36" s="328"/>
      <c r="G36" s="700"/>
      <c r="H36" s="700"/>
      <c r="I36" s="703"/>
      <c r="J36" s="704"/>
      <c r="K36" s="704"/>
      <c r="L36" s="704"/>
      <c r="M36" s="704"/>
      <c r="N36" s="704"/>
      <c r="O36" s="700"/>
      <c r="P36" s="685"/>
    </row>
    <row r="37" spans="1:16" ht="15.75" customHeight="1" x14ac:dyDescent="0.3">
      <c r="A37" s="700"/>
      <c r="B37" s="700"/>
      <c r="C37" s="700"/>
      <c r="D37" s="701"/>
      <c r="E37" s="700"/>
      <c r="F37" s="328"/>
      <c r="G37" s="700"/>
      <c r="H37" s="700"/>
      <c r="I37" s="703"/>
      <c r="J37" s="704"/>
      <c r="K37" s="704"/>
      <c r="L37" s="704"/>
      <c r="M37" s="704"/>
      <c r="N37" s="704"/>
      <c r="O37" s="700"/>
      <c r="P37" s="685"/>
    </row>
    <row r="38" spans="1:16" ht="15.75" customHeight="1" x14ac:dyDescent="0.3">
      <c r="A38" s="700"/>
      <c r="B38" s="700"/>
      <c r="C38" s="700"/>
      <c r="D38" s="701"/>
      <c r="E38" s="700"/>
      <c r="F38" s="328"/>
      <c r="G38" s="700"/>
      <c r="H38" s="700"/>
      <c r="I38" s="703"/>
      <c r="J38" s="704"/>
      <c r="K38" s="704"/>
      <c r="L38" s="704"/>
      <c r="M38" s="704"/>
      <c r="N38" s="704"/>
      <c r="O38" s="700"/>
      <c r="P38" s="685"/>
    </row>
    <row r="39" spans="1:16" ht="15.75" customHeight="1" x14ac:dyDescent="0.3">
      <c r="A39" s="700"/>
      <c r="B39" s="700"/>
      <c r="C39" s="700"/>
      <c r="D39" s="701"/>
      <c r="E39" s="700"/>
      <c r="F39" s="328"/>
      <c r="G39" s="700"/>
      <c r="H39" s="700"/>
      <c r="I39" s="703"/>
      <c r="J39" s="704"/>
      <c r="K39" s="704"/>
      <c r="L39" s="704"/>
      <c r="M39" s="704"/>
      <c r="N39" s="704"/>
      <c r="O39" s="700"/>
      <c r="P39" s="685"/>
    </row>
    <row r="40" spans="1:16" ht="15.75" customHeight="1" x14ac:dyDescent="0.3">
      <c r="A40" s="700"/>
      <c r="B40" s="700"/>
      <c r="C40" s="700"/>
      <c r="D40" s="701"/>
      <c r="E40" s="700"/>
      <c r="F40" s="328"/>
      <c r="G40" s="700"/>
      <c r="H40" s="700"/>
      <c r="I40" s="703"/>
      <c r="J40" s="704"/>
      <c r="K40" s="704"/>
      <c r="L40" s="704"/>
      <c r="M40" s="704"/>
      <c r="N40" s="704"/>
      <c r="O40" s="700"/>
      <c r="P40" s="685"/>
    </row>
    <row r="41" spans="1:16" ht="15.75" customHeight="1" x14ac:dyDescent="0.3">
      <c r="A41" s="700"/>
      <c r="B41" s="700"/>
      <c r="C41" s="700"/>
      <c r="D41" s="701"/>
      <c r="E41" s="700"/>
      <c r="F41" s="328"/>
      <c r="G41" s="700"/>
      <c r="H41" s="700"/>
      <c r="I41" s="703"/>
      <c r="J41" s="704"/>
      <c r="K41" s="704"/>
      <c r="L41" s="704"/>
      <c r="M41" s="704"/>
      <c r="N41" s="704"/>
      <c r="O41" s="700"/>
      <c r="P41" s="637"/>
    </row>
    <row r="42" spans="1:16" ht="15.75" customHeight="1" x14ac:dyDescent="0.3">
      <c r="A42" s="700"/>
      <c r="B42" s="700"/>
      <c r="C42" s="700"/>
      <c r="D42" s="701"/>
      <c r="E42" s="700"/>
      <c r="F42" s="328"/>
      <c r="G42" s="700"/>
      <c r="H42" s="700"/>
      <c r="I42" s="703"/>
      <c r="J42" s="704"/>
      <c r="K42" s="704"/>
      <c r="L42" s="704"/>
      <c r="M42" s="704"/>
      <c r="N42" s="704"/>
      <c r="O42" s="700"/>
      <c r="P42" s="637"/>
    </row>
    <row r="43" spans="1:16" ht="15.75" customHeight="1" x14ac:dyDescent="0.3">
      <c r="A43" s="700"/>
      <c r="B43" s="700"/>
      <c r="C43" s="700"/>
      <c r="D43" s="701"/>
      <c r="E43" s="700"/>
      <c r="F43" s="328"/>
      <c r="G43" s="700"/>
      <c r="H43" s="700"/>
      <c r="I43" s="703"/>
      <c r="J43" s="704"/>
      <c r="K43" s="704"/>
      <c r="L43" s="704"/>
      <c r="M43" s="704"/>
      <c r="N43" s="704"/>
      <c r="O43" s="700"/>
      <c r="P43" s="685"/>
    </row>
    <row r="44" spans="1:16" ht="15.75" customHeight="1" x14ac:dyDescent="0.3">
      <c r="A44" s="700"/>
      <c r="B44" s="700"/>
      <c r="C44" s="700"/>
      <c r="D44" s="701"/>
      <c r="E44" s="700"/>
      <c r="F44" s="328"/>
      <c r="G44" s="700"/>
      <c r="H44" s="700"/>
      <c r="I44" s="703"/>
      <c r="J44" s="704"/>
      <c r="K44" s="704"/>
      <c r="L44" s="704"/>
      <c r="M44" s="704"/>
      <c r="N44" s="704"/>
      <c r="O44" s="700"/>
      <c r="P44" s="685"/>
    </row>
    <row r="45" spans="1:16" ht="15.75" customHeight="1" x14ac:dyDescent="0.3">
      <c r="A45" s="700"/>
      <c r="B45" s="700"/>
      <c r="C45" s="700"/>
      <c r="D45" s="701"/>
      <c r="E45" s="700"/>
      <c r="F45" s="328"/>
      <c r="G45" s="700"/>
      <c r="H45" s="700"/>
      <c r="I45" s="703"/>
      <c r="J45" s="704"/>
      <c r="K45" s="704"/>
      <c r="L45" s="704"/>
      <c r="M45" s="704"/>
      <c r="N45" s="704"/>
      <c r="O45" s="700"/>
      <c r="P45" s="685"/>
    </row>
    <row r="46" spans="1:16" ht="15.75" customHeight="1" x14ac:dyDescent="0.3">
      <c r="A46" s="700"/>
      <c r="B46" s="700"/>
      <c r="C46" s="700"/>
      <c r="D46" s="701"/>
      <c r="E46" s="700"/>
      <c r="F46" s="328"/>
      <c r="G46" s="700"/>
      <c r="H46" s="700"/>
      <c r="I46" s="703"/>
      <c r="J46" s="704"/>
      <c r="K46" s="704"/>
      <c r="L46" s="704"/>
      <c r="M46" s="704"/>
      <c r="N46" s="704"/>
      <c r="O46" s="700"/>
      <c r="P46" s="685"/>
    </row>
    <row r="47" spans="1:16" ht="15.75" customHeight="1" x14ac:dyDescent="0.3">
      <c r="A47" s="700"/>
      <c r="B47" s="700"/>
      <c r="C47" s="700"/>
      <c r="D47" s="701"/>
      <c r="E47" s="700"/>
      <c r="F47" s="328"/>
      <c r="G47" s="700"/>
      <c r="H47" s="700"/>
      <c r="I47" s="703"/>
      <c r="J47" s="704"/>
      <c r="K47" s="704"/>
      <c r="L47" s="704"/>
      <c r="M47" s="704"/>
      <c r="N47" s="704"/>
      <c r="O47" s="700"/>
      <c r="P47" s="685"/>
    </row>
    <row r="48" spans="1:16" ht="15.75" customHeight="1" x14ac:dyDescent="0.3">
      <c r="A48" s="700"/>
      <c r="B48" s="700"/>
      <c r="C48" s="700"/>
      <c r="D48" s="701"/>
      <c r="E48" s="700"/>
      <c r="F48" s="328"/>
      <c r="G48" s="700"/>
      <c r="H48" s="700"/>
      <c r="I48" s="703"/>
      <c r="J48" s="704"/>
      <c r="K48" s="704"/>
      <c r="L48" s="704"/>
      <c r="M48" s="704"/>
      <c r="N48" s="704"/>
      <c r="O48" s="700"/>
      <c r="P48" s="637"/>
    </row>
    <row r="49" spans="1:16" ht="15.75" customHeight="1" x14ac:dyDescent="0.3">
      <c r="A49" s="700"/>
      <c r="B49" s="700"/>
      <c r="C49" s="700"/>
      <c r="D49" s="701"/>
      <c r="E49" s="700"/>
      <c r="F49" s="328"/>
      <c r="G49" s="700"/>
      <c r="H49" s="700"/>
      <c r="I49" s="703"/>
      <c r="J49" s="704"/>
      <c r="K49" s="704"/>
      <c r="L49" s="704"/>
      <c r="M49" s="704"/>
      <c r="N49" s="704"/>
      <c r="O49" s="700"/>
      <c r="P49" s="637"/>
    </row>
    <row r="50" spans="1:16" ht="15.75" customHeight="1" x14ac:dyDescent="0.3">
      <c r="A50" s="700"/>
      <c r="B50" s="700"/>
      <c r="C50" s="700"/>
      <c r="D50" s="701"/>
      <c r="E50" s="700"/>
      <c r="F50" s="328"/>
      <c r="G50" s="700"/>
      <c r="H50" s="700"/>
      <c r="I50" s="703"/>
      <c r="J50" s="704"/>
      <c r="K50" s="704"/>
      <c r="L50" s="704"/>
      <c r="M50" s="704"/>
      <c r="N50" s="704"/>
      <c r="O50" s="700"/>
      <c r="P50" s="685"/>
    </row>
    <row r="51" spans="1:16" ht="15.75" customHeight="1" x14ac:dyDescent="0.3">
      <c r="A51" s="700"/>
      <c r="B51" s="700"/>
      <c r="C51" s="700"/>
      <c r="D51" s="701"/>
      <c r="E51" s="700"/>
      <c r="F51" s="328"/>
      <c r="G51" s="700"/>
      <c r="H51" s="700"/>
      <c r="I51" s="703"/>
      <c r="J51" s="704"/>
      <c r="K51" s="704"/>
      <c r="L51" s="704"/>
      <c r="M51" s="704"/>
      <c r="N51" s="704"/>
      <c r="O51" s="700"/>
      <c r="P51" s="685"/>
    </row>
    <row r="52" spans="1:16" ht="15.75" customHeight="1" x14ac:dyDescent="0.3">
      <c r="A52" s="700"/>
      <c r="B52" s="700"/>
      <c r="C52" s="700"/>
      <c r="D52" s="701"/>
      <c r="E52" s="700"/>
      <c r="F52" s="328"/>
      <c r="G52" s="700"/>
      <c r="H52" s="700"/>
      <c r="I52" s="703"/>
      <c r="J52" s="704"/>
      <c r="K52" s="704"/>
      <c r="L52" s="704"/>
      <c r="M52" s="704"/>
      <c r="N52" s="704"/>
      <c r="O52" s="700"/>
      <c r="P52" s="637"/>
    </row>
    <row r="53" spans="1:16" ht="15.75" customHeight="1" x14ac:dyDescent="0.3">
      <c r="A53" s="700"/>
      <c r="B53" s="700"/>
      <c r="C53" s="700"/>
      <c r="D53" s="701"/>
      <c r="E53" s="700"/>
      <c r="F53" s="328"/>
      <c r="G53" s="700"/>
      <c r="H53" s="700"/>
      <c r="I53" s="703"/>
      <c r="J53" s="704"/>
      <c r="K53" s="704"/>
      <c r="L53" s="704"/>
      <c r="M53" s="704"/>
      <c r="N53" s="704"/>
      <c r="O53" s="700"/>
      <c r="P53" s="637"/>
    </row>
    <row r="54" spans="1:16" ht="15.75" customHeight="1" x14ac:dyDescent="0.3">
      <c r="A54" s="700"/>
      <c r="B54" s="700"/>
      <c r="C54" s="700"/>
      <c r="D54" s="701"/>
      <c r="E54" s="700"/>
      <c r="F54" s="328"/>
      <c r="G54" s="700"/>
      <c r="H54" s="700"/>
      <c r="I54" s="703"/>
      <c r="J54" s="704"/>
      <c r="K54" s="704"/>
      <c r="L54" s="704"/>
      <c r="M54" s="704"/>
      <c r="N54" s="704"/>
      <c r="O54" s="700"/>
      <c r="P54" s="685"/>
    </row>
    <row r="55" spans="1:16" ht="15.75" customHeight="1" x14ac:dyDescent="0.3">
      <c r="A55" s="700"/>
      <c r="B55" s="700"/>
      <c r="C55" s="700"/>
      <c r="D55" s="701"/>
      <c r="E55" s="700"/>
      <c r="F55" s="328"/>
      <c r="G55" s="700"/>
      <c r="H55" s="700"/>
      <c r="I55" s="703"/>
      <c r="J55" s="704"/>
      <c r="K55" s="704"/>
      <c r="L55" s="704"/>
      <c r="M55" s="704"/>
      <c r="N55" s="704"/>
      <c r="O55" s="700"/>
      <c r="P55" s="685"/>
    </row>
    <row r="56" spans="1:16" ht="15.75" customHeight="1" x14ac:dyDescent="0.3">
      <c r="A56" s="700"/>
      <c r="B56" s="700"/>
      <c r="C56" s="700"/>
      <c r="D56" s="701"/>
      <c r="E56" s="700"/>
      <c r="F56" s="328"/>
      <c r="G56" s="700"/>
      <c r="H56" s="700"/>
      <c r="I56" s="703"/>
      <c r="J56" s="704"/>
      <c r="K56" s="704"/>
      <c r="L56" s="704"/>
      <c r="M56" s="704"/>
      <c r="N56" s="704"/>
      <c r="O56" s="700"/>
      <c r="P56" s="685"/>
    </row>
    <row r="57" spans="1:16" ht="15.75" customHeight="1" x14ac:dyDescent="0.3">
      <c r="A57" s="700"/>
      <c r="B57" s="700"/>
      <c r="C57" s="700"/>
      <c r="D57" s="701"/>
      <c r="E57" s="700"/>
      <c r="F57" s="328"/>
      <c r="G57" s="700"/>
      <c r="H57" s="700"/>
      <c r="I57" s="703"/>
      <c r="J57" s="704"/>
      <c r="K57" s="704"/>
      <c r="L57" s="704"/>
      <c r="M57" s="704"/>
      <c r="N57" s="704"/>
      <c r="O57" s="700"/>
      <c r="P57" s="637"/>
    </row>
    <row r="58" spans="1:16" ht="15.75" customHeight="1" x14ac:dyDescent="0.3">
      <c r="A58" s="700"/>
      <c r="B58" s="700"/>
      <c r="C58" s="700"/>
      <c r="D58" s="701"/>
      <c r="E58" s="700"/>
      <c r="F58" s="328"/>
      <c r="G58" s="700"/>
      <c r="H58" s="700"/>
      <c r="I58" s="703"/>
      <c r="J58" s="704"/>
      <c r="K58" s="704"/>
      <c r="L58" s="704"/>
      <c r="M58" s="704"/>
      <c r="N58" s="704"/>
      <c r="O58" s="700"/>
      <c r="P58" s="637"/>
    </row>
    <row r="59" spans="1:16" ht="15.75" customHeight="1" x14ac:dyDescent="0.3">
      <c r="A59" s="700"/>
      <c r="B59" s="700"/>
      <c r="C59" s="700"/>
      <c r="D59" s="701"/>
      <c r="E59" s="700"/>
      <c r="F59" s="328"/>
      <c r="G59" s="700"/>
      <c r="H59" s="700"/>
      <c r="I59" s="703"/>
      <c r="J59" s="704"/>
      <c r="K59" s="704"/>
      <c r="L59" s="704"/>
      <c r="M59" s="704"/>
      <c r="N59" s="704"/>
      <c r="O59" s="700"/>
      <c r="P59" s="637"/>
    </row>
    <row r="60" spans="1:16" ht="15.75" customHeight="1" x14ac:dyDescent="0.3">
      <c r="A60" s="700"/>
      <c r="B60" s="700"/>
      <c r="C60" s="700"/>
      <c r="D60" s="701"/>
      <c r="E60" s="700"/>
      <c r="F60" s="328"/>
      <c r="G60" s="700"/>
      <c r="H60" s="700"/>
      <c r="I60" s="703"/>
      <c r="J60" s="704"/>
      <c r="K60" s="704"/>
      <c r="L60" s="704"/>
      <c r="M60" s="704"/>
      <c r="N60" s="704"/>
      <c r="O60" s="700"/>
      <c r="P60" s="637"/>
    </row>
    <row r="61" spans="1:16" ht="15.75" customHeight="1" x14ac:dyDescent="0.3">
      <c r="A61" s="700"/>
      <c r="B61" s="700"/>
      <c r="C61" s="700"/>
      <c r="D61" s="701"/>
      <c r="E61" s="700"/>
      <c r="F61" s="328"/>
      <c r="G61" s="700"/>
      <c r="H61" s="700"/>
      <c r="I61" s="703"/>
      <c r="J61" s="704"/>
      <c r="K61" s="704"/>
      <c r="L61" s="704"/>
      <c r="M61" s="704"/>
      <c r="N61" s="704"/>
      <c r="O61" s="700"/>
      <c r="P61" s="685"/>
    </row>
    <row r="62" spans="1:16" ht="15.75" customHeight="1" x14ac:dyDescent="0.3">
      <c r="A62" s="700"/>
      <c r="B62" s="700"/>
      <c r="C62" s="700"/>
      <c r="D62" s="701"/>
      <c r="E62" s="700"/>
      <c r="F62" s="328"/>
      <c r="G62" s="700"/>
      <c r="H62" s="700"/>
      <c r="I62" s="703"/>
      <c r="J62" s="704"/>
      <c r="K62" s="704"/>
      <c r="L62" s="704"/>
      <c r="M62" s="704"/>
      <c r="N62" s="704"/>
      <c r="O62" s="700"/>
      <c r="P62" s="685"/>
    </row>
    <row r="63" spans="1:16" ht="15.75" customHeight="1" x14ac:dyDescent="0.3">
      <c r="A63" s="700"/>
      <c r="B63" s="700"/>
      <c r="C63" s="700"/>
      <c r="D63" s="701"/>
      <c r="E63" s="700"/>
      <c r="F63" s="328"/>
      <c r="G63" s="700"/>
      <c r="H63" s="700"/>
      <c r="I63" s="703"/>
      <c r="J63" s="704"/>
      <c r="K63" s="704"/>
      <c r="L63" s="704"/>
      <c r="M63" s="704"/>
      <c r="N63" s="704"/>
      <c r="O63" s="700"/>
      <c r="P63" s="685"/>
    </row>
    <row r="64" spans="1:16" ht="15.75" customHeight="1" x14ac:dyDescent="0.3">
      <c r="A64" s="700"/>
      <c r="B64" s="700"/>
      <c r="C64" s="700"/>
      <c r="D64" s="701"/>
      <c r="E64" s="700"/>
      <c r="F64" s="328"/>
      <c r="G64" s="700"/>
      <c r="H64" s="700"/>
      <c r="I64" s="703"/>
      <c r="J64" s="704"/>
      <c r="K64" s="704"/>
      <c r="L64" s="704"/>
      <c r="M64" s="704"/>
      <c r="N64" s="704"/>
      <c r="O64" s="700"/>
      <c r="P64" s="685"/>
    </row>
    <row r="65" spans="1:16" ht="15.75" customHeight="1" x14ac:dyDescent="0.3">
      <c r="A65" s="700"/>
      <c r="B65" s="700"/>
      <c r="C65" s="700"/>
      <c r="D65" s="701"/>
      <c r="E65" s="700"/>
      <c r="F65" s="328"/>
      <c r="G65" s="700"/>
      <c r="H65" s="700"/>
      <c r="I65" s="703"/>
      <c r="J65" s="704"/>
      <c r="K65" s="704"/>
      <c r="L65" s="704"/>
      <c r="M65" s="704"/>
      <c r="N65" s="704"/>
      <c r="O65" s="700"/>
      <c r="P65" s="637"/>
    </row>
    <row r="66" spans="1:16" ht="15.75" customHeight="1" x14ac:dyDescent="0.3">
      <c r="A66" s="700"/>
      <c r="B66" s="700"/>
      <c r="C66" s="700"/>
      <c r="D66" s="701"/>
      <c r="E66" s="700"/>
      <c r="F66" s="328"/>
      <c r="G66" s="700"/>
      <c r="H66" s="700"/>
      <c r="I66" s="703"/>
      <c r="J66" s="704"/>
      <c r="K66" s="704"/>
      <c r="L66" s="704"/>
      <c r="M66" s="704"/>
      <c r="N66" s="704"/>
      <c r="O66" s="700"/>
      <c r="P66" s="637"/>
    </row>
    <row r="67" spans="1:16" ht="15.75" customHeight="1" x14ac:dyDescent="0.3">
      <c r="A67" s="700"/>
      <c r="B67" s="700"/>
      <c r="C67" s="700"/>
      <c r="D67" s="701"/>
      <c r="E67" s="700"/>
      <c r="F67" s="328"/>
      <c r="G67" s="700"/>
      <c r="H67" s="700"/>
      <c r="I67" s="703"/>
      <c r="J67" s="704"/>
      <c r="K67" s="704"/>
      <c r="L67" s="704"/>
      <c r="M67" s="704"/>
      <c r="N67" s="704"/>
      <c r="O67" s="700"/>
      <c r="P67" s="685"/>
    </row>
    <row r="68" spans="1:16" ht="15.75" customHeight="1" x14ac:dyDescent="0.3">
      <c r="A68" s="700"/>
      <c r="B68" s="700"/>
      <c r="C68" s="700"/>
      <c r="D68" s="701"/>
      <c r="E68" s="700"/>
      <c r="F68" s="328"/>
      <c r="G68" s="700"/>
      <c r="H68" s="700"/>
      <c r="I68" s="703"/>
      <c r="J68" s="704"/>
      <c r="K68" s="704"/>
      <c r="L68" s="704"/>
      <c r="M68" s="704"/>
      <c r="N68" s="704"/>
      <c r="O68" s="700"/>
      <c r="P68" s="685"/>
    </row>
    <row r="69" spans="1:16" ht="15.75" customHeight="1" x14ac:dyDescent="0.3">
      <c r="A69" s="700"/>
      <c r="B69" s="700"/>
      <c r="C69" s="700"/>
      <c r="D69" s="701"/>
      <c r="E69" s="700"/>
      <c r="F69" s="328"/>
      <c r="G69" s="700"/>
      <c r="H69" s="700"/>
      <c r="I69" s="703"/>
      <c r="J69" s="704"/>
      <c r="K69" s="704"/>
      <c r="L69" s="704"/>
      <c r="M69" s="704"/>
      <c r="N69" s="704"/>
      <c r="O69" s="700"/>
      <c r="P69" s="685"/>
    </row>
    <row r="70" spans="1:16" ht="15.75" customHeight="1" x14ac:dyDescent="0.3">
      <c r="A70" s="700"/>
      <c r="B70" s="700"/>
      <c r="C70" s="700"/>
      <c r="D70" s="701"/>
      <c r="E70" s="700"/>
      <c r="F70" s="328"/>
      <c r="G70" s="700"/>
      <c r="H70" s="700"/>
      <c r="I70" s="703"/>
      <c r="J70" s="704"/>
      <c r="K70" s="704"/>
      <c r="L70" s="704"/>
      <c r="M70" s="704"/>
      <c r="N70" s="704"/>
      <c r="O70" s="700"/>
      <c r="P70" s="637"/>
    </row>
    <row r="71" spans="1:16" ht="15.75" customHeight="1" x14ac:dyDescent="0.3">
      <c r="A71" s="700"/>
      <c r="B71" s="700"/>
      <c r="C71" s="700"/>
      <c r="D71" s="701"/>
      <c r="E71" s="700"/>
      <c r="F71" s="328"/>
      <c r="G71" s="700"/>
      <c r="H71" s="700"/>
      <c r="I71" s="703"/>
      <c r="J71" s="704"/>
      <c r="K71" s="704"/>
      <c r="L71" s="704"/>
      <c r="M71" s="704"/>
      <c r="N71" s="704"/>
      <c r="O71" s="700"/>
      <c r="P71" s="637"/>
    </row>
    <row r="72" spans="1:16" ht="15.75" customHeight="1" x14ac:dyDescent="0.3">
      <c r="A72" s="700"/>
      <c r="B72" s="700"/>
      <c r="C72" s="700"/>
      <c r="D72" s="701"/>
      <c r="E72" s="700"/>
      <c r="F72" s="328"/>
      <c r="G72" s="700"/>
      <c r="H72" s="700"/>
      <c r="I72" s="703"/>
      <c r="J72" s="704"/>
      <c r="K72" s="704"/>
      <c r="L72" s="704"/>
      <c r="M72" s="704"/>
      <c r="N72" s="704"/>
      <c r="O72" s="700"/>
      <c r="P72" s="685"/>
    </row>
    <row r="73" spans="1:16" ht="15.75" customHeight="1" x14ac:dyDescent="0.3">
      <c r="A73" s="700"/>
      <c r="B73" s="700"/>
      <c r="C73" s="700"/>
      <c r="D73" s="701"/>
      <c r="E73" s="700"/>
      <c r="F73" s="328"/>
      <c r="G73" s="700"/>
      <c r="H73" s="700"/>
      <c r="I73" s="703"/>
      <c r="J73" s="704"/>
      <c r="K73" s="704"/>
      <c r="L73" s="704"/>
      <c r="M73" s="704"/>
      <c r="N73" s="704"/>
      <c r="O73" s="700"/>
      <c r="P73" s="685"/>
    </row>
    <row r="74" spans="1:16" ht="15.75" customHeight="1" x14ac:dyDescent="0.3">
      <c r="A74" s="700"/>
      <c r="B74" s="700"/>
      <c r="C74" s="700"/>
      <c r="D74" s="701"/>
      <c r="E74" s="700"/>
      <c r="F74" s="328"/>
      <c r="G74" s="700"/>
      <c r="H74" s="700"/>
      <c r="I74" s="703"/>
      <c r="J74" s="704"/>
      <c r="K74" s="704"/>
      <c r="L74" s="704"/>
      <c r="M74" s="704"/>
      <c r="N74" s="704"/>
      <c r="O74" s="700"/>
      <c r="P74" s="637"/>
    </row>
    <row r="75" spans="1:16" ht="15.75" customHeight="1" x14ac:dyDescent="0.3">
      <c r="A75" s="700"/>
      <c r="B75" s="700"/>
      <c r="C75" s="700"/>
      <c r="D75" s="701"/>
      <c r="E75" s="700"/>
      <c r="F75" s="328"/>
      <c r="G75" s="700"/>
      <c r="H75" s="700"/>
      <c r="I75" s="703"/>
      <c r="J75" s="704"/>
      <c r="K75" s="704"/>
      <c r="L75" s="704"/>
      <c r="M75" s="704"/>
      <c r="N75" s="704"/>
      <c r="O75" s="700"/>
      <c r="P75" s="637"/>
    </row>
    <row r="76" spans="1:16" ht="15.75" customHeight="1" x14ac:dyDescent="0.3">
      <c r="A76" s="700"/>
      <c r="B76" s="700"/>
      <c r="C76" s="700"/>
      <c r="D76" s="701"/>
      <c r="E76" s="700"/>
      <c r="F76" s="328"/>
      <c r="G76" s="700"/>
      <c r="H76" s="700"/>
      <c r="I76" s="703"/>
      <c r="J76" s="704"/>
      <c r="K76" s="704"/>
      <c r="L76" s="704"/>
      <c r="M76" s="704"/>
      <c r="N76" s="704"/>
      <c r="O76" s="700"/>
      <c r="P76" s="637"/>
    </row>
    <row r="77" spans="1:16" ht="15.75" customHeight="1" x14ac:dyDescent="0.3">
      <c r="A77" s="700"/>
      <c r="B77" s="700"/>
      <c r="C77" s="700"/>
      <c r="D77" s="701"/>
      <c r="E77" s="700"/>
      <c r="F77" s="328"/>
      <c r="G77" s="700"/>
      <c r="H77" s="700"/>
      <c r="I77" s="703"/>
      <c r="J77" s="704"/>
      <c r="K77" s="704"/>
      <c r="L77" s="704"/>
      <c r="M77" s="704"/>
      <c r="N77" s="704"/>
      <c r="O77" s="700"/>
      <c r="P77" s="637"/>
    </row>
    <row r="78" spans="1:16" ht="15.75" customHeight="1" x14ac:dyDescent="0.3">
      <c r="A78" s="700"/>
      <c r="B78" s="700"/>
      <c r="C78" s="700"/>
      <c r="D78" s="701"/>
      <c r="E78" s="700"/>
      <c r="F78" s="328"/>
      <c r="G78" s="700"/>
      <c r="H78" s="700"/>
      <c r="I78" s="703"/>
      <c r="J78" s="704"/>
      <c r="K78" s="704"/>
      <c r="L78" s="704"/>
      <c r="M78" s="704"/>
      <c r="N78" s="704"/>
      <c r="O78" s="700"/>
      <c r="P78" s="685"/>
    </row>
    <row r="79" spans="1:16" ht="15.75" customHeight="1" x14ac:dyDescent="0.3">
      <c r="A79" s="700"/>
      <c r="B79" s="700"/>
      <c r="C79" s="700"/>
      <c r="D79" s="701"/>
      <c r="E79" s="700"/>
      <c r="F79" s="328"/>
      <c r="G79" s="700"/>
      <c r="H79" s="700"/>
      <c r="I79" s="703"/>
      <c r="J79" s="704"/>
      <c r="K79" s="704"/>
      <c r="L79" s="704"/>
      <c r="M79" s="704"/>
      <c r="N79" s="704"/>
      <c r="O79" s="700"/>
      <c r="P79" s="685"/>
    </row>
    <row r="80" spans="1:16" ht="15.75" customHeight="1" x14ac:dyDescent="0.3">
      <c r="A80" s="700"/>
      <c r="B80" s="700"/>
      <c r="C80" s="700"/>
      <c r="D80" s="701"/>
      <c r="E80" s="700"/>
      <c r="F80" s="328"/>
      <c r="G80" s="700"/>
      <c r="H80" s="700"/>
      <c r="I80" s="703"/>
      <c r="J80" s="704"/>
      <c r="K80" s="704"/>
      <c r="L80" s="704"/>
      <c r="M80" s="704"/>
      <c r="N80" s="704"/>
      <c r="O80" s="700"/>
    </row>
    <row r="81" spans="1:16" ht="15.75" customHeight="1" x14ac:dyDescent="0.3">
      <c r="A81" s="700"/>
      <c r="B81" s="700"/>
      <c r="C81" s="700"/>
      <c r="D81" s="701"/>
      <c r="E81" s="700"/>
      <c r="F81" s="328"/>
      <c r="G81" s="700"/>
      <c r="H81" s="700"/>
      <c r="I81" s="703"/>
      <c r="J81" s="704"/>
      <c r="K81" s="704"/>
      <c r="L81" s="704"/>
      <c r="M81" s="704"/>
      <c r="N81" s="704"/>
      <c r="O81" s="700"/>
      <c r="P81" s="685"/>
    </row>
    <row r="82" spans="1:16" ht="15.75" customHeight="1" x14ac:dyDescent="0.3">
      <c r="A82" s="700"/>
      <c r="B82" s="700"/>
      <c r="C82" s="700"/>
      <c r="D82" s="701"/>
      <c r="E82" s="700"/>
      <c r="F82" s="328"/>
      <c r="G82" s="700"/>
      <c r="H82" s="700"/>
      <c r="I82" s="703"/>
      <c r="J82" s="704"/>
      <c r="K82" s="704"/>
      <c r="L82" s="704"/>
      <c r="M82" s="704"/>
      <c r="N82" s="704"/>
      <c r="O82" s="700"/>
      <c r="P82" s="637"/>
    </row>
    <row r="83" spans="1:16" ht="15.75" customHeight="1" x14ac:dyDescent="0.3">
      <c r="A83" s="700"/>
      <c r="B83" s="700"/>
      <c r="C83" s="700"/>
      <c r="D83" s="701"/>
      <c r="E83" s="700"/>
      <c r="F83" s="328"/>
      <c r="G83" s="700"/>
      <c r="H83" s="700"/>
      <c r="I83" s="703"/>
      <c r="J83" s="704"/>
      <c r="K83" s="704"/>
      <c r="L83" s="704"/>
      <c r="M83" s="704"/>
      <c r="N83" s="704"/>
      <c r="O83" s="700"/>
      <c r="P83" s="637"/>
    </row>
    <row r="84" spans="1:16" ht="15.75" customHeight="1" x14ac:dyDescent="0.3">
      <c r="A84" s="700"/>
      <c r="B84" s="700"/>
      <c r="C84" s="700"/>
      <c r="D84" s="701"/>
      <c r="E84" s="700"/>
      <c r="F84" s="328"/>
      <c r="G84" s="700"/>
      <c r="H84" s="700"/>
      <c r="I84" s="703"/>
      <c r="J84" s="704"/>
      <c r="K84" s="704"/>
      <c r="L84" s="704"/>
      <c r="M84" s="704"/>
      <c r="N84" s="704"/>
      <c r="O84" s="700"/>
      <c r="P84" s="685"/>
    </row>
    <row r="85" spans="1:16" ht="15.75" customHeight="1" x14ac:dyDescent="0.3">
      <c r="A85" s="700"/>
      <c r="B85" s="700"/>
      <c r="C85" s="700"/>
      <c r="D85" s="701"/>
      <c r="E85" s="700"/>
      <c r="F85" s="328"/>
      <c r="G85" s="700"/>
      <c r="H85" s="700"/>
      <c r="I85" s="703"/>
      <c r="J85" s="704"/>
      <c r="K85" s="704"/>
      <c r="L85" s="704"/>
      <c r="M85" s="704"/>
      <c r="N85" s="704"/>
      <c r="O85" s="700"/>
      <c r="P85" s="685"/>
    </row>
    <row r="86" spans="1:16" ht="15.75" customHeight="1" x14ac:dyDescent="0.3">
      <c r="A86" s="700"/>
      <c r="B86" s="700"/>
      <c r="C86" s="700"/>
      <c r="D86" s="701"/>
      <c r="E86" s="700"/>
      <c r="F86" s="328"/>
      <c r="G86" s="700"/>
      <c r="H86" s="700"/>
      <c r="I86" s="703"/>
      <c r="J86" s="704"/>
      <c r="K86" s="704"/>
      <c r="L86" s="704"/>
      <c r="M86" s="704"/>
      <c r="N86" s="704"/>
      <c r="O86" s="700"/>
      <c r="P86" s="685"/>
    </row>
    <row r="87" spans="1:16" ht="15.75" customHeight="1" x14ac:dyDescent="0.3">
      <c r="A87" s="700"/>
      <c r="B87" s="700"/>
      <c r="C87" s="700"/>
      <c r="D87" s="701"/>
      <c r="E87" s="700"/>
      <c r="F87" s="328"/>
      <c r="G87" s="700"/>
      <c r="H87" s="700"/>
      <c r="I87" s="703"/>
      <c r="J87" s="704"/>
      <c r="K87" s="704"/>
      <c r="L87" s="704"/>
      <c r="M87" s="704"/>
      <c r="N87" s="704"/>
      <c r="O87" s="700"/>
      <c r="P87" s="637"/>
    </row>
    <row r="88" spans="1:16" ht="15.75" customHeight="1" x14ac:dyDescent="0.3">
      <c r="A88" s="700"/>
      <c r="B88" s="700"/>
      <c r="C88" s="700"/>
      <c r="D88" s="701"/>
      <c r="E88" s="700"/>
      <c r="F88" s="328"/>
      <c r="G88" s="700"/>
      <c r="H88" s="700"/>
      <c r="I88" s="703"/>
      <c r="J88" s="704"/>
      <c r="K88" s="704"/>
      <c r="L88" s="704"/>
      <c r="M88" s="704"/>
      <c r="N88" s="704"/>
      <c r="O88" s="700"/>
      <c r="P88" s="637"/>
    </row>
    <row r="89" spans="1:16" ht="15.75" customHeight="1" x14ac:dyDescent="0.3">
      <c r="A89" s="700"/>
      <c r="B89" s="700"/>
      <c r="C89" s="700"/>
      <c r="D89" s="701"/>
      <c r="E89" s="700"/>
      <c r="F89" s="328"/>
      <c r="G89" s="700"/>
      <c r="H89" s="700"/>
      <c r="I89" s="703"/>
      <c r="J89" s="704"/>
      <c r="K89" s="704"/>
      <c r="L89" s="704"/>
      <c r="M89" s="704"/>
      <c r="N89" s="704"/>
      <c r="O89" s="700"/>
      <c r="P89" s="637"/>
    </row>
    <row r="90" spans="1:16" ht="15.75" customHeight="1" x14ac:dyDescent="0.3">
      <c r="A90" s="700"/>
      <c r="B90" s="700"/>
      <c r="C90" s="700"/>
      <c r="D90" s="701"/>
      <c r="E90" s="700"/>
      <c r="F90" s="328"/>
      <c r="G90" s="700"/>
      <c r="H90" s="700"/>
      <c r="I90" s="703"/>
      <c r="J90" s="704"/>
      <c r="K90" s="704"/>
      <c r="L90" s="704"/>
      <c r="M90" s="704"/>
      <c r="N90" s="704"/>
      <c r="O90" s="700"/>
      <c r="P90" s="685"/>
    </row>
    <row r="91" spans="1:16" ht="15.75" customHeight="1" x14ac:dyDescent="0.3">
      <c r="A91" s="700"/>
      <c r="B91" s="700"/>
      <c r="C91" s="700"/>
      <c r="D91" s="701"/>
      <c r="E91" s="700"/>
      <c r="F91" s="328"/>
      <c r="G91" s="700"/>
      <c r="H91" s="700"/>
      <c r="I91" s="703"/>
      <c r="J91" s="704"/>
      <c r="K91" s="704"/>
      <c r="L91" s="704"/>
      <c r="M91" s="704"/>
      <c r="N91" s="704"/>
      <c r="O91" s="700"/>
      <c r="P91" s="685"/>
    </row>
    <row r="92" spans="1:16" ht="15.75" customHeight="1" x14ac:dyDescent="0.3">
      <c r="A92" s="700"/>
      <c r="B92" s="700"/>
      <c r="C92" s="700"/>
      <c r="D92" s="701"/>
      <c r="E92" s="700"/>
      <c r="F92" s="328"/>
      <c r="G92" s="700"/>
      <c r="H92" s="700"/>
      <c r="I92" s="703"/>
      <c r="J92" s="704"/>
      <c r="K92" s="704"/>
      <c r="L92" s="704"/>
      <c r="M92" s="704"/>
      <c r="N92" s="704"/>
      <c r="O92" s="700"/>
      <c r="P92" s="685"/>
    </row>
    <row r="93" spans="1:16" ht="15.75" customHeight="1" x14ac:dyDescent="0.3">
      <c r="A93" s="700"/>
      <c r="B93" s="700"/>
      <c r="C93" s="700"/>
      <c r="D93" s="701"/>
      <c r="E93" s="700"/>
      <c r="F93" s="328"/>
      <c r="G93" s="700"/>
      <c r="H93" s="700"/>
      <c r="I93" s="703"/>
      <c r="J93" s="704"/>
      <c r="K93" s="704"/>
      <c r="L93" s="704"/>
      <c r="M93" s="704"/>
      <c r="N93" s="704"/>
      <c r="O93" s="700"/>
      <c r="P93" s="637"/>
    </row>
    <row r="94" spans="1:16" ht="15.75" customHeight="1" x14ac:dyDescent="0.3">
      <c r="A94" s="700"/>
      <c r="B94" s="700"/>
      <c r="C94" s="700"/>
      <c r="D94" s="701"/>
      <c r="E94" s="700"/>
      <c r="F94" s="328"/>
      <c r="G94" s="700"/>
      <c r="H94" s="700"/>
      <c r="I94" s="703"/>
      <c r="J94" s="704"/>
      <c r="K94" s="704"/>
      <c r="L94" s="704"/>
      <c r="M94" s="704"/>
      <c r="N94" s="704"/>
      <c r="O94" s="700"/>
      <c r="P94" s="637"/>
    </row>
    <row r="95" spans="1:16" ht="15.75" customHeight="1" x14ac:dyDescent="0.3">
      <c r="A95" s="700"/>
      <c r="B95" s="700"/>
      <c r="C95" s="700"/>
      <c r="D95" s="701"/>
      <c r="E95" s="700"/>
      <c r="F95" s="328"/>
      <c r="G95" s="700"/>
      <c r="H95" s="700"/>
      <c r="I95" s="703"/>
      <c r="J95" s="704"/>
      <c r="K95" s="704"/>
      <c r="L95" s="704"/>
      <c r="M95" s="704"/>
      <c r="N95" s="704"/>
      <c r="O95" s="700"/>
      <c r="P95" s="685"/>
    </row>
    <row r="96" spans="1:16" ht="15.75" customHeight="1" x14ac:dyDescent="0.3">
      <c r="A96" s="700"/>
      <c r="B96" s="700"/>
      <c r="C96" s="700"/>
      <c r="D96" s="701"/>
      <c r="E96" s="700"/>
      <c r="F96" s="328"/>
      <c r="G96" s="700"/>
      <c r="H96" s="700"/>
      <c r="I96" s="703"/>
      <c r="J96" s="704"/>
      <c r="K96" s="704"/>
      <c r="L96" s="704"/>
      <c r="M96" s="704"/>
      <c r="N96" s="704"/>
      <c r="O96" s="700"/>
      <c r="P96" s="685"/>
    </row>
    <row r="97" spans="1:16" ht="15.75" customHeight="1" x14ac:dyDescent="0.3">
      <c r="A97" s="700"/>
      <c r="B97" s="700"/>
      <c r="C97" s="700"/>
      <c r="D97" s="701"/>
      <c r="E97" s="700"/>
      <c r="F97" s="328"/>
      <c r="G97" s="700"/>
      <c r="H97" s="700"/>
      <c r="I97" s="703"/>
      <c r="J97" s="704"/>
      <c r="K97" s="704"/>
      <c r="L97" s="704"/>
      <c r="M97" s="704"/>
      <c r="N97" s="704"/>
      <c r="O97" s="700"/>
      <c r="P97" s="637"/>
    </row>
    <row r="98" spans="1:16" ht="15.75" customHeight="1" x14ac:dyDescent="0.3">
      <c r="A98" s="700"/>
      <c r="B98" s="700"/>
      <c r="C98" s="700"/>
      <c r="D98" s="701"/>
      <c r="E98" s="700"/>
      <c r="F98" s="328"/>
      <c r="G98" s="700"/>
      <c r="H98" s="700"/>
      <c r="I98" s="703"/>
      <c r="J98" s="704"/>
      <c r="K98" s="704"/>
      <c r="L98" s="704"/>
      <c r="M98" s="704"/>
      <c r="N98" s="704"/>
      <c r="O98" s="700"/>
      <c r="P98" s="637"/>
    </row>
    <row r="99" spans="1:16" ht="15.75" customHeight="1" x14ac:dyDescent="0.3">
      <c r="A99" s="700"/>
      <c r="B99" s="700"/>
      <c r="C99" s="700"/>
      <c r="D99" s="701"/>
      <c r="E99" s="700"/>
      <c r="F99" s="328"/>
      <c r="G99" s="700"/>
      <c r="H99" s="700"/>
      <c r="I99" s="703"/>
      <c r="J99" s="704"/>
      <c r="K99" s="704"/>
      <c r="L99" s="704"/>
      <c r="M99" s="704"/>
      <c r="N99" s="704"/>
      <c r="O99" s="700"/>
      <c r="P99" s="637"/>
    </row>
    <row r="100" spans="1:16" ht="15.75" customHeight="1" x14ac:dyDescent="0.3">
      <c r="A100" s="700"/>
      <c r="B100" s="700"/>
      <c r="C100" s="700"/>
      <c r="D100" s="701"/>
      <c r="E100" s="700"/>
      <c r="F100" s="328"/>
      <c r="G100" s="700"/>
      <c r="H100" s="700"/>
      <c r="I100" s="703"/>
      <c r="J100" s="704"/>
      <c r="K100" s="704"/>
      <c r="L100" s="704"/>
      <c r="M100" s="704"/>
      <c r="N100" s="704"/>
      <c r="O100" s="700"/>
      <c r="P100" s="637"/>
    </row>
    <row r="101" spans="1:16" ht="15.75" customHeight="1" x14ac:dyDescent="0.3">
      <c r="A101" s="700"/>
      <c r="B101" s="700"/>
      <c r="C101" s="700"/>
      <c r="D101" s="701"/>
      <c r="E101" s="700"/>
      <c r="F101" s="328"/>
      <c r="G101" s="700"/>
      <c r="H101" s="700"/>
      <c r="I101" s="703"/>
      <c r="J101" s="704"/>
      <c r="K101" s="704"/>
      <c r="L101" s="704"/>
      <c r="M101" s="704"/>
      <c r="N101" s="704"/>
      <c r="O101" s="700"/>
      <c r="P101" s="637"/>
    </row>
    <row r="102" spans="1:16" ht="15.75" customHeight="1" x14ac:dyDescent="0.3">
      <c r="A102" s="700"/>
      <c r="B102" s="700"/>
      <c r="C102" s="700"/>
      <c r="D102" s="701"/>
      <c r="E102" s="700"/>
      <c r="F102" s="328"/>
      <c r="G102" s="700"/>
      <c r="H102" s="700"/>
      <c r="I102" s="703"/>
      <c r="J102" s="704"/>
      <c r="K102" s="704"/>
      <c r="L102" s="704"/>
      <c r="M102" s="704"/>
      <c r="N102" s="704"/>
      <c r="O102" s="700"/>
      <c r="P102" s="685"/>
    </row>
    <row r="103" spans="1:16" ht="15.75" customHeight="1" x14ac:dyDescent="0.3">
      <c r="A103" s="700"/>
      <c r="B103" s="700"/>
      <c r="C103" s="700"/>
      <c r="D103" s="701"/>
      <c r="E103" s="700"/>
      <c r="F103" s="328"/>
      <c r="G103" s="700"/>
      <c r="H103" s="700"/>
      <c r="I103" s="703"/>
      <c r="J103" s="704"/>
      <c r="K103" s="704"/>
      <c r="L103" s="704"/>
      <c r="M103" s="704"/>
      <c r="N103" s="704"/>
      <c r="O103" s="700"/>
      <c r="P103" s="685"/>
    </row>
    <row r="104" spans="1:16" ht="15.75" customHeight="1" x14ac:dyDescent="0.3">
      <c r="A104" s="700"/>
      <c r="B104" s="700"/>
      <c r="C104" s="700"/>
      <c r="D104" s="701"/>
      <c r="E104" s="700"/>
      <c r="F104" s="328"/>
      <c r="G104" s="700"/>
      <c r="H104" s="700"/>
      <c r="I104" s="703"/>
      <c r="J104" s="704"/>
      <c r="K104" s="704"/>
      <c r="L104" s="704"/>
      <c r="M104" s="704"/>
      <c r="N104" s="704"/>
      <c r="O104" s="700"/>
      <c r="P104" s="707"/>
    </row>
    <row r="105" spans="1:16" ht="15.75" customHeight="1" x14ac:dyDescent="0.3">
      <c r="A105" s="700"/>
      <c r="B105" s="700"/>
      <c r="C105" s="700"/>
      <c r="D105" s="701"/>
      <c r="E105" s="700"/>
      <c r="F105" s="328"/>
      <c r="G105" s="700"/>
      <c r="H105" s="700"/>
      <c r="I105" s="703"/>
      <c r="J105" s="704"/>
      <c r="K105" s="704"/>
      <c r="L105" s="704"/>
      <c r="M105" s="704"/>
      <c r="N105" s="704"/>
      <c r="O105" s="700"/>
      <c r="P105" s="707"/>
    </row>
    <row r="106" spans="1:16" ht="15.75" customHeight="1" x14ac:dyDescent="0.3">
      <c r="A106" s="700"/>
      <c r="B106" s="700"/>
      <c r="C106" s="700"/>
      <c r="D106" s="701"/>
      <c r="E106" s="700"/>
      <c r="F106" s="328"/>
      <c r="G106" s="700"/>
      <c r="H106" s="700"/>
      <c r="I106" s="703"/>
      <c r="J106" s="704"/>
      <c r="K106" s="704"/>
      <c r="L106" s="704"/>
      <c r="M106" s="704"/>
      <c r="N106" s="704"/>
      <c r="O106" s="700"/>
      <c r="P106" s="707"/>
    </row>
    <row r="107" spans="1:16" ht="15.75" customHeight="1" x14ac:dyDescent="0.3">
      <c r="A107" s="700"/>
      <c r="B107" s="700"/>
      <c r="C107" s="700"/>
      <c r="D107" s="701"/>
      <c r="E107" s="700"/>
      <c r="F107" s="328"/>
      <c r="G107" s="700"/>
      <c r="H107" s="700"/>
      <c r="I107" s="703"/>
      <c r="J107" s="704"/>
      <c r="K107" s="704"/>
      <c r="L107" s="704"/>
      <c r="M107" s="704"/>
      <c r="N107" s="704"/>
      <c r="O107" s="700"/>
      <c r="P107" s="671"/>
    </row>
    <row r="108" spans="1:16" ht="15.75" customHeight="1" x14ac:dyDescent="0.3">
      <c r="A108" s="700"/>
      <c r="B108" s="700"/>
      <c r="C108" s="700"/>
      <c r="D108" s="701"/>
      <c r="E108" s="700"/>
      <c r="F108" s="328"/>
      <c r="G108" s="700"/>
      <c r="H108" s="700"/>
      <c r="I108" s="703"/>
      <c r="J108" s="704"/>
      <c r="K108" s="704"/>
      <c r="L108" s="704"/>
      <c r="M108" s="704"/>
      <c r="N108" s="704"/>
      <c r="O108" s="700"/>
      <c r="P108" s="637"/>
    </row>
    <row r="109" spans="1:16" ht="15.75" customHeight="1" x14ac:dyDescent="0.3">
      <c r="A109" s="700"/>
      <c r="B109" s="700"/>
      <c r="C109" s="700"/>
      <c r="D109" s="701"/>
      <c r="E109" s="700"/>
      <c r="F109" s="328"/>
      <c r="G109" s="700"/>
      <c r="H109" s="700"/>
      <c r="I109" s="703"/>
      <c r="J109" s="704"/>
      <c r="K109" s="704"/>
      <c r="L109" s="704"/>
      <c r="M109" s="704"/>
      <c r="N109" s="704"/>
      <c r="O109" s="700"/>
      <c r="P109" s="637"/>
    </row>
    <row r="110" spans="1:16" ht="15.75" customHeight="1" x14ac:dyDescent="0.3">
      <c r="A110" s="700"/>
      <c r="B110" s="700"/>
      <c r="C110" s="700"/>
      <c r="D110" s="701"/>
      <c r="E110" s="700"/>
      <c r="F110" s="328"/>
      <c r="G110" s="700"/>
      <c r="H110" s="700"/>
      <c r="I110" s="703"/>
      <c r="J110" s="704"/>
      <c r="K110" s="704"/>
      <c r="L110" s="704"/>
      <c r="M110" s="704"/>
      <c r="N110" s="704"/>
      <c r="O110" s="700"/>
      <c r="P110" s="685"/>
    </row>
    <row r="111" spans="1:16" ht="15.75" customHeight="1" x14ac:dyDescent="0.3">
      <c r="A111" s="700"/>
      <c r="B111" s="700"/>
      <c r="C111" s="700"/>
      <c r="D111" s="701"/>
      <c r="E111" s="700"/>
      <c r="F111" s="328"/>
      <c r="G111" s="700"/>
      <c r="H111" s="700"/>
      <c r="I111" s="703"/>
      <c r="J111" s="704"/>
      <c r="K111" s="704"/>
      <c r="L111" s="704"/>
      <c r="M111" s="704"/>
      <c r="N111" s="704"/>
      <c r="O111" s="700"/>
      <c r="P111" s="685"/>
    </row>
    <row r="112" spans="1:16" ht="15.75" customHeight="1" x14ac:dyDescent="0.3">
      <c r="A112" s="700"/>
      <c r="B112" s="700"/>
      <c r="C112" s="700"/>
      <c r="D112" s="701"/>
      <c r="E112" s="700"/>
      <c r="F112" s="328"/>
      <c r="G112" s="700"/>
      <c r="H112" s="700"/>
      <c r="I112" s="703"/>
      <c r="J112" s="704"/>
      <c r="K112" s="704"/>
      <c r="L112" s="704"/>
      <c r="M112" s="704"/>
      <c r="N112" s="704"/>
      <c r="O112" s="700"/>
      <c r="P112" s="685"/>
    </row>
    <row r="113" spans="1:15" ht="15.75" customHeight="1" x14ac:dyDescent="0.3">
      <c r="A113" s="700"/>
      <c r="B113" s="700"/>
      <c r="C113" s="700"/>
      <c r="D113" s="701"/>
      <c r="E113" s="700"/>
      <c r="F113" s="328"/>
      <c r="G113" s="700"/>
      <c r="H113" s="700"/>
      <c r="I113" s="703"/>
      <c r="J113" s="704"/>
      <c r="K113" s="704"/>
      <c r="L113" s="704"/>
      <c r="M113" s="704"/>
      <c r="N113" s="704"/>
      <c r="O113" s="700"/>
    </row>
    <row r="114" spans="1:15" ht="15.75" customHeight="1" x14ac:dyDescent="0.3">
      <c r="A114" s="700"/>
      <c r="B114" s="700"/>
      <c r="C114" s="700"/>
      <c r="D114" s="701"/>
      <c r="E114" s="700"/>
      <c r="F114" s="328"/>
      <c r="G114" s="700"/>
      <c r="H114" s="700"/>
      <c r="I114" s="703"/>
      <c r="J114" s="704"/>
      <c r="K114" s="704"/>
      <c r="L114" s="704"/>
      <c r="M114" s="704"/>
      <c r="N114" s="704"/>
      <c r="O114" s="700"/>
    </row>
    <row r="115" spans="1:15" ht="15.75" customHeight="1" x14ac:dyDescent="0.3">
      <c r="A115" s="700"/>
      <c r="B115" s="700"/>
      <c r="C115" s="700"/>
      <c r="D115" s="701"/>
      <c r="E115" s="700"/>
      <c r="F115" s="328"/>
      <c r="G115" s="700"/>
      <c r="H115" s="700"/>
      <c r="I115" s="703"/>
      <c r="J115" s="704"/>
      <c r="K115" s="704"/>
      <c r="L115" s="704"/>
      <c r="M115" s="704"/>
      <c r="N115" s="704"/>
      <c r="O115" s="700"/>
    </row>
    <row r="116" spans="1:15" ht="15.75" customHeight="1" x14ac:dyDescent="0.3">
      <c r="A116" s="700"/>
      <c r="B116" s="700"/>
      <c r="C116" s="700"/>
      <c r="D116" s="701"/>
      <c r="E116" s="700"/>
      <c r="F116" s="328"/>
      <c r="G116" s="700"/>
      <c r="H116" s="700"/>
      <c r="I116" s="703"/>
      <c r="J116" s="704"/>
      <c r="K116" s="704"/>
      <c r="L116" s="704"/>
      <c r="M116" s="704"/>
      <c r="N116" s="704"/>
      <c r="O116" s="700"/>
    </row>
    <row r="117" spans="1:15" ht="15.75" customHeight="1" x14ac:dyDescent="0.3">
      <c r="A117" s="700"/>
      <c r="B117" s="700"/>
      <c r="C117" s="700"/>
      <c r="D117" s="701"/>
      <c r="E117" s="700"/>
      <c r="F117" s="328"/>
      <c r="G117" s="700"/>
      <c r="H117" s="700"/>
      <c r="I117" s="703"/>
      <c r="J117" s="704"/>
      <c r="K117" s="704"/>
      <c r="L117" s="704"/>
      <c r="M117" s="704"/>
      <c r="N117" s="704"/>
      <c r="O117" s="700"/>
    </row>
    <row r="118" spans="1:15" ht="15.75" customHeight="1" x14ac:dyDescent="0.3">
      <c r="A118" s="700"/>
      <c r="B118" s="700"/>
      <c r="C118" s="700"/>
      <c r="D118" s="701"/>
      <c r="E118" s="700"/>
      <c r="F118" s="328"/>
      <c r="G118" s="700"/>
      <c r="H118" s="700"/>
      <c r="I118" s="703"/>
      <c r="J118" s="704"/>
      <c r="K118" s="704"/>
      <c r="L118" s="704"/>
      <c r="M118" s="704"/>
      <c r="N118" s="704"/>
      <c r="O118" s="700"/>
    </row>
    <row r="119" spans="1:15" ht="15.75" customHeight="1" x14ac:dyDescent="0.3">
      <c r="A119" s="700"/>
      <c r="B119" s="700"/>
      <c r="C119" s="700"/>
      <c r="D119" s="701"/>
      <c r="E119" s="700"/>
      <c r="F119" s="328"/>
      <c r="G119" s="700"/>
      <c r="H119" s="700"/>
      <c r="I119" s="703"/>
      <c r="J119" s="704"/>
      <c r="K119" s="704"/>
      <c r="L119" s="704"/>
      <c r="M119" s="704"/>
      <c r="N119" s="704"/>
      <c r="O119" s="700"/>
    </row>
    <row r="120" spans="1:15" ht="15.75" customHeight="1" x14ac:dyDescent="0.3">
      <c r="A120" s="700"/>
      <c r="B120" s="700"/>
      <c r="C120" s="700"/>
      <c r="D120" s="701"/>
      <c r="E120" s="700"/>
      <c r="F120" s="328"/>
      <c r="G120" s="700"/>
      <c r="H120" s="700"/>
      <c r="I120" s="703"/>
      <c r="J120" s="704"/>
      <c r="K120" s="704"/>
      <c r="L120" s="704"/>
      <c r="M120" s="704"/>
      <c r="N120" s="704"/>
      <c r="O120" s="700"/>
    </row>
    <row r="121" spans="1:15" ht="15.75" customHeight="1" x14ac:dyDescent="0.3">
      <c r="A121" s="700"/>
      <c r="B121" s="700"/>
      <c r="C121" s="700"/>
      <c r="D121" s="701"/>
      <c r="E121" s="700"/>
      <c r="F121" s="328"/>
      <c r="G121" s="700"/>
      <c r="H121" s="700"/>
      <c r="I121" s="703"/>
      <c r="J121" s="704"/>
      <c r="K121" s="704"/>
      <c r="L121" s="704"/>
      <c r="M121" s="704"/>
      <c r="N121" s="704"/>
      <c r="O121" s="700"/>
    </row>
    <row r="122" spans="1:15" ht="15.75" customHeight="1" x14ac:dyDescent="0.3">
      <c r="A122" s="700"/>
      <c r="B122" s="700"/>
      <c r="C122" s="700"/>
      <c r="D122" s="701"/>
      <c r="E122" s="700"/>
      <c r="F122" s="328"/>
      <c r="G122" s="700"/>
      <c r="H122" s="700"/>
      <c r="I122" s="703"/>
      <c r="J122" s="704"/>
      <c r="K122" s="704"/>
      <c r="L122" s="704"/>
      <c r="M122" s="704"/>
      <c r="N122" s="704"/>
      <c r="O122" s="700"/>
    </row>
    <row r="123" spans="1:15" ht="15.75" customHeight="1" x14ac:dyDescent="0.3">
      <c r="A123" s="700"/>
      <c r="B123" s="700"/>
      <c r="C123" s="700"/>
      <c r="D123" s="701"/>
      <c r="E123" s="700"/>
      <c r="F123" s="328"/>
      <c r="G123" s="700"/>
      <c r="H123" s="700"/>
      <c r="I123" s="703"/>
      <c r="J123" s="704"/>
      <c r="K123" s="704"/>
      <c r="L123" s="704"/>
      <c r="M123" s="704"/>
      <c r="N123" s="704"/>
      <c r="O123" s="700"/>
    </row>
    <row r="124" spans="1:15" ht="15.75" customHeight="1" x14ac:dyDescent="0.3">
      <c r="A124" s="700"/>
      <c r="B124" s="700"/>
      <c r="C124" s="700"/>
      <c r="D124" s="701"/>
      <c r="E124" s="700"/>
      <c r="F124" s="328"/>
      <c r="G124" s="700"/>
      <c r="H124" s="700"/>
      <c r="I124" s="703"/>
      <c r="J124" s="704"/>
      <c r="K124" s="704"/>
      <c r="L124" s="704"/>
      <c r="M124" s="704"/>
      <c r="N124" s="704"/>
      <c r="O124" s="700"/>
    </row>
    <row r="125" spans="1:15" ht="15.75" customHeight="1" x14ac:dyDescent="0.3">
      <c r="A125" s="700"/>
      <c r="B125" s="700"/>
      <c r="C125" s="700"/>
      <c r="D125" s="701"/>
      <c r="E125" s="700"/>
      <c r="F125" s="328"/>
      <c r="G125" s="700"/>
      <c r="H125" s="700"/>
      <c r="I125" s="703"/>
      <c r="J125" s="704"/>
      <c r="K125" s="704"/>
      <c r="L125" s="704"/>
      <c r="M125" s="704"/>
      <c r="N125" s="704"/>
      <c r="O125" s="700"/>
    </row>
    <row r="126" spans="1:15" ht="15.75" customHeight="1" x14ac:dyDescent="0.3">
      <c r="A126" s="700"/>
      <c r="B126" s="700"/>
      <c r="C126" s="700"/>
      <c r="D126" s="701"/>
      <c r="E126" s="700"/>
      <c r="F126" s="328"/>
      <c r="G126" s="700"/>
      <c r="H126" s="700"/>
      <c r="I126" s="703"/>
      <c r="J126" s="704"/>
      <c r="K126" s="704"/>
      <c r="L126" s="704"/>
      <c r="M126" s="704"/>
      <c r="N126" s="704"/>
      <c r="O126" s="700"/>
    </row>
    <row r="127" spans="1:15" ht="15.75" customHeight="1" x14ac:dyDescent="0.3">
      <c r="A127" s="700"/>
      <c r="B127" s="700"/>
      <c r="C127" s="700"/>
      <c r="D127" s="701"/>
      <c r="E127" s="700"/>
      <c r="F127" s="328"/>
      <c r="G127" s="700"/>
      <c r="H127" s="700"/>
      <c r="I127" s="703"/>
      <c r="J127" s="704"/>
      <c r="K127" s="704"/>
      <c r="L127" s="704"/>
      <c r="M127" s="704"/>
      <c r="N127" s="704"/>
      <c r="O127" s="700"/>
    </row>
    <row r="128" spans="1:15" ht="15.75" customHeight="1" x14ac:dyDescent="0.3">
      <c r="A128" s="700"/>
      <c r="B128" s="700"/>
      <c r="C128" s="700"/>
      <c r="D128" s="701"/>
      <c r="E128" s="700"/>
      <c r="F128" s="328"/>
      <c r="G128" s="700"/>
      <c r="H128" s="700"/>
      <c r="I128" s="703"/>
      <c r="J128" s="704"/>
      <c r="K128" s="704"/>
      <c r="L128" s="704"/>
      <c r="M128" s="704"/>
      <c r="N128" s="704"/>
      <c r="O128" s="700"/>
    </row>
    <row r="129" spans="1:15" ht="15.75" customHeight="1" x14ac:dyDescent="0.3">
      <c r="A129" s="700"/>
      <c r="B129" s="700"/>
      <c r="C129" s="700"/>
      <c r="D129" s="701"/>
      <c r="E129" s="700"/>
      <c r="F129" s="328"/>
      <c r="G129" s="700"/>
      <c r="H129" s="700"/>
      <c r="I129" s="703"/>
      <c r="J129" s="704"/>
      <c r="K129" s="704"/>
      <c r="L129" s="704"/>
      <c r="M129" s="704"/>
      <c r="N129" s="704"/>
      <c r="O129" s="700"/>
    </row>
    <row r="130" spans="1:15" ht="15.75" customHeight="1" x14ac:dyDescent="0.3">
      <c r="A130" s="700"/>
      <c r="B130" s="700"/>
      <c r="C130" s="700"/>
      <c r="D130" s="701"/>
      <c r="E130" s="700"/>
      <c r="F130" s="328"/>
      <c r="G130" s="700"/>
      <c r="H130" s="700"/>
      <c r="I130" s="703"/>
      <c r="J130" s="704"/>
      <c r="K130" s="704"/>
      <c r="L130" s="704"/>
      <c r="M130" s="704"/>
      <c r="N130" s="704"/>
      <c r="O130" s="700"/>
    </row>
    <row r="131" spans="1:15" ht="15.75" customHeight="1" x14ac:dyDescent="0.3">
      <c r="A131" s="700"/>
      <c r="B131" s="700"/>
      <c r="C131" s="700"/>
      <c r="D131" s="701"/>
      <c r="E131" s="700"/>
      <c r="F131" s="328"/>
      <c r="G131" s="700"/>
      <c r="H131" s="700"/>
      <c r="I131" s="703"/>
      <c r="J131" s="704"/>
      <c r="K131" s="704"/>
      <c r="L131" s="704"/>
      <c r="M131" s="704"/>
      <c r="N131" s="704"/>
      <c r="O131" s="700"/>
    </row>
    <row r="132" spans="1:15" ht="15.75" customHeight="1" x14ac:dyDescent="0.3">
      <c r="A132" s="700"/>
      <c r="B132" s="700"/>
      <c r="C132" s="700"/>
      <c r="D132" s="701"/>
      <c r="E132" s="700"/>
      <c r="F132" s="328"/>
      <c r="G132" s="700"/>
      <c r="H132" s="700"/>
      <c r="I132" s="703"/>
      <c r="J132" s="704"/>
      <c r="K132" s="704"/>
      <c r="L132" s="704"/>
      <c r="M132" s="704"/>
      <c r="N132" s="704"/>
      <c r="O132" s="700"/>
    </row>
    <row r="133" spans="1:15" ht="15.75" customHeight="1" x14ac:dyDescent="0.3">
      <c r="A133" s="700"/>
      <c r="B133" s="700"/>
      <c r="C133" s="700"/>
      <c r="D133" s="701"/>
      <c r="E133" s="700"/>
      <c r="F133" s="328"/>
      <c r="G133" s="700"/>
      <c r="H133" s="700"/>
      <c r="I133" s="703"/>
      <c r="J133" s="704"/>
      <c r="K133" s="704"/>
      <c r="L133" s="704"/>
      <c r="M133" s="704"/>
      <c r="N133" s="704"/>
      <c r="O133" s="700"/>
    </row>
    <row r="134" spans="1:15" ht="15.75" customHeight="1" x14ac:dyDescent="0.3">
      <c r="A134" s="700"/>
      <c r="B134" s="700"/>
      <c r="C134" s="700"/>
      <c r="D134" s="701"/>
      <c r="E134" s="700"/>
      <c r="F134" s="328"/>
      <c r="G134" s="700"/>
      <c r="H134" s="700"/>
      <c r="I134" s="703"/>
      <c r="J134" s="704"/>
      <c r="K134" s="704"/>
      <c r="L134" s="704"/>
      <c r="M134" s="704"/>
      <c r="N134" s="704"/>
      <c r="O134" s="700"/>
    </row>
    <row r="135" spans="1:15" ht="15.75" customHeight="1" x14ac:dyDescent="0.3">
      <c r="A135" s="700"/>
      <c r="B135" s="700"/>
      <c r="C135" s="700"/>
      <c r="D135" s="701"/>
      <c r="E135" s="700"/>
      <c r="F135" s="328"/>
      <c r="G135" s="700"/>
      <c r="H135" s="700"/>
      <c r="I135" s="703"/>
      <c r="J135" s="704"/>
      <c r="K135" s="704"/>
      <c r="L135" s="704"/>
      <c r="M135" s="704"/>
      <c r="N135" s="704"/>
      <c r="O135" s="700"/>
    </row>
    <row r="136" spans="1:15" ht="15.75" customHeight="1" x14ac:dyDescent="0.3">
      <c r="A136" s="700"/>
      <c r="B136" s="700"/>
      <c r="C136" s="700"/>
      <c r="D136" s="701"/>
      <c r="E136" s="700"/>
      <c r="F136" s="328"/>
      <c r="G136" s="700"/>
      <c r="H136" s="700"/>
      <c r="I136" s="703"/>
      <c r="J136" s="704"/>
      <c r="K136" s="704"/>
      <c r="L136" s="704"/>
      <c r="M136" s="704"/>
      <c r="N136" s="704"/>
      <c r="O136" s="700"/>
    </row>
    <row r="137" spans="1:15" ht="15.75" customHeight="1" x14ac:dyDescent="0.3">
      <c r="A137" s="700"/>
      <c r="B137" s="700"/>
      <c r="C137" s="700"/>
      <c r="D137" s="701"/>
      <c r="E137" s="700"/>
      <c r="F137" s="328"/>
      <c r="G137" s="700"/>
      <c r="H137" s="700"/>
      <c r="I137" s="703"/>
      <c r="J137" s="704"/>
      <c r="K137" s="704"/>
      <c r="L137" s="704"/>
      <c r="M137" s="704"/>
      <c r="N137" s="704"/>
      <c r="O137" s="700"/>
    </row>
    <row r="138" spans="1:15" ht="15.75" customHeight="1" x14ac:dyDescent="0.3">
      <c r="A138" s="700"/>
      <c r="B138" s="700"/>
      <c r="C138" s="700"/>
      <c r="D138" s="701"/>
      <c r="E138" s="700"/>
      <c r="F138" s="328"/>
      <c r="G138" s="700"/>
      <c r="H138" s="700"/>
      <c r="I138" s="703"/>
      <c r="J138" s="704"/>
      <c r="K138" s="704"/>
      <c r="L138" s="704"/>
      <c r="M138" s="704"/>
      <c r="N138" s="704"/>
      <c r="O138" s="700"/>
    </row>
    <row r="139" spans="1:15" ht="15.75" customHeight="1" x14ac:dyDescent="0.3">
      <c r="A139" s="700"/>
      <c r="B139" s="700"/>
      <c r="C139" s="700"/>
      <c r="D139" s="701"/>
      <c r="E139" s="700"/>
      <c r="F139" s="328"/>
      <c r="G139" s="700"/>
      <c r="H139" s="700"/>
      <c r="I139" s="703"/>
      <c r="J139" s="704"/>
      <c r="K139" s="704"/>
      <c r="L139" s="704"/>
      <c r="M139" s="704"/>
      <c r="N139" s="704"/>
      <c r="O139" s="700"/>
    </row>
    <row r="140" spans="1:15" ht="15.75" customHeight="1" x14ac:dyDescent="0.3">
      <c r="A140" s="700"/>
      <c r="B140" s="700"/>
      <c r="C140" s="700"/>
      <c r="D140" s="701"/>
      <c r="E140" s="700"/>
      <c r="F140" s="328"/>
      <c r="G140" s="700"/>
      <c r="H140" s="700"/>
      <c r="I140" s="703"/>
      <c r="J140" s="704"/>
      <c r="K140" s="704"/>
      <c r="L140" s="704"/>
      <c r="M140" s="704"/>
      <c r="N140" s="704"/>
      <c r="O140" s="700"/>
    </row>
    <row r="141" spans="1:15" ht="15.75" customHeight="1" x14ac:dyDescent="0.3">
      <c r="A141" s="700"/>
      <c r="B141" s="700"/>
      <c r="C141" s="700"/>
      <c r="D141" s="701"/>
      <c r="E141" s="700"/>
      <c r="F141" s="328"/>
      <c r="G141" s="700"/>
      <c r="H141" s="700"/>
      <c r="I141" s="703"/>
      <c r="J141" s="704"/>
      <c r="K141" s="704"/>
      <c r="L141" s="704"/>
      <c r="M141" s="704"/>
      <c r="N141" s="704"/>
      <c r="O141" s="700"/>
    </row>
    <row r="142" spans="1:15" ht="15.75" customHeight="1" x14ac:dyDescent="0.3">
      <c r="A142" s="700"/>
      <c r="B142" s="700"/>
      <c r="C142" s="700"/>
      <c r="D142" s="701"/>
      <c r="E142" s="700"/>
      <c r="F142" s="328"/>
      <c r="G142" s="700"/>
      <c r="H142" s="700"/>
      <c r="I142" s="703"/>
      <c r="J142" s="704"/>
      <c r="K142" s="704"/>
      <c r="L142" s="704"/>
      <c r="M142" s="704"/>
      <c r="N142" s="704"/>
      <c r="O142" s="700"/>
    </row>
    <row r="143" spans="1:15" ht="15.75" customHeight="1" x14ac:dyDescent="0.3">
      <c r="A143" s="700"/>
      <c r="B143" s="700"/>
      <c r="C143" s="700"/>
      <c r="D143" s="701"/>
      <c r="E143" s="700"/>
      <c r="F143" s="328"/>
      <c r="G143" s="700"/>
      <c r="H143" s="700"/>
      <c r="I143" s="703"/>
      <c r="J143" s="704"/>
      <c r="K143" s="704"/>
      <c r="L143" s="704"/>
      <c r="M143" s="704"/>
      <c r="N143" s="704"/>
      <c r="O143" s="700"/>
    </row>
    <row r="144" spans="1:15" ht="15.75" customHeight="1" x14ac:dyDescent="0.3">
      <c r="A144" s="700"/>
      <c r="B144" s="700"/>
      <c r="C144" s="700"/>
      <c r="D144" s="701"/>
      <c r="E144" s="700"/>
      <c r="F144" s="328"/>
      <c r="G144" s="700"/>
      <c r="H144" s="700"/>
      <c r="I144" s="703"/>
      <c r="J144" s="704"/>
      <c r="K144" s="704"/>
      <c r="L144" s="704"/>
      <c r="M144" s="704"/>
      <c r="N144" s="704"/>
      <c r="O144" s="700"/>
    </row>
    <row r="145" spans="1:15" ht="15.75" customHeight="1" x14ac:dyDescent="0.3">
      <c r="A145" s="700"/>
      <c r="B145" s="700"/>
      <c r="C145" s="700"/>
      <c r="D145" s="701"/>
      <c r="E145" s="700"/>
      <c r="F145" s="328"/>
      <c r="G145" s="700"/>
      <c r="H145" s="700"/>
      <c r="I145" s="703"/>
      <c r="J145" s="704"/>
      <c r="K145" s="704"/>
      <c r="L145" s="704"/>
      <c r="M145" s="704"/>
      <c r="N145" s="704"/>
      <c r="O145" s="700"/>
    </row>
    <row r="146" spans="1:15" ht="15.75" customHeight="1" x14ac:dyDescent="0.3">
      <c r="A146" s="700"/>
      <c r="B146" s="700"/>
      <c r="C146" s="700"/>
      <c r="D146" s="701"/>
      <c r="E146" s="700"/>
      <c r="F146" s="328"/>
      <c r="G146" s="700"/>
      <c r="H146" s="700"/>
      <c r="I146" s="703"/>
      <c r="J146" s="704"/>
      <c r="K146" s="704"/>
      <c r="L146" s="704"/>
      <c r="M146" s="704"/>
      <c r="N146" s="704"/>
      <c r="O146" s="700"/>
    </row>
    <row r="147" spans="1:15" ht="15.75" customHeight="1" x14ac:dyDescent="0.3">
      <c r="A147" s="700"/>
      <c r="B147" s="700"/>
      <c r="C147" s="700"/>
      <c r="D147" s="701"/>
      <c r="E147" s="700"/>
      <c r="F147" s="328"/>
      <c r="G147" s="700"/>
      <c r="H147" s="700"/>
      <c r="I147" s="703"/>
      <c r="J147" s="704"/>
      <c r="K147" s="704"/>
      <c r="L147" s="704"/>
      <c r="M147" s="704"/>
      <c r="N147" s="704"/>
      <c r="O147" s="700"/>
    </row>
    <row r="148" spans="1:15" ht="15.75" customHeight="1" x14ac:dyDescent="0.3">
      <c r="A148" s="700"/>
      <c r="B148" s="700"/>
      <c r="C148" s="700"/>
      <c r="D148" s="701"/>
      <c r="E148" s="700"/>
      <c r="F148" s="328"/>
      <c r="G148" s="700"/>
      <c r="H148" s="700"/>
      <c r="I148" s="703"/>
      <c r="J148" s="704"/>
      <c r="K148" s="704"/>
      <c r="L148" s="704"/>
      <c r="M148" s="704"/>
      <c r="N148" s="704"/>
      <c r="O148" s="700"/>
    </row>
    <row r="149" spans="1:15" ht="15.75" customHeight="1" x14ac:dyDescent="0.3">
      <c r="A149" s="700"/>
      <c r="B149" s="700"/>
      <c r="C149" s="700"/>
      <c r="D149" s="701"/>
      <c r="E149" s="700"/>
      <c r="F149" s="328"/>
      <c r="G149" s="700"/>
      <c r="H149" s="700"/>
      <c r="I149" s="703"/>
      <c r="J149" s="704"/>
      <c r="K149" s="704"/>
      <c r="L149" s="704"/>
      <c r="M149" s="704"/>
      <c r="N149" s="704"/>
      <c r="O149" s="700"/>
    </row>
    <row r="150" spans="1:15" ht="15.75" customHeight="1" x14ac:dyDescent="0.3">
      <c r="A150" s="700"/>
      <c r="B150" s="700"/>
      <c r="C150" s="700"/>
      <c r="D150" s="701"/>
      <c r="E150" s="700"/>
      <c r="F150" s="328"/>
      <c r="G150" s="700"/>
      <c r="H150" s="700"/>
      <c r="I150" s="703"/>
      <c r="J150" s="704"/>
      <c r="K150" s="704"/>
      <c r="L150" s="704"/>
      <c r="M150" s="704"/>
      <c r="N150" s="704"/>
      <c r="O150" s="700"/>
    </row>
    <row r="151" spans="1:15" ht="15.75" customHeight="1" x14ac:dyDescent="0.3">
      <c r="A151" s="700"/>
      <c r="B151" s="700"/>
      <c r="C151" s="700"/>
      <c r="D151" s="701"/>
      <c r="E151" s="700"/>
      <c r="F151" s="328"/>
      <c r="G151" s="700"/>
      <c r="H151" s="700"/>
      <c r="I151" s="703"/>
      <c r="J151" s="704"/>
      <c r="K151" s="704"/>
      <c r="L151" s="704"/>
      <c r="M151" s="704"/>
      <c r="N151" s="704"/>
      <c r="O151" s="700"/>
    </row>
    <row r="152" spans="1:15" ht="15.75" customHeight="1" x14ac:dyDescent="0.3">
      <c r="A152" s="700"/>
      <c r="B152" s="700"/>
      <c r="C152" s="700"/>
      <c r="D152" s="701"/>
      <c r="E152" s="700"/>
      <c r="F152" s="328"/>
      <c r="G152" s="700"/>
      <c r="H152" s="700"/>
      <c r="I152" s="703"/>
      <c r="J152" s="704"/>
      <c r="K152" s="704"/>
      <c r="L152" s="704"/>
      <c r="M152" s="704"/>
      <c r="N152" s="704"/>
      <c r="O152" s="700"/>
    </row>
    <row r="153" spans="1:15" ht="15.75" customHeight="1" x14ac:dyDescent="0.3">
      <c r="A153" s="700"/>
      <c r="B153" s="700"/>
      <c r="C153" s="700"/>
      <c r="D153" s="701"/>
      <c r="E153" s="700"/>
      <c r="F153" s="328"/>
      <c r="G153" s="700"/>
      <c r="H153" s="700"/>
      <c r="I153" s="703"/>
      <c r="J153" s="704"/>
      <c r="K153" s="704"/>
      <c r="L153" s="704"/>
      <c r="M153" s="704"/>
      <c r="N153" s="704"/>
      <c r="O153" s="700"/>
    </row>
    <row r="154" spans="1:15" ht="15.75" customHeight="1" x14ac:dyDescent="0.3">
      <c r="A154" s="700"/>
      <c r="B154" s="700"/>
      <c r="C154" s="700"/>
      <c r="D154" s="701"/>
      <c r="E154" s="700"/>
      <c r="F154" s="328"/>
      <c r="G154" s="700"/>
      <c r="H154" s="700"/>
      <c r="I154" s="703"/>
      <c r="J154" s="704"/>
      <c r="K154" s="704"/>
      <c r="L154" s="704"/>
      <c r="M154" s="704"/>
      <c r="N154" s="704"/>
      <c r="O154" s="700"/>
    </row>
    <row r="155" spans="1:15" ht="15.75" customHeight="1" x14ac:dyDescent="0.3">
      <c r="A155" s="700"/>
      <c r="B155" s="700"/>
      <c r="C155" s="700"/>
      <c r="D155" s="701"/>
      <c r="E155" s="700"/>
      <c r="F155" s="328"/>
      <c r="G155" s="700"/>
      <c r="H155" s="700"/>
      <c r="I155" s="703"/>
      <c r="J155" s="704"/>
      <c r="K155" s="704"/>
      <c r="L155" s="704"/>
      <c r="M155" s="704"/>
      <c r="N155" s="704"/>
      <c r="O155" s="700"/>
    </row>
    <row r="156" spans="1:15" ht="15.75" customHeight="1" x14ac:dyDescent="0.3">
      <c r="A156" s="700"/>
      <c r="B156" s="700"/>
      <c r="C156" s="700"/>
      <c r="D156" s="701"/>
      <c r="E156" s="700"/>
      <c r="F156" s="328"/>
      <c r="G156" s="700"/>
      <c r="H156" s="700"/>
      <c r="I156" s="703"/>
      <c r="J156" s="704"/>
      <c r="K156" s="704"/>
      <c r="L156" s="704"/>
      <c r="M156" s="704"/>
      <c r="N156" s="704"/>
      <c r="O156" s="700"/>
    </row>
    <row r="157" spans="1:15" ht="15.75" customHeight="1" x14ac:dyDescent="0.3">
      <c r="A157" s="700"/>
      <c r="B157" s="700"/>
      <c r="C157" s="700"/>
      <c r="D157" s="701"/>
      <c r="E157" s="700"/>
      <c r="F157" s="328"/>
      <c r="G157" s="700"/>
      <c r="H157" s="700"/>
      <c r="I157" s="703"/>
      <c r="J157" s="704"/>
      <c r="K157" s="704"/>
      <c r="L157" s="704"/>
      <c r="M157" s="704"/>
      <c r="N157" s="704"/>
      <c r="O157" s="700"/>
    </row>
    <row r="158" spans="1:15" ht="15.75" customHeight="1" x14ac:dyDescent="0.3">
      <c r="A158" s="700"/>
      <c r="B158" s="700"/>
      <c r="C158" s="700"/>
      <c r="D158" s="701"/>
      <c r="E158" s="700"/>
      <c r="F158" s="328"/>
      <c r="G158" s="700"/>
      <c r="H158" s="700"/>
      <c r="I158" s="703"/>
      <c r="J158" s="704"/>
      <c r="K158" s="704"/>
      <c r="L158" s="704"/>
      <c r="M158" s="704"/>
      <c r="N158" s="704"/>
      <c r="O158" s="700"/>
    </row>
    <row r="159" spans="1:15" ht="15.75" customHeight="1" x14ac:dyDescent="0.3">
      <c r="A159" s="700"/>
      <c r="B159" s="700"/>
      <c r="C159" s="700"/>
      <c r="D159" s="701"/>
      <c r="E159" s="700"/>
      <c r="F159" s="328"/>
      <c r="G159" s="700"/>
      <c r="H159" s="700"/>
      <c r="I159" s="703"/>
      <c r="J159" s="704"/>
      <c r="K159" s="704"/>
      <c r="L159" s="704"/>
      <c r="M159" s="704"/>
      <c r="N159" s="704"/>
      <c r="O159" s="700"/>
    </row>
    <row r="160" spans="1:15" ht="15.75" customHeight="1" x14ac:dyDescent="0.3">
      <c r="A160" s="700"/>
      <c r="B160" s="700"/>
      <c r="C160" s="700"/>
      <c r="D160" s="701"/>
      <c r="E160" s="700"/>
      <c r="F160" s="328"/>
      <c r="G160" s="700"/>
      <c r="H160" s="700"/>
      <c r="I160" s="703"/>
      <c r="J160" s="704"/>
      <c r="K160" s="704"/>
      <c r="L160" s="704"/>
      <c r="M160" s="704"/>
      <c r="N160" s="704"/>
      <c r="O160" s="700"/>
    </row>
    <row r="161" spans="1:15" ht="15.75" customHeight="1" x14ac:dyDescent="0.3">
      <c r="A161" s="700"/>
      <c r="B161" s="700"/>
      <c r="C161" s="700"/>
      <c r="D161" s="701"/>
      <c r="E161" s="700"/>
      <c r="F161" s="328"/>
      <c r="G161" s="700"/>
      <c r="H161" s="700"/>
      <c r="I161" s="703"/>
      <c r="J161" s="704"/>
      <c r="K161" s="704"/>
      <c r="L161" s="704"/>
      <c r="M161" s="704"/>
      <c r="N161" s="704"/>
      <c r="O161" s="700"/>
    </row>
    <row r="162" spans="1:15" ht="15.75" customHeight="1" x14ac:dyDescent="0.3">
      <c r="A162" s="700"/>
      <c r="B162" s="700"/>
      <c r="C162" s="700"/>
      <c r="D162" s="701"/>
      <c r="E162" s="700"/>
      <c r="F162" s="328"/>
      <c r="G162" s="700"/>
      <c r="H162" s="700"/>
      <c r="I162" s="703"/>
      <c r="J162" s="704"/>
      <c r="K162" s="704"/>
      <c r="L162" s="704"/>
      <c r="M162" s="704"/>
      <c r="N162" s="704"/>
      <c r="O162" s="700"/>
    </row>
    <row r="163" spans="1:15" ht="15.75" customHeight="1" x14ac:dyDescent="0.3">
      <c r="A163" s="700"/>
      <c r="B163" s="700"/>
      <c r="C163" s="700"/>
      <c r="D163" s="701"/>
      <c r="E163" s="700"/>
      <c r="F163" s="328"/>
      <c r="G163" s="700"/>
      <c r="H163" s="700"/>
      <c r="I163" s="703"/>
      <c r="J163" s="704"/>
      <c r="K163" s="704"/>
      <c r="L163" s="704"/>
      <c r="M163" s="704"/>
      <c r="N163" s="704"/>
      <c r="O163" s="700"/>
    </row>
    <row r="164" spans="1:15" ht="15.75" customHeight="1" x14ac:dyDescent="0.3">
      <c r="A164" s="700"/>
      <c r="B164" s="700"/>
      <c r="C164" s="700"/>
      <c r="D164" s="701"/>
      <c r="E164" s="700"/>
      <c r="F164" s="328"/>
      <c r="G164" s="700"/>
      <c r="H164" s="700"/>
      <c r="I164" s="703"/>
      <c r="J164" s="704"/>
      <c r="K164" s="704"/>
      <c r="L164" s="704"/>
      <c r="M164" s="704"/>
      <c r="N164" s="704"/>
      <c r="O164" s="700"/>
    </row>
    <row r="165" spans="1:15" ht="15.75" customHeight="1" x14ac:dyDescent="0.3">
      <c r="A165" s="700"/>
      <c r="B165" s="700"/>
      <c r="C165" s="700"/>
      <c r="D165" s="701"/>
      <c r="E165" s="700"/>
      <c r="F165" s="328"/>
      <c r="G165" s="700"/>
      <c r="H165" s="700"/>
      <c r="I165" s="703"/>
      <c r="J165" s="704"/>
      <c r="K165" s="704"/>
      <c r="L165" s="704"/>
      <c r="M165" s="704"/>
      <c r="N165" s="704"/>
      <c r="O165" s="700"/>
    </row>
    <row r="166" spans="1:15" ht="15.75" customHeight="1" x14ac:dyDescent="0.3">
      <c r="A166" s="700"/>
      <c r="B166" s="700"/>
      <c r="C166" s="700"/>
      <c r="D166" s="701"/>
      <c r="E166" s="700"/>
      <c r="F166" s="328"/>
      <c r="G166" s="700"/>
      <c r="H166" s="700"/>
      <c r="I166" s="703"/>
      <c r="J166" s="704"/>
      <c r="K166" s="704"/>
      <c r="L166" s="704"/>
      <c r="M166" s="704"/>
      <c r="N166" s="704"/>
      <c r="O166" s="700"/>
    </row>
    <row r="167" spans="1:15" ht="15.75" customHeight="1" x14ac:dyDescent="0.3">
      <c r="A167" s="700"/>
      <c r="B167" s="700"/>
      <c r="C167" s="700"/>
      <c r="D167" s="701"/>
      <c r="E167" s="700"/>
      <c r="F167" s="328"/>
      <c r="G167" s="700"/>
      <c r="H167" s="700"/>
      <c r="I167" s="703"/>
      <c r="J167" s="704"/>
      <c r="K167" s="704"/>
      <c r="L167" s="704"/>
      <c r="M167" s="704"/>
      <c r="N167" s="704"/>
      <c r="O167" s="700"/>
    </row>
    <row r="168" spans="1:15" ht="15.75" customHeight="1" x14ac:dyDescent="0.3">
      <c r="A168" s="700"/>
      <c r="B168" s="700"/>
      <c r="C168" s="700"/>
      <c r="D168" s="701"/>
      <c r="E168" s="700"/>
      <c r="F168" s="328"/>
      <c r="G168" s="700"/>
      <c r="H168" s="700"/>
      <c r="I168" s="703"/>
      <c r="J168" s="704"/>
      <c r="K168" s="704"/>
      <c r="L168" s="704"/>
      <c r="M168" s="704"/>
      <c r="N168" s="704"/>
      <c r="O168" s="700"/>
    </row>
    <row r="169" spans="1:15" ht="15.75" customHeight="1" x14ac:dyDescent="0.3">
      <c r="A169" s="700"/>
      <c r="B169" s="700"/>
      <c r="C169" s="700"/>
      <c r="D169" s="701"/>
      <c r="E169" s="700"/>
      <c r="F169" s="328"/>
      <c r="G169" s="700"/>
      <c r="H169" s="700"/>
      <c r="I169" s="703"/>
      <c r="J169" s="704"/>
      <c r="K169" s="704"/>
      <c r="L169" s="704"/>
      <c r="M169" s="704"/>
      <c r="N169" s="704"/>
      <c r="O169" s="700"/>
    </row>
    <row r="170" spans="1:15" ht="15.75" customHeight="1" x14ac:dyDescent="0.3">
      <c r="A170" s="700"/>
      <c r="B170" s="700"/>
      <c r="C170" s="700"/>
      <c r="D170" s="701"/>
      <c r="E170" s="700"/>
      <c r="F170" s="328"/>
      <c r="G170" s="700"/>
      <c r="H170" s="700"/>
      <c r="I170" s="703"/>
      <c r="J170" s="704"/>
      <c r="K170" s="704"/>
      <c r="L170" s="704"/>
      <c r="M170" s="704"/>
      <c r="N170" s="704"/>
      <c r="O170" s="700"/>
    </row>
    <row r="171" spans="1:15" ht="15.75" customHeight="1" x14ac:dyDescent="0.3">
      <c r="A171" s="700"/>
      <c r="B171" s="700"/>
      <c r="C171" s="700"/>
      <c r="D171" s="701"/>
      <c r="E171" s="700"/>
      <c r="F171" s="328"/>
      <c r="G171" s="700"/>
      <c r="H171" s="700"/>
      <c r="I171" s="703"/>
      <c r="J171" s="704"/>
      <c r="K171" s="704"/>
      <c r="L171" s="704"/>
      <c r="M171" s="704"/>
      <c r="N171" s="704"/>
      <c r="O171" s="700"/>
    </row>
    <row r="172" spans="1:15" ht="15.75" customHeight="1" x14ac:dyDescent="0.3">
      <c r="A172" s="700"/>
      <c r="B172" s="700"/>
      <c r="C172" s="700"/>
      <c r="D172" s="701"/>
      <c r="E172" s="700"/>
      <c r="F172" s="328"/>
      <c r="G172" s="700"/>
      <c r="H172" s="700"/>
      <c r="I172" s="703"/>
      <c r="J172" s="704"/>
      <c r="K172" s="704"/>
      <c r="L172" s="704"/>
      <c r="M172" s="704"/>
      <c r="N172" s="704"/>
      <c r="O172" s="700"/>
    </row>
    <row r="173" spans="1:15" ht="15.75" customHeight="1" x14ac:dyDescent="0.3">
      <c r="A173" s="700"/>
      <c r="B173" s="700"/>
      <c r="C173" s="700"/>
      <c r="D173" s="701"/>
      <c r="E173" s="700"/>
      <c r="F173" s="328"/>
      <c r="G173" s="700"/>
      <c r="H173" s="700"/>
      <c r="I173" s="703"/>
      <c r="J173" s="704"/>
      <c r="K173" s="704"/>
      <c r="L173" s="704"/>
      <c r="M173" s="704"/>
      <c r="N173" s="704"/>
      <c r="O173" s="700"/>
    </row>
    <row r="174" spans="1:15" ht="15.75" customHeight="1" x14ac:dyDescent="0.3">
      <c r="A174" s="700"/>
      <c r="B174" s="700"/>
      <c r="C174" s="700"/>
      <c r="D174" s="701"/>
      <c r="E174" s="700"/>
      <c r="F174" s="328"/>
      <c r="G174" s="700"/>
      <c r="H174" s="700"/>
      <c r="I174" s="703"/>
      <c r="J174" s="704"/>
      <c r="K174" s="704"/>
      <c r="L174" s="704"/>
      <c r="M174" s="704"/>
      <c r="N174" s="704"/>
      <c r="O174" s="700"/>
    </row>
    <row r="175" spans="1:15" ht="15.75" customHeight="1" x14ac:dyDescent="0.3">
      <c r="A175" s="700"/>
      <c r="B175" s="700"/>
      <c r="C175" s="700"/>
      <c r="D175" s="701"/>
      <c r="E175" s="700"/>
      <c r="F175" s="328"/>
      <c r="G175" s="700"/>
      <c r="H175" s="700"/>
      <c r="I175" s="703"/>
      <c r="J175" s="704"/>
      <c r="K175" s="704"/>
      <c r="L175" s="704"/>
      <c r="M175" s="704"/>
      <c r="N175" s="704"/>
      <c r="O175" s="700"/>
    </row>
    <row r="176" spans="1:15" ht="15.75" customHeight="1" x14ac:dyDescent="0.3">
      <c r="A176" s="700"/>
      <c r="B176" s="700"/>
      <c r="C176" s="700"/>
      <c r="D176" s="701"/>
      <c r="E176" s="700"/>
      <c r="F176" s="328"/>
      <c r="G176" s="700"/>
      <c r="H176" s="700"/>
      <c r="I176" s="703"/>
      <c r="J176" s="704"/>
      <c r="K176" s="704"/>
      <c r="L176" s="704"/>
      <c r="M176" s="704"/>
      <c r="N176" s="704"/>
      <c r="O176" s="700"/>
    </row>
    <row r="177" spans="1:15" ht="15.75" customHeight="1" x14ac:dyDescent="0.3">
      <c r="A177" s="700"/>
      <c r="B177" s="700"/>
      <c r="C177" s="700"/>
      <c r="D177" s="701"/>
      <c r="E177" s="700"/>
      <c r="F177" s="328"/>
      <c r="G177" s="700"/>
      <c r="H177" s="700"/>
      <c r="I177" s="703"/>
      <c r="J177" s="704"/>
      <c r="K177" s="704"/>
      <c r="L177" s="704"/>
      <c r="M177" s="704"/>
      <c r="N177" s="704"/>
      <c r="O177" s="700"/>
    </row>
    <row r="178" spans="1:15" ht="15.75" customHeight="1" x14ac:dyDescent="0.3">
      <c r="A178" s="700"/>
      <c r="B178" s="700"/>
      <c r="C178" s="700"/>
      <c r="D178" s="701"/>
      <c r="E178" s="700"/>
      <c r="F178" s="328"/>
      <c r="G178" s="700"/>
      <c r="H178" s="700"/>
      <c r="I178" s="703"/>
      <c r="J178" s="704"/>
      <c r="K178" s="704"/>
      <c r="L178" s="704"/>
      <c r="M178" s="704"/>
      <c r="N178" s="704"/>
      <c r="O178" s="700"/>
    </row>
    <row r="179" spans="1:15" ht="15.75" customHeight="1" x14ac:dyDescent="0.3">
      <c r="A179" s="700"/>
      <c r="B179" s="700"/>
      <c r="C179" s="700"/>
      <c r="D179" s="701"/>
      <c r="E179" s="700"/>
      <c r="F179" s="328"/>
      <c r="G179" s="700"/>
      <c r="H179" s="700"/>
      <c r="I179" s="703"/>
      <c r="J179" s="704"/>
      <c r="K179" s="704"/>
      <c r="L179" s="704"/>
      <c r="M179" s="704"/>
      <c r="N179" s="704"/>
      <c r="O179" s="700"/>
    </row>
    <row r="180" spans="1:15" ht="15.75" customHeight="1" x14ac:dyDescent="0.3">
      <c r="A180" s="700"/>
      <c r="B180" s="700"/>
      <c r="C180" s="700"/>
      <c r="D180" s="701"/>
      <c r="E180" s="700"/>
      <c r="F180" s="328"/>
      <c r="G180" s="700"/>
      <c r="H180" s="700"/>
      <c r="I180" s="703"/>
      <c r="J180" s="704"/>
      <c r="K180" s="704"/>
      <c r="L180" s="704"/>
      <c r="M180" s="704"/>
      <c r="N180" s="704"/>
      <c r="O180" s="700"/>
    </row>
    <row r="181" spans="1:15" ht="15.75" customHeight="1" x14ac:dyDescent="0.3">
      <c r="A181" s="700"/>
      <c r="B181" s="700"/>
      <c r="C181" s="700"/>
      <c r="D181" s="701"/>
      <c r="E181" s="700"/>
      <c r="F181" s="328"/>
      <c r="G181" s="700"/>
      <c r="H181" s="700"/>
      <c r="I181" s="703"/>
      <c r="J181" s="704"/>
      <c r="K181" s="704"/>
      <c r="L181" s="704"/>
      <c r="M181" s="704"/>
      <c r="N181" s="704"/>
      <c r="O181" s="700"/>
    </row>
    <row r="182" spans="1:15" ht="15.75" customHeight="1" x14ac:dyDescent="0.3">
      <c r="A182" s="700"/>
      <c r="B182" s="700"/>
      <c r="C182" s="700"/>
      <c r="D182" s="701"/>
      <c r="E182" s="700"/>
      <c r="F182" s="328"/>
      <c r="G182" s="700"/>
      <c r="H182" s="700"/>
      <c r="I182" s="703"/>
      <c r="J182" s="704"/>
      <c r="K182" s="704"/>
      <c r="L182" s="704"/>
      <c r="M182" s="704"/>
      <c r="N182" s="704"/>
      <c r="O182" s="700"/>
    </row>
    <row r="183" spans="1:15" ht="15.75" customHeight="1" x14ac:dyDescent="0.3">
      <c r="A183" s="700"/>
      <c r="B183" s="700"/>
      <c r="C183" s="700"/>
      <c r="D183" s="701"/>
      <c r="E183" s="700"/>
      <c r="F183" s="328"/>
      <c r="G183" s="700"/>
      <c r="H183" s="700"/>
      <c r="I183" s="703"/>
      <c r="J183" s="704"/>
      <c r="K183" s="704"/>
      <c r="L183" s="704"/>
      <c r="M183" s="704"/>
      <c r="N183" s="704"/>
      <c r="O183" s="700"/>
    </row>
    <row r="184" spans="1:15" ht="15.75" customHeight="1" x14ac:dyDescent="0.3">
      <c r="A184" s="700"/>
      <c r="B184" s="700"/>
      <c r="C184" s="700"/>
      <c r="D184" s="701"/>
      <c r="E184" s="700"/>
      <c r="F184" s="328"/>
      <c r="G184" s="700"/>
      <c r="H184" s="700"/>
      <c r="I184" s="703"/>
      <c r="J184" s="704"/>
      <c r="K184" s="704"/>
      <c r="L184" s="704"/>
      <c r="M184" s="704"/>
      <c r="N184" s="704"/>
      <c r="O184" s="700"/>
    </row>
    <row r="185" spans="1:15" ht="15.75" customHeight="1" x14ac:dyDescent="0.3">
      <c r="A185" s="700"/>
      <c r="B185" s="700"/>
      <c r="C185" s="700"/>
      <c r="D185" s="701"/>
      <c r="E185" s="700"/>
      <c r="F185" s="328"/>
      <c r="G185" s="700"/>
      <c r="H185" s="700"/>
      <c r="I185" s="703"/>
      <c r="J185" s="704"/>
      <c r="K185" s="704"/>
      <c r="L185" s="704"/>
      <c r="M185" s="704"/>
      <c r="N185" s="704"/>
      <c r="O185" s="700"/>
    </row>
    <row r="186" spans="1:15" ht="15.75" customHeight="1" x14ac:dyDescent="0.3">
      <c r="A186" s="700"/>
      <c r="B186" s="700"/>
      <c r="C186" s="700"/>
      <c r="D186" s="701"/>
      <c r="E186" s="700"/>
      <c r="F186" s="328"/>
      <c r="G186" s="700"/>
      <c r="H186" s="700"/>
      <c r="I186" s="703"/>
      <c r="J186" s="704"/>
      <c r="K186" s="704"/>
      <c r="L186" s="704"/>
      <c r="M186" s="704"/>
      <c r="N186" s="704"/>
      <c r="O186" s="700"/>
    </row>
    <row r="187" spans="1:15" ht="15.75" customHeight="1" x14ac:dyDescent="0.3">
      <c r="A187" s="700"/>
      <c r="B187" s="700"/>
      <c r="C187" s="700"/>
      <c r="D187" s="701"/>
      <c r="E187" s="700"/>
      <c r="F187" s="328"/>
      <c r="G187" s="700"/>
      <c r="H187" s="700"/>
      <c r="I187" s="703"/>
      <c r="J187" s="704"/>
      <c r="K187" s="704"/>
      <c r="L187" s="704"/>
      <c r="M187" s="704"/>
      <c r="N187" s="704"/>
      <c r="O187" s="700"/>
    </row>
    <row r="188" spans="1:15" ht="15.75" customHeight="1" x14ac:dyDescent="0.3">
      <c r="A188" s="700"/>
      <c r="B188" s="700"/>
      <c r="C188" s="700"/>
      <c r="D188" s="701"/>
      <c r="E188" s="700"/>
      <c r="F188" s="328"/>
      <c r="G188" s="700"/>
      <c r="H188" s="700"/>
      <c r="I188" s="703"/>
      <c r="J188" s="704"/>
      <c r="K188" s="704"/>
      <c r="L188" s="704"/>
      <c r="M188" s="704"/>
      <c r="N188" s="704"/>
      <c r="O188" s="700"/>
    </row>
    <row r="189" spans="1:15" ht="15.75" customHeight="1" x14ac:dyDescent="0.3">
      <c r="A189" s="700"/>
      <c r="B189" s="700"/>
      <c r="C189" s="700"/>
      <c r="D189" s="701"/>
      <c r="E189" s="700"/>
      <c r="F189" s="328"/>
      <c r="G189" s="700"/>
      <c r="H189" s="700"/>
      <c r="I189" s="703"/>
      <c r="J189" s="704"/>
      <c r="K189" s="704"/>
      <c r="L189" s="704"/>
      <c r="M189" s="704"/>
      <c r="N189" s="704"/>
      <c r="O189" s="700"/>
    </row>
    <row r="190" spans="1:15" ht="15.75" customHeight="1" x14ac:dyDescent="0.3">
      <c r="A190" s="700"/>
      <c r="B190" s="700"/>
      <c r="C190" s="700"/>
      <c r="D190" s="701"/>
      <c r="E190" s="700"/>
      <c r="F190" s="328"/>
      <c r="G190" s="700"/>
      <c r="H190" s="700"/>
      <c r="I190" s="703"/>
      <c r="J190" s="704"/>
      <c r="K190" s="704"/>
      <c r="L190" s="704"/>
      <c r="M190" s="704"/>
      <c r="N190" s="704"/>
      <c r="O190" s="700"/>
    </row>
    <row r="191" spans="1:15" ht="15.75" customHeight="1" x14ac:dyDescent="0.3">
      <c r="A191" s="700"/>
      <c r="B191" s="700"/>
      <c r="C191" s="700"/>
      <c r="D191" s="701"/>
      <c r="E191" s="700"/>
      <c r="F191" s="328"/>
      <c r="G191" s="700"/>
      <c r="H191" s="700"/>
      <c r="I191" s="703"/>
      <c r="J191" s="704"/>
      <c r="K191" s="704"/>
      <c r="L191" s="704"/>
      <c r="M191" s="704"/>
      <c r="N191" s="704"/>
      <c r="O191" s="700"/>
    </row>
    <row r="192" spans="1:15" ht="15.75" customHeight="1" x14ac:dyDescent="0.3">
      <c r="A192" s="700"/>
      <c r="B192" s="700"/>
      <c r="C192" s="700"/>
      <c r="D192" s="701"/>
      <c r="E192" s="700"/>
      <c r="F192" s="328"/>
      <c r="G192" s="700"/>
      <c r="H192" s="700"/>
      <c r="I192" s="703"/>
      <c r="J192" s="704"/>
      <c r="K192" s="704"/>
      <c r="L192" s="704"/>
      <c r="M192" s="704"/>
      <c r="N192" s="704"/>
      <c r="O192" s="700"/>
    </row>
    <row r="193" spans="1:15" ht="15.75" customHeight="1" x14ac:dyDescent="0.3">
      <c r="A193" s="700"/>
      <c r="B193" s="700"/>
      <c r="C193" s="700"/>
      <c r="D193" s="701"/>
      <c r="E193" s="700"/>
      <c r="F193" s="328"/>
      <c r="G193" s="700"/>
      <c r="H193" s="700"/>
      <c r="I193" s="703"/>
      <c r="J193" s="704"/>
      <c r="K193" s="704"/>
      <c r="L193" s="704"/>
      <c r="M193" s="704"/>
      <c r="N193" s="704"/>
      <c r="O193" s="700"/>
    </row>
    <row r="194" spans="1:15" ht="15.75" customHeight="1" x14ac:dyDescent="0.3">
      <c r="A194" s="700"/>
      <c r="B194" s="700"/>
      <c r="C194" s="700"/>
      <c r="D194" s="701"/>
      <c r="E194" s="700"/>
      <c r="F194" s="328"/>
      <c r="G194" s="700"/>
      <c r="H194" s="700"/>
      <c r="I194" s="703"/>
      <c r="J194" s="704"/>
      <c r="K194" s="704"/>
      <c r="L194" s="704"/>
      <c r="M194" s="704"/>
      <c r="N194" s="704"/>
      <c r="O194" s="700"/>
    </row>
    <row r="195" spans="1:15" ht="15.75" customHeight="1" x14ac:dyDescent="0.3">
      <c r="A195" s="700"/>
      <c r="B195" s="700"/>
      <c r="C195" s="700"/>
      <c r="D195" s="701"/>
      <c r="E195" s="700"/>
      <c r="F195" s="328"/>
      <c r="G195" s="700"/>
      <c r="H195" s="700"/>
      <c r="I195" s="703"/>
      <c r="J195" s="704"/>
      <c r="K195" s="704"/>
      <c r="L195" s="704"/>
      <c r="M195" s="704"/>
      <c r="N195" s="704"/>
      <c r="O195" s="700"/>
    </row>
    <row r="196" spans="1:15" ht="15.75" customHeight="1" x14ac:dyDescent="0.3">
      <c r="A196" s="700"/>
      <c r="B196" s="700"/>
      <c r="C196" s="700"/>
      <c r="D196" s="701"/>
      <c r="E196" s="700"/>
      <c r="F196" s="328"/>
      <c r="G196" s="700"/>
      <c r="H196" s="700"/>
      <c r="I196" s="703"/>
      <c r="J196" s="704"/>
      <c r="K196" s="704"/>
      <c r="L196" s="704"/>
      <c r="M196" s="704"/>
      <c r="N196" s="704"/>
      <c r="O196" s="700"/>
    </row>
    <row r="197" spans="1:15" ht="15.75" customHeight="1" x14ac:dyDescent="0.3">
      <c r="A197" s="700"/>
      <c r="B197" s="700"/>
      <c r="C197" s="700"/>
      <c r="D197" s="701"/>
      <c r="E197" s="700"/>
      <c r="F197" s="328"/>
      <c r="G197" s="700"/>
      <c r="H197" s="700"/>
      <c r="I197" s="703"/>
      <c r="J197" s="704"/>
      <c r="K197" s="704"/>
      <c r="L197" s="704"/>
      <c r="M197" s="704"/>
      <c r="N197" s="704"/>
      <c r="O197" s="700"/>
    </row>
    <row r="198" spans="1:15" ht="15.75" customHeight="1" x14ac:dyDescent="0.3">
      <c r="A198" s="700"/>
      <c r="B198" s="700"/>
      <c r="C198" s="700"/>
      <c r="D198" s="701"/>
      <c r="E198" s="700"/>
      <c r="F198" s="328"/>
      <c r="G198" s="700"/>
      <c r="H198" s="700"/>
      <c r="I198" s="703"/>
      <c r="J198" s="704"/>
      <c r="K198" s="704"/>
      <c r="L198" s="704"/>
      <c r="M198" s="704"/>
      <c r="N198" s="704"/>
      <c r="O198" s="700"/>
    </row>
    <row r="199" spans="1:15" ht="15.75" customHeight="1" x14ac:dyDescent="0.3">
      <c r="A199" s="700"/>
      <c r="B199" s="700"/>
      <c r="C199" s="700"/>
      <c r="D199" s="701"/>
      <c r="E199" s="700"/>
      <c r="F199" s="328"/>
      <c r="G199" s="700"/>
      <c r="H199" s="700"/>
      <c r="I199" s="703"/>
      <c r="J199" s="704"/>
      <c r="K199" s="704"/>
      <c r="L199" s="704"/>
      <c r="M199" s="704"/>
      <c r="N199" s="704"/>
      <c r="O199" s="700"/>
    </row>
    <row r="200" spans="1:15" ht="15.75" customHeight="1" x14ac:dyDescent="0.3">
      <c r="A200" s="700"/>
      <c r="B200" s="700"/>
      <c r="C200" s="700"/>
      <c r="D200" s="701"/>
      <c r="E200" s="700"/>
      <c r="F200" s="328"/>
      <c r="G200" s="700"/>
      <c r="H200" s="700"/>
      <c r="I200" s="703"/>
      <c r="J200" s="704"/>
      <c r="K200" s="704"/>
      <c r="L200" s="704"/>
      <c r="M200" s="704"/>
      <c r="N200" s="704"/>
      <c r="O200" s="700"/>
    </row>
    <row r="201" spans="1:15" ht="15.75" customHeight="1" x14ac:dyDescent="0.3">
      <c r="A201" s="700"/>
      <c r="B201" s="700"/>
      <c r="C201" s="700"/>
      <c r="D201" s="701"/>
      <c r="E201" s="700"/>
      <c r="F201" s="328"/>
      <c r="G201" s="700"/>
      <c r="H201" s="700"/>
      <c r="I201" s="703"/>
      <c r="J201" s="704"/>
      <c r="K201" s="704"/>
      <c r="L201" s="704"/>
      <c r="M201" s="704"/>
      <c r="N201" s="704"/>
      <c r="O201" s="700"/>
    </row>
    <row r="202" spans="1:15" ht="15.75" customHeight="1" x14ac:dyDescent="0.3">
      <c r="A202" s="700"/>
      <c r="B202" s="700"/>
      <c r="C202" s="700"/>
      <c r="D202" s="701"/>
      <c r="E202" s="700"/>
      <c r="F202" s="328"/>
      <c r="G202" s="700"/>
      <c r="H202" s="700"/>
      <c r="I202" s="703"/>
      <c r="J202" s="704"/>
      <c r="K202" s="704"/>
      <c r="L202" s="704"/>
      <c r="M202" s="704"/>
      <c r="N202" s="704"/>
      <c r="O202" s="700"/>
    </row>
    <row r="203" spans="1:15" ht="15.75" customHeight="1" x14ac:dyDescent="0.3">
      <c r="A203" s="700"/>
      <c r="B203" s="700"/>
      <c r="C203" s="700"/>
      <c r="D203" s="701"/>
      <c r="E203" s="700"/>
      <c r="F203" s="328"/>
      <c r="G203" s="700"/>
      <c r="H203" s="700"/>
      <c r="I203" s="703"/>
      <c r="J203" s="704"/>
      <c r="K203" s="704"/>
      <c r="L203" s="704"/>
      <c r="M203" s="704"/>
      <c r="N203" s="704"/>
      <c r="O203" s="700"/>
    </row>
    <row r="204" spans="1:15" ht="15.75" customHeight="1" x14ac:dyDescent="0.3">
      <c r="A204" s="700"/>
      <c r="B204" s="700"/>
      <c r="C204" s="700"/>
      <c r="D204" s="701"/>
      <c r="E204" s="700"/>
      <c r="F204" s="328"/>
      <c r="G204" s="700"/>
      <c r="H204" s="700"/>
      <c r="I204" s="703"/>
      <c r="J204" s="704"/>
      <c r="K204" s="704"/>
      <c r="L204" s="704"/>
      <c r="M204" s="704"/>
      <c r="N204" s="704"/>
      <c r="O204" s="700"/>
    </row>
    <row r="205" spans="1:15" ht="15.75" customHeight="1" x14ac:dyDescent="0.3">
      <c r="A205" s="700"/>
      <c r="B205" s="700"/>
      <c r="C205" s="700"/>
      <c r="D205" s="701"/>
      <c r="E205" s="700"/>
      <c r="F205" s="328"/>
      <c r="G205" s="700"/>
      <c r="H205" s="700"/>
      <c r="I205" s="703"/>
      <c r="J205" s="704"/>
      <c r="K205" s="704"/>
      <c r="L205" s="704"/>
      <c r="M205" s="704"/>
      <c r="N205" s="704"/>
      <c r="O205" s="700"/>
    </row>
    <row r="206" spans="1:15" ht="15.75" customHeight="1" x14ac:dyDescent="0.3">
      <c r="A206" s="700"/>
      <c r="B206" s="700"/>
      <c r="C206" s="700"/>
      <c r="D206" s="701"/>
      <c r="E206" s="700"/>
      <c r="F206" s="328"/>
      <c r="G206" s="700"/>
      <c r="H206" s="700"/>
      <c r="I206" s="703"/>
      <c r="J206" s="704"/>
      <c r="K206" s="704"/>
      <c r="L206" s="704"/>
      <c r="M206" s="704"/>
      <c r="N206" s="704"/>
      <c r="O206" s="700"/>
    </row>
    <row r="207" spans="1:15" ht="15.75" customHeight="1" x14ac:dyDescent="0.3">
      <c r="A207" s="700"/>
      <c r="B207" s="700"/>
      <c r="C207" s="700"/>
      <c r="D207" s="701"/>
      <c r="E207" s="700"/>
      <c r="F207" s="328"/>
      <c r="G207" s="700"/>
      <c r="H207" s="700"/>
      <c r="I207" s="703"/>
      <c r="J207" s="704"/>
      <c r="K207" s="704"/>
      <c r="L207" s="704"/>
      <c r="M207" s="704"/>
      <c r="N207" s="704"/>
      <c r="O207" s="700"/>
    </row>
    <row r="208" spans="1:15" ht="15.75" customHeight="1" x14ac:dyDescent="0.3">
      <c r="A208" s="700"/>
      <c r="B208" s="700"/>
      <c r="C208" s="700"/>
      <c r="D208" s="701"/>
      <c r="E208" s="700"/>
      <c r="F208" s="328"/>
      <c r="G208" s="700"/>
      <c r="H208" s="700"/>
      <c r="I208" s="703"/>
      <c r="J208" s="704"/>
      <c r="K208" s="704"/>
      <c r="L208" s="704"/>
      <c r="M208" s="704"/>
      <c r="N208" s="704"/>
      <c r="O208" s="700"/>
    </row>
    <row r="209" spans="1:15" ht="15.75" customHeight="1" x14ac:dyDescent="0.3">
      <c r="A209" s="700"/>
      <c r="B209" s="700"/>
      <c r="C209" s="700"/>
      <c r="D209" s="701"/>
      <c r="E209" s="700"/>
      <c r="F209" s="328"/>
      <c r="G209" s="700"/>
      <c r="H209" s="700"/>
      <c r="I209" s="703"/>
      <c r="J209" s="704"/>
      <c r="K209" s="704"/>
      <c r="L209" s="704"/>
      <c r="M209" s="704"/>
      <c r="N209" s="704"/>
      <c r="O209" s="700"/>
    </row>
    <row r="210" spans="1:15" ht="15.75" customHeight="1" x14ac:dyDescent="0.3">
      <c r="A210" s="700"/>
      <c r="B210" s="700"/>
      <c r="C210" s="700"/>
      <c r="D210" s="701"/>
      <c r="E210" s="700"/>
      <c r="F210" s="328"/>
      <c r="G210" s="700"/>
      <c r="H210" s="700"/>
      <c r="I210" s="703"/>
      <c r="J210" s="704"/>
      <c r="K210" s="704"/>
      <c r="L210" s="704"/>
      <c r="M210" s="704"/>
      <c r="N210" s="704"/>
      <c r="O210" s="700"/>
    </row>
    <row r="211" spans="1:15" ht="15.75" customHeight="1" x14ac:dyDescent="0.3">
      <c r="A211" s="700"/>
      <c r="B211" s="700"/>
      <c r="C211" s="700"/>
      <c r="D211" s="701"/>
      <c r="E211" s="700"/>
      <c r="F211" s="328"/>
      <c r="G211" s="700"/>
      <c r="H211" s="700"/>
      <c r="I211" s="703"/>
      <c r="J211" s="704"/>
      <c r="K211" s="704"/>
      <c r="L211" s="704"/>
      <c r="M211" s="704"/>
      <c r="N211" s="704"/>
      <c r="O211" s="700"/>
    </row>
    <row r="212" spans="1:15" ht="15.75" customHeight="1" x14ac:dyDescent="0.3">
      <c r="A212" s="700"/>
      <c r="B212" s="700"/>
      <c r="C212" s="700"/>
      <c r="D212" s="701"/>
      <c r="E212" s="700"/>
      <c r="F212" s="328"/>
      <c r="G212" s="700"/>
      <c r="H212" s="700"/>
      <c r="I212" s="703"/>
      <c r="J212" s="704"/>
      <c r="K212" s="704"/>
      <c r="L212" s="704"/>
      <c r="M212" s="704"/>
      <c r="N212" s="704"/>
      <c r="O212" s="700"/>
    </row>
    <row r="213" spans="1:15" ht="15.75" customHeight="1" x14ac:dyDescent="0.3">
      <c r="A213" s="700"/>
      <c r="B213" s="700"/>
      <c r="C213" s="700"/>
      <c r="D213" s="701"/>
      <c r="E213" s="700"/>
      <c r="F213" s="328"/>
      <c r="G213" s="700"/>
      <c r="H213" s="700"/>
      <c r="I213" s="703"/>
      <c r="J213" s="704"/>
      <c r="K213" s="704"/>
      <c r="L213" s="704"/>
      <c r="M213" s="704"/>
      <c r="N213" s="704"/>
      <c r="O213" s="700"/>
    </row>
    <row r="214" spans="1:15" ht="15.75" customHeight="1" x14ac:dyDescent="0.3">
      <c r="A214" s="700"/>
      <c r="B214" s="700"/>
      <c r="C214" s="700"/>
      <c r="D214" s="701"/>
      <c r="E214" s="700"/>
      <c r="F214" s="328"/>
      <c r="G214" s="700"/>
      <c r="H214" s="700"/>
      <c r="I214" s="703"/>
      <c r="J214" s="704"/>
      <c r="K214" s="704"/>
      <c r="L214" s="704"/>
      <c r="M214" s="704"/>
      <c r="N214" s="704"/>
      <c r="O214" s="700"/>
    </row>
    <row r="215" spans="1:15" ht="15.75" customHeight="1" x14ac:dyDescent="0.3">
      <c r="A215" s="700"/>
      <c r="B215" s="700"/>
      <c r="C215" s="700"/>
      <c r="D215" s="701"/>
      <c r="E215" s="700"/>
      <c r="F215" s="328"/>
      <c r="G215" s="700"/>
      <c r="H215" s="700"/>
      <c r="I215" s="703"/>
      <c r="J215" s="704"/>
      <c r="K215" s="704"/>
      <c r="L215" s="704"/>
      <c r="M215" s="704"/>
      <c r="N215" s="704"/>
      <c r="O215" s="700"/>
    </row>
    <row r="216" spans="1:15" ht="15.75" customHeight="1" x14ac:dyDescent="0.3">
      <c r="A216" s="700"/>
      <c r="B216" s="700"/>
      <c r="C216" s="700"/>
      <c r="D216" s="701"/>
      <c r="E216" s="700"/>
      <c r="F216" s="328"/>
      <c r="G216" s="700"/>
      <c r="H216" s="700"/>
      <c r="I216" s="703"/>
      <c r="J216" s="704"/>
      <c r="K216" s="704"/>
      <c r="L216" s="704"/>
      <c r="M216" s="704"/>
      <c r="N216" s="704"/>
      <c r="O216" s="700"/>
    </row>
    <row r="217" spans="1:15" ht="15.75" customHeight="1" x14ac:dyDescent="0.3">
      <c r="A217" s="700"/>
      <c r="B217" s="700"/>
      <c r="C217" s="700"/>
      <c r="D217" s="701"/>
      <c r="E217" s="700"/>
      <c r="F217" s="328"/>
      <c r="G217" s="700"/>
      <c r="H217" s="700"/>
      <c r="I217" s="703"/>
      <c r="J217" s="704"/>
      <c r="K217" s="704"/>
      <c r="L217" s="704"/>
      <c r="M217" s="704"/>
      <c r="N217" s="704"/>
      <c r="O217" s="700"/>
    </row>
    <row r="218" spans="1:15" ht="15.75" customHeight="1" x14ac:dyDescent="0.3">
      <c r="A218" s="700"/>
      <c r="B218" s="700"/>
      <c r="C218" s="700"/>
      <c r="D218" s="701"/>
      <c r="E218" s="700"/>
      <c r="F218" s="328"/>
      <c r="G218" s="700"/>
      <c r="H218" s="700"/>
      <c r="I218" s="703"/>
      <c r="J218" s="704"/>
      <c r="K218" s="704"/>
      <c r="L218" s="704"/>
      <c r="M218" s="704"/>
      <c r="N218" s="704"/>
      <c r="O218" s="700"/>
    </row>
    <row r="219" spans="1:15" ht="15.75" customHeight="1" x14ac:dyDescent="0.3">
      <c r="A219" s="700"/>
      <c r="B219" s="700"/>
      <c r="C219" s="700"/>
      <c r="D219" s="701"/>
      <c r="E219" s="700"/>
      <c r="F219" s="328"/>
      <c r="G219" s="700"/>
      <c r="H219" s="700"/>
      <c r="I219" s="703"/>
      <c r="J219" s="704"/>
      <c r="K219" s="704"/>
      <c r="L219" s="704"/>
      <c r="M219" s="704"/>
      <c r="N219" s="704"/>
      <c r="O219" s="700"/>
    </row>
    <row r="220" spans="1:15" ht="15.75" customHeight="1" x14ac:dyDescent="0.3">
      <c r="A220" s="700"/>
      <c r="B220" s="700"/>
      <c r="C220" s="700"/>
      <c r="D220" s="701"/>
      <c r="E220" s="700"/>
      <c r="F220" s="328"/>
      <c r="G220" s="700"/>
      <c r="H220" s="700"/>
      <c r="I220" s="703"/>
      <c r="J220" s="704"/>
      <c r="K220" s="704"/>
      <c r="L220" s="704"/>
      <c r="M220" s="704"/>
      <c r="N220" s="704"/>
      <c r="O220" s="700"/>
    </row>
    <row r="221" spans="1:15" ht="15.75" customHeight="1" x14ac:dyDescent="0.3">
      <c r="A221" s="700"/>
      <c r="B221" s="700"/>
      <c r="C221" s="700"/>
      <c r="D221" s="701"/>
      <c r="E221" s="700"/>
      <c r="F221" s="328"/>
      <c r="G221" s="700"/>
      <c r="H221" s="700"/>
      <c r="I221" s="703"/>
      <c r="J221" s="704"/>
      <c r="K221" s="704"/>
      <c r="L221" s="704"/>
      <c r="M221" s="704"/>
      <c r="N221" s="704"/>
      <c r="O221" s="700"/>
    </row>
    <row r="222" spans="1:15" ht="15.75" customHeight="1" x14ac:dyDescent="0.3">
      <c r="A222" s="700"/>
      <c r="B222" s="700"/>
      <c r="C222" s="700"/>
      <c r="D222" s="701"/>
      <c r="E222" s="700"/>
      <c r="F222" s="328"/>
      <c r="G222" s="700"/>
      <c r="H222" s="700"/>
      <c r="I222" s="703"/>
      <c r="J222" s="704"/>
      <c r="K222" s="704"/>
      <c r="L222" s="704"/>
      <c r="M222" s="704"/>
      <c r="N222" s="704"/>
      <c r="O222" s="700"/>
    </row>
    <row r="223" spans="1:15" ht="15.75" customHeight="1" x14ac:dyDescent="0.3">
      <c r="A223" s="700"/>
      <c r="B223" s="700"/>
      <c r="C223" s="700"/>
      <c r="D223" s="701"/>
      <c r="E223" s="700"/>
      <c r="F223" s="328"/>
      <c r="G223" s="700"/>
      <c r="H223" s="700"/>
      <c r="I223" s="703"/>
      <c r="J223" s="704"/>
      <c r="K223" s="704"/>
      <c r="L223" s="704"/>
      <c r="M223" s="704"/>
      <c r="N223" s="704"/>
      <c r="O223" s="700"/>
    </row>
    <row r="224" spans="1:15" ht="15.75" customHeight="1" x14ac:dyDescent="0.3">
      <c r="A224" s="700"/>
      <c r="B224" s="700"/>
      <c r="C224" s="700"/>
      <c r="D224" s="701"/>
      <c r="E224" s="700"/>
      <c r="F224" s="328"/>
      <c r="G224" s="700"/>
      <c r="H224" s="700"/>
      <c r="I224" s="703"/>
      <c r="J224" s="704"/>
      <c r="K224" s="704"/>
      <c r="L224" s="704"/>
      <c r="M224" s="704"/>
      <c r="N224" s="704"/>
      <c r="O224" s="700"/>
    </row>
    <row r="225" spans="1:15" ht="15.75" customHeight="1" x14ac:dyDescent="0.3">
      <c r="A225" s="700"/>
      <c r="B225" s="700"/>
      <c r="C225" s="700"/>
      <c r="D225" s="701"/>
      <c r="E225" s="700"/>
      <c r="F225" s="328"/>
      <c r="G225" s="700"/>
      <c r="H225" s="700"/>
      <c r="I225" s="703"/>
      <c r="J225" s="704"/>
      <c r="K225" s="704"/>
      <c r="L225" s="704"/>
      <c r="M225" s="704"/>
      <c r="N225" s="704"/>
      <c r="O225" s="700"/>
    </row>
    <row r="226" spans="1:15" ht="15.75" customHeight="1" x14ac:dyDescent="0.25">
      <c r="A226" s="619"/>
      <c r="B226" s="619"/>
      <c r="C226" s="619"/>
      <c r="D226" s="708"/>
      <c r="E226" s="619"/>
      <c r="F226" s="329"/>
      <c r="G226" s="619"/>
      <c r="H226" s="619"/>
      <c r="I226" s="710"/>
      <c r="J226" s="710"/>
      <c r="K226" s="710"/>
      <c r="L226" s="710"/>
      <c r="M226" s="710"/>
      <c r="N226" s="710"/>
      <c r="O226" s="619"/>
    </row>
    <row r="227" spans="1:15" ht="15.75" customHeight="1" x14ac:dyDescent="0.25">
      <c r="A227" s="619"/>
      <c r="B227" s="619"/>
      <c r="C227" s="619"/>
      <c r="D227" s="708"/>
      <c r="E227" s="619"/>
      <c r="F227" s="329"/>
      <c r="G227" s="619"/>
      <c r="H227" s="619"/>
      <c r="I227" s="710"/>
      <c r="J227" s="710"/>
      <c r="K227" s="710"/>
      <c r="L227" s="710"/>
      <c r="M227" s="710"/>
      <c r="N227" s="710"/>
      <c r="O227" s="619"/>
    </row>
    <row r="228" spans="1:15" ht="15.75" customHeight="1" x14ac:dyDescent="0.25">
      <c r="A228" s="619"/>
      <c r="B228" s="619"/>
      <c r="C228" s="619"/>
      <c r="D228" s="708"/>
      <c r="E228" s="619"/>
      <c r="F228" s="329"/>
      <c r="G228" s="619"/>
      <c r="H228" s="619"/>
      <c r="I228" s="710"/>
      <c r="J228" s="710"/>
      <c r="K228" s="710"/>
      <c r="L228" s="710"/>
      <c r="M228" s="710"/>
      <c r="N228" s="710"/>
      <c r="O228" s="619"/>
    </row>
    <row r="229" spans="1:15" ht="15.75" customHeight="1" x14ac:dyDescent="0.25">
      <c r="A229" s="619"/>
      <c r="B229" s="619"/>
      <c r="C229" s="619"/>
      <c r="D229" s="708"/>
      <c r="E229" s="619"/>
      <c r="F229" s="329"/>
      <c r="G229" s="619"/>
      <c r="H229" s="619"/>
      <c r="I229" s="710"/>
      <c r="J229" s="710"/>
      <c r="K229" s="710"/>
      <c r="L229" s="710"/>
      <c r="M229" s="710"/>
      <c r="N229" s="710"/>
      <c r="O229" s="619"/>
    </row>
    <row r="230" spans="1:15" ht="15.75" customHeight="1" x14ac:dyDescent="0.25">
      <c r="A230" s="619"/>
      <c r="B230" s="619"/>
      <c r="C230" s="619"/>
      <c r="D230" s="708"/>
      <c r="E230" s="619"/>
      <c r="F230" s="329"/>
      <c r="G230" s="619"/>
      <c r="H230" s="619"/>
      <c r="I230" s="710"/>
      <c r="J230" s="710"/>
      <c r="K230" s="710"/>
      <c r="L230" s="710"/>
      <c r="M230" s="710"/>
      <c r="N230" s="710"/>
      <c r="O230" s="619"/>
    </row>
    <row r="231" spans="1:15" ht="15.75" customHeight="1" x14ac:dyDescent="0.25">
      <c r="A231" s="619"/>
      <c r="B231" s="619"/>
      <c r="C231" s="619"/>
      <c r="D231" s="708"/>
      <c r="E231" s="619"/>
      <c r="F231" s="329"/>
      <c r="G231" s="619"/>
      <c r="H231" s="619"/>
      <c r="I231" s="710"/>
      <c r="J231" s="710"/>
      <c r="K231" s="710"/>
      <c r="L231" s="710"/>
      <c r="M231" s="710"/>
      <c r="N231" s="710"/>
      <c r="O231" s="619"/>
    </row>
    <row r="232" spans="1:15" ht="15.75" customHeight="1" x14ac:dyDescent="0.25">
      <c r="A232" s="619"/>
      <c r="B232" s="619"/>
      <c r="C232" s="619"/>
      <c r="D232" s="708"/>
      <c r="E232" s="619"/>
      <c r="F232" s="329"/>
      <c r="G232" s="619"/>
      <c r="H232" s="619"/>
      <c r="I232" s="710"/>
      <c r="J232" s="710"/>
      <c r="K232" s="710"/>
      <c r="L232" s="710"/>
      <c r="M232" s="710"/>
      <c r="N232" s="710"/>
      <c r="O232" s="619"/>
    </row>
    <row r="233" spans="1:15" ht="15.75" customHeight="1" x14ac:dyDescent="0.25">
      <c r="A233" s="619"/>
      <c r="B233" s="619"/>
      <c r="C233" s="619"/>
      <c r="D233" s="708"/>
      <c r="E233" s="619"/>
      <c r="F233" s="329"/>
      <c r="G233" s="619"/>
      <c r="H233" s="619"/>
      <c r="I233" s="710"/>
      <c r="J233" s="710"/>
      <c r="K233" s="710"/>
      <c r="L233" s="710"/>
      <c r="M233" s="710"/>
      <c r="N233" s="710"/>
      <c r="O233" s="619"/>
    </row>
    <row r="234" spans="1:15" ht="15.75" customHeight="1" x14ac:dyDescent="0.25">
      <c r="A234" s="619"/>
      <c r="B234" s="619"/>
      <c r="C234" s="619"/>
      <c r="D234" s="708"/>
      <c r="E234" s="619"/>
      <c r="F234" s="329"/>
      <c r="G234" s="619"/>
      <c r="H234" s="619"/>
      <c r="I234" s="710"/>
      <c r="J234" s="710"/>
      <c r="K234" s="710"/>
      <c r="L234" s="710"/>
      <c r="M234" s="710"/>
      <c r="N234" s="710"/>
      <c r="O234" s="619"/>
    </row>
    <row r="235" spans="1:15" ht="15.75" customHeight="1" x14ac:dyDescent="0.25">
      <c r="A235" s="619"/>
      <c r="B235" s="619"/>
      <c r="C235" s="619"/>
      <c r="D235" s="708"/>
      <c r="E235" s="619"/>
      <c r="F235" s="329"/>
      <c r="G235" s="619"/>
      <c r="H235" s="619"/>
      <c r="I235" s="710"/>
      <c r="J235" s="710"/>
      <c r="K235" s="710"/>
      <c r="L235" s="710"/>
      <c r="M235" s="710"/>
      <c r="N235" s="710"/>
      <c r="O235" s="619"/>
    </row>
    <row r="236" spans="1:15" ht="15.75" customHeight="1" x14ac:dyDescent="0.25">
      <c r="A236" s="619"/>
      <c r="B236" s="619"/>
      <c r="C236" s="619"/>
      <c r="D236" s="708"/>
      <c r="E236" s="619"/>
      <c r="F236" s="329"/>
      <c r="G236" s="619"/>
      <c r="H236" s="619"/>
      <c r="I236" s="710"/>
      <c r="J236" s="710"/>
      <c r="K236" s="710"/>
      <c r="L236" s="710"/>
      <c r="M236" s="710"/>
      <c r="N236" s="710"/>
      <c r="O236" s="619"/>
    </row>
    <row r="237" spans="1:15" ht="15.75" customHeight="1" x14ac:dyDescent="0.25">
      <c r="A237" s="619"/>
      <c r="B237" s="619"/>
      <c r="C237" s="619"/>
      <c r="D237" s="708"/>
      <c r="E237" s="619"/>
      <c r="F237" s="329"/>
      <c r="G237" s="619"/>
      <c r="H237" s="619"/>
      <c r="I237" s="710"/>
      <c r="J237" s="710"/>
      <c r="K237" s="710"/>
      <c r="L237" s="710"/>
      <c r="M237" s="710"/>
      <c r="N237" s="710"/>
      <c r="O237" s="619"/>
    </row>
    <row r="238" spans="1:15" ht="15.75" customHeight="1" x14ac:dyDescent="0.25">
      <c r="A238" s="619"/>
      <c r="B238" s="619"/>
      <c r="C238" s="619"/>
      <c r="D238" s="708"/>
      <c r="E238" s="619"/>
      <c r="F238" s="329"/>
      <c r="G238" s="619"/>
      <c r="H238" s="619"/>
      <c r="I238" s="710"/>
      <c r="J238" s="710"/>
      <c r="K238" s="710"/>
      <c r="L238" s="710"/>
      <c r="M238" s="710"/>
      <c r="N238" s="710"/>
      <c r="O238" s="619"/>
    </row>
    <row r="239" spans="1:15" ht="15.75" customHeight="1" x14ac:dyDescent="0.25">
      <c r="A239" s="619"/>
      <c r="B239" s="619"/>
      <c r="C239" s="619"/>
      <c r="D239" s="708"/>
      <c r="E239" s="619"/>
      <c r="F239" s="329"/>
      <c r="G239" s="619"/>
      <c r="H239" s="619"/>
      <c r="I239" s="710"/>
      <c r="J239" s="710"/>
      <c r="K239" s="710"/>
      <c r="L239" s="710"/>
      <c r="M239" s="710"/>
      <c r="N239" s="710"/>
      <c r="O239" s="619"/>
    </row>
    <row r="240" spans="1:15" ht="15.75" customHeight="1" x14ac:dyDescent="0.25">
      <c r="A240" s="619"/>
      <c r="B240" s="619"/>
      <c r="C240" s="619"/>
      <c r="D240" s="708"/>
      <c r="E240" s="619"/>
      <c r="F240" s="329"/>
      <c r="G240" s="619"/>
      <c r="H240" s="619"/>
      <c r="I240" s="710"/>
      <c r="J240" s="710"/>
      <c r="K240" s="710"/>
      <c r="L240" s="710"/>
      <c r="M240" s="710"/>
      <c r="N240" s="710"/>
      <c r="O240" s="619"/>
    </row>
    <row r="241" spans="1:15" ht="15.75" customHeight="1" x14ac:dyDescent="0.25">
      <c r="A241" s="619"/>
      <c r="B241" s="619"/>
      <c r="C241" s="619"/>
      <c r="D241" s="708"/>
      <c r="E241" s="619"/>
      <c r="F241" s="329"/>
      <c r="G241" s="619"/>
      <c r="H241" s="619"/>
      <c r="I241" s="710"/>
      <c r="J241" s="710"/>
      <c r="K241" s="710"/>
      <c r="L241" s="710"/>
      <c r="M241" s="710"/>
      <c r="N241" s="710"/>
      <c r="O241" s="619"/>
    </row>
    <row r="242" spans="1:15" ht="15.75" customHeight="1" x14ac:dyDescent="0.25">
      <c r="A242" s="619"/>
      <c r="B242" s="619"/>
      <c r="C242" s="619"/>
      <c r="D242" s="708"/>
      <c r="E242" s="619"/>
      <c r="F242" s="329"/>
      <c r="G242" s="619"/>
      <c r="H242" s="619"/>
      <c r="I242" s="710"/>
      <c r="J242" s="710"/>
      <c r="K242" s="710"/>
      <c r="L242" s="710"/>
      <c r="M242" s="710"/>
      <c r="N242" s="710"/>
      <c r="O242" s="619"/>
    </row>
    <row r="243" spans="1:15" ht="15.75" customHeight="1" x14ac:dyDescent="0.25">
      <c r="A243" s="619"/>
      <c r="B243" s="619"/>
      <c r="C243" s="619"/>
      <c r="D243" s="708"/>
      <c r="E243" s="619"/>
      <c r="F243" s="329"/>
      <c r="G243" s="619"/>
      <c r="H243" s="619"/>
      <c r="I243" s="710"/>
      <c r="J243" s="710"/>
      <c r="K243" s="710"/>
      <c r="L243" s="710"/>
      <c r="M243" s="710"/>
      <c r="N243" s="710"/>
      <c r="O243" s="619"/>
    </row>
    <row r="244" spans="1:15" ht="15.75" customHeight="1" x14ac:dyDescent="0.25">
      <c r="A244" s="619"/>
      <c r="B244" s="619"/>
      <c r="C244" s="619"/>
      <c r="D244" s="708"/>
      <c r="E244" s="619"/>
      <c r="F244" s="329"/>
      <c r="G244" s="619"/>
      <c r="H244" s="619"/>
      <c r="I244" s="710"/>
      <c r="J244" s="710"/>
      <c r="K244" s="710"/>
      <c r="L244" s="710"/>
      <c r="M244" s="710"/>
      <c r="N244" s="710"/>
      <c r="O244" s="619"/>
    </row>
    <row r="245" spans="1:15" ht="15.75" customHeight="1" x14ac:dyDescent="0.25">
      <c r="A245" s="619"/>
      <c r="B245" s="619"/>
      <c r="C245" s="619"/>
      <c r="D245" s="708"/>
      <c r="E245" s="619"/>
      <c r="F245" s="329"/>
      <c r="G245" s="619"/>
      <c r="H245" s="619"/>
      <c r="I245" s="710"/>
      <c r="J245" s="710"/>
      <c r="K245" s="710"/>
      <c r="L245" s="710"/>
      <c r="M245" s="710"/>
      <c r="N245" s="710"/>
      <c r="O245" s="619"/>
    </row>
    <row r="246" spans="1:15" ht="15.75" customHeight="1" x14ac:dyDescent="0.25">
      <c r="A246" s="619"/>
      <c r="B246" s="619"/>
      <c r="C246" s="619"/>
      <c r="D246" s="708"/>
      <c r="E246" s="619"/>
      <c r="F246" s="329"/>
      <c r="G246" s="619"/>
      <c r="H246" s="619"/>
      <c r="I246" s="710"/>
      <c r="J246" s="710"/>
      <c r="K246" s="710"/>
      <c r="L246" s="710"/>
      <c r="M246" s="710"/>
      <c r="N246" s="710"/>
      <c r="O246" s="619"/>
    </row>
    <row r="247" spans="1:15" ht="15.75" customHeight="1" x14ac:dyDescent="0.25">
      <c r="A247" s="619"/>
      <c r="B247" s="619"/>
      <c r="C247" s="619"/>
      <c r="D247" s="708"/>
      <c r="E247" s="619"/>
      <c r="F247" s="329"/>
      <c r="G247" s="619"/>
      <c r="H247" s="619"/>
      <c r="I247" s="710"/>
      <c r="J247" s="710"/>
      <c r="K247" s="710"/>
      <c r="L247" s="710"/>
      <c r="M247" s="710"/>
      <c r="N247" s="710"/>
      <c r="O247" s="619"/>
    </row>
    <row r="248" spans="1:15" ht="15.75" customHeight="1" x14ac:dyDescent="0.25">
      <c r="A248" s="619"/>
      <c r="B248" s="619"/>
      <c r="C248" s="619"/>
      <c r="D248" s="708"/>
      <c r="E248" s="619"/>
      <c r="F248" s="329"/>
      <c r="G248" s="619"/>
      <c r="H248" s="619"/>
      <c r="I248" s="710"/>
      <c r="J248" s="710"/>
      <c r="K248" s="710"/>
      <c r="L248" s="710"/>
      <c r="M248" s="710"/>
      <c r="N248" s="710"/>
      <c r="O248" s="619"/>
    </row>
    <row r="249" spans="1:15" ht="15.75" customHeight="1" x14ac:dyDescent="0.25">
      <c r="A249" s="619"/>
      <c r="B249" s="619"/>
      <c r="C249" s="619"/>
      <c r="D249" s="708"/>
      <c r="E249" s="619"/>
      <c r="F249" s="329"/>
      <c r="G249" s="619"/>
      <c r="H249" s="619"/>
      <c r="I249" s="710"/>
      <c r="J249" s="710"/>
      <c r="K249" s="710"/>
      <c r="L249" s="710"/>
      <c r="M249" s="710"/>
      <c r="N249" s="710"/>
      <c r="O249" s="619"/>
    </row>
    <row r="250" spans="1:15" ht="15.75" customHeight="1" x14ac:dyDescent="0.25">
      <c r="A250" s="619"/>
      <c r="B250" s="619"/>
      <c r="C250" s="619"/>
      <c r="D250" s="708"/>
      <c r="E250" s="619"/>
      <c r="F250" s="329"/>
      <c r="G250" s="619"/>
      <c r="H250" s="619"/>
      <c r="I250" s="710"/>
      <c r="J250" s="710"/>
      <c r="K250" s="710"/>
      <c r="L250" s="710"/>
      <c r="M250" s="710"/>
      <c r="N250" s="710"/>
      <c r="O250" s="619"/>
    </row>
    <row r="251" spans="1:15" ht="15.75" customHeight="1" x14ac:dyDescent="0.25">
      <c r="A251" s="619"/>
      <c r="B251" s="619"/>
      <c r="C251" s="619"/>
      <c r="D251" s="708"/>
      <c r="E251" s="619"/>
      <c r="F251" s="329"/>
      <c r="G251" s="619"/>
      <c r="H251" s="619"/>
      <c r="I251" s="710"/>
      <c r="J251" s="710"/>
      <c r="K251" s="710"/>
      <c r="L251" s="710"/>
      <c r="M251" s="710"/>
      <c r="N251" s="710"/>
      <c r="O251" s="619"/>
    </row>
    <row r="252" spans="1:15" ht="15.75" customHeight="1" x14ac:dyDescent="0.25">
      <c r="A252" s="619"/>
      <c r="B252" s="619"/>
      <c r="C252" s="619"/>
      <c r="D252" s="708"/>
      <c r="E252" s="619"/>
      <c r="F252" s="329"/>
      <c r="G252" s="619"/>
      <c r="H252" s="619"/>
      <c r="I252" s="710"/>
      <c r="J252" s="710"/>
      <c r="K252" s="710"/>
      <c r="L252" s="710"/>
      <c r="M252" s="710"/>
      <c r="N252" s="710"/>
      <c r="O252" s="619"/>
    </row>
    <row r="253" spans="1:15" ht="15.75" customHeight="1" x14ac:dyDescent="0.25">
      <c r="A253" s="619"/>
      <c r="B253" s="619"/>
      <c r="C253" s="619"/>
      <c r="D253" s="708"/>
      <c r="E253" s="619"/>
      <c r="F253" s="329"/>
      <c r="G253" s="619"/>
      <c r="H253" s="619"/>
      <c r="I253" s="710"/>
      <c r="J253" s="710"/>
      <c r="K253" s="710"/>
      <c r="L253" s="710"/>
      <c r="M253" s="710"/>
      <c r="N253" s="710"/>
      <c r="O253" s="619"/>
    </row>
    <row r="254" spans="1:15" ht="15.75" customHeight="1" x14ac:dyDescent="0.25">
      <c r="A254" s="619"/>
      <c r="B254" s="619"/>
      <c r="C254" s="619"/>
      <c r="D254" s="708"/>
      <c r="E254" s="619"/>
      <c r="F254" s="329"/>
      <c r="G254" s="619"/>
      <c r="H254" s="619"/>
      <c r="I254" s="710"/>
      <c r="J254" s="710"/>
      <c r="K254" s="710"/>
      <c r="L254" s="710"/>
      <c r="M254" s="710"/>
      <c r="N254" s="710"/>
      <c r="O254" s="619"/>
    </row>
    <row r="255" spans="1:15" ht="15.75" customHeight="1" x14ac:dyDescent="0.25">
      <c r="A255" s="619"/>
      <c r="B255" s="619"/>
      <c r="C255" s="619"/>
      <c r="D255" s="708"/>
      <c r="E255" s="619"/>
      <c r="F255" s="329"/>
      <c r="G255" s="619"/>
      <c r="H255" s="619"/>
      <c r="I255" s="710"/>
      <c r="J255" s="710"/>
      <c r="K255" s="710"/>
      <c r="L255" s="710"/>
      <c r="M255" s="710"/>
      <c r="N255" s="710"/>
      <c r="O255" s="619"/>
    </row>
    <row r="256" spans="1:15" ht="15.75" customHeight="1" x14ac:dyDescent="0.25">
      <c r="A256" s="619"/>
      <c r="B256" s="619"/>
      <c r="C256" s="619"/>
      <c r="D256" s="708"/>
      <c r="E256" s="619"/>
      <c r="F256" s="329"/>
      <c r="G256" s="619"/>
      <c r="H256" s="619"/>
      <c r="I256" s="710"/>
      <c r="J256" s="710"/>
      <c r="K256" s="710"/>
      <c r="L256" s="710"/>
      <c r="M256" s="710"/>
      <c r="N256" s="710"/>
      <c r="O256" s="619"/>
    </row>
    <row r="257" spans="1:15" ht="15.75" customHeight="1" x14ac:dyDescent="0.25">
      <c r="A257" s="619"/>
      <c r="B257" s="619"/>
      <c r="C257" s="619"/>
      <c r="D257" s="708"/>
      <c r="E257" s="619"/>
      <c r="F257" s="329"/>
      <c r="G257" s="619"/>
      <c r="H257" s="619"/>
      <c r="I257" s="710"/>
      <c r="J257" s="710"/>
      <c r="K257" s="710"/>
      <c r="L257" s="710"/>
      <c r="M257" s="710"/>
      <c r="N257" s="710"/>
      <c r="O257" s="619"/>
    </row>
    <row r="258" spans="1:15" ht="15.75" customHeight="1" x14ac:dyDescent="0.25">
      <c r="A258" s="619"/>
      <c r="B258" s="619"/>
      <c r="C258" s="619"/>
      <c r="D258" s="708"/>
      <c r="E258" s="619"/>
      <c r="F258" s="329"/>
      <c r="G258" s="619"/>
      <c r="H258" s="619"/>
      <c r="I258" s="710"/>
      <c r="J258" s="710"/>
      <c r="K258" s="710"/>
      <c r="L258" s="710"/>
      <c r="M258" s="710"/>
      <c r="N258" s="710"/>
      <c r="O258" s="619"/>
    </row>
    <row r="259" spans="1:15" ht="15.75" customHeight="1" x14ac:dyDescent="0.25">
      <c r="A259" s="619"/>
      <c r="B259" s="619"/>
      <c r="C259" s="619"/>
      <c r="D259" s="708"/>
      <c r="E259" s="619"/>
      <c r="F259" s="329"/>
      <c r="G259" s="619"/>
      <c r="H259" s="619"/>
      <c r="I259" s="710"/>
      <c r="J259" s="710"/>
      <c r="K259" s="710"/>
      <c r="L259" s="710"/>
      <c r="M259" s="710"/>
      <c r="N259" s="710"/>
      <c r="O259" s="619"/>
    </row>
    <row r="260" spans="1:15" ht="15.75" customHeight="1" x14ac:dyDescent="0.25">
      <c r="A260" s="619"/>
      <c r="B260" s="619"/>
      <c r="C260" s="619"/>
      <c r="D260" s="708"/>
      <c r="E260" s="619"/>
      <c r="F260" s="329"/>
      <c r="G260" s="619"/>
      <c r="H260" s="619"/>
      <c r="I260" s="710"/>
      <c r="J260" s="710"/>
      <c r="K260" s="710"/>
      <c r="L260" s="710"/>
      <c r="M260" s="710"/>
      <c r="N260" s="710"/>
      <c r="O260" s="619"/>
    </row>
    <row r="261" spans="1:15" ht="15.75" customHeight="1" x14ac:dyDescent="0.25">
      <c r="A261" s="619"/>
      <c r="B261" s="619"/>
      <c r="C261" s="619"/>
      <c r="D261" s="708"/>
      <c r="E261" s="619"/>
      <c r="F261" s="329"/>
      <c r="G261" s="619"/>
      <c r="H261" s="619"/>
      <c r="I261" s="710"/>
      <c r="J261" s="710"/>
      <c r="K261" s="710"/>
      <c r="L261" s="710"/>
      <c r="M261" s="710"/>
      <c r="N261" s="710"/>
      <c r="O261" s="619"/>
    </row>
    <row r="262" spans="1:15" ht="15.75" customHeight="1" x14ac:dyDescent="0.25">
      <c r="A262" s="619"/>
      <c r="B262" s="619"/>
      <c r="C262" s="619"/>
      <c r="D262" s="708"/>
      <c r="E262" s="619"/>
      <c r="F262" s="329"/>
      <c r="G262" s="619"/>
      <c r="H262" s="619"/>
      <c r="I262" s="710"/>
      <c r="J262" s="710"/>
      <c r="K262" s="710"/>
      <c r="L262" s="710"/>
      <c r="M262" s="710"/>
      <c r="N262" s="710"/>
      <c r="O262" s="619"/>
    </row>
    <row r="263" spans="1:15" ht="15.75" customHeight="1" x14ac:dyDescent="0.25">
      <c r="A263" s="619"/>
      <c r="B263" s="619"/>
      <c r="C263" s="619"/>
      <c r="D263" s="708"/>
      <c r="E263" s="619"/>
      <c r="F263" s="329"/>
      <c r="G263" s="619"/>
      <c r="H263" s="619"/>
      <c r="I263" s="710"/>
      <c r="J263" s="710"/>
      <c r="K263" s="710"/>
      <c r="L263" s="710"/>
      <c r="M263" s="710"/>
      <c r="N263" s="710"/>
      <c r="O263" s="619"/>
    </row>
    <row r="264" spans="1:15" ht="15.75" customHeight="1" x14ac:dyDescent="0.25">
      <c r="A264" s="619"/>
      <c r="B264" s="619"/>
      <c r="C264" s="619"/>
      <c r="D264" s="708"/>
      <c r="E264" s="619"/>
      <c r="F264" s="329"/>
      <c r="G264" s="619"/>
      <c r="H264" s="619"/>
      <c r="I264" s="710"/>
      <c r="J264" s="710"/>
      <c r="K264" s="710"/>
      <c r="L264" s="710"/>
      <c r="M264" s="710"/>
      <c r="N264" s="710"/>
      <c r="O264" s="619"/>
    </row>
    <row r="265" spans="1:15" ht="15.75" customHeight="1" x14ac:dyDescent="0.25">
      <c r="A265" s="619"/>
      <c r="B265" s="619"/>
      <c r="C265" s="619"/>
      <c r="D265" s="708"/>
      <c r="E265" s="619"/>
      <c r="F265" s="329"/>
      <c r="G265" s="619"/>
      <c r="H265" s="619"/>
      <c r="I265" s="710"/>
      <c r="J265" s="710"/>
      <c r="K265" s="710"/>
      <c r="L265" s="710"/>
      <c r="M265" s="710"/>
      <c r="N265" s="710"/>
      <c r="O265" s="619"/>
    </row>
    <row r="266" spans="1:15" ht="15.75" customHeight="1" x14ac:dyDescent="0.25">
      <c r="A266" s="619"/>
      <c r="B266" s="619"/>
      <c r="C266" s="619"/>
      <c r="D266" s="708"/>
      <c r="E266" s="619"/>
      <c r="F266" s="329"/>
      <c r="G266" s="619"/>
      <c r="H266" s="619"/>
      <c r="I266" s="710"/>
      <c r="J266" s="710"/>
      <c r="K266" s="710"/>
      <c r="L266" s="710"/>
      <c r="M266" s="710"/>
      <c r="N266" s="710"/>
      <c r="O266" s="619"/>
    </row>
    <row r="267" spans="1:15" ht="15.75" customHeight="1" x14ac:dyDescent="0.25">
      <c r="A267" s="619"/>
      <c r="B267" s="619"/>
      <c r="C267" s="619"/>
      <c r="D267" s="708"/>
      <c r="E267" s="619"/>
      <c r="F267" s="329"/>
      <c r="G267" s="619"/>
      <c r="H267" s="619"/>
      <c r="I267" s="710"/>
      <c r="J267" s="710"/>
      <c r="K267" s="710"/>
      <c r="L267" s="710"/>
      <c r="M267" s="710"/>
      <c r="N267" s="710"/>
      <c r="O267" s="619"/>
    </row>
    <row r="268" spans="1:15" ht="15.75" customHeight="1" x14ac:dyDescent="0.25">
      <c r="A268" s="619"/>
      <c r="B268" s="619"/>
      <c r="C268" s="619"/>
      <c r="D268" s="708"/>
      <c r="E268" s="619"/>
      <c r="F268" s="329"/>
      <c r="G268" s="619"/>
      <c r="H268" s="619"/>
      <c r="I268" s="710"/>
      <c r="J268" s="710"/>
      <c r="K268" s="710"/>
      <c r="L268" s="710"/>
      <c r="M268" s="710"/>
      <c r="N268" s="710"/>
      <c r="O268" s="619"/>
    </row>
    <row r="269" spans="1:15" ht="15.75" customHeight="1" x14ac:dyDescent="0.25">
      <c r="A269" s="619"/>
      <c r="B269" s="619"/>
      <c r="C269" s="619"/>
      <c r="D269" s="708"/>
      <c r="E269" s="619"/>
      <c r="F269" s="329"/>
      <c r="G269" s="619"/>
      <c r="H269" s="619"/>
      <c r="I269" s="710"/>
      <c r="J269" s="710"/>
      <c r="K269" s="710"/>
      <c r="L269" s="710"/>
      <c r="M269" s="710"/>
      <c r="N269" s="710"/>
      <c r="O269" s="619"/>
    </row>
    <row r="270" spans="1:15" ht="15.75" customHeight="1" x14ac:dyDescent="0.25">
      <c r="A270" s="619"/>
      <c r="B270" s="619"/>
      <c r="C270" s="619"/>
      <c r="D270" s="708"/>
      <c r="E270" s="619"/>
      <c r="F270" s="329"/>
      <c r="G270" s="619"/>
      <c r="H270" s="619"/>
      <c r="I270" s="710"/>
      <c r="J270" s="710"/>
      <c r="K270" s="710"/>
      <c r="L270" s="710"/>
      <c r="M270" s="710"/>
      <c r="N270" s="710"/>
      <c r="O270" s="619"/>
    </row>
    <row r="271" spans="1:15" ht="15.75" customHeight="1" x14ac:dyDescent="0.25">
      <c r="A271" s="619"/>
      <c r="B271" s="619"/>
      <c r="C271" s="619"/>
      <c r="D271" s="708"/>
      <c r="E271" s="619"/>
      <c r="F271" s="329"/>
      <c r="G271" s="619"/>
      <c r="H271" s="619"/>
      <c r="I271" s="710"/>
      <c r="J271" s="710"/>
      <c r="K271" s="710"/>
      <c r="L271" s="710"/>
      <c r="M271" s="710"/>
      <c r="N271" s="710"/>
      <c r="O271" s="619"/>
    </row>
    <row r="272" spans="1:15" ht="15.75" customHeight="1" x14ac:dyDescent="0.25">
      <c r="A272" s="619"/>
      <c r="B272" s="619"/>
      <c r="C272" s="619"/>
      <c r="D272" s="708"/>
      <c r="E272" s="619"/>
      <c r="F272" s="329"/>
      <c r="G272" s="619"/>
      <c r="H272" s="619"/>
      <c r="I272" s="710"/>
      <c r="J272" s="710"/>
      <c r="K272" s="710"/>
      <c r="L272" s="710"/>
      <c r="M272" s="710"/>
      <c r="N272" s="710"/>
      <c r="O272" s="619"/>
    </row>
    <row r="273" spans="1:15" ht="15.75" customHeight="1" x14ac:dyDescent="0.25">
      <c r="A273" s="619"/>
      <c r="B273" s="619"/>
      <c r="C273" s="619"/>
      <c r="D273" s="708"/>
      <c r="E273" s="619"/>
      <c r="F273" s="329"/>
      <c r="G273" s="619"/>
      <c r="H273" s="619"/>
      <c r="I273" s="710"/>
      <c r="J273" s="710"/>
      <c r="K273" s="710"/>
      <c r="L273" s="710"/>
      <c r="M273" s="710"/>
      <c r="N273" s="710"/>
      <c r="O273" s="619"/>
    </row>
    <row r="274" spans="1:15" ht="15.75" customHeight="1" x14ac:dyDescent="0.25">
      <c r="A274" s="619"/>
      <c r="B274" s="619"/>
      <c r="C274" s="619"/>
      <c r="D274" s="708"/>
      <c r="E274" s="619"/>
      <c r="F274" s="329"/>
      <c r="G274" s="619"/>
      <c r="H274" s="619"/>
      <c r="I274" s="710"/>
      <c r="J274" s="710"/>
      <c r="K274" s="710"/>
      <c r="L274" s="710"/>
      <c r="M274" s="710"/>
      <c r="N274" s="710"/>
      <c r="O274" s="619"/>
    </row>
    <row r="275" spans="1:15" ht="15.75" customHeight="1" x14ac:dyDescent="0.25">
      <c r="A275" s="619"/>
      <c r="B275" s="619"/>
      <c r="C275" s="619"/>
      <c r="D275" s="708"/>
      <c r="E275" s="619"/>
      <c r="F275" s="329"/>
      <c r="G275" s="619"/>
      <c r="H275" s="619"/>
      <c r="I275" s="710"/>
      <c r="J275" s="710"/>
      <c r="K275" s="710"/>
      <c r="L275" s="710"/>
      <c r="M275" s="710"/>
      <c r="N275" s="710"/>
      <c r="O275" s="619"/>
    </row>
    <row r="276" spans="1:15" ht="15.75" customHeight="1" x14ac:dyDescent="0.25">
      <c r="A276" s="619"/>
      <c r="B276" s="619"/>
      <c r="C276" s="619"/>
      <c r="D276" s="708"/>
      <c r="E276" s="619"/>
      <c r="F276" s="329"/>
      <c r="G276" s="619"/>
      <c r="H276" s="619"/>
      <c r="I276" s="710"/>
      <c r="J276" s="710"/>
      <c r="K276" s="710"/>
      <c r="L276" s="710"/>
      <c r="M276" s="710"/>
      <c r="N276" s="710"/>
      <c r="O276" s="619"/>
    </row>
    <row r="277" spans="1:15" ht="15.75" customHeight="1" x14ac:dyDescent="0.25">
      <c r="A277" s="619"/>
      <c r="B277" s="619"/>
      <c r="C277" s="619"/>
      <c r="D277" s="708"/>
      <c r="E277" s="619"/>
      <c r="F277" s="329"/>
      <c r="G277" s="619"/>
      <c r="H277" s="619"/>
      <c r="I277" s="710"/>
      <c r="J277" s="710"/>
      <c r="K277" s="710"/>
      <c r="L277" s="710"/>
      <c r="M277" s="710"/>
      <c r="N277" s="710"/>
      <c r="O277" s="619"/>
    </row>
    <row r="278" spans="1:15" ht="15.75" customHeight="1" x14ac:dyDescent="0.25">
      <c r="A278" s="619"/>
      <c r="B278" s="619"/>
      <c r="C278" s="619"/>
      <c r="D278" s="708"/>
      <c r="E278" s="619"/>
      <c r="F278" s="329"/>
      <c r="G278" s="619"/>
      <c r="H278" s="619"/>
      <c r="I278" s="710"/>
      <c r="J278" s="710"/>
      <c r="K278" s="710"/>
      <c r="L278" s="710"/>
      <c r="M278" s="710"/>
      <c r="N278" s="710"/>
      <c r="O278" s="619"/>
    </row>
    <row r="279" spans="1:15" ht="15.75" customHeight="1" x14ac:dyDescent="0.25">
      <c r="A279" s="619"/>
      <c r="B279" s="619"/>
      <c r="C279" s="619"/>
      <c r="D279" s="708"/>
      <c r="E279" s="619"/>
      <c r="F279" s="329"/>
      <c r="G279" s="619"/>
      <c r="H279" s="619"/>
      <c r="I279" s="710"/>
      <c r="J279" s="710"/>
      <c r="K279" s="710"/>
      <c r="L279" s="710"/>
      <c r="M279" s="710"/>
      <c r="N279" s="710"/>
      <c r="O279" s="619"/>
    </row>
    <row r="280" spans="1:15" ht="15.75" customHeight="1" x14ac:dyDescent="0.25">
      <c r="A280" s="619"/>
      <c r="B280" s="619"/>
      <c r="C280" s="619"/>
      <c r="D280" s="708"/>
      <c r="E280" s="619"/>
      <c r="F280" s="329"/>
      <c r="G280" s="619"/>
      <c r="H280" s="619"/>
      <c r="I280" s="710"/>
      <c r="J280" s="710"/>
      <c r="K280" s="710"/>
      <c r="L280" s="710"/>
      <c r="M280" s="710"/>
      <c r="N280" s="710"/>
      <c r="O280" s="619"/>
    </row>
    <row r="281" spans="1:15" ht="15.75" customHeight="1" x14ac:dyDescent="0.25">
      <c r="A281" s="619"/>
      <c r="B281" s="619"/>
      <c r="C281" s="619"/>
      <c r="D281" s="708"/>
      <c r="E281" s="619"/>
      <c r="F281" s="329"/>
      <c r="G281" s="619"/>
      <c r="H281" s="619"/>
      <c r="I281" s="710"/>
      <c r="J281" s="710"/>
      <c r="K281" s="710"/>
      <c r="L281" s="710"/>
      <c r="M281" s="710"/>
      <c r="N281" s="710"/>
      <c r="O281" s="619"/>
    </row>
    <row r="282" spans="1:15" ht="15.75" customHeight="1" x14ac:dyDescent="0.25">
      <c r="A282" s="619"/>
      <c r="B282" s="619"/>
      <c r="C282" s="619"/>
      <c r="D282" s="708"/>
      <c r="E282" s="619"/>
      <c r="F282" s="329"/>
      <c r="G282" s="619"/>
      <c r="H282" s="619"/>
      <c r="I282" s="710"/>
      <c r="J282" s="710"/>
      <c r="K282" s="710"/>
      <c r="L282" s="710"/>
      <c r="M282" s="710"/>
      <c r="N282" s="710"/>
      <c r="O282" s="619"/>
    </row>
    <row r="283" spans="1:15" ht="15.75" customHeight="1" x14ac:dyDescent="0.25">
      <c r="A283" s="619"/>
      <c r="B283" s="619"/>
      <c r="C283" s="619"/>
      <c r="D283" s="708"/>
      <c r="E283" s="619"/>
      <c r="F283" s="329"/>
      <c r="G283" s="619"/>
      <c r="H283" s="619"/>
      <c r="I283" s="710"/>
      <c r="J283" s="710"/>
      <c r="K283" s="710"/>
      <c r="L283" s="710"/>
      <c r="M283" s="710"/>
      <c r="N283" s="710"/>
      <c r="O283" s="619"/>
    </row>
    <row r="284" spans="1:15" ht="15.75" customHeight="1" x14ac:dyDescent="0.25">
      <c r="A284" s="619"/>
      <c r="B284" s="619"/>
      <c r="C284" s="619"/>
      <c r="D284" s="708"/>
      <c r="E284" s="619"/>
      <c r="F284" s="329"/>
      <c r="G284" s="619"/>
      <c r="H284" s="619"/>
      <c r="I284" s="710"/>
      <c r="J284" s="710"/>
      <c r="K284" s="710"/>
      <c r="L284" s="710"/>
      <c r="M284" s="710"/>
      <c r="N284" s="710"/>
      <c r="O284" s="619"/>
    </row>
    <row r="285" spans="1:15" ht="15.75" customHeight="1" x14ac:dyDescent="0.25">
      <c r="A285" s="619"/>
      <c r="B285" s="619"/>
      <c r="C285" s="619"/>
      <c r="D285" s="708"/>
      <c r="E285" s="619"/>
      <c r="F285" s="329"/>
      <c r="G285" s="619"/>
      <c r="H285" s="619"/>
      <c r="I285" s="710"/>
      <c r="J285" s="710"/>
      <c r="K285" s="710"/>
      <c r="L285" s="710"/>
      <c r="M285" s="710"/>
      <c r="N285" s="710"/>
      <c r="O285" s="619"/>
    </row>
    <row r="286" spans="1:15" ht="15.75" customHeight="1" x14ac:dyDescent="0.25">
      <c r="A286" s="619"/>
      <c r="B286" s="619"/>
      <c r="C286" s="619"/>
      <c r="D286" s="708"/>
      <c r="E286" s="619"/>
      <c r="F286" s="329"/>
      <c r="G286" s="619"/>
      <c r="H286" s="619"/>
      <c r="I286" s="710"/>
      <c r="J286" s="710"/>
      <c r="K286" s="710"/>
      <c r="L286" s="710"/>
      <c r="M286" s="710"/>
      <c r="N286" s="710"/>
      <c r="O286" s="619"/>
    </row>
    <row r="287" spans="1:15" ht="15.75" customHeight="1" x14ac:dyDescent="0.25">
      <c r="A287" s="619"/>
      <c r="B287" s="619"/>
      <c r="C287" s="619"/>
      <c r="D287" s="708"/>
      <c r="E287" s="619"/>
      <c r="F287" s="329"/>
      <c r="G287" s="619"/>
      <c r="H287" s="619"/>
      <c r="I287" s="710"/>
      <c r="J287" s="710"/>
      <c r="K287" s="710"/>
      <c r="L287" s="710"/>
      <c r="M287" s="710"/>
      <c r="N287" s="710"/>
      <c r="O287" s="619"/>
    </row>
    <row r="288" spans="1:15" ht="15.75" customHeight="1" x14ac:dyDescent="0.25">
      <c r="A288" s="619"/>
      <c r="B288" s="619"/>
      <c r="C288" s="619"/>
      <c r="D288" s="708"/>
      <c r="E288" s="619"/>
      <c r="F288" s="329"/>
      <c r="G288" s="619"/>
      <c r="H288" s="619"/>
      <c r="I288" s="710"/>
      <c r="J288" s="710"/>
      <c r="K288" s="710"/>
      <c r="L288" s="710"/>
      <c r="M288" s="710"/>
      <c r="N288" s="710"/>
      <c r="O288" s="619"/>
    </row>
    <row r="289" spans="1:15" ht="15.75" customHeight="1" x14ac:dyDescent="0.25">
      <c r="A289" s="619"/>
      <c r="B289" s="619"/>
      <c r="C289" s="619"/>
      <c r="D289" s="708"/>
      <c r="E289" s="619"/>
      <c r="F289" s="329"/>
      <c r="G289" s="619"/>
      <c r="H289" s="619"/>
      <c r="I289" s="710"/>
      <c r="J289" s="710"/>
      <c r="K289" s="710"/>
      <c r="L289" s="710"/>
      <c r="M289" s="710"/>
      <c r="N289" s="710"/>
      <c r="O289" s="619"/>
    </row>
    <row r="290" spans="1:15" ht="15.75" customHeight="1" x14ac:dyDescent="0.25">
      <c r="A290" s="619"/>
      <c r="B290" s="619"/>
      <c r="C290" s="619"/>
      <c r="D290" s="708"/>
      <c r="E290" s="619"/>
      <c r="F290" s="329"/>
      <c r="G290" s="619"/>
      <c r="H290" s="619"/>
      <c r="I290" s="710"/>
      <c r="J290" s="710"/>
      <c r="K290" s="710"/>
      <c r="L290" s="710"/>
      <c r="M290" s="710"/>
      <c r="N290" s="710"/>
      <c r="O290" s="619"/>
    </row>
    <row r="291" spans="1:15" ht="15.75" customHeight="1" x14ac:dyDescent="0.25">
      <c r="A291" s="619"/>
      <c r="B291" s="619"/>
      <c r="C291" s="619"/>
      <c r="D291" s="708"/>
      <c r="E291" s="619"/>
      <c r="F291" s="329"/>
      <c r="G291" s="619"/>
      <c r="H291" s="619"/>
      <c r="I291" s="710"/>
      <c r="J291" s="710"/>
      <c r="K291" s="710"/>
      <c r="L291" s="710"/>
      <c r="M291" s="710"/>
      <c r="N291" s="710"/>
      <c r="O291" s="619"/>
    </row>
    <row r="292" spans="1:15" ht="15.75" customHeight="1" x14ac:dyDescent="0.25">
      <c r="A292" s="619"/>
      <c r="B292" s="619"/>
      <c r="C292" s="619"/>
      <c r="D292" s="708"/>
      <c r="E292" s="619"/>
      <c r="F292" s="329"/>
      <c r="G292" s="619"/>
      <c r="H292" s="619"/>
      <c r="I292" s="710"/>
      <c r="J292" s="710"/>
      <c r="K292" s="710"/>
      <c r="L292" s="710"/>
      <c r="M292" s="710"/>
      <c r="N292" s="710"/>
      <c r="O292" s="619"/>
    </row>
    <row r="293" spans="1:15" ht="15.75" customHeight="1" x14ac:dyDescent="0.25">
      <c r="A293" s="619"/>
      <c r="B293" s="619"/>
      <c r="C293" s="619"/>
      <c r="D293" s="708"/>
      <c r="E293" s="619"/>
      <c r="F293" s="329"/>
      <c r="G293" s="619"/>
      <c r="H293" s="619"/>
      <c r="I293" s="710"/>
      <c r="J293" s="710"/>
      <c r="K293" s="710"/>
      <c r="L293" s="710"/>
      <c r="M293" s="710"/>
      <c r="N293" s="710"/>
      <c r="O293" s="619"/>
    </row>
    <row r="294" spans="1:15" ht="15.75" customHeight="1" x14ac:dyDescent="0.25">
      <c r="A294" s="619"/>
      <c r="B294" s="619"/>
      <c r="C294" s="619"/>
      <c r="D294" s="708"/>
      <c r="E294" s="619"/>
      <c r="F294" s="329"/>
      <c r="G294" s="619"/>
      <c r="H294" s="619"/>
      <c r="I294" s="710"/>
      <c r="J294" s="710"/>
      <c r="K294" s="710"/>
      <c r="L294" s="710"/>
      <c r="M294" s="710"/>
      <c r="N294" s="710"/>
      <c r="O294" s="619"/>
    </row>
    <row r="295" spans="1:15" ht="15.75" customHeight="1" x14ac:dyDescent="0.25">
      <c r="A295" s="619"/>
      <c r="B295" s="619"/>
      <c r="C295" s="619"/>
      <c r="D295" s="708"/>
      <c r="E295" s="619"/>
      <c r="F295" s="329"/>
      <c r="G295" s="619"/>
      <c r="H295" s="619"/>
      <c r="I295" s="710"/>
      <c r="J295" s="710"/>
      <c r="K295" s="710"/>
      <c r="L295" s="710"/>
      <c r="M295" s="710"/>
      <c r="N295" s="710"/>
      <c r="O295" s="619"/>
    </row>
    <row r="296" spans="1:15" ht="15.75" customHeight="1" x14ac:dyDescent="0.25">
      <c r="A296" s="619"/>
      <c r="B296" s="619"/>
      <c r="C296" s="619"/>
      <c r="D296" s="708"/>
      <c r="E296" s="619"/>
      <c r="F296" s="329"/>
      <c r="G296" s="619"/>
      <c r="H296" s="619"/>
      <c r="I296" s="710"/>
      <c r="J296" s="710"/>
      <c r="K296" s="710"/>
      <c r="L296" s="710"/>
      <c r="M296" s="710"/>
      <c r="N296" s="710"/>
      <c r="O296" s="619"/>
    </row>
    <row r="297" spans="1:15" ht="15.75" customHeight="1" x14ac:dyDescent="0.25">
      <c r="A297" s="619"/>
      <c r="B297" s="619"/>
      <c r="C297" s="619"/>
      <c r="D297" s="708"/>
      <c r="E297" s="619"/>
      <c r="F297" s="329"/>
      <c r="G297" s="619"/>
      <c r="H297" s="619"/>
      <c r="I297" s="710"/>
      <c r="J297" s="710"/>
      <c r="K297" s="710"/>
      <c r="L297" s="710"/>
      <c r="M297" s="710"/>
      <c r="N297" s="710"/>
      <c r="O297" s="619"/>
    </row>
    <row r="298" spans="1:15" ht="15.75" customHeight="1" x14ac:dyDescent="0.25">
      <c r="F298" s="330"/>
    </row>
    <row r="299" spans="1:15" ht="15.75" customHeight="1" x14ac:dyDescent="0.25">
      <c r="F299" s="330"/>
    </row>
    <row r="300" spans="1:15" ht="15.75" customHeight="1" x14ac:dyDescent="0.25">
      <c r="F300" s="330"/>
    </row>
    <row r="301" spans="1:15" ht="15.75" customHeight="1" x14ac:dyDescent="0.25">
      <c r="F301" s="330"/>
    </row>
    <row r="302" spans="1:15" ht="15.75" customHeight="1" x14ac:dyDescent="0.25">
      <c r="F302" s="330"/>
    </row>
    <row r="303" spans="1:15" ht="15.75" customHeight="1" x14ac:dyDescent="0.25">
      <c r="F303" s="330"/>
    </row>
    <row r="304" spans="1:15" ht="15.75" customHeight="1" x14ac:dyDescent="0.25">
      <c r="F304" s="330"/>
    </row>
    <row r="305" spans="6:6" ht="15.75" customHeight="1" x14ac:dyDescent="0.25">
      <c r="F305" s="330"/>
    </row>
    <row r="306" spans="6:6" ht="15.75" customHeight="1" x14ac:dyDescent="0.25">
      <c r="F306" s="330"/>
    </row>
    <row r="307" spans="6:6" ht="15.75" customHeight="1" x14ac:dyDescent="0.25">
      <c r="F307" s="330"/>
    </row>
    <row r="308" spans="6:6" ht="15.75" customHeight="1" x14ac:dyDescent="0.25">
      <c r="F308" s="330"/>
    </row>
    <row r="309" spans="6:6" ht="15.75" customHeight="1" x14ac:dyDescent="0.25">
      <c r="F309" s="330"/>
    </row>
    <row r="310" spans="6:6" ht="15.75" customHeight="1" x14ac:dyDescent="0.25">
      <c r="F310" s="330"/>
    </row>
    <row r="311" spans="6:6" ht="15.75" customHeight="1" x14ac:dyDescent="0.25">
      <c r="F311" s="330"/>
    </row>
    <row r="312" spans="6:6" ht="15.75" customHeight="1" x14ac:dyDescent="0.25">
      <c r="F312" s="330"/>
    </row>
    <row r="313" spans="6:6" ht="15.75" customHeight="1" x14ac:dyDescent="0.25">
      <c r="F313" s="330"/>
    </row>
    <row r="314" spans="6:6" ht="15.75" customHeight="1" x14ac:dyDescent="0.25">
      <c r="F314" s="330"/>
    </row>
    <row r="315" spans="6:6" ht="15.75" customHeight="1" x14ac:dyDescent="0.25">
      <c r="F315" s="330"/>
    </row>
    <row r="316" spans="6:6" ht="15.75" customHeight="1" x14ac:dyDescent="0.25">
      <c r="F316" s="330"/>
    </row>
    <row r="317" spans="6:6" ht="15.75" customHeight="1" x14ac:dyDescent="0.25">
      <c r="F317" s="330"/>
    </row>
    <row r="318" spans="6:6" ht="15.75" customHeight="1" x14ac:dyDescent="0.25">
      <c r="F318" s="330"/>
    </row>
    <row r="319" spans="6:6" ht="15.75" customHeight="1" x14ac:dyDescent="0.25">
      <c r="F319" s="330"/>
    </row>
    <row r="320" spans="6:6" ht="15.75" customHeight="1" x14ac:dyDescent="0.25">
      <c r="F320" s="330"/>
    </row>
    <row r="321" spans="6:6" ht="15.75" customHeight="1" x14ac:dyDescent="0.25">
      <c r="F321" s="330"/>
    </row>
    <row r="322" spans="6:6" ht="15.75" customHeight="1" x14ac:dyDescent="0.25">
      <c r="F322" s="330"/>
    </row>
    <row r="323" spans="6:6" ht="15.75" customHeight="1" x14ac:dyDescent="0.25">
      <c r="F323" s="330"/>
    </row>
    <row r="324" spans="6:6" ht="15.75" customHeight="1" x14ac:dyDescent="0.25">
      <c r="F324" s="330"/>
    </row>
    <row r="325" spans="6:6" ht="15.75" customHeight="1" x14ac:dyDescent="0.25">
      <c r="F325" s="330"/>
    </row>
    <row r="326" spans="6:6" ht="15.75" customHeight="1" x14ac:dyDescent="0.25">
      <c r="F326" s="330"/>
    </row>
    <row r="327" spans="6:6" ht="15.75" customHeight="1" x14ac:dyDescent="0.25">
      <c r="F327" s="330"/>
    </row>
    <row r="328" spans="6:6" ht="15.75" customHeight="1" x14ac:dyDescent="0.25">
      <c r="F328" s="330"/>
    </row>
    <row r="329" spans="6:6" ht="15.75" customHeight="1" x14ac:dyDescent="0.25">
      <c r="F329" s="330"/>
    </row>
    <row r="330" spans="6:6" ht="15.75" customHeight="1" x14ac:dyDescent="0.25">
      <c r="F330" s="330"/>
    </row>
    <row r="331" spans="6:6" ht="15.75" customHeight="1" x14ac:dyDescent="0.25">
      <c r="F331" s="330"/>
    </row>
    <row r="332" spans="6:6" ht="15.75" customHeight="1" x14ac:dyDescent="0.25">
      <c r="F332" s="330"/>
    </row>
    <row r="333" spans="6:6" ht="15.75" customHeight="1" x14ac:dyDescent="0.25">
      <c r="F333" s="330"/>
    </row>
    <row r="334" spans="6:6" ht="15.75" customHeight="1" x14ac:dyDescent="0.25">
      <c r="F334" s="330"/>
    </row>
    <row r="335" spans="6:6" ht="15.75" customHeight="1" x14ac:dyDescent="0.25">
      <c r="F335" s="330"/>
    </row>
    <row r="336" spans="6:6" ht="15.75" customHeight="1" x14ac:dyDescent="0.25">
      <c r="F336" s="330"/>
    </row>
    <row r="337" spans="6:6" ht="15.75" customHeight="1" x14ac:dyDescent="0.25">
      <c r="F337" s="330"/>
    </row>
    <row r="338" spans="6:6" ht="15.75" customHeight="1" x14ac:dyDescent="0.25">
      <c r="F338" s="330"/>
    </row>
    <row r="339" spans="6:6" ht="15.75" customHeight="1" x14ac:dyDescent="0.25">
      <c r="F339" s="330"/>
    </row>
    <row r="340" spans="6:6" ht="15.75" customHeight="1" x14ac:dyDescent="0.25">
      <c r="F340" s="330"/>
    </row>
    <row r="341" spans="6:6" ht="15.75" customHeight="1" x14ac:dyDescent="0.25">
      <c r="F341" s="330"/>
    </row>
    <row r="342" spans="6:6" ht="15.75" customHeight="1" x14ac:dyDescent="0.25">
      <c r="F342" s="330"/>
    </row>
    <row r="343" spans="6:6" ht="15.75" customHeight="1" x14ac:dyDescent="0.25">
      <c r="F343" s="330"/>
    </row>
    <row r="344" spans="6:6" ht="15.75" customHeight="1" x14ac:dyDescent="0.25">
      <c r="F344" s="330"/>
    </row>
    <row r="345" spans="6:6" ht="15.75" customHeight="1" x14ac:dyDescent="0.25">
      <c r="F345" s="330"/>
    </row>
    <row r="346" spans="6:6" ht="15.75" customHeight="1" x14ac:dyDescent="0.25">
      <c r="F346" s="330"/>
    </row>
    <row r="347" spans="6:6" ht="15.75" customHeight="1" x14ac:dyDescent="0.25">
      <c r="F347" s="330"/>
    </row>
    <row r="348" spans="6:6" ht="15.75" customHeight="1" x14ac:dyDescent="0.25">
      <c r="F348" s="330"/>
    </row>
    <row r="349" spans="6:6" ht="15.75" customHeight="1" x14ac:dyDescent="0.25">
      <c r="F349" s="330"/>
    </row>
    <row r="350" spans="6:6" ht="15.75" customHeight="1" x14ac:dyDescent="0.25">
      <c r="F350" s="330"/>
    </row>
    <row r="351" spans="6:6" ht="15.75" customHeight="1" x14ac:dyDescent="0.25">
      <c r="F351" s="330"/>
    </row>
    <row r="352" spans="6:6" ht="15.75" customHeight="1" x14ac:dyDescent="0.25">
      <c r="F352" s="330"/>
    </row>
    <row r="353" spans="6:6" ht="15.75" customHeight="1" x14ac:dyDescent="0.25">
      <c r="F353" s="330"/>
    </row>
    <row r="354" spans="6:6" ht="15.75" customHeight="1" x14ac:dyDescent="0.25">
      <c r="F354" s="330"/>
    </row>
    <row r="355" spans="6:6" ht="15.75" customHeight="1" x14ac:dyDescent="0.25">
      <c r="F355" s="330"/>
    </row>
    <row r="356" spans="6:6" ht="15.75" customHeight="1" x14ac:dyDescent="0.25">
      <c r="F356" s="330"/>
    </row>
    <row r="357" spans="6:6" ht="15.75" customHeight="1" x14ac:dyDescent="0.25">
      <c r="F357" s="330"/>
    </row>
    <row r="358" spans="6:6" ht="15.75" customHeight="1" x14ac:dyDescent="0.25">
      <c r="F358" s="330"/>
    </row>
    <row r="359" spans="6:6" ht="15.75" customHeight="1" x14ac:dyDescent="0.25">
      <c r="F359" s="330"/>
    </row>
    <row r="360" spans="6:6" ht="15.75" customHeight="1" x14ac:dyDescent="0.25">
      <c r="F360" s="330"/>
    </row>
    <row r="361" spans="6:6" ht="15.75" customHeight="1" x14ac:dyDescent="0.25">
      <c r="F361" s="330"/>
    </row>
    <row r="362" spans="6:6" ht="15.75" customHeight="1" x14ac:dyDescent="0.25">
      <c r="F362" s="330"/>
    </row>
    <row r="363" spans="6:6" ht="15.75" customHeight="1" x14ac:dyDescent="0.25">
      <c r="F363" s="330"/>
    </row>
    <row r="364" spans="6:6" ht="15.75" customHeight="1" x14ac:dyDescent="0.25">
      <c r="F364" s="330"/>
    </row>
    <row r="365" spans="6:6" ht="15.75" customHeight="1" x14ac:dyDescent="0.25">
      <c r="F365" s="330"/>
    </row>
    <row r="366" spans="6:6" ht="15.75" customHeight="1" x14ac:dyDescent="0.25">
      <c r="F366" s="330"/>
    </row>
    <row r="367" spans="6:6" ht="15.75" customHeight="1" x14ac:dyDescent="0.25">
      <c r="F367" s="330"/>
    </row>
    <row r="368" spans="6:6" ht="15.75" customHeight="1" x14ac:dyDescent="0.25">
      <c r="F368" s="330"/>
    </row>
    <row r="369" spans="6:6" ht="15.75" customHeight="1" x14ac:dyDescent="0.25">
      <c r="F369" s="330"/>
    </row>
    <row r="370" spans="6:6" ht="15.75" customHeight="1" x14ac:dyDescent="0.25">
      <c r="F370" s="330"/>
    </row>
    <row r="371" spans="6:6" ht="15.75" customHeight="1" x14ac:dyDescent="0.25">
      <c r="F371" s="330"/>
    </row>
    <row r="372" spans="6:6" ht="15.75" customHeight="1" x14ac:dyDescent="0.25">
      <c r="F372" s="330"/>
    </row>
    <row r="373" spans="6:6" ht="15.75" customHeight="1" x14ac:dyDescent="0.25">
      <c r="F373" s="330"/>
    </row>
    <row r="374" spans="6:6" ht="15.75" customHeight="1" x14ac:dyDescent="0.25">
      <c r="F374" s="330"/>
    </row>
    <row r="375" spans="6:6" ht="15.75" customHeight="1" x14ac:dyDescent="0.25">
      <c r="F375" s="330"/>
    </row>
    <row r="376" spans="6:6" ht="15.75" customHeight="1" x14ac:dyDescent="0.25">
      <c r="F376" s="330"/>
    </row>
    <row r="377" spans="6:6" ht="15.75" customHeight="1" x14ac:dyDescent="0.25">
      <c r="F377" s="330"/>
    </row>
    <row r="378" spans="6:6" ht="15.75" customHeight="1" x14ac:dyDescent="0.25">
      <c r="F378" s="330"/>
    </row>
    <row r="379" spans="6:6" ht="15.75" customHeight="1" x14ac:dyDescent="0.25">
      <c r="F379" s="330"/>
    </row>
    <row r="380" spans="6:6" ht="15.75" customHeight="1" x14ac:dyDescent="0.25">
      <c r="F380" s="330"/>
    </row>
    <row r="381" spans="6:6" ht="15.75" customHeight="1" x14ac:dyDescent="0.25">
      <c r="F381" s="330"/>
    </row>
    <row r="382" spans="6:6" ht="15.75" customHeight="1" x14ac:dyDescent="0.25">
      <c r="F382" s="330"/>
    </row>
    <row r="383" spans="6:6" ht="15.75" customHeight="1" x14ac:dyDescent="0.25">
      <c r="F383" s="330"/>
    </row>
    <row r="384" spans="6:6" ht="15.75" customHeight="1" x14ac:dyDescent="0.25">
      <c r="F384" s="330"/>
    </row>
    <row r="385" spans="6:6" ht="15.75" customHeight="1" x14ac:dyDescent="0.25">
      <c r="F385" s="330"/>
    </row>
    <row r="386" spans="6:6" ht="15.75" customHeight="1" x14ac:dyDescent="0.25">
      <c r="F386" s="330"/>
    </row>
    <row r="387" spans="6:6" ht="15.75" customHeight="1" x14ac:dyDescent="0.25">
      <c r="F387" s="330"/>
    </row>
    <row r="388" spans="6:6" ht="15.75" customHeight="1" x14ac:dyDescent="0.25">
      <c r="F388" s="330"/>
    </row>
    <row r="389" spans="6:6" ht="15.75" customHeight="1" x14ac:dyDescent="0.25">
      <c r="F389" s="330"/>
    </row>
    <row r="390" spans="6:6" ht="15.75" customHeight="1" x14ac:dyDescent="0.25">
      <c r="F390" s="330"/>
    </row>
    <row r="391" spans="6:6" ht="15.75" customHeight="1" x14ac:dyDescent="0.25">
      <c r="F391" s="330"/>
    </row>
    <row r="392" spans="6:6" ht="15.75" customHeight="1" x14ac:dyDescent="0.25">
      <c r="F392" s="330"/>
    </row>
    <row r="393" spans="6:6" ht="15.75" customHeight="1" x14ac:dyDescent="0.25">
      <c r="F393" s="330"/>
    </row>
    <row r="394" spans="6:6" ht="15.75" customHeight="1" x14ac:dyDescent="0.25">
      <c r="F394" s="330"/>
    </row>
    <row r="395" spans="6:6" ht="15.75" customHeight="1" x14ac:dyDescent="0.25">
      <c r="F395" s="330"/>
    </row>
    <row r="396" spans="6:6" ht="15.75" customHeight="1" x14ac:dyDescent="0.25">
      <c r="F396" s="330"/>
    </row>
    <row r="397" spans="6:6" ht="15.75" customHeight="1" x14ac:dyDescent="0.25">
      <c r="F397" s="330"/>
    </row>
    <row r="398" spans="6:6" ht="15.75" customHeight="1" x14ac:dyDescent="0.25">
      <c r="F398" s="330"/>
    </row>
    <row r="399" spans="6:6" ht="15.75" customHeight="1" x14ac:dyDescent="0.25">
      <c r="F399" s="330"/>
    </row>
    <row r="400" spans="6:6" ht="15.75" customHeight="1" x14ac:dyDescent="0.25">
      <c r="F400" s="330"/>
    </row>
    <row r="401" spans="6:6" ht="15.75" customHeight="1" x14ac:dyDescent="0.25">
      <c r="F401" s="330"/>
    </row>
    <row r="402" spans="6:6" ht="15.75" customHeight="1" x14ac:dyDescent="0.25">
      <c r="F402" s="330"/>
    </row>
    <row r="403" spans="6:6" ht="15.75" customHeight="1" x14ac:dyDescent="0.25">
      <c r="F403" s="330"/>
    </row>
    <row r="404" spans="6:6" ht="15.75" customHeight="1" x14ac:dyDescent="0.25">
      <c r="F404" s="330"/>
    </row>
    <row r="405" spans="6:6" ht="15.75" customHeight="1" x14ac:dyDescent="0.25">
      <c r="F405" s="330"/>
    </row>
    <row r="406" spans="6:6" ht="15.75" customHeight="1" x14ac:dyDescent="0.25">
      <c r="F406" s="330"/>
    </row>
    <row r="407" spans="6:6" ht="15.75" customHeight="1" x14ac:dyDescent="0.25">
      <c r="F407" s="330"/>
    </row>
    <row r="408" spans="6:6" ht="15.75" customHeight="1" x14ac:dyDescent="0.25">
      <c r="F408" s="330"/>
    </row>
    <row r="409" spans="6:6" ht="15.75" customHeight="1" x14ac:dyDescent="0.25">
      <c r="F409" s="330"/>
    </row>
    <row r="410" spans="6:6" ht="15.75" customHeight="1" x14ac:dyDescent="0.25">
      <c r="F410" s="330"/>
    </row>
    <row r="411" spans="6:6" ht="15.75" customHeight="1" x14ac:dyDescent="0.25">
      <c r="F411" s="330"/>
    </row>
    <row r="412" spans="6:6" ht="15.75" customHeight="1" x14ac:dyDescent="0.25">
      <c r="F412" s="330"/>
    </row>
    <row r="413" spans="6:6" ht="15.75" customHeight="1" x14ac:dyDescent="0.25">
      <c r="F413" s="330"/>
    </row>
    <row r="414" spans="6:6" ht="15.75" customHeight="1" x14ac:dyDescent="0.25">
      <c r="F414" s="330"/>
    </row>
    <row r="415" spans="6:6" ht="15.75" customHeight="1" x14ac:dyDescent="0.25">
      <c r="F415" s="330"/>
    </row>
    <row r="416" spans="6:6" ht="15.75" customHeight="1" x14ac:dyDescent="0.25">
      <c r="F416" s="330"/>
    </row>
    <row r="417" spans="6:6" ht="15.75" customHeight="1" x14ac:dyDescent="0.25">
      <c r="F417" s="330"/>
    </row>
    <row r="418" spans="6:6" ht="15.75" customHeight="1" x14ac:dyDescent="0.25">
      <c r="F418" s="330"/>
    </row>
    <row r="419" spans="6:6" ht="15.75" customHeight="1" x14ac:dyDescent="0.25">
      <c r="F419" s="330"/>
    </row>
    <row r="420" spans="6:6" ht="15.75" customHeight="1" x14ac:dyDescent="0.25">
      <c r="F420" s="330"/>
    </row>
    <row r="421" spans="6:6" ht="15.75" customHeight="1" x14ac:dyDescent="0.25">
      <c r="F421" s="330"/>
    </row>
    <row r="422" spans="6:6" ht="15.75" customHeight="1" x14ac:dyDescent="0.25">
      <c r="F422" s="330"/>
    </row>
    <row r="423" spans="6:6" ht="15.75" customHeight="1" x14ac:dyDescent="0.25">
      <c r="F423" s="330"/>
    </row>
    <row r="424" spans="6:6" ht="15.75" customHeight="1" x14ac:dyDescent="0.25">
      <c r="F424" s="330"/>
    </row>
    <row r="425" spans="6:6" ht="15.75" customHeight="1" x14ac:dyDescent="0.25">
      <c r="F425" s="330"/>
    </row>
    <row r="426" spans="6:6" ht="15.75" customHeight="1" x14ac:dyDescent="0.25">
      <c r="F426" s="330"/>
    </row>
    <row r="427" spans="6:6" ht="15.75" customHeight="1" x14ac:dyDescent="0.25">
      <c r="F427" s="330"/>
    </row>
    <row r="428" spans="6:6" ht="15.75" customHeight="1" x14ac:dyDescent="0.25">
      <c r="F428" s="330"/>
    </row>
    <row r="429" spans="6:6" ht="15.75" customHeight="1" x14ac:dyDescent="0.25">
      <c r="F429" s="330"/>
    </row>
    <row r="430" spans="6:6" ht="15.75" customHeight="1" x14ac:dyDescent="0.25">
      <c r="F430" s="330"/>
    </row>
    <row r="431" spans="6:6" ht="15.75" customHeight="1" x14ac:dyDescent="0.25">
      <c r="F431" s="330"/>
    </row>
    <row r="432" spans="6:6" ht="15.75" customHeight="1" x14ac:dyDescent="0.25">
      <c r="F432" s="330"/>
    </row>
    <row r="433" spans="6:6" ht="15.75" customHeight="1" x14ac:dyDescent="0.25">
      <c r="F433" s="330"/>
    </row>
    <row r="434" spans="6:6" ht="15.75" customHeight="1" x14ac:dyDescent="0.25">
      <c r="F434" s="330"/>
    </row>
    <row r="435" spans="6:6" ht="15.75" customHeight="1" x14ac:dyDescent="0.25">
      <c r="F435" s="330"/>
    </row>
    <row r="436" spans="6:6" ht="15.75" customHeight="1" x14ac:dyDescent="0.25">
      <c r="F436" s="330"/>
    </row>
    <row r="437" spans="6:6" ht="15.75" customHeight="1" x14ac:dyDescent="0.25">
      <c r="F437" s="330"/>
    </row>
    <row r="438" spans="6:6" ht="15.75" customHeight="1" x14ac:dyDescent="0.25">
      <c r="F438" s="330"/>
    </row>
    <row r="439" spans="6:6" ht="15.75" customHeight="1" x14ac:dyDescent="0.25">
      <c r="F439" s="330"/>
    </row>
    <row r="440" spans="6:6" ht="15.75" customHeight="1" x14ac:dyDescent="0.25">
      <c r="F440" s="330"/>
    </row>
    <row r="441" spans="6:6" ht="15.75" customHeight="1" x14ac:dyDescent="0.25">
      <c r="F441" s="330"/>
    </row>
    <row r="442" spans="6:6" ht="15.75" customHeight="1" x14ac:dyDescent="0.25">
      <c r="F442" s="330"/>
    </row>
    <row r="443" spans="6:6" ht="15.75" customHeight="1" x14ac:dyDescent="0.25">
      <c r="F443" s="330"/>
    </row>
    <row r="444" spans="6:6" ht="15.75" customHeight="1" x14ac:dyDescent="0.25">
      <c r="F444" s="330"/>
    </row>
    <row r="445" spans="6:6" ht="15.75" customHeight="1" x14ac:dyDescent="0.25">
      <c r="F445" s="330"/>
    </row>
    <row r="446" spans="6:6" ht="15.75" customHeight="1" x14ac:dyDescent="0.25">
      <c r="F446" s="330"/>
    </row>
    <row r="447" spans="6:6" ht="15.75" customHeight="1" x14ac:dyDescent="0.25">
      <c r="F447" s="330"/>
    </row>
    <row r="448" spans="6:6" ht="15.75" customHeight="1" x14ac:dyDescent="0.25">
      <c r="F448" s="330"/>
    </row>
    <row r="449" spans="6:6" ht="15.75" customHeight="1" x14ac:dyDescent="0.25">
      <c r="F449" s="330"/>
    </row>
    <row r="450" spans="6:6" ht="15.75" customHeight="1" x14ac:dyDescent="0.25">
      <c r="F450" s="330"/>
    </row>
    <row r="451" spans="6:6" ht="15.75" customHeight="1" x14ac:dyDescent="0.25">
      <c r="F451" s="330"/>
    </row>
    <row r="452" spans="6:6" ht="15.75" customHeight="1" x14ac:dyDescent="0.25">
      <c r="F452" s="330"/>
    </row>
    <row r="453" spans="6:6" ht="15.75" customHeight="1" x14ac:dyDescent="0.25">
      <c r="F453" s="330"/>
    </row>
    <row r="454" spans="6:6" ht="15.75" customHeight="1" x14ac:dyDescent="0.25">
      <c r="F454" s="330"/>
    </row>
    <row r="455" spans="6:6" ht="15.75" customHeight="1" x14ac:dyDescent="0.25">
      <c r="F455" s="330"/>
    </row>
    <row r="456" spans="6:6" ht="15.75" customHeight="1" x14ac:dyDescent="0.25">
      <c r="F456" s="330"/>
    </row>
    <row r="457" spans="6:6" ht="15.75" customHeight="1" x14ac:dyDescent="0.25">
      <c r="F457" s="330"/>
    </row>
    <row r="458" spans="6:6" ht="15.75" customHeight="1" x14ac:dyDescent="0.25">
      <c r="F458" s="330"/>
    </row>
    <row r="459" spans="6:6" ht="15.75" customHeight="1" x14ac:dyDescent="0.25">
      <c r="F459" s="330"/>
    </row>
    <row r="460" spans="6:6" ht="15.75" customHeight="1" x14ac:dyDescent="0.25">
      <c r="F460" s="330"/>
    </row>
    <row r="461" spans="6:6" ht="15.75" customHeight="1" x14ac:dyDescent="0.25">
      <c r="F461" s="330"/>
    </row>
    <row r="462" spans="6:6" ht="15.75" customHeight="1" x14ac:dyDescent="0.25">
      <c r="F462" s="330"/>
    </row>
    <row r="463" spans="6:6" ht="15.75" customHeight="1" x14ac:dyDescent="0.25">
      <c r="F463" s="330"/>
    </row>
    <row r="464" spans="6:6" ht="15.75" customHeight="1" x14ac:dyDescent="0.25">
      <c r="F464" s="330"/>
    </row>
    <row r="465" spans="6:6" ht="15.75" customHeight="1" x14ac:dyDescent="0.25">
      <c r="F465" s="330"/>
    </row>
    <row r="466" spans="6:6" ht="15.75" customHeight="1" x14ac:dyDescent="0.25">
      <c r="F466" s="330"/>
    </row>
    <row r="467" spans="6:6" ht="15.75" customHeight="1" x14ac:dyDescent="0.25">
      <c r="F467" s="330"/>
    </row>
    <row r="468" spans="6:6" ht="15.75" customHeight="1" x14ac:dyDescent="0.25">
      <c r="F468" s="330"/>
    </row>
    <row r="469" spans="6:6" ht="15.75" customHeight="1" x14ac:dyDescent="0.25">
      <c r="F469" s="330"/>
    </row>
    <row r="470" spans="6:6" ht="15.75" customHeight="1" x14ac:dyDescent="0.25">
      <c r="F470" s="330"/>
    </row>
    <row r="471" spans="6:6" ht="15.75" customHeight="1" x14ac:dyDescent="0.25">
      <c r="F471" s="330"/>
    </row>
    <row r="472" spans="6:6" ht="15.75" customHeight="1" x14ac:dyDescent="0.25">
      <c r="F472" s="330"/>
    </row>
    <row r="473" spans="6:6" ht="15.75" customHeight="1" x14ac:dyDescent="0.25">
      <c r="F473" s="330"/>
    </row>
    <row r="474" spans="6:6" ht="15.75" customHeight="1" x14ac:dyDescent="0.25">
      <c r="F474" s="330"/>
    </row>
    <row r="475" spans="6:6" ht="15.75" customHeight="1" x14ac:dyDescent="0.25">
      <c r="F475" s="330"/>
    </row>
    <row r="476" spans="6:6" ht="15.75" customHeight="1" x14ac:dyDescent="0.25">
      <c r="F476" s="330"/>
    </row>
    <row r="477" spans="6:6" ht="15.75" customHeight="1" x14ac:dyDescent="0.25">
      <c r="F477" s="330"/>
    </row>
    <row r="478" spans="6:6" ht="15.75" customHeight="1" x14ac:dyDescent="0.25">
      <c r="F478" s="330"/>
    </row>
    <row r="479" spans="6:6" ht="15.75" customHeight="1" x14ac:dyDescent="0.25">
      <c r="F479" s="330"/>
    </row>
    <row r="480" spans="6:6" ht="15.75" customHeight="1" x14ac:dyDescent="0.25">
      <c r="F480" s="330"/>
    </row>
    <row r="481" spans="6:6" ht="15.75" customHeight="1" x14ac:dyDescent="0.25">
      <c r="F481" s="330"/>
    </row>
    <row r="482" spans="6:6" ht="15.75" customHeight="1" x14ac:dyDescent="0.25">
      <c r="F482" s="330"/>
    </row>
    <row r="483" spans="6:6" ht="15.75" customHeight="1" x14ac:dyDescent="0.25">
      <c r="F483" s="330"/>
    </row>
    <row r="484" spans="6:6" ht="15.75" customHeight="1" x14ac:dyDescent="0.25">
      <c r="F484" s="330"/>
    </row>
    <row r="485" spans="6:6" ht="15.75" customHeight="1" x14ac:dyDescent="0.25">
      <c r="F485" s="330"/>
    </row>
    <row r="486" spans="6:6" ht="15.75" customHeight="1" x14ac:dyDescent="0.25">
      <c r="F486" s="330"/>
    </row>
    <row r="487" spans="6:6" ht="15.75" customHeight="1" x14ac:dyDescent="0.25">
      <c r="F487" s="330"/>
    </row>
    <row r="488" spans="6:6" ht="15.75" customHeight="1" x14ac:dyDescent="0.25">
      <c r="F488" s="330"/>
    </row>
    <row r="489" spans="6:6" ht="15.75" customHeight="1" x14ac:dyDescent="0.25">
      <c r="F489" s="330"/>
    </row>
    <row r="490" spans="6:6" ht="15.75" customHeight="1" x14ac:dyDescent="0.25">
      <c r="F490" s="330"/>
    </row>
    <row r="491" spans="6:6" ht="15.75" customHeight="1" x14ac:dyDescent="0.25">
      <c r="F491" s="330"/>
    </row>
    <row r="492" spans="6:6" ht="15.75" customHeight="1" x14ac:dyDescent="0.25">
      <c r="F492" s="330"/>
    </row>
    <row r="493" spans="6:6" ht="15.75" customHeight="1" x14ac:dyDescent="0.25">
      <c r="F493" s="330"/>
    </row>
    <row r="494" spans="6:6" ht="15.75" customHeight="1" x14ac:dyDescent="0.25">
      <c r="F494" s="330"/>
    </row>
    <row r="495" spans="6:6" ht="15.75" customHeight="1" x14ac:dyDescent="0.25">
      <c r="F495" s="330"/>
    </row>
    <row r="496" spans="6:6" ht="15.75" customHeight="1" x14ac:dyDescent="0.25">
      <c r="F496" s="330"/>
    </row>
    <row r="497" spans="6:6" ht="15.75" customHeight="1" x14ac:dyDescent="0.25">
      <c r="F497" s="330"/>
    </row>
    <row r="498" spans="6:6" ht="15.75" customHeight="1" x14ac:dyDescent="0.25">
      <c r="F498" s="330"/>
    </row>
    <row r="499" spans="6:6" ht="15.75" customHeight="1" x14ac:dyDescent="0.25">
      <c r="F499" s="330"/>
    </row>
    <row r="500" spans="6:6" ht="15.75" customHeight="1" x14ac:dyDescent="0.25">
      <c r="F500" s="330"/>
    </row>
    <row r="501" spans="6:6" ht="15.75" customHeight="1" x14ac:dyDescent="0.25">
      <c r="F501" s="330"/>
    </row>
    <row r="502" spans="6:6" ht="15.75" customHeight="1" x14ac:dyDescent="0.25">
      <c r="F502" s="330"/>
    </row>
    <row r="503" spans="6:6" ht="15.75" customHeight="1" x14ac:dyDescent="0.25">
      <c r="F503" s="330"/>
    </row>
    <row r="504" spans="6:6" ht="15.75" customHeight="1" x14ac:dyDescent="0.25">
      <c r="F504" s="330"/>
    </row>
    <row r="505" spans="6:6" ht="15.75" customHeight="1" x14ac:dyDescent="0.25">
      <c r="F505" s="330"/>
    </row>
    <row r="506" spans="6:6" ht="15.75" customHeight="1" x14ac:dyDescent="0.25">
      <c r="F506" s="330"/>
    </row>
    <row r="507" spans="6:6" ht="15.75" customHeight="1" x14ac:dyDescent="0.25">
      <c r="F507" s="330"/>
    </row>
    <row r="508" spans="6:6" ht="15.75" customHeight="1" x14ac:dyDescent="0.25">
      <c r="F508" s="330"/>
    </row>
    <row r="509" spans="6:6" ht="15.75" customHeight="1" x14ac:dyDescent="0.25">
      <c r="F509" s="330"/>
    </row>
    <row r="510" spans="6:6" ht="15.75" customHeight="1" x14ac:dyDescent="0.25">
      <c r="F510" s="330"/>
    </row>
    <row r="511" spans="6:6" ht="15.75" customHeight="1" x14ac:dyDescent="0.25">
      <c r="F511" s="330"/>
    </row>
    <row r="512" spans="6:6" ht="15.75" customHeight="1" x14ac:dyDescent="0.25">
      <c r="F512" s="330"/>
    </row>
    <row r="513" spans="6:6" ht="15.75" customHeight="1" x14ac:dyDescent="0.25">
      <c r="F513" s="330"/>
    </row>
    <row r="514" spans="6:6" ht="15.75" customHeight="1" x14ac:dyDescent="0.25">
      <c r="F514" s="330"/>
    </row>
    <row r="515" spans="6:6" ht="15.75" customHeight="1" x14ac:dyDescent="0.25">
      <c r="F515" s="330"/>
    </row>
    <row r="516" spans="6:6" ht="15.75" customHeight="1" x14ac:dyDescent="0.25">
      <c r="F516" s="330"/>
    </row>
    <row r="517" spans="6:6" ht="15.75" customHeight="1" x14ac:dyDescent="0.25">
      <c r="F517" s="330"/>
    </row>
    <row r="518" spans="6:6" ht="15.75" customHeight="1" x14ac:dyDescent="0.25">
      <c r="F518" s="330"/>
    </row>
    <row r="519" spans="6:6" ht="15.75" customHeight="1" x14ac:dyDescent="0.25">
      <c r="F519" s="330"/>
    </row>
    <row r="520" spans="6:6" ht="15.75" customHeight="1" x14ac:dyDescent="0.25">
      <c r="F520" s="330"/>
    </row>
    <row r="521" spans="6:6" ht="15.75" customHeight="1" x14ac:dyDescent="0.25">
      <c r="F521" s="330"/>
    </row>
    <row r="522" spans="6:6" ht="15.75" customHeight="1" x14ac:dyDescent="0.25">
      <c r="F522" s="330"/>
    </row>
    <row r="523" spans="6:6" ht="15.75" customHeight="1" x14ac:dyDescent="0.25">
      <c r="F523" s="330"/>
    </row>
    <row r="524" spans="6:6" ht="15.75" customHeight="1" x14ac:dyDescent="0.25">
      <c r="F524" s="330"/>
    </row>
    <row r="525" spans="6:6" ht="15.75" customHeight="1" x14ac:dyDescent="0.25">
      <c r="F525" s="330"/>
    </row>
    <row r="526" spans="6:6" ht="15.75" customHeight="1" x14ac:dyDescent="0.25">
      <c r="F526" s="330"/>
    </row>
    <row r="527" spans="6:6" ht="15.75" customHeight="1" x14ac:dyDescent="0.25">
      <c r="F527" s="330"/>
    </row>
    <row r="528" spans="6:6" ht="15.75" customHeight="1" x14ac:dyDescent="0.25">
      <c r="F528" s="330"/>
    </row>
    <row r="529" spans="6:6" ht="15.75" customHeight="1" x14ac:dyDescent="0.25">
      <c r="F529" s="330"/>
    </row>
    <row r="530" spans="6:6" ht="15.75" customHeight="1" x14ac:dyDescent="0.25">
      <c r="F530" s="330"/>
    </row>
    <row r="531" spans="6:6" ht="15.75" customHeight="1" x14ac:dyDescent="0.25">
      <c r="F531" s="330"/>
    </row>
    <row r="532" spans="6:6" ht="15.75" customHeight="1" x14ac:dyDescent="0.25">
      <c r="F532" s="330"/>
    </row>
    <row r="533" spans="6:6" ht="15.75" customHeight="1" x14ac:dyDescent="0.25">
      <c r="F533" s="330"/>
    </row>
    <row r="534" spans="6:6" ht="15.75" customHeight="1" x14ac:dyDescent="0.25">
      <c r="F534" s="330"/>
    </row>
    <row r="535" spans="6:6" ht="15.75" customHeight="1" x14ac:dyDescent="0.25">
      <c r="F535" s="330"/>
    </row>
    <row r="536" spans="6:6" ht="15.75" customHeight="1" x14ac:dyDescent="0.25">
      <c r="F536" s="330"/>
    </row>
    <row r="537" spans="6:6" ht="15.75" customHeight="1" x14ac:dyDescent="0.25">
      <c r="F537" s="330"/>
    </row>
    <row r="538" spans="6:6" ht="15.75" customHeight="1" x14ac:dyDescent="0.25">
      <c r="F538" s="330"/>
    </row>
    <row r="539" spans="6:6" ht="15.75" customHeight="1" x14ac:dyDescent="0.25">
      <c r="F539" s="330"/>
    </row>
    <row r="540" spans="6:6" ht="15.75" customHeight="1" x14ac:dyDescent="0.25">
      <c r="F540" s="330"/>
    </row>
    <row r="541" spans="6:6" ht="15.75" customHeight="1" x14ac:dyDescent="0.25">
      <c r="F541" s="330"/>
    </row>
    <row r="542" spans="6:6" ht="15.75" customHeight="1" x14ac:dyDescent="0.25">
      <c r="F542" s="330"/>
    </row>
    <row r="543" spans="6:6" ht="15.75" customHeight="1" x14ac:dyDescent="0.25">
      <c r="F543" s="330"/>
    </row>
    <row r="544" spans="6:6" ht="15.75" customHeight="1" x14ac:dyDescent="0.25">
      <c r="F544" s="330"/>
    </row>
    <row r="545" spans="6:6" ht="15.75" customHeight="1" x14ac:dyDescent="0.25">
      <c r="F545" s="330"/>
    </row>
    <row r="546" spans="6:6" ht="15.75" customHeight="1" x14ac:dyDescent="0.25">
      <c r="F546" s="330"/>
    </row>
    <row r="547" spans="6:6" ht="15.75" customHeight="1" x14ac:dyDescent="0.25">
      <c r="F547" s="330"/>
    </row>
    <row r="548" spans="6:6" ht="15.75" customHeight="1" x14ac:dyDescent="0.25">
      <c r="F548" s="330"/>
    </row>
    <row r="549" spans="6:6" ht="15.75" customHeight="1" x14ac:dyDescent="0.25">
      <c r="F549" s="330"/>
    </row>
    <row r="550" spans="6:6" ht="15.75" customHeight="1" x14ac:dyDescent="0.25">
      <c r="F550" s="330"/>
    </row>
    <row r="551" spans="6:6" ht="15.75" customHeight="1" x14ac:dyDescent="0.25">
      <c r="F551" s="330"/>
    </row>
    <row r="552" spans="6:6" ht="15.75" customHeight="1" x14ac:dyDescent="0.25">
      <c r="F552" s="330"/>
    </row>
    <row r="553" spans="6:6" ht="15.75" customHeight="1" x14ac:dyDescent="0.25">
      <c r="F553" s="330"/>
    </row>
    <row r="554" spans="6:6" ht="15.75" customHeight="1" x14ac:dyDescent="0.25">
      <c r="F554" s="330"/>
    </row>
    <row r="555" spans="6:6" ht="15.75" customHeight="1" x14ac:dyDescent="0.25">
      <c r="F555" s="330"/>
    </row>
    <row r="556" spans="6:6" ht="15.75" customHeight="1" x14ac:dyDescent="0.25">
      <c r="F556" s="330"/>
    </row>
    <row r="557" spans="6:6" ht="15.75" customHeight="1" x14ac:dyDescent="0.25">
      <c r="F557" s="330"/>
    </row>
    <row r="558" spans="6:6" ht="15.75" customHeight="1" x14ac:dyDescent="0.25">
      <c r="F558" s="330"/>
    </row>
    <row r="559" spans="6:6" ht="15.75" customHeight="1" x14ac:dyDescent="0.25">
      <c r="F559" s="330"/>
    </row>
    <row r="560" spans="6:6" ht="15.75" customHeight="1" x14ac:dyDescent="0.25">
      <c r="F560" s="330"/>
    </row>
    <row r="561" spans="6:6" ht="15.75" customHeight="1" x14ac:dyDescent="0.25">
      <c r="F561" s="330"/>
    </row>
    <row r="562" spans="6:6" ht="15.75" customHeight="1" x14ac:dyDescent="0.25">
      <c r="F562" s="330"/>
    </row>
    <row r="563" spans="6:6" ht="15.75" customHeight="1" x14ac:dyDescent="0.25">
      <c r="F563" s="330"/>
    </row>
    <row r="564" spans="6:6" ht="15.75" customHeight="1" x14ac:dyDescent="0.25">
      <c r="F564" s="330"/>
    </row>
    <row r="565" spans="6:6" ht="15.75" customHeight="1" x14ac:dyDescent="0.25">
      <c r="F565" s="330"/>
    </row>
    <row r="566" spans="6:6" ht="15.75" customHeight="1" x14ac:dyDescent="0.25">
      <c r="F566" s="330"/>
    </row>
    <row r="567" spans="6:6" ht="15.75" customHeight="1" x14ac:dyDescent="0.25">
      <c r="F567" s="330"/>
    </row>
    <row r="568" spans="6:6" ht="15.75" customHeight="1" x14ac:dyDescent="0.25">
      <c r="F568" s="330"/>
    </row>
    <row r="569" spans="6:6" ht="15.75" customHeight="1" x14ac:dyDescent="0.25">
      <c r="F569" s="330"/>
    </row>
    <row r="570" spans="6:6" ht="15.75" customHeight="1" x14ac:dyDescent="0.25">
      <c r="F570" s="330"/>
    </row>
    <row r="571" spans="6:6" ht="15.75" customHeight="1" x14ac:dyDescent="0.25">
      <c r="F571" s="330"/>
    </row>
    <row r="572" spans="6:6" ht="15.75" customHeight="1" x14ac:dyDescent="0.25">
      <c r="F572" s="330"/>
    </row>
    <row r="573" spans="6:6" ht="15.75" customHeight="1" x14ac:dyDescent="0.25">
      <c r="F573" s="330"/>
    </row>
    <row r="574" spans="6:6" ht="15.75" customHeight="1" x14ac:dyDescent="0.25">
      <c r="F574" s="330"/>
    </row>
    <row r="575" spans="6:6" ht="15.75" customHeight="1" x14ac:dyDescent="0.25">
      <c r="F575" s="330"/>
    </row>
    <row r="576" spans="6:6" ht="15.75" customHeight="1" x14ac:dyDescent="0.25">
      <c r="F576" s="330"/>
    </row>
    <row r="577" spans="6:6" ht="15.75" customHeight="1" x14ac:dyDescent="0.25">
      <c r="F577" s="330"/>
    </row>
    <row r="578" spans="6:6" ht="15.75" customHeight="1" x14ac:dyDescent="0.25">
      <c r="F578" s="330"/>
    </row>
    <row r="579" spans="6:6" ht="15.75" customHeight="1" x14ac:dyDescent="0.25">
      <c r="F579" s="330"/>
    </row>
    <row r="580" spans="6:6" ht="15.75" customHeight="1" x14ac:dyDescent="0.25">
      <c r="F580" s="330"/>
    </row>
    <row r="581" spans="6:6" ht="15.75" customHeight="1" x14ac:dyDescent="0.25">
      <c r="F581" s="330"/>
    </row>
    <row r="582" spans="6:6" ht="15.75" customHeight="1" x14ac:dyDescent="0.25">
      <c r="F582" s="330"/>
    </row>
    <row r="583" spans="6:6" ht="15.75" customHeight="1" x14ac:dyDescent="0.25">
      <c r="F583" s="330"/>
    </row>
    <row r="584" spans="6:6" ht="15.75" customHeight="1" x14ac:dyDescent="0.25">
      <c r="F584" s="330"/>
    </row>
    <row r="585" spans="6:6" ht="15.75" customHeight="1" x14ac:dyDescent="0.25">
      <c r="F585" s="330"/>
    </row>
    <row r="586" spans="6:6" ht="15.75" customHeight="1" x14ac:dyDescent="0.25">
      <c r="F586" s="330"/>
    </row>
    <row r="587" spans="6:6" ht="15.75" customHeight="1" x14ac:dyDescent="0.25">
      <c r="F587" s="330"/>
    </row>
    <row r="588" spans="6:6" ht="15.75" customHeight="1" x14ac:dyDescent="0.25">
      <c r="F588" s="330"/>
    </row>
    <row r="589" spans="6:6" ht="15.75" customHeight="1" x14ac:dyDescent="0.25">
      <c r="F589" s="330"/>
    </row>
    <row r="590" spans="6:6" ht="15.75" customHeight="1" x14ac:dyDescent="0.25">
      <c r="F590" s="330"/>
    </row>
    <row r="591" spans="6:6" ht="15.75" customHeight="1" x14ac:dyDescent="0.25">
      <c r="F591" s="330"/>
    </row>
    <row r="592" spans="6:6" ht="15.75" customHeight="1" x14ac:dyDescent="0.25">
      <c r="F592" s="330"/>
    </row>
    <row r="593" spans="6:6" ht="15.75" customHeight="1" x14ac:dyDescent="0.25">
      <c r="F593" s="330"/>
    </row>
    <row r="594" spans="6:6" ht="15.75" customHeight="1" x14ac:dyDescent="0.25">
      <c r="F594" s="330"/>
    </row>
    <row r="595" spans="6:6" ht="15.75" customHeight="1" x14ac:dyDescent="0.25">
      <c r="F595" s="330"/>
    </row>
    <row r="596" spans="6:6" ht="15.75" customHeight="1" x14ac:dyDescent="0.25">
      <c r="F596" s="330"/>
    </row>
    <row r="597" spans="6:6" ht="15.75" customHeight="1" x14ac:dyDescent="0.25">
      <c r="F597" s="330"/>
    </row>
    <row r="598" spans="6:6" ht="15.75" customHeight="1" x14ac:dyDescent="0.25">
      <c r="F598" s="330"/>
    </row>
    <row r="599" spans="6:6" ht="15.75" customHeight="1" x14ac:dyDescent="0.25">
      <c r="F599" s="330"/>
    </row>
    <row r="600" spans="6:6" ht="15.75" customHeight="1" x14ac:dyDescent="0.25">
      <c r="F600" s="330"/>
    </row>
    <row r="601" spans="6:6" ht="15.75" customHeight="1" x14ac:dyDescent="0.25">
      <c r="F601" s="330"/>
    </row>
    <row r="602" spans="6:6" ht="15.75" customHeight="1" x14ac:dyDescent="0.25">
      <c r="F602" s="330"/>
    </row>
    <row r="603" spans="6:6" ht="15.75" customHeight="1" x14ac:dyDescent="0.25">
      <c r="F603" s="330"/>
    </row>
    <row r="604" spans="6:6" ht="15.75" customHeight="1" x14ac:dyDescent="0.25">
      <c r="F604" s="330"/>
    </row>
    <row r="605" spans="6:6" ht="15.75" customHeight="1" x14ac:dyDescent="0.25">
      <c r="F605" s="330"/>
    </row>
    <row r="606" spans="6:6" ht="15.75" customHeight="1" x14ac:dyDescent="0.25">
      <c r="F606" s="330"/>
    </row>
    <row r="607" spans="6:6" ht="15.75" customHeight="1" x14ac:dyDescent="0.25">
      <c r="F607" s="330"/>
    </row>
    <row r="608" spans="6:6" ht="15.75" customHeight="1" x14ac:dyDescent="0.25">
      <c r="F608" s="330"/>
    </row>
    <row r="609" spans="6:6" ht="15.75" customHeight="1" x14ac:dyDescent="0.25">
      <c r="F609" s="330"/>
    </row>
    <row r="610" spans="6:6" ht="15.75" customHeight="1" x14ac:dyDescent="0.25">
      <c r="F610" s="330"/>
    </row>
    <row r="611" spans="6:6" ht="15.75" customHeight="1" x14ac:dyDescent="0.25">
      <c r="F611" s="330"/>
    </row>
    <row r="612" spans="6:6" ht="15.75" customHeight="1" x14ac:dyDescent="0.25">
      <c r="F612" s="330"/>
    </row>
    <row r="613" spans="6:6" ht="15.75" customHeight="1" x14ac:dyDescent="0.25">
      <c r="F613" s="330"/>
    </row>
    <row r="614" spans="6:6" ht="15.75" customHeight="1" x14ac:dyDescent="0.25">
      <c r="F614" s="330"/>
    </row>
    <row r="615" spans="6:6" ht="15.75" customHeight="1" x14ac:dyDescent="0.25">
      <c r="F615" s="330"/>
    </row>
    <row r="616" spans="6:6" ht="15.75" customHeight="1" x14ac:dyDescent="0.25">
      <c r="F616" s="330"/>
    </row>
    <row r="617" spans="6:6" ht="15.75" customHeight="1" x14ac:dyDescent="0.25">
      <c r="F617" s="330"/>
    </row>
    <row r="618" spans="6:6" ht="15.75" customHeight="1" x14ac:dyDescent="0.25">
      <c r="F618" s="330"/>
    </row>
    <row r="619" spans="6:6" ht="15.75" customHeight="1" x14ac:dyDescent="0.25">
      <c r="F619" s="330"/>
    </row>
    <row r="620" spans="6:6" ht="15.75" customHeight="1" x14ac:dyDescent="0.25">
      <c r="F620" s="330"/>
    </row>
    <row r="621" spans="6:6" ht="15.75" customHeight="1" x14ac:dyDescent="0.25">
      <c r="F621" s="330"/>
    </row>
    <row r="622" spans="6:6" ht="15.75" customHeight="1" x14ac:dyDescent="0.25">
      <c r="F622" s="330"/>
    </row>
    <row r="623" spans="6:6" ht="15.75" customHeight="1" x14ac:dyDescent="0.25">
      <c r="F623" s="330"/>
    </row>
    <row r="624" spans="6:6" ht="15.75" customHeight="1" x14ac:dyDescent="0.25">
      <c r="F624" s="330"/>
    </row>
    <row r="625" spans="6:6" ht="15.75" customHeight="1" x14ac:dyDescent="0.25">
      <c r="F625" s="330"/>
    </row>
    <row r="626" spans="6:6" ht="15.75" customHeight="1" x14ac:dyDescent="0.25">
      <c r="F626" s="330"/>
    </row>
    <row r="627" spans="6:6" ht="15.75" customHeight="1" x14ac:dyDescent="0.25">
      <c r="F627" s="330"/>
    </row>
    <row r="628" spans="6:6" ht="15.75" customHeight="1" x14ac:dyDescent="0.25">
      <c r="F628" s="330"/>
    </row>
    <row r="629" spans="6:6" ht="15.75" customHeight="1" x14ac:dyDescent="0.25">
      <c r="F629" s="330"/>
    </row>
    <row r="630" spans="6:6" ht="15.75" customHeight="1" x14ac:dyDescent="0.25">
      <c r="F630" s="330"/>
    </row>
    <row r="631" spans="6:6" ht="15.75" customHeight="1" x14ac:dyDescent="0.25">
      <c r="F631" s="330"/>
    </row>
    <row r="632" spans="6:6" ht="15.75" customHeight="1" x14ac:dyDescent="0.25">
      <c r="F632" s="330"/>
    </row>
    <row r="633" spans="6:6" ht="15.75" customHeight="1" x14ac:dyDescent="0.25">
      <c r="F633" s="330"/>
    </row>
    <row r="634" spans="6:6" ht="15.75" customHeight="1" x14ac:dyDescent="0.25">
      <c r="F634" s="330"/>
    </row>
    <row r="635" spans="6:6" ht="15.75" customHeight="1" x14ac:dyDescent="0.25">
      <c r="F635" s="330"/>
    </row>
    <row r="636" spans="6:6" ht="15.75" customHeight="1" x14ac:dyDescent="0.25">
      <c r="F636" s="330"/>
    </row>
    <row r="637" spans="6:6" ht="15.75" customHeight="1" x14ac:dyDescent="0.25">
      <c r="F637" s="330"/>
    </row>
    <row r="638" spans="6:6" ht="15.75" customHeight="1" x14ac:dyDescent="0.25">
      <c r="F638" s="330"/>
    </row>
    <row r="639" spans="6:6" ht="15.75" customHeight="1" x14ac:dyDescent="0.25">
      <c r="F639" s="330"/>
    </row>
    <row r="640" spans="6:6" ht="15.75" customHeight="1" x14ac:dyDescent="0.25">
      <c r="F640" s="330"/>
    </row>
    <row r="641" spans="6:6" ht="15.75" customHeight="1" x14ac:dyDescent="0.25">
      <c r="F641" s="330"/>
    </row>
    <row r="642" spans="6:6" ht="15.75" customHeight="1" x14ac:dyDescent="0.25">
      <c r="F642" s="330"/>
    </row>
    <row r="643" spans="6:6" ht="15.75" customHeight="1" x14ac:dyDescent="0.25">
      <c r="F643" s="330"/>
    </row>
    <row r="644" spans="6:6" ht="15.75" customHeight="1" x14ac:dyDescent="0.25">
      <c r="F644" s="330"/>
    </row>
    <row r="645" spans="6:6" ht="15.75" customHeight="1" x14ac:dyDescent="0.25">
      <c r="F645" s="330"/>
    </row>
    <row r="646" spans="6:6" ht="15.75" customHeight="1" x14ac:dyDescent="0.25">
      <c r="F646" s="330"/>
    </row>
    <row r="647" spans="6:6" ht="15.75" customHeight="1" x14ac:dyDescent="0.25">
      <c r="F647" s="330"/>
    </row>
    <row r="648" spans="6:6" ht="15.75" customHeight="1" x14ac:dyDescent="0.25">
      <c r="F648" s="330"/>
    </row>
    <row r="649" spans="6:6" ht="15.75" customHeight="1" x14ac:dyDescent="0.25">
      <c r="F649" s="330"/>
    </row>
    <row r="650" spans="6:6" ht="15.75" customHeight="1" x14ac:dyDescent="0.25">
      <c r="F650" s="330"/>
    </row>
    <row r="651" spans="6:6" ht="15.75" customHeight="1" x14ac:dyDescent="0.25">
      <c r="F651" s="330"/>
    </row>
    <row r="652" spans="6:6" ht="15.75" customHeight="1" x14ac:dyDescent="0.25">
      <c r="F652" s="330"/>
    </row>
    <row r="653" spans="6:6" ht="15.75" customHeight="1" x14ac:dyDescent="0.25">
      <c r="F653" s="330"/>
    </row>
    <row r="654" spans="6:6" ht="15.75" customHeight="1" x14ac:dyDescent="0.25">
      <c r="F654" s="330"/>
    </row>
    <row r="655" spans="6:6" ht="15.75" customHeight="1" x14ac:dyDescent="0.25">
      <c r="F655" s="330"/>
    </row>
    <row r="656" spans="6:6" ht="15.75" customHeight="1" x14ac:dyDescent="0.25">
      <c r="F656" s="330"/>
    </row>
    <row r="657" spans="6:6" ht="15.75" customHeight="1" x14ac:dyDescent="0.25">
      <c r="F657" s="330"/>
    </row>
    <row r="658" spans="6:6" ht="15.75" customHeight="1" x14ac:dyDescent="0.25">
      <c r="F658" s="330"/>
    </row>
    <row r="659" spans="6:6" ht="15.75" customHeight="1" x14ac:dyDescent="0.25">
      <c r="F659" s="330"/>
    </row>
    <row r="660" spans="6:6" ht="15.75" customHeight="1" x14ac:dyDescent="0.25">
      <c r="F660" s="330"/>
    </row>
    <row r="661" spans="6:6" ht="15.75" customHeight="1" x14ac:dyDescent="0.25">
      <c r="F661" s="330"/>
    </row>
    <row r="662" spans="6:6" ht="15.75" customHeight="1" x14ac:dyDescent="0.25">
      <c r="F662" s="330"/>
    </row>
    <row r="663" spans="6:6" ht="15.75" customHeight="1" x14ac:dyDescent="0.25">
      <c r="F663" s="330"/>
    </row>
    <row r="664" spans="6:6" ht="15.75" customHeight="1" x14ac:dyDescent="0.25">
      <c r="F664" s="330"/>
    </row>
    <row r="665" spans="6:6" ht="15.75" customHeight="1" x14ac:dyDescent="0.25">
      <c r="F665" s="330"/>
    </row>
    <row r="666" spans="6:6" ht="15.75" customHeight="1" x14ac:dyDescent="0.25">
      <c r="F666" s="330"/>
    </row>
    <row r="667" spans="6:6" ht="15.75" customHeight="1" x14ac:dyDescent="0.25">
      <c r="F667" s="330"/>
    </row>
    <row r="668" spans="6:6" ht="15.75" customHeight="1" x14ac:dyDescent="0.25">
      <c r="F668" s="330"/>
    </row>
    <row r="669" spans="6:6" ht="15.75" customHeight="1" x14ac:dyDescent="0.25">
      <c r="F669" s="330"/>
    </row>
    <row r="670" spans="6:6" ht="15.75" customHeight="1" x14ac:dyDescent="0.25">
      <c r="F670" s="330"/>
    </row>
    <row r="671" spans="6:6" ht="15.75" customHeight="1" x14ac:dyDescent="0.25">
      <c r="F671" s="330"/>
    </row>
    <row r="672" spans="6:6" ht="15.75" customHeight="1" x14ac:dyDescent="0.25">
      <c r="F672" s="330"/>
    </row>
    <row r="673" spans="6:6" ht="15.75" customHeight="1" x14ac:dyDescent="0.25">
      <c r="F673" s="330"/>
    </row>
    <row r="674" spans="6:6" ht="15.75" customHeight="1" x14ac:dyDescent="0.25">
      <c r="F674" s="330"/>
    </row>
    <row r="675" spans="6:6" ht="15.75" customHeight="1" x14ac:dyDescent="0.25">
      <c r="F675" s="330"/>
    </row>
    <row r="676" spans="6:6" ht="15.75" customHeight="1" x14ac:dyDescent="0.25">
      <c r="F676" s="330"/>
    </row>
    <row r="677" spans="6:6" ht="15.75" customHeight="1" x14ac:dyDescent="0.25">
      <c r="F677" s="330"/>
    </row>
    <row r="678" spans="6:6" ht="15.75" customHeight="1" x14ac:dyDescent="0.25">
      <c r="F678" s="330"/>
    </row>
    <row r="679" spans="6:6" ht="15.75" customHeight="1" x14ac:dyDescent="0.25">
      <c r="F679" s="330"/>
    </row>
    <row r="680" spans="6:6" ht="15.75" customHeight="1" x14ac:dyDescent="0.25">
      <c r="F680" s="330"/>
    </row>
    <row r="681" spans="6:6" ht="15.75" customHeight="1" x14ac:dyDescent="0.25">
      <c r="F681" s="330"/>
    </row>
    <row r="682" spans="6:6" ht="15.75" customHeight="1" x14ac:dyDescent="0.25">
      <c r="F682" s="330"/>
    </row>
    <row r="683" spans="6:6" ht="15.75" customHeight="1" x14ac:dyDescent="0.25">
      <c r="F683" s="330"/>
    </row>
    <row r="684" spans="6:6" ht="15.75" customHeight="1" x14ac:dyDescent="0.25">
      <c r="F684" s="330"/>
    </row>
    <row r="685" spans="6:6" ht="15.75" customHeight="1" x14ac:dyDescent="0.25">
      <c r="F685" s="330"/>
    </row>
    <row r="686" spans="6:6" ht="15.75" customHeight="1" x14ac:dyDescent="0.25">
      <c r="F686" s="330"/>
    </row>
    <row r="687" spans="6:6" ht="15.75" customHeight="1" x14ac:dyDescent="0.25">
      <c r="F687" s="330"/>
    </row>
    <row r="688" spans="6:6" ht="15.75" customHeight="1" x14ac:dyDescent="0.25">
      <c r="F688" s="330"/>
    </row>
    <row r="689" spans="6:6" ht="15.75" customHeight="1" x14ac:dyDescent="0.25">
      <c r="F689" s="330"/>
    </row>
    <row r="690" spans="6:6" ht="15.75" customHeight="1" x14ac:dyDescent="0.25">
      <c r="F690" s="330"/>
    </row>
    <row r="691" spans="6:6" ht="15.75" customHeight="1" x14ac:dyDescent="0.25">
      <c r="F691" s="330"/>
    </row>
    <row r="692" spans="6:6" ht="15.75" customHeight="1" x14ac:dyDescent="0.25">
      <c r="F692" s="330"/>
    </row>
    <row r="693" spans="6:6" ht="15.75" customHeight="1" x14ac:dyDescent="0.25">
      <c r="F693" s="330"/>
    </row>
    <row r="694" spans="6:6" ht="15.75" customHeight="1" x14ac:dyDescent="0.25">
      <c r="F694" s="330"/>
    </row>
    <row r="695" spans="6:6" ht="15.75" customHeight="1" x14ac:dyDescent="0.25">
      <c r="F695" s="330"/>
    </row>
    <row r="696" spans="6:6" ht="15.75" customHeight="1" x14ac:dyDescent="0.25">
      <c r="F696" s="330"/>
    </row>
    <row r="697" spans="6:6" ht="15.75" customHeight="1" x14ac:dyDescent="0.25">
      <c r="F697" s="330"/>
    </row>
    <row r="698" spans="6:6" ht="15.75" customHeight="1" x14ac:dyDescent="0.25">
      <c r="F698" s="330"/>
    </row>
    <row r="699" spans="6:6" ht="15.75" customHeight="1" x14ac:dyDescent="0.25">
      <c r="F699" s="330"/>
    </row>
    <row r="700" spans="6:6" ht="15.75" customHeight="1" x14ac:dyDescent="0.25">
      <c r="F700" s="330"/>
    </row>
    <row r="701" spans="6:6" ht="15.75" customHeight="1" x14ac:dyDescent="0.25">
      <c r="F701" s="330"/>
    </row>
    <row r="702" spans="6:6" ht="15.75" customHeight="1" x14ac:dyDescent="0.25">
      <c r="F702" s="330"/>
    </row>
    <row r="703" spans="6:6" ht="15.75" customHeight="1" x14ac:dyDescent="0.25">
      <c r="F703" s="330"/>
    </row>
    <row r="704" spans="6:6" ht="15.75" customHeight="1" x14ac:dyDescent="0.25">
      <c r="F704" s="330"/>
    </row>
    <row r="705" spans="6:6" ht="15.75" customHeight="1" x14ac:dyDescent="0.25">
      <c r="F705" s="330"/>
    </row>
    <row r="706" spans="6:6" ht="15.75" customHeight="1" x14ac:dyDescent="0.25">
      <c r="F706" s="330"/>
    </row>
    <row r="707" spans="6:6" ht="15.75" customHeight="1" x14ac:dyDescent="0.25">
      <c r="F707" s="330"/>
    </row>
    <row r="708" spans="6:6" ht="15.75" customHeight="1" x14ac:dyDescent="0.25">
      <c r="F708" s="330"/>
    </row>
    <row r="709" spans="6:6" ht="15.75" customHeight="1" x14ac:dyDescent="0.25">
      <c r="F709" s="330"/>
    </row>
    <row r="710" spans="6:6" ht="15.75" customHeight="1" x14ac:dyDescent="0.25">
      <c r="F710" s="330"/>
    </row>
    <row r="711" spans="6:6" ht="15.75" customHeight="1" x14ac:dyDescent="0.25">
      <c r="F711" s="330"/>
    </row>
    <row r="712" spans="6:6" ht="15.75" customHeight="1" x14ac:dyDescent="0.25">
      <c r="F712" s="330"/>
    </row>
    <row r="713" spans="6:6" ht="15.75" customHeight="1" x14ac:dyDescent="0.25">
      <c r="F713" s="330"/>
    </row>
    <row r="714" spans="6:6" ht="15.75" customHeight="1" x14ac:dyDescent="0.25">
      <c r="F714" s="330"/>
    </row>
    <row r="715" spans="6:6" ht="15.75" customHeight="1" x14ac:dyDescent="0.25">
      <c r="F715" s="330"/>
    </row>
    <row r="716" spans="6:6" ht="15.75" customHeight="1" x14ac:dyDescent="0.25">
      <c r="F716" s="330"/>
    </row>
    <row r="717" spans="6:6" ht="15.75" customHeight="1" x14ac:dyDescent="0.25">
      <c r="F717" s="330"/>
    </row>
    <row r="718" spans="6:6" ht="15.75" customHeight="1" x14ac:dyDescent="0.25">
      <c r="F718" s="330"/>
    </row>
    <row r="719" spans="6:6" ht="15.75" customHeight="1" x14ac:dyDescent="0.25">
      <c r="F719" s="330"/>
    </row>
    <row r="720" spans="6:6" ht="15.75" customHeight="1" x14ac:dyDescent="0.25">
      <c r="F720" s="330"/>
    </row>
    <row r="721" spans="6:6" ht="15.75" customHeight="1" x14ac:dyDescent="0.25">
      <c r="F721" s="330"/>
    </row>
    <row r="722" spans="6:6" ht="15.75" customHeight="1" x14ac:dyDescent="0.25">
      <c r="F722" s="330"/>
    </row>
    <row r="723" spans="6:6" ht="15.75" customHeight="1" x14ac:dyDescent="0.25">
      <c r="F723" s="330"/>
    </row>
    <row r="724" spans="6:6" ht="15.75" customHeight="1" x14ac:dyDescent="0.25">
      <c r="F724" s="330"/>
    </row>
    <row r="725" spans="6:6" ht="15.75" customHeight="1" x14ac:dyDescent="0.25">
      <c r="F725" s="330"/>
    </row>
    <row r="726" spans="6:6" ht="15.75" customHeight="1" x14ac:dyDescent="0.25">
      <c r="F726" s="330"/>
    </row>
    <row r="727" spans="6:6" ht="15.75" customHeight="1" x14ac:dyDescent="0.25">
      <c r="F727" s="330"/>
    </row>
    <row r="728" spans="6:6" ht="15.75" customHeight="1" x14ac:dyDescent="0.25">
      <c r="F728" s="330"/>
    </row>
    <row r="729" spans="6:6" ht="15.75" customHeight="1" x14ac:dyDescent="0.25">
      <c r="F729" s="330"/>
    </row>
    <row r="730" spans="6:6" ht="15.75" customHeight="1" x14ac:dyDescent="0.25">
      <c r="F730" s="330"/>
    </row>
    <row r="731" spans="6:6" ht="15.75" customHeight="1" x14ac:dyDescent="0.25">
      <c r="F731" s="330"/>
    </row>
    <row r="732" spans="6:6" ht="15.75" customHeight="1" x14ac:dyDescent="0.25">
      <c r="F732" s="330"/>
    </row>
    <row r="733" spans="6:6" ht="15.75" customHeight="1" x14ac:dyDescent="0.25">
      <c r="F733" s="330"/>
    </row>
    <row r="734" spans="6:6" ht="15.75" customHeight="1" x14ac:dyDescent="0.25">
      <c r="F734" s="330"/>
    </row>
    <row r="735" spans="6:6" ht="15.75" customHeight="1" x14ac:dyDescent="0.25">
      <c r="F735" s="330"/>
    </row>
    <row r="736" spans="6:6" ht="15.75" customHeight="1" x14ac:dyDescent="0.25">
      <c r="F736" s="330"/>
    </row>
    <row r="737" spans="6:6" ht="15.75" customHeight="1" x14ac:dyDescent="0.25">
      <c r="F737" s="330"/>
    </row>
    <row r="738" spans="6:6" ht="15.75" customHeight="1" x14ac:dyDescent="0.25">
      <c r="F738" s="330"/>
    </row>
    <row r="739" spans="6:6" ht="15.75" customHeight="1" x14ac:dyDescent="0.25">
      <c r="F739" s="330"/>
    </row>
    <row r="740" spans="6:6" ht="15.75" customHeight="1" x14ac:dyDescent="0.25">
      <c r="F740" s="330"/>
    </row>
    <row r="741" spans="6:6" ht="15.75" customHeight="1" x14ac:dyDescent="0.25">
      <c r="F741" s="330"/>
    </row>
    <row r="742" spans="6:6" ht="15.75" customHeight="1" x14ac:dyDescent="0.25">
      <c r="F742" s="330"/>
    </row>
    <row r="743" spans="6:6" ht="15.75" customHeight="1" x14ac:dyDescent="0.25">
      <c r="F743" s="330"/>
    </row>
    <row r="744" spans="6:6" ht="15.75" customHeight="1" x14ac:dyDescent="0.25">
      <c r="F744" s="330"/>
    </row>
    <row r="745" spans="6:6" ht="15.75" customHeight="1" x14ac:dyDescent="0.25">
      <c r="F745" s="330"/>
    </row>
    <row r="746" spans="6:6" ht="15.75" customHeight="1" x14ac:dyDescent="0.25">
      <c r="F746" s="330"/>
    </row>
    <row r="747" spans="6:6" ht="15.75" customHeight="1" x14ac:dyDescent="0.25">
      <c r="F747" s="330"/>
    </row>
    <row r="748" spans="6:6" ht="15.75" customHeight="1" x14ac:dyDescent="0.25">
      <c r="F748" s="330"/>
    </row>
    <row r="749" spans="6:6" ht="15.75" customHeight="1" x14ac:dyDescent="0.25">
      <c r="F749" s="330"/>
    </row>
    <row r="750" spans="6:6" ht="15.75" customHeight="1" x14ac:dyDescent="0.25">
      <c r="F750" s="330"/>
    </row>
    <row r="751" spans="6:6" ht="15.75" customHeight="1" x14ac:dyDescent="0.25">
      <c r="F751" s="330"/>
    </row>
    <row r="752" spans="6:6" ht="15.75" customHeight="1" x14ac:dyDescent="0.25">
      <c r="F752" s="330"/>
    </row>
    <row r="753" spans="6:6" ht="15.75" customHeight="1" x14ac:dyDescent="0.25">
      <c r="F753" s="330"/>
    </row>
    <row r="754" spans="6:6" ht="15.75" customHeight="1" x14ac:dyDescent="0.25">
      <c r="F754" s="330"/>
    </row>
    <row r="755" spans="6:6" ht="15.75" customHeight="1" x14ac:dyDescent="0.25">
      <c r="F755" s="330"/>
    </row>
    <row r="756" spans="6:6" ht="15.75" customHeight="1" x14ac:dyDescent="0.25">
      <c r="F756" s="330"/>
    </row>
    <row r="757" spans="6:6" ht="15.75" customHeight="1" x14ac:dyDescent="0.25">
      <c r="F757" s="330"/>
    </row>
    <row r="758" spans="6:6" ht="15.75" customHeight="1" x14ac:dyDescent="0.25">
      <c r="F758" s="330"/>
    </row>
    <row r="759" spans="6:6" ht="15.75" customHeight="1" x14ac:dyDescent="0.25">
      <c r="F759" s="330"/>
    </row>
    <row r="760" spans="6:6" ht="15.75" customHeight="1" x14ac:dyDescent="0.25">
      <c r="F760" s="330"/>
    </row>
    <row r="761" spans="6:6" ht="15.75" customHeight="1" x14ac:dyDescent="0.25">
      <c r="F761" s="330"/>
    </row>
    <row r="762" spans="6:6" ht="15.75" customHeight="1" x14ac:dyDescent="0.25">
      <c r="F762" s="330"/>
    </row>
    <row r="763" spans="6:6" ht="15.75" customHeight="1" x14ac:dyDescent="0.25">
      <c r="F763" s="330"/>
    </row>
    <row r="764" spans="6:6" ht="15.75" customHeight="1" x14ac:dyDescent="0.25">
      <c r="F764" s="330"/>
    </row>
    <row r="765" spans="6:6" ht="15.75" customHeight="1" x14ac:dyDescent="0.25">
      <c r="F765" s="330"/>
    </row>
    <row r="766" spans="6:6" ht="15.75" customHeight="1" x14ac:dyDescent="0.25">
      <c r="F766" s="330"/>
    </row>
    <row r="767" spans="6:6" ht="15.75" customHeight="1" x14ac:dyDescent="0.25">
      <c r="F767" s="330"/>
    </row>
    <row r="768" spans="6:6" ht="15.75" customHeight="1" x14ac:dyDescent="0.25">
      <c r="F768" s="330"/>
    </row>
    <row r="769" spans="6:6" ht="15.75" customHeight="1" x14ac:dyDescent="0.25">
      <c r="F769" s="330"/>
    </row>
    <row r="770" spans="6:6" ht="15.75" customHeight="1" x14ac:dyDescent="0.25">
      <c r="F770" s="330"/>
    </row>
    <row r="771" spans="6:6" ht="15.75" customHeight="1" x14ac:dyDescent="0.25">
      <c r="F771" s="330"/>
    </row>
    <row r="772" spans="6:6" ht="15.75" customHeight="1" x14ac:dyDescent="0.25">
      <c r="F772" s="330"/>
    </row>
    <row r="773" spans="6:6" ht="15.75" customHeight="1" x14ac:dyDescent="0.25">
      <c r="F773" s="330"/>
    </row>
    <row r="774" spans="6:6" ht="15.75" customHeight="1" x14ac:dyDescent="0.25">
      <c r="F774" s="330"/>
    </row>
    <row r="775" spans="6:6" ht="15.75" customHeight="1" x14ac:dyDescent="0.25">
      <c r="F775" s="330"/>
    </row>
    <row r="776" spans="6:6" ht="15.75" customHeight="1" x14ac:dyDescent="0.25">
      <c r="F776" s="330"/>
    </row>
    <row r="777" spans="6:6" ht="15.75" customHeight="1" x14ac:dyDescent="0.25">
      <c r="F777" s="330"/>
    </row>
    <row r="778" spans="6:6" ht="15.75" customHeight="1" x14ac:dyDescent="0.25">
      <c r="F778" s="330"/>
    </row>
    <row r="779" spans="6:6" ht="15.75" customHeight="1" x14ac:dyDescent="0.25">
      <c r="F779" s="330"/>
    </row>
    <row r="780" spans="6:6" ht="15.75" customHeight="1" x14ac:dyDescent="0.25">
      <c r="F780" s="330"/>
    </row>
    <row r="781" spans="6:6" ht="15.75" customHeight="1" x14ac:dyDescent="0.25">
      <c r="F781" s="330"/>
    </row>
    <row r="782" spans="6:6" ht="15.75" customHeight="1" x14ac:dyDescent="0.25">
      <c r="F782" s="330"/>
    </row>
    <row r="783" spans="6:6" ht="15.75" customHeight="1" x14ac:dyDescent="0.25">
      <c r="F783" s="330"/>
    </row>
    <row r="784" spans="6:6" ht="15.75" customHeight="1" x14ac:dyDescent="0.25">
      <c r="F784" s="330"/>
    </row>
    <row r="785" spans="6:6" ht="15.75" customHeight="1" x14ac:dyDescent="0.25">
      <c r="F785" s="330"/>
    </row>
    <row r="786" spans="6:6" ht="15.75" customHeight="1" x14ac:dyDescent="0.25">
      <c r="F786" s="330"/>
    </row>
    <row r="787" spans="6:6" ht="15.75" customHeight="1" x14ac:dyDescent="0.25">
      <c r="F787" s="330"/>
    </row>
    <row r="788" spans="6:6" ht="15.75" customHeight="1" x14ac:dyDescent="0.25">
      <c r="F788" s="330"/>
    </row>
    <row r="789" spans="6:6" ht="15.75" customHeight="1" x14ac:dyDescent="0.25">
      <c r="F789" s="330"/>
    </row>
    <row r="790" spans="6:6" ht="15.75" customHeight="1" x14ac:dyDescent="0.25">
      <c r="F790" s="330"/>
    </row>
    <row r="791" spans="6:6" ht="15.75" customHeight="1" x14ac:dyDescent="0.25">
      <c r="F791" s="330"/>
    </row>
    <row r="792" spans="6:6" ht="15.75" customHeight="1" x14ac:dyDescent="0.25">
      <c r="F792" s="330"/>
    </row>
    <row r="793" spans="6:6" ht="15.75" customHeight="1" x14ac:dyDescent="0.25">
      <c r="F793" s="330"/>
    </row>
    <row r="794" spans="6:6" ht="15.75" customHeight="1" x14ac:dyDescent="0.25">
      <c r="F794" s="330"/>
    </row>
    <row r="795" spans="6:6" ht="15.75" customHeight="1" x14ac:dyDescent="0.25">
      <c r="F795" s="330"/>
    </row>
    <row r="796" spans="6:6" ht="15.75" customHeight="1" x14ac:dyDescent="0.25">
      <c r="F796" s="330"/>
    </row>
    <row r="797" spans="6:6" ht="15.75" customHeight="1" x14ac:dyDescent="0.25">
      <c r="F797" s="330"/>
    </row>
    <row r="798" spans="6:6" ht="15.75" customHeight="1" x14ac:dyDescent="0.25">
      <c r="F798" s="330"/>
    </row>
    <row r="799" spans="6:6" ht="15.75" customHeight="1" x14ac:dyDescent="0.25">
      <c r="F799" s="330"/>
    </row>
    <row r="800" spans="6:6" ht="15.75" customHeight="1" x14ac:dyDescent="0.25">
      <c r="F800" s="330"/>
    </row>
    <row r="801" spans="6:6" ht="15.75" customHeight="1" x14ac:dyDescent="0.25">
      <c r="F801" s="330"/>
    </row>
    <row r="802" spans="6:6" ht="15.75" customHeight="1" x14ac:dyDescent="0.25">
      <c r="F802" s="330"/>
    </row>
    <row r="803" spans="6:6" ht="15.75" customHeight="1" x14ac:dyDescent="0.25">
      <c r="F803" s="330"/>
    </row>
    <row r="804" spans="6:6" ht="15.75" customHeight="1" x14ac:dyDescent="0.25">
      <c r="F804" s="330"/>
    </row>
    <row r="805" spans="6:6" ht="15.75" customHeight="1" x14ac:dyDescent="0.25">
      <c r="F805" s="330"/>
    </row>
    <row r="806" spans="6:6" ht="15.75" customHeight="1" x14ac:dyDescent="0.25">
      <c r="F806" s="330"/>
    </row>
    <row r="807" spans="6:6" ht="15.75" customHeight="1" x14ac:dyDescent="0.25">
      <c r="F807" s="330"/>
    </row>
    <row r="808" spans="6:6" ht="15.75" customHeight="1" x14ac:dyDescent="0.25">
      <c r="F808" s="330"/>
    </row>
    <row r="809" spans="6:6" ht="15.75" customHeight="1" x14ac:dyDescent="0.25">
      <c r="F809" s="330"/>
    </row>
    <row r="810" spans="6:6" ht="15.75" customHeight="1" x14ac:dyDescent="0.25">
      <c r="F810" s="330"/>
    </row>
    <row r="811" spans="6:6" ht="15.75" customHeight="1" x14ac:dyDescent="0.25">
      <c r="F811" s="330"/>
    </row>
    <row r="812" spans="6:6" ht="15.75" customHeight="1" x14ac:dyDescent="0.25">
      <c r="F812" s="330"/>
    </row>
    <row r="813" spans="6:6" ht="15.75" customHeight="1" x14ac:dyDescent="0.25">
      <c r="F813" s="330"/>
    </row>
    <row r="814" spans="6:6" ht="15.75" customHeight="1" x14ac:dyDescent="0.25">
      <c r="F814" s="330"/>
    </row>
    <row r="815" spans="6:6" ht="15.75" customHeight="1" x14ac:dyDescent="0.25">
      <c r="F815" s="330"/>
    </row>
    <row r="816" spans="6:6" ht="15.75" customHeight="1" x14ac:dyDescent="0.25">
      <c r="F816" s="330"/>
    </row>
    <row r="817" spans="6:6" ht="15.75" customHeight="1" x14ac:dyDescent="0.25">
      <c r="F817" s="330"/>
    </row>
    <row r="818" spans="6:6" ht="15.75" customHeight="1" x14ac:dyDescent="0.25">
      <c r="F818" s="330"/>
    </row>
    <row r="819" spans="6:6" ht="15.75" customHeight="1" x14ac:dyDescent="0.25">
      <c r="F819" s="330"/>
    </row>
    <row r="820" spans="6:6" ht="15.75" customHeight="1" x14ac:dyDescent="0.25">
      <c r="F820" s="330"/>
    </row>
    <row r="821" spans="6:6" ht="15.75" customHeight="1" x14ac:dyDescent="0.25">
      <c r="F821" s="330"/>
    </row>
    <row r="822" spans="6:6" ht="15.75" customHeight="1" x14ac:dyDescent="0.25">
      <c r="F822" s="330"/>
    </row>
    <row r="823" spans="6:6" ht="15.75" customHeight="1" x14ac:dyDescent="0.25">
      <c r="F823" s="330"/>
    </row>
    <row r="824" spans="6:6" ht="15.75" customHeight="1" x14ac:dyDescent="0.25">
      <c r="F824" s="330"/>
    </row>
    <row r="825" spans="6:6" ht="15.75" customHeight="1" x14ac:dyDescent="0.25">
      <c r="F825" s="330"/>
    </row>
    <row r="826" spans="6:6" ht="15.75" customHeight="1" x14ac:dyDescent="0.25">
      <c r="F826" s="330"/>
    </row>
    <row r="827" spans="6:6" ht="15.75" customHeight="1" x14ac:dyDescent="0.25">
      <c r="F827" s="330"/>
    </row>
    <row r="828" spans="6:6" ht="15.75" customHeight="1" x14ac:dyDescent="0.25">
      <c r="F828" s="330"/>
    </row>
    <row r="829" spans="6:6" ht="15.75" customHeight="1" x14ac:dyDescent="0.25">
      <c r="F829" s="330"/>
    </row>
    <row r="830" spans="6:6" ht="15.75" customHeight="1" x14ac:dyDescent="0.25">
      <c r="F830" s="330"/>
    </row>
    <row r="831" spans="6:6" ht="15.75" customHeight="1" x14ac:dyDescent="0.25">
      <c r="F831" s="330"/>
    </row>
    <row r="832" spans="6:6" ht="15.75" customHeight="1" x14ac:dyDescent="0.25">
      <c r="F832" s="330"/>
    </row>
    <row r="833" spans="6:6" ht="15.75" customHeight="1" x14ac:dyDescent="0.25">
      <c r="F833" s="330"/>
    </row>
    <row r="834" spans="6:6" ht="15.75" customHeight="1" x14ac:dyDescent="0.25">
      <c r="F834" s="330"/>
    </row>
    <row r="835" spans="6:6" ht="15.75" customHeight="1" x14ac:dyDescent="0.25">
      <c r="F835" s="330"/>
    </row>
    <row r="836" spans="6:6" ht="15.75" customHeight="1" x14ac:dyDescent="0.25">
      <c r="F836" s="330"/>
    </row>
    <row r="837" spans="6:6" ht="15.75" customHeight="1" x14ac:dyDescent="0.25">
      <c r="F837" s="330"/>
    </row>
    <row r="838" spans="6:6" ht="15.75" customHeight="1" x14ac:dyDescent="0.25">
      <c r="F838" s="330"/>
    </row>
    <row r="839" spans="6:6" ht="15.75" customHeight="1" x14ac:dyDescent="0.25">
      <c r="F839" s="330"/>
    </row>
    <row r="840" spans="6:6" ht="15.75" customHeight="1" x14ac:dyDescent="0.25">
      <c r="F840" s="330"/>
    </row>
    <row r="841" spans="6:6" ht="15.75" customHeight="1" x14ac:dyDescent="0.25">
      <c r="F841" s="330"/>
    </row>
    <row r="842" spans="6:6" ht="15.75" customHeight="1" x14ac:dyDescent="0.25">
      <c r="F842" s="330"/>
    </row>
    <row r="843" spans="6:6" ht="15.75" customHeight="1" x14ac:dyDescent="0.25">
      <c r="F843" s="330"/>
    </row>
    <row r="844" spans="6:6" ht="15.75" customHeight="1" x14ac:dyDescent="0.25">
      <c r="F844" s="330"/>
    </row>
    <row r="845" spans="6:6" ht="15.75" customHeight="1" x14ac:dyDescent="0.25">
      <c r="F845" s="330"/>
    </row>
    <row r="846" spans="6:6" ht="15.75" customHeight="1" x14ac:dyDescent="0.25">
      <c r="F846" s="330"/>
    </row>
    <row r="847" spans="6:6" ht="15.75" customHeight="1" x14ac:dyDescent="0.25">
      <c r="F847" s="330"/>
    </row>
    <row r="848" spans="6:6" ht="15.75" customHeight="1" x14ac:dyDescent="0.25">
      <c r="F848" s="330"/>
    </row>
    <row r="849" spans="6:6" ht="15.75" customHeight="1" x14ac:dyDescent="0.25">
      <c r="F849" s="330"/>
    </row>
    <row r="850" spans="6:6" ht="15.75" customHeight="1" x14ac:dyDescent="0.25">
      <c r="F850" s="330"/>
    </row>
    <row r="851" spans="6:6" ht="15.75" customHeight="1" x14ac:dyDescent="0.25">
      <c r="F851" s="330"/>
    </row>
    <row r="852" spans="6:6" ht="15.75" customHeight="1" x14ac:dyDescent="0.25">
      <c r="F852" s="330"/>
    </row>
    <row r="853" spans="6:6" ht="15.75" customHeight="1" x14ac:dyDescent="0.25">
      <c r="F853" s="330"/>
    </row>
    <row r="854" spans="6:6" ht="15.75" customHeight="1" x14ac:dyDescent="0.25">
      <c r="F854" s="330"/>
    </row>
    <row r="855" spans="6:6" ht="15.75" customHeight="1" x14ac:dyDescent="0.25">
      <c r="F855" s="330"/>
    </row>
    <row r="856" spans="6:6" ht="15.75" customHeight="1" x14ac:dyDescent="0.25">
      <c r="F856" s="330"/>
    </row>
    <row r="857" spans="6:6" ht="15.75" customHeight="1" x14ac:dyDescent="0.25">
      <c r="F857" s="330"/>
    </row>
    <row r="858" spans="6:6" ht="15.75" customHeight="1" x14ac:dyDescent="0.25">
      <c r="F858" s="330"/>
    </row>
    <row r="859" spans="6:6" ht="15.75" customHeight="1" x14ac:dyDescent="0.25">
      <c r="F859" s="330"/>
    </row>
    <row r="860" spans="6:6" ht="15.75" customHeight="1" x14ac:dyDescent="0.25">
      <c r="F860" s="330"/>
    </row>
    <row r="861" spans="6:6" ht="15.75" customHeight="1" x14ac:dyDescent="0.25">
      <c r="F861" s="330"/>
    </row>
    <row r="862" spans="6:6" ht="15.75" customHeight="1" x14ac:dyDescent="0.25">
      <c r="F862" s="330"/>
    </row>
    <row r="863" spans="6:6" ht="15.75" customHeight="1" x14ac:dyDescent="0.25">
      <c r="F863" s="330"/>
    </row>
    <row r="864" spans="6:6" ht="15.75" customHeight="1" x14ac:dyDescent="0.25">
      <c r="F864" s="330"/>
    </row>
    <row r="865" spans="6:6" ht="15.75" customHeight="1" x14ac:dyDescent="0.25">
      <c r="F865" s="330"/>
    </row>
    <row r="866" spans="6:6" ht="15.75" customHeight="1" x14ac:dyDescent="0.25">
      <c r="F866" s="330"/>
    </row>
    <row r="867" spans="6:6" ht="15.75" customHeight="1" x14ac:dyDescent="0.25">
      <c r="F867" s="330"/>
    </row>
    <row r="868" spans="6:6" ht="15.75" customHeight="1" x14ac:dyDescent="0.25">
      <c r="F868" s="330"/>
    </row>
    <row r="869" spans="6:6" ht="15.75" customHeight="1" x14ac:dyDescent="0.25">
      <c r="F869" s="330"/>
    </row>
    <row r="870" spans="6:6" ht="15.75" customHeight="1" x14ac:dyDescent="0.25">
      <c r="F870" s="330"/>
    </row>
    <row r="871" spans="6:6" ht="15.75" customHeight="1" x14ac:dyDescent="0.25">
      <c r="F871" s="330"/>
    </row>
    <row r="872" spans="6:6" ht="15.75" customHeight="1" x14ac:dyDescent="0.25">
      <c r="F872" s="330"/>
    </row>
    <row r="873" spans="6:6" ht="15.75" customHeight="1" x14ac:dyDescent="0.25">
      <c r="F873" s="330"/>
    </row>
    <row r="874" spans="6:6" ht="15.75" customHeight="1" x14ac:dyDescent="0.25">
      <c r="F874" s="330"/>
    </row>
    <row r="875" spans="6:6" ht="15.75" customHeight="1" x14ac:dyDescent="0.25">
      <c r="F875" s="330"/>
    </row>
    <row r="876" spans="6:6" ht="15.75" customHeight="1" x14ac:dyDescent="0.25">
      <c r="F876" s="330"/>
    </row>
    <row r="877" spans="6:6" ht="15.75" customHeight="1" x14ac:dyDescent="0.25">
      <c r="F877" s="330"/>
    </row>
    <row r="878" spans="6:6" ht="15.75" customHeight="1" x14ac:dyDescent="0.25">
      <c r="F878" s="330"/>
    </row>
    <row r="879" spans="6:6" ht="15.75" customHeight="1" x14ac:dyDescent="0.25">
      <c r="F879" s="330"/>
    </row>
    <row r="880" spans="6:6" ht="15.75" customHeight="1" x14ac:dyDescent="0.25">
      <c r="F880" s="330"/>
    </row>
    <row r="881" spans="6:6" ht="15.75" customHeight="1" x14ac:dyDescent="0.25">
      <c r="F881" s="330"/>
    </row>
    <row r="882" spans="6:6" ht="15.75" customHeight="1" x14ac:dyDescent="0.25">
      <c r="F882" s="330"/>
    </row>
    <row r="883" spans="6:6" ht="15.75" customHeight="1" x14ac:dyDescent="0.25">
      <c r="F883" s="330"/>
    </row>
    <row r="884" spans="6:6" ht="15.75" customHeight="1" x14ac:dyDescent="0.25">
      <c r="F884" s="330"/>
    </row>
    <row r="885" spans="6:6" ht="15.75" customHeight="1" x14ac:dyDescent="0.25">
      <c r="F885" s="330"/>
    </row>
    <row r="886" spans="6:6" ht="15.75" customHeight="1" x14ac:dyDescent="0.25">
      <c r="F886" s="330"/>
    </row>
    <row r="887" spans="6:6" ht="15.75" customHeight="1" x14ac:dyDescent="0.25">
      <c r="F887" s="330"/>
    </row>
    <row r="888" spans="6:6" ht="15.75" customHeight="1" x14ac:dyDescent="0.25">
      <c r="F888" s="330"/>
    </row>
    <row r="889" spans="6:6" ht="15.75" customHeight="1" x14ac:dyDescent="0.25">
      <c r="F889" s="330"/>
    </row>
    <row r="890" spans="6:6" ht="15.75" customHeight="1" x14ac:dyDescent="0.25">
      <c r="F890" s="330"/>
    </row>
    <row r="891" spans="6:6" ht="15.75" customHeight="1" x14ac:dyDescent="0.25">
      <c r="F891" s="330"/>
    </row>
    <row r="892" spans="6:6" ht="15.75" customHeight="1" x14ac:dyDescent="0.25">
      <c r="F892" s="330"/>
    </row>
    <row r="893" spans="6:6" ht="15.75" customHeight="1" x14ac:dyDescent="0.25">
      <c r="F893" s="330"/>
    </row>
    <row r="894" spans="6:6" ht="15.75" customHeight="1" x14ac:dyDescent="0.25">
      <c r="F894" s="330"/>
    </row>
    <row r="895" spans="6:6" ht="15.75" customHeight="1" x14ac:dyDescent="0.25">
      <c r="F895" s="330"/>
    </row>
    <row r="896" spans="6:6" ht="15.75" customHeight="1" x14ac:dyDescent="0.25">
      <c r="F896" s="330"/>
    </row>
    <row r="897" spans="6:6" ht="15.75" customHeight="1" x14ac:dyDescent="0.25">
      <c r="F897" s="330"/>
    </row>
    <row r="898" spans="6:6" ht="15.75" customHeight="1" x14ac:dyDescent="0.25">
      <c r="F898" s="330"/>
    </row>
    <row r="899" spans="6:6" ht="15.75" customHeight="1" x14ac:dyDescent="0.25">
      <c r="F899" s="330"/>
    </row>
    <row r="900" spans="6:6" ht="15.75" customHeight="1" x14ac:dyDescent="0.25">
      <c r="F900" s="330"/>
    </row>
    <row r="901" spans="6:6" ht="15.75" customHeight="1" x14ac:dyDescent="0.25">
      <c r="F901" s="330"/>
    </row>
    <row r="902" spans="6:6" ht="15.75" customHeight="1" x14ac:dyDescent="0.25">
      <c r="F902" s="330"/>
    </row>
    <row r="903" spans="6:6" ht="15.75" customHeight="1" x14ac:dyDescent="0.25">
      <c r="F903" s="330"/>
    </row>
    <row r="904" spans="6:6" ht="15.75" customHeight="1" x14ac:dyDescent="0.25">
      <c r="F904" s="330"/>
    </row>
    <row r="905" spans="6:6" ht="15.75" customHeight="1" x14ac:dyDescent="0.25">
      <c r="F905" s="330"/>
    </row>
    <row r="906" spans="6:6" ht="15.75" customHeight="1" x14ac:dyDescent="0.25">
      <c r="F906" s="330"/>
    </row>
    <row r="907" spans="6:6" ht="15.75" customHeight="1" x14ac:dyDescent="0.25">
      <c r="F907" s="330"/>
    </row>
    <row r="908" spans="6:6" ht="15.75" customHeight="1" x14ac:dyDescent="0.25">
      <c r="F908" s="330"/>
    </row>
    <row r="909" spans="6:6" ht="15.75" customHeight="1" x14ac:dyDescent="0.25">
      <c r="F909" s="330"/>
    </row>
    <row r="910" spans="6:6" ht="15.75" customHeight="1" x14ac:dyDescent="0.25">
      <c r="F910" s="330"/>
    </row>
    <row r="911" spans="6:6" ht="15.75" customHeight="1" x14ac:dyDescent="0.25">
      <c r="F911" s="330"/>
    </row>
    <row r="912" spans="6:6" ht="15.75" customHeight="1" x14ac:dyDescent="0.25">
      <c r="F912" s="330"/>
    </row>
    <row r="913" spans="6:6" ht="15.75" customHeight="1" x14ac:dyDescent="0.25">
      <c r="F913" s="330"/>
    </row>
    <row r="914" spans="6:6" ht="15.75" customHeight="1" x14ac:dyDescent="0.25">
      <c r="F914" s="330"/>
    </row>
    <row r="915" spans="6:6" ht="15.75" customHeight="1" x14ac:dyDescent="0.25">
      <c r="F915" s="330"/>
    </row>
    <row r="916" spans="6:6" ht="15.75" customHeight="1" x14ac:dyDescent="0.25">
      <c r="F916" s="330"/>
    </row>
    <row r="917" spans="6:6" ht="15.75" customHeight="1" x14ac:dyDescent="0.25">
      <c r="F917" s="330"/>
    </row>
    <row r="918" spans="6:6" ht="15.75" customHeight="1" x14ac:dyDescent="0.25">
      <c r="F918" s="330"/>
    </row>
    <row r="919" spans="6:6" ht="15.75" customHeight="1" x14ac:dyDescent="0.25">
      <c r="F919" s="330"/>
    </row>
    <row r="920" spans="6:6" ht="15.75" customHeight="1" x14ac:dyDescent="0.25">
      <c r="F920" s="330"/>
    </row>
    <row r="921" spans="6:6" ht="15.75" customHeight="1" x14ac:dyDescent="0.25">
      <c r="F921" s="330"/>
    </row>
    <row r="922" spans="6:6" ht="15.75" customHeight="1" x14ac:dyDescent="0.25">
      <c r="F922" s="330"/>
    </row>
    <row r="923" spans="6:6" ht="15.75" customHeight="1" x14ac:dyDescent="0.25">
      <c r="F923" s="330"/>
    </row>
    <row r="924" spans="6:6" ht="15.75" customHeight="1" x14ac:dyDescent="0.25">
      <c r="F924" s="330"/>
    </row>
    <row r="925" spans="6:6" ht="15.75" customHeight="1" x14ac:dyDescent="0.25">
      <c r="F925" s="330"/>
    </row>
    <row r="926" spans="6:6" ht="15.75" customHeight="1" x14ac:dyDescent="0.25">
      <c r="F926" s="330"/>
    </row>
    <row r="927" spans="6:6" ht="15.75" customHeight="1" x14ac:dyDescent="0.25">
      <c r="F927" s="330"/>
    </row>
    <row r="928" spans="6:6" ht="15.75" customHeight="1" x14ac:dyDescent="0.25">
      <c r="F928" s="330"/>
    </row>
    <row r="929" spans="6:6" ht="15.75" customHeight="1" x14ac:dyDescent="0.25">
      <c r="F929" s="330"/>
    </row>
    <row r="930" spans="6:6" ht="15.75" customHeight="1" x14ac:dyDescent="0.25">
      <c r="F930" s="330"/>
    </row>
    <row r="931" spans="6:6" ht="15.75" customHeight="1" x14ac:dyDescent="0.25">
      <c r="F931" s="330"/>
    </row>
    <row r="932" spans="6:6" ht="15.75" customHeight="1" x14ac:dyDescent="0.25">
      <c r="F932" s="330"/>
    </row>
    <row r="933" spans="6:6" ht="15.75" customHeight="1" x14ac:dyDescent="0.25">
      <c r="F933" s="330"/>
    </row>
    <row r="934" spans="6:6" ht="15.75" customHeight="1" x14ac:dyDescent="0.25">
      <c r="F934" s="330"/>
    </row>
    <row r="935" spans="6:6" ht="15.75" customHeight="1" x14ac:dyDescent="0.25">
      <c r="F935" s="330"/>
    </row>
    <row r="936" spans="6:6" ht="15.75" customHeight="1" x14ac:dyDescent="0.25">
      <c r="F936" s="330"/>
    </row>
    <row r="937" spans="6:6" ht="15.75" customHeight="1" x14ac:dyDescent="0.25">
      <c r="F937" s="330"/>
    </row>
    <row r="938" spans="6:6" ht="15.75" customHeight="1" x14ac:dyDescent="0.25">
      <c r="F938" s="330"/>
    </row>
    <row r="939" spans="6:6" ht="15.75" customHeight="1" x14ac:dyDescent="0.25">
      <c r="F939" s="330"/>
    </row>
    <row r="940" spans="6:6" ht="15.75" customHeight="1" x14ac:dyDescent="0.25">
      <c r="F940" s="330"/>
    </row>
    <row r="941" spans="6:6" ht="15.75" customHeight="1" x14ac:dyDescent="0.25">
      <c r="F941" s="330"/>
    </row>
    <row r="942" spans="6:6" ht="15.75" customHeight="1" x14ac:dyDescent="0.25">
      <c r="F942" s="330"/>
    </row>
    <row r="943" spans="6:6" ht="15.75" customHeight="1" x14ac:dyDescent="0.25">
      <c r="F943" s="330"/>
    </row>
    <row r="944" spans="6:6" ht="15.75" customHeight="1" x14ac:dyDescent="0.25">
      <c r="F944" s="330"/>
    </row>
    <row r="945" spans="6:6" ht="15.75" customHeight="1" x14ac:dyDescent="0.25">
      <c r="F945" s="330"/>
    </row>
    <row r="946" spans="6:6" ht="15.75" customHeight="1" x14ac:dyDescent="0.25">
      <c r="F946" s="330"/>
    </row>
    <row r="947" spans="6:6" ht="15.75" customHeight="1" x14ac:dyDescent="0.25">
      <c r="F947" s="330"/>
    </row>
    <row r="948" spans="6:6" ht="15.75" customHeight="1" x14ac:dyDescent="0.25">
      <c r="F948" s="330"/>
    </row>
    <row r="949" spans="6:6" ht="15.75" customHeight="1" x14ac:dyDescent="0.25">
      <c r="F949" s="330"/>
    </row>
    <row r="950" spans="6:6" ht="15.75" customHeight="1" x14ac:dyDescent="0.25">
      <c r="F950" s="330"/>
    </row>
    <row r="951" spans="6:6" ht="15.75" customHeight="1" x14ac:dyDescent="0.25">
      <c r="F951" s="330"/>
    </row>
    <row r="952" spans="6:6" ht="15.75" customHeight="1" x14ac:dyDescent="0.25">
      <c r="F952" s="330"/>
    </row>
    <row r="953" spans="6:6" ht="15.75" customHeight="1" x14ac:dyDescent="0.25">
      <c r="F953" s="330"/>
    </row>
    <row r="954" spans="6:6" ht="15.75" customHeight="1" x14ac:dyDescent="0.25">
      <c r="F954" s="330"/>
    </row>
    <row r="955" spans="6:6" ht="15.75" customHeight="1" x14ac:dyDescent="0.25">
      <c r="F955" s="330"/>
    </row>
    <row r="956" spans="6:6" ht="15.75" customHeight="1" x14ac:dyDescent="0.25">
      <c r="F956" s="330"/>
    </row>
    <row r="957" spans="6:6" ht="15.75" customHeight="1" x14ac:dyDescent="0.25">
      <c r="F957" s="330"/>
    </row>
    <row r="958" spans="6:6" ht="15.75" customHeight="1" x14ac:dyDescent="0.25">
      <c r="F958" s="330"/>
    </row>
    <row r="959" spans="6:6" ht="15.75" customHeight="1" x14ac:dyDescent="0.25">
      <c r="F959" s="330"/>
    </row>
    <row r="960" spans="6:6" ht="15.75" customHeight="1" x14ac:dyDescent="0.25">
      <c r="F960" s="330"/>
    </row>
    <row r="961" spans="6:6" ht="15.75" customHeight="1" x14ac:dyDescent="0.25">
      <c r="F961" s="330"/>
    </row>
    <row r="962" spans="6:6" ht="15.75" customHeight="1" x14ac:dyDescent="0.25">
      <c r="F962" s="330"/>
    </row>
    <row r="963" spans="6:6" ht="15.75" customHeight="1" x14ac:dyDescent="0.25">
      <c r="F963" s="330"/>
    </row>
    <row r="964" spans="6:6" ht="15.75" customHeight="1" x14ac:dyDescent="0.25">
      <c r="F964" s="330"/>
    </row>
    <row r="965" spans="6:6" ht="15.75" customHeight="1" x14ac:dyDescent="0.25">
      <c r="F965" s="330"/>
    </row>
    <row r="966" spans="6:6" ht="15.75" customHeight="1" x14ac:dyDescent="0.25">
      <c r="F966" s="330"/>
    </row>
    <row r="967" spans="6:6" ht="15.75" customHeight="1" x14ac:dyDescent="0.25">
      <c r="F967" s="330"/>
    </row>
    <row r="968" spans="6:6" ht="15.75" customHeight="1" x14ac:dyDescent="0.25">
      <c r="F968" s="330"/>
    </row>
    <row r="969" spans="6:6" ht="15.75" customHeight="1" x14ac:dyDescent="0.25">
      <c r="F969" s="330"/>
    </row>
    <row r="970" spans="6:6" ht="15.75" customHeight="1" x14ac:dyDescent="0.25">
      <c r="F970" s="330"/>
    </row>
    <row r="971" spans="6:6" ht="15.75" customHeight="1" x14ac:dyDescent="0.25">
      <c r="F971" s="330"/>
    </row>
    <row r="972" spans="6:6" ht="15.75" customHeight="1" x14ac:dyDescent="0.25">
      <c r="F972" s="330"/>
    </row>
    <row r="973" spans="6:6" ht="15.75" customHeight="1" x14ac:dyDescent="0.25">
      <c r="F973" s="330"/>
    </row>
    <row r="974" spans="6:6" ht="15.75" customHeight="1" x14ac:dyDescent="0.25">
      <c r="F974" s="330"/>
    </row>
    <row r="975" spans="6:6" ht="15.75" customHeight="1" x14ac:dyDescent="0.25">
      <c r="F975" s="330"/>
    </row>
    <row r="976" spans="6:6" ht="15.75" customHeight="1" x14ac:dyDescent="0.25">
      <c r="F976" s="330"/>
    </row>
    <row r="977" spans="6:6" ht="15.75" customHeight="1" x14ac:dyDescent="0.25">
      <c r="F977" s="330"/>
    </row>
    <row r="978" spans="6:6" ht="15.75" customHeight="1" x14ac:dyDescent="0.25">
      <c r="F978" s="330"/>
    </row>
    <row r="979" spans="6:6" ht="15.75" customHeight="1" x14ac:dyDescent="0.25">
      <c r="F979" s="330"/>
    </row>
    <row r="980" spans="6:6" ht="15.75" customHeight="1" x14ac:dyDescent="0.25">
      <c r="F980" s="330"/>
    </row>
    <row r="981" spans="6:6" x14ac:dyDescent="0.25">
      <c r="F981" s="330"/>
    </row>
    <row r="982" spans="6:6" x14ac:dyDescent="0.25">
      <c r="F982" s="330"/>
    </row>
    <row r="983" spans="6:6" x14ac:dyDescent="0.25">
      <c r="F983" s="330"/>
    </row>
    <row r="984" spans="6:6" x14ac:dyDescent="0.25">
      <c r="F984" s="330"/>
    </row>
    <row r="985" spans="6:6" x14ac:dyDescent="0.25">
      <c r="F985" s="330"/>
    </row>
    <row r="986" spans="6:6" x14ac:dyDescent="0.25">
      <c r="F986" s="330"/>
    </row>
    <row r="987" spans="6:6" x14ac:dyDescent="0.25">
      <c r="F987" s="330"/>
    </row>
    <row r="988" spans="6:6" x14ac:dyDescent="0.25">
      <c r="F988" s="330"/>
    </row>
    <row r="989" spans="6:6" x14ac:dyDescent="0.25">
      <c r="F989" s="330"/>
    </row>
    <row r="990" spans="6:6" x14ac:dyDescent="0.25">
      <c r="F990" s="330"/>
    </row>
    <row r="991" spans="6:6" x14ac:dyDescent="0.25">
      <c r="F991" s="330"/>
    </row>
    <row r="992" spans="6:6" x14ac:dyDescent="0.25">
      <c r="F992" s="330"/>
    </row>
    <row r="993" spans="6:6" x14ac:dyDescent="0.25">
      <c r="F993" s="330"/>
    </row>
    <row r="994" spans="6:6" x14ac:dyDescent="0.25">
      <c r="F994" s="330"/>
    </row>
    <row r="995" spans="6:6" x14ac:dyDescent="0.25">
      <c r="F995" s="330"/>
    </row>
    <row r="996" spans="6:6" x14ac:dyDescent="0.25">
      <c r="F996" s="330"/>
    </row>
    <row r="997" spans="6:6" x14ac:dyDescent="0.25">
      <c r="F997" s="330"/>
    </row>
    <row r="998" spans="6:6" x14ac:dyDescent="0.25">
      <c r="F998" s="330"/>
    </row>
    <row r="999" spans="6:6" x14ac:dyDescent="0.25">
      <c r="F999" s="330"/>
    </row>
  </sheetData>
  <sheetProtection algorithmName="SHA-512" hashValue="hK1OJ2hGhfzIuA4U39LpEkmxB0tROxTLhtIWyUCJvXJZ3xk7UEuCmHZxzje1WNbwPwcfc0aMu8Ag4OLsQIeSEw==" saltValue="CMsJMZG/ZMIncoJ2BVAV5w==" spinCount="100000" sheet="1" objects="1" scenarios="1"/>
  <mergeCells count="37">
    <mergeCell ref="A5:C5"/>
    <mergeCell ref="A10:C10"/>
    <mergeCell ref="A15:C15"/>
    <mergeCell ref="K3:K4"/>
    <mergeCell ref="A16:B25"/>
    <mergeCell ref="M3:N4"/>
    <mergeCell ref="A1:C1"/>
    <mergeCell ref="A2:O2"/>
    <mergeCell ref="D3:D4"/>
    <mergeCell ref="E3:E4"/>
    <mergeCell ref="L3:L4"/>
    <mergeCell ref="A3:B4"/>
    <mergeCell ref="C3:C4"/>
    <mergeCell ref="F3:F4"/>
    <mergeCell ref="G3:G4"/>
    <mergeCell ref="D1:L1"/>
    <mergeCell ref="H3:H4"/>
    <mergeCell ref="I3:I4"/>
    <mergeCell ref="J3:J4"/>
    <mergeCell ref="M6:N6"/>
    <mergeCell ref="M7:N7"/>
    <mergeCell ref="M8:N8"/>
    <mergeCell ref="M9:N9"/>
    <mergeCell ref="M11:N11"/>
    <mergeCell ref="M12:N12"/>
    <mergeCell ref="M13:N13"/>
    <mergeCell ref="M14:N14"/>
    <mergeCell ref="M16:N16"/>
    <mergeCell ref="M17:N17"/>
    <mergeCell ref="M23:N23"/>
    <mergeCell ref="M24:N24"/>
    <mergeCell ref="M25:N25"/>
    <mergeCell ref="M18:N18"/>
    <mergeCell ref="M19:N19"/>
    <mergeCell ref="M20:N20"/>
    <mergeCell ref="M21:N21"/>
    <mergeCell ref="M22:N22"/>
  </mergeCells>
  <conditionalFormatting sqref="K6:K30">
    <cfRule type="expression" dxfId="241" priority="18">
      <formula>H6=1</formula>
    </cfRule>
  </conditionalFormatting>
  <conditionalFormatting sqref="I7:I30">
    <cfRule type="cellIs" dxfId="240" priority="10" operator="lessThan">
      <formula>0</formula>
    </cfRule>
  </conditionalFormatting>
  <conditionalFormatting sqref="L6:L30">
    <cfRule type="cellIs" dxfId="239" priority="8" operator="greaterThan">
      <formula>0</formula>
    </cfRule>
    <cfRule type="cellIs" dxfId="238" priority="9" operator="equal">
      <formula>0</formula>
    </cfRule>
  </conditionalFormatting>
  <conditionalFormatting sqref="O6:O30">
    <cfRule type="containsText" dxfId="237" priority="11" operator="containsText" text="Expired">
      <formula>NOT(ISERROR(SEARCH("Expired",O6)))</formula>
    </cfRule>
    <cfRule type="containsText" dxfId="236" priority="12" operator="containsText" text="B1">
      <formula>NOT(ISERROR(SEARCH("B1",O6)))</formula>
    </cfRule>
    <cfRule type="containsText" dxfId="235" priority="13" operator="containsText" text="LCA">
      <formula>NOT(ISERROR(SEARCH("LCA",O6)))</formula>
    </cfRule>
    <cfRule type="containsText" dxfId="234" priority="14" operator="containsText" text="ICE">
      <formula>NOT(ISERROR(SEARCH("ICE",O6)))</formula>
    </cfRule>
    <cfRule type="containsText" dxfId="233" priority="15" operator="containsText" text="No">
      <formula>NOT(ISERROR(SEARCH("No",O6)))</formula>
    </cfRule>
    <cfRule type="containsText" dxfId="232" priority="16" operator="containsText" text="None">
      <formula>NOT(ISERROR(SEARCH("None",O6)))</formula>
    </cfRule>
    <cfRule type="containsText" dxfId="231" priority="17" operator="containsText" text="A1-">
      <formula>NOT(ISERROR(SEARCH("A1-",O6)))</formula>
    </cfRule>
  </conditionalFormatting>
  <conditionalFormatting sqref="P4">
    <cfRule type="cellIs" dxfId="230" priority="2" operator="greaterThan">
      <formula>0</formula>
    </cfRule>
    <cfRule type="cellIs" dxfId="229" priority="3" operator="equal">
      <formula>0</formula>
    </cfRule>
  </conditionalFormatting>
  <conditionalFormatting sqref="O4">
    <cfRule type="expression" dxfId="228" priority="1">
      <formula>COUNTIF($H:$H, 1)&gt;0</formula>
    </cfRule>
  </conditionalFormatting>
  <dataValidations count="1">
    <dataValidation type="whole" errorStyle="warning" operator="equal" allowBlank="1" showErrorMessage="1" errorTitle="Enter 1 to select" error="Options:_x000a_To select item, enter '1'_x000a_To unselect, leave cell empty" sqref="H6:H25" xr:uid="{00000000-0002-0000-0E00-000000000000}">
      <formula1>1</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9">
    <tabColor theme="4" tint="0.59999389629810485"/>
  </sheetPr>
  <dimension ref="A1:Z1052"/>
  <sheetViews>
    <sheetView zoomScale="80" zoomScaleNormal="80" workbookViewId="0">
      <pane ySplit="4" topLeftCell="A5" activePane="bottomLeft" state="frozen"/>
      <selection activeCell="K14" sqref="K14"/>
      <selection pane="bottomLeft" activeCell="A5" sqref="A5:C5"/>
    </sheetView>
  </sheetViews>
  <sheetFormatPr defaultColWidth="11.36328125" defaultRowHeight="15" customHeight="1" x14ac:dyDescent="0.25"/>
  <cols>
    <col min="1" max="1" width="8.6328125" customWidth="1"/>
    <col min="2" max="2" width="13.08984375" customWidth="1"/>
    <col min="3" max="3" width="57.54296875" customWidth="1"/>
    <col min="4" max="4" width="19.81640625" style="712" customWidth="1"/>
    <col min="5" max="5" width="5.6328125" customWidth="1"/>
    <col min="6" max="6" width="6.6328125" style="331" customWidth="1"/>
    <col min="7" max="7" width="2.36328125" customWidth="1"/>
    <col min="8" max="8" width="6.6328125" customWidth="1"/>
    <col min="9" max="9" width="13.6328125" style="714" hidden="1" customWidth="1"/>
    <col min="10" max="10" width="16.6328125" style="714" hidden="1" customWidth="1"/>
    <col min="11" max="12" width="13.6328125" style="714" customWidth="1"/>
    <col min="13" max="13" width="12.6328125" style="714" customWidth="1"/>
    <col min="14" max="14" width="35.90625" style="714" customWidth="1"/>
    <col min="15" max="15" width="28.6328125" customWidth="1"/>
    <col min="16" max="16" width="24.81640625" style="620" customWidth="1"/>
    <col min="17" max="17" width="35.81640625" style="725" customWidth="1"/>
    <col min="18" max="18" width="22" style="725" customWidth="1"/>
    <col min="19" max="26" width="10.54296875" style="619" customWidth="1"/>
    <col min="27" max="16384" width="11.36328125" style="619"/>
  </cols>
  <sheetData>
    <row r="1" spans="1:26" ht="54.75" customHeight="1" x14ac:dyDescent="0.25">
      <c r="A1" s="1528" t="s">
        <v>3435</v>
      </c>
      <c r="B1" s="1529"/>
      <c r="C1" s="1530"/>
      <c r="D1" s="1521" t="s">
        <v>1740</v>
      </c>
      <c r="E1" s="1521"/>
      <c r="F1" s="1521"/>
      <c r="G1" s="1521"/>
      <c r="H1" s="1521"/>
      <c r="I1" s="1521"/>
      <c r="J1" s="1521"/>
      <c r="K1" s="1521"/>
      <c r="L1" s="1521"/>
      <c r="M1" s="1630"/>
      <c r="N1" s="1630"/>
      <c r="O1" s="1521"/>
      <c r="P1" s="618"/>
    </row>
    <row r="2" spans="1:26" s="621" customFormat="1" ht="19.2" customHeight="1" x14ac:dyDescent="0.3">
      <c r="A2" s="1591" t="s">
        <v>7209</v>
      </c>
      <c r="B2" s="1591"/>
      <c r="C2" s="1591"/>
      <c r="D2" s="1591"/>
      <c r="E2" s="1591"/>
      <c r="F2" s="1591"/>
      <c r="G2" s="1591"/>
      <c r="H2" s="1591"/>
      <c r="I2" s="1591"/>
      <c r="J2" s="1591"/>
      <c r="K2" s="1591"/>
      <c r="L2" s="1591"/>
      <c r="M2" s="1591"/>
      <c r="N2" s="1591"/>
      <c r="O2" s="1591"/>
      <c r="P2" s="620"/>
      <c r="Q2" s="830"/>
      <c r="R2" s="830"/>
    </row>
    <row r="3" spans="1:26" ht="60" customHeight="1" x14ac:dyDescent="0.25">
      <c r="A3" s="1537" t="s">
        <v>1031</v>
      </c>
      <c r="B3" s="1537"/>
      <c r="C3" s="1537" t="s">
        <v>13</v>
      </c>
      <c r="D3" s="1532" t="s">
        <v>1583</v>
      </c>
      <c r="E3" s="1534"/>
      <c r="F3" s="1631" t="s">
        <v>14</v>
      </c>
      <c r="G3" s="1537"/>
      <c r="H3" s="1538" t="s">
        <v>3417</v>
      </c>
      <c r="I3" s="1526" t="s">
        <v>7157</v>
      </c>
      <c r="J3" s="1526" t="s">
        <v>7158</v>
      </c>
      <c r="K3" s="1535" t="s">
        <v>900</v>
      </c>
      <c r="L3" s="1535" t="s">
        <v>7156</v>
      </c>
      <c r="M3" s="1520" t="s">
        <v>7165</v>
      </c>
      <c r="N3" s="1520"/>
      <c r="O3" s="622" t="s">
        <v>7192</v>
      </c>
      <c r="P3" s="622" t="s">
        <v>7200</v>
      </c>
      <c r="S3" s="665"/>
      <c r="T3" s="665"/>
      <c r="U3" s="665"/>
      <c r="V3" s="665"/>
      <c r="W3" s="665"/>
      <c r="X3" s="665"/>
      <c r="Y3" s="665"/>
      <c r="Z3" s="665"/>
    </row>
    <row r="4" spans="1:26" ht="30.15" customHeight="1" x14ac:dyDescent="0.3">
      <c r="A4" s="1537"/>
      <c r="B4" s="1537"/>
      <c r="C4" s="1537"/>
      <c r="D4" s="1533"/>
      <c r="E4" s="1523"/>
      <c r="F4" s="1631"/>
      <c r="G4" s="1537"/>
      <c r="H4" s="1539"/>
      <c r="I4" s="1527"/>
      <c r="J4" s="1527"/>
      <c r="K4" s="1536"/>
      <c r="L4" s="1536"/>
      <c r="M4" s="1520"/>
      <c r="N4" s="1520"/>
      <c r="O4" s="405">
        <f>SUMIF(H6:H108, 1, K6:K108)</f>
        <v>0</v>
      </c>
      <c r="P4" s="424">
        <f>SUMIF(H6:H108, 1, L6:L108)</f>
        <v>0</v>
      </c>
      <c r="Q4" s="626" t="s">
        <v>107</v>
      </c>
      <c r="R4" s="626" t="s">
        <v>1072</v>
      </c>
      <c r="S4" s="627" t="s">
        <v>749</v>
      </c>
      <c r="T4" s="627" t="s">
        <v>108</v>
      </c>
    </row>
    <row r="5" spans="1:26" s="624" customFormat="1" ht="54.75" customHeight="1" x14ac:dyDescent="0.25">
      <c r="A5" s="1522" t="s">
        <v>39</v>
      </c>
      <c r="B5" s="1523"/>
      <c r="C5" s="1523"/>
      <c r="D5" s="629" t="s">
        <v>38</v>
      </c>
      <c r="E5" s="1"/>
      <c r="F5" s="323" t="str">
        <f>IF(LOWER(Setting!rng_language)="english","in","po")</f>
        <v>in</v>
      </c>
      <c r="G5" s="650"/>
      <c r="H5" s="650"/>
      <c r="I5" s="651"/>
      <c r="J5" s="651"/>
      <c r="K5" s="652"/>
      <c r="L5" s="759"/>
      <c r="M5" s="759"/>
      <c r="N5" s="759"/>
      <c r="O5" s="831"/>
      <c r="P5" s="637"/>
      <c r="Q5" s="726"/>
      <c r="R5" s="726"/>
      <c r="S5" s="638"/>
      <c r="T5" s="638"/>
      <c r="U5" s="638"/>
      <c r="V5" s="638"/>
      <c r="W5" s="638"/>
      <c r="X5" s="638"/>
      <c r="Y5" s="638"/>
      <c r="Z5" s="638"/>
    </row>
    <row r="6" spans="1:26" s="624" customFormat="1" ht="21" x14ac:dyDescent="0.25">
      <c r="A6" s="639"/>
      <c r="B6" s="1524" t="s">
        <v>6842</v>
      </c>
      <c r="C6" s="1523"/>
      <c r="D6" s="640"/>
      <c r="E6" s="641"/>
      <c r="F6" s="334"/>
      <c r="G6" s="678"/>
      <c r="H6" s="639"/>
      <c r="I6" s="733"/>
      <c r="J6" s="733"/>
      <c r="K6" s="698"/>
      <c r="L6" s="736"/>
      <c r="M6" s="736"/>
      <c r="N6" s="736"/>
      <c r="O6" s="25" t="str">
        <f>_xlfn.IFNA(VLOOKUP($C6,'Master sheet'!$A:$AR,44,FALSE),"")&amp;""</f>
        <v/>
      </c>
      <c r="P6" s="637"/>
      <c r="Q6" s="722"/>
      <c r="R6" s="722"/>
      <c r="S6" s="623"/>
      <c r="T6" s="638"/>
      <c r="U6" s="638"/>
      <c r="V6" s="638"/>
      <c r="W6" s="638"/>
      <c r="X6" s="638"/>
      <c r="Y6" s="638"/>
      <c r="Z6" s="638"/>
    </row>
    <row r="7" spans="1:26" ht="22.8" x14ac:dyDescent="0.25">
      <c r="A7" s="1542"/>
      <c r="B7" s="1542"/>
      <c r="C7" s="669" t="str">
        <f>INDEX('Master sheet'!$A$1:$A$670,MATCH("248-1",'Master sheet'!$AN$1:$AN$670,0))</f>
        <v xml:space="preserve">Wood - SPF / Canadian Wood Council / British Columbia / </v>
      </c>
      <c r="D7" s="15">
        <f>'USER INPUT SHEET'!$D$34</f>
        <v>0</v>
      </c>
      <c r="E7" s="16" t="str">
        <f>'USER INPUT SHEET'!$F$34</f>
        <v>m2</v>
      </c>
      <c r="F7" s="3">
        <v>1</v>
      </c>
      <c r="G7" s="670"/>
      <c r="H7" s="8"/>
      <c r="I7" s="95">
        <f t="shared" ref="I7:I12" si="0">K7-L7-IF(N7,M7,0)</f>
        <v>0</v>
      </c>
      <c r="J7" s="93" t="str">
        <f t="shared" ref="J7:J12" si="1">IF(H7=1,I7,"")</f>
        <v/>
      </c>
      <c r="K7" s="406">
        <f>$D7*$F7*IF($E$5=16,0.25,0.22)*VLOOKUP($C7,'Master sheet'!$A:$AL,13,FALSE)*(0.0254*2.5)</f>
        <v>0</v>
      </c>
      <c r="L7" s="94">
        <f>$D7*$F7*IF($E$5=16,0.25,0.22)*VLOOKUP($C7,'Master sheet'!$A:$AL,27,FALSE)*(0.0254*2.5)</f>
        <v>0</v>
      </c>
      <c r="M7" s="1562"/>
      <c r="N7" s="1562"/>
      <c r="O7" s="25" t="str">
        <f>_xlfn.IFNA(VLOOKUP($C7,'Master sheet'!$A:$AR,44,FALSE),"")&amp;""</f>
        <v/>
      </c>
      <c r="P7" s="685"/>
      <c r="Q7" s="717" t="s">
        <v>72</v>
      </c>
      <c r="R7" s="717" t="s">
        <v>1737</v>
      </c>
      <c r="S7" s="737" t="s">
        <v>7258</v>
      </c>
      <c r="T7" s="665"/>
      <c r="U7" s="664"/>
      <c r="V7" s="664"/>
      <c r="W7" s="664"/>
      <c r="X7" s="664"/>
      <c r="Y7" s="664"/>
      <c r="Z7" s="664"/>
    </row>
    <row r="8" spans="1:26" ht="22.8" x14ac:dyDescent="0.25">
      <c r="A8" s="1542"/>
      <c r="B8" s="1542"/>
      <c r="C8" s="669" t="str">
        <f>INDEX('Master sheet'!$A$1:$A$670,MATCH("248-2",'Master sheet'!$AN$1:$AN$670,0))</f>
        <v xml:space="preserve">Wood - SPF / Canadian Wood Council / Alberta / </v>
      </c>
      <c r="D8" s="15">
        <f>'USER INPUT SHEET'!$D$34</f>
        <v>0</v>
      </c>
      <c r="E8" s="16" t="str">
        <f>'USER INPUT SHEET'!$F$34</f>
        <v>m2</v>
      </c>
      <c r="F8" s="3">
        <v>1</v>
      </c>
      <c r="G8" s="670"/>
      <c r="H8" s="8"/>
      <c r="I8" s="95">
        <f t="shared" si="0"/>
        <v>0</v>
      </c>
      <c r="J8" s="93" t="str">
        <f t="shared" si="1"/>
        <v/>
      </c>
      <c r="K8" s="406">
        <f>$D8*$F8*IF($E$5=16,0.25,0.22)*VLOOKUP($C8,'Master sheet'!$A:$AL,13,FALSE)*(0.0254*2.5)</f>
        <v>0</v>
      </c>
      <c r="L8" s="94">
        <f>$D8*$F8*IF($E$5=16,0.25,0.22)*VLOOKUP($C8,'Master sheet'!$A:$AL,27,FALSE)*(0.0254*2.5)</f>
        <v>0</v>
      </c>
      <c r="M8" s="1552"/>
      <c r="N8" s="1552"/>
      <c r="O8" s="25" t="str">
        <f>_xlfn.IFNA(VLOOKUP($C8,'Master sheet'!$A:$AR,44,FALSE),"")&amp;""</f>
        <v/>
      </c>
      <c r="P8" s="685"/>
      <c r="Q8" s="717" t="s">
        <v>72</v>
      </c>
      <c r="R8" s="717" t="s">
        <v>1737</v>
      </c>
      <c r="S8" s="737" t="s">
        <v>7258</v>
      </c>
      <c r="T8" s="665"/>
      <c r="U8" s="664"/>
      <c r="V8" s="664"/>
      <c r="W8" s="664"/>
      <c r="X8" s="664"/>
      <c r="Y8" s="664"/>
      <c r="Z8" s="664"/>
    </row>
    <row r="9" spans="1:26" ht="22.8" x14ac:dyDescent="0.25">
      <c r="A9" s="1542"/>
      <c r="B9" s="1542"/>
      <c r="C9" s="669" t="str">
        <f>INDEX('Master sheet'!$A$1:$A$670,MATCH("248-3",'Master sheet'!$AN$1:$AN$670,0))</f>
        <v xml:space="preserve">Wood - SPF / Canadian Wood Council / Ontario / </v>
      </c>
      <c r="D9" s="15">
        <f>'USER INPUT SHEET'!$D$34</f>
        <v>0</v>
      </c>
      <c r="E9" s="16" t="str">
        <f>'USER INPUT SHEET'!$F$34</f>
        <v>m2</v>
      </c>
      <c r="F9" s="3">
        <v>1</v>
      </c>
      <c r="G9" s="670"/>
      <c r="H9" s="8"/>
      <c r="I9" s="95">
        <f t="shared" si="0"/>
        <v>0</v>
      </c>
      <c r="J9" s="93" t="str">
        <f t="shared" si="1"/>
        <v/>
      </c>
      <c r="K9" s="406">
        <f>$D9*$F9*IF($E$5=16,0.25,0.22)*VLOOKUP($C9,'Master sheet'!$A:$AL,13,FALSE)*(0.0254*2.5)</f>
        <v>0</v>
      </c>
      <c r="L9" s="94">
        <f>$D9*$F9*IF($E$5=16,0.25,0.22)*VLOOKUP($C9,'Master sheet'!$A:$AL,27,FALSE)*(0.0254*2.5)</f>
        <v>0</v>
      </c>
      <c r="M9" s="1552"/>
      <c r="N9" s="1552"/>
      <c r="O9" s="25" t="str">
        <f>_xlfn.IFNA(VLOOKUP($C9,'Master sheet'!$A:$AR,44,FALSE),"")&amp;""</f>
        <v/>
      </c>
      <c r="P9" s="685"/>
      <c r="Q9" s="717" t="s">
        <v>72</v>
      </c>
      <c r="R9" s="717" t="s">
        <v>1737</v>
      </c>
      <c r="S9" s="737" t="s">
        <v>7258</v>
      </c>
      <c r="T9" s="665"/>
      <c r="U9" s="664"/>
      <c r="V9" s="664"/>
      <c r="W9" s="664"/>
      <c r="X9" s="664"/>
      <c r="Y9" s="664"/>
      <c r="Z9" s="664"/>
    </row>
    <row r="10" spans="1:26" ht="22.8" x14ac:dyDescent="0.25">
      <c r="A10" s="1542"/>
      <c r="B10" s="1542"/>
      <c r="C10" s="669" t="str">
        <f>INDEX('Master sheet'!$A$1:$A$670,MATCH("248-4",'Master sheet'!$AN$1:$AN$670,0))</f>
        <v xml:space="preserve">Wood - SPF / Canadian Wood Council / Quebec / </v>
      </c>
      <c r="D10" s="15">
        <f>'USER INPUT SHEET'!$D$34</f>
        <v>0</v>
      </c>
      <c r="E10" s="16" t="str">
        <f>'USER INPUT SHEET'!$F$34</f>
        <v>m2</v>
      </c>
      <c r="F10" s="3">
        <v>1</v>
      </c>
      <c r="G10" s="670"/>
      <c r="H10" s="8"/>
      <c r="I10" s="95">
        <f t="shared" si="0"/>
        <v>0</v>
      </c>
      <c r="J10" s="93" t="str">
        <f t="shared" si="1"/>
        <v/>
      </c>
      <c r="K10" s="406">
        <f>$D10*$F10*IF($E$5=16,0.25,0.22)*VLOOKUP($C10,'Master sheet'!$A:$AL,13,FALSE)*(0.0254*2.5)</f>
        <v>0</v>
      </c>
      <c r="L10" s="94">
        <f>$D10*$F10*IF($E$5=16,0.25,0.22)*VLOOKUP($C10,'Master sheet'!$A:$AL,27,FALSE)*(0.0254*2.5)</f>
        <v>0</v>
      </c>
      <c r="M10" s="1552"/>
      <c r="N10" s="1552"/>
      <c r="O10" s="25" t="str">
        <f>_xlfn.IFNA(VLOOKUP($C10,'Master sheet'!$A:$AR,44,FALSE),"")&amp;""</f>
        <v/>
      </c>
      <c r="P10" s="685"/>
      <c r="Q10" s="717" t="s">
        <v>72</v>
      </c>
      <c r="R10" s="717" t="s">
        <v>1737</v>
      </c>
      <c r="S10" s="737" t="s">
        <v>7258</v>
      </c>
      <c r="T10" s="665"/>
      <c r="U10" s="664"/>
      <c r="V10" s="664"/>
      <c r="W10" s="664"/>
      <c r="X10" s="664"/>
      <c r="Y10" s="664"/>
      <c r="Z10" s="664"/>
    </row>
    <row r="11" spans="1:26" ht="22.8" x14ac:dyDescent="0.25">
      <c r="A11" s="1542"/>
      <c r="B11" s="1542"/>
      <c r="C11" s="669" t="str">
        <f>INDEX('Master sheet'!$A$1:$A$670,MATCH("248-5",'Master sheet'!$AN$1:$AN$670,0))</f>
        <v xml:space="preserve">Wood - SPF / Canadian Wood Council / New Brunswick / </v>
      </c>
      <c r="D11" s="15">
        <f>'USER INPUT SHEET'!$D$34</f>
        <v>0</v>
      </c>
      <c r="E11" s="16" t="str">
        <f>'USER INPUT SHEET'!$F$34</f>
        <v>m2</v>
      </c>
      <c r="F11" s="3">
        <v>1</v>
      </c>
      <c r="G11" s="670"/>
      <c r="H11" s="8"/>
      <c r="I11" s="95">
        <f t="shared" si="0"/>
        <v>0</v>
      </c>
      <c r="J11" s="93" t="str">
        <f t="shared" si="1"/>
        <v/>
      </c>
      <c r="K11" s="406">
        <f>$D11*$F11*IF($E$5=16,0.25,0.22)*VLOOKUP($C11,'Master sheet'!$A:$AL,13,FALSE)*(0.0254*2.5)</f>
        <v>0</v>
      </c>
      <c r="L11" s="94">
        <f>$D11*$F11*IF($E$5=16,0.25,0.22)*VLOOKUP($C11,'Master sheet'!$A:$AL,27,FALSE)*(0.0254*2.5)</f>
        <v>0</v>
      </c>
      <c r="M11" s="1552"/>
      <c r="N11" s="1552"/>
      <c r="O11" s="25" t="str">
        <f>_xlfn.IFNA(VLOOKUP($C11,'Master sheet'!$A:$AR,44,FALSE),"")&amp;""</f>
        <v/>
      </c>
      <c r="P11" s="685"/>
      <c r="Q11" s="717" t="s">
        <v>72</v>
      </c>
      <c r="R11" s="717" t="s">
        <v>1737</v>
      </c>
      <c r="S11" s="737" t="s">
        <v>7258</v>
      </c>
      <c r="T11" s="665"/>
      <c r="U11" s="664"/>
      <c r="V11" s="664"/>
      <c r="W11" s="664"/>
      <c r="X11" s="664"/>
      <c r="Y11" s="664"/>
      <c r="Z11" s="664"/>
    </row>
    <row r="12" spans="1:26" ht="22.8" x14ac:dyDescent="0.25">
      <c r="A12" s="1542"/>
      <c r="B12" s="1542"/>
      <c r="C12" s="669" t="str">
        <f>INDEX('Master sheet'!$A$1:$A$670,MATCH("248-6",'Master sheet'!$AN$1:$AN$670,0))</f>
        <v xml:space="preserve">Wood - SPF / Canadian Wood Council / Atlantic Canada / </v>
      </c>
      <c r="D12" s="15">
        <f>'USER INPUT SHEET'!$D$34</f>
        <v>0</v>
      </c>
      <c r="E12" s="16" t="str">
        <f>'USER INPUT SHEET'!$F$34</f>
        <v>m2</v>
      </c>
      <c r="F12" s="3">
        <v>1</v>
      </c>
      <c r="G12" s="670"/>
      <c r="H12" s="8"/>
      <c r="I12" s="95">
        <f t="shared" si="0"/>
        <v>0</v>
      </c>
      <c r="J12" s="93" t="str">
        <f t="shared" si="1"/>
        <v/>
      </c>
      <c r="K12" s="406">
        <f>$D12*$F12*IF($E$5=16,0.25,0.22)*VLOOKUP($C12,'Master sheet'!$A:$AL,13,FALSE)*(0.0254*2.5)</f>
        <v>0</v>
      </c>
      <c r="L12" s="94">
        <f>$D12*$F12*IF($E$5=16,0.25,0.22)*VLOOKUP($C12,'Master sheet'!$A:$AL,27,FALSE)*(0.0254*2.5)</f>
        <v>0</v>
      </c>
      <c r="M12" s="1552"/>
      <c r="N12" s="1552"/>
      <c r="O12" s="25" t="str">
        <f>_xlfn.IFNA(VLOOKUP($C12,'Master sheet'!$A:$AR,44,FALSE),"")&amp;""</f>
        <v/>
      </c>
      <c r="P12" s="685"/>
      <c r="Q12" s="717" t="s">
        <v>72</v>
      </c>
      <c r="R12" s="717" t="s">
        <v>1737</v>
      </c>
      <c r="S12" s="737" t="s">
        <v>7258</v>
      </c>
      <c r="T12" s="665"/>
      <c r="U12" s="664"/>
      <c r="V12" s="664"/>
      <c r="W12" s="664"/>
      <c r="X12" s="664"/>
      <c r="Y12" s="664"/>
      <c r="Z12" s="664"/>
    </row>
    <row r="13" spans="1:26" s="624" customFormat="1" ht="21" customHeight="1" x14ac:dyDescent="0.25">
      <c r="A13" s="639"/>
      <c r="B13" s="1524" t="s">
        <v>6836</v>
      </c>
      <c r="C13" s="1523"/>
      <c r="D13" s="640"/>
      <c r="E13" s="641"/>
      <c r="F13" s="334"/>
      <c r="G13" s="678"/>
      <c r="H13" s="639"/>
      <c r="I13" s="733"/>
      <c r="J13" s="733"/>
      <c r="K13" s="698"/>
      <c r="L13" s="736"/>
      <c r="M13" s="736"/>
      <c r="N13" s="736"/>
      <c r="O13" s="25" t="str">
        <f>_xlfn.IFNA(VLOOKUP($C13,'Master sheet'!$A:$AR,44,FALSE),"")&amp;""</f>
        <v/>
      </c>
      <c r="P13" s="637"/>
      <c r="Q13" s="722"/>
      <c r="R13" s="722"/>
      <c r="S13" s="623"/>
      <c r="T13" s="638"/>
      <c r="U13" s="638"/>
      <c r="V13" s="638"/>
      <c r="W13" s="638"/>
      <c r="X13" s="638"/>
      <c r="Y13" s="638"/>
      <c r="Z13" s="638"/>
    </row>
    <row r="14" spans="1:26" ht="22.8" x14ac:dyDescent="0.25">
      <c r="A14" s="1542"/>
      <c r="B14" s="1542"/>
      <c r="C14" s="669" t="str">
        <f>INDEX('Master sheet'!$A$1:$A$670,MATCH("248-1",'Master sheet'!$AN$1:$AN$670,0))</f>
        <v xml:space="preserve">Wood - SPF / Canadian Wood Council / British Columbia / </v>
      </c>
      <c r="D14" s="15">
        <f>'USER INPUT SHEET'!$D$34</f>
        <v>0</v>
      </c>
      <c r="E14" s="16" t="str">
        <f>'USER INPUT SHEET'!$F$34</f>
        <v>m2</v>
      </c>
      <c r="F14" s="3">
        <v>1</v>
      </c>
      <c r="G14" s="670"/>
      <c r="H14" s="8"/>
      <c r="I14" s="95">
        <f t="shared" ref="I14:I19" si="2">K14-L14-IF(N14,M14,0)</f>
        <v>0</v>
      </c>
      <c r="J14" s="93" t="str">
        <f t="shared" ref="J14:J19" si="3">IF(H14=1,I14,"")</f>
        <v/>
      </c>
      <c r="K14" s="406">
        <f>$D14*$F14*IF($E$5=16,0.25,0.22)*VLOOKUP($C14,'Master sheet'!$A:$AL,13,FALSE)*(0.0254*3.5)</f>
        <v>0</v>
      </c>
      <c r="L14" s="94">
        <f>$D14*$F14*IF($E$5=16,0.25,0.22)*VLOOKUP($C14,'Master sheet'!$A:$AL,27,FALSE)*(0.0254*3.5)</f>
        <v>0</v>
      </c>
      <c r="M14" s="1562"/>
      <c r="N14" s="1562"/>
      <c r="O14" s="25" t="str">
        <f>_xlfn.IFNA(VLOOKUP($C14,'Master sheet'!$A:$AR,44,FALSE),"")&amp;""</f>
        <v/>
      </c>
      <c r="P14" s="685"/>
      <c r="Q14" s="717" t="s">
        <v>72</v>
      </c>
      <c r="R14" s="717" t="s">
        <v>1737</v>
      </c>
      <c r="S14" s="737" t="s">
        <v>7250</v>
      </c>
      <c r="T14" s="665"/>
      <c r="U14" s="664"/>
      <c r="V14" s="664"/>
      <c r="W14" s="664"/>
      <c r="X14" s="664"/>
      <c r="Y14" s="664"/>
      <c r="Z14" s="664"/>
    </row>
    <row r="15" spans="1:26" ht="22.8" x14ac:dyDescent="0.25">
      <c r="A15" s="1542"/>
      <c r="B15" s="1542"/>
      <c r="C15" s="669" t="str">
        <f>INDEX('Master sheet'!$A$1:$A$670,MATCH("248-2",'Master sheet'!$AN$1:$AN$670,0))</f>
        <v xml:space="preserve">Wood - SPF / Canadian Wood Council / Alberta / </v>
      </c>
      <c r="D15" s="15">
        <f>'USER INPUT SHEET'!$D$34</f>
        <v>0</v>
      </c>
      <c r="E15" s="16" t="str">
        <f>'USER INPUT SHEET'!$F$34</f>
        <v>m2</v>
      </c>
      <c r="F15" s="3">
        <v>1</v>
      </c>
      <c r="G15" s="670"/>
      <c r="H15" s="8"/>
      <c r="I15" s="95">
        <f t="shared" si="2"/>
        <v>0</v>
      </c>
      <c r="J15" s="93" t="str">
        <f t="shared" si="3"/>
        <v/>
      </c>
      <c r="K15" s="406">
        <f>$D15*$F15*IF($E$5=16,0.25,0.22)*VLOOKUP($C15,'Master sheet'!$A:$AL,13,FALSE)*(0.0254*3.5)</f>
        <v>0</v>
      </c>
      <c r="L15" s="94">
        <f>$D15*$F15*IF($E$5=16,0.25,0.22)*VLOOKUP($C15,'Master sheet'!$A:$AL,27,FALSE)*(0.0254*3.5)</f>
        <v>0</v>
      </c>
      <c r="M15" s="1552"/>
      <c r="N15" s="1552"/>
      <c r="O15" s="25" t="str">
        <f>_xlfn.IFNA(VLOOKUP($C15,'Master sheet'!$A:$AR,44,FALSE),"")&amp;""</f>
        <v/>
      </c>
      <c r="P15" s="685"/>
      <c r="Q15" s="717" t="s">
        <v>72</v>
      </c>
      <c r="R15" s="717" t="s">
        <v>1737</v>
      </c>
      <c r="S15" s="737" t="s">
        <v>7250</v>
      </c>
      <c r="T15" s="665"/>
      <c r="U15" s="664"/>
      <c r="V15" s="664"/>
      <c r="W15" s="664"/>
      <c r="X15" s="664"/>
      <c r="Y15" s="664"/>
      <c r="Z15" s="664"/>
    </row>
    <row r="16" spans="1:26" ht="22.8" x14ac:dyDescent="0.25">
      <c r="A16" s="1542"/>
      <c r="B16" s="1542"/>
      <c r="C16" s="669" t="str">
        <f>INDEX('Master sheet'!$A$1:$A$670,MATCH("248-3",'Master sheet'!$AN$1:$AN$670,0))</f>
        <v xml:space="preserve">Wood - SPF / Canadian Wood Council / Ontario / </v>
      </c>
      <c r="D16" s="15">
        <f>'USER INPUT SHEET'!$D$34</f>
        <v>0</v>
      </c>
      <c r="E16" s="16" t="str">
        <f>'USER INPUT SHEET'!$F$34</f>
        <v>m2</v>
      </c>
      <c r="F16" s="3">
        <v>1</v>
      </c>
      <c r="G16" s="670"/>
      <c r="H16" s="8"/>
      <c r="I16" s="95">
        <f t="shared" si="2"/>
        <v>0</v>
      </c>
      <c r="J16" s="93" t="str">
        <f t="shared" si="3"/>
        <v/>
      </c>
      <c r="K16" s="406">
        <f>$D16*$F16*IF($E$5=16,0.25,0.22)*VLOOKUP($C16,'Master sheet'!$A:$AL,13,FALSE)*(0.0254*3.5)</f>
        <v>0</v>
      </c>
      <c r="L16" s="94">
        <f>$D16*$F16*IF($E$5=16,0.25,0.22)*VLOOKUP($C16,'Master sheet'!$A:$AL,27,FALSE)*(0.0254*3.5)</f>
        <v>0</v>
      </c>
      <c r="M16" s="1552"/>
      <c r="N16" s="1552"/>
      <c r="O16" s="25" t="str">
        <f>_xlfn.IFNA(VLOOKUP($C16,'Master sheet'!$A:$AR,44,FALSE),"")&amp;""</f>
        <v/>
      </c>
      <c r="P16" s="685"/>
      <c r="Q16" s="717" t="s">
        <v>72</v>
      </c>
      <c r="R16" s="717" t="s">
        <v>1737</v>
      </c>
      <c r="S16" s="737" t="s">
        <v>7250</v>
      </c>
      <c r="T16" s="665"/>
      <c r="U16" s="664"/>
      <c r="V16" s="664"/>
      <c r="W16" s="664"/>
      <c r="X16" s="664"/>
      <c r="Y16" s="664"/>
      <c r="Z16" s="664"/>
    </row>
    <row r="17" spans="1:26" ht="22.8" x14ac:dyDescent="0.25">
      <c r="A17" s="1542"/>
      <c r="B17" s="1542"/>
      <c r="C17" s="669" t="str">
        <f>INDEX('Master sheet'!$A$1:$A$670,MATCH("248-4",'Master sheet'!$AN$1:$AN$670,0))</f>
        <v xml:space="preserve">Wood - SPF / Canadian Wood Council / Quebec / </v>
      </c>
      <c r="D17" s="15">
        <f>'USER INPUT SHEET'!$D$34</f>
        <v>0</v>
      </c>
      <c r="E17" s="16" t="str">
        <f>'USER INPUT SHEET'!$F$34</f>
        <v>m2</v>
      </c>
      <c r="F17" s="3">
        <v>1</v>
      </c>
      <c r="G17" s="670"/>
      <c r="H17" s="8"/>
      <c r="I17" s="95">
        <f t="shared" si="2"/>
        <v>0</v>
      </c>
      <c r="J17" s="93" t="str">
        <f t="shared" si="3"/>
        <v/>
      </c>
      <c r="K17" s="406">
        <f>$D17*$F17*IF($E$5=16,0.25,0.22)*VLOOKUP($C17,'Master sheet'!$A:$AL,13,FALSE)*(0.0254*3.5)</f>
        <v>0</v>
      </c>
      <c r="L17" s="94">
        <f>$D17*$F17*IF($E$5=16,0.25,0.22)*VLOOKUP($C17,'Master sheet'!$A:$AL,27,FALSE)*(0.0254*3.5)</f>
        <v>0</v>
      </c>
      <c r="M17" s="1552"/>
      <c r="N17" s="1552"/>
      <c r="O17" s="25" t="str">
        <f>_xlfn.IFNA(VLOOKUP($C17,'Master sheet'!$A:$AR,44,FALSE),"")&amp;""</f>
        <v/>
      </c>
      <c r="P17" s="685"/>
      <c r="Q17" s="717" t="s">
        <v>72</v>
      </c>
      <c r="R17" s="717" t="s">
        <v>1737</v>
      </c>
      <c r="S17" s="737" t="s">
        <v>7250</v>
      </c>
      <c r="T17" s="665"/>
      <c r="U17" s="664"/>
      <c r="V17" s="664"/>
      <c r="W17" s="664"/>
      <c r="X17" s="664"/>
      <c r="Y17" s="664"/>
      <c r="Z17" s="664"/>
    </row>
    <row r="18" spans="1:26" ht="22.8" x14ac:dyDescent="0.25">
      <c r="A18" s="1542"/>
      <c r="B18" s="1542"/>
      <c r="C18" s="669" t="str">
        <f>INDEX('Master sheet'!$A$1:$A$670,MATCH("248-5",'Master sheet'!$AN$1:$AN$670,0))</f>
        <v xml:space="preserve">Wood - SPF / Canadian Wood Council / New Brunswick / </v>
      </c>
      <c r="D18" s="15">
        <f>'USER INPUT SHEET'!$D$34</f>
        <v>0</v>
      </c>
      <c r="E18" s="16" t="str">
        <f>'USER INPUT SHEET'!$F$34</f>
        <v>m2</v>
      </c>
      <c r="F18" s="3">
        <v>1</v>
      </c>
      <c r="G18" s="670"/>
      <c r="H18" s="8"/>
      <c r="I18" s="95">
        <f t="shared" si="2"/>
        <v>0</v>
      </c>
      <c r="J18" s="93" t="str">
        <f t="shared" si="3"/>
        <v/>
      </c>
      <c r="K18" s="406">
        <f>$D18*$F18*IF($E$5=16,0.25,0.22)*VLOOKUP($C18,'Master sheet'!$A:$AL,13,FALSE)*(0.0254*3.5)</f>
        <v>0</v>
      </c>
      <c r="L18" s="94">
        <f>$D18*$F18*IF($E$5=16,0.25,0.22)*VLOOKUP($C18,'Master sheet'!$A:$AL,27,FALSE)*(0.0254*3.5)</f>
        <v>0</v>
      </c>
      <c r="M18" s="1552"/>
      <c r="N18" s="1552"/>
      <c r="O18" s="25" t="str">
        <f>_xlfn.IFNA(VLOOKUP($C18,'Master sheet'!$A:$AR,44,FALSE),"")&amp;""</f>
        <v/>
      </c>
      <c r="P18" s="685"/>
      <c r="Q18" s="717" t="s">
        <v>72</v>
      </c>
      <c r="R18" s="717" t="s">
        <v>1737</v>
      </c>
      <c r="S18" s="737" t="s">
        <v>7250</v>
      </c>
      <c r="T18" s="665"/>
      <c r="U18" s="664"/>
      <c r="V18" s="664"/>
      <c r="W18" s="664"/>
      <c r="X18" s="664"/>
      <c r="Y18" s="664"/>
      <c r="Z18" s="664"/>
    </row>
    <row r="19" spans="1:26" ht="22.8" x14ac:dyDescent="0.25">
      <c r="A19" s="1542"/>
      <c r="B19" s="1542"/>
      <c r="C19" s="669" t="str">
        <f>INDEX('Master sheet'!$A$1:$A$670,MATCH("248-6",'Master sheet'!$AN$1:$AN$670,0))</f>
        <v xml:space="preserve">Wood - SPF / Canadian Wood Council / Atlantic Canada / </v>
      </c>
      <c r="D19" s="15">
        <f>'USER INPUT SHEET'!$D$34</f>
        <v>0</v>
      </c>
      <c r="E19" s="16" t="str">
        <f>'USER INPUT SHEET'!$F$34</f>
        <v>m2</v>
      </c>
      <c r="F19" s="3">
        <v>1</v>
      </c>
      <c r="G19" s="670"/>
      <c r="H19" s="8"/>
      <c r="I19" s="95">
        <f t="shared" si="2"/>
        <v>0</v>
      </c>
      <c r="J19" s="93" t="str">
        <f t="shared" si="3"/>
        <v/>
      </c>
      <c r="K19" s="406">
        <f>$D19*$F19*IF($E$5=16,0.25,0.22)*VLOOKUP($C19,'Master sheet'!$A:$AL,13,FALSE)*(0.0254*3.5)</f>
        <v>0</v>
      </c>
      <c r="L19" s="94">
        <f>$D19*$F19*IF($E$5=16,0.25,0.22)*VLOOKUP($C19,'Master sheet'!$A:$AL,27,FALSE)*(0.0254*3.5)</f>
        <v>0</v>
      </c>
      <c r="M19" s="1562"/>
      <c r="N19" s="1562"/>
      <c r="O19" s="25" t="str">
        <f>_xlfn.IFNA(VLOOKUP($C19,'Master sheet'!$A:$AR,44,FALSE),"")&amp;""</f>
        <v/>
      </c>
      <c r="P19" s="685"/>
      <c r="Q19" s="717" t="s">
        <v>72</v>
      </c>
      <c r="R19" s="717" t="s">
        <v>1737</v>
      </c>
      <c r="S19" s="737" t="s">
        <v>7250</v>
      </c>
      <c r="T19" s="665"/>
      <c r="U19" s="664"/>
      <c r="V19" s="664"/>
      <c r="W19" s="664"/>
      <c r="X19" s="664"/>
      <c r="Y19" s="664"/>
      <c r="Z19" s="664"/>
    </row>
    <row r="20" spans="1:26" s="624" customFormat="1" ht="21" customHeight="1" x14ac:dyDescent="0.25">
      <c r="A20" s="639"/>
      <c r="B20" s="1524" t="s">
        <v>6837</v>
      </c>
      <c r="C20" s="1523"/>
      <c r="D20" s="640"/>
      <c r="E20" s="641"/>
      <c r="F20" s="334"/>
      <c r="G20" s="678"/>
      <c r="H20" s="639"/>
      <c r="I20" s="733"/>
      <c r="J20" s="733"/>
      <c r="K20" s="698"/>
      <c r="L20" s="736"/>
      <c r="M20" s="736"/>
      <c r="N20" s="736"/>
      <c r="O20" s="25" t="str">
        <f>_xlfn.IFNA(VLOOKUP($C20,'Master sheet'!$A:$AR,44,FALSE),"")&amp;""</f>
        <v/>
      </c>
      <c r="P20" s="637"/>
      <c r="Q20" s="722"/>
      <c r="R20" s="722"/>
      <c r="S20" s="623"/>
      <c r="T20" s="638"/>
      <c r="U20" s="638"/>
      <c r="V20" s="638"/>
      <c r="W20" s="638"/>
      <c r="X20" s="638"/>
      <c r="Y20" s="638"/>
      <c r="Z20" s="638"/>
    </row>
    <row r="21" spans="1:26" ht="22.8" x14ac:dyDescent="0.25">
      <c r="A21" s="1542"/>
      <c r="B21" s="1542"/>
      <c r="C21" s="669" t="str">
        <f>INDEX('Master sheet'!$A$1:$A$670,MATCH("248-1",'Master sheet'!$AN$1:$AN$670,0))</f>
        <v xml:space="preserve">Wood - SPF / Canadian Wood Council / British Columbia / </v>
      </c>
      <c r="D21" s="15">
        <f>'USER INPUT SHEET'!$D$34</f>
        <v>0</v>
      </c>
      <c r="E21" s="16" t="str">
        <f>'USER INPUT SHEET'!$F$34</f>
        <v>m2</v>
      </c>
      <c r="F21" s="3">
        <v>1</v>
      </c>
      <c r="G21" s="670"/>
      <c r="H21" s="8"/>
      <c r="I21" s="95">
        <f t="shared" ref="I21:I26" si="4">K21-L21-IF(N21,M21,0)</f>
        <v>0</v>
      </c>
      <c r="J21" s="93" t="str">
        <f t="shared" ref="J21:J26" si="5">IF(H21=1,I21,"")</f>
        <v/>
      </c>
      <c r="K21" s="406">
        <f>$D21*$F21*IF($E$5=16,0.25,0.22)*VLOOKUP($C21,'Master sheet'!$A:$AL,13,FALSE)*(0.0254*5.5)</f>
        <v>0</v>
      </c>
      <c r="L21" s="94">
        <f>$D21*$F21*IF($E$5=16,0.25,0.22)*VLOOKUP($C21,'Master sheet'!$A:$AL,27,FALSE)*(0.0254*5.5)</f>
        <v>0</v>
      </c>
      <c r="M21" s="1562"/>
      <c r="N21" s="1562"/>
      <c r="O21" s="25" t="str">
        <f>_xlfn.IFNA(VLOOKUP($C21,'Master sheet'!$A:$AR,44,FALSE),"")&amp;""</f>
        <v/>
      </c>
      <c r="P21" s="685"/>
      <c r="Q21" s="717" t="s">
        <v>72</v>
      </c>
      <c r="R21" s="717" t="s">
        <v>1737</v>
      </c>
      <c r="S21" s="737" t="s">
        <v>7251</v>
      </c>
      <c r="T21" s="665"/>
      <c r="U21" s="664"/>
      <c r="V21" s="664"/>
      <c r="W21" s="664"/>
      <c r="X21" s="664"/>
      <c r="Y21" s="664"/>
      <c r="Z21" s="664"/>
    </row>
    <row r="22" spans="1:26" ht="22.8" x14ac:dyDescent="0.25">
      <c r="A22" s="1542"/>
      <c r="B22" s="1542"/>
      <c r="C22" s="669" t="str">
        <f>INDEX('Master sheet'!$A$1:$A$670,MATCH("248-2",'Master sheet'!$AN$1:$AN$670,0))</f>
        <v xml:space="preserve">Wood - SPF / Canadian Wood Council / Alberta / </v>
      </c>
      <c r="D22" s="15">
        <f>'USER INPUT SHEET'!$D$34</f>
        <v>0</v>
      </c>
      <c r="E22" s="16" t="str">
        <f>'USER INPUT SHEET'!$F$34</f>
        <v>m2</v>
      </c>
      <c r="F22" s="3">
        <v>1</v>
      </c>
      <c r="G22" s="670"/>
      <c r="H22" s="8"/>
      <c r="I22" s="95">
        <f t="shared" si="4"/>
        <v>0</v>
      </c>
      <c r="J22" s="93" t="str">
        <f t="shared" si="5"/>
        <v/>
      </c>
      <c r="K22" s="406">
        <f>$D22*$F22*IF($E$5=16,0.25,0.22)*VLOOKUP($C22,'Master sheet'!$A:$AL,13,FALSE)*(0.0254*5.5)</f>
        <v>0</v>
      </c>
      <c r="L22" s="94">
        <f>$D22*$F22*IF($E$5=16,0.25,0.22)*VLOOKUP($C22,'Master sheet'!$A:$AL,27,FALSE)*(0.0254*5.5)</f>
        <v>0</v>
      </c>
      <c r="M22" s="1552"/>
      <c r="N22" s="1552"/>
      <c r="O22" s="25" t="str">
        <f>_xlfn.IFNA(VLOOKUP($C22,'Master sheet'!$A:$AR,44,FALSE),"")&amp;""</f>
        <v/>
      </c>
      <c r="P22" s="685"/>
      <c r="Q22" s="717" t="s">
        <v>72</v>
      </c>
      <c r="R22" s="717" t="s">
        <v>1737</v>
      </c>
      <c r="S22" s="737" t="s">
        <v>7251</v>
      </c>
      <c r="T22" s="665"/>
      <c r="U22" s="664"/>
      <c r="V22" s="664"/>
      <c r="W22" s="664"/>
      <c r="X22" s="664"/>
      <c r="Y22" s="664"/>
      <c r="Z22" s="664"/>
    </row>
    <row r="23" spans="1:26" ht="22.8" x14ac:dyDescent="0.25">
      <c r="A23" s="1542"/>
      <c r="B23" s="1542"/>
      <c r="C23" s="669" t="str">
        <f>INDEX('Master sheet'!$A$1:$A$670,MATCH("248-3",'Master sheet'!$AN$1:$AN$670,0))</f>
        <v xml:space="preserve">Wood - SPF / Canadian Wood Council / Ontario / </v>
      </c>
      <c r="D23" s="15">
        <f>'USER INPUT SHEET'!$D$34</f>
        <v>0</v>
      </c>
      <c r="E23" s="16" t="str">
        <f>'USER INPUT SHEET'!$F$34</f>
        <v>m2</v>
      </c>
      <c r="F23" s="3">
        <v>1</v>
      </c>
      <c r="G23" s="670"/>
      <c r="H23" s="8"/>
      <c r="I23" s="95">
        <f t="shared" si="4"/>
        <v>0</v>
      </c>
      <c r="J23" s="93" t="str">
        <f t="shared" si="5"/>
        <v/>
      </c>
      <c r="K23" s="406">
        <f>$D23*$F23*IF($E$5=16,0.25,0.22)*VLOOKUP($C23,'Master sheet'!$A:$AL,13,FALSE)*(0.0254*5.5)</f>
        <v>0</v>
      </c>
      <c r="L23" s="94">
        <f>$D23*$F23*IF($E$5=16,0.25,0.22)*VLOOKUP($C23,'Master sheet'!$A:$AL,27,FALSE)*(0.0254*5.5)</f>
        <v>0</v>
      </c>
      <c r="M23" s="1552"/>
      <c r="N23" s="1552"/>
      <c r="O23" s="25" t="str">
        <f>_xlfn.IFNA(VLOOKUP($C23,'Master sheet'!$A:$AR,44,FALSE),"")&amp;""</f>
        <v/>
      </c>
      <c r="P23" s="685"/>
      <c r="Q23" s="717" t="s">
        <v>72</v>
      </c>
      <c r="R23" s="717" t="s">
        <v>1737</v>
      </c>
      <c r="S23" s="737" t="s">
        <v>7251</v>
      </c>
      <c r="T23" s="665"/>
      <c r="U23" s="664"/>
      <c r="V23" s="664"/>
      <c r="W23" s="664"/>
      <c r="X23" s="664"/>
      <c r="Y23" s="664"/>
      <c r="Z23" s="664"/>
    </row>
    <row r="24" spans="1:26" ht="22.8" x14ac:dyDescent="0.25">
      <c r="A24" s="1542"/>
      <c r="B24" s="1542"/>
      <c r="C24" s="669" t="str">
        <f>INDEX('Master sheet'!$A$1:$A$670,MATCH("248-4",'Master sheet'!$AN$1:$AN$670,0))</f>
        <v xml:space="preserve">Wood - SPF / Canadian Wood Council / Quebec / </v>
      </c>
      <c r="D24" s="15">
        <f>'USER INPUT SHEET'!$D$34</f>
        <v>0</v>
      </c>
      <c r="E24" s="16" t="str">
        <f>'USER INPUT SHEET'!$F$34</f>
        <v>m2</v>
      </c>
      <c r="F24" s="3">
        <v>1</v>
      </c>
      <c r="G24" s="670"/>
      <c r="H24" s="8"/>
      <c r="I24" s="95">
        <f t="shared" si="4"/>
        <v>0</v>
      </c>
      <c r="J24" s="93" t="str">
        <f t="shared" si="5"/>
        <v/>
      </c>
      <c r="K24" s="406">
        <f>$D24*$F24*IF($E$5=16,0.25,0.22)*VLOOKUP($C24,'Master sheet'!$A:$AL,13,FALSE)*(0.0254*5.5)</f>
        <v>0</v>
      </c>
      <c r="L24" s="94">
        <f>$D24*$F24*IF($E$5=16,0.25,0.22)*VLOOKUP($C24,'Master sheet'!$A:$AL,27,FALSE)*(0.0254*5.5)</f>
        <v>0</v>
      </c>
      <c r="M24" s="1552"/>
      <c r="N24" s="1552"/>
      <c r="O24" s="25" t="str">
        <f>_xlfn.IFNA(VLOOKUP($C24,'Master sheet'!$A:$AR,44,FALSE),"")&amp;""</f>
        <v/>
      </c>
      <c r="P24" s="685"/>
      <c r="Q24" s="717" t="s">
        <v>72</v>
      </c>
      <c r="R24" s="717" t="s">
        <v>1737</v>
      </c>
      <c r="S24" s="737" t="s">
        <v>7251</v>
      </c>
      <c r="T24" s="665"/>
      <c r="U24" s="664"/>
      <c r="V24" s="664"/>
      <c r="W24" s="664"/>
      <c r="X24" s="664"/>
      <c r="Y24" s="664"/>
      <c r="Z24" s="664"/>
    </row>
    <row r="25" spans="1:26" ht="22.8" x14ac:dyDescent="0.25">
      <c r="A25" s="1542"/>
      <c r="B25" s="1542"/>
      <c r="C25" s="669" t="str">
        <f>INDEX('Master sheet'!$A$1:$A$670,MATCH("248-5",'Master sheet'!$AN$1:$AN$670,0))</f>
        <v xml:space="preserve">Wood - SPF / Canadian Wood Council / New Brunswick / </v>
      </c>
      <c r="D25" s="15">
        <f>'USER INPUT SHEET'!$D$34</f>
        <v>0</v>
      </c>
      <c r="E25" s="16" t="str">
        <f>'USER INPUT SHEET'!$F$34</f>
        <v>m2</v>
      </c>
      <c r="F25" s="3">
        <v>1</v>
      </c>
      <c r="G25" s="670"/>
      <c r="H25" s="8"/>
      <c r="I25" s="95">
        <f t="shared" si="4"/>
        <v>0</v>
      </c>
      <c r="J25" s="93" t="str">
        <f t="shared" si="5"/>
        <v/>
      </c>
      <c r="K25" s="406">
        <f>$D25*$F25*IF($E$5=16,0.25,0.22)*VLOOKUP($C25,'Master sheet'!$A:$AL,13,FALSE)*(0.0254*5.5)</f>
        <v>0</v>
      </c>
      <c r="L25" s="94">
        <f>$D25*$F25*IF($E$5=16,0.25,0.22)*VLOOKUP($C25,'Master sheet'!$A:$AL,27,FALSE)*(0.0254*5.5)</f>
        <v>0</v>
      </c>
      <c r="M25" s="1552"/>
      <c r="N25" s="1552"/>
      <c r="O25" s="25" t="str">
        <f>_xlfn.IFNA(VLOOKUP($C25,'Master sheet'!$A:$AR,44,FALSE),"")&amp;""</f>
        <v/>
      </c>
      <c r="P25" s="685"/>
      <c r="Q25" s="717" t="s">
        <v>72</v>
      </c>
      <c r="R25" s="717" t="s">
        <v>1737</v>
      </c>
      <c r="S25" s="737" t="s">
        <v>7251</v>
      </c>
      <c r="T25" s="665"/>
      <c r="U25" s="664"/>
      <c r="V25" s="664"/>
      <c r="W25" s="664"/>
      <c r="X25" s="664"/>
      <c r="Y25" s="664"/>
      <c r="Z25" s="664"/>
    </row>
    <row r="26" spans="1:26" ht="22.8" x14ac:dyDescent="0.25">
      <c r="A26" s="1542"/>
      <c r="B26" s="1542"/>
      <c r="C26" s="669" t="str">
        <f>INDEX('Master sheet'!$A$1:$A$670,MATCH("248-6",'Master sheet'!$AN$1:$AN$670,0))</f>
        <v xml:space="preserve">Wood - SPF / Canadian Wood Council / Atlantic Canada / </v>
      </c>
      <c r="D26" s="15">
        <f>'USER INPUT SHEET'!$D$34</f>
        <v>0</v>
      </c>
      <c r="E26" s="16" t="str">
        <f>'USER INPUT SHEET'!$F$34</f>
        <v>m2</v>
      </c>
      <c r="F26" s="3">
        <v>1</v>
      </c>
      <c r="G26" s="670"/>
      <c r="H26" s="8"/>
      <c r="I26" s="95">
        <f t="shared" si="4"/>
        <v>0</v>
      </c>
      <c r="J26" s="93" t="str">
        <f t="shared" si="5"/>
        <v/>
      </c>
      <c r="K26" s="406">
        <f>$D26*$F26*IF($E$5=16,0.25,0.22)*VLOOKUP($C26,'Master sheet'!$A:$AL,13,FALSE)*(0.0254*5.5)</f>
        <v>0</v>
      </c>
      <c r="L26" s="94">
        <f>$D26*$F26*IF($E$5=16,0.25,0.22)*VLOOKUP($C26,'Master sheet'!$A:$AL,27,FALSE)*(0.0254*5.5)</f>
        <v>0</v>
      </c>
      <c r="M26" s="1552"/>
      <c r="N26" s="1552"/>
      <c r="O26" s="25" t="str">
        <f>_xlfn.IFNA(VLOOKUP($C26,'Master sheet'!$A:$AR,44,FALSE),"")&amp;""</f>
        <v/>
      </c>
      <c r="P26" s="685"/>
      <c r="Q26" s="717" t="s">
        <v>72</v>
      </c>
      <c r="R26" s="717" t="s">
        <v>1737</v>
      </c>
      <c r="S26" s="737" t="s">
        <v>7251</v>
      </c>
      <c r="T26" s="665"/>
      <c r="U26" s="664"/>
      <c r="V26" s="664"/>
      <c r="W26" s="664"/>
      <c r="X26" s="664"/>
      <c r="Y26" s="664"/>
      <c r="Z26" s="664"/>
    </row>
    <row r="27" spans="1:26" s="624" customFormat="1" ht="54.75" customHeight="1" x14ac:dyDescent="0.25">
      <c r="A27" s="1522" t="s">
        <v>53</v>
      </c>
      <c r="B27" s="1523"/>
      <c r="C27" s="1523"/>
      <c r="D27" s="629" t="s">
        <v>38</v>
      </c>
      <c r="E27" s="1"/>
      <c r="F27" s="323" t="str">
        <f>IF(LOWER(Setting!rng_language)="english","in","po")</f>
        <v>in</v>
      </c>
      <c r="G27" s="650"/>
      <c r="H27" s="650"/>
      <c r="I27" s="651"/>
      <c r="J27" s="651"/>
      <c r="K27" s="652"/>
      <c r="L27" s="759"/>
      <c r="M27" s="759"/>
      <c r="N27" s="759"/>
      <c r="O27" s="25" t="str">
        <f>_xlfn.IFNA(VLOOKUP($C27,'Master sheet'!$A:$AR,44,FALSE),"")&amp;""</f>
        <v/>
      </c>
      <c r="P27" s="685"/>
      <c r="Q27" s="726"/>
      <c r="R27" s="726"/>
      <c r="S27" s="638"/>
      <c r="T27" s="638"/>
      <c r="U27" s="638"/>
      <c r="V27" s="638"/>
      <c r="W27" s="638"/>
      <c r="X27" s="638"/>
      <c r="Y27" s="638"/>
      <c r="Z27" s="638"/>
    </row>
    <row r="28" spans="1:26" s="624" customFormat="1" ht="23.25" customHeight="1" x14ac:dyDescent="0.25">
      <c r="A28" s="639"/>
      <c r="B28" s="1524" t="s">
        <v>1036</v>
      </c>
      <c r="C28" s="1523"/>
      <c r="D28" s="640"/>
      <c r="E28" s="641"/>
      <c r="F28" s="325"/>
      <c r="G28" s="678"/>
      <c r="H28" s="679"/>
      <c r="I28" s="642"/>
      <c r="J28" s="643"/>
      <c r="K28" s="676"/>
      <c r="L28" s="677"/>
      <c r="M28" s="677"/>
      <c r="N28" s="677"/>
      <c r="O28" s="25" t="str">
        <f>_xlfn.IFNA(VLOOKUP($C28,'Master sheet'!$A:$AR,44,FALSE),"")&amp;""</f>
        <v/>
      </c>
      <c r="P28" s="637"/>
      <c r="Q28" s="726"/>
      <c r="R28" s="726"/>
      <c r="S28" s="638"/>
      <c r="T28" s="638"/>
      <c r="U28" s="638"/>
      <c r="V28" s="638"/>
      <c r="W28" s="638"/>
      <c r="X28" s="638"/>
      <c r="Y28" s="638"/>
      <c r="Z28" s="638"/>
    </row>
    <row r="29" spans="1:26" ht="22.8" x14ac:dyDescent="0.25">
      <c r="A29" s="729"/>
      <c r="B29" s="745"/>
      <c r="C29" s="832" t="s">
        <v>1070</v>
      </c>
      <c r="D29" s="19">
        <f>'USER INPUT SHEET'!$D$34</f>
        <v>0</v>
      </c>
      <c r="E29" s="20" t="str">
        <f>'USER INPUT SHEET'!$F$34</f>
        <v>m2</v>
      </c>
      <c r="F29" s="6">
        <v>1</v>
      </c>
      <c r="G29" s="692"/>
      <c r="H29" s="10"/>
      <c r="I29" s="98">
        <f t="shared" ref="I29:I31" si="6">K29-L29</f>
        <v>0</v>
      </c>
      <c r="J29" s="91" t="str">
        <f t="shared" ref="J29:J31" si="7">IF(H29=1,I29,"")</f>
        <v/>
      </c>
      <c r="K29" s="410">
        <f>F29*AVERAGE(K30:K31)</f>
        <v>0</v>
      </c>
      <c r="L29" s="99">
        <f>F29*AVERAGE(L30:L31)</f>
        <v>0</v>
      </c>
      <c r="M29" s="1552"/>
      <c r="N29" s="1552"/>
      <c r="O29" s="25" t="str">
        <f>_xlfn.IFNA(VLOOKUP($C29,'Master sheet'!$A:$AR,44,FALSE),"")&amp;""</f>
        <v/>
      </c>
      <c r="P29" s="655"/>
      <c r="Q29" s="725" t="s">
        <v>72</v>
      </c>
      <c r="R29" s="726" t="s">
        <v>1737</v>
      </c>
      <c r="S29" s="664"/>
      <c r="T29" s="664"/>
      <c r="U29" s="664"/>
      <c r="V29" s="664"/>
      <c r="W29" s="664"/>
      <c r="X29" s="664"/>
      <c r="Y29" s="664"/>
      <c r="Z29" s="664"/>
    </row>
    <row r="30" spans="1:26" ht="31.5" customHeight="1" x14ac:dyDescent="0.25">
      <c r="A30" s="1540" t="s">
        <v>790</v>
      </c>
      <c r="B30" s="1632"/>
      <c r="C30" s="669" t="str">
        <f>INDEX('Master sheet'!$A$1:$A$670,MATCH(206,'Master sheet'!$AN$1:$AN$670,0))</f>
        <v>Steel studs - Non-loadbearing / MarinoWARE / Viper Stud Viper 20 / 362-S-125-18, 20EQ gauge, "2x4"</v>
      </c>
      <c r="D30" s="15">
        <f>'USER INPUT SHEET'!$D$34</f>
        <v>0</v>
      </c>
      <c r="E30" s="16" t="str">
        <f>'USER INPUT SHEET'!$F$34</f>
        <v>m2</v>
      </c>
      <c r="F30" s="3">
        <v>1</v>
      </c>
      <c r="G30" s="670"/>
      <c r="H30" s="8"/>
      <c r="I30" s="92">
        <f t="shared" si="6"/>
        <v>0</v>
      </c>
      <c r="J30" s="93" t="str">
        <f t="shared" si="7"/>
        <v/>
      </c>
      <c r="K30" s="406">
        <f>$D30*$F30*IF($E$27=16,3.13,2.31)*VLOOKUP($C30,'Master sheet'!$A:$AL,13,FALSE)</f>
        <v>0</v>
      </c>
      <c r="L30" s="94">
        <f>$D30*$F30*IF($E$27=16,3.13,2.31)*VLOOKUP($C30,'Master sheet'!$A:$AL,27,FALSE)</f>
        <v>0</v>
      </c>
      <c r="M30" s="1552"/>
      <c r="N30" s="1552"/>
      <c r="O30" s="25" t="str">
        <f ca="1">_xlfn.IFNA(VLOOKUP($C30,'Master sheet'!$A:$AR,44,FALSE),"")&amp;""</f>
        <v/>
      </c>
      <c r="P30" s="663"/>
      <c r="Q30" s="725" t="s">
        <v>72</v>
      </c>
      <c r="R30" s="726" t="s">
        <v>1737</v>
      </c>
      <c r="S30" s="664"/>
      <c r="T30" s="664"/>
      <c r="U30" s="664"/>
      <c r="V30" s="664"/>
      <c r="W30" s="664"/>
      <c r="X30" s="664"/>
      <c r="Y30" s="664"/>
      <c r="Z30" s="664"/>
    </row>
    <row r="31" spans="1:26" s="624" customFormat="1" ht="31.5" customHeight="1" x14ac:dyDescent="0.25">
      <c r="A31" s="1633"/>
      <c r="B31" s="1632"/>
      <c r="C31" s="673" t="str">
        <f>INDEX('Master sheet'!$A$1:$A$670,MATCH(205,'Master sheet'!$AN$1:$AN$670,0))</f>
        <v>Steel studs - Non-loadbearing / ClarkDietrich /  / 362-S-125-18, 20EQ gauge, "2x4"</v>
      </c>
      <c r="D31" s="17">
        <f>'USER INPUT SHEET'!$D$34</f>
        <v>0</v>
      </c>
      <c r="E31" s="18" t="str">
        <f>'USER INPUT SHEET'!$F$34</f>
        <v>m2</v>
      </c>
      <c r="F31" s="4">
        <v>1</v>
      </c>
      <c r="G31" s="674"/>
      <c r="H31" s="9"/>
      <c r="I31" s="95">
        <f t="shared" si="6"/>
        <v>0</v>
      </c>
      <c r="J31" s="96" t="str">
        <f t="shared" si="7"/>
        <v/>
      </c>
      <c r="K31" s="407">
        <f>$D31*$F31*IF($E$27=16,3.13,2.31)*VLOOKUP($C31,'Master sheet'!$A:$AL,13,FALSE)</f>
        <v>0</v>
      </c>
      <c r="L31" s="97">
        <f>$D31*$F31*IF($E$27=16,3.13,2.31)*VLOOKUP($C31,'Master sheet'!$A:$AL,27,FALSE)</f>
        <v>0</v>
      </c>
      <c r="M31" s="1552"/>
      <c r="N31" s="1552"/>
      <c r="O31" s="25" t="str">
        <f ca="1">_xlfn.IFNA(VLOOKUP($C31,'Master sheet'!$A:$AR,44,FALSE),"")&amp;""</f>
        <v/>
      </c>
      <c r="P31" s="672"/>
      <c r="Q31" s="726" t="s">
        <v>72</v>
      </c>
      <c r="R31" s="726" t="s">
        <v>1737</v>
      </c>
      <c r="S31" s="638"/>
      <c r="T31" s="638"/>
      <c r="U31" s="638"/>
      <c r="V31" s="638"/>
      <c r="W31" s="638"/>
      <c r="X31" s="638"/>
      <c r="Y31" s="638"/>
      <c r="Z31" s="638"/>
    </row>
    <row r="32" spans="1:26" s="624" customFormat="1" ht="54.75" customHeight="1" x14ac:dyDescent="0.25">
      <c r="A32" s="1522" t="s">
        <v>49</v>
      </c>
      <c r="B32" s="1523"/>
      <c r="C32" s="1523"/>
      <c r="D32" s="649"/>
      <c r="E32" s="650"/>
      <c r="F32" s="321"/>
      <c r="G32" s="650"/>
      <c r="H32" s="650"/>
      <c r="I32" s="651"/>
      <c r="J32" s="651"/>
      <c r="K32" s="652"/>
      <c r="L32" s="759"/>
      <c r="M32" s="759"/>
      <c r="N32" s="759"/>
      <c r="O32" s="25" t="str">
        <f>_xlfn.IFNA(VLOOKUP($C32,'Master sheet'!$A:$AR,44,FALSE),"")&amp;""</f>
        <v/>
      </c>
      <c r="P32" s="672"/>
      <c r="Q32" s="726"/>
      <c r="R32" s="726"/>
      <c r="S32" s="638"/>
      <c r="T32" s="638"/>
      <c r="U32" s="638"/>
      <c r="V32" s="638"/>
      <c r="W32" s="638"/>
      <c r="X32" s="638"/>
      <c r="Y32" s="638"/>
      <c r="Z32" s="638"/>
    </row>
    <row r="33" spans="1:26" s="624" customFormat="1" ht="23.25" customHeight="1" x14ac:dyDescent="0.25">
      <c r="A33" s="639"/>
      <c r="B33" s="1524" t="s">
        <v>1038</v>
      </c>
      <c r="C33" s="1523"/>
      <c r="D33" s="640"/>
      <c r="E33" s="641"/>
      <c r="F33" s="325"/>
      <c r="G33" s="678"/>
      <c r="H33" s="679"/>
      <c r="I33" s="642"/>
      <c r="J33" s="643"/>
      <c r="K33" s="676"/>
      <c r="L33" s="677"/>
      <c r="M33" s="677"/>
      <c r="N33" s="677"/>
      <c r="O33" s="25" t="str">
        <f>_xlfn.IFNA(VLOOKUP($C33,'Master sheet'!$A:$AR,44,FALSE),"")&amp;""</f>
        <v/>
      </c>
      <c r="P33" s="637"/>
      <c r="Q33" s="726"/>
      <c r="R33" s="726"/>
      <c r="S33" s="638"/>
      <c r="T33" s="638"/>
      <c r="U33" s="638"/>
      <c r="V33" s="638"/>
      <c r="W33" s="638"/>
      <c r="X33" s="638"/>
      <c r="Y33" s="638"/>
      <c r="Z33" s="638"/>
    </row>
    <row r="34" spans="1:26" ht="23.25" customHeight="1" x14ac:dyDescent="0.25">
      <c r="A34" s="729"/>
      <c r="B34" s="729"/>
      <c r="C34" s="691" t="s">
        <v>1071</v>
      </c>
      <c r="D34" s="19">
        <f>'USER INPUT SHEET'!$D$34</f>
        <v>0</v>
      </c>
      <c r="E34" s="20" t="str">
        <f>'USER INPUT SHEET'!$F$34</f>
        <v>m2</v>
      </c>
      <c r="F34" s="6">
        <v>1</v>
      </c>
      <c r="G34" s="692"/>
      <c r="H34" s="10"/>
      <c r="I34" s="98">
        <f>K34-L34</f>
        <v>0</v>
      </c>
      <c r="J34" s="91" t="str">
        <f>IF(H34=1,I34,"")</f>
        <v/>
      </c>
      <c r="K34" s="410">
        <f>F34*AVERAGE(K35:K36)</f>
        <v>0</v>
      </c>
      <c r="L34" s="99">
        <f>F34*AVERAGE(L35:L36)</f>
        <v>0</v>
      </c>
      <c r="M34" s="1552"/>
      <c r="N34" s="1552"/>
      <c r="O34" s="25" t="str">
        <f>_xlfn.IFNA(VLOOKUP($C34,'Master sheet'!$A:$AR,44,FALSE),"")&amp;""</f>
        <v/>
      </c>
      <c r="P34" s="637"/>
      <c r="Q34" s="725" t="s">
        <v>72</v>
      </c>
      <c r="R34" s="725" t="s">
        <v>49</v>
      </c>
      <c r="S34" s="664"/>
      <c r="T34" s="664"/>
      <c r="U34" s="664"/>
      <c r="V34" s="664"/>
      <c r="W34" s="664"/>
      <c r="X34" s="664"/>
      <c r="Y34" s="664"/>
      <c r="Z34" s="664"/>
    </row>
    <row r="35" spans="1:26" ht="22.8" x14ac:dyDescent="0.25">
      <c r="A35" s="1564"/>
      <c r="B35" s="1564"/>
      <c r="C35" s="673" t="str">
        <f>INDEX('Master sheet'!$A$1:$A$670,MATCH(89,'Master sheet'!$AN$1:$AN$670,0))</f>
        <v>Drywall 1/2" / Pabco / QuietRock / QuietRock 1/2"</v>
      </c>
      <c r="D35" s="15">
        <f>'USER INPUT SHEET'!$D$34</f>
        <v>0</v>
      </c>
      <c r="E35" s="16" t="str">
        <f>'USER INPUT SHEET'!$F$34</f>
        <v>m2</v>
      </c>
      <c r="F35" s="3">
        <v>1</v>
      </c>
      <c r="G35" s="670"/>
      <c r="H35" s="8"/>
      <c r="I35" s="92">
        <f t="shared" ref="I35:I36" si="8">K35-L35</f>
        <v>0</v>
      </c>
      <c r="J35" s="93" t="str">
        <f t="shared" ref="J35:J36" si="9">IF(H35=1,I35,"")</f>
        <v/>
      </c>
      <c r="K35" s="406">
        <f>$D35*$F35*VLOOKUP($C35,'Master sheet'!$A:$AL,13,FALSE)*2</f>
        <v>0</v>
      </c>
      <c r="L35" s="94">
        <f>$D35*$F35*VLOOKUP($C35,'Master sheet'!$A:$AL,27,FALSE)*2</f>
        <v>0</v>
      </c>
      <c r="M35" s="1552"/>
      <c r="N35" s="1552"/>
      <c r="O35" s="25" t="str">
        <f ca="1">_xlfn.IFNA(VLOOKUP($C35,'Master sheet'!$A:$AR,44,FALSE),"")&amp;""</f>
        <v>Expired 2025</v>
      </c>
      <c r="P35" s="637"/>
      <c r="Q35" s="725" t="s">
        <v>72</v>
      </c>
      <c r="R35" s="725" t="s">
        <v>49</v>
      </c>
      <c r="S35" s="664"/>
      <c r="T35" s="664"/>
      <c r="U35" s="664"/>
      <c r="V35" s="664"/>
      <c r="W35" s="664"/>
      <c r="X35" s="664"/>
      <c r="Y35" s="664"/>
      <c r="Z35" s="664"/>
    </row>
    <row r="36" spans="1:26" ht="31.5" customHeight="1" x14ac:dyDescent="0.25">
      <c r="A36" s="1564"/>
      <c r="B36" s="1564"/>
      <c r="C36" s="673" t="str">
        <f>INDEX('Master sheet'!$A$1:$A$670,MATCH(376,'Master sheet'!$AN$1:$AN$670,0))</f>
        <v>Drywall 1/2" / National Gypsum / Gold Bond XP Gypsum Board  / 1/2" (12.7 mm)</v>
      </c>
      <c r="D36" s="15">
        <f>'USER INPUT SHEET'!$D$34</f>
        <v>0</v>
      </c>
      <c r="E36" s="16" t="str">
        <f>'USER INPUT SHEET'!$F$34</f>
        <v>m2</v>
      </c>
      <c r="F36" s="3">
        <v>1</v>
      </c>
      <c r="G36" s="670"/>
      <c r="H36" s="8"/>
      <c r="I36" s="92">
        <f t="shared" si="8"/>
        <v>0</v>
      </c>
      <c r="J36" s="93" t="str">
        <f t="shared" si="9"/>
        <v/>
      </c>
      <c r="K36" s="406">
        <f>$D36*$F36*VLOOKUP($C36,'Master sheet'!$A:$AL,13,FALSE)*2</f>
        <v>0</v>
      </c>
      <c r="L36" s="94">
        <f>$D36*$F36*VLOOKUP($C36,'Master sheet'!$A:$AL,27,FALSE)*2</f>
        <v>0</v>
      </c>
      <c r="M36" s="1610"/>
      <c r="N36" s="1610"/>
      <c r="O36" s="25" t="str">
        <f ca="1">_xlfn.IFNA(VLOOKUP($C36,'Master sheet'!$A:$AR,44,FALSE),"")&amp;""</f>
        <v/>
      </c>
      <c r="P36" s="637"/>
      <c r="Q36" s="725" t="s">
        <v>72</v>
      </c>
      <c r="R36" s="725" t="s">
        <v>49</v>
      </c>
      <c r="S36" s="664"/>
      <c r="T36" s="664"/>
      <c r="U36" s="664"/>
      <c r="V36" s="664"/>
      <c r="W36" s="664"/>
      <c r="X36" s="664"/>
      <c r="Y36" s="664"/>
      <c r="Z36" s="664"/>
    </row>
    <row r="37" spans="1:26" s="624" customFormat="1" ht="23.25" customHeight="1" x14ac:dyDescent="0.25">
      <c r="A37" s="639"/>
      <c r="B37" s="1524" t="s">
        <v>1039</v>
      </c>
      <c r="C37" s="1523"/>
      <c r="D37" s="640"/>
      <c r="E37" s="641"/>
      <c r="F37" s="325"/>
      <c r="G37" s="678"/>
      <c r="H37" s="679"/>
      <c r="I37" s="642"/>
      <c r="J37" s="643"/>
      <c r="K37" s="676"/>
      <c r="L37" s="677"/>
      <c r="M37" s="677"/>
      <c r="N37" s="677"/>
      <c r="O37" s="25" t="str">
        <f>_xlfn.IFNA(VLOOKUP($C37,'Master sheet'!$A:$AR,44,FALSE),"")&amp;""</f>
        <v/>
      </c>
      <c r="P37" s="637"/>
      <c r="Q37" s="726"/>
      <c r="R37" s="726"/>
      <c r="S37" s="638"/>
      <c r="T37" s="638"/>
      <c r="U37" s="638"/>
      <c r="V37" s="638"/>
      <c r="W37" s="638"/>
      <c r="X37" s="638"/>
      <c r="Y37" s="638"/>
      <c r="Z37" s="638"/>
    </row>
    <row r="38" spans="1:26" s="624" customFormat="1" ht="22.8" x14ac:dyDescent="0.25">
      <c r="A38" s="729"/>
      <c r="B38" s="729"/>
      <c r="C38" s="691" t="s">
        <v>4938</v>
      </c>
      <c r="D38" s="19">
        <f>'USER INPUT SHEET'!$D$34</f>
        <v>0</v>
      </c>
      <c r="E38" s="20" t="str">
        <f>'USER INPUT SHEET'!$F$34</f>
        <v>m2</v>
      </c>
      <c r="F38" s="6">
        <v>1</v>
      </c>
      <c r="G38" s="692"/>
      <c r="H38" s="10"/>
      <c r="I38" s="98">
        <f>K38-L38</f>
        <v>0</v>
      </c>
      <c r="J38" s="91" t="str">
        <f>IF(H38=1,I38,"")</f>
        <v/>
      </c>
      <c r="K38" s="410">
        <f>F38*AVERAGE(K39:K41)</f>
        <v>0</v>
      </c>
      <c r="L38" s="99">
        <f>F38*AVERAGE(L39:L41)</f>
        <v>0</v>
      </c>
      <c r="M38" s="1552"/>
      <c r="N38" s="1552"/>
      <c r="O38" s="25" t="str">
        <f>_xlfn.IFNA(VLOOKUP($C38,'Master sheet'!$A:$AR,44,FALSE),"")&amp;""</f>
        <v/>
      </c>
      <c r="P38" s="637"/>
      <c r="Q38" s="725" t="s">
        <v>72</v>
      </c>
      <c r="R38" s="725" t="s">
        <v>49</v>
      </c>
      <c r="S38" s="664"/>
      <c r="T38" s="638"/>
      <c r="U38" s="638"/>
      <c r="V38" s="638"/>
      <c r="W38" s="638"/>
      <c r="X38" s="638"/>
      <c r="Y38" s="638"/>
      <c r="Z38" s="638"/>
    </row>
    <row r="39" spans="1:26" ht="47.25" customHeight="1" x14ac:dyDescent="0.25">
      <c r="A39" s="1600"/>
      <c r="B39" s="1600"/>
      <c r="C39" s="669" t="str">
        <f>INDEX('Master sheet'!$A$1:$A$670,MATCH(90,'Master sheet'!$AN$1:$AN$670,0))</f>
        <v>Drywall 5/8" /  / Includes American Gypsum, CertainTeed, Continental, Georgia-Pacific, National Gypsum, Pabco, USG, CGC / 5/8"</v>
      </c>
      <c r="D39" s="15">
        <f>'USER INPUT SHEET'!$D$34</f>
        <v>0</v>
      </c>
      <c r="E39" s="16" t="str">
        <f>'USER INPUT SHEET'!$F$34</f>
        <v>m2</v>
      </c>
      <c r="F39" s="3">
        <v>1</v>
      </c>
      <c r="G39" s="670"/>
      <c r="H39" s="8"/>
      <c r="I39" s="92">
        <f t="shared" ref="I39:I40" si="10">K39-L39</f>
        <v>0</v>
      </c>
      <c r="J39" s="93" t="str">
        <f t="shared" ref="J39:J40" si="11">IF(H39=1,I39,"")</f>
        <v/>
      </c>
      <c r="K39" s="406">
        <f>$D39*$F39*VLOOKUP($C39,'Master sheet'!$A:$AL,13,FALSE)*2</f>
        <v>0</v>
      </c>
      <c r="L39" s="94">
        <f>$D39*$F39*VLOOKUP($C39,'Master sheet'!$A:$AL,27,FALSE)*2</f>
        <v>0</v>
      </c>
      <c r="M39" s="1552"/>
      <c r="N39" s="1552"/>
      <c r="O39" s="25" t="str">
        <f ca="1">_xlfn.IFNA(VLOOKUP($C39,'Master sheet'!$A:$AR,44,FALSE),"")&amp;""</f>
        <v>Expired 2025</v>
      </c>
      <c r="P39" s="637"/>
      <c r="Q39" s="725" t="s">
        <v>72</v>
      </c>
      <c r="R39" s="725" t="s">
        <v>49</v>
      </c>
      <c r="S39" s="664"/>
      <c r="T39" s="664"/>
      <c r="U39" s="664"/>
      <c r="V39" s="664"/>
      <c r="W39" s="664"/>
      <c r="X39" s="664"/>
      <c r="Y39" s="664"/>
      <c r="Z39" s="664"/>
    </row>
    <row r="40" spans="1:26" s="624" customFormat="1" ht="31.2" x14ac:dyDescent="0.25">
      <c r="A40" s="1600"/>
      <c r="B40" s="1600"/>
      <c r="C40" s="673" t="str">
        <f>INDEX('Master sheet'!$A$1:$A$670,MATCH(377,'Master sheet'!$AN$1:$AN$670,0))</f>
        <v>Drywall 5/8" Type X / National Gypsum / Gold Bond XP Fire-Shield Gypsum Board  / 5/8'' type X</v>
      </c>
      <c r="D40" s="17">
        <f>'USER INPUT SHEET'!$D$34</f>
        <v>0</v>
      </c>
      <c r="E40" s="18" t="str">
        <f>'USER INPUT SHEET'!$F$34</f>
        <v>m2</v>
      </c>
      <c r="F40" s="4">
        <v>1</v>
      </c>
      <c r="G40" s="674"/>
      <c r="H40" s="9"/>
      <c r="I40" s="95">
        <f t="shared" si="10"/>
        <v>0</v>
      </c>
      <c r="J40" s="96" t="str">
        <f t="shared" si="11"/>
        <v/>
      </c>
      <c r="K40" s="406">
        <f>$D40*$F40*VLOOKUP($C40,'Master sheet'!$A:$AL,13,FALSE)*2</f>
        <v>0</v>
      </c>
      <c r="L40" s="94">
        <f>$D40*$F40*VLOOKUP($C40,'Master sheet'!$A:$AL,27,FALSE)*2</f>
        <v>0</v>
      </c>
      <c r="M40" s="1552"/>
      <c r="N40" s="1552"/>
      <c r="O40" s="25" t="str">
        <f ca="1">_xlfn.IFNA(VLOOKUP($C40,'Master sheet'!$A:$AR,44,FALSE),"")&amp;""</f>
        <v/>
      </c>
      <c r="P40" s="685"/>
      <c r="Q40" s="725" t="s">
        <v>72</v>
      </c>
      <c r="R40" s="725" t="s">
        <v>49</v>
      </c>
      <c r="S40" s="638"/>
      <c r="T40" s="638"/>
      <c r="U40" s="638"/>
      <c r="V40" s="638"/>
      <c r="W40" s="638"/>
      <c r="X40" s="638"/>
      <c r="Y40" s="638"/>
      <c r="Z40" s="638"/>
    </row>
    <row r="41" spans="1:26" s="624" customFormat="1" ht="31.2" x14ac:dyDescent="0.25">
      <c r="A41" s="1600"/>
      <c r="B41" s="1600"/>
      <c r="C41" s="673" t="str">
        <f>INDEX('Master sheet'!$A$1:$A$670,MATCH("A27",'Master sheet'!$AN$1:$AN$670,0))</f>
        <v>Drywall 5/8"  / USG / Sheetrock Brand EcoSmart Firecode X  / 5/8'' type X</v>
      </c>
      <c r="D41" s="17">
        <f>'USER INPUT SHEET'!$D$34</f>
        <v>0</v>
      </c>
      <c r="E41" s="18" t="str">
        <f>'USER INPUT SHEET'!$F$34</f>
        <v>m2</v>
      </c>
      <c r="F41" s="4">
        <v>1</v>
      </c>
      <c r="G41" s="674"/>
      <c r="H41" s="9"/>
      <c r="I41" s="95">
        <f t="shared" ref="I41" si="12">K41-L41</f>
        <v>0</v>
      </c>
      <c r="J41" s="96" t="str">
        <f t="shared" ref="J41" si="13">IF(H41=1,I41,"")</f>
        <v/>
      </c>
      <c r="K41" s="406">
        <f>$D41*$F41*VLOOKUP($C41,'Master sheet'!$A:$AL,13,FALSE)*2</f>
        <v>0</v>
      </c>
      <c r="L41" s="94">
        <f>$D41*$F41*VLOOKUP($C41,'Master sheet'!$A:$AL,27,FALSE)*2</f>
        <v>0</v>
      </c>
      <c r="M41" s="1610"/>
      <c r="N41" s="1610"/>
      <c r="O41" s="25" t="str">
        <f>_xlfn.IFNA(VLOOKUP($C41,'Master sheet'!$A:$AR,44,FALSE),"")&amp;""</f>
        <v/>
      </c>
      <c r="P41" s="685"/>
      <c r="Q41" s="726" t="s">
        <v>72</v>
      </c>
      <c r="R41" s="726" t="s">
        <v>49</v>
      </c>
      <c r="S41" s="638"/>
      <c r="T41" s="638"/>
      <c r="U41" s="638"/>
      <c r="V41" s="638"/>
      <c r="W41" s="638"/>
      <c r="X41" s="638"/>
      <c r="Y41" s="638"/>
      <c r="Z41" s="638"/>
    </row>
    <row r="42" spans="1:26" s="624" customFormat="1" ht="23.25" customHeight="1" x14ac:dyDescent="0.25">
      <c r="A42" s="639"/>
      <c r="B42" s="1524" t="s">
        <v>50</v>
      </c>
      <c r="C42" s="1523"/>
      <c r="D42" s="640"/>
      <c r="E42" s="641"/>
      <c r="F42" s="325"/>
      <c r="G42" s="678"/>
      <c r="H42" s="679"/>
      <c r="I42" s="642"/>
      <c r="J42" s="643"/>
      <c r="K42" s="676"/>
      <c r="L42" s="677"/>
      <c r="M42" s="677"/>
      <c r="N42" s="677"/>
      <c r="O42" s="25" t="str">
        <f>_xlfn.IFNA(VLOOKUP($C42,'Master sheet'!$A:$AR,44,FALSE),"")&amp;""</f>
        <v/>
      </c>
      <c r="P42" s="685"/>
      <c r="Q42" s="726"/>
      <c r="R42" s="726"/>
      <c r="S42" s="638"/>
      <c r="T42" s="638"/>
      <c r="U42" s="638"/>
      <c r="V42" s="638"/>
      <c r="W42" s="638"/>
      <c r="X42" s="638"/>
      <c r="Y42" s="638"/>
      <c r="Z42" s="638"/>
    </row>
    <row r="43" spans="1:26" s="624" customFormat="1" ht="23.25" customHeight="1" x14ac:dyDescent="0.25">
      <c r="A43" s="833"/>
      <c r="B43" s="834"/>
      <c r="C43" s="647" t="str">
        <f>INDEX('Master sheet'!$A$1:$A$670,MATCH(146,'Master sheet'!$AN$1:$AN$670,0))</f>
        <v>MgO board 1/2" / North American MgO / MagTech Ultra / 1/2"</v>
      </c>
      <c r="D43" s="13">
        <f>'USER INPUT SHEET'!$D$34</f>
        <v>0</v>
      </c>
      <c r="E43" s="14" t="str">
        <f>'USER INPUT SHEET'!$F$34</f>
        <v>m2</v>
      </c>
      <c r="F43" s="2">
        <v>1</v>
      </c>
      <c r="G43" s="648"/>
      <c r="H43" s="7"/>
      <c r="I43" s="88">
        <f t="shared" ref="I43:I52" si="14">K43-L43</f>
        <v>0</v>
      </c>
      <c r="J43" s="89" t="str">
        <f t="shared" ref="J43:J67" si="15">IF(H43=1,I43,"")</f>
        <v/>
      </c>
      <c r="K43" s="404">
        <f>$D43*$F43*VLOOKUP($C43,'Master sheet'!$A:$AL,13,FALSE)*2</f>
        <v>0</v>
      </c>
      <c r="L43" s="90">
        <f>$D43*$F43*VLOOKUP($C43,'Master sheet'!$A:$AL,27,FALSE)*2</f>
        <v>0</v>
      </c>
      <c r="M43" s="1552"/>
      <c r="N43" s="1552"/>
      <c r="O43" s="25" t="str">
        <f ca="1">_xlfn.IFNA(VLOOKUP($C43,'Master sheet'!$A:$AR,44,FALSE),"")&amp;""</f>
        <v>Expired 2023</v>
      </c>
      <c r="P43" s="685"/>
      <c r="Q43" s="726" t="s">
        <v>72</v>
      </c>
      <c r="R43" s="726" t="s">
        <v>49</v>
      </c>
      <c r="S43" s="638"/>
      <c r="T43" s="638"/>
      <c r="U43" s="638"/>
      <c r="V43" s="638"/>
      <c r="W43" s="638"/>
      <c r="X43" s="638"/>
      <c r="Y43" s="638"/>
      <c r="Z43" s="638"/>
    </row>
    <row r="44" spans="1:26" s="624" customFormat="1" ht="22.8" x14ac:dyDescent="0.25">
      <c r="A44" s="833"/>
      <c r="B44" s="835" t="s">
        <v>937</v>
      </c>
      <c r="C44" s="669" t="str">
        <f>INDEX('Master sheet'!$A$1:$A$670,MATCH("248-1",'Master sheet'!$AN$1:$AN$670,0))</f>
        <v xml:space="preserve">Wood - SPF / Canadian Wood Council / British Columbia / </v>
      </c>
      <c r="D44" s="15">
        <f>'USER INPUT SHEET'!$D$34</f>
        <v>0</v>
      </c>
      <c r="E44" s="16" t="str">
        <f>'USER INPUT SHEET'!$F$34</f>
        <v>m2</v>
      </c>
      <c r="F44" s="3">
        <v>1</v>
      </c>
      <c r="G44" s="670"/>
      <c r="H44" s="8"/>
      <c r="I44" s="92">
        <f>K44-L44-IF(N44,M44,0)</f>
        <v>0</v>
      </c>
      <c r="J44" s="93" t="str">
        <f t="shared" si="15"/>
        <v/>
      </c>
      <c r="K44" s="406">
        <f>$D44*$F44*VLOOKUP($C44,'Master sheet'!$A:$AL,13,FALSE)*0.01905*2</f>
        <v>0</v>
      </c>
      <c r="L44" s="94">
        <f>$D44*$F44*VLOOKUP($C44,'Master sheet'!$A:$AL,27,FALSE)*0.01905*2</f>
        <v>0</v>
      </c>
      <c r="M44" s="1552"/>
      <c r="N44" s="1552"/>
      <c r="O44" s="25" t="str">
        <f>_xlfn.IFNA(VLOOKUP($C44,'Master sheet'!$A:$AR,44,FALSE),"")&amp;""</f>
        <v/>
      </c>
      <c r="P44" s="685"/>
      <c r="Q44" s="725" t="s">
        <v>72</v>
      </c>
      <c r="R44" s="725" t="s">
        <v>49</v>
      </c>
      <c r="S44" s="664" t="s">
        <v>7254</v>
      </c>
      <c r="T44" s="664"/>
      <c r="U44" s="638"/>
      <c r="V44" s="638"/>
      <c r="W44" s="638"/>
      <c r="X44" s="638"/>
      <c r="Y44" s="638"/>
      <c r="Z44" s="638"/>
    </row>
    <row r="45" spans="1:26" s="624" customFormat="1" ht="22.8" x14ac:dyDescent="0.25">
      <c r="A45" s="833"/>
      <c r="B45" s="835" t="s">
        <v>937</v>
      </c>
      <c r="C45" s="669" t="str">
        <f>INDEX('Master sheet'!$A$1:$A$670,MATCH("248-2",'Master sheet'!$AN$1:$AN$670,0))</f>
        <v xml:space="preserve">Wood - SPF / Canadian Wood Council / Alberta / </v>
      </c>
      <c r="D45" s="15">
        <f>'USER INPUT SHEET'!$D$34</f>
        <v>0</v>
      </c>
      <c r="E45" s="16" t="str">
        <f>'USER INPUT SHEET'!$F$34</f>
        <v>m2</v>
      </c>
      <c r="F45" s="3">
        <v>1</v>
      </c>
      <c r="G45" s="670"/>
      <c r="H45" s="8"/>
      <c r="I45" s="92">
        <f t="shared" ref="I45:I49" si="16">K45-L45-IF(N45,M45,0)</f>
        <v>0</v>
      </c>
      <c r="J45" s="93" t="str">
        <f t="shared" ref="J45:J49" si="17">IF(H45=1,I45,"")</f>
        <v/>
      </c>
      <c r="K45" s="406">
        <f>$D45*$F45*VLOOKUP($C45,'Master sheet'!$A:$AL,13,FALSE)*0.01905*2</f>
        <v>0</v>
      </c>
      <c r="L45" s="94">
        <f>$D45*$F45*VLOOKUP($C45,'Master sheet'!$A:$AL,27,FALSE)*0.01905*2</f>
        <v>0</v>
      </c>
      <c r="M45" s="1552"/>
      <c r="N45" s="1552"/>
      <c r="O45" s="25" t="str">
        <f>_xlfn.IFNA(VLOOKUP($C45,'Master sheet'!$A:$AR,44,FALSE),"")&amp;""</f>
        <v/>
      </c>
      <c r="P45" s="685"/>
      <c r="Q45" s="725" t="s">
        <v>72</v>
      </c>
      <c r="R45" s="725" t="s">
        <v>49</v>
      </c>
      <c r="S45" s="664" t="s">
        <v>7254</v>
      </c>
      <c r="T45" s="664"/>
      <c r="U45" s="638"/>
      <c r="V45" s="638"/>
      <c r="W45" s="638"/>
      <c r="X45" s="638"/>
      <c r="Y45" s="638"/>
      <c r="Z45" s="638"/>
    </row>
    <row r="46" spans="1:26" s="624" customFormat="1" ht="22.8" x14ac:dyDescent="0.25">
      <c r="A46" s="833"/>
      <c r="B46" s="835" t="s">
        <v>937</v>
      </c>
      <c r="C46" s="669" t="str">
        <f>INDEX('Master sheet'!$A$1:$A$670,MATCH("248-3",'Master sheet'!$AN$1:$AN$670,0))</f>
        <v xml:space="preserve">Wood - SPF / Canadian Wood Council / Ontario / </v>
      </c>
      <c r="D46" s="15">
        <f>'USER INPUT SHEET'!$D$34</f>
        <v>0</v>
      </c>
      <c r="E46" s="16" t="str">
        <f>'USER INPUT SHEET'!$F$34</f>
        <v>m2</v>
      </c>
      <c r="F46" s="3">
        <v>1</v>
      </c>
      <c r="G46" s="670"/>
      <c r="H46" s="8"/>
      <c r="I46" s="92">
        <f t="shared" si="16"/>
        <v>0</v>
      </c>
      <c r="J46" s="93" t="str">
        <f t="shared" si="17"/>
        <v/>
      </c>
      <c r="K46" s="406">
        <f>$D46*$F46*VLOOKUP($C46,'Master sheet'!$A:$AL,13,FALSE)*0.01905*2</f>
        <v>0</v>
      </c>
      <c r="L46" s="94">
        <f>$D46*$F46*VLOOKUP($C46,'Master sheet'!$A:$AL,27,FALSE)*0.01905*2</f>
        <v>0</v>
      </c>
      <c r="M46" s="1552"/>
      <c r="N46" s="1552"/>
      <c r="O46" s="25" t="str">
        <f>_xlfn.IFNA(VLOOKUP($C46,'Master sheet'!$A:$AR,44,FALSE),"")&amp;""</f>
        <v/>
      </c>
      <c r="P46" s="685"/>
      <c r="Q46" s="725" t="s">
        <v>72</v>
      </c>
      <c r="R46" s="725" t="s">
        <v>49</v>
      </c>
      <c r="S46" s="664" t="s">
        <v>7254</v>
      </c>
      <c r="T46" s="664"/>
      <c r="U46" s="638"/>
      <c r="V46" s="638"/>
      <c r="W46" s="638"/>
      <c r="X46" s="638"/>
      <c r="Y46" s="638"/>
      <c r="Z46" s="638"/>
    </row>
    <row r="47" spans="1:26" s="624" customFormat="1" ht="22.8" x14ac:dyDescent="0.25">
      <c r="A47" s="833"/>
      <c r="B47" s="835" t="s">
        <v>937</v>
      </c>
      <c r="C47" s="669" t="str">
        <f>INDEX('Master sheet'!$A$1:$A$670,MATCH("248-4",'Master sheet'!$AN$1:$AN$670,0))</f>
        <v xml:space="preserve">Wood - SPF / Canadian Wood Council / Quebec / </v>
      </c>
      <c r="D47" s="15">
        <f>'USER INPUT SHEET'!$D$34</f>
        <v>0</v>
      </c>
      <c r="E47" s="16" t="str">
        <f>'USER INPUT SHEET'!$F$34</f>
        <v>m2</v>
      </c>
      <c r="F47" s="3">
        <v>1</v>
      </c>
      <c r="G47" s="670"/>
      <c r="H47" s="8"/>
      <c r="I47" s="92">
        <f t="shared" si="16"/>
        <v>0</v>
      </c>
      <c r="J47" s="93" t="str">
        <f t="shared" si="17"/>
        <v/>
      </c>
      <c r="K47" s="406">
        <f>$D47*$F47*VLOOKUP($C47,'Master sheet'!$A:$AL,13,FALSE)*0.01905*2</f>
        <v>0</v>
      </c>
      <c r="L47" s="94">
        <f>$D47*$F47*VLOOKUP($C47,'Master sheet'!$A:$AL,27,FALSE)*0.01905*2</f>
        <v>0</v>
      </c>
      <c r="M47" s="1552"/>
      <c r="N47" s="1552"/>
      <c r="O47" s="25" t="str">
        <f>_xlfn.IFNA(VLOOKUP($C47,'Master sheet'!$A:$AR,44,FALSE),"")&amp;""</f>
        <v/>
      </c>
      <c r="P47" s="685"/>
      <c r="Q47" s="725" t="s">
        <v>72</v>
      </c>
      <c r="R47" s="725" t="s">
        <v>49</v>
      </c>
      <c r="S47" s="664" t="s">
        <v>7254</v>
      </c>
      <c r="T47" s="664"/>
      <c r="U47" s="638"/>
      <c r="V47" s="638"/>
      <c r="W47" s="638"/>
      <c r="X47" s="638"/>
      <c r="Y47" s="638"/>
      <c r="Z47" s="638"/>
    </row>
    <row r="48" spans="1:26" s="624" customFormat="1" ht="22.8" x14ac:dyDescent="0.25">
      <c r="A48" s="833"/>
      <c r="B48" s="835" t="s">
        <v>937</v>
      </c>
      <c r="C48" s="669" t="str">
        <f>INDEX('Master sheet'!$A$1:$A$670,MATCH("248-5",'Master sheet'!$AN$1:$AN$670,0))</f>
        <v xml:space="preserve">Wood - SPF / Canadian Wood Council / New Brunswick / </v>
      </c>
      <c r="D48" s="15">
        <f>'USER INPUT SHEET'!$D$34</f>
        <v>0</v>
      </c>
      <c r="E48" s="16" t="str">
        <f>'USER INPUT SHEET'!$F$34</f>
        <v>m2</v>
      </c>
      <c r="F48" s="3">
        <v>1</v>
      </c>
      <c r="G48" s="670"/>
      <c r="H48" s="8"/>
      <c r="I48" s="92">
        <f t="shared" si="16"/>
        <v>0</v>
      </c>
      <c r="J48" s="93" t="str">
        <f t="shared" si="17"/>
        <v/>
      </c>
      <c r="K48" s="406">
        <f>$D48*$F48*VLOOKUP($C48,'Master sheet'!$A:$AL,13,FALSE)*0.01905*2</f>
        <v>0</v>
      </c>
      <c r="L48" s="94">
        <f>$D48*$F48*VLOOKUP($C48,'Master sheet'!$A:$AL,27,FALSE)*0.01905*2</f>
        <v>0</v>
      </c>
      <c r="M48" s="1552"/>
      <c r="N48" s="1552"/>
      <c r="O48" s="25" t="str">
        <f>_xlfn.IFNA(VLOOKUP($C48,'Master sheet'!$A:$AR,44,FALSE),"")&amp;""</f>
        <v/>
      </c>
      <c r="P48" s="685"/>
      <c r="Q48" s="725" t="s">
        <v>72</v>
      </c>
      <c r="R48" s="725" t="s">
        <v>49</v>
      </c>
      <c r="S48" s="664" t="s">
        <v>7254</v>
      </c>
      <c r="T48" s="664"/>
      <c r="U48" s="638"/>
      <c r="V48" s="638"/>
      <c r="W48" s="638"/>
      <c r="X48" s="638"/>
      <c r="Y48" s="638"/>
      <c r="Z48" s="638"/>
    </row>
    <row r="49" spans="1:26" s="624" customFormat="1" ht="22.8" x14ac:dyDescent="0.25">
      <c r="A49" s="833"/>
      <c r="B49" s="835" t="s">
        <v>937</v>
      </c>
      <c r="C49" s="669" t="str">
        <f>INDEX('Master sheet'!$A$1:$A$670,MATCH("248-6",'Master sheet'!$AN$1:$AN$670,0))</f>
        <v xml:space="preserve">Wood - SPF / Canadian Wood Council / Atlantic Canada / </v>
      </c>
      <c r="D49" s="15">
        <f>'USER INPUT SHEET'!$D$34</f>
        <v>0</v>
      </c>
      <c r="E49" s="16" t="str">
        <f>'USER INPUT SHEET'!$F$34</f>
        <v>m2</v>
      </c>
      <c r="F49" s="3">
        <v>1</v>
      </c>
      <c r="G49" s="670"/>
      <c r="H49" s="8"/>
      <c r="I49" s="92">
        <f t="shared" si="16"/>
        <v>0</v>
      </c>
      <c r="J49" s="93" t="str">
        <f t="shared" si="17"/>
        <v/>
      </c>
      <c r="K49" s="406">
        <f>$D49*$F49*VLOOKUP($C49,'Master sheet'!$A:$AL,13,FALSE)*0.01905*2</f>
        <v>0</v>
      </c>
      <c r="L49" s="94">
        <f>$D49*$F49*VLOOKUP($C49,'Master sheet'!$A:$AL,27,FALSE)*0.01905*2</f>
        <v>0</v>
      </c>
      <c r="M49" s="1552"/>
      <c r="N49" s="1552"/>
      <c r="O49" s="25" t="str">
        <f>_xlfn.IFNA(VLOOKUP($C49,'Master sheet'!$A:$AR,44,FALSE),"")&amp;""</f>
        <v/>
      </c>
      <c r="P49" s="685"/>
      <c r="Q49" s="725" t="s">
        <v>72</v>
      </c>
      <c r="R49" s="725" t="s">
        <v>49</v>
      </c>
      <c r="S49" s="664" t="s">
        <v>7254</v>
      </c>
      <c r="T49" s="664"/>
      <c r="U49" s="638"/>
      <c r="V49" s="638"/>
      <c r="W49" s="638"/>
      <c r="X49" s="638"/>
      <c r="Y49" s="638"/>
      <c r="Z49" s="638"/>
    </row>
    <row r="50" spans="1:26" ht="31.5" customHeight="1" x14ac:dyDescent="0.25">
      <c r="A50" s="834"/>
      <c r="B50" s="834"/>
      <c r="C50" s="669" t="str">
        <f>INDEX('Master sheet'!$A$1:$A$670,MATCH(31,'Master sheet'!$AN$1:$AN$670,0))</f>
        <v>Cedar Siding / Western Red Cedar Lumber Assn /  / 1 x 6 Boards</v>
      </c>
      <c r="D50" s="15">
        <f>'USER INPUT SHEET'!$D$34</f>
        <v>0</v>
      </c>
      <c r="E50" s="16" t="str">
        <f>'USER INPUT SHEET'!$F$34</f>
        <v>m2</v>
      </c>
      <c r="F50" s="3">
        <v>1</v>
      </c>
      <c r="G50" s="670"/>
      <c r="H50" s="8"/>
      <c r="I50" s="92">
        <f>K50-L50-IF(N50,M50,0)</f>
        <v>0</v>
      </c>
      <c r="J50" s="93" t="str">
        <f t="shared" si="15"/>
        <v/>
      </c>
      <c r="K50" s="406">
        <f>$D50*$F50*VLOOKUP($C50,'Master sheet'!$A:$AL,13,FALSE)*2</f>
        <v>0</v>
      </c>
      <c r="L50" s="94">
        <f>$D50*$F50*VLOOKUP($C50,'Master sheet'!$A:$AL,27,FALSE)*2</f>
        <v>0</v>
      </c>
      <c r="M50" s="1552"/>
      <c r="N50" s="1552"/>
      <c r="O50" s="25" t="str">
        <f ca="1">_xlfn.IFNA(VLOOKUP($C50,'Master sheet'!$A:$AR,44,FALSE),"")&amp;""</f>
        <v>Expired 2021</v>
      </c>
      <c r="P50" s="637"/>
      <c r="Q50" s="725" t="s">
        <v>72</v>
      </c>
      <c r="R50" s="725" t="s">
        <v>49</v>
      </c>
      <c r="S50" s="664"/>
      <c r="T50" s="638" t="s">
        <v>7295</v>
      </c>
      <c r="U50" s="664"/>
      <c r="V50" s="664"/>
      <c r="W50" s="664"/>
      <c r="X50" s="664"/>
      <c r="Y50" s="664"/>
      <c r="Z50" s="664"/>
    </row>
    <row r="51" spans="1:26" ht="22.8" x14ac:dyDescent="0.25">
      <c r="A51" s="834"/>
      <c r="B51" s="834"/>
      <c r="C51" s="669" t="str">
        <f>INDEX('Master sheet'!$A$1:$A$670,MATCH("159-1",'Master sheet'!$AN$1:$AN$670,0))</f>
        <v>Plywood / Canadian Wood Council /  / 1/2"</v>
      </c>
      <c r="D51" s="15">
        <f>'USER INPUT SHEET'!$D$34</f>
        <v>0</v>
      </c>
      <c r="E51" s="16" t="str">
        <f>'USER INPUT SHEET'!$F$34</f>
        <v>m2</v>
      </c>
      <c r="F51" s="3">
        <v>1</v>
      </c>
      <c r="G51" s="670"/>
      <c r="H51" s="8"/>
      <c r="I51" s="92">
        <f>K51-L51-IF(N51,M51,0)</f>
        <v>0</v>
      </c>
      <c r="J51" s="93" t="str">
        <f t="shared" si="15"/>
        <v/>
      </c>
      <c r="K51" s="406">
        <f>$D51*$F51*VLOOKUP($C51,'Master sheet'!$A:$AL,13,FALSE)*2</f>
        <v>0</v>
      </c>
      <c r="L51" s="94">
        <f>$D51*$F51*VLOOKUP($C51,'Master sheet'!$A:$AL,27,FALSE)*2</f>
        <v>0</v>
      </c>
      <c r="M51" s="1552"/>
      <c r="N51" s="1552"/>
      <c r="O51" s="25" t="str">
        <f>_xlfn.IFNA(VLOOKUP($C51,'Master sheet'!$A:$AR,44,FALSE),"")&amp;""</f>
        <v/>
      </c>
      <c r="P51" s="637"/>
      <c r="Q51" s="725" t="s">
        <v>72</v>
      </c>
      <c r="R51" s="725" t="s">
        <v>49</v>
      </c>
      <c r="S51" s="664"/>
      <c r="T51" s="664"/>
      <c r="U51" s="664"/>
      <c r="V51" s="664"/>
      <c r="W51" s="664"/>
      <c r="X51" s="664"/>
      <c r="Y51" s="664"/>
      <c r="Z51" s="664"/>
    </row>
    <row r="52" spans="1:26" ht="23.25" customHeight="1" x14ac:dyDescent="0.25">
      <c r="A52" s="834"/>
      <c r="B52" s="834"/>
      <c r="C52" s="669" t="str">
        <f>INDEX('Master sheet'!$A$1:$A$670,MATCH(42,'Master sheet'!$AN$1:$AN$670,0))</f>
        <v>Clay plaster / Site mixed /  / 15 mm</v>
      </c>
      <c r="D52" s="15">
        <f>'USER INPUT SHEET'!$D$34</f>
        <v>0</v>
      </c>
      <c r="E52" s="16" t="str">
        <f>'USER INPUT SHEET'!$F$34</f>
        <v>m2</v>
      </c>
      <c r="F52" s="3">
        <v>1</v>
      </c>
      <c r="G52" s="670"/>
      <c r="H52" s="8"/>
      <c r="I52" s="92">
        <f t="shared" si="14"/>
        <v>0</v>
      </c>
      <c r="J52" s="93" t="str">
        <f t="shared" si="15"/>
        <v/>
      </c>
      <c r="K52" s="406">
        <f>$D52*$F52*VLOOKUP($C52,'Master sheet'!$A:$AL,13,FALSE)*2</f>
        <v>0</v>
      </c>
      <c r="L52" s="94">
        <f>$D52*$F52*VLOOKUP($C52,'Master sheet'!$A:$AL,27,FALSE)*2</f>
        <v>0</v>
      </c>
      <c r="M52" s="1552"/>
      <c r="N52" s="1552"/>
      <c r="O52" s="25" t="str">
        <f>_xlfn.IFNA(VLOOKUP($C52,'Master sheet'!$A:$AR,44,FALSE),"")&amp;""</f>
        <v>Peer-reviewed LCA, 2014</v>
      </c>
      <c r="P52" s="637"/>
      <c r="Q52" s="725" t="s">
        <v>72</v>
      </c>
      <c r="R52" s="725" t="s">
        <v>49</v>
      </c>
      <c r="S52" s="664"/>
      <c r="T52" s="664"/>
      <c r="U52" s="664"/>
      <c r="V52" s="664"/>
      <c r="W52" s="664"/>
      <c r="X52" s="664"/>
      <c r="Y52" s="664"/>
      <c r="Z52" s="664"/>
    </row>
    <row r="53" spans="1:26" ht="23.25" customHeight="1" x14ac:dyDescent="0.25">
      <c r="A53" s="836"/>
      <c r="B53" s="836"/>
      <c r="C53" s="749" t="str">
        <f>INDEX('Master sheet'!$A$1:$A$670,MATCH("A9",'Master sheet'!$AN$1:$AN$670,0))</f>
        <v>Bamboo plywood / Smith &amp; Fong / Plyboo / 1/2" (12.7 mm)</v>
      </c>
      <c r="D53" s="250">
        <f>'USER INPUT SHEET'!$D$34</f>
        <v>0</v>
      </c>
      <c r="E53" s="251" t="str">
        <f>'USER INPUT SHEET'!$F$34</f>
        <v>m2</v>
      </c>
      <c r="F53" s="252">
        <v>1</v>
      </c>
      <c r="G53" s="750"/>
      <c r="H53" s="253"/>
      <c r="I53" s="254">
        <f t="shared" ref="I53:I54" si="18">K53-L53</f>
        <v>0</v>
      </c>
      <c r="J53" s="255" t="str">
        <f t="shared" ref="J53:J54" si="19">IF(H53=1,I53,"")</f>
        <v/>
      </c>
      <c r="K53" s="417">
        <f>$D53*$F53*VLOOKUP($C53,'Master sheet'!$A:$AL,13,FALSE)*2</f>
        <v>0</v>
      </c>
      <c r="L53" s="256">
        <f>$D53*$F53*VLOOKUP($C53,'Master sheet'!$A:$AL,27,FALSE)*2</f>
        <v>0</v>
      </c>
      <c r="M53" s="1552"/>
      <c r="N53" s="1552"/>
      <c r="O53" s="25" t="str">
        <f>_xlfn.IFNA(VLOOKUP($C53,'Master sheet'!$A:$AR,44,FALSE),"")&amp;""</f>
        <v/>
      </c>
      <c r="P53" s="637"/>
      <c r="Q53" s="725" t="s">
        <v>72</v>
      </c>
      <c r="R53" s="725" t="s">
        <v>49</v>
      </c>
      <c r="S53" s="664"/>
      <c r="T53" s="664"/>
      <c r="U53" s="664"/>
      <c r="V53" s="664"/>
      <c r="W53" s="664"/>
      <c r="X53" s="664"/>
      <c r="Y53" s="664"/>
      <c r="Z53" s="664"/>
    </row>
    <row r="54" spans="1:26" ht="23.25" customHeight="1" x14ac:dyDescent="0.25">
      <c r="A54" s="836"/>
      <c r="B54" s="836"/>
      <c r="C54" s="749" t="str">
        <f>INDEX('Master sheet'!$A$1:$A$670,MATCH("A10",'Master sheet'!$AN$1:$AN$670,0))</f>
        <v>Bamboo plywood / Smith &amp; Fong / Plyboo / 3/4" (19 mm)</v>
      </c>
      <c r="D54" s="250">
        <f>'USER INPUT SHEET'!$D$34</f>
        <v>0</v>
      </c>
      <c r="E54" s="251" t="str">
        <f>'USER INPUT SHEET'!$F$34</f>
        <v>m2</v>
      </c>
      <c r="F54" s="252">
        <v>1</v>
      </c>
      <c r="G54" s="750"/>
      <c r="H54" s="253"/>
      <c r="I54" s="254">
        <f t="shared" si="18"/>
        <v>0</v>
      </c>
      <c r="J54" s="255" t="str">
        <f t="shared" si="19"/>
        <v/>
      </c>
      <c r="K54" s="417">
        <f>$D54*$F54*VLOOKUP($C54,'Master sheet'!$A:$AL,13,FALSE)*2</f>
        <v>0</v>
      </c>
      <c r="L54" s="256">
        <f>$D54*$F54*VLOOKUP($C54,'Master sheet'!$A:$AL,27,FALSE)*2</f>
        <v>0</v>
      </c>
      <c r="M54" s="1552"/>
      <c r="N54" s="1552"/>
      <c r="O54" s="25" t="str">
        <f>_xlfn.IFNA(VLOOKUP($C54,'Master sheet'!$A:$AR,44,FALSE),"")&amp;""</f>
        <v/>
      </c>
      <c r="P54" s="685"/>
      <c r="Q54" s="726" t="s">
        <v>72</v>
      </c>
      <c r="R54" s="726" t="s">
        <v>49</v>
      </c>
      <c r="S54" s="638"/>
      <c r="T54" s="638"/>
      <c r="U54" s="664"/>
      <c r="V54" s="664"/>
      <c r="W54" s="664"/>
      <c r="X54" s="664"/>
      <c r="Y54" s="664"/>
      <c r="Z54" s="664"/>
    </row>
    <row r="55" spans="1:26" s="624" customFormat="1" ht="31.2" customHeight="1" x14ac:dyDescent="0.25">
      <c r="A55" s="837"/>
      <c r="B55" s="837"/>
      <c r="C55" s="749" t="str">
        <f>INDEX('Master sheet'!$A$1:$A$670,MATCH("A85",'Master sheet'!$AN$1:$AN$670,0))</f>
        <v>Plywood / British Columbia Average / Includes : West Fraser Mills, Thompson River Veneer Products / 1/2"</v>
      </c>
      <c r="D55" s="250">
        <f>'USER INPUT SHEET'!$D$34</f>
        <v>0</v>
      </c>
      <c r="E55" s="251" t="str">
        <f>'USER INPUT SHEET'!$F$34</f>
        <v>m2</v>
      </c>
      <c r="F55" s="252">
        <v>1</v>
      </c>
      <c r="G55" s="750"/>
      <c r="H55" s="253"/>
      <c r="I55" s="92">
        <f>K55-L55-IF(N55,M55,0)</f>
        <v>0</v>
      </c>
      <c r="J55" s="255" t="str">
        <f t="shared" si="15"/>
        <v/>
      </c>
      <c r="K55" s="417">
        <f>$D55*$F55*VLOOKUP($C55,'Master sheet'!$A:$AL,13,FALSE)*2</f>
        <v>0</v>
      </c>
      <c r="L55" s="94">
        <f>$D55*$F55*VLOOKUP($C55,'Master sheet'!$A:$AL,27,FALSE)*2</f>
        <v>0</v>
      </c>
      <c r="M55" s="1552"/>
      <c r="N55" s="1552"/>
      <c r="O55" s="25" t="str">
        <f>_xlfn.IFNA(VLOOKUP($C55,'Master sheet'!$A:$AR,44,FALSE),"")&amp;""</f>
        <v/>
      </c>
      <c r="P55" s="685"/>
      <c r="Q55" s="726" t="s">
        <v>72</v>
      </c>
      <c r="R55" s="726" t="s">
        <v>49</v>
      </c>
      <c r="S55" s="638"/>
      <c r="T55" s="638"/>
      <c r="U55" s="638"/>
      <c r="V55" s="638"/>
      <c r="W55" s="638"/>
      <c r="X55" s="638"/>
      <c r="Y55" s="638"/>
      <c r="Z55" s="638"/>
    </row>
    <row r="56" spans="1:26" s="624" customFormat="1" ht="54.75" customHeight="1" x14ac:dyDescent="0.25">
      <c r="A56" s="1522" t="s">
        <v>45</v>
      </c>
      <c r="B56" s="1523"/>
      <c r="C56" s="1523"/>
      <c r="D56" s="629" t="str">
        <f>IF(LOWER(Setting!rng_language)="english","R-VALUE:","VALEUR R :")</f>
        <v>R-VALUE:</v>
      </c>
      <c r="E56" s="1"/>
      <c r="F56" s="323"/>
      <c r="G56" s="650"/>
      <c r="H56" s="650"/>
      <c r="I56" s="651"/>
      <c r="J56" s="103" t="str">
        <f t="shared" si="15"/>
        <v/>
      </c>
      <c r="K56" s="652"/>
      <c r="L56" s="759"/>
      <c r="M56" s="759"/>
      <c r="N56" s="759"/>
      <c r="O56" s="25" t="str">
        <f>_xlfn.IFNA(VLOOKUP($C56,'Master sheet'!$A:$AR,44,FALSE),"")&amp;""</f>
        <v/>
      </c>
      <c r="P56" s="685"/>
      <c r="Q56" s="761"/>
      <c r="R56" s="728"/>
      <c r="T56" s="638"/>
      <c r="U56" s="638"/>
      <c r="V56" s="638"/>
      <c r="W56" s="638"/>
      <c r="X56" s="638"/>
      <c r="Y56" s="638"/>
      <c r="Z56" s="638"/>
    </row>
    <row r="57" spans="1:26" ht="22.8" x14ac:dyDescent="0.25">
      <c r="A57" s="686"/>
      <c r="B57" s="1541" t="s">
        <v>966</v>
      </c>
      <c r="C57" s="1530"/>
      <c r="D57" s="687" t="str">
        <f>IF(LOWER(Setting!rng_language)="english","R-VALUE:","VALEUR R :")</f>
        <v>R-VALUE:</v>
      </c>
      <c r="E57" s="1"/>
      <c r="F57" s="341"/>
      <c r="G57" s="781"/>
      <c r="H57" s="782"/>
      <c r="I57" s="783"/>
      <c r="J57" s="784"/>
      <c r="K57" s="783"/>
      <c r="L57" s="785"/>
      <c r="M57" s="743"/>
      <c r="N57" s="743"/>
      <c r="O57" s="25" t="str">
        <f>_xlfn.IFNA(VLOOKUP($C57,'Master sheet'!$A:$AR,44,FALSE),"")&amp;""</f>
        <v/>
      </c>
      <c r="P57" s="685"/>
      <c r="Q57" s="757"/>
      <c r="R57" s="757"/>
      <c r="T57" s="664"/>
      <c r="U57" s="664"/>
      <c r="V57" s="664"/>
      <c r="W57" s="664"/>
      <c r="X57" s="664"/>
      <c r="Y57" s="664"/>
      <c r="Z57" s="664"/>
    </row>
    <row r="58" spans="1:26" ht="22.8" x14ac:dyDescent="0.25">
      <c r="A58" s="729"/>
      <c r="B58" s="729"/>
      <c r="C58" s="691" t="s">
        <v>1360</v>
      </c>
      <c r="D58" s="19">
        <f>'USER INPUT SHEET'!$D$34</f>
        <v>0</v>
      </c>
      <c r="E58" s="20" t="str">
        <f>'USER INPUT SHEET'!$F$32</f>
        <v>m2</v>
      </c>
      <c r="F58" s="6">
        <v>1</v>
      </c>
      <c r="G58" s="692"/>
      <c r="H58" s="10"/>
      <c r="I58" s="98">
        <f>K58-L58</f>
        <v>0</v>
      </c>
      <c r="J58" s="91" t="str">
        <f>IF(H58=1,I58,"")</f>
        <v/>
      </c>
      <c r="K58" s="410">
        <f>F58*AVERAGE(K59:K61)</f>
        <v>0</v>
      </c>
      <c r="L58" s="99">
        <f>F58*AVERAGE(L59:L61)</f>
        <v>0</v>
      </c>
      <c r="M58" s="1552"/>
      <c r="N58" s="1552"/>
      <c r="O58" s="25" t="str">
        <f>_xlfn.IFNA(VLOOKUP($C58,'Master sheet'!$A:$AR,44,FALSE),"")&amp;""</f>
        <v/>
      </c>
      <c r="P58" s="685"/>
      <c r="Q58" s="726" t="s">
        <v>72</v>
      </c>
      <c r="R58" s="728" t="s">
        <v>1611</v>
      </c>
      <c r="S58" s="664"/>
      <c r="T58" s="664"/>
      <c r="U58" s="664"/>
      <c r="V58" s="664"/>
      <c r="W58" s="664"/>
      <c r="X58" s="664"/>
      <c r="Y58" s="664"/>
      <c r="Z58" s="664"/>
    </row>
    <row r="59" spans="1:26" ht="31.2" x14ac:dyDescent="0.25">
      <c r="A59" s="729"/>
      <c r="B59" s="729"/>
      <c r="C59" s="669" t="str">
        <f>INDEX('Master sheet'!$A$1:$A$670,MATCH("A36",'Master sheet'!$AN$1:$AN$670,0))</f>
        <v>Fiberglass batt / Johns Manville / Unfaced, ComfortTherm, Cavity-SHIELD, FSK-25 / R 3.4/inch</v>
      </c>
      <c r="D59" s="15">
        <f>'USER INPUT SHEET'!$D$34</f>
        <v>0</v>
      </c>
      <c r="E59" s="16" t="str">
        <f>'USER INPUT SHEET'!$F$32</f>
        <v>m2</v>
      </c>
      <c r="F59" s="3">
        <v>1</v>
      </c>
      <c r="G59" s="670"/>
      <c r="H59" s="8"/>
      <c r="I59" s="92">
        <f t="shared" ref="I59" si="20">K59-L59</f>
        <v>0</v>
      </c>
      <c r="J59" s="93" t="str">
        <f t="shared" ref="J59" si="21">IF(H59=1,I59,"")</f>
        <v/>
      </c>
      <c r="K59" s="406">
        <f>$D59*($E$57/5.678)*$F59*VLOOKUP($C59,'Master sheet'!$A:$AL,13,FALSE)</f>
        <v>0</v>
      </c>
      <c r="L59" s="94">
        <f>$D59*($E$57/5.678)*$F59*VLOOKUP($C59,'Master sheet'!$A:$AL,27,FALSE)</f>
        <v>0</v>
      </c>
      <c r="M59" s="1552"/>
      <c r="N59" s="1552"/>
      <c r="O59" s="25" t="str">
        <f>_xlfn.IFNA(VLOOKUP($C59,'Master sheet'!$A:$AR,44,FALSE),"")&amp;""</f>
        <v/>
      </c>
      <c r="P59" s="685"/>
      <c r="Q59" s="726" t="s">
        <v>72</v>
      </c>
      <c r="R59" s="728" t="s">
        <v>1611</v>
      </c>
      <c r="S59" s="664"/>
      <c r="T59" s="664"/>
      <c r="U59" s="664"/>
      <c r="V59" s="664"/>
      <c r="W59" s="664"/>
      <c r="X59" s="664"/>
      <c r="Y59" s="664"/>
      <c r="Z59" s="664"/>
    </row>
    <row r="60" spans="1:26" ht="22.8" x14ac:dyDescent="0.25">
      <c r="A60" s="729"/>
      <c r="B60" s="729"/>
      <c r="C60" s="669" t="str">
        <f>INDEX('Master sheet'!$A$1:$A$670,MATCH("A37",'Master sheet'!$AN$1:$AN$670,0))</f>
        <v>Fiberglass batt / NAIMA  /  / R 4.4/inch</v>
      </c>
      <c r="D60" s="15">
        <f>'USER INPUT SHEET'!$D$34</f>
        <v>0</v>
      </c>
      <c r="E60" s="16" t="str">
        <f>'USER INPUT SHEET'!$F$32</f>
        <v>m2</v>
      </c>
      <c r="F60" s="3">
        <v>1</v>
      </c>
      <c r="G60" s="670"/>
      <c r="H60" s="8"/>
      <c r="I60" s="92">
        <f t="shared" ref="I60" si="22">K60-L60</f>
        <v>0</v>
      </c>
      <c r="J60" s="93" t="str">
        <f t="shared" ref="J60" si="23">IF(H60=1,I60,"")</f>
        <v/>
      </c>
      <c r="K60" s="406">
        <f>$D60*($E$57/5.678)*$F60*VLOOKUP($C60,'Master sheet'!$A:$AL,13,FALSE)</f>
        <v>0</v>
      </c>
      <c r="L60" s="94">
        <f>$D60*($E$57/5.678)*$F60*VLOOKUP($C60,'Master sheet'!$A:$AL,27,FALSE)</f>
        <v>0</v>
      </c>
      <c r="M60" s="1552"/>
      <c r="N60" s="1552"/>
      <c r="O60" s="25" t="str">
        <f>_xlfn.IFNA(VLOOKUP($C60,'Master sheet'!$A:$AR,44,FALSE),"")&amp;""</f>
        <v/>
      </c>
      <c r="P60" s="685"/>
      <c r="Q60" s="726" t="s">
        <v>72</v>
      </c>
      <c r="R60" s="728" t="s">
        <v>1611</v>
      </c>
      <c r="S60" s="664"/>
      <c r="T60" s="664"/>
      <c r="U60" s="664"/>
      <c r="V60" s="664"/>
      <c r="W60" s="664"/>
      <c r="X60" s="664"/>
      <c r="Y60" s="664"/>
      <c r="Z60" s="664"/>
    </row>
    <row r="61" spans="1:26" ht="31.5" customHeight="1" x14ac:dyDescent="0.25">
      <c r="A61" s="729"/>
      <c r="B61" s="729"/>
      <c r="C61" s="669" t="str">
        <f>INDEX('Master sheet'!$A$1:$A$670,MATCH("A38",'Master sheet'!$AN$1:$AN$670,0))</f>
        <v>Fiberglass batt &amp; roll  / Owens Corning /  Unfaced, PINK Next Gen Fiberglas / R 3.6/inch avg.</v>
      </c>
      <c r="D61" s="15">
        <f>'USER INPUT SHEET'!$D$34</f>
        <v>0</v>
      </c>
      <c r="E61" s="16" t="str">
        <f>'USER INPUT SHEET'!$F$32</f>
        <v>m2</v>
      </c>
      <c r="F61" s="3">
        <v>1</v>
      </c>
      <c r="G61" s="670"/>
      <c r="H61" s="8"/>
      <c r="I61" s="92">
        <f t="shared" ref="I61:I67" si="24">K61-L61</f>
        <v>0</v>
      </c>
      <c r="J61" s="93" t="str">
        <f t="shared" si="15"/>
        <v/>
      </c>
      <c r="K61" s="406">
        <f>$D61*($E$57/5.678)*$F61*VLOOKUP($C61,'Master sheet'!$A:$AL,13,FALSE)</f>
        <v>0</v>
      </c>
      <c r="L61" s="94">
        <f>$D61*($E$57/5.678)*$F61*VLOOKUP($C61,'Master sheet'!$A:$AL,27,FALSE)</f>
        <v>0</v>
      </c>
      <c r="M61" s="1610"/>
      <c r="N61" s="1610"/>
      <c r="O61" s="25" t="str">
        <f>_xlfn.IFNA(VLOOKUP($C61,'Master sheet'!$A:$AR,44,FALSE),"")&amp;""</f>
        <v/>
      </c>
      <c r="P61" s="685"/>
      <c r="Q61" s="726" t="s">
        <v>72</v>
      </c>
      <c r="R61" s="728" t="s">
        <v>1611</v>
      </c>
      <c r="T61" s="664"/>
      <c r="U61" s="664"/>
      <c r="V61" s="664"/>
      <c r="W61" s="664"/>
      <c r="X61" s="664"/>
      <c r="Y61" s="664"/>
      <c r="Z61" s="664"/>
    </row>
    <row r="62" spans="1:26" s="624" customFormat="1" ht="22.8" x14ac:dyDescent="0.25">
      <c r="A62" s="639"/>
      <c r="B62" s="1524" t="s">
        <v>1041</v>
      </c>
      <c r="C62" s="1523"/>
      <c r="D62" s="687" t="str">
        <f>IF(LOWER(Setting!rng_language)="english","R-VALUE:","VALEUR R :")</f>
        <v>R-VALUE:</v>
      </c>
      <c r="E62" s="1"/>
      <c r="F62" s="340"/>
      <c r="G62" s="739"/>
      <c r="H62" s="740"/>
      <c r="I62" s="741"/>
      <c r="J62" s="742"/>
      <c r="K62" s="741"/>
      <c r="L62" s="743"/>
      <c r="M62" s="743"/>
      <c r="N62" s="743"/>
      <c r="O62" s="25" t="str">
        <f>_xlfn.IFNA(VLOOKUP($C62,'Master sheet'!$A:$AR,44,FALSE),"")&amp;""</f>
        <v/>
      </c>
      <c r="P62" s="637"/>
      <c r="Q62" s="726" t="s">
        <v>72</v>
      </c>
      <c r="R62" s="728" t="s">
        <v>1611</v>
      </c>
      <c r="T62" s="638"/>
      <c r="U62" s="638"/>
      <c r="V62" s="638"/>
      <c r="W62" s="638"/>
      <c r="X62" s="638"/>
      <c r="Y62" s="638"/>
      <c r="Z62" s="638"/>
    </row>
    <row r="63" spans="1:26" ht="22.8" x14ac:dyDescent="0.25">
      <c r="A63" s="729"/>
      <c r="B63" s="729"/>
      <c r="C63" s="691" t="s">
        <v>1361</v>
      </c>
      <c r="D63" s="19">
        <f>'USER INPUT SHEET'!$D$34</f>
        <v>0</v>
      </c>
      <c r="E63" s="20" t="str">
        <f>'USER INPUT SHEET'!$F$32</f>
        <v>m2</v>
      </c>
      <c r="F63" s="6">
        <v>1</v>
      </c>
      <c r="G63" s="692"/>
      <c r="H63" s="10"/>
      <c r="I63" s="98">
        <f>K63-L63</f>
        <v>0</v>
      </c>
      <c r="J63" s="91" t="str">
        <f>IF(H63=1,I63,"")</f>
        <v/>
      </c>
      <c r="K63" s="410">
        <f>F63*AVERAGE(K64:K65)</f>
        <v>0</v>
      </c>
      <c r="L63" s="99">
        <f>F63*AVERAGE(L64:L65)</f>
        <v>0</v>
      </c>
      <c r="M63" s="1552"/>
      <c r="N63" s="1552"/>
      <c r="O63" s="25" t="str">
        <f>_xlfn.IFNA(VLOOKUP($C63,'Master sheet'!$A:$AR,44,FALSE),"")&amp;""</f>
        <v/>
      </c>
      <c r="P63" s="637"/>
      <c r="Q63" s="726" t="s">
        <v>72</v>
      </c>
      <c r="R63" s="728" t="s">
        <v>1611</v>
      </c>
      <c r="S63" s="664"/>
      <c r="T63" s="664"/>
      <c r="U63" s="664"/>
      <c r="V63" s="664"/>
      <c r="W63" s="664"/>
      <c r="X63" s="664"/>
      <c r="Y63" s="664"/>
      <c r="Z63" s="664"/>
    </row>
    <row r="64" spans="1:26" ht="31.5" customHeight="1" x14ac:dyDescent="0.25">
      <c r="A64" s="1564"/>
      <c r="B64" s="1564"/>
      <c r="C64" s="669" t="str">
        <f>INDEX('Master sheet'!$A$1:$A$670,MATCH(105,'Master sheet'!$AN$1:$AN$670,0))</f>
        <v>Fiberglass loose fill / CertainTeed / InsulSafe, Optima, TruComfort / R 2.6/inch</v>
      </c>
      <c r="D64" s="15">
        <f>'USER INPUT SHEET'!$D$34</f>
        <v>0</v>
      </c>
      <c r="E64" s="16" t="str">
        <f>'USER INPUT SHEET'!$F$32</f>
        <v>m2</v>
      </c>
      <c r="F64" s="3">
        <v>1</v>
      </c>
      <c r="G64" s="670"/>
      <c r="H64" s="8"/>
      <c r="I64" s="92">
        <f t="shared" si="24"/>
        <v>0</v>
      </c>
      <c r="J64" s="93" t="str">
        <f t="shared" si="15"/>
        <v/>
      </c>
      <c r="K64" s="406">
        <f>$D64*($E$62/5.678)*$F64*VLOOKUP($C64,'Master sheet'!$A:$AL,13,FALSE)</f>
        <v>0</v>
      </c>
      <c r="L64" s="94">
        <f>$D64*($E$62/5.678)*$F64*VLOOKUP($C64,'Master sheet'!$A:$AL,27,FALSE)</f>
        <v>0</v>
      </c>
      <c r="M64" s="1552"/>
      <c r="N64" s="1552"/>
      <c r="O64" s="25" t="str">
        <f ca="1">_xlfn.IFNA(VLOOKUP($C64,'Master sheet'!$A:$AR,44,FALSE),"")&amp;""</f>
        <v>Expired 2024</v>
      </c>
      <c r="P64" s="685"/>
      <c r="Q64" s="726" t="s">
        <v>72</v>
      </c>
      <c r="R64" s="728" t="s">
        <v>1611</v>
      </c>
      <c r="T64" s="664"/>
      <c r="U64" s="664"/>
      <c r="V64" s="664"/>
      <c r="W64" s="664"/>
      <c r="X64" s="664"/>
      <c r="Y64" s="664"/>
      <c r="Z64" s="664"/>
    </row>
    <row r="65" spans="1:26" s="624" customFormat="1" ht="46.8" x14ac:dyDescent="0.25">
      <c r="A65" s="1564"/>
      <c r="B65" s="1564"/>
      <c r="C65" s="673" t="str">
        <f>INDEX('Master sheet'!$A$1:$A$670,MATCH(374,'Master sheet'!$AN$1:$AN$670,0))</f>
        <v>Fiberglass loose fill / Johns Manville / Climate Pro, Attic Protector, JM Spider PLUS (Canada) / R 2.8/inch, Formaldehyde-free</v>
      </c>
      <c r="D65" s="17">
        <f>'USER INPUT SHEET'!$D$34</f>
        <v>0</v>
      </c>
      <c r="E65" s="18" t="str">
        <f>'USER INPUT SHEET'!$F$32</f>
        <v>m2</v>
      </c>
      <c r="F65" s="4">
        <v>1</v>
      </c>
      <c r="G65" s="674"/>
      <c r="H65" s="9"/>
      <c r="I65" s="95">
        <f t="shared" si="24"/>
        <v>0</v>
      </c>
      <c r="J65" s="96" t="str">
        <f t="shared" si="15"/>
        <v/>
      </c>
      <c r="K65" s="407">
        <f>$D65*($E$62/5.678)*$F65*VLOOKUP($C65,'Master sheet'!$A:$AL,13,FALSE)</f>
        <v>0</v>
      </c>
      <c r="L65" s="97">
        <f>$D65*($E$62/5.678)*$F65*VLOOKUP($C65,'Master sheet'!$A:$AL,27,FALSE)</f>
        <v>0</v>
      </c>
      <c r="M65" s="1610"/>
      <c r="N65" s="1610"/>
      <c r="O65" s="25" t="str">
        <f ca="1">_xlfn.IFNA(VLOOKUP($C65,'Master sheet'!$A:$AR,44,FALSE),"")&amp;""</f>
        <v/>
      </c>
      <c r="P65" s="685"/>
      <c r="Q65" s="726" t="s">
        <v>72</v>
      </c>
      <c r="R65" s="728" t="s">
        <v>1611</v>
      </c>
      <c r="T65" s="638" t="s">
        <v>7295</v>
      </c>
      <c r="U65" s="638"/>
      <c r="V65" s="638"/>
      <c r="W65" s="638"/>
      <c r="X65" s="638"/>
      <c r="Y65" s="638"/>
      <c r="Z65" s="638"/>
    </row>
    <row r="66" spans="1:26" s="624" customFormat="1" ht="22.8" x14ac:dyDescent="0.25">
      <c r="A66" s="639"/>
      <c r="B66" s="1524" t="s">
        <v>968</v>
      </c>
      <c r="C66" s="1523"/>
      <c r="D66" s="687" t="str">
        <f>IF(LOWER(Setting!rng_language)="english","R-VALUE:","VALEUR R :")</f>
        <v>R-VALUE:</v>
      </c>
      <c r="E66" s="1"/>
      <c r="F66" s="340"/>
      <c r="G66" s="739"/>
      <c r="H66" s="740"/>
      <c r="I66" s="741"/>
      <c r="J66" s="742"/>
      <c r="K66" s="741"/>
      <c r="L66" s="743"/>
      <c r="M66" s="743"/>
      <c r="N66" s="743"/>
      <c r="O66" s="25" t="str">
        <f>_xlfn.IFNA(VLOOKUP($C66,'Master sheet'!$A:$AR,44,FALSE),"")&amp;""</f>
        <v/>
      </c>
      <c r="P66" s="685"/>
      <c r="Q66" s="726" t="s">
        <v>72</v>
      </c>
      <c r="R66" s="728" t="s">
        <v>1611</v>
      </c>
      <c r="T66" s="638"/>
      <c r="U66" s="638"/>
      <c r="V66" s="638"/>
      <c r="W66" s="638"/>
      <c r="X66" s="638"/>
      <c r="Y66" s="638"/>
      <c r="Z66" s="638"/>
    </row>
    <row r="67" spans="1:26" ht="31.5" customHeight="1" x14ac:dyDescent="0.25">
      <c r="A67" s="1600"/>
      <c r="B67" s="1564"/>
      <c r="C67" s="669" t="str">
        <f>INDEX('Master sheet'!$A$1:$A$670,MATCH("A188",'Master sheet'!$AN$1:$AN$670,0))</f>
        <v>Mineral wool batt / Owens Corning / Thermafiber SAFB (4pcf), Versaboard 40 / R 3.7-inch</v>
      </c>
      <c r="D67" s="15">
        <f>'USER INPUT SHEET'!$D$34</f>
        <v>0</v>
      </c>
      <c r="E67" s="16" t="str">
        <f>'USER INPUT SHEET'!$F$32</f>
        <v>m2</v>
      </c>
      <c r="F67" s="3">
        <v>1</v>
      </c>
      <c r="G67" s="670"/>
      <c r="H67" s="8"/>
      <c r="I67" s="92">
        <f t="shared" si="24"/>
        <v>0</v>
      </c>
      <c r="J67" s="93" t="str">
        <f t="shared" si="15"/>
        <v/>
      </c>
      <c r="K67" s="406">
        <f>$D67*($E$66/5.678)*$F67*VLOOKUP($C67,'Master sheet'!$A:$AL,13,FALSE)</f>
        <v>0</v>
      </c>
      <c r="L67" s="94">
        <f>$D67*($E$66/5.678)*$F67*VLOOKUP($C67,'Master sheet'!$A:$AL,27,FALSE)</f>
        <v>0</v>
      </c>
      <c r="M67" s="1552"/>
      <c r="N67" s="1552"/>
      <c r="O67" s="25" t="str">
        <f>_xlfn.IFNA(VLOOKUP($C67,'Master sheet'!$A:$AR,44,FALSE),"")&amp;""</f>
        <v/>
      </c>
      <c r="P67" s="637"/>
      <c r="Q67" s="726" t="s">
        <v>72</v>
      </c>
      <c r="R67" s="728" t="s">
        <v>1611</v>
      </c>
      <c r="T67" s="664"/>
      <c r="U67" s="664"/>
      <c r="V67" s="664"/>
      <c r="W67" s="664"/>
      <c r="X67" s="664"/>
      <c r="Y67" s="664"/>
      <c r="Z67" s="664"/>
    </row>
    <row r="68" spans="1:26" ht="22.8" x14ac:dyDescent="0.25">
      <c r="A68" s="1600"/>
      <c r="B68" s="1564"/>
      <c r="C68" s="673" t="str">
        <f>INDEX('Master sheet'!$A$1:$A$670,MATCH("A202",'Master sheet'!$AN$1:$AN$670,0))</f>
        <v>Mineral wool batt / Rockwool / Safe'n'Sound / R 4.0-inch</v>
      </c>
      <c r="D68" s="17">
        <f>'USER INPUT SHEET'!$D$34</f>
        <v>0</v>
      </c>
      <c r="E68" s="18" t="str">
        <f>'USER INPUT SHEET'!$F$32</f>
        <v>m2</v>
      </c>
      <c r="F68" s="4">
        <v>1</v>
      </c>
      <c r="G68" s="674"/>
      <c r="H68" s="9"/>
      <c r="I68" s="95">
        <f t="shared" ref="I68" si="25">K68-L68</f>
        <v>0</v>
      </c>
      <c r="J68" s="96" t="str">
        <f t="shared" ref="J68" si="26">IF(H68=1,I68,"")</f>
        <v/>
      </c>
      <c r="K68" s="407">
        <f>$D68*($E$66/5.678)*$F68*VLOOKUP($C68,'Master sheet'!$A:$AL,13,FALSE)</f>
        <v>0</v>
      </c>
      <c r="L68" s="97">
        <f>$D68*($E$66/5.678)*$F68*VLOOKUP($C68,'Master sheet'!$A:$AL,27,FALSE)</f>
        <v>0</v>
      </c>
      <c r="M68" s="1610"/>
      <c r="N68" s="1610"/>
      <c r="O68" s="25" t="str">
        <f>_xlfn.IFNA(VLOOKUP($C68,'Master sheet'!$A:$AR,44,FALSE),"")&amp;""</f>
        <v/>
      </c>
      <c r="P68" s="637"/>
      <c r="Q68" s="726" t="s">
        <v>72</v>
      </c>
      <c r="R68" s="728" t="s">
        <v>1611</v>
      </c>
      <c r="T68" s="664"/>
      <c r="U68" s="664"/>
      <c r="V68" s="664"/>
      <c r="W68" s="664"/>
      <c r="X68" s="664"/>
      <c r="Y68" s="664"/>
      <c r="Z68" s="664"/>
    </row>
    <row r="69" spans="1:26" s="624" customFormat="1" ht="22.8" x14ac:dyDescent="0.25">
      <c r="A69" s="639"/>
      <c r="B69" s="1524" t="s">
        <v>46</v>
      </c>
      <c r="C69" s="1523"/>
      <c r="D69" s="687" t="str">
        <f>IF(LOWER(Setting!rng_language)="english","R-VALUE:","VALEUR R :")</f>
        <v>R-VALUE:</v>
      </c>
      <c r="E69" s="1"/>
      <c r="F69" s="340"/>
      <c r="G69" s="739"/>
      <c r="H69" s="740"/>
      <c r="I69" s="741"/>
      <c r="J69" s="742"/>
      <c r="K69" s="741"/>
      <c r="L69" s="743"/>
      <c r="M69" s="743"/>
      <c r="N69" s="743"/>
      <c r="O69" s="25" t="str">
        <f>_xlfn.IFNA(VLOOKUP($C69,'Master sheet'!$A:$AR,44,FALSE),"")&amp;""</f>
        <v/>
      </c>
      <c r="P69" s="685"/>
      <c r="Q69" s="726" t="s">
        <v>72</v>
      </c>
      <c r="R69" s="728" t="s">
        <v>1611</v>
      </c>
      <c r="T69" s="638"/>
      <c r="U69" s="638"/>
      <c r="V69" s="638"/>
      <c r="W69" s="638"/>
      <c r="X69" s="638"/>
      <c r="Y69" s="638"/>
      <c r="Z69" s="638"/>
    </row>
    <row r="70" spans="1:26" ht="22.8" x14ac:dyDescent="0.25">
      <c r="A70" s="729"/>
      <c r="B70" s="729"/>
      <c r="C70" s="691" t="s">
        <v>1362</v>
      </c>
      <c r="D70" s="19">
        <f>'USER INPUT SHEET'!$D$34</f>
        <v>0</v>
      </c>
      <c r="E70" s="20" t="str">
        <f>'USER INPUT SHEET'!$F$32</f>
        <v>m2</v>
      </c>
      <c r="F70" s="6">
        <v>1</v>
      </c>
      <c r="G70" s="692"/>
      <c r="H70" s="10"/>
      <c r="I70" s="98">
        <f>K70-L70</f>
        <v>0</v>
      </c>
      <c r="J70" s="91" t="str">
        <f>IF(H70=1,I70,"")</f>
        <v/>
      </c>
      <c r="K70" s="410">
        <f>F70*AVERAGE(K71:K73)</f>
        <v>0</v>
      </c>
      <c r="L70" s="99">
        <f>F70*AVERAGE(L71:L73)</f>
        <v>0</v>
      </c>
      <c r="M70" s="1552"/>
      <c r="N70" s="1552"/>
      <c r="O70" s="25" t="str">
        <f>_xlfn.IFNA(VLOOKUP($C70,'Master sheet'!$A:$AR,44,FALSE),"")&amp;""</f>
        <v/>
      </c>
      <c r="P70" s="685"/>
      <c r="Q70" s="726" t="s">
        <v>72</v>
      </c>
      <c r="R70" s="728" t="s">
        <v>1611</v>
      </c>
      <c r="S70" s="664"/>
      <c r="T70" s="664"/>
      <c r="U70" s="664"/>
      <c r="V70" s="664"/>
      <c r="W70" s="664"/>
      <c r="X70" s="664"/>
      <c r="Y70" s="664"/>
      <c r="Z70" s="664"/>
    </row>
    <row r="71" spans="1:26" ht="47.25" customHeight="1" x14ac:dyDescent="0.25">
      <c r="A71" s="1600"/>
      <c r="B71" s="1564"/>
      <c r="C71" s="669" t="str">
        <f>INDEX('Master sheet'!$A$1:$A$670,MATCH(33,'Master sheet'!$AN$1:$AN$670,0))</f>
        <v>Cellulose - dense pack /  / R 3.7/inch / Includes AFT, Applegate, Can-Cell, Cell-Pak, Cleanfiber, Climatizer, Fiberlite, Igloo, ICC, Mason City, Nu-Wool, Soprema, Thermo-Kool</v>
      </c>
      <c r="D71" s="15">
        <f>'USER INPUT SHEET'!$D$34</f>
        <v>0</v>
      </c>
      <c r="E71" s="16" t="str">
        <f>'USER INPUT SHEET'!$F$32</f>
        <v>m2</v>
      </c>
      <c r="F71" s="3">
        <v>1</v>
      </c>
      <c r="G71" s="670"/>
      <c r="H71" s="8"/>
      <c r="I71" s="92">
        <f t="shared" ref="I71:I77" si="27">K71-L71</f>
        <v>0</v>
      </c>
      <c r="J71" s="93" t="str">
        <f t="shared" ref="J71:J77" si="28">IF(H71=1,I71,"")</f>
        <v/>
      </c>
      <c r="K71" s="406">
        <f>$D71*($E$69/5.678)*$F71*VLOOKUP($C71,'Master sheet'!$A:$AL,13,FALSE)</f>
        <v>0</v>
      </c>
      <c r="L71" s="94">
        <f>$D71*($E$69/5.678)*$F71*VLOOKUP($C71,'Master sheet'!$A:$AL,27,FALSE)</f>
        <v>0</v>
      </c>
      <c r="M71" s="1552"/>
      <c r="N71" s="1552"/>
      <c r="O71" s="25" t="str">
        <f ca="1">_xlfn.IFNA(VLOOKUP($C71,'Master sheet'!$A:$AR,44,FALSE),"")&amp;""</f>
        <v>Expired 2024</v>
      </c>
      <c r="P71" s="637"/>
      <c r="Q71" s="726" t="s">
        <v>72</v>
      </c>
      <c r="R71" s="728" t="s">
        <v>1611</v>
      </c>
      <c r="T71" s="664"/>
      <c r="U71" s="664"/>
      <c r="V71" s="664"/>
      <c r="W71" s="664"/>
      <c r="X71" s="664"/>
      <c r="Y71" s="664"/>
      <c r="Z71" s="664"/>
    </row>
    <row r="72" spans="1:26" ht="23.25" customHeight="1" x14ac:dyDescent="0.25">
      <c r="A72" s="1564"/>
      <c r="B72" s="1564"/>
      <c r="C72" s="669" t="str">
        <f>INDEX('Master sheet'!$A$1:$A$670,MATCH(32,'Master sheet'!$AN$1:$AN$670,0))</f>
        <v>Cellulose - batt / CMS / R 3.6/inch / EcoCell</v>
      </c>
      <c r="D72" s="15">
        <f>'USER INPUT SHEET'!$D$34</f>
        <v>0</v>
      </c>
      <c r="E72" s="16" t="str">
        <f>'USER INPUT SHEET'!$F$32</f>
        <v>m2</v>
      </c>
      <c r="F72" s="3">
        <v>1</v>
      </c>
      <c r="G72" s="670"/>
      <c r="H72" s="8"/>
      <c r="I72" s="92">
        <f t="shared" si="27"/>
        <v>0</v>
      </c>
      <c r="J72" s="93" t="str">
        <f t="shared" si="28"/>
        <v/>
      </c>
      <c r="K72" s="406">
        <f>$D72*($E$69/5.678)*$F72*VLOOKUP($C72,'Master sheet'!$A:$AL,13,FALSE)</f>
        <v>0</v>
      </c>
      <c r="L72" s="94">
        <f>$D72*($E$69/5.678)*$F72*VLOOKUP($C72,'Master sheet'!$A:$AL,27,FALSE)</f>
        <v>0</v>
      </c>
      <c r="M72" s="1552"/>
      <c r="N72" s="1552"/>
      <c r="O72" s="25" t="str">
        <f ca="1">_xlfn.IFNA(VLOOKUP($C72,'Master sheet'!$A:$AR,44,FALSE),"")&amp;""</f>
        <v>Expired 2024</v>
      </c>
      <c r="P72" s="637"/>
      <c r="Q72" s="726" t="s">
        <v>72</v>
      </c>
      <c r="R72" s="728" t="s">
        <v>1611</v>
      </c>
      <c r="T72" s="664"/>
      <c r="U72" s="664"/>
      <c r="V72" s="664"/>
      <c r="W72" s="664"/>
      <c r="X72" s="664"/>
      <c r="Y72" s="664"/>
      <c r="Z72" s="664"/>
    </row>
    <row r="73" spans="1:26" s="624" customFormat="1" ht="31.5" customHeight="1" x14ac:dyDescent="0.25">
      <c r="A73" s="1564"/>
      <c r="B73" s="1564"/>
      <c r="C73" s="673" t="str">
        <f>INDEX('Master sheet'!$A$1:$A$670,MATCH(35,'Master sheet'!$AN$1:$AN$670,0))</f>
        <v>Cellulose - spray applied / R 3.75/inch / International Cellulose Corp. / K-13, ThermoCon</v>
      </c>
      <c r="D73" s="17">
        <f>'USER INPUT SHEET'!$D$34</f>
        <v>0</v>
      </c>
      <c r="E73" s="18" t="str">
        <f>'USER INPUT SHEET'!$F$32</f>
        <v>m2</v>
      </c>
      <c r="F73" s="4">
        <v>1</v>
      </c>
      <c r="G73" s="674"/>
      <c r="H73" s="9"/>
      <c r="I73" s="95">
        <f t="shared" si="27"/>
        <v>0</v>
      </c>
      <c r="J73" s="96" t="str">
        <f t="shared" si="28"/>
        <v/>
      </c>
      <c r="K73" s="407">
        <f>$D73*($E$69/5.678)*$F73*VLOOKUP($C73,'Master sheet'!$A:$AL,13,FALSE)</f>
        <v>0</v>
      </c>
      <c r="L73" s="97">
        <f>$D73*($E$69/5.678)*$F73*VLOOKUP($C73,'Master sheet'!$A:$AL,27,FALSE)</f>
        <v>0</v>
      </c>
      <c r="M73" s="1610"/>
      <c r="N73" s="1610"/>
      <c r="O73" s="25" t="str">
        <f ca="1">_xlfn.IFNA(VLOOKUP($C73,'Master sheet'!$A:$AR,44,FALSE),"")&amp;""</f>
        <v>Expired 2025</v>
      </c>
      <c r="P73" s="685"/>
      <c r="Q73" s="726" t="s">
        <v>72</v>
      </c>
      <c r="R73" s="728" t="s">
        <v>1611</v>
      </c>
      <c r="T73" s="638"/>
      <c r="U73" s="638"/>
      <c r="V73" s="638"/>
      <c r="W73" s="638"/>
      <c r="X73" s="638"/>
      <c r="Y73" s="638"/>
      <c r="Z73" s="638"/>
    </row>
    <row r="74" spans="1:26" s="624" customFormat="1" ht="22.8" x14ac:dyDescent="0.25">
      <c r="A74" s="639"/>
      <c r="B74" s="1524" t="s">
        <v>969</v>
      </c>
      <c r="C74" s="1523"/>
      <c r="D74" s="687" t="str">
        <f>IF(LOWER(Setting!rng_language)="english","R-VALUE:","VALEUR R :")</f>
        <v>R-VALUE:</v>
      </c>
      <c r="E74" s="1"/>
      <c r="F74" s="340"/>
      <c r="G74" s="739"/>
      <c r="H74" s="740"/>
      <c r="I74" s="741"/>
      <c r="J74" s="742"/>
      <c r="K74" s="741"/>
      <c r="L74" s="743"/>
      <c r="M74" s="743"/>
      <c r="N74" s="743"/>
      <c r="O74" s="25" t="str">
        <f>_xlfn.IFNA(VLOOKUP($C74,'Master sheet'!$A:$AR,44,FALSE),"")&amp;""</f>
        <v/>
      </c>
      <c r="P74" s="685"/>
      <c r="Q74" s="726" t="s">
        <v>72</v>
      </c>
      <c r="R74" s="728" t="s">
        <v>1611</v>
      </c>
      <c r="T74" s="638"/>
      <c r="U74" s="638"/>
      <c r="V74" s="638"/>
      <c r="W74" s="638"/>
      <c r="X74" s="638"/>
      <c r="Y74" s="638"/>
      <c r="Z74" s="638"/>
    </row>
    <row r="75" spans="1:26" ht="22.8" x14ac:dyDescent="0.25">
      <c r="A75" s="729"/>
      <c r="B75" s="729"/>
      <c r="C75" s="691" t="s">
        <v>1363</v>
      </c>
      <c r="D75" s="19">
        <f>'USER INPUT SHEET'!$D$34</f>
        <v>0</v>
      </c>
      <c r="E75" s="20" t="str">
        <f>'USER INPUT SHEET'!$F$32</f>
        <v>m2</v>
      </c>
      <c r="F75" s="6">
        <v>1</v>
      </c>
      <c r="G75" s="692"/>
      <c r="H75" s="10"/>
      <c r="I75" s="98">
        <f>K75-L75</f>
        <v>0</v>
      </c>
      <c r="J75" s="91" t="str">
        <f>IF(H75=1,I75,"")</f>
        <v/>
      </c>
      <c r="K75" s="410">
        <f>F75*AVERAGE(K76:K77)</f>
        <v>0</v>
      </c>
      <c r="L75" s="99">
        <f>F75*AVERAGE(L76:L77)</f>
        <v>0</v>
      </c>
      <c r="M75" s="1552"/>
      <c r="N75" s="1552"/>
      <c r="O75" s="25" t="str">
        <f>_xlfn.IFNA(VLOOKUP($C75,'Master sheet'!$A:$AR,44,FALSE),"")&amp;""</f>
        <v/>
      </c>
      <c r="P75" s="685"/>
      <c r="Q75" s="726" t="s">
        <v>72</v>
      </c>
      <c r="R75" s="728" t="s">
        <v>1611</v>
      </c>
      <c r="S75" s="664"/>
      <c r="T75" s="664"/>
      <c r="U75" s="664"/>
      <c r="V75" s="664"/>
      <c r="W75" s="664"/>
      <c r="X75" s="664"/>
      <c r="Y75" s="664"/>
      <c r="Z75" s="664"/>
    </row>
    <row r="76" spans="1:26" ht="23.25" customHeight="1" x14ac:dyDescent="0.25">
      <c r="A76" s="1564"/>
      <c r="B76" s="1564"/>
      <c r="C76" s="673" t="str">
        <f>INDEX('Master sheet'!$A$1:$A$670,MATCH(238,'Master sheet'!$AN$1:$AN$670,0))</f>
        <v>Wood fiber - loose fill / GUTEX / ThermoFiber / R 3.6/inch</v>
      </c>
      <c r="D76" s="17">
        <f>'USER INPUT SHEET'!$D$34</f>
        <v>0</v>
      </c>
      <c r="E76" s="18" t="str">
        <f>'USER INPUT SHEET'!$F$32</f>
        <v>m2</v>
      </c>
      <c r="F76" s="4">
        <v>1</v>
      </c>
      <c r="G76" s="674"/>
      <c r="H76" s="9"/>
      <c r="I76" s="95">
        <f t="shared" ref="I76" si="29">K76-L76</f>
        <v>0</v>
      </c>
      <c r="J76" s="96" t="str">
        <f t="shared" ref="J76" si="30">IF(H76=1,I76,"")</f>
        <v/>
      </c>
      <c r="K76" s="407">
        <f>$D76*($E$74/5.678)*$F76*VLOOKUP($C76,'Master sheet'!$A:$AL,13,FALSE)</f>
        <v>0</v>
      </c>
      <c r="L76" s="97">
        <f>$D76*($E$74/5.678)*$F76*VLOOKUP($C76,'Master sheet'!$A:$AL,27,FALSE)</f>
        <v>0</v>
      </c>
      <c r="M76" s="1552"/>
      <c r="N76" s="1552"/>
      <c r="O76" s="25" t="str">
        <f ca="1">_xlfn.IFNA(VLOOKUP($C76,'Master sheet'!$A:$AR,44,FALSE),"")&amp;""</f>
        <v>Expired 2024</v>
      </c>
      <c r="P76" s="637"/>
      <c r="Q76" s="726" t="s">
        <v>72</v>
      </c>
      <c r="R76" s="728" t="s">
        <v>1611</v>
      </c>
      <c r="S76" s="624"/>
      <c r="T76" s="638"/>
      <c r="U76" s="638"/>
      <c r="V76" s="638"/>
      <c r="W76" s="664"/>
      <c r="X76" s="664"/>
      <c r="Y76" s="664"/>
      <c r="Z76" s="664"/>
    </row>
    <row r="77" spans="1:26" s="624" customFormat="1" ht="23.25" customHeight="1" x14ac:dyDescent="0.25">
      <c r="A77" s="1564"/>
      <c r="B77" s="1564"/>
      <c r="C77" s="673" t="str">
        <f>INDEX('Master sheet'!$A$1:$A$670,MATCH("A122",'Master sheet'!$AN$1:$AN$670,0))</f>
        <v>Wood fiber batt / Steico / SteicoFlex / R 3.8/inch</v>
      </c>
      <c r="D77" s="17">
        <f>'USER INPUT SHEET'!$D$34</f>
        <v>0</v>
      </c>
      <c r="E77" s="18" t="str">
        <f>'USER INPUT SHEET'!$F$32</f>
        <v>m2</v>
      </c>
      <c r="F77" s="4">
        <v>1</v>
      </c>
      <c r="G77" s="674"/>
      <c r="H77" s="9"/>
      <c r="I77" s="95">
        <f t="shared" si="27"/>
        <v>0</v>
      </c>
      <c r="J77" s="96" t="str">
        <f t="shared" si="28"/>
        <v/>
      </c>
      <c r="K77" s="407">
        <f>$D77*($E$74/5.678)*$F77*VLOOKUP($C77,'Master sheet'!$A:$AL,13,FALSE)</f>
        <v>0</v>
      </c>
      <c r="L77" s="97">
        <f>$D77*($E$74/5.678)*$F77*VLOOKUP($C77,'Master sheet'!$A:$AL,27,FALSE)</f>
        <v>0</v>
      </c>
      <c r="M77" s="1610"/>
      <c r="N77" s="1610"/>
      <c r="O77" s="25" t="str">
        <f>_xlfn.IFNA(VLOOKUP($C77,'Master sheet'!$A:$AR,44,FALSE),"")&amp;""</f>
        <v/>
      </c>
      <c r="P77" s="637"/>
      <c r="Q77" s="726" t="s">
        <v>72</v>
      </c>
      <c r="R77" s="728" t="s">
        <v>1611</v>
      </c>
      <c r="T77" s="638"/>
      <c r="U77" s="638"/>
      <c r="V77" s="638"/>
      <c r="W77" s="638"/>
      <c r="X77" s="638"/>
      <c r="Y77" s="638"/>
      <c r="Z77" s="638"/>
    </row>
    <row r="78" spans="1:26" s="624" customFormat="1" ht="22.8" x14ac:dyDescent="0.25">
      <c r="A78" s="639"/>
      <c r="B78" s="1524" t="s">
        <v>56</v>
      </c>
      <c r="C78" s="1523"/>
      <c r="D78" s="687" t="str">
        <f>IF(LOWER(Setting!rng_language)="english","R-VALUE:","VALEUR R :")</f>
        <v>R-VALUE:</v>
      </c>
      <c r="E78" s="1"/>
      <c r="F78" s="325"/>
      <c r="G78" s="678"/>
      <c r="H78" s="679"/>
      <c r="I78" s="642"/>
      <c r="J78" s="643"/>
      <c r="K78" s="676"/>
      <c r="L78" s="677"/>
      <c r="M78" s="677"/>
      <c r="N78" s="677"/>
      <c r="O78" s="25" t="str">
        <f>_xlfn.IFNA(VLOOKUP($C78,'Master sheet'!$A:$AR,44,FALSE),"")&amp;""</f>
        <v/>
      </c>
      <c r="P78" s="685"/>
      <c r="Q78" s="726" t="s">
        <v>72</v>
      </c>
      <c r="R78" s="728" t="s">
        <v>1611</v>
      </c>
      <c r="T78" s="638"/>
      <c r="U78" s="638"/>
      <c r="V78" s="638"/>
      <c r="W78" s="638"/>
      <c r="X78" s="638"/>
      <c r="Y78" s="638"/>
      <c r="Z78" s="638"/>
    </row>
    <row r="79" spans="1:26" s="624" customFormat="1" ht="23.25" customHeight="1" x14ac:dyDescent="0.25">
      <c r="A79" s="1600"/>
      <c r="B79" s="1564"/>
      <c r="C79" s="647" t="str">
        <f>INDEX('Master sheet'!$A$1:$A$670,MATCH(254,'Master sheet'!$AN$1:$AN$670,0))</f>
        <v>Wool batt / Havelock Wool /  / R 3.6/inch</v>
      </c>
      <c r="D79" s="13">
        <f>'USER INPUT SHEET'!$D$34</f>
        <v>0</v>
      </c>
      <c r="E79" s="14" t="str">
        <f>'USER INPUT SHEET'!$F$32</f>
        <v>m2</v>
      </c>
      <c r="F79" s="2">
        <v>1</v>
      </c>
      <c r="G79" s="648"/>
      <c r="H79" s="7"/>
      <c r="I79" s="88">
        <f t="shared" ref="I79:I82" si="31">K79-L79</f>
        <v>0</v>
      </c>
      <c r="J79" s="89" t="str">
        <f t="shared" ref="J79:J82" si="32">IF(H79=1,I79,"")</f>
        <v/>
      </c>
      <c r="K79" s="404">
        <f>$D79*($E$78/5.678)*$F79*VLOOKUP($C79,'Master sheet'!$A:$AL,13,FALSE)</f>
        <v>0</v>
      </c>
      <c r="L79" s="90">
        <f>$D79*($E$78/5.678)*$F79*VLOOKUP($C79,'Master sheet'!$A:$AL,27,FALSE)</f>
        <v>0</v>
      </c>
      <c r="M79" s="1552"/>
      <c r="N79" s="1552"/>
      <c r="O79" s="25" t="str">
        <f ca="1">_xlfn.IFNA(VLOOKUP($C79,'Master sheet'!$A:$AR,44,FALSE),"")&amp;""</f>
        <v>Expired 2025</v>
      </c>
      <c r="P79" s="685"/>
      <c r="Q79" s="726" t="s">
        <v>72</v>
      </c>
      <c r="R79" s="728" t="s">
        <v>1611</v>
      </c>
      <c r="T79" s="638"/>
      <c r="U79" s="638"/>
      <c r="V79" s="638"/>
      <c r="W79" s="638"/>
      <c r="X79" s="638"/>
      <c r="Y79" s="638"/>
      <c r="Z79" s="638"/>
    </row>
    <row r="80" spans="1:26" ht="23.25" customHeight="1" x14ac:dyDescent="0.25">
      <c r="A80" s="1564"/>
      <c r="B80" s="1564"/>
      <c r="C80" s="669" t="str">
        <f>INDEX('Master sheet'!$A$1:$A$670,MATCH(255,'Master sheet'!$AN$1:$AN$670,0))</f>
        <v>Wool loose fill / Havelock Wool /  / R 4.4/inch</v>
      </c>
      <c r="D80" s="15">
        <f>'USER INPUT SHEET'!$D$34</f>
        <v>0</v>
      </c>
      <c r="E80" s="16" t="str">
        <f>'USER INPUT SHEET'!$F$32</f>
        <v>m2</v>
      </c>
      <c r="F80" s="3">
        <v>1</v>
      </c>
      <c r="G80" s="670"/>
      <c r="H80" s="8"/>
      <c r="I80" s="92">
        <f t="shared" si="31"/>
        <v>0</v>
      </c>
      <c r="J80" s="93" t="str">
        <f t="shared" si="32"/>
        <v/>
      </c>
      <c r="K80" s="406">
        <f>$D80*($E$78/5.678)*$F80*VLOOKUP($C80,'Master sheet'!$A:$AL,13,FALSE)</f>
        <v>0</v>
      </c>
      <c r="L80" s="94">
        <f>$D80*($E$78/5.678)*$F80*VLOOKUP($C80,'Master sheet'!$A:$AL,27,FALSE)</f>
        <v>0</v>
      </c>
      <c r="M80" s="1552"/>
      <c r="N80" s="1552"/>
      <c r="O80" s="25" t="str">
        <f ca="1">_xlfn.IFNA(VLOOKUP($C80,'Master sheet'!$A:$AR,44,FALSE),"")&amp;""</f>
        <v/>
      </c>
      <c r="P80" s="685"/>
      <c r="Q80" s="726" t="s">
        <v>72</v>
      </c>
      <c r="R80" s="728" t="s">
        <v>1611</v>
      </c>
      <c r="T80" s="664"/>
      <c r="U80" s="664"/>
      <c r="V80" s="664"/>
      <c r="W80" s="664"/>
      <c r="X80" s="664"/>
      <c r="Y80" s="664"/>
      <c r="Z80" s="664"/>
    </row>
    <row r="81" spans="1:26" ht="23.25" customHeight="1" x14ac:dyDescent="0.25">
      <c r="A81" s="1564"/>
      <c r="B81" s="1564"/>
      <c r="C81" s="673" t="str">
        <f>INDEX('Master sheet'!$A$1:$A$670,MATCH(412,'Master sheet'!$AN$1:$AN$670,0))</f>
        <v>Straw Bale / SNaB (UK) / Wheat &amp; barley straw / R 2.8/inch</v>
      </c>
      <c r="D81" s="17">
        <f>'USER INPUT SHEET'!$D$34</f>
        <v>0</v>
      </c>
      <c r="E81" s="18" t="str">
        <f>'USER INPUT SHEET'!$F$32</f>
        <v>m2</v>
      </c>
      <c r="F81" s="4">
        <v>1</v>
      </c>
      <c r="G81" s="674"/>
      <c r="H81" s="9"/>
      <c r="I81" s="95">
        <f t="shared" si="31"/>
        <v>0</v>
      </c>
      <c r="J81" s="96" t="str">
        <f t="shared" si="32"/>
        <v/>
      </c>
      <c r="K81" s="407">
        <f>$D81*($E$78/5.678)*$F81*VLOOKUP($C81,'Master sheet'!$A:$AL,13,FALSE)</f>
        <v>0</v>
      </c>
      <c r="L81" s="97">
        <f>$D81*($E$78/5.678)*$F81*VLOOKUP($C81,'Master sheet'!$A:$AL,27,FALSE)</f>
        <v>0</v>
      </c>
      <c r="M81" s="1552"/>
      <c r="N81" s="1552"/>
      <c r="O81" s="25" t="str">
        <f ca="1">_xlfn.IFNA(VLOOKUP($C81,'Master sheet'!$A:$AR,44,FALSE),"")&amp;""</f>
        <v/>
      </c>
      <c r="P81" s="637"/>
      <c r="Q81" s="726" t="s">
        <v>72</v>
      </c>
      <c r="R81" s="728" t="s">
        <v>1611</v>
      </c>
      <c r="S81" s="624"/>
      <c r="T81" s="638"/>
      <c r="U81" s="638"/>
      <c r="V81" s="664"/>
      <c r="W81" s="664"/>
      <c r="X81" s="664"/>
      <c r="Y81" s="664"/>
      <c r="Z81" s="664"/>
    </row>
    <row r="82" spans="1:26" s="624" customFormat="1" ht="23.25" customHeight="1" x14ac:dyDescent="0.25">
      <c r="A82" s="1564"/>
      <c r="B82" s="1564"/>
      <c r="C82" s="673" t="str">
        <f>INDEX('Master sheet'!$A$1:$A$670,MATCH("A54",'Master sheet'!$AN$1:$AN$670,0))</f>
        <v>Hemp fiber batt / NaturFibre / Hemp Wool / R 3.7/inch</v>
      </c>
      <c r="D82" s="17">
        <f>'USER INPUT SHEET'!$D$34</f>
        <v>0</v>
      </c>
      <c r="E82" s="18" t="str">
        <f>'USER INPUT SHEET'!$F$32</f>
        <v>m2</v>
      </c>
      <c r="F82" s="4">
        <v>1</v>
      </c>
      <c r="G82" s="674"/>
      <c r="H82" s="9"/>
      <c r="I82" s="95">
        <f t="shared" si="31"/>
        <v>0</v>
      </c>
      <c r="J82" s="96" t="str">
        <f t="shared" si="32"/>
        <v/>
      </c>
      <c r="K82" s="407">
        <f>$D82*($E$78/5.678)*$F82*VLOOKUP($C82,'Master sheet'!$A:$AL,13,FALSE)</f>
        <v>0</v>
      </c>
      <c r="L82" s="97">
        <f>$D82*($E$78/5.678)*$F82*VLOOKUP($C82,'Master sheet'!$A:$AL,27,FALSE)</f>
        <v>0</v>
      </c>
      <c r="M82" s="1610"/>
      <c r="N82" s="1610"/>
      <c r="O82" s="25" t="str">
        <f>_xlfn.IFNA(VLOOKUP($C82,'Master sheet'!$A:$AR,44,FALSE),"")&amp;""</f>
        <v/>
      </c>
      <c r="P82" s="637"/>
      <c r="Q82" s="726" t="s">
        <v>72</v>
      </c>
      <c r="R82" s="728" t="s">
        <v>1611</v>
      </c>
      <c r="T82" s="638"/>
      <c r="U82" s="638"/>
      <c r="V82" s="638"/>
      <c r="W82" s="638"/>
      <c r="X82" s="638"/>
      <c r="Y82" s="638"/>
      <c r="Z82" s="638"/>
    </row>
    <row r="83" spans="1:26" s="624" customFormat="1" ht="22.8" x14ac:dyDescent="0.25">
      <c r="A83" s="639"/>
      <c r="B83" s="1524" t="s">
        <v>3428</v>
      </c>
      <c r="C83" s="1523"/>
      <c r="D83" s="687" t="str">
        <f>IF(LOWER(Setting!rng_language)="english","R-VALUE:","VALEUR R :")</f>
        <v>R-VALUE:</v>
      </c>
      <c r="E83" s="1"/>
      <c r="F83" s="325"/>
      <c r="G83" s="678"/>
      <c r="H83" s="679"/>
      <c r="I83" s="642"/>
      <c r="J83" s="643"/>
      <c r="K83" s="676"/>
      <c r="L83" s="727"/>
      <c r="M83" s="727"/>
      <c r="N83" s="727"/>
      <c r="O83" s="25" t="str">
        <f>_xlfn.IFNA(VLOOKUP($C83,'Master sheet'!$A:$AR,44,FALSE),"")&amp;""</f>
        <v/>
      </c>
      <c r="P83" s="637"/>
      <c r="Q83" s="726" t="s">
        <v>72</v>
      </c>
      <c r="R83" s="728" t="s">
        <v>1611</v>
      </c>
      <c r="T83" s="638"/>
      <c r="U83" s="638"/>
      <c r="V83" s="638"/>
      <c r="W83" s="638"/>
      <c r="X83" s="638"/>
      <c r="Y83" s="638"/>
      <c r="Z83" s="638"/>
    </row>
    <row r="84" spans="1:26" s="624" customFormat="1" ht="31.5" customHeight="1" x14ac:dyDescent="0.25">
      <c r="A84" s="1601"/>
      <c r="B84" s="1602"/>
      <c r="C84" s="673" t="str">
        <f>INDEX('Master sheet'!$A$1:$A$670,MATCH(184,'Master sheet'!$AN$1:$AN$670,0))</f>
        <v>Spray polyurethane foam - Closed Cell - HFO gas filled / SPFA /  / R 6.6/inch</v>
      </c>
      <c r="D84" s="17">
        <f>'USER INPUT SHEET'!$D$34</f>
        <v>0</v>
      </c>
      <c r="E84" s="18" t="str">
        <f>'USER INPUT SHEET'!$F$32</f>
        <v>m2</v>
      </c>
      <c r="F84" s="4">
        <v>1</v>
      </c>
      <c r="G84" s="674"/>
      <c r="H84" s="9"/>
      <c r="I84" s="95">
        <f>K84-L84</f>
        <v>0</v>
      </c>
      <c r="J84" s="96" t="str">
        <f>IF(H84=1,I84,"")</f>
        <v/>
      </c>
      <c r="K84" s="407">
        <f>$D84*($E$83/5.678)*$F84*VLOOKUP($C84,'Master sheet'!$A:$AL,13,FALSE)</f>
        <v>0</v>
      </c>
      <c r="L84" s="97">
        <f>$D84*($E$83/5.678)*$F84*VLOOKUP($C84,'Master sheet'!$A:$AL,27,FALSE)</f>
        <v>0</v>
      </c>
      <c r="M84" s="1552"/>
      <c r="N84" s="1552"/>
      <c r="O84" s="25" t="str">
        <f ca="1">_xlfn.IFNA(VLOOKUP($C84,'Master sheet'!$A:$AR,44,FALSE),"")&amp;""</f>
        <v/>
      </c>
      <c r="P84" s="685"/>
      <c r="Q84" s="726" t="s">
        <v>72</v>
      </c>
      <c r="R84" s="728" t="s">
        <v>1611</v>
      </c>
      <c r="T84" s="638"/>
      <c r="U84" s="638"/>
      <c r="V84" s="638"/>
      <c r="W84" s="638"/>
      <c r="X84" s="638"/>
      <c r="Y84" s="638"/>
      <c r="Z84" s="638"/>
    </row>
    <row r="85" spans="1:26" s="624" customFormat="1" ht="31.5" customHeight="1" x14ac:dyDescent="0.25">
      <c r="A85" s="1601"/>
      <c r="B85" s="1602"/>
      <c r="C85" s="673" t="str">
        <f>INDEX('Master sheet'!$A$1:$A$670,MATCH(410,'Master sheet'!$AN$1:$AN$670,0))</f>
        <v xml:space="preserve">Spray polyurethane foam - Closed Cell (HFO) / Huntsman Building Solutions / Heatlok HFO &amp; Heatlok Soya HFO / </v>
      </c>
      <c r="D85" s="17">
        <f>'USER INPUT SHEET'!$D$34</f>
        <v>0</v>
      </c>
      <c r="E85" s="18" t="str">
        <f>'USER INPUT SHEET'!$F$32</f>
        <v>m2</v>
      </c>
      <c r="F85" s="4">
        <v>1</v>
      </c>
      <c r="G85" s="674"/>
      <c r="H85" s="9"/>
      <c r="I85" s="95">
        <f>K85-L85</f>
        <v>0</v>
      </c>
      <c r="J85" s="96" t="str">
        <f>IF(H85=1,I85,"")</f>
        <v/>
      </c>
      <c r="K85" s="407">
        <f>$D85*($E$83/5.678)*$F85*VLOOKUP($C85,'Master sheet'!$A:$AL,13,FALSE)</f>
        <v>0</v>
      </c>
      <c r="L85" s="97">
        <f>$D85*($E$83/5.678)*$F85*VLOOKUP($C85,'Master sheet'!$A:$AL,27,FALSE)</f>
        <v>0</v>
      </c>
      <c r="M85" s="1610"/>
      <c r="N85" s="1610"/>
      <c r="O85" s="25" t="str">
        <f>_xlfn.IFNA(VLOOKUP($C85,'Master sheet'!$A:$AR,44,FALSE),"")&amp;""</f>
        <v>A1-B1</v>
      </c>
      <c r="P85" s="685"/>
      <c r="Q85" s="726" t="s">
        <v>72</v>
      </c>
      <c r="R85" s="728" t="s">
        <v>1611</v>
      </c>
      <c r="T85" s="638"/>
      <c r="U85" s="638"/>
      <c r="V85" s="638"/>
      <c r="W85" s="638"/>
      <c r="X85" s="638"/>
      <c r="Y85" s="638"/>
      <c r="Z85" s="638"/>
    </row>
    <row r="86" spans="1:26" s="624" customFormat="1" ht="22.8" x14ac:dyDescent="0.25">
      <c r="A86" s="639"/>
      <c r="B86" s="1524" t="s">
        <v>3429</v>
      </c>
      <c r="C86" s="1523"/>
      <c r="D86" s="687" t="str">
        <f>IF(LOWER(Setting!rng_language)="english","R-VALUE:","VALEUR R :")</f>
        <v>R-VALUE:</v>
      </c>
      <c r="E86" s="1"/>
      <c r="F86" s="325"/>
      <c r="G86" s="678"/>
      <c r="H86" s="679"/>
      <c r="I86" s="642"/>
      <c r="J86" s="643"/>
      <c r="K86" s="676"/>
      <c r="L86" s="727"/>
      <c r="M86" s="727"/>
      <c r="N86" s="727"/>
      <c r="O86" s="25" t="str">
        <f>_xlfn.IFNA(VLOOKUP($C86,'Master sheet'!$A:$AR,44,FALSE),"")&amp;""</f>
        <v/>
      </c>
      <c r="P86" s="685"/>
      <c r="Q86" s="728"/>
      <c r="R86" s="728" t="s">
        <v>1611</v>
      </c>
      <c r="T86" s="638"/>
      <c r="U86" s="638"/>
      <c r="V86" s="638"/>
      <c r="W86" s="638"/>
      <c r="X86" s="638"/>
      <c r="Y86" s="638"/>
      <c r="Z86" s="638"/>
    </row>
    <row r="87" spans="1:26" s="624" customFormat="1" ht="31.5" customHeight="1" x14ac:dyDescent="0.25">
      <c r="A87" s="729"/>
      <c r="B87" s="729"/>
      <c r="C87" s="673" t="str">
        <f>INDEX('Master sheet'!$A$1:$A$670,MATCH(188,'Master sheet'!$AN$1:$AN$670,0))</f>
        <v>Spray polyurethane foam - Open Cell - HFO gas / SPFA /  / R 4.1/inch</v>
      </c>
      <c r="D87" s="17">
        <f>'USER INPUT SHEET'!$D$34</f>
        <v>0</v>
      </c>
      <c r="E87" s="18" t="str">
        <f>'USER INPUT SHEET'!$F$32</f>
        <v>m2</v>
      </c>
      <c r="F87" s="4">
        <v>1</v>
      </c>
      <c r="G87" s="674"/>
      <c r="H87" s="9"/>
      <c r="I87" s="95">
        <f>K87-L87</f>
        <v>0</v>
      </c>
      <c r="J87" s="96" t="str">
        <f>IF(H87=1,I87,"")</f>
        <v/>
      </c>
      <c r="K87" s="407">
        <f>$D87*($E$86/5.678)*$F87*VLOOKUP($C87,'Master sheet'!$A:$AL,13,FALSE)</f>
        <v>0</v>
      </c>
      <c r="L87" s="97">
        <f>$D87*($E$86/5.678)*$F87*VLOOKUP($C87,'Master sheet'!$A:$AL,27,FALSE)</f>
        <v>0</v>
      </c>
      <c r="M87" s="1610"/>
      <c r="N87" s="1610"/>
      <c r="O87" s="25" t="str">
        <f ca="1">_xlfn.IFNA(VLOOKUP($C87,'Master sheet'!$A:$AR,44,FALSE),"")&amp;""</f>
        <v/>
      </c>
      <c r="P87" s="637"/>
      <c r="Q87" s="726" t="s">
        <v>72</v>
      </c>
      <c r="R87" s="728" t="s">
        <v>1611</v>
      </c>
      <c r="T87" s="638"/>
      <c r="U87" s="638"/>
      <c r="V87" s="638"/>
      <c r="W87" s="638"/>
      <c r="X87" s="638"/>
      <c r="Y87" s="638"/>
      <c r="Z87" s="638"/>
    </row>
    <row r="88" spans="1:26" s="624" customFormat="1" ht="22.8" x14ac:dyDescent="0.25">
      <c r="A88" s="639"/>
      <c r="B88" s="1524" t="s">
        <v>1042</v>
      </c>
      <c r="C88" s="1523"/>
      <c r="D88" s="687" t="str">
        <f>IF(LOWER(Setting!rng_language)="english","R-VALUE:","VALEUR R :")</f>
        <v>R-VALUE:</v>
      </c>
      <c r="E88" s="1"/>
      <c r="F88" s="325"/>
      <c r="G88" s="678"/>
      <c r="H88" s="679"/>
      <c r="I88" s="642"/>
      <c r="J88" s="643"/>
      <c r="K88" s="676"/>
      <c r="L88" s="727"/>
      <c r="M88" s="727"/>
      <c r="N88" s="727"/>
      <c r="O88" s="25" t="str">
        <f>_xlfn.IFNA(VLOOKUP($C88,'Master sheet'!$A:$AR,44,FALSE),"")&amp;""</f>
        <v/>
      </c>
      <c r="P88" s="685"/>
      <c r="Q88" s="726" t="s">
        <v>72</v>
      </c>
      <c r="R88" s="728" t="s">
        <v>1611</v>
      </c>
      <c r="T88" s="638"/>
      <c r="U88" s="638"/>
      <c r="V88" s="638"/>
      <c r="W88" s="638"/>
      <c r="X88" s="638"/>
      <c r="Y88" s="638"/>
      <c r="Z88" s="638"/>
    </row>
    <row r="89" spans="1:26" ht="22.8" x14ac:dyDescent="0.25">
      <c r="A89" s="729"/>
      <c r="B89" s="729"/>
      <c r="C89" s="691" t="s">
        <v>1364</v>
      </c>
      <c r="D89" s="19">
        <f>'USER INPUT SHEET'!$D$34</f>
        <v>0</v>
      </c>
      <c r="E89" s="20" t="str">
        <f>'USER INPUT SHEET'!$F$32</f>
        <v>m2</v>
      </c>
      <c r="F89" s="6">
        <v>1</v>
      </c>
      <c r="G89" s="692"/>
      <c r="H89" s="10"/>
      <c r="I89" s="98">
        <f>K89-L89</f>
        <v>0</v>
      </c>
      <c r="J89" s="91" t="str">
        <f>IF(H89=1,I89,"")</f>
        <v/>
      </c>
      <c r="K89" s="410">
        <f>F89*AVERAGE(K90:K96)</f>
        <v>0</v>
      </c>
      <c r="L89" s="99">
        <f>F89*AVERAGE(L90:L96)</f>
        <v>0</v>
      </c>
      <c r="M89" s="1552"/>
      <c r="N89" s="1552"/>
      <c r="O89" s="25" t="str">
        <f>_xlfn.IFNA(VLOOKUP($C89,'Master sheet'!$A:$AR,44,FALSE),"")&amp;""</f>
        <v/>
      </c>
      <c r="P89" s="685"/>
      <c r="Q89" s="726" t="s">
        <v>72</v>
      </c>
      <c r="R89" s="728" t="s">
        <v>1611</v>
      </c>
      <c r="S89" s="664"/>
      <c r="T89" s="664"/>
      <c r="U89" s="664"/>
      <c r="V89" s="664"/>
      <c r="W89" s="664"/>
      <c r="X89" s="664"/>
      <c r="Y89" s="664"/>
      <c r="Z89" s="664"/>
    </row>
    <row r="90" spans="1:26" ht="31.5" customHeight="1" x14ac:dyDescent="0.25">
      <c r="A90" s="1600"/>
      <c r="B90" s="1564"/>
      <c r="C90" s="669" t="str">
        <f>INDEX('Master sheet'!$A$1:$A$670,MATCH(124,'Master sheet'!$AN$1:$AN$670,0))</f>
        <v>Hempcrete / Cast in-situ / Site mixed / USA / R 2.1/inch, Avg. mix using NHL &amp; PHL</v>
      </c>
      <c r="D90" s="15">
        <f>'USER INPUT SHEET'!$D$34</f>
        <v>0</v>
      </c>
      <c r="E90" s="16" t="str">
        <f>'USER INPUT SHEET'!$F$32</f>
        <v>m2</v>
      </c>
      <c r="F90" s="3">
        <v>1</v>
      </c>
      <c r="G90" s="670"/>
      <c r="H90" s="8"/>
      <c r="I90" s="92">
        <f t="shared" ref="I90:I96" si="33">K90-L90</f>
        <v>0</v>
      </c>
      <c r="J90" s="93" t="str">
        <f t="shared" ref="J90:J96" si="34">IF(H90=1,I90,"")</f>
        <v/>
      </c>
      <c r="K90" s="406">
        <f>$D90*($E$88/5.678)*$F90*VLOOKUP($C90,'Master sheet'!$A:$AL,13,FALSE)</f>
        <v>0</v>
      </c>
      <c r="L90" s="94">
        <f>$D90*($E$88/5.678)*$F90*VLOOKUP($C90,'Master sheet'!$A:$AL,27,FALSE)</f>
        <v>0</v>
      </c>
      <c r="M90" s="1552"/>
      <c r="N90" s="1552"/>
      <c r="O90" s="25" t="str">
        <f>_xlfn.IFNA(VLOOKUP($C90,'Master sheet'!$A:$AR,44,FALSE),"")&amp;""</f>
        <v>Peer-reviewed LCA, 2020</v>
      </c>
      <c r="P90" s="637"/>
      <c r="Q90" s="726" t="s">
        <v>72</v>
      </c>
      <c r="R90" s="728" t="s">
        <v>1611</v>
      </c>
      <c r="T90" s="664"/>
      <c r="U90" s="664"/>
      <c r="V90" s="664"/>
      <c r="W90" s="664"/>
      <c r="X90" s="664"/>
      <c r="Y90" s="664"/>
      <c r="Z90" s="664"/>
    </row>
    <row r="91" spans="1:26" ht="31.2" x14ac:dyDescent="0.25">
      <c r="A91" s="1564"/>
      <c r="B91" s="1564"/>
      <c r="C91" s="669" t="str">
        <f>INDEX('Master sheet'!$A$1:$A$670,MATCH(123,'Master sheet'!$AN$1:$AN$670,0))</f>
        <v>Hempcrete / Cast in-situ / Site mixed / Europe / R 2.1/inch, Avg. of 9 mixes</v>
      </c>
      <c r="D91" s="15">
        <f>'USER INPUT SHEET'!$D$34</f>
        <v>0</v>
      </c>
      <c r="E91" s="16" t="str">
        <f>'USER INPUT SHEET'!$F$32</f>
        <v>m2</v>
      </c>
      <c r="F91" s="3">
        <v>1</v>
      </c>
      <c r="G91" s="670"/>
      <c r="H91" s="8"/>
      <c r="I91" s="92">
        <f t="shared" si="33"/>
        <v>0</v>
      </c>
      <c r="J91" s="93" t="str">
        <f t="shared" si="34"/>
        <v/>
      </c>
      <c r="K91" s="406">
        <f>$D91*($E$88/5.678)*$F91*VLOOKUP($C91,'Master sheet'!$A:$AL,13,FALSE)</f>
        <v>0</v>
      </c>
      <c r="L91" s="94">
        <f>$D91*($E$88/5.678)*$F91*VLOOKUP($C91,'Master sheet'!$A:$AL,27,FALSE)</f>
        <v>0</v>
      </c>
      <c r="M91" s="1552"/>
      <c r="N91" s="1552"/>
      <c r="O91" s="25" t="str">
        <f>_xlfn.IFNA(VLOOKUP($C91,'Master sheet'!$A:$AR,44,FALSE),"")&amp;""</f>
        <v>Peer-reviewed LCA, 2017</v>
      </c>
      <c r="P91" s="637"/>
      <c r="Q91" s="726" t="s">
        <v>72</v>
      </c>
      <c r="R91" s="728" t="s">
        <v>1611</v>
      </c>
      <c r="T91" s="664"/>
      <c r="U91" s="664"/>
      <c r="V91" s="664"/>
      <c r="W91" s="664"/>
      <c r="X91" s="664"/>
      <c r="Y91" s="664"/>
      <c r="Z91" s="664"/>
    </row>
    <row r="92" spans="1:26" ht="23.25" customHeight="1" x14ac:dyDescent="0.25">
      <c r="A92" s="1564"/>
      <c r="B92" s="1564"/>
      <c r="C92" s="673" t="str">
        <f>INDEX('Master sheet'!$A$1:$A$670,MATCH("A57",'Master sheet'!$AN$1:$AN$670,0))</f>
        <v>Hempcrete / Cast in-situ / IsoHemp / Europe / R 2.1/inch</v>
      </c>
      <c r="D92" s="17">
        <f>'USER INPUT SHEET'!$D$34</f>
        <v>0</v>
      </c>
      <c r="E92" s="18" t="str">
        <f>'USER INPUT SHEET'!$F$32</f>
        <v>m2</v>
      </c>
      <c r="F92" s="4">
        <v>1</v>
      </c>
      <c r="G92" s="674"/>
      <c r="H92" s="9"/>
      <c r="I92" s="95">
        <f t="shared" ref="I92:I95" si="35">K92-L92</f>
        <v>0</v>
      </c>
      <c r="J92" s="96" t="str">
        <f t="shared" ref="J92:J95" si="36">IF(H92=1,I92,"")</f>
        <v/>
      </c>
      <c r="K92" s="407">
        <f>$D92*($E$88/5.678)*$F92*VLOOKUP($C92,'Master sheet'!$A:$AL,13,FALSE)</f>
        <v>0</v>
      </c>
      <c r="L92" s="97">
        <f>$D92*($E$88/5.678)*$F92*VLOOKUP($C92,'Master sheet'!$A:$AL,27,FALSE)</f>
        <v>0</v>
      </c>
      <c r="M92" s="1552"/>
      <c r="N92" s="1552"/>
      <c r="O92" s="25" t="str">
        <f>_xlfn.IFNA(VLOOKUP($C92,'Master sheet'!$A:$AR,44,FALSE),"")&amp;""</f>
        <v/>
      </c>
      <c r="P92" s="637"/>
      <c r="Q92" s="726" t="s">
        <v>72</v>
      </c>
      <c r="R92" s="728" t="s">
        <v>1611</v>
      </c>
      <c r="S92" s="624"/>
      <c r="T92" s="638"/>
      <c r="U92" s="638"/>
      <c r="V92" s="638"/>
      <c r="W92" s="638"/>
      <c r="X92" s="664"/>
      <c r="Y92" s="664"/>
      <c r="Z92" s="664"/>
    </row>
    <row r="93" spans="1:26" ht="31.2" x14ac:dyDescent="0.25">
      <c r="A93" s="1564"/>
      <c r="B93" s="1564"/>
      <c r="C93" s="673" t="str">
        <f>INDEX('Master sheet'!$A$1:$A$670,MATCH("A60",'Master sheet'!$AN$1:$AN$670,0))</f>
        <v xml:space="preserve">Hempcrete / Cast in-situ / Senini / Bio Beton Jet / 230 kg/m3 / R 2.7/inch </v>
      </c>
      <c r="D93" s="17">
        <f>'USER INPUT SHEET'!$D$34</f>
        <v>0</v>
      </c>
      <c r="E93" s="18" t="str">
        <f>'USER INPUT SHEET'!$F$32</f>
        <v>m2</v>
      </c>
      <c r="F93" s="4">
        <v>1</v>
      </c>
      <c r="G93" s="674"/>
      <c r="H93" s="9"/>
      <c r="I93" s="95">
        <f t="shared" si="35"/>
        <v>0</v>
      </c>
      <c r="J93" s="96" t="str">
        <f t="shared" si="36"/>
        <v/>
      </c>
      <c r="K93" s="407">
        <f>$D93*($E$88/5.678)*$F93*VLOOKUP($C93,'Master sheet'!$A:$AL,13,FALSE)</f>
        <v>0</v>
      </c>
      <c r="L93" s="97">
        <f>$D93*($E$88/5.678)*$F93*VLOOKUP($C93,'Master sheet'!$A:$AL,27,FALSE)</f>
        <v>0</v>
      </c>
      <c r="M93" s="1552"/>
      <c r="N93" s="1552"/>
      <c r="O93" s="25" t="str">
        <f>_xlfn.IFNA(VLOOKUP($C93,'Master sheet'!$A:$AR,44,FALSE),"")&amp;""</f>
        <v/>
      </c>
      <c r="P93" s="637"/>
      <c r="Q93" s="726" t="s">
        <v>72</v>
      </c>
      <c r="R93" s="728" t="s">
        <v>1611</v>
      </c>
      <c r="S93" s="624"/>
      <c r="T93" s="638"/>
      <c r="U93" s="638"/>
      <c r="V93" s="638"/>
      <c r="W93" s="638"/>
      <c r="X93" s="664"/>
      <c r="Y93" s="664"/>
      <c r="Z93" s="664"/>
    </row>
    <row r="94" spans="1:26" ht="31.2" x14ac:dyDescent="0.25">
      <c r="A94" s="1564"/>
      <c r="B94" s="1564"/>
      <c r="C94" s="673" t="str">
        <f>INDEX('Master sheet'!$A$1:$A$670,MATCH("A58",'Master sheet'!$AN$1:$AN$670,0))</f>
        <v>Hempcrete block / Isohemp / Hemp Block PAL36EX including mortar / 600 x 300 x 360 mm  / R 2/inch</v>
      </c>
      <c r="D94" s="17">
        <f>'USER INPUT SHEET'!$D$34</f>
        <v>0</v>
      </c>
      <c r="E94" s="18" t="str">
        <f>'USER INPUT SHEET'!$F$32</f>
        <v>m2</v>
      </c>
      <c r="F94" s="4">
        <v>1</v>
      </c>
      <c r="G94" s="674"/>
      <c r="H94" s="9"/>
      <c r="I94" s="95">
        <f t="shared" si="35"/>
        <v>0</v>
      </c>
      <c r="J94" s="96" t="str">
        <f t="shared" si="36"/>
        <v/>
      </c>
      <c r="K94" s="407">
        <f>$D94*($E$88/5.678)*$F94*VLOOKUP($C94,'Master sheet'!$A:$AL,13,FALSE)</f>
        <v>0</v>
      </c>
      <c r="L94" s="97">
        <f>$D94*($E$88/5.678)*$F94*VLOOKUP($C94,'Master sheet'!$A:$AL,27,FALSE)</f>
        <v>0</v>
      </c>
      <c r="M94" s="1552"/>
      <c r="N94" s="1552"/>
      <c r="O94" s="25" t="str">
        <f>_xlfn.IFNA(VLOOKUP($C94,'Master sheet'!$A:$AR,44,FALSE),"")&amp;""</f>
        <v/>
      </c>
      <c r="P94" s="637"/>
      <c r="Q94" s="726" t="s">
        <v>72</v>
      </c>
      <c r="R94" s="728" t="s">
        <v>1611</v>
      </c>
      <c r="S94" s="624"/>
      <c r="T94" s="638"/>
      <c r="U94" s="638"/>
      <c r="V94" s="638"/>
      <c r="W94" s="638"/>
      <c r="X94" s="664"/>
      <c r="Y94" s="664"/>
      <c r="Z94" s="664"/>
    </row>
    <row r="95" spans="1:26" ht="31.2" x14ac:dyDescent="0.25">
      <c r="A95" s="1564"/>
      <c r="B95" s="1564"/>
      <c r="C95" s="673" t="str">
        <f>INDEX('Master sheet'!$A$1:$A$670,MATCH("A59",'Master sheet'!$AN$1:$AN$670,0))</f>
        <v>Hempcrete block / Senini / Blocco Ambiente / 200 x 500 x 300 mm / 330 kg/m3 / R 2.1/inch</v>
      </c>
      <c r="D95" s="17">
        <f>'USER INPUT SHEET'!$D$34</f>
        <v>0</v>
      </c>
      <c r="E95" s="18" t="str">
        <f>'USER INPUT SHEET'!$F$32</f>
        <v>m2</v>
      </c>
      <c r="F95" s="4">
        <v>1</v>
      </c>
      <c r="G95" s="674"/>
      <c r="H95" s="9"/>
      <c r="I95" s="95">
        <f t="shared" si="35"/>
        <v>0</v>
      </c>
      <c r="J95" s="96" t="str">
        <f t="shared" si="36"/>
        <v/>
      </c>
      <c r="K95" s="407">
        <f>$D95*($E$88/5.678)*$F95*VLOOKUP($C95,'Master sheet'!$A:$AL,13,FALSE)</f>
        <v>0</v>
      </c>
      <c r="L95" s="97">
        <f>$D95*($E$88/5.678)*$F95*VLOOKUP($C95,'Master sheet'!$A:$AL,27,FALSE)</f>
        <v>0</v>
      </c>
      <c r="M95" s="1552"/>
      <c r="N95" s="1552"/>
      <c r="O95" s="25" t="str">
        <f>_xlfn.IFNA(VLOOKUP($C95,'Master sheet'!$A:$AR,44,FALSE),"")&amp;""</f>
        <v/>
      </c>
      <c r="P95" s="637"/>
      <c r="Q95" s="726" t="s">
        <v>72</v>
      </c>
      <c r="R95" s="728" t="s">
        <v>1611</v>
      </c>
      <c r="S95" s="624"/>
      <c r="T95" s="638"/>
      <c r="U95" s="638"/>
      <c r="V95" s="638"/>
      <c r="W95" s="638"/>
      <c r="X95" s="664"/>
      <c r="Y95" s="664"/>
      <c r="Z95" s="664"/>
    </row>
    <row r="96" spans="1:26" s="624" customFormat="1" ht="31.2" x14ac:dyDescent="0.25">
      <c r="A96" s="1564"/>
      <c r="B96" s="1564"/>
      <c r="C96" s="673" t="str">
        <f>INDEX('Master sheet'!$A$1:$A$670,MATCH("A61",'Master sheet'!$AN$1:$AN$670,0))</f>
        <v xml:space="preserve">Hempcrete dry fill / Senini / Bio Beton Pronto / 190 kg/m3 / R 2.7/inch </v>
      </c>
      <c r="D96" s="17">
        <f>'USER INPUT SHEET'!$D$34</f>
        <v>0</v>
      </c>
      <c r="E96" s="18" t="str">
        <f>'USER INPUT SHEET'!$F$32</f>
        <v>m2</v>
      </c>
      <c r="F96" s="4">
        <v>1</v>
      </c>
      <c r="G96" s="674"/>
      <c r="H96" s="9"/>
      <c r="I96" s="95">
        <f t="shared" si="33"/>
        <v>0</v>
      </c>
      <c r="J96" s="96" t="str">
        <f t="shared" si="34"/>
        <v/>
      </c>
      <c r="K96" s="407">
        <f>$D96*($E$88/5.678)*$F96*VLOOKUP($C96,'Master sheet'!$A:$AL,13,FALSE)</f>
        <v>0</v>
      </c>
      <c r="L96" s="97">
        <f>$D96*($E$88/5.678)*$F96*VLOOKUP($C96,'Master sheet'!$A:$AL,27,FALSE)</f>
        <v>0</v>
      </c>
      <c r="M96" s="1610"/>
      <c r="N96" s="1610"/>
      <c r="O96" s="25" t="str">
        <f>_xlfn.IFNA(VLOOKUP($C96,'Master sheet'!$A:$AR,44,FALSE),"")&amp;""</f>
        <v/>
      </c>
      <c r="P96" s="637"/>
      <c r="Q96" s="726" t="s">
        <v>72</v>
      </c>
      <c r="R96" s="728" t="s">
        <v>1611</v>
      </c>
      <c r="T96" s="638"/>
      <c r="U96" s="638"/>
      <c r="V96" s="638"/>
      <c r="W96" s="638"/>
      <c r="X96" s="638"/>
      <c r="Y96" s="638"/>
      <c r="Z96" s="638"/>
    </row>
    <row r="97" spans="1:16" ht="15.75" customHeight="1" x14ac:dyDescent="0.3">
      <c r="A97" s="700"/>
      <c r="B97" s="700"/>
      <c r="C97" s="700"/>
      <c r="D97" s="701"/>
      <c r="E97" s="700"/>
      <c r="F97" s="328"/>
      <c r="G97" s="700"/>
      <c r="H97" s="700"/>
      <c r="I97" s="703"/>
      <c r="J97" s="704"/>
      <c r="K97" s="704"/>
      <c r="L97" s="704"/>
      <c r="M97" s="704"/>
      <c r="N97" s="704"/>
      <c r="O97" s="700"/>
      <c r="P97" s="637"/>
    </row>
    <row r="98" spans="1:16" ht="15.75" customHeight="1" x14ac:dyDescent="0.3">
      <c r="A98" s="700"/>
      <c r="B98" s="700"/>
      <c r="C98" s="700"/>
      <c r="D98" s="701"/>
      <c r="E98" s="700"/>
      <c r="F98" s="328"/>
      <c r="G98" s="700"/>
      <c r="H98" s="700"/>
      <c r="I98" s="703"/>
      <c r="J98" s="704"/>
      <c r="K98" s="704"/>
      <c r="L98" s="704"/>
      <c r="M98" s="704"/>
      <c r="N98" s="704"/>
      <c r="O98" s="700"/>
      <c r="P98" s="685"/>
    </row>
    <row r="99" spans="1:16" ht="15.75" customHeight="1" x14ac:dyDescent="0.3">
      <c r="A99" s="700"/>
      <c r="B99" s="706" t="s">
        <v>4901</v>
      </c>
      <c r="C99" s="700"/>
      <c r="D99" s="701"/>
      <c r="E99" s="700"/>
      <c r="F99" s="328"/>
      <c r="G99" s="700"/>
      <c r="H99" s="700"/>
      <c r="I99" s="703"/>
      <c r="J99" s="704"/>
      <c r="K99" s="704"/>
      <c r="L99" s="704"/>
      <c r="M99" s="704"/>
      <c r="N99" s="704"/>
      <c r="O99" s="700"/>
      <c r="P99" s="685"/>
    </row>
    <row r="100" spans="1:16" ht="15.75" customHeight="1" x14ac:dyDescent="0.3">
      <c r="A100" s="700"/>
      <c r="B100" s="706" t="s">
        <v>4900</v>
      </c>
      <c r="C100" s="700"/>
      <c r="D100" s="701"/>
      <c r="E100" s="700"/>
      <c r="F100" s="328"/>
      <c r="G100" s="700"/>
      <c r="H100" s="700"/>
      <c r="I100" s="703"/>
      <c r="J100" s="704"/>
      <c r="K100" s="704"/>
      <c r="L100" s="704"/>
      <c r="M100" s="704"/>
      <c r="N100" s="704"/>
      <c r="O100" s="700"/>
      <c r="P100" s="685"/>
    </row>
    <row r="101" spans="1:16" ht="15.75" customHeight="1" x14ac:dyDescent="0.3">
      <c r="A101" s="700"/>
      <c r="B101" s="700"/>
      <c r="C101" s="700"/>
      <c r="D101" s="701"/>
      <c r="E101" s="700"/>
      <c r="F101" s="328"/>
      <c r="G101" s="700"/>
      <c r="H101" s="700"/>
      <c r="I101" s="703"/>
      <c r="J101" s="704"/>
      <c r="K101" s="704"/>
      <c r="L101" s="704"/>
      <c r="M101" s="704"/>
      <c r="N101" s="704"/>
      <c r="O101" s="700"/>
      <c r="P101" s="685"/>
    </row>
    <row r="102" spans="1:16" ht="15.75" customHeight="1" x14ac:dyDescent="0.3">
      <c r="A102" s="700"/>
      <c r="B102" s="700"/>
      <c r="C102" s="700"/>
      <c r="D102" s="701"/>
      <c r="E102" s="700"/>
      <c r="F102" s="328"/>
      <c r="G102" s="700"/>
      <c r="H102" s="700"/>
      <c r="I102" s="703"/>
      <c r="J102" s="704"/>
      <c r="K102" s="704"/>
      <c r="L102" s="704"/>
      <c r="M102" s="704"/>
      <c r="N102" s="704"/>
      <c r="O102" s="700"/>
      <c r="P102" s="685"/>
    </row>
    <row r="103" spans="1:16" ht="15.75" customHeight="1" x14ac:dyDescent="0.3">
      <c r="A103" s="700"/>
      <c r="B103" s="700"/>
      <c r="C103" s="700"/>
      <c r="D103" s="701"/>
      <c r="E103" s="700"/>
      <c r="F103" s="328"/>
      <c r="G103" s="700"/>
      <c r="H103" s="700"/>
      <c r="I103" s="703"/>
      <c r="J103" s="704"/>
      <c r="K103" s="704"/>
      <c r="L103" s="704"/>
      <c r="M103" s="704"/>
      <c r="N103" s="704"/>
      <c r="O103" s="700"/>
      <c r="P103" s="637"/>
    </row>
    <row r="104" spans="1:16" ht="15.75" customHeight="1" x14ac:dyDescent="0.3">
      <c r="A104" s="700"/>
      <c r="B104" s="700"/>
      <c r="C104" s="700"/>
      <c r="D104" s="701"/>
      <c r="E104" s="700"/>
      <c r="F104" s="328"/>
      <c r="G104" s="700"/>
      <c r="H104" s="700"/>
      <c r="I104" s="703"/>
      <c r="J104" s="704"/>
      <c r="K104" s="704"/>
      <c r="L104" s="704"/>
      <c r="M104" s="704"/>
      <c r="N104" s="704"/>
      <c r="O104" s="700"/>
      <c r="P104" s="637"/>
    </row>
    <row r="105" spans="1:16" ht="15.75" customHeight="1" x14ac:dyDescent="0.3">
      <c r="A105" s="700"/>
      <c r="B105" s="700"/>
      <c r="C105" s="700"/>
      <c r="D105" s="701"/>
      <c r="E105" s="700"/>
      <c r="F105" s="328"/>
      <c r="G105" s="700"/>
      <c r="H105" s="700"/>
      <c r="I105" s="703"/>
      <c r="J105" s="704"/>
      <c r="K105" s="704"/>
      <c r="L105" s="704"/>
      <c r="M105" s="704"/>
      <c r="N105" s="704"/>
      <c r="O105" s="700"/>
      <c r="P105" s="685"/>
    </row>
    <row r="106" spans="1:16" ht="15.75" customHeight="1" x14ac:dyDescent="0.3">
      <c r="A106" s="700"/>
      <c r="B106" s="700"/>
      <c r="C106" s="700"/>
      <c r="D106" s="701"/>
      <c r="E106" s="700"/>
      <c r="F106" s="328"/>
      <c r="G106" s="700"/>
      <c r="H106" s="700"/>
      <c r="I106" s="703"/>
      <c r="J106" s="704"/>
      <c r="K106" s="704"/>
      <c r="L106" s="704"/>
      <c r="M106" s="704"/>
      <c r="N106" s="704"/>
      <c r="O106" s="700"/>
      <c r="P106" s="685"/>
    </row>
    <row r="107" spans="1:16" ht="15.75" customHeight="1" x14ac:dyDescent="0.3">
      <c r="A107" s="700"/>
      <c r="B107" s="700"/>
      <c r="C107" s="700"/>
      <c r="D107" s="701"/>
      <c r="E107" s="700"/>
      <c r="F107" s="328"/>
      <c r="G107" s="700"/>
      <c r="H107" s="700"/>
      <c r="I107" s="703"/>
      <c r="J107" s="704"/>
      <c r="K107" s="704"/>
      <c r="L107" s="704"/>
      <c r="M107" s="704"/>
      <c r="N107" s="704"/>
      <c r="O107" s="700"/>
      <c r="P107" s="637"/>
    </row>
    <row r="108" spans="1:16" ht="15.75" customHeight="1" x14ac:dyDescent="0.3">
      <c r="A108" s="700"/>
      <c r="B108" s="700"/>
      <c r="C108" s="700"/>
      <c r="D108" s="701"/>
      <c r="E108" s="700"/>
      <c r="F108" s="328"/>
      <c r="G108" s="700"/>
      <c r="H108" s="700"/>
      <c r="I108" s="703"/>
      <c r="J108" s="704"/>
      <c r="K108" s="704"/>
      <c r="L108" s="704"/>
      <c r="M108" s="704"/>
      <c r="N108" s="704"/>
      <c r="O108" s="700"/>
      <c r="P108" s="637"/>
    </row>
    <row r="109" spans="1:16" ht="15.75" customHeight="1" x14ac:dyDescent="0.3">
      <c r="A109" s="700"/>
      <c r="B109" s="700"/>
      <c r="C109" s="700"/>
      <c r="D109" s="701"/>
      <c r="E109" s="700"/>
      <c r="F109" s="328"/>
      <c r="G109" s="700"/>
      <c r="H109" s="700"/>
      <c r="I109" s="703"/>
      <c r="J109" s="704"/>
      <c r="K109" s="704"/>
      <c r="L109" s="704"/>
      <c r="M109" s="704"/>
      <c r="N109" s="704"/>
      <c r="O109" s="700"/>
      <c r="P109" s="685"/>
    </row>
    <row r="110" spans="1:16" ht="15.75" customHeight="1" x14ac:dyDescent="0.3">
      <c r="A110" s="700"/>
      <c r="B110" s="700"/>
      <c r="C110" s="700"/>
      <c r="D110" s="701"/>
      <c r="E110" s="700"/>
      <c r="F110" s="328"/>
      <c r="G110" s="700"/>
      <c r="H110" s="700"/>
      <c r="I110" s="703"/>
      <c r="J110" s="704"/>
      <c r="K110" s="704"/>
      <c r="L110" s="704"/>
      <c r="M110" s="704"/>
      <c r="N110" s="704"/>
      <c r="O110" s="700"/>
      <c r="P110" s="685"/>
    </row>
    <row r="111" spans="1:16" ht="15.75" customHeight="1" x14ac:dyDescent="0.3">
      <c r="A111" s="700"/>
      <c r="B111" s="700"/>
      <c r="C111" s="700"/>
      <c r="D111" s="701"/>
      <c r="E111" s="700"/>
      <c r="F111" s="328"/>
      <c r="G111" s="700"/>
      <c r="H111" s="700"/>
      <c r="I111" s="703"/>
      <c r="J111" s="704"/>
      <c r="K111" s="704"/>
      <c r="L111" s="704"/>
      <c r="M111" s="704"/>
      <c r="N111" s="704"/>
      <c r="O111" s="700"/>
      <c r="P111" s="685"/>
    </row>
    <row r="112" spans="1:16" ht="15.75" customHeight="1" x14ac:dyDescent="0.3">
      <c r="A112" s="700"/>
      <c r="B112" s="700"/>
      <c r="C112" s="700"/>
      <c r="D112" s="701"/>
      <c r="E112" s="700"/>
      <c r="F112" s="328"/>
      <c r="G112" s="700"/>
      <c r="H112" s="700"/>
      <c r="I112" s="703"/>
      <c r="J112" s="704"/>
      <c r="K112" s="704"/>
      <c r="L112" s="704"/>
      <c r="M112" s="704"/>
      <c r="N112" s="704"/>
      <c r="O112" s="700"/>
      <c r="P112" s="637"/>
    </row>
    <row r="113" spans="1:16" ht="15.75" customHeight="1" x14ac:dyDescent="0.3">
      <c r="A113" s="700"/>
      <c r="B113" s="700"/>
      <c r="C113" s="700"/>
      <c r="D113" s="701"/>
      <c r="E113" s="700"/>
      <c r="F113" s="328"/>
      <c r="G113" s="700"/>
      <c r="H113" s="700"/>
      <c r="I113" s="703"/>
      <c r="J113" s="704"/>
      <c r="K113" s="704"/>
      <c r="L113" s="704"/>
      <c r="M113" s="704"/>
      <c r="N113" s="704"/>
      <c r="O113" s="700"/>
      <c r="P113" s="637"/>
    </row>
    <row r="114" spans="1:16" ht="15.75" customHeight="1" x14ac:dyDescent="0.3">
      <c r="A114" s="700"/>
      <c r="B114" s="700"/>
      <c r="C114" s="700"/>
      <c r="D114" s="701"/>
      <c r="E114" s="700"/>
      <c r="F114" s="328"/>
      <c r="G114" s="700"/>
      <c r="H114" s="700"/>
      <c r="I114" s="703"/>
      <c r="J114" s="704"/>
      <c r="K114" s="704"/>
      <c r="L114" s="704"/>
      <c r="M114" s="704"/>
      <c r="N114" s="704"/>
      <c r="O114" s="700"/>
      <c r="P114" s="637"/>
    </row>
    <row r="115" spans="1:16" ht="15.75" customHeight="1" x14ac:dyDescent="0.3">
      <c r="A115" s="700"/>
      <c r="B115" s="700"/>
      <c r="C115" s="700"/>
      <c r="D115" s="701"/>
      <c r="E115" s="700"/>
      <c r="F115" s="328"/>
      <c r="G115" s="700"/>
      <c r="H115" s="700"/>
      <c r="I115" s="703"/>
      <c r="J115" s="704"/>
      <c r="K115" s="704"/>
      <c r="L115" s="704"/>
      <c r="M115" s="704"/>
      <c r="N115" s="704"/>
      <c r="O115" s="700"/>
      <c r="P115" s="637"/>
    </row>
    <row r="116" spans="1:16" ht="15.75" customHeight="1" x14ac:dyDescent="0.3">
      <c r="A116" s="700"/>
      <c r="B116" s="700"/>
      <c r="C116" s="700"/>
      <c r="D116" s="701"/>
      <c r="E116" s="700"/>
      <c r="F116" s="328"/>
      <c r="G116" s="700"/>
      <c r="H116" s="700"/>
      <c r="I116" s="703"/>
      <c r="J116" s="704"/>
      <c r="K116" s="704"/>
      <c r="L116" s="704"/>
      <c r="M116" s="704"/>
      <c r="N116" s="704"/>
      <c r="O116" s="700"/>
      <c r="P116" s="685"/>
    </row>
    <row r="117" spans="1:16" ht="15.75" customHeight="1" x14ac:dyDescent="0.3">
      <c r="A117" s="700"/>
      <c r="B117" s="700"/>
      <c r="C117" s="700"/>
      <c r="D117" s="701"/>
      <c r="E117" s="700"/>
      <c r="F117" s="328"/>
      <c r="G117" s="700"/>
      <c r="H117" s="700"/>
      <c r="I117" s="703"/>
      <c r="J117" s="704"/>
      <c r="K117" s="704"/>
      <c r="L117" s="704"/>
      <c r="M117" s="704"/>
      <c r="N117" s="704"/>
      <c r="O117" s="700"/>
      <c r="P117" s="685"/>
    </row>
    <row r="118" spans="1:16" ht="15.75" customHeight="1" x14ac:dyDescent="0.3">
      <c r="A118" s="700"/>
      <c r="B118" s="700"/>
      <c r="C118" s="700"/>
      <c r="D118" s="701"/>
      <c r="E118" s="700"/>
      <c r="F118" s="328"/>
      <c r="G118" s="700"/>
      <c r="H118" s="700"/>
      <c r="I118" s="703"/>
      <c r="J118" s="704"/>
      <c r="K118" s="704"/>
      <c r="L118" s="704"/>
      <c r="M118" s="704"/>
      <c r="N118" s="704"/>
      <c r="O118" s="700"/>
      <c r="P118" s="685"/>
    </row>
    <row r="119" spans="1:16" ht="15.75" customHeight="1" x14ac:dyDescent="0.3">
      <c r="A119" s="700"/>
      <c r="B119" s="700"/>
      <c r="C119" s="700"/>
      <c r="D119" s="701"/>
      <c r="E119" s="700"/>
      <c r="F119" s="328"/>
      <c r="G119" s="700"/>
      <c r="H119" s="700"/>
      <c r="I119" s="703"/>
      <c r="J119" s="704"/>
      <c r="K119" s="704"/>
      <c r="L119" s="704"/>
      <c r="M119" s="704"/>
      <c r="N119" s="704"/>
      <c r="O119" s="700"/>
      <c r="P119" s="685"/>
    </row>
    <row r="120" spans="1:16" ht="15.75" customHeight="1" x14ac:dyDescent="0.3">
      <c r="A120" s="700"/>
      <c r="B120" s="700"/>
      <c r="C120" s="700"/>
      <c r="D120" s="701"/>
      <c r="E120" s="700"/>
      <c r="F120" s="328"/>
      <c r="G120" s="700"/>
      <c r="H120" s="700"/>
      <c r="I120" s="703"/>
      <c r="J120" s="704"/>
      <c r="K120" s="704"/>
      <c r="L120" s="704"/>
      <c r="M120" s="704"/>
      <c r="N120" s="704"/>
      <c r="O120" s="700"/>
      <c r="P120" s="637"/>
    </row>
    <row r="121" spans="1:16" ht="15.75" customHeight="1" x14ac:dyDescent="0.3">
      <c r="A121" s="700"/>
      <c r="B121" s="700"/>
      <c r="C121" s="700"/>
      <c r="D121" s="701"/>
      <c r="E121" s="700"/>
      <c r="F121" s="328"/>
      <c r="G121" s="700"/>
      <c r="H121" s="700"/>
      <c r="I121" s="703"/>
      <c r="J121" s="704"/>
      <c r="K121" s="704"/>
      <c r="L121" s="704"/>
      <c r="M121" s="704"/>
      <c r="N121" s="704"/>
      <c r="O121" s="700"/>
      <c r="P121" s="637"/>
    </row>
    <row r="122" spans="1:16" ht="15.75" customHeight="1" x14ac:dyDescent="0.3">
      <c r="A122" s="700"/>
      <c r="B122" s="700"/>
      <c r="C122" s="700"/>
      <c r="D122" s="701"/>
      <c r="E122" s="700"/>
      <c r="F122" s="328"/>
      <c r="G122" s="700"/>
      <c r="H122" s="700"/>
      <c r="I122" s="703"/>
      <c r="J122" s="704"/>
      <c r="K122" s="704"/>
      <c r="L122" s="704"/>
      <c r="M122" s="704"/>
      <c r="N122" s="704"/>
      <c r="O122" s="700"/>
      <c r="P122" s="685"/>
    </row>
    <row r="123" spans="1:16" ht="15.75" customHeight="1" x14ac:dyDescent="0.3">
      <c r="A123" s="700"/>
      <c r="B123" s="700"/>
      <c r="C123" s="700"/>
      <c r="D123" s="701"/>
      <c r="E123" s="700"/>
      <c r="F123" s="328"/>
      <c r="G123" s="700"/>
      <c r="H123" s="700"/>
      <c r="I123" s="703"/>
      <c r="J123" s="704"/>
      <c r="K123" s="704"/>
      <c r="L123" s="704"/>
      <c r="M123" s="704"/>
      <c r="N123" s="704"/>
      <c r="O123" s="700"/>
      <c r="P123" s="685"/>
    </row>
    <row r="124" spans="1:16" ht="15.75" customHeight="1" x14ac:dyDescent="0.3">
      <c r="A124" s="700"/>
      <c r="B124" s="700"/>
      <c r="C124" s="700"/>
      <c r="D124" s="701"/>
      <c r="E124" s="700"/>
      <c r="F124" s="328"/>
      <c r="G124" s="700"/>
      <c r="H124" s="700"/>
      <c r="I124" s="703"/>
      <c r="J124" s="704"/>
      <c r="K124" s="704"/>
      <c r="L124" s="704"/>
      <c r="M124" s="704"/>
      <c r="N124" s="704"/>
      <c r="O124" s="700"/>
      <c r="P124" s="685"/>
    </row>
    <row r="125" spans="1:16" ht="15.75" customHeight="1" x14ac:dyDescent="0.3">
      <c r="A125" s="700"/>
      <c r="B125" s="700"/>
      <c r="C125" s="700"/>
      <c r="D125" s="701"/>
      <c r="E125" s="700"/>
      <c r="F125" s="328"/>
      <c r="G125" s="700"/>
      <c r="H125" s="700"/>
      <c r="I125" s="703"/>
      <c r="J125" s="704"/>
      <c r="K125" s="704"/>
      <c r="L125" s="704"/>
      <c r="M125" s="704"/>
      <c r="N125" s="704"/>
      <c r="O125" s="700"/>
      <c r="P125" s="637"/>
    </row>
    <row r="126" spans="1:16" ht="15.75" customHeight="1" x14ac:dyDescent="0.3">
      <c r="A126" s="700"/>
      <c r="B126" s="700"/>
      <c r="C126" s="700"/>
      <c r="D126" s="701"/>
      <c r="E126" s="700"/>
      <c r="F126" s="328"/>
      <c r="G126" s="700"/>
      <c r="H126" s="700"/>
      <c r="I126" s="703"/>
      <c r="J126" s="704"/>
      <c r="K126" s="704"/>
      <c r="L126" s="704"/>
      <c r="M126" s="704"/>
      <c r="N126" s="704"/>
      <c r="O126" s="700"/>
      <c r="P126" s="637"/>
    </row>
    <row r="127" spans="1:16" ht="15.75" customHeight="1" x14ac:dyDescent="0.3">
      <c r="A127" s="700"/>
      <c r="B127" s="700"/>
      <c r="C127" s="700"/>
      <c r="D127" s="701"/>
      <c r="E127" s="700"/>
      <c r="F127" s="328"/>
      <c r="G127" s="700"/>
      <c r="H127" s="700"/>
      <c r="I127" s="703"/>
      <c r="J127" s="704"/>
      <c r="K127" s="704"/>
      <c r="L127" s="704"/>
      <c r="M127" s="704"/>
      <c r="N127" s="704"/>
      <c r="O127" s="700"/>
      <c r="P127" s="685"/>
    </row>
    <row r="128" spans="1:16" ht="15.75" customHeight="1" x14ac:dyDescent="0.3">
      <c r="A128" s="700"/>
      <c r="B128" s="700"/>
      <c r="C128" s="700"/>
      <c r="D128" s="701"/>
      <c r="E128" s="700"/>
      <c r="F128" s="328"/>
      <c r="G128" s="700"/>
      <c r="H128" s="700"/>
      <c r="I128" s="703"/>
      <c r="J128" s="704"/>
      <c r="K128" s="704"/>
      <c r="L128" s="704"/>
      <c r="M128" s="704"/>
      <c r="N128" s="704"/>
      <c r="O128" s="700"/>
      <c r="P128" s="685"/>
    </row>
    <row r="129" spans="1:16" ht="15.75" customHeight="1" x14ac:dyDescent="0.3">
      <c r="A129" s="700"/>
      <c r="B129" s="700"/>
      <c r="C129" s="700"/>
      <c r="D129" s="701"/>
      <c r="E129" s="700"/>
      <c r="F129" s="328"/>
      <c r="G129" s="700"/>
      <c r="H129" s="700"/>
      <c r="I129" s="703"/>
      <c r="J129" s="704"/>
      <c r="K129" s="704"/>
      <c r="L129" s="704"/>
      <c r="M129" s="704"/>
      <c r="N129" s="704"/>
      <c r="O129" s="700"/>
      <c r="P129" s="637"/>
    </row>
    <row r="130" spans="1:16" ht="15.75" customHeight="1" x14ac:dyDescent="0.3">
      <c r="A130" s="700"/>
      <c r="B130" s="700"/>
      <c r="C130" s="700"/>
      <c r="D130" s="701"/>
      <c r="E130" s="700"/>
      <c r="F130" s="328"/>
      <c r="G130" s="700"/>
      <c r="H130" s="700"/>
      <c r="I130" s="703"/>
      <c r="J130" s="704"/>
      <c r="K130" s="704"/>
      <c r="L130" s="704"/>
      <c r="M130" s="704"/>
      <c r="N130" s="704"/>
      <c r="O130" s="700"/>
      <c r="P130" s="637"/>
    </row>
    <row r="131" spans="1:16" ht="15.75" customHeight="1" x14ac:dyDescent="0.3">
      <c r="A131" s="700"/>
      <c r="B131" s="700"/>
      <c r="C131" s="700"/>
      <c r="D131" s="701"/>
      <c r="E131" s="700"/>
      <c r="F131" s="328"/>
      <c r="G131" s="700"/>
      <c r="H131" s="700"/>
      <c r="I131" s="703"/>
      <c r="J131" s="704"/>
      <c r="K131" s="704"/>
      <c r="L131" s="704"/>
      <c r="M131" s="704"/>
      <c r="N131" s="704"/>
      <c r="O131" s="700"/>
      <c r="P131" s="637"/>
    </row>
    <row r="132" spans="1:16" ht="15.75" customHeight="1" x14ac:dyDescent="0.3">
      <c r="A132" s="700"/>
      <c r="B132" s="700"/>
      <c r="C132" s="700"/>
      <c r="D132" s="701"/>
      <c r="E132" s="700"/>
      <c r="F132" s="328"/>
      <c r="G132" s="700"/>
      <c r="H132" s="700"/>
      <c r="I132" s="703"/>
      <c r="J132" s="704"/>
      <c r="K132" s="704"/>
      <c r="L132" s="704"/>
      <c r="M132" s="704"/>
      <c r="N132" s="704"/>
      <c r="O132" s="700"/>
      <c r="P132" s="637"/>
    </row>
    <row r="133" spans="1:16" ht="15.75" customHeight="1" x14ac:dyDescent="0.3">
      <c r="A133" s="700"/>
      <c r="B133" s="700"/>
      <c r="C133" s="700"/>
      <c r="D133" s="701"/>
      <c r="E133" s="700"/>
      <c r="F133" s="328"/>
      <c r="G133" s="700"/>
      <c r="H133" s="700"/>
      <c r="I133" s="703"/>
      <c r="J133" s="704"/>
      <c r="K133" s="704"/>
      <c r="L133" s="704"/>
      <c r="M133" s="704"/>
      <c r="N133" s="704"/>
      <c r="O133" s="700"/>
      <c r="P133" s="685"/>
    </row>
    <row r="134" spans="1:16" ht="15.75" customHeight="1" x14ac:dyDescent="0.3">
      <c r="A134" s="700"/>
      <c r="B134" s="700"/>
      <c r="C134" s="700"/>
      <c r="D134" s="701"/>
      <c r="E134" s="700"/>
      <c r="F134" s="328"/>
      <c r="G134" s="700"/>
      <c r="H134" s="700"/>
      <c r="I134" s="703"/>
      <c r="J134" s="704"/>
      <c r="K134" s="704"/>
      <c r="L134" s="704"/>
      <c r="M134" s="704"/>
      <c r="N134" s="704"/>
      <c r="O134" s="700"/>
      <c r="P134" s="685"/>
    </row>
    <row r="135" spans="1:16" ht="15.75" customHeight="1" x14ac:dyDescent="0.3">
      <c r="A135" s="700"/>
      <c r="B135" s="700"/>
      <c r="C135" s="700"/>
      <c r="D135" s="701"/>
      <c r="E135" s="700"/>
      <c r="F135" s="328"/>
      <c r="G135" s="700"/>
      <c r="H135" s="700"/>
      <c r="I135" s="703"/>
      <c r="J135" s="704"/>
      <c r="K135" s="704"/>
      <c r="L135" s="704"/>
      <c r="M135" s="704"/>
      <c r="N135" s="704"/>
      <c r="O135" s="700"/>
    </row>
    <row r="136" spans="1:16" ht="15.75" customHeight="1" x14ac:dyDescent="0.3">
      <c r="A136" s="700"/>
      <c r="B136" s="700"/>
      <c r="C136" s="700"/>
      <c r="D136" s="701"/>
      <c r="E136" s="700"/>
      <c r="F136" s="328"/>
      <c r="G136" s="700"/>
      <c r="H136" s="700"/>
      <c r="I136" s="703"/>
      <c r="J136" s="704"/>
      <c r="K136" s="704"/>
      <c r="L136" s="704"/>
      <c r="M136" s="704"/>
      <c r="N136" s="704"/>
      <c r="O136" s="700"/>
      <c r="P136" s="685"/>
    </row>
    <row r="137" spans="1:16" ht="15.75" customHeight="1" x14ac:dyDescent="0.3">
      <c r="A137" s="700"/>
      <c r="B137" s="700"/>
      <c r="C137" s="700"/>
      <c r="D137" s="701"/>
      <c r="E137" s="700"/>
      <c r="F137" s="328"/>
      <c r="G137" s="700"/>
      <c r="H137" s="700"/>
      <c r="I137" s="703"/>
      <c r="J137" s="704"/>
      <c r="K137" s="704"/>
      <c r="L137" s="704"/>
      <c r="M137" s="704"/>
      <c r="N137" s="704"/>
      <c r="O137" s="700"/>
      <c r="P137" s="637"/>
    </row>
    <row r="138" spans="1:16" ht="15.75" customHeight="1" x14ac:dyDescent="0.3">
      <c r="A138" s="700"/>
      <c r="B138" s="700"/>
      <c r="C138" s="700"/>
      <c r="D138" s="701"/>
      <c r="E138" s="700"/>
      <c r="F138" s="328"/>
      <c r="G138" s="700"/>
      <c r="H138" s="700"/>
      <c r="I138" s="703"/>
      <c r="J138" s="704"/>
      <c r="K138" s="704"/>
      <c r="L138" s="704"/>
      <c r="M138" s="704"/>
      <c r="N138" s="704"/>
      <c r="O138" s="700"/>
      <c r="P138" s="637"/>
    </row>
    <row r="139" spans="1:16" ht="15.75" customHeight="1" x14ac:dyDescent="0.3">
      <c r="A139" s="700"/>
      <c r="B139" s="700"/>
      <c r="C139" s="700"/>
      <c r="D139" s="701"/>
      <c r="E139" s="700"/>
      <c r="F139" s="328"/>
      <c r="G139" s="700"/>
      <c r="H139" s="700"/>
      <c r="I139" s="703"/>
      <c r="J139" s="704"/>
      <c r="K139" s="704"/>
      <c r="L139" s="704"/>
      <c r="M139" s="704"/>
      <c r="N139" s="704"/>
      <c r="O139" s="700"/>
      <c r="P139" s="685"/>
    </row>
    <row r="140" spans="1:16" ht="15.75" customHeight="1" x14ac:dyDescent="0.3">
      <c r="A140" s="700"/>
      <c r="B140" s="700"/>
      <c r="C140" s="700"/>
      <c r="D140" s="701"/>
      <c r="E140" s="700"/>
      <c r="F140" s="328"/>
      <c r="G140" s="700"/>
      <c r="H140" s="700"/>
      <c r="I140" s="703"/>
      <c r="J140" s="704"/>
      <c r="K140" s="704"/>
      <c r="L140" s="704"/>
      <c r="M140" s="704"/>
      <c r="N140" s="704"/>
      <c r="O140" s="700"/>
      <c r="P140" s="685"/>
    </row>
    <row r="141" spans="1:16" ht="15.75" customHeight="1" x14ac:dyDescent="0.3">
      <c r="A141" s="700"/>
      <c r="B141" s="700"/>
      <c r="C141" s="700"/>
      <c r="D141" s="701"/>
      <c r="E141" s="700"/>
      <c r="F141" s="328"/>
      <c r="G141" s="700"/>
      <c r="H141" s="700"/>
      <c r="I141" s="703"/>
      <c r="J141" s="704"/>
      <c r="K141" s="704"/>
      <c r="L141" s="704"/>
      <c r="M141" s="704"/>
      <c r="N141" s="704"/>
      <c r="O141" s="700"/>
      <c r="P141" s="685"/>
    </row>
    <row r="142" spans="1:16" ht="15.75" customHeight="1" x14ac:dyDescent="0.3">
      <c r="A142" s="700"/>
      <c r="B142" s="700"/>
      <c r="C142" s="700"/>
      <c r="D142" s="701"/>
      <c r="E142" s="700"/>
      <c r="F142" s="328"/>
      <c r="G142" s="700"/>
      <c r="H142" s="700"/>
      <c r="I142" s="703"/>
      <c r="J142" s="704"/>
      <c r="K142" s="704"/>
      <c r="L142" s="704"/>
      <c r="M142" s="704"/>
      <c r="N142" s="704"/>
      <c r="O142" s="700"/>
      <c r="P142" s="637"/>
    </row>
    <row r="143" spans="1:16" ht="15.75" customHeight="1" x14ac:dyDescent="0.3">
      <c r="A143" s="700"/>
      <c r="B143" s="700"/>
      <c r="C143" s="700"/>
      <c r="D143" s="701"/>
      <c r="E143" s="700"/>
      <c r="F143" s="328"/>
      <c r="G143" s="700"/>
      <c r="H143" s="700"/>
      <c r="I143" s="703"/>
      <c r="J143" s="704"/>
      <c r="K143" s="704"/>
      <c r="L143" s="704"/>
      <c r="M143" s="704"/>
      <c r="N143" s="704"/>
      <c r="O143" s="700"/>
      <c r="P143" s="637"/>
    </row>
    <row r="144" spans="1:16" ht="15.75" customHeight="1" x14ac:dyDescent="0.3">
      <c r="A144" s="700"/>
      <c r="B144" s="700"/>
      <c r="C144" s="700"/>
      <c r="D144" s="701"/>
      <c r="E144" s="700"/>
      <c r="F144" s="328"/>
      <c r="G144" s="700"/>
      <c r="H144" s="700"/>
      <c r="I144" s="703"/>
      <c r="J144" s="704"/>
      <c r="K144" s="704"/>
      <c r="L144" s="704"/>
      <c r="M144" s="704"/>
      <c r="N144" s="704"/>
      <c r="O144" s="700"/>
      <c r="P144" s="637"/>
    </row>
    <row r="145" spans="1:16" ht="15.75" customHeight="1" x14ac:dyDescent="0.3">
      <c r="A145" s="700"/>
      <c r="B145" s="700"/>
      <c r="C145" s="700"/>
      <c r="D145" s="701"/>
      <c r="E145" s="700"/>
      <c r="F145" s="328"/>
      <c r="G145" s="700"/>
      <c r="H145" s="700"/>
      <c r="I145" s="703"/>
      <c r="J145" s="704"/>
      <c r="K145" s="704"/>
      <c r="L145" s="704"/>
      <c r="M145" s="704"/>
      <c r="N145" s="704"/>
      <c r="O145" s="700"/>
      <c r="P145" s="685"/>
    </row>
    <row r="146" spans="1:16" ht="15.75" customHeight="1" x14ac:dyDescent="0.3">
      <c r="A146" s="700"/>
      <c r="B146" s="700"/>
      <c r="C146" s="700"/>
      <c r="D146" s="701"/>
      <c r="E146" s="700"/>
      <c r="F146" s="328"/>
      <c r="G146" s="700"/>
      <c r="H146" s="700"/>
      <c r="I146" s="703"/>
      <c r="J146" s="704"/>
      <c r="K146" s="704"/>
      <c r="L146" s="704"/>
      <c r="M146" s="704"/>
      <c r="N146" s="704"/>
      <c r="O146" s="700"/>
      <c r="P146" s="685"/>
    </row>
    <row r="147" spans="1:16" ht="15.75" customHeight="1" x14ac:dyDescent="0.3">
      <c r="A147" s="700"/>
      <c r="B147" s="700"/>
      <c r="C147" s="700"/>
      <c r="D147" s="701"/>
      <c r="E147" s="700"/>
      <c r="F147" s="328"/>
      <c r="G147" s="700"/>
      <c r="H147" s="700"/>
      <c r="I147" s="703"/>
      <c r="J147" s="704"/>
      <c r="K147" s="704"/>
      <c r="L147" s="704"/>
      <c r="M147" s="704"/>
      <c r="N147" s="704"/>
      <c r="O147" s="700"/>
      <c r="P147" s="685"/>
    </row>
    <row r="148" spans="1:16" ht="15.75" customHeight="1" x14ac:dyDescent="0.3">
      <c r="A148" s="700"/>
      <c r="B148" s="700"/>
      <c r="C148" s="700"/>
      <c r="D148" s="701"/>
      <c r="E148" s="700"/>
      <c r="F148" s="328"/>
      <c r="G148" s="700"/>
      <c r="H148" s="700"/>
      <c r="I148" s="703"/>
      <c r="J148" s="704"/>
      <c r="K148" s="704"/>
      <c r="L148" s="704"/>
      <c r="M148" s="704"/>
      <c r="N148" s="704"/>
      <c r="O148" s="700"/>
      <c r="P148" s="637"/>
    </row>
    <row r="149" spans="1:16" ht="15.75" customHeight="1" x14ac:dyDescent="0.3">
      <c r="A149" s="700"/>
      <c r="B149" s="700"/>
      <c r="C149" s="700"/>
      <c r="D149" s="701"/>
      <c r="E149" s="700"/>
      <c r="F149" s="328"/>
      <c r="G149" s="700"/>
      <c r="H149" s="700"/>
      <c r="I149" s="703"/>
      <c r="J149" s="704"/>
      <c r="K149" s="704"/>
      <c r="L149" s="704"/>
      <c r="M149" s="704"/>
      <c r="N149" s="704"/>
      <c r="O149" s="700"/>
      <c r="P149" s="637"/>
    </row>
    <row r="150" spans="1:16" ht="15.75" customHeight="1" x14ac:dyDescent="0.3">
      <c r="A150" s="700"/>
      <c r="B150" s="700"/>
      <c r="C150" s="700"/>
      <c r="D150" s="701"/>
      <c r="E150" s="700"/>
      <c r="F150" s="328"/>
      <c r="G150" s="700"/>
      <c r="H150" s="700"/>
      <c r="I150" s="703"/>
      <c r="J150" s="704"/>
      <c r="K150" s="704"/>
      <c r="L150" s="704"/>
      <c r="M150" s="704"/>
      <c r="N150" s="704"/>
      <c r="O150" s="700"/>
      <c r="P150" s="685"/>
    </row>
    <row r="151" spans="1:16" ht="15.75" customHeight="1" x14ac:dyDescent="0.3">
      <c r="A151" s="700"/>
      <c r="B151" s="700"/>
      <c r="C151" s="700"/>
      <c r="D151" s="701"/>
      <c r="E151" s="700"/>
      <c r="F151" s="328"/>
      <c r="G151" s="700"/>
      <c r="H151" s="700"/>
      <c r="I151" s="703"/>
      <c r="J151" s="704"/>
      <c r="K151" s="704"/>
      <c r="L151" s="704"/>
      <c r="M151" s="704"/>
      <c r="N151" s="704"/>
      <c r="O151" s="700"/>
      <c r="P151" s="685"/>
    </row>
    <row r="152" spans="1:16" ht="15.75" customHeight="1" x14ac:dyDescent="0.3">
      <c r="A152" s="700"/>
      <c r="B152" s="700"/>
      <c r="C152" s="700"/>
      <c r="D152" s="701"/>
      <c r="E152" s="700"/>
      <c r="F152" s="328"/>
      <c r="G152" s="700"/>
      <c r="H152" s="700"/>
      <c r="I152" s="703"/>
      <c r="J152" s="704"/>
      <c r="K152" s="704"/>
      <c r="L152" s="704"/>
      <c r="M152" s="704"/>
      <c r="N152" s="704"/>
      <c r="O152" s="700"/>
      <c r="P152" s="637"/>
    </row>
    <row r="153" spans="1:16" ht="15.75" customHeight="1" x14ac:dyDescent="0.3">
      <c r="A153" s="700"/>
      <c r="B153" s="700"/>
      <c r="C153" s="700"/>
      <c r="D153" s="701"/>
      <c r="E153" s="700"/>
      <c r="F153" s="328"/>
      <c r="G153" s="700"/>
      <c r="H153" s="700"/>
      <c r="I153" s="703"/>
      <c r="J153" s="704"/>
      <c r="K153" s="704"/>
      <c r="L153" s="704"/>
      <c r="M153" s="704"/>
      <c r="N153" s="704"/>
      <c r="O153" s="700"/>
      <c r="P153" s="637"/>
    </row>
    <row r="154" spans="1:16" ht="15.75" customHeight="1" x14ac:dyDescent="0.3">
      <c r="A154" s="700"/>
      <c r="B154" s="700"/>
      <c r="C154" s="700"/>
      <c r="D154" s="701"/>
      <c r="E154" s="700"/>
      <c r="F154" s="328"/>
      <c r="G154" s="700"/>
      <c r="H154" s="700"/>
      <c r="I154" s="703"/>
      <c r="J154" s="704"/>
      <c r="K154" s="704"/>
      <c r="L154" s="704"/>
      <c r="M154" s="704"/>
      <c r="N154" s="704"/>
      <c r="O154" s="700"/>
      <c r="P154" s="637"/>
    </row>
    <row r="155" spans="1:16" ht="15.75" customHeight="1" x14ac:dyDescent="0.3">
      <c r="A155" s="700"/>
      <c r="B155" s="700"/>
      <c r="C155" s="700"/>
      <c r="D155" s="701"/>
      <c r="E155" s="700"/>
      <c r="F155" s="328"/>
      <c r="G155" s="700"/>
      <c r="H155" s="700"/>
      <c r="I155" s="703"/>
      <c r="J155" s="704"/>
      <c r="K155" s="704"/>
      <c r="L155" s="704"/>
      <c r="M155" s="704"/>
      <c r="N155" s="704"/>
      <c r="O155" s="700"/>
      <c r="P155" s="637"/>
    </row>
    <row r="156" spans="1:16" ht="15.75" customHeight="1" x14ac:dyDescent="0.3">
      <c r="A156" s="700"/>
      <c r="B156" s="700"/>
      <c r="C156" s="700"/>
      <c r="D156" s="701"/>
      <c r="E156" s="700"/>
      <c r="F156" s="328"/>
      <c r="G156" s="700"/>
      <c r="H156" s="700"/>
      <c r="I156" s="703"/>
      <c r="J156" s="704"/>
      <c r="K156" s="704"/>
      <c r="L156" s="704"/>
      <c r="M156" s="704"/>
      <c r="N156" s="704"/>
      <c r="O156" s="700"/>
      <c r="P156" s="637"/>
    </row>
    <row r="157" spans="1:16" ht="15.75" customHeight="1" x14ac:dyDescent="0.3">
      <c r="A157" s="700"/>
      <c r="B157" s="700"/>
      <c r="C157" s="700"/>
      <c r="D157" s="701"/>
      <c r="E157" s="700"/>
      <c r="F157" s="328"/>
      <c r="G157" s="700"/>
      <c r="H157" s="700"/>
      <c r="I157" s="703"/>
      <c r="J157" s="704"/>
      <c r="K157" s="704"/>
      <c r="L157" s="704"/>
      <c r="M157" s="704"/>
      <c r="N157" s="704"/>
      <c r="O157" s="700"/>
      <c r="P157" s="685"/>
    </row>
    <row r="158" spans="1:16" ht="15.75" customHeight="1" x14ac:dyDescent="0.3">
      <c r="A158" s="700"/>
      <c r="B158" s="700"/>
      <c r="C158" s="700"/>
      <c r="D158" s="701"/>
      <c r="E158" s="700"/>
      <c r="F158" s="328"/>
      <c r="G158" s="700"/>
      <c r="H158" s="700"/>
      <c r="I158" s="703"/>
      <c r="J158" s="704"/>
      <c r="K158" s="704"/>
      <c r="L158" s="704"/>
      <c r="M158" s="704"/>
      <c r="N158" s="704"/>
      <c r="O158" s="700"/>
      <c r="P158" s="685"/>
    </row>
    <row r="159" spans="1:16" ht="15.75" customHeight="1" x14ac:dyDescent="0.3">
      <c r="A159" s="700"/>
      <c r="B159" s="700"/>
      <c r="C159" s="700"/>
      <c r="D159" s="701"/>
      <c r="E159" s="700"/>
      <c r="F159" s="328"/>
      <c r="G159" s="700"/>
      <c r="H159" s="700"/>
      <c r="I159" s="703"/>
      <c r="J159" s="704"/>
      <c r="K159" s="704"/>
      <c r="L159" s="704"/>
      <c r="M159" s="704"/>
      <c r="N159" s="704"/>
      <c r="O159" s="700"/>
      <c r="P159" s="707"/>
    </row>
    <row r="160" spans="1:16" ht="15.75" customHeight="1" x14ac:dyDescent="0.3">
      <c r="A160" s="700"/>
      <c r="B160" s="700"/>
      <c r="C160" s="700"/>
      <c r="D160" s="701"/>
      <c r="E160" s="700"/>
      <c r="F160" s="328"/>
      <c r="G160" s="700"/>
      <c r="H160" s="700"/>
      <c r="I160" s="703"/>
      <c r="J160" s="704"/>
      <c r="K160" s="704"/>
      <c r="L160" s="704"/>
      <c r="M160" s="704"/>
      <c r="N160" s="704"/>
      <c r="O160" s="700"/>
      <c r="P160" s="707"/>
    </row>
    <row r="161" spans="1:16" ht="15.75" customHeight="1" x14ac:dyDescent="0.3">
      <c r="A161" s="700"/>
      <c r="B161" s="700"/>
      <c r="C161" s="700"/>
      <c r="D161" s="701"/>
      <c r="E161" s="700"/>
      <c r="F161" s="328"/>
      <c r="G161" s="700"/>
      <c r="H161" s="700"/>
      <c r="I161" s="703"/>
      <c r="J161" s="704"/>
      <c r="K161" s="704"/>
      <c r="L161" s="704"/>
      <c r="M161" s="704"/>
      <c r="N161" s="704"/>
      <c r="O161" s="700"/>
      <c r="P161" s="707"/>
    </row>
    <row r="162" spans="1:16" ht="15.75" customHeight="1" x14ac:dyDescent="0.3">
      <c r="A162" s="700"/>
      <c r="B162" s="700"/>
      <c r="C162" s="700"/>
      <c r="D162" s="701"/>
      <c r="E162" s="700"/>
      <c r="F162" s="328"/>
      <c r="G162" s="700"/>
      <c r="H162" s="700"/>
      <c r="I162" s="703"/>
      <c r="J162" s="704"/>
      <c r="K162" s="704"/>
      <c r="L162" s="704"/>
      <c r="M162" s="704"/>
      <c r="N162" s="704"/>
      <c r="O162" s="700"/>
      <c r="P162" s="671"/>
    </row>
    <row r="163" spans="1:16" ht="15.75" customHeight="1" x14ac:dyDescent="0.3">
      <c r="A163" s="700"/>
      <c r="B163" s="700"/>
      <c r="C163" s="700"/>
      <c r="D163" s="701"/>
      <c r="E163" s="700"/>
      <c r="F163" s="328"/>
      <c r="G163" s="700"/>
      <c r="H163" s="700"/>
      <c r="I163" s="703"/>
      <c r="J163" s="704"/>
      <c r="K163" s="704"/>
      <c r="L163" s="704"/>
      <c r="M163" s="704"/>
      <c r="N163" s="704"/>
      <c r="O163" s="700"/>
      <c r="P163" s="637"/>
    </row>
    <row r="164" spans="1:16" ht="15.75" customHeight="1" x14ac:dyDescent="0.3">
      <c r="A164" s="700"/>
      <c r="B164" s="700"/>
      <c r="C164" s="700"/>
      <c r="D164" s="701"/>
      <c r="E164" s="700"/>
      <c r="F164" s="328"/>
      <c r="G164" s="700"/>
      <c r="H164" s="700"/>
      <c r="I164" s="703"/>
      <c r="J164" s="704"/>
      <c r="K164" s="704"/>
      <c r="L164" s="704"/>
      <c r="M164" s="704"/>
      <c r="N164" s="704"/>
      <c r="O164" s="700"/>
      <c r="P164" s="637"/>
    </row>
    <row r="165" spans="1:16" ht="15.75" customHeight="1" x14ac:dyDescent="0.3">
      <c r="A165" s="700"/>
      <c r="B165" s="700"/>
      <c r="C165" s="700"/>
      <c r="D165" s="701"/>
      <c r="E165" s="700"/>
      <c r="F165" s="328"/>
      <c r="G165" s="700"/>
      <c r="H165" s="700"/>
      <c r="I165" s="703"/>
      <c r="J165" s="704"/>
      <c r="K165" s="704"/>
      <c r="L165" s="704"/>
      <c r="M165" s="704"/>
      <c r="N165" s="704"/>
      <c r="O165" s="700"/>
      <c r="P165" s="685"/>
    </row>
    <row r="166" spans="1:16" ht="15.75" customHeight="1" x14ac:dyDescent="0.3">
      <c r="A166" s="700"/>
      <c r="B166" s="700"/>
      <c r="C166" s="700"/>
      <c r="D166" s="701"/>
      <c r="E166" s="700"/>
      <c r="F166" s="328"/>
      <c r="G166" s="700"/>
      <c r="H166" s="700"/>
      <c r="I166" s="703"/>
      <c r="J166" s="704"/>
      <c r="K166" s="704"/>
      <c r="L166" s="704"/>
      <c r="M166" s="704"/>
      <c r="N166" s="704"/>
      <c r="O166" s="700"/>
      <c r="P166" s="685"/>
    </row>
    <row r="167" spans="1:16" ht="15.75" customHeight="1" x14ac:dyDescent="0.3">
      <c r="A167" s="700"/>
      <c r="B167" s="700"/>
      <c r="C167" s="700"/>
      <c r="D167" s="701"/>
      <c r="E167" s="700"/>
      <c r="F167" s="328"/>
      <c r="G167" s="700"/>
      <c r="H167" s="700"/>
      <c r="I167" s="703"/>
      <c r="J167" s="704"/>
      <c r="K167" s="704"/>
      <c r="L167" s="704"/>
      <c r="M167" s="704"/>
      <c r="N167" s="704"/>
      <c r="O167" s="700"/>
      <c r="P167" s="685"/>
    </row>
    <row r="168" spans="1:16" ht="15.75" customHeight="1" x14ac:dyDescent="0.3">
      <c r="A168" s="700"/>
      <c r="B168" s="700"/>
      <c r="C168" s="700"/>
      <c r="D168" s="701"/>
      <c r="E168" s="700"/>
      <c r="F168" s="328"/>
      <c r="G168" s="700"/>
      <c r="H168" s="700"/>
      <c r="I168" s="703"/>
      <c r="J168" s="704"/>
      <c r="K168" s="704"/>
      <c r="L168" s="704"/>
      <c r="M168" s="704"/>
      <c r="N168" s="704"/>
      <c r="O168" s="700"/>
    </row>
    <row r="169" spans="1:16" ht="15.75" customHeight="1" x14ac:dyDescent="0.3">
      <c r="A169" s="700"/>
      <c r="B169" s="700"/>
      <c r="C169" s="700"/>
      <c r="D169" s="701"/>
      <c r="E169" s="700"/>
      <c r="F169" s="328"/>
      <c r="G169" s="700"/>
      <c r="H169" s="700"/>
      <c r="I169" s="703"/>
      <c r="J169" s="704"/>
      <c r="K169" s="704"/>
      <c r="L169" s="704"/>
      <c r="M169" s="704"/>
      <c r="N169" s="704"/>
      <c r="O169" s="700"/>
    </row>
    <row r="170" spans="1:16" ht="15.75" customHeight="1" x14ac:dyDescent="0.3">
      <c r="A170" s="700"/>
      <c r="B170" s="700"/>
      <c r="C170" s="700"/>
      <c r="D170" s="701"/>
      <c r="E170" s="700"/>
      <c r="F170" s="328"/>
      <c r="G170" s="700"/>
      <c r="H170" s="700"/>
      <c r="I170" s="703"/>
      <c r="J170" s="704"/>
      <c r="K170" s="704"/>
      <c r="L170" s="704"/>
      <c r="M170" s="704"/>
      <c r="N170" s="704"/>
      <c r="O170" s="700"/>
    </row>
    <row r="171" spans="1:16" ht="15.75" customHeight="1" x14ac:dyDescent="0.3">
      <c r="A171" s="700"/>
      <c r="B171" s="700"/>
      <c r="C171" s="700"/>
      <c r="D171" s="701"/>
      <c r="E171" s="700"/>
      <c r="F171" s="328"/>
      <c r="G171" s="700"/>
      <c r="H171" s="700"/>
      <c r="I171" s="703"/>
      <c r="J171" s="704"/>
      <c r="K171" s="704"/>
      <c r="L171" s="704"/>
      <c r="M171" s="704"/>
      <c r="N171" s="704"/>
      <c r="O171" s="700"/>
    </row>
    <row r="172" spans="1:16" ht="15.75" customHeight="1" x14ac:dyDescent="0.3">
      <c r="A172" s="700"/>
      <c r="B172" s="700"/>
      <c r="C172" s="700"/>
      <c r="D172" s="701"/>
      <c r="E172" s="700"/>
      <c r="F172" s="328"/>
      <c r="G172" s="700"/>
      <c r="H172" s="700"/>
      <c r="I172" s="703"/>
      <c r="J172" s="704"/>
      <c r="K172" s="704"/>
      <c r="L172" s="704"/>
      <c r="M172" s="704"/>
      <c r="N172" s="704"/>
      <c r="O172" s="700"/>
    </row>
    <row r="173" spans="1:16" ht="15.75" customHeight="1" x14ac:dyDescent="0.3">
      <c r="A173" s="700"/>
      <c r="B173" s="700"/>
      <c r="C173" s="700"/>
      <c r="D173" s="701"/>
      <c r="E173" s="700"/>
      <c r="F173" s="328"/>
      <c r="G173" s="700"/>
      <c r="H173" s="700"/>
      <c r="I173" s="703"/>
      <c r="J173" s="704"/>
      <c r="K173" s="704"/>
      <c r="L173" s="704"/>
      <c r="M173" s="704"/>
      <c r="N173" s="704"/>
      <c r="O173" s="700"/>
    </row>
    <row r="174" spans="1:16" ht="15.75" customHeight="1" x14ac:dyDescent="0.3">
      <c r="A174" s="700"/>
      <c r="B174" s="700"/>
      <c r="C174" s="700"/>
      <c r="D174" s="701"/>
      <c r="E174" s="700"/>
      <c r="F174" s="328"/>
      <c r="G174" s="700"/>
      <c r="H174" s="700"/>
      <c r="I174" s="703"/>
      <c r="J174" s="704"/>
      <c r="K174" s="704"/>
      <c r="L174" s="704"/>
      <c r="M174" s="704"/>
      <c r="N174" s="704"/>
      <c r="O174" s="700"/>
    </row>
    <row r="175" spans="1:16" ht="15.75" customHeight="1" x14ac:dyDescent="0.3">
      <c r="A175" s="700"/>
      <c r="B175" s="700"/>
      <c r="C175" s="700"/>
      <c r="D175" s="701"/>
      <c r="E175" s="700"/>
      <c r="F175" s="328"/>
      <c r="G175" s="700"/>
      <c r="H175" s="700"/>
      <c r="I175" s="703"/>
      <c r="J175" s="704"/>
      <c r="K175" s="704"/>
      <c r="L175" s="704"/>
      <c r="M175" s="704"/>
      <c r="N175" s="704"/>
      <c r="O175" s="700"/>
    </row>
    <row r="176" spans="1:16" ht="15.75" customHeight="1" x14ac:dyDescent="0.3">
      <c r="A176" s="700"/>
      <c r="B176" s="700"/>
      <c r="C176" s="700"/>
      <c r="D176" s="701"/>
      <c r="E176" s="700"/>
      <c r="F176" s="328"/>
      <c r="G176" s="700"/>
      <c r="H176" s="700"/>
      <c r="I176" s="703"/>
      <c r="J176" s="704"/>
      <c r="K176" s="704"/>
      <c r="L176" s="704"/>
      <c r="M176" s="704"/>
      <c r="N176" s="704"/>
      <c r="O176" s="700"/>
    </row>
    <row r="177" spans="1:15" ht="15.75" customHeight="1" x14ac:dyDescent="0.3">
      <c r="A177" s="700"/>
      <c r="B177" s="700"/>
      <c r="C177" s="700"/>
      <c r="D177" s="701"/>
      <c r="E177" s="700"/>
      <c r="F177" s="328"/>
      <c r="G177" s="700"/>
      <c r="H177" s="700"/>
      <c r="I177" s="703"/>
      <c r="J177" s="704"/>
      <c r="K177" s="704"/>
      <c r="L177" s="704"/>
      <c r="M177" s="704"/>
      <c r="N177" s="704"/>
      <c r="O177" s="700"/>
    </row>
    <row r="178" spans="1:15" ht="15.75" customHeight="1" x14ac:dyDescent="0.3">
      <c r="A178" s="700"/>
      <c r="B178" s="700"/>
      <c r="C178" s="700"/>
      <c r="D178" s="701"/>
      <c r="E178" s="700"/>
      <c r="F178" s="328"/>
      <c r="G178" s="700"/>
      <c r="H178" s="700"/>
      <c r="I178" s="703"/>
      <c r="J178" s="704"/>
      <c r="K178" s="704"/>
      <c r="L178" s="704"/>
      <c r="M178" s="704"/>
      <c r="N178" s="704"/>
      <c r="O178" s="700"/>
    </row>
    <row r="179" spans="1:15" ht="15.75" customHeight="1" x14ac:dyDescent="0.3">
      <c r="A179" s="700"/>
      <c r="B179" s="700"/>
      <c r="C179" s="700"/>
      <c r="D179" s="701"/>
      <c r="E179" s="700"/>
      <c r="F179" s="328"/>
      <c r="G179" s="700"/>
      <c r="H179" s="700"/>
      <c r="I179" s="703"/>
      <c r="J179" s="704"/>
      <c r="K179" s="704"/>
      <c r="L179" s="704"/>
      <c r="M179" s="704"/>
      <c r="N179" s="704"/>
      <c r="O179" s="700"/>
    </row>
    <row r="180" spans="1:15" ht="15.75" customHeight="1" x14ac:dyDescent="0.3">
      <c r="A180" s="700"/>
      <c r="B180" s="700"/>
      <c r="C180" s="700"/>
      <c r="D180" s="701"/>
      <c r="E180" s="700"/>
      <c r="F180" s="328"/>
      <c r="G180" s="700"/>
      <c r="H180" s="700"/>
      <c r="I180" s="703"/>
      <c r="J180" s="704"/>
      <c r="K180" s="704"/>
      <c r="L180" s="704"/>
      <c r="M180" s="704"/>
      <c r="N180" s="704"/>
      <c r="O180" s="700"/>
    </row>
    <row r="181" spans="1:15" ht="15.75" customHeight="1" x14ac:dyDescent="0.3">
      <c r="A181" s="700"/>
      <c r="B181" s="700"/>
      <c r="C181" s="700"/>
      <c r="D181" s="701"/>
      <c r="E181" s="700"/>
      <c r="F181" s="328"/>
      <c r="G181" s="700"/>
      <c r="H181" s="700"/>
      <c r="I181" s="703"/>
      <c r="J181" s="704"/>
      <c r="K181" s="704"/>
      <c r="L181" s="704"/>
      <c r="M181" s="704"/>
      <c r="N181" s="704"/>
      <c r="O181" s="700"/>
    </row>
    <row r="182" spans="1:15" ht="15.75" customHeight="1" x14ac:dyDescent="0.3">
      <c r="A182" s="700"/>
      <c r="B182" s="700"/>
      <c r="C182" s="700"/>
      <c r="D182" s="701"/>
      <c r="E182" s="700"/>
      <c r="F182" s="328"/>
      <c r="G182" s="700"/>
      <c r="H182" s="700"/>
      <c r="I182" s="703"/>
      <c r="J182" s="704"/>
      <c r="K182" s="704"/>
      <c r="L182" s="704"/>
      <c r="M182" s="704"/>
      <c r="N182" s="704"/>
      <c r="O182" s="700"/>
    </row>
    <row r="183" spans="1:15" ht="15.75" customHeight="1" x14ac:dyDescent="0.3">
      <c r="A183" s="700"/>
      <c r="B183" s="700"/>
      <c r="C183" s="700"/>
      <c r="D183" s="701"/>
      <c r="E183" s="700"/>
      <c r="F183" s="328"/>
      <c r="G183" s="700"/>
      <c r="H183" s="700"/>
      <c r="I183" s="703"/>
      <c r="J183" s="704"/>
      <c r="K183" s="704"/>
      <c r="L183" s="704"/>
      <c r="M183" s="704"/>
      <c r="N183" s="704"/>
      <c r="O183" s="700"/>
    </row>
    <row r="184" spans="1:15" ht="15.75" customHeight="1" x14ac:dyDescent="0.3">
      <c r="A184" s="700"/>
      <c r="B184" s="700"/>
      <c r="C184" s="700"/>
      <c r="D184" s="701"/>
      <c r="E184" s="700"/>
      <c r="F184" s="328"/>
      <c r="G184" s="700"/>
      <c r="H184" s="700"/>
      <c r="I184" s="703"/>
      <c r="J184" s="704"/>
      <c r="K184" s="704"/>
      <c r="L184" s="704"/>
      <c r="M184" s="704"/>
      <c r="N184" s="704"/>
      <c r="O184" s="700"/>
    </row>
    <row r="185" spans="1:15" ht="15.75" customHeight="1" x14ac:dyDescent="0.3">
      <c r="A185" s="700"/>
      <c r="B185" s="700"/>
      <c r="C185" s="700"/>
      <c r="D185" s="701"/>
      <c r="E185" s="700"/>
      <c r="F185" s="328"/>
      <c r="G185" s="700"/>
      <c r="H185" s="700"/>
      <c r="I185" s="703"/>
      <c r="J185" s="704"/>
      <c r="K185" s="704"/>
      <c r="L185" s="704"/>
      <c r="M185" s="704"/>
      <c r="N185" s="704"/>
      <c r="O185" s="700"/>
    </row>
    <row r="186" spans="1:15" ht="15.75" customHeight="1" x14ac:dyDescent="0.3">
      <c r="A186" s="700"/>
      <c r="B186" s="700"/>
      <c r="C186" s="700"/>
      <c r="D186" s="701"/>
      <c r="E186" s="700"/>
      <c r="F186" s="328"/>
      <c r="G186" s="700"/>
      <c r="H186" s="700"/>
      <c r="I186" s="703"/>
      <c r="J186" s="704"/>
      <c r="K186" s="704"/>
      <c r="L186" s="704"/>
      <c r="M186" s="704"/>
      <c r="N186" s="704"/>
      <c r="O186" s="700"/>
    </row>
    <row r="187" spans="1:15" ht="15.75" customHeight="1" x14ac:dyDescent="0.3">
      <c r="A187" s="700"/>
      <c r="B187" s="700"/>
      <c r="C187" s="700"/>
      <c r="D187" s="701"/>
      <c r="E187" s="700"/>
      <c r="F187" s="328"/>
      <c r="G187" s="700"/>
      <c r="H187" s="700"/>
      <c r="I187" s="703"/>
      <c r="J187" s="704"/>
      <c r="K187" s="704"/>
      <c r="L187" s="704"/>
      <c r="M187" s="704"/>
      <c r="N187" s="704"/>
      <c r="O187" s="700"/>
    </row>
    <row r="188" spans="1:15" ht="15.75" customHeight="1" x14ac:dyDescent="0.3">
      <c r="A188" s="700"/>
      <c r="B188" s="700"/>
      <c r="C188" s="700"/>
      <c r="D188" s="701"/>
      <c r="E188" s="700"/>
      <c r="F188" s="328"/>
      <c r="G188" s="700"/>
      <c r="H188" s="700"/>
      <c r="I188" s="703"/>
      <c r="J188" s="704"/>
      <c r="K188" s="704"/>
      <c r="L188" s="704"/>
      <c r="M188" s="704"/>
      <c r="N188" s="704"/>
      <c r="O188" s="700"/>
    </row>
    <row r="189" spans="1:15" ht="15.75" customHeight="1" x14ac:dyDescent="0.3">
      <c r="A189" s="700"/>
      <c r="B189" s="700"/>
      <c r="C189" s="700"/>
      <c r="D189" s="701"/>
      <c r="E189" s="700"/>
      <c r="F189" s="328"/>
      <c r="G189" s="700"/>
      <c r="H189" s="700"/>
      <c r="I189" s="703"/>
      <c r="J189" s="704"/>
      <c r="K189" s="704"/>
      <c r="L189" s="704"/>
      <c r="M189" s="704"/>
      <c r="N189" s="704"/>
      <c r="O189" s="700"/>
    </row>
    <row r="190" spans="1:15" ht="15.75" customHeight="1" x14ac:dyDescent="0.3">
      <c r="A190" s="700"/>
      <c r="B190" s="700"/>
      <c r="C190" s="700"/>
      <c r="D190" s="701"/>
      <c r="E190" s="700"/>
      <c r="F190" s="328"/>
      <c r="G190" s="700"/>
      <c r="H190" s="700"/>
      <c r="I190" s="703"/>
      <c r="J190" s="704"/>
      <c r="K190" s="704"/>
      <c r="L190" s="704"/>
      <c r="M190" s="704"/>
      <c r="N190" s="704"/>
      <c r="O190" s="700"/>
    </row>
    <row r="191" spans="1:15" ht="15.75" customHeight="1" x14ac:dyDescent="0.3">
      <c r="A191" s="700"/>
      <c r="B191" s="700"/>
      <c r="C191" s="700"/>
      <c r="D191" s="701"/>
      <c r="E191" s="700"/>
      <c r="F191" s="328"/>
      <c r="G191" s="700"/>
      <c r="H191" s="700"/>
      <c r="I191" s="703"/>
      <c r="J191" s="704"/>
      <c r="K191" s="704"/>
      <c r="L191" s="704"/>
      <c r="M191" s="704"/>
      <c r="N191" s="704"/>
      <c r="O191" s="700"/>
    </row>
    <row r="192" spans="1:15" ht="15.75" customHeight="1" x14ac:dyDescent="0.3">
      <c r="A192" s="700"/>
      <c r="B192" s="700"/>
      <c r="C192" s="700"/>
      <c r="D192" s="701"/>
      <c r="E192" s="700"/>
      <c r="F192" s="328"/>
      <c r="G192" s="700"/>
      <c r="H192" s="700"/>
      <c r="I192" s="703"/>
      <c r="J192" s="704"/>
      <c r="K192" s="704"/>
      <c r="L192" s="704"/>
      <c r="M192" s="704"/>
      <c r="N192" s="704"/>
      <c r="O192" s="700"/>
    </row>
    <row r="193" spans="1:15" ht="15.75" customHeight="1" x14ac:dyDescent="0.3">
      <c r="A193" s="700"/>
      <c r="B193" s="700"/>
      <c r="C193" s="700"/>
      <c r="D193" s="701"/>
      <c r="E193" s="700"/>
      <c r="F193" s="328"/>
      <c r="G193" s="700"/>
      <c r="H193" s="700"/>
      <c r="I193" s="703"/>
      <c r="J193" s="704"/>
      <c r="K193" s="704"/>
      <c r="L193" s="704"/>
      <c r="M193" s="704"/>
      <c r="N193" s="704"/>
      <c r="O193" s="700"/>
    </row>
    <row r="194" spans="1:15" ht="15.75" customHeight="1" x14ac:dyDescent="0.3">
      <c r="A194" s="700"/>
      <c r="B194" s="700"/>
      <c r="C194" s="700"/>
      <c r="D194" s="701"/>
      <c r="E194" s="700"/>
      <c r="F194" s="328"/>
      <c r="G194" s="700"/>
      <c r="H194" s="700"/>
      <c r="I194" s="703"/>
      <c r="J194" s="704"/>
      <c r="K194" s="704"/>
      <c r="L194" s="704"/>
      <c r="M194" s="704"/>
      <c r="N194" s="704"/>
      <c r="O194" s="700"/>
    </row>
    <row r="195" spans="1:15" ht="15.75" customHeight="1" x14ac:dyDescent="0.3">
      <c r="A195" s="700"/>
      <c r="B195" s="700"/>
      <c r="C195" s="700"/>
      <c r="D195" s="701"/>
      <c r="E195" s="700"/>
      <c r="F195" s="328"/>
      <c r="G195" s="700"/>
      <c r="H195" s="700"/>
      <c r="I195" s="703"/>
      <c r="J195" s="704"/>
      <c r="K195" s="704"/>
      <c r="L195" s="704"/>
      <c r="M195" s="704"/>
      <c r="N195" s="704"/>
      <c r="O195" s="700"/>
    </row>
    <row r="196" spans="1:15" ht="15.75" customHeight="1" x14ac:dyDescent="0.3">
      <c r="A196" s="700"/>
      <c r="B196" s="700"/>
      <c r="C196" s="700"/>
      <c r="D196" s="701"/>
      <c r="E196" s="700"/>
      <c r="F196" s="328"/>
      <c r="G196" s="700"/>
      <c r="H196" s="700"/>
      <c r="I196" s="703"/>
      <c r="J196" s="704"/>
      <c r="K196" s="704"/>
      <c r="L196" s="704"/>
      <c r="M196" s="704"/>
      <c r="N196" s="704"/>
      <c r="O196" s="700"/>
    </row>
    <row r="197" spans="1:15" ht="15.75" customHeight="1" x14ac:dyDescent="0.3">
      <c r="A197" s="700"/>
      <c r="B197" s="700"/>
      <c r="C197" s="700"/>
      <c r="D197" s="701"/>
      <c r="E197" s="700"/>
      <c r="F197" s="328"/>
      <c r="G197" s="700"/>
      <c r="H197" s="700"/>
      <c r="I197" s="703"/>
      <c r="J197" s="704"/>
      <c r="K197" s="704"/>
      <c r="L197" s="704"/>
      <c r="M197" s="704"/>
      <c r="N197" s="704"/>
      <c r="O197" s="700"/>
    </row>
    <row r="198" spans="1:15" ht="15.75" customHeight="1" x14ac:dyDescent="0.3">
      <c r="A198" s="700"/>
      <c r="B198" s="700"/>
      <c r="C198" s="700"/>
      <c r="D198" s="701"/>
      <c r="E198" s="700"/>
      <c r="F198" s="328"/>
      <c r="G198" s="700"/>
      <c r="H198" s="700"/>
      <c r="I198" s="703"/>
      <c r="J198" s="704"/>
      <c r="K198" s="704"/>
      <c r="L198" s="704"/>
      <c r="M198" s="704"/>
      <c r="N198" s="704"/>
      <c r="O198" s="700"/>
    </row>
    <row r="199" spans="1:15" ht="15.75" customHeight="1" x14ac:dyDescent="0.3">
      <c r="A199" s="700"/>
      <c r="B199" s="700"/>
      <c r="C199" s="700"/>
      <c r="D199" s="701"/>
      <c r="E199" s="700"/>
      <c r="F199" s="328"/>
      <c r="G199" s="700"/>
      <c r="H199" s="700"/>
      <c r="I199" s="703"/>
      <c r="J199" s="704"/>
      <c r="K199" s="704"/>
      <c r="L199" s="704"/>
      <c r="M199" s="704"/>
      <c r="N199" s="704"/>
      <c r="O199" s="700"/>
    </row>
    <row r="200" spans="1:15" ht="15.75" customHeight="1" x14ac:dyDescent="0.3">
      <c r="A200" s="700"/>
      <c r="B200" s="700"/>
      <c r="C200" s="700"/>
      <c r="D200" s="701"/>
      <c r="E200" s="700"/>
      <c r="F200" s="328"/>
      <c r="G200" s="700"/>
      <c r="H200" s="700"/>
      <c r="I200" s="703"/>
      <c r="J200" s="704"/>
      <c r="K200" s="704"/>
      <c r="L200" s="704"/>
      <c r="M200" s="704"/>
      <c r="N200" s="704"/>
      <c r="O200" s="700"/>
    </row>
    <row r="201" spans="1:15" ht="15.75" customHeight="1" x14ac:dyDescent="0.3">
      <c r="A201" s="700"/>
      <c r="B201" s="700"/>
      <c r="C201" s="700"/>
      <c r="D201" s="701"/>
      <c r="E201" s="700"/>
      <c r="F201" s="328"/>
      <c r="G201" s="700"/>
      <c r="H201" s="700"/>
      <c r="I201" s="703"/>
      <c r="J201" s="704"/>
      <c r="K201" s="704"/>
      <c r="L201" s="704"/>
      <c r="M201" s="704"/>
      <c r="N201" s="704"/>
      <c r="O201" s="700"/>
    </row>
    <row r="202" spans="1:15" ht="15.75" customHeight="1" x14ac:dyDescent="0.3">
      <c r="A202" s="700"/>
      <c r="B202" s="700"/>
      <c r="C202" s="700"/>
      <c r="D202" s="701"/>
      <c r="E202" s="700"/>
      <c r="F202" s="328"/>
      <c r="G202" s="700"/>
      <c r="H202" s="700"/>
      <c r="I202" s="703"/>
      <c r="J202" s="704"/>
      <c r="K202" s="704"/>
      <c r="L202" s="704"/>
      <c r="M202" s="704"/>
      <c r="N202" s="704"/>
      <c r="O202" s="700"/>
    </row>
    <row r="203" spans="1:15" ht="15.75" customHeight="1" x14ac:dyDescent="0.3">
      <c r="A203" s="700"/>
      <c r="B203" s="700"/>
      <c r="C203" s="700"/>
      <c r="D203" s="701"/>
      <c r="E203" s="700"/>
      <c r="F203" s="328"/>
      <c r="G203" s="700"/>
      <c r="H203" s="700"/>
      <c r="I203" s="703"/>
      <c r="J203" s="704"/>
      <c r="K203" s="704"/>
      <c r="L203" s="704"/>
      <c r="M203" s="704"/>
      <c r="N203" s="704"/>
      <c r="O203" s="700"/>
    </row>
    <row r="204" spans="1:15" ht="15.75" customHeight="1" x14ac:dyDescent="0.3">
      <c r="A204" s="700"/>
      <c r="B204" s="700"/>
      <c r="C204" s="700"/>
      <c r="D204" s="701"/>
      <c r="E204" s="700"/>
      <c r="F204" s="328"/>
      <c r="G204" s="700"/>
      <c r="H204" s="700"/>
      <c r="I204" s="703"/>
      <c r="J204" s="704"/>
      <c r="K204" s="704"/>
      <c r="L204" s="704"/>
      <c r="M204" s="704"/>
      <c r="N204" s="704"/>
      <c r="O204" s="700"/>
    </row>
    <row r="205" spans="1:15" ht="15.75" customHeight="1" x14ac:dyDescent="0.3">
      <c r="A205" s="700"/>
      <c r="B205" s="700"/>
      <c r="C205" s="700"/>
      <c r="D205" s="701"/>
      <c r="E205" s="700"/>
      <c r="F205" s="328"/>
      <c r="G205" s="700"/>
      <c r="H205" s="700"/>
      <c r="I205" s="703"/>
      <c r="J205" s="704"/>
      <c r="K205" s="704"/>
      <c r="L205" s="704"/>
      <c r="M205" s="704"/>
      <c r="N205" s="704"/>
      <c r="O205" s="700"/>
    </row>
    <row r="206" spans="1:15" ht="15.75" customHeight="1" x14ac:dyDescent="0.3">
      <c r="A206" s="700"/>
      <c r="B206" s="700"/>
      <c r="C206" s="700"/>
      <c r="D206" s="701"/>
      <c r="E206" s="700"/>
      <c r="F206" s="328"/>
      <c r="G206" s="700"/>
      <c r="H206" s="700"/>
      <c r="I206" s="703"/>
      <c r="J206" s="704"/>
      <c r="K206" s="704"/>
      <c r="L206" s="704"/>
      <c r="M206" s="704"/>
      <c r="N206" s="704"/>
      <c r="O206" s="700"/>
    </row>
    <row r="207" spans="1:15" ht="15.75" customHeight="1" x14ac:dyDescent="0.3">
      <c r="A207" s="700"/>
      <c r="B207" s="700"/>
      <c r="C207" s="700"/>
      <c r="D207" s="701"/>
      <c r="E207" s="700"/>
      <c r="F207" s="328"/>
      <c r="G207" s="700"/>
      <c r="H207" s="700"/>
      <c r="I207" s="703"/>
      <c r="J207" s="704"/>
      <c r="K207" s="704"/>
      <c r="L207" s="704"/>
      <c r="M207" s="704"/>
      <c r="N207" s="704"/>
      <c r="O207" s="700"/>
    </row>
    <row r="208" spans="1:15" ht="15.75" customHeight="1" x14ac:dyDescent="0.3">
      <c r="A208" s="700"/>
      <c r="B208" s="700"/>
      <c r="C208" s="700"/>
      <c r="D208" s="701"/>
      <c r="E208" s="700"/>
      <c r="F208" s="328"/>
      <c r="G208" s="700"/>
      <c r="H208" s="700"/>
      <c r="I208" s="703"/>
      <c r="J208" s="704"/>
      <c r="K208" s="704"/>
      <c r="L208" s="704"/>
      <c r="M208" s="704"/>
      <c r="N208" s="704"/>
      <c r="O208" s="700"/>
    </row>
    <row r="209" spans="1:15" ht="15.75" customHeight="1" x14ac:dyDescent="0.3">
      <c r="A209" s="700"/>
      <c r="B209" s="700"/>
      <c r="C209" s="700"/>
      <c r="D209" s="701"/>
      <c r="E209" s="700"/>
      <c r="F209" s="328"/>
      <c r="G209" s="700"/>
      <c r="H209" s="700"/>
      <c r="I209" s="703"/>
      <c r="J209" s="704"/>
      <c r="K209" s="704"/>
      <c r="L209" s="704"/>
      <c r="M209" s="704"/>
      <c r="N209" s="704"/>
      <c r="O209" s="700"/>
    </row>
    <row r="210" spans="1:15" ht="15.75" customHeight="1" x14ac:dyDescent="0.3">
      <c r="A210" s="700"/>
      <c r="B210" s="700"/>
      <c r="C210" s="700"/>
      <c r="D210" s="701"/>
      <c r="E210" s="700"/>
      <c r="F210" s="328"/>
      <c r="G210" s="700"/>
      <c r="H210" s="700"/>
      <c r="I210" s="703"/>
      <c r="J210" s="704"/>
      <c r="K210" s="704"/>
      <c r="L210" s="704"/>
      <c r="M210" s="704"/>
      <c r="N210" s="704"/>
      <c r="O210" s="700"/>
    </row>
    <row r="211" spans="1:15" ht="15.75" customHeight="1" x14ac:dyDescent="0.3">
      <c r="A211" s="700"/>
      <c r="B211" s="700"/>
      <c r="C211" s="700"/>
      <c r="D211" s="701"/>
      <c r="E211" s="700"/>
      <c r="F211" s="328"/>
      <c r="G211" s="700"/>
      <c r="H211" s="700"/>
      <c r="I211" s="703"/>
      <c r="J211" s="704"/>
      <c r="K211" s="704"/>
      <c r="L211" s="704"/>
      <c r="M211" s="704"/>
      <c r="N211" s="704"/>
      <c r="O211" s="700"/>
    </row>
    <row r="212" spans="1:15" ht="15.75" customHeight="1" x14ac:dyDescent="0.3">
      <c r="A212" s="700"/>
      <c r="B212" s="700"/>
      <c r="C212" s="700"/>
      <c r="D212" s="701"/>
      <c r="E212" s="700"/>
      <c r="F212" s="328"/>
      <c r="G212" s="700"/>
      <c r="H212" s="700"/>
      <c r="I212" s="703"/>
      <c r="J212" s="704"/>
      <c r="K212" s="704"/>
      <c r="L212" s="704"/>
      <c r="M212" s="704"/>
      <c r="N212" s="704"/>
      <c r="O212" s="700"/>
    </row>
    <row r="213" spans="1:15" ht="15.75" customHeight="1" x14ac:dyDescent="0.3">
      <c r="A213" s="700"/>
      <c r="B213" s="700"/>
      <c r="C213" s="700"/>
      <c r="D213" s="701"/>
      <c r="E213" s="700"/>
      <c r="F213" s="328"/>
      <c r="G213" s="700"/>
      <c r="H213" s="700"/>
      <c r="I213" s="703"/>
      <c r="J213" s="704"/>
      <c r="K213" s="704"/>
      <c r="L213" s="704"/>
      <c r="M213" s="704"/>
      <c r="N213" s="704"/>
      <c r="O213" s="700"/>
    </row>
    <row r="214" spans="1:15" ht="15.75" customHeight="1" x14ac:dyDescent="0.3">
      <c r="A214" s="700"/>
      <c r="B214" s="700"/>
      <c r="C214" s="700"/>
      <c r="D214" s="701"/>
      <c r="E214" s="700"/>
      <c r="F214" s="328"/>
      <c r="G214" s="700"/>
      <c r="H214" s="700"/>
      <c r="I214" s="703"/>
      <c r="J214" s="704"/>
      <c r="K214" s="704"/>
      <c r="L214" s="704"/>
      <c r="M214" s="704"/>
      <c r="N214" s="704"/>
      <c r="O214" s="700"/>
    </row>
    <row r="215" spans="1:15" ht="15.75" customHeight="1" x14ac:dyDescent="0.3">
      <c r="A215" s="700"/>
      <c r="B215" s="700"/>
      <c r="C215" s="700"/>
      <c r="D215" s="701"/>
      <c r="E215" s="700"/>
      <c r="F215" s="328"/>
      <c r="G215" s="700"/>
      <c r="H215" s="700"/>
      <c r="I215" s="703"/>
      <c r="J215" s="704"/>
      <c r="K215" s="704"/>
      <c r="L215" s="704"/>
      <c r="M215" s="704"/>
      <c r="N215" s="704"/>
      <c r="O215" s="700"/>
    </row>
    <row r="216" spans="1:15" ht="15.75" customHeight="1" x14ac:dyDescent="0.3">
      <c r="A216" s="700"/>
      <c r="B216" s="700"/>
      <c r="C216" s="700"/>
      <c r="D216" s="701"/>
      <c r="E216" s="700"/>
      <c r="F216" s="328"/>
      <c r="G216" s="700"/>
      <c r="H216" s="700"/>
      <c r="I216" s="703"/>
      <c r="J216" s="704"/>
      <c r="K216" s="704"/>
      <c r="L216" s="704"/>
      <c r="M216" s="704"/>
      <c r="N216" s="704"/>
      <c r="O216" s="700"/>
    </row>
    <row r="217" spans="1:15" ht="15.75" customHeight="1" x14ac:dyDescent="0.3">
      <c r="A217" s="700"/>
      <c r="B217" s="700"/>
      <c r="C217" s="700"/>
      <c r="D217" s="701"/>
      <c r="E217" s="700"/>
      <c r="F217" s="328"/>
      <c r="G217" s="700"/>
      <c r="H217" s="700"/>
      <c r="I217" s="703"/>
      <c r="J217" s="704"/>
      <c r="K217" s="704"/>
      <c r="L217" s="704"/>
      <c r="M217" s="704"/>
      <c r="N217" s="704"/>
      <c r="O217" s="700"/>
    </row>
    <row r="218" spans="1:15" ht="15.75" customHeight="1" x14ac:dyDescent="0.3">
      <c r="A218" s="700"/>
      <c r="B218" s="700"/>
      <c r="C218" s="700"/>
      <c r="D218" s="701"/>
      <c r="E218" s="700"/>
      <c r="F218" s="328"/>
      <c r="G218" s="700"/>
      <c r="H218" s="700"/>
      <c r="I218" s="703"/>
      <c r="J218" s="704"/>
      <c r="K218" s="704"/>
      <c r="L218" s="704"/>
      <c r="M218" s="704"/>
      <c r="N218" s="704"/>
      <c r="O218" s="700"/>
    </row>
    <row r="219" spans="1:15" ht="15.75" customHeight="1" x14ac:dyDescent="0.3">
      <c r="A219" s="700"/>
      <c r="B219" s="700"/>
      <c r="C219" s="700"/>
      <c r="D219" s="701"/>
      <c r="E219" s="700"/>
      <c r="F219" s="328"/>
      <c r="G219" s="700"/>
      <c r="H219" s="700"/>
      <c r="I219" s="703"/>
      <c r="J219" s="704"/>
      <c r="K219" s="704"/>
      <c r="L219" s="704"/>
      <c r="M219" s="704"/>
      <c r="N219" s="704"/>
      <c r="O219" s="700"/>
    </row>
    <row r="220" spans="1:15" ht="15.75" customHeight="1" x14ac:dyDescent="0.3">
      <c r="A220" s="700"/>
      <c r="B220" s="700"/>
      <c r="C220" s="700"/>
      <c r="D220" s="701"/>
      <c r="E220" s="700"/>
      <c r="F220" s="328"/>
      <c r="G220" s="700"/>
      <c r="H220" s="700"/>
      <c r="I220" s="703"/>
      <c r="J220" s="704"/>
      <c r="K220" s="704"/>
      <c r="L220" s="704"/>
      <c r="M220" s="704"/>
      <c r="N220" s="704"/>
      <c r="O220" s="700"/>
    </row>
    <row r="221" spans="1:15" ht="15.75" customHeight="1" x14ac:dyDescent="0.3">
      <c r="A221" s="700"/>
      <c r="B221" s="700"/>
      <c r="C221" s="700"/>
      <c r="D221" s="701"/>
      <c r="E221" s="700"/>
      <c r="F221" s="328"/>
      <c r="G221" s="700"/>
      <c r="H221" s="700"/>
      <c r="I221" s="703"/>
      <c r="J221" s="704"/>
      <c r="K221" s="704"/>
      <c r="L221" s="704"/>
      <c r="M221" s="704"/>
      <c r="N221" s="704"/>
      <c r="O221" s="700"/>
    </row>
    <row r="222" spans="1:15" ht="15.75" customHeight="1" x14ac:dyDescent="0.3">
      <c r="A222" s="700"/>
      <c r="B222" s="700"/>
      <c r="C222" s="700"/>
      <c r="D222" s="701"/>
      <c r="E222" s="700"/>
      <c r="F222" s="328"/>
      <c r="G222" s="700"/>
      <c r="H222" s="700"/>
      <c r="I222" s="703"/>
      <c r="J222" s="704"/>
      <c r="K222" s="704"/>
      <c r="L222" s="704"/>
      <c r="M222" s="704"/>
      <c r="N222" s="704"/>
      <c r="O222" s="700"/>
    </row>
    <row r="223" spans="1:15" ht="15.75" customHeight="1" x14ac:dyDescent="0.3">
      <c r="A223" s="700"/>
      <c r="B223" s="700"/>
      <c r="C223" s="700"/>
      <c r="D223" s="701"/>
      <c r="E223" s="700"/>
      <c r="F223" s="328"/>
      <c r="G223" s="700"/>
      <c r="H223" s="700"/>
      <c r="I223" s="703"/>
      <c r="J223" s="704"/>
      <c r="K223" s="704"/>
      <c r="L223" s="704"/>
      <c r="M223" s="704"/>
      <c r="N223" s="704"/>
      <c r="O223" s="700"/>
    </row>
    <row r="224" spans="1:15" ht="15.75" customHeight="1" x14ac:dyDescent="0.3">
      <c r="A224" s="700"/>
      <c r="B224" s="700"/>
      <c r="C224" s="700"/>
      <c r="D224" s="701"/>
      <c r="E224" s="700"/>
      <c r="F224" s="328"/>
      <c r="G224" s="700"/>
      <c r="H224" s="700"/>
      <c r="I224" s="703"/>
      <c r="J224" s="704"/>
      <c r="K224" s="704"/>
      <c r="L224" s="704"/>
      <c r="M224" s="704"/>
      <c r="N224" s="704"/>
      <c r="O224" s="700"/>
    </row>
    <row r="225" spans="1:15" ht="15.75" customHeight="1" x14ac:dyDescent="0.3">
      <c r="A225" s="700"/>
      <c r="B225" s="700"/>
      <c r="C225" s="700"/>
      <c r="D225" s="701"/>
      <c r="E225" s="700"/>
      <c r="F225" s="328"/>
      <c r="G225" s="700"/>
      <c r="H225" s="700"/>
      <c r="I225" s="703"/>
      <c r="J225" s="704"/>
      <c r="K225" s="704"/>
      <c r="L225" s="704"/>
      <c r="M225" s="704"/>
      <c r="N225" s="704"/>
      <c r="O225" s="700"/>
    </row>
    <row r="226" spans="1:15" ht="15.75" customHeight="1" x14ac:dyDescent="0.3">
      <c r="A226" s="700"/>
      <c r="B226" s="700"/>
      <c r="C226" s="700"/>
      <c r="D226" s="701"/>
      <c r="E226" s="700"/>
      <c r="F226" s="328"/>
      <c r="G226" s="700"/>
      <c r="H226" s="700"/>
      <c r="I226" s="703"/>
      <c r="J226" s="704"/>
      <c r="K226" s="704"/>
      <c r="L226" s="704"/>
      <c r="M226" s="704"/>
      <c r="N226" s="704"/>
      <c r="O226" s="700"/>
    </row>
    <row r="227" spans="1:15" ht="15.75" customHeight="1" x14ac:dyDescent="0.3">
      <c r="A227" s="700"/>
      <c r="B227" s="700"/>
      <c r="C227" s="700"/>
      <c r="D227" s="701"/>
      <c r="E227" s="700"/>
      <c r="F227" s="328"/>
      <c r="G227" s="700"/>
      <c r="H227" s="700"/>
      <c r="I227" s="703"/>
      <c r="J227" s="704"/>
      <c r="K227" s="704"/>
      <c r="L227" s="704"/>
      <c r="M227" s="704"/>
      <c r="N227" s="704"/>
      <c r="O227" s="700"/>
    </row>
    <row r="228" spans="1:15" ht="15.75" customHeight="1" x14ac:dyDescent="0.3">
      <c r="A228" s="700"/>
      <c r="B228" s="700"/>
      <c r="C228" s="700"/>
      <c r="D228" s="701"/>
      <c r="E228" s="700"/>
      <c r="F228" s="328"/>
      <c r="G228" s="700"/>
      <c r="H228" s="700"/>
      <c r="I228" s="703"/>
      <c r="J228" s="704"/>
      <c r="K228" s="704"/>
      <c r="L228" s="704"/>
      <c r="M228" s="704"/>
      <c r="N228" s="704"/>
      <c r="O228" s="700"/>
    </row>
    <row r="229" spans="1:15" ht="15.75" customHeight="1" x14ac:dyDescent="0.3">
      <c r="A229" s="700"/>
      <c r="B229" s="700"/>
      <c r="C229" s="700"/>
      <c r="D229" s="701"/>
      <c r="E229" s="700"/>
      <c r="F229" s="328"/>
      <c r="G229" s="700"/>
      <c r="H229" s="700"/>
      <c r="I229" s="703"/>
      <c r="J229" s="704"/>
      <c r="K229" s="704"/>
      <c r="L229" s="704"/>
      <c r="M229" s="704"/>
      <c r="N229" s="704"/>
      <c r="O229" s="700"/>
    </row>
    <row r="230" spans="1:15" ht="15.75" customHeight="1" x14ac:dyDescent="0.3">
      <c r="A230" s="700"/>
      <c r="B230" s="700"/>
      <c r="C230" s="700"/>
      <c r="D230" s="701"/>
      <c r="E230" s="700"/>
      <c r="F230" s="328"/>
      <c r="G230" s="700"/>
      <c r="H230" s="700"/>
      <c r="I230" s="703"/>
      <c r="J230" s="704"/>
      <c r="K230" s="704"/>
      <c r="L230" s="704"/>
      <c r="M230" s="704"/>
      <c r="N230" s="704"/>
      <c r="O230" s="700"/>
    </row>
    <row r="231" spans="1:15" ht="15.75" customHeight="1" x14ac:dyDescent="0.3">
      <c r="A231" s="700"/>
      <c r="B231" s="700"/>
      <c r="C231" s="700"/>
      <c r="D231" s="701"/>
      <c r="E231" s="700"/>
      <c r="F231" s="328"/>
      <c r="G231" s="700"/>
      <c r="H231" s="700"/>
      <c r="I231" s="703"/>
      <c r="J231" s="704"/>
      <c r="K231" s="704"/>
      <c r="L231" s="704"/>
      <c r="M231" s="704"/>
      <c r="N231" s="704"/>
      <c r="O231" s="700"/>
    </row>
    <row r="232" spans="1:15" ht="15.75" customHeight="1" x14ac:dyDescent="0.3">
      <c r="A232" s="700"/>
      <c r="B232" s="700"/>
      <c r="C232" s="700"/>
      <c r="D232" s="701"/>
      <c r="E232" s="700"/>
      <c r="F232" s="328"/>
      <c r="G232" s="700"/>
      <c r="H232" s="700"/>
      <c r="I232" s="703"/>
      <c r="J232" s="704"/>
      <c r="K232" s="704"/>
      <c r="L232" s="704"/>
      <c r="M232" s="704"/>
      <c r="N232" s="704"/>
      <c r="O232" s="700"/>
    </row>
    <row r="233" spans="1:15" ht="15.75" customHeight="1" x14ac:dyDescent="0.3">
      <c r="A233" s="700"/>
      <c r="B233" s="700"/>
      <c r="C233" s="700"/>
      <c r="D233" s="701"/>
      <c r="E233" s="700"/>
      <c r="F233" s="328"/>
      <c r="G233" s="700"/>
      <c r="H233" s="700"/>
      <c r="I233" s="703"/>
      <c r="J233" s="704"/>
      <c r="K233" s="704"/>
      <c r="L233" s="704"/>
      <c r="M233" s="704"/>
      <c r="N233" s="704"/>
      <c r="O233" s="700"/>
    </row>
    <row r="234" spans="1:15" ht="15.75" customHeight="1" x14ac:dyDescent="0.3">
      <c r="A234" s="700"/>
      <c r="B234" s="700"/>
      <c r="C234" s="700"/>
      <c r="D234" s="701"/>
      <c r="E234" s="700"/>
      <c r="F234" s="328"/>
      <c r="G234" s="700"/>
      <c r="H234" s="700"/>
      <c r="I234" s="703"/>
      <c r="J234" s="704"/>
      <c r="K234" s="704"/>
      <c r="L234" s="704"/>
      <c r="M234" s="704"/>
      <c r="N234" s="704"/>
      <c r="O234" s="700"/>
    </row>
    <row r="235" spans="1:15" ht="15.75" customHeight="1" x14ac:dyDescent="0.3">
      <c r="A235" s="700"/>
      <c r="B235" s="700"/>
      <c r="C235" s="700"/>
      <c r="D235" s="701"/>
      <c r="E235" s="700"/>
      <c r="F235" s="328"/>
      <c r="G235" s="700"/>
      <c r="H235" s="700"/>
      <c r="I235" s="703"/>
      <c r="J235" s="704"/>
      <c r="K235" s="704"/>
      <c r="L235" s="704"/>
      <c r="M235" s="704"/>
      <c r="N235" s="704"/>
      <c r="O235" s="700"/>
    </row>
    <row r="236" spans="1:15" ht="15.75" customHeight="1" x14ac:dyDescent="0.3">
      <c r="A236" s="700"/>
      <c r="B236" s="700"/>
      <c r="C236" s="700"/>
      <c r="D236" s="701"/>
      <c r="E236" s="700"/>
      <c r="F236" s="328"/>
      <c r="G236" s="700"/>
      <c r="H236" s="700"/>
      <c r="I236" s="703"/>
      <c r="J236" s="704"/>
      <c r="K236" s="704"/>
      <c r="L236" s="704"/>
      <c r="M236" s="704"/>
      <c r="N236" s="704"/>
      <c r="O236" s="700"/>
    </row>
    <row r="237" spans="1:15" ht="15.75" customHeight="1" x14ac:dyDescent="0.3">
      <c r="A237" s="700"/>
      <c r="B237" s="700"/>
      <c r="C237" s="700"/>
      <c r="D237" s="701"/>
      <c r="E237" s="700"/>
      <c r="F237" s="328"/>
      <c r="G237" s="700"/>
      <c r="H237" s="700"/>
      <c r="I237" s="703"/>
      <c r="J237" s="704"/>
      <c r="K237" s="704"/>
      <c r="L237" s="704"/>
      <c r="M237" s="704"/>
      <c r="N237" s="704"/>
      <c r="O237" s="700"/>
    </row>
    <row r="238" spans="1:15" ht="15.75" customHeight="1" x14ac:dyDescent="0.3">
      <c r="A238" s="700"/>
      <c r="B238" s="700"/>
      <c r="C238" s="700"/>
      <c r="D238" s="701"/>
      <c r="E238" s="700"/>
      <c r="F238" s="328"/>
      <c r="G238" s="700"/>
      <c r="H238" s="700"/>
      <c r="I238" s="703"/>
      <c r="J238" s="704"/>
      <c r="K238" s="704"/>
      <c r="L238" s="704"/>
      <c r="M238" s="704"/>
      <c r="N238" s="704"/>
      <c r="O238" s="700"/>
    </row>
    <row r="239" spans="1:15" ht="15.75" customHeight="1" x14ac:dyDescent="0.3">
      <c r="A239" s="700"/>
      <c r="B239" s="700"/>
      <c r="C239" s="700"/>
      <c r="D239" s="701"/>
      <c r="E239" s="700"/>
      <c r="F239" s="328"/>
      <c r="G239" s="700"/>
      <c r="H239" s="700"/>
      <c r="I239" s="703"/>
      <c r="J239" s="704"/>
      <c r="K239" s="704"/>
      <c r="L239" s="704"/>
      <c r="M239" s="704"/>
      <c r="N239" s="704"/>
      <c r="O239" s="700"/>
    </row>
    <row r="240" spans="1:15" ht="15.75" customHeight="1" x14ac:dyDescent="0.3">
      <c r="A240" s="700"/>
      <c r="B240" s="700"/>
      <c r="C240" s="700"/>
      <c r="D240" s="701"/>
      <c r="E240" s="700"/>
      <c r="F240" s="328"/>
      <c r="G240" s="700"/>
      <c r="H240" s="700"/>
      <c r="I240" s="703"/>
      <c r="J240" s="704"/>
      <c r="K240" s="704"/>
      <c r="L240" s="704"/>
      <c r="M240" s="704"/>
      <c r="N240" s="704"/>
      <c r="O240" s="700"/>
    </row>
    <row r="241" spans="1:15" ht="15.75" customHeight="1" x14ac:dyDescent="0.3">
      <c r="A241" s="700"/>
      <c r="B241" s="700"/>
      <c r="C241" s="700"/>
      <c r="D241" s="701"/>
      <c r="E241" s="700"/>
      <c r="F241" s="328"/>
      <c r="G241" s="700"/>
      <c r="H241" s="700"/>
      <c r="I241" s="703"/>
      <c r="J241" s="704"/>
      <c r="K241" s="704"/>
      <c r="L241" s="704"/>
      <c r="M241" s="704"/>
      <c r="N241" s="704"/>
      <c r="O241" s="700"/>
    </row>
    <row r="242" spans="1:15" ht="15.75" customHeight="1" x14ac:dyDescent="0.3">
      <c r="A242" s="700"/>
      <c r="B242" s="700"/>
      <c r="C242" s="700"/>
      <c r="D242" s="701"/>
      <c r="E242" s="700"/>
      <c r="F242" s="328"/>
      <c r="G242" s="700"/>
      <c r="H242" s="700"/>
      <c r="I242" s="703"/>
      <c r="J242" s="704"/>
      <c r="K242" s="704"/>
      <c r="L242" s="704"/>
      <c r="M242" s="704"/>
      <c r="N242" s="704"/>
      <c r="O242" s="700"/>
    </row>
    <row r="243" spans="1:15" ht="15.75" customHeight="1" x14ac:dyDescent="0.3">
      <c r="A243" s="700"/>
      <c r="B243" s="700"/>
      <c r="C243" s="700"/>
      <c r="D243" s="701"/>
      <c r="E243" s="700"/>
      <c r="F243" s="328"/>
      <c r="G243" s="700"/>
      <c r="H243" s="700"/>
      <c r="I243" s="703"/>
      <c r="J243" s="704"/>
      <c r="K243" s="704"/>
      <c r="L243" s="704"/>
      <c r="M243" s="704"/>
      <c r="N243" s="704"/>
      <c r="O243" s="700"/>
    </row>
    <row r="244" spans="1:15" ht="15.75" customHeight="1" x14ac:dyDescent="0.3">
      <c r="A244" s="700"/>
      <c r="B244" s="700"/>
      <c r="C244" s="700"/>
      <c r="D244" s="701"/>
      <c r="E244" s="700"/>
      <c r="F244" s="328"/>
      <c r="G244" s="700"/>
      <c r="H244" s="700"/>
      <c r="I244" s="703"/>
      <c r="J244" s="704"/>
      <c r="K244" s="704"/>
      <c r="L244" s="704"/>
      <c r="M244" s="704"/>
      <c r="N244" s="704"/>
      <c r="O244" s="700"/>
    </row>
    <row r="245" spans="1:15" ht="15.75" customHeight="1" x14ac:dyDescent="0.3">
      <c r="A245" s="700"/>
      <c r="B245" s="700"/>
      <c r="C245" s="700"/>
      <c r="D245" s="701"/>
      <c r="E245" s="700"/>
      <c r="F245" s="328"/>
      <c r="G245" s="700"/>
      <c r="H245" s="700"/>
      <c r="I245" s="703"/>
      <c r="J245" s="704"/>
      <c r="K245" s="704"/>
      <c r="L245" s="704"/>
      <c r="M245" s="704"/>
      <c r="N245" s="704"/>
      <c r="O245" s="700"/>
    </row>
    <row r="246" spans="1:15" ht="15.75" customHeight="1" x14ac:dyDescent="0.3">
      <c r="A246" s="700"/>
      <c r="B246" s="700"/>
      <c r="C246" s="700"/>
      <c r="D246" s="701"/>
      <c r="E246" s="700"/>
      <c r="F246" s="328"/>
      <c r="G246" s="700"/>
      <c r="H246" s="700"/>
      <c r="I246" s="703"/>
      <c r="J246" s="704"/>
      <c r="K246" s="704"/>
      <c r="L246" s="704"/>
      <c r="M246" s="704"/>
      <c r="N246" s="704"/>
      <c r="O246" s="700"/>
    </row>
    <row r="247" spans="1:15" ht="15.75" customHeight="1" x14ac:dyDescent="0.3">
      <c r="A247" s="700"/>
      <c r="B247" s="700"/>
      <c r="C247" s="700"/>
      <c r="D247" s="701"/>
      <c r="E247" s="700"/>
      <c r="F247" s="328"/>
      <c r="G247" s="700"/>
      <c r="H247" s="700"/>
      <c r="I247" s="703"/>
      <c r="J247" s="704"/>
      <c r="K247" s="704"/>
      <c r="L247" s="704"/>
      <c r="M247" s="704"/>
      <c r="N247" s="704"/>
      <c r="O247" s="700"/>
    </row>
    <row r="248" spans="1:15" ht="15.75" customHeight="1" x14ac:dyDescent="0.3">
      <c r="A248" s="700"/>
      <c r="B248" s="700"/>
      <c r="C248" s="700"/>
      <c r="D248" s="701"/>
      <c r="E248" s="700"/>
      <c r="F248" s="328"/>
      <c r="G248" s="700"/>
      <c r="H248" s="700"/>
      <c r="I248" s="703"/>
      <c r="J248" s="704"/>
      <c r="K248" s="704"/>
      <c r="L248" s="704"/>
      <c r="M248" s="704"/>
      <c r="N248" s="704"/>
      <c r="O248" s="700"/>
    </row>
    <row r="249" spans="1:15" ht="15.75" customHeight="1" x14ac:dyDescent="0.3">
      <c r="A249" s="700"/>
      <c r="B249" s="700"/>
      <c r="C249" s="700"/>
      <c r="D249" s="701"/>
      <c r="E249" s="700"/>
      <c r="F249" s="328"/>
      <c r="G249" s="700"/>
      <c r="H249" s="700"/>
      <c r="I249" s="703"/>
      <c r="J249" s="704"/>
      <c r="K249" s="704"/>
      <c r="L249" s="704"/>
      <c r="M249" s="704"/>
      <c r="N249" s="704"/>
      <c r="O249" s="700"/>
    </row>
    <row r="250" spans="1:15" ht="15.75" customHeight="1" x14ac:dyDescent="0.3">
      <c r="A250" s="700"/>
      <c r="B250" s="700"/>
      <c r="C250" s="700"/>
      <c r="D250" s="701"/>
      <c r="E250" s="700"/>
      <c r="F250" s="328"/>
      <c r="G250" s="700"/>
      <c r="H250" s="700"/>
      <c r="I250" s="703"/>
      <c r="J250" s="704"/>
      <c r="K250" s="704"/>
      <c r="L250" s="704"/>
      <c r="M250" s="704"/>
      <c r="N250" s="704"/>
      <c r="O250" s="700"/>
    </row>
    <row r="251" spans="1:15" ht="15.75" customHeight="1" x14ac:dyDescent="0.3">
      <c r="A251" s="700"/>
      <c r="B251" s="700"/>
      <c r="C251" s="700"/>
      <c r="D251" s="701"/>
      <c r="E251" s="700"/>
      <c r="F251" s="328"/>
      <c r="G251" s="700"/>
      <c r="H251" s="700"/>
      <c r="I251" s="703"/>
      <c r="J251" s="704"/>
      <c r="K251" s="704"/>
      <c r="L251" s="704"/>
      <c r="M251" s="704"/>
      <c r="N251" s="704"/>
      <c r="O251" s="700"/>
    </row>
    <row r="252" spans="1:15" ht="15.75" customHeight="1" x14ac:dyDescent="0.3">
      <c r="A252" s="700"/>
      <c r="B252" s="700"/>
      <c r="C252" s="700"/>
      <c r="D252" s="701"/>
      <c r="E252" s="700"/>
      <c r="F252" s="328"/>
      <c r="G252" s="700"/>
      <c r="H252" s="700"/>
      <c r="I252" s="703"/>
      <c r="J252" s="704"/>
      <c r="K252" s="704"/>
      <c r="L252" s="704"/>
      <c r="M252" s="704"/>
      <c r="N252" s="704"/>
      <c r="O252" s="700"/>
    </row>
    <row r="253" spans="1:15" ht="15.75" customHeight="1" x14ac:dyDescent="0.3">
      <c r="A253" s="700"/>
      <c r="B253" s="700"/>
      <c r="C253" s="700"/>
      <c r="D253" s="701"/>
      <c r="E253" s="700"/>
      <c r="F253" s="328"/>
      <c r="G253" s="700"/>
      <c r="H253" s="700"/>
      <c r="I253" s="703"/>
      <c r="J253" s="704"/>
      <c r="K253" s="704"/>
      <c r="L253" s="704"/>
      <c r="M253" s="704"/>
      <c r="N253" s="704"/>
      <c r="O253" s="700"/>
    </row>
    <row r="254" spans="1:15" ht="15.75" customHeight="1" x14ac:dyDescent="0.3">
      <c r="A254" s="700"/>
      <c r="B254" s="700"/>
      <c r="C254" s="700"/>
      <c r="D254" s="701"/>
      <c r="E254" s="700"/>
      <c r="F254" s="328"/>
      <c r="G254" s="700"/>
      <c r="H254" s="700"/>
      <c r="I254" s="703"/>
      <c r="J254" s="704"/>
      <c r="K254" s="704"/>
      <c r="L254" s="704"/>
      <c r="M254" s="704"/>
      <c r="N254" s="704"/>
      <c r="O254" s="700"/>
    </row>
    <row r="255" spans="1:15" ht="15.75" customHeight="1" x14ac:dyDescent="0.3">
      <c r="A255" s="700"/>
      <c r="B255" s="700"/>
      <c r="C255" s="700"/>
      <c r="D255" s="701"/>
      <c r="E255" s="700"/>
      <c r="F255" s="328"/>
      <c r="G255" s="700"/>
      <c r="H255" s="700"/>
      <c r="I255" s="703"/>
      <c r="J255" s="704"/>
      <c r="K255" s="704"/>
      <c r="L255" s="704"/>
      <c r="M255" s="704"/>
      <c r="N255" s="704"/>
      <c r="O255" s="700"/>
    </row>
    <row r="256" spans="1:15" ht="15.75" customHeight="1" x14ac:dyDescent="0.3">
      <c r="A256" s="700"/>
      <c r="B256" s="700"/>
      <c r="C256" s="700"/>
      <c r="D256" s="701"/>
      <c r="E256" s="700"/>
      <c r="F256" s="328"/>
      <c r="G256" s="700"/>
      <c r="H256" s="700"/>
      <c r="I256" s="703"/>
      <c r="J256" s="704"/>
      <c r="K256" s="704"/>
      <c r="L256" s="704"/>
      <c r="M256" s="704"/>
      <c r="N256" s="704"/>
      <c r="O256" s="700"/>
    </row>
    <row r="257" spans="1:15" ht="15.75" customHeight="1" x14ac:dyDescent="0.3">
      <c r="A257" s="700"/>
      <c r="B257" s="700"/>
      <c r="C257" s="700"/>
      <c r="D257" s="701"/>
      <c r="E257" s="700"/>
      <c r="F257" s="328"/>
      <c r="G257" s="700"/>
      <c r="H257" s="700"/>
      <c r="I257" s="703"/>
      <c r="J257" s="704"/>
      <c r="K257" s="704"/>
      <c r="L257" s="704"/>
      <c r="M257" s="704"/>
      <c r="N257" s="704"/>
      <c r="O257" s="700"/>
    </row>
    <row r="258" spans="1:15" ht="15.75" customHeight="1" x14ac:dyDescent="0.3">
      <c r="A258" s="700"/>
      <c r="B258" s="700"/>
      <c r="C258" s="700"/>
      <c r="D258" s="701"/>
      <c r="E258" s="700"/>
      <c r="F258" s="328"/>
      <c r="G258" s="700"/>
      <c r="H258" s="700"/>
      <c r="I258" s="703"/>
      <c r="J258" s="704"/>
      <c r="K258" s="704"/>
      <c r="L258" s="704"/>
      <c r="M258" s="704"/>
      <c r="N258" s="704"/>
      <c r="O258" s="700"/>
    </row>
    <row r="259" spans="1:15" ht="15.75" customHeight="1" x14ac:dyDescent="0.3">
      <c r="A259" s="700"/>
      <c r="B259" s="700"/>
      <c r="C259" s="700"/>
      <c r="D259" s="701"/>
      <c r="E259" s="700"/>
      <c r="F259" s="328"/>
      <c r="G259" s="700"/>
      <c r="H259" s="700"/>
      <c r="I259" s="703"/>
      <c r="J259" s="704"/>
      <c r="K259" s="704"/>
      <c r="L259" s="704"/>
      <c r="M259" s="704"/>
      <c r="N259" s="704"/>
      <c r="O259" s="700"/>
    </row>
    <row r="260" spans="1:15" ht="15.75" customHeight="1" x14ac:dyDescent="0.3">
      <c r="A260" s="700"/>
      <c r="B260" s="700"/>
      <c r="C260" s="700"/>
      <c r="D260" s="701"/>
      <c r="E260" s="700"/>
      <c r="F260" s="328"/>
      <c r="G260" s="700"/>
      <c r="H260" s="700"/>
      <c r="I260" s="703"/>
      <c r="J260" s="704"/>
      <c r="K260" s="704"/>
      <c r="L260" s="704"/>
      <c r="M260" s="704"/>
      <c r="N260" s="704"/>
      <c r="O260" s="700"/>
    </row>
    <row r="261" spans="1:15" ht="15.75" customHeight="1" x14ac:dyDescent="0.3">
      <c r="A261" s="700"/>
      <c r="B261" s="700"/>
      <c r="C261" s="700"/>
      <c r="D261" s="701"/>
      <c r="E261" s="700"/>
      <c r="F261" s="328"/>
      <c r="G261" s="700"/>
      <c r="H261" s="700"/>
      <c r="I261" s="703"/>
      <c r="J261" s="704"/>
      <c r="K261" s="704"/>
      <c r="L261" s="704"/>
      <c r="M261" s="704"/>
      <c r="N261" s="704"/>
      <c r="O261" s="700"/>
    </row>
    <row r="262" spans="1:15" ht="15.75" customHeight="1" x14ac:dyDescent="0.3">
      <c r="A262" s="700"/>
      <c r="B262" s="700"/>
      <c r="C262" s="700"/>
      <c r="D262" s="701"/>
      <c r="E262" s="700"/>
      <c r="F262" s="328"/>
      <c r="G262" s="700"/>
      <c r="H262" s="700"/>
      <c r="I262" s="703"/>
      <c r="J262" s="704"/>
      <c r="K262" s="704"/>
      <c r="L262" s="704"/>
      <c r="M262" s="704"/>
      <c r="N262" s="704"/>
      <c r="O262" s="700"/>
    </row>
    <row r="263" spans="1:15" ht="15.75" customHeight="1" x14ac:dyDescent="0.3">
      <c r="A263" s="700"/>
      <c r="B263" s="700"/>
      <c r="C263" s="700"/>
      <c r="D263" s="701"/>
      <c r="E263" s="700"/>
      <c r="F263" s="328"/>
      <c r="G263" s="700"/>
      <c r="H263" s="700"/>
      <c r="I263" s="703"/>
      <c r="J263" s="704"/>
      <c r="K263" s="704"/>
      <c r="L263" s="704"/>
      <c r="M263" s="704"/>
      <c r="N263" s="704"/>
      <c r="O263" s="700"/>
    </row>
    <row r="264" spans="1:15" ht="15.75" customHeight="1" x14ac:dyDescent="0.3">
      <c r="A264" s="700"/>
      <c r="B264" s="700"/>
      <c r="C264" s="700"/>
      <c r="D264" s="701"/>
      <c r="E264" s="700"/>
      <c r="F264" s="328"/>
      <c r="G264" s="700"/>
      <c r="H264" s="700"/>
      <c r="I264" s="703"/>
      <c r="J264" s="704"/>
      <c r="K264" s="704"/>
      <c r="L264" s="704"/>
      <c r="M264" s="704"/>
      <c r="N264" s="704"/>
      <c r="O264" s="700"/>
    </row>
    <row r="265" spans="1:15" ht="15.75" customHeight="1" x14ac:dyDescent="0.3">
      <c r="A265" s="700"/>
      <c r="B265" s="700"/>
      <c r="C265" s="700"/>
      <c r="D265" s="701"/>
      <c r="E265" s="700"/>
      <c r="F265" s="328"/>
      <c r="G265" s="700"/>
      <c r="H265" s="700"/>
      <c r="I265" s="703"/>
      <c r="J265" s="704"/>
      <c r="K265" s="704"/>
      <c r="L265" s="704"/>
      <c r="M265" s="704"/>
      <c r="N265" s="704"/>
      <c r="O265" s="700"/>
    </row>
    <row r="266" spans="1:15" ht="15.75" customHeight="1" x14ac:dyDescent="0.3">
      <c r="A266" s="700"/>
      <c r="B266" s="700"/>
      <c r="C266" s="700"/>
      <c r="D266" s="701"/>
      <c r="E266" s="700"/>
      <c r="F266" s="328"/>
      <c r="G266" s="700"/>
      <c r="H266" s="700"/>
      <c r="I266" s="703"/>
      <c r="J266" s="704"/>
      <c r="K266" s="704"/>
      <c r="L266" s="704"/>
      <c r="M266" s="704"/>
      <c r="N266" s="704"/>
      <c r="O266" s="700"/>
    </row>
    <row r="267" spans="1:15" ht="15.75" customHeight="1" x14ac:dyDescent="0.3">
      <c r="A267" s="700"/>
      <c r="B267" s="700"/>
      <c r="C267" s="700"/>
      <c r="D267" s="701"/>
      <c r="E267" s="700"/>
      <c r="F267" s="328"/>
      <c r="G267" s="700"/>
      <c r="H267" s="700"/>
      <c r="I267" s="703"/>
      <c r="J267" s="704"/>
      <c r="K267" s="704"/>
      <c r="L267" s="704"/>
      <c r="M267" s="704"/>
      <c r="N267" s="704"/>
      <c r="O267" s="700"/>
    </row>
    <row r="268" spans="1:15" ht="15.75" customHeight="1" x14ac:dyDescent="0.3">
      <c r="A268" s="700"/>
      <c r="B268" s="700"/>
      <c r="C268" s="700"/>
      <c r="D268" s="701"/>
      <c r="E268" s="700"/>
      <c r="F268" s="328"/>
      <c r="G268" s="700"/>
      <c r="H268" s="700"/>
      <c r="I268" s="703"/>
      <c r="J268" s="704"/>
      <c r="K268" s="704"/>
      <c r="L268" s="704"/>
      <c r="M268" s="704"/>
      <c r="N268" s="704"/>
      <c r="O268" s="700"/>
    </row>
    <row r="269" spans="1:15" ht="15.75" customHeight="1" x14ac:dyDescent="0.3">
      <c r="A269" s="700"/>
      <c r="B269" s="700"/>
      <c r="C269" s="700"/>
      <c r="D269" s="701"/>
      <c r="E269" s="700"/>
      <c r="F269" s="328"/>
      <c r="G269" s="700"/>
      <c r="H269" s="700"/>
      <c r="I269" s="703"/>
      <c r="J269" s="704"/>
      <c r="K269" s="704"/>
      <c r="L269" s="704"/>
      <c r="M269" s="704"/>
      <c r="N269" s="704"/>
      <c r="O269" s="700"/>
    </row>
    <row r="270" spans="1:15" ht="15.75" customHeight="1" x14ac:dyDescent="0.3">
      <c r="A270" s="700"/>
      <c r="B270" s="700"/>
      <c r="C270" s="700"/>
      <c r="D270" s="701"/>
      <c r="E270" s="700"/>
      <c r="F270" s="328"/>
      <c r="G270" s="700"/>
      <c r="H270" s="700"/>
      <c r="I270" s="703"/>
      <c r="J270" s="704"/>
      <c r="K270" s="704"/>
      <c r="L270" s="704"/>
      <c r="M270" s="704"/>
      <c r="N270" s="704"/>
      <c r="O270" s="700"/>
    </row>
    <row r="271" spans="1:15" ht="15.75" customHeight="1" x14ac:dyDescent="0.3">
      <c r="A271" s="700"/>
      <c r="B271" s="700"/>
      <c r="C271" s="700"/>
      <c r="D271" s="701"/>
      <c r="E271" s="700"/>
      <c r="F271" s="328"/>
      <c r="G271" s="700"/>
      <c r="H271" s="700"/>
      <c r="I271" s="703"/>
      <c r="J271" s="704"/>
      <c r="K271" s="704"/>
      <c r="L271" s="704"/>
      <c r="M271" s="704"/>
      <c r="N271" s="704"/>
      <c r="O271" s="700"/>
    </row>
    <row r="272" spans="1:15" ht="15.75" customHeight="1" x14ac:dyDescent="0.3">
      <c r="A272" s="700"/>
      <c r="B272" s="700"/>
      <c r="C272" s="700"/>
      <c r="D272" s="701"/>
      <c r="E272" s="700"/>
      <c r="F272" s="328"/>
      <c r="G272" s="700"/>
      <c r="H272" s="700"/>
      <c r="I272" s="703"/>
      <c r="J272" s="704"/>
      <c r="K272" s="704"/>
      <c r="L272" s="704"/>
      <c r="M272" s="704"/>
      <c r="N272" s="704"/>
      <c r="O272" s="700"/>
    </row>
    <row r="273" spans="1:15" ht="15.75" customHeight="1" x14ac:dyDescent="0.3">
      <c r="A273" s="700"/>
      <c r="B273" s="700"/>
      <c r="C273" s="700"/>
      <c r="D273" s="701"/>
      <c r="E273" s="700"/>
      <c r="F273" s="328"/>
      <c r="G273" s="700"/>
      <c r="H273" s="700"/>
      <c r="I273" s="703"/>
      <c r="J273" s="704"/>
      <c r="K273" s="704"/>
      <c r="L273" s="704"/>
      <c r="M273" s="704"/>
      <c r="N273" s="704"/>
      <c r="O273" s="700"/>
    </row>
    <row r="274" spans="1:15" ht="15.75" customHeight="1" x14ac:dyDescent="0.3">
      <c r="A274" s="700"/>
      <c r="B274" s="700"/>
      <c r="C274" s="700"/>
      <c r="D274" s="701"/>
      <c r="E274" s="700"/>
      <c r="F274" s="328"/>
      <c r="G274" s="700"/>
      <c r="H274" s="700"/>
      <c r="I274" s="703"/>
      <c r="J274" s="704"/>
      <c r="K274" s="704"/>
      <c r="L274" s="704"/>
      <c r="M274" s="704"/>
      <c r="N274" s="704"/>
      <c r="O274" s="700"/>
    </row>
    <row r="275" spans="1:15" ht="15.75" customHeight="1" x14ac:dyDescent="0.3">
      <c r="A275" s="700"/>
      <c r="B275" s="700"/>
      <c r="C275" s="700"/>
      <c r="D275" s="701"/>
      <c r="E275" s="700"/>
      <c r="F275" s="328"/>
      <c r="G275" s="700"/>
      <c r="H275" s="700"/>
      <c r="I275" s="703"/>
      <c r="J275" s="704"/>
      <c r="K275" s="704"/>
      <c r="L275" s="704"/>
      <c r="M275" s="704"/>
      <c r="N275" s="704"/>
      <c r="O275" s="700"/>
    </row>
    <row r="276" spans="1:15" ht="15.75" customHeight="1" x14ac:dyDescent="0.3">
      <c r="A276" s="700"/>
      <c r="B276" s="700"/>
      <c r="C276" s="700"/>
      <c r="D276" s="701"/>
      <c r="E276" s="700"/>
      <c r="F276" s="328"/>
      <c r="G276" s="700"/>
      <c r="H276" s="700"/>
      <c r="I276" s="703"/>
      <c r="J276" s="704"/>
      <c r="K276" s="704"/>
      <c r="L276" s="704"/>
      <c r="M276" s="704"/>
      <c r="N276" s="704"/>
      <c r="O276" s="700"/>
    </row>
    <row r="277" spans="1:15" ht="15.75" customHeight="1" x14ac:dyDescent="0.3">
      <c r="A277" s="700"/>
      <c r="B277" s="700"/>
      <c r="C277" s="700"/>
      <c r="D277" s="701"/>
      <c r="E277" s="700"/>
      <c r="F277" s="328"/>
      <c r="G277" s="700"/>
      <c r="H277" s="700"/>
      <c r="I277" s="703"/>
      <c r="J277" s="704"/>
      <c r="K277" s="704"/>
      <c r="L277" s="704"/>
      <c r="M277" s="704"/>
      <c r="N277" s="704"/>
      <c r="O277" s="700"/>
    </row>
    <row r="278" spans="1:15" ht="15.75" customHeight="1" x14ac:dyDescent="0.3">
      <c r="A278" s="700"/>
      <c r="B278" s="700"/>
      <c r="C278" s="700"/>
      <c r="D278" s="701"/>
      <c r="E278" s="700"/>
      <c r="F278" s="328"/>
      <c r="G278" s="700"/>
      <c r="H278" s="700"/>
      <c r="I278" s="703"/>
      <c r="J278" s="704"/>
      <c r="K278" s="704"/>
      <c r="L278" s="704"/>
      <c r="M278" s="704"/>
      <c r="N278" s="704"/>
      <c r="O278" s="700"/>
    </row>
    <row r="279" spans="1:15" ht="15.75" customHeight="1" x14ac:dyDescent="0.3">
      <c r="A279" s="700"/>
      <c r="B279" s="700"/>
      <c r="C279" s="700"/>
      <c r="D279" s="701"/>
      <c r="E279" s="700"/>
      <c r="F279" s="328"/>
      <c r="G279" s="700"/>
      <c r="H279" s="700"/>
      <c r="I279" s="703"/>
      <c r="J279" s="704"/>
      <c r="K279" s="704"/>
      <c r="L279" s="704"/>
      <c r="M279" s="704"/>
      <c r="N279" s="704"/>
      <c r="O279" s="700"/>
    </row>
    <row r="280" spans="1:15" ht="15.75" customHeight="1" x14ac:dyDescent="0.3">
      <c r="A280" s="700"/>
      <c r="B280" s="700"/>
      <c r="C280" s="700"/>
      <c r="D280" s="701"/>
      <c r="E280" s="700"/>
      <c r="F280" s="328"/>
      <c r="G280" s="700"/>
      <c r="H280" s="700"/>
      <c r="I280" s="703"/>
      <c r="J280" s="704"/>
      <c r="K280" s="704"/>
      <c r="L280" s="704"/>
      <c r="M280" s="704"/>
      <c r="N280" s="704"/>
      <c r="O280" s="700"/>
    </row>
    <row r="281" spans="1:15" ht="15.75" customHeight="1" x14ac:dyDescent="0.3">
      <c r="A281" s="700"/>
      <c r="B281" s="700"/>
      <c r="C281" s="700"/>
      <c r="D281" s="701"/>
      <c r="E281" s="700"/>
      <c r="F281" s="328"/>
      <c r="G281" s="700"/>
      <c r="H281" s="700"/>
      <c r="I281" s="703"/>
      <c r="J281" s="704"/>
      <c r="K281" s="704"/>
      <c r="L281" s="704"/>
      <c r="M281" s="704"/>
      <c r="N281" s="704"/>
      <c r="O281" s="700"/>
    </row>
    <row r="282" spans="1:15" ht="15.75" customHeight="1" x14ac:dyDescent="0.3">
      <c r="A282" s="700"/>
      <c r="B282" s="700"/>
      <c r="C282" s="700"/>
      <c r="D282" s="701"/>
      <c r="E282" s="700"/>
      <c r="F282" s="328"/>
      <c r="G282" s="700"/>
      <c r="H282" s="700"/>
      <c r="I282" s="703"/>
      <c r="J282" s="704"/>
      <c r="K282" s="704"/>
      <c r="L282" s="704"/>
      <c r="M282" s="704"/>
      <c r="N282" s="704"/>
      <c r="O282" s="700"/>
    </row>
    <row r="283" spans="1:15" ht="15.75" customHeight="1" x14ac:dyDescent="0.3">
      <c r="A283" s="700"/>
      <c r="B283" s="700"/>
      <c r="C283" s="700"/>
      <c r="D283" s="701"/>
      <c r="E283" s="700"/>
      <c r="F283" s="328"/>
      <c r="G283" s="700"/>
      <c r="H283" s="700"/>
      <c r="I283" s="703"/>
      <c r="J283" s="704"/>
      <c r="K283" s="704"/>
      <c r="L283" s="704"/>
      <c r="M283" s="704"/>
      <c r="N283" s="704"/>
      <c r="O283" s="700"/>
    </row>
    <row r="284" spans="1:15" ht="15.75" customHeight="1" x14ac:dyDescent="0.3">
      <c r="A284" s="700"/>
      <c r="B284" s="700"/>
      <c r="C284" s="700"/>
      <c r="D284" s="701"/>
      <c r="E284" s="700"/>
      <c r="F284" s="328"/>
      <c r="G284" s="700"/>
      <c r="H284" s="700"/>
      <c r="I284" s="703"/>
      <c r="J284" s="704"/>
      <c r="K284" s="704"/>
      <c r="L284" s="704"/>
      <c r="M284" s="704"/>
      <c r="N284" s="704"/>
      <c r="O284" s="700"/>
    </row>
    <row r="285" spans="1:15" ht="15.75" customHeight="1" x14ac:dyDescent="0.3">
      <c r="A285" s="700"/>
      <c r="B285" s="700"/>
      <c r="C285" s="700"/>
      <c r="D285" s="701"/>
      <c r="E285" s="700"/>
      <c r="F285" s="328"/>
      <c r="G285" s="700"/>
      <c r="H285" s="700"/>
      <c r="I285" s="703"/>
      <c r="J285" s="704"/>
      <c r="K285" s="704"/>
      <c r="L285" s="704"/>
      <c r="M285" s="704"/>
      <c r="N285" s="704"/>
      <c r="O285" s="700"/>
    </row>
    <row r="286" spans="1:15" ht="15.75" customHeight="1" x14ac:dyDescent="0.3">
      <c r="A286" s="700"/>
      <c r="B286" s="700"/>
      <c r="C286" s="700"/>
      <c r="D286" s="701"/>
      <c r="E286" s="700"/>
      <c r="F286" s="328"/>
      <c r="G286" s="700"/>
      <c r="H286" s="700"/>
      <c r="I286" s="703"/>
      <c r="J286" s="704"/>
      <c r="K286" s="704"/>
      <c r="L286" s="704"/>
      <c r="M286" s="704"/>
      <c r="N286" s="704"/>
      <c r="O286" s="700"/>
    </row>
    <row r="287" spans="1:15" ht="15.75" customHeight="1" x14ac:dyDescent="0.3">
      <c r="A287" s="700"/>
      <c r="B287" s="700"/>
      <c r="C287" s="700"/>
      <c r="D287" s="701"/>
      <c r="E287" s="700"/>
      <c r="F287" s="328"/>
      <c r="G287" s="700"/>
      <c r="H287" s="700"/>
      <c r="I287" s="703"/>
      <c r="J287" s="704"/>
      <c r="K287" s="704"/>
      <c r="L287" s="704"/>
      <c r="M287" s="704"/>
      <c r="N287" s="704"/>
      <c r="O287" s="700"/>
    </row>
    <row r="288" spans="1:15" ht="15.75" customHeight="1" x14ac:dyDescent="0.3">
      <c r="A288" s="700"/>
      <c r="B288" s="700"/>
      <c r="C288" s="700"/>
      <c r="D288" s="701"/>
      <c r="E288" s="700"/>
      <c r="F288" s="328"/>
      <c r="G288" s="700"/>
      <c r="H288" s="700"/>
      <c r="I288" s="703"/>
      <c r="J288" s="704"/>
      <c r="K288" s="704"/>
      <c r="L288" s="704"/>
      <c r="M288" s="704"/>
      <c r="N288" s="704"/>
      <c r="O288" s="700"/>
    </row>
    <row r="289" spans="1:15" ht="15.75" customHeight="1" x14ac:dyDescent="0.3">
      <c r="A289" s="700"/>
      <c r="B289" s="700"/>
      <c r="C289" s="700"/>
      <c r="D289" s="701"/>
      <c r="E289" s="700"/>
      <c r="F289" s="328"/>
      <c r="G289" s="700"/>
      <c r="H289" s="700"/>
      <c r="I289" s="703"/>
      <c r="J289" s="704"/>
      <c r="K289" s="704"/>
      <c r="L289" s="704"/>
      <c r="M289" s="704"/>
      <c r="N289" s="704"/>
      <c r="O289" s="700"/>
    </row>
    <row r="290" spans="1:15" ht="15.75" customHeight="1" x14ac:dyDescent="0.3">
      <c r="A290" s="700"/>
      <c r="B290" s="700"/>
      <c r="C290" s="700"/>
      <c r="D290" s="701"/>
      <c r="E290" s="700"/>
      <c r="F290" s="328"/>
      <c r="G290" s="700"/>
      <c r="H290" s="700"/>
      <c r="I290" s="703"/>
      <c r="J290" s="704"/>
      <c r="K290" s="704"/>
      <c r="L290" s="704"/>
      <c r="M290" s="704"/>
      <c r="N290" s="704"/>
      <c r="O290" s="700"/>
    </row>
    <row r="291" spans="1:15" ht="15.75" customHeight="1" x14ac:dyDescent="0.3">
      <c r="A291" s="700"/>
      <c r="B291" s="700"/>
      <c r="C291" s="700"/>
      <c r="D291" s="701"/>
      <c r="E291" s="700"/>
      <c r="F291" s="328"/>
      <c r="G291" s="700"/>
      <c r="H291" s="700"/>
      <c r="I291" s="703"/>
      <c r="J291" s="704"/>
      <c r="K291" s="704"/>
      <c r="L291" s="704"/>
      <c r="M291" s="704"/>
      <c r="N291" s="704"/>
      <c r="O291" s="700"/>
    </row>
    <row r="292" spans="1:15" ht="15.75" customHeight="1" x14ac:dyDescent="0.3">
      <c r="A292" s="700"/>
      <c r="B292" s="700"/>
      <c r="C292" s="700"/>
      <c r="D292" s="701"/>
      <c r="E292" s="700"/>
      <c r="F292" s="328"/>
      <c r="G292" s="700"/>
      <c r="H292" s="700"/>
      <c r="I292" s="703"/>
      <c r="J292" s="704"/>
      <c r="K292" s="704"/>
      <c r="L292" s="704"/>
      <c r="M292" s="704"/>
      <c r="N292" s="704"/>
      <c r="O292" s="700"/>
    </row>
    <row r="293" spans="1:15" ht="15.75" customHeight="1" x14ac:dyDescent="0.3">
      <c r="A293" s="700"/>
      <c r="B293" s="700"/>
      <c r="C293" s="700"/>
      <c r="D293" s="701"/>
      <c r="E293" s="700"/>
      <c r="F293" s="328"/>
      <c r="G293" s="700"/>
      <c r="H293" s="700"/>
      <c r="I293" s="703"/>
      <c r="J293" s="704"/>
      <c r="K293" s="704"/>
      <c r="L293" s="704"/>
      <c r="M293" s="704"/>
      <c r="N293" s="704"/>
      <c r="O293" s="700"/>
    </row>
    <row r="294" spans="1:15" ht="15.75" customHeight="1" x14ac:dyDescent="0.3">
      <c r="A294" s="700"/>
      <c r="B294" s="700"/>
      <c r="C294" s="700"/>
      <c r="D294" s="701"/>
      <c r="E294" s="700"/>
      <c r="F294" s="328"/>
      <c r="G294" s="700"/>
      <c r="H294" s="700"/>
      <c r="I294" s="703"/>
      <c r="J294" s="704"/>
      <c r="K294" s="704"/>
      <c r="L294" s="704"/>
      <c r="M294" s="704"/>
      <c r="N294" s="704"/>
      <c r="O294" s="700"/>
    </row>
    <row r="295" spans="1:15" ht="15.75" customHeight="1" x14ac:dyDescent="0.3">
      <c r="A295" s="700"/>
      <c r="B295" s="700"/>
      <c r="C295" s="700"/>
      <c r="D295" s="701"/>
      <c r="E295" s="700"/>
      <c r="F295" s="328"/>
      <c r="G295" s="700"/>
      <c r="H295" s="700"/>
      <c r="I295" s="703"/>
      <c r="J295" s="704"/>
      <c r="K295" s="704"/>
      <c r="L295" s="704"/>
      <c r="M295" s="704"/>
      <c r="N295" s="704"/>
      <c r="O295" s="700"/>
    </row>
    <row r="296" spans="1:15" ht="15.75" customHeight="1" x14ac:dyDescent="0.3">
      <c r="A296" s="700"/>
      <c r="B296" s="700"/>
      <c r="C296" s="700"/>
      <c r="D296" s="701"/>
      <c r="E296" s="700"/>
      <c r="F296" s="328"/>
      <c r="G296" s="700"/>
      <c r="H296" s="700"/>
      <c r="I296" s="703"/>
      <c r="J296" s="704"/>
      <c r="K296" s="704"/>
      <c r="L296" s="704"/>
      <c r="M296" s="704"/>
      <c r="N296" s="704"/>
      <c r="O296" s="700"/>
    </row>
    <row r="297" spans="1:15" ht="15.75" customHeight="1" x14ac:dyDescent="0.25">
      <c r="A297" s="619"/>
      <c r="B297" s="619"/>
      <c r="C297" s="619"/>
      <c r="D297" s="708"/>
      <c r="E297" s="619"/>
      <c r="F297" s="329"/>
      <c r="G297" s="619"/>
      <c r="H297" s="619"/>
      <c r="I297" s="710"/>
      <c r="J297" s="710"/>
      <c r="K297" s="710"/>
      <c r="L297" s="710"/>
      <c r="M297" s="710"/>
      <c r="N297" s="710"/>
      <c r="O297" s="619"/>
    </row>
    <row r="298" spans="1:15" ht="15.75" customHeight="1" x14ac:dyDescent="0.25">
      <c r="A298" s="619"/>
      <c r="B298" s="619"/>
      <c r="C298" s="619"/>
      <c r="D298" s="708"/>
      <c r="E298" s="619"/>
      <c r="F298" s="329"/>
      <c r="G298" s="619"/>
      <c r="H298" s="619"/>
      <c r="I298" s="710"/>
      <c r="J298" s="710"/>
      <c r="K298" s="710"/>
      <c r="L298" s="710"/>
      <c r="M298" s="710"/>
      <c r="N298" s="710"/>
      <c r="O298" s="619"/>
    </row>
    <row r="299" spans="1:15" ht="15.75" customHeight="1" x14ac:dyDescent="0.25">
      <c r="A299" s="619"/>
      <c r="B299" s="619"/>
      <c r="C299" s="619"/>
      <c r="D299" s="708"/>
      <c r="E299" s="619"/>
      <c r="F299" s="329"/>
      <c r="G299" s="619"/>
      <c r="H299" s="619"/>
      <c r="I299" s="710"/>
      <c r="J299" s="710"/>
      <c r="K299" s="710"/>
      <c r="L299" s="710"/>
      <c r="M299" s="710"/>
      <c r="N299" s="710"/>
      <c r="O299" s="619"/>
    </row>
    <row r="300" spans="1:15" ht="15.75" customHeight="1" x14ac:dyDescent="0.25">
      <c r="A300" s="619"/>
      <c r="B300" s="619"/>
      <c r="C300" s="619"/>
      <c r="D300" s="708"/>
      <c r="E300" s="619"/>
      <c r="F300" s="329"/>
      <c r="G300" s="619"/>
      <c r="H300" s="619"/>
      <c r="I300" s="710"/>
      <c r="J300" s="710"/>
      <c r="K300" s="710"/>
      <c r="L300" s="710"/>
      <c r="M300" s="710"/>
      <c r="N300" s="710"/>
      <c r="O300" s="619"/>
    </row>
    <row r="301" spans="1:15" ht="15.75" customHeight="1" x14ac:dyDescent="0.25">
      <c r="A301" s="619"/>
      <c r="B301" s="619"/>
      <c r="C301" s="619"/>
      <c r="D301" s="708"/>
      <c r="E301" s="619"/>
      <c r="F301" s="329"/>
      <c r="G301" s="619"/>
      <c r="H301" s="619"/>
      <c r="I301" s="710"/>
      <c r="J301" s="710"/>
      <c r="K301" s="710"/>
      <c r="L301" s="710"/>
      <c r="M301" s="710"/>
      <c r="N301" s="710"/>
      <c r="O301" s="619"/>
    </row>
    <row r="302" spans="1:15" ht="15.75" customHeight="1" x14ac:dyDescent="0.25">
      <c r="A302" s="619"/>
      <c r="B302" s="619"/>
      <c r="C302" s="619"/>
      <c r="D302" s="708"/>
      <c r="E302" s="619"/>
      <c r="F302" s="329"/>
      <c r="G302" s="619"/>
      <c r="H302" s="619"/>
      <c r="I302" s="710"/>
      <c r="J302" s="710"/>
      <c r="K302" s="710"/>
      <c r="L302" s="710"/>
      <c r="M302" s="710"/>
      <c r="N302" s="710"/>
      <c r="O302" s="619"/>
    </row>
    <row r="303" spans="1:15" ht="15.75" customHeight="1" x14ac:dyDescent="0.25">
      <c r="A303" s="619"/>
      <c r="B303" s="619"/>
      <c r="C303" s="619"/>
      <c r="D303" s="708"/>
      <c r="E303" s="619"/>
      <c r="F303" s="329"/>
      <c r="G303" s="619"/>
      <c r="H303" s="619"/>
      <c r="I303" s="710"/>
      <c r="J303" s="710"/>
      <c r="K303" s="710"/>
      <c r="L303" s="710"/>
      <c r="M303" s="710"/>
      <c r="N303" s="710"/>
      <c r="O303" s="619"/>
    </row>
    <row r="304" spans="1:15" ht="15.75" customHeight="1" x14ac:dyDescent="0.25">
      <c r="A304" s="619"/>
      <c r="B304" s="619"/>
      <c r="C304" s="619"/>
      <c r="D304" s="708"/>
      <c r="E304" s="619"/>
      <c r="F304" s="329"/>
      <c r="G304" s="619"/>
      <c r="H304" s="619"/>
      <c r="I304" s="710"/>
      <c r="J304" s="710"/>
      <c r="K304" s="710"/>
      <c r="L304" s="710"/>
      <c r="M304" s="710"/>
      <c r="N304" s="710"/>
      <c r="O304" s="619"/>
    </row>
    <row r="305" spans="1:15" ht="15.75" customHeight="1" x14ac:dyDescent="0.25">
      <c r="A305" s="619"/>
      <c r="B305" s="619"/>
      <c r="C305" s="619"/>
      <c r="D305" s="708"/>
      <c r="E305" s="619"/>
      <c r="F305" s="329"/>
      <c r="G305" s="619"/>
      <c r="H305" s="619"/>
      <c r="I305" s="710"/>
      <c r="J305" s="710"/>
      <c r="K305" s="710"/>
      <c r="L305" s="710"/>
      <c r="M305" s="710"/>
      <c r="N305" s="710"/>
      <c r="O305" s="619"/>
    </row>
    <row r="306" spans="1:15" ht="15.75" customHeight="1" x14ac:dyDescent="0.25">
      <c r="A306" s="619"/>
      <c r="B306" s="619"/>
      <c r="C306" s="619"/>
      <c r="D306" s="708"/>
      <c r="E306" s="619"/>
      <c r="F306" s="329"/>
      <c r="G306" s="619"/>
      <c r="H306" s="619"/>
      <c r="I306" s="710"/>
      <c r="J306" s="710"/>
      <c r="K306" s="710"/>
      <c r="L306" s="710"/>
      <c r="M306" s="710"/>
      <c r="N306" s="710"/>
      <c r="O306" s="619"/>
    </row>
    <row r="307" spans="1:15" ht="15.75" customHeight="1" x14ac:dyDescent="0.25">
      <c r="A307" s="619"/>
      <c r="B307" s="619"/>
      <c r="C307" s="619"/>
      <c r="D307" s="708"/>
      <c r="E307" s="619"/>
      <c r="F307" s="329"/>
      <c r="G307" s="619"/>
      <c r="H307" s="619"/>
      <c r="I307" s="710"/>
      <c r="J307" s="710"/>
      <c r="K307" s="710"/>
      <c r="L307" s="710"/>
      <c r="M307" s="710"/>
      <c r="N307" s="710"/>
      <c r="O307" s="619"/>
    </row>
    <row r="308" spans="1:15" ht="15.75" customHeight="1" x14ac:dyDescent="0.25">
      <c r="A308" s="619"/>
      <c r="B308" s="619"/>
      <c r="C308" s="619"/>
      <c r="D308" s="708"/>
      <c r="E308" s="619"/>
      <c r="F308" s="329"/>
      <c r="G308" s="619"/>
      <c r="H308" s="619"/>
      <c r="I308" s="710"/>
      <c r="J308" s="710"/>
      <c r="K308" s="710"/>
      <c r="L308" s="710"/>
      <c r="M308" s="710"/>
      <c r="N308" s="710"/>
      <c r="O308" s="619"/>
    </row>
    <row r="309" spans="1:15" ht="15.75" customHeight="1" x14ac:dyDescent="0.25">
      <c r="A309" s="619"/>
      <c r="B309" s="619"/>
      <c r="C309" s="619"/>
      <c r="D309" s="708"/>
      <c r="E309" s="619"/>
      <c r="F309" s="329"/>
      <c r="G309" s="619"/>
      <c r="H309" s="619"/>
      <c r="I309" s="710"/>
      <c r="J309" s="710"/>
      <c r="K309" s="710"/>
      <c r="L309" s="710"/>
      <c r="M309" s="710"/>
      <c r="N309" s="710"/>
      <c r="O309" s="619"/>
    </row>
    <row r="310" spans="1:15" ht="15.75" customHeight="1" x14ac:dyDescent="0.25">
      <c r="A310" s="619"/>
      <c r="B310" s="619"/>
      <c r="C310" s="619"/>
      <c r="D310" s="708"/>
      <c r="E310" s="619"/>
      <c r="F310" s="329"/>
      <c r="G310" s="619"/>
      <c r="H310" s="619"/>
      <c r="I310" s="710"/>
      <c r="J310" s="710"/>
      <c r="K310" s="710"/>
      <c r="L310" s="710"/>
      <c r="M310" s="710"/>
      <c r="N310" s="710"/>
      <c r="O310" s="619"/>
    </row>
    <row r="311" spans="1:15" ht="15.75" customHeight="1" x14ac:dyDescent="0.25">
      <c r="A311" s="619"/>
      <c r="B311" s="619"/>
      <c r="C311" s="619"/>
      <c r="D311" s="708"/>
      <c r="E311" s="619"/>
      <c r="F311" s="329"/>
      <c r="G311" s="619"/>
      <c r="H311" s="619"/>
      <c r="I311" s="710"/>
      <c r="J311" s="710"/>
      <c r="K311" s="710"/>
      <c r="L311" s="710"/>
      <c r="M311" s="710"/>
      <c r="N311" s="710"/>
      <c r="O311" s="619"/>
    </row>
    <row r="312" spans="1:15" ht="15.75" customHeight="1" x14ac:dyDescent="0.25">
      <c r="A312" s="619"/>
      <c r="B312" s="619"/>
      <c r="C312" s="619"/>
      <c r="D312" s="708"/>
      <c r="E312" s="619"/>
      <c r="F312" s="329"/>
      <c r="G312" s="619"/>
      <c r="H312" s="619"/>
      <c r="I312" s="710"/>
      <c r="J312" s="710"/>
      <c r="K312" s="710"/>
      <c r="L312" s="710"/>
      <c r="M312" s="710"/>
      <c r="N312" s="710"/>
      <c r="O312" s="619"/>
    </row>
    <row r="313" spans="1:15" ht="15.75" customHeight="1" x14ac:dyDescent="0.25">
      <c r="A313" s="619"/>
      <c r="B313" s="619"/>
      <c r="C313" s="619"/>
      <c r="D313" s="708"/>
      <c r="E313" s="619"/>
      <c r="F313" s="329"/>
      <c r="G313" s="619"/>
      <c r="H313" s="619"/>
      <c r="I313" s="710"/>
      <c r="J313" s="710"/>
      <c r="K313" s="710"/>
      <c r="L313" s="710"/>
      <c r="M313" s="710"/>
      <c r="N313" s="710"/>
      <c r="O313" s="619"/>
    </row>
    <row r="314" spans="1:15" ht="15.75" customHeight="1" x14ac:dyDescent="0.25">
      <c r="A314" s="619"/>
      <c r="B314" s="619"/>
      <c r="C314" s="619"/>
      <c r="D314" s="708"/>
      <c r="E314" s="619"/>
      <c r="F314" s="329"/>
      <c r="G314" s="619"/>
      <c r="H314" s="619"/>
      <c r="I314" s="710"/>
      <c r="J314" s="710"/>
      <c r="K314" s="710"/>
      <c r="L314" s="710"/>
      <c r="M314" s="710"/>
      <c r="N314" s="710"/>
      <c r="O314" s="619"/>
    </row>
    <row r="315" spans="1:15" ht="15.75" customHeight="1" x14ac:dyDescent="0.25">
      <c r="A315" s="619"/>
      <c r="B315" s="619"/>
      <c r="C315" s="619"/>
      <c r="D315" s="708"/>
      <c r="E315" s="619"/>
      <c r="F315" s="329"/>
      <c r="G315" s="619"/>
      <c r="H315" s="619"/>
      <c r="I315" s="710"/>
      <c r="J315" s="710"/>
      <c r="K315" s="710"/>
      <c r="L315" s="710"/>
      <c r="M315" s="710"/>
      <c r="N315" s="710"/>
      <c r="O315" s="619"/>
    </row>
    <row r="316" spans="1:15" ht="15.75" customHeight="1" x14ac:dyDescent="0.25">
      <c r="A316" s="619"/>
      <c r="B316" s="619"/>
      <c r="C316" s="619"/>
      <c r="D316" s="708"/>
      <c r="E316" s="619"/>
      <c r="F316" s="329"/>
      <c r="G316" s="619"/>
      <c r="H316" s="619"/>
      <c r="I316" s="710"/>
      <c r="J316" s="710"/>
      <c r="K316" s="710"/>
      <c r="L316" s="710"/>
      <c r="M316" s="710"/>
      <c r="N316" s="710"/>
      <c r="O316" s="619"/>
    </row>
    <row r="317" spans="1:15" ht="15.75" customHeight="1" x14ac:dyDescent="0.25">
      <c r="A317" s="619"/>
      <c r="B317" s="619"/>
      <c r="C317" s="619"/>
      <c r="D317" s="708"/>
      <c r="E317" s="619"/>
      <c r="F317" s="329"/>
      <c r="G317" s="619"/>
      <c r="H317" s="619"/>
      <c r="I317" s="710"/>
      <c r="J317" s="710"/>
      <c r="K317" s="710"/>
      <c r="L317" s="710"/>
      <c r="M317" s="710"/>
      <c r="N317" s="710"/>
      <c r="O317" s="619"/>
    </row>
    <row r="318" spans="1:15" ht="15.75" customHeight="1" x14ac:dyDescent="0.25">
      <c r="A318" s="619"/>
      <c r="B318" s="619"/>
      <c r="C318" s="619"/>
      <c r="D318" s="708"/>
      <c r="E318" s="619"/>
      <c r="F318" s="329"/>
      <c r="G318" s="619"/>
      <c r="H318" s="619"/>
      <c r="I318" s="710"/>
      <c r="J318" s="710"/>
      <c r="K318" s="710"/>
      <c r="L318" s="710"/>
      <c r="M318" s="710"/>
      <c r="N318" s="710"/>
      <c r="O318" s="619"/>
    </row>
    <row r="319" spans="1:15" ht="15.75" customHeight="1" x14ac:dyDescent="0.25">
      <c r="A319" s="619"/>
      <c r="B319" s="619"/>
      <c r="C319" s="619"/>
      <c r="D319" s="708"/>
      <c r="E319" s="619"/>
      <c r="F319" s="329"/>
      <c r="G319" s="619"/>
      <c r="H319" s="619"/>
      <c r="I319" s="710"/>
      <c r="J319" s="710"/>
      <c r="K319" s="710"/>
      <c r="L319" s="710"/>
      <c r="M319" s="710"/>
      <c r="N319" s="710"/>
      <c r="O319" s="619"/>
    </row>
    <row r="320" spans="1:15" ht="15.75" customHeight="1" x14ac:dyDescent="0.25">
      <c r="A320" s="619"/>
      <c r="B320" s="619"/>
      <c r="C320" s="619"/>
      <c r="D320" s="708"/>
      <c r="E320" s="619"/>
      <c r="F320" s="329"/>
      <c r="G320" s="619"/>
      <c r="H320" s="619"/>
      <c r="I320" s="710"/>
      <c r="J320" s="710"/>
      <c r="K320" s="710"/>
      <c r="L320" s="710"/>
      <c r="M320" s="710"/>
      <c r="N320" s="710"/>
      <c r="O320" s="619"/>
    </row>
    <row r="321" spans="1:15" ht="15.75" customHeight="1" x14ac:dyDescent="0.25">
      <c r="A321" s="619"/>
      <c r="B321" s="619"/>
      <c r="C321" s="619"/>
      <c r="D321" s="708"/>
      <c r="E321" s="619"/>
      <c r="F321" s="329"/>
      <c r="G321" s="619"/>
      <c r="H321" s="619"/>
      <c r="I321" s="710"/>
      <c r="J321" s="710"/>
      <c r="K321" s="710"/>
      <c r="L321" s="710"/>
      <c r="M321" s="710"/>
      <c r="N321" s="710"/>
      <c r="O321" s="619"/>
    </row>
    <row r="322" spans="1:15" ht="15.75" customHeight="1" x14ac:dyDescent="0.25">
      <c r="A322" s="619"/>
      <c r="B322" s="619"/>
      <c r="C322" s="619"/>
      <c r="D322" s="708"/>
      <c r="E322" s="619"/>
      <c r="F322" s="329"/>
      <c r="G322" s="619"/>
      <c r="H322" s="619"/>
      <c r="I322" s="710"/>
      <c r="J322" s="710"/>
      <c r="K322" s="710"/>
      <c r="L322" s="710"/>
      <c r="M322" s="710"/>
      <c r="N322" s="710"/>
      <c r="O322" s="619"/>
    </row>
    <row r="323" spans="1:15" ht="15.75" customHeight="1" x14ac:dyDescent="0.25">
      <c r="A323" s="619"/>
      <c r="B323" s="619"/>
      <c r="C323" s="619"/>
      <c r="D323" s="708"/>
      <c r="E323" s="619"/>
      <c r="F323" s="329"/>
      <c r="G323" s="619"/>
      <c r="H323" s="619"/>
      <c r="I323" s="710"/>
      <c r="J323" s="710"/>
      <c r="K323" s="710"/>
      <c r="L323" s="710"/>
      <c r="M323" s="710"/>
      <c r="N323" s="710"/>
      <c r="O323" s="619"/>
    </row>
    <row r="324" spans="1:15" ht="15.75" customHeight="1" x14ac:dyDescent="0.25">
      <c r="A324" s="619"/>
      <c r="B324" s="619"/>
      <c r="C324" s="619"/>
      <c r="D324" s="708"/>
      <c r="E324" s="619"/>
      <c r="F324" s="329"/>
      <c r="G324" s="619"/>
      <c r="H324" s="619"/>
      <c r="I324" s="710"/>
      <c r="J324" s="710"/>
      <c r="K324" s="710"/>
      <c r="L324" s="710"/>
      <c r="M324" s="710"/>
      <c r="N324" s="710"/>
      <c r="O324" s="619"/>
    </row>
    <row r="325" spans="1:15" ht="15.75" customHeight="1" x14ac:dyDescent="0.25">
      <c r="A325" s="619"/>
      <c r="B325" s="619"/>
      <c r="C325" s="619"/>
      <c r="D325" s="708"/>
      <c r="E325" s="619"/>
      <c r="F325" s="329"/>
      <c r="G325" s="619"/>
      <c r="H325" s="619"/>
      <c r="I325" s="710"/>
      <c r="J325" s="710"/>
      <c r="K325" s="710"/>
      <c r="L325" s="710"/>
      <c r="M325" s="710"/>
      <c r="N325" s="710"/>
      <c r="O325" s="619"/>
    </row>
    <row r="326" spans="1:15" ht="15.75" customHeight="1" x14ac:dyDescent="0.25">
      <c r="A326" s="619"/>
      <c r="B326" s="619"/>
      <c r="C326" s="619"/>
      <c r="D326" s="708"/>
      <c r="E326" s="619"/>
      <c r="F326" s="329"/>
      <c r="G326" s="619"/>
      <c r="H326" s="619"/>
      <c r="I326" s="710"/>
      <c r="J326" s="710"/>
      <c r="K326" s="710"/>
      <c r="L326" s="710"/>
      <c r="M326" s="710"/>
      <c r="N326" s="710"/>
      <c r="O326" s="619"/>
    </row>
    <row r="327" spans="1:15" ht="15.75" customHeight="1" x14ac:dyDescent="0.25">
      <c r="A327" s="619"/>
      <c r="B327" s="619"/>
      <c r="C327" s="619"/>
      <c r="D327" s="708"/>
      <c r="E327" s="619"/>
      <c r="F327" s="329"/>
      <c r="G327" s="619"/>
      <c r="H327" s="619"/>
      <c r="I327" s="710"/>
      <c r="J327" s="710"/>
      <c r="K327" s="710"/>
      <c r="L327" s="710"/>
      <c r="M327" s="710"/>
      <c r="N327" s="710"/>
      <c r="O327" s="619"/>
    </row>
    <row r="328" spans="1:15" ht="15.75" customHeight="1" x14ac:dyDescent="0.25">
      <c r="A328" s="619"/>
      <c r="B328" s="619"/>
      <c r="C328" s="619"/>
      <c r="D328" s="708"/>
      <c r="E328" s="619"/>
      <c r="F328" s="329"/>
      <c r="G328" s="619"/>
      <c r="H328" s="619"/>
      <c r="I328" s="710"/>
      <c r="J328" s="710"/>
      <c r="K328" s="710"/>
      <c r="L328" s="710"/>
      <c r="M328" s="710"/>
      <c r="N328" s="710"/>
      <c r="O328" s="619"/>
    </row>
    <row r="329" spans="1:15" ht="15.75" customHeight="1" x14ac:dyDescent="0.25">
      <c r="A329" s="619"/>
      <c r="B329" s="619"/>
      <c r="C329" s="619"/>
      <c r="D329" s="708"/>
      <c r="E329" s="619"/>
      <c r="F329" s="329"/>
      <c r="G329" s="619"/>
      <c r="H329" s="619"/>
      <c r="I329" s="710"/>
      <c r="J329" s="710"/>
      <c r="K329" s="710"/>
      <c r="L329" s="710"/>
      <c r="M329" s="710"/>
      <c r="N329" s="710"/>
      <c r="O329" s="619"/>
    </row>
    <row r="330" spans="1:15" ht="15.75" customHeight="1" x14ac:dyDescent="0.25">
      <c r="A330" s="619"/>
      <c r="B330" s="619"/>
      <c r="C330" s="619"/>
      <c r="D330" s="708"/>
      <c r="E330" s="619"/>
      <c r="F330" s="329"/>
      <c r="G330" s="619"/>
      <c r="H330" s="619"/>
      <c r="I330" s="710"/>
      <c r="J330" s="710"/>
      <c r="K330" s="710"/>
      <c r="L330" s="710"/>
      <c r="M330" s="710"/>
      <c r="N330" s="710"/>
      <c r="O330" s="619"/>
    </row>
    <row r="331" spans="1:15" ht="15.75" customHeight="1" x14ac:dyDescent="0.25">
      <c r="A331" s="619"/>
      <c r="B331" s="619"/>
      <c r="C331" s="619"/>
      <c r="D331" s="708"/>
      <c r="E331" s="619"/>
      <c r="F331" s="329"/>
      <c r="G331" s="619"/>
      <c r="H331" s="619"/>
      <c r="I331" s="710"/>
      <c r="J331" s="710"/>
      <c r="K331" s="710"/>
      <c r="L331" s="710"/>
      <c r="M331" s="710"/>
      <c r="N331" s="710"/>
      <c r="O331" s="619"/>
    </row>
    <row r="332" spans="1:15" ht="15.75" customHeight="1" x14ac:dyDescent="0.25">
      <c r="A332" s="619"/>
      <c r="B332" s="619"/>
      <c r="C332" s="619"/>
      <c r="D332" s="708"/>
      <c r="E332" s="619"/>
      <c r="F332" s="329"/>
      <c r="G332" s="619"/>
      <c r="H332" s="619"/>
      <c r="I332" s="710"/>
      <c r="J332" s="710"/>
      <c r="K332" s="710"/>
      <c r="L332" s="710"/>
      <c r="M332" s="710"/>
      <c r="N332" s="710"/>
      <c r="O332" s="619"/>
    </row>
    <row r="333" spans="1:15" ht="15.75" customHeight="1" x14ac:dyDescent="0.25">
      <c r="A333" s="619"/>
      <c r="B333" s="619"/>
      <c r="C333" s="619"/>
      <c r="D333" s="708"/>
      <c r="E333" s="619"/>
      <c r="F333" s="329"/>
      <c r="G333" s="619"/>
      <c r="H333" s="619"/>
      <c r="I333" s="710"/>
      <c r="J333" s="710"/>
      <c r="K333" s="710"/>
      <c r="L333" s="710"/>
      <c r="M333" s="710"/>
      <c r="N333" s="710"/>
      <c r="O333" s="619"/>
    </row>
    <row r="334" spans="1:15" ht="15.75" customHeight="1" x14ac:dyDescent="0.25">
      <c r="A334" s="619"/>
      <c r="B334" s="619"/>
      <c r="C334" s="619"/>
      <c r="D334" s="708"/>
      <c r="E334" s="619"/>
      <c r="F334" s="329"/>
      <c r="G334" s="619"/>
      <c r="H334" s="619"/>
      <c r="I334" s="710"/>
      <c r="J334" s="710"/>
      <c r="K334" s="710"/>
      <c r="L334" s="710"/>
      <c r="M334" s="710"/>
      <c r="N334" s="710"/>
      <c r="O334" s="619"/>
    </row>
    <row r="335" spans="1:15" ht="15.75" customHeight="1" x14ac:dyDescent="0.25">
      <c r="A335" s="619"/>
      <c r="B335" s="619"/>
      <c r="C335" s="619"/>
      <c r="D335" s="708"/>
      <c r="E335" s="619"/>
      <c r="F335" s="329"/>
      <c r="G335" s="619"/>
      <c r="H335" s="619"/>
      <c r="I335" s="710"/>
      <c r="J335" s="710"/>
      <c r="K335" s="710"/>
      <c r="L335" s="710"/>
      <c r="M335" s="710"/>
      <c r="N335" s="710"/>
      <c r="O335" s="619"/>
    </row>
    <row r="336" spans="1:15" ht="15.75" customHeight="1" x14ac:dyDescent="0.25">
      <c r="A336" s="619"/>
      <c r="B336" s="619"/>
      <c r="C336" s="619"/>
      <c r="D336" s="708"/>
      <c r="E336" s="619"/>
      <c r="F336" s="329"/>
      <c r="G336" s="619"/>
      <c r="H336" s="619"/>
      <c r="I336" s="710"/>
      <c r="J336" s="710"/>
      <c r="K336" s="710"/>
      <c r="L336" s="710"/>
      <c r="M336" s="710"/>
      <c r="N336" s="710"/>
      <c r="O336" s="619"/>
    </row>
    <row r="337" spans="1:15" ht="15.75" customHeight="1" x14ac:dyDescent="0.25">
      <c r="A337" s="619"/>
      <c r="B337" s="619"/>
      <c r="C337" s="619"/>
      <c r="D337" s="708"/>
      <c r="E337" s="619"/>
      <c r="F337" s="329"/>
      <c r="G337" s="619"/>
      <c r="H337" s="619"/>
      <c r="I337" s="710"/>
      <c r="J337" s="710"/>
      <c r="K337" s="710"/>
      <c r="L337" s="710"/>
      <c r="M337" s="710"/>
      <c r="N337" s="710"/>
      <c r="O337" s="619"/>
    </row>
    <row r="338" spans="1:15" ht="15.75" customHeight="1" x14ac:dyDescent="0.25">
      <c r="A338" s="619"/>
      <c r="B338" s="619"/>
      <c r="C338" s="619"/>
      <c r="D338" s="708"/>
      <c r="E338" s="619"/>
      <c r="F338" s="329"/>
      <c r="G338" s="619"/>
      <c r="H338" s="619"/>
      <c r="I338" s="710"/>
      <c r="J338" s="710"/>
      <c r="K338" s="710"/>
      <c r="L338" s="710"/>
      <c r="M338" s="710"/>
      <c r="N338" s="710"/>
      <c r="O338" s="619"/>
    </row>
    <row r="339" spans="1:15" ht="15.75" customHeight="1" x14ac:dyDescent="0.25">
      <c r="A339" s="619"/>
      <c r="B339" s="619"/>
      <c r="C339" s="619"/>
      <c r="D339" s="708"/>
      <c r="E339" s="619"/>
      <c r="F339" s="329"/>
      <c r="G339" s="619"/>
      <c r="H339" s="619"/>
      <c r="I339" s="710"/>
      <c r="J339" s="710"/>
      <c r="K339" s="710"/>
      <c r="L339" s="710"/>
      <c r="M339" s="710"/>
      <c r="N339" s="710"/>
      <c r="O339" s="619"/>
    </row>
    <row r="340" spans="1:15" ht="15.75" customHeight="1" x14ac:dyDescent="0.25">
      <c r="A340" s="619"/>
      <c r="B340" s="619"/>
      <c r="C340" s="619"/>
      <c r="D340" s="708"/>
      <c r="E340" s="619"/>
      <c r="F340" s="329"/>
      <c r="G340" s="619"/>
      <c r="H340" s="619"/>
      <c r="I340" s="710"/>
      <c r="J340" s="710"/>
      <c r="K340" s="710"/>
      <c r="L340" s="710"/>
      <c r="M340" s="710"/>
      <c r="N340" s="710"/>
      <c r="O340" s="619"/>
    </row>
    <row r="341" spans="1:15" ht="15.75" customHeight="1" x14ac:dyDescent="0.25">
      <c r="A341" s="619"/>
      <c r="B341" s="619"/>
      <c r="C341" s="619"/>
      <c r="D341" s="708"/>
      <c r="E341" s="619"/>
      <c r="F341" s="329"/>
      <c r="G341" s="619"/>
      <c r="H341" s="619"/>
      <c r="I341" s="710"/>
      <c r="J341" s="710"/>
      <c r="K341" s="710"/>
      <c r="L341" s="710"/>
      <c r="M341" s="710"/>
      <c r="N341" s="710"/>
      <c r="O341" s="619"/>
    </row>
    <row r="342" spans="1:15" ht="15.75" customHeight="1" x14ac:dyDescent="0.25">
      <c r="A342" s="619"/>
      <c r="B342" s="619"/>
      <c r="C342" s="619"/>
      <c r="D342" s="708"/>
      <c r="E342" s="619"/>
      <c r="F342" s="329"/>
      <c r="G342" s="619"/>
      <c r="H342" s="619"/>
      <c r="I342" s="710"/>
      <c r="J342" s="710"/>
      <c r="K342" s="710"/>
      <c r="L342" s="710"/>
      <c r="M342" s="710"/>
      <c r="N342" s="710"/>
      <c r="O342" s="619"/>
    </row>
    <row r="343" spans="1:15" ht="15.75" customHeight="1" x14ac:dyDescent="0.25">
      <c r="A343" s="619"/>
      <c r="B343" s="619"/>
      <c r="C343" s="619"/>
      <c r="D343" s="708"/>
      <c r="E343" s="619"/>
      <c r="F343" s="329"/>
      <c r="G343" s="619"/>
      <c r="H343" s="619"/>
      <c r="I343" s="710"/>
      <c r="J343" s="710"/>
      <c r="K343" s="710"/>
      <c r="L343" s="710"/>
      <c r="M343" s="710"/>
      <c r="N343" s="710"/>
      <c r="O343" s="619"/>
    </row>
    <row r="344" spans="1:15" ht="15.75" customHeight="1" x14ac:dyDescent="0.25">
      <c r="A344" s="619"/>
      <c r="B344" s="619"/>
      <c r="C344" s="619"/>
      <c r="D344" s="708"/>
      <c r="E344" s="619"/>
      <c r="F344" s="329"/>
      <c r="G344" s="619"/>
      <c r="H344" s="619"/>
      <c r="I344" s="710"/>
      <c r="J344" s="710"/>
      <c r="K344" s="710"/>
      <c r="L344" s="710"/>
      <c r="M344" s="710"/>
      <c r="N344" s="710"/>
      <c r="O344" s="619"/>
    </row>
    <row r="345" spans="1:15" ht="15.75" customHeight="1" x14ac:dyDescent="0.25">
      <c r="A345" s="619"/>
      <c r="B345" s="619"/>
      <c r="C345" s="619"/>
      <c r="D345" s="708"/>
      <c r="E345" s="619"/>
      <c r="F345" s="329"/>
      <c r="G345" s="619"/>
      <c r="H345" s="619"/>
      <c r="I345" s="710"/>
      <c r="J345" s="710"/>
      <c r="K345" s="710"/>
      <c r="L345" s="710"/>
      <c r="M345" s="710"/>
      <c r="N345" s="710"/>
      <c r="O345" s="619"/>
    </row>
    <row r="346" spans="1:15" ht="15.75" customHeight="1" x14ac:dyDescent="0.25">
      <c r="A346" s="619"/>
      <c r="B346" s="619"/>
      <c r="C346" s="619"/>
      <c r="D346" s="708"/>
      <c r="E346" s="619"/>
      <c r="F346" s="329"/>
      <c r="G346" s="619"/>
      <c r="H346" s="619"/>
      <c r="I346" s="710"/>
      <c r="J346" s="710"/>
      <c r="K346" s="710"/>
      <c r="L346" s="710"/>
      <c r="M346" s="710"/>
      <c r="N346" s="710"/>
      <c r="O346" s="619"/>
    </row>
    <row r="347" spans="1:15" ht="15.75" customHeight="1" x14ac:dyDescent="0.25">
      <c r="A347" s="619"/>
      <c r="B347" s="619"/>
      <c r="C347" s="619"/>
      <c r="D347" s="708"/>
      <c r="E347" s="619"/>
      <c r="F347" s="329"/>
      <c r="G347" s="619"/>
      <c r="H347" s="619"/>
      <c r="I347" s="710"/>
      <c r="J347" s="710"/>
      <c r="K347" s="710"/>
      <c r="L347" s="710"/>
      <c r="M347" s="710"/>
      <c r="N347" s="710"/>
      <c r="O347" s="619"/>
    </row>
    <row r="348" spans="1:15" ht="15.75" customHeight="1" x14ac:dyDescent="0.25">
      <c r="A348" s="619"/>
      <c r="B348" s="619"/>
      <c r="C348" s="619"/>
      <c r="D348" s="708"/>
      <c r="E348" s="619"/>
      <c r="F348" s="329"/>
      <c r="G348" s="619"/>
      <c r="H348" s="619"/>
      <c r="I348" s="710"/>
      <c r="J348" s="710"/>
      <c r="K348" s="710"/>
      <c r="L348" s="710"/>
      <c r="M348" s="710"/>
      <c r="N348" s="710"/>
      <c r="O348" s="619"/>
    </row>
    <row r="349" spans="1:15" ht="15.75" customHeight="1" x14ac:dyDescent="0.25">
      <c r="A349" s="619"/>
      <c r="B349" s="619"/>
      <c r="C349" s="619"/>
      <c r="D349" s="708"/>
      <c r="E349" s="619"/>
      <c r="F349" s="329"/>
      <c r="G349" s="619"/>
      <c r="H349" s="619"/>
      <c r="I349" s="710"/>
      <c r="J349" s="710"/>
      <c r="K349" s="710"/>
      <c r="L349" s="710"/>
      <c r="M349" s="710"/>
      <c r="N349" s="710"/>
      <c r="O349" s="619"/>
    </row>
    <row r="350" spans="1:15" ht="15.75" customHeight="1" x14ac:dyDescent="0.25">
      <c r="A350" s="619"/>
      <c r="B350" s="619"/>
      <c r="C350" s="619"/>
      <c r="D350" s="708"/>
      <c r="E350" s="619"/>
      <c r="F350" s="329"/>
      <c r="G350" s="619"/>
      <c r="H350" s="619"/>
      <c r="I350" s="710"/>
      <c r="J350" s="710"/>
      <c r="K350" s="710"/>
      <c r="L350" s="710"/>
      <c r="M350" s="710"/>
      <c r="N350" s="710"/>
      <c r="O350" s="619"/>
    </row>
    <row r="351" spans="1:15" ht="15.75" customHeight="1" x14ac:dyDescent="0.25">
      <c r="A351" s="619"/>
      <c r="B351" s="619"/>
      <c r="C351" s="619"/>
      <c r="D351" s="708"/>
      <c r="E351" s="619"/>
      <c r="F351" s="329"/>
      <c r="G351" s="619"/>
      <c r="H351" s="619"/>
      <c r="I351" s="710"/>
      <c r="J351" s="710"/>
      <c r="K351" s="710"/>
      <c r="L351" s="710"/>
      <c r="M351" s="710"/>
      <c r="N351" s="710"/>
      <c r="O351" s="619"/>
    </row>
    <row r="352" spans="1:15" ht="15.75" customHeight="1" x14ac:dyDescent="0.25">
      <c r="A352" s="619"/>
      <c r="B352" s="619"/>
      <c r="C352" s="619"/>
      <c r="D352" s="708"/>
      <c r="E352" s="619"/>
      <c r="F352" s="329"/>
      <c r="G352" s="619"/>
      <c r="H352" s="619"/>
      <c r="I352" s="710"/>
      <c r="J352" s="710"/>
      <c r="K352" s="710"/>
      <c r="L352" s="710"/>
      <c r="M352" s="710"/>
      <c r="N352" s="710"/>
      <c r="O352" s="619"/>
    </row>
    <row r="353" spans="1:15" ht="15.75" customHeight="1" x14ac:dyDescent="0.25">
      <c r="A353" s="619"/>
      <c r="B353" s="619"/>
      <c r="C353" s="619"/>
      <c r="D353" s="708"/>
      <c r="E353" s="619"/>
      <c r="F353" s="329"/>
      <c r="G353" s="619"/>
      <c r="H353" s="619"/>
      <c r="I353" s="710"/>
      <c r="J353" s="710"/>
      <c r="K353" s="710"/>
      <c r="L353" s="710"/>
      <c r="M353" s="710"/>
      <c r="N353" s="710"/>
      <c r="O353" s="619"/>
    </row>
    <row r="354" spans="1:15" ht="15.75" customHeight="1" x14ac:dyDescent="0.25">
      <c r="A354" s="619"/>
      <c r="B354" s="619"/>
      <c r="C354" s="619"/>
      <c r="D354" s="708"/>
      <c r="E354" s="619"/>
      <c r="F354" s="329"/>
      <c r="G354" s="619"/>
      <c r="H354" s="619"/>
      <c r="I354" s="710"/>
      <c r="J354" s="710"/>
      <c r="K354" s="710"/>
      <c r="L354" s="710"/>
      <c r="M354" s="710"/>
      <c r="N354" s="710"/>
      <c r="O354" s="619"/>
    </row>
    <row r="355" spans="1:15" ht="15.75" customHeight="1" x14ac:dyDescent="0.25">
      <c r="A355" s="619"/>
      <c r="B355" s="619"/>
      <c r="C355" s="619"/>
      <c r="D355" s="708"/>
      <c r="E355" s="619"/>
      <c r="F355" s="329"/>
      <c r="G355" s="619"/>
      <c r="H355" s="619"/>
      <c r="I355" s="710"/>
      <c r="J355" s="710"/>
      <c r="K355" s="710"/>
      <c r="L355" s="710"/>
      <c r="M355" s="710"/>
      <c r="N355" s="710"/>
      <c r="O355" s="619"/>
    </row>
    <row r="356" spans="1:15" ht="15.75" customHeight="1" x14ac:dyDescent="0.25">
      <c r="A356" s="619"/>
      <c r="B356" s="619"/>
      <c r="C356" s="619"/>
      <c r="D356" s="708"/>
      <c r="E356" s="619"/>
      <c r="F356" s="329"/>
      <c r="G356" s="619"/>
      <c r="H356" s="619"/>
      <c r="I356" s="710"/>
      <c r="J356" s="710"/>
      <c r="K356" s="710"/>
      <c r="L356" s="710"/>
      <c r="M356" s="710"/>
      <c r="N356" s="710"/>
      <c r="O356" s="619"/>
    </row>
    <row r="357" spans="1:15" ht="15.75" customHeight="1" x14ac:dyDescent="0.25">
      <c r="A357" s="619"/>
      <c r="B357" s="619"/>
      <c r="C357" s="619"/>
      <c r="D357" s="708"/>
      <c r="E357" s="619"/>
      <c r="F357" s="329"/>
      <c r="G357" s="619"/>
      <c r="H357" s="619"/>
      <c r="I357" s="710"/>
      <c r="J357" s="710"/>
      <c r="K357" s="710"/>
      <c r="L357" s="710"/>
      <c r="M357" s="710"/>
      <c r="N357" s="710"/>
      <c r="O357" s="619"/>
    </row>
    <row r="358" spans="1:15" ht="15.75" customHeight="1" x14ac:dyDescent="0.25">
      <c r="A358" s="619"/>
      <c r="B358" s="619"/>
      <c r="C358" s="619"/>
      <c r="D358" s="708"/>
      <c r="E358" s="619"/>
      <c r="F358" s="329"/>
      <c r="G358" s="619"/>
      <c r="H358" s="619"/>
      <c r="I358" s="710"/>
      <c r="J358" s="710"/>
      <c r="K358" s="710"/>
      <c r="L358" s="710"/>
      <c r="M358" s="710"/>
      <c r="N358" s="710"/>
      <c r="O358" s="619"/>
    </row>
    <row r="359" spans="1:15" ht="15.75" customHeight="1" x14ac:dyDescent="0.25">
      <c r="A359" s="619"/>
      <c r="B359" s="619"/>
      <c r="C359" s="619"/>
      <c r="D359" s="708"/>
      <c r="E359" s="619"/>
      <c r="F359" s="329"/>
      <c r="G359" s="619"/>
      <c r="H359" s="619"/>
      <c r="I359" s="710"/>
      <c r="J359" s="710"/>
      <c r="K359" s="710"/>
      <c r="L359" s="710"/>
      <c r="M359" s="710"/>
      <c r="N359" s="710"/>
      <c r="O359" s="619"/>
    </row>
    <row r="360" spans="1:15" ht="15.75" customHeight="1" x14ac:dyDescent="0.25">
      <c r="A360" s="619"/>
      <c r="B360" s="619"/>
      <c r="C360" s="619"/>
      <c r="D360" s="708"/>
      <c r="E360" s="619"/>
      <c r="F360" s="329"/>
      <c r="G360" s="619"/>
      <c r="H360" s="619"/>
      <c r="I360" s="710"/>
      <c r="J360" s="710"/>
      <c r="K360" s="710"/>
      <c r="L360" s="710"/>
      <c r="M360" s="710"/>
      <c r="N360" s="710"/>
      <c r="O360" s="619"/>
    </row>
    <row r="361" spans="1:15" ht="15.75" customHeight="1" x14ac:dyDescent="0.25">
      <c r="A361" s="619"/>
      <c r="B361" s="619"/>
      <c r="C361" s="619"/>
      <c r="D361" s="708"/>
      <c r="E361" s="619"/>
      <c r="F361" s="329"/>
      <c r="G361" s="619"/>
      <c r="H361" s="619"/>
      <c r="I361" s="710"/>
      <c r="J361" s="710"/>
      <c r="K361" s="710"/>
      <c r="L361" s="710"/>
      <c r="M361" s="710"/>
      <c r="N361" s="710"/>
      <c r="O361" s="619"/>
    </row>
    <row r="362" spans="1:15" ht="15.75" customHeight="1" x14ac:dyDescent="0.25">
      <c r="A362" s="619"/>
      <c r="B362" s="619"/>
      <c r="C362" s="619"/>
      <c r="D362" s="708"/>
      <c r="E362" s="619"/>
      <c r="F362" s="329"/>
      <c r="G362" s="619"/>
      <c r="H362" s="619"/>
      <c r="I362" s="710"/>
      <c r="J362" s="710"/>
      <c r="K362" s="710"/>
      <c r="L362" s="710"/>
      <c r="M362" s="710"/>
      <c r="N362" s="710"/>
      <c r="O362" s="619"/>
    </row>
    <row r="363" spans="1:15" ht="15.75" customHeight="1" x14ac:dyDescent="0.25">
      <c r="A363" s="619"/>
      <c r="B363" s="619"/>
      <c r="C363" s="619"/>
      <c r="D363" s="708"/>
      <c r="E363" s="619"/>
      <c r="F363" s="329"/>
      <c r="G363" s="619"/>
      <c r="H363" s="619"/>
      <c r="I363" s="710"/>
      <c r="J363" s="710"/>
      <c r="K363" s="710"/>
      <c r="L363" s="710"/>
      <c r="M363" s="710"/>
      <c r="N363" s="710"/>
      <c r="O363" s="619"/>
    </row>
    <row r="364" spans="1:15" ht="15.75" customHeight="1" x14ac:dyDescent="0.25">
      <c r="A364" s="619"/>
      <c r="B364" s="619"/>
      <c r="C364" s="619"/>
      <c r="D364" s="708"/>
      <c r="E364" s="619"/>
      <c r="F364" s="329"/>
      <c r="G364" s="619"/>
      <c r="H364" s="619"/>
      <c r="I364" s="710"/>
      <c r="J364" s="710"/>
      <c r="K364" s="710"/>
      <c r="L364" s="710"/>
      <c r="M364" s="710"/>
      <c r="N364" s="710"/>
      <c r="O364" s="619"/>
    </row>
    <row r="365" spans="1:15" ht="15.75" customHeight="1" x14ac:dyDescent="0.25">
      <c r="A365" s="619"/>
      <c r="B365" s="619"/>
      <c r="C365" s="619"/>
      <c r="D365" s="708"/>
      <c r="E365" s="619"/>
      <c r="F365" s="329"/>
      <c r="G365" s="619"/>
      <c r="H365" s="619"/>
      <c r="I365" s="710"/>
      <c r="J365" s="710"/>
      <c r="K365" s="710"/>
      <c r="L365" s="710"/>
      <c r="M365" s="710"/>
      <c r="N365" s="710"/>
      <c r="O365" s="619"/>
    </row>
    <row r="366" spans="1:15" ht="15.75" customHeight="1" x14ac:dyDescent="0.25">
      <c r="A366" s="619"/>
      <c r="B366" s="619"/>
      <c r="C366" s="619"/>
      <c r="D366" s="708"/>
      <c r="E366" s="619"/>
      <c r="F366" s="329"/>
      <c r="G366" s="619"/>
      <c r="H366" s="619"/>
      <c r="I366" s="710"/>
      <c r="J366" s="710"/>
      <c r="K366" s="710"/>
      <c r="L366" s="710"/>
      <c r="M366" s="710"/>
      <c r="N366" s="710"/>
      <c r="O366" s="619"/>
    </row>
    <row r="367" spans="1:15" ht="15.75" customHeight="1" x14ac:dyDescent="0.25">
      <c r="A367" s="619"/>
      <c r="B367" s="619"/>
      <c r="C367" s="619"/>
      <c r="D367" s="708"/>
      <c r="E367" s="619"/>
      <c r="F367" s="329"/>
      <c r="G367" s="619"/>
      <c r="H367" s="619"/>
      <c r="I367" s="710"/>
      <c r="J367" s="710"/>
      <c r="K367" s="710"/>
      <c r="L367" s="710"/>
      <c r="M367" s="710"/>
      <c r="N367" s="710"/>
      <c r="O367" s="619"/>
    </row>
    <row r="368" spans="1:15" ht="15.75" customHeight="1" x14ac:dyDescent="0.25">
      <c r="F368" s="330"/>
    </row>
    <row r="369" spans="6:6" ht="15.75" customHeight="1" x14ac:dyDescent="0.25">
      <c r="F369" s="330"/>
    </row>
    <row r="370" spans="6:6" ht="15.75" customHeight="1" x14ac:dyDescent="0.25">
      <c r="F370" s="330"/>
    </row>
    <row r="371" spans="6:6" ht="15.75" customHeight="1" x14ac:dyDescent="0.25">
      <c r="F371" s="330"/>
    </row>
    <row r="372" spans="6:6" ht="15.75" customHeight="1" x14ac:dyDescent="0.25">
      <c r="F372" s="330"/>
    </row>
    <row r="373" spans="6:6" ht="15.75" customHeight="1" x14ac:dyDescent="0.25">
      <c r="F373" s="330"/>
    </row>
    <row r="374" spans="6:6" ht="15.75" customHeight="1" x14ac:dyDescent="0.25">
      <c r="F374" s="330"/>
    </row>
    <row r="375" spans="6:6" ht="15.75" customHeight="1" x14ac:dyDescent="0.25">
      <c r="F375" s="330"/>
    </row>
    <row r="376" spans="6:6" ht="15.75" customHeight="1" x14ac:dyDescent="0.25">
      <c r="F376" s="330"/>
    </row>
    <row r="377" spans="6:6" ht="15.75" customHeight="1" x14ac:dyDescent="0.25">
      <c r="F377" s="330"/>
    </row>
    <row r="378" spans="6:6" ht="15.75" customHeight="1" x14ac:dyDescent="0.25">
      <c r="F378" s="330"/>
    </row>
    <row r="379" spans="6:6" ht="15.75" customHeight="1" x14ac:dyDescent="0.25">
      <c r="F379" s="330"/>
    </row>
    <row r="380" spans="6:6" ht="15.75" customHeight="1" x14ac:dyDescent="0.25">
      <c r="F380" s="330"/>
    </row>
    <row r="381" spans="6:6" ht="15.75" customHeight="1" x14ac:dyDescent="0.25">
      <c r="F381" s="330"/>
    </row>
    <row r="382" spans="6:6" ht="15.75" customHeight="1" x14ac:dyDescent="0.25">
      <c r="F382" s="330"/>
    </row>
    <row r="383" spans="6:6" ht="15.75" customHeight="1" x14ac:dyDescent="0.25">
      <c r="F383" s="330"/>
    </row>
    <row r="384" spans="6:6" ht="15.75" customHeight="1" x14ac:dyDescent="0.25">
      <c r="F384" s="330"/>
    </row>
    <row r="385" spans="6:6" ht="15.75" customHeight="1" x14ac:dyDescent="0.25">
      <c r="F385" s="330"/>
    </row>
    <row r="386" spans="6:6" ht="15.75" customHeight="1" x14ac:dyDescent="0.25">
      <c r="F386" s="330"/>
    </row>
    <row r="387" spans="6:6" ht="15.75" customHeight="1" x14ac:dyDescent="0.25">
      <c r="F387" s="330"/>
    </row>
    <row r="388" spans="6:6" ht="15.75" customHeight="1" x14ac:dyDescent="0.25">
      <c r="F388" s="330"/>
    </row>
    <row r="389" spans="6:6" ht="15.75" customHeight="1" x14ac:dyDescent="0.25">
      <c r="F389" s="330"/>
    </row>
    <row r="390" spans="6:6" ht="15.75" customHeight="1" x14ac:dyDescent="0.25">
      <c r="F390" s="330"/>
    </row>
    <row r="391" spans="6:6" ht="15.75" customHeight="1" x14ac:dyDescent="0.25">
      <c r="F391" s="330"/>
    </row>
    <row r="392" spans="6:6" ht="15.75" customHeight="1" x14ac:dyDescent="0.25">
      <c r="F392" s="330"/>
    </row>
    <row r="393" spans="6:6" ht="15.75" customHeight="1" x14ac:dyDescent="0.25">
      <c r="F393" s="330"/>
    </row>
    <row r="394" spans="6:6" ht="15.75" customHeight="1" x14ac:dyDescent="0.25">
      <c r="F394" s="330"/>
    </row>
    <row r="395" spans="6:6" ht="15.75" customHeight="1" x14ac:dyDescent="0.25">
      <c r="F395" s="330"/>
    </row>
    <row r="396" spans="6:6" ht="15.75" customHeight="1" x14ac:dyDescent="0.25">
      <c r="F396" s="330"/>
    </row>
    <row r="397" spans="6:6" ht="15.75" customHeight="1" x14ac:dyDescent="0.25">
      <c r="F397" s="330"/>
    </row>
    <row r="398" spans="6:6" ht="15.75" customHeight="1" x14ac:dyDescent="0.25">
      <c r="F398" s="330"/>
    </row>
    <row r="399" spans="6:6" ht="15.75" customHeight="1" x14ac:dyDescent="0.25">
      <c r="F399" s="330"/>
    </row>
    <row r="400" spans="6:6" ht="15.75" customHeight="1" x14ac:dyDescent="0.25">
      <c r="F400" s="330"/>
    </row>
    <row r="401" spans="6:6" ht="15.75" customHeight="1" x14ac:dyDescent="0.25">
      <c r="F401" s="330"/>
    </row>
    <row r="402" spans="6:6" ht="15.75" customHeight="1" x14ac:dyDescent="0.25">
      <c r="F402" s="330"/>
    </row>
    <row r="403" spans="6:6" ht="15.75" customHeight="1" x14ac:dyDescent="0.25">
      <c r="F403" s="330"/>
    </row>
    <row r="404" spans="6:6" ht="15.75" customHeight="1" x14ac:dyDescent="0.25">
      <c r="F404" s="330"/>
    </row>
    <row r="405" spans="6:6" ht="15.75" customHeight="1" x14ac:dyDescent="0.25">
      <c r="F405" s="330"/>
    </row>
    <row r="406" spans="6:6" ht="15.75" customHeight="1" x14ac:dyDescent="0.25">
      <c r="F406" s="330"/>
    </row>
    <row r="407" spans="6:6" ht="15.75" customHeight="1" x14ac:dyDescent="0.25">
      <c r="F407" s="330"/>
    </row>
    <row r="408" spans="6:6" ht="15.75" customHeight="1" x14ac:dyDescent="0.25">
      <c r="F408" s="330"/>
    </row>
    <row r="409" spans="6:6" ht="15.75" customHeight="1" x14ac:dyDescent="0.25">
      <c r="F409" s="330"/>
    </row>
    <row r="410" spans="6:6" ht="15.75" customHeight="1" x14ac:dyDescent="0.25">
      <c r="F410" s="330"/>
    </row>
    <row r="411" spans="6:6" ht="15.75" customHeight="1" x14ac:dyDescent="0.25">
      <c r="F411" s="330"/>
    </row>
    <row r="412" spans="6:6" ht="15.75" customHeight="1" x14ac:dyDescent="0.25">
      <c r="F412" s="330"/>
    </row>
    <row r="413" spans="6:6" ht="15.75" customHeight="1" x14ac:dyDescent="0.25">
      <c r="F413" s="330"/>
    </row>
    <row r="414" spans="6:6" ht="15.75" customHeight="1" x14ac:dyDescent="0.25">
      <c r="F414" s="330"/>
    </row>
    <row r="415" spans="6:6" ht="15.75" customHeight="1" x14ac:dyDescent="0.25">
      <c r="F415" s="330"/>
    </row>
    <row r="416" spans="6:6" ht="15.75" customHeight="1" x14ac:dyDescent="0.25">
      <c r="F416" s="330"/>
    </row>
    <row r="417" spans="6:6" ht="15.75" customHeight="1" x14ac:dyDescent="0.25">
      <c r="F417" s="330"/>
    </row>
    <row r="418" spans="6:6" ht="15.75" customHeight="1" x14ac:dyDescent="0.25">
      <c r="F418" s="330"/>
    </row>
    <row r="419" spans="6:6" ht="15.75" customHeight="1" x14ac:dyDescent="0.25">
      <c r="F419" s="330"/>
    </row>
    <row r="420" spans="6:6" ht="15.75" customHeight="1" x14ac:dyDescent="0.25">
      <c r="F420" s="330"/>
    </row>
    <row r="421" spans="6:6" ht="15.75" customHeight="1" x14ac:dyDescent="0.25">
      <c r="F421" s="330"/>
    </row>
    <row r="422" spans="6:6" ht="15.75" customHeight="1" x14ac:dyDescent="0.25">
      <c r="F422" s="330"/>
    </row>
    <row r="423" spans="6:6" ht="15.75" customHeight="1" x14ac:dyDescent="0.25">
      <c r="F423" s="330"/>
    </row>
    <row r="424" spans="6:6" ht="15.75" customHeight="1" x14ac:dyDescent="0.25">
      <c r="F424" s="330"/>
    </row>
    <row r="425" spans="6:6" ht="15.75" customHeight="1" x14ac:dyDescent="0.25">
      <c r="F425" s="330"/>
    </row>
    <row r="426" spans="6:6" ht="15.75" customHeight="1" x14ac:dyDescent="0.25">
      <c r="F426" s="330"/>
    </row>
    <row r="427" spans="6:6" ht="15.75" customHeight="1" x14ac:dyDescent="0.25">
      <c r="F427" s="330"/>
    </row>
    <row r="428" spans="6:6" ht="15.75" customHeight="1" x14ac:dyDescent="0.25">
      <c r="F428" s="330"/>
    </row>
    <row r="429" spans="6:6" ht="15.75" customHeight="1" x14ac:dyDescent="0.25">
      <c r="F429" s="330"/>
    </row>
    <row r="430" spans="6:6" ht="15.75" customHeight="1" x14ac:dyDescent="0.25">
      <c r="F430" s="330"/>
    </row>
    <row r="431" spans="6:6" ht="15.75" customHeight="1" x14ac:dyDescent="0.25">
      <c r="F431" s="330"/>
    </row>
    <row r="432" spans="6:6" ht="15.75" customHeight="1" x14ac:dyDescent="0.25">
      <c r="F432" s="330"/>
    </row>
    <row r="433" spans="6:6" ht="15.75" customHeight="1" x14ac:dyDescent="0.25">
      <c r="F433" s="330"/>
    </row>
    <row r="434" spans="6:6" ht="15.75" customHeight="1" x14ac:dyDescent="0.25">
      <c r="F434" s="330"/>
    </row>
    <row r="435" spans="6:6" ht="15.75" customHeight="1" x14ac:dyDescent="0.25">
      <c r="F435" s="330"/>
    </row>
    <row r="436" spans="6:6" ht="15.75" customHeight="1" x14ac:dyDescent="0.25">
      <c r="F436" s="330"/>
    </row>
    <row r="437" spans="6:6" ht="15.75" customHeight="1" x14ac:dyDescent="0.25">
      <c r="F437" s="330"/>
    </row>
    <row r="438" spans="6:6" ht="15.75" customHeight="1" x14ac:dyDescent="0.25">
      <c r="F438" s="330"/>
    </row>
    <row r="439" spans="6:6" ht="15.75" customHeight="1" x14ac:dyDescent="0.25">
      <c r="F439" s="330"/>
    </row>
    <row r="440" spans="6:6" ht="15.75" customHeight="1" x14ac:dyDescent="0.25">
      <c r="F440" s="330"/>
    </row>
    <row r="441" spans="6:6" ht="15.75" customHeight="1" x14ac:dyDescent="0.25">
      <c r="F441" s="330"/>
    </row>
    <row r="442" spans="6:6" ht="15.75" customHeight="1" x14ac:dyDescent="0.25">
      <c r="F442" s="330"/>
    </row>
    <row r="443" spans="6:6" ht="15.75" customHeight="1" x14ac:dyDescent="0.25">
      <c r="F443" s="330"/>
    </row>
    <row r="444" spans="6:6" ht="15.75" customHeight="1" x14ac:dyDescent="0.25">
      <c r="F444" s="330"/>
    </row>
    <row r="445" spans="6:6" ht="15.75" customHeight="1" x14ac:dyDescent="0.25">
      <c r="F445" s="330"/>
    </row>
    <row r="446" spans="6:6" ht="15.75" customHeight="1" x14ac:dyDescent="0.25">
      <c r="F446" s="330"/>
    </row>
    <row r="447" spans="6:6" ht="15.75" customHeight="1" x14ac:dyDescent="0.25">
      <c r="F447" s="330"/>
    </row>
    <row r="448" spans="6:6" ht="15.75" customHeight="1" x14ac:dyDescent="0.25">
      <c r="F448" s="330"/>
    </row>
    <row r="449" spans="6:6" ht="15.75" customHeight="1" x14ac:dyDescent="0.25">
      <c r="F449" s="330"/>
    </row>
    <row r="450" spans="6:6" ht="15.75" customHeight="1" x14ac:dyDescent="0.25">
      <c r="F450" s="330"/>
    </row>
    <row r="451" spans="6:6" ht="15.75" customHeight="1" x14ac:dyDescent="0.25">
      <c r="F451" s="330"/>
    </row>
    <row r="452" spans="6:6" ht="15.75" customHeight="1" x14ac:dyDescent="0.25">
      <c r="F452" s="330"/>
    </row>
    <row r="453" spans="6:6" ht="15.75" customHeight="1" x14ac:dyDescent="0.25">
      <c r="F453" s="330"/>
    </row>
    <row r="454" spans="6:6" ht="15.75" customHeight="1" x14ac:dyDescent="0.25">
      <c r="F454" s="330"/>
    </row>
    <row r="455" spans="6:6" ht="15.75" customHeight="1" x14ac:dyDescent="0.25">
      <c r="F455" s="330"/>
    </row>
    <row r="456" spans="6:6" ht="15.75" customHeight="1" x14ac:dyDescent="0.25">
      <c r="F456" s="330"/>
    </row>
    <row r="457" spans="6:6" ht="15.75" customHeight="1" x14ac:dyDescent="0.25">
      <c r="F457" s="330"/>
    </row>
    <row r="458" spans="6:6" ht="15.75" customHeight="1" x14ac:dyDescent="0.25">
      <c r="F458" s="330"/>
    </row>
    <row r="459" spans="6:6" ht="15.75" customHeight="1" x14ac:dyDescent="0.25">
      <c r="F459" s="330"/>
    </row>
    <row r="460" spans="6:6" ht="15.75" customHeight="1" x14ac:dyDescent="0.25">
      <c r="F460" s="330"/>
    </row>
    <row r="461" spans="6:6" ht="15.75" customHeight="1" x14ac:dyDescent="0.25">
      <c r="F461" s="330"/>
    </row>
    <row r="462" spans="6:6" ht="15.75" customHeight="1" x14ac:dyDescent="0.25">
      <c r="F462" s="330"/>
    </row>
    <row r="463" spans="6:6" ht="15.75" customHeight="1" x14ac:dyDescent="0.25">
      <c r="F463" s="330"/>
    </row>
    <row r="464" spans="6:6" ht="15.75" customHeight="1" x14ac:dyDescent="0.25">
      <c r="F464" s="330"/>
    </row>
    <row r="465" spans="6:6" ht="15.75" customHeight="1" x14ac:dyDescent="0.25">
      <c r="F465" s="330"/>
    </row>
    <row r="466" spans="6:6" ht="15.75" customHeight="1" x14ac:dyDescent="0.25">
      <c r="F466" s="330"/>
    </row>
    <row r="467" spans="6:6" ht="15.75" customHeight="1" x14ac:dyDescent="0.25">
      <c r="F467" s="330"/>
    </row>
    <row r="468" spans="6:6" ht="15.75" customHeight="1" x14ac:dyDescent="0.25">
      <c r="F468" s="330"/>
    </row>
    <row r="469" spans="6:6" ht="15.75" customHeight="1" x14ac:dyDescent="0.25">
      <c r="F469" s="330"/>
    </row>
    <row r="470" spans="6:6" ht="15.75" customHeight="1" x14ac:dyDescent="0.25">
      <c r="F470" s="330"/>
    </row>
    <row r="471" spans="6:6" ht="15.75" customHeight="1" x14ac:dyDescent="0.25">
      <c r="F471" s="330"/>
    </row>
    <row r="472" spans="6:6" ht="15.75" customHeight="1" x14ac:dyDescent="0.25">
      <c r="F472" s="330"/>
    </row>
    <row r="473" spans="6:6" ht="15.75" customHeight="1" x14ac:dyDescent="0.25">
      <c r="F473" s="330"/>
    </row>
    <row r="474" spans="6:6" ht="15.75" customHeight="1" x14ac:dyDescent="0.25">
      <c r="F474" s="330"/>
    </row>
    <row r="475" spans="6:6" ht="15.75" customHeight="1" x14ac:dyDescent="0.25">
      <c r="F475" s="330"/>
    </row>
    <row r="476" spans="6:6" ht="15.75" customHeight="1" x14ac:dyDescent="0.25">
      <c r="F476" s="330"/>
    </row>
    <row r="477" spans="6:6" ht="15.75" customHeight="1" x14ac:dyDescent="0.25">
      <c r="F477" s="330"/>
    </row>
    <row r="478" spans="6:6" ht="15.75" customHeight="1" x14ac:dyDescent="0.25">
      <c r="F478" s="330"/>
    </row>
    <row r="479" spans="6:6" ht="15.75" customHeight="1" x14ac:dyDescent="0.25">
      <c r="F479" s="330"/>
    </row>
    <row r="480" spans="6:6" ht="15.75" customHeight="1" x14ac:dyDescent="0.25">
      <c r="F480" s="330"/>
    </row>
    <row r="481" spans="6:6" ht="15.75" customHeight="1" x14ac:dyDescent="0.25">
      <c r="F481" s="330"/>
    </row>
    <row r="482" spans="6:6" ht="15.75" customHeight="1" x14ac:dyDescent="0.25">
      <c r="F482" s="330"/>
    </row>
    <row r="483" spans="6:6" ht="15.75" customHeight="1" x14ac:dyDescent="0.25">
      <c r="F483" s="330"/>
    </row>
    <row r="484" spans="6:6" ht="15.75" customHeight="1" x14ac:dyDescent="0.25">
      <c r="F484" s="330"/>
    </row>
    <row r="485" spans="6:6" ht="15.75" customHeight="1" x14ac:dyDescent="0.25">
      <c r="F485" s="330"/>
    </row>
    <row r="486" spans="6:6" ht="15.75" customHeight="1" x14ac:dyDescent="0.25">
      <c r="F486" s="330"/>
    </row>
    <row r="487" spans="6:6" ht="15.75" customHeight="1" x14ac:dyDescent="0.25">
      <c r="F487" s="330"/>
    </row>
    <row r="488" spans="6:6" ht="15.75" customHeight="1" x14ac:dyDescent="0.25">
      <c r="F488" s="330"/>
    </row>
    <row r="489" spans="6:6" ht="15.75" customHeight="1" x14ac:dyDescent="0.25">
      <c r="F489" s="330"/>
    </row>
    <row r="490" spans="6:6" ht="15.75" customHeight="1" x14ac:dyDescent="0.25">
      <c r="F490" s="330"/>
    </row>
    <row r="491" spans="6:6" ht="15.75" customHeight="1" x14ac:dyDescent="0.25">
      <c r="F491" s="330"/>
    </row>
    <row r="492" spans="6:6" ht="15.75" customHeight="1" x14ac:dyDescent="0.25">
      <c r="F492" s="330"/>
    </row>
    <row r="493" spans="6:6" ht="15.75" customHeight="1" x14ac:dyDescent="0.25">
      <c r="F493" s="330"/>
    </row>
    <row r="494" spans="6:6" ht="15.75" customHeight="1" x14ac:dyDescent="0.25">
      <c r="F494" s="330"/>
    </row>
    <row r="495" spans="6:6" ht="15.75" customHeight="1" x14ac:dyDescent="0.25">
      <c r="F495" s="330"/>
    </row>
    <row r="496" spans="6:6" ht="15.75" customHeight="1" x14ac:dyDescent="0.25">
      <c r="F496" s="330"/>
    </row>
    <row r="497" spans="6:6" ht="15.75" customHeight="1" x14ac:dyDescent="0.25">
      <c r="F497" s="330"/>
    </row>
    <row r="498" spans="6:6" ht="15.75" customHeight="1" x14ac:dyDescent="0.25">
      <c r="F498" s="330"/>
    </row>
    <row r="499" spans="6:6" ht="15.75" customHeight="1" x14ac:dyDescent="0.25">
      <c r="F499" s="330"/>
    </row>
    <row r="500" spans="6:6" ht="15.75" customHeight="1" x14ac:dyDescent="0.25">
      <c r="F500" s="330"/>
    </row>
    <row r="501" spans="6:6" ht="15.75" customHeight="1" x14ac:dyDescent="0.25">
      <c r="F501" s="330"/>
    </row>
    <row r="502" spans="6:6" ht="15.75" customHeight="1" x14ac:dyDescent="0.25">
      <c r="F502" s="330"/>
    </row>
    <row r="503" spans="6:6" ht="15.75" customHeight="1" x14ac:dyDescent="0.25">
      <c r="F503" s="330"/>
    </row>
    <row r="504" spans="6:6" ht="15.75" customHeight="1" x14ac:dyDescent="0.25">
      <c r="F504" s="330"/>
    </row>
    <row r="505" spans="6:6" ht="15.75" customHeight="1" x14ac:dyDescent="0.25">
      <c r="F505" s="330"/>
    </row>
    <row r="506" spans="6:6" ht="15.75" customHeight="1" x14ac:dyDescent="0.25">
      <c r="F506" s="330"/>
    </row>
    <row r="507" spans="6:6" ht="15.75" customHeight="1" x14ac:dyDescent="0.25">
      <c r="F507" s="330"/>
    </row>
    <row r="508" spans="6:6" ht="15.75" customHeight="1" x14ac:dyDescent="0.25">
      <c r="F508" s="330"/>
    </row>
    <row r="509" spans="6:6" ht="15.75" customHeight="1" x14ac:dyDescent="0.25">
      <c r="F509" s="330"/>
    </row>
    <row r="510" spans="6:6" ht="15.75" customHeight="1" x14ac:dyDescent="0.25">
      <c r="F510" s="330"/>
    </row>
    <row r="511" spans="6:6" ht="15.75" customHeight="1" x14ac:dyDescent="0.25">
      <c r="F511" s="330"/>
    </row>
    <row r="512" spans="6:6" ht="15.75" customHeight="1" x14ac:dyDescent="0.25">
      <c r="F512" s="330"/>
    </row>
    <row r="513" spans="6:6" ht="15.75" customHeight="1" x14ac:dyDescent="0.25">
      <c r="F513" s="330"/>
    </row>
    <row r="514" spans="6:6" ht="15.75" customHeight="1" x14ac:dyDescent="0.25">
      <c r="F514" s="330"/>
    </row>
    <row r="515" spans="6:6" ht="15.75" customHeight="1" x14ac:dyDescent="0.25">
      <c r="F515" s="330"/>
    </row>
    <row r="516" spans="6:6" ht="15.75" customHeight="1" x14ac:dyDescent="0.25">
      <c r="F516" s="330"/>
    </row>
    <row r="517" spans="6:6" ht="15.75" customHeight="1" x14ac:dyDescent="0.25">
      <c r="F517" s="330"/>
    </row>
    <row r="518" spans="6:6" ht="15.75" customHeight="1" x14ac:dyDescent="0.25">
      <c r="F518" s="330"/>
    </row>
    <row r="519" spans="6:6" ht="15.75" customHeight="1" x14ac:dyDescent="0.25">
      <c r="F519" s="330"/>
    </row>
    <row r="520" spans="6:6" ht="15.75" customHeight="1" x14ac:dyDescent="0.25">
      <c r="F520" s="330"/>
    </row>
    <row r="521" spans="6:6" ht="15.75" customHeight="1" x14ac:dyDescent="0.25">
      <c r="F521" s="330"/>
    </row>
    <row r="522" spans="6:6" ht="15.75" customHeight="1" x14ac:dyDescent="0.25">
      <c r="F522" s="330"/>
    </row>
    <row r="523" spans="6:6" ht="15.75" customHeight="1" x14ac:dyDescent="0.25">
      <c r="F523" s="330"/>
    </row>
    <row r="524" spans="6:6" ht="15.75" customHeight="1" x14ac:dyDescent="0.25">
      <c r="F524" s="330"/>
    </row>
    <row r="525" spans="6:6" ht="15.75" customHeight="1" x14ac:dyDescent="0.25">
      <c r="F525" s="330"/>
    </row>
    <row r="526" spans="6:6" ht="15.75" customHeight="1" x14ac:dyDescent="0.25">
      <c r="F526" s="330"/>
    </row>
    <row r="527" spans="6:6" ht="15.75" customHeight="1" x14ac:dyDescent="0.25">
      <c r="F527" s="330"/>
    </row>
    <row r="528" spans="6:6" ht="15.75" customHeight="1" x14ac:dyDescent="0.25">
      <c r="F528" s="330"/>
    </row>
    <row r="529" spans="6:6" ht="15.75" customHeight="1" x14ac:dyDescent="0.25">
      <c r="F529" s="330"/>
    </row>
    <row r="530" spans="6:6" ht="15.75" customHeight="1" x14ac:dyDescent="0.25">
      <c r="F530" s="330"/>
    </row>
    <row r="531" spans="6:6" ht="15.75" customHeight="1" x14ac:dyDescent="0.25">
      <c r="F531" s="330"/>
    </row>
    <row r="532" spans="6:6" ht="15.75" customHeight="1" x14ac:dyDescent="0.25">
      <c r="F532" s="330"/>
    </row>
    <row r="533" spans="6:6" ht="15.75" customHeight="1" x14ac:dyDescent="0.25">
      <c r="F533" s="330"/>
    </row>
    <row r="534" spans="6:6" ht="15.75" customHeight="1" x14ac:dyDescent="0.25">
      <c r="F534" s="330"/>
    </row>
    <row r="535" spans="6:6" ht="15.75" customHeight="1" x14ac:dyDescent="0.25">
      <c r="F535" s="330"/>
    </row>
    <row r="536" spans="6:6" ht="15.75" customHeight="1" x14ac:dyDescent="0.25">
      <c r="F536" s="330"/>
    </row>
    <row r="537" spans="6:6" ht="15.75" customHeight="1" x14ac:dyDescent="0.25">
      <c r="F537" s="330"/>
    </row>
    <row r="538" spans="6:6" ht="15.75" customHeight="1" x14ac:dyDescent="0.25">
      <c r="F538" s="330"/>
    </row>
    <row r="539" spans="6:6" ht="15.75" customHeight="1" x14ac:dyDescent="0.25">
      <c r="F539" s="330"/>
    </row>
    <row r="540" spans="6:6" ht="15.75" customHeight="1" x14ac:dyDescent="0.25">
      <c r="F540" s="330"/>
    </row>
    <row r="541" spans="6:6" ht="15.75" customHeight="1" x14ac:dyDescent="0.25">
      <c r="F541" s="330"/>
    </row>
    <row r="542" spans="6:6" ht="15.75" customHeight="1" x14ac:dyDescent="0.25">
      <c r="F542" s="330"/>
    </row>
    <row r="543" spans="6:6" ht="15.75" customHeight="1" x14ac:dyDescent="0.25">
      <c r="F543" s="330"/>
    </row>
    <row r="544" spans="6:6" ht="15.75" customHeight="1" x14ac:dyDescent="0.25">
      <c r="F544" s="330"/>
    </row>
    <row r="545" spans="6:6" ht="15.75" customHeight="1" x14ac:dyDescent="0.25">
      <c r="F545" s="330"/>
    </row>
    <row r="546" spans="6:6" ht="15.75" customHeight="1" x14ac:dyDescent="0.25">
      <c r="F546" s="330"/>
    </row>
    <row r="547" spans="6:6" ht="15.75" customHeight="1" x14ac:dyDescent="0.25">
      <c r="F547" s="330"/>
    </row>
    <row r="548" spans="6:6" ht="15.75" customHeight="1" x14ac:dyDescent="0.25">
      <c r="F548" s="330"/>
    </row>
    <row r="549" spans="6:6" ht="15.75" customHeight="1" x14ac:dyDescent="0.25">
      <c r="F549" s="330"/>
    </row>
    <row r="550" spans="6:6" ht="15.75" customHeight="1" x14ac:dyDescent="0.25">
      <c r="F550" s="330"/>
    </row>
    <row r="551" spans="6:6" ht="15.75" customHeight="1" x14ac:dyDescent="0.25">
      <c r="F551" s="330"/>
    </row>
    <row r="552" spans="6:6" ht="15.75" customHeight="1" x14ac:dyDescent="0.25">
      <c r="F552" s="330"/>
    </row>
    <row r="553" spans="6:6" ht="15.75" customHeight="1" x14ac:dyDescent="0.25">
      <c r="F553" s="330"/>
    </row>
    <row r="554" spans="6:6" ht="15.75" customHeight="1" x14ac:dyDescent="0.25">
      <c r="F554" s="330"/>
    </row>
    <row r="555" spans="6:6" ht="15.75" customHeight="1" x14ac:dyDescent="0.25">
      <c r="F555" s="330"/>
    </row>
    <row r="556" spans="6:6" ht="15.75" customHeight="1" x14ac:dyDescent="0.25">
      <c r="F556" s="330"/>
    </row>
    <row r="557" spans="6:6" ht="15.75" customHeight="1" x14ac:dyDescent="0.25">
      <c r="F557" s="330"/>
    </row>
    <row r="558" spans="6:6" ht="15.75" customHeight="1" x14ac:dyDescent="0.25">
      <c r="F558" s="330"/>
    </row>
    <row r="559" spans="6:6" ht="15.75" customHeight="1" x14ac:dyDescent="0.25">
      <c r="F559" s="330"/>
    </row>
    <row r="560" spans="6:6" ht="15.75" customHeight="1" x14ac:dyDescent="0.25">
      <c r="F560" s="330"/>
    </row>
    <row r="561" spans="6:6" ht="15.75" customHeight="1" x14ac:dyDescent="0.25">
      <c r="F561" s="330"/>
    </row>
    <row r="562" spans="6:6" ht="15.75" customHeight="1" x14ac:dyDescent="0.25">
      <c r="F562" s="330"/>
    </row>
    <row r="563" spans="6:6" ht="15.75" customHeight="1" x14ac:dyDescent="0.25">
      <c r="F563" s="330"/>
    </row>
    <row r="564" spans="6:6" ht="15.75" customHeight="1" x14ac:dyDescent="0.25">
      <c r="F564" s="330"/>
    </row>
    <row r="565" spans="6:6" ht="15.75" customHeight="1" x14ac:dyDescent="0.25">
      <c r="F565" s="330"/>
    </row>
    <row r="566" spans="6:6" ht="15.75" customHeight="1" x14ac:dyDescent="0.25">
      <c r="F566" s="330"/>
    </row>
    <row r="567" spans="6:6" ht="15.75" customHeight="1" x14ac:dyDescent="0.25">
      <c r="F567" s="330"/>
    </row>
    <row r="568" spans="6:6" ht="15.75" customHeight="1" x14ac:dyDescent="0.25">
      <c r="F568" s="330"/>
    </row>
    <row r="569" spans="6:6" ht="15.75" customHeight="1" x14ac:dyDescent="0.25">
      <c r="F569" s="330"/>
    </row>
    <row r="570" spans="6:6" ht="15.75" customHeight="1" x14ac:dyDescent="0.25">
      <c r="F570" s="330"/>
    </row>
    <row r="571" spans="6:6" ht="15.75" customHeight="1" x14ac:dyDescent="0.25">
      <c r="F571" s="330"/>
    </row>
    <row r="572" spans="6:6" ht="15.75" customHeight="1" x14ac:dyDescent="0.25">
      <c r="F572" s="330"/>
    </row>
    <row r="573" spans="6:6" ht="15.75" customHeight="1" x14ac:dyDescent="0.25">
      <c r="F573" s="330"/>
    </row>
    <row r="574" spans="6:6" ht="15.75" customHeight="1" x14ac:dyDescent="0.25">
      <c r="F574" s="330"/>
    </row>
    <row r="575" spans="6:6" ht="15.75" customHeight="1" x14ac:dyDescent="0.25">
      <c r="F575" s="330"/>
    </row>
    <row r="576" spans="6:6" ht="15.75" customHeight="1" x14ac:dyDescent="0.25">
      <c r="F576" s="330"/>
    </row>
    <row r="577" spans="6:6" ht="15.75" customHeight="1" x14ac:dyDescent="0.25">
      <c r="F577" s="330"/>
    </row>
    <row r="578" spans="6:6" ht="15.75" customHeight="1" x14ac:dyDescent="0.25">
      <c r="F578" s="330"/>
    </row>
    <row r="579" spans="6:6" ht="15.75" customHeight="1" x14ac:dyDescent="0.25">
      <c r="F579" s="330"/>
    </row>
    <row r="580" spans="6:6" ht="15.75" customHeight="1" x14ac:dyDescent="0.25">
      <c r="F580" s="330"/>
    </row>
    <row r="581" spans="6:6" ht="15.75" customHeight="1" x14ac:dyDescent="0.25">
      <c r="F581" s="330"/>
    </row>
    <row r="582" spans="6:6" ht="15.75" customHeight="1" x14ac:dyDescent="0.25">
      <c r="F582" s="330"/>
    </row>
    <row r="583" spans="6:6" ht="15.75" customHeight="1" x14ac:dyDescent="0.25">
      <c r="F583" s="330"/>
    </row>
    <row r="584" spans="6:6" ht="15.75" customHeight="1" x14ac:dyDescent="0.25">
      <c r="F584" s="330"/>
    </row>
    <row r="585" spans="6:6" ht="15.75" customHeight="1" x14ac:dyDescent="0.25">
      <c r="F585" s="330"/>
    </row>
    <row r="586" spans="6:6" ht="15.75" customHeight="1" x14ac:dyDescent="0.25">
      <c r="F586" s="330"/>
    </row>
    <row r="587" spans="6:6" ht="15.75" customHeight="1" x14ac:dyDescent="0.25">
      <c r="F587" s="330"/>
    </row>
    <row r="588" spans="6:6" ht="15.75" customHeight="1" x14ac:dyDescent="0.25">
      <c r="F588" s="330"/>
    </row>
    <row r="589" spans="6:6" ht="15.75" customHeight="1" x14ac:dyDescent="0.25">
      <c r="F589" s="330"/>
    </row>
    <row r="590" spans="6:6" ht="15.75" customHeight="1" x14ac:dyDescent="0.25">
      <c r="F590" s="330"/>
    </row>
    <row r="591" spans="6:6" ht="15.75" customHeight="1" x14ac:dyDescent="0.25">
      <c r="F591" s="330"/>
    </row>
    <row r="592" spans="6:6" ht="15.75" customHeight="1" x14ac:dyDescent="0.25">
      <c r="F592" s="330"/>
    </row>
    <row r="593" spans="6:6" ht="15.75" customHeight="1" x14ac:dyDescent="0.25">
      <c r="F593" s="330"/>
    </row>
    <row r="594" spans="6:6" ht="15.75" customHeight="1" x14ac:dyDescent="0.25">
      <c r="F594" s="330"/>
    </row>
    <row r="595" spans="6:6" ht="15.75" customHeight="1" x14ac:dyDescent="0.25">
      <c r="F595" s="330"/>
    </row>
    <row r="596" spans="6:6" ht="15.75" customHeight="1" x14ac:dyDescent="0.25">
      <c r="F596" s="330"/>
    </row>
    <row r="597" spans="6:6" ht="15.75" customHeight="1" x14ac:dyDescent="0.25">
      <c r="F597" s="330"/>
    </row>
    <row r="598" spans="6:6" ht="15.75" customHeight="1" x14ac:dyDescent="0.25">
      <c r="F598" s="330"/>
    </row>
    <row r="599" spans="6:6" ht="15.75" customHeight="1" x14ac:dyDescent="0.25">
      <c r="F599" s="330"/>
    </row>
    <row r="600" spans="6:6" ht="15.75" customHeight="1" x14ac:dyDescent="0.25">
      <c r="F600" s="330"/>
    </row>
    <row r="601" spans="6:6" ht="15.75" customHeight="1" x14ac:dyDescent="0.25">
      <c r="F601" s="330"/>
    </row>
    <row r="602" spans="6:6" ht="15.75" customHeight="1" x14ac:dyDescent="0.25">
      <c r="F602" s="330"/>
    </row>
    <row r="603" spans="6:6" ht="15.75" customHeight="1" x14ac:dyDescent="0.25">
      <c r="F603" s="330"/>
    </row>
    <row r="604" spans="6:6" ht="15.75" customHeight="1" x14ac:dyDescent="0.25">
      <c r="F604" s="330"/>
    </row>
    <row r="605" spans="6:6" ht="15.75" customHeight="1" x14ac:dyDescent="0.25">
      <c r="F605" s="330"/>
    </row>
    <row r="606" spans="6:6" ht="15.75" customHeight="1" x14ac:dyDescent="0.25">
      <c r="F606" s="330"/>
    </row>
    <row r="607" spans="6:6" ht="15.75" customHeight="1" x14ac:dyDescent="0.25">
      <c r="F607" s="330"/>
    </row>
    <row r="608" spans="6:6" ht="15.75" customHeight="1" x14ac:dyDescent="0.25">
      <c r="F608" s="330"/>
    </row>
    <row r="609" spans="6:6" ht="15.75" customHeight="1" x14ac:dyDescent="0.25">
      <c r="F609" s="330"/>
    </row>
    <row r="610" spans="6:6" ht="15.75" customHeight="1" x14ac:dyDescent="0.25">
      <c r="F610" s="330"/>
    </row>
    <row r="611" spans="6:6" ht="15.75" customHeight="1" x14ac:dyDescent="0.25">
      <c r="F611" s="330"/>
    </row>
    <row r="612" spans="6:6" ht="15.75" customHeight="1" x14ac:dyDescent="0.25">
      <c r="F612" s="330"/>
    </row>
    <row r="613" spans="6:6" ht="15.75" customHeight="1" x14ac:dyDescent="0.25">
      <c r="F613" s="330"/>
    </row>
    <row r="614" spans="6:6" ht="15.75" customHeight="1" x14ac:dyDescent="0.25">
      <c r="F614" s="330"/>
    </row>
    <row r="615" spans="6:6" ht="15.75" customHeight="1" x14ac:dyDescent="0.25">
      <c r="F615" s="330"/>
    </row>
    <row r="616" spans="6:6" ht="15.75" customHeight="1" x14ac:dyDescent="0.25">
      <c r="F616" s="330"/>
    </row>
    <row r="617" spans="6:6" ht="15.75" customHeight="1" x14ac:dyDescent="0.25">
      <c r="F617" s="330"/>
    </row>
    <row r="618" spans="6:6" ht="15.75" customHeight="1" x14ac:dyDescent="0.25">
      <c r="F618" s="330"/>
    </row>
    <row r="619" spans="6:6" ht="15.75" customHeight="1" x14ac:dyDescent="0.25">
      <c r="F619" s="330"/>
    </row>
    <row r="620" spans="6:6" ht="15.75" customHeight="1" x14ac:dyDescent="0.25">
      <c r="F620" s="330"/>
    </row>
    <row r="621" spans="6:6" ht="15.75" customHeight="1" x14ac:dyDescent="0.25">
      <c r="F621" s="330"/>
    </row>
    <row r="622" spans="6:6" ht="15.75" customHeight="1" x14ac:dyDescent="0.25">
      <c r="F622" s="330"/>
    </row>
    <row r="623" spans="6:6" ht="15.75" customHeight="1" x14ac:dyDescent="0.25">
      <c r="F623" s="330"/>
    </row>
    <row r="624" spans="6:6" ht="15.75" customHeight="1" x14ac:dyDescent="0.25">
      <c r="F624" s="330"/>
    </row>
    <row r="625" spans="6:6" ht="15.75" customHeight="1" x14ac:dyDescent="0.25">
      <c r="F625" s="330"/>
    </row>
    <row r="626" spans="6:6" ht="15.75" customHeight="1" x14ac:dyDescent="0.25">
      <c r="F626" s="330"/>
    </row>
    <row r="627" spans="6:6" ht="15.75" customHeight="1" x14ac:dyDescent="0.25">
      <c r="F627" s="330"/>
    </row>
    <row r="628" spans="6:6" ht="15.75" customHeight="1" x14ac:dyDescent="0.25">
      <c r="F628" s="330"/>
    </row>
    <row r="629" spans="6:6" ht="15.75" customHeight="1" x14ac:dyDescent="0.25">
      <c r="F629" s="330"/>
    </row>
    <row r="630" spans="6:6" ht="15.75" customHeight="1" x14ac:dyDescent="0.25">
      <c r="F630" s="330"/>
    </row>
    <row r="631" spans="6:6" ht="15.75" customHeight="1" x14ac:dyDescent="0.25">
      <c r="F631" s="330"/>
    </row>
    <row r="632" spans="6:6" ht="15.75" customHeight="1" x14ac:dyDescent="0.25">
      <c r="F632" s="330"/>
    </row>
    <row r="633" spans="6:6" ht="15.75" customHeight="1" x14ac:dyDescent="0.25">
      <c r="F633" s="330"/>
    </row>
    <row r="634" spans="6:6" ht="15.75" customHeight="1" x14ac:dyDescent="0.25">
      <c r="F634" s="330"/>
    </row>
    <row r="635" spans="6:6" ht="15.75" customHeight="1" x14ac:dyDescent="0.25">
      <c r="F635" s="330"/>
    </row>
    <row r="636" spans="6:6" ht="15.75" customHeight="1" x14ac:dyDescent="0.25">
      <c r="F636" s="330"/>
    </row>
    <row r="637" spans="6:6" ht="15.75" customHeight="1" x14ac:dyDescent="0.25">
      <c r="F637" s="330"/>
    </row>
    <row r="638" spans="6:6" ht="15.75" customHeight="1" x14ac:dyDescent="0.25">
      <c r="F638" s="330"/>
    </row>
    <row r="639" spans="6:6" ht="15.75" customHeight="1" x14ac:dyDescent="0.25">
      <c r="F639" s="330"/>
    </row>
    <row r="640" spans="6:6" ht="15.75" customHeight="1" x14ac:dyDescent="0.25">
      <c r="F640" s="330"/>
    </row>
    <row r="641" spans="6:6" ht="15.75" customHeight="1" x14ac:dyDescent="0.25">
      <c r="F641" s="330"/>
    </row>
    <row r="642" spans="6:6" ht="15.75" customHeight="1" x14ac:dyDescent="0.25">
      <c r="F642" s="330"/>
    </row>
    <row r="643" spans="6:6" ht="15.75" customHeight="1" x14ac:dyDescent="0.25">
      <c r="F643" s="330"/>
    </row>
    <row r="644" spans="6:6" ht="15.75" customHeight="1" x14ac:dyDescent="0.25">
      <c r="F644" s="330"/>
    </row>
    <row r="645" spans="6:6" ht="15.75" customHeight="1" x14ac:dyDescent="0.25">
      <c r="F645" s="330"/>
    </row>
    <row r="646" spans="6:6" ht="15.75" customHeight="1" x14ac:dyDescent="0.25">
      <c r="F646" s="330"/>
    </row>
    <row r="647" spans="6:6" ht="15.75" customHeight="1" x14ac:dyDescent="0.25">
      <c r="F647" s="330"/>
    </row>
    <row r="648" spans="6:6" ht="15.75" customHeight="1" x14ac:dyDescent="0.25">
      <c r="F648" s="330"/>
    </row>
    <row r="649" spans="6:6" ht="15.75" customHeight="1" x14ac:dyDescent="0.25">
      <c r="F649" s="330"/>
    </row>
    <row r="650" spans="6:6" ht="15.75" customHeight="1" x14ac:dyDescent="0.25">
      <c r="F650" s="330"/>
    </row>
    <row r="651" spans="6:6" ht="15.75" customHeight="1" x14ac:dyDescent="0.25">
      <c r="F651" s="330"/>
    </row>
    <row r="652" spans="6:6" ht="15.75" customHeight="1" x14ac:dyDescent="0.25">
      <c r="F652" s="330"/>
    </row>
    <row r="653" spans="6:6" ht="15.75" customHeight="1" x14ac:dyDescent="0.25">
      <c r="F653" s="330"/>
    </row>
    <row r="654" spans="6:6" ht="15.75" customHeight="1" x14ac:dyDescent="0.25">
      <c r="F654" s="330"/>
    </row>
    <row r="655" spans="6:6" ht="15.75" customHeight="1" x14ac:dyDescent="0.25">
      <c r="F655" s="330"/>
    </row>
    <row r="656" spans="6:6" ht="15.75" customHeight="1" x14ac:dyDescent="0.25">
      <c r="F656" s="330"/>
    </row>
    <row r="657" spans="6:6" ht="15.75" customHeight="1" x14ac:dyDescent="0.25">
      <c r="F657" s="330"/>
    </row>
    <row r="658" spans="6:6" ht="15.75" customHeight="1" x14ac:dyDescent="0.25">
      <c r="F658" s="330"/>
    </row>
    <row r="659" spans="6:6" ht="15.75" customHeight="1" x14ac:dyDescent="0.25">
      <c r="F659" s="330"/>
    </row>
    <row r="660" spans="6:6" ht="15.75" customHeight="1" x14ac:dyDescent="0.25">
      <c r="F660" s="330"/>
    </row>
    <row r="661" spans="6:6" ht="15.75" customHeight="1" x14ac:dyDescent="0.25">
      <c r="F661" s="330"/>
    </row>
    <row r="662" spans="6:6" ht="15.75" customHeight="1" x14ac:dyDescent="0.25">
      <c r="F662" s="330"/>
    </row>
    <row r="663" spans="6:6" ht="15.75" customHeight="1" x14ac:dyDescent="0.25">
      <c r="F663" s="330"/>
    </row>
    <row r="664" spans="6:6" ht="15.75" customHeight="1" x14ac:dyDescent="0.25">
      <c r="F664" s="330"/>
    </row>
    <row r="665" spans="6:6" ht="15.75" customHeight="1" x14ac:dyDescent="0.25">
      <c r="F665" s="330"/>
    </row>
    <row r="666" spans="6:6" ht="15.75" customHeight="1" x14ac:dyDescent="0.25">
      <c r="F666" s="330"/>
    </row>
    <row r="667" spans="6:6" ht="15.75" customHeight="1" x14ac:dyDescent="0.25">
      <c r="F667" s="330"/>
    </row>
    <row r="668" spans="6:6" ht="15.75" customHeight="1" x14ac:dyDescent="0.25">
      <c r="F668" s="330"/>
    </row>
    <row r="669" spans="6:6" ht="15.75" customHeight="1" x14ac:dyDescent="0.25">
      <c r="F669" s="330"/>
    </row>
    <row r="670" spans="6:6" ht="15.75" customHeight="1" x14ac:dyDescent="0.25">
      <c r="F670" s="330"/>
    </row>
    <row r="671" spans="6:6" ht="15.75" customHeight="1" x14ac:dyDescent="0.25">
      <c r="F671" s="330"/>
    </row>
    <row r="672" spans="6:6" ht="15.75" customHeight="1" x14ac:dyDescent="0.25">
      <c r="F672" s="330"/>
    </row>
    <row r="673" spans="6:6" ht="15.75" customHeight="1" x14ac:dyDescent="0.25">
      <c r="F673" s="330"/>
    </row>
    <row r="674" spans="6:6" ht="15.75" customHeight="1" x14ac:dyDescent="0.25">
      <c r="F674" s="330"/>
    </row>
    <row r="675" spans="6:6" ht="15.75" customHeight="1" x14ac:dyDescent="0.25">
      <c r="F675" s="330"/>
    </row>
    <row r="676" spans="6:6" ht="15.75" customHeight="1" x14ac:dyDescent="0.25">
      <c r="F676" s="330"/>
    </row>
    <row r="677" spans="6:6" ht="15.75" customHeight="1" x14ac:dyDescent="0.25">
      <c r="F677" s="330"/>
    </row>
    <row r="678" spans="6:6" ht="15.75" customHeight="1" x14ac:dyDescent="0.25">
      <c r="F678" s="330"/>
    </row>
    <row r="679" spans="6:6" ht="15.75" customHeight="1" x14ac:dyDescent="0.25">
      <c r="F679" s="330"/>
    </row>
    <row r="680" spans="6:6" ht="15.75" customHeight="1" x14ac:dyDescent="0.25">
      <c r="F680" s="330"/>
    </row>
    <row r="681" spans="6:6" ht="15.75" customHeight="1" x14ac:dyDescent="0.25">
      <c r="F681" s="330"/>
    </row>
    <row r="682" spans="6:6" ht="15.75" customHeight="1" x14ac:dyDescent="0.25">
      <c r="F682" s="330"/>
    </row>
    <row r="683" spans="6:6" ht="15.75" customHeight="1" x14ac:dyDescent="0.25">
      <c r="F683" s="330"/>
    </row>
    <row r="684" spans="6:6" ht="15.75" customHeight="1" x14ac:dyDescent="0.25">
      <c r="F684" s="330"/>
    </row>
    <row r="685" spans="6:6" ht="15.75" customHeight="1" x14ac:dyDescent="0.25">
      <c r="F685" s="330"/>
    </row>
    <row r="686" spans="6:6" ht="15.75" customHeight="1" x14ac:dyDescent="0.25">
      <c r="F686" s="330"/>
    </row>
    <row r="687" spans="6:6" ht="15.75" customHeight="1" x14ac:dyDescent="0.25">
      <c r="F687" s="330"/>
    </row>
    <row r="688" spans="6:6" ht="15.75" customHeight="1" x14ac:dyDescent="0.25">
      <c r="F688" s="330"/>
    </row>
    <row r="689" spans="6:6" ht="15.75" customHeight="1" x14ac:dyDescent="0.25">
      <c r="F689" s="330"/>
    </row>
    <row r="690" spans="6:6" ht="15.75" customHeight="1" x14ac:dyDescent="0.25">
      <c r="F690" s="330"/>
    </row>
    <row r="691" spans="6:6" ht="15.75" customHeight="1" x14ac:dyDescent="0.25">
      <c r="F691" s="330"/>
    </row>
    <row r="692" spans="6:6" ht="15.75" customHeight="1" x14ac:dyDescent="0.25">
      <c r="F692" s="330"/>
    </row>
    <row r="693" spans="6:6" ht="15.75" customHeight="1" x14ac:dyDescent="0.25">
      <c r="F693" s="330"/>
    </row>
    <row r="694" spans="6:6" ht="15.75" customHeight="1" x14ac:dyDescent="0.25">
      <c r="F694" s="330"/>
    </row>
    <row r="695" spans="6:6" ht="15.75" customHeight="1" x14ac:dyDescent="0.25">
      <c r="F695" s="330"/>
    </row>
    <row r="696" spans="6:6" ht="15.75" customHeight="1" x14ac:dyDescent="0.25">
      <c r="F696" s="330"/>
    </row>
    <row r="697" spans="6:6" ht="15.75" customHeight="1" x14ac:dyDescent="0.25">
      <c r="F697" s="330"/>
    </row>
    <row r="698" spans="6:6" ht="15.75" customHeight="1" x14ac:dyDescent="0.25">
      <c r="F698" s="330"/>
    </row>
    <row r="699" spans="6:6" ht="15.75" customHeight="1" x14ac:dyDescent="0.25">
      <c r="F699" s="330"/>
    </row>
    <row r="700" spans="6:6" ht="15.75" customHeight="1" x14ac:dyDescent="0.25">
      <c r="F700" s="330"/>
    </row>
    <row r="701" spans="6:6" ht="15.75" customHeight="1" x14ac:dyDescent="0.25">
      <c r="F701" s="330"/>
    </row>
    <row r="702" spans="6:6" ht="15.75" customHeight="1" x14ac:dyDescent="0.25">
      <c r="F702" s="330"/>
    </row>
    <row r="703" spans="6:6" ht="15.75" customHeight="1" x14ac:dyDescent="0.25">
      <c r="F703" s="330"/>
    </row>
    <row r="704" spans="6:6" ht="15.75" customHeight="1" x14ac:dyDescent="0.25">
      <c r="F704" s="330"/>
    </row>
    <row r="705" spans="6:6" ht="15.75" customHeight="1" x14ac:dyDescent="0.25">
      <c r="F705" s="330"/>
    </row>
    <row r="706" spans="6:6" ht="15.75" customHeight="1" x14ac:dyDescent="0.25">
      <c r="F706" s="330"/>
    </row>
    <row r="707" spans="6:6" ht="15.75" customHeight="1" x14ac:dyDescent="0.25">
      <c r="F707" s="330"/>
    </row>
    <row r="708" spans="6:6" ht="15.75" customHeight="1" x14ac:dyDescent="0.25">
      <c r="F708" s="330"/>
    </row>
    <row r="709" spans="6:6" ht="15.75" customHeight="1" x14ac:dyDescent="0.25">
      <c r="F709" s="330"/>
    </row>
    <row r="710" spans="6:6" ht="15.75" customHeight="1" x14ac:dyDescent="0.25">
      <c r="F710" s="330"/>
    </row>
    <row r="711" spans="6:6" ht="15.75" customHeight="1" x14ac:dyDescent="0.25">
      <c r="F711" s="330"/>
    </row>
    <row r="712" spans="6:6" ht="15.75" customHeight="1" x14ac:dyDescent="0.25">
      <c r="F712" s="330"/>
    </row>
    <row r="713" spans="6:6" ht="15.75" customHeight="1" x14ac:dyDescent="0.25">
      <c r="F713" s="330"/>
    </row>
    <row r="714" spans="6:6" ht="15.75" customHeight="1" x14ac:dyDescent="0.25">
      <c r="F714" s="330"/>
    </row>
    <row r="715" spans="6:6" ht="15.75" customHeight="1" x14ac:dyDescent="0.25">
      <c r="F715" s="330"/>
    </row>
    <row r="716" spans="6:6" ht="15.75" customHeight="1" x14ac:dyDescent="0.25">
      <c r="F716" s="330"/>
    </row>
    <row r="717" spans="6:6" ht="15.75" customHeight="1" x14ac:dyDescent="0.25">
      <c r="F717" s="330"/>
    </row>
    <row r="718" spans="6:6" ht="15.75" customHeight="1" x14ac:dyDescent="0.25">
      <c r="F718" s="330"/>
    </row>
    <row r="719" spans="6:6" ht="15.75" customHeight="1" x14ac:dyDescent="0.25">
      <c r="F719" s="330"/>
    </row>
    <row r="720" spans="6:6" ht="15.75" customHeight="1" x14ac:dyDescent="0.25">
      <c r="F720" s="330"/>
    </row>
    <row r="721" spans="6:6" ht="15.75" customHeight="1" x14ac:dyDescent="0.25">
      <c r="F721" s="330"/>
    </row>
    <row r="722" spans="6:6" ht="15.75" customHeight="1" x14ac:dyDescent="0.25">
      <c r="F722" s="330"/>
    </row>
    <row r="723" spans="6:6" ht="15.75" customHeight="1" x14ac:dyDescent="0.25">
      <c r="F723" s="330"/>
    </row>
    <row r="724" spans="6:6" ht="15.75" customHeight="1" x14ac:dyDescent="0.25">
      <c r="F724" s="330"/>
    </row>
    <row r="725" spans="6:6" ht="15.75" customHeight="1" x14ac:dyDescent="0.25">
      <c r="F725" s="330"/>
    </row>
    <row r="726" spans="6:6" ht="15.75" customHeight="1" x14ac:dyDescent="0.25">
      <c r="F726" s="330"/>
    </row>
    <row r="727" spans="6:6" ht="15.75" customHeight="1" x14ac:dyDescent="0.25">
      <c r="F727" s="330"/>
    </row>
    <row r="728" spans="6:6" ht="15.75" customHeight="1" x14ac:dyDescent="0.25">
      <c r="F728" s="330"/>
    </row>
    <row r="729" spans="6:6" ht="15.75" customHeight="1" x14ac:dyDescent="0.25">
      <c r="F729" s="330"/>
    </row>
    <row r="730" spans="6:6" ht="15.75" customHeight="1" x14ac:dyDescent="0.25">
      <c r="F730" s="330"/>
    </row>
    <row r="731" spans="6:6" ht="15.75" customHeight="1" x14ac:dyDescent="0.25">
      <c r="F731" s="330"/>
    </row>
    <row r="732" spans="6:6" ht="15.75" customHeight="1" x14ac:dyDescent="0.25">
      <c r="F732" s="330"/>
    </row>
    <row r="733" spans="6:6" ht="15.75" customHeight="1" x14ac:dyDescent="0.25">
      <c r="F733" s="330"/>
    </row>
    <row r="734" spans="6:6" ht="15.75" customHeight="1" x14ac:dyDescent="0.25">
      <c r="F734" s="330"/>
    </row>
    <row r="735" spans="6:6" ht="15.75" customHeight="1" x14ac:dyDescent="0.25">
      <c r="F735" s="330"/>
    </row>
    <row r="736" spans="6:6" ht="15.75" customHeight="1" x14ac:dyDescent="0.25">
      <c r="F736" s="330"/>
    </row>
    <row r="737" spans="6:6" ht="15.75" customHeight="1" x14ac:dyDescent="0.25">
      <c r="F737" s="330"/>
    </row>
    <row r="738" spans="6:6" ht="15.75" customHeight="1" x14ac:dyDescent="0.25">
      <c r="F738" s="330"/>
    </row>
    <row r="739" spans="6:6" ht="15.75" customHeight="1" x14ac:dyDescent="0.25">
      <c r="F739" s="330"/>
    </row>
    <row r="740" spans="6:6" ht="15.75" customHeight="1" x14ac:dyDescent="0.25">
      <c r="F740" s="330"/>
    </row>
    <row r="741" spans="6:6" ht="15.75" customHeight="1" x14ac:dyDescent="0.25">
      <c r="F741" s="330"/>
    </row>
    <row r="742" spans="6:6" ht="15.75" customHeight="1" x14ac:dyDescent="0.25">
      <c r="F742" s="330"/>
    </row>
    <row r="743" spans="6:6" ht="15.75" customHeight="1" x14ac:dyDescent="0.25">
      <c r="F743" s="330"/>
    </row>
    <row r="744" spans="6:6" ht="15.75" customHeight="1" x14ac:dyDescent="0.25">
      <c r="F744" s="330"/>
    </row>
    <row r="745" spans="6:6" ht="15.75" customHeight="1" x14ac:dyDescent="0.25">
      <c r="F745" s="330"/>
    </row>
    <row r="746" spans="6:6" ht="15.75" customHeight="1" x14ac:dyDescent="0.25">
      <c r="F746" s="330"/>
    </row>
    <row r="747" spans="6:6" ht="15.75" customHeight="1" x14ac:dyDescent="0.25">
      <c r="F747" s="330"/>
    </row>
    <row r="748" spans="6:6" ht="15.75" customHeight="1" x14ac:dyDescent="0.25">
      <c r="F748" s="330"/>
    </row>
    <row r="749" spans="6:6" ht="15.75" customHeight="1" x14ac:dyDescent="0.25">
      <c r="F749" s="330"/>
    </row>
    <row r="750" spans="6:6" ht="15.75" customHeight="1" x14ac:dyDescent="0.25">
      <c r="F750" s="330"/>
    </row>
    <row r="751" spans="6:6" ht="15.75" customHeight="1" x14ac:dyDescent="0.25">
      <c r="F751" s="330"/>
    </row>
    <row r="752" spans="6:6" ht="15.75" customHeight="1" x14ac:dyDescent="0.25">
      <c r="F752" s="330"/>
    </row>
    <row r="753" spans="6:6" ht="15.75" customHeight="1" x14ac:dyDescent="0.25">
      <c r="F753" s="330"/>
    </row>
    <row r="754" spans="6:6" ht="15.75" customHeight="1" x14ac:dyDescent="0.25">
      <c r="F754" s="330"/>
    </row>
    <row r="755" spans="6:6" ht="15.75" customHeight="1" x14ac:dyDescent="0.25">
      <c r="F755" s="330"/>
    </row>
    <row r="756" spans="6:6" ht="15.75" customHeight="1" x14ac:dyDescent="0.25">
      <c r="F756" s="330"/>
    </row>
    <row r="757" spans="6:6" ht="15.75" customHeight="1" x14ac:dyDescent="0.25">
      <c r="F757" s="330"/>
    </row>
    <row r="758" spans="6:6" ht="15.75" customHeight="1" x14ac:dyDescent="0.25">
      <c r="F758" s="330"/>
    </row>
    <row r="759" spans="6:6" ht="15.75" customHeight="1" x14ac:dyDescent="0.25">
      <c r="F759" s="330"/>
    </row>
    <row r="760" spans="6:6" ht="15.75" customHeight="1" x14ac:dyDescent="0.25">
      <c r="F760" s="330"/>
    </row>
    <row r="761" spans="6:6" ht="15.75" customHeight="1" x14ac:dyDescent="0.25">
      <c r="F761" s="330"/>
    </row>
    <row r="762" spans="6:6" ht="15.75" customHeight="1" x14ac:dyDescent="0.25">
      <c r="F762" s="330"/>
    </row>
    <row r="763" spans="6:6" ht="15.75" customHeight="1" x14ac:dyDescent="0.25">
      <c r="F763" s="330"/>
    </row>
    <row r="764" spans="6:6" ht="15.75" customHeight="1" x14ac:dyDescent="0.25">
      <c r="F764" s="330"/>
    </row>
    <row r="765" spans="6:6" ht="15.75" customHeight="1" x14ac:dyDescent="0.25">
      <c r="F765" s="330"/>
    </row>
    <row r="766" spans="6:6" ht="15.75" customHeight="1" x14ac:dyDescent="0.25">
      <c r="F766" s="330"/>
    </row>
    <row r="767" spans="6:6" ht="15.75" customHeight="1" x14ac:dyDescent="0.25">
      <c r="F767" s="330"/>
    </row>
    <row r="768" spans="6:6" ht="15.75" customHeight="1" x14ac:dyDescent="0.25">
      <c r="F768" s="330"/>
    </row>
    <row r="769" spans="6:6" ht="15.75" customHeight="1" x14ac:dyDescent="0.25">
      <c r="F769" s="330"/>
    </row>
    <row r="770" spans="6:6" ht="15.75" customHeight="1" x14ac:dyDescent="0.25">
      <c r="F770" s="330"/>
    </row>
    <row r="771" spans="6:6" ht="15.75" customHeight="1" x14ac:dyDescent="0.25">
      <c r="F771" s="330"/>
    </row>
    <row r="772" spans="6:6" ht="15.75" customHeight="1" x14ac:dyDescent="0.25">
      <c r="F772" s="330"/>
    </row>
    <row r="773" spans="6:6" ht="15.75" customHeight="1" x14ac:dyDescent="0.25">
      <c r="F773" s="330"/>
    </row>
    <row r="774" spans="6:6" ht="15.75" customHeight="1" x14ac:dyDescent="0.25">
      <c r="F774" s="330"/>
    </row>
    <row r="775" spans="6:6" ht="15.75" customHeight="1" x14ac:dyDescent="0.25">
      <c r="F775" s="330"/>
    </row>
    <row r="776" spans="6:6" ht="15.75" customHeight="1" x14ac:dyDescent="0.25">
      <c r="F776" s="330"/>
    </row>
    <row r="777" spans="6:6" ht="15.75" customHeight="1" x14ac:dyDescent="0.25">
      <c r="F777" s="330"/>
    </row>
    <row r="778" spans="6:6" ht="15.75" customHeight="1" x14ac:dyDescent="0.25">
      <c r="F778" s="330"/>
    </row>
    <row r="779" spans="6:6" ht="15.75" customHeight="1" x14ac:dyDescent="0.25">
      <c r="F779" s="330"/>
    </row>
    <row r="780" spans="6:6" ht="15.75" customHeight="1" x14ac:dyDescent="0.25">
      <c r="F780" s="330"/>
    </row>
    <row r="781" spans="6:6" ht="15.75" customHeight="1" x14ac:dyDescent="0.25">
      <c r="F781" s="330"/>
    </row>
    <row r="782" spans="6:6" ht="15.75" customHeight="1" x14ac:dyDescent="0.25">
      <c r="F782" s="330"/>
    </row>
    <row r="783" spans="6:6" ht="15.75" customHeight="1" x14ac:dyDescent="0.25">
      <c r="F783" s="330"/>
    </row>
    <row r="784" spans="6:6" ht="15.75" customHeight="1" x14ac:dyDescent="0.25">
      <c r="F784" s="330"/>
    </row>
    <row r="785" spans="6:6" ht="15.75" customHeight="1" x14ac:dyDescent="0.25">
      <c r="F785" s="330"/>
    </row>
    <row r="786" spans="6:6" ht="15.75" customHeight="1" x14ac:dyDescent="0.25">
      <c r="F786" s="330"/>
    </row>
    <row r="787" spans="6:6" ht="15.75" customHeight="1" x14ac:dyDescent="0.25">
      <c r="F787" s="330"/>
    </row>
    <row r="788" spans="6:6" ht="15.75" customHeight="1" x14ac:dyDescent="0.25">
      <c r="F788" s="330"/>
    </row>
    <row r="789" spans="6:6" ht="15.75" customHeight="1" x14ac:dyDescent="0.25">
      <c r="F789" s="330"/>
    </row>
    <row r="790" spans="6:6" ht="15.75" customHeight="1" x14ac:dyDescent="0.25">
      <c r="F790" s="330"/>
    </row>
    <row r="791" spans="6:6" ht="15.75" customHeight="1" x14ac:dyDescent="0.25">
      <c r="F791" s="330"/>
    </row>
    <row r="792" spans="6:6" ht="15.75" customHeight="1" x14ac:dyDescent="0.25">
      <c r="F792" s="330"/>
    </row>
    <row r="793" spans="6:6" ht="15.75" customHeight="1" x14ac:dyDescent="0.25">
      <c r="F793" s="330"/>
    </row>
    <row r="794" spans="6:6" ht="15.75" customHeight="1" x14ac:dyDescent="0.25">
      <c r="F794" s="330"/>
    </row>
    <row r="795" spans="6:6" ht="15.75" customHeight="1" x14ac:dyDescent="0.25">
      <c r="F795" s="330"/>
    </row>
    <row r="796" spans="6:6" ht="15.75" customHeight="1" x14ac:dyDescent="0.25">
      <c r="F796" s="330"/>
    </row>
    <row r="797" spans="6:6" ht="15.75" customHeight="1" x14ac:dyDescent="0.25">
      <c r="F797" s="330"/>
    </row>
    <row r="798" spans="6:6" ht="15.75" customHeight="1" x14ac:dyDescent="0.25">
      <c r="F798" s="330"/>
    </row>
    <row r="799" spans="6:6" ht="15.75" customHeight="1" x14ac:dyDescent="0.25">
      <c r="F799" s="330"/>
    </row>
    <row r="800" spans="6:6" ht="15.75" customHeight="1" x14ac:dyDescent="0.25">
      <c r="F800" s="330"/>
    </row>
    <row r="801" spans="6:6" ht="15.75" customHeight="1" x14ac:dyDescent="0.25">
      <c r="F801" s="330"/>
    </row>
    <row r="802" spans="6:6" ht="15.75" customHeight="1" x14ac:dyDescent="0.25">
      <c r="F802" s="330"/>
    </row>
    <row r="803" spans="6:6" ht="15.75" customHeight="1" x14ac:dyDescent="0.25">
      <c r="F803" s="330"/>
    </row>
    <row r="804" spans="6:6" ht="15.75" customHeight="1" x14ac:dyDescent="0.25">
      <c r="F804" s="330"/>
    </row>
    <row r="805" spans="6:6" ht="15.75" customHeight="1" x14ac:dyDescent="0.25">
      <c r="F805" s="330"/>
    </row>
    <row r="806" spans="6:6" ht="15.75" customHeight="1" x14ac:dyDescent="0.25">
      <c r="F806" s="330"/>
    </row>
    <row r="807" spans="6:6" ht="15.75" customHeight="1" x14ac:dyDescent="0.25">
      <c r="F807" s="330"/>
    </row>
    <row r="808" spans="6:6" ht="15.75" customHeight="1" x14ac:dyDescent="0.25">
      <c r="F808" s="330"/>
    </row>
    <row r="809" spans="6:6" ht="15.75" customHeight="1" x14ac:dyDescent="0.25">
      <c r="F809" s="330"/>
    </row>
    <row r="810" spans="6:6" ht="15.75" customHeight="1" x14ac:dyDescent="0.25">
      <c r="F810" s="330"/>
    </row>
    <row r="811" spans="6:6" ht="15.75" customHeight="1" x14ac:dyDescent="0.25">
      <c r="F811" s="330"/>
    </row>
    <row r="812" spans="6:6" ht="15.75" customHeight="1" x14ac:dyDescent="0.25">
      <c r="F812" s="330"/>
    </row>
    <row r="813" spans="6:6" ht="15.75" customHeight="1" x14ac:dyDescent="0.25">
      <c r="F813" s="330"/>
    </row>
    <row r="814" spans="6:6" ht="15.75" customHeight="1" x14ac:dyDescent="0.25">
      <c r="F814" s="330"/>
    </row>
    <row r="815" spans="6:6" ht="15.75" customHeight="1" x14ac:dyDescent="0.25">
      <c r="F815" s="330"/>
    </row>
    <row r="816" spans="6:6" ht="15.75" customHeight="1" x14ac:dyDescent="0.25">
      <c r="F816" s="330"/>
    </row>
    <row r="817" spans="6:6" ht="15.75" customHeight="1" x14ac:dyDescent="0.25">
      <c r="F817" s="330"/>
    </row>
    <row r="818" spans="6:6" ht="15.75" customHeight="1" x14ac:dyDescent="0.25">
      <c r="F818" s="330"/>
    </row>
    <row r="819" spans="6:6" ht="15.75" customHeight="1" x14ac:dyDescent="0.25">
      <c r="F819" s="330"/>
    </row>
    <row r="820" spans="6:6" ht="15.75" customHeight="1" x14ac:dyDescent="0.25">
      <c r="F820" s="330"/>
    </row>
    <row r="821" spans="6:6" ht="15.75" customHeight="1" x14ac:dyDescent="0.25">
      <c r="F821" s="330"/>
    </row>
    <row r="822" spans="6:6" ht="15.75" customHeight="1" x14ac:dyDescent="0.25">
      <c r="F822" s="330"/>
    </row>
    <row r="823" spans="6:6" ht="15.75" customHeight="1" x14ac:dyDescent="0.25">
      <c r="F823" s="330"/>
    </row>
    <row r="824" spans="6:6" ht="15.75" customHeight="1" x14ac:dyDescent="0.25">
      <c r="F824" s="330"/>
    </row>
    <row r="825" spans="6:6" ht="15.75" customHeight="1" x14ac:dyDescent="0.25">
      <c r="F825" s="330"/>
    </row>
    <row r="826" spans="6:6" ht="15.75" customHeight="1" x14ac:dyDescent="0.25">
      <c r="F826" s="330"/>
    </row>
    <row r="827" spans="6:6" ht="15.75" customHeight="1" x14ac:dyDescent="0.25">
      <c r="F827" s="330"/>
    </row>
    <row r="828" spans="6:6" ht="15.75" customHeight="1" x14ac:dyDescent="0.25">
      <c r="F828" s="330"/>
    </row>
    <row r="829" spans="6:6" ht="15.75" customHeight="1" x14ac:dyDescent="0.25">
      <c r="F829" s="330"/>
    </row>
    <row r="830" spans="6:6" ht="15.75" customHeight="1" x14ac:dyDescent="0.25">
      <c r="F830" s="330"/>
    </row>
    <row r="831" spans="6:6" ht="15.75" customHeight="1" x14ac:dyDescent="0.25">
      <c r="F831" s="330"/>
    </row>
    <row r="832" spans="6:6" ht="15.75" customHeight="1" x14ac:dyDescent="0.25">
      <c r="F832" s="330"/>
    </row>
    <row r="833" spans="6:6" ht="15.75" customHeight="1" x14ac:dyDescent="0.25">
      <c r="F833" s="330"/>
    </row>
    <row r="834" spans="6:6" ht="15.75" customHeight="1" x14ac:dyDescent="0.25">
      <c r="F834" s="330"/>
    </row>
    <row r="835" spans="6:6" ht="15.75" customHeight="1" x14ac:dyDescent="0.25">
      <c r="F835" s="330"/>
    </row>
    <row r="836" spans="6:6" ht="15.75" customHeight="1" x14ac:dyDescent="0.25">
      <c r="F836" s="330"/>
    </row>
    <row r="837" spans="6:6" ht="15.75" customHeight="1" x14ac:dyDescent="0.25">
      <c r="F837" s="330"/>
    </row>
    <row r="838" spans="6:6" ht="15.75" customHeight="1" x14ac:dyDescent="0.25">
      <c r="F838" s="330"/>
    </row>
    <row r="839" spans="6:6" ht="15.75" customHeight="1" x14ac:dyDescent="0.25">
      <c r="F839" s="330"/>
    </row>
    <row r="840" spans="6:6" ht="15.75" customHeight="1" x14ac:dyDescent="0.25">
      <c r="F840" s="330"/>
    </row>
    <row r="841" spans="6:6" ht="15.75" customHeight="1" x14ac:dyDescent="0.25">
      <c r="F841" s="330"/>
    </row>
    <row r="842" spans="6:6" ht="15.75" customHeight="1" x14ac:dyDescent="0.25">
      <c r="F842" s="330"/>
    </row>
    <row r="843" spans="6:6" ht="15.75" customHeight="1" x14ac:dyDescent="0.25">
      <c r="F843" s="330"/>
    </row>
    <row r="844" spans="6:6" ht="15.75" customHeight="1" x14ac:dyDescent="0.25">
      <c r="F844" s="330"/>
    </row>
    <row r="845" spans="6:6" ht="15.75" customHeight="1" x14ac:dyDescent="0.25">
      <c r="F845" s="330"/>
    </row>
    <row r="846" spans="6:6" ht="15.75" customHeight="1" x14ac:dyDescent="0.25">
      <c r="F846" s="330"/>
    </row>
    <row r="847" spans="6:6" ht="15.75" customHeight="1" x14ac:dyDescent="0.25">
      <c r="F847" s="330"/>
    </row>
    <row r="848" spans="6:6" ht="15.75" customHeight="1" x14ac:dyDescent="0.25">
      <c r="F848" s="330"/>
    </row>
    <row r="849" spans="6:6" ht="15.75" customHeight="1" x14ac:dyDescent="0.25">
      <c r="F849" s="330"/>
    </row>
    <row r="850" spans="6:6" ht="15.75" customHeight="1" x14ac:dyDescent="0.25">
      <c r="F850" s="330"/>
    </row>
    <row r="851" spans="6:6" ht="15.75" customHeight="1" x14ac:dyDescent="0.25">
      <c r="F851" s="330"/>
    </row>
    <row r="852" spans="6:6" ht="15.75" customHeight="1" x14ac:dyDescent="0.25">
      <c r="F852" s="330"/>
    </row>
    <row r="853" spans="6:6" ht="15.75" customHeight="1" x14ac:dyDescent="0.25">
      <c r="F853" s="330"/>
    </row>
    <row r="854" spans="6:6" ht="15.75" customHeight="1" x14ac:dyDescent="0.25">
      <c r="F854" s="330"/>
    </row>
    <row r="855" spans="6:6" ht="15.75" customHeight="1" x14ac:dyDescent="0.25">
      <c r="F855" s="330"/>
    </row>
    <row r="856" spans="6:6" ht="15.75" customHeight="1" x14ac:dyDescent="0.25">
      <c r="F856" s="330"/>
    </row>
    <row r="857" spans="6:6" ht="15.75" customHeight="1" x14ac:dyDescent="0.25">
      <c r="F857" s="330"/>
    </row>
    <row r="858" spans="6:6" ht="15.75" customHeight="1" x14ac:dyDescent="0.25">
      <c r="F858" s="330"/>
    </row>
    <row r="859" spans="6:6" ht="15.75" customHeight="1" x14ac:dyDescent="0.25">
      <c r="F859" s="330"/>
    </row>
    <row r="860" spans="6:6" ht="15.75" customHeight="1" x14ac:dyDescent="0.25">
      <c r="F860" s="330"/>
    </row>
    <row r="861" spans="6:6" ht="15.75" customHeight="1" x14ac:dyDescent="0.25">
      <c r="F861" s="330"/>
    </row>
    <row r="862" spans="6:6" ht="15.75" customHeight="1" x14ac:dyDescent="0.25">
      <c r="F862" s="330"/>
    </row>
    <row r="863" spans="6:6" ht="15.75" customHeight="1" x14ac:dyDescent="0.25">
      <c r="F863" s="330"/>
    </row>
    <row r="864" spans="6:6" ht="15.75" customHeight="1" x14ac:dyDescent="0.25">
      <c r="F864" s="330"/>
    </row>
    <row r="865" spans="6:6" ht="15.75" customHeight="1" x14ac:dyDescent="0.25">
      <c r="F865" s="330"/>
    </row>
    <row r="866" spans="6:6" ht="15.75" customHeight="1" x14ac:dyDescent="0.25">
      <c r="F866" s="330"/>
    </row>
    <row r="867" spans="6:6" ht="15.75" customHeight="1" x14ac:dyDescent="0.25">
      <c r="F867" s="330"/>
    </row>
    <row r="868" spans="6:6" ht="15.75" customHeight="1" x14ac:dyDescent="0.25">
      <c r="F868" s="330"/>
    </row>
    <row r="869" spans="6:6" ht="15.75" customHeight="1" x14ac:dyDescent="0.25">
      <c r="F869" s="330"/>
    </row>
    <row r="870" spans="6:6" ht="15.75" customHeight="1" x14ac:dyDescent="0.25">
      <c r="F870" s="330"/>
    </row>
    <row r="871" spans="6:6" ht="15.75" customHeight="1" x14ac:dyDescent="0.25">
      <c r="F871" s="330"/>
    </row>
    <row r="872" spans="6:6" ht="15.75" customHeight="1" x14ac:dyDescent="0.25">
      <c r="F872" s="330"/>
    </row>
    <row r="873" spans="6:6" ht="15.75" customHeight="1" x14ac:dyDescent="0.25">
      <c r="F873" s="330"/>
    </row>
    <row r="874" spans="6:6" ht="15.75" customHeight="1" x14ac:dyDescent="0.25">
      <c r="F874" s="330"/>
    </row>
    <row r="875" spans="6:6" ht="15.75" customHeight="1" x14ac:dyDescent="0.25">
      <c r="F875" s="330"/>
    </row>
    <row r="876" spans="6:6" ht="15.75" customHeight="1" x14ac:dyDescent="0.25">
      <c r="F876" s="330"/>
    </row>
    <row r="877" spans="6:6" ht="15.75" customHeight="1" x14ac:dyDescent="0.25">
      <c r="F877" s="330"/>
    </row>
    <row r="878" spans="6:6" ht="15.75" customHeight="1" x14ac:dyDescent="0.25">
      <c r="F878" s="330"/>
    </row>
    <row r="879" spans="6:6" ht="15.75" customHeight="1" x14ac:dyDescent="0.25">
      <c r="F879" s="330"/>
    </row>
    <row r="880" spans="6:6" ht="15.75" customHeight="1" x14ac:dyDescent="0.25">
      <c r="F880" s="330"/>
    </row>
    <row r="881" spans="6:6" ht="15.75" customHeight="1" x14ac:dyDescent="0.25">
      <c r="F881" s="330"/>
    </row>
    <row r="882" spans="6:6" ht="15.75" customHeight="1" x14ac:dyDescent="0.25">
      <c r="F882" s="330"/>
    </row>
    <row r="883" spans="6:6" ht="15.75" customHeight="1" x14ac:dyDescent="0.25">
      <c r="F883" s="330"/>
    </row>
    <row r="884" spans="6:6" ht="15.75" customHeight="1" x14ac:dyDescent="0.25">
      <c r="F884" s="330"/>
    </row>
    <row r="885" spans="6:6" ht="15.75" customHeight="1" x14ac:dyDescent="0.25">
      <c r="F885" s="330"/>
    </row>
    <row r="886" spans="6:6" ht="15.75" customHeight="1" x14ac:dyDescent="0.25">
      <c r="F886" s="330"/>
    </row>
    <row r="887" spans="6:6" ht="15.75" customHeight="1" x14ac:dyDescent="0.25">
      <c r="F887" s="330"/>
    </row>
    <row r="888" spans="6:6" ht="15.75" customHeight="1" x14ac:dyDescent="0.25">
      <c r="F888" s="330"/>
    </row>
    <row r="889" spans="6:6" ht="15.75" customHeight="1" x14ac:dyDescent="0.25">
      <c r="F889" s="330"/>
    </row>
    <row r="890" spans="6:6" ht="15.75" customHeight="1" x14ac:dyDescent="0.25">
      <c r="F890" s="330"/>
    </row>
    <row r="891" spans="6:6" ht="15.75" customHeight="1" x14ac:dyDescent="0.25">
      <c r="F891" s="330"/>
    </row>
    <row r="892" spans="6:6" ht="15.75" customHeight="1" x14ac:dyDescent="0.25">
      <c r="F892" s="330"/>
    </row>
    <row r="893" spans="6:6" ht="15.75" customHeight="1" x14ac:dyDescent="0.25">
      <c r="F893" s="330"/>
    </row>
    <row r="894" spans="6:6" ht="15.75" customHeight="1" x14ac:dyDescent="0.25">
      <c r="F894" s="330"/>
    </row>
    <row r="895" spans="6:6" ht="15.75" customHeight="1" x14ac:dyDescent="0.25">
      <c r="F895" s="330"/>
    </row>
    <row r="896" spans="6:6" ht="15.75" customHeight="1" x14ac:dyDescent="0.25">
      <c r="F896" s="330"/>
    </row>
    <row r="897" spans="6:6" ht="15.75" customHeight="1" x14ac:dyDescent="0.25">
      <c r="F897" s="330"/>
    </row>
    <row r="898" spans="6:6" ht="15.75" customHeight="1" x14ac:dyDescent="0.25">
      <c r="F898" s="330"/>
    </row>
    <row r="899" spans="6:6" ht="15.75" customHeight="1" x14ac:dyDescent="0.25">
      <c r="F899" s="330"/>
    </row>
    <row r="900" spans="6:6" ht="15.75" customHeight="1" x14ac:dyDescent="0.25">
      <c r="F900" s="330"/>
    </row>
    <row r="901" spans="6:6" ht="15.75" customHeight="1" x14ac:dyDescent="0.25">
      <c r="F901" s="330"/>
    </row>
    <row r="902" spans="6:6" ht="15.75" customHeight="1" x14ac:dyDescent="0.25">
      <c r="F902" s="330"/>
    </row>
    <row r="903" spans="6:6" ht="15.75" customHeight="1" x14ac:dyDescent="0.25">
      <c r="F903" s="330"/>
    </row>
    <row r="904" spans="6:6" ht="15.75" customHeight="1" x14ac:dyDescent="0.25">
      <c r="F904" s="330"/>
    </row>
    <row r="905" spans="6:6" ht="15.75" customHeight="1" x14ac:dyDescent="0.25">
      <c r="F905" s="330"/>
    </row>
    <row r="906" spans="6:6" ht="15.75" customHeight="1" x14ac:dyDescent="0.25">
      <c r="F906" s="330"/>
    </row>
    <row r="907" spans="6:6" ht="15.75" customHeight="1" x14ac:dyDescent="0.25">
      <c r="F907" s="330"/>
    </row>
    <row r="908" spans="6:6" ht="15.75" customHeight="1" x14ac:dyDescent="0.25">
      <c r="F908" s="330"/>
    </row>
    <row r="909" spans="6:6" ht="15.75" customHeight="1" x14ac:dyDescent="0.25">
      <c r="F909" s="330"/>
    </row>
    <row r="910" spans="6:6" ht="15.75" customHeight="1" x14ac:dyDescent="0.25">
      <c r="F910" s="330"/>
    </row>
    <row r="911" spans="6:6" ht="15.75" customHeight="1" x14ac:dyDescent="0.25">
      <c r="F911" s="330"/>
    </row>
    <row r="912" spans="6:6" ht="15.75" customHeight="1" x14ac:dyDescent="0.25">
      <c r="F912" s="330"/>
    </row>
    <row r="913" spans="6:6" ht="15.75" customHeight="1" x14ac:dyDescent="0.25">
      <c r="F913" s="330"/>
    </row>
    <row r="914" spans="6:6" ht="15.75" customHeight="1" x14ac:dyDescent="0.25">
      <c r="F914" s="330"/>
    </row>
    <row r="915" spans="6:6" ht="15.75" customHeight="1" x14ac:dyDescent="0.25">
      <c r="F915" s="330"/>
    </row>
    <row r="916" spans="6:6" ht="15.75" customHeight="1" x14ac:dyDescent="0.25">
      <c r="F916" s="330"/>
    </row>
    <row r="917" spans="6:6" ht="15.75" customHeight="1" x14ac:dyDescent="0.25">
      <c r="F917" s="330"/>
    </row>
    <row r="918" spans="6:6" ht="15.75" customHeight="1" x14ac:dyDescent="0.25">
      <c r="F918" s="330"/>
    </row>
    <row r="919" spans="6:6" ht="15.75" customHeight="1" x14ac:dyDescent="0.25">
      <c r="F919" s="330"/>
    </row>
    <row r="920" spans="6:6" ht="15.75" customHeight="1" x14ac:dyDescent="0.25">
      <c r="F920" s="330"/>
    </row>
    <row r="921" spans="6:6" ht="15.75" customHeight="1" x14ac:dyDescent="0.25">
      <c r="F921" s="330"/>
    </row>
    <row r="922" spans="6:6" ht="15.75" customHeight="1" x14ac:dyDescent="0.25">
      <c r="F922" s="330"/>
    </row>
    <row r="923" spans="6:6" ht="15.75" customHeight="1" x14ac:dyDescent="0.25">
      <c r="F923" s="330"/>
    </row>
    <row r="924" spans="6:6" ht="15.75" customHeight="1" x14ac:dyDescent="0.25">
      <c r="F924" s="330"/>
    </row>
    <row r="925" spans="6:6" ht="15.75" customHeight="1" x14ac:dyDescent="0.25">
      <c r="F925" s="330"/>
    </row>
    <row r="926" spans="6:6" ht="15.75" customHeight="1" x14ac:dyDescent="0.25">
      <c r="F926" s="330"/>
    </row>
    <row r="927" spans="6:6" ht="15.75" customHeight="1" x14ac:dyDescent="0.25">
      <c r="F927" s="330"/>
    </row>
    <row r="928" spans="6:6" ht="15.75" customHeight="1" x14ac:dyDescent="0.25">
      <c r="F928" s="330"/>
    </row>
    <row r="929" spans="6:6" ht="15.75" customHeight="1" x14ac:dyDescent="0.25">
      <c r="F929" s="330"/>
    </row>
    <row r="930" spans="6:6" ht="15.75" customHeight="1" x14ac:dyDescent="0.25">
      <c r="F930" s="330"/>
    </row>
    <row r="931" spans="6:6" ht="15.75" customHeight="1" x14ac:dyDescent="0.25">
      <c r="F931" s="330"/>
    </row>
    <row r="932" spans="6:6" ht="15.75" customHeight="1" x14ac:dyDescent="0.25">
      <c r="F932" s="330"/>
    </row>
    <row r="933" spans="6:6" ht="15.75" customHeight="1" x14ac:dyDescent="0.25">
      <c r="F933" s="330"/>
    </row>
    <row r="934" spans="6:6" ht="15.75" customHeight="1" x14ac:dyDescent="0.25">
      <c r="F934" s="330"/>
    </row>
    <row r="935" spans="6:6" ht="15.75" customHeight="1" x14ac:dyDescent="0.25">
      <c r="F935" s="330"/>
    </row>
    <row r="936" spans="6:6" ht="15.75" customHeight="1" x14ac:dyDescent="0.25">
      <c r="F936" s="330"/>
    </row>
    <row r="937" spans="6:6" ht="15.75" customHeight="1" x14ac:dyDescent="0.25">
      <c r="F937" s="330"/>
    </row>
    <row r="938" spans="6:6" ht="15.75" customHeight="1" x14ac:dyDescent="0.25">
      <c r="F938" s="330"/>
    </row>
    <row r="939" spans="6:6" ht="15.75" customHeight="1" x14ac:dyDescent="0.25">
      <c r="F939" s="330"/>
    </row>
    <row r="940" spans="6:6" ht="15.75" customHeight="1" x14ac:dyDescent="0.25">
      <c r="F940" s="330"/>
    </row>
    <row r="941" spans="6:6" ht="15.75" customHeight="1" x14ac:dyDescent="0.25">
      <c r="F941" s="330"/>
    </row>
    <row r="942" spans="6:6" ht="15.75" customHeight="1" x14ac:dyDescent="0.25">
      <c r="F942" s="330"/>
    </row>
    <row r="943" spans="6:6" ht="15.75" customHeight="1" x14ac:dyDescent="0.25">
      <c r="F943" s="330"/>
    </row>
    <row r="944" spans="6:6" ht="15.75" customHeight="1" x14ac:dyDescent="0.25">
      <c r="F944" s="330"/>
    </row>
    <row r="945" spans="6:6" ht="15.75" customHeight="1" x14ac:dyDescent="0.25">
      <c r="F945" s="330"/>
    </row>
    <row r="946" spans="6:6" ht="15.75" customHeight="1" x14ac:dyDescent="0.25">
      <c r="F946" s="330"/>
    </row>
    <row r="947" spans="6:6" ht="15.75" customHeight="1" x14ac:dyDescent="0.25">
      <c r="F947" s="330"/>
    </row>
    <row r="948" spans="6:6" ht="15.75" customHeight="1" x14ac:dyDescent="0.25">
      <c r="F948" s="330"/>
    </row>
    <row r="949" spans="6:6" ht="15.75" customHeight="1" x14ac:dyDescent="0.25">
      <c r="F949" s="330"/>
    </row>
    <row r="950" spans="6:6" ht="15.75" customHeight="1" x14ac:dyDescent="0.25">
      <c r="F950" s="330"/>
    </row>
    <row r="951" spans="6:6" ht="15.75" customHeight="1" x14ac:dyDescent="0.25">
      <c r="F951" s="330"/>
    </row>
    <row r="952" spans="6:6" ht="15.75" customHeight="1" x14ac:dyDescent="0.25">
      <c r="F952" s="330"/>
    </row>
    <row r="953" spans="6:6" ht="15.75" customHeight="1" x14ac:dyDescent="0.25">
      <c r="F953" s="330"/>
    </row>
    <row r="954" spans="6:6" ht="15.75" customHeight="1" x14ac:dyDescent="0.25">
      <c r="F954" s="330"/>
    </row>
    <row r="955" spans="6:6" ht="15.75" customHeight="1" x14ac:dyDescent="0.25">
      <c r="F955" s="330"/>
    </row>
    <row r="956" spans="6:6" ht="15.75" customHeight="1" x14ac:dyDescent="0.25">
      <c r="F956" s="330"/>
    </row>
    <row r="957" spans="6:6" ht="15.75" customHeight="1" x14ac:dyDescent="0.25">
      <c r="F957" s="330"/>
    </row>
    <row r="958" spans="6:6" ht="15.75" customHeight="1" x14ac:dyDescent="0.25">
      <c r="F958" s="330"/>
    </row>
    <row r="959" spans="6:6" ht="15.75" customHeight="1" x14ac:dyDescent="0.25">
      <c r="F959" s="330"/>
    </row>
    <row r="960" spans="6:6" ht="15.75" customHeight="1" x14ac:dyDescent="0.25">
      <c r="F960" s="330"/>
    </row>
    <row r="961" spans="6:6" ht="15.75" customHeight="1" x14ac:dyDescent="0.25">
      <c r="F961" s="330"/>
    </row>
    <row r="962" spans="6:6" ht="15.75" customHeight="1" x14ac:dyDescent="0.25">
      <c r="F962" s="330"/>
    </row>
    <row r="963" spans="6:6" ht="15.75" customHeight="1" x14ac:dyDescent="0.25">
      <c r="F963" s="330"/>
    </row>
    <row r="964" spans="6:6" ht="15.75" customHeight="1" x14ac:dyDescent="0.25">
      <c r="F964" s="330"/>
    </row>
    <row r="965" spans="6:6" ht="15.75" customHeight="1" x14ac:dyDescent="0.25">
      <c r="F965" s="330"/>
    </row>
    <row r="966" spans="6:6" ht="15.75" customHeight="1" x14ac:dyDescent="0.25">
      <c r="F966" s="330"/>
    </row>
    <row r="967" spans="6:6" ht="15.75" customHeight="1" x14ac:dyDescent="0.25">
      <c r="F967" s="330"/>
    </row>
    <row r="968" spans="6:6" ht="15.75" customHeight="1" x14ac:dyDescent="0.25">
      <c r="F968" s="330"/>
    </row>
    <row r="969" spans="6:6" ht="15.75" customHeight="1" x14ac:dyDescent="0.25">
      <c r="F969" s="330"/>
    </row>
    <row r="970" spans="6:6" ht="15.75" customHeight="1" x14ac:dyDescent="0.25">
      <c r="F970" s="330"/>
    </row>
    <row r="971" spans="6:6" ht="15.75" customHeight="1" x14ac:dyDescent="0.25">
      <c r="F971" s="330"/>
    </row>
    <row r="972" spans="6:6" ht="15.75" customHeight="1" x14ac:dyDescent="0.25">
      <c r="F972" s="330"/>
    </row>
    <row r="973" spans="6:6" ht="15.75" customHeight="1" x14ac:dyDescent="0.25">
      <c r="F973" s="330"/>
    </row>
    <row r="974" spans="6:6" ht="15.75" customHeight="1" x14ac:dyDescent="0.25">
      <c r="F974" s="330"/>
    </row>
    <row r="975" spans="6:6" ht="15.75" customHeight="1" x14ac:dyDescent="0.25">
      <c r="F975" s="330"/>
    </row>
    <row r="976" spans="6:6" ht="15.75" customHeight="1" x14ac:dyDescent="0.25">
      <c r="F976" s="330"/>
    </row>
    <row r="977" spans="6:6" ht="15.75" customHeight="1" x14ac:dyDescent="0.25">
      <c r="F977" s="330"/>
    </row>
    <row r="978" spans="6:6" ht="15.75" customHeight="1" x14ac:dyDescent="0.25">
      <c r="F978" s="330"/>
    </row>
    <row r="979" spans="6:6" ht="15.75" customHeight="1" x14ac:dyDescent="0.25">
      <c r="F979" s="330"/>
    </row>
    <row r="980" spans="6:6" ht="15.75" customHeight="1" x14ac:dyDescent="0.25">
      <c r="F980" s="330"/>
    </row>
    <row r="981" spans="6:6" ht="15.75" customHeight="1" x14ac:dyDescent="0.25">
      <c r="F981" s="330"/>
    </row>
    <row r="982" spans="6:6" ht="15.75" customHeight="1" x14ac:dyDescent="0.25">
      <c r="F982" s="330"/>
    </row>
    <row r="983" spans="6:6" ht="15.75" customHeight="1" x14ac:dyDescent="0.25">
      <c r="F983" s="330"/>
    </row>
    <row r="984" spans="6:6" ht="15.75" customHeight="1" x14ac:dyDescent="0.25">
      <c r="F984" s="330"/>
    </row>
    <row r="985" spans="6:6" ht="15.75" customHeight="1" x14ac:dyDescent="0.25">
      <c r="F985" s="330"/>
    </row>
    <row r="986" spans="6:6" ht="15.75" customHeight="1" x14ac:dyDescent="0.25">
      <c r="F986" s="330"/>
    </row>
    <row r="987" spans="6:6" ht="15.75" customHeight="1" x14ac:dyDescent="0.25">
      <c r="F987" s="330"/>
    </row>
    <row r="988" spans="6:6" ht="15.75" customHeight="1" x14ac:dyDescent="0.25">
      <c r="F988" s="330"/>
    </row>
    <row r="989" spans="6:6" ht="15.75" customHeight="1" x14ac:dyDescent="0.25">
      <c r="F989" s="330"/>
    </row>
    <row r="990" spans="6:6" ht="15.75" customHeight="1" x14ac:dyDescent="0.25">
      <c r="F990" s="330"/>
    </row>
    <row r="991" spans="6:6" ht="15.75" customHeight="1" x14ac:dyDescent="0.25">
      <c r="F991" s="330"/>
    </row>
    <row r="992" spans="6:6" ht="15.75" customHeight="1" x14ac:dyDescent="0.25">
      <c r="F992" s="330"/>
    </row>
    <row r="993" spans="6:6" ht="15.75" customHeight="1" x14ac:dyDescent="0.25">
      <c r="F993" s="330"/>
    </row>
    <row r="994" spans="6:6" ht="15.75" customHeight="1" x14ac:dyDescent="0.25">
      <c r="F994" s="330"/>
    </row>
    <row r="995" spans="6:6" ht="15.75" customHeight="1" x14ac:dyDescent="0.25">
      <c r="F995" s="330"/>
    </row>
    <row r="996" spans="6:6" ht="15.75" customHeight="1" x14ac:dyDescent="0.25">
      <c r="F996" s="330"/>
    </row>
    <row r="997" spans="6:6" ht="15.75" customHeight="1" x14ac:dyDescent="0.25">
      <c r="F997" s="330"/>
    </row>
    <row r="998" spans="6:6" ht="15.75" customHeight="1" x14ac:dyDescent="0.25">
      <c r="F998" s="330"/>
    </row>
    <row r="999" spans="6:6" ht="15.75" customHeight="1" x14ac:dyDescent="0.25">
      <c r="F999" s="330"/>
    </row>
    <row r="1000" spans="6:6" ht="15.75" customHeight="1" x14ac:dyDescent="0.25">
      <c r="F1000" s="330"/>
    </row>
    <row r="1001" spans="6:6" ht="15.75" customHeight="1" x14ac:dyDescent="0.25">
      <c r="F1001" s="330"/>
    </row>
    <row r="1002" spans="6:6" ht="15.75" customHeight="1" x14ac:dyDescent="0.25">
      <c r="F1002" s="330"/>
    </row>
    <row r="1003" spans="6:6" ht="15.75" customHeight="1" x14ac:dyDescent="0.25">
      <c r="F1003" s="330"/>
    </row>
    <row r="1004" spans="6:6" ht="15.75" customHeight="1" x14ac:dyDescent="0.25">
      <c r="F1004" s="330"/>
    </row>
    <row r="1005" spans="6:6" ht="15.75" customHeight="1" x14ac:dyDescent="0.25">
      <c r="F1005" s="330"/>
    </row>
    <row r="1006" spans="6:6" ht="15.75" customHeight="1" x14ac:dyDescent="0.25">
      <c r="F1006" s="330"/>
    </row>
    <row r="1007" spans="6:6" ht="15.75" customHeight="1" x14ac:dyDescent="0.25">
      <c r="F1007" s="330"/>
    </row>
    <row r="1008" spans="6:6" ht="15.75" customHeight="1" x14ac:dyDescent="0.25">
      <c r="F1008" s="330"/>
    </row>
    <row r="1009" spans="6:6" ht="15.75" customHeight="1" x14ac:dyDescent="0.25">
      <c r="F1009" s="330"/>
    </row>
    <row r="1010" spans="6:6" ht="15.75" customHeight="1" x14ac:dyDescent="0.25">
      <c r="F1010" s="330"/>
    </row>
    <row r="1011" spans="6:6" ht="15.75" customHeight="1" x14ac:dyDescent="0.25">
      <c r="F1011" s="330"/>
    </row>
    <row r="1012" spans="6:6" ht="15.75" customHeight="1" x14ac:dyDescent="0.25">
      <c r="F1012" s="330"/>
    </row>
    <row r="1013" spans="6:6" ht="15.75" customHeight="1" x14ac:dyDescent="0.25">
      <c r="F1013" s="330"/>
    </row>
    <row r="1014" spans="6:6" ht="15.75" customHeight="1" x14ac:dyDescent="0.25">
      <c r="F1014" s="330"/>
    </row>
    <row r="1015" spans="6:6" ht="15.75" customHeight="1" x14ac:dyDescent="0.25">
      <c r="F1015" s="330"/>
    </row>
    <row r="1016" spans="6:6" ht="15.75" customHeight="1" x14ac:dyDescent="0.25">
      <c r="F1016" s="330"/>
    </row>
    <row r="1017" spans="6:6" ht="15.75" customHeight="1" x14ac:dyDescent="0.25">
      <c r="F1017" s="330"/>
    </row>
    <row r="1018" spans="6:6" ht="15.75" customHeight="1" x14ac:dyDescent="0.25">
      <c r="F1018" s="330"/>
    </row>
    <row r="1019" spans="6:6" ht="15.75" customHeight="1" x14ac:dyDescent="0.25">
      <c r="F1019" s="330"/>
    </row>
    <row r="1020" spans="6:6" ht="15.75" customHeight="1" x14ac:dyDescent="0.25">
      <c r="F1020" s="330"/>
    </row>
    <row r="1021" spans="6:6" ht="15.75" customHeight="1" x14ac:dyDescent="0.25">
      <c r="F1021" s="330"/>
    </row>
    <row r="1022" spans="6:6" ht="15.75" customHeight="1" x14ac:dyDescent="0.25">
      <c r="F1022" s="330"/>
    </row>
    <row r="1023" spans="6:6" ht="15.75" customHeight="1" x14ac:dyDescent="0.25">
      <c r="F1023" s="330"/>
    </row>
    <row r="1024" spans="6:6" ht="15.75" customHeight="1" x14ac:dyDescent="0.25">
      <c r="F1024" s="330"/>
    </row>
    <row r="1025" spans="6:6" ht="15.75" customHeight="1" x14ac:dyDescent="0.25">
      <c r="F1025" s="330"/>
    </row>
    <row r="1026" spans="6:6" ht="15.75" customHeight="1" x14ac:dyDescent="0.25">
      <c r="F1026" s="330"/>
    </row>
    <row r="1027" spans="6:6" ht="15.75" customHeight="1" x14ac:dyDescent="0.25">
      <c r="F1027" s="330"/>
    </row>
    <row r="1028" spans="6:6" ht="15.75" customHeight="1" x14ac:dyDescent="0.25">
      <c r="F1028" s="330"/>
    </row>
    <row r="1029" spans="6:6" ht="15.75" customHeight="1" x14ac:dyDescent="0.25">
      <c r="F1029" s="330"/>
    </row>
    <row r="1030" spans="6:6" ht="15.75" customHeight="1" x14ac:dyDescent="0.25">
      <c r="F1030" s="330"/>
    </row>
    <row r="1031" spans="6:6" ht="15.75" customHeight="1" x14ac:dyDescent="0.25">
      <c r="F1031" s="330"/>
    </row>
    <row r="1032" spans="6:6" ht="15.75" customHeight="1" x14ac:dyDescent="0.25">
      <c r="F1032" s="330"/>
    </row>
    <row r="1033" spans="6:6" ht="15.75" customHeight="1" x14ac:dyDescent="0.25">
      <c r="F1033" s="330"/>
    </row>
    <row r="1034" spans="6:6" ht="15.75" customHeight="1" x14ac:dyDescent="0.25">
      <c r="F1034" s="330"/>
    </row>
    <row r="1035" spans="6:6" ht="15.75" customHeight="1" x14ac:dyDescent="0.25">
      <c r="F1035" s="330"/>
    </row>
    <row r="1036" spans="6:6" ht="15.75" customHeight="1" x14ac:dyDescent="0.25">
      <c r="F1036" s="330"/>
    </row>
    <row r="1037" spans="6:6" ht="15.75" customHeight="1" x14ac:dyDescent="0.25">
      <c r="F1037" s="330"/>
    </row>
    <row r="1038" spans="6:6" ht="15.75" customHeight="1" x14ac:dyDescent="0.25">
      <c r="F1038" s="330"/>
    </row>
    <row r="1039" spans="6:6" ht="15.75" customHeight="1" x14ac:dyDescent="0.25">
      <c r="F1039" s="330"/>
    </row>
    <row r="1040" spans="6:6" ht="15.75" customHeight="1" x14ac:dyDescent="0.25">
      <c r="F1040" s="330"/>
    </row>
    <row r="1041" spans="6:6" ht="15.75" customHeight="1" x14ac:dyDescent="0.25">
      <c r="F1041" s="330"/>
    </row>
    <row r="1042" spans="6:6" ht="15.75" customHeight="1" x14ac:dyDescent="0.25">
      <c r="F1042" s="330"/>
    </row>
    <row r="1043" spans="6:6" ht="15.75" customHeight="1" x14ac:dyDescent="0.25">
      <c r="F1043" s="330"/>
    </row>
    <row r="1044" spans="6:6" ht="15.75" customHeight="1" x14ac:dyDescent="0.25">
      <c r="F1044" s="330"/>
    </row>
    <row r="1045" spans="6:6" ht="15.75" customHeight="1" x14ac:dyDescent="0.25">
      <c r="F1045" s="330"/>
    </row>
    <row r="1046" spans="6:6" ht="15.75" customHeight="1" x14ac:dyDescent="0.25">
      <c r="F1046" s="330"/>
    </row>
    <row r="1047" spans="6:6" ht="15.75" customHeight="1" x14ac:dyDescent="0.25">
      <c r="F1047" s="330"/>
    </row>
    <row r="1048" spans="6:6" ht="15.75" customHeight="1" x14ac:dyDescent="0.25">
      <c r="F1048" s="330"/>
    </row>
    <row r="1049" spans="6:6" ht="15.75" customHeight="1" x14ac:dyDescent="0.25">
      <c r="F1049" s="330"/>
    </row>
    <row r="1050" spans="6:6" ht="15.75" customHeight="1" x14ac:dyDescent="0.25">
      <c r="F1050" s="330"/>
    </row>
    <row r="1051" spans="6:6" ht="15.75" customHeight="1" x14ac:dyDescent="0.25">
      <c r="F1051" s="330"/>
    </row>
    <row r="1052" spans="6:6" ht="15.75" customHeight="1" x14ac:dyDescent="0.25">
      <c r="F1052" s="330"/>
    </row>
  </sheetData>
  <sheetProtection algorithmName="SHA-512" hashValue="r8V5ByJqFWn15jJyphRtcQgiQiT87PyjV0qGwgl+FUE/oAF6p48CSBeCuyvmG92HZfBrw5bXKqgXpyNjvuFCpg==" saltValue="O1ovJPkZvC+wNZuY6Rkqtg==" spinCount="100000" sheet="1" objects="1" scenarios="1"/>
  <mergeCells count="121">
    <mergeCell ref="A76:B77"/>
    <mergeCell ref="B86:C86"/>
    <mergeCell ref="B88:C88"/>
    <mergeCell ref="A90:B96"/>
    <mergeCell ref="B78:C78"/>
    <mergeCell ref="A79:B82"/>
    <mergeCell ref="B83:C83"/>
    <mergeCell ref="A85:B85"/>
    <mergeCell ref="A84:B84"/>
    <mergeCell ref="A56:C56"/>
    <mergeCell ref="B57:C57"/>
    <mergeCell ref="B62:C62"/>
    <mergeCell ref="A64:B65"/>
    <mergeCell ref="B66:C66"/>
    <mergeCell ref="A67:B68"/>
    <mergeCell ref="B69:C69"/>
    <mergeCell ref="A71:B73"/>
    <mergeCell ref="B74:C74"/>
    <mergeCell ref="A27:C27"/>
    <mergeCell ref="B28:C28"/>
    <mergeCell ref="B6:C6"/>
    <mergeCell ref="A7:B12"/>
    <mergeCell ref="B13:C13"/>
    <mergeCell ref="A14:B19"/>
    <mergeCell ref="B20:C20"/>
    <mergeCell ref="A21:B26"/>
    <mergeCell ref="B42:C42"/>
    <mergeCell ref="A30:B31"/>
    <mergeCell ref="A32:C32"/>
    <mergeCell ref="B33:C33"/>
    <mergeCell ref="A35:B36"/>
    <mergeCell ref="B37:C37"/>
    <mergeCell ref="A39:B41"/>
    <mergeCell ref="M7:N7"/>
    <mergeCell ref="M8:N8"/>
    <mergeCell ref="M9:N9"/>
    <mergeCell ref="M10:N10"/>
    <mergeCell ref="M11:N11"/>
    <mergeCell ref="A1:C1"/>
    <mergeCell ref="D1:O1"/>
    <mergeCell ref="A2:O2"/>
    <mergeCell ref="D3:D4"/>
    <mergeCell ref="E3:E4"/>
    <mergeCell ref="L3:L4"/>
    <mergeCell ref="A3:B4"/>
    <mergeCell ref="C3:C4"/>
    <mergeCell ref="F3:F4"/>
    <mergeCell ref="G3:G4"/>
    <mergeCell ref="M3:N4"/>
    <mergeCell ref="H3:H4"/>
    <mergeCell ref="I3:I4"/>
    <mergeCell ref="J3:J4"/>
    <mergeCell ref="K3:K4"/>
    <mergeCell ref="A5:C5"/>
    <mergeCell ref="M18:N18"/>
    <mergeCell ref="M19:N19"/>
    <mergeCell ref="M21:N21"/>
    <mergeCell ref="M22:N22"/>
    <mergeCell ref="M23:N23"/>
    <mergeCell ref="M12:N12"/>
    <mergeCell ref="M14:N14"/>
    <mergeCell ref="M15:N15"/>
    <mergeCell ref="M16:N16"/>
    <mergeCell ref="M17:N17"/>
    <mergeCell ref="M31:N31"/>
    <mergeCell ref="M34:N34"/>
    <mergeCell ref="M35:N35"/>
    <mergeCell ref="M36:N36"/>
    <mergeCell ref="M24:N24"/>
    <mergeCell ref="M25:N25"/>
    <mergeCell ref="M26:N26"/>
    <mergeCell ref="M29:N29"/>
    <mergeCell ref="M30:N30"/>
    <mergeCell ref="M44:N44"/>
    <mergeCell ref="M45:N45"/>
    <mergeCell ref="M46:N46"/>
    <mergeCell ref="M47:N47"/>
    <mergeCell ref="M48:N48"/>
    <mergeCell ref="M38:N38"/>
    <mergeCell ref="M39:N39"/>
    <mergeCell ref="M40:N40"/>
    <mergeCell ref="M41:N41"/>
    <mergeCell ref="M43:N43"/>
    <mergeCell ref="M54:N54"/>
    <mergeCell ref="M55:N55"/>
    <mergeCell ref="M58:N58"/>
    <mergeCell ref="M59:N59"/>
    <mergeCell ref="M49:N49"/>
    <mergeCell ref="M50:N50"/>
    <mergeCell ref="M51:N51"/>
    <mergeCell ref="M52:N52"/>
    <mergeCell ref="M53:N53"/>
    <mergeCell ref="M67:N67"/>
    <mergeCell ref="M68:N68"/>
    <mergeCell ref="M70:N70"/>
    <mergeCell ref="M71:N71"/>
    <mergeCell ref="M72:N72"/>
    <mergeCell ref="M60:N60"/>
    <mergeCell ref="M61:N61"/>
    <mergeCell ref="M63:N63"/>
    <mergeCell ref="M64:N64"/>
    <mergeCell ref="M65:N65"/>
    <mergeCell ref="M80:N80"/>
    <mergeCell ref="M81:N81"/>
    <mergeCell ref="M82:N82"/>
    <mergeCell ref="M84:N84"/>
    <mergeCell ref="M85:N85"/>
    <mergeCell ref="M73:N73"/>
    <mergeCell ref="M75:N75"/>
    <mergeCell ref="M76:N76"/>
    <mergeCell ref="M77:N77"/>
    <mergeCell ref="M79:N79"/>
    <mergeCell ref="M94:N94"/>
    <mergeCell ref="M95:N95"/>
    <mergeCell ref="M96:N96"/>
    <mergeCell ref="M89:N89"/>
    <mergeCell ref="M87:N87"/>
    <mergeCell ref="M90:N90"/>
    <mergeCell ref="M91:N91"/>
    <mergeCell ref="M92:N92"/>
    <mergeCell ref="M93:N93"/>
  </mergeCells>
  <conditionalFormatting sqref="K6:K98">
    <cfRule type="expression" dxfId="227" priority="16">
      <formula>H6=1</formula>
    </cfRule>
  </conditionalFormatting>
  <conditionalFormatting sqref="I7:I98">
    <cfRule type="cellIs" dxfId="226" priority="8" operator="lessThan">
      <formula>0</formula>
    </cfRule>
  </conditionalFormatting>
  <conditionalFormatting sqref="L6:L98">
    <cfRule type="cellIs" dxfId="225" priority="6" operator="greaterThan">
      <formula>0</formula>
    </cfRule>
    <cfRule type="cellIs" dxfId="224" priority="7" operator="equal">
      <formula>0</formula>
    </cfRule>
  </conditionalFormatting>
  <conditionalFormatting sqref="O6:O98">
    <cfRule type="containsText" dxfId="223" priority="9" operator="containsText" text="Expired">
      <formula>NOT(ISERROR(SEARCH("Expired",O6)))</formula>
    </cfRule>
    <cfRule type="containsText" dxfId="222" priority="10" operator="containsText" text="B1">
      <formula>NOT(ISERROR(SEARCH("B1",O6)))</formula>
    </cfRule>
    <cfRule type="containsText" dxfId="221" priority="11" operator="containsText" text="LCA">
      <formula>NOT(ISERROR(SEARCH("LCA",O6)))</formula>
    </cfRule>
    <cfRule type="containsText" dxfId="220" priority="12" operator="containsText" text="ICE">
      <formula>NOT(ISERROR(SEARCH("ICE",O6)))</formula>
    </cfRule>
    <cfRule type="containsText" dxfId="219" priority="13" operator="containsText" text="No">
      <formula>NOT(ISERROR(SEARCH("No",O6)))</formula>
    </cfRule>
    <cfRule type="containsText" dxfId="218" priority="14" operator="containsText" text="None">
      <formula>NOT(ISERROR(SEARCH("None",O6)))</formula>
    </cfRule>
    <cfRule type="containsText" dxfId="217" priority="15" operator="containsText" text="A1-">
      <formula>NOT(ISERROR(SEARCH("A1-",O6)))</formula>
    </cfRule>
  </conditionalFormatting>
  <conditionalFormatting sqref="P4">
    <cfRule type="cellIs" dxfId="216" priority="2" operator="greaterThan">
      <formula>0</formula>
    </cfRule>
    <cfRule type="cellIs" dxfId="215" priority="3" operator="equal">
      <formula>0</formula>
    </cfRule>
  </conditionalFormatting>
  <conditionalFormatting sqref="O4">
    <cfRule type="expression" dxfId="214" priority="1">
      <formula>COUNTIF($H:$H, 1)&gt;0</formula>
    </cfRule>
  </conditionalFormatting>
  <dataValidations count="2">
    <dataValidation type="list" allowBlank="1" showErrorMessage="1" sqref="E5 E27" xr:uid="{00000000-0002-0000-0F00-000000000000}">
      <formula1>spacing</formula1>
    </dataValidation>
    <dataValidation type="whole" errorStyle="warning" operator="equal" allowBlank="1" showErrorMessage="1" errorTitle="Enter 1 to select" error="Options:_x000a_To select item, enter '1'_x000a_To unselect, leave cell empty" sqref="H5:H96" xr:uid="{00000000-0002-0000-0F00-000001000000}">
      <formula1>1</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0">
    <tabColor theme="4" tint="0.59999389629810485"/>
  </sheetPr>
  <dimension ref="A1:AA1086"/>
  <sheetViews>
    <sheetView zoomScale="80" zoomScaleNormal="80" workbookViewId="0">
      <pane ySplit="4" topLeftCell="A5" activePane="bottomLeft" state="frozen"/>
      <selection activeCell="K14" sqref="K14"/>
      <selection pane="bottomLeft" activeCell="A5" sqref="A5:C5"/>
    </sheetView>
  </sheetViews>
  <sheetFormatPr defaultColWidth="11.36328125" defaultRowHeight="15" customHeight="1" x14ac:dyDescent="0.25"/>
  <cols>
    <col min="1" max="1" width="8.6328125" customWidth="1"/>
    <col min="2" max="2" width="13.08984375" customWidth="1"/>
    <col min="3" max="3" width="57.54296875" customWidth="1"/>
    <col min="4" max="4" width="19.81640625" style="712" customWidth="1"/>
    <col min="5" max="5" width="5.6328125" customWidth="1"/>
    <col min="6" max="6" width="6.6328125" style="331" customWidth="1"/>
    <col min="7" max="7" width="2.36328125" customWidth="1"/>
    <col min="8" max="8" width="6.6328125" customWidth="1"/>
    <col min="9" max="9" width="13.6328125" style="714" hidden="1" customWidth="1"/>
    <col min="10" max="10" width="16.6328125" style="714" hidden="1" customWidth="1"/>
    <col min="11" max="12" width="13.6328125" style="714" customWidth="1"/>
    <col min="13" max="13" width="12.6328125" style="714" customWidth="1"/>
    <col min="14" max="14" width="35.90625" style="714" customWidth="1"/>
    <col min="15" max="15" width="28.6328125" customWidth="1"/>
    <col min="16" max="16" width="28.54296875" style="619" customWidth="1"/>
    <col min="17" max="17" width="5.1796875" style="725" customWidth="1"/>
    <col min="18" max="18" width="11.1796875" style="725" customWidth="1"/>
    <col min="19" max="19" width="19.36328125" style="619" customWidth="1"/>
    <col min="20" max="26" width="10.54296875" style="619" customWidth="1"/>
    <col min="27" max="16384" width="11.36328125" style="619"/>
  </cols>
  <sheetData>
    <row r="1" spans="1:27" ht="54.75" customHeight="1" x14ac:dyDescent="0.25">
      <c r="A1" s="1528" t="s">
        <v>3436</v>
      </c>
      <c r="B1" s="1529"/>
      <c r="C1" s="1530"/>
      <c r="D1" s="1521" t="s">
        <v>1739</v>
      </c>
      <c r="E1" s="1521"/>
      <c r="F1" s="1521"/>
      <c r="G1" s="1521"/>
      <c r="H1" s="1521"/>
      <c r="I1" s="1521"/>
      <c r="J1" s="1521"/>
      <c r="K1" s="1521"/>
      <c r="L1" s="1521"/>
      <c r="M1" s="716"/>
      <c r="N1" s="716"/>
      <c r="O1" s="618"/>
      <c r="P1" s="618"/>
    </row>
    <row r="2" spans="1:27" ht="19.2" customHeight="1" x14ac:dyDescent="0.3">
      <c r="A2" s="1591" t="s">
        <v>7209</v>
      </c>
      <c r="B2" s="1591"/>
      <c r="C2" s="1591"/>
      <c r="D2" s="1591"/>
      <c r="E2" s="1591"/>
      <c r="F2" s="1591"/>
      <c r="G2" s="1591"/>
      <c r="H2" s="1591"/>
      <c r="I2" s="1591"/>
      <c r="J2" s="1591"/>
      <c r="K2" s="1591"/>
      <c r="L2" s="1591"/>
      <c r="M2" s="1591"/>
      <c r="N2" s="1591"/>
      <c r="O2" s="1591"/>
      <c r="AA2" s="621"/>
    </row>
    <row r="3" spans="1:27" ht="60" customHeight="1" x14ac:dyDescent="0.25">
      <c r="A3" s="1537" t="s">
        <v>1031</v>
      </c>
      <c r="B3" s="1537"/>
      <c r="C3" s="1537" t="s">
        <v>13</v>
      </c>
      <c r="D3" s="1532" t="s">
        <v>1583</v>
      </c>
      <c r="E3" s="1534"/>
      <c r="F3" s="1631" t="s">
        <v>14</v>
      </c>
      <c r="G3" s="1537"/>
      <c r="H3" s="1538" t="s">
        <v>3417</v>
      </c>
      <c r="I3" s="1526" t="s">
        <v>7157</v>
      </c>
      <c r="J3" s="1526" t="s">
        <v>7158</v>
      </c>
      <c r="K3" s="1535" t="s">
        <v>900</v>
      </c>
      <c r="L3" s="1535" t="s">
        <v>7156</v>
      </c>
      <c r="M3" s="1520" t="s">
        <v>7165</v>
      </c>
      <c r="N3" s="1520"/>
      <c r="O3" s="622" t="s">
        <v>7193</v>
      </c>
      <c r="P3" s="622" t="s">
        <v>7199</v>
      </c>
      <c r="S3" s="665"/>
      <c r="T3" s="665"/>
      <c r="U3" s="665"/>
      <c r="V3" s="665"/>
      <c r="W3" s="665"/>
      <c r="X3" s="665"/>
      <c r="Y3" s="665"/>
      <c r="Z3" s="665"/>
      <c r="AA3" s="623"/>
    </row>
    <row r="4" spans="1:27" ht="30.15" customHeight="1" x14ac:dyDescent="0.3">
      <c r="A4" s="1537"/>
      <c r="B4" s="1537"/>
      <c r="C4" s="1537"/>
      <c r="D4" s="1533"/>
      <c r="E4" s="1523"/>
      <c r="F4" s="1631"/>
      <c r="G4" s="1537"/>
      <c r="H4" s="1539"/>
      <c r="I4" s="1527"/>
      <c r="J4" s="1527"/>
      <c r="K4" s="1536"/>
      <c r="L4" s="1536"/>
      <c r="M4" s="1520"/>
      <c r="N4" s="1520"/>
      <c r="O4" s="405">
        <f>SUMIF(H6:H160, 1, K6:K160)</f>
        <v>0</v>
      </c>
      <c r="P4" s="424">
        <f>SUMIF(H6:H160, 1, L6:L160)</f>
        <v>0</v>
      </c>
      <c r="Q4" s="626" t="s">
        <v>107</v>
      </c>
      <c r="R4" s="626" t="s">
        <v>1072</v>
      </c>
      <c r="S4" s="627" t="s">
        <v>749</v>
      </c>
      <c r="T4" s="627" t="s">
        <v>108</v>
      </c>
      <c r="AA4" s="627"/>
    </row>
    <row r="5" spans="1:27" s="624" customFormat="1" ht="54.75" customHeight="1" x14ac:dyDescent="0.25">
      <c r="A5" s="1522" t="s">
        <v>75</v>
      </c>
      <c r="B5" s="1523"/>
      <c r="C5" s="1523"/>
      <c r="D5" s="629" t="s">
        <v>38</v>
      </c>
      <c r="E5" s="1"/>
      <c r="F5" s="323" t="str">
        <f>IF(LOWER(Setting!rng_language)="english","in","po")</f>
        <v>in</v>
      </c>
      <c r="G5" s="650"/>
      <c r="H5" s="650"/>
      <c r="I5" s="651"/>
      <c r="J5" s="651"/>
      <c r="K5" s="652"/>
      <c r="L5" s="759"/>
      <c r="M5" s="759"/>
      <c r="N5" s="759"/>
      <c r="O5" s="838"/>
      <c r="P5" s="637"/>
      <c r="Q5" s="726"/>
      <c r="R5" s="726"/>
      <c r="S5" s="638"/>
      <c r="T5" s="638"/>
      <c r="U5" s="638"/>
      <c r="V5" s="638"/>
      <c r="W5" s="638"/>
      <c r="X5" s="638"/>
      <c r="Y5" s="638"/>
      <c r="Z5" s="638"/>
      <c r="AA5" s="638"/>
    </row>
    <row r="6" spans="1:27" s="624" customFormat="1" ht="21" customHeight="1" x14ac:dyDescent="0.25">
      <c r="A6" s="639"/>
      <c r="B6" s="1524" t="s">
        <v>6843</v>
      </c>
      <c r="C6" s="1523"/>
      <c r="D6" s="640"/>
      <c r="E6" s="641"/>
      <c r="F6" s="334"/>
      <c r="G6" s="678"/>
      <c r="H6" s="639"/>
      <c r="I6" s="733"/>
      <c r="J6" s="733"/>
      <c r="K6" s="698"/>
      <c r="L6" s="736"/>
      <c r="M6" s="736"/>
      <c r="N6" s="736"/>
      <c r="O6" s="25" t="str">
        <f>_xlfn.IFNA(VLOOKUP($C6,'Master sheet'!$A:$AR,44,FALSE),"")&amp;""</f>
        <v/>
      </c>
      <c r="P6" s="637"/>
      <c r="Q6" s="722"/>
      <c r="R6" s="722"/>
      <c r="S6" s="623"/>
      <c r="T6" s="638"/>
      <c r="U6" s="638"/>
      <c r="V6" s="638"/>
      <c r="W6" s="638"/>
      <c r="X6" s="638"/>
      <c r="Y6" s="638"/>
      <c r="Z6" s="638"/>
      <c r="AA6" s="638"/>
    </row>
    <row r="7" spans="1:27" ht="22.8" x14ac:dyDescent="0.25">
      <c r="A7" s="1542"/>
      <c r="B7" s="1542"/>
      <c r="C7" s="669" t="str">
        <f>INDEX('Master sheet'!$A$1:$A$670,MATCH("248-1",'Master sheet'!$AN$1:$AN$670,0))</f>
        <v xml:space="preserve">Wood - SPF / Canadian Wood Council / British Columbia / </v>
      </c>
      <c r="D7" s="15">
        <f>'USER INPUT SHEET'!$D$35</f>
        <v>0</v>
      </c>
      <c r="E7" s="16" t="str">
        <f>'USER INPUT SHEET'!$F$35</f>
        <v>m2</v>
      </c>
      <c r="F7" s="3">
        <v>1</v>
      </c>
      <c r="G7" s="670"/>
      <c r="H7" s="8"/>
      <c r="I7" s="92">
        <f t="shared" ref="I7:I12" si="0">K7-L7-IF(N7,M7,0)</f>
        <v>0</v>
      </c>
      <c r="J7" s="93" t="str">
        <f t="shared" ref="J7:J12" si="1">IF(H7=1,I7,"")</f>
        <v/>
      </c>
      <c r="K7" s="406">
        <f>$D7*$F7*IF($E$5=16,0.25,0.22)*VLOOKUP($C7,'Master sheet'!$A:$AL,13,FALSE)*(0.0254*7.25)</f>
        <v>0</v>
      </c>
      <c r="L7" s="94">
        <f>$D7*$F7*IF($E$5=16,0.25,0.22)*VLOOKUP($C7,'Master sheet'!$A:$AL,27,FALSE)*(0.0254*7.25)</f>
        <v>0</v>
      </c>
      <c r="M7" s="1562"/>
      <c r="N7" s="1562"/>
      <c r="O7" s="25" t="str">
        <f>_xlfn.IFNA(VLOOKUP($C7,'Master sheet'!$A:$AR,44,FALSE),"")&amp;""</f>
        <v/>
      </c>
      <c r="P7" s="839"/>
      <c r="Q7" s="726" t="s">
        <v>74</v>
      </c>
      <c r="R7" s="726" t="s">
        <v>75</v>
      </c>
      <c r="S7" s="638" t="s">
        <v>7259</v>
      </c>
      <c r="T7" s="665"/>
      <c r="U7" s="664"/>
      <c r="V7" s="664"/>
      <c r="W7" s="664"/>
      <c r="X7" s="664"/>
      <c r="Y7" s="664"/>
      <c r="Z7" s="664"/>
      <c r="AA7" s="638"/>
    </row>
    <row r="8" spans="1:27" ht="22.8" x14ac:dyDescent="0.25">
      <c r="A8" s="1542"/>
      <c r="B8" s="1542"/>
      <c r="C8" s="669" t="str">
        <f>INDEX('Master sheet'!$A$1:$A$670,MATCH("248-2",'Master sheet'!$AN$1:$AN$670,0))</f>
        <v xml:space="preserve">Wood - SPF / Canadian Wood Council / Alberta / </v>
      </c>
      <c r="D8" s="13">
        <f>'USER INPUT SHEET'!$D$35</f>
        <v>0</v>
      </c>
      <c r="E8" s="14" t="str">
        <f>'USER INPUT SHEET'!$F$35</f>
        <v>m2</v>
      </c>
      <c r="F8" s="2">
        <v>1</v>
      </c>
      <c r="G8" s="648"/>
      <c r="H8" s="7"/>
      <c r="I8" s="88">
        <f t="shared" si="0"/>
        <v>0</v>
      </c>
      <c r="J8" s="89" t="str">
        <f t="shared" si="1"/>
        <v/>
      </c>
      <c r="K8" s="404">
        <f>$D8*$F8*IF($E$5=16,0.25,0.22)*VLOOKUP($C8,'Master sheet'!$A:$AL,13,FALSE)*(0.0254*7.25)</f>
        <v>0</v>
      </c>
      <c r="L8" s="90">
        <f>$D8*$F8*IF($E$5=16,0.25,0.22)*VLOOKUP($C8,'Master sheet'!$A:$AL,27,FALSE)*(0.0254*7.25)</f>
        <v>0</v>
      </c>
      <c r="M8" s="1552"/>
      <c r="N8" s="1552"/>
      <c r="O8" s="25" t="str">
        <f>_xlfn.IFNA(VLOOKUP($C8,'Master sheet'!$A:$AR,44,FALSE),"")&amp;""</f>
        <v/>
      </c>
      <c r="P8" s="839"/>
      <c r="Q8" s="726" t="s">
        <v>74</v>
      </c>
      <c r="R8" s="726" t="s">
        <v>75</v>
      </c>
      <c r="S8" s="638" t="s">
        <v>7259</v>
      </c>
      <c r="T8" s="665"/>
      <c r="U8" s="664"/>
      <c r="V8" s="664"/>
      <c r="W8" s="664"/>
      <c r="X8" s="664"/>
      <c r="Y8" s="664"/>
      <c r="Z8" s="664"/>
      <c r="AA8" s="638"/>
    </row>
    <row r="9" spans="1:27" ht="22.8" x14ac:dyDescent="0.25">
      <c r="A9" s="1542"/>
      <c r="B9" s="1542"/>
      <c r="C9" s="669" t="str">
        <f>INDEX('Master sheet'!$A$1:$A$670,MATCH("248-3",'Master sheet'!$AN$1:$AN$670,0))</f>
        <v xml:space="preserve">Wood - SPF / Canadian Wood Council / Ontario / </v>
      </c>
      <c r="D9" s="13">
        <f>'USER INPUT SHEET'!$D$35</f>
        <v>0</v>
      </c>
      <c r="E9" s="14" t="str">
        <f>'USER INPUT SHEET'!$F$35</f>
        <v>m2</v>
      </c>
      <c r="F9" s="2">
        <v>1</v>
      </c>
      <c r="G9" s="648"/>
      <c r="H9" s="7"/>
      <c r="I9" s="88">
        <f t="shared" si="0"/>
        <v>0</v>
      </c>
      <c r="J9" s="89" t="str">
        <f t="shared" si="1"/>
        <v/>
      </c>
      <c r="K9" s="404">
        <f>$D9*$F9*IF($E$5=16,0.25,0.22)*VLOOKUP($C9,'Master sheet'!$A:$AL,13,FALSE)*(0.0254*7.25)</f>
        <v>0</v>
      </c>
      <c r="L9" s="90">
        <f>$D9*$F9*IF($E$5=16,0.25,0.22)*VLOOKUP($C9,'Master sheet'!$A:$AL,27,FALSE)*(0.0254*7.25)</f>
        <v>0</v>
      </c>
      <c r="M9" s="1552"/>
      <c r="N9" s="1552"/>
      <c r="O9" s="25" t="str">
        <f>_xlfn.IFNA(VLOOKUP($C9,'Master sheet'!$A:$AR,44,FALSE),"")&amp;""</f>
        <v/>
      </c>
      <c r="P9" s="839"/>
      <c r="Q9" s="726" t="s">
        <v>74</v>
      </c>
      <c r="R9" s="726" t="s">
        <v>75</v>
      </c>
      <c r="S9" s="638" t="s">
        <v>7259</v>
      </c>
      <c r="T9" s="665"/>
      <c r="U9" s="664"/>
      <c r="V9" s="664"/>
      <c r="W9" s="664"/>
      <c r="X9" s="664"/>
      <c r="Y9" s="664"/>
      <c r="Z9" s="664"/>
      <c r="AA9" s="664"/>
    </row>
    <row r="10" spans="1:27" ht="22.8" x14ac:dyDescent="0.25">
      <c r="A10" s="1542"/>
      <c r="B10" s="1542"/>
      <c r="C10" s="669" t="str">
        <f>INDEX('Master sheet'!$A$1:$A$670,MATCH("248-4",'Master sheet'!$AN$1:$AN$670,0))</f>
        <v xml:space="preserve">Wood - SPF / Canadian Wood Council / Quebec / </v>
      </c>
      <c r="D10" s="13">
        <f>'USER INPUT SHEET'!$D$35</f>
        <v>0</v>
      </c>
      <c r="E10" s="14" t="str">
        <f>'USER INPUT SHEET'!$F$35</f>
        <v>m2</v>
      </c>
      <c r="F10" s="2">
        <v>1</v>
      </c>
      <c r="G10" s="648"/>
      <c r="H10" s="7"/>
      <c r="I10" s="88">
        <f t="shared" si="0"/>
        <v>0</v>
      </c>
      <c r="J10" s="89" t="str">
        <f t="shared" si="1"/>
        <v/>
      </c>
      <c r="K10" s="404">
        <f>$D10*$F10*IF($E$5=16,0.25,0.22)*VLOOKUP($C10,'Master sheet'!$A:$AL,13,FALSE)*(0.0254*7.25)</f>
        <v>0</v>
      </c>
      <c r="L10" s="90">
        <f>$D10*$F10*IF($E$5=16,0.25,0.22)*VLOOKUP($C10,'Master sheet'!$A:$AL,27,FALSE)*(0.0254*7.25)</f>
        <v>0</v>
      </c>
      <c r="M10" s="1552"/>
      <c r="N10" s="1552"/>
      <c r="O10" s="25" t="str">
        <f>_xlfn.IFNA(VLOOKUP($C10,'Master sheet'!$A:$AR,44,FALSE),"")&amp;""</f>
        <v/>
      </c>
      <c r="P10" s="839"/>
      <c r="Q10" s="726" t="s">
        <v>74</v>
      </c>
      <c r="R10" s="726" t="s">
        <v>75</v>
      </c>
      <c r="S10" s="638" t="s">
        <v>7259</v>
      </c>
      <c r="T10" s="665"/>
      <c r="U10" s="664"/>
      <c r="V10" s="664"/>
      <c r="W10" s="664"/>
      <c r="X10" s="664"/>
      <c r="Y10" s="664"/>
      <c r="Z10" s="664"/>
      <c r="AA10" s="664"/>
    </row>
    <row r="11" spans="1:27" ht="22.8" x14ac:dyDescent="0.25">
      <c r="A11" s="1542"/>
      <c r="B11" s="1542"/>
      <c r="C11" s="669" t="str">
        <f>INDEX('Master sheet'!$A$1:$A$670,MATCH("248-5",'Master sheet'!$AN$1:$AN$670,0))</f>
        <v xml:space="preserve">Wood - SPF / Canadian Wood Council / New Brunswick / </v>
      </c>
      <c r="D11" s="13">
        <f>'USER INPUT SHEET'!$D$35</f>
        <v>0</v>
      </c>
      <c r="E11" s="14" t="str">
        <f>'USER INPUT SHEET'!$F$35</f>
        <v>m2</v>
      </c>
      <c r="F11" s="2">
        <v>1</v>
      </c>
      <c r="G11" s="648"/>
      <c r="H11" s="7"/>
      <c r="I11" s="88">
        <f t="shared" si="0"/>
        <v>0</v>
      </c>
      <c r="J11" s="89" t="str">
        <f t="shared" si="1"/>
        <v/>
      </c>
      <c r="K11" s="404">
        <f>$D11*$F11*IF($E$5=16,0.25,0.22)*VLOOKUP($C11,'Master sheet'!$A:$AL,13,FALSE)*(0.0254*7.25)</f>
        <v>0</v>
      </c>
      <c r="L11" s="90">
        <f>$D11*$F11*IF($E$5=16,0.25,0.22)*VLOOKUP($C11,'Master sheet'!$A:$AL,27,FALSE)*(0.0254*7.25)</f>
        <v>0</v>
      </c>
      <c r="M11" s="1552"/>
      <c r="N11" s="1552"/>
      <c r="O11" s="25" t="str">
        <f>_xlfn.IFNA(VLOOKUP($C11,'Master sheet'!$A:$AR,44,FALSE),"")&amp;""</f>
        <v/>
      </c>
      <c r="P11" s="839"/>
      <c r="Q11" s="726" t="s">
        <v>74</v>
      </c>
      <c r="R11" s="726" t="s">
        <v>75</v>
      </c>
      <c r="S11" s="638" t="s">
        <v>7259</v>
      </c>
      <c r="T11" s="665"/>
      <c r="U11" s="664"/>
      <c r="V11" s="664"/>
      <c r="W11" s="664"/>
      <c r="X11" s="664"/>
      <c r="Y11" s="664"/>
      <c r="Z11" s="664"/>
      <c r="AA11" s="664"/>
    </row>
    <row r="12" spans="1:27" ht="22.8" x14ac:dyDescent="0.25">
      <c r="A12" s="1542"/>
      <c r="B12" s="1542"/>
      <c r="C12" s="669" t="str">
        <f>INDEX('Master sheet'!$A$1:$A$670,MATCH("248-6",'Master sheet'!$AN$1:$AN$670,0))</f>
        <v xml:space="preserve">Wood - SPF / Canadian Wood Council / Atlantic Canada / </v>
      </c>
      <c r="D12" s="13">
        <f>'USER INPUT SHEET'!$D$35</f>
        <v>0</v>
      </c>
      <c r="E12" s="14" t="str">
        <f>'USER INPUT SHEET'!$F$35</f>
        <v>m2</v>
      </c>
      <c r="F12" s="2">
        <v>1</v>
      </c>
      <c r="G12" s="648"/>
      <c r="H12" s="7"/>
      <c r="I12" s="88">
        <f t="shared" si="0"/>
        <v>0</v>
      </c>
      <c r="J12" s="89" t="str">
        <f t="shared" si="1"/>
        <v/>
      </c>
      <c r="K12" s="404">
        <f>$D12*$F12*IF($E$5=16,0.25,0.22)*VLOOKUP($C12,'Master sheet'!$A:$AL,13,FALSE)*(0.0254*7.25)</f>
        <v>0</v>
      </c>
      <c r="L12" s="90">
        <f>$D12*$F12*IF($E$5=16,0.25,0.22)*VLOOKUP($C12,'Master sheet'!$A:$AL,27,FALSE)*(0.0254*7.25)</f>
        <v>0</v>
      </c>
      <c r="M12" s="1562"/>
      <c r="N12" s="1562"/>
      <c r="O12" s="25" t="str">
        <f>_xlfn.IFNA(VLOOKUP($C12,'Master sheet'!$A:$AR,44,FALSE),"")&amp;""</f>
        <v/>
      </c>
      <c r="P12" s="839"/>
      <c r="Q12" s="726" t="s">
        <v>74</v>
      </c>
      <c r="R12" s="726" t="s">
        <v>75</v>
      </c>
      <c r="S12" s="638" t="s">
        <v>7259</v>
      </c>
      <c r="T12" s="665"/>
      <c r="U12" s="664"/>
      <c r="V12" s="664"/>
      <c r="W12" s="664"/>
      <c r="X12" s="664"/>
      <c r="Y12" s="664"/>
      <c r="Z12" s="664"/>
      <c r="AA12" s="664"/>
    </row>
    <row r="13" spans="1:27" s="624" customFormat="1" ht="21" customHeight="1" x14ac:dyDescent="0.25">
      <c r="A13" s="639"/>
      <c r="B13" s="1524" t="s">
        <v>6844</v>
      </c>
      <c r="C13" s="1523"/>
      <c r="D13" s="640"/>
      <c r="E13" s="641"/>
      <c r="F13" s="334"/>
      <c r="G13" s="678"/>
      <c r="H13" s="639"/>
      <c r="I13" s="733"/>
      <c r="J13" s="733"/>
      <c r="K13" s="698"/>
      <c r="L13" s="736"/>
      <c r="M13" s="736"/>
      <c r="N13" s="736"/>
      <c r="O13" s="25" t="str">
        <f>_xlfn.IFNA(VLOOKUP($C13,'Master sheet'!$A:$AR,44,FALSE),"")&amp;""</f>
        <v/>
      </c>
      <c r="P13" s="637"/>
      <c r="Q13" s="722"/>
      <c r="R13" s="722"/>
      <c r="S13" s="623"/>
      <c r="T13" s="638"/>
      <c r="U13" s="638"/>
      <c r="V13" s="638"/>
      <c r="W13" s="638"/>
      <c r="X13" s="638"/>
      <c r="Y13" s="638"/>
      <c r="Z13" s="638"/>
      <c r="AA13" s="664"/>
    </row>
    <row r="14" spans="1:27" ht="22.8" x14ac:dyDescent="0.25">
      <c r="A14" s="1542"/>
      <c r="B14" s="1542"/>
      <c r="C14" s="669" t="str">
        <f>INDEX('Master sheet'!$A$1:$A$670,MATCH("248-1",'Master sheet'!$AN$1:$AN$670,0))</f>
        <v xml:space="preserve">Wood - SPF / Canadian Wood Council / British Columbia / </v>
      </c>
      <c r="D14" s="15">
        <f>'USER INPUT SHEET'!$D$35</f>
        <v>0</v>
      </c>
      <c r="E14" s="16" t="str">
        <f>'USER INPUT SHEET'!$F$35</f>
        <v>m2</v>
      </c>
      <c r="F14" s="3">
        <v>1</v>
      </c>
      <c r="G14" s="670"/>
      <c r="H14" s="8"/>
      <c r="I14" s="92">
        <f t="shared" ref="I14:I19" si="2">K14-L14-IF(N14,M14,0)</f>
        <v>0</v>
      </c>
      <c r="J14" s="93" t="str">
        <f t="shared" ref="J14:J19" si="3">IF(H14=1,I14,"")</f>
        <v/>
      </c>
      <c r="K14" s="406">
        <f>$D14*$F14*IF($E$5=16,0.25,0.22)*VLOOKUP($C14,'Master sheet'!$A:$AL,13,FALSE)*(0.0254*9.25)</f>
        <v>0</v>
      </c>
      <c r="L14" s="94">
        <f>$D14*$F14*IF($E$5=16,0.25,0.22)*VLOOKUP($C14,'Master sheet'!$A:$AL,27,FALSE)*(0.0254*9.25)</f>
        <v>0</v>
      </c>
      <c r="M14" s="1562"/>
      <c r="N14" s="1562"/>
      <c r="O14" s="25" t="str">
        <f>_xlfn.IFNA(VLOOKUP($C14,'Master sheet'!$A:$AR,44,FALSE),"")&amp;""</f>
        <v/>
      </c>
      <c r="P14" s="664"/>
      <c r="Q14" s="725" t="s">
        <v>74</v>
      </c>
      <c r="R14" s="725" t="s">
        <v>75</v>
      </c>
      <c r="S14" s="664" t="s">
        <v>7260</v>
      </c>
      <c r="T14" s="665"/>
      <c r="U14" s="664"/>
      <c r="V14" s="664"/>
      <c r="W14" s="664"/>
      <c r="X14" s="664"/>
      <c r="Y14" s="664"/>
      <c r="Z14" s="664"/>
      <c r="AA14" s="664"/>
    </row>
    <row r="15" spans="1:27" ht="22.8" x14ac:dyDescent="0.25">
      <c r="A15" s="1542"/>
      <c r="B15" s="1542"/>
      <c r="C15" s="669" t="str">
        <f>INDEX('Master sheet'!$A$1:$A$670,MATCH("248-2",'Master sheet'!$AN$1:$AN$670,0))</f>
        <v xml:space="preserve">Wood - SPF / Canadian Wood Council / Alberta / </v>
      </c>
      <c r="D15" s="15">
        <f>'USER INPUT SHEET'!$D$35</f>
        <v>0</v>
      </c>
      <c r="E15" s="16" t="str">
        <f>'USER INPUT SHEET'!$F$35</f>
        <v>m2</v>
      </c>
      <c r="F15" s="3">
        <v>1</v>
      </c>
      <c r="G15" s="670"/>
      <c r="H15" s="8"/>
      <c r="I15" s="88">
        <f t="shared" si="2"/>
        <v>0</v>
      </c>
      <c r="J15" s="93" t="str">
        <f t="shared" si="3"/>
        <v/>
      </c>
      <c r="K15" s="406">
        <f>$D15*$F15*IF($E$5=16,0.25,0.22)*VLOOKUP($C15,'Master sheet'!$A:$AL,13,FALSE)*(0.0254*9.25)</f>
        <v>0</v>
      </c>
      <c r="L15" s="94">
        <f>$D15*$F15*IF($E$5=16,0.25,0.22)*VLOOKUP($C15,'Master sheet'!$A:$AL,27,FALSE)*(0.0254*9.25)</f>
        <v>0</v>
      </c>
      <c r="M15" s="1552"/>
      <c r="N15" s="1552"/>
      <c r="O15" s="25" t="str">
        <f>_xlfn.IFNA(VLOOKUP($C15,'Master sheet'!$A:$AR,44,FALSE),"")&amp;""</f>
        <v/>
      </c>
      <c r="P15" s="664"/>
      <c r="Q15" s="725" t="s">
        <v>74</v>
      </c>
      <c r="R15" s="725" t="s">
        <v>75</v>
      </c>
      <c r="S15" s="664" t="s">
        <v>7260</v>
      </c>
      <c r="T15" s="665"/>
      <c r="U15" s="664"/>
      <c r="V15" s="664"/>
      <c r="W15" s="664"/>
      <c r="X15" s="664"/>
      <c r="Y15" s="664"/>
      <c r="Z15" s="664"/>
      <c r="AA15" s="664"/>
    </row>
    <row r="16" spans="1:27" ht="22.8" x14ac:dyDescent="0.25">
      <c r="A16" s="1542"/>
      <c r="B16" s="1542"/>
      <c r="C16" s="669" t="str">
        <f>INDEX('Master sheet'!$A$1:$A$670,MATCH("248-3",'Master sheet'!$AN$1:$AN$670,0))</f>
        <v xml:space="preserve">Wood - SPF / Canadian Wood Council / Ontario / </v>
      </c>
      <c r="D16" s="15">
        <f>'USER INPUT SHEET'!$D$35</f>
        <v>0</v>
      </c>
      <c r="E16" s="16" t="str">
        <f>'USER INPUT SHEET'!$F$35</f>
        <v>m2</v>
      </c>
      <c r="F16" s="3">
        <v>1</v>
      </c>
      <c r="G16" s="670"/>
      <c r="H16" s="8"/>
      <c r="I16" s="88">
        <f t="shared" si="2"/>
        <v>0</v>
      </c>
      <c r="J16" s="93" t="str">
        <f t="shared" si="3"/>
        <v/>
      </c>
      <c r="K16" s="406">
        <f>$D16*$F16*IF($E$5=16,0.25,0.22)*VLOOKUP($C16,'Master sheet'!$A:$AL,13,FALSE)*(0.0254*9.25)</f>
        <v>0</v>
      </c>
      <c r="L16" s="94">
        <f>$D16*$F16*IF($E$5=16,0.25,0.22)*VLOOKUP($C16,'Master sheet'!$A:$AL,27,FALSE)*(0.0254*9.25)</f>
        <v>0</v>
      </c>
      <c r="M16" s="1552"/>
      <c r="N16" s="1552"/>
      <c r="O16" s="25" t="str">
        <f>_xlfn.IFNA(VLOOKUP($C16,'Master sheet'!$A:$AR,44,FALSE),"")&amp;""</f>
        <v/>
      </c>
      <c r="P16" s="664"/>
      <c r="Q16" s="725" t="s">
        <v>74</v>
      </c>
      <c r="R16" s="725" t="s">
        <v>75</v>
      </c>
      <c r="S16" s="664" t="s">
        <v>7260</v>
      </c>
      <c r="T16" s="665"/>
      <c r="U16" s="664"/>
      <c r="V16" s="664"/>
      <c r="W16" s="664"/>
      <c r="X16" s="664"/>
      <c r="Y16" s="664"/>
      <c r="Z16" s="664"/>
      <c r="AA16" s="638"/>
    </row>
    <row r="17" spans="1:27" ht="22.8" x14ac:dyDescent="0.25">
      <c r="A17" s="1542"/>
      <c r="B17" s="1542"/>
      <c r="C17" s="669" t="str">
        <f>INDEX('Master sheet'!$A$1:$A$670,MATCH("248-4",'Master sheet'!$AN$1:$AN$670,0))</f>
        <v xml:space="preserve">Wood - SPF / Canadian Wood Council / Quebec / </v>
      </c>
      <c r="D17" s="15">
        <f>'USER INPUT SHEET'!$D$35</f>
        <v>0</v>
      </c>
      <c r="E17" s="16" t="str">
        <f>'USER INPUT SHEET'!$F$35</f>
        <v>m2</v>
      </c>
      <c r="F17" s="3">
        <v>1</v>
      </c>
      <c r="G17" s="670"/>
      <c r="H17" s="8"/>
      <c r="I17" s="88">
        <f t="shared" si="2"/>
        <v>0</v>
      </c>
      <c r="J17" s="93" t="str">
        <f t="shared" si="3"/>
        <v/>
      </c>
      <c r="K17" s="406">
        <f>$D17*$F17*IF($E$5=16,0.25,0.22)*VLOOKUP($C17,'Master sheet'!$A:$AL,13,FALSE)*(0.0254*9.25)</f>
        <v>0</v>
      </c>
      <c r="L17" s="94">
        <f>$D17*$F17*IF($E$5=16,0.25,0.22)*VLOOKUP($C17,'Master sheet'!$A:$AL,27,FALSE)*(0.0254*9.25)</f>
        <v>0</v>
      </c>
      <c r="M17" s="1552"/>
      <c r="N17" s="1552"/>
      <c r="O17" s="25" t="str">
        <f>_xlfn.IFNA(VLOOKUP($C17,'Master sheet'!$A:$AR,44,FALSE),"")&amp;""</f>
        <v/>
      </c>
      <c r="P17" s="664"/>
      <c r="Q17" s="725" t="s">
        <v>74</v>
      </c>
      <c r="R17" s="725" t="s">
        <v>75</v>
      </c>
      <c r="S17" s="664" t="s">
        <v>7260</v>
      </c>
      <c r="T17" s="665"/>
      <c r="U17" s="664"/>
      <c r="V17" s="664"/>
      <c r="W17" s="664"/>
      <c r="X17" s="664"/>
      <c r="Y17" s="664"/>
      <c r="Z17" s="664"/>
      <c r="AA17" s="664"/>
    </row>
    <row r="18" spans="1:27" ht="22.8" x14ac:dyDescent="0.25">
      <c r="A18" s="1542"/>
      <c r="B18" s="1542"/>
      <c r="C18" s="669" t="str">
        <f>INDEX('Master sheet'!$A$1:$A$670,MATCH("248-5",'Master sheet'!$AN$1:$AN$670,0))</f>
        <v xml:space="preserve">Wood - SPF / Canadian Wood Council / New Brunswick / </v>
      </c>
      <c r="D18" s="15">
        <f>'USER INPUT SHEET'!$D$35</f>
        <v>0</v>
      </c>
      <c r="E18" s="16" t="str">
        <f>'USER INPUT SHEET'!$F$35</f>
        <v>m2</v>
      </c>
      <c r="F18" s="3">
        <v>1</v>
      </c>
      <c r="G18" s="670"/>
      <c r="H18" s="8"/>
      <c r="I18" s="88">
        <f t="shared" si="2"/>
        <v>0</v>
      </c>
      <c r="J18" s="93" t="str">
        <f t="shared" si="3"/>
        <v/>
      </c>
      <c r="K18" s="406">
        <f>$D18*$F18*IF($E$5=16,0.25,0.22)*VLOOKUP($C18,'Master sheet'!$A:$AL,13,FALSE)*(0.0254*9.25)</f>
        <v>0</v>
      </c>
      <c r="L18" s="94">
        <f>$D18*$F18*IF($E$5=16,0.25,0.22)*VLOOKUP($C18,'Master sheet'!$A:$AL,27,FALSE)*(0.0254*9.25)</f>
        <v>0</v>
      </c>
      <c r="M18" s="1552"/>
      <c r="N18" s="1552"/>
      <c r="O18" s="25" t="str">
        <f>_xlfn.IFNA(VLOOKUP($C18,'Master sheet'!$A:$AR,44,FALSE),"")&amp;""</f>
        <v/>
      </c>
      <c r="P18" s="664"/>
      <c r="Q18" s="725" t="s">
        <v>74</v>
      </c>
      <c r="R18" s="725" t="s">
        <v>75</v>
      </c>
      <c r="S18" s="664" t="s">
        <v>7260</v>
      </c>
      <c r="T18" s="665"/>
      <c r="U18" s="664"/>
      <c r="V18" s="664"/>
      <c r="W18" s="664"/>
      <c r="X18" s="664"/>
      <c r="Y18" s="664"/>
      <c r="Z18" s="664"/>
      <c r="AA18" s="664"/>
    </row>
    <row r="19" spans="1:27" ht="22.8" x14ac:dyDescent="0.25">
      <c r="A19" s="1542"/>
      <c r="B19" s="1542"/>
      <c r="C19" s="669" t="str">
        <f>INDEX('Master sheet'!$A$1:$A$670,MATCH("248-6",'Master sheet'!$AN$1:$AN$670,0))</f>
        <v xml:space="preserve">Wood - SPF / Canadian Wood Council / Atlantic Canada / </v>
      </c>
      <c r="D19" s="15">
        <f>'USER INPUT SHEET'!$D$35</f>
        <v>0</v>
      </c>
      <c r="E19" s="16" t="str">
        <f>'USER INPUT SHEET'!$F$35</f>
        <v>m2</v>
      </c>
      <c r="F19" s="3">
        <v>1</v>
      </c>
      <c r="G19" s="670"/>
      <c r="H19" s="8"/>
      <c r="I19" s="88">
        <f t="shared" si="2"/>
        <v>0</v>
      </c>
      <c r="J19" s="93" t="str">
        <f t="shared" si="3"/>
        <v/>
      </c>
      <c r="K19" s="406">
        <f>$D19*$F19*IF($E$5=16,0.25,0.22)*VLOOKUP($C19,'Master sheet'!$A:$AL,13,FALSE)*(0.0254*9.25)</f>
        <v>0</v>
      </c>
      <c r="L19" s="94">
        <f>$D19*$F19*IF($E$5=16,0.25,0.22)*VLOOKUP($C19,'Master sheet'!$A:$AL,27,FALSE)*(0.0254*9.25)</f>
        <v>0</v>
      </c>
      <c r="M19" s="1562"/>
      <c r="N19" s="1562"/>
      <c r="O19" s="25" t="str">
        <f>_xlfn.IFNA(VLOOKUP($C19,'Master sheet'!$A:$AR,44,FALSE),"")&amp;""</f>
        <v/>
      </c>
      <c r="P19" s="664"/>
      <c r="Q19" s="725" t="s">
        <v>74</v>
      </c>
      <c r="R19" s="725" t="s">
        <v>75</v>
      </c>
      <c r="S19" s="664" t="s">
        <v>7260</v>
      </c>
      <c r="T19" s="665"/>
      <c r="U19" s="664"/>
      <c r="V19" s="664"/>
      <c r="W19" s="664"/>
      <c r="X19" s="664"/>
      <c r="Y19" s="664"/>
      <c r="Z19" s="664"/>
      <c r="AA19" s="664"/>
    </row>
    <row r="20" spans="1:27" s="624" customFormat="1" ht="21" customHeight="1" x14ac:dyDescent="0.25">
      <c r="A20" s="639"/>
      <c r="B20" s="1524" t="s">
        <v>6845</v>
      </c>
      <c r="C20" s="1523"/>
      <c r="D20" s="640"/>
      <c r="E20" s="641"/>
      <c r="F20" s="334"/>
      <c r="G20" s="678"/>
      <c r="H20" s="639"/>
      <c r="I20" s="733"/>
      <c r="J20" s="733"/>
      <c r="K20" s="698"/>
      <c r="L20" s="736"/>
      <c r="M20" s="736"/>
      <c r="N20" s="736"/>
      <c r="O20" s="25" t="str">
        <f>_xlfn.IFNA(VLOOKUP($C20,'Master sheet'!$A:$AR,44,FALSE),"")&amp;""</f>
        <v/>
      </c>
      <c r="P20" s="637"/>
      <c r="Q20" s="722"/>
      <c r="R20" s="722"/>
      <c r="S20" s="623"/>
      <c r="T20" s="638"/>
      <c r="U20" s="638"/>
      <c r="V20" s="638"/>
      <c r="W20" s="638"/>
      <c r="X20" s="638"/>
      <c r="Y20" s="638"/>
      <c r="Z20" s="638"/>
      <c r="AA20" s="664"/>
    </row>
    <row r="21" spans="1:27" ht="22.8" x14ac:dyDescent="0.25">
      <c r="A21" s="1542"/>
      <c r="B21" s="1542"/>
      <c r="C21" s="669" t="str">
        <f>INDEX('Master sheet'!$A$1:$A$670,MATCH("248-1",'Master sheet'!$AN$1:$AN$670,0))</f>
        <v xml:space="preserve">Wood - SPF / Canadian Wood Council / British Columbia / </v>
      </c>
      <c r="D21" s="15">
        <f>'USER INPUT SHEET'!$D$35</f>
        <v>0</v>
      </c>
      <c r="E21" s="16" t="str">
        <f>'USER INPUT SHEET'!$F$35</f>
        <v>m2</v>
      </c>
      <c r="F21" s="3">
        <v>1</v>
      </c>
      <c r="G21" s="670"/>
      <c r="H21" s="8"/>
      <c r="I21" s="92">
        <f t="shared" ref="I21:I26" si="4">K21-L21-IF(N21,M21,0)</f>
        <v>0</v>
      </c>
      <c r="J21" s="93" t="str">
        <f t="shared" ref="J21:J26" si="5">IF(H21=1,I21,"")</f>
        <v/>
      </c>
      <c r="K21" s="406">
        <f>$D21*$F21*IF($E$5=16,0.25,0.22)*VLOOKUP($C21,'Master sheet'!$A:$AL,13,FALSE)*(0.0254*11.25)</f>
        <v>0</v>
      </c>
      <c r="L21" s="94">
        <f>$D21*$F21*IF($E$5=16,0.25,0.22)*VLOOKUP($C21,'Master sheet'!$A:$AL,27,FALSE)*(0.0254*11.25)</f>
        <v>0</v>
      </c>
      <c r="M21" s="1562"/>
      <c r="N21" s="1562"/>
      <c r="O21" s="25" t="str">
        <f>_xlfn.IFNA(VLOOKUP($C21,'Master sheet'!$A:$AR,44,FALSE),"")&amp;""</f>
        <v/>
      </c>
      <c r="P21" s="664"/>
      <c r="Q21" s="726" t="s">
        <v>74</v>
      </c>
      <c r="R21" s="726" t="s">
        <v>75</v>
      </c>
      <c r="S21" s="638" t="s">
        <v>7261</v>
      </c>
      <c r="T21" s="665"/>
      <c r="U21" s="664"/>
      <c r="V21" s="664"/>
      <c r="W21" s="664"/>
      <c r="X21" s="664"/>
      <c r="Y21" s="664"/>
      <c r="Z21" s="664"/>
      <c r="AA21" s="664"/>
    </row>
    <row r="22" spans="1:27" ht="22.8" x14ac:dyDescent="0.25">
      <c r="A22" s="1542"/>
      <c r="B22" s="1542"/>
      <c r="C22" s="669" t="str">
        <f>INDEX('Master sheet'!$A$1:$A$670,MATCH("248-2",'Master sheet'!$AN$1:$AN$670,0))</f>
        <v xml:space="preserve">Wood - SPF / Canadian Wood Council / Alberta / </v>
      </c>
      <c r="D22" s="17">
        <f>'USER INPUT SHEET'!$D$35</f>
        <v>0</v>
      </c>
      <c r="E22" s="18" t="str">
        <f>'USER INPUT SHEET'!$F$35</f>
        <v>m2</v>
      </c>
      <c r="F22" s="4">
        <v>1</v>
      </c>
      <c r="G22" s="674"/>
      <c r="H22" s="9"/>
      <c r="I22" s="88">
        <f t="shared" si="4"/>
        <v>0</v>
      </c>
      <c r="J22" s="96" t="str">
        <f t="shared" si="5"/>
        <v/>
      </c>
      <c r="K22" s="407">
        <f>$D22*$F22*IF($E$5=16,0.25,0.22)*VLOOKUP($C22,'Master sheet'!$A:$AL,13,FALSE)*(0.0254*11.25)</f>
        <v>0</v>
      </c>
      <c r="L22" s="97">
        <f>$D22*$F22*IF($E$5=16,0.25,0.22)*VLOOKUP($C22,'Master sheet'!$A:$AL,27,FALSE)*(0.0254*11.25)</f>
        <v>0</v>
      </c>
      <c r="M22" s="1552"/>
      <c r="N22" s="1552"/>
      <c r="O22" s="25" t="str">
        <f>_xlfn.IFNA(VLOOKUP($C22,'Master sheet'!$A:$AR,44,FALSE),"")&amp;""</f>
        <v/>
      </c>
      <c r="P22" s="664"/>
      <c r="Q22" s="726" t="s">
        <v>74</v>
      </c>
      <c r="R22" s="726" t="s">
        <v>75</v>
      </c>
      <c r="S22" s="638" t="s">
        <v>7261</v>
      </c>
      <c r="T22" s="665"/>
      <c r="U22" s="664"/>
      <c r="V22" s="664"/>
      <c r="W22" s="664"/>
      <c r="X22" s="664"/>
      <c r="Y22" s="664"/>
      <c r="Z22" s="664"/>
      <c r="AA22" s="664"/>
    </row>
    <row r="23" spans="1:27" ht="22.8" x14ac:dyDescent="0.25">
      <c r="A23" s="1542"/>
      <c r="B23" s="1542"/>
      <c r="C23" s="669" t="str">
        <f>INDEX('Master sheet'!$A$1:$A$670,MATCH("248-3",'Master sheet'!$AN$1:$AN$670,0))</f>
        <v xml:space="preserve">Wood - SPF / Canadian Wood Council / Ontario / </v>
      </c>
      <c r="D23" s="17">
        <f>'USER INPUT SHEET'!$D$35</f>
        <v>0</v>
      </c>
      <c r="E23" s="18" t="str">
        <f>'USER INPUT SHEET'!$F$35</f>
        <v>m2</v>
      </c>
      <c r="F23" s="4">
        <v>1</v>
      </c>
      <c r="G23" s="674"/>
      <c r="H23" s="9"/>
      <c r="I23" s="88">
        <f t="shared" si="4"/>
        <v>0</v>
      </c>
      <c r="J23" s="96" t="str">
        <f t="shared" si="5"/>
        <v/>
      </c>
      <c r="K23" s="407">
        <f>$D23*$F23*IF($E$5=16,0.25,0.22)*VLOOKUP($C23,'Master sheet'!$A:$AL,13,FALSE)*(0.0254*11.25)</f>
        <v>0</v>
      </c>
      <c r="L23" s="97">
        <f>$D23*$F23*IF($E$5=16,0.25,0.22)*VLOOKUP($C23,'Master sheet'!$A:$AL,27,FALSE)*(0.0254*11.25)</f>
        <v>0</v>
      </c>
      <c r="M23" s="1552"/>
      <c r="N23" s="1552"/>
      <c r="O23" s="25" t="str">
        <f>_xlfn.IFNA(VLOOKUP($C23,'Master sheet'!$A:$AR,44,FALSE),"")&amp;""</f>
        <v/>
      </c>
      <c r="P23" s="664"/>
      <c r="Q23" s="726" t="s">
        <v>74</v>
      </c>
      <c r="R23" s="726" t="s">
        <v>75</v>
      </c>
      <c r="S23" s="638" t="s">
        <v>7261</v>
      </c>
      <c r="T23" s="665"/>
      <c r="U23" s="664"/>
      <c r="V23" s="664"/>
      <c r="W23" s="664"/>
      <c r="X23" s="664"/>
      <c r="Y23" s="664"/>
      <c r="Z23" s="664"/>
      <c r="AA23" s="664"/>
    </row>
    <row r="24" spans="1:27" ht="22.8" x14ac:dyDescent="0.25">
      <c r="A24" s="1542"/>
      <c r="B24" s="1542"/>
      <c r="C24" s="669" t="str">
        <f>INDEX('Master sheet'!$A$1:$A$670,MATCH("248-4",'Master sheet'!$AN$1:$AN$670,0))</f>
        <v xml:space="preserve">Wood - SPF / Canadian Wood Council / Quebec / </v>
      </c>
      <c r="D24" s="17">
        <f>'USER INPUT SHEET'!$D$35</f>
        <v>0</v>
      </c>
      <c r="E24" s="18" t="str">
        <f>'USER INPUT SHEET'!$F$35</f>
        <v>m2</v>
      </c>
      <c r="F24" s="4">
        <v>1</v>
      </c>
      <c r="G24" s="674"/>
      <c r="H24" s="9"/>
      <c r="I24" s="88">
        <f t="shared" si="4"/>
        <v>0</v>
      </c>
      <c r="J24" s="96" t="str">
        <f t="shared" si="5"/>
        <v/>
      </c>
      <c r="K24" s="407">
        <f>$D24*$F24*IF($E$5=16,0.25,0.22)*VLOOKUP($C24,'Master sheet'!$A:$AL,13,FALSE)*(0.0254*11.25)</f>
        <v>0</v>
      </c>
      <c r="L24" s="97">
        <f>$D24*$F24*IF($E$5=16,0.25,0.22)*VLOOKUP($C24,'Master sheet'!$A:$AL,27,FALSE)*(0.0254*11.25)</f>
        <v>0</v>
      </c>
      <c r="M24" s="1552"/>
      <c r="N24" s="1552"/>
      <c r="O24" s="25" t="str">
        <f>_xlfn.IFNA(VLOOKUP($C24,'Master sheet'!$A:$AR,44,FALSE),"")&amp;""</f>
        <v/>
      </c>
      <c r="P24" s="664"/>
      <c r="Q24" s="726" t="s">
        <v>74</v>
      </c>
      <c r="R24" s="726" t="s">
        <v>75</v>
      </c>
      <c r="S24" s="638" t="s">
        <v>7261</v>
      </c>
      <c r="T24" s="665"/>
      <c r="U24" s="664"/>
      <c r="V24" s="664"/>
      <c r="W24" s="664"/>
      <c r="X24" s="664"/>
      <c r="Y24" s="664"/>
      <c r="Z24" s="664"/>
      <c r="AA24" s="638"/>
    </row>
    <row r="25" spans="1:27" ht="22.8" x14ac:dyDescent="0.25">
      <c r="A25" s="1542"/>
      <c r="B25" s="1542"/>
      <c r="C25" s="669" t="str">
        <f>INDEX('Master sheet'!$A$1:$A$670,MATCH("248-5",'Master sheet'!$AN$1:$AN$670,0))</f>
        <v xml:space="preserve">Wood - SPF / Canadian Wood Council / New Brunswick / </v>
      </c>
      <c r="D25" s="17">
        <f>'USER INPUT SHEET'!$D$35</f>
        <v>0</v>
      </c>
      <c r="E25" s="18" t="str">
        <f>'USER INPUT SHEET'!$F$35</f>
        <v>m2</v>
      </c>
      <c r="F25" s="4">
        <v>1</v>
      </c>
      <c r="G25" s="674"/>
      <c r="H25" s="9"/>
      <c r="I25" s="88">
        <f t="shared" si="4"/>
        <v>0</v>
      </c>
      <c r="J25" s="96" t="str">
        <f t="shared" si="5"/>
        <v/>
      </c>
      <c r="K25" s="407">
        <f>$D25*$F25*IF($E$5=16,0.25,0.22)*VLOOKUP($C25,'Master sheet'!$A:$AL,13,FALSE)*(0.0254*11.25)</f>
        <v>0</v>
      </c>
      <c r="L25" s="97">
        <f>$D25*$F25*IF($E$5=16,0.25,0.22)*VLOOKUP($C25,'Master sheet'!$A:$AL,27,FALSE)*(0.0254*11.25)</f>
        <v>0</v>
      </c>
      <c r="M25" s="1552"/>
      <c r="N25" s="1552"/>
      <c r="O25" s="25" t="str">
        <f>_xlfn.IFNA(VLOOKUP($C25,'Master sheet'!$A:$AR,44,FALSE),"")&amp;""</f>
        <v/>
      </c>
      <c r="P25" s="664"/>
      <c r="Q25" s="726" t="s">
        <v>74</v>
      </c>
      <c r="R25" s="726" t="s">
        <v>75</v>
      </c>
      <c r="S25" s="638" t="s">
        <v>7261</v>
      </c>
      <c r="T25" s="665"/>
      <c r="U25" s="664"/>
      <c r="V25" s="664"/>
      <c r="W25" s="664"/>
      <c r="X25" s="664"/>
      <c r="Y25" s="664"/>
      <c r="Z25" s="664"/>
      <c r="AA25" s="664"/>
    </row>
    <row r="26" spans="1:27" ht="22.8" x14ac:dyDescent="0.25">
      <c r="A26" s="1542"/>
      <c r="B26" s="1542"/>
      <c r="C26" s="669" t="str">
        <f>INDEX('Master sheet'!$A$1:$A$670,MATCH("248-6",'Master sheet'!$AN$1:$AN$670,0))</f>
        <v xml:space="preserve">Wood - SPF / Canadian Wood Council / Atlantic Canada / </v>
      </c>
      <c r="D26" s="17">
        <f>'USER INPUT SHEET'!$D$35</f>
        <v>0</v>
      </c>
      <c r="E26" s="18" t="str">
        <f>'USER INPUT SHEET'!$F$35</f>
        <v>m2</v>
      </c>
      <c r="F26" s="4">
        <v>1</v>
      </c>
      <c r="G26" s="674"/>
      <c r="H26" s="9"/>
      <c r="I26" s="88">
        <f t="shared" si="4"/>
        <v>0</v>
      </c>
      <c r="J26" s="96" t="str">
        <f t="shared" si="5"/>
        <v/>
      </c>
      <c r="K26" s="407">
        <f>$D26*$F26*IF($E$5=16,0.25,0.22)*VLOOKUP($C26,'Master sheet'!$A:$AL,13,FALSE)*(0.0254*11.25)</f>
        <v>0</v>
      </c>
      <c r="L26" s="97">
        <f>$D26*$F26*IF($E$5=16,0.25,0.22)*VLOOKUP($C26,'Master sheet'!$A:$AL,27,FALSE)*(0.0254*11.25)</f>
        <v>0</v>
      </c>
      <c r="M26" s="1610"/>
      <c r="N26" s="1610"/>
      <c r="O26" s="25" t="str">
        <f>_xlfn.IFNA(VLOOKUP($C26,'Master sheet'!$A:$AR,44,FALSE),"")&amp;""</f>
        <v/>
      </c>
      <c r="P26" s="664"/>
      <c r="Q26" s="726" t="s">
        <v>74</v>
      </c>
      <c r="R26" s="726" t="s">
        <v>75</v>
      </c>
      <c r="S26" s="638" t="s">
        <v>7261</v>
      </c>
      <c r="T26" s="665"/>
      <c r="U26" s="664"/>
      <c r="V26" s="664"/>
      <c r="W26" s="664"/>
      <c r="X26" s="664"/>
      <c r="Y26" s="664"/>
      <c r="Z26" s="664"/>
      <c r="AA26" s="664"/>
    </row>
    <row r="27" spans="1:27" s="624" customFormat="1" ht="23.25" customHeight="1" x14ac:dyDescent="0.25">
      <c r="A27" s="639"/>
      <c r="B27" s="1524" t="s">
        <v>76</v>
      </c>
      <c r="C27" s="1523"/>
      <c r="D27" s="640"/>
      <c r="E27" s="641"/>
      <c r="F27" s="325"/>
      <c r="G27" s="678"/>
      <c r="H27" s="679"/>
      <c r="I27" s="642"/>
      <c r="J27" s="643"/>
      <c r="K27" s="676"/>
      <c r="L27" s="677"/>
      <c r="M27" s="677"/>
      <c r="N27" s="677"/>
      <c r="O27" s="25" t="str">
        <f>_xlfn.IFNA(VLOOKUP($C27,'Master sheet'!$A:$AR,44,FALSE),"")&amp;""</f>
        <v/>
      </c>
      <c r="P27" s="664"/>
      <c r="Q27" s="726"/>
      <c r="R27" s="726"/>
      <c r="S27" s="638"/>
      <c r="T27" s="638"/>
      <c r="U27" s="638"/>
      <c r="V27" s="638"/>
      <c r="W27" s="638"/>
      <c r="X27" s="638"/>
      <c r="Y27" s="638"/>
      <c r="Z27" s="638"/>
      <c r="AA27" s="664"/>
    </row>
    <row r="28" spans="1:27" s="624" customFormat="1" ht="22.8" x14ac:dyDescent="0.25">
      <c r="A28" s="815"/>
      <c r="B28" s="840" t="s">
        <v>816</v>
      </c>
      <c r="C28" s="647" t="str">
        <f>INDEX('Master sheet'!$A$1:$A$670,MATCH(249,'Master sheet'!$AN$1:$AN$670,0))</f>
        <v>Wood I joist / Canadian Wood Council /  / TJI 230/360</v>
      </c>
      <c r="D28" s="13">
        <f>'USER INPUT SHEET'!$D$35</f>
        <v>0</v>
      </c>
      <c r="E28" s="14" t="str">
        <f>'USER INPUT SHEET'!$F$35</f>
        <v>m2</v>
      </c>
      <c r="F28" s="2">
        <v>1</v>
      </c>
      <c r="G28" s="648"/>
      <c r="H28" s="7"/>
      <c r="I28" s="88">
        <f t="shared" ref="I28:I30" si="6">K28-L28-IF(N28,M28,0)</f>
        <v>0</v>
      </c>
      <c r="J28" s="89" t="str">
        <f>IF(H28=1,I28,"")</f>
        <v/>
      </c>
      <c r="K28" s="404">
        <f>$D28*$F28*IF($E$5=16,2.463,1.639)*VLOOKUP($C28,'Master sheet'!$A:$AL,13,FALSE)*0.926</f>
        <v>0</v>
      </c>
      <c r="L28" s="90">
        <f>$D28*$F28*IF($E$5=16,2.463,1.639)*VLOOKUP($C28,'Master sheet'!$A:$AL,27,FALSE)*0.926</f>
        <v>0</v>
      </c>
      <c r="M28" s="1552"/>
      <c r="N28" s="1552"/>
      <c r="O28" s="25" t="str">
        <f>_xlfn.IFNA(VLOOKUP($C28,'Master sheet'!$A:$AR,44,FALSE),"")&amp;""</f>
        <v/>
      </c>
      <c r="P28" s="638"/>
      <c r="Q28" s="726" t="s">
        <v>74</v>
      </c>
      <c r="R28" s="726" t="s">
        <v>75</v>
      </c>
      <c r="S28" s="841" t="s">
        <v>7255</v>
      </c>
      <c r="T28" s="841"/>
      <c r="U28" s="841"/>
      <c r="V28" s="638"/>
      <c r="W28" s="638"/>
      <c r="X28" s="638"/>
      <c r="Y28" s="638"/>
      <c r="Z28" s="638"/>
      <c r="AA28" s="664"/>
    </row>
    <row r="29" spans="1:27" ht="22.8" x14ac:dyDescent="0.25">
      <c r="A29" s="624"/>
      <c r="B29" s="840" t="s">
        <v>77</v>
      </c>
      <c r="C29" s="669" t="str">
        <f>INDEX('Master sheet'!$A$1:$A$670,MATCH(249,'Master sheet'!$AN$1:$AN$670,0))</f>
        <v>Wood I joist / Canadian Wood Council /  / TJI 230/360</v>
      </c>
      <c r="D29" s="15">
        <f>'USER INPUT SHEET'!$D$35</f>
        <v>0</v>
      </c>
      <c r="E29" s="16" t="str">
        <f>'USER INPUT SHEET'!$F$35</f>
        <v>m2</v>
      </c>
      <c r="F29" s="3">
        <v>1</v>
      </c>
      <c r="G29" s="670"/>
      <c r="H29" s="8"/>
      <c r="I29" s="92">
        <f t="shared" si="6"/>
        <v>0</v>
      </c>
      <c r="J29" s="93" t="str">
        <f>IF(H29=1,I29,"")</f>
        <v/>
      </c>
      <c r="K29" s="406">
        <f>$D29*$F29*IF($E$5=16,2.463,1.639)*VLOOKUP($C29,'Master sheet'!$A:$AL,13,FALSE)*1.029</f>
        <v>0</v>
      </c>
      <c r="L29" s="94">
        <f>$D29*$F29*IF($E$5=16,2.463,1.639)*VLOOKUP($C29,'Master sheet'!$A:$AL,27,FALSE)*1.029</f>
        <v>0</v>
      </c>
      <c r="M29" s="1552"/>
      <c r="N29" s="1552"/>
      <c r="O29" s="25" t="str">
        <f>_xlfn.IFNA(VLOOKUP($C29,'Master sheet'!$A:$AR,44,FALSE),"")&amp;""</f>
        <v/>
      </c>
      <c r="P29" s="811"/>
      <c r="Q29" s="725" t="s">
        <v>74</v>
      </c>
      <c r="R29" s="725" t="s">
        <v>75</v>
      </c>
      <c r="S29" s="842" t="s">
        <v>7256</v>
      </c>
      <c r="T29" s="842"/>
      <c r="U29" s="842"/>
      <c r="V29" s="664"/>
      <c r="W29" s="664"/>
      <c r="X29" s="664"/>
      <c r="Y29" s="664"/>
      <c r="Z29" s="664"/>
      <c r="AA29" s="664"/>
    </row>
    <row r="30" spans="1:27" ht="22.8" x14ac:dyDescent="0.25">
      <c r="A30" s="624"/>
      <c r="B30" s="840" t="s">
        <v>78</v>
      </c>
      <c r="C30" s="673" t="str">
        <f>INDEX('Master sheet'!$A$1:$A$670,MATCH(249,'Master sheet'!$AN$1:$AN$670,0))</f>
        <v>Wood I joist / Canadian Wood Council /  / TJI 230/360</v>
      </c>
      <c r="D30" s="17">
        <f>'USER INPUT SHEET'!$D$35</f>
        <v>0</v>
      </c>
      <c r="E30" s="18" t="str">
        <f>'USER INPUT SHEET'!$F$35</f>
        <v>m2</v>
      </c>
      <c r="F30" s="4">
        <v>1</v>
      </c>
      <c r="G30" s="674"/>
      <c r="H30" s="9"/>
      <c r="I30" s="92">
        <f t="shared" si="6"/>
        <v>0</v>
      </c>
      <c r="J30" s="96" t="str">
        <f t="shared" ref="J30:J35" si="7">IF(H30=1,I30,"")</f>
        <v/>
      </c>
      <c r="K30" s="407">
        <f>$D30*$F30*IF($E$5=16,2.463,1.639)*VLOOKUP($C30,'Master sheet'!$A:$AL,13,FALSE)*1.132</f>
        <v>0</v>
      </c>
      <c r="L30" s="97">
        <f>$D30*$F30*IF($E$5=16,2.463,1.639)*VLOOKUP($C30,'Master sheet'!$A:$AL,27,FALSE)*1.132</f>
        <v>0</v>
      </c>
      <c r="M30" s="1552"/>
      <c r="N30" s="1552"/>
      <c r="O30" s="25" t="str">
        <f>_xlfn.IFNA(VLOOKUP($C30,'Master sheet'!$A:$AR,44,FALSE),"")&amp;""</f>
        <v/>
      </c>
      <c r="P30" s="839"/>
      <c r="Q30" s="726" t="s">
        <v>74</v>
      </c>
      <c r="R30" s="726" t="s">
        <v>75</v>
      </c>
      <c r="S30" s="841" t="s">
        <v>7262</v>
      </c>
      <c r="T30" s="841"/>
      <c r="U30" s="841"/>
      <c r="V30" s="664"/>
      <c r="W30" s="664"/>
      <c r="X30" s="664"/>
      <c r="Y30" s="664"/>
      <c r="Z30" s="664"/>
      <c r="AA30" s="664"/>
    </row>
    <row r="31" spans="1:27" ht="31.5" customHeight="1" x14ac:dyDescent="0.25">
      <c r="A31" s="624"/>
      <c r="B31" s="840" t="s">
        <v>77</v>
      </c>
      <c r="C31" s="673" t="str">
        <f>INDEX('Master sheet'!$A$1:$A$670,MATCH("A130",'Master sheet'!$AN$1:$AN$670,0))</f>
        <v>Wood I-joist / RedBuilt / Red I-45 / 11.875" depth, 1.75 x 1.5" LVL flanges</v>
      </c>
      <c r="D31" s="17">
        <f>'USER INPUT SHEET'!$D$35</f>
        <v>0</v>
      </c>
      <c r="E31" s="18" t="str">
        <f>'USER INPUT SHEET'!$F$35</f>
        <v>m2</v>
      </c>
      <c r="F31" s="4">
        <v>1</v>
      </c>
      <c r="G31" s="674"/>
      <c r="H31" s="9"/>
      <c r="I31" s="92">
        <f t="shared" ref="I31:I38" si="8">K31-L31-IF(N31,M31,0)</f>
        <v>0</v>
      </c>
      <c r="J31" s="96" t="str">
        <f t="shared" si="7"/>
        <v/>
      </c>
      <c r="K31" s="407">
        <f>$D31*$F31*IF($E$5=16,2.463,1.639)*VLOOKUP($C31,'Master sheet'!$A:$AL,13,FALSE)</f>
        <v>0</v>
      </c>
      <c r="L31" s="97">
        <f>$D31*$F31*IF($E$5=16,2.463,1.639)*VLOOKUP($C31,'Master sheet'!$A:$AL,27,FALSE)</f>
        <v>0</v>
      </c>
      <c r="M31" s="1552"/>
      <c r="N31" s="1552"/>
      <c r="O31" s="25" t="str">
        <f>_xlfn.IFNA(VLOOKUP($C31,'Master sheet'!$A:$AR,44,FALSE),"")&amp;""</f>
        <v/>
      </c>
      <c r="P31" s="839"/>
      <c r="Q31" s="726" t="s">
        <v>74</v>
      </c>
      <c r="R31" s="726" t="s">
        <v>75</v>
      </c>
      <c r="S31" s="841" t="s">
        <v>7256</v>
      </c>
      <c r="T31" s="841"/>
      <c r="U31" s="841"/>
      <c r="V31" s="664"/>
      <c r="W31" s="664"/>
      <c r="X31" s="664"/>
      <c r="Y31" s="664"/>
      <c r="Z31" s="664"/>
      <c r="AA31" s="664"/>
    </row>
    <row r="32" spans="1:27" ht="31.5" customHeight="1" x14ac:dyDescent="0.25">
      <c r="A32" s="624"/>
      <c r="B32" s="840" t="s">
        <v>78</v>
      </c>
      <c r="C32" s="673" t="str">
        <f>INDEX('Master sheet'!$A$1:$A$670,MATCH("A131",'Master sheet'!$AN$1:$AN$670,0))</f>
        <v>Wood I-joist / RedBuilt / Red I-45 / 14" depth, 1.75 x 1.5" LVL flanges</v>
      </c>
      <c r="D32" s="17">
        <f>'USER INPUT SHEET'!$D$35</f>
        <v>0</v>
      </c>
      <c r="E32" s="18" t="str">
        <f>'USER INPUT SHEET'!$F$35</f>
        <v>m2</v>
      </c>
      <c r="F32" s="4">
        <v>1</v>
      </c>
      <c r="G32" s="674"/>
      <c r="H32" s="9"/>
      <c r="I32" s="92">
        <f t="shared" si="8"/>
        <v>0</v>
      </c>
      <c r="J32" s="96" t="str">
        <f t="shared" si="7"/>
        <v/>
      </c>
      <c r="K32" s="407">
        <f>$D32*$F32*IF($E$5=16,2.463,1.639)*VLOOKUP($C32,'Master sheet'!$A:$AL,13,FALSE)</f>
        <v>0</v>
      </c>
      <c r="L32" s="97">
        <f>$D32*$F32*IF($E$5=16,2.463,1.639)*VLOOKUP($C32,'Master sheet'!$A:$AL,27,FALSE)</f>
        <v>0</v>
      </c>
      <c r="M32" s="1552"/>
      <c r="N32" s="1552"/>
      <c r="O32" s="25" t="str">
        <f>_xlfn.IFNA(VLOOKUP($C32,'Master sheet'!$A:$AR,44,FALSE),"")&amp;""</f>
        <v/>
      </c>
      <c r="P32" s="839"/>
      <c r="Q32" s="726" t="s">
        <v>74</v>
      </c>
      <c r="R32" s="726" t="s">
        <v>75</v>
      </c>
      <c r="S32" s="841" t="s">
        <v>7262</v>
      </c>
      <c r="T32" s="841"/>
      <c r="U32" s="841"/>
      <c r="V32" s="664"/>
      <c r="W32" s="664"/>
      <c r="X32" s="664"/>
      <c r="Y32" s="664"/>
      <c r="Z32" s="664"/>
      <c r="AA32" s="638"/>
    </row>
    <row r="33" spans="1:27" ht="31.5" customHeight="1" x14ac:dyDescent="0.25">
      <c r="A33" s="624"/>
      <c r="B33" s="840" t="s">
        <v>80</v>
      </c>
      <c r="C33" s="673" t="str">
        <f>INDEX('Master sheet'!$A$1:$A$670,MATCH("A132",'Master sheet'!$AN$1:$AN$670,0))</f>
        <v>Wood I-joist / RedBuilt / Red I-45 / 16" depth, 1.75 x 1.5" LVL flanges</v>
      </c>
      <c r="D33" s="17">
        <f>'USER INPUT SHEET'!$D$35</f>
        <v>0</v>
      </c>
      <c r="E33" s="18" t="str">
        <f>'USER INPUT SHEET'!$F$35</f>
        <v>m2</v>
      </c>
      <c r="F33" s="4">
        <v>1</v>
      </c>
      <c r="G33" s="674"/>
      <c r="H33" s="9"/>
      <c r="I33" s="92">
        <f t="shared" si="8"/>
        <v>0</v>
      </c>
      <c r="J33" s="96" t="str">
        <f t="shared" si="7"/>
        <v/>
      </c>
      <c r="K33" s="407">
        <f>$D33*$F33*IF($E$5=16,2.463,1.639)*VLOOKUP($C33,'Master sheet'!$A:$AL,13,FALSE)</f>
        <v>0</v>
      </c>
      <c r="L33" s="97">
        <f>$D33*$F33*IF($E$5=16,2.463,1.639)*VLOOKUP($C33,'Master sheet'!$A:$AL,27,FALSE)</f>
        <v>0</v>
      </c>
      <c r="M33" s="1552"/>
      <c r="N33" s="1552"/>
      <c r="O33" s="25" t="str">
        <f>_xlfn.IFNA(VLOOKUP($C33,'Master sheet'!$A:$AR,44,FALSE),"")&amp;""</f>
        <v/>
      </c>
      <c r="P33" s="839"/>
      <c r="Q33" s="726" t="s">
        <v>74</v>
      </c>
      <c r="R33" s="726" t="s">
        <v>75</v>
      </c>
      <c r="S33" s="841" t="s">
        <v>7263</v>
      </c>
      <c r="T33" s="841"/>
      <c r="U33" s="841"/>
      <c r="V33" s="664"/>
      <c r="W33" s="664"/>
      <c r="X33" s="664"/>
      <c r="Y33" s="664"/>
      <c r="Z33" s="664"/>
      <c r="AA33" s="638"/>
    </row>
    <row r="34" spans="1:27" ht="31.5" customHeight="1" x14ac:dyDescent="0.25">
      <c r="A34" s="624"/>
      <c r="B34" s="840" t="s">
        <v>77</v>
      </c>
      <c r="C34" s="673" t="str">
        <f>INDEX('Master sheet'!$A$1:$A$670,MATCH("A133",'Master sheet'!$AN$1:$AN$670,0))</f>
        <v>Wood I-joist / RedBuilt / Red I-65 / 11.875" depth, 2.5 x 1.5" LVL flanges</v>
      </c>
      <c r="D34" s="17">
        <f>'USER INPUT SHEET'!$D$35</f>
        <v>0</v>
      </c>
      <c r="E34" s="18" t="str">
        <f>'USER INPUT SHEET'!$F$35</f>
        <v>m2</v>
      </c>
      <c r="F34" s="4">
        <v>1</v>
      </c>
      <c r="G34" s="674"/>
      <c r="H34" s="9"/>
      <c r="I34" s="92">
        <f t="shared" si="8"/>
        <v>0</v>
      </c>
      <c r="J34" s="96" t="str">
        <f t="shared" si="7"/>
        <v/>
      </c>
      <c r="K34" s="407">
        <f>$D34*$F34*IF($E$5=16,2.463,1.639)*VLOOKUP($C34,'Master sheet'!$A:$AL,13,FALSE)</f>
        <v>0</v>
      </c>
      <c r="L34" s="97">
        <f>$D34*$F34*IF($E$5=16,2.463,1.639)*VLOOKUP($C34,'Master sheet'!$A:$AL,27,FALSE)</f>
        <v>0</v>
      </c>
      <c r="M34" s="1552"/>
      <c r="N34" s="1552"/>
      <c r="O34" s="25" t="str">
        <f>_xlfn.IFNA(VLOOKUP($C34,'Master sheet'!$A:$AR,44,FALSE),"")&amp;""</f>
        <v/>
      </c>
      <c r="P34" s="839"/>
      <c r="Q34" s="726" t="s">
        <v>74</v>
      </c>
      <c r="R34" s="726" t="s">
        <v>75</v>
      </c>
      <c r="S34" s="841" t="s">
        <v>7256</v>
      </c>
      <c r="T34" s="841"/>
      <c r="U34" s="841"/>
      <c r="V34" s="664"/>
      <c r="W34" s="664"/>
      <c r="X34" s="664"/>
      <c r="Y34" s="664"/>
      <c r="Z34" s="664"/>
      <c r="AA34" s="664"/>
    </row>
    <row r="35" spans="1:27" ht="31.5" customHeight="1" x14ac:dyDescent="0.25">
      <c r="A35" s="624"/>
      <c r="B35" s="840" t="s">
        <v>78</v>
      </c>
      <c r="C35" s="673" t="str">
        <f>INDEX('Master sheet'!$A$1:$A$670,MATCH("A134",'Master sheet'!$AN$1:$AN$670,0))</f>
        <v>Wood I-joist / RedBuilt / Red I-65 / 14" depth, 2.5 x 1.5" LVL flanges</v>
      </c>
      <c r="D35" s="17">
        <f>'USER INPUT SHEET'!$D$35</f>
        <v>0</v>
      </c>
      <c r="E35" s="18" t="str">
        <f>'USER INPUT SHEET'!$F$35</f>
        <v>m2</v>
      </c>
      <c r="F35" s="4">
        <v>1</v>
      </c>
      <c r="G35" s="674"/>
      <c r="H35" s="9"/>
      <c r="I35" s="92">
        <f t="shared" si="8"/>
        <v>0</v>
      </c>
      <c r="J35" s="96" t="str">
        <f t="shared" si="7"/>
        <v/>
      </c>
      <c r="K35" s="407">
        <f>$D35*$F35*IF($E$5=16,2.463,1.639)*VLOOKUP($C35,'Master sheet'!$A:$AL,13,FALSE)</f>
        <v>0</v>
      </c>
      <c r="L35" s="97">
        <f>$D35*$F35*IF($E$5=16,2.463,1.639)*VLOOKUP($C35,'Master sheet'!$A:$AL,27,FALSE)</f>
        <v>0</v>
      </c>
      <c r="M35" s="1552"/>
      <c r="N35" s="1552"/>
      <c r="O35" s="25" t="str">
        <f>_xlfn.IFNA(VLOOKUP($C35,'Master sheet'!$A:$AR,44,FALSE),"")&amp;""</f>
        <v/>
      </c>
      <c r="P35" s="839"/>
      <c r="Q35" s="726" t="s">
        <v>74</v>
      </c>
      <c r="R35" s="726" t="s">
        <v>75</v>
      </c>
      <c r="S35" s="841" t="s">
        <v>7262</v>
      </c>
      <c r="T35" s="841"/>
      <c r="U35" s="841"/>
      <c r="V35" s="664"/>
      <c r="W35" s="664"/>
      <c r="X35" s="664"/>
      <c r="Y35" s="664"/>
      <c r="Z35" s="664"/>
      <c r="AA35" s="664"/>
    </row>
    <row r="36" spans="1:27" s="624" customFormat="1" ht="31.5" customHeight="1" x14ac:dyDescent="0.25">
      <c r="B36" s="840" t="s">
        <v>80</v>
      </c>
      <c r="C36" s="673" t="str">
        <f>INDEX('Master sheet'!$A$1:$A$670,MATCH("A135",'Master sheet'!$AN$1:$AN$670,0))</f>
        <v>Wood I-joist / RedBuilt / Red I-65 / 16" depth, 2.5 x 1.5" LVL flanges</v>
      </c>
      <c r="D36" s="17">
        <f>'USER INPUT SHEET'!$D$35</f>
        <v>0</v>
      </c>
      <c r="E36" s="18" t="str">
        <f>'USER INPUT SHEET'!$F$35</f>
        <v>m2</v>
      </c>
      <c r="F36" s="4">
        <v>1</v>
      </c>
      <c r="G36" s="674"/>
      <c r="H36" s="9"/>
      <c r="I36" s="95">
        <f t="shared" si="8"/>
        <v>0</v>
      </c>
      <c r="J36" s="96" t="str">
        <f>IF(H36=1,I36,"")</f>
        <v/>
      </c>
      <c r="K36" s="407">
        <f>$D36*$F36*IF($E$5=16,2.463,1.639)*VLOOKUP($C36,'Master sheet'!$A:$AL,13,FALSE)</f>
        <v>0</v>
      </c>
      <c r="L36" s="97">
        <f>$D36*$F36*IF($E$5=16,2.463,1.639)*VLOOKUP($C36,'Master sheet'!$A:$AL,27,FALSE)</f>
        <v>0</v>
      </c>
      <c r="M36" s="1610"/>
      <c r="N36" s="1610"/>
      <c r="O36" s="25" t="str">
        <f>_xlfn.IFNA(VLOOKUP($C36,'Master sheet'!$A:$AR,44,FALSE),"")&amp;""</f>
        <v/>
      </c>
      <c r="P36" s="839"/>
      <c r="Q36" s="726" t="s">
        <v>74</v>
      </c>
      <c r="R36" s="726" t="s">
        <v>75</v>
      </c>
      <c r="S36" s="841" t="s">
        <v>7263</v>
      </c>
      <c r="T36" s="841"/>
      <c r="U36" s="841"/>
      <c r="V36" s="638"/>
      <c r="W36" s="638"/>
      <c r="X36" s="638"/>
      <c r="Y36" s="638"/>
      <c r="Z36" s="638"/>
      <c r="AA36" s="664"/>
    </row>
    <row r="37" spans="1:27" s="624" customFormat="1" ht="23.25" customHeight="1" x14ac:dyDescent="0.25">
      <c r="A37" s="639"/>
      <c r="B37" s="1524" t="s">
        <v>79</v>
      </c>
      <c r="C37" s="1523"/>
      <c r="D37" s="640"/>
      <c r="E37" s="641"/>
      <c r="F37" s="325"/>
      <c r="G37" s="678"/>
      <c r="H37" s="679"/>
      <c r="I37" s="642"/>
      <c r="J37" s="643"/>
      <c r="K37" s="676"/>
      <c r="L37" s="677"/>
      <c r="M37" s="677"/>
      <c r="N37" s="677"/>
      <c r="O37" s="25" t="str">
        <f>_xlfn.IFNA(VLOOKUP($C37,'Master sheet'!$A:$AR,44,FALSE),"")&amp;""</f>
        <v/>
      </c>
      <c r="P37" s="664"/>
      <c r="Q37" s="726"/>
      <c r="R37" s="726"/>
      <c r="S37" s="841"/>
      <c r="T37" s="841"/>
      <c r="U37" s="841"/>
      <c r="V37" s="638"/>
      <c r="W37" s="638"/>
      <c r="X37" s="638"/>
      <c r="Y37" s="638"/>
      <c r="Z37" s="638"/>
      <c r="AA37" s="664"/>
    </row>
    <row r="38" spans="1:27" s="624" customFormat="1" ht="47.25" customHeight="1" x14ac:dyDescent="0.25">
      <c r="A38" s="815"/>
      <c r="B38" s="840"/>
      <c r="C38" s="681" t="str">
        <f>INDEX('Master sheet'!$A$1:$A$670,MATCH(251,'Master sheet'!$AN$1:$AN$670,0))</f>
        <v>Wood floor truss - prefabricated / Canadian Wood Council / Common (Warren, 45 deg) web pattern / Top chord bearing, variable depth</v>
      </c>
      <c r="D38" s="22">
        <f>'USER INPUT SHEET'!$D$35</f>
        <v>0</v>
      </c>
      <c r="E38" s="23" t="str">
        <f>'USER INPUT SHEET'!$F$35</f>
        <v>m2</v>
      </c>
      <c r="F38" s="6">
        <v>1</v>
      </c>
      <c r="G38" s="682"/>
      <c r="H38" s="10"/>
      <c r="I38" s="88">
        <f t="shared" si="8"/>
        <v>0</v>
      </c>
      <c r="J38" s="101" t="str">
        <f>IF(H38=1,I38,"")</f>
        <v/>
      </c>
      <c r="K38" s="408">
        <f>$D38*$F38*IF($E$5=16,2.463,1.639)*VLOOKUP($C38,'Master sheet'!$A:$AL,13,FALSE)</f>
        <v>0</v>
      </c>
      <c r="L38" s="102">
        <f>$D38*$F38*IF($E$5=16,2.463,1.639)*VLOOKUP($C38,'Master sheet'!$A:$AL,27,FALSE)</f>
        <v>0</v>
      </c>
      <c r="M38" s="1552"/>
      <c r="N38" s="1552"/>
      <c r="O38" s="25" t="str">
        <f>_xlfn.IFNA(VLOOKUP($C38,'Master sheet'!$A:$AR,44,FALSE),"")&amp;""</f>
        <v/>
      </c>
      <c r="P38" s="638"/>
      <c r="Q38" s="726" t="s">
        <v>74</v>
      </c>
      <c r="R38" s="726" t="s">
        <v>75</v>
      </c>
      <c r="S38" s="638"/>
      <c r="T38" s="638"/>
      <c r="U38" s="638"/>
      <c r="V38" s="638"/>
      <c r="W38" s="638"/>
      <c r="X38" s="638"/>
      <c r="Y38" s="638"/>
      <c r="Z38" s="638"/>
      <c r="AA38" s="664"/>
    </row>
    <row r="39" spans="1:27" s="624" customFormat="1" ht="54.75" customHeight="1" x14ac:dyDescent="0.25">
      <c r="A39" s="1522" t="s">
        <v>81</v>
      </c>
      <c r="B39" s="1523"/>
      <c r="C39" s="1523"/>
      <c r="D39" s="629" t="s">
        <v>38</v>
      </c>
      <c r="E39" s="1"/>
      <c r="F39" s="323" t="str">
        <f>IF(LOWER(Setting!rng_language)="english","in","po")</f>
        <v>in</v>
      </c>
      <c r="G39" s="650"/>
      <c r="H39" s="650"/>
      <c r="I39" s="651"/>
      <c r="J39" s="651"/>
      <c r="K39" s="652"/>
      <c r="L39" s="759"/>
      <c r="M39" s="759"/>
      <c r="N39" s="759"/>
      <c r="O39" s="25" t="str">
        <f>_xlfn.IFNA(VLOOKUP($C39,'Master sheet'!$A:$AR,44,FALSE),"")&amp;""</f>
        <v/>
      </c>
      <c r="P39" s="638"/>
      <c r="Q39" s="726"/>
      <c r="R39" s="726"/>
      <c r="S39" s="638"/>
      <c r="T39" s="638"/>
      <c r="U39" s="638"/>
      <c r="V39" s="638"/>
      <c r="W39" s="638"/>
      <c r="X39" s="638"/>
      <c r="Y39" s="638"/>
      <c r="Z39" s="638"/>
      <c r="AA39" s="664"/>
    </row>
    <row r="40" spans="1:27" s="624" customFormat="1" ht="23.25" customHeight="1" x14ac:dyDescent="0.25">
      <c r="A40" s="639"/>
      <c r="B40" s="1524" t="s">
        <v>82</v>
      </c>
      <c r="C40" s="1523"/>
      <c r="D40" s="640"/>
      <c r="E40" s="641"/>
      <c r="F40" s="325"/>
      <c r="G40" s="678"/>
      <c r="H40" s="679"/>
      <c r="I40" s="642"/>
      <c r="J40" s="643"/>
      <c r="K40" s="676"/>
      <c r="L40" s="677"/>
      <c r="M40" s="677"/>
      <c r="N40" s="677"/>
      <c r="O40" s="25" t="str">
        <f>_xlfn.IFNA(VLOOKUP($C40,'Master sheet'!$A:$AR,44,FALSE),"")&amp;""</f>
        <v/>
      </c>
      <c r="P40" s="638"/>
      <c r="Q40" s="726"/>
      <c r="R40" s="726"/>
      <c r="S40" s="638"/>
      <c r="T40" s="638"/>
      <c r="U40" s="638"/>
      <c r="V40" s="638"/>
      <c r="W40" s="638"/>
      <c r="X40" s="638"/>
      <c r="Y40" s="638"/>
      <c r="Z40" s="638"/>
      <c r="AA40" s="664"/>
    </row>
    <row r="41" spans="1:27" s="624" customFormat="1" ht="46.8" x14ac:dyDescent="0.25">
      <c r="A41" s="815"/>
      <c r="B41" s="840"/>
      <c r="C41" s="681" t="str">
        <f>INDEX('Master sheet'!$A$1:$A$670,MATCH("A115",'Master sheet'!$AN$1:$AN$670,0))</f>
        <v>Steel joist, open web / Steel Joist Institute / Includes: Canam Steel, New Millenium Building Systems, Vulcraft/Nucor / 12" 12K3 joist</v>
      </c>
      <c r="D41" s="22">
        <f>'USER INPUT SHEET'!$D$35</f>
        <v>0</v>
      </c>
      <c r="E41" s="23" t="str">
        <f>'USER INPUT SHEET'!$F$35</f>
        <v>m2</v>
      </c>
      <c r="F41" s="6">
        <v>1</v>
      </c>
      <c r="G41" s="682"/>
      <c r="H41" s="10"/>
      <c r="I41" s="100">
        <f>K41-L41</f>
        <v>0</v>
      </c>
      <c r="J41" s="101" t="str">
        <f>IF(H41=1,I41,"")</f>
        <v/>
      </c>
      <c r="K41" s="408">
        <f>$D41*$F41*IF($E$39=24,1.639,1.094)*VLOOKUP($C41,'Master sheet'!$A:$AL,13,FALSE)</f>
        <v>0</v>
      </c>
      <c r="L41" s="102">
        <f>$D41*$F41*IF($E$39=24,1.639,1.094)*VLOOKUP($C41,'Master sheet'!$A:$AL,27,FALSE)</f>
        <v>0</v>
      </c>
      <c r="M41" s="1552"/>
      <c r="N41" s="1552"/>
      <c r="O41" s="25" t="str">
        <f>_xlfn.IFNA(VLOOKUP($C41,'Master sheet'!$A:$AR,44,FALSE),"")&amp;""</f>
        <v/>
      </c>
      <c r="P41" s="664"/>
      <c r="Q41" s="726" t="s">
        <v>74</v>
      </c>
      <c r="R41" s="726" t="s">
        <v>81</v>
      </c>
      <c r="S41" s="638"/>
      <c r="T41" s="638"/>
      <c r="U41" s="638"/>
      <c r="V41" s="638"/>
      <c r="W41" s="638"/>
      <c r="X41" s="638"/>
      <c r="Y41" s="638"/>
      <c r="Z41" s="638"/>
      <c r="AA41" s="664"/>
    </row>
    <row r="42" spans="1:27" s="624" customFormat="1" ht="54.75" customHeight="1" x14ac:dyDescent="0.25">
      <c r="A42" s="1522" t="s">
        <v>1738</v>
      </c>
      <c r="B42" s="1523"/>
      <c r="C42" s="1523"/>
      <c r="D42" s="649"/>
      <c r="E42" s="650"/>
      <c r="F42" s="321"/>
      <c r="G42" s="650"/>
      <c r="H42" s="650"/>
      <c r="I42" s="651"/>
      <c r="J42" s="651"/>
      <c r="K42" s="652"/>
      <c r="L42" s="759"/>
      <c r="M42" s="759"/>
      <c r="N42" s="759"/>
      <c r="O42" s="25" t="str">
        <f>_xlfn.IFNA(VLOOKUP($C42,'Master sheet'!$A:$AR,44,FALSE),"")&amp;""</f>
        <v/>
      </c>
      <c r="P42" s="664"/>
      <c r="Q42" s="726"/>
      <c r="R42" s="726"/>
      <c r="S42" s="638"/>
      <c r="T42" s="638"/>
      <c r="U42" s="638"/>
      <c r="V42" s="638"/>
      <c r="W42" s="638"/>
      <c r="X42" s="638"/>
      <c r="Y42" s="638"/>
      <c r="Z42" s="638"/>
      <c r="AA42" s="664"/>
    </row>
    <row r="43" spans="1:27" s="624" customFormat="1" ht="22.8" x14ac:dyDescent="0.25">
      <c r="A43" s="815"/>
      <c r="B43" s="840" t="s">
        <v>338</v>
      </c>
      <c r="C43" s="647" t="str">
        <f>INDEX('Master sheet'!$A$1:$A$670,MATCH("155-1",'Master sheet'!$AN$1:$AN$670,0))</f>
        <v>OSB sheathing / Canadian Wood Council -Eastern /  / 5/8"</v>
      </c>
      <c r="D43" s="13">
        <f>'USER INPUT SHEET'!$D$35</f>
        <v>0</v>
      </c>
      <c r="E43" s="14" t="str">
        <f>'USER INPUT SHEET'!$F$35</f>
        <v>m2</v>
      </c>
      <c r="F43" s="2">
        <v>1</v>
      </c>
      <c r="G43" s="648"/>
      <c r="H43" s="7"/>
      <c r="I43" s="88">
        <f t="shared" ref="I43:I61" si="9">K43-L43-IF(N43,M43,0)</f>
        <v>0</v>
      </c>
      <c r="J43" s="89" t="str">
        <f t="shared" ref="J43:J61" si="10">IF(H43=1,I43,"")</f>
        <v/>
      </c>
      <c r="K43" s="404">
        <f>$D43*$F43*VLOOKUP($C43,'Master sheet'!$A:$AL,13,FALSE)</f>
        <v>0</v>
      </c>
      <c r="L43" s="90">
        <f>$D43*$F43*VLOOKUP($C43,'Master sheet'!$A:$AL,27,FALSE)</f>
        <v>0</v>
      </c>
      <c r="M43" s="1552"/>
      <c r="N43" s="1552"/>
      <c r="O43" s="25" t="str">
        <f>_xlfn.IFNA(VLOOKUP($C43,'Master sheet'!$A:$AR,44,FALSE),"")&amp;""</f>
        <v/>
      </c>
      <c r="P43" s="664"/>
      <c r="Q43" s="726" t="s">
        <v>74</v>
      </c>
      <c r="R43" s="726" t="s">
        <v>1738</v>
      </c>
      <c r="S43" s="638" t="s">
        <v>7264</v>
      </c>
      <c r="T43" s="638"/>
      <c r="U43" s="638"/>
      <c r="V43" s="638"/>
      <c r="W43" s="638"/>
      <c r="X43" s="638"/>
      <c r="Y43" s="638"/>
      <c r="Z43" s="638"/>
      <c r="AA43" s="638"/>
    </row>
    <row r="44" spans="1:27" s="624" customFormat="1" ht="22.8" x14ac:dyDescent="0.25">
      <c r="A44" s="815"/>
      <c r="B44" s="840" t="s">
        <v>338</v>
      </c>
      <c r="C44" s="647" t="str">
        <f>INDEX('Master sheet'!$A$1:$A$670,MATCH("155-2",'Master sheet'!$AN$1:$AN$670,0))</f>
        <v>OSB sheathing / Canadian Wood Council -Western /  / 5/8"</v>
      </c>
      <c r="D44" s="13">
        <f>'USER INPUT SHEET'!$D$35</f>
        <v>0</v>
      </c>
      <c r="E44" s="14" t="str">
        <f>'USER INPUT SHEET'!$F$35</f>
        <v>m2</v>
      </c>
      <c r="F44" s="2">
        <v>1</v>
      </c>
      <c r="G44" s="648"/>
      <c r="H44" s="7"/>
      <c r="I44" s="88">
        <f t="shared" ref="I44" si="11">K44-L44-IF(N44,M44,0)</f>
        <v>0</v>
      </c>
      <c r="J44" s="89" t="str">
        <f t="shared" ref="J44" si="12">IF(H44=1,I44,"")</f>
        <v/>
      </c>
      <c r="K44" s="404">
        <f>$D44*$F44*VLOOKUP($C44,'Master sheet'!$A:$AL,13,FALSE)</f>
        <v>0</v>
      </c>
      <c r="L44" s="90">
        <f>$D44*$F44*VLOOKUP($C44,'Master sheet'!$A:$AL,27,FALSE)</f>
        <v>0</v>
      </c>
      <c r="M44" s="1552"/>
      <c r="N44" s="1552"/>
      <c r="O44" s="25" t="str">
        <f>_xlfn.IFNA(VLOOKUP($C44,'Master sheet'!$A:$AR,44,FALSE),"")&amp;""</f>
        <v/>
      </c>
      <c r="P44" s="664"/>
      <c r="Q44" s="726" t="s">
        <v>74</v>
      </c>
      <c r="R44" s="726" t="s">
        <v>1738</v>
      </c>
      <c r="S44" s="638" t="s">
        <v>7264</v>
      </c>
      <c r="T44" s="638"/>
      <c r="U44" s="638"/>
      <c r="V44" s="638"/>
      <c r="W44" s="638"/>
      <c r="X44" s="638"/>
      <c r="Y44" s="638"/>
      <c r="Z44" s="638"/>
      <c r="AA44" s="664"/>
    </row>
    <row r="45" spans="1:27" ht="23.25" customHeight="1" x14ac:dyDescent="0.25">
      <c r="A45" s="815"/>
      <c r="B45" s="840" t="s">
        <v>962</v>
      </c>
      <c r="C45" s="669" t="str">
        <f>INDEX('Master sheet'!$A$1:$A$670,MATCH(158,'Master sheet'!$AN$1:$AN$670,0))</f>
        <v>OSB subflooring / Huber  / AdvanTech / 19/32" Subflooring</v>
      </c>
      <c r="D45" s="15">
        <f>'USER INPUT SHEET'!$D$35</f>
        <v>0</v>
      </c>
      <c r="E45" s="16" t="str">
        <f>'USER INPUT SHEET'!$F$35</f>
        <v>m2</v>
      </c>
      <c r="F45" s="3">
        <v>1</v>
      </c>
      <c r="G45" s="670"/>
      <c r="H45" s="8"/>
      <c r="I45" s="88">
        <f t="shared" si="9"/>
        <v>0</v>
      </c>
      <c r="J45" s="93" t="str">
        <f t="shared" si="10"/>
        <v/>
      </c>
      <c r="K45" s="406">
        <f>$D45*$F45*VLOOKUP($C45,'Master sheet'!$A:$AL,13,FALSE)</f>
        <v>0</v>
      </c>
      <c r="L45" s="94">
        <f>$D45*$F45*VLOOKUP($C45,'Master sheet'!$A:$AL,27,FALSE)</f>
        <v>0</v>
      </c>
      <c r="M45" s="1552"/>
      <c r="N45" s="1552"/>
      <c r="O45" s="25" t="str">
        <f ca="1">_xlfn.IFNA(VLOOKUP($C45,'Master sheet'!$A:$AR,44,FALSE),"")&amp;""</f>
        <v>Expired 2025</v>
      </c>
      <c r="P45" s="664"/>
      <c r="Q45" s="725" t="s">
        <v>74</v>
      </c>
      <c r="R45" s="726" t="s">
        <v>1738</v>
      </c>
      <c r="S45" s="664" t="s">
        <v>7265</v>
      </c>
      <c r="T45" s="664"/>
      <c r="U45" s="664"/>
      <c r="V45" s="664"/>
      <c r="W45" s="664"/>
      <c r="X45" s="664"/>
      <c r="Y45" s="664"/>
      <c r="Z45" s="664"/>
      <c r="AA45" s="664"/>
    </row>
    <row r="46" spans="1:27" ht="22.8" x14ac:dyDescent="0.25">
      <c r="A46" s="815"/>
      <c r="B46" s="840" t="s">
        <v>407</v>
      </c>
      <c r="C46" s="669" t="str">
        <f>INDEX('Master sheet'!$A$1:$A$670,MATCH("159-1",'Master sheet'!$AN$1:$AN$670,0))</f>
        <v>Plywood / Canadian Wood Council /  / 1/2"</v>
      </c>
      <c r="D46" s="15">
        <f>'USER INPUT SHEET'!$D$35</f>
        <v>0</v>
      </c>
      <c r="E46" s="16" t="str">
        <f>'USER INPUT SHEET'!$F$35</f>
        <v>m2</v>
      </c>
      <c r="F46" s="3">
        <v>1</v>
      </c>
      <c r="G46" s="670"/>
      <c r="H46" s="8"/>
      <c r="I46" s="88">
        <f t="shared" si="9"/>
        <v>0</v>
      </c>
      <c r="J46" s="93" t="str">
        <f t="shared" si="10"/>
        <v/>
      </c>
      <c r="K46" s="406">
        <f>$D46*$F46*VLOOKUP($C46,'Master sheet'!$A:$AL,13,FALSE)</f>
        <v>0</v>
      </c>
      <c r="L46" s="94">
        <f>$D46*$F46*VLOOKUP($C46,'Master sheet'!$A:$AL,27,FALSE)</f>
        <v>0</v>
      </c>
      <c r="M46" s="1552"/>
      <c r="N46" s="1552"/>
      <c r="O46" s="25" t="str">
        <f>_xlfn.IFNA(VLOOKUP($C46,'Master sheet'!$A:$AR,44,FALSE),"")&amp;""</f>
        <v/>
      </c>
      <c r="P46" s="638"/>
      <c r="Q46" s="725" t="s">
        <v>74</v>
      </c>
      <c r="R46" s="726" t="s">
        <v>1738</v>
      </c>
      <c r="S46" s="664" t="s">
        <v>7266</v>
      </c>
      <c r="T46" s="664"/>
      <c r="U46" s="664"/>
      <c r="V46" s="664"/>
      <c r="W46" s="664"/>
      <c r="X46" s="664"/>
      <c r="Y46" s="664"/>
      <c r="Z46" s="664"/>
      <c r="AA46" s="664"/>
    </row>
    <row r="47" spans="1:27" ht="22.8" x14ac:dyDescent="0.25">
      <c r="A47" s="815"/>
      <c r="B47" s="840" t="s">
        <v>338</v>
      </c>
      <c r="C47" s="669" t="str">
        <f>INDEX('Master sheet'!$A$1:$A$670,MATCH(160,'Master sheet'!$AN$1:$AN$670,0))</f>
        <v>Plywood / Canadian Wood Council /  / 5/8"</v>
      </c>
      <c r="D47" s="15">
        <f>'USER INPUT SHEET'!$D$35</f>
        <v>0</v>
      </c>
      <c r="E47" s="16" t="str">
        <f>'USER INPUT SHEET'!$F$35</f>
        <v>m2</v>
      </c>
      <c r="F47" s="3">
        <v>1</v>
      </c>
      <c r="G47" s="670"/>
      <c r="H47" s="8"/>
      <c r="I47" s="88">
        <f t="shared" si="9"/>
        <v>0</v>
      </c>
      <c r="J47" s="93" t="str">
        <f t="shared" si="10"/>
        <v/>
      </c>
      <c r="K47" s="406">
        <f>$D47*$F47*VLOOKUP($C47,'Master sheet'!$A:$AL,13,FALSE)</f>
        <v>0</v>
      </c>
      <c r="L47" s="94">
        <f>$D47*$F47*VLOOKUP($C47,'Master sheet'!$A:$AL,27,FALSE)</f>
        <v>0</v>
      </c>
      <c r="M47" s="1552"/>
      <c r="N47" s="1552"/>
      <c r="O47" s="25" t="str">
        <f>_xlfn.IFNA(VLOOKUP($C47,'Master sheet'!$A:$AR,44,FALSE),"")&amp;""</f>
        <v/>
      </c>
      <c r="P47" s="638"/>
      <c r="Q47" s="725" t="s">
        <v>74</v>
      </c>
      <c r="R47" s="726" t="s">
        <v>1738</v>
      </c>
      <c r="S47" s="664" t="s">
        <v>7264</v>
      </c>
      <c r="T47" s="664"/>
      <c r="U47" s="664"/>
      <c r="V47" s="664"/>
      <c r="W47" s="664"/>
      <c r="X47" s="664"/>
      <c r="Y47" s="664"/>
      <c r="Z47" s="664"/>
      <c r="AA47" s="638"/>
    </row>
    <row r="48" spans="1:27" ht="22.8" x14ac:dyDescent="0.25">
      <c r="A48" s="815"/>
      <c r="B48" s="840" t="s">
        <v>937</v>
      </c>
      <c r="C48" s="669" t="str">
        <f>INDEX('Master sheet'!$A$1:$A$670,MATCH(161,'Master sheet'!$AN$1:$AN$670,0))</f>
        <v>Plywood / Canadian Wood Council /  / 3/4"</v>
      </c>
      <c r="D48" s="15">
        <f>'USER INPUT SHEET'!$D$35</f>
        <v>0</v>
      </c>
      <c r="E48" s="16" t="str">
        <f>'USER INPUT SHEET'!$F$35</f>
        <v>m2</v>
      </c>
      <c r="F48" s="3">
        <v>1</v>
      </c>
      <c r="G48" s="670"/>
      <c r="H48" s="8"/>
      <c r="I48" s="88">
        <f t="shared" si="9"/>
        <v>0</v>
      </c>
      <c r="J48" s="93" t="str">
        <f t="shared" si="10"/>
        <v/>
      </c>
      <c r="K48" s="406">
        <f>$D48*$F48*VLOOKUP($C48,'Master sheet'!$A:$AL,13,FALSE)</f>
        <v>0</v>
      </c>
      <c r="L48" s="94">
        <f>$D48*$F48*VLOOKUP($C48,'Master sheet'!$A:$AL,27,FALSE)</f>
        <v>0</v>
      </c>
      <c r="M48" s="1552"/>
      <c r="N48" s="1552"/>
      <c r="O48" s="25" t="str">
        <f>_xlfn.IFNA(VLOOKUP($C48,'Master sheet'!$A:$AR,44,FALSE),"")&amp;""</f>
        <v/>
      </c>
      <c r="P48" s="638"/>
      <c r="Q48" s="725" t="s">
        <v>74</v>
      </c>
      <c r="R48" s="726" t="s">
        <v>1738</v>
      </c>
      <c r="S48" s="664" t="s">
        <v>7254</v>
      </c>
      <c r="T48" s="664"/>
      <c r="U48" s="664"/>
      <c r="V48" s="664"/>
      <c r="W48" s="664"/>
      <c r="X48" s="664"/>
      <c r="Y48" s="664"/>
      <c r="Z48" s="664"/>
      <c r="AA48" s="664"/>
    </row>
    <row r="49" spans="1:27" ht="22.8" x14ac:dyDescent="0.25">
      <c r="A49" s="815"/>
      <c r="B49" s="840" t="s">
        <v>338</v>
      </c>
      <c r="C49" s="669" t="str">
        <f>INDEX('Master sheet'!$A$1:$A$670,MATCH("248-1",'Master sheet'!$AN$1:$AN$670,0))</f>
        <v xml:space="preserve">Wood - SPF / Canadian Wood Council / British Columbia / </v>
      </c>
      <c r="D49" s="17">
        <f>'USER INPUT SHEET'!$D$35</f>
        <v>0</v>
      </c>
      <c r="E49" s="18" t="str">
        <f>'USER INPUT SHEET'!$F$35</f>
        <v>m2</v>
      </c>
      <c r="F49" s="4">
        <v>1</v>
      </c>
      <c r="G49" s="674"/>
      <c r="H49" s="9"/>
      <c r="I49" s="88">
        <f t="shared" si="9"/>
        <v>0</v>
      </c>
      <c r="J49" s="96" t="str">
        <f t="shared" si="10"/>
        <v/>
      </c>
      <c r="K49" s="407">
        <f>$D49*$F49*VLOOKUP($C49,'Master sheet'!$A:$AL,13,FALSE)*(0.0254*5/8)</f>
        <v>0</v>
      </c>
      <c r="L49" s="97">
        <f>$D49*$F49*VLOOKUP($C49,'Master sheet'!$A:$AL,27,FALSE)*(0.0254*5/8)</f>
        <v>0</v>
      </c>
      <c r="M49" s="1552"/>
      <c r="N49" s="1552"/>
      <c r="O49" s="25" t="str">
        <f>_xlfn.IFNA(VLOOKUP($C49,'Master sheet'!$A:$AR,44,FALSE),"")&amp;""</f>
        <v/>
      </c>
      <c r="P49" s="637"/>
      <c r="Q49" s="726" t="s">
        <v>74</v>
      </c>
      <c r="R49" s="726" t="s">
        <v>1738</v>
      </c>
      <c r="S49" s="664" t="s">
        <v>7264</v>
      </c>
      <c r="T49" s="664"/>
      <c r="U49" s="664"/>
      <c r="V49" s="664"/>
      <c r="W49" s="664"/>
      <c r="X49" s="664"/>
      <c r="Y49" s="664"/>
      <c r="Z49" s="664"/>
      <c r="AA49" s="664"/>
    </row>
    <row r="50" spans="1:27" ht="22.8" x14ac:dyDescent="0.25">
      <c r="A50" s="815"/>
      <c r="B50" s="840" t="s">
        <v>338</v>
      </c>
      <c r="C50" s="669" t="str">
        <f>INDEX('Master sheet'!$A$1:$A$670,MATCH("248-2",'Master sheet'!$AN$1:$AN$670,0))</f>
        <v xml:space="preserve">Wood - SPF / Canadian Wood Council / Alberta / </v>
      </c>
      <c r="D50" s="17">
        <f>'USER INPUT SHEET'!$D$35</f>
        <v>0</v>
      </c>
      <c r="E50" s="18" t="str">
        <f>'USER INPUT SHEET'!$F$35</f>
        <v>m2</v>
      </c>
      <c r="F50" s="4">
        <v>1</v>
      </c>
      <c r="G50" s="674"/>
      <c r="H50" s="9"/>
      <c r="I50" s="88">
        <f t="shared" ref="I50:I54" si="13">K50-L50-IF(N50,M50,0)</f>
        <v>0</v>
      </c>
      <c r="J50" s="96" t="str">
        <f t="shared" ref="J50:J54" si="14">IF(H50=1,I50,"")</f>
        <v/>
      </c>
      <c r="K50" s="407">
        <f>$D50*$F50*VLOOKUP($C50,'Master sheet'!$A:$AL,13,FALSE)*(0.0254*5/8)</f>
        <v>0</v>
      </c>
      <c r="L50" s="97">
        <f>$D50*$F50*VLOOKUP($C50,'Master sheet'!$A:$AL,27,FALSE)*(0.0254*5/8)</f>
        <v>0</v>
      </c>
      <c r="M50" s="1552"/>
      <c r="N50" s="1552"/>
      <c r="O50" s="25" t="str">
        <f>_xlfn.IFNA(VLOOKUP($C50,'Master sheet'!$A:$AR,44,FALSE),"")&amp;""</f>
        <v/>
      </c>
      <c r="P50" s="637"/>
      <c r="Q50" s="726" t="s">
        <v>74</v>
      </c>
      <c r="R50" s="726" t="s">
        <v>1738</v>
      </c>
      <c r="S50" s="664" t="s">
        <v>7264</v>
      </c>
      <c r="T50" s="664"/>
      <c r="U50" s="664"/>
      <c r="V50" s="664"/>
      <c r="W50" s="664"/>
      <c r="X50" s="664"/>
      <c r="Y50" s="664"/>
      <c r="Z50" s="664"/>
      <c r="AA50" s="664"/>
    </row>
    <row r="51" spans="1:27" ht="22.8" x14ac:dyDescent="0.25">
      <c r="A51" s="815"/>
      <c r="B51" s="840" t="s">
        <v>338</v>
      </c>
      <c r="C51" s="669" t="str">
        <f>INDEX('Master sheet'!$A$1:$A$670,MATCH("248-3",'Master sheet'!$AN$1:$AN$670,0))</f>
        <v xml:space="preserve">Wood - SPF / Canadian Wood Council / Ontario / </v>
      </c>
      <c r="D51" s="17">
        <f>'USER INPUT SHEET'!$D$35</f>
        <v>0</v>
      </c>
      <c r="E51" s="18" t="str">
        <f>'USER INPUT SHEET'!$F$35</f>
        <v>m2</v>
      </c>
      <c r="F51" s="4">
        <v>1</v>
      </c>
      <c r="G51" s="674"/>
      <c r="H51" s="9"/>
      <c r="I51" s="88">
        <f t="shared" si="13"/>
        <v>0</v>
      </c>
      <c r="J51" s="96" t="str">
        <f t="shared" si="14"/>
        <v/>
      </c>
      <c r="K51" s="407">
        <f>$D51*$F51*VLOOKUP($C51,'Master sheet'!$A:$AL,13,FALSE)*(0.0254*5/8)</f>
        <v>0</v>
      </c>
      <c r="L51" s="97">
        <f>$D51*$F51*VLOOKUP($C51,'Master sheet'!$A:$AL,27,FALSE)*(0.0254*5/8)</f>
        <v>0</v>
      </c>
      <c r="M51" s="1552"/>
      <c r="N51" s="1552"/>
      <c r="O51" s="25" t="str">
        <f>_xlfn.IFNA(VLOOKUP($C51,'Master sheet'!$A:$AR,44,FALSE),"")&amp;""</f>
        <v/>
      </c>
      <c r="P51" s="637"/>
      <c r="Q51" s="726" t="s">
        <v>74</v>
      </c>
      <c r="R51" s="726" t="s">
        <v>1738</v>
      </c>
      <c r="S51" s="664" t="s">
        <v>7264</v>
      </c>
      <c r="T51" s="664"/>
      <c r="U51" s="664"/>
      <c r="V51" s="664"/>
      <c r="W51" s="664"/>
      <c r="X51" s="664"/>
      <c r="Y51" s="664"/>
      <c r="Z51" s="664"/>
      <c r="AA51" s="664"/>
    </row>
    <row r="52" spans="1:27" ht="22.8" x14ac:dyDescent="0.25">
      <c r="A52" s="815"/>
      <c r="B52" s="840" t="s">
        <v>338</v>
      </c>
      <c r="C52" s="669" t="str">
        <f>INDEX('Master sheet'!$A$1:$A$670,MATCH("248-4",'Master sheet'!$AN$1:$AN$670,0))</f>
        <v xml:space="preserve">Wood - SPF / Canadian Wood Council / Quebec / </v>
      </c>
      <c r="D52" s="17">
        <f>'USER INPUT SHEET'!$D$35</f>
        <v>0</v>
      </c>
      <c r="E52" s="18" t="str">
        <f>'USER INPUT SHEET'!$F$35</f>
        <v>m2</v>
      </c>
      <c r="F52" s="4">
        <v>1</v>
      </c>
      <c r="G52" s="674"/>
      <c r="H52" s="9"/>
      <c r="I52" s="88">
        <f t="shared" si="13"/>
        <v>0</v>
      </c>
      <c r="J52" s="96" t="str">
        <f t="shared" si="14"/>
        <v/>
      </c>
      <c r="K52" s="407">
        <f>$D52*$F52*VLOOKUP($C52,'Master sheet'!$A:$AL,13,FALSE)*(0.0254*5/8)</f>
        <v>0</v>
      </c>
      <c r="L52" s="97">
        <f>$D52*$F52*VLOOKUP($C52,'Master sheet'!$A:$AL,27,FALSE)*(0.0254*5/8)</f>
        <v>0</v>
      </c>
      <c r="M52" s="1552"/>
      <c r="N52" s="1552"/>
      <c r="O52" s="25" t="str">
        <f>_xlfn.IFNA(VLOOKUP($C52,'Master sheet'!$A:$AR,44,FALSE),"")&amp;""</f>
        <v/>
      </c>
      <c r="P52" s="637"/>
      <c r="Q52" s="726" t="s">
        <v>74</v>
      </c>
      <c r="R52" s="726" t="s">
        <v>1738</v>
      </c>
      <c r="S52" s="664" t="s">
        <v>7264</v>
      </c>
      <c r="T52" s="664"/>
      <c r="U52" s="664"/>
      <c r="V52" s="664"/>
      <c r="W52" s="664"/>
      <c r="X52" s="664"/>
      <c r="Y52" s="664"/>
      <c r="Z52" s="664"/>
      <c r="AA52" s="664"/>
    </row>
    <row r="53" spans="1:27" ht="22.8" x14ac:dyDescent="0.25">
      <c r="A53" s="815"/>
      <c r="B53" s="840" t="s">
        <v>338</v>
      </c>
      <c r="C53" s="669" t="str">
        <f>INDEX('Master sheet'!$A$1:$A$670,MATCH("248-5",'Master sheet'!$AN$1:$AN$670,0))</f>
        <v xml:space="preserve">Wood - SPF / Canadian Wood Council / New Brunswick / </v>
      </c>
      <c r="D53" s="17">
        <f>'USER INPUT SHEET'!$D$35</f>
        <v>0</v>
      </c>
      <c r="E53" s="18" t="str">
        <f>'USER INPUT SHEET'!$F$35</f>
        <v>m2</v>
      </c>
      <c r="F53" s="4">
        <v>1</v>
      </c>
      <c r="G53" s="674"/>
      <c r="H53" s="9"/>
      <c r="I53" s="88">
        <f t="shared" si="13"/>
        <v>0</v>
      </c>
      <c r="J53" s="96" t="str">
        <f t="shared" si="14"/>
        <v/>
      </c>
      <c r="K53" s="407">
        <f>$D53*$F53*VLOOKUP($C53,'Master sheet'!$A:$AL,13,FALSE)*(0.0254*5/8)</f>
        <v>0</v>
      </c>
      <c r="L53" s="97">
        <f>$D53*$F53*VLOOKUP($C53,'Master sheet'!$A:$AL,27,FALSE)*(0.0254*5/8)</f>
        <v>0</v>
      </c>
      <c r="M53" s="1552"/>
      <c r="N53" s="1552"/>
      <c r="O53" s="25" t="str">
        <f>_xlfn.IFNA(VLOOKUP($C53,'Master sheet'!$A:$AR,44,FALSE),"")&amp;""</f>
        <v/>
      </c>
      <c r="P53" s="637"/>
      <c r="Q53" s="726" t="s">
        <v>74</v>
      </c>
      <c r="R53" s="726" t="s">
        <v>1738</v>
      </c>
      <c r="S53" s="664" t="s">
        <v>7264</v>
      </c>
      <c r="T53" s="664"/>
      <c r="U53" s="664"/>
      <c r="V53" s="664"/>
      <c r="W53" s="664"/>
      <c r="X53" s="664"/>
      <c r="Y53" s="664"/>
      <c r="Z53" s="664"/>
      <c r="AA53" s="664"/>
    </row>
    <row r="54" spans="1:27" ht="22.8" x14ac:dyDescent="0.25">
      <c r="A54" s="815"/>
      <c r="B54" s="840" t="s">
        <v>338</v>
      </c>
      <c r="C54" s="669" t="str">
        <f>INDEX('Master sheet'!$A$1:$A$670,MATCH("248-6",'Master sheet'!$AN$1:$AN$670,0))</f>
        <v xml:space="preserve">Wood - SPF / Canadian Wood Council / Atlantic Canada / </v>
      </c>
      <c r="D54" s="17">
        <f>'USER INPUT SHEET'!$D$35</f>
        <v>0</v>
      </c>
      <c r="E54" s="18" t="str">
        <f>'USER INPUT SHEET'!$F$35</f>
        <v>m2</v>
      </c>
      <c r="F54" s="4">
        <v>1</v>
      </c>
      <c r="G54" s="674"/>
      <c r="H54" s="9"/>
      <c r="I54" s="88">
        <f t="shared" si="13"/>
        <v>0</v>
      </c>
      <c r="J54" s="96" t="str">
        <f t="shared" si="14"/>
        <v/>
      </c>
      <c r="K54" s="407">
        <f>$D54*$F54*VLOOKUP($C54,'Master sheet'!$A:$AL,13,FALSE)*(0.0254*5/8)</f>
        <v>0</v>
      </c>
      <c r="L54" s="97">
        <f>$D54*$F54*VLOOKUP($C54,'Master sheet'!$A:$AL,27,FALSE)*(0.0254*5/8)</f>
        <v>0</v>
      </c>
      <c r="M54" s="1552"/>
      <c r="N54" s="1552"/>
      <c r="O54" s="25" t="str">
        <f>_xlfn.IFNA(VLOOKUP($C54,'Master sheet'!$A:$AR,44,FALSE),"")&amp;""</f>
        <v/>
      </c>
      <c r="P54" s="637"/>
      <c r="Q54" s="726" t="s">
        <v>74</v>
      </c>
      <c r="R54" s="726" t="s">
        <v>1738</v>
      </c>
      <c r="S54" s="664" t="s">
        <v>7264</v>
      </c>
      <c r="T54" s="664"/>
      <c r="U54" s="664"/>
      <c r="V54" s="664"/>
      <c r="W54" s="664"/>
      <c r="X54" s="664"/>
      <c r="Y54" s="664"/>
      <c r="Z54" s="664"/>
      <c r="AA54" s="664"/>
    </row>
    <row r="55" spans="1:27" ht="22.8" x14ac:dyDescent="0.25">
      <c r="A55" s="815"/>
      <c r="B55" s="840" t="s">
        <v>338</v>
      </c>
      <c r="C55" s="673" t="str">
        <f>INDEX('Master sheet'!$A$1:$A$670,MATCH("A84",'Master sheet'!$AN$1:$AN$670,0))</f>
        <v>OSB subflooring / LP / LP Legacy® Premium / 5/8"</v>
      </c>
      <c r="D55" s="17">
        <f>'USER INPUT SHEET'!$D$35</f>
        <v>0</v>
      </c>
      <c r="E55" s="18" t="str">
        <f>'USER INPUT SHEET'!$F$35</f>
        <v>m2</v>
      </c>
      <c r="F55" s="4">
        <v>1</v>
      </c>
      <c r="G55" s="674"/>
      <c r="H55" s="9"/>
      <c r="I55" s="88">
        <f t="shared" si="9"/>
        <v>0</v>
      </c>
      <c r="J55" s="96" t="str">
        <f t="shared" ref="J55:J60" si="15">IF(H55=1,I55,"")</f>
        <v/>
      </c>
      <c r="K55" s="407">
        <f>$D55*$F55*VLOOKUP($C55,'Master sheet'!$A:$AL,13,FALSE)</f>
        <v>0</v>
      </c>
      <c r="L55" s="94">
        <f>$D55*$F55*VLOOKUP($C55,'Master sheet'!$A:$AL,27,FALSE)</f>
        <v>0</v>
      </c>
      <c r="M55" s="1552"/>
      <c r="N55" s="1552"/>
      <c r="O55" s="25" t="str">
        <f>_xlfn.IFNA(VLOOKUP($C55,'Master sheet'!$A:$AR,44,FALSE),"")&amp;""</f>
        <v/>
      </c>
      <c r="P55" s="637"/>
      <c r="Q55" s="726" t="s">
        <v>74</v>
      </c>
      <c r="R55" s="726" t="s">
        <v>1738</v>
      </c>
      <c r="S55" s="664" t="s">
        <v>7264</v>
      </c>
      <c r="T55" s="638"/>
      <c r="U55" s="638"/>
      <c r="V55" s="638"/>
      <c r="W55" s="638"/>
      <c r="X55" s="664"/>
      <c r="Y55" s="664"/>
      <c r="Z55" s="664"/>
      <c r="AA55" s="664"/>
    </row>
    <row r="56" spans="1:27" ht="31.5" customHeight="1" x14ac:dyDescent="0.25">
      <c r="A56" s="815"/>
      <c r="B56" s="840" t="s">
        <v>407</v>
      </c>
      <c r="C56" s="673" t="str">
        <f>INDEX('Master sheet'!$A$1:$A$670,MATCH("A85",'Master sheet'!$AN$1:$AN$670,0))</f>
        <v>Plywood / British Columbia Average / Includes : West Fraser Mills, Thompson River Veneer Products / 1/2"</v>
      </c>
      <c r="D56" s="17">
        <f>'USER INPUT SHEET'!$D$35</f>
        <v>0</v>
      </c>
      <c r="E56" s="18" t="str">
        <f>'USER INPUT SHEET'!$F$35</f>
        <v>m2</v>
      </c>
      <c r="F56" s="4">
        <v>1</v>
      </c>
      <c r="G56" s="674"/>
      <c r="H56" s="9"/>
      <c r="I56" s="88">
        <f t="shared" si="9"/>
        <v>0</v>
      </c>
      <c r="J56" s="96" t="str">
        <f t="shared" si="15"/>
        <v/>
      </c>
      <c r="K56" s="407">
        <f>$D56*$F56*VLOOKUP($C56,'Master sheet'!$A:$AL,13,FALSE)</f>
        <v>0</v>
      </c>
      <c r="L56" s="94">
        <f>$D56*$F56*VLOOKUP($C56,'Master sheet'!$A:$AL,27,FALSE)</f>
        <v>0</v>
      </c>
      <c r="M56" s="1552"/>
      <c r="N56" s="1552"/>
      <c r="O56" s="25" t="str">
        <f>_xlfn.IFNA(VLOOKUP($C56,'Master sheet'!$A:$AR,44,FALSE),"")&amp;""</f>
        <v/>
      </c>
      <c r="P56" s="637"/>
      <c r="Q56" s="726" t="s">
        <v>74</v>
      </c>
      <c r="R56" s="726" t="s">
        <v>1738</v>
      </c>
      <c r="S56" s="638" t="s">
        <v>7266</v>
      </c>
      <c r="T56" s="638"/>
      <c r="U56" s="638"/>
      <c r="V56" s="638"/>
      <c r="W56" s="638"/>
      <c r="X56" s="664"/>
      <c r="Y56" s="664"/>
      <c r="Z56" s="664"/>
      <c r="AA56" s="664"/>
    </row>
    <row r="57" spans="1:27" ht="31.5" customHeight="1" x14ac:dyDescent="0.25">
      <c r="A57" s="815"/>
      <c r="B57" s="840" t="s">
        <v>937</v>
      </c>
      <c r="C57" s="673" t="str">
        <f>INDEX('Master sheet'!$A$1:$A$670,MATCH("A86",'Master sheet'!$AN$1:$AN$670,0))</f>
        <v>Plywood / British Columbia Average / Includes : West Fraser Mills, Thompson River Veneer Products / 3/4"</v>
      </c>
      <c r="D57" s="17">
        <f>'USER INPUT SHEET'!$D$35</f>
        <v>0</v>
      </c>
      <c r="E57" s="18" t="str">
        <f>'USER INPUT SHEET'!$F$35</f>
        <v>m2</v>
      </c>
      <c r="F57" s="4">
        <v>1</v>
      </c>
      <c r="G57" s="674"/>
      <c r="H57" s="9"/>
      <c r="I57" s="88">
        <f t="shared" si="9"/>
        <v>0</v>
      </c>
      <c r="J57" s="96" t="str">
        <f t="shared" si="15"/>
        <v/>
      </c>
      <c r="K57" s="407">
        <f>$D57*$F57*VLOOKUP($C57,'Master sheet'!$A:$AL,13,FALSE)</f>
        <v>0</v>
      </c>
      <c r="L57" s="94">
        <f>$D57*$F57*VLOOKUP($C57,'Master sheet'!$A:$AL,27,FALSE)</f>
        <v>0</v>
      </c>
      <c r="M57" s="1552"/>
      <c r="N57" s="1552"/>
      <c r="O57" s="25" t="str">
        <f>_xlfn.IFNA(VLOOKUP($C57,'Master sheet'!$A:$AR,44,FALSE),"")&amp;""</f>
        <v/>
      </c>
      <c r="P57" s="637"/>
      <c r="Q57" s="726" t="s">
        <v>74</v>
      </c>
      <c r="R57" s="726" t="s">
        <v>1738</v>
      </c>
      <c r="S57" s="638" t="s">
        <v>7254</v>
      </c>
      <c r="T57" s="638"/>
      <c r="U57" s="638"/>
      <c r="V57" s="638"/>
      <c r="W57" s="638"/>
      <c r="X57" s="664"/>
      <c r="Y57" s="664"/>
      <c r="Z57" s="664"/>
      <c r="AA57" s="664"/>
    </row>
    <row r="58" spans="1:27" ht="31.5" customHeight="1" x14ac:dyDescent="0.25">
      <c r="A58" s="815"/>
      <c r="B58" s="840" t="s">
        <v>338</v>
      </c>
      <c r="C58" s="673" t="str">
        <f>INDEX('Master sheet'!$A$1:$A$670,MATCH("A87",'Master sheet'!$AN$1:$AN$670,0))</f>
        <v>Plywood / British Columbia Average / Includes : West Fraser Mills, Thompson River Veneer Products / 5/8"</v>
      </c>
      <c r="D58" s="17">
        <f>'USER INPUT SHEET'!$D$35</f>
        <v>0</v>
      </c>
      <c r="E58" s="18" t="str">
        <f>'USER INPUT SHEET'!$F$35</f>
        <v>m2</v>
      </c>
      <c r="F58" s="4">
        <v>1</v>
      </c>
      <c r="G58" s="674"/>
      <c r="H58" s="9"/>
      <c r="I58" s="88">
        <f t="shared" si="9"/>
        <v>0</v>
      </c>
      <c r="J58" s="96" t="str">
        <f t="shared" si="15"/>
        <v/>
      </c>
      <c r="K58" s="407">
        <f>$D58*$F58*VLOOKUP($C58,'Master sheet'!$A:$AL,13,FALSE)</f>
        <v>0</v>
      </c>
      <c r="L58" s="94">
        <f>$D58*$F58*VLOOKUP($C58,'Master sheet'!$A:$AL,27,FALSE)</f>
        <v>0</v>
      </c>
      <c r="M58" s="1552"/>
      <c r="N58" s="1552"/>
      <c r="O58" s="25" t="str">
        <f>_xlfn.IFNA(VLOOKUP($C58,'Master sheet'!$A:$AR,44,FALSE),"")&amp;""</f>
        <v/>
      </c>
      <c r="P58" s="637"/>
      <c r="Q58" s="726" t="s">
        <v>74</v>
      </c>
      <c r="R58" s="726" t="s">
        <v>1738</v>
      </c>
      <c r="S58" s="638" t="s">
        <v>7264</v>
      </c>
      <c r="T58" s="638"/>
      <c r="U58" s="638"/>
      <c r="V58" s="638"/>
      <c r="W58" s="638"/>
      <c r="X58" s="664"/>
      <c r="Y58" s="664"/>
      <c r="Z58" s="664"/>
      <c r="AA58" s="638"/>
    </row>
    <row r="59" spans="1:27" ht="31.5" customHeight="1" x14ac:dyDescent="0.25">
      <c r="A59" s="815"/>
      <c r="B59" s="840" t="s">
        <v>937</v>
      </c>
      <c r="C59" s="673" t="str">
        <f>INDEX('Master sheet'!$A$1:$A$670,MATCH("A88",'Master sheet'!$AN$1:$AN$670,0))</f>
        <v>Plywood / Roseburg / Hardwood plywood. Includes:  walnut, alder, cherry, mahogany, oak, birch, maple faces  / 3/4"</v>
      </c>
      <c r="D59" s="17">
        <f>'USER INPUT SHEET'!$D$35</f>
        <v>0</v>
      </c>
      <c r="E59" s="18" t="str">
        <f>'USER INPUT SHEET'!$F$35</f>
        <v>m2</v>
      </c>
      <c r="F59" s="4">
        <v>1</v>
      </c>
      <c r="G59" s="674"/>
      <c r="H59" s="9"/>
      <c r="I59" s="88">
        <f t="shared" si="9"/>
        <v>0</v>
      </c>
      <c r="J59" s="96" t="str">
        <f t="shared" si="15"/>
        <v/>
      </c>
      <c r="K59" s="407">
        <f>$D59*$F59*VLOOKUP($C59,'Master sheet'!$A:$AL,13,FALSE)</f>
        <v>0</v>
      </c>
      <c r="L59" s="94">
        <f>$D59*$F59*VLOOKUP($C59,'Master sheet'!$A:$AL,27,FALSE)</f>
        <v>0</v>
      </c>
      <c r="M59" s="1552"/>
      <c r="N59" s="1552"/>
      <c r="O59" s="25" t="str">
        <f>_xlfn.IFNA(VLOOKUP($C59,'Master sheet'!$A:$AR,44,FALSE),"")&amp;""</f>
        <v/>
      </c>
      <c r="P59" s="637"/>
      <c r="Q59" s="726" t="s">
        <v>74</v>
      </c>
      <c r="R59" s="726" t="s">
        <v>1738</v>
      </c>
      <c r="S59" s="638" t="s">
        <v>7254</v>
      </c>
      <c r="T59" s="638"/>
      <c r="U59" s="638"/>
      <c r="V59" s="638"/>
      <c r="W59" s="638"/>
      <c r="X59" s="664"/>
      <c r="Y59" s="664"/>
      <c r="Z59" s="664"/>
      <c r="AA59" s="664"/>
    </row>
    <row r="60" spans="1:27" ht="22.8" x14ac:dyDescent="0.25">
      <c r="A60" s="815"/>
      <c r="B60" s="840" t="s">
        <v>407</v>
      </c>
      <c r="C60" s="673" t="str">
        <f>INDEX('Master sheet'!$A$1:$A$670,MATCH("A89",'Master sheet'!$AN$1:$AN$670,0))</f>
        <v>Plywood / Roseburg / softwood plywood / 1/2"</v>
      </c>
      <c r="D60" s="17">
        <f>'USER INPUT SHEET'!$D$35</f>
        <v>0</v>
      </c>
      <c r="E60" s="18" t="str">
        <f>'USER INPUT SHEET'!$F$35</f>
        <v>m2</v>
      </c>
      <c r="F60" s="4">
        <v>1</v>
      </c>
      <c r="G60" s="674"/>
      <c r="H60" s="9"/>
      <c r="I60" s="88">
        <f t="shared" si="9"/>
        <v>0</v>
      </c>
      <c r="J60" s="96" t="str">
        <f t="shared" si="15"/>
        <v/>
      </c>
      <c r="K60" s="407">
        <f>$D60*$F60*VLOOKUP($C60,'Master sheet'!$A:$AL,13,FALSE)</f>
        <v>0</v>
      </c>
      <c r="L60" s="94">
        <f>$D60*$F60*VLOOKUP($C60,'Master sheet'!$A:$AL,27,FALSE)</f>
        <v>0</v>
      </c>
      <c r="M60" s="1552"/>
      <c r="N60" s="1552"/>
      <c r="O60" s="25" t="str">
        <f>_xlfn.IFNA(VLOOKUP($C60,'Master sheet'!$A:$AR,44,FALSE),"")&amp;""</f>
        <v/>
      </c>
      <c r="P60" s="637"/>
      <c r="Q60" s="726" t="s">
        <v>74</v>
      </c>
      <c r="R60" s="726" t="s">
        <v>1738</v>
      </c>
      <c r="S60" s="638" t="s">
        <v>7266</v>
      </c>
      <c r="T60" s="638"/>
      <c r="U60" s="638"/>
      <c r="V60" s="638"/>
      <c r="W60" s="638"/>
      <c r="X60" s="664"/>
      <c r="Y60" s="664"/>
      <c r="Z60" s="664"/>
      <c r="AA60" s="664"/>
    </row>
    <row r="61" spans="1:27" s="624" customFormat="1" ht="22.8" x14ac:dyDescent="0.25">
      <c r="A61" s="815"/>
      <c r="B61" s="840" t="s">
        <v>937</v>
      </c>
      <c r="C61" s="673" t="str">
        <f>INDEX('Master sheet'!$A$1:$A$670,MATCH("A90",'Master sheet'!$AN$1:$AN$670,0))</f>
        <v>Plywood / Roseburg / softwood plywood / 3/4"</v>
      </c>
      <c r="D61" s="17">
        <f>'USER INPUT SHEET'!$D$35</f>
        <v>0</v>
      </c>
      <c r="E61" s="18" t="str">
        <f>'USER INPUT SHEET'!$F$35</f>
        <v>m2</v>
      </c>
      <c r="F61" s="4">
        <v>1</v>
      </c>
      <c r="G61" s="674"/>
      <c r="H61" s="9"/>
      <c r="I61" s="88">
        <f t="shared" si="9"/>
        <v>0</v>
      </c>
      <c r="J61" s="96" t="str">
        <f t="shared" si="10"/>
        <v/>
      </c>
      <c r="K61" s="407">
        <f>$D61*$F61*VLOOKUP($C61,'Master sheet'!$A:$AL,13,FALSE)</f>
        <v>0</v>
      </c>
      <c r="L61" s="94">
        <f>$D61*$F61*VLOOKUP($C61,'Master sheet'!$A:$AL,27,FALSE)</f>
        <v>0</v>
      </c>
      <c r="M61" s="1552"/>
      <c r="N61" s="1552"/>
      <c r="O61" s="25" t="str">
        <f>_xlfn.IFNA(VLOOKUP($C61,'Master sheet'!$A:$AR,44,FALSE),"")&amp;""</f>
        <v/>
      </c>
      <c r="P61" s="637"/>
      <c r="Q61" s="726" t="s">
        <v>74</v>
      </c>
      <c r="R61" s="726" t="s">
        <v>1738</v>
      </c>
      <c r="S61" s="638" t="s">
        <v>7254</v>
      </c>
      <c r="T61" s="638"/>
      <c r="U61" s="638"/>
      <c r="V61" s="638"/>
      <c r="W61" s="638"/>
      <c r="X61" s="638"/>
      <c r="Y61" s="638"/>
      <c r="Z61" s="638"/>
      <c r="AA61" s="664"/>
    </row>
    <row r="62" spans="1:27" s="624" customFormat="1" ht="54.75" customHeight="1" x14ac:dyDescent="0.25">
      <c r="A62" s="1522" t="s">
        <v>1376</v>
      </c>
      <c r="B62" s="1523"/>
      <c r="C62" s="1523"/>
      <c r="D62" s="649"/>
      <c r="E62" s="650"/>
      <c r="F62" s="321"/>
      <c r="G62" s="650"/>
      <c r="H62" s="650"/>
      <c r="I62" s="651"/>
      <c r="J62" s="651"/>
      <c r="K62" s="652"/>
      <c r="L62" s="653"/>
      <c r="M62" s="653"/>
      <c r="N62" s="653"/>
      <c r="O62" s="25" t="str">
        <f>_xlfn.IFNA(VLOOKUP($C62,'Master sheet'!$A:$AR,44,FALSE),"")&amp;""</f>
        <v/>
      </c>
      <c r="P62" s="638"/>
      <c r="Q62" s="726"/>
      <c r="R62" s="726"/>
      <c r="S62" s="638"/>
      <c r="T62" s="638"/>
      <c r="U62" s="638"/>
      <c r="V62" s="638"/>
      <c r="W62" s="638"/>
      <c r="X62" s="638"/>
      <c r="Y62" s="638"/>
      <c r="Z62" s="638"/>
      <c r="AA62" s="664"/>
    </row>
    <row r="63" spans="1:27" ht="23.25" customHeight="1" x14ac:dyDescent="0.25">
      <c r="A63" s="686"/>
      <c r="B63" s="1541" t="s">
        <v>1048</v>
      </c>
      <c r="C63" s="1530"/>
      <c r="D63" s="656"/>
      <c r="E63" s="657"/>
      <c r="F63" s="339"/>
      <c r="G63" s="724"/>
      <c r="H63" s="763"/>
      <c r="I63" s="658"/>
      <c r="J63" s="659"/>
      <c r="K63" s="660"/>
      <c r="L63" s="661"/>
      <c r="M63" s="677"/>
      <c r="N63" s="677"/>
      <c r="O63" s="25" t="str">
        <f>_xlfn.IFNA(VLOOKUP($C63,'Master sheet'!$A:$AR,44,FALSE),"")&amp;""</f>
        <v/>
      </c>
      <c r="P63" s="664"/>
      <c r="S63" s="664"/>
      <c r="T63" s="664"/>
      <c r="U63" s="664"/>
      <c r="V63" s="664"/>
      <c r="W63" s="664"/>
      <c r="X63" s="664"/>
      <c r="Y63" s="664"/>
      <c r="Z63" s="664"/>
      <c r="AA63" s="664"/>
    </row>
    <row r="64" spans="1:27" ht="23.25" customHeight="1" x14ac:dyDescent="0.25">
      <c r="A64" s="729"/>
      <c r="B64" s="745"/>
      <c r="C64" s="691" t="s">
        <v>1375</v>
      </c>
      <c r="D64" s="19">
        <f>'USER INPUT SHEET'!$D$35</f>
        <v>0</v>
      </c>
      <c r="E64" s="20" t="str">
        <f>'USER INPUT SHEET'!$F$35</f>
        <v>m2</v>
      </c>
      <c r="F64" s="6">
        <v>1</v>
      </c>
      <c r="G64" s="692"/>
      <c r="H64" s="10"/>
      <c r="I64" s="98">
        <f t="shared" ref="I64:I66" si="16">K64-L64-IF(N64,M64,0)</f>
        <v>0</v>
      </c>
      <c r="J64" s="91" t="str">
        <f>IF(H64=1,I64,"")</f>
        <v/>
      </c>
      <c r="K64" s="410">
        <f>$F64*AVERAGE(K65:K71)</f>
        <v>0</v>
      </c>
      <c r="L64" s="99">
        <f>$F64*AVERAGE(L65:L71)</f>
        <v>0</v>
      </c>
      <c r="M64" s="1552"/>
      <c r="N64" s="1552"/>
      <c r="O64" s="25" t="str">
        <f>_xlfn.IFNA(VLOOKUP($C64,'Master sheet'!$A:$AR,44,FALSE),"")&amp;""</f>
        <v/>
      </c>
      <c r="P64" s="664"/>
      <c r="Q64" s="725" t="s">
        <v>74</v>
      </c>
      <c r="R64" s="725" t="s">
        <v>1048</v>
      </c>
      <c r="S64" s="664"/>
      <c r="T64" s="664"/>
      <c r="U64" s="664"/>
      <c r="V64" s="664"/>
      <c r="W64" s="664"/>
      <c r="X64" s="664"/>
      <c r="Y64" s="664"/>
      <c r="Z64" s="664"/>
      <c r="AA64" s="664"/>
    </row>
    <row r="65" spans="1:27" ht="31.5" customHeight="1" x14ac:dyDescent="0.25">
      <c r="A65" s="1564"/>
      <c r="B65" s="1564"/>
      <c r="C65" s="669" t="str">
        <f>INDEX('Master sheet'!$A$1:$A$670,MATCH(84,'Master sheet'!$AN$1:$AN$670,0))</f>
        <v>Cross Laminated Timber (CLT) / Structurlam / CrossLam / 3-1/2" (90mm) thick</v>
      </c>
      <c r="D65" s="15">
        <f>'USER INPUT SHEET'!$D$35</f>
        <v>0</v>
      </c>
      <c r="E65" s="16" t="str">
        <f>'USER INPUT SHEET'!$F$35</f>
        <v>m2</v>
      </c>
      <c r="F65" s="3">
        <v>1</v>
      </c>
      <c r="G65" s="670"/>
      <c r="H65" s="8"/>
      <c r="I65" s="92">
        <f t="shared" si="16"/>
        <v>0</v>
      </c>
      <c r="J65" s="93" t="str">
        <f>IF(H65=1,I65,"")</f>
        <v/>
      </c>
      <c r="K65" s="406">
        <f>$D65*$F65*VLOOKUP($C65,'Master sheet'!$A:$AL,13,FALSE)</f>
        <v>0</v>
      </c>
      <c r="L65" s="97">
        <f>$D65*$F65*VLOOKUP($C65,'Master sheet'!$A:$AL,27,FALSE)</f>
        <v>0</v>
      </c>
      <c r="M65" s="1552"/>
      <c r="N65" s="1552"/>
      <c r="O65" s="25" t="str">
        <f ca="1">_xlfn.IFNA(VLOOKUP($C65,'Master sheet'!$A:$AR,44,FALSE),"")&amp;""</f>
        <v>Expired 2025</v>
      </c>
      <c r="Q65" s="725" t="s">
        <v>74</v>
      </c>
      <c r="R65" s="725" t="s">
        <v>1048</v>
      </c>
      <c r="S65" s="664"/>
      <c r="T65" s="664"/>
      <c r="U65" s="664"/>
      <c r="V65" s="664"/>
      <c r="W65" s="664"/>
      <c r="X65" s="664"/>
      <c r="Y65" s="664"/>
      <c r="Z65" s="664"/>
      <c r="AA65" s="664"/>
    </row>
    <row r="66" spans="1:27" ht="31.5" customHeight="1" x14ac:dyDescent="0.25">
      <c r="A66" s="1564"/>
      <c r="B66" s="1564"/>
      <c r="C66" s="673" t="str">
        <f>INDEX('Master sheet'!$A$1:$A$670,MATCH(85,'Master sheet'!$AN$1:$AN$670,0))</f>
        <v>Dowel Laminated Timber / StructureCraft / DowelLam / 3-1/2" (90mm) thick</v>
      </c>
      <c r="D66" s="17">
        <f>'USER INPUT SHEET'!$D$35</f>
        <v>0</v>
      </c>
      <c r="E66" s="18" t="str">
        <f>'USER INPUT SHEET'!$F$35</f>
        <v>m2</v>
      </c>
      <c r="F66" s="4">
        <v>1</v>
      </c>
      <c r="G66" s="674"/>
      <c r="H66" s="9"/>
      <c r="I66" s="95">
        <f t="shared" si="16"/>
        <v>0</v>
      </c>
      <c r="J66" s="96" t="str">
        <f>IF(H66=1,I66,"")</f>
        <v/>
      </c>
      <c r="K66" s="407">
        <f>$D66*$F66*VLOOKUP($C66,'Master sheet'!$A:$AL,13,FALSE)</f>
        <v>0</v>
      </c>
      <c r="L66" s="97">
        <f>$D66*$F66*VLOOKUP($C66,'Master sheet'!$A:$AL,27,FALSE)</f>
        <v>0</v>
      </c>
      <c r="M66" s="1552"/>
      <c r="N66" s="1552"/>
      <c r="O66" s="25" t="str">
        <f ca="1">_xlfn.IFNA(VLOOKUP($C66,'Master sheet'!$A:$AR,44,FALSE),"")&amp;""</f>
        <v>Expired 2025</v>
      </c>
      <c r="Q66" s="725" t="s">
        <v>74</v>
      </c>
      <c r="R66" s="725" t="s">
        <v>1048</v>
      </c>
      <c r="S66" s="664"/>
      <c r="T66" s="664"/>
      <c r="U66" s="664"/>
      <c r="V66" s="664"/>
      <c r="W66" s="664"/>
      <c r="X66" s="664"/>
      <c r="Y66" s="664"/>
      <c r="Z66" s="664"/>
      <c r="AA66" s="638"/>
    </row>
    <row r="67" spans="1:27" ht="31.5" customHeight="1" x14ac:dyDescent="0.25">
      <c r="A67" s="1564"/>
      <c r="B67" s="1564"/>
      <c r="C67" s="673" t="str">
        <f>INDEX('Master sheet'!$A$1:$A$670,MATCH("A23",'Master sheet'!$AN$1:$AN$670,0))</f>
        <v>Cross Laminated Timber (CLT) / Element5 / Crosslam CLT / 3-1/2" (90mm) thick</v>
      </c>
      <c r="D67" s="17">
        <f>'USER INPUT SHEET'!$D$35</f>
        <v>0</v>
      </c>
      <c r="E67" s="18" t="str">
        <f>'USER INPUT SHEET'!$F$35</f>
        <v>m2</v>
      </c>
      <c r="F67" s="4">
        <v>1</v>
      </c>
      <c r="G67" s="674"/>
      <c r="H67" s="9"/>
      <c r="I67" s="95">
        <f>K67-L67-IF(N67,M67,0)</f>
        <v>0</v>
      </c>
      <c r="J67" s="96" t="str">
        <f t="shared" ref="J67:J70" si="17">IF(H67=1,I67,"")</f>
        <v/>
      </c>
      <c r="K67" s="407">
        <f>$D67*$F67*VLOOKUP($C67,'Master sheet'!$A:$AL,13,FALSE)</f>
        <v>0</v>
      </c>
      <c r="L67" s="97">
        <f>$D67*$F67*VLOOKUP($C67,'Master sheet'!$A:$AL,27,FALSE)</f>
        <v>0</v>
      </c>
      <c r="M67" s="1552"/>
      <c r="N67" s="1552"/>
      <c r="O67" s="25" t="str">
        <f>_xlfn.IFNA(VLOOKUP($C67,'Master sheet'!$A:$AR,44,FALSE),"")&amp;""</f>
        <v/>
      </c>
      <c r="Q67" s="725" t="s">
        <v>74</v>
      </c>
      <c r="R67" s="725" t="s">
        <v>1048</v>
      </c>
      <c r="S67" s="664"/>
      <c r="T67" s="664"/>
      <c r="U67" s="664"/>
      <c r="V67" s="664"/>
      <c r="W67" s="664"/>
      <c r="X67" s="664"/>
      <c r="Y67" s="664"/>
      <c r="Z67" s="664"/>
      <c r="AA67" s="664"/>
    </row>
    <row r="68" spans="1:27" ht="31.5" customHeight="1" x14ac:dyDescent="0.25">
      <c r="A68" s="1564"/>
      <c r="B68" s="1564"/>
      <c r="C68" s="673" t="str">
        <f>INDEX('Master sheet'!$A$1:$A$670,MATCH("A24",'Master sheet'!$AN$1:$AN$670,0))</f>
        <v>Cross Laminated Timber (CLT) / Kalesnikoff Lumber Co. /  / 3-1/2" (90mm) thick</v>
      </c>
      <c r="D68" s="17">
        <f>'USER INPUT SHEET'!$D$35</f>
        <v>0</v>
      </c>
      <c r="E68" s="18" t="str">
        <f>'USER INPUT SHEET'!$F$35</f>
        <v>m2</v>
      </c>
      <c r="F68" s="4">
        <v>1</v>
      </c>
      <c r="G68" s="674"/>
      <c r="H68" s="9"/>
      <c r="I68" s="95">
        <f t="shared" ref="I68:I70" si="18">K68-L68</f>
        <v>0</v>
      </c>
      <c r="J68" s="96" t="str">
        <f t="shared" si="17"/>
        <v/>
      </c>
      <c r="K68" s="407">
        <f>$D68*$F68*VLOOKUP($C68,'Master sheet'!$A:$AL,13,FALSE)</f>
        <v>0</v>
      </c>
      <c r="L68" s="97">
        <f>$D68*$F68*VLOOKUP($C68,'Master sheet'!$A:$AL,27,FALSE)</f>
        <v>0</v>
      </c>
      <c r="M68" s="1552"/>
      <c r="N68" s="1552"/>
      <c r="O68" s="25" t="str">
        <f>_xlfn.IFNA(VLOOKUP($C68,'Master sheet'!$A:$AR,44,FALSE),"")&amp;""</f>
        <v/>
      </c>
      <c r="Q68" s="725" t="s">
        <v>74</v>
      </c>
      <c r="R68" s="725" t="s">
        <v>1048</v>
      </c>
      <c r="S68" s="664"/>
      <c r="T68" s="664"/>
      <c r="U68" s="664"/>
      <c r="V68" s="664"/>
      <c r="W68" s="664"/>
      <c r="X68" s="664"/>
      <c r="Y68" s="664"/>
      <c r="Z68" s="664"/>
      <c r="AA68" s="664"/>
    </row>
    <row r="69" spans="1:27" ht="31.5" customHeight="1" x14ac:dyDescent="0.25">
      <c r="A69" s="1564"/>
      <c r="B69" s="1564"/>
      <c r="C69" s="673" t="str">
        <f>INDEX('Master sheet'!$A$1:$A$670,MATCH("A25",'Master sheet'!$AN$1:$AN$670,0))</f>
        <v>Cross Laminated Timber (CLT) / Nordic  / Nordic Lam / 3-1/2" (90mm) thick</v>
      </c>
      <c r="D69" s="17">
        <f>'USER INPUT SHEET'!$D$35</f>
        <v>0</v>
      </c>
      <c r="E69" s="18" t="str">
        <f>'USER INPUT SHEET'!$F$35</f>
        <v>m2</v>
      </c>
      <c r="F69" s="4">
        <v>1</v>
      </c>
      <c r="G69" s="674"/>
      <c r="H69" s="9"/>
      <c r="I69" s="95">
        <f t="shared" si="18"/>
        <v>0</v>
      </c>
      <c r="J69" s="96" t="str">
        <f t="shared" si="17"/>
        <v/>
      </c>
      <c r="K69" s="407">
        <f>$D69*$F69*VLOOKUP($C69,'Master sheet'!$A:$AL,13,FALSE)</f>
        <v>0</v>
      </c>
      <c r="L69" s="97">
        <f>$D69*$F69*VLOOKUP($C69,'Master sheet'!$A:$AL,27,FALSE)</f>
        <v>0</v>
      </c>
      <c r="M69" s="1552"/>
      <c r="N69" s="1552"/>
      <c r="O69" s="25" t="str">
        <f>_xlfn.IFNA(VLOOKUP($C69,'Master sheet'!$A:$AR,44,FALSE),"")&amp;""</f>
        <v/>
      </c>
      <c r="Q69" s="725" t="s">
        <v>74</v>
      </c>
      <c r="R69" s="725" t="s">
        <v>1048</v>
      </c>
      <c r="S69" s="664"/>
      <c r="T69" s="664"/>
      <c r="U69" s="664"/>
      <c r="V69" s="664"/>
      <c r="W69" s="664"/>
      <c r="X69" s="664"/>
      <c r="Y69" s="664"/>
      <c r="Z69" s="664"/>
      <c r="AA69" s="664"/>
    </row>
    <row r="70" spans="1:27" ht="31.5" customHeight="1" x14ac:dyDescent="0.25">
      <c r="A70" s="1564"/>
      <c r="B70" s="1564"/>
      <c r="C70" s="673" t="str">
        <f>INDEX('Master sheet'!$A$1:$A$670,MATCH("A22",'Master sheet'!$AN$1:$AN$670,0))</f>
        <v>Cross Laminated Timber (CLT) / Nordic  / X-Lam / 3-1/2" (90mm) thick</v>
      </c>
      <c r="D70" s="17">
        <f>'USER INPUT SHEET'!$D$35</f>
        <v>0</v>
      </c>
      <c r="E70" s="18" t="str">
        <f>'USER INPUT SHEET'!$F$35</f>
        <v>m2</v>
      </c>
      <c r="F70" s="4">
        <v>1</v>
      </c>
      <c r="G70" s="674"/>
      <c r="H70" s="9"/>
      <c r="I70" s="95">
        <f t="shared" si="18"/>
        <v>0</v>
      </c>
      <c r="J70" s="96" t="str">
        <f t="shared" si="17"/>
        <v/>
      </c>
      <c r="K70" s="407">
        <f>$D70*$F70*VLOOKUP($C70,'Master sheet'!$A:$AL,13,FALSE)</f>
        <v>0</v>
      </c>
      <c r="L70" s="97">
        <f>$D70*$F70*VLOOKUP($C70,'Master sheet'!$A:$AL,27,FALSE)</f>
        <v>0</v>
      </c>
      <c r="M70" s="1552"/>
      <c r="N70" s="1552"/>
      <c r="O70" s="25" t="str">
        <f>_xlfn.IFNA(VLOOKUP($C70,'Master sheet'!$A:$AR,44,FALSE),"")&amp;""</f>
        <v/>
      </c>
      <c r="Q70" s="725" t="s">
        <v>74</v>
      </c>
      <c r="R70" s="725" t="s">
        <v>1048</v>
      </c>
      <c r="S70" s="664"/>
      <c r="T70" s="664"/>
      <c r="U70" s="664"/>
      <c r="V70" s="664"/>
      <c r="W70" s="664"/>
      <c r="X70" s="664"/>
      <c r="Y70" s="664"/>
      <c r="Z70" s="664"/>
      <c r="AA70" s="664"/>
    </row>
    <row r="71" spans="1:27" s="624" customFormat="1" ht="31.5" customHeight="1" x14ac:dyDescent="0.25">
      <c r="A71" s="1564"/>
      <c r="B71" s="1564"/>
      <c r="C71" s="673" t="str">
        <f>INDEX('Master sheet'!$A$1:$A$670,MATCH("A26",'Master sheet'!$AN$1:$AN$670,0))</f>
        <v>Cross Laminated Timber (CLT) / Vaagen Timbers / Crosslam CLT / 3-1/2" (90mm) thick</v>
      </c>
      <c r="D71" s="17">
        <f>'USER INPUT SHEET'!$D$35</f>
        <v>0</v>
      </c>
      <c r="E71" s="18" t="str">
        <f>'USER INPUT SHEET'!$F$35</f>
        <v>m2</v>
      </c>
      <c r="F71" s="4">
        <v>1</v>
      </c>
      <c r="G71" s="674"/>
      <c r="H71" s="9"/>
      <c r="I71" s="95">
        <f>K71-L71</f>
        <v>0</v>
      </c>
      <c r="J71" s="96" t="str">
        <f>IF(H71=1,I71,"")</f>
        <v/>
      </c>
      <c r="K71" s="407">
        <f>$D71*$F71*VLOOKUP($C71,'Master sheet'!$A:$AL,13,FALSE)</f>
        <v>0</v>
      </c>
      <c r="L71" s="97">
        <f>$D71*$F71*VLOOKUP($C71,'Master sheet'!$A:$AL,27,FALSE)</f>
        <v>0</v>
      </c>
      <c r="M71" s="1552"/>
      <c r="N71" s="1552"/>
      <c r="O71" s="25" t="str">
        <f>_xlfn.IFNA(VLOOKUP($C71,'Master sheet'!$A:$AR,44,FALSE),"")&amp;""</f>
        <v/>
      </c>
      <c r="P71" s="619"/>
      <c r="Q71" s="725" t="s">
        <v>74</v>
      </c>
      <c r="R71" s="725" t="s">
        <v>1048</v>
      </c>
      <c r="S71" s="638"/>
      <c r="T71" s="638"/>
      <c r="U71" s="638"/>
      <c r="V71" s="638"/>
      <c r="W71" s="638"/>
      <c r="X71" s="638"/>
      <c r="Y71" s="638"/>
      <c r="Z71" s="638"/>
      <c r="AA71" s="664"/>
    </row>
    <row r="72" spans="1:27" s="624" customFormat="1" ht="55.2" customHeight="1" x14ac:dyDescent="0.25">
      <c r="A72" s="1522" t="s">
        <v>1625</v>
      </c>
      <c r="B72" s="1523"/>
      <c r="C72" s="1523"/>
      <c r="D72" s="649"/>
      <c r="E72" s="650"/>
      <c r="F72" s="321"/>
      <c r="G72" s="650"/>
      <c r="H72" s="650"/>
      <c r="I72" s="651"/>
      <c r="J72" s="103"/>
      <c r="K72" s="652"/>
      <c r="L72" s="653"/>
      <c r="M72" s="653"/>
      <c r="N72" s="653"/>
      <c r="O72" s="25" t="str">
        <f>_xlfn.IFNA(VLOOKUP($C72,'Master sheet'!$A:$AR,44,FALSE),"")&amp;""</f>
        <v/>
      </c>
      <c r="P72" s="637"/>
      <c r="Q72" s="29"/>
      <c r="R72" s="28"/>
      <c r="S72" s="638"/>
      <c r="T72" s="638"/>
      <c r="U72" s="638"/>
      <c r="V72" s="638"/>
      <c r="W72" s="638"/>
      <c r="X72" s="638"/>
      <c r="Y72" s="638"/>
      <c r="Z72" s="638"/>
      <c r="AA72" s="664"/>
    </row>
    <row r="73" spans="1:27" ht="23.85" customHeight="1" x14ac:dyDescent="0.25">
      <c r="A73" s="639"/>
      <c r="B73" s="1524" t="s">
        <v>1421</v>
      </c>
      <c r="C73" s="1524"/>
      <c r="D73" s="656"/>
      <c r="E73" s="657"/>
      <c r="F73" s="322"/>
      <c r="G73" s="657"/>
      <c r="H73" s="657"/>
      <c r="I73" s="658"/>
      <c r="J73" s="659"/>
      <c r="K73" s="660"/>
      <c r="L73" s="661"/>
      <c r="M73" s="677"/>
      <c r="N73" s="677"/>
      <c r="O73" s="25" t="str">
        <f>_xlfn.IFNA(VLOOKUP($C73,'Master sheet'!$A:$AR,44,FALSE),"")&amp;""</f>
        <v/>
      </c>
      <c r="P73" s="663"/>
      <c r="Q73" s="30"/>
      <c r="R73" s="21"/>
      <c r="S73" s="664"/>
      <c r="T73" s="664"/>
      <c r="U73" s="664"/>
      <c r="V73" s="664"/>
      <c r="W73" s="664"/>
      <c r="X73" s="664"/>
      <c r="Y73" s="664"/>
      <c r="Z73" s="664"/>
      <c r="AA73" s="664"/>
    </row>
    <row r="74" spans="1:27" ht="23.25" customHeight="1" x14ac:dyDescent="0.25">
      <c r="A74" s="666"/>
      <c r="B74" s="666"/>
      <c r="C74" s="667" t="str">
        <f>INDEX('Master sheet'!$A$1:$A$670,MATCH(52,'Master sheet'!$AN$1:$AN$670,0))</f>
        <v>Earthen Floor / Site made /  / 3" cob, 1" clay plaster</v>
      </c>
      <c r="D74" s="230">
        <f>'USER INPUT SHEET'!$D$35</f>
        <v>0</v>
      </c>
      <c r="E74" s="231" t="s">
        <v>5</v>
      </c>
      <c r="F74" s="5">
        <v>1</v>
      </c>
      <c r="G74" s="668"/>
      <c r="H74" s="10"/>
      <c r="I74" s="232">
        <f>K74-L74</f>
        <v>0</v>
      </c>
      <c r="J74" s="233" t="str">
        <f>IF(H74=1,I74,"")</f>
        <v/>
      </c>
      <c r="K74" s="409">
        <f>$D74*$F74*VLOOKUP($C74,'Master sheet'!$A:$AL,13,FALSE)</f>
        <v>0</v>
      </c>
      <c r="L74" s="234">
        <f>$D74*$F74*VLOOKUP($C74,'Master sheet'!$A:$AL,27,FALSE)</f>
        <v>0</v>
      </c>
      <c r="M74" s="1552"/>
      <c r="N74" s="1552"/>
      <c r="O74" s="25" t="str">
        <f>_xlfn.IFNA(VLOOKUP($C74,'Master sheet'!$A:$AR,44,FALSE),"")&amp;""</f>
        <v>Adapted from peer-reviewed LCA, 2019</v>
      </c>
      <c r="P74" s="637"/>
      <c r="Q74" s="726" t="s">
        <v>74</v>
      </c>
      <c r="R74" s="28" t="s">
        <v>1421</v>
      </c>
      <c r="S74" s="664"/>
      <c r="T74" s="664"/>
      <c r="U74" s="664"/>
      <c r="V74" s="664"/>
      <c r="W74" s="664"/>
      <c r="X74" s="664"/>
      <c r="Y74" s="664"/>
      <c r="Z74" s="664"/>
      <c r="AA74" s="638"/>
    </row>
    <row r="75" spans="1:27" s="624" customFormat="1" ht="54.75" customHeight="1" x14ac:dyDescent="0.25">
      <c r="A75" s="1522" t="s">
        <v>83</v>
      </c>
      <c r="B75" s="1523"/>
      <c r="C75" s="1523"/>
      <c r="D75" s="649"/>
      <c r="E75" s="650"/>
      <c r="F75" s="321"/>
      <c r="G75" s="650"/>
      <c r="H75" s="650"/>
      <c r="I75" s="651"/>
      <c r="J75" s="651"/>
      <c r="K75" s="652"/>
      <c r="L75" s="653"/>
      <c r="M75" s="653"/>
      <c r="N75" s="653"/>
      <c r="O75" s="25" t="str">
        <f>_xlfn.IFNA(VLOOKUP($C75,'Master sheet'!$A:$AR,44,FALSE),"")&amp;""</f>
        <v/>
      </c>
      <c r="P75" s="619"/>
      <c r="Q75" s="726"/>
      <c r="R75" s="726"/>
      <c r="S75" s="638"/>
      <c r="T75" s="638"/>
      <c r="U75" s="638"/>
      <c r="V75" s="638"/>
      <c r="W75" s="638"/>
      <c r="X75" s="638"/>
      <c r="Y75" s="638"/>
      <c r="Z75" s="638"/>
      <c r="AA75" s="638"/>
    </row>
    <row r="76" spans="1:27" ht="23.25" customHeight="1" x14ac:dyDescent="0.25">
      <c r="A76" s="686"/>
      <c r="B76" s="1541" t="s">
        <v>1049</v>
      </c>
      <c r="C76" s="1530"/>
      <c r="D76" s="656"/>
      <c r="E76" s="657"/>
      <c r="F76" s="339"/>
      <c r="G76" s="724"/>
      <c r="H76" s="763"/>
      <c r="I76" s="658"/>
      <c r="J76" s="659"/>
      <c r="K76" s="660"/>
      <c r="L76" s="661"/>
      <c r="M76" s="677"/>
      <c r="N76" s="677"/>
      <c r="O76" s="25" t="str">
        <f>_xlfn.IFNA(VLOOKUP($C76,'Master sheet'!$A:$AR,44,FALSE),"")&amp;""</f>
        <v/>
      </c>
      <c r="S76" s="664"/>
      <c r="T76" s="664"/>
      <c r="U76" s="664"/>
      <c r="V76" s="664"/>
      <c r="W76" s="664"/>
      <c r="X76" s="664"/>
      <c r="Y76" s="664"/>
      <c r="Z76" s="664"/>
      <c r="AA76" s="664"/>
    </row>
    <row r="77" spans="1:27" ht="22.8" x14ac:dyDescent="0.25">
      <c r="A77" s="729"/>
      <c r="B77" s="745"/>
      <c r="C77" s="691" t="s">
        <v>1054</v>
      </c>
      <c r="D77" s="19">
        <f>'USER INPUT SHEET'!$D$35</f>
        <v>0</v>
      </c>
      <c r="E77" s="20" t="str">
        <f>'USER INPUT SHEET'!$F$35</f>
        <v>m2</v>
      </c>
      <c r="F77" s="6">
        <v>1</v>
      </c>
      <c r="G77" s="692"/>
      <c r="H77" s="10"/>
      <c r="I77" s="98">
        <f t="shared" ref="I77:I80" si="19">K77-L77-IF(N77,M77,0)</f>
        <v>0</v>
      </c>
      <c r="J77" s="91" t="str">
        <f>IF(H77=1,I77,"")</f>
        <v/>
      </c>
      <c r="K77" s="410">
        <f>$F77*AVERAGE(K78:K80)</f>
        <v>0</v>
      </c>
      <c r="L77" s="99">
        <f>$F77*AVERAGE(L78:L80)</f>
        <v>0</v>
      </c>
      <c r="M77" s="1552"/>
      <c r="N77" s="1552"/>
      <c r="O77" s="25" t="str">
        <f>_xlfn.IFNA(VLOOKUP($C77,'Master sheet'!$A:$AR,44,FALSE),"")&amp;""</f>
        <v/>
      </c>
      <c r="Q77" s="725" t="s">
        <v>74</v>
      </c>
      <c r="R77" s="725" t="s">
        <v>83</v>
      </c>
      <c r="S77" s="664"/>
      <c r="T77" s="664"/>
      <c r="U77" s="664"/>
      <c r="V77" s="664"/>
      <c r="W77" s="664"/>
      <c r="X77" s="664"/>
      <c r="Y77" s="664"/>
      <c r="Z77" s="664"/>
      <c r="AA77" s="664"/>
    </row>
    <row r="78" spans="1:27" ht="31.5" customHeight="1" x14ac:dyDescent="0.25">
      <c r="A78" s="1600"/>
      <c r="B78" s="1564"/>
      <c r="C78" s="669" t="str">
        <f>INDEX('Master sheet'!$A$1:$A$670,MATCH(118,'Master sheet'!$AN$1:$AN$670,0))</f>
        <v>Hardwood flooring / mafi / Natural Hardwood Planks / 3/4", 3 ply laminated solid, oil pre-finished</v>
      </c>
      <c r="D78" s="15">
        <f>'USER INPUT SHEET'!$D$35</f>
        <v>0</v>
      </c>
      <c r="E78" s="16" t="str">
        <f>'USER INPUT SHEET'!$F$35</f>
        <v>m2</v>
      </c>
      <c r="F78" s="3">
        <v>1</v>
      </c>
      <c r="G78" s="670"/>
      <c r="H78" s="8"/>
      <c r="I78" s="95">
        <f t="shared" si="19"/>
        <v>0</v>
      </c>
      <c r="J78" s="93" t="str">
        <f t="shared" ref="J78:J91" si="20">IF(H78=1,I78,"")</f>
        <v/>
      </c>
      <c r="K78" s="406">
        <f>$D78*$F78*VLOOKUP($C78,'Master sheet'!$A:$AL,13,FALSE)</f>
        <v>0</v>
      </c>
      <c r="L78" s="94">
        <f>$D78*$F78*VLOOKUP($C78,'Master sheet'!$A:$AL,27,FALSE)</f>
        <v>0</v>
      </c>
      <c r="M78" s="1552"/>
      <c r="N78" s="1552"/>
      <c r="O78" s="25" t="str">
        <f ca="1">_xlfn.IFNA(VLOOKUP($C78,'Master sheet'!$A:$AR,44,FALSE),"")&amp;""</f>
        <v>Expired 2025</v>
      </c>
      <c r="Q78" s="725" t="s">
        <v>74</v>
      </c>
      <c r="R78" s="725" t="s">
        <v>83</v>
      </c>
      <c r="S78" s="664"/>
      <c r="T78" s="664"/>
      <c r="U78" s="664"/>
      <c r="V78" s="664"/>
      <c r="W78" s="664"/>
      <c r="X78" s="664"/>
      <c r="Y78" s="664"/>
      <c r="Z78" s="664"/>
      <c r="AA78" s="638"/>
    </row>
    <row r="79" spans="1:27" ht="31.5" customHeight="1" x14ac:dyDescent="0.25">
      <c r="A79" s="1564"/>
      <c r="B79" s="1564"/>
      <c r="C79" s="673" t="str">
        <f>INDEX('Master sheet'!$A$1:$A$670,MATCH("A52",'Master sheet'!$AN$1:$AN$670,0))</f>
        <v>Hardwood flooring / NWFA and Decorative Hardwoods Association / Solid Wood Flooring / 3/4"</v>
      </c>
      <c r="D79" s="17">
        <f>'USER INPUT SHEET'!$D$35</f>
        <v>0</v>
      </c>
      <c r="E79" s="18" t="str">
        <f>'USER INPUT SHEET'!$F$35</f>
        <v>m2</v>
      </c>
      <c r="F79" s="4">
        <v>1</v>
      </c>
      <c r="G79" s="674"/>
      <c r="H79" s="9"/>
      <c r="I79" s="95">
        <f t="shared" si="19"/>
        <v>0</v>
      </c>
      <c r="J79" s="96" t="str">
        <f t="shared" ref="J79" si="21">IF(H79=1,I79,"")</f>
        <v/>
      </c>
      <c r="K79" s="407">
        <f>$D79*$F79*VLOOKUP($C79,'Master sheet'!$A:$AL,13,FALSE)</f>
        <v>0</v>
      </c>
      <c r="L79" s="97">
        <f>$D79*$F79*VLOOKUP($C79,'Master sheet'!$A:$AL,27,FALSE)</f>
        <v>0</v>
      </c>
      <c r="M79" s="1552"/>
      <c r="N79" s="1552"/>
      <c r="O79" s="25" t="str">
        <f>_xlfn.IFNA(VLOOKUP($C79,'Master sheet'!$A:$AR,44,FALSE),"")&amp;""</f>
        <v/>
      </c>
      <c r="Q79" s="726" t="s">
        <v>74</v>
      </c>
      <c r="R79" s="726" t="s">
        <v>83</v>
      </c>
      <c r="S79" s="638"/>
      <c r="T79" s="638"/>
      <c r="U79" s="638"/>
      <c r="V79" s="638"/>
      <c r="W79" s="664"/>
      <c r="X79" s="664"/>
      <c r="Y79" s="664"/>
      <c r="Z79" s="664"/>
      <c r="AA79" s="664"/>
    </row>
    <row r="80" spans="1:27" s="624" customFormat="1" ht="22.8" x14ac:dyDescent="0.25">
      <c r="A80" s="1564"/>
      <c r="B80" s="1564"/>
      <c r="C80" s="673" t="str">
        <f>INDEX('Master sheet'!$A$1:$A$670,MATCH("A53",'Master sheet'!$AN$1:$AN$670,0))</f>
        <v>Hardwood flooring / Wickham / Solid Hardwood / 3/4"</v>
      </c>
      <c r="D80" s="17">
        <f>'USER INPUT SHEET'!$D$35</f>
        <v>0</v>
      </c>
      <c r="E80" s="18" t="str">
        <f>'USER INPUT SHEET'!$F$35</f>
        <v>m2</v>
      </c>
      <c r="F80" s="4">
        <v>1</v>
      </c>
      <c r="G80" s="674"/>
      <c r="H80" s="9"/>
      <c r="I80" s="95">
        <f t="shared" si="19"/>
        <v>0</v>
      </c>
      <c r="J80" s="96" t="str">
        <f t="shared" si="20"/>
        <v/>
      </c>
      <c r="K80" s="407">
        <f>$D80*$F80*VLOOKUP($C80,'Master sheet'!$A:$AL,13,FALSE)</f>
        <v>0</v>
      </c>
      <c r="L80" s="97">
        <f>$D80*$F80*VLOOKUP($C80,'Master sheet'!$A:$AL,27,FALSE)</f>
        <v>0</v>
      </c>
      <c r="M80" s="1610"/>
      <c r="N80" s="1610"/>
      <c r="O80" s="25" t="str">
        <f>_xlfn.IFNA(VLOOKUP($C80,'Master sheet'!$A:$AR,44,FALSE),"")&amp;""</f>
        <v/>
      </c>
      <c r="P80" s="619"/>
      <c r="Q80" s="726" t="s">
        <v>74</v>
      </c>
      <c r="R80" s="726" t="s">
        <v>83</v>
      </c>
      <c r="S80" s="638"/>
      <c r="T80" s="638"/>
      <c r="U80" s="638"/>
      <c r="V80" s="638"/>
      <c r="W80" s="638"/>
      <c r="X80" s="638"/>
      <c r="Y80" s="638"/>
      <c r="Z80" s="638"/>
      <c r="AA80" s="664"/>
    </row>
    <row r="81" spans="1:27" s="624" customFormat="1" ht="23.25" customHeight="1" x14ac:dyDescent="0.25">
      <c r="A81" s="639"/>
      <c r="B81" s="1524" t="s">
        <v>3420</v>
      </c>
      <c r="C81" s="1523"/>
      <c r="D81" s="640"/>
      <c r="E81" s="641"/>
      <c r="F81" s="325"/>
      <c r="G81" s="678"/>
      <c r="H81" s="679"/>
      <c r="I81" s="642"/>
      <c r="J81" s="643"/>
      <c r="K81" s="676"/>
      <c r="L81" s="677"/>
      <c r="M81" s="677"/>
      <c r="N81" s="677"/>
      <c r="O81" s="25" t="str">
        <f>_xlfn.IFNA(VLOOKUP($C81,'Master sheet'!$A:$AR,44,FALSE),"")&amp;""</f>
        <v/>
      </c>
      <c r="P81" s="619"/>
      <c r="Q81" s="726"/>
      <c r="R81" s="726"/>
      <c r="S81" s="638"/>
      <c r="T81" s="638"/>
      <c r="U81" s="638"/>
      <c r="V81" s="638"/>
      <c r="W81" s="638"/>
      <c r="X81" s="638"/>
      <c r="Y81" s="638"/>
      <c r="Z81" s="638"/>
      <c r="AA81" s="664"/>
    </row>
    <row r="82" spans="1:27" s="624" customFormat="1" ht="31.5" customHeight="1" x14ac:dyDescent="0.25">
      <c r="A82" s="729"/>
      <c r="B82" s="745"/>
      <c r="C82" s="673" t="str">
        <f>INDEX('Master sheet'!$A$1:$A$670,MATCH(381,'Master sheet'!$AN$1:$AN$670,0))</f>
        <v>Linoleum flooring / Mannington / Legato Flooring / liquid applied</v>
      </c>
      <c r="D82" s="17">
        <f>'USER INPUT SHEET'!$D$35</f>
        <v>0</v>
      </c>
      <c r="E82" s="18" t="str">
        <f>'USER INPUT SHEET'!$F$35</f>
        <v>m2</v>
      </c>
      <c r="F82" s="4">
        <v>1</v>
      </c>
      <c r="G82" s="674"/>
      <c r="H82" s="9"/>
      <c r="I82" s="95">
        <f t="shared" ref="I82" si="22">K82-L82</f>
        <v>0</v>
      </c>
      <c r="J82" s="96" t="str">
        <f t="shared" ref="J82" si="23">IF(H82=1,I82,"")</f>
        <v/>
      </c>
      <c r="K82" s="407">
        <f>$D82*$F82*VLOOKUP($C82,'Master sheet'!$A:$AL,13,FALSE)</f>
        <v>0</v>
      </c>
      <c r="L82" s="97">
        <f>$D82*$F82*VLOOKUP($C82,'Master sheet'!$A:$AL,27,FALSE)</f>
        <v>0</v>
      </c>
      <c r="M82" s="1562"/>
      <c r="N82" s="1562"/>
      <c r="O82" s="25" t="str">
        <f ca="1">_xlfn.IFNA(VLOOKUP($C82,'Master sheet'!$A:$AR,44,FALSE),"")&amp;""</f>
        <v>Expired 2025</v>
      </c>
      <c r="P82" s="619"/>
      <c r="Q82" s="726" t="s">
        <v>74</v>
      </c>
      <c r="R82" s="726" t="s">
        <v>83</v>
      </c>
      <c r="S82" s="638"/>
      <c r="T82" s="638" t="s">
        <v>7295</v>
      </c>
      <c r="U82" s="638"/>
      <c r="V82" s="638"/>
      <c r="W82" s="638"/>
      <c r="X82" s="638"/>
      <c r="Y82" s="638"/>
      <c r="Z82" s="638"/>
      <c r="AA82" s="664"/>
    </row>
    <row r="83" spans="1:27" ht="22.8" x14ac:dyDescent="0.25">
      <c r="A83" s="729"/>
      <c r="B83" s="745"/>
      <c r="C83" s="691" t="s">
        <v>1353</v>
      </c>
      <c r="D83" s="19">
        <f>'USER INPUT SHEET'!$D$35</f>
        <v>0</v>
      </c>
      <c r="E83" s="20" t="str">
        <f>'USER INPUT SHEET'!$F$35</f>
        <v>m2</v>
      </c>
      <c r="F83" s="6">
        <v>1</v>
      </c>
      <c r="G83" s="692"/>
      <c r="H83" s="10"/>
      <c r="I83" s="98">
        <f>K83-L83</f>
        <v>0</v>
      </c>
      <c r="J83" s="91" t="str">
        <f>IF(H83=1,I83,"")</f>
        <v/>
      </c>
      <c r="K83" s="410">
        <f>$F83*AVERAGE(K84:K86)</f>
        <v>0</v>
      </c>
      <c r="L83" s="99">
        <f>$F83*AVERAGE(L84:L86)</f>
        <v>0</v>
      </c>
      <c r="M83" s="1552"/>
      <c r="N83" s="1552"/>
      <c r="O83" s="25" t="str">
        <f>_xlfn.IFNA(VLOOKUP($C83,'Master sheet'!$A:$AR,44,FALSE),"")&amp;""</f>
        <v/>
      </c>
      <c r="Q83" s="725" t="s">
        <v>74</v>
      </c>
      <c r="R83" s="725" t="s">
        <v>83</v>
      </c>
      <c r="S83" s="664"/>
      <c r="T83" s="664"/>
      <c r="U83" s="664"/>
      <c r="V83" s="664"/>
      <c r="W83" s="664"/>
      <c r="X83" s="664"/>
      <c r="Y83" s="664"/>
      <c r="Z83" s="664"/>
      <c r="AA83" s="664"/>
    </row>
    <row r="84" spans="1:27" ht="31.5" customHeight="1" x14ac:dyDescent="0.25">
      <c r="A84" s="1564"/>
      <c r="B84" s="1564"/>
      <c r="C84" s="669" t="str">
        <f>INDEX('Master sheet'!$A$1:$A$670,MATCH(373,'Master sheet'!$AN$1:$AN$670,0))</f>
        <v>Linoleum flooring / Gerflor  / DLW Linoleum Compact / 2.5 mm sheet style linoleum</v>
      </c>
      <c r="D84" s="15">
        <f>'USER INPUT SHEET'!$D$35</f>
        <v>0</v>
      </c>
      <c r="E84" s="16" t="str">
        <f>'USER INPUT SHEET'!$F$35</f>
        <v>m2</v>
      </c>
      <c r="F84" s="3">
        <v>1</v>
      </c>
      <c r="G84" s="670"/>
      <c r="H84" s="8"/>
      <c r="I84" s="92">
        <f t="shared" ref="I84:I91" si="24">K84-L84</f>
        <v>0</v>
      </c>
      <c r="J84" s="93" t="str">
        <f t="shared" si="20"/>
        <v/>
      </c>
      <c r="K84" s="406">
        <f>$D84*$F84*VLOOKUP($C84,'Master sheet'!$A:$AL,13,FALSE)</f>
        <v>0</v>
      </c>
      <c r="L84" s="94">
        <f>$D84*$F84*VLOOKUP($C84,'Master sheet'!$A:$AL,27,FALSE)</f>
        <v>0</v>
      </c>
      <c r="M84" s="1552"/>
      <c r="N84" s="1552"/>
      <c r="O84" s="25" t="str">
        <f ca="1">_xlfn.IFNA(VLOOKUP($C84,'Master sheet'!$A:$AR,44,FALSE),"")&amp;""</f>
        <v>Expired 2025</v>
      </c>
      <c r="Q84" s="725" t="s">
        <v>74</v>
      </c>
      <c r="R84" s="725" t="s">
        <v>83</v>
      </c>
      <c r="S84" s="664"/>
      <c r="T84" s="664"/>
      <c r="U84" s="664"/>
      <c r="V84" s="664"/>
      <c r="W84" s="664"/>
      <c r="X84" s="664"/>
      <c r="Y84" s="664"/>
      <c r="Z84" s="664"/>
      <c r="AA84" s="664"/>
    </row>
    <row r="85" spans="1:27" ht="31.5" customHeight="1" x14ac:dyDescent="0.25">
      <c r="A85" s="1564"/>
      <c r="B85" s="1564"/>
      <c r="C85" s="669" t="str">
        <f>INDEX('Master sheet'!$A$1:$A$670,MATCH(133,'Master sheet'!$AN$1:$AN$670,0))</f>
        <v>Linoleum flooring / Forbo / Marmoleum Striato / 2.5 mm sheet style linoleum</v>
      </c>
      <c r="D85" s="15">
        <f>'USER INPUT SHEET'!$D$35</f>
        <v>0</v>
      </c>
      <c r="E85" s="16" t="str">
        <f>'USER INPUT SHEET'!$F$35</f>
        <v>m2</v>
      </c>
      <c r="F85" s="3">
        <v>1</v>
      </c>
      <c r="G85" s="670"/>
      <c r="H85" s="8"/>
      <c r="I85" s="92">
        <f t="shared" si="24"/>
        <v>0</v>
      </c>
      <c r="J85" s="93" t="str">
        <f t="shared" si="20"/>
        <v/>
      </c>
      <c r="K85" s="406">
        <f>$D85*$F85*VLOOKUP($C85,'Master sheet'!$A:$AL,13,FALSE)</f>
        <v>0</v>
      </c>
      <c r="L85" s="94">
        <f>$D85*$F85*VLOOKUP($C85,'Master sheet'!$A:$AL,27,FALSE)</f>
        <v>0</v>
      </c>
      <c r="M85" s="1552"/>
      <c r="N85" s="1552"/>
      <c r="O85" s="25" t="str">
        <f ca="1">_xlfn.IFNA(VLOOKUP($C85,'Master sheet'!$A:$AR,44,FALSE),"")&amp;""</f>
        <v>Expired 2025</v>
      </c>
      <c r="Q85" s="725" t="s">
        <v>74</v>
      </c>
      <c r="R85" s="725" t="s">
        <v>83</v>
      </c>
      <c r="S85" s="664"/>
      <c r="T85" s="664"/>
      <c r="U85" s="664"/>
      <c r="V85" s="664"/>
      <c r="W85" s="664"/>
      <c r="X85" s="664"/>
      <c r="Y85" s="664"/>
      <c r="Z85" s="664"/>
      <c r="AA85" s="664"/>
    </row>
    <row r="86" spans="1:27" ht="46.8" x14ac:dyDescent="0.25">
      <c r="A86" s="1564"/>
      <c r="B86" s="1564"/>
      <c r="C86" s="673" t="str">
        <f>INDEX('Master sheet'!$A$1:$A$670,MATCH("A67",'Master sheet'!$AN$1:$AN$670,0))</f>
        <v>Linoleum flooring / Tarkett / Lino Veneto xf2, Etrusco, Style Elle|Emme, Veneto, Originale, LinoRail, Linosport / 2.5 mm sheet style linoleum</v>
      </c>
      <c r="D86" s="17">
        <f>'USER INPUT SHEET'!$D$35</f>
        <v>0</v>
      </c>
      <c r="E86" s="18" t="str">
        <f>'USER INPUT SHEET'!$F$35</f>
        <v>m2</v>
      </c>
      <c r="F86" s="4">
        <v>1</v>
      </c>
      <c r="G86" s="674"/>
      <c r="H86" s="9"/>
      <c r="I86" s="95">
        <f t="shared" si="24"/>
        <v>0</v>
      </c>
      <c r="J86" s="96" t="str">
        <f t="shared" si="20"/>
        <v/>
      </c>
      <c r="K86" s="407">
        <f>$D86*$F86*VLOOKUP($C86,'Master sheet'!$A:$AL,13,FALSE)</f>
        <v>0</v>
      </c>
      <c r="L86" s="97">
        <f>$D86*$F86*VLOOKUP($C86,'Master sheet'!$A:$AL,27,FALSE)</f>
        <v>0</v>
      </c>
      <c r="M86" s="1552"/>
      <c r="N86" s="1552"/>
      <c r="O86" s="25" t="str">
        <f>_xlfn.IFNA(VLOOKUP($C86,'Master sheet'!$A:$AR,44,FALSE),"")&amp;""</f>
        <v/>
      </c>
      <c r="Q86" s="726" t="s">
        <v>74</v>
      </c>
      <c r="R86" s="726" t="s">
        <v>83</v>
      </c>
      <c r="S86" s="638"/>
      <c r="T86" s="664"/>
      <c r="U86" s="664"/>
      <c r="V86" s="664"/>
      <c r="W86" s="664"/>
      <c r="X86" s="664"/>
      <c r="Y86" s="664"/>
      <c r="Z86" s="664"/>
      <c r="AA86" s="664"/>
    </row>
    <row r="87" spans="1:27" ht="22.8" x14ac:dyDescent="0.25">
      <c r="A87" s="1564"/>
      <c r="B87" s="1564"/>
      <c r="C87" s="691" t="s">
        <v>4784</v>
      </c>
      <c r="D87" s="19">
        <f>'USER INPUT SHEET'!$D$35</f>
        <v>0</v>
      </c>
      <c r="E87" s="20" t="str">
        <f>'USER INPUT SHEET'!$F$35</f>
        <v>m2</v>
      </c>
      <c r="F87" s="6">
        <v>1</v>
      </c>
      <c r="G87" s="692"/>
      <c r="H87" s="10"/>
      <c r="I87" s="98">
        <f>K87-L87</f>
        <v>0</v>
      </c>
      <c r="J87" s="91" t="str">
        <f>IF(H87=1,I87,"")</f>
        <v/>
      </c>
      <c r="K87" s="410">
        <f>$F87*AVERAGE(K88:K89)</f>
        <v>0</v>
      </c>
      <c r="L87" s="99">
        <f>$F87*AVERAGE(L88:L89)</f>
        <v>0</v>
      </c>
      <c r="M87" s="1552"/>
      <c r="N87" s="1552"/>
      <c r="O87" s="25" t="str">
        <f>_xlfn.IFNA(VLOOKUP($C87,'Master sheet'!$A:$AR,44,FALSE),"")&amp;""</f>
        <v/>
      </c>
      <c r="Q87" s="725" t="s">
        <v>74</v>
      </c>
      <c r="R87" s="725" t="s">
        <v>83</v>
      </c>
      <c r="S87" s="664"/>
      <c r="T87" s="664"/>
      <c r="U87" s="664"/>
      <c r="V87" s="664"/>
      <c r="W87" s="664"/>
      <c r="X87" s="664"/>
      <c r="Y87" s="664"/>
      <c r="Z87" s="664"/>
      <c r="AA87" s="664"/>
    </row>
    <row r="88" spans="1:27" ht="31.5" customHeight="1" x14ac:dyDescent="0.25">
      <c r="A88" s="1564"/>
      <c r="B88" s="1564"/>
      <c r="C88" s="673" t="str">
        <f>INDEX('Master sheet'!$A$1:$A$670,MATCH("A66",'Master sheet'!$AN$1:$AN$670,0))</f>
        <v>Linoleum flooring / Tarkett / Lino Acoustic  / 3.8 mm sheet style linoleum with polyurethane foam backing</v>
      </c>
      <c r="D88" s="17">
        <f>'USER INPUT SHEET'!$D$35</f>
        <v>0</v>
      </c>
      <c r="E88" s="18" t="str">
        <f>'USER INPUT SHEET'!$F$35</f>
        <v>m2</v>
      </c>
      <c r="F88" s="4">
        <v>1</v>
      </c>
      <c r="G88" s="674"/>
      <c r="H88" s="9"/>
      <c r="I88" s="95">
        <f t="shared" ref="I88" si="25">K88-L88</f>
        <v>0</v>
      </c>
      <c r="J88" s="96" t="str">
        <f t="shared" ref="J88" si="26">IF(H88=1,I88,"")</f>
        <v/>
      </c>
      <c r="K88" s="407">
        <f>$D88*$F88*VLOOKUP($C88,'Master sheet'!$A:$AL,13,FALSE)</f>
        <v>0</v>
      </c>
      <c r="L88" s="97">
        <f>$D88*$F88*VLOOKUP($C88,'Master sheet'!$A:$AL,27,FALSE)</f>
        <v>0</v>
      </c>
      <c r="M88" s="1552"/>
      <c r="N88" s="1552"/>
      <c r="O88" s="25" t="str">
        <f>_xlfn.IFNA(VLOOKUP($C88,'Master sheet'!$A:$AR,44,FALSE),"")&amp;""</f>
        <v/>
      </c>
      <c r="Q88" s="726" t="s">
        <v>74</v>
      </c>
      <c r="R88" s="726" t="s">
        <v>83</v>
      </c>
      <c r="S88" s="638"/>
      <c r="T88" s="638"/>
      <c r="U88" s="638"/>
      <c r="V88" s="638"/>
      <c r="W88" s="664"/>
      <c r="X88" s="664"/>
      <c r="Y88" s="664"/>
      <c r="Z88" s="664"/>
      <c r="AA88" s="664"/>
    </row>
    <row r="89" spans="1:27" s="624" customFormat="1" ht="31.5" customHeight="1" x14ac:dyDescent="0.25">
      <c r="A89" s="1564"/>
      <c r="B89" s="1564"/>
      <c r="C89" s="673" t="str">
        <f>INDEX('Master sheet'!$A$1:$A$670,MATCH("A68",'Master sheet'!$AN$1:$AN$670,0))</f>
        <v>Linoleum flooring / Tarkett / Veneto Acoustic Cork / 4.4 mm sheet style linoleum with cork backing</v>
      </c>
      <c r="D89" s="17">
        <f>'USER INPUT SHEET'!$D$35</f>
        <v>0</v>
      </c>
      <c r="E89" s="18" t="str">
        <f>'USER INPUT SHEET'!$F$35</f>
        <v>m2</v>
      </c>
      <c r="F89" s="4">
        <v>1</v>
      </c>
      <c r="G89" s="674"/>
      <c r="H89" s="9"/>
      <c r="I89" s="95">
        <f t="shared" si="24"/>
        <v>0</v>
      </c>
      <c r="J89" s="96" t="str">
        <f t="shared" si="20"/>
        <v/>
      </c>
      <c r="K89" s="407">
        <f>$D89*$F89*VLOOKUP($C89,'Master sheet'!$A:$AL,13,FALSE)</f>
        <v>0</v>
      </c>
      <c r="L89" s="97">
        <f>$D89*$F89*VLOOKUP($C89,'Master sheet'!$A:$AL,27,FALSE)</f>
        <v>0</v>
      </c>
      <c r="M89" s="1610"/>
      <c r="N89" s="1610"/>
      <c r="O89" s="25" t="str">
        <f>_xlfn.IFNA(VLOOKUP($C89,'Master sheet'!$A:$AR,44,FALSE),"")&amp;""</f>
        <v/>
      </c>
      <c r="P89" s="619"/>
      <c r="Q89" s="726" t="s">
        <v>74</v>
      </c>
      <c r="R89" s="726" t="s">
        <v>83</v>
      </c>
      <c r="S89" s="638"/>
      <c r="T89" s="638"/>
      <c r="U89" s="638"/>
      <c r="V89" s="638"/>
      <c r="W89" s="638"/>
      <c r="X89" s="638"/>
      <c r="Y89" s="638"/>
      <c r="Z89" s="638"/>
      <c r="AA89" s="664"/>
    </row>
    <row r="90" spans="1:27" s="624" customFormat="1" ht="23.25" customHeight="1" x14ac:dyDescent="0.25">
      <c r="A90" s="639"/>
      <c r="B90" s="1524" t="s">
        <v>1029</v>
      </c>
      <c r="C90" s="1523"/>
      <c r="D90" s="640"/>
      <c r="E90" s="641"/>
      <c r="F90" s="325"/>
      <c r="G90" s="678"/>
      <c r="H90" s="679"/>
      <c r="I90" s="642"/>
      <c r="J90" s="643"/>
      <c r="K90" s="676"/>
      <c r="L90" s="677"/>
      <c r="M90" s="677"/>
      <c r="N90" s="677"/>
      <c r="O90" s="25" t="str">
        <f>_xlfn.IFNA(VLOOKUP($C90,'Master sheet'!$A:$AR,44,FALSE),"")&amp;""</f>
        <v/>
      </c>
      <c r="P90" s="619"/>
      <c r="Q90" s="726"/>
      <c r="R90" s="726"/>
      <c r="S90" s="638"/>
      <c r="T90" s="638"/>
      <c r="U90" s="638"/>
      <c r="V90" s="638"/>
      <c r="W90" s="638"/>
      <c r="X90" s="638"/>
      <c r="Y90" s="638"/>
      <c r="Z90" s="638"/>
      <c r="AA90" s="664"/>
    </row>
    <row r="91" spans="1:27" s="624" customFormat="1" ht="47.25" customHeight="1" x14ac:dyDescent="0.25">
      <c r="A91" s="1564"/>
      <c r="B91" s="1564"/>
      <c r="C91" s="673" t="str">
        <f>INDEX('Master sheet'!$A$1:$A$670,MATCH("A14",'Master sheet'!$AN$1:$AN$670,0))</f>
        <v xml:space="preserve">Ceramic tile / Tile Council of North America / Industry average. Includes porcelain, pressed, mosaic and quarry tile / 18.8 kg/m2 </v>
      </c>
      <c r="D91" s="17">
        <f>'USER INPUT SHEET'!$D$35</f>
        <v>0</v>
      </c>
      <c r="E91" s="18" t="str">
        <f>'USER INPUT SHEET'!$F$35</f>
        <v>m2</v>
      </c>
      <c r="F91" s="4">
        <v>1</v>
      </c>
      <c r="G91" s="674"/>
      <c r="H91" s="9"/>
      <c r="I91" s="95">
        <f t="shared" si="24"/>
        <v>0</v>
      </c>
      <c r="J91" s="96" t="str">
        <f t="shared" si="20"/>
        <v/>
      </c>
      <c r="K91" s="407">
        <f>$D91*$F91*VLOOKUP($C91,'Master sheet'!$A:$AL,13,FALSE)</f>
        <v>0</v>
      </c>
      <c r="L91" s="97">
        <f>$D91*$F91*VLOOKUP($C91,'Master sheet'!$A:$AL,27,FALSE)</f>
        <v>0</v>
      </c>
      <c r="M91" s="1610"/>
      <c r="N91" s="1610"/>
      <c r="O91" s="25" t="str">
        <f>_xlfn.IFNA(VLOOKUP($C91,'Master sheet'!$A:$AR,44,FALSE),"")&amp;""</f>
        <v/>
      </c>
      <c r="P91" s="619"/>
      <c r="Q91" s="726" t="s">
        <v>74</v>
      </c>
      <c r="R91" s="726" t="s">
        <v>83</v>
      </c>
      <c r="S91" s="638"/>
      <c r="T91" s="638" t="s">
        <v>7295</v>
      </c>
      <c r="U91" s="638"/>
      <c r="V91" s="638"/>
      <c r="W91" s="638"/>
      <c r="X91" s="638"/>
      <c r="Y91" s="638"/>
      <c r="Z91" s="638"/>
      <c r="AA91" s="638"/>
    </row>
    <row r="92" spans="1:27" s="624" customFormat="1" ht="23.25" customHeight="1" x14ac:dyDescent="0.25">
      <c r="A92" s="639"/>
      <c r="B92" s="1524" t="s">
        <v>1030</v>
      </c>
      <c r="C92" s="1523"/>
      <c r="D92" s="640"/>
      <c r="E92" s="641"/>
      <c r="F92" s="325"/>
      <c r="G92" s="678"/>
      <c r="H92" s="679"/>
      <c r="I92" s="642"/>
      <c r="J92" s="643"/>
      <c r="K92" s="676"/>
      <c r="L92" s="677"/>
      <c r="M92" s="677"/>
      <c r="N92" s="677"/>
      <c r="O92" s="25" t="str">
        <f>_xlfn.IFNA(VLOOKUP($C92,'Master sheet'!$A:$AR,44,FALSE),"")&amp;""</f>
        <v/>
      </c>
      <c r="P92" s="619"/>
      <c r="Q92" s="726"/>
      <c r="R92" s="726"/>
      <c r="S92" s="638"/>
      <c r="T92" s="638"/>
      <c r="U92" s="638"/>
      <c r="V92" s="638"/>
      <c r="W92" s="638"/>
      <c r="X92" s="638"/>
      <c r="Y92" s="638"/>
      <c r="Z92" s="638"/>
      <c r="AA92" s="638"/>
    </row>
    <row r="93" spans="1:27" ht="22.8" x14ac:dyDescent="0.25">
      <c r="A93" s="1564"/>
      <c r="B93" s="1564"/>
      <c r="C93" s="673" t="str">
        <f>INDEX('Master sheet'!$A$1:$A$670,MATCH("A119",'Master sheet'!$AN$1:$AN$670,0))</f>
        <v>Vinyl flooring / Altro / Altro Lavencia / 3.0 mm</v>
      </c>
      <c r="D93" s="17">
        <f>'USER INPUT SHEET'!$D$35</f>
        <v>0</v>
      </c>
      <c r="E93" s="18" t="str">
        <f>'USER INPUT SHEET'!$F$35</f>
        <v>m2</v>
      </c>
      <c r="F93" s="4">
        <v>1</v>
      </c>
      <c r="G93" s="674"/>
      <c r="H93" s="9"/>
      <c r="I93" s="95">
        <f t="shared" ref="I93" si="27">K93-L93</f>
        <v>0</v>
      </c>
      <c r="J93" s="96" t="str">
        <f t="shared" ref="J93" si="28">IF(H93=1,I93,"")</f>
        <v/>
      </c>
      <c r="K93" s="407">
        <f>$D93*$F93*VLOOKUP($C93,'Master sheet'!$A:$AL,13,FALSE)</f>
        <v>0</v>
      </c>
      <c r="L93" s="97">
        <f>$D93*$F93*VLOOKUP($C93,'Master sheet'!$A:$AL,27,FALSE)</f>
        <v>0</v>
      </c>
      <c r="M93" s="1610"/>
      <c r="N93" s="1610"/>
      <c r="O93" s="25" t="str">
        <f>_xlfn.IFNA(VLOOKUP($C93,'Master sheet'!$A:$AR,44,FALSE),"")&amp;""</f>
        <v/>
      </c>
      <c r="Q93" s="726" t="s">
        <v>74</v>
      </c>
      <c r="R93" s="726" t="s">
        <v>83</v>
      </c>
      <c r="S93" s="638"/>
      <c r="T93" s="638"/>
      <c r="U93" s="638"/>
      <c r="V93" s="638"/>
      <c r="W93" s="664"/>
      <c r="X93" s="664"/>
      <c r="Y93" s="664"/>
      <c r="Z93" s="664"/>
      <c r="AA93" s="638"/>
    </row>
    <row r="94" spans="1:27" s="624" customFormat="1" ht="23.25" customHeight="1" x14ac:dyDescent="0.25">
      <c r="A94" s="639"/>
      <c r="B94" s="1524" t="s">
        <v>3421</v>
      </c>
      <c r="C94" s="1523"/>
      <c r="D94" s="640"/>
      <c r="E94" s="641"/>
      <c r="F94" s="325"/>
      <c r="G94" s="678"/>
      <c r="H94" s="679"/>
      <c r="I94" s="642"/>
      <c r="J94" s="643"/>
      <c r="K94" s="676"/>
      <c r="L94" s="677"/>
      <c r="M94" s="677"/>
      <c r="N94" s="677"/>
      <c r="O94" s="25" t="str">
        <f>_xlfn.IFNA(VLOOKUP($C94,'Master sheet'!$A:$AR,44,FALSE),"")&amp;""</f>
        <v/>
      </c>
      <c r="P94" s="619"/>
      <c r="Q94" s="726"/>
      <c r="R94" s="726"/>
      <c r="S94" s="638"/>
      <c r="T94" s="638"/>
      <c r="U94" s="638"/>
      <c r="V94" s="638"/>
      <c r="W94" s="638"/>
      <c r="X94" s="638"/>
      <c r="Y94" s="638"/>
      <c r="Z94" s="638"/>
      <c r="AA94" s="638"/>
    </row>
    <row r="95" spans="1:27" s="624" customFormat="1" ht="31.2" x14ac:dyDescent="0.25">
      <c r="A95" s="1601"/>
      <c r="B95" s="1601"/>
      <c r="C95" s="681" t="str">
        <f>INDEX('Master sheet'!$A$1:$A$670,MATCH("A204",'Master sheet'!$AN$1:$AN$670,0))</f>
        <v>Luxury vinyl tile / Resilient Floor Covering Institute / Looselay Flooring / 4.5 - 6mm</v>
      </c>
      <c r="D95" s="22">
        <f>'USER INPUT SHEET'!$D$35</f>
        <v>0</v>
      </c>
      <c r="E95" s="23" t="str">
        <f>'USER INPUT SHEET'!$F$35</f>
        <v>m2</v>
      </c>
      <c r="F95" s="6">
        <v>1</v>
      </c>
      <c r="G95" s="682"/>
      <c r="H95" s="10"/>
      <c r="I95" s="100">
        <f t="shared" ref="I95:I99" si="29">K95-L95</f>
        <v>0</v>
      </c>
      <c r="J95" s="101" t="str">
        <f t="shared" ref="J95:J99" si="30">IF(H95=1,I95,"")</f>
        <v/>
      </c>
      <c r="K95" s="408">
        <f>$D95*$F95*VLOOKUP($C95,'Master sheet'!$A:$AL,13,FALSE)</f>
        <v>0</v>
      </c>
      <c r="L95" s="102">
        <f>$D95*$F95*VLOOKUP($C95,'Master sheet'!$A:$AL,27,FALSE)</f>
        <v>0</v>
      </c>
      <c r="M95" s="1552"/>
      <c r="N95" s="1552"/>
      <c r="O95" s="25" t="str">
        <f>_xlfn.IFNA(VLOOKUP($C95,'Master sheet'!$A:$AR,44,FALSE),"")&amp;""</f>
        <v/>
      </c>
      <c r="P95" s="619"/>
      <c r="Q95" s="726" t="s">
        <v>74</v>
      </c>
      <c r="R95" s="726" t="s">
        <v>83</v>
      </c>
      <c r="S95" s="638"/>
      <c r="T95" s="638"/>
      <c r="U95" s="638"/>
      <c r="V95" s="638"/>
      <c r="W95" s="638"/>
      <c r="X95" s="638"/>
      <c r="Y95" s="638"/>
      <c r="Z95" s="638"/>
      <c r="AA95" s="664"/>
    </row>
    <row r="96" spans="1:27" s="624" customFormat="1" ht="31.2" x14ac:dyDescent="0.25">
      <c r="A96" s="1601"/>
      <c r="B96" s="1601"/>
      <c r="C96" s="673" t="str">
        <f>INDEX('Master sheet'!$A$1:$A$670,MATCH("A205",'Master sheet'!$AN$1:$AN$670,0))</f>
        <v>Luxury vinyl tile / Resilient Floor Covering Institute / Gluedown / 1.5 - 4.5mm</v>
      </c>
      <c r="D96" s="17">
        <f>'USER INPUT SHEET'!$D$35</f>
        <v>0</v>
      </c>
      <c r="E96" s="18" t="str">
        <f>'USER INPUT SHEET'!$F$35</f>
        <v>m2</v>
      </c>
      <c r="F96" s="4">
        <v>1</v>
      </c>
      <c r="G96" s="674"/>
      <c r="H96" s="9"/>
      <c r="I96" s="95">
        <f t="shared" si="29"/>
        <v>0</v>
      </c>
      <c r="J96" s="96" t="str">
        <f t="shared" si="30"/>
        <v/>
      </c>
      <c r="K96" s="407">
        <f>$D96*$F96*VLOOKUP($C96,'Master sheet'!$A:$AL,13,FALSE)</f>
        <v>0</v>
      </c>
      <c r="L96" s="97">
        <f>$D96*$F96*VLOOKUP($C96,'Master sheet'!$A:$AL,27,FALSE)</f>
        <v>0</v>
      </c>
      <c r="M96" s="1552"/>
      <c r="N96" s="1552"/>
      <c r="O96" s="25" t="str">
        <f>_xlfn.IFNA(VLOOKUP($C96,'Master sheet'!$A:$AR,44,FALSE),"")&amp;""</f>
        <v/>
      </c>
      <c r="P96" s="619"/>
      <c r="Q96" s="726" t="s">
        <v>74</v>
      </c>
      <c r="R96" s="726" t="s">
        <v>83</v>
      </c>
      <c r="S96" s="638"/>
      <c r="T96" s="638"/>
      <c r="U96" s="638"/>
      <c r="V96" s="638"/>
      <c r="W96" s="638"/>
      <c r="X96" s="638"/>
      <c r="Y96" s="638"/>
      <c r="Z96" s="638"/>
      <c r="AA96" s="664"/>
    </row>
    <row r="97" spans="1:27" s="624" customFormat="1" ht="22.8" x14ac:dyDescent="0.25">
      <c r="A97" s="1601"/>
      <c r="B97" s="1601"/>
      <c r="C97" s="673" t="str">
        <f>INDEX('Master sheet'!$A$1:$A$670,MATCH(372,'Master sheet'!$AN$1:$AN$670,0))</f>
        <v xml:space="preserve">Vinyl flooring / Shaw - Patcraft / Luxury Vinyl Tile / 2 - 5 mm </v>
      </c>
      <c r="D97" s="17">
        <f>'USER INPUT SHEET'!$D$35</f>
        <v>0</v>
      </c>
      <c r="E97" s="18" t="str">
        <f>'USER INPUT SHEET'!$F$35</f>
        <v>m2</v>
      </c>
      <c r="F97" s="4">
        <v>1</v>
      </c>
      <c r="G97" s="674"/>
      <c r="H97" s="9"/>
      <c r="I97" s="95">
        <f t="shared" si="29"/>
        <v>0</v>
      </c>
      <c r="J97" s="96" t="str">
        <f t="shared" si="30"/>
        <v/>
      </c>
      <c r="K97" s="407">
        <f>$D97*$F97*VLOOKUP($C97,'Master sheet'!$A:$AL,13,FALSE)</f>
        <v>0</v>
      </c>
      <c r="L97" s="97">
        <f>$D97*$F97*VLOOKUP($C97,'Master sheet'!$A:$AL,27,FALSE)</f>
        <v>0</v>
      </c>
      <c r="M97" s="1552"/>
      <c r="N97" s="1552"/>
      <c r="O97" s="25" t="str">
        <f ca="1">_xlfn.IFNA(VLOOKUP($C97,'Master sheet'!$A:$AR,44,FALSE),"")&amp;""</f>
        <v/>
      </c>
      <c r="P97" s="619"/>
      <c r="Q97" s="726" t="s">
        <v>74</v>
      </c>
      <c r="R97" s="726" t="s">
        <v>83</v>
      </c>
      <c r="S97" s="638"/>
      <c r="T97" s="638"/>
      <c r="U97" s="638"/>
      <c r="V97" s="638"/>
      <c r="W97" s="638"/>
      <c r="X97" s="638"/>
      <c r="Y97" s="638"/>
      <c r="Z97" s="638"/>
      <c r="AA97" s="664"/>
    </row>
    <row r="98" spans="1:27" s="624" customFormat="1" ht="31.2" x14ac:dyDescent="0.25">
      <c r="A98" s="1601"/>
      <c r="B98" s="1601"/>
      <c r="C98" s="673" t="str">
        <f>INDEX('Master sheet'!$A$1:$A$670,MATCH(379,'Master sheet'!$AN$1:$AN$670,0))</f>
        <v>Vinyl flooring / Mannington / Luxury Vinyl Tile / 2.5 mm Tile and Plank</v>
      </c>
      <c r="D98" s="17">
        <f>'USER INPUT SHEET'!$D$35</f>
        <v>0</v>
      </c>
      <c r="E98" s="18" t="str">
        <f>'USER INPUT SHEET'!$F$35</f>
        <v>m2</v>
      </c>
      <c r="F98" s="4">
        <v>1</v>
      </c>
      <c r="G98" s="674"/>
      <c r="H98" s="9"/>
      <c r="I98" s="95">
        <f t="shared" si="29"/>
        <v>0</v>
      </c>
      <c r="J98" s="96" t="str">
        <f t="shared" si="30"/>
        <v/>
      </c>
      <c r="K98" s="407">
        <f>$D98*$F98*VLOOKUP($C98,'Master sheet'!$A:$AL,13,FALSE)</f>
        <v>0</v>
      </c>
      <c r="L98" s="97">
        <f>$D98*$F98*VLOOKUP($C98,'Master sheet'!$A:$AL,27,FALSE)</f>
        <v>0</v>
      </c>
      <c r="M98" s="1552"/>
      <c r="N98" s="1552"/>
      <c r="O98" s="25" t="str">
        <f ca="1">_xlfn.IFNA(VLOOKUP($C98,'Master sheet'!$A:$AR,44,FALSE),"")&amp;""</f>
        <v/>
      </c>
      <c r="P98" s="619"/>
      <c r="Q98" s="726" t="s">
        <v>74</v>
      </c>
      <c r="R98" s="726" t="s">
        <v>83</v>
      </c>
      <c r="S98" s="638"/>
      <c r="T98" s="638"/>
      <c r="U98" s="638"/>
      <c r="V98" s="638"/>
      <c r="W98" s="638"/>
      <c r="X98" s="638"/>
      <c r="Y98" s="638"/>
      <c r="Z98" s="638"/>
      <c r="AA98" s="638"/>
    </row>
    <row r="99" spans="1:27" s="624" customFormat="1" ht="31.2" x14ac:dyDescent="0.25">
      <c r="A99" s="1601"/>
      <c r="B99" s="1601"/>
      <c r="C99" s="673" t="str">
        <f>INDEX('Master sheet'!$A$1:$A$670,MATCH("A206",'Master sheet'!$AN$1:$AN$670,0))</f>
        <v>Vinyl flooring / Resilient Floor Covering Institute / Heterogeneous sheet / 2mm</v>
      </c>
      <c r="D99" s="17">
        <f>'USER INPUT SHEET'!$D$35</f>
        <v>0</v>
      </c>
      <c r="E99" s="18" t="str">
        <f>'USER INPUT SHEET'!$F$35</f>
        <v>m2</v>
      </c>
      <c r="F99" s="4">
        <v>1</v>
      </c>
      <c r="G99" s="674"/>
      <c r="H99" s="9"/>
      <c r="I99" s="95">
        <f t="shared" si="29"/>
        <v>0</v>
      </c>
      <c r="J99" s="96" t="str">
        <f t="shared" si="30"/>
        <v/>
      </c>
      <c r="K99" s="407">
        <f>$D99*$F99*VLOOKUP($C99,'Master sheet'!$A:$AL,13,FALSE)</f>
        <v>0</v>
      </c>
      <c r="L99" s="97">
        <f>$D99*$F99*VLOOKUP($C99,'Master sheet'!$A:$AL,27,FALSE)</f>
        <v>0</v>
      </c>
      <c r="M99" s="1610"/>
      <c r="N99" s="1610"/>
      <c r="O99" s="25" t="str">
        <f>_xlfn.IFNA(VLOOKUP($C99,'Master sheet'!$A:$AR,44,FALSE),"")&amp;""</f>
        <v/>
      </c>
      <c r="P99" s="619"/>
      <c r="Q99" s="726" t="s">
        <v>74</v>
      </c>
      <c r="R99" s="726" t="s">
        <v>83</v>
      </c>
      <c r="S99" s="638"/>
      <c r="T99" s="638"/>
      <c r="U99" s="638"/>
      <c r="V99" s="638"/>
      <c r="W99" s="638"/>
      <c r="X99" s="638"/>
      <c r="Y99" s="638"/>
      <c r="Z99" s="638"/>
      <c r="AA99" s="638"/>
    </row>
    <row r="100" spans="1:27" s="624" customFormat="1" ht="23.25" customHeight="1" x14ac:dyDescent="0.25">
      <c r="A100" s="639"/>
      <c r="B100" s="1524" t="s">
        <v>1032</v>
      </c>
      <c r="C100" s="1523"/>
      <c r="D100" s="640"/>
      <c r="E100" s="641"/>
      <c r="F100" s="325"/>
      <c r="G100" s="678"/>
      <c r="H100" s="679"/>
      <c r="I100" s="642"/>
      <c r="J100" s="643"/>
      <c r="K100" s="676"/>
      <c r="L100" s="677"/>
      <c r="M100" s="677"/>
      <c r="N100" s="677"/>
      <c r="O100" s="25" t="str">
        <f>_xlfn.IFNA(VLOOKUP($C100,'Master sheet'!$A:$AR,44,FALSE),"")&amp;""</f>
        <v/>
      </c>
      <c r="P100" s="619"/>
      <c r="Q100" s="726"/>
      <c r="R100" s="726"/>
      <c r="S100" s="638"/>
      <c r="T100" s="638"/>
      <c r="U100" s="638"/>
      <c r="V100" s="638"/>
      <c r="W100" s="638"/>
      <c r="X100" s="638"/>
      <c r="Y100" s="638"/>
      <c r="Z100" s="638"/>
      <c r="AA100" s="638"/>
    </row>
    <row r="101" spans="1:27" s="624" customFormat="1" ht="63" customHeight="1" x14ac:dyDescent="0.25">
      <c r="A101" s="1600"/>
      <c r="B101" s="1564"/>
      <c r="C101" s="647" t="str">
        <f>INDEX('Master sheet'!$A$1:$A$670,MATCH(82,'Master sheet'!$AN$1:$AN$670,0))</f>
        <v>Cork flooring / European Resilient Flooring Manufacturers' Institute / Includes: Altro, Amorim, Amtico, Artigo, Aspecta, BeauFlor, Dickson, Mflor, Forbo, Gerflor, IVC, Nora, Polyflor, Tarkett, Kahrs, Windmoller / Cork floor tiles</v>
      </c>
      <c r="D101" s="13">
        <f>'USER INPUT SHEET'!$D$35</f>
        <v>0</v>
      </c>
      <c r="E101" s="14" t="str">
        <f>'USER INPUT SHEET'!$F$35</f>
        <v>m2</v>
      </c>
      <c r="F101" s="2">
        <v>1</v>
      </c>
      <c r="G101" s="648"/>
      <c r="H101" s="7"/>
      <c r="I101" s="88">
        <f>K101-L101</f>
        <v>0</v>
      </c>
      <c r="J101" s="89" t="str">
        <f>IF(H101=1,I101,"")</f>
        <v/>
      </c>
      <c r="K101" s="404">
        <f>$D101*$F101*VLOOKUP($C101,'Master sheet'!$A:$AL,13,FALSE)</f>
        <v>0</v>
      </c>
      <c r="L101" s="90">
        <f>$D101*$F101*VLOOKUP($C101,'Master sheet'!$A:$AL,27,FALSE)</f>
        <v>0</v>
      </c>
      <c r="M101" s="1552"/>
      <c r="N101" s="1552"/>
      <c r="O101" s="25" t="str">
        <f ca="1">_xlfn.IFNA(VLOOKUP($C101,'Master sheet'!$A:$AR,44,FALSE),"")&amp;""</f>
        <v>Expired 2024</v>
      </c>
      <c r="P101" s="619"/>
      <c r="Q101" s="726" t="s">
        <v>74</v>
      </c>
      <c r="R101" s="726" t="s">
        <v>83</v>
      </c>
      <c r="S101" s="638"/>
      <c r="T101" s="638"/>
      <c r="U101" s="638"/>
      <c r="V101" s="638"/>
      <c r="W101" s="638"/>
      <c r="X101" s="638"/>
      <c r="Y101" s="638"/>
      <c r="Z101" s="638"/>
      <c r="AA101" s="638"/>
    </row>
    <row r="102" spans="1:27" s="624" customFormat="1" ht="23.25" customHeight="1" x14ac:dyDescent="0.25">
      <c r="A102" s="639"/>
      <c r="B102" s="1524" t="s">
        <v>3422</v>
      </c>
      <c r="C102" s="1523"/>
      <c r="D102" s="640"/>
      <c r="E102" s="641"/>
      <c r="F102" s="325"/>
      <c r="G102" s="678"/>
      <c r="H102" s="679"/>
      <c r="I102" s="642"/>
      <c r="J102" s="643"/>
      <c r="K102" s="676"/>
      <c r="L102" s="677"/>
      <c r="M102" s="677"/>
      <c r="N102" s="677"/>
      <c r="O102" s="25" t="str">
        <f>_xlfn.IFNA(VLOOKUP($C102,'Master sheet'!$A:$AR,44,FALSE),"")&amp;""</f>
        <v/>
      </c>
      <c r="P102" s="619"/>
      <c r="Q102" s="726"/>
      <c r="R102" s="726"/>
      <c r="S102" s="638"/>
      <c r="T102" s="638"/>
      <c r="U102" s="638"/>
      <c r="V102" s="638"/>
      <c r="W102" s="638"/>
      <c r="X102" s="638"/>
      <c r="Y102" s="638"/>
      <c r="Z102" s="638"/>
      <c r="AA102" s="638"/>
    </row>
    <row r="103" spans="1:27" s="624" customFormat="1" ht="23.25" customHeight="1" x14ac:dyDescent="0.25">
      <c r="A103" s="1600"/>
      <c r="B103" s="1564"/>
      <c r="C103" s="647" t="str">
        <f>INDEX('Master sheet'!$A$1:$A$670,MATCH(25,'Master sheet'!$AN$1:$AN$670,0))</f>
        <v>Carpet /  /  / Average from 150 samples in the EC3 database</v>
      </c>
      <c r="D103" s="13">
        <f>'USER INPUT SHEET'!$D$35</f>
        <v>0</v>
      </c>
      <c r="E103" s="14" t="str">
        <f>'USER INPUT SHEET'!$F$35</f>
        <v>m2</v>
      </c>
      <c r="F103" s="2">
        <v>1</v>
      </c>
      <c r="G103" s="648"/>
      <c r="H103" s="7"/>
      <c r="I103" s="88">
        <f>K103-L103</f>
        <v>0</v>
      </c>
      <c r="J103" s="89" t="str">
        <f>IF(H103=1,I103,"")</f>
        <v/>
      </c>
      <c r="K103" s="404">
        <f>$D103*$F103*VLOOKUP($C103,'Master sheet'!$A:$AL,13,FALSE)</f>
        <v>0</v>
      </c>
      <c r="L103" s="90">
        <f>$D103*$F103*VLOOKUP($C103,'Master sheet'!$A:$AL,27,FALSE)</f>
        <v>0</v>
      </c>
      <c r="M103" s="1552"/>
      <c r="N103" s="1552"/>
      <c r="O103" s="25" t="str">
        <f>_xlfn.IFNA(VLOOKUP($C103,'Master sheet'!$A:$AR,44,FALSE),"")&amp;""</f>
        <v>Multi-EPD average from EC3 Tool</v>
      </c>
      <c r="P103" s="619"/>
      <c r="Q103" s="726" t="s">
        <v>74</v>
      </c>
      <c r="R103" s="726" t="s">
        <v>83</v>
      </c>
      <c r="S103" s="638"/>
      <c r="T103" s="638"/>
      <c r="U103" s="638"/>
      <c r="V103" s="638"/>
      <c r="W103" s="638"/>
      <c r="X103" s="638"/>
      <c r="Y103" s="638"/>
      <c r="Z103" s="638"/>
      <c r="AA103" s="638"/>
    </row>
    <row r="104" spans="1:27" s="624" customFormat="1" ht="23.25" customHeight="1" x14ac:dyDescent="0.25">
      <c r="A104" s="639"/>
      <c r="B104" s="1524" t="s">
        <v>84</v>
      </c>
      <c r="C104" s="1523"/>
      <c r="D104" s="640"/>
      <c r="E104" s="641"/>
      <c r="F104" s="325"/>
      <c r="G104" s="678"/>
      <c r="H104" s="679"/>
      <c r="I104" s="642"/>
      <c r="J104" s="643"/>
      <c r="K104" s="676"/>
      <c r="L104" s="677"/>
      <c r="M104" s="677"/>
      <c r="N104" s="677"/>
      <c r="O104" s="25" t="str">
        <f>_xlfn.IFNA(VLOOKUP($C104,'Master sheet'!$A:$AR,44,FALSE),"")&amp;""</f>
        <v/>
      </c>
      <c r="P104" s="619"/>
      <c r="Q104" s="726"/>
      <c r="R104" s="726"/>
      <c r="S104" s="638"/>
      <c r="T104" s="638"/>
      <c r="U104" s="638"/>
      <c r="V104" s="638"/>
      <c r="W104" s="638"/>
      <c r="X104" s="638"/>
      <c r="Y104" s="638"/>
      <c r="Z104" s="638"/>
      <c r="AA104" s="638"/>
    </row>
    <row r="105" spans="1:27" ht="47.25" customHeight="1" x14ac:dyDescent="0.25">
      <c r="A105" s="1564"/>
      <c r="B105" s="1564"/>
      <c r="C105" s="669" t="str">
        <f>INDEX('Master sheet'!$A$1:$A$670,MATCH(179,'Master sheet'!$AN$1:$AN$670,0))</f>
        <v xml:space="preserve">Rubber flooring / Resilient Floor Covering Institute / Includes tiles and rolls from American Biltrite, Armstrong, Burke, FLEXCO, Johnsonite, Mannington, Roppe, Tarkett / </v>
      </c>
      <c r="D105" s="15">
        <f>'USER INPUT SHEET'!$D$35</f>
        <v>0</v>
      </c>
      <c r="E105" s="16" t="str">
        <f>'USER INPUT SHEET'!$F$35</f>
        <v>m2</v>
      </c>
      <c r="F105" s="3">
        <v>1</v>
      </c>
      <c r="G105" s="670"/>
      <c r="H105" s="8"/>
      <c r="I105" s="92">
        <f>K105-L105</f>
        <v>0</v>
      </c>
      <c r="J105" s="93" t="str">
        <f>IF(H105=1,I105,"")</f>
        <v/>
      </c>
      <c r="K105" s="406">
        <f>$D105*$F105*VLOOKUP($C105,'Master sheet'!$A:$AL,13,FALSE)</f>
        <v>0</v>
      </c>
      <c r="L105" s="94">
        <f>$D105*$F105*VLOOKUP($C105,'Master sheet'!$A:$AL,27,FALSE)</f>
        <v>0</v>
      </c>
      <c r="M105" s="1552"/>
      <c r="N105" s="1552"/>
      <c r="O105" s="25" t="str">
        <f ca="1">_xlfn.IFNA(VLOOKUP($C105,'Master sheet'!$A:$AR,44,FALSE),"")&amp;""</f>
        <v>Expired 2024</v>
      </c>
      <c r="Q105" s="725" t="s">
        <v>74</v>
      </c>
      <c r="R105" s="725" t="s">
        <v>83</v>
      </c>
      <c r="S105" s="664"/>
      <c r="T105" s="664"/>
      <c r="U105" s="664"/>
      <c r="V105" s="664"/>
      <c r="W105" s="664"/>
      <c r="X105" s="664"/>
      <c r="Y105" s="664"/>
      <c r="Z105" s="664"/>
      <c r="AA105" s="664"/>
    </row>
    <row r="106" spans="1:27" s="624" customFormat="1" ht="23.25" customHeight="1" x14ac:dyDescent="0.25">
      <c r="A106" s="1564"/>
      <c r="B106" s="1564"/>
      <c r="C106" s="673" t="str">
        <f>INDEX('Master sheet'!$A$1:$A$670,MATCH(42,'Master sheet'!$AN$1:$AN$670,0))</f>
        <v>Clay plaster / Site mixed /  / 15 mm</v>
      </c>
      <c r="D106" s="17">
        <f>'USER INPUT SHEET'!$D$35</f>
        <v>0</v>
      </c>
      <c r="E106" s="18" t="str">
        <f>'USER INPUT SHEET'!$F$35</f>
        <v>m2</v>
      </c>
      <c r="F106" s="4">
        <v>1</v>
      </c>
      <c r="G106" s="674"/>
      <c r="H106" s="9"/>
      <c r="I106" s="95">
        <f>K106-L106</f>
        <v>0</v>
      </c>
      <c r="J106" s="96" t="str">
        <f>IF(H106=1,I106,"")</f>
        <v/>
      </c>
      <c r="K106" s="407">
        <f>$D106*$F106*VLOOKUP($C106,'Master sheet'!$A:$AL,13,FALSE)</f>
        <v>0</v>
      </c>
      <c r="L106" s="97">
        <f>$D106*$F106*VLOOKUP($C106,'Master sheet'!$A:$AL,27,FALSE)</f>
        <v>0</v>
      </c>
      <c r="M106" s="1552"/>
      <c r="N106" s="1552"/>
      <c r="O106" s="25" t="str">
        <f>_xlfn.IFNA(VLOOKUP($C106,'Master sheet'!$A:$AR,44,FALSE),"")&amp;""</f>
        <v>Peer-reviewed LCA, 2014</v>
      </c>
      <c r="P106" s="619"/>
      <c r="Q106" s="726" t="s">
        <v>74</v>
      </c>
      <c r="R106" s="726" t="s">
        <v>83</v>
      </c>
      <c r="S106" s="638"/>
      <c r="T106" s="638"/>
      <c r="U106" s="638"/>
      <c r="V106" s="638"/>
      <c r="W106" s="638"/>
      <c r="X106" s="638"/>
      <c r="Y106" s="638"/>
      <c r="Z106" s="638"/>
      <c r="AA106" s="638"/>
    </row>
    <row r="107" spans="1:27" s="624" customFormat="1" ht="54.75" customHeight="1" x14ac:dyDescent="0.3">
      <c r="A107" s="1522" t="s">
        <v>1188</v>
      </c>
      <c r="B107" s="1523"/>
      <c r="C107" s="1523"/>
      <c r="D107" s="629" t="str">
        <f>IF(LOWER(Setting!rng_language)="english","R-VALUE:","VALEUR R :")</f>
        <v>R-VALUE:</v>
      </c>
      <c r="E107" s="1"/>
      <c r="F107" s="323"/>
      <c r="G107" s="650"/>
      <c r="H107" s="650"/>
      <c r="I107" s="651"/>
      <c r="J107" s="651"/>
      <c r="K107" s="652"/>
      <c r="L107" s="759"/>
      <c r="M107" s="759"/>
      <c r="N107" s="759"/>
      <c r="O107" s="25" t="str">
        <f>_xlfn.IFNA(VLOOKUP($C107,'Master sheet'!$A:$AR,44,FALSE),"")&amp;""</f>
        <v/>
      </c>
      <c r="P107" s="619"/>
      <c r="Q107" s="843"/>
      <c r="R107" s="843"/>
      <c r="S107" s="638"/>
      <c r="T107" s="638"/>
      <c r="U107" s="638"/>
      <c r="V107" s="638"/>
      <c r="W107" s="638"/>
      <c r="X107" s="638"/>
      <c r="Y107" s="638"/>
      <c r="Z107" s="638"/>
      <c r="AA107" s="638"/>
    </row>
    <row r="108" spans="1:27" s="624" customFormat="1" ht="23.25" customHeight="1" x14ac:dyDescent="0.3">
      <c r="A108" s="639"/>
      <c r="B108" s="1524" t="s">
        <v>966</v>
      </c>
      <c r="C108" s="1523"/>
      <c r="D108" s="687" t="str">
        <f>IF(LOWER(Setting!rng_language)="english","R-VALUE:","VALEUR R :")</f>
        <v>R-VALUE:</v>
      </c>
      <c r="E108" s="1"/>
      <c r="F108" s="325"/>
      <c r="G108" s="678"/>
      <c r="H108" s="679"/>
      <c r="I108" s="642"/>
      <c r="J108" s="643"/>
      <c r="K108" s="676"/>
      <c r="L108" s="677"/>
      <c r="M108" s="677"/>
      <c r="N108" s="677"/>
      <c r="O108" s="25" t="str">
        <f>_xlfn.IFNA(VLOOKUP($C108,'Master sheet'!$A:$AR,44,FALSE),"")&amp;""</f>
        <v/>
      </c>
      <c r="P108" s="619"/>
      <c r="Q108" s="843"/>
      <c r="R108" s="843"/>
      <c r="S108" s="638"/>
      <c r="T108" s="638"/>
      <c r="U108" s="638"/>
      <c r="V108" s="638"/>
      <c r="W108" s="638"/>
      <c r="X108" s="638"/>
      <c r="Y108" s="638"/>
      <c r="Z108" s="638"/>
      <c r="AA108" s="638"/>
    </row>
    <row r="109" spans="1:27" s="624" customFormat="1" ht="23.25" customHeight="1" x14ac:dyDescent="0.25">
      <c r="A109" s="729"/>
      <c r="B109" s="729"/>
      <c r="C109" s="691" t="s">
        <v>1199</v>
      </c>
      <c r="D109" s="19">
        <f>'USER INPUT SHEET'!$D$35</f>
        <v>0</v>
      </c>
      <c r="E109" s="20" t="str">
        <f>'USER INPUT SHEET'!$F$32</f>
        <v>m2</v>
      </c>
      <c r="F109" s="6">
        <v>1</v>
      </c>
      <c r="G109" s="692"/>
      <c r="H109" s="10"/>
      <c r="I109" s="98">
        <f>K109-L109</f>
        <v>0</v>
      </c>
      <c r="J109" s="91" t="str">
        <f>IF(H109=1,I109,"")</f>
        <v/>
      </c>
      <c r="K109" s="410">
        <f>F109*AVERAGE(K110:K112)</f>
        <v>0</v>
      </c>
      <c r="L109" s="99">
        <f>F109*AVERAGE(L110:L112)</f>
        <v>0</v>
      </c>
      <c r="M109" s="1552"/>
      <c r="N109" s="1552"/>
      <c r="O109" s="25" t="str">
        <f>_xlfn.IFNA(VLOOKUP($C109,'Master sheet'!$A:$AR,44,FALSE),"")&amp;""</f>
        <v/>
      </c>
      <c r="P109" s="685"/>
      <c r="Q109" s="726" t="s">
        <v>74</v>
      </c>
      <c r="R109" s="757" t="s">
        <v>45</v>
      </c>
      <c r="S109" s="664"/>
      <c r="T109" s="638"/>
      <c r="U109" s="638"/>
      <c r="V109" s="638"/>
      <c r="W109" s="638"/>
      <c r="X109" s="638"/>
      <c r="Y109" s="638"/>
      <c r="Z109" s="638"/>
      <c r="AA109" s="638"/>
    </row>
    <row r="110" spans="1:27" s="624" customFormat="1" ht="31.2" x14ac:dyDescent="0.25">
      <c r="A110" s="729"/>
      <c r="B110" s="729"/>
      <c r="C110" s="673" t="str">
        <f>INDEX('Master sheet'!$A$1:$A$670,MATCH("A36",'Master sheet'!$AN$1:$AN$670,0))</f>
        <v>Fiberglass batt / Johns Manville / Unfaced, ComfortTherm, Cavity-SHIELD, FSK-25 / R 3.4/inch</v>
      </c>
      <c r="D110" s="17">
        <f>'USER INPUT SHEET'!$D$35</f>
        <v>0</v>
      </c>
      <c r="E110" s="18" t="str">
        <f>'USER INPUT SHEET'!$F$35</f>
        <v>m2</v>
      </c>
      <c r="F110" s="4">
        <v>1</v>
      </c>
      <c r="G110" s="674"/>
      <c r="H110" s="9"/>
      <c r="I110" s="95">
        <f t="shared" ref="I110:I111" si="31">K110-L110</f>
        <v>0</v>
      </c>
      <c r="J110" s="96" t="str">
        <f t="shared" ref="J110:J112" si="32">IF(H110=1,I110,"")</f>
        <v/>
      </c>
      <c r="K110" s="407">
        <f>$D110*($E$108/5.678)*$F110*VLOOKUP($C110,'Master sheet'!$A:$AL,13,FALSE)</f>
        <v>0</v>
      </c>
      <c r="L110" s="97">
        <f>$D110*($E$108/5.678)*$F110*VLOOKUP($C110,'Master sheet'!$A:$AL,27,FALSE)</f>
        <v>0</v>
      </c>
      <c r="M110" s="1552"/>
      <c r="N110" s="1552"/>
      <c r="O110" s="25" t="str">
        <f>_xlfn.IFNA(VLOOKUP($C110,'Master sheet'!$A:$AR,44,FALSE),"")&amp;""</f>
        <v/>
      </c>
      <c r="P110" s="685"/>
      <c r="Q110" s="726" t="s">
        <v>74</v>
      </c>
      <c r="R110" s="757" t="s">
        <v>45</v>
      </c>
      <c r="S110" s="619"/>
      <c r="T110" s="638"/>
      <c r="U110" s="638"/>
      <c r="V110" s="638"/>
      <c r="W110" s="638"/>
      <c r="X110" s="638"/>
      <c r="Y110" s="638"/>
      <c r="Z110" s="638"/>
      <c r="AA110" s="638"/>
    </row>
    <row r="111" spans="1:27" s="624" customFormat="1" ht="23.25" customHeight="1" x14ac:dyDescent="0.25">
      <c r="A111" s="729"/>
      <c r="B111" s="729"/>
      <c r="C111" s="673" t="str">
        <f>INDEX('Master sheet'!$A$1:$A$670,MATCH("A37",'Master sheet'!$AN$1:$AN$670,0))</f>
        <v>Fiberglass batt / NAIMA  /  / R 4.4/inch</v>
      </c>
      <c r="D111" s="17">
        <f>'USER INPUT SHEET'!$D$35</f>
        <v>0</v>
      </c>
      <c r="E111" s="18" t="str">
        <f>'USER INPUT SHEET'!$F$35</f>
        <v>m2</v>
      </c>
      <c r="F111" s="4">
        <v>1</v>
      </c>
      <c r="G111" s="674"/>
      <c r="H111" s="9"/>
      <c r="I111" s="95">
        <f t="shared" si="31"/>
        <v>0</v>
      </c>
      <c r="J111" s="96" t="str">
        <f t="shared" si="32"/>
        <v/>
      </c>
      <c r="K111" s="407">
        <f>$D111*($E$108/5.678)*$F111*VLOOKUP($C111,'Master sheet'!$A:$AL,13,FALSE)</f>
        <v>0</v>
      </c>
      <c r="L111" s="97">
        <f>$D111*($E$108/5.678)*$F111*VLOOKUP($C111,'Master sheet'!$A:$AL,27,FALSE)</f>
        <v>0</v>
      </c>
      <c r="M111" s="1552"/>
      <c r="N111" s="1552"/>
      <c r="O111" s="25" t="str">
        <f>_xlfn.IFNA(VLOOKUP($C111,'Master sheet'!$A:$AR,44,FALSE),"")&amp;""</f>
        <v/>
      </c>
      <c r="P111" s="685"/>
      <c r="Q111" s="726" t="s">
        <v>74</v>
      </c>
      <c r="R111" s="757" t="s">
        <v>45</v>
      </c>
      <c r="S111" s="619"/>
      <c r="T111" s="638"/>
      <c r="U111" s="638"/>
      <c r="V111" s="638"/>
      <c r="W111" s="638"/>
      <c r="X111" s="638"/>
      <c r="Y111" s="638"/>
      <c r="Z111" s="638"/>
      <c r="AA111" s="638"/>
    </row>
    <row r="112" spans="1:27" s="624" customFormat="1" ht="31.2" x14ac:dyDescent="0.25">
      <c r="A112" s="729"/>
      <c r="B112" s="729"/>
      <c r="C112" s="673" t="str">
        <f>INDEX('Master sheet'!$A$1:$A$670,MATCH("A38",'Master sheet'!$AN$1:$AN$670,0))</f>
        <v>Fiberglass batt &amp; roll  / Owens Corning /  Unfaced, PINK Next Gen Fiberglas / R 3.6/inch avg.</v>
      </c>
      <c r="D112" s="17">
        <f>'USER INPUT SHEET'!$D$35</f>
        <v>0</v>
      </c>
      <c r="E112" s="18" t="str">
        <f>'USER INPUT SHEET'!$F$35</f>
        <v>m2</v>
      </c>
      <c r="F112" s="4">
        <v>1</v>
      </c>
      <c r="G112" s="674"/>
      <c r="H112" s="9"/>
      <c r="I112" s="95">
        <f>K112-L112</f>
        <v>0</v>
      </c>
      <c r="J112" s="96" t="str">
        <f t="shared" si="32"/>
        <v/>
      </c>
      <c r="K112" s="407">
        <f>$D112*($E$108/5.678)*$F112*VLOOKUP($C112,'Master sheet'!$A:$AL,13,FALSE)</f>
        <v>0</v>
      </c>
      <c r="L112" s="97">
        <f>$D112*($E$108/5.678)*$F112*VLOOKUP($C112,'Master sheet'!$A:$AL,27,FALSE)</f>
        <v>0</v>
      </c>
      <c r="M112" s="1610"/>
      <c r="N112" s="1610"/>
      <c r="O112" s="25" t="str">
        <f>_xlfn.IFNA(VLOOKUP($C112,'Master sheet'!$A:$AR,44,FALSE),"")&amp;""</f>
        <v/>
      </c>
      <c r="P112" s="685"/>
      <c r="Q112" s="726" t="s">
        <v>74</v>
      </c>
      <c r="R112" s="757" t="s">
        <v>45</v>
      </c>
      <c r="T112" s="638"/>
      <c r="U112" s="638"/>
      <c r="V112" s="638"/>
      <c r="W112" s="638"/>
      <c r="X112" s="638"/>
      <c r="Y112" s="638"/>
      <c r="Z112" s="638"/>
      <c r="AA112" s="638"/>
    </row>
    <row r="113" spans="1:27" s="624" customFormat="1" ht="23.25" customHeight="1" x14ac:dyDescent="0.3">
      <c r="A113" s="639"/>
      <c r="B113" s="1524" t="s">
        <v>967</v>
      </c>
      <c r="C113" s="1523"/>
      <c r="D113" s="687" t="str">
        <f>IF(LOWER(Setting!rng_language)="english","R-VALUE:","VALEUR R :")</f>
        <v>R-VALUE:</v>
      </c>
      <c r="E113" s="1"/>
      <c r="F113" s="325"/>
      <c r="G113" s="678"/>
      <c r="H113" s="679"/>
      <c r="I113" s="642"/>
      <c r="J113" s="643"/>
      <c r="K113" s="676"/>
      <c r="L113" s="677"/>
      <c r="M113" s="677"/>
      <c r="N113" s="677"/>
      <c r="O113" s="25" t="str">
        <f>_xlfn.IFNA(VLOOKUP($C113,'Master sheet'!$A:$AR,44,FALSE),"")&amp;""</f>
        <v/>
      </c>
      <c r="P113" s="619"/>
      <c r="Q113" s="843"/>
      <c r="R113" s="843"/>
      <c r="S113" s="638"/>
      <c r="T113" s="638"/>
      <c r="U113" s="638"/>
      <c r="V113" s="638"/>
      <c r="W113" s="638"/>
      <c r="X113" s="638"/>
      <c r="Y113" s="638"/>
      <c r="Z113" s="638"/>
      <c r="AA113" s="638"/>
    </row>
    <row r="114" spans="1:27" ht="23.25" customHeight="1" x14ac:dyDescent="0.3">
      <c r="A114" s="729"/>
      <c r="B114" s="729"/>
      <c r="C114" s="691" t="s">
        <v>1189</v>
      </c>
      <c r="D114" s="19">
        <f>'USER INPUT SHEET'!$D$35</f>
        <v>0</v>
      </c>
      <c r="E114" s="20" t="str">
        <f>'USER INPUT SHEET'!$F$35</f>
        <v>m2</v>
      </c>
      <c r="F114" s="6">
        <v>1</v>
      </c>
      <c r="G114" s="692"/>
      <c r="H114" s="10"/>
      <c r="I114" s="98">
        <f>K114-L114</f>
        <v>0</v>
      </c>
      <c r="J114" s="91" t="str">
        <f>IF(H114=1,I114,"")</f>
        <v/>
      </c>
      <c r="K114" s="410">
        <f>F114*AVERAGE(K115:K118)</f>
        <v>0</v>
      </c>
      <c r="L114" s="99">
        <f>F114*AVERAGE(L115:L118)</f>
        <v>0</v>
      </c>
      <c r="M114" s="1552"/>
      <c r="N114" s="1552"/>
      <c r="O114" s="25" t="str">
        <f>_xlfn.IFNA(VLOOKUP($C114,'Master sheet'!$A:$AR,44,FALSE),"")&amp;""</f>
        <v/>
      </c>
      <c r="Q114" s="240" t="str">
        <f t="shared" ref="Q114:Q118" si="33">D$1</f>
        <v>FLOORS</v>
      </c>
      <c r="R114" s="844" t="s">
        <v>1188</v>
      </c>
      <c r="S114" s="664"/>
      <c r="T114" s="664"/>
      <c r="U114" s="664"/>
      <c r="V114" s="664"/>
      <c r="W114" s="664"/>
      <c r="X114" s="664"/>
      <c r="Y114" s="664"/>
      <c r="Z114" s="664"/>
      <c r="AA114" s="638"/>
    </row>
    <row r="115" spans="1:27" ht="31.5" customHeight="1" x14ac:dyDescent="0.3">
      <c r="A115" s="1600"/>
      <c r="B115" s="1600"/>
      <c r="C115" s="669" t="str">
        <f>INDEX('Master sheet'!$A$1:$A$670,MATCH(105,'Master sheet'!$AN$1:$AN$670,0))</f>
        <v>Fiberglass loose fill / CertainTeed / InsulSafe, Optima, TruComfort / R 2.6/inch</v>
      </c>
      <c r="D115" s="15">
        <f>'USER INPUT SHEET'!$D$35</f>
        <v>0</v>
      </c>
      <c r="E115" s="16" t="str">
        <f>'USER INPUT SHEET'!$F$35</f>
        <v>m2</v>
      </c>
      <c r="F115" s="3">
        <v>1</v>
      </c>
      <c r="G115" s="670"/>
      <c r="H115" s="8"/>
      <c r="I115" s="92">
        <f t="shared" ref="I115:I121" si="34">K115-L115</f>
        <v>0</v>
      </c>
      <c r="J115" s="93" t="str">
        <f t="shared" ref="J115:J121" si="35">IF(H115=1,I115,"")</f>
        <v/>
      </c>
      <c r="K115" s="406">
        <f>$D115*$F115*VLOOKUP($C115,'Master sheet'!$A:$AL,13,FALSE)*($E$113/5.678)</f>
        <v>0</v>
      </c>
      <c r="L115" s="94">
        <f>$D115*$F115*VLOOKUP($C115,'Master sheet'!$A:$AL,27,FALSE)*($E$113/5.678)</f>
        <v>0</v>
      </c>
      <c r="M115" s="1552"/>
      <c r="N115" s="1552"/>
      <c r="O115" s="25" t="str">
        <f ca="1">_xlfn.IFNA(VLOOKUP($C115,'Master sheet'!$A:$AR,44,FALSE),"")&amp;""</f>
        <v>Expired 2024</v>
      </c>
      <c r="Q115" s="240" t="str">
        <f t="shared" si="33"/>
        <v>FLOORS</v>
      </c>
      <c r="R115" s="844" t="s">
        <v>1188</v>
      </c>
      <c r="S115" s="664"/>
      <c r="T115" s="664"/>
      <c r="U115" s="664"/>
      <c r="V115" s="664"/>
      <c r="W115" s="664"/>
      <c r="X115" s="664"/>
      <c r="Y115" s="664"/>
      <c r="Z115" s="664"/>
      <c r="AA115" s="638"/>
    </row>
    <row r="116" spans="1:27" s="624" customFormat="1" ht="46.8" x14ac:dyDescent="0.3">
      <c r="A116" s="1600"/>
      <c r="B116" s="1600"/>
      <c r="C116" s="669" t="str">
        <f>INDEX('Master sheet'!$A$1:$A$670,MATCH(374,'Master sheet'!$AN$1:$AN$670,0))</f>
        <v>Fiberglass loose fill / Johns Manville / Climate Pro, Attic Protector, JM Spider PLUS (Canada) / R 2.8/inch, Formaldehyde-free</v>
      </c>
      <c r="D116" s="15">
        <f>'USER INPUT SHEET'!$D$35</f>
        <v>0</v>
      </c>
      <c r="E116" s="16" t="str">
        <f>'USER INPUT SHEET'!$F$35</f>
        <v>m2</v>
      </c>
      <c r="F116" s="3">
        <v>1</v>
      </c>
      <c r="G116" s="670"/>
      <c r="H116" s="8"/>
      <c r="I116" s="92">
        <f t="shared" si="34"/>
        <v>0</v>
      </c>
      <c r="J116" s="93" t="str">
        <f t="shared" si="35"/>
        <v/>
      </c>
      <c r="K116" s="406">
        <f>$D116*$F116*VLOOKUP($C116,'Master sheet'!$A:$AL,13,FALSE)*($E$113/5.678)</f>
        <v>0</v>
      </c>
      <c r="L116" s="94">
        <f>$D116*$F116*VLOOKUP($C116,'Master sheet'!$A:$AL,27,FALSE)*($E$113/5.678)</f>
        <v>0</v>
      </c>
      <c r="M116" s="1552"/>
      <c r="N116" s="1552"/>
      <c r="O116" s="25" t="str">
        <f ca="1">_xlfn.IFNA(VLOOKUP($C116,'Master sheet'!$A:$AR,44,FALSE),"")&amp;""</f>
        <v/>
      </c>
      <c r="P116" s="619"/>
      <c r="Q116" s="241" t="str">
        <f t="shared" si="33"/>
        <v>FLOORS</v>
      </c>
      <c r="R116" s="844" t="s">
        <v>1188</v>
      </c>
      <c r="S116" s="638"/>
      <c r="T116" s="638" t="s">
        <v>7295</v>
      </c>
      <c r="U116" s="638"/>
      <c r="V116" s="638"/>
      <c r="W116" s="638"/>
      <c r="X116" s="638"/>
      <c r="Y116" s="638"/>
      <c r="Z116" s="638"/>
      <c r="AA116" s="664"/>
    </row>
    <row r="117" spans="1:27" s="624" customFormat="1" ht="46.8" x14ac:dyDescent="0.3">
      <c r="A117" s="1600"/>
      <c r="B117" s="1600"/>
      <c r="C117" s="669" t="str">
        <f>INDEX('Master sheet'!$A$1:$A$670,MATCH("A40",'Master sheet'!$AN$1:$AN$670,0))</f>
        <v>Fiberglass loose fill / NAIMA  / Includes : CertainTeed, Inc. Saint-Gobin, Johns Manville, Knauf Insulation North America, Owens Corning / R 2.2/inch</v>
      </c>
      <c r="D117" s="15">
        <f>'USER INPUT SHEET'!$D$35</f>
        <v>0</v>
      </c>
      <c r="E117" s="16" t="str">
        <f>'USER INPUT SHEET'!$F$35</f>
        <v>m2</v>
      </c>
      <c r="F117" s="3">
        <v>1</v>
      </c>
      <c r="G117" s="670"/>
      <c r="H117" s="8"/>
      <c r="I117" s="92">
        <f t="shared" si="34"/>
        <v>0</v>
      </c>
      <c r="J117" s="93" t="str">
        <f t="shared" si="35"/>
        <v/>
      </c>
      <c r="K117" s="406">
        <f>$D117*$F117*VLOOKUP($C117,'Master sheet'!$A:$AL,13,FALSE)*($E$113/5.678)</f>
        <v>0</v>
      </c>
      <c r="L117" s="94">
        <f>$D117*$F117*VLOOKUP($C117,'Master sheet'!$A:$AL,27,FALSE)*($E$113/5.678)</f>
        <v>0</v>
      </c>
      <c r="M117" s="1552"/>
      <c r="N117" s="1552"/>
      <c r="O117" s="25" t="str">
        <f>_xlfn.IFNA(VLOOKUP($C117,'Master sheet'!$A:$AR,44,FALSE),"")&amp;""</f>
        <v/>
      </c>
      <c r="P117" s="619"/>
      <c r="Q117" s="241" t="str">
        <f t="shared" si="33"/>
        <v>FLOORS</v>
      </c>
      <c r="R117" s="844" t="s">
        <v>1188</v>
      </c>
      <c r="S117" s="638"/>
      <c r="T117" s="638" t="s">
        <v>7295</v>
      </c>
      <c r="U117" s="638"/>
      <c r="V117" s="638"/>
      <c r="W117" s="638"/>
      <c r="X117" s="638"/>
      <c r="Y117" s="638"/>
      <c r="Z117" s="638"/>
      <c r="AA117" s="664"/>
    </row>
    <row r="118" spans="1:27" s="624" customFormat="1" ht="31.2" x14ac:dyDescent="0.3">
      <c r="A118" s="1600"/>
      <c r="B118" s="1600"/>
      <c r="C118" s="681" t="str">
        <f>INDEX('Master sheet'!$A$1:$A$670,MATCH("A39",'Master sheet'!$AN$1:$AN$670,0))</f>
        <v>Fiberglass loose fill / Owens Corning / AttiCat, ProCat, ProPink / R 3.28/inch</v>
      </c>
      <c r="D118" s="22">
        <f>'USER INPUT SHEET'!$D$35</f>
        <v>0</v>
      </c>
      <c r="E118" s="23" t="str">
        <f>'USER INPUT SHEET'!$F$35</f>
        <v>m2</v>
      </c>
      <c r="F118" s="6">
        <v>1</v>
      </c>
      <c r="G118" s="682"/>
      <c r="H118" s="10"/>
      <c r="I118" s="100">
        <f t="shared" ref="I118" si="36">K118-L118</f>
        <v>0</v>
      </c>
      <c r="J118" s="101" t="str">
        <f t="shared" ref="J118" si="37">IF(H118=1,I118,"")</f>
        <v/>
      </c>
      <c r="K118" s="408">
        <f>$D118*$F118*VLOOKUP($C118,'Master sheet'!$A:$AL,13,FALSE)*($E$113/5.678)</f>
        <v>0</v>
      </c>
      <c r="L118" s="102">
        <f>$D118*$F118*VLOOKUP($C118,'Master sheet'!$A:$AL,27,FALSE)*($E$113/5.678)</f>
        <v>0</v>
      </c>
      <c r="M118" s="1610"/>
      <c r="N118" s="1610"/>
      <c r="O118" s="25" t="str">
        <f>_xlfn.IFNA(VLOOKUP($C118,'Master sheet'!$A:$AR,44,FALSE),"")&amp;""</f>
        <v/>
      </c>
      <c r="P118" s="619"/>
      <c r="Q118" s="241" t="str">
        <f t="shared" si="33"/>
        <v>FLOORS</v>
      </c>
      <c r="R118" s="844" t="s">
        <v>1188</v>
      </c>
      <c r="S118" s="638"/>
      <c r="T118" s="638"/>
      <c r="U118" s="638"/>
      <c r="V118" s="638"/>
      <c r="W118" s="638"/>
      <c r="X118" s="638"/>
      <c r="Y118" s="638"/>
      <c r="Z118" s="638"/>
      <c r="AA118" s="664"/>
    </row>
    <row r="119" spans="1:27" s="624" customFormat="1" ht="23.25" customHeight="1" x14ac:dyDescent="0.3">
      <c r="A119" s="639"/>
      <c r="B119" s="1524" t="s">
        <v>968</v>
      </c>
      <c r="C119" s="1523"/>
      <c r="D119" s="687" t="str">
        <f>IF(LOWER(Setting!rng_language)="english","R-VALUE:","VALEUR R :")</f>
        <v>R-VALUE:</v>
      </c>
      <c r="E119" s="1"/>
      <c r="F119" s="325"/>
      <c r="G119" s="678"/>
      <c r="H119" s="679"/>
      <c r="I119" s="642"/>
      <c r="J119" s="643"/>
      <c r="K119" s="676"/>
      <c r="L119" s="677"/>
      <c r="M119" s="677"/>
      <c r="N119" s="677"/>
      <c r="O119" s="25" t="str">
        <f>_xlfn.IFNA(VLOOKUP($C119,'Master sheet'!$A:$AR,44,FALSE),"")&amp;""</f>
        <v/>
      </c>
      <c r="P119" s="619"/>
      <c r="Q119" s="843"/>
      <c r="R119" s="844" t="s">
        <v>1188</v>
      </c>
      <c r="S119" s="638"/>
      <c r="T119" s="638"/>
      <c r="U119" s="638"/>
      <c r="V119" s="638"/>
      <c r="W119" s="638"/>
      <c r="X119" s="638"/>
      <c r="Y119" s="638"/>
      <c r="Z119" s="638"/>
      <c r="AA119" s="664"/>
    </row>
    <row r="120" spans="1:27" ht="23.25" customHeight="1" x14ac:dyDescent="0.3">
      <c r="A120" s="729"/>
      <c r="B120" s="729"/>
      <c r="C120" s="691" t="s">
        <v>1190</v>
      </c>
      <c r="D120" s="19">
        <f>'USER INPUT SHEET'!$D$35</f>
        <v>0</v>
      </c>
      <c r="E120" s="20" t="str">
        <f>'USER INPUT SHEET'!$F$35</f>
        <v>m2</v>
      </c>
      <c r="F120" s="6">
        <v>1</v>
      </c>
      <c r="G120" s="692"/>
      <c r="H120" s="10"/>
      <c r="I120" s="98">
        <f>K120-L120</f>
        <v>0</v>
      </c>
      <c r="J120" s="91" t="str">
        <f>IF(H120=1,I120,"")</f>
        <v/>
      </c>
      <c r="K120" s="410">
        <f>F120*AVERAGE(K121:K126)</f>
        <v>0</v>
      </c>
      <c r="L120" s="99">
        <f>F120*AVERAGE(L121:L126)</f>
        <v>0</v>
      </c>
      <c r="M120" s="1552"/>
      <c r="N120" s="1552"/>
      <c r="O120" s="25" t="str">
        <f>_xlfn.IFNA(VLOOKUP($C120,'Master sheet'!$A:$AR,44,FALSE),"")&amp;""</f>
        <v/>
      </c>
      <c r="Q120" s="240" t="str">
        <f t="shared" ref="Q120:Q126" si="38">D$1</f>
        <v>FLOORS</v>
      </c>
      <c r="R120" s="844" t="s">
        <v>1188</v>
      </c>
      <c r="S120" s="664"/>
      <c r="T120" s="664"/>
      <c r="U120" s="664"/>
      <c r="V120" s="664"/>
      <c r="W120" s="664"/>
      <c r="X120" s="664"/>
      <c r="Y120" s="664"/>
      <c r="Z120" s="664"/>
      <c r="AA120" s="638"/>
    </row>
    <row r="121" spans="1:27" ht="31.5" customHeight="1" x14ac:dyDescent="0.3">
      <c r="A121" s="1600"/>
      <c r="B121" s="1564"/>
      <c r="C121" s="669" t="str">
        <f>INDEX('Master sheet'!$A$1:$A$670,MATCH("A189",'Master sheet'!$AN$1:$AN$670,0))</f>
        <v>Mineral wool batt / Owens Corning / UltraBatt - Fire and Sound guard Plus R-15, R-30 / R 4.2-inch</v>
      </c>
      <c r="D121" s="15">
        <f>'USER INPUT SHEET'!$D$35</f>
        <v>0</v>
      </c>
      <c r="E121" s="16" t="str">
        <f>'USER INPUT SHEET'!$F$35</f>
        <v>m2</v>
      </c>
      <c r="F121" s="3">
        <v>1</v>
      </c>
      <c r="G121" s="670"/>
      <c r="H121" s="8"/>
      <c r="I121" s="92">
        <f t="shared" si="34"/>
        <v>0</v>
      </c>
      <c r="J121" s="93" t="str">
        <f t="shared" si="35"/>
        <v/>
      </c>
      <c r="K121" s="406">
        <f>$D121*$F121*VLOOKUP($C121,'Master sheet'!$A:$AL,13,FALSE)*($E$119/5.678)</f>
        <v>0</v>
      </c>
      <c r="L121" s="94">
        <f>$D121*$F121*VLOOKUP($C121,'Master sheet'!$A:$AL,27,FALSE)*($E$119/5.678)</f>
        <v>0</v>
      </c>
      <c r="M121" s="1552"/>
      <c r="N121" s="1552"/>
      <c r="O121" s="25" t="str">
        <f>_xlfn.IFNA(VLOOKUP($C121,'Master sheet'!$A:$AR,44,FALSE),"")&amp;""</f>
        <v/>
      </c>
      <c r="Q121" s="240" t="str">
        <f t="shared" si="38"/>
        <v>FLOORS</v>
      </c>
      <c r="R121" s="844" t="s">
        <v>1188</v>
      </c>
      <c r="S121" s="664"/>
      <c r="T121" s="664"/>
      <c r="U121" s="664"/>
      <c r="V121" s="664"/>
      <c r="W121" s="664"/>
      <c r="X121" s="664"/>
      <c r="Y121" s="664"/>
      <c r="Z121" s="664"/>
      <c r="AA121" s="664"/>
    </row>
    <row r="122" spans="1:27" ht="31.5" customHeight="1" x14ac:dyDescent="0.3">
      <c r="A122" s="1600"/>
      <c r="B122" s="1564"/>
      <c r="C122" s="673" t="str">
        <f>INDEX('Master sheet'!$A$1:$A$670,MATCH("A190",'Master sheet'!$AN$1:$AN$670,0))</f>
        <v>Mineral wool batt / Owens Corning / UltraBatt - Fire and Sound guard Plus R-23 / R 4.2-inch</v>
      </c>
      <c r="D122" s="17">
        <f>'USER INPUT SHEET'!$D$35</f>
        <v>0</v>
      </c>
      <c r="E122" s="18" t="str">
        <f>'USER INPUT SHEET'!$F$35</f>
        <v>m2</v>
      </c>
      <c r="F122" s="4">
        <v>1</v>
      </c>
      <c r="G122" s="674"/>
      <c r="H122" s="9"/>
      <c r="I122" s="95">
        <f t="shared" ref="I122:I126" si="39">K122-L122</f>
        <v>0</v>
      </c>
      <c r="J122" s="96" t="str">
        <f t="shared" ref="J122:J126" si="40">IF(H122=1,I122,"")</f>
        <v/>
      </c>
      <c r="K122" s="407">
        <f>$D122*$F122*VLOOKUP($C122,'Master sheet'!$A:$AL,13,FALSE)*($E$119/5.678)</f>
        <v>0</v>
      </c>
      <c r="L122" s="97">
        <f>$D122*$F122*VLOOKUP($C122,'Master sheet'!$A:$AL,27,FALSE)*($E$119/5.678)</f>
        <v>0</v>
      </c>
      <c r="M122" s="1552"/>
      <c r="N122" s="1552"/>
      <c r="O122" s="25" t="str">
        <f>_xlfn.IFNA(VLOOKUP($C122,'Master sheet'!$A:$AR,44,FALSE),"")&amp;""</f>
        <v/>
      </c>
      <c r="Q122" s="241" t="str">
        <f t="shared" si="38"/>
        <v>FLOORS</v>
      </c>
      <c r="R122" s="844" t="s">
        <v>1188</v>
      </c>
      <c r="S122" s="664"/>
      <c r="T122" s="664"/>
      <c r="U122" s="664"/>
      <c r="V122" s="664"/>
      <c r="W122" s="664"/>
      <c r="X122" s="664"/>
      <c r="Y122" s="664"/>
      <c r="Z122" s="664"/>
      <c r="AA122" s="638"/>
    </row>
    <row r="123" spans="1:27" ht="31.2" x14ac:dyDescent="0.3">
      <c r="A123" s="1600"/>
      <c r="B123" s="1564"/>
      <c r="C123" s="673" t="str">
        <f>INDEX('Master sheet'!$A$1:$A$670,MATCH("A191",'Master sheet'!$AN$1:$AN$670,0))</f>
        <v>Mineral wool batt / Owens Corning / UltraBatt - Fire and Sound guard Plus R-24 / R 4.0-inch</v>
      </c>
      <c r="D123" s="17">
        <f>'USER INPUT SHEET'!$D$35</f>
        <v>0</v>
      </c>
      <c r="E123" s="18" t="str">
        <f>'USER INPUT SHEET'!$F$35</f>
        <v>m2</v>
      </c>
      <c r="F123" s="4">
        <v>1</v>
      </c>
      <c r="G123" s="674"/>
      <c r="H123" s="9"/>
      <c r="I123" s="95">
        <f t="shared" si="39"/>
        <v>0</v>
      </c>
      <c r="J123" s="96" t="str">
        <f t="shared" si="40"/>
        <v/>
      </c>
      <c r="K123" s="407">
        <f>$D123*$F123*VLOOKUP($C123,'Master sheet'!$A:$AL,13,FALSE)*($E$119/5.678)</f>
        <v>0</v>
      </c>
      <c r="L123" s="97">
        <f>$D123*$F123*VLOOKUP($C123,'Master sheet'!$A:$AL,27,FALSE)*($E$119/5.678)</f>
        <v>0</v>
      </c>
      <c r="M123" s="1552"/>
      <c r="N123" s="1552"/>
      <c r="O123" s="25" t="str">
        <f>_xlfn.IFNA(VLOOKUP($C123,'Master sheet'!$A:$AR,44,FALSE),"")&amp;""</f>
        <v/>
      </c>
      <c r="Q123" s="241" t="str">
        <f t="shared" si="38"/>
        <v>FLOORS</v>
      </c>
      <c r="R123" s="844" t="s">
        <v>1188</v>
      </c>
      <c r="S123" s="664"/>
      <c r="T123" s="664"/>
      <c r="U123" s="664"/>
      <c r="V123" s="664"/>
      <c r="W123" s="664"/>
      <c r="X123" s="664"/>
      <c r="Y123" s="664"/>
      <c r="Z123" s="664"/>
      <c r="AA123" s="638"/>
    </row>
    <row r="124" spans="1:27" ht="22.95" customHeight="1" x14ac:dyDescent="0.3">
      <c r="A124" s="1600"/>
      <c r="B124" s="1564"/>
      <c r="C124" s="673" t="str">
        <f>INDEX('Master sheet'!$A$1:$A$670,MATCH("A195",'Master sheet'!$AN$1:$AN$670,0))</f>
        <v>Mineral wool batt / Rockwool / ComfortBatt R-23 / R 4.2-inch</v>
      </c>
      <c r="D124" s="17">
        <f>'USER INPUT SHEET'!$D$35</f>
        <v>0</v>
      </c>
      <c r="E124" s="18" t="str">
        <f>'USER INPUT SHEET'!$F$35</f>
        <v>m2</v>
      </c>
      <c r="F124" s="4">
        <v>1</v>
      </c>
      <c r="G124" s="674"/>
      <c r="H124" s="9"/>
      <c r="I124" s="95">
        <f t="shared" si="39"/>
        <v>0</v>
      </c>
      <c r="J124" s="96" t="str">
        <f t="shared" si="40"/>
        <v/>
      </c>
      <c r="K124" s="407">
        <f>$D124*$F124*VLOOKUP($C124,'Master sheet'!$A:$AL,13,FALSE)*($E$119/5.678)</f>
        <v>0</v>
      </c>
      <c r="L124" s="97">
        <f>$D124*$F124*VLOOKUP($C124,'Master sheet'!$A:$AL,27,FALSE)*($E$119/5.678)</f>
        <v>0</v>
      </c>
      <c r="M124" s="1552"/>
      <c r="N124" s="1552"/>
      <c r="O124" s="25" t="str">
        <f>_xlfn.IFNA(VLOOKUP($C124,'Master sheet'!$A:$AR,44,FALSE),"")&amp;""</f>
        <v/>
      </c>
      <c r="Q124" s="241" t="str">
        <f t="shared" si="38"/>
        <v>FLOORS</v>
      </c>
      <c r="R124" s="844" t="s">
        <v>1188</v>
      </c>
      <c r="S124" s="664"/>
      <c r="T124" s="664"/>
      <c r="U124" s="664"/>
      <c r="V124" s="664"/>
      <c r="W124" s="664"/>
      <c r="X124" s="664"/>
      <c r="Y124" s="664"/>
      <c r="Z124" s="664"/>
      <c r="AA124" s="638"/>
    </row>
    <row r="125" spans="1:27" ht="31.2" x14ac:dyDescent="0.3">
      <c r="A125" s="1600"/>
      <c r="B125" s="1564"/>
      <c r="C125" s="673" t="str">
        <f>INDEX('Master sheet'!$A$1:$A$670,MATCH("A196",'Master sheet'!$AN$1:$AN$670,0))</f>
        <v>Mineral wool batt / Rockwool / ComfortBatt R-24 (Steel Studs) / R 4.0-inch</v>
      </c>
      <c r="D125" s="17">
        <f>'USER INPUT SHEET'!$D$35</f>
        <v>0</v>
      </c>
      <c r="E125" s="18" t="str">
        <f>'USER INPUT SHEET'!$F$35</f>
        <v>m2</v>
      </c>
      <c r="F125" s="4">
        <v>1</v>
      </c>
      <c r="G125" s="674"/>
      <c r="H125" s="9"/>
      <c r="I125" s="95">
        <f t="shared" si="39"/>
        <v>0</v>
      </c>
      <c r="J125" s="96" t="str">
        <f t="shared" si="40"/>
        <v/>
      </c>
      <c r="K125" s="407">
        <f>$D125*$F125*VLOOKUP($C125,'Master sheet'!$A:$AL,13,FALSE)*($E$119/5.678)</f>
        <v>0</v>
      </c>
      <c r="L125" s="97">
        <f>$D125*$F125*VLOOKUP($C125,'Master sheet'!$A:$AL,27,FALSE)*($E$119/5.678)</f>
        <v>0</v>
      </c>
      <c r="M125" s="1552"/>
      <c r="N125" s="1552"/>
      <c r="O125" s="25" t="str">
        <f>_xlfn.IFNA(VLOOKUP($C125,'Master sheet'!$A:$AR,44,FALSE),"")&amp;""</f>
        <v/>
      </c>
      <c r="Q125" s="241" t="str">
        <f t="shared" si="38"/>
        <v>FLOORS</v>
      </c>
      <c r="R125" s="844" t="s">
        <v>1188</v>
      </c>
      <c r="S125" s="664"/>
      <c r="T125" s="664"/>
      <c r="U125" s="664"/>
      <c r="V125" s="664"/>
      <c r="W125" s="664"/>
      <c r="X125" s="664"/>
      <c r="Y125" s="664"/>
      <c r="Z125" s="664"/>
      <c r="AA125" s="638"/>
    </row>
    <row r="126" spans="1:27" ht="31.2" x14ac:dyDescent="0.3">
      <c r="A126" s="1600"/>
      <c r="B126" s="1564"/>
      <c r="C126" s="673" t="str">
        <f>INDEX('Master sheet'!$A$1:$A$670,MATCH("A197",'Master sheet'!$AN$1:$AN$670,0))</f>
        <v>Mineral wool batt / Rockwool / ComfortBatt R-24 (Wood Studs) / R 4.4-inch</v>
      </c>
      <c r="D126" s="17">
        <f>'USER INPUT SHEET'!$D$35</f>
        <v>0</v>
      </c>
      <c r="E126" s="18" t="str">
        <f>'USER INPUT SHEET'!$F$35</f>
        <v>m2</v>
      </c>
      <c r="F126" s="4">
        <v>1</v>
      </c>
      <c r="G126" s="674"/>
      <c r="H126" s="9"/>
      <c r="I126" s="95">
        <f t="shared" si="39"/>
        <v>0</v>
      </c>
      <c r="J126" s="96" t="str">
        <f t="shared" si="40"/>
        <v/>
      </c>
      <c r="K126" s="407">
        <f>$D126*$F126*VLOOKUP($C126,'Master sheet'!$A:$AL,13,FALSE)*($E$119/5.678)</f>
        <v>0</v>
      </c>
      <c r="L126" s="97">
        <f>$D126*$F126*VLOOKUP($C126,'Master sheet'!$A:$AL,27,FALSE)*($E$119/5.678)</f>
        <v>0</v>
      </c>
      <c r="M126" s="1610"/>
      <c r="N126" s="1610"/>
      <c r="O126" s="25" t="str">
        <f>_xlfn.IFNA(VLOOKUP($C126,'Master sheet'!$A:$AR,44,FALSE),"")&amp;""</f>
        <v/>
      </c>
      <c r="Q126" s="241" t="str">
        <f t="shared" si="38"/>
        <v>FLOORS</v>
      </c>
      <c r="R126" s="844" t="s">
        <v>1188</v>
      </c>
      <c r="S126" s="664"/>
      <c r="T126" s="664"/>
      <c r="U126" s="664"/>
      <c r="V126" s="664"/>
      <c r="W126" s="664"/>
      <c r="X126" s="664"/>
      <c r="Y126" s="664"/>
      <c r="Z126" s="664"/>
      <c r="AA126" s="664"/>
    </row>
    <row r="127" spans="1:27" s="624" customFormat="1" ht="23.25" customHeight="1" x14ac:dyDescent="0.3">
      <c r="A127" s="639"/>
      <c r="B127" s="1524" t="s">
        <v>3437</v>
      </c>
      <c r="C127" s="1523"/>
      <c r="D127" s="687" t="str">
        <f>IF(LOWER(Setting!rng_language)="english","R-VALUE:","VALEUR R :")</f>
        <v>R-VALUE:</v>
      </c>
      <c r="E127" s="1"/>
      <c r="F127" s="325"/>
      <c r="G127" s="678"/>
      <c r="H127" s="679"/>
      <c r="I127" s="676"/>
      <c r="J127" s="643"/>
      <c r="K127" s="676"/>
      <c r="L127" s="677"/>
      <c r="M127" s="677"/>
      <c r="N127" s="677"/>
      <c r="O127" s="25" t="str">
        <f>_xlfn.IFNA(VLOOKUP($C127,'Master sheet'!$A:$AR,44,FALSE),"")&amp;""</f>
        <v/>
      </c>
      <c r="P127" s="619"/>
      <c r="Q127" s="843"/>
      <c r="R127" s="844" t="s">
        <v>1188</v>
      </c>
      <c r="S127" s="638"/>
      <c r="T127" s="638"/>
      <c r="U127" s="638"/>
      <c r="V127" s="638"/>
      <c r="W127" s="638"/>
      <c r="X127" s="638"/>
      <c r="Y127" s="638"/>
      <c r="Z127" s="638"/>
      <c r="AA127" s="664"/>
    </row>
    <row r="128" spans="1:27" s="624" customFormat="1" ht="31.2" x14ac:dyDescent="0.3">
      <c r="A128" s="1634"/>
      <c r="B128" s="1612"/>
      <c r="C128" s="681" t="str">
        <f>INDEX('Master sheet'!$A$1:$A$670,MATCH("A77",'Master sheet'!$AN$1:$AN$670,0))</f>
        <v>Mineral wool loose fill / NAIMA / USG, American Rockwool  / R 3/inch</v>
      </c>
      <c r="D128" s="22">
        <f>'USER INPUT SHEET'!$D$35</f>
        <v>0</v>
      </c>
      <c r="E128" s="23" t="str">
        <f>'USER INPUT SHEET'!$F$35</f>
        <v>m2</v>
      </c>
      <c r="F128" s="6">
        <v>1</v>
      </c>
      <c r="G128" s="682"/>
      <c r="H128" s="10"/>
      <c r="I128" s="100">
        <f>K128-L128</f>
        <v>0</v>
      </c>
      <c r="J128" s="101" t="str">
        <f>IF(H128=1,I128,"")</f>
        <v/>
      </c>
      <c r="K128" s="408">
        <f>$D128*$F128*VLOOKUP($C128,'Master sheet'!$A:$AL,13,FALSE)*($E$127/5.678)</f>
        <v>0</v>
      </c>
      <c r="L128" s="102">
        <f>$D128*$F128*VLOOKUP($C128,'Master sheet'!$A:$AL,27,FALSE)*($E$127/5.678)</f>
        <v>0</v>
      </c>
      <c r="M128" s="1559"/>
      <c r="N128" s="1559"/>
      <c r="O128" s="25" t="str">
        <f>_xlfn.IFNA(VLOOKUP($C128,'Master sheet'!$A:$AR,44,FALSE),"")&amp;""</f>
        <v/>
      </c>
      <c r="P128" s="619"/>
      <c r="Q128" s="241" t="str">
        <f>D$1</f>
        <v>FLOORS</v>
      </c>
      <c r="R128" s="844" t="s">
        <v>1188</v>
      </c>
      <c r="S128" s="638"/>
      <c r="T128" s="638"/>
      <c r="U128" s="638"/>
      <c r="V128" s="638"/>
      <c r="W128" s="638"/>
      <c r="X128" s="638"/>
      <c r="Y128" s="638"/>
      <c r="Z128" s="638"/>
      <c r="AA128" s="664"/>
    </row>
    <row r="129" spans="1:27" s="624" customFormat="1" ht="22.8" x14ac:dyDescent="0.3">
      <c r="A129" s="639"/>
      <c r="B129" s="1524" t="s">
        <v>3428</v>
      </c>
      <c r="C129" s="1523"/>
      <c r="D129" s="687" t="str">
        <f>IF(LOWER(Setting!rng_language)="english","R-VALUE:","VALEUR R :")</f>
        <v>R-VALUE:</v>
      </c>
      <c r="E129" s="1"/>
      <c r="F129" s="325"/>
      <c r="G129" s="678"/>
      <c r="H129" s="679"/>
      <c r="I129" s="642"/>
      <c r="J129" s="643"/>
      <c r="K129" s="676"/>
      <c r="L129" s="727"/>
      <c r="M129" s="727"/>
      <c r="N129" s="727"/>
      <c r="O129" s="25" t="str">
        <f>_xlfn.IFNA(VLOOKUP($C129,'Master sheet'!$A:$AR,44,FALSE),"")&amp;""</f>
        <v/>
      </c>
      <c r="P129" s="637"/>
      <c r="Q129" s="722"/>
      <c r="R129" s="844" t="s">
        <v>1188</v>
      </c>
      <c r="T129" s="638"/>
      <c r="U129" s="638"/>
      <c r="V129" s="638"/>
      <c r="W129" s="638"/>
      <c r="X129" s="638"/>
      <c r="Y129" s="638"/>
      <c r="Z129" s="638"/>
      <c r="AA129" s="664"/>
    </row>
    <row r="130" spans="1:27" s="624" customFormat="1" ht="31.5" customHeight="1" x14ac:dyDescent="0.3">
      <c r="A130" s="1601"/>
      <c r="B130" s="1602"/>
      <c r="C130" s="673" t="str">
        <f>INDEX('Master sheet'!$A$1:$A$670,MATCH(184,'Master sheet'!$AN$1:$AN$670,0))</f>
        <v>Spray polyurethane foam - Closed Cell - HFO gas filled / SPFA /  / R 6.6/inch</v>
      </c>
      <c r="D130" s="22">
        <f>'USER INPUT SHEET'!$D$35</f>
        <v>0</v>
      </c>
      <c r="E130" s="23" t="str">
        <f>'USER INPUT SHEET'!$F$35</f>
        <v>m2</v>
      </c>
      <c r="F130" s="4">
        <v>1</v>
      </c>
      <c r="G130" s="674"/>
      <c r="H130" s="9"/>
      <c r="I130" s="95">
        <f>K130-L130</f>
        <v>0</v>
      </c>
      <c r="J130" s="96" t="str">
        <f>IF(H130=1,I130,"")</f>
        <v/>
      </c>
      <c r="K130" s="407">
        <f>$D130*($E$129/5.678)*$F130*VLOOKUP($C130,'Master sheet'!$A:$AL,13,FALSE)</f>
        <v>0</v>
      </c>
      <c r="L130" s="97">
        <f>$D130*($E$129/5.678)*$F130*VLOOKUP($C130,'Master sheet'!$A:$AL,27,FALSE)</f>
        <v>0</v>
      </c>
      <c r="M130" s="1562"/>
      <c r="N130" s="1562"/>
      <c r="O130" s="25" t="str">
        <f ca="1">_xlfn.IFNA(VLOOKUP($C130,'Master sheet'!$A:$AR,44,FALSE),"")&amp;""</f>
        <v/>
      </c>
      <c r="P130" s="685"/>
      <c r="Q130" s="240" t="str">
        <f t="shared" ref="Q130:Q133" si="41">D$1</f>
        <v>FLOORS</v>
      </c>
      <c r="R130" s="844" t="s">
        <v>1188</v>
      </c>
      <c r="T130" s="638"/>
      <c r="U130" s="638"/>
      <c r="V130" s="638"/>
      <c r="W130" s="638"/>
      <c r="X130" s="638"/>
      <c r="Y130" s="638"/>
      <c r="Z130" s="638"/>
      <c r="AA130" s="638"/>
    </row>
    <row r="131" spans="1:27" s="624" customFormat="1" ht="31.5" customHeight="1" x14ac:dyDescent="0.3">
      <c r="A131" s="1601"/>
      <c r="B131" s="1602"/>
      <c r="C131" s="673" t="str">
        <f>INDEX('Master sheet'!$A$1:$A$670,MATCH(410,'Master sheet'!$AN$1:$AN$670,0))</f>
        <v xml:space="preserve">Spray polyurethane foam - Closed Cell (HFO) / Huntsman Building Solutions / Heatlok HFO &amp; Heatlok Soya HFO / </v>
      </c>
      <c r="D131" s="22">
        <f>'USER INPUT SHEET'!$D$35</f>
        <v>0</v>
      </c>
      <c r="E131" s="23" t="str">
        <f>'USER INPUT SHEET'!$F$35</f>
        <v>m2</v>
      </c>
      <c r="F131" s="4">
        <v>1</v>
      </c>
      <c r="G131" s="674"/>
      <c r="H131" s="9"/>
      <c r="I131" s="95">
        <f>K131-L131</f>
        <v>0</v>
      </c>
      <c r="J131" s="96" t="str">
        <f>IF(H131=1,I131,"")</f>
        <v/>
      </c>
      <c r="K131" s="407">
        <f>$D131*($E$129/5.678)*$F131*VLOOKUP($C131,'Master sheet'!$A:$AL,13,FALSE)</f>
        <v>0</v>
      </c>
      <c r="L131" s="97">
        <f>$D131*($E$129/5.678)*$F131*VLOOKUP($C131,'Master sheet'!$A:$AL,27,FALSE)</f>
        <v>0</v>
      </c>
      <c r="M131" s="1610"/>
      <c r="N131" s="1610"/>
      <c r="O131" s="25" t="str">
        <f>_xlfn.IFNA(VLOOKUP($C131,'Master sheet'!$A:$AR,44,FALSE),"")&amp;""</f>
        <v>A1-B1</v>
      </c>
      <c r="P131" s="685"/>
      <c r="Q131" s="240" t="str">
        <f t="shared" si="41"/>
        <v>FLOORS</v>
      </c>
      <c r="R131" s="844" t="s">
        <v>1188</v>
      </c>
      <c r="T131" s="638"/>
      <c r="U131" s="638"/>
      <c r="V131" s="638"/>
      <c r="W131" s="638"/>
      <c r="X131" s="638"/>
      <c r="Y131" s="638"/>
      <c r="Z131" s="638"/>
      <c r="AA131" s="638"/>
    </row>
    <row r="132" spans="1:27" s="624" customFormat="1" ht="22.8" x14ac:dyDescent="0.3">
      <c r="A132" s="639"/>
      <c r="B132" s="1524" t="s">
        <v>3429</v>
      </c>
      <c r="C132" s="1523"/>
      <c r="D132" s="687" t="str">
        <f>IF(LOWER(Setting!rng_language)="english","R-VALUE:","VALEUR R :")</f>
        <v>R-VALUE:</v>
      </c>
      <c r="E132" s="1"/>
      <c r="F132" s="325"/>
      <c r="G132" s="678"/>
      <c r="H132" s="679"/>
      <c r="I132" s="642"/>
      <c r="J132" s="643"/>
      <c r="K132" s="676"/>
      <c r="L132" s="727"/>
      <c r="M132" s="727"/>
      <c r="N132" s="727"/>
      <c r="O132" s="25" t="str">
        <f>_xlfn.IFNA(VLOOKUP($C132,'Master sheet'!$A:$AR,44,FALSE),"")&amp;""</f>
        <v/>
      </c>
      <c r="P132" s="685"/>
      <c r="Q132" s="240" t="str">
        <f t="shared" si="41"/>
        <v>FLOORS</v>
      </c>
      <c r="R132" s="844" t="s">
        <v>1188</v>
      </c>
      <c r="T132" s="638"/>
      <c r="U132" s="638"/>
      <c r="V132" s="638"/>
      <c r="W132" s="638"/>
      <c r="X132" s="638"/>
      <c r="Y132" s="638"/>
      <c r="Z132" s="638"/>
      <c r="AA132" s="664"/>
    </row>
    <row r="133" spans="1:27" s="624" customFormat="1" ht="31.5" customHeight="1" x14ac:dyDescent="0.3">
      <c r="A133" s="729"/>
      <c r="B133" s="729"/>
      <c r="C133" s="673" t="str">
        <f>INDEX('Master sheet'!$A$1:$A$670,MATCH(188,'Master sheet'!$AN$1:$AN$670,0))</f>
        <v>Spray polyurethane foam - Open Cell - HFO gas / SPFA /  / R 4.1/inch</v>
      </c>
      <c r="D133" s="22">
        <f>'USER INPUT SHEET'!$D$35</f>
        <v>0</v>
      </c>
      <c r="E133" s="23" t="str">
        <f>'USER INPUT SHEET'!$F$35</f>
        <v>m2</v>
      </c>
      <c r="F133" s="4">
        <v>1</v>
      </c>
      <c r="G133" s="674"/>
      <c r="H133" s="9"/>
      <c r="I133" s="95">
        <f>K133-L133</f>
        <v>0</v>
      </c>
      <c r="J133" s="96" t="str">
        <f>IF(H133=1,I133,"")</f>
        <v/>
      </c>
      <c r="K133" s="407">
        <f>$D133*($E$132/5.678)*$F133*VLOOKUP($C133,'Master sheet'!$A:$AL,13,FALSE)</f>
        <v>0</v>
      </c>
      <c r="L133" s="97">
        <f>$D133*($E$132/5.678)*$F133*VLOOKUP($C133,'Master sheet'!$A:$AL,27,FALSE)</f>
        <v>0</v>
      </c>
      <c r="M133" s="1610"/>
      <c r="N133" s="1610"/>
      <c r="O133" s="25" t="str">
        <f ca="1">_xlfn.IFNA(VLOOKUP($C133,'Master sheet'!$A:$AR,44,FALSE),"")&amp;""</f>
        <v/>
      </c>
      <c r="P133" s="637"/>
      <c r="Q133" s="240" t="str">
        <f t="shared" si="41"/>
        <v>FLOORS</v>
      </c>
      <c r="R133" s="844" t="s">
        <v>1188</v>
      </c>
      <c r="T133" s="638"/>
      <c r="U133" s="638"/>
      <c r="V133" s="638"/>
      <c r="W133" s="638"/>
      <c r="X133" s="638"/>
      <c r="Y133" s="638"/>
      <c r="Z133" s="638"/>
      <c r="AA133" s="664"/>
    </row>
    <row r="134" spans="1:27" s="624" customFormat="1" ht="23.25" customHeight="1" x14ac:dyDescent="0.3">
      <c r="A134" s="639"/>
      <c r="B134" s="1524" t="s">
        <v>46</v>
      </c>
      <c r="C134" s="1523"/>
      <c r="D134" s="687" t="str">
        <f>IF(LOWER(Setting!rng_language)="english","R-VALUE:","VALEUR R :")</f>
        <v>R-VALUE:</v>
      </c>
      <c r="E134" s="1"/>
      <c r="F134" s="325"/>
      <c r="G134" s="678"/>
      <c r="H134" s="679"/>
      <c r="I134" s="676"/>
      <c r="J134" s="643"/>
      <c r="K134" s="676"/>
      <c r="L134" s="677"/>
      <c r="M134" s="677"/>
      <c r="N134" s="677"/>
      <c r="O134" s="25" t="str">
        <f>_xlfn.IFNA(VLOOKUP($C134,'Master sheet'!$A:$AR,44,FALSE),"")&amp;""</f>
        <v/>
      </c>
      <c r="P134" s="619"/>
      <c r="Q134" s="843"/>
      <c r="R134" s="844" t="s">
        <v>1188</v>
      </c>
      <c r="S134" s="638"/>
      <c r="T134" s="638"/>
      <c r="U134" s="638"/>
      <c r="V134" s="638"/>
      <c r="W134" s="638"/>
      <c r="X134" s="638"/>
      <c r="Y134" s="638"/>
      <c r="Z134" s="638"/>
      <c r="AA134" s="638"/>
    </row>
    <row r="135" spans="1:27" ht="22.8" x14ac:dyDescent="0.3">
      <c r="A135" s="729"/>
      <c r="B135" s="729"/>
      <c r="C135" s="691" t="s">
        <v>1191</v>
      </c>
      <c r="D135" s="19">
        <f>'USER INPUT SHEET'!$D$35</f>
        <v>0</v>
      </c>
      <c r="E135" s="20" t="str">
        <f>'USER INPUT SHEET'!$F$35</f>
        <v>m2</v>
      </c>
      <c r="F135" s="6">
        <v>1</v>
      </c>
      <c r="G135" s="692"/>
      <c r="H135" s="10"/>
      <c r="I135" s="98">
        <f>K135-L135</f>
        <v>0</v>
      </c>
      <c r="J135" s="91" t="str">
        <f>IF(H135=1,I135,"")</f>
        <v/>
      </c>
      <c r="K135" s="410">
        <f>F135*AVERAGE(K136:K139)</f>
        <v>0</v>
      </c>
      <c r="L135" s="99">
        <f>F135*AVERAGE(L136:L139)</f>
        <v>0</v>
      </c>
      <c r="M135" s="1552"/>
      <c r="N135" s="1552"/>
      <c r="O135" s="25" t="str">
        <f>_xlfn.IFNA(VLOOKUP($C135,'Master sheet'!$A:$AR,44,FALSE),"")&amp;""</f>
        <v/>
      </c>
      <c r="Q135" s="240" t="str">
        <f>D$1</f>
        <v>FLOORS</v>
      </c>
      <c r="R135" s="844" t="s">
        <v>1188</v>
      </c>
      <c r="S135" s="664"/>
      <c r="T135" s="664"/>
      <c r="U135" s="664"/>
      <c r="V135" s="664"/>
      <c r="W135" s="664"/>
      <c r="X135" s="664"/>
      <c r="Y135" s="664"/>
      <c r="Z135" s="664"/>
      <c r="AA135" s="638"/>
    </row>
    <row r="136" spans="1:27" ht="23.25" customHeight="1" x14ac:dyDescent="0.3">
      <c r="A136" s="823"/>
      <c r="B136" s="619"/>
      <c r="C136" s="669" t="str">
        <f>INDEX('Master sheet'!$A$1:$A$670,MATCH(32,'Master sheet'!$AN$1:$AN$670,0))</f>
        <v>Cellulose - batt / CMS / R 3.6/inch / EcoCell</v>
      </c>
      <c r="D136" s="15">
        <f>'USER INPUT SHEET'!$D$35</f>
        <v>0</v>
      </c>
      <c r="E136" s="16" t="str">
        <f>'USER INPUT SHEET'!$F$35</f>
        <v>m2</v>
      </c>
      <c r="F136" s="3">
        <v>1</v>
      </c>
      <c r="G136" s="670"/>
      <c r="H136" s="8"/>
      <c r="I136" s="92">
        <f t="shared" ref="I136:I141" si="42">K136-L136</f>
        <v>0</v>
      </c>
      <c r="J136" s="93" t="str">
        <f t="shared" ref="J136:J141" si="43">IF(H136=1,I136,"")</f>
        <v/>
      </c>
      <c r="K136" s="406">
        <f>$D136*$F136*VLOOKUP($C136,'Master sheet'!$A:$AL,13,FALSE)*($E$134/5.678)</f>
        <v>0</v>
      </c>
      <c r="L136" s="94">
        <f>$D136*$F136*VLOOKUP($C136,'Master sheet'!$A:$AL,27,FALSE)*($E$134/5.678)</f>
        <v>0</v>
      </c>
      <c r="M136" s="1552"/>
      <c r="N136" s="1552"/>
      <c r="O136" s="25" t="str">
        <f ca="1">_xlfn.IFNA(VLOOKUP($C136,'Master sheet'!$A:$AR,44,FALSE),"")&amp;""</f>
        <v>Expired 2024</v>
      </c>
      <c r="Q136" s="240" t="str">
        <f>D$1</f>
        <v>FLOORS</v>
      </c>
      <c r="R136" s="844" t="s">
        <v>1188</v>
      </c>
      <c r="S136" s="664"/>
      <c r="T136" s="664"/>
      <c r="U136" s="664"/>
      <c r="V136" s="664"/>
      <c r="W136" s="664"/>
      <c r="X136" s="664"/>
      <c r="Y136" s="664"/>
      <c r="Z136" s="664"/>
      <c r="AA136" s="664"/>
    </row>
    <row r="137" spans="1:27" ht="47.25" customHeight="1" x14ac:dyDescent="0.3">
      <c r="A137" s="619"/>
      <c r="B137" s="619"/>
      <c r="C137" s="669" t="str">
        <f>INDEX('Master sheet'!$A$1:$A$670,MATCH(33,'Master sheet'!$AN$1:$AN$670,0))</f>
        <v>Cellulose - dense pack /  / R 3.7/inch / Includes AFT, Applegate, Can-Cell, Cell-Pak, Cleanfiber, Climatizer, Fiberlite, Igloo, ICC, Mason City, Nu-Wool, Soprema, Thermo-Kool</v>
      </c>
      <c r="D137" s="15">
        <f>'USER INPUT SHEET'!$D$35</f>
        <v>0</v>
      </c>
      <c r="E137" s="16" t="str">
        <f>'USER INPUT SHEET'!$F$35</f>
        <v>m2</v>
      </c>
      <c r="F137" s="3">
        <v>1</v>
      </c>
      <c r="G137" s="670"/>
      <c r="H137" s="8"/>
      <c r="I137" s="92">
        <f t="shared" si="42"/>
        <v>0</v>
      </c>
      <c r="J137" s="93" t="str">
        <f t="shared" si="43"/>
        <v/>
      </c>
      <c r="K137" s="406">
        <f>$D137*$F137*VLOOKUP($C137,'Master sheet'!$A:$AL,13,FALSE)*($E$134/5.678)</f>
        <v>0</v>
      </c>
      <c r="L137" s="94">
        <f>$D137*$F137*VLOOKUP($C137,'Master sheet'!$A:$AL,27,FALSE)*($E$134/5.678)</f>
        <v>0</v>
      </c>
      <c r="M137" s="1552"/>
      <c r="N137" s="1552"/>
      <c r="O137" s="25" t="str">
        <f ca="1">_xlfn.IFNA(VLOOKUP($C137,'Master sheet'!$A:$AR,44,FALSE),"")&amp;""</f>
        <v>Expired 2024</v>
      </c>
      <c r="Q137" s="240" t="str">
        <f>D$1</f>
        <v>FLOORS</v>
      </c>
      <c r="R137" s="844" t="s">
        <v>1188</v>
      </c>
      <c r="S137" s="664"/>
      <c r="T137" s="664"/>
      <c r="U137" s="664"/>
      <c r="V137" s="664"/>
      <c r="W137" s="664"/>
      <c r="X137" s="664"/>
      <c r="Y137" s="664"/>
      <c r="Z137" s="664"/>
      <c r="AA137" s="638"/>
    </row>
    <row r="138" spans="1:27" ht="47.25" customHeight="1" x14ac:dyDescent="0.3">
      <c r="A138" s="619"/>
      <c r="B138" s="619"/>
      <c r="C138" s="669" t="str">
        <f>INDEX('Master sheet'!$A$1:$A$670,MATCH(34,'Master sheet'!$AN$1:$AN$670,0))</f>
        <v>Cellulose - loose fill /  / R 3.7/inch / Includes: AFT, Applegate, Can-Cell, Cell-Pak, Cleanfiber, Climatizer, Fiberlite, Igloo, ICC, Mason City, Nu-Wool, Soprema, Thermo-Kool</v>
      </c>
      <c r="D138" s="15">
        <f>'USER INPUT SHEET'!$D$35</f>
        <v>0</v>
      </c>
      <c r="E138" s="16" t="str">
        <f>'USER INPUT SHEET'!$F$35</f>
        <v>m2</v>
      </c>
      <c r="F138" s="3">
        <v>1</v>
      </c>
      <c r="G138" s="670"/>
      <c r="H138" s="8"/>
      <c r="I138" s="92">
        <f t="shared" si="42"/>
        <v>0</v>
      </c>
      <c r="J138" s="93" t="str">
        <f t="shared" si="43"/>
        <v/>
      </c>
      <c r="K138" s="406">
        <f>$D138*$F138*VLOOKUP($C138,'Master sheet'!$A:$AL,13,FALSE)*($E$134/5.678)</f>
        <v>0</v>
      </c>
      <c r="L138" s="94">
        <f>$D138*$F138*VLOOKUP($C138,'Master sheet'!$A:$AL,27,FALSE)*($E$134/5.678)</f>
        <v>0</v>
      </c>
      <c r="M138" s="1552"/>
      <c r="N138" s="1552"/>
      <c r="O138" s="25" t="str">
        <f ca="1">_xlfn.IFNA(VLOOKUP($C138,'Master sheet'!$A:$AR,44,FALSE),"")&amp;""</f>
        <v>Expired 2024</v>
      </c>
      <c r="Q138" s="240" t="str">
        <f>D$1</f>
        <v>FLOORS</v>
      </c>
      <c r="R138" s="844" t="s">
        <v>1188</v>
      </c>
      <c r="S138" s="664"/>
      <c r="T138" s="664"/>
      <c r="U138" s="664"/>
      <c r="V138" s="664"/>
      <c r="W138" s="664"/>
      <c r="X138" s="664"/>
      <c r="Y138" s="664"/>
      <c r="Z138" s="664"/>
      <c r="AA138" s="638"/>
    </row>
    <row r="139" spans="1:27" s="624" customFormat="1" ht="31.5" customHeight="1" x14ac:dyDescent="0.3">
      <c r="C139" s="673" t="str">
        <f>INDEX('Master sheet'!$A$1:$A$670,MATCH(35,'Master sheet'!$AN$1:$AN$670,0))</f>
        <v>Cellulose - spray applied / R 3.75/inch / International Cellulose Corp. / K-13, ThermoCon</v>
      </c>
      <c r="D139" s="17">
        <f>'USER INPUT SHEET'!$D$35</f>
        <v>0</v>
      </c>
      <c r="E139" s="18" t="str">
        <f>'USER INPUT SHEET'!$F$35</f>
        <v>m2</v>
      </c>
      <c r="F139" s="4">
        <v>1</v>
      </c>
      <c r="G139" s="674"/>
      <c r="H139" s="9"/>
      <c r="I139" s="95">
        <f>K139-L139</f>
        <v>0</v>
      </c>
      <c r="J139" s="96" t="str">
        <f>IF(H139=1,I139,"")</f>
        <v/>
      </c>
      <c r="K139" s="407">
        <f>$D139*$F139*VLOOKUP($C139,'Master sheet'!$A:$AL,13,FALSE)*($E$134/5.678)</f>
        <v>0</v>
      </c>
      <c r="L139" s="97">
        <f>$D139*$F139*VLOOKUP($C139,'Master sheet'!$A:$AL,27,FALSE)*($E$134/5.678)</f>
        <v>0</v>
      </c>
      <c r="M139" s="1610"/>
      <c r="N139" s="1610"/>
      <c r="O139" s="25" t="str">
        <f ca="1">_xlfn.IFNA(VLOOKUP($C139,'Master sheet'!$A:$AR,44,FALSE),"")&amp;""</f>
        <v>Expired 2025</v>
      </c>
      <c r="P139" s="619"/>
      <c r="Q139" s="240" t="str">
        <f>D$1</f>
        <v>FLOORS</v>
      </c>
      <c r="R139" s="844" t="s">
        <v>1188</v>
      </c>
      <c r="S139" s="638"/>
      <c r="T139" s="638"/>
      <c r="U139" s="638"/>
      <c r="V139" s="638"/>
      <c r="W139" s="638"/>
      <c r="X139" s="638"/>
      <c r="Y139" s="638"/>
      <c r="Z139" s="638"/>
      <c r="AA139" s="638"/>
    </row>
    <row r="140" spans="1:27" s="624" customFormat="1" ht="23.25" customHeight="1" x14ac:dyDescent="0.3">
      <c r="A140" s="639"/>
      <c r="B140" s="1524" t="s">
        <v>969</v>
      </c>
      <c r="C140" s="1523"/>
      <c r="D140" s="687" t="str">
        <f>IF(LOWER(Setting!rng_language)="english","R-VALUE:","VALEUR R :")</f>
        <v>R-VALUE:</v>
      </c>
      <c r="E140" s="1"/>
      <c r="F140" s="325"/>
      <c r="G140" s="678"/>
      <c r="H140" s="679"/>
      <c r="I140" s="676"/>
      <c r="J140" s="643"/>
      <c r="K140" s="676"/>
      <c r="L140" s="677"/>
      <c r="M140" s="677"/>
      <c r="N140" s="677"/>
      <c r="O140" s="25" t="str">
        <f>_xlfn.IFNA(VLOOKUP($C140,'Master sheet'!$A:$AR,44,FALSE),"")&amp;""</f>
        <v/>
      </c>
      <c r="P140" s="619"/>
      <c r="Q140" s="843"/>
      <c r="R140" s="844" t="s">
        <v>1188</v>
      </c>
      <c r="S140" s="638"/>
      <c r="T140" s="638"/>
      <c r="U140" s="638"/>
      <c r="V140" s="638"/>
      <c r="W140" s="638"/>
      <c r="X140" s="638"/>
      <c r="Y140" s="638"/>
      <c r="Z140" s="638"/>
      <c r="AA140" s="638"/>
    </row>
    <row r="141" spans="1:27" s="624" customFormat="1" ht="23.25" customHeight="1" x14ac:dyDescent="0.3">
      <c r="A141" s="619"/>
      <c r="B141" s="619"/>
      <c r="C141" s="673" t="str">
        <f>INDEX('Master sheet'!$A$1:$A$670,MATCH("A122",'Master sheet'!$AN$1:$AN$670,0))</f>
        <v>Wood fiber batt / Steico / SteicoFlex / R 3.8/inch</v>
      </c>
      <c r="D141" s="17">
        <f>'USER INPUT SHEET'!$D$35</f>
        <v>0</v>
      </c>
      <c r="E141" s="18" t="str">
        <f>'USER INPUT SHEET'!$F$35</f>
        <v>m2</v>
      </c>
      <c r="F141" s="4">
        <v>1</v>
      </c>
      <c r="G141" s="674"/>
      <c r="H141" s="9"/>
      <c r="I141" s="95">
        <f t="shared" si="42"/>
        <v>0</v>
      </c>
      <c r="J141" s="96" t="str">
        <f t="shared" si="43"/>
        <v/>
      </c>
      <c r="K141" s="407">
        <f>$D141*$F141*VLOOKUP($C141,'Master sheet'!$A:$AL,13,FALSE)*($E$140/5.678)</f>
        <v>0</v>
      </c>
      <c r="L141" s="97">
        <f>$D141*$F141*VLOOKUP($C141,'Master sheet'!$A:$AL,27,FALSE)*($E$140/5.678)</f>
        <v>0</v>
      </c>
      <c r="M141" s="1610"/>
      <c r="N141" s="1610"/>
      <c r="O141" s="25" t="str">
        <f>_xlfn.IFNA(VLOOKUP($C141,'Master sheet'!$A:$AR,44,FALSE),"")&amp;""</f>
        <v/>
      </c>
      <c r="P141" s="619"/>
      <c r="Q141" s="241" t="str">
        <f>D$1</f>
        <v>FLOORS</v>
      </c>
      <c r="R141" s="844" t="s">
        <v>1188</v>
      </c>
      <c r="S141" s="638"/>
      <c r="T141" s="638"/>
      <c r="U141" s="638"/>
      <c r="V141" s="638"/>
      <c r="W141" s="638"/>
      <c r="X141" s="638"/>
      <c r="Y141" s="638"/>
      <c r="Z141" s="638"/>
      <c r="AA141" s="638"/>
    </row>
    <row r="142" spans="1:27" s="624" customFormat="1" ht="23.25" customHeight="1" x14ac:dyDescent="0.3">
      <c r="A142" s="639"/>
      <c r="B142" s="1524" t="s">
        <v>56</v>
      </c>
      <c r="C142" s="1523"/>
      <c r="D142" s="687" t="str">
        <f>IF(LOWER(Setting!rng_language)="english","R-VALUE:","VALEUR R :")</f>
        <v>R-VALUE:</v>
      </c>
      <c r="E142" s="1"/>
      <c r="F142" s="325"/>
      <c r="G142" s="678"/>
      <c r="H142" s="679"/>
      <c r="I142" s="642"/>
      <c r="J142" s="643"/>
      <c r="K142" s="676"/>
      <c r="L142" s="677"/>
      <c r="M142" s="677"/>
      <c r="N142" s="677"/>
      <c r="O142" s="25" t="str">
        <f>_xlfn.IFNA(VLOOKUP($C142,'Master sheet'!$A:$AR,44,FALSE),"")&amp;""</f>
        <v/>
      </c>
      <c r="P142" s="619"/>
      <c r="Q142" s="843"/>
      <c r="R142" s="844" t="s">
        <v>1188</v>
      </c>
      <c r="S142" s="638"/>
      <c r="T142" s="638"/>
      <c r="U142" s="638"/>
      <c r="V142" s="638"/>
      <c r="W142" s="638"/>
      <c r="X142" s="638"/>
      <c r="Y142" s="638"/>
      <c r="Z142" s="638"/>
      <c r="AA142" s="638"/>
    </row>
    <row r="143" spans="1:27" s="624" customFormat="1" ht="23.25" customHeight="1" x14ac:dyDescent="0.3">
      <c r="A143" s="823"/>
      <c r="B143" s="619"/>
      <c r="C143" s="647" t="str">
        <f>INDEX('Master sheet'!$A$1:$A$670,MATCH(254,'Master sheet'!$AN$1:$AN$670,0))</f>
        <v>Wool batt / Havelock Wool /  / R 3.6/inch</v>
      </c>
      <c r="D143" s="13">
        <f>'USER INPUT SHEET'!$D$35</f>
        <v>0</v>
      </c>
      <c r="E143" s="14" t="str">
        <f>'USER INPUT SHEET'!$F$35</f>
        <v>m2</v>
      </c>
      <c r="F143" s="2">
        <v>1</v>
      </c>
      <c r="G143" s="648"/>
      <c r="H143" s="7"/>
      <c r="I143" s="88">
        <f t="shared" ref="I143:I154" si="44">K143-L143</f>
        <v>0</v>
      </c>
      <c r="J143" s="89" t="str">
        <f t="shared" ref="J143:J154" si="45">IF(H143=1,I143,"")</f>
        <v/>
      </c>
      <c r="K143" s="404">
        <f>$D143*$F143*VLOOKUP($C143,'Master sheet'!$A:$AL,13,FALSE)*($E$142/5.678)</f>
        <v>0</v>
      </c>
      <c r="L143" s="90">
        <f>$D143*$F143*VLOOKUP($C143,'Master sheet'!$A:$AL,27,FALSE)*($E$142/5.678)</f>
        <v>0</v>
      </c>
      <c r="M143" s="1552"/>
      <c r="N143" s="1552"/>
      <c r="O143" s="25" t="str">
        <f ca="1">_xlfn.IFNA(VLOOKUP($C143,'Master sheet'!$A:$AR,44,FALSE),"")&amp;""</f>
        <v>Expired 2025</v>
      </c>
      <c r="P143" s="619"/>
      <c r="Q143" s="241" t="str">
        <f t="shared" ref="Q143:Q147" si="46">D$1</f>
        <v>FLOORS</v>
      </c>
      <c r="R143" s="844" t="s">
        <v>1188</v>
      </c>
      <c r="S143" s="638"/>
      <c r="T143" s="638"/>
      <c r="U143" s="638"/>
      <c r="V143" s="638"/>
      <c r="W143" s="638"/>
      <c r="X143" s="638"/>
      <c r="Y143" s="638"/>
      <c r="Z143" s="638"/>
      <c r="AA143" s="638"/>
    </row>
    <row r="144" spans="1:27" ht="23.25" customHeight="1" x14ac:dyDescent="0.3">
      <c r="A144" s="619"/>
      <c r="B144" s="619"/>
      <c r="C144" s="669" t="str">
        <f>INDEX('Master sheet'!$A$1:$A$670,MATCH(255,'Master sheet'!$AN$1:$AN$670,0))</f>
        <v>Wool loose fill / Havelock Wool /  / R 4.4/inch</v>
      </c>
      <c r="D144" s="15">
        <f>'USER INPUT SHEET'!$D$35</f>
        <v>0</v>
      </c>
      <c r="E144" s="16" t="str">
        <f>'USER INPUT SHEET'!$F$35</f>
        <v>m2</v>
      </c>
      <c r="F144" s="3">
        <v>1</v>
      </c>
      <c r="G144" s="670"/>
      <c r="H144" s="8"/>
      <c r="I144" s="92">
        <f t="shared" si="44"/>
        <v>0</v>
      </c>
      <c r="J144" s="93" t="str">
        <f t="shared" si="45"/>
        <v/>
      </c>
      <c r="K144" s="406">
        <f>$D144*$F144*VLOOKUP($C144,'Master sheet'!$A:$AL,13,FALSE)*($E$142/5.678)</f>
        <v>0</v>
      </c>
      <c r="L144" s="94">
        <f>$D144*$F144*VLOOKUP($C144,'Master sheet'!$A:$AL,27,FALSE)*($E$142/5.678)</f>
        <v>0</v>
      </c>
      <c r="M144" s="1552"/>
      <c r="N144" s="1552"/>
      <c r="O144" s="25" t="str">
        <f ca="1">_xlfn.IFNA(VLOOKUP($C144,'Master sheet'!$A:$AR,44,FALSE),"")&amp;""</f>
        <v/>
      </c>
      <c r="Q144" s="240" t="str">
        <f t="shared" si="46"/>
        <v>FLOORS</v>
      </c>
      <c r="R144" s="844" t="s">
        <v>1188</v>
      </c>
      <c r="S144" s="664"/>
      <c r="T144" s="664"/>
      <c r="U144" s="664"/>
      <c r="V144" s="664"/>
      <c r="W144" s="664"/>
      <c r="X144" s="664"/>
      <c r="Y144" s="664"/>
      <c r="Z144" s="664"/>
      <c r="AA144" s="638"/>
    </row>
    <row r="145" spans="1:27" ht="23.25" customHeight="1" x14ac:dyDescent="0.3">
      <c r="A145" s="619"/>
      <c r="B145" s="619"/>
      <c r="C145" s="669" t="str">
        <f>INDEX('Master sheet'!$A$1:$A$670,MATCH(238,'Master sheet'!$AN$1:$AN$670,0))</f>
        <v>Wood fiber - loose fill / GUTEX / ThermoFiber / R 3.6/inch</v>
      </c>
      <c r="D145" s="15">
        <f>'USER INPUT SHEET'!$D$35</f>
        <v>0</v>
      </c>
      <c r="E145" s="16" t="str">
        <f>'USER INPUT SHEET'!$F$35</f>
        <v>m2</v>
      </c>
      <c r="F145" s="3">
        <v>1</v>
      </c>
      <c r="G145" s="670"/>
      <c r="H145" s="8"/>
      <c r="I145" s="92">
        <f t="shared" si="44"/>
        <v>0</v>
      </c>
      <c r="J145" s="93" t="str">
        <f t="shared" si="45"/>
        <v/>
      </c>
      <c r="K145" s="406">
        <f>$D145*$F145*VLOOKUP($C145,'Master sheet'!$A:$AL,13,FALSE)*($E$142/5.678)</f>
        <v>0</v>
      </c>
      <c r="L145" s="94">
        <f>$D145*$F145*VLOOKUP($C145,'Master sheet'!$A:$AL,27,FALSE)*($E$142/5.678)</f>
        <v>0</v>
      </c>
      <c r="M145" s="1552"/>
      <c r="N145" s="1552"/>
      <c r="O145" s="25" t="str">
        <f ca="1">_xlfn.IFNA(VLOOKUP($C145,'Master sheet'!$A:$AR,44,FALSE),"")&amp;""</f>
        <v>Expired 2024</v>
      </c>
      <c r="Q145" s="240" t="str">
        <f t="shared" si="46"/>
        <v>FLOORS</v>
      </c>
      <c r="R145" s="844" t="s">
        <v>1188</v>
      </c>
      <c r="S145" s="664"/>
      <c r="T145" s="664"/>
      <c r="U145" s="664"/>
      <c r="V145" s="664"/>
      <c r="W145" s="664"/>
      <c r="X145" s="664"/>
      <c r="Y145" s="664"/>
      <c r="Z145" s="664"/>
      <c r="AA145" s="638"/>
    </row>
    <row r="146" spans="1:27" ht="23.25" customHeight="1" x14ac:dyDescent="0.3">
      <c r="A146" s="619"/>
      <c r="B146" s="619"/>
      <c r="C146" s="673" t="str">
        <f>INDEX('Master sheet'!$A$1:$A$670,MATCH(412,'Master sheet'!$AN$1:$AN$670,0))</f>
        <v>Straw Bale / SNaB (UK) / Wheat &amp; barley straw / R 2.8/inch</v>
      </c>
      <c r="D146" s="17">
        <f>'USER INPUT SHEET'!$D$35</f>
        <v>0</v>
      </c>
      <c r="E146" s="18" t="str">
        <f>'USER INPUT SHEET'!$F$35</f>
        <v>m2</v>
      </c>
      <c r="F146" s="4">
        <v>1</v>
      </c>
      <c r="G146" s="674"/>
      <c r="H146" s="9"/>
      <c r="I146" s="95">
        <f t="shared" ref="I146" si="47">K146-L146</f>
        <v>0</v>
      </c>
      <c r="J146" s="96" t="str">
        <f t="shared" ref="J146" si="48">IF(H146=1,I146,"")</f>
        <v/>
      </c>
      <c r="K146" s="407">
        <f>$D146*$F146*VLOOKUP($C146,'Master sheet'!$A:$AL,13,FALSE)*($E$142/5.678)</f>
        <v>0</v>
      </c>
      <c r="L146" s="97">
        <f>$D146*$F146*VLOOKUP($C146,'Master sheet'!$A:$AL,27,FALSE)*($E$142/5.678)</f>
        <v>0</v>
      </c>
      <c r="M146" s="1552"/>
      <c r="N146" s="1552"/>
      <c r="O146" s="25" t="str">
        <f ca="1">_xlfn.IFNA(VLOOKUP($C146,'Master sheet'!$A:$AR,44,FALSE),"")&amp;""</f>
        <v/>
      </c>
      <c r="Q146" s="241" t="str">
        <f t="shared" ref="Q146" si="49">D$1</f>
        <v>FLOORS</v>
      </c>
      <c r="R146" s="844" t="s">
        <v>1188</v>
      </c>
      <c r="S146" s="638"/>
      <c r="T146" s="638"/>
      <c r="U146" s="638"/>
      <c r="V146" s="638"/>
      <c r="W146" s="638"/>
      <c r="X146" s="638"/>
      <c r="Y146" s="664"/>
      <c r="Z146" s="664"/>
      <c r="AA146" s="638"/>
    </row>
    <row r="147" spans="1:27" s="624" customFormat="1" ht="23.25" customHeight="1" x14ac:dyDescent="0.3">
      <c r="A147" s="619"/>
      <c r="B147" s="619"/>
      <c r="C147" s="673" t="str">
        <f>INDEX('Master sheet'!$A$1:$A$670,MATCH("A54",'Master sheet'!$AN$1:$AN$670,0))</f>
        <v>Hemp fiber batt / NaturFibre / Hemp Wool / R 3.7/inch</v>
      </c>
      <c r="D147" s="17">
        <f>'USER INPUT SHEET'!$D$35</f>
        <v>0</v>
      </c>
      <c r="E147" s="18" t="str">
        <f>'USER INPUT SHEET'!$F$35</f>
        <v>m2</v>
      </c>
      <c r="F147" s="4">
        <v>1</v>
      </c>
      <c r="G147" s="674"/>
      <c r="H147" s="9"/>
      <c r="I147" s="95">
        <f t="shared" si="44"/>
        <v>0</v>
      </c>
      <c r="J147" s="96" t="str">
        <f t="shared" si="45"/>
        <v/>
      </c>
      <c r="K147" s="407">
        <f>$D147*$F147*VLOOKUP($C147,'Master sheet'!$A:$AL,13,FALSE)*($E$142/5.678)</f>
        <v>0</v>
      </c>
      <c r="L147" s="97">
        <f>$D147*$F147*VLOOKUP($C147,'Master sheet'!$A:$AL,27,FALSE)*($E$142/5.678)</f>
        <v>0</v>
      </c>
      <c r="M147" s="1610"/>
      <c r="N147" s="1610"/>
      <c r="O147" s="25" t="str">
        <f>_xlfn.IFNA(VLOOKUP($C147,'Master sheet'!$A:$AR,44,FALSE),"")&amp;""</f>
        <v/>
      </c>
      <c r="P147" s="619"/>
      <c r="Q147" s="241" t="str">
        <f t="shared" si="46"/>
        <v>FLOORS</v>
      </c>
      <c r="R147" s="844" t="s">
        <v>1188</v>
      </c>
      <c r="S147" s="638"/>
      <c r="T147" s="638"/>
      <c r="U147" s="638"/>
      <c r="V147" s="638"/>
      <c r="W147" s="638"/>
      <c r="X147" s="638"/>
      <c r="Y147" s="638"/>
      <c r="Z147" s="638"/>
      <c r="AA147" s="638"/>
    </row>
    <row r="148" spans="1:27" s="624" customFormat="1" ht="23.25" customHeight="1" x14ac:dyDescent="0.3">
      <c r="A148" s="639"/>
      <c r="B148" s="1524" t="s">
        <v>970</v>
      </c>
      <c r="C148" s="1523"/>
      <c r="D148" s="687" t="str">
        <f>IF(LOWER(Setting!rng_language)="english","R-VALUE:","VALEUR R :")</f>
        <v>R-VALUE:</v>
      </c>
      <c r="E148" s="1"/>
      <c r="F148" s="325"/>
      <c r="G148" s="678"/>
      <c r="H148" s="679"/>
      <c r="I148" s="642"/>
      <c r="J148" s="643"/>
      <c r="K148" s="676"/>
      <c r="L148" s="677"/>
      <c r="M148" s="677"/>
      <c r="N148" s="677"/>
      <c r="O148" s="25" t="str">
        <f>_xlfn.IFNA(VLOOKUP($C148,'Master sheet'!$A:$AR,44,FALSE),"")&amp;""</f>
        <v/>
      </c>
      <c r="P148" s="619"/>
      <c r="Q148" s="843"/>
      <c r="R148" s="844" t="s">
        <v>1188</v>
      </c>
      <c r="S148" s="638"/>
      <c r="T148" s="638"/>
      <c r="U148" s="638"/>
      <c r="V148" s="638"/>
      <c r="W148" s="638"/>
      <c r="X148" s="638"/>
      <c r="Y148" s="638"/>
      <c r="Z148" s="638"/>
      <c r="AA148" s="638"/>
    </row>
    <row r="149" spans="1:27" ht="23.25" customHeight="1" x14ac:dyDescent="0.3">
      <c r="A149" s="729"/>
      <c r="B149" s="729"/>
      <c r="C149" s="691" t="s">
        <v>1193</v>
      </c>
      <c r="D149" s="19">
        <f>'USER INPUT SHEET'!$D$35</f>
        <v>0</v>
      </c>
      <c r="E149" s="20" t="str">
        <f>'USER INPUT SHEET'!$F$35</f>
        <v>m2</v>
      </c>
      <c r="F149" s="6">
        <v>1</v>
      </c>
      <c r="G149" s="692"/>
      <c r="H149" s="10"/>
      <c r="I149" s="98">
        <f>K149-L149</f>
        <v>0</v>
      </c>
      <c r="J149" s="91" t="str">
        <f>IF(H149=1,I149,"")</f>
        <v/>
      </c>
      <c r="K149" s="410">
        <f>F149*AVERAGE(K150:K154)</f>
        <v>0</v>
      </c>
      <c r="L149" s="99">
        <f>F149*AVERAGE(L150:L154)</f>
        <v>0</v>
      </c>
      <c r="M149" s="1552"/>
      <c r="N149" s="1552"/>
      <c r="O149" s="25" t="str">
        <f>_xlfn.IFNA(VLOOKUP($C149,'Master sheet'!$A:$AR,44,FALSE),"")&amp;""</f>
        <v/>
      </c>
      <c r="Q149" s="240" t="str">
        <f t="shared" ref="Q149:Q154" si="50">D$1</f>
        <v>FLOORS</v>
      </c>
      <c r="R149" s="844" t="s">
        <v>1188</v>
      </c>
      <c r="S149" s="664"/>
      <c r="T149" s="664"/>
      <c r="U149" s="664"/>
      <c r="V149" s="664"/>
      <c r="W149" s="664"/>
      <c r="X149" s="664"/>
      <c r="Y149" s="664"/>
      <c r="Z149" s="664"/>
      <c r="AA149" s="664"/>
    </row>
    <row r="150" spans="1:27" ht="31.5" customHeight="1" x14ac:dyDescent="0.3">
      <c r="A150" s="823"/>
      <c r="B150" s="619"/>
      <c r="C150" s="669" t="str">
        <f>INDEX('Master sheet'!$A$1:$A$670,MATCH(124,'Master sheet'!$AN$1:$AN$670,0))</f>
        <v>Hempcrete / Cast in-situ / Site mixed / USA / R 2.1/inch, Avg. mix using NHL &amp; PHL</v>
      </c>
      <c r="D150" s="15">
        <f>'USER INPUT SHEET'!$D$35</f>
        <v>0</v>
      </c>
      <c r="E150" s="16" t="str">
        <f>'USER INPUT SHEET'!$F$35</f>
        <v>m2</v>
      </c>
      <c r="F150" s="3">
        <v>1</v>
      </c>
      <c r="G150" s="670"/>
      <c r="H150" s="8"/>
      <c r="I150" s="92">
        <f t="shared" si="44"/>
        <v>0</v>
      </c>
      <c r="J150" s="93" t="str">
        <f t="shared" si="45"/>
        <v/>
      </c>
      <c r="K150" s="406">
        <f>$D150*$F150*VLOOKUP($C150,'Master sheet'!$A:$AL,13,FALSE)*($E$148/5.678)</f>
        <v>0</v>
      </c>
      <c r="L150" s="94">
        <f>$D150*$F150*VLOOKUP($C150,'Master sheet'!$A:$AL,27,FALSE)*($E$148/5.678)</f>
        <v>0</v>
      </c>
      <c r="M150" s="1552"/>
      <c r="N150" s="1552"/>
      <c r="O150" s="25" t="str">
        <f>_xlfn.IFNA(VLOOKUP($C150,'Master sheet'!$A:$AR,44,FALSE),"")&amp;""</f>
        <v>Peer-reviewed LCA, 2020</v>
      </c>
      <c r="Q150" s="240" t="str">
        <f t="shared" si="50"/>
        <v>FLOORS</v>
      </c>
      <c r="R150" s="844" t="s">
        <v>1188</v>
      </c>
      <c r="S150" s="664"/>
      <c r="T150" s="664"/>
      <c r="U150" s="664"/>
      <c r="V150" s="664"/>
      <c r="W150" s="664"/>
      <c r="X150" s="664"/>
      <c r="Y150" s="664"/>
      <c r="Z150" s="664"/>
    </row>
    <row r="151" spans="1:27" ht="31.5" customHeight="1" x14ac:dyDescent="0.3">
      <c r="A151" s="823"/>
      <c r="B151" s="619"/>
      <c r="C151" s="749" t="str">
        <f>INDEX('Master sheet'!$A$1:$A$670,MATCH(123,'Master sheet'!$AN$1:$AN$670,0))</f>
        <v>Hempcrete / Cast in-situ / Site mixed / Europe / R 2.1/inch, Avg. of 9 mixes</v>
      </c>
      <c r="D151" s="250">
        <f>'USER INPUT SHEET'!$D$35</f>
        <v>0</v>
      </c>
      <c r="E151" s="251" t="str">
        <f>'USER INPUT SHEET'!$F$35</f>
        <v>m2</v>
      </c>
      <c r="F151" s="252">
        <v>1</v>
      </c>
      <c r="G151" s="750"/>
      <c r="H151" s="253"/>
      <c r="I151" s="254">
        <f t="shared" ref="I151:I153" si="51">K151-L151</f>
        <v>0</v>
      </c>
      <c r="J151" s="255" t="str">
        <f t="shared" ref="J151:J153" si="52">IF(H151=1,I151,"")</f>
        <v/>
      </c>
      <c r="K151" s="417">
        <f>$D151*$F151*VLOOKUP($C151,'Master sheet'!$A:$AL,13,FALSE)*($E$148/5.678)</f>
        <v>0</v>
      </c>
      <c r="L151" s="256">
        <f>$D151*$F151*VLOOKUP($C151,'Master sheet'!$A:$AL,27,FALSE)*($E$148/5.678)</f>
        <v>0</v>
      </c>
      <c r="M151" s="1552"/>
      <c r="N151" s="1552"/>
      <c r="O151" s="25" t="str">
        <f>_xlfn.IFNA(VLOOKUP($C151,'Master sheet'!$A:$AR,44,FALSE),"")&amp;""</f>
        <v>Peer-reviewed LCA, 2017</v>
      </c>
      <c r="Q151" s="241" t="str">
        <f t="shared" si="50"/>
        <v>FLOORS</v>
      </c>
      <c r="R151" s="844" t="s">
        <v>1188</v>
      </c>
      <c r="S151" s="638"/>
      <c r="T151" s="638"/>
      <c r="U151" s="638"/>
      <c r="V151" s="664"/>
      <c r="W151" s="664"/>
      <c r="X151" s="664"/>
      <c r="Y151" s="664"/>
      <c r="Z151" s="664"/>
    </row>
    <row r="152" spans="1:27" ht="31.5" customHeight="1" x14ac:dyDescent="0.3">
      <c r="A152" s="823"/>
      <c r="B152" s="619"/>
      <c r="C152" s="749" t="str">
        <f>INDEX('Master sheet'!$A$1:$A$670,MATCH("A57",'Master sheet'!$AN$1:$AN$670,0))</f>
        <v>Hempcrete / Cast in-situ / IsoHemp / Europe / R 2.1/inch</v>
      </c>
      <c r="D152" s="250">
        <f>'USER INPUT SHEET'!$D$35</f>
        <v>0</v>
      </c>
      <c r="E152" s="251" t="str">
        <f>'USER INPUT SHEET'!$F$35</f>
        <v>m2</v>
      </c>
      <c r="F152" s="252">
        <v>1</v>
      </c>
      <c r="G152" s="750"/>
      <c r="H152" s="253"/>
      <c r="I152" s="254">
        <f t="shared" si="51"/>
        <v>0</v>
      </c>
      <c r="J152" s="255" t="str">
        <f t="shared" si="52"/>
        <v/>
      </c>
      <c r="K152" s="417">
        <f>$D152*$F152*VLOOKUP($C152,'Master sheet'!$A:$AL,13,FALSE)*($E$148/5.678)</f>
        <v>0</v>
      </c>
      <c r="L152" s="256">
        <f>$D152*$F152*VLOOKUP($C152,'Master sheet'!$A:$AL,27,FALSE)*($E$148/5.678)</f>
        <v>0</v>
      </c>
      <c r="M152" s="1552"/>
      <c r="N152" s="1552"/>
      <c r="O152" s="25" t="str">
        <f>_xlfn.IFNA(VLOOKUP($C152,'Master sheet'!$A:$AR,44,FALSE),"")&amp;""</f>
        <v/>
      </c>
      <c r="Q152" s="241" t="str">
        <f t="shared" si="50"/>
        <v>FLOORS</v>
      </c>
      <c r="R152" s="844" t="s">
        <v>1188</v>
      </c>
      <c r="S152" s="638"/>
      <c r="T152" s="638"/>
      <c r="U152" s="638"/>
      <c r="V152" s="664"/>
      <c r="W152" s="664"/>
      <c r="X152" s="664"/>
      <c r="Y152" s="664"/>
      <c r="Z152" s="664"/>
    </row>
    <row r="153" spans="1:27" ht="31.5" customHeight="1" x14ac:dyDescent="0.3">
      <c r="A153" s="823"/>
      <c r="B153" s="619"/>
      <c r="C153" s="749" t="str">
        <f>INDEX('Master sheet'!$A$1:$A$670,MATCH("A60",'Master sheet'!$AN$1:$AN$670,0))</f>
        <v xml:space="preserve">Hempcrete / Cast in-situ / Senini / Bio Beton Jet / 230 kg/m3 / R 2.7/inch </v>
      </c>
      <c r="D153" s="250">
        <f>'USER INPUT SHEET'!$D$35</f>
        <v>0</v>
      </c>
      <c r="E153" s="251" t="str">
        <f>'USER INPUT SHEET'!$F$35</f>
        <v>m2</v>
      </c>
      <c r="F153" s="252">
        <v>1</v>
      </c>
      <c r="G153" s="750"/>
      <c r="H153" s="253"/>
      <c r="I153" s="254">
        <f t="shared" si="51"/>
        <v>0</v>
      </c>
      <c r="J153" s="255" t="str">
        <f t="shared" si="52"/>
        <v/>
      </c>
      <c r="K153" s="417">
        <f>$D153*$F153*VLOOKUP($C153,'Master sheet'!$A:$AL,13,FALSE)*($E$148/5.678)</f>
        <v>0</v>
      </c>
      <c r="L153" s="256">
        <f>$D153*$F153*VLOOKUP($C153,'Master sheet'!$A:$AL,27,FALSE)*($E$148/5.678)</f>
        <v>0</v>
      </c>
      <c r="M153" s="1552"/>
      <c r="N153" s="1552"/>
      <c r="O153" s="25" t="str">
        <f>_xlfn.IFNA(VLOOKUP($C153,'Master sheet'!$A:$AR,44,FALSE),"")&amp;""</f>
        <v/>
      </c>
      <c r="Q153" s="241" t="str">
        <f t="shared" si="50"/>
        <v>FLOORS</v>
      </c>
      <c r="R153" s="844" t="s">
        <v>1188</v>
      </c>
      <c r="S153" s="638"/>
      <c r="T153" s="638"/>
      <c r="U153" s="638"/>
      <c r="V153" s="664"/>
      <c r="W153" s="664"/>
      <c r="X153" s="664"/>
      <c r="Y153" s="664"/>
      <c r="Z153" s="664"/>
    </row>
    <row r="154" spans="1:27" s="624" customFormat="1" ht="31.2" x14ac:dyDescent="0.3">
      <c r="A154" s="816"/>
      <c r="B154" s="816"/>
      <c r="C154" s="749" t="str">
        <f>INDEX('Master sheet'!$A$1:$A$670,MATCH("A61",'Master sheet'!$AN$1:$AN$670,0))</f>
        <v xml:space="preserve">Hempcrete dry fill / Senini / Bio Beton Pronto / 190 kg/m3 / R 2.7/inch </v>
      </c>
      <c r="D154" s="250">
        <f>'USER INPUT SHEET'!$D$35</f>
        <v>0</v>
      </c>
      <c r="E154" s="251" t="str">
        <f>'USER INPUT SHEET'!$F$35</f>
        <v>m2</v>
      </c>
      <c r="F154" s="252">
        <v>1</v>
      </c>
      <c r="G154" s="750"/>
      <c r="H154" s="253"/>
      <c r="I154" s="254">
        <f t="shared" si="44"/>
        <v>0</v>
      </c>
      <c r="J154" s="255" t="str">
        <f t="shared" si="45"/>
        <v/>
      </c>
      <c r="K154" s="417">
        <f>$D154*$F154*VLOOKUP($C154,'Master sheet'!$A:$AL,13,FALSE)*($E$148/5.678)</f>
        <v>0</v>
      </c>
      <c r="L154" s="256">
        <f>$D154*$F154*VLOOKUP($C154,'Master sheet'!$A:$AL,27,FALSE)*($E$148/5.678)</f>
        <v>0</v>
      </c>
      <c r="M154" s="1552"/>
      <c r="N154" s="1552"/>
      <c r="O154" s="25" t="str">
        <f>_xlfn.IFNA(VLOOKUP($C154,'Master sheet'!$A:$AR,44,FALSE),"")&amp;""</f>
        <v/>
      </c>
      <c r="P154" s="619"/>
      <c r="Q154" s="241" t="str">
        <f t="shared" si="50"/>
        <v>FLOORS</v>
      </c>
      <c r="R154" s="844" t="s">
        <v>1188</v>
      </c>
      <c r="S154" s="638"/>
      <c r="T154" s="638"/>
      <c r="U154" s="638"/>
      <c r="V154" s="638"/>
      <c r="W154" s="638"/>
      <c r="X154" s="638"/>
      <c r="Y154" s="638"/>
      <c r="Z154" s="638"/>
      <c r="AA154" s="619"/>
    </row>
    <row r="155" spans="1:27" ht="15.75" customHeight="1" x14ac:dyDescent="0.3">
      <c r="A155" s="700"/>
      <c r="B155" s="700"/>
      <c r="C155" s="700"/>
      <c r="D155" s="701"/>
      <c r="E155" s="700"/>
      <c r="F155" s="328"/>
      <c r="G155" s="700"/>
      <c r="H155" s="700"/>
      <c r="I155" s="703"/>
      <c r="J155" s="704"/>
      <c r="K155" s="704"/>
      <c r="L155" s="704"/>
      <c r="M155" s="704"/>
      <c r="N155" s="704"/>
      <c r="O155" s="700"/>
    </row>
    <row r="156" spans="1:27" ht="15.75" customHeight="1" x14ac:dyDescent="0.3">
      <c r="A156" s="700"/>
      <c r="B156" s="706" t="s">
        <v>4901</v>
      </c>
      <c r="C156" s="700"/>
      <c r="D156" s="701"/>
      <c r="E156" s="700"/>
      <c r="F156" s="328"/>
      <c r="G156" s="700"/>
      <c r="H156" s="700"/>
      <c r="I156" s="703"/>
      <c r="J156" s="704"/>
      <c r="K156" s="704"/>
      <c r="L156" s="704"/>
      <c r="M156" s="704"/>
      <c r="N156" s="704"/>
      <c r="O156" s="700"/>
    </row>
    <row r="157" spans="1:27" ht="15.75" customHeight="1" x14ac:dyDescent="0.3">
      <c r="A157" s="700"/>
      <c r="B157" s="706" t="s">
        <v>4900</v>
      </c>
      <c r="C157" s="700"/>
      <c r="D157" s="701"/>
      <c r="E157" s="700"/>
      <c r="F157" s="328"/>
      <c r="G157" s="700"/>
      <c r="H157" s="700"/>
      <c r="I157" s="703"/>
      <c r="J157" s="704"/>
      <c r="K157" s="704"/>
      <c r="L157" s="704"/>
      <c r="M157" s="704"/>
      <c r="N157" s="704"/>
      <c r="O157" s="700"/>
    </row>
    <row r="158" spans="1:27" ht="15.75" customHeight="1" x14ac:dyDescent="0.3">
      <c r="A158" s="700"/>
      <c r="B158" s="700"/>
      <c r="C158" s="700"/>
      <c r="D158" s="701"/>
      <c r="E158" s="700"/>
      <c r="F158" s="328"/>
      <c r="G158" s="700"/>
      <c r="H158" s="700"/>
      <c r="I158" s="703"/>
      <c r="J158" s="704"/>
      <c r="K158" s="704"/>
      <c r="L158" s="704"/>
      <c r="M158" s="704"/>
      <c r="N158" s="704"/>
      <c r="O158" s="700"/>
    </row>
    <row r="159" spans="1:27" ht="15.75" customHeight="1" x14ac:dyDescent="0.3">
      <c r="A159" s="700"/>
      <c r="B159" s="700"/>
      <c r="C159" s="700"/>
      <c r="D159" s="701"/>
      <c r="E159" s="700"/>
      <c r="F159" s="328"/>
      <c r="G159" s="700"/>
      <c r="H159" s="700"/>
      <c r="I159" s="703"/>
      <c r="J159" s="704"/>
      <c r="K159" s="704"/>
      <c r="L159" s="704"/>
      <c r="M159" s="704"/>
      <c r="N159" s="704"/>
      <c r="O159" s="700"/>
    </row>
    <row r="160" spans="1:27" ht="15.75" customHeight="1" x14ac:dyDescent="0.3">
      <c r="A160" s="700"/>
      <c r="B160" s="700"/>
      <c r="C160" s="700"/>
      <c r="D160" s="701"/>
      <c r="E160" s="700"/>
      <c r="F160" s="328"/>
      <c r="G160" s="700"/>
      <c r="H160" s="700"/>
      <c r="I160" s="703"/>
      <c r="J160" s="704"/>
      <c r="K160" s="704"/>
      <c r="L160" s="704"/>
      <c r="M160" s="704"/>
      <c r="N160" s="704"/>
      <c r="O160" s="700"/>
    </row>
    <row r="161" spans="1:15" ht="15.75" customHeight="1" x14ac:dyDescent="0.3">
      <c r="A161" s="700"/>
      <c r="B161" s="700"/>
      <c r="C161" s="700"/>
      <c r="D161" s="701"/>
      <c r="E161" s="700"/>
      <c r="F161" s="328"/>
      <c r="G161" s="700"/>
      <c r="H161" s="700"/>
      <c r="I161" s="703"/>
      <c r="J161" s="704"/>
      <c r="K161" s="704"/>
      <c r="L161" s="704"/>
      <c r="M161" s="704"/>
      <c r="N161" s="704"/>
      <c r="O161" s="700"/>
    </row>
    <row r="162" spans="1:15" ht="15.75" customHeight="1" x14ac:dyDescent="0.3">
      <c r="A162" s="700"/>
      <c r="B162" s="700"/>
      <c r="C162" s="700"/>
      <c r="D162" s="701"/>
      <c r="E162" s="700"/>
      <c r="F162" s="328"/>
      <c r="G162" s="700"/>
      <c r="H162" s="700"/>
      <c r="I162" s="703"/>
      <c r="J162" s="704"/>
      <c r="K162" s="704"/>
      <c r="L162" s="704"/>
      <c r="M162" s="704"/>
      <c r="N162" s="704"/>
      <c r="O162" s="700"/>
    </row>
    <row r="163" spans="1:15" ht="15.75" customHeight="1" x14ac:dyDescent="0.3">
      <c r="A163" s="700"/>
      <c r="B163" s="700"/>
      <c r="C163" s="700"/>
      <c r="D163" s="701"/>
      <c r="E163" s="700"/>
      <c r="F163" s="328"/>
      <c r="G163" s="700"/>
      <c r="H163" s="700"/>
      <c r="I163" s="703"/>
      <c r="J163" s="704"/>
      <c r="K163" s="704"/>
      <c r="L163" s="704"/>
      <c r="M163" s="704"/>
      <c r="N163" s="704"/>
      <c r="O163" s="700"/>
    </row>
    <row r="164" spans="1:15" ht="15.75" customHeight="1" x14ac:dyDescent="0.3">
      <c r="A164" s="700"/>
      <c r="B164" s="700"/>
      <c r="C164" s="700"/>
      <c r="D164" s="701"/>
      <c r="E164" s="700"/>
      <c r="F164" s="328"/>
      <c r="G164" s="700"/>
      <c r="H164" s="700"/>
      <c r="I164" s="703"/>
      <c r="J164" s="704"/>
      <c r="K164" s="704"/>
      <c r="L164" s="704"/>
      <c r="M164" s="704"/>
      <c r="N164" s="704"/>
      <c r="O164" s="700"/>
    </row>
    <row r="165" spans="1:15" ht="15.75" customHeight="1" x14ac:dyDescent="0.3">
      <c r="A165" s="700"/>
      <c r="B165" s="700"/>
      <c r="C165" s="700"/>
      <c r="D165" s="701"/>
      <c r="E165" s="700"/>
      <c r="F165" s="328"/>
      <c r="G165" s="700"/>
      <c r="H165" s="700"/>
      <c r="I165" s="703"/>
      <c r="J165" s="704"/>
      <c r="K165" s="704"/>
      <c r="L165" s="704"/>
      <c r="M165" s="704"/>
      <c r="N165" s="704"/>
      <c r="O165" s="700"/>
    </row>
    <row r="166" spans="1:15" ht="15.75" customHeight="1" x14ac:dyDescent="0.3">
      <c r="A166" s="700"/>
      <c r="B166" s="700"/>
      <c r="C166" s="700"/>
      <c r="D166" s="701"/>
      <c r="E166" s="700"/>
      <c r="F166" s="328"/>
      <c r="G166" s="700"/>
      <c r="H166" s="700"/>
      <c r="I166" s="703"/>
      <c r="J166" s="704"/>
      <c r="K166" s="704"/>
      <c r="L166" s="704"/>
      <c r="M166" s="704"/>
      <c r="N166" s="704"/>
      <c r="O166" s="700"/>
    </row>
    <row r="167" spans="1:15" ht="15.75" customHeight="1" x14ac:dyDescent="0.3">
      <c r="A167" s="700"/>
      <c r="B167" s="700"/>
      <c r="C167" s="700"/>
      <c r="D167" s="701"/>
      <c r="E167" s="700"/>
      <c r="F167" s="328"/>
      <c r="G167" s="700"/>
      <c r="H167" s="700"/>
      <c r="I167" s="703"/>
      <c r="J167" s="704"/>
      <c r="K167" s="704"/>
      <c r="L167" s="704"/>
      <c r="M167" s="704"/>
      <c r="N167" s="704"/>
      <c r="O167" s="700"/>
    </row>
    <row r="168" spans="1:15" ht="15.75" customHeight="1" x14ac:dyDescent="0.3">
      <c r="A168" s="700"/>
      <c r="B168" s="700"/>
      <c r="C168" s="700"/>
      <c r="D168" s="701"/>
      <c r="E168" s="700"/>
      <c r="F168" s="328"/>
      <c r="G168" s="700"/>
      <c r="H168" s="700"/>
      <c r="I168" s="703"/>
      <c r="J168" s="704"/>
      <c r="K168" s="704"/>
      <c r="L168" s="704"/>
      <c r="M168" s="704"/>
      <c r="N168" s="704"/>
      <c r="O168" s="700"/>
    </row>
    <row r="169" spans="1:15" ht="15.75" customHeight="1" x14ac:dyDescent="0.3">
      <c r="A169" s="700"/>
      <c r="B169" s="700"/>
      <c r="C169" s="700"/>
      <c r="D169" s="701"/>
      <c r="E169" s="700"/>
      <c r="F169" s="328"/>
      <c r="G169" s="700"/>
      <c r="H169" s="700"/>
      <c r="I169" s="703"/>
      <c r="J169" s="704"/>
      <c r="K169" s="704"/>
      <c r="L169" s="704"/>
      <c r="M169" s="704"/>
      <c r="N169" s="704"/>
      <c r="O169" s="700"/>
    </row>
    <row r="170" spans="1:15" ht="15.75" customHeight="1" x14ac:dyDescent="0.3">
      <c r="A170" s="700"/>
      <c r="B170" s="700"/>
      <c r="C170" s="700"/>
      <c r="D170" s="701"/>
      <c r="E170" s="700"/>
      <c r="F170" s="328"/>
      <c r="G170" s="700"/>
      <c r="H170" s="700"/>
      <c r="I170" s="703"/>
      <c r="J170" s="704"/>
      <c r="K170" s="704"/>
      <c r="L170" s="704"/>
      <c r="M170" s="704"/>
      <c r="N170" s="704"/>
      <c r="O170" s="700"/>
    </row>
    <row r="171" spans="1:15" ht="15.75" customHeight="1" x14ac:dyDescent="0.3">
      <c r="A171" s="700"/>
      <c r="B171" s="700"/>
      <c r="C171" s="700"/>
      <c r="D171" s="701"/>
      <c r="E171" s="700"/>
      <c r="F171" s="328"/>
      <c r="G171" s="700"/>
      <c r="H171" s="700"/>
      <c r="I171" s="703"/>
      <c r="J171" s="704"/>
      <c r="K171" s="704"/>
      <c r="L171" s="704"/>
      <c r="M171" s="704"/>
      <c r="N171" s="704"/>
      <c r="O171" s="700"/>
    </row>
    <row r="172" spans="1:15" ht="15.75" customHeight="1" x14ac:dyDescent="0.3">
      <c r="A172" s="700"/>
      <c r="B172" s="700"/>
      <c r="C172" s="700"/>
      <c r="D172" s="701"/>
      <c r="E172" s="700"/>
      <c r="F172" s="328"/>
      <c r="G172" s="700"/>
      <c r="H172" s="700"/>
      <c r="I172" s="703"/>
      <c r="J172" s="704"/>
      <c r="K172" s="704"/>
      <c r="L172" s="704"/>
      <c r="M172" s="704"/>
      <c r="N172" s="704"/>
      <c r="O172" s="700"/>
    </row>
    <row r="173" spans="1:15" ht="15.75" customHeight="1" x14ac:dyDescent="0.3">
      <c r="A173" s="700"/>
      <c r="B173" s="700"/>
      <c r="C173" s="700"/>
      <c r="D173" s="701"/>
      <c r="E173" s="700"/>
      <c r="F173" s="328"/>
      <c r="G173" s="700"/>
      <c r="H173" s="700"/>
      <c r="I173" s="703"/>
      <c r="J173" s="704"/>
      <c r="K173" s="704"/>
      <c r="L173" s="704"/>
      <c r="M173" s="704"/>
      <c r="N173" s="704"/>
      <c r="O173" s="700"/>
    </row>
    <row r="174" spans="1:15" ht="15.75" customHeight="1" x14ac:dyDescent="0.3">
      <c r="A174" s="700"/>
      <c r="B174" s="700"/>
      <c r="C174" s="700"/>
      <c r="D174" s="701"/>
      <c r="E174" s="700"/>
      <c r="F174" s="328"/>
      <c r="G174" s="700"/>
      <c r="H174" s="700"/>
      <c r="I174" s="703"/>
      <c r="J174" s="704"/>
      <c r="K174" s="704"/>
      <c r="L174" s="704"/>
      <c r="M174" s="704"/>
      <c r="N174" s="704"/>
      <c r="O174" s="700"/>
    </row>
    <row r="175" spans="1:15" ht="15.75" customHeight="1" x14ac:dyDescent="0.3">
      <c r="A175" s="700"/>
      <c r="B175" s="700"/>
      <c r="C175" s="700"/>
      <c r="D175" s="701"/>
      <c r="E175" s="700"/>
      <c r="F175" s="328"/>
      <c r="G175" s="700"/>
      <c r="H175" s="700"/>
      <c r="I175" s="703"/>
      <c r="J175" s="704"/>
      <c r="K175" s="704"/>
      <c r="L175" s="704"/>
      <c r="M175" s="704"/>
      <c r="N175" s="704"/>
      <c r="O175" s="700"/>
    </row>
    <row r="176" spans="1:15" ht="15.75" customHeight="1" x14ac:dyDescent="0.3">
      <c r="A176" s="700"/>
      <c r="B176" s="700"/>
      <c r="C176" s="700"/>
      <c r="D176" s="701"/>
      <c r="E176" s="700"/>
      <c r="F176" s="328"/>
      <c r="G176" s="700"/>
      <c r="H176" s="700"/>
      <c r="I176" s="703"/>
      <c r="J176" s="704"/>
      <c r="K176" s="704"/>
      <c r="L176" s="704"/>
      <c r="M176" s="704"/>
      <c r="N176" s="704"/>
      <c r="O176" s="700"/>
    </row>
    <row r="177" spans="1:15" ht="15.75" customHeight="1" x14ac:dyDescent="0.3">
      <c r="A177" s="700"/>
      <c r="B177" s="700"/>
      <c r="C177" s="700"/>
      <c r="D177" s="701"/>
      <c r="E177" s="700"/>
      <c r="F177" s="328"/>
      <c r="G177" s="700"/>
      <c r="H177" s="700"/>
      <c r="I177" s="703"/>
      <c r="J177" s="704"/>
      <c r="K177" s="704"/>
      <c r="L177" s="704"/>
      <c r="M177" s="704"/>
      <c r="N177" s="704"/>
      <c r="O177" s="700"/>
    </row>
    <row r="178" spans="1:15" ht="15.75" customHeight="1" x14ac:dyDescent="0.3">
      <c r="A178" s="700"/>
      <c r="B178" s="700"/>
      <c r="C178" s="700"/>
      <c r="D178" s="701"/>
      <c r="E178" s="700"/>
      <c r="F178" s="328"/>
      <c r="G178" s="700"/>
      <c r="H178" s="700"/>
      <c r="I178" s="703"/>
      <c r="J178" s="704"/>
      <c r="K178" s="704"/>
      <c r="L178" s="704"/>
      <c r="M178" s="704"/>
      <c r="N178" s="704"/>
      <c r="O178" s="700"/>
    </row>
    <row r="179" spans="1:15" ht="15.75" customHeight="1" x14ac:dyDescent="0.3">
      <c r="A179" s="700"/>
      <c r="B179" s="700"/>
      <c r="C179" s="700"/>
      <c r="D179" s="701"/>
      <c r="E179" s="700"/>
      <c r="F179" s="328"/>
      <c r="G179" s="700"/>
      <c r="H179" s="700"/>
      <c r="I179" s="703"/>
      <c r="J179" s="704"/>
      <c r="K179" s="704"/>
      <c r="L179" s="704"/>
      <c r="M179" s="704"/>
      <c r="N179" s="704"/>
      <c r="O179" s="700"/>
    </row>
    <row r="180" spans="1:15" ht="15.75" customHeight="1" x14ac:dyDescent="0.3">
      <c r="A180" s="700"/>
      <c r="B180" s="700"/>
      <c r="C180" s="700"/>
      <c r="D180" s="701"/>
      <c r="E180" s="700"/>
      <c r="F180" s="328"/>
      <c r="G180" s="700"/>
      <c r="H180" s="700"/>
      <c r="I180" s="703"/>
      <c r="J180" s="704"/>
      <c r="K180" s="704"/>
      <c r="L180" s="704"/>
      <c r="M180" s="704"/>
      <c r="N180" s="704"/>
      <c r="O180" s="700"/>
    </row>
    <row r="181" spans="1:15" ht="15.75" customHeight="1" x14ac:dyDescent="0.3">
      <c r="A181" s="700"/>
      <c r="B181" s="700"/>
      <c r="C181" s="700"/>
      <c r="D181" s="701"/>
      <c r="E181" s="700"/>
      <c r="F181" s="328"/>
      <c r="G181" s="700"/>
      <c r="H181" s="700"/>
      <c r="I181" s="703"/>
      <c r="J181" s="704"/>
      <c r="K181" s="704"/>
      <c r="L181" s="704"/>
      <c r="M181" s="704"/>
      <c r="N181" s="704"/>
      <c r="O181" s="700"/>
    </row>
    <row r="182" spans="1:15" ht="15.75" customHeight="1" x14ac:dyDescent="0.3">
      <c r="A182" s="700"/>
      <c r="B182" s="700"/>
      <c r="C182" s="700"/>
      <c r="D182" s="701"/>
      <c r="E182" s="700"/>
      <c r="F182" s="328"/>
      <c r="G182" s="700"/>
      <c r="H182" s="700"/>
      <c r="I182" s="703"/>
      <c r="J182" s="704"/>
      <c r="K182" s="704"/>
      <c r="L182" s="704"/>
      <c r="M182" s="704"/>
      <c r="N182" s="704"/>
      <c r="O182" s="700"/>
    </row>
    <row r="183" spans="1:15" ht="15.75" customHeight="1" x14ac:dyDescent="0.3">
      <c r="A183" s="700"/>
      <c r="B183" s="700"/>
      <c r="C183" s="700"/>
      <c r="D183" s="701"/>
      <c r="E183" s="700"/>
      <c r="F183" s="328"/>
      <c r="G183" s="700"/>
      <c r="H183" s="700"/>
      <c r="I183" s="703"/>
      <c r="J183" s="704"/>
      <c r="K183" s="704"/>
      <c r="L183" s="704"/>
      <c r="M183" s="704"/>
      <c r="N183" s="704"/>
      <c r="O183" s="700"/>
    </row>
    <row r="184" spans="1:15" ht="15.75" customHeight="1" x14ac:dyDescent="0.3">
      <c r="A184" s="700"/>
      <c r="B184" s="700"/>
      <c r="C184" s="700"/>
      <c r="D184" s="701"/>
      <c r="E184" s="700"/>
      <c r="F184" s="328"/>
      <c r="G184" s="700"/>
      <c r="H184" s="700"/>
      <c r="I184" s="703"/>
      <c r="J184" s="704"/>
      <c r="K184" s="704"/>
      <c r="L184" s="704"/>
      <c r="M184" s="704"/>
      <c r="N184" s="704"/>
      <c r="O184" s="700"/>
    </row>
    <row r="185" spans="1:15" ht="15.75" customHeight="1" x14ac:dyDescent="0.3">
      <c r="A185" s="700"/>
      <c r="B185" s="700"/>
      <c r="C185" s="700"/>
      <c r="D185" s="701"/>
      <c r="E185" s="700"/>
      <c r="F185" s="328"/>
      <c r="G185" s="700"/>
      <c r="H185" s="700"/>
      <c r="I185" s="703"/>
      <c r="J185" s="704"/>
      <c r="K185" s="704"/>
      <c r="L185" s="704"/>
      <c r="M185" s="704"/>
      <c r="N185" s="704"/>
      <c r="O185" s="700"/>
    </row>
    <row r="186" spans="1:15" ht="15.75" customHeight="1" x14ac:dyDescent="0.3">
      <c r="A186" s="700"/>
      <c r="B186" s="700"/>
      <c r="C186" s="700"/>
      <c r="D186" s="701"/>
      <c r="E186" s="700"/>
      <c r="F186" s="328"/>
      <c r="G186" s="700"/>
      <c r="H186" s="700"/>
      <c r="I186" s="703"/>
      <c r="J186" s="704"/>
      <c r="K186" s="704"/>
      <c r="L186" s="704"/>
      <c r="M186" s="704"/>
      <c r="N186" s="704"/>
      <c r="O186" s="700"/>
    </row>
    <row r="187" spans="1:15" ht="15.75" customHeight="1" x14ac:dyDescent="0.3">
      <c r="A187" s="700"/>
      <c r="B187" s="700"/>
      <c r="C187" s="700"/>
      <c r="D187" s="701"/>
      <c r="E187" s="700"/>
      <c r="F187" s="328"/>
      <c r="G187" s="700"/>
      <c r="H187" s="700"/>
      <c r="I187" s="703"/>
      <c r="J187" s="704"/>
      <c r="K187" s="704"/>
      <c r="L187" s="704"/>
      <c r="M187" s="704"/>
      <c r="N187" s="704"/>
      <c r="O187" s="700"/>
    </row>
    <row r="188" spans="1:15" ht="15.75" customHeight="1" x14ac:dyDescent="0.3">
      <c r="A188" s="700"/>
      <c r="B188" s="700"/>
      <c r="C188" s="700"/>
      <c r="D188" s="701"/>
      <c r="E188" s="700"/>
      <c r="F188" s="328"/>
      <c r="G188" s="700"/>
      <c r="H188" s="700"/>
      <c r="I188" s="703"/>
      <c r="J188" s="704"/>
      <c r="K188" s="704"/>
      <c r="L188" s="704"/>
      <c r="M188" s="704"/>
      <c r="N188" s="704"/>
      <c r="O188" s="700"/>
    </row>
    <row r="189" spans="1:15" ht="15.75" customHeight="1" x14ac:dyDescent="0.3">
      <c r="A189" s="700"/>
      <c r="B189" s="700"/>
      <c r="C189" s="700"/>
      <c r="D189" s="701"/>
      <c r="E189" s="700"/>
      <c r="F189" s="328"/>
      <c r="G189" s="700"/>
      <c r="H189" s="700"/>
      <c r="I189" s="703"/>
      <c r="J189" s="704"/>
      <c r="K189" s="704"/>
      <c r="L189" s="704"/>
      <c r="M189" s="704"/>
      <c r="N189" s="704"/>
      <c r="O189" s="700"/>
    </row>
    <row r="190" spans="1:15" ht="15.75" customHeight="1" x14ac:dyDescent="0.3">
      <c r="A190" s="700"/>
      <c r="B190" s="700"/>
      <c r="C190" s="700"/>
      <c r="D190" s="701"/>
      <c r="E190" s="700"/>
      <c r="F190" s="328"/>
      <c r="G190" s="700"/>
      <c r="H190" s="700"/>
      <c r="I190" s="703"/>
      <c r="J190" s="704"/>
      <c r="K190" s="704"/>
      <c r="L190" s="704"/>
      <c r="M190" s="704"/>
      <c r="N190" s="704"/>
      <c r="O190" s="700"/>
    </row>
    <row r="191" spans="1:15" ht="15.75" customHeight="1" x14ac:dyDescent="0.3">
      <c r="A191" s="700"/>
      <c r="B191" s="700"/>
      <c r="C191" s="700"/>
      <c r="D191" s="701"/>
      <c r="E191" s="700"/>
      <c r="F191" s="328"/>
      <c r="G191" s="700"/>
      <c r="H191" s="700"/>
      <c r="I191" s="703"/>
      <c r="J191" s="704"/>
      <c r="K191" s="704"/>
      <c r="L191" s="704"/>
      <c r="M191" s="704"/>
      <c r="N191" s="704"/>
      <c r="O191" s="700"/>
    </row>
    <row r="192" spans="1:15" ht="15.75" customHeight="1" x14ac:dyDescent="0.3">
      <c r="A192" s="700"/>
      <c r="B192" s="700"/>
      <c r="C192" s="700"/>
      <c r="D192" s="701"/>
      <c r="E192" s="700"/>
      <c r="F192" s="328"/>
      <c r="G192" s="700"/>
      <c r="H192" s="700"/>
      <c r="I192" s="703"/>
      <c r="J192" s="704"/>
      <c r="K192" s="704"/>
      <c r="L192" s="704"/>
      <c r="M192" s="704"/>
      <c r="N192" s="704"/>
      <c r="O192" s="700"/>
    </row>
    <row r="193" spans="1:15" ht="15.75" customHeight="1" x14ac:dyDescent="0.3">
      <c r="A193" s="700"/>
      <c r="B193" s="700"/>
      <c r="C193" s="700"/>
      <c r="D193" s="701"/>
      <c r="E193" s="700"/>
      <c r="F193" s="328"/>
      <c r="G193" s="700"/>
      <c r="H193" s="700"/>
      <c r="I193" s="703"/>
      <c r="J193" s="704"/>
      <c r="K193" s="704"/>
      <c r="L193" s="704"/>
      <c r="M193" s="704"/>
      <c r="N193" s="704"/>
      <c r="O193" s="700"/>
    </row>
    <row r="194" spans="1:15" ht="15.75" customHeight="1" x14ac:dyDescent="0.3">
      <c r="A194" s="700"/>
      <c r="B194" s="700"/>
      <c r="C194" s="700"/>
      <c r="D194" s="701"/>
      <c r="E194" s="700"/>
      <c r="F194" s="328"/>
      <c r="G194" s="700"/>
      <c r="H194" s="700"/>
      <c r="I194" s="703"/>
      <c r="J194" s="704"/>
      <c r="K194" s="704"/>
      <c r="L194" s="704"/>
      <c r="M194" s="704"/>
      <c r="N194" s="704"/>
      <c r="O194" s="700"/>
    </row>
    <row r="195" spans="1:15" ht="15.75" customHeight="1" x14ac:dyDescent="0.3">
      <c r="A195" s="700"/>
      <c r="B195" s="700"/>
      <c r="C195" s="700"/>
      <c r="D195" s="701"/>
      <c r="E195" s="700"/>
      <c r="F195" s="328"/>
      <c r="G195" s="700"/>
      <c r="H195" s="700"/>
      <c r="I195" s="703"/>
      <c r="J195" s="704"/>
      <c r="K195" s="704"/>
      <c r="L195" s="704"/>
      <c r="M195" s="704"/>
      <c r="N195" s="704"/>
      <c r="O195" s="700"/>
    </row>
    <row r="196" spans="1:15" ht="15.75" customHeight="1" x14ac:dyDescent="0.3">
      <c r="A196" s="700"/>
      <c r="B196" s="700"/>
      <c r="C196" s="700"/>
      <c r="D196" s="701"/>
      <c r="E196" s="700"/>
      <c r="F196" s="328"/>
      <c r="G196" s="700"/>
      <c r="H196" s="700"/>
      <c r="I196" s="703"/>
      <c r="J196" s="704"/>
      <c r="K196" s="704"/>
      <c r="L196" s="704"/>
      <c r="M196" s="704"/>
      <c r="N196" s="704"/>
      <c r="O196" s="700"/>
    </row>
    <row r="197" spans="1:15" ht="15.75" customHeight="1" x14ac:dyDescent="0.3">
      <c r="A197" s="700"/>
      <c r="B197" s="700"/>
      <c r="C197" s="700"/>
      <c r="D197" s="701"/>
      <c r="E197" s="700"/>
      <c r="F197" s="328"/>
      <c r="G197" s="700"/>
      <c r="H197" s="700"/>
      <c r="I197" s="703"/>
      <c r="J197" s="704"/>
      <c r="K197" s="704"/>
      <c r="L197" s="704"/>
      <c r="M197" s="704"/>
      <c r="N197" s="704"/>
      <c r="O197" s="700"/>
    </row>
    <row r="198" spans="1:15" ht="15.75" customHeight="1" x14ac:dyDescent="0.3">
      <c r="A198" s="700"/>
      <c r="B198" s="700"/>
      <c r="C198" s="700"/>
      <c r="D198" s="701"/>
      <c r="E198" s="700"/>
      <c r="F198" s="328"/>
      <c r="G198" s="700"/>
      <c r="H198" s="700"/>
      <c r="I198" s="703"/>
      <c r="J198" s="704"/>
      <c r="K198" s="704"/>
      <c r="L198" s="704"/>
      <c r="M198" s="704"/>
      <c r="N198" s="704"/>
      <c r="O198" s="700"/>
    </row>
    <row r="199" spans="1:15" ht="15.75" customHeight="1" x14ac:dyDescent="0.3">
      <c r="A199" s="700"/>
      <c r="B199" s="700"/>
      <c r="C199" s="700"/>
      <c r="D199" s="701"/>
      <c r="E199" s="700"/>
      <c r="F199" s="328"/>
      <c r="G199" s="700"/>
      <c r="H199" s="700"/>
      <c r="I199" s="703"/>
      <c r="J199" s="704"/>
      <c r="K199" s="704"/>
      <c r="L199" s="704"/>
      <c r="M199" s="704"/>
      <c r="N199" s="704"/>
      <c r="O199" s="700"/>
    </row>
    <row r="200" spans="1:15" ht="15.75" customHeight="1" x14ac:dyDescent="0.3">
      <c r="A200" s="700"/>
      <c r="B200" s="700"/>
      <c r="C200" s="700"/>
      <c r="D200" s="701"/>
      <c r="E200" s="700"/>
      <c r="F200" s="328"/>
      <c r="G200" s="700"/>
      <c r="H200" s="700"/>
      <c r="I200" s="703"/>
      <c r="J200" s="704"/>
      <c r="K200" s="704"/>
      <c r="L200" s="704"/>
      <c r="M200" s="704"/>
      <c r="N200" s="704"/>
      <c r="O200" s="700"/>
    </row>
    <row r="201" spans="1:15" ht="15.75" customHeight="1" x14ac:dyDescent="0.3">
      <c r="A201" s="700"/>
      <c r="B201" s="700"/>
      <c r="C201" s="700"/>
      <c r="D201" s="701"/>
      <c r="E201" s="700"/>
      <c r="F201" s="328"/>
      <c r="G201" s="700"/>
      <c r="H201" s="700"/>
      <c r="I201" s="703"/>
      <c r="J201" s="704"/>
      <c r="K201" s="704"/>
      <c r="L201" s="704"/>
      <c r="M201" s="704"/>
      <c r="N201" s="704"/>
      <c r="O201" s="700"/>
    </row>
    <row r="202" spans="1:15" ht="15.75" customHeight="1" x14ac:dyDescent="0.3">
      <c r="A202" s="700"/>
      <c r="B202" s="700"/>
      <c r="C202" s="700"/>
      <c r="D202" s="701"/>
      <c r="E202" s="700"/>
      <c r="F202" s="328"/>
      <c r="G202" s="700"/>
      <c r="H202" s="700"/>
      <c r="I202" s="703"/>
      <c r="J202" s="704"/>
      <c r="K202" s="704"/>
      <c r="L202" s="704"/>
      <c r="M202" s="704"/>
      <c r="N202" s="704"/>
      <c r="O202" s="700"/>
    </row>
    <row r="203" spans="1:15" ht="15.75" customHeight="1" x14ac:dyDescent="0.3">
      <c r="A203" s="700"/>
      <c r="B203" s="700"/>
      <c r="C203" s="700"/>
      <c r="D203" s="701"/>
      <c r="E203" s="700"/>
      <c r="F203" s="328"/>
      <c r="G203" s="700"/>
      <c r="H203" s="700"/>
      <c r="I203" s="703"/>
      <c r="J203" s="704"/>
      <c r="K203" s="704"/>
      <c r="L203" s="704"/>
      <c r="M203" s="704"/>
      <c r="N203" s="704"/>
      <c r="O203" s="700"/>
    </row>
    <row r="204" spans="1:15" ht="15.75" customHeight="1" x14ac:dyDescent="0.3">
      <c r="A204" s="700"/>
      <c r="B204" s="700"/>
      <c r="C204" s="700"/>
      <c r="D204" s="701"/>
      <c r="E204" s="700"/>
      <c r="F204" s="328"/>
      <c r="G204" s="700"/>
      <c r="H204" s="700"/>
      <c r="I204" s="703"/>
      <c r="J204" s="704"/>
      <c r="K204" s="704"/>
      <c r="L204" s="704"/>
      <c r="M204" s="704"/>
      <c r="N204" s="704"/>
      <c r="O204" s="700"/>
    </row>
    <row r="205" spans="1:15" ht="15.75" customHeight="1" x14ac:dyDescent="0.3">
      <c r="A205" s="700"/>
      <c r="B205" s="700"/>
      <c r="C205" s="700"/>
      <c r="D205" s="701"/>
      <c r="E205" s="700"/>
      <c r="F205" s="328"/>
      <c r="G205" s="700"/>
      <c r="H205" s="700"/>
      <c r="I205" s="703"/>
      <c r="J205" s="704"/>
      <c r="K205" s="704"/>
      <c r="L205" s="704"/>
      <c r="M205" s="704"/>
      <c r="N205" s="704"/>
      <c r="O205" s="700"/>
    </row>
    <row r="206" spans="1:15" ht="15.75" customHeight="1" x14ac:dyDescent="0.3">
      <c r="A206" s="700"/>
      <c r="B206" s="700"/>
      <c r="C206" s="700"/>
      <c r="D206" s="701"/>
      <c r="E206" s="700"/>
      <c r="F206" s="328"/>
      <c r="G206" s="700"/>
      <c r="H206" s="700"/>
      <c r="I206" s="703"/>
      <c r="J206" s="704"/>
      <c r="K206" s="704"/>
      <c r="L206" s="704"/>
      <c r="M206" s="704"/>
      <c r="N206" s="704"/>
      <c r="O206" s="700"/>
    </row>
    <row r="207" spans="1:15" ht="15.75" customHeight="1" x14ac:dyDescent="0.3">
      <c r="A207" s="700"/>
      <c r="B207" s="700"/>
      <c r="C207" s="700"/>
      <c r="D207" s="701"/>
      <c r="E207" s="700"/>
      <c r="F207" s="328"/>
      <c r="G207" s="700"/>
      <c r="H207" s="700"/>
      <c r="I207" s="703"/>
      <c r="J207" s="704"/>
      <c r="K207" s="704"/>
      <c r="L207" s="704"/>
      <c r="M207" s="704"/>
      <c r="N207" s="704"/>
      <c r="O207" s="700"/>
    </row>
    <row r="208" spans="1:15" ht="15.75" customHeight="1" x14ac:dyDescent="0.3">
      <c r="A208" s="700"/>
      <c r="B208" s="700"/>
      <c r="C208" s="700"/>
      <c r="D208" s="701"/>
      <c r="E208" s="700"/>
      <c r="F208" s="328"/>
      <c r="G208" s="700"/>
      <c r="H208" s="700"/>
      <c r="I208" s="703"/>
      <c r="J208" s="704"/>
      <c r="K208" s="704"/>
      <c r="L208" s="704"/>
      <c r="M208" s="704"/>
      <c r="N208" s="704"/>
      <c r="O208" s="700"/>
    </row>
    <row r="209" spans="1:15" ht="15.75" customHeight="1" x14ac:dyDescent="0.3">
      <c r="A209" s="700"/>
      <c r="B209" s="700"/>
      <c r="C209" s="700"/>
      <c r="D209" s="701"/>
      <c r="E209" s="700"/>
      <c r="F209" s="328"/>
      <c r="G209" s="700"/>
      <c r="H209" s="700"/>
      <c r="I209" s="703"/>
      <c r="J209" s="704"/>
      <c r="K209" s="704"/>
      <c r="L209" s="704"/>
      <c r="M209" s="704"/>
      <c r="N209" s="704"/>
      <c r="O209" s="700"/>
    </row>
    <row r="210" spans="1:15" ht="15.75" customHeight="1" x14ac:dyDescent="0.3">
      <c r="A210" s="700"/>
      <c r="B210" s="700"/>
      <c r="C210" s="700"/>
      <c r="D210" s="701"/>
      <c r="E210" s="700"/>
      <c r="F210" s="328"/>
      <c r="G210" s="700"/>
      <c r="H210" s="700"/>
      <c r="I210" s="703"/>
      <c r="J210" s="704"/>
      <c r="K210" s="704"/>
      <c r="L210" s="704"/>
      <c r="M210" s="704"/>
      <c r="N210" s="704"/>
      <c r="O210" s="700"/>
    </row>
    <row r="211" spans="1:15" ht="15.75" customHeight="1" x14ac:dyDescent="0.3">
      <c r="A211" s="700"/>
      <c r="B211" s="700"/>
      <c r="C211" s="700"/>
      <c r="D211" s="701"/>
      <c r="E211" s="700"/>
      <c r="F211" s="328"/>
      <c r="G211" s="700"/>
      <c r="H211" s="700"/>
      <c r="I211" s="703"/>
      <c r="J211" s="704"/>
      <c r="K211" s="704"/>
      <c r="L211" s="704"/>
      <c r="M211" s="704"/>
      <c r="N211" s="704"/>
      <c r="O211" s="700"/>
    </row>
    <row r="212" spans="1:15" ht="15.75" customHeight="1" x14ac:dyDescent="0.3">
      <c r="A212" s="700"/>
      <c r="B212" s="700"/>
      <c r="C212" s="700"/>
      <c r="D212" s="701"/>
      <c r="E212" s="700"/>
      <c r="F212" s="328"/>
      <c r="G212" s="700"/>
      <c r="H212" s="700"/>
      <c r="I212" s="703"/>
      <c r="J212" s="704"/>
      <c r="K212" s="704"/>
      <c r="L212" s="704"/>
      <c r="M212" s="704"/>
      <c r="N212" s="704"/>
      <c r="O212" s="700"/>
    </row>
    <row r="213" spans="1:15" ht="15.75" customHeight="1" x14ac:dyDescent="0.3">
      <c r="A213" s="700"/>
      <c r="B213" s="700"/>
      <c r="C213" s="700"/>
      <c r="D213" s="701"/>
      <c r="E213" s="700"/>
      <c r="F213" s="328"/>
      <c r="G213" s="700"/>
      <c r="H213" s="700"/>
      <c r="I213" s="703"/>
      <c r="J213" s="704"/>
      <c r="K213" s="704"/>
      <c r="L213" s="704"/>
      <c r="M213" s="704"/>
      <c r="N213" s="704"/>
      <c r="O213" s="700"/>
    </row>
    <row r="214" spans="1:15" ht="15.75" customHeight="1" x14ac:dyDescent="0.3">
      <c r="A214" s="700"/>
      <c r="B214" s="700"/>
      <c r="C214" s="700"/>
      <c r="D214" s="701"/>
      <c r="E214" s="700"/>
      <c r="F214" s="328"/>
      <c r="G214" s="700"/>
      <c r="H214" s="700"/>
      <c r="I214" s="703"/>
      <c r="J214" s="704"/>
      <c r="K214" s="704"/>
      <c r="L214" s="704"/>
      <c r="M214" s="704"/>
      <c r="N214" s="704"/>
      <c r="O214" s="700"/>
    </row>
    <row r="215" spans="1:15" ht="15.75" customHeight="1" x14ac:dyDescent="0.3">
      <c r="A215" s="700"/>
      <c r="B215" s="700"/>
      <c r="C215" s="700"/>
      <c r="D215" s="701"/>
      <c r="E215" s="700"/>
      <c r="F215" s="328"/>
      <c r="G215" s="700"/>
      <c r="H215" s="700"/>
      <c r="I215" s="703"/>
      <c r="J215" s="704"/>
      <c r="K215" s="704"/>
      <c r="L215" s="704"/>
      <c r="M215" s="704"/>
      <c r="N215" s="704"/>
      <c r="O215" s="700"/>
    </row>
    <row r="216" spans="1:15" ht="15.75" customHeight="1" x14ac:dyDescent="0.3">
      <c r="A216" s="700"/>
      <c r="B216" s="700"/>
      <c r="C216" s="700"/>
      <c r="D216" s="701"/>
      <c r="E216" s="700"/>
      <c r="F216" s="328"/>
      <c r="G216" s="700"/>
      <c r="H216" s="700"/>
      <c r="I216" s="703"/>
      <c r="J216" s="704"/>
      <c r="K216" s="704"/>
      <c r="L216" s="704"/>
      <c r="M216" s="704"/>
      <c r="N216" s="704"/>
      <c r="O216" s="700"/>
    </row>
    <row r="217" spans="1:15" ht="15.75" customHeight="1" x14ac:dyDescent="0.3">
      <c r="A217" s="700"/>
      <c r="B217" s="700"/>
      <c r="C217" s="700"/>
      <c r="D217" s="701"/>
      <c r="E217" s="700"/>
      <c r="F217" s="328"/>
      <c r="G217" s="700"/>
      <c r="H217" s="700"/>
      <c r="I217" s="703"/>
      <c r="J217" s="704"/>
      <c r="K217" s="704"/>
      <c r="L217" s="704"/>
      <c r="M217" s="704"/>
      <c r="N217" s="704"/>
      <c r="O217" s="700"/>
    </row>
    <row r="218" spans="1:15" ht="15.75" customHeight="1" x14ac:dyDescent="0.3">
      <c r="A218" s="700"/>
      <c r="B218" s="700"/>
      <c r="C218" s="700"/>
      <c r="D218" s="701"/>
      <c r="E218" s="700"/>
      <c r="F218" s="328"/>
      <c r="G218" s="700"/>
      <c r="H218" s="700"/>
      <c r="I218" s="703"/>
      <c r="J218" s="704"/>
      <c r="K218" s="704"/>
      <c r="L218" s="704"/>
      <c r="M218" s="704"/>
      <c r="N218" s="704"/>
      <c r="O218" s="700"/>
    </row>
    <row r="219" spans="1:15" ht="15.75" customHeight="1" x14ac:dyDescent="0.3">
      <c r="A219" s="700"/>
      <c r="B219" s="700"/>
      <c r="C219" s="700"/>
      <c r="D219" s="701"/>
      <c r="E219" s="700"/>
      <c r="F219" s="328"/>
      <c r="G219" s="700"/>
      <c r="H219" s="700"/>
      <c r="I219" s="703"/>
      <c r="J219" s="704"/>
      <c r="K219" s="704"/>
      <c r="L219" s="704"/>
      <c r="M219" s="704"/>
      <c r="N219" s="704"/>
      <c r="O219" s="700"/>
    </row>
    <row r="220" spans="1:15" ht="15.75" customHeight="1" x14ac:dyDescent="0.3">
      <c r="A220" s="700"/>
      <c r="B220" s="700"/>
      <c r="C220" s="700"/>
      <c r="D220" s="701"/>
      <c r="E220" s="700"/>
      <c r="F220" s="328"/>
      <c r="G220" s="700"/>
      <c r="H220" s="700"/>
      <c r="I220" s="703"/>
      <c r="J220" s="704"/>
      <c r="K220" s="704"/>
      <c r="L220" s="704"/>
      <c r="M220" s="704"/>
      <c r="N220" s="704"/>
      <c r="O220" s="700"/>
    </row>
    <row r="221" spans="1:15" ht="15.75" customHeight="1" x14ac:dyDescent="0.3">
      <c r="A221" s="700"/>
      <c r="B221" s="700"/>
      <c r="C221" s="700"/>
      <c r="D221" s="701"/>
      <c r="E221" s="700"/>
      <c r="F221" s="328"/>
      <c r="G221" s="700"/>
      <c r="H221" s="700"/>
      <c r="I221" s="703"/>
      <c r="J221" s="704"/>
      <c r="K221" s="704"/>
      <c r="L221" s="704"/>
      <c r="M221" s="704"/>
      <c r="N221" s="704"/>
      <c r="O221" s="700"/>
    </row>
    <row r="222" spans="1:15" ht="15.75" customHeight="1" x14ac:dyDescent="0.3">
      <c r="A222" s="700"/>
      <c r="B222" s="700"/>
      <c r="C222" s="700"/>
      <c r="D222" s="701"/>
      <c r="E222" s="700"/>
      <c r="F222" s="328"/>
      <c r="G222" s="700"/>
      <c r="H222" s="700"/>
      <c r="I222" s="703"/>
      <c r="J222" s="704"/>
      <c r="K222" s="704"/>
      <c r="L222" s="704"/>
      <c r="M222" s="704"/>
      <c r="N222" s="704"/>
      <c r="O222" s="700"/>
    </row>
    <row r="223" spans="1:15" ht="15.75" customHeight="1" x14ac:dyDescent="0.3">
      <c r="A223" s="700"/>
      <c r="B223" s="700"/>
      <c r="C223" s="700"/>
      <c r="D223" s="701"/>
      <c r="E223" s="700"/>
      <c r="F223" s="328"/>
      <c r="G223" s="700"/>
      <c r="H223" s="700"/>
      <c r="I223" s="703"/>
      <c r="J223" s="704"/>
      <c r="K223" s="704"/>
      <c r="L223" s="704"/>
      <c r="M223" s="704"/>
      <c r="N223" s="704"/>
      <c r="O223" s="700"/>
    </row>
    <row r="224" spans="1:15" ht="15.75" customHeight="1" x14ac:dyDescent="0.3">
      <c r="A224" s="700"/>
      <c r="B224" s="700"/>
      <c r="C224" s="700"/>
      <c r="D224" s="701"/>
      <c r="E224" s="700"/>
      <c r="F224" s="328"/>
      <c r="G224" s="700"/>
      <c r="H224" s="700"/>
      <c r="I224" s="703"/>
      <c r="J224" s="704"/>
      <c r="K224" s="704"/>
      <c r="L224" s="704"/>
      <c r="M224" s="704"/>
      <c r="N224" s="704"/>
      <c r="O224" s="700"/>
    </row>
    <row r="225" spans="1:15" ht="15.75" customHeight="1" x14ac:dyDescent="0.3">
      <c r="A225" s="700"/>
      <c r="B225" s="700"/>
      <c r="C225" s="700"/>
      <c r="D225" s="701"/>
      <c r="E225" s="700"/>
      <c r="F225" s="328"/>
      <c r="G225" s="700"/>
      <c r="H225" s="700"/>
      <c r="I225" s="703"/>
      <c r="J225" s="704"/>
      <c r="K225" s="704"/>
      <c r="L225" s="704"/>
      <c r="M225" s="704"/>
      <c r="N225" s="704"/>
      <c r="O225" s="700"/>
    </row>
    <row r="226" spans="1:15" ht="15.75" customHeight="1" x14ac:dyDescent="0.3">
      <c r="A226" s="700"/>
      <c r="B226" s="700"/>
      <c r="C226" s="700"/>
      <c r="D226" s="701"/>
      <c r="E226" s="700"/>
      <c r="F226" s="328"/>
      <c r="G226" s="700"/>
      <c r="H226" s="700"/>
      <c r="I226" s="703"/>
      <c r="J226" s="704"/>
      <c r="K226" s="704"/>
      <c r="L226" s="704"/>
      <c r="M226" s="704"/>
      <c r="N226" s="704"/>
      <c r="O226" s="700"/>
    </row>
    <row r="227" spans="1:15" ht="15.75" customHeight="1" x14ac:dyDescent="0.3">
      <c r="A227" s="700"/>
      <c r="B227" s="700"/>
      <c r="C227" s="700"/>
      <c r="D227" s="701"/>
      <c r="E227" s="700"/>
      <c r="F227" s="328"/>
      <c r="G227" s="700"/>
      <c r="H227" s="700"/>
      <c r="I227" s="703"/>
      <c r="J227" s="704"/>
      <c r="K227" s="704"/>
      <c r="L227" s="704"/>
      <c r="M227" s="704"/>
      <c r="N227" s="704"/>
      <c r="O227" s="700"/>
    </row>
    <row r="228" spans="1:15" ht="15.75" customHeight="1" x14ac:dyDescent="0.3">
      <c r="A228" s="700"/>
      <c r="B228" s="700"/>
      <c r="C228" s="700"/>
      <c r="D228" s="701"/>
      <c r="E228" s="700"/>
      <c r="F228" s="328"/>
      <c r="G228" s="700"/>
      <c r="H228" s="700"/>
      <c r="I228" s="703"/>
      <c r="J228" s="704"/>
      <c r="K228" s="704"/>
      <c r="L228" s="704"/>
      <c r="M228" s="704"/>
      <c r="N228" s="704"/>
      <c r="O228" s="700"/>
    </row>
    <row r="229" spans="1:15" ht="15.75" customHeight="1" x14ac:dyDescent="0.3">
      <c r="A229" s="700"/>
      <c r="B229" s="700"/>
      <c r="C229" s="700"/>
      <c r="D229" s="701"/>
      <c r="E229" s="700"/>
      <c r="F229" s="328"/>
      <c r="G229" s="700"/>
      <c r="H229" s="700"/>
      <c r="I229" s="703"/>
      <c r="J229" s="704"/>
      <c r="K229" s="704"/>
      <c r="L229" s="704"/>
      <c r="M229" s="704"/>
      <c r="N229" s="704"/>
      <c r="O229" s="700"/>
    </row>
    <row r="230" spans="1:15" ht="15.75" customHeight="1" x14ac:dyDescent="0.3">
      <c r="A230" s="700"/>
      <c r="B230" s="700"/>
      <c r="C230" s="700"/>
      <c r="D230" s="701"/>
      <c r="E230" s="700"/>
      <c r="F230" s="328"/>
      <c r="G230" s="700"/>
      <c r="H230" s="700"/>
      <c r="I230" s="703"/>
      <c r="J230" s="704"/>
      <c r="K230" s="704"/>
      <c r="L230" s="704"/>
      <c r="M230" s="704"/>
      <c r="N230" s="704"/>
      <c r="O230" s="700"/>
    </row>
    <row r="231" spans="1:15" ht="15.75" customHeight="1" x14ac:dyDescent="0.3">
      <c r="A231" s="700"/>
      <c r="B231" s="700"/>
      <c r="C231" s="700"/>
      <c r="D231" s="701"/>
      <c r="E231" s="700"/>
      <c r="F231" s="328"/>
      <c r="G231" s="700"/>
      <c r="H231" s="700"/>
      <c r="I231" s="703"/>
      <c r="J231" s="704"/>
      <c r="K231" s="704"/>
      <c r="L231" s="704"/>
      <c r="M231" s="704"/>
      <c r="N231" s="704"/>
      <c r="O231" s="700"/>
    </row>
    <row r="232" spans="1:15" ht="15.75" customHeight="1" x14ac:dyDescent="0.3">
      <c r="A232" s="700"/>
      <c r="B232" s="700"/>
      <c r="C232" s="700"/>
      <c r="D232" s="701"/>
      <c r="E232" s="700"/>
      <c r="F232" s="328"/>
      <c r="G232" s="700"/>
      <c r="H232" s="700"/>
      <c r="I232" s="703"/>
      <c r="J232" s="704"/>
      <c r="K232" s="704"/>
      <c r="L232" s="704"/>
      <c r="M232" s="704"/>
      <c r="N232" s="704"/>
      <c r="O232" s="700"/>
    </row>
    <row r="233" spans="1:15" ht="15.75" customHeight="1" x14ac:dyDescent="0.3">
      <c r="A233" s="700"/>
      <c r="B233" s="700"/>
      <c r="C233" s="700"/>
      <c r="D233" s="701"/>
      <c r="E233" s="700"/>
      <c r="F233" s="328"/>
      <c r="G233" s="700"/>
      <c r="H233" s="700"/>
      <c r="I233" s="703"/>
      <c r="J233" s="704"/>
      <c r="K233" s="704"/>
      <c r="L233" s="704"/>
      <c r="M233" s="704"/>
      <c r="N233" s="704"/>
      <c r="O233" s="700"/>
    </row>
    <row r="234" spans="1:15" ht="15.75" customHeight="1" x14ac:dyDescent="0.3">
      <c r="A234" s="700"/>
      <c r="B234" s="700"/>
      <c r="C234" s="700"/>
      <c r="D234" s="701"/>
      <c r="E234" s="700"/>
      <c r="F234" s="328"/>
      <c r="G234" s="700"/>
      <c r="H234" s="700"/>
      <c r="I234" s="703"/>
      <c r="J234" s="704"/>
      <c r="K234" s="704"/>
      <c r="L234" s="704"/>
      <c r="M234" s="704"/>
      <c r="N234" s="704"/>
      <c r="O234" s="700"/>
    </row>
    <row r="235" spans="1:15" ht="15.75" customHeight="1" x14ac:dyDescent="0.3">
      <c r="A235" s="700"/>
      <c r="B235" s="700"/>
      <c r="C235" s="700"/>
      <c r="D235" s="701"/>
      <c r="E235" s="700"/>
      <c r="F235" s="328"/>
      <c r="G235" s="700"/>
      <c r="H235" s="700"/>
      <c r="I235" s="703"/>
      <c r="J235" s="704"/>
      <c r="K235" s="704"/>
      <c r="L235" s="704"/>
      <c r="M235" s="704"/>
      <c r="N235" s="704"/>
      <c r="O235" s="700"/>
    </row>
    <row r="236" spans="1:15" ht="15.75" customHeight="1" x14ac:dyDescent="0.3">
      <c r="A236" s="700"/>
      <c r="B236" s="700"/>
      <c r="C236" s="700"/>
      <c r="D236" s="701"/>
      <c r="E236" s="700"/>
      <c r="F236" s="328"/>
      <c r="G236" s="700"/>
      <c r="H236" s="700"/>
      <c r="I236" s="703"/>
      <c r="J236" s="704"/>
      <c r="K236" s="704"/>
      <c r="L236" s="704"/>
      <c r="M236" s="704"/>
      <c r="N236" s="704"/>
      <c r="O236" s="700"/>
    </row>
    <row r="237" spans="1:15" ht="15.75" customHeight="1" x14ac:dyDescent="0.3">
      <c r="A237" s="700"/>
      <c r="B237" s="700"/>
      <c r="C237" s="700"/>
      <c r="D237" s="701"/>
      <c r="E237" s="700"/>
      <c r="F237" s="328"/>
      <c r="G237" s="700"/>
      <c r="H237" s="700"/>
      <c r="I237" s="703"/>
      <c r="J237" s="704"/>
      <c r="K237" s="704"/>
      <c r="L237" s="704"/>
      <c r="M237" s="704"/>
      <c r="N237" s="704"/>
      <c r="O237" s="700"/>
    </row>
    <row r="238" spans="1:15" ht="15.75" customHeight="1" x14ac:dyDescent="0.3">
      <c r="A238" s="700"/>
      <c r="B238" s="700"/>
      <c r="C238" s="700"/>
      <c r="D238" s="701"/>
      <c r="E238" s="700"/>
      <c r="F238" s="328"/>
      <c r="G238" s="700"/>
      <c r="H238" s="700"/>
      <c r="I238" s="703"/>
      <c r="J238" s="704"/>
      <c r="K238" s="704"/>
      <c r="L238" s="704"/>
      <c r="M238" s="704"/>
      <c r="N238" s="704"/>
      <c r="O238" s="700"/>
    </row>
    <row r="239" spans="1:15" ht="15.75" customHeight="1" x14ac:dyDescent="0.3">
      <c r="A239" s="700"/>
      <c r="B239" s="700"/>
      <c r="C239" s="700"/>
      <c r="D239" s="701"/>
      <c r="E239" s="700"/>
      <c r="F239" s="328"/>
      <c r="G239" s="700"/>
      <c r="H239" s="700"/>
      <c r="I239" s="703"/>
      <c r="J239" s="704"/>
      <c r="K239" s="704"/>
      <c r="L239" s="704"/>
      <c r="M239" s="704"/>
      <c r="N239" s="704"/>
      <c r="O239" s="700"/>
    </row>
    <row r="240" spans="1:15" ht="15.75" customHeight="1" x14ac:dyDescent="0.3">
      <c r="A240" s="700"/>
      <c r="B240" s="700"/>
      <c r="C240" s="700"/>
      <c r="D240" s="701"/>
      <c r="E240" s="700"/>
      <c r="F240" s="328"/>
      <c r="G240" s="700"/>
      <c r="H240" s="700"/>
      <c r="I240" s="703"/>
      <c r="J240" s="704"/>
      <c r="K240" s="704"/>
      <c r="L240" s="704"/>
      <c r="M240" s="704"/>
      <c r="N240" s="704"/>
      <c r="O240" s="700"/>
    </row>
    <row r="241" spans="1:15" ht="15.75" customHeight="1" x14ac:dyDescent="0.3">
      <c r="A241" s="700"/>
      <c r="B241" s="700"/>
      <c r="C241" s="700"/>
      <c r="D241" s="701"/>
      <c r="E241" s="700"/>
      <c r="F241" s="328"/>
      <c r="G241" s="700"/>
      <c r="H241" s="700"/>
      <c r="I241" s="703"/>
      <c r="J241" s="704"/>
      <c r="K241" s="704"/>
      <c r="L241" s="704"/>
      <c r="M241" s="704"/>
      <c r="N241" s="704"/>
      <c r="O241" s="700"/>
    </row>
    <row r="242" spans="1:15" ht="15.75" customHeight="1" x14ac:dyDescent="0.3">
      <c r="A242" s="700"/>
      <c r="B242" s="700"/>
      <c r="C242" s="700"/>
      <c r="D242" s="701"/>
      <c r="E242" s="700"/>
      <c r="F242" s="328"/>
      <c r="G242" s="700"/>
      <c r="H242" s="700"/>
      <c r="I242" s="703"/>
      <c r="J242" s="704"/>
      <c r="K242" s="704"/>
      <c r="L242" s="704"/>
      <c r="M242" s="704"/>
      <c r="N242" s="704"/>
      <c r="O242" s="700"/>
    </row>
    <row r="243" spans="1:15" ht="15.75" customHeight="1" x14ac:dyDescent="0.3">
      <c r="A243" s="700"/>
      <c r="B243" s="700"/>
      <c r="C243" s="700"/>
      <c r="D243" s="701"/>
      <c r="E243" s="700"/>
      <c r="F243" s="328"/>
      <c r="G243" s="700"/>
      <c r="H243" s="700"/>
      <c r="I243" s="703"/>
      <c r="J243" s="704"/>
      <c r="K243" s="704"/>
      <c r="L243" s="704"/>
      <c r="M243" s="704"/>
      <c r="N243" s="704"/>
      <c r="O243" s="700"/>
    </row>
    <row r="244" spans="1:15" ht="15.75" customHeight="1" x14ac:dyDescent="0.3">
      <c r="A244" s="700"/>
      <c r="B244" s="700"/>
      <c r="C244" s="700"/>
      <c r="D244" s="701"/>
      <c r="E244" s="700"/>
      <c r="F244" s="328"/>
      <c r="G244" s="700"/>
      <c r="H244" s="700"/>
      <c r="I244" s="703"/>
      <c r="J244" s="704"/>
      <c r="K244" s="704"/>
      <c r="L244" s="704"/>
      <c r="M244" s="704"/>
      <c r="N244" s="704"/>
      <c r="O244" s="700"/>
    </row>
    <row r="245" spans="1:15" ht="15.75" customHeight="1" x14ac:dyDescent="0.3">
      <c r="A245" s="700"/>
      <c r="B245" s="700"/>
      <c r="C245" s="700"/>
      <c r="D245" s="701"/>
      <c r="E245" s="700"/>
      <c r="F245" s="328"/>
      <c r="G245" s="700"/>
      <c r="H245" s="700"/>
      <c r="I245" s="703"/>
      <c r="J245" s="704"/>
      <c r="K245" s="704"/>
      <c r="L245" s="704"/>
      <c r="M245" s="704"/>
      <c r="N245" s="704"/>
      <c r="O245" s="700"/>
    </row>
    <row r="246" spans="1:15" ht="15.75" customHeight="1" x14ac:dyDescent="0.3">
      <c r="A246" s="700"/>
      <c r="B246" s="700"/>
      <c r="C246" s="700"/>
      <c r="D246" s="701"/>
      <c r="E246" s="700"/>
      <c r="F246" s="328"/>
      <c r="G246" s="700"/>
      <c r="H246" s="700"/>
      <c r="I246" s="703"/>
      <c r="J246" s="704"/>
      <c r="K246" s="704"/>
      <c r="L246" s="704"/>
      <c r="M246" s="704"/>
      <c r="N246" s="704"/>
      <c r="O246" s="700"/>
    </row>
    <row r="247" spans="1:15" ht="15.75" customHeight="1" x14ac:dyDescent="0.3">
      <c r="A247" s="700"/>
      <c r="B247" s="700"/>
      <c r="C247" s="700"/>
      <c r="D247" s="701"/>
      <c r="E247" s="700"/>
      <c r="F247" s="328"/>
      <c r="G247" s="700"/>
      <c r="H247" s="700"/>
      <c r="I247" s="703"/>
      <c r="J247" s="704"/>
      <c r="K247" s="704"/>
      <c r="L247" s="704"/>
      <c r="M247" s="704"/>
      <c r="N247" s="704"/>
      <c r="O247" s="700"/>
    </row>
    <row r="248" spans="1:15" ht="15.75" customHeight="1" x14ac:dyDescent="0.3">
      <c r="A248" s="700"/>
      <c r="B248" s="700"/>
      <c r="C248" s="700"/>
      <c r="D248" s="701"/>
      <c r="E248" s="700"/>
      <c r="F248" s="328"/>
      <c r="G248" s="700"/>
      <c r="H248" s="700"/>
      <c r="I248" s="703"/>
      <c r="J248" s="704"/>
      <c r="K248" s="704"/>
      <c r="L248" s="704"/>
      <c r="M248" s="704"/>
      <c r="N248" s="704"/>
      <c r="O248" s="700"/>
    </row>
    <row r="249" spans="1:15" ht="15.75" customHeight="1" x14ac:dyDescent="0.3">
      <c r="A249" s="700"/>
      <c r="B249" s="700"/>
      <c r="C249" s="700"/>
      <c r="D249" s="701"/>
      <c r="E249" s="700"/>
      <c r="F249" s="328"/>
      <c r="G249" s="700"/>
      <c r="H249" s="700"/>
      <c r="I249" s="703"/>
      <c r="J249" s="704"/>
      <c r="K249" s="704"/>
      <c r="L249" s="704"/>
      <c r="M249" s="704"/>
      <c r="N249" s="704"/>
      <c r="O249" s="700"/>
    </row>
    <row r="250" spans="1:15" ht="15.75" customHeight="1" x14ac:dyDescent="0.3">
      <c r="A250" s="700"/>
      <c r="B250" s="700"/>
      <c r="C250" s="700"/>
      <c r="D250" s="701"/>
      <c r="E250" s="700"/>
      <c r="F250" s="328"/>
      <c r="G250" s="700"/>
      <c r="H250" s="700"/>
      <c r="I250" s="703"/>
      <c r="J250" s="704"/>
      <c r="K250" s="704"/>
      <c r="L250" s="704"/>
      <c r="M250" s="704"/>
      <c r="N250" s="704"/>
      <c r="O250" s="700"/>
    </row>
    <row r="251" spans="1:15" ht="15.75" customHeight="1" x14ac:dyDescent="0.3">
      <c r="A251" s="700"/>
      <c r="B251" s="700"/>
      <c r="C251" s="700"/>
      <c r="D251" s="701"/>
      <c r="E251" s="700"/>
      <c r="F251" s="328"/>
      <c r="G251" s="700"/>
      <c r="H251" s="700"/>
      <c r="I251" s="703"/>
      <c r="J251" s="704"/>
      <c r="K251" s="704"/>
      <c r="L251" s="704"/>
      <c r="M251" s="704"/>
      <c r="N251" s="704"/>
      <c r="O251" s="700"/>
    </row>
    <row r="252" spans="1:15" ht="15.75" customHeight="1" x14ac:dyDescent="0.3">
      <c r="A252" s="700"/>
      <c r="B252" s="700"/>
      <c r="C252" s="700"/>
      <c r="D252" s="701"/>
      <c r="E252" s="700"/>
      <c r="F252" s="328"/>
      <c r="G252" s="700"/>
      <c r="H252" s="700"/>
      <c r="I252" s="703"/>
      <c r="J252" s="704"/>
      <c r="K252" s="704"/>
      <c r="L252" s="704"/>
      <c r="M252" s="704"/>
      <c r="N252" s="704"/>
      <c r="O252" s="700"/>
    </row>
    <row r="253" spans="1:15" ht="15.75" customHeight="1" x14ac:dyDescent="0.3">
      <c r="A253" s="700"/>
      <c r="B253" s="700"/>
      <c r="C253" s="700"/>
      <c r="D253" s="701"/>
      <c r="E253" s="700"/>
      <c r="F253" s="328"/>
      <c r="G253" s="700"/>
      <c r="H253" s="700"/>
      <c r="I253" s="703"/>
      <c r="J253" s="704"/>
      <c r="K253" s="704"/>
      <c r="L253" s="704"/>
      <c r="M253" s="704"/>
      <c r="N253" s="704"/>
      <c r="O253" s="700"/>
    </row>
    <row r="254" spans="1:15" ht="15.75" customHeight="1" x14ac:dyDescent="0.3">
      <c r="A254" s="700"/>
      <c r="B254" s="700"/>
      <c r="C254" s="700"/>
      <c r="D254" s="701"/>
      <c r="E254" s="700"/>
      <c r="F254" s="328"/>
      <c r="G254" s="700"/>
      <c r="H254" s="700"/>
      <c r="I254" s="703"/>
      <c r="J254" s="704"/>
      <c r="K254" s="704"/>
      <c r="L254" s="704"/>
      <c r="M254" s="704"/>
      <c r="N254" s="704"/>
      <c r="O254" s="700"/>
    </row>
    <row r="255" spans="1:15" ht="15.75" customHeight="1" x14ac:dyDescent="0.3">
      <c r="A255" s="700"/>
      <c r="B255" s="700"/>
      <c r="C255" s="700"/>
      <c r="D255" s="701"/>
      <c r="E255" s="700"/>
      <c r="F255" s="328"/>
      <c r="G255" s="700"/>
      <c r="H255" s="700"/>
      <c r="I255" s="703"/>
      <c r="J255" s="704"/>
      <c r="K255" s="704"/>
      <c r="L255" s="704"/>
      <c r="M255" s="704"/>
      <c r="N255" s="704"/>
      <c r="O255" s="700"/>
    </row>
    <row r="256" spans="1:15" ht="15.75" customHeight="1" x14ac:dyDescent="0.3">
      <c r="A256" s="700"/>
      <c r="B256" s="700"/>
      <c r="C256" s="700"/>
      <c r="D256" s="701"/>
      <c r="E256" s="700"/>
      <c r="F256" s="328"/>
      <c r="G256" s="700"/>
      <c r="H256" s="700"/>
      <c r="I256" s="703"/>
      <c r="J256" s="704"/>
      <c r="K256" s="704"/>
      <c r="L256" s="704"/>
      <c r="M256" s="704"/>
      <c r="N256" s="704"/>
      <c r="O256" s="700"/>
    </row>
    <row r="257" spans="1:15" ht="15.75" customHeight="1" x14ac:dyDescent="0.3">
      <c r="A257" s="700"/>
      <c r="B257" s="700"/>
      <c r="C257" s="700"/>
      <c r="D257" s="701"/>
      <c r="E257" s="700"/>
      <c r="F257" s="328"/>
      <c r="G257" s="700"/>
      <c r="H257" s="700"/>
      <c r="I257" s="703"/>
      <c r="J257" s="704"/>
      <c r="K257" s="704"/>
      <c r="L257" s="704"/>
      <c r="M257" s="704"/>
      <c r="N257" s="704"/>
      <c r="O257" s="700"/>
    </row>
    <row r="258" spans="1:15" ht="15.75" customHeight="1" x14ac:dyDescent="0.3">
      <c r="A258" s="700"/>
      <c r="B258" s="700"/>
      <c r="C258" s="700"/>
      <c r="D258" s="701"/>
      <c r="E258" s="700"/>
      <c r="F258" s="328"/>
      <c r="G258" s="700"/>
      <c r="H258" s="700"/>
      <c r="I258" s="703"/>
      <c r="J258" s="704"/>
      <c r="K258" s="704"/>
      <c r="L258" s="704"/>
      <c r="M258" s="704"/>
      <c r="N258" s="704"/>
      <c r="O258" s="700"/>
    </row>
    <row r="259" spans="1:15" ht="15.75" customHeight="1" x14ac:dyDescent="0.3">
      <c r="A259" s="700"/>
      <c r="B259" s="700"/>
      <c r="C259" s="700"/>
      <c r="D259" s="701"/>
      <c r="E259" s="700"/>
      <c r="F259" s="328"/>
      <c r="G259" s="700"/>
      <c r="H259" s="700"/>
      <c r="I259" s="703"/>
      <c r="J259" s="704"/>
      <c r="K259" s="704"/>
      <c r="L259" s="704"/>
      <c r="M259" s="704"/>
      <c r="N259" s="704"/>
      <c r="O259" s="700"/>
    </row>
    <row r="260" spans="1:15" ht="15.75" customHeight="1" x14ac:dyDescent="0.3">
      <c r="A260" s="700"/>
      <c r="B260" s="700"/>
      <c r="C260" s="700"/>
      <c r="D260" s="701"/>
      <c r="E260" s="700"/>
      <c r="F260" s="328"/>
      <c r="G260" s="700"/>
      <c r="H260" s="700"/>
      <c r="I260" s="703"/>
      <c r="J260" s="704"/>
      <c r="K260" s="704"/>
      <c r="L260" s="704"/>
      <c r="M260" s="704"/>
      <c r="N260" s="704"/>
      <c r="O260" s="700"/>
    </row>
    <row r="261" spans="1:15" ht="15.75" customHeight="1" x14ac:dyDescent="0.3">
      <c r="A261" s="700"/>
      <c r="B261" s="700"/>
      <c r="C261" s="700"/>
      <c r="D261" s="701"/>
      <c r="E261" s="700"/>
      <c r="F261" s="328"/>
      <c r="G261" s="700"/>
      <c r="H261" s="700"/>
      <c r="I261" s="703"/>
      <c r="J261" s="704"/>
      <c r="K261" s="704"/>
      <c r="L261" s="704"/>
      <c r="M261" s="704"/>
      <c r="N261" s="704"/>
      <c r="O261" s="700"/>
    </row>
    <row r="262" spans="1:15" ht="15.75" customHeight="1" x14ac:dyDescent="0.3">
      <c r="A262" s="700"/>
      <c r="B262" s="700"/>
      <c r="C262" s="700"/>
      <c r="D262" s="701"/>
      <c r="E262" s="700"/>
      <c r="F262" s="328"/>
      <c r="G262" s="700"/>
      <c r="H262" s="700"/>
      <c r="I262" s="703"/>
      <c r="J262" s="704"/>
      <c r="K262" s="704"/>
      <c r="L262" s="704"/>
      <c r="M262" s="704"/>
      <c r="N262" s="704"/>
      <c r="O262" s="700"/>
    </row>
    <row r="263" spans="1:15" ht="15.75" customHeight="1" x14ac:dyDescent="0.3">
      <c r="A263" s="700"/>
      <c r="B263" s="700"/>
      <c r="C263" s="700"/>
      <c r="D263" s="701"/>
      <c r="E263" s="700"/>
      <c r="F263" s="328"/>
      <c r="G263" s="700"/>
      <c r="H263" s="700"/>
      <c r="I263" s="703"/>
      <c r="J263" s="704"/>
      <c r="K263" s="704"/>
      <c r="L263" s="704"/>
      <c r="M263" s="704"/>
      <c r="N263" s="704"/>
      <c r="O263" s="700"/>
    </row>
    <row r="264" spans="1:15" ht="15.75" customHeight="1" x14ac:dyDescent="0.3">
      <c r="A264" s="700"/>
      <c r="B264" s="700"/>
      <c r="C264" s="700"/>
      <c r="D264" s="701"/>
      <c r="E264" s="700"/>
      <c r="F264" s="328"/>
      <c r="G264" s="700"/>
      <c r="H264" s="700"/>
      <c r="I264" s="703"/>
      <c r="J264" s="704"/>
      <c r="K264" s="704"/>
      <c r="L264" s="704"/>
      <c r="M264" s="704"/>
      <c r="N264" s="704"/>
      <c r="O264" s="700"/>
    </row>
    <row r="265" spans="1:15" ht="15.75" customHeight="1" x14ac:dyDescent="0.3">
      <c r="A265" s="700"/>
      <c r="B265" s="700"/>
      <c r="C265" s="700"/>
      <c r="D265" s="701"/>
      <c r="E265" s="700"/>
      <c r="F265" s="328"/>
      <c r="G265" s="700"/>
      <c r="H265" s="700"/>
      <c r="I265" s="703"/>
      <c r="J265" s="704"/>
      <c r="K265" s="704"/>
      <c r="L265" s="704"/>
      <c r="M265" s="704"/>
      <c r="N265" s="704"/>
      <c r="O265" s="700"/>
    </row>
    <row r="266" spans="1:15" ht="15.75" customHeight="1" x14ac:dyDescent="0.3">
      <c r="A266" s="700"/>
      <c r="B266" s="700"/>
      <c r="C266" s="700"/>
      <c r="D266" s="701"/>
      <c r="E266" s="700"/>
      <c r="F266" s="328"/>
      <c r="G266" s="700"/>
      <c r="H266" s="700"/>
      <c r="I266" s="703"/>
      <c r="J266" s="704"/>
      <c r="K266" s="704"/>
      <c r="L266" s="704"/>
      <c r="M266" s="704"/>
      <c r="N266" s="704"/>
      <c r="O266" s="700"/>
    </row>
    <row r="267" spans="1:15" ht="15.75" customHeight="1" x14ac:dyDescent="0.3">
      <c r="A267" s="700"/>
      <c r="B267" s="700"/>
      <c r="C267" s="700"/>
      <c r="D267" s="701"/>
      <c r="E267" s="700"/>
      <c r="F267" s="328"/>
      <c r="G267" s="700"/>
      <c r="H267" s="700"/>
      <c r="I267" s="703"/>
      <c r="J267" s="704"/>
      <c r="K267" s="704"/>
      <c r="L267" s="704"/>
      <c r="M267" s="704"/>
      <c r="N267" s="704"/>
      <c r="O267" s="700"/>
    </row>
    <row r="268" spans="1:15" ht="15.75" customHeight="1" x14ac:dyDescent="0.3">
      <c r="A268" s="700"/>
      <c r="B268" s="700"/>
      <c r="C268" s="700"/>
      <c r="D268" s="701"/>
      <c r="E268" s="700"/>
      <c r="F268" s="328"/>
      <c r="G268" s="700"/>
      <c r="H268" s="700"/>
      <c r="I268" s="703"/>
      <c r="J268" s="704"/>
      <c r="K268" s="704"/>
      <c r="L268" s="704"/>
      <c r="M268" s="704"/>
      <c r="N268" s="704"/>
      <c r="O268" s="700"/>
    </row>
    <row r="269" spans="1:15" ht="15.75" customHeight="1" x14ac:dyDescent="0.3">
      <c r="A269" s="700"/>
      <c r="B269" s="700"/>
      <c r="C269" s="700"/>
      <c r="D269" s="701"/>
      <c r="E269" s="700"/>
      <c r="F269" s="328"/>
      <c r="G269" s="700"/>
      <c r="H269" s="700"/>
      <c r="I269" s="703"/>
      <c r="J269" s="704"/>
      <c r="K269" s="704"/>
      <c r="L269" s="704"/>
      <c r="M269" s="704"/>
      <c r="N269" s="704"/>
      <c r="O269" s="700"/>
    </row>
    <row r="270" spans="1:15" ht="15.75" customHeight="1" x14ac:dyDescent="0.3">
      <c r="A270" s="700"/>
      <c r="B270" s="700"/>
      <c r="C270" s="700"/>
      <c r="D270" s="701"/>
      <c r="E270" s="700"/>
      <c r="F270" s="328"/>
      <c r="G270" s="700"/>
      <c r="H270" s="700"/>
      <c r="I270" s="703"/>
      <c r="J270" s="704"/>
      <c r="K270" s="704"/>
      <c r="L270" s="704"/>
      <c r="M270" s="704"/>
      <c r="N270" s="704"/>
      <c r="O270" s="700"/>
    </row>
    <row r="271" spans="1:15" ht="15.75" customHeight="1" x14ac:dyDescent="0.3">
      <c r="A271" s="700"/>
      <c r="B271" s="700"/>
      <c r="C271" s="700"/>
      <c r="D271" s="701"/>
      <c r="E271" s="700"/>
      <c r="F271" s="328"/>
      <c r="G271" s="700"/>
      <c r="H271" s="700"/>
      <c r="I271" s="703"/>
      <c r="J271" s="704"/>
      <c r="K271" s="704"/>
      <c r="L271" s="704"/>
      <c r="M271" s="704"/>
      <c r="N271" s="704"/>
      <c r="O271" s="700"/>
    </row>
    <row r="272" spans="1:15" ht="15.75" customHeight="1" x14ac:dyDescent="0.3">
      <c r="A272" s="700"/>
      <c r="B272" s="700"/>
      <c r="C272" s="700"/>
      <c r="D272" s="701"/>
      <c r="E272" s="700"/>
      <c r="F272" s="328"/>
      <c r="G272" s="700"/>
      <c r="H272" s="700"/>
      <c r="I272" s="703"/>
      <c r="J272" s="704"/>
      <c r="K272" s="704"/>
      <c r="L272" s="704"/>
      <c r="M272" s="704"/>
      <c r="N272" s="704"/>
      <c r="O272" s="700"/>
    </row>
    <row r="273" spans="1:15" ht="15.75" customHeight="1" x14ac:dyDescent="0.3">
      <c r="A273" s="700"/>
      <c r="B273" s="700"/>
      <c r="C273" s="700"/>
      <c r="D273" s="701"/>
      <c r="E273" s="700"/>
      <c r="F273" s="328"/>
      <c r="G273" s="700"/>
      <c r="H273" s="700"/>
      <c r="I273" s="703"/>
      <c r="J273" s="704"/>
      <c r="K273" s="704"/>
      <c r="L273" s="704"/>
      <c r="M273" s="704"/>
      <c r="N273" s="704"/>
      <c r="O273" s="700"/>
    </row>
    <row r="274" spans="1:15" ht="15.75" customHeight="1" x14ac:dyDescent="0.3">
      <c r="A274" s="700"/>
      <c r="B274" s="700"/>
      <c r="C274" s="700"/>
      <c r="D274" s="701"/>
      <c r="E274" s="700"/>
      <c r="F274" s="328"/>
      <c r="G274" s="700"/>
      <c r="H274" s="700"/>
      <c r="I274" s="703"/>
      <c r="J274" s="704"/>
      <c r="K274" s="704"/>
      <c r="L274" s="704"/>
      <c r="M274" s="704"/>
      <c r="N274" s="704"/>
      <c r="O274" s="700"/>
    </row>
    <row r="275" spans="1:15" ht="15.75" customHeight="1" x14ac:dyDescent="0.3">
      <c r="A275" s="700"/>
      <c r="B275" s="700"/>
      <c r="C275" s="700"/>
      <c r="D275" s="701"/>
      <c r="E275" s="700"/>
      <c r="F275" s="328"/>
      <c r="G275" s="700"/>
      <c r="H275" s="700"/>
      <c r="I275" s="703"/>
      <c r="J275" s="704"/>
      <c r="K275" s="704"/>
      <c r="L275" s="704"/>
      <c r="M275" s="704"/>
      <c r="N275" s="704"/>
      <c r="O275" s="700"/>
    </row>
    <row r="276" spans="1:15" ht="15.75" customHeight="1" x14ac:dyDescent="0.3">
      <c r="A276" s="700"/>
      <c r="B276" s="700"/>
      <c r="C276" s="700"/>
      <c r="D276" s="701"/>
      <c r="E276" s="700"/>
      <c r="F276" s="328"/>
      <c r="G276" s="700"/>
      <c r="H276" s="700"/>
      <c r="I276" s="703"/>
      <c r="J276" s="704"/>
      <c r="K276" s="704"/>
      <c r="L276" s="704"/>
      <c r="M276" s="704"/>
      <c r="N276" s="704"/>
      <c r="O276" s="700"/>
    </row>
    <row r="277" spans="1:15" ht="15.75" customHeight="1" x14ac:dyDescent="0.3">
      <c r="A277" s="700"/>
      <c r="B277" s="700"/>
      <c r="C277" s="700"/>
      <c r="D277" s="701"/>
      <c r="E277" s="700"/>
      <c r="F277" s="328"/>
      <c r="G277" s="700"/>
      <c r="H277" s="700"/>
      <c r="I277" s="703"/>
      <c r="J277" s="704"/>
      <c r="K277" s="704"/>
      <c r="L277" s="704"/>
      <c r="M277" s="704"/>
      <c r="N277" s="704"/>
      <c r="O277" s="700"/>
    </row>
    <row r="278" spans="1:15" ht="15.75" customHeight="1" x14ac:dyDescent="0.3">
      <c r="A278" s="700"/>
      <c r="B278" s="700"/>
      <c r="C278" s="700"/>
      <c r="D278" s="701"/>
      <c r="E278" s="700"/>
      <c r="F278" s="328"/>
      <c r="G278" s="700"/>
      <c r="H278" s="700"/>
      <c r="I278" s="703"/>
      <c r="J278" s="704"/>
      <c r="K278" s="704"/>
      <c r="L278" s="704"/>
      <c r="M278" s="704"/>
      <c r="N278" s="704"/>
      <c r="O278" s="700"/>
    </row>
    <row r="279" spans="1:15" ht="15.75" customHeight="1" x14ac:dyDescent="0.3">
      <c r="A279" s="700"/>
      <c r="B279" s="700"/>
      <c r="C279" s="700"/>
      <c r="D279" s="701"/>
      <c r="E279" s="700"/>
      <c r="F279" s="328"/>
      <c r="G279" s="700"/>
      <c r="H279" s="700"/>
      <c r="I279" s="703"/>
      <c r="J279" s="704"/>
      <c r="K279" s="704"/>
      <c r="L279" s="704"/>
      <c r="M279" s="704"/>
      <c r="N279" s="704"/>
      <c r="O279" s="700"/>
    </row>
    <row r="280" spans="1:15" ht="15.75" customHeight="1" x14ac:dyDescent="0.3">
      <c r="A280" s="700"/>
      <c r="B280" s="700"/>
      <c r="C280" s="700"/>
      <c r="D280" s="701"/>
      <c r="E280" s="700"/>
      <c r="F280" s="328"/>
      <c r="G280" s="700"/>
      <c r="H280" s="700"/>
      <c r="I280" s="703"/>
      <c r="J280" s="704"/>
      <c r="K280" s="704"/>
      <c r="L280" s="704"/>
      <c r="M280" s="704"/>
      <c r="N280" s="704"/>
      <c r="O280" s="700"/>
    </row>
    <row r="281" spans="1:15" ht="15.75" customHeight="1" x14ac:dyDescent="0.3">
      <c r="A281" s="700"/>
      <c r="B281" s="700"/>
      <c r="C281" s="700"/>
      <c r="D281" s="701"/>
      <c r="E281" s="700"/>
      <c r="F281" s="328"/>
      <c r="G281" s="700"/>
      <c r="H281" s="700"/>
      <c r="I281" s="703"/>
      <c r="J281" s="704"/>
      <c r="K281" s="704"/>
      <c r="L281" s="704"/>
      <c r="M281" s="704"/>
      <c r="N281" s="704"/>
      <c r="O281" s="700"/>
    </row>
    <row r="282" spans="1:15" ht="15.75" customHeight="1" x14ac:dyDescent="0.3">
      <c r="A282" s="700"/>
      <c r="B282" s="700"/>
      <c r="C282" s="700"/>
      <c r="D282" s="701"/>
      <c r="E282" s="700"/>
      <c r="F282" s="328"/>
      <c r="G282" s="700"/>
      <c r="H282" s="700"/>
      <c r="I282" s="703"/>
      <c r="J282" s="704"/>
      <c r="K282" s="704"/>
      <c r="L282" s="704"/>
      <c r="M282" s="704"/>
      <c r="N282" s="704"/>
      <c r="O282" s="700"/>
    </row>
    <row r="283" spans="1:15" ht="15.75" customHeight="1" x14ac:dyDescent="0.3">
      <c r="A283" s="700"/>
      <c r="B283" s="700"/>
      <c r="C283" s="700"/>
      <c r="D283" s="701"/>
      <c r="E283" s="700"/>
      <c r="F283" s="328"/>
      <c r="G283" s="700"/>
      <c r="H283" s="700"/>
      <c r="I283" s="703"/>
      <c r="J283" s="704"/>
      <c r="K283" s="704"/>
      <c r="L283" s="704"/>
      <c r="M283" s="704"/>
      <c r="N283" s="704"/>
      <c r="O283" s="700"/>
    </row>
    <row r="284" spans="1:15" ht="15.75" customHeight="1" x14ac:dyDescent="0.3">
      <c r="A284" s="700"/>
      <c r="B284" s="700"/>
      <c r="C284" s="700"/>
      <c r="D284" s="701"/>
      <c r="E284" s="700"/>
      <c r="F284" s="328"/>
      <c r="G284" s="700"/>
      <c r="H284" s="700"/>
      <c r="I284" s="703"/>
      <c r="J284" s="704"/>
      <c r="K284" s="704"/>
      <c r="L284" s="704"/>
      <c r="M284" s="704"/>
      <c r="N284" s="704"/>
      <c r="O284" s="700"/>
    </row>
    <row r="285" spans="1:15" ht="15.75" customHeight="1" x14ac:dyDescent="0.3">
      <c r="A285" s="700"/>
      <c r="B285" s="700"/>
      <c r="C285" s="700"/>
      <c r="D285" s="701"/>
      <c r="E285" s="700"/>
      <c r="F285" s="328"/>
      <c r="G285" s="700"/>
      <c r="H285" s="700"/>
      <c r="I285" s="703"/>
      <c r="J285" s="704"/>
      <c r="K285" s="704"/>
      <c r="L285" s="704"/>
      <c r="M285" s="704"/>
      <c r="N285" s="704"/>
      <c r="O285" s="700"/>
    </row>
    <row r="286" spans="1:15" ht="15.75" customHeight="1" x14ac:dyDescent="0.3">
      <c r="A286" s="700"/>
      <c r="B286" s="700"/>
      <c r="C286" s="700"/>
      <c r="D286" s="701"/>
      <c r="E286" s="700"/>
      <c r="F286" s="328"/>
      <c r="G286" s="700"/>
      <c r="H286" s="700"/>
      <c r="I286" s="703"/>
      <c r="J286" s="704"/>
      <c r="K286" s="704"/>
      <c r="L286" s="704"/>
      <c r="M286" s="704"/>
      <c r="N286" s="704"/>
      <c r="O286" s="700"/>
    </row>
    <row r="287" spans="1:15" ht="15.75" customHeight="1" x14ac:dyDescent="0.3">
      <c r="A287" s="700"/>
      <c r="B287" s="700"/>
      <c r="C287" s="700"/>
      <c r="D287" s="701"/>
      <c r="E287" s="700"/>
      <c r="F287" s="328"/>
      <c r="G287" s="700"/>
      <c r="H287" s="700"/>
      <c r="I287" s="703"/>
      <c r="J287" s="704"/>
      <c r="K287" s="704"/>
      <c r="L287" s="704"/>
      <c r="M287" s="704"/>
      <c r="N287" s="704"/>
      <c r="O287" s="700"/>
    </row>
    <row r="288" spans="1:15" ht="15.75" customHeight="1" x14ac:dyDescent="0.3">
      <c r="A288" s="700"/>
      <c r="B288" s="700"/>
      <c r="C288" s="700"/>
      <c r="D288" s="701"/>
      <c r="E288" s="700"/>
      <c r="F288" s="328"/>
      <c r="G288" s="700"/>
      <c r="H288" s="700"/>
      <c r="I288" s="703"/>
      <c r="J288" s="704"/>
      <c r="K288" s="704"/>
      <c r="L288" s="704"/>
      <c r="M288" s="704"/>
      <c r="N288" s="704"/>
      <c r="O288" s="700"/>
    </row>
    <row r="289" spans="1:15" ht="15.75" customHeight="1" x14ac:dyDescent="0.3">
      <c r="A289" s="700"/>
      <c r="B289" s="700"/>
      <c r="C289" s="700"/>
      <c r="D289" s="701"/>
      <c r="E289" s="700"/>
      <c r="F289" s="328"/>
      <c r="G289" s="700"/>
      <c r="H289" s="700"/>
      <c r="I289" s="703"/>
      <c r="J289" s="704"/>
      <c r="K289" s="704"/>
      <c r="L289" s="704"/>
      <c r="M289" s="704"/>
      <c r="N289" s="704"/>
      <c r="O289" s="700"/>
    </row>
    <row r="290" spans="1:15" ht="15.75" customHeight="1" x14ac:dyDescent="0.3">
      <c r="A290" s="700"/>
      <c r="B290" s="700"/>
      <c r="C290" s="700"/>
      <c r="D290" s="701"/>
      <c r="E290" s="700"/>
      <c r="F290" s="328"/>
      <c r="G290" s="700"/>
      <c r="H290" s="700"/>
      <c r="I290" s="703"/>
      <c r="J290" s="704"/>
      <c r="K290" s="704"/>
      <c r="L290" s="704"/>
      <c r="M290" s="704"/>
      <c r="N290" s="704"/>
      <c r="O290" s="700"/>
    </row>
    <row r="291" spans="1:15" ht="15.75" customHeight="1" x14ac:dyDescent="0.3">
      <c r="A291" s="700"/>
      <c r="B291" s="700"/>
      <c r="C291" s="700"/>
      <c r="D291" s="701"/>
      <c r="E291" s="700"/>
      <c r="F291" s="328"/>
      <c r="G291" s="700"/>
      <c r="H291" s="700"/>
      <c r="I291" s="703"/>
      <c r="J291" s="704"/>
      <c r="K291" s="704"/>
      <c r="L291" s="704"/>
      <c r="M291" s="704"/>
      <c r="N291" s="704"/>
      <c r="O291" s="700"/>
    </row>
    <row r="292" spans="1:15" ht="15.75" customHeight="1" x14ac:dyDescent="0.3">
      <c r="A292" s="700"/>
      <c r="B292" s="700"/>
      <c r="C292" s="700"/>
      <c r="D292" s="701"/>
      <c r="E292" s="700"/>
      <c r="F292" s="328"/>
      <c r="G292" s="700"/>
      <c r="H292" s="700"/>
      <c r="I292" s="703"/>
      <c r="J292" s="704"/>
      <c r="K292" s="704"/>
      <c r="L292" s="704"/>
      <c r="M292" s="704"/>
      <c r="N292" s="704"/>
      <c r="O292" s="700"/>
    </row>
    <row r="293" spans="1:15" ht="15.75" customHeight="1" x14ac:dyDescent="0.3">
      <c r="A293" s="700"/>
      <c r="B293" s="700"/>
      <c r="C293" s="700"/>
      <c r="D293" s="701"/>
      <c r="E293" s="700"/>
      <c r="F293" s="328"/>
      <c r="G293" s="700"/>
      <c r="H293" s="700"/>
      <c r="I293" s="703"/>
      <c r="J293" s="704"/>
      <c r="K293" s="704"/>
      <c r="L293" s="704"/>
      <c r="M293" s="704"/>
      <c r="N293" s="704"/>
      <c r="O293" s="700"/>
    </row>
    <row r="294" spans="1:15" ht="15.75" customHeight="1" x14ac:dyDescent="0.3">
      <c r="A294" s="700"/>
      <c r="B294" s="700"/>
      <c r="C294" s="700"/>
      <c r="D294" s="701"/>
      <c r="E294" s="700"/>
      <c r="F294" s="328"/>
      <c r="G294" s="700"/>
      <c r="H294" s="700"/>
      <c r="I294" s="703"/>
      <c r="J294" s="704"/>
      <c r="K294" s="704"/>
      <c r="L294" s="704"/>
      <c r="M294" s="704"/>
      <c r="N294" s="704"/>
      <c r="O294" s="700"/>
    </row>
    <row r="295" spans="1:15" ht="15.75" customHeight="1" x14ac:dyDescent="0.3">
      <c r="A295" s="700"/>
      <c r="B295" s="700"/>
      <c r="C295" s="700"/>
      <c r="D295" s="701"/>
      <c r="E295" s="700"/>
      <c r="F295" s="328"/>
      <c r="G295" s="700"/>
      <c r="H295" s="700"/>
      <c r="I295" s="703"/>
      <c r="J295" s="704"/>
      <c r="K295" s="704"/>
      <c r="L295" s="704"/>
      <c r="M295" s="704"/>
      <c r="N295" s="704"/>
      <c r="O295" s="700"/>
    </row>
    <row r="296" spans="1:15" ht="15.75" customHeight="1" x14ac:dyDescent="0.3">
      <c r="A296" s="700"/>
      <c r="B296" s="700"/>
      <c r="C296" s="700"/>
      <c r="D296" s="701"/>
      <c r="E296" s="700"/>
      <c r="F296" s="328"/>
      <c r="G296" s="700"/>
      <c r="H296" s="700"/>
      <c r="I296" s="703"/>
      <c r="J296" s="704"/>
      <c r="K296" s="704"/>
      <c r="L296" s="704"/>
      <c r="M296" s="704"/>
      <c r="N296" s="704"/>
      <c r="O296" s="700"/>
    </row>
    <row r="297" spans="1:15" ht="15.75" customHeight="1" x14ac:dyDescent="0.3">
      <c r="A297" s="700"/>
      <c r="B297" s="700"/>
      <c r="C297" s="700"/>
      <c r="D297" s="701"/>
      <c r="E297" s="700"/>
      <c r="F297" s="328"/>
      <c r="G297" s="700"/>
      <c r="H297" s="700"/>
      <c r="I297" s="703"/>
      <c r="J297" s="704"/>
      <c r="K297" s="704"/>
      <c r="L297" s="704"/>
      <c r="M297" s="704"/>
      <c r="N297" s="704"/>
      <c r="O297" s="700"/>
    </row>
    <row r="298" spans="1:15" ht="15.75" customHeight="1" x14ac:dyDescent="0.3">
      <c r="A298" s="700"/>
      <c r="B298" s="700"/>
      <c r="C298" s="700"/>
      <c r="D298" s="701"/>
      <c r="E298" s="700"/>
      <c r="F298" s="328"/>
      <c r="G298" s="700"/>
      <c r="H298" s="700"/>
      <c r="I298" s="703"/>
      <c r="J298" s="704"/>
      <c r="K298" s="704"/>
      <c r="L298" s="704"/>
      <c r="M298" s="704"/>
      <c r="N298" s="704"/>
      <c r="O298" s="700"/>
    </row>
    <row r="299" spans="1:15" ht="15.75" customHeight="1" x14ac:dyDescent="0.3">
      <c r="A299" s="700"/>
      <c r="B299" s="700"/>
      <c r="C299" s="700"/>
      <c r="D299" s="701"/>
      <c r="E299" s="700"/>
      <c r="F299" s="328"/>
      <c r="G299" s="700"/>
      <c r="H299" s="700"/>
      <c r="I299" s="703"/>
      <c r="J299" s="704"/>
      <c r="K299" s="704"/>
      <c r="L299" s="704"/>
      <c r="M299" s="704"/>
      <c r="N299" s="704"/>
      <c r="O299" s="700"/>
    </row>
    <row r="300" spans="1:15" ht="15.75" customHeight="1" x14ac:dyDescent="0.3">
      <c r="A300" s="700"/>
      <c r="B300" s="700"/>
      <c r="C300" s="700"/>
      <c r="D300" s="701"/>
      <c r="E300" s="700"/>
      <c r="F300" s="328"/>
      <c r="G300" s="700"/>
      <c r="H300" s="700"/>
      <c r="I300" s="703"/>
      <c r="J300" s="704"/>
      <c r="K300" s="704"/>
      <c r="L300" s="704"/>
      <c r="M300" s="704"/>
      <c r="N300" s="704"/>
      <c r="O300" s="700"/>
    </row>
    <row r="301" spans="1:15" ht="15.75" customHeight="1" x14ac:dyDescent="0.3">
      <c r="A301" s="700"/>
      <c r="B301" s="700"/>
      <c r="C301" s="700"/>
      <c r="D301" s="701"/>
      <c r="E301" s="700"/>
      <c r="F301" s="328"/>
      <c r="G301" s="700"/>
      <c r="H301" s="700"/>
      <c r="I301" s="703"/>
      <c r="J301" s="704"/>
      <c r="K301" s="704"/>
      <c r="L301" s="704"/>
      <c r="M301" s="704"/>
      <c r="N301" s="704"/>
      <c r="O301" s="700"/>
    </row>
    <row r="302" spans="1:15" ht="15.75" customHeight="1" x14ac:dyDescent="0.3">
      <c r="A302" s="700"/>
      <c r="B302" s="700"/>
      <c r="C302" s="700"/>
      <c r="D302" s="701"/>
      <c r="E302" s="700"/>
      <c r="F302" s="328"/>
      <c r="G302" s="700"/>
      <c r="H302" s="700"/>
      <c r="I302" s="703"/>
      <c r="J302" s="704"/>
      <c r="K302" s="704"/>
      <c r="L302" s="704"/>
      <c r="M302" s="704"/>
      <c r="N302" s="704"/>
      <c r="O302" s="700"/>
    </row>
    <row r="303" spans="1:15" ht="15.75" customHeight="1" x14ac:dyDescent="0.3">
      <c r="A303" s="700"/>
      <c r="B303" s="700"/>
      <c r="C303" s="700"/>
      <c r="D303" s="701"/>
      <c r="E303" s="700"/>
      <c r="F303" s="328"/>
      <c r="G303" s="700"/>
      <c r="H303" s="700"/>
      <c r="I303" s="703"/>
      <c r="J303" s="704"/>
      <c r="K303" s="704"/>
      <c r="L303" s="704"/>
      <c r="M303" s="704"/>
      <c r="N303" s="704"/>
      <c r="O303" s="700"/>
    </row>
    <row r="304" spans="1:15" ht="15.75" customHeight="1" x14ac:dyDescent="0.3">
      <c r="A304" s="700"/>
      <c r="B304" s="700"/>
      <c r="C304" s="700"/>
      <c r="D304" s="701"/>
      <c r="E304" s="700"/>
      <c r="F304" s="328"/>
      <c r="G304" s="700"/>
      <c r="H304" s="700"/>
      <c r="I304" s="703"/>
      <c r="J304" s="704"/>
      <c r="K304" s="704"/>
      <c r="L304" s="704"/>
      <c r="M304" s="704"/>
      <c r="N304" s="704"/>
      <c r="O304" s="700"/>
    </row>
    <row r="305" spans="1:15" ht="15.75" customHeight="1" x14ac:dyDescent="0.3">
      <c r="A305" s="700"/>
      <c r="B305" s="700"/>
      <c r="C305" s="700"/>
      <c r="D305" s="701"/>
      <c r="E305" s="700"/>
      <c r="F305" s="328"/>
      <c r="G305" s="700"/>
      <c r="H305" s="700"/>
      <c r="I305" s="703"/>
      <c r="J305" s="704"/>
      <c r="K305" s="704"/>
      <c r="L305" s="704"/>
      <c r="M305" s="704"/>
      <c r="N305" s="704"/>
      <c r="O305" s="700"/>
    </row>
    <row r="306" spans="1:15" ht="15.75" customHeight="1" x14ac:dyDescent="0.3">
      <c r="A306" s="700"/>
      <c r="B306" s="700"/>
      <c r="C306" s="700"/>
      <c r="D306" s="701"/>
      <c r="E306" s="700"/>
      <c r="F306" s="328"/>
      <c r="G306" s="700"/>
      <c r="H306" s="700"/>
      <c r="I306" s="703"/>
      <c r="J306" s="704"/>
      <c r="K306" s="704"/>
      <c r="L306" s="704"/>
      <c r="M306" s="704"/>
      <c r="N306" s="704"/>
      <c r="O306" s="700"/>
    </row>
    <row r="307" spans="1:15" ht="15.75" customHeight="1" x14ac:dyDescent="0.3">
      <c r="A307" s="700"/>
      <c r="B307" s="700"/>
      <c r="C307" s="700"/>
      <c r="D307" s="701"/>
      <c r="E307" s="700"/>
      <c r="F307" s="328"/>
      <c r="G307" s="700"/>
      <c r="H307" s="700"/>
      <c r="I307" s="703"/>
      <c r="J307" s="704"/>
      <c r="K307" s="704"/>
      <c r="L307" s="704"/>
      <c r="M307" s="704"/>
      <c r="N307" s="704"/>
      <c r="O307" s="700"/>
    </row>
    <row r="308" spans="1:15" ht="15.75" customHeight="1" x14ac:dyDescent="0.3">
      <c r="A308" s="700"/>
      <c r="B308" s="700"/>
      <c r="C308" s="700"/>
      <c r="D308" s="701"/>
      <c r="E308" s="700"/>
      <c r="F308" s="328"/>
      <c r="G308" s="700"/>
      <c r="H308" s="700"/>
      <c r="I308" s="703"/>
      <c r="J308" s="704"/>
      <c r="K308" s="704"/>
      <c r="L308" s="704"/>
      <c r="M308" s="704"/>
      <c r="N308" s="704"/>
      <c r="O308" s="700"/>
    </row>
    <row r="309" spans="1:15" ht="15.75" customHeight="1" x14ac:dyDescent="0.3">
      <c r="A309" s="700"/>
      <c r="B309" s="700"/>
      <c r="C309" s="700"/>
      <c r="D309" s="701"/>
      <c r="E309" s="700"/>
      <c r="F309" s="328"/>
      <c r="G309" s="700"/>
      <c r="H309" s="700"/>
      <c r="I309" s="703"/>
      <c r="J309" s="704"/>
      <c r="K309" s="704"/>
      <c r="L309" s="704"/>
      <c r="M309" s="704"/>
      <c r="N309" s="704"/>
      <c r="O309" s="700"/>
    </row>
    <row r="310" spans="1:15" ht="15.75" customHeight="1" x14ac:dyDescent="0.3">
      <c r="A310" s="700"/>
      <c r="B310" s="700"/>
      <c r="C310" s="700"/>
      <c r="D310" s="701"/>
      <c r="E310" s="700"/>
      <c r="F310" s="328"/>
      <c r="G310" s="700"/>
      <c r="H310" s="700"/>
      <c r="I310" s="703"/>
      <c r="J310" s="704"/>
      <c r="K310" s="704"/>
      <c r="L310" s="704"/>
      <c r="M310" s="704"/>
      <c r="N310" s="704"/>
      <c r="O310" s="700"/>
    </row>
    <row r="311" spans="1:15" ht="15.75" customHeight="1" x14ac:dyDescent="0.3">
      <c r="A311" s="700"/>
      <c r="B311" s="700"/>
      <c r="C311" s="700"/>
      <c r="D311" s="701"/>
      <c r="E311" s="700"/>
      <c r="F311" s="328"/>
      <c r="G311" s="700"/>
      <c r="H311" s="700"/>
      <c r="I311" s="703"/>
      <c r="J311" s="704"/>
      <c r="K311" s="704"/>
      <c r="L311" s="704"/>
      <c r="M311" s="704"/>
      <c r="N311" s="704"/>
      <c r="O311" s="700"/>
    </row>
    <row r="312" spans="1:15" ht="15.75" customHeight="1" x14ac:dyDescent="0.3">
      <c r="A312" s="700"/>
      <c r="B312" s="700"/>
      <c r="C312" s="700"/>
      <c r="D312" s="701"/>
      <c r="E312" s="700"/>
      <c r="F312" s="328"/>
      <c r="G312" s="700"/>
      <c r="H312" s="700"/>
      <c r="I312" s="703"/>
      <c r="J312" s="704"/>
      <c r="K312" s="704"/>
      <c r="L312" s="704"/>
      <c r="M312" s="704"/>
      <c r="N312" s="704"/>
      <c r="O312" s="700"/>
    </row>
    <row r="313" spans="1:15" ht="15.75" customHeight="1" x14ac:dyDescent="0.3">
      <c r="A313" s="700"/>
      <c r="B313" s="700"/>
      <c r="C313" s="700"/>
      <c r="D313" s="701"/>
      <c r="E313" s="700"/>
      <c r="F313" s="328"/>
      <c r="G313" s="700"/>
      <c r="H313" s="700"/>
      <c r="I313" s="703"/>
      <c r="J313" s="704"/>
      <c r="K313" s="704"/>
      <c r="L313" s="704"/>
      <c r="M313" s="704"/>
      <c r="N313" s="704"/>
      <c r="O313" s="700"/>
    </row>
    <row r="314" spans="1:15" ht="15.75" customHeight="1" x14ac:dyDescent="0.3">
      <c r="A314" s="700"/>
      <c r="B314" s="700"/>
      <c r="C314" s="700"/>
      <c r="D314" s="701"/>
      <c r="E314" s="700"/>
      <c r="F314" s="328"/>
      <c r="G314" s="700"/>
      <c r="H314" s="700"/>
      <c r="I314" s="703"/>
      <c r="J314" s="704"/>
      <c r="K314" s="704"/>
      <c r="L314" s="704"/>
      <c r="M314" s="704"/>
      <c r="N314" s="704"/>
      <c r="O314" s="700"/>
    </row>
    <row r="315" spans="1:15" ht="15.75" customHeight="1" x14ac:dyDescent="0.3">
      <c r="A315" s="700"/>
      <c r="B315" s="700"/>
      <c r="C315" s="700"/>
      <c r="D315" s="701"/>
      <c r="E315" s="700"/>
      <c r="F315" s="328"/>
      <c r="G315" s="700"/>
      <c r="H315" s="700"/>
      <c r="I315" s="703"/>
      <c r="J315" s="704"/>
      <c r="K315" s="704"/>
      <c r="L315" s="704"/>
      <c r="M315" s="704"/>
      <c r="N315" s="704"/>
      <c r="O315" s="700"/>
    </row>
    <row r="316" spans="1:15" ht="15.75" customHeight="1" x14ac:dyDescent="0.3">
      <c r="A316" s="700"/>
      <c r="B316" s="700"/>
      <c r="C316" s="700"/>
      <c r="D316" s="701"/>
      <c r="E316" s="700"/>
      <c r="F316" s="328"/>
      <c r="G316" s="700"/>
      <c r="H316" s="700"/>
      <c r="I316" s="703"/>
      <c r="J316" s="704"/>
      <c r="K316" s="704"/>
      <c r="L316" s="704"/>
      <c r="M316" s="704"/>
      <c r="N316" s="704"/>
      <c r="O316" s="700"/>
    </row>
    <row r="317" spans="1:15" ht="15.75" customHeight="1" x14ac:dyDescent="0.3">
      <c r="A317" s="700"/>
      <c r="B317" s="700"/>
      <c r="C317" s="700"/>
      <c r="D317" s="701"/>
      <c r="E317" s="700"/>
      <c r="F317" s="328"/>
      <c r="G317" s="700"/>
      <c r="H317" s="700"/>
      <c r="I317" s="703"/>
      <c r="J317" s="704"/>
      <c r="K317" s="704"/>
      <c r="L317" s="704"/>
      <c r="M317" s="704"/>
      <c r="N317" s="704"/>
      <c r="O317" s="700"/>
    </row>
    <row r="318" spans="1:15" ht="15.75" customHeight="1" x14ac:dyDescent="0.3">
      <c r="A318" s="700"/>
      <c r="B318" s="700"/>
      <c r="C318" s="700"/>
      <c r="D318" s="701"/>
      <c r="E318" s="700"/>
      <c r="F318" s="328"/>
      <c r="G318" s="700"/>
      <c r="H318" s="700"/>
      <c r="I318" s="703"/>
      <c r="J318" s="704"/>
      <c r="K318" s="704"/>
      <c r="L318" s="704"/>
      <c r="M318" s="704"/>
      <c r="N318" s="704"/>
      <c r="O318" s="700"/>
    </row>
    <row r="319" spans="1:15" ht="15.75" customHeight="1" x14ac:dyDescent="0.3">
      <c r="A319" s="700"/>
      <c r="B319" s="700"/>
      <c r="C319" s="700"/>
      <c r="D319" s="701"/>
      <c r="E319" s="700"/>
      <c r="F319" s="328"/>
      <c r="G319" s="700"/>
      <c r="H319" s="700"/>
      <c r="I319" s="703"/>
      <c r="J319" s="704"/>
      <c r="K319" s="704"/>
      <c r="L319" s="704"/>
      <c r="M319" s="704"/>
      <c r="N319" s="704"/>
      <c r="O319" s="700"/>
    </row>
    <row r="320" spans="1:15" ht="15.75" customHeight="1" x14ac:dyDescent="0.3">
      <c r="A320" s="700"/>
      <c r="B320" s="700"/>
      <c r="C320" s="700"/>
      <c r="D320" s="701"/>
      <c r="E320" s="700"/>
      <c r="F320" s="328"/>
      <c r="G320" s="700"/>
      <c r="H320" s="700"/>
      <c r="I320" s="703"/>
      <c r="J320" s="704"/>
      <c r="K320" s="704"/>
      <c r="L320" s="704"/>
      <c r="M320" s="704"/>
      <c r="N320" s="704"/>
      <c r="O320" s="700"/>
    </row>
    <row r="321" spans="1:15" ht="15.75" customHeight="1" x14ac:dyDescent="0.3">
      <c r="A321" s="700"/>
      <c r="B321" s="700"/>
      <c r="C321" s="700"/>
      <c r="D321" s="701"/>
      <c r="E321" s="700"/>
      <c r="F321" s="328"/>
      <c r="G321" s="700"/>
      <c r="H321" s="700"/>
      <c r="I321" s="703"/>
      <c r="J321" s="704"/>
      <c r="K321" s="704"/>
      <c r="L321" s="704"/>
      <c r="M321" s="704"/>
      <c r="N321" s="704"/>
      <c r="O321" s="700"/>
    </row>
    <row r="322" spans="1:15" ht="15.75" customHeight="1" x14ac:dyDescent="0.3">
      <c r="A322" s="700"/>
      <c r="B322" s="700"/>
      <c r="C322" s="700"/>
      <c r="D322" s="701"/>
      <c r="E322" s="700"/>
      <c r="F322" s="328"/>
      <c r="G322" s="700"/>
      <c r="H322" s="700"/>
      <c r="I322" s="703"/>
      <c r="J322" s="704"/>
      <c r="K322" s="704"/>
      <c r="L322" s="704"/>
      <c r="M322" s="704"/>
      <c r="N322" s="704"/>
      <c r="O322" s="700"/>
    </row>
    <row r="323" spans="1:15" ht="15.75" customHeight="1" x14ac:dyDescent="0.3">
      <c r="A323" s="700"/>
      <c r="B323" s="700"/>
      <c r="C323" s="700"/>
      <c r="D323" s="701"/>
      <c r="E323" s="700"/>
      <c r="F323" s="328"/>
      <c r="G323" s="700"/>
      <c r="H323" s="700"/>
      <c r="I323" s="703"/>
      <c r="J323" s="704"/>
      <c r="K323" s="704"/>
      <c r="L323" s="704"/>
      <c r="M323" s="704"/>
      <c r="N323" s="704"/>
      <c r="O323" s="700"/>
    </row>
    <row r="324" spans="1:15" ht="15.75" customHeight="1" x14ac:dyDescent="0.3">
      <c r="A324" s="700"/>
      <c r="B324" s="700"/>
      <c r="C324" s="700"/>
      <c r="D324" s="701"/>
      <c r="E324" s="700"/>
      <c r="F324" s="328"/>
      <c r="G324" s="700"/>
      <c r="H324" s="700"/>
      <c r="I324" s="703"/>
      <c r="J324" s="704"/>
      <c r="K324" s="704"/>
      <c r="L324" s="704"/>
      <c r="M324" s="704"/>
      <c r="N324" s="704"/>
      <c r="O324" s="700"/>
    </row>
    <row r="325" spans="1:15" ht="15.75" customHeight="1" x14ac:dyDescent="0.3">
      <c r="A325" s="700"/>
      <c r="B325" s="700"/>
      <c r="C325" s="700"/>
      <c r="D325" s="701"/>
      <c r="E325" s="700"/>
      <c r="F325" s="328"/>
      <c r="G325" s="700"/>
      <c r="H325" s="700"/>
      <c r="I325" s="703"/>
      <c r="J325" s="704"/>
      <c r="K325" s="704"/>
      <c r="L325" s="704"/>
      <c r="M325" s="704"/>
      <c r="N325" s="704"/>
      <c r="O325" s="700"/>
    </row>
    <row r="326" spans="1:15" ht="15.75" customHeight="1" x14ac:dyDescent="0.3">
      <c r="A326" s="700"/>
      <c r="B326" s="700"/>
      <c r="C326" s="700"/>
      <c r="D326" s="701"/>
      <c r="E326" s="700"/>
      <c r="F326" s="328"/>
      <c r="G326" s="700"/>
      <c r="H326" s="700"/>
      <c r="I326" s="703"/>
      <c r="J326" s="704"/>
      <c r="K326" s="704"/>
      <c r="L326" s="704"/>
      <c r="M326" s="704"/>
      <c r="N326" s="704"/>
      <c r="O326" s="700"/>
    </row>
    <row r="327" spans="1:15" ht="15.75" customHeight="1" x14ac:dyDescent="0.3">
      <c r="A327" s="700"/>
      <c r="B327" s="700"/>
      <c r="C327" s="700"/>
      <c r="D327" s="701"/>
      <c r="E327" s="700"/>
      <c r="F327" s="328"/>
      <c r="G327" s="700"/>
      <c r="H327" s="700"/>
      <c r="I327" s="703"/>
      <c r="J327" s="704"/>
      <c r="K327" s="704"/>
      <c r="L327" s="704"/>
      <c r="M327" s="704"/>
      <c r="N327" s="704"/>
      <c r="O327" s="700"/>
    </row>
    <row r="328" spans="1:15" ht="15.75" customHeight="1" x14ac:dyDescent="0.3">
      <c r="A328" s="700"/>
      <c r="B328" s="700"/>
      <c r="C328" s="700"/>
      <c r="D328" s="701"/>
      <c r="E328" s="700"/>
      <c r="F328" s="328"/>
      <c r="G328" s="700"/>
      <c r="H328" s="700"/>
      <c r="I328" s="703"/>
      <c r="J328" s="704"/>
      <c r="K328" s="704"/>
      <c r="L328" s="704"/>
      <c r="M328" s="704"/>
      <c r="N328" s="704"/>
      <c r="O328" s="700"/>
    </row>
    <row r="329" spans="1:15" ht="15.75" customHeight="1" x14ac:dyDescent="0.3">
      <c r="A329" s="700"/>
      <c r="B329" s="700"/>
      <c r="C329" s="700"/>
      <c r="D329" s="701"/>
      <c r="E329" s="700"/>
      <c r="F329" s="328"/>
      <c r="G329" s="700"/>
      <c r="H329" s="700"/>
      <c r="I329" s="703"/>
      <c r="J329" s="704"/>
      <c r="K329" s="704"/>
      <c r="L329" s="704"/>
      <c r="M329" s="704"/>
      <c r="N329" s="704"/>
      <c r="O329" s="700"/>
    </row>
    <row r="330" spans="1:15" ht="15.75" customHeight="1" x14ac:dyDescent="0.3">
      <c r="A330" s="700"/>
      <c r="B330" s="700"/>
      <c r="C330" s="700"/>
      <c r="D330" s="701"/>
      <c r="E330" s="700"/>
      <c r="F330" s="328"/>
      <c r="G330" s="700"/>
      <c r="H330" s="700"/>
      <c r="I330" s="703"/>
      <c r="J330" s="704"/>
      <c r="K330" s="704"/>
      <c r="L330" s="704"/>
      <c r="M330" s="704"/>
      <c r="N330" s="704"/>
      <c r="O330" s="700"/>
    </row>
    <row r="331" spans="1:15" ht="15.75" customHeight="1" x14ac:dyDescent="0.3">
      <c r="A331" s="700"/>
      <c r="B331" s="700"/>
      <c r="C331" s="700"/>
      <c r="D331" s="701"/>
      <c r="E331" s="700"/>
      <c r="F331" s="328"/>
      <c r="G331" s="700"/>
      <c r="H331" s="700"/>
      <c r="I331" s="703"/>
      <c r="J331" s="704"/>
      <c r="K331" s="704"/>
      <c r="L331" s="704"/>
      <c r="M331" s="704"/>
      <c r="N331" s="704"/>
      <c r="O331" s="700"/>
    </row>
    <row r="332" spans="1:15" ht="15.75" customHeight="1" x14ac:dyDescent="0.3">
      <c r="A332" s="700"/>
      <c r="B332" s="700"/>
      <c r="C332" s="700"/>
      <c r="D332" s="701"/>
      <c r="E332" s="700"/>
      <c r="F332" s="328"/>
      <c r="G332" s="700"/>
      <c r="H332" s="700"/>
      <c r="I332" s="703"/>
      <c r="J332" s="704"/>
      <c r="K332" s="704"/>
      <c r="L332" s="704"/>
      <c r="M332" s="704"/>
      <c r="N332" s="704"/>
      <c r="O332" s="700"/>
    </row>
    <row r="333" spans="1:15" ht="15.75" customHeight="1" x14ac:dyDescent="0.3">
      <c r="A333" s="700"/>
      <c r="B333" s="700"/>
      <c r="C333" s="700"/>
      <c r="D333" s="701"/>
      <c r="E333" s="700"/>
      <c r="F333" s="328"/>
      <c r="G333" s="700"/>
      <c r="H333" s="700"/>
      <c r="I333" s="703"/>
      <c r="J333" s="704"/>
      <c r="K333" s="704"/>
      <c r="L333" s="704"/>
      <c r="M333" s="704"/>
      <c r="N333" s="704"/>
      <c r="O333" s="700"/>
    </row>
    <row r="334" spans="1:15" ht="15.75" customHeight="1" x14ac:dyDescent="0.3">
      <c r="A334" s="700"/>
      <c r="B334" s="700"/>
      <c r="C334" s="700"/>
      <c r="D334" s="701"/>
      <c r="E334" s="700"/>
      <c r="F334" s="328"/>
      <c r="G334" s="700"/>
      <c r="H334" s="700"/>
      <c r="I334" s="703"/>
      <c r="J334" s="704"/>
      <c r="K334" s="704"/>
      <c r="L334" s="704"/>
      <c r="M334" s="704"/>
      <c r="N334" s="704"/>
      <c r="O334" s="700"/>
    </row>
    <row r="335" spans="1:15" ht="15.75" customHeight="1" x14ac:dyDescent="0.3">
      <c r="A335" s="700"/>
      <c r="B335" s="700"/>
      <c r="C335" s="700"/>
      <c r="D335" s="701"/>
      <c r="E335" s="700"/>
      <c r="F335" s="328"/>
      <c r="G335" s="700"/>
      <c r="H335" s="700"/>
      <c r="I335" s="703"/>
      <c r="J335" s="704"/>
      <c r="K335" s="704"/>
      <c r="L335" s="704"/>
      <c r="M335" s="704"/>
      <c r="N335" s="704"/>
      <c r="O335" s="700"/>
    </row>
    <row r="336" spans="1:15" ht="15.75" customHeight="1" x14ac:dyDescent="0.3">
      <c r="A336" s="700"/>
      <c r="B336" s="700"/>
      <c r="C336" s="700"/>
      <c r="D336" s="701"/>
      <c r="E336" s="700"/>
      <c r="F336" s="328"/>
      <c r="G336" s="700"/>
      <c r="H336" s="700"/>
      <c r="I336" s="703"/>
      <c r="J336" s="704"/>
      <c r="K336" s="704"/>
      <c r="L336" s="704"/>
      <c r="M336" s="704"/>
      <c r="N336" s="704"/>
      <c r="O336" s="700"/>
    </row>
    <row r="337" spans="1:15" ht="15.75" customHeight="1" x14ac:dyDescent="0.3">
      <c r="A337" s="700"/>
      <c r="B337" s="700"/>
      <c r="C337" s="700"/>
      <c r="D337" s="701"/>
      <c r="E337" s="700"/>
      <c r="F337" s="328"/>
      <c r="G337" s="700"/>
      <c r="H337" s="700"/>
      <c r="I337" s="703"/>
      <c r="J337" s="704"/>
      <c r="K337" s="704"/>
      <c r="L337" s="704"/>
      <c r="M337" s="704"/>
      <c r="N337" s="704"/>
      <c r="O337" s="700"/>
    </row>
    <row r="338" spans="1:15" ht="15.75" customHeight="1" x14ac:dyDescent="0.3">
      <c r="A338" s="700"/>
      <c r="B338" s="700"/>
      <c r="C338" s="700"/>
      <c r="D338" s="701"/>
      <c r="E338" s="700"/>
      <c r="F338" s="328"/>
      <c r="G338" s="700"/>
      <c r="H338" s="700"/>
      <c r="I338" s="703"/>
      <c r="J338" s="704"/>
      <c r="K338" s="704"/>
      <c r="L338" s="704"/>
      <c r="M338" s="704"/>
      <c r="N338" s="704"/>
      <c r="O338" s="700"/>
    </row>
    <row r="339" spans="1:15" ht="15.75" customHeight="1" x14ac:dyDescent="0.3">
      <c r="A339" s="700"/>
      <c r="B339" s="700"/>
      <c r="C339" s="700"/>
      <c r="D339" s="701"/>
      <c r="E339" s="700"/>
      <c r="F339" s="328"/>
      <c r="G339" s="700"/>
      <c r="H339" s="700"/>
      <c r="I339" s="703"/>
      <c r="J339" s="704"/>
      <c r="K339" s="704"/>
      <c r="L339" s="704"/>
      <c r="M339" s="704"/>
      <c r="N339" s="704"/>
      <c r="O339" s="700"/>
    </row>
    <row r="340" spans="1:15" ht="15.75" customHeight="1" x14ac:dyDescent="0.3">
      <c r="A340" s="700"/>
      <c r="B340" s="700"/>
      <c r="C340" s="700"/>
      <c r="D340" s="701"/>
      <c r="E340" s="700"/>
      <c r="F340" s="328"/>
      <c r="G340" s="700"/>
      <c r="H340" s="700"/>
      <c r="I340" s="703"/>
      <c r="J340" s="704"/>
      <c r="K340" s="704"/>
      <c r="L340" s="704"/>
      <c r="M340" s="704"/>
      <c r="N340" s="704"/>
      <c r="O340" s="700"/>
    </row>
    <row r="341" spans="1:15" ht="15.75" customHeight="1" x14ac:dyDescent="0.3">
      <c r="A341" s="700"/>
      <c r="B341" s="700"/>
      <c r="C341" s="700"/>
      <c r="D341" s="701"/>
      <c r="E341" s="700"/>
      <c r="F341" s="328"/>
      <c r="G341" s="700"/>
      <c r="H341" s="700"/>
      <c r="I341" s="703"/>
      <c r="J341" s="704"/>
      <c r="K341" s="704"/>
      <c r="L341" s="704"/>
      <c r="M341" s="704"/>
      <c r="N341" s="704"/>
      <c r="O341" s="700"/>
    </row>
    <row r="342" spans="1:15" ht="15.75" customHeight="1" x14ac:dyDescent="0.3">
      <c r="A342" s="700"/>
      <c r="B342" s="700"/>
      <c r="C342" s="700"/>
      <c r="D342" s="701"/>
      <c r="E342" s="700"/>
      <c r="F342" s="328"/>
      <c r="G342" s="700"/>
      <c r="H342" s="700"/>
      <c r="I342" s="703"/>
      <c r="J342" s="704"/>
      <c r="K342" s="704"/>
      <c r="L342" s="704"/>
      <c r="M342" s="704"/>
      <c r="N342" s="704"/>
      <c r="O342" s="700"/>
    </row>
    <row r="343" spans="1:15" ht="15.75" customHeight="1" x14ac:dyDescent="0.3">
      <c r="A343" s="700"/>
      <c r="B343" s="700"/>
      <c r="C343" s="700"/>
      <c r="D343" s="701"/>
      <c r="E343" s="700"/>
      <c r="F343" s="328"/>
      <c r="G343" s="700"/>
      <c r="H343" s="700"/>
      <c r="I343" s="703"/>
      <c r="J343" s="704"/>
      <c r="K343" s="704"/>
      <c r="L343" s="704"/>
      <c r="M343" s="704"/>
      <c r="N343" s="704"/>
      <c r="O343" s="700"/>
    </row>
    <row r="344" spans="1:15" ht="15.75" customHeight="1" x14ac:dyDescent="0.3">
      <c r="A344" s="700"/>
      <c r="B344" s="700"/>
      <c r="C344" s="700"/>
      <c r="D344" s="701"/>
      <c r="E344" s="700"/>
      <c r="F344" s="328"/>
      <c r="G344" s="700"/>
      <c r="H344" s="700"/>
      <c r="I344" s="703"/>
      <c r="J344" s="704"/>
      <c r="K344" s="704"/>
      <c r="L344" s="704"/>
      <c r="M344" s="704"/>
      <c r="N344" s="704"/>
      <c r="O344" s="700"/>
    </row>
    <row r="345" spans="1:15" ht="15.75" customHeight="1" x14ac:dyDescent="0.3">
      <c r="A345" s="700"/>
      <c r="B345" s="700"/>
      <c r="C345" s="700"/>
      <c r="D345" s="701"/>
      <c r="E345" s="700"/>
      <c r="F345" s="328"/>
      <c r="G345" s="700"/>
      <c r="H345" s="700"/>
      <c r="I345" s="703"/>
      <c r="J345" s="704"/>
      <c r="K345" s="704"/>
      <c r="L345" s="704"/>
      <c r="M345" s="704"/>
      <c r="N345" s="704"/>
      <c r="O345" s="700"/>
    </row>
    <row r="346" spans="1:15" ht="15.75" customHeight="1" x14ac:dyDescent="0.3">
      <c r="A346" s="700"/>
      <c r="B346" s="700"/>
      <c r="C346" s="700"/>
      <c r="D346" s="701"/>
      <c r="E346" s="700"/>
      <c r="F346" s="328"/>
      <c r="G346" s="700"/>
      <c r="H346" s="700"/>
      <c r="I346" s="703"/>
      <c r="J346" s="704"/>
      <c r="K346" s="704"/>
      <c r="L346" s="704"/>
      <c r="M346" s="704"/>
      <c r="N346" s="704"/>
      <c r="O346" s="700"/>
    </row>
    <row r="347" spans="1:15" ht="15.75" customHeight="1" x14ac:dyDescent="0.3">
      <c r="A347" s="700"/>
      <c r="B347" s="700"/>
      <c r="C347" s="700"/>
      <c r="D347" s="701"/>
      <c r="E347" s="700"/>
      <c r="F347" s="328"/>
      <c r="G347" s="700"/>
      <c r="H347" s="700"/>
      <c r="I347" s="703"/>
      <c r="J347" s="704"/>
      <c r="K347" s="704"/>
      <c r="L347" s="704"/>
      <c r="M347" s="704"/>
      <c r="N347" s="704"/>
      <c r="O347" s="700"/>
    </row>
    <row r="348" spans="1:15" ht="15.75" customHeight="1" x14ac:dyDescent="0.3">
      <c r="A348" s="700"/>
      <c r="B348" s="700"/>
      <c r="C348" s="700"/>
      <c r="D348" s="701"/>
      <c r="E348" s="700"/>
      <c r="F348" s="328"/>
      <c r="G348" s="700"/>
      <c r="H348" s="700"/>
      <c r="I348" s="703"/>
      <c r="J348" s="704"/>
      <c r="K348" s="704"/>
      <c r="L348" s="704"/>
      <c r="M348" s="704"/>
      <c r="N348" s="704"/>
      <c r="O348" s="700"/>
    </row>
    <row r="349" spans="1:15" ht="15.75" customHeight="1" x14ac:dyDescent="0.3">
      <c r="A349" s="700"/>
      <c r="B349" s="700"/>
      <c r="C349" s="700"/>
      <c r="D349" s="701"/>
      <c r="E349" s="700"/>
      <c r="F349" s="328"/>
      <c r="G349" s="700"/>
      <c r="H349" s="700"/>
      <c r="I349" s="703"/>
      <c r="J349" s="704"/>
      <c r="K349" s="704"/>
      <c r="L349" s="704"/>
      <c r="M349" s="704"/>
      <c r="N349" s="704"/>
      <c r="O349" s="700"/>
    </row>
    <row r="350" spans="1:15" ht="15.75" customHeight="1" x14ac:dyDescent="0.3">
      <c r="A350" s="700"/>
      <c r="B350" s="700"/>
      <c r="C350" s="700"/>
      <c r="D350" s="701"/>
      <c r="E350" s="700"/>
      <c r="F350" s="328"/>
      <c r="G350" s="700"/>
      <c r="H350" s="700"/>
      <c r="I350" s="703"/>
      <c r="J350" s="704"/>
      <c r="K350" s="704"/>
      <c r="L350" s="704"/>
      <c r="M350" s="704"/>
      <c r="N350" s="704"/>
      <c r="O350" s="700"/>
    </row>
    <row r="351" spans="1:15" ht="15.75" customHeight="1" x14ac:dyDescent="0.3">
      <c r="A351" s="700"/>
      <c r="B351" s="700"/>
      <c r="C351" s="700"/>
      <c r="D351" s="701"/>
      <c r="E351" s="700"/>
      <c r="F351" s="328"/>
      <c r="G351" s="700"/>
      <c r="H351" s="700"/>
      <c r="I351" s="703"/>
      <c r="J351" s="704"/>
      <c r="K351" s="704"/>
      <c r="L351" s="704"/>
      <c r="M351" s="704"/>
      <c r="N351" s="704"/>
      <c r="O351" s="700"/>
    </row>
    <row r="352" spans="1:15" ht="15.75" customHeight="1" x14ac:dyDescent="0.3">
      <c r="A352" s="700"/>
      <c r="B352" s="700"/>
      <c r="C352" s="700"/>
      <c r="D352" s="701"/>
      <c r="E352" s="700"/>
      <c r="F352" s="328"/>
      <c r="G352" s="700"/>
      <c r="H352" s="700"/>
      <c r="I352" s="703"/>
      <c r="J352" s="704"/>
      <c r="K352" s="704"/>
      <c r="L352" s="704"/>
      <c r="M352" s="704"/>
      <c r="N352" s="704"/>
      <c r="O352" s="700"/>
    </row>
    <row r="353" spans="1:15" ht="15.75" customHeight="1" x14ac:dyDescent="0.3">
      <c r="A353" s="700"/>
      <c r="B353" s="700"/>
      <c r="C353" s="700"/>
      <c r="D353" s="701"/>
      <c r="E353" s="700"/>
      <c r="F353" s="328"/>
      <c r="G353" s="700"/>
      <c r="H353" s="700"/>
      <c r="I353" s="703"/>
      <c r="J353" s="704"/>
      <c r="K353" s="704"/>
      <c r="L353" s="704"/>
      <c r="M353" s="704"/>
      <c r="N353" s="704"/>
      <c r="O353" s="700"/>
    </row>
    <row r="354" spans="1:15" ht="15.75" customHeight="1" x14ac:dyDescent="0.3">
      <c r="A354" s="700"/>
      <c r="B354" s="700"/>
      <c r="C354" s="700"/>
      <c r="D354" s="701"/>
      <c r="E354" s="700"/>
      <c r="F354" s="328"/>
      <c r="G354" s="700"/>
      <c r="H354" s="700"/>
      <c r="I354" s="703"/>
      <c r="J354" s="704"/>
      <c r="K354" s="704"/>
      <c r="L354" s="704"/>
      <c r="M354" s="704"/>
      <c r="N354" s="704"/>
      <c r="O354" s="700"/>
    </row>
    <row r="355" spans="1:15" ht="15.75" customHeight="1" x14ac:dyDescent="0.25">
      <c r="A355" s="619"/>
      <c r="B355" s="619"/>
      <c r="C355" s="619"/>
      <c r="D355" s="708"/>
      <c r="E355" s="619"/>
      <c r="F355" s="329"/>
      <c r="G355" s="619"/>
      <c r="H355" s="619"/>
      <c r="I355" s="710"/>
      <c r="J355" s="710"/>
      <c r="K355" s="710"/>
      <c r="L355" s="710"/>
      <c r="M355" s="710"/>
      <c r="N355" s="710"/>
      <c r="O355" s="619"/>
    </row>
    <row r="356" spans="1:15" ht="15.75" customHeight="1" x14ac:dyDescent="0.25">
      <c r="A356" s="619"/>
      <c r="B356" s="619"/>
      <c r="C356" s="619"/>
      <c r="D356" s="708"/>
      <c r="E356" s="619"/>
      <c r="F356" s="329"/>
      <c r="G356" s="619"/>
      <c r="H356" s="619"/>
      <c r="I356" s="710"/>
      <c r="J356" s="710"/>
      <c r="K356" s="710"/>
      <c r="L356" s="710"/>
      <c r="M356" s="710"/>
      <c r="N356" s="710"/>
      <c r="O356" s="619"/>
    </row>
    <row r="357" spans="1:15" ht="15.75" customHeight="1" x14ac:dyDescent="0.25">
      <c r="A357" s="619"/>
      <c r="B357" s="619"/>
      <c r="C357" s="619"/>
      <c r="D357" s="708"/>
      <c r="E357" s="619"/>
      <c r="F357" s="329"/>
      <c r="G357" s="619"/>
      <c r="H357" s="619"/>
      <c r="I357" s="710"/>
      <c r="J357" s="710"/>
      <c r="K357" s="710"/>
      <c r="L357" s="710"/>
      <c r="M357" s="710"/>
      <c r="N357" s="710"/>
      <c r="O357" s="619"/>
    </row>
    <row r="358" spans="1:15" ht="15.75" customHeight="1" x14ac:dyDescent="0.25">
      <c r="A358" s="619"/>
      <c r="B358" s="619"/>
      <c r="C358" s="619"/>
      <c r="D358" s="708"/>
      <c r="E358" s="619"/>
      <c r="F358" s="329"/>
      <c r="G358" s="619"/>
      <c r="H358" s="619"/>
      <c r="I358" s="710"/>
      <c r="J358" s="710"/>
      <c r="K358" s="710"/>
      <c r="L358" s="710"/>
      <c r="M358" s="710"/>
      <c r="N358" s="710"/>
      <c r="O358" s="619"/>
    </row>
    <row r="359" spans="1:15" ht="15.75" customHeight="1" x14ac:dyDescent="0.25">
      <c r="A359" s="619"/>
      <c r="B359" s="619"/>
      <c r="C359" s="619"/>
      <c r="D359" s="708"/>
      <c r="E359" s="619"/>
      <c r="F359" s="329"/>
      <c r="G359" s="619"/>
      <c r="H359" s="619"/>
      <c r="I359" s="710"/>
      <c r="J359" s="710"/>
      <c r="K359" s="710"/>
      <c r="L359" s="710"/>
      <c r="M359" s="710"/>
      <c r="N359" s="710"/>
      <c r="O359" s="619"/>
    </row>
    <row r="360" spans="1:15" ht="15.75" customHeight="1" x14ac:dyDescent="0.25">
      <c r="A360" s="619"/>
      <c r="B360" s="619"/>
      <c r="C360" s="619"/>
      <c r="D360" s="708"/>
      <c r="E360" s="619"/>
      <c r="F360" s="329"/>
      <c r="G360" s="619"/>
      <c r="H360" s="619"/>
      <c r="I360" s="710"/>
      <c r="J360" s="710"/>
      <c r="K360" s="710"/>
      <c r="L360" s="710"/>
      <c r="M360" s="710"/>
      <c r="N360" s="710"/>
      <c r="O360" s="619"/>
    </row>
    <row r="361" spans="1:15" ht="15.75" customHeight="1" x14ac:dyDescent="0.25">
      <c r="A361" s="619"/>
      <c r="B361" s="619"/>
      <c r="C361" s="619"/>
      <c r="D361" s="708"/>
      <c r="E361" s="619"/>
      <c r="F361" s="329"/>
      <c r="G361" s="619"/>
      <c r="H361" s="619"/>
      <c r="I361" s="710"/>
      <c r="J361" s="710"/>
      <c r="K361" s="710"/>
      <c r="L361" s="710"/>
      <c r="M361" s="710"/>
      <c r="N361" s="710"/>
      <c r="O361" s="619"/>
    </row>
    <row r="362" spans="1:15" ht="15.75" customHeight="1" x14ac:dyDescent="0.25">
      <c r="A362" s="619"/>
      <c r="B362" s="619"/>
      <c r="C362" s="619"/>
      <c r="D362" s="708"/>
      <c r="E362" s="619"/>
      <c r="F362" s="329"/>
      <c r="G362" s="619"/>
      <c r="H362" s="619"/>
      <c r="I362" s="710"/>
      <c r="J362" s="710"/>
      <c r="K362" s="710"/>
      <c r="L362" s="710"/>
      <c r="M362" s="710"/>
      <c r="N362" s="710"/>
      <c r="O362" s="619"/>
    </row>
    <row r="363" spans="1:15" ht="15.75" customHeight="1" x14ac:dyDescent="0.25">
      <c r="A363" s="619"/>
      <c r="B363" s="619"/>
      <c r="C363" s="619"/>
      <c r="D363" s="708"/>
      <c r="E363" s="619"/>
      <c r="F363" s="329"/>
      <c r="G363" s="619"/>
      <c r="H363" s="619"/>
      <c r="I363" s="710"/>
      <c r="J363" s="710"/>
      <c r="K363" s="710"/>
      <c r="L363" s="710"/>
      <c r="M363" s="710"/>
      <c r="N363" s="710"/>
      <c r="O363" s="619"/>
    </row>
    <row r="364" spans="1:15" ht="15.75" customHeight="1" x14ac:dyDescent="0.25">
      <c r="A364" s="619"/>
      <c r="B364" s="619"/>
      <c r="C364" s="619"/>
      <c r="D364" s="708"/>
      <c r="E364" s="619"/>
      <c r="F364" s="329"/>
      <c r="G364" s="619"/>
      <c r="H364" s="619"/>
      <c r="I364" s="710"/>
      <c r="J364" s="710"/>
      <c r="K364" s="710"/>
      <c r="L364" s="710"/>
      <c r="M364" s="710"/>
      <c r="N364" s="710"/>
      <c r="O364" s="619"/>
    </row>
    <row r="365" spans="1:15" ht="15.75" customHeight="1" x14ac:dyDescent="0.25">
      <c r="A365" s="619"/>
      <c r="B365" s="619"/>
      <c r="C365" s="619"/>
      <c r="D365" s="708"/>
      <c r="E365" s="619"/>
      <c r="F365" s="329"/>
      <c r="G365" s="619"/>
      <c r="H365" s="619"/>
      <c r="I365" s="710"/>
      <c r="J365" s="710"/>
      <c r="K365" s="710"/>
      <c r="L365" s="710"/>
      <c r="M365" s="710"/>
      <c r="N365" s="710"/>
      <c r="O365" s="619"/>
    </row>
    <row r="366" spans="1:15" ht="15.75" customHeight="1" x14ac:dyDescent="0.25">
      <c r="A366" s="619"/>
      <c r="B366" s="619"/>
      <c r="C366" s="619"/>
      <c r="D366" s="708"/>
      <c r="E366" s="619"/>
      <c r="F366" s="329"/>
      <c r="G366" s="619"/>
      <c r="H366" s="619"/>
      <c r="I366" s="710"/>
      <c r="J366" s="710"/>
      <c r="K366" s="710"/>
      <c r="L366" s="710"/>
      <c r="M366" s="710"/>
      <c r="N366" s="710"/>
      <c r="O366" s="619"/>
    </row>
    <row r="367" spans="1:15" ht="15.75" customHeight="1" x14ac:dyDescent="0.25">
      <c r="A367" s="619"/>
      <c r="B367" s="619"/>
      <c r="C367" s="619"/>
      <c r="D367" s="708"/>
      <c r="E367" s="619"/>
      <c r="F367" s="329"/>
      <c r="G367" s="619"/>
      <c r="H367" s="619"/>
      <c r="I367" s="710"/>
      <c r="J367" s="710"/>
      <c r="K367" s="710"/>
      <c r="L367" s="710"/>
      <c r="M367" s="710"/>
      <c r="N367" s="710"/>
      <c r="O367" s="619"/>
    </row>
    <row r="368" spans="1:15" ht="15.75" customHeight="1" x14ac:dyDescent="0.25">
      <c r="A368" s="619"/>
      <c r="B368" s="619"/>
      <c r="C368" s="619"/>
      <c r="D368" s="708"/>
      <c r="E368" s="619"/>
      <c r="F368" s="329"/>
      <c r="G368" s="619"/>
      <c r="H368" s="619"/>
      <c r="I368" s="710"/>
      <c r="J368" s="710"/>
      <c r="K368" s="710"/>
      <c r="L368" s="710"/>
      <c r="M368" s="710"/>
      <c r="N368" s="710"/>
      <c r="O368" s="619"/>
    </row>
    <row r="369" spans="1:15" ht="15.75" customHeight="1" x14ac:dyDescent="0.25">
      <c r="A369" s="619"/>
      <c r="B369" s="619"/>
      <c r="C369" s="619"/>
      <c r="D369" s="708"/>
      <c r="E369" s="619"/>
      <c r="F369" s="329"/>
      <c r="G369" s="619"/>
      <c r="H369" s="619"/>
      <c r="I369" s="710"/>
      <c r="J369" s="710"/>
      <c r="K369" s="710"/>
      <c r="L369" s="710"/>
      <c r="M369" s="710"/>
      <c r="N369" s="710"/>
      <c r="O369" s="619"/>
    </row>
    <row r="370" spans="1:15" ht="15.75" customHeight="1" x14ac:dyDescent="0.25">
      <c r="A370" s="619"/>
      <c r="B370" s="619"/>
      <c r="C370" s="619"/>
      <c r="D370" s="708"/>
      <c r="E370" s="619"/>
      <c r="F370" s="329"/>
      <c r="G370" s="619"/>
      <c r="H370" s="619"/>
      <c r="I370" s="710"/>
      <c r="J370" s="710"/>
      <c r="K370" s="710"/>
      <c r="L370" s="710"/>
      <c r="M370" s="710"/>
      <c r="N370" s="710"/>
      <c r="O370" s="619"/>
    </row>
    <row r="371" spans="1:15" ht="15.75" customHeight="1" x14ac:dyDescent="0.25">
      <c r="A371" s="619"/>
      <c r="B371" s="619"/>
      <c r="C371" s="619"/>
      <c r="D371" s="708"/>
      <c r="E371" s="619"/>
      <c r="F371" s="329"/>
      <c r="G371" s="619"/>
      <c r="H371" s="619"/>
      <c r="I371" s="710"/>
      <c r="J371" s="710"/>
      <c r="K371" s="710"/>
      <c r="L371" s="710"/>
      <c r="M371" s="710"/>
      <c r="N371" s="710"/>
      <c r="O371" s="619"/>
    </row>
    <row r="372" spans="1:15" ht="15.75" customHeight="1" x14ac:dyDescent="0.25">
      <c r="A372" s="619"/>
      <c r="B372" s="619"/>
      <c r="C372" s="619"/>
      <c r="D372" s="708"/>
      <c r="E372" s="619"/>
      <c r="F372" s="329"/>
      <c r="G372" s="619"/>
      <c r="H372" s="619"/>
      <c r="I372" s="710"/>
      <c r="J372" s="710"/>
      <c r="K372" s="710"/>
      <c r="L372" s="710"/>
      <c r="M372" s="710"/>
      <c r="N372" s="710"/>
      <c r="O372" s="619"/>
    </row>
    <row r="373" spans="1:15" ht="15.75" customHeight="1" x14ac:dyDescent="0.25">
      <c r="A373" s="619"/>
      <c r="B373" s="619"/>
      <c r="C373" s="619"/>
      <c r="D373" s="708"/>
      <c r="E373" s="619"/>
      <c r="F373" s="329"/>
      <c r="G373" s="619"/>
      <c r="H373" s="619"/>
      <c r="I373" s="710"/>
      <c r="J373" s="710"/>
      <c r="K373" s="710"/>
      <c r="L373" s="710"/>
      <c r="M373" s="710"/>
      <c r="N373" s="710"/>
      <c r="O373" s="619"/>
    </row>
    <row r="374" spans="1:15" ht="15.75" customHeight="1" x14ac:dyDescent="0.25">
      <c r="A374" s="619"/>
      <c r="B374" s="619"/>
      <c r="C374" s="619"/>
      <c r="D374" s="708"/>
      <c r="E374" s="619"/>
      <c r="F374" s="329"/>
      <c r="G374" s="619"/>
      <c r="H374" s="619"/>
      <c r="I374" s="710"/>
      <c r="J374" s="710"/>
      <c r="K374" s="710"/>
      <c r="L374" s="710"/>
      <c r="M374" s="710"/>
      <c r="N374" s="710"/>
      <c r="O374" s="619"/>
    </row>
    <row r="375" spans="1:15" ht="15.75" customHeight="1" x14ac:dyDescent="0.25">
      <c r="A375" s="619"/>
      <c r="B375" s="619"/>
      <c r="C375" s="619"/>
      <c r="D375" s="708"/>
      <c r="E375" s="619"/>
      <c r="F375" s="329"/>
      <c r="G375" s="619"/>
      <c r="H375" s="619"/>
      <c r="I375" s="710"/>
      <c r="J375" s="710"/>
      <c r="K375" s="710"/>
      <c r="L375" s="710"/>
      <c r="M375" s="710"/>
      <c r="N375" s="710"/>
      <c r="O375" s="619"/>
    </row>
    <row r="376" spans="1:15" ht="15.75" customHeight="1" x14ac:dyDescent="0.25">
      <c r="A376" s="619"/>
      <c r="B376" s="619"/>
      <c r="C376" s="619"/>
      <c r="D376" s="708"/>
      <c r="E376" s="619"/>
      <c r="F376" s="329"/>
      <c r="G376" s="619"/>
      <c r="H376" s="619"/>
      <c r="I376" s="710"/>
      <c r="J376" s="710"/>
      <c r="K376" s="710"/>
      <c r="L376" s="710"/>
      <c r="M376" s="710"/>
      <c r="N376" s="710"/>
      <c r="O376" s="619"/>
    </row>
    <row r="377" spans="1:15" ht="15.75" customHeight="1" x14ac:dyDescent="0.25">
      <c r="A377" s="619"/>
      <c r="B377" s="619"/>
      <c r="C377" s="619"/>
      <c r="D377" s="708"/>
      <c r="E377" s="619"/>
      <c r="F377" s="329"/>
      <c r="G377" s="619"/>
      <c r="H377" s="619"/>
      <c r="I377" s="710"/>
      <c r="J377" s="710"/>
      <c r="K377" s="710"/>
      <c r="L377" s="710"/>
      <c r="M377" s="710"/>
      <c r="N377" s="710"/>
      <c r="O377" s="619"/>
    </row>
    <row r="378" spans="1:15" ht="15.75" customHeight="1" x14ac:dyDescent="0.25">
      <c r="A378" s="619"/>
      <c r="B378" s="619"/>
      <c r="C378" s="619"/>
      <c r="D378" s="708"/>
      <c r="E378" s="619"/>
      <c r="F378" s="329"/>
      <c r="G378" s="619"/>
      <c r="H378" s="619"/>
      <c r="I378" s="710"/>
      <c r="J378" s="710"/>
      <c r="K378" s="710"/>
      <c r="L378" s="710"/>
      <c r="M378" s="710"/>
      <c r="N378" s="710"/>
      <c r="O378" s="619"/>
    </row>
    <row r="379" spans="1:15" ht="15.75" customHeight="1" x14ac:dyDescent="0.25">
      <c r="A379" s="619"/>
      <c r="B379" s="619"/>
      <c r="C379" s="619"/>
      <c r="D379" s="708"/>
      <c r="E379" s="619"/>
      <c r="F379" s="329"/>
      <c r="G379" s="619"/>
      <c r="H379" s="619"/>
      <c r="I379" s="710"/>
      <c r="J379" s="710"/>
      <c r="K379" s="710"/>
      <c r="L379" s="710"/>
      <c r="M379" s="710"/>
      <c r="N379" s="710"/>
      <c r="O379" s="619"/>
    </row>
    <row r="380" spans="1:15" ht="15.75" customHeight="1" x14ac:dyDescent="0.25">
      <c r="A380" s="619"/>
      <c r="B380" s="619"/>
      <c r="C380" s="619"/>
      <c r="D380" s="708"/>
      <c r="E380" s="619"/>
      <c r="F380" s="329"/>
      <c r="G380" s="619"/>
      <c r="H380" s="619"/>
      <c r="I380" s="710"/>
      <c r="J380" s="710"/>
      <c r="K380" s="710"/>
      <c r="L380" s="710"/>
      <c r="M380" s="710"/>
      <c r="N380" s="710"/>
      <c r="O380" s="619"/>
    </row>
    <row r="381" spans="1:15" ht="15.75" customHeight="1" x14ac:dyDescent="0.25">
      <c r="A381" s="619"/>
      <c r="B381" s="619"/>
      <c r="C381" s="619"/>
      <c r="D381" s="708"/>
      <c r="E381" s="619"/>
      <c r="F381" s="329"/>
      <c r="G381" s="619"/>
      <c r="H381" s="619"/>
      <c r="I381" s="710"/>
      <c r="J381" s="710"/>
      <c r="K381" s="710"/>
      <c r="L381" s="710"/>
      <c r="M381" s="710"/>
      <c r="N381" s="710"/>
      <c r="O381" s="619"/>
    </row>
    <row r="382" spans="1:15" ht="15.75" customHeight="1" x14ac:dyDescent="0.25">
      <c r="A382" s="619"/>
      <c r="B382" s="619"/>
      <c r="C382" s="619"/>
      <c r="D382" s="708"/>
      <c r="E382" s="619"/>
      <c r="F382" s="329"/>
      <c r="G382" s="619"/>
      <c r="H382" s="619"/>
      <c r="I382" s="710"/>
      <c r="J382" s="710"/>
      <c r="K382" s="710"/>
      <c r="L382" s="710"/>
      <c r="M382" s="710"/>
      <c r="N382" s="710"/>
      <c r="O382" s="619"/>
    </row>
    <row r="383" spans="1:15" ht="15.75" customHeight="1" x14ac:dyDescent="0.25">
      <c r="A383" s="619"/>
      <c r="B383" s="619"/>
      <c r="C383" s="619"/>
      <c r="D383" s="708"/>
      <c r="E383" s="619"/>
      <c r="F383" s="329"/>
      <c r="G383" s="619"/>
      <c r="H383" s="619"/>
      <c r="I383" s="710"/>
      <c r="J383" s="710"/>
      <c r="K383" s="710"/>
      <c r="L383" s="710"/>
      <c r="M383" s="710"/>
      <c r="N383" s="710"/>
      <c r="O383" s="619"/>
    </row>
    <row r="384" spans="1:15" ht="15.75" customHeight="1" x14ac:dyDescent="0.25">
      <c r="A384" s="619"/>
      <c r="B384" s="619"/>
      <c r="C384" s="619"/>
      <c r="D384" s="708"/>
      <c r="E384" s="619"/>
      <c r="F384" s="329"/>
      <c r="G384" s="619"/>
      <c r="H384" s="619"/>
      <c r="I384" s="710"/>
      <c r="J384" s="710"/>
      <c r="K384" s="710"/>
      <c r="L384" s="710"/>
      <c r="M384" s="710"/>
      <c r="N384" s="710"/>
      <c r="O384" s="619"/>
    </row>
    <row r="385" spans="1:15" ht="15.75" customHeight="1" x14ac:dyDescent="0.25">
      <c r="A385" s="619"/>
      <c r="B385" s="619"/>
      <c r="C385" s="619"/>
      <c r="D385" s="708"/>
      <c r="E385" s="619"/>
      <c r="F385" s="329"/>
      <c r="G385" s="619"/>
      <c r="H385" s="619"/>
      <c r="I385" s="710"/>
      <c r="J385" s="710"/>
      <c r="K385" s="710"/>
      <c r="L385" s="710"/>
      <c r="M385" s="710"/>
      <c r="N385" s="710"/>
      <c r="O385" s="619"/>
    </row>
    <row r="386" spans="1:15" ht="15.75" customHeight="1" x14ac:dyDescent="0.25">
      <c r="A386" s="619"/>
      <c r="B386" s="619"/>
      <c r="C386" s="619"/>
      <c r="D386" s="708"/>
      <c r="E386" s="619"/>
      <c r="F386" s="329"/>
      <c r="G386" s="619"/>
      <c r="H386" s="619"/>
      <c r="I386" s="710"/>
      <c r="J386" s="710"/>
      <c r="K386" s="710"/>
      <c r="L386" s="710"/>
      <c r="M386" s="710"/>
      <c r="N386" s="710"/>
      <c r="O386" s="619"/>
    </row>
    <row r="387" spans="1:15" ht="15.75" customHeight="1" x14ac:dyDescent="0.25">
      <c r="A387" s="619"/>
      <c r="B387" s="619"/>
      <c r="C387" s="619"/>
      <c r="D387" s="708"/>
      <c r="E387" s="619"/>
      <c r="F387" s="329"/>
      <c r="G387" s="619"/>
      <c r="H387" s="619"/>
      <c r="I387" s="710"/>
      <c r="J387" s="710"/>
      <c r="K387" s="710"/>
      <c r="L387" s="710"/>
      <c r="M387" s="710"/>
      <c r="N387" s="710"/>
      <c r="O387" s="619"/>
    </row>
    <row r="388" spans="1:15" ht="15.75" customHeight="1" x14ac:dyDescent="0.25">
      <c r="A388" s="619"/>
      <c r="B388" s="619"/>
      <c r="C388" s="619"/>
      <c r="D388" s="708"/>
      <c r="E388" s="619"/>
      <c r="F388" s="329"/>
      <c r="G388" s="619"/>
      <c r="H388" s="619"/>
      <c r="I388" s="710"/>
      <c r="J388" s="710"/>
      <c r="K388" s="710"/>
      <c r="L388" s="710"/>
      <c r="M388" s="710"/>
      <c r="N388" s="710"/>
      <c r="O388" s="619"/>
    </row>
    <row r="389" spans="1:15" ht="15.75" customHeight="1" x14ac:dyDescent="0.25">
      <c r="A389" s="619"/>
      <c r="B389" s="619"/>
      <c r="C389" s="619"/>
      <c r="D389" s="708"/>
      <c r="E389" s="619"/>
      <c r="F389" s="329"/>
      <c r="G389" s="619"/>
      <c r="H389" s="619"/>
      <c r="I389" s="710"/>
      <c r="J389" s="710"/>
      <c r="K389" s="710"/>
      <c r="L389" s="710"/>
      <c r="M389" s="710"/>
      <c r="N389" s="710"/>
      <c r="O389" s="619"/>
    </row>
    <row r="390" spans="1:15" ht="15.75" customHeight="1" x14ac:dyDescent="0.25">
      <c r="A390" s="619"/>
      <c r="B390" s="619"/>
      <c r="C390" s="619"/>
      <c r="D390" s="708"/>
      <c r="E390" s="619"/>
      <c r="F390" s="329"/>
      <c r="G390" s="619"/>
      <c r="H390" s="619"/>
      <c r="I390" s="710"/>
      <c r="J390" s="710"/>
      <c r="K390" s="710"/>
      <c r="L390" s="710"/>
      <c r="M390" s="710"/>
      <c r="N390" s="710"/>
      <c r="O390" s="619"/>
    </row>
    <row r="391" spans="1:15" ht="15.75" customHeight="1" x14ac:dyDescent="0.25">
      <c r="A391" s="619"/>
      <c r="B391" s="619"/>
      <c r="C391" s="619"/>
      <c r="D391" s="708"/>
      <c r="E391" s="619"/>
      <c r="F391" s="329"/>
      <c r="G391" s="619"/>
      <c r="H391" s="619"/>
      <c r="I391" s="710"/>
      <c r="J391" s="710"/>
      <c r="K391" s="710"/>
      <c r="L391" s="710"/>
      <c r="M391" s="710"/>
      <c r="N391" s="710"/>
      <c r="O391" s="619"/>
    </row>
    <row r="392" spans="1:15" ht="15.75" customHeight="1" x14ac:dyDescent="0.25">
      <c r="A392" s="619"/>
      <c r="B392" s="619"/>
      <c r="C392" s="619"/>
      <c r="D392" s="708"/>
      <c r="E392" s="619"/>
      <c r="F392" s="329"/>
      <c r="G392" s="619"/>
      <c r="H392" s="619"/>
      <c r="I392" s="710"/>
      <c r="J392" s="710"/>
      <c r="K392" s="710"/>
      <c r="L392" s="710"/>
      <c r="M392" s="710"/>
      <c r="N392" s="710"/>
      <c r="O392" s="619"/>
    </row>
    <row r="393" spans="1:15" ht="15.75" customHeight="1" x14ac:dyDescent="0.25">
      <c r="A393" s="619"/>
      <c r="B393" s="619"/>
      <c r="C393" s="619"/>
      <c r="D393" s="708"/>
      <c r="E393" s="619"/>
      <c r="F393" s="329"/>
      <c r="G393" s="619"/>
      <c r="H393" s="619"/>
      <c r="I393" s="710"/>
      <c r="J393" s="710"/>
      <c r="K393" s="710"/>
      <c r="L393" s="710"/>
      <c r="M393" s="710"/>
      <c r="N393" s="710"/>
      <c r="O393" s="619"/>
    </row>
    <row r="394" spans="1:15" ht="15.75" customHeight="1" x14ac:dyDescent="0.25">
      <c r="A394" s="619"/>
      <c r="B394" s="619"/>
      <c r="C394" s="619"/>
      <c r="D394" s="708"/>
      <c r="E394" s="619"/>
      <c r="F394" s="329"/>
      <c r="G394" s="619"/>
      <c r="H394" s="619"/>
      <c r="I394" s="710"/>
      <c r="J394" s="710"/>
      <c r="K394" s="710"/>
      <c r="L394" s="710"/>
      <c r="M394" s="710"/>
      <c r="N394" s="710"/>
      <c r="O394" s="619"/>
    </row>
    <row r="395" spans="1:15" ht="15.75" customHeight="1" x14ac:dyDescent="0.25">
      <c r="A395" s="619"/>
      <c r="B395" s="619"/>
      <c r="C395" s="619"/>
      <c r="D395" s="708"/>
      <c r="E395" s="619"/>
      <c r="F395" s="329"/>
      <c r="G395" s="619"/>
      <c r="H395" s="619"/>
      <c r="I395" s="710"/>
      <c r="J395" s="710"/>
      <c r="K395" s="710"/>
      <c r="L395" s="710"/>
      <c r="M395" s="710"/>
      <c r="N395" s="710"/>
      <c r="O395" s="619"/>
    </row>
    <row r="396" spans="1:15" ht="15.75" customHeight="1" x14ac:dyDescent="0.25">
      <c r="A396" s="619"/>
      <c r="B396" s="619"/>
      <c r="C396" s="619"/>
      <c r="D396" s="708"/>
      <c r="E396" s="619"/>
      <c r="F396" s="329"/>
      <c r="G396" s="619"/>
      <c r="H396" s="619"/>
      <c r="I396" s="710"/>
      <c r="J396" s="710"/>
      <c r="K396" s="710"/>
      <c r="L396" s="710"/>
      <c r="M396" s="710"/>
      <c r="N396" s="710"/>
      <c r="O396" s="619"/>
    </row>
    <row r="397" spans="1:15" ht="15.75" customHeight="1" x14ac:dyDescent="0.25">
      <c r="F397" s="330"/>
    </row>
    <row r="398" spans="1:15" ht="15.75" customHeight="1" x14ac:dyDescent="0.25">
      <c r="F398" s="330"/>
    </row>
    <row r="399" spans="1:15" ht="15.75" customHeight="1" x14ac:dyDescent="0.25">
      <c r="F399" s="330"/>
    </row>
    <row r="400" spans="1:15" ht="15.75" customHeight="1" x14ac:dyDescent="0.25">
      <c r="F400" s="330"/>
    </row>
    <row r="401" spans="6:6" ht="15.75" customHeight="1" x14ac:dyDescent="0.25">
      <c r="F401" s="330"/>
    </row>
    <row r="402" spans="6:6" ht="15.75" customHeight="1" x14ac:dyDescent="0.25">
      <c r="F402" s="330"/>
    </row>
    <row r="403" spans="6:6" ht="15.75" customHeight="1" x14ac:dyDescent="0.25">
      <c r="F403" s="330"/>
    </row>
    <row r="404" spans="6:6" ht="15.75" customHeight="1" x14ac:dyDescent="0.25">
      <c r="F404" s="330"/>
    </row>
    <row r="405" spans="6:6" ht="15.75" customHeight="1" x14ac:dyDescent="0.25">
      <c r="F405" s="330"/>
    </row>
    <row r="406" spans="6:6" ht="15.75" customHeight="1" x14ac:dyDescent="0.25">
      <c r="F406" s="330"/>
    </row>
    <row r="407" spans="6:6" ht="15.75" customHeight="1" x14ac:dyDescent="0.25">
      <c r="F407" s="330"/>
    </row>
    <row r="408" spans="6:6" ht="15.75" customHeight="1" x14ac:dyDescent="0.25">
      <c r="F408" s="330"/>
    </row>
    <row r="409" spans="6:6" ht="15.75" customHeight="1" x14ac:dyDescent="0.25">
      <c r="F409" s="330"/>
    </row>
    <row r="410" spans="6:6" ht="15.75" customHeight="1" x14ac:dyDescent="0.25">
      <c r="F410" s="330"/>
    </row>
    <row r="411" spans="6:6" ht="15.75" customHeight="1" x14ac:dyDescent="0.25">
      <c r="F411" s="330"/>
    </row>
    <row r="412" spans="6:6" ht="15.75" customHeight="1" x14ac:dyDescent="0.25">
      <c r="F412" s="330"/>
    </row>
    <row r="413" spans="6:6" ht="15.75" customHeight="1" x14ac:dyDescent="0.25">
      <c r="F413" s="330"/>
    </row>
    <row r="414" spans="6:6" ht="15.75" customHeight="1" x14ac:dyDescent="0.25">
      <c r="F414" s="330"/>
    </row>
    <row r="415" spans="6:6" ht="15.75" customHeight="1" x14ac:dyDescent="0.25">
      <c r="F415" s="330"/>
    </row>
    <row r="416" spans="6:6" ht="15.75" customHeight="1" x14ac:dyDescent="0.25">
      <c r="F416" s="330"/>
    </row>
    <row r="417" spans="6:6" ht="15.75" customHeight="1" x14ac:dyDescent="0.25">
      <c r="F417" s="330"/>
    </row>
    <row r="418" spans="6:6" ht="15.75" customHeight="1" x14ac:dyDescent="0.25">
      <c r="F418" s="330"/>
    </row>
    <row r="419" spans="6:6" ht="15.75" customHeight="1" x14ac:dyDescent="0.25">
      <c r="F419" s="330"/>
    </row>
    <row r="420" spans="6:6" ht="15.75" customHeight="1" x14ac:dyDescent="0.25">
      <c r="F420" s="330"/>
    </row>
    <row r="421" spans="6:6" ht="15.75" customHeight="1" x14ac:dyDescent="0.25">
      <c r="F421" s="330"/>
    </row>
    <row r="422" spans="6:6" ht="15.75" customHeight="1" x14ac:dyDescent="0.25">
      <c r="F422" s="330"/>
    </row>
    <row r="423" spans="6:6" ht="15.75" customHeight="1" x14ac:dyDescent="0.25">
      <c r="F423" s="330"/>
    </row>
    <row r="424" spans="6:6" ht="15.75" customHeight="1" x14ac:dyDescent="0.25">
      <c r="F424" s="330"/>
    </row>
    <row r="425" spans="6:6" ht="15.75" customHeight="1" x14ac:dyDescent="0.25">
      <c r="F425" s="330"/>
    </row>
    <row r="426" spans="6:6" ht="15.75" customHeight="1" x14ac:dyDescent="0.25">
      <c r="F426" s="330"/>
    </row>
    <row r="427" spans="6:6" ht="15.75" customHeight="1" x14ac:dyDescent="0.25">
      <c r="F427" s="330"/>
    </row>
    <row r="428" spans="6:6" ht="15.75" customHeight="1" x14ac:dyDescent="0.25">
      <c r="F428" s="330"/>
    </row>
    <row r="429" spans="6:6" ht="15.75" customHeight="1" x14ac:dyDescent="0.25">
      <c r="F429" s="330"/>
    </row>
    <row r="430" spans="6:6" ht="15.75" customHeight="1" x14ac:dyDescent="0.25">
      <c r="F430" s="330"/>
    </row>
    <row r="431" spans="6:6" ht="15.75" customHeight="1" x14ac:dyDescent="0.25">
      <c r="F431" s="330"/>
    </row>
    <row r="432" spans="6:6" ht="15.75" customHeight="1" x14ac:dyDescent="0.25">
      <c r="F432" s="330"/>
    </row>
    <row r="433" spans="6:6" ht="15.75" customHeight="1" x14ac:dyDescent="0.25">
      <c r="F433" s="330"/>
    </row>
    <row r="434" spans="6:6" ht="15.75" customHeight="1" x14ac:dyDescent="0.25">
      <c r="F434" s="330"/>
    </row>
    <row r="435" spans="6:6" ht="15.75" customHeight="1" x14ac:dyDescent="0.25">
      <c r="F435" s="330"/>
    </row>
    <row r="436" spans="6:6" ht="15.75" customHeight="1" x14ac:dyDescent="0.25">
      <c r="F436" s="330"/>
    </row>
    <row r="437" spans="6:6" ht="15.75" customHeight="1" x14ac:dyDescent="0.25">
      <c r="F437" s="330"/>
    </row>
    <row r="438" spans="6:6" ht="15.75" customHeight="1" x14ac:dyDescent="0.25">
      <c r="F438" s="330"/>
    </row>
    <row r="439" spans="6:6" ht="15.75" customHeight="1" x14ac:dyDescent="0.25">
      <c r="F439" s="330"/>
    </row>
    <row r="440" spans="6:6" ht="15.75" customHeight="1" x14ac:dyDescent="0.25">
      <c r="F440" s="330"/>
    </row>
    <row r="441" spans="6:6" ht="15.75" customHeight="1" x14ac:dyDescent="0.25">
      <c r="F441" s="330"/>
    </row>
    <row r="442" spans="6:6" ht="15.75" customHeight="1" x14ac:dyDescent="0.25">
      <c r="F442" s="330"/>
    </row>
    <row r="443" spans="6:6" ht="15.75" customHeight="1" x14ac:dyDescent="0.25">
      <c r="F443" s="330"/>
    </row>
    <row r="444" spans="6:6" ht="15.75" customHeight="1" x14ac:dyDescent="0.25">
      <c r="F444" s="330"/>
    </row>
    <row r="445" spans="6:6" ht="15.75" customHeight="1" x14ac:dyDescent="0.25">
      <c r="F445" s="330"/>
    </row>
    <row r="446" spans="6:6" ht="15.75" customHeight="1" x14ac:dyDescent="0.25">
      <c r="F446" s="330"/>
    </row>
    <row r="447" spans="6:6" ht="15.75" customHeight="1" x14ac:dyDescent="0.25">
      <c r="F447" s="330"/>
    </row>
    <row r="448" spans="6:6" ht="15.75" customHeight="1" x14ac:dyDescent="0.25">
      <c r="F448" s="330"/>
    </row>
    <row r="449" spans="6:6" ht="15.75" customHeight="1" x14ac:dyDescent="0.25">
      <c r="F449" s="330"/>
    </row>
    <row r="450" spans="6:6" ht="15.75" customHeight="1" x14ac:dyDescent="0.25">
      <c r="F450" s="330"/>
    </row>
    <row r="451" spans="6:6" ht="15.75" customHeight="1" x14ac:dyDescent="0.25">
      <c r="F451" s="330"/>
    </row>
    <row r="452" spans="6:6" ht="15.75" customHeight="1" x14ac:dyDescent="0.25">
      <c r="F452" s="330"/>
    </row>
    <row r="453" spans="6:6" ht="15.75" customHeight="1" x14ac:dyDescent="0.25">
      <c r="F453" s="330"/>
    </row>
    <row r="454" spans="6:6" ht="15.75" customHeight="1" x14ac:dyDescent="0.25">
      <c r="F454" s="330"/>
    </row>
    <row r="455" spans="6:6" ht="15.75" customHeight="1" x14ac:dyDescent="0.25">
      <c r="F455" s="330"/>
    </row>
    <row r="456" spans="6:6" ht="15.75" customHeight="1" x14ac:dyDescent="0.25">
      <c r="F456" s="330"/>
    </row>
    <row r="457" spans="6:6" ht="15.75" customHeight="1" x14ac:dyDescent="0.25">
      <c r="F457" s="330"/>
    </row>
    <row r="458" spans="6:6" ht="15.75" customHeight="1" x14ac:dyDescent="0.25">
      <c r="F458" s="330"/>
    </row>
    <row r="459" spans="6:6" ht="15.75" customHeight="1" x14ac:dyDescent="0.25">
      <c r="F459" s="330"/>
    </row>
    <row r="460" spans="6:6" ht="15.75" customHeight="1" x14ac:dyDescent="0.25">
      <c r="F460" s="330"/>
    </row>
    <row r="461" spans="6:6" ht="15.75" customHeight="1" x14ac:dyDescent="0.25">
      <c r="F461" s="330"/>
    </row>
    <row r="462" spans="6:6" ht="15.75" customHeight="1" x14ac:dyDescent="0.25">
      <c r="F462" s="330"/>
    </row>
    <row r="463" spans="6:6" ht="15.75" customHeight="1" x14ac:dyDescent="0.25">
      <c r="F463" s="330"/>
    </row>
    <row r="464" spans="6:6" ht="15.75" customHeight="1" x14ac:dyDescent="0.25">
      <c r="F464" s="330"/>
    </row>
    <row r="465" spans="6:6" ht="15.75" customHeight="1" x14ac:dyDescent="0.25">
      <c r="F465" s="330"/>
    </row>
    <row r="466" spans="6:6" ht="15.75" customHeight="1" x14ac:dyDescent="0.25">
      <c r="F466" s="330"/>
    </row>
    <row r="467" spans="6:6" ht="15.75" customHeight="1" x14ac:dyDescent="0.25">
      <c r="F467" s="330"/>
    </row>
    <row r="468" spans="6:6" ht="15.75" customHeight="1" x14ac:dyDescent="0.25">
      <c r="F468" s="330"/>
    </row>
    <row r="469" spans="6:6" ht="15.75" customHeight="1" x14ac:dyDescent="0.25">
      <c r="F469" s="330"/>
    </row>
    <row r="470" spans="6:6" ht="15.75" customHeight="1" x14ac:dyDescent="0.25">
      <c r="F470" s="330"/>
    </row>
    <row r="471" spans="6:6" ht="15.75" customHeight="1" x14ac:dyDescent="0.25">
      <c r="F471" s="330"/>
    </row>
    <row r="472" spans="6:6" ht="15.75" customHeight="1" x14ac:dyDescent="0.25">
      <c r="F472" s="330"/>
    </row>
    <row r="473" spans="6:6" ht="15.75" customHeight="1" x14ac:dyDescent="0.25">
      <c r="F473" s="330"/>
    </row>
    <row r="474" spans="6:6" ht="15.75" customHeight="1" x14ac:dyDescent="0.25">
      <c r="F474" s="330"/>
    </row>
    <row r="475" spans="6:6" ht="15.75" customHeight="1" x14ac:dyDescent="0.25">
      <c r="F475" s="330"/>
    </row>
    <row r="476" spans="6:6" ht="15.75" customHeight="1" x14ac:dyDescent="0.25">
      <c r="F476" s="330"/>
    </row>
    <row r="477" spans="6:6" ht="15.75" customHeight="1" x14ac:dyDescent="0.25">
      <c r="F477" s="330"/>
    </row>
    <row r="478" spans="6:6" ht="15.75" customHeight="1" x14ac:dyDescent="0.25">
      <c r="F478" s="330"/>
    </row>
    <row r="479" spans="6:6" ht="15.75" customHeight="1" x14ac:dyDescent="0.25">
      <c r="F479" s="330"/>
    </row>
    <row r="480" spans="6:6" ht="15.75" customHeight="1" x14ac:dyDescent="0.25">
      <c r="F480" s="330"/>
    </row>
    <row r="481" spans="6:6" ht="15.75" customHeight="1" x14ac:dyDescent="0.25">
      <c r="F481" s="330"/>
    </row>
    <row r="482" spans="6:6" ht="15.75" customHeight="1" x14ac:dyDescent="0.25">
      <c r="F482" s="330"/>
    </row>
    <row r="483" spans="6:6" ht="15.75" customHeight="1" x14ac:dyDescent="0.25">
      <c r="F483" s="330"/>
    </row>
    <row r="484" spans="6:6" ht="15.75" customHeight="1" x14ac:dyDescent="0.25">
      <c r="F484" s="330"/>
    </row>
    <row r="485" spans="6:6" ht="15.75" customHeight="1" x14ac:dyDescent="0.25">
      <c r="F485" s="330"/>
    </row>
    <row r="486" spans="6:6" ht="15.75" customHeight="1" x14ac:dyDescent="0.25">
      <c r="F486" s="330"/>
    </row>
    <row r="487" spans="6:6" ht="15.75" customHeight="1" x14ac:dyDescent="0.25">
      <c r="F487" s="330"/>
    </row>
    <row r="488" spans="6:6" ht="15.75" customHeight="1" x14ac:dyDescent="0.25">
      <c r="F488" s="330"/>
    </row>
    <row r="489" spans="6:6" ht="15.75" customHeight="1" x14ac:dyDescent="0.25">
      <c r="F489" s="330"/>
    </row>
    <row r="490" spans="6:6" ht="15.75" customHeight="1" x14ac:dyDescent="0.25">
      <c r="F490" s="330"/>
    </row>
    <row r="491" spans="6:6" ht="15.75" customHeight="1" x14ac:dyDescent="0.25">
      <c r="F491" s="330"/>
    </row>
    <row r="492" spans="6:6" ht="15.75" customHeight="1" x14ac:dyDescent="0.25">
      <c r="F492" s="330"/>
    </row>
    <row r="493" spans="6:6" ht="15.75" customHeight="1" x14ac:dyDescent="0.25">
      <c r="F493" s="330"/>
    </row>
    <row r="494" spans="6:6" ht="15.75" customHeight="1" x14ac:dyDescent="0.25">
      <c r="F494" s="330"/>
    </row>
    <row r="495" spans="6:6" ht="15.75" customHeight="1" x14ac:dyDescent="0.25">
      <c r="F495" s="330"/>
    </row>
    <row r="496" spans="6:6" ht="15.75" customHeight="1" x14ac:dyDescent="0.25">
      <c r="F496" s="330"/>
    </row>
    <row r="497" spans="6:6" ht="15.75" customHeight="1" x14ac:dyDescent="0.25">
      <c r="F497" s="330"/>
    </row>
    <row r="498" spans="6:6" ht="15.75" customHeight="1" x14ac:dyDescent="0.25">
      <c r="F498" s="330"/>
    </row>
    <row r="499" spans="6:6" ht="15.75" customHeight="1" x14ac:dyDescent="0.25">
      <c r="F499" s="330"/>
    </row>
    <row r="500" spans="6:6" ht="15.75" customHeight="1" x14ac:dyDescent="0.25">
      <c r="F500" s="330"/>
    </row>
    <row r="501" spans="6:6" ht="15.75" customHeight="1" x14ac:dyDescent="0.25">
      <c r="F501" s="330"/>
    </row>
    <row r="502" spans="6:6" ht="15.75" customHeight="1" x14ac:dyDescent="0.25">
      <c r="F502" s="330"/>
    </row>
    <row r="503" spans="6:6" ht="15.75" customHeight="1" x14ac:dyDescent="0.25">
      <c r="F503" s="330"/>
    </row>
    <row r="504" spans="6:6" ht="15.75" customHeight="1" x14ac:dyDescent="0.25">
      <c r="F504" s="330"/>
    </row>
    <row r="505" spans="6:6" ht="15.75" customHeight="1" x14ac:dyDescent="0.25">
      <c r="F505" s="330"/>
    </row>
    <row r="506" spans="6:6" ht="15.75" customHeight="1" x14ac:dyDescent="0.25">
      <c r="F506" s="330"/>
    </row>
    <row r="507" spans="6:6" ht="15.75" customHeight="1" x14ac:dyDescent="0.25">
      <c r="F507" s="330"/>
    </row>
    <row r="508" spans="6:6" ht="15.75" customHeight="1" x14ac:dyDescent="0.25">
      <c r="F508" s="330"/>
    </row>
    <row r="509" spans="6:6" ht="15.75" customHeight="1" x14ac:dyDescent="0.25">
      <c r="F509" s="330"/>
    </row>
    <row r="510" spans="6:6" ht="15.75" customHeight="1" x14ac:dyDescent="0.25">
      <c r="F510" s="330"/>
    </row>
    <row r="511" spans="6:6" ht="15.75" customHeight="1" x14ac:dyDescent="0.25">
      <c r="F511" s="330"/>
    </row>
    <row r="512" spans="6:6" ht="15.75" customHeight="1" x14ac:dyDescent="0.25">
      <c r="F512" s="330"/>
    </row>
    <row r="513" spans="6:6" ht="15.75" customHeight="1" x14ac:dyDescent="0.25">
      <c r="F513" s="330"/>
    </row>
    <row r="514" spans="6:6" ht="15.75" customHeight="1" x14ac:dyDescent="0.25">
      <c r="F514" s="330"/>
    </row>
    <row r="515" spans="6:6" ht="15.75" customHeight="1" x14ac:dyDescent="0.25">
      <c r="F515" s="330"/>
    </row>
    <row r="516" spans="6:6" ht="15.75" customHeight="1" x14ac:dyDescent="0.25">
      <c r="F516" s="330"/>
    </row>
    <row r="517" spans="6:6" ht="15.75" customHeight="1" x14ac:dyDescent="0.25">
      <c r="F517" s="330"/>
    </row>
    <row r="518" spans="6:6" ht="15.75" customHeight="1" x14ac:dyDescent="0.25">
      <c r="F518" s="330"/>
    </row>
    <row r="519" spans="6:6" ht="15.75" customHeight="1" x14ac:dyDescent="0.25">
      <c r="F519" s="330"/>
    </row>
    <row r="520" spans="6:6" ht="15.75" customHeight="1" x14ac:dyDescent="0.25">
      <c r="F520" s="330"/>
    </row>
    <row r="521" spans="6:6" ht="15.75" customHeight="1" x14ac:dyDescent="0.25">
      <c r="F521" s="330"/>
    </row>
    <row r="522" spans="6:6" ht="15.75" customHeight="1" x14ac:dyDescent="0.25">
      <c r="F522" s="330"/>
    </row>
    <row r="523" spans="6:6" ht="15.75" customHeight="1" x14ac:dyDescent="0.25">
      <c r="F523" s="330"/>
    </row>
    <row r="524" spans="6:6" ht="15.75" customHeight="1" x14ac:dyDescent="0.25">
      <c r="F524" s="330"/>
    </row>
    <row r="525" spans="6:6" ht="15.75" customHeight="1" x14ac:dyDescent="0.25">
      <c r="F525" s="330"/>
    </row>
    <row r="526" spans="6:6" ht="15.75" customHeight="1" x14ac:dyDescent="0.25">
      <c r="F526" s="330"/>
    </row>
    <row r="527" spans="6:6" ht="15.75" customHeight="1" x14ac:dyDescent="0.25">
      <c r="F527" s="330"/>
    </row>
    <row r="528" spans="6:6" ht="15.75" customHeight="1" x14ac:dyDescent="0.25">
      <c r="F528" s="330"/>
    </row>
    <row r="529" spans="6:6" ht="15.75" customHeight="1" x14ac:dyDescent="0.25">
      <c r="F529" s="330"/>
    </row>
    <row r="530" spans="6:6" ht="15.75" customHeight="1" x14ac:dyDescent="0.25">
      <c r="F530" s="330"/>
    </row>
    <row r="531" spans="6:6" ht="15.75" customHeight="1" x14ac:dyDescent="0.25">
      <c r="F531" s="330"/>
    </row>
    <row r="532" spans="6:6" ht="15.75" customHeight="1" x14ac:dyDescent="0.25">
      <c r="F532" s="330"/>
    </row>
    <row r="533" spans="6:6" ht="15.75" customHeight="1" x14ac:dyDescent="0.25">
      <c r="F533" s="330"/>
    </row>
    <row r="534" spans="6:6" ht="15.75" customHeight="1" x14ac:dyDescent="0.25">
      <c r="F534" s="330"/>
    </row>
    <row r="535" spans="6:6" ht="15.75" customHeight="1" x14ac:dyDescent="0.25">
      <c r="F535" s="330"/>
    </row>
    <row r="536" spans="6:6" ht="15.75" customHeight="1" x14ac:dyDescent="0.25">
      <c r="F536" s="330"/>
    </row>
    <row r="537" spans="6:6" ht="15.75" customHeight="1" x14ac:dyDescent="0.25">
      <c r="F537" s="330"/>
    </row>
    <row r="538" spans="6:6" ht="15.75" customHeight="1" x14ac:dyDescent="0.25">
      <c r="F538" s="330"/>
    </row>
    <row r="539" spans="6:6" ht="15.75" customHeight="1" x14ac:dyDescent="0.25">
      <c r="F539" s="330"/>
    </row>
    <row r="540" spans="6:6" ht="15.75" customHeight="1" x14ac:dyDescent="0.25">
      <c r="F540" s="330"/>
    </row>
    <row r="541" spans="6:6" ht="15.75" customHeight="1" x14ac:dyDescent="0.25">
      <c r="F541" s="330"/>
    </row>
    <row r="542" spans="6:6" ht="15.75" customHeight="1" x14ac:dyDescent="0.25">
      <c r="F542" s="330"/>
    </row>
    <row r="543" spans="6:6" ht="15.75" customHeight="1" x14ac:dyDescent="0.25">
      <c r="F543" s="330"/>
    </row>
    <row r="544" spans="6:6" ht="15.75" customHeight="1" x14ac:dyDescent="0.25">
      <c r="F544" s="330"/>
    </row>
    <row r="545" spans="6:6" ht="15.75" customHeight="1" x14ac:dyDescent="0.25">
      <c r="F545" s="330"/>
    </row>
    <row r="546" spans="6:6" ht="15.75" customHeight="1" x14ac:dyDescent="0.25">
      <c r="F546" s="330"/>
    </row>
    <row r="547" spans="6:6" ht="15.75" customHeight="1" x14ac:dyDescent="0.25">
      <c r="F547" s="330"/>
    </row>
    <row r="548" spans="6:6" ht="15.75" customHeight="1" x14ac:dyDescent="0.25">
      <c r="F548" s="330"/>
    </row>
    <row r="549" spans="6:6" ht="15.75" customHeight="1" x14ac:dyDescent="0.25">
      <c r="F549" s="330"/>
    </row>
    <row r="550" spans="6:6" ht="15.75" customHeight="1" x14ac:dyDescent="0.25">
      <c r="F550" s="330"/>
    </row>
    <row r="551" spans="6:6" ht="15.75" customHeight="1" x14ac:dyDescent="0.25">
      <c r="F551" s="330"/>
    </row>
    <row r="552" spans="6:6" ht="15.75" customHeight="1" x14ac:dyDescent="0.25">
      <c r="F552" s="330"/>
    </row>
    <row r="553" spans="6:6" ht="15.75" customHeight="1" x14ac:dyDescent="0.25">
      <c r="F553" s="330"/>
    </row>
    <row r="554" spans="6:6" ht="15.75" customHeight="1" x14ac:dyDescent="0.25">
      <c r="F554" s="330"/>
    </row>
    <row r="555" spans="6:6" ht="15.75" customHeight="1" x14ac:dyDescent="0.25">
      <c r="F555" s="330"/>
    </row>
    <row r="556" spans="6:6" ht="15.75" customHeight="1" x14ac:dyDescent="0.25">
      <c r="F556" s="330"/>
    </row>
    <row r="557" spans="6:6" ht="15.75" customHeight="1" x14ac:dyDescent="0.25">
      <c r="F557" s="330"/>
    </row>
    <row r="558" spans="6:6" ht="15.75" customHeight="1" x14ac:dyDescent="0.25">
      <c r="F558" s="330"/>
    </row>
    <row r="559" spans="6:6" ht="15.75" customHeight="1" x14ac:dyDescent="0.25">
      <c r="F559" s="330"/>
    </row>
    <row r="560" spans="6:6" ht="15.75" customHeight="1" x14ac:dyDescent="0.25">
      <c r="F560" s="330"/>
    </row>
    <row r="561" spans="6:6" ht="15.75" customHeight="1" x14ac:dyDescent="0.25">
      <c r="F561" s="330"/>
    </row>
    <row r="562" spans="6:6" ht="15.75" customHeight="1" x14ac:dyDescent="0.25">
      <c r="F562" s="330"/>
    </row>
    <row r="563" spans="6:6" ht="15.75" customHeight="1" x14ac:dyDescent="0.25">
      <c r="F563" s="330"/>
    </row>
    <row r="564" spans="6:6" ht="15.75" customHeight="1" x14ac:dyDescent="0.25">
      <c r="F564" s="330"/>
    </row>
    <row r="565" spans="6:6" ht="15.75" customHeight="1" x14ac:dyDescent="0.25">
      <c r="F565" s="330"/>
    </row>
    <row r="566" spans="6:6" ht="15.75" customHeight="1" x14ac:dyDescent="0.25">
      <c r="F566" s="330"/>
    </row>
    <row r="567" spans="6:6" ht="15.75" customHeight="1" x14ac:dyDescent="0.25">
      <c r="F567" s="330"/>
    </row>
    <row r="568" spans="6:6" ht="15.75" customHeight="1" x14ac:dyDescent="0.25">
      <c r="F568" s="330"/>
    </row>
    <row r="569" spans="6:6" ht="15.75" customHeight="1" x14ac:dyDescent="0.25">
      <c r="F569" s="330"/>
    </row>
    <row r="570" spans="6:6" ht="15.75" customHeight="1" x14ac:dyDescent="0.25">
      <c r="F570" s="330"/>
    </row>
    <row r="571" spans="6:6" ht="15.75" customHeight="1" x14ac:dyDescent="0.25">
      <c r="F571" s="330"/>
    </row>
    <row r="572" spans="6:6" ht="15.75" customHeight="1" x14ac:dyDescent="0.25">
      <c r="F572" s="330"/>
    </row>
    <row r="573" spans="6:6" ht="15.75" customHeight="1" x14ac:dyDescent="0.25">
      <c r="F573" s="330"/>
    </row>
    <row r="574" spans="6:6" ht="15.75" customHeight="1" x14ac:dyDescent="0.25">
      <c r="F574" s="330"/>
    </row>
    <row r="575" spans="6:6" ht="15.75" customHeight="1" x14ac:dyDescent="0.25">
      <c r="F575" s="330"/>
    </row>
    <row r="576" spans="6:6" ht="15.75" customHeight="1" x14ac:dyDescent="0.25">
      <c r="F576" s="330"/>
    </row>
    <row r="577" spans="6:6" ht="15.75" customHeight="1" x14ac:dyDescent="0.25">
      <c r="F577" s="330"/>
    </row>
    <row r="578" spans="6:6" ht="15.75" customHeight="1" x14ac:dyDescent="0.25">
      <c r="F578" s="330"/>
    </row>
    <row r="579" spans="6:6" ht="15.75" customHeight="1" x14ac:dyDescent="0.25">
      <c r="F579" s="330"/>
    </row>
    <row r="580" spans="6:6" ht="15.75" customHeight="1" x14ac:dyDescent="0.25">
      <c r="F580" s="330"/>
    </row>
    <row r="581" spans="6:6" ht="15.75" customHeight="1" x14ac:dyDescent="0.25">
      <c r="F581" s="330"/>
    </row>
    <row r="582" spans="6:6" ht="15.75" customHeight="1" x14ac:dyDescent="0.25">
      <c r="F582" s="330"/>
    </row>
    <row r="583" spans="6:6" ht="15.75" customHeight="1" x14ac:dyDescent="0.25">
      <c r="F583" s="330"/>
    </row>
    <row r="584" spans="6:6" ht="15.75" customHeight="1" x14ac:dyDescent="0.25">
      <c r="F584" s="330"/>
    </row>
    <row r="585" spans="6:6" ht="15.75" customHeight="1" x14ac:dyDescent="0.25">
      <c r="F585" s="330"/>
    </row>
    <row r="586" spans="6:6" ht="15.75" customHeight="1" x14ac:dyDescent="0.25">
      <c r="F586" s="330"/>
    </row>
    <row r="587" spans="6:6" ht="15.75" customHeight="1" x14ac:dyDescent="0.25">
      <c r="F587" s="330"/>
    </row>
    <row r="588" spans="6:6" ht="15.75" customHeight="1" x14ac:dyDescent="0.25">
      <c r="F588" s="330"/>
    </row>
    <row r="589" spans="6:6" ht="15.75" customHeight="1" x14ac:dyDescent="0.25">
      <c r="F589" s="330"/>
    </row>
    <row r="590" spans="6:6" ht="15.75" customHeight="1" x14ac:dyDescent="0.25">
      <c r="F590" s="330"/>
    </row>
    <row r="591" spans="6:6" ht="15.75" customHeight="1" x14ac:dyDescent="0.25">
      <c r="F591" s="330"/>
    </row>
    <row r="592" spans="6:6" ht="15.75" customHeight="1" x14ac:dyDescent="0.25">
      <c r="F592" s="330"/>
    </row>
    <row r="593" spans="6:6" ht="15.75" customHeight="1" x14ac:dyDescent="0.25">
      <c r="F593" s="330"/>
    </row>
    <row r="594" spans="6:6" ht="15.75" customHeight="1" x14ac:dyDescent="0.25">
      <c r="F594" s="330"/>
    </row>
    <row r="595" spans="6:6" ht="15.75" customHeight="1" x14ac:dyDescent="0.25">
      <c r="F595" s="330"/>
    </row>
    <row r="596" spans="6:6" ht="15.75" customHeight="1" x14ac:dyDescent="0.25">
      <c r="F596" s="330"/>
    </row>
    <row r="597" spans="6:6" ht="15.75" customHeight="1" x14ac:dyDescent="0.25">
      <c r="F597" s="330"/>
    </row>
    <row r="598" spans="6:6" ht="15.75" customHeight="1" x14ac:dyDescent="0.25">
      <c r="F598" s="330"/>
    </row>
    <row r="599" spans="6:6" ht="15.75" customHeight="1" x14ac:dyDescent="0.25">
      <c r="F599" s="330"/>
    </row>
    <row r="600" spans="6:6" ht="15.75" customHeight="1" x14ac:dyDescent="0.25">
      <c r="F600" s="330"/>
    </row>
    <row r="601" spans="6:6" ht="15.75" customHeight="1" x14ac:dyDescent="0.25">
      <c r="F601" s="330"/>
    </row>
    <row r="602" spans="6:6" ht="15.75" customHeight="1" x14ac:dyDescent="0.25">
      <c r="F602" s="330"/>
    </row>
    <row r="603" spans="6:6" ht="15.75" customHeight="1" x14ac:dyDescent="0.25">
      <c r="F603" s="330"/>
    </row>
    <row r="604" spans="6:6" ht="15.75" customHeight="1" x14ac:dyDescent="0.25">
      <c r="F604" s="330"/>
    </row>
    <row r="605" spans="6:6" ht="15.75" customHeight="1" x14ac:dyDescent="0.25">
      <c r="F605" s="330"/>
    </row>
    <row r="606" spans="6:6" ht="15.75" customHeight="1" x14ac:dyDescent="0.25">
      <c r="F606" s="330"/>
    </row>
    <row r="607" spans="6:6" ht="15.75" customHeight="1" x14ac:dyDescent="0.25">
      <c r="F607" s="330"/>
    </row>
    <row r="608" spans="6:6" ht="15.75" customHeight="1" x14ac:dyDescent="0.25">
      <c r="F608" s="330"/>
    </row>
    <row r="609" spans="6:6" ht="15.75" customHeight="1" x14ac:dyDescent="0.25">
      <c r="F609" s="330"/>
    </row>
    <row r="610" spans="6:6" ht="15.75" customHeight="1" x14ac:dyDescent="0.25">
      <c r="F610" s="330"/>
    </row>
    <row r="611" spans="6:6" ht="15.75" customHeight="1" x14ac:dyDescent="0.25">
      <c r="F611" s="330"/>
    </row>
    <row r="612" spans="6:6" ht="15.75" customHeight="1" x14ac:dyDescent="0.25">
      <c r="F612" s="330"/>
    </row>
    <row r="613" spans="6:6" ht="15.75" customHeight="1" x14ac:dyDescent="0.25">
      <c r="F613" s="330"/>
    </row>
    <row r="614" spans="6:6" ht="15.75" customHeight="1" x14ac:dyDescent="0.25">
      <c r="F614" s="330"/>
    </row>
    <row r="615" spans="6:6" ht="15.75" customHeight="1" x14ac:dyDescent="0.25">
      <c r="F615" s="330"/>
    </row>
    <row r="616" spans="6:6" ht="15.75" customHeight="1" x14ac:dyDescent="0.25">
      <c r="F616" s="330"/>
    </row>
    <row r="617" spans="6:6" ht="15.75" customHeight="1" x14ac:dyDescent="0.25">
      <c r="F617" s="330"/>
    </row>
    <row r="618" spans="6:6" ht="15.75" customHeight="1" x14ac:dyDescent="0.25">
      <c r="F618" s="330"/>
    </row>
    <row r="619" spans="6:6" ht="15.75" customHeight="1" x14ac:dyDescent="0.25">
      <c r="F619" s="330"/>
    </row>
    <row r="620" spans="6:6" ht="15.75" customHeight="1" x14ac:dyDescent="0.25">
      <c r="F620" s="330"/>
    </row>
    <row r="621" spans="6:6" ht="15.75" customHeight="1" x14ac:dyDescent="0.25">
      <c r="F621" s="330"/>
    </row>
    <row r="622" spans="6:6" ht="15.75" customHeight="1" x14ac:dyDescent="0.25">
      <c r="F622" s="330"/>
    </row>
    <row r="623" spans="6:6" ht="15.75" customHeight="1" x14ac:dyDescent="0.25">
      <c r="F623" s="330"/>
    </row>
    <row r="624" spans="6:6" ht="15.75" customHeight="1" x14ac:dyDescent="0.25">
      <c r="F624" s="330"/>
    </row>
    <row r="625" spans="6:6" ht="15.75" customHeight="1" x14ac:dyDescent="0.25">
      <c r="F625" s="330"/>
    </row>
    <row r="626" spans="6:6" ht="15.75" customHeight="1" x14ac:dyDescent="0.25">
      <c r="F626" s="330"/>
    </row>
    <row r="627" spans="6:6" ht="15.75" customHeight="1" x14ac:dyDescent="0.25">
      <c r="F627" s="330"/>
    </row>
    <row r="628" spans="6:6" ht="15.75" customHeight="1" x14ac:dyDescent="0.25">
      <c r="F628" s="330"/>
    </row>
    <row r="629" spans="6:6" ht="15.75" customHeight="1" x14ac:dyDescent="0.25">
      <c r="F629" s="330"/>
    </row>
    <row r="630" spans="6:6" ht="15.75" customHeight="1" x14ac:dyDescent="0.25">
      <c r="F630" s="330"/>
    </row>
    <row r="631" spans="6:6" ht="15.75" customHeight="1" x14ac:dyDescent="0.25">
      <c r="F631" s="330"/>
    </row>
    <row r="632" spans="6:6" ht="15.75" customHeight="1" x14ac:dyDescent="0.25">
      <c r="F632" s="330"/>
    </row>
    <row r="633" spans="6:6" ht="15.75" customHeight="1" x14ac:dyDescent="0.25">
      <c r="F633" s="330"/>
    </row>
    <row r="634" spans="6:6" ht="15.75" customHeight="1" x14ac:dyDescent="0.25">
      <c r="F634" s="330"/>
    </row>
    <row r="635" spans="6:6" ht="15.75" customHeight="1" x14ac:dyDescent="0.25">
      <c r="F635" s="330"/>
    </row>
    <row r="636" spans="6:6" ht="15.75" customHeight="1" x14ac:dyDescent="0.25">
      <c r="F636" s="330"/>
    </row>
    <row r="637" spans="6:6" ht="15.75" customHeight="1" x14ac:dyDescent="0.25">
      <c r="F637" s="330"/>
    </row>
    <row r="638" spans="6:6" ht="15.75" customHeight="1" x14ac:dyDescent="0.25">
      <c r="F638" s="330"/>
    </row>
    <row r="639" spans="6:6" ht="15.75" customHeight="1" x14ac:dyDescent="0.25">
      <c r="F639" s="330"/>
    </row>
    <row r="640" spans="6:6" ht="15.75" customHeight="1" x14ac:dyDescent="0.25">
      <c r="F640" s="330"/>
    </row>
    <row r="641" spans="6:6" ht="15.75" customHeight="1" x14ac:dyDescent="0.25">
      <c r="F641" s="330"/>
    </row>
    <row r="642" spans="6:6" ht="15.75" customHeight="1" x14ac:dyDescent="0.25">
      <c r="F642" s="330"/>
    </row>
    <row r="643" spans="6:6" ht="15.75" customHeight="1" x14ac:dyDescent="0.25">
      <c r="F643" s="330"/>
    </row>
    <row r="644" spans="6:6" ht="15.75" customHeight="1" x14ac:dyDescent="0.25">
      <c r="F644" s="330"/>
    </row>
    <row r="645" spans="6:6" ht="15.75" customHeight="1" x14ac:dyDescent="0.25">
      <c r="F645" s="330"/>
    </row>
    <row r="646" spans="6:6" ht="15.75" customHeight="1" x14ac:dyDescent="0.25">
      <c r="F646" s="330"/>
    </row>
    <row r="647" spans="6:6" ht="15.75" customHeight="1" x14ac:dyDescent="0.25">
      <c r="F647" s="330"/>
    </row>
    <row r="648" spans="6:6" ht="15.75" customHeight="1" x14ac:dyDescent="0.25">
      <c r="F648" s="330"/>
    </row>
    <row r="649" spans="6:6" ht="15.75" customHeight="1" x14ac:dyDescent="0.25">
      <c r="F649" s="330"/>
    </row>
    <row r="650" spans="6:6" ht="15.75" customHeight="1" x14ac:dyDescent="0.25">
      <c r="F650" s="330"/>
    </row>
    <row r="651" spans="6:6" ht="15.75" customHeight="1" x14ac:dyDescent="0.25">
      <c r="F651" s="330"/>
    </row>
    <row r="652" spans="6:6" ht="15.75" customHeight="1" x14ac:dyDescent="0.25">
      <c r="F652" s="330"/>
    </row>
    <row r="653" spans="6:6" ht="15.75" customHeight="1" x14ac:dyDescent="0.25">
      <c r="F653" s="330"/>
    </row>
    <row r="654" spans="6:6" ht="15.75" customHeight="1" x14ac:dyDescent="0.25">
      <c r="F654" s="330"/>
    </row>
    <row r="655" spans="6:6" ht="15.75" customHeight="1" x14ac:dyDescent="0.25">
      <c r="F655" s="330"/>
    </row>
    <row r="656" spans="6:6" ht="15.75" customHeight="1" x14ac:dyDescent="0.25">
      <c r="F656" s="330"/>
    </row>
    <row r="657" spans="6:6" ht="15.75" customHeight="1" x14ac:dyDescent="0.25">
      <c r="F657" s="330"/>
    </row>
    <row r="658" spans="6:6" ht="15.75" customHeight="1" x14ac:dyDescent="0.25">
      <c r="F658" s="330"/>
    </row>
    <row r="659" spans="6:6" ht="15.75" customHeight="1" x14ac:dyDescent="0.25">
      <c r="F659" s="330"/>
    </row>
    <row r="660" spans="6:6" ht="15.75" customHeight="1" x14ac:dyDescent="0.25">
      <c r="F660" s="330"/>
    </row>
    <row r="661" spans="6:6" ht="15.75" customHeight="1" x14ac:dyDescent="0.25">
      <c r="F661" s="330"/>
    </row>
    <row r="662" spans="6:6" ht="15.75" customHeight="1" x14ac:dyDescent="0.25">
      <c r="F662" s="330"/>
    </row>
    <row r="663" spans="6:6" ht="15.75" customHeight="1" x14ac:dyDescent="0.25">
      <c r="F663" s="330"/>
    </row>
    <row r="664" spans="6:6" ht="15.75" customHeight="1" x14ac:dyDescent="0.25">
      <c r="F664" s="330"/>
    </row>
    <row r="665" spans="6:6" ht="15.75" customHeight="1" x14ac:dyDescent="0.25">
      <c r="F665" s="330"/>
    </row>
    <row r="666" spans="6:6" ht="15.75" customHeight="1" x14ac:dyDescent="0.25">
      <c r="F666" s="330"/>
    </row>
    <row r="667" spans="6:6" ht="15.75" customHeight="1" x14ac:dyDescent="0.25">
      <c r="F667" s="330"/>
    </row>
    <row r="668" spans="6:6" ht="15.75" customHeight="1" x14ac:dyDescent="0.25">
      <c r="F668" s="330"/>
    </row>
    <row r="669" spans="6:6" ht="15.75" customHeight="1" x14ac:dyDescent="0.25">
      <c r="F669" s="330"/>
    </row>
    <row r="670" spans="6:6" ht="15.75" customHeight="1" x14ac:dyDescent="0.25">
      <c r="F670" s="330"/>
    </row>
    <row r="671" spans="6:6" ht="15.75" customHeight="1" x14ac:dyDescent="0.25">
      <c r="F671" s="330"/>
    </row>
    <row r="672" spans="6:6" ht="15.75" customHeight="1" x14ac:dyDescent="0.25">
      <c r="F672" s="330"/>
    </row>
    <row r="673" spans="6:6" ht="15.75" customHeight="1" x14ac:dyDescent="0.25">
      <c r="F673" s="330"/>
    </row>
    <row r="674" spans="6:6" ht="15.75" customHeight="1" x14ac:dyDescent="0.25">
      <c r="F674" s="330"/>
    </row>
    <row r="675" spans="6:6" ht="15.75" customHeight="1" x14ac:dyDescent="0.25">
      <c r="F675" s="330"/>
    </row>
    <row r="676" spans="6:6" ht="15.75" customHeight="1" x14ac:dyDescent="0.25">
      <c r="F676" s="330"/>
    </row>
    <row r="677" spans="6:6" ht="15.75" customHeight="1" x14ac:dyDescent="0.25">
      <c r="F677" s="330"/>
    </row>
    <row r="678" spans="6:6" ht="15.75" customHeight="1" x14ac:dyDescent="0.25">
      <c r="F678" s="330"/>
    </row>
    <row r="679" spans="6:6" ht="15.75" customHeight="1" x14ac:dyDescent="0.25">
      <c r="F679" s="330"/>
    </row>
    <row r="680" spans="6:6" ht="15.75" customHeight="1" x14ac:dyDescent="0.25">
      <c r="F680" s="330"/>
    </row>
    <row r="681" spans="6:6" ht="15.75" customHeight="1" x14ac:dyDescent="0.25">
      <c r="F681" s="330"/>
    </row>
    <row r="682" spans="6:6" ht="15.75" customHeight="1" x14ac:dyDescent="0.25">
      <c r="F682" s="330"/>
    </row>
    <row r="683" spans="6:6" ht="15.75" customHeight="1" x14ac:dyDescent="0.25">
      <c r="F683" s="330"/>
    </row>
    <row r="684" spans="6:6" ht="15.75" customHeight="1" x14ac:dyDescent="0.25">
      <c r="F684" s="330"/>
    </row>
    <row r="685" spans="6:6" ht="15.75" customHeight="1" x14ac:dyDescent="0.25">
      <c r="F685" s="330"/>
    </row>
    <row r="686" spans="6:6" ht="15.75" customHeight="1" x14ac:dyDescent="0.25">
      <c r="F686" s="330"/>
    </row>
    <row r="687" spans="6:6" ht="15.75" customHeight="1" x14ac:dyDescent="0.25">
      <c r="F687" s="330"/>
    </row>
    <row r="688" spans="6:6" ht="15.75" customHeight="1" x14ac:dyDescent="0.25">
      <c r="F688" s="330"/>
    </row>
    <row r="689" spans="6:6" ht="15.75" customHeight="1" x14ac:dyDescent="0.25">
      <c r="F689" s="330"/>
    </row>
    <row r="690" spans="6:6" ht="15.75" customHeight="1" x14ac:dyDescent="0.25">
      <c r="F690" s="330"/>
    </row>
    <row r="691" spans="6:6" ht="15.75" customHeight="1" x14ac:dyDescent="0.25">
      <c r="F691" s="330"/>
    </row>
    <row r="692" spans="6:6" ht="15.75" customHeight="1" x14ac:dyDescent="0.25">
      <c r="F692" s="330"/>
    </row>
    <row r="693" spans="6:6" ht="15.75" customHeight="1" x14ac:dyDescent="0.25">
      <c r="F693" s="330"/>
    </row>
    <row r="694" spans="6:6" ht="15.75" customHeight="1" x14ac:dyDescent="0.25">
      <c r="F694" s="330"/>
    </row>
    <row r="695" spans="6:6" ht="15.75" customHeight="1" x14ac:dyDescent="0.25">
      <c r="F695" s="330"/>
    </row>
    <row r="696" spans="6:6" ht="15.75" customHeight="1" x14ac:dyDescent="0.25">
      <c r="F696" s="330"/>
    </row>
    <row r="697" spans="6:6" ht="15.75" customHeight="1" x14ac:dyDescent="0.25">
      <c r="F697" s="330"/>
    </row>
    <row r="698" spans="6:6" ht="15.75" customHeight="1" x14ac:dyDescent="0.25">
      <c r="F698" s="330"/>
    </row>
    <row r="699" spans="6:6" ht="15.75" customHeight="1" x14ac:dyDescent="0.25">
      <c r="F699" s="330"/>
    </row>
    <row r="700" spans="6:6" ht="15.75" customHeight="1" x14ac:dyDescent="0.25">
      <c r="F700" s="330"/>
    </row>
    <row r="701" spans="6:6" ht="15.75" customHeight="1" x14ac:dyDescent="0.25">
      <c r="F701" s="330"/>
    </row>
    <row r="702" spans="6:6" ht="15.75" customHeight="1" x14ac:dyDescent="0.25">
      <c r="F702" s="330"/>
    </row>
    <row r="703" spans="6:6" ht="15.75" customHeight="1" x14ac:dyDescent="0.25">
      <c r="F703" s="330"/>
    </row>
    <row r="704" spans="6:6" ht="15.75" customHeight="1" x14ac:dyDescent="0.25">
      <c r="F704" s="330"/>
    </row>
    <row r="705" spans="6:6" ht="15.75" customHeight="1" x14ac:dyDescent="0.25">
      <c r="F705" s="330"/>
    </row>
    <row r="706" spans="6:6" ht="15.75" customHeight="1" x14ac:dyDescent="0.25">
      <c r="F706" s="330"/>
    </row>
    <row r="707" spans="6:6" ht="15.75" customHeight="1" x14ac:dyDescent="0.25">
      <c r="F707" s="330"/>
    </row>
    <row r="708" spans="6:6" ht="15.75" customHeight="1" x14ac:dyDescent="0.25">
      <c r="F708" s="330"/>
    </row>
    <row r="709" spans="6:6" ht="15.75" customHeight="1" x14ac:dyDescent="0.25">
      <c r="F709" s="330"/>
    </row>
    <row r="710" spans="6:6" ht="15.75" customHeight="1" x14ac:dyDescent="0.25">
      <c r="F710" s="330"/>
    </row>
    <row r="711" spans="6:6" ht="15.75" customHeight="1" x14ac:dyDescent="0.25">
      <c r="F711" s="330"/>
    </row>
    <row r="712" spans="6:6" ht="15.75" customHeight="1" x14ac:dyDescent="0.25">
      <c r="F712" s="330"/>
    </row>
    <row r="713" spans="6:6" ht="15.75" customHeight="1" x14ac:dyDescent="0.25">
      <c r="F713" s="330"/>
    </row>
    <row r="714" spans="6:6" ht="15.75" customHeight="1" x14ac:dyDescent="0.25">
      <c r="F714" s="330"/>
    </row>
    <row r="715" spans="6:6" ht="15.75" customHeight="1" x14ac:dyDescent="0.25">
      <c r="F715" s="330"/>
    </row>
    <row r="716" spans="6:6" ht="15.75" customHeight="1" x14ac:dyDescent="0.25">
      <c r="F716" s="330"/>
    </row>
    <row r="717" spans="6:6" ht="15.75" customHeight="1" x14ac:dyDescent="0.25">
      <c r="F717" s="330"/>
    </row>
    <row r="718" spans="6:6" ht="15.75" customHeight="1" x14ac:dyDescent="0.25">
      <c r="F718" s="330"/>
    </row>
    <row r="719" spans="6:6" ht="15.75" customHeight="1" x14ac:dyDescent="0.25">
      <c r="F719" s="330"/>
    </row>
    <row r="720" spans="6:6" ht="15.75" customHeight="1" x14ac:dyDescent="0.25">
      <c r="F720" s="330"/>
    </row>
    <row r="721" spans="6:6" ht="15.75" customHeight="1" x14ac:dyDescent="0.25">
      <c r="F721" s="330"/>
    </row>
    <row r="722" spans="6:6" ht="15.75" customHeight="1" x14ac:dyDescent="0.25">
      <c r="F722" s="330"/>
    </row>
    <row r="723" spans="6:6" ht="15.75" customHeight="1" x14ac:dyDescent="0.25">
      <c r="F723" s="330"/>
    </row>
    <row r="724" spans="6:6" ht="15.75" customHeight="1" x14ac:dyDescent="0.25">
      <c r="F724" s="330"/>
    </row>
    <row r="725" spans="6:6" ht="15.75" customHeight="1" x14ac:dyDescent="0.25">
      <c r="F725" s="330"/>
    </row>
    <row r="726" spans="6:6" ht="15.75" customHeight="1" x14ac:dyDescent="0.25">
      <c r="F726" s="330"/>
    </row>
    <row r="727" spans="6:6" ht="15.75" customHeight="1" x14ac:dyDescent="0.25">
      <c r="F727" s="330"/>
    </row>
    <row r="728" spans="6:6" ht="15.75" customHeight="1" x14ac:dyDescent="0.25">
      <c r="F728" s="330"/>
    </row>
    <row r="729" spans="6:6" ht="15.75" customHeight="1" x14ac:dyDescent="0.25">
      <c r="F729" s="330"/>
    </row>
    <row r="730" spans="6:6" ht="15.75" customHeight="1" x14ac:dyDescent="0.25">
      <c r="F730" s="330"/>
    </row>
    <row r="731" spans="6:6" ht="15.75" customHeight="1" x14ac:dyDescent="0.25">
      <c r="F731" s="330"/>
    </row>
    <row r="732" spans="6:6" ht="15.75" customHeight="1" x14ac:dyDescent="0.25">
      <c r="F732" s="330"/>
    </row>
    <row r="733" spans="6:6" ht="15.75" customHeight="1" x14ac:dyDescent="0.25">
      <c r="F733" s="330"/>
    </row>
    <row r="734" spans="6:6" ht="15.75" customHeight="1" x14ac:dyDescent="0.25">
      <c r="F734" s="330"/>
    </row>
    <row r="735" spans="6:6" ht="15.75" customHeight="1" x14ac:dyDescent="0.25">
      <c r="F735" s="330"/>
    </row>
    <row r="736" spans="6:6" ht="15.75" customHeight="1" x14ac:dyDescent="0.25">
      <c r="F736" s="330"/>
    </row>
    <row r="737" spans="6:6" ht="15.75" customHeight="1" x14ac:dyDescent="0.25">
      <c r="F737" s="330"/>
    </row>
    <row r="738" spans="6:6" ht="15.75" customHeight="1" x14ac:dyDescent="0.25">
      <c r="F738" s="330"/>
    </row>
    <row r="739" spans="6:6" ht="15.75" customHeight="1" x14ac:dyDescent="0.25">
      <c r="F739" s="330"/>
    </row>
    <row r="740" spans="6:6" ht="15.75" customHeight="1" x14ac:dyDescent="0.25">
      <c r="F740" s="330"/>
    </row>
    <row r="741" spans="6:6" ht="15.75" customHeight="1" x14ac:dyDescent="0.25">
      <c r="F741" s="330"/>
    </row>
    <row r="742" spans="6:6" ht="15.75" customHeight="1" x14ac:dyDescent="0.25">
      <c r="F742" s="330"/>
    </row>
    <row r="743" spans="6:6" ht="15.75" customHeight="1" x14ac:dyDescent="0.25">
      <c r="F743" s="330"/>
    </row>
    <row r="744" spans="6:6" ht="15.75" customHeight="1" x14ac:dyDescent="0.25">
      <c r="F744" s="330"/>
    </row>
    <row r="745" spans="6:6" ht="15.75" customHeight="1" x14ac:dyDescent="0.25">
      <c r="F745" s="330"/>
    </row>
    <row r="746" spans="6:6" ht="15.75" customHeight="1" x14ac:dyDescent="0.25">
      <c r="F746" s="330"/>
    </row>
    <row r="747" spans="6:6" ht="15.75" customHeight="1" x14ac:dyDescent="0.25">
      <c r="F747" s="330"/>
    </row>
    <row r="748" spans="6:6" ht="15.75" customHeight="1" x14ac:dyDescent="0.25">
      <c r="F748" s="330"/>
    </row>
    <row r="749" spans="6:6" ht="15.75" customHeight="1" x14ac:dyDescent="0.25">
      <c r="F749" s="330"/>
    </row>
    <row r="750" spans="6:6" ht="15.75" customHeight="1" x14ac:dyDescent="0.25">
      <c r="F750" s="330"/>
    </row>
    <row r="751" spans="6:6" ht="15.75" customHeight="1" x14ac:dyDescent="0.25">
      <c r="F751" s="330"/>
    </row>
    <row r="752" spans="6:6" ht="15.75" customHeight="1" x14ac:dyDescent="0.25">
      <c r="F752" s="330"/>
    </row>
    <row r="753" spans="6:6" ht="15.75" customHeight="1" x14ac:dyDescent="0.25">
      <c r="F753" s="330"/>
    </row>
    <row r="754" spans="6:6" ht="15.75" customHeight="1" x14ac:dyDescent="0.25">
      <c r="F754" s="330"/>
    </row>
    <row r="755" spans="6:6" ht="15.75" customHeight="1" x14ac:dyDescent="0.25">
      <c r="F755" s="330"/>
    </row>
    <row r="756" spans="6:6" ht="15.75" customHeight="1" x14ac:dyDescent="0.25">
      <c r="F756" s="330"/>
    </row>
    <row r="757" spans="6:6" ht="15.75" customHeight="1" x14ac:dyDescent="0.25">
      <c r="F757" s="330"/>
    </row>
    <row r="758" spans="6:6" ht="15.75" customHeight="1" x14ac:dyDescent="0.25">
      <c r="F758" s="330"/>
    </row>
    <row r="759" spans="6:6" ht="15.75" customHeight="1" x14ac:dyDescent="0.25">
      <c r="F759" s="330"/>
    </row>
    <row r="760" spans="6:6" ht="15.75" customHeight="1" x14ac:dyDescent="0.25">
      <c r="F760" s="330"/>
    </row>
    <row r="761" spans="6:6" ht="15.75" customHeight="1" x14ac:dyDescent="0.25">
      <c r="F761" s="330"/>
    </row>
    <row r="762" spans="6:6" ht="15.75" customHeight="1" x14ac:dyDescent="0.25">
      <c r="F762" s="330"/>
    </row>
    <row r="763" spans="6:6" ht="15.75" customHeight="1" x14ac:dyDescent="0.25">
      <c r="F763" s="330"/>
    </row>
    <row r="764" spans="6:6" ht="15.75" customHeight="1" x14ac:dyDescent="0.25">
      <c r="F764" s="330"/>
    </row>
    <row r="765" spans="6:6" ht="15.75" customHeight="1" x14ac:dyDescent="0.25">
      <c r="F765" s="330"/>
    </row>
    <row r="766" spans="6:6" ht="15.75" customHeight="1" x14ac:dyDescent="0.25">
      <c r="F766" s="330"/>
    </row>
    <row r="767" spans="6:6" ht="15.75" customHeight="1" x14ac:dyDescent="0.25">
      <c r="F767" s="330"/>
    </row>
    <row r="768" spans="6:6" ht="15.75" customHeight="1" x14ac:dyDescent="0.25">
      <c r="F768" s="330"/>
    </row>
    <row r="769" spans="6:6" ht="15.75" customHeight="1" x14ac:dyDescent="0.25">
      <c r="F769" s="330"/>
    </row>
    <row r="770" spans="6:6" ht="15.75" customHeight="1" x14ac:dyDescent="0.25">
      <c r="F770" s="330"/>
    </row>
    <row r="771" spans="6:6" ht="15.75" customHeight="1" x14ac:dyDescent="0.25">
      <c r="F771" s="330"/>
    </row>
    <row r="772" spans="6:6" ht="15.75" customHeight="1" x14ac:dyDescent="0.25">
      <c r="F772" s="330"/>
    </row>
    <row r="773" spans="6:6" ht="15.75" customHeight="1" x14ac:dyDescent="0.25">
      <c r="F773" s="330"/>
    </row>
    <row r="774" spans="6:6" ht="15.75" customHeight="1" x14ac:dyDescent="0.25">
      <c r="F774" s="330"/>
    </row>
    <row r="775" spans="6:6" ht="15.75" customHeight="1" x14ac:dyDescent="0.25">
      <c r="F775" s="330"/>
    </row>
    <row r="776" spans="6:6" ht="15.75" customHeight="1" x14ac:dyDescent="0.25">
      <c r="F776" s="330"/>
    </row>
    <row r="777" spans="6:6" ht="15.75" customHeight="1" x14ac:dyDescent="0.25">
      <c r="F777" s="330"/>
    </row>
    <row r="778" spans="6:6" ht="15.75" customHeight="1" x14ac:dyDescent="0.25">
      <c r="F778" s="330"/>
    </row>
    <row r="779" spans="6:6" ht="15.75" customHeight="1" x14ac:dyDescent="0.25">
      <c r="F779" s="330"/>
    </row>
    <row r="780" spans="6:6" ht="15.75" customHeight="1" x14ac:dyDescent="0.25">
      <c r="F780" s="330"/>
    </row>
    <row r="781" spans="6:6" ht="15.75" customHeight="1" x14ac:dyDescent="0.25">
      <c r="F781" s="330"/>
    </row>
    <row r="782" spans="6:6" ht="15.75" customHeight="1" x14ac:dyDescent="0.25">
      <c r="F782" s="330"/>
    </row>
    <row r="783" spans="6:6" ht="15.75" customHeight="1" x14ac:dyDescent="0.25">
      <c r="F783" s="330"/>
    </row>
    <row r="784" spans="6:6" ht="15.75" customHeight="1" x14ac:dyDescent="0.25">
      <c r="F784" s="330"/>
    </row>
    <row r="785" spans="6:6" ht="15.75" customHeight="1" x14ac:dyDescent="0.25">
      <c r="F785" s="330"/>
    </row>
    <row r="786" spans="6:6" ht="15.75" customHeight="1" x14ac:dyDescent="0.25">
      <c r="F786" s="330"/>
    </row>
    <row r="787" spans="6:6" ht="15.75" customHeight="1" x14ac:dyDescent="0.25">
      <c r="F787" s="330"/>
    </row>
    <row r="788" spans="6:6" ht="15.75" customHeight="1" x14ac:dyDescent="0.25">
      <c r="F788" s="330"/>
    </row>
    <row r="789" spans="6:6" ht="15.75" customHeight="1" x14ac:dyDescent="0.25">
      <c r="F789" s="330"/>
    </row>
    <row r="790" spans="6:6" ht="15.75" customHeight="1" x14ac:dyDescent="0.25">
      <c r="F790" s="330"/>
    </row>
    <row r="791" spans="6:6" ht="15.75" customHeight="1" x14ac:dyDescent="0.25">
      <c r="F791" s="330"/>
    </row>
    <row r="792" spans="6:6" ht="15.75" customHeight="1" x14ac:dyDescent="0.25">
      <c r="F792" s="330"/>
    </row>
    <row r="793" spans="6:6" ht="15.75" customHeight="1" x14ac:dyDescent="0.25">
      <c r="F793" s="330"/>
    </row>
    <row r="794" spans="6:6" ht="15.75" customHeight="1" x14ac:dyDescent="0.25">
      <c r="F794" s="330"/>
    </row>
    <row r="795" spans="6:6" ht="15.75" customHeight="1" x14ac:dyDescent="0.25">
      <c r="F795" s="330"/>
    </row>
    <row r="796" spans="6:6" ht="15.75" customHeight="1" x14ac:dyDescent="0.25">
      <c r="F796" s="330"/>
    </row>
    <row r="797" spans="6:6" ht="15.75" customHeight="1" x14ac:dyDescent="0.25">
      <c r="F797" s="330"/>
    </row>
    <row r="798" spans="6:6" ht="15.75" customHeight="1" x14ac:dyDescent="0.25">
      <c r="F798" s="330"/>
    </row>
    <row r="799" spans="6:6" ht="15.75" customHeight="1" x14ac:dyDescent="0.25">
      <c r="F799" s="330"/>
    </row>
    <row r="800" spans="6:6" ht="15.75" customHeight="1" x14ac:dyDescent="0.25">
      <c r="F800" s="330"/>
    </row>
    <row r="801" spans="6:6" ht="15.75" customHeight="1" x14ac:dyDescent="0.25">
      <c r="F801" s="330"/>
    </row>
    <row r="802" spans="6:6" ht="15.75" customHeight="1" x14ac:dyDescent="0.25">
      <c r="F802" s="330"/>
    </row>
    <row r="803" spans="6:6" ht="15.75" customHeight="1" x14ac:dyDescent="0.25">
      <c r="F803" s="330"/>
    </row>
    <row r="804" spans="6:6" ht="15.75" customHeight="1" x14ac:dyDescent="0.25">
      <c r="F804" s="330"/>
    </row>
    <row r="805" spans="6:6" ht="15.75" customHeight="1" x14ac:dyDescent="0.25">
      <c r="F805" s="330"/>
    </row>
    <row r="806" spans="6:6" ht="15.75" customHeight="1" x14ac:dyDescent="0.25">
      <c r="F806" s="330"/>
    </row>
    <row r="807" spans="6:6" ht="15.75" customHeight="1" x14ac:dyDescent="0.25">
      <c r="F807" s="330"/>
    </row>
    <row r="808" spans="6:6" ht="15.75" customHeight="1" x14ac:dyDescent="0.25">
      <c r="F808" s="330"/>
    </row>
    <row r="809" spans="6:6" ht="15.75" customHeight="1" x14ac:dyDescent="0.25">
      <c r="F809" s="330"/>
    </row>
    <row r="810" spans="6:6" ht="15.75" customHeight="1" x14ac:dyDescent="0.25">
      <c r="F810" s="330"/>
    </row>
    <row r="811" spans="6:6" ht="15.75" customHeight="1" x14ac:dyDescent="0.25">
      <c r="F811" s="330"/>
    </row>
    <row r="812" spans="6:6" ht="15.75" customHeight="1" x14ac:dyDescent="0.25">
      <c r="F812" s="330"/>
    </row>
    <row r="813" spans="6:6" ht="15.75" customHeight="1" x14ac:dyDescent="0.25">
      <c r="F813" s="330"/>
    </row>
    <row r="814" spans="6:6" ht="15.75" customHeight="1" x14ac:dyDescent="0.25">
      <c r="F814" s="330"/>
    </row>
    <row r="815" spans="6:6" ht="15.75" customHeight="1" x14ac:dyDescent="0.25">
      <c r="F815" s="330"/>
    </row>
    <row r="816" spans="6:6" ht="15.75" customHeight="1" x14ac:dyDescent="0.25">
      <c r="F816" s="330"/>
    </row>
    <row r="817" spans="6:6" ht="15.75" customHeight="1" x14ac:dyDescent="0.25">
      <c r="F817" s="330"/>
    </row>
    <row r="818" spans="6:6" ht="15.75" customHeight="1" x14ac:dyDescent="0.25">
      <c r="F818" s="330"/>
    </row>
    <row r="819" spans="6:6" ht="15.75" customHeight="1" x14ac:dyDescent="0.25">
      <c r="F819" s="330"/>
    </row>
    <row r="820" spans="6:6" ht="15.75" customHeight="1" x14ac:dyDescent="0.25">
      <c r="F820" s="330"/>
    </row>
    <row r="821" spans="6:6" ht="15.75" customHeight="1" x14ac:dyDescent="0.25">
      <c r="F821" s="330"/>
    </row>
    <row r="822" spans="6:6" ht="15.75" customHeight="1" x14ac:dyDescent="0.25">
      <c r="F822" s="330"/>
    </row>
    <row r="823" spans="6:6" ht="15.75" customHeight="1" x14ac:dyDescent="0.25">
      <c r="F823" s="330"/>
    </row>
    <row r="824" spans="6:6" ht="15.75" customHeight="1" x14ac:dyDescent="0.25">
      <c r="F824" s="330"/>
    </row>
    <row r="825" spans="6:6" ht="15.75" customHeight="1" x14ac:dyDescent="0.25">
      <c r="F825" s="330"/>
    </row>
    <row r="826" spans="6:6" ht="15.75" customHeight="1" x14ac:dyDescent="0.25">
      <c r="F826" s="330"/>
    </row>
    <row r="827" spans="6:6" ht="15.75" customHeight="1" x14ac:dyDescent="0.25">
      <c r="F827" s="330"/>
    </row>
    <row r="828" spans="6:6" ht="15.75" customHeight="1" x14ac:dyDescent="0.25">
      <c r="F828" s="330"/>
    </row>
    <row r="829" spans="6:6" ht="15.75" customHeight="1" x14ac:dyDescent="0.25">
      <c r="F829" s="330"/>
    </row>
    <row r="830" spans="6:6" ht="15.75" customHeight="1" x14ac:dyDescent="0.25">
      <c r="F830" s="330"/>
    </row>
    <row r="831" spans="6:6" ht="15.75" customHeight="1" x14ac:dyDescent="0.25">
      <c r="F831" s="330"/>
    </row>
    <row r="832" spans="6:6" ht="15.75" customHeight="1" x14ac:dyDescent="0.25">
      <c r="F832" s="330"/>
    </row>
    <row r="833" spans="6:6" ht="15.75" customHeight="1" x14ac:dyDescent="0.25">
      <c r="F833" s="330"/>
    </row>
    <row r="834" spans="6:6" ht="15.75" customHeight="1" x14ac:dyDescent="0.25">
      <c r="F834" s="330"/>
    </row>
    <row r="835" spans="6:6" ht="15.75" customHeight="1" x14ac:dyDescent="0.25">
      <c r="F835" s="330"/>
    </row>
    <row r="836" spans="6:6" ht="15.75" customHeight="1" x14ac:dyDescent="0.25">
      <c r="F836" s="330"/>
    </row>
    <row r="837" spans="6:6" ht="15.75" customHeight="1" x14ac:dyDescent="0.25">
      <c r="F837" s="330"/>
    </row>
    <row r="838" spans="6:6" ht="15.75" customHeight="1" x14ac:dyDescent="0.25">
      <c r="F838" s="330"/>
    </row>
    <row r="839" spans="6:6" ht="15.75" customHeight="1" x14ac:dyDescent="0.25">
      <c r="F839" s="330"/>
    </row>
    <row r="840" spans="6:6" ht="15.75" customHeight="1" x14ac:dyDescent="0.25">
      <c r="F840" s="330"/>
    </row>
    <row r="841" spans="6:6" ht="15.75" customHeight="1" x14ac:dyDescent="0.25">
      <c r="F841" s="330"/>
    </row>
    <row r="842" spans="6:6" ht="15.75" customHeight="1" x14ac:dyDescent="0.25">
      <c r="F842" s="330"/>
    </row>
    <row r="843" spans="6:6" ht="15.75" customHeight="1" x14ac:dyDescent="0.25">
      <c r="F843" s="330"/>
    </row>
    <row r="844" spans="6:6" ht="15.75" customHeight="1" x14ac:dyDescent="0.25">
      <c r="F844" s="330"/>
    </row>
    <row r="845" spans="6:6" ht="15.75" customHeight="1" x14ac:dyDescent="0.25">
      <c r="F845" s="330"/>
    </row>
    <row r="846" spans="6:6" ht="15.75" customHeight="1" x14ac:dyDescent="0.25">
      <c r="F846" s="330"/>
    </row>
    <row r="847" spans="6:6" ht="15.75" customHeight="1" x14ac:dyDescent="0.25">
      <c r="F847" s="330"/>
    </row>
    <row r="848" spans="6:6" ht="15.75" customHeight="1" x14ac:dyDescent="0.25">
      <c r="F848" s="330"/>
    </row>
    <row r="849" spans="6:6" ht="15.75" customHeight="1" x14ac:dyDescent="0.25">
      <c r="F849" s="330"/>
    </row>
    <row r="850" spans="6:6" ht="15.75" customHeight="1" x14ac:dyDescent="0.25">
      <c r="F850" s="330"/>
    </row>
    <row r="851" spans="6:6" ht="15.75" customHeight="1" x14ac:dyDescent="0.25">
      <c r="F851" s="330"/>
    </row>
    <row r="852" spans="6:6" ht="15.75" customHeight="1" x14ac:dyDescent="0.25">
      <c r="F852" s="330"/>
    </row>
    <row r="853" spans="6:6" ht="15.75" customHeight="1" x14ac:dyDescent="0.25">
      <c r="F853" s="330"/>
    </row>
    <row r="854" spans="6:6" ht="15.75" customHeight="1" x14ac:dyDescent="0.25">
      <c r="F854" s="330"/>
    </row>
    <row r="855" spans="6:6" ht="15.75" customHeight="1" x14ac:dyDescent="0.25">
      <c r="F855" s="330"/>
    </row>
    <row r="856" spans="6:6" ht="15.75" customHeight="1" x14ac:dyDescent="0.25">
      <c r="F856" s="330"/>
    </row>
    <row r="857" spans="6:6" ht="15.75" customHeight="1" x14ac:dyDescent="0.25">
      <c r="F857" s="330"/>
    </row>
    <row r="858" spans="6:6" ht="15.75" customHeight="1" x14ac:dyDescent="0.25">
      <c r="F858" s="330"/>
    </row>
    <row r="859" spans="6:6" ht="15.75" customHeight="1" x14ac:dyDescent="0.25">
      <c r="F859" s="330"/>
    </row>
    <row r="860" spans="6:6" ht="15.75" customHeight="1" x14ac:dyDescent="0.25">
      <c r="F860" s="330"/>
    </row>
    <row r="861" spans="6:6" ht="15.75" customHeight="1" x14ac:dyDescent="0.25">
      <c r="F861" s="330"/>
    </row>
    <row r="862" spans="6:6" ht="15.75" customHeight="1" x14ac:dyDescent="0.25">
      <c r="F862" s="330"/>
    </row>
    <row r="863" spans="6:6" ht="15.75" customHeight="1" x14ac:dyDescent="0.25">
      <c r="F863" s="330"/>
    </row>
    <row r="864" spans="6:6" ht="15.75" customHeight="1" x14ac:dyDescent="0.25">
      <c r="F864" s="330"/>
    </row>
    <row r="865" spans="6:6" ht="15.75" customHeight="1" x14ac:dyDescent="0.25">
      <c r="F865" s="330"/>
    </row>
    <row r="866" spans="6:6" ht="15.75" customHeight="1" x14ac:dyDescent="0.25">
      <c r="F866" s="330"/>
    </row>
    <row r="867" spans="6:6" ht="15.75" customHeight="1" x14ac:dyDescent="0.25">
      <c r="F867" s="330"/>
    </row>
    <row r="868" spans="6:6" ht="15.75" customHeight="1" x14ac:dyDescent="0.25">
      <c r="F868" s="330"/>
    </row>
    <row r="869" spans="6:6" ht="15.75" customHeight="1" x14ac:dyDescent="0.25">
      <c r="F869" s="330"/>
    </row>
    <row r="870" spans="6:6" ht="15.75" customHeight="1" x14ac:dyDescent="0.25">
      <c r="F870" s="330"/>
    </row>
    <row r="871" spans="6:6" ht="15.75" customHeight="1" x14ac:dyDescent="0.25">
      <c r="F871" s="330"/>
    </row>
    <row r="872" spans="6:6" ht="15.75" customHeight="1" x14ac:dyDescent="0.25">
      <c r="F872" s="330"/>
    </row>
    <row r="873" spans="6:6" ht="15.75" customHeight="1" x14ac:dyDescent="0.25">
      <c r="F873" s="330"/>
    </row>
    <row r="874" spans="6:6" ht="15.75" customHeight="1" x14ac:dyDescent="0.25">
      <c r="F874" s="330"/>
    </row>
    <row r="875" spans="6:6" ht="15.75" customHeight="1" x14ac:dyDescent="0.25">
      <c r="F875" s="330"/>
    </row>
    <row r="876" spans="6:6" ht="15.75" customHeight="1" x14ac:dyDescent="0.25">
      <c r="F876" s="330"/>
    </row>
    <row r="877" spans="6:6" ht="15.75" customHeight="1" x14ac:dyDescent="0.25">
      <c r="F877" s="330"/>
    </row>
    <row r="878" spans="6:6" ht="15.75" customHeight="1" x14ac:dyDescent="0.25">
      <c r="F878" s="330"/>
    </row>
    <row r="879" spans="6:6" ht="15.75" customHeight="1" x14ac:dyDescent="0.25">
      <c r="F879" s="330"/>
    </row>
    <row r="880" spans="6:6" ht="15.75" customHeight="1" x14ac:dyDescent="0.25">
      <c r="F880" s="330"/>
    </row>
    <row r="881" spans="6:6" ht="15.75" customHeight="1" x14ac:dyDescent="0.25">
      <c r="F881" s="330"/>
    </row>
    <row r="882" spans="6:6" ht="15.75" customHeight="1" x14ac:dyDescent="0.25">
      <c r="F882" s="330"/>
    </row>
    <row r="883" spans="6:6" ht="15.75" customHeight="1" x14ac:dyDescent="0.25">
      <c r="F883" s="330"/>
    </row>
    <row r="884" spans="6:6" ht="15.75" customHeight="1" x14ac:dyDescent="0.25">
      <c r="F884" s="330"/>
    </row>
    <row r="885" spans="6:6" ht="15.75" customHeight="1" x14ac:dyDescent="0.25">
      <c r="F885" s="330"/>
    </row>
    <row r="886" spans="6:6" ht="15.75" customHeight="1" x14ac:dyDescent="0.25">
      <c r="F886" s="330"/>
    </row>
    <row r="887" spans="6:6" ht="15.75" customHeight="1" x14ac:dyDescent="0.25">
      <c r="F887" s="330"/>
    </row>
    <row r="888" spans="6:6" ht="15.75" customHeight="1" x14ac:dyDescent="0.25">
      <c r="F888" s="330"/>
    </row>
    <row r="889" spans="6:6" ht="15.75" customHeight="1" x14ac:dyDescent="0.25">
      <c r="F889" s="330"/>
    </row>
    <row r="890" spans="6:6" ht="15.75" customHeight="1" x14ac:dyDescent="0.25">
      <c r="F890" s="330"/>
    </row>
    <row r="891" spans="6:6" ht="15.75" customHeight="1" x14ac:dyDescent="0.25">
      <c r="F891" s="330"/>
    </row>
    <row r="892" spans="6:6" ht="15.75" customHeight="1" x14ac:dyDescent="0.25">
      <c r="F892" s="330"/>
    </row>
    <row r="893" spans="6:6" ht="15.75" customHeight="1" x14ac:dyDescent="0.25">
      <c r="F893" s="330"/>
    </row>
    <row r="894" spans="6:6" ht="15.75" customHeight="1" x14ac:dyDescent="0.25">
      <c r="F894" s="330"/>
    </row>
    <row r="895" spans="6:6" ht="15.75" customHeight="1" x14ac:dyDescent="0.25">
      <c r="F895" s="330"/>
    </row>
    <row r="896" spans="6:6" ht="15.75" customHeight="1" x14ac:dyDescent="0.25">
      <c r="F896" s="330"/>
    </row>
    <row r="897" spans="6:6" ht="15.75" customHeight="1" x14ac:dyDescent="0.25">
      <c r="F897" s="330"/>
    </row>
    <row r="898" spans="6:6" ht="15.75" customHeight="1" x14ac:dyDescent="0.25">
      <c r="F898" s="330"/>
    </row>
    <row r="899" spans="6:6" ht="15.75" customHeight="1" x14ac:dyDescent="0.25">
      <c r="F899" s="330"/>
    </row>
    <row r="900" spans="6:6" ht="15.75" customHeight="1" x14ac:dyDescent="0.25">
      <c r="F900" s="330"/>
    </row>
    <row r="901" spans="6:6" ht="15.75" customHeight="1" x14ac:dyDescent="0.25">
      <c r="F901" s="330"/>
    </row>
    <row r="902" spans="6:6" ht="15.75" customHeight="1" x14ac:dyDescent="0.25">
      <c r="F902" s="330"/>
    </row>
    <row r="903" spans="6:6" ht="15.75" customHeight="1" x14ac:dyDescent="0.25">
      <c r="F903" s="330"/>
    </row>
    <row r="904" spans="6:6" ht="15.75" customHeight="1" x14ac:dyDescent="0.25">
      <c r="F904" s="330"/>
    </row>
    <row r="905" spans="6:6" ht="15.75" customHeight="1" x14ac:dyDescent="0.25">
      <c r="F905" s="330"/>
    </row>
    <row r="906" spans="6:6" ht="15.75" customHeight="1" x14ac:dyDescent="0.25">
      <c r="F906" s="330"/>
    </row>
    <row r="907" spans="6:6" ht="15.75" customHeight="1" x14ac:dyDescent="0.25">
      <c r="F907" s="330"/>
    </row>
    <row r="908" spans="6:6" ht="15.75" customHeight="1" x14ac:dyDescent="0.25">
      <c r="F908" s="330"/>
    </row>
    <row r="909" spans="6:6" ht="15.75" customHeight="1" x14ac:dyDescent="0.25">
      <c r="F909" s="330"/>
    </row>
    <row r="910" spans="6:6" ht="15.75" customHeight="1" x14ac:dyDescent="0.25">
      <c r="F910" s="330"/>
    </row>
    <row r="911" spans="6:6" ht="15.75" customHeight="1" x14ac:dyDescent="0.25">
      <c r="F911" s="330"/>
    </row>
    <row r="912" spans="6:6" ht="15.75" customHeight="1" x14ac:dyDescent="0.25">
      <c r="F912" s="330"/>
    </row>
    <row r="913" spans="6:6" ht="15.75" customHeight="1" x14ac:dyDescent="0.25">
      <c r="F913" s="330"/>
    </row>
    <row r="914" spans="6:6" ht="15.75" customHeight="1" x14ac:dyDescent="0.25">
      <c r="F914" s="330"/>
    </row>
    <row r="915" spans="6:6" ht="15.75" customHeight="1" x14ac:dyDescent="0.25">
      <c r="F915" s="330"/>
    </row>
    <row r="916" spans="6:6" ht="15.75" customHeight="1" x14ac:dyDescent="0.25">
      <c r="F916" s="330"/>
    </row>
    <row r="917" spans="6:6" ht="15.75" customHeight="1" x14ac:dyDescent="0.25">
      <c r="F917" s="330"/>
    </row>
    <row r="918" spans="6:6" ht="15.75" customHeight="1" x14ac:dyDescent="0.25">
      <c r="F918" s="330"/>
    </row>
    <row r="919" spans="6:6" ht="15.75" customHeight="1" x14ac:dyDescent="0.25">
      <c r="F919" s="330"/>
    </row>
    <row r="920" spans="6:6" ht="15.75" customHeight="1" x14ac:dyDescent="0.25">
      <c r="F920" s="330"/>
    </row>
    <row r="921" spans="6:6" ht="15.75" customHeight="1" x14ac:dyDescent="0.25">
      <c r="F921" s="330"/>
    </row>
    <row r="922" spans="6:6" ht="15.75" customHeight="1" x14ac:dyDescent="0.25">
      <c r="F922" s="330"/>
    </row>
    <row r="923" spans="6:6" ht="15.75" customHeight="1" x14ac:dyDescent="0.25">
      <c r="F923" s="330"/>
    </row>
    <row r="924" spans="6:6" ht="15.75" customHeight="1" x14ac:dyDescent="0.25">
      <c r="F924" s="330"/>
    </row>
    <row r="925" spans="6:6" ht="15.75" customHeight="1" x14ac:dyDescent="0.25">
      <c r="F925" s="330"/>
    </row>
    <row r="926" spans="6:6" ht="15.75" customHeight="1" x14ac:dyDescent="0.25">
      <c r="F926" s="330"/>
    </row>
    <row r="927" spans="6:6" ht="15.75" customHeight="1" x14ac:dyDescent="0.25">
      <c r="F927" s="330"/>
    </row>
    <row r="928" spans="6:6" ht="15.75" customHeight="1" x14ac:dyDescent="0.25">
      <c r="F928" s="330"/>
    </row>
    <row r="929" spans="6:6" ht="15.75" customHeight="1" x14ac:dyDescent="0.25">
      <c r="F929" s="330"/>
    </row>
    <row r="930" spans="6:6" ht="15.75" customHeight="1" x14ac:dyDescent="0.25">
      <c r="F930" s="330"/>
    </row>
    <row r="931" spans="6:6" ht="15.75" customHeight="1" x14ac:dyDescent="0.25">
      <c r="F931" s="330"/>
    </row>
    <row r="932" spans="6:6" ht="15.75" customHeight="1" x14ac:dyDescent="0.25">
      <c r="F932" s="330"/>
    </row>
    <row r="933" spans="6:6" ht="15.75" customHeight="1" x14ac:dyDescent="0.25">
      <c r="F933" s="330"/>
    </row>
    <row r="934" spans="6:6" ht="15.75" customHeight="1" x14ac:dyDescent="0.25">
      <c r="F934" s="330"/>
    </row>
    <row r="935" spans="6:6" ht="15.75" customHeight="1" x14ac:dyDescent="0.25">
      <c r="F935" s="330"/>
    </row>
    <row r="936" spans="6:6" ht="15.75" customHeight="1" x14ac:dyDescent="0.25">
      <c r="F936" s="330"/>
    </row>
    <row r="937" spans="6:6" ht="15.75" customHeight="1" x14ac:dyDescent="0.25">
      <c r="F937" s="330"/>
    </row>
    <row r="938" spans="6:6" ht="15.75" customHeight="1" x14ac:dyDescent="0.25">
      <c r="F938" s="330"/>
    </row>
    <row r="939" spans="6:6" ht="15.75" customHeight="1" x14ac:dyDescent="0.25">
      <c r="F939" s="330"/>
    </row>
    <row r="940" spans="6:6" ht="15.75" customHeight="1" x14ac:dyDescent="0.25">
      <c r="F940" s="330"/>
    </row>
    <row r="941" spans="6:6" ht="15.75" customHeight="1" x14ac:dyDescent="0.25">
      <c r="F941" s="330"/>
    </row>
    <row r="942" spans="6:6" ht="15.75" customHeight="1" x14ac:dyDescent="0.25">
      <c r="F942" s="330"/>
    </row>
    <row r="943" spans="6:6" ht="15.75" customHeight="1" x14ac:dyDescent="0.25">
      <c r="F943" s="330"/>
    </row>
    <row r="944" spans="6:6" ht="15.75" customHeight="1" x14ac:dyDescent="0.25">
      <c r="F944" s="330"/>
    </row>
    <row r="945" spans="6:6" ht="15.75" customHeight="1" x14ac:dyDescent="0.25">
      <c r="F945" s="330"/>
    </row>
    <row r="946" spans="6:6" ht="15.75" customHeight="1" x14ac:dyDescent="0.25">
      <c r="F946" s="330"/>
    </row>
    <row r="947" spans="6:6" ht="15.75" customHeight="1" x14ac:dyDescent="0.25">
      <c r="F947" s="330"/>
    </row>
    <row r="948" spans="6:6" ht="15.75" customHeight="1" x14ac:dyDescent="0.25">
      <c r="F948" s="330"/>
    </row>
    <row r="949" spans="6:6" ht="15.75" customHeight="1" x14ac:dyDescent="0.25">
      <c r="F949" s="330"/>
    </row>
    <row r="950" spans="6:6" ht="15.75" customHeight="1" x14ac:dyDescent="0.25">
      <c r="F950" s="330"/>
    </row>
    <row r="951" spans="6:6" ht="15.75" customHeight="1" x14ac:dyDescent="0.25">
      <c r="F951" s="330"/>
    </row>
    <row r="952" spans="6:6" ht="15.75" customHeight="1" x14ac:dyDescent="0.25">
      <c r="F952" s="330"/>
    </row>
    <row r="953" spans="6:6" ht="15.75" customHeight="1" x14ac:dyDescent="0.25">
      <c r="F953" s="330"/>
    </row>
    <row r="954" spans="6:6" ht="15.75" customHeight="1" x14ac:dyDescent="0.25">
      <c r="F954" s="330"/>
    </row>
    <row r="955" spans="6:6" ht="15.75" customHeight="1" x14ac:dyDescent="0.25">
      <c r="F955" s="330"/>
    </row>
    <row r="956" spans="6:6" ht="15.75" customHeight="1" x14ac:dyDescent="0.25">
      <c r="F956" s="330"/>
    </row>
    <row r="957" spans="6:6" ht="15.75" customHeight="1" x14ac:dyDescent="0.25">
      <c r="F957" s="330"/>
    </row>
    <row r="958" spans="6:6" ht="15.75" customHeight="1" x14ac:dyDescent="0.25">
      <c r="F958" s="330"/>
    </row>
    <row r="959" spans="6:6" ht="15.75" customHeight="1" x14ac:dyDescent="0.25">
      <c r="F959" s="330"/>
    </row>
    <row r="960" spans="6:6" ht="15.75" customHeight="1" x14ac:dyDescent="0.25">
      <c r="F960" s="330"/>
    </row>
    <row r="961" spans="6:6" ht="15.75" customHeight="1" x14ac:dyDescent="0.25">
      <c r="F961" s="330"/>
    </row>
    <row r="962" spans="6:6" ht="15.75" customHeight="1" x14ac:dyDescent="0.25">
      <c r="F962" s="330"/>
    </row>
    <row r="963" spans="6:6" ht="15.75" customHeight="1" x14ac:dyDescent="0.25">
      <c r="F963" s="330"/>
    </row>
    <row r="964" spans="6:6" ht="15.75" customHeight="1" x14ac:dyDescent="0.25">
      <c r="F964" s="330"/>
    </row>
    <row r="965" spans="6:6" ht="15.75" customHeight="1" x14ac:dyDescent="0.25">
      <c r="F965" s="330"/>
    </row>
    <row r="966" spans="6:6" ht="15.75" customHeight="1" x14ac:dyDescent="0.25">
      <c r="F966" s="330"/>
    </row>
    <row r="967" spans="6:6" ht="15.75" customHeight="1" x14ac:dyDescent="0.25">
      <c r="F967" s="330"/>
    </row>
    <row r="968" spans="6:6" ht="15.75" customHeight="1" x14ac:dyDescent="0.25">
      <c r="F968" s="330"/>
    </row>
    <row r="969" spans="6:6" ht="15.75" customHeight="1" x14ac:dyDescent="0.25">
      <c r="F969" s="330"/>
    </row>
    <row r="970" spans="6:6" ht="15.75" customHeight="1" x14ac:dyDescent="0.25">
      <c r="F970" s="330"/>
    </row>
    <row r="971" spans="6:6" ht="15.75" customHeight="1" x14ac:dyDescent="0.25">
      <c r="F971" s="330"/>
    </row>
    <row r="972" spans="6:6" ht="15.75" customHeight="1" x14ac:dyDescent="0.25">
      <c r="F972" s="330"/>
    </row>
    <row r="973" spans="6:6" ht="15.75" customHeight="1" x14ac:dyDescent="0.25">
      <c r="F973" s="330"/>
    </row>
    <row r="974" spans="6:6" ht="15.75" customHeight="1" x14ac:dyDescent="0.25">
      <c r="F974" s="330"/>
    </row>
    <row r="975" spans="6:6" ht="15.75" customHeight="1" x14ac:dyDescent="0.25">
      <c r="F975" s="330"/>
    </row>
    <row r="976" spans="6:6" ht="15.75" customHeight="1" x14ac:dyDescent="0.25">
      <c r="F976" s="330"/>
    </row>
    <row r="977" spans="6:6" ht="15.75" customHeight="1" x14ac:dyDescent="0.25">
      <c r="F977" s="330"/>
    </row>
    <row r="978" spans="6:6" ht="15.75" customHeight="1" x14ac:dyDescent="0.25">
      <c r="F978" s="330"/>
    </row>
    <row r="979" spans="6:6" ht="15.75" customHeight="1" x14ac:dyDescent="0.25">
      <c r="F979" s="330"/>
    </row>
    <row r="980" spans="6:6" ht="15.75" customHeight="1" x14ac:dyDescent="0.25">
      <c r="F980" s="330"/>
    </row>
    <row r="981" spans="6:6" ht="15.75" customHeight="1" x14ac:dyDescent="0.25">
      <c r="F981" s="330"/>
    </row>
    <row r="982" spans="6:6" ht="15.75" customHeight="1" x14ac:dyDescent="0.25">
      <c r="F982" s="330"/>
    </row>
    <row r="983" spans="6:6" ht="15.75" customHeight="1" x14ac:dyDescent="0.25">
      <c r="F983" s="330"/>
    </row>
    <row r="984" spans="6:6" ht="15.75" customHeight="1" x14ac:dyDescent="0.25">
      <c r="F984" s="330"/>
    </row>
    <row r="985" spans="6:6" ht="15.75" customHeight="1" x14ac:dyDescent="0.25">
      <c r="F985" s="330"/>
    </row>
    <row r="986" spans="6:6" ht="15.75" customHeight="1" x14ac:dyDescent="0.25">
      <c r="F986" s="330"/>
    </row>
    <row r="987" spans="6:6" ht="15.75" customHeight="1" x14ac:dyDescent="0.25">
      <c r="F987" s="330"/>
    </row>
    <row r="988" spans="6:6" ht="15.75" customHeight="1" x14ac:dyDescent="0.25">
      <c r="F988" s="330"/>
    </row>
    <row r="989" spans="6:6" ht="15.75" customHeight="1" x14ac:dyDescent="0.25">
      <c r="F989" s="330"/>
    </row>
    <row r="990" spans="6:6" ht="15.75" customHeight="1" x14ac:dyDescent="0.25">
      <c r="F990" s="330"/>
    </row>
    <row r="991" spans="6:6" ht="15.75" customHeight="1" x14ac:dyDescent="0.25">
      <c r="F991" s="330"/>
    </row>
    <row r="992" spans="6:6" ht="15.75" customHeight="1" x14ac:dyDescent="0.25">
      <c r="F992" s="330"/>
    </row>
    <row r="993" spans="6:6" ht="15.75" customHeight="1" x14ac:dyDescent="0.25">
      <c r="F993" s="330"/>
    </row>
    <row r="994" spans="6:6" ht="15.75" customHeight="1" x14ac:dyDescent="0.25">
      <c r="F994" s="330"/>
    </row>
    <row r="995" spans="6:6" ht="15.75" customHeight="1" x14ac:dyDescent="0.25">
      <c r="F995" s="330"/>
    </row>
    <row r="996" spans="6:6" ht="15.75" customHeight="1" x14ac:dyDescent="0.25">
      <c r="F996" s="330"/>
    </row>
    <row r="997" spans="6:6" ht="15.75" customHeight="1" x14ac:dyDescent="0.25">
      <c r="F997" s="330"/>
    </row>
    <row r="998" spans="6:6" ht="15.75" customHeight="1" x14ac:dyDescent="0.25">
      <c r="F998" s="330"/>
    </row>
    <row r="999" spans="6:6" ht="15.75" customHeight="1" x14ac:dyDescent="0.25">
      <c r="F999" s="330"/>
    </row>
    <row r="1000" spans="6:6" ht="15.75" customHeight="1" x14ac:dyDescent="0.25">
      <c r="F1000" s="330"/>
    </row>
    <row r="1001" spans="6:6" ht="15.75" customHeight="1" x14ac:dyDescent="0.25">
      <c r="F1001" s="330"/>
    </row>
    <row r="1002" spans="6:6" ht="15.75" customHeight="1" x14ac:dyDescent="0.25">
      <c r="F1002" s="330"/>
    </row>
    <row r="1003" spans="6:6" ht="15.75" customHeight="1" x14ac:dyDescent="0.25">
      <c r="F1003" s="330"/>
    </row>
    <row r="1004" spans="6:6" ht="15.75" customHeight="1" x14ac:dyDescent="0.25">
      <c r="F1004" s="330"/>
    </row>
    <row r="1005" spans="6:6" ht="15.75" customHeight="1" x14ac:dyDescent="0.25">
      <c r="F1005" s="330"/>
    </row>
    <row r="1006" spans="6:6" ht="15.75" customHeight="1" x14ac:dyDescent="0.25">
      <c r="F1006" s="330"/>
    </row>
    <row r="1007" spans="6:6" ht="15.75" customHeight="1" x14ac:dyDescent="0.25">
      <c r="F1007" s="330"/>
    </row>
    <row r="1008" spans="6:6" ht="15.75" customHeight="1" x14ac:dyDescent="0.25">
      <c r="F1008" s="330"/>
    </row>
    <row r="1009" spans="6:6" ht="15.75" customHeight="1" x14ac:dyDescent="0.25">
      <c r="F1009" s="330"/>
    </row>
    <row r="1010" spans="6:6" ht="15.75" customHeight="1" x14ac:dyDescent="0.25">
      <c r="F1010" s="330"/>
    </row>
    <row r="1011" spans="6:6" ht="15.75" customHeight="1" x14ac:dyDescent="0.25">
      <c r="F1011" s="330"/>
    </row>
    <row r="1012" spans="6:6" ht="15.75" customHeight="1" x14ac:dyDescent="0.25">
      <c r="F1012" s="330"/>
    </row>
    <row r="1013" spans="6:6" ht="15.75" customHeight="1" x14ac:dyDescent="0.25">
      <c r="F1013" s="330"/>
    </row>
    <row r="1014" spans="6:6" ht="15.75" customHeight="1" x14ac:dyDescent="0.25">
      <c r="F1014" s="330"/>
    </row>
    <row r="1015" spans="6:6" ht="15.75" customHeight="1" x14ac:dyDescent="0.25">
      <c r="F1015" s="330"/>
    </row>
    <row r="1016" spans="6:6" ht="15.75" customHeight="1" x14ac:dyDescent="0.25">
      <c r="F1016" s="330"/>
    </row>
    <row r="1017" spans="6:6" ht="15.75" customHeight="1" x14ac:dyDescent="0.25">
      <c r="F1017" s="330"/>
    </row>
    <row r="1018" spans="6:6" ht="15.75" customHeight="1" x14ac:dyDescent="0.25">
      <c r="F1018" s="330"/>
    </row>
    <row r="1019" spans="6:6" ht="15.75" customHeight="1" x14ac:dyDescent="0.25">
      <c r="F1019" s="330"/>
    </row>
    <row r="1020" spans="6:6" ht="15.75" customHeight="1" x14ac:dyDescent="0.25">
      <c r="F1020" s="330"/>
    </row>
    <row r="1021" spans="6:6" ht="15.75" customHeight="1" x14ac:dyDescent="0.25">
      <c r="F1021" s="330"/>
    </row>
    <row r="1022" spans="6:6" ht="15.75" customHeight="1" x14ac:dyDescent="0.25">
      <c r="F1022" s="330"/>
    </row>
    <row r="1023" spans="6:6" ht="15.75" customHeight="1" x14ac:dyDescent="0.25">
      <c r="F1023" s="330"/>
    </row>
    <row r="1024" spans="6:6" ht="15.75" customHeight="1" x14ac:dyDescent="0.25">
      <c r="F1024" s="330"/>
    </row>
    <row r="1025" spans="6:6" ht="15.75" customHeight="1" x14ac:dyDescent="0.25">
      <c r="F1025" s="330"/>
    </row>
    <row r="1026" spans="6:6" ht="15.75" customHeight="1" x14ac:dyDescent="0.25">
      <c r="F1026" s="330"/>
    </row>
    <row r="1027" spans="6:6" ht="15.75" customHeight="1" x14ac:dyDescent="0.25">
      <c r="F1027" s="330"/>
    </row>
    <row r="1028" spans="6:6" ht="15.75" customHeight="1" x14ac:dyDescent="0.25">
      <c r="F1028" s="330"/>
    </row>
    <row r="1029" spans="6:6" ht="15.75" customHeight="1" x14ac:dyDescent="0.25">
      <c r="F1029" s="330"/>
    </row>
    <row r="1030" spans="6:6" ht="15.75" customHeight="1" x14ac:dyDescent="0.25">
      <c r="F1030" s="330"/>
    </row>
    <row r="1031" spans="6:6" ht="15.75" customHeight="1" x14ac:dyDescent="0.25">
      <c r="F1031" s="330"/>
    </row>
    <row r="1032" spans="6:6" ht="15.75" customHeight="1" x14ac:dyDescent="0.25">
      <c r="F1032" s="330"/>
    </row>
    <row r="1033" spans="6:6" ht="15.75" customHeight="1" x14ac:dyDescent="0.25">
      <c r="F1033" s="330"/>
    </row>
    <row r="1034" spans="6:6" ht="15.75" customHeight="1" x14ac:dyDescent="0.25">
      <c r="F1034" s="330"/>
    </row>
    <row r="1035" spans="6:6" ht="15.75" customHeight="1" x14ac:dyDescent="0.25">
      <c r="F1035" s="330"/>
    </row>
    <row r="1036" spans="6:6" ht="15.75" customHeight="1" x14ac:dyDescent="0.25">
      <c r="F1036" s="330"/>
    </row>
    <row r="1037" spans="6:6" ht="15.75" customHeight="1" x14ac:dyDescent="0.25">
      <c r="F1037" s="330"/>
    </row>
    <row r="1038" spans="6:6" ht="15.75" customHeight="1" x14ac:dyDescent="0.25">
      <c r="F1038" s="330"/>
    </row>
    <row r="1039" spans="6:6" ht="15.75" customHeight="1" x14ac:dyDescent="0.25">
      <c r="F1039" s="330"/>
    </row>
    <row r="1040" spans="6:6" ht="15.75" customHeight="1" x14ac:dyDescent="0.25">
      <c r="F1040" s="330"/>
    </row>
    <row r="1041" spans="6:6" ht="15.75" customHeight="1" x14ac:dyDescent="0.25">
      <c r="F1041" s="330"/>
    </row>
    <row r="1042" spans="6:6" ht="15.75" customHeight="1" x14ac:dyDescent="0.25">
      <c r="F1042" s="330"/>
    </row>
    <row r="1043" spans="6:6" ht="15.75" customHeight="1" x14ac:dyDescent="0.25">
      <c r="F1043" s="330"/>
    </row>
    <row r="1044" spans="6:6" ht="15.75" customHeight="1" x14ac:dyDescent="0.25">
      <c r="F1044" s="330"/>
    </row>
    <row r="1045" spans="6:6" ht="15.75" customHeight="1" x14ac:dyDescent="0.25">
      <c r="F1045" s="330"/>
    </row>
    <row r="1046" spans="6:6" ht="15.75" customHeight="1" x14ac:dyDescent="0.25">
      <c r="F1046" s="330"/>
    </row>
    <row r="1047" spans="6:6" ht="15.75" customHeight="1" x14ac:dyDescent="0.25">
      <c r="F1047" s="330"/>
    </row>
    <row r="1048" spans="6:6" ht="15.75" customHeight="1" x14ac:dyDescent="0.25">
      <c r="F1048" s="330"/>
    </row>
    <row r="1049" spans="6:6" ht="15.75" customHeight="1" x14ac:dyDescent="0.25">
      <c r="F1049" s="330"/>
    </row>
    <row r="1050" spans="6:6" ht="15.75" customHeight="1" x14ac:dyDescent="0.25">
      <c r="F1050" s="330"/>
    </row>
    <row r="1051" spans="6:6" ht="15.75" customHeight="1" x14ac:dyDescent="0.25">
      <c r="F1051" s="330"/>
    </row>
    <row r="1052" spans="6:6" ht="15.75" customHeight="1" x14ac:dyDescent="0.25">
      <c r="F1052" s="330"/>
    </row>
    <row r="1053" spans="6:6" ht="15.75" customHeight="1" x14ac:dyDescent="0.25">
      <c r="F1053" s="330"/>
    </row>
    <row r="1054" spans="6:6" ht="15.75" customHeight="1" x14ac:dyDescent="0.25">
      <c r="F1054" s="330"/>
    </row>
    <row r="1055" spans="6:6" ht="15.75" customHeight="1" x14ac:dyDescent="0.25">
      <c r="F1055" s="330"/>
    </row>
    <row r="1056" spans="6:6" ht="15.75" customHeight="1" x14ac:dyDescent="0.25">
      <c r="F1056" s="330"/>
    </row>
    <row r="1057" spans="6:6" ht="15.75" customHeight="1" x14ac:dyDescent="0.25">
      <c r="F1057" s="330"/>
    </row>
    <row r="1058" spans="6:6" ht="15.75" customHeight="1" x14ac:dyDescent="0.25">
      <c r="F1058" s="330"/>
    </row>
    <row r="1059" spans="6:6" ht="15.75" customHeight="1" x14ac:dyDescent="0.25">
      <c r="F1059" s="330"/>
    </row>
    <row r="1060" spans="6:6" ht="15.75" customHeight="1" x14ac:dyDescent="0.25">
      <c r="F1060" s="330"/>
    </row>
    <row r="1061" spans="6:6" ht="15.75" customHeight="1" x14ac:dyDescent="0.25">
      <c r="F1061" s="330"/>
    </row>
    <row r="1062" spans="6:6" ht="15.75" customHeight="1" x14ac:dyDescent="0.25">
      <c r="F1062" s="330"/>
    </row>
    <row r="1063" spans="6:6" ht="15.75" customHeight="1" x14ac:dyDescent="0.25">
      <c r="F1063" s="330"/>
    </row>
    <row r="1064" spans="6:6" ht="15.75" customHeight="1" x14ac:dyDescent="0.25">
      <c r="F1064" s="330"/>
    </row>
    <row r="1065" spans="6:6" ht="15.75" customHeight="1" x14ac:dyDescent="0.25">
      <c r="F1065" s="330"/>
    </row>
    <row r="1066" spans="6:6" ht="15.75" customHeight="1" x14ac:dyDescent="0.25">
      <c r="F1066" s="330"/>
    </row>
    <row r="1067" spans="6:6" ht="15.75" customHeight="1" x14ac:dyDescent="0.25">
      <c r="F1067" s="330"/>
    </row>
    <row r="1068" spans="6:6" ht="15.75" customHeight="1" x14ac:dyDescent="0.25">
      <c r="F1068" s="330"/>
    </row>
    <row r="1069" spans="6:6" ht="15.75" customHeight="1" x14ac:dyDescent="0.25">
      <c r="F1069" s="330"/>
    </row>
    <row r="1070" spans="6:6" ht="15.75" customHeight="1" x14ac:dyDescent="0.25">
      <c r="F1070" s="330"/>
    </row>
    <row r="1071" spans="6:6" ht="15.75" customHeight="1" x14ac:dyDescent="0.25">
      <c r="F1071" s="330"/>
    </row>
    <row r="1072" spans="6:6" ht="15.75" customHeight="1" x14ac:dyDescent="0.25">
      <c r="F1072" s="330"/>
    </row>
    <row r="1073" spans="6:6" ht="15.75" customHeight="1" x14ac:dyDescent="0.25">
      <c r="F1073" s="330"/>
    </row>
    <row r="1074" spans="6:6" ht="15.75" customHeight="1" x14ac:dyDescent="0.25">
      <c r="F1074" s="330"/>
    </row>
    <row r="1075" spans="6:6" ht="15.75" customHeight="1" x14ac:dyDescent="0.25">
      <c r="F1075" s="330"/>
    </row>
    <row r="1076" spans="6:6" ht="15.75" customHeight="1" x14ac:dyDescent="0.25">
      <c r="F1076" s="330"/>
    </row>
    <row r="1077" spans="6:6" ht="15.75" customHeight="1" x14ac:dyDescent="0.25">
      <c r="F1077" s="330"/>
    </row>
    <row r="1078" spans="6:6" ht="15.75" customHeight="1" x14ac:dyDescent="0.25">
      <c r="F1078" s="330"/>
    </row>
    <row r="1079" spans="6:6" ht="15.75" customHeight="1" x14ac:dyDescent="0.25">
      <c r="F1079" s="330"/>
    </row>
    <row r="1080" spans="6:6" ht="15.75" customHeight="1" x14ac:dyDescent="0.25">
      <c r="F1080" s="330"/>
    </row>
    <row r="1081" spans="6:6" ht="15.75" customHeight="1" x14ac:dyDescent="0.25">
      <c r="F1081" s="330"/>
    </row>
    <row r="1082" spans="6:6" ht="15.75" customHeight="1" x14ac:dyDescent="0.25">
      <c r="F1082" s="330"/>
    </row>
    <row r="1083" spans="6:6" ht="15.75" customHeight="1" x14ac:dyDescent="0.25">
      <c r="F1083" s="330"/>
    </row>
    <row r="1084" spans="6:6" ht="15.75" customHeight="1" x14ac:dyDescent="0.25">
      <c r="F1084" s="330"/>
    </row>
    <row r="1085" spans="6:6" ht="15.75" customHeight="1" x14ac:dyDescent="0.25">
      <c r="F1085" s="330"/>
    </row>
    <row r="1086" spans="6:6" ht="15.75" customHeight="1" x14ac:dyDescent="0.25">
      <c r="F1086" s="330"/>
    </row>
  </sheetData>
  <sheetProtection algorithmName="SHA-512" hashValue="GS85QYHkkDjtRyCxe+yjTWoOtcJRoMFCjyMJxzStEczzQlI0nkx+GLhMHg55d8m9jJkRBlNMFEYgJn16s7zPLg==" saltValue="gjP1XIuIMNdAI9DaKUNt5A==" spinCount="100000" sheet="1" objects="1" scenarios="1"/>
  <mergeCells count="182">
    <mergeCell ref="A107:C107"/>
    <mergeCell ref="B81:C81"/>
    <mergeCell ref="A115:B118"/>
    <mergeCell ref="B113:C113"/>
    <mergeCell ref="B100:C100"/>
    <mergeCell ref="B104:C104"/>
    <mergeCell ref="A105:B106"/>
    <mergeCell ref="A101:B101"/>
    <mergeCell ref="B102:C102"/>
    <mergeCell ref="A103:B103"/>
    <mergeCell ref="A95:B99"/>
    <mergeCell ref="B94:C94"/>
    <mergeCell ref="A93:B93"/>
    <mergeCell ref="A84:B89"/>
    <mergeCell ref="B90:C90"/>
    <mergeCell ref="A91:B91"/>
    <mergeCell ref="B92:C92"/>
    <mergeCell ref="B108:C108"/>
    <mergeCell ref="B140:C140"/>
    <mergeCell ref="B142:C142"/>
    <mergeCell ref="B148:C148"/>
    <mergeCell ref="B119:C119"/>
    <mergeCell ref="A121:B126"/>
    <mergeCell ref="B127:C127"/>
    <mergeCell ref="A128:B128"/>
    <mergeCell ref="B134:C134"/>
    <mergeCell ref="A131:B131"/>
    <mergeCell ref="B132:C132"/>
    <mergeCell ref="B129:C129"/>
    <mergeCell ref="A130:B130"/>
    <mergeCell ref="B13:C13"/>
    <mergeCell ref="A14:B19"/>
    <mergeCell ref="B20:C20"/>
    <mergeCell ref="A21:B26"/>
    <mergeCell ref="A78:B80"/>
    <mergeCell ref="A5:C5"/>
    <mergeCell ref="A42:C42"/>
    <mergeCell ref="B76:C76"/>
    <mergeCell ref="A62:C62"/>
    <mergeCell ref="B63:C63"/>
    <mergeCell ref="A65:B71"/>
    <mergeCell ref="A75:C75"/>
    <mergeCell ref="A72:C72"/>
    <mergeCell ref="B73:C73"/>
    <mergeCell ref="B27:C27"/>
    <mergeCell ref="B37:C37"/>
    <mergeCell ref="A39:C39"/>
    <mergeCell ref="B40:C40"/>
    <mergeCell ref="B6:C6"/>
    <mergeCell ref="A7:B12"/>
    <mergeCell ref="M3:N4"/>
    <mergeCell ref="A1:C1"/>
    <mergeCell ref="A2:O2"/>
    <mergeCell ref="D3:D4"/>
    <mergeCell ref="E3:E4"/>
    <mergeCell ref="L3:L4"/>
    <mergeCell ref="I3:I4"/>
    <mergeCell ref="F3:F4"/>
    <mergeCell ref="G3:G4"/>
    <mergeCell ref="D1:L1"/>
    <mergeCell ref="J3:J4"/>
    <mergeCell ref="H3:H4"/>
    <mergeCell ref="A3:B4"/>
    <mergeCell ref="K3:K4"/>
    <mergeCell ref="C3:C4"/>
    <mergeCell ref="M12:N12"/>
    <mergeCell ref="M14:N14"/>
    <mergeCell ref="M15:N15"/>
    <mergeCell ref="M16:N16"/>
    <mergeCell ref="M17:N17"/>
    <mergeCell ref="M7:N7"/>
    <mergeCell ref="M8:N8"/>
    <mergeCell ref="M9:N9"/>
    <mergeCell ref="M10:N10"/>
    <mergeCell ref="M11:N11"/>
    <mergeCell ref="M24:N24"/>
    <mergeCell ref="M25:N25"/>
    <mergeCell ref="M26:N26"/>
    <mergeCell ref="M28:N28"/>
    <mergeCell ref="M29:N29"/>
    <mergeCell ref="M18:N18"/>
    <mergeCell ref="M19:N19"/>
    <mergeCell ref="M21:N21"/>
    <mergeCell ref="M22:N22"/>
    <mergeCell ref="M23:N23"/>
    <mergeCell ref="M35:N35"/>
    <mergeCell ref="M36:N36"/>
    <mergeCell ref="M38:N38"/>
    <mergeCell ref="M41:N41"/>
    <mergeCell ref="M43:N43"/>
    <mergeCell ref="M30:N30"/>
    <mergeCell ref="M31:N31"/>
    <mergeCell ref="M32:N32"/>
    <mergeCell ref="M33:N33"/>
    <mergeCell ref="M34:N34"/>
    <mergeCell ref="M49:N49"/>
    <mergeCell ref="M50:N50"/>
    <mergeCell ref="M51:N51"/>
    <mergeCell ref="M52:N52"/>
    <mergeCell ref="M53:N53"/>
    <mergeCell ref="M44:N44"/>
    <mergeCell ref="M45:N45"/>
    <mergeCell ref="M46:N46"/>
    <mergeCell ref="M47:N47"/>
    <mergeCell ref="M48:N48"/>
    <mergeCell ref="M59:N59"/>
    <mergeCell ref="M60:N60"/>
    <mergeCell ref="M61:N61"/>
    <mergeCell ref="M64:N64"/>
    <mergeCell ref="M65:N65"/>
    <mergeCell ref="M54:N54"/>
    <mergeCell ref="M55:N55"/>
    <mergeCell ref="M56:N56"/>
    <mergeCell ref="M57:N57"/>
    <mergeCell ref="M58:N58"/>
    <mergeCell ref="M71:N71"/>
    <mergeCell ref="M74:N74"/>
    <mergeCell ref="M77:N77"/>
    <mergeCell ref="M78:N78"/>
    <mergeCell ref="M79:N79"/>
    <mergeCell ref="M66:N66"/>
    <mergeCell ref="M67:N67"/>
    <mergeCell ref="M68:N68"/>
    <mergeCell ref="M69:N69"/>
    <mergeCell ref="M70:N70"/>
    <mergeCell ref="M93:N93"/>
    <mergeCell ref="M95:N95"/>
    <mergeCell ref="M96:N96"/>
    <mergeCell ref="M91:N91"/>
    <mergeCell ref="M86:N86"/>
    <mergeCell ref="M87:N87"/>
    <mergeCell ref="M88:N88"/>
    <mergeCell ref="M89:N89"/>
    <mergeCell ref="M80:N80"/>
    <mergeCell ref="M82:N82"/>
    <mergeCell ref="M83:N83"/>
    <mergeCell ref="M84:N84"/>
    <mergeCell ref="M85:N85"/>
    <mergeCell ref="M106:N106"/>
    <mergeCell ref="M114:N114"/>
    <mergeCell ref="M115:N115"/>
    <mergeCell ref="M103:N103"/>
    <mergeCell ref="M105:N105"/>
    <mergeCell ref="M97:N97"/>
    <mergeCell ref="M98:N98"/>
    <mergeCell ref="M99:N99"/>
    <mergeCell ref="M101:N101"/>
    <mergeCell ref="M109:N109"/>
    <mergeCell ref="M110:N110"/>
    <mergeCell ref="M111:N111"/>
    <mergeCell ref="M112:N112"/>
    <mergeCell ref="M122:N122"/>
    <mergeCell ref="M123:N123"/>
    <mergeCell ref="M124:N124"/>
    <mergeCell ref="M125:N125"/>
    <mergeCell ref="M126:N126"/>
    <mergeCell ref="M116:N116"/>
    <mergeCell ref="M117:N117"/>
    <mergeCell ref="M118:N118"/>
    <mergeCell ref="M120:N120"/>
    <mergeCell ref="M121:N121"/>
    <mergeCell ref="M136:N136"/>
    <mergeCell ref="M137:N137"/>
    <mergeCell ref="M138:N138"/>
    <mergeCell ref="M139:N139"/>
    <mergeCell ref="M128:N128"/>
    <mergeCell ref="M130:N130"/>
    <mergeCell ref="M131:N131"/>
    <mergeCell ref="M133:N133"/>
    <mergeCell ref="M135:N135"/>
    <mergeCell ref="M153:N153"/>
    <mergeCell ref="M154:N154"/>
    <mergeCell ref="M147:N147"/>
    <mergeCell ref="M149:N149"/>
    <mergeCell ref="M150:N150"/>
    <mergeCell ref="M151:N151"/>
    <mergeCell ref="M152:N152"/>
    <mergeCell ref="M141:N141"/>
    <mergeCell ref="M143:N143"/>
    <mergeCell ref="M144:N144"/>
    <mergeCell ref="M145:N145"/>
    <mergeCell ref="M146:N146"/>
  </mergeCells>
  <phoneticPr fontId="146" type="noConversion"/>
  <conditionalFormatting sqref="K6:K108 K113:K160">
    <cfRule type="expression" dxfId="213" priority="38">
      <formula>H6=1</formula>
    </cfRule>
  </conditionalFormatting>
  <conditionalFormatting sqref="I7:I108 I113:I160">
    <cfRule type="cellIs" dxfId="212" priority="30" operator="lessThan">
      <formula>0</formula>
    </cfRule>
  </conditionalFormatting>
  <conditionalFormatting sqref="L6:L108 L113:L160">
    <cfRule type="cellIs" dxfId="211" priority="28" operator="greaterThan">
      <formula>0</formula>
    </cfRule>
    <cfRule type="cellIs" dxfId="210" priority="29" operator="equal">
      <formula>0</formula>
    </cfRule>
  </conditionalFormatting>
  <conditionalFormatting sqref="O6:O108 O113:O160">
    <cfRule type="containsText" dxfId="209" priority="31" operator="containsText" text="Expired">
      <formula>NOT(ISERROR(SEARCH("Expired",O6)))</formula>
    </cfRule>
    <cfRule type="containsText" dxfId="208" priority="32" operator="containsText" text="B1">
      <formula>NOT(ISERROR(SEARCH("B1",O6)))</formula>
    </cfRule>
    <cfRule type="containsText" dxfId="207" priority="33" operator="containsText" text="LCA">
      <formula>NOT(ISERROR(SEARCH("LCA",O6)))</formula>
    </cfRule>
    <cfRule type="containsText" dxfId="206" priority="34" operator="containsText" text="ICE">
      <formula>NOT(ISERROR(SEARCH("ICE",O6)))</formula>
    </cfRule>
    <cfRule type="containsText" dxfId="205" priority="35" operator="containsText" text="No">
      <formula>NOT(ISERROR(SEARCH("No",O6)))</formula>
    </cfRule>
    <cfRule type="containsText" dxfId="204" priority="36" operator="containsText" text="None">
      <formula>NOT(ISERROR(SEARCH("None",O6)))</formula>
    </cfRule>
    <cfRule type="containsText" dxfId="203" priority="37" operator="containsText" text="A1-">
      <formula>NOT(ISERROR(SEARCH("A1-",O6)))</formula>
    </cfRule>
  </conditionalFormatting>
  <conditionalFormatting sqref="P4">
    <cfRule type="cellIs" dxfId="202" priority="24" operator="greaterThan">
      <formula>0</formula>
    </cfRule>
    <cfRule type="cellIs" dxfId="201" priority="25" operator="equal">
      <formula>0</formula>
    </cfRule>
  </conditionalFormatting>
  <conditionalFormatting sqref="O4">
    <cfRule type="expression" dxfId="200" priority="23">
      <formula>COUNTIF($H:$H, 1)&gt;0</formula>
    </cfRule>
  </conditionalFormatting>
  <conditionalFormatting sqref="K109:K112">
    <cfRule type="expression" dxfId="199" priority="11">
      <formula>H109=1</formula>
    </cfRule>
  </conditionalFormatting>
  <conditionalFormatting sqref="I109:I112">
    <cfRule type="cellIs" dxfId="198" priority="3" operator="lessThan">
      <formula>0</formula>
    </cfRule>
  </conditionalFormatting>
  <conditionalFormatting sqref="L109:L112">
    <cfRule type="cellIs" dxfId="197" priority="1" operator="greaterThan">
      <formula>0</formula>
    </cfRule>
    <cfRule type="cellIs" dxfId="196" priority="2" operator="equal">
      <formula>0</formula>
    </cfRule>
  </conditionalFormatting>
  <conditionalFormatting sqref="O109:O112">
    <cfRule type="containsText" dxfId="195" priority="4" operator="containsText" text="Expired">
      <formula>NOT(ISERROR(SEARCH("Expired",O109)))</formula>
    </cfRule>
    <cfRule type="containsText" dxfId="194" priority="5" operator="containsText" text="B1">
      <formula>NOT(ISERROR(SEARCH("B1",O109)))</formula>
    </cfRule>
    <cfRule type="containsText" dxfId="193" priority="6" operator="containsText" text="LCA">
      <formula>NOT(ISERROR(SEARCH("LCA",O109)))</formula>
    </cfRule>
    <cfRule type="containsText" dxfId="192" priority="7" operator="containsText" text="ICE">
      <formula>NOT(ISERROR(SEARCH("ICE",O109)))</formula>
    </cfRule>
    <cfRule type="containsText" dxfId="191" priority="8" operator="containsText" text="No">
      <formula>NOT(ISERROR(SEARCH("No",O109)))</formula>
    </cfRule>
    <cfRule type="containsText" dxfId="190" priority="9" operator="containsText" text="None">
      <formula>NOT(ISERROR(SEARCH("None",O109)))</formula>
    </cfRule>
    <cfRule type="containsText" dxfId="189" priority="10" operator="containsText" text="A1-">
      <formula>NOT(ISERROR(SEARCH("A1-",O109)))</formula>
    </cfRule>
  </conditionalFormatting>
  <dataValidations count="2">
    <dataValidation type="list" allowBlank="1" showErrorMessage="1" sqref="E5" xr:uid="{00000000-0002-0000-1000-000000000000}">
      <formula1>spacing</formula1>
    </dataValidation>
    <dataValidation type="whole" errorStyle="warning" operator="equal" allowBlank="1" showErrorMessage="1" errorTitle="Enter 1 to select" error="Options:_x000a_To select item, enter '1'_x000a_To unselect, leave cell empty" sqref="H6:H154" xr:uid="{00000000-0002-0000-1000-000001000000}">
      <formula1>1</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ErrorMessage="1" xr:uid="{00000000-0002-0000-1000-000002000000}">
          <x14:formula1>
            <xm:f>'Dropdown Lists'!$C$2:$C$3</xm:f>
          </x14:formula1>
          <xm:sqref>E39</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1">
    <tabColor theme="4" tint="0.59999389629810485"/>
  </sheetPr>
  <dimension ref="A1:Z1013"/>
  <sheetViews>
    <sheetView zoomScale="80" zoomScaleNormal="80" workbookViewId="0">
      <pane ySplit="4" topLeftCell="A5" activePane="bottomLeft" state="frozen"/>
      <selection activeCell="K14" sqref="K14"/>
      <selection pane="bottomLeft" activeCell="D12" sqref="D12"/>
    </sheetView>
  </sheetViews>
  <sheetFormatPr defaultColWidth="11.36328125" defaultRowHeight="15" customHeight="1" x14ac:dyDescent="0.25"/>
  <cols>
    <col min="1" max="1" width="8.6328125" customWidth="1"/>
    <col min="2" max="2" width="13.08984375" customWidth="1"/>
    <col min="3" max="3" width="57.54296875" customWidth="1"/>
    <col min="4" max="4" width="19.81640625" style="712" customWidth="1"/>
    <col min="5" max="5" width="5.6328125" customWidth="1"/>
    <col min="6" max="6" width="6.6328125" style="331" customWidth="1"/>
    <col min="7" max="7" width="2.36328125" customWidth="1"/>
    <col min="8" max="8" width="6.6328125" customWidth="1"/>
    <col min="9" max="9" width="13.6328125" style="714" hidden="1" customWidth="1"/>
    <col min="10" max="10" width="16.6328125" style="714" hidden="1" customWidth="1"/>
    <col min="11" max="12" width="13.6328125" style="714" customWidth="1"/>
    <col min="13" max="13" width="12.6328125" style="714" customWidth="1"/>
    <col min="14" max="14" width="35.90625" style="714" customWidth="1"/>
    <col min="15" max="15" width="28.6328125" customWidth="1"/>
    <col min="16" max="16" width="24" style="619" customWidth="1"/>
    <col min="17" max="17" width="8" style="846" customWidth="1"/>
    <col min="18" max="18" width="6.1796875" style="846" customWidth="1"/>
    <col min="19" max="26" width="10.54296875" style="619" customWidth="1"/>
    <col min="27" max="16384" width="11.36328125" style="619"/>
  </cols>
  <sheetData>
    <row r="1" spans="1:26" ht="54.75" customHeight="1" x14ac:dyDescent="0.25">
      <c r="A1" s="1528" t="s">
        <v>3438</v>
      </c>
      <c r="B1" s="1529"/>
      <c r="C1" s="1530"/>
      <c r="D1" s="1521" t="s">
        <v>1743</v>
      </c>
      <c r="E1" s="1521"/>
      <c r="F1" s="1521"/>
      <c r="G1" s="1521"/>
      <c r="H1" s="1521"/>
      <c r="I1" s="1521"/>
      <c r="J1" s="1521"/>
      <c r="K1" s="1521"/>
      <c r="L1" s="1521"/>
      <c r="M1" s="716"/>
      <c r="N1" s="716"/>
      <c r="O1" s="618"/>
      <c r="P1" s="618"/>
    </row>
    <row r="2" spans="1:26" ht="19.2" customHeight="1" x14ac:dyDescent="0.25">
      <c r="A2" s="1591" t="s">
        <v>7209</v>
      </c>
      <c r="B2" s="1591"/>
      <c r="C2" s="1591"/>
      <c r="D2" s="1591"/>
      <c r="E2" s="1591"/>
      <c r="F2" s="1591"/>
      <c r="G2" s="1591"/>
      <c r="H2" s="1591"/>
      <c r="I2" s="1591"/>
      <c r="J2" s="1591"/>
      <c r="K2" s="1591"/>
      <c r="L2" s="1591"/>
      <c r="M2" s="1591"/>
      <c r="N2" s="1591"/>
      <c r="O2" s="1591"/>
    </row>
    <row r="3" spans="1:26" s="624" customFormat="1" ht="60" customHeight="1" x14ac:dyDescent="0.25">
      <c r="A3" s="1537" t="s">
        <v>1031</v>
      </c>
      <c r="B3" s="1537"/>
      <c r="C3" s="1537" t="s">
        <v>13</v>
      </c>
      <c r="D3" s="1532" t="s">
        <v>1583</v>
      </c>
      <c r="E3" s="1534"/>
      <c r="F3" s="1631" t="s">
        <v>14</v>
      </c>
      <c r="G3" s="1537"/>
      <c r="H3" s="1538" t="s">
        <v>3417</v>
      </c>
      <c r="I3" s="1526" t="s">
        <v>7157</v>
      </c>
      <c r="J3" s="1526" t="s">
        <v>7158</v>
      </c>
      <c r="K3" s="1535" t="s">
        <v>900</v>
      </c>
      <c r="L3" s="1535" t="s">
        <v>7156</v>
      </c>
      <c r="M3" s="1520" t="s">
        <v>7165</v>
      </c>
      <c r="N3" s="1520"/>
      <c r="O3" s="622" t="s">
        <v>7194</v>
      </c>
      <c r="P3" s="622" t="s">
        <v>7198</v>
      </c>
      <c r="Q3" s="847"/>
      <c r="R3" s="847"/>
      <c r="S3" s="623"/>
      <c r="T3" s="623"/>
      <c r="U3" s="623"/>
      <c r="V3" s="623"/>
      <c r="W3" s="623"/>
      <c r="X3" s="623"/>
      <c r="Y3" s="623"/>
      <c r="Z3" s="623"/>
    </row>
    <row r="4" spans="1:26" s="624" customFormat="1" ht="30.15" customHeight="1" x14ac:dyDescent="0.3">
      <c r="A4" s="1537"/>
      <c r="B4" s="1537"/>
      <c r="C4" s="1537"/>
      <c r="D4" s="1533"/>
      <c r="E4" s="1523"/>
      <c r="F4" s="1631"/>
      <c r="G4" s="1537"/>
      <c r="H4" s="1539"/>
      <c r="I4" s="1527"/>
      <c r="J4" s="1527"/>
      <c r="K4" s="1536"/>
      <c r="L4" s="1536"/>
      <c r="M4" s="1520"/>
      <c r="N4" s="1520"/>
      <c r="O4" s="405">
        <f>SUMIF(H6:H41, 1, K6:K41)</f>
        <v>0</v>
      </c>
      <c r="P4" s="424">
        <f>SUMIF(H6:H41, 1, L6:L41)</f>
        <v>0</v>
      </c>
      <c r="Q4" s="626" t="s">
        <v>107</v>
      </c>
      <c r="R4" s="626" t="s">
        <v>1072</v>
      </c>
      <c r="S4" s="627" t="s">
        <v>749</v>
      </c>
      <c r="T4" s="627" t="s">
        <v>108</v>
      </c>
    </row>
    <row r="5" spans="1:26" s="624" customFormat="1" ht="54.75" customHeight="1" x14ac:dyDescent="0.25">
      <c r="A5" s="1522" t="s">
        <v>1274</v>
      </c>
      <c r="B5" s="1523"/>
      <c r="C5" s="1523"/>
      <c r="D5" s="649"/>
      <c r="E5" s="650"/>
      <c r="F5" s="321"/>
      <c r="G5" s="650"/>
      <c r="H5" s="650"/>
      <c r="I5" s="651"/>
      <c r="J5" s="651"/>
      <c r="K5" s="652"/>
      <c r="L5" s="759"/>
      <c r="M5" s="759"/>
      <c r="N5" s="759"/>
      <c r="O5" s="637"/>
      <c r="P5" s="637"/>
      <c r="Q5" s="848"/>
      <c r="R5" s="849"/>
      <c r="S5" s="638"/>
      <c r="T5" s="638"/>
      <c r="U5" s="638"/>
      <c r="V5" s="638"/>
      <c r="W5" s="638"/>
      <c r="X5" s="638"/>
      <c r="Y5" s="638"/>
      <c r="Z5" s="638"/>
    </row>
    <row r="6" spans="1:26" ht="23.25" customHeight="1" x14ac:dyDescent="0.25">
      <c r="A6" s="686"/>
      <c r="B6" s="1541" t="s">
        <v>1038</v>
      </c>
      <c r="C6" s="1530"/>
      <c r="D6" s="656"/>
      <c r="E6" s="657"/>
      <c r="F6" s="339"/>
      <c r="G6" s="724"/>
      <c r="H6" s="763"/>
      <c r="I6" s="658"/>
      <c r="J6" s="659"/>
      <c r="K6" s="723"/>
      <c r="L6" s="661"/>
      <c r="M6" s="677"/>
      <c r="N6" s="677"/>
      <c r="O6" s="850"/>
      <c r="P6" s="839"/>
      <c r="Q6" s="851"/>
      <c r="R6" s="851"/>
      <c r="S6" s="664"/>
      <c r="T6" s="664"/>
      <c r="U6" s="664"/>
      <c r="V6" s="664"/>
      <c r="W6" s="664"/>
      <c r="X6" s="664"/>
      <c r="Y6" s="664"/>
      <c r="Z6" s="664"/>
    </row>
    <row r="7" spans="1:26" ht="22.8" x14ac:dyDescent="0.25">
      <c r="A7" s="729"/>
      <c r="B7" s="729"/>
      <c r="C7" s="691" t="s">
        <v>1077</v>
      </c>
      <c r="D7" s="19">
        <f>'USER INPUT SHEET'!$D$36</f>
        <v>0</v>
      </c>
      <c r="E7" s="20" t="str">
        <f>'USER INPUT SHEET'!$F$36</f>
        <v>m2</v>
      </c>
      <c r="F7" s="6">
        <v>1</v>
      </c>
      <c r="G7" s="692"/>
      <c r="H7" s="10"/>
      <c r="I7" s="98">
        <f>K7-L7</f>
        <v>0</v>
      </c>
      <c r="J7" s="91" t="str">
        <f>IF(H7=1,I7,"")</f>
        <v/>
      </c>
      <c r="K7" s="410">
        <f>F7*AVERAGE(K8:K9)</f>
        <v>0</v>
      </c>
      <c r="L7" s="99">
        <f>F7*AVERAGE(L8:L9)</f>
        <v>0</v>
      </c>
      <c r="M7" s="1552"/>
      <c r="N7" s="1552"/>
      <c r="O7" s="25" t="str">
        <f>_xlfn.IFNA(VLOOKUP($C7,'Master sheet'!$A:$AR,44,FALSE),"")&amp;""</f>
        <v/>
      </c>
      <c r="P7" s="685"/>
      <c r="Q7" s="43" t="str">
        <f t="shared" ref="Q7:Q9" si="0">$D$1</f>
        <v>CEILINGS</v>
      </c>
      <c r="R7" s="725" t="s">
        <v>1079</v>
      </c>
      <c r="S7" s="664"/>
      <c r="T7" s="664"/>
      <c r="U7" s="664"/>
      <c r="V7" s="664"/>
      <c r="W7" s="664"/>
      <c r="X7" s="664"/>
      <c r="Y7" s="664"/>
      <c r="Z7" s="664"/>
    </row>
    <row r="8" spans="1:26" ht="22.8" x14ac:dyDescent="0.25">
      <c r="A8" s="1564"/>
      <c r="B8" s="1564"/>
      <c r="C8" s="673" t="str">
        <f>INDEX('Master sheet'!$A$1:$A$670,MATCH(89,'Master sheet'!$AN$1:$AN$670,0))</f>
        <v>Drywall 1/2" / Pabco / QuietRock / QuietRock 1/2"</v>
      </c>
      <c r="D8" s="15">
        <f>'USER INPUT SHEET'!$D$36</f>
        <v>0</v>
      </c>
      <c r="E8" s="16" t="str">
        <f>'USER INPUT SHEET'!$F$36</f>
        <v>m2</v>
      </c>
      <c r="F8" s="3">
        <v>1</v>
      </c>
      <c r="G8" s="670"/>
      <c r="H8" s="8"/>
      <c r="I8" s="92">
        <f t="shared" ref="I8:I9" si="1">K8-L8</f>
        <v>0</v>
      </c>
      <c r="J8" s="93" t="str">
        <f t="shared" ref="J8:J9" si="2">IF(H8=1,I8,"")</f>
        <v/>
      </c>
      <c r="K8" s="406">
        <f>$D8*$F8*VLOOKUP($C8,'Master sheet'!$A:$AL,13,FALSE)</f>
        <v>0</v>
      </c>
      <c r="L8" s="94">
        <f>$D8*$F8*VLOOKUP($C8,'Master sheet'!$A:$AL,27,FALSE)</f>
        <v>0</v>
      </c>
      <c r="M8" s="1552"/>
      <c r="N8" s="1552"/>
      <c r="O8" s="25" t="str">
        <f ca="1">_xlfn.IFNA(VLOOKUP($C8,'Master sheet'!$A:$AR,44,FALSE),"")&amp;""</f>
        <v>Expired 2025</v>
      </c>
      <c r="P8" s="664"/>
      <c r="Q8" s="44" t="str">
        <f t="shared" si="0"/>
        <v>CEILINGS</v>
      </c>
      <c r="R8" s="851" t="s">
        <v>1079</v>
      </c>
      <c r="S8" s="664"/>
      <c r="T8" s="664"/>
      <c r="U8" s="664"/>
      <c r="V8" s="664"/>
      <c r="W8" s="664"/>
      <c r="X8" s="664"/>
      <c r="Y8" s="664"/>
      <c r="Z8" s="664"/>
    </row>
    <row r="9" spans="1:26" ht="31.5" customHeight="1" x14ac:dyDescent="0.25">
      <c r="A9" s="1564"/>
      <c r="B9" s="1564"/>
      <c r="C9" s="673" t="str">
        <f>INDEX('Master sheet'!$A$1:$A$670,MATCH(376,'Master sheet'!$AN$1:$AN$670,0))</f>
        <v>Drywall 1/2" / National Gypsum / Gold Bond XP Gypsum Board  / 1/2" (12.7 mm)</v>
      </c>
      <c r="D9" s="15">
        <f>'USER INPUT SHEET'!$D$36</f>
        <v>0</v>
      </c>
      <c r="E9" s="16" t="str">
        <f>'USER INPUT SHEET'!$F$36</f>
        <v>m2</v>
      </c>
      <c r="F9" s="3">
        <v>1</v>
      </c>
      <c r="G9" s="670"/>
      <c r="H9" s="8"/>
      <c r="I9" s="92">
        <f t="shared" si="1"/>
        <v>0</v>
      </c>
      <c r="J9" s="93" t="str">
        <f t="shared" si="2"/>
        <v/>
      </c>
      <c r="K9" s="406">
        <f>$D9*$F9*VLOOKUP($C9,'Master sheet'!$A:$AL,13,FALSE)</f>
        <v>0</v>
      </c>
      <c r="L9" s="94">
        <f>$D9*$F9*VLOOKUP($C9,'Master sheet'!$A:$AL,27,FALSE)</f>
        <v>0</v>
      </c>
      <c r="M9" s="1552"/>
      <c r="N9" s="1552"/>
      <c r="O9" s="25" t="str">
        <f ca="1">_xlfn.IFNA(VLOOKUP($C9,'Master sheet'!$A:$AR,44,FALSE),"")&amp;""</f>
        <v/>
      </c>
      <c r="P9" s="664"/>
      <c r="Q9" s="44" t="str">
        <f t="shared" si="0"/>
        <v>CEILINGS</v>
      </c>
      <c r="R9" s="851" t="s">
        <v>1079</v>
      </c>
      <c r="S9" s="664"/>
      <c r="T9" s="664"/>
      <c r="U9" s="664"/>
      <c r="V9" s="664"/>
      <c r="W9" s="664"/>
      <c r="X9" s="664"/>
      <c r="Y9" s="664"/>
      <c r="Z9" s="664"/>
    </row>
    <row r="10" spans="1:26" s="624" customFormat="1" ht="23.25" customHeight="1" x14ac:dyDescent="0.25">
      <c r="A10" s="639"/>
      <c r="B10" s="1524" t="s">
        <v>1039</v>
      </c>
      <c r="C10" s="1523"/>
      <c r="D10" s="640"/>
      <c r="E10" s="641"/>
      <c r="F10" s="325"/>
      <c r="G10" s="678"/>
      <c r="H10" s="679"/>
      <c r="I10" s="642"/>
      <c r="J10" s="643"/>
      <c r="K10" s="676"/>
      <c r="L10" s="677"/>
      <c r="M10" s="677"/>
      <c r="N10" s="677"/>
      <c r="O10" s="25" t="str">
        <f>_xlfn.IFNA(VLOOKUP($C10,'Master sheet'!$A:$AR,44,FALSE),"")&amp;""</f>
        <v/>
      </c>
      <c r="P10" s="811"/>
      <c r="Q10" s="849"/>
      <c r="R10" s="849"/>
      <c r="S10" s="638"/>
      <c r="T10" s="638"/>
      <c r="U10" s="638"/>
      <c r="V10" s="638"/>
      <c r="W10" s="638"/>
      <c r="X10" s="638"/>
      <c r="Y10" s="638"/>
      <c r="Z10" s="638"/>
    </row>
    <row r="11" spans="1:26" ht="22.8" x14ac:dyDescent="0.25">
      <c r="A11" s="729"/>
      <c r="B11" s="729"/>
      <c r="C11" s="691" t="s">
        <v>1078</v>
      </c>
      <c r="D11" s="19">
        <f>'USER INPUT SHEET'!$D$36</f>
        <v>0</v>
      </c>
      <c r="E11" s="20" t="str">
        <f>'USER INPUT SHEET'!$F$36</f>
        <v>m2</v>
      </c>
      <c r="F11" s="6">
        <v>1</v>
      </c>
      <c r="G11" s="692"/>
      <c r="H11" s="10"/>
      <c r="I11" s="98">
        <f>K11-L11</f>
        <v>0</v>
      </c>
      <c r="J11" s="91" t="str">
        <f>IF(H11=1,I11,"")</f>
        <v/>
      </c>
      <c r="K11" s="410">
        <f>F11*AVERAGE(K12:K14)</f>
        <v>0</v>
      </c>
      <c r="L11" s="99">
        <f>F11*AVERAGE(L12:L14)</f>
        <v>0</v>
      </c>
      <c r="M11" s="1552"/>
      <c r="N11" s="1552"/>
      <c r="O11" s="25" t="str">
        <f>_xlfn.IFNA(VLOOKUP($C11,'Master sheet'!$A:$AR,44,FALSE),"")&amp;""</f>
        <v/>
      </c>
      <c r="P11" s="839"/>
      <c r="Q11" s="43" t="str">
        <f>$D$1</f>
        <v>CEILINGS</v>
      </c>
      <c r="R11" s="725" t="s">
        <v>1079</v>
      </c>
      <c r="S11" s="664"/>
      <c r="T11" s="664"/>
      <c r="U11" s="664"/>
      <c r="V11" s="664"/>
      <c r="W11" s="664"/>
      <c r="X11" s="664"/>
      <c r="Y11" s="664"/>
      <c r="Z11" s="664"/>
    </row>
    <row r="12" spans="1:26" ht="47.25" customHeight="1" x14ac:dyDescent="0.25">
      <c r="A12" s="1600"/>
      <c r="B12" s="1600"/>
      <c r="C12" s="669" t="str">
        <f>INDEX('Master sheet'!$A$1:$A$670,MATCH(90,'Master sheet'!$AN$1:$AN$670,0))</f>
        <v>Drywall 5/8" /  / Includes American Gypsum, CertainTeed, Continental, Georgia-Pacific, National Gypsum, Pabco, USG, CGC / 5/8"</v>
      </c>
      <c r="D12" s="15">
        <f>'USER INPUT SHEET'!$D$36</f>
        <v>0</v>
      </c>
      <c r="E12" s="16" t="str">
        <f>'USER INPUT SHEET'!$F$36</f>
        <v>m2</v>
      </c>
      <c r="F12" s="3">
        <v>1</v>
      </c>
      <c r="G12" s="670"/>
      <c r="H12" s="8"/>
      <c r="I12" s="92">
        <f t="shared" ref="I12:I13" si="3">K12-L12</f>
        <v>0</v>
      </c>
      <c r="J12" s="93" t="str">
        <f t="shared" ref="J12:J13" si="4">IF(H12=1,I12,"")</f>
        <v/>
      </c>
      <c r="K12" s="406">
        <f>$D12*$F12*VLOOKUP($C12,'Master sheet'!$A:$AL,13,FALSE)</f>
        <v>0</v>
      </c>
      <c r="L12" s="94">
        <f>$D12*$F12*VLOOKUP($C12,'Master sheet'!$A:$AL,27,FALSE)</f>
        <v>0</v>
      </c>
      <c r="M12" s="1552"/>
      <c r="N12" s="1552"/>
      <c r="O12" s="25" t="str">
        <f ca="1">_xlfn.IFNA(VLOOKUP($C12,'Master sheet'!$A:$AR,44,FALSE),"")&amp;""</f>
        <v>Expired 2025</v>
      </c>
      <c r="P12" s="664"/>
      <c r="Q12" s="43" t="str">
        <f>$D$1</f>
        <v>CEILINGS</v>
      </c>
      <c r="R12" s="725" t="s">
        <v>1079</v>
      </c>
      <c r="S12" s="664"/>
      <c r="T12" s="664"/>
      <c r="U12" s="664"/>
      <c r="V12" s="664"/>
      <c r="W12" s="664"/>
      <c r="X12" s="664"/>
      <c r="Y12" s="664"/>
      <c r="Z12" s="664"/>
    </row>
    <row r="13" spans="1:26" s="624" customFormat="1" ht="31.2" x14ac:dyDescent="0.25">
      <c r="A13" s="1600"/>
      <c r="B13" s="1600"/>
      <c r="C13" s="673" t="str">
        <f>INDEX('Master sheet'!$A$1:$A$670,MATCH(377,'Master sheet'!$AN$1:$AN$670,0))</f>
        <v>Drywall 5/8" Type X / National Gypsum / Gold Bond XP Fire-Shield Gypsum Board  / 5/8'' type X</v>
      </c>
      <c r="D13" s="17">
        <f>'USER INPUT SHEET'!$D$36</f>
        <v>0</v>
      </c>
      <c r="E13" s="18" t="str">
        <f>'USER INPUT SHEET'!$F$36</f>
        <v>m2</v>
      </c>
      <c r="F13" s="4">
        <v>1</v>
      </c>
      <c r="G13" s="674"/>
      <c r="H13" s="9"/>
      <c r="I13" s="95">
        <f t="shared" si="3"/>
        <v>0</v>
      </c>
      <c r="J13" s="96" t="str">
        <f t="shared" si="4"/>
        <v/>
      </c>
      <c r="K13" s="407">
        <f>$D13*$F13*VLOOKUP($C13,'Master sheet'!$A:$AL,13,FALSE)</f>
        <v>0</v>
      </c>
      <c r="L13" s="97">
        <f>$D13*$F13*VLOOKUP($C13,'Master sheet'!$A:$AL,27,FALSE)</f>
        <v>0</v>
      </c>
      <c r="M13" s="1552"/>
      <c r="N13" s="1552"/>
      <c r="O13" s="25" t="str">
        <f ca="1">_xlfn.IFNA(VLOOKUP($C13,'Master sheet'!$A:$AR,44,FALSE),"")&amp;""</f>
        <v/>
      </c>
      <c r="P13" s="638"/>
      <c r="Q13" s="43" t="str">
        <f>$D$1</f>
        <v>CEILINGS</v>
      </c>
      <c r="R13" s="725" t="s">
        <v>1079</v>
      </c>
      <c r="S13" s="638"/>
      <c r="T13" s="638"/>
      <c r="U13" s="638"/>
      <c r="V13" s="638"/>
      <c r="W13" s="638"/>
      <c r="X13" s="638"/>
      <c r="Y13" s="638"/>
      <c r="Z13" s="638"/>
    </row>
    <row r="14" spans="1:26" s="624" customFormat="1" ht="31.2" x14ac:dyDescent="0.25">
      <c r="A14" s="1600"/>
      <c r="B14" s="1600"/>
      <c r="C14" s="673" t="str">
        <f>INDEX('Master sheet'!$A$1:$A$670,MATCH("A27",'Master sheet'!$AN$1:$AN$670,0))</f>
        <v>Drywall 5/8"  / USG / Sheetrock Brand EcoSmart Firecode X  / 5/8'' type X</v>
      </c>
      <c r="D14" s="17">
        <f>'USER INPUT SHEET'!$D$36</f>
        <v>0</v>
      </c>
      <c r="E14" s="18" t="str">
        <f>'USER INPUT SHEET'!$F$36</f>
        <v>m2</v>
      </c>
      <c r="F14" s="4">
        <v>1</v>
      </c>
      <c r="G14" s="674"/>
      <c r="H14" s="9"/>
      <c r="I14" s="95">
        <f t="shared" ref="I14" si="5">K14-L14</f>
        <v>0</v>
      </c>
      <c r="J14" s="96" t="str">
        <f t="shared" ref="J14" si="6">IF(H14=1,I14,"")</f>
        <v/>
      </c>
      <c r="K14" s="407">
        <f>$D14*$F14*VLOOKUP($C14,'Master sheet'!$A:$AL,13,FALSE)</f>
        <v>0</v>
      </c>
      <c r="L14" s="97">
        <f>$D14*$F14*VLOOKUP($C14,'Master sheet'!$A:$AL,27,FALSE)</f>
        <v>0</v>
      </c>
      <c r="M14" s="1610"/>
      <c r="N14" s="1610"/>
      <c r="O14" s="25" t="str">
        <f>_xlfn.IFNA(VLOOKUP($C14,'Master sheet'!$A:$AR,44,FALSE),"")&amp;""</f>
        <v/>
      </c>
      <c r="P14" s="638"/>
      <c r="Q14" s="45" t="str">
        <f t="shared" ref="Q14" si="7">$D$1</f>
        <v>CEILINGS</v>
      </c>
      <c r="R14" s="726" t="s">
        <v>1079</v>
      </c>
      <c r="S14" s="638"/>
      <c r="T14" s="638"/>
      <c r="U14" s="638"/>
      <c r="V14" s="638"/>
      <c r="W14" s="638"/>
      <c r="X14" s="638"/>
      <c r="Y14" s="638"/>
      <c r="Z14" s="638"/>
    </row>
    <row r="15" spans="1:26" s="624" customFormat="1" ht="23.25" customHeight="1" x14ac:dyDescent="0.25">
      <c r="A15" s="639"/>
      <c r="B15" s="1524" t="s">
        <v>86</v>
      </c>
      <c r="C15" s="1523"/>
      <c r="D15" s="640"/>
      <c r="E15" s="641"/>
      <c r="F15" s="325"/>
      <c r="G15" s="678"/>
      <c r="H15" s="679"/>
      <c r="I15" s="642"/>
      <c r="J15" s="643"/>
      <c r="K15" s="676"/>
      <c r="L15" s="677"/>
      <c r="M15" s="677"/>
      <c r="N15" s="677"/>
      <c r="O15" s="25" t="str">
        <f>_xlfn.IFNA(VLOOKUP($C15,'Master sheet'!$A:$AR,44,FALSE),"")&amp;""</f>
        <v/>
      </c>
      <c r="P15" s="638"/>
      <c r="Q15" s="849"/>
      <c r="R15" s="849"/>
      <c r="S15" s="638"/>
      <c r="T15" s="638"/>
      <c r="U15" s="638"/>
      <c r="V15" s="638"/>
      <c r="W15" s="638"/>
      <c r="X15" s="638"/>
      <c r="Y15" s="638"/>
      <c r="Z15" s="638"/>
    </row>
    <row r="16" spans="1:26" s="624" customFormat="1" ht="23.25" customHeight="1" x14ac:dyDescent="0.25">
      <c r="A16" s="815"/>
      <c r="B16" s="1635"/>
      <c r="C16" s="647" t="str">
        <f>INDEX('Master sheet'!$A$1:$A$670,MATCH(146,'Master sheet'!$AN$1:$AN$670,0))</f>
        <v>MgO board 1/2" / North American MgO / MagTech Ultra / 1/2"</v>
      </c>
      <c r="D16" s="13">
        <f>'USER INPUT SHEET'!$D$36</f>
        <v>0</v>
      </c>
      <c r="E16" s="14" t="str">
        <f>'USER INPUT SHEET'!$F$36</f>
        <v>m2</v>
      </c>
      <c r="F16" s="2">
        <v>1</v>
      </c>
      <c r="G16" s="648"/>
      <c r="H16" s="7"/>
      <c r="I16" s="88">
        <f t="shared" ref="I16" si="8">K16-L16</f>
        <v>0</v>
      </c>
      <c r="J16" s="89" t="str">
        <f t="shared" ref="J16:J24" si="9">IF(H16=1,I16,"")</f>
        <v/>
      </c>
      <c r="K16" s="404">
        <f>$D16*$F16*VLOOKUP($C16,'Master sheet'!$A:$AL,13,FALSE)</f>
        <v>0</v>
      </c>
      <c r="L16" s="90">
        <f>$D16*$F16*VLOOKUP($C16,'Master sheet'!$A:$AL,27,FALSE)</f>
        <v>0</v>
      </c>
      <c r="M16" s="1552"/>
      <c r="N16" s="1552"/>
      <c r="O16" s="25" t="str">
        <f ca="1">_xlfn.IFNA(VLOOKUP($C16,'Master sheet'!$A:$AR,44,FALSE),"")&amp;""</f>
        <v>Expired 2023</v>
      </c>
      <c r="P16" s="638"/>
      <c r="Q16" s="45" t="str">
        <f t="shared" ref="Q16:Q27" si="10">$D$1</f>
        <v>CEILINGS</v>
      </c>
      <c r="R16" s="726" t="s">
        <v>1079</v>
      </c>
      <c r="S16" s="638"/>
      <c r="T16" s="638"/>
      <c r="U16" s="638"/>
      <c r="V16" s="638"/>
      <c r="W16" s="638"/>
      <c r="X16" s="638"/>
      <c r="Y16" s="638"/>
      <c r="Z16" s="638"/>
    </row>
    <row r="17" spans="1:26" ht="31.5" customHeight="1" x14ac:dyDescent="0.25">
      <c r="A17" s="823"/>
      <c r="B17" s="1635"/>
      <c r="C17" s="669" t="str">
        <f>INDEX('Master sheet'!$A$1:$A$670,MATCH(31,'Master sheet'!$AN$1:$AN$670,0))</f>
        <v>Cedar Siding / Western Red Cedar Lumber Assn /  / 1 x 6 Boards</v>
      </c>
      <c r="D17" s="15">
        <f>'USER INPUT SHEET'!$D$36</f>
        <v>0</v>
      </c>
      <c r="E17" s="16" t="str">
        <f>'USER INPUT SHEET'!$F$36</f>
        <v>m2</v>
      </c>
      <c r="F17" s="3">
        <v>1</v>
      </c>
      <c r="G17" s="670"/>
      <c r="H17" s="8"/>
      <c r="I17" s="88">
        <f t="shared" ref="I17:I24" si="11">K17-L17-IF(N17,M17,0)</f>
        <v>0</v>
      </c>
      <c r="J17" s="93" t="str">
        <f t="shared" si="9"/>
        <v/>
      </c>
      <c r="K17" s="406">
        <f>$D17*$F17*VLOOKUP($C17,'Master sheet'!$A:$AL,13,FALSE)</f>
        <v>0</v>
      </c>
      <c r="L17" s="94">
        <f>$D17*$F17*VLOOKUP($C17,'Master sheet'!$A:$AL,27,FALSE)</f>
        <v>0</v>
      </c>
      <c r="M17" s="1552"/>
      <c r="N17" s="1552"/>
      <c r="O17" s="25" t="str">
        <f ca="1">_xlfn.IFNA(VLOOKUP($C17,'Master sheet'!$A:$AR,44,FALSE),"")&amp;""</f>
        <v>Expired 2021</v>
      </c>
      <c r="P17" s="664"/>
      <c r="Q17" s="43" t="str">
        <f t="shared" si="10"/>
        <v>CEILINGS</v>
      </c>
      <c r="R17" s="725" t="s">
        <v>1079</v>
      </c>
      <c r="S17" s="664"/>
      <c r="T17" s="664"/>
      <c r="U17" s="664"/>
      <c r="V17" s="664"/>
      <c r="W17" s="664"/>
      <c r="X17" s="664"/>
      <c r="Y17" s="664"/>
      <c r="Z17" s="664"/>
    </row>
    <row r="18" spans="1:26" ht="22.8" x14ac:dyDescent="0.25">
      <c r="A18" s="823"/>
      <c r="B18" s="835" t="s">
        <v>937</v>
      </c>
      <c r="C18" s="669" t="str">
        <f>INDEX('Master sheet'!$A$1:$A$670,MATCH("248-1",'Master sheet'!$AN$1:$AN$670,0))</f>
        <v xml:space="preserve">Wood - SPF / Canadian Wood Council / British Columbia / </v>
      </c>
      <c r="D18" s="15">
        <f>'USER INPUT SHEET'!$D$36</f>
        <v>0</v>
      </c>
      <c r="E18" s="16" t="str">
        <f>'USER INPUT SHEET'!$F$36</f>
        <v>m2</v>
      </c>
      <c r="F18" s="3">
        <v>1</v>
      </c>
      <c r="G18" s="670"/>
      <c r="H18" s="8"/>
      <c r="I18" s="88">
        <f t="shared" si="11"/>
        <v>0</v>
      </c>
      <c r="J18" s="93" t="str">
        <f t="shared" si="9"/>
        <v/>
      </c>
      <c r="K18" s="406">
        <f>$D18*$F18*VLOOKUP($C18,'Master sheet'!$A:$AL,13,FALSE)*0.01905</f>
        <v>0</v>
      </c>
      <c r="L18" s="94">
        <f>$D18*$F18*VLOOKUP($C18,'Master sheet'!$A:$AL,27,FALSE)*0.01905</f>
        <v>0</v>
      </c>
      <c r="M18" s="1552"/>
      <c r="N18" s="1552"/>
      <c r="O18" s="25" t="str">
        <f>_xlfn.IFNA(VLOOKUP($C18,'Master sheet'!$A:$AR,44,FALSE),"")&amp;""</f>
        <v/>
      </c>
      <c r="P18" s="664"/>
      <c r="Q18" s="43" t="str">
        <f t="shared" si="10"/>
        <v>CEILINGS</v>
      </c>
      <c r="R18" s="725" t="s">
        <v>1079</v>
      </c>
      <c r="S18" s="664" t="s">
        <v>7254</v>
      </c>
      <c r="T18" s="664"/>
      <c r="U18" s="664"/>
      <c r="V18" s="664"/>
      <c r="W18" s="664"/>
      <c r="X18" s="664"/>
      <c r="Y18" s="664"/>
      <c r="Z18" s="664"/>
    </row>
    <row r="19" spans="1:26" ht="22.8" x14ac:dyDescent="0.25">
      <c r="A19" s="823"/>
      <c r="B19" s="835" t="s">
        <v>937</v>
      </c>
      <c r="C19" s="669" t="str">
        <f>INDEX('Master sheet'!$A$1:$A$670,MATCH("248-2",'Master sheet'!$AN$1:$AN$670,0))</f>
        <v xml:space="preserve">Wood - SPF / Canadian Wood Council / Alberta / </v>
      </c>
      <c r="D19" s="15">
        <f>'USER INPUT SHEET'!$D$36</f>
        <v>0</v>
      </c>
      <c r="E19" s="16" t="str">
        <f>'USER INPUT SHEET'!$F$36</f>
        <v>m2</v>
      </c>
      <c r="F19" s="3">
        <v>1</v>
      </c>
      <c r="G19" s="670"/>
      <c r="H19" s="8"/>
      <c r="I19" s="88">
        <f t="shared" ref="I19:I23" si="12">K19-L19-IF(N19,M19,0)</f>
        <v>0</v>
      </c>
      <c r="J19" s="93" t="str">
        <f t="shared" ref="J19:J23" si="13">IF(H19=1,I19,"")</f>
        <v/>
      </c>
      <c r="K19" s="406">
        <f>$D19*$F19*VLOOKUP($C19,'Master sheet'!$A:$AL,13,FALSE)*0.01905</f>
        <v>0</v>
      </c>
      <c r="L19" s="94">
        <f>$D19*$F19*VLOOKUP($C19,'Master sheet'!$A:$AL,27,FALSE)*0.01905</f>
        <v>0</v>
      </c>
      <c r="M19" s="1552"/>
      <c r="N19" s="1552"/>
      <c r="O19" s="25" t="str">
        <f>_xlfn.IFNA(VLOOKUP($C19,'Master sheet'!$A:$AR,44,FALSE),"")&amp;""</f>
        <v/>
      </c>
      <c r="P19" s="664"/>
      <c r="Q19" s="43" t="str">
        <f t="shared" si="10"/>
        <v>CEILINGS</v>
      </c>
      <c r="R19" s="725" t="s">
        <v>1079</v>
      </c>
      <c r="S19" s="664" t="s">
        <v>7254</v>
      </c>
      <c r="T19" s="664"/>
      <c r="U19" s="664"/>
      <c r="V19" s="664"/>
      <c r="W19" s="664"/>
      <c r="X19" s="664"/>
      <c r="Y19" s="664"/>
      <c r="Z19" s="664"/>
    </row>
    <row r="20" spans="1:26" ht="22.8" x14ac:dyDescent="0.25">
      <c r="A20" s="823"/>
      <c r="B20" s="835" t="s">
        <v>937</v>
      </c>
      <c r="C20" s="669" t="str">
        <f>INDEX('Master sheet'!$A$1:$A$670,MATCH("248-3",'Master sheet'!$AN$1:$AN$670,0))</f>
        <v xml:space="preserve">Wood - SPF / Canadian Wood Council / Ontario / </v>
      </c>
      <c r="D20" s="15">
        <f>'USER INPUT SHEET'!$D$36</f>
        <v>0</v>
      </c>
      <c r="E20" s="16" t="str">
        <f>'USER INPUT SHEET'!$F$36</f>
        <v>m2</v>
      </c>
      <c r="F20" s="3">
        <v>1</v>
      </c>
      <c r="G20" s="670"/>
      <c r="H20" s="8"/>
      <c r="I20" s="88">
        <f t="shared" si="12"/>
        <v>0</v>
      </c>
      <c r="J20" s="93" t="str">
        <f t="shared" si="13"/>
        <v/>
      </c>
      <c r="K20" s="406">
        <f>$D20*$F20*VLOOKUP($C20,'Master sheet'!$A:$AL,13,FALSE)*0.01905</f>
        <v>0</v>
      </c>
      <c r="L20" s="94">
        <f>$D20*$F20*VLOOKUP($C20,'Master sheet'!$A:$AL,27,FALSE)*0.01905</f>
        <v>0</v>
      </c>
      <c r="M20" s="1552"/>
      <c r="N20" s="1552"/>
      <c r="O20" s="25" t="str">
        <f>_xlfn.IFNA(VLOOKUP($C20,'Master sheet'!$A:$AR,44,FALSE),"")&amp;""</f>
        <v/>
      </c>
      <c r="P20" s="664"/>
      <c r="Q20" s="43" t="str">
        <f t="shared" si="10"/>
        <v>CEILINGS</v>
      </c>
      <c r="R20" s="725" t="s">
        <v>1079</v>
      </c>
      <c r="S20" s="664" t="s">
        <v>7254</v>
      </c>
      <c r="T20" s="664"/>
      <c r="U20" s="664"/>
      <c r="V20" s="664"/>
      <c r="W20" s="664"/>
      <c r="X20" s="664"/>
      <c r="Y20" s="664"/>
      <c r="Z20" s="664"/>
    </row>
    <row r="21" spans="1:26" ht="22.8" x14ac:dyDescent="0.25">
      <c r="A21" s="823"/>
      <c r="B21" s="835" t="s">
        <v>937</v>
      </c>
      <c r="C21" s="669" t="str">
        <f>INDEX('Master sheet'!$A$1:$A$670,MATCH("248-4",'Master sheet'!$AN$1:$AN$670,0))</f>
        <v xml:space="preserve">Wood - SPF / Canadian Wood Council / Quebec / </v>
      </c>
      <c r="D21" s="15">
        <f>'USER INPUT SHEET'!$D$36</f>
        <v>0</v>
      </c>
      <c r="E21" s="16" t="str">
        <f>'USER INPUT SHEET'!$F$36</f>
        <v>m2</v>
      </c>
      <c r="F21" s="3">
        <v>1</v>
      </c>
      <c r="G21" s="670"/>
      <c r="H21" s="8"/>
      <c r="I21" s="88">
        <f t="shared" si="12"/>
        <v>0</v>
      </c>
      <c r="J21" s="93" t="str">
        <f t="shared" si="13"/>
        <v/>
      </c>
      <c r="K21" s="406">
        <f>$D21*$F21*VLOOKUP($C21,'Master sheet'!$A:$AL,13,FALSE)*0.01905</f>
        <v>0</v>
      </c>
      <c r="L21" s="94">
        <f>$D21*$F21*VLOOKUP($C21,'Master sheet'!$A:$AL,27,FALSE)*0.01905</f>
        <v>0</v>
      </c>
      <c r="M21" s="1552"/>
      <c r="N21" s="1552"/>
      <c r="O21" s="25" t="str">
        <f>_xlfn.IFNA(VLOOKUP($C21,'Master sheet'!$A:$AR,44,FALSE),"")&amp;""</f>
        <v/>
      </c>
      <c r="P21" s="664"/>
      <c r="Q21" s="43" t="str">
        <f t="shared" si="10"/>
        <v>CEILINGS</v>
      </c>
      <c r="R21" s="725" t="s">
        <v>1079</v>
      </c>
      <c r="S21" s="664" t="s">
        <v>7254</v>
      </c>
      <c r="T21" s="664"/>
      <c r="U21" s="664"/>
      <c r="V21" s="664"/>
      <c r="W21" s="664"/>
      <c r="X21" s="664"/>
      <c r="Y21" s="664"/>
      <c r="Z21" s="664"/>
    </row>
    <row r="22" spans="1:26" ht="22.8" x14ac:dyDescent="0.25">
      <c r="A22" s="823"/>
      <c r="B22" s="835" t="s">
        <v>937</v>
      </c>
      <c r="C22" s="669" t="str">
        <f>INDEX('Master sheet'!$A$1:$A$670,MATCH("248-5",'Master sheet'!$AN$1:$AN$670,0))</f>
        <v xml:space="preserve">Wood - SPF / Canadian Wood Council / New Brunswick / </v>
      </c>
      <c r="D22" s="15">
        <f>'USER INPUT SHEET'!$D$36</f>
        <v>0</v>
      </c>
      <c r="E22" s="16" t="str">
        <f>'USER INPUT SHEET'!$F$36</f>
        <v>m2</v>
      </c>
      <c r="F22" s="3">
        <v>1</v>
      </c>
      <c r="G22" s="670"/>
      <c r="H22" s="8"/>
      <c r="I22" s="88">
        <f t="shared" si="12"/>
        <v>0</v>
      </c>
      <c r="J22" s="93" t="str">
        <f t="shared" si="13"/>
        <v/>
      </c>
      <c r="K22" s="406">
        <f>$D22*$F22*VLOOKUP($C22,'Master sheet'!$A:$AL,13,FALSE)*0.01905</f>
        <v>0</v>
      </c>
      <c r="L22" s="94">
        <f>$D22*$F22*VLOOKUP($C22,'Master sheet'!$A:$AL,27,FALSE)*0.01905</f>
        <v>0</v>
      </c>
      <c r="M22" s="1552"/>
      <c r="N22" s="1552"/>
      <c r="O22" s="25" t="str">
        <f>_xlfn.IFNA(VLOOKUP($C22,'Master sheet'!$A:$AR,44,FALSE),"")&amp;""</f>
        <v/>
      </c>
      <c r="P22" s="664"/>
      <c r="Q22" s="43" t="str">
        <f t="shared" si="10"/>
        <v>CEILINGS</v>
      </c>
      <c r="R22" s="725" t="s">
        <v>1079</v>
      </c>
      <c r="S22" s="664" t="s">
        <v>7254</v>
      </c>
      <c r="T22" s="664"/>
      <c r="U22" s="664"/>
      <c r="V22" s="664"/>
      <c r="W22" s="664"/>
      <c r="X22" s="664"/>
      <c r="Y22" s="664"/>
      <c r="Z22" s="664"/>
    </row>
    <row r="23" spans="1:26" ht="22.8" x14ac:dyDescent="0.25">
      <c r="A23" s="823"/>
      <c r="B23" s="835" t="s">
        <v>937</v>
      </c>
      <c r="C23" s="669" t="str">
        <f>INDEX('Master sheet'!$A$1:$A$670,MATCH("248-6",'Master sheet'!$AN$1:$AN$670,0))</f>
        <v xml:space="preserve">Wood - SPF / Canadian Wood Council / Atlantic Canada / </v>
      </c>
      <c r="D23" s="15">
        <f>'USER INPUT SHEET'!$D$36</f>
        <v>0</v>
      </c>
      <c r="E23" s="16" t="str">
        <f>'USER INPUT SHEET'!$F$36</f>
        <v>m2</v>
      </c>
      <c r="F23" s="3">
        <v>1</v>
      </c>
      <c r="G23" s="670"/>
      <c r="H23" s="8"/>
      <c r="I23" s="88">
        <f t="shared" si="12"/>
        <v>0</v>
      </c>
      <c r="J23" s="93" t="str">
        <f t="shared" si="13"/>
        <v/>
      </c>
      <c r="K23" s="406">
        <f>$D23*$F23*VLOOKUP($C23,'Master sheet'!$A:$AL,13,FALSE)*0.01905</f>
        <v>0</v>
      </c>
      <c r="L23" s="94">
        <f>$D23*$F23*VLOOKUP($C23,'Master sheet'!$A:$AL,27,FALSE)*0.01905</f>
        <v>0</v>
      </c>
      <c r="M23" s="1552"/>
      <c r="N23" s="1552"/>
      <c r="O23" s="25" t="str">
        <f>_xlfn.IFNA(VLOOKUP($C23,'Master sheet'!$A:$AR,44,FALSE),"")&amp;""</f>
        <v/>
      </c>
      <c r="P23" s="664"/>
      <c r="Q23" s="43" t="str">
        <f t="shared" si="10"/>
        <v>CEILINGS</v>
      </c>
      <c r="R23" s="725" t="s">
        <v>1079</v>
      </c>
      <c r="S23" s="664" t="s">
        <v>7254</v>
      </c>
      <c r="T23" s="664"/>
      <c r="U23" s="664"/>
      <c r="V23" s="664"/>
      <c r="W23" s="664"/>
      <c r="X23" s="664"/>
      <c r="Y23" s="664"/>
      <c r="Z23" s="664"/>
    </row>
    <row r="24" spans="1:26" ht="22.8" x14ac:dyDescent="0.25">
      <c r="A24" s="815"/>
      <c r="B24" s="624"/>
      <c r="C24" s="669" t="str">
        <f>INDEX('Master sheet'!$A$1:$A$670,MATCH("159-1",'Master sheet'!$AN$1:$AN$670,0))</f>
        <v>Plywood / Canadian Wood Council /  / 1/2"</v>
      </c>
      <c r="D24" s="15">
        <f>'USER INPUT SHEET'!$D$36</f>
        <v>0</v>
      </c>
      <c r="E24" s="16" t="str">
        <f>'USER INPUT SHEET'!$F$36</f>
        <v>m2</v>
      </c>
      <c r="F24" s="3">
        <v>1</v>
      </c>
      <c r="G24" s="670"/>
      <c r="H24" s="8"/>
      <c r="I24" s="88">
        <f t="shared" si="11"/>
        <v>0</v>
      </c>
      <c r="J24" s="93" t="str">
        <f t="shared" si="9"/>
        <v/>
      </c>
      <c r="K24" s="406">
        <f>$D24*$F24*VLOOKUP($C24,'Master sheet'!$A:$AL,13,FALSE)</f>
        <v>0</v>
      </c>
      <c r="L24" s="94">
        <f>$D24*$F24*VLOOKUP($C24,'Master sheet'!$A:$AL,27,FALSE)</f>
        <v>0</v>
      </c>
      <c r="M24" s="1552"/>
      <c r="N24" s="1552"/>
      <c r="O24" s="25" t="str">
        <f>_xlfn.IFNA(VLOOKUP($C24,'Master sheet'!$A:$AR,44,FALSE),"")&amp;""</f>
        <v/>
      </c>
      <c r="P24" s="664"/>
      <c r="Q24" s="43" t="str">
        <f t="shared" si="10"/>
        <v>CEILINGS</v>
      </c>
      <c r="R24" s="725" t="s">
        <v>1079</v>
      </c>
      <c r="S24" s="664"/>
      <c r="T24" s="664"/>
      <c r="U24" s="664"/>
      <c r="V24" s="664"/>
      <c r="W24" s="664"/>
      <c r="X24" s="664"/>
      <c r="Y24" s="664"/>
      <c r="Z24" s="664"/>
    </row>
    <row r="25" spans="1:26" ht="22.8" x14ac:dyDescent="0.25">
      <c r="A25" s="815"/>
      <c r="B25" s="624"/>
      <c r="C25" s="749" t="str">
        <f>INDEX('Master sheet'!$A$1:$A$670,MATCH("A9",'Master sheet'!$AN$1:$AN$670,0))</f>
        <v>Bamboo plywood / Smith &amp; Fong / Plyboo / 1/2" (12.7 mm)</v>
      </c>
      <c r="D25" s="250">
        <f>'USER INPUT SHEET'!$D$36</f>
        <v>0</v>
      </c>
      <c r="E25" s="251" t="str">
        <f>'USER INPUT SHEET'!$F$36</f>
        <v>m2</v>
      </c>
      <c r="F25" s="252">
        <v>1</v>
      </c>
      <c r="G25" s="750"/>
      <c r="H25" s="253"/>
      <c r="I25" s="254">
        <f t="shared" ref="I25:I26" si="14">K25-L25</f>
        <v>0</v>
      </c>
      <c r="J25" s="255" t="str">
        <f t="shared" ref="J25:J27" si="15">IF(H25=1,I25,"")</f>
        <v/>
      </c>
      <c r="K25" s="417">
        <f>$D25*$F25*VLOOKUP($C25,'Master sheet'!$A:$AL,13,FALSE)</f>
        <v>0</v>
      </c>
      <c r="L25" s="256">
        <f>$D25*$F25*VLOOKUP($C25,'Master sheet'!$A:$AL,27,FALSE)</f>
        <v>0</v>
      </c>
      <c r="M25" s="1552"/>
      <c r="N25" s="1552"/>
      <c r="O25" s="25" t="str">
        <f>_xlfn.IFNA(VLOOKUP($C25,'Master sheet'!$A:$AR,44,FALSE),"")&amp;""</f>
        <v/>
      </c>
      <c r="P25" s="664"/>
      <c r="Q25" s="43" t="str">
        <f>$D$1</f>
        <v>CEILINGS</v>
      </c>
      <c r="R25" s="725" t="s">
        <v>1079</v>
      </c>
      <c r="S25" s="664"/>
      <c r="T25" s="664"/>
      <c r="U25" s="664"/>
      <c r="V25" s="664"/>
      <c r="W25" s="664"/>
      <c r="X25" s="664"/>
      <c r="Y25" s="664"/>
      <c r="Z25" s="664"/>
    </row>
    <row r="26" spans="1:26" ht="22.8" x14ac:dyDescent="0.25">
      <c r="A26" s="815"/>
      <c r="B26" s="624"/>
      <c r="C26" s="749" t="str">
        <f>INDEX('Master sheet'!$A$1:$A$670,MATCH("A10",'Master sheet'!$AN$1:$AN$670,0))</f>
        <v>Bamboo plywood / Smith &amp; Fong / Plyboo / 3/4" (19 mm)</v>
      </c>
      <c r="D26" s="250">
        <f>'USER INPUT SHEET'!$D$36</f>
        <v>0</v>
      </c>
      <c r="E26" s="251" t="str">
        <f>'USER INPUT SHEET'!$F$36</f>
        <v>m2</v>
      </c>
      <c r="F26" s="252">
        <v>1</v>
      </c>
      <c r="G26" s="750"/>
      <c r="H26" s="253"/>
      <c r="I26" s="254">
        <f t="shared" si="14"/>
        <v>0</v>
      </c>
      <c r="J26" s="255" t="str">
        <f t="shared" si="15"/>
        <v/>
      </c>
      <c r="K26" s="417">
        <f>$D26*$F26*VLOOKUP($C26,'Master sheet'!$A:$AL,13,FALSE)</f>
        <v>0</v>
      </c>
      <c r="L26" s="256">
        <f>$D26*$F26*VLOOKUP($C26,'Master sheet'!$A:$AL,27,FALSE)</f>
        <v>0</v>
      </c>
      <c r="M26" s="1552"/>
      <c r="N26" s="1552"/>
      <c r="O26" s="25" t="str">
        <f>_xlfn.IFNA(VLOOKUP($C26,'Master sheet'!$A:$AR,44,FALSE),"")&amp;""</f>
        <v/>
      </c>
      <c r="P26" s="638"/>
      <c r="Q26" s="45" t="str">
        <f t="shared" si="10"/>
        <v>CEILINGS</v>
      </c>
      <c r="R26" s="726" t="s">
        <v>1079</v>
      </c>
      <c r="S26" s="638"/>
      <c r="T26" s="638"/>
      <c r="U26" s="638"/>
      <c r="V26" s="638"/>
      <c r="W26" s="664"/>
      <c r="X26" s="664"/>
      <c r="Y26" s="664"/>
      <c r="Z26" s="664"/>
    </row>
    <row r="27" spans="1:26" ht="31.2" x14ac:dyDescent="0.25">
      <c r="A27" s="815"/>
      <c r="B27" s="624"/>
      <c r="C27" s="749" t="str">
        <f>INDEX('Master sheet'!$A$1:$A$670,MATCH("A85",'Master sheet'!$AN$1:$AN$670,0))</f>
        <v>Plywood / British Columbia Average / Includes : West Fraser Mills, Thompson River Veneer Products / 1/2"</v>
      </c>
      <c r="D27" s="250">
        <f>'USER INPUT SHEET'!$D$36</f>
        <v>0</v>
      </c>
      <c r="E27" s="251" t="str">
        <f>'USER INPUT SHEET'!$F$36</f>
        <v>m2</v>
      </c>
      <c r="F27" s="252">
        <v>1</v>
      </c>
      <c r="G27" s="750"/>
      <c r="H27" s="253"/>
      <c r="I27" s="88">
        <f t="shared" ref="I27" si="16">K27-L27-IF(N27,M27,0)</f>
        <v>0</v>
      </c>
      <c r="J27" s="255" t="str">
        <f t="shared" si="15"/>
        <v/>
      </c>
      <c r="K27" s="417">
        <f>$D27*$F27*VLOOKUP($C27,'Master sheet'!$A:$AL,13,FALSE)</f>
        <v>0</v>
      </c>
      <c r="L27" s="94">
        <f>$D27*$F27*VLOOKUP($C27,'Master sheet'!$A:$AL,27,FALSE)</f>
        <v>0</v>
      </c>
      <c r="M27" s="1552"/>
      <c r="N27" s="1552"/>
      <c r="O27" s="25" t="str">
        <f>_xlfn.IFNA(VLOOKUP($C27,'Master sheet'!$A:$AR,44,FALSE),"")&amp;""</f>
        <v/>
      </c>
      <c r="P27" s="638"/>
      <c r="Q27" s="45" t="str">
        <f t="shared" si="10"/>
        <v>CEILINGS</v>
      </c>
      <c r="R27" s="726" t="s">
        <v>1079</v>
      </c>
      <c r="S27" s="638"/>
      <c r="T27" s="638"/>
      <c r="U27" s="638"/>
      <c r="V27" s="638"/>
      <c r="W27" s="664"/>
      <c r="X27" s="664"/>
      <c r="Y27" s="664"/>
      <c r="Z27" s="664"/>
    </row>
    <row r="28" spans="1:26" s="624" customFormat="1" ht="54.75" customHeight="1" x14ac:dyDescent="0.25">
      <c r="A28" s="1522" t="s">
        <v>4591</v>
      </c>
      <c r="B28" s="1523"/>
      <c r="C28" s="1523"/>
      <c r="D28" s="649"/>
      <c r="E28" s="650"/>
      <c r="F28" s="321"/>
      <c r="G28" s="650"/>
      <c r="H28" s="650"/>
      <c r="I28" s="651"/>
      <c r="J28" s="651"/>
      <c r="K28" s="652"/>
      <c r="L28" s="759"/>
      <c r="M28" s="759"/>
      <c r="N28" s="759"/>
      <c r="O28" s="25" t="str">
        <f>_xlfn.IFNA(VLOOKUP($C28,'Master sheet'!$A:$AR,44,FALSE),"")&amp;""</f>
        <v/>
      </c>
      <c r="P28" s="637"/>
      <c r="Q28" s="848"/>
      <c r="R28" s="849"/>
      <c r="S28" s="638"/>
      <c r="T28" s="638"/>
      <c r="U28" s="638"/>
      <c r="V28" s="638"/>
      <c r="W28" s="638"/>
      <c r="X28" s="638"/>
      <c r="Y28" s="638"/>
      <c r="Z28" s="638"/>
    </row>
    <row r="29" spans="1:26" ht="23.25" customHeight="1" x14ac:dyDescent="0.3">
      <c r="A29" s="686"/>
      <c r="B29" s="1541" t="s">
        <v>4774</v>
      </c>
      <c r="C29" s="1530"/>
      <c r="D29" s="656"/>
      <c r="E29" s="657"/>
      <c r="F29" s="339"/>
      <c r="G29" s="724"/>
      <c r="H29" s="763"/>
      <c r="I29" s="658"/>
      <c r="J29" s="659"/>
      <c r="K29" s="660"/>
      <c r="L29" s="661"/>
      <c r="M29" s="677"/>
      <c r="N29" s="677"/>
      <c r="O29" s="25" t="str">
        <f>_xlfn.IFNA(VLOOKUP($C29,'Master sheet'!$A:$AR,44,FALSE),"")&amp;""</f>
        <v/>
      </c>
      <c r="P29" s="685"/>
      <c r="Q29" s="852"/>
      <c r="R29" s="852"/>
      <c r="S29" s="664"/>
      <c r="T29" s="664"/>
      <c r="U29" s="664"/>
      <c r="V29" s="664"/>
      <c r="W29" s="664"/>
      <c r="X29" s="664"/>
      <c r="Y29" s="664"/>
      <c r="Z29" s="664"/>
    </row>
    <row r="30" spans="1:26" ht="33.75" customHeight="1" x14ac:dyDescent="0.3">
      <c r="A30" s="729"/>
      <c r="B30" s="624"/>
      <c r="C30" s="691" t="s">
        <v>4775</v>
      </c>
      <c r="D30" s="19">
        <f>'USER INPUT SHEET'!$D$36</f>
        <v>0</v>
      </c>
      <c r="E30" s="20" t="str">
        <f>'USER INPUT SHEET'!$F$38</f>
        <v>m2</v>
      </c>
      <c r="F30" s="6">
        <v>1</v>
      </c>
      <c r="G30" s="692"/>
      <c r="H30" s="10"/>
      <c r="I30" s="98">
        <f>K30-L30</f>
        <v>0</v>
      </c>
      <c r="J30" s="91" t="str">
        <f>IF(H30=1,I30,"")</f>
        <v/>
      </c>
      <c r="K30" s="410">
        <f>F30*AVERAGE(K31:K38)</f>
        <v>0</v>
      </c>
      <c r="L30" s="99">
        <f>F30*AVERAGE(L31:L38)</f>
        <v>0</v>
      </c>
      <c r="M30" s="1552"/>
      <c r="N30" s="1552"/>
      <c r="O30" s="25" t="str">
        <f>_xlfn.IFNA(VLOOKUP($C30,'Master sheet'!$A:$AR,44,FALSE),"")&amp;""</f>
        <v/>
      </c>
      <c r="P30" s="685"/>
      <c r="Q30" s="240" t="str">
        <f t="shared" ref="Q30:Q37" si="17">D$1</f>
        <v>CEILINGS</v>
      </c>
      <c r="R30" s="852" t="s">
        <v>4591</v>
      </c>
      <c r="S30" s="664"/>
      <c r="T30" s="664"/>
      <c r="U30" s="664"/>
      <c r="V30" s="664"/>
      <c r="W30" s="664"/>
      <c r="X30" s="664"/>
      <c r="Y30" s="664"/>
      <c r="Z30" s="664"/>
    </row>
    <row r="31" spans="1:26" ht="33.75" customHeight="1" x14ac:dyDescent="0.3">
      <c r="A31" s="638"/>
      <c r="B31" s="853"/>
      <c r="C31" s="669" t="str">
        <f>INDEX('Master sheet'!$A$1:$A$670,MATCH("A157",'Master sheet'!$AN$1:$AN$670,0))</f>
        <v>Int. Wall &amp; Ceiling Barrier, sheet / Rothoblaas / Vapor In Green 200 / Non-permeable / 0.35 mm</v>
      </c>
      <c r="D31" s="15">
        <f>'USER INPUT SHEET'!$D$36</f>
        <v>0</v>
      </c>
      <c r="E31" s="16" t="str">
        <f>'USER INPUT SHEET'!$F$38</f>
        <v>m2</v>
      </c>
      <c r="F31" s="3">
        <v>1</v>
      </c>
      <c r="G31" s="670"/>
      <c r="H31" s="8"/>
      <c r="I31" s="92">
        <f t="shared" ref="I31:I37" si="18">K31-L31</f>
        <v>0</v>
      </c>
      <c r="J31" s="93" t="str">
        <f t="shared" ref="J31:J37" si="19">IF(H31=1,I31,"")</f>
        <v/>
      </c>
      <c r="K31" s="406">
        <f>$D31*$F31*VLOOKUP($C31,'Master sheet'!$A:$AL,13,FALSE)</f>
        <v>0</v>
      </c>
      <c r="L31" s="94">
        <f>$D31*$F31*VLOOKUP($C31,'Master sheet'!$A:$AL,27,FALSE)</f>
        <v>0</v>
      </c>
      <c r="M31" s="1552"/>
      <c r="N31" s="1552"/>
      <c r="O31" s="25" t="str">
        <f>_xlfn.IFNA(VLOOKUP($C31,'Master sheet'!$A:$AR,44,FALSE),"")&amp;""</f>
        <v/>
      </c>
      <c r="P31" s="707"/>
      <c r="Q31" s="240" t="str">
        <f t="shared" si="17"/>
        <v>CEILINGS</v>
      </c>
      <c r="R31" s="852" t="s">
        <v>4591</v>
      </c>
      <c r="S31" s="664"/>
      <c r="T31" s="664"/>
      <c r="U31" s="664"/>
      <c r="V31" s="664"/>
      <c r="W31" s="664"/>
      <c r="X31" s="664"/>
      <c r="Y31" s="664"/>
      <c r="Z31" s="664"/>
    </row>
    <row r="32" spans="1:26" ht="33.75" customHeight="1" x14ac:dyDescent="0.3">
      <c r="A32" s="638"/>
      <c r="B32" s="853"/>
      <c r="C32" s="669" t="str">
        <f>INDEX('Master sheet'!$A$1:$A$670,MATCH("A181",'Master sheet'!$AN$1:$AN$670,0))</f>
        <v xml:space="preserve">Int. Wall &amp; Ceiling Barrier, sheet / Partel / IZOPERM PLUS / Non-permeable / </v>
      </c>
      <c r="D32" s="15">
        <f>'USER INPUT SHEET'!$D$36</f>
        <v>0</v>
      </c>
      <c r="E32" s="16" t="str">
        <f>'USER INPUT SHEET'!$F$37</f>
        <v>m2</v>
      </c>
      <c r="F32" s="3">
        <v>1</v>
      </c>
      <c r="G32" s="670"/>
      <c r="H32" s="8"/>
      <c r="I32" s="92">
        <f t="shared" si="18"/>
        <v>0</v>
      </c>
      <c r="J32" s="93" t="str">
        <f t="shared" si="19"/>
        <v/>
      </c>
      <c r="K32" s="406">
        <f>$D32*$F32*VLOOKUP($C32,'Master sheet'!$A:$AL,13,FALSE)</f>
        <v>0</v>
      </c>
      <c r="L32" s="94">
        <f>$D32*$F32*VLOOKUP($C32,'Master sheet'!$A:$AL,27,FALSE)</f>
        <v>0</v>
      </c>
      <c r="M32" s="1552"/>
      <c r="N32" s="1552"/>
      <c r="O32" s="25" t="str">
        <f>_xlfn.IFNA(VLOOKUP($C32,'Master sheet'!$A:$AR,44,FALSE),"")&amp;""</f>
        <v/>
      </c>
      <c r="P32" s="707"/>
      <c r="Q32" s="240" t="str">
        <f t="shared" si="17"/>
        <v>CEILINGS</v>
      </c>
      <c r="R32" s="852" t="s">
        <v>4591</v>
      </c>
      <c r="S32" s="664"/>
      <c r="T32" s="664"/>
      <c r="U32" s="664"/>
      <c r="V32" s="664"/>
      <c r="W32" s="664"/>
      <c r="X32" s="664"/>
      <c r="Y32" s="664"/>
      <c r="Z32" s="664"/>
    </row>
    <row r="33" spans="1:26" ht="33.75" customHeight="1" x14ac:dyDescent="0.3">
      <c r="A33" s="638"/>
      <c r="B33" s="853"/>
      <c r="C33" s="669" t="str">
        <f>INDEX('Master sheet'!$A$1:$A$670,MATCH("A182",'Master sheet'!$AN$1:$AN$670,0))</f>
        <v xml:space="preserve">Int. Wall &amp; Ceiling Barrier, sheet / Partel / VARA PLUS / Moisture-variable / </v>
      </c>
      <c r="D33" s="15">
        <f>'USER INPUT SHEET'!$D$36</f>
        <v>0</v>
      </c>
      <c r="E33" s="16" t="str">
        <f>'USER INPUT SHEET'!$F$37</f>
        <v>m2</v>
      </c>
      <c r="F33" s="3">
        <v>1</v>
      </c>
      <c r="G33" s="670"/>
      <c r="H33" s="8"/>
      <c r="I33" s="92">
        <f t="shared" si="18"/>
        <v>0</v>
      </c>
      <c r="J33" s="93" t="str">
        <f t="shared" si="19"/>
        <v/>
      </c>
      <c r="K33" s="406">
        <f>$D33*$F33*VLOOKUP($C33,'Master sheet'!$A:$AL,13,FALSE)</f>
        <v>0</v>
      </c>
      <c r="L33" s="94">
        <f>$D33*$F33*VLOOKUP($C33,'Master sheet'!$A:$AL,27,FALSE)</f>
        <v>0</v>
      </c>
      <c r="M33" s="1552"/>
      <c r="N33" s="1552"/>
      <c r="O33" s="25" t="str">
        <f>_xlfn.IFNA(VLOOKUP($C33,'Master sheet'!$A:$AR,44,FALSE),"")&amp;""</f>
        <v/>
      </c>
      <c r="P33" s="707"/>
      <c r="Q33" s="240" t="str">
        <f t="shared" si="17"/>
        <v>CEILINGS</v>
      </c>
      <c r="R33" s="852" t="s">
        <v>4591</v>
      </c>
      <c r="S33" s="664"/>
      <c r="T33" s="664"/>
      <c r="U33" s="664"/>
      <c r="V33" s="664"/>
      <c r="W33" s="664"/>
      <c r="X33" s="664"/>
      <c r="Y33" s="664"/>
      <c r="Z33" s="664"/>
    </row>
    <row r="34" spans="1:26" ht="33.75" customHeight="1" x14ac:dyDescent="0.3">
      <c r="A34" s="638"/>
      <c r="B34" s="853"/>
      <c r="C34" s="669" t="str">
        <f>INDEX('Master sheet'!$A$1:$A$670,MATCH("A183",'Master sheet'!$AN$1:$AN$670,0))</f>
        <v>Int. Wall &amp; Ceiling Barrier, sheet / Rothoblaas / Clima Control 80 / Moisture-variable / 0.22 mm</v>
      </c>
      <c r="D34" s="15">
        <f>'USER INPUT SHEET'!$D$36</f>
        <v>0</v>
      </c>
      <c r="E34" s="16" t="str">
        <f>'USER INPUT SHEET'!$F$37</f>
        <v>m2</v>
      </c>
      <c r="F34" s="3">
        <v>1</v>
      </c>
      <c r="G34" s="670"/>
      <c r="H34" s="8"/>
      <c r="I34" s="92">
        <f t="shared" si="18"/>
        <v>0</v>
      </c>
      <c r="J34" s="93" t="str">
        <f t="shared" si="19"/>
        <v/>
      </c>
      <c r="K34" s="406">
        <f>$D34*$F34*VLOOKUP($C34,'Master sheet'!$A:$AL,13,FALSE)</f>
        <v>0</v>
      </c>
      <c r="L34" s="94">
        <f>$D34*$F34*VLOOKUP($C34,'Master sheet'!$A:$AL,27,FALSE)</f>
        <v>0</v>
      </c>
      <c r="M34" s="1552"/>
      <c r="N34" s="1552"/>
      <c r="O34" s="25" t="str">
        <f>_xlfn.IFNA(VLOOKUP($C34,'Master sheet'!$A:$AR,44,FALSE),"")&amp;""</f>
        <v/>
      </c>
      <c r="P34" s="707"/>
      <c r="Q34" s="240" t="str">
        <f t="shared" si="17"/>
        <v>CEILINGS</v>
      </c>
      <c r="R34" s="852" t="s">
        <v>4591</v>
      </c>
      <c r="S34" s="664"/>
      <c r="T34" s="664"/>
      <c r="U34" s="664"/>
      <c r="V34" s="664"/>
      <c r="W34" s="664"/>
      <c r="X34" s="664"/>
      <c r="Y34" s="664"/>
      <c r="Z34" s="664"/>
    </row>
    <row r="35" spans="1:26" ht="33.75" customHeight="1" x14ac:dyDescent="0.3">
      <c r="A35" s="638"/>
      <c r="B35" s="853"/>
      <c r="C35" s="669" t="str">
        <f>INDEX('Master sheet'!$A$1:$A$670,MATCH("A184",'Master sheet'!$AN$1:$AN$670,0))</f>
        <v>Int. Wall &amp; Ceiling Barrier, sheet / Rothoblaas / Vapor in NET 140 / Non-permeable / 0.15 mm</v>
      </c>
      <c r="D35" s="15">
        <f>'USER INPUT SHEET'!$D$36</f>
        <v>0</v>
      </c>
      <c r="E35" s="16" t="str">
        <f>'USER INPUT SHEET'!$F$37</f>
        <v>m2</v>
      </c>
      <c r="F35" s="3">
        <v>1</v>
      </c>
      <c r="G35" s="670"/>
      <c r="H35" s="8"/>
      <c r="I35" s="92">
        <f t="shared" si="18"/>
        <v>0</v>
      </c>
      <c r="J35" s="93" t="str">
        <f t="shared" si="19"/>
        <v/>
      </c>
      <c r="K35" s="406">
        <f>$D35*$F35*VLOOKUP($C35,'Master sheet'!$A:$AL,13,FALSE)</f>
        <v>0</v>
      </c>
      <c r="L35" s="94">
        <f>$D35*$F35*VLOOKUP($C35,'Master sheet'!$A:$AL,27,FALSE)</f>
        <v>0</v>
      </c>
      <c r="M35" s="1552"/>
      <c r="N35" s="1552"/>
      <c r="O35" s="25" t="str">
        <f>_xlfn.IFNA(VLOOKUP($C35,'Master sheet'!$A:$AR,44,FALSE),"")&amp;""</f>
        <v/>
      </c>
      <c r="P35" s="707"/>
      <c r="Q35" s="240" t="str">
        <f t="shared" si="17"/>
        <v>CEILINGS</v>
      </c>
      <c r="R35" s="852" t="s">
        <v>4591</v>
      </c>
      <c r="S35" s="664"/>
      <c r="T35" s="664"/>
      <c r="U35" s="664"/>
      <c r="V35" s="664"/>
      <c r="W35" s="664"/>
      <c r="X35" s="664"/>
      <c r="Y35" s="664"/>
      <c r="Z35" s="664"/>
    </row>
    <row r="36" spans="1:26" ht="33.75" customHeight="1" x14ac:dyDescent="0.3">
      <c r="A36" s="638"/>
      <c r="B36" s="853"/>
      <c r="C36" s="669" t="str">
        <f>INDEX('Master sheet'!$A$1:$A$670,MATCH("A185",'Master sheet'!$AN$1:$AN$670,0))</f>
        <v xml:space="preserve">Int. Wall &amp; Ceiling Barrier, sheet / SIGA / Majrex 200 / Moisture-variable / </v>
      </c>
      <c r="D36" s="15">
        <f>'USER INPUT SHEET'!$D$36</f>
        <v>0</v>
      </c>
      <c r="E36" s="16" t="str">
        <f>'USER INPUT SHEET'!$F$37</f>
        <v>m2</v>
      </c>
      <c r="F36" s="3">
        <v>1</v>
      </c>
      <c r="G36" s="670"/>
      <c r="H36" s="8"/>
      <c r="I36" s="92">
        <f t="shared" si="18"/>
        <v>0</v>
      </c>
      <c r="J36" s="93" t="str">
        <f t="shared" si="19"/>
        <v/>
      </c>
      <c r="K36" s="406">
        <f>$D36*$F36*VLOOKUP($C36,'Master sheet'!$A:$AL,13,FALSE)</f>
        <v>0</v>
      </c>
      <c r="L36" s="94">
        <f>$D36*$F36*VLOOKUP($C36,'Master sheet'!$A:$AL,27,FALSE)</f>
        <v>0</v>
      </c>
      <c r="M36" s="1552"/>
      <c r="N36" s="1552"/>
      <c r="O36" s="25" t="str">
        <f>_xlfn.IFNA(VLOOKUP($C36,'Master sheet'!$A:$AR,44,FALSE),"")&amp;""</f>
        <v/>
      </c>
      <c r="P36" s="707"/>
      <c r="Q36" s="240" t="str">
        <f t="shared" si="17"/>
        <v>CEILINGS</v>
      </c>
      <c r="R36" s="852" t="s">
        <v>4591</v>
      </c>
      <c r="S36" s="664"/>
      <c r="T36" s="664"/>
      <c r="U36" s="664"/>
      <c r="V36" s="664"/>
      <c r="W36" s="664"/>
      <c r="X36" s="664"/>
      <c r="Y36" s="664"/>
      <c r="Z36" s="664"/>
    </row>
    <row r="37" spans="1:26" ht="33.75" customHeight="1" x14ac:dyDescent="0.3">
      <c r="A37" s="638"/>
      <c r="B37" s="853"/>
      <c r="C37" s="669" t="str">
        <f>INDEX('Master sheet'!$A$1:$A$670,MATCH("A187",'Master sheet'!$AN$1:$AN$670,0))</f>
        <v>Barrier, sheet /  / Polyethylene sheet / 6 mil</v>
      </c>
      <c r="D37" s="15">
        <f>'USER INPUT SHEET'!$D$36</f>
        <v>0</v>
      </c>
      <c r="E37" s="16" t="str">
        <f>'USER INPUT SHEET'!$F$37</f>
        <v>m2</v>
      </c>
      <c r="F37" s="3">
        <v>1</v>
      </c>
      <c r="G37" s="670"/>
      <c r="H37" s="8"/>
      <c r="I37" s="92">
        <f t="shared" si="18"/>
        <v>0</v>
      </c>
      <c r="J37" s="93" t="str">
        <f t="shared" si="19"/>
        <v/>
      </c>
      <c r="K37" s="406">
        <f>$D37*$F37*VLOOKUP($C37,'Master sheet'!$A:$AL,13,FALSE)</f>
        <v>0</v>
      </c>
      <c r="L37" s="94">
        <f>$D37*$F37*VLOOKUP($C37,'Master sheet'!$A:$AL,27,FALSE)</f>
        <v>0</v>
      </c>
      <c r="M37" s="1552"/>
      <c r="N37" s="1552"/>
      <c r="O37" s="25" t="str">
        <f>_xlfn.IFNA(VLOOKUP($C37,'Master sheet'!$A:$AR,44,FALSE),"")&amp;""</f>
        <v/>
      </c>
      <c r="P37" s="707"/>
      <c r="Q37" s="240" t="str">
        <f t="shared" si="17"/>
        <v>CEILINGS</v>
      </c>
      <c r="R37" s="852" t="s">
        <v>4591</v>
      </c>
      <c r="S37" s="664"/>
      <c r="T37" s="664"/>
      <c r="U37" s="664"/>
      <c r="V37" s="664"/>
      <c r="W37" s="664"/>
      <c r="X37" s="664"/>
      <c r="Y37" s="664"/>
      <c r="Z37" s="664"/>
    </row>
    <row r="38" spans="1:26" s="624" customFormat="1" ht="22.8" x14ac:dyDescent="0.3">
      <c r="A38" s="854"/>
      <c r="B38" s="816"/>
      <c r="C38" s="669" t="str">
        <f>INDEX('Master sheet'!$A$1:$A$670,MATCH("A186",'Master sheet'!$AN$1:$AN$670,0))</f>
        <v>Barrier, sheet /  / Polyethylene sheet / 10 mil</v>
      </c>
      <c r="D38" s="15">
        <f>'USER INPUT SHEET'!$D$36</f>
        <v>0</v>
      </c>
      <c r="E38" s="16" t="str">
        <f>'USER INPUT SHEET'!$F$37</f>
        <v>m2</v>
      </c>
      <c r="F38" s="3">
        <v>1</v>
      </c>
      <c r="G38" s="670"/>
      <c r="H38" s="8"/>
      <c r="I38" s="92">
        <f t="shared" ref="I38" si="20">K38-L38</f>
        <v>0</v>
      </c>
      <c r="J38" s="93" t="str">
        <f t="shared" ref="J38" si="21">IF(H38=1,I38,"")</f>
        <v/>
      </c>
      <c r="K38" s="406">
        <f>$D38*$F38*VLOOKUP($C38,'Master sheet'!$A:$AL,13,FALSE)</f>
        <v>0</v>
      </c>
      <c r="L38" s="94">
        <f>$D38*$F38*VLOOKUP($C38,'Master sheet'!$A:$AL,27,FALSE)</f>
        <v>0</v>
      </c>
      <c r="M38" s="1552"/>
      <c r="N38" s="1552"/>
      <c r="O38" s="25" t="str">
        <f>_xlfn.IFNA(VLOOKUP($C38,'Master sheet'!$A:$AR,44,FALSE),"")&amp;""</f>
        <v/>
      </c>
      <c r="P38" s="707"/>
      <c r="Q38" s="240" t="str">
        <f t="shared" ref="Q38" si="22">D$1</f>
        <v>CEILINGS</v>
      </c>
      <c r="R38" s="852" t="s">
        <v>4591</v>
      </c>
      <c r="S38" s="664"/>
      <c r="T38" s="664"/>
      <c r="U38" s="638"/>
      <c r="V38" s="638"/>
      <c r="W38" s="638"/>
      <c r="X38" s="638"/>
      <c r="Y38" s="638"/>
      <c r="Z38" s="638"/>
    </row>
    <row r="39" spans="1:26" ht="15.75" customHeight="1" x14ac:dyDescent="0.3">
      <c r="A39" s="700"/>
      <c r="B39" s="700"/>
      <c r="C39" s="700"/>
      <c r="D39" s="701"/>
      <c r="E39" s="700"/>
      <c r="F39" s="328"/>
      <c r="G39" s="700"/>
      <c r="H39" s="700"/>
      <c r="I39" s="703"/>
      <c r="J39" s="704"/>
      <c r="K39" s="704"/>
      <c r="L39" s="704"/>
      <c r="M39" s="704"/>
      <c r="N39" s="704"/>
      <c r="O39" s="700"/>
      <c r="Q39" s="43"/>
      <c r="R39" s="725"/>
    </row>
    <row r="40" spans="1:26" ht="15.75" customHeight="1" x14ac:dyDescent="0.3">
      <c r="A40" s="700"/>
      <c r="B40" s="706" t="s">
        <v>4901</v>
      </c>
      <c r="C40" s="700"/>
      <c r="D40" s="701"/>
      <c r="E40" s="700"/>
      <c r="F40" s="328"/>
      <c r="G40" s="700"/>
      <c r="H40" s="700"/>
      <c r="I40" s="703"/>
      <c r="J40" s="704"/>
      <c r="K40" s="704"/>
      <c r="L40" s="704"/>
      <c r="M40" s="704"/>
      <c r="N40" s="704"/>
      <c r="O40" s="700"/>
    </row>
    <row r="41" spans="1:26" ht="15.75" customHeight="1" x14ac:dyDescent="0.3">
      <c r="A41" s="700"/>
      <c r="B41" s="706" t="s">
        <v>4900</v>
      </c>
      <c r="C41" s="700"/>
      <c r="D41" s="701"/>
      <c r="E41" s="700"/>
      <c r="F41" s="328"/>
      <c r="G41" s="700"/>
      <c r="H41" s="700"/>
      <c r="I41" s="703"/>
      <c r="J41" s="704"/>
      <c r="K41" s="704"/>
      <c r="L41" s="704"/>
      <c r="M41" s="704"/>
      <c r="N41" s="704"/>
      <c r="O41" s="700"/>
    </row>
    <row r="42" spans="1:26" ht="15.75" customHeight="1" x14ac:dyDescent="0.3">
      <c r="A42" s="700"/>
      <c r="B42" s="700"/>
      <c r="C42" s="700"/>
      <c r="D42" s="701"/>
      <c r="E42" s="700"/>
      <c r="F42" s="328"/>
      <c r="G42" s="700"/>
      <c r="H42" s="700"/>
      <c r="I42" s="703"/>
      <c r="J42" s="704"/>
      <c r="K42" s="704"/>
      <c r="L42" s="704"/>
      <c r="M42" s="704"/>
      <c r="N42" s="704"/>
      <c r="O42" s="700"/>
    </row>
    <row r="43" spans="1:26" ht="15.75" customHeight="1" x14ac:dyDescent="0.3">
      <c r="A43" s="700"/>
      <c r="B43" s="700"/>
      <c r="C43" s="700"/>
      <c r="D43" s="701"/>
      <c r="E43" s="700"/>
      <c r="F43" s="328"/>
      <c r="G43" s="700"/>
      <c r="H43" s="700"/>
      <c r="I43" s="703"/>
      <c r="J43" s="704"/>
      <c r="K43" s="704"/>
      <c r="L43" s="704"/>
      <c r="M43" s="704"/>
      <c r="N43" s="704"/>
      <c r="O43" s="700"/>
    </row>
    <row r="44" spans="1:26" ht="15.75" customHeight="1" x14ac:dyDescent="0.3">
      <c r="A44" s="700"/>
      <c r="B44" s="700"/>
      <c r="C44" s="700"/>
      <c r="D44" s="701"/>
      <c r="E44" s="700"/>
      <c r="F44" s="328"/>
      <c r="G44" s="700"/>
      <c r="H44" s="700"/>
      <c r="I44" s="703"/>
      <c r="J44" s="704"/>
      <c r="K44" s="704"/>
      <c r="L44" s="704"/>
      <c r="M44" s="704"/>
      <c r="N44" s="704"/>
      <c r="O44" s="700"/>
    </row>
    <row r="45" spans="1:26" ht="15.75" customHeight="1" x14ac:dyDescent="0.3">
      <c r="A45" s="700"/>
      <c r="B45" s="700"/>
      <c r="C45" s="700"/>
      <c r="D45" s="701"/>
      <c r="E45" s="700"/>
      <c r="F45" s="328"/>
      <c r="G45" s="700"/>
      <c r="H45" s="700"/>
      <c r="I45" s="703"/>
      <c r="J45" s="704"/>
      <c r="K45" s="704"/>
      <c r="L45" s="704"/>
      <c r="M45" s="704"/>
      <c r="N45" s="704"/>
      <c r="O45" s="700"/>
    </row>
    <row r="46" spans="1:26" ht="15.75" customHeight="1" x14ac:dyDescent="0.3">
      <c r="A46" s="700"/>
      <c r="B46" s="700"/>
      <c r="C46" s="700"/>
      <c r="D46" s="701"/>
      <c r="E46" s="700"/>
      <c r="F46" s="328"/>
      <c r="G46" s="700"/>
      <c r="H46" s="700"/>
      <c r="I46" s="703"/>
      <c r="J46" s="704"/>
      <c r="K46" s="704"/>
      <c r="L46" s="704"/>
      <c r="M46" s="704"/>
      <c r="N46" s="704"/>
      <c r="O46" s="700"/>
    </row>
    <row r="47" spans="1:26" ht="15.75" customHeight="1" x14ac:dyDescent="0.3">
      <c r="A47" s="700"/>
      <c r="B47" s="700"/>
      <c r="C47" s="700"/>
      <c r="D47" s="701"/>
      <c r="E47" s="700"/>
      <c r="F47" s="328"/>
      <c r="G47" s="700"/>
      <c r="H47" s="700"/>
      <c r="I47" s="703"/>
      <c r="J47" s="704"/>
      <c r="K47" s="704"/>
      <c r="L47" s="704"/>
      <c r="M47" s="704"/>
      <c r="N47" s="704"/>
      <c r="O47" s="700"/>
    </row>
    <row r="48" spans="1:26" ht="15.75" customHeight="1" x14ac:dyDescent="0.3">
      <c r="A48" s="700"/>
      <c r="B48" s="700"/>
      <c r="C48" s="700"/>
      <c r="D48" s="701"/>
      <c r="E48" s="700"/>
      <c r="F48" s="328"/>
      <c r="G48" s="700"/>
      <c r="H48" s="700"/>
      <c r="I48" s="703"/>
      <c r="J48" s="704"/>
      <c r="K48" s="704"/>
      <c r="L48" s="704"/>
      <c r="M48" s="704"/>
      <c r="N48" s="704"/>
      <c r="O48" s="700"/>
    </row>
    <row r="49" spans="1:15" ht="15.75" customHeight="1" x14ac:dyDescent="0.3">
      <c r="A49" s="700"/>
      <c r="B49" s="700"/>
      <c r="C49" s="700"/>
      <c r="D49" s="701"/>
      <c r="E49" s="700"/>
      <c r="F49" s="328"/>
      <c r="G49" s="700"/>
      <c r="H49" s="700"/>
      <c r="I49" s="703"/>
      <c r="J49" s="704"/>
      <c r="K49" s="704"/>
      <c r="L49" s="704"/>
      <c r="M49" s="704"/>
      <c r="N49" s="704"/>
      <c r="O49" s="700"/>
    </row>
    <row r="50" spans="1:15" ht="15.75" customHeight="1" x14ac:dyDescent="0.3">
      <c r="A50" s="700"/>
      <c r="B50" s="700"/>
      <c r="C50" s="700"/>
      <c r="D50" s="701"/>
      <c r="E50" s="700"/>
      <c r="F50" s="328"/>
      <c r="G50" s="700"/>
      <c r="H50" s="700"/>
      <c r="I50" s="703"/>
      <c r="J50" s="704"/>
      <c r="K50" s="704"/>
      <c r="L50" s="704"/>
      <c r="M50" s="704"/>
      <c r="N50" s="704"/>
      <c r="O50" s="700"/>
    </row>
    <row r="51" spans="1:15" ht="15.75" customHeight="1" x14ac:dyDescent="0.3">
      <c r="A51" s="700"/>
      <c r="B51" s="700"/>
      <c r="C51" s="700"/>
      <c r="D51" s="701"/>
      <c r="E51" s="700"/>
      <c r="F51" s="328"/>
      <c r="G51" s="700"/>
      <c r="H51" s="700"/>
      <c r="I51" s="703"/>
      <c r="J51" s="704"/>
      <c r="K51" s="704"/>
      <c r="L51" s="704"/>
      <c r="M51" s="704"/>
      <c r="N51" s="704"/>
      <c r="O51" s="700"/>
    </row>
    <row r="52" spans="1:15" ht="15.75" customHeight="1" x14ac:dyDescent="0.3">
      <c r="A52" s="700"/>
      <c r="B52" s="700"/>
      <c r="C52" s="700"/>
      <c r="D52" s="701"/>
      <c r="E52" s="700"/>
      <c r="F52" s="328"/>
      <c r="G52" s="700"/>
      <c r="H52" s="700"/>
      <c r="I52" s="703"/>
      <c r="J52" s="704"/>
      <c r="K52" s="704"/>
      <c r="L52" s="704"/>
      <c r="M52" s="704"/>
      <c r="N52" s="704"/>
      <c r="O52" s="700"/>
    </row>
    <row r="53" spans="1:15" ht="15.75" customHeight="1" x14ac:dyDescent="0.3">
      <c r="A53" s="700"/>
      <c r="B53" s="700"/>
      <c r="C53" s="700"/>
      <c r="D53" s="701"/>
      <c r="E53" s="700"/>
      <c r="F53" s="328"/>
      <c r="G53" s="700"/>
      <c r="H53" s="700"/>
      <c r="I53" s="703"/>
      <c r="J53" s="704"/>
      <c r="K53" s="704"/>
      <c r="L53" s="704"/>
      <c r="M53" s="704"/>
      <c r="N53" s="704"/>
      <c r="O53" s="700"/>
    </row>
    <row r="54" spans="1:15" ht="15.75" customHeight="1" x14ac:dyDescent="0.3">
      <c r="A54" s="700"/>
      <c r="B54" s="700"/>
      <c r="C54" s="700"/>
      <c r="D54" s="701"/>
      <c r="E54" s="700"/>
      <c r="F54" s="328"/>
      <c r="G54" s="700"/>
      <c r="H54" s="700"/>
      <c r="I54" s="703"/>
      <c r="J54" s="704"/>
      <c r="K54" s="704"/>
      <c r="L54" s="704"/>
      <c r="M54" s="704"/>
      <c r="N54" s="704"/>
      <c r="O54" s="700"/>
    </row>
    <row r="55" spans="1:15" ht="15.75" customHeight="1" x14ac:dyDescent="0.3">
      <c r="A55" s="700"/>
      <c r="B55" s="700"/>
      <c r="C55" s="700"/>
      <c r="D55" s="701"/>
      <c r="E55" s="700"/>
      <c r="F55" s="328"/>
      <c r="G55" s="700"/>
      <c r="H55" s="700"/>
      <c r="I55" s="703"/>
      <c r="J55" s="704"/>
      <c r="K55" s="704"/>
      <c r="L55" s="704"/>
      <c r="M55" s="704"/>
      <c r="N55" s="704"/>
      <c r="O55" s="700"/>
    </row>
    <row r="56" spans="1:15" ht="15.75" customHeight="1" x14ac:dyDescent="0.3">
      <c r="A56" s="700"/>
      <c r="B56" s="700"/>
      <c r="C56" s="700"/>
      <c r="D56" s="701"/>
      <c r="E56" s="700"/>
      <c r="F56" s="328"/>
      <c r="G56" s="700"/>
      <c r="H56" s="700"/>
      <c r="I56" s="703"/>
      <c r="J56" s="704"/>
      <c r="K56" s="704"/>
      <c r="L56" s="704"/>
      <c r="M56" s="704"/>
      <c r="N56" s="704"/>
      <c r="O56" s="700"/>
    </row>
    <row r="57" spans="1:15" ht="15.75" customHeight="1" x14ac:dyDescent="0.3">
      <c r="A57" s="700"/>
      <c r="B57" s="700"/>
      <c r="C57" s="700"/>
      <c r="D57" s="701"/>
      <c r="E57" s="700"/>
      <c r="F57" s="328"/>
      <c r="G57" s="700"/>
      <c r="H57" s="700"/>
      <c r="I57" s="703"/>
      <c r="J57" s="704"/>
      <c r="K57" s="704"/>
      <c r="L57" s="704"/>
      <c r="M57" s="704"/>
      <c r="N57" s="704"/>
      <c r="O57" s="700"/>
    </row>
    <row r="58" spans="1:15" ht="15.75" customHeight="1" x14ac:dyDescent="0.3">
      <c r="A58" s="700"/>
      <c r="B58" s="700"/>
      <c r="C58" s="700"/>
      <c r="D58" s="701"/>
      <c r="E58" s="700"/>
      <c r="F58" s="328"/>
      <c r="G58" s="700"/>
      <c r="H58" s="700"/>
      <c r="I58" s="703"/>
      <c r="J58" s="704"/>
      <c r="K58" s="704"/>
      <c r="L58" s="704"/>
      <c r="M58" s="704"/>
      <c r="N58" s="704"/>
      <c r="O58" s="700"/>
    </row>
    <row r="59" spans="1:15" ht="15.75" customHeight="1" x14ac:dyDescent="0.3">
      <c r="A59" s="700"/>
      <c r="B59" s="700"/>
      <c r="C59" s="700"/>
      <c r="D59" s="701"/>
      <c r="E59" s="700"/>
      <c r="F59" s="328"/>
      <c r="G59" s="700"/>
      <c r="H59" s="700"/>
      <c r="I59" s="703"/>
      <c r="J59" s="704"/>
      <c r="K59" s="704"/>
      <c r="L59" s="704"/>
      <c r="M59" s="704"/>
      <c r="N59" s="704"/>
      <c r="O59" s="700"/>
    </row>
    <row r="60" spans="1:15" ht="15.75" customHeight="1" x14ac:dyDescent="0.3">
      <c r="A60" s="700"/>
      <c r="B60" s="700"/>
      <c r="C60" s="700"/>
      <c r="D60" s="701"/>
      <c r="E60" s="700"/>
      <c r="F60" s="328"/>
      <c r="G60" s="700"/>
      <c r="H60" s="700"/>
      <c r="I60" s="703"/>
      <c r="J60" s="704"/>
      <c r="K60" s="704"/>
      <c r="L60" s="704"/>
      <c r="M60" s="704"/>
      <c r="N60" s="704"/>
      <c r="O60" s="700"/>
    </row>
    <row r="61" spans="1:15" ht="15.75" customHeight="1" x14ac:dyDescent="0.3">
      <c r="A61" s="700"/>
      <c r="B61" s="700"/>
      <c r="C61" s="700"/>
      <c r="D61" s="701"/>
      <c r="E61" s="700"/>
      <c r="F61" s="328"/>
      <c r="G61" s="700"/>
      <c r="H61" s="700"/>
      <c r="I61" s="703"/>
      <c r="J61" s="704"/>
      <c r="K61" s="704"/>
      <c r="L61" s="704"/>
      <c r="M61" s="704"/>
      <c r="N61" s="704"/>
      <c r="O61" s="700"/>
    </row>
    <row r="62" spans="1:15" ht="15.75" customHeight="1" x14ac:dyDescent="0.3">
      <c r="A62" s="700"/>
      <c r="B62" s="700"/>
      <c r="C62" s="700"/>
      <c r="D62" s="701"/>
      <c r="E62" s="700"/>
      <c r="F62" s="328"/>
      <c r="G62" s="700"/>
      <c r="H62" s="700"/>
      <c r="I62" s="703"/>
      <c r="J62" s="704"/>
      <c r="K62" s="704"/>
      <c r="L62" s="704"/>
      <c r="M62" s="704"/>
      <c r="N62" s="704"/>
      <c r="O62" s="700"/>
    </row>
    <row r="63" spans="1:15" ht="15.75" customHeight="1" x14ac:dyDescent="0.3">
      <c r="A63" s="700"/>
      <c r="B63" s="700"/>
      <c r="C63" s="700"/>
      <c r="D63" s="701"/>
      <c r="E63" s="700"/>
      <c r="F63" s="328"/>
      <c r="G63" s="700"/>
      <c r="H63" s="700"/>
      <c r="I63" s="703"/>
      <c r="J63" s="704"/>
      <c r="K63" s="704"/>
      <c r="L63" s="704"/>
      <c r="M63" s="704"/>
      <c r="N63" s="704"/>
      <c r="O63" s="700"/>
    </row>
    <row r="64" spans="1:15" ht="15.75" customHeight="1" x14ac:dyDescent="0.3">
      <c r="A64" s="700"/>
      <c r="B64" s="700"/>
      <c r="C64" s="700"/>
      <c r="D64" s="701"/>
      <c r="E64" s="700"/>
      <c r="F64" s="328"/>
      <c r="G64" s="700"/>
      <c r="H64" s="700"/>
      <c r="I64" s="703"/>
      <c r="J64" s="704"/>
      <c r="K64" s="704"/>
      <c r="L64" s="704"/>
      <c r="M64" s="704"/>
      <c r="N64" s="704"/>
      <c r="O64" s="700"/>
    </row>
    <row r="65" spans="1:15" ht="15.75" customHeight="1" x14ac:dyDescent="0.3">
      <c r="A65" s="700"/>
      <c r="B65" s="700"/>
      <c r="C65" s="700"/>
      <c r="D65" s="701"/>
      <c r="E65" s="700"/>
      <c r="F65" s="328"/>
      <c r="G65" s="700"/>
      <c r="H65" s="700"/>
      <c r="I65" s="703"/>
      <c r="J65" s="704"/>
      <c r="K65" s="704"/>
      <c r="L65" s="704"/>
      <c r="M65" s="704"/>
      <c r="N65" s="704"/>
      <c r="O65" s="700"/>
    </row>
    <row r="66" spans="1:15" ht="15.75" customHeight="1" x14ac:dyDescent="0.3">
      <c r="A66" s="700"/>
      <c r="B66" s="700"/>
      <c r="C66" s="700"/>
      <c r="D66" s="701"/>
      <c r="E66" s="700"/>
      <c r="F66" s="328"/>
      <c r="G66" s="700"/>
      <c r="H66" s="700"/>
      <c r="I66" s="703"/>
      <c r="J66" s="704"/>
      <c r="K66" s="704"/>
      <c r="L66" s="704"/>
      <c r="M66" s="704"/>
      <c r="N66" s="704"/>
      <c r="O66" s="700"/>
    </row>
    <row r="67" spans="1:15" ht="15.75" customHeight="1" x14ac:dyDescent="0.3">
      <c r="A67" s="700"/>
      <c r="B67" s="700"/>
      <c r="C67" s="700"/>
      <c r="D67" s="701"/>
      <c r="E67" s="700"/>
      <c r="F67" s="328"/>
      <c r="G67" s="700"/>
      <c r="H67" s="700"/>
      <c r="I67" s="703"/>
      <c r="J67" s="704"/>
      <c r="K67" s="704"/>
      <c r="L67" s="704"/>
      <c r="M67" s="704"/>
      <c r="N67" s="704"/>
      <c r="O67" s="700"/>
    </row>
    <row r="68" spans="1:15" ht="15.75" customHeight="1" x14ac:dyDescent="0.3">
      <c r="A68" s="700"/>
      <c r="B68" s="700"/>
      <c r="C68" s="700"/>
      <c r="D68" s="701"/>
      <c r="E68" s="700"/>
      <c r="F68" s="328"/>
      <c r="G68" s="700"/>
      <c r="H68" s="700"/>
      <c r="I68" s="703"/>
      <c r="J68" s="704"/>
      <c r="K68" s="704"/>
      <c r="L68" s="704"/>
      <c r="M68" s="704"/>
      <c r="N68" s="704"/>
      <c r="O68" s="700"/>
    </row>
    <row r="69" spans="1:15" ht="15.75" customHeight="1" x14ac:dyDescent="0.3">
      <c r="A69" s="700"/>
      <c r="B69" s="700"/>
      <c r="C69" s="700"/>
      <c r="D69" s="701"/>
      <c r="E69" s="700"/>
      <c r="F69" s="328"/>
      <c r="G69" s="700"/>
      <c r="H69" s="700"/>
      <c r="I69" s="703"/>
      <c r="J69" s="704"/>
      <c r="K69" s="704"/>
      <c r="L69" s="704"/>
      <c r="M69" s="704"/>
      <c r="N69" s="704"/>
      <c r="O69" s="700"/>
    </row>
    <row r="70" spans="1:15" ht="15.75" customHeight="1" x14ac:dyDescent="0.3">
      <c r="A70" s="700"/>
      <c r="B70" s="700"/>
      <c r="C70" s="700"/>
      <c r="D70" s="701"/>
      <c r="E70" s="700"/>
      <c r="F70" s="328"/>
      <c r="G70" s="700"/>
      <c r="H70" s="700"/>
      <c r="I70" s="703"/>
      <c r="J70" s="704"/>
      <c r="K70" s="704"/>
      <c r="L70" s="704"/>
      <c r="M70" s="704"/>
      <c r="N70" s="704"/>
      <c r="O70" s="700"/>
    </row>
    <row r="71" spans="1:15" ht="15.75" customHeight="1" x14ac:dyDescent="0.3">
      <c r="A71" s="700"/>
      <c r="B71" s="700"/>
      <c r="C71" s="700"/>
      <c r="D71" s="701"/>
      <c r="E71" s="700"/>
      <c r="F71" s="328"/>
      <c r="G71" s="700"/>
      <c r="H71" s="700"/>
      <c r="I71" s="703"/>
      <c r="J71" s="704"/>
      <c r="K71" s="704"/>
      <c r="L71" s="704"/>
      <c r="M71" s="704"/>
      <c r="N71" s="704"/>
      <c r="O71" s="700"/>
    </row>
    <row r="72" spans="1:15" ht="15.75" customHeight="1" x14ac:dyDescent="0.3">
      <c r="A72" s="700"/>
      <c r="B72" s="700"/>
      <c r="C72" s="700"/>
      <c r="D72" s="701"/>
      <c r="E72" s="700"/>
      <c r="F72" s="328"/>
      <c r="G72" s="700"/>
      <c r="H72" s="700"/>
      <c r="I72" s="703"/>
      <c r="J72" s="704"/>
      <c r="K72" s="704"/>
      <c r="L72" s="704"/>
      <c r="M72" s="704"/>
      <c r="N72" s="704"/>
      <c r="O72" s="700"/>
    </row>
    <row r="73" spans="1:15" ht="15.75" customHeight="1" x14ac:dyDescent="0.3">
      <c r="A73" s="700"/>
      <c r="B73" s="700"/>
      <c r="C73" s="700"/>
      <c r="D73" s="701"/>
      <c r="E73" s="700"/>
      <c r="F73" s="328"/>
      <c r="G73" s="700"/>
      <c r="H73" s="700"/>
      <c r="I73" s="703"/>
      <c r="J73" s="704"/>
      <c r="K73" s="704"/>
      <c r="L73" s="704"/>
      <c r="M73" s="704"/>
      <c r="N73" s="704"/>
      <c r="O73" s="700"/>
    </row>
    <row r="74" spans="1:15" ht="15.75" customHeight="1" x14ac:dyDescent="0.3">
      <c r="A74" s="700"/>
      <c r="B74" s="700"/>
      <c r="C74" s="700"/>
      <c r="D74" s="701"/>
      <c r="E74" s="700"/>
      <c r="F74" s="328"/>
      <c r="G74" s="700"/>
      <c r="H74" s="700"/>
      <c r="I74" s="703"/>
      <c r="J74" s="704"/>
      <c r="K74" s="704"/>
      <c r="L74" s="704"/>
      <c r="M74" s="704"/>
      <c r="N74" s="704"/>
      <c r="O74" s="700"/>
    </row>
    <row r="75" spans="1:15" ht="15.75" customHeight="1" x14ac:dyDescent="0.3">
      <c r="A75" s="700"/>
      <c r="B75" s="700"/>
      <c r="C75" s="700"/>
      <c r="D75" s="701"/>
      <c r="E75" s="700"/>
      <c r="F75" s="328"/>
      <c r="G75" s="700"/>
      <c r="H75" s="700"/>
      <c r="I75" s="703"/>
      <c r="J75" s="704"/>
      <c r="K75" s="704"/>
      <c r="L75" s="704"/>
      <c r="M75" s="704"/>
      <c r="N75" s="704"/>
      <c r="O75" s="700"/>
    </row>
    <row r="76" spans="1:15" ht="15.75" customHeight="1" x14ac:dyDescent="0.3">
      <c r="A76" s="700"/>
      <c r="B76" s="700"/>
      <c r="C76" s="700"/>
      <c r="D76" s="701"/>
      <c r="E76" s="700"/>
      <c r="F76" s="328"/>
      <c r="G76" s="700"/>
      <c r="H76" s="700"/>
      <c r="I76" s="703"/>
      <c r="J76" s="704"/>
      <c r="K76" s="704"/>
      <c r="L76" s="704"/>
      <c r="M76" s="704"/>
      <c r="N76" s="704"/>
      <c r="O76" s="700"/>
    </row>
    <row r="77" spans="1:15" ht="15.75" customHeight="1" x14ac:dyDescent="0.3">
      <c r="A77" s="700"/>
      <c r="B77" s="700"/>
      <c r="C77" s="700"/>
      <c r="D77" s="701"/>
      <c r="E77" s="700"/>
      <c r="F77" s="328"/>
      <c r="G77" s="700"/>
      <c r="H77" s="700"/>
      <c r="I77" s="703"/>
      <c r="J77" s="704"/>
      <c r="K77" s="704"/>
      <c r="L77" s="704"/>
      <c r="M77" s="704"/>
      <c r="N77" s="704"/>
      <c r="O77" s="700"/>
    </row>
    <row r="78" spans="1:15" ht="15.75" customHeight="1" x14ac:dyDescent="0.3">
      <c r="A78" s="700"/>
      <c r="B78" s="700"/>
      <c r="C78" s="700"/>
      <c r="D78" s="701"/>
      <c r="E78" s="700"/>
      <c r="F78" s="328"/>
      <c r="G78" s="700"/>
      <c r="H78" s="700"/>
      <c r="I78" s="703"/>
      <c r="J78" s="704"/>
      <c r="K78" s="704"/>
      <c r="L78" s="704"/>
      <c r="M78" s="704"/>
      <c r="N78" s="704"/>
      <c r="O78" s="700"/>
    </row>
    <row r="79" spans="1:15" ht="15.75" customHeight="1" x14ac:dyDescent="0.3">
      <c r="A79" s="700"/>
      <c r="B79" s="700"/>
      <c r="C79" s="700"/>
      <c r="D79" s="701"/>
      <c r="E79" s="700"/>
      <c r="F79" s="328"/>
      <c r="G79" s="700"/>
      <c r="H79" s="700"/>
      <c r="I79" s="703"/>
      <c r="J79" s="704"/>
      <c r="K79" s="704"/>
      <c r="L79" s="704"/>
      <c r="M79" s="704"/>
      <c r="N79" s="704"/>
      <c r="O79" s="700"/>
    </row>
    <row r="80" spans="1:15" ht="15.75" customHeight="1" x14ac:dyDescent="0.3">
      <c r="A80" s="700"/>
      <c r="B80" s="700"/>
      <c r="C80" s="700"/>
      <c r="D80" s="701"/>
      <c r="E80" s="700"/>
      <c r="F80" s="328"/>
      <c r="G80" s="700"/>
      <c r="H80" s="700"/>
      <c r="I80" s="703"/>
      <c r="J80" s="704"/>
      <c r="K80" s="704"/>
      <c r="L80" s="704"/>
      <c r="M80" s="704"/>
      <c r="N80" s="704"/>
      <c r="O80" s="700"/>
    </row>
    <row r="81" spans="1:15" ht="15.75" customHeight="1" x14ac:dyDescent="0.3">
      <c r="A81" s="700"/>
      <c r="B81" s="700"/>
      <c r="C81" s="700"/>
      <c r="D81" s="701"/>
      <c r="E81" s="700"/>
      <c r="F81" s="328"/>
      <c r="G81" s="700"/>
      <c r="H81" s="700"/>
      <c r="I81" s="703"/>
      <c r="J81" s="704"/>
      <c r="K81" s="704"/>
      <c r="L81" s="704"/>
      <c r="M81" s="704"/>
      <c r="N81" s="704"/>
      <c r="O81" s="700"/>
    </row>
    <row r="82" spans="1:15" ht="15.75" customHeight="1" x14ac:dyDescent="0.3">
      <c r="A82" s="700"/>
      <c r="B82" s="700"/>
      <c r="C82" s="700"/>
      <c r="D82" s="701"/>
      <c r="E82" s="700"/>
      <c r="F82" s="328"/>
      <c r="G82" s="700"/>
      <c r="H82" s="700"/>
      <c r="I82" s="703"/>
      <c r="J82" s="704"/>
      <c r="K82" s="704"/>
      <c r="L82" s="704"/>
      <c r="M82" s="704"/>
      <c r="N82" s="704"/>
      <c r="O82" s="700"/>
    </row>
    <row r="83" spans="1:15" ht="15.75" customHeight="1" x14ac:dyDescent="0.3">
      <c r="A83" s="700"/>
      <c r="B83" s="700"/>
      <c r="C83" s="700"/>
      <c r="D83" s="701"/>
      <c r="E83" s="700"/>
      <c r="F83" s="328"/>
      <c r="G83" s="700"/>
      <c r="H83" s="700"/>
      <c r="I83" s="703"/>
      <c r="J83" s="704"/>
      <c r="K83" s="704"/>
      <c r="L83" s="704"/>
      <c r="M83" s="704"/>
      <c r="N83" s="704"/>
      <c r="O83" s="700"/>
    </row>
    <row r="84" spans="1:15" ht="15.75" customHeight="1" x14ac:dyDescent="0.3">
      <c r="A84" s="700"/>
      <c r="B84" s="700"/>
      <c r="C84" s="700"/>
      <c r="D84" s="701"/>
      <c r="E84" s="700"/>
      <c r="F84" s="328"/>
      <c r="G84" s="700"/>
      <c r="H84" s="700"/>
      <c r="I84" s="703"/>
      <c r="J84" s="704"/>
      <c r="K84" s="704"/>
      <c r="L84" s="704"/>
      <c r="M84" s="704"/>
      <c r="N84" s="704"/>
      <c r="O84" s="700"/>
    </row>
    <row r="85" spans="1:15" ht="15.75" customHeight="1" x14ac:dyDescent="0.3">
      <c r="A85" s="700"/>
      <c r="B85" s="700"/>
      <c r="C85" s="700"/>
      <c r="D85" s="701"/>
      <c r="E85" s="700"/>
      <c r="F85" s="328"/>
      <c r="G85" s="700"/>
      <c r="H85" s="700"/>
      <c r="I85" s="703"/>
      <c r="J85" s="704"/>
      <c r="K85" s="704"/>
      <c r="L85" s="704"/>
      <c r="M85" s="704"/>
      <c r="N85" s="704"/>
      <c r="O85" s="700"/>
    </row>
    <row r="86" spans="1:15" ht="15.75" customHeight="1" x14ac:dyDescent="0.3">
      <c r="A86" s="700"/>
      <c r="B86" s="700"/>
      <c r="C86" s="700"/>
      <c r="D86" s="701"/>
      <c r="E86" s="700"/>
      <c r="F86" s="328"/>
      <c r="G86" s="700"/>
      <c r="H86" s="700"/>
      <c r="I86" s="703"/>
      <c r="J86" s="704"/>
      <c r="K86" s="704"/>
      <c r="L86" s="704"/>
      <c r="M86" s="704"/>
      <c r="N86" s="704"/>
      <c r="O86" s="700"/>
    </row>
    <row r="87" spans="1:15" ht="15.75" customHeight="1" x14ac:dyDescent="0.3">
      <c r="A87" s="700"/>
      <c r="B87" s="700"/>
      <c r="C87" s="700"/>
      <c r="D87" s="701"/>
      <c r="E87" s="700"/>
      <c r="F87" s="328"/>
      <c r="G87" s="700"/>
      <c r="H87" s="700"/>
      <c r="I87" s="703"/>
      <c r="J87" s="704"/>
      <c r="K87" s="704"/>
      <c r="L87" s="704"/>
      <c r="M87" s="704"/>
      <c r="N87" s="704"/>
      <c r="O87" s="700"/>
    </row>
    <row r="88" spans="1:15" ht="15.75" customHeight="1" x14ac:dyDescent="0.3">
      <c r="A88" s="700"/>
      <c r="B88" s="700"/>
      <c r="C88" s="700"/>
      <c r="D88" s="701"/>
      <c r="E88" s="700"/>
      <c r="F88" s="328"/>
      <c r="G88" s="700"/>
      <c r="H88" s="700"/>
      <c r="I88" s="703"/>
      <c r="J88" s="704"/>
      <c r="K88" s="704"/>
      <c r="L88" s="704"/>
      <c r="M88" s="704"/>
      <c r="N88" s="704"/>
      <c r="O88" s="700"/>
    </row>
    <row r="89" spans="1:15" ht="15.75" customHeight="1" x14ac:dyDescent="0.3">
      <c r="A89" s="700"/>
      <c r="B89" s="700"/>
      <c r="C89" s="700"/>
      <c r="D89" s="701"/>
      <c r="E89" s="700"/>
      <c r="F89" s="328"/>
      <c r="G89" s="700"/>
      <c r="H89" s="700"/>
      <c r="I89" s="703"/>
      <c r="J89" s="704"/>
      <c r="K89" s="704"/>
      <c r="L89" s="704"/>
      <c r="M89" s="704"/>
      <c r="N89" s="704"/>
      <c r="O89" s="700"/>
    </row>
    <row r="90" spans="1:15" ht="15.75" customHeight="1" x14ac:dyDescent="0.3">
      <c r="A90" s="700"/>
      <c r="B90" s="700"/>
      <c r="C90" s="700"/>
      <c r="D90" s="701"/>
      <c r="E90" s="700"/>
      <c r="F90" s="328"/>
      <c r="G90" s="700"/>
      <c r="H90" s="700"/>
      <c r="I90" s="703"/>
      <c r="J90" s="704"/>
      <c r="K90" s="704"/>
      <c r="L90" s="704"/>
      <c r="M90" s="704"/>
      <c r="N90" s="704"/>
      <c r="O90" s="700"/>
    </row>
    <row r="91" spans="1:15" ht="15.75" customHeight="1" x14ac:dyDescent="0.3">
      <c r="A91" s="700"/>
      <c r="B91" s="700"/>
      <c r="C91" s="700"/>
      <c r="D91" s="701"/>
      <c r="E91" s="700"/>
      <c r="F91" s="328"/>
      <c r="G91" s="700"/>
      <c r="H91" s="700"/>
      <c r="I91" s="703"/>
      <c r="J91" s="704"/>
      <c r="K91" s="704"/>
      <c r="L91" s="704"/>
      <c r="M91" s="704"/>
      <c r="N91" s="704"/>
      <c r="O91" s="700"/>
    </row>
    <row r="92" spans="1:15" ht="15.75" customHeight="1" x14ac:dyDescent="0.3">
      <c r="A92" s="700"/>
      <c r="B92" s="700"/>
      <c r="C92" s="700"/>
      <c r="D92" s="701"/>
      <c r="E92" s="700"/>
      <c r="F92" s="328"/>
      <c r="G92" s="700"/>
      <c r="H92" s="700"/>
      <c r="I92" s="703"/>
      <c r="J92" s="704"/>
      <c r="K92" s="704"/>
      <c r="L92" s="704"/>
      <c r="M92" s="704"/>
      <c r="N92" s="704"/>
      <c r="O92" s="700"/>
    </row>
    <row r="93" spans="1:15" ht="15.75" customHeight="1" x14ac:dyDescent="0.3">
      <c r="A93" s="700"/>
      <c r="B93" s="700"/>
      <c r="C93" s="700"/>
      <c r="D93" s="701"/>
      <c r="E93" s="700"/>
      <c r="F93" s="328"/>
      <c r="G93" s="700"/>
      <c r="H93" s="700"/>
      <c r="I93" s="703"/>
      <c r="J93" s="704"/>
      <c r="K93" s="704"/>
      <c r="L93" s="704"/>
      <c r="M93" s="704"/>
      <c r="N93" s="704"/>
      <c r="O93" s="700"/>
    </row>
    <row r="94" spans="1:15" ht="15.75" customHeight="1" x14ac:dyDescent="0.3">
      <c r="A94" s="700"/>
      <c r="B94" s="700"/>
      <c r="C94" s="700"/>
      <c r="D94" s="701"/>
      <c r="E94" s="700"/>
      <c r="F94" s="328"/>
      <c r="G94" s="700"/>
      <c r="H94" s="700"/>
      <c r="I94" s="703"/>
      <c r="J94" s="704"/>
      <c r="K94" s="704"/>
      <c r="L94" s="704"/>
      <c r="M94" s="704"/>
      <c r="N94" s="704"/>
      <c r="O94" s="700"/>
    </row>
    <row r="95" spans="1:15" ht="15.75" customHeight="1" x14ac:dyDescent="0.3">
      <c r="A95" s="700"/>
      <c r="B95" s="700"/>
      <c r="C95" s="700"/>
      <c r="D95" s="701"/>
      <c r="E95" s="700"/>
      <c r="F95" s="328"/>
      <c r="G95" s="700"/>
      <c r="H95" s="700"/>
      <c r="I95" s="703"/>
      <c r="J95" s="704"/>
      <c r="K95" s="704"/>
      <c r="L95" s="704"/>
      <c r="M95" s="704"/>
      <c r="N95" s="704"/>
      <c r="O95" s="700"/>
    </row>
    <row r="96" spans="1:15" ht="15.75" customHeight="1" x14ac:dyDescent="0.3">
      <c r="A96" s="700"/>
      <c r="B96" s="700"/>
      <c r="C96" s="700"/>
      <c r="D96" s="701"/>
      <c r="E96" s="700"/>
      <c r="F96" s="328"/>
      <c r="G96" s="700"/>
      <c r="H96" s="700"/>
      <c r="I96" s="703"/>
      <c r="J96" s="704"/>
      <c r="K96" s="704"/>
      <c r="L96" s="704"/>
      <c r="M96" s="704"/>
      <c r="N96" s="704"/>
      <c r="O96" s="700"/>
    </row>
    <row r="97" spans="1:15" ht="15.75" customHeight="1" x14ac:dyDescent="0.3">
      <c r="A97" s="700"/>
      <c r="B97" s="700"/>
      <c r="C97" s="700"/>
      <c r="D97" s="701"/>
      <c r="E97" s="700"/>
      <c r="F97" s="328"/>
      <c r="G97" s="700"/>
      <c r="H97" s="700"/>
      <c r="I97" s="703"/>
      <c r="J97" s="704"/>
      <c r="K97" s="704"/>
      <c r="L97" s="704"/>
      <c r="M97" s="704"/>
      <c r="N97" s="704"/>
      <c r="O97" s="700"/>
    </row>
    <row r="98" spans="1:15" ht="15.75" customHeight="1" x14ac:dyDescent="0.3">
      <c r="A98" s="700"/>
      <c r="B98" s="700"/>
      <c r="C98" s="700"/>
      <c r="D98" s="701"/>
      <c r="E98" s="700"/>
      <c r="F98" s="328"/>
      <c r="G98" s="700"/>
      <c r="H98" s="700"/>
      <c r="I98" s="703"/>
      <c r="J98" s="704"/>
      <c r="K98" s="704"/>
      <c r="L98" s="704"/>
      <c r="M98" s="704"/>
      <c r="N98" s="704"/>
      <c r="O98" s="700"/>
    </row>
    <row r="99" spans="1:15" ht="15.75" customHeight="1" x14ac:dyDescent="0.3">
      <c r="A99" s="700"/>
      <c r="B99" s="700"/>
      <c r="C99" s="700"/>
      <c r="D99" s="701"/>
      <c r="E99" s="700"/>
      <c r="F99" s="328"/>
      <c r="G99" s="700"/>
      <c r="H99" s="700"/>
      <c r="I99" s="703"/>
      <c r="J99" s="704"/>
      <c r="K99" s="704"/>
      <c r="L99" s="704"/>
      <c r="M99" s="704"/>
      <c r="N99" s="704"/>
      <c r="O99" s="700"/>
    </row>
    <row r="100" spans="1:15" ht="15.75" customHeight="1" x14ac:dyDescent="0.3">
      <c r="A100" s="700"/>
      <c r="B100" s="700"/>
      <c r="C100" s="700"/>
      <c r="D100" s="701"/>
      <c r="E100" s="700"/>
      <c r="F100" s="328"/>
      <c r="G100" s="700"/>
      <c r="H100" s="700"/>
      <c r="I100" s="703"/>
      <c r="J100" s="704"/>
      <c r="K100" s="704"/>
      <c r="L100" s="704"/>
      <c r="M100" s="704"/>
      <c r="N100" s="704"/>
      <c r="O100" s="700"/>
    </row>
    <row r="101" spans="1:15" ht="15.75" customHeight="1" x14ac:dyDescent="0.3">
      <c r="A101" s="700"/>
      <c r="B101" s="700"/>
      <c r="C101" s="700"/>
      <c r="D101" s="701"/>
      <c r="E101" s="700"/>
      <c r="F101" s="328"/>
      <c r="G101" s="700"/>
      <c r="H101" s="700"/>
      <c r="I101" s="703"/>
      <c r="J101" s="704"/>
      <c r="K101" s="704"/>
      <c r="L101" s="704"/>
      <c r="M101" s="704"/>
      <c r="N101" s="704"/>
      <c r="O101" s="700"/>
    </row>
    <row r="102" spans="1:15" ht="15.75" customHeight="1" x14ac:dyDescent="0.3">
      <c r="A102" s="700"/>
      <c r="B102" s="700"/>
      <c r="C102" s="700"/>
      <c r="D102" s="701"/>
      <c r="E102" s="700"/>
      <c r="F102" s="328"/>
      <c r="G102" s="700"/>
      <c r="H102" s="700"/>
      <c r="I102" s="703"/>
      <c r="J102" s="704"/>
      <c r="K102" s="704"/>
      <c r="L102" s="704"/>
      <c r="M102" s="704"/>
      <c r="N102" s="704"/>
      <c r="O102" s="700"/>
    </row>
    <row r="103" spans="1:15" ht="15.75" customHeight="1" x14ac:dyDescent="0.3">
      <c r="A103" s="700"/>
      <c r="B103" s="700"/>
      <c r="C103" s="700"/>
      <c r="D103" s="701"/>
      <c r="E103" s="700"/>
      <c r="F103" s="328"/>
      <c r="G103" s="700"/>
      <c r="H103" s="700"/>
      <c r="I103" s="703"/>
      <c r="J103" s="704"/>
      <c r="K103" s="704"/>
      <c r="L103" s="704"/>
      <c r="M103" s="704"/>
      <c r="N103" s="704"/>
      <c r="O103" s="700"/>
    </row>
    <row r="104" spans="1:15" ht="15.75" customHeight="1" x14ac:dyDescent="0.3">
      <c r="A104" s="700"/>
      <c r="B104" s="700"/>
      <c r="C104" s="700"/>
      <c r="D104" s="701"/>
      <c r="E104" s="700"/>
      <c r="F104" s="328"/>
      <c r="G104" s="700"/>
      <c r="H104" s="700"/>
      <c r="I104" s="703"/>
      <c r="J104" s="704"/>
      <c r="K104" s="704"/>
      <c r="L104" s="704"/>
      <c r="M104" s="704"/>
      <c r="N104" s="704"/>
      <c r="O104" s="700"/>
    </row>
    <row r="105" spans="1:15" ht="15.75" customHeight="1" x14ac:dyDescent="0.3">
      <c r="A105" s="700"/>
      <c r="B105" s="700"/>
      <c r="C105" s="700"/>
      <c r="D105" s="701"/>
      <c r="E105" s="700"/>
      <c r="F105" s="328"/>
      <c r="G105" s="700"/>
      <c r="H105" s="700"/>
      <c r="I105" s="703"/>
      <c r="J105" s="704"/>
      <c r="K105" s="704"/>
      <c r="L105" s="704"/>
      <c r="M105" s="704"/>
      <c r="N105" s="704"/>
      <c r="O105" s="700"/>
    </row>
    <row r="106" spans="1:15" ht="15.75" customHeight="1" x14ac:dyDescent="0.3">
      <c r="A106" s="700"/>
      <c r="B106" s="700"/>
      <c r="C106" s="700"/>
      <c r="D106" s="701"/>
      <c r="E106" s="700"/>
      <c r="F106" s="328"/>
      <c r="G106" s="700"/>
      <c r="H106" s="700"/>
      <c r="I106" s="703"/>
      <c r="J106" s="704"/>
      <c r="K106" s="704"/>
      <c r="L106" s="704"/>
      <c r="M106" s="704"/>
      <c r="N106" s="704"/>
      <c r="O106" s="700"/>
    </row>
    <row r="107" spans="1:15" ht="15.75" customHeight="1" x14ac:dyDescent="0.3">
      <c r="A107" s="700"/>
      <c r="B107" s="700"/>
      <c r="C107" s="700"/>
      <c r="D107" s="701"/>
      <c r="E107" s="700"/>
      <c r="F107" s="328"/>
      <c r="G107" s="700"/>
      <c r="H107" s="700"/>
      <c r="I107" s="703"/>
      <c r="J107" s="704"/>
      <c r="K107" s="704"/>
      <c r="L107" s="704"/>
      <c r="M107" s="704"/>
      <c r="N107" s="704"/>
      <c r="O107" s="700"/>
    </row>
    <row r="108" spans="1:15" ht="15.75" customHeight="1" x14ac:dyDescent="0.3">
      <c r="A108" s="700"/>
      <c r="B108" s="700"/>
      <c r="C108" s="700"/>
      <c r="D108" s="701"/>
      <c r="E108" s="700"/>
      <c r="F108" s="328"/>
      <c r="G108" s="700"/>
      <c r="H108" s="700"/>
      <c r="I108" s="703"/>
      <c r="J108" s="704"/>
      <c r="K108" s="704"/>
      <c r="L108" s="704"/>
      <c r="M108" s="704"/>
      <c r="N108" s="704"/>
      <c r="O108" s="700"/>
    </row>
    <row r="109" spans="1:15" ht="15.75" customHeight="1" x14ac:dyDescent="0.3">
      <c r="A109" s="700"/>
      <c r="B109" s="700"/>
      <c r="C109" s="700"/>
      <c r="D109" s="701"/>
      <c r="E109" s="700"/>
      <c r="F109" s="328"/>
      <c r="G109" s="700"/>
      <c r="H109" s="700"/>
      <c r="I109" s="703"/>
      <c r="J109" s="704"/>
      <c r="K109" s="704"/>
      <c r="L109" s="704"/>
      <c r="M109" s="704"/>
      <c r="N109" s="704"/>
      <c r="O109" s="700"/>
    </row>
    <row r="110" spans="1:15" ht="15.75" customHeight="1" x14ac:dyDescent="0.3">
      <c r="A110" s="700"/>
      <c r="B110" s="700"/>
      <c r="C110" s="700"/>
      <c r="D110" s="701"/>
      <c r="E110" s="700"/>
      <c r="F110" s="328"/>
      <c r="G110" s="700"/>
      <c r="H110" s="700"/>
      <c r="I110" s="703"/>
      <c r="J110" s="704"/>
      <c r="K110" s="704"/>
      <c r="L110" s="704"/>
      <c r="M110" s="704"/>
      <c r="N110" s="704"/>
      <c r="O110" s="700"/>
    </row>
    <row r="111" spans="1:15" ht="15.75" customHeight="1" x14ac:dyDescent="0.3">
      <c r="A111" s="700"/>
      <c r="B111" s="700"/>
      <c r="C111" s="700"/>
      <c r="D111" s="701"/>
      <c r="E111" s="700"/>
      <c r="F111" s="328"/>
      <c r="G111" s="700"/>
      <c r="H111" s="700"/>
      <c r="I111" s="703"/>
      <c r="J111" s="704"/>
      <c r="K111" s="704"/>
      <c r="L111" s="704"/>
      <c r="M111" s="704"/>
      <c r="N111" s="704"/>
      <c r="O111" s="700"/>
    </row>
    <row r="112" spans="1:15" ht="15.75" customHeight="1" x14ac:dyDescent="0.3">
      <c r="A112" s="700"/>
      <c r="B112" s="700"/>
      <c r="C112" s="700"/>
      <c r="D112" s="701"/>
      <c r="E112" s="700"/>
      <c r="F112" s="328"/>
      <c r="G112" s="700"/>
      <c r="H112" s="700"/>
      <c r="I112" s="703"/>
      <c r="J112" s="704"/>
      <c r="K112" s="704"/>
      <c r="L112" s="704"/>
      <c r="M112" s="704"/>
      <c r="N112" s="704"/>
      <c r="O112" s="700"/>
    </row>
    <row r="113" spans="1:15" ht="15.75" customHeight="1" x14ac:dyDescent="0.3">
      <c r="A113" s="700"/>
      <c r="B113" s="700"/>
      <c r="C113" s="700"/>
      <c r="D113" s="701"/>
      <c r="E113" s="700"/>
      <c r="F113" s="328"/>
      <c r="G113" s="700"/>
      <c r="H113" s="700"/>
      <c r="I113" s="703"/>
      <c r="J113" s="704"/>
      <c r="K113" s="704"/>
      <c r="L113" s="704"/>
      <c r="M113" s="704"/>
      <c r="N113" s="704"/>
      <c r="O113" s="700"/>
    </row>
    <row r="114" spans="1:15" ht="15.75" customHeight="1" x14ac:dyDescent="0.3">
      <c r="A114" s="700"/>
      <c r="B114" s="700"/>
      <c r="C114" s="700"/>
      <c r="D114" s="701"/>
      <c r="E114" s="700"/>
      <c r="F114" s="328"/>
      <c r="G114" s="700"/>
      <c r="H114" s="700"/>
      <c r="I114" s="703"/>
      <c r="J114" s="704"/>
      <c r="K114" s="704"/>
      <c r="L114" s="704"/>
      <c r="M114" s="704"/>
      <c r="N114" s="704"/>
      <c r="O114" s="700"/>
    </row>
    <row r="115" spans="1:15" ht="15.75" customHeight="1" x14ac:dyDescent="0.3">
      <c r="A115" s="700"/>
      <c r="B115" s="700"/>
      <c r="C115" s="700"/>
      <c r="D115" s="701"/>
      <c r="E115" s="700"/>
      <c r="F115" s="328"/>
      <c r="G115" s="700"/>
      <c r="H115" s="700"/>
      <c r="I115" s="703"/>
      <c r="J115" s="704"/>
      <c r="K115" s="704"/>
      <c r="L115" s="704"/>
      <c r="M115" s="704"/>
      <c r="N115" s="704"/>
      <c r="O115" s="700"/>
    </row>
    <row r="116" spans="1:15" ht="15.75" customHeight="1" x14ac:dyDescent="0.3">
      <c r="A116" s="700"/>
      <c r="B116" s="700"/>
      <c r="C116" s="700"/>
      <c r="D116" s="701"/>
      <c r="E116" s="700"/>
      <c r="F116" s="328"/>
      <c r="G116" s="700"/>
      <c r="H116" s="700"/>
      <c r="I116" s="703"/>
      <c r="J116" s="704"/>
      <c r="K116" s="704"/>
      <c r="L116" s="704"/>
      <c r="M116" s="704"/>
      <c r="N116" s="704"/>
      <c r="O116" s="700"/>
    </row>
    <row r="117" spans="1:15" ht="15.75" customHeight="1" x14ac:dyDescent="0.3">
      <c r="A117" s="700"/>
      <c r="B117" s="700"/>
      <c r="C117" s="700"/>
      <c r="D117" s="701"/>
      <c r="E117" s="700"/>
      <c r="F117" s="328"/>
      <c r="G117" s="700"/>
      <c r="H117" s="700"/>
      <c r="I117" s="703"/>
      <c r="J117" s="704"/>
      <c r="K117" s="704"/>
      <c r="L117" s="704"/>
      <c r="M117" s="704"/>
      <c r="N117" s="704"/>
      <c r="O117" s="700"/>
    </row>
    <row r="118" spans="1:15" ht="15.75" customHeight="1" x14ac:dyDescent="0.3">
      <c r="A118" s="700"/>
      <c r="B118" s="700"/>
      <c r="C118" s="700"/>
      <c r="D118" s="701"/>
      <c r="E118" s="700"/>
      <c r="F118" s="328"/>
      <c r="G118" s="700"/>
      <c r="H118" s="700"/>
      <c r="I118" s="703"/>
      <c r="J118" s="704"/>
      <c r="K118" s="704"/>
      <c r="L118" s="704"/>
      <c r="M118" s="704"/>
      <c r="N118" s="704"/>
      <c r="O118" s="700"/>
    </row>
    <row r="119" spans="1:15" ht="15.75" customHeight="1" x14ac:dyDescent="0.3">
      <c r="A119" s="700"/>
      <c r="B119" s="700"/>
      <c r="C119" s="700"/>
      <c r="D119" s="701"/>
      <c r="E119" s="700"/>
      <c r="F119" s="328"/>
      <c r="G119" s="700"/>
      <c r="H119" s="700"/>
      <c r="I119" s="703"/>
      <c r="J119" s="704"/>
      <c r="K119" s="704"/>
      <c r="L119" s="704"/>
      <c r="M119" s="704"/>
      <c r="N119" s="704"/>
      <c r="O119" s="700"/>
    </row>
    <row r="120" spans="1:15" ht="15.75" customHeight="1" x14ac:dyDescent="0.3">
      <c r="A120" s="700"/>
      <c r="B120" s="700"/>
      <c r="C120" s="700"/>
      <c r="D120" s="701"/>
      <c r="E120" s="700"/>
      <c r="F120" s="328"/>
      <c r="G120" s="700"/>
      <c r="H120" s="700"/>
      <c r="I120" s="703"/>
      <c r="J120" s="704"/>
      <c r="K120" s="704"/>
      <c r="L120" s="704"/>
      <c r="M120" s="704"/>
      <c r="N120" s="704"/>
      <c r="O120" s="700"/>
    </row>
    <row r="121" spans="1:15" ht="15.75" customHeight="1" x14ac:dyDescent="0.3">
      <c r="A121" s="700"/>
      <c r="B121" s="700"/>
      <c r="C121" s="700"/>
      <c r="D121" s="701"/>
      <c r="E121" s="700"/>
      <c r="F121" s="328"/>
      <c r="G121" s="700"/>
      <c r="H121" s="700"/>
      <c r="I121" s="703"/>
      <c r="J121" s="704"/>
      <c r="K121" s="704"/>
      <c r="L121" s="704"/>
      <c r="M121" s="704"/>
      <c r="N121" s="704"/>
      <c r="O121" s="700"/>
    </row>
    <row r="122" spans="1:15" ht="15.75" customHeight="1" x14ac:dyDescent="0.3">
      <c r="A122" s="700"/>
      <c r="B122" s="700"/>
      <c r="C122" s="700"/>
      <c r="D122" s="701"/>
      <c r="E122" s="700"/>
      <c r="F122" s="328"/>
      <c r="G122" s="700"/>
      <c r="H122" s="700"/>
      <c r="I122" s="703"/>
      <c r="J122" s="704"/>
      <c r="K122" s="704"/>
      <c r="L122" s="704"/>
      <c r="M122" s="704"/>
      <c r="N122" s="704"/>
      <c r="O122" s="700"/>
    </row>
    <row r="123" spans="1:15" ht="15.75" customHeight="1" x14ac:dyDescent="0.3">
      <c r="A123" s="700"/>
      <c r="B123" s="700"/>
      <c r="C123" s="700"/>
      <c r="D123" s="701"/>
      <c r="E123" s="700"/>
      <c r="F123" s="328"/>
      <c r="G123" s="700"/>
      <c r="H123" s="700"/>
      <c r="I123" s="703"/>
      <c r="J123" s="704"/>
      <c r="K123" s="704"/>
      <c r="L123" s="704"/>
      <c r="M123" s="704"/>
      <c r="N123" s="704"/>
      <c r="O123" s="700"/>
    </row>
    <row r="124" spans="1:15" ht="15.75" customHeight="1" x14ac:dyDescent="0.3">
      <c r="A124" s="700"/>
      <c r="B124" s="700"/>
      <c r="C124" s="700"/>
      <c r="D124" s="701"/>
      <c r="E124" s="700"/>
      <c r="F124" s="328"/>
      <c r="G124" s="700"/>
      <c r="H124" s="700"/>
      <c r="I124" s="703"/>
      <c r="J124" s="704"/>
      <c r="K124" s="704"/>
      <c r="L124" s="704"/>
      <c r="M124" s="704"/>
      <c r="N124" s="704"/>
      <c r="O124" s="700"/>
    </row>
    <row r="125" spans="1:15" ht="15.75" customHeight="1" x14ac:dyDescent="0.3">
      <c r="A125" s="700"/>
      <c r="B125" s="700"/>
      <c r="C125" s="700"/>
      <c r="D125" s="701"/>
      <c r="E125" s="700"/>
      <c r="F125" s="328"/>
      <c r="G125" s="700"/>
      <c r="H125" s="700"/>
      <c r="I125" s="703"/>
      <c r="J125" s="704"/>
      <c r="K125" s="704"/>
      <c r="L125" s="704"/>
      <c r="M125" s="704"/>
      <c r="N125" s="704"/>
      <c r="O125" s="700"/>
    </row>
    <row r="126" spans="1:15" ht="15.75" customHeight="1" x14ac:dyDescent="0.3">
      <c r="A126" s="700"/>
      <c r="B126" s="700"/>
      <c r="C126" s="700"/>
      <c r="D126" s="701"/>
      <c r="E126" s="700"/>
      <c r="F126" s="328"/>
      <c r="G126" s="700"/>
      <c r="H126" s="700"/>
      <c r="I126" s="703"/>
      <c r="J126" s="704"/>
      <c r="K126" s="704"/>
      <c r="L126" s="704"/>
      <c r="M126" s="704"/>
      <c r="N126" s="704"/>
      <c r="O126" s="700"/>
    </row>
    <row r="127" spans="1:15" ht="15.75" customHeight="1" x14ac:dyDescent="0.3">
      <c r="A127" s="700"/>
      <c r="B127" s="700"/>
      <c r="C127" s="700"/>
      <c r="D127" s="701"/>
      <c r="E127" s="700"/>
      <c r="F127" s="328"/>
      <c r="G127" s="700"/>
      <c r="H127" s="700"/>
      <c r="I127" s="703"/>
      <c r="J127" s="704"/>
      <c r="K127" s="704"/>
      <c r="L127" s="704"/>
      <c r="M127" s="704"/>
      <c r="N127" s="704"/>
      <c r="O127" s="700"/>
    </row>
    <row r="128" spans="1:15" ht="15.75" customHeight="1" x14ac:dyDescent="0.3">
      <c r="A128" s="700"/>
      <c r="B128" s="700"/>
      <c r="C128" s="700"/>
      <c r="D128" s="701"/>
      <c r="E128" s="700"/>
      <c r="F128" s="328"/>
      <c r="G128" s="700"/>
      <c r="H128" s="700"/>
      <c r="I128" s="703"/>
      <c r="J128" s="704"/>
      <c r="K128" s="704"/>
      <c r="L128" s="704"/>
      <c r="M128" s="704"/>
      <c r="N128" s="704"/>
      <c r="O128" s="700"/>
    </row>
    <row r="129" spans="1:15" ht="15.75" customHeight="1" x14ac:dyDescent="0.3">
      <c r="A129" s="700"/>
      <c r="B129" s="700"/>
      <c r="C129" s="700"/>
      <c r="D129" s="701"/>
      <c r="E129" s="700"/>
      <c r="F129" s="328"/>
      <c r="G129" s="700"/>
      <c r="H129" s="700"/>
      <c r="I129" s="703"/>
      <c r="J129" s="704"/>
      <c r="K129" s="704"/>
      <c r="L129" s="704"/>
      <c r="M129" s="704"/>
      <c r="N129" s="704"/>
      <c r="O129" s="700"/>
    </row>
    <row r="130" spans="1:15" ht="15.75" customHeight="1" x14ac:dyDescent="0.3">
      <c r="A130" s="700"/>
      <c r="B130" s="700"/>
      <c r="C130" s="700"/>
      <c r="D130" s="701"/>
      <c r="E130" s="700"/>
      <c r="F130" s="328"/>
      <c r="G130" s="700"/>
      <c r="H130" s="700"/>
      <c r="I130" s="703"/>
      <c r="J130" s="704"/>
      <c r="K130" s="704"/>
      <c r="L130" s="704"/>
      <c r="M130" s="704"/>
      <c r="N130" s="704"/>
      <c r="O130" s="700"/>
    </row>
    <row r="131" spans="1:15" ht="15.75" customHeight="1" x14ac:dyDescent="0.3">
      <c r="A131" s="700"/>
      <c r="B131" s="700"/>
      <c r="C131" s="700"/>
      <c r="D131" s="701"/>
      <c r="E131" s="700"/>
      <c r="F131" s="328"/>
      <c r="G131" s="700"/>
      <c r="H131" s="700"/>
      <c r="I131" s="703"/>
      <c r="J131" s="704"/>
      <c r="K131" s="704"/>
      <c r="L131" s="704"/>
      <c r="M131" s="704"/>
      <c r="N131" s="704"/>
      <c r="O131" s="700"/>
    </row>
    <row r="132" spans="1:15" ht="15.75" customHeight="1" x14ac:dyDescent="0.3">
      <c r="A132" s="700"/>
      <c r="B132" s="700"/>
      <c r="C132" s="700"/>
      <c r="D132" s="701"/>
      <c r="E132" s="700"/>
      <c r="F132" s="328"/>
      <c r="G132" s="700"/>
      <c r="H132" s="700"/>
      <c r="I132" s="703"/>
      <c r="J132" s="704"/>
      <c r="K132" s="704"/>
      <c r="L132" s="704"/>
      <c r="M132" s="704"/>
      <c r="N132" s="704"/>
      <c r="O132" s="700"/>
    </row>
    <row r="133" spans="1:15" ht="15.75" customHeight="1" x14ac:dyDescent="0.3">
      <c r="A133" s="700"/>
      <c r="B133" s="700"/>
      <c r="C133" s="700"/>
      <c r="D133" s="701"/>
      <c r="E133" s="700"/>
      <c r="F133" s="328"/>
      <c r="G133" s="700"/>
      <c r="H133" s="700"/>
      <c r="I133" s="703"/>
      <c r="J133" s="704"/>
      <c r="K133" s="704"/>
      <c r="L133" s="704"/>
      <c r="M133" s="704"/>
      <c r="N133" s="704"/>
      <c r="O133" s="700"/>
    </row>
    <row r="134" spans="1:15" ht="15.75" customHeight="1" x14ac:dyDescent="0.3">
      <c r="A134" s="700"/>
      <c r="B134" s="700"/>
      <c r="C134" s="700"/>
      <c r="D134" s="701"/>
      <c r="E134" s="700"/>
      <c r="F134" s="328"/>
      <c r="G134" s="700"/>
      <c r="H134" s="700"/>
      <c r="I134" s="703"/>
      <c r="J134" s="704"/>
      <c r="K134" s="704"/>
      <c r="L134" s="704"/>
      <c r="M134" s="704"/>
      <c r="N134" s="704"/>
      <c r="O134" s="700"/>
    </row>
    <row r="135" spans="1:15" ht="15.75" customHeight="1" x14ac:dyDescent="0.3">
      <c r="A135" s="700"/>
      <c r="B135" s="700"/>
      <c r="C135" s="700"/>
      <c r="D135" s="701"/>
      <c r="E135" s="700"/>
      <c r="F135" s="328"/>
      <c r="G135" s="700"/>
      <c r="H135" s="700"/>
      <c r="I135" s="703"/>
      <c r="J135" s="704"/>
      <c r="K135" s="704"/>
      <c r="L135" s="704"/>
      <c r="M135" s="704"/>
      <c r="N135" s="704"/>
      <c r="O135" s="700"/>
    </row>
    <row r="136" spans="1:15" ht="15.75" customHeight="1" x14ac:dyDescent="0.3">
      <c r="A136" s="700"/>
      <c r="B136" s="700"/>
      <c r="C136" s="700"/>
      <c r="D136" s="701"/>
      <c r="E136" s="700"/>
      <c r="F136" s="328"/>
      <c r="G136" s="700"/>
      <c r="H136" s="700"/>
      <c r="I136" s="703"/>
      <c r="J136" s="704"/>
      <c r="K136" s="704"/>
      <c r="L136" s="704"/>
      <c r="M136" s="704"/>
      <c r="N136" s="704"/>
      <c r="O136" s="700"/>
    </row>
    <row r="137" spans="1:15" ht="15.75" customHeight="1" x14ac:dyDescent="0.3">
      <c r="A137" s="700"/>
      <c r="B137" s="700"/>
      <c r="C137" s="700"/>
      <c r="D137" s="701"/>
      <c r="E137" s="700"/>
      <c r="F137" s="328"/>
      <c r="G137" s="700"/>
      <c r="H137" s="700"/>
      <c r="I137" s="703"/>
      <c r="J137" s="704"/>
      <c r="K137" s="704"/>
      <c r="L137" s="704"/>
      <c r="M137" s="704"/>
      <c r="N137" s="704"/>
      <c r="O137" s="700"/>
    </row>
    <row r="138" spans="1:15" ht="15.75" customHeight="1" x14ac:dyDescent="0.3">
      <c r="A138" s="700"/>
      <c r="B138" s="700"/>
      <c r="C138" s="700"/>
      <c r="D138" s="701"/>
      <c r="E138" s="700"/>
      <c r="F138" s="328"/>
      <c r="G138" s="700"/>
      <c r="H138" s="700"/>
      <c r="I138" s="703"/>
      <c r="J138" s="704"/>
      <c r="K138" s="704"/>
      <c r="L138" s="704"/>
      <c r="M138" s="704"/>
      <c r="N138" s="704"/>
      <c r="O138" s="700"/>
    </row>
    <row r="139" spans="1:15" ht="15.75" customHeight="1" x14ac:dyDescent="0.3">
      <c r="A139" s="700"/>
      <c r="B139" s="700"/>
      <c r="C139" s="700"/>
      <c r="D139" s="701"/>
      <c r="E139" s="700"/>
      <c r="F139" s="328"/>
      <c r="G139" s="700"/>
      <c r="H139" s="700"/>
      <c r="I139" s="703"/>
      <c r="J139" s="704"/>
      <c r="K139" s="704"/>
      <c r="L139" s="704"/>
      <c r="M139" s="704"/>
      <c r="N139" s="704"/>
      <c r="O139" s="700"/>
    </row>
    <row r="140" spans="1:15" ht="15.75" customHeight="1" x14ac:dyDescent="0.3">
      <c r="A140" s="700"/>
      <c r="B140" s="700"/>
      <c r="C140" s="700"/>
      <c r="D140" s="701"/>
      <c r="E140" s="700"/>
      <c r="F140" s="328"/>
      <c r="G140" s="700"/>
      <c r="H140" s="700"/>
      <c r="I140" s="703"/>
      <c r="J140" s="704"/>
      <c r="K140" s="704"/>
      <c r="L140" s="704"/>
      <c r="M140" s="704"/>
      <c r="N140" s="704"/>
      <c r="O140" s="700"/>
    </row>
    <row r="141" spans="1:15" ht="15.75" customHeight="1" x14ac:dyDescent="0.3">
      <c r="A141" s="700"/>
      <c r="B141" s="700"/>
      <c r="C141" s="700"/>
      <c r="D141" s="701"/>
      <c r="E141" s="700"/>
      <c r="F141" s="328"/>
      <c r="G141" s="700"/>
      <c r="H141" s="700"/>
      <c r="I141" s="703"/>
      <c r="J141" s="704"/>
      <c r="K141" s="704"/>
      <c r="L141" s="704"/>
      <c r="M141" s="704"/>
      <c r="N141" s="704"/>
      <c r="O141" s="700"/>
    </row>
    <row r="142" spans="1:15" ht="15.75" customHeight="1" x14ac:dyDescent="0.3">
      <c r="A142" s="700"/>
      <c r="B142" s="700"/>
      <c r="C142" s="700"/>
      <c r="D142" s="701"/>
      <c r="E142" s="700"/>
      <c r="F142" s="328"/>
      <c r="G142" s="700"/>
      <c r="H142" s="700"/>
      <c r="I142" s="703"/>
      <c r="J142" s="704"/>
      <c r="K142" s="704"/>
      <c r="L142" s="704"/>
      <c r="M142" s="704"/>
      <c r="N142" s="704"/>
      <c r="O142" s="700"/>
    </row>
    <row r="143" spans="1:15" ht="15.75" customHeight="1" x14ac:dyDescent="0.3">
      <c r="A143" s="700"/>
      <c r="B143" s="700"/>
      <c r="C143" s="700"/>
      <c r="D143" s="701"/>
      <c r="E143" s="700"/>
      <c r="F143" s="328"/>
      <c r="G143" s="700"/>
      <c r="H143" s="700"/>
      <c r="I143" s="703"/>
      <c r="J143" s="704"/>
      <c r="K143" s="704"/>
      <c r="L143" s="704"/>
      <c r="M143" s="704"/>
      <c r="N143" s="704"/>
      <c r="O143" s="700"/>
    </row>
    <row r="144" spans="1:15" ht="15.75" customHeight="1" x14ac:dyDescent="0.3">
      <c r="A144" s="700"/>
      <c r="B144" s="700"/>
      <c r="C144" s="700"/>
      <c r="D144" s="701"/>
      <c r="E144" s="700"/>
      <c r="F144" s="328"/>
      <c r="G144" s="700"/>
      <c r="H144" s="700"/>
      <c r="I144" s="703"/>
      <c r="J144" s="704"/>
      <c r="K144" s="704"/>
      <c r="L144" s="704"/>
      <c r="M144" s="704"/>
      <c r="N144" s="704"/>
      <c r="O144" s="700"/>
    </row>
    <row r="145" spans="1:15" ht="15.75" customHeight="1" x14ac:dyDescent="0.3">
      <c r="A145" s="700"/>
      <c r="B145" s="700"/>
      <c r="C145" s="700"/>
      <c r="D145" s="701"/>
      <c r="E145" s="700"/>
      <c r="F145" s="328"/>
      <c r="G145" s="700"/>
      <c r="H145" s="700"/>
      <c r="I145" s="703"/>
      <c r="J145" s="704"/>
      <c r="K145" s="704"/>
      <c r="L145" s="704"/>
      <c r="M145" s="704"/>
      <c r="N145" s="704"/>
      <c r="O145" s="700"/>
    </row>
    <row r="146" spans="1:15" ht="15.75" customHeight="1" x14ac:dyDescent="0.3">
      <c r="A146" s="700"/>
      <c r="B146" s="700"/>
      <c r="C146" s="700"/>
      <c r="D146" s="701"/>
      <c r="E146" s="700"/>
      <c r="F146" s="328"/>
      <c r="G146" s="700"/>
      <c r="H146" s="700"/>
      <c r="I146" s="703"/>
      <c r="J146" s="704"/>
      <c r="K146" s="704"/>
      <c r="L146" s="704"/>
      <c r="M146" s="704"/>
      <c r="N146" s="704"/>
      <c r="O146" s="700"/>
    </row>
    <row r="147" spans="1:15" ht="15.75" customHeight="1" x14ac:dyDescent="0.3">
      <c r="A147" s="700"/>
      <c r="B147" s="700"/>
      <c r="C147" s="700"/>
      <c r="D147" s="701"/>
      <c r="E147" s="700"/>
      <c r="F147" s="328"/>
      <c r="G147" s="700"/>
      <c r="H147" s="700"/>
      <c r="I147" s="703"/>
      <c r="J147" s="704"/>
      <c r="K147" s="704"/>
      <c r="L147" s="704"/>
      <c r="M147" s="704"/>
      <c r="N147" s="704"/>
      <c r="O147" s="700"/>
    </row>
    <row r="148" spans="1:15" ht="15.75" customHeight="1" x14ac:dyDescent="0.3">
      <c r="A148" s="700"/>
      <c r="B148" s="700"/>
      <c r="C148" s="700"/>
      <c r="D148" s="701"/>
      <c r="E148" s="700"/>
      <c r="F148" s="328"/>
      <c r="G148" s="700"/>
      <c r="H148" s="700"/>
      <c r="I148" s="703"/>
      <c r="J148" s="704"/>
      <c r="K148" s="704"/>
      <c r="L148" s="704"/>
      <c r="M148" s="704"/>
      <c r="N148" s="704"/>
      <c r="O148" s="700"/>
    </row>
    <row r="149" spans="1:15" ht="15.75" customHeight="1" x14ac:dyDescent="0.3">
      <c r="A149" s="700"/>
      <c r="B149" s="700"/>
      <c r="C149" s="700"/>
      <c r="D149" s="701"/>
      <c r="E149" s="700"/>
      <c r="F149" s="328"/>
      <c r="G149" s="700"/>
      <c r="H149" s="700"/>
      <c r="I149" s="703"/>
      <c r="J149" s="704"/>
      <c r="K149" s="704"/>
      <c r="L149" s="704"/>
      <c r="M149" s="704"/>
      <c r="N149" s="704"/>
      <c r="O149" s="700"/>
    </row>
    <row r="150" spans="1:15" ht="15.75" customHeight="1" x14ac:dyDescent="0.3">
      <c r="A150" s="700"/>
      <c r="B150" s="700"/>
      <c r="C150" s="700"/>
      <c r="D150" s="701"/>
      <c r="E150" s="700"/>
      <c r="F150" s="328"/>
      <c r="G150" s="700"/>
      <c r="H150" s="700"/>
      <c r="I150" s="703"/>
      <c r="J150" s="704"/>
      <c r="K150" s="704"/>
      <c r="L150" s="704"/>
      <c r="M150" s="704"/>
      <c r="N150" s="704"/>
      <c r="O150" s="700"/>
    </row>
    <row r="151" spans="1:15" ht="15.75" customHeight="1" x14ac:dyDescent="0.3">
      <c r="A151" s="700"/>
      <c r="B151" s="700"/>
      <c r="C151" s="700"/>
      <c r="D151" s="701"/>
      <c r="E151" s="700"/>
      <c r="F151" s="328"/>
      <c r="G151" s="700"/>
      <c r="H151" s="700"/>
      <c r="I151" s="703"/>
      <c r="J151" s="704"/>
      <c r="K151" s="704"/>
      <c r="L151" s="704"/>
      <c r="M151" s="704"/>
      <c r="N151" s="704"/>
      <c r="O151" s="700"/>
    </row>
    <row r="152" spans="1:15" ht="15.75" customHeight="1" x14ac:dyDescent="0.3">
      <c r="A152" s="700"/>
      <c r="B152" s="700"/>
      <c r="C152" s="700"/>
      <c r="D152" s="701"/>
      <c r="E152" s="700"/>
      <c r="F152" s="328"/>
      <c r="G152" s="700"/>
      <c r="H152" s="700"/>
      <c r="I152" s="703"/>
      <c r="J152" s="704"/>
      <c r="K152" s="704"/>
      <c r="L152" s="704"/>
      <c r="M152" s="704"/>
      <c r="N152" s="704"/>
      <c r="O152" s="700"/>
    </row>
    <row r="153" spans="1:15" ht="15.75" customHeight="1" x14ac:dyDescent="0.3">
      <c r="A153" s="700"/>
      <c r="B153" s="700"/>
      <c r="C153" s="700"/>
      <c r="D153" s="701"/>
      <c r="E153" s="700"/>
      <c r="F153" s="328"/>
      <c r="G153" s="700"/>
      <c r="H153" s="700"/>
      <c r="I153" s="703"/>
      <c r="J153" s="704"/>
      <c r="K153" s="704"/>
      <c r="L153" s="704"/>
      <c r="M153" s="704"/>
      <c r="N153" s="704"/>
      <c r="O153" s="700"/>
    </row>
    <row r="154" spans="1:15" ht="15.75" customHeight="1" x14ac:dyDescent="0.3">
      <c r="A154" s="700"/>
      <c r="B154" s="700"/>
      <c r="C154" s="700"/>
      <c r="D154" s="701"/>
      <c r="E154" s="700"/>
      <c r="F154" s="328"/>
      <c r="G154" s="700"/>
      <c r="H154" s="700"/>
      <c r="I154" s="703"/>
      <c r="J154" s="704"/>
      <c r="K154" s="704"/>
      <c r="L154" s="704"/>
      <c r="M154" s="704"/>
      <c r="N154" s="704"/>
      <c r="O154" s="700"/>
    </row>
    <row r="155" spans="1:15" ht="15.75" customHeight="1" x14ac:dyDescent="0.3">
      <c r="A155" s="700"/>
      <c r="B155" s="700"/>
      <c r="C155" s="700"/>
      <c r="D155" s="701"/>
      <c r="E155" s="700"/>
      <c r="F155" s="328"/>
      <c r="G155" s="700"/>
      <c r="H155" s="700"/>
      <c r="I155" s="703"/>
      <c r="J155" s="704"/>
      <c r="K155" s="704"/>
      <c r="L155" s="704"/>
      <c r="M155" s="704"/>
      <c r="N155" s="704"/>
      <c r="O155" s="700"/>
    </row>
    <row r="156" spans="1:15" ht="15.75" customHeight="1" x14ac:dyDescent="0.3">
      <c r="A156" s="700"/>
      <c r="B156" s="700"/>
      <c r="C156" s="700"/>
      <c r="D156" s="701"/>
      <c r="E156" s="700"/>
      <c r="F156" s="328"/>
      <c r="G156" s="700"/>
      <c r="H156" s="700"/>
      <c r="I156" s="703"/>
      <c r="J156" s="704"/>
      <c r="K156" s="704"/>
      <c r="L156" s="704"/>
      <c r="M156" s="704"/>
      <c r="N156" s="704"/>
      <c r="O156" s="700"/>
    </row>
    <row r="157" spans="1:15" ht="15.75" customHeight="1" x14ac:dyDescent="0.3">
      <c r="A157" s="700"/>
      <c r="B157" s="700"/>
      <c r="C157" s="700"/>
      <c r="D157" s="701"/>
      <c r="E157" s="700"/>
      <c r="F157" s="328"/>
      <c r="G157" s="700"/>
      <c r="H157" s="700"/>
      <c r="I157" s="703"/>
      <c r="J157" s="704"/>
      <c r="K157" s="704"/>
      <c r="L157" s="704"/>
      <c r="M157" s="704"/>
      <c r="N157" s="704"/>
      <c r="O157" s="700"/>
    </row>
    <row r="158" spans="1:15" ht="15.75" customHeight="1" x14ac:dyDescent="0.3">
      <c r="A158" s="700"/>
      <c r="B158" s="700"/>
      <c r="C158" s="700"/>
      <c r="D158" s="701"/>
      <c r="E158" s="700"/>
      <c r="F158" s="328"/>
      <c r="G158" s="700"/>
      <c r="H158" s="700"/>
      <c r="I158" s="703"/>
      <c r="J158" s="704"/>
      <c r="K158" s="704"/>
      <c r="L158" s="704"/>
      <c r="M158" s="704"/>
      <c r="N158" s="704"/>
      <c r="O158" s="700"/>
    </row>
    <row r="159" spans="1:15" ht="15.75" customHeight="1" x14ac:dyDescent="0.3">
      <c r="A159" s="700"/>
      <c r="B159" s="700"/>
      <c r="C159" s="700"/>
      <c r="D159" s="701"/>
      <c r="E159" s="700"/>
      <c r="F159" s="328"/>
      <c r="G159" s="700"/>
      <c r="H159" s="700"/>
      <c r="I159" s="703"/>
      <c r="J159" s="704"/>
      <c r="K159" s="704"/>
      <c r="L159" s="704"/>
      <c r="M159" s="704"/>
      <c r="N159" s="704"/>
      <c r="O159" s="700"/>
    </row>
    <row r="160" spans="1:15" ht="15.75" customHeight="1" x14ac:dyDescent="0.3">
      <c r="A160" s="700"/>
      <c r="B160" s="700"/>
      <c r="C160" s="700"/>
      <c r="D160" s="701"/>
      <c r="E160" s="700"/>
      <c r="F160" s="328"/>
      <c r="G160" s="700"/>
      <c r="H160" s="700"/>
      <c r="I160" s="703"/>
      <c r="J160" s="704"/>
      <c r="K160" s="704"/>
      <c r="L160" s="704"/>
      <c r="M160" s="704"/>
      <c r="N160" s="704"/>
      <c r="O160" s="700"/>
    </row>
    <row r="161" spans="1:15" ht="15.75" customHeight="1" x14ac:dyDescent="0.3">
      <c r="A161" s="700"/>
      <c r="B161" s="700"/>
      <c r="C161" s="700"/>
      <c r="D161" s="701"/>
      <c r="E161" s="700"/>
      <c r="F161" s="328"/>
      <c r="G161" s="700"/>
      <c r="H161" s="700"/>
      <c r="I161" s="703"/>
      <c r="J161" s="704"/>
      <c r="K161" s="704"/>
      <c r="L161" s="704"/>
      <c r="M161" s="704"/>
      <c r="N161" s="704"/>
      <c r="O161" s="700"/>
    </row>
    <row r="162" spans="1:15" ht="15.75" customHeight="1" x14ac:dyDescent="0.3">
      <c r="A162" s="700"/>
      <c r="B162" s="700"/>
      <c r="C162" s="700"/>
      <c r="D162" s="701"/>
      <c r="E162" s="700"/>
      <c r="F162" s="328"/>
      <c r="G162" s="700"/>
      <c r="H162" s="700"/>
      <c r="I162" s="703"/>
      <c r="J162" s="704"/>
      <c r="K162" s="704"/>
      <c r="L162" s="704"/>
      <c r="M162" s="704"/>
      <c r="N162" s="704"/>
      <c r="O162" s="700"/>
    </row>
    <row r="163" spans="1:15" ht="15.75" customHeight="1" x14ac:dyDescent="0.3">
      <c r="A163" s="700"/>
      <c r="B163" s="700"/>
      <c r="C163" s="700"/>
      <c r="D163" s="701"/>
      <c r="E163" s="700"/>
      <c r="F163" s="328"/>
      <c r="G163" s="700"/>
      <c r="H163" s="700"/>
      <c r="I163" s="703"/>
      <c r="J163" s="704"/>
      <c r="K163" s="704"/>
      <c r="L163" s="704"/>
      <c r="M163" s="704"/>
      <c r="N163" s="704"/>
      <c r="O163" s="700"/>
    </row>
    <row r="164" spans="1:15" ht="15.75" customHeight="1" x14ac:dyDescent="0.3">
      <c r="A164" s="700"/>
      <c r="B164" s="700"/>
      <c r="C164" s="700"/>
      <c r="D164" s="701"/>
      <c r="E164" s="700"/>
      <c r="F164" s="328"/>
      <c r="G164" s="700"/>
      <c r="H164" s="700"/>
      <c r="I164" s="703"/>
      <c r="J164" s="704"/>
      <c r="K164" s="704"/>
      <c r="L164" s="704"/>
      <c r="M164" s="704"/>
      <c r="N164" s="704"/>
      <c r="O164" s="700"/>
    </row>
    <row r="165" spans="1:15" ht="15.75" customHeight="1" x14ac:dyDescent="0.3">
      <c r="A165" s="700"/>
      <c r="B165" s="700"/>
      <c r="C165" s="700"/>
      <c r="D165" s="701"/>
      <c r="E165" s="700"/>
      <c r="F165" s="328"/>
      <c r="G165" s="700"/>
      <c r="H165" s="700"/>
      <c r="I165" s="703"/>
      <c r="J165" s="704"/>
      <c r="K165" s="704"/>
      <c r="L165" s="704"/>
      <c r="M165" s="704"/>
      <c r="N165" s="704"/>
      <c r="O165" s="700"/>
    </row>
    <row r="166" spans="1:15" ht="15.75" customHeight="1" x14ac:dyDescent="0.3">
      <c r="A166" s="700"/>
      <c r="B166" s="700"/>
      <c r="C166" s="700"/>
      <c r="D166" s="701"/>
      <c r="E166" s="700"/>
      <c r="F166" s="328"/>
      <c r="G166" s="700"/>
      <c r="H166" s="700"/>
      <c r="I166" s="703"/>
      <c r="J166" s="704"/>
      <c r="K166" s="704"/>
      <c r="L166" s="704"/>
      <c r="M166" s="704"/>
      <c r="N166" s="704"/>
      <c r="O166" s="700"/>
    </row>
    <row r="167" spans="1:15" ht="15.75" customHeight="1" x14ac:dyDescent="0.3">
      <c r="A167" s="700"/>
      <c r="B167" s="700"/>
      <c r="C167" s="700"/>
      <c r="D167" s="701"/>
      <c r="E167" s="700"/>
      <c r="F167" s="328"/>
      <c r="G167" s="700"/>
      <c r="H167" s="700"/>
      <c r="I167" s="703"/>
      <c r="J167" s="704"/>
      <c r="K167" s="704"/>
      <c r="L167" s="704"/>
      <c r="M167" s="704"/>
      <c r="N167" s="704"/>
      <c r="O167" s="700"/>
    </row>
    <row r="168" spans="1:15" ht="15.75" customHeight="1" x14ac:dyDescent="0.3">
      <c r="A168" s="700"/>
      <c r="B168" s="700"/>
      <c r="C168" s="700"/>
      <c r="D168" s="701"/>
      <c r="E168" s="700"/>
      <c r="F168" s="328"/>
      <c r="G168" s="700"/>
      <c r="H168" s="700"/>
      <c r="I168" s="703"/>
      <c r="J168" s="704"/>
      <c r="K168" s="704"/>
      <c r="L168" s="704"/>
      <c r="M168" s="704"/>
      <c r="N168" s="704"/>
      <c r="O168" s="700"/>
    </row>
    <row r="169" spans="1:15" ht="15.75" customHeight="1" x14ac:dyDescent="0.3">
      <c r="A169" s="700"/>
      <c r="B169" s="700"/>
      <c r="C169" s="700"/>
      <c r="D169" s="701"/>
      <c r="E169" s="700"/>
      <c r="F169" s="328"/>
      <c r="G169" s="700"/>
      <c r="H169" s="700"/>
      <c r="I169" s="703"/>
      <c r="J169" s="704"/>
      <c r="K169" s="704"/>
      <c r="L169" s="704"/>
      <c r="M169" s="704"/>
      <c r="N169" s="704"/>
      <c r="O169" s="700"/>
    </row>
    <row r="170" spans="1:15" ht="15.75" customHeight="1" x14ac:dyDescent="0.3">
      <c r="A170" s="700"/>
      <c r="B170" s="700"/>
      <c r="C170" s="700"/>
      <c r="D170" s="701"/>
      <c r="E170" s="700"/>
      <c r="F170" s="328"/>
      <c r="G170" s="700"/>
      <c r="H170" s="700"/>
      <c r="I170" s="703"/>
      <c r="J170" s="704"/>
      <c r="K170" s="704"/>
      <c r="L170" s="704"/>
      <c r="M170" s="704"/>
      <c r="N170" s="704"/>
      <c r="O170" s="700"/>
    </row>
    <row r="171" spans="1:15" ht="15.75" customHeight="1" x14ac:dyDescent="0.3">
      <c r="A171" s="700"/>
      <c r="B171" s="700"/>
      <c r="C171" s="700"/>
      <c r="D171" s="701"/>
      <c r="E171" s="700"/>
      <c r="F171" s="328"/>
      <c r="G171" s="700"/>
      <c r="H171" s="700"/>
      <c r="I171" s="703"/>
      <c r="J171" s="704"/>
      <c r="K171" s="704"/>
      <c r="L171" s="704"/>
      <c r="M171" s="704"/>
      <c r="N171" s="704"/>
      <c r="O171" s="700"/>
    </row>
    <row r="172" spans="1:15" ht="15.75" customHeight="1" x14ac:dyDescent="0.3">
      <c r="A172" s="700"/>
      <c r="B172" s="700"/>
      <c r="C172" s="700"/>
      <c r="D172" s="701"/>
      <c r="E172" s="700"/>
      <c r="F172" s="328"/>
      <c r="G172" s="700"/>
      <c r="H172" s="700"/>
      <c r="I172" s="703"/>
      <c r="J172" s="704"/>
      <c r="K172" s="704"/>
      <c r="L172" s="704"/>
      <c r="M172" s="704"/>
      <c r="N172" s="704"/>
      <c r="O172" s="700"/>
    </row>
    <row r="173" spans="1:15" ht="15.75" customHeight="1" x14ac:dyDescent="0.3">
      <c r="A173" s="700"/>
      <c r="B173" s="700"/>
      <c r="C173" s="700"/>
      <c r="D173" s="701"/>
      <c r="E173" s="700"/>
      <c r="F173" s="328"/>
      <c r="G173" s="700"/>
      <c r="H173" s="700"/>
      <c r="I173" s="703"/>
      <c r="J173" s="704"/>
      <c r="K173" s="704"/>
      <c r="L173" s="704"/>
      <c r="M173" s="704"/>
      <c r="N173" s="704"/>
      <c r="O173" s="700"/>
    </row>
    <row r="174" spans="1:15" ht="15.75" customHeight="1" x14ac:dyDescent="0.3">
      <c r="A174" s="700"/>
      <c r="B174" s="700"/>
      <c r="C174" s="700"/>
      <c r="D174" s="701"/>
      <c r="E174" s="700"/>
      <c r="F174" s="328"/>
      <c r="G174" s="700"/>
      <c r="H174" s="700"/>
      <c r="I174" s="703"/>
      <c r="J174" s="704"/>
      <c r="K174" s="704"/>
      <c r="L174" s="704"/>
      <c r="M174" s="704"/>
      <c r="N174" s="704"/>
      <c r="O174" s="700"/>
    </row>
    <row r="175" spans="1:15" ht="15.75" customHeight="1" x14ac:dyDescent="0.3">
      <c r="A175" s="700"/>
      <c r="B175" s="700"/>
      <c r="C175" s="700"/>
      <c r="D175" s="701"/>
      <c r="E175" s="700"/>
      <c r="F175" s="328"/>
      <c r="G175" s="700"/>
      <c r="H175" s="700"/>
      <c r="I175" s="703"/>
      <c r="J175" s="704"/>
      <c r="K175" s="704"/>
      <c r="L175" s="704"/>
      <c r="M175" s="704"/>
      <c r="N175" s="704"/>
      <c r="O175" s="700"/>
    </row>
    <row r="176" spans="1:15" ht="15.75" customHeight="1" x14ac:dyDescent="0.3">
      <c r="A176" s="700"/>
      <c r="B176" s="700"/>
      <c r="C176" s="700"/>
      <c r="D176" s="701"/>
      <c r="E176" s="700"/>
      <c r="F176" s="328"/>
      <c r="G176" s="700"/>
      <c r="H176" s="700"/>
      <c r="I176" s="703"/>
      <c r="J176" s="704"/>
      <c r="K176" s="704"/>
      <c r="L176" s="704"/>
      <c r="M176" s="704"/>
      <c r="N176" s="704"/>
      <c r="O176" s="700"/>
    </row>
    <row r="177" spans="1:15" ht="15.75" customHeight="1" x14ac:dyDescent="0.3">
      <c r="A177" s="700"/>
      <c r="B177" s="700"/>
      <c r="C177" s="700"/>
      <c r="D177" s="701"/>
      <c r="E177" s="700"/>
      <c r="F177" s="328"/>
      <c r="G177" s="700"/>
      <c r="H177" s="700"/>
      <c r="I177" s="703"/>
      <c r="J177" s="704"/>
      <c r="K177" s="704"/>
      <c r="L177" s="704"/>
      <c r="M177" s="704"/>
      <c r="N177" s="704"/>
      <c r="O177" s="700"/>
    </row>
    <row r="178" spans="1:15" ht="15.75" customHeight="1" x14ac:dyDescent="0.3">
      <c r="A178" s="700"/>
      <c r="B178" s="700"/>
      <c r="C178" s="700"/>
      <c r="D178" s="701"/>
      <c r="E178" s="700"/>
      <c r="F178" s="328"/>
      <c r="G178" s="700"/>
      <c r="H178" s="700"/>
      <c r="I178" s="703"/>
      <c r="J178" s="704"/>
      <c r="K178" s="704"/>
      <c r="L178" s="704"/>
      <c r="M178" s="704"/>
      <c r="N178" s="704"/>
      <c r="O178" s="700"/>
    </row>
    <row r="179" spans="1:15" ht="15.75" customHeight="1" x14ac:dyDescent="0.3">
      <c r="A179" s="700"/>
      <c r="B179" s="700"/>
      <c r="C179" s="700"/>
      <c r="D179" s="701"/>
      <c r="E179" s="700"/>
      <c r="F179" s="328"/>
      <c r="G179" s="700"/>
      <c r="H179" s="700"/>
      <c r="I179" s="703"/>
      <c r="J179" s="704"/>
      <c r="K179" s="704"/>
      <c r="L179" s="704"/>
      <c r="M179" s="704"/>
      <c r="N179" s="704"/>
      <c r="O179" s="700"/>
    </row>
    <row r="180" spans="1:15" ht="15.75" customHeight="1" x14ac:dyDescent="0.3">
      <c r="A180" s="700"/>
      <c r="B180" s="700"/>
      <c r="C180" s="700"/>
      <c r="D180" s="701"/>
      <c r="E180" s="700"/>
      <c r="F180" s="328"/>
      <c r="G180" s="700"/>
      <c r="H180" s="700"/>
      <c r="I180" s="703"/>
      <c r="J180" s="704"/>
      <c r="K180" s="704"/>
      <c r="L180" s="704"/>
      <c r="M180" s="704"/>
      <c r="N180" s="704"/>
      <c r="O180" s="700"/>
    </row>
    <row r="181" spans="1:15" ht="15.75" customHeight="1" x14ac:dyDescent="0.3">
      <c r="A181" s="700"/>
      <c r="B181" s="700"/>
      <c r="C181" s="700"/>
      <c r="D181" s="701"/>
      <c r="E181" s="700"/>
      <c r="F181" s="328"/>
      <c r="G181" s="700"/>
      <c r="H181" s="700"/>
      <c r="I181" s="703"/>
      <c r="J181" s="704"/>
      <c r="K181" s="704"/>
      <c r="L181" s="704"/>
      <c r="M181" s="704"/>
      <c r="N181" s="704"/>
      <c r="O181" s="700"/>
    </row>
    <row r="182" spans="1:15" ht="15.75" customHeight="1" x14ac:dyDescent="0.3">
      <c r="A182" s="700"/>
      <c r="B182" s="700"/>
      <c r="C182" s="700"/>
      <c r="D182" s="701"/>
      <c r="E182" s="700"/>
      <c r="F182" s="328"/>
      <c r="G182" s="700"/>
      <c r="H182" s="700"/>
      <c r="I182" s="703"/>
      <c r="J182" s="704"/>
      <c r="K182" s="704"/>
      <c r="L182" s="704"/>
      <c r="M182" s="704"/>
      <c r="N182" s="704"/>
      <c r="O182" s="700"/>
    </row>
    <row r="183" spans="1:15" ht="15.75" customHeight="1" x14ac:dyDescent="0.3">
      <c r="A183" s="700"/>
      <c r="B183" s="700"/>
      <c r="C183" s="700"/>
      <c r="D183" s="701"/>
      <c r="E183" s="700"/>
      <c r="F183" s="328"/>
      <c r="G183" s="700"/>
      <c r="H183" s="700"/>
      <c r="I183" s="703"/>
      <c r="J183" s="704"/>
      <c r="K183" s="704"/>
      <c r="L183" s="704"/>
      <c r="M183" s="704"/>
      <c r="N183" s="704"/>
      <c r="O183" s="700"/>
    </row>
    <row r="184" spans="1:15" ht="15.75" customHeight="1" x14ac:dyDescent="0.3">
      <c r="A184" s="700"/>
      <c r="B184" s="700"/>
      <c r="C184" s="700"/>
      <c r="D184" s="701"/>
      <c r="E184" s="700"/>
      <c r="F184" s="328"/>
      <c r="G184" s="700"/>
      <c r="H184" s="700"/>
      <c r="I184" s="703"/>
      <c r="J184" s="704"/>
      <c r="K184" s="704"/>
      <c r="L184" s="704"/>
      <c r="M184" s="704"/>
      <c r="N184" s="704"/>
      <c r="O184" s="700"/>
    </row>
    <row r="185" spans="1:15" ht="15.75" customHeight="1" x14ac:dyDescent="0.3">
      <c r="A185" s="700"/>
      <c r="B185" s="700"/>
      <c r="C185" s="700"/>
      <c r="D185" s="701"/>
      <c r="E185" s="700"/>
      <c r="F185" s="328"/>
      <c r="G185" s="700"/>
      <c r="H185" s="700"/>
      <c r="I185" s="703"/>
      <c r="J185" s="704"/>
      <c r="K185" s="704"/>
      <c r="L185" s="704"/>
      <c r="M185" s="704"/>
      <c r="N185" s="704"/>
      <c r="O185" s="700"/>
    </row>
    <row r="186" spans="1:15" ht="15.75" customHeight="1" x14ac:dyDescent="0.3">
      <c r="A186" s="700"/>
      <c r="B186" s="700"/>
      <c r="C186" s="700"/>
      <c r="D186" s="701"/>
      <c r="E186" s="700"/>
      <c r="F186" s="328"/>
      <c r="G186" s="700"/>
      <c r="H186" s="700"/>
      <c r="I186" s="703"/>
      <c r="J186" s="704"/>
      <c r="K186" s="704"/>
      <c r="L186" s="704"/>
      <c r="M186" s="704"/>
      <c r="N186" s="704"/>
      <c r="O186" s="700"/>
    </row>
    <row r="187" spans="1:15" ht="15.75" customHeight="1" x14ac:dyDescent="0.3">
      <c r="A187" s="700"/>
      <c r="B187" s="700"/>
      <c r="C187" s="700"/>
      <c r="D187" s="701"/>
      <c r="E187" s="700"/>
      <c r="F187" s="328"/>
      <c r="G187" s="700"/>
      <c r="H187" s="700"/>
      <c r="I187" s="703"/>
      <c r="J187" s="704"/>
      <c r="K187" s="704"/>
      <c r="L187" s="704"/>
      <c r="M187" s="704"/>
      <c r="N187" s="704"/>
      <c r="O187" s="700"/>
    </row>
    <row r="188" spans="1:15" ht="15.75" customHeight="1" x14ac:dyDescent="0.3">
      <c r="A188" s="700"/>
      <c r="B188" s="700"/>
      <c r="C188" s="700"/>
      <c r="D188" s="701"/>
      <c r="E188" s="700"/>
      <c r="F188" s="328"/>
      <c r="G188" s="700"/>
      <c r="H188" s="700"/>
      <c r="I188" s="703"/>
      <c r="J188" s="704"/>
      <c r="K188" s="704"/>
      <c r="L188" s="704"/>
      <c r="M188" s="704"/>
      <c r="N188" s="704"/>
      <c r="O188" s="700"/>
    </row>
    <row r="189" spans="1:15" ht="15.75" customHeight="1" x14ac:dyDescent="0.3">
      <c r="A189" s="700"/>
      <c r="B189" s="700"/>
      <c r="C189" s="700"/>
      <c r="D189" s="701"/>
      <c r="E189" s="700"/>
      <c r="F189" s="328"/>
      <c r="G189" s="700"/>
      <c r="H189" s="700"/>
      <c r="I189" s="703"/>
      <c r="J189" s="704"/>
      <c r="K189" s="704"/>
      <c r="L189" s="704"/>
      <c r="M189" s="704"/>
      <c r="N189" s="704"/>
      <c r="O189" s="700"/>
    </row>
    <row r="190" spans="1:15" ht="15.75" customHeight="1" x14ac:dyDescent="0.3">
      <c r="A190" s="700"/>
      <c r="B190" s="700"/>
      <c r="C190" s="700"/>
      <c r="D190" s="701"/>
      <c r="E190" s="700"/>
      <c r="F190" s="328"/>
      <c r="G190" s="700"/>
      <c r="H190" s="700"/>
      <c r="I190" s="703"/>
      <c r="J190" s="704"/>
      <c r="K190" s="704"/>
      <c r="L190" s="704"/>
      <c r="M190" s="704"/>
      <c r="N190" s="704"/>
      <c r="O190" s="700"/>
    </row>
    <row r="191" spans="1:15" ht="15.75" customHeight="1" x14ac:dyDescent="0.3">
      <c r="A191" s="700"/>
      <c r="B191" s="700"/>
      <c r="C191" s="700"/>
      <c r="D191" s="701"/>
      <c r="E191" s="700"/>
      <c r="F191" s="328"/>
      <c r="G191" s="700"/>
      <c r="H191" s="700"/>
      <c r="I191" s="703"/>
      <c r="J191" s="704"/>
      <c r="K191" s="704"/>
      <c r="L191" s="704"/>
      <c r="M191" s="704"/>
      <c r="N191" s="704"/>
      <c r="O191" s="700"/>
    </row>
    <row r="192" spans="1:15" ht="15.75" customHeight="1" x14ac:dyDescent="0.3">
      <c r="A192" s="700"/>
      <c r="B192" s="700"/>
      <c r="C192" s="700"/>
      <c r="D192" s="701"/>
      <c r="E192" s="700"/>
      <c r="F192" s="328"/>
      <c r="G192" s="700"/>
      <c r="H192" s="700"/>
      <c r="I192" s="703"/>
      <c r="J192" s="704"/>
      <c r="K192" s="704"/>
      <c r="L192" s="704"/>
      <c r="M192" s="704"/>
      <c r="N192" s="704"/>
      <c r="O192" s="700"/>
    </row>
    <row r="193" spans="1:15" ht="15.75" customHeight="1" x14ac:dyDescent="0.3">
      <c r="A193" s="700"/>
      <c r="B193" s="700"/>
      <c r="C193" s="700"/>
      <c r="D193" s="701"/>
      <c r="E193" s="700"/>
      <c r="F193" s="328"/>
      <c r="G193" s="700"/>
      <c r="H193" s="700"/>
      <c r="I193" s="703"/>
      <c r="J193" s="704"/>
      <c r="K193" s="704"/>
      <c r="L193" s="704"/>
      <c r="M193" s="704"/>
      <c r="N193" s="704"/>
      <c r="O193" s="700"/>
    </row>
    <row r="194" spans="1:15" ht="15.75" customHeight="1" x14ac:dyDescent="0.3">
      <c r="A194" s="700"/>
      <c r="B194" s="700"/>
      <c r="C194" s="700"/>
      <c r="D194" s="701"/>
      <c r="E194" s="700"/>
      <c r="F194" s="328"/>
      <c r="G194" s="700"/>
      <c r="H194" s="700"/>
      <c r="I194" s="703"/>
      <c r="J194" s="704"/>
      <c r="K194" s="704"/>
      <c r="L194" s="704"/>
      <c r="M194" s="704"/>
      <c r="N194" s="704"/>
      <c r="O194" s="700"/>
    </row>
    <row r="195" spans="1:15" ht="15.75" customHeight="1" x14ac:dyDescent="0.3">
      <c r="A195" s="700"/>
      <c r="B195" s="700"/>
      <c r="C195" s="700"/>
      <c r="D195" s="701"/>
      <c r="E195" s="700"/>
      <c r="F195" s="328"/>
      <c r="G195" s="700"/>
      <c r="H195" s="700"/>
      <c r="I195" s="703"/>
      <c r="J195" s="704"/>
      <c r="K195" s="704"/>
      <c r="L195" s="704"/>
      <c r="M195" s="704"/>
      <c r="N195" s="704"/>
      <c r="O195" s="700"/>
    </row>
    <row r="196" spans="1:15" ht="15.75" customHeight="1" x14ac:dyDescent="0.3">
      <c r="A196" s="700"/>
      <c r="B196" s="700"/>
      <c r="C196" s="700"/>
      <c r="D196" s="701"/>
      <c r="E196" s="700"/>
      <c r="F196" s="328"/>
      <c r="G196" s="700"/>
      <c r="H196" s="700"/>
      <c r="I196" s="703"/>
      <c r="J196" s="704"/>
      <c r="K196" s="704"/>
      <c r="L196" s="704"/>
      <c r="M196" s="704"/>
      <c r="N196" s="704"/>
      <c r="O196" s="700"/>
    </row>
    <row r="197" spans="1:15" ht="15.75" customHeight="1" x14ac:dyDescent="0.3">
      <c r="A197" s="700"/>
      <c r="B197" s="700"/>
      <c r="C197" s="700"/>
      <c r="D197" s="701"/>
      <c r="E197" s="700"/>
      <c r="F197" s="328"/>
      <c r="G197" s="700"/>
      <c r="H197" s="700"/>
      <c r="I197" s="703"/>
      <c r="J197" s="704"/>
      <c r="K197" s="704"/>
      <c r="L197" s="704"/>
      <c r="M197" s="704"/>
      <c r="N197" s="704"/>
      <c r="O197" s="700"/>
    </row>
    <row r="198" spans="1:15" ht="15.75" customHeight="1" x14ac:dyDescent="0.3">
      <c r="A198" s="700"/>
      <c r="B198" s="700"/>
      <c r="C198" s="700"/>
      <c r="D198" s="701"/>
      <c r="E198" s="700"/>
      <c r="F198" s="328"/>
      <c r="G198" s="700"/>
      <c r="H198" s="700"/>
      <c r="I198" s="703"/>
      <c r="J198" s="704"/>
      <c r="K198" s="704"/>
      <c r="L198" s="704"/>
      <c r="M198" s="704"/>
      <c r="N198" s="704"/>
      <c r="O198" s="700"/>
    </row>
    <row r="199" spans="1:15" ht="15.75" customHeight="1" x14ac:dyDescent="0.3">
      <c r="A199" s="700"/>
      <c r="B199" s="700"/>
      <c r="C199" s="700"/>
      <c r="D199" s="701"/>
      <c r="E199" s="700"/>
      <c r="F199" s="328"/>
      <c r="G199" s="700"/>
      <c r="H199" s="700"/>
      <c r="I199" s="703"/>
      <c r="J199" s="704"/>
      <c r="K199" s="704"/>
      <c r="L199" s="704"/>
      <c r="M199" s="704"/>
      <c r="N199" s="704"/>
      <c r="O199" s="700"/>
    </row>
    <row r="200" spans="1:15" ht="15.75" customHeight="1" x14ac:dyDescent="0.3">
      <c r="A200" s="700"/>
      <c r="B200" s="700"/>
      <c r="C200" s="700"/>
      <c r="D200" s="701"/>
      <c r="E200" s="700"/>
      <c r="F200" s="328"/>
      <c r="G200" s="700"/>
      <c r="H200" s="700"/>
      <c r="I200" s="703"/>
      <c r="J200" s="704"/>
      <c r="K200" s="704"/>
      <c r="L200" s="704"/>
      <c r="M200" s="704"/>
      <c r="N200" s="704"/>
      <c r="O200" s="700"/>
    </row>
    <row r="201" spans="1:15" ht="15.75" customHeight="1" x14ac:dyDescent="0.3">
      <c r="A201" s="700"/>
      <c r="B201" s="700"/>
      <c r="C201" s="700"/>
      <c r="D201" s="701"/>
      <c r="E201" s="700"/>
      <c r="F201" s="328"/>
      <c r="G201" s="700"/>
      <c r="H201" s="700"/>
      <c r="I201" s="703"/>
      <c r="J201" s="704"/>
      <c r="K201" s="704"/>
      <c r="L201" s="704"/>
      <c r="M201" s="704"/>
      <c r="N201" s="704"/>
      <c r="O201" s="700"/>
    </row>
    <row r="202" spans="1:15" ht="15.75" customHeight="1" x14ac:dyDescent="0.3">
      <c r="A202" s="700"/>
      <c r="B202" s="700"/>
      <c r="C202" s="700"/>
      <c r="D202" s="701"/>
      <c r="E202" s="700"/>
      <c r="F202" s="328"/>
      <c r="G202" s="700"/>
      <c r="H202" s="700"/>
      <c r="I202" s="703"/>
      <c r="J202" s="704"/>
      <c r="K202" s="704"/>
      <c r="L202" s="704"/>
      <c r="M202" s="704"/>
      <c r="N202" s="704"/>
      <c r="O202" s="700"/>
    </row>
    <row r="203" spans="1:15" ht="15.75" customHeight="1" x14ac:dyDescent="0.3">
      <c r="A203" s="700"/>
      <c r="B203" s="700"/>
      <c r="C203" s="700"/>
      <c r="D203" s="701"/>
      <c r="E203" s="700"/>
      <c r="F203" s="328"/>
      <c r="G203" s="700"/>
      <c r="H203" s="700"/>
      <c r="I203" s="703"/>
      <c r="J203" s="704"/>
      <c r="K203" s="704"/>
      <c r="L203" s="704"/>
      <c r="M203" s="704"/>
      <c r="N203" s="704"/>
      <c r="O203" s="700"/>
    </row>
    <row r="204" spans="1:15" ht="15.75" customHeight="1" x14ac:dyDescent="0.3">
      <c r="A204" s="700"/>
      <c r="B204" s="700"/>
      <c r="C204" s="700"/>
      <c r="D204" s="701"/>
      <c r="E204" s="700"/>
      <c r="F204" s="328"/>
      <c r="G204" s="700"/>
      <c r="H204" s="700"/>
      <c r="I204" s="703"/>
      <c r="J204" s="704"/>
      <c r="K204" s="704"/>
      <c r="L204" s="704"/>
      <c r="M204" s="704"/>
      <c r="N204" s="704"/>
      <c r="O204" s="700"/>
    </row>
    <row r="205" spans="1:15" ht="15.75" customHeight="1" x14ac:dyDescent="0.3">
      <c r="A205" s="700"/>
      <c r="B205" s="700"/>
      <c r="C205" s="700"/>
      <c r="D205" s="701"/>
      <c r="E205" s="700"/>
      <c r="F205" s="328"/>
      <c r="G205" s="700"/>
      <c r="H205" s="700"/>
      <c r="I205" s="703"/>
      <c r="J205" s="704"/>
      <c r="K205" s="704"/>
      <c r="L205" s="704"/>
      <c r="M205" s="704"/>
      <c r="N205" s="704"/>
      <c r="O205" s="700"/>
    </row>
    <row r="206" spans="1:15" ht="15.75" customHeight="1" x14ac:dyDescent="0.3">
      <c r="A206" s="700"/>
      <c r="B206" s="700"/>
      <c r="C206" s="700"/>
      <c r="D206" s="701"/>
      <c r="E206" s="700"/>
      <c r="F206" s="328"/>
      <c r="G206" s="700"/>
      <c r="H206" s="700"/>
      <c r="I206" s="703"/>
      <c r="J206" s="704"/>
      <c r="K206" s="704"/>
      <c r="L206" s="704"/>
      <c r="M206" s="704"/>
      <c r="N206" s="704"/>
      <c r="O206" s="700"/>
    </row>
    <row r="207" spans="1:15" ht="15.75" customHeight="1" x14ac:dyDescent="0.3">
      <c r="A207" s="700"/>
      <c r="B207" s="700"/>
      <c r="C207" s="700"/>
      <c r="D207" s="701"/>
      <c r="E207" s="700"/>
      <c r="F207" s="328"/>
      <c r="G207" s="700"/>
      <c r="H207" s="700"/>
      <c r="I207" s="703"/>
      <c r="J207" s="704"/>
      <c r="K207" s="704"/>
      <c r="L207" s="704"/>
      <c r="M207" s="704"/>
      <c r="N207" s="704"/>
      <c r="O207" s="700"/>
    </row>
    <row r="208" spans="1:15" ht="15.75" customHeight="1" x14ac:dyDescent="0.3">
      <c r="A208" s="700"/>
      <c r="B208" s="700"/>
      <c r="C208" s="700"/>
      <c r="D208" s="701"/>
      <c r="E208" s="700"/>
      <c r="F208" s="328"/>
      <c r="G208" s="700"/>
      <c r="H208" s="700"/>
      <c r="I208" s="703"/>
      <c r="J208" s="704"/>
      <c r="K208" s="704"/>
      <c r="L208" s="704"/>
      <c r="M208" s="704"/>
      <c r="N208" s="704"/>
      <c r="O208" s="700"/>
    </row>
    <row r="209" spans="1:15" ht="15.75" customHeight="1" x14ac:dyDescent="0.3">
      <c r="A209" s="700"/>
      <c r="B209" s="700"/>
      <c r="C209" s="700"/>
      <c r="D209" s="701"/>
      <c r="E209" s="700"/>
      <c r="F209" s="328"/>
      <c r="G209" s="700"/>
      <c r="H209" s="700"/>
      <c r="I209" s="703"/>
      <c r="J209" s="704"/>
      <c r="K209" s="704"/>
      <c r="L209" s="704"/>
      <c r="M209" s="704"/>
      <c r="N209" s="704"/>
      <c r="O209" s="700"/>
    </row>
    <row r="210" spans="1:15" ht="15.75" customHeight="1" x14ac:dyDescent="0.3">
      <c r="A210" s="700"/>
      <c r="B210" s="700"/>
      <c r="C210" s="700"/>
      <c r="D210" s="701"/>
      <c r="E210" s="700"/>
      <c r="F210" s="328"/>
      <c r="G210" s="700"/>
      <c r="H210" s="700"/>
      <c r="I210" s="703"/>
      <c r="J210" s="704"/>
      <c r="K210" s="704"/>
      <c r="L210" s="704"/>
      <c r="M210" s="704"/>
      <c r="N210" s="704"/>
      <c r="O210" s="700"/>
    </row>
    <row r="211" spans="1:15" ht="15.75" customHeight="1" x14ac:dyDescent="0.3">
      <c r="A211" s="700"/>
      <c r="B211" s="700"/>
      <c r="C211" s="700"/>
      <c r="D211" s="701"/>
      <c r="E211" s="700"/>
      <c r="F211" s="328"/>
      <c r="G211" s="700"/>
      <c r="H211" s="700"/>
      <c r="I211" s="703"/>
      <c r="J211" s="704"/>
      <c r="K211" s="704"/>
      <c r="L211" s="704"/>
      <c r="M211" s="704"/>
      <c r="N211" s="704"/>
      <c r="O211" s="700"/>
    </row>
    <row r="212" spans="1:15" ht="15.75" customHeight="1" x14ac:dyDescent="0.3">
      <c r="A212" s="700"/>
      <c r="B212" s="700"/>
      <c r="C212" s="700"/>
      <c r="D212" s="701"/>
      <c r="E212" s="700"/>
      <c r="F212" s="328"/>
      <c r="G212" s="700"/>
      <c r="H212" s="700"/>
      <c r="I212" s="703"/>
      <c r="J212" s="704"/>
      <c r="K212" s="704"/>
      <c r="L212" s="704"/>
      <c r="M212" s="704"/>
      <c r="N212" s="704"/>
      <c r="O212" s="700"/>
    </row>
    <row r="213" spans="1:15" ht="15.75" customHeight="1" x14ac:dyDescent="0.3">
      <c r="A213" s="700"/>
      <c r="B213" s="700"/>
      <c r="C213" s="700"/>
      <c r="D213" s="701"/>
      <c r="E213" s="700"/>
      <c r="F213" s="328"/>
      <c r="G213" s="700"/>
      <c r="H213" s="700"/>
      <c r="I213" s="703"/>
      <c r="J213" s="704"/>
      <c r="K213" s="704"/>
      <c r="L213" s="704"/>
      <c r="M213" s="704"/>
      <c r="N213" s="704"/>
      <c r="O213" s="700"/>
    </row>
    <row r="214" spans="1:15" ht="15.75" customHeight="1" x14ac:dyDescent="0.3">
      <c r="A214" s="700"/>
      <c r="B214" s="700"/>
      <c r="C214" s="700"/>
      <c r="D214" s="701"/>
      <c r="E214" s="700"/>
      <c r="F214" s="328"/>
      <c r="G214" s="700"/>
      <c r="H214" s="700"/>
      <c r="I214" s="703"/>
      <c r="J214" s="704"/>
      <c r="K214" s="704"/>
      <c r="L214" s="704"/>
      <c r="M214" s="704"/>
      <c r="N214" s="704"/>
      <c r="O214" s="700"/>
    </row>
    <row r="215" spans="1:15" ht="15.75" customHeight="1" x14ac:dyDescent="0.3">
      <c r="A215" s="700"/>
      <c r="B215" s="700"/>
      <c r="C215" s="700"/>
      <c r="D215" s="701"/>
      <c r="E215" s="700"/>
      <c r="F215" s="328"/>
      <c r="G215" s="700"/>
      <c r="H215" s="700"/>
      <c r="I215" s="703"/>
      <c r="J215" s="704"/>
      <c r="K215" s="704"/>
      <c r="L215" s="704"/>
      <c r="M215" s="704"/>
      <c r="N215" s="704"/>
      <c r="O215" s="700"/>
    </row>
    <row r="216" spans="1:15" ht="15.75" customHeight="1" x14ac:dyDescent="0.3">
      <c r="A216" s="700"/>
      <c r="B216" s="700"/>
      <c r="C216" s="700"/>
      <c r="D216" s="701"/>
      <c r="E216" s="700"/>
      <c r="F216" s="328"/>
      <c r="G216" s="700"/>
      <c r="H216" s="700"/>
      <c r="I216" s="703"/>
      <c r="J216" s="704"/>
      <c r="K216" s="704"/>
      <c r="L216" s="704"/>
      <c r="M216" s="704"/>
      <c r="N216" s="704"/>
      <c r="O216" s="700"/>
    </row>
    <row r="217" spans="1:15" ht="15.75" customHeight="1" x14ac:dyDescent="0.3">
      <c r="A217" s="700"/>
      <c r="B217" s="700"/>
      <c r="C217" s="700"/>
      <c r="D217" s="701"/>
      <c r="E217" s="700"/>
      <c r="F217" s="328"/>
      <c r="G217" s="700"/>
      <c r="H217" s="700"/>
      <c r="I217" s="703"/>
      <c r="J217" s="704"/>
      <c r="K217" s="704"/>
      <c r="L217" s="704"/>
      <c r="M217" s="704"/>
      <c r="N217" s="704"/>
      <c r="O217" s="700"/>
    </row>
    <row r="218" spans="1:15" ht="15.75" customHeight="1" x14ac:dyDescent="0.3">
      <c r="A218" s="700"/>
      <c r="B218" s="700"/>
      <c r="C218" s="700"/>
      <c r="D218" s="701"/>
      <c r="E218" s="700"/>
      <c r="F218" s="328"/>
      <c r="G218" s="700"/>
      <c r="H218" s="700"/>
      <c r="I218" s="703"/>
      <c r="J218" s="704"/>
      <c r="K218" s="704"/>
      <c r="L218" s="704"/>
      <c r="M218" s="704"/>
      <c r="N218" s="704"/>
      <c r="O218" s="700"/>
    </row>
    <row r="219" spans="1:15" ht="15.75" customHeight="1" x14ac:dyDescent="0.3">
      <c r="A219" s="700"/>
      <c r="B219" s="700"/>
      <c r="C219" s="700"/>
      <c r="D219" s="701"/>
      <c r="E219" s="700"/>
      <c r="F219" s="328"/>
      <c r="G219" s="700"/>
      <c r="H219" s="700"/>
      <c r="I219" s="703"/>
      <c r="J219" s="704"/>
      <c r="K219" s="704"/>
      <c r="L219" s="704"/>
      <c r="M219" s="704"/>
      <c r="N219" s="704"/>
      <c r="O219" s="700"/>
    </row>
    <row r="220" spans="1:15" ht="15.75" customHeight="1" x14ac:dyDescent="0.3">
      <c r="A220" s="700"/>
      <c r="B220" s="700"/>
      <c r="C220" s="700"/>
      <c r="D220" s="701"/>
      <c r="E220" s="700"/>
      <c r="F220" s="328"/>
      <c r="G220" s="700"/>
      <c r="H220" s="700"/>
      <c r="I220" s="703"/>
      <c r="J220" s="704"/>
      <c r="K220" s="704"/>
      <c r="L220" s="704"/>
      <c r="M220" s="704"/>
      <c r="N220" s="704"/>
      <c r="O220" s="700"/>
    </row>
    <row r="221" spans="1:15" ht="15.75" customHeight="1" x14ac:dyDescent="0.3">
      <c r="A221" s="700"/>
      <c r="B221" s="700"/>
      <c r="C221" s="700"/>
      <c r="D221" s="701"/>
      <c r="E221" s="700"/>
      <c r="F221" s="328"/>
      <c r="G221" s="700"/>
      <c r="H221" s="700"/>
      <c r="I221" s="703"/>
      <c r="J221" s="704"/>
      <c r="K221" s="704"/>
      <c r="L221" s="704"/>
      <c r="M221" s="704"/>
      <c r="N221" s="704"/>
      <c r="O221" s="700"/>
    </row>
    <row r="222" spans="1:15" ht="15.75" customHeight="1" x14ac:dyDescent="0.3">
      <c r="A222" s="700"/>
      <c r="B222" s="700"/>
      <c r="C222" s="700"/>
      <c r="D222" s="701"/>
      <c r="E222" s="700"/>
      <c r="F222" s="328"/>
      <c r="G222" s="700"/>
      <c r="H222" s="700"/>
      <c r="I222" s="703"/>
      <c r="J222" s="704"/>
      <c r="K222" s="704"/>
      <c r="L222" s="704"/>
      <c r="M222" s="704"/>
      <c r="N222" s="704"/>
      <c r="O222" s="700"/>
    </row>
    <row r="223" spans="1:15" ht="15.75" customHeight="1" x14ac:dyDescent="0.3">
      <c r="A223" s="700"/>
      <c r="B223" s="700"/>
      <c r="C223" s="700"/>
      <c r="D223" s="701"/>
      <c r="E223" s="700"/>
      <c r="F223" s="328"/>
      <c r="G223" s="700"/>
      <c r="H223" s="700"/>
      <c r="I223" s="703"/>
      <c r="J223" s="704"/>
      <c r="K223" s="704"/>
      <c r="L223" s="704"/>
      <c r="M223" s="704"/>
      <c r="N223" s="704"/>
      <c r="O223" s="700"/>
    </row>
    <row r="224" spans="1:15" ht="15.75" customHeight="1" x14ac:dyDescent="0.3">
      <c r="A224" s="700"/>
      <c r="B224" s="700"/>
      <c r="C224" s="700"/>
      <c r="D224" s="701"/>
      <c r="E224" s="700"/>
      <c r="F224" s="328"/>
      <c r="G224" s="700"/>
      <c r="H224" s="700"/>
      <c r="I224" s="703"/>
      <c r="J224" s="704"/>
      <c r="K224" s="704"/>
      <c r="L224" s="704"/>
      <c r="M224" s="704"/>
      <c r="N224" s="704"/>
      <c r="O224" s="700"/>
    </row>
    <row r="225" spans="1:15" ht="15.75" customHeight="1" x14ac:dyDescent="0.3">
      <c r="A225" s="700"/>
      <c r="B225" s="700"/>
      <c r="C225" s="700"/>
      <c r="D225" s="701"/>
      <c r="E225" s="700"/>
      <c r="F225" s="328"/>
      <c r="G225" s="700"/>
      <c r="H225" s="700"/>
      <c r="I225" s="703"/>
      <c r="J225" s="704"/>
      <c r="K225" s="704"/>
      <c r="L225" s="704"/>
      <c r="M225" s="704"/>
      <c r="N225" s="704"/>
      <c r="O225" s="700"/>
    </row>
    <row r="226" spans="1:15" ht="15.75" customHeight="1" x14ac:dyDescent="0.3">
      <c r="A226" s="700"/>
      <c r="B226" s="700"/>
      <c r="C226" s="700"/>
      <c r="D226" s="701"/>
      <c r="E226" s="700"/>
      <c r="F226" s="328"/>
      <c r="G226" s="700"/>
      <c r="H226" s="700"/>
      <c r="I226" s="703"/>
      <c r="J226" s="704"/>
      <c r="K226" s="704"/>
      <c r="L226" s="704"/>
      <c r="M226" s="704"/>
      <c r="N226" s="704"/>
      <c r="O226" s="700"/>
    </row>
    <row r="227" spans="1:15" ht="15.75" customHeight="1" x14ac:dyDescent="0.3">
      <c r="A227" s="700"/>
      <c r="B227" s="700"/>
      <c r="C227" s="700"/>
      <c r="D227" s="701"/>
      <c r="E227" s="700"/>
      <c r="F227" s="328"/>
      <c r="G227" s="700"/>
      <c r="H227" s="700"/>
      <c r="I227" s="703"/>
      <c r="J227" s="704"/>
      <c r="K227" s="704"/>
      <c r="L227" s="704"/>
      <c r="M227" s="704"/>
      <c r="N227" s="704"/>
      <c r="O227" s="700"/>
    </row>
    <row r="228" spans="1:15" ht="15.75" customHeight="1" x14ac:dyDescent="0.3">
      <c r="A228" s="700"/>
      <c r="B228" s="700"/>
      <c r="C228" s="700"/>
      <c r="D228" s="701"/>
      <c r="E228" s="700"/>
      <c r="F228" s="328"/>
      <c r="G228" s="700"/>
      <c r="H228" s="700"/>
      <c r="I228" s="703"/>
      <c r="J228" s="704"/>
      <c r="K228" s="704"/>
      <c r="L228" s="704"/>
      <c r="M228" s="704"/>
      <c r="N228" s="704"/>
      <c r="O228" s="700"/>
    </row>
    <row r="229" spans="1:15" ht="15.75" customHeight="1" x14ac:dyDescent="0.3">
      <c r="A229" s="700"/>
      <c r="B229" s="700"/>
      <c r="C229" s="700"/>
      <c r="D229" s="701"/>
      <c r="E229" s="700"/>
      <c r="F229" s="328"/>
      <c r="G229" s="700"/>
      <c r="H229" s="700"/>
      <c r="I229" s="703"/>
      <c r="J229" s="704"/>
      <c r="K229" s="704"/>
      <c r="L229" s="704"/>
      <c r="M229" s="704"/>
      <c r="N229" s="704"/>
      <c r="O229" s="700"/>
    </row>
    <row r="230" spans="1:15" ht="15.75" customHeight="1" x14ac:dyDescent="0.3">
      <c r="A230" s="700"/>
      <c r="B230" s="700"/>
      <c r="C230" s="700"/>
      <c r="D230" s="701"/>
      <c r="E230" s="700"/>
      <c r="F230" s="328"/>
      <c r="G230" s="700"/>
      <c r="H230" s="700"/>
      <c r="I230" s="703"/>
      <c r="J230" s="704"/>
      <c r="K230" s="704"/>
      <c r="L230" s="704"/>
      <c r="M230" s="704"/>
      <c r="N230" s="704"/>
      <c r="O230" s="700"/>
    </row>
    <row r="231" spans="1:15" ht="15.75" customHeight="1" x14ac:dyDescent="0.3">
      <c r="A231" s="700"/>
      <c r="B231" s="700"/>
      <c r="C231" s="700"/>
      <c r="D231" s="701"/>
      <c r="E231" s="700"/>
      <c r="F231" s="328"/>
      <c r="G231" s="700"/>
      <c r="H231" s="700"/>
      <c r="I231" s="703"/>
      <c r="J231" s="704"/>
      <c r="K231" s="704"/>
      <c r="L231" s="704"/>
      <c r="M231" s="704"/>
      <c r="N231" s="704"/>
      <c r="O231" s="700"/>
    </row>
    <row r="232" spans="1:15" ht="15.75" customHeight="1" x14ac:dyDescent="0.3">
      <c r="A232" s="700"/>
      <c r="B232" s="700"/>
      <c r="C232" s="700"/>
      <c r="D232" s="701"/>
      <c r="E232" s="700"/>
      <c r="F232" s="328"/>
      <c r="G232" s="700"/>
      <c r="H232" s="700"/>
      <c r="I232" s="703"/>
      <c r="J232" s="704"/>
      <c r="K232" s="704"/>
      <c r="L232" s="704"/>
      <c r="M232" s="704"/>
      <c r="N232" s="704"/>
      <c r="O232" s="700"/>
    </row>
    <row r="233" spans="1:15" ht="15.75" customHeight="1" x14ac:dyDescent="0.3">
      <c r="A233" s="700"/>
      <c r="B233" s="700"/>
      <c r="C233" s="700"/>
      <c r="D233" s="701"/>
      <c r="E233" s="700"/>
      <c r="F233" s="328"/>
      <c r="G233" s="700"/>
      <c r="H233" s="700"/>
      <c r="I233" s="703"/>
      <c r="J233" s="704"/>
      <c r="K233" s="704"/>
      <c r="L233" s="704"/>
      <c r="M233" s="704"/>
      <c r="N233" s="704"/>
      <c r="O233" s="700"/>
    </row>
    <row r="234" spans="1:15" ht="15.75" customHeight="1" x14ac:dyDescent="0.3">
      <c r="A234" s="700"/>
      <c r="B234" s="700"/>
      <c r="C234" s="700"/>
      <c r="D234" s="701"/>
      <c r="E234" s="700"/>
      <c r="F234" s="328"/>
      <c r="G234" s="700"/>
      <c r="H234" s="700"/>
      <c r="I234" s="703"/>
      <c r="J234" s="704"/>
      <c r="K234" s="704"/>
      <c r="L234" s="704"/>
      <c r="M234" s="704"/>
      <c r="N234" s="704"/>
      <c r="O234" s="700"/>
    </row>
    <row r="235" spans="1:15" ht="15.75" customHeight="1" x14ac:dyDescent="0.3">
      <c r="A235" s="700"/>
      <c r="B235" s="700"/>
      <c r="C235" s="700"/>
      <c r="D235" s="701"/>
      <c r="E235" s="700"/>
      <c r="F235" s="328"/>
      <c r="G235" s="700"/>
      <c r="H235" s="700"/>
      <c r="I235" s="703"/>
      <c r="J235" s="704"/>
      <c r="K235" s="704"/>
      <c r="L235" s="704"/>
      <c r="M235" s="704"/>
      <c r="N235" s="704"/>
      <c r="O235" s="700"/>
    </row>
    <row r="236" spans="1:15" ht="15.75" customHeight="1" x14ac:dyDescent="0.3">
      <c r="A236" s="700"/>
      <c r="B236" s="700"/>
      <c r="C236" s="700"/>
      <c r="D236" s="701"/>
      <c r="E236" s="700"/>
      <c r="F236" s="328"/>
      <c r="G236" s="700"/>
      <c r="H236" s="700"/>
      <c r="I236" s="703"/>
      <c r="J236" s="704"/>
      <c r="K236" s="704"/>
      <c r="L236" s="704"/>
      <c r="M236" s="704"/>
      <c r="N236" s="704"/>
      <c r="O236" s="700"/>
    </row>
    <row r="237" spans="1:15" ht="15.75" customHeight="1" x14ac:dyDescent="0.3">
      <c r="A237" s="700"/>
      <c r="B237" s="700"/>
      <c r="C237" s="700"/>
      <c r="D237" s="701"/>
      <c r="E237" s="700"/>
      <c r="F237" s="328"/>
      <c r="G237" s="700"/>
      <c r="H237" s="700"/>
      <c r="I237" s="703"/>
      <c r="J237" s="704"/>
      <c r="K237" s="704"/>
      <c r="L237" s="704"/>
      <c r="M237" s="704"/>
      <c r="N237" s="704"/>
      <c r="O237" s="700"/>
    </row>
    <row r="238" spans="1:15" ht="15.75" customHeight="1" x14ac:dyDescent="0.3">
      <c r="A238" s="700"/>
      <c r="B238" s="700"/>
      <c r="C238" s="700"/>
      <c r="D238" s="701"/>
      <c r="E238" s="700"/>
      <c r="F238" s="328"/>
      <c r="G238" s="700"/>
      <c r="H238" s="700"/>
      <c r="I238" s="703"/>
      <c r="J238" s="704"/>
      <c r="K238" s="704"/>
      <c r="L238" s="704"/>
      <c r="M238" s="704"/>
      <c r="N238" s="704"/>
      <c r="O238" s="700"/>
    </row>
    <row r="239" spans="1:15" ht="15.75" customHeight="1" x14ac:dyDescent="0.25">
      <c r="A239" s="619"/>
      <c r="B239" s="619"/>
      <c r="C239" s="619"/>
      <c r="D239" s="708"/>
      <c r="E239" s="619"/>
      <c r="F239" s="329"/>
      <c r="G239" s="619"/>
      <c r="H239" s="619"/>
      <c r="I239" s="710"/>
      <c r="J239" s="710"/>
      <c r="K239" s="710"/>
      <c r="L239" s="710"/>
      <c r="M239" s="710"/>
      <c r="N239" s="710"/>
      <c r="O239" s="619"/>
    </row>
    <row r="240" spans="1:15" ht="15.75" customHeight="1" x14ac:dyDescent="0.25">
      <c r="A240" s="619"/>
      <c r="B240" s="619"/>
      <c r="C240" s="619"/>
      <c r="D240" s="708"/>
      <c r="E240" s="619"/>
      <c r="F240" s="329"/>
      <c r="G240" s="619"/>
      <c r="H240" s="619"/>
      <c r="I240" s="710"/>
      <c r="J240" s="710"/>
      <c r="K240" s="710"/>
      <c r="L240" s="710"/>
      <c r="M240" s="710"/>
      <c r="N240" s="710"/>
      <c r="O240" s="619"/>
    </row>
    <row r="241" spans="1:15" ht="15.75" customHeight="1" x14ac:dyDescent="0.25">
      <c r="A241" s="619"/>
      <c r="B241" s="619"/>
      <c r="C241" s="619"/>
      <c r="D241" s="708"/>
      <c r="E241" s="619"/>
      <c r="F241" s="329"/>
      <c r="G241" s="619"/>
      <c r="H241" s="619"/>
      <c r="I241" s="710"/>
      <c r="J241" s="710"/>
      <c r="K241" s="710"/>
      <c r="L241" s="710"/>
      <c r="M241" s="710"/>
      <c r="N241" s="710"/>
      <c r="O241" s="619"/>
    </row>
    <row r="242" spans="1:15" ht="15.75" customHeight="1" x14ac:dyDescent="0.25">
      <c r="A242" s="619"/>
      <c r="B242" s="619"/>
      <c r="C242" s="619"/>
      <c r="D242" s="708"/>
      <c r="E242" s="619"/>
      <c r="F242" s="329"/>
      <c r="G242" s="619"/>
      <c r="H242" s="619"/>
      <c r="I242" s="710"/>
      <c r="J242" s="710"/>
      <c r="K242" s="710"/>
      <c r="L242" s="710"/>
      <c r="M242" s="710"/>
      <c r="N242" s="710"/>
      <c r="O242" s="619"/>
    </row>
    <row r="243" spans="1:15" ht="15.75" customHeight="1" x14ac:dyDescent="0.25">
      <c r="A243" s="619"/>
      <c r="B243" s="619"/>
      <c r="C243" s="619"/>
      <c r="D243" s="708"/>
      <c r="E243" s="619"/>
      <c r="F243" s="329"/>
      <c r="G243" s="619"/>
      <c r="H243" s="619"/>
      <c r="I243" s="710"/>
      <c r="J243" s="710"/>
      <c r="K243" s="710"/>
      <c r="L243" s="710"/>
      <c r="M243" s="710"/>
      <c r="N243" s="710"/>
      <c r="O243" s="619"/>
    </row>
    <row r="244" spans="1:15" ht="15.75" customHeight="1" x14ac:dyDescent="0.25">
      <c r="A244" s="619"/>
      <c r="B244" s="619"/>
      <c r="C244" s="619"/>
      <c r="D244" s="708"/>
      <c r="E244" s="619"/>
      <c r="F244" s="329"/>
      <c r="G244" s="619"/>
      <c r="H244" s="619"/>
      <c r="I244" s="710"/>
      <c r="J244" s="710"/>
      <c r="K244" s="710"/>
      <c r="L244" s="710"/>
      <c r="M244" s="710"/>
      <c r="N244" s="710"/>
      <c r="O244" s="619"/>
    </row>
    <row r="245" spans="1:15" ht="15.75" customHeight="1" x14ac:dyDescent="0.25">
      <c r="A245" s="619"/>
      <c r="B245" s="619"/>
      <c r="C245" s="619"/>
      <c r="D245" s="708"/>
      <c r="E245" s="619"/>
      <c r="F245" s="329"/>
      <c r="G245" s="619"/>
      <c r="H245" s="619"/>
      <c r="I245" s="710"/>
      <c r="J245" s="710"/>
      <c r="K245" s="710"/>
      <c r="L245" s="710"/>
      <c r="M245" s="710"/>
      <c r="N245" s="710"/>
      <c r="O245" s="619"/>
    </row>
    <row r="246" spans="1:15" ht="15.75" customHeight="1" x14ac:dyDescent="0.25">
      <c r="A246" s="619"/>
      <c r="B246" s="619"/>
      <c r="C246" s="619"/>
      <c r="D246" s="708"/>
      <c r="E246" s="619"/>
      <c r="F246" s="329"/>
      <c r="G246" s="619"/>
      <c r="H246" s="619"/>
      <c r="I246" s="710"/>
      <c r="J246" s="710"/>
      <c r="K246" s="710"/>
      <c r="L246" s="710"/>
      <c r="M246" s="710"/>
      <c r="N246" s="710"/>
      <c r="O246" s="619"/>
    </row>
    <row r="247" spans="1:15" ht="15.75" customHeight="1" x14ac:dyDescent="0.25">
      <c r="A247" s="619"/>
      <c r="B247" s="619"/>
      <c r="C247" s="619"/>
      <c r="D247" s="708"/>
      <c r="E247" s="619"/>
      <c r="F247" s="329"/>
      <c r="G247" s="619"/>
      <c r="H247" s="619"/>
      <c r="I247" s="710"/>
      <c r="J247" s="710"/>
      <c r="K247" s="710"/>
      <c r="L247" s="710"/>
      <c r="M247" s="710"/>
      <c r="N247" s="710"/>
      <c r="O247" s="619"/>
    </row>
    <row r="248" spans="1:15" ht="15.75" customHeight="1" x14ac:dyDescent="0.25">
      <c r="A248" s="619"/>
      <c r="B248" s="619"/>
      <c r="C248" s="619"/>
      <c r="D248" s="708"/>
      <c r="E248" s="619"/>
      <c r="F248" s="329"/>
      <c r="G248" s="619"/>
      <c r="H248" s="619"/>
      <c r="I248" s="710"/>
      <c r="J248" s="710"/>
      <c r="K248" s="710"/>
      <c r="L248" s="710"/>
      <c r="M248" s="710"/>
      <c r="N248" s="710"/>
      <c r="O248" s="619"/>
    </row>
    <row r="249" spans="1:15" ht="15.75" customHeight="1" x14ac:dyDescent="0.25">
      <c r="A249" s="619"/>
      <c r="B249" s="619"/>
      <c r="C249" s="619"/>
      <c r="D249" s="708"/>
      <c r="E249" s="619"/>
      <c r="F249" s="329"/>
      <c r="G249" s="619"/>
      <c r="H249" s="619"/>
      <c r="I249" s="710"/>
      <c r="J249" s="710"/>
      <c r="K249" s="710"/>
      <c r="L249" s="710"/>
      <c r="M249" s="710"/>
      <c r="N249" s="710"/>
      <c r="O249" s="619"/>
    </row>
    <row r="250" spans="1:15" ht="15.75" customHeight="1" x14ac:dyDescent="0.25">
      <c r="A250" s="619"/>
      <c r="B250" s="619"/>
      <c r="C250" s="619"/>
      <c r="D250" s="708"/>
      <c r="E250" s="619"/>
      <c r="F250" s="329"/>
      <c r="G250" s="619"/>
      <c r="H250" s="619"/>
      <c r="I250" s="710"/>
      <c r="J250" s="710"/>
      <c r="K250" s="710"/>
      <c r="L250" s="710"/>
      <c r="M250" s="710"/>
      <c r="N250" s="710"/>
      <c r="O250" s="619"/>
    </row>
    <row r="251" spans="1:15" ht="15.75" customHeight="1" x14ac:dyDescent="0.25">
      <c r="A251" s="619"/>
      <c r="B251" s="619"/>
      <c r="C251" s="619"/>
      <c r="D251" s="708"/>
      <c r="E251" s="619"/>
      <c r="F251" s="329"/>
      <c r="G251" s="619"/>
      <c r="H251" s="619"/>
      <c r="I251" s="710"/>
      <c r="J251" s="710"/>
      <c r="K251" s="710"/>
      <c r="L251" s="710"/>
      <c r="M251" s="710"/>
      <c r="N251" s="710"/>
      <c r="O251" s="619"/>
    </row>
    <row r="252" spans="1:15" ht="15.75" customHeight="1" x14ac:dyDescent="0.25">
      <c r="A252" s="619"/>
      <c r="B252" s="619"/>
      <c r="C252" s="619"/>
      <c r="D252" s="708"/>
      <c r="E252" s="619"/>
      <c r="F252" s="329"/>
      <c r="G252" s="619"/>
      <c r="H252" s="619"/>
      <c r="I252" s="710"/>
      <c r="J252" s="710"/>
      <c r="K252" s="710"/>
      <c r="L252" s="710"/>
      <c r="M252" s="710"/>
      <c r="N252" s="710"/>
      <c r="O252" s="619"/>
    </row>
    <row r="253" spans="1:15" ht="15.75" customHeight="1" x14ac:dyDescent="0.25">
      <c r="A253" s="619"/>
      <c r="B253" s="619"/>
      <c r="C253" s="619"/>
      <c r="D253" s="708"/>
      <c r="E253" s="619"/>
      <c r="F253" s="329"/>
      <c r="G253" s="619"/>
      <c r="H253" s="619"/>
      <c r="I253" s="710"/>
      <c r="J253" s="710"/>
      <c r="K253" s="710"/>
      <c r="L253" s="710"/>
      <c r="M253" s="710"/>
      <c r="N253" s="710"/>
      <c r="O253" s="619"/>
    </row>
    <row r="254" spans="1:15" ht="15.75" customHeight="1" x14ac:dyDescent="0.25">
      <c r="A254" s="619"/>
      <c r="B254" s="619"/>
      <c r="C254" s="619"/>
      <c r="D254" s="708"/>
      <c r="E254" s="619"/>
      <c r="F254" s="329"/>
      <c r="G254" s="619"/>
      <c r="H254" s="619"/>
      <c r="I254" s="710"/>
      <c r="J254" s="710"/>
      <c r="K254" s="710"/>
      <c r="L254" s="710"/>
      <c r="M254" s="710"/>
      <c r="N254" s="710"/>
      <c r="O254" s="619"/>
    </row>
    <row r="255" spans="1:15" ht="15.75" customHeight="1" x14ac:dyDescent="0.25">
      <c r="A255" s="619"/>
      <c r="B255" s="619"/>
      <c r="C255" s="619"/>
      <c r="D255" s="708"/>
      <c r="E255" s="619"/>
      <c r="F255" s="329"/>
      <c r="G255" s="619"/>
      <c r="H255" s="619"/>
      <c r="I255" s="710"/>
      <c r="J255" s="710"/>
      <c r="K255" s="710"/>
      <c r="L255" s="710"/>
      <c r="M255" s="710"/>
      <c r="N255" s="710"/>
      <c r="O255" s="619"/>
    </row>
    <row r="256" spans="1:15" ht="15.75" customHeight="1" x14ac:dyDescent="0.25">
      <c r="A256" s="619"/>
      <c r="B256" s="619"/>
      <c r="C256" s="619"/>
      <c r="D256" s="708"/>
      <c r="E256" s="619"/>
      <c r="F256" s="329"/>
      <c r="G256" s="619"/>
      <c r="H256" s="619"/>
      <c r="I256" s="710"/>
      <c r="J256" s="710"/>
      <c r="K256" s="710"/>
      <c r="L256" s="710"/>
      <c r="M256" s="710"/>
      <c r="N256" s="710"/>
      <c r="O256" s="619"/>
    </row>
    <row r="257" spans="1:15" ht="15.75" customHeight="1" x14ac:dyDescent="0.25">
      <c r="A257" s="619"/>
      <c r="B257" s="619"/>
      <c r="C257" s="619"/>
      <c r="D257" s="708"/>
      <c r="E257" s="619"/>
      <c r="F257" s="329"/>
      <c r="G257" s="619"/>
      <c r="H257" s="619"/>
      <c r="I257" s="710"/>
      <c r="J257" s="710"/>
      <c r="K257" s="710"/>
      <c r="L257" s="710"/>
      <c r="M257" s="710"/>
      <c r="N257" s="710"/>
      <c r="O257" s="619"/>
    </row>
    <row r="258" spans="1:15" ht="15.75" customHeight="1" x14ac:dyDescent="0.25">
      <c r="A258" s="619"/>
      <c r="B258" s="619"/>
      <c r="C258" s="619"/>
      <c r="D258" s="708"/>
      <c r="E258" s="619"/>
      <c r="F258" s="329"/>
      <c r="G258" s="619"/>
      <c r="H258" s="619"/>
      <c r="I258" s="710"/>
      <c r="J258" s="710"/>
      <c r="K258" s="710"/>
      <c r="L258" s="710"/>
      <c r="M258" s="710"/>
      <c r="N258" s="710"/>
      <c r="O258" s="619"/>
    </row>
    <row r="259" spans="1:15" ht="15.75" customHeight="1" x14ac:dyDescent="0.25">
      <c r="A259" s="619"/>
      <c r="B259" s="619"/>
      <c r="C259" s="619"/>
      <c r="D259" s="708"/>
      <c r="E259" s="619"/>
      <c r="F259" s="329"/>
      <c r="G259" s="619"/>
      <c r="H259" s="619"/>
      <c r="I259" s="710"/>
      <c r="J259" s="710"/>
      <c r="K259" s="710"/>
      <c r="L259" s="710"/>
      <c r="M259" s="710"/>
      <c r="N259" s="710"/>
      <c r="O259" s="619"/>
    </row>
    <row r="260" spans="1:15" ht="15.75" customHeight="1" x14ac:dyDescent="0.25">
      <c r="A260" s="619"/>
      <c r="B260" s="619"/>
      <c r="C260" s="619"/>
      <c r="D260" s="708"/>
      <c r="E260" s="619"/>
      <c r="F260" s="329"/>
      <c r="G260" s="619"/>
      <c r="H260" s="619"/>
      <c r="I260" s="710"/>
      <c r="J260" s="710"/>
      <c r="K260" s="710"/>
      <c r="L260" s="710"/>
      <c r="M260" s="710"/>
      <c r="N260" s="710"/>
      <c r="O260" s="619"/>
    </row>
    <row r="261" spans="1:15" ht="15.75" customHeight="1" x14ac:dyDescent="0.25">
      <c r="A261" s="619"/>
      <c r="B261" s="619"/>
      <c r="C261" s="619"/>
      <c r="D261" s="708"/>
      <c r="E261" s="619"/>
      <c r="F261" s="329"/>
      <c r="G261" s="619"/>
      <c r="H261" s="619"/>
      <c r="I261" s="710"/>
      <c r="J261" s="710"/>
      <c r="K261" s="710"/>
      <c r="L261" s="710"/>
      <c r="M261" s="710"/>
      <c r="N261" s="710"/>
      <c r="O261" s="619"/>
    </row>
    <row r="262" spans="1:15" ht="15.75" customHeight="1" x14ac:dyDescent="0.25">
      <c r="A262" s="619"/>
      <c r="B262" s="619"/>
      <c r="C262" s="619"/>
      <c r="D262" s="708"/>
      <c r="E262" s="619"/>
      <c r="F262" s="329"/>
      <c r="G262" s="619"/>
      <c r="H262" s="619"/>
      <c r="I262" s="710"/>
      <c r="J262" s="710"/>
      <c r="K262" s="710"/>
      <c r="L262" s="710"/>
      <c r="M262" s="710"/>
      <c r="N262" s="710"/>
      <c r="O262" s="619"/>
    </row>
    <row r="263" spans="1:15" ht="15.75" customHeight="1" x14ac:dyDescent="0.25">
      <c r="A263" s="619"/>
      <c r="B263" s="619"/>
      <c r="C263" s="619"/>
      <c r="D263" s="708"/>
      <c r="E263" s="619"/>
      <c r="F263" s="329"/>
      <c r="G263" s="619"/>
      <c r="H263" s="619"/>
      <c r="I263" s="710"/>
      <c r="J263" s="710"/>
      <c r="K263" s="710"/>
      <c r="L263" s="710"/>
      <c r="M263" s="710"/>
      <c r="N263" s="710"/>
      <c r="O263" s="619"/>
    </row>
    <row r="264" spans="1:15" ht="15.75" customHeight="1" x14ac:dyDescent="0.25">
      <c r="A264" s="619"/>
      <c r="B264" s="619"/>
      <c r="C264" s="619"/>
      <c r="D264" s="708"/>
      <c r="E264" s="619"/>
      <c r="F264" s="329"/>
      <c r="G264" s="619"/>
      <c r="H264" s="619"/>
      <c r="I264" s="710"/>
      <c r="J264" s="710"/>
      <c r="K264" s="710"/>
      <c r="L264" s="710"/>
      <c r="M264" s="710"/>
      <c r="N264" s="710"/>
      <c r="O264" s="619"/>
    </row>
    <row r="265" spans="1:15" ht="15.75" customHeight="1" x14ac:dyDescent="0.25">
      <c r="A265" s="619"/>
      <c r="B265" s="619"/>
      <c r="C265" s="619"/>
      <c r="D265" s="708"/>
      <c r="E265" s="619"/>
      <c r="F265" s="329"/>
      <c r="G265" s="619"/>
      <c r="H265" s="619"/>
      <c r="I265" s="710"/>
      <c r="J265" s="710"/>
      <c r="K265" s="710"/>
      <c r="L265" s="710"/>
      <c r="M265" s="710"/>
      <c r="N265" s="710"/>
      <c r="O265" s="619"/>
    </row>
    <row r="266" spans="1:15" ht="15.75" customHeight="1" x14ac:dyDescent="0.25">
      <c r="A266" s="619"/>
      <c r="B266" s="619"/>
      <c r="C266" s="619"/>
      <c r="D266" s="708"/>
      <c r="E266" s="619"/>
      <c r="F266" s="329"/>
      <c r="G266" s="619"/>
      <c r="H266" s="619"/>
      <c r="I266" s="710"/>
      <c r="J266" s="710"/>
      <c r="K266" s="710"/>
      <c r="L266" s="710"/>
      <c r="M266" s="710"/>
      <c r="N266" s="710"/>
      <c r="O266" s="619"/>
    </row>
    <row r="267" spans="1:15" ht="15.75" customHeight="1" x14ac:dyDescent="0.25">
      <c r="A267" s="619"/>
      <c r="B267" s="619"/>
      <c r="C267" s="619"/>
      <c r="D267" s="708"/>
      <c r="E267" s="619"/>
      <c r="F267" s="329"/>
      <c r="G267" s="619"/>
      <c r="H267" s="619"/>
      <c r="I267" s="710"/>
      <c r="J267" s="710"/>
      <c r="K267" s="710"/>
      <c r="L267" s="710"/>
      <c r="M267" s="710"/>
      <c r="N267" s="710"/>
      <c r="O267" s="619"/>
    </row>
    <row r="268" spans="1:15" ht="15.75" customHeight="1" x14ac:dyDescent="0.25">
      <c r="A268" s="619"/>
      <c r="B268" s="619"/>
      <c r="C268" s="619"/>
      <c r="D268" s="708"/>
      <c r="E268" s="619"/>
      <c r="F268" s="329"/>
      <c r="G268" s="619"/>
      <c r="H268" s="619"/>
      <c r="I268" s="710"/>
      <c r="J268" s="710"/>
      <c r="K268" s="710"/>
      <c r="L268" s="710"/>
      <c r="M268" s="710"/>
      <c r="N268" s="710"/>
      <c r="O268" s="619"/>
    </row>
    <row r="269" spans="1:15" ht="15.75" customHeight="1" x14ac:dyDescent="0.25">
      <c r="A269" s="619"/>
      <c r="B269" s="619"/>
      <c r="C269" s="619"/>
      <c r="D269" s="708"/>
      <c r="E269" s="619"/>
      <c r="F269" s="329"/>
      <c r="G269" s="619"/>
      <c r="H269" s="619"/>
      <c r="I269" s="710"/>
      <c r="J269" s="710"/>
      <c r="K269" s="710"/>
      <c r="L269" s="710"/>
      <c r="M269" s="710"/>
      <c r="N269" s="710"/>
      <c r="O269" s="619"/>
    </row>
    <row r="270" spans="1:15" ht="15.75" customHeight="1" x14ac:dyDescent="0.25">
      <c r="A270" s="619"/>
      <c r="B270" s="619"/>
      <c r="C270" s="619"/>
      <c r="D270" s="708"/>
      <c r="E270" s="619"/>
      <c r="F270" s="329"/>
      <c r="G270" s="619"/>
      <c r="H270" s="619"/>
      <c r="I270" s="710"/>
      <c r="J270" s="710"/>
      <c r="K270" s="710"/>
      <c r="L270" s="710"/>
      <c r="M270" s="710"/>
      <c r="N270" s="710"/>
      <c r="O270" s="619"/>
    </row>
    <row r="271" spans="1:15" ht="15.75" customHeight="1" x14ac:dyDescent="0.25">
      <c r="A271" s="619"/>
      <c r="B271" s="619"/>
      <c r="C271" s="619"/>
      <c r="D271" s="708"/>
      <c r="E271" s="619"/>
      <c r="F271" s="329"/>
      <c r="G271" s="619"/>
      <c r="H271" s="619"/>
      <c r="I271" s="710"/>
      <c r="J271" s="710"/>
      <c r="K271" s="710"/>
      <c r="L271" s="710"/>
      <c r="M271" s="710"/>
      <c r="N271" s="710"/>
      <c r="O271" s="619"/>
    </row>
    <row r="272" spans="1:15" ht="15.75" customHeight="1" x14ac:dyDescent="0.25">
      <c r="A272" s="619"/>
      <c r="B272" s="619"/>
      <c r="C272" s="619"/>
      <c r="D272" s="708"/>
      <c r="E272" s="619"/>
      <c r="F272" s="329"/>
      <c r="G272" s="619"/>
      <c r="H272" s="619"/>
      <c r="I272" s="710"/>
      <c r="J272" s="710"/>
      <c r="K272" s="710"/>
      <c r="L272" s="710"/>
      <c r="M272" s="710"/>
      <c r="N272" s="710"/>
      <c r="O272" s="619"/>
    </row>
    <row r="273" spans="1:15" ht="15.75" customHeight="1" x14ac:dyDescent="0.25">
      <c r="A273" s="619"/>
      <c r="B273" s="619"/>
      <c r="C273" s="619"/>
      <c r="D273" s="708"/>
      <c r="E273" s="619"/>
      <c r="F273" s="329"/>
      <c r="G273" s="619"/>
      <c r="H273" s="619"/>
      <c r="I273" s="710"/>
      <c r="J273" s="710"/>
      <c r="K273" s="710"/>
      <c r="L273" s="710"/>
      <c r="M273" s="710"/>
      <c r="N273" s="710"/>
      <c r="O273" s="619"/>
    </row>
    <row r="274" spans="1:15" ht="15.75" customHeight="1" x14ac:dyDescent="0.25">
      <c r="A274" s="619"/>
      <c r="B274" s="619"/>
      <c r="C274" s="619"/>
      <c r="D274" s="708"/>
      <c r="E274" s="619"/>
      <c r="F274" s="329"/>
      <c r="G274" s="619"/>
      <c r="H274" s="619"/>
      <c r="I274" s="710"/>
      <c r="J274" s="710"/>
      <c r="K274" s="710"/>
      <c r="L274" s="710"/>
      <c r="M274" s="710"/>
      <c r="N274" s="710"/>
      <c r="O274" s="619"/>
    </row>
    <row r="275" spans="1:15" ht="15.75" customHeight="1" x14ac:dyDescent="0.25">
      <c r="A275" s="619"/>
      <c r="B275" s="619"/>
      <c r="C275" s="619"/>
      <c r="D275" s="708"/>
      <c r="E275" s="619"/>
      <c r="F275" s="329"/>
      <c r="G275" s="619"/>
      <c r="H275" s="619"/>
      <c r="I275" s="710"/>
      <c r="J275" s="710"/>
      <c r="K275" s="710"/>
      <c r="L275" s="710"/>
      <c r="M275" s="710"/>
      <c r="N275" s="710"/>
      <c r="O275" s="619"/>
    </row>
    <row r="276" spans="1:15" ht="15.75" customHeight="1" x14ac:dyDescent="0.25">
      <c r="A276" s="619"/>
      <c r="B276" s="619"/>
      <c r="C276" s="619"/>
      <c r="D276" s="708"/>
      <c r="E276" s="619"/>
      <c r="F276" s="329"/>
      <c r="G276" s="619"/>
      <c r="H276" s="619"/>
      <c r="I276" s="710"/>
      <c r="J276" s="710"/>
      <c r="K276" s="710"/>
      <c r="L276" s="710"/>
      <c r="M276" s="710"/>
      <c r="N276" s="710"/>
      <c r="O276" s="619"/>
    </row>
    <row r="277" spans="1:15" ht="15.75" customHeight="1" x14ac:dyDescent="0.25">
      <c r="A277" s="619"/>
      <c r="B277" s="619"/>
      <c r="C277" s="619"/>
      <c r="D277" s="708"/>
      <c r="E277" s="619"/>
      <c r="F277" s="329"/>
      <c r="G277" s="619"/>
      <c r="H277" s="619"/>
      <c r="I277" s="710"/>
      <c r="J277" s="710"/>
      <c r="K277" s="710"/>
      <c r="L277" s="710"/>
      <c r="M277" s="710"/>
      <c r="N277" s="710"/>
      <c r="O277" s="619"/>
    </row>
    <row r="278" spans="1:15" ht="15.75" customHeight="1" x14ac:dyDescent="0.25">
      <c r="A278" s="619"/>
      <c r="B278" s="619"/>
      <c r="C278" s="619"/>
      <c r="D278" s="708"/>
      <c r="E278" s="619"/>
      <c r="F278" s="329"/>
      <c r="G278" s="619"/>
      <c r="H278" s="619"/>
      <c r="I278" s="710"/>
      <c r="J278" s="710"/>
      <c r="K278" s="710"/>
      <c r="L278" s="710"/>
      <c r="M278" s="710"/>
      <c r="N278" s="710"/>
      <c r="O278" s="619"/>
    </row>
    <row r="279" spans="1:15" ht="15.75" customHeight="1" x14ac:dyDescent="0.25">
      <c r="A279" s="619"/>
      <c r="B279" s="619"/>
      <c r="C279" s="619"/>
      <c r="D279" s="708"/>
      <c r="E279" s="619"/>
      <c r="F279" s="329"/>
      <c r="G279" s="619"/>
      <c r="H279" s="619"/>
      <c r="I279" s="710"/>
      <c r="J279" s="710"/>
      <c r="K279" s="710"/>
      <c r="L279" s="710"/>
      <c r="M279" s="710"/>
      <c r="N279" s="710"/>
      <c r="O279" s="619"/>
    </row>
    <row r="280" spans="1:15" ht="15.75" customHeight="1" x14ac:dyDescent="0.25">
      <c r="A280" s="619"/>
      <c r="B280" s="619"/>
      <c r="C280" s="619"/>
      <c r="D280" s="708"/>
      <c r="E280" s="619"/>
      <c r="F280" s="329"/>
      <c r="G280" s="619"/>
      <c r="H280" s="619"/>
      <c r="I280" s="710"/>
      <c r="J280" s="710"/>
      <c r="K280" s="710"/>
      <c r="L280" s="710"/>
      <c r="M280" s="710"/>
      <c r="N280" s="710"/>
      <c r="O280" s="619"/>
    </row>
    <row r="281" spans="1:15" ht="15.75" customHeight="1" x14ac:dyDescent="0.25">
      <c r="A281" s="619"/>
      <c r="B281" s="619"/>
      <c r="C281" s="619"/>
      <c r="D281" s="708"/>
      <c r="E281" s="619"/>
      <c r="F281" s="329"/>
      <c r="G281" s="619"/>
      <c r="H281" s="619"/>
      <c r="I281" s="710"/>
      <c r="J281" s="710"/>
      <c r="K281" s="710"/>
      <c r="L281" s="710"/>
      <c r="M281" s="710"/>
      <c r="N281" s="710"/>
      <c r="O281" s="619"/>
    </row>
    <row r="282" spans="1:15" ht="15.75" customHeight="1" x14ac:dyDescent="0.25">
      <c r="A282" s="619"/>
      <c r="B282" s="619"/>
      <c r="C282" s="619"/>
      <c r="D282" s="708"/>
      <c r="E282" s="619"/>
      <c r="F282" s="329"/>
      <c r="G282" s="619"/>
      <c r="H282" s="619"/>
      <c r="I282" s="710"/>
      <c r="J282" s="710"/>
      <c r="K282" s="710"/>
      <c r="L282" s="710"/>
      <c r="M282" s="710"/>
      <c r="N282" s="710"/>
      <c r="O282" s="619"/>
    </row>
    <row r="283" spans="1:15" ht="15.75" customHeight="1" x14ac:dyDescent="0.25">
      <c r="A283" s="619"/>
      <c r="B283" s="619"/>
      <c r="C283" s="619"/>
      <c r="D283" s="708"/>
      <c r="E283" s="619"/>
      <c r="F283" s="329"/>
      <c r="G283" s="619"/>
      <c r="H283" s="619"/>
      <c r="I283" s="710"/>
      <c r="J283" s="710"/>
      <c r="K283" s="710"/>
      <c r="L283" s="710"/>
      <c r="M283" s="710"/>
      <c r="N283" s="710"/>
      <c r="O283" s="619"/>
    </row>
    <row r="284" spans="1:15" ht="15.75" customHeight="1" x14ac:dyDescent="0.25">
      <c r="A284" s="619"/>
      <c r="B284" s="619"/>
      <c r="C284" s="619"/>
      <c r="D284" s="708"/>
      <c r="E284" s="619"/>
      <c r="F284" s="329"/>
      <c r="G284" s="619"/>
      <c r="H284" s="619"/>
      <c r="I284" s="710"/>
      <c r="J284" s="710"/>
      <c r="K284" s="710"/>
      <c r="L284" s="710"/>
      <c r="M284" s="710"/>
      <c r="N284" s="710"/>
      <c r="O284" s="619"/>
    </row>
    <row r="285" spans="1:15" ht="15.75" customHeight="1" x14ac:dyDescent="0.25">
      <c r="A285" s="619"/>
      <c r="B285" s="619"/>
      <c r="C285" s="619"/>
      <c r="D285" s="708"/>
      <c r="E285" s="619"/>
      <c r="F285" s="329"/>
      <c r="G285" s="619"/>
      <c r="H285" s="619"/>
      <c r="I285" s="710"/>
      <c r="J285" s="710"/>
      <c r="K285" s="710"/>
      <c r="L285" s="710"/>
      <c r="M285" s="710"/>
      <c r="N285" s="710"/>
      <c r="O285" s="619"/>
    </row>
    <row r="286" spans="1:15" ht="15.75" customHeight="1" x14ac:dyDescent="0.25">
      <c r="A286" s="619"/>
      <c r="B286" s="619"/>
      <c r="C286" s="619"/>
      <c r="D286" s="708"/>
      <c r="E286" s="619"/>
      <c r="F286" s="329"/>
      <c r="G286" s="619"/>
      <c r="H286" s="619"/>
      <c r="I286" s="710"/>
      <c r="J286" s="710"/>
      <c r="K286" s="710"/>
      <c r="L286" s="710"/>
      <c r="M286" s="710"/>
      <c r="N286" s="710"/>
      <c r="O286" s="619"/>
    </row>
    <row r="287" spans="1:15" ht="15.75" customHeight="1" x14ac:dyDescent="0.25">
      <c r="A287" s="619"/>
      <c r="B287" s="619"/>
      <c r="C287" s="619"/>
      <c r="D287" s="708"/>
      <c r="E287" s="619"/>
      <c r="F287" s="329"/>
      <c r="G287" s="619"/>
      <c r="H287" s="619"/>
      <c r="I287" s="710"/>
      <c r="J287" s="710"/>
      <c r="K287" s="710"/>
      <c r="L287" s="710"/>
      <c r="M287" s="710"/>
      <c r="N287" s="710"/>
      <c r="O287" s="619"/>
    </row>
    <row r="288" spans="1:15" ht="15.75" customHeight="1" x14ac:dyDescent="0.25">
      <c r="A288" s="619"/>
      <c r="B288" s="619"/>
      <c r="C288" s="619"/>
      <c r="D288" s="708"/>
      <c r="E288" s="619"/>
      <c r="F288" s="329"/>
      <c r="G288" s="619"/>
      <c r="H288" s="619"/>
      <c r="I288" s="710"/>
      <c r="J288" s="710"/>
      <c r="K288" s="710"/>
      <c r="L288" s="710"/>
      <c r="M288" s="710"/>
      <c r="N288" s="710"/>
      <c r="O288" s="619"/>
    </row>
    <row r="289" spans="1:15" ht="15.75" customHeight="1" x14ac:dyDescent="0.25">
      <c r="A289" s="619"/>
      <c r="B289" s="619"/>
      <c r="C289" s="619"/>
      <c r="D289" s="708"/>
      <c r="E289" s="619"/>
      <c r="F289" s="329"/>
      <c r="G289" s="619"/>
      <c r="H289" s="619"/>
      <c r="I289" s="710"/>
      <c r="J289" s="710"/>
      <c r="K289" s="710"/>
      <c r="L289" s="710"/>
      <c r="M289" s="710"/>
      <c r="N289" s="710"/>
      <c r="O289" s="619"/>
    </row>
    <row r="290" spans="1:15" ht="15.75" customHeight="1" x14ac:dyDescent="0.25">
      <c r="A290" s="619"/>
      <c r="B290" s="619"/>
      <c r="C290" s="619"/>
      <c r="D290" s="708"/>
      <c r="E290" s="619"/>
      <c r="F290" s="329"/>
      <c r="G290" s="619"/>
      <c r="H290" s="619"/>
      <c r="I290" s="710"/>
      <c r="J290" s="710"/>
      <c r="K290" s="710"/>
      <c r="L290" s="710"/>
      <c r="M290" s="710"/>
      <c r="N290" s="710"/>
      <c r="O290" s="619"/>
    </row>
    <row r="291" spans="1:15" ht="15.75" customHeight="1" x14ac:dyDescent="0.25">
      <c r="A291" s="619"/>
      <c r="B291" s="619"/>
      <c r="C291" s="619"/>
      <c r="D291" s="708"/>
      <c r="E291" s="619"/>
      <c r="F291" s="329"/>
      <c r="G291" s="619"/>
      <c r="H291" s="619"/>
      <c r="I291" s="710"/>
      <c r="J291" s="710"/>
      <c r="K291" s="710"/>
      <c r="L291" s="710"/>
      <c r="M291" s="710"/>
      <c r="N291" s="710"/>
      <c r="O291" s="619"/>
    </row>
    <row r="292" spans="1:15" ht="15.75" customHeight="1" x14ac:dyDescent="0.25">
      <c r="A292" s="619"/>
      <c r="B292" s="619"/>
      <c r="C292" s="619"/>
      <c r="D292" s="708"/>
      <c r="E292" s="619"/>
      <c r="F292" s="329"/>
      <c r="G292" s="619"/>
      <c r="H292" s="619"/>
      <c r="I292" s="710"/>
      <c r="J292" s="710"/>
      <c r="K292" s="710"/>
      <c r="L292" s="710"/>
      <c r="M292" s="710"/>
      <c r="N292" s="710"/>
      <c r="O292" s="619"/>
    </row>
    <row r="293" spans="1:15" ht="15.75" customHeight="1" x14ac:dyDescent="0.25">
      <c r="A293" s="619"/>
      <c r="B293" s="619"/>
      <c r="C293" s="619"/>
      <c r="D293" s="708"/>
      <c r="E293" s="619"/>
      <c r="F293" s="329"/>
      <c r="G293" s="619"/>
      <c r="H293" s="619"/>
      <c r="I293" s="710"/>
      <c r="J293" s="710"/>
      <c r="K293" s="710"/>
      <c r="L293" s="710"/>
      <c r="M293" s="710"/>
      <c r="N293" s="710"/>
      <c r="O293" s="619"/>
    </row>
    <row r="294" spans="1:15" ht="15.75" customHeight="1" x14ac:dyDescent="0.25">
      <c r="A294" s="619"/>
      <c r="B294" s="619"/>
      <c r="C294" s="619"/>
      <c r="D294" s="708"/>
      <c r="E294" s="619"/>
      <c r="F294" s="329"/>
      <c r="G294" s="619"/>
      <c r="H294" s="619"/>
      <c r="I294" s="710"/>
      <c r="J294" s="710"/>
      <c r="K294" s="710"/>
      <c r="L294" s="710"/>
      <c r="M294" s="710"/>
      <c r="N294" s="710"/>
      <c r="O294" s="619"/>
    </row>
    <row r="295" spans="1:15" ht="15.75" customHeight="1" x14ac:dyDescent="0.25">
      <c r="A295" s="619"/>
      <c r="B295" s="619"/>
      <c r="C295" s="619"/>
      <c r="D295" s="708"/>
      <c r="E295" s="619"/>
      <c r="F295" s="329"/>
      <c r="G295" s="619"/>
      <c r="H295" s="619"/>
      <c r="I295" s="710"/>
      <c r="J295" s="710"/>
      <c r="K295" s="710"/>
      <c r="L295" s="710"/>
      <c r="M295" s="710"/>
      <c r="N295" s="710"/>
      <c r="O295" s="619"/>
    </row>
    <row r="296" spans="1:15" ht="15.75" customHeight="1" x14ac:dyDescent="0.25">
      <c r="A296" s="619"/>
      <c r="B296" s="619"/>
      <c r="C296" s="619"/>
      <c r="D296" s="708"/>
      <c r="E296" s="619"/>
      <c r="F296" s="329"/>
      <c r="G296" s="619"/>
      <c r="H296" s="619"/>
      <c r="I296" s="710"/>
      <c r="J296" s="710"/>
      <c r="K296" s="710"/>
      <c r="L296" s="710"/>
      <c r="M296" s="710"/>
      <c r="N296" s="710"/>
      <c r="O296" s="619"/>
    </row>
    <row r="297" spans="1:15" ht="15.75" customHeight="1" x14ac:dyDescent="0.25">
      <c r="A297" s="619"/>
      <c r="B297" s="619"/>
      <c r="C297" s="619"/>
      <c r="D297" s="708"/>
      <c r="E297" s="619"/>
      <c r="F297" s="329"/>
      <c r="G297" s="619"/>
      <c r="H297" s="619"/>
      <c r="I297" s="710"/>
      <c r="J297" s="710"/>
      <c r="K297" s="710"/>
      <c r="L297" s="710"/>
      <c r="M297" s="710"/>
      <c r="N297" s="710"/>
      <c r="O297" s="619"/>
    </row>
    <row r="298" spans="1:15" ht="15.75" customHeight="1" x14ac:dyDescent="0.25">
      <c r="A298" s="619"/>
      <c r="B298" s="619"/>
      <c r="C298" s="619"/>
      <c r="D298" s="708"/>
      <c r="E298" s="619"/>
      <c r="F298" s="329"/>
      <c r="G298" s="619"/>
      <c r="H298" s="619"/>
      <c r="I298" s="710"/>
      <c r="J298" s="710"/>
      <c r="K298" s="710"/>
      <c r="L298" s="710"/>
      <c r="M298" s="710"/>
      <c r="N298" s="710"/>
      <c r="O298" s="619"/>
    </row>
    <row r="299" spans="1:15" ht="15.75" customHeight="1" x14ac:dyDescent="0.25">
      <c r="A299" s="619"/>
      <c r="B299" s="619"/>
      <c r="C299" s="619"/>
      <c r="D299" s="708"/>
      <c r="E299" s="619"/>
      <c r="F299" s="329"/>
      <c r="G299" s="619"/>
      <c r="H299" s="619"/>
      <c r="I299" s="710"/>
      <c r="J299" s="710"/>
      <c r="K299" s="710"/>
      <c r="L299" s="710"/>
      <c r="M299" s="710"/>
      <c r="N299" s="710"/>
      <c r="O299" s="619"/>
    </row>
    <row r="300" spans="1:15" ht="15.75" customHeight="1" x14ac:dyDescent="0.25">
      <c r="A300" s="619"/>
      <c r="B300" s="619"/>
      <c r="C300" s="619"/>
      <c r="D300" s="708"/>
      <c r="E300" s="619"/>
      <c r="F300" s="329"/>
      <c r="G300" s="619"/>
      <c r="H300" s="619"/>
      <c r="I300" s="710"/>
      <c r="J300" s="710"/>
      <c r="K300" s="710"/>
      <c r="L300" s="710"/>
      <c r="M300" s="710"/>
      <c r="N300" s="710"/>
      <c r="O300" s="619"/>
    </row>
    <row r="301" spans="1:15" ht="15.75" customHeight="1" x14ac:dyDescent="0.25">
      <c r="A301" s="619"/>
      <c r="B301" s="619"/>
      <c r="C301" s="619"/>
      <c r="D301" s="708"/>
      <c r="E301" s="619"/>
      <c r="F301" s="329"/>
      <c r="G301" s="619"/>
      <c r="H301" s="619"/>
      <c r="I301" s="710"/>
      <c r="J301" s="710"/>
      <c r="K301" s="710"/>
      <c r="L301" s="710"/>
      <c r="M301" s="710"/>
      <c r="N301" s="710"/>
      <c r="O301" s="619"/>
    </row>
    <row r="302" spans="1:15" ht="15.75" customHeight="1" x14ac:dyDescent="0.25">
      <c r="A302" s="619"/>
      <c r="B302" s="619"/>
      <c r="C302" s="619"/>
      <c r="D302" s="708"/>
      <c r="E302" s="619"/>
      <c r="F302" s="329"/>
      <c r="G302" s="619"/>
      <c r="H302" s="619"/>
      <c r="I302" s="710"/>
      <c r="J302" s="710"/>
      <c r="K302" s="710"/>
      <c r="L302" s="710"/>
      <c r="M302" s="710"/>
      <c r="N302" s="710"/>
      <c r="O302" s="619"/>
    </row>
    <row r="303" spans="1:15" ht="15.75" customHeight="1" x14ac:dyDescent="0.25">
      <c r="A303" s="619"/>
      <c r="B303" s="619"/>
      <c r="C303" s="619"/>
      <c r="D303" s="708"/>
      <c r="E303" s="619"/>
      <c r="F303" s="329"/>
      <c r="G303" s="619"/>
      <c r="H303" s="619"/>
      <c r="I303" s="710"/>
      <c r="J303" s="710"/>
      <c r="K303" s="710"/>
      <c r="L303" s="710"/>
      <c r="M303" s="710"/>
      <c r="N303" s="710"/>
      <c r="O303" s="619"/>
    </row>
    <row r="304" spans="1:15" ht="15.75" customHeight="1" x14ac:dyDescent="0.25">
      <c r="A304" s="619"/>
      <c r="B304" s="619"/>
      <c r="C304" s="619"/>
      <c r="D304" s="708"/>
      <c r="E304" s="619"/>
      <c r="F304" s="329"/>
      <c r="G304" s="619"/>
      <c r="H304" s="619"/>
      <c r="I304" s="710"/>
      <c r="J304" s="710"/>
      <c r="K304" s="710"/>
      <c r="L304" s="710"/>
      <c r="M304" s="710"/>
      <c r="N304" s="710"/>
      <c r="O304" s="619"/>
    </row>
    <row r="305" spans="1:15" ht="15.75" customHeight="1" x14ac:dyDescent="0.25">
      <c r="A305" s="619"/>
      <c r="B305" s="619"/>
      <c r="C305" s="619"/>
      <c r="D305" s="708"/>
      <c r="E305" s="619"/>
      <c r="F305" s="329"/>
      <c r="G305" s="619"/>
      <c r="H305" s="619"/>
      <c r="I305" s="710"/>
      <c r="J305" s="710"/>
      <c r="K305" s="710"/>
      <c r="L305" s="710"/>
      <c r="M305" s="710"/>
      <c r="N305" s="710"/>
      <c r="O305" s="619"/>
    </row>
    <row r="306" spans="1:15" ht="15.75" customHeight="1" x14ac:dyDescent="0.25">
      <c r="A306" s="619"/>
      <c r="B306" s="619"/>
      <c r="C306" s="619"/>
      <c r="D306" s="708"/>
      <c r="E306" s="619"/>
      <c r="F306" s="329"/>
      <c r="G306" s="619"/>
      <c r="H306" s="619"/>
      <c r="I306" s="710"/>
      <c r="J306" s="710"/>
      <c r="K306" s="710"/>
      <c r="L306" s="710"/>
      <c r="M306" s="710"/>
      <c r="N306" s="710"/>
      <c r="O306" s="619"/>
    </row>
    <row r="307" spans="1:15" ht="15.75" customHeight="1" x14ac:dyDescent="0.25">
      <c r="A307" s="619"/>
      <c r="B307" s="619"/>
      <c r="C307" s="619"/>
      <c r="D307" s="708"/>
      <c r="E307" s="619"/>
      <c r="F307" s="329"/>
      <c r="G307" s="619"/>
      <c r="H307" s="619"/>
      <c r="I307" s="710"/>
      <c r="J307" s="710"/>
      <c r="K307" s="710"/>
      <c r="L307" s="710"/>
      <c r="M307" s="710"/>
      <c r="N307" s="710"/>
      <c r="O307" s="619"/>
    </row>
    <row r="308" spans="1:15" ht="15.75" customHeight="1" x14ac:dyDescent="0.25">
      <c r="A308" s="619"/>
      <c r="B308" s="619"/>
      <c r="C308" s="619"/>
      <c r="D308" s="708"/>
      <c r="E308" s="619"/>
      <c r="F308" s="329"/>
      <c r="G308" s="619"/>
      <c r="H308" s="619"/>
      <c r="I308" s="710"/>
      <c r="J308" s="710"/>
      <c r="K308" s="710"/>
      <c r="L308" s="710"/>
      <c r="M308" s="710"/>
      <c r="N308" s="710"/>
      <c r="O308" s="619"/>
    </row>
    <row r="309" spans="1:15" ht="15.75" customHeight="1" x14ac:dyDescent="0.25">
      <c r="A309" s="619"/>
      <c r="B309" s="619"/>
      <c r="C309" s="619"/>
      <c r="D309" s="708"/>
      <c r="E309" s="619"/>
      <c r="F309" s="329"/>
      <c r="G309" s="619"/>
      <c r="H309" s="619"/>
      <c r="I309" s="710"/>
      <c r="J309" s="710"/>
      <c r="K309" s="710"/>
      <c r="L309" s="710"/>
      <c r="M309" s="710"/>
      <c r="N309" s="710"/>
      <c r="O309" s="619"/>
    </row>
    <row r="310" spans="1:15" ht="15.75" customHeight="1" x14ac:dyDescent="0.25">
      <c r="F310" s="330"/>
    </row>
    <row r="311" spans="1:15" ht="15.75" customHeight="1" x14ac:dyDescent="0.25">
      <c r="F311" s="330"/>
    </row>
    <row r="312" spans="1:15" ht="15.75" customHeight="1" x14ac:dyDescent="0.25">
      <c r="F312" s="330"/>
    </row>
    <row r="313" spans="1:15" ht="15.75" customHeight="1" x14ac:dyDescent="0.25">
      <c r="F313" s="330"/>
    </row>
    <row r="314" spans="1:15" ht="15.75" customHeight="1" x14ac:dyDescent="0.25">
      <c r="F314" s="330"/>
    </row>
    <row r="315" spans="1:15" ht="15.75" customHeight="1" x14ac:dyDescent="0.25">
      <c r="F315" s="330"/>
    </row>
    <row r="316" spans="1:15" ht="15.75" customHeight="1" x14ac:dyDescent="0.25">
      <c r="F316" s="330"/>
    </row>
    <row r="317" spans="1:15" ht="15.75" customHeight="1" x14ac:dyDescent="0.25">
      <c r="F317" s="330"/>
    </row>
    <row r="318" spans="1:15" ht="15.75" customHeight="1" x14ac:dyDescent="0.25">
      <c r="F318" s="330"/>
    </row>
    <row r="319" spans="1:15" ht="15.75" customHeight="1" x14ac:dyDescent="0.25">
      <c r="F319" s="330"/>
    </row>
    <row r="320" spans="1:15" ht="15.75" customHeight="1" x14ac:dyDescent="0.25">
      <c r="F320" s="330"/>
    </row>
    <row r="321" spans="6:6" ht="15.75" customHeight="1" x14ac:dyDescent="0.25">
      <c r="F321" s="330"/>
    </row>
    <row r="322" spans="6:6" ht="15.75" customHeight="1" x14ac:dyDescent="0.25">
      <c r="F322" s="330"/>
    </row>
    <row r="323" spans="6:6" ht="15.75" customHeight="1" x14ac:dyDescent="0.25">
      <c r="F323" s="330"/>
    </row>
    <row r="324" spans="6:6" ht="15.75" customHeight="1" x14ac:dyDescent="0.25">
      <c r="F324" s="330"/>
    </row>
    <row r="325" spans="6:6" ht="15.75" customHeight="1" x14ac:dyDescent="0.25">
      <c r="F325" s="330"/>
    </row>
    <row r="326" spans="6:6" ht="15.75" customHeight="1" x14ac:dyDescent="0.25">
      <c r="F326" s="330"/>
    </row>
    <row r="327" spans="6:6" ht="15.75" customHeight="1" x14ac:dyDescent="0.25">
      <c r="F327" s="330"/>
    </row>
    <row r="328" spans="6:6" ht="15.75" customHeight="1" x14ac:dyDescent="0.25">
      <c r="F328" s="330"/>
    </row>
    <row r="329" spans="6:6" ht="15.75" customHeight="1" x14ac:dyDescent="0.25">
      <c r="F329" s="330"/>
    </row>
    <row r="330" spans="6:6" ht="15.75" customHeight="1" x14ac:dyDescent="0.25">
      <c r="F330" s="330"/>
    </row>
    <row r="331" spans="6:6" ht="15.75" customHeight="1" x14ac:dyDescent="0.25">
      <c r="F331" s="330"/>
    </row>
    <row r="332" spans="6:6" ht="15.75" customHeight="1" x14ac:dyDescent="0.25">
      <c r="F332" s="330"/>
    </row>
    <row r="333" spans="6:6" ht="15.75" customHeight="1" x14ac:dyDescent="0.25">
      <c r="F333" s="330"/>
    </row>
    <row r="334" spans="6:6" ht="15.75" customHeight="1" x14ac:dyDescent="0.25">
      <c r="F334" s="330"/>
    </row>
    <row r="335" spans="6:6" ht="15.75" customHeight="1" x14ac:dyDescent="0.25">
      <c r="F335" s="330"/>
    </row>
    <row r="336" spans="6:6" ht="15.75" customHeight="1" x14ac:dyDescent="0.25">
      <c r="F336" s="330"/>
    </row>
    <row r="337" spans="6:6" ht="15.75" customHeight="1" x14ac:dyDescent="0.25">
      <c r="F337" s="330"/>
    </row>
    <row r="338" spans="6:6" ht="15.75" customHeight="1" x14ac:dyDescent="0.25">
      <c r="F338" s="330"/>
    </row>
    <row r="339" spans="6:6" ht="15.75" customHeight="1" x14ac:dyDescent="0.25">
      <c r="F339" s="330"/>
    </row>
    <row r="340" spans="6:6" ht="15.75" customHeight="1" x14ac:dyDescent="0.25">
      <c r="F340" s="330"/>
    </row>
    <row r="341" spans="6:6" ht="15.75" customHeight="1" x14ac:dyDescent="0.25">
      <c r="F341" s="330"/>
    </row>
    <row r="342" spans="6:6" ht="15.75" customHeight="1" x14ac:dyDescent="0.25">
      <c r="F342" s="330"/>
    </row>
    <row r="343" spans="6:6" ht="15.75" customHeight="1" x14ac:dyDescent="0.25">
      <c r="F343" s="330"/>
    </row>
    <row r="344" spans="6:6" ht="15.75" customHeight="1" x14ac:dyDescent="0.25">
      <c r="F344" s="330"/>
    </row>
    <row r="345" spans="6:6" ht="15.75" customHeight="1" x14ac:dyDescent="0.25">
      <c r="F345" s="330"/>
    </row>
    <row r="346" spans="6:6" ht="15.75" customHeight="1" x14ac:dyDescent="0.25">
      <c r="F346" s="330"/>
    </row>
    <row r="347" spans="6:6" ht="15.75" customHeight="1" x14ac:dyDescent="0.25">
      <c r="F347" s="330"/>
    </row>
    <row r="348" spans="6:6" ht="15.75" customHeight="1" x14ac:dyDescent="0.25">
      <c r="F348" s="330"/>
    </row>
    <row r="349" spans="6:6" ht="15.75" customHeight="1" x14ac:dyDescent="0.25">
      <c r="F349" s="330"/>
    </row>
    <row r="350" spans="6:6" ht="15.75" customHeight="1" x14ac:dyDescent="0.25">
      <c r="F350" s="330"/>
    </row>
    <row r="351" spans="6:6" ht="15.75" customHeight="1" x14ac:dyDescent="0.25">
      <c r="F351" s="330"/>
    </row>
    <row r="352" spans="6:6" ht="15.75" customHeight="1" x14ac:dyDescent="0.25">
      <c r="F352" s="330"/>
    </row>
    <row r="353" spans="6:6" ht="15.75" customHeight="1" x14ac:dyDescent="0.25">
      <c r="F353" s="330"/>
    </row>
    <row r="354" spans="6:6" ht="15.75" customHeight="1" x14ac:dyDescent="0.25">
      <c r="F354" s="330"/>
    </row>
    <row r="355" spans="6:6" ht="15.75" customHeight="1" x14ac:dyDescent="0.25">
      <c r="F355" s="330"/>
    </row>
    <row r="356" spans="6:6" ht="15.75" customHeight="1" x14ac:dyDescent="0.25">
      <c r="F356" s="330"/>
    </row>
    <row r="357" spans="6:6" ht="15.75" customHeight="1" x14ac:dyDescent="0.25">
      <c r="F357" s="330"/>
    </row>
    <row r="358" spans="6:6" ht="15.75" customHeight="1" x14ac:dyDescent="0.25">
      <c r="F358" s="330"/>
    </row>
    <row r="359" spans="6:6" ht="15.75" customHeight="1" x14ac:dyDescent="0.25">
      <c r="F359" s="330"/>
    </row>
    <row r="360" spans="6:6" ht="15.75" customHeight="1" x14ac:dyDescent="0.25">
      <c r="F360" s="330"/>
    </row>
    <row r="361" spans="6:6" ht="15.75" customHeight="1" x14ac:dyDescent="0.25">
      <c r="F361" s="330"/>
    </row>
    <row r="362" spans="6:6" ht="15.75" customHeight="1" x14ac:dyDescent="0.25">
      <c r="F362" s="330"/>
    </row>
    <row r="363" spans="6:6" ht="15.75" customHeight="1" x14ac:dyDescent="0.25">
      <c r="F363" s="330"/>
    </row>
    <row r="364" spans="6:6" ht="15.75" customHeight="1" x14ac:dyDescent="0.25">
      <c r="F364" s="330"/>
    </row>
    <row r="365" spans="6:6" ht="15.75" customHeight="1" x14ac:dyDescent="0.25">
      <c r="F365" s="330"/>
    </row>
    <row r="366" spans="6:6" ht="15.75" customHeight="1" x14ac:dyDescent="0.25">
      <c r="F366" s="330"/>
    </row>
    <row r="367" spans="6:6" ht="15.75" customHeight="1" x14ac:dyDescent="0.25">
      <c r="F367" s="330"/>
    </row>
    <row r="368" spans="6:6" ht="15.75" customHeight="1" x14ac:dyDescent="0.25">
      <c r="F368" s="330"/>
    </row>
    <row r="369" spans="6:6" ht="15.75" customHeight="1" x14ac:dyDescent="0.25">
      <c r="F369" s="330"/>
    </row>
    <row r="370" spans="6:6" ht="15.75" customHeight="1" x14ac:dyDescent="0.25">
      <c r="F370" s="330"/>
    </row>
    <row r="371" spans="6:6" ht="15.75" customHeight="1" x14ac:dyDescent="0.25">
      <c r="F371" s="330"/>
    </row>
    <row r="372" spans="6:6" ht="15.75" customHeight="1" x14ac:dyDescent="0.25">
      <c r="F372" s="330"/>
    </row>
    <row r="373" spans="6:6" ht="15.75" customHeight="1" x14ac:dyDescent="0.25">
      <c r="F373" s="330"/>
    </row>
    <row r="374" spans="6:6" ht="15.75" customHeight="1" x14ac:dyDescent="0.25">
      <c r="F374" s="330"/>
    </row>
    <row r="375" spans="6:6" ht="15.75" customHeight="1" x14ac:dyDescent="0.25">
      <c r="F375" s="330"/>
    </row>
    <row r="376" spans="6:6" ht="15.75" customHeight="1" x14ac:dyDescent="0.25">
      <c r="F376" s="330"/>
    </row>
    <row r="377" spans="6:6" ht="15.75" customHeight="1" x14ac:dyDescent="0.25">
      <c r="F377" s="330"/>
    </row>
    <row r="378" spans="6:6" ht="15.75" customHeight="1" x14ac:dyDescent="0.25">
      <c r="F378" s="330"/>
    </row>
    <row r="379" spans="6:6" ht="15.75" customHeight="1" x14ac:dyDescent="0.25">
      <c r="F379" s="330"/>
    </row>
    <row r="380" spans="6:6" ht="15.75" customHeight="1" x14ac:dyDescent="0.25">
      <c r="F380" s="330"/>
    </row>
    <row r="381" spans="6:6" ht="15.75" customHeight="1" x14ac:dyDescent="0.25">
      <c r="F381" s="330"/>
    </row>
    <row r="382" spans="6:6" ht="15.75" customHeight="1" x14ac:dyDescent="0.25">
      <c r="F382" s="330"/>
    </row>
    <row r="383" spans="6:6" ht="15.75" customHeight="1" x14ac:dyDescent="0.25">
      <c r="F383" s="330"/>
    </row>
    <row r="384" spans="6:6" ht="15.75" customHeight="1" x14ac:dyDescent="0.25">
      <c r="F384" s="330"/>
    </row>
    <row r="385" spans="6:6" ht="15.75" customHeight="1" x14ac:dyDescent="0.25">
      <c r="F385" s="330"/>
    </row>
    <row r="386" spans="6:6" ht="15.75" customHeight="1" x14ac:dyDescent="0.25">
      <c r="F386" s="330"/>
    </row>
    <row r="387" spans="6:6" ht="15.75" customHeight="1" x14ac:dyDescent="0.25">
      <c r="F387" s="330"/>
    </row>
    <row r="388" spans="6:6" ht="15.75" customHeight="1" x14ac:dyDescent="0.25">
      <c r="F388" s="330"/>
    </row>
    <row r="389" spans="6:6" ht="15.75" customHeight="1" x14ac:dyDescent="0.25">
      <c r="F389" s="330"/>
    </row>
    <row r="390" spans="6:6" ht="15.75" customHeight="1" x14ac:dyDescent="0.25">
      <c r="F390" s="330"/>
    </row>
    <row r="391" spans="6:6" ht="15.75" customHeight="1" x14ac:dyDescent="0.25">
      <c r="F391" s="330"/>
    </row>
    <row r="392" spans="6:6" ht="15.75" customHeight="1" x14ac:dyDescent="0.25">
      <c r="F392" s="330"/>
    </row>
    <row r="393" spans="6:6" ht="15.75" customHeight="1" x14ac:dyDescent="0.25">
      <c r="F393" s="330"/>
    </row>
    <row r="394" spans="6:6" ht="15.75" customHeight="1" x14ac:dyDescent="0.25">
      <c r="F394" s="330"/>
    </row>
    <row r="395" spans="6:6" ht="15.75" customHeight="1" x14ac:dyDescent="0.25">
      <c r="F395" s="330"/>
    </row>
    <row r="396" spans="6:6" ht="15.75" customHeight="1" x14ac:dyDescent="0.25">
      <c r="F396" s="330"/>
    </row>
    <row r="397" spans="6:6" ht="15.75" customHeight="1" x14ac:dyDescent="0.25">
      <c r="F397" s="330"/>
    </row>
    <row r="398" spans="6:6" ht="15.75" customHeight="1" x14ac:dyDescent="0.25">
      <c r="F398" s="330"/>
    </row>
    <row r="399" spans="6:6" ht="15.75" customHeight="1" x14ac:dyDescent="0.25">
      <c r="F399" s="330"/>
    </row>
    <row r="400" spans="6:6" ht="15.75" customHeight="1" x14ac:dyDescent="0.25">
      <c r="F400" s="330"/>
    </row>
    <row r="401" spans="6:6" ht="15.75" customHeight="1" x14ac:dyDescent="0.25">
      <c r="F401" s="330"/>
    </row>
    <row r="402" spans="6:6" ht="15.75" customHeight="1" x14ac:dyDescent="0.25">
      <c r="F402" s="330"/>
    </row>
    <row r="403" spans="6:6" ht="15.75" customHeight="1" x14ac:dyDescent="0.25">
      <c r="F403" s="330"/>
    </row>
    <row r="404" spans="6:6" ht="15.75" customHeight="1" x14ac:dyDescent="0.25">
      <c r="F404" s="330"/>
    </row>
    <row r="405" spans="6:6" ht="15.75" customHeight="1" x14ac:dyDescent="0.25">
      <c r="F405" s="330"/>
    </row>
    <row r="406" spans="6:6" ht="15.75" customHeight="1" x14ac:dyDescent="0.25">
      <c r="F406" s="330"/>
    </row>
    <row r="407" spans="6:6" ht="15.75" customHeight="1" x14ac:dyDescent="0.25">
      <c r="F407" s="330"/>
    </row>
    <row r="408" spans="6:6" ht="15.75" customHeight="1" x14ac:dyDescent="0.25">
      <c r="F408" s="330"/>
    </row>
    <row r="409" spans="6:6" ht="15.75" customHeight="1" x14ac:dyDescent="0.25">
      <c r="F409" s="330"/>
    </row>
    <row r="410" spans="6:6" ht="15.75" customHeight="1" x14ac:dyDescent="0.25">
      <c r="F410" s="330"/>
    </row>
    <row r="411" spans="6:6" ht="15.75" customHeight="1" x14ac:dyDescent="0.25">
      <c r="F411" s="330"/>
    </row>
    <row r="412" spans="6:6" ht="15.75" customHeight="1" x14ac:dyDescent="0.25">
      <c r="F412" s="330"/>
    </row>
    <row r="413" spans="6:6" ht="15.75" customHeight="1" x14ac:dyDescent="0.25">
      <c r="F413" s="330"/>
    </row>
    <row r="414" spans="6:6" ht="15.75" customHeight="1" x14ac:dyDescent="0.25">
      <c r="F414" s="330"/>
    </row>
    <row r="415" spans="6:6" ht="15.75" customHeight="1" x14ac:dyDescent="0.25">
      <c r="F415" s="330"/>
    </row>
    <row r="416" spans="6:6" ht="15.75" customHeight="1" x14ac:dyDescent="0.25">
      <c r="F416" s="330"/>
    </row>
    <row r="417" spans="6:6" ht="15.75" customHeight="1" x14ac:dyDescent="0.25">
      <c r="F417" s="330"/>
    </row>
    <row r="418" spans="6:6" ht="15.75" customHeight="1" x14ac:dyDescent="0.25">
      <c r="F418" s="330"/>
    </row>
    <row r="419" spans="6:6" ht="15.75" customHeight="1" x14ac:dyDescent="0.25">
      <c r="F419" s="330"/>
    </row>
    <row r="420" spans="6:6" ht="15.75" customHeight="1" x14ac:dyDescent="0.25">
      <c r="F420" s="330"/>
    </row>
    <row r="421" spans="6:6" ht="15.75" customHeight="1" x14ac:dyDescent="0.25">
      <c r="F421" s="330"/>
    </row>
    <row r="422" spans="6:6" ht="15.75" customHeight="1" x14ac:dyDescent="0.25">
      <c r="F422" s="330"/>
    </row>
    <row r="423" spans="6:6" ht="15.75" customHeight="1" x14ac:dyDescent="0.25">
      <c r="F423" s="330"/>
    </row>
    <row r="424" spans="6:6" ht="15.75" customHeight="1" x14ac:dyDescent="0.25">
      <c r="F424" s="330"/>
    </row>
    <row r="425" spans="6:6" ht="15.75" customHeight="1" x14ac:dyDescent="0.25">
      <c r="F425" s="330"/>
    </row>
    <row r="426" spans="6:6" ht="15.75" customHeight="1" x14ac:dyDescent="0.25">
      <c r="F426" s="330"/>
    </row>
    <row r="427" spans="6:6" ht="15.75" customHeight="1" x14ac:dyDescent="0.25">
      <c r="F427" s="330"/>
    </row>
    <row r="428" spans="6:6" ht="15.75" customHeight="1" x14ac:dyDescent="0.25">
      <c r="F428" s="330"/>
    </row>
    <row r="429" spans="6:6" ht="15.75" customHeight="1" x14ac:dyDescent="0.25">
      <c r="F429" s="330"/>
    </row>
    <row r="430" spans="6:6" ht="15.75" customHeight="1" x14ac:dyDescent="0.25">
      <c r="F430" s="330"/>
    </row>
    <row r="431" spans="6:6" ht="15.75" customHeight="1" x14ac:dyDescent="0.25">
      <c r="F431" s="330"/>
    </row>
    <row r="432" spans="6:6" ht="15.75" customHeight="1" x14ac:dyDescent="0.25">
      <c r="F432" s="330"/>
    </row>
    <row r="433" spans="6:6" ht="15.75" customHeight="1" x14ac:dyDescent="0.25">
      <c r="F433" s="330"/>
    </row>
    <row r="434" spans="6:6" ht="15.75" customHeight="1" x14ac:dyDescent="0.25">
      <c r="F434" s="330"/>
    </row>
    <row r="435" spans="6:6" ht="15.75" customHeight="1" x14ac:dyDescent="0.25">
      <c r="F435" s="330"/>
    </row>
    <row r="436" spans="6:6" ht="15.75" customHeight="1" x14ac:dyDescent="0.25">
      <c r="F436" s="330"/>
    </row>
    <row r="437" spans="6:6" ht="15.75" customHeight="1" x14ac:dyDescent="0.25">
      <c r="F437" s="330"/>
    </row>
    <row r="438" spans="6:6" ht="15.75" customHeight="1" x14ac:dyDescent="0.25">
      <c r="F438" s="330"/>
    </row>
    <row r="439" spans="6:6" ht="15.75" customHeight="1" x14ac:dyDescent="0.25">
      <c r="F439" s="330"/>
    </row>
    <row r="440" spans="6:6" ht="15.75" customHeight="1" x14ac:dyDescent="0.25">
      <c r="F440" s="330"/>
    </row>
    <row r="441" spans="6:6" ht="15.75" customHeight="1" x14ac:dyDescent="0.25">
      <c r="F441" s="330"/>
    </row>
    <row r="442" spans="6:6" ht="15.75" customHeight="1" x14ac:dyDescent="0.25">
      <c r="F442" s="330"/>
    </row>
    <row r="443" spans="6:6" ht="15.75" customHeight="1" x14ac:dyDescent="0.25">
      <c r="F443" s="330"/>
    </row>
    <row r="444" spans="6:6" ht="15.75" customHeight="1" x14ac:dyDescent="0.25">
      <c r="F444" s="330"/>
    </row>
    <row r="445" spans="6:6" ht="15.75" customHeight="1" x14ac:dyDescent="0.25">
      <c r="F445" s="330"/>
    </row>
    <row r="446" spans="6:6" ht="15.75" customHeight="1" x14ac:dyDescent="0.25">
      <c r="F446" s="330"/>
    </row>
    <row r="447" spans="6:6" ht="15.75" customHeight="1" x14ac:dyDescent="0.25">
      <c r="F447" s="330"/>
    </row>
    <row r="448" spans="6:6" ht="15.75" customHeight="1" x14ac:dyDescent="0.25">
      <c r="F448" s="330"/>
    </row>
    <row r="449" spans="6:6" ht="15.75" customHeight="1" x14ac:dyDescent="0.25">
      <c r="F449" s="330"/>
    </row>
    <row r="450" spans="6:6" ht="15.75" customHeight="1" x14ac:dyDescent="0.25">
      <c r="F450" s="330"/>
    </row>
    <row r="451" spans="6:6" ht="15.75" customHeight="1" x14ac:dyDescent="0.25">
      <c r="F451" s="330"/>
    </row>
    <row r="452" spans="6:6" ht="15.75" customHeight="1" x14ac:dyDescent="0.25">
      <c r="F452" s="330"/>
    </row>
    <row r="453" spans="6:6" ht="15.75" customHeight="1" x14ac:dyDescent="0.25">
      <c r="F453" s="330"/>
    </row>
    <row r="454" spans="6:6" ht="15.75" customHeight="1" x14ac:dyDescent="0.25">
      <c r="F454" s="330"/>
    </row>
    <row r="455" spans="6:6" ht="15.75" customHeight="1" x14ac:dyDescent="0.25">
      <c r="F455" s="330"/>
    </row>
    <row r="456" spans="6:6" ht="15.75" customHeight="1" x14ac:dyDescent="0.25">
      <c r="F456" s="330"/>
    </row>
    <row r="457" spans="6:6" ht="15.75" customHeight="1" x14ac:dyDescent="0.25">
      <c r="F457" s="330"/>
    </row>
    <row r="458" spans="6:6" ht="15.75" customHeight="1" x14ac:dyDescent="0.25">
      <c r="F458" s="330"/>
    </row>
    <row r="459" spans="6:6" ht="15.75" customHeight="1" x14ac:dyDescent="0.25">
      <c r="F459" s="330"/>
    </row>
    <row r="460" spans="6:6" ht="15.75" customHeight="1" x14ac:dyDescent="0.25">
      <c r="F460" s="330"/>
    </row>
    <row r="461" spans="6:6" ht="15.75" customHeight="1" x14ac:dyDescent="0.25">
      <c r="F461" s="330"/>
    </row>
    <row r="462" spans="6:6" ht="15.75" customHeight="1" x14ac:dyDescent="0.25">
      <c r="F462" s="330"/>
    </row>
    <row r="463" spans="6:6" ht="15.75" customHeight="1" x14ac:dyDescent="0.25">
      <c r="F463" s="330"/>
    </row>
    <row r="464" spans="6:6" ht="15.75" customHeight="1" x14ac:dyDescent="0.25">
      <c r="F464" s="330"/>
    </row>
    <row r="465" spans="6:6" ht="15.75" customHeight="1" x14ac:dyDescent="0.25">
      <c r="F465" s="330"/>
    </row>
    <row r="466" spans="6:6" ht="15.75" customHeight="1" x14ac:dyDescent="0.25">
      <c r="F466" s="330"/>
    </row>
    <row r="467" spans="6:6" ht="15.75" customHeight="1" x14ac:dyDescent="0.25">
      <c r="F467" s="330"/>
    </row>
    <row r="468" spans="6:6" ht="15.75" customHeight="1" x14ac:dyDescent="0.25">
      <c r="F468" s="330"/>
    </row>
    <row r="469" spans="6:6" ht="15.75" customHeight="1" x14ac:dyDescent="0.25">
      <c r="F469" s="330"/>
    </row>
    <row r="470" spans="6:6" ht="15.75" customHeight="1" x14ac:dyDescent="0.25">
      <c r="F470" s="330"/>
    </row>
    <row r="471" spans="6:6" ht="15.75" customHeight="1" x14ac:dyDescent="0.25">
      <c r="F471" s="330"/>
    </row>
    <row r="472" spans="6:6" ht="15.75" customHeight="1" x14ac:dyDescent="0.25">
      <c r="F472" s="330"/>
    </row>
    <row r="473" spans="6:6" ht="15.75" customHeight="1" x14ac:dyDescent="0.25">
      <c r="F473" s="330"/>
    </row>
    <row r="474" spans="6:6" ht="15.75" customHeight="1" x14ac:dyDescent="0.25">
      <c r="F474" s="330"/>
    </row>
    <row r="475" spans="6:6" ht="15.75" customHeight="1" x14ac:dyDescent="0.25">
      <c r="F475" s="330"/>
    </row>
    <row r="476" spans="6:6" ht="15.75" customHeight="1" x14ac:dyDescent="0.25">
      <c r="F476" s="330"/>
    </row>
    <row r="477" spans="6:6" ht="15.75" customHeight="1" x14ac:dyDescent="0.25">
      <c r="F477" s="330"/>
    </row>
    <row r="478" spans="6:6" ht="15.75" customHeight="1" x14ac:dyDescent="0.25">
      <c r="F478" s="330"/>
    </row>
    <row r="479" spans="6:6" ht="15.75" customHeight="1" x14ac:dyDescent="0.25">
      <c r="F479" s="330"/>
    </row>
    <row r="480" spans="6:6" ht="15.75" customHeight="1" x14ac:dyDescent="0.25">
      <c r="F480" s="330"/>
    </row>
    <row r="481" spans="6:6" ht="15.75" customHeight="1" x14ac:dyDescent="0.25">
      <c r="F481" s="330"/>
    </row>
    <row r="482" spans="6:6" ht="15.75" customHeight="1" x14ac:dyDescent="0.25">
      <c r="F482" s="330"/>
    </row>
    <row r="483" spans="6:6" ht="15.75" customHeight="1" x14ac:dyDescent="0.25">
      <c r="F483" s="330"/>
    </row>
    <row r="484" spans="6:6" ht="15.75" customHeight="1" x14ac:dyDescent="0.25">
      <c r="F484" s="330"/>
    </row>
    <row r="485" spans="6:6" ht="15.75" customHeight="1" x14ac:dyDescent="0.25">
      <c r="F485" s="330"/>
    </row>
    <row r="486" spans="6:6" ht="15.75" customHeight="1" x14ac:dyDescent="0.25">
      <c r="F486" s="330"/>
    </row>
    <row r="487" spans="6:6" ht="15.75" customHeight="1" x14ac:dyDescent="0.25">
      <c r="F487" s="330"/>
    </row>
    <row r="488" spans="6:6" ht="15.75" customHeight="1" x14ac:dyDescent="0.25">
      <c r="F488" s="330"/>
    </row>
    <row r="489" spans="6:6" ht="15.75" customHeight="1" x14ac:dyDescent="0.25">
      <c r="F489" s="330"/>
    </row>
    <row r="490" spans="6:6" ht="15.75" customHeight="1" x14ac:dyDescent="0.25">
      <c r="F490" s="330"/>
    </row>
    <row r="491" spans="6:6" ht="15.75" customHeight="1" x14ac:dyDescent="0.25">
      <c r="F491" s="330"/>
    </row>
    <row r="492" spans="6:6" ht="15.75" customHeight="1" x14ac:dyDescent="0.25">
      <c r="F492" s="330"/>
    </row>
    <row r="493" spans="6:6" ht="15.75" customHeight="1" x14ac:dyDescent="0.25">
      <c r="F493" s="330"/>
    </row>
    <row r="494" spans="6:6" ht="15.75" customHeight="1" x14ac:dyDescent="0.25">
      <c r="F494" s="330"/>
    </row>
    <row r="495" spans="6:6" ht="15.75" customHeight="1" x14ac:dyDescent="0.25">
      <c r="F495" s="330"/>
    </row>
    <row r="496" spans="6:6" ht="15.75" customHeight="1" x14ac:dyDescent="0.25">
      <c r="F496" s="330"/>
    </row>
    <row r="497" spans="6:6" ht="15.75" customHeight="1" x14ac:dyDescent="0.25">
      <c r="F497" s="330"/>
    </row>
    <row r="498" spans="6:6" ht="15.75" customHeight="1" x14ac:dyDescent="0.25">
      <c r="F498" s="330"/>
    </row>
    <row r="499" spans="6:6" ht="15.75" customHeight="1" x14ac:dyDescent="0.25">
      <c r="F499" s="330"/>
    </row>
    <row r="500" spans="6:6" ht="15.75" customHeight="1" x14ac:dyDescent="0.25">
      <c r="F500" s="330"/>
    </row>
    <row r="501" spans="6:6" ht="15.75" customHeight="1" x14ac:dyDescent="0.25">
      <c r="F501" s="330"/>
    </row>
    <row r="502" spans="6:6" ht="15.75" customHeight="1" x14ac:dyDescent="0.25">
      <c r="F502" s="330"/>
    </row>
    <row r="503" spans="6:6" ht="15.75" customHeight="1" x14ac:dyDescent="0.25">
      <c r="F503" s="330"/>
    </row>
    <row r="504" spans="6:6" ht="15.75" customHeight="1" x14ac:dyDescent="0.25">
      <c r="F504" s="330"/>
    </row>
    <row r="505" spans="6:6" ht="15.75" customHeight="1" x14ac:dyDescent="0.25">
      <c r="F505" s="330"/>
    </row>
    <row r="506" spans="6:6" ht="15.75" customHeight="1" x14ac:dyDescent="0.25">
      <c r="F506" s="330"/>
    </row>
    <row r="507" spans="6:6" ht="15.75" customHeight="1" x14ac:dyDescent="0.25">
      <c r="F507" s="330"/>
    </row>
    <row r="508" spans="6:6" ht="15.75" customHeight="1" x14ac:dyDescent="0.25">
      <c r="F508" s="330"/>
    </row>
    <row r="509" spans="6:6" ht="15.75" customHeight="1" x14ac:dyDescent="0.25">
      <c r="F509" s="330"/>
    </row>
    <row r="510" spans="6:6" ht="15.75" customHeight="1" x14ac:dyDescent="0.25">
      <c r="F510" s="330"/>
    </row>
    <row r="511" spans="6:6" ht="15.75" customHeight="1" x14ac:dyDescent="0.25">
      <c r="F511" s="330"/>
    </row>
    <row r="512" spans="6:6" ht="15.75" customHeight="1" x14ac:dyDescent="0.25">
      <c r="F512" s="330"/>
    </row>
    <row r="513" spans="6:6" ht="15.75" customHeight="1" x14ac:dyDescent="0.25">
      <c r="F513" s="330"/>
    </row>
    <row r="514" spans="6:6" ht="15.75" customHeight="1" x14ac:dyDescent="0.25">
      <c r="F514" s="330"/>
    </row>
    <row r="515" spans="6:6" ht="15.75" customHeight="1" x14ac:dyDescent="0.25">
      <c r="F515" s="330"/>
    </row>
    <row r="516" spans="6:6" ht="15.75" customHeight="1" x14ac:dyDescent="0.25">
      <c r="F516" s="330"/>
    </row>
    <row r="517" spans="6:6" ht="15.75" customHeight="1" x14ac:dyDescent="0.25">
      <c r="F517" s="330"/>
    </row>
    <row r="518" spans="6:6" ht="15.75" customHeight="1" x14ac:dyDescent="0.25">
      <c r="F518" s="330"/>
    </row>
    <row r="519" spans="6:6" ht="15.75" customHeight="1" x14ac:dyDescent="0.25">
      <c r="F519" s="330"/>
    </row>
    <row r="520" spans="6:6" ht="15.75" customHeight="1" x14ac:dyDescent="0.25">
      <c r="F520" s="330"/>
    </row>
    <row r="521" spans="6:6" ht="15.75" customHeight="1" x14ac:dyDescent="0.25">
      <c r="F521" s="330"/>
    </row>
    <row r="522" spans="6:6" ht="15.75" customHeight="1" x14ac:dyDescent="0.25">
      <c r="F522" s="330"/>
    </row>
    <row r="523" spans="6:6" ht="15.75" customHeight="1" x14ac:dyDescent="0.25">
      <c r="F523" s="330"/>
    </row>
    <row r="524" spans="6:6" ht="15.75" customHeight="1" x14ac:dyDescent="0.25">
      <c r="F524" s="330"/>
    </row>
    <row r="525" spans="6:6" ht="15.75" customHeight="1" x14ac:dyDescent="0.25">
      <c r="F525" s="330"/>
    </row>
    <row r="526" spans="6:6" ht="15.75" customHeight="1" x14ac:dyDescent="0.25">
      <c r="F526" s="330"/>
    </row>
    <row r="527" spans="6:6" ht="15.75" customHeight="1" x14ac:dyDescent="0.25">
      <c r="F527" s="330"/>
    </row>
    <row r="528" spans="6:6" ht="15.75" customHeight="1" x14ac:dyDescent="0.25">
      <c r="F528" s="330"/>
    </row>
    <row r="529" spans="6:6" ht="15.75" customHeight="1" x14ac:dyDescent="0.25">
      <c r="F529" s="330"/>
    </row>
    <row r="530" spans="6:6" ht="15.75" customHeight="1" x14ac:dyDescent="0.25">
      <c r="F530" s="330"/>
    </row>
    <row r="531" spans="6:6" ht="15.75" customHeight="1" x14ac:dyDescent="0.25">
      <c r="F531" s="330"/>
    </row>
    <row r="532" spans="6:6" ht="15.75" customHeight="1" x14ac:dyDescent="0.25">
      <c r="F532" s="330"/>
    </row>
    <row r="533" spans="6:6" ht="15.75" customHeight="1" x14ac:dyDescent="0.25">
      <c r="F533" s="330"/>
    </row>
    <row r="534" spans="6:6" ht="15.75" customHeight="1" x14ac:dyDescent="0.25">
      <c r="F534" s="330"/>
    </row>
    <row r="535" spans="6:6" ht="15.75" customHeight="1" x14ac:dyDescent="0.25">
      <c r="F535" s="330"/>
    </row>
    <row r="536" spans="6:6" ht="15.75" customHeight="1" x14ac:dyDescent="0.25">
      <c r="F536" s="330"/>
    </row>
    <row r="537" spans="6:6" ht="15.75" customHeight="1" x14ac:dyDescent="0.25">
      <c r="F537" s="330"/>
    </row>
    <row r="538" spans="6:6" ht="15.75" customHeight="1" x14ac:dyDescent="0.25">
      <c r="F538" s="330"/>
    </row>
    <row r="539" spans="6:6" ht="15.75" customHeight="1" x14ac:dyDescent="0.25">
      <c r="F539" s="330"/>
    </row>
    <row r="540" spans="6:6" ht="15.75" customHeight="1" x14ac:dyDescent="0.25">
      <c r="F540" s="330"/>
    </row>
    <row r="541" spans="6:6" ht="15.75" customHeight="1" x14ac:dyDescent="0.25">
      <c r="F541" s="330"/>
    </row>
    <row r="542" spans="6:6" ht="15.75" customHeight="1" x14ac:dyDescent="0.25">
      <c r="F542" s="330"/>
    </row>
    <row r="543" spans="6:6" ht="15.75" customHeight="1" x14ac:dyDescent="0.25">
      <c r="F543" s="330"/>
    </row>
    <row r="544" spans="6:6" ht="15.75" customHeight="1" x14ac:dyDescent="0.25">
      <c r="F544" s="330"/>
    </row>
    <row r="545" spans="6:6" ht="15.75" customHeight="1" x14ac:dyDescent="0.25">
      <c r="F545" s="330"/>
    </row>
    <row r="546" spans="6:6" ht="15.75" customHeight="1" x14ac:dyDescent="0.25">
      <c r="F546" s="330"/>
    </row>
    <row r="547" spans="6:6" ht="15.75" customHeight="1" x14ac:dyDescent="0.25">
      <c r="F547" s="330"/>
    </row>
    <row r="548" spans="6:6" ht="15.75" customHeight="1" x14ac:dyDescent="0.25">
      <c r="F548" s="330"/>
    </row>
    <row r="549" spans="6:6" ht="15.75" customHeight="1" x14ac:dyDescent="0.25">
      <c r="F549" s="330"/>
    </row>
    <row r="550" spans="6:6" ht="15.75" customHeight="1" x14ac:dyDescent="0.25">
      <c r="F550" s="330"/>
    </row>
    <row r="551" spans="6:6" ht="15.75" customHeight="1" x14ac:dyDescent="0.25">
      <c r="F551" s="330"/>
    </row>
    <row r="552" spans="6:6" ht="15.75" customHeight="1" x14ac:dyDescent="0.25">
      <c r="F552" s="330"/>
    </row>
    <row r="553" spans="6:6" ht="15.75" customHeight="1" x14ac:dyDescent="0.25">
      <c r="F553" s="330"/>
    </row>
    <row r="554" spans="6:6" ht="15.75" customHeight="1" x14ac:dyDescent="0.25">
      <c r="F554" s="330"/>
    </row>
    <row r="555" spans="6:6" ht="15.75" customHeight="1" x14ac:dyDescent="0.25">
      <c r="F555" s="330"/>
    </row>
    <row r="556" spans="6:6" ht="15.75" customHeight="1" x14ac:dyDescent="0.25">
      <c r="F556" s="330"/>
    </row>
    <row r="557" spans="6:6" ht="15.75" customHeight="1" x14ac:dyDescent="0.25">
      <c r="F557" s="330"/>
    </row>
    <row r="558" spans="6:6" ht="15.75" customHeight="1" x14ac:dyDescent="0.25">
      <c r="F558" s="330"/>
    </row>
    <row r="559" spans="6:6" ht="15.75" customHeight="1" x14ac:dyDescent="0.25">
      <c r="F559" s="330"/>
    </row>
    <row r="560" spans="6:6" ht="15.75" customHeight="1" x14ac:dyDescent="0.25">
      <c r="F560" s="330"/>
    </row>
    <row r="561" spans="6:6" ht="15.75" customHeight="1" x14ac:dyDescent="0.25">
      <c r="F561" s="330"/>
    </row>
    <row r="562" spans="6:6" ht="15.75" customHeight="1" x14ac:dyDescent="0.25">
      <c r="F562" s="330"/>
    </row>
    <row r="563" spans="6:6" ht="15.75" customHeight="1" x14ac:dyDescent="0.25">
      <c r="F563" s="330"/>
    </row>
    <row r="564" spans="6:6" ht="15.75" customHeight="1" x14ac:dyDescent="0.25">
      <c r="F564" s="330"/>
    </row>
    <row r="565" spans="6:6" ht="15.75" customHeight="1" x14ac:dyDescent="0.25">
      <c r="F565" s="330"/>
    </row>
    <row r="566" spans="6:6" ht="15.75" customHeight="1" x14ac:dyDescent="0.25">
      <c r="F566" s="330"/>
    </row>
    <row r="567" spans="6:6" ht="15.75" customHeight="1" x14ac:dyDescent="0.25">
      <c r="F567" s="330"/>
    </row>
    <row r="568" spans="6:6" ht="15.75" customHeight="1" x14ac:dyDescent="0.25">
      <c r="F568" s="330"/>
    </row>
    <row r="569" spans="6:6" ht="15.75" customHeight="1" x14ac:dyDescent="0.25">
      <c r="F569" s="330"/>
    </row>
    <row r="570" spans="6:6" ht="15.75" customHeight="1" x14ac:dyDescent="0.25">
      <c r="F570" s="330"/>
    </row>
    <row r="571" spans="6:6" ht="15.75" customHeight="1" x14ac:dyDescent="0.25">
      <c r="F571" s="330"/>
    </row>
    <row r="572" spans="6:6" ht="15.75" customHeight="1" x14ac:dyDescent="0.25">
      <c r="F572" s="330"/>
    </row>
    <row r="573" spans="6:6" ht="15.75" customHeight="1" x14ac:dyDescent="0.25">
      <c r="F573" s="330"/>
    </row>
    <row r="574" spans="6:6" ht="15.75" customHeight="1" x14ac:dyDescent="0.25">
      <c r="F574" s="330"/>
    </row>
    <row r="575" spans="6:6" ht="15.75" customHeight="1" x14ac:dyDescent="0.25">
      <c r="F575" s="330"/>
    </row>
    <row r="576" spans="6:6" ht="15.75" customHeight="1" x14ac:dyDescent="0.25">
      <c r="F576" s="330"/>
    </row>
    <row r="577" spans="6:6" ht="15.75" customHeight="1" x14ac:dyDescent="0.25">
      <c r="F577" s="330"/>
    </row>
    <row r="578" spans="6:6" ht="15.75" customHeight="1" x14ac:dyDescent="0.25">
      <c r="F578" s="330"/>
    </row>
    <row r="579" spans="6:6" ht="15.75" customHeight="1" x14ac:dyDescent="0.25">
      <c r="F579" s="330"/>
    </row>
    <row r="580" spans="6:6" ht="15.75" customHeight="1" x14ac:dyDescent="0.25">
      <c r="F580" s="330"/>
    </row>
    <row r="581" spans="6:6" ht="15.75" customHeight="1" x14ac:dyDescent="0.25">
      <c r="F581" s="330"/>
    </row>
    <row r="582" spans="6:6" ht="15.75" customHeight="1" x14ac:dyDescent="0.25">
      <c r="F582" s="330"/>
    </row>
    <row r="583" spans="6:6" ht="15.75" customHeight="1" x14ac:dyDescent="0.25">
      <c r="F583" s="330"/>
    </row>
    <row r="584" spans="6:6" ht="15.75" customHeight="1" x14ac:dyDescent="0.25">
      <c r="F584" s="330"/>
    </row>
    <row r="585" spans="6:6" ht="15.75" customHeight="1" x14ac:dyDescent="0.25">
      <c r="F585" s="330"/>
    </row>
    <row r="586" spans="6:6" ht="15.75" customHeight="1" x14ac:dyDescent="0.25">
      <c r="F586" s="330"/>
    </row>
    <row r="587" spans="6:6" ht="15.75" customHeight="1" x14ac:dyDescent="0.25">
      <c r="F587" s="330"/>
    </row>
    <row r="588" spans="6:6" ht="15.75" customHeight="1" x14ac:dyDescent="0.25">
      <c r="F588" s="330"/>
    </row>
    <row r="589" spans="6:6" ht="15.75" customHeight="1" x14ac:dyDescent="0.25">
      <c r="F589" s="330"/>
    </row>
    <row r="590" spans="6:6" ht="15.75" customHeight="1" x14ac:dyDescent="0.25">
      <c r="F590" s="330"/>
    </row>
    <row r="591" spans="6:6" ht="15.75" customHeight="1" x14ac:dyDescent="0.25">
      <c r="F591" s="330"/>
    </row>
    <row r="592" spans="6:6" ht="15.75" customHeight="1" x14ac:dyDescent="0.25">
      <c r="F592" s="330"/>
    </row>
    <row r="593" spans="6:6" ht="15.75" customHeight="1" x14ac:dyDescent="0.25">
      <c r="F593" s="330"/>
    </row>
    <row r="594" spans="6:6" ht="15.75" customHeight="1" x14ac:dyDescent="0.25">
      <c r="F594" s="330"/>
    </row>
    <row r="595" spans="6:6" ht="15.75" customHeight="1" x14ac:dyDescent="0.25">
      <c r="F595" s="330"/>
    </row>
    <row r="596" spans="6:6" ht="15.75" customHeight="1" x14ac:dyDescent="0.25">
      <c r="F596" s="330"/>
    </row>
    <row r="597" spans="6:6" ht="15.75" customHeight="1" x14ac:dyDescent="0.25">
      <c r="F597" s="330"/>
    </row>
    <row r="598" spans="6:6" ht="15.75" customHeight="1" x14ac:dyDescent="0.25">
      <c r="F598" s="330"/>
    </row>
    <row r="599" spans="6:6" ht="15.75" customHeight="1" x14ac:dyDescent="0.25">
      <c r="F599" s="330"/>
    </row>
    <row r="600" spans="6:6" ht="15.75" customHeight="1" x14ac:dyDescent="0.25">
      <c r="F600" s="330"/>
    </row>
    <row r="601" spans="6:6" ht="15.75" customHeight="1" x14ac:dyDescent="0.25">
      <c r="F601" s="330"/>
    </row>
    <row r="602" spans="6:6" ht="15.75" customHeight="1" x14ac:dyDescent="0.25">
      <c r="F602" s="330"/>
    </row>
    <row r="603" spans="6:6" ht="15.75" customHeight="1" x14ac:dyDescent="0.25">
      <c r="F603" s="330"/>
    </row>
    <row r="604" spans="6:6" ht="15.75" customHeight="1" x14ac:dyDescent="0.25">
      <c r="F604" s="330"/>
    </row>
    <row r="605" spans="6:6" ht="15.75" customHeight="1" x14ac:dyDescent="0.25">
      <c r="F605" s="330"/>
    </row>
    <row r="606" spans="6:6" ht="15.75" customHeight="1" x14ac:dyDescent="0.25">
      <c r="F606" s="330"/>
    </row>
    <row r="607" spans="6:6" ht="15.75" customHeight="1" x14ac:dyDescent="0.25">
      <c r="F607" s="330"/>
    </row>
    <row r="608" spans="6:6" ht="15.75" customHeight="1" x14ac:dyDescent="0.25">
      <c r="F608" s="330"/>
    </row>
    <row r="609" spans="6:6" ht="15.75" customHeight="1" x14ac:dyDescent="0.25">
      <c r="F609" s="330"/>
    </row>
    <row r="610" spans="6:6" ht="15.75" customHeight="1" x14ac:dyDescent="0.25">
      <c r="F610" s="330"/>
    </row>
    <row r="611" spans="6:6" ht="15.75" customHeight="1" x14ac:dyDescent="0.25">
      <c r="F611" s="330"/>
    </row>
    <row r="612" spans="6:6" ht="15.75" customHeight="1" x14ac:dyDescent="0.25">
      <c r="F612" s="330"/>
    </row>
    <row r="613" spans="6:6" ht="15.75" customHeight="1" x14ac:dyDescent="0.25">
      <c r="F613" s="330"/>
    </row>
    <row r="614" spans="6:6" ht="15.75" customHeight="1" x14ac:dyDescent="0.25">
      <c r="F614" s="330"/>
    </row>
    <row r="615" spans="6:6" ht="15.75" customHeight="1" x14ac:dyDescent="0.25">
      <c r="F615" s="330"/>
    </row>
    <row r="616" spans="6:6" ht="15.75" customHeight="1" x14ac:dyDescent="0.25">
      <c r="F616" s="330"/>
    </row>
    <row r="617" spans="6:6" ht="15.75" customHeight="1" x14ac:dyDescent="0.25">
      <c r="F617" s="330"/>
    </row>
    <row r="618" spans="6:6" ht="15.75" customHeight="1" x14ac:dyDescent="0.25">
      <c r="F618" s="330"/>
    </row>
    <row r="619" spans="6:6" ht="15.75" customHeight="1" x14ac:dyDescent="0.25">
      <c r="F619" s="330"/>
    </row>
    <row r="620" spans="6:6" ht="15.75" customHeight="1" x14ac:dyDescent="0.25">
      <c r="F620" s="330"/>
    </row>
    <row r="621" spans="6:6" ht="15.75" customHeight="1" x14ac:dyDescent="0.25">
      <c r="F621" s="330"/>
    </row>
    <row r="622" spans="6:6" ht="15.75" customHeight="1" x14ac:dyDescent="0.25">
      <c r="F622" s="330"/>
    </row>
    <row r="623" spans="6:6" ht="15.75" customHeight="1" x14ac:dyDescent="0.25">
      <c r="F623" s="330"/>
    </row>
    <row r="624" spans="6:6" ht="15.75" customHeight="1" x14ac:dyDescent="0.25">
      <c r="F624" s="330"/>
    </row>
    <row r="625" spans="6:6" ht="15.75" customHeight="1" x14ac:dyDescent="0.25">
      <c r="F625" s="330"/>
    </row>
    <row r="626" spans="6:6" ht="15.75" customHeight="1" x14ac:dyDescent="0.25">
      <c r="F626" s="330"/>
    </row>
    <row r="627" spans="6:6" ht="15.75" customHeight="1" x14ac:dyDescent="0.25">
      <c r="F627" s="330"/>
    </row>
    <row r="628" spans="6:6" ht="15.75" customHeight="1" x14ac:dyDescent="0.25">
      <c r="F628" s="330"/>
    </row>
    <row r="629" spans="6:6" ht="15.75" customHeight="1" x14ac:dyDescent="0.25">
      <c r="F629" s="330"/>
    </row>
    <row r="630" spans="6:6" ht="15.75" customHeight="1" x14ac:dyDescent="0.25">
      <c r="F630" s="330"/>
    </row>
    <row r="631" spans="6:6" ht="15.75" customHeight="1" x14ac:dyDescent="0.25">
      <c r="F631" s="330"/>
    </row>
    <row r="632" spans="6:6" ht="15.75" customHeight="1" x14ac:dyDescent="0.25">
      <c r="F632" s="330"/>
    </row>
    <row r="633" spans="6:6" ht="15.75" customHeight="1" x14ac:dyDescent="0.25">
      <c r="F633" s="330"/>
    </row>
    <row r="634" spans="6:6" ht="15.75" customHeight="1" x14ac:dyDescent="0.25">
      <c r="F634" s="330"/>
    </row>
    <row r="635" spans="6:6" ht="15.75" customHeight="1" x14ac:dyDescent="0.25">
      <c r="F635" s="330"/>
    </row>
    <row r="636" spans="6:6" ht="15.75" customHeight="1" x14ac:dyDescent="0.25">
      <c r="F636" s="330"/>
    </row>
    <row r="637" spans="6:6" ht="15.75" customHeight="1" x14ac:dyDescent="0.25">
      <c r="F637" s="330"/>
    </row>
    <row r="638" spans="6:6" ht="15.75" customHeight="1" x14ac:dyDescent="0.25">
      <c r="F638" s="330"/>
    </row>
    <row r="639" spans="6:6" ht="15.75" customHeight="1" x14ac:dyDescent="0.25">
      <c r="F639" s="330"/>
    </row>
    <row r="640" spans="6:6" ht="15.75" customHeight="1" x14ac:dyDescent="0.25">
      <c r="F640" s="330"/>
    </row>
    <row r="641" spans="6:6" ht="15.75" customHeight="1" x14ac:dyDescent="0.25">
      <c r="F641" s="330"/>
    </row>
    <row r="642" spans="6:6" ht="15.75" customHeight="1" x14ac:dyDescent="0.25">
      <c r="F642" s="330"/>
    </row>
    <row r="643" spans="6:6" ht="15.75" customHeight="1" x14ac:dyDescent="0.25">
      <c r="F643" s="330"/>
    </row>
    <row r="644" spans="6:6" ht="15.75" customHeight="1" x14ac:dyDescent="0.25">
      <c r="F644" s="330"/>
    </row>
    <row r="645" spans="6:6" ht="15.75" customHeight="1" x14ac:dyDescent="0.25">
      <c r="F645" s="330"/>
    </row>
    <row r="646" spans="6:6" ht="15.75" customHeight="1" x14ac:dyDescent="0.25">
      <c r="F646" s="330"/>
    </row>
    <row r="647" spans="6:6" ht="15.75" customHeight="1" x14ac:dyDescent="0.25">
      <c r="F647" s="330"/>
    </row>
    <row r="648" spans="6:6" ht="15.75" customHeight="1" x14ac:dyDescent="0.25">
      <c r="F648" s="330"/>
    </row>
    <row r="649" spans="6:6" ht="15.75" customHeight="1" x14ac:dyDescent="0.25">
      <c r="F649" s="330"/>
    </row>
    <row r="650" spans="6:6" ht="15.75" customHeight="1" x14ac:dyDescent="0.25">
      <c r="F650" s="330"/>
    </row>
    <row r="651" spans="6:6" ht="15.75" customHeight="1" x14ac:dyDescent="0.25">
      <c r="F651" s="330"/>
    </row>
    <row r="652" spans="6:6" ht="15.75" customHeight="1" x14ac:dyDescent="0.25">
      <c r="F652" s="330"/>
    </row>
    <row r="653" spans="6:6" ht="15.75" customHeight="1" x14ac:dyDescent="0.25">
      <c r="F653" s="330"/>
    </row>
    <row r="654" spans="6:6" ht="15.75" customHeight="1" x14ac:dyDescent="0.25">
      <c r="F654" s="330"/>
    </row>
    <row r="655" spans="6:6" ht="15.75" customHeight="1" x14ac:dyDescent="0.25">
      <c r="F655" s="330"/>
    </row>
    <row r="656" spans="6:6" ht="15.75" customHeight="1" x14ac:dyDescent="0.25">
      <c r="F656" s="330"/>
    </row>
    <row r="657" spans="6:6" ht="15.75" customHeight="1" x14ac:dyDescent="0.25">
      <c r="F657" s="330"/>
    </row>
    <row r="658" spans="6:6" ht="15.75" customHeight="1" x14ac:dyDescent="0.25">
      <c r="F658" s="330"/>
    </row>
    <row r="659" spans="6:6" ht="15.75" customHeight="1" x14ac:dyDescent="0.25">
      <c r="F659" s="330"/>
    </row>
    <row r="660" spans="6:6" ht="15.75" customHeight="1" x14ac:dyDescent="0.25">
      <c r="F660" s="330"/>
    </row>
    <row r="661" spans="6:6" ht="15.75" customHeight="1" x14ac:dyDescent="0.25">
      <c r="F661" s="330"/>
    </row>
    <row r="662" spans="6:6" ht="15.75" customHeight="1" x14ac:dyDescent="0.25">
      <c r="F662" s="330"/>
    </row>
    <row r="663" spans="6:6" ht="15.75" customHeight="1" x14ac:dyDescent="0.25">
      <c r="F663" s="330"/>
    </row>
    <row r="664" spans="6:6" ht="15.75" customHeight="1" x14ac:dyDescent="0.25">
      <c r="F664" s="330"/>
    </row>
    <row r="665" spans="6:6" ht="15.75" customHeight="1" x14ac:dyDescent="0.25">
      <c r="F665" s="330"/>
    </row>
    <row r="666" spans="6:6" ht="15.75" customHeight="1" x14ac:dyDescent="0.25">
      <c r="F666" s="330"/>
    </row>
    <row r="667" spans="6:6" ht="15.75" customHeight="1" x14ac:dyDescent="0.25">
      <c r="F667" s="330"/>
    </row>
    <row r="668" spans="6:6" ht="15.75" customHeight="1" x14ac:dyDescent="0.25">
      <c r="F668" s="330"/>
    </row>
    <row r="669" spans="6:6" ht="15.75" customHeight="1" x14ac:dyDescent="0.25">
      <c r="F669" s="330"/>
    </row>
    <row r="670" spans="6:6" ht="15.75" customHeight="1" x14ac:dyDescent="0.25">
      <c r="F670" s="330"/>
    </row>
    <row r="671" spans="6:6" ht="15.75" customHeight="1" x14ac:dyDescent="0.25">
      <c r="F671" s="330"/>
    </row>
    <row r="672" spans="6:6" ht="15.75" customHeight="1" x14ac:dyDescent="0.25">
      <c r="F672" s="330"/>
    </row>
    <row r="673" spans="6:6" ht="15.75" customHeight="1" x14ac:dyDescent="0.25">
      <c r="F673" s="330"/>
    </row>
    <row r="674" spans="6:6" ht="15.75" customHeight="1" x14ac:dyDescent="0.25">
      <c r="F674" s="330"/>
    </row>
    <row r="675" spans="6:6" ht="15.75" customHeight="1" x14ac:dyDescent="0.25">
      <c r="F675" s="330"/>
    </row>
    <row r="676" spans="6:6" ht="15.75" customHeight="1" x14ac:dyDescent="0.25">
      <c r="F676" s="330"/>
    </row>
    <row r="677" spans="6:6" ht="15.75" customHeight="1" x14ac:dyDescent="0.25">
      <c r="F677" s="330"/>
    </row>
    <row r="678" spans="6:6" ht="15.75" customHeight="1" x14ac:dyDescent="0.25">
      <c r="F678" s="330"/>
    </row>
    <row r="679" spans="6:6" ht="15.75" customHeight="1" x14ac:dyDescent="0.25">
      <c r="F679" s="330"/>
    </row>
    <row r="680" spans="6:6" ht="15.75" customHeight="1" x14ac:dyDescent="0.25">
      <c r="F680" s="330"/>
    </row>
    <row r="681" spans="6:6" ht="15.75" customHeight="1" x14ac:dyDescent="0.25">
      <c r="F681" s="330"/>
    </row>
    <row r="682" spans="6:6" ht="15.75" customHeight="1" x14ac:dyDescent="0.25">
      <c r="F682" s="330"/>
    </row>
    <row r="683" spans="6:6" ht="15.75" customHeight="1" x14ac:dyDescent="0.25">
      <c r="F683" s="330"/>
    </row>
    <row r="684" spans="6:6" ht="15.75" customHeight="1" x14ac:dyDescent="0.25">
      <c r="F684" s="330"/>
    </row>
    <row r="685" spans="6:6" ht="15.75" customHeight="1" x14ac:dyDescent="0.25">
      <c r="F685" s="330"/>
    </row>
    <row r="686" spans="6:6" ht="15.75" customHeight="1" x14ac:dyDescent="0.25">
      <c r="F686" s="330"/>
    </row>
    <row r="687" spans="6:6" ht="15.75" customHeight="1" x14ac:dyDescent="0.25">
      <c r="F687" s="330"/>
    </row>
    <row r="688" spans="6:6" ht="15.75" customHeight="1" x14ac:dyDescent="0.25">
      <c r="F688" s="330"/>
    </row>
    <row r="689" spans="6:6" ht="15.75" customHeight="1" x14ac:dyDescent="0.25">
      <c r="F689" s="330"/>
    </row>
    <row r="690" spans="6:6" ht="15.75" customHeight="1" x14ac:dyDescent="0.25">
      <c r="F690" s="330"/>
    </row>
    <row r="691" spans="6:6" ht="15.75" customHeight="1" x14ac:dyDescent="0.25">
      <c r="F691" s="330"/>
    </row>
    <row r="692" spans="6:6" ht="15.75" customHeight="1" x14ac:dyDescent="0.25">
      <c r="F692" s="330"/>
    </row>
    <row r="693" spans="6:6" ht="15.75" customHeight="1" x14ac:dyDescent="0.25">
      <c r="F693" s="330"/>
    </row>
    <row r="694" spans="6:6" ht="15.75" customHeight="1" x14ac:dyDescent="0.25">
      <c r="F694" s="330"/>
    </row>
    <row r="695" spans="6:6" ht="15.75" customHeight="1" x14ac:dyDescent="0.25">
      <c r="F695" s="330"/>
    </row>
    <row r="696" spans="6:6" ht="15.75" customHeight="1" x14ac:dyDescent="0.25">
      <c r="F696" s="330"/>
    </row>
    <row r="697" spans="6:6" ht="15.75" customHeight="1" x14ac:dyDescent="0.25">
      <c r="F697" s="330"/>
    </row>
    <row r="698" spans="6:6" ht="15.75" customHeight="1" x14ac:dyDescent="0.25">
      <c r="F698" s="330"/>
    </row>
    <row r="699" spans="6:6" ht="15.75" customHeight="1" x14ac:dyDescent="0.25">
      <c r="F699" s="330"/>
    </row>
    <row r="700" spans="6:6" ht="15.75" customHeight="1" x14ac:dyDescent="0.25">
      <c r="F700" s="330"/>
    </row>
    <row r="701" spans="6:6" ht="15.75" customHeight="1" x14ac:dyDescent="0.25">
      <c r="F701" s="330"/>
    </row>
    <row r="702" spans="6:6" ht="15.75" customHeight="1" x14ac:dyDescent="0.25">
      <c r="F702" s="330"/>
    </row>
    <row r="703" spans="6:6" ht="15.75" customHeight="1" x14ac:dyDescent="0.25">
      <c r="F703" s="330"/>
    </row>
    <row r="704" spans="6:6" ht="15.75" customHeight="1" x14ac:dyDescent="0.25">
      <c r="F704" s="330"/>
    </row>
    <row r="705" spans="6:6" ht="15.75" customHeight="1" x14ac:dyDescent="0.25">
      <c r="F705" s="330"/>
    </row>
    <row r="706" spans="6:6" ht="15.75" customHeight="1" x14ac:dyDescent="0.25">
      <c r="F706" s="330"/>
    </row>
    <row r="707" spans="6:6" ht="15.75" customHeight="1" x14ac:dyDescent="0.25">
      <c r="F707" s="330"/>
    </row>
    <row r="708" spans="6:6" ht="15.75" customHeight="1" x14ac:dyDescent="0.25">
      <c r="F708" s="330"/>
    </row>
    <row r="709" spans="6:6" ht="15.75" customHeight="1" x14ac:dyDescent="0.25">
      <c r="F709" s="330"/>
    </row>
    <row r="710" spans="6:6" ht="15.75" customHeight="1" x14ac:dyDescent="0.25">
      <c r="F710" s="330"/>
    </row>
    <row r="711" spans="6:6" ht="15.75" customHeight="1" x14ac:dyDescent="0.25">
      <c r="F711" s="330"/>
    </row>
    <row r="712" spans="6:6" ht="15.75" customHeight="1" x14ac:dyDescent="0.25">
      <c r="F712" s="330"/>
    </row>
    <row r="713" spans="6:6" ht="15.75" customHeight="1" x14ac:dyDescent="0.25">
      <c r="F713" s="330"/>
    </row>
    <row r="714" spans="6:6" ht="15.75" customHeight="1" x14ac:dyDescent="0.25">
      <c r="F714" s="330"/>
    </row>
    <row r="715" spans="6:6" ht="15.75" customHeight="1" x14ac:dyDescent="0.25">
      <c r="F715" s="330"/>
    </row>
    <row r="716" spans="6:6" ht="15.75" customHeight="1" x14ac:dyDescent="0.25">
      <c r="F716" s="330"/>
    </row>
    <row r="717" spans="6:6" ht="15.75" customHeight="1" x14ac:dyDescent="0.25">
      <c r="F717" s="330"/>
    </row>
    <row r="718" spans="6:6" ht="15.75" customHeight="1" x14ac:dyDescent="0.25">
      <c r="F718" s="330"/>
    </row>
    <row r="719" spans="6:6" ht="15.75" customHeight="1" x14ac:dyDescent="0.25">
      <c r="F719" s="330"/>
    </row>
    <row r="720" spans="6:6" ht="15.75" customHeight="1" x14ac:dyDescent="0.25">
      <c r="F720" s="330"/>
    </row>
    <row r="721" spans="6:6" ht="15.75" customHeight="1" x14ac:dyDescent="0.25">
      <c r="F721" s="330"/>
    </row>
    <row r="722" spans="6:6" ht="15.75" customHeight="1" x14ac:dyDescent="0.25">
      <c r="F722" s="330"/>
    </row>
    <row r="723" spans="6:6" ht="15.75" customHeight="1" x14ac:dyDescent="0.25">
      <c r="F723" s="330"/>
    </row>
    <row r="724" spans="6:6" ht="15.75" customHeight="1" x14ac:dyDescent="0.25">
      <c r="F724" s="330"/>
    </row>
    <row r="725" spans="6:6" ht="15.75" customHeight="1" x14ac:dyDescent="0.25">
      <c r="F725" s="330"/>
    </row>
    <row r="726" spans="6:6" ht="15.75" customHeight="1" x14ac:dyDescent="0.25">
      <c r="F726" s="330"/>
    </row>
    <row r="727" spans="6:6" ht="15.75" customHeight="1" x14ac:dyDescent="0.25">
      <c r="F727" s="330"/>
    </row>
    <row r="728" spans="6:6" ht="15.75" customHeight="1" x14ac:dyDescent="0.25">
      <c r="F728" s="330"/>
    </row>
    <row r="729" spans="6:6" ht="15.75" customHeight="1" x14ac:dyDescent="0.25">
      <c r="F729" s="330"/>
    </row>
    <row r="730" spans="6:6" ht="15.75" customHeight="1" x14ac:dyDescent="0.25">
      <c r="F730" s="330"/>
    </row>
    <row r="731" spans="6:6" ht="15.75" customHeight="1" x14ac:dyDescent="0.25">
      <c r="F731" s="330"/>
    </row>
    <row r="732" spans="6:6" ht="15.75" customHeight="1" x14ac:dyDescent="0.25">
      <c r="F732" s="330"/>
    </row>
    <row r="733" spans="6:6" ht="15.75" customHeight="1" x14ac:dyDescent="0.25">
      <c r="F733" s="330"/>
    </row>
    <row r="734" spans="6:6" ht="15.75" customHeight="1" x14ac:dyDescent="0.25">
      <c r="F734" s="330"/>
    </row>
    <row r="735" spans="6:6" ht="15.75" customHeight="1" x14ac:dyDescent="0.25">
      <c r="F735" s="330"/>
    </row>
    <row r="736" spans="6:6" ht="15.75" customHeight="1" x14ac:dyDescent="0.25">
      <c r="F736" s="330"/>
    </row>
    <row r="737" spans="6:6" ht="15.75" customHeight="1" x14ac:dyDescent="0.25">
      <c r="F737" s="330"/>
    </row>
    <row r="738" spans="6:6" ht="15.75" customHeight="1" x14ac:dyDescent="0.25">
      <c r="F738" s="330"/>
    </row>
    <row r="739" spans="6:6" ht="15.75" customHeight="1" x14ac:dyDescent="0.25">
      <c r="F739" s="330"/>
    </row>
    <row r="740" spans="6:6" ht="15.75" customHeight="1" x14ac:dyDescent="0.25">
      <c r="F740" s="330"/>
    </row>
    <row r="741" spans="6:6" ht="15.75" customHeight="1" x14ac:dyDescent="0.25">
      <c r="F741" s="330"/>
    </row>
    <row r="742" spans="6:6" ht="15.75" customHeight="1" x14ac:dyDescent="0.25">
      <c r="F742" s="330"/>
    </row>
    <row r="743" spans="6:6" ht="15.75" customHeight="1" x14ac:dyDescent="0.25">
      <c r="F743" s="330"/>
    </row>
    <row r="744" spans="6:6" ht="15.75" customHeight="1" x14ac:dyDescent="0.25">
      <c r="F744" s="330"/>
    </row>
    <row r="745" spans="6:6" ht="15.75" customHeight="1" x14ac:dyDescent="0.25">
      <c r="F745" s="330"/>
    </row>
    <row r="746" spans="6:6" ht="15.75" customHeight="1" x14ac:dyDescent="0.25">
      <c r="F746" s="330"/>
    </row>
    <row r="747" spans="6:6" ht="15.75" customHeight="1" x14ac:dyDescent="0.25">
      <c r="F747" s="330"/>
    </row>
    <row r="748" spans="6:6" ht="15.75" customHeight="1" x14ac:dyDescent="0.25">
      <c r="F748" s="330"/>
    </row>
    <row r="749" spans="6:6" ht="15.75" customHeight="1" x14ac:dyDescent="0.25">
      <c r="F749" s="330"/>
    </row>
    <row r="750" spans="6:6" ht="15.75" customHeight="1" x14ac:dyDescent="0.25">
      <c r="F750" s="330"/>
    </row>
    <row r="751" spans="6:6" ht="15.75" customHeight="1" x14ac:dyDescent="0.25">
      <c r="F751" s="330"/>
    </row>
    <row r="752" spans="6:6" ht="15.75" customHeight="1" x14ac:dyDescent="0.25">
      <c r="F752" s="330"/>
    </row>
    <row r="753" spans="6:6" ht="15.75" customHeight="1" x14ac:dyDescent="0.25">
      <c r="F753" s="330"/>
    </row>
    <row r="754" spans="6:6" ht="15.75" customHeight="1" x14ac:dyDescent="0.25">
      <c r="F754" s="330"/>
    </row>
    <row r="755" spans="6:6" ht="15.75" customHeight="1" x14ac:dyDescent="0.25">
      <c r="F755" s="330"/>
    </row>
    <row r="756" spans="6:6" ht="15.75" customHeight="1" x14ac:dyDescent="0.25">
      <c r="F756" s="330"/>
    </row>
    <row r="757" spans="6:6" ht="15.75" customHeight="1" x14ac:dyDescent="0.25">
      <c r="F757" s="330"/>
    </row>
    <row r="758" spans="6:6" ht="15.75" customHeight="1" x14ac:dyDescent="0.25">
      <c r="F758" s="330"/>
    </row>
    <row r="759" spans="6:6" ht="15.75" customHeight="1" x14ac:dyDescent="0.25">
      <c r="F759" s="330"/>
    </row>
    <row r="760" spans="6:6" ht="15.75" customHeight="1" x14ac:dyDescent="0.25">
      <c r="F760" s="330"/>
    </row>
    <row r="761" spans="6:6" ht="15.75" customHeight="1" x14ac:dyDescent="0.25">
      <c r="F761" s="330"/>
    </row>
    <row r="762" spans="6:6" ht="15.75" customHeight="1" x14ac:dyDescent="0.25">
      <c r="F762" s="330"/>
    </row>
    <row r="763" spans="6:6" ht="15.75" customHeight="1" x14ac:dyDescent="0.25">
      <c r="F763" s="330"/>
    </row>
    <row r="764" spans="6:6" ht="15.75" customHeight="1" x14ac:dyDescent="0.25">
      <c r="F764" s="330"/>
    </row>
    <row r="765" spans="6:6" ht="15.75" customHeight="1" x14ac:dyDescent="0.25">
      <c r="F765" s="330"/>
    </row>
    <row r="766" spans="6:6" ht="15.75" customHeight="1" x14ac:dyDescent="0.25">
      <c r="F766" s="330"/>
    </row>
    <row r="767" spans="6:6" ht="15.75" customHeight="1" x14ac:dyDescent="0.25">
      <c r="F767" s="330"/>
    </row>
    <row r="768" spans="6:6" ht="15.75" customHeight="1" x14ac:dyDescent="0.25">
      <c r="F768" s="330"/>
    </row>
    <row r="769" spans="6:6" ht="15.75" customHeight="1" x14ac:dyDescent="0.25">
      <c r="F769" s="330"/>
    </row>
    <row r="770" spans="6:6" ht="15.75" customHeight="1" x14ac:dyDescent="0.25">
      <c r="F770" s="330"/>
    </row>
    <row r="771" spans="6:6" ht="15.75" customHeight="1" x14ac:dyDescent="0.25">
      <c r="F771" s="330"/>
    </row>
    <row r="772" spans="6:6" ht="15.75" customHeight="1" x14ac:dyDescent="0.25">
      <c r="F772" s="330"/>
    </row>
    <row r="773" spans="6:6" ht="15.75" customHeight="1" x14ac:dyDescent="0.25">
      <c r="F773" s="330"/>
    </row>
    <row r="774" spans="6:6" ht="15.75" customHeight="1" x14ac:dyDescent="0.25">
      <c r="F774" s="330"/>
    </row>
    <row r="775" spans="6:6" ht="15.75" customHeight="1" x14ac:dyDescent="0.25">
      <c r="F775" s="330"/>
    </row>
    <row r="776" spans="6:6" ht="15.75" customHeight="1" x14ac:dyDescent="0.25">
      <c r="F776" s="330"/>
    </row>
    <row r="777" spans="6:6" ht="15.75" customHeight="1" x14ac:dyDescent="0.25">
      <c r="F777" s="330"/>
    </row>
    <row r="778" spans="6:6" ht="15.75" customHeight="1" x14ac:dyDescent="0.25">
      <c r="F778" s="330"/>
    </row>
    <row r="779" spans="6:6" ht="15.75" customHeight="1" x14ac:dyDescent="0.25">
      <c r="F779" s="330"/>
    </row>
    <row r="780" spans="6:6" ht="15.75" customHeight="1" x14ac:dyDescent="0.25">
      <c r="F780" s="330"/>
    </row>
    <row r="781" spans="6:6" ht="15.75" customHeight="1" x14ac:dyDescent="0.25">
      <c r="F781" s="330"/>
    </row>
    <row r="782" spans="6:6" ht="15.75" customHeight="1" x14ac:dyDescent="0.25">
      <c r="F782" s="330"/>
    </row>
    <row r="783" spans="6:6" ht="15.75" customHeight="1" x14ac:dyDescent="0.25">
      <c r="F783" s="330"/>
    </row>
    <row r="784" spans="6:6" ht="15.75" customHeight="1" x14ac:dyDescent="0.25">
      <c r="F784" s="330"/>
    </row>
    <row r="785" spans="6:6" ht="15.75" customHeight="1" x14ac:dyDescent="0.25">
      <c r="F785" s="330"/>
    </row>
    <row r="786" spans="6:6" ht="15.75" customHeight="1" x14ac:dyDescent="0.25">
      <c r="F786" s="330"/>
    </row>
    <row r="787" spans="6:6" ht="15.75" customHeight="1" x14ac:dyDescent="0.25">
      <c r="F787" s="330"/>
    </row>
    <row r="788" spans="6:6" ht="15.75" customHeight="1" x14ac:dyDescent="0.25">
      <c r="F788" s="330"/>
    </row>
    <row r="789" spans="6:6" ht="15.75" customHeight="1" x14ac:dyDescent="0.25">
      <c r="F789" s="330"/>
    </row>
    <row r="790" spans="6:6" ht="15.75" customHeight="1" x14ac:dyDescent="0.25">
      <c r="F790" s="330"/>
    </row>
    <row r="791" spans="6:6" ht="15.75" customHeight="1" x14ac:dyDescent="0.25">
      <c r="F791" s="330"/>
    </row>
    <row r="792" spans="6:6" ht="15.75" customHeight="1" x14ac:dyDescent="0.25">
      <c r="F792" s="330"/>
    </row>
    <row r="793" spans="6:6" ht="15.75" customHeight="1" x14ac:dyDescent="0.25">
      <c r="F793" s="330"/>
    </row>
    <row r="794" spans="6:6" ht="15.75" customHeight="1" x14ac:dyDescent="0.25">
      <c r="F794" s="330"/>
    </row>
    <row r="795" spans="6:6" ht="15.75" customHeight="1" x14ac:dyDescent="0.25">
      <c r="F795" s="330"/>
    </row>
    <row r="796" spans="6:6" ht="15.75" customHeight="1" x14ac:dyDescent="0.25">
      <c r="F796" s="330"/>
    </row>
    <row r="797" spans="6:6" ht="15.75" customHeight="1" x14ac:dyDescent="0.25">
      <c r="F797" s="330"/>
    </row>
    <row r="798" spans="6:6" ht="15.75" customHeight="1" x14ac:dyDescent="0.25">
      <c r="F798" s="330"/>
    </row>
    <row r="799" spans="6:6" ht="15.75" customHeight="1" x14ac:dyDescent="0.25">
      <c r="F799" s="330"/>
    </row>
    <row r="800" spans="6:6" ht="15.75" customHeight="1" x14ac:dyDescent="0.25">
      <c r="F800" s="330"/>
    </row>
    <row r="801" spans="6:6" ht="15.75" customHeight="1" x14ac:dyDescent="0.25">
      <c r="F801" s="330"/>
    </row>
    <row r="802" spans="6:6" ht="15.75" customHeight="1" x14ac:dyDescent="0.25">
      <c r="F802" s="330"/>
    </row>
    <row r="803" spans="6:6" ht="15.75" customHeight="1" x14ac:dyDescent="0.25">
      <c r="F803" s="330"/>
    </row>
    <row r="804" spans="6:6" ht="15.75" customHeight="1" x14ac:dyDescent="0.25">
      <c r="F804" s="330"/>
    </row>
    <row r="805" spans="6:6" ht="15.75" customHeight="1" x14ac:dyDescent="0.25">
      <c r="F805" s="330"/>
    </row>
    <row r="806" spans="6:6" ht="15.75" customHeight="1" x14ac:dyDescent="0.25">
      <c r="F806" s="330"/>
    </row>
    <row r="807" spans="6:6" ht="15.75" customHeight="1" x14ac:dyDescent="0.25">
      <c r="F807" s="330"/>
    </row>
    <row r="808" spans="6:6" ht="15.75" customHeight="1" x14ac:dyDescent="0.25">
      <c r="F808" s="330"/>
    </row>
    <row r="809" spans="6:6" ht="15.75" customHeight="1" x14ac:dyDescent="0.25">
      <c r="F809" s="330"/>
    </row>
    <row r="810" spans="6:6" ht="15.75" customHeight="1" x14ac:dyDescent="0.25">
      <c r="F810" s="330"/>
    </row>
    <row r="811" spans="6:6" ht="15.75" customHeight="1" x14ac:dyDescent="0.25">
      <c r="F811" s="330"/>
    </row>
    <row r="812" spans="6:6" ht="15.75" customHeight="1" x14ac:dyDescent="0.25">
      <c r="F812" s="330"/>
    </row>
    <row r="813" spans="6:6" ht="15.75" customHeight="1" x14ac:dyDescent="0.25">
      <c r="F813" s="330"/>
    </row>
    <row r="814" spans="6:6" ht="15.75" customHeight="1" x14ac:dyDescent="0.25">
      <c r="F814" s="330"/>
    </row>
    <row r="815" spans="6:6" ht="15.75" customHeight="1" x14ac:dyDescent="0.25">
      <c r="F815" s="330"/>
    </row>
    <row r="816" spans="6:6" ht="15.75" customHeight="1" x14ac:dyDescent="0.25">
      <c r="F816" s="330"/>
    </row>
    <row r="817" spans="6:6" ht="15.75" customHeight="1" x14ac:dyDescent="0.25">
      <c r="F817" s="330"/>
    </row>
    <row r="818" spans="6:6" ht="15.75" customHeight="1" x14ac:dyDescent="0.25">
      <c r="F818" s="330"/>
    </row>
    <row r="819" spans="6:6" ht="15.75" customHeight="1" x14ac:dyDescent="0.25">
      <c r="F819" s="330"/>
    </row>
    <row r="820" spans="6:6" ht="15.75" customHeight="1" x14ac:dyDescent="0.25">
      <c r="F820" s="330"/>
    </row>
    <row r="821" spans="6:6" ht="15.75" customHeight="1" x14ac:dyDescent="0.25">
      <c r="F821" s="330"/>
    </row>
    <row r="822" spans="6:6" ht="15.75" customHeight="1" x14ac:dyDescent="0.25">
      <c r="F822" s="330"/>
    </row>
    <row r="823" spans="6:6" ht="15.75" customHeight="1" x14ac:dyDescent="0.25">
      <c r="F823" s="330"/>
    </row>
    <row r="824" spans="6:6" ht="15.75" customHeight="1" x14ac:dyDescent="0.25">
      <c r="F824" s="330"/>
    </row>
    <row r="825" spans="6:6" ht="15.75" customHeight="1" x14ac:dyDescent="0.25">
      <c r="F825" s="330"/>
    </row>
    <row r="826" spans="6:6" ht="15.75" customHeight="1" x14ac:dyDescent="0.25">
      <c r="F826" s="330"/>
    </row>
    <row r="827" spans="6:6" ht="15.75" customHeight="1" x14ac:dyDescent="0.25">
      <c r="F827" s="330"/>
    </row>
    <row r="828" spans="6:6" ht="15.75" customHeight="1" x14ac:dyDescent="0.25">
      <c r="F828" s="330"/>
    </row>
    <row r="829" spans="6:6" ht="15.75" customHeight="1" x14ac:dyDescent="0.25">
      <c r="F829" s="330"/>
    </row>
    <row r="830" spans="6:6" ht="15.75" customHeight="1" x14ac:dyDescent="0.25">
      <c r="F830" s="330"/>
    </row>
    <row r="831" spans="6:6" ht="15.75" customHeight="1" x14ac:dyDescent="0.25">
      <c r="F831" s="330"/>
    </row>
    <row r="832" spans="6:6" ht="15.75" customHeight="1" x14ac:dyDescent="0.25">
      <c r="F832" s="330"/>
    </row>
    <row r="833" spans="6:6" ht="15.75" customHeight="1" x14ac:dyDescent="0.25">
      <c r="F833" s="330"/>
    </row>
    <row r="834" spans="6:6" ht="15.75" customHeight="1" x14ac:dyDescent="0.25">
      <c r="F834" s="330"/>
    </row>
    <row r="835" spans="6:6" ht="15.75" customHeight="1" x14ac:dyDescent="0.25">
      <c r="F835" s="330"/>
    </row>
    <row r="836" spans="6:6" ht="15.75" customHeight="1" x14ac:dyDescent="0.25">
      <c r="F836" s="330"/>
    </row>
    <row r="837" spans="6:6" ht="15.75" customHeight="1" x14ac:dyDescent="0.25">
      <c r="F837" s="330"/>
    </row>
    <row r="838" spans="6:6" ht="15.75" customHeight="1" x14ac:dyDescent="0.25">
      <c r="F838" s="330"/>
    </row>
    <row r="839" spans="6:6" ht="15.75" customHeight="1" x14ac:dyDescent="0.25">
      <c r="F839" s="330"/>
    </row>
    <row r="840" spans="6:6" ht="15.75" customHeight="1" x14ac:dyDescent="0.25">
      <c r="F840" s="330"/>
    </row>
    <row r="841" spans="6:6" ht="15.75" customHeight="1" x14ac:dyDescent="0.25">
      <c r="F841" s="330"/>
    </row>
    <row r="842" spans="6:6" ht="15.75" customHeight="1" x14ac:dyDescent="0.25">
      <c r="F842" s="330"/>
    </row>
    <row r="843" spans="6:6" ht="15.75" customHeight="1" x14ac:dyDescent="0.25">
      <c r="F843" s="330"/>
    </row>
    <row r="844" spans="6:6" ht="15.75" customHeight="1" x14ac:dyDescent="0.25">
      <c r="F844" s="330"/>
    </row>
    <row r="845" spans="6:6" ht="15.75" customHeight="1" x14ac:dyDescent="0.25">
      <c r="F845" s="330"/>
    </row>
    <row r="846" spans="6:6" ht="15.75" customHeight="1" x14ac:dyDescent="0.25">
      <c r="F846" s="330"/>
    </row>
    <row r="847" spans="6:6" ht="15.75" customHeight="1" x14ac:dyDescent="0.25">
      <c r="F847" s="330"/>
    </row>
    <row r="848" spans="6:6" ht="15.75" customHeight="1" x14ac:dyDescent="0.25">
      <c r="F848" s="330"/>
    </row>
    <row r="849" spans="6:6" ht="15.75" customHeight="1" x14ac:dyDescent="0.25">
      <c r="F849" s="330"/>
    </row>
    <row r="850" spans="6:6" ht="15.75" customHeight="1" x14ac:dyDescent="0.25">
      <c r="F850" s="330"/>
    </row>
    <row r="851" spans="6:6" ht="15.75" customHeight="1" x14ac:dyDescent="0.25">
      <c r="F851" s="330"/>
    </row>
    <row r="852" spans="6:6" ht="15.75" customHeight="1" x14ac:dyDescent="0.25">
      <c r="F852" s="330"/>
    </row>
    <row r="853" spans="6:6" ht="15.75" customHeight="1" x14ac:dyDescent="0.25">
      <c r="F853" s="330"/>
    </row>
    <row r="854" spans="6:6" ht="15.75" customHeight="1" x14ac:dyDescent="0.25">
      <c r="F854" s="330"/>
    </row>
    <row r="855" spans="6:6" ht="15.75" customHeight="1" x14ac:dyDescent="0.25">
      <c r="F855" s="330"/>
    </row>
    <row r="856" spans="6:6" ht="15.75" customHeight="1" x14ac:dyDescent="0.25">
      <c r="F856" s="330"/>
    </row>
    <row r="857" spans="6:6" ht="15.75" customHeight="1" x14ac:dyDescent="0.25">
      <c r="F857" s="330"/>
    </row>
    <row r="858" spans="6:6" ht="15.75" customHeight="1" x14ac:dyDescent="0.25">
      <c r="F858" s="330"/>
    </row>
    <row r="859" spans="6:6" ht="15.75" customHeight="1" x14ac:dyDescent="0.25">
      <c r="F859" s="330"/>
    </row>
    <row r="860" spans="6:6" ht="15.75" customHeight="1" x14ac:dyDescent="0.25">
      <c r="F860" s="330"/>
    </row>
    <row r="861" spans="6:6" ht="15.75" customHeight="1" x14ac:dyDescent="0.25">
      <c r="F861" s="330"/>
    </row>
    <row r="862" spans="6:6" ht="15.75" customHeight="1" x14ac:dyDescent="0.25">
      <c r="F862" s="330"/>
    </row>
    <row r="863" spans="6:6" ht="15.75" customHeight="1" x14ac:dyDescent="0.25">
      <c r="F863" s="330"/>
    </row>
    <row r="864" spans="6:6" ht="15.75" customHeight="1" x14ac:dyDescent="0.25">
      <c r="F864" s="330"/>
    </row>
    <row r="865" spans="6:6" ht="15.75" customHeight="1" x14ac:dyDescent="0.25">
      <c r="F865" s="330"/>
    </row>
    <row r="866" spans="6:6" ht="15.75" customHeight="1" x14ac:dyDescent="0.25">
      <c r="F866" s="330"/>
    </row>
    <row r="867" spans="6:6" ht="15.75" customHeight="1" x14ac:dyDescent="0.25">
      <c r="F867" s="330"/>
    </row>
    <row r="868" spans="6:6" ht="15.75" customHeight="1" x14ac:dyDescent="0.25">
      <c r="F868" s="330"/>
    </row>
    <row r="869" spans="6:6" ht="15.75" customHeight="1" x14ac:dyDescent="0.25">
      <c r="F869" s="330"/>
    </row>
    <row r="870" spans="6:6" ht="15.75" customHeight="1" x14ac:dyDescent="0.25">
      <c r="F870" s="330"/>
    </row>
    <row r="871" spans="6:6" ht="15.75" customHeight="1" x14ac:dyDescent="0.25">
      <c r="F871" s="330"/>
    </row>
    <row r="872" spans="6:6" ht="15.75" customHeight="1" x14ac:dyDescent="0.25">
      <c r="F872" s="330"/>
    </row>
    <row r="873" spans="6:6" ht="15.75" customHeight="1" x14ac:dyDescent="0.25">
      <c r="F873" s="330"/>
    </row>
    <row r="874" spans="6:6" ht="15.75" customHeight="1" x14ac:dyDescent="0.25">
      <c r="F874" s="330"/>
    </row>
    <row r="875" spans="6:6" ht="15.75" customHeight="1" x14ac:dyDescent="0.25">
      <c r="F875" s="330"/>
    </row>
    <row r="876" spans="6:6" ht="15.75" customHeight="1" x14ac:dyDescent="0.25">
      <c r="F876" s="330"/>
    </row>
    <row r="877" spans="6:6" ht="15.75" customHeight="1" x14ac:dyDescent="0.25">
      <c r="F877" s="330"/>
    </row>
    <row r="878" spans="6:6" ht="15.75" customHeight="1" x14ac:dyDescent="0.25">
      <c r="F878" s="330"/>
    </row>
    <row r="879" spans="6:6" ht="15.75" customHeight="1" x14ac:dyDescent="0.25">
      <c r="F879" s="330"/>
    </row>
    <row r="880" spans="6:6" ht="15.75" customHeight="1" x14ac:dyDescent="0.25">
      <c r="F880" s="330"/>
    </row>
    <row r="881" spans="6:6" ht="15.75" customHeight="1" x14ac:dyDescent="0.25">
      <c r="F881" s="330"/>
    </row>
    <row r="882" spans="6:6" ht="15.75" customHeight="1" x14ac:dyDescent="0.25">
      <c r="F882" s="330"/>
    </row>
    <row r="883" spans="6:6" ht="15.75" customHeight="1" x14ac:dyDescent="0.25">
      <c r="F883" s="330"/>
    </row>
    <row r="884" spans="6:6" ht="15.75" customHeight="1" x14ac:dyDescent="0.25">
      <c r="F884" s="330"/>
    </row>
    <row r="885" spans="6:6" ht="15.75" customHeight="1" x14ac:dyDescent="0.25">
      <c r="F885" s="330"/>
    </row>
    <row r="886" spans="6:6" ht="15.75" customHeight="1" x14ac:dyDescent="0.25">
      <c r="F886" s="330"/>
    </row>
    <row r="887" spans="6:6" ht="15.75" customHeight="1" x14ac:dyDescent="0.25">
      <c r="F887" s="330"/>
    </row>
    <row r="888" spans="6:6" ht="15.75" customHeight="1" x14ac:dyDescent="0.25">
      <c r="F888" s="330"/>
    </row>
    <row r="889" spans="6:6" ht="15.75" customHeight="1" x14ac:dyDescent="0.25">
      <c r="F889" s="330"/>
    </row>
    <row r="890" spans="6:6" ht="15.75" customHeight="1" x14ac:dyDescent="0.25">
      <c r="F890" s="330"/>
    </row>
    <row r="891" spans="6:6" ht="15.75" customHeight="1" x14ac:dyDescent="0.25">
      <c r="F891" s="330"/>
    </row>
    <row r="892" spans="6:6" ht="15.75" customHeight="1" x14ac:dyDescent="0.25">
      <c r="F892" s="330"/>
    </row>
    <row r="893" spans="6:6" ht="15.75" customHeight="1" x14ac:dyDescent="0.25">
      <c r="F893" s="330"/>
    </row>
    <row r="894" spans="6:6" ht="15.75" customHeight="1" x14ac:dyDescent="0.25">
      <c r="F894" s="330"/>
    </row>
    <row r="895" spans="6:6" ht="15.75" customHeight="1" x14ac:dyDescent="0.25">
      <c r="F895" s="330"/>
    </row>
    <row r="896" spans="6:6" ht="15.75" customHeight="1" x14ac:dyDescent="0.25">
      <c r="F896" s="330"/>
    </row>
    <row r="897" spans="6:6" ht="15.75" customHeight="1" x14ac:dyDescent="0.25">
      <c r="F897" s="330"/>
    </row>
    <row r="898" spans="6:6" ht="15.75" customHeight="1" x14ac:dyDescent="0.25">
      <c r="F898" s="330"/>
    </row>
    <row r="899" spans="6:6" ht="15.75" customHeight="1" x14ac:dyDescent="0.25">
      <c r="F899" s="330"/>
    </row>
    <row r="900" spans="6:6" ht="15.75" customHeight="1" x14ac:dyDescent="0.25">
      <c r="F900" s="330"/>
    </row>
    <row r="901" spans="6:6" ht="15.75" customHeight="1" x14ac:dyDescent="0.25">
      <c r="F901" s="330"/>
    </row>
    <row r="902" spans="6:6" ht="15.75" customHeight="1" x14ac:dyDescent="0.25">
      <c r="F902" s="330"/>
    </row>
    <row r="903" spans="6:6" ht="15.75" customHeight="1" x14ac:dyDescent="0.25">
      <c r="F903" s="330"/>
    </row>
    <row r="904" spans="6:6" ht="15.75" customHeight="1" x14ac:dyDescent="0.25">
      <c r="F904" s="330"/>
    </row>
    <row r="905" spans="6:6" ht="15.75" customHeight="1" x14ac:dyDescent="0.25">
      <c r="F905" s="330"/>
    </row>
    <row r="906" spans="6:6" ht="15.75" customHeight="1" x14ac:dyDescent="0.25">
      <c r="F906" s="330"/>
    </row>
    <row r="907" spans="6:6" ht="15.75" customHeight="1" x14ac:dyDescent="0.25">
      <c r="F907" s="330"/>
    </row>
    <row r="908" spans="6:6" ht="15.75" customHeight="1" x14ac:dyDescent="0.25">
      <c r="F908" s="330"/>
    </row>
    <row r="909" spans="6:6" ht="15.75" customHeight="1" x14ac:dyDescent="0.25">
      <c r="F909" s="330"/>
    </row>
    <row r="910" spans="6:6" ht="15.75" customHeight="1" x14ac:dyDescent="0.25">
      <c r="F910" s="330"/>
    </row>
    <row r="911" spans="6:6" ht="15.75" customHeight="1" x14ac:dyDescent="0.25">
      <c r="F911" s="330"/>
    </row>
    <row r="912" spans="6:6" ht="15.75" customHeight="1" x14ac:dyDescent="0.25">
      <c r="F912" s="330"/>
    </row>
    <row r="913" spans="6:6" ht="15.75" customHeight="1" x14ac:dyDescent="0.25">
      <c r="F913" s="330"/>
    </row>
    <row r="914" spans="6:6" ht="15.75" customHeight="1" x14ac:dyDescent="0.25">
      <c r="F914" s="330"/>
    </row>
    <row r="915" spans="6:6" ht="15.75" customHeight="1" x14ac:dyDescent="0.25">
      <c r="F915" s="330"/>
    </row>
    <row r="916" spans="6:6" ht="15.75" customHeight="1" x14ac:dyDescent="0.25">
      <c r="F916" s="330"/>
    </row>
    <row r="917" spans="6:6" ht="15.75" customHeight="1" x14ac:dyDescent="0.25">
      <c r="F917" s="330"/>
    </row>
    <row r="918" spans="6:6" ht="15.75" customHeight="1" x14ac:dyDescent="0.25">
      <c r="F918" s="330"/>
    </row>
    <row r="919" spans="6:6" ht="15.75" customHeight="1" x14ac:dyDescent="0.25">
      <c r="F919" s="330"/>
    </row>
    <row r="920" spans="6:6" ht="15.75" customHeight="1" x14ac:dyDescent="0.25">
      <c r="F920" s="330"/>
    </row>
    <row r="921" spans="6:6" ht="15.75" customHeight="1" x14ac:dyDescent="0.25">
      <c r="F921" s="330"/>
    </row>
    <row r="922" spans="6:6" ht="15.75" customHeight="1" x14ac:dyDescent="0.25">
      <c r="F922" s="330"/>
    </row>
    <row r="923" spans="6:6" ht="15.75" customHeight="1" x14ac:dyDescent="0.25">
      <c r="F923" s="330"/>
    </row>
    <row r="924" spans="6:6" ht="15.75" customHeight="1" x14ac:dyDescent="0.25">
      <c r="F924" s="330"/>
    </row>
    <row r="925" spans="6:6" ht="15.75" customHeight="1" x14ac:dyDescent="0.25">
      <c r="F925" s="330"/>
    </row>
    <row r="926" spans="6:6" ht="15.75" customHeight="1" x14ac:dyDescent="0.25">
      <c r="F926" s="330"/>
    </row>
    <row r="927" spans="6:6" ht="15.75" customHeight="1" x14ac:dyDescent="0.25">
      <c r="F927" s="330"/>
    </row>
    <row r="928" spans="6:6" ht="15.75" customHeight="1" x14ac:dyDescent="0.25">
      <c r="F928" s="330"/>
    </row>
    <row r="929" spans="6:6" ht="15.75" customHeight="1" x14ac:dyDescent="0.25">
      <c r="F929" s="330"/>
    </row>
    <row r="930" spans="6:6" ht="15.75" customHeight="1" x14ac:dyDescent="0.25">
      <c r="F930" s="330"/>
    </row>
    <row r="931" spans="6:6" ht="15.75" customHeight="1" x14ac:dyDescent="0.25">
      <c r="F931" s="330"/>
    </row>
    <row r="932" spans="6:6" ht="15.75" customHeight="1" x14ac:dyDescent="0.25">
      <c r="F932" s="330"/>
    </row>
    <row r="933" spans="6:6" ht="15.75" customHeight="1" x14ac:dyDescent="0.25">
      <c r="F933" s="330"/>
    </row>
    <row r="934" spans="6:6" ht="15.75" customHeight="1" x14ac:dyDescent="0.25">
      <c r="F934" s="330"/>
    </row>
    <row r="935" spans="6:6" ht="15.75" customHeight="1" x14ac:dyDescent="0.25">
      <c r="F935" s="330"/>
    </row>
    <row r="936" spans="6:6" ht="15.75" customHeight="1" x14ac:dyDescent="0.25">
      <c r="F936" s="330"/>
    </row>
    <row r="937" spans="6:6" ht="15.75" customHeight="1" x14ac:dyDescent="0.25">
      <c r="F937" s="330"/>
    </row>
    <row r="938" spans="6:6" ht="15.75" customHeight="1" x14ac:dyDescent="0.25">
      <c r="F938" s="330"/>
    </row>
    <row r="939" spans="6:6" ht="15.75" customHeight="1" x14ac:dyDescent="0.25">
      <c r="F939" s="330"/>
    </row>
    <row r="940" spans="6:6" ht="15.75" customHeight="1" x14ac:dyDescent="0.25">
      <c r="F940" s="330"/>
    </row>
    <row r="941" spans="6:6" ht="15.75" customHeight="1" x14ac:dyDescent="0.25">
      <c r="F941" s="330"/>
    </row>
    <row r="942" spans="6:6" ht="15.75" customHeight="1" x14ac:dyDescent="0.25">
      <c r="F942" s="330"/>
    </row>
    <row r="943" spans="6:6" ht="15.75" customHeight="1" x14ac:dyDescent="0.25">
      <c r="F943" s="330"/>
    </row>
    <row r="944" spans="6:6" ht="15.75" customHeight="1" x14ac:dyDescent="0.25">
      <c r="F944" s="330"/>
    </row>
    <row r="945" spans="6:6" ht="15.75" customHeight="1" x14ac:dyDescent="0.25">
      <c r="F945" s="330"/>
    </row>
    <row r="946" spans="6:6" ht="15.75" customHeight="1" x14ac:dyDescent="0.25">
      <c r="F946" s="330"/>
    </row>
    <row r="947" spans="6:6" ht="15.75" customHeight="1" x14ac:dyDescent="0.25">
      <c r="F947" s="330"/>
    </row>
    <row r="948" spans="6:6" ht="15.75" customHeight="1" x14ac:dyDescent="0.25">
      <c r="F948" s="330"/>
    </row>
    <row r="949" spans="6:6" ht="15.75" customHeight="1" x14ac:dyDescent="0.25">
      <c r="F949" s="330"/>
    </row>
    <row r="950" spans="6:6" ht="15.75" customHeight="1" x14ac:dyDescent="0.25">
      <c r="F950" s="330"/>
    </row>
    <row r="951" spans="6:6" ht="15.75" customHeight="1" x14ac:dyDescent="0.25">
      <c r="F951" s="330"/>
    </row>
    <row r="952" spans="6:6" ht="15.75" customHeight="1" x14ac:dyDescent="0.25">
      <c r="F952" s="330"/>
    </row>
    <row r="953" spans="6:6" ht="15.75" customHeight="1" x14ac:dyDescent="0.25">
      <c r="F953" s="330"/>
    </row>
    <row r="954" spans="6:6" ht="15.75" customHeight="1" x14ac:dyDescent="0.25">
      <c r="F954" s="330"/>
    </row>
    <row r="955" spans="6:6" ht="15.75" customHeight="1" x14ac:dyDescent="0.25">
      <c r="F955" s="330"/>
    </row>
    <row r="956" spans="6:6" ht="15.75" customHeight="1" x14ac:dyDescent="0.25">
      <c r="F956" s="330"/>
    </row>
    <row r="957" spans="6:6" ht="15.75" customHeight="1" x14ac:dyDescent="0.25">
      <c r="F957" s="330"/>
    </row>
    <row r="958" spans="6:6" ht="15.75" customHeight="1" x14ac:dyDescent="0.25">
      <c r="F958" s="330"/>
    </row>
    <row r="959" spans="6:6" ht="15.75" customHeight="1" x14ac:dyDescent="0.25">
      <c r="F959" s="330"/>
    </row>
    <row r="960" spans="6:6" ht="15.75" customHeight="1" x14ac:dyDescent="0.25">
      <c r="F960" s="330"/>
    </row>
    <row r="961" spans="6:6" ht="15.75" customHeight="1" x14ac:dyDescent="0.25">
      <c r="F961" s="330"/>
    </row>
    <row r="962" spans="6:6" ht="15.75" customHeight="1" x14ac:dyDescent="0.25">
      <c r="F962" s="330"/>
    </row>
    <row r="963" spans="6:6" ht="15.75" customHeight="1" x14ac:dyDescent="0.25">
      <c r="F963" s="330"/>
    </row>
    <row r="964" spans="6:6" ht="15.75" customHeight="1" x14ac:dyDescent="0.25">
      <c r="F964" s="330"/>
    </row>
    <row r="965" spans="6:6" ht="15.75" customHeight="1" x14ac:dyDescent="0.25">
      <c r="F965" s="330"/>
    </row>
    <row r="966" spans="6:6" ht="15.75" customHeight="1" x14ac:dyDescent="0.25">
      <c r="F966" s="330"/>
    </row>
    <row r="967" spans="6:6" ht="15.75" customHeight="1" x14ac:dyDescent="0.25">
      <c r="F967" s="330"/>
    </row>
    <row r="968" spans="6:6" ht="15.75" customHeight="1" x14ac:dyDescent="0.25">
      <c r="F968" s="330"/>
    </row>
    <row r="969" spans="6:6" ht="15.75" customHeight="1" x14ac:dyDescent="0.25">
      <c r="F969" s="330"/>
    </row>
    <row r="970" spans="6:6" ht="15.75" customHeight="1" x14ac:dyDescent="0.25">
      <c r="F970" s="330"/>
    </row>
    <row r="971" spans="6:6" ht="15.75" customHeight="1" x14ac:dyDescent="0.25">
      <c r="F971" s="330"/>
    </row>
    <row r="972" spans="6:6" ht="15.75" customHeight="1" x14ac:dyDescent="0.25">
      <c r="F972" s="330"/>
    </row>
    <row r="973" spans="6:6" ht="15.75" customHeight="1" x14ac:dyDescent="0.25">
      <c r="F973" s="330"/>
    </row>
    <row r="974" spans="6:6" ht="15.75" customHeight="1" x14ac:dyDescent="0.25">
      <c r="F974" s="330"/>
    </row>
    <row r="975" spans="6:6" ht="15.75" customHeight="1" x14ac:dyDescent="0.25">
      <c r="F975" s="330"/>
    </row>
    <row r="976" spans="6:6" ht="15.75" customHeight="1" x14ac:dyDescent="0.25">
      <c r="F976" s="330"/>
    </row>
    <row r="977" spans="6:6" ht="15.75" customHeight="1" x14ac:dyDescent="0.25">
      <c r="F977" s="330"/>
    </row>
    <row r="978" spans="6:6" ht="15.75" customHeight="1" x14ac:dyDescent="0.25">
      <c r="F978" s="330"/>
    </row>
    <row r="979" spans="6:6" ht="15.75" customHeight="1" x14ac:dyDescent="0.25">
      <c r="F979" s="330"/>
    </row>
    <row r="980" spans="6:6" ht="15.75" customHeight="1" x14ac:dyDescent="0.25">
      <c r="F980" s="330"/>
    </row>
    <row r="981" spans="6:6" ht="15.75" customHeight="1" x14ac:dyDescent="0.25">
      <c r="F981" s="330"/>
    </row>
    <row r="982" spans="6:6" ht="15.75" customHeight="1" x14ac:dyDescent="0.25">
      <c r="F982" s="330"/>
    </row>
    <row r="983" spans="6:6" ht="15.75" customHeight="1" x14ac:dyDescent="0.25">
      <c r="F983" s="330"/>
    </row>
    <row r="984" spans="6:6" ht="15.75" customHeight="1" x14ac:dyDescent="0.25">
      <c r="F984" s="330"/>
    </row>
    <row r="985" spans="6:6" ht="15.75" customHeight="1" x14ac:dyDescent="0.25">
      <c r="F985" s="330"/>
    </row>
    <row r="986" spans="6:6" ht="15.75" customHeight="1" x14ac:dyDescent="0.25">
      <c r="F986" s="330"/>
    </row>
    <row r="987" spans="6:6" ht="15.75" customHeight="1" x14ac:dyDescent="0.25">
      <c r="F987" s="330"/>
    </row>
    <row r="988" spans="6:6" ht="15.75" customHeight="1" x14ac:dyDescent="0.25">
      <c r="F988" s="330"/>
    </row>
    <row r="989" spans="6:6" ht="15.75" customHeight="1" x14ac:dyDescent="0.25">
      <c r="F989" s="330"/>
    </row>
    <row r="990" spans="6:6" ht="15.75" customHeight="1" x14ac:dyDescent="0.25">
      <c r="F990" s="330"/>
    </row>
    <row r="991" spans="6:6" ht="15.75" customHeight="1" x14ac:dyDescent="0.25">
      <c r="F991" s="330"/>
    </row>
    <row r="992" spans="6:6" ht="15.75" customHeight="1" x14ac:dyDescent="0.25">
      <c r="F992" s="330"/>
    </row>
    <row r="993" spans="6:6" ht="15.75" customHeight="1" x14ac:dyDescent="0.25">
      <c r="F993" s="330"/>
    </row>
    <row r="994" spans="6:6" ht="15.75" customHeight="1" x14ac:dyDescent="0.25">
      <c r="F994" s="330"/>
    </row>
    <row r="995" spans="6:6" ht="15.75" customHeight="1" x14ac:dyDescent="0.25">
      <c r="F995" s="330"/>
    </row>
    <row r="996" spans="6:6" ht="15.75" customHeight="1" x14ac:dyDescent="0.25">
      <c r="F996" s="330"/>
    </row>
    <row r="997" spans="6:6" ht="15.75" customHeight="1" x14ac:dyDescent="0.25">
      <c r="F997" s="330"/>
    </row>
    <row r="998" spans="6:6" ht="15.75" customHeight="1" x14ac:dyDescent="0.25">
      <c r="F998" s="330"/>
    </row>
    <row r="999" spans="6:6" ht="15.75" customHeight="1" x14ac:dyDescent="0.25">
      <c r="F999" s="330"/>
    </row>
    <row r="1000" spans="6:6" ht="15.75" customHeight="1" x14ac:dyDescent="0.25">
      <c r="F1000" s="330"/>
    </row>
    <row r="1001" spans="6:6" ht="15.75" customHeight="1" x14ac:dyDescent="0.25">
      <c r="F1001" s="330"/>
    </row>
    <row r="1002" spans="6:6" ht="15.75" customHeight="1" x14ac:dyDescent="0.25">
      <c r="F1002" s="330"/>
    </row>
    <row r="1003" spans="6:6" ht="15.75" customHeight="1" x14ac:dyDescent="0.25">
      <c r="F1003" s="330"/>
    </row>
    <row r="1004" spans="6:6" ht="15.75" customHeight="1" x14ac:dyDescent="0.25">
      <c r="F1004" s="330"/>
    </row>
    <row r="1005" spans="6:6" ht="15.75" customHeight="1" x14ac:dyDescent="0.25">
      <c r="F1005" s="330"/>
    </row>
    <row r="1006" spans="6:6" ht="15.75" customHeight="1" x14ac:dyDescent="0.25">
      <c r="F1006" s="330"/>
    </row>
    <row r="1007" spans="6:6" ht="15.75" customHeight="1" x14ac:dyDescent="0.25">
      <c r="F1007" s="330"/>
    </row>
    <row r="1008" spans="6:6" ht="15.75" customHeight="1" x14ac:dyDescent="0.25">
      <c r="F1008" s="330"/>
    </row>
    <row r="1009" spans="6:6" ht="15.75" customHeight="1" x14ac:dyDescent="0.25">
      <c r="F1009" s="330"/>
    </row>
    <row r="1010" spans="6:6" ht="15.75" customHeight="1" x14ac:dyDescent="0.25">
      <c r="F1010" s="330"/>
    </row>
    <row r="1011" spans="6:6" ht="15.75" customHeight="1" x14ac:dyDescent="0.25">
      <c r="F1011" s="330"/>
    </row>
    <row r="1012" spans="6:6" ht="15.75" customHeight="1" x14ac:dyDescent="0.25">
      <c r="F1012" s="330"/>
    </row>
    <row r="1013" spans="6:6" ht="15.75" customHeight="1" x14ac:dyDescent="0.25">
      <c r="F1013" s="330"/>
    </row>
  </sheetData>
  <sheetProtection algorithmName="SHA-512" hashValue="J5eOUpRcRHLxeQWbTPwNS2WhE8LYyYmqwXvFFoF4NJw+oZ27JNXcJMwPXU5O0SWTrtTpRPSIpC2kN3HUrUG9pA==" saltValue="fDICG5uAmDEtFBEKjWcS8w==" spinCount="100000" sheet="1" objects="1" scenarios="1"/>
  <mergeCells count="52">
    <mergeCell ref="B29:C29"/>
    <mergeCell ref="A28:C28"/>
    <mergeCell ref="H3:H4"/>
    <mergeCell ref="I3:I4"/>
    <mergeCell ref="J3:J4"/>
    <mergeCell ref="B15:C15"/>
    <mergeCell ref="B16:B17"/>
    <mergeCell ref="A5:C5"/>
    <mergeCell ref="B6:C6"/>
    <mergeCell ref="A8:B9"/>
    <mergeCell ref="B10:C10"/>
    <mergeCell ref="A12:B14"/>
    <mergeCell ref="M3:N4"/>
    <mergeCell ref="K3:K4"/>
    <mergeCell ref="A1:C1"/>
    <mergeCell ref="A2:O2"/>
    <mergeCell ref="D3:D4"/>
    <mergeCell ref="E3:E4"/>
    <mergeCell ref="L3:L4"/>
    <mergeCell ref="A3:B4"/>
    <mergeCell ref="C3:C4"/>
    <mergeCell ref="F3:F4"/>
    <mergeCell ref="G3:G4"/>
    <mergeCell ref="D1:L1"/>
    <mergeCell ref="M7:N7"/>
    <mergeCell ref="M8:N8"/>
    <mergeCell ref="M9:N9"/>
    <mergeCell ref="M11:N11"/>
    <mergeCell ref="M12:N12"/>
    <mergeCell ref="M13:N13"/>
    <mergeCell ref="M14:N14"/>
    <mergeCell ref="M16:N16"/>
    <mergeCell ref="M17:N17"/>
    <mergeCell ref="M18:N18"/>
    <mergeCell ref="M19:N19"/>
    <mergeCell ref="M20:N20"/>
    <mergeCell ref="M21:N21"/>
    <mergeCell ref="M22:N22"/>
    <mergeCell ref="M23:N23"/>
    <mergeCell ref="M24:N24"/>
    <mergeCell ref="M25:N25"/>
    <mergeCell ref="M26:N26"/>
    <mergeCell ref="M27:N27"/>
    <mergeCell ref="M30:N30"/>
    <mergeCell ref="M36:N36"/>
    <mergeCell ref="M38:N38"/>
    <mergeCell ref="M31:N31"/>
    <mergeCell ref="M32:N32"/>
    <mergeCell ref="M33:N33"/>
    <mergeCell ref="M34:N34"/>
    <mergeCell ref="M35:N35"/>
    <mergeCell ref="M37:N37"/>
  </mergeCells>
  <conditionalFormatting sqref="K6:K41">
    <cfRule type="expression" dxfId="188" priority="16">
      <formula>H6=1</formula>
    </cfRule>
  </conditionalFormatting>
  <conditionalFormatting sqref="I7:I41">
    <cfRule type="cellIs" dxfId="187" priority="8" operator="lessThan">
      <formula>0</formula>
    </cfRule>
  </conditionalFormatting>
  <conditionalFormatting sqref="L6:L41">
    <cfRule type="cellIs" dxfId="186" priority="6" operator="greaterThan">
      <formula>0</formula>
    </cfRule>
    <cfRule type="cellIs" dxfId="185" priority="7" operator="equal">
      <formula>0</formula>
    </cfRule>
  </conditionalFormatting>
  <conditionalFormatting sqref="O6:O41">
    <cfRule type="containsText" dxfId="184" priority="9" operator="containsText" text="Expired">
      <formula>NOT(ISERROR(SEARCH("Expired",O6)))</formula>
    </cfRule>
    <cfRule type="containsText" dxfId="183" priority="10" operator="containsText" text="B1">
      <formula>NOT(ISERROR(SEARCH("B1",O6)))</formula>
    </cfRule>
    <cfRule type="containsText" dxfId="182" priority="11" operator="containsText" text="LCA">
      <formula>NOT(ISERROR(SEARCH("LCA",O6)))</formula>
    </cfRule>
    <cfRule type="containsText" dxfId="181" priority="12" operator="containsText" text="ICE">
      <formula>NOT(ISERROR(SEARCH("ICE",O6)))</formula>
    </cfRule>
    <cfRule type="containsText" dxfId="180" priority="13" operator="containsText" text="No">
      <formula>NOT(ISERROR(SEARCH("No",O6)))</formula>
    </cfRule>
    <cfRule type="containsText" dxfId="179" priority="14" operator="containsText" text="None">
      <formula>NOT(ISERROR(SEARCH("None",O6)))</formula>
    </cfRule>
    <cfRule type="containsText" dxfId="178" priority="15" operator="containsText" text="A1-">
      <formula>NOT(ISERROR(SEARCH("A1-",O6)))</formula>
    </cfRule>
  </conditionalFormatting>
  <conditionalFormatting sqref="P4">
    <cfRule type="cellIs" dxfId="177" priority="2" operator="greaterThan">
      <formula>0</formula>
    </cfRule>
    <cfRule type="cellIs" dxfId="176" priority="3" operator="equal">
      <formula>0</formula>
    </cfRule>
  </conditionalFormatting>
  <conditionalFormatting sqref="O4">
    <cfRule type="expression" dxfId="175" priority="1">
      <formula>COUNTIF($H:$H, 1)&gt;0</formula>
    </cfRule>
  </conditionalFormatting>
  <dataValidations count="1">
    <dataValidation type="whole" errorStyle="warning" operator="equal" allowBlank="1" showErrorMessage="1" errorTitle="Enter 1 to select" error="Options:_x000a_To select item, enter '1'_x000a_To unselect, leave cell empty" sqref="H7:H27 H29:H38" xr:uid="{00000000-0002-0000-1100-000000000000}">
      <formula1>1</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2">
    <tabColor theme="2" tint="-0.249977111117893"/>
  </sheetPr>
  <dimension ref="A1:AA1144"/>
  <sheetViews>
    <sheetView zoomScale="80" zoomScaleNormal="80" workbookViewId="0">
      <pane ySplit="4" topLeftCell="A134" activePane="bottomLeft" state="frozen"/>
      <selection activeCell="K14" sqref="K14"/>
      <selection pane="bottomLeft" activeCell="K144" sqref="K144"/>
    </sheetView>
  </sheetViews>
  <sheetFormatPr defaultColWidth="11.36328125" defaultRowHeight="15" customHeight="1" x14ac:dyDescent="0.3"/>
  <cols>
    <col min="1" max="1" width="8.6328125" customWidth="1"/>
    <col min="2" max="2" width="13.08984375" customWidth="1"/>
    <col min="3" max="3" width="57.54296875" customWidth="1"/>
    <col min="4" max="4" width="19.81640625" style="712" customWidth="1"/>
    <col min="5" max="5" width="5.6328125" customWidth="1"/>
    <col min="6" max="6" width="6.6328125" style="331" customWidth="1"/>
    <col min="7" max="7" width="2.36328125" customWidth="1"/>
    <col min="8" max="8" width="6.6328125" customWidth="1"/>
    <col min="9" max="9" width="13.6328125" style="714" hidden="1" customWidth="1"/>
    <col min="10" max="10" width="16.6328125" style="714" hidden="1" customWidth="1"/>
    <col min="11" max="12" width="13.6328125" style="714" customWidth="1"/>
    <col min="13" max="13" width="12.6328125" style="714" customWidth="1"/>
    <col min="14" max="14" width="35.90625" style="714" customWidth="1"/>
    <col min="15" max="15" width="28.6328125" customWidth="1"/>
    <col min="16" max="16" width="29" style="620" customWidth="1"/>
    <col min="17" max="17" width="18.08984375" style="852" customWidth="1"/>
    <col min="18" max="18" width="15.453125" style="852" customWidth="1"/>
    <col min="19" max="26" width="10.54296875" style="619" customWidth="1"/>
    <col min="27" max="16384" width="11.36328125" style="619"/>
  </cols>
  <sheetData>
    <row r="1" spans="1:27" ht="54.75" customHeight="1" x14ac:dyDescent="0.3">
      <c r="A1" s="1528" t="s">
        <v>3439</v>
      </c>
      <c r="B1" s="1529"/>
      <c r="C1" s="1530"/>
      <c r="D1" s="1521" t="s">
        <v>1741</v>
      </c>
      <c r="E1" s="1529"/>
      <c r="F1" s="1529"/>
      <c r="G1" s="1529"/>
      <c r="H1" s="1529"/>
      <c r="I1" s="1529"/>
      <c r="J1" s="1529"/>
      <c r="K1" s="1529"/>
      <c r="L1" s="1529"/>
      <c r="M1" s="1523"/>
      <c r="N1" s="1523"/>
      <c r="O1" s="1530"/>
      <c r="P1" s="618"/>
    </row>
    <row r="2" spans="1:27" ht="19.2" customHeight="1" x14ac:dyDescent="0.3">
      <c r="A2" s="1591" t="s">
        <v>7209</v>
      </c>
      <c r="B2" s="1591"/>
      <c r="C2" s="1591"/>
      <c r="D2" s="1591"/>
      <c r="E2" s="1591"/>
      <c r="F2" s="1591"/>
      <c r="G2" s="1591"/>
      <c r="H2" s="1591"/>
      <c r="I2" s="1591"/>
      <c r="J2" s="1591"/>
      <c r="K2" s="1591"/>
      <c r="L2" s="1591"/>
      <c r="M2" s="1591"/>
      <c r="N2" s="1591"/>
      <c r="O2" s="1591"/>
      <c r="AA2" s="621"/>
    </row>
    <row r="3" spans="1:27" s="624" customFormat="1" ht="60" customHeight="1" x14ac:dyDescent="0.25">
      <c r="A3" s="1537" t="s">
        <v>1031</v>
      </c>
      <c r="B3" s="1537"/>
      <c r="C3" s="1537" t="s">
        <v>13</v>
      </c>
      <c r="D3" s="1532" t="s">
        <v>1583</v>
      </c>
      <c r="E3" s="1534"/>
      <c r="F3" s="1631" t="s">
        <v>14</v>
      </c>
      <c r="G3" s="1537"/>
      <c r="H3" s="1538" t="s">
        <v>3417</v>
      </c>
      <c r="I3" s="1526" t="s">
        <v>7157</v>
      </c>
      <c r="J3" s="1526" t="s">
        <v>7158</v>
      </c>
      <c r="K3" s="1535" t="s">
        <v>900</v>
      </c>
      <c r="L3" s="1535" t="s">
        <v>7156</v>
      </c>
      <c r="M3" s="1520" t="s">
        <v>7165</v>
      </c>
      <c r="N3" s="1520"/>
      <c r="O3" s="622" t="s">
        <v>7191</v>
      </c>
      <c r="P3" s="622" t="s">
        <v>7202</v>
      </c>
      <c r="Q3" s="855"/>
      <c r="R3" s="855"/>
      <c r="S3" s="623"/>
      <c r="T3" s="623"/>
      <c r="U3" s="623"/>
      <c r="V3" s="623"/>
      <c r="W3" s="623"/>
      <c r="X3" s="623"/>
      <c r="Y3" s="623"/>
      <c r="Z3" s="623"/>
      <c r="AA3" s="623"/>
    </row>
    <row r="4" spans="1:27" s="624" customFormat="1" ht="30.15" customHeight="1" x14ac:dyDescent="0.3">
      <c r="A4" s="1537"/>
      <c r="B4" s="1537"/>
      <c r="C4" s="1537"/>
      <c r="D4" s="1533"/>
      <c r="E4" s="1523"/>
      <c r="F4" s="1631"/>
      <c r="G4" s="1537"/>
      <c r="H4" s="1539"/>
      <c r="I4" s="1527"/>
      <c r="J4" s="1527"/>
      <c r="K4" s="1536"/>
      <c r="L4" s="1536"/>
      <c r="M4" s="1520"/>
      <c r="N4" s="1520"/>
      <c r="O4" s="405">
        <f>SUMIF(H6:H257, 1, K6:K257)</f>
        <v>0</v>
      </c>
      <c r="P4" s="424">
        <f>SUMIF(H6:H257, 1, L6:L257)</f>
        <v>0</v>
      </c>
      <c r="Q4" s="626" t="s">
        <v>107</v>
      </c>
      <c r="R4" s="626" t="s">
        <v>1072</v>
      </c>
      <c r="S4" s="627" t="s">
        <v>749</v>
      </c>
      <c r="T4" s="627" t="s">
        <v>108</v>
      </c>
      <c r="AA4" s="627"/>
    </row>
    <row r="5" spans="1:27" s="624" customFormat="1" ht="54.75" customHeight="1" x14ac:dyDescent="0.25">
      <c r="A5" s="1522" t="s">
        <v>1607</v>
      </c>
      <c r="B5" s="1523"/>
      <c r="C5" s="1523"/>
      <c r="D5" s="629" t="s">
        <v>38</v>
      </c>
      <c r="E5" s="1"/>
      <c r="F5" s="323" t="str">
        <f>IF(LOWER(Setting!rng_language)="english","in","po")</f>
        <v>in</v>
      </c>
      <c r="G5" s="650"/>
      <c r="H5" s="650"/>
      <c r="I5" s="651"/>
      <c r="J5" s="651"/>
      <c r="K5" s="652"/>
      <c r="L5" s="759"/>
      <c r="M5" s="759"/>
      <c r="N5" s="759"/>
      <c r="O5" s="838"/>
      <c r="P5" s="637"/>
      <c r="Q5" s="856"/>
      <c r="R5" s="855"/>
      <c r="S5" s="638"/>
      <c r="T5" s="638"/>
      <c r="U5" s="638"/>
      <c r="V5" s="638"/>
      <c r="W5" s="638"/>
      <c r="X5" s="638"/>
      <c r="Y5" s="638"/>
      <c r="Z5" s="638"/>
      <c r="AA5" s="638"/>
    </row>
    <row r="6" spans="1:27" s="624" customFormat="1" ht="21" customHeight="1" x14ac:dyDescent="0.25">
      <c r="A6" s="639"/>
      <c r="B6" s="1524" t="s">
        <v>6850</v>
      </c>
      <c r="C6" s="1523"/>
      <c r="D6" s="640"/>
      <c r="E6" s="641"/>
      <c r="F6" s="334"/>
      <c r="G6" s="678"/>
      <c r="H6" s="639"/>
      <c r="I6" s="733"/>
      <c r="J6" s="733"/>
      <c r="K6" s="698"/>
      <c r="L6" s="736"/>
      <c r="M6" s="736"/>
      <c r="N6" s="736"/>
      <c r="O6" s="25" t="str">
        <f>_xlfn.IFNA(VLOOKUP($C6,'Master sheet'!$A:$AR,44,FALSE),"")&amp;""</f>
        <v/>
      </c>
      <c r="P6" s="637"/>
      <c r="Q6" s="722"/>
      <c r="R6" s="722"/>
      <c r="S6" s="623"/>
      <c r="T6" s="638"/>
      <c r="U6" s="638"/>
      <c r="V6" s="638"/>
      <c r="W6" s="638"/>
      <c r="X6" s="638"/>
      <c r="Y6" s="638"/>
      <c r="Z6" s="638"/>
      <c r="AA6" s="638"/>
    </row>
    <row r="7" spans="1:27" ht="22.8" x14ac:dyDescent="0.25">
      <c r="A7" s="1542"/>
      <c r="B7" s="1542"/>
      <c r="C7" s="669" t="str">
        <f>INDEX('Master sheet'!$A$1:$A$670,MATCH("248-1",'Master sheet'!$AN$1:$AN$670,0))</f>
        <v xml:space="preserve">Wood - SPF / Canadian Wood Council / British Columbia / </v>
      </c>
      <c r="D7" s="15">
        <f>'USER INPUT SHEET'!$D$37</f>
        <v>0</v>
      </c>
      <c r="E7" s="16" t="str">
        <f>'USER INPUT SHEET'!$F$37</f>
        <v>m2</v>
      </c>
      <c r="F7" s="3">
        <v>1</v>
      </c>
      <c r="G7" s="670"/>
      <c r="H7" s="8"/>
      <c r="I7" s="92">
        <f t="shared" ref="I7:I12" si="0">K7-L7-IF(N7,M7,0)</f>
        <v>0</v>
      </c>
      <c r="J7" s="93" t="str">
        <f t="shared" ref="J7:J12" si="1">IF(H7=1,I7,"")</f>
        <v/>
      </c>
      <c r="K7" s="406">
        <f>$D7*$F7*IF($E$5=16,0.25,0.22)*VLOOKUP($C7,'Master sheet'!$A:$AL,13,FALSE)*(0.0254*3.5)</f>
        <v>0</v>
      </c>
      <c r="L7" s="94">
        <f>$D7*$F7*IF($E$5=16,0.25,0.22)*VLOOKUP($C7,'Master sheet'!$A:$AL,27,FALSE)*(0.0254*3.5)</f>
        <v>0</v>
      </c>
      <c r="M7" s="1562"/>
      <c r="N7" s="1562"/>
      <c r="O7" s="25" t="str">
        <f>_xlfn.IFNA(VLOOKUP($C7,'Master sheet'!$A:$AR,44,FALSE),"")&amp;""</f>
        <v/>
      </c>
      <c r="P7" s="637"/>
      <c r="Q7" s="45" t="str">
        <f t="shared" ref="Q7:Q12" si="2">D$1</f>
        <v>ROOF</v>
      </c>
      <c r="R7" s="726" t="s">
        <v>1607</v>
      </c>
      <c r="S7" s="737" t="s">
        <v>7250</v>
      </c>
      <c r="T7" s="665"/>
      <c r="U7" s="664"/>
      <c r="V7" s="664"/>
      <c r="W7" s="664"/>
      <c r="X7" s="664"/>
      <c r="Y7" s="664"/>
      <c r="Z7" s="664"/>
      <c r="AA7" s="638"/>
    </row>
    <row r="8" spans="1:27" ht="22.8" x14ac:dyDescent="0.25">
      <c r="A8" s="1542"/>
      <c r="B8" s="1542"/>
      <c r="C8" s="669" t="str">
        <f>INDEX('Master sheet'!$A$1:$A$670,MATCH("248-2",'Master sheet'!$AN$1:$AN$670,0))</f>
        <v xml:space="preserve">Wood - SPF / Canadian Wood Council / Alberta / </v>
      </c>
      <c r="D8" s="13">
        <f>'USER INPUT SHEET'!$D$37</f>
        <v>0</v>
      </c>
      <c r="E8" s="14" t="str">
        <f>'USER INPUT SHEET'!$F$37</f>
        <v>m2</v>
      </c>
      <c r="F8" s="2">
        <v>1</v>
      </c>
      <c r="G8" s="648"/>
      <c r="H8" s="7"/>
      <c r="I8" s="88">
        <f t="shared" si="0"/>
        <v>0</v>
      </c>
      <c r="J8" s="89" t="str">
        <f t="shared" si="1"/>
        <v/>
      </c>
      <c r="K8" s="404">
        <f>$D8*$F8*IF($E$5=16,0.25,0.22)*VLOOKUP($C8,'Master sheet'!$A:$AL,13,FALSE)*(0.0254*3.5)</f>
        <v>0</v>
      </c>
      <c r="L8" s="90">
        <f>$D8*$F8*IF($E$5=16,0.25,0.22)*VLOOKUP($C8,'Master sheet'!$A:$AL,27,FALSE)*(0.0254*3.5)</f>
        <v>0</v>
      </c>
      <c r="M8" s="1552"/>
      <c r="N8" s="1552"/>
      <c r="O8" s="25" t="str">
        <f>_xlfn.IFNA(VLOOKUP($C8,'Master sheet'!$A:$AR,44,FALSE),"")&amp;""</f>
        <v/>
      </c>
      <c r="P8" s="637"/>
      <c r="Q8" s="45" t="str">
        <f t="shared" si="2"/>
        <v>ROOF</v>
      </c>
      <c r="R8" s="726" t="s">
        <v>1607</v>
      </c>
      <c r="S8" s="737" t="s">
        <v>7250</v>
      </c>
      <c r="T8" s="665"/>
      <c r="U8" s="664"/>
      <c r="V8" s="664"/>
      <c r="W8" s="664"/>
      <c r="X8" s="664"/>
      <c r="Y8" s="664"/>
      <c r="Z8" s="664"/>
      <c r="AA8" s="638"/>
    </row>
    <row r="9" spans="1:27" ht="22.8" x14ac:dyDescent="0.25">
      <c r="A9" s="1542"/>
      <c r="B9" s="1542"/>
      <c r="C9" s="669" t="str">
        <f>INDEX('Master sheet'!$A$1:$A$670,MATCH("248-3",'Master sheet'!$AN$1:$AN$670,0))</f>
        <v xml:space="preserve">Wood - SPF / Canadian Wood Council / Ontario / </v>
      </c>
      <c r="D9" s="13">
        <f>'USER INPUT SHEET'!$D$37</f>
        <v>0</v>
      </c>
      <c r="E9" s="14" t="str">
        <f>'USER INPUT SHEET'!$F$37</f>
        <v>m2</v>
      </c>
      <c r="F9" s="2">
        <v>1</v>
      </c>
      <c r="G9" s="648"/>
      <c r="H9" s="7"/>
      <c r="I9" s="88">
        <f t="shared" si="0"/>
        <v>0</v>
      </c>
      <c r="J9" s="89" t="str">
        <f t="shared" si="1"/>
        <v/>
      </c>
      <c r="K9" s="404">
        <f>$D9*$F9*IF($E$5=16,0.25,0.22)*VLOOKUP($C9,'Master sheet'!$A:$AL,13,FALSE)*(0.0254*3.5)</f>
        <v>0</v>
      </c>
      <c r="L9" s="90">
        <f>$D9*$F9*IF($E$5=16,0.25,0.22)*VLOOKUP($C9,'Master sheet'!$A:$AL,27,FALSE)*(0.0254*3.5)</f>
        <v>0</v>
      </c>
      <c r="M9" s="1552"/>
      <c r="N9" s="1552"/>
      <c r="O9" s="25" t="str">
        <f>_xlfn.IFNA(VLOOKUP($C9,'Master sheet'!$A:$AR,44,FALSE),"")&amp;""</f>
        <v/>
      </c>
      <c r="P9" s="637"/>
      <c r="Q9" s="45" t="str">
        <f t="shared" si="2"/>
        <v>ROOF</v>
      </c>
      <c r="R9" s="726" t="s">
        <v>1607</v>
      </c>
      <c r="S9" s="737" t="s">
        <v>7250</v>
      </c>
      <c r="T9" s="665"/>
      <c r="U9" s="664"/>
      <c r="V9" s="664"/>
      <c r="W9" s="664"/>
      <c r="X9" s="664"/>
      <c r="Y9" s="664"/>
      <c r="Z9" s="664"/>
      <c r="AA9" s="664"/>
    </row>
    <row r="10" spans="1:27" ht="22.8" x14ac:dyDescent="0.25">
      <c r="A10" s="1542"/>
      <c r="B10" s="1542"/>
      <c r="C10" s="669" t="str">
        <f>INDEX('Master sheet'!$A$1:$A$670,MATCH("248-4",'Master sheet'!$AN$1:$AN$670,0))</f>
        <v xml:space="preserve">Wood - SPF / Canadian Wood Council / Quebec / </v>
      </c>
      <c r="D10" s="13">
        <f>'USER INPUT SHEET'!$D$37</f>
        <v>0</v>
      </c>
      <c r="E10" s="14" t="str">
        <f>'USER INPUT SHEET'!$F$37</f>
        <v>m2</v>
      </c>
      <c r="F10" s="2">
        <v>1</v>
      </c>
      <c r="G10" s="648"/>
      <c r="H10" s="7"/>
      <c r="I10" s="88">
        <f t="shared" si="0"/>
        <v>0</v>
      </c>
      <c r="J10" s="89" t="str">
        <f t="shared" si="1"/>
        <v/>
      </c>
      <c r="K10" s="404">
        <f>$D10*$F10*IF($E$5=16,0.25,0.22)*VLOOKUP($C10,'Master sheet'!$A:$AL,13,FALSE)*(0.0254*3.5)</f>
        <v>0</v>
      </c>
      <c r="L10" s="90">
        <f>$D10*$F10*IF($E$5=16,0.25,0.22)*VLOOKUP($C10,'Master sheet'!$A:$AL,27,FALSE)*(0.0254*3.5)</f>
        <v>0</v>
      </c>
      <c r="M10" s="1552"/>
      <c r="N10" s="1552"/>
      <c r="O10" s="25" t="str">
        <f>_xlfn.IFNA(VLOOKUP($C10,'Master sheet'!$A:$AR,44,FALSE),"")&amp;""</f>
        <v/>
      </c>
      <c r="P10" s="637"/>
      <c r="Q10" s="45" t="str">
        <f t="shared" si="2"/>
        <v>ROOF</v>
      </c>
      <c r="R10" s="726" t="s">
        <v>1607</v>
      </c>
      <c r="S10" s="737" t="s">
        <v>7250</v>
      </c>
      <c r="T10" s="665"/>
      <c r="U10" s="664"/>
      <c r="V10" s="664"/>
      <c r="W10" s="664"/>
      <c r="X10" s="664"/>
      <c r="Y10" s="664"/>
      <c r="Z10" s="664"/>
      <c r="AA10" s="664"/>
    </row>
    <row r="11" spans="1:27" ht="22.8" x14ac:dyDescent="0.25">
      <c r="A11" s="1542"/>
      <c r="B11" s="1542"/>
      <c r="C11" s="669" t="str">
        <f>INDEX('Master sheet'!$A$1:$A$670,MATCH("248-5",'Master sheet'!$AN$1:$AN$670,0))</f>
        <v xml:space="preserve">Wood - SPF / Canadian Wood Council / New Brunswick / </v>
      </c>
      <c r="D11" s="13">
        <f>'USER INPUT SHEET'!$D$37</f>
        <v>0</v>
      </c>
      <c r="E11" s="14" t="str">
        <f>'USER INPUT SHEET'!$F$37</f>
        <v>m2</v>
      </c>
      <c r="F11" s="2">
        <v>1</v>
      </c>
      <c r="G11" s="648"/>
      <c r="H11" s="7"/>
      <c r="I11" s="88">
        <f t="shared" si="0"/>
        <v>0</v>
      </c>
      <c r="J11" s="89" t="str">
        <f t="shared" si="1"/>
        <v/>
      </c>
      <c r="K11" s="404">
        <f>$D11*$F11*IF($E$5=16,0.25,0.22)*VLOOKUP($C11,'Master sheet'!$A:$AL,13,FALSE)*(0.0254*3.5)</f>
        <v>0</v>
      </c>
      <c r="L11" s="90">
        <f>$D11*$F11*IF($E$5=16,0.25,0.22)*VLOOKUP($C11,'Master sheet'!$A:$AL,27,FALSE)*(0.0254*3.5)</f>
        <v>0</v>
      </c>
      <c r="M11" s="1552"/>
      <c r="N11" s="1552"/>
      <c r="O11" s="25" t="str">
        <f>_xlfn.IFNA(VLOOKUP($C11,'Master sheet'!$A:$AR,44,FALSE),"")&amp;""</f>
        <v/>
      </c>
      <c r="P11" s="637"/>
      <c r="Q11" s="45" t="str">
        <f t="shared" si="2"/>
        <v>ROOF</v>
      </c>
      <c r="R11" s="726" t="s">
        <v>1607</v>
      </c>
      <c r="S11" s="737" t="s">
        <v>7250</v>
      </c>
      <c r="T11" s="665"/>
      <c r="U11" s="664"/>
      <c r="V11" s="664"/>
      <c r="W11" s="664"/>
      <c r="X11" s="664"/>
      <c r="Y11" s="664"/>
      <c r="Z11" s="664"/>
      <c r="AA11" s="664"/>
    </row>
    <row r="12" spans="1:27" ht="22.8" x14ac:dyDescent="0.25">
      <c r="A12" s="1542"/>
      <c r="B12" s="1542"/>
      <c r="C12" s="669" t="str">
        <f>INDEX('Master sheet'!$A$1:$A$670,MATCH("248-6",'Master sheet'!$AN$1:$AN$670,0))</f>
        <v xml:space="preserve">Wood - SPF / Canadian Wood Council / Atlantic Canada / </v>
      </c>
      <c r="D12" s="13">
        <f>'USER INPUT SHEET'!$D$37</f>
        <v>0</v>
      </c>
      <c r="E12" s="14" t="str">
        <f>'USER INPUT SHEET'!$F$37</f>
        <v>m2</v>
      </c>
      <c r="F12" s="2">
        <v>1</v>
      </c>
      <c r="G12" s="648"/>
      <c r="H12" s="7"/>
      <c r="I12" s="88">
        <f t="shared" si="0"/>
        <v>0</v>
      </c>
      <c r="J12" s="89" t="str">
        <f t="shared" si="1"/>
        <v/>
      </c>
      <c r="K12" s="404">
        <f>$D12*$F12*IF($E$5=16,0.25,0.22)*VLOOKUP($C12,'Master sheet'!$A:$AL,13,FALSE)*(0.0254*3.5)</f>
        <v>0</v>
      </c>
      <c r="L12" s="90">
        <f>$D12*$F12*IF($E$5=16,0.25,0.22)*VLOOKUP($C12,'Master sheet'!$A:$AL,27,FALSE)*(0.0254*3.5)</f>
        <v>0</v>
      </c>
      <c r="M12" s="1552"/>
      <c r="N12" s="1552"/>
      <c r="O12" s="25" t="str">
        <f>_xlfn.IFNA(VLOOKUP($C12,'Master sheet'!$A:$AR,44,FALSE),"")&amp;""</f>
        <v/>
      </c>
      <c r="P12" s="637"/>
      <c r="Q12" s="45" t="str">
        <f t="shared" si="2"/>
        <v>ROOF</v>
      </c>
      <c r="R12" s="726" t="s">
        <v>1607</v>
      </c>
      <c r="S12" s="737" t="s">
        <v>7250</v>
      </c>
      <c r="T12" s="665"/>
      <c r="U12" s="664"/>
      <c r="V12" s="664"/>
      <c r="W12" s="664"/>
      <c r="X12" s="664"/>
      <c r="Y12" s="664"/>
      <c r="Z12" s="664"/>
      <c r="AA12" s="664"/>
    </row>
    <row r="13" spans="1:27" s="624" customFormat="1" ht="21" customHeight="1" x14ac:dyDescent="0.25">
      <c r="A13" s="639"/>
      <c r="B13" s="1524" t="s">
        <v>6849</v>
      </c>
      <c r="C13" s="1523"/>
      <c r="D13" s="640"/>
      <c r="E13" s="641"/>
      <c r="F13" s="334"/>
      <c r="G13" s="678"/>
      <c r="H13" s="639"/>
      <c r="I13" s="733"/>
      <c r="J13" s="733"/>
      <c r="K13" s="698"/>
      <c r="L13" s="736"/>
      <c r="M13" s="736"/>
      <c r="N13" s="736"/>
      <c r="O13" s="25" t="str">
        <f>_xlfn.IFNA(VLOOKUP($C13,'Master sheet'!$A:$AR,44,FALSE),"")&amp;""</f>
        <v/>
      </c>
      <c r="P13" s="637"/>
      <c r="Q13" s="722"/>
      <c r="R13" s="722"/>
      <c r="S13" s="623"/>
      <c r="T13" s="638"/>
      <c r="U13" s="638"/>
      <c r="V13" s="638"/>
      <c r="W13" s="638"/>
      <c r="X13" s="638"/>
      <c r="Y13" s="638"/>
      <c r="Z13" s="638"/>
      <c r="AA13" s="664"/>
    </row>
    <row r="14" spans="1:27" ht="22.8" x14ac:dyDescent="0.25">
      <c r="A14" s="1542"/>
      <c r="B14" s="1542"/>
      <c r="C14" s="669" t="str">
        <f>INDEX('Master sheet'!$A$1:$A$670,MATCH("248-1",'Master sheet'!$AN$1:$AN$670,0))</f>
        <v xml:space="preserve">Wood - SPF / Canadian Wood Council / British Columbia / </v>
      </c>
      <c r="D14" s="15">
        <f>'USER INPUT SHEET'!$D$37</f>
        <v>0</v>
      </c>
      <c r="E14" s="16" t="str">
        <f>'USER INPUT SHEET'!$F$37</f>
        <v>m2</v>
      </c>
      <c r="F14" s="3">
        <v>1</v>
      </c>
      <c r="G14" s="670"/>
      <c r="H14" s="8"/>
      <c r="I14" s="92">
        <f t="shared" ref="I14:I19" si="3">K14-L14-IF(N14,M14,0)</f>
        <v>0</v>
      </c>
      <c r="J14" s="93" t="str">
        <f t="shared" ref="J14:J19" si="4">IF(H14=1,I14,"")</f>
        <v/>
      </c>
      <c r="K14" s="406">
        <f>$D14*$F14*IF($E$5=16,0.25,0.22)*VLOOKUP($C14,'Master sheet'!$A:$AL,13,FALSE)*(0.0254*5.5)</f>
        <v>0</v>
      </c>
      <c r="L14" s="94">
        <f>$D14*$F14*IF($E$5=16,0.25,0.22)*VLOOKUP($C14,'Master sheet'!$A:$AL,27,FALSE)*(0.0254*5.5)</f>
        <v>0</v>
      </c>
      <c r="M14" s="1562"/>
      <c r="N14" s="1562"/>
      <c r="O14" s="25" t="str">
        <f>_xlfn.IFNA(VLOOKUP($C14,'Master sheet'!$A:$AR,44,FALSE),"")&amp;""</f>
        <v/>
      </c>
      <c r="P14" s="685"/>
      <c r="Q14" s="43" t="str">
        <f t="shared" ref="Q14:Q19" si="5">D$1</f>
        <v>ROOF</v>
      </c>
      <c r="R14" s="726" t="s">
        <v>1607</v>
      </c>
      <c r="S14" s="737" t="s">
        <v>7251</v>
      </c>
      <c r="T14" s="665"/>
      <c r="U14" s="664"/>
      <c r="V14" s="664"/>
      <c r="W14" s="664"/>
      <c r="X14" s="664"/>
      <c r="Y14" s="664"/>
      <c r="Z14" s="664"/>
      <c r="AA14" s="664"/>
    </row>
    <row r="15" spans="1:27" ht="22.8" x14ac:dyDescent="0.25">
      <c r="A15" s="1542"/>
      <c r="B15" s="1542"/>
      <c r="C15" s="669" t="str">
        <f>INDEX('Master sheet'!$A$1:$A$670,MATCH("248-2",'Master sheet'!$AN$1:$AN$670,0))</f>
        <v xml:space="preserve">Wood - SPF / Canadian Wood Council / Alberta / </v>
      </c>
      <c r="D15" s="15">
        <f>'USER INPUT SHEET'!$D$37</f>
        <v>0</v>
      </c>
      <c r="E15" s="16" t="str">
        <f>'USER INPUT SHEET'!$F$37</f>
        <v>m2</v>
      </c>
      <c r="F15" s="3">
        <v>1</v>
      </c>
      <c r="G15" s="670"/>
      <c r="H15" s="8"/>
      <c r="I15" s="88">
        <f t="shared" si="3"/>
        <v>0</v>
      </c>
      <c r="J15" s="93" t="str">
        <f t="shared" si="4"/>
        <v/>
      </c>
      <c r="K15" s="406">
        <f>$D15*$F15*IF($E$5=16,0.25,0.22)*VLOOKUP($C15,'Master sheet'!$A:$AL,13,FALSE)*(0.0254*5.5)</f>
        <v>0</v>
      </c>
      <c r="L15" s="94">
        <f>$D15*$F15*IF($E$5=16,0.25,0.22)*VLOOKUP($C15,'Master sheet'!$A:$AL,27,FALSE)*(0.0254*5.5)</f>
        <v>0</v>
      </c>
      <c r="M15" s="1552"/>
      <c r="N15" s="1552"/>
      <c r="O15" s="25" t="str">
        <f>_xlfn.IFNA(VLOOKUP($C15,'Master sheet'!$A:$AR,44,FALSE),"")&amp;""</f>
        <v/>
      </c>
      <c r="P15" s="685"/>
      <c r="Q15" s="43" t="str">
        <f t="shared" si="5"/>
        <v>ROOF</v>
      </c>
      <c r="R15" s="726" t="s">
        <v>1607</v>
      </c>
      <c r="S15" s="737" t="s">
        <v>7251</v>
      </c>
      <c r="T15" s="665"/>
      <c r="U15" s="664"/>
      <c r="V15" s="664"/>
      <c r="W15" s="664"/>
      <c r="X15" s="664"/>
      <c r="Y15" s="664"/>
      <c r="Z15" s="664"/>
      <c r="AA15" s="664"/>
    </row>
    <row r="16" spans="1:27" ht="22.8" x14ac:dyDescent="0.25">
      <c r="A16" s="1542"/>
      <c r="B16" s="1542"/>
      <c r="C16" s="669" t="str">
        <f>INDEX('Master sheet'!$A$1:$A$670,MATCH("248-3",'Master sheet'!$AN$1:$AN$670,0))</f>
        <v xml:space="preserve">Wood - SPF / Canadian Wood Council / Ontario / </v>
      </c>
      <c r="D16" s="15">
        <f>'USER INPUT SHEET'!$D$37</f>
        <v>0</v>
      </c>
      <c r="E16" s="16" t="str">
        <f>'USER INPUT SHEET'!$F$37</f>
        <v>m2</v>
      </c>
      <c r="F16" s="3">
        <v>1</v>
      </c>
      <c r="G16" s="670"/>
      <c r="H16" s="8"/>
      <c r="I16" s="88">
        <f t="shared" si="3"/>
        <v>0</v>
      </c>
      <c r="J16" s="93" t="str">
        <f t="shared" si="4"/>
        <v/>
      </c>
      <c r="K16" s="406">
        <f>$D16*$F16*IF($E$5=16,0.25,0.22)*VLOOKUP($C16,'Master sheet'!$A:$AL,13,FALSE)*(0.0254*5.5)</f>
        <v>0</v>
      </c>
      <c r="L16" s="94">
        <f>$D16*$F16*IF($E$5=16,0.25,0.22)*VLOOKUP($C16,'Master sheet'!$A:$AL,27,FALSE)*(0.0254*5.5)</f>
        <v>0</v>
      </c>
      <c r="M16" s="1552"/>
      <c r="N16" s="1552"/>
      <c r="O16" s="25" t="str">
        <f>_xlfn.IFNA(VLOOKUP($C16,'Master sheet'!$A:$AR,44,FALSE),"")&amp;""</f>
        <v/>
      </c>
      <c r="P16" s="685"/>
      <c r="Q16" s="43" t="str">
        <f t="shared" si="5"/>
        <v>ROOF</v>
      </c>
      <c r="R16" s="726" t="s">
        <v>1607</v>
      </c>
      <c r="S16" s="737" t="s">
        <v>7251</v>
      </c>
      <c r="T16" s="665"/>
      <c r="U16" s="664"/>
      <c r="V16" s="664"/>
      <c r="W16" s="664"/>
      <c r="X16" s="664"/>
      <c r="Y16" s="664"/>
      <c r="Z16" s="664"/>
      <c r="AA16" s="638"/>
    </row>
    <row r="17" spans="1:27" ht="22.8" x14ac:dyDescent="0.25">
      <c r="A17" s="1542"/>
      <c r="B17" s="1542"/>
      <c r="C17" s="669" t="str">
        <f>INDEX('Master sheet'!$A$1:$A$670,MATCH("248-4",'Master sheet'!$AN$1:$AN$670,0))</f>
        <v xml:space="preserve">Wood - SPF / Canadian Wood Council / Quebec / </v>
      </c>
      <c r="D17" s="15">
        <f>'USER INPUT SHEET'!$D$37</f>
        <v>0</v>
      </c>
      <c r="E17" s="16" t="str">
        <f>'USER INPUT SHEET'!$F$37</f>
        <v>m2</v>
      </c>
      <c r="F17" s="3">
        <v>1</v>
      </c>
      <c r="G17" s="670"/>
      <c r="H17" s="8"/>
      <c r="I17" s="88">
        <f t="shared" si="3"/>
        <v>0</v>
      </c>
      <c r="J17" s="93" t="str">
        <f t="shared" si="4"/>
        <v/>
      </c>
      <c r="K17" s="406">
        <f>$D17*$F17*IF($E$5=16,0.25,0.22)*VLOOKUP($C17,'Master sheet'!$A:$AL,13,FALSE)*(0.0254*5.5)</f>
        <v>0</v>
      </c>
      <c r="L17" s="94">
        <f>$D17*$F17*IF($E$5=16,0.25,0.22)*VLOOKUP($C17,'Master sheet'!$A:$AL,27,FALSE)*(0.0254*5.5)</f>
        <v>0</v>
      </c>
      <c r="M17" s="1552"/>
      <c r="N17" s="1552"/>
      <c r="O17" s="25" t="str">
        <f>_xlfn.IFNA(VLOOKUP($C17,'Master sheet'!$A:$AR,44,FALSE),"")&amp;""</f>
        <v/>
      </c>
      <c r="P17" s="685"/>
      <c r="Q17" s="43" t="str">
        <f t="shared" si="5"/>
        <v>ROOF</v>
      </c>
      <c r="R17" s="726" t="s">
        <v>1607</v>
      </c>
      <c r="S17" s="737" t="s">
        <v>7251</v>
      </c>
      <c r="T17" s="665"/>
      <c r="U17" s="664"/>
      <c r="V17" s="664"/>
      <c r="W17" s="664"/>
      <c r="X17" s="664"/>
      <c r="Y17" s="664"/>
      <c r="Z17" s="664"/>
      <c r="AA17" s="664"/>
    </row>
    <row r="18" spans="1:27" ht="22.8" x14ac:dyDescent="0.25">
      <c r="A18" s="1542"/>
      <c r="B18" s="1542"/>
      <c r="C18" s="669" t="str">
        <f>INDEX('Master sheet'!$A$1:$A$670,MATCH("248-5",'Master sheet'!$AN$1:$AN$670,0))</f>
        <v xml:space="preserve">Wood - SPF / Canadian Wood Council / New Brunswick / </v>
      </c>
      <c r="D18" s="15">
        <f>'USER INPUT SHEET'!$D$37</f>
        <v>0</v>
      </c>
      <c r="E18" s="16" t="str">
        <f>'USER INPUT SHEET'!$F$37</f>
        <v>m2</v>
      </c>
      <c r="F18" s="3">
        <v>1</v>
      </c>
      <c r="G18" s="670"/>
      <c r="H18" s="8"/>
      <c r="I18" s="88">
        <f t="shared" si="3"/>
        <v>0</v>
      </c>
      <c r="J18" s="93" t="str">
        <f t="shared" si="4"/>
        <v/>
      </c>
      <c r="K18" s="406">
        <f>$D18*$F18*IF($E$5=16,0.25,0.22)*VLOOKUP($C18,'Master sheet'!$A:$AL,13,FALSE)*(0.0254*5.5)</f>
        <v>0</v>
      </c>
      <c r="L18" s="94">
        <f>$D18*$F18*IF($E$5=16,0.25,0.22)*VLOOKUP($C18,'Master sheet'!$A:$AL,27,FALSE)*(0.0254*5.5)</f>
        <v>0</v>
      </c>
      <c r="M18" s="1552"/>
      <c r="N18" s="1552"/>
      <c r="O18" s="25" t="str">
        <f>_xlfn.IFNA(VLOOKUP($C18,'Master sheet'!$A:$AR,44,FALSE),"")&amp;""</f>
        <v/>
      </c>
      <c r="P18" s="685"/>
      <c r="Q18" s="43" t="str">
        <f t="shared" si="5"/>
        <v>ROOF</v>
      </c>
      <c r="R18" s="726" t="s">
        <v>1607</v>
      </c>
      <c r="S18" s="737" t="s">
        <v>7251</v>
      </c>
      <c r="T18" s="665"/>
      <c r="U18" s="664"/>
      <c r="V18" s="664"/>
      <c r="W18" s="664"/>
      <c r="X18" s="664"/>
      <c r="Y18" s="664"/>
      <c r="Z18" s="664"/>
      <c r="AA18" s="664"/>
    </row>
    <row r="19" spans="1:27" ht="22.8" x14ac:dyDescent="0.25">
      <c r="A19" s="1542"/>
      <c r="B19" s="1542"/>
      <c r="C19" s="669" t="str">
        <f>INDEX('Master sheet'!$A$1:$A$670,MATCH("248-6",'Master sheet'!$AN$1:$AN$670,0))</f>
        <v xml:space="preserve">Wood - SPF / Canadian Wood Council / Atlantic Canada / </v>
      </c>
      <c r="D19" s="15">
        <f>'USER INPUT SHEET'!$D$37</f>
        <v>0</v>
      </c>
      <c r="E19" s="16" t="str">
        <f>'USER INPUT SHEET'!$F$37</f>
        <v>m2</v>
      </c>
      <c r="F19" s="3">
        <v>1</v>
      </c>
      <c r="G19" s="670"/>
      <c r="H19" s="8"/>
      <c r="I19" s="88">
        <f t="shared" si="3"/>
        <v>0</v>
      </c>
      <c r="J19" s="93" t="str">
        <f t="shared" si="4"/>
        <v/>
      </c>
      <c r="K19" s="406">
        <f>$D19*$F19*IF($E$5=16,0.25,0.22)*VLOOKUP($C19,'Master sheet'!$A:$AL,13,FALSE)*(0.0254*5.5)</f>
        <v>0</v>
      </c>
      <c r="L19" s="94">
        <f>$D19*$F19*IF($E$5=16,0.25,0.22)*VLOOKUP($C19,'Master sheet'!$A:$AL,27,FALSE)*(0.0254*5.5)</f>
        <v>0</v>
      </c>
      <c r="M19" s="1552"/>
      <c r="N19" s="1552"/>
      <c r="O19" s="25" t="str">
        <f>_xlfn.IFNA(VLOOKUP($C19,'Master sheet'!$A:$AR,44,FALSE),"")&amp;""</f>
        <v/>
      </c>
      <c r="P19" s="685"/>
      <c r="Q19" s="43" t="str">
        <f t="shared" si="5"/>
        <v>ROOF</v>
      </c>
      <c r="R19" s="726" t="s">
        <v>1607</v>
      </c>
      <c r="S19" s="737" t="s">
        <v>7251</v>
      </c>
      <c r="T19" s="665"/>
      <c r="U19" s="664"/>
      <c r="V19" s="664"/>
      <c r="W19" s="664"/>
      <c r="X19" s="664"/>
      <c r="Y19" s="664"/>
      <c r="Z19" s="664"/>
      <c r="AA19" s="664"/>
    </row>
    <row r="20" spans="1:27" s="624" customFormat="1" ht="21" customHeight="1" x14ac:dyDescent="0.25">
      <c r="A20" s="639"/>
      <c r="B20" s="1524" t="s">
        <v>6848</v>
      </c>
      <c r="C20" s="1523"/>
      <c r="D20" s="640"/>
      <c r="E20" s="641"/>
      <c r="F20" s="334"/>
      <c r="G20" s="678"/>
      <c r="H20" s="639"/>
      <c r="I20" s="733"/>
      <c r="J20" s="733"/>
      <c r="K20" s="698"/>
      <c r="L20" s="736"/>
      <c r="M20" s="736"/>
      <c r="N20" s="736"/>
      <c r="O20" s="25" t="str">
        <f>_xlfn.IFNA(VLOOKUP($C20,'Master sheet'!$A:$AR,44,FALSE),"")&amp;""</f>
        <v/>
      </c>
      <c r="P20" s="637"/>
      <c r="Q20" s="722"/>
      <c r="R20" s="722"/>
      <c r="S20" s="623"/>
      <c r="T20" s="638"/>
      <c r="U20" s="638"/>
      <c r="V20" s="638"/>
      <c r="W20" s="638"/>
      <c r="X20" s="638"/>
      <c r="Y20" s="638"/>
      <c r="Z20" s="638"/>
      <c r="AA20" s="664"/>
    </row>
    <row r="21" spans="1:27" ht="22.8" x14ac:dyDescent="0.25">
      <c r="A21" s="1542"/>
      <c r="B21" s="1542"/>
      <c r="C21" s="669" t="str">
        <f>INDEX('Master sheet'!$A$1:$A$670,MATCH("248-1",'Master sheet'!$AN$1:$AN$670,0))</f>
        <v xml:space="preserve">Wood - SPF / Canadian Wood Council / British Columbia / </v>
      </c>
      <c r="D21" s="15">
        <f>'USER INPUT SHEET'!$D$37</f>
        <v>0</v>
      </c>
      <c r="E21" s="16" t="str">
        <f>'USER INPUT SHEET'!$F$37</f>
        <v>m2</v>
      </c>
      <c r="F21" s="3">
        <v>1</v>
      </c>
      <c r="G21" s="670"/>
      <c r="H21" s="8"/>
      <c r="I21" s="92">
        <f t="shared" ref="I21:I26" si="6">K21-L21-IF(N21,M21,0)</f>
        <v>0</v>
      </c>
      <c r="J21" s="93" t="str">
        <f t="shared" ref="J21:J26" si="7">IF(H21=1,I21,"")</f>
        <v/>
      </c>
      <c r="K21" s="406">
        <f>$D21*$F21*IF($E$5=16,0.25,0.22)*VLOOKUP($C21,'Master sheet'!$A:$AL,13,FALSE)*(0.0254*7.25)</f>
        <v>0</v>
      </c>
      <c r="L21" s="94">
        <f>$D21*$F21*IF($E$5=16,0.25,0.22)*VLOOKUP($C21,'Master sheet'!$A:$AL,27,FALSE)*(0.0254*7.25)</f>
        <v>0</v>
      </c>
      <c r="M21" s="1562"/>
      <c r="N21" s="1562"/>
      <c r="O21" s="25" t="str">
        <f>_xlfn.IFNA(VLOOKUP($C21,'Master sheet'!$A:$AR,44,FALSE),"")&amp;""</f>
        <v/>
      </c>
      <c r="P21" s="685"/>
      <c r="Q21" s="242" t="str">
        <f t="shared" ref="Q21:Q26" si="8">D$1</f>
        <v>ROOF</v>
      </c>
      <c r="R21" s="726" t="s">
        <v>1607</v>
      </c>
      <c r="S21" s="664" t="s">
        <v>7252</v>
      </c>
      <c r="T21" s="665"/>
      <c r="U21" s="664"/>
      <c r="V21" s="664"/>
      <c r="W21" s="664"/>
      <c r="X21" s="664"/>
      <c r="Y21" s="664"/>
      <c r="Z21" s="664"/>
      <c r="AA21" s="664"/>
    </row>
    <row r="22" spans="1:27" ht="22.8" x14ac:dyDescent="0.25">
      <c r="A22" s="1542"/>
      <c r="B22" s="1542"/>
      <c r="C22" s="669" t="str">
        <f>INDEX('Master sheet'!$A$1:$A$670,MATCH("248-2",'Master sheet'!$AN$1:$AN$670,0))</f>
        <v xml:space="preserve">Wood - SPF / Canadian Wood Council / Alberta / </v>
      </c>
      <c r="D22" s="15">
        <f>'USER INPUT SHEET'!$D$37</f>
        <v>0</v>
      </c>
      <c r="E22" s="16" t="str">
        <f>'USER INPUT SHEET'!$F$37</f>
        <v>m2</v>
      </c>
      <c r="F22" s="3">
        <v>1</v>
      </c>
      <c r="G22" s="670"/>
      <c r="H22" s="8"/>
      <c r="I22" s="88">
        <f t="shared" si="6"/>
        <v>0</v>
      </c>
      <c r="J22" s="93" t="str">
        <f t="shared" si="7"/>
        <v/>
      </c>
      <c r="K22" s="406">
        <f>$D22*$F22*IF($E$5=16,0.25,0.22)*VLOOKUP($C22,'Master sheet'!$A:$AL,13,FALSE)*(0.0254*7.25)</f>
        <v>0</v>
      </c>
      <c r="L22" s="94">
        <f>$D22*$F22*IF($E$5=16,0.25,0.22)*VLOOKUP($C22,'Master sheet'!$A:$AL,27,FALSE)*(0.0254*7.25)</f>
        <v>0</v>
      </c>
      <c r="M22" s="1552"/>
      <c r="N22" s="1552"/>
      <c r="O22" s="25" t="str">
        <f>_xlfn.IFNA(VLOOKUP($C22,'Master sheet'!$A:$AR,44,FALSE),"")&amp;""</f>
        <v/>
      </c>
      <c r="P22" s="685"/>
      <c r="Q22" s="242" t="str">
        <f t="shared" si="8"/>
        <v>ROOF</v>
      </c>
      <c r="R22" s="726" t="s">
        <v>1607</v>
      </c>
      <c r="S22" s="664" t="s">
        <v>7252</v>
      </c>
      <c r="T22" s="665"/>
      <c r="U22" s="664"/>
      <c r="V22" s="664"/>
      <c r="W22" s="664"/>
      <c r="X22" s="664"/>
      <c r="Y22" s="664"/>
      <c r="Z22" s="664"/>
      <c r="AA22" s="664"/>
    </row>
    <row r="23" spans="1:27" ht="22.8" x14ac:dyDescent="0.25">
      <c r="A23" s="1542"/>
      <c r="B23" s="1542"/>
      <c r="C23" s="669" t="str">
        <f>INDEX('Master sheet'!$A$1:$A$670,MATCH("248-3",'Master sheet'!$AN$1:$AN$670,0))</f>
        <v xml:space="preserve">Wood - SPF / Canadian Wood Council / Ontario / </v>
      </c>
      <c r="D23" s="15">
        <f>'USER INPUT SHEET'!$D$37</f>
        <v>0</v>
      </c>
      <c r="E23" s="16" t="str">
        <f>'USER INPUT SHEET'!$F$37</f>
        <v>m2</v>
      </c>
      <c r="F23" s="3">
        <v>1</v>
      </c>
      <c r="G23" s="670"/>
      <c r="H23" s="8"/>
      <c r="I23" s="88">
        <f t="shared" si="6"/>
        <v>0</v>
      </c>
      <c r="J23" s="93" t="str">
        <f t="shared" si="7"/>
        <v/>
      </c>
      <c r="K23" s="406">
        <f>$D23*$F23*IF($E$5=16,0.25,0.22)*VLOOKUP($C23,'Master sheet'!$A:$AL,13,FALSE)*(0.0254*7.25)</f>
        <v>0</v>
      </c>
      <c r="L23" s="94">
        <f>$D23*$F23*IF($E$5=16,0.25,0.22)*VLOOKUP($C23,'Master sheet'!$A:$AL,27,FALSE)*(0.0254*7.25)</f>
        <v>0</v>
      </c>
      <c r="M23" s="1552"/>
      <c r="N23" s="1552"/>
      <c r="O23" s="25" t="str">
        <f>_xlfn.IFNA(VLOOKUP($C23,'Master sheet'!$A:$AR,44,FALSE),"")&amp;""</f>
        <v/>
      </c>
      <c r="P23" s="685"/>
      <c r="Q23" s="242" t="str">
        <f t="shared" si="8"/>
        <v>ROOF</v>
      </c>
      <c r="R23" s="726" t="s">
        <v>1607</v>
      </c>
      <c r="S23" s="664" t="s">
        <v>7252</v>
      </c>
      <c r="T23" s="665"/>
      <c r="U23" s="664"/>
      <c r="V23" s="664"/>
      <c r="W23" s="664"/>
      <c r="X23" s="664"/>
      <c r="Y23" s="664"/>
      <c r="Z23" s="664"/>
      <c r="AA23" s="664"/>
    </row>
    <row r="24" spans="1:27" ht="22.8" x14ac:dyDescent="0.25">
      <c r="A24" s="1542"/>
      <c r="B24" s="1542"/>
      <c r="C24" s="669" t="str">
        <f>INDEX('Master sheet'!$A$1:$A$670,MATCH("248-4",'Master sheet'!$AN$1:$AN$670,0))</f>
        <v xml:space="preserve">Wood - SPF / Canadian Wood Council / Quebec / </v>
      </c>
      <c r="D24" s="15">
        <f>'USER INPUT SHEET'!$D$37</f>
        <v>0</v>
      </c>
      <c r="E24" s="16" t="str">
        <f>'USER INPUT SHEET'!$F$37</f>
        <v>m2</v>
      </c>
      <c r="F24" s="3">
        <v>1</v>
      </c>
      <c r="G24" s="670"/>
      <c r="H24" s="8"/>
      <c r="I24" s="88">
        <f t="shared" si="6"/>
        <v>0</v>
      </c>
      <c r="J24" s="93" t="str">
        <f t="shared" si="7"/>
        <v/>
      </c>
      <c r="K24" s="406">
        <f>$D24*$F24*IF($E$5=16,0.25,0.22)*VLOOKUP($C24,'Master sheet'!$A:$AL,13,FALSE)*(0.0254*7.25)</f>
        <v>0</v>
      </c>
      <c r="L24" s="94">
        <f>$D24*$F24*IF($E$5=16,0.25,0.22)*VLOOKUP($C24,'Master sheet'!$A:$AL,27,FALSE)*(0.0254*7.25)</f>
        <v>0</v>
      </c>
      <c r="M24" s="1552"/>
      <c r="N24" s="1552"/>
      <c r="O24" s="25" t="str">
        <f>_xlfn.IFNA(VLOOKUP($C24,'Master sheet'!$A:$AR,44,FALSE),"")&amp;""</f>
        <v/>
      </c>
      <c r="P24" s="685"/>
      <c r="Q24" s="242" t="str">
        <f t="shared" si="8"/>
        <v>ROOF</v>
      </c>
      <c r="R24" s="726" t="s">
        <v>1607</v>
      </c>
      <c r="S24" s="664" t="s">
        <v>7252</v>
      </c>
      <c r="T24" s="665"/>
      <c r="U24" s="664"/>
      <c r="V24" s="664"/>
      <c r="W24" s="664"/>
      <c r="X24" s="664"/>
      <c r="Y24" s="664"/>
      <c r="Z24" s="664"/>
      <c r="AA24" s="638"/>
    </row>
    <row r="25" spans="1:27" ht="22.8" x14ac:dyDescent="0.25">
      <c r="A25" s="1542"/>
      <c r="B25" s="1542"/>
      <c r="C25" s="669" t="str">
        <f>INDEX('Master sheet'!$A$1:$A$670,MATCH("248-5",'Master sheet'!$AN$1:$AN$670,0))</f>
        <v xml:space="preserve">Wood - SPF / Canadian Wood Council / New Brunswick / </v>
      </c>
      <c r="D25" s="15">
        <f>'USER INPUT SHEET'!$D$37</f>
        <v>0</v>
      </c>
      <c r="E25" s="16" t="str">
        <f>'USER INPUT SHEET'!$F$37</f>
        <v>m2</v>
      </c>
      <c r="F25" s="3">
        <v>1</v>
      </c>
      <c r="G25" s="670"/>
      <c r="H25" s="8"/>
      <c r="I25" s="88">
        <f t="shared" si="6"/>
        <v>0</v>
      </c>
      <c r="J25" s="93" t="str">
        <f t="shared" si="7"/>
        <v/>
      </c>
      <c r="K25" s="406">
        <f>$D25*$F25*IF($E$5=16,0.25,0.22)*VLOOKUP($C25,'Master sheet'!$A:$AL,13,FALSE)*(0.0254*7.25)</f>
        <v>0</v>
      </c>
      <c r="L25" s="94">
        <f>$D25*$F25*IF($E$5=16,0.25,0.22)*VLOOKUP($C25,'Master sheet'!$A:$AL,27,FALSE)*(0.0254*7.25)</f>
        <v>0</v>
      </c>
      <c r="M25" s="1552"/>
      <c r="N25" s="1552"/>
      <c r="O25" s="25" t="str">
        <f>_xlfn.IFNA(VLOOKUP($C25,'Master sheet'!$A:$AR,44,FALSE),"")&amp;""</f>
        <v/>
      </c>
      <c r="P25" s="685"/>
      <c r="Q25" s="242" t="str">
        <f t="shared" si="8"/>
        <v>ROOF</v>
      </c>
      <c r="R25" s="726" t="s">
        <v>1607</v>
      </c>
      <c r="S25" s="664" t="s">
        <v>7252</v>
      </c>
      <c r="T25" s="665"/>
      <c r="U25" s="664"/>
      <c r="V25" s="664"/>
      <c r="W25" s="664"/>
      <c r="X25" s="664"/>
      <c r="Y25" s="664"/>
      <c r="Z25" s="664"/>
      <c r="AA25" s="664"/>
    </row>
    <row r="26" spans="1:27" ht="22.8" x14ac:dyDescent="0.25">
      <c r="A26" s="1542"/>
      <c r="B26" s="1542"/>
      <c r="C26" s="669" t="str">
        <f>INDEX('Master sheet'!$A$1:$A$670,MATCH("248-6",'Master sheet'!$AN$1:$AN$670,0))</f>
        <v xml:space="preserve">Wood - SPF / Canadian Wood Council / Atlantic Canada / </v>
      </c>
      <c r="D26" s="15">
        <f>'USER INPUT SHEET'!$D$37</f>
        <v>0</v>
      </c>
      <c r="E26" s="16" t="str">
        <f>'USER INPUT SHEET'!$F$37</f>
        <v>m2</v>
      </c>
      <c r="F26" s="3">
        <v>1</v>
      </c>
      <c r="G26" s="670"/>
      <c r="H26" s="8"/>
      <c r="I26" s="88">
        <f t="shared" si="6"/>
        <v>0</v>
      </c>
      <c r="J26" s="93" t="str">
        <f t="shared" si="7"/>
        <v/>
      </c>
      <c r="K26" s="406">
        <f>$D26*$F26*IF($E$5=16,0.25,0.22)*VLOOKUP($C26,'Master sheet'!$A:$AL,13,FALSE)*(0.0254*7.25)</f>
        <v>0</v>
      </c>
      <c r="L26" s="94">
        <f>$D26*$F26*IF($E$5=16,0.25,0.22)*VLOOKUP($C26,'Master sheet'!$A:$AL,27,FALSE)*(0.0254*7.25)</f>
        <v>0</v>
      </c>
      <c r="M26" s="1552"/>
      <c r="N26" s="1552"/>
      <c r="O26" s="25" t="str">
        <f>_xlfn.IFNA(VLOOKUP($C26,'Master sheet'!$A:$AR,44,FALSE),"")&amp;""</f>
        <v/>
      </c>
      <c r="P26" s="685"/>
      <c r="Q26" s="242" t="str">
        <f t="shared" si="8"/>
        <v>ROOF</v>
      </c>
      <c r="R26" s="726" t="s">
        <v>1607</v>
      </c>
      <c r="S26" s="664" t="s">
        <v>7252</v>
      </c>
      <c r="T26" s="665"/>
      <c r="U26" s="664"/>
      <c r="V26" s="664"/>
      <c r="W26" s="664"/>
      <c r="X26" s="664"/>
      <c r="Y26" s="664"/>
      <c r="Z26" s="664"/>
      <c r="AA26" s="664"/>
    </row>
    <row r="27" spans="1:27" s="624" customFormat="1" ht="21" customHeight="1" x14ac:dyDescent="0.25">
      <c r="A27" s="639"/>
      <c r="B27" s="1524" t="s">
        <v>6847</v>
      </c>
      <c r="C27" s="1523"/>
      <c r="D27" s="640"/>
      <c r="E27" s="641"/>
      <c r="F27" s="334"/>
      <c r="G27" s="678"/>
      <c r="H27" s="639"/>
      <c r="I27" s="733"/>
      <c r="J27" s="733"/>
      <c r="K27" s="698"/>
      <c r="L27" s="736"/>
      <c r="M27" s="736"/>
      <c r="N27" s="736"/>
      <c r="O27" s="25" t="str">
        <f>_xlfn.IFNA(VLOOKUP($C27,'Master sheet'!$A:$AR,44,FALSE),"")&amp;""</f>
        <v/>
      </c>
      <c r="P27" s="637"/>
      <c r="Q27" s="722"/>
      <c r="R27" s="722"/>
      <c r="S27" s="623"/>
      <c r="T27" s="638"/>
      <c r="U27" s="638"/>
      <c r="V27" s="638"/>
      <c r="W27" s="638"/>
      <c r="X27" s="638"/>
      <c r="Y27" s="638"/>
      <c r="Z27" s="638"/>
      <c r="AA27" s="664"/>
    </row>
    <row r="28" spans="1:27" ht="22.8" x14ac:dyDescent="0.25">
      <c r="A28" s="1542"/>
      <c r="B28" s="1542"/>
      <c r="C28" s="669" t="str">
        <f>INDEX('Master sheet'!$A$1:$A$670,MATCH("248-1",'Master sheet'!$AN$1:$AN$670,0))</f>
        <v xml:space="preserve">Wood - SPF / Canadian Wood Council / British Columbia / </v>
      </c>
      <c r="D28" s="15">
        <f>'USER INPUT SHEET'!$D$37</f>
        <v>0</v>
      </c>
      <c r="E28" s="16" t="str">
        <f>'USER INPUT SHEET'!$F$37</f>
        <v>m2</v>
      </c>
      <c r="F28" s="3">
        <v>1</v>
      </c>
      <c r="G28" s="670"/>
      <c r="H28" s="8"/>
      <c r="I28" s="92">
        <f t="shared" ref="I28:I33" si="9">K28-L28-IF(N28,M28,0)</f>
        <v>0</v>
      </c>
      <c r="J28" s="93" t="str">
        <f t="shared" ref="J28:J33" si="10">IF(H28=1,I28,"")</f>
        <v/>
      </c>
      <c r="K28" s="406">
        <f>$D28*$F28*IF($E$5=16,0.25,0.22)*VLOOKUP($C28,'Master sheet'!$A:$AL,13,FALSE)*(0.0254*9.25)</f>
        <v>0</v>
      </c>
      <c r="L28" s="94">
        <f>$D28*$F28*IF($E$5=16,0.25,0.22)*VLOOKUP($C28,'Master sheet'!$A:$AL,27,FALSE)*(0.0254*9.25)</f>
        <v>0</v>
      </c>
      <c r="M28" s="1562"/>
      <c r="N28" s="1562"/>
      <c r="O28" s="25" t="str">
        <f>_xlfn.IFNA(VLOOKUP($C28,'Master sheet'!$A:$AR,44,FALSE),"")&amp;""</f>
        <v/>
      </c>
      <c r="P28" s="685"/>
      <c r="Q28" s="242" t="str">
        <f t="shared" ref="Q28:Q33" si="11">D$1</f>
        <v>ROOF</v>
      </c>
      <c r="R28" s="726" t="s">
        <v>1607</v>
      </c>
      <c r="S28" s="737" t="s">
        <v>7267</v>
      </c>
      <c r="T28" s="665"/>
      <c r="U28" s="664"/>
      <c r="V28" s="664"/>
      <c r="W28" s="664"/>
      <c r="X28" s="664"/>
      <c r="Y28" s="664"/>
      <c r="Z28" s="664"/>
      <c r="AA28" s="664"/>
    </row>
    <row r="29" spans="1:27" ht="22.8" x14ac:dyDescent="0.25">
      <c r="A29" s="1542"/>
      <c r="B29" s="1542"/>
      <c r="C29" s="669" t="str">
        <f>INDEX('Master sheet'!$A$1:$A$670,MATCH("248-2",'Master sheet'!$AN$1:$AN$670,0))</f>
        <v xml:space="preserve">Wood - SPF / Canadian Wood Council / Alberta / </v>
      </c>
      <c r="D29" s="15">
        <f>'USER INPUT SHEET'!$D$37</f>
        <v>0</v>
      </c>
      <c r="E29" s="16" t="str">
        <f>'USER INPUT SHEET'!$F$37</f>
        <v>m2</v>
      </c>
      <c r="F29" s="3">
        <v>1</v>
      </c>
      <c r="G29" s="670"/>
      <c r="H29" s="8"/>
      <c r="I29" s="88">
        <f t="shared" si="9"/>
        <v>0</v>
      </c>
      <c r="J29" s="93" t="str">
        <f t="shared" si="10"/>
        <v/>
      </c>
      <c r="K29" s="406">
        <f>$D29*$F29*IF($E$5=16,0.25,0.22)*VLOOKUP($C29,'Master sheet'!$A:$AL,13,FALSE)*(0.0254*9.25)</f>
        <v>0</v>
      </c>
      <c r="L29" s="94">
        <f>$D29*$F29*IF($E$5=16,0.25,0.22)*VLOOKUP($C29,'Master sheet'!$A:$AL,27,FALSE)*(0.0254*9.25)</f>
        <v>0</v>
      </c>
      <c r="M29" s="1552"/>
      <c r="N29" s="1552"/>
      <c r="O29" s="25" t="str">
        <f>_xlfn.IFNA(VLOOKUP($C29,'Master sheet'!$A:$AR,44,FALSE),"")&amp;""</f>
        <v/>
      </c>
      <c r="P29" s="685"/>
      <c r="Q29" s="242" t="str">
        <f t="shared" si="11"/>
        <v>ROOF</v>
      </c>
      <c r="R29" s="726" t="s">
        <v>1607</v>
      </c>
      <c r="S29" s="737" t="s">
        <v>7267</v>
      </c>
      <c r="T29" s="665"/>
      <c r="U29" s="664"/>
      <c r="V29" s="664"/>
      <c r="W29" s="664"/>
      <c r="X29" s="664"/>
      <c r="Y29" s="664"/>
      <c r="Z29" s="664"/>
      <c r="AA29" s="664"/>
    </row>
    <row r="30" spans="1:27" ht="22.8" x14ac:dyDescent="0.25">
      <c r="A30" s="1542"/>
      <c r="B30" s="1542"/>
      <c r="C30" s="669" t="str">
        <f>INDEX('Master sheet'!$A$1:$A$670,MATCH("248-3",'Master sheet'!$AN$1:$AN$670,0))</f>
        <v xml:space="preserve">Wood - SPF / Canadian Wood Council / Ontario / </v>
      </c>
      <c r="D30" s="15">
        <f>'USER INPUT SHEET'!$D$37</f>
        <v>0</v>
      </c>
      <c r="E30" s="16" t="str">
        <f>'USER INPUT SHEET'!$F$37</f>
        <v>m2</v>
      </c>
      <c r="F30" s="3">
        <v>1</v>
      </c>
      <c r="G30" s="670"/>
      <c r="H30" s="8"/>
      <c r="I30" s="88">
        <f t="shared" si="9"/>
        <v>0</v>
      </c>
      <c r="J30" s="93" t="str">
        <f t="shared" si="10"/>
        <v/>
      </c>
      <c r="K30" s="406">
        <f>$D30*$F30*IF($E$5=16,0.25,0.22)*VLOOKUP($C30,'Master sheet'!$A:$AL,13,FALSE)*(0.0254*9.25)</f>
        <v>0</v>
      </c>
      <c r="L30" s="94">
        <f>$D30*$F30*IF($E$5=16,0.25,0.22)*VLOOKUP($C30,'Master sheet'!$A:$AL,27,FALSE)*(0.0254*9.25)</f>
        <v>0</v>
      </c>
      <c r="M30" s="1552"/>
      <c r="N30" s="1552"/>
      <c r="O30" s="25" t="str">
        <f>_xlfn.IFNA(VLOOKUP($C30,'Master sheet'!$A:$AR,44,FALSE),"")&amp;""</f>
        <v/>
      </c>
      <c r="P30" s="685"/>
      <c r="Q30" s="242" t="str">
        <f t="shared" si="11"/>
        <v>ROOF</v>
      </c>
      <c r="R30" s="726" t="s">
        <v>1607</v>
      </c>
      <c r="S30" s="737" t="s">
        <v>7267</v>
      </c>
      <c r="T30" s="665"/>
      <c r="U30" s="664"/>
      <c r="V30" s="664"/>
      <c r="W30" s="664"/>
      <c r="X30" s="664"/>
      <c r="Y30" s="664"/>
      <c r="Z30" s="664"/>
      <c r="AA30" s="664"/>
    </row>
    <row r="31" spans="1:27" ht="22.8" x14ac:dyDescent="0.25">
      <c r="A31" s="1542"/>
      <c r="B31" s="1542"/>
      <c r="C31" s="669" t="str">
        <f>INDEX('Master sheet'!$A$1:$A$670,MATCH("248-4",'Master sheet'!$AN$1:$AN$670,0))</f>
        <v xml:space="preserve">Wood - SPF / Canadian Wood Council / Quebec / </v>
      </c>
      <c r="D31" s="15">
        <f>'USER INPUT SHEET'!$D$37</f>
        <v>0</v>
      </c>
      <c r="E31" s="16" t="str">
        <f>'USER INPUT SHEET'!$F$37</f>
        <v>m2</v>
      </c>
      <c r="F31" s="3">
        <v>1</v>
      </c>
      <c r="G31" s="670"/>
      <c r="H31" s="8"/>
      <c r="I31" s="88">
        <f t="shared" si="9"/>
        <v>0</v>
      </c>
      <c r="J31" s="93" t="str">
        <f t="shared" si="10"/>
        <v/>
      </c>
      <c r="K31" s="406">
        <f>$D31*$F31*IF($E$5=16,0.25,0.22)*VLOOKUP($C31,'Master sheet'!$A:$AL,13,FALSE)*(0.0254*9.25)</f>
        <v>0</v>
      </c>
      <c r="L31" s="94">
        <f>$D31*$F31*IF($E$5=16,0.25,0.22)*VLOOKUP($C31,'Master sheet'!$A:$AL,27,FALSE)*(0.0254*9.25)</f>
        <v>0</v>
      </c>
      <c r="M31" s="1552"/>
      <c r="N31" s="1552"/>
      <c r="O31" s="25" t="str">
        <f>_xlfn.IFNA(VLOOKUP($C31,'Master sheet'!$A:$AR,44,FALSE),"")&amp;""</f>
        <v/>
      </c>
      <c r="P31" s="685"/>
      <c r="Q31" s="242" t="str">
        <f t="shared" si="11"/>
        <v>ROOF</v>
      </c>
      <c r="R31" s="726" t="s">
        <v>1607</v>
      </c>
      <c r="S31" s="737" t="s">
        <v>7267</v>
      </c>
      <c r="T31" s="665"/>
      <c r="U31" s="664"/>
      <c r="V31" s="664"/>
      <c r="W31" s="664"/>
      <c r="X31" s="664"/>
      <c r="Y31" s="664"/>
      <c r="Z31" s="664"/>
      <c r="AA31" s="664"/>
    </row>
    <row r="32" spans="1:27" ht="22.8" x14ac:dyDescent="0.25">
      <c r="A32" s="1542"/>
      <c r="B32" s="1542"/>
      <c r="C32" s="669" t="str">
        <f>INDEX('Master sheet'!$A$1:$A$670,MATCH("248-5",'Master sheet'!$AN$1:$AN$670,0))</f>
        <v xml:space="preserve">Wood - SPF / Canadian Wood Council / New Brunswick / </v>
      </c>
      <c r="D32" s="15">
        <f>'USER INPUT SHEET'!$D$37</f>
        <v>0</v>
      </c>
      <c r="E32" s="16" t="str">
        <f>'USER INPUT SHEET'!$F$37</f>
        <v>m2</v>
      </c>
      <c r="F32" s="3">
        <v>1</v>
      </c>
      <c r="G32" s="670"/>
      <c r="H32" s="8"/>
      <c r="I32" s="88">
        <f t="shared" si="9"/>
        <v>0</v>
      </c>
      <c r="J32" s="93" t="str">
        <f t="shared" si="10"/>
        <v/>
      </c>
      <c r="K32" s="406">
        <f>$D32*$F32*IF($E$5=16,0.25,0.22)*VLOOKUP($C32,'Master sheet'!$A:$AL,13,FALSE)*(0.0254*9.25)</f>
        <v>0</v>
      </c>
      <c r="L32" s="94">
        <f>$D32*$F32*IF($E$5=16,0.25,0.22)*VLOOKUP($C32,'Master sheet'!$A:$AL,27,FALSE)*(0.0254*9.25)</f>
        <v>0</v>
      </c>
      <c r="M32" s="1552"/>
      <c r="N32" s="1552"/>
      <c r="O32" s="25" t="str">
        <f>_xlfn.IFNA(VLOOKUP($C32,'Master sheet'!$A:$AR,44,FALSE),"")&amp;""</f>
        <v/>
      </c>
      <c r="P32" s="685"/>
      <c r="Q32" s="242" t="str">
        <f t="shared" si="11"/>
        <v>ROOF</v>
      </c>
      <c r="R32" s="726" t="s">
        <v>1607</v>
      </c>
      <c r="S32" s="737" t="s">
        <v>7267</v>
      </c>
      <c r="T32" s="665"/>
      <c r="U32" s="664"/>
      <c r="V32" s="664"/>
      <c r="W32" s="664"/>
      <c r="X32" s="664"/>
      <c r="Y32" s="664"/>
      <c r="Z32" s="664"/>
      <c r="AA32" s="638"/>
    </row>
    <row r="33" spans="1:27" ht="22.8" x14ac:dyDescent="0.25">
      <c r="A33" s="1542"/>
      <c r="B33" s="1542"/>
      <c r="C33" s="669" t="str">
        <f>INDEX('Master sheet'!$A$1:$A$670,MATCH("248-6",'Master sheet'!$AN$1:$AN$670,0))</f>
        <v xml:space="preserve">Wood - SPF / Canadian Wood Council / Atlantic Canada / </v>
      </c>
      <c r="D33" s="15">
        <f>'USER INPUT SHEET'!$D$37</f>
        <v>0</v>
      </c>
      <c r="E33" s="16" t="str">
        <f>'USER INPUT SHEET'!$F$37</f>
        <v>m2</v>
      </c>
      <c r="F33" s="3">
        <v>1</v>
      </c>
      <c r="G33" s="670"/>
      <c r="H33" s="8"/>
      <c r="I33" s="88">
        <f t="shared" si="9"/>
        <v>0</v>
      </c>
      <c r="J33" s="93" t="str">
        <f t="shared" si="10"/>
        <v/>
      </c>
      <c r="K33" s="406">
        <f>$D33*$F33*IF($E$5=16,0.25,0.22)*VLOOKUP($C33,'Master sheet'!$A:$AL,13,FALSE)*(0.0254*9.25)</f>
        <v>0</v>
      </c>
      <c r="L33" s="94">
        <f>$D33*$F33*IF($E$5=16,0.25,0.22)*VLOOKUP($C33,'Master sheet'!$A:$AL,27,FALSE)*(0.0254*9.25)</f>
        <v>0</v>
      </c>
      <c r="M33" s="1562"/>
      <c r="N33" s="1562"/>
      <c r="O33" s="25" t="str">
        <f>_xlfn.IFNA(VLOOKUP($C33,'Master sheet'!$A:$AR,44,FALSE),"")&amp;""</f>
        <v/>
      </c>
      <c r="P33" s="685"/>
      <c r="Q33" s="242" t="str">
        <f t="shared" si="11"/>
        <v>ROOF</v>
      </c>
      <c r="R33" s="726" t="s">
        <v>1607</v>
      </c>
      <c r="S33" s="737" t="s">
        <v>7267</v>
      </c>
      <c r="T33" s="665"/>
      <c r="U33" s="664"/>
      <c r="V33" s="664"/>
      <c r="W33" s="664"/>
      <c r="X33" s="664"/>
      <c r="Y33" s="664"/>
      <c r="Z33" s="664"/>
      <c r="AA33" s="638"/>
    </row>
    <row r="34" spans="1:27" s="624" customFormat="1" ht="21" customHeight="1" x14ac:dyDescent="0.25">
      <c r="A34" s="639"/>
      <c r="B34" s="1524" t="s">
        <v>6846</v>
      </c>
      <c r="C34" s="1523"/>
      <c r="D34" s="640"/>
      <c r="E34" s="641"/>
      <c r="F34" s="334"/>
      <c r="G34" s="678"/>
      <c r="H34" s="639"/>
      <c r="I34" s="733"/>
      <c r="J34" s="733"/>
      <c r="K34" s="698"/>
      <c r="L34" s="736"/>
      <c r="M34" s="736"/>
      <c r="N34" s="736"/>
      <c r="O34" s="25" t="str">
        <f>_xlfn.IFNA(VLOOKUP($C34,'Master sheet'!$A:$AR,44,FALSE),"")&amp;""</f>
        <v/>
      </c>
      <c r="P34" s="637"/>
      <c r="Q34" s="722"/>
      <c r="R34" s="722"/>
      <c r="S34" s="623"/>
      <c r="T34" s="638"/>
      <c r="U34" s="638"/>
      <c r="V34" s="638"/>
      <c r="W34" s="638"/>
      <c r="X34" s="638"/>
      <c r="Y34" s="638"/>
      <c r="Z34" s="638"/>
      <c r="AA34" s="664"/>
    </row>
    <row r="35" spans="1:27" ht="22.8" x14ac:dyDescent="0.25">
      <c r="A35" s="1542"/>
      <c r="B35" s="1542"/>
      <c r="C35" s="669" t="str">
        <f>INDEX('Master sheet'!$A$1:$A$670,MATCH("248-1",'Master sheet'!$AN$1:$AN$670,0))</f>
        <v xml:space="preserve">Wood - SPF / Canadian Wood Council / British Columbia / </v>
      </c>
      <c r="D35" s="17">
        <f>'USER INPUT SHEET'!$D$37</f>
        <v>0</v>
      </c>
      <c r="E35" s="18" t="str">
        <f>'USER INPUT SHEET'!$F$37</f>
        <v>m2</v>
      </c>
      <c r="F35" s="4">
        <v>1</v>
      </c>
      <c r="G35" s="674"/>
      <c r="H35" s="9"/>
      <c r="I35" s="95">
        <f t="shared" ref="I35:I40" si="12">K35-L35-IF(N35,M35,0)</f>
        <v>0</v>
      </c>
      <c r="J35" s="96" t="str">
        <f t="shared" ref="J35:J40" si="13">IF(H35=1,I35,"")</f>
        <v/>
      </c>
      <c r="K35" s="407">
        <f>$D35*$F35*IF($E$5=16,0.25,0.22)*VLOOKUP($C35,'Master sheet'!$A:$AL,13,FALSE)*(0.0254*11.25)</f>
        <v>0</v>
      </c>
      <c r="L35" s="97">
        <f>$D35*$F35*IF($E$5=16,0.25,0.22)*VLOOKUP($C35,'Master sheet'!$A:$AL,27,FALSE)*(0.0254*11.25)</f>
        <v>0</v>
      </c>
      <c r="M35" s="1562"/>
      <c r="N35" s="1562"/>
      <c r="O35" s="25" t="str">
        <f>_xlfn.IFNA(VLOOKUP($C35,'Master sheet'!$A:$AR,44,FALSE),"")&amp;""</f>
        <v/>
      </c>
      <c r="P35" s="637"/>
      <c r="Q35" s="243" t="str">
        <f t="shared" ref="Q35:Q40" si="14">D$1</f>
        <v>ROOF</v>
      </c>
      <c r="R35" s="726" t="s">
        <v>1607</v>
      </c>
      <c r="S35" s="638" t="s">
        <v>7268</v>
      </c>
      <c r="T35" s="665"/>
      <c r="U35" s="664"/>
      <c r="V35" s="664"/>
      <c r="W35" s="664"/>
      <c r="X35" s="664"/>
      <c r="Y35" s="664"/>
      <c r="Z35" s="664"/>
      <c r="AA35" s="664"/>
    </row>
    <row r="36" spans="1:27" ht="22.8" x14ac:dyDescent="0.25">
      <c r="A36" s="1542"/>
      <c r="B36" s="1542"/>
      <c r="C36" s="669" t="str">
        <f>INDEX('Master sheet'!$A$1:$A$670,MATCH("248-2",'Master sheet'!$AN$1:$AN$670,0))</f>
        <v xml:space="preserve">Wood - SPF / Canadian Wood Council / Alberta / </v>
      </c>
      <c r="D36" s="17">
        <f>'USER INPUT SHEET'!$D$37</f>
        <v>0</v>
      </c>
      <c r="E36" s="18" t="str">
        <f>'USER INPUT SHEET'!$F$37</f>
        <v>m2</v>
      </c>
      <c r="F36" s="4">
        <v>1</v>
      </c>
      <c r="G36" s="674"/>
      <c r="H36" s="9"/>
      <c r="I36" s="95">
        <f t="shared" si="12"/>
        <v>0</v>
      </c>
      <c r="J36" s="96" t="str">
        <f t="shared" si="13"/>
        <v/>
      </c>
      <c r="K36" s="407">
        <f>$D36*$F36*IF($E$5=16,0.25,0.22)*VLOOKUP($C36,'Master sheet'!$A:$AL,13,FALSE)*(0.0254*11.25)</f>
        <v>0</v>
      </c>
      <c r="L36" s="97">
        <f>$D36*$F36*IF($E$5=16,0.25,0.22)*VLOOKUP($C36,'Master sheet'!$A:$AL,27,FALSE)*(0.0254*11.25)</f>
        <v>0</v>
      </c>
      <c r="M36" s="1552"/>
      <c r="N36" s="1552"/>
      <c r="O36" s="25" t="str">
        <f>_xlfn.IFNA(VLOOKUP($C36,'Master sheet'!$A:$AR,44,FALSE),"")&amp;""</f>
        <v/>
      </c>
      <c r="P36" s="637"/>
      <c r="Q36" s="243" t="str">
        <f t="shared" si="14"/>
        <v>ROOF</v>
      </c>
      <c r="R36" s="726" t="s">
        <v>1607</v>
      </c>
      <c r="S36" s="638" t="s">
        <v>7268</v>
      </c>
      <c r="T36" s="665"/>
      <c r="U36" s="664"/>
      <c r="V36" s="664"/>
      <c r="W36" s="664"/>
      <c r="X36" s="664"/>
      <c r="Y36" s="664"/>
      <c r="Z36" s="664"/>
      <c r="AA36" s="664"/>
    </row>
    <row r="37" spans="1:27" ht="22.8" x14ac:dyDescent="0.25">
      <c r="A37" s="1542"/>
      <c r="B37" s="1542"/>
      <c r="C37" s="669" t="str">
        <f>INDEX('Master sheet'!$A$1:$A$670,MATCH("248-3",'Master sheet'!$AN$1:$AN$670,0))</f>
        <v xml:space="preserve">Wood - SPF / Canadian Wood Council / Ontario / </v>
      </c>
      <c r="D37" s="17">
        <f>'USER INPUT SHEET'!$D$37</f>
        <v>0</v>
      </c>
      <c r="E37" s="18" t="str">
        <f>'USER INPUT SHEET'!$F$37</f>
        <v>m2</v>
      </c>
      <c r="F37" s="4">
        <v>1</v>
      </c>
      <c r="G37" s="674"/>
      <c r="H37" s="9"/>
      <c r="I37" s="95">
        <f t="shared" si="12"/>
        <v>0</v>
      </c>
      <c r="J37" s="96" t="str">
        <f t="shared" si="13"/>
        <v/>
      </c>
      <c r="K37" s="407">
        <f>$D37*$F37*IF($E$5=16,0.25,0.22)*VLOOKUP($C37,'Master sheet'!$A:$AL,13,FALSE)*(0.0254*11.25)</f>
        <v>0</v>
      </c>
      <c r="L37" s="97">
        <f>$D37*$F37*IF($E$5=16,0.25,0.22)*VLOOKUP($C37,'Master sheet'!$A:$AL,27,FALSE)*(0.0254*11.25)</f>
        <v>0</v>
      </c>
      <c r="M37" s="1552"/>
      <c r="N37" s="1552"/>
      <c r="O37" s="25" t="str">
        <f>_xlfn.IFNA(VLOOKUP($C37,'Master sheet'!$A:$AR,44,FALSE),"")&amp;""</f>
        <v/>
      </c>
      <c r="P37" s="637"/>
      <c r="Q37" s="243" t="str">
        <f t="shared" si="14"/>
        <v>ROOF</v>
      </c>
      <c r="R37" s="726" t="s">
        <v>1607</v>
      </c>
      <c r="S37" s="638" t="s">
        <v>7268</v>
      </c>
      <c r="T37" s="665"/>
      <c r="U37" s="664"/>
      <c r="V37" s="664"/>
      <c r="W37" s="664"/>
      <c r="X37" s="664"/>
      <c r="Y37" s="664"/>
      <c r="Z37" s="664"/>
      <c r="AA37" s="664"/>
    </row>
    <row r="38" spans="1:27" ht="22.8" x14ac:dyDescent="0.25">
      <c r="A38" s="1542"/>
      <c r="B38" s="1542"/>
      <c r="C38" s="669" t="str">
        <f>INDEX('Master sheet'!$A$1:$A$670,MATCH("248-4",'Master sheet'!$AN$1:$AN$670,0))</f>
        <v xml:space="preserve">Wood - SPF / Canadian Wood Council / Quebec / </v>
      </c>
      <c r="D38" s="17">
        <f>'USER INPUT SHEET'!$D$37</f>
        <v>0</v>
      </c>
      <c r="E38" s="18" t="str">
        <f>'USER INPUT SHEET'!$F$37</f>
        <v>m2</v>
      </c>
      <c r="F38" s="4">
        <v>1</v>
      </c>
      <c r="G38" s="674"/>
      <c r="H38" s="9"/>
      <c r="I38" s="95">
        <f t="shared" si="12"/>
        <v>0</v>
      </c>
      <c r="J38" s="96" t="str">
        <f t="shared" si="13"/>
        <v/>
      </c>
      <c r="K38" s="407">
        <f>$D38*$F38*IF($E$5=16,0.25,0.22)*VLOOKUP($C38,'Master sheet'!$A:$AL,13,FALSE)*(0.0254*11.25)</f>
        <v>0</v>
      </c>
      <c r="L38" s="97">
        <f>$D38*$F38*IF($E$5=16,0.25,0.22)*VLOOKUP($C38,'Master sheet'!$A:$AL,27,FALSE)*(0.0254*11.25)</f>
        <v>0</v>
      </c>
      <c r="M38" s="1552"/>
      <c r="N38" s="1552"/>
      <c r="O38" s="25" t="str">
        <f>_xlfn.IFNA(VLOOKUP($C38,'Master sheet'!$A:$AR,44,FALSE),"")&amp;""</f>
        <v/>
      </c>
      <c r="P38" s="637"/>
      <c r="Q38" s="243" t="str">
        <f t="shared" si="14"/>
        <v>ROOF</v>
      </c>
      <c r="R38" s="726" t="s">
        <v>1607</v>
      </c>
      <c r="S38" s="638" t="s">
        <v>7268</v>
      </c>
      <c r="T38" s="665"/>
      <c r="U38" s="664"/>
      <c r="V38" s="664"/>
      <c r="W38" s="664"/>
      <c r="X38" s="664"/>
      <c r="Y38" s="664"/>
      <c r="Z38" s="664"/>
      <c r="AA38" s="664"/>
    </row>
    <row r="39" spans="1:27" ht="22.8" x14ac:dyDescent="0.25">
      <c r="A39" s="1542"/>
      <c r="B39" s="1542"/>
      <c r="C39" s="669" t="str">
        <f>INDEX('Master sheet'!$A$1:$A$670,MATCH("248-5",'Master sheet'!$AN$1:$AN$670,0))</f>
        <v xml:space="preserve">Wood - SPF / Canadian Wood Council / New Brunswick / </v>
      </c>
      <c r="D39" s="17">
        <f>'USER INPUT SHEET'!$D$37</f>
        <v>0</v>
      </c>
      <c r="E39" s="18" t="str">
        <f>'USER INPUT SHEET'!$F$37</f>
        <v>m2</v>
      </c>
      <c r="F39" s="4">
        <v>1</v>
      </c>
      <c r="G39" s="674"/>
      <c r="H39" s="9"/>
      <c r="I39" s="95">
        <f t="shared" si="12"/>
        <v>0</v>
      </c>
      <c r="J39" s="96" t="str">
        <f t="shared" si="13"/>
        <v/>
      </c>
      <c r="K39" s="407">
        <f>$D39*$F39*IF($E$5=16,0.25,0.22)*VLOOKUP($C39,'Master sheet'!$A:$AL,13,FALSE)*(0.0254*11.25)</f>
        <v>0</v>
      </c>
      <c r="L39" s="97">
        <f>$D39*$F39*IF($E$5=16,0.25,0.22)*VLOOKUP($C39,'Master sheet'!$A:$AL,27,FALSE)*(0.0254*11.25)</f>
        <v>0</v>
      </c>
      <c r="M39" s="1552"/>
      <c r="N39" s="1552"/>
      <c r="O39" s="25" t="str">
        <f>_xlfn.IFNA(VLOOKUP($C39,'Master sheet'!$A:$AR,44,FALSE),"")&amp;""</f>
        <v/>
      </c>
      <c r="P39" s="637"/>
      <c r="Q39" s="243" t="str">
        <f t="shared" si="14"/>
        <v>ROOF</v>
      </c>
      <c r="R39" s="726" t="s">
        <v>1607</v>
      </c>
      <c r="S39" s="638" t="s">
        <v>7268</v>
      </c>
      <c r="T39" s="665"/>
      <c r="U39" s="664"/>
      <c r="V39" s="664"/>
      <c r="W39" s="664"/>
      <c r="X39" s="664"/>
      <c r="Y39" s="664"/>
      <c r="Z39" s="664"/>
      <c r="AA39" s="664"/>
    </row>
    <row r="40" spans="1:27" ht="22.8" x14ac:dyDescent="0.25">
      <c r="A40" s="1542"/>
      <c r="B40" s="1542"/>
      <c r="C40" s="669" t="str">
        <f>INDEX('Master sheet'!$A$1:$A$670,MATCH("248-6",'Master sheet'!$AN$1:$AN$670,0))</f>
        <v xml:space="preserve">Wood - SPF / Canadian Wood Council / Atlantic Canada / </v>
      </c>
      <c r="D40" s="17">
        <f>'USER INPUT SHEET'!$D$37</f>
        <v>0</v>
      </c>
      <c r="E40" s="18" t="str">
        <f>'USER INPUT SHEET'!$F$37</f>
        <v>m2</v>
      </c>
      <c r="F40" s="4">
        <v>1</v>
      </c>
      <c r="G40" s="674"/>
      <c r="H40" s="9"/>
      <c r="I40" s="95">
        <f t="shared" si="12"/>
        <v>0</v>
      </c>
      <c r="J40" s="96" t="str">
        <f t="shared" si="13"/>
        <v/>
      </c>
      <c r="K40" s="407">
        <f>$D40*$F40*IF($E$5=16,0.25,0.22)*VLOOKUP($C40,'Master sheet'!$A:$AL,13,FALSE)*(0.0254*11.25)</f>
        <v>0</v>
      </c>
      <c r="L40" s="97">
        <f>$D40*$F40*IF($E$5=16,0.25,0.22)*VLOOKUP($C40,'Master sheet'!$A:$AL,27,FALSE)*(0.0254*11.25)</f>
        <v>0</v>
      </c>
      <c r="M40" s="1610"/>
      <c r="N40" s="1610"/>
      <c r="O40" s="25" t="str">
        <f>_xlfn.IFNA(VLOOKUP($C40,'Master sheet'!$A:$AR,44,FALSE),"")&amp;""</f>
        <v/>
      </c>
      <c r="P40" s="637"/>
      <c r="Q40" s="243" t="str">
        <f t="shared" si="14"/>
        <v>ROOF</v>
      </c>
      <c r="R40" s="726" t="s">
        <v>1607</v>
      </c>
      <c r="S40" s="638" t="s">
        <v>7268</v>
      </c>
      <c r="T40" s="665"/>
      <c r="U40" s="664"/>
      <c r="V40" s="664"/>
      <c r="W40" s="664"/>
      <c r="X40" s="664"/>
      <c r="Y40" s="664"/>
      <c r="Z40" s="664"/>
      <c r="AA40" s="664"/>
    </row>
    <row r="41" spans="1:27" s="624" customFormat="1" ht="22.8" x14ac:dyDescent="0.25">
      <c r="A41" s="639"/>
      <c r="B41" s="1524" t="s">
        <v>79</v>
      </c>
      <c r="C41" s="1523"/>
      <c r="D41" s="640"/>
      <c r="E41" s="641"/>
      <c r="F41" s="325"/>
      <c r="G41" s="678"/>
      <c r="H41" s="679"/>
      <c r="I41" s="642"/>
      <c r="J41" s="643"/>
      <c r="K41" s="676"/>
      <c r="L41" s="677"/>
      <c r="M41" s="677"/>
      <c r="N41" s="677"/>
      <c r="O41" s="25" t="str">
        <f>_xlfn.IFNA(VLOOKUP($C41,'Master sheet'!$A:$AR,44,FALSE),"")&amp;""</f>
        <v/>
      </c>
      <c r="P41" s="655"/>
      <c r="Q41" s="855"/>
      <c r="R41" s="726" t="s">
        <v>1607</v>
      </c>
      <c r="S41" s="638"/>
      <c r="T41" s="638"/>
      <c r="U41" s="638"/>
      <c r="V41" s="638"/>
      <c r="W41" s="638"/>
      <c r="X41" s="638"/>
      <c r="Y41" s="638"/>
      <c r="Z41" s="638"/>
      <c r="AA41" s="664"/>
    </row>
    <row r="42" spans="1:27" s="624" customFormat="1" ht="73.2" customHeight="1" x14ac:dyDescent="0.25">
      <c r="A42" s="1636" t="s">
        <v>1744</v>
      </c>
      <c r="B42" s="1636"/>
      <c r="C42" s="681" t="str">
        <f>INDEX('Master sheet'!$A$1:$A$670,MATCH(252,'Master sheet'!$AN$1:$AN$670,0))</f>
        <v>Wood roof truss - prefabricated / Canadian Wood Council / Common (Double Howe) Gable Roof / 2x6 Chords, 2x4 Webs, 4:12 Pitch, 40 ft span, 20" overhang</v>
      </c>
      <c r="D42" s="22">
        <f>'USER INPUT SHEET'!$D$37</f>
        <v>0</v>
      </c>
      <c r="E42" s="23" t="str">
        <f>'USER INPUT SHEET'!$F$37</f>
        <v>m2</v>
      </c>
      <c r="F42" s="6">
        <v>1</v>
      </c>
      <c r="G42" s="682"/>
      <c r="H42" s="10"/>
      <c r="I42" s="100">
        <f t="shared" ref="I42" si="15">K42-L42-IF(N42,M42,0)</f>
        <v>0</v>
      </c>
      <c r="J42" s="101" t="str">
        <f t="shared" ref="J42:J53" si="16">IF(H42=1,I42,"")</f>
        <v/>
      </c>
      <c r="K42" s="408">
        <f>$D42*$F42*IF($E$5=16,2.46, 1.64)*VLOOKUP($C42,'Master sheet'!$A:$AL,13,FALSE)</f>
        <v>0</v>
      </c>
      <c r="L42" s="102">
        <f>$D42*$F42*IF($E$5=16,2.46, 1.64)*VLOOKUP($C42,'Master sheet'!$A:$AL,27,FALSE)</f>
        <v>0</v>
      </c>
      <c r="M42" s="1559"/>
      <c r="N42" s="1559"/>
      <c r="O42" s="25" t="str">
        <f>_xlfn.IFNA(VLOOKUP($C42,'Master sheet'!$A:$AR,44,FALSE),"")&amp;""</f>
        <v/>
      </c>
      <c r="P42" s="663"/>
      <c r="Q42" s="45" t="str">
        <f>D$1</f>
        <v>ROOF</v>
      </c>
      <c r="R42" s="726" t="s">
        <v>1607</v>
      </c>
      <c r="S42" s="638"/>
      <c r="T42" s="638" t="s">
        <v>7295</v>
      </c>
      <c r="U42" s="638"/>
      <c r="V42" s="638"/>
      <c r="W42" s="638"/>
      <c r="X42" s="638"/>
      <c r="Y42" s="638"/>
      <c r="Z42" s="638"/>
      <c r="AA42" s="664"/>
    </row>
    <row r="43" spans="1:27" s="624" customFormat="1" ht="22.8" x14ac:dyDescent="0.25">
      <c r="A43" s="639"/>
      <c r="B43" s="1524" t="s">
        <v>76</v>
      </c>
      <c r="C43" s="1523"/>
      <c r="D43" s="640"/>
      <c r="E43" s="641"/>
      <c r="F43" s="325"/>
      <c r="G43" s="678"/>
      <c r="H43" s="679"/>
      <c r="I43" s="642"/>
      <c r="J43" s="643"/>
      <c r="K43" s="676"/>
      <c r="L43" s="677"/>
      <c r="M43" s="677"/>
      <c r="N43" s="677"/>
      <c r="O43" s="25" t="str">
        <f>_xlfn.IFNA(VLOOKUP($C43,'Master sheet'!$A:$AR,44,FALSE),"")&amp;""</f>
        <v/>
      </c>
      <c r="P43" s="637"/>
      <c r="Q43" s="726"/>
      <c r="R43" s="726" t="s">
        <v>1607</v>
      </c>
      <c r="S43" s="638"/>
      <c r="T43" s="638"/>
      <c r="U43" s="638"/>
      <c r="V43" s="638"/>
      <c r="W43" s="638"/>
      <c r="X43" s="638"/>
      <c r="Y43" s="638"/>
      <c r="Z43" s="638"/>
      <c r="AA43" s="638"/>
    </row>
    <row r="44" spans="1:27" s="624" customFormat="1" ht="22.8" x14ac:dyDescent="0.25">
      <c r="A44" s="1600"/>
      <c r="B44" s="853" t="s">
        <v>816</v>
      </c>
      <c r="C44" s="647" t="str">
        <f>INDEX('Master sheet'!$A$1:$A$670,MATCH(249,'Master sheet'!$AN$1:$AN$670,0))</f>
        <v>Wood I joist / Canadian Wood Council /  / TJI 230/360</v>
      </c>
      <c r="D44" s="13">
        <f>'USER INPUT SHEET'!$D$37</f>
        <v>0</v>
      </c>
      <c r="E44" s="14" t="str">
        <f>'USER INPUT SHEET'!$F$37</f>
        <v>m2</v>
      </c>
      <c r="F44" s="2">
        <v>1</v>
      </c>
      <c r="G44" s="648"/>
      <c r="H44" s="7"/>
      <c r="I44" s="88">
        <f t="shared" ref="I44:I47" si="17">K44-L44-IF(N44,M44,0)</f>
        <v>0</v>
      </c>
      <c r="J44" s="89" t="str">
        <f t="shared" si="16"/>
        <v/>
      </c>
      <c r="K44" s="404">
        <f>$D44*$F44*IF($E$5=16,2.46,1.64)*VLOOKUP($C44,'Master sheet'!$A:$AL,13,FALSE)*0.926</f>
        <v>0</v>
      </c>
      <c r="L44" s="90">
        <f>$D44*$F44*IF($E$5=16,2.46,1.64)*VLOOKUP($C44,'Master sheet'!$A:$AL,27,FALSE)*0.926</f>
        <v>0</v>
      </c>
      <c r="M44" s="1552"/>
      <c r="N44" s="1552"/>
      <c r="O44" s="25" t="str">
        <f>_xlfn.IFNA(VLOOKUP($C44,'Master sheet'!$A:$AR,44,FALSE),"")&amp;""</f>
        <v/>
      </c>
      <c r="P44" s="671"/>
      <c r="Q44" s="45" t="str">
        <f>D$1</f>
        <v>ROOF</v>
      </c>
      <c r="R44" s="726" t="s">
        <v>1607</v>
      </c>
      <c r="S44" s="638" t="s">
        <v>7255</v>
      </c>
      <c r="T44" s="638"/>
      <c r="U44" s="638"/>
      <c r="V44" s="638"/>
      <c r="W44" s="638"/>
      <c r="X44" s="638"/>
      <c r="Y44" s="638"/>
      <c r="Z44" s="638"/>
      <c r="AA44" s="664"/>
    </row>
    <row r="45" spans="1:27" ht="22.8" x14ac:dyDescent="0.25">
      <c r="A45" s="1564"/>
      <c r="B45" s="857" t="s">
        <v>77</v>
      </c>
      <c r="C45" s="669" t="str">
        <f>INDEX('Master sheet'!$A$1:$A$670,MATCH(249,'Master sheet'!$AN$1:$AN$670,0))</f>
        <v>Wood I joist / Canadian Wood Council /  / TJI 230/360</v>
      </c>
      <c r="D45" s="15">
        <f>'USER INPUT SHEET'!$D$37</f>
        <v>0</v>
      </c>
      <c r="E45" s="16" t="str">
        <f>'USER INPUT SHEET'!$F$37</f>
        <v>m2</v>
      </c>
      <c r="F45" s="3">
        <v>1</v>
      </c>
      <c r="G45" s="670"/>
      <c r="H45" s="8"/>
      <c r="I45" s="92">
        <f t="shared" si="17"/>
        <v>0</v>
      </c>
      <c r="J45" s="93" t="str">
        <f t="shared" si="16"/>
        <v/>
      </c>
      <c r="K45" s="406">
        <f>$D45*$F45*IF($E$5=16,2.46,1.64)*VLOOKUP($C45,'Master sheet'!$A:$AL,13,FALSE)*1.029</f>
        <v>0</v>
      </c>
      <c r="L45" s="94">
        <f>$D45*$F45*IF($E$5=16,2.46,1.64)*VLOOKUP($C45,'Master sheet'!$A:$AL,27,FALSE)*1.029</f>
        <v>0</v>
      </c>
      <c r="M45" s="1552"/>
      <c r="N45" s="1552"/>
      <c r="O45" s="25" t="str">
        <f>_xlfn.IFNA(VLOOKUP($C45,'Master sheet'!$A:$AR,44,FALSE),"")&amp;""</f>
        <v/>
      </c>
      <c r="P45" s="672"/>
      <c r="Q45" s="242" t="str">
        <f>D$1</f>
        <v>ROOF</v>
      </c>
      <c r="R45" s="726" t="s">
        <v>1607</v>
      </c>
      <c r="S45" s="664" t="s">
        <v>7256</v>
      </c>
      <c r="T45" s="664"/>
      <c r="U45" s="664"/>
      <c r="V45" s="664"/>
      <c r="W45" s="664"/>
      <c r="X45" s="664"/>
      <c r="Y45" s="664"/>
      <c r="Z45" s="664"/>
      <c r="AA45" s="664"/>
    </row>
    <row r="46" spans="1:27" ht="22.8" x14ac:dyDescent="0.25">
      <c r="A46" s="1564"/>
      <c r="B46" s="858" t="s">
        <v>78</v>
      </c>
      <c r="C46" s="669" t="str">
        <f>INDEX('Master sheet'!$A$1:$A$670,MATCH(249,'Master sheet'!$AN$1:$AN$670,0))</f>
        <v>Wood I joist / Canadian Wood Council /  / TJI 230/360</v>
      </c>
      <c r="D46" s="15">
        <f>'USER INPUT SHEET'!$D$37</f>
        <v>0</v>
      </c>
      <c r="E46" s="16" t="str">
        <f>'USER INPUT SHEET'!$F$37</f>
        <v>m2</v>
      </c>
      <c r="F46" s="3">
        <v>1</v>
      </c>
      <c r="G46" s="670"/>
      <c r="H46" s="8"/>
      <c r="I46" s="92">
        <f t="shared" si="17"/>
        <v>0</v>
      </c>
      <c r="J46" s="93" t="str">
        <f t="shared" si="16"/>
        <v/>
      </c>
      <c r="K46" s="406">
        <f>$D46*$F46*IF($E$5=16,2.46,1.64)*VLOOKUP($C46,'Master sheet'!$A:$AL,13,FALSE)*1.132</f>
        <v>0</v>
      </c>
      <c r="L46" s="94">
        <f>$D46*$F46*IF($E$5=16,2.46,1.64)*VLOOKUP($C46,'Master sheet'!$A:$AL,27,FALSE)*1.132</f>
        <v>0</v>
      </c>
      <c r="M46" s="1552"/>
      <c r="N46" s="1552"/>
      <c r="O46" s="25" t="str">
        <f>_xlfn.IFNA(VLOOKUP($C46,'Master sheet'!$A:$AR,44,FALSE),"")&amp;""</f>
        <v/>
      </c>
      <c r="P46" s="672"/>
      <c r="Q46" s="43" t="str">
        <f>D$1</f>
        <v>ROOF</v>
      </c>
      <c r="R46" s="726" t="s">
        <v>1607</v>
      </c>
      <c r="S46" s="664" t="s">
        <v>7262</v>
      </c>
      <c r="T46" s="664"/>
      <c r="U46" s="664"/>
      <c r="V46" s="664"/>
      <c r="W46" s="664"/>
      <c r="X46" s="664"/>
      <c r="Y46" s="664"/>
      <c r="Z46" s="664"/>
      <c r="AA46" s="664"/>
    </row>
    <row r="47" spans="1:27" ht="22.8" x14ac:dyDescent="0.25">
      <c r="A47" s="1564"/>
      <c r="B47" s="859" t="s">
        <v>80</v>
      </c>
      <c r="C47" s="673" t="str">
        <f>INDEX('Master sheet'!$A$1:$A$670,MATCH(249,'Master sheet'!$AN$1:$AN$670,0))</f>
        <v>Wood I joist / Canadian Wood Council /  / TJI 230/360</v>
      </c>
      <c r="D47" s="17">
        <f>'USER INPUT SHEET'!$D$37</f>
        <v>0</v>
      </c>
      <c r="E47" s="18" t="str">
        <f>'USER INPUT SHEET'!$F$37</f>
        <v>m2</v>
      </c>
      <c r="F47" s="4">
        <v>1</v>
      </c>
      <c r="G47" s="674"/>
      <c r="H47" s="9"/>
      <c r="I47" s="92">
        <f t="shared" si="17"/>
        <v>0</v>
      </c>
      <c r="J47" s="96" t="str">
        <f t="shared" ref="J47:J52" si="18">IF(H47=1,I47,"")</f>
        <v/>
      </c>
      <c r="K47" s="407">
        <f>$D47*$F47*IF($E$5=16,2.46,1.64)*VLOOKUP($C47,'Master sheet'!$A:$AL,13,FALSE)*1.2</f>
        <v>0</v>
      </c>
      <c r="L47" s="97">
        <f>$D47*$F47*IF($E$5=16,2.46,1.64)*VLOOKUP($C47,'Master sheet'!$A:$AL,27,FALSE)*1.2</f>
        <v>0</v>
      </c>
      <c r="M47" s="1552"/>
      <c r="N47" s="1552"/>
      <c r="O47" s="25" t="str">
        <f>_xlfn.IFNA(VLOOKUP($C47,'Master sheet'!$A:$AR,44,FALSE),"")&amp;""</f>
        <v/>
      </c>
      <c r="P47" s="672"/>
      <c r="Q47" s="45" t="str">
        <f t="shared" ref="Q47:Q52" si="19">D$1</f>
        <v>ROOF</v>
      </c>
      <c r="R47" s="726" t="s">
        <v>1607</v>
      </c>
      <c r="S47" s="638" t="s">
        <v>7263</v>
      </c>
      <c r="T47" s="638"/>
      <c r="U47" s="664"/>
      <c r="V47" s="664"/>
      <c r="W47" s="664"/>
      <c r="X47" s="664"/>
      <c r="Y47" s="664"/>
      <c r="Z47" s="664"/>
      <c r="AA47" s="638"/>
    </row>
    <row r="48" spans="1:27" ht="31.5" customHeight="1" x14ac:dyDescent="0.25">
      <c r="A48" s="1564"/>
      <c r="B48" s="857" t="s">
        <v>77</v>
      </c>
      <c r="C48" s="673" t="str">
        <f>INDEX('Master sheet'!$A$1:$A$670,MATCH("A130",'Master sheet'!$AN$1:$AN$670,0))</f>
        <v>Wood I-joist / RedBuilt / Red I-45 / 11.875" depth, 1.75 x 1.5" LVL flanges</v>
      </c>
      <c r="D48" s="17">
        <f>'USER INPUT SHEET'!$D$37</f>
        <v>0</v>
      </c>
      <c r="E48" s="18" t="str">
        <f>'USER INPUT SHEET'!$F$37</f>
        <v>m2</v>
      </c>
      <c r="F48" s="4">
        <v>1</v>
      </c>
      <c r="G48" s="674"/>
      <c r="H48" s="9"/>
      <c r="I48" s="92">
        <f t="shared" ref="I48:I53" si="20">K48-L48-IF(N48,M48,0)</f>
        <v>0</v>
      </c>
      <c r="J48" s="96" t="str">
        <f>IF(H48=1,I48,"")</f>
        <v/>
      </c>
      <c r="K48" s="407">
        <f>$D48*$F48*IF($E$5=16,2.46,1.64)*VLOOKUP($C48,'Master sheet'!$A:$AL,13,FALSE)</f>
        <v>0</v>
      </c>
      <c r="L48" s="97">
        <f>$D48*$F48*IF($E$5=16,2.46,1.64)*VLOOKUP($C48,'Master sheet'!$A:$AL,27,FALSE)</f>
        <v>0</v>
      </c>
      <c r="M48" s="1552"/>
      <c r="N48" s="1552"/>
      <c r="O48" s="25" t="str">
        <f>_xlfn.IFNA(VLOOKUP($C48,'Master sheet'!$A:$AR,44,FALSE),"")&amp;""</f>
        <v/>
      </c>
      <c r="P48" s="672"/>
      <c r="Q48" s="45" t="str">
        <f t="shared" si="19"/>
        <v>ROOF</v>
      </c>
      <c r="R48" s="726" t="s">
        <v>1607</v>
      </c>
      <c r="S48" s="638" t="s">
        <v>7256</v>
      </c>
      <c r="T48" s="638"/>
      <c r="U48" s="664"/>
      <c r="V48" s="664"/>
      <c r="W48" s="664"/>
      <c r="X48" s="664"/>
      <c r="Y48" s="664"/>
      <c r="Z48" s="664"/>
      <c r="AA48" s="664"/>
    </row>
    <row r="49" spans="1:27" ht="31.5" customHeight="1" x14ac:dyDescent="0.25">
      <c r="A49" s="1564"/>
      <c r="B49" s="858" t="s">
        <v>78</v>
      </c>
      <c r="C49" s="673" t="str">
        <f>INDEX('Master sheet'!$A$1:$A$670,MATCH("A131",'Master sheet'!$AN$1:$AN$670,0))</f>
        <v>Wood I-joist / RedBuilt / Red I-45 / 14" depth, 1.75 x 1.5" LVL flanges</v>
      </c>
      <c r="D49" s="17">
        <f>'USER INPUT SHEET'!$D$37</f>
        <v>0</v>
      </c>
      <c r="E49" s="18" t="str">
        <f>'USER INPUT SHEET'!$F$37</f>
        <v>m2</v>
      </c>
      <c r="F49" s="4">
        <v>1</v>
      </c>
      <c r="G49" s="674"/>
      <c r="H49" s="9"/>
      <c r="I49" s="92">
        <f t="shared" si="20"/>
        <v>0</v>
      </c>
      <c r="J49" s="96" t="str">
        <f t="shared" si="18"/>
        <v/>
      </c>
      <c r="K49" s="407">
        <f>$D49*$F49*IF($E$5=16,2.46,1.64)*VLOOKUP($C49,'Master sheet'!$A:$AL,13,FALSE)</f>
        <v>0</v>
      </c>
      <c r="L49" s="97">
        <f>$D49*$F49*IF($E$5=16,2.46,1.64)*VLOOKUP($C49,'Master sheet'!$A:$AL,27,FALSE)</f>
        <v>0</v>
      </c>
      <c r="M49" s="1552"/>
      <c r="N49" s="1552"/>
      <c r="O49" s="25" t="str">
        <f>_xlfn.IFNA(VLOOKUP($C49,'Master sheet'!$A:$AR,44,FALSE),"")&amp;""</f>
        <v/>
      </c>
      <c r="P49" s="672"/>
      <c r="Q49" s="45" t="str">
        <f t="shared" si="19"/>
        <v>ROOF</v>
      </c>
      <c r="R49" s="726" t="s">
        <v>1607</v>
      </c>
      <c r="S49" s="638" t="s">
        <v>7262</v>
      </c>
      <c r="T49" s="638"/>
      <c r="U49" s="664"/>
      <c r="V49" s="664"/>
      <c r="W49" s="664"/>
      <c r="X49" s="664"/>
      <c r="Y49" s="664"/>
      <c r="Z49" s="664"/>
      <c r="AA49" s="664"/>
    </row>
    <row r="50" spans="1:27" ht="31.5" customHeight="1" x14ac:dyDescent="0.25">
      <c r="A50" s="1564"/>
      <c r="B50" s="859" t="s">
        <v>80</v>
      </c>
      <c r="C50" s="673" t="str">
        <f>INDEX('Master sheet'!$A$1:$A$670,MATCH("A132",'Master sheet'!$AN$1:$AN$670,0))</f>
        <v>Wood I-joist / RedBuilt / Red I-45 / 16" depth, 1.75 x 1.5" LVL flanges</v>
      </c>
      <c r="D50" s="17">
        <f>'USER INPUT SHEET'!$D$37</f>
        <v>0</v>
      </c>
      <c r="E50" s="18" t="str">
        <f>'USER INPUT SHEET'!$F$37</f>
        <v>m2</v>
      </c>
      <c r="F50" s="4">
        <v>1</v>
      </c>
      <c r="G50" s="674"/>
      <c r="H50" s="9"/>
      <c r="I50" s="92">
        <f t="shared" si="20"/>
        <v>0</v>
      </c>
      <c r="J50" s="96" t="str">
        <f t="shared" si="18"/>
        <v/>
      </c>
      <c r="K50" s="407">
        <f>$D50*$F50*IF($E$5=16,2.46,1.64)*VLOOKUP($C50,'Master sheet'!$A:$AL,13,FALSE)</f>
        <v>0</v>
      </c>
      <c r="L50" s="97">
        <f>$D50*$F50*IF($E$5=16,2.46,1.64)*VLOOKUP($C50,'Master sheet'!$A:$AL,27,FALSE)</f>
        <v>0</v>
      </c>
      <c r="M50" s="1552"/>
      <c r="N50" s="1552"/>
      <c r="O50" s="25" t="str">
        <f>_xlfn.IFNA(VLOOKUP($C50,'Master sheet'!$A:$AR,44,FALSE),"")&amp;""</f>
        <v/>
      </c>
      <c r="P50" s="672"/>
      <c r="Q50" s="45" t="str">
        <f t="shared" si="19"/>
        <v>ROOF</v>
      </c>
      <c r="R50" s="726" t="s">
        <v>1607</v>
      </c>
      <c r="S50" s="638" t="s">
        <v>7263</v>
      </c>
      <c r="T50" s="638"/>
      <c r="U50" s="664"/>
      <c r="V50" s="664"/>
      <c r="W50" s="664"/>
      <c r="X50" s="664"/>
      <c r="Y50" s="664"/>
      <c r="Z50" s="664"/>
      <c r="AA50" s="664"/>
    </row>
    <row r="51" spans="1:27" ht="31.5" customHeight="1" x14ac:dyDescent="0.25">
      <c r="A51" s="1564"/>
      <c r="B51" s="857" t="s">
        <v>77</v>
      </c>
      <c r="C51" s="673" t="str">
        <f>INDEX('Master sheet'!$A$1:$A$670,MATCH("A133",'Master sheet'!$AN$1:$AN$670,0))</f>
        <v>Wood I-joist / RedBuilt / Red I-65 / 11.875" depth, 2.5 x 1.5" LVL flanges</v>
      </c>
      <c r="D51" s="17">
        <f>'USER INPUT SHEET'!$D$37</f>
        <v>0</v>
      </c>
      <c r="E51" s="18" t="str">
        <f>'USER INPUT SHEET'!$F$37</f>
        <v>m2</v>
      </c>
      <c r="F51" s="4">
        <v>1</v>
      </c>
      <c r="G51" s="674"/>
      <c r="H51" s="9"/>
      <c r="I51" s="92">
        <f t="shared" si="20"/>
        <v>0</v>
      </c>
      <c r="J51" s="96" t="str">
        <f t="shared" si="18"/>
        <v/>
      </c>
      <c r="K51" s="407">
        <f>$D51*$F51*IF($E$5=16,2.46,1.64)*VLOOKUP($C51,'Master sheet'!$A:$AL,13,FALSE)</f>
        <v>0</v>
      </c>
      <c r="L51" s="97">
        <f>$D51*$F51*IF($E$5=16,2.46,1.64)*VLOOKUP($C51,'Master sheet'!$A:$AL,27,FALSE)</f>
        <v>0</v>
      </c>
      <c r="M51" s="1552"/>
      <c r="N51" s="1552"/>
      <c r="O51" s="25" t="str">
        <f>_xlfn.IFNA(VLOOKUP($C51,'Master sheet'!$A:$AR,44,FALSE),"")&amp;""</f>
        <v/>
      </c>
      <c r="P51" s="672"/>
      <c r="Q51" s="45" t="str">
        <f t="shared" si="19"/>
        <v>ROOF</v>
      </c>
      <c r="R51" s="726" t="s">
        <v>1607</v>
      </c>
      <c r="S51" s="638" t="s">
        <v>7256</v>
      </c>
      <c r="T51" s="638"/>
      <c r="U51" s="664"/>
      <c r="V51" s="664"/>
      <c r="W51" s="664"/>
      <c r="X51" s="664"/>
      <c r="Y51" s="664"/>
      <c r="Z51" s="664"/>
      <c r="AA51" s="664"/>
    </row>
    <row r="52" spans="1:27" ht="31.5" customHeight="1" x14ac:dyDescent="0.25">
      <c r="A52" s="1564"/>
      <c r="B52" s="858" t="s">
        <v>78</v>
      </c>
      <c r="C52" s="673" t="str">
        <f>INDEX('Master sheet'!$A$1:$A$670,MATCH("A134",'Master sheet'!$AN$1:$AN$670,0))</f>
        <v>Wood I-joist / RedBuilt / Red I-65 / 14" depth, 2.5 x 1.5" LVL flanges</v>
      </c>
      <c r="D52" s="17">
        <f>'USER INPUT SHEET'!$D$37</f>
        <v>0</v>
      </c>
      <c r="E52" s="18" t="str">
        <f>'USER INPUT SHEET'!$F$37</f>
        <v>m2</v>
      </c>
      <c r="F52" s="4">
        <v>1</v>
      </c>
      <c r="G52" s="674"/>
      <c r="H52" s="9"/>
      <c r="I52" s="92">
        <f t="shared" si="20"/>
        <v>0</v>
      </c>
      <c r="J52" s="96" t="str">
        <f t="shared" si="18"/>
        <v/>
      </c>
      <c r="K52" s="407">
        <f>$D52*$F52*IF($E$5=16,2.46,1.64)*VLOOKUP($C52,'Master sheet'!$A:$AL,13,FALSE)</f>
        <v>0</v>
      </c>
      <c r="L52" s="97">
        <f>$D52*$F52*IF($E$5=16,2.46,1.64)*VLOOKUP($C52,'Master sheet'!$A:$AL,27,FALSE)</f>
        <v>0</v>
      </c>
      <c r="M52" s="1552"/>
      <c r="N52" s="1552"/>
      <c r="O52" s="25" t="str">
        <f>_xlfn.IFNA(VLOOKUP($C52,'Master sheet'!$A:$AR,44,FALSE),"")&amp;""</f>
        <v/>
      </c>
      <c r="P52" s="672"/>
      <c r="Q52" s="45" t="str">
        <f t="shared" si="19"/>
        <v>ROOF</v>
      </c>
      <c r="R52" s="726" t="s">
        <v>1607</v>
      </c>
      <c r="S52" s="638" t="s">
        <v>7262</v>
      </c>
      <c r="T52" s="638"/>
      <c r="U52" s="664"/>
      <c r="V52" s="664"/>
      <c r="W52" s="664"/>
      <c r="X52" s="664"/>
      <c r="Y52" s="664"/>
      <c r="Z52" s="664"/>
      <c r="AA52" s="664"/>
    </row>
    <row r="53" spans="1:27" s="624" customFormat="1" ht="31.5" customHeight="1" x14ac:dyDescent="0.25">
      <c r="A53" s="1564"/>
      <c r="B53" s="859" t="s">
        <v>80</v>
      </c>
      <c r="C53" s="673" t="str">
        <f>INDEX('Master sheet'!$A$1:$A$670,MATCH("A135",'Master sheet'!$AN$1:$AN$670,0))</f>
        <v>Wood I-joist / RedBuilt / Red I-65 / 16" depth, 2.5 x 1.5" LVL flanges</v>
      </c>
      <c r="D53" s="17">
        <f>'USER INPUT SHEET'!$D$37</f>
        <v>0</v>
      </c>
      <c r="E53" s="18" t="str">
        <f>'USER INPUT SHEET'!$F$37</f>
        <v>m2</v>
      </c>
      <c r="F53" s="4">
        <v>1</v>
      </c>
      <c r="G53" s="674"/>
      <c r="H53" s="9"/>
      <c r="I53" s="92">
        <f t="shared" si="20"/>
        <v>0</v>
      </c>
      <c r="J53" s="96" t="str">
        <f t="shared" si="16"/>
        <v/>
      </c>
      <c r="K53" s="407">
        <f>$D53*$F53*IF($E$5=16,2.46,1.64)*VLOOKUP($C53,'Master sheet'!$A:$AL,13,FALSE)</f>
        <v>0</v>
      </c>
      <c r="L53" s="97">
        <f>$D53*$F53*IF($E$5=16,2.46,1.64)*VLOOKUP($C53,'Master sheet'!$A:$AL,27,FALSE)</f>
        <v>0</v>
      </c>
      <c r="M53" s="1552"/>
      <c r="N53" s="1552"/>
      <c r="O53" s="25" t="str">
        <f>_xlfn.IFNA(VLOOKUP($C53,'Master sheet'!$A:$AR,44,FALSE),"")&amp;""</f>
        <v/>
      </c>
      <c r="P53" s="672"/>
      <c r="Q53" s="45" t="str">
        <f>D$1</f>
        <v>ROOF</v>
      </c>
      <c r="R53" s="726" t="s">
        <v>1607</v>
      </c>
      <c r="S53" s="638" t="s">
        <v>7263</v>
      </c>
      <c r="T53" s="638"/>
      <c r="U53" s="638"/>
      <c r="V53" s="638"/>
      <c r="W53" s="638"/>
      <c r="X53" s="638"/>
      <c r="Y53" s="638"/>
      <c r="Z53" s="638"/>
      <c r="AA53" s="664"/>
    </row>
    <row r="54" spans="1:27" s="624" customFormat="1" ht="54.75" customHeight="1" x14ac:dyDescent="0.25">
      <c r="A54" s="1522" t="s">
        <v>90</v>
      </c>
      <c r="B54" s="1523"/>
      <c r="C54" s="1523"/>
      <c r="D54" s="649"/>
      <c r="E54" s="650"/>
      <c r="F54" s="321"/>
      <c r="G54" s="650"/>
      <c r="H54" s="650"/>
      <c r="I54" s="651"/>
      <c r="J54" s="651"/>
      <c r="K54" s="652"/>
      <c r="L54" s="759"/>
      <c r="M54" s="759"/>
      <c r="N54" s="759"/>
      <c r="O54" s="25" t="str">
        <f>_xlfn.IFNA(VLOOKUP($C54,'Master sheet'!$A:$AR,44,FALSE),"")&amp;""</f>
        <v/>
      </c>
      <c r="P54" s="637"/>
      <c r="Q54" s="726"/>
      <c r="R54" s="726"/>
      <c r="S54" s="638"/>
      <c r="T54" s="638"/>
      <c r="U54" s="638"/>
      <c r="V54" s="638"/>
      <c r="W54" s="638"/>
      <c r="X54" s="638"/>
      <c r="Y54" s="638"/>
      <c r="Z54" s="638"/>
      <c r="AA54" s="664"/>
    </row>
    <row r="55" spans="1:27" s="624" customFormat="1" ht="22.8" x14ac:dyDescent="0.25">
      <c r="A55" s="639"/>
      <c r="B55" s="1524" t="s">
        <v>7284</v>
      </c>
      <c r="C55" s="1523"/>
      <c r="D55" s="640"/>
      <c r="E55" s="641"/>
      <c r="F55" s="325"/>
      <c r="G55" s="678"/>
      <c r="H55" s="679"/>
      <c r="I55" s="642"/>
      <c r="J55" s="643"/>
      <c r="K55" s="676"/>
      <c r="L55" s="677"/>
      <c r="M55" s="677"/>
      <c r="N55" s="677"/>
      <c r="O55" s="25" t="str">
        <f>_xlfn.IFNA(VLOOKUP($C55,'Master sheet'!$A:$AR,44,FALSE),"")&amp;""</f>
        <v/>
      </c>
      <c r="P55" s="637"/>
      <c r="Q55" s="726"/>
      <c r="R55" s="726"/>
      <c r="S55" s="638"/>
      <c r="T55" s="638"/>
      <c r="U55" s="638"/>
      <c r="V55" s="638"/>
      <c r="W55" s="638"/>
      <c r="X55" s="638"/>
      <c r="Y55" s="638"/>
      <c r="Z55" s="638"/>
      <c r="AA55" s="664"/>
    </row>
    <row r="56" spans="1:27" s="624" customFormat="1" ht="22.8" x14ac:dyDescent="0.25">
      <c r="A56" s="1600"/>
      <c r="B56" s="1564"/>
      <c r="C56" s="647" t="str">
        <f>INDEX('Master sheet'!$A$1:$A$670,MATCH("159-1",'Master sheet'!$AN$1:$AN$670,0))</f>
        <v>Plywood / Canadian Wood Council /  / 1/2"</v>
      </c>
      <c r="D56" s="13">
        <f>'USER INPUT SHEET'!$D$37</f>
        <v>0</v>
      </c>
      <c r="E56" s="14" t="str">
        <f>'USER INPUT SHEET'!$F$37</f>
        <v>m2</v>
      </c>
      <c r="F56" s="2">
        <v>1</v>
      </c>
      <c r="G56" s="648"/>
      <c r="H56" s="7"/>
      <c r="I56" s="88">
        <f t="shared" ref="I56:I67" si="21">K56-L56-IF(N56,M56,0)</f>
        <v>0</v>
      </c>
      <c r="J56" s="89" t="str">
        <f>IF(H56=1,I56,"")</f>
        <v/>
      </c>
      <c r="K56" s="404">
        <f>$D56*$F56*VLOOKUP($C56,'Master sheet'!$A:$AL,13,FALSE)</f>
        <v>0</v>
      </c>
      <c r="L56" s="90">
        <f>$D56*$F56*VLOOKUP($C56,'Master sheet'!$A:$AL,27,FALSE)</f>
        <v>0</v>
      </c>
      <c r="M56" s="1552"/>
      <c r="N56" s="1552"/>
      <c r="O56" s="25" t="str">
        <f>_xlfn.IFNA(VLOOKUP($C56,'Master sheet'!$A:$AR,44,FALSE),"")&amp;""</f>
        <v/>
      </c>
      <c r="P56" s="637"/>
      <c r="Q56" s="45" t="str">
        <f>D$1</f>
        <v>ROOF</v>
      </c>
      <c r="R56" s="726" t="s">
        <v>90</v>
      </c>
      <c r="S56" s="638"/>
      <c r="T56" s="638"/>
      <c r="U56" s="638"/>
      <c r="V56" s="638"/>
      <c r="W56" s="638"/>
      <c r="X56" s="638"/>
      <c r="Y56" s="638"/>
      <c r="Z56" s="638"/>
      <c r="AA56" s="664"/>
    </row>
    <row r="57" spans="1:27" s="624" customFormat="1" ht="22.8" x14ac:dyDescent="0.25">
      <c r="A57" s="1600"/>
      <c r="B57" s="1564"/>
      <c r="C57" s="673" t="str">
        <f>INDEX('Master sheet'!$A$1:$A$670,MATCH("154-1",'Master sheet'!$AN$1:$AN$670,0))</f>
        <v>OSB sheathing / Canadian Wood Council -Eastern /  / 1/2"</v>
      </c>
      <c r="D57" s="17">
        <f>'USER INPUT SHEET'!$D$37</f>
        <v>0</v>
      </c>
      <c r="E57" s="18" t="str">
        <f>'USER INPUT SHEET'!$F$37</f>
        <v>m2</v>
      </c>
      <c r="F57" s="4">
        <v>1</v>
      </c>
      <c r="G57" s="674"/>
      <c r="H57" s="9"/>
      <c r="I57" s="88">
        <f t="shared" ref="I57" si="22">K57-L57-IF(N57,M57,0)</f>
        <v>0</v>
      </c>
      <c r="J57" s="96" t="str">
        <f>IF(H57=1,I57,"")</f>
        <v/>
      </c>
      <c r="K57" s="407">
        <f>$D57*$F57*VLOOKUP($C57,'Master sheet'!$A:$AL,13,FALSE)</f>
        <v>0</v>
      </c>
      <c r="L57" s="97">
        <f>$D57*$F57*VLOOKUP($C57,'Master sheet'!$A:$AL,27,FALSE)</f>
        <v>0</v>
      </c>
      <c r="M57" s="1552"/>
      <c r="N57" s="1552"/>
      <c r="O57" s="25" t="str">
        <f>_xlfn.IFNA(VLOOKUP($C57,'Master sheet'!$A:$AR,44,FALSE),"")&amp;""</f>
        <v/>
      </c>
      <c r="P57" s="637"/>
      <c r="Q57" s="45" t="str">
        <f>D$1</f>
        <v>ROOF</v>
      </c>
      <c r="R57" s="726" t="s">
        <v>90</v>
      </c>
      <c r="S57" s="638"/>
      <c r="T57" s="638"/>
      <c r="U57" s="638"/>
      <c r="V57" s="638"/>
      <c r="W57" s="638"/>
      <c r="X57" s="638"/>
      <c r="Y57" s="638"/>
      <c r="Z57" s="638"/>
      <c r="AA57" s="664"/>
    </row>
    <row r="58" spans="1:27" s="624" customFormat="1" ht="22.8" x14ac:dyDescent="0.25">
      <c r="A58" s="1564"/>
      <c r="B58" s="1564"/>
      <c r="C58" s="673" t="str">
        <f>INDEX('Master sheet'!$A$1:$A$670,MATCH("154-2",'Master sheet'!$AN$1:$AN$670,0))</f>
        <v>OSB sheathing / Canadian Wood Council -Western /  / 1/2"</v>
      </c>
      <c r="D58" s="17">
        <f>'USER INPUT SHEET'!$D$37</f>
        <v>0</v>
      </c>
      <c r="E58" s="18" t="str">
        <f>'USER INPUT SHEET'!$F$37</f>
        <v>m2</v>
      </c>
      <c r="F58" s="4">
        <v>1</v>
      </c>
      <c r="G58" s="674"/>
      <c r="H58" s="9"/>
      <c r="I58" s="88">
        <f t="shared" si="21"/>
        <v>0</v>
      </c>
      <c r="J58" s="96" t="str">
        <f>IF(H58=1,I58,"")</f>
        <v/>
      </c>
      <c r="K58" s="407">
        <f>$D58*$F58*VLOOKUP($C58,'Master sheet'!$A:$AL,13,FALSE)</f>
        <v>0</v>
      </c>
      <c r="L58" s="97">
        <f>$D58*$F58*VLOOKUP($C58,'Master sheet'!$A:$AL,27,FALSE)</f>
        <v>0</v>
      </c>
      <c r="M58" s="1610"/>
      <c r="N58" s="1610"/>
      <c r="O58" s="25" t="str">
        <f>_xlfn.IFNA(VLOOKUP($C58,'Master sheet'!$A:$AR,44,FALSE),"")&amp;""</f>
        <v/>
      </c>
      <c r="P58" s="637"/>
      <c r="Q58" s="45" t="str">
        <f>D$1</f>
        <v>ROOF</v>
      </c>
      <c r="R58" s="726" t="s">
        <v>90</v>
      </c>
      <c r="S58" s="638"/>
      <c r="T58" s="638"/>
      <c r="U58" s="638"/>
      <c r="V58" s="638"/>
      <c r="W58" s="638"/>
      <c r="X58" s="638"/>
      <c r="Y58" s="638"/>
      <c r="Z58" s="638"/>
      <c r="AA58" s="638"/>
    </row>
    <row r="59" spans="1:27" s="624" customFormat="1" ht="22.95" customHeight="1" x14ac:dyDescent="0.25">
      <c r="A59" s="639"/>
      <c r="B59" s="1524" t="s">
        <v>91</v>
      </c>
      <c r="C59" s="1523"/>
      <c r="D59" s="640"/>
      <c r="E59" s="641"/>
      <c r="F59" s="325"/>
      <c r="G59" s="678"/>
      <c r="H59" s="679"/>
      <c r="I59" s="642"/>
      <c r="J59" s="643"/>
      <c r="K59" s="676"/>
      <c r="L59" s="677"/>
      <c r="M59" s="677"/>
      <c r="N59" s="677"/>
      <c r="O59" s="25" t="str">
        <f>_xlfn.IFNA(VLOOKUP($C59,'Master sheet'!$A:$AR,44,FALSE),"")&amp;""</f>
        <v/>
      </c>
      <c r="P59" s="637"/>
      <c r="Q59" s="726"/>
      <c r="R59" s="726"/>
      <c r="S59" s="638"/>
      <c r="T59" s="638"/>
      <c r="U59" s="638"/>
      <c r="V59" s="638"/>
      <c r="W59" s="638"/>
      <c r="X59" s="638"/>
      <c r="Y59" s="638"/>
      <c r="Z59" s="638"/>
      <c r="AA59" s="664"/>
    </row>
    <row r="60" spans="1:27" s="624" customFormat="1" ht="22.8" x14ac:dyDescent="0.25">
      <c r="A60" s="1600"/>
      <c r="B60" s="1564"/>
      <c r="C60" s="647" t="str">
        <f>INDEX('Master sheet'!$A$1:$A$670,MATCH(160,'Master sheet'!$AN$1:$AN$670,0))</f>
        <v>Plywood / Canadian Wood Council /  / 5/8"</v>
      </c>
      <c r="D60" s="13">
        <f>'USER INPUT SHEET'!$D$37</f>
        <v>0</v>
      </c>
      <c r="E60" s="14" t="str">
        <f>'USER INPUT SHEET'!$F$37</f>
        <v>m2</v>
      </c>
      <c r="F60" s="2">
        <v>1</v>
      </c>
      <c r="G60" s="648"/>
      <c r="H60" s="7"/>
      <c r="I60" s="88">
        <f t="shared" ref="I60:I62" si="23">K60-L60-IF(N60,M60,0)</f>
        <v>0</v>
      </c>
      <c r="J60" s="89" t="str">
        <f>IF(H60=1,I60,"")</f>
        <v/>
      </c>
      <c r="K60" s="404">
        <f>$D60*$F60*VLOOKUP($C60,'Master sheet'!$A:$AL,13,FALSE)</f>
        <v>0</v>
      </c>
      <c r="L60" s="90">
        <f>$D60*$F60*VLOOKUP($C60,'Master sheet'!$A:$AL,27,FALSE)</f>
        <v>0</v>
      </c>
      <c r="M60" s="1552"/>
      <c r="N60" s="1552"/>
      <c r="O60" s="25" t="str">
        <f>_xlfn.IFNA(VLOOKUP($C60,'Master sheet'!$A:$AR,44,FALSE),"")&amp;""</f>
        <v/>
      </c>
      <c r="P60" s="637"/>
      <c r="Q60" s="45" t="str">
        <f>D$1</f>
        <v>ROOF</v>
      </c>
      <c r="R60" s="726" t="s">
        <v>90</v>
      </c>
      <c r="S60" s="638"/>
      <c r="T60" s="638"/>
      <c r="U60" s="638"/>
      <c r="V60" s="638"/>
      <c r="W60" s="638"/>
      <c r="X60" s="638"/>
      <c r="Y60" s="638"/>
      <c r="Z60" s="638"/>
      <c r="AA60" s="664"/>
    </row>
    <row r="61" spans="1:27" s="624" customFormat="1" ht="22.8" x14ac:dyDescent="0.25">
      <c r="A61" s="1600"/>
      <c r="B61" s="1564"/>
      <c r="C61" s="673" t="str">
        <f>INDEX('Master sheet'!$A$1:$A$670,MATCH("155-1",'Master sheet'!$AN$1:$AN$670,0))</f>
        <v>OSB sheathing / Canadian Wood Council -Eastern /  / 5/8"</v>
      </c>
      <c r="D61" s="17">
        <f>'USER INPUT SHEET'!$D$37</f>
        <v>0</v>
      </c>
      <c r="E61" s="18" t="str">
        <f>'USER INPUT SHEET'!$F$37</f>
        <v>m2</v>
      </c>
      <c r="F61" s="4">
        <v>1</v>
      </c>
      <c r="G61" s="674"/>
      <c r="H61" s="9"/>
      <c r="I61" s="88">
        <f t="shared" si="23"/>
        <v>0</v>
      </c>
      <c r="J61" s="96" t="str">
        <f>IF(H61=1,I61,"")</f>
        <v/>
      </c>
      <c r="K61" s="407">
        <f>$D61*$F61*VLOOKUP($C61,'Master sheet'!$A:$AL,13,FALSE)</f>
        <v>0</v>
      </c>
      <c r="L61" s="97">
        <f>$D61*$F61*VLOOKUP($C61,'Master sheet'!$A:$AL,27,FALSE)</f>
        <v>0</v>
      </c>
      <c r="M61" s="1552"/>
      <c r="N61" s="1552"/>
      <c r="O61" s="25" t="str">
        <f>_xlfn.IFNA(VLOOKUP($C61,'Master sheet'!$A:$AR,44,FALSE),"")&amp;""</f>
        <v/>
      </c>
      <c r="P61" s="637"/>
      <c r="Q61" s="45" t="str">
        <f>D$1</f>
        <v>ROOF</v>
      </c>
      <c r="R61" s="726" t="s">
        <v>90</v>
      </c>
      <c r="S61" s="638"/>
      <c r="T61" s="638"/>
      <c r="U61" s="638"/>
      <c r="V61" s="638"/>
      <c r="W61" s="638"/>
      <c r="X61" s="638"/>
      <c r="Y61" s="638"/>
      <c r="Z61" s="638"/>
      <c r="AA61" s="638"/>
    </row>
    <row r="62" spans="1:27" s="624" customFormat="1" ht="22.8" x14ac:dyDescent="0.25">
      <c r="A62" s="1564"/>
      <c r="B62" s="1564"/>
      <c r="C62" s="673" t="str">
        <f>INDEX('Master sheet'!$A$1:$A$670,MATCH("155-2",'Master sheet'!$AN$1:$AN$670,0))</f>
        <v>OSB sheathing / Canadian Wood Council -Western /  / 5/8"</v>
      </c>
      <c r="D62" s="17">
        <f>'USER INPUT SHEET'!$D$37</f>
        <v>0</v>
      </c>
      <c r="E62" s="18" t="str">
        <f>'USER INPUT SHEET'!$F$37</f>
        <v>m2</v>
      </c>
      <c r="F62" s="4">
        <v>1</v>
      </c>
      <c r="G62" s="674"/>
      <c r="H62" s="9"/>
      <c r="I62" s="88">
        <f t="shared" si="23"/>
        <v>0</v>
      </c>
      <c r="J62" s="96" t="str">
        <f>IF(H62=1,I62,"")</f>
        <v/>
      </c>
      <c r="K62" s="407">
        <f>$D62*$F62*VLOOKUP($C62,'Master sheet'!$A:$AL,13,FALSE)</f>
        <v>0</v>
      </c>
      <c r="L62" s="97">
        <f>$D62*$F62*VLOOKUP($C62,'Master sheet'!$A:$AL,27,FALSE)</f>
        <v>0</v>
      </c>
      <c r="M62" s="1610"/>
      <c r="N62" s="1610"/>
      <c r="O62" s="25" t="str">
        <f>_xlfn.IFNA(VLOOKUP($C62,'Master sheet'!$A:$AR,44,FALSE),"")&amp;""</f>
        <v/>
      </c>
      <c r="P62" s="637"/>
      <c r="Q62" s="45" t="str">
        <f>D$1</f>
        <v>ROOF</v>
      </c>
      <c r="R62" s="726" t="s">
        <v>90</v>
      </c>
      <c r="S62" s="638"/>
      <c r="T62" s="638"/>
      <c r="U62" s="638"/>
      <c r="V62" s="638"/>
      <c r="W62" s="638"/>
      <c r="X62" s="638"/>
      <c r="Y62" s="638"/>
      <c r="Z62" s="638"/>
      <c r="AA62" s="638"/>
    </row>
    <row r="63" spans="1:27" s="624" customFormat="1" ht="22.8" x14ac:dyDescent="0.25">
      <c r="A63" s="639"/>
      <c r="B63" s="1524" t="s">
        <v>4778</v>
      </c>
      <c r="C63" s="1523"/>
      <c r="D63" s="640"/>
      <c r="E63" s="641"/>
      <c r="F63" s="325"/>
      <c r="G63" s="678"/>
      <c r="H63" s="679"/>
      <c r="I63" s="642"/>
      <c r="J63" s="643"/>
      <c r="K63" s="676"/>
      <c r="L63" s="677"/>
      <c r="M63" s="677"/>
      <c r="N63" s="677"/>
      <c r="O63" s="25" t="str">
        <f>_xlfn.IFNA(VLOOKUP($C63,'Master sheet'!$A:$AR,44,FALSE),"")&amp;""</f>
        <v/>
      </c>
      <c r="P63" s="637"/>
      <c r="Q63" s="856"/>
      <c r="R63" s="855"/>
      <c r="S63" s="638"/>
      <c r="T63" s="638"/>
      <c r="U63" s="638"/>
      <c r="V63" s="638"/>
      <c r="W63" s="638"/>
      <c r="X63" s="638"/>
      <c r="Y63" s="638"/>
      <c r="Z63" s="638"/>
      <c r="AA63" s="664"/>
    </row>
    <row r="64" spans="1:27" s="624" customFormat="1" ht="31.2" x14ac:dyDescent="0.25">
      <c r="A64" s="1603"/>
      <c r="B64" s="1603"/>
      <c r="C64" s="673" t="str">
        <f>INDEX('Master sheet'!$A$1:$A$670,MATCH("A81",'Master sheet'!$AN$1:$AN$670,0))</f>
        <v>OSB sheathing &amp; barrier / Huber  / ZIP System - Wall and Roof Sheathing / 1/2"</v>
      </c>
      <c r="D64" s="17">
        <f>'USER INPUT SHEET'!$D$37</f>
        <v>0</v>
      </c>
      <c r="E64" s="18" t="str">
        <f>'USER INPUT SHEET'!$F$37</f>
        <v>m2</v>
      </c>
      <c r="F64" s="4">
        <v>1</v>
      </c>
      <c r="G64" s="674"/>
      <c r="H64" s="9"/>
      <c r="I64" s="88">
        <f t="shared" si="21"/>
        <v>0</v>
      </c>
      <c r="J64" s="96" t="str">
        <f t="shared" ref="J64:J67" si="24">IF(H64=1,I64,"")</f>
        <v/>
      </c>
      <c r="K64" s="407">
        <f>$D64*$F64*VLOOKUP($C64,'Master sheet'!$A:$AL,13,FALSE)</f>
        <v>0</v>
      </c>
      <c r="L64" s="97">
        <f>$D64*$F64*VLOOKUP($C64,'Master sheet'!$A:$AL,27,FALSE)</f>
        <v>0</v>
      </c>
      <c r="M64" s="1562"/>
      <c r="N64" s="1562"/>
      <c r="O64" s="25" t="str">
        <f>_xlfn.IFNA(VLOOKUP($C64,'Master sheet'!$A:$AR,44,FALSE),"")&amp;""</f>
        <v/>
      </c>
      <c r="P64" s="637"/>
      <c r="Q64" s="45" t="str">
        <f t="shared" ref="Q64:Q67" si="25">D$1</f>
        <v>ROOF</v>
      </c>
      <c r="R64" s="726" t="s">
        <v>90</v>
      </c>
      <c r="S64" s="638"/>
      <c r="T64" s="638"/>
      <c r="U64" s="638"/>
      <c r="V64" s="638"/>
      <c r="W64" s="638"/>
      <c r="X64" s="638"/>
      <c r="Y64" s="638"/>
      <c r="Z64" s="638"/>
      <c r="AA64" s="664"/>
    </row>
    <row r="65" spans="1:27" s="624" customFormat="1" ht="31.2" x14ac:dyDescent="0.25">
      <c r="A65" s="1603"/>
      <c r="B65" s="1603"/>
      <c r="C65" s="673" t="str">
        <f>INDEX('Master sheet'!$A$1:$A$670,MATCH("A80",'Master sheet'!$AN$1:$AN$670,0))</f>
        <v>OSB sheathing &amp; barrier / Huber  / ZIP System - Wall and Roof Sheathing / 5/8"</v>
      </c>
      <c r="D65" s="17">
        <f>'USER INPUT SHEET'!$D$37</f>
        <v>0</v>
      </c>
      <c r="E65" s="18" t="str">
        <f>'USER INPUT SHEET'!$F$37</f>
        <v>m2</v>
      </c>
      <c r="F65" s="4">
        <v>1</v>
      </c>
      <c r="G65" s="674"/>
      <c r="H65" s="9"/>
      <c r="I65" s="88">
        <f t="shared" si="21"/>
        <v>0</v>
      </c>
      <c r="J65" s="96" t="str">
        <f t="shared" si="24"/>
        <v/>
      </c>
      <c r="K65" s="407">
        <f>$D65*$F65*VLOOKUP($C65,'Master sheet'!$A:$AL,13,FALSE)</f>
        <v>0</v>
      </c>
      <c r="L65" s="97">
        <f>$D65*$F65*VLOOKUP($C65,'Master sheet'!$A:$AL,27,FALSE)</f>
        <v>0</v>
      </c>
      <c r="M65" s="1552"/>
      <c r="N65" s="1552"/>
      <c r="O65" s="25" t="str">
        <f>_xlfn.IFNA(VLOOKUP($C65,'Master sheet'!$A:$AR,44,FALSE),"")&amp;""</f>
        <v/>
      </c>
      <c r="P65" s="637"/>
      <c r="Q65" s="45" t="str">
        <f t="shared" si="25"/>
        <v>ROOF</v>
      </c>
      <c r="R65" s="726" t="s">
        <v>90</v>
      </c>
      <c r="S65" s="638"/>
      <c r="T65" s="638"/>
      <c r="U65" s="638"/>
      <c r="V65" s="638"/>
      <c r="W65" s="638"/>
      <c r="X65" s="638"/>
      <c r="Y65" s="638"/>
      <c r="Z65" s="638"/>
      <c r="AA65" s="664"/>
    </row>
    <row r="66" spans="1:27" s="624" customFormat="1" ht="31.95" customHeight="1" x14ac:dyDescent="0.25">
      <c r="A66" s="1603"/>
      <c r="B66" s="1603"/>
      <c r="C66" s="673" t="str">
        <f>INDEX('Master sheet'!$A$1:$A$670,MATCH("A82",'Master sheet'!$AN$1:$AN$670,0))</f>
        <v>OSB sheathing &amp; barrier / LP / WeatherLogic® Air &amp; Water Barrier / 1/2"</v>
      </c>
      <c r="D66" s="17">
        <f>'USER INPUT SHEET'!$D$37</f>
        <v>0</v>
      </c>
      <c r="E66" s="18" t="str">
        <f>'USER INPUT SHEET'!$F$37</f>
        <v>m2</v>
      </c>
      <c r="F66" s="4">
        <v>1</v>
      </c>
      <c r="G66" s="674"/>
      <c r="H66" s="9"/>
      <c r="I66" s="88">
        <f t="shared" si="21"/>
        <v>0</v>
      </c>
      <c r="J66" s="96" t="str">
        <f t="shared" si="24"/>
        <v/>
      </c>
      <c r="K66" s="407">
        <f>$D66*$F66*VLOOKUP($C66,'Master sheet'!$A:$AL,13,FALSE)</f>
        <v>0</v>
      </c>
      <c r="L66" s="97">
        <f>$D66*$F66*VLOOKUP($C66,'Master sheet'!$A:$AL,27,FALSE)</f>
        <v>0</v>
      </c>
      <c r="M66" s="1552"/>
      <c r="N66" s="1552"/>
      <c r="O66" s="25" t="str">
        <f>_xlfn.IFNA(VLOOKUP($C66,'Master sheet'!$A:$AR,44,FALSE),"")&amp;""</f>
        <v/>
      </c>
      <c r="P66" s="637"/>
      <c r="Q66" s="45" t="str">
        <f t="shared" si="25"/>
        <v>ROOF</v>
      </c>
      <c r="R66" s="726" t="s">
        <v>90</v>
      </c>
      <c r="S66" s="638"/>
      <c r="T66" s="638"/>
      <c r="U66" s="638"/>
      <c r="V66" s="638"/>
      <c r="W66" s="638"/>
      <c r="X66" s="638"/>
      <c r="Y66" s="638"/>
      <c r="Z66" s="638"/>
      <c r="AA66" s="664"/>
    </row>
    <row r="67" spans="1:27" s="624" customFormat="1" ht="31.2" x14ac:dyDescent="0.25">
      <c r="A67" s="1603"/>
      <c r="B67" s="1603"/>
      <c r="C67" s="673" t="str">
        <f>INDEX('Master sheet'!$A$1:$A$670,MATCH("A83",'Master sheet'!$AN$1:$AN$670,0))</f>
        <v>OSB sheathing &amp; barrier / LP / WeatherLogic® Air &amp; Water Barrier / 7/16"</v>
      </c>
      <c r="D67" s="17">
        <f>'USER INPUT SHEET'!$D$37</f>
        <v>0</v>
      </c>
      <c r="E67" s="18" t="str">
        <f>'USER INPUT SHEET'!$F$37</f>
        <v>m2</v>
      </c>
      <c r="F67" s="4">
        <v>1</v>
      </c>
      <c r="G67" s="674"/>
      <c r="H67" s="9"/>
      <c r="I67" s="88">
        <f t="shared" si="21"/>
        <v>0</v>
      </c>
      <c r="J67" s="96" t="str">
        <f t="shared" si="24"/>
        <v/>
      </c>
      <c r="K67" s="407">
        <f>$D67*$F67*VLOOKUP($C67,'Master sheet'!$A:$AL,13,FALSE)</f>
        <v>0</v>
      </c>
      <c r="L67" s="97">
        <f>$D67*$F67*VLOOKUP($C67,'Master sheet'!$A:$AL,27,FALSE)</f>
        <v>0</v>
      </c>
      <c r="M67" s="1610"/>
      <c r="N67" s="1610"/>
      <c r="O67" s="25" t="str">
        <f>_xlfn.IFNA(VLOOKUP($C67,'Master sheet'!$A:$AR,44,FALSE),"")&amp;""</f>
        <v/>
      </c>
      <c r="P67" s="637"/>
      <c r="Q67" s="45" t="str">
        <f t="shared" si="25"/>
        <v>ROOF</v>
      </c>
      <c r="R67" s="726" t="s">
        <v>90</v>
      </c>
      <c r="S67" s="638"/>
      <c r="T67" s="638"/>
      <c r="U67" s="638"/>
      <c r="V67" s="638"/>
      <c r="W67" s="638"/>
      <c r="X67" s="638"/>
      <c r="Y67" s="638"/>
      <c r="Z67" s="638"/>
      <c r="AA67" s="664"/>
    </row>
    <row r="68" spans="1:27" s="624" customFormat="1" ht="22.8" x14ac:dyDescent="0.25">
      <c r="A68" s="639"/>
      <c r="B68" s="1524" t="s">
        <v>965</v>
      </c>
      <c r="C68" s="1523"/>
      <c r="D68" s="640"/>
      <c r="E68" s="641"/>
      <c r="F68" s="325"/>
      <c r="G68" s="678"/>
      <c r="H68" s="679"/>
      <c r="I68" s="642"/>
      <c r="J68" s="643"/>
      <c r="K68" s="676"/>
      <c r="L68" s="677"/>
      <c r="M68" s="677"/>
      <c r="N68" s="677"/>
      <c r="O68" s="25" t="str">
        <f>_xlfn.IFNA(VLOOKUP($C68,'Master sheet'!$A:$AR,44,FALSE),"")&amp;""</f>
        <v/>
      </c>
      <c r="P68" s="637"/>
      <c r="Q68" s="856"/>
      <c r="R68" s="855"/>
      <c r="S68" s="638"/>
      <c r="T68" s="638"/>
      <c r="U68" s="638"/>
      <c r="V68" s="638"/>
      <c r="W68" s="638"/>
      <c r="X68" s="638"/>
      <c r="Y68" s="638"/>
      <c r="Z68" s="638"/>
      <c r="AA68" s="664"/>
    </row>
    <row r="69" spans="1:27" s="624" customFormat="1" ht="22.8" x14ac:dyDescent="0.25">
      <c r="A69" s="1600"/>
      <c r="B69" s="1564"/>
      <c r="C69" s="681" t="str">
        <f>INDEX('Master sheet'!$A$1:$A$670,MATCH(116,'Master sheet'!$AN$1:$AN$670,0))</f>
        <v>Gypsum panels - glass mat / USG / Securock ExoAir 430 / 1/2"</v>
      </c>
      <c r="D69" s="13">
        <f>'USER INPUT SHEET'!$D$37</f>
        <v>0</v>
      </c>
      <c r="E69" s="14" t="str">
        <f>'USER INPUT SHEET'!$F$37</f>
        <v>m2</v>
      </c>
      <c r="F69" s="2">
        <v>1</v>
      </c>
      <c r="G69" s="648"/>
      <c r="H69" s="7"/>
      <c r="I69" s="88">
        <f t="shared" ref="I69:I74" si="26">K69-L69</f>
        <v>0</v>
      </c>
      <c r="J69" s="89" t="str">
        <f t="shared" ref="J69:J74" si="27">IF(H69=1,I69,"")</f>
        <v/>
      </c>
      <c r="K69" s="404">
        <f>$D69*$F69*VLOOKUP($C69,'Master sheet'!$A:$AL,13,FALSE)</f>
        <v>0</v>
      </c>
      <c r="L69" s="90">
        <f>$D69*$F69*VLOOKUP($C69,'Master sheet'!$A:$AL,27,FALSE)</f>
        <v>0</v>
      </c>
      <c r="M69" s="1552"/>
      <c r="N69" s="1552"/>
      <c r="O69" s="25" t="str">
        <f ca="1">_xlfn.IFNA(VLOOKUP($C69,'Master sheet'!$A:$AR,44,FALSE),"")&amp;""</f>
        <v>Expired 2024</v>
      </c>
      <c r="P69" s="637"/>
      <c r="Q69" s="243" t="str">
        <f t="shared" ref="Q69:Q74" si="28">D$1</f>
        <v>ROOF</v>
      </c>
      <c r="R69" s="855" t="s">
        <v>90</v>
      </c>
      <c r="S69" s="638"/>
      <c r="T69" s="638"/>
      <c r="U69" s="638"/>
      <c r="V69" s="638"/>
      <c r="W69" s="638"/>
      <c r="X69" s="638"/>
      <c r="Y69" s="638"/>
      <c r="Z69" s="638"/>
      <c r="AA69" s="664"/>
    </row>
    <row r="70" spans="1:27" s="624" customFormat="1" ht="31.2" x14ac:dyDescent="0.25">
      <c r="A70" s="1600"/>
      <c r="B70" s="1564"/>
      <c r="C70" s="673" t="str">
        <f>INDEX('Master sheet'!$A$1:$A$670,MATCH(418,'Master sheet'!$AN$1:$AN$670,0))</f>
        <v xml:space="preserve">Gypsum panels - glass mat / CertainTeed / GlasRoc Sheathing gypsum board / 5/8" </v>
      </c>
      <c r="D70" s="17">
        <f>'USER INPUT SHEET'!$D$37</f>
        <v>0</v>
      </c>
      <c r="E70" s="18" t="str">
        <f>'USER INPUT SHEET'!$F$37</f>
        <v>m2</v>
      </c>
      <c r="F70" s="4">
        <v>1</v>
      </c>
      <c r="G70" s="674"/>
      <c r="H70" s="9"/>
      <c r="I70" s="95">
        <f t="shared" si="26"/>
        <v>0</v>
      </c>
      <c r="J70" s="96" t="str">
        <f t="shared" si="27"/>
        <v/>
      </c>
      <c r="K70" s="407">
        <f>$D70*$F70*VLOOKUP($C70,'Master sheet'!$A:$AL,13,FALSE)</f>
        <v>0</v>
      </c>
      <c r="L70" s="97">
        <f>$D70*$F70*VLOOKUP($C70,'Master sheet'!$A:$AL,27,FALSE)</f>
        <v>0</v>
      </c>
      <c r="M70" s="1552"/>
      <c r="N70" s="1552"/>
      <c r="O70" s="25" t="str">
        <f ca="1">_xlfn.IFNA(VLOOKUP($C70,'Master sheet'!$A:$AR,44,FALSE),"")&amp;""</f>
        <v/>
      </c>
      <c r="P70" s="637"/>
      <c r="Q70" s="45" t="str">
        <f t="shared" si="28"/>
        <v>ROOF</v>
      </c>
      <c r="R70" s="726" t="s">
        <v>90</v>
      </c>
      <c r="S70" s="638"/>
      <c r="T70" s="638"/>
      <c r="U70" s="638"/>
      <c r="V70" s="638"/>
      <c r="W70" s="638"/>
      <c r="X70" s="638"/>
      <c r="Y70" s="638"/>
      <c r="Z70" s="638"/>
      <c r="AA70" s="638"/>
    </row>
    <row r="71" spans="1:27" s="624" customFormat="1" ht="31.2" x14ac:dyDescent="0.25">
      <c r="A71" s="1600"/>
      <c r="B71" s="1564"/>
      <c r="C71" s="673" t="str">
        <f>INDEX('Master sheet'!$A$1:$A$670,MATCH("A51",'Master sheet'!$AN$1:$AN$670,0))</f>
        <v>Gypsum panels - glass mat / Georgia-Pacific / DensGlass Sheathing  / 1/2"</v>
      </c>
      <c r="D71" s="17">
        <f>'USER INPUT SHEET'!$D$37</f>
        <v>0</v>
      </c>
      <c r="E71" s="18" t="str">
        <f>'USER INPUT SHEET'!$F$37</f>
        <v>m2</v>
      </c>
      <c r="F71" s="4">
        <v>1</v>
      </c>
      <c r="G71" s="674"/>
      <c r="H71" s="9"/>
      <c r="I71" s="95">
        <f t="shared" si="26"/>
        <v>0</v>
      </c>
      <c r="J71" s="96" t="str">
        <f t="shared" si="27"/>
        <v/>
      </c>
      <c r="K71" s="407">
        <f>$D71*$F71*VLOOKUP($C71,'Master sheet'!$A:$AL,13,FALSE)</f>
        <v>0</v>
      </c>
      <c r="L71" s="97">
        <f>$D71*$F71*VLOOKUP($C71,'Master sheet'!$A:$AL,27,FALSE)</f>
        <v>0</v>
      </c>
      <c r="M71" s="1552"/>
      <c r="N71" s="1552"/>
      <c r="O71" s="25" t="str">
        <f>_xlfn.IFNA(VLOOKUP($C71,'Master sheet'!$A:$AR,44,FALSE),"")&amp;""</f>
        <v/>
      </c>
      <c r="P71" s="637"/>
      <c r="Q71" s="45" t="str">
        <f t="shared" si="28"/>
        <v>ROOF</v>
      </c>
      <c r="R71" s="726" t="s">
        <v>90</v>
      </c>
      <c r="S71" s="638"/>
      <c r="T71" s="638"/>
      <c r="U71" s="638"/>
      <c r="V71" s="638"/>
      <c r="W71" s="638"/>
      <c r="X71" s="638"/>
      <c r="Y71" s="638"/>
      <c r="Z71" s="638"/>
      <c r="AA71" s="664"/>
    </row>
    <row r="72" spans="1:27" s="624" customFormat="1" ht="31.2" x14ac:dyDescent="0.25">
      <c r="A72" s="1600"/>
      <c r="B72" s="1564"/>
      <c r="C72" s="673" t="str">
        <f>INDEX('Master sheet'!$A$1:$A$670,MATCH("A142",'Master sheet'!$AN$1:$AN$670,0))</f>
        <v>Gypsum panels - glass mat / Georgia-Pacific / DensGlass Sheathing / 5/8"</v>
      </c>
      <c r="D72" s="17">
        <f>'USER INPUT SHEET'!$D$37</f>
        <v>0</v>
      </c>
      <c r="E72" s="18" t="str">
        <f>'USER INPUT SHEET'!$F$37</f>
        <v>m2</v>
      </c>
      <c r="F72" s="4">
        <v>1</v>
      </c>
      <c r="G72" s="674"/>
      <c r="H72" s="9"/>
      <c r="I72" s="95">
        <f t="shared" si="26"/>
        <v>0</v>
      </c>
      <c r="J72" s="96" t="str">
        <f t="shared" si="27"/>
        <v/>
      </c>
      <c r="K72" s="407">
        <f>$D72*$F72*VLOOKUP($C72,'Master sheet'!$A:$AL,13,FALSE)</f>
        <v>0</v>
      </c>
      <c r="L72" s="97">
        <f>$D72*$F72*VLOOKUP($C72,'Master sheet'!$A:$AL,27,FALSE)</f>
        <v>0</v>
      </c>
      <c r="M72" s="1552"/>
      <c r="N72" s="1552"/>
      <c r="O72" s="25" t="str">
        <f>_xlfn.IFNA(VLOOKUP($C72,'Master sheet'!$A:$AR,44,FALSE),"")&amp;""</f>
        <v/>
      </c>
      <c r="P72" s="637"/>
      <c r="Q72" s="45" t="str">
        <f t="shared" si="28"/>
        <v>ROOF</v>
      </c>
      <c r="R72" s="726" t="s">
        <v>90</v>
      </c>
      <c r="S72" s="638"/>
      <c r="T72" s="638"/>
      <c r="U72" s="638"/>
      <c r="V72" s="638"/>
      <c r="W72" s="638"/>
      <c r="X72" s="638"/>
      <c r="Y72" s="638"/>
      <c r="Z72" s="638"/>
      <c r="AA72" s="664"/>
    </row>
    <row r="73" spans="1:27" s="624" customFormat="1" ht="31.2" x14ac:dyDescent="0.25">
      <c r="A73" s="1600"/>
      <c r="B73" s="1564"/>
      <c r="C73" s="673" t="str">
        <f>INDEX('Master sheet'!$A$1:$A$670,MATCH("A50",'Master sheet'!$AN$1:$AN$670,0))</f>
        <v>Gypsum panels - glass mat / Gypsum Association / North American Industry Average / 1/2"</v>
      </c>
      <c r="D73" s="17">
        <f>'USER INPUT SHEET'!$D$37</f>
        <v>0</v>
      </c>
      <c r="E73" s="18" t="str">
        <f>'USER INPUT SHEET'!$F$37</f>
        <v>m2</v>
      </c>
      <c r="F73" s="4">
        <v>1</v>
      </c>
      <c r="G73" s="674"/>
      <c r="H73" s="9"/>
      <c r="I73" s="95">
        <f t="shared" si="26"/>
        <v>0</v>
      </c>
      <c r="J73" s="96" t="str">
        <f t="shared" si="27"/>
        <v/>
      </c>
      <c r="K73" s="407">
        <f>$D73*$F73*VLOOKUP($C73,'Master sheet'!$A:$AL,13,FALSE)</f>
        <v>0</v>
      </c>
      <c r="L73" s="97">
        <f>$D73*$F73*VLOOKUP($C73,'Master sheet'!$A:$AL,27,FALSE)</f>
        <v>0</v>
      </c>
      <c r="M73" s="1552"/>
      <c r="N73" s="1552"/>
      <c r="O73" s="25" t="str">
        <f>_xlfn.IFNA(VLOOKUP($C73,'Master sheet'!$A:$AR,44,FALSE),"")&amp;""</f>
        <v/>
      </c>
      <c r="P73" s="637"/>
      <c r="Q73" s="45" t="str">
        <f t="shared" si="28"/>
        <v>ROOF</v>
      </c>
      <c r="R73" s="726" t="s">
        <v>90</v>
      </c>
      <c r="S73" s="638"/>
      <c r="T73" s="638"/>
      <c r="U73" s="638"/>
      <c r="V73" s="638"/>
      <c r="W73" s="638"/>
      <c r="X73" s="638"/>
      <c r="Y73" s="638"/>
      <c r="Z73" s="638"/>
      <c r="AA73" s="664"/>
    </row>
    <row r="74" spans="1:27" s="624" customFormat="1" ht="31.2" x14ac:dyDescent="0.25">
      <c r="A74" s="1564"/>
      <c r="B74" s="1564"/>
      <c r="C74" s="673" t="str">
        <f>INDEX('Master sheet'!$A$1:$A$670,MATCH("A143",'Master sheet'!$AN$1:$AN$670,0))</f>
        <v>Gypsum panels - glass mat / Gypsum Association / North American Industry Average / 5/8" Type X</v>
      </c>
      <c r="D74" s="17">
        <f>'USER INPUT SHEET'!$D$37</f>
        <v>0</v>
      </c>
      <c r="E74" s="18" t="str">
        <f>'USER INPUT SHEET'!$F$37</f>
        <v>m2</v>
      </c>
      <c r="F74" s="4">
        <v>1</v>
      </c>
      <c r="G74" s="674"/>
      <c r="H74" s="9"/>
      <c r="I74" s="95">
        <f t="shared" si="26"/>
        <v>0</v>
      </c>
      <c r="J74" s="96" t="str">
        <f t="shared" si="27"/>
        <v/>
      </c>
      <c r="K74" s="407">
        <f>$D74*$F74*VLOOKUP($C74,'Master sheet'!$A:$AL,13,FALSE)</f>
        <v>0</v>
      </c>
      <c r="L74" s="97">
        <f>$D74*$F74*VLOOKUP($C74,'Master sheet'!$A:$AL,27,FALSE)</f>
        <v>0</v>
      </c>
      <c r="M74" s="1552"/>
      <c r="N74" s="1552"/>
      <c r="O74" s="25" t="str">
        <f>_xlfn.IFNA(VLOOKUP($C74,'Master sheet'!$A:$AR,44,FALSE),"")&amp;""</f>
        <v/>
      </c>
      <c r="P74" s="637"/>
      <c r="Q74" s="45" t="str">
        <f t="shared" si="28"/>
        <v>ROOF</v>
      </c>
      <c r="R74" s="726" t="s">
        <v>90</v>
      </c>
      <c r="S74" s="638"/>
      <c r="T74" s="638"/>
      <c r="U74" s="638"/>
      <c r="V74" s="638"/>
      <c r="W74" s="638"/>
      <c r="X74" s="638"/>
      <c r="Y74" s="638"/>
      <c r="Z74" s="638"/>
      <c r="AA74" s="664"/>
    </row>
    <row r="75" spans="1:27" s="624" customFormat="1" ht="54.75" customHeight="1" x14ac:dyDescent="0.25">
      <c r="A75" s="1522" t="s">
        <v>925</v>
      </c>
      <c r="B75" s="1523"/>
      <c r="C75" s="1523"/>
      <c r="D75" s="649"/>
      <c r="E75" s="650"/>
      <c r="F75" s="321"/>
      <c r="G75" s="650"/>
      <c r="H75" s="650"/>
      <c r="I75" s="651"/>
      <c r="J75" s="651"/>
      <c r="K75" s="652"/>
      <c r="L75" s="759"/>
      <c r="M75" s="759"/>
      <c r="N75" s="759"/>
      <c r="O75" s="25" t="str">
        <f>_xlfn.IFNA(VLOOKUP($C75,'Master sheet'!$A:$AR,44,FALSE),"")&amp;""</f>
        <v/>
      </c>
      <c r="P75" s="637"/>
      <c r="Q75" s="855"/>
      <c r="R75" s="855"/>
      <c r="S75" s="638"/>
      <c r="T75" s="638"/>
      <c r="U75" s="638"/>
      <c r="V75" s="638"/>
      <c r="W75" s="638"/>
      <c r="X75" s="638"/>
      <c r="Y75" s="638"/>
      <c r="Z75" s="638"/>
      <c r="AA75" s="664"/>
    </row>
    <row r="76" spans="1:27" ht="22.8" x14ac:dyDescent="0.25">
      <c r="A76" s="686"/>
      <c r="B76" s="1541" t="s">
        <v>925</v>
      </c>
      <c r="C76" s="1530"/>
      <c r="D76" s="656"/>
      <c r="E76" s="657"/>
      <c r="F76" s="339"/>
      <c r="G76" s="724"/>
      <c r="H76" s="763"/>
      <c r="I76" s="658"/>
      <c r="J76" s="659"/>
      <c r="K76" s="660"/>
      <c r="L76" s="661"/>
      <c r="M76" s="677"/>
      <c r="N76" s="677"/>
      <c r="O76" s="25" t="str">
        <f>_xlfn.IFNA(VLOOKUP($C76,'Master sheet'!$A:$AR,44,FALSE),"")&amp;""</f>
        <v/>
      </c>
      <c r="P76" s="685"/>
      <c r="Q76" s="860"/>
      <c r="R76" s="860"/>
      <c r="S76" s="664"/>
      <c r="T76" s="664"/>
      <c r="U76" s="664"/>
      <c r="V76" s="664"/>
      <c r="W76" s="664"/>
      <c r="X76" s="664"/>
      <c r="Y76" s="664"/>
      <c r="Z76" s="664"/>
      <c r="AA76" s="664"/>
    </row>
    <row r="77" spans="1:27" ht="23.25" customHeight="1" x14ac:dyDescent="0.25">
      <c r="A77" s="1603"/>
      <c r="B77" s="1603"/>
      <c r="C77" s="669" t="str">
        <f>INDEX('Master sheet'!$A$1:$A$670,MATCH(92,'Master sheet'!$AN$1:$AN$670,0))</f>
        <v xml:space="preserve">EPDM Roofing Membrane / SPRI /  / </v>
      </c>
      <c r="D77" s="15">
        <f>'USER INPUT SHEET'!$D$37</f>
        <v>0</v>
      </c>
      <c r="E77" s="16" t="str">
        <f>'USER INPUT SHEET'!$F$37</f>
        <v>m2</v>
      </c>
      <c r="F77" s="3">
        <v>1</v>
      </c>
      <c r="G77" s="670"/>
      <c r="H77" s="8"/>
      <c r="I77" s="92">
        <f t="shared" ref="I77:I82" si="29">K77-L77</f>
        <v>0</v>
      </c>
      <c r="J77" s="93" t="str">
        <f t="shared" ref="J77:J82" si="30">IF(H77=1,I77,"")</f>
        <v/>
      </c>
      <c r="K77" s="406">
        <f>$D77*$F77*VLOOKUP($C77,'Master sheet'!$A:$AL,13,FALSE)</f>
        <v>0</v>
      </c>
      <c r="L77" s="94">
        <f>$D77*$F77*VLOOKUP($C77,'Master sheet'!$A:$AL,27,FALSE)</f>
        <v>0</v>
      </c>
      <c r="M77" s="1562"/>
      <c r="N77" s="1562"/>
      <c r="O77" s="25" t="str">
        <f ca="1">_xlfn.IFNA(VLOOKUP($C77,'Master sheet'!$A:$AR,44,FALSE),"")&amp;""</f>
        <v>Expired 2022</v>
      </c>
      <c r="P77" s="685"/>
      <c r="Q77" s="242" t="str">
        <f t="shared" ref="Q77:Q82" si="31">D$1</f>
        <v>ROOF</v>
      </c>
      <c r="R77" s="860" t="s">
        <v>925</v>
      </c>
      <c r="S77" s="664"/>
      <c r="T77" s="664"/>
      <c r="U77" s="664"/>
      <c r="V77" s="664"/>
      <c r="W77" s="664"/>
      <c r="X77" s="664"/>
      <c r="Y77" s="664"/>
      <c r="Z77" s="664"/>
      <c r="AA77" s="664"/>
    </row>
    <row r="78" spans="1:27" ht="47.25" customHeight="1" x14ac:dyDescent="0.3">
      <c r="A78" s="1603"/>
      <c r="B78" s="1603"/>
      <c r="C78" s="669" t="str">
        <f>INDEX('Master sheet'!$A$1:$A$670,MATCH(180,'Master sheet'!$AN$1:$AN$670,0))</f>
        <v xml:space="preserve">SBS Modified Bitumen Roofing / ARMA / Includes: CertainTeed, Firestone, GAF, Henry, IKO, Johns Mansville, Malarkey, Siplast, Soprema / </v>
      </c>
      <c r="D78" s="15">
        <f>'USER INPUT SHEET'!$D$37</f>
        <v>0</v>
      </c>
      <c r="E78" s="16" t="str">
        <f>'USER INPUT SHEET'!$F$37</f>
        <v>m2</v>
      </c>
      <c r="F78" s="3">
        <v>1</v>
      </c>
      <c r="G78" s="670"/>
      <c r="H78" s="8"/>
      <c r="I78" s="92">
        <f t="shared" si="29"/>
        <v>0</v>
      </c>
      <c r="J78" s="93" t="str">
        <f t="shared" si="30"/>
        <v/>
      </c>
      <c r="K78" s="406">
        <f>$D78*$F78*VLOOKUP($C78,'Master sheet'!$A:$AL,13,FALSE)</f>
        <v>0</v>
      </c>
      <c r="L78" s="94">
        <f>$D78*$F78*VLOOKUP($C78,'Master sheet'!$A:$AL,27,FALSE)</f>
        <v>0</v>
      </c>
      <c r="M78" s="1552"/>
      <c r="N78" s="1552"/>
      <c r="O78" s="25" t="str">
        <f ca="1">_xlfn.IFNA(VLOOKUP($C78,'Master sheet'!$A:$AR,44,FALSE),"")&amp;""</f>
        <v>Expired 2021</v>
      </c>
      <c r="P78" s="685"/>
      <c r="Q78" s="240" t="str">
        <f t="shared" si="31"/>
        <v>ROOF</v>
      </c>
      <c r="R78" s="852" t="s">
        <v>925</v>
      </c>
      <c r="S78" s="664"/>
      <c r="T78" s="664"/>
      <c r="U78" s="664"/>
      <c r="V78" s="664"/>
      <c r="W78" s="664"/>
      <c r="X78" s="664"/>
      <c r="Y78" s="664"/>
      <c r="Z78" s="664"/>
      <c r="AA78" s="638"/>
    </row>
    <row r="79" spans="1:27" ht="31.5" customHeight="1" x14ac:dyDescent="0.3">
      <c r="A79" s="1603"/>
      <c r="B79" s="1603"/>
      <c r="C79" s="669" t="str">
        <f>INDEX('Master sheet'!$A$1:$A$670,MATCH(172,'Master sheet'!$AN$1:$AN$670,0))</f>
        <v>PVC Roofing Membrane / CIFA / Includes: Canadian General-Tower, Duro-Last, FiberTite / 48 mils</v>
      </c>
      <c r="D79" s="15">
        <f>'USER INPUT SHEET'!$D$37</f>
        <v>0</v>
      </c>
      <c r="E79" s="16" t="str">
        <f>'USER INPUT SHEET'!$F$37</f>
        <v>m2</v>
      </c>
      <c r="F79" s="3">
        <v>1</v>
      </c>
      <c r="G79" s="670"/>
      <c r="H79" s="8"/>
      <c r="I79" s="92">
        <f t="shared" si="29"/>
        <v>0</v>
      </c>
      <c r="J79" s="93" t="str">
        <f t="shared" si="30"/>
        <v/>
      </c>
      <c r="K79" s="406">
        <f>$D79*$F79*VLOOKUP($C79,'Master sheet'!$A:$AL,13,FALSE)</f>
        <v>0</v>
      </c>
      <c r="L79" s="94">
        <f>$D79*$F79*VLOOKUP($C79,'Master sheet'!$A:$AL,27,FALSE)</f>
        <v>0</v>
      </c>
      <c r="M79" s="1552"/>
      <c r="N79" s="1552"/>
      <c r="O79" s="25" t="str">
        <f ca="1">_xlfn.IFNA(VLOOKUP($C79,'Master sheet'!$A:$AR,44,FALSE),"")&amp;""</f>
        <v>Expired 2019</v>
      </c>
      <c r="P79" s="685"/>
      <c r="Q79" s="240" t="str">
        <f t="shared" si="31"/>
        <v>ROOF</v>
      </c>
      <c r="R79" s="852" t="s">
        <v>925</v>
      </c>
      <c r="S79" s="664"/>
      <c r="T79" s="664"/>
      <c r="U79" s="664"/>
      <c r="V79" s="664"/>
      <c r="W79" s="664"/>
      <c r="X79" s="664"/>
      <c r="Y79" s="664"/>
      <c r="Z79" s="664"/>
      <c r="AA79" s="638"/>
    </row>
    <row r="80" spans="1:27" ht="22.8" x14ac:dyDescent="0.3">
      <c r="A80" s="1603"/>
      <c r="B80" s="1603"/>
      <c r="C80" s="673" t="str">
        <f>INDEX('Master sheet'!$A$1:$A$670,MATCH("A116",'Master sheet'!$AN$1:$AN$670,0))</f>
        <v>TPO Roofing Membrane / Carlisle / Sure-Weld / 60 mils</v>
      </c>
      <c r="D80" s="17">
        <f>'USER INPUT SHEET'!$D$37</f>
        <v>0</v>
      </c>
      <c r="E80" s="18" t="str">
        <f>'USER INPUT SHEET'!$F$37</f>
        <v>m2</v>
      </c>
      <c r="F80" s="4">
        <v>1</v>
      </c>
      <c r="G80" s="674"/>
      <c r="H80" s="9"/>
      <c r="I80" s="95">
        <f t="shared" si="29"/>
        <v>0</v>
      </c>
      <c r="J80" s="96" t="str">
        <f t="shared" si="30"/>
        <v/>
      </c>
      <c r="K80" s="407">
        <f>$D80*$F80*VLOOKUP($C80,'Master sheet'!$A:$AL,13,FALSE)</f>
        <v>0</v>
      </c>
      <c r="L80" s="97">
        <f>$D80*$F80*VLOOKUP($C80,'Master sheet'!$A:$AL,27,FALSE)</f>
        <v>0</v>
      </c>
      <c r="M80" s="1552"/>
      <c r="N80" s="1552"/>
      <c r="O80" s="25" t="str">
        <f>_xlfn.IFNA(VLOOKUP($C80,'Master sheet'!$A:$AR,44,FALSE),"")&amp;""</f>
        <v/>
      </c>
      <c r="P80" s="637"/>
      <c r="Q80" s="241" t="str">
        <f t="shared" si="31"/>
        <v>ROOF</v>
      </c>
      <c r="R80" s="843" t="s">
        <v>925</v>
      </c>
      <c r="S80" s="638"/>
      <c r="T80" s="638"/>
      <c r="U80" s="638"/>
      <c r="V80" s="638"/>
      <c r="W80" s="638"/>
      <c r="X80" s="664"/>
      <c r="Y80" s="664"/>
      <c r="Z80" s="664"/>
      <c r="AA80" s="664"/>
    </row>
    <row r="81" spans="1:27" ht="22.8" x14ac:dyDescent="0.3">
      <c r="A81" s="1603"/>
      <c r="B81" s="1603"/>
      <c r="C81" s="673" t="str">
        <f>INDEX('Master sheet'!$A$1:$A$670,MATCH("A117",'Master sheet'!$AN$1:$AN$670,0))</f>
        <v>TPO roofing membrane / Single Ply Roofing Industry /  / 45 mils</v>
      </c>
      <c r="D81" s="17">
        <f>'USER INPUT SHEET'!$D$37</f>
        <v>0</v>
      </c>
      <c r="E81" s="18" t="str">
        <f>'USER INPUT SHEET'!$F$37</f>
        <v>m2</v>
      </c>
      <c r="F81" s="4">
        <v>1</v>
      </c>
      <c r="G81" s="674"/>
      <c r="H81" s="9"/>
      <c r="I81" s="95">
        <f t="shared" si="29"/>
        <v>0</v>
      </c>
      <c r="J81" s="96" t="str">
        <f t="shared" si="30"/>
        <v/>
      </c>
      <c r="K81" s="407">
        <f>$D81*$F81*VLOOKUP($C81,'Master sheet'!$A:$AL,13,FALSE)</f>
        <v>0</v>
      </c>
      <c r="L81" s="97">
        <f>$D81*$F81*VLOOKUP($C81,'Master sheet'!$A:$AL,27,FALSE)</f>
        <v>0</v>
      </c>
      <c r="M81" s="1552"/>
      <c r="N81" s="1552"/>
      <c r="O81" s="25" t="str">
        <f>_xlfn.IFNA(VLOOKUP($C81,'Master sheet'!$A:$AR,44,FALSE),"")&amp;""</f>
        <v/>
      </c>
      <c r="P81" s="637"/>
      <c r="Q81" s="241" t="str">
        <f t="shared" si="31"/>
        <v>ROOF</v>
      </c>
      <c r="R81" s="843" t="s">
        <v>925</v>
      </c>
      <c r="S81" s="638"/>
      <c r="T81" s="638"/>
      <c r="U81" s="638"/>
      <c r="V81" s="638"/>
      <c r="W81" s="638"/>
      <c r="X81" s="664"/>
      <c r="Y81" s="664"/>
      <c r="Z81" s="664"/>
      <c r="AA81" s="664"/>
    </row>
    <row r="82" spans="1:27" s="624" customFormat="1" ht="23.25" customHeight="1" x14ac:dyDescent="0.3">
      <c r="A82" s="1603"/>
      <c r="B82" s="1603"/>
      <c r="C82" s="673" t="str">
        <f>INDEX('Master sheet'!$A$1:$A$670,MATCH("A118",'Master sheet'!$AN$1:$AN$670,0))</f>
        <v>TPO roofing membrane / Single Ply Roofing Industry /  / 60 mils</v>
      </c>
      <c r="D82" s="17">
        <f>'USER INPUT SHEET'!$D$37</f>
        <v>0</v>
      </c>
      <c r="E82" s="18" t="str">
        <f>'USER INPUT SHEET'!$F$37</f>
        <v>m2</v>
      </c>
      <c r="F82" s="4">
        <v>1</v>
      </c>
      <c r="G82" s="674"/>
      <c r="H82" s="9"/>
      <c r="I82" s="95">
        <f t="shared" si="29"/>
        <v>0</v>
      </c>
      <c r="J82" s="96" t="str">
        <f t="shared" si="30"/>
        <v/>
      </c>
      <c r="K82" s="407">
        <f>$D82*$F82*VLOOKUP($C82,'Master sheet'!$A:$AL,13,FALSE)</f>
        <v>0</v>
      </c>
      <c r="L82" s="97">
        <f>$D82*$F82*VLOOKUP($C82,'Master sheet'!$A:$AL,27,FALSE)</f>
        <v>0</v>
      </c>
      <c r="M82" s="1610"/>
      <c r="N82" s="1610"/>
      <c r="O82" s="25" t="str">
        <f>_xlfn.IFNA(VLOOKUP($C82,'Master sheet'!$A:$AR,44,FALSE),"")&amp;""</f>
        <v/>
      </c>
      <c r="P82" s="637"/>
      <c r="Q82" s="241" t="str">
        <f t="shared" si="31"/>
        <v>ROOF</v>
      </c>
      <c r="R82" s="843" t="s">
        <v>925</v>
      </c>
      <c r="S82" s="638"/>
      <c r="T82" s="638"/>
      <c r="U82" s="638"/>
      <c r="V82" s="638"/>
      <c r="W82" s="638"/>
      <c r="X82" s="638"/>
      <c r="Y82" s="638"/>
      <c r="Z82" s="638"/>
      <c r="AA82" s="638"/>
    </row>
    <row r="83" spans="1:27" ht="23.25" customHeight="1" x14ac:dyDescent="0.3">
      <c r="A83" s="686"/>
      <c r="B83" s="1541" t="s">
        <v>4592</v>
      </c>
      <c r="C83" s="1530"/>
      <c r="D83" s="656"/>
      <c r="E83" s="657"/>
      <c r="F83" s="339"/>
      <c r="G83" s="724"/>
      <c r="H83" s="763"/>
      <c r="I83" s="658"/>
      <c r="J83" s="659"/>
      <c r="K83" s="660"/>
      <c r="L83" s="661"/>
      <c r="M83" s="677"/>
      <c r="N83" s="677"/>
      <c r="O83" s="25" t="str">
        <f>_xlfn.IFNA(VLOOKUP($C83,'Master sheet'!$A:$AR,44,FALSE),"")&amp;""</f>
        <v/>
      </c>
      <c r="P83" s="685"/>
      <c r="S83" s="664"/>
      <c r="T83" s="664"/>
      <c r="U83" s="664"/>
      <c r="V83" s="664"/>
      <c r="W83" s="664"/>
      <c r="X83" s="664"/>
      <c r="Y83" s="664"/>
      <c r="Z83" s="664"/>
      <c r="AA83" s="664"/>
    </row>
    <row r="84" spans="1:27" ht="22.8" x14ac:dyDescent="0.3">
      <c r="A84" s="1576"/>
      <c r="B84" s="1576"/>
      <c r="C84" s="691" t="s">
        <v>4765</v>
      </c>
      <c r="D84" s="19">
        <f>'USER INPUT SHEET'!$D$37</f>
        <v>0</v>
      </c>
      <c r="E84" s="20" t="str">
        <f>'USER INPUT SHEET'!$F$37</f>
        <v>m2</v>
      </c>
      <c r="F84" s="6">
        <v>1</v>
      </c>
      <c r="G84" s="692"/>
      <c r="H84" s="10"/>
      <c r="I84" s="98">
        <f>K84-L84</f>
        <v>0</v>
      </c>
      <c r="J84" s="91" t="str">
        <f>IF(H84=1,I84,"")</f>
        <v/>
      </c>
      <c r="K84" s="410">
        <f>F84*AVERAGE(K85:K87)</f>
        <v>0</v>
      </c>
      <c r="L84" s="99">
        <f>F84*AVERAGE(L85:L87)</f>
        <v>0</v>
      </c>
      <c r="M84" s="1552"/>
      <c r="N84" s="1552"/>
      <c r="O84" s="25" t="str">
        <f>_xlfn.IFNA(VLOOKUP($C84,'Master sheet'!$A:$AR,44,FALSE),"")&amp;""</f>
        <v/>
      </c>
      <c r="P84" s="685"/>
      <c r="Q84" s="240" t="str">
        <f t="shared" ref="Q84:Q91" si="32">D$1</f>
        <v>ROOF</v>
      </c>
      <c r="R84" s="852" t="s">
        <v>4591</v>
      </c>
      <c r="S84" s="664"/>
      <c r="T84" s="664"/>
      <c r="U84" s="664"/>
      <c r="V84" s="664"/>
      <c r="W84" s="664"/>
      <c r="X84" s="664"/>
      <c r="Y84" s="664"/>
      <c r="Z84" s="664"/>
      <c r="AA84" s="664"/>
    </row>
    <row r="85" spans="1:27" ht="33.75" customHeight="1" x14ac:dyDescent="0.3">
      <c r="A85" s="1576"/>
      <c r="B85" s="1576"/>
      <c r="C85" s="669" t="str">
        <f>INDEX('Master sheet'!$A$1:$A$670,MATCH("A163",'Master sheet'!$AN$1:$AN$670,0))</f>
        <v>Ext. Roof Barrier, sheet / Rothoblaas / Traspir Weld EVO 360 / 17.5 Perms / 1.0 mm</v>
      </c>
      <c r="D85" s="15">
        <f>'USER INPUT SHEET'!$D$37</f>
        <v>0</v>
      </c>
      <c r="E85" s="16" t="str">
        <f>'USER INPUT SHEET'!$F$37</f>
        <v>m2</v>
      </c>
      <c r="F85" s="3">
        <v>1</v>
      </c>
      <c r="G85" s="670"/>
      <c r="H85" s="8"/>
      <c r="I85" s="92">
        <f t="shared" ref="I85:I87" si="33">K85-L85</f>
        <v>0</v>
      </c>
      <c r="J85" s="93" t="str">
        <f t="shared" ref="J85:J87" si="34">IF(H85=1,I85,"")</f>
        <v/>
      </c>
      <c r="K85" s="406">
        <f>$D85*$F85*VLOOKUP($C85,'Master sheet'!$A:$AL,13,FALSE)</f>
        <v>0</v>
      </c>
      <c r="L85" s="94">
        <f>$D85*$F85*VLOOKUP($C85,'Master sheet'!$A:$AL,27,FALSE)</f>
        <v>0</v>
      </c>
      <c r="M85" s="1552"/>
      <c r="N85" s="1552"/>
      <c r="O85" s="25" t="str">
        <f>_xlfn.IFNA(VLOOKUP($C85,'Master sheet'!$A:$AR,44,FALSE),"")&amp;""</f>
        <v/>
      </c>
      <c r="P85" s="707"/>
      <c r="Q85" s="240" t="str">
        <f t="shared" si="32"/>
        <v>ROOF</v>
      </c>
      <c r="R85" s="852" t="s">
        <v>4591</v>
      </c>
      <c r="S85" s="664"/>
      <c r="T85" s="664"/>
      <c r="U85" s="664"/>
      <c r="V85" s="664"/>
      <c r="W85" s="664"/>
      <c r="X85" s="664"/>
      <c r="Y85" s="664"/>
      <c r="Z85" s="664"/>
      <c r="AA85" s="664"/>
    </row>
    <row r="86" spans="1:27" ht="33.75" customHeight="1" x14ac:dyDescent="0.3">
      <c r="A86" s="1576"/>
      <c r="B86" s="1576"/>
      <c r="C86" s="669" t="str">
        <f>INDEX('Master sheet'!$A$1:$A$670,MATCH("A166",'Master sheet'!$AN$1:$AN$670,0))</f>
        <v xml:space="preserve">Ext. Wall &amp; Roof Barrier, sheet / Dupont / Tyvek Monolayer 60 / Permeable / </v>
      </c>
      <c r="D86" s="15">
        <f>'USER INPUT SHEET'!$D$37</f>
        <v>0</v>
      </c>
      <c r="E86" s="16" t="str">
        <f>'USER INPUT SHEET'!$F$37</f>
        <v>m2</v>
      </c>
      <c r="F86" s="3">
        <v>1</v>
      </c>
      <c r="G86" s="670"/>
      <c r="H86" s="8"/>
      <c r="I86" s="92">
        <f t="shared" si="33"/>
        <v>0</v>
      </c>
      <c r="J86" s="93" t="str">
        <f t="shared" si="34"/>
        <v/>
      </c>
      <c r="K86" s="406">
        <f>$D86*$F86*VLOOKUP($C86,'Master sheet'!$A:$AL,13,FALSE)</f>
        <v>0</v>
      </c>
      <c r="L86" s="94">
        <f>$D86*$F86*VLOOKUP($C86,'Master sheet'!$A:$AL,27,FALSE)</f>
        <v>0</v>
      </c>
      <c r="M86" s="1552"/>
      <c r="N86" s="1552"/>
      <c r="O86" s="25" t="str">
        <f>_xlfn.IFNA(VLOOKUP($C86,'Master sheet'!$A:$AR,44,FALSE),"")&amp;""</f>
        <v/>
      </c>
      <c r="P86" s="707"/>
      <c r="Q86" s="240" t="str">
        <f t="shared" si="32"/>
        <v>ROOF</v>
      </c>
      <c r="R86" s="852" t="s">
        <v>4591</v>
      </c>
      <c r="S86" s="664"/>
      <c r="T86" s="664"/>
      <c r="U86" s="664"/>
      <c r="V86" s="664"/>
      <c r="W86" s="664"/>
      <c r="X86" s="664"/>
      <c r="Y86" s="664"/>
      <c r="Z86" s="664"/>
      <c r="AA86" s="664"/>
    </row>
    <row r="87" spans="1:27" s="624" customFormat="1" ht="31.2" x14ac:dyDescent="0.3">
      <c r="A87" s="1576"/>
      <c r="B87" s="1576"/>
      <c r="C87" s="669" t="str">
        <f>INDEX('Master sheet'!$A$1:$A$670,MATCH("A167",'Master sheet'!$AN$1:$AN$670,0))</f>
        <v xml:space="preserve">Ext. Wall &amp; Roof Barrier, sheet / Partel / Exoperm Mono 150 / Permeable / </v>
      </c>
      <c r="D87" s="15">
        <f>'USER INPUT SHEET'!$D$37</f>
        <v>0</v>
      </c>
      <c r="E87" s="16" t="str">
        <f>'USER INPUT SHEET'!$F$37</f>
        <v>m2</v>
      </c>
      <c r="F87" s="3">
        <v>1</v>
      </c>
      <c r="G87" s="670"/>
      <c r="H87" s="8"/>
      <c r="I87" s="92">
        <f t="shared" si="33"/>
        <v>0</v>
      </c>
      <c r="J87" s="93" t="str">
        <f t="shared" si="34"/>
        <v/>
      </c>
      <c r="K87" s="406">
        <f>$D87*$F87*VLOOKUP($C87,'Master sheet'!$A:$AL,13,FALSE)</f>
        <v>0</v>
      </c>
      <c r="L87" s="94">
        <f>$D87*$F87*VLOOKUP($C87,'Master sheet'!$A:$AL,27,FALSE)</f>
        <v>0</v>
      </c>
      <c r="M87" s="1552"/>
      <c r="N87" s="1552"/>
      <c r="O87" s="25" t="str">
        <f>_xlfn.IFNA(VLOOKUP($C87,'Master sheet'!$A:$AR,44,FALSE),"")&amp;""</f>
        <v/>
      </c>
      <c r="P87" s="707"/>
      <c r="Q87" s="240" t="str">
        <f t="shared" si="32"/>
        <v>ROOF</v>
      </c>
      <c r="R87" s="852" t="s">
        <v>4591</v>
      </c>
      <c r="S87" s="664"/>
      <c r="T87" s="664"/>
      <c r="U87" s="664"/>
      <c r="V87" s="638"/>
      <c r="W87" s="638"/>
      <c r="X87" s="638"/>
      <c r="Y87" s="638"/>
      <c r="Z87" s="638"/>
      <c r="AA87" s="664"/>
    </row>
    <row r="88" spans="1:27" s="624" customFormat="1" ht="31.2" x14ac:dyDescent="0.3">
      <c r="A88" s="744"/>
      <c r="B88" s="744"/>
      <c r="C88" s="669" t="str">
        <f>INDEX('Master sheet'!$A$1:$A$670,MATCH("A158",'Master sheet'!$AN$1:$AN$670,0))</f>
        <v>Ext. &amp; Int. Wall &amp; Roof Barrier, sheet / Rothoblaas / Clima Control Net 160 / Moisture-variable / 0.5 mm</v>
      </c>
      <c r="D88" s="15">
        <f>'USER INPUT SHEET'!$D$37</f>
        <v>0</v>
      </c>
      <c r="E88" s="16" t="str">
        <f>'USER INPUT SHEET'!$F$37</f>
        <v>m2</v>
      </c>
      <c r="F88" s="3">
        <v>1</v>
      </c>
      <c r="G88" s="670"/>
      <c r="H88" s="8"/>
      <c r="I88" s="92">
        <f t="shared" ref="I88:I91" si="35">K88-L88</f>
        <v>0</v>
      </c>
      <c r="J88" s="93" t="str">
        <f t="shared" ref="J88:J91" si="36">IF(H88=1,I88,"")</f>
        <v/>
      </c>
      <c r="K88" s="406">
        <f>$D88*$F88*VLOOKUP($C88,'Master sheet'!$A:$AL,13,FALSE)</f>
        <v>0</v>
      </c>
      <c r="L88" s="94">
        <f>$D88*$F88*VLOOKUP($C88,'Master sheet'!$A:$AL,27,FALSE)</f>
        <v>0</v>
      </c>
      <c r="M88" s="1552"/>
      <c r="N88" s="1552"/>
      <c r="O88" s="25" t="str">
        <f>_xlfn.IFNA(VLOOKUP($C88,'Master sheet'!$A:$AR,44,FALSE),"")&amp;""</f>
        <v/>
      </c>
      <c r="P88" s="707"/>
      <c r="Q88" s="240" t="str">
        <f t="shared" si="32"/>
        <v>ROOF</v>
      </c>
      <c r="R88" s="852" t="s">
        <v>4591</v>
      </c>
      <c r="S88" s="664"/>
      <c r="T88" s="664"/>
      <c r="U88" s="664"/>
      <c r="V88" s="638"/>
      <c r="W88" s="638"/>
      <c r="X88" s="638"/>
      <c r="Y88" s="638"/>
      <c r="Z88" s="638"/>
      <c r="AA88" s="664"/>
    </row>
    <row r="89" spans="1:27" s="624" customFormat="1" ht="31.2" x14ac:dyDescent="0.3">
      <c r="A89" s="744"/>
      <c r="B89" s="744"/>
      <c r="C89" s="669" t="str">
        <f>INDEX('Master sheet'!$A$1:$A$670,MATCH("A159",'Master sheet'!$AN$1:$AN$670,0))</f>
        <v>Ext. &amp; Int. Wall &amp; Roof Barrier, sheet / Rothoblaas / Traspir EVO 160 / 12.3 Perms / 0.5 mm</v>
      </c>
      <c r="D89" s="15">
        <f>'USER INPUT SHEET'!$D$37</f>
        <v>0</v>
      </c>
      <c r="E89" s="16" t="str">
        <f>'USER INPUT SHEET'!$F$37</f>
        <v>m2</v>
      </c>
      <c r="F89" s="3">
        <v>1</v>
      </c>
      <c r="G89" s="670"/>
      <c r="H89" s="8"/>
      <c r="I89" s="92">
        <f t="shared" si="35"/>
        <v>0</v>
      </c>
      <c r="J89" s="93" t="str">
        <f t="shared" si="36"/>
        <v/>
      </c>
      <c r="K89" s="406">
        <f>$D89*$F89*VLOOKUP($C89,'Master sheet'!$A:$AL,13,FALSE)</f>
        <v>0</v>
      </c>
      <c r="L89" s="94">
        <f>$D89*$F89*VLOOKUP($C89,'Master sheet'!$A:$AL,27,FALSE)</f>
        <v>0</v>
      </c>
      <c r="M89" s="1552"/>
      <c r="N89" s="1552"/>
      <c r="O89" s="25" t="str">
        <f>_xlfn.IFNA(VLOOKUP($C89,'Master sheet'!$A:$AR,44,FALSE),"")&amp;""</f>
        <v/>
      </c>
      <c r="P89" s="707"/>
      <c r="Q89" s="240" t="str">
        <f t="shared" si="32"/>
        <v>ROOF</v>
      </c>
      <c r="R89" s="852" t="s">
        <v>4591</v>
      </c>
      <c r="S89" s="664"/>
      <c r="T89" s="664"/>
      <c r="U89" s="664"/>
      <c r="V89" s="638"/>
      <c r="W89" s="638"/>
      <c r="X89" s="638"/>
      <c r="Y89" s="638"/>
      <c r="Z89" s="638"/>
      <c r="AA89" s="664"/>
    </row>
    <row r="90" spans="1:27" s="624" customFormat="1" ht="31.2" x14ac:dyDescent="0.3">
      <c r="A90" s="744"/>
      <c r="B90" s="744"/>
      <c r="C90" s="669" t="str">
        <f>INDEX('Master sheet'!$A$1:$A$670,MATCH("A160",'Master sheet'!$AN$1:$AN$670,0))</f>
        <v>Ext. &amp; Int. Wall &amp; Roof Barrier, sheet / Rothoblaas / Traspir Vapor 225 / Non-permeable / 0.8 mm</v>
      </c>
      <c r="D90" s="15">
        <f>'USER INPUT SHEET'!$D$37</f>
        <v>0</v>
      </c>
      <c r="E90" s="16" t="str">
        <f>'USER INPUT SHEET'!$F$37</f>
        <v>m2</v>
      </c>
      <c r="F90" s="3">
        <v>1</v>
      </c>
      <c r="G90" s="670"/>
      <c r="H90" s="8"/>
      <c r="I90" s="92">
        <f t="shared" si="35"/>
        <v>0</v>
      </c>
      <c r="J90" s="93" t="str">
        <f t="shared" si="36"/>
        <v/>
      </c>
      <c r="K90" s="406">
        <f>$D90*$F90*VLOOKUP($C90,'Master sheet'!$A:$AL,13,FALSE)</f>
        <v>0</v>
      </c>
      <c r="L90" s="94">
        <f>$D90*$F90*VLOOKUP($C90,'Master sheet'!$A:$AL,27,FALSE)</f>
        <v>0</v>
      </c>
      <c r="M90" s="1552"/>
      <c r="N90" s="1552"/>
      <c r="O90" s="25" t="str">
        <f>_xlfn.IFNA(VLOOKUP($C90,'Master sheet'!$A:$AR,44,FALSE),"")&amp;""</f>
        <v/>
      </c>
      <c r="P90" s="707"/>
      <c r="Q90" s="240" t="str">
        <f t="shared" si="32"/>
        <v>ROOF</v>
      </c>
      <c r="R90" s="852" t="s">
        <v>4591</v>
      </c>
      <c r="S90" s="664"/>
      <c r="T90" s="664"/>
      <c r="U90" s="664"/>
      <c r="V90" s="638"/>
      <c r="W90" s="638"/>
      <c r="X90" s="638"/>
      <c r="Y90" s="638"/>
      <c r="Z90" s="638"/>
      <c r="AA90" s="664"/>
    </row>
    <row r="91" spans="1:27" s="624" customFormat="1" ht="31.2" x14ac:dyDescent="0.3">
      <c r="A91" s="744"/>
      <c r="B91" s="744"/>
      <c r="C91" s="669" t="str">
        <f>INDEX('Master sheet'!$A$1:$A$670,MATCH("A164",'Master sheet'!$AN$1:$AN$670,0))</f>
        <v xml:space="preserve">Ext. Wall &amp; Roof Barrier, adhesive / Partel / Exoperm Mono SA 250 / Permeable / </v>
      </c>
      <c r="D91" s="15">
        <f>'USER INPUT SHEET'!$D$37</f>
        <v>0</v>
      </c>
      <c r="E91" s="16" t="str">
        <f>'USER INPUT SHEET'!$F$37</f>
        <v>m2</v>
      </c>
      <c r="F91" s="3">
        <v>1</v>
      </c>
      <c r="G91" s="670"/>
      <c r="H91" s="8"/>
      <c r="I91" s="92">
        <f t="shared" si="35"/>
        <v>0</v>
      </c>
      <c r="J91" s="93" t="str">
        <f t="shared" si="36"/>
        <v/>
      </c>
      <c r="K91" s="406">
        <f>$D91*$F91*VLOOKUP($C91,'Master sheet'!$A:$AL,13,FALSE)</f>
        <v>0</v>
      </c>
      <c r="L91" s="94">
        <f>$D91*$F91*VLOOKUP($C91,'Master sheet'!$A:$AL,27,FALSE)</f>
        <v>0</v>
      </c>
      <c r="M91" s="1552"/>
      <c r="N91" s="1552"/>
      <c r="O91" s="25" t="str">
        <f>_xlfn.IFNA(VLOOKUP($C91,'Master sheet'!$A:$AR,44,FALSE),"")&amp;""</f>
        <v/>
      </c>
      <c r="P91" s="707"/>
      <c r="Q91" s="240" t="str">
        <f t="shared" si="32"/>
        <v>ROOF</v>
      </c>
      <c r="R91" s="852" t="s">
        <v>4591</v>
      </c>
      <c r="S91" s="664"/>
      <c r="T91" s="664"/>
      <c r="U91" s="664"/>
      <c r="V91" s="638"/>
      <c r="W91" s="638"/>
      <c r="X91" s="638"/>
      <c r="Y91" s="638"/>
      <c r="Z91" s="638"/>
      <c r="AA91" s="664"/>
    </row>
    <row r="92" spans="1:27" ht="23.25" customHeight="1" x14ac:dyDescent="0.3">
      <c r="A92" s="686"/>
      <c r="B92" s="1541" t="s">
        <v>4593</v>
      </c>
      <c r="C92" s="1530"/>
      <c r="D92" s="656"/>
      <c r="E92" s="657"/>
      <c r="F92" s="339"/>
      <c r="G92" s="724"/>
      <c r="H92" s="763"/>
      <c r="I92" s="658"/>
      <c r="J92" s="659"/>
      <c r="K92" s="660"/>
      <c r="L92" s="661"/>
      <c r="M92" s="677"/>
      <c r="N92" s="677"/>
      <c r="O92" s="25" t="str">
        <f>_xlfn.IFNA(VLOOKUP($C92,'Master sheet'!$A:$AR,44,FALSE),"")&amp;""</f>
        <v/>
      </c>
      <c r="P92" s="685"/>
      <c r="S92" s="664"/>
      <c r="T92" s="664"/>
      <c r="U92" s="664"/>
      <c r="V92" s="664"/>
      <c r="W92" s="664"/>
      <c r="X92" s="664"/>
      <c r="Y92" s="664"/>
      <c r="Z92" s="664"/>
      <c r="AA92" s="664"/>
    </row>
    <row r="93" spans="1:27" ht="22.8" x14ac:dyDescent="0.3">
      <c r="A93" s="729"/>
      <c r="B93" s="624"/>
      <c r="C93" s="691" t="s">
        <v>4766</v>
      </c>
      <c r="D93" s="19">
        <f>'USER INPUT SHEET'!$D$37</f>
        <v>0</v>
      </c>
      <c r="E93" s="20" t="str">
        <f>'USER INPUT SHEET'!$F$37</f>
        <v>m2</v>
      </c>
      <c r="F93" s="6">
        <v>1</v>
      </c>
      <c r="G93" s="692"/>
      <c r="H93" s="10"/>
      <c r="I93" s="98">
        <f>K93-L93</f>
        <v>0</v>
      </c>
      <c r="J93" s="91" t="str">
        <f>IF(H93=1,I93,"")</f>
        <v/>
      </c>
      <c r="K93" s="410">
        <f>F93*AVERAGE(K94:K95)</f>
        <v>0</v>
      </c>
      <c r="L93" s="99">
        <f>F93*AVERAGE(L94:L95)</f>
        <v>0</v>
      </c>
      <c r="M93" s="1552"/>
      <c r="N93" s="1552"/>
      <c r="O93" s="25" t="str">
        <f>_xlfn.IFNA(VLOOKUP($C93,'Master sheet'!$A:$AR,44,FALSE),"")&amp;""</f>
        <v/>
      </c>
      <c r="P93" s="685"/>
      <c r="Q93" s="240" t="str">
        <f>D$1</f>
        <v>ROOF</v>
      </c>
      <c r="R93" s="852" t="s">
        <v>4591</v>
      </c>
      <c r="S93" s="664"/>
      <c r="T93" s="664"/>
      <c r="U93" s="664"/>
      <c r="V93" s="664"/>
      <c r="W93" s="664"/>
      <c r="X93" s="664"/>
      <c r="Y93" s="664"/>
      <c r="Z93" s="664"/>
      <c r="AA93" s="638"/>
    </row>
    <row r="94" spans="1:27" ht="33.75" customHeight="1" x14ac:dyDescent="0.3">
      <c r="A94" s="638"/>
      <c r="B94" s="853"/>
      <c r="C94" s="669" t="str">
        <f>INDEX('Master sheet'!$A$1:$A$670,MATCH("A165",'Master sheet'!$AN$1:$AN$670,0))</f>
        <v>Ext. Wall &amp; Roof Barrier, liquid applied / Carlisle / Barrithane VP / 11.1 Perms / 40 mils</v>
      </c>
      <c r="D94" s="15">
        <f>'USER INPUT SHEET'!$D$37</f>
        <v>0</v>
      </c>
      <c r="E94" s="16" t="str">
        <f>'USER INPUT SHEET'!$F$37</f>
        <v>m2</v>
      </c>
      <c r="F94" s="3">
        <v>1</v>
      </c>
      <c r="G94" s="670"/>
      <c r="H94" s="8"/>
      <c r="I94" s="92">
        <f t="shared" ref="I94:I95" si="37">K94-L94</f>
        <v>0</v>
      </c>
      <c r="J94" s="93" t="str">
        <f t="shared" ref="J94:J95" si="38">IF(H94=1,I94,"")</f>
        <v/>
      </c>
      <c r="K94" s="406">
        <f>$D94*$F94*VLOOKUP($C94,'Master sheet'!$A:$AL,13,FALSE)</f>
        <v>0</v>
      </c>
      <c r="L94" s="94">
        <f>$D94*$F94*VLOOKUP($C94,'Master sheet'!$A:$AL,27,FALSE)</f>
        <v>0</v>
      </c>
      <c r="M94" s="1552"/>
      <c r="N94" s="1552"/>
      <c r="O94" s="25" t="str">
        <f>_xlfn.IFNA(VLOOKUP($C94,'Master sheet'!$A:$AR,44,FALSE),"")&amp;""</f>
        <v/>
      </c>
      <c r="P94" s="707"/>
      <c r="Q94" s="240" t="str">
        <f>D$1</f>
        <v>ROOF</v>
      </c>
      <c r="R94" s="852" t="s">
        <v>4591</v>
      </c>
      <c r="S94" s="664"/>
      <c r="T94" s="664"/>
      <c r="U94" s="664"/>
      <c r="V94" s="664"/>
      <c r="W94" s="664"/>
      <c r="X94" s="664"/>
      <c r="Y94" s="664"/>
      <c r="Z94" s="664"/>
      <c r="AA94" s="664"/>
    </row>
    <row r="95" spans="1:27" s="624" customFormat="1" ht="23.25" customHeight="1" x14ac:dyDescent="0.3">
      <c r="A95"/>
      <c r="B95"/>
      <c r="C95" s="669" t="str">
        <f>INDEX('Master sheet'!$A$1:$A$670,MATCH("A179",'Master sheet'!$AN$1:$AN$670,0))</f>
        <v xml:space="preserve">Ext. Waterproofing Barrier, adhesive / Carlisle / MiraPLY V / </v>
      </c>
      <c r="D95" s="15">
        <f>'USER INPUT SHEET'!$D$37</f>
        <v>0</v>
      </c>
      <c r="E95" s="16" t="str">
        <f>'USER INPUT SHEET'!$F$37</f>
        <v>m2</v>
      </c>
      <c r="F95" s="3">
        <v>1</v>
      </c>
      <c r="G95" s="670"/>
      <c r="H95" s="8"/>
      <c r="I95" s="92">
        <f t="shared" si="37"/>
        <v>0</v>
      </c>
      <c r="J95" s="93" t="str">
        <f t="shared" si="38"/>
        <v/>
      </c>
      <c r="K95" s="406">
        <f>$D95*$F95*VLOOKUP($C95,'Master sheet'!$A:$AL,13,FALSE)</f>
        <v>0</v>
      </c>
      <c r="L95" s="94">
        <f>$D95*$F95*VLOOKUP($C95,'Master sheet'!$A:$AL,27,FALSE)</f>
        <v>0</v>
      </c>
      <c r="M95" s="1552"/>
      <c r="N95" s="1552"/>
      <c r="O95" s="25" t="str">
        <f>_xlfn.IFNA(VLOOKUP($C95,'Master sheet'!$A:$AR,44,FALSE),"")&amp;""</f>
        <v/>
      </c>
      <c r="P95" s="707"/>
      <c r="Q95" s="240" t="str">
        <f>D$1</f>
        <v>ROOF</v>
      </c>
      <c r="R95" s="852" t="s">
        <v>4591</v>
      </c>
      <c r="S95" s="664"/>
      <c r="T95" s="638"/>
      <c r="U95" s="638"/>
      <c r="V95" s="638"/>
      <c r="W95" s="638"/>
      <c r="X95" s="638"/>
      <c r="Y95" s="638"/>
      <c r="Z95" s="638"/>
      <c r="AA95" s="664"/>
    </row>
    <row r="96" spans="1:27" s="624" customFormat="1" ht="54.75" customHeight="1" x14ac:dyDescent="0.3">
      <c r="A96" s="1522" t="s">
        <v>92</v>
      </c>
      <c r="B96" s="1523"/>
      <c r="C96" s="1523"/>
      <c r="D96" s="629" t="s">
        <v>69</v>
      </c>
      <c r="E96" s="1"/>
      <c r="F96" s="323" t="str">
        <f>IF(LOWER(Setting!rng_language)="english","in","po")</f>
        <v>in</v>
      </c>
      <c r="G96" s="650"/>
      <c r="H96" s="650"/>
      <c r="I96" s="651"/>
      <c r="J96" s="651"/>
      <c r="K96" s="652"/>
      <c r="L96" s="759"/>
      <c r="M96" s="759"/>
      <c r="N96" s="759"/>
      <c r="O96" s="25" t="str">
        <f>_xlfn.IFNA(VLOOKUP($C96,'Master sheet'!$A:$AR,44,FALSE),"")&amp;""</f>
        <v/>
      </c>
      <c r="P96" s="637"/>
      <c r="Q96" s="843"/>
      <c r="R96" s="843"/>
      <c r="S96" s="638"/>
      <c r="T96" s="638"/>
      <c r="U96" s="638"/>
      <c r="V96" s="638"/>
      <c r="W96" s="638"/>
      <c r="X96" s="638"/>
      <c r="Y96" s="638"/>
      <c r="Z96" s="638"/>
      <c r="AA96" s="664"/>
    </row>
    <row r="97" spans="1:27" s="624" customFormat="1" ht="21" customHeight="1" x14ac:dyDescent="0.25">
      <c r="A97" s="639"/>
      <c r="B97" s="1524" t="s">
        <v>6851</v>
      </c>
      <c r="C97" s="1523"/>
      <c r="D97" s="640"/>
      <c r="E97" s="641"/>
      <c r="F97" s="334"/>
      <c r="G97" s="678"/>
      <c r="H97" s="639"/>
      <c r="I97" s="733"/>
      <c r="J97" s="733"/>
      <c r="K97" s="698"/>
      <c r="L97" s="736"/>
      <c r="M97" s="736"/>
      <c r="N97" s="736"/>
      <c r="O97" s="25" t="str">
        <f>_xlfn.IFNA(VLOOKUP($C97,'Master sheet'!$A:$AR,44,FALSE),"")&amp;""</f>
        <v/>
      </c>
      <c r="P97" s="637"/>
      <c r="Q97" s="722"/>
      <c r="R97" s="722"/>
      <c r="S97" s="623"/>
      <c r="T97" s="638"/>
      <c r="U97" s="638"/>
      <c r="V97" s="638"/>
      <c r="W97" s="638"/>
      <c r="X97" s="638"/>
      <c r="Y97" s="638"/>
      <c r="Z97" s="638"/>
      <c r="AA97" s="664"/>
    </row>
    <row r="98" spans="1:27" ht="22.8" x14ac:dyDescent="0.3">
      <c r="A98" s="1542"/>
      <c r="B98" s="1542"/>
      <c r="C98" s="669" t="str">
        <f>INDEX('Master sheet'!$A$1:$A$670,MATCH("248-1",'Master sheet'!$AN$1:$AN$670,0))</f>
        <v xml:space="preserve">Wood - SPF / Canadian Wood Council / British Columbia / </v>
      </c>
      <c r="D98" s="15">
        <f>'USER INPUT SHEET'!$D$37</f>
        <v>0</v>
      </c>
      <c r="E98" s="16" t="str">
        <f>'USER INPUT SHEET'!$F$37</f>
        <v>m2</v>
      </c>
      <c r="F98" s="3">
        <v>1</v>
      </c>
      <c r="G98" s="670"/>
      <c r="H98" s="8"/>
      <c r="I98" s="92">
        <f t="shared" ref="I98:I103" si="39">K98-L98-IF(N98,M98,0)</f>
        <v>0</v>
      </c>
      <c r="J98" s="93" t="str">
        <f t="shared" ref="J98:J103" si="40">IF(H98=1,I98,"")</f>
        <v/>
      </c>
      <c r="K98" s="406">
        <f>$D98*$F98*IF($E$96=16,2.5/16,2.5/24)*VLOOKUP($C98,'Master sheet'!$A:$AL,13,FALSE)*0.01905</f>
        <v>0</v>
      </c>
      <c r="L98" s="94">
        <f>$D98*$F98*IF($E$96=16,2.5/16,2.5/24)*VLOOKUP($C98,'Master sheet'!$A:$AL,27,FALSE)*0.01905</f>
        <v>0</v>
      </c>
      <c r="M98" s="1552"/>
      <c r="N98" s="1552"/>
      <c r="O98" s="25" t="str">
        <f>_xlfn.IFNA(VLOOKUP($C98,'Master sheet'!$A:$AR,44,FALSE),"")&amp;""</f>
        <v/>
      </c>
      <c r="P98" s="637"/>
      <c r="Q98" s="241" t="str">
        <f t="shared" ref="Q98:Q103" si="41">D$1</f>
        <v>ROOF</v>
      </c>
      <c r="R98" s="843" t="s">
        <v>92</v>
      </c>
      <c r="S98" s="737" t="s">
        <v>7269</v>
      </c>
      <c r="T98" s="665"/>
      <c r="U98" s="664"/>
      <c r="V98" s="664"/>
      <c r="W98" s="664"/>
      <c r="X98" s="664"/>
      <c r="Y98" s="664"/>
      <c r="Z98" s="664"/>
      <c r="AA98" s="638"/>
    </row>
    <row r="99" spans="1:27" ht="22.8" x14ac:dyDescent="0.3">
      <c r="A99" s="1542"/>
      <c r="B99" s="1542"/>
      <c r="C99" s="669" t="str">
        <f>INDEX('Master sheet'!$A$1:$A$670,MATCH("248-2",'Master sheet'!$AN$1:$AN$670,0))</f>
        <v xml:space="preserve">Wood - SPF / Canadian Wood Council / Alberta / </v>
      </c>
      <c r="D99" s="13">
        <f>'USER INPUT SHEET'!$D$37</f>
        <v>0</v>
      </c>
      <c r="E99" s="14" t="str">
        <f>'USER INPUT SHEET'!$F$37</f>
        <v>m2</v>
      </c>
      <c r="F99" s="2">
        <v>1</v>
      </c>
      <c r="G99" s="648"/>
      <c r="H99" s="7"/>
      <c r="I99" s="88">
        <f t="shared" si="39"/>
        <v>0</v>
      </c>
      <c r="J99" s="89" t="str">
        <f t="shared" si="40"/>
        <v/>
      </c>
      <c r="K99" s="404">
        <f>$D99*$F99*IF($E$96=16,2.5/16,2.5/24)*VLOOKUP($C99,'Master sheet'!$A:$AL,13,FALSE)*0.01905</f>
        <v>0</v>
      </c>
      <c r="L99" s="90">
        <f>$D99*$F99*IF($E$96=16,2.5/16,2.5/24)*VLOOKUP($C99,'Master sheet'!$A:$AL,27,FALSE)*0.01905</f>
        <v>0</v>
      </c>
      <c r="M99" s="1552"/>
      <c r="N99" s="1552"/>
      <c r="O99" s="25" t="str">
        <f>_xlfn.IFNA(VLOOKUP($C99,'Master sheet'!$A:$AR,44,FALSE),"")&amp;""</f>
        <v/>
      </c>
      <c r="P99" s="637"/>
      <c r="Q99" s="241" t="str">
        <f t="shared" si="41"/>
        <v>ROOF</v>
      </c>
      <c r="R99" s="843" t="s">
        <v>92</v>
      </c>
      <c r="S99" s="737" t="s">
        <v>7269</v>
      </c>
      <c r="T99" s="665"/>
      <c r="U99" s="664"/>
      <c r="V99" s="664"/>
      <c r="W99" s="664"/>
      <c r="X99" s="664"/>
      <c r="Y99" s="664"/>
      <c r="Z99" s="664"/>
      <c r="AA99" s="638"/>
    </row>
    <row r="100" spans="1:27" ht="22.8" x14ac:dyDescent="0.3">
      <c r="A100" s="1542"/>
      <c r="B100" s="1542"/>
      <c r="C100" s="669" t="str">
        <f>INDEX('Master sheet'!$A$1:$A$670,MATCH("248-3",'Master sheet'!$AN$1:$AN$670,0))</f>
        <v xml:space="preserve">Wood - SPF / Canadian Wood Council / Ontario / </v>
      </c>
      <c r="D100" s="13">
        <f>'USER INPUT SHEET'!$D$37</f>
        <v>0</v>
      </c>
      <c r="E100" s="14" t="str">
        <f>'USER INPUT SHEET'!$F$37</f>
        <v>m2</v>
      </c>
      <c r="F100" s="2">
        <v>1</v>
      </c>
      <c r="G100" s="648"/>
      <c r="H100" s="7"/>
      <c r="I100" s="88">
        <f t="shared" si="39"/>
        <v>0</v>
      </c>
      <c r="J100" s="89" t="str">
        <f t="shared" si="40"/>
        <v/>
      </c>
      <c r="K100" s="404">
        <f>$D100*$F100*IF($E$96=16,2.5/16,2.5/24)*VLOOKUP($C100,'Master sheet'!$A:$AL,13,FALSE)*0.01905</f>
        <v>0</v>
      </c>
      <c r="L100" s="90">
        <f>$D100*$F100*IF($E$96=16,2.5/16,2.5/24)*VLOOKUP($C100,'Master sheet'!$A:$AL,27,FALSE)*0.01905</f>
        <v>0</v>
      </c>
      <c r="M100" s="1552"/>
      <c r="N100" s="1552"/>
      <c r="O100" s="25" t="str">
        <f>_xlfn.IFNA(VLOOKUP($C100,'Master sheet'!$A:$AR,44,FALSE),"")&amp;""</f>
        <v/>
      </c>
      <c r="P100" s="637"/>
      <c r="Q100" s="241" t="str">
        <f t="shared" si="41"/>
        <v>ROOF</v>
      </c>
      <c r="R100" s="843" t="s">
        <v>92</v>
      </c>
      <c r="S100" s="737" t="s">
        <v>7269</v>
      </c>
      <c r="T100" s="665"/>
      <c r="U100" s="664"/>
      <c r="V100" s="664"/>
      <c r="W100" s="664"/>
      <c r="X100" s="664"/>
      <c r="Y100" s="664"/>
      <c r="Z100" s="664"/>
      <c r="AA100" s="638"/>
    </row>
    <row r="101" spans="1:27" ht="22.8" x14ac:dyDescent="0.3">
      <c r="A101" s="1542"/>
      <c r="B101" s="1542"/>
      <c r="C101" s="669" t="str">
        <f>INDEX('Master sheet'!$A$1:$A$670,MATCH("248-4",'Master sheet'!$AN$1:$AN$670,0))</f>
        <v xml:space="preserve">Wood - SPF / Canadian Wood Council / Quebec / </v>
      </c>
      <c r="D101" s="13">
        <f>'USER INPUT SHEET'!$D$37</f>
        <v>0</v>
      </c>
      <c r="E101" s="14" t="str">
        <f>'USER INPUT SHEET'!$F$37</f>
        <v>m2</v>
      </c>
      <c r="F101" s="2">
        <v>1</v>
      </c>
      <c r="G101" s="648"/>
      <c r="H101" s="7"/>
      <c r="I101" s="88">
        <f t="shared" si="39"/>
        <v>0</v>
      </c>
      <c r="J101" s="89" t="str">
        <f t="shared" si="40"/>
        <v/>
      </c>
      <c r="K101" s="404">
        <f>$D101*$F101*IF($E$96=16,2.5/16,2.5/24)*VLOOKUP($C101,'Master sheet'!$A:$AL,13,FALSE)*0.01905</f>
        <v>0</v>
      </c>
      <c r="L101" s="90">
        <f>$D101*$F101*IF($E$96=16,2.5/16,2.5/24)*VLOOKUP($C101,'Master sheet'!$A:$AL,27,FALSE)*0.01905</f>
        <v>0</v>
      </c>
      <c r="M101" s="1552"/>
      <c r="N101" s="1552"/>
      <c r="O101" s="25" t="str">
        <f>_xlfn.IFNA(VLOOKUP($C101,'Master sheet'!$A:$AR,44,FALSE),"")&amp;""</f>
        <v/>
      </c>
      <c r="P101" s="637"/>
      <c r="Q101" s="241" t="str">
        <f t="shared" si="41"/>
        <v>ROOF</v>
      </c>
      <c r="R101" s="843" t="s">
        <v>92</v>
      </c>
      <c r="S101" s="737" t="s">
        <v>7269</v>
      </c>
      <c r="T101" s="665"/>
      <c r="U101" s="664"/>
      <c r="V101" s="664"/>
      <c r="W101" s="664"/>
      <c r="X101" s="664"/>
      <c r="Y101" s="664"/>
      <c r="Z101" s="664"/>
      <c r="AA101" s="638"/>
    </row>
    <row r="102" spans="1:27" ht="22.8" x14ac:dyDescent="0.3">
      <c r="A102" s="1542"/>
      <c r="B102" s="1542"/>
      <c r="C102" s="669" t="str">
        <f>INDEX('Master sheet'!$A$1:$A$670,MATCH("248-5",'Master sheet'!$AN$1:$AN$670,0))</f>
        <v xml:space="preserve">Wood - SPF / Canadian Wood Council / New Brunswick / </v>
      </c>
      <c r="D102" s="13">
        <f>'USER INPUT SHEET'!$D$37</f>
        <v>0</v>
      </c>
      <c r="E102" s="14" t="str">
        <f>'USER INPUT SHEET'!$F$37</f>
        <v>m2</v>
      </c>
      <c r="F102" s="2">
        <v>1</v>
      </c>
      <c r="G102" s="648"/>
      <c r="H102" s="7"/>
      <c r="I102" s="88">
        <f t="shared" si="39"/>
        <v>0</v>
      </c>
      <c r="J102" s="89" t="str">
        <f t="shared" si="40"/>
        <v/>
      </c>
      <c r="K102" s="404">
        <f>$D102*$F102*IF($E$96=16,2.5/16,2.5/24)*VLOOKUP($C102,'Master sheet'!$A:$AL,13,FALSE)*0.01905</f>
        <v>0</v>
      </c>
      <c r="L102" s="90">
        <f>$D102*$F102*IF($E$96=16,2.5/16,2.5/24)*VLOOKUP($C102,'Master sheet'!$A:$AL,27,FALSE)*0.01905</f>
        <v>0</v>
      </c>
      <c r="M102" s="1552"/>
      <c r="N102" s="1552"/>
      <c r="O102" s="25" t="str">
        <f>_xlfn.IFNA(VLOOKUP($C102,'Master sheet'!$A:$AR,44,FALSE),"")&amp;""</f>
        <v/>
      </c>
      <c r="P102" s="637"/>
      <c r="Q102" s="241" t="str">
        <f t="shared" si="41"/>
        <v>ROOF</v>
      </c>
      <c r="R102" s="843" t="s">
        <v>92</v>
      </c>
      <c r="S102" s="737" t="s">
        <v>7269</v>
      </c>
      <c r="T102" s="665"/>
      <c r="U102" s="664"/>
      <c r="V102" s="664"/>
      <c r="W102" s="664"/>
      <c r="X102" s="664"/>
      <c r="Y102" s="664"/>
      <c r="Z102" s="664"/>
      <c r="AA102" s="638"/>
    </row>
    <row r="103" spans="1:27" ht="22.8" x14ac:dyDescent="0.3">
      <c r="A103" s="1542"/>
      <c r="B103" s="1542"/>
      <c r="C103" s="669" t="str">
        <f>INDEX('Master sheet'!$A$1:$A$670,MATCH("248-6",'Master sheet'!$AN$1:$AN$670,0))</f>
        <v xml:space="preserve">Wood - SPF / Canadian Wood Council / Atlantic Canada / </v>
      </c>
      <c r="D103" s="13">
        <f>'USER INPUT SHEET'!$D$37</f>
        <v>0</v>
      </c>
      <c r="E103" s="14" t="str">
        <f>'USER INPUT SHEET'!$F$37</f>
        <v>m2</v>
      </c>
      <c r="F103" s="2">
        <v>1</v>
      </c>
      <c r="G103" s="648"/>
      <c r="H103" s="7"/>
      <c r="I103" s="88">
        <f t="shared" si="39"/>
        <v>0</v>
      </c>
      <c r="J103" s="89" t="str">
        <f t="shared" si="40"/>
        <v/>
      </c>
      <c r="K103" s="404">
        <f>$D103*$F103*IF($E$96=16,2.5/16,2.5/24)*VLOOKUP($C103,'Master sheet'!$A:$AL,13,FALSE)*0.01905</f>
        <v>0</v>
      </c>
      <c r="L103" s="90">
        <f>$D103*$F103*IF($E$96=16,2.5/16,2.5/24)*VLOOKUP($C103,'Master sheet'!$A:$AL,27,FALSE)*0.01905</f>
        <v>0</v>
      </c>
      <c r="M103" s="1562"/>
      <c r="N103" s="1562"/>
      <c r="O103" s="25" t="str">
        <f>_xlfn.IFNA(VLOOKUP($C103,'Master sheet'!$A:$AR,44,FALSE),"")&amp;""</f>
        <v/>
      </c>
      <c r="P103" s="637"/>
      <c r="Q103" s="241" t="str">
        <f t="shared" si="41"/>
        <v>ROOF</v>
      </c>
      <c r="R103" s="843" t="s">
        <v>92</v>
      </c>
      <c r="S103" s="737" t="s">
        <v>7269</v>
      </c>
      <c r="T103" s="665"/>
      <c r="U103" s="664"/>
      <c r="V103" s="664"/>
      <c r="W103" s="664"/>
      <c r="X103" s="664"/>
      <c r="Y103" s="664"/>
      <c r="Z103" s="664"/>
      <c r="AA103" s="638"/>
    </row>
    <row r="104" spans="1:27" s="624" customFormat="1" ht="21" customHeight="1" x14ac:dyDescent="0.25">
      <c r="A104" s="639"/>
      <c r="B104" s="1524" t="s">
        <v>6852</v>
      </c>
      <c r="C104" s="1523"/>
      <c r="D104" s="640"/>
      <c r="E104" s="641"/>
      <c r="F104" s="334"/>
      <c r="G104" s="678"/>
      <c r="H104" s="639"/>
      <c r="I104" s="733"/>
      <c r="J104" s="733"/>
      <c r="K104" s="698"/>
      <c r="L104" s="736"/>
      <c r="M104" s="736"/>
      <c r="N104" s="736"/>
      <c r="O104" s="25" t="str">
        <f>_xlfn.IFNA(VLOOKUP($C104,'Master sheet'!$A:$AR,44,FALSE),"")&amp;""</f>
        <v/>
      </c>
      <c r="P104" s="637"/>
      <c r="Q104" s="722"/>
      <c r="R104" s="722"/>
      <c r="S104" s="623"/>
      <c r="T104" s="638"/>
      <c r="U104" s="638"/>
      <c r="V104" s="638"/>
      <c r="W104" s="638"/>
      <c r="X104" s="638"/>
      <c r="Y104" s="638"/>
      <c r="Z104" s="638"/>
      <c r="AA104" s="638"/>
    </row>
    <row r="105" spans="1:27" ht="22.8" x14ac:dyDescent="0.3">
      <c r="A105" s="1542"/>
      <c r="B105" s="1542"/>
      <c r="C105" s="669" t="str">
        <f>INDEX('Master sheet'!$A$1:$A$670,MATCH("248-1",'Master sheet'!$AN$1:$AN$670,0))</f>
        <v xml:space="preserve">Wood - SPF / Canadian Wood Council / British Columbia / </v>
      </c>
      <c r="D105" s="15">
        <f>'USER INPUT SHEET'!$D$37</f>
        <v>0</v>
      </c>
      <c r="E105" s="16" t="str">
        <f>'USER INPUT SHEET'!$F$37</f>
        <v>m2</v>
      </c>
      <c r="F105" s="3">
        <v>1</v>
      </c>
      <c r="G105" s="670"/>
      <c r="H105" s="8"/>
      <c r="I105" s="88">
        <f t="shared" ref="I105:I110" si="42">K105-L105-IF(N105,M105,0)</f>
        <v>0</v>
      </c>
      <c r="J105" s="93" t="str">
        <f t="shared" ref="J105:J110" si="43">IF(H105=1,I105,"")</f>
        <v/>
      </c>
      <c r="K105" s="406">
        <f>$D105*$F105*IF($E$96=16,3.5/16,3.5/24)*VLOOKUP($C105,'Master sheet'!$A:$AL,13,FALSE)*0.01905</f>
        <v>0</v>
      </c>
      <c r="L105" s="94">
        <f>$D105*$F105*IF($E$96=16,3.5/16,3.5/24)*VLOOKUP($C105,'Master sheet'!$A:$AL,27,FALSE)*0.01905</f>
        <v>0</v>
      </c>
      <c r="M105" s="1562"/>
      <c r="N105" s="1562"/>
      <c r="O105" s="25" t="str">
        <f>_xlfn.IFNA(VLOOKUP($C105,'Master sheet'!$A:$AR,44,FALSE),"")&amp;""</f>
        <v/>
      </c>
      <c r="P105" s="685"/>
      <c r="Q105" s="240" t="str">
        <f t="shared" ref="Q105:Q110" si="44">D$1</f>
        <v>ROOF</v>
      </c>
      <c r="R105" s="852" t="s">
        <v>92</v>
      </c>
      <c r="S105" s="664" t="s">
        <v>7257</v>
      </c>
      <c r="T105" s="665"/>
      <c r="U105" s="664"/>
      <c r="V105" s="664"/>
      <c r="W105" s="664"/>
      <c r="X105" s="664"/>
      <c r="Y105" s="664"/>
      <c r="Z105" s="664"/>
      <c r="AA105" s="638"/>
    </row>
    <row r="106" spans="1:27" ht="22.8" x14ac:dyDescent="0.3">
      <c r="A106" s="1542"/>
      <c r="B106" s="1542"/>
      <c r="C106" s="669" t="str">
        <f>INDEX('Master sheet'!$A$1:$A$670,MATCH("248-2",'Master sheet'!$AN$1:$AN$670,0))</f>
        <v xml:space="preserve">Wood - SPF / Canadian Wood Council / Alberta / </v>
      </c>
      <c r="D106" s="15">
        <f>'USER INPUT SHEET'!$D$37</f>
        <v>0</v>
      </c>
      <c r="E106" s="16" t="str">
        <f>'USER INPUT SHEET'!$F$37</f>
        <v>m2</v>
      </c>
      <c r="F106" s="3">
        <v>1</v>
      </c>
      <c r="G106" s="670"/>
      <c r="H106" s="8"/>
      <c r="I106" s="88">
        <f t="shared" si="42"/>
        <v>0</v>
      </c>
      <c r="J106" s="93" t="str">
        <f t="shared" si="43"/>
        <v/>
      </c>
      <c r="K106" s="406">
        <f>$D106*$F106*IF($E$96=16,3.5/16,3.5/24)*VLOOKUP($C106,'Master sheet'!$A:$AL,13,FALSE)*0.01905</f>
        <v>0</v>
      </c>
      <c r="L106" s="94">
        <f>$D106*$F106*IF($E$96=16,3.5/16,3.5/24)*VLOOKUP($C106,'Master sheet'!$A:$AL,27,FALSE)*0.01905</f>
        <v>0</v>
      </c>
      <c r="M106" s="1552"/>
      <c r="N106" s="1552"/>
      <c r="O106" s="25" t="str">
        <f>_xlfn.IFNA(VLOOKUP($C106,'Master sheet'!$A:$AR,44,FALSE),"")&amp;""</f>
        <v/>
      </c>
      <c r="P106" s="685"/>
      <c r="Q106" s="240" t="str">
        <f t="shared" si="44"/>
        <v>ROOF</v>
      </c>
      <c r="R106" s="852" t="s">
        <v>92</v>
      </c>
      <c r="S106" s="664" t="s">
        <v>7257</v>
      </c>
      <c r="T106" s="665"/>
      <c r="U106" s="664"/>
      <c r="V106" s="664"/>
      <c r="W106" s="664"/>
      <c r="X106" s="664"/>
      <c r="Y106" s="664"/>
      <c r="Z106" s="664"/>
      <c r="AA106" s="664"/>
    </row>
    <row r="107" spans="1:27" ht="22.8" x14ac:dyDescent="0.3">
      <c r="A107" s="1542"/>
      <c r="B107" s="1542"/>
      <c r="C107" s="669" t="str">
        <f>INDEX('Master sheet'!$A$1:$A$670,MATCH("248-3",'Master sheet'!$AN$1:$AN$670,0))</f>
        <v xml:space="preserve">Wood - SPF / Canadian Wood Council / Ontario / </v>
      </c>
      <c r="D107" s="15">
        <f>'USER INPUT SHEET'!$D$37</f>
        <v>0</v>
      </c>
      <c r="E107" s="16" t="str">
        <f>'USER INPUT SHEET'!$F$37</f>
        <v>m2</v>
      </c>
      <c r="F107" s="3">
        <v>1</v>
      </c>
      <c r="G107" s="670"/>
      <c r="H107" s="8"/>
      <c r="I107" s="88">
        <f t="shared" si="42"/>
        <v>0</v>
      </c>
      <c r="J107" s="93" t="str">
        <f t="shared" si="43"/>
        <v/>
      </c>
      <c r="K107" s="406">
        <f>$D107*$F107*IF($E$96=16,3.5/16,3.5/24)*VLOOKUP($C107,'Master sheet'!$A:$AL,13,FALSE)*0.01905</f>
        <v>0</v>
      </c>
      <c r="L107" s="94">
        <f>$D107*$F107*IF($E$96=16,3.5/16,3.5/24)*VLOOKUP($C107,'Master sheet'!$A:$AL,27,FALSE)*0.01905</f>
        <v>0</v>
      </c>
      <c r="M107" s="1552"/>
      <c r="N107" s="1552"/>
      <c r="O107" s="25" t="str">
        <f>_xlfn.IFNA(VLOOKUP($C107,'Master sheet'!$A:$AR,44,FALSE),"")&amp;""</f>
        <v/>
      </c>
      <c r="P107" s="685"/>
      <c r="Q107" s="240" t="str">
        <f t="shared" si="44"/>
        <v>ROOF</v>
      </c>
      <c r="R107" s="852" t="s">
        <v>92</v>
      </c>
      <c r="S107" s="664" t="s">
        <v>7257</v>
      </c>
      <c r="T107" s="665"/>
      <c r="U107" s="664"/>
      <c r="V107" s="664"/>
      <c r="W107" s="664"/>
      <c r="X107" s="664"/>
      <c r="Y107" s="664"/>
      <c r="Z107" s="664"/>
      <c r="AA107" s="664"/>
    </row>
    <row r="108" spans="1:27" ht="22.8" x14ac:dyDescent="0.3">
      <c r="A108" s="1542"/>
      <c r="B108" s="1542"/>
      <c r="C108" s="669" t="str">
        <f>INDEX('Master sheet'!$A$1:$A$670,MATCH("248-4",'Master sheet'!$AN$1:$AN$670,0))</f>
        <v xml:space="preserve">Wood - SPF / Canadian Wood Council / Quebec / </v>
      </c>
      <c r="D108" s="15">
        <f>'USER INPUT SHEET'!$D$37</f>
        <v>0</v>
      </c>
      <c r="E108" s="16" t="str">
        <f>'USER INPUT SHEET'!$F$37</f>
        <v>m2</v>
      </c>
      <c r="F108" s="3">
        <v>1</v>
      </c>
      <c r="G108" s="670"/>
      <c r="H108" s="8"/>
      <c r="I108" s="88">
        <f t="shared" si="42"/>
        <v>0</v>
      </c>
      <c r="J108" s="93" t="str">
        <f t="shared" si="43"/>
        <v/>
      </c>
      <c r="K108" s="406">
        <f>$D108*$F108*IF($E$96=16,3.5/16,3.5/24)*VLOOKUP($C108,'Master sheet'!$A:$AL,13,FALSE)*0.01905</f>
        <v>0</v>
      </c>
      <c r="L108" s="94">
        <f>$D108*$F108*IF($E$96=16,3.5/16,3.5/24)*VLOOKUP($C108,'Master sheet'!$A:$AL,27,FALSE)*0.01905</f>
        <v>0</v>
      </c>
      <c r="M108" s="1552"/>
      <c r="N108" s="1552"/>
      <c r="O108" s="25" t="str">
        <f>_xlfn.IFNA(VLOOKUP($C108,'Master sheet'!$A:$AR,44,FALSE),"")&amp;""</f>
        <v/>
      </c>
      <c r="P108" s="685"/>
      <c r="Q108" s="240" t="str">
        <f t="shared" si="44"/>
        <v>ROOF</v>
      </c>
      <c r="R108" s="852" t="s">
        <v>92</v>
      </c>
      <c r="S108" s="664" t="s">
        <v>7257</v>
      </c>
      <c r="T108" s="665"/>
      <c r="U108" s="664"/>
      <c r="V108" s="664"/>
      <c r="W108" s="664"/>
      <c r="X108" s="664"/>
      <c r="Y108" s="664"/>
      <c r="Z108" s="664"/>
      <c r="AA108" s="638"/>
    </row>
    <row r="109" spans="1:27" ht="22.8" x14ac:dyDescent="0.3">
      <c r="A109" s="1542"/>
      <c r="B109" s="1542"/>
      <c r="C109" s="669" t="str">
        <f>INDEX('Master sheet'!$A$1:$A$670,MATCH("248-5",'Master sheet'!$AN$1:$AN$670,0))</f>
        <v xml:space="preserve">Wood - SPF / Canadian Wood Council / New Brunswick / </v>
      </c>
      <c r="D109" s="15">
        <f>'USER INPUT SHEET'!$D$37</f>
        <v>0</v>
      </c>
      <c r="E109" s="16" t="str">
        <f>'USER INPUT SHEET'!$F$37</f>
        <v>m2</v>
      </c>
      <c r="F109" s="3">
        <v>1</v>
      </c>
      <c r="G109" s="670"/>
      <c r="H109" s="8"/>
      <c r="I109" s="88">
        <f t="shared" si="42"/>
        <v>0</v>
      </c>
      <c r="J109" s="93" t="str">
        <f t="shared" si="43"/>
        <v/>
      </c>
      <c r="K109" s="406">
        <f>$D109*$F109*IF($E$96=16,3.5/16,3.5/24)*VLOOKUP($C109,'Master sheet'!$A:$AL,13,FALSE)*0.01905</f>
        <v>0</v>
      </c>
      <c r="L109" s="94">
        <f>$D109*$F109*IF($E$96=16,3.5/16,3.5/24)*VLOOKUP($C109,'Master sheet'!$A:$AL,27,FALSE)*0.01905</f>
        <v>0</v>
      </c>
      <c r="M109" s="1552"/>
      <c r="N109" s="1552"/>
      <c r="O109" s="25" t="str">
        <f>_xlfn.IFNA(VLOOKUP($C109,'Master sheet'!$A:$AR,44,FALSE),"")&amp;""</f>
        <v/>
      </c>
      <c r="P109" s="685"/>
      <c r="Q109" s="240" t="str">
        <f t="shared" si="44"/>
        <v>ROOF</v>
      </c>
      <c r="R109" s="852" t="s">
        <v>92</v>
      </c>
      <c r="S109" s="664" t="s">
        <v>7257</v>
      </c>
      <c r="T109" s="665"/>
      <c r="U109" s="664"/>
      <c r="V109" s="664"/>
      <c r="W109" s="664"/>
      <c r="X109" s="664"/>
      <c r="Y109" s="664"/>
      <c r="Z109" s="664"/>
      <c r="AA109" s="664"/>
    </row>
    <row r="110" spans="1:27" ht="22.8" x14ac:dyDescent="0.3">
      <c r="A110" s="1542"/>
      <c r="B110" s="1542"/>
      <c r="C110" s="669" t="str">
        <f>INDEX('Master sheet'!$A$1:$A$670,MATCH("248-6",'Master sheet'!$AN$1:$AN$670,0))</f>
        <v xml:space="preserve">Wood - SPF / Canadian Wood Council / Atlantic Canada / </v>
      </c>
      <c r="D110" s="15">
        <f>'USER INPUT SHEET'!$D$37</f>
        <v>0</v>
      </c>
      <c r="E110" s="16" t="str">
        <f>'USER INPUT SHEET'!$F$37</f>
        <v>m2</v>
      </c>
      <c r="F110" s="3">
        <v>1</v>
      </c>
      <c r="G110" s="670"/>
      <c r="H110" s="8"/>
      <c r="I110" s="88">
        <f t="shared" si="42"/>
        <v>0</v>
      </c>
      <c r="J110" s="93" t="str">
        <f t="shared" si="43"/>
        <v/>
      </c>
      <c r="K110" s="406">
        <f>$D110*$F110*IF($E$96=16,3.5/16,3.5/24)*VLOOKUP($C110,'Master sheet'!$A:$AL,13,FALSE)*0.01905</f>
        <v>0</v>
      </c>
      <c r="L110" s="94">
        <f>$D110*$F110*IF($E$96=16,3.5/16,3.5/24)*VLOOKUP($C110,'Master sheet'!$A:$AL,27,FALSE)*0.01905</f>
        <v>0</v>
      </c>
      <c r="M110" s="1562"/>
      <c r="N110" s="1562"/>
      <c r="O110" s="25" t="str">
        <f>_xlfn.IFNA(VLOOKUP($C110,'Master sheet'!$A:$AR,44,FALSE),"")&amp;""</f>
        <v/>
      </c>
      <c r="P110" s="685"/>
      <c r="Q110" s="240" t="str">
        <f t="shared" si="44"/>
        <v>ROOF</v>
      </c>
      <c r="R110" s="852" t="s">
        <v>92</v>
      </c>
      <c r="S110" s="664" t="s">
        <v>7257</v>
      </c>
      <c r="T110" s="665"/>
      <c r="U110" s="664"/>
      <c r="V110" s="664"/>
      <c r="W110" s="664"/>
      <c r="X110" s="664"/>
      <c r="Y110" s="664"/>
      <c r="Z110" s="664"/>
      <c r="AA110" s="638"/>
    </row>
    <row r="111" spans="1:27" s="624" customFormat="1" ht="21" customHeight="1" x14ac:dyDescent="0.25">
      <c r="A111" s="639"/>
      <c r="B111" s="1524" t="s">
        <v>6853</v>
      </c>
      <c r="C111" s="1523"/>
      <c r="D111" s="640"/>
      <c r="E111" s="641"/>
      <c r="F111" s="334"/>
      <c r="G111" s="678"/>
      <c r="H111" s="639"/>
      <c r="I111" s="733"/>
      <c r="J111" s="733"/>
      <c r="K111" s="698"/>
      <c r="L111" s="736"/>
      <c r="M111" s="736"/>
      <c r="N111" s="736"/>
      <c r="O111" s="25" t="str">
        <f>_xlfn.IFNA(VLOOKUP($C111,'Master sheet'!$A:$AR,44,FALSE),"")&amp;""</f>
        <v/>
      </c>
      <c r="P111" s="637"/>
      <c r="Q111" s="722"/>
      <c r="R111" s="722"/>
      <c r="S111" s="623"/>
      <c r="T111" s="638"/>
      <c r="U111" s="638"/>
      <c r="V111" s="638"/>
      <c r="W111" s="638"/>
      <c r="X111" s="638"/>
      <c r="Y111" s="638"/>
      <c r="Z111" s="638"/>
      <c r="AA111" s="638"/>
    </row>
    <row r="112" spans="1:27" ht="22.8" x14ac:dyDescent="0.3">
      <c r="A112" s="1542"/>
      <c r="B112" s="1542"/>
      <c r="C112" s="669" t="str">
        <f>INDEX('Master sheet'!$A$1:$A$670,MATCH("248-1",'Master sheet'!$AN$1:$AN$670,0))</f>
        <v xml:space="preserve">Wood - SPF / Canadian Wood Council / British Columbia / </v>
      </c>
      <c r="D112" s="17">
        <f>'USER INPUT SHEET'!$D$37</f>
        <v>0</v>
      </c>
      <c r="E112" s="18" t="str">
        <f>'USER INPUT SHEET'!$F$37</f>
        <v>m2</v>
      </c>
      <c r="F112" s="4">
        <v>1</v>
      </c>
      <c r="G112" s="674"/>
      <c r="H112" s="9"/>
      <c r="I112" s="88">
        <f t="shared" ref="I112:I117" si="45">K112-L112-IF(N112,M112,0)</f>
        <v>0</v>
      </c>
      <c r="J112" s="96" t="str">
        <f t="shared" ref="J112:J117" si="46">IF(H112=1,I112,"")</f>
        <v/>
      </c>
      <c r="K112" s="407">
        <f>$D112*$F112*IF($E$96=16,3.5/16,3.5/24)*VLOOKUP($C112,'Master sheet'!$A:$AL,13,FALSE)*0.0381</f>
        <v>0</v>
      </c>
      <c r="L112" s="97">
        <f>$D112*$F112*IF($E$96=16,3.5/16,3.5/24)*VLOOKUP($C112,'Master sheet'!$A:$AL,27,FALSE)*0.0381</f>
        <v>0</v>
      </c>
      <c r="M112" s="1562"/>
      <c r="N112" s="1562"/>
      <c r="O112" s="25" t="str">
        <f>_xlfn.IFNA(VLOOKUP($C112,'Master sheet'!$A:$AR,44,FALSE),"")&amp;""</f>
        <v/>
      </c>
      <c r="P112" s="637"/>
      <c r="Q112" s="241" t="str">
        <f t="shared" ref="Q112:Q117" si="47">D$1</f>
        <v>ROOF</v>
      </c>
      <c r="R112" s="843" t="s">
        <v>92</v>
      </c>
      <c r="S112" s="638" t="s">
        <v>7250</v>
      </c>
      <c r="T112" s="638"/>
      <c r="U112" s="664"/>
      <c r="V112" s="664"/>
      <c r="W112" s="664"/>
      <c r="X112" s="664"/>
      <c r="Y112" s="664"/>
      <c r="Z112" s="664"/>
      <c r="AA112" s="638"/>
    </row>
    <row r="113" spans="1:27" ht="22.8" x14ac:dyDescent="0.3">
      <c r="A113" s="1542"/>
      <c r="B113" s="1542"/>
      <c r="C113" s="669" t="str">
        <f>INDEX('Master sheet'!$A$1:$A$670,MATCH("248-2",'Master sheet'!$AN$1:$AN$670,0))</f>
        <v xml:space="preserve">Wood - SPF / Canadian Wood Council / Alberta / </v>
      </c>
      <c r="D113" s="17">
        <f>'USER INPUT SHEET'!$D$37</f>
        <v>0</v>
      </c>
      <c r="E113" s="18" t="str">
        <f>'USER INPUT SHEET'!$F$37</f>
        <v>m2</v>
      </c>
      <c r="F113" s="4">
        <v>1</v>
      </c>
      <c r="G113" s="674"/>
      <c r="H113" s="9"/>
      <c r="I113" s="88">
        <f t="shared" si="45"/>
        <v>0</v>
      </c>
      <c r="J113" s="96" t="str">
        <f t="shared" si="46"/>
        <v/>
      </c>
      <c r="K113" s="407">
        <f>$D113*$F113*IF($E$96=16,3.5/16,3.5/24)*VLOOKUP($C113,'Master sheet'!$A:$AL,13,FALSE)*0.0381</f>
        <v>0</v>
      </c>
      <c r="L113" s="97">
        <f>$D113*$F113*IF($E$96=16,3.5/16,3.5/24)*VLOOKUP($C113,'Master sheet'!$A:$AL,27,FALSE)*0.0381</f>
        <v>0</v>
      </c>
      <c r="M113" s="1552"/>
      <c r="N113" s="1552"/>
      <c r="O113" s="25" t="str">
        <f>_xlfn.IFNA(VLOOKUP($C113,'Master sheet'!$A:$AR,44,FALSE),"")&amp;""</f>
        <v/>
      </c>
      <c r="P113" s="637"/>
      <c r="Q113" s="241" t="str">
        <f t="shared" si="47"/>
        <v>ROOF</v>
      </c>
      <c r="R113" s="843" t="s">
        <v>92</v>
      </c>
      <c r="S113" s="638" t="s">
        <v>7250</v>
      </c>
      <c r="T113" s="638"/>
      <c r="U113" s="664"/>
      <c r="V113" s="664"/>
      <c r="W113" s="664"/>
      <c r="X113" s="664"/>
      <c r="Y113" s="664"/>
      <c r="Z113" s="664"/>
      <c r="AA113" s="638"/>
    </row>
    <row r="114" spans="1:27" ht="22.8" x14ac:dyDescent="0.3">
      <c r="A114" s="1542"/>
      <c r="B114" s="1542"/>
      <c r="C114" s="669" t="str">
        <f>INDEX('Master sheet'!$A$1:$A$670,MATCH("248-3",'Master sheet'!$AN$1:$AN$670,0))</f>
        <v xml:space="preserve">Wood - SPF / Canadian Wood Council / Ontario / </v>
      </c>
      <c r="D114" s="17">
        <f>'USER INPUT SHEET'!$D$37</f>
        <v>0</v>
      </c>
      <c r="E114" s="18" t="str">
        <f>'USER INPUT SHEET'!$F$37</f>
        <v>m2</v>
      </c>
      <c r="F114" s="4">
        <v>1</v>
      </c>
      <c r="G114" s="674"/>
      <c r="H114" s="9"/>
      <c r="I114" s="88">
        <f t="shared" si="45"/>
        <v>0</v>
      </c>
      <c r="J114" s="96" t="str">
        <f t="shared" si="46"/>
        <v/>
      </c>
      <c r="K114" s="407">
        <f>$D114*$F114*IF($E$96=16,3.5/16,3.5/24)*VLOOKUP($C114,'Master sheet'!$A:$AL,13,FALSE)*0.0381</f>
        <v>0</v>
      </c>
      <c r="L114" s="97">
        <f>$D114*$F114*IF($E$96=16,3.5/16,3.5/24)*VLOOKUP($C114,'Master sheet'!$A:$AL,27,FALSE)*0.0381</f>
        <v>0</v>
      </c>
      <c r="M114" s="1552"/>
      <c r="N114" s="1552"/>
      <c r="O114" s="25" t="str">
        <f>_xlfn.IFNA(VLOOKUP($C114,'Master sheet'!$A:$AR,44,FALSE),"")&amp;""</f>
        <v/>
      </c>
      <c r="P114" s="637"/>
      <c r="Q114" s="241" t="str">
        <f t="shared" si="47"/>
        <v>ROOF</v>
      </c>
      <c r="R114" s="843" t="s">
        <v>92</v>
      </c>
      <c r="S114" s="638" t="s">
        <v>7250</v>
      </c>
      <c r="T114" s="638"/>
      <c r="U114" s="664"/>
      <c r="V114" s="664"/>
      <c r="W114" s="664"/>
      <c r="X114" s="664"/>
      <c r="Y114" s="664"/>
      <c r="Z114" s="664"/>
      <c r="AA114" s="638"/>
    </row>
    <row r="115" spans="1:27" ht="22.8" x14ac:dyDescent="0.3">
      <c r="A115" s="1542"/>
      <c r="B115" s="1542"/>
      <c r="C115" s="669" t="str">
        <f>INDEX('Master sheet'!$A$1:$A$670,MATCH("248-4",'Master sheet'!$AN$1:$AN$670,0))</f>
        <v xml:space="preserve">Wood - SPF / Canadian Wood Council / Quebec / </v>
      </c>
      <c r="D115" s="17">
        <f>'USER INPUT SHEET'!$D$37</f>
        <v>0</v>
      </c>
      <c r="E115" s="18" t="str">
        <f>'USER INPUT SHEET'!$F$37</f>
        <v>m2</v>
      </c>
      <c r="F115" s="4">
        <v>1</v>
      </c>
      <c r="G115" s="674"/>
      <c r="H115" s="9"/>
      <c r="I115" s="88">
        <f t="shared" si="45"/>
        <v>0</v>
      </c>
      <c r="J115" s="96" t="str">
        <f t="shared" si="46"/>
        <v/>
      </c>
      <c r="K115" s="407">
        <f>$D115*$F115*IF($E$96=16,3.5/16,3.5/24)*VLOOKUP($C115,'Master sheet'!$A:$AL,13,FALSE)*0.0381</f>
        <v>0</v>
      </c>
      <c r="L115" s="97">
        <f>$D115*$F115*IF($E$96=16,3.5/16,3.5/24)*VLOOKUP($C115,'Master sheet'!$A:$AL,27,FALSE)*0.0381</f>
        <v>0</v>
      </c>
      <c r="M115" s="1552"/>
      <c r="N115" s="1552"/>
      <c r="O115" s="25" t="str">
        <f>_xlfn.IFNA(VLOOKUP($C115,'Master sheet'!$A:$AR,44,FALSE),"")&amp;""</f>
        <v/>
      </c>
      <c r="P115" s="637"/>
      <c r="Q115" s="241" t="str">
        <f t="shared" si="47"/>
        <v>ROOF</v>
      </c>
      <c r="R115" s="843" t="s">
        <v>92</v>
      </c>
      <c r="S115" s="638" t="s">
        <v>7250</v>
      </c>
      <c r="T115" s="638"/>
      <c r="U115" s="664"/>
      <c r="V115" s="664"/>
      <c r="W115" s="664"/>
      <c r="X115" s="664"/>
      <c r="Y115" s="664"/>
      <c r="Z115" s="664"/>
      <c r="AA115" s="638"/>
    </row>
    <row r="116" spans="1:27" ht="22.8" x14ac:dyDescent="0.3">
      <c r="A116" s="1542"/>
      <c r="B116" s="1542"/>
      <c r="C116" s="669" t="str">
        <f>INDEX('Master sheet'!$A$1:$A$670,MATCH("248-5",'Master sheet'!$AN$1:$AN$670,0))</f>
        <v xml:space="preserve">Wood - SPF / Canadian Wood Council / New Brunswick / </v>
      </c>
      <c r="D116" s="17">
        <f>'USER INPUT SHEET'!$D$37</f>
        <v>0</v>
      </c>
      <c r="E116" s="18" t="str">
        <f>'USER INPUT SHEET'!$F$37</f>
        <v>m2</v>
      </c>
      <c r="F116" s="4">
        <v>1</v>
      </c>
      <c r="G116" s="674"/>
      <c r="H116" s="9"/>
      <c r="I116" s="88">
        <f t="shared" si="45"/>
        <v>0</v>
      </c>
      <c r="J116" s="96" t="str">
        <f t="shared" si="46"/>
        <v/>
      </c>
      <c r="K116" s="407">
        <f>$D116*$F116*IF($E$96=16,3.5/16,3.5/24)*VLOOKUP($C116,'Master sheet'!$A:$AL,13,FALSE)*0.0381</f>
        <v>0</v>
      </c>
      <c r="L116" s="97">
        <f>$D116*$F116*IF($E$96=16,3.5/16,3.5/24)*VLOOKUP($C116,'Master sheet'!$A:$AL,27,FALSE)*0.0381</f>
        <v>0</v>
      </c>
      <c r="M116" s="1552"/>
      <c r="N116" s="1552"/>
      <c r="O116" s="25" t="str">
        <f>_xlfn.IFNA(VLOOKUP($C116,'Master sheet'!$A:$AR,44,FALSE),"")&amp;""</f>
        <v/>
      </c>
      <c r="P116" s="637"/>
      <c r="Q116" s="241" t="str">
        <f t="shared" si="47"/>
        <v>ROOF</v>
      </c>
      <c r="R116" s="843" t="s">
        <v>92</v>
      </c>
      <c r="S116" s="638" t="s">
        <v>7250</v>
      </c>
      <c r="T116" s="638"/>
      <c r="U116" s="664"/>
      <c r="V116" s="664"/>
      <c r="W116" s="664"/>
      <c r="X116" s="664"/>
      <c r="Y116" s="664"/>
      <c r="Z116" s="664"/>
      <c r="AA116" s="638"/>
    </row>
    <row r="117" spans="1:27" ht="22.8" x14ac:dyDescent="0.3">
      <c r="A117" s="1542"/>
      <c r="B117" s="1542"/>
      <c r="C117" s="669" t="str">
        <f>INDEX('Master sheet'!$A$1:$A$670,MATCH("248-6",'Master sheet'!$AN$1:$AN$670,0))</f>
        <v xml:space="preserve">Wood - SPF / Canadian Wood Council / Atlantic Canada / </v>
      </c>
      <c r="D117" s="17">
        <f>'USER INPUT SHEET'!$D$37</f>
        <v>0</v>
      </c>
      <c r="E117" s="18" t="str">
        <f>'USER INPUT SHEET'!$F$37</f>
        <v>m2</v>
      </c>
      <c r="F117" s="4">
        <v>1</v>
      </c>
      <c r="G117" s="674"/>
      <c r="H117" s="9"/>
      <c r="I117" s="88">
        <f t="shared" si="45"/>
        <v>0</v>
      </c>
      <c r="J117" s="96" t="str">
        <f t="shared" si="46"/>
        <v/>
      </c>
      <c r="K117" s="407">
        <f>$D117*$F117*IF($E$96=16,3.5/16,3.5/24)*VLOOKUP($C117,'Master sheet'!$A:$AL,13,FALSE)*0.0381</f>
        <v>0</v>
      </c>
      <c r="L117" s="97">
        <f>$D117*$F117*IF($E$96=16,3.5/16,3.5/24)*VLOOKUP($C117,'Master sheet'!$A:$AL,27,FALSE)*0.0381</f>
        <v>0</v>
      </c>
      <c r="M117" s="1552"/>
      <c r="N117" s="1552"/>
      <c r="O117" s="25" t="str">
        <f>_xlfn.IFNA(VLOOKUP($C117,'Master sheet'!$A:$AR,44,FALSE),"")&amp;""</f>
        <v/>
      </c>
      <c r="P117" s="637"/>
      <c r="Q117" s="241" t="str">
        <f t="shared" si="47"/>
        <v>ROOF</v>
      </c>
      <c r="R117" s="843" t="s">
        <v>92</v>
      </c>
      <c r="S117" s="638" t="s">
        <v>7250</v>
      </c>
      <c r="T117" s="638"/>
      <c r="U117" s="664"/>
      <c r="V117" s="664"/>
      <c r="W117" s="664"/>
      <c r="X117" s="664"/>
      <c r="Y117" s="664"/>
      <c r="Z117" s="664"/>
      <c r="AA117" s="664"/>
    </row>
    <row r="118" spans="1:27" s="624" customFormat="1" ht="54.75" customHeight="1" x14ac:dyDescent="0.3">
      <c r="A118" s="1522" t="s">
        <v>93</v>
      </c>
      <c r="B118" s="1523"/>
      <c r="C118" s="1523"/>
      <c r="D118" s="649"/>
      <c r="E118" s="650"/>
      <c r="F118" s="321"/>
      <c r="G118" s="650"/>
      <c r="H118" s="650"/>
      <c r="I118" s="651"/>
      <c r="J118" s="651"/>
      <c r="K118" s="652"/>
      <c r="L118" s="759"/>
      <c r="M118" s="759"/>
      <c r="N118" s="759"/>
      <c r="O118" s="25" t="str">
        <f>_xlfn.IFNA(VLOOKUP($C118,'Master sheet'!$A:$AR,44,FALSE),"")&amp;""</f>
        <v/>
      </c>
      <c r="P118" s="637"/>
      <c r="Q118" s="843"/>
      <c r="R118" s="843"/>
      <c r="S118" s="638"/>
      <c r="T118" s="638"/>
      <c r="U118" s="638"/>
      <c r="V118" s="638"/>
      <c r="W118" s="638"/>
      <c r="X118" s="638"/>
      <c r="Y118" s="638"/>
      <c r="Z118" s="638"/>
      <c r="AA118" s="638"/>
    </row>
    <row r="119" spans="1:27" ht="22.8" x14ac:dyDescent="0.3">
      <c r="A119" s="686"/>
      <c r="B119" s="1541" t="s">
        <v>963</v>
      </c>
      <c r="C119" s="1530"/>
      <c r="D119" s="656"/>
      <c r="E119" s="657"/>
      <c r="F119" s="339"/>
      <c r="G119" s="724"/>
      <c r="H119" s="763"/>
      <c r="I119" s="658"/>
      <c r="J119" s="659"/>
      <c r="K119" s="660"/>
      <c r="L119" s="661"/>
      <c r="M119" s="677"/>
      <c r="N119" s="677"/>
      <c r="O119" s="25" t="str">
        <f>_xlfn.IFNA(VLOOKUP($C119,'Master sheet'!$A:$AR,44,FALSE),"")&amp;""</f>
        <v/>
      </c>
      <c r="P119" s="685"/>
      <c r="S119" s="664"/>
      <c r="T119" s="664"/>
      <c r="U119" s="664"/>
      <c r="V119" s="664"/>
      <c r="W119" s="664"/>
      <c r="X119" s="664"/>
      <c r="Y119" s="664"/>
      <c r="Z119" s="664"/>
      <c r="AA119" s="638"/>
    </row>
    <row r="120" spans="1:27" ht="22.8" x14ac:dyDescent="0.3">
      <c r="A120" s="729"/>
      <c r="B120" s="729"/>
      <c r="C120" s="691" t="s">
        <v>1081</v>
      </c>
      <c r="D120" s="19">
        <f>'USER INPUT SHEET'!$D$37</f>
        <v>0</v>
      </c>
      <c r="E120" s="20" t="str">
        <f>'USER INPUT SHEET'!$F$37</f>
        <v>m2</v>
      </c>
      <c r="F120" s="6">
        <v>1</v>
      </c>
      <c r="G120" s="692"/>
      <c r="H120" s="10"/>
      <c r="I120" s="98">
        <f>K120-L120</f>
        <v>0</v>
      </c>
      <c r="J120" s="91" t="str">
        <f>IF(H120=1,I120,"")</f>
        <v/>
      </c>
      <c r="K120" s="410">
        <f>F120*AVERAGE(K121:K133)</f>
        <v>0</v>
      </c>
      <c r="L120" s="99">
        <f>F120*AVERAGE(L121:L133)</f>
        <v>0</v>
      </c>
      <c r="M120" s="1552"/>
      <c r="N120" s="1552"/>
      <c r="O120" s="25" t="str">
        <f>_xlfn.IFNA(VLOOKUP($C120,'Master sheet'!$A:$AR,44,FALSE),"")&amp;""</f>
        <v/>
      </c>
      <c r="P120" s="685"/>
      <c r="Q120" s="240" t="str">
        <f t="shared" ref="Q120:Q125" si="48">D$1</f>
        <v>ROOF</v>
      </c>
      <c r="R120" s="852" t="s">
        <v>93</v>
      </c>
      <c r="S120" s="664"/>
      <c r="T120" s="664"/>
      <c r="U120" s="664"/>
      <c r="V120" s="664"/>
      <c r="W120" s="664"/>
      <c r="X120" s="664"/>
      <c r="Y120" s="664"/>
      <c r="Z120" s="664"/>
      <c r="AA120" s="664"/>
    </row>
    <row r="121" spans="1:27" ht="23.25" customHeight="1" x14ac:dyDescent="0.3">
      <c r="A121" s="1600"/>
      <c r="B121" s="1600"/>
      <c r="C121" s="669" t="str">
        <f>INDEX('Master sheet'!$A$1:$A$670,MATCH(14,'Master sheet'!$AN$1:$AN$670,0))</f>
        <v xml:space="preserve">Asphalt Shingles / Owens Corning / Duration / </v>
      </c>
      <c r="D121" s="15">
        <f>'USER INPUT SHEET'!$D$37</f>
        <v>0</v>
      </c>
      <c r="E121" s="16" t="str">
        <f>'USER INPUT SHEET'!$F$37</f>
        <v>m2</v>
      </c>
      <c r="F121" s="3">
        <v>1</v>
      </c>
      <c r="G121" s="670"/>
      <c r="H121" s="8"/>
      <c r="I121" s="92">
        <f t="shared" ref="I121:I141" si="49">K121-L121</f>
        <v>0</v>
      </c>
      <c r="J121" s="93" t="str">
        <f t="shared" ref="J121:J141" si="50">IF(H121=1,I121,"")</f>
        <v/>
      </c>
      <c r="K121" s="406">
        <f>$D121*$F121*VLOOKUP($C121,'Master sheet'!$A:$AL,13,FALSE)</f>
        <v>0</v>
      </c>
      <c r="L121" s="94">
        <f>$D121*$F121*VLOOKUP($C121,'Master sheet'!$A:$AL,27,FALSE)</f>
        <v>0</v>
      </c>
      <c r="M121" s="1552"/>
      <c r="N121" s="1552"/>
      <c r="O121" s="25" t="str">
        <f ca="1">_xlfn.IFNA(VLOOKUP($C121,'Master sheet'!$A:$AR,44,FALSE),"")&amp;""</f>
        <v>Expired 2025</v>
      </c>
      <c r="P121" s="685"/>
      <c r="Q121" s="240" t="str">
        <f t="shared" si="48"/>
        <v>ROOF</v>
      </c>
      <c r="R121" s="852" t="s">
        <v>93</v>
      </c>
      <c r="S121" s="664"/>
      <c r="T121" s="664"/>
      <c r="U121" s="664"/>
      <c r="V121" s="664"/>
      <c r="W121" s="664"/>
      <c r="X121" s="664"/>
      <c r="Y121" s="664"/>
      <c r="Z121" s="664"/>
      <c r="AA121" s="638"/>
    </row>
    <row r="122" spans="1:27" ht="23.25" customHeight="1" x14ac:dyDescent="0.3">
      <c r="A122" s="1600"/>
      <c r="B122" s="1600"/>
      <c r="C122" s="669" t="str">
        <f>INDEX('Master sheet'!$A$1:$A$670,MATCH(15,'Master sheet'!$AN$1:$AN$670,0))</f>
        <v xml:space="preserve">Asphalt Shingles / Owens Corning / Oakridge / </v>
      </c>
      <c r="D122" s="15">
        <f>'USER INPUT SHEET'!$D$37</f>
        <v>0</v>
      </c>
      <c r="E122" s="16" t="str">
        <f>'USER INPUT SHEET'!$F$37</f>
        <v>m2</v>
      </c>
      <c r="F122" s="3">
        <v>1</v>
      </c>
      <c r="G122" s="670"/>
      <c r="H122" s="8"/>
      <c r="I122" s="92">
        <f>K122-L122</f>
        <v>0</v>
      </c>
      <c r="J122" s="93" t="str">
        <f>IF(H122=1,I122,"")</f>
        <v/>
      </c>
      <c r="K122" s="406">
        <f>$D122*$F122*VLOOKUP($C122,'Master sheet'!$A:$AL,13,FALSE)</f>
        <v>0</v>
      </c>
      <c r="L122" s="94">
        <f>$D122*$F122*VLOOKUP($C122,'Master sheet'!$A:$AL,27,FALSE)</f>
        <v>0</v>
      </c>
      <c r="M122" s="1552"/>
      <c r="N122" s="1552"/>
      <c r="O122" s="25" t="str">
        <f ca="1">_xlfn.IFNA(VLOOKUP($C122,'Master sheet'!$A:$AR,44,FALSE),"")&amp;""</f>
        <v>Expired 2025</v>
      </c>
      <c r="P122" s="685"/>
      <c r="Q122" s="240" t="str">
        <f t="shared" si="48"/>
        <v>ROOF</v>
      </c>
      <c r="R122" s="852" t="s">
        <v>93</v>
      </c>
      <c r="S122" s="664"/>
      <c r="T122" s="664"/>
      <c r="U122" s="664"/>
      <c r="V122" s="664"/>
      <c r="W122" s="664"/>
      <c r="X122" s="664"/>
      <c r="Y122" s="664"/>
      <c r="Z122" s="664"/>
      <c r="AA122" s="638"/>
    </row>
    <row r="123" spans="1:27" ht="23.25" customHeight="1" x14ac:dyDescent="0.3">
      <c r="A123" s="1600"/>
      <c r="B123" s="1600"/>
      <c r="C123" s="669" t="str">
        <f>INDEX('Master sheet'!$A$1:$A$670,MATCH(16,'Master sheet'!$AN$1:$AN$670,0))</f>
        <v xml:space="preserve">Asphalt Shingles / Owens Corning / Supreme / </v>
      </c>
      <c r="D123" s="15">
        <f>'USER INPUT SHEET'!$D$37</f>
        <v>0</v>
      </c>
      <c r="E123" s="16" t="str">
        <f>'USER INPUT SHEET'!$F$37</f>
        <v>m2</v>
      </c>
      <c r="F123" s="3">
        <v>1</v>
      </c>
      <c r="G123" s="670"/>
      <c r="H123" s="8"/>
      <c r="I123" s="92">
        <f t="shared" si="49"/>
        <v>0</v>
      </c>
      <c r="J123" s="93" t="str">
        <f t="shared" si="50"/>
        <v/>
      </c>
      <c r="K123" s="406">
        <f>$D123*$F123*VLOOKUP($C123,'Master sheet'!$A:$AL,13,FALSE)</f>
        <v>0</v>
      </c>
      <c r="L123" s="94">
        <f>$D123*$F123*VLOOKUP($C123,'Master sheet'!$A:$AL,27,FALSE)</f>
        <v>0</v>
      </c>
      <c r="M123" s="1552"/>
      <c r="N123" s="1552"/>
      <c r="O123" s="25" t="str">
        <f ca="1">_xlfn.IFNA(VLOOKUP($C123,'Master sheet'!$A:$AR,44,FALSE),"")&amp;""</f>
        <v>Expired 2025</v>
      </c>
      <c r="P123" s="685"/>
      <c r="Q123" s="240" t="str">
        <f t="shared" si="48"/>
        <v>ROOF</v>
      </c>
      <c r="R123" s="852" t="s">
        <v>93</v>
      </c>
      <c r="S123" s="664"/>
      <c r="T123" s="664"/>
      <c r="U123" s="664"/>
      <c r="V123" s="664"/>
      <c r="W123" s="664"/>
      <c r="X123" s="664"/>
      <c r="Y123" s="664"/>
      <c r="Z123" s="664"/>
      <c r="AA123" s="664"/>
    </row>
    <row r="124" spans="1:27" ht="23.25" customHeight="1" x14ac:dyDescent="0.3">
      <c r="A124" s="1600"/>
      <c r="B124" s="1600"/>
      <c r="C124" s="673" t="str">
        <f>INDEX('Master sheet'!$A$1:$A$670,MATCH(13,'Master sheet'!$AN$1:$AN$670,0))</f>
        <v>Asphalt Shingles / GAF / Timberline / Timberline</v>
      </c>
      <c r="D124" s="15">
        <f>'USER INPUT SHEET'!$D$37</f>
        <v>0</v>
      </c>
      <c r="E124" s="16" t="str">
        <f>'USER INPUT SHEET'!$F$37</f>
        <v>m2</v>
      </c>
      <c r="F124" s="3">
        <v>1</v>
      </c>
      <c r="G124" s="670"/>
      <c r="H124" s="8"/>
      <c r="I124" s="92">
        <f t="shared" ref="I124" si="51">K124-L124</f>
        <v>0</v>
      </c>
      <c r="J124" s="93" t="str">
        <f t="shared" ref="J124" si="52">IF(H124=1,I124,"")</f>
        <v/>
      </c>
      <c r="K124" s="406">
        <f>$D124*$F124*VLOOKUP($C124,'Master sheet'!$A:$AL,13,FALSE)</f>
        <v>0</v>
      </c>
      <c r="L124" s="94">
        <f>$D124*$F124*VLOOKUP($C124,'Master sheet'!$A:$AL,27,FALSE)</f>
        <v>0</v>
      </c>
      <c r="M124" s="1552"/>
      <c r="N124" s="1552"/>
      <c r="O124" s="25" t="str">
        <f ca="1">_xlfn.IFNA(VLOOKUP($C124,'Master sheet'!$A:$AR,44,FALSE),"")&amp;""</f>
        <v>Expired 2025</v>
      </c>
      <c r="P124" s="685"/>
      <c r="Q124" s="240" t="str">
        <f t="shared" ref="Q124" si="53">D$1</f>
        <v>ROOF</v>
      </c>
      <c r="R124" s="852" t="s">
        <v>93</v>
      </c>
      <c r="S124" s="664"/>
      <c r="T124" s="664"/>
      <c r="U124" s="664"/>
      <c r="V124" s="664"/>
      <c r="W124" s="664"/>
      <c r="X124" s="664"/>
      <c r="Y124" s="664"/>
      <c r="Z124" s="664"/>
      <c r="AA124" s="664"/>
    </row>
    <row r="125" spans="1:27" s="624" customFormat="1" ht="23.25" customHeight="1" x14ac:dyDescent="0.3">
      <c r="A125" s="1600"/>
      <c r="B125" s="1600"/>
      <c r="C125" s="673" t="str">
        <f>INDEX('Master sheet'!$A$1:$A$670,MATCH(380,'Master sheet'!$AN$1:$AN$670,0))</f>
        <v xml:space="preserve">Asphalt Shingles / GAF / Timberline Cool Series / </v>
      </c>
      <c r="D125" s="17">
        <f>'USER INPUT SHEET'!$D$37</f>
        <v>0</v>
      </c>
      <c r="E125" s="18" t="str">
        <f>'USER INPUT SHEET'!$F$37</f>
        <v>m2</v>
      </c>
      <c r="F125" s="4">
        <v>1</v>
      </c>
      <c r="G125" s="674"/>
      <c r="H125" s="9"/>
      <c r="I125" s="95">
        <f t="shared" si="49"/>
        <v>0</v>
      </c>
      <c r="J125" s="96" t="str">
        <f t="shared" si="50"/>
        <v/>
      </c>
      <c r="K125" s="407">
        <f>$D125*$F125*VLOOKUP($C125,'Master sheet'!$A:$AL,13,FALSE)</f>
        <v>0</v>
      </c>
      <c r="L125" s="97">
        <f>$D125*$F125*VLOOKUP($C125,'Master sheet'!$A:$AL,27,FALSE)</f>
        <v>0</v>
      </c>
      <c r="M125" s="1552"/>
      <c r="N125" s="1552"/>
      <c r="O125" s="25" t="str">
        <f ca="1">_xlfn.IFNA(VLOOKUP($C125,'Master sheet'!$A:$AR,44,FALSE),"")&amp;""</f>
        <v>Expired 2025</v>
      </c>
      <c r="P125" s="637"/>
      <c r="Q125" s="241" t="str">
        <f t="shared" si="48"/>
        <v>ROOF</v>
      </c>
      <c r="R125" s="843" t="s">
        <v>93</v>
      </c>
      <c r="S125" s="638"/>
      <c r="T125" s="638"/>
      <c r="U125" s="638"/>
      <c r="V125" s="638"/>
      <c r="W125" s="638"/>
      <c r="X125" s="638"/>
      <c r="Y125" s="638"/>
      <c r="Z125" s="638"/>
      <c r="AA125" s="664"/>
    </row>
    <row r="126" spans="1:27" s="624" customFormat="1" ht="31.2" x14ac:dyDescent="0.3">
      <c r="A126" s="1600"/>
      <c r="B126" s="1600"/>
      <c r="C126" s="673" t="str">
        <f>INDEX('Master sheet'!$A$1:$A$670,MATCH("A1",'Master sheet'!$AN$1:$AN$670,0))</f>
        <v xml:space="preserve">Asphalt Shingles / Asphalt Roofing Manufacturers Association / Fiberglass Asphalt Shingles  / </v>
      </c>
      <c r="D126" s="17">
        <f>'USER INPUT SHEET'!$D$37</f>
        <v>0</v>
      </c>
      <c r="E126" s="18" t="str">
        <f>'USER INPUT SHEET'!$F$37</f>
        <v>m2</v>
      </c>
      <c r="F126" s="4">
        <v>1</v>
      </c>
      <c r="G126" s="674"/>
      <c r="H126" s="9"/>
      <c r="I126" s="95">
        <f t="shared" si="49"/>
        <v>0</v>
      </c>
      <c r="J126" s="96" t="str">
        <f t="shared" si="50"/>
        <v/>
      </c>
      <c r="K126" s="407">
        <f>$D126*$F126*VLOOKUP($C126,'Master sheet'!$A:$AL,13,FALSE)</f>
        <v>0</v>
      </c>
      <c r="L126" s="97">
        <f>$D126*$F126*VLOOKUP($C126,'Master sheet'!$A:$AL,27,FALSE)</f>
        <v>0</v>
      </c>
      <c r="M126" s="1552"/>
      <c r="N126" s="1552"/>
      <c r="O126" s="25" t="str">
        <f>_xlfn.IFNA(VLOOKUP($C126,'Master sheet'!$A:$AR,44,FALSE),"")&amp;""</f>
        <v/>
      </c>
      <c r="P126" s="637"/>
      <c r="Q126" s="241" t="str">
        <f t="shared" ref="Q126:Q133" si="54">D$1</f>
        <v>ROOF</v>
      </c>
      <c r="R126" s="843" t="s">
        <v>93</v>
      </c>
      <c r="S126" s="638"/>
      <c r="T126" s="638"/>
      <c r="U126" s="638"/>
      <c r="V126" s="638"/>
      <c r="W126" s="638"/>
      <c r="X126" s="638"/>
      <c r="Y126" s="638"/>
      <c r="Z126" s="638"/>
      <c r="AA126" s="638"/>
    </row>
    <row r="127" spans="1:27" s="624" customFormat="1" ht="23.25" customHeight="1" x14ac:dyDescent="0.3">
      <c r="A127" s="1600"/>
      <c r="B127" s="1600"/>
      <c r="C127" s="673" t="str">
        <f>INDEX('Master sheet'!$A$1:$A$670,MATCH("A4",'Master sheet'!$AN$1:$AN$670,0))</f>
        <v xml:space="preserve">Asphalt Shingles / Malarkey Roofing / Dura-Seal / </v>
      </c>
      <c r="D127" s="17">
        <f>'USER INPUT SHEET'!$D$37</f>
        <v>0</v>
      </c>
      <c r="E127" s="18" t="str">
        <f>'USER INPUT SHEET'!$F$37</f>
        <v>m2</v>
      </c>
      <c r="F127" s="4">
        <v>1</v>
      </c>
      <c r="G127" s="674"/>
      <c r="H127" s="9"/>
      <c r="I127" s="95">
        <f t="shared" si="49"/>
        <v>0</v>
      </c>
      <c r="J127" s="96" t="str">
        <f t="shared" si="50"/>
        <v/>
      </c>
      <c r="K127" s="407">
        <f>$D127*$F127*VLOOKUP($C127,'Master sheet'!$A:$AL,13,FALSE)</f>
        <v>0</v>
      </c>
      <c r="L127" s="97">
        <f>$D127*$F127*VLOOKUP($C127,'Master sheet'!$A:$AL,27,FALSE)</f>
        <v>0</v>
      </c>
      <c r="M127" s="1552"/>
      <c r="N127" s="1552"/>
      <c r="O127" s="25" t="str">
        <f>_xlfn.IFNA(VLOOKUP($C127,'Master sheet'!$A:$AR,44,FALSE),"")&amp;""</f>
        <v/>
      </c>
      <c r="P127" s="637"/>
      <c r="Q127" s="241" t="str">
        <f t="shared" si="54"/>
        <v>ROOF</v>
      </c>
      <c r="R127" s="843" t="s">
        <v>93</v>
      </c>
      <c r="S127" s="638"/>
      <c r="T127" s="638"/>
      <c r="U127" s="638"/>
      <c r="V127" s="638"/>
      <c r="W127" s="638"/>
      <c r="X127" s="638"/>
      <c r="Y127" s="638"/>
      <c r="Z127" s="638"/>
      <c r="AA127" s="638"/>
    </row>
    <row r="128" spans="1:27" s="624" customFormat="1" ht="23.25" customHeight="1" x14ac:dyDescent="0.3">
      <c r="A128" s="1600"/>
      <c r="B128" s="1600"/>
      <c r="C128" s="673" t="str">
        <f>INDEX('Master sheet'!$A$1:$A$670,MATCH("A2",'Master sheet'!$AN$1:$AN$670,0))</f>
        <v xml:space="preserve">Asphalt Shingles / Malarkey Roofing / Ecoasis NEX / </v>
      </c>
      <c r="D128" s="17">
        <f>'USER INPUT SHEET'!$D$37</f>
        <v>0</v>
      </c>
      <c r="E128" s="18" t="str">
        <f>'USER INPUT SHEET'!$F$37</f>
        <v>m2</v>
      </c>
      <c r="F128" s="4">
        <v>1</v>
      </c>
      <c r="G128" s="674"/>
      <c r="H128" s="9"/>
      <c r="I128" s="95">
        <f t="shared" si="49"/>
        <v>0</v>
      </c>
      <c r="J128" s="96" t="str">
        <f t="shared" si="50"/>
        <v/>
      </c>
      <c r="K128" s="407">
        <f>$D128*$F128*VLOOKUP($C128,'Master sheet'!$A:$AL,13,FALSE)</f>
        <v>0</v>
      </c>
      <c r="L128" s="97">
        <f>$D128*$F128*VLOOKUP($C128,'Master sheet'!$A:$AL,27,FALSE)</f>
        <v>0</v>
      </c>
      <c r="M128" s="1552"/>
      <c r="N128" s="1552"/>
      <c r="O128" s="25" t="str">
        <f>_xlfn.IFNA(VLOOKUP($C128,'Master sheet'!$A:$AR,44,FALSE),"")&amp;""</f>
        <v/>
      </c>
      <c r="P128" s="637"/>
      <c r="Q128" s="241" t="str">
        <f t="shared" si="54"/>
        <v>ROOF</v>
      </c>
      <c r="R128" s="843" t="s">
        <v>93</v>
      </c>
      <c r="S128" s="638"/>
      <c r="T128" s="638"/>
      <c r="U128" s="638"/>
      <c r="V128" s="638"/>
      <c r="W128" s="638"/>
      <c r="X128" s="638"/>
      <c r="Y128" s="638"/>
      <c r="Z128" s="638"/>
      <c r="AA128" s="638"/>
    </row>
    <row r="129" spans="1:27" s="624" customFormat="1" ht="23.25" customHeight="1" x14ac:dyDescent="0.3">
      <c r="A129" s="1600"/>
      <c r="B129" s="1600"/>
      <c r="C129" s="673" t="str">
        <f>INDEX('Master sheet'!$A$1:$A$670,MATCH("A3",'Master sheet'!$AN$1:$AN$670,0))</f>
        <v xml:space="preserve">Asphalt Shingles / Malarkey Roofing / Ecoasis Premium / </v>
      </c>
      <c r="D129" s="17">
        <f>'USER INPUT SHEET'!$D$37</f>
        <v>0</v>
      </c>
      <c r="E129" s="18" t="str">
        <f>'USER INPUT SHEET'!$F$37</f>
        <v>m2</v>
      </c>
      <c r="F129" s="4">
        <v>1</v>
      </c>
      <c r="G129" s="674"/>
      <c r="H129" s="9"/>
      <c r="I129" s="95">
        <f t="shared" si="49"/>
        <v>0</v>
      </c>
      <c r="J129" s="96" t="str">
        <f t="shared" si="50"/>
        <v/>
      </c>
      <c r="K129" s="407">
        <f>$D129*$F129*VLOOKUP($C129,'Master sheet'!$A:$AL,13,FALSE)</f>
        <v>0</v>
      </c>
      <c r="L129" s="97">
        <f>$D129*$F129*VLOOKUP($C129,'Master sheet'!$A:$AL,27,FALSE)</f>
        <v>0</v>
      </c>
      <c r="M129" s="1552"/>
      <c r="N129" s="1552"/>
      <c r="O129" s="25" t="str">
        <f>_xlfn.IFNA(VLOOKUP($C129,'Master sheet'!$A:$AR,44,FALSE),"")&amp;""</f>
        <v/>
      </c>
      <c r="P129" s="637"/>
      <c r="Q129" s="241" t="str">
        <f t="shared" si="54"/>
        <v>ROOF</v>
      </c>
      <c r="R129" s="843" t="s">
        <v>93</v>
      </c>
      <c r="S129" s="638"/>
      <c r="T129" s="638"/>
      <c r="U129" s="638"/>
      <c r="V129" s="638"/>
      <c r="W129" s="638"/>
      <c r="X129" s="638"/>
      <c r="Y129" s="638"/>
      <c r="Z129" s="638"/>
      <c r="AA129" s="664"/>
    </row>
    <row r="130" spans="1:27" s="624" customFormat="1" ht="23.25" customHeight="1" x14ac:dyDescent="0.3">
      <c r="A130" s="1600"/>
      <c r="B130" s="1600"/>
      <c r="C130" s="673" t="str">
        <f>INDEX('Master sheet'!$A$1:$A$670,MATCH("A5",'Master sheet'!$AN$1:$AN$670,0))</f>
        <v xml:space="preserve">Asphalt Shingles / Malarkey Roofing / Highlander NEX / </v>
      </c>
      <c r="D130" s="17">
        <f>'USER INPUT SHEET'!$D$37</f>
        <v>0</v>
      </c>
      <c r="E130" s="18" t="str">
        <f>'USER INPUT SHEET'!$F$37</f>
        <v>m2</v>
      </c>
      <c r="F130" s="4">
        <v>1</v>
      </c>
      <c r="G130" s="674"/>
      <c r="H130" s="9"/>
      <c r="I130" s="95">
        <f t="shared" si="49"/>
        <v>0</v>
      </c>
      <c r="J130" s="96" t="str">
        <f t="shared" si="50"/>
        <v/>
      </c>
      <c r="K130" s="407">
        <f>$D130*$F130*VLOOKUP($C130,'Master sheet'!$A:$AL,13,FALSE)</f>
        <v>0</v>
      </c>
      <c r="L130" s="97">
        <f>$D130*$F130*VLOOKUP($C130,'Master sheet'!$A:$AL,27,FALSE)</f>
        <v>0</v>
      </c>
      <c r="M130" s="1552"/>
      <c r="N130" s="1552"/>
      <c r="O130" s="25" t="str">
        <f>_xlfn.IFNA(VLOOKUP($C130,'Master sheet'!$A:$AR,44,FALSE),"")&amp;""</f>
        <v/>
      </c>
      <c r="P130" s="637"/>
      <c r="Q130" s="241" t="str">
        <f t="shared" si="54"/>
        <v>ROOF</v>
      </c>
      <c r="R130" s="843" t="s">
        <v>93</v>
      </c>
      <c r="S130" s="638"/>
      <c r="T130" s="638"/>
      <c r="U130" s="638"/>
      <c r="V130" s="638"/>
      <c r="W130" s="638"/>
      <c r="X130" s="638"/>
      <c r="Y130" s="638"/>
      <c r="Z130" s="638"/>
      <c r="AA130" s="664"/>
    </row>
    <row r="131" spans="1:27" s="624" customFormat="1" ht="23.25" customHeight="1" x14ac:dyDescent="0.3">
      <c r="A131" s="1600"/>
      <c r="B131" s="1600"/>
      <c r="C131" s="673" t="str">
        <f>INDEX('Master sheet'!$A$1:$A$670,MATCH("A6",'Master sheet'!$AN$1:$AN$670,0))</f>
        <v xml:space="preserve">Asphalt Shingles / Malarkey Roofing / Legacy / </v>
      </c>
      <c r="D131" s="17">
        <f>'USER INPUT SHEET'!$D$37</f>
        <v>0</v>
      </c>
      <c r="E131" s="18" t="str">
        <f>'USER INPUT SHEET'!$F$37</f>
        <v>m2</v>
      </c>
      <c r="F131" s="4">
        <v>1</v>
      </c>
      <c r="G131" s="674"/>
      <c r="H131" s="9"/>
      <c r="I131" s="95">
        <f t="shared" si="49"/>
        <v>0</v>
      </c>
      <c r="J131" s="96" t="str">
        <f t="shared" si="50"/>
        <v/>
      </c>
      <c r="K131" s="407">
        <f>$D131*$F131*VLOOKUP($C131,'Master sheet'!$A:$AL,13,FALSE)</f>
        <v>0</v>
      </c>
      <c r="L131" s="97">
        <f>$D131*$F131*VLOOKUP($C131,'Master sheet'!$A:$AL,27,FALSE)</f>
        <v>0</v>
      </c>
      <c r="M131" s="1552"/>
      <c r="N131" s="1552"/>
      <c r="O131" s="25" t="str">
        <f>_xlfn.IFNA(VLOOKUP($C131,'Master sheet'!$A:$AR,44,FALSE),"")&amp;""</f>
        <v/>
      </c>
      <c r="P131" s="637"/>
      <c r="Q131" s="241" t="str">
        <f t="shared" si="54"/>
        <v>ROOF</v>
      </c>
      <c r="R131" s="843" t="s">
        <v>93</v>
      </c>
      <c r="S131" s="638"/>
      <c r="T131" s="638"/>
      <c r="U131" s="638"/>
      <c r="V131" s="638"/>
      <c r="W131" s="638"/>
      <c r="X131" s="638"/>
      <c r="Y131" s="638"/>
      <c r="Z131" s="638"/>
      <c r="AA131" s="664"/>
    </row>
    <row r="132" spans="1:27" s="624" customFormat="1" ht="23.25" customHeight="1" x14ac:dyDescent="0.3">
      <c r="A132" s="1600"/>
      <c r="B132" s="1600"/>
      <c r="C132" s="673" t="str">
        <f>INDEX('Master sheet'!$A$1:$A$670,MATCH("A7",'Master sheet'!$AN$1:$AN$670,0))</f>
        <v xml:space="preserve">Asphalt Shingles / Malarkey Roofing / Vista / </v>
      </c>
      <c r="D132" s="17">
        <f>'USER INPUT SHEET'!$D$37</f>
        <v>0</v>
      </c>
      <c r="E132" s="18" t="str">
        <f>'USER INPUT SHEET'!$F$37</f>
        <v>m2</v>
      </c>
      <c r="F132" s="4">
        <v>1</v>
      </c>
      <c r="G132" s="674"/>
      <c r="H132" s="9"/>
      <c r="I132" s="95">
        <f t="shared" si="49"/>
        <v>0</v>
      </c>
      <c r="J132" s="96" t="str">
        <f t="shared" si="50"/>
        <v/>
      </c>
      <c r="K132" s="407">
        <f>$D132*$F132*VLOOKUP($C132,'Master sheet'!$A:$AL,13,FALSE)</f>
        <v>0</v>
      </c>
      <c r="L132" s="97">
        <f>$D132*$F132*VLOOKUP($C132,'Master sheet'!$A:$AL,27,FALSE)</f>
        <v>0</v>
      </c>
      <c r="M132" s="1552"/>
      <c r="N132" s="1552"/>
      <c r="O132" s="25" t="str">
        <f>_xlfn.IFNA(VLOOKUP($C132,'Master sheet'!$A:$AR,44,FALSE),"")&amp;""</f>
        <v/>
      </c>
      <c r="P132" s="637"/>
      <c r="Q132" s="241" t="str">
        <f t="shared" si="54"/>
        <v>ROOF</v>
      </c>
      <c r="R132" s="843" t="s">
        <v>93</v>
      </c>
      <c r="S132" s="638"/>
      <c r="T132" s="638"/>
      <c r="U132" s="638"/>
      <c r="V132" s="638"/>
      <c r="W132" s="638"/>
      <c r="X132" s="638"/>
      <c r="Y132" s="638"/>
      <c r="Z132" s="638"/>
      <c r="AA132" s="664"/>
    </row>
    <row r="133" spans="1:27" s="624" customFormat="1" ht="23.25" customHeight="1" x14ac:dyDescent="0.3">
      <c r="A133" s="1600"/>
      <c r="B133" s="1600"/>
      <c r="C133" s="673" t="str">
        <f>INDEX('Master sheet'!$A$1:$A$670,MATCH("A8",'Master sheet'!$AN$1:$AN$670,0))</f>
        <v xml:space="preserve">Asphalt Shingles / Malarkey Roofing / Windsor / </v>
      </c>
      <c r="D133" s="17">
        <f>'USER INPUT SHEET'!$D$37</f>
        <v>0</v>
      </c>
      <c r="E133" s="18" t="str">
        <f>'USER INPUT SHEET'!$F$37</f>
        <v>m2</v>
      </c>
      <c r="F133" s="4">
        <v>1</v>
      </c>
      <c r="G133" s="674"/>
      <c r="H133" s="9"/>
      <c r="I133" s="95">
        <f t="shared" ref="I133" si="55">K133-L133</f>
        <v>0</v>
      </c>
      <c r="J133" s="96" t="str">
        <f t="shared" ref="J133" si="56">IF(H133=1,I133,"")</f>
        <v/>
      </c>
      <c r="K133" s="407">
        <f>$D133*$F133*VLOOKUP($C133,'Master sheet'!$A:$AL,13,FALSE)</f>
        <v>0</v>
      </c>
      <c r="L133" s="97">
        <f>$D133*$F133*VLOOKUP($C133,'Master sheet'!$A:$AL,27,FALSE)</f>
        <v>0</v>
      </c>
      <c r="M133" s="1610"/>
      <c r="N133" s="1610"/>
      <c r="O133" s="25" t="str">
        <f>_xlfn.IFNA(VLOOKUP($C133,'Master sheet'!$A:$AR,44,FALSE),"")&amp;""</f>
        <v/>
      </c>
      <c r="P133" s="637"/>
      <c r="Q133" s="241" t="str">
        <f t="shared" si="54"/>
        <v>ROOF</v>
      </c>
      <c r="R133" s="843" t="s">
        <v>93</v>
      </c>
      <c r="S133" s="638"/>
      <c r="T133" s="638"/>
      <c r="U133" s="638"/>
      <c r="V133" s="638"/>
      <c r="W133" s="638"/>
      <c r="X133" s="638"/>
      <c r="Y133" s="638"/>
      <c r="Z133" s="638"/>
      <c r="AA133" s="638"/>
    </row>
    <row r="134" spans="1:27" s="624" customFormat="1" ht="22.8" x14ac:dyDescent="0.3">
      <c r="A134" s="639"/>
      <c r="B134" s="1524" t="s">
        <v>1082</v>
      </c>
      <c r="C134" s="1523"/>
      <c r="D134" s="640"/>
      <c r="E134" s="641"/>
      <c r="F134" s="325"/>
      <c r="G134" s="678"/>
      <c r="H134" s="679"/>
      <c r="I134" s="642"/>
      <c r="J134" s="643"/>
      <c r="K134" s="676"/>
      <c r="L134" s="677"/>
      <c r="M134" s="677"/>
      <c r="N134" s="677"/>
      <c r="O134" s="25" t="str">
        <f>_xlfn.IFNA(VLOOKUP($C134,'Master sheet'!$A:$AR,44,FALSE),"")&amp;""</f>
        <v/>
      </c>
      <c r="P134" s="637"/>
      <c r="Q134" s="843"/>
      <c r="R134" s="843"/>
      <c r="S134" s="638"/>
      <c r="T134" s="638"/>
      <c r="U134" s="638"/>
      <c r="V134" s="638"/>
      <c r="W134" s="638"/>
      <c r="X134" s="638"/>
      <c r="Y134" s="638"/>
      <c r="Z134" s="638"/>
      <c r="AA134" s="664"/>
    </row>
    <row r="135" spans="1:27" ht="23.25" customHeight="1" x14ac:dyDescent="0.3">
      <c r="A135" s="619"/>
      <c r="B135" s="619"/>
      <c r="C135" s="669" t="str">
        <f>INDEX('Master sheet'!$A$1:$A$670,MATCH(144,'Master sheet'!$AN$1:$AN$670,0))</f>
        <v>Metal Panels - Steel / Metal Construction Assn. / 24 gauge</v>
      </c>
      <c r="D135" s="15">
        <f>'USER INPUT SHEET'!$D$37</f>
        <v>0</v>
      </c>
      <c r="E135" s="16" t="str">
        <f>'USER INPUT SHEET'!$F$37</f>
        <v>m2</v>
      </c>
      <c r="F135" s="3">
        <v>1</v>
      </c>
      <c r="G135" s="670"/>
      <c r="H135" s="8"/>
      <c r="I135" s="92">
        <f>K135-L135</f>
        <v>0</v>
      </c>
      <c r="J135" s="93" t="str">
        <f>IF(H135=1,I135,"")</f>
        <v/>
      </c>
      <c r="K135" s="406">
        <f>$D135*$F135*VLOOKUP($C135,'Master sheet'!$A:$AL,13,FALSE)</f>
        <v>0</v>
      </c>
      <c r="L135" s="94">
        <f>$D135*$F135*VLOOKUP($C135,'Master sheet'!$A:$AL,27,FALSE)</f>
        <v>0</v>
      </c>
      <c r="M135" s="1610"/>
      <c r="N135" s="1610"/>
      <c r="O135" s="25" t="str">
        <f ca="1">_xlfn.IFNA(VLOOKUP($C135,'Master sheet'!$A:$AR,44,FALSE),"")&amp;""</f>
        <v>Expired 2025</v>
      </c>
      <c r="P135" s="685"/>
      <c r="Q135" s="240" t="str">
        <f t="shared" ref="Q135" si="57">D$1</f>
        <v>ROOF</v>
      </c>
      <c r="R135" s="852" t="s">
        <v>93</v>
      </c>
      <c r="S135" s="664"/>
      <c r="T135" s="664"/>
      <c r="U135" s="664"/>
      <c r="V135" s="664"/>
      <c r="W135" s="664"/>
      <c r="X135" s="664"/>
      <c r="Y135" s="664"/>
      <c r="Z135" s="664"/>
      <c r="AA135" s="638"/>
    </row>
    <row r="136" spans="1:27" s="624" customFormat="1" ht="22.8" x14ac:dyDescent="0.3">
      <c r="A136" s="639"/>
      <c r="B136" s="1524" t="s">
        <v>1083</v>
      </c>
      <c r="C136" s="1523"/>
      <c r="D136" s="640"/>
      <c r="E136" s="641"/>
      <c r="F136" s="325"/>
      <c r="G136" s="678"/>
      <c r="H136" s="679"/>
      <c r="I136" s="642"/>
      <c r="J136" s="643"/>
      <c r="K136" s="676"/>
      <c r="L136" s="677"/>
      <c r="M136" s="677"/>
      <c r="N136" s="677"/>
      <c r="O136" s="25" t="str">
        <f>_xlfn.IFNA(VLOOKUP($C136,'Master sheet'!$A:$AR,44,FALSE),"")&amp;""</f>
        <v/>
      </c>
      <c r="P136" s="637"/>
      <c r="Q136" s="843"/>
      <c r="R136" s="843"/>
      <c r="S136" s="638"/>
      <c r="T136" s="638"/>
      <c r="U136" s="638"/>
      <c r="V136" s="638"/>
      <c r="W136" s="638"/>
      <c r="X136" s="638"/>
      <c r="Y136" s="638"/>
      <c r="Z136" s="638"/>
      <c r="AA136" s="638"/>
    </row>
    <row r="137" spans="1:27" ht="31.5" customHeight="1" x14ac:dyDescent="0.3">
      <c r="A137" s="1600"/>
      <c r="B137" s="1564"/>
      <c r="C137" s="669" t="str">
        <f>INDEX('Master sheet'!$A$1:$A$670,MATCH(138,'Master sheet'!$AN$1:$AN$670,0))</f>
        <v>Metal Panels - Aluminum / Metal Construction Assn. / 22 gauge / Includes: ATAS, DMI, Englert, Fabral,McElroy, Pac-Clad</v>
      </c>
      <c r="D137" s="15">
        <f>'USER INPUT SHEET'!$D$37</f>
        <v>0</v>
      </c>
      <c r="E137" s="16" t="str">
        <f>'USER INPUT SHEET'!$F$37</f>
        <v>m2</v>
      </c>
      <c r="F137" s="3">
        <v>1</v>
      </c>
      <c r="G137" s="670"/>
      <c r="H137" s="8"/>
      <c r="I137" s="92">
        <f t="shared" si="49"/>
        <v>0</v>
      </c>
      <c r="J137" s="93" t="str">
        <f t="shared" si="50"/>
        <v/>
      </c>
      <c r="K137" s="406">
        <f>$D137*$F137*VLOOKUP($C137,'Master sheet'!$A:$AL,13,FALSE)</f>
        <v>0</v>
      </c>
      <c r="L137" s="94">
        <f>$D137*$F137*VLOOKUP($C137,'Master sheet'!$A:$AL,27,FALSE)</f>
        <v>0</v>
      </c>
      <c r="M137" s="1610"/>
      <c r="N137" s="1610"/>
      <c r="O137" s="25" t="str">
        <f ca="1">_xlfn.IFNA(VLOOKUP($C137,'Master sheet'!$A:$AR,44,FALSE),"")&amp;""</f>
        <v/>
      </c>
      <c r="P137" s="685"/>
      <c r="Q137" s="240" t="str">
        <f>D$1</f>
        <v>ROOF</v>
      </c>
      <c r="R137" s="852" t="s">
        <v>93</v>
      </c>
      <c r="S137" s="664"/>
      <c r="T137" s="664"/>
      <c r="U137" s="664"/>
      <c r="V137" s="664"/>
      <c r="W137" s="664"/>
      <c r="X137" s="664"/>
      <c r="Y137" s="664"/>
      <c r="Z137" s="664"/>
      <c r="AA137" s="664"/>
    </row>
    <row r="138" spans="1:27" s="624" customFormat="1" ht="22.8" x14ac:dyDescent="0.3">
      <c r="A138" s="639"/>
      <c r="B138" s="1524" t="s">
        <v>964</v>
      </c>
      <c r="C138" s="1523"/>
      <c r="D138" s="640"/>
      <c r="E138" s="641"/>
      <c r="F138" s="325"/>
      <c r="G138" s="678"/>
      <c r="H138" s="679"/>
      <c r="I138" s="642"/>
      <c r="J138" s="643"/>
      <c r="K138" s="676"/>
      <c r="L138" s="677"/>
      <c r="M138" s="677"/>
      <c r="N138" s="677"/>
      <c r="O138" s="25" t="str">
        <f>_xlfn.IFNA(VLOOKUP($C138,'Master sheet'!$A:$AR,44,FALSE),"")&amp;""</f>
        <v/>
      </c>
      <c r="P138" s="637"/>
      <c r="Q138" s="843"/>
      <c r="R138" s="843"/>
      <c r="S138" s="638"/>
      <c r="T138" s="638"/>
      <c r="U138" s="638"/>
      <c r="V138" s="638"/>
      <c r="W138" s="638"/>
      <c r="X138" s="638"/>
      <c r="Y138" s="638"/>
      <c r="Z138" s="638"/>
      <c r="AA138" s="664"/>
    </row>
    <row r="139" spans="1:27" ht="22.8" x14ac:dyDescent="0.3">
      <c r="A139" s="729"/>
      <c r="B139" s="729"/>
      <c r="C139" s="691" t="s">
        <v>1086</v>
      </c>
      <c r="D139" s="19">
        <f>'USER INPUT SHEET'!$D$37</f>
        <v>0</v>
      </c>
      <c r="E139" s="20" t="str">
        <f>'USER INPUT SHEET'!$F$37</f>
        <v>m2</v>
      </c>
      <c r="F139" s="6">
        <v>1</v>
      </c>
      <c r="G139" s="692"/>
      <c r="H139" s="10"/>
      <c r="I139" s="98">
        <f>K139-L139</f>
        <v>0</v>
      </c>
      <c r="J139" s="91" t="str">
        <f>IF(H139=1,I139,"")</f>
        <v/>
      </c>
      <c r="K139" s="410">
        <f>F139*AVERAGE(K140:K141)</f>
        <v>0</v>
      </c>
      <c r="L139" s="99">
        <f>F139*AVERAGE(L140:L141)</f>
        <v>0</v>
      </c>
      <c r="M139" s="1552"/>
      <c r="N139" s="1552"/>
      <c r="O139" s="25" t="str">
        <f>_xlfn.IFNA(VLOOKUP($C139,'Master sheet'!$A:$AR,44,FALSE),"")&amp;""</f>
        <v/>
      </c>
      <c r="P139" s="685"/>
      <c r="Q139" s="240" t="str">
        <f>D$1</f>
        <v>ROOF</v>
      </c>
      <c r="R139" s="852" t="s">
        <v>93</v>
      </c>
      <c r="S139" s="664"/>
      <c r="T139" s="664"/>
      <c r="U139" s="664"/>
      <c r="V139" s="664"/>
      <c r="W139" s="664"/>
      <c r="X139" s="664"/>
      <c r="Y139" s="664"/>
      <c r="Z139" s="664"/>
      <c r="AA139" s="664"/>
    </row>
    <row r="140" spans="1:27" ht="23.25" customHeight="1" x14ac:dyDescent="0.3">
      <c r="A140" s="1600"/>
      <c r="B140" s="1564"/>
      <c r="C140" s="669" t="str">
        <f>INDEX('Master sheet'!$A$1:$A$670,MATCH(97,'Master sheet'!$AN$1:$AN$670,0))</f>
        <v>Fiber Cement roofing / Cembrit / Corrugated sheets / 6.5 mm</v>
      </c>
      <c r="D140" s="15">
        <f>'USER INPUT SHEET'!$D$37</f>
        <v>0</v>
      </c>
      <c r="E140" s="16" t="str">
        <f>'USER INPUT SHEET'!$F$37</f>
        <v>m2</v>
      </c>
      <c r="F140" s="3">
        <v>1</v>
      </c>
      <c r="G140" s="670"/>
      <c r="H140" s="8"/>
      <c r="I140" s="92">
        <f t="shared" si="49"/>
        <v>0</v>
      </c>
      <c r="J140" s="93" t="str">
        <f t="shared" si="50"/>
        <v/>
      </c>
      <c r="K140" s="406">
        <f>$D140*$F140*VLOOKUP($C140,'Master sheet'!$A:$AL,13,FALSE)</f>
        <v>0</v>
      </c>
      <c r="L140" s="94">
        <f>$D140*$F140*VLOOKUP($C140,'Master sheet'!$A:$AL,27,FALSE)</f>
        <v>0</v>
      </c>
      <c r="M140" s="1552"/>
      <c r="N140" s="1552"/>
      <c r="O140" s="25" t="str">
        <f ca="1">_xlfn.IFNA(VLOOKUP($C140,'Master sheet'!$A:$AR,44,FALSE),"")&amp;""</f>
        <v>Expired 2021</v>
      </c>
      <c r="P140" s="685"/>
      <c r="Q140" s="240" t="str">
        <f>D$1</f>
        <v>ROOF</v>
      </c>
      <c r="R140" s="852" t="s">
        <v>93</v>
      </c>
      <c r="S140" s="664"/>
      <c r="T140" s="664"/>
      <c r="U140" s="664"/>
      <c r="V140" s="664"/>
      <c r="W140" s="664"/>
      <c r="X140" s="664"/>
      <c r="Y140" s="664"/>
      <c r="Z140" s="664"/>
      <c r="AA140" s="664"/>
    </row>
    <row r="141" spans="1:27" ht="23.25" customHeight="1" x14ac:dyDescent="0.3">
      <c r="A141" s="1564"/>
      <c r="B141" s="1564"/>
      <c r="C141" s="669" t="str">
        <f>INDEX('Master sheet'!$A$1:$A$670,MATCH(98,'Master sheet'!$AN$1:$AN$670,0))</f>
        <v>Fiber Cement roofing / Cembrit / Slates / 4 mm</v>
      </c>
      <c r="D141" s="15">
        <f>'USER INPUT SHEET'!$D$37</f>
        <v>0</v>
      </c>
      <c r="E141" s="16" t="str">
        <f>'USER INPUT SHEET'!$F$37</f>
        <v>m2</v>
      </c>
      <c r="F141" s="3">
        <v>1</v>
      </c>
      <c r="G141" s="670"/>
      <c r="H141" s="8"/>
      <c r="I141" s="92">
        <f t="shared" si="49"/>
        <v>0</v>
      </c>
      <c r="J141" s="93" t="str">
        <f t="shared" si="50"/>
        <v/>
      </c>
      <c r="K141" s="406">
        <f>$D141*$F141*VLOOKUP($C141,'Master sheet'!$A:$AL,13,FALSE)</f>
        <v>0</v>
      </c>
      <c r="L141" s="94">
        <f>$D141*$F141*VLOOKUP($C141,'Master sheet'!$A:$AL,27,FALSE)</f>
        <v>0</v>
      </c>
      <c r="M141" s="1610"/>
      <c r="N141" s="1610"/>
      <c r="O141" s="25" t="str">
        <f ca="1">_xlfn.IFNA(VLOOKUP($C141,'Master sheet'!$A:$AR,44,FALSE),"")&amp;""</f>
        <v>Expired 2021</v>
      </c>
      <c r="P141" s="685"/>
      <c r="Q141" s="240" t="str">
        <f>D$1</f>
        <v>ROOF</v>
      </c>
      <c r="R141" s="852" t="s">
        <v>93</v>
      </c>
      <c r="S141" s="664"/>
      <c r="T141" s="664"/>
      <c r="U141" s="664"/>
      <c r="V141" s="664"/>
      <c r="W141" s="664"/>
      <c r="X141" s="664"/>
      <c r="Y141" s="664"/>
      <c r="Z141" s="664"/>
      <c r="AA141" s="638"/>
    </row>
    <row r="142" spans="1:27" s="624" customFormat="1" ht="22.8" x14ac:dyDescent="0.3">
      <c r="A142" s="639"/>
      <c r="B142" s="1524" t="s">
        <v>94</v>
      </c>
      <c r="C142" s="1523"/>
      <c r="D142" s="640"/>
      <c r="E142" s="641"/>
      <c r="F142" s="325"/>
      <c r="G142" s="678"/>
      <c r="H142" s="679"/>
      <c r="I142" s="642"/>
      <c r="J142" s="643"/>
      <c r="K142" s="676"/>
      <c r="L142" s="677"/>
      <c r="M142" s="677"/>
      <c r="N142" s="677"/>
      <c r="O142" s="25" t="str">
        <f>_xlfn.IFNA(VLOOKUP($C142,'Master sheet'!$A:$AR,44,FALSE),"")&amp;""</f>
        <v/>
      </c>
      <c r="P142" s="637"/>
      <c r="Q142" s="843"/>
      <c r="R142" s="843"/>
      <c r="S142" s="638"/>
      <c r="T142" s="638"/>
      <c r="U142" s="638"/>
      <c r="V142" s="638"/>
      <c r="W142" s="638"/>
      <c r="X142" s="638"/>
      <c r="Y142" s="638"/>
      <c r="Z142" s="638"/>
      <c r="AA142" s="638"/>
    </row>
    <row r="143" spans="1:27" s="624" customFormat="1" ht="23.25" customHeight="1" x14ac:dyDescent="0.3">
      <c r="A143" s="1602"/>
      <c r="B143" s="1602"/>
      <c r="C143" s="681" t="str">
        <f>INDEX('Master sheet'!$A$1:$A$670,MATCH(43,'Master sheet'!$AN$1:$AN$670,0))</f>
        <v xml:space="preserve">Clay roof tiles / HISPALYT /  / </v>
      </c>
      <c r="D143" s="22">
        <f>'USER INPUT SHEET'!$D$37</f>
        <v>0</v>
      </c>
      <c r="E143" s="23" t="str">
        <f>'USER INPUT SHEET'!$F$37</f>
        <v>m2</v>
      </c>
      <c r="F143" s="6">
        <v>1</v>
      </c>
      <c r="G143" s="682"/>
      <c r="H143" s="10"/>
      <c r="I143" s="100">
        <f>K143-L143</f>
        <v>0</v>
      </c>
      <c r="J143" s="101" t="str">
        <f>IF(H143=1,I143,"")</f>
        <v/>
      </c>
      <c r="K143" s="408">
        <f>$D143*$F143*VLOOKUP($C143,'Master sheet'!$A:$AL,13,FALSE)</f>
        <v>0</v>
      </c>
      <c r="L143" s="102">
        <f>$D143*$F143*VLOOKUP($C143,'Master sheet'!$A:$AL,27,FALSE)</f>
        <v>0</v>
      </c>
      <c r="M143" s="1552"/>
      <c r="N143" s="1552"/>
      <c r="O143" s="25" t="str">
        <f ca="1">_xlfn.IFNA(VLOOKUP($C143,'Master sheet'!$A:$AR,44,FALSE),"")&amp;""</f>
        <v>Expired 2022</v>
      </c>
      <c r="P143" s="637"/>
      <c r="Q143" s="241" t="str">
        <f>D$1</f>
        <v>ROOF</v>
      </c>
      <c r="R143" s="843" t="s">
        <v>93</v>
      </c>
      <c r="S143" s="638"/>
      <c r="T143" s="638"/>
      <c r="U143" s="638"/>
      <c r="V143" s="638"/>
      <c r="W143" s="638"/>
      <c r="X143" s="638"/>
      <c r="Y143" s="638"/>
      <c r="Z143" s="638"/>
      <c r="AA143" s="664"/>
    </row>
    <row r="144" spans="1:27" s="624" customFormat="1" ht="54.75" customHeight="1" x14ac:dyDescent="0.3">
      <c r="A144" s="1522" t="s">
        <v>1695</v>
      </c>
      <c r="B144" s="1523"/>
      <c r="C144" s="1523"/>
      <c r="D144" s="629" t="str">
        <f>IF(LOWER(Setting!rng_language)="english","R-VALUE:","VALEUR R :")</f>
        <v>R-VALUE:</v>
      </c>
      <c r="E144" s="1"/>
      <c r="F144" s="1637" t="s">
        <v>1547</v>
      </c>
      <c r="G144" s="1637"/>
      <c r="H144" s="1637"/>
      <c r="I144" s="759"/>
      <c r="J144" s="759"/>
      <c r="K144" s="1"/>
      <c r="L144" s="759"/>
      <c r="M144" s="759"/>
      <c r="N144" s="759"/>
      <c r="O144" s="25" t="str">
        <f>_xlfn.IFNA(VLOOKUP($C144,'Master sheet'!$A:$AR,44,FALSE),"")&amp;""</f>
        <v/>
      </c>
      <c r="P144" s="637"/>
      <c r="Q144" s="843"/>
      <c r="R144" s="843"/>
      <c r="S144" s="638"/>
      <c r="T144" s="638"/>
      <c r="U144" s="638"/>
      <c r="V144" s="638"/>
      <c r="W144" s="638"/>
      <c r="X144" s="638"/>
      <c r="Y144" s="638"/>
      <c r="Z144" s="638"/>
      <c r="AA144" s="664"/>
    </row>
    <row r="145" spans="1:27" s="624" customFormat="1" ht="22.8" x14ac:dyDescent="0.3">
      <c r="A145" s="639"/>
      <c r="B145" s="1524" t="s">
        <v>966</v>
      </c>
      <c r="C145" s="1523"/>
      <c r="D145" s="687" t="str">
        <f>IF(LOWER(Setting!rng_language)="english","R-VALUE:","VALEUR R :")</f>
        <v>R-VALUE:</v>
      </c>
      <c r="E145" s="1"/>
      <c r="F145" s="325"/>
      <c r="G145" s="678"/>
      <c r="H145" s="679"/>
      <c r="I145" s="642"/>
      <c r="J145" s="643"/>
      <c r="K145" s="676"/>
      <c r="L145" s="677"/>
      <c r="M145" s="677"/>
      <c r="N145" s="677"/>
      <c r="O145" s="25" t="str">
        <f>_xlfn.IFNA(VLOOKUP($C145,'Master sheet'!$A:$AR,44,FALSE),"")&amp;""</f>
        <v/>
      </c>
      <c r="P145" s="637"/>
      <c r="Q145" s="843"/>
      <c r="R145" s="843"/>
      <c r="S145" s="638"/>
      <c r="T145" s="638"/>
      <c r="U145" s="638"/>
      <c r="V145" s="638"/>
      <c r="W145" s="638"/>
      <c r="X145" s="638"/>
      <c r="Y145" s="638"/>
      <c r="Z145" s="638"/>
      <c r="AA145" s="638"/>
    </row>
    <row r="146" spans="1:27" ht="22.8" x14ac:dyDescent="0.3">
      <c r="A146" s="729"/>
      <c r="B146" s="729"/>
      <c r="C146" s="691" t="s">
        <v>1087</v>
      </c>
      <c r="D146" s="19">
        <f>IF(OR($I$144="Roof surface",$I$144="Surface de toit"), 'USER INPUT SHEET'!$D$37,'USER INPUT SHEET'!$D$38)</f>
        <v>0</v>
      </c>
      <c r="E146" s="20" t="str">
        <f>'USER INPUT SHEET'!$F$37</f>
        <v>m2</v>
      </c>
      <c r="F146" s="6">
        <v>1</v>
      </c>
      <c r="G146" s="692"/>
      <c r="H146" s="10"/>
      <c r="I146" s="98">
        <f>K146-L146</f>
        <v>0</v>
      </c>
      <c r="J146" s="91" t="str">
        <f>IF(H146=1,I146,"")</f>
        <v/>
      </c>
      <c r="K146" s="410">
        <f>F146*AVERAGE(K147:K149)</f>
        <v>0</v>
      </c>
      <c r="L146" s="99">
        <f>F146*AVERAGE(L147:L149)</f>
        <v>0</v>
      </c>
      <c r="M146" s="1552"/>
      <c r="N146" s="1552"/>
      <c r="O146" s="25" t="str">
        <f>_xlfn.IFNA(VLOOKUP($C146,'Master sheet'!$A:$AR,44,FALSE),"")&amp;""</f>
        <v/>
      </c>
      <c r="P146" s="685"/>
      <c r="Q146" s="240" t="str">
        <f>D$1</f>
        <v>ROOF</v>
      </c>
      <c r="R146" s="852" t="s">
        <v>95</v>
      </c>
      <c r="S146" s="664"/>
      <c r="T146" s="664"/>
      <c r="U146" s="664"/>
      <c r="V146" s="664"/>
      <c r="W146" s="664"/>
      <c r="X146" s="664"/>
      <c r="Y146" s="664"/>
      <c r="Z146" s="664"/>
      <c r="AA146" s="638"/>
    </row>
    <row r="147" spans="1:27" s="624" customFormat="1" ht="31.2" x14ac:dyDescent="0.3">
      <c r="A147" s="729"/>
      <c r="B147" s="729"/>
      <c r="C147" s="673" t="str">
        <f>INDEX('Master sheet'!$A$1:$A$670,MATCH("A36",'Master sheet'!$AN$1:$AN$670,0))</f>
        <v>Fiberglass batt / Johns Manville / Unfaced, ComfortTherm, Cavity-SHIELD, FSK-25 / R 3.4/inch</v>
      </c>
      <c r="D147" s="17">
        <f>$D$146</f>
        <v>0</v>
      </c>
      <c r="E147" s="18" t="str">
        <f>'USER INPUT SHEET'!$F$37</f>
        <v>m2</v>
      </c>
      <c r="F147" s="4">
        <v>1</v>
      </c>
      <c r="G147" s="674"/>
      <c r="H147" s="9"/>
      <c r="I147" s="95">
        <f t="shared" ref="I147:I148" si="58">K147-L147</f>
        <v>0</v>
      </c>
      <c r="J147" s="96" t="str">
        <f t="shared" ref="J147:J149" si="59">IF(H147=1,I147,"")</f>
        <v/>
      </c>
      <c r="K147" s="407">
        <f>$D147*($E$145/5.678)*$F147*VLOOKUP($C147,'Master sheet'!$A:$AL,13,FALSE)</f>
        <v>0</v>
      </c>
      <c r="L147" s="97">
        <f>$D147*($E$145/5.678)*$F147*VLOOKUP($C147,'Master sheet'!$A:$AL,27,FALSE)</f>
        <v>0</v>
      </c>
      <c r="M147" s="1552"/>
      <c r="N147" s="1552"/>
      <c r="O147" s="25" t="str">
        <f>_xlfn.IFNA(VLOOKUP($C147,'Master sheet'!$A:$AR,44,FALSE),"")&amp;""</f>
        <v/>
      </c>
      <c r="P147" s="685"/>
      <c r="Q147" s="240" t="str">
        <f t="shared" ref="Q147:Q149" si="60">D$1</f>
        <v>ROOF</v>
      </c>
      <c r="R147" s="852" t="s">
        <v>95</v>
      </c>
      <c r="S147" s="619"/>
      <c r="T147" s="638"/>
      <c r="U147" s="638"/>
      <c r="V147" s="638"/>
      <c r="W147" s="638"/>
      <c r="X147" s="638"/>
      <c r="Y147" s="638"/>
      <c r="Z147" s="638"/>
      <c r="AA147" s="638"/>
    </row>
    <row r="148" spans="1:27" s="624" customFormat="1" ht="23.25" customHeight="1" x14ac:dyDescent="0.3">
      <c r="A148" s="729"/>
      <c r="B148" s="729"/>
      <c r="C148" s="673" t="str">
        <f>INDEX('Master sheet'!$A$1:$A$670,MATCH("A37",'Master sheet'!$AN$1:$AN$670,0))</f>
        <v>Fiberglass batt / NAIMA  /  / R 4.4/inch</v>
      </c>
      <c r="D148" s="17">
        <f>$D$146</f>
        <v>0</v>
      </c>
      <c r="E148" s="18" t="str">
        <f>'USER INPUT SHEET'!$F$37</f>
        <v>m2</v>
      </c>
      <c r="F148" s="4">
        <v>1</v>
      </c>
      <c r="G148" s="674"/>
      <c r="H148" s="9"/>
      <c r="I148" s="95">
        <f t="shared" si="58"/>
        <v>0</v>
      </c>
      <c r="J148" s="96" t="str">
        <f t="shared" si="59"/>
        <v/>
      </c>
      <c r="K148" s="407">
        <f>$D148*($E$145/5.678)*$F148*VLOOKUP($C148,'Master sheet'!$A:$AL,13,FALSE)</f>
        <v>0</v>
      </c>
      <c r="L148" s="97">
        <f>$D148*($E$145/5.678)*$F148*VLOOKUP($C148,'Master sheet'!$A:$AL,27,FALSE)</f>
        <v>0</v>
      </c>
      <c r="M148" s="1552"/>
      <c r="N148" s="1552"/>
      <c r="O148" s="25" t="str">
        <f>_xlfn.IFNA(VLOOKUP($C148,'Master sheet'!$A:$AR,44,FALSE),"")&amp;""</f>
        <v/>
      </c>
      <c r="P148" s="685"/>
      <c r="Q148" s="240" t="str">
        <f t="shared" si="60"/>
        <v>ROOF</v>
      </c>
      <c r="R148" s="852" t="s">
        <v>95</v>
      </c>
      <c r="S148" s="619"/>
      <c r="T148" s="638"/>
      <c r="U148" s="638"/>
      <c r="V148" s="638"/>
      <c r="W148" s="638"/>
      <c r="X148" s="638"/>
      <c r="Y148" s="638"/>
      <c r="Z148" s="638"/>
      <c r="AA148" s="638"/>
    </row>
    <row r="149" spans="1:27" s="624" customFormat="1" ht="31.2" x14ac:dyDescent="0.3">
      <c r="A149" s="729"/>
      <c r="B149" s="729"/>
      <c r="C149" s="673" t="str">
        <f>INDEX('Master sheet'!$A$1:$A$670,MATCH("A38",'Master sheet'!$AN$1:$AN$670,0))</f>
        <v>Fiberglass batt &amp; roll  / Owens Corning /  Unfaced, PINK Next Gen Fiberglas / R 3.6/inch avg.</v>
      </c>
      <c r="D149" s="17">
        <f>$D$146</f>
        <v>0</v>
      </c>
      <c r="E149" s="18" t="str">
        <f>'USER INPUT SHEET'!$F$37</f>
        <v>m2</v>
      </c>
      <c r="F149" s="4">
        <v>1</v>
      </c>
      <c r="G149" s="674"/>
      <c r="H149" s="9"/>
      <c r="I149" s="95">
        <f>K149-L149</f>
        <v>0</v>
      </c>
      <c r="J149" s="96" t="str">
        <f t="shared" si="59"/>
        <v/>
      </c>
      <c r="K149" s="407">
        <f>$D149*($E$145/5.678)*$F149*VLOOKUP($C149,'Master sheet'!$A:$AL,13,FALSE)</f>
        <v>0</v>
      </c>
      <c r="L149" s="97">
        <f>$D149*($E$145/5.678)*$F149*VLOOKUP($C149,'Master sheet'!$A:$AL,27,FALSE)</f>
        <v>0</v>
      </c>
      <c r="M149" s="1610"/>
      <c r="N149" s="1610"/>
      <c r="O149" s="25" t="str">
        <f>_xlfn.IFNA(VLOOKUP($C149,'Master sheet'!$A:$AR,44,FALSE),"")&amp;""</f>
        <v/>
      </c>
      <c r="P149" s="685"/>
      <c r="Q149" s="240" t="str">
        <f t="shared" si="60"/>
        <v>ROOF</v>
      </c>
      <c r="R149" s="852" t="s">
        <v>95</v>
      </c>
      <c r="T149" s="638"/>
      <c r="U149" s="638"/>
      <c r="V149" s="638"/>
      <c r="W149" s="638"/>
      <c r="X149" s="638"/>
      <c r="Y149" s="638"/>
      <c r="Z149" s="638"/>
      <c r="AA149" s="638"/>
    </row>
    <row r="150" spans="1:27" s="624" customFormat="1" ht="22.8" x14ac:dyDescent="0.3">
      <c r="A150" s="639"/>
      <c r="B150" s="1524" t="s">
        <v>967</v>
      </c>
      <c r="C150" s="1523"/>
      <c r="D150" s="687" t="str">
        <f>IF(LOWER(Setting!rng_language)="english","R-VALUE:","VALEUR R :")</f>
        <v>R-VALUE:</v>
      </c>
      <c r="E150" s="1"/>
      <c r="F150" s="325"/>
      <c r="G150" s="678"/>
      <c r="H150" s="679"/>
      <c r="I150" s="642"/>
      <c r="J150" s="643"/>
      <c r="K150" s="676"/>
      <c r="L150" s="677"/>
      <c r="M150" s="677"/>
      <c r="N150" s="677"/>
      <c r="O150" s="25" t="str">
        <f>_xlfn.IFNA(VLOOKUP($C150,'Master sheet'!$A:$AR,44,FALSE),"")&amp;""</f>
        <v/>
      </c>
      <c r="P150" s="637"/>
      <c r="Q150" s="843"/>
      <c r="R150" s="843"/>
      <c r="S150" s="638"/>
      <c r="T150" s="638"/>
      <c r="U150" s="638"/>
      <c r="V150" s="638"/>
      <c r="W150" s="638"/>
      <c r="X150" s="638"/>
      <c r="Y150" s="638"/>
      <c r="Z150" s="638"/>
      <c r="AA150" s="638"/>
    </row>
    <row r="151" spans="1:27" ht="22.8" x14ac:dyDescent="0.3">
      <c r="A151" s="729"/>
      <c r="B151" s="729"/>
      <c r="C151" s="691" t="s">
        <v>1088</v>
      </c>
      <c r="D151" s="19">
        <f>$D$146</f>
        <v>0</v>
      </c>
      <c r="E151" s="20" t="str">
        <f>'USER INPUT SHEET'!$F$37</f>
        <v>m2</v>
      </c>
      <c r="F151" s="6">
        <v>1</v>
      </c>
      <c r="G151" s="692"/>
      <c r="H151" s="10"/>
      <c r="I151" s="98">
        <f>K151-L151</f>
        <v>0</v>
      </c>
      <c r="J151" s="91" t="str">
        <f>IF(H151=1,I151,"")</f>
        <v/>
      </c>
      <c r="K151" s="410">
        <f>F151*AVERAGE(K152:K155)</f>
        <v>0</v>
      </c>
      <c r="L151" s="99">
        <f>F151*AVERAGE(L152:L155)</f>
        <v>0</v>
      </c>
      <c r="M151" s="1552"/>
      <c r="N151" s="1552"/>
      <c r="O151" s="25" t="str">
        <f>_xlfn.IFNA(VLOOKUP($C151,'Master sheet'!$A:$AR,44,FALSE),"")&amp;""</f>
        <v/>
      </c>
      <c r="P151" s="685"/>
      <c r="Q151" s="240" t="str">
        <f t="shared" ref="Q151:Q155" si="61">D$1</f>
        <v>ROOF</v>
      </c>
      <c r="R151" s="852" t="s">
        <v>95</v>
      </c>
      <c r="S151" s="664"/>
      <c r="T151" s="664"/>
      <c r="U151" s="664"/>
      <c r="V151" s="664"/>
      <c r="W151" s="664"/>
      <c r="X151" s="664"/>
      <c r="Y151" s="664"/>
      <c r="Z151" s="664"/>
      <c r="AA151" s="638"/>
    </row>
    <row r="152" spans="1:27" ht="31.5" customHeight="1" x14ac:dyDescent="0.3">
      <c r="A152" s="1564"/>
      <c r="B152" s="1564"/>
      <c r="C152" s="669" t="str">
        <f>INDEX('Master sheet'!$A$1:$A$670,MATCH(105,'Master sheet'!$AN$1:$AN$670,0))</f>
        <v>Fiberglass loose fill / CertainTeed / InsulSafe, Optima, TruComfort / R 2.6/inch</v>
      </c>
      <c r="D152" s="15">
        <f>$D$146</f>
        <v>0</v>
      </c>
      <c r="E152" s="16" t="str">
        <f>'USER INPUT SHEET'!$F$37</f>
        <v>m2</v>
      </c>
      <c r="F152" s="3">
        <v>1</v>
      </c>
      <c r="G152" s="670"/>
      <c r="H152" s="8"/>
      <c r="I152" s="92">
        <f t="shared" ref="I152:I157" si="62">K152-L152</f>
        <v>0</v>
      </c>
      <c r="J152" s="93" t="str">
        <f t="shared" ref="J152:J157" si="63">IF(H152=1,I152,"")</f>
        <v/>
      </c>
      <c r="K152" s="406">
        <f>$D152*$F152*VLOOKUP($C152,'Master sheet'!$A:$AL,13,FALSE)*($E$150/5.678)</f>
        <v>0</v>
      </c>
      <c r="L152" s="94">
        <f>$D152*$F152*VLOOKUP($C152,'Master sheet'!$A:$AL,27,FALSE)*($E$150/5.678)</f>
        <v>0</v>
      </c>
      <c r="M152" s="1552"/>
      <c r="N152" s="1552"/>
      <c r="O152" s="25" t="str">
        <f ca="1">_xlfn.IFNA(VLOOKUP($C152,'Master sheet'!$A:$AR,44,FALSE),"")&amp;""</f>
        <v>Expired 2024</v>
      </c>
      <c r="P152" s="685"/>
      <c r="Q152" s="240" t="str">
        <f t="shared" si="61"/>
        <v>ROOF</v>
      </c>
      <c r="R152" s="852" t="s">
        <v>95</v>
      </c>
      <c r="S152" s="664"/>
      <c r="T152" s="664"/>
      <c r="U152" s="664"/>
      <c r="V152" s="664"/>
      <c r="W152" s="664"/>
      <c r="X152" s="664"/>
      <c r="Y152" s="664"/>
      <c r="Z152" s="664"/>
      <c r="AA152" s="638"/>
    </row>
    <row r="153" spans="1:27" ht="46.8" x14ac:dyDescent="0.3">
      <c r="A153" s="1564"/>
      <c r="B153" s="1564"/>
      <c r="C153" s="673" t="str">
        <f>INDEX('Master sheet'!$A$1:$A$670,MATCH(374,'Master sheet'!$AN$1:$AN$670,0))</f>
        <v>Fiberglass loose fill / Johns Manville / Climate Pro, Attic Protector, JM Spider PLUS (Canada) / R 2.8/inch, Formaldehyde-free</v>
      </c>
      <c r="D153" s="17">
        <f>$D$146</f>
        <v>0</v>
      </c>
      <c r="E153" s="18" t="str">
        <f>'USER INPUT SHEET'!$F$37</f>
        <v>m2</v>
      </c>
      <c r="F153" s="4">
        <v>1</v>
      </c>
      <c r="G153" s="674"/>
      <c r="H153" s="9"/>
      <c r="I153" s="95">
        <f t="shared" ref="I153:I154" si="64">K153-L153</f>
        <v>0</v>
      </c>
      <c r="J153" s="96" t="str">
        <f t="shared" ref="J153:J154" si="65">IF(H153=1,I153,"")</f>
        <v/>
      </c>
      <c r="K153" s="407">
        <f>$D153*$F153*VLOOKUP($C153,'Master sheet'!$A:$AL,13,FALSE)*($E$150/5.678)</f>
        <v>0</v>
      </c>
      <c r="L153" s="97">
        <f>$D153*$F153*VLOOKUP($C153,'Master sheet'!$A:$AL,27,FALSE)*($E$150/5.678)</f>
        <v>0</v>
      </c>
      <c r="M153" s="1552"/>
      <c r="N153" s="1552"/>
      <c r="O153" s="25" t="str">
        <f ca="1">_xlfn.IFNA(VLOOKUP($C153,'Master sheet'!$A:$AR,44,FALSE),"")&amp;""</f>
        <v/>
      </c>
      <c r="P153" s="637"/>
      <c r="Q153" s="241" t="str">
        <f t="shared" si="61"/>
        <v>ROOF</v>
      </c>
      <c r="R153" s="843" t="s">
        <v>95</v>
      </c>
      <c r="S153" s="638"/>
      <c r="T153" s="638" t="s">
        <v>7295</v>
      </c>
      <c r="U153" s="638"/>
      <c r="V153" s="638"/>
      <c r="W153" s="664"/>
      <c r="X153" s="664"/>
      <c r="Y153" s="664"/>
      <c r="Z153" s="664"/>
      <c r="AA153" s="638"/>
    </row>
    <row r="154" spans="1:27" ht="46.8" x14ac:dyDescent="0.3">
      <c r="A154" s="1564"/>
      <c r="B154" s="1564"/>
      <c r="C154" s="673" t="str">
        <f>INDEX('Master sheet'!$A$1:$A$670,MATCH("A40",'Master sheet'!$AN$1:$AN$670,0))</f>
        <v>Fiberglass loose fill / NAIMA  / Includes : CertainTeed, Inc. Saint-Gobin, Johns Manville, Knauf Insulation North America, Owens Corning / R 2.2/inch</v>
      </c>
      <c r="D154" s="17">
        <f>$D$146</f>
        <v>0</v>
      </c>
      <c r="E154" s="18" t="str">
        <f>'USER INPUT SHEET'!$F$37</f>
        <v>m2</v>
      </c>
      <c r="F154" s="4">
        <v>1</v>
      </c>
      <c r="G154" s="674"/>
      <c r="H154" s="9"/>
      <c r="I154" s="95">
        <f t="shared" si="64"/>
        <v>0</v>
      </c>
      <c r="J154" s="96" t="str">
        <f t="shared" si="65"/>
        <v/>
      </c>
      <c r="K154" s="407">
        <f>$D154*$F154*VLOOKUP($C154,'Master sheet'!$A:$AL,13,FALSE)*($E$150/5.678)</f>
        <v>0</v>
      </c>
      <c r="L154" s="97">
        <f>$D154*$F154*VLOOKUP($C154,'Master sheet'!$A:$AL,27,FALSE)*($E$150/5.678)</f>
        <v>0</v>
      </c>
      <c r="M154" s="1552"/>
      <c r="N154" s="1552"/>
      <c r="O154" s="25" t="str">
        <f>_xlfn.IFNA(VLOOKUP($C154,'Master sheet'!$A:$AR,44,FALSE),"")&amp;""</f>
        <v/>
      </c>
      <c r="P154" s="637"/>
      <c r="Q154" s="241" t="str">
        <f t="shared" si="61"/>
        <v>ROOF</v>
      </c>
      <c r="R154" s="843" t="s">
        <v>95</v>
      </c>
      <c r="S154" s="638"/>
      <c r="T154" s="638" t="s">
        <v>7295</v>
      </c>
      <c r="U154" s="638"/>
      <c r="V154" s="638"/>
      <c r="W154" s="664"/>
      <c r="X154" s="664"/>
      <c r="Y154" s="664"/>
      <c r="Z154" s="664"/>
      <c r="AA154" s="638"/>
    </row>
    <row r="155" spans="1:27" s="624" customFormat="1" ht="31.2" x14ac:dyDescent="0.3">
      <c r="A155" s="1564"/>
      <c r="B155" s="1564"/>
      <c r="C155" s="673" t="str">
        <f>INDEX('Master sheet'!$A$1:$A$670,MATCH("A39",'Master sheet'!$AN$1:$AN$670,0))</f>
        <v>Fiberglass loose fill / Owens Corning / AttiCat, ProCat, ProPink / R 3.28/inch</v>
      </c>
      <c r="D155" s="17">
        <f>$D$146</f>
        <v>0</v>
      </c>
      <c r="E155" s="18" t="str">
        <f>'USER INPUT SHEET'!$F$37</f>
        <v>m2</v>
      </c>
      <c r="F155" s="4">
        <v>1</v>
      </c>
      <c r="G155" s="674"/>
      <c r="H155" s="9"/>
      <c r="I155" s="95">
        <f t="shared" si="62"/>
        <v>0</v>
      </c>
      <c r="J155" s="96" t="str">
        <f t="shared" si="63"/>
        <v/>
      </c>
      <c r="K155" s="407">
        <f>$D155*$F155*VLOOKUP($C155,'Master sheet'!$A:$AL,13,FALSE)*($E$150/5.678)</f>
        <v>0</v>
      </c>
      <c r="L155" s="97">
        <f>$D155*$F155*VLOOKUP($C155,'Master sheet'!$A:$AL,27,FALSE)*($E$150/5.678)</f>
        <v>0</v>
      </c>
      <c r="M155" s="1610"/>
      <c r="N155" s="1610"/>
      <c r="O155" s="25" t="str">
        <f>_xlfn.IFNA(VLOOKUP($C155,'Master sheet'!$A:$AR,44,FALSE),"")&amp;""</f>
        <v/>
      </c>
      <c r="P155" s="637"/>
      <c r="Q155" s="241" t="str">
        <f t="shared" si="61"/>
        <v>ROOF</v>
      </c>
      <c r="R155" s="843" t="s">
        <v>95</v>
      </c>
      <c r="S155" s="638"/>
      <c r="T155" s="638"/>
      <c r="U155" s="638"/>
      <c r="V155" s="638"/>
      <c r="W155" s="638"/>
      <c r="X155" s="638"/>
      <c r="Y155" s="638"/>
      <c r="Z155" s="638"/>
      <c r="AA155" s="638"/>
    </row>
    <row r="156" spans="1:27" s="624" customFormat="1" ht="22.8" x14ac:dyDescent="0.3">
      <c r="A156" s="639"/>
      <c r="B156" s="1524" t="s">
        <v>968</v>
      </c>
      <c r="C156" s="1523"/>
      <c r="D156" s="687" t="str">
        <f>IF(LOWER(Setting!rng_language)="english","R-VALUE:","VALEUR R :")</f>
        <v>R-VALUE:</v>
      </c>
      <c r="E156" s="1"/>
      <c r="F156" s="325"/>
      <c r="G156" s="678"/>
      <c r="H156" s="679"/>
      <c r="I156" s="642"/>
      <c r="J156" s="643"/>
      <c r="K156" s="676"/>
      <c r="L156" s="677"/>
      <c r="M156" s="677"/>
      <c r="N156" s="677"/>
      <c r="O156" s="25" t="str">
        <f>_xlfn.IFNA(VLOOKUP($C156,'Master sheet'!$A:$AR,44,FALSE),"")&amp;""</f>
        <v/>
      </c>
      <c r="P156" s="637"/>
      <c r="Q156" s="843"/>
      <c r="R156" s="843"/>
      <c r="S156" s="638"/>
      <c r="T156" s="638"/>
      <c r="U156" s="638"/>
      <c r="V156" s="638"/>
      <c r="W156" s="638"/>
      <c r="X156" s="638"/>
      <c r="Y156" s="638"/>
      <c r="Z156" s="638"/>
      <c r="AA156" s="638"/>
    </row>
    <row r="157" spans="1:27" ht="31.5" customHeight="1" x14ac:dyDescent="0.3">
      <c r="A157" s="1600"/>
      <c r="B157" s="1564"/>
      <c r="C157" s="669" t="str">
        <f>INDEX('Master sheet'!$A$1:$A$670,MATCH("A189",'Master sheet'!$AN$1:$AN$670,0))</f>
        <v>Mineral wool batt / Owens Corning / UltraBatt - Fire and Sound guard Plus R-15, R-30 / R 4.2-inch</v>
      </c>
      <c r="D157" s="15">
        <f t="shared" ref="D157:D162" si="66">$D$146</f>
        <v>0</v>
      </c>
      <c r="E157" s="16" t="str">
        <f>'USER INPUT SHEET'!$F$37</f>
        <v>m2</v>
      </c>
      <c r="F157" s="3">
        <v>1</v>
      </c>
      <c r="G157" s="670"/>
      <c r="H157" s="8"/>
      <c r="I157" s="92">
        <f t="shared" si="62"/>
        <v>0</v>
      </c>
      <c r="J157" s="93" t="str">
        <f t="shared" si="63"/>
        <v/>
      </c>
      <c r="K157" s="406">
        <f>$D157*$F157*VLOOKUP($C157,'Master sheet'!$A:$AL,13,FALSE)*($E$156/5.678)</f>
        <v>0</v>
      </c>
      <c r="L157" s="94">
        <f>$D157*$F157*VLOOKUP($C157,'Master sheet'!$A:$AL,27,FALSE)*($E$156/5.678)</f>
        <v>0</v>
      </c>
      <c r="M157" s="1562"/>
      <c r="N157" s="1562"/>
      <c r="O157" s="25" t="str">
        <f>_xlfn.IFNA(VLOOKUP($C157,'Master sheet'!$A:$AR,44,FALSE),"")&amp;""</f>
        <v/>
      </c>
      <c r="P157" s="685"/>
      <c r="Q157" s="240" t="str">
        <f t="shared" ref="Q157:Q162" si="67">D$1</f>
        <v>ROOF</v>
      </c>
      <c r="R157" s="852" t="s">
        <v>95</v>
      </c>
      <c r="S157" s="664"/>
      <c r="T157" s="664"/>
      <c r="U157" s="664"/>
      <c r="V157" s="664"/>
      <c r="W157" s="664"/>
      <c r="X157" s="664"/>
      <c r="Y157" s="664"/>
      <c r="Z157" s="664"/>
      <c r="AA157" s="638"/>
    </row>
    <row r="158" spans="1:27" ht="31.5" customHeight="1" x14ac:dyDescent="0.3">
      <c r="A158" s="1600"/>
      <c r="B158" s="1564"/>
      <c r="C158" s="673" t="str">
        <f>INDEX('Master sheet'!$A$1:$A$670,MATCH("A190",'Master sheet'!$AN$1:$AN$670,0))</f>
        <v>Mineral wool batt / Owens Corning / UltraBatt - Fire and Sound guard Plus R-23 / R 4.2-inch</v>
      </c>
      <c r="D158" s="17">
        <f t="shared" si="66"/>
        <v>0</v>
      </c>
      <c r="E158" s="18" t="str">
        <f>'USER INPUT SHEET'!$F$37</f>
        <v>m2</v>
      </c>
      <c r="F158" s="4">
        <v>1</v>
      </c>
      <c r="G158" s="674"/>
      <c r="H158" s="9"/>
      <c r="I158" s="95">
        <f t="shared" ref="I158:I162" si="68">K158-L158</f>
        <v>0</v>
      </c>
      <c r="J158" s="96" t="str">
        <f t="shared" ref="J158:J162" si="69">IF(H158=1,I158,"")</f>
        <v/>
      </c>
      <c r="K158" s="407">
        <f>$D158*$F158*VLOOKUP($C158,'Master sheet'!$A:$AL,13,FALSE)*($E$156/5.678)</f>
        <v>0</v>
      </c>
      <c r="L158" s="97">
        <f>$D158*$F158*VLOOKUP($C158,'Master sheet'!$A:$AL,27,FALSE)*($E$156/5.678)</f>
        <v>0</v>
      </c>
      <c r="M158" s="1552"/>
      <c r="N158" s="1552"/>
      <c r="O158" s="25" t="str">
        <f>_xlfn.IFNA(VLOOKUP($C158,'Master sheet'!$A:$AR,44,FALSE),"")&amp;""</f>
        <v/>
      </c>
      <c r="P158" s="637"/>
      <c r="Q158" s="241" t="str">
        <f t="shared" si="67"/>
        <v>ROOF</v>
      </c>
      <c r="R158" s="843" t="s">
        <v>95</v>
      </c>
      <c r="S158" s="664"/>
      <c r="T158" s="664"/>
      <c r="U158" s="664"/>
      <c r="V158" s="664"/>
      <c r="W158" s="664"/>
      <c r="X158" s="664"/>
      <c r="Y158" s="664"/>
      <c r="Z158" s="664"/>
      <c r="AA158" s="638"/>
    </row>
    <row r="159" spans="1:27" ht="31.2" x14ac:dyDescent="0.3">
      <c r="A159" s="1600"/>
      <c r="B159" s="1564"/>
      <c r="C159" s="673" t="str">
        <f>INDEX('Master sheet'!$A$1:$A$670,MATCH("A191",'Master sheet'!$AN$1:$AN$670,0))</f>
        <v>Mineral wool batt / Owens Corning / UltraBatt - Fire and Sound guard Plus R-24 / R 4.0-inch</v>
      </c>
      <c r="D159" s="17">
        <f t="shared" si="66"/>
        <v>0</v>
      </c>
      <c r="E159" s="18" t="str">
        <f>'USER INPUT SHEET'!$F$37</f>
        <v>m2</v>
      </c>
      <c r="F159" s="4">
        <v>1</v>
      </c>
      <c r="G159" s="674"/>
      <c r="H159" s="9"/>
      <c r="I159" s="95">
        <f t="shared" si="68"/>
        <v>0</v>
      </c>
      <c r="J159" s="96" t="str">
        <f t="shared" si="69"/>
        <v/>
      </c>
      <c r="K159" s="407">
        <f>$D159*$F159*VLOOKUP($C159,'Master sheet'!$A:$AL,13,FALSE)*($E$156/5.678)</f>
        <v>0</v>
      </c>
      <c r="L159" s="97">
        <f>$D159*$F159*VLOOKUP($C159,'Master sheet'!$A:$AL,27,FALSE)*($E$156/5.678)</f>
        <v>0</v>
      </c>
      <c r="M159" s="1552"/>
      <c r="N159" s="1552"/>
      <c r="O159" s="25" t="str">
        <f>_xlfn.IFNA(VLOOKUP($C159,'Master sheet'!$A:$AR,44,FALSE),"")&amp;""</f>
        <v/>
      </c>
      <c r="P159" s="637"/>
      <c r="Q159" s="241" t="str">
        <f t="shared" si="67"/>
        <v>ROOF</v>
      </c>
      <c r="R159" s="843" t="s">
        <v>95</v>
      </c>
      <c r="S159" s="664"/>
      <c r="T159" s="664"/>
      <c r="U159" s="664"/>
      <c r="V159" s="664"/>
      <c r="W159" s="664"/>
      <c r="X159" s="664"/>
      <c r="Y159" s="664"/>
      <c r="Z159" s="664"/>
      <c r="AA159" s="638"/>
    </row>
    <row r="160" spans="1:27" ht="22.95" customHeight="1" x14ac:dyDescent="0.3">
      <c r="A160" s="1600"/>
      <c r="B160" s="1564"/>
      <c r="C160" s="673" t="str">
        <f>INDEX('Master sheet'!$A$1:$A$670,MATCH("A195",'Master sheet'!$AN$1:$AN$670,0))</f>
        <v>Mineral wool batt / Rockwool / ComfortBatt R-23 / R 4.2-inch</v>
      </c>
      <c r="D160" s="17">
        <f t="shared" si="66"/>
        <v>0</v>
      </c>
      <c r="E160" s="18" t="str">
        <f>'USER INPUT SHEET'!$F$37</f>
        <v>m2</v>
      </c>
      <c r="F160" s="4">
        <v>1</v>
      </c>
      <c r="G160" s="674"/>
      <c r="H160" s="9"/>
      <c r="I160" s="95">
        <f t="shared" si="68"/>
        <v>0</v>
      </c>
      <c r="J160" s="96" t="str">
        <f t="shared" si="69"/>
        <v/>
      </c>
      <c r="K160" s="407">
        <f>$D160*$F160*VLOOKUP($C160,'Master sheet'!$A:$AL,13,FALSE)*($E$156/5.678)</f>
        <v>0</v>
      </c>
      <c r="L160" s="97">
        <f>$D160*$F160*VLOOKUP($C160,'Master sheet'!$A:$AL,27,FALSE)*($E$156/5.678)</f>
        <v>0</v>
      </c>
      <c r="M160" s="1552"/>
      <c r="N160" s="1552"/>
      <c r="O160" s="25" t="str">
        <f>_xlfn.IFNA(VLOOKUP($C160,'Master sheet'!$A:$AR,44,FALSE),"")&amp;""</f>
        <v/>
      </c>
      <c r="P160" s="637"/>
      <c r="Q160" s="241" t="str">
        <f t="shared" si="67"/>
        <v>ROOF</v>
      </c>
      <c r="R160" s="843" t="s">
        <v>95</v>
      </c>
      <c r="S160" s="664"/>
      <c r="T160" s="664"/>
      <c r="U160" s="664"/>
      <c r="V160" s="664"/>
      <c r="W160" s="664"/>
      <c r="X160" s="664"/>
      <c r="Y160" s="664"/>
      <c r="Z160" s="664"/>
      <c r="AA160" s="638"/>
    </row>
    <row r="161" spans="1:27" ht="31.2" x14ac:dyDescent="0.3">
      <c r="A161" s="1600"/>
      <c r="B161" s="1564"/>
      <c r="C161" s="673" t="str">
        <f>INDEX('Master sheet'!$A$1:$A$670,MATCH("A196",'Master sheet'!$AN$1:$AN$670,0))</f>
        <v>Mineral wool batt / Rockwool / ComfortBatt R-24 (Steel Studs) / R 4.0-inch</v>
      </c>
      <c r="D161" s="17">
        <f t="shared" si="66"/>
        <v>0</v>
      </c>
      <c r="E161" s="18" t="str">
        <f>'USER INPUT SHEET'!$F$37</f>
        <v>m2</v>
      </c>
      <c r="F161" s="4">
        <v>1</v>
      </c>
      <c r="G161" s="674"/>
      <c r="H161" s="9"/>
      <c r="I161" s="95">
        <f t="shared" si="68"/>
        <v>0</v>
      </c>
      <c r="J161" s="96" t="str">
        <f t="shared" si="69"/>
        <v/>
      </c>
      <c r="K161" s="407">
        <f>$D161*$F161*VLOOKUP($C161,'Master sheet'!$A:$AL,13,FALSE)*($E$156/5.678)</f>
        <v>0</v>
      </c>
      <c r="L161" s="97">
        <f>$D161*$F161*VLOOKUP($C161,'Master sheet'!$A:$AL,27,FALSE)*($E$156/5.678)</f>
        <v>0</v>
      </c>
      <c r="M161" s="1552"/>
      <c r="N161" s="1552"/>
      <c r="O161" s="25" t="str">
        <f>_xlfn.IFNA(VLOOKUP($C161,'Master sheet'!$A:$AR,44,FALSE),"")&amp;""</f>
        <v/>
      </c>
      <c r="P161" s="637"/>
      <c r="Q161" s="241" t="str">
        <f t="shared" si="67"/>
        <v>ROOF</v>
      </c>
      <c r="R161" s="843" t="s">
        <v>95</v>
      </c>
      <c r="S161" s="664"/>
      <c r="T161" s="664"/>
      <c r="U161" s="664"/>
      <c r="V161" s="664"/>
      <c r="W161" s="664"/>
      <c r="X161" s="664"/>
      <c r="Y161" s="664"/>
      <c r="Z161" s="664"/>
      <c r="AA161" s="638"/>
    </row>
    <row r="162" spans="1:27" ht="31.2" x14ac:dyDescent="0.3">
      <c r="A162" s="1600"/>
      <c r="B162" s="1564"/>
      <c r="C162" s="673" t="str">
        <f>INDEX('Master sheet'!$A$1:$A$670,MATCH("A197",'Master sheet'!$AN$1:$AN$670,0))</f>
        <v>Mineral wool batt / Rockwool / ComfortBatt R-24 (Wood Studs) / R 4.4-inch</v>
      </c>
      <c r="D162" s="17">
        <f t="shared" si="66"/>
        <v>0</v>
      </c>
      <c r="E162" s="18" t="str">
        <f>'USER INPUT SHEET'!$F$37</f>
        <v>m2</v>
      </c>
      <c r="F162" s="4">
        <v>1</v>
      </c>
      <c r="G162" s="674"/>
      <c r="H162" s="9"/>
      <c r="I162" s="95">
        <f t="shared" si="68"/>
        <v>0</v>
      </c>
      <c r="J162" s="96" t="str">
        <f t="shared" si="69"/>
        <v/>
      </c>
      <c r="K162" s="407">
        <f>$D162*$F162*VLOOKUP($C162,'Master sheet'!$A:$AL,13,FALSE)*($E$156/5.678)</f>
        <v>0</v>
      </c>
      <c r="L162" s="97">
        <f>$D162*$F162*VLOOKUP($C162,'Master sheet'!$A:$AL,27,FALSE)*($E$156/5.678)</f>
        <v>0</v>
      </c>
      <c r="M162" s="1610"/>
      <c r="N162" s="1610"/>
      <c r="O162" s="25" t="str">
        <f>_xlfn.IFNA(VLOOKUP($C162,'Master sheet'!$A:$AR,44,FALSE),"")&amp;""</f>
        <v/>
      </c>
      <c r="P162" s="637"/>
      <c r="Q162" s="241" t="str">
        <f t="shared" si="67"/>
        <v>ROOF</v>
      </c>
      <c r="R162" s="843" t="s">
        <v>95</v>
      </c>
      <c r="S162" s="664"/>
      <c r="T162" s="664"/>
      <c r="U162" s="664"/>
      <c r="V162" s="664"/>
      <c r="W162" s="664"/>
      <c r="X162" s="664"/>
      <c r="Y162" s="664"/>
      <c r="Z162" s="664"/>
      <c r="AA162" s="638"/>
    </row>
    <row r="163" spans="1:27" s="624" customFormat="1" ht="22.8" x14ac:dyDescent="0.3">
      <c r="A163" s="639"/>
      <c r="B163" s="1524" t="s">
        <v>3437</v>
      </c>
      <c r="C163" s="1523"/>
      <c r="D163" s="687" t="str">
        <f>IF(LOWER(Setting!rng_language)="english","R-VALUE:","VALEUR R :")</f>
        <v>R-VALUE:</v>
      </c>
      <c r="E163" s="1"/>
      <c r="F163" s="325"/>
      <c r="G163" s="678"/>
      <c r="H163" s="679"/>
      <c r="I163" s="676"/>
      <c r="J163" s="643"/>
      <c r="K163" s="676"/>
      <c r="L163" s="677"/>
      <c r="M163" s="677"/>
      <c r="N163" s="677"/>
      <c r="O163" s="25" t="str">
        <f>_xlfn.IFNA(VLOOKUP($C163,'Master sheet'!$A:$AR,44,FALSE),"")&amp;""</f>
        <v/>
      </c>
      <c r="P163" s="637"/>
      <c r="Q163" s="843"/>
      <c r="R163" s="843"/>
      <c r="S163" s="638"/>
      <c r="T163" s="638"/>
      <c r="U163" s="638"/>
      <c r="V163" s="638"/>
      <c r="W163" s="638"/>
      <c r="X163" s="638"/>
      <c r="Y163" s="638"/>
      <c r="Z163" s="638"/>
      <c r="AA163" s="664"/>
    </row>
    <row r="164" spans="1:27" s="624" customFormat="1" ht="31.2" x14ac:dyDescent="0.3">
      <c r="A164" s="845"/>
      <c r="C164" s="681" t="str">
        <f>INDEX('Master sheet'!$A$1:$A$670,MATCH("A77",'Master sheet'!$AN$1:$AN$670,0))</f>
        <v>Mineral wool loose fill / NAIMA / USG, American Rockwool  / R 3/inch</v>
      </c>
      <c r="D164" s="22">
        <f>$D$146</f>
        <v>0</v>
      </c>
      <c r="E164" s="23" t="str">
        <f>'USER INPUT SHEET'!$F$37</f>
        <v>m2</v>
      </c>
      <c r="F164" s="6">
        <v>1</v>
      </c>
      <c r="G164" s="682"/>
      <c r="H164" s="10"/>
      <c r="I164" s="100">
        <f>K164-L164</f>
        <v>0</v>
      </c>
      <c r="J164" s="101" t="str">
        <f>IF(H164=1,I164,"")</f>
        <v/>
      </c>
      <c r="K164" s="408">
        <f>$D164*$F164*VLOOKUP($C164,'Master sheet'!$A:$AL,13,FALSE)*($E$163/5.678)</f>
        <v>0</v>
      </c>
      <c r="L164" s="102">
        <f>$D164*$F164*VLOOKUP($C164,'Master sheet'!$A:$AL,27,FALSE)*($E$163/5.678)</f>
        <v>0</v>
      </c>
      <c r="M164" s="1559"/>
      <c r="N164" s="1559"/>
      <c r="O164" s="25" t="str">
        <f>_xlfn.IFNA(VLOOKUP($C164,'Master sheet'!$A:$AR,44,FALSE),"")&amp;""</f>
        <v/>
      </c>
      <c r="P164" s="637"/>
      <c r="Q164" s="241" t="str">
        <f>D$1</f>
        <v>ROOF</v>
      </c>
      <c r="R164" s="843" t="s">
        <v>95</v>
      </c>
      <c r="S164" s="638"/>
      <c r="T164" s="638"/>
      <c r="U164" s="638"/>
      <c r="V164" s="638"/>
      <c r="W164" s="638"/>
      <c r="X164" s="638"/>
      <c r="Y164" s="638"/>
      <c r="Z164" s="638"/>
      <c r="AA164" s="619"/>
    </row>
    <row r="165" spans="1:27" s="624" customFormat="1" ht="22.8" x14ac:dyDescent="0.25">
      <c r="A165" s="639"/>
      <c r="B165" s="1524" t="s">
        <v>3428</v>
      </c>
      <c r="C165" s="1523"/>
      <c r="D165" s="687" t="str">
        <f>IF(LOWER(Setting!rng_language)="english","R-VALUE:","VALEUR R :")</f>
        <v>R-VALUE:</v>
      </c>
      <c r="E165" s="1"/>
      <c r="F165" s="325"/>
      <c r="G165" s="678"/>
      <c r="H165" s="679"/>
      <c r="I165" s="642"/>
      <c r="J165" s="643"/>
      <c r="K165" s="676"/>
      <c r="L165" s="727"/>
      <c r="M165" s="727"/>
      <c r="N165" s="727"/>
      <c r="O165" s="25" t="str">
        <f>_xlfn.IFNA(VLOOKUP($C165,'Master sheet'!$A:$AR,44,FALSE),"")&amp;""</f>
        <v/>
      </c>
      <c r="P165" s="637"/>
      <c r="Q165" s="722"/>
      <c r="R165" s="722"/>
      <c r="T165" s="638"/>
      <c r="U165" s="638"/>
      <c r="V165" s="638"/>
      <c r="W165" s="638"/>
      <c r="X165" s="638"/>
      <c r="Y165" s="638"/>
      <c r="Z165" s="638"/>
      <c r="AA165" s="619"/>
    </row>
    <row r="166" spans="1:27" s="624" customFormat="1" ht="31.5" customHeight="1" x14ac:dyDescent="0.3">
      <c r="A166" s="1601"/>
      <c r="B166" s="1602"/>
      <c r="C166" s="673" t="str">
        <f>INDEX('Master sheet'!$A$1:$A$670,MATCH(184,'Master sheet'!$AN$1:$AN$670,0))</f>
        <v>Spray polyurethane foam - Closed Cell - HFO gas filled / SPFA /  / R 6.6/inch</v>
      </c>
      <c r="D166" s="17">
        <f>$D$146</f>
        <v>0</v>
      </c>
      <c r="E166" s="18" t="str">
        <f>'USER INPUT SHEET'!$F$37</f>
        <v>m2</v>
      </c>
      <c r="F166" s="4">
        <v>1</v>
      </c>
      <c r="G166" s="674"/>
      <c r="H166" s="9"/>
      <c r="I166" s="95">
        <f>K166-L166</f>
        <v>0</v>
      </c>
      <c r="J166" s="96" t="str">
        <f>IF(H166=1,I166,"")</f>
        <v/>
      </c>
      <c r="K166" s="407">
        <f>$D166*($E$165/5.678)*$F166*VLOOKUP($C166,'Master sheet'!$A:$AL,13,FALSE)</f>
        <v>0</v>
      </c>
      <c r="L166" s="97">
        <f>$D166*($E$165/5.678)*$F166*VLOOKUP($C166,'Master sheet'!$A:$AL,27,FALSE)</f>
        <v>0</v>
      </c>
      <c r="M166" s="1562"/>
      <c r="N166" s="1562"/>
      <c r="O166" s="25" t="str">
        <f ca="1">_xlfn.IFNA(VLOOKUP($C166,'Master sheet'!$A:$AR,44,FALSE),"")&amp;""</f>
        <v/>
      </c>
      <c r="P166" s="685"/>
      <c r="Q166" s="240" t="str">
        <f>D$1</f>
        <v>ROOF</v>
      </c>
      <c r="R166" s="843" t="s">
        <v>95</v>
      </c>
      <c r="T166" s="638"/>
      <c r="U166" s="638"/>
      <c r="V166" s="638"/>
      <c r="W166" s="638"/>
      <c r="X166" s="638"/>
      <c r="Y166" s="638"/>
      <c r="Z166" s="638"/>
      <c r="AA166" s="619"/>
    </row>
    <row r="167" spans="1:27" s="624" customFormat="1" ht="31.5" customHeight="1" x14ac:dyDescent="0.3">
      <c r="A167" s="1601"/>
      <c r="B167" s="1602"/>
      <c r="C167" s="673" t="str">
        <f>INDEX('Master sheet'!$A$1:$A$670,MATCH(410,'Master sheet'!$AN$1:$AN$670,0))</f>
        <v xml:space="preserve">Spray polyurethane foam - Closed Cell (HFO) / Huntsman Building Solutions / Heatlok HFO &amp; Heatlok Soya HFO / </v>
      </c>
      <c r="D167" s="17">
        <f>$D$146</f>
        <v>0</v>
      </c>
      <c r="E167" s="18" t="str">
        <f>'USER INPUT SHEET'!$F$37</f>
        <v>m2</v>
      </c>
      <c r="F167" s="4">
        <v>1</v>
      </c>
      <c r="G167" s="674"/>
      <c r="H167" s="9"/>
      <c r="I167" s="95">
        <f>K167-L167</f>
        <v>0</v>
      </c>
      <c r="J167" s="96" t="str">
        <f>IF(H167=1,I167,"")</f>
        <v/>
      </c>
      <c r="K167" s="407">
        <f>$D167*($E$165/5.678)*$F167*VLOOKUP($C167,'Master sheet'!$A:$AL,13,FALSE)</f>
        <v>0</v>
      </c>
      <c r="L167" s="97">
        <f>$D167*($E$165/5.678)*$F167*VLOOKUP($C167,'Master sheet'!$A:$AL,27,FALSE)</f>
        <v>0</v>
      </c>
      <c r="M167" s="1610"/>
      <c r="N167" s="1610"/>
      <c r="O167" s="25" t="str">
        <f>_xlfn.IFNA(VLOOKUP($C167,'Master sheet'!$A:$AR,44,FALSE),"")&amp;""</f>
        <v>A1-B1</v>
      </c>
      <c r="P167" s="685"/>
      <c r="Q167" s="240" t="str">
        <f>D$1</f>
        <v>ROOF</v>
      </c>
      <c r="R167" s="843" t="s">
        <v>95</v>
      </c>
      <c r="T167" s="638"/>
      <c r="U167" s="638"/>
      <c r="V167" s="638"/>
      <c r="W167" s="638"/>
      <c r="X167" s="638"/>
      <c r="Y167" s="638"/>
      <c r="Z167" s="638"/>
      <c r="AA167" s="619"/>
    </row>
    <row r="168" spans="1:27" s="624" customFormat="1" ht="22.8" x14ac:dyDescent="0.3">
      <c r="A168" s="639"/>
      <c r="B168" s="1524" t="s">
        <v>3429</v>
      </c>
      <c r="C168" s="1523"/>
      <c r="D168" s="687" t="str">
        <f>IF(LOWER(Setting!rng_language)="english","R-VALUE:","VALEUR R :")</f>
        <v>R-VALUE:</v>
      </c>
      <c r="E168" s="1"/>
      <c r="F168" s="325"/>
      <c r="G168" s="678"/>
      <c r="H168" s="679"/>
      <c r="I168" s="642"/>
      <c r="J168" s="643"/>
      <c r="K168" s="676"/>
      <c r="L168" s="727"/>
      <c r="M168" s="727"/>
      <c r="N168" s="727"/>
      <c r="O168" s="25" t="str">
        <f>_xlfn.IFNA(VLOOKUP($C168,'Master sheet'!$A:$AR,44,FALSE),"")&amp;""</f>
        <v/>
      </c>
      <c r="P168" s="685"/>
      <c r="Q168" s="240"/>
      <c r="R168" s="843"/>
      <c r="T168" s="638"/>
      <c r="U168" s="638"/>
      <c r="V168" s="638"/>
      <c r="W168" s="638"/>
      <c r="X168" s="638"/>
      <c r="Y168" s="638"/>
      <c r="Z168" s="638"/>
      <c r="AA168" s="619"/>
    </row>
    <row r="169" spans="1:27" s="624" customFormat="1" ht="31.5" customHeight="1" x14ac:dyDescent="0.3">
      <c r="A169" s="729"/>
      <c r="B169" s="729"/>
      <c r="C169" s="673" t="str">
        <f>INDEX('Master sheet'!$A$1:$A$670,MATCH(188,'Master sheet'!$AN$1:$AN$670,0))</f>
        <v>Spray polyurethane foam - Open Cell - HFO gas / SPFA /  / R 4.1/inch</v>
      </c>
      <c r="D169" s="17">
        <f>$D$146</f>
        <v>0</v>
      </c>
      <c r="E169" s="18" t="str">
        <f>'USER INPUT SHEET'!$F$37</f>
        <v>m2</v>
      </c>
      <c r="F169" s="4">
        <v>1</v>
      </c>
      <c r="G169" s="674"/>
      <c r="H169" s="9"/>
      <c r="I169" s="95">
        <f>K169-L169</f>
        <v>0</v>
      </c>
      <c r="J169" s="96" t="str">
        <f>IF(H169=1,I169,"")</f>
        <v/>
      </c>
      <c r="K169" s="407">
        <f>$D169*($E$168/5.678)*$F169*VLOOKUP($C169,'Master sheet'!$A:$AL,13,FALSE)</f>
        <v>0</v>
      </c>
      <c r="L169" s="97">
        <f>$D169*($E$168/5.678)*$F169*VLOOKUP($C169,'Master sheet'!$A:$AL,27,FALSE)</f>
        <v>0</v>
      </c>
      <c r="M169" s="1610"/>
      <c r="N169" s="1610"/>
      <c r="O169" s="25" t="str">
        <f ca="1">_xlfn.IFNA(VLOOKUP($C169,'Master sheet'!$A:$AR,44,FALSE),"")&amp;""</f>
        <v/>
      </c>
      <c r="P169" s="637"/>
      <c r="Q169" s="240" t="str">
        <f>D$1</f>
        <v>ROOF</v>
      </c>
      <c r="R169" s="843" t="s">
        <v>95</v>
      </c>
      <c r="T169" s="638"/>
      <c r="U169" s="638"/>
      <c r="V169" s="638"/>
      <c r="W169" s="638"/>
      <c r="X169" s="638"/>
      <c r="Y169" s="638"/>
      <c r="Z169" s="638"/>
      <c r="AA169" s="619"/>
    </row>
    <row r="170" spans="1:27" s="624" customFormat="1" ht="22.8" x14ac:dyDescent="0.3">
      <c r="A170" s="639"/>
      <c r="B170" s="1524" t="s">
        <v>46</v>
      </c>
      <c r="C170" s="1523"/>
      <c r="D170" s="687" t="str">
        <f>IF(LOWER(Setting!rng_language)="english","R-VALUE:","VALEUR R :")</f>
        <v>R-VALUE:</v>
      </c>
      <c r="E170" s="1"/>
      <c r="F170" s="325"/>
      <c r="G170" s="678"/>
      <c r="H170" s="679"/>
      <c r="I170" s="676"/>
      <c r="J170" s="643"/>
      <c r="K170" s="676"/>
      <c r="L170" s="677"/>
      <c r="M170" s="677"/>
      <c r="N170" s="677"/>
      <c r="O170" s="25" t="str">
        <f>_xlfn.IFNA(VLOOKUP($C170,'Master sheet'!$A:$AR,44,FALSE),"")&amp;""</f>
        <v/>
      </c>
      <c r="P170" s="637"/>
      <c r="Q170" s="843"/>
      <c r="R170" s="843"/>
      <c r="S170" s="638"/>
      <c r="T170" s="638"/>
      <c r="U170" s="638"/>
      <c r="V170" s="638"/>
      <c r="W170" s="638"/>
      <c r="X170" s="638"/>
      <c r="Y170" s="638"/>
      <c r="Z170" s="638"/>
      <c r="AA170" s="619"/>
    </row>
    <row r="171" spans="1:27" ht="22.8" x14ac:dyDescent="0.3">
      <c r="A171" s="729"/>
      <c r="B171" s="729"/>
      <c r="C171" s="691" t="s">
        <v>1090</v>
      </c>
      <c r="D171" s="19">
        <f>$D$146</f>
        <v>0</v>
      </c>
      <c r="E171" s="20" t="str">
        <f>'USER INPUT SHEET'!$F$37</f>
        <v>m2</v>
      </c>
      <c r="F171" s="6">
        <v>1</v>
      </c>
      <c r="G171" s="692"/>
      <c r="H171" s="10"/>
      <c r="I171" s="98">
        <f>K171-L171</f>
        <v>0</v>
      </c>
      <c r="J171" s="91" t="str">
        <f>IF(H171=1,I171,"")</f>
        <v/>
      </c>
      <c r="K171" s="410">
        <f>F171*AVERAGE(K172:K174)</f>
        <v>0</v>
      </c>
      <c r="L171" s="99">
        <f>F171*AVERAGE(L172:L174)</f>
        <v>0</v>
      </c>
      <c r="M171" s="1552"/>
      <c r="N171" s="1552"/>
      <c r="O171" s="25" t="str">
        <f>_xlfn.IFNA(VLOOKUP($C171,'Master sheet'!$A:$AR,44,FALSE),"")&amp;""</f>
        <v/>
      </c>
      <c r="P171" s="685"/>
      <c r="Q171" s="240" t="str">
        <f>D$1</f>
        <v>ROOF</v>
      </c>
      <c r="R171" s="852" t="s">
        <v>95</v>
      </c>
      <c r="S171" s="664"/>
      <c r="T171" s="664"/>
      <c r="U171" s="664"/>
      <c r="V171" s="664"/>
      <c r="W171" s="664"/>
      <c r="X171" s="664"/>
      <c r="Y171" s="664"/>
      <c r="Z171" s="664"/>
    </row>
    <row r="172" spans="1:27" ht="23.25" customHeight="1" x14ac:dyDescent="0.3">
      <c r="A172" s="823"/>
      <c r="B172" s="619"/>
      <c r="C172" s="669" t="str">
        <f>INDEX('Master sheet'!$A$1:$A$670,MATCH(32,'Master sheet'!$AN$1:$AN$670,0))</f>
        <v>Cellulose - batt / CMS / R 3.6/inch / EcoCell</v>
      </c>
      <c r="D172" s="15">
        <f>$D$146</f>
        <v>0</v>
      </c>
      <c r="E172" s="16" t="str">
        <f>'USER INPUT SHEET'!$F$37</f>
        <v>m2</v>
      </c>
      <c r="F172" s="3">
        <v>1</v>
      </c>
      <c r="G172" s="670"/>
      <c r="H172" s="8"/>
      <c r="I172" s="92">
        <f t="shared" ref="I172:I176" si="70">K172-L172</f>
        <v>0</v>
      </c>
      <c r="J172" s="93" t="str">
        <f t="shared" ref="J172:J176" si="71">IF(H172=1,I172,"")</f>
        <v/>
      </c>
      <c r="K172" s="406">
        <f>$D172*$F172*VLOOKUP($C172,'Master sheet'!$A:$AL,13,FALSE)*($E$170/5.678)</f>
        <v>0</v>
      </c>
      <c r="L172" s="94">
        <f>$D172*$F172*VLOOKUP($C172,'Master sheet'!$A:$AL,27,FALSE)*($E$170/5.678)</f>
        <v>0</v>
      </c>
      <c r="M172" s="1552"/>
      <c r="N172" s="1552"/>
      <c r="O172" s="25" t="str">
        <f ca="1">_xlfn.IFNA(VLOOKUP($C172,'Master sheet'!$A:$AR,44,FALSE),"")&amp;""</f>
        <v>Expired 2024</v>
      </c>
      <c r="P172" s="685"/>
      <c r="Q172" s="240" t="str">
        <f>D$1</f>
        <v>ROOF</v>
      </c>
      <c r="R172" s="852" t="s">
        <v>95</v>
      </c>
      <c r="S172" s="664"/>
      <c r="T172" s="664"/>
      <c r="U172" s="664"/>
      <c r="V172" s="664"/>
      <c r="W172" s="664"/>
      <c r="X172" s="664"/>
      <c r="Y172" s="664"/>
      <c r="Z172" s="664"/>
    </row>
    <row r="173" spans="1:27" ht="47.25" customHeight="1" x14ac:dyDescent="0.3">
      <c r="A173" s="619"/>
      <c r="B173" s="619"/>
      <c r="C173" s="669" t="str">
        <f>INDEX('Master sheet'!$A$1:$A$670,MATCH(34,'Master sheet'!$AN$1:$AN$670,0))</f>
        <v>Cellulose - loose fill /  / R 3.7/inch / Includes: AFT, Applegate, Can-Cell, Cell-Pak, Cleanfiber, Climatizer, Fiberlite, Igloo, ICC, Mason City, Nu-Wool, Soprema, Thermo-Kool</v>
      </c>
      <c r="D173" s="15">
        <f>$D$146</f>
        <v>0</v>
      </c>
      <c r="E173" s="16" t="str">
        <f>'USER INPUT SHEET'!$F$37</f>
        <v>m2</v>
      </c>
      <c r="F173" s="3">
        <v>1</v>
      </c>
      <c r="G173" s="670"/>
      <c r="H173" s="8"/>
      <c r="I173" s="92">
        <f t="shared" si="70"/>
        <v>0</v>
      </c>
      <c r="J173" s="93" t="str">
        <f t="shared" si="71"/>
        <v/>
      </c>
      <c r="K173" s="406">
        <f>$D173*$F173*VLOOKUP($C173,'Master sheet'!$A:$AL,13,FALSE)*($E$170/5.678)</f>
        <v>0</v>
      </c>
      <c r="L173" s="94">
        <f>$D173*$F173*VLOOKUP($C173,'Master sheet'!$A:$AL,27,FALSE)*($E$170/5.678)</f>
        <v>0</v>
      </c>
      <c r="M173" s="1552"/>
      <c r="N173" s="1552"/>
      <c r="O173" s="25" t="str">
        <f ca="1">_xlfn.IFNA(VLOOKUP($C173,'Master sheet'!$A:$AR,44,FALSE),"")&amp;""</f>
        <v>Expired 2024</v>
      </c>
      <c r="P173" s="685"/>
      <c r="Q173" s="240" t="str">
        <f>D$1</f>
        <v>ROOF</v>
      </c>
      <c r="R173" s="852" t="s">
        <v>95</v>
      </c>
      <c r="S173" s="664"/>
      <c r="T173" s="664"/>
      <c r="U173" s="664"/>
      <c r="V173" s="664"/>
      <c r="W173" s="664"/>
      <c r="X173" s="664"/>
      <c r="Y173" s="664"/>
      <c r="Z173" s="664"/>
    </row>
    <row r="174" spans="1:27" s="624" customFormat="1" ht="31.5" customHeight="1" x14ac:dyDescent="0.3">
      <c r="C174" s="673" t="str">
        <f>INDEX('Master sheet'!$A$1:$A$670,MATCH(35,'Master sheet'!$AN$1:$AN$670,0))</f>
        <v>Cellulose - spray applied / R 3.75/inch / International Cellulose Corp. / K-13, ThermoCon</v>
      </c>
      <c r="D174" s="17">
        <f>$D$146</f>
        <v>0</v>
      </c>
      <c r="E174" s="18" t="str">
        <f>'USER INPUT SHEET'!$F$37</f>
        <v>m2</v>
      </c>
      <c r="F174" s="4">
        <v>1</v>
      </c>
      <c r="G174" s="674"/>
      <c r="H174" s="9"/>
      <c r="I174" s="95">
        <f>K174-L174</f>
        <v>0</v>
      </c>
      <c r="J174" s="96" t="str">
        <f>IF(H174=1,I174,"")</f>
        <v/>
      </c>
      <c r="K174" s="407">
        <f>$D174*$F174*VLOOKUP($C174,'Master sheet'!$A:$AL,13,FALSE)*($E$170/5.678)</f>
        <v>0</v>
      </c>
      <c r="L174" s="97">
        <f>$D174*$F174*VLOOKUP($C174,'Master sheet'!$A:$AL,27,FALSE)*($E$170/5.678)</f>
        <v>0</v>
      </c>
      <c r="M174" s="1610"/>
      <c r="N174" s="1610"/>
      <c r="O174" s="25" t="str">
        <f ca="1">_xlfn.IFNA(VLOOKUP($C174,'Master sheet'!$A:$AR,44,FALSE),"")&amp;""</f>
        <v>Expired 2025</v>
      </c>
      <c r="P174" s="637"/>
      <c r="Q174" s="241" t="str">
        <f>D$1</f>
        <v>ROOF</v>
      </c>
      <c r="R174" s="843" t="s">
        <v>95</v>
      </c>
      <c r="S174" s="638"/>
      <c r="T174" s="638"/>
      <c r="U174" s="638"/>
      <c r="V174" s="638"/>
      <c r="W174" s="638"/>
      <c r="X174" s="638"/>
      <c r="Y174" s="638"/>
      <c r="Z174" s="638"/>
    </row>
    <row r="175" spans="1:27" s="624" customFormat="1" ht="22.8" x14ac:dyDescent="0.3">
      <c r="A175" s="639"/>
      <c r="B175" s="1524" t="s">
        <v>969</v>
      </c>
      <c r="C175" s="1523"/>
      <c r="D175" s="687" t="str">
        <f>IF(LOWER(Setting!rng_language)="english","R-VALUE:","VALEUR R :")</f>
        <v>R-VALUE:</v>
      </c>
      <c r="E175" s="1"/>
      <c r="F175" s="325"/>
      <c r="G175" s="678"/>
      <c r="H175" s="679"/>
      <c r="I175" s="676"/>
      <c r="J175" s="643"/>
      <c r="K175" s="676"/>
      <c r="L175" s="677"/>
      <c r="M175" s="677"/>
      <c r="N175" s="677"/>
      <c r="O175" s="25" t="str">
        <f>_xlfn.IFNA(VLOOKUP($C175,'Master sheet'!$A:$AR,44,FALSE),"")&amp;""</f>
        <v/>
      </c>
      <c r="P175" s="637"/>
      <c r="Q175" s="843"/>
      <c r="R175" s="843"/>
      <c r="S175" s="638"/>
      <c r="T175" s="638"/>
      <c r="U175" s="638"/>
      <c r="V175" s="638"/>
      <c r="W175" s="638"/>
      <c r="X175" s="638"/>
      <c r="Y175" s="638"/>
      <c r="Z175" s="638"/>
    </row>
    <row r="176" spans="1:27" s="624" customFormat="1" ht="23.25" customHeight="1" x14ac:dyDescent="0.3">
      <c r="A176" s="619"/>
      <c r="B176" s="619"/>
      <c r="C176" s="673" t="str">
        <f>INDEX('Master sheet'!$A$1:$A$670,MATCH("A122",'Master sheet'!$AN$1:$AN$670,0))</f>
        <v>Wood fiber batt / Steico / SteicoFlex / R 3.8/inch</v>
      </c>
      <c r="D176" s="17">
        <f>$D$146</f>
        <v>0</v>
      </c>
      <c r="E176" s="18" t="str">
        <f>'USER INPUT SHEET'!$F$37</f>
        <v>m2</v>
      </c>
      <c r="F176" s="4">
        <v>1</v>
      </c>
      <c r="G176" s="674"/>
      <c r="H176" s="9"/>
      <c r="I176" s="95">
        <f t="shared" si="70"/>
        <v>0</v>
      </c>
      <c r="J176" s="96" t="str">
        <f t="shared" si="71"/>
        <v/>
      </c>
      <c r="K176" s="407">
        <f>$D176*$F176*VLOOKUP($C176,'Master sheet'!$A:$AL,13,FALSE)*($E$175/5.678)</f>
        <v>0</v>
      </c>
      <c r="L176" s="97">
        <f>$D176*$F176*VLOOKUP($C176,'Master sheet'!$A:$AL,27,FALSE)*($E$175/5.678)</f>
        <v>0</v>
      </c>
      <c r="M176" s="1610"/>
      <c r="N176" s="1610"/>
      <c r="O176" s="25" t="str">
        <f>_xlfn.IFNA(VLOOKUP($C176,'Master sheet'!$A:$AR,44,FALSE),"")&amp;""</f>
        <v/>
      </c>
      <c r="P176" s="637"/>
      <c r="Q176" s="241" t="str">
        <f>D$1</f>
        <v>ROOF</v>
      </c>
      <c r="R176" s="843" t="s">
        <v>95</v>
      </c>
      <c r="S176" s="638"/>
      <c r="T176" s="638"/>
      <c r="U176" s="638"/>
      <c r="V176" s="638"/>
      <c r="W176" s="638"/>
      <c r="X176" s="638"/>
      <c r="Y176" s="638"/>
      <c r="Z176" s="638"/>
    </row>
    <row r="177" spans="1:26" s="624" customFormat="1" ht="22.8" x14ac:dyDescent="0.3">
      <c r="A177" s="639"/>
      <c r="B177" s="1524" t="s">
        <v>56</v>
      </c>
      <c r="C177" s="1523"/>
      <c r="D177" s="687" t="str">
        <f>IF(LOWER(Setting!rng_language)="english","R-VALUE:","VALEUR R :")</f>
        <v>R-VALUE:</v>
      </c>
      <c r="E177" s="1"/>
      <c r="F177" s="325"/>
      <c r="G177" s="678"/>
      <c r="H177" s="679"/>
      <c r="I177" s="642"/>
      <c r="J177" s="643"/>
      <c r="K177" s="676"/>
      <c r="L177" s="677"/>
      <c r="M177" s="677"/>
      <c r="N177" s="677"/>
      <c r="O177" s="25" t="str">
        <f>_xlfn.IFNA(VLOOKUP($C177,'Master sheet'!$A:$AR,44,FALSE),"")&amp;""</f>
        <v/>
      </c>
      <c r="P177" s="637"/>
      <c r="Q177" s="843"/>
      <c r="R177" s="843"/>
      <c r="S177" s="638"/>
      <c r="T177" s="638"/>
      <c r="U177" s="638"/>
      <c r="V177" s="638"/>
      <c r="W177" s="638"/>
      <c r="X177" s="638"/>
      <c r="Y177" s="638"/>
      <c r="Z177" s="638"/>
    </row>
    <row r="178" spans="1:26" s="624" customFormat="1" ht="23.25" customHeight="1" x14ac:dyDescent="0.3">
      <c r="A178" s="823"/>
      <c r="B178" s="619"/>
      <c r="C178" s="647" t="str">
        <f>INDEX('Master sheet'!$A$1:$A$670,MATCH(254,'Master sheet'!$AN$1:$AN$670,0))</f>
        <v>Wool batt / Havelock Wool /  / R 3.6/inch</v>
      </c>
      <c r="D178" s="13">
        <f>$D$146</f>
        <v>0</v>
      </c>
      <c r="E178" s="14" t="str">
        <f>'USER INPUT SHEET'!$F$37</f>
        <v>m2</v>
      </c>
      <c r="F178" s="2">
        <v>1</v>
      </c>
      <c r="G178" s="648"/>
      <c r="H178" s="7"/>
      <c r="I178" s="88">
        <f t="shared" ref="I178:I189" si="72">K178-L178</f>
        <v>0</v>
      </c>
      <c r="J178" s="89" t="str">
        <f t="shared" ref="J178:J189" si="73">IF(H178=1,I178,"")</f>
        <v/>
      </c>
      <c r="K178" s="404">
        <f>$D178*$F178*VLOOKUP($C178,'Master sheet'!$A:$AL,13,FALSE)*($E$177/5.678)</f>
        <v>0</v>
      </c>
      <c r="L178" s="90">
        <f>$D178*$F178*VLOOKUP($C178,'Master sheet'!$A:$AL,27,FALSE)*($E$177/5.678)</f>
        <v>0</v>
      </c>
      <c r="M178" s="1552"/>
      <c r="N178" s="1552"/>
      <c r="O178" s="25" t="str">
        <f ca="1">_xlfn.IFNA(VLOOKUP($C178,'Master sheet'!$A:$AR,44,FALSE),"")&amp;""</f>
        <v>Expired 2025</v>
      </c>
      <c r="P178" s="637"/>
      <c r="Q178" s="241" t="str">
        <f t="shared" ref="Q178:Q182" si="74">D$1</f>
        <v>ROOF</v>
      </c>
      <c r="R178" s="843" t="s">
        <v>95</v>
      </c>
      <c r="S178" s="638"/>
      <c r="T178" s="638"/>
      <c r="U178" s="638"/>
      <c r="V178" s="638"/>
      <c r="W178" s="638"/>
      <c r="X178" s="638"/>
      <c r="Y178" s="638"/>
      <c r="Z178" s="638"/>
    </row>
    <row r="179" spans="1:26" ht="23.25" customHeight="1" x14ac:dyDescent="0.3">
      <c r="A179" s="619"/>
      <c r="B179" s="619"/>
      <c r="C179" s="669" t="str">
        <f>INDEX('Master sheet'!$A$1:$A$670,MATCH(255,'Master sheet'!$AN$1:$AN$670,0))</f>
        <v>Wool loose fill / Havelock Wool /  / R 4.4/inch</v>
      </c>
      <c r="D179" s="15">
        <f>$D$146</f>
        <v>0</v>
      </c>
      <c r="E179" s="16" t="str">
        <f>'USER INPUT SHEET'!$F$37</f>
        <v>m2</v>
      </c>
      <c r="F179" s="3">
        <v>1</v>
      </c>
      <c r="G179" s="670"/>
      <c r="H179" s="8"/>
      <c r="I179" s="92">
        <f t="shared" si="72"/>
        <v>0</v>
      </c>
      <c r="J179" s="93" t="str">
        <f t="shared" si="73"/>
        <v/>
      </c>
      <c r="K179" s="406">
        <f>$D179*$F179*VLOOKUP($C179,'Master sheet'!$A:$AL,13,FALSE)*($E$177/5.678)</f>
        <v>0</v>
      </c>
      <c r="L179" s="94">
        <f>$D179*$F179*VLOOKUP($C179,'Master sheet'!$A:$AL,27,FALSE)*($E$177/5.678)</f>
        <v>0</v>
      </c>
      <c r="M179" s="1552"/>
      <c r="N179" s="1552"/>
      <c r="O179" s="25" t="str">
        <f ca="1">_xlfn.IFNA(VLOOKUP($C179,'Master sheet'!$A:$AR,44,FALSE),"")&amp;""</f>
        <v/>
      </c>
      <c r="P179" s="685"/>
      <c r="Q179" s="240" t="str">
        <f t="shared" si="74"/>
        <v>ROOF</v>
      </c>
      <c r="R179" s="852" t="s">
        <v>95</v>
      </c>
      <c r="S179" s="664"/>
      <c r="T179" s="664"/>
      <c r="U179" s="664"/>
      <c r="V179" s="664"/>
      <c r="W179" s="664"/>
      <c r="X179" s="664"/>
      <c r="Y179" s="664"/>
      <c r="Z179" s="664"/>
    </row>
    <row r="180" spans="1:26" ht="23.25" customHeight="1" x14ac:dyDescent="0.3">
      <c r="A180" s="619"/>
      <c r="B180" s="619"/>
      <c r="C180" s="669" t="str">
        <f>INDEX('Master sheet'!$A$1:$A$670,MATCH(238,'Master sheet'!$AN$1:$AN$670,0))</f>
        <v>Wood fiber - loose fill / GUTEX / ThermoFiber / R 3.6/inch</v>
      </c>
      <c r="D180" s="15">
        <f>$D$146</f>
        <v>0</v>
      </c>
      <c r="E180" s="16" t="str">
        <f>'USER INPUT SHEET'!$F$37</f>
        <v>m2</v>
      </c>
      <c r="F180" s="3">
        <v>1</v>
      </c>
      <c r="G180" s="670"/>
      <c r="H180" s="8"/>
      <c r="I180" s="92">
        <f t="shared" si="72"/>
        <v>0</v>
      </c>
      <c r="J180" s="93" t="str">
        <f t="shared" si="73"/>
        <v/>
      </c>
      <c r="K180" s="406">
        <f>$D180*$F180*VLOOKUP($C180,'Master sheet'!$A:$AL,13,FALSE)*($E$177/5.678)</f>
        <v>0</v>
      </c>
      <c r="L180" s="94">
        <f>$D180*$F180*VLOOKUP($C180,'Master sheet'!$A:$AL,27,FALSE)*($E$177/5.678)</f>
        <v>0</v>
      </c>
      <c r="M180" s="1552"/>
      <c r="N180" s="1552"/>
      <c r="O180" s="25" t="str">
        <f ca="1">_xlfn.IFNA(VLOOKUP($C180,'Master sheet'!$A:$AR,44,FALSE),"")&amp;""</f>
        <v>Expired 2024</v>
      </c>
      <c r="P180" s="685"/>
      <c r="Q180" s="240" t="str">
        <f t="shared" si="74"/>
        <v>ROOF</v>
      </c>
      <c r="R180" s="852" t="s">
        <v>95</v>
      </c>
      <c r="S180" s="664"/>
      <c r="T180" s="664"/>
      <c r="U180" s="664"/>
      <c r="V180" s="664"/>
      <c r="W180" s="664"/>
      <c r="X180" s="664"/>
      <c r="Y180" s="664"/>
      <c r="Z180" s="664"/>
    </row>
    <row r="181" spans="1:26" ht="23.25" customHeight="1" x14ac:dyDescent="0.3">
      <c r="A181" s="619"/>
      <c r="B181" s="619"/>
      <c r="C181" s="673" t="str">
        <f>INDEX('Master sheet'!$A$1:$A$670,MATCH(412,'Master sheet'!$AN$1:$AN$670,0))</f>
        <v>Straw Bale / SNaB (UK) / Wheat &amp; barley straw / R 2.8/inch</v>
      </c>
      <c r="D181" s="17">
        <f>$D$146</f>
        <v>0</v>
      </c>
      <c r="E181" s="18" t="str">
        <f>'USER INPUT SHEET'!$F$37</f>
        <v>m2</v>
      </c>
      <c r="F181" s="4">
        <v>1</v>
      </c>
      <c r="G181" s="674"/>
      <c r="H181" s="9"/>
      <c r="I181" s="95">
        <f t="shared" ref="I181" si="75">K181-L181</f>
        <v>0</v>
      </c>
      <c r="J181" s="96" t="str">
        <f t="shared" ref="J181" si="76">IF(H181=1,I181,"")</f>
        <v/>
      </c>
      <c r="K181" s="407">
        <f>$D181*$F181*VLOOKUP($C181,'Master sheet'!$A:$AL,13,FALSE)*($E$177/5.678)</f>
        <v>0</v>
      </c>
      <c r="L181" s="97">
        <f>$D181*$F181*VLOOKUP($C181,'Master sheet'!$A:$AL,27,FALSE)*($E$177/5.678)</f>
        <v>0</v>
      </c>
      <c r="M181" s="1552"/>
      <c r="N181" s="1552"/>
      <c r="O181" s="25" t="str">
        <f ca="1">_xlfn.IFNA(VLOOKUP($C181,'Master sheet'!$A:$AR,44,FALSE),"")&amp;""</f>
        <v/>
      </c>
      <c r="P181" s="637"/>
      <c r="Q181" s="241" t="str">
        <f t="shared" ref="Q181" si="77">D$1</f>
        <v>ROOF</v>
      </c>
      <c r="R181" s="843" t="s">
        <v>95</v>
      </c>
      <c r="S181" s="638"/>
      <c r="T181" s="638"/>
      <c r="U181" s="638"/>
      <c r="V181" s="638"/>
      <c r="W181" s="638"/>
      <c r="X181" s="664"/>
      <c r="Y181" s="664"/>
      <c r="Z181" s="664"/>
    </row>
    <row r="182" spans="1:26" s="624" customFormat="1" ht="23.25" customHeight="1" x14ac:dyDescent="0.3">
      <c r="A182" s="619"/>
      <c r="B182" s="619"/>
      <c r="C182" s="673" t="str">
        <f>INDEX('Master sheet'!$A$1:$A$670,MATCH("A54",'Master sheet'!$AN$1:$AN$670,0))</f>
        <v>Hemp fiber batt / NaturFibre / Hemp Wool / R 3.7/inch</v>
      </c>
      <c r="D182" s="17">
        <f>$D$146</f>
        <v>0</v>
      </c>
      <c r="E182" s="18" t="str">
        <f>'USER INPUT SHEET'!$F$37</f>
        <v>m2</v>
      </c>
      <c r="F182" s="4">
        <v>1</v>
      </c>
      <c r="G182" s="674"/>
      <c r="H182" s="9"/>
      <c r="I182" s="95">
        <f t="shared" si="72"/>
        <v>0</v>
      </c>
      <c r="J182" s="96" t="str">
        <f t="shared" si="73"/>
        <v/>
      </c>
      <c r="K182" s="407">
        <f>$D182*$F182*VLOOKUP($C182,'Master sheet'!$A:$AL,13,FALSE)*($E$177/5.678)</f>
        <v>0</v>
      </c>
      <c r="L182" s="97">
        <f>$D182*$F182*VLOOKUP($C182,'Master sheet'!$A:$AL,27,FALSE)*($E$177/5.678)</f>
        <v>0</v>
      </c>
      <c r="M182" s="1610"/>
      <c r="N182" s="1610"/>
      <c r="O182" s="25" t="str">
        <f>_xlfn.IFNA(VLOOKUP($C182,'Master sheet'!$A:$AR,44,FALSE),"")&amp;""</f>
        <v/>
      </c>
      <c r="P182" s="637"/>
      <c r="Q182" s="241" t="str">
        <f t="shared" si="74"/>
        <v>ROOF</v>
      </c>
      <c r="R182" s="843" t="s">
        <v>95</v>
      </c>
      <c r="S182" s="638"/>
      <c r="T182" s="638"/>
      <c r="U182" s="638"/>
      <c r="V182" s="638"/>
      <c r="W182" s="638"/>
      <c r="X182" s="638"/>
      <c r="Y182" s="638"/>
      <c r="Z182" s="638"/>
    </row>
    <row r="183" spans="1:26" s="624" customFormat="1" ht="22.8" x14ac:dyDescent="0.3">
      <c r="A183" s="639"/>
      <c r="B183" s="1524" t="s">
        <v>970</v>
      </c>
      <c r="C183" s="1523"/>
      <c r="D183" s="687" t="str">
        <f>IF(LOWER(Setting!rng_language)="english","R-VALUE:","VALEUR R :")</f>
        <v>R-VALUE:</v>
      </c>
      <c r="E183" s="1"/>
      <c r="F183" s="325"/>
      <c r="G183" s="678"/>
      <c r="H183" s="679"/>
      <c r="I183" s="642"/>
      <c r="J183" s="643"/>
      <c r="K183" s="676"/>
      <c r="L183" s="677"/>
      <c r="M183" s="677"/>
      <c r="N183" s="677"/>
      <c r="O183" s="25" t="str">
        <f>_xlfn.IFNA(VLOOKUP($C183,'Master sheet'!$A:$AR,44,FALSE),"")&amp;""</f>
        <v/>
      </c>
      <c r="P183" s="637"/>
      <c r="Q183" s="843"/>
      <c r="R183" s="843"/>
      <c r="S183" s="638"/>
      <c r="T183" s="638"/>
      <c r="U183" s="638"/>
      <c r="V183" s="638"/>
      <c r="W183" s="638"/>
      <c r="X183" s="638"/>
      <c r="Y183" s="638"/>
      <c r="Z183" s="638"/>
    </row>
    <row r="184" spans="1:26" ht="22.8" x14ac:dyDescent="0.3">
      <c r="A184" s="729"/>
      <c r="B184" s="729"/>
      <c r="C184" s="691" t="s">
        <v>1093</v>
      </c>
      <c r="D184" s="19">
        <f t="shared" ref="D184:D189" si="78">$D$146</f>
        <v>0</v>
      </c>
      <c r="E184" s="20" t="str">
        <f>'USER INPUT SHEET'!$F$37</f>
        <v>m2</v>
      </c>
      <c r="F184" s="6">
        <v>1</v>
      </c>
      <c r="G184" s="692"/>
      <c r="H184" s="10"/>
      <c r="I184" s="98">
        <f>K184-L184</f>
        <v>0</v>
      </c>
      <c r="J184" s="91" t="str">
        <f>IF(H184=1,I184,"")</f>
        <v/>
      </c>
      <c r="K184" s="410">
        <f>F184*AVERAGE(K185:K189)</f>
        <v>0</v>
      </c>
      <c r="L184" s="99">
        <f>F184*AVERAGE(L185:L189)</f>
        <v>0</v>
      </c>
      <c r="M184" s="1552"/>
      <c r="N184" s="1552"/>
      <c r="O184" s="25" t="str">
        <f>_xlfn.IFNA(VLOOKUP($C184,'Master sheet'!$A:$AR,44,FALSE),"")&amp;""</f>
        <v/>
      </c>
      <c r="P184" s="685"/>
      <c r="Q184" s="240" t="str">
        <f t="shared" ref="Q184:Q189" si="79">D$1</f>
        <v>ROOF</v>
      </c>
      <c r="R184" s="852" t="s">
        <v>95</v>
      </c>
      <c r="S184" s="664"/>
      <c r="T184" s="664"/>
      <c r="U184" s="664"/>
      <c r="V184" s="664"/>
      <c r="W184" s="664"/>
      <c r="X184" s="664"/>
      <c r="Y184" s="664"/>
      <c r="Z184" s="664"/>
    </row>
    <row r="185" spans="1:26" ht="31.5" customHeight="1" x14ac:dyDescent="0.3">
      <c r="A185" s="823"/>
      <c r="B185" s="619"/>
      <c r="C185" s="669" t="str">
        <f>INDEX('Master sheet'!$A$1:$A$670,MATCH(124,'Master sheet'!$AN$1:$AN$670,0))</f>
        <v>Hempcrete / Cast in-situ / Site mixed / USA / R 2.1/inch, Avg. mix using NHL &amp; PHL</v>
      </c>
      <c r="D185" s="15">
        <f t="shared" si="78"/>
        <v>0</v>
      </c>
      <c r="E185" s="16" t="str">
        <f>'USER INPUT SHEET'!$F$37</f>
        <v>m2</v>
      </c>
      <c r="F185" s="3">
        <v>1</v>
      </c>
      <c r="G185" s="670"/>
      <c r="H185" s="8"/>
      <c r="I185" s="92">
        <f t="shared" si="72"/>
        <v>0</v>
      </c>
      <c r="J185" s="93" t="str">
        <f t="shared" si="73"/>
        <v/>
      </c>
      <c r="K185" s="406">
        <f>$D185*$F185*VLOOKUP($C185,'Master sheet'!$A:$AL,13,FALSE)*($E$183/5.678)</f>
        <v>0</v>
      </c>
      <c r="L185" s="94">
        <f>$D185*$F185*VLOOKUP($C185,'Master sheet'!$A:$AL,27,FALSE)*($E$183/5.678)</f>
        <v>0</v>
      </c>
      <c r="M185" s="1552"/>
      <c r="N185" s="1552"/>
      <c r="O185" s="25" t="str">
        <f>_xlfn.IFNA(VLOOKUP($C185,'Master sheet'!$A:$AR,44,FALSE),"")&amp;""</f>
        <v>Peer-reviewed LCA, 2020</v>
      </c>
      <c r="P185" s="685"/>
      <c r="Q185" s="240" t="str">
        <f t="shared" si="79"/>
        <v>ROOF</v>
      </c>
      <c r="R185" s="852" t="s">
        <v>95</v>
      </c>
      <c r="S185" s="664"/>
      <c r="T185" s="664"/>
      <c r="U185" s="664"/>
      <c r="V185" s="664"/>
      <c r="W185" s="664"/>
      <c r="X185" s="664"/>
      <c r="Y185" s="664"/>
      <c r="Z185" s="664"/>
    </row>
    <row r="186" spans="1:26" ht="31.5" customHeight="1" x14ac:dyDescent="0.3">
      <c r="A186" s="823"/>
      <c r="B186" s="619"/>
      <c r="C186" s="673" t="str">
        <f>INDEX('Master sheet'!$A$1:$A$670,MATCH(123,'Master sheet'!$AN$1:$AN$670,0))</f>
        <v>Hempcrete / Cast in-situ / Site mixed / Europe / R 2.1/inch, Avg. of 9 mixes</v>
      </c>
      <c r="D186" s="17">
        <f t="shared" si="78"/>
        <v>0</v>
      </c>
      <c r="E186" s="18" t="str">
        <f>'USER INPUT SHEET'!$F$37</f>
        <v>m2</v>
      </c>
      <c r="F186" s="4">
        <v>1</v>
      </c>
      <c r="G186" s="674"/>
      <c r="H186" s="9"/>
      <c r="I186" s="95">
        <f t="shared" ref="I186:I188" si="80">K186-L186</f>
        <v>0</v>
      </c>
      <c r="J186" s="96" t="str">
        <f t="shared" ref="J186:J188" si="81">IF(H186=1,I186,"")</f>
        <v/>
      </c>
      <c r="K186" s="407">
        <f>$D186*$F186*VLOOKUP($C186,'Master sheet'!$A:$AL,13,FALSE)*($E$183/5.678)</f>
        <v>0</v>
      </c>
      <c r="L186" s="97">
        <f>$D186*$F186*VLOOKUP($C186,'Master sheet'!$A:$AL,27,FALSE)*($E$183/5.678)</f>
        <v>0</v>
      </c>
      <c r="M186" s="1552"/>
      <c r="N186" s="1552"/>
      <c r="O186" s="25" t="str">
        <f>_xlfn.IFNA(VLOOKUP($C186,'Master sheet'!$A:$AR,44,FALSE),"")&amp;""</f>
        <v>Peer-reviewed LCA, 2017</v>
      </c>
      <c r="P186" s="637"/>
      <c r="Q186" s="241" t="str">
        <f t="shared" si="79"/>
        <v>ROOF</v>
      </c>
      <c r="R186" s="843" t="s">
        <v>95</v>
      </c>
      <c r="S186" s="638"/>
      <c r="T186" s="638"/>
      <c r="U186" s="638"/>
      <c r="V186" s="638"/>
      <c r="W186" s="638"/>
      <c r="X186" s="664"/>
      <c r="Y186" s="664"/>
      <c r="Z186" s="664"/>
    </row>
    <row r="187" spans="1:26" ht="31.5" customHeight="1" x14ac:dyDescent="0.3">
      <c r="A187" s="823"/>
      <c r="B187" s="619"/>
      <c r="C187" s="673" t="str">
        <f>INDEX('Master sheet'!$A$1:$A$670,MATCH("A57",'Master sheet'!$AN$1:$AN$670,0))</f>
        <v>Hempcrete / Cast in-situ / IsoHemp / Europe / R 2.1/inch</v>
      </c>
      <c r="D187" s="17">
        <f t="shared" si="78"/>
        <v>0</v>
      </c>
      <c r="E187" s="18" t="str">
        <f>'USER INPUT SHEET'!$F$37</f>
        <v>m2</v>
      </c>
      <c r="F187" s="4">
        <v>1</v>
      </c>
      <c r="G187" s="674"/>
      <c r="H187" s="9"/>
      <c r="I187" s="95">
        <f t="shared" si="80"/>
        <v>0</v>
      </c>
      <c r="J187" s="96" t="str">
        <f t="shared" si="81"/>
        <v/>
      </c>
      <c r="K187" s="407">
        <f>$D187*$F187*VLOOKUP($C187,'Master sheet'!$A:$AL,13,FALSE)*($E$183/5.678)</f>
        <v>0</v>
      </c>
      <c r="L187" s="97">
        <f>$D187*$F187*VLOOKUP($C187,'Master sheet'!$A:$AL,27,FALSE)*($E$183/5.678)</f>
        <v>0</v>
      </c>
      <c r="M187" s="1552"/>
      <c r="N187" s="1552"/>
      <c r="O187" s="25" t="str">
        <f>_xlfn.IFNA(VLOOKUP($C187,'Master sheet'!$A:$AR,44,FALSE),"")&amp;""</f>
        <v/>
      </c>
      <c r="P187" s="637"/>
      <c r="Q187" s="241" t="str">
        <f t="shared" si="79"/>
        <v>ROOF</v>
      </c>
      <c r="R187" s="843" t="s">
        <v>95</v>
      </c>
      <c r="S187" s="638"/>
      <c r="T187" s="638"/>
      <c r="U187" s="638"/>
      <c r="V187" s="638"/>
      <c r="W187" s="638"/>
      <c r="X187" s="664"/>
      <c r="Y187" s="664"/>
      <c r="Z187" s="664"/>
    </row>
    <row r="188" spans="1:26" ht="31.5" customHeight="1" x14ac:dyDescent="0.3">
      <c r="A188" s="823"/>
      <c r="B188" s="619"/>
      <c r="C188" s="673" t="str">
        <f>INDEX('Master sheet'!$A$1:$A$670,MATCH("A60",'Master sheet'!$AN$1:$AN$670,0))</f>
        <v xml:space="preserve">Hempcrete / Cast in-situ / Senini / Bio Beton Jet / 230 kg/m3 / R 2.7/inch </v>
      </c>
      <c r="D188" s="17">
        <f t="shared" si="78"/>
        <v>0</v>
      </c>
      <c r="E188" s="18" t="str">
        <f>'USER INPUT SHEET'!$F$37</f>
        <v>m2</v>
      </c>
      <c r="F188" s="4">
        <v>1</v>
      </c>
      <c r="G188" s="674"/>
      <c r="H188" s="9"/>
      <c r="I188" s="95">
        <f t="shared" si="80"/>
        <v>0</v>
      </c>
      <c r="J188" s="96" t="str">
        <f t="shared" si="81"/>
        <v/>
      </c>
      <c r="K188" s="407">
        <f>$D188*$F188*VLOOKUP($C188,'Master sheet'!$A:$AL,13,FALSE)*($E$183/5.678)</f>
        <v>0</v>
      </c>
      <c r="L188" s="97">
        <f>$D188*$F188*VLOOKUP($C188,'Master sheet'!$A:$AL,27,FALSE)*($E$183/5.678)</f>
        <v>0</v>
      </c>
      <c r="M188" s="1552"/>
      <c r="N188" s="1552"/>
      <c r="O188" s="25" t="str">
        <f>_xlfn.IFNA(VLOOKUP($C188,'Master sheet'!$A:$AR,44,FALSE),"")&amp;""</f>
        <v/>
      </c>
      <c r="P188" s="637"/>
      <c r="Q188" s="241" t="str">
        <f t="shared" si="79"/>
        <v>ROOF</v>
      </c>
      <c r="R188" s="843" t="s">
        <v>95</v>
      </c>
      <c r="S188" s="638"/>
      <c r="T188" s="638"/>
      <c r="U188" s="638"/>
      <c r="V188" s="638"/>
      <c r="W188" s="638"/>
      <c r="X188" s="664"/>
      <c r="Y188" s="664"/>
      <c r="Z188" s="664"/>
    </row>
    <row r="189" spans="1:26" s="624" customFormat="1" ht="31.2" x14ac:dyDescent="0.3">
      <c r="A189" s="619"/>
      <c r="B189" s="619"/>
      <c r="C189" s="673" t="str">
        <f>INDEX('Master sheet'!$A$1:$A$670,MATCH("A61",'Master sheet'!$AN$1:$AN$670,0))</f>
        <v xml:space="preserve">Hempcrete dry fill / Senini / Bio Beton Pronto / 190 kg/m3 / R 2.7/inch </v>
      </c>
      <c r="D189" s="17">
        <f t="shared" si="78"/>
        <v>0</v>
      </c>
      <c r="E189" s="18" t="str">
        <f>'USER INPUT SHEET'!$F$37</f>
        <v>m2</v>
      </c>
      <c r="F189" s="4">
        <v>1</v>
      </c>
      <c r="G189" s="674"/>
      <c r="H189" s="9"/>
      <c r="I189" s="95">
        <f t="shared" si="72"/>
        <v>0</v>
      </c>
      <c r="J189" s="96" t="str">
        <f t="shared" si="73"/>
        <v/>
      </c>
      <c r="K189" s="407">
        <f>$D189*$F189*VLOOKUP($C189,'Master sheet'!$A:$AL,13,FALSE)*($E$183/5.678)</f>
        <v>0</v>
      </c>
      <c r="L189" s="97">
        <f>$D189*$F189*VLOOKUP($C189,'Master sheet'!$A:$AL,27,FALSE)*($E$183/5.678)</f>
        <v>0</v>
      </c>
      <c r="M189" s="1610"/>
      <c r="N189" s="1610"/>
      <c r="O189" s="25" t="str">
        <f>_xlfn.IFNA(VLOOKUP($C189,'Master sheet'!$A:$AR,44,FALSE),"")&amp;""</f>
        <v/>
      </c>
      <c r="P189" s="637"/>
      <c r="Q189" s="241" t="str">
        <f t="shared" si="79"/>
        <v>ROOF</v>
      </c>
      <c r="R189" s="843" t="s">
        <v>95</v>
      </c>
      <c r="S189" s="638"/>
      <c r="T189" s="638"/>
      <c r="U189" s="638"/>
      <c r="V189" s="638"/>
      <c r="W189" s="638"/>
      <c r="X189" s="638"/>
      <c r="Y189" s="638"/>
      <c r="Z189" s="638"/>
    </row>
    <row r="190" spans="1:26" s="624" customFormat="1" ht="54.75" customHeight="1" x14ac:dyDescent="0.25">
      <c r="A190" s="1522" t="s">
        <v>4781</v>
      </c>
      <c r="B190" s="1523"/>
      <c r="C190" s="1523"/>
      <c r="D190" s="629" t="str">
        <f>IF(LOWER(Setting!rng_language)="english","R-VALUE:","VALEUR R :")</f>
        <v>R-VALUE:</v>
      </c>
      <c r="E190" s="1"/>
      <c r="F190" s="1637" t="s">
        <v>1547</v>
      </c>
      <c r="G190" s="1637"/>
      <c r="H190" s="1637"/>
      <c r="I190" s="103"/>
      <c r="J190" s="103"/>
      <c r="K190" s="1"/>
      <c r="L190" s="759"/>
      <c r="M190" s="759"/>
      <c r="N190" s="759"/>
      <c r="O190" s="25" t="str">
        <f>_xlfn.IFNA(VLOOKUP($C190,'Master sheet'!$A:$AR,44,FALSE),"")&amp;""</f>
        <v/>
      </c>
      <c r="P190" s="637"/>
      <c r="Q190" s="761"/>
      <c r="R190" s="728"/>
      <c r="T190" s="638"/>
      <c r="U190" s="638"/>
      <c r="V190" s="638"/>
      <c r="W190" s="638"/>
      <c r="X190" s="638"/>
      <c r="Y190" s="638"/>
      <c r="Z190" s="638"/>
    </row>
    <row r="191" spans="1:26" s="624" customFormat="1" ht="22.8" x14ac:dyDescent="0.25">
      <c r="A191" s="639"/>
      <c r="B191" s="1524" t="s">
        <v>1024</v>
      </c>
      <c r="C191" s="1523"/>
      <c r="D191" s="687" t="str">
        <f>IF(LOWER(Setting!rng_language)="english","R-VALUE:","VALEUR R :")</f>
        <v>R-VALUE:</v>
      </c>
      <c r="E191" s="1"/>
      <c r="F191" s="325"/>
      <c r="G191" s="678"/>
      <c r="H191" s="679"/>
      <c r="I191" s="642"/>
      <c r="J191" s="643"/>
      <c r="K191" s="676"/>
      <c r="L191" s="727"/>
      <c r="M191" s="727"/>
      <c r="N191" s="727"/>
      <c r="O191" s="25" t="str">
        <f>_xlfn.IFNA(VLOOKUP($C191,'Master sheet'!$A:$AR,44,FALSE),"")&amp;""</f>
        <v/>
      </c>
      <c r="P191" s="685"/>
      <c r="Q191" s="728"/>
      <c r="R191" s="728"/>
      <c r="T191" s="638"/>
      <c r="U191" s="638"/>
      <c r="V191" s="638"/>
      <c r="W191" s="638"/>
      <c r="X191" s="638"/>
      <c r="Y191" s="638"/>
      <c r="Z191" s="638"/>
    </row>
    <row r="192" spans="1:26" ht="22.8" x14ac:dyDescent="0.3">
      <c r="A192" s="729"/>
      <c r="B192" s="729"/>
      <c r="C192" s="691" t="s">
        <v>1051</v>
      </c>
      <c r="D192" s="19">
        <f>IF(OR($I$190="Roof surface",$I$190="Surface de toit"), 'USER INPUT SHEET'!$D$37,'USER INPUT SHEET'!$D$38)</f>
        <v>0</v>
      </c>
      <c r="E192" s="20" t="str">
        <f>'USER INPUT SHEET'!$F$37</f>
        <v>m2</v>
      </c>
      <c r="F192" s="6">
        <v>1</v>
      </c>
      <c r="G192" s="692"/>
      <c r="H192" s="10"/>
      <c r="I192" s="98">
        <f>K192-L192</f>
        <v>0</v>
      </c>
      <c r="J192" s="91" t="str">
        <f>IF(H192=1,I192,"")</f>
        <v/>
      </c>
      <c r="K192" s="410">
        <f>F192*AVERAGE(K193:K200)</f>
        <v>0</v>
      </c>
      <c r="L192" s="99">
        <f>F192*AVERAGE(L193:L200)</f>
        <v>0</v>
      </c>
      <c r="M192" s="1552"/>
      <c r="N192" s="1552"/>
      <c r="O192" s="25" t="str">
        <f>_xlfn.IFNA(VLOOKUP($C192,'Master sheet'!$A:$AR,44,FALSE),"")&amp;""</f>
        <v/>
      </c>
      <c r="P192" s="685"/>
      <c r="Q192" s="241" t="str">
        <f>D$1</f>
        <v>ROOF</v>
      </c>
      <c r="R192" s="757" t="s">
        <v>1545</v>
      </c>
      <c r="S192" s="664"/>
      <c r="T192" s="664"/>
      <c r="U192" s="664"/>
      <c r="V192" s="664"/>
      <c r="W192" s="664"/>
      <c r="X192" s="664"/>
      <c r="Y192" s="664"/>
      <c r="Z192" s="664"/>
    </row>
    <row r="193" spans="1:26" ht="31.5" customHeight="1" x14ac:dyDescent="0.3">
      <c r="A193" s="1600"/>
      <c r="B193" s="1564"/>
      <c r="C193" s="673" t="str">
        <f>INDEX('Master sheet'!$A$1:$A$670,MATCH("A28",'Master sheet'!$AN$1:$AN$670,0))</f>
        <v>EPS foam board / EPS Industry Alliance /  / R 3.6/inch, Type I, 10 psi (70 kPa)</v>
      </c>
      <c r="D193" s="17">
        <f t="shared" ref="D193:D200" si="82">$D$192</f>
        <v>0</v>
      </c>
      <c r="E193" s="18" t="str">
        <f>'USER INPUT SHEET'!$F$37</f>
        <v>m2</v>
      </c>
      <c r="F193" s="4">
        <v>1</v>
      </c>
      <c r="G193" s="674"/>
      <c r="H193" s="9"/>
      <c r="I193" s="95">
        <f t="shared" ref="I193:I199" si="83">K193-L193</f>
        <v>0</v>
      </c>
      <c r="J193" s="96" t="str">
        <f t="shared" ref="J193:J199" si="84">IF(H193=1,I193,"")</f>
        <v/>
      </c>
      <c r="K193" s="407">
        <f>$D193*($E$191/5.678)*$F193*VLOOKUP($C193,'Master sheet'!$A:$AL,13,FALSE)</f>
        <v>0</v>
      </c>
      <c r="L193" s="97">
        <f>$D193*($E$191/5.678)*$F193*VLOOKUP($C193,'Master sheet'!$A:$AL,27,FALSE)</f>
        <v>0</v>
      </c>
      <c r="M193" s="1552"/>
      <c r="N193" s="1552"/>
      <c r="O193" s="25" t="str">
        <f>_xlfn.IFNA(VLOOKUP($C193,'Master sheet'!$A:$AR,44,FALSE),"")&amp;""</f>
        <v/>
      </c>
      <c r="Q193" s="241" t="str">
        <f t="shared" ref="Q193:Q200" si="85">D$1</f>
        <v>ROOF</v>
      </c>
      <c r="R193" s="757" t="s">
        <v>1545</v>
      </c>
      <c r="T193" s="664"/>
      <c r="U193" s="664"/>
      <c r="V193" s="664"/>
      <c r="W193" s="664"/>
      <c r="X193" s="664"/>
      <c r="Y193" s="664"/>
      <c r="Z193" s="664"/>
    </row>
    <row r="194" spans="1:26" ht="31.5" customHeight="1" x14ac:dyDescent="0.3">
      <c r="A194" s="1600"/>
      <c r="B194" s="1564"/>
      <c r="C194" s="673" t="str">
        <f>INDEX('Master sheet'!$A$1:$A$670,MATCH("A29",'Master sheet'!$AN$1:$AN$670,0))</f>
        <v>EPS foam board / EPS Industry Alliance /  / R 4.0/inch, Type II, 15 psi (100 kPa)</v>
      </c>
      <c r="D194" s="17">
        <f t="shared" si="82"/>
        <v>0</v>
      </c>
      <c r="E194" s="18" t="str">
        <f>'USER INPUT SHEET'!$F$37</f>
        <v>m2</v>
      </c>
      <c r="F194" s="4">
        <v>1</v>
      </c>
      <c r="G194" s="674"/>
      <c r="H194" s="9"/>
      <c r="I194" s="95">
        <f t="shared" si="83"/>
        <v>0</v>
      </c>
      <c r="J194" s="96" t="str">
        <f t="shared" si="84"/>
        <v/>
      </c>
      <c r="K194" s="407">
        <f>$D194*($E$191/5.678)*$F194*VLOOKUP($C194,'Master sheet'!$A:$AL,13,FALSE)</f>
        <v>0</v>
      </c>
      <c r="L194" s="97">
        <f>$D194*($E$191/5.678)*$F194*VLOOKUP($C194,'Master sheet'!$A:$AL,27,FALSE)</f>
        <v>0</v>
      </c>
      <c r="M194" s="1552"/>
      <c r="N194" s="1552"/>
      <c r="O194" s="25" t="str">
        <f>_xlfn.IFNA(VLOOKUP($C194,'Master sheet'!$A:$AR,44,FALSE),"")&amp;""</f>
        <v/>
      </c>
      <c r="Q194" s="241" t="str">
        <f t="shared" si="85"/>
        <v>ROOF</v>
      </c>
      <c r="R194" s="757" t="s">
        <v>1545</v>
      </c>
      <c r="T194" s="664"/>
      <c r="U194" s="664"/>
      <c r="V194" s="664"/>
      <c r="W194" s="664"/>
      <c r="X194" s="664"/>
      <c r="Y194" s="664"/>
      <c r="Z194" s="664"/>
    </row>
    <row r="195" spans="1:26" ht="31.5" customHeight="1" x14ac:dyDescent="0.3">
      <c r="A195" s="1600"/>
      <c r="B195" s="1564"/>
      <c r="C195" s="673" t="str">
        <f>INDEX('Master sheet'!$A$1:$A$670,MATCH("A30",'Master sheet'!$AN$1:$AN$670,0))</f>
        <v>EPS foam board / EPS Industry Alliance /  / R 4.2/inch, Type IX, 25 psi (170 kPa)</v>
      </c>
      <c r="D195" s="17">
        <f t="shared" si="82"/>
        <v>0</v>
      </c>
      <c r="E195" s="18" t="str">
        <f>'USER INPUT SHEET'!$F$37</f>
        <v>m2</v>
      </c>
      <c r="F195" s="4">
        <v>1</v>
      </c>
      <c r="G195" s="674"/>
      <c r="H195" s="9"/>
      <c r="I195" s="95">
        <f t="shared" si="83"/>
        <v>0</v>
      </c>
      <c r="J195" s="96" t="str">
        <f t="shared" si="84"/>
        <v/>
      </c>
      <c r="K195" s="407">
        <f>$D195*($E$191/5.678)*$F195*VLOOKUP($C195,'Master sheet'!$A:$AL,13,FALSE)</f>
        <v>0</v>
      </c>
      <c r="L195" s="97">
        <f>$D195*($E$191/5.678)*$F195*VLOOKUP($C195,'Master sheet'!$A:$AL,27,FALSE)</f>
        <v>0</v>
      </c>
      <c r="M195" s="1552"/>
      <c r="N195" s="1552"/>
      <c r="O195" s="25" t="str">
        <f>_xlfn.IFNA(VLOOKUP($C195,'Master sheet'!$A:$AR,44,FALSE),"")&amp;""</f>
        <v/>
      </c>
      <c r="Q195" s="241" t="str">
        <f t="shared" si="85"/>
        <v>ROOF</v>
      </c>
      <c r="R195" s="757" t="s">
        <v>1545</v>
      </c>
      <c r="T195" s="664"/>
      <c r="U195" s="664"/>
      <c r="V195" s="664"/>
      <c r="W195" s="664"/>
      <c r="X195" s="664"/>
      <c r="Y195" s="664"/>
      <c r="Z195" s="664"/>
    </row>
    <row r="196" spans="1:26" ht="31.5" customHeight="1" x14ac:dyDescent="0.3">
      <c r="A196" s="1600"/>
      <c r="B196" s="1564"/>
      <c r="C196" s="673" t="str">
        <f>INDEX('Master sheet'!$A$1:$A$670,MATCH("A31",'Master sheet'!$AN$1:$AN$670,0))</f>
        <v>EPS foam board / EPS Industry Alliance /  / R 4.3/inch, Type XV, 60 psi (400 kPa)</v>
      </c>
      <c r="D196" s="17">
        <f t="shared" si="82"/>
        <v>0</v>
      </c>
      <c r="E196" s="18" t="str">
        <f>'USER INPUT SHEET'!$F$37</f>
        <v>m2</v>
      </c>
      <c r="F196" s="4">
        <v>1</v>
      </c>
      <c r="G196" s="674"/>
      <c r="H196" s="9"/>
      <c r="I196" s="95">
        <f t="shared" si="83"/>
        <v>0</v>
      </c>
      <c r="J196" s="96" t="str">
        <f t="shared" si="84"/>
        <v/>
      </c>
      <c r="K196" s="407">
        <f>$D196*($E$191/5.678)*$F196*VLOOKUP($C196,'Master sheet'!$A:$AL,13,FALSE)</f>
        <v>0</v>
      </c>
      <c r="L196" s="97">
        <f>$D196*($E$191/5.678)*$F196*VLOOKUP($C196,'Master sheet'!$A:$AL,27,FALSE)</f>
        <v>0</v>
      </c>
      <c r="M196" s="1552"/>
      <c r="N196" s="1552"/>
      <c r="O196" s="25" t="str">
        <f>_xlfn.IFNA(VLOOKUP($C196,'Master sheet'!$A:$AR,44,FALSE),"")&amp;""</f>
        <v/>
      </c>
      <c r="Q196" s="241" t="str">
        <f t="shared" si="85"/>
        <v>ROOF</v>
      </c>
      <c r="R196" s="757" t="s">
        <v>1545</v>
      </c>
      <c r="T196" s="664"/>
      <c r="U196" s="664"/>
      <c r="V196" s="664"/>
      <c r="W196" s="664"/>
      <c r="X196" s="664"/>
      <c r="Y196" s="664"/>
      <c r="Z196" s="664"/>
    </row>
    <row r="197" spans="1:26" ht="31.5" customHeight="1" x14ac:dyDescent="0.3">
      <c r="A197" s="1600"/>
      <c r="B197" s="1564"/>
      <c r="C197" s="673" t="str">
        <f>INDEX('Master sheet'!$A$1:$A$670,MATCH("A33",'Master sheet'!$AN$1:$AN$670,0))</f>
        <v>EPS foam board with graphite / BASF  / Neopor F 5200 &amp; F 5300 Plus BMB / R 4.7/inch, Type II, 15 psi (Type 2, 110 kPa)</v>
      </c>
      <c r="D197" s="17">
        <f t="shared" si="82"/>
        <v>0</v>
      </c>
      <c r="E197" s="18" t="str">
        <f>'USER INPUT SHEET'!$F$37</f>
        <v>m2</v>
      </c>
      <c r="F197" s="4">
        <v>1</v>
      </c>
      <c r="G197" s="674"/>
      <c r="H197" s="9"/>
      <c r="I197" s="95">
        <f t="shared" si="83"/>
        <v>0</v>
      </c>
      <c r="J197" s="96" t="str">
        <f t="shared" si="84"/>
        <v/>
      </c>
      <c r="K197" s="407">
        <f>$D197*($E$191/5.678)*$F197*VLOOKUP($C197,'Master sheet'!$A:$AL,13,FALSE)</f>
        <v>0</v>
      </c>
      <c r="L197" s="97">
        <f>$D197*($E$191/5.678)*$F197*VLOOKUP($C197,'Master sheet'!$A:$AL,27,FALSE)</f>
        <v>0</v>
      </c>
      <c r="M197" s="1552"/>
      <c r="N197" s="1552"/>
      <c r="O197" s="25" t="str">
        <f>_xlfn.IFNA(VLOOKUP($C197,'Master sheet'!$A:$AR,44,FALSE),"")&amp;""</f>
        <v/>
      </c>
      <c r="Q197" s="241" t="str">
        <f t="shared" si="85"/>
        <v>ROOF</v>
      </c>
      <c r="R197" s="757" t="s">
        <v>1545</v>
      </c>
      <c r="T197" s="664"/>
      <c r="U197" s="664"/>
      <c r="V197" s="664"/>
      <c r="W197" s="664"/>
      <c r="X197" s="664"/>
      <c r="Y197" s="664"/>
      <c r="Z197" s="664"/>
    </row>
    <row r="198" spans="1:26" ht="31.5" customHeight="1" x14ac:dyDescent="0.3">
      <c r="A198" s="1600"/>
      <c r="B198" s="1564"/>
      <c r="C198" s="673" t="str">
        <f>INDEX('Master sheet'!$A$1:$A$670,MATCH("A34",'Master sheet'!$AN$1:$AN$670,0))</f>
        <v>EPS foam board with graphite / BASF  / Neopor F 5200 &amp; F 5300 Plus BMB / R 4.7/inch, Type IX, 25 psi (Type 9, 175 kPa)</v>
      </c>
      <c r="D198" s="17">
        <f t="shared" si="82"/>
        <v>0</v>
      </c>
      <c r="E198" s="18" t="str">
        <f>'USER INPUT SHEET'!$F$37</f>
        <v>m2</v>
      </c>
      <c r="F198" s="4">
        <v>1</v>
      </c>
      <c r="G198" s="674"/>
      <c r="H198" s="9"/>
      <c r="I198" s="95">
        <f t="shared" si="83"/>
        <v>0</v>
      </c>
      <c r="J198" s="96" t="str">
        <f t="shared" si="84"/>
        <v/>
      </c>
      <c r="K198" s="407">
        <f>$D198*($E$191/5.678)*$F198*VLOOKUP($C198,'Master sheet'!$A:$AL,13,FALSE)</f>
        <v>0</v>
      </c>
      <c r="L198" s="97">
        <f>$D198*($E$191/5.678)*$F198*VLOOKUP($C198,'Master sheet'!$A:$AL,27,FALSE)</f>
        <v>0</v>
      </c>
      <c r="M198" s="1552"/>
      <c r="N198" s="1552"/>
      <c r="O198" s="25" t="str">
        <f>_xlfn.IFNA(VLOOKUP($C198,'Master sheet'!$A:$AR,44,FALSE),"")&amp;""</f>
        <v/>
      </c>
      <c r="Q198" s="241" t="str">
        <f t="shared" si="85"/>
        <v>ROOF</v>
      </c>
      <c r="R198" s="757" t="s">
        <v>1545</v>
      </c>
      <c r="T198" s="664"/>
      <c r="U198" s="664"/>
      <c r="V198" s="664"/>
      <c r="W198" s="664"/>
      <c r="X198" s="664"/>
      <c r="Y198" s="664"/>
      <c r="Z198" s="664"/>
    </row>
    <row r="199" spans="1:26" ht="31.5" customHeight="1" x14ac:dyDescent="0.3">
      <c r="A199" s="1600"/>
      <c r="B199" s="1564"/>
      <c r="C199" s="673" t="str">
        <f>INDEX('Master sheet'!$A$1:$A$670,MATCH("A32",'Master sheet'!$AN$1:$AN$670,0))</f>
        <v>EPS foam board with graphite / BASF  / Neopor F 5200 Plus / R 4.7-inch, Type IX, 25 psi</v>
      </c>
      <c r="D199" s="17">
        <f t="shared" si="82"/>
        <v>0</v>
      </c>
      <c r="E199" s="18" t="str">
        <f>'USER INPUT SHEET'!$F$37</f>
        <v>m2</v>
      </c>
      <c r="F199" s="4">
        <v>1</v>
      </c>
      <c r="G199" s="674"/>
      <c r="H199" s="9"/>
      <c r="I199" s="95">
        <f t="shared" si="83"/>
        <v>0</v>
      </c>
      <c r="J199" s="96" t="str">
        <f t="shared" si="84"/>
        <v/>
      </c>
      <c r="K199" s="407">
        <f>$D199*($E$191/5.678)*$F199*VLOOKUP($C199,'Master sheet'!$A:$AL,13,FALSE)</f>
        <v>0</v>
      </c>
      <c r="L199" s="97">
        <f>$D199*($E$191/5.678)*$F199*VLOOKUP($C199,'Master sheet'!$A:$AL,27,FALSE)</f>
        <v>0</v>
      </c>
      <c r="M199" s="1552"/>
      <c r="N199" s="1552"/>
      <c r="O199" s="25" t="str">
        <f>_xlfn.IFNA(VLOOKUP($C199,'Master sheet'!$A:$AR,44,FALSE),"")&amp;""</f>
        <v/>
      </c>
      <c r="Q199" s="241" t="str">
        <f t="shared" si="85"/>
        <v>ROOF</v>
      </c>
      <c r="R199" s="757" t="s">
        <v>1545</v>
      </c>
      <c r="T199" s="664"/>
      <c r="U199" s="664"/>
      <c r="V199" s="664"/>
      <c r="W199" s="664"/>
      <c r="X199" s="664"/>
      <c r="Y199" s="664"/>
      <c r="Z199" s="664"/>
    </row>
    <row r="200" spans="1:26" s="624" customFormat="1" ht="31.5" customHeight="1" x14ac:dyDescent="0.3">
      <c r="A200" s="1564"/>
      <c r="B200" s="1564"/>
      <c r="C200" s="673" t="str">
        <f>INDEX('Master sheet'!$A$1:$A$670,MATCH("A35",'Master sheet'!$AN$1:$AN$670,0))</f>
        <v>EPS foam board with graphite / BASF / Neopor F 5200 Plus / R 4.7/inch, Type II, 15 psi (Type 2, 110 kPa)</v>
      </c>
      <c r="D200" s="17">
        <f t="shared" si="82"/>
        <v>0</v>
      </c>
      <c r="E200" s="18" t="str">
        <f>'USER INPUT SHEET'!$F$37</f>
        <v>m2</v>
      </c>
      <c r="F200" s="4">
        <v>1</v>
      </c>
      <c r="G200" s="674"/>
      <c r="H200" s="9"/>
      <c r="I200" s="95">
        <f t="shared" ref="I200:I236" si="86">K200-L200</f>
        <v>0</v>
      </c>
      <c r="J200" s="96" t="str">
        <f t="shared" ref="J200:J236" si="87">IF(H200=1,I200,"")</f>
        <v/>
      </c>
      <c r="K200" s="407">
        <f>$D200*($E$191/5.678)*$F200*VLOOKUP($C200,'Master sheet'!$A:$AL,13,FALSE)</f>
        <v>0</v>
      </c>
      <c r="L200" s="97">
        <f>$D200*($E$191/5.678)*$F200*VLOOKUP($C200,'Master sheet'!$A:$AL,27,FALSE)</f>
        <v>0</v>
      </c>
      <c r="M200" s="1610"/>
      <c r="N200" s="1610"/>
      <c r="O200" s="25" t="str">
        <f>_xlfn.IFNA(VLOOKUP($C200,'Master sheet'!$A:$AR,44,FALSE),"")&amp;""</f>
        <v/>
      </c>
      <c r="P200" s="685"/>
      <c r="Q200" s="241" t="str">
        <f t="shared" si="85"/>
        <v>ROOF</v>
      </c>
      <c r="R200" s="757" t="s">
        <v>1545</v>
      </c>
      <c r="T200" s="638"/>
      <c r="U200" s="638"/>
      <c r="V200" s="638"/>
      <c r="W200" s="638"/>
      <c r="X200" s="638"/>
      <c r="Y200" s="638"/>
      <c r="Z200" s="638"/>
    </row>
    <row r="201" spans="1:26" s="624" customFormat="1" ht="22.8" x14ac:dyDescent="0.25">
      <c r="A201" s="639"/>
      <c r="B201" s="1524" t="s">
        <v>1035</v>
      </c>
      <c r="C201" s="1523"/>
      <c r="D201" s="687" t="str">
        <f>IF(LOWER(Setting!rng_language)="english","R-VALUE:","VALEUR R :")</f>
        <v>R-VALUE:</v>
      </c>
      <c r="E201" s="1"/>
      <c r="F201" s="325"/>
      <c r="G201" s="678"/>
      <c r="H201" s="679"/>
      <c r="I201" s="642"/>
      <c r="J201" s="643"/>
      <c r="K201" s="676"/>
      <c r="L201" s="727"/>
      <c r="M201" s="727"/>
      <c r="N201" s="727"/>
      <c r="O201" s="25" t="str">
        <f>_xlfn.IFNA(VLOOKUP($C201,'Master sheet'!$A:$AR,44,FALSE),"")&amp;""</f>
        <v/>
      </c>
      <c r="P201" s="637"/>
      <c r="Q201" s="728"/>
      <c r="R201" s="728"/>
      <c r="T201" s="638"/>
      <c r="U201" s="638"/>
      <c r="V201" s="638"/>
      <c r="W201" s="638"/>
      <c r="X201" s="638"/>
      <c r="Y201" s="638"/>
      <c r="Z201" s="638"/>
    </row>
    <row r="202" spans="1:26" ht="22.8" x14ac:dyDescent="0.3">
      <c r="A202" s="729"/>
      <c r="B202" s="729"/>
      <c r="C202" s="691" t="s">
        <v>1355</v>
      </c>
      <c r="D202" s="19">
        <f t="shared" ref="D202:D211" si="88">$D$192</f>
        <v>0</v>
      </c>
      <c r="E202" s="20" t="str">
        <f>'USER INPUT SHEET'!$F$37</f>
        <v>m2</v>
      </c>
      <c r="F202" s="6">
        <v>1</v>
      </c>
      <c r="G202" s="692"/>
      <c r="H202" s="10"/>
      <c r="I202" s="98">
        <f>K202-L202</f>
        <v>0</v>
      </c>
      <c r="J202" s="91" t="str">
        <f>IF(H202=1,I202,"")</f>
        <v/>
      </c>
      <c r="K202" s="410">
        <f>F202*AVERAGE(K203:K211)</f>
        <v>0</v>
      </c>
      <c r="L202" s="99">
        <f>F202*AVERAGE(L203:L211)</f>
        <v>0</v>
      </c>
      <c r="M202" s="1552"/>
      <c r="N202" s="1552"/>
      <c r="O202" s="25" t="str">
        <f>_xlfn.IFNA(VLOOKUP($C202,'Master sheet'!$A:$AR,44,FALSE),"")&amp;""</f>
        <v/>
      </c>
      <c r="P202" s="637"/>
      <c r="Q202" s="241" t="str">
        <f t="shared" ref="Q202:Q203" si="89">D$1</f>
        <v>ROOF</v>
      </c>
      <c r="R202" s="757" t="s">
        <v>1545</v>
      </c>
      <c r="S202" s="664"/>
      <c r="T202" s="664"/>
      <c r="U202" s="664"/>
      <c r="V202" s="664"/>
      <c r="W202" s="664"/>
      <c r="X202" s="664"/>
      <c r="Y202" s="664"/>
      <c r="Z202" s="664"/>
    </row>
    <row r="203" spans="1:26" ht="31.5" customHeight="1" x14ac:dyDescent="0.3">
      <c r="A203" s="1564"/>
      <c r="B203" s="1564"/>
      <c r="C203" s="669" t="str">
        <f>INDEX('Master sheet'!$A$1:$A$670,MATCH(243,'Master sheet'!$AN$1:$AN$670,0))</f>
        <v>Wood fiber board / GUTEX / Multi-Therm / R 3.6/inch, 40-200 mm</v>
      </c>
      <c r="D203" s="17">
        <f t="shared" si="88"/>
        <v>0</v>
      </c>
      <c r="E203" s="16" t="str">
        <f>'USER INPUT SHEET'!$F$37</f>
        <v>m2</v>
      </c>
      <c r="F203" s="3">
        <v>1</v>
      </c>
      <c r="G203" s="670"/>
      <c r="H203" s="8"/>
      <c r="I203" s="92">
        <f t="shared" si="86"/>
        <v>0</v>
      </c>
      <c r="J203" s="93" t="str">
        <f t="shared" si="87"/>
        <v/>
      </c>
      <c r="K203" s="406">
        <f>$D203*($E$201/5.678)*$F203*VLOOKUP($C203,'Master sheet'!$A:$AL,13,FALSE)</f>
        <v>0</v>
      </c>
      <c r="L203" s="94">
        <f>$D203*($E$201/5.678)*$F203*VLOOKUP($C203,'Master sheet'!$A:$AL,27,FALSE)</f>
        <v>0</v>
      </c>
      <c r="M203" s="1552"/>
      <c r="N203" s="1552"/>
      <c r="O203" s="25" t="str">
        <f ca="1">_xlfn.IFNA(VLOOKUP($C203,'Master sheet'!$A:$AR,44,FALSE),"")&amp;""</f>
        <v>Expired 2025</v>
      </c>
      <c r="P203" s="685"/>
      <c r="Q203" s="241" t="str">
        <f t="shared" si="89"/>
        <v>ROOF</v>
      </c>
      <c r="R203" s="757" t="s">
        <v>1545</v>
      </c>
      <c r="T203" s="664"/>
      <c r="U203" s="664"/>
      <c r="V203" s="664"/>
      <c r="W203" s="664"/>
      <c r="X203" s="664"/>
      <c r="Y203" s="664"/>
      <c r="Z203" s="664"/>
    </row>
    <row r="204" spans="1:26" ht="31.2" x14ac:dyDescent="0.3">
      <c r="A204" s="1564"/>
      <c r="B204" s="1564"/>
      <c r="C204" s="673" t="str">
        <f>INDEX('Master sheet'!$A$1:$A$670,MATCH(397,'Master sheet'!$AN$1:$AN$670,0))</f>
        <v>Wood fiber board / North American Fiberboard Association / Includes: MSL, Blue Ridge Fiberboard Inc. / R 2.7/inch</v>
      </c>
      <c r="D204" s="17">
        <f t="shared" si="88"/>
        <v>0</v>
      </c>
      <c r="E204" s="18" t="str">
        <f>'USER INPUT SHEET'!$F$37</f>
        <v>m2</v>
      </c>
      <c r="F204" s="4">
        <v>1</v>
      </c>
      <c r="G204" s="674"/>
      <c r="H204" s="9"/>
      <c r="I204" s="95">
        <f t="shared" ref="I204:I210" si="90">K204-L204</f>
        <v>0</v>
      </c>
      <c r="J204" s="96" t="str">
        <f t="shared" ref="J204:J210" si="91">IF(H204=1,I204,"")</f>
        <v/>
      </c>
      <c r="K204" s="407">
        <f>$D204*($E$201/5.678)*$F204*VLOOKUP($C204,'Master sheet'!$A:$AL,13,FALSE)</f>
        <v>0</v>
      </c>
      <c r="L204" s="97">
        <f>$D204*($E$201/5.678)*$F204*VLOOKUP($C204,'Master sheet'!$A:$AL,27,FALSE)</f>
        <v>0</v>
      </c>
      <c r="M204" s="1552"/>
      <c r="N204" s="1552"/>
      <c r="O204" s="25" t="str">
        <f ca="1">_xlfn.IFNA(VLOOKUP($C204,'Master sheet'!$A:$AR,44,FALSE),"")&amp;""</f>
        <v/>
      </c>
      <c r="P204" s="637"/>
      <c r="Q204" s="241" t="str">
        <f t="shared" ref="Q204:Q211" si="92">D$1</f>
        <v>ROOF</v>
      </c>
      <c r="R204" s="757" t="s">
        <v>1545</v>
      </c>
      <c r="T204" s="664"/>
      <c r="U204" s="664"/>
      <c r="V204" s="664"/>
      <c r="W204" s="664"/>
      <c r="X204" s="664"/>
      <c r="Y204" s="664"/>
      <c r="Z204" s="664"/>
    </row>
    <row r="205" spans="1:26" ht="31.2" x14ac:dyDescent="0.3">
      <c r="A205" s="1564"/>
      <c r="B205" s="1564"/>
      <c r="C205" s="673" t="str">
        <f>INDEX('Master sheet'!$A$1:$A$670,MATCH("A123",'Master sheet'!$AN$1:$AN$670,0))</f>
        <v>Wood fiber board / Pavatex / Isolair, Isoroof, Isolair Multi / R 3.3-inch / 200 kg/m3, 30-80 mm</v>
      </c>
      <c r="D205" s="17">
        <f t="shared" si="88"/>
        <v>0</v>
      </c>
      <c r="E205" s="18" t="str">
        <f>'USER INPUT SHEET'!$F$37</f>
        <v>m2</v>
      </c>
      <c r="F205" s="4">
        <v>1</v>
      </c>
      <c r="G205" s="674"/>
      <c r="H205" s="9"/>
      <c r="I205" s="95">
        <f t="shared" si="90"/>
        <v>0</v>
      </c>
      <c r="J205" s="96" t="str">
        <f t="shared" si="91"/>
        <v/>
      </c>
      <c r="K205" s="407">
        <f>$D205*($E$201/5.678)*$F205*VLOOKUP($C205,'Master sheet'!$A:$AL,13,FALSE)</f>
        <v>0</v>
      </c>
      <c r="L205" s="97">
        <f>$D205*($E$201/5.678)*$F205*VLOOKUP($C205,'Master sheet'!$A:$AL,27,FALSE)</f>
        <v>0</v>
      </c>
      <c r="M205" s="1552"/>
      <c r="N205" s="1552"/>
      <c r="O205" s="25" t="str">
        <f>_xlfn.IFNA(VLOOKUP($C205,'Master sheet'!$A:$AR,44,FALSE),"")&amp;""</f>
        <v/>
      </c>
      <c r="P205" s="637"/>
      <c r="Q205" s="241" t="str">
        <f t="shared" si="92"/>
        <v>ROOF</v>
      </c>
      <c r="R205" s="757" t="s">
        <v>1545</v>
      </c>
      <c r="T205" s="664"/>
      <c r="U205" s="664"/>
      <c r="V205" s="664"/>
      <c r="W205" s="664"/>
      <c r="X205" s="664"/>
      <c r="Y205" s="664"/>
      <c r="Z205" s="664"/>
    </row>
    <row r="206" spans="1:26" ht="31.2" customHeight="1" x14ac:dyDescent="0.3">
      <c r="A206" s="1564"/>
      <c r="B206" s="1564"/>
      <c r="C206" s="673" t="str">
        <f>INDEX('Master sheet'!$A$1:$A$670,MATCH("A124",'Master sheet'!$AN$1:$AN$670,0))</f>
        <v>Wood fiber board / Pavatex / Pavatherm / R 3.3-inch / 110 kg/m3</v>
      </c>
      <c r="D206" s="17">
        <f t="shared" si="88"/>
        <v>0</v>
      </c>
      <c r="E206" s="18" t="str">
        <f>'USER INPUT SHEET'!$F$37</f>
        <v>m2</v>
      </c>
      <c r="F206" s="4">
        <v>1</v>
      </c>
      <c r="G206" s="674"/>
      <c r="H206" s="9"/>
      <c r="I206" s="95">
        <f t="shared" si="90"/>
        <v>0</v>
      </c>
      <c r="J206" s="96" t="str">
        <f t="shared" si="91"/>
        <v/>
      </c>
      <c r="K206" s="407">
        <f>$D206*($E$201/5.678)*$F206*VLOOKUP($C206,'Master sheet'!$A:$AL,13,FALSE)</f>
        <v>0</v>
      </c>
      <c r="L206" s="97">
        <f>$D206*($E$201/5.678)*$F206*VLOOKUP($C206,'Master sheet'!$A:$AL,27,FALSE)</f>
        <v>0</v>
      </c>
      <c r="M206" s="1552"/>
      <c r="N206" s="1552"/>
      <c r="O206" s="25" t="str">
        <f>_xlfn.IFNA(VLOOKUP($C206,'Master sheet'!$A:$AR,44,FALSE),"")&amp;""</f>
        <v/>
      </c>
      <c r="P206" s="637"/>
      <c r="Q206" s="241" t="str">
        <f t="shared" si="92"/>
        <v>ROOF</v>
      </c>
      <c r="R206" s="757" t="s">
        <v>1545</v>
      </c>
      <c r="T206" s="638" t="s">
        <v>7295</v>
      </c>
      <c r="U206" s="664"/>
      <c r="V206" s="664"/>
      <c r="W206" s="664"/>
      <c r="X206" s="664"/>
      <c r="Y206" s="664"/>
      <c r="Z206" s="664"/>
    </row>
    <row r="207" spans="1:26" ht="31.2" x14ac:dyDescent="0.3">
      <c r="A207" s="1564"/>
      <c r="B207" s="1564"/>
      <c r="C207" s="673" t="str">
        <f>INDEX('Master sheet'!$A$1:$A$670,MATCH("A125",'Master sheet'!$AN$1:$AN$670,0))</f>
        <v xml:space="preserve">Wood fiber board / Pavatex / Pavawall GF, Pavawall Bloc, Pavawall GF XL / R 3.3-inch / 130 kg/m3 </v>
      </c>
      <c r="D207" s="17">
        <f t="shared" si="88"/>
        <v>0</v>
      </c>
      <c r="E207" s="18" t="str">
        <f>'USER INPUT SHEET'!$F$37</f>
        <v>m2</v>
      </c>
      <c r="F207" s="4">
        <v>1</v>
      </c>
      <c r="G207" s="674"/>
      <c r="H207" s="9"/>
      <c r="I207" s="95">
        <f t="shared" si="90"/>
        <v>0</v>
      </c>
      <c r="J207" s="96" t="str">
        <f t="shared" si="91"/>
        <v/>
      </c>
      <c r="K207" s="407">
        <f>$D207*($E$201/5.678)*$F207*VLOOKUP($C207,'Master sheet'!$A:$AL,13,FALSE)</f>
        <v>0</v>
      </c>
      <c r="L207" s="97">
        <f>$D207*($E$201/5.678)*$F207*VLOOKUP($C207,'Master sheet'!$A:$AL,27,FALSE)</f>
        <v>0</v>
      </c>
      <c r="M207" s="1552"/>
      <c r="N207" s="1552"/>
      <c r="O207" s="25" t="str">
        <f>_xlfn.IFNA(VLOOKUP($C207,'Master sheet'!$A:$AR,44,FALSE),"")&amp;""</f>
        <v/>
      </c>
      <c r="P207" s="637"/>
      <c r="Q207" s="241" t="str">
        <f t="shared" si="92"/>
        <v>ROOF</v>
      </c>
      <c r="R207" s="757" t="s">
        <v>1545</v>
      </c>
      <c r="T207" s="664"/>
      <c r="U207" s="664"/>
      <c r="V207" s="664"/>
      <c r="W207" s="664"/>
      <c r="X207" s="664"/>
      <c r="Y207" s="664"/>
      <c r="Z207" s="664"/>
    </row>
    <row r="208" spans="1:26" ht="31.2" x14ac:dyDescent="0.3">
      <c r="A208" s="1564"/>
      <c r="B208" s="1564"/>
      <c r="C208" s="673" t="str">
        <f>INDEX('Master sheet'!$A$1:$A$670,MATCH("A126",'Master sheet'!$AN$1:$AN$670,0))</f>
        <v>Wood fiber board / Pavatex / Pavawall Smart, Pavawall Light, Pavawall FW / R 3.3-inch / 115 kg/m3</v>
      </c>
      <c r="D208" s="17">
        <f t="shared" si="88"/>
        <v>0</v>
      </c>
      <c r="E208" s="18" t="str">
        <f>'USER INPUT SHEET'!$F$37</f>
        <v>m2</v>
      </c>
      <c r="F208" s="4">
        <v>1</v>
      </c>
      <c r="G208" s="674"/>
      <c r="H208" s="9"/>
      <c r="I208" s="95">
        <f t="shared" si="90"/>
        <v>0</v>
      </c>
      <c r="J208" s="96" t="str">
        <f t="shared" si="91"/>
        <v/>
      </c>
      <c r="K208" s="407">
        <f>$D208*($E$201/5.678)*$F208*VLOOKUP($C208,'Master sheet'!$A:$AL,13,FALSE)</f>
        <v>0</v>
      </c>
      <c r="L208" s="97">
        <f>$D208*($E$201/5.678)*$F208*VLOOKUP($C208,'Master sheet'!$A:$AL,27,FALSE)</f>
        <v>0</v>
      </c>
      <c r="M208" s="1552"/>
      <c r="N208" s="1552"/>
      <c r="O208" s="25" t="str">
        <f>_xlfn.IFNA(VLOOKUP($C208,'Master sheet'!$A:$AR,44,FALSE),"")&amp;""</f>
        <v/>
      </c>
      <c r="P208" s="637"/>
      <c r="Q208" s="241" t="str">
        <f t="shared" si="92"/>
        <v>ROOF</v>
      </c>
      <c r="R208" s="757" t="s">
        <v>1545</v>
      </c>
      <c r="T208" s="664"/>
      <c r="U208" s="664"/>
      <c r="V208" s="664"/>
      <c r="W208" s="664"/>
      <c r="X208" s="664"/>
      <c r="Y208" s="664"/>
      <c r="Z208" s="664"/>
    </row>
    <row r="209" spans="1:26" ht="31.2" x14ac:dyDescent="0.3">
      <c r="A209" s="1564"/>
      <c r="B209" s="1564"/>
      <c r="C209" s="673" t="str">
        <f>INDEX('Master sheet'!$A$1:$A$670,MATCH("A127",'Master sheet'!$AN$1:$AN$670,0))</f>
        <v xml:space="preserve">Wood fiber board / Steico / STEICOprotect M dry, STEICOroof dry, STEICOspecial dry, STEICOtop / R 3.6-inch, 140 kg/m3 </v>
      </c>
      <c r="D209" s="17">
        <f t="shared" si="88"/>
        <v>0</v>
      </c>
      <c r="E209" s="18" t="str">
        <f>'USER INPUT SHEET'!$F$37</f>
        <v>m2</v>
      </c>
      <c r="F209" s="4">
        <v>1</v>
      </c>
      <c r="G209" s="674"/>
      <c r="H209" s="9"/>
      <c r="I209" s="95">
        <f t="shared" si="90"/>
        <v>0</v>
      </c>
      <c r="J209" s="96" t="str">
        <f t="shared" si="91"/>
        <v/>
      </c>
      <c r="K209" s="407">
        <f>$D209*($E$201/5.678)*$F209*VLOOKUP($C209,'Master sheet'!$A:$AL,13,FALSE)</f>
        <v>0</v>
      </c>
      <c r="L209" s="97">
        <f>$D209*($E$201/5.678)*$F209*VLOOKUP($C209,'Master sheet'!$A:$AL,27,FALSE)</f>
        <v>0</v>
      </c>
      <c r="M209" s="1552"/>
      <c r="N209" s="1552"/>
      <c r="O209" s="25" t="str">
        <f>_xlfn.IFNA(VLOOKUP($C209,'Master sheet'!$A:$AR,44,FALSE),"")&amp;""</f>
        <v/>
      </c>
      <c r="P209" s="637"/>
      <c r="Q209" s="241" t="str">
        <f t="shared" si="92"/>
        <v>ROOF</v>
      </c>
      <c r="R209" s="757" t="s">
        <v>1545</v>
      </c>
      <c r="T209" s="664"/>
      <c r="U209" s="664"/>
      <c r="V209" s="664"/>
      <c r="W209" s="664"/>
      <c r="X209" s="664"/>
      <c r="Y209" s="664"/>
      <c r="Z209" s="664"/>
    </row>
    <row r="210" spans="1:26" ht="31.2" x14ac:dyDescent="0.3">
      <c r="A210" s="1564"/>
      <c r="B210" s="1564"/>
      <c r="C210" s="673" t="str">
        <f>INDEX('Master sheet'!$A$1:$A$670,MATCH("A128",'Master sheet'!$AN$1:$AN$670,0))</f>
        <v>Wood fiber board / Steico / STEICOprotect S dry, STEICOsafe 40, STEICOuniversal dry / R 3.6-inch, 210 kg/m3</v>
      </c>
      <c r="D210" s="17">
        <f t="shared" si="88"/>
        <v>0</v>
      </c>
      <c r="E210" s="18" t="str">
        <f>'USER INPUT SHEET'!$F$37</f>
        <v>m2</v>
      </c>
      <c r="F210" s="4">
        <v>1</v>
      </c>
      <c r="G210" s="674"/>
      <c r="H210" s="9"/>
      <c r="I210" s="95">
        <f t="shared" si="90"/>
        <v>0</v>
      </c>
      <c r="J210" s="96" t="str">
        <f t="shared" si="91"/>
        <v/>
      </c>
      <c r="K210" s="407">
        <f>$D210*($E$201/5.678)*$F210*VLOOKUP($C210,'Master sheet'!$A:$AL,13,FALSE)</f>
        <v>0</v>
      </c>
      <c r="L210" s="97">
        <f>$D210*($E$201/5.678)*$F210*VLOOKUP($C210,'Master sheet'!$A:$AL,27,FALSE)</f>
        <v>0</v>
      </c>
      <c r="M210" s="1552"/>
      <c r="N210" s="1552"/>
      <c r="O210" s="25" t="str">
        <f>_xlfn.IFNA(VLOOKUP($C210,'Master sheet'!$A:$AR,44,FALSE),"")&amp;""</f>
        <v/>
      </c>
      <c r="P210" s="637"/>
      <c r="Q210" s="241" t="str">
        <f t="shared" si="92"/>
        <v>ROOF</v>
      </c>
      <c r="R210" s="757" t="s">
        <v>1545</v>
      </c>
      <c r="T210" s="664"/>
      <c r="U210" s="664"/>
      <c r="V210" s="664"/>
      <c r="W210" s="664"/>
      <c r="X210" s="664"/>
      <c r="Y210" s="664"/>
      <c r="Z210" s="664"/>
    </row>
    <row r="211" spans="1:26" s="624" customFormat="1" ht="31.2" x14ac:dyDescent="0.3">
      <c r="A211" s="1564"/>
      <c r="B211" s="1564"/>
      <c r="C211" s="673" t="str">
        <f>INDEX('Master sheet'!$A$1:$A$670,MATCH("A129",'Master sheet'!$AN$1:$AN$670,0))</f>
        <v>Wood fiber board / Steico / STEICOtherm dry, STEICOprotect L dry, STEICOsafe / R 3.6-inch, 110 kg/m3</v>
      </c>
      <c r="D211" s="17">
        <f t="shared" si="88"/>
        <v>0</v>
      </c>
      <c r="E211" s="18" t="str">
        <f>'USER INPUT SHEET'!$F$37</f>
        <v>m2</v>
      </c>
      <c r="F211" s="4">
        <v>1</v>
      </c>
      <c r="G211" s="674"/>
      <c r="H211" s="9"/>
      <c r="I211" s="95">
        <f t="shared" si="86"/>
        <v>0</v>
      </c>
      <c r="J211" s="96" t="str">
        <f t="shared" si="87"/>
        <v/>
      </c>
      <c r="K211" s="407">
        <f>$D211*($E$201/5.678)*$F211*VLOOKUP($C211,'Master sheet'!$A:$AL,13,FALSE)</f>
        <v>0</v>
      </c>
      <c r="L211" s="97">
        <f>$D211*($E$201/5.678)*$F211*VLOOKUP($C211,'Master sheet'!$A:$AL,27,FALSE)</f>
        <v>0</v>
      </c>
      <c r="M211" s="1610"/>
      <c r="N211" s="1610"/>
      <c r="O211" s="25" t="str">
        <f>_xlfn.IFNA(VLOOKUP($C211,'Master sheet'!$A:$AR,44,FALSE),"")&amp;""</f>
        <v/>
      </c>
      <c r="P211" s="637"/>
      <c r="Q211" s="241" t="str">
        <f t="shared" si="92"/>
        <v>ROOF</v>
      </c>
      <c r="R211" s="757" t="s">
        <v>1545</v>
      </c>
      <c r="T211" s="638"/>
      <c r="U211" s="638"/>
      <c r="V211" s="638"/>
      <c r="W211" s="638"/>
      <c r="X211" s="638"/>
      <c r="Y211" s="638"/>
      <c r="Z211" s="638"/>
    </row>
    <row r="212" spans="1:26" s="624" customFormat="1" ht="22.8" x14ac:dyDescent="0.25">
      <c r="A212" s="639"/>
      <c r="B212" s="1524" t="s">
        <v>1025</v>
      </c>
      <c r="C212" s="1523"/>
      <c r="D212" s="687" t="str">
        <f>IF(LOWER(Setting!rng_language)="english","R-VALUE:","VALEUR R :")</f>
        <v>R-VALUE:</v>
      </c>
      <c r="E212" s="1"/>
      <c r="F212" s="325"/>
      <c r="G212" s="678"/>
      <c r="H212" s="679"/>
      <c r="I212" s="642"/>
      <c r="J212" s="643"/>
      <c r="K212" s="676"/>
      <c r="L212" s="727"/>
      <c r="M212" s="727"/>
      <c r="N212" s="727"/>
      <c r="O212" s="25" t="str">
        <f>_xlfn.IFNA(VLOOKUP($C212,'Master sheet'!$A:$AR,44,FALSE),"")&amp;""</f>
        <v/>
      </c>
      <c r="P212" s="637"/>
      <c r="Q212" s="728"/>
      <c r="R212" s="728"/>
      <c r="T212" s="638"/>
      <c r="U212" s="638"/>
      <c r="V212" s="638"/>
      <c r="W212" s="638"/>
      <c r="X212" s="638"/>
      <c r="Y212" s="638"/>
      <c r="Z212" s="638"/>
    </row>
    <row r="213" spans="1:26" ht="23.25" customHeight="1" x14ac:dyDescent="0.3">
      <c r="A213" s="729"/>
      <c r="B213" s="729"/>
      <c r="C213" s="691" t="s">
        <v>4023</v>
      </c>
      <c r="D213" s="19">
        <f>$D$192</f>
        <v>0</v>
      </c>
      <c r="E213" s="20" t="str">
        <f>'USER INPUT SHEET'!$F$37</f>
        <v>m2</v>
      </c>
      <c r="F213" s="6">
        <v>1</v>
      </c>
      <c r="G213" s="692"/>
      <c r="H213" s="10"/>
      <c r="I213" s="98">
        <f>K213-L213</f>
        <v>0</v>
      </c>
      <c r="J213" s="91" t="str">
        <f>IF(H213=1,I213,"")</f>
        <v/>
      </c>
      <c r="K213" s="410">
        <f>F213*AVERAGE(K214:K216)</f>
        <v>0</v>
      </c>
      <c r="L213" s="99">
        <f>F213*AVERAGE(L214:L216)</f>
        <v>0</v>
      </c>
      <c r="M213" s="1552"/>
      <c r="N213" s="1552"/>
      <c r="O213" s="25" t="str">
        <f>_xlfn.IFNA(VLOOKUP($C213,'Master sheet'!$A:$AR,44,FALSE),"")&amp;""</f>
        <v/>
      </c>
      <c r="P213" s="637"/>
      <c r="Q213" s="241" t="str">
        <f t="shared" ref="Q213:Q216" si="93">D$1</f>
        <v>ROOF</v>
      </c>
      <c r="R213" s="757" t="s">
        <v>1545</v>
      </c>
      <c r="S213" s="664"/>
      <c r="T213" s="664"/>
      <c r="U213" s="664"/>
      <c r="V213" s="664"/>
      <c r="W213" s="664"/>
      <c r="X213" s="664"/>
      <c r="Y213" s="664"/>
      <c r="Z213" s="664"/>
    </row>
    <row r="214" spans="1:26" ht="22.8" x14ac:dyDescent="0.3">
      <c r="A214" s="729"/>
      <c r="B214" s="729"/>
      <c r="C214" s="673" t="str">
        <f>INDEX('Master sheet'!$A$1:$A$670,MATCH(258,'Master sheet'!$AN$1:$AN$670,0))</f>
        <v>XPS foam board / Owens Corning / Foamular NGX 250  / R 5/inch</v>
      </c>
      <c r="D214" s="17">
        <f>$D$192</f>
        <v>0</v>
      </c>
      <c r="E214" s="18" t="str">
        <f>'USER INPUT SHEET'!$F$37</f>
        <v>m2</v>
      </c>
      <c r="F214" s="4">
        <v>1</v>
      </c>
      <c r="G214" s="674"/>
      <c r="H214" s="9"/>
      <c r="I214" s="95">
        <f>K214-L214</f>
        <v>0</v>
      </c>
      <c r="J214" s="96" t="str">
        <f>IF(H214=1,I214,"")</f>
        <v/>
      </c>
      <c r="K214" s="407">
        <f>$D214*($E$212/5.678)*$F214*VLOOKUP($C214,'Master sheet'!$A:$AL,13,FALSE)</f>
        <v>0</v>
      </c>
      <c r="L214" s="97">
        <f>$D214*($E$212/5.678)*$F214*VLOOKUP($C214,'Master sheet'!$A:$AL,27,FALSE)</f>
        <v>0</v>
      </c>
      <c r="M214" s="1552"/>
      <c r="N214" s="1552"/>
      <c r="O214" s="25" t="str">
        <f>_xlfn.IFNA(VLOOKUP($C214,'Master sheet'!$A:$AR,44,FALSE),"")&amp;""</f>
        <v>A1-B1</v>
      </c>
      <c r="P214" s="685"/>
      <c r="Q214" s="241" t="str">
        <f t="shared" si="93"/>
        <v>ROOF</v>
      </c>
      <c r="R214" s="728" t="s">
        <v>1545</v>
      </c>
      <c r="T214" s="638" t="s">
        <v>7295</v>
      </c>
      <c r="U214" s="664"/>
      <c r="V214" s="664"/>
      <c r="W214" s="664"/>
      <c r="X214" s="664"/>
      <c r="Y214" s="664"/>
      <c r="Z214" s="664"/>
    </row>
    <row r="215" spans="1:26" ht="23.25" customHeight="1" x14ac:dyDescent="0.3">
      <c r="A215" s="729"/>
      <c r="B215" s="729"/>
      <c r="C215" s="673" t="str">
        <f>INDEX('Master sheet'!$A$1:$A$670,MATCH(401,'Master sheet'!$AN$1:$AN$670,0))</f>
        <v>XPS foam board / Soprema / SOPRA-XPS / R 5.0/inch</v>
      </c>
      <c r="D215" s="17">
        <f>$D$192</f>
        <v>0</v>
      </c>
      <c r="E215" s="18" t="str">
        <f>'USER INPUT SHEET'!$F$37</f>
        <v>m2</v>
      </c>
      <c r="F215" s="4">
        <v>1</v>
      </c>
      <c r="G215" s="674"/>
      <c r="H215" s="9"/>
      <c r="I215" s="95">
        <f>K215-L215</f>
        <v>0</v>
      </c>
      <c r="J215" s="96" t="str">
        <f>IF(H215=1,I215,"")</f>
        <v/>
      </c>
      <c r="K215" s="407">
        <f>$D215*($E$212/5.678)*$F215*VLOOKUP($C215,'Master sheet'!$A:$AL,13,FALSE)</f>
        <v>0</v>
      </c>
      <c r="L215" s="97">
        <f>$D215*($E$212/5.678)*$F215*VLOOKUP($C215,'Master sheet'!$A:$AL,27,FALSE)</f>
        <v>0</v>
      </c>
      <c r="M215" s="1552"/>
      <c r="N215" s="1552"/>
      <c r="O215" s="25" t="str">
        <f>_xlfn.IFNA(VLOOKUP($C215,'Master sheet'!$A:$AR,44,FALSE),"")&amp;""</f>
        <v>A1-B1</v>
      </c>
      <c r="P215" s="685"/>
      <c r="Q215" s="241" t="str">
        <f t="shared" si="93"/>
        <v>ROOF</v>
      </c>
      <c r="R215" s="728" t="s">
        <v>1545</v>
      </c>
      <c r="T215" s="664"/>
      <c r="U215" s="664"/>
      <c r="V215" s="664"/>
      <c r="W215" s="664"/>
      <c r="X215" s="664"/>
      <c r="Y215" s="664"/>
      <c r="Z215" s="664"/>
    </row>
    <row r="216" spans="1:26" ht="31.2" x14ac:dyDescent="0.3">
      <c r="A216" s="729"/>
      <c r="B216" s="729"/>
      <c r="C216" s="673" t="str">
        <f>INDEX('Master sheet'!$A$1:$A$670,MATCH(400,'Master sheet'!$AN$1:$AN$670,0))</f>
        <v>XPS foam board / DuPont / Reduced GWP Grey Styrofoam™ (same as ST-100) / R 5.0/inch</v>
      </c>
      <c r="D216" s="17">
        <f>$D$192</f>
        <v>0</v>
      </c>
      <c r="E216" s="18" t="str">
        <f>'USER INPUT SHEET'!$F$37</f>
        <v>m2</v>
      </c>
      <c r="F216" s="4">
        <v>1</v>
      </c>
      <c r="G216" s="674"/>
      <c r="H216" s="9"/>
      <c r="I216" s="95">
        <f>K216-L216</f>
        <v>0</v>
      </c>
      <c r="J216" s="96" t="str">
        <f>IF(H216=1,I216,"")</f>
        <v/>
      </c>
      <c r="K216" s="407">
        <f>$D216*($E$212/5.678)*$F216*VLOOKUP($C216,'Master sheet'!$A:$AL,13,FALSE)</f>
        <v>0</v>
      </c>
      <c r="L216" s="97">
        <f>$D216*($E$212/5.678)*$F216*VLOOKUP($C216,'Master sheet'!$A:$AL,27,FALSE)</f>
        <v>0</v>
      </c>
      <c r="M216" s="1610"/>
      <c r="N216" s="1610"/>
      <c r="O216" s="25" t="str">
        <f>_xlfn.IFNA(VLOOKUP($C216,'Master sheet'!$A:$AR,44,FALSE),"")&amp;""</f>
        <v>A1-B1</v>
      </c>
      <c r="P216" s="685"/>
      <c r="Q216" s="241" t="str">
        <f t="shared" si="93"/>
        <v>ROOF</v>
      </c>
      <c r="R216" s="728" t="s">
        <v>1545</v>
      </c>
      <c r="T216" s="664"/>
      <c r="U216" s="664"/>
      <c r="V216" s="664"/>
      <c r="W216" s="664"/>
      <c r="X216" s="664"/>
      <c r="Y216" s="664"/>
      <c r="Z216" s="664"/>
    </row>
    <row r="217" spans="1:26" s="624" customFormat="1" ht="22.8" x14ac:dyDescent="0.25">
      <c r="A217" s="639"/>
      <c r="B217" s="1524" t="s">
        <v>1065</v>
      </c>
      <c r="C217" s="1523"/>
      <c r="D217" s="687" t="str">
        <f>IF(LOWER(Setting!rng_language)="english","R-VALUE:","VALEUR R :")</f>
        <v>R-VALUE:</v>
      </c>
      <c r="E217" s="1"/>
      <c r="F217" s="325"/>
      <c r="G217" s="678"/>
      <c r="H217" s="679"/>
      <c r="I217" s="642"/>
      <c r="J217" s="643"/>
      <c r="K217" s="676"/>
      <c r="L217" s="727"/>
      <c r="M217" s="727"/>
      <c r="N217" s="727"/>
      <c r="O217" s="25" t="str">
        <f>_xlfn.IFNA(VLOOKUP($C217,'Master sheet'!$A:$AR,44,FALSE),"")&amp;""</f>
        <v/>
      </c>
      <c r="P217" s="637"/>
      <c r="Q217" s="728"/>
      <c r="R217" s="728"/>
      <c r="T217" s="638"/>
      <c r="U217" s="638"/>
      <c r="V217" s="638"/>
      <c r="W217" s="638"/>
      <c r="X217" s="638"/>
      <c r="Y217" s="638"/>
      <c r="Z217" s="638"/>
    </row>
    <row r="218" spans="1:26" ht="22.8" x14ac:dyDescent="0.3">
      <c r="A218" s="729"/>
      <c r="B218" s="729"/>
      <c r="C218" s="691" t="s">
        <v>1365</v>
      </c>
      <c r="D218" s="19">
        <f t="shared" ref="D218:D232" si="94">$D$192</f>
        <v>0</v>
      </c>
      <c r="E218" s="20" t="str">
        <f>'USER INPUT SHEET'!$F$37</f>
        <v>m2</v>
      </c>
      <c r="F218" s="6">
        <v>1</v>
      </c>
      <c r="G218" s="692"/>
      <c r="H218" s="10"/>
      <c r="I218" s="98">
        <f>K218-L218</f>
        <v>0</v>
      </c>
      <c r="J218" s="91" t="str">
        <f>IF(H218=1,I218,"")</f>
        <v/>
      </c>
      <c r="K218" s="410">
        <f>F218*AVERAGE(K219:K232)</f>
        <v>0</v>
      </c>
      <c r="L218" s="99">
        <f>F218*AVERAGE(L219:L232)</f>
        <v>0</v>
      </c>
      <c r="M218" s="1552"/>
      <c r="N218" s="1552"/>
      <c r="O218" s="25" t="str">
        <f>_xlfn.IFNA(VLOOKUP($C218,'Master sheet'!$A:$AR,44,FALSE),"")&amp;""</f>
        <v/>
      </c>
      <c r="P218" s="637"/>
      <c r="Q218" s="241" t="str">
        <f t="shared" ref="Q218:Q232" si="95">D$1</f>
        <v>ROOF</v>
      </c>
      <c r="R218" s="757" t="s">
        <v>1545</v>
      </c>
      <c r="S218" s="664"/>
      <c r="T218" s="664"/>
      <c r="U218" s="664"/>
      <c r="V218" s="664"/>
      <c r="W218" s="664"/>
      <c r="X218" s="664"/>
      <c r="Y218" s="664"/>
      <c r="Z218" s="664"/>
    </row>
    <row r="219" spans="1:26" ht="31.2" x14ac:dyDescent="0.3">
      <c r="A219" s="1564"/>
      <c r="B219" s="1564"/>
      <c r="C219" s="669" t="str">
        <f>INDEX('Master sheet'!$A$1:$A$670,MATCH(167,'Master sheet'!$AN$1:$AN$670,0))</f>
        <v>Polyiso - wall boards / Hunter / Polysio Wall insulation boards / R 6.5/inch</v>
      </c>
      <c r="D219" s="17">
        <f t="shared" si="94"/>
        <v>0</v>
      </c>
      <c r="E219" s="16" t="str">
        <f>'USER INPUT SHEET'!$F$37</f>
        <v>m2</v>
      </c>
      <c r="F219" s="3">
        <v>1</v>
      </c>
      <c r="G219" s="670"/>
      <c r="H219" s="8"/>
      <c r="I219" s="92">
        <f t="shared" si="86"/>
        <v>0</v>
      </c>
      <c r="J219" s="93" t="str">
        <f t="shared" si="87"/>
        <v/>
      </c>
      <c r="K219" s="406">
        <f>$D219*($E$217/5.678)*$F219*VLOOKUP($C219,'Master sheet'!$A:$AL,13,FALSE)</f>
        <v>0</v>
      </c>
      <c r="L219" s="94">
        <f>$D219*($E$217/5.678)*$F219*VLOOKUP($C219,'Master sheet'!$A:$AL,27,FALSE)</f>
        <v>0</v>
      </c>
      <c r="M219" s="1552"/>
      <c r="N219" s="1552"/>
      <c r="O219" s="25" t="str">
        <f ca="1">_xlfn.IFNA(VLOOKUP($C219,'Master sheet'!$A:$AR,44,FALSE),"")&amp;""</f>
        <v/>
      </c>
      <c r="P219" s="685"/>
      <c r="Q219" s="241" t="str">
        <f t="shared" si="95"/>
        <v>ROOF</v>
      </c>
      <c r="R219" s="757" t="s">
        <v>1545</v>
      </c>
      <c r="T219" s="664"/>
      <c r="U219" s="664"/>
      <c r="V219" s="664"/>
      <c r="W219" s="664"/>
      <c r="X219" s="664"/>
      <c r="Y219" s="664"/>
      <c r="Z219" s="664"/>
    </row>
    <row r="220" spans="1:26" ht="22.8" x14ac:dyDescent="0.3">
      <c r="A220" s="1564"/>
      <c r="B220" s="1564"/>
      <c r="C220" s="673" t="str">
        <f>INDEX('Master sheet'!$A$1:$A$670,MATCH(408,'Master sheet'!$AN$1:$AN$670,0))</f>
        <v>Polyiso - wall boards / DuPont / Thermax / R 6.5/inch</v>
      </c>
      <c r="D220" s="17">
        <f t="shared" si="94"/>
        <v>0</v>
      </c>
      <c r="E220" s="18" t="str">
        <f>'USER INPUT SHEET'!$F$37</f>
        <v>m2</v>
      </c>
      <c r="F220" s="4">
        <v>1</v>
      </c>
      <c r="G220" s="674"/>
      <c r="H220" s="9"/>
      <c r="I220" s="95">
        <f t="shared" ref="I220:I231" si="96">K220-L220</f>
        <v>0</v>
      </c>
      <c r="J220" s="96" t="str">
        <f t="shared" ref="J220:J231" si="97">IF(H220=1,I220,"")</f>
        <v/>
      </c>
      <c r="K220" s="407">
        <f>$D220*($E$217/5.678)*$F220*VLOOKUP($C220,'Master sheet'!$A:$AL,13,FALSE)</f>
        <v>0</v>
      </c>
      <c r="L220" s="97">
        <f>$D220*($E$217/5.678)*$F220*VLOOKUP($C220,'Master sheet'!$A:$AL,27,FALSE)</f>
        <v>0</v>
      </c>
      <c r="M220" s="1552"/>
      <c r="N220" s="1552"/>
      <c r="O220" s="25" t="str">
        <f ca="1">_xlfn.IFNA(VLOOKUP($C220,'Master sheet'!$A:$AR,44,FALSE),"")&amp;""</f>
        <v/>
      </c>
      <c r="P220" s="637"/>
      <c r="Q220" s="241" t="str">
        <f t="shared" si="95"/>
        <v>ROOF</v>
      </c>
      <c r="R220" s="728" t="s">
        <v>1545</v>
      </c>
      <c r="T220" s="664"/>
      <c r="U220" s="664"/>
      <c r="V220" s="664"/>
      <c r="W220" s="664"/>
      <c r="X220" s="664"/>
      <c r="Y220" s="664"/>
      <c r="Z220" s="664"/>
    </row>
    <row r="221" spans="1:26" ht="31.2" x14ac:dyDescent="0.3">
      <c r="A221" s="1564"/>
      <c r="B221" s="1564"/>
      <c r="C221" s="673" t="str">
        <f>INDEX('Master sheet'!$A$1:$A$670,MATCH("A91",'Master sheet'!$AN$1:$AN$670,0))</f>
        <v>Polyiso - roof boards / Carlisle / GRF cellulosic facer / GRF facer / Type II R 5.6-inch, 16 psi</v>
      </c>
      <c r="D221" s="17">
        <f t="shared" si="94"/>
        <v>0</v>
      </c>
      <c r="E221" s="18" t="str">
        <f>'USER INPUT SHEET'!$F$37</f>
        <v>m2</v>
      </c>
      <c r="F221" s="4">
        <v>1</v>
      </c>
      <c r="G221" s="674"/>
      <c r="H221" s="9"/>
      <c r="I221" s="95">
        <f t="shared" si="96"/>
        <v>0</v>
      </c>
      <c r="J221" s="96" t="str">
        <f t="shared" si="97"/>
        <v/>
      </c>
      <c r="K221" s="407">
        <f>$D221*($E$217/5.678)*$F221*VLOOKUP($C221,'Master sheet'!$A:$AL,13,FALSE)</f>
        <v>0</v>
      </c>
      <c r="L221" s="97">
        <f>$D221*($E$217/5.678)*$F221*VLOOKUP($C221,'Master sheet'!$A:$AL,27,FALSE)</f>
        <v>0</v>
      </c>
      <c r="M221" s="1552"/>
      <c r="N221" s="1552"/>
      <c r="O221" s="25" t="str">
        <f>_xlfn.IFNA(VLOOKUP($C221,'Master sheet'!$A:$AR,44,FALSE),"")&amp;""</f>
        <v/>
      </c>
      <c r="P221" s="637"/>
      <c r="Q221" s="241" t="str">
        <f t="shared" ref="Q221:Q231" si="98">D$1</f>
        <v>ROOF</v>
      </c>
      <c r="R221" s="728" t="s">
        <v>1545</v>
      </c>
      <c r="S221" s="624"/>
      <c r="T221" s="638"/>
      <c r="U221" s="638"/>
      <c r="V221" s="664"/>
      <c r="W221" s="664"/>
      <c r="X221" s="664"/>
      <c r="Y221" s="664"/>
      <c r="Z221" s="664"/>
    </row>
    <row r="222" spans="1:26" ht="31.2" x14ac:dyDescent="0.3">
      <c r="A222" s="1564"/>
      <c r="B222" s="1564"/>
      <c r="C222" s="673" t="str">
        <f>INDEX('Master sheet'!$A$1:$A$670,MATCH("A92",'Master sheet'!$AN$1:$AN$670,0))</f>
        <v>Polyiso - roof boards / Hunter / H-Shield / GRF facer / Type II R 5.6-inch, 16 psi</v>
      </c>
      <c r="D222" s="17">
        <f t="shared" si="94"/>
        <v>0</v>
      </c>
      <c r="E222" s="18" t="str">
        <f>'USER INPUT SHEET'!$F$37</f>
        <v>m2</v>
      </c>
      <c r="F222" s="4">
        <v>1</v>
      </c>
      <c r="G222" s="674"/>
      <c r="H222" s="9"/>
      <c r="I222" s="95">
        <f t="shared" si="96"/>
        <v>0</v>
      </c>
      <c r="J222" s="96" t="str">
        <f t="shared" si="97"/>
        <v/>
      </c>
      <c r="K222" s="407">
        <f>$D222*($E$217/5.678)*$F222*VLOOKUP($C222,'Master sheet'!$A:$AL,13,FALSE)</f>
        <v>0</v>
      </c>
      <c r="L222" s="97">
        <f>$D222*($E$217/5.678)*$F222*VLOOKUP($C222,'Master sheet'!$A:$AL,27,FALSE)</f>
        <v>0</v>
      </c>
      <c r="M222" s="1552"/>
      <c r="N222" s="1552"/>
      <c r="O222" s="25" t="str">
        <f>_xlfn.IFNA(VLOOKUP($C222,'Master sheet'!$A:$AR,44,FALSE),"")&amp;""</f>
        <v/>
      </c>
      <c r="P222" s="637"/>
      <c r="Q222" s="241" t="str">
        <f t="shared" si="98"/>
        <v>ROOF</v>
      </c>
      <c r="R222" s="728" t="s">
        <v>1545</v>
      </c>
      <c r="S222" s="624"/>
      <c r="T222" s="638"/>
      <c r="U222" s="638"/>
      <c r="V222" s="664"/>
      <c r="W222" s="664"/>
      <c r="X222" s="664"/>
      <c r="Y222" s="664"/>
      <c r="Z222" s="664"/>
    </row>
    <row r="223" spans="1:26" ht="46.8" x14ac:dyDescent="0.3">
      <c r="A223" s="1564"/>
      <c r="B223" s="1564"/>
      <c r="C223" s="673" t="str">
        <f>INDEX('Master sheet'!$A$1:$A$670,MATCH("A93",'Master sheet'!$AN$1:$AN$670,0))</f>
        <v>Polyiso - roof boards / PIMA / Includes: Atlas, Firestone, GAF, Johns Manville, Rmax, Carlisle, Iko, Soprema / GRF facer / R 5.6/inch</v>
      </c>
      <c r="D223" s="17">
        <f t="shared" si="94"/>
        <v>0</v>
      </c>
      <c r="E223" s="18" t="str">
        <f>'USER INPUT SHEET'!$F$37</f>
        <v>m2</v>
      </c>
      <c r="F223" s="4">
        <v>1</v>
      </c>
      <c r="G223" s="674"/>
      <c r="H223" s="9"/>
      <c r="I223" s="95">
        <f t="shared" si="96"/>
        <v>0</v>
      </c>
      <c r="J223" s="96" t="str">
        <f t="shared" si="97"/>
        <v/>
      </c>
      <c r="K223" s="407">
        <f>$D223*($E$217/5.678)*$F223*VLOOKUP($C223,'Master sheet'!$A:$AL,13,FALSE)</f>
        <v>0</v>
      </c>
      <c r="L223" s="97">
        <f>$D223*($E$217/5.678)*$F223*VLOOKUP($C223,'Master sheet'!$A:$AL,27,FALSE)</f>
        <v>0</v>
      </c>
      <c r="M223" s="1552"/>
      <c r="N223" s="1552"/>
      <c r="O223" s="25" t="str">
        <f>_xlfn.IFNA(VLOOKUP($C223,'Master sheet'!$A:$AR,44,FALSE),"")&amp;""</f>
        <v/>
      </c>
      <c r="P223" s="637"/>
      <c r="Q223" s="241" t="str">
        <f t="shared" si="98"/>
        <v>ROOF</v>
      </c>
      <c r="R223" s="728" t="s">
        <v>1545</v>
      </c>
      <c r="S223" s="624"/>
      <c r="T223" s="638"/>
      <c r="U223" s="638"/>
      <c r="V223" s="664"/>
      <c r="W223" s="664"/>
      <c r="X223" s="664"/>
      <c r="Y223" s="664"/>
      <c r="Z223" s="664"/>
    </row>
    <row r="224" spans="1:26" ht="31.2" x14ac:dyDescent="0.3">
      <c r="A224" s="1564"/>
      <c r="B224" s="1564"/>
      <c r="C224" s="673" t="str">
        <f>INDEX('Master sheet'!$A$1:$A$670,MATCH("A94",'Master sheet'!$AN$1:$AN$670,0))</f>
        <v>Polyiso - roof boards / Versico / VersiCore, SecurShield, DuraFaceR / GRF facer / Type II R 5.6-inch, 16 psi</v>
      </c>
      <c r="D224" s="17">
        <f t="shared" si="94"/>
        <v>0</v>
      </c>
      <c r="E224" s="18" t="str">
        <f>'USER INPUT SHEET'!$F$37</f>
        <v>m2</v>
      </c>
      <c r="F224" s="4">
        <v>1</v>
      </c>
      <c r="G224" s="674"/>
      <c r="H224" s="9"/>
      <c r="I224" s="95">
        <f t="shared" si="96"/>
        <v>0</v>
      </c>
      <c r="J224" s="96" t="str">
        <f t="shared" si="97"/>
        <v/>
      </c>
      <c r="K224" s="407">
        <f>$D224*($E$217/5.678)*$F224*VLOOKUP($C224,'Master sheet'!$A:$AL,13,FALSE)</f>
        <v>0</v>
      </c>
      <c r="L224" s="97">
        <f>$D224*($E$217/5.678)*$F224*VLOOKUP($C224,'Master sheet'!$A:$AL,27,FALSE)</f>
        <v>0</v>
      </c>
      <c r="M224" s="1552"/>
      <c r="N224" s="1552"/>
      <c r="O224" s="25" t="str">
        <f>_xlfn.IFNA(VLOOKUP($C224,'Master sheet'!$A:$AR,44,FALSE),"")&amp;""</f>
        <v/>
      </c>
      <c r="P224" s="637"/>
      <c r="Q224" s="241" t="str">
        <f t="shared" si="98"/>
        <v>ROOF</v>
      </c>
      <c r="R224" s="728" t="s">
        <v>1545</v>
      </c>
      <c r="S224" s="624"/>
      <c r="T224" s="638"/>
      <c r="U224" s="638"/>
      <c r="V224" s="638"/>
      <c r="W224" s="664"/>
      <c r="X224" s="664"/>
      <c r="Y224" s="664"/>
      <c r="Z224" s="664"/>
    </row>
    <row r="225" spans="1:26" ht="31.2" x14ac:dyDescent="0.3">
      <c r="A225" s="1564"/>
      <c r="B225" s="1564"/>
      <c r="C225" s="673" t="str">
        <f>INDEX('Master sheet'!$A$1:$A$670,MATCH("A95",'Master sheet'!$AN$1:$AN$670,0))</f>
        <v>Polyisocyanurate - roof boards / Carlisle / CGF facer / CGF facer / Type II R 5.6/inch, 16 psi</v>
      </c>
      <c r="D225" s="17">
        <f t="shared" si="94"/>
        <v>0</v>
      </c>
      <c r="E225" s="18" t="str">
        <f>'USER INPUT SHEET'!$F$37</f>
        <v>m2</v>
      </c>
      <c r="F225" s="4">
        <v>1</v>
      </c>
      <c r="G225" s="674"/>
      <c r="H225" s="9"/>
      <c r="I225" s="95">
        <f t="shared" si="96"/>
        <v>0</v>
      </c>
      <c r="J225" s="96" t="str">
        <f t="shared" si="97"/>
        <v/>
      </c>
      <c r="K225" s="407">
        <f>$D225*($E$217/5.678)*$F225*VLOOKUP($C225,'Master sheet'!$A:$AL,13,FALSE)</f>
        <v>0</v>
      </c>
      <c r="L225" s="97">
        <f>$D225*($E$217/5.678)*$F225*VLOOKUP($C225,'Master sheet'!$A:$AL,27,FALSE)</f>
        <v>0</v>
      </c>
      <c r="M225" s="1552"/>
      <c r="N225" s="1552"/>
      <c r="O225" s="25" t="str">
        <f>_xlfn.IFNA(VLOOKUP($C225,'Master sheet'!$A:$AR,44,FALSE),"")&amp;""</f>
        <v/>
      </c>
      <c r="P225" s="637"/>
      <c r="Q225" s="241" t="str">
        <f t="shared" si="98"/>
        <v>ROOF</v>
      </c>
      <c r="R225" s="728" t="s">
        <v>1545</v>
      </c>
      <c r="S225" s="624"/>
      <c r="T225" s="638"/>
      <c r="U225" s="638"/>
      <c r="V225" s="638"/>
      <c r="W225" s="664"/>
      <c r="X225" s="664"/>
      <c r="Y225" s="664"/>
      <c r="Z225" s="664"/>
    </row>
    <row r="226" spans="1:26" ht="31.2" x14ac:dyDescent="0.3">
      <c r="A226" s="1564"/>
      <c r="B226" s="1564"/>
      <c r="C226" s="673" t="str">
        <f>INDEX('Master sheet'!$A$1:$A$670,MATCH("A99",'Master sheet'!$AN$1:$AN$670,0))</f>
        <v>Polyisocyanurate - roof boards / Carlisle / High density cover boards / Type II, R 5.0-inch, 80 psi</v>
      </c>
      <c r="D226" s="17">
        <f t="shared" si="94"/>
        <v>0</v>
      </c>
      <c r="E226" s="18" t="str">
        <f>'USER INPUT SHEET'!$F$37</f>
        <v>m2</v>
      </c>
      <c r="F226" s="4">
        <v>1</v>
      </c>
      <c r="G226" s="674"/>
      <c r="H226" s="9"/>
      <c r="I226" s="95">
        <f t="shared" si="96"/>
        <v>0</v>
      </c>
      <c r="J226" s="96" t="str">
        <f t="shared" si="97"/>
        <v/>
      </c>
      <c r="K226" s="407">
        <f>$D226*($E$217/5.678)*$F226*VLOOKUP($C226,'Master sheet'!$A:$AL,13,FALSE)</f>
        <v>0</v>
      </c>
      <c r="L226" s="97">
        <f>$D226*($E$217/5.678)*$F226*VLOOKUP($C226,'Master sheet'!$A:$AL,27,FALSE)</f>
        <v>0</v>
      </c>
      <c r="M226" s="1552"/>
      <c r="N226" s="1552"/>
      <c r="O226" s="25" t="str">
        <f>_xlfn.IFNA(VLOOKUP($C226,'Master sheet'!$A:$AR,44,FALSE),"")&amp;""</f>
        <v/>
      </c>
      <c r="P226" s="637"/>
      <c r="Q226" s="241" t="str">
        <f t="shared" si="98"/>
        <v>ROOF</v>
      </c>
      <c r="R226" s="728" t="s">
        <v>1545</v>
      </c>
      <c r="S226" s="624"/>
      <c r="T226" s="638"/>
      <c r="U226" s="638"/>
      <c r="V226" s="638"/>
      <c r="W226" s="664"/>
      <c r="X226" s="664"/>
      <c r="Y226" s="664"/>
      <c r="Z226" s="664"/>
    </row>
    <row r="227" spans="1:26" ht="31.2" x14ac:dyDescent="0.3">
      <c r="A227" s="1564"/>
      <c r="B227" s="1564"/>
      <c r="C227" s="673" t="str">
        <f>INDEX('Master sheet'!$A$1:$A$670,MATCH("A96",'Master sheet'!$AN$1:$AN$670,0))</f>
        <v>Polyisocyanurate - roof boards / Hunter / H-Shield CG / CGF facer / Type II R 5.6/inch, 16 psi</v>
      </c>
      <c r="D227" s="17">
        <f t="shared" si="94"/>
        <v>0</v>
      </c>
      <c r="E227" s="18" t="str">
        <f>'USER INPUT SHEET'!$F$37</f>
        <v>m2</v>
      </c>
      <c r="F227" s="4">
        <v>1</v>
      </c>
      <c r="G227" s="674"/>
      <c r="H227" s="9"/>
      <c r="I227" s="95">
        <f t="shared" si="96"/>
        <v>0</v>
      </c>
      <c r="J227" s="96" t="str">
        <f t="shared" si="97"/>
        <v/>
      </c>
      <c r="K227" s="407">
        <f>$D227*($E$217/5.678)*$F227*VLOOKUP($C227,'Master sheet'!$A:$AL,13,FALSE)</f>
        <v>0</v>
      </c>
      <c r="L227" s="97">
        <f>$D227*($E$217/5.678)*$F227*VLOOKUP($C227,'Master sheet'!$A:$AL,27,FALSE)</f>
        <v>0</v>
      </c>
      <c r="M227" s="1552"/>
      <c r="N227" s="1552"/>
      <c r="O227" s="25" t="str">
        <f>_xlfn.IFNA(VLOOKUP($C227,'Master sheet'!$A:$AR,44,FALSE),"")&amp;""</f>
        <v/>
      </c>
      <c r="P227" s="637"/>
      <c r="Q227" s="241" t="str">
        <f t="shared" si="98"/>
        <v>ROOF</v>
      </c>
      <c r="R227" s="728" t="s">
        <v>1545</v>
      </c>
      <c r="S227" s="624"/>
      <c r="T227" s="638"/>
      <c r="U227" s="638"/>
      <c r="V227" s="638"/>
      <c r="W227" s="664"/>
      <c r="X227" s="664"/>
      <c r="Y227" s="664"/>
      <c r="Z227" s="664"/>
    </row>
    <row r="228" spans="1:26" ht="31.2" x14ac:dyDescent="0.3">
      <c r="A228" s="1564"/>
      <c r="B228" s="1564"/>
      <c r="C228" s="673" t="str">
        <f>INDEX('Master sheet'!$A$1:$A$670,MATCH("A100",'Master sheet'!$AN$1:$AN$670,0))</f>
        <v>Polyisocyanurate - roof boards / Hunter / High density cover boards / Type II, R 5.0-inch, 80 psi</v>
      </c>
      <c r="D228" s="17">
        <f t="shared" si="94"/>
        <v>0</v>
      </c>
      <c r="E228" s="18" t="str">
        <f>'USER INPUT SHEET'!$F$37</f>
        <v>m2</v>
      </c>
      <c r="F228" s="4">
        <v>1</v>
      </c>
      <c r="G228" s="674"/>
      <c r="H228" s="9"/>
      <c r="I228" s="95">
        <f t="shared" si="96"/>
        <v>0</v>
      </c>
      <c r="J228" s="96" t="str">
        <f t="shared" si="97"/>
        <v/>
      </c>
      <c r="K228" s="407">
        <f>$D228*($E$217/5.678)*$F228*VLOOKUP($C228,'Master sheet'!$A:$AL,13,FALSE)</f>
        <v>0</v>
      </c>
      <c r="L228" s="97">
        <f>$D228*($E$217/5.678)*$F228*VLOOKUP($C228,'Master sheet'!$A:$AL,27,FALSE)</f>
        <v>0</v>
      </c>
      <c r="M228" s="1552"/>
      <c r="N228" s="1552"/>
      <c r="O228" s="25" t="str">
        <f>_xlfn.IFNA(VLOOKUP($C228,'Master sheet'!$A:$AR,44,FALSE),"")&amp;""</f>
        <v/>
      </c>
      <c r="P228" s="637"/>
      <c r="Q228" s="241" t="str">
        <f t="shared" si="98"/>
        <v>ROOF</v>
      </c>
      <c r="R228" s="728" t="s">
        <v>1545</v>
      </c>
      <c r="S228" s="624"/>
      <c r="T228" s="638"/>
      <c r="U228" s="638"/>
      <c r="V228" s="638"/>
      <c r="W228" s="664"/>
      <c r="X228" s="664"/>
      <c r="Y228" s="664"/>
      <c r="Z228" s="664"/>
    </row>
    <row r="229" spans="1:26" ht="46.8" x14ac:dyDescent="0.3">
      <c r="A229" s="1564"/>
      <c r="B229" s="1564"/>
      <c r="C229" s="673" t="str">
        <f>INDEX('Master sheet'!$A$1:$A$670,MATCH("A101",'Master sheet'!$AN$1:$AN$670,0))</f>
        <v>Polyisocyanurate - roof boards / PIMA / Includes: Atlas, Firestone, GAF, Johns Manville, Carlisle, Iko, Soprema / R 5.0/inch</v>
      </c>
      <c r="D229" s="17">
        <f t="shared" si="94"/>
        <v>0</v>
      </c>
      <c r="E229" s="18" t="str">
        <f>'USER INPUT SHEET'!$F$37</f>
        <v>m2</v>
      </c>
      <c r="F229" s="4">
        <v>1</v>
      </c>
      <c r="G229" s="674"/>
      <c r="H229" s="9"/>
      <c r="I229" s="95">
        <f t="shared" si="96"/>
        <v>0</v>
      </c>
      <c r="J229" s="96" t="str">
        <f t="shared" si="97"/>
        <v/>
      </c>
      <c r="K229" s="407">
        <f>$D229*($E$217/5.678)*$F229*VLOOKUP($C229,'Master sheet'!$A:$AL,13,FALSE)</f>
        <v>0</v>
      </c>
      <c r="L229" s="97">
        <f>$D229*($E$217/5.678)*$F229*VLOOKUP($C229,'Master sheet'!$A:$AL,27,FALSE)</f>
        <v>0</v>
      </c>
      <c r="M229" s="1552"/>
      <c r="N229" s="1552"/>
      <c r="O229" s="25" t="str">
        <f>_xlfn.IFNA(VLOOKUP($C229,'Master sheet'!$A:$AR,44,FALSE),"")&amp;""</f>
        <v/>
      </c>
      <c r="P229" s="637"/>
      <c r="Q229" s="241" t="str">
        <f t="shared" si="98"/>
        <v>ROOF</v>
      </c>
      <c r="R229" s="728" t="s">
        <v>1545</v>
      </c>
      <c r="S229" s="624"/>
      <c r="T229" s="638"/>
      <c r="U229" s="638"/>
      <c r="V229" s="638"/>
      <c r="W229" s="664"/>
      <c r="X229" s="664"/>
      <c r="Y229" s="664"/>
      <c r="Z229" s="664"/>
    </row>
    <row r="230" spans="1:26" ht="46.8" x14ac:dyDescent="0.3">
      <c r="A230" s="1564"/>
      <c r="B230" s="1564"/>
      <c r="C230" s="673" t="str">
        <f>INDEX('Master sheet'!$A$1:$A$670,MATCH("A97",'Master sheet'!$AN$1:$AN$670,0))</f>
        <v>Polyisocyanurate - roof boards / PIMA / Includes: Atlas, Firestone, GAF, Johns Manville, Rmax, Carlisle, Iko, Soprema / CGF facer R 5.8/inch</v>
      </c>
      <c r="D230" s="17">
        <f t="shared" si="94"/>
        <v>0</v>
      </c>
      <c r="E230" s="18" t="str">
        <f>'USER INPUT SHEET'!$F$37</f>
        <v>m2</v>
      </c>
      <c r="F230" s="4">
        <v>1</v>
      </c>
      <c r="G230" s="674"/>
      <c r="H230" s="9"/>
      <c r="I230" s="95">
        <f t="shared" si="96"/>
        <v>0</v>
      </c>
      <c r="J230" s="96" t="str">
        <f t="shared" si="97"/>
        <v/>
      </c>
      <c r="K230" s="407">
        <f>$D230*($E$217/5.678)*$F230*VLOOKUP($C230,'Master sheet'!$A:$AL,13,FALSE)</f>
        <v>0</v>
      </c>
      <c r="L230" s="97">
        <f>$D230*($E$217/5.678)*$F230*VLOOKUP($C230,'Master sheet'!$A:$AL,27,FALSE)</f>
        <v>0</v>
      </c>
      <c r="M230" s="1552"/>
      <c r="N230" s="1552"/>
      <c r="O230" s="25" t="str">
        <f>_xlfn.IFNA(VLOOKUP($C230,'Master sheet'!$A:$AR,44,FALSE),"")&amp;""</f>
        <v/>
      </c>
      <c r="P230" s="637"/>
      <c r="Q230" s="241" t="str">
        <f t="shared" si="98"/>
        <v>ROOF</v>
      </c>
      <c r="R230" s="728" t="s">
        <v>1545</v>
      </c>
      <c r="S230" s="624"/>
      <c r="T230" s="638"/>
      <c r="U230" s="638"/>
      <c r="V230" s="638"/>
      <c r="W230" s="664"/>
      <c r="X230" s="664"/>
      <c r="Y230" s="664"/>
      <c r="Z230" s="664"/>
    </row>
    <row r="231" spans="1:26" ht="31.2" x14ac:dyDescent="0.3">
      <c r="A231" s="1564"/>
      <c r="B231" s="1564"/>
      <c r="C231" s="673" t="str">
        <f>INDEX('Master sheet'!$A$1:$A$670,MATCH("A102",'Master sheet'!$AN$1:$AN$670,0))</f>
        <v>Polyisocyanurate - roof boards / Versico / High density cover boards / Type II, R 5.0-inch, 80 psi</v>
      </c>
      <c r="D231" s="17">
        <f t="shared" si="94"/>
        <v>0</v>
      </c>
      <c r="E231" s="18" t="str">
        <f>'USER INPUT SHEET'!$F$37</f>
        <v>m2</v>
      </c>
      <c r="F231" s="4">
        <v>1</v>
      </c>
      <c r="G231" s="674"/>
      <c r="H231" s="9"/>
      <c r="I231" s="95">
        <f t="shared" si="96"/>
        <v>0</v>
      </c>
      <c r="J231" s="96" t="str">
        <f t="shared" si="97"/>
        <v/>
      </c>
      <c r="K231" s="407">
        <f>$D231*($E$217/5.678)*$F231*VLOOKUP($C231,'Master sheet'!$A:$AL,13,FALSE)</f>
        <v>0</v>
      </c>
      <c r="L231" s="97">
        <f>$D231*($E$217/5.678)*$F231*VLOOKUP($C231,'Master sheet'!$A:$AL,27,FALSE)</f>
        <v>0</v>
      </c>
      <c r="M231" s="1552"/>
      <c r="N231" s="1552"/>
      <c r="O231" s="25" t="str">
        <f>_xlfn.IFNA(VLOOKUP($C231,'Master sheet'!$A:$AR,44,FALSE),"")&amp;""</f>
        <v/>
      </c>
      <c r="P231" s="637"/>
      <c r="Q231" s="241" t="str">
        <f t="shared" si="98"/>
        <v>ROOF</v>
      </c>
      <c r="R231" s="728" t="s">
        <v>1545</v>
      </c>
      <c r="S231" s="624"/>
      <c r="T231" s="638"/>
      <c r="U231" s="638"/>
      <c r="V231" s="638"/>
      <c r="W231" s="664"/>
      <c r="X231" s="664"/>
      <c r="Y231" s="664"/>
      <c r="Z231" s="664"/>
    </row>
    <row r="232" spans="1:26" s="624" customFormat="1" ht="31.5" customHeight="1" x14ac:dyDescent="0.3">
      <c r="A232" s="1564"/>
      <c r="B232" s="1564"/>
      <c r="C232" s="673" t="str">
        <f>INDEX('Master sheet'!$A$1:$A$670,MATCH("A98",'Master sheet'!$AN$1:$AN$670,0))</f>
        <v>Polyisocyanurate - roof boards / Versico / VersiCore, SecurShield, DuraFaceR / CGF facer / Type II R 5.6-inch, 16 psi</v>
      </c>
      <c r="D232" s="17">
        <f t="shared" si="94"/>
        <v>0</v>
      </c>
      <c r="E232" s="18" t="str">
        <f>'USER INPUT SHEET'!$F$37</f>
        <v>m2</v>
      </c>
      <c r="F232" s="4">
        <v>1</v>
      </c>
      <c r="G232" s="674"/>
      <c r="H232" s="9"/>
      <c r="I232" s="95">
        <f t="shared" si="86"/>
        <v>0</v>
      </c>
      <c r="J232" s="96" t="str">
        <f t="shared" si="87"/>
        <v/>
      </c>
      <c r="K232" s="407">
        <f>$D232*($E$217/5.678)*$F232*VLOOKUP($C232,'Master sheet'!$A:$AL,13,FALSE)</f>
        <v>0</v>
      </c>
      <c r="L232" s="97">
        <f>$D232*($E$217/5.678)*$F232*VLOOKUP($C232,'Master sheet'!$A:$AL,27,FALSE)</f>
        <v>0</v>
      </c>
      <c r="M232" s="1610"/>
      <c r="N232" s="1610"/>
      <c r="O232" s="25" t="str">
        <f>_xlfn.IFNA(VLOOKUP($C232,'Master sheet'!$A:$AR,44,FALSE),"")&amp;""</f>
        <v/>
      </c>
      <c r="P232" s="637"/>
      <c r="Q232" s="241" t="str">
        <f t="shared" si="95"/>
        <v>ROOF</v>
      </c>
      <c r="R232" s="728" t="s">
        <v>1545</v>
      </c>
      <c r="T232" s="638"/>
      <c r="U232" s="638"/>
      <c r="V232" s="638"/>
      <c r="W232" s="638"/>
      <c r="X232" s="638"/>
      <c r="Y232" s="638"/>
      <c r="Z232" s="638"/>
    </row>
    <row r="233" spans="1:26" s="624" customFormat="1" ht="22.8" x14ac:dyDescent="0.25">
      <c r="A233" s="639"/>
      <c r="B233" s="1524" t="s">
        <v>3418</v>
      </c>
      <c r="C233" s="1523"/>
      <c r="D233" s="687" t="str">
        <f>IF(LOWER(Setting!rng_language)="english","R-VALUE:","VALEUR R :")</f>
        <v>R-VALUE:</v>
      </c>
      <c r="E233" s="1"/>
      <c r="F233" s="325"/>
      <c r="G233" s="678"/>
      <c r="H233" s="679"/>
      <c r="I233" s="642"/>
      <c r="J233" s="643"/>
      <c r="K233" s="676"/>
      <c r="L233" s="727"/>
      <c r="M233" s="727"/>
      <c r="N233" s="727"/>
      <c r="O233" s="25" t="str">
        <f>_xlfn.IFNA(VLOOKUP($C233,'Master sheet'!$A:$AR,44,FALSE),"")&amp;""</f>
        <v/>
      </c>
      <c r="P233" s="637"/>
      <c r="Q233" s="728"/>
      <c r="R233" s="728"/>
      <c r="T233" s="638"/>
      <c r="U233" s="638"/>
      <c r="V233" s="638"/>
      <c r="W233" s="638"/>
      <c r="X233" s="638"/>
      <c r="Y233" s="638"/>
      <c r="Z233" s="638"/>
    </row>
    <row r="234" spans="1:26" ht="22.8" x14ac:dyDescent="0.3">
      <c r="A234" s="1576"/>
      <c r="B234" s="1576"/>
      <c r="C234" s="691" t="s">
        <v>1354</v>
      </c>
      <c r="D234" s="19">
        <f>$D$192</f>
        <v>0</v>
      </c>
      <c r="E234" s="20" t="str">
        <f>'USER INPUT SHEET'!$F$37</f>
        <v>m2</v>
      </c>
      <c r="F234" s="6">
        <v>1</v>
      </c>
      <c r="G234" s="692"/>
      <c r="H234" s="10"/>
      <c r="I234" s="98">
        <f>K234-L234</f>
        <v>0</v>
      </c>
      <c r="J234" s="91" t="str">
        <f>IF(H234=1,I234,"")</f>
        <v/>
      </c>
      <c r="K234" s="410">
        <f>F234*AVERAGE(K235:K237)</f>
        <v>0</v>
      </c>
      <c r="L234" s="99">
        <f>F234*AVERAGE(L235:L237)</f>
        <v>0</v>
      </c>
      <c r="M234" s="1552"/>
      <c r="N234" s="1552"/>
      <c r="O234" s="25" t="str">
        <f>_xlfn.IFNA(VLOOKUP($C234,'Master sheet'!$A:$AR,44,FALSE),"")&amp;""</f>
        <v/>
      </c>
      <c r="P234" s="637"/>
      <c r="Q234" s="241" t="str">
        <f>D$1</f>
        <v>ROOF</v>
      </c>
      <c r="R234" s="757" t="s">
        <v>1545</v>
      </c>
      <c r="S234" s="664"/>
      <c r="T234" s="664"/>
      <c r="U234" s="664"/>
      <c r="V234" s="664"/>
      <c r="W234" s="664"/>
      <c r="X234" s="664"/>
      <c r="Y234" s="664"/>
      <c r="Z234" s="664"/>
    </row>
    <row r="235" spans="1:26" s="624" customFormat="1" ht="23.25" customHeight="1" x14ac:dyDescent="0.3">
      <c r="A235" s="1576"/>
      <c r="B235" s="1576"/>
      <c r="C235" s="673" t="str">
        <f>INDEX('Master sheet'!$A$1:$A$670,MATCH("A200",'Master sheet'!$AN$1:$AN$670,0))</f>
        <v>Mineral wool board / Rockwool / Comfortboard 80 / R 4.2-inch</v>
      </c>
      <c r="D235" s="17">
        <f>$D$192</f>
        <v>0</v>
      </c>
      <c r="E235" s="18" t="str">
        <f>'USER INPUT SHEET'!$F$37</f>
        <v>m2</v>
      </c>
      <c r="F235" s="4">
        <v>1</v>
      </c>
      <c r="G235" s="674"/>
      <c r="H235" s="9"/>
      <c r="I235" s="95">
        <f t="shared" si="86"/>
        <v>0</v>
      </c>
      <c r="J235" s="96" t="str">
        <f t="shared" si="87"/>
        <v/>
      </c>
      <c r="K235" s="407">
        <f>$D235*($E$233/5.678)*$F235*VLOOKUP($C235,'Master sheet'!$A:$AL,13,FALSE)</f>
        <v>0</v>
      </c>
      <c r="L235" s="97">
        <f>$D235*($E$233/5.678)*$F235*VLOOKUP($C235,'Master sheet'!$A:$AL,27,FALSE)</f>
        <v>0</v>
      </c>
      <c r="M235" s="1552"/>
      <c r="N235" s="1552"/>
      <c r="O235" s="25" t="str">
        <f>_xlfn.IFNA(VLOOKUP($C235,'Master sheet'!$A:$AR,44,FALSE),"")&amp;""</f>
        <v/>
      </c>
      <c r="P235" s="637"/>
      <c r="Q235" s="241" t="str">
        <f>D$1</f>
        <v>ROOF</v>
      </c>
      <c r="R235" s="728" t="s">
        <v>1545</v>
      </c>
      <c r="T235" s="638"/>
      <c r="U235" s="638"/>
      <c r="V235" s="638"/>
      <c r="W235" s="638"/>
      <c r="X235" s="638"/>
      <c r="Y235" s="638"/>
      <c r="Z235" s="638"/>
    </row>
    <row r="236" spans="1:26" s="624" customFormat="1" ht="31.2" x14ac:dyDescent="0.3">
      <c r="A236" s="1576"/>
      <c r="B236" s="1576"/>
      <c r="C236" s="673" t="str">
        <f>INDEX('Master sheet'!$A$1:$A$670,MATCH("A193",'Master sheet'!$AN$1:$AN$670,0))</f>
        <v>Mineral wool board / Owens Corning / Thermafiber RainBarrier ci HC 140 / R 4.2-inch</v>
      </c>
      <c r="D236" s="17">
        <f>$D$192</f>
        <v>0</v>
      </c>
      <c r="E236" s="18" t="str">
        <f>'USER INPUT SHEET'!$F$37</f>
        <v>m2</v>
      </c>
      <c r="F236" s="4">
        <v>1</v>
      </c>
      <c r="G236" s="674"/>
      <c r="H236" s="9"/>
      <c r="I236" s="95">
        <f t="shared" si="86"/>
        <v>0</v>
      </c>
      <c r="J236" s="96" t="str">
        <f t="shared" si="87"/>
        <v/>
      </c>
      <c r="K236" s="407">
        <f>$D236*($E$233/5.678)*$F236*VLOOKUP($C236,'Master sheet'!$A:$AL,13,FALSE)</f>
        <v>0</v>
      </c>
      <c r="L236" s="97">
        <f>$D236*($E$233/5.678)*$F236*VLOOKUP($C236,'Master sheet'!$A:$AL,27,FALSE)</f>
        <v>0</v>
      </c>
      <c r="M236" s="1552"/>
      <c r="N236" s="1552"/>
      <c r="O236" s="25" t="str">
        <f>_xlfn.IFNA(VLOOKUP($C236,'Master sheet'!$A:$AR,44,FALSE),"")&amp;""</f>
        <v/>
      </c>
      <c r="P236" s="637"/>
      <c r="Q236" s="241" t="str">
        <f>D$1</f>
        <v>ROOF</v>
      </c>
      <c r="R236" s="728" t="s">
        <v>1545</v>
      </c>
      <c r="T236" s="638"/>
      <c r="U236" s="638"/>
      <c r="V236" s="638"/>
      <c r="W236" s="638"/>
      <c r="X236" s="638"/>
      <c r="Y236" s="638"/>
      <c r="Z236" s="638"/>
    </row>
    <row r="237" spans="1:26" s="624" customFormat="1" ht="22.8" x14ac:dyDescent="0.3">
      <c r="A237" s="1576"/>
      <c r="B237" s="1576"/>
      <c r="C237" s="673" t="str">
        <f>INDEX('Master sheet'!$A$1:$A$670,MATCH("A201",'Master sheet'!$AN$1:$AN$670,0))</f>
        <v>Mineral wool board / Rockwool / Toprock DD / R 4.3-inch</v>
      </c>
      <c r="D237" s="17">
        <f>$D$192</f>
        <v>0</v>
      </c>
      <c r="E237" s="18" t="str">
        <f>'USER INPUT SHEET'!$F$37</f>
        <v>m2</v>
      </c>
      <c r="F237" s="4">
        <v>1</v>
      </c>
      <c r="G237" s="674"/>
      <c r="H237" s="9"/>
      <c r="I237" s="95">
        <f t="shared" ref="I237" si="99">K237-L237</f>
        <v>0</v>
      </c>
      <c r="J237" s="96" t="str">
        <f t="shared" ref="J237" si="100">IF(H237=1,I237,"")</f>
        <v/>
      </c>
      <c r="K237" s="407">
        <f>$D237*($E$233/5.678)*$F237*VLOOKUP($C237,'Master sheet'!$A:$AL,13,FALSE)</f>
        <v>0</v>
      </c>
      <c r="L237" s="97">
        <f>$D237*($E$233/5.678)*$F237*VLOOKUP($C237,'Master sheet'!$A:$AL,27,FALSE)</f>
        <v>0</v>
      </c>
      <c r="M237" s="1610"/>
      <c r="N237" s="1610"/>
      <c r="O237" s="25" t="str">
        <f>_xlfn.IFNA(VLOOKUP($C237,'Master sheet'!$A:$AR,44,FALSE),"")&amp;""</f>
        <v/>
      </c>
      <c r="P237" s="637"/>
      <c r="Q237" s="241" t="str">
        <f>D$1</f>
        <v>ROOF</v>
      </c>
      <c r="R237" s="728" t="s">
        <v>1545</v>
      </c>
      <c r="T237" s="638"/>
      <c r="U237" s="638"/>
      <c r="V237" s="638"/>
      <c r="W237" s="638"/>
      <c r="X237" s="638"/>
      <c r="Y237" s="638"/>
      <c r="Z237" s="638"/>
    </row>
    <row r="238" spans="1:26" s="624" customFormat="1" ht="22.8" x14ac:dyDescent="0.25">
      <c r="A238" s="639"/>
      <c r="B238" s="1524" t="s">
        <v>1027</v>
      </c>
      <c r="C238" s="1523"/>
      <c r="D238" s="687" t="str">
        <f>IF(LOWER(Setting!rng_language)="english","R-VALUE:","VALEUR R :")</f>
        <v>R-VALUE:</v>
      </c>
      <c r="E238" s="1"/>
      <c r="F238" s="320"/>
      <c r="G238" s="678"/>
      <c r="H238" s="641"/>
      <c r="I238" s="642"/>
      <c r="J238" s="643"/>
      <c r="K238" s="676"/>
      <c r="L238" s="677"/>
      <c r="M238" s="677"/>
      <c r="N238" s="677"/>
      <c r="O238" s="25" t="str">
        <f>_xlfn.IFNA(VLOOKUP($C238,'Master sheet'!$A:$AR,44,FALSE),"")&amp;""</f>
        <v/>
      </c>
      <c r="P238" s="637"/>
      <c r="Q238" s="722"/>
      <c r="R238" s="728" t="s">
        <v>1545</v>
      </c>
      <c r="S238" s="638"/>
      <c r="T238" s="638"/>
      <c r="U238" s="638"/>
      <c r="V238" s="638"/>
      <c r="W238" s="638"/>
      <c r="X238" s="638"/>
      <c r="Y238" s="638"/>
      <c r="Z238" s="638"/>
    </row>
    <row r="239" spans="1:26" ht="35.4" customHeight="1" x14ac:dyDescent="0.3">
      <c r="A239" s="1601"/>
      <c r="B239" s="1601"/>
      <c r="C239" s="669" t="str">
        <f>INDEX('Master sheet'!$A$1:$A$670,MATCH("A21",'Master sheet'!$AN$1:$AN$670,0))</f>
        <v>Cork board insulation / Amorim  / Expanded Insulation Corkboard (ICB) / R3.6-inch, 115 kg/m3</v>
      </c>
      <c r="D239" s="15">
        <f t="shared" ref="D239" si="101">$D$192</f>
        <v>0</v>
      </c>
      <c r="E239" s="16" t="str">
        <f>'USER INPUT SHEET'!$F$40</f>
        <v>m2</v>
      </c>
      <c r="F239" s="3">
        <v>1</v>
      </c>
      <c r="G239" s="670"/>
      <c r="H239" s="8"/>
      <c r="I239" s="95">
        <f t="shared" ref="I239" si="102">K239-L239</f>
        <v>0</v>
      </c>
      <c r="J239" s="96" t="str">
        <f t="shared" ref="J239" si="103">IF(H239=1,I239,"")</f>
        <v/>
      </c>
      <c r="K239" s="407">
        <f>$D239*($E$238/5.678)*$F239*VLOOKUP($C239,'Master sheet'!$A:$AL,13,FALSE)</f>
        <v>0</v>
      </c>
      <c r="L239" s="97">
        <f>$D239*($E$238/5.678)*$F239*VLOOKUP($C239,'Master sheet'!$A:$AL,27,FALSE)</f>
        <v>0</v>
      </c>
      <c r="M239" s="1552"/>
      <c r="N239" s="1552"/>
      <c r="O239" s="25" t="str">
        <f>_xlfn.IFNA(VLOOKUP($C239,'Master sheet'!$A:$AR,44,FALSE),"")&amp;""</f>
        <v/>
      </c>
      <c r="P239" s="637"/>
      <c r="Q239" s="241" t="str">
        <f>D$1</f>
        <v>ROOF</v>
      </c>
      <c r="R239" s="728" t="s">
        <v>1545</v>
      </c>
      <c r="S239" s="624"/>
      <c r="T239" s="664"/>
      <c r="U239" s="664"/>
      <c r="V239" s="664"/>
      <c r="W239" s="664"/>
      <c r="X239" s="664"/>
      <c r="Y239" s="664"/>
      <c r="Z239" s="664"/>
    </row>
    <row r="240" spans="1:26" s="624" customFormat="1" ht="54.75" customHeight="1" x14ac:dyDescent="0.3">
      <c r="A240" s="1522" t="s">
        <v>96</v>
      </c>
      <c r="B240" s="1523"/>
      <c r="C240" s="1523"/>
      <c r="D240" s="649"/>
      <c r="E240" s="650"/>
      <c r="F240" s="321"/>
      <c r="G240" s="650"/>
      <c r="H240" s="650"/>
      <c r="I240" s="651"/>
      <c r="J240" s="651"/>
      <c r="K240" s="652"/>
      <c r="L240" s="759"/>
      <c r="M240" s="759"/>
      <c r="N240" s="759"/>
      <c r="O240" s="25" t="str">
        <f>_xlfn.IFNA(VLOOKUP($C240,'Master sheet'!$A:$AR,44,FALSE),"")&amp;""</f>
        <v/>
      </c>
      <c r="P240" s="637"/>
      <c r="Q240" s="843"/>
      <c r="R240" s="843"/>
      <c r="S240" s="638"/>
      <c r="T240" s="638"/>
      <c r="U240" s="638"/>
      <c r="V240" s="638"/>
      <c r="W240" s="638"/>
      <c r="X240" s="638"/>
      <c r="Y240" s="638"/>
      <c r="Z240" s="638"/>
    </row>
    <row r="241" spans="1:26" ht="23.25" customHeight="1" x14ac:dyDescent="0.3">
      <c r="A241" s="686"/>
      <c r="B241" s="1541" t="s">
        <v>97</v>
      </c>
      <c r="C241" s="1530"/>
      <c r="D241" s="656"/>
      <c r="E241" s="657"/>
      <c r="F241" s="339"/>
      <c r="G241" s="724"/>
      <c r="H241" s="763"/>
      <c r="I241" s="658"/>
      <c r="J241" s="659"/>
      <c r="K241" s="660"/>
      <c r="L241" s="661"/>
      <c r="M241" s="677"/>
      <c r="N241" s="677"/>
      <c r="O241" s="25" t="str">
        <f>_xlfn.IFNA(VLOOKUP($C241,'Master sheet'!$A:$AR,44,FALSE),"")&amp;""</f>
        <v/>
      </c>
      <c r="P241" s="685"/>
      <c r="S241" s="664"/>
      <c r="T241" s="664"/>
      <c r="U241" s="664"/>
      <c r="V241" s="664"/>
      <c r="W241" s="664"/>
      <c r="X241" s="664"/>
      <c r="Y241" s="664"/>
      <c r="Z241" s="664"/>
    </row>
    <row r="242" spans="1:26" ht="22.8" x14ac:dyDescent="0.3">
      <c r="A242" s="638"/>
      <c r="B242" s="853"/>
      <c r="C242" s="669" t="str">
        <f>INDEX('Master sheet'!$A$1:$A$670,MATCH("A207",'Master sheet'!$AN$1:$AN$670,0))</f>
        <v>SIP panels - EPS foam &amp; OSB / SIPA / R-15 4.5" panel</v>
      </c>
      <c r="D242" s="15">
        <f>'USER INPUT SHEET'!$D$37</f>
        <v>0</v>
      </c>
      <c r="E242" s="16" t="str">
        <f>'USER INPUT SHEET'!$F$37</f>
        <v>m2</v>
      </c>
      <c r="F242" s="3">
        <v>1</v>
      </c>
      <c r="G242" s="670"/>
      <c r="H242" s="8"/>
      <c r="I242" s="92">
        <f>K242-L242-IF(N242,M242,0)</f>
        <v>0</v>
      </c>
      <c r="J242" s="93" t="str">
        <f t="shared" ref="J242:J246" si="104">IF(H242=1,I242,"")</f>
        <v/>
      </c>
      <c r="K242" s="406">
        <f>$D242*$F242*VLOOKUP($C242,'Master sheet'!$A:$AL,13,FALSE)</f>
        <v>0</v>
      </c>
      <c r="L242" s="94">
        <f>$D242*$F242*VLOOKUP($C242,'Master sheet'!$A:$AL,27,FALSE)</f>
        <v>0</v>
      </c>
      <c r="M242" s="1552"/>
      <c r="N242" s="1552"/>
      <c r="O242" s="25" t="str">
        <f>_xlfn.IFNA(VLOOKUP($C242,'Master sheet'!$A:$AR,44,FALSE),"")&amp;""</f>
        <v/>
      </c>
      <c r="P242" s="707"/>
      <c r="Q242" s="240" t="str">
        <f t="shared" ref="Q242:Q246" si="105">D$1</f>
        <v>ROOF</v>
      </c>
      <c r="R242" s="852" t="s">
        <v>96</v>
      </c>
      <c r="S242" s="664"/>
      <c r="T242" s="664"/>
      <c r="U242" s="664"/>
      <c r="V242" s="664"/>
      <c r="W242" s="664"/>
      <c r="X242" s="664"/>
      <c r="Y242" s="664"/>
      <c r="Z242" s="664"/>
    </row>
    <row r="243" spans="1:26" ht="22.8" x14ac:dyDescent="0.3">
      <c r="A243" s="861"/>
      <c r="B243" s="857"/>
      <c r="C243" s="669" t="str">
        <f>INDEX('Master sheet'!$A$1:$A$670,MATCH("A208",'Master sheet'!$AN$1:$AN$670,0))</f>
        <v>SIP panels - EPS foam &amp; OSB / SIPA / R-23 6.5" panel</v>
      </c>
      <c r="D243" s="15">
        <f>'USER INPUT SHEET'!$D$37</f>
        <v>0</v>
      </c>
      <c r="E243" s="16" t="str">
        <f>'USER INPUT SHEET'!$F$37</f>
        <v>m2</v>
      </c>
      <c r="F243" s="3">
        <v>1</v>
      </c>
      <c r="G243" s="670"/>
      <c r="H243" s="8"/>
      <c r="I243" s="92">
        <f t="shared" ref="I243:I246" si="106">K243-L243-IF(N243,M243,0)</f>
        <v>0</v>
      </c>
      <c r="J243" s="93" t="str">
        <f t="shared" si="104"/>
        <v/>
      </c>
      <c r="K243" s="406">
        <f>$D243*$F243*VLOOKUP($C243,'Master sheet'!$A:$AL,13,FALSE)</f>
        <v>0</v>
      </c>
      <c r="L243" s="94">
        <f>$D243*$F243*VLOOKUP($C243,'Master sheet'!$A:$AL,27,FALSE)</f>
        <v>0</v>
      </c>
      <c r="M243" s="1552"/>
      <c r="N243" s="1552"/>
      <c r="O243" s="25" t="str">
        <f>_xlfn.IFNA(VLOOKUP($C243,'Master sheet'!$A:$AR,44,FALSE),"")&amp;""</f>
        <v/>
      </c>
      <c r="P243" s="707"/>
      <c r="Q243" s="240" t="str">
        <f t="shared" si="105"/>
        <v>ROOF</v>
      </c>
      <c r="R243" s="852" t="s">
        <v>96</v>
      </c>
      <c r="S243" s="664"/>
      <c r="T243" s="664"/>
      <c r="U243" s="664"/>
      <c r="V243" s="664"/>
      <c r="W243" s="664"/>
      <c r="X243" s="664"/>
      <c r="Y243" s="664"/>
      <c r="Z243" s="664"/>
    </row>
    <row r="244" spans="1:26" ht="22.8" x14ac:dyDescent="0.3">
      <c r="A244" s="861"/>
      <c r="B244" s="858"/>
      <c r="C244" s="669" t="str">
        <f>INDEX('Master sheet'!$A$1:$A$670,MATCH("A209",'Master sheet'!$AN$1:$AN$670,0))</f>
        <v>SIP panels - EPS foam &amp; OSB / SIPA / R-30 8.25" panel</v>
      </c>
      <c r="D244" s="15">
        <f>'USER INPUT SHEET'!$D$37</f>
        <v>0</v>
      </c>
      <c r="E244" s="16" t="str">
        <f>'USER INPUT SHEET'!$F$37</f>
        <v>m2</v>
      </c>
      <c r="F244" s="3">
        <v>1</v>
      </c>
      <c r="G244" s="670"/>
      <c r="H244" s="8"/>
      <c r="I244" s="92">
        <f t="shared" si="106"/>
        <v>0</v>
      </c>
      <c r="J244" s="93" t="str">
        <f t="shared" si="104"/>
        <v/>
      </c>
      <c r="K244" s="406">
        <f>$D244*$F244*VLOOKUP($C244,'Master sheet'!$A:$AL,13,FALSE)</f>
        <v>0</v>
      </c>
      <c r="L244" s="94">
        <f>$D244*$F244*VLOOKUP($C244,'Master sheet'!$A:$AL,27,FALSE)</f>
        <v>0</v>
      </c>
      <c r="M244" s="1552"/>
      <c r="N244" s="1552"/>
      <c r="O244" s="25" t="str">
        <f>_xlfn.IFNA(VLOOKUP($C244,'Master sheet'!$A:$AR,44,FALSE),"")&amp;""</f>
        <v/>
      </c>
      <c r="P244" s="707"/>
      <c r="Q244" s="240" t="str">
        <f t="shared" si="105"/>
        <v>ROOF</v>
      </c>
      <c r="R244" s="852" t="s">
        <v>96</v>
      </c>
      <c r="S244" s="664"/>
      <c r="T244" s="664"/>
      <c r="U244" s="664"/>
      <c r="V244" s="664"/>
      <c r="W244" s="664"/>
      <c r="X244" s="664"/>
      <c r="Y244" s="664"/>
      <c r="Z244" s="664"/>
    </row>
    <row r="245" spans="1:26" ht="22.8" x14ac:dyDescent="0.3">
      <c r="A245" s="638"/>
      <c r="B245" s="858"/>
      <c r="C245" s="669" t="str">
        <f>INDEX('Master sheet'!$A$1:$A$670,MATCH("A210",'Master sheet'!$AN$1:$AN$670,0))</f>
        <v>SIP panels - EPS foam &amp; OSB / SIPA / R-38 10.25" panel</v>
      </c>
      <c r="D245" s="15">
        <f>'USER INPUT SHEET'!$D$37</f>
        <v>0</v>
      </c>
      <c r="E245" s="16" t="str">
        <f>'USER INPUT SHEET'!$F$37</f>
        <v>m2</v>
      </c>
      <c r="F245" s="3">
        <v>1</v>
      </c>
      <c r="G245" s="670"/>
      <c r="H245" s="8"/>
      <c r="I245" s="92">
        <f t="shared" si="106"/>
        <v>0</v>
      </c>
      <c r="J245" s="93" t="str">
        <f t="shared" si="104"/>
        <v/>
      </c>
      <c r="K245" s="406">
        <f>$D245*$F245*VLOOKUP($C245,'Master sheet'!$A:$AL,13,FALSE)</f>
        <v>0</v>
      </c>
      <c r="L245" s="94">
        <f>$D245*$F245*VLOOKUP($C245,'Master sheet'!$A:$AL,27,FALSE)</f>
        <v>0</v>
      </c>
      <c r="M245" s="1552"/>
      <c r="N245" s="1552"/>
      <c r="O245" s="25" t="str">
        <f>_xlfn.IFNA(VLOOKUP($C245,'Master sheet'!$A:$AR,44,FALSE),"")&amp;""</f>
        <v/>
      </c>
      <c r="P245" s="707"/>
      <c r="Q245" s="240" t="str">
        <f t="shared" si="105"/>
        <v>ROOF</v>
      </c>
      <c r="R245" s="852" t="s">
        <v>96</v>
      </c>
      <c r="S245" s="664"/>
      <c r="T245" s="664"/>
      <c r="U245" s="664"/>
      <c r="V245" s="664"/>
      <c r="W245" s="664"/>
      <c r="X245" s="664"/>
      <c r="Y245" s="664"/>
      <c r="Z245" s="664"/>
    </row>
    <row r="246" spans="1:26" s="624" customFormat="1" ht="22.8" x14ac:dyDescent="0.3">
      <c r="A246" s="862"/>
      <c r="B246" s="863"/>
      <c r="C246" s="749" t="str">
        <f>INDEX('Master sheet'!$A$1:$A$670,MATCH("A211",'Master sheet'!$AN$1:$AN$670,0))</f>
        <v>SIP panels - EPS foam &amp; OSB / SIPA / R-45 12.25" panel</v>
      </c>
      <c r="D246" s="250">
        <f>'USER INPUT SHEET'!$D$37</f>
        <v>0</v>
      </c>
      <c r="E246" s="251" t="str">
        <f>'USER INPUT SHEET'!$F$37</f>
        <v>m2</v>
      </c>
      <c r="F246" s="252">
        <v>1</v>
      </c>
      <c r="G246" s="750"/>
      <c r="H246" s="253"/>
      <c r="I246" s="92">
        <f t="shared" si="106"/>
        <v>0</v>
      </c>
      <c r="J246" s="255" t="str">
        <f t="shared" si="104"/>
        <v/>
      </c>
      <c r="K246" s="406">
        <f>$D246*$F246*VLOOKUP($C246,'Master sheet'!$A:$AL,13,FALSE)</f>
        <v>0</v>
      </c>
      <c r="L246" s="94">
        <f>$D246*$F246*VLOOKUP($C246,'Master sheet'!$A:$AL,27,FALSE)</f>
        <v>0</v>
      </c>
      <c r="M246" s="1552"/>
      <c r="N246" s="1552"/>
      <c r="O246" s="25" t="str">
        <f>_xlfn.IFNA(VLOOKUP($C246,'Master sheet'!$A:$AR,44,FALSE),"")&amp;""</f>
        <v/>
      </c>
      <c r="P246" s="671"/>
      <c r="Q246" s="241" t="str">
        <f t="shared" si="105"/>
        <v>ROOF</v>
      </c>
      <c r="R246" s="843" t="s">
        <v>96</v>
      </c>
      <c r="S246" s="638"/>
      <c r="T246" s="638"/>
      <c r="U246" s="638"/>
      <c r="V246" s="638"/>
      <c r="W246" s="638"/>
      <c r="X246" s="638"/>
      <c r="Y246" s="638"/>
      <c r="Z246" s="638"/>
    </row>
    <row r="247" spans="1:26" ht="15.75" customHeight="1" x14ac:dyDescent="0.3">
      <c r="A247" s="700"/>
      <c r="B247" s="700"/>
      <c r="C247" s="700"/>
      <c r="D247" s="701"/>
      <c r="E247" s="700"/>
      <c r="F247" s="328"/>
      <c r="G247" s="700"/>
      <c r="H247" s="700"/>
      <c r="I247" s="703"/>
      <c r="J247" s="704"/>
      <c r="K247" s="704"/>
      <c r="L247" s="704"/>
      <c r="M247" s="704"/>
      <c r="N247" s="704"/>
      <c r="O247" s="700"/>
    </row>
    <row r="248" spans="1:26" ht="15.75" customHeight="1" x14ac:dyDescent="0.3">
      <c r="A248" s="700"/>
      <c r="B248" s="706" t="s">
        <v>4901</v>
      </c>
      <c r="C248" s="700"/>
      <c r="D248" s="701"/>
      <c r="E248" s="700"/>
      <c r="F248" s="328"/>
      <c r="G248" s="700"/>
      <c r="H248" s="700"/>
      <c r="I248" s="703"/>
      <c r="J248" s="704"/>
      <c r="K248" s="704"/>
      <c r="L248" s="704"/>
      <c r="M248" s="704"/>
      <c r="N248" s="704"/>
      <c r="O248" s="700"/>
    </row>
    <row r="249" spans="1:26" ht="15.75" customHeight="1" x14ac:dyDescent="0.3">
      <c r="A249" s="700"/>
      <c r="B249" s="706" t="s">
        <v>4900</v>
      </c>
      <c r="C249" s="700"/>
      <c r="D249" s="701"/>
      <c r="E249" s="700"/>
      <c r="F249" s="328"/>
      <c r="G249" s="700"/>
      <c r="H249" s="700"/>
      <c r="I249" s="703"/>
      <c r="J249" s="704"/>
      <c r="K249" s="704"/>
      <c r="L249" s="704"/>
      <c r="M249" s="704"/>
      <c r="N249" s="704"/>
      <c r="O249" s="700"/>
    </row>
    <row r="250" spans="1:26" ht="15.75" customHeight="1" x14ac:dyDescent="0.3">
      <c r="A250" s="700"/>
      <c r="B250" s="700"/>
      <c r="C250" s="700"/>
      <c r="D250" s="701"/>
      <c r="E250" s="700"/>
      <c r="F250" s="328"/>
      <c r="G250" s="700"/>
      <c r="H250" s="700"/>
      <c r="I250" s="703"/>
      <c r="J250" s="704"/>
      <c r="K250" s="704"/>
      <c r="L250" s="704"/>
      <c r="M250" s="704"/>
      <c r="N250" s="704"/>
      <c r="O250" s="700"/>
    </row>
    <row r="251" spans="1:26" ht="15.75" customHeight="1" x14ac:dyDescent="0.3">
      <c r="A251" s="700"/>
      <c r="B251" s="700"/>
      <c r="C251" s="700"/>
      <c r="D251" s="701"/>
      <c r="E251" s="700"/>
      <c r="F251" s="328"/>
      <c r="G251" s="700"/>
      <c r="H251" s="700"/>
      <c r="I251" s="703"/>
      <c r="J251" s="704"/>
      <c r="K251" s="704"/>
      <c r="L251" s="704"/>
      <c r="M251" s="704"/>
      <c r="N251" s="704"/>
      <c r="O251" s="700"/>
    </row>
    <row r="252" spans="1:26" ht="15.75" customHeight="1" x14ac:dyDescent="0.3">
      <c r="A252" s="700"/>
      <c r="B252" s="700"/>
      <c r="C252" s="700"/>
      <c r="D252" s="701"/>
      <c r="E252" s="700"/>
      <c r="F252" s="328"/>
      <c r="G252" s="700"/>
      <c r="H252" s="700"/>
      <c r="I252" s="703"/>
      <c r="J252" s="704"/>
      <c r="K252" s="704"/>
      <c r="L252" s="704"/>
      <c r="M252" s="704"/>
      <c r="N252" s="704"/>
      <c r="O252" s="700"/>
    </row>
    <row r="253" spans="1:26" ht="15.75" customHeight="1" x14ac:dyDescent="0.3">
      <c r="A253" s="700"/>
      <c r="B253" s="700"/>
      <c r="C253" s="700"/>
      <c r="D253" s="701"/>
      <c r="E253" s="700"/>
      <c r="F253" s="328"/>
      <c r="G253" s="700"/>
      <c r="H253" s="700"/>
      <c r="I253" s="703"/>
      <c r="J253" s="704"/>
      <c r="K253" s="704"/>
      <c r="L253" s="704"/>
      <c r="M253" s="704"/>
      <c r="N253" s="704"/>
      <c r="O253" s="700"/>
    </row>
    <row r="254" spans="1:26" ht="15.75" customHeight="1" x14ac:dyDescent="0.3">
      <c r="A254" s="700"/>
      <c r="B254" s="700"/>
      <c r="C254" s="700"/>
      <c r="D254" s="701"/>
      <c r="E254" s="700"/>
      <c r="F254" s="328"/>
      <c r="G254" s="700"/>
      <c r="H254" s="700"/>
      <c r="I254" s="703"/>
      <c r="J254" s="704"/>
      <c r="K254" s="704"/>
      <c r="L254" s="704"/>
      <c r="M254" s="704"/>
      <c r="N254" s="704"/>
      <c r="O254" s="700"/>
    </row>
    <row r="255" spans="1:26" ht="15.75" customHeight="1" x14ac:dyDescent="0.3">
      <c r="A255" s="700"/>
      <c r="B255" s="700"/>
      <c r="C255" s="700"/>
      <c r="D255" s="701"/>
      <c r="E255" s="700"/>
      <c r="F255" s="328"/>
      <c r="G255" s="700"/>
      <c r="H255" s="700"/>
      <c r="I255" s="703"/>
      <c r="J255" s="704"/>
      <c r="K255" s="704"/>
      <c r="L255" s="704"/>
      <c r="M255" s="704"/>
      <c r="N255" s="704"/>
      <c r="O255" s="700"/>
    </row>
    <row r="256" spans="1:26" ht="15.75" customHeight="1" x14ac:dyDescent="0.3">
      <c r="A256" s="700"/>
      <c r="B256" s="700"/>
      <c r="C256" s="700"/>
      <c r="D256" s="701"/>
      <c r="E256" s="700"/>
      <c r="F256" s="328"/>
      <c r="G256" s="700"/>
      <c r="H256" s="700"/>
      <c r="I256" s="703"/>
      <c r="J256" s="704"/>
      <c r="K256" s="704"/>
      <c r="L256" s="704"/>
      <c r="M256" s="704"/>
      <c r="N256" s="704"/>
      <c r="O256" s="700"/>
    </row>
    <row r="257" spans="1:15" ht="15.75" customHeight="1" x14ac:dyDescent="0.3">
      <c r="A257" s="700"/>
      <c r="B257" s="700"/>
      <c r="C257" s="700"/>
      <c r="D257" s="701"/>
      <c r="E257" s="700"/>
      <c r="F257" s="328"/>
      <c r="G257" s="700"/>
      <c r="H257" s="700"/>
      <c r="I257" s="703"/>
      <c r="J257" s="704"/>
      <c r="K257" s="704"/>
      <c r="L257" s="704"/>
      <c r="M257" s="704"/>
      <c r="N257" s="704"/>
      <c r="O257" s="700"/>
    </row>
    <row r="258" spans="1:15" ht="15.75" customHeight="1" x14ac:dyDescent="0.3">
      <c r="A258" s="700"/>
      <c r="B258" s="700"/>
      <c r="C258" s="700"/>
      <c r="D258" s="701"/>
      <c r="E258" s="700"/>
      <c r="F258" s="328"/>
      <c r="G258" s="700"/>
      <c r="H258" s="700"/>
      <c r="I258" s="703"/>
      <c r="J258" s="704"/>
      <c r="K258" s="704"/>
      <c r="L258" s="704"/>
      <c r="M258" s="704"/>
      <c r="N258" s="704"/>
      <c r="O258" s="700"/>
    </row>
    <row r="259" spans="1:15" ht="15.75" customHeight="1" x14ac:dyDescent="0.3">
      <c r="A259" s="700"/>
      <c r="B259" s="700"/>
      <c r="C259" s="700"/>
      <c r="D259" s="701"/>
      <c r="E259" s="700"/>
      <c r="F259" s="328"/>
      <c r="G259" s="700"/>
      <c r="H259" s="700"/>
      <c r="I259" s="703"/>
      <c r="J259" s="704"/>
      <c r="K259" s="704"/>
      <c r="L259" s="704"/>
      <c r="M259" s="704"/>
      <c r="N259" s="704"/>
      <c r="O259" s="700"/>
    </row>
    <row r="260" spans="1:15" ht="15.75" customHeight="1" x14ac:dyDescent="0.3">
      <c r="A260" s="700"/>
      <c r="B260" s="700"/>
      <c r="C260" s="700"/>
      <c r="D260" s="701"/>
      <c r="E260" s="700"/>
      <c r="F260" s="328"/>
      <c r="G260" s="700"/>
      <c r="H260" s="700"/>
      <c r="I260" s="703"/>
      <c r="J260" s="704"/>
      <c r="K260" s="704"/>
      <c r="L260" s="704"/>
      <c r="M260" s="704"/>
      <c r="N260" s="704"/>
      <c r="O260" s="700"/>
    </row>
    <row r="261" spans="1:15" ht="15.75" customHeight="1" x14ac:dyDescent="0.3">
      <c r="A261" s="700"/>
      <c r="B261" s="700"/>
      <c r="C261" s="700"/>
      <c r="D261" s="701"/>
      <c r="E261" s="700"/>
      <c r="F261" s="328"/>
      <c r="G261" s="700"/>
      <c r="H261" s="700"/>
      <c r="I261" s="703"/>
      <c r="J261" s="704"/>
      <c r="K261" s="704"/>
      <c r="L261" s="704"/>
      <c r="M261" s="704"/>
      <c r="N261" s="704"/>
      <c r="O261" s="700"/>
    </row>
    <row r="262" spans="1:15" ht="15.75" customHeight="1" x14ac:dyDescent="0.3">
      <c r="A262" s="700"/>
      <c r="B262" s="700"/>
      <c r="C262" s="700"/>
      <c r="D262" s="701"/>
      <c r="E262" s="700"/>
      <c r="F262" s="328"/>
      <c r="G262" s="700"/>
      <c r="H262" s="700"/>
      <c r="I262" s="703"/>
      <c r="J262" s="704"/>
      <c r="K262" s="704"/>
      <c r="L262" s="704"/>
      <c r="M262" s="704"/>
      <c r="N262" s="704"/>
      <c r="O262" s="700"/>
    </row>
    <row r="263" spans="1:15" ht="15.75" customHeight="1" x14ac:dyDescent="0.3">
      <c r="A263" s="700"/>
      <c r="B263" s="700"/>
      <c r="C263" s="700"/>
      <c r="D263" s="701"/>
      <c r="E263" s="700"/>
      <c r="F263" s="328"/>
      <c r="G263" s="700"/>
      <c r="H263" s="700"/>
      <c r="I263" s="703"/>
      <c r="J263" s="704"/>
      <c r="K263" s="704"/>
      <c r="L263" s="704"/>
      <c r="M263" s="704"/>
      <c r="N263" s="704"/>
      <c r="O263" s="700"/>
    </row>
    <row r="264" spans="1:15" ht="15.75" customHeight="1" x14ac:dyDescent="0.3">
      <c r="A264" s="700"/>
      <c r="B264" s="700"/>
      <c r="C264" s="700"/>
      <c r="D264" s="701"/>
      <c r="E264" s="700"/>
      <c r="F264" s="328"/>
      <c r="G264" s="700"/>
      <c r="H264" s="700"/>
      <c r="I264" s="703"/>
      <c r="J264" s="704"/>
      <c r="K264" s="704"/>
      <c r="L264" s="704"/>
      <c r="M264" s="704"/>
      <c r="N264" s="704"/>
      <c r="O264" s="700"/>
    </row>
    <row r="265" spans="1:15" ht="15.75" customHeight="1" x14ac:dyDescent="0.3">
      <c r="A265" s="700"/>
      <c r="B265" s="700"/>
      <c r="C265" s="700"/>
      <c r="D265" s="701"/>
      <c r="E265" s="700"/>
      <c r="F265" s="328"/>
      <c r="G265" s="700"/>
      <c r="H265" s="700"/>
      <c r="I265" s="703"/>
      <c r="J265" s="704"/>
      <c r="K265" s="704"/>
      <c r="L265" s="704"/>
      <c r="M265" s="704"/>
      <c r="N265" s="704"/>
      <c r="O265" s="700"/>
    </row>
    <row r="266" spans="1:15" ht="15.75" customHeight="1" x14ac:dyDescent="0.3">
      <c r="A266" s="700"/>
      <c r="B266" s="700"/>
      <c r="C266" s="700"/>
      <c r="D266" s="701"/>
      <c r="E266" s="700"/>
      <c r="F266" s="328"/>
      <c r="G266" s="700"/>
      <c r="H266" s="700"/>
      <c r="I266" s="703"/>
      <c r="J266" s="704"/>
      <c r="K266" s="704"/>
      <c r="L266" s="704"/>
      <c r="M266" s="704"/>
      <c r="N266" s="704"/>
      <c r="O266" s="700"/>
    </row>
    <row r="267" spans="1:15" ht="15.75" customHeight="1" x14ac:dyDescent="0.3">
      <c r="A267" s="700"/>
      <c r="B267" s="700"/>
      <c r="C267" s="700"/>
      <c r="D267" s="701"/>
      <c r="E267" s="700"/>
      <c r="F267" s="328"/>
      <c r="G267" s="700"/>
      <c r="H267" s="700"/>
      <c r="I267" s="703"/>
      <c r="J267" s="704"/>
      <c r="K267" s="704"/>
      <c r="L267" s="704"/>
      <c r="M267" s="704"/>
      <c r="N267" s="704"/>
      <c r="O267" s="700"/>
    </row>
    <row r="268" spans="1:15" ht="15.75" customHeight="1" x14ac:dyDescent="0.3">
      <c r="A268" s="700"/>
      <c r="B268" s="700"/>
      <c r="C268" s="700"/>
      <c r="D268" s="701"/>
      <c r="E268" s="700"/>
      <c r="F268" s="328"/>
      <c r="G268" s="700"/>
      <c r="H268" s="700"/>
      <c r="I268" s="703"/>
      <c r="J268" s="704"/>
      <c r="K268" s="704"/>
      <c r="L268" s="704"/>
      <c r="M268" s="704"/>
      <c r="N268" s="704"/>
      <c r="O268" s="700"/>
    </row>
    <row r="269" spans="1:15" ht="15.75" customHeight="1" x14ac:dyDescent="0.3">
      <c r="A269" s="700"/>
      <c r="B269" s="700"/>
      <c r="C269" s="700"/>
      <c r="D269" s="701"/>
      <c r="E269" s="700"/>
      <c r="F269" s="328"/>
      <c r="G269" s="700"/>
      <c r="H269" s="700"/>
      <c r="I269" s="703"/>
      <c r="J269" s="704"/>
      <c r="K269" s="704"/>
      <c r="L269" s="704"/>
      <c r="M269" s="704"/>
      <c r="N269" s="704"/>
      <c r="O269" s="700"/>
    </row>
    <row r="270" spans="1:15" ht="15.75" customHeight="1" x14ac:dyDescent="0.3">
      <c r="A270" s="700"/>
      <c r="B270" s="700"/>
      <c r="C270" s="700"/>
      <c r="D270" s="701"/>
      <c r="E270" s="700"/>
      <c r="F270" s="328"/>
      <c r="G270" s="700"/>
      <c r="H270" s="700"/>
      <c r="I270" s="703"/>
      <c r="J270" s="704"/>
      <c r="K270" s="704"/>
      <c r="L270" s="704"/>
      <c r="M270" s="704"/>
      <c r="N270" s="704"/>
      <c r="O270" s="700"/>
    </row>
    <row r="271" spans="1:15" ht="15.75" customHeight="1" x14ac:dyDescent="0.3">
      <c r="A271" s="700"/>
      <c r="B271" s="700"/>
      <c r="C271" s="700"/>
      <c r="D271" s="701"/>
      <c r="E271" s="700"/>
      <c r="F271" s="328"/>
      <c r="G271" s="700"/>
      <c r="H271" s="700"/>
      <c r="I271" s="703"/>
      <c r="J271" s="704"/>
      <c r="K271" s="704"/>
      <c r="L271" s="704"/>
      <c r="M271" s="704"/>
      <c r="N271" s="704"/>
      <c r="O271" s="700"/>
    </row>
    <row r="272" spans="1:15" ht="15.75" customHeight="1" x14ac:dyDescent="0.3">
      <c r="A272" s="700"/>
      <c r="B272" s="700"/>
      <c r="C272" s="700"/>
      <c r="D272" s="701"/>
      <c r="E272" s="700"/>
      <c r="F272" s="328"/>
      <c r="G272" s="700"/>
      <c r="H272" s="700"/>
      <c r="I272" s="703"/>
      <c r="J272" s="704"/>
      <c r="K272" s="704"/>
      <c r="L272" s="704"/>
      <c r="M272" s="704"/>
      <c r="N272" s="704"/>
      <c r="O272" s="700"/>
    </row>
    <row r="273" spans="1:15" ht="15.75" customHeight="1" x14ac:dyDescent="0.3">
      <c r="A273" s="700"/>
      <c r="B273" s="700"/>
      <c r="C273" s="700"/>
      <c r="D273" s="701"/>
      <c r="E273" s="700"/>
      <c r="F273" s="328"/>
      <c r="G273" s="700"/>
      <c r="H273" s="700"/>
      <c r="I273" s="703"/>
      <c r="J273" s="704"/>
      <c r="K273" s="704"/>
      <c r="L273" s="704"/>
      <c r="M273" s="704"/>
      <c r="N273" s="704"/>
      <c r="O273" s="700"/>
    </row>
    <row r="274" spans="1:15" ht="15.75" customHeight="1" x14ac:dyDescent="0.3">
      <c r="A274" s="700"/>
      <c r="B274" s="700"/>
      <c r="C274" s="700"/>
      <c r="D274" s="701"/>
      <c r="E274" s="700"/>
      <c r="F274" s="328"/>
      <c r="G274" s="700"/>
      <c r="H274" s="700"/>
      <c r="I274" s="703"/>
      <c r="J274" s="704"/>
      <c r="K274" s="704"/>
      <c r="L274" s="704"/>
      <c r="M274" s="704"/>
      <c r="N274" s="704"/>
      <c r="O274" s="700"/>
    </row>
    <row r="275" spans="1:15" ht="15.75" customHeight="1" x14ac:dyDescent="0.3">
      <c r="A275" s="700"/>
      <c r="B275" s="700"/>
      <c r="C275" s="700"/>
      <c r="D275" s="701"/>
      <c r="E275" s="700"/>
      <c r="F275" s="328"/>
      <c r="G275" s="700"/>
      <c r="H275" s="700"/>
      <c r="I275" s="703"/>
      <c r="J275" s="704"/>
      <c r="K275" s="704"/>
      <c r="L275" s="704"/>
      <c r="M275" s="704"/>
      <c r="N275" s="704"/>
      <c r="O275" s="700"/>
    </row>
    <row r="276" spans="1:15" ht="15.75" customHeight="1" x14ac:dyDescent="0.3">
      <c r="A276" s="700"/>
      <c r="B276" s="700"/>
      <c r="C276" s="700"/>
      <c r="D276" s="701"/>
      <c r="E276" s="700"/>
      <c r="F276" s="328"/>
      <c r="G276" s="700"/>
      <c r="H276" s="700"/>
      <c r="I276" s="703"/>
      <c r="J276" s="704"/>
      <c r="K276" s="704"/>
      <c r="L276" s="704"/>
      <c r="M276" s="704"/>
      <c r="N276" s="704"/>
      <c r="O276" s="700"/>
    </row>
    <row r="277" spans="1:15" ht="15.75" customHeight="1" x14ac:dyDescent="0.3">
      <c r="A277" s="700"/>
      <c r="B277" s="700"/>
      <c r="C277" s="700"/>
      <c r="D277" s="701"/>
      <c r="E277" s="700"/>
      <c r="F277" s="328"/>
      <c r="G277" s="700"/>
      <c r="H277" s="700"/>
      <c r="I277" s="703"/>
      <c r="J277" s="704"/>
      <c r="K277" s="704"/>
      <c r="L277" s="704"/>
      <c r="M277" s="704"/>
      <c r="N277" s="704"/>
      <c r="O277" s="700"/>
    </row>
    <row r="278" spans="1:15" ht="15.75" customHeight="1" x14ac:dyDescent="0.3">
      <c r="A278" s="700"/>
      <c r="B278" s="700"/>
      <c r="C278" s="700"/>
      <c r="D278" s="701"/>
      <c r="E278" s="700"/>
      <c r="F278" s="328"/>
      <c r="G278" s="700"/>
      <c r="H278" s="700"/>
      <c r="I278" s="703"/>
      <c r="J278" s="704"/>
      <c r="K278" s="704"/>
      <c r="L278" s="704"/>
      <c r="M278" s="704"/>
      <c r="N278" s="704"/>
      <c r="O278" s="700"/>
    </row>
    <row r="279" spans="1:15" ht="15.75" customHeight="1" x14ac:dyDescent="0.3">
      <c r="A279" s="700"/>
      <c r="B279" s="700"/>
      <c r="C279" s="700"/>
      <c r="D279" s="701"/>
      <c r="E279" s="700"/>
      <c r="F279" s="328"/>
      <c r="G279" s="700"/>
      <c r="H279" s="700"/>
      <c r="I279" s="703"/>
      <c r="J279" s="704"/>
      <c r="K279" s="704"/>
      <c r="L279" s="704"/>
      <c r="M279" s="704"/>
      <c r="N279" s="704"/>
      <c r="O279" s="700"/>
    </row>
    <row r="280" spans="1:15" ht="15.75" customHeight="1" x14ac:dyDescent="0.3">
      <c r="A280" s="700"/>
      <c r="B280" s="700"/>
      <c r="C280" s="700"/>
      <c r="D280" s="701"/>
      <c r="E280" s="700"/>
      <c r="F280" s="328"/>
      <c r="G280" s="700"/>
      <c r="H280" s="700"/>
      <c r="I280" s="703"/>
      <c r="J280" s="704"/>
      <c r="K280" s="704"/>
      <c r="L280" s="704"/>
      <c r="M280" s="704"/>
      <c r="N280" s="704"/>
      <c r="O280" s="700"/>
    </row>
    <row r="281" spans="1:15" ht="15.75" customHeight="1" x14ac:dyDescent="0.3">
      <c r="A281" s="700"/>
      <c r="B281" s="700"/>
      <c r="C281" s="700"/>
      <c r="D281" s="701"/>
      <c r="E281" s="700"/>
      <c r="F281" s="328"/>
      <c r="G281" s="700"/>
      <c r="H281" s="700"/>
      <c r="I281" s="703"/>
      <c r="J281" s="704"/>
      <c r="K281" s="704"/>
      <c r="L281" s="704"/>
      <c r="M281" s="704"/>
      <c r="N281" s="704"/>
      <c r="O281" s="700"/>
    </row>
    <row r="282" spans="1:15" ht="15.75" customHeight="1" x14ac:dyDescent="0.3">
      <c r="A282" s="700"/>
      <c r="B282" s="700"/>
      <c r="C282" s="700"/>
      <c r="D282" s="701"/>
      <c r="E282" s="700"/>
      <c r="F282" s="328"/>
      <c r="G282" s="700"/>
      <c r="H282" s="700"/>
      <c r="I282" s="703"/>
      <c r="J282" s="704"/>
      <c r="K282" s="704"/>
      <c r="L282" s="704"/>
      <c r="M282" s="704"/>
      <c r="N282" s="704"/>
      <c r="O282" s="700"/>
    </row>
    <row r="283" spans="1:15" ht="15.75" customHeight="1" x14ac:dyDescent="0.3">
      <c r="A283" s="700"/>
      <c r="B283" s="700"/>
      <c r="C283" s="700"/>
      <c r="D283" s="701"/>
      <c r="E283" s="700"/>
      <c r="F283" s="328"/>
      <c r="G283" s="700"/>
      <c r="H283" s="700"/>
      <c r="I283" s="703"/>
      <c r="J283" s="704"/>
      <c r="K283" s="704"/>
      <c r="L283" s="704"/>
      <c r="M283" s="704"/>
      <c r="N283" s="704"/>
      <c r="O283" s="700"/>
    </row>
    <row r="284" spans="1:15" ht="15.75" customHeight="1" x14ac:dyDescent="0.3">
      <c r="A284" s="700"/>
      <c r="B284" s="700"/>
      <c r="C284" s="700"/>
      <c r="D284" s="701"/>
      <c r="E284" s="700"/>
      <c r="F284" s="328"/>
      <c r="G284" s="700"/>
      <c r="H284" s="700"/>
      <c r="I284" s="703"/>
      <c r="J284" s="704"/>
      <c r="K284" s="704"/>
      <c r="L284" s="704"/>
      <c r="M284" s="704"/>
      <c r="N284" s="704"/>
      <c r="O284" s="700"/>
    </row>
    <row r="285" spans="1:15" ht="15.75" customHeight="1" x14ac:dyDescent="0.3">
      <c r="A285" s="700"/>
      <c r="B285" s="700"/>
      <c r="C285" s="700"/>
      <c r="D285" s="701"/>
      <c r="E285" s="700"/>
      <c r="F285" s="328"/>
      <c r="G285" s="700"/>
      <c r="H285" s="700"/>
      <c r="I285" s="703"/>
      <c r="J285" s="704"/>
      <c r="K285" s="704"/>
      <c r="L285" s="704"/>
      <c r="M285" s="704"/>
      <c r="N285" s="704"/>
      <c r="O285" s="700"/>
    </row>
    <row r="286" spans="1:15" ht="15.75" customHeight="1" x14ac:dyDescent="0.3">
      <c r="A286" s="700"/>
      <c r="B286" s="700"/>
      <c r="C286" s="700"/>
      <c r="D286" s="701"/>
      <c r="E286" s="700"/>
      <c r="F286" s="328"/>
      <c r="G286" s="700"/>
      <c r="H286" s="700"/>
      <c r="I286" s="703"/>
      <c r="J286" s="704"/>
      <c r="K286" s="704"/>
      <c r="L286" s="704"/>
      <c r="M286" s="704"/>
      <c r="N286" s="704"/>
      <c r="O286" s="700"/>
    </row>
    <row r="287" spans="1:15" ht="15.75" customHeight="1" x14ac:dyDescent="0.3">
      <c r="A287" s="700"/>
      <c r="B287" s="700"/>
      <c r="C287" s="700"/>
      <c r="D287" s="701"/>
      <c r="E287" s="700"/>
      <c r="F287" s="328"/>
      <c r="G287" s="700"/>
      <c r="H287" s="700"/>
      <c r="I287" s="703"/>
      <c r="J287" s="704"/>
      <c r="K287" s="704"/>
      <c r="L287" s="704"/>
      <c r="M287" s="704"/>
      <c r="N287" s="704"/>
      <c r="O287" s="700"/>
    </row>
    <row r="288" spans="1:15" ht="15.75" customHeight="1" x14ac:dyDescent="0.3">
      <c r="A288" s="700"/>
      <c r="B288" s="700"/>
      <c r="C288" s="700"/>
      <c r="D288" s="701"/>
      <c r="E288" s="700"/>
      <c r="F288" s="328"/>
      <c r="G288" s="700"/>
      <c r="H288" s="700"/>
      <c r="I288" s="703"/>
      <c r="J288" s="704"/>
      <c r="K288" s="704"/>
      <c r="L288" s="704"/>
      <c r="M288" s="704"/>
      <c r="N288" s="704"/>
      <c r="O288" s="700"/>
    </row>
    <row r="289" spans="1:15" ht="15.75" customHeight="1" x14ac:dyDescent="0.3">
      <c r="A289" s="700"/>
      <c r="B289" s="700"/>
      <c r="C289" s="700"/>
      <c r="D289" s="701"/>
      <c r="E289" s="700"/>
      <c r="F289" s="328"/>
      <c r="G289" s="700"/>
      <c r="H289" s="700"/>
      <c r="I289" s="703"/>
      <c r="J289" s="704"/>
      <c r="K289" s="704"/>
      <c r="L289" s="704"/>
      <c r="M289" s="704"/>
      <c r="N289" s="704"/>
      <c r="O289" s="700"/>
    </row>
    <row r="290" spans="1:15" ht="15.75" customHeight="1" x14ac:dyDescent="0.3">
      <c r="A290" s="700"/>
      <c r="B290" s="700"/>
      <c r="C290" s="700"/>
      <c r="D290" s="701"/>
      <c r="E290" s="700"/>
      <c r="F290" s="328"/>
      <c r="G290" s="700"/>
      <c r="H290" s="700"/>
      <c r="I290" s="703"/>
      <c r="J290" s="704"/>
      <c r="K290" s="704"/>
      <c r="L290" s="704"/>
      <c r="M290" s="704"/>
      <c r="N290" s="704"/>
      <c r="O290" s="700"/>
    </row>
    <row r="291" spans="1:15" ht="15.75" customHeight="1" x14ac:dyDescent="0.3">
      <c r="A291" s="700"/>
      <c r="B291" s="700"/>
      <c r="C291" s="700"/>
      <c r="D291" s="701"/>
      <c r="E291" s="700"/>
      <c r="F291" s="328"/>
      <c r="G291" s="700"/>
      <c r="H291" s="700"/>
      <c r="I291" s="703"/>
      <c r="J291" s="704"/>
      <c r="K291" s="704"/>
      <c r="L291" s="704"/>
      <c r="M291" s="704"/>
      <c r="N291" s="704"/>
      <c r="O291" s="700"/>
    </row>
    <row r="292" spans="1:15" ht="15.75" customHeight="1" x14ac:dyDescent="0.3">
      <c r="A292" s="700"/>
      <c r="B292" s="700"/>
      <c r="C292" s="700"/>
      <c r="D292" s="701"/>
      <c r="E292" s="700"/>
      <c r="F292" s="328"/>
      <c r="G292" s="700"/>
      <c r="H292" s="700"/>
      <c r="I292" s="703"/>
      <c r="J292" s="704"/>
      <c r="K292" s="704"/>
      <c r="L292" s="704"/>
      <c r="M292" s="704"/>
      <c r="N292" s="704"/>
      <c r="O292" s="700"/>
    </row>
    <row r="293" spans="1:15" ht="15.75" customHeight="1" x14ac:dyDescent="0.3">
      <c r="A293" s="700"/>
      <c r="B293" s="700"/>
      <c r="C293" s="700"/>
      <c r="D293" s="701"/>
      <c r="E293" s="700"/>
      <c r="F293" s="328"/>
      <c r="G293" s="700"/>
      <c r="H293" s="700"/>
      <c r="I293" s="703"/>
      <c r="J293" s="704"/>
      <c r="K293" s="704"/>
      <c r="L293" s="704"/>
      <c r="M293" s="704"/>
      <c r="N293" s="704"/>
      <c r="O293" s="700"/>
    </row>
    <row r="294" spans="1:15" ht="15.75" customHeight="1" x14ac:dyDescent="0.3">
      <c r="A294" s="700"/>
      <c r="B294" s="700"/>
      <c r="C294" s="700"/>
      <c r="D294" s="701"/>
      <c r="E294" s="700"/>
      <c r="F294" s="328"/>
      <c r="G294" s="700"/>
      <c r="H294" s="700"/>
      <c r="I294" s="703"/>
      <c r="J294" s="704"/>
      <c r="K294" s="704"/>
      <c r="L294" s="704"/>
      <c r="M294" s="704"/>
      <c r="N294" s="704"/>
      <c r="O294" s="700"/>
    </row>
    <row r="295" spans="1:15" ht="15.75" customHeight="1" x14ac:dyDescent="0.3">
      <c r="A295" s="700"/>
      <c r="B295" s="700"/>
      <c r="C295" s="700"/>
      <c r="D295" s="701"/>
      <c r="E295" s="700"/>
      <c r="F295" s="328"/>
      <c r="G295" s="700"/>
      <c r="H295" s="700"/>
      <c r="I295" s="703"/>
      <c r="J295" s="704"/>
      <c r="K295" s="704"/>
      <c r="L295" s="704"/>
      <c r="M295" s="704"/>
      <c r="N295" s="704"/>
      <c r="O295" s="700"/>
    </row>
    <row r="296" spans="1:15" ht="15.75" customHeight="1" x14ac:dyDescent="0.3">
      <c r="A296" s="700"/>
      <c r="B296" s="700"/>
      <c r="C296" s="700"/>
      <c r="D296" s="701"/>
      <c r="E296" s="700"/>
      <c r="F296" s="328"/>
      <c r="G296" s="700"/>
      <c r="H296" s="700"/>
      <c r="I296" s="703"/>
      <c r="J296" s="704"/>
      <c r="K296" s="704"/>
      <c r="L296" s="704"/>
      <c r="M296" s="704"/>
      <c r="N296" s="704"/>
      <c r="O296" s="700"/>
    </row>
    <row r="297" spans="1:15" ht="15.75" customHeight="1" x14ac:dyDescent="0.3">
      <c r="A297" s="700"/>
      <c r="B297" s="700"/>
      <c r="C297" s="700"/>
      <c r="D297" s="701"/>
      <c r="E297" s="700"/>
      <c r="F297" s="328"/>
      <c r="G297" s="700"/>
      <c r="H297" s="700"/>
      <c r="I297" s="703"/>
      <c r="J297" s="704"/>
      <c r="K297" s="704"/>
      <c r="L297" s="704"/>
      <c r="M297" s="704"/>
      <c r="N297" s="704"/>
      <c r="O297" s="700"/>
    </row>
    <row r="298" spans="1:15" ht="15.75" customHeight="1" x14ac:dyDescent="0.3">
      <c r="A298" s="700"/>
      <c r="B298" s="700"/>
      <c r="C298" s="700"/>
      <c r="D298" s="701"/>
      <c r="E298" s="700"/>
      <c r="F298" s="328"/>
      <c r="G298" s="700"/>
      <c r="H298" s="700"/>
      <c r="I298" s="703"/>
      <c r="J298" s="704"/>
      <c r="K298" s="704"/>
      <c r="L298" s="704"/>
      <c r="M298" s="704"/>
      <c r="N298" s="704"/>
      <c r="O298" s="700"/>
    </row>
    <row r="299" spans="1:15" ht="15.75" customHeight="1" x14ac:dyDescent="0.3">
      <c r="A299" s="700"/>
      <c r="B299" s="700"/>
      <c r="C299" s="700"/>
      <c r="D299" s="701"/>
      <c r="E299" s="700"/>
      <c r="F299" s="328"/>
      <c r="G299" s="700"/>
      <c r="H299" s="700"/>
      <c r="I299" s="703"/>
      <c r="J299" s="704"/>
      <c r="K299" s="704"/>
      <c r="L299" s="704"/>
      <c r="M299" s="704"/>
      <c r="N299" s="704"/>
      <c r="O299" s="700"/>
    </row>
    <row r="300" spans="1:15" ht="15.75" customHeight="1" x14ac:dyDescent="0.3">
      <c r="A300" s="700"/>
      <c r="B300" s="700"/>
      <c r="C300" s="700"/>
      <c r="D300" s="701"/>
      <c r="E300" s="700"/>
      <c r="F300" s="328"/>
      <c r="G300" s="700"/>
      <c r="H300" s="700"/>
      <c r="I300" s="703"/>
      <c r="J300" s="704"/>
      <c r="K300" s="704"/>
      <c r="L300" s="704"/>
      <c r="M300" s="704"/>
      <c r="N300" s="704"/>
      <c r="O300" s="700"/>
    </row>
    <row r="301" spans="1:15" ht="15.75" customHeight="1" x14ac:dyDescent="0.3">
      <c r="A301" s="700"/>
      <c r="B301" s="700"/>
      <c r="C301" s="700"/>
      <c r="D301" s="701"/>
      <c r="E301" s="700"/>
      <c r="F301" s="328"/>
      <c r="G301" s="700"/>
      <c r="H301" s="700"/>
      <c r="I301" s="703"/>
      <c r="J301" s="704"/>
      <c r="K301" s="704"/>
      <c r="L301" s="704"/>
      <c r="M301" s="704"/>
      <c r="N301" s="704"/>
      <c r="O301" s="700"/>
    </row>
    <row r="302" spans="1:15" ht="15.75" customHeight="1" x14ac:dyDescent="0.3">
      <c r="A302" s="700"/>
      <c r="B302" s="700"/>
      <c r="C302" s="700"/>
      <c r="D302" s="701"/>
      <c r="E302" s="700"/>
      <c r="F302" s="328"/>
      <c r="G302" s="700"/>
      <c r="H302" s="700"/>
      <c r="I302" s="703"/>
      <c r="J302" s="704"/>
      <c r="K302" s="704"/>
      <c r="L302" s="704"/>
      <c r="M302" s="704"/>
      <c r="N302" s="704"/>
      <c r="O302" s="700"/>
    </row>
    <row r="303" spans="1:15" ht="15.75" customHeight="1" x14ac:dyDescent="0.3">
      <c r="A303" s="700"/>
      <c r="B303" s="700"/>
      <c r="C303" s="700"/>
      <c r="D303" s="701"/>
      <c r="E303" s="700"/>
      <c r="F303" s="328"/>
      <c r="G303" s="700"/>
      <c r="H303" s="700"/>
      <c r="I303" s="703"/>
      <c r="J303" s="704"/>
      <c r="K303" s="704"/>
      <c r="L303" s="704"/>
      <c r="M303" s="704"/>
      <c r="N303" s="704"/>
      <c r="O303" s="700"/>
    </row>
    <row r="304" spans="1:15" ht="15.75" customHeight="1" x14ac:dyDescent="0.3">
      <c r="A304" s="700"/>
      <c r="B304" s="700"/>
      <c r="C304" s="700"/>
      <c r="D304" s="701"/>
      <c r="E304" s="700"/>
      <c r="F304" s="328"/>
      <c r="G304" s="700"/>
      <c r="H304" s="700"/>
      <c r="I304" s="703"/>
      <c r="J304" s="704"/>
      <c r="K304" s="704"/>
      <c r="L304" s="704"/>
      <c r="M304" s="704"/>
      <c r="N304" s="704"/>
      <c r="O304" s="700"/>
    </row>
    <row r="305" spans="1:15" ht="15.75" customHeight="1" x14ac:dyDescent="0.3">
      <c r="A305" s="700"/>
      <c r="B305" s="700"/>
      <c r="C305" s="700"/>
      <c r="D305" s="701"/>
      <c r="E305" s="700"/>
      <c r="F305" s="328"/>
      <c r="G305" s="700"/>
      <c r="H305" s="700"/>
      <c r="I305" s="703"/>
      <c r="J305" s="704"/>
      <c r="K305" s="704"/>
      <c r="L305" s="704"/>
      <c r="M305" s="704"/>
      <c r="N305" s="704"/>
      <c r="O305" s="700"/>
    </row>
    <row r="306" spans="1:15" ht="15.75" customHeight="1" x14ac:dyDescent="0.3">
      <c r="A306" s="700"/>
      <c r="B306" s="700"/>
      <c r="C306" s="700"/>
      <c r="D306" s="701"/>
      <c r="E306" s="700"/>
      <c r="F306" s="328"/>
      <c r="G306" s="700"/>
      <c r="H306" s="700"/>
      <c r="I306" s="703"/>
      <c r="J306" s="704"/>
      <c r="K306" s="704"/>
      <c r="L306" s="704"/>
      <c r="M306" s="704"/>
      <c r="N306" s="704"/>
      <c r="O306" s="700"/>
    </row>
    <row r="307" spans="1:15" ht="15.75" customHeight="1" x14ac:dyDescent="0.3">
      <c r="A307" s="700"/>
      <c r="B307" s="700"/>
      <c r="C307" s="700"/>
      <c r="D307" s="701"/>
      <c r="E307" s="700"/>
      <c r="F307" s="328"/>
      <c r="G307" s="700"/>
      <c r="H307" s="700"/>
      <c r="I307" s="703"/>
      <c r="J307" s="704"/>
      <c r="K307" s="704"/>
      <c r="L307" s="704"/>
      <c r="M307" s="704"/>
      <c r="N307" s="704"/>
      <c r="O307" s="700"/>
    </row>
    <row r="308" spans="1:15" ht="15.75" customHeight="1" x14ac:dyDescent="0.3">
      <c r="A308" s="700"/>
      <c r="B308" s="700"/>
      <c r="C308" s="700"/>
      <c r="D308" s="701"/>
      <c r="E308" s="700"/>
      <c r="F308" s="328"/>
      <c r="G308" s="700"/>
      <c r="H308" s="700"/>
      <c r="I308" s="703"/>
      <c r="J308" s="704"/>
      <c r="K308" s="704"/>
      <c r="L308" s="704"/>
      <c r="M308" s="704"/>
      <c r="N308" s="704"/>
      <c r="O308" s="700"/>
    </row>
    <row r="309" spans="1:15" ht="15.75" customHeight="1" x14ac:dyDescent="0.3">
      <c r="A309" s="700"/>
      <c r="B309" s="700"/>
      <c r="C309" s="700"/>
      <c r="D309" s="701"/>
      <c r="E309" s="700"/>
      <c r="F309" s="328"/>
      <c r="G309" s="700"/>
      <c r="H309" s="700"/>
      <c r="I309" s="703"/>
      <c r="J309" s="704"/>
      <c r="K309" s="704"/>
      <c r="L309" s="704"/>
      <c r="M309" s="704"/>
      <c r="N309" s="704"/>
      <c r="O309" s="700"/>
    </row>
    <row r="310" spans="1:15" ht="15.75" customHeight="1" x14ac:dyDescent="0.3">
      <c r="A310" s="700"/>
      <c r="B310" s="700"/>
      <c r="C310" s="700"/>
      <c r="D310" s="701"/>
      <c r="E310" s="700"/>
      <c r="F310" s="328"/>
      <c r="G310" s="700"/>
      <c r="H310" s="700"/>
      <c r="I310" s="703"/>
      <c r="J310" s="704"/>
      <c r="K310" s="704"/>
      <c r="L310" s="704"/>
      <c r="M310" s="704"/>
      <c r="N310" s="704"/>
      <c r="O310" s="700"/>
    </row>
    <row r="311" spans="1:15" ht="15.75" customHeight="1" x14ac:dyDescent="0.3">
      <c r="A311" s="700"/>
      <c r="B311" s="700"/>
      <c r="C311" s="700"/>
      <c r="D311" s="701"/>
      <c r="E311" s="700"/>
      <c r="F311" s="328"/>
      <c r="G311" s="700"/>
      <c r="H311" s="700"/>
      <c r="I311" s="703"/>
      <c r="J311" s="704"/>
      <c r="K311" s="704"/>
      <c r="L311" s="704"/>
      <c r="M311" s="704"/>
      <c r="N311" s="704"/>
      <c r="O311" s="700"/>
    </row>
    <row r="312" spans="1:15" ht="15.75" customHeight="1" x14ac:dyDescent="0.3">
      <c r="A312" s="700"/>
      <c r="B312" s="700"/>
      <c r="C312" s="700"/>
      <c r="D312" s="701"/>
      <c r="E312" s="700"/>
      <c r="F312" s="328"/>
      <c r="G312" s="700"/>
      <c r="H312" s="700"/>
      <c r="I312" s="703"/>
      <c r="J312" s="704"/>
      <c r="K312" s="704"/>
      <c r="L312" s="704"/>
      <c r="M312" s="704"/>
      <c r="N312" s="704"/>
      <c r="O312" s="700"/>
    </row>
    <row r="313" spans="1:15" ht="15.75" customHeight="1" x14ac:dyDescent="0.3">
      <c r="A313" s="700"/>
      <c r="B313" s="700"/>
      <c r="C313" s="700"/>
      <c r="D313" s="701"/>
      <c r="E313" s="700"/>
      <c r="F313" s="328"/>
      <c r="G313" s="700"/>
      <c r="H313" s="700"/>
      <c r="I313" s="703"/>
      <c r="J313" s="704"/>
      <c r="K313" s="704"/>
      <c r="L313" s="704"/>
      <c r="M313" s="704"/>
      <c r="N313" s="704"/>
      <c r="O313" s="700"/>
    </row>
    <row r="314" spans="1:15" ht="15.75" customHeight="1" x14ac:dyDescent="0.3">
      <c r="A314" s="700"/>
      <c r="B314" s="700"/>
      <c r="C314" s="700"/>
      <c r="D314" s="701"/>
      <c r="E314" s="700"/>
      <c r="F314" s="328"/>
      <c r="G314" s="700"/>
      <c r="H314" s="700"/>
      <c r="I314" s="703"/>
      <c r="J314" s="704"/>
      <c r="K314" s="704"/>
      <c r="L314" s="704"/>
      <c r="M314" s="704"/>
      <c r="N314" s="704"/>
      <c r="O314" s="700"/>
    </row>
    <row r="315" spans="1:15" ht="15.75" customHeight="1" x14ac:dyDescent="0.3">
      <c r="A315" s="700"/>
      <c r="B315" s="700"/>
      <c r="C315" s="700"/>
      <c r="D315" s="701"/>
      <c r="E315" s="700"/>
      <c r="F315" s="328"/>
      <c r="G315" s="700"/>
      <c r="H315" s="700"/>
      <c r="I315" s="703"/>
      <c r="J315" s="704"/>
      <c r="K315" s="704"/>
      <c r="L315" s="704"/>
      <c r="M315" s="704"/>
      <c r="N315" s="704"/>
      <c r="O315" s="700"/>
    </row>
    <row r="316" spans="1:15" ht="15.75" customHeight="1" x14ac:dyDescent="0.3">
      <c r="A316" s="700"/>
      <c r="B316" s="700"/>
      <c r="C316" s="700"/>
      <c r="D316" s="701"/>
      <c r="E316" s="700"/>
      <c r="F316" s="328"/>
      <c r="G316" s="700"/>
      <c r="H316" s="700"/>
      <c r="I316" s="703"/>
      <c r="J316" s="704"/>
      <c r="K316" s="704"/>
      <c r="L316" s="704"/>
      <c r="M316" s="704"/>
      <c r="N316" s="704"/>
      <c r="O316" s="700"/>
    </row>
    <row r="317" spans="1:15" ht="15.75" customHeight="1" x14ac:dyDescent="0.3">
      <c r="A317" s="700"/>
      <c r="B317" s="700"/>
      <c r="C317" s="700"/>
      <c r="D317" s="701"/>
      <c r="E317" s="700"/>
      <c r="F317" s="328"/>
      <c r="G317" s="700"/>
      <c r="H317" s="700"/>
      <c r="I317" s="703"/>
      <c r="J317" s="704"/>
      <c r="K317" s="704"/>
      <c r="L317" s="704"/>
      <c r="M317" s="704"/>
      <c r="N317" s="704"/>
      <c r="O317" s="700"/>
    </row>
    <row r="318" spans="1:15" ht="15.75" customHeight="1" x14ac:dyDescent="0.3">
      <c r="A318" s="700"/>
      <c r="B318" s="700"/>
      <c r="C318" s="700"/>
      <c r="D318" s="701"/>
      <c r="E318" s="700"/>
      <c r="F318" s="328"/>
      <c r="G318" s="700"/>
      <c r="H318" s="700"/>
      <c r="I318" s="703"/>
      <c r="J318" s="704"/>
      <c r="K318" s="704"/>
      <c r="L318" s="704"/>
      <c r="M318" s="704"/>
      <c r="N318" s="704"/>
      <c r="O318" s="700"/>
    </row>
    <row r="319" spans="1:15" ht="15.75" customHeight="1" x14ac:dyDescent="0.3">
      <c r="A319" s="700"/>
      <c r="B319" s="700"/>
      <c r="C319" s="700"/>
      <c r="D319" s="701"/>
      <c r="E319" s="700"/>
      <c r="F319" s="328"/>
      <c r="G319" s="700"/>
      <c r="H319" s="700"/>
      <c r="I319" s="703"/>
      <c r="J319" s="704"/>
      <c r="K319" s="704"/>
      <c r="L319" s="704"/>
      <c r="M319" s="704"/>
      <c r="N319" s="704"/>
      <c r="O319" s="700"/>
    </row>
    <row r="320" spans="1:15" ht="15.75" customHeight="1" x14ac:dyDescent="0.3">
      <c r="A320" s="700"/>
      <c r="B320" s="700"/>
      <c r="C320" s="700"/>
      <c r="D320" s="701"/>
      <c r="E320" s="700"/>
      <c r="F320" s="328"/>
      <c r="G320" s="700"/>
      <c r="H320" s="700"/>
      <c r="I320" s="703"/>
      <c r="J320" s="704"/>
      <c r="K320" s="704"/>
      <c r="L320" s="704"/>
      <c r="M320" s="704"/>
      <c r="N320" s="704"/>
      <c r="O320" s="700"/>
    </row>
    <row r="321" spans="1:15" ht="15.75" customHeight="1" x14ac:dyDescent="0.3">
      <c r="A321" s="700"/>
      <c r="B321" s="700"/>
      <c r="C321" s="700"/>
      <c r="D321" s="701"/>
      <c r="E321" s="700"/>
      <c r="F321" s="328"/>
      <c r="G321" s="700"/>
      <c r="H321" s="700"/>
      <c r="I321" s="703"/>
      <c r="J321" s="704"/>
      <c r="K321" s="704"/>
      <c r="L321" s="704"/>
      <c r="M321" s="704"/>
      <c r="N321" s="704"/>
      <c r="O321" s="700"/>
    </row>
    <row r="322" spans="1:15" ht="15.75" customHeight="1" x14ac:dyDescent="0.3">
      <c r="A322" s="700"/>
      <c r="B322" s="700"/>
      <c r="C322" s="700"/>
      <c r="D322" s="701"/>
      <c r="E322" s="700"/>
      <c r="F322" s="328"/>
      <c r="G322" s="700"/>
      <c r="H322" s="700"/>
      <c r="I322" s="703"/>
      <c r="J322" s="704"/>
      <c r="K322" s="704"/>
      <c r="L322" s="704"/>
      <c r="M322" s="704"/>
      <c r="N322" s="704"/>
      <c r="O322" s="700"/>
    </row>
    <row r="323" spans="1:15" ht="15.75" customHeight="1" x14ac:dyDescent="0.3">
      <c r="A323" s="700"/>
      <c r="B323" s="700"/>
      <c r="C323" s="700"/>
      <c r="D323" s="701"/>
      <c r="E323" s="700"/>
      <c r="F323" s="328"/>
      <c r="G323" s="700"/>
      <c r="H323" s="700"/>
      <c r="I323" s="703"/>
      <c r="J323" s="704"/>
      <c r="K323" s="704"/>
      <c r="L323" s="704"/>
      <c r="M323" s="704"/>
      <c r="N323" s="704"/>
      <c r="O323" s="700"/>
    </row>
    <row r="324" spans="1:15" ht="15.75" customHeight="1" x14ac:dyDescent="0.3">
      <c r="A324" s="700"/>
      <c r="B324" s="700"/>
      <c r="C324" s="700"/>
      <c r="D324" s="701"/>
      <c r="E324" s="700"/>
      <c r="F324" s="328"/>
      <c r="G324" s="700"/>
      <c r="H324" s="700"/>
      <c r="I324" s="703"/>
      <c r="J324" s="704"/>
      <c r="K324" s="704"/>
      <c r="L324" s="704"/>
      <c r="M324" s="704"/>
      <c r="N324" s="704"/>
      <c r="O324" s="700"/>
    </row>
    <row r="325" spans="1:15" ht="15.75" customHeight="1" x14ac:dyDescent="0.3">
      <c r="A325" s="700"/>
      <c r="B325" s="700"/>
      <c r="C325" s="700"/>
      <c r="D325" s="701"/>
      <c r="E325" s="700"/>
      <c r="F325" s="328"/>
      <c r="G325" s="700"/>
      <c r="H325" s="700"/>
      <c r="I325" s="703"/>
      <c r="J325" s="704"/>
      <c r="K325" s="704"/>
      <c r="L325" s="704"/>
      <c r="M325" s="704"/>
      <c r="N325" s="704"/>
      <c r="O325" s="700"/>
    </row>
    <row r="326" spans="1:15" ht="15.75" customHeight="1" x14ac:dyDescent="0.3">
      <c r="A326" s="700"/>
      <c r="B326" s="700"/>
      <c r="C326" s="700"/>
      <c r="D326" s="701"/>
      <c r="E326" s="700"/>
      <c r="F326" s="328"/>
      <c r="G326" s="700"/>
      <c r="H326" s="700"/>
      <c r="I326" s="703"/>
      <c r="J326" s="704"/>
      <c r="K326" s="704"/>
      <c r="L326" s="704"/>
      <c r="M326" s="704"/>
      <c r="N326" s="704"/>
      <c r="O326" s="700"/>
    </row>
    <row r="327" spans="1:15" ht="15.75" customHeight="1" x14ac:dyDescent="0.3">
      <c r="A327" s="700"/>
      <c r="B327" s="700"/>
      <c r="C327" s="700"/>
      <c r="D327" s="701"/>
      <c r="E327" s="700"/>
      <c r="F327" s="328"/>
      <c r="G327" s="700"/>
      <c r="H327" s="700"/>
      <c r="I327" s="703"/>
      <c r="J327" s="704"/>
      <c r="K327" s="704"/>
      <c r="L327" s="704"/>
      <c r="M327" s="704"/>
      <c r="N327" s="704"/>
      <c r="O327" s="700"/>
    </row>
    <row r="328" spans="1:15" ht="15.75" customHeight="1" x14ac:dyDescent="0.3">
      <c r="A328" s="700"/>
      <c r="B328" s="700"/>
      <c r="C328" s="700"/>
      <c r="D328" s="701"/>
      <c r="E328" s="700"/>
      <c r="F328" s="328"/>
      <c r="G328" s="700"/>
      <c r="H328" s="700"/>
      <c r="I328" s="703"/>
      <c r="J328" s="704"/>
      <c r="K328" s="704"/>
      <c r="L328" s="704"/>
      <c r="M328" s="704"/>
      <c r="N328" s="704"/>
      <c r="O328" s="700"/>
    </row>
    <row r="329" spans="1:15" ht="15.75" customHeight="1" x14ac:dyDescent="0.3">
      <c r="A329" s="700"/>
      <c r="B329" s="700"/>
      <c r="C329" s="700"/>
      <c r="D329" s="701"/>
      <c r="E329" s="700"/>
      <c r="F329" s="328"/>
      <c r="G329" s="700"/>
      <c r="H329" s="700"/>
      <c r="I329" s="703"/>
      <c r="J329" s="704"/>
      <c r="K329" s="704"/>
      <c r="L329" s="704"/>
      <c r="M329" s="704"/>
      <c r="N329" s="704"/>
      <c r="O329" s="700"/>
    </row>
    <row r="330" spans="1:15" ht="15.75" customHeight="1" x14ac:dyDescent="0.3">
      <c r="A330" s="700"/>
      <c r="B330" s="700"/>
      <c r="C330" s="700"/>
      <c r="D330" s="701"/>
      <c r="E330" s="700"/>
      <c r="F330" s="328"/>
      <c r="G330" s="700"/>
      <c r="H330" s="700"/>
      <c r="I330" s="703"/>
      <c r="J330" s="704"/>
      <c r="K330" s="704"/>
      <c r="L330" s="704"/>
      <c r="M330" s="704"/>
      <c r="N330" s="704"/>
      <c r="O330" s="700"/>
    </row>
    <row r="331" spans="1:15" ht="15.75" customHeight="1" x14ac:dyDescent="0.3">
      <c r="A331" s="700"/>
      <c r="B331" s="700"/>
      <c r="C331" s="700"/>
      <c r="D331" s="701"/>
      <c r="E331" s="700"/>
      <c r="F331" s="328"/>
      <c r="G331" s="700"/>
      <c r="H331" s="700"/>
      <c r="I331" s="703"/>
      <c r="J331" s="704"/>
      <c r="K331" s="704"/>
      <c r="L331" s="704"/>
      <c r="M331" s="704"/>
      <c r="N331" s="704"/>
      <c r="O331" s="700"/>
    </row>
    <row r="332" spans="1:15" ht="15.75" customHeight="1" x14ac:dyDescent="0.3">
      <c r="A332" s="700"/>
      <c r="B332" s="700"/>
      <c r="C332" s="700"/>
      <c r="D332" s="701"/>
      <c r="E332" s="700"/>
      <c r="F332" s="328"/>
      <c r="G332" s="700"/>
      <c r="H332" s="700"/>
      <c r="I332" s="703"/>
      <c r="J332" s="704"/>
      <c r="K332" s="704"/>
      <c r="L332" s="704"/>
      <c r="M332" s="704"/>
      <c r="N332" s="704"/>
      <c r="O332" s="700"/>
    </row>
    <row r="333" spans="1:15" ht="15.75" customHeight="1" x14ac:dyDescent="0.3">
      <c r="A333" s="700"/>
      <c r="B333" s="700"/>
      <c r="C333" s="700"/>
      <c r="D333" s="701"/>
      <c r="E333" s="700"/>
      <c r="F333" s="328"/>
      <c r="G333" s="700"/>
      <c r="H333" s="700"/>
      <c r="I333" s="703"/>
      <c r="J333" s="704"/>
      <c r="K333" s="704"/>
      <c r="L333" s="704"/>
      <c r="M333" s="704"/>
      <c r="N333" s="704"/>
      <c r="O333" s="700"/>
    </row>
    <row r="334" spans="1:15" ht="15.75" customHeight="1" x14ac:dyDescent="0.3">
      <c r="A334" s="700"/>
      <c r="B334" s="700"/>
      <c r="C334" s="700"/>
      <c r="D334" s="701"/>
      <c r="E334" s="700"/>
      <c r="F334" s="328"/>
      <c r="G334" s="700"/>
      <c r="H334" s="700"/>
      <c r="I334" s="703"/>
      <c r="J334" s="704"/>
      <c r="K334" s="704"/>
      <c r="L334" s="704"/>
      <c r="M334" s="704"/>
      <c r="N334" s="704"/>
      <c r="O334" s="700"/>
    </row>
    <row r="335" spans="1:15" ht="15.75" customHeight="1" x14ac:dyDescent="0.3">
      <c r="A335" s="700"/>
      <c r="B335" s="700"/>
      <c r="C335" s="700"/>
      <c r="D335" s="701"/>
      <c r="E335" s="700"/>
      <c r="F335" s="328"/>
      <c r="G335" s="700"/>
      <c r="H335" s="700"/>
      <c r="I335" s="703"/>
      <c r="J335" s="704"/>
      <c r="K335" s="704"/>
      <c r="L335" s="704"/>
      <c r="M335" s="704"/>
      <c r="N335" s="704"/>
      <c r="O335" s="700"/>
    </row>
    <row r="336" spans="1:15" ht="15.75" customHeight="1" x14ac:dyDescent="0.3">
      <c r="A336" s="700"/>
      <c r="B336" s="700"/>
      <c r="C336" s="700"/>
      <c r="D336" s="701"/>
      <c r="E336" s="700"/>
      <c r="F336" s="328"/>
      <c r="G336" s="700"/>
      <c r="H336" s="700"/>
      <c r="I336" s="703"/>
      <c r="J336" s="704"/>
      <c r="K336" s="704"/>
      <c r="L336" s="704"/>
      <c r="M336" s="704"/>
      <c r="N336" s="704"/>
      <c r="O336" s="700"/>
    </row>
    <row r="337" spans="1:15" ht="15.75" customHeight="1" x14ac:dyDescent="0.3">
      <c r="A337" s="700"/>
      <c r="B337" s="700"/>
      <c r="C337" s="700"/>
      <c r="D337" s="701"/>
      <c r="E337" s="700"/>
      <c r="F337" s="328"/>
      <c r="G337" s="700"/>
      <c r="H337" s="700"/>
      <c r="I337" s="703"/>
      <c r="J337" s="704"/>
      <c r="K337" s="704"/>
      <c r="L337" s="704"/>
      <c r="M337" s="704"/>
      <c r="N337" s="704"/>
      <c r="O337" s="700"/>
    </row>
    <row r="338" spans="1:15" ht="15.75" customHeight="1" x14ac:dyDescent="0.3">
      <c r="A338" s="700"/>
      <c r="B338" s="700"/>
      <c r="C338" s="700"/>
      <c r="D338" s="701"/>
      <c r="E338" s="700"/>
      <c r="F338" s="328"/>
      <c r="G338" s="700"/>
      <c r="H338" s="700"/>
      <c r="I338" s="703"/>
      <c r="J338" s="704"/>
      <c r="K338" s="704"/>
      <c r="L338" s="704"/>
      <c r="M338" s="704"/>
      <c r="N338" s="704"/>
      <c r="O338" s="700"/>
    </row>
    <row r="339" spans="1:15" ht="15.75" customHeight="1" x14ac:dyDescent="0.3">
      <c r="A339" s="700"/>
      <c r="B339" s="700"/>
      <c r="C339" s="700"/>
      <c r="D339" s="701"/>
      <c r="E339" s="700"/>
      <c r="F339" s="328"/>
      <c r="G339" s="700"/>
      <c r="H339" s="700"/>
      <c r="I339" s="703"/>
      <c r="J339" s="704"/>
      <c r="K339" s="704"/>
      <c r="L339" s="704"/>
      <c r="M339" s="704"/>
      <c r="N339" s="704"/>
      <c r="O339" s="700"/>
    </row>
    <row r="340" spans="1:15" ht="15.75" customHeight="1" x14ac:dyDescent="0.3">
      <c r="A340" s="700"/>
      <c r="B340" s="700"/>
      <c r="C340" s="700"/>
      <c r="D340" s="701"/>
      <c r="E340" s="700"/>
      <c r="F340" s="328"/>
      <c r="G340" s="700"/>
      <c r="H340" s="700"/>
      <c r="I340" s="703"/>
      <c r="J340" s="704"/>
      <c r="K340" s="704"/>
      <c r="L340" s="704"/>
      <c r="M340" s="704"/>
      <c r="N340" s="704"/>
      <c r="O340" s="700"/>
    </row>
    <row r="341" spans="1:15" ht="15.75" customHeight="1" x14ac:dyDescent="0.3">
      <c r="A341" s="700"/>
      <c r="B341" s="700"/>
      <c r="C341" s="700"/>
      <c r="D341" s="701"/>
      <c r="E341" s="700"/>
      <c r="F341" s="328"/>
      <c r="G341" s="700"/>
      <c r="H341" s="700"/>
      <c r="I341" s="703"/>
      <c r="J341" s="704"/>
      <c r="K341" s="704"/>
      <c r="L341" s="704"/>
      <c r="M341" s="704"/>
      <c r="N341" s="704"/>
      <c r="O341" s="700"/>
    </row>
    <row r="342" spans="1:15" ht="15.75" customHeight="1" x14ac:dyDescent="0.3">
      <c r="A342" s="700"/>
      <c r="B342" s="700"/>
      <c r="C342" s="700"/>
      <c r="D342" s="701"/>
      <c r="E342" s="700"/>
      <c r="F342" s="328"/>
      <c r="G342" s="700"/>
      <c r="H342" s="700"/>
      <c r="I342" s="703"/>
      <c r="J342" s="704"/>
      <c r="K342" s="704"/>
      <c r="L342" s="704"/>
      <c r="M342" s="704"/>
      <c r="N342" s="704"/>
      <c r="O342" s="700"/>
    </row>
    <row r="343" spans="1:15" ht="15.75" customHeight="1" x14ac:dyDescent="0.3">
      <c r="A343" s="700"/>
      <c r="B343" s="700"/>
      <c r="C343" s="700"/>
      <c r="D343" s="701"/>
      <c r="E343" s="700"/>
      <c r="F343" s="328"/>
      <c r="G343" s="700"/>
      <c r="H343" s="700"/>
      <c r="I343" s="703"/>
      <c r="J343" s="704"/>
      <c r="K343" s="704"/>
      <c r="L343" s="704"/>
      <c r="M343" s="704"/>
      <c r="N343" s="704"/>
      <c r="O343" s="700"/>
    </row>
    <row r="344" spans="1:15" ht="15.75" customHeight="1" x14ac:dyDescent="0.3">
      <c r="A344" s="700"/>
      <c r="B344" s="700"/>
      <c r="C344" s="700"/>
      <c r="D344" s="701"/>
      <c r="E344" s="700"/>
      <c r="F344" s="328"/>
      <c r="G344" s="700"/>
      <c r="H344" s="700"/>
      <c r="I344" s="703"/>
      <c r="J344" s="704"/>
      <c r="K344" s="704"/>
      <c r="L344" s="704"/>
      <c r="M344" s="704"/>
      <c r="N344" s="704"/>
      <c r="O344" s="700"/>
    </row>
    <row r="345" spans="1:15" ht="15.75" customHeight="1" x14ac:dyDescent="0.3">
      <c r="A345" s="700"/>
      <c r="B345" s="700"/>
      <c r="C345" s="700"/>
      <c r="D345" s="701"/>
      <c r="E345" s="700"/>
      <c r="F345" s="328"/>
      <c r="G345" s="700"/>
      <c r="H345" s="700"/>
      <c r="I345" s="703"/>
      <c r="J345" s="704"/>
      <c r="K345" s="704"/>
      <c r="L345" s="704"/>
      <c r="M345" s="704"/>
      <c r="N345" s="704"/>
      <c r="O345" s="700"/>
    </row>
    <row r="346" spans="1:15" ht="15.75" customHeight="1" x14ac:dyDescent="0.3">
      <c r="A346" s="700"/>
      <c r="B346" s="700"/>
      <c r="C346" s="700"/>
      <c r="D346" s="701"/>
      <c r="E346" s="700"/>
      <c r="F346" s="328"/>
      <c r="G346" s="700"/>
      <c r="H346" s="700"/>
      <c r="I346" s="703"/>
      <c r="J346" s="704"/>
      <c r="K346" s="704"/>
      <c r="L346" s="704"/>
      <c r="M346" s="704"/>
      <c r="N346" s="704"/>
      <c r="O346" s="700"/>
    </row>
    <row r="347" spans="1:15" ht="15.75" customHeight="1" x14ac:dyDescent="0.3">
      <c r="A347" s="700"/>
      <c r="B347" s="700"/>
      <c r="C347" s="700"/>
      <c r="D347" s="701"/>
      <c r="E347" s="700"/>
      <c r="F347" s="328"/>
      <c r="G347" s="700"/>
      <c r="H347" s="700"/>
      <c r="I347" s="703"/>
      <c r="J347" s="704"/>
      <c r="K347" s="704"/>
      <c r="L347" s="704"/>
      <c r="M347" s="704"/>
      <c r="N347" s="704"/>
      <c r="O347" s="700"/>
    </row>
    <row r="348" spans="1:15" ht="15.75" customHeight="1" x14ac:dyDescent="0.3">
      <c r="A348" s="700"/>
      <c r="B348" s="700"/>
      <c r="C348" s="700"/>
      <c r="D348" s="701"/>
      <c r="E348" s="700"/>
      <c r="F348" s="328"/>
      <c r="G348" s="700"/>
      <c r="H348" s="700"/>
      <c r="I348" s="703"/>
      <c r="J348" s="704"/>
      <c r="K348" s="704"/>
      <c r="L348" s="704"/>
      <c r="M348" s="704"/>
      <c r="N348" s="704"/>
      <c r="O348" s="700"/>
    </row>
    <row r="349" spans="1:15" ht="15.75" customHeight="1" x14ac:dyDescent="0.3">
      <c r="A349" s="700"/>
      <c r="B349" s="700"/>
      <c r="C349" s="700"/>
      <c r="D349" s="701"/>
      <c r="E349" s="700"/>
      <c r="F349" s="328"/>
      <c r="G349" s="700"/>
      <c r="H349" s="700"/>
      <c r="I349" s="703"/>
      <c r="J349" s="704"/>
      <c r="K349" s="704"/>
      <c r="L349" s="704"/>
      <c r="M349" s="704"/>
      <c r="N349" s="704"/>
      <c r="O349" s="700"/>
    </row>
    <row r="350" spans="1:15" ht="15.75" customHeight="1" x14ac:dyDescent="0.3">
      <c r="A350" s="700"/>
      <c r="B350" s="700"/>
      <c r="C350" s="700"/>
      <c r="D350" s="701"/>
      <c r="E350" s="700"/>
      <c r="F350" s="328"/>
      <c r="G350" s="700"/>
      <c r="H350" s="700"/>
      <c r="I350" s="703"/>
      <c r="J350" s="704"/>
      <c r="K350" s="704"/>
      <c r="L350" s="704"/>
      <c r="M350" s="704"/>
      <c r="N350" s="704"/>
      <c r="O350" s="700"/>
    </row>
    <row r="351" spans="1:15" ht="15.75" customHeight="1" x14ac:dyDescent="0.3">
      <c r="A351" s="700"/>
      <c r="B351" s="700"/>
      <c r="C351" s="700"/>
      <c r="D351" s="701"/>
      <c r="E351" s="700"/>
      <c r="F351" s="328"/>
      <c r="G351" s="700"/>
      <c r="H351" s="700"/>
      <c r="I351" s="703"/>
      <c r="J351" s="704"/>
      <c r="K351" s="704"/>
      <c r="L351" s="704"/>
      <c r="M351" s="704"/>
      <c r="N351" s="704"/>
      <c r="O351" s="700"/>
    </row>
    <row r="352" spans="1:15" ht="15.75" customHeight="1" x14ac:dyDescent="0.3">
      <c r="A352" s="700"/>
      <c r="B352" s="700"/>
      <c r="C352" s="700"/>
      <c r="D352" s="701"/>
      <c r="E352" s="700"/>
      <c r="F352" s="328"/>
      <c r="G352" s="700"/>
      <c r="H352" s="700"/>
      <c r="I352" s="703"/>
      <c r="J352" s="704"/>
      <c r="K352" s="704"/>
      <c r="L352" s="704"/>
      <c r="M352" s="704"/>
      <c r="N352" s="704"/>
      <c r="O352" s="700"/>
    </row>
    <row r="353" spans="1:15" ht="15.75" customHeight="1" x14ac:dyDescent="0.3">
      <c r="A353" s="700"/>
      <c r="B353" s="700"/>
      <c r="C353" s="700"/>
      <c r="D353" s="701"/>
      <c r="E353" s="700"/>
      <c r="F353" s="328"/>
      <c r="G353" s="700"/>
      <c r="H353" s="700"/>
      <c r="I353" s="703"/>
      <c r="J353" s="704"/>
      <c r="K353" s="704"/>
      <c r="L353" s="704"/>
      <c r="M353" s="704"/>
      <c r="N353" s="704"/>
      <c r="O353" s="700"/>
    </row>
    <row r="354" spans="1:15" ht="15.75" customHeight="1" x14ac:dyDescent="0.3">
      <c r="A354" s="700"/>
      <c r="B354" s="700"/>
      <c r="C354" s="700"/>
      <c r="D354" s="701"/>
      <c r="E354" s="700"/>
      <c r="F354" s="328"/>
      <c r="G354" s="700"/>
      <c r="H354" s="700"/>
      <c r="I354" s="703"/>
      <c r="J354" s="704"/>
      <c r="K354" s="704"/>
      <c r="L354" s="704"/>
      <c r="M354" s="704"/>
      <c r="N354" s="704"/>
      <c r="O354" s="700"/>
    </row>
    <row r="355" spans="1:15" ht="15.75" customHeight="1" x14ac:dyDescent="0.3">
      <c r="A355" s="700"/>
      <c r="B355" s="700"/>
      <c r="C355" s="700"/>
      <c r="D355" s="701"/>
      <c r="E355" s="700"/>
      <c r="F355" s="328"/>
      <c r="G355" s="700"/>
      <c r="H355" s="700"/>
      <c r="I355" s="703"/>
      <c r="J355" s="704"/>
      <c r="K355" s="704"/>
      <c r="L355" s="704"/>
      <c r="M355" s="704"/>
      <c r="N355" s="704"/>
      <c r="O355" s="700"/>
    </row>
    <row r="356" spans="1:15" ht="15.75" customHeight="1" x14ac:dyDescent="0.3">
      <c r="A356" s="700"/>
      <c r="B356" s="700"/>
      <c r="C356" s="700"/>
      <c r="D356" s="701"/>
      <c r="E356" s="700"/>
      <c r="F356" s="328"/>
      <c r="G356" s="700"/>
      <c r="H356" s="700"/>
      <c r="I356" s="703"/>
      <c r="J356" s="704"/>
      <c r="K356" s="704"/>
      <c r="L356" s="704"/>
      <c r="M356" s="704"/>
      <c r="N356" s="704"/>
      <c r="O356" s="700"/>
    </row>
    <row r="357" spans="1:15" ht="15.75" customHeight="1" x14ac:dyDescent="0.3">
      <c r="A357" s="700"/>
      <c r="B357" s="700"/>
      <c r="C357" s="700"/>
      <c r="D357" s="701"/>
      <c r="E357" s="700"/>
      <c r="F357" s="328"/>
      <c r="G357" s="700"/>
      <c r="H357" s="700"/>
      <c r="I357" s="703"/>
      <c r="J357" s="704"/>
      <c r="K357" s="704"/>
      <c r="L357" s="704"/>
      <c r="M357" s="704"/>
      <c r="N357" s="704"/>
      <c r="O357" s="700"/>
    </row>
    <row r="358" spans="1:15" ht="15.75" customHeight="1" x14ac:dyDescent="0.3">
      <c r="A358" s="700"/>
      <c r="B358" s="700"/>
      <c r="C358" s="700"/>
      <c r="D358" s="701"/>
      <c r="E358" s="700"/>
      <c r="F358" s="328"/>
      <c r="G358" s="700"/>
      <c r="H358" s="700"/>
      <c r="I358" s="703"/>
      <c r="J358" s="704"/>
      <c r="K358" s="704"/>
      <c r="L358" s="704"/>
      <c r="M358" s="704"/>
      <c r="N358" s="704"/>
      <c r="O358" s="700"/>
    </row>
    <row r="359" spans="1:15" ht="15.75" customHeight="1" x14ac:dyDescent="0.3">
      <c r="A359" s="700"/>
      <c r="B359" s="700"/>
      <c r="C359" s="700"/>
      <c r="D359" s="701"/>
      <c r="E359" s="700"/>
      <c r="F359" s="328"/>
      <c r="G359" s="700"/>
      <c r="H359" s="700"/>
      <c r="I359" s="703"/>
      <c r="J359" s="704"/>
      <c r="K359" s="704"/>
      <c r="L359" s="704"/>
      <c r="M359" s="704"/>
      <c r="N359" s="704"/>
      <c r="O359" s="700"/>
    </row>
    <row r="360" spans="1:15" ht="15.75" customHeight="1" x14ac:dyDescent="0.3">
      <c r="A360" s="700"/>
      <c r="B360" s="700"/>
      <c r="C360" s="700"/>
      <c r="D360" s="701"/>
      <c r="E360" s="700"/>
      <c r="F360" s="328"/>
      <c r="G360" s="700"/>
      <c r="H360" s="700"/>
      <c r="I360" s="703"/>
      <c r="J360" s="704"/>
      <c r="K360" s="704"/>
      <c r="L360" s="704"/>
      <c r="M360" s="704"/>
      <c r="N360" s="704"/>
      <c r="O360" s="700"/>
    </row>
    <row r="361" spans="1:15" ht="15.75" customHeight="1" x14ac:dyDescent="0.3">
      <c r="A361" s="700"/>
      <c r="B361" s="700"/>
      <c r="C361" s="700"/>
      <c r="D361" s="701"/>
      <c r="E361" s="700"/>
      <c r="F361" s="328"/>
      <c r="G361" s="700"/>
      <c r="H361" s="700"/>
      <c r="I361" s="703"/>
      <c r="J361" s="704"/>
      <c r="K361" s="704"/>
      <c r="L361" s="704"/>
      <c r="M361" s="704"/>
      <c r="N361" s="704"/>
      <c r="O361" s="700"/>
    </row>
    <row r="362" spans="1:15" ht="15.75" customHeight="1" x14ac:dyDescent="0.3">
      <c r="A362" s="700"/>
      <c r="B362" s="700"/>
      <c r="C362" s="700"/>
      <c r="D362" s="701"/>
      <c r="E362" s="700"/>
      <c r="F362" s="328"/>
      <c r="G362" s="700"/>
      <c r="H362" s="700"/>
      <c r="I362" s="703"/>
      <c r="J362" s="704"/>
      <c r="K362" s="704"/>
      <c r="L362" s="704"/>
      <c r="M362" s="704"/>
      <c r="N362" s="704"/>
      <c r="O362" s="700"/>
    </row>
    <row r="363" spans="1:15" ht="15.75" customHeight="1" x14ac:dyDescent="0.3">
      <c r="A363" s="700"/>
      <c r="B363" s="700"/>
      <c r="C363" s="700"/>
      <c r="D363" s="701"/>
      <c r="E363" s="700"/>
      <c r="F363" s="328"/>
      <c r="G363" s="700"/>
      <c r="H363" s="700"/>
      <c r="I363" s="703"/>
      <c r="J363" s="704"/>
      <c r="K363" s="704"/>
      <c r="L363" s="704"/>
      <c r="M363" s="704"/>
      <c r="N363" s="704"/>
      <c r="O363" s="700"/>
    </row>
    <row r="364" spans="1:15" ht="15.75" customHeight="1" x14ac:dyDescent="0.3">
      <c r="A364" s="700"/>
      <c r="B364" s="700"/>
      <c r="C364" s="700"/>
      <c r="D364" s="701"/>
      <c r="E364" s="700"/>
      <c r="F364" s="328"/>
      <c r="G364" s="700"/>
      <c r="H364" s="700"/>
      <c r="I364" s="703"/>
      <c r="J364" s="704"/>
      <c r="K364" s="704"/>
      <c r="L364" s="704"/>
      <c r="M364" s="704"/>
      <c r="N364" s="704"/>
      <c r="O364" s="700"/>
    </row>
    <row r="365" spans="1:15" ht="15.75" customHeight="1" x14ac:dyDescent="0.3">
      <c r="A365" s="700"/>
      <c r="B365" s="700"/>
      <c r="C365" s="700"/>
      <c r="D365" s="701"/>
      <c r="E365" s="700"/>
      <c r="F365" s="328"/>
      <c r="G365" s="700"/>
      <c r="H365" s="700"/>
      <c r="I365" s="703"/>
      <c r="J365" s="704"/>
      <c r="K365" s="704"/>
      <c r="L365" s="704"/>
      <c r="M365" s="704"/>
      <c r="N365" s="704"/>
      <c r="O365" s="700"/>
    </row>
    <row r="366" spans="1:15" ht="15.75" customHeight="1" x14ac:dyDescent="0.3">
      <c r="A366" s="700"/>
      <c r="B366" s="700"/>
      <c r="C366" s="700"/>
      <c r="D366" s="701"/>
      <c r="E366" s="700"/>
      <c r="F366" s="328"/>
      <c r="G366" s="700"/>
      <c r="H366" s="700"/>
      <c r="I366" s="703"/>
      <c r="J366" s="704"/>
      <c r="K366" s="704"/>
      <c r="L366" s="704"/>
      <c r="M366" s="704"/>
      <c r="N366" s="704"/>
      <c r="O366" s="700"/>
    </row>
    <row r="367" spans="1:15" ht="15.75" customHeight="1" x14ac:dyDescent="0.3">
      <c r="A367" s="700"/>
      <c r="B367" s="700"/>
      <c r="C367" s="700"/>
      <c r="D367" s="701"/>
      <c r="E367" s="700"/>
      <c r="F367" s="328"/>
      <c r="G367" s="700"/>
      <c r="H367" s="700"/>
      <c r="I367" s="703"/>
      <c r="J367" s="704"/>
      <c r="K367" s="704"/>
      <c r="L367" s="704"/>
      <c r="M367" s="704"/>
      <c r="N367" s="704"/>
      <c r="O367" s="700"/>
    </row>
    <row r="368" spans="1:15" ht="15.75" customHeight="1" x14ac:dyDescent="0.3">
      <c r="A368" s="700"/>
      <c r="B368" s="700"/>
      <c r="C368" s="700"/>
      <c r="D368" s="701"/>
      <c r="E368" s="700"/>
      <c r="F368" s="328"/>
      <c r="G368" s="700"/>
      <c r="H368" s="700"/>
      <c r="I368" s="703"/>
      <c r="J368" s="704"/>
      <c r="K368" s="704"/>
      <c r="L368" s="704"/>
      <c r="M368" s="704"/>
      <c r="N368" s="704"/>
      <c r="O368" s="700"/>
    </row>
    <row r="369" spans="1:15" ht="15.75" customHeight="1" x14ac:dyDescent="0.3">
      <c r="A369" s="700"/>
      <c r="B369" s="700"/>
      <c r="C369" s="700"/>
      <c r="D369" s="701"/>
      <c r="E369" s="700"/>
      <c r="F369" s="328"/>
      <c r="G369" s="700"/>
      <c r="H369" s="700"/>
      <c r="I369" s="703"/>
      <c r="J369" s="704"/>
      <c r="K369" s="704"/>
      <c r="L369" s="704"/>
      <c r="M369" s="704"/>
      <c r="N369" s="704"/>
      <c r="O369" s="700"/>
    </row>
    <row r="370" spans="1:15" ht="15.75" customHeight="1" x14ac:dyDescent="0.3">
      <c r="A370" s="700"/>
      <c r="B370" s="700"/>
      <c r="C370" s="700"/>
      <c r="D370" s="701"/>
      <c r="E370" s="700"/>
      <c r="F370" s="328"/>
      <c r="G370" s="700"/>
      <c r="H370" s="700"/>
      <c r="I370" s="703"/>
      <c r="J370" s="704"/>
      <c r="K370" s="704"/>
      <c r="L370" s="704"/>
      <c r="M370" s="704"/>
      <c r="N370" s="704"/>
      <c r="O370" s="700"/>
    </row>
    <row r="371" spans="1:15" ht="15.75" customHeight="1" x14ac:dyDescent="0.3">
      <c r="A371" s="700"/>
      <c r="B371" s="700"/>
      <c r="C371" s="700"/>
      <c r="D371" s="701"/>
      <c r="E371" s="700"/>
      <c r="F371" s="328"/>
      <c r="G371" s="700"/>
      <c r="H371" s="700"/>
      <c r="I371" s="703"/>
      <c r="J371" s="704"/>
      <c r="K371" s="704"/>
      <c r="L371" s="704"/>
      <c r="M371" s="704"/>
      <c r="N371" s="704"/>
      <c r="O371" s="700"/>
    </row>
    <row r="372" spans="1:15" ht="15.75" customHeight="1" x14ac:dyDescent="0.3">
      <c r="A372" s="700"/>
      <c r="B372" s="700"/>
      <c r="C372" s="700"/>
      <c r="D372" s="701"/>
      <c r="E372" s="700"/>
      <c r="F372" s="328"/>
      <c r="G372" s="700"/>
      <c r="H372" s="700"/>
      <c r="I372" s="703"/>
      <c r="J372" s="704"/>
      <c r="K372" s="704"/>
      <c r="L372" s="704"/>
      <c r="M372" s="704"/>
      <c r="N372" s="704"/>
      <c r="O372" s="700"/>
    </row>
    <row r="373" spans="1:15" ht="15.75" customHeight="1" x14ac:dyDescent="0.3">
      <c r="A373" s="700"/>
      <c r="B373" s="700"/>
      <c r="C373" s="700"/>
      <c r="D373" s="701"/>
      <c r="E373" s="700"/>
      <c r="F373" s="328"/>
      <c r="G373" s="700"/>
      <c r="H373" s="700"/>
      <c r="I373" s="703"/>
      <c r="J373" s="704"/>
      <c r="K373" s="704"/>
      <c r="L373" s="704"/>
      <c r="M373" s="704"/>
      <c r="N373" s="704"/>
      <c r="O373" s="700"/>
    </row>
    <row r="374" spans="1:15" ht="15.75" customHeight="1" x14ac:dyDescent="0.3">
      <c r="A374" s="700"/>
      <c r="B374" s="700"/>
      <c r="C374" s="700"/>
      <c r="D374" s="701"/>
      <c r="E374" s="700"/>
      <c r="F374" s="328"/>
      <c r="G374" s="700"/>
      <c r="H374" s="700"/>
      <c r="I374" s="703"/>
      <c r="J374" s="704"/>
      <c r="K374" s="704"/>
      <c r="L374" s="704"/>
      <c r="M374" s="704"/>
      <c r="N374" s="704"/>
      <c r="O374" s="700"/>
    </row>
    <row r="375" spans="1:15" ht="15.75" customHeight="1" x14ac:dyDescent="0.3">
      <c r="A375" s="700"/>
      <c r="B375" s="700"/>
      <c r="C375" s="700"/>
      <c r="D375" s="701"/>
      <c r="E375" s="700"/>
      <c r="F375" s="328"/>
      <c r="G375" s="700"/>
      <c r="H375" s="700"/>
      <c r="I375" s="703"/>
      <c r="J375" s="704"/>
      <c r="K375" s="704"/>
      <c r="L375" s="704"/>
      <c r="M375" s="704"/>
      <c r="N375" s="704"/>
      <c r="O375" s="700"/>
    </row>
    <row r="376" spans="1:15" ht="15.75" customHeight="1" x14ac:dyDescent="0.3">
      <c r="A376" s="700"/>
      <c r="B376" s="700"/>
      <c r="C376" s="700"/>
      <c r="D376" s="701"/>
      <c r="E376" s="700"/>
      <c r="F376" s="328"/>
      <c r="G376" s="700"/>
      <c r="H376" s="700"/>
      <c r="I376" s="703"/>
      <c r="J376" s="704"/>
      <c r="K376" s="704"/>
      <c r="L376" s="704"/>
      <c r="M376" s="704"/>
      <c r="N376" s="704"/>
      <c r="O376" s="700"/>
    </row>
    <row r="377" spans="1:15" ht="15.75" customHeight="1" x14ac:dyDescent="0.3">
      <c r="A377" s="700"/>
      <c r="B377" s="700"/>
      <c r="C377" s="700"/>
      <c r="D377" s="701"/>
      <c r="E377" s="700"/>
      <c r="F377" s="328"/>
      <c r="G377" s="700"/>
      <c r="H377" s="700"/>
      <c r="I377" s="703"/>
      <c r="J377" s="704"/>
      <c r="K377" s="704"/>
      <c r="L377" s="704"/>
      <c r="M377" s="704"/>
      <c r="N377" s="704"/>
      <c r="O377" s="700"/>
    </row>
    <row r="378" spans="1:15" ht="15.75" customHeight="1" x14ac:dyDescent="0.3">
      <c r="A378" s="700"/>
      <c r="B378" s="700"/>
      <c r="C378" s="700"/>
      <c r="D378" s="701"/>
      <c r="E378" s="700"/>
      <c r="F378" s="328"/>
      <c r="G378" s="700"/>
      <c r="H378" s="700"/>
      <c r="I378" s="703"/>
      <c r="J378" s="704"/>
      <c r="K378" s="704"/>
      <c r="L378" s="704"/>
      <c r="M378" s="704"/>
      <c r="N378" s="704"/>
      <c r="O378" s="700"/>
    </row>
    <row r="379" spans="1:15" ht="15.75" customHeight="1" x14ac:dyDescent="0.3">
      <c r="A379" s="700"/>
      <c r="B379" s="700"/>
      <c r="C379" s="700"/>
      <c r="D379" s="701"/>
      <c r="E379" s="700"/>
      <c r="F379" s="328"/>
      <c r="G379" s="700"/>
      <c r="H379" s="700"/>
      <c r="I379" s="703"/>
      <c r="J379" s="704"/>
      <c r="K379" s="704"/>
      <c r="L379" s="704"/>
      <c r="M379" s="704"/>
      <c r="N379" s="704"/>
      <c r="O379" s="700"/>
    </row>
    <row r="380" spans="1:15" ht="15.75" customHeight="1" x14ac:dyDescent="0.3">
      <c r="A380" s="700"/>
      <c r="B380" s="700"/>
      <c r="C380" s="700"/>
      <c r="D380" s="701"/>
      <c r="E380" s="700"/>
      <c r="F380" s="328"/>
      <c r="G380" s="700"/>
      <c r="H380" s="700"/>
      <c r="I380" s="703"/>
      <c r="J380" s="704"/>
      <c r="K380" s="704"/>
      <c r="L380" s="704"/>
      <c r="M380" s="704"/>
      <c r="N380" s="704"/>
      <c r="O380" s="700"/>
    </row>
    <row r="381" spans="1:15" ht="15.75" customHeight="1" x14ac:dyDescent="0.3">
      <c r="A381" s="700"/>
      <c r="B381" s="700"/>
      <c r="C381" s="700"/>
      <c r="D381" s="701"/>
      <c r="E381" s="700"/>
      <c r="F381" s="328"/>
      <c r="G381" s="700"/>
      <c r="H381" s="700"/>
      <c r="I381" s="703"/>
      <c r="J381" s="704"/>
      <c r="K381" s="704"/>
      <c r="L381" s="704"/>
      <c r="M381" s="704"/>
      <c r="N381" s="704"/>
      <c r="O381" s="700"/>
    </row>
    <row r="382" spans="1:15" ht="15.75" customHeight="1" x14ac:dyDescent="0.3">
      <c r="A382" s="700"/>
      <c r="B382" s="700"/>
      <c r="C382" s="700"/>
      <c r="D382" s="701"/>
      <c r="E382" s="700"/>
      <c r="F382" s="328"/>
      <c r="G382" s="700"/>
      <c r="H382" s="700"/>
      <c r="I382" s="703"/>
      <c r="J382" s="704"/>
      <c r="K382" s="704"/>
      <c r="L382" s="704"/>
      <c r="M382" s="704"/>
      <c r="N382" s="704"/>
      <c r="O382" s="700"/>
    </row>
    <row r="383" spans="1:15" ht="15.75" customHeight="1" x14ac:dyDescent="0.3">
      <c r="A383" s="700"/>
      <c r="B383" s="700"/>
      <c r="C383" s="700"/>
      <c r="D383" s="701"/>
      <c r="E383" s="700"/>
      <c r="F383" s="328"/>
      <c r="G383" s="700"/>
      <c r="H383" s="700"/>
      <c r="I383" s="703"/>
      <c r="J383" s="704"/>
      <c r="K383" s="704"/>
      <c r="L383" s="704"/>
      <c r="M383" s="704"/>
      <c r="N383" s="704"/>
      <c r="O383" s="700"/>
    </row>
    <row r="384" spans="1:15" ht="15.75" customHeight="1" x14ac:dyDescent="0.3">
      <c r="A384" s="700"/>
      <c r="B384" s="700"/>
      <c r="C384" s="700"/>
      <c r="D384" s="701"/>
      <c r="E384" s="700"/>
      <c r="F384" s="328"/>
      <c r="G384" s="700"/>
      <c r="H384" s="700"/>
      <c r="I384" s="703"/>
      <c r="J384" s="704"/>
      <c r="K384" s="704"/>
      <c r="L384" s="704"/>
      <c r="M384" s="704"/>
      <c r="N384" s="704"/>
      <c r="O384" s="700"/>
    </row>
    <row r="385" spans="1:15" ht="15.75" customHeight="1" x14ac:dyDescent="0.3">
      <c r="A385" s="700"/>
      <c r="B385" s="700"/>
      <c r="C385" s="700"/>
      <c r="D385" s="701"/>
      <c r="E385" s="700"/>
      <c r="F385" s="328"/>
      <c r="G385" s="700"/>
      <c r="H385" s="700"/>
      <c r="I385" s="703"/>
      <c r="J385" s="704"/>
      <c r="K385" s="704"/>
      <c r="L385" s="704"/>
      <c r="M385" s="704"/>
      <c r="N385" s="704"/>
      <c r="O385" s="700"/>
    </row>
    <row r="386" spans="1:15" ht="15.75" customHeight="1" x14ac:dyDescent="0.3">
      <c r="A386" s="700"/>
      <c r="B386" s="700"/>
      <c r="C386" s="700"/>
      <c r="D386" s="701"/>
      <c r="E386" s="700"/>
      <c r="F386" s="328"/>
      <c r="G386" s="700"/>
      <c r="H386" s="700"/>
      <c r="I386" s="703"/>
      <c r="J386" s="704"/>
      <c r="K386" s="704"/>
      <c r="L386" s="704"/>
      <c r="M386" s="704"/>
      <c r="N386" s="704"/>
      <c r="O386" s="700"/>
    </row>
    <row r="387" spans="1:15" ht="15.75" customHeight="1" x14ac:dyDescent="0.3">
      <c r="A387" s="700"/>
      <c r="B387" s="700"/>
      <c r="C387" s="700"/>
      <c r="D387" s="701"/>
      <c r="E387" s="700"/>
      <c r="F387" s="328"/>
      <c r="G387" s="700"/>
      <c r="H387" s="700"/>
      <c r="I387" s="703"/>
      <c r="J387" s="704"/>
      <c r="K387" s="704"/>
      <c r="L387" s="704"/>
      <c r="M387" s="704"/>
      <c r="N387" s="704"/>
      <c r="O387" s="700"/>
    </row>
    <row r="388" spans="1:15" ht="15.75" customHeight="1" x14ac:dyDescent="0.3">
      <c r="A388" s="700"/>
      <c r="B388" s="700"/>
      <c r="C388" s="700"/>
      <c r="D388" s="701"/>
      <c r="E388" s="700"/>
      <c r="F388" s="328"/>
      <c r="G388" s="700"/>
      <c r="H388" s="700"/>
      <c r="I388" s="703"/>
      <c r="J388" s="704"/>
      <c r="K388" s="704"/>
      <c r="L388" s="704"/>
      <c r="M388" s="704"/>
      <c r="N388" s="704"/>
      <c r="O388" s="700"/>
    </row>
    <row r="389" spans="1:15" ht="15.75" customHeight="1" x14ac:dyDescent="0.3">
      <c r="A389" s="700"/>
      <c r="B389" s="700"/>
      <c r="C389" s="700"/>
      <c r="D389" s="701"/>
      <c r="E389" s="700"/>
      <c r="F389" s="328"/>
      <c r="G389" s="700"/>
      <c r="H389" s="700"/>
      <c r="I389" s="703"/>
      <c r="J389" s="704"/>
      <c r="K389" s="704"/>
      <c r="L389" s="704"/>
      <c r="M389" s="704"/>
      <c r="N389" s="704"/>
      <c r="O389" s="700"/>
    </row>
    <row r="390" spans="1:15" ht="15.75" customHeight="1" x14ac:dyDescent="0.3">
      <c r="A390" s="700"/>
      <c r="B390" s="700"/>
      <c r="C390" s="700"/>
      <c r="D390" s="701"/>
      <c r="E390" s="700"/>
      <c r="F390" s="328"/>
      <c r="G390" s="700"/>
      <c r="H390" s="700"/>
      <c r="I390" s="703"/>
      <c r="J390" s="704"/>
      <c r="K390" s="704"/>
      <c r="L390" s="704"/>
      <c r="M390" s="704"/>
      <c r="N390" s="704"/>
      <c r="O390" s="700"/>
    </row>
    <row r="391" spans="1:15" ht="15.75" customHeight="1" x14ac:dyDescent="0.3">
      <c r="A391" s="700"/>
      <c r="B391" s="700"/>
      <c r="C391" s="700"/>
      <c r="D391" s="701"/>
      <c r="E391" s="700"/>
      <c r="F391" s="328"/>
      <c r="G391" s="700"/>
      <c r="H391" s="700"/>
      <c r="I391" s="703"/>
      <c r="J391" s="704"/>
      <c r="K391" s="704"/>
      <c r="L391" s="704"/>
      <c r="M391" s="704"/>
      <c r="N391" s="704"/>
      <c r="O391" s="700"/>
    </row>
    <row r="392" spans="1:15" ht="15.75" customHeight="1" x14ac:dyDescent="0.3">
      <c r="A392" s="700"/>
      <c r="B392" s="700"/>
      <c r="C392" s="700"/>
      <c r="D392" s="701"/>
      <c r="E392" s="700"/>
      <c r="F392" s="328"/>
      <c r="G392" s="700"/>
      <c r="H392" s="700"/>
      <c r="I392" s="703"/>
      <c r="J392" s="704"/>
      <c r="K392" s="704"/>
      <c r="L392" s="704"/>
      <c r="M392" s="704"/>
      <c r="N392" s="704"/>
      <c r="O392" s="700"/>
    </row>
    <row r="393" spans="1:15" ht="15.75" customHeight="1" x14ac:dyDescent="0.3">
      <c r="A393" s="700"/>
      <c r="B393" s="700"/>
      <c r="C393" s="700"/>
      <c r="D393" s="701"/>
      <c r="E393" s="700"/>
      <c r="F393" s="328"/>
      <c r="G393" s="700"/>
      <c r="H393" s="700"/>
      <c r="I393" s="703"/>
      <c r="J393" s="704"/>
      <c r="K393" s="704"/>
      <c r="L393" s="704"/>
      <c r="M393" s="704"/>
      <c r="N393" s="704"/>
      <c r="O393" s="700"/>
    </row>
    <row r="394" spans="1:15" ht="15.75" customHeight="1" x14ac:dyDescent="0.3">
      <c r="A394" s="700"/>
      <c r="B394" s="700"/>
      <c r="C394" s="700"/>
      <c r="D394" s="701"/>
      <c r="E394" s="700"/>
      <c r="F394" s="328"/>
      <c r="G394" s="700"/>
      <c r="H394" s="700"/>
      <c r="I394" s="703"/>
      <c r="J394" s="704"/>
      <c r="K394" s="704"/>
      <c r="L394" s="704"/>
      <c r="M394" s="704"/>
      <c r="N394" s="704"/>
      <c r="O394" s="700"/>
    </row>
    <row r="395" spans="1:15" ht="15.75" customHeight="1" x14ac:dyDescent="0.3">
      <c r="A395" s="700"/>
      <c r="B395" s="700"/>
      <c r="C395" s="700"/>
      <c r="D395" s="701"/>
      <c r="E395" s="700"/>
      <c r="F395" s="328"/>
      <c r="G395" s="700"/>
      <c r="H395" s="700"/>
      <c r="I395" s="703"/>
      <c r="J395" s="704"/>
      <c r="K395" s="704"/>
      <c r="L395" s="704"/>
      <c r="M395" s="704"/>
      <c r="N395" s="704"/>
      <c r="O395" s="700"/>
    </row>
    <row r="396" spans="1:15" ht="15.75" customHeight="1" x14ac:dyDescent="0.3">
      <c r="A396" s="700"/>
      <c r="B396" s="700"/>
      <c r="C396" s="700"/>
      <c r="D396" s="701"/>
      <c r="E396" s="700"/>
      <c r="F396" s="328"/>
      <c r="G396" s="700"/>
      <c r="H396" s="700"/>
      <c r="I396" s="703"/>
      <c r="J396" s="704"/>
      <c r="K396" s="704"/>
      <c r="L396" s="704"/>
      <c r="M396" s="704"/>
      <c r="N396" s="704"/>
      <c r="O396" s="700"/>
    </row>
    <row r="397" spans="1:15" ht="15.75" customHeight="1" x14ac:dyDescent="0.3">
      <c r="A397" s="700"/>
      <c r="B397" s="700"/>
      <c r="C397" s="700"/>
      <c r="D397" s="701"/>
      <c r="E397" s="700"/>
      <c r="F397" s="328"/>
      <c r="G397" s="700"/>
      <c r="H397" s="700"/>
      <c r="I397" s="703"/>
      <c r="J397" s="704"/>
      <c r="K397" s="704"/>
      <c r="L397" s="704"/>
      <c r="M397" s="704"/>
      <c r="N397" s="704"/>
      <c r="O397" s="700"/>
    </row>
    <row r="398" spans="1:15" ht="15.75" customHeight="1" x14ac:dyDescent="0.3">
      <c r="A398" s="700"/>
      <c r="B398" s="700"/>
      <c r="C398" s="700"/>
      <c r="D398" s="701"/>
      <c r="E398" s="700"/>
      <c r="F398" s="328"/>
      <c r="G398" s="700"/>
      <c r="H398" s="700"/>
      <c r="I398" s="703"/>
      <c r="J398" s="704"/>
      <c r="K398" s="704"/>
      <c r="L398" s="704"/>
      <c r="M398" s="704"/>
      <c r="N398" s="704"/>
      <c r="O398" s="700"/>
    </row>
    <row r="399" spans="1:15" ht="15.75" customHeight="1" x14ac:dyDescent="0.3">
      <c r="A399" s="700"/>
      <c r="B399" s="700"/>
      <c r="C399" s="700"/>
      <c r="D399" s="701"/>
      <c r="E399" s="700"/>
      <c r="F399" s="328"/>
      <c r="G399" s="700"/>
      <c r="H399" s="700"/>
      <c r="I399" s="703"/>
      <c r="J399" s="704"/>
      <c r="K399" s="704"/>
      <c r="L399" s="704"/>
      <c r="M399" s="704"/>
      <c r="N399" s="704"/>
      <c r="O399" s="700"/>
    </row>
    <row r="400" spans="1:15" ht="15.75" customHeight="1" x14ac:dyDescent="0.3">
      <c r="A400" s="700"/>
      <c r="B400" s="700"/>
      <c r="C400" s="700"/>
      <c r="D400" s="701"/>
      <c r="E400" s="700"/>
      <c r="F400" s="328"/>
      <c r="G400" s="700"/>
      <c r="H400" s="700"/>
      <c r="I400" s="703"/>
      <c r="J400" s="704"/>
      <c r="K400" s="704"/>
      <c r="L400" s="704"/>
      <c r="M400" s="704"/>
      <c r="N400" s="704"/>
      <c r="O400" s="700"/>
    </row>
    <row r="401" spans="1:15" ht="15.75" customHeight="1" x14ac:dyDescent="0.3">
      <c r="A401" s="700"/>
      <c r="B401" s="700"/>
      <c r="C401" s="700"/>
      <c r="D401" s="701"/>
      <c r="E401" s="700"/>
      <c r="F401" s="328"/>
      <c r="G401" s="700"/>
      <c r="H401" s="700"/>
      <c r="I401" s="703"/>
      <c r="J401" s="704"/>
      <c r="K401" s="704"/>
      <c r="L401" s="704"/>
      <c r="M401" s="704"/>
      <c r="N401" s="704"/>
      <c r="O401" s="700"/>
    </row>
    <row r="402" spans="1:15" ht="15.75" customHeight="1" x14ac:dyDescent="0.3">
      <c r="A402" s="700"/>
      <c r="B402" s="700"/>
      <c r="C402" s="700"/>
      <c r="D402" s="701"/>
      <c r="E402" s="700"/>
      <c r="F402" s="328"/>
      <c r="G402" s="700"/>
      <c r="H402" s="700"/>
      <c r="I402" s="703"/>
      <c r="J402" s="704"/>
      <c r="K402" s="704"/>
      <c r="L402" s="704"/>
      <c r="M402" s="704"/>
      <c r="N402" s="704"/>
      <c r="O402" s="700"/>
    </row>
    <row r="403" spans="1:15" ht="15.75" customHeight="1" x14ac:dyDescent="0.3">
      <c r="A403" s="700"/>
      <c r="B403" s="700"/>
      <c r="C403" s="700"/>
      <c r="D403" s="701"/>
      <c r="E403" s="700"/>
      <c r="F403" s="328"/>
      <c r="G403" s="700"/>
      <c r="H403" s="700"/>
      <c r="I403" s="703"/>
      <c r="J403" s="704"/>
      <c r="K403" s="704"/>
      <c r="L403" s="704"/>
      <c r="M403" s="704"/>
      <c r="N403" s="704"/>
      <c r="O403" s="700"/>
    </row>
    <row r="404" spans="1:15" ht="15.75" customHeight="1" x14ac:dyDescent="0.3">
      <c r="A404" s="700"/>
      <c r="B404" s="700"/>
      <c r="C404" s="700"/>
      <c r="D404" s="701"/>
      <c r="E404" s="700"/>
      <c r="F404" s="328"/>
      <c r="G404" s="700"/>
      <c r="H404" s="700"/>
      <c r="I404" s="703"/>
      <c r="J404" s="704"/>
      <c r="K404" s="704"/>
      <c r="L404" s="704"/>
      <c r="M404" s="704"/>
      <c r="N404" s="704"/>
      <c r="O404" s="700"/>
    </row>
    <row r="405" spans="1:15" ht="15.75" customHeight="1" x14ac:dyDescent="0.3">
      <c r="A405" s="700"/>
      <c r="B405" s="700"/>
      <c r="C405" s="700"/>
      <c r="D405" s="701"/>
      <c r="E405" s="700"/>
      <c r="F405" s="328"/>
      <c r="G405" s="700"/>
      <c r="H405" s="700"/>
      <c r="I405" s="703"/>
      <c r="J405" s="704"/>
      <c r="K405" s="704"/>
      <c r="L405" s="704"/>
      <c r="M405" s="704"/>
      <c r="N405" s="704"/>
      <c r="O405" s="700"/>
    </row>
    <row r="406" spans="1:15" ht="15.75" customHeight="1" x14ac:dyDescent="0.3">
      <c r="A406" s="700"/>
      <c r="B406" s="700"/>
      <c r="C406" s="700"/>
      <c r="D406" s="701"/>
      <c r="E406" s="700"/>
      <c r="F406" s="328"/>
      <c r="G406" s="700"/>
      <c r="H406" s="700"/>
      <c r="I406" s="703"/>
      <c r="J406" s="704"/>
      <c r="K406" s="704"/>
      <c r="L406" s="704"/>
      <c r="M406" s="704"/>
      <c r="N406" s="704"/>
      <c r="O406" s="700"/>
    </row>
    <row r="407" spans="1:15" ht="15.75" customHeight="1" x14ac:dyDescent="0.3">
      <c r="A407" s="700"/>
      <c r="B407" s="700"/>
      <c r="C407" s="700"/>
      <c r="D407" s="701"/>
      <c r="E407" s="700"/>
      <c r="F407" s="328"/>
      <c r="G407" s="700"/>
      <c r="H407" s="700"/>
      <c r="I407" s="703"/>
      <c r="J407" s="704"/>
      <c r="K407" s="704"/>
      <c r="L407" s="704"/>
      <c r="M407" s="704"/>
      <c r="N407" s="704"/>
      <c r="O407" s="700"/>
    </row>
    <row r="408" spans="1:15" ht="15.75" customHeight="1" x14ac:dyDescent="0.3">
      <c r="A408" s="700"/>
      <c r="B408" s="700"/>
      <c r="C408" s="700"/>
      <c r="D408" s="701"/>
      <c r="E408" s="700"/>
      <c r="F408" s="328"/>
      <c r="G408" s="700"/>
      <c r="H408" s="700"/>
      <c r="I408" s="703"/>
      <c r="J408" s="704"/>
      <c r="K408" s="704"/>
      <c r="L408" s="704"/>
      <c r="M408" s="704"/>
      <c r="N408" s="704"/>
      <c r="O408" s="700"/>
    </row>
    <row r="409" spans="1:15" ht="15.75" customHeight="1" x14ac:dyDescent="0.3">
      <c r="A409" s="700"/>
      <c r="B409" s="700"/>
      <c r="C409" s="700"/>
      <c r="D409" s="701"/>
      <c r="E409" s="700"/>
      <c r="F409" s="328"/>
      <c r="G409" s="700"/>
      <c r="H409" s="700"/>
      <c r="I409" s="703"/>
      <c r="J409" s="704"/>
      <c r="K409" s="704"/>
      <c r="L409" s="704"/>
      <c r="M409" s="704"/>
      <c r="N409" s="704"/>
      <c r="O409" s="700"/>
    </row>
    <row r="410" spans="1:15" ht="15.75" customHeight="1" x14ac:dyDescent="0.3">
      <c r="A410" s="700"/>
      <c r="B410" s="700"/>
      <c r="C410" s="700"/>
      <c r="D410" s="701"/>
      <c r="E410" s="700"/>
      <c r="F410" s="328"/>
      <c r="G410" s="700"/>
      <c r="H410" s="700"/>
      <c r="I410" s="703"/>
      <c r="J410" s="704"/>
      <c r="K410" s="704"/>
      <c r="L410" s="704"/>
      <c r="M410" s="704"/>
      <c r="N410" s="704"/>
      <c r="O410" s="700"/>
    </row>
    <row r="411" spans="1:15" ht="15.75" customHeight="1" x14ac:dyDescent="0.3">
      <c r="A411" s="700"/>
      <c r="B411" s="700"/>
      <c r="C411" s="700"/>
      <c r="D411" s="701"/>
      <c r="E411" s="700"/>
      <c r="F411" s="328"/>
      <c r="G411" s="700"/>
      <c r="H411" s="700"/>
      <c r="I411" s="703"/>
      <c r="J411" s="704"/>
      <c r="K411" s="704"/>
      <c r="L411" s="704"/>
      <c r="M411" s="704"/>
      <c r="N411" s="704"/>
      <c r="O411" s="700"/>
    </row>
    <row r="412" spans="1:15" ht="15.75" customHeight="1" x14ac:dyDescent="0.3">
      <c r="A412" s="700"/>
      <c r="B412" s="700"/>
      <c r="C412" s="700"/>
      <c r="D412" s="701"/>
      <c r="E412" s="700"/>
      <c r="F412" s="328"/>
      <c r="G412" s="700"/>
      <c r="H412" s="700"/>
      <c r="I412" s="703"/>
      <c r="J412" s="704"/>
      <c r="K412" s="704"/>
      <c r="L412" s="704"/>
      <c r="M412" s="704"/>
      <c r="N412" s="704"/>
      <c r="O412" s="700"/>
    </row>
    <row r="413" spans="1:15" ht="15.75" customHeight="1" x14ac:dyDescent="0.3">
      <c r="A413" s="700"/>
      <c r="B413" s="700"/>
      <c r="C413" s="700"/>
      <c r="D413" s="701"/>
      <c r="E413" s="700"/>
      <c r="F413" s="328"/>
      <c r="G413" s="700"/>
      <c r="H413" s="700"/>
      <c r="I413" s="703"/>
      <c r="J413" s="704"/>
      <c r="K413" s="704"/>
      <c r="L413" s="704"/>
      <c r="M413" s="704"/>
      <c r="N413" s="704"/>
      <c r="O413" s="700"/>
    </row>
    <row r="414" spans="1:15" ht="15.75" customHeight="1" x14ac:dyDescent="0.3">
      <c r="A414" s="700"/>
      <c r="B414" s="700"/>
      <c r="C414" s="700"/>
      <c r="D414" s="701"/>
      <c r="E414" s="700"/>
      <c r="F414" s="328"/>
      <c r="G414" s="700"/>
      <c r="H414" s="700"/>
      <c r="I414" s="703"/>
      <c r="J414" s="704"/>
      <c r="K414" s="704"/>
      <c r="L414" s="704"/>
      <c r="M414" s="704"/>
      <c r="N414" s="704"/>
      <c r="O414" s="700"/>
    </row>
    <row r="415" spans="1:15" ht="15.75" customHeight="1" x14ac:dyDescent="0.3">
      <c r="A415" s="700"/>
      <c r="B415" s="700"/>
      <c r="C415" s="700"/>
      <c r="D415" s="701"/>
      <c r="E415" s="700"/>
      <c r="F415" s="328"/>
      <c r="G415" s="700"/>
      <c r="H415" s="700"/>
      <c r="I415" s="703"/>
      <c r="J415" s="704"/>
      <c r="K415" s="704"/>
      <c r="L415" s="704"/>
      <c r="M415" s="704"/>
      <c r="N415" s="704"/>
      <c r="O415" s="700"/>
    </row>
    <row r="416" spans="1:15" ht="15.75" customHeight="1" x14ac:dyDescent="0.3">
      <c r="A416" s="700"/>
      <c r="B416" s="700"/>
      <c r="C416" s="700"/>
      <c r="D416" s="701"/>
      <c r="E416" s="700"/>
      <c r="F416" s="328"/>
      <c r="G416" s="700"/>
      <c r="H416" s="700"/>
      <c r="I416" s="703"/>
      <c r="J416" s="704"/>
      <c r="K416" s="704"/>
      <c r="L416" s="704"/>
      <c r="M416" s="704"/>
      <c r="N416" s="704"/>
      <c r="O416" s="700"/>
    </row>
    <row r="417" spans="1:15" ht="15.75" customHeight="1" x14ac:dyDescent="0.3">
      <c r="A417" s="700"/>
      <c r="B417" s="700"/>
      <c r="C417" s="700"/>
      <c r="D417" s="701"/>
      <c r="E417" s="700"/>
      <c r="F417" s="328"/>
      <c r="G417" s="700"/>
      <c r="H417" s="700"/>
      <c r="I417" s="703"/>
      <c r="J417" s="704"/>
      <c r="K417" s="704"/>
      <c r="L417" s="704"/>
      <c r="M417" s="704"/>
      <c r="N417" s="704"/>
      <c r="O417" s="700"/>
    </row>
    <row r="418" spans="1:15" ht="15.75" customHeight="1" x14ac:dyDescent="0.3">
      <c r="A418" s="700"/>
      <c r="B418" s="700"/>
      <c r="C418" s="700"/>
      <c r="D418" s="701"/>
      <c r="E418" s="700"/>
      <c r="F418" s="328"/>
      <c r="G418" s="700"/>
      <c r="H418" s="700"/>
      <c r="I418" s="703"/>
      <c r="J418" s="704"/>
      <c r="K418" s="704"/>
      <c r="L418" s="704"/>
      <c r="M418" s="704"/>
      <c r="N418" s="704"/>
      <c r="O418" s="700"/>
    </row>
    <row r="419" spans="1:15" ht="15.75" customHeight="1" x14ac:dyDescent="0.3">
      <c r="A419" s="700"/>
      <c r="B419" s="700"/>
      <c r="C419" s="700"/>
      <c r="D419" s="701"/>
      <c r="E419" s="700"/>
      <c r="F419" s="328"/>
      <c r="G419" s="700"/>
      <c r="H419" s="700"/>
      <c r="I419" s="703"/>
      <c r="J419" s="704"/>
      <c r="K419" s="704"/>
      <c r="L419" s="704"/>
      <c r="M419" s="704"/>
      <c r="N419" s="704"/>
      <c r="O419" s="700"/>
    </row>
    <row r="420" spans="1:15" ht="15.75" customHeight="1" x14ac:dyDescent="0.3">
      <c r="A420" s="700"/>
      <c r="B420" s="700"/>
      <c r="C420" s="700"/>
      <c r="D420" s="701"/>
      <c r="E420" s="700"/>
      <c r="F420" s="328"/>
      <c r="G420" s="700"/>
      <c r="H420" s="700"/>
      <c r="I420" s="703"/>
      <c r="J420" s="704"/>
      <c r="K420" s="704"/>
      <c r="L420" s="704"/>
      <c r="M420" s="704"/>
      <c r="N420" s="704"/>
      <c r="O420" s="700"/>
    </row>
    <row r="421" spans="1:15" ht="15.75" customHeight="1" x14ac:dyDescent="0.3">
      <c r="A421" s="700"/>
      <c r="B421" s="700"/>
      <c r="C421" s="700"/>
      <c r="D421" s="701"/>
      <c r="E421" s="700"/>
      <c r="F421" s="328"/>
      <c r="G421" s="700"/>
      <c r="H421" s="700"/>
      <c r="I421" s="703"/>
      <c r="J421" s="704"/>
      <c r="K421" s="704"/>
      <c r="L421" s="704"/>
      <c r="M421" s="704"/>
      <c r="N421" s="704"/>
      <c r="O421" s="700"/>
    </row>
    <row r="422" spans="1:15" ht="15.75" customHeight="1" x14ac:dyDescent="0.3">
      <c r="A422" s="700"/>
      <c r="B422" s="700"/>
      <c r="C422" s="700"/>
      <c r="D422" s="701"/>
      <c r="E422" s="700"/>
      <c r="F422" s="328"/>
      <c r="G422" s="700"/>
      <c r="H422" s="700"/>
      <c r="I422" s="703"/>
      <c r="J422" s="704"/>
      <c r="K422" s="704"/>
      <c r="L422" s="704"/>
      <c r="M422" s="704"/>
      <c r="N422" s="704"/>
      <c r="O422" s="700"/>
    </row>
    <row r="423" spans="1:15" ht="15.75" customHeight="1" x14ac:dyDescent="0.3">
      <c r="A423" s="700"/>
      <c r="B423" s="700"/>
      <c r="C423" s="700"/>
      <c r="D423" s="701"/>
      <c r="E423" s="700"/>
      <c r="F423" s="328"/>
      <c r="G423" s="700"/>
      <c r="H423" s="700"/>
      <c r="I423" s="703"/>
      <c r="J423" s="704"/>
      <c r="K423" s="704"/>
      <c r="L423" s="704"/>
      <c r="M423" s="704"/>
      <c r="N423" s="704"/>
      <c r="O423" s="700"/>
    </row>
    <row r="424" spans="1:15" ht="15.75" customHeight="1" x14ac:dyDescent="0.3">
      <c r="A424" s="700"/>
      <c r="B424" s="700"/>
      <c r="C424" s="700"/>
      <c r="D424" s="701"/>
      <c r="E424" s="700"/>
      <c r="F424" s="328"/>
      <c r="G424" s="700"/>
      <c r="H424" s="700"/>
      <c r="I424" s="703"/>
      <c r="J424" s="704"/>
      <c r="K424" s="704"/>
      <c r="L424" s="704"/>
      <c r="M424" s="704"/>
      <c r="N424" s="704"/>
      <c r="O424" s="700"/>
    </row>
    <row r="425" spans="1:15" ht="15.75" customHeight="1" x14ac:dyDescent="0.3">
      <c r="A425" s="700"/>
      <c r="B425" s="700"/>
      <c r="C425" s="700"/>
      <c r="D425" s="701"/>
      <c r="E425" s="700"/>
      <c r="F425" s="328"/>
      <c r="G425" s="700"/>
      <c r="H425" s="700"/>
      <c r="I425" s="703"/>
      <c r="J425" s="704"/>
      <c r="K425" s="704"/>
      <c r="L425" s="704"/>
      <c r="M425" s="704"/>
      <c r="N425" s="704"/>
      <c r="O425" s="700"/>
    </row>
    <row r="426" spans="1:15" ht="15.75" customHeight="1" x14ac:dyDescent="0.3">
      <c r="A426" s="700"/>
      <c r="B426" s="700"/>
      <c r="C426" s="700"/>
      <c r="D426" s="701"/>
      <c r="E426" s="700"/>
      <c r="F426" s="328"/>
      <c r="G426" s="700"/>
      <c r="H426" s="700"/>
      <c r="I426" s="703"/>
      <c r="J426" s="704"/>
      <c r="K426" s="704"/>
      <c r="L426" s="704"/>
      <c r="M426" s="704"/>
      <c r="N426" s="704"/>
      <c r="O426" s="700"/>
    </row>
    <row r="427" spans="1:15" ht="15.75" customHeight="1" x14ac:dyDescent="0.3">
      <c r="A427" s="700"/>
      <c r="B427" s="700"/>
      <c r="C427" s="700"/>
      <c r="D427" s="701"/>
      <c r="E427" s="700"/>
      <c r="F427" s="328"/>
      <c r="G427" s="700"/>
      <c r="H427" s="700"/>
      <c r="I427" s="703"/>
      <c r="J427" s="704"/>
      <c r="K427" s="704"/>
      <c r="L427" s="704"/>
      <c r="M427" s="704"/>
      <c r="N427" s="704"/>
      <c r="O427" s="700"/>
    </row>
    <row r="428" spans="1:15" ht="15.75" customHeight="1" x14ac:dyDescent="0.3">
      <c r="A428" s="700"/>
      <c r="B428" s="700"/>
      <c r="C428" s="700"/>
      <c r="D428" s="701"/>
      <c r="E428" s="700"/>
      <c r="F428" s="328"/>
      <c r="G428" s="700"/>
      <c r="H428" s="700"/>
      <c r="I428" s="703"/>
      <c r="J428" s="704"/>
      <c r="K428" s="704"/>
      <c r="L428" s="704"/>
      <c r="M428" s="704"/>
      <c r="N428" s="704"/>
      <c r="O428" s="700"/>
    </row>
    <row r="429" spans="1:15" ht="15.75" customHeight="1" x14ac:dyDescent="0.3">
      <c r="A429" s="700"/>
      <c r="B429" s="700"/>
      <c r="C429" s="700"/>
      <c r="D429" s="701"/>
      <c r="E429" s="700"/>
      <c r="F429" s="328"/>
      <c r="G429" s="700"/>
      <c r="H429" s="700"/>
      <c r="I429" s="703"/>
      <c r="J429" s="704"/>
      <c r="K429" s="704"/>
      <c r="L429" s="704"/>
      <c r="M429" s="704"/>
      <c r="N429" s="704"/>
      <c r="O429" s="700"/>
    </row>
    <row r="430" spans="1:15" ht="15.75" customHeight="1" x14ac:dyDescent="0.3">
      <c r="A430" s="700"/>
      <c r="B430" s="700"/>
      <c r="C430" s="700"/>
      <c r="D430" s="701"/>
      <c r="E430" s="700"/>
      <c r="F430" s="328"/>
      <c r="G430" s="700"/>
      <c r="H430" s="700"/>
      <c r="I430" s="703"/>
      <c r="J430" s="704"/>
      <c r="K430" s="704"/>
      <c r="L430" s="704"/>
      <c r="M430" s="704"/>
      <c r="N430" s="704"/>
      <c r="O430" s="700"/>
    </row>
    <row r="431" spans="1:15" ht="15.75" customHeight="1" x14ac:dyDescent="0.3">
      <c r="A431" s="700"/>
      <c r="B431" s="700"/>
      <c r="C431" s="700"/>
      <c r="D431" s="701"/>
      <c r="E431" s="700"/>
      <c r="F431" s="328"/>
      <c r="G431" s="700"/>
      <c r="H431" s="700"/>
      <c r="I431" s="703"/>
      <c r="J431" s="704"/>
      <c r="K431" s="704"/>
      <c r="L431" s="704"/>
      <c r="M431" s="704"/>
      <c r="N431" s="704"/>
      <c r="O431" s="700"/>
    </row>
    <row r="432" spans="1:15" ht="15.75" customHeight="1" x14ac:dyDescent="0.3">
      <c r="A432" s="700"/>
      <c r="B432" s="700"/>
      <c r="C432" s="700"/>
      <c r="D432" s="701"/>
      <c r="E432" s="700"/>
      <c r="F432" s="328"/>
      <c r="G432" s="700"/>
      <c r="H432" s="700"/>
      <c r="I432" s="703"/>
      <c r="J432" s="704"/>
      <c r="K432" s="704"/>
      <c r="L432" s="704"/>
      <c r="M432" s="704"/>
      <c r="N432" s="704"/>
      <c r="O432" s="700"/>
    </row>
    <row r="433" spans="1:15" ht="15.75" customHeight="1" x14ac:dyDescent="0.3">
      <c r="A433" s="700"/>
      <c r="B433" s="700"/>
      <c r="C433" s="700"/>
      <c r="D433" s="701"/>
      <c r="E433" s="700"/>
      <c r="F433" s="328"/>
      <c r="G433" s="700"/>
      <c r="H433" s="700"/>
      <c r="I433" s="703"/>
      <c r="J433" s="704"/>
      <c r="K433" s="704"/>
      <c r="L433" s="704"/>
      <c r="M433" s="704"/>
      <c r="N433" s="704"/>
      <c r="O433" s="700"/>
    </row>
    <row r="434" spans="1:15" ht="15.75" customHeight="1" x14ac:dyDescent="0.3">
      <c r="A434" s="752"/>
      <c r="B434" s="752"/>
      <c r="C434" s="752"/>
      <c r="D434" s="753"/>
      <c r="E434" s="752"/>
      <c r="F434" s="338"/>
      <c r="G434" s="752"/>
      <c r="H434" s="752"/>
      <c r="I434" s="864"/>
      <c r="J434" s="755"/>
      <c r="K434" s="755"/>
      <c r="L434" s="755"/>
      <c r="M434" s="755"/>
      <c r="N434" s="755"/>
      <c r="O434" s="752"/>
    </row>
    <row r="435" spans="1:15" ht="15.75" customHeight="1" x14ac:dyDescent="0.3">
      <c r="A435" s="752"/>
      <c r="B435" s="752"/>
      <c r="C435" s="752"/>
      <c r="D435" s="753"/>
      <c r="E435" s="752"/>
      <c r="F435" s="338"/>
      <c r="G435" s="752"/>
      <c r="H435" s="752"/>
      <c r="I435" s="864"/>
      <c r="J435" s="755"/>
      <c r="K435" s="755"/>
      <c r="L435" s="755"/>
      <c r="M435" s="755"/>
      <c r="N435" s="755"/>
      <c r="O435" s="752"/>
    </row>
    <row r="436" spans="1:15" ht="15.75" customHeight="1" x14ac:dyDescent="0.3">
      <c r="A436" s="752"/>
      <c r="B436" s="752"/>
      <c r="C436" s="752"/>
      <c r="D436" s="753"/>
      <c r="E436" s="752"/>
      <c r="F436" s="338"/>
      <c r="G436" s="752"/>
      <c r="H436" s="752"/>
      <c r="I436" s="864"/>
      <c r="J436" s="755"/>
      <c r="K436" s="755"/>
      <c r="L436" s="755"/>
      <c r="M436" s="755"/>
      <c r="N436" s="755"/>
      <c r="O436" s="752"/>
    </row>
    <row r="437" spans="1:15" ht="15.75" customHeight="1" x14ac:dyDescent="0.3">
      <c r="A437" s="752"/>
      <c r="B437" s="752"/>
      <c r="C437" s="752"/>
      <c r="D437" s="753"/>
      <c r="E437" s="752"/>
      <c r="F437" s="338"/>
      <c r="G437" s="752"/>
      <c r="H437" s="752"/>
      <c r="I437" s="864"/>
      <c r="J437" s="755"/>
      <c r="K437" s="755"/>
      <c r="L437" s="755"/>
      <c r="M437" s="755"/>
      <c r="N437" s="755"/>
      <c r="O437" s="752"/>
    </row>
    <row r="438" spans="1:15" ht="15.75" customHeight="1" x14ac:dyDescent="0.3">
      <c r="A438" s="752"/>
      <c r="B438" s="752"/>
      <c r="C438" s="752"/>
      <c r="D438" s="753"/>
      <c r="E438" s="752"/>
      <c r="F438" s="338"/>
      <c r="G438" s="752"/>
      <c r="H438" s="752"/>
      <c r="I438" s="864"/>
      <c r="J438" s="755"/>
      <c r="K438" s="755"/>
      <c r="L438" s="755"/>
      <c r="M438" s="755"/>
      <c r="N438" s="755"/>
      <c r="O438" s="752"/>
    </row>
    <row r="439" spans="1:15" ht="15.75" customHeight="1" x14ac:dyDescent="0.3">
      <c r="A439" s="752"/>
      <c r="B439" s="752"/>
      <c r="C439" s="752"/>
      <c r="D439" s="753"/>
      <c r="E439" s="752"/>
      <c r="F439" s="338"/>
      <c r="G439" s="752"/>
      <c r="H439" s="752"/>
      <c r="I439" s="864"/>
      <c r="J439" s="755"/>
      <c r="K439" s="755"/>
      <c r="L439" s="755"/>
      <c r="M439" s="755"/>
      <c r="N439" s="755"/>
      <c r="O439" s="752"/>
    </row>
    <row r="440" spans="1:15" ht="15.75" customHeight="1" x14ac:dyDescent="0.3">
      <c r="A440" s="752"/>
      <c r="B440" s="752"/>
      <c r="C440" s="752"/>
      <c r="D440" s="753"/>
      <c r="E440" s="752"/>
      <c r="F440" s="338"/>
      <c r="G440" s="752"/>
      <c r="H440" s="752"/>
      <c r="I440" s="864"/>
      <c r="J440" s="755"/>
      <c r="K440" s="755"/>
      <c r="L440" s="755"/>
      <c r="M440" s="755"/>
      <c r="N440" s="755"/>
      <c r="O440" s="752"/>
    </row>
    <row r="441" spans="1:15" ht="15.75" customHeight="1" x14ac:dyDescent="0.3">
      <c r="A441" s="752"/>
      <c r="B441" s="752"/>
      <c r="C441" s="752"/>
      <c r="D441" s="753"/>
      <c r="E441" s="752"/>
      <c r="F441" s="338"/>
      <c r="G441" s="752"/>
      <c r="H441" s="752"/>
      <c r="I441" s="864"/>
      <c r="J441" s="755"/>
      <c r="K441" s="755"/>
      <c r="L441" s="755"/>
      <c r="M441" s="755"/>
      <c r="N441" s="755"/>
      <c r="O441" s="752"/>
    </row>
    <row r="442" spans="1:15" ht="15.75" customHeight="1" x14ac:dyDescent="0.3">
      <c r="A442" s="752"/>
      <c r="B442" s="752"/>
      <c r="C442" s="752"/>
      <c r="D442" s="753"/>
      <c r="E442" s="752"/>
      <c r="F442" s="338"/>
      <c r="G442" s="752"/>
      <c r="H442" s="752"/>
      <c r="I442" s="864"/>
      <c r="J442" s="755"/>
      <c r="K442" s="755"/>
      <c r="L442" s="755"/>
      <c r="M442" s="755"/>
      <c r="N442" s="755"/>
      <c r="O442" s="752"/>
    </row>
    <row r="443" spans="1:15" ht="15.75" customHeight="1" x14ac:dyDescent="0.3">
      <c r="A443" s="752"/>
      <c r="B443" s="752"/>
      <c r="C443" s="752"/>
      <c r="D443" s="753"/>
      <c r="E443" s="752"/>
      <c r="F443" s="338"/>
      <c r="G443" s="752"/>
      <c r="H443" s="752"/>
      <c r="I443" s="864"/>
      <c r="J443" s="755"/>
      <c r="K443" s="755"/>
      <c r="L443" s="755"/>
      <c r="M443" s="755"/>
      <c r="N443" s="755"/>
      <c r="O443" s="752"/>
    </row>
    <row r="444" spans="1:15" ht="15.75" customHeight="1" x14ac:dyDescent="0.3">
      <c r="A444" s="752"/>
      <c r="B444" s="752"/>
      <c r="C444" s="752"/>
      <c r="D444" s="753"/>
      <c r="E444" s="752"/>
      <c r="F444" s="338"/>
      <c r="G444" s="752"/>
      <c r="H444" s="752"/>
      <c r="I444" s="864"/>
      <c r="J444" s="755"/>
      <c r="K444" s="755"/>
      <c r="L444" s="755"/>
      <c r="M444" s="755"/>
      <c r="N444" s="755"/>
      <c r="O444" s="752"/>
    </row>
    <row r="445" spans="1:15" ht="15.75" customHeight="1" x14ac:dyDescent="0.3">
      <c r="A445" s="752"/>
      <c r="B445" s="752"/>
      <c r="C445" s="752"/>
      <c r="D445" s="753"/>
      <c r="E445" s="752"/>
      <c r="F445" s="338"/>
      <c r="G445" s="752"/>
      <c r="H445" s="752"/>
      <c r="I445" s="864"/>
      <c r="J445" s="755"/>
      <c r="K445" s="755"/>
      <c r="L445" s="755"/>
      <c r="M445" s="755"/>
      <c r="N445" s="755"/>
      <c r="O445" s="752"/>
    </row>
    <row r="446" spans="1:15" ht="15.75" customHeight="1" x14ac:dyDescent="0.3">
      <c r="A446" s="752"/>
      <c r="B446" s="752"/>
      <c r="C446" s="752"/>
      <c r="D446" s="753"/>
      <c r="E446" s="752"/>
      <c r="F446" s="338"/>
      <c r="G446" s="752"/>
      <c r="H446" s="752"/>
      <c r="I446" s="864"/>
      <c r="J446" s="755"/>
      <c r="K446" s="755"/>
      <c r="L446" s="755"/>
      <c r="M446" s="755"/>
      <c r="N446" s="755"/>
      <c r="O446" s="752"/>
    </row>
    <row r="447" spans="1:15" ht="15.75" customHeight="1" x14ac:dyDescent="0.3">
      <c r="F447" s="330"/>
    </row>
    <row r="448" spans="1:15" ht="15.75" customHeight="1" x14ac:dyDescent="0.3">
      <c r="F448" s="330"/>
    </row>
    <row r="449" spans="6:6" ht="15.75" customHeight="1" x14ac:dyDescent="0.3">
      <c r="F449" s="330"/>
    </row>
    <row r="450" spans="6:6" ht="15.75" customHeight="1" x14ac:dyDescent="0.3">
      <c r="F450" s="330"/>
    </row>
    <row r="451" spans="6:6" ht="15.75" customHeight="1" x14ac:dyDescent="0.3">
      <c r="F451" s="330"/>
    </row>
    <row r="452" spans="6:6" ht="15.75" customHeight="1" x14ac:dyDescent="0.3">
      <c r="F452" s="330"/>
    </row>
    <row r="453" spans="6:6" ht="15.75" customHeight="1" x14ac:dyDescent="0.3">
      <c r="F453" s="330"/>
    </row>
    <row r="454" spans="6:6" ht="15.75" customHeight="1" x14ac:dyDescent="0.3">
      <c r="F454" s="330"/>
    </row>
    <row r="455" spans="6:6" ht="15.75" customHeight="1" x14ac:dyDescent="0.3">
      <c r="F455" s="330"/>
    </row>
    <row r="456" spans="6:6" ht="15.75" customHeight="1" x14ac:dyDescent="0.3">
      <c r="F456" s="330"/>
    </row>
    <row r="457" spans="6:6" ht="15.75" customHeight="1" x14ac:dyDescent="0.3">
      <c r="F457" s="330"/>
    </row>
    <row r="458" spans="6:6" ht="15.75" customHeight="1" x14ac:dyDescent="0.3">
      <c r="F458" s="330"/>
    </row>
    <row r="459" spans="6:6" ht="15.75" customHeight="1" x14ac:dyDescent="0.3">
      <c r="F459" s="330"/>
    </row>
    <row r="460" spans="6:6" ht="15.75" customHeight="1" x14ac:dyDescent="0.3">
      <c r="F460" s="330"/>
    </row>
    <row r="461" spans="6:6" ht="15.75" customHeight="1" x14ac:dyDescent="0.3">
      <c r="F461" s="330"/>
    </row>
    <row r="462" spans="6:6" ht="15.75" customHeight="1" x14ac:dyDescent="0.3">
      <c r="F462" s="330"/>
    </row>
    <row r="463" spans="6:6" ht="15.75" customHeight="1" x14ac:dyDescent="0.3">
      <c r="F463" s="330"/>
    </row>
    <row r="464" spans="6:6" ht="15.75" customHeight="1" x14ac:dyDescent="0.3">
      <c r="F464" s="330"/>
    </row>
    <row r="465" spans="6:6" ht="15.75" customHeight="1" x14ac:dyDescent="0.3">
      <c r="F465" s="330"/>
    </row>
    <row r="466" spans="6:6" ht="15.75" customHeight="1" x14ac:dyDescent="0.3">
      <c r="F466" s="330"/>
    </row>
    <row r="467" spans="6:6" ht="15.75" customHeight="1" x14ac:dyDescent="0.3">
      <c r="F467" s="330"/>
    </row>
    <row r="468" spans="6:6" ht="15.75" customHeight="1" x14ac:dyDescent="0.3">
      <c r="F468" s="330"/>
    </row>
    <row r="469" spans="6:6" ht="15.75" customHeight="1" x14ac:dyDescent="0.3">
      <c r="F469" s="330"/>
    </row>
    <row r="470" spans="6:6" ht="15.75" customHeight="1" x14ac:dyDescent="0.3">
      <c r="F470" s="330"/>
    </row>
    <row r="471" spans="6:6" ht="15.75" customHeight="1" x14ac:dyDescent="0.3">
      <c r="F471" s="330"/>
    </row>
    <row r="472" spans="6:6" ht="15.75" customHeight="1" x14ac:dyDescent="0.3">
      <c r="F472" s="330"/>
    </row>
    <row r="473" spans="6:6" ht="15.75" customHeight="1" x14ac:dyDescent="0.3">
      <c r="F473" s="330"/>
    </row>
    <row r="474" spans="6:6" ht="15.75" customHeight="1" x14ac:dyDescent="0.3">
      <c r="F474" s="330"/>
    </row>
    <row r="475" spans="6:6" ht="15.75" customHeight="1" x14ac:dyDescent="0.3">
      <c r="F475" s="330"/>
    </row>
    <row r="476" spans="6:6" ht="15.75" customHeight="1" x14ac:dyDescent="0.3">
      <c r="F476" s="330"/>
    </row>
    <row r="477" spans="6:6" ht="15.75" customHeight="1" x14ac:dyDescent="0.3">
      <c r="F477" s="330"/>
    </row>
    <row r="478" spans="6:6" ht="15.75" customHeight="1" x14ac:dyDescent="0.3">
      <c r="F478" s="330"/>
    </row>
    <row r="479" spans="6:6" ht="15.75" customHeight="1" x14ac:dyDescent="0.3">
      <c r="F479" s="330"/>
    </row>
    <row r="480" spans="6:6" ht="15.75" customHeight="1" x14ac:dyDescent="0.3">
      <c r="F480" s="330"/>
    </row>
    <row r="481" spans="6:6" ht="15.75" customHeight="1" x14ac:dyDescent="0.3">
      <c r="F481" s="330"/>
    </row>
    <row r="482" spans="6:6" ht="15.75" customHeight="1" x14ac:dyDescent="0.3">
      <c r="F482" s="330"/>
    </row>
    <row r="483" spans="6:6" ht="15.75" customHeight="1" x14ac:dyDescent="0.3">
      <c r="F483" s="330"/>
    </row>
    <row r="484" spans="6:6" ht="15.75" customHeight="1" x14ac:dyDescent="0.3">
      <c r="F484" s="330"/>
    </row>
    <row r="485" spans="6:6" ht="15.75" customHeight="1" x14ac:dyDescent="0.3">
      <c r="F485" s="330"/>
    </row>
    <row r="486" spans="6:6" ht="15.75" customHeight="1" x14ac:dyDescent="0.3">
      <c r="F486" s="330"/>
    </row>
    <row r="487" spans="6:6" ht="15.75" customHeight="1" x14ac:dyDescent="0.3">
      <c r="F487" s="330"/>
    </row>
    <row r="488" spans="6:6" ht="15.75" customHeight="1" x14ac:dyDescent="0.3">
      <c r="F488" s="330"/>
    </row>
    <row r="489" spans="6:6" ht="15.75" customHeight="1" x14ac:dyDescent="0.3">
      <c r="F489" s="330"/>
    </row>
    <row r="490" spans="6:6" ht="15.75" customHeight="1" x14ac:dyDescent="0.3">
      <c r="F490" s="330"/>
    </row>
    <row r="491" spans="6:6" ht="15.75" customHeight="1" x14ac:dyDescent="0.3">
      <c r="F491" s="330"/>
    </row>
    <row r="492" spans="6:6" ht="15.75" customHeight="1" x14ac:dyDescent="0.3">
      <c r="F492" s="330"/>
    </row>
    <row r="493" spans="6:6" ht="15.75" customHeight="1" x14ac:dyDescent="0.3">
      <c r="F493" s="330"/>
    </row>
    <row r="494" spans="6:6" ht="15.75" customHeight="1" x14ac:dyDescent="0.3">
      <c r="F494" s="330"/>
    </row>
    <row r="495" spans="6:6" ht="15.75" customHeight="1" x14ac:dyDescent="0.3">
      <c r="F495" s="330"/>
    </row>
    <row r="496" spans="6:6" ht="15.75" customHeight="1" x14ac:dyDescent="0.3">
      <c r="F496" s="330"/>
    </row>
    <row r="497" spans="6:6" ht="15.75" customHeight="1" x14ac:dyDescent="0.3">
      <c r="F497" s="330"/>
    </row>
    <row r="498" spans="6:6" ht="15.75" customHeight="1" x14ac:dyDescent="0.3">
      <c r="F498" s="330"/>
    </row>
    <row r="499" spans="6:6" ht="15.75" customHeight="1" x14ac:dyDescent="0.3">
      <c r="F499" s="330"/>
    </row>
    <row r="500" spans="6:6" ht="15.75" customHeight="1" x14ac:dyDescent="0.3">
      <c r="F500" s="330"/>
    </row>
    <row r="501" spans="6:6" ht="15.75" customHeight="1" x14ac:dyDescent="0.3">
      <c r="F501" s="330"/>
    </row>
    <row r="502" spans="6:6" ht="15.75" customHeight="1" x14ac:dyDescent="0.3">
      <c r="F502" s="330"/>
    </row>
    <row r="503" spans="6:6" ht="15.75" customHeight="1" x14ac:dyDescent="0.3">
      <c r="F503" s="330"/>
    </row>
    <row r="504" spans="6:6" ht="15.75" customHeight="1" x14ac:dyDescent="0.3">
      <c r="F504" s="330"/>
    </row>
    <row r="505" spans="6:6" ht="15.75" customHeight="1" x14ac:dyDescent="0.3">
      <c r="F505" s="330"/>
    </row>
    <row r="506" spans="6:6" ht="15.75" customHeight="1" x14ac:dyDescent="0.3">
      <c r="F506" s="330"/>
    </row>
    <row r="507" spans="6:6" ht="15.75" customHeight="1" x14ac:dyDescent="0.3">
      <c r="F507" s="330"/>
    </row>
    <row r="508" spans="6:6" ht="15.75" customHeight="1" x14ac:dyDescent="0.3">
      <c r="F508" s="330"/>
    </row>
    <row r="509" spans="6:6" ht="15.75" customHeight="1" x14ac:dyDescent="0.3">
      <c r="F509" s="330"/>
    </row>
    <row r="510" spans="6:6" ht="15.75" customHeight="1" x14ac:dyDescent="0.3">
      <c r="F510" s="330"/>
    </row>
    <row r="511" spans="6:6" ht="15.75" customHeight="1" x14ac:dyDescent="0.3">
      <c r="F511" s="330"/>
    </row>
    <row r="512" spans="6:6" ht="15.75" customHeight="1" x14ac:dyDescent="0.3">
      <c r="F512" s="330"/>
    </row>
    <row r="513" spans="6:6" ht="15.75" customHeight="1" x14ac:dyDescent="0.3">
      <c r="F513" s="330"/>
    </row>
    <row r="514" spans="6:6" ht="15.75" customHeight="1" x14ac:dyDescent="0.3">
      <c r="F514" s="330"/>
    </row>
    <row r="515" spans="6:6" ht="15.75" customHeight="1" x14ac:dyDescent="0.3">
      <c r="F515" s="330"/>
    </row>
    <row r="516" spans="6:6" ht="15.75" customHeight="1" x14ac:dyDescent="0.3">
      <c r="F516" s="330"/>
    </row>
    <row r="517" spans="6:6" ht="15.75" customHeight="1" x14ac:dyDescent="0.3">
      <c r="F517" s="330"/>
    </row>
    <row r="518" spans="6:6" ht="15.75" customHeight="1" x14ac:dyDescent="0.3">
      <c r="F518" s="330"/>
    </row>
    <row r="519" spans="6:6" ht="15.75" customHeight="1" x14ac:dyDescent="0.3">
      <c r="F519" s="330"/>
    </row>
    <row r="520" spans="6:6" ht="15.75" customHeight="1" x14ac:dyDescent="0.3">
      <c r="F520" s="330"/>
    </row>
    <row r="521" spans="6:6" ht="15.75" customHeight="1" x14ac:dyDescent="0.3">
      <c r="F521" s="330"/>
    </row>
    <row r="522" spans="6:6" ht="15.75" customHeight="1" x14ac:dyDescent="0.3">
      <c r="F522" s="330"/>
    </row>
    <row r="523" spans="6:6" ht="15.75" customHeight="1" x14ac:dyDescent="0.3">
      <c r="F523" s="330"/>
    </row>
    <row r="524" spans="6:6" ht="15.75" customHeight="1" x14ac:dyDescent="0.3">
      <c r="F524" s="330"/>
    </row>
    <row r="525" spans="6:6" ht="15.75" customHeight="1" x14ac:dyDescent="0.3">
      <c r="F525" s="330"/>
    </row>
    <row r="526" spans="6:6" ht="15.75" customHeight="1" x14ac:dyDescent="0.3">
      <c r="F526" s="330"/>
    </row>
    <row r="527" spans="6:6" ht="15.75" customHeight="1" x14ac:dyDescent="0.3">
      <c r="F527" s="330"/>
    </row>
    <row r="528" spans="6:6" ht="15.75" customHeight="1" x14ac:dyDescent="0.3">
      <c r="F528" s="330"/>
    </row>
    <row r="529" spans="6:6" ht="15.75" customHeight="1" x14ac:dyDescent="0.3">
      <c r="F529" s="330"/>
    </row>
    <row r="530" spans="6:6" ht="15.75" customHeight="1" x14ac:dyDescent="0.3">
      <c r="F530" s="330"/>
    </row>
    <row r="531" spans="6:6" ht="15.75" customHeight="1" x14ac:dyDescent="0.3">
      <c r="F531" s="330"/>
    </row>
    <row r="532" spans="6:6" ht="15.75" customHeight="1" x14ac:dyDescent="0.3">
      <c r="F532" s="330"/>
    </row>
    <row r="533" spans="6:6" ht="15.75" customHeight="1" x14ac:dyDescent="0.3">
      <c r="F533" s="330"/>
    </row>
    <row r="534" spans="6:6" ht="15.75" customHeight="1" x14ac:dyDescent="0.3">
      <c r="F534" s="330"/>
    </row>
    <row r="535" spans="6:6" ht="15.75" customHeight="1" x14ac:dyDescent="0.3">
      <c r="F535" s="330"/>
    </row>
    <row r="536" spans="6:6" ht="15.75" customHeight="1" x14ac:dyDescent="0.3">
      <c r="F536" s="330"/>
    </row>
    <row r="537" spans="6:6" ht="15.75" customHeight="1" x14ac:dyDescent="0.3">
      <c r="F537" s="330"/>
    </row>
    <row r="538" spans="6:6" ht="15.75" customHeight="1" x14ac:dyDescent="0.3">
      <c r="F538" s="330"/>
    </row>
    <row r="539" spans="6:6" ht="15.75" customHeight="1" x14ac:dyDescent="0.3">
      <c r="F539" s="330"/>
    </row>
    <row r="540" spans="6:6" ht="15.75" customHeight="1" x14ac:dyDescent="0.3">
      <c r="F540" s="330"/>
    </row>
    <row r="541" spans="6:6" ht="15.75" customHeight="1" x14ac:dyDescent="0.3">
      <c r="F541" s="330"/>
    </row>
    <row r="542" spans="6:6" ht="15.75" customHeight="1" x14ac:dyDescent="0.3">
      <c r="F542" s="330"/>
    </row>
    <row r="543" spans="6:6" ht="15.75" customHeight="1" x14ac:dyDescent="0.3">
      <c r="F543" s="330"/>
    </row>
    <row r="544" spans="6:6" ht="15.75" customHeight="1" x14ac:dyDescent="0.3">
      <c r="F544" s="330"/>
    </row>
    <row r="545" spans="6:6" ht="15.75" customHeight="1" x14ac:dyDescent="0.3">
      <c r="F545" s="330"/>
    </row>
    <row r="546" spans="6:6" ht="15.75" customHeight="1" x14ac:dyDescent="0.3">
      <c r="F546" s="330"/>
    </row>
    <row r="547" spans="6:6" ht="15.75" customHeight="1" x14ac:dyDescent="0.3">
      <c r="F547" s="330"/>
    </row>
    <row r="548" spans="6:6" ht="15.75" customHeight="1" x14ac:dyDescent="0.3">
      <c r="F548" s="330"/>
    </row>
    <row r="549" spans="6:6" ht="15.75" customHeight="1" x14ac:dyDescent="0.3">
      <c r="F549" s="330"/>
    </row>
    <row r="550" spans="6:6" ht="15.75" customHeight="1" x14ac:dyDescent="0.3">
      <c r="F550" s="330"/>
    </row>
    <row r="551" spans="6:6" ht="15.75" customHeight="1" x14ac:dyDescent="0.3">
      <c r="F551" s="330"/>
    </row>
    <row r="552" spans="6:6" ht="15.75" customHeight="1" x14ac:dyDescent="0.3">
      <c r="F552" s="330"/>
    </row>
    <row r="553" spans="6:6" ht="15.75" customHeight="1" x14ac:dyDescent="0.3">
      <c r="F553" s="330"/>
    </row>
    <row r="554" spans="6:6" ht="15.75" customHeight="1" x14ac:dyDescent="0.3">
      <c r="F554" s="330"/>
    </row>
    <row r="555" spans="6:6" ht="15.75" customHeight="1" x14ac:dyDescent="0.3">
      <c r="F555" s="330"/>
    </row>
    <row r="556" spans="6:6" ht="15.75" customHeight="1" x14ac:dyDescent="0.3">
      <c r="F556" s="330"/>
    </row>
    <row r="557" spans="6:6" ht="15.75" customHeight="1" x14ac:dyDescent="0.3">
      <c r="F557" s="330"/>
    </row>
    <row r="558" spans="6:6" ht="15.75" customHeight="1" x14ac:dyDescent="0.3">
      <c r="F558" s="330"/>
    </row>
    <row r="559" spans="6:6" ht="15.75" customHeight="1" x14ac:dyDescent="0.3">
      <c r="F559" s="330"/>
    </row>
    <row r="560" spans="6:6" ht="15.75" customHeight="1" x14ac:dyDescent="0.3">
      <c r="F560" s="330"/>
    </row>
    <row r="561" spans="6:6" ht="15.75" customHeight="1" x14ac:dyDescent="0.3">
      <c r="F561" s="330"/>
    </row>
    <row r="562" spans="6:6" ht="15.75" customHeight="1" x14ac:dyDescent="0.3">
      <c r="F562" s="330"/>
    </row>
    <row r="563" spans="6:6" ht="15.75" customHeight="1" x14ac:dyDescent="0.3">
      <c r="F563" s="330"/>
    </row>
    <row r="564" spans="6:6" ht="15.75" customHeight="1" x14ac:dyDescent="0.3">
      <c r="F564" s="330"/>
    </row>
    <row r="565" spans="6:6" ht="15.75" customHeight="1" x14ac:dyDescent="0.3">
      <c r="F565" s="330"/>
    </row>
    <row r="566" spans="6:6" ht="15.75" customHeight="1" x14ac:dyDescent="0.3">
      <c r="F566" s="330"/>
    </row>
    <row r="567" spans="6:6" ht="15.75" customHeight="1" x14ac:dyDescent="0.3">
      <c r="F567" s="330"/>
    </row>
    <row r="568" spans="6:6" ht="15.75" customHeight="1" x14ac:dyDescent="0.3">
      <c r="F568" s="330"/>
    </row>
    <row r="569" spans="6:6" ht="15.75" customHeight="1" x14ac:dyDescent="0.3">
      <c r="F569" s="330"/>
    </row>
    <row r="570" spans="6:6" ht="15.75" customHeight="1" x14ac:dyDescent="0.3">
      <c r="F570" s="330"/>
    </row>
    <row r="571" spans="6:6" ht="15.75" customHeight="1" x14ac:dyDescent="0.3">
      <c r="F571" s="330"/>
    </row>
    <row r="572" spans="6:6" ht="15.75" customHeight="1" x14ac:dyDescent="0.3">
      <c r="F572" s="330"/>
    </row>
    <row r="573" spans="6:6" ht="15.75" customHeight="1" x14ac:dyDescent="0.3">
      <c r="F573" s="330"/>
    </row>
    <row r="574" spans="6:6" ht="15.75" customHeight="1" x14ac:dyDescent="0.3">
      <c r="F574" s="330"/>
    </row>
    <row r="575" spans="6:6" ht="15.75" customHeight="1" x14ac:dyDescent="0.3">
      <c r="F575" s="330"/>
    </row>
    <row r="576" spans="6:6" ht="15.75" customHeight="1" x14ac:dyDescent="0.3">
      <c r="F576" s="330"/>
    </row>
    <row r="577" spans="6:6" ht="15.75" customHeight="1" x14ac:dyDescent="0.3">
      <c r="F577" s="330"/>
    </row>
    <row r="578" spans="6:6" ht="15.75" customHeight="1" x14ac:dyDescent="0.3">
      <c r="F578" s="330"/>
    </row>
    <row r="579" spans="6:6" ht="15.75" customHeight="1" x14ac:dyDescent="0.3">
      <c r="F579" s="330"/>
    </row>
    <row r="580" spans="6:6" ht="15.75" customHeight="1" x14ac:dyDescent="0.3">
      <c r="F580" s="330"/>
    </row>
    <row r="581" spans="6:6" ht="15.75" customHeight="1" x14ac:dyDescent="0.3">
      <c r="F581" s="330"/>
    </row>
    <row r="582" spans="6:6" ht="15.75" customHeight="1" x14ac:dyDescent="0.3">
      <c r="F582" s="330"/>
    </row>
    <row r="583" spans="6:6" ht="15.75" customHeight="1" x14ac:dyDescent="0.3">
      <c r="F583" s="330"/>
    </row>
    <row r="584" spans="6:6" ht="15.75" customHeight="1" x14ac:dyDescent="0.3">
      <c r="F584" s="330"/>
    </row>
    <row r="585" spans="6:6" ht="15.75" customHeight="1" x14ac:dyDescent="0.3">
      <c r="F585" s="330"/>
    </row>
    <row r="586" spans="6:6" ht="15.75" customHeight="1" x14ac:dyDescent="0.3">
      <c r="F586" s="330"/>
    </row>
    <row r="587" spans="6:6" ht="15.75" customHeight="1" x14ac:dyDescent="0.3">
      <c r="F587" s="330"/>
    </row>
    <row r="588" spans="6:6" ht="15.75" customHeight="1" x14ac:dyDescent="0.3">
      <c r="F588" s="330"/>
    </row>
    <row r="589" spans="6:6" ht="15.75" customHeight="1" x14ac:dyDescent="0.3">
      <c r="F589" s="330"/>
    </row>
    <row r="590" spans="6:6" ht="15.75" customHeight="1" x14ac:dyDescent="0.3">
      <c r="F590" s="330"/>
    </row>
    <row r="591" spans="6:6" ht="15.75" customHeight="1" x14ac:dyDescent="0.3">
      <c r="F591" s="330"/>
    </row>
    <row r="592" spans="6:6" ht="15.75" customHeight="1" x14ac:dyDescent="0.3">
      <c r="F592" s="330"/>
    </row>
    <row r="593" spans="6:6" ht="15.75" customHeight="1" x14ac:dyDescent="0.3">
      <c r="F593" s="330"/>
    </row>
    <row r="594" spans="6:6" ht="15.75" customHeight="1" x14ac:dyDescent="0.3">
      <c r="F594" s="330"/>
    </row>
    <row r="595" spans="6:6" ht="15.75" customHeight="1" x14ac:dyDescent="0.3">
      <c r="F595" s="330"/>
    </row>
    <row r="596" spans="6:6" ht="15.75" customHeight="1" x14ac:dyDescent="0.3">
      <c r="F596" s="330"/>
    </row>
    <row r="597" spans="6:6" ht="15.75" customHeight="1" x14ac:dyDescent="0.3">
      <c r="F597" s="330"/>
    </row>
    <row r="598" spans="6:6" ht="15.75" customHeight="1" x14ac:dyDescent="0.3">
      <c r="F598" s="330"/>
    </row>
    <row r="599" spans="6:6" ht="15.75" customHeight="1" x14ac:dyDescent="0.3">
      <c r="F599" s="330"/>
    </row>
    <row r="600" spans="6:6" ht="15.75" customHeight="1" x14ac:dyDescent="0.3">
      <c r="F600" s="330"/>
    </row>
    <row r="601" spans="6:6" ht="15.75" customHeight="1" x14ac:dyDescent="0.3">
      <c r="F601" s="330"/>
    </row>
    <row r="602" spans="6:6" ht="15.75" customHeight="1" x14ac:dyDescent="0.3">
      <c r="F602" s="330"/>
    </row>
    <row r="603" spans="6:6" ht="15.75" customHeight="1" x14ac:dyDescent="0.3">
      <c r="F603" s="330"/>
    </row>
    <row r="604" spans="6:6" ht="15.75" customHeight="1" x14ac:dyDescent="0.3">
      <c r="F604" s="330"/>
    </row>
    <row r="605" spans="6:6" ht="15.75" customHeight="1" x14ac:dyDescent="0.3">
      <c r="F605" s="330"/>
    </row>
    <row r="606" spans="6:6" ht="15.75" customHeight="1" x14ac:dyDescent="0.3">
      <c r="F606" s="330"/>
    </row>
    <row r="607" spans="6:6" ht="15.75" customHeight="1" x14ac:dyDescent="0.3">
      <c r="F607" s="330"/>
    </row>
    <row r="608" spans="6:6" ht="15.75" customHeight="1" x14ac:dyDescent="0.3">
      <c r="F608" s="330"/>
    </row>
    <row r="609" spans="6:6" ht="15.75" customHeight="1" x14ac:dyDescent="0.3">
      <c r="F609" s="330"/>
    </row>
    <row r="610" spans="6:6" ht="15.75" customHeight="1" x14ac:dyDescent="0.3">
      <c r="F610" s="330"/>
    </row>
    <row r="611" spans="6:6" ht="15.75" customHeight="1" x14ac:dyDescent="0.3">
      <c r="F611" s="330"/>
    </row>
    <row r="612" spans="6:6" ht="15.75" customHeight="1" x14ac:dyDescent="0.3">
      <c r="F612" s="330"/>
    </row>
    <row r="613" spans="6:6" ht="15.75" customHeight="1" x14ac:dyDescent="0.3">
      <c r="F613" s="330"/>
    </row>
    <row r="614" spans="6:6" ht="15.75" customHeight="1" x14ac:dyDescent="0.3">
      <c r="F614" s="330"/>
    </row>
    <row r="615" spans="6:6" ht="15.75" customHeight="1" x14ac:dyDescent="0.3">
      <c r="F615" s="330"/>
    </row>
    <row r="616" spans="6:6" ht="15.75" customHeight="1" x14ac:dyDescent="0.3">
      <c r="F616" s="330"/>
    </row>
    <row r="617" spans="6:6" ht="15.75" customHeight="1" x14ac:dyDescent="0.3">
      <c r="F617" s="330"/>
    </row>
    <row r="618" spans="6:6" ht="15.75" customHeight="1" x14ac:dyDescent="0.3">
      <c r="F618" s="330"/>
    </row>
    <row r="619" spans="6:6" ht="15.75" customHeight="1" x14ac:dyDescent="0.3">
      <c r="F619" s="330"/>
    </row>
    <row r="620" spans="6:6" ht="15.75" customHeight="1" x14ac:dyDescent="0.3">
      <c r="F620" s="330"/>
    </row>
    <row r="621" spans="6:6" ht="15.75" customHeight="1" x14ac:dyDescent="0.3">
      <c r="F621" s="330"/>
    </row>
    <row r="622" spans="6:6" ht="15.75" customHeight="1" x14ac:dyDescent="0.3">
      <c r="F622" s="330"/>
    </row>
    <row r="623" spans="6:6" ht="15.75" customHeight="1" x14ac:dyDescent="0.3">
      <c r="F623" s="330"/>
    </row>
    <row r="624" spans="6:6" ht="15.75" customHeight="1" x14ac:dyDescent="0.3">
      <c r="F624" s="330"/>
    </row>
    <row r="625" spans="6:6" ht="15.75" customHeight="1" x14ac:dyDescent="0.3">
      <c r="F625" s="330"/>
    </row>
    <row r="626" spans="6:6" ht="15.75" customHeight="1" x14ac:dyDescent="0.3">
      <c r="F626" s="330"/>
    </row>
    <row r="627" spans="6:6" ht="15.75" customHeight="1" x14ac:dyDescent="0.3">
      <c r="F627" s="330"/>
    </row>
    <row r="628" spans="6:6" ht="15.75" customHeight="1" x14ac:dyDescent="0.3">
      <c r="F628" s="330"/>
    </row>
    <row r="629" spans="6:6" ht="15.75" customHeight="1" x14ac:dyDescent="0.3">
      <c r="F629" s="330"/>
    </row>
    <row r="630" spans="6:6" ht="15.75" customHeight="1" x14ac:dyDescent="0.3">
      <c r="F630" s="330"/>
    </row>
    <row r="631" spans="6:6" ht="15.75" customHeight="1" x14ac:dyDescent="0.3">
      <c r="F631" s="330"/>
    </row>
    <row r="632" spans="6:6" ht="15.75" customHeight="1" x14ac:dyDescent="0.3">
      <c r="F632" s="330"/>
    </row>
    <row r="633" spans="6:6" ht="15.75" customHeight="1" x14ac:dyDescent="0.3">
      <c r="F633" s="330"/>
    </row>
    <row r="634" spans="6:6" ht="15.75" customHeight="1" x14ac:dyDescent="0.3">
      <c r="F634" s="330"/>
    </row>
    <row r="635" spans="6:6" ht="15.75" customHeight="1" x14ac:dyDescent="0.3">
      <c r="F635" s="330"/>
    </row>
    <row r="636" spans="6:6" ht="15.75" customHeight="1" x14ac:dyDescent="0.3">
      <c r="F636" s="330"/>
    </row>
    <row r="637" spans="6:6" ht="15.75" customHeight="1" x14ac:dyDescent="0.3">
      <c r="F637" s="330"/>
    </row>
    <row r="638" spans="6:6" ht="15.75" customHeight="1" x14ac:dyDescent="0.3">
      <c r="F638" s="330"/>
    </row>
    <row r="639" spans="6:6" ht="15.75" customHeight="1" x14ac:dyDescent="0.3">
      <c r="F639" s="330"/>
    </row>
    <row r="640" spans="6:6" ht="15.75" customHeight="1" x14ac:dyDescent="0.3">
      <c r="F640" s="330"/>
    </row>
    <row r="641" spans="6:6" ht="15.75" customHeight="1" x14ac:dyDescent="0.3">
      <c r="F641" s="330"/>
    </row>
    <row r="642" spans="6:6" ht="15.75" customHeight="1" x14ac:dyDescent="0.3">
      <c r="F642" s="330"/>
    </row>
    <row r="643" spans="6:6" ht="15.75" customHeight="1" x14ac:dyDescent="0.3">
      <c r="F643" s="330"/>
    </row>
    <row r="644" spans="6:6" ht="15.75" customHeight="1" x14ac:dyDescent="0.3">
      <c r="F644" s="330"/>
    </row>
    <row r="645" spans="6:6" ht="15.75" customHeight="1" x14ac:dyDescent="0.3">
      <c r="F645" s="330"/>
    </row>
    <row r="646" spans="6:6" ht="15.75" customHeight="1" x14ac:dyDescent="0.3">
      <c r="F646" s="330"/>
    </row>
    <row r="647" spans="6:6" ht="15.75" customHeight="1" x14ac:dyDescent="0.3">
      <c r="F647" s="330"/>
    </row>
    <row r="648" spans="6:6" ht="15.75" customHeight="1" x14ac:dyDescent="0.3">
      <c r="F648" s="330"/>
    </row>
    <row r="649" spans="6:6" ht="15.75" customHeight="1" x14ac:dyDescent="0.3">
      <c r="F649" s="330"/>
    </row>
    <row r="650" spans="6:6" ht="15.75" customHeight="1" x14ac:dyDescent="0.3">
      <c r="F650" s="330"/>
    </row>
    <row r="651" spans="6:6" ht="15.75" customHeight="1" x14ac:dyDescent="0.3">
      <c r="F651" s="330"/>
    </row>
    <row r="652" spans="6:6" ht="15.75" customHeight="1" x14ac:dyDescent="0.3">
      <c r="F652" s="330"/>
    </row>
    <row r="653" spans="6:6" ht="15.75" customHeight="1" x14ac:dyDescent="0.3">
      <c r="F653" s="330"/>
    </row>
    <row r="654" spans="6:6" ht="15.75" customHeight="1" x14ac:dyDescent="0.3">
      <c r="F654" s="330"/>
    </row>
    <row r="655" spans="6:6" ht="15.75" customHeight="1" x14ac:dyDescent="0.3">
      <c r="F655" s="330"/>
    </row>
    <row r="656" spans="6:6" ht="15.75" customHeight="1" x14ac:dyDescent="0.3">
      <c r="F656" s="330"/>
    </row>
    <row r="657" spans="6:6" ht="15.75" customHeight="1" x14ac:dyDescent="0.3">
      <c r="F657" s="330"/>
    </row>
    <row r="658" spans="6:6" ht="15.75" customHeight="1" x14ac:dyDescent="0.3">
      <c r="F658" s="330"/>
    </row>
    <row r="659" spans="6:6" ht="15.75" customHeight="1" x14ac:dyDescent="0.3">
      <c r="F659" s="330"/>
    </row>
    <row r="660" spans="6:6" ht="15.75" customHeight="1" x14ac:dyDescent="0.3">
      <c r="F660" s="330"/>
    </row>
    <row r="661" spans="6:6" ht="15.75" customHeight="1" x14ac:dyDescent="0.3">
      <c r="F661" s="330"/>
    </row>
    <row r="662" spans="6:6" ht="15.75" customHeight="1" x14ac:dyDescent="0.3">
      <c r="F662" s="330"/>
    </row>
    <row r="663" spans="6:6" ht="15.75" customHeight="1" x14ac:dyDescent="0.3">
      <c r="F663" s="330"/>
    </row>
    <row r="664" spans="6:6" ht="15.75" customHeight="1" x14ac:dyDescent="0.3">
      <c r="F664" s="330"/>
    </row>
    <row r="665" spans="6:6" ht="15.75" customHeight="1" x14ac:dyDescent="0.3">
      <c r="F665" s="330"/>
    </row>
    <row r="666" spans="6:6" ht="15.75" customHeight="1" x14ac:dyDescent="0.3">
      <c r="F666" s="330"/>
    </row>
    <row r="667" spans="6:6" ht="15.75" customHeight="1" x14ac:dyDescent="0.3">
      <c r="F667" s="330"/>
    </row>
    <row r="668" spans="6:6" ht="15.75" customHeight="1" x14ac:dyDescent="0.3">
      <c r="F668" s="330"/>
    </row>
    <row r="669" spans="6:6" ht="15.75" customHeight="1" x14ac:dyDescent="0.3">
      <c r="F669" s="330"/>
    </row>
    <row r="670" spans="6:6" ht="15.75" customHeight="1" x14ac:dyDescent="0.3">
      <c r="F670" s="330"/>
    </row>
    <row r="671" spans="6:6" ht="15.75" customHeight="1" x14ac:dyDescent="0.3">
      <c r="F671" s="330"/>
    </row>
    <row r="672" spans="6:6" ht="15.75" customHeight="1" x14ac:dyDescent="0.3">
      <c r="F672" s="330"/>
    </row>
    <row r="673" spans="6:6" ht="15.75" customHeight="1" x14ac:dyDescent="0.3">
      <c r="F673" s="330"/>
    </row>
    <row r="674" spans="6:6" ht="15.75" customHeight="1" x14ac:dyDescent="0.3">
      <c r="F674" s="330"/>
    </row>
    <row r="675" spans="6:6" ht="15.75" customHeight="1" x14ac:dyDescent="0.3">
      <c r="F675" s="330"/>
    </row>
    <row r="676" spans="6:6" ht="15.75" customHeight="1" x14ac:dyDescent="0.3">
      <c r="F676" s="330"/>
    </row>
    <row r="677" spans="6:6" ht="15.75" customHeight="1" x14ac:dyDescent="0.3">
      <c r="F677" s="330"/>
    </row>
    <row r="678" spans="6:6" ht="15.75" customHeight="1" x14ac:dyDescent="0.3">
      <c r="F678" s="330"/>
    </row>
    <row r="679" spans="6:6" ht="15.75" customHeight="1" x14ac:dyDescent="0.3">
      <c r="F679" s="330"/>
    </row>
    <row r="680" spans="6:6" ht="15.75" customHeight="1" x14ac:dyDescent="0.3">
      <c r="F680" s="330"/>
    </row>
    <row r="681" spans="6:6" ht="15.75" customHeight="1" x14ac:dyDescent="0.3">
      <c r="F681" s="330"/>
    </row>
    <row r="682" spans="6:6" ht="15.75" customHeight="1" x14ac:dyDescent="0.3">
      <c r="F682" s="330"/>
    </row>
    <row r="683" spans="6:6" ht="15.75" customHeight="1" x14ac:dyDescent="0.3">
      <c r="F683" s="330"/>
    </row>
    <row r="684" spans="6:6" ht="15.75" customHeight="1" x14ac:dyDescent="0.3">
      <c r="F684" s="330"/>
    </row>
    <row r="685" spans="6:6" ht="15.75" customHeight="1" x14ac:dyDescent="0.3">
      <c r="F685" s="330"/>
    </row>
    <row r="686" spans="6:6" ht="15.75" customHeight="1" x14ac:dyDescent="0.3">
      <c r="F686" s="330"/>
    </row>
    <row r="687" spans="6:6" ht="15.75" customHeight="1" x14ac:dyDescent="0.3">
      <c r="F687" s="330"/>
    </row>
    <row r="688" spans="6:6" ht="15.75" customHeight="1" x14ac:dyDescent="0.3">
      <c r="F688" s="330"/>
    </row>
    <row r="689" spans="6:6" ht="15.75" customHeight="1" x14ac:dyDescent="0.3">
      <c r="F689" s="330"/>
    </row>
    <row r="690" spans="6:6" ht="15.75" customHeight="1" x14ac:dyDescent="0.3">
      <c r="F690" s="330"/>
    </row>
    <row r="691" spans="6:6" ht="15.75" customHeight="1" x14ac:dyDescent="0.3">
      <c r="F691" s="330"/>
    </row>
    <row r="692" spans="6:6" ht="15.75" customHeight="1" x14ac:dyDescent="0.3">
      <c r="F692" s="330"/>
    </row>
    <row r="693" spans="6:6" ht="15.75" customHeight="1" x14ac:dyDescent="0.3">
      <c r="F693" s="330"/>
    </row>
    <row r="694" spans="6:6" ht="15.75" customHeight="1" x14ac:dyDescent="0.3">
      <c r="F694" s="330"/>
    </row>
    <row r="695" spans="6:6" ht="15.75" customHeight="1" x14ac:dyDescent="0.3">
      <c r="F695" s="330"/>
    </row>
    <row r="696" spans="6:6" ht="15.75" customHeight="1" x14ac:dyDescent="0.3">
      <c r="F696" s="330"/>
    </row>
    <row r="697" spans="6:6" ht="15.75" customHeight="1" x14ac:dyDescent="0.3">
      <c r="F697" s="330"/>
    </row>
    <row r="698" spans="6:6" ht="15.75" customHeight="1" x14ac:dyDescent="0.3">
      <c r="F698" s="330"/>
    </row>
    <row r="699" spans="6:6" ht="15.75" customHeight="1" x14ac:dyDescent="0.3">
      <c r="F699" s="330"/>
    </row>
    <row r="700" spans="6:6" ht="15.75" customHeight="1" x14ac:dyDescent="0.3">
      <c r="F700" s="330"/>
    </row>
    <row r="701" spans="6:6" ht="15.75" customHeight="1" x14ac:dyDescent="0.3">
      <c r="F701" s="330"/>
    </row>
    <row r="702" spans="6:6" ht="15.75" customHeight="1" x14ac:dyDescent="0.3">
      <c r="F702" s="330"/>
    </row>
    <row r="703" spans="6:6" ht="15.75" customHeight="1" x14ac:dyDescent="0.3">
      <c r="F703" s="330"/>
    </row>
    <row r="704" spans="6:6" ht="15.75" customHeight="1" x14ac:dyDescent="0.3">
      <c r="F704" s="330"/>
    </row>
    <row r="705" spans="6:6" ht="15.75" customHeight="1" x14ac:dyDescent="0.3">
      <c r="F705" s="330"/>
    </row>
    <row r="706" spans="6:6" ht="15.75" customHeight="1" x14ac:dyDescent="0.3">
      <c r="F706" s="330"/>
    </row>
    <row r="707" spans="6:6" ht="15.75" customHeight="1" x14ac:dyDescent="0.3">
      <c r="F707" s="330"/>
    </row>
    <row r="708" spans="6:6" ht="15.75" customHeight="1" x14ac:dyDescent="0.3">
      <c r="F708" s="330"/>
    </row>
    <row r="709" spans="6:6" ht="15.75" customHeight="1" x14ac:dyDescent="0.3">
      <c r="F709" s="330"/>
    </row>
    <row r="710" spans="6:6" ht="15.75" customHeight="1" x14ac:dyDescent="0.3">
      <c r="F710" s="330"/>
    </row>
    <row r="711" spans="6:6" ht="15.75" customHeight="1" x14ac:dyDescent="0.3">
      <c r="F711" s="330"/>
    </row>
    <row r="712" spans="6:6" ht="15.75" customHeight="1" x14ac:dyDescent="0.3">
      <c r="F712" s="330"/>
    </row>
    <row r="713" spans="6:6" ht="15.75" customHeight="1" x14ac:dyDescent="0.3">
      <c r="F713" s="330"/>
    </row>
    <row r="714" spans="6:6" ht="15.75" customHeight="1" x14ac:dyDescent="0.3">
      <c r="F714" s="330"/>
    </row>
    <row r="715" spans="6:6" ht="15.75" customHeight="1" x14ac:dyDescent="0.3">
      <c r="F715" s="330"/>
    </row>
    <row r="716" spans="6:6" ht="15.75" customHeight="1" x14ac:dyDescent="0.3">
      <c r="F716" s="330"/>
    </row>
    <row r="717" spans="6:6" ht="15.75" customHeight="1" x14ac:dyDescent="0.3">
      <c r="F717" s="330"/>
    </row>
    <row r="718" spans="6:6" ht="15.75" customHeight="1" x14ac:dyDescent="0.3">
      <c r="F718" s="330"/>
    </row>
    <row r="719" spans="6:6" ht="15.75" customHeight="1" x14ac:dyDescent="0.3">
      <c r="F719" s="330"/>
    </row>
    <row r="720" spans="6:6" ht="15.75" customHeight="1" x14ac:dyDescent="0.3">
      <c r="F720" s="330"/>
    </row>
    <row r="721" spans="6:6" ht="15.75" customHeight="1" x14ac:dyDescent="0.3">
      <c r="F721" s="330"/>
    </row>
    <row r="722" spans="6:6" ht="15.75" customHeight="1" x14ac:dyDescent="0.3">
      <c r="F722" s="330"/>
    </row>
    <row r="723" spans="6:6" ht="15.75" customHeight="1" x14ac:dyDescent="0.3">
      <c r="F723" s="330"/>
    </row>
    <row r="724" spans="6:6" ht="15.75" customHeight="1" x14ac:dyDescent="0.3">
      <c r="F724" s="330"/>
    </row>
    <row r="725" spans="6:6" ht="15.75" customHeight="1" x14ac:dyDescent="0.3">
      <c r="F725" s="330"/>
    </row>
    <row r="726" spans="6:6" ht="15.75" customHeight="1" x14ac:dyDescent="0.3">
      <c r="F726" s="330"/>
    </row>
    <row r="727" spans="6:6" ht="15.75" customHeight="1" x14ac:dyDescent="0.3">
      <c r="F727" s="330"/>
    </row>
    <row r="728" spans="6:6" ht="15.75" customHeight="1" x14ac:dyDescent="0.3">
      <c r="F728" s="330"/>
    </row>
    <row r="729" spans="6:6" ht="15.75" customHeight="1" x14ac:dyDescent="0.3">
      <c r="F729" s="330"/>
    </row>
    <row r="730" spans="6:6" ht="15.75" customHeight="1" x14ac:dyDescent="0.3">
      <c r="F730" s="330"/>
    </row>
    <row r="731" spans="6:6" ht="15.75" customHeight="1" x14ac:dyDescent="0.3">
      <c r="F731" s="330"/>
    </row>
    <row r="732" spans="6:6" ht="15.75" customHeight="1" x14ac:dyDescent="0.3">
      <c r="F732" s="330"/>
    </row>
    <row r="733" spans="6:6" ht="15.75" customHeight="1" x14ac:dyDescent="0.3">
      <c r="F733" s="330"/>
    </row>
    <row r="734" spans="6:6" ht="15.75" customHeight="1" x14ac:dyDescent="0.3">
      <c r="F734" s="330"/>
    </row>
    <row r="735" spans="6:6" ht="15.75" customHeight="1" x14ac:dyDescent="0.3">
      <c r="F735" s="330"/>
    </row>
    <row r="736" spans="6:6" ht="15.75" customHeight="1" x14ac:dyDescent="0.3">
      <c r="F736" s="330"/>
    </row>
    <row r="737" spans="6:6" ht="15.75" customHeight="1" x14ac:dyDescent="0.3">
      <c r="F737" s="330"/>
    </row>
    <row r="738" spans="6:6" ht="15.75" customHeight="1" x14ac:dyDescent="0.3">
      <c r="F738" s="330"/>
    </row>
    <row r="739" spans="6:6" ht="15.75" customHeight="1" x14ac:dyDescent="0.3">
      <c r="F739" s="330"/>
    </row>
    <row r="740" spans="6:6" ht="15.75" customHeight="1" x14ac:dyDescent="0.3">
      <c r="F740" s="330"/>
    </row>
    <row r="741" spans="6:6" ht="15.75" customHeight="1" x14ac:dyDescent="0.3">
      <c r="F741" s="330"/>
    </row>
    <row r="742" spans="6:6" ht="15.75" customHeight="1" x14ac:dyDescent="0.3">
      <c r="F742" s="330"/>
    </row>
    <row r="743" spans="6:6" ht="15.75" customHeight="1" x14ac:dyDescent="0.3">
      <c r="F743" s="330"/>
    </row>
    <row r="744" spans="6:6" ht="15.75" customHeight="1" x14ac:dyDescent="0.3">
      <c r="F744" s="330"/>
    </row>
    <row r="745" spans="6:6" ht="15.75" customHeight="1" x14ac:dyDescent="0.3">
      <c r="F745" s="330"/>
    </row>
    <row r="746" spans="6:6" ht="15.75" customHeight="1" x14ac:dyDescent="0.3">
      <c r="F746" s="330"/>
    </row>
    <row r="747" spans="6:6" ht="15.75" customHeight="1" x14ac:dyDescent="0.3">
      <c r="F747" s="330"/>
    </row>
    <row r="748" spans="6:6" ht="15.75" customHeight="1" x14ac:dyDescent="0.3">
      <c r="F748" s="330"/>
    </row>
    <row r="749" spans="6:6" ht="15.75" customHeight="1" x14ac:dyDescent="0.3">
      <c r="F749" s="330"/>
    </row>
    <row r="750" spans="6:6" ht="15.75" customHeight="1" x14ac:dyDescent="0.3">
      <c r="F750" s="330"/>
    </row>
    <row r="751" spans="6:6" ht="15.75" customHeight="1" x14ac:dyDescent="0.3">
      <c r="F751" s="330"/>
    </row>
    <row r="752" spans="6:6" ht="15.75" customHeight="1" x14ac:dyDescent="0.3">
      <c r="F752" s="330"/>
    </row>
    <row r="753" spans="6:6" ht="15.75" customHeight="1" x14ac:dyDescent="0.3">
      <c r="F753" s="330"/>
    </row>
    <row r="754" spans="6:6" ht="15.75" customHeight="1" x14ac:dyDescent="0.3">
      <c r="F754" s="330"/>
    </row>
    <row r="755" spans="6:6" ht="15.75" customHeight="1" x14ac:dyDescent="0.3">
      <c r="F755" s="330"/>
    </row>
    <row r="756" spans="6:6" ht="15.75" customHeight="1" x14ac:dyDescent="0.3">
      <c r="F756" s="330"/>
    </row>
    <row r="757" spans="6:6" ht="15.75" customHeight="1" x14ac:dyDescent="0.3">
      <c r="F757" s="330"/>
    </row>
    <row r="758" spans="6:6" ht="15.75" customHeight="1" x14ac:dyDescent="0.3">
      <c r="F758" s="330"/>
    </row>
    <row r="759" spans="6:6" ht="15.75" customHeight="1" x14ac:dyDescent="0.3">
      <c r="F759" s="330"/>
    </row>
    <row r="760" spans="6:6" ht="15.75" customHeight="1" x14ac:dyDescent="0.3">
      <c r="F760" s="330"/>
    </row>
    <row r="761" spans="6:6" ht="15.75" customHeight="1" x14ac:dyDescent="0.3">
      <c r="F761" s="330"/>
    </row>
    <row r="762" spans="6:6" ht="15.75" customHeight="1" x14ac:dyDescent="0.3">
      <c r="F762" s="330"/>
    </row>
    <row r="763" spans="6:6" ht="15.75" customHeight="1" x14ac:dyDescent="0.3">
      <c r="F763" s="330"/>
    </row>
    <row r="764" spans="6:6" ht="15.75" customHeight="1" x14ac:dyDescent="0.3">
      <c r="F764" s="330"/>
    </row>
    <row r="765" spans="6:6" ht="15.75" customHeight="1" x14ac:dyDescent="0.3">
      <c r="F765" s="330"/>
    </row>
    <row r="766" spans="6:6" ht="15.75" customHeight="1" x14ac:dyDescent="0.3">
      <c r="F766" s="330"/>
    </row>
    <row r="767" spans="6:6" ht="15.75" customHeight="1" x14ac:dyDescent="0.3">
      <c r="F767" s="330"/>
    </row>
    <row r="768" spans="6:6" ht="15.75" customHeight="1" x14ac:dyDescent="0.3">
      <c r="F768" s="330"/>
    </row>
    <row r="769" spans="6:6" ht="15.75" customHeight="1" x14ac:dyDescent="0.3">
      <c r="F769" s="330"/>
    </row>
    <row r="770" spans="6:6" ht="15.75" customHeight="1" x14ac:dyDescent="0.3">
      <c r="F770" s="330"/>
    </row>
    <row r="771" spans="6:6" ht="15.75" customHeight="1" x14ac:dyDescent="0.3">
      <c r="F771" s="330"/>
    </row>
    <row r="772" spans="6:6" ht="15.75" customHeight="1" x14ac:dyDescent="0.3">
      <c r="F772" s="330"/>
    </row>
    <row r="773" spans="6:6" ht="15.75" customHeight="1" x14ac:dyDescent="0.3">
      <c r="F773" s="330"/>
    </row>
    <row r="774" spans="6:6" ht="15.75" customHeight="1" x14ac:dyDescent="0.3">
      <c r="F774" s="330"/>
    </row>
    <row r="775" spans="6:6" ht="15.75" customHeight="1" x14ac:dyDescent="0.3">
      <c r="F775" s="330"/>
    </row>
    <row r="776" spans="6:6" ht="15.75" customHeight="1" x14ac:dyDescent="0.3">
      <c r="F776" s="330"/>
    </row>
    <row r="777" spans="6:6" ht="15.75" customHeight="1" x14ac:dyDescent="0.3">
      <c r="F777" s="330"/>
    </row>
    <row r="778" spans="6:6" ht="15.75" customHeight="1" x14ac:dyDescent="0.3">
      <c r="F778" s="330"/>
    </row>
    <row r="779" spans="6:6" ht="15.75" customHeight="1" x14ac:dyDescent="0.3">
      <c r="F779" s="330"/>
    </row>
    <row r="780" spans="6:6" ht="15.75" customHeight="1" x14ac:dyDescent="0.3">
      <c r="F780" s="330"/>
    </row>
    <row r="781" spans="6:6" ht="15.75" customHeight="1" x14ac:dyDescent="0.3">
      <c r="F781" s="330"/>
    </row>
    <row r="782" spans="6:6" ht="15.75" customHeight="1" x14ac:dyDescent="0.3">
      <c r="F782" s="330"/>
    </row>
    <row r="783" spans="6:6" ht="15.75" customHeight="1" x14ac:dyDescent="0.3">
      <c r="F783" s="330"/>
    </row>
    <row r="784" spans="6:6" ht="15.75" customHeight="1" x14ac:dyDescent="0.3">
      <c r="F784" s="330"/>
    </row>
    <row r="785" spans="6:6" ht="15.75" customHeight="1" x14ac:dyDescent="0.3">
      <c r="F785" s="330"/>
    </row>
    <row r="786" spans="6:6" ht="15.75" customHeight="1" x14ac:dyDescent="0.3">
      <c r="F786" s="330"/>
    </row>
    <row r="787" spans="6:6" ht="15.75" customHeight="1" x14ac:dyDescent="0.3">
      <c r="F787" s="330"/>
    </row>
    <row r="788" spans="6:6" ht="15.75" customHeight="1" x14ac:dyDescent="0.3">
      <c r="F788" s="330"/>
    </row>
    <row r="789" spans="6:6" ht="15.75" customHeight="1" x14ac:dyDescent="0.3">
      <c r="F789" s="330"/>
    </row>
    <row r="790" spans="6:6" ht="15.75" customHeight="1" x14ac:dyDescent="0.3">
      <c r="F790" s="330"/>
    </row>
    <row r="791" spans="6:6" ht="15.75" customHeight="1" x14ac:dyDescent="0.3">
      <c r="F791" s="330"/>
    </row>
    <row r="792" spans="6:6" ht="15.75" customHeight="1" x14ac:dyDescent="0.3">
      <c r="F792" s="330"/>
    </row>
    <row r="793" spans="6:6" ht="15.75" customHeight="1" x14ac:dyDescent="0.3">
      <c r="F793" s="330"/>
    </row>
    <row r="794" spans="6:6" ht="15.75" customHeight="1" x14ac:dyDescent="0.3">
      <c r="F794" s="330"/>
    </row>
    <row r="795" spans="6:6" ht="15.75" customHeight="1" x14ac:dyDescent="0.3">
      <c r="F795" s="330"/>
    </row>
    <row r="796" spans="6:6" ht="15.75" customHeight="1" x14ac:dyDescent="0.3">
      <c r="F796" s="330"/>
    </row>
    <row r="797" spans="6:6" ht="15.75" customHeight="1" x14ac:dyDescent="0.3">
      <c r="F797" s="330"/>
    </row>
    <row r="798" spans="6:6" ht="15.75" customHeight="1" x14ac:dyDescent="0.3">
      <c r="F798" s="330"/>
    </row>
    <row r="799" spans="6:6" ht="15.75" customHeight="1" x14ac:dyDescent="0.3">
      <c r="F799" s="330"/>
    </row>
    <row r="800" spans="6:6" ht="15.75" customHeight="1" x14ac:dyDescent="0.3">
      <c r="F800" s="330"/>
    </row>
    <row r="801" spans="6:6" ht="15.75" customHeight="1" x14ac:dyDescent="0.3">
      <c r="F801" s="330"/>
    </row>
    <row r="802" spans="6:6" ht="15.75" customHeight="1" x14ac:dyDescent="0.3">
      <c r="F802" s="330"/>
    </row>
    <row r="803" spans="6:6" ht="15.75" customHeight="1" x14ac:dyDescent="0.3">
      <c r="F803" s="330"/>
    </row>
    <row r="804" spans="6:6" ht="15.75" customHeight="1" x14ac:dyDescent="0.3">
      <c r="F804" s="330"/>
    </row>
    <row r="805" spans="6:6" ht="15.75" customHeight="1" x14ac:dyDescent="0.3">
      <c r="F805" s="330"/>
    </row>
    <row r="806" spans="6:6" ht="15.75" customHeight="1" x14ac:dyDescent="0.3">
      <c r="F806" s="330"/>
    </row>
    <row r="807" spans="6:6" ht="15.75" customHeight="1" x14ac:dyDescent="0.3">
      <c r="F807" s="330"/>
    </row>
    <row r="808" spans="6:6" ht="15.75" customHeight="1" x14ac:dyDescent="0.3">
      <c r="F808" s="330"/>
    </row>
    <row r="809" spans="6:6" ht="15.75" customHeight="1" x14ac:dyDescent="0.3">
      <c r="F809" s="330"/>
    </row>
    <row r="810" spans="6:6" ht="15.75" customHeight="1" x14ac:dyDescent="0.3">
      <c r="F810" s="330"/>
    </row>
    <row r="811" spans="6:6" ht="15.75" customHeight="1" x14ac:dyDescent="0.3">
      <c r="F811" s="330"/>
    </row>
    <row r="812" spans="6:6" ht="15.75" customHeight="1" x14ac:dyDescent="0.3">
      <c r="F812" s="330"/>
    </row>
    <row r="813" spans="6:6" ht="15.75" customHeight="1" x14ac:dyDescent="0.3">
      <c r="F813" s="330"/>
    </row>
    <row r="814" spans="6:6" ht="15.75" customHeight="1" x14ac:dyDescent="0.3">
      <c r="F814" s="330"/>
    </row>
    <row r="815" spans="6:6" ht="15.75" customHeight="1" x14ac:dyDescent="0.3">
      <c r="F815" s="330"/>
    </row>
    <row r="816" spans="6:6" ht="15.75" customHeight="1" x14ac:dyDescent="0.3">
      <c r="F816" s="330"/>
    </row>
    <row r="817" spans="6:6" ht="15.75" customHeight="1" x14ac:dyDescent="0.3">
      <c r="F817" s="330"/>
    </row>
    <row r="818" spans="6:6" ht="15.75" customHeight="1" x14ac:dyDescent="0.3">
      <c r="F818" s="330"/>
    </row>
    <row r="819" spans="6:6" ht="15.75" customHeight="1" x14ac:dyDescent="0.3">
      <c r="F819" s="330"/>
    </row>
    <row r="820" spans="6:6" ht="15.75" customHeight="1" x14ac:dyDescent="0.3">
      <c r="F820" s="330"/>
    </row>
    <row r="821" spans="6:6" ht="15.75" customHeight="1" x14ac:dyDescent="0.3">
      <c r="F821" s="330"/>
    </row>
    <row r="822" spans="6:6" ht="15.75" customHeight="1" x14ac:dyDescent="0.3">
      <c r="F822" s="330"/>
    </row>
    <row r="823" spans="6:6" ht="15.75" customHeight="1" x14ac:dyDescent="0.3">
      <c r="F823" s="330"/>
    </row>
    <row r="824" spans="6:6" ht="15.75" customHeight="1" x14ac:dyDescent="0.3">
      <c r="F824" s="330"/>
    </row>
    <row r="825" spans="6:6" ht="15.75" customHeight="1" x14ac:dyDescent="0.3">
      <c r="F825" s="330"/>
    </row>
    <row r="826" spans="6:6" ht="15.75" customHeight="1" x14ac:dyDescent="0.3">
      <c r="F826" s="330"/>
    </row>
    <row r="827" spans="6:6" ht="15.75" customHeight="1" x14ac:dyDescent="0.3">
      <c r="F827" s="330"/>
    </row>
    <row r="828" spans="6:6" ht="15.75" customHeight="1" x14ac:dyDescent="0.3">
      <c r="F828" s="330"/>
    </row>
    <row r="829" spans="6:6" ht="15.75" customHeight="1" x14ac:dyDescent="0.3">
      <c r="F829" s="330"/>
    </row>
    <row r="830" spans="6:6" ht="15.75" customHeight="1" x14ac:dyDescent="0.3">
      <c r="F830" s="330"/>
    </row>
    <row r="831" spans="6:6" ht="15.75" customHeight="1" x14ac:dyDescent="0.3">
      <c r="F831" s="330"/>
    </row>
    <row r="832" spans="6:6" ht="15.75" customHeight="1" x14ac:dyDescent="0.3">
      <c r="F832" s="330"/>
    </row>
    <row r="833" spans="6:6" ht="15.75" customHeight="1" x14ac:dyDescent="0.3">
      <c r="F833" s="330"/>
    </row>
    <row r="834" spans="6:6" ht="15.75" customHeight="1" x14ac:dyDescent="0.3">
      <c r="F834" s="330"/>
    </row>
    <row r="835" spans="6:6" ht="15.75" customHeight="1" x14ac:dyDescent="0.3">
      <c r="F835" s="330"/>
    </row>
    <row r="836" spans="6:6" ht="15.75" customHeight="1" x14ac:dyDescent="0.3">
      <c r="F836" s="330"/>
    </row>
    <row r="837" spans="6:6" ht="15.75" customHeight="1" x14ac:dyDescent="0.3">
      <c r="F837" s="330"/>
    </row>
    <row r="838" spans="6:6" ht="15.75" customHeight="1" x14ac:dyDescent="0.3">
      <c r="F838" s="330"/>
    </row>
    <row r="839" spans="6:6" ht="15.75" customHeight="1" x14ac:dyDescent="0.3">
      <c r="F839" s="330"/>
    </row>
    <row r="840" spans="6:6" ht="15.75" customHeight="1" x14ac:dyDescent="0.3">
      <c r="F840" s="330"/>
    </row>
    <row r="841" spans="6:6" ht="15.75" customHeight="1" x14ac:dyDescent="0.3">
      <c r="F841" s="330"/>
    </row>
    <row r="842" spans="6:6" ht="15.75" customHeight="1" x14ac:dyDescent="0.3">
      <c r="F842" s="330"/>
    </row>
    <row r="843" spans="6:6" ht="15.75" customHeight="1" x14ac:dyDescent="0.3">
      <c r="F843" s="330"/>
    </row>
    <row r="844" spans="6:6" ht="15.75" customHeight="1" x14ac:dyDescent="0.3">
      <c r="F844" s="330"/>
    </row>
    <row r="845" spans="6:6" ht="15.75" customHeight="1" x14ac:dyDescent="0.3">
      <c r="F845" s="330"/>
    </row>
    <row r="846" spans="6:6" ht="15.75" customHeight="1" x14ac:dyDescent="0.3">
      <c r="F846" s="330"/>
    </row>
    <row r="847" spans="6:6" ht="15.75" customHeight="1" x14ac:dyDescent="0.3">
      <c r="F847" s="330"/>
    </row>
    <row r="848" spans="6:6" ht="15.75" customHeight="1" x14ac:dyDescent="0.3">
      <c r="F848" s="330"/>
    </row>
    <row r="849" spans="6:6" ht="15.75" customHeight="1" x14ac:dyDescent="0.3">
      <c r="F849" s="330"/>
    </row>
    <row r="850" spans="6:6" ht="15.75" customHeight="1" x14ac:dyDescent="0.3">
      <c r="F850" s="330"/>
    </row>
    <row r="851" spans="6:6" ht="15.75" customHeight="1" x14ac:dyDescent="0.3">
      <c r="F851" s="330"/>
    </row>
    <row r="852" spans="6:6" ht="15.75" customHeight="1" x14ac:dyDescent="0.3">
      <c r="F852" s="330"/>
    </row>
    <row r="853" spans="6:6" ht="15.75" customHeight="1" x14ac:dyDescent="0.3">
      <c r="F853" s="330"/>
    </row>
    <row r="854" spans="6:6" ht="15.75" customHeight="1" x14ac:dyDescent="0.3">
      <c r="F854" s="330"/>
    </row>
    <row r="855" spans="6:6" ht="15.75" customHeight="1" x14ac:dyDescent="0.3">
      <c r="F855" s="330"/>
    </row>
    <row r="856" spans="6:6" ht="15.75" customHeight="1" x14ac:dyDescent="0.3">
      <c r="F856" s="330"/>
    </row>
    <row r="857" spans="6:6" ht="15.75" customHeight="1" x14ac:dyDescent="0.3">
      <c r="F857" s="330"/>
    </row>
    <row r="858" spans="6:6" ht="15.75" customHeight="1" x14ac:dyDescent="0.3">
      <c r="F858" s="330"/>
    </row>
    <row r="859" spans="6:6" ht="15.75" customHeight="1" x14ac:dyDescent="0.3">
      <c r="F859" s="330"/>
    </row>
    <row r="860" spans="6:6" ht="15.75" customHeight="1" x14ac:dyDescent="0.3">
      <c r="F860" s="330"/>
    </row>
    <row r="861" spans="6:6" ht="15.75" customHeight="1" x14ac:dyDescent="0.3">
      <c r="F861" s="330"/>
    </row>
    <row r="862" spans="6:6" ht="15.75" customHeight="1" x14ac:dyDescent="0.3">
      <c r="F862" s="330"/>
    </row>
    <row r="863" spans="6:6" ht="15.75" customHeight="1" x14ac:dyDescent="0.3">
      <c r="F863" s="330"/>
    </row>
    <row r="864" spans="6:6" ht="15.75" customHeight="1" x14ac:dyDescent="0.3">
      <c r="F864" s="330"/>
    </row>
    <row r="865" spans="6:6" ht="15.75" customHeight="1" x14ac:dyDescent="0.3">
      <c r="F865" s="330"/>
    </row>
    <row r="866" spans="6:6" ht="15.75" customHeight="1" x14ac:dyDescent="0.3">
      <c r="F866" s="330"/>
    </row>
    <row r="867" spans="6:6" ht="15.75" customHeight="1" x14ac:dyDescent="0.3">
      <c r="F867" s="330"/>
    </row>
    <row r="868" spans="6:6" ht="15.75" customHeight="1" x14ac:dyDescent="0.3">
      <c r="F868" s="330"/>
    </row>
    <row r="869" spans="6:6" ht="15.75" customHeight="1" x14ac:dyDescent="0.3">
      <c r="F869" s="330"/>
    </row>
    <row r="870" spans="6:6" ht="15.75" customHeight="1" x14ac:dyDescent="0.3">
      <c r="F870" s="330"/>
    </row>
    <row r="871" spans="6:6" ht="15.75" customHeight="1" x14ac:dyDescent="0.3">
      <c r="F871" s="330"/>
    </row>
    <row r="872" spans="6:6" ht="15.75" customHeight="1" x14ac:dyDescent="0.3">
      <c r="F872" s="330"/>
    </row>
    <row r="873" spans="6:6" ht="15.75" customHeight="1" x14ac:dyDescent="0.3">
      <c r="F873" s="330"/>
    </row>
    <row r="874" spans="6:6" ht="15.75" customHeight="1" x14ac:dyDescent="0.3">
      <c r="F874" s="330"/>
    </row>
    <row r="875" spans="6:6" ht="15.75" customHeight="1" x14ac:dyDescent="0.3">
      <c r="F875" s="330"/>
    </row>
    <row r="876" spans="6:6" ht="15.75" customHeight="1" x14ac:dyDescent="0.3">
      <c r="F876" s="330"/>
    </row>
    <row r="877" spans="6:6" ht="15.75" customHeight="1" x14ac:dyDescent="0.3">
      <c r="F877" s="330"/>
    </row>
    <row r="878" spans="6:6" ht="15.75" customHeight="1" x14ac:dyDescent="0.3">
      <c r="F878" s="330"/>
    </row>
    <row r="879" spans="6:6" ht="15.75" customHeight="1" x14ac:dyDescent="0.3">
      <c r="F879" s="330"/>
    </row>
    <row r="880" spans="6:6" ht="15.75" customHeight="1" x14ac:dyDescent="0.3">
      <c r="F880" s="330"/>
    </row>
    <row r="881" spans="6:6" ht="15.75" customHeight="1" x14ac:dyDescent="0.3">
      <c r="F881" s="330"/>
    </row>
    <row r="882" spans="6:6" ht="15.75" customHeight="1" x14ac:dyDescent="0.3">
      <c r="F882" s="330"/>
    </row>
    <row r="883" spans="6:6" ht="15.75" customHeight="1" x14ac:dyDescent="0.3">
      <c r="F883" s="330"/>
    </row>
    <row r="884" spans="6:6" ht="15.75" customHeight="1" x14ac:dyDescent="0.3">
      <c r="F884" s="330"/>
    </row>
    <row r="885" spans="6:6" ht="15.75" customHeight="1" x14ac:dyDescent="0.3">
      <c r="F885" s="330"/>
    </row>
    <row r="886" spans="6:6" ht="15.75" customHeight="1" x14ac:dyDescent="0.3">
      <c r="F886" s="330"/>
    </row>
    <row r="887" spans="6:6" ht="15.75" customHeight="1" x14ac:dyDescent="0.3">
      <c r="F887" s="330"/>
    </row>
    <row r="888" spans="6:6" ht="15.75" customHeight="1" x14ac:dyDescent="0.3">
      <c r="F888" s="330"/>
    </row>
    <row r="889" spans="6:6" ht="15.75" customHeight="1" x14ac:dyDescent="0.3">
      <c r="F889" s="330"/>
    </row>
    <row r="890" spans="6:6" ht="15.75" customHeight="1" x14ac:dyDescent="0.3">
      <c r="F890" s="330"/>
    </row>
    <row r="891" spans="6:6" ht="15.75" customHeight="1" x14ac:dyDescent="0.3">
      <c r="F891" s="330"/>
    </row>
    <row r="892" spans="6:6" ht="15.75" customHeight="1" x14ac:dyDescent="0.3">
      <c r="F892" s="330"/>
    </row>
    <row r="893" spans="6:6" ht="15.75" customHeight="1" x14ac:dyDescent="0.3">
      <c r="F893" s="330"/>
    </row>
    <row r="894" spans="6:6" ht="15.75" customHeight="1" x14ac:dyDescent="0.3">
      <c r="F894" s="330"/>
    </row>
    <row r="895" spans="6:6" ht="15.75" customHeight="1" x14ac:dyDescent="0.3">
      <c r="F895" s="330"/>
    </row>
    <row r="896" spans="6:6" ht="15.75" customHeight="1" x14ac:dyDescent="0.3">
      <c r="F896" s="330"/>
    </row>
    <row r="897" spans="6:6" ht="15.75" customHeight="1" x14ac:dyDescent="0.3">
      <c r="F897" s="330"/>
    </row>
    <row r="898" spans="6:6" ht="15.75" customHeight="1" x14ac:dyDescent="0.3">
      <c r="F898" s="330"/>
    </row>
    <row r="899" spans="6:6" ht="15.75" customHeight="1" x14ac:dyDescent="0.3">
      <c r="F899" s="330"/>
    </row>
    <row r="900" spans="6:6" ht="15.75" customHeight="1" x14ac:dyDescent="0.3">
      <c r="F900" s="330"/>
    </row>
    <row r="901" spans="6:6" ht="15.75" customHeight="1" x14ac:dyDescent="0.3">
      <c r="F901" s="330"/>
    </row>
    <row r="902" spans="6:6" ht="15.75" customHeight="1" x14ac:dyDescent="0.3">
      <c r="F902" s="330"/>
    </row>
    <row r="903" spans="6:6" ht="15.75" customHeight="1" x14ac:dyDescent="0.3">
      <c r="F903" s="330"/>
    </row>
    <row r="904" spans="6:6" ht="15.75" customHeight="1" x14ac:dyDescent="0.3">
      <c r="F904" s="330"/>
    </row>
    <row r="905" spans="6:6" ht="15.75" customHeight="1" x14ac:dyDescent="0.3">
      <c r="F905" s="330"/>
    </row>
    <row r="906" spans="6:6" ht="15.75" customHeight="1" x14ac:dyDescent="0.3">
      <c r="F906" s="330"/>
    </row>
    <row r="907" spans="6:6" ht="15.75" customHeight="1" x14ac:dyDescent="0.3">
      <c r="F907" s="330"/>
    </row>
    <row r="908" spans="6:6" ht="15.75" customHeight="1" x14ac:dyDescent="0.3">
      <c r="F908" s="330"/>
    </row>
    <row r="909" spans="6:6" ht="15.75" customHeight="1" x14ac:dyDescent="0.3">
      <c r="F909" s="330"/>
    </row>
    <row r="910" spans="6:6" ht="15.75" customHeight="1" x14ac:dyDescent="0.3">
      <c r="F910" s="330"/>
    </row>
    <row r="911" spans="6:6" ht="15.75" customHeight="1" x14ac:dyDescent="0.3">
      <c r="F911" s="330"/>
    </row>
    <row r="912" spans="6:6" ht="15.75" customHeight="1" x14ac:dyDescent="0.3">
      <c r="F912" s="330"/>
    </row>
    <row r="913" spans="6:6" ht="15.75" customHeight="1" x14ac:dyDescent="0.3">
      <c r="F913" s="330"/>
    </row>
    <row r="914" spans="6:6" ht="15.75" customHeight="1" x14ac:dyDescent="0.3">
      <c r="F914" s="330"/>
    </row>
    <row r="915" spans="6:6" ht="15.75" customHeight="1" x14ac:dyDescent="0.3">
      <c r="F915" s="330"/>
    </row>
    <row r="916" spans="6:6" ht="15.75" customHeight="1" x14ac:dyDescent="0.3">
      <c r="F916" s="330"/>
    </row>
    <row r="917" spans="6:6" ht="15.75" customHeight="1" x14ac:dyDescent="0.3">
      <c r="F917" s="330"/>
    </row>
    <row r="918" spans="6:6" ht="15.75" customHeight="1" x14ac:dyDescent="0.3">
      <c r="F918" s="330"/>
    </row>
    <row r="919" spans="6:6" ht="15.75" customHeight="1" x14ac:dyDescent="0.3">
      <c r="F919" s="330"/>
    </row>
    <row r="920" spans="6:6" ht="15.75" customHeight="1" x14ac:dyDescent="0.3">
      <c r="F920" s="330"/>
    </row>
    <row r="921" spans="6:6" ht="15.75" customHeight="1" x14ac:dyDescent="0.3">
      <c r="F921" s="330"/>
    </row>
    <row r="922" spans="6:6" ht="15.75" customHeight="1" x14ac:dyDescent="0.3">
      <c r="F922" s="330"/>
    </row>
    <row r="923" spans="6:6" ht="15.75" customHeight="1" x14ac:dyDescent="0.3">
      <c r="F923" s="330"/>
    </row>
    <row r="924" spans="6:6" ht="15.75" customHeight="1" x14ac:dyDescent="0.3">
      <c r="F924" s="330"/>
    </row>
    <row r="925" spans="6:6" ht="15.75" customHeight="1" x14ac:dyDescent="0.3">
      <c r="F925" s="330"/>
    </row>
    <row r="926" spans="6:6" ht="15.75" customHeight="1" x14ac:dyDescent="0.3">
      <c r="F926" s="330"/>
    </row>
    <row r="927" spans="6:6" ht="15.75" customHeight="1" x14ac:dyDescent="0.3">
      <c r="F927" s="330"/>
    </row>
    <row r="928" spans="6:6" ht="15.75" customHeight="1" x14ac:dyDescent="0.3">
      <c r="F928" s="330"/>
    </row>
    <row r="929" spans="6:6" ht="15.75" customHeight="1" x14ac:dyDescent="0.3">
      <c r="F929" s="330"/>
    </row>
    <row r="930" spans="6:6" ht="15.75" customHeight="1" x14ac:dyDescent="0.3">
      <c r="F930" s="330"/>
    </row>
    <row r="931" spans="6:6" ht="15.75" customHeight="1" x14ac:dyDescent="0.3">
      <c r="F931" s="330"/>
    </row>
    <row r="932" spans="6:6" ht="15.75" customHeight="1" x14ac:dyDescent="0.3">
      <c r="F932" s="330"/>
    </row>
    <row r="933" spans="6:6" ht="15.75" customHeight="1" x14ac:dyDescent="0.3">
      <c r="F933" s="330"/>
    </row>
    <row r="934" spans="6:6" ht="15.75" customHeight="1" x14ac:dyDescent="0.3">
      <c r="F934" s="330"/>
    </row>
    <row r="935" spans="6:6" ht="15.75" customHeight="1" x14ac:dyDescent="0.3">
      <c r="F935" s="330"/>
    </row>
    <row r="936" spans="6:6" ht="15.75" customHeight="1" x14ac:dyDescent="0.3">
      <c r="F936" s="330"/>
    </row>
    <row r="937" spans="6:6" ht="15.75" customHeight="1" x14ac:dyDescent="0.3">
      <c r="F937" s="330"/>
    </row>
    <row r="938" spans="6:6" ht="15.75" customHeight="1" x14ac:dyDescent="0.3">
      <c r="F938" s="330"/>
    </row>
    <row r="939" spans="6:6" ht="15.75" customHeight="1" x14ac:dyDescent="0.3">
      <c r="F939" s="330"/>
    </row>
    <row r="940" spans="6:6" ht="15.75" customHeight="1" x14ac:dyDescent="0.3">
      <c r="F940" s="330"/>
    </row>
    <row r="941" spans="6:6" ht="15.75" customHeight="1" x14ac:dyDescent="0.3">
      <c r="F941" s="330"/>
    </row>
    <row r="942" spans="6:6" ht="15.75" customHeight="1" x14ac:dyDescent="0.3">
      <c r="F942" s="330"/>
    </row>
    <row r="943" spans="6:6" ht="15.75" customHeight="1" x14ac:dyDescent="0.3">
      <c r="F943" s="330"/>
    </row>
    <row r="944" spans="6:6" ht="15.75" customHeight="1" x14ac:dyDescent="0.3">
      <c r="F944" s="330"/>
    </row>
    <row r="945" spans="6:6" ht="15.75" customHeight="1" x14ac:dyDescent="0.3">
      <c r="F945" s="330"/>
    </row>
    <row r="946" spans="6:6" ht="15.75" customHeight="1" x14ac:dyDescent="0.3">
      <c r="F946" s="330"/>
    </row>
    <row r="947" spans="6:6" ht="15.75" customHeight="1" x14ac:dyDescent="0.3">
      <c r="F947" s="330"/>
    </row>
    <row r="948" spans="6:6" ht="15.75" customHeight="1" x14ac:dyDescent="0.3">
      <c r="F948" s="330"/>
    </row>
    <row r="949" spans="6:6" ht="15.75" customHeight="1" x14ac:dyDescent="0.3">
      <c r="F949" s="330"/>
    </row>
    <row r="950" spans="6:6" ht="15.75" customHeight="1" x14ac:dyDescent="0.3">
      <c r="F950" s="330"/>
    </row>
    <row r="951" spans="6:6" ht="15.75" customHeight="1" x14ac:dyDescent="0.3">
      <c r="F951" s="330"/>
    </row>
    <row r="952" spans="6:6" ht="15.75" customHeight="1" x14ac:dyDescent="0.3">
      <c r="F952" s="330"/>
    </row>
    <row r="953" spans="6:6" ht="15.75" customHeight="1" x14ac:dyDescent="0.3">
      <c r="F953" s="330"/>
    </row>
    <row r="954" spans="6:6" ht="15.75" customHeight="1" x14ac:dyDescent="0.3">
      <c r="F954" s="330"/>
    </row>
    <row r="955" spans="6:6" ht="15.75" customHeight="1" x14ac:dyDescent="0.3">
      <c r="F955" s="330"/>
    </row>
    <row r="956" spans="6:6" ht="15.75" customHeight="1" x14ac:dyDescent="0.3">
      <c r="F956" s="330"/>
    </row>
    <row r="957" spans="6:6" ht="15.75" customHeight="1" x14ac:dyDescent="0.3">
      <c r="F957" s="330"/>
    </row>
    <row r="958" spans="6:6" ht="15.75" customHeight="1" x14ac:dyDescent="0.3">
      <c r="F958" s="330"/>
    </row>
    <row r="959" spans="6:6" ht="15.75" customHeight="1" x14ac:dyDescent="0.3">
      <c r="F959" s="330"/>
    </row>
    <row r="960" spans="6:6" ht="15.75" customHeight="1" x14ac:dyDescent="0.3">
      <c r="F960" s="330"/>
    </row>
    <row r="961" spans="6:6" ht="15.75" customHeight="1" x14ac:dyDescent="0.3">
      <c r="F961" s="330"/>
    </row>
    <row r="962" spans="6:6" ht="15.75" customHeight="1" x14ac:dyDescent="0.3">
      <c r="F962" s="330"/>
    </row>
    <row r="963" spans="6:6" ht="15.75" customHeight="1" x14ac:dyDescent="0.3">
      <c r="F963" s="330"/>
    </row>
    <row r="964" spans="6:6" ht="15.75" customHeight="1" x14ac:dyDescent="0.3">
      <c r="F964" s="330"/>
    </row>
    <row r="965" spans="6:6" ht="15.75" customHeight="1" x14ac:dyDescent="0.3">
      <c r="F965" s="330"/>
    </row>
    <row r="966" spans="6:6" ht="15.75" customHeight="1" x14ac:dyDescent="0.3">
      <c r="F966" s="330"/>
    </row>
    <row r="967" spans="6:6" ht="15.75" customHeight="1" x14ac:dyDescent="0.3">
      <c r="F967" s="330"/>
    </row>
    <row r="968" spans="6:6" ht="15.75" customHeight="1" x14ac:dyDescent="0.3">
      <c r="F968" s="330"/>
    </row>
    <row r="969" spans="6:6" ht="15.75" customHeight="1" x14ac:dyDescent="0.3">
      <c r="F969" s="330"/>
    </row>
    <row r="970" spans="6:6" ht="15.75" customHeight="1" x14ac:dyDescent="0.3">
      <c r="F970" s="330"/>
    </row>
    <row r="971" spans="6:6" ht="15.75" customHeight="1" x14ac:dyDescent="0.3">
      <c r="F971" s="330"/>
    </row>
    <row r="972" spans="6:6" ht="15.75" customHeight="1" x14ac:dyDescent="0.3">
      <c r="F972" s="330"/>
    </row>
    <row r="973" spans="6:6" ht="15.75" customHeight="1" x14ac:dyDescent="0.3">
      <c r="F973" s="330"/>
    </row>
    <row r="974" spans="6:6" ht="15.75" customHeight="1" x14ac:dyDescent="0.3">
      <c r="F974" s="330"/>
    </row>
    <row r="975" spans="6:6" ht="15.75" customHeight="1" x14ac:dyDescent="0.3">
      <c r="F975" s="330"/>
    </row>
    <row r="976" spans="6:6" ht="15.75" customHeight="1" x14ac:dyDescent="0.3">
      <c r="F976" s="330"/>
    </row>
    <row r="977" spans="6:6" ht="15.75" customHeight="1" x14ac:dyDescent="0.3">
      <c r="F977" s="330"/>
    </row>
    <row r="978" spans="6:6" ht="15.75" customHeight="1" x14ac:dyDescent="0.3">
      <c r="F978" s="330"/>
    </row>
    <row r="979" spans="6:6" ht="15.75" customHeight="1" x14ac:dyDescent="0.3">
      <c r="F979" s="330"/>
    </row>
    <row r="980" spans="6:6" ht="15.75" customHeight="1" x14ac:dyDescent="0.3">
      <c r="F980" s="330"/>
    </row>
    <row r="981" spans="6:6" ht="15.75" customHeight="1" x14ac:dyDescent="0.3">
      <c r="F981" s="330"/>
    </row>
    <row r="982" spans="6:6" ht="15.75" customHeight="1" x14ac:dyDescent="0.3">
      <c r="F982" s="330"/>
    </row>
    <row r="983" spans="6:6" ht="15.75" customHeight="1" x14ac:dyDescent="0.3">
      <c r="F983" s="330"/>
    </row>
    <row r="984" spans="6:6" ht="15.75" customHeight="1" x14ac:dyDescent="0.3">
      <c r="F984" s="330"/>
    </row>
    <row r="985" spans="6:6" ht="15.75" customHeight="1" x14ac:dyDescent="0.3">
      <c r="F985" s="330"/>
    </row>
    <row r="986" spans="6:6" ht="15.75" customHeight="1" x14ac:dyDescent="0.3">
      <c r="F986" s="330"/>
    </row>
    <row r="987" spans="6:6" ht="15.75" customHeight="1" x14ac:dyDescent="0.3">
      <c r="F987" s="330"/>
    </row>
    <row r="988" spans="6:6" ht="15.75" customHeight="1" x14ac:dyDescent="0.3">
      <c r="F988" s="330"/>
    </row>
    <row r="989" spans="6:6" ht="15.75" customHeight="1" x14ac:dyDescent="0.3">
      <c r="F989" s="330"/>
    </row>
    <row r="990" spans="6:6" ht="15.75" customHeight="1" x14ac:dyDescent="0.3">
      <c r="F990" s="330"/>
    </row>
    <row r="991" spans="6:6" ht="15.75" customHeight="1" x14ac:dyDescent="0.3">
      <c r="F991" s="330"/>
    </row>
    <row r="992" spans="6:6" ht="15.75" customHeight="1" x14ac:dyDescent="0.3">
      <c r="F992" s="330"/>
    </row>
    <row r="993" spans="6:6" ht="15.75" customHeight="1" x14ac:dyDescent="0.3">
      <c r="F993" s="330"/>
    </row>
    <row r="994" spans="6:6" ht="15.75" customHeight="1" x14ac:dyDescent="0.3">
      <c r="F994" s="330"/>
    </row>
    <row r="995" spans="6:6" ht="15.75" customHeight="1" x14ac:dyDescent="0.3">
      <c r="F995" s="330"/>
    </row>
    <row r="996" spans="6:6" ht="15.75" customHeight="1" x14ac:dyDescent="0.3">
      <c r="F996" s="330"/>
    </row>
    <row r="997" spans="6:6" ht="15.75" customHeight="1" x14ac:dyDescent="0.3">
      <c r="F997" s="330"/>
    </row>
    <row r="998" spans="6:6" ht="15.75" customHeight="1" x14ac:dyDescent="0.3">
      <c r="F998" s="330"/>
    </row>
    <row r="999" spans="6:6" ht="15.75" customHeight="1" x14ac:dyDescent="0.3">
      <c r="F999" s="330"/>
    </row>
    <row r="1000" spans="6:6" ht="15.75" customHeight="1" x14ac:dyDescent="0.3">
      <c r="F1000" s="330"/>
    </row>
    <row r="1001" spans="6:6" ht="15.75" customHeight="1" x14ac:dyDescent="0.3">
      <c r="F1001" s="330"/>
    </row>
    <row r="1002" spans="6:6" ht="15.75" customHeight="1" x14ac:dyDescent="0.3">
      <c r="F1002" s="330"/>
    </row>
    <row r="1003" spans="6:6" ht="15.75" customHeight="1" x14ac:dyDescent="0.3">
      <c r="F1003" s="330"/>
    </row>
    <row r="1004" spans="6:6" ht="15.75" customHeight="1" x14ac:dyDescent="0.3">
      <c r="F1004" s="330"/>
    </row>
    <row r="1005" spans="6:6" ht="15.75" customHeight="1" x14ac:dyDescent="0.3">
      <c r="F1005" s="330"/>
    </row>
    <row r="1006" spans="6:6" ht="15.75" customHeight="1" x14ac:dyDescent="0.3">
      <c r="F1006" s="330"/>
    </row>
    <row r="1007" spans="6:6" ht="15.75" customHeight="1" x14ac:dyDescent="0.3">
      <c r="F1007" s="330"/>
    </row>
    <row r="1008" spans="6:6" ht="15.75" customHeight="1" x14ac:dyDescent="0.3">
      <c r="F1008" s="330"/>
    </row>
    <row r="1009" spans="6:6" ht="15.75" customHeight="1" x14ac:dyDescent="0.3">
      <c r="F1009" s="330"/>
    </row>
    <row r="1010" spans="6:6" ht="15.75" customHeight="1" x14ac:dyDescent="0.3">
      <c r="F1010" s="330"/>
    </row>
    <row r="1011" spans="6:6" ht="15.75" customHeight="1" x14ac:dyDescent="0.3">
      <c r="F1011" s="330"/>
    </row>
    <row r="1012" spans="6:6" ht="15.75" customHeight="1" x14ac:dyDescent="0.3">
      <c r="F1012" s="330"/>
    </row>
    <row r="1013" spans="6:6" ht="15.75" customHeight="1" x14ac:dyDescent="0.3">
      <c r="F1013" s="330"/>
    </row>
    <row r="1014" spans="6:6" ht="15.75" customHeight="1" x14ac:dyDescent="0.3">
      <c r="F1014" s="330"/>
    </row>
    <row r="1015" spans="6:6" ht="15.75" customHeight="1" x14ac:dyDescent="0.3">
      <c r="F1015" s="330"/>
    </row>
    <row r="1016" spans="6:6" ht="15.75" customHeight="1" x14ac:dyDescent="0.3">
      <c r="F1016" s="330"/>
    </row>
    <row r="1017" spans="6:6" ht="15.75" customHeight="1" x14ac:dyDescent="0.3">
      <c r="F1017" s="330"/>
    </row>
    <row r="1018" spans="6:6" ht="15.75" customHeight="1" x14ac:dyDescent="0.3">
      <c r="F1018" s="330"/>
    </row>
    <row r="1019" spans="6:6" ht="15.75" customHeight="1" x14ac:dyDescent="0.3">
      <c r="F1019" s="330"/>
    </row>
    <row r="1020" spans="6:6" ht="15.75" customHeight="1" x14ac:dyDescent="0.3">
      <c r="F1020" s="330"/>
    </row>
    <row r="1021" spans="6:6" ht="15.75" customHeight="1" x14ac:dyDescent="0.3">
      <c r="F1021" s="330"/>
    </row>
    <row r="1022" spans="6:6" ht="15.75" customHeight="1" x14ac:dyDescent="0.3">
      <c r="F1022" s="330"/>
    </row>
    <row r="1023" spans="6:6" ht="15.75" customHeight="1" x14ac:dyDescent="0.3">
      <c r="F1023" s="330"/>
    </row>
    <row r="1024" spans="6:6" ht="15.75" customHeight="1" x14ac:dyDescent="0.3">
      <c r="F1024" s="330"/>
    </row>
    <row r="1025" spans="6:6" ht="15.75" customHeight="1" x14ac:dyDescent="0.3">
      <c r="F1025" s="330"/>
    </row>
    <row r="1026" spans="6:6" ht="15.75" customHeight="1" x14ac:dyDescent="0.3">
      <c r="F1026" s="330"/>
    </row>
    <row r="1027" spans="6:6" ht="15.75" customHeight="1" x14ac:dyDescent="0.3">
      <c r="F1027" s="330"/>
    </row>
    <row r="1028" spans="6:6" ht="15.75" customHeight="1" x14ac:dyDescent="0.3">
      <c r="F1028" s="330"/>
    </row>
    <row r="1029" spans="6:6" ht="15.75" customHeight="1" x14ac:dyDescent="0.3">
      <c r="F1029" s="330"/>
    </row>
    <row r="1030" spans="6:6" ht="15.75" customHeight="1" x14ac:dyDescent="0.3">
      <c r="F1030" s="330"/>
    </row>
    <row r="1031" spans="6:6" ht="15.75" customHeight="1" x14ac:dyDescent="0.3">
      <c r="F1031" s="330"/>
    </row>
    <row r="1032" spans="6:6" ht="15.75" customHeight="1" x14ac:dyDescent="0.3">
      <c r="F1032" s="330"/>
    </row>
    <row r="1033" spans="6:6" ht="15.75" customHeight="1" x14ac:dyDescent="0.3">
      <c r="F1033" s="330"/>
    </row>
    <row r="1034" spans="6:6" ht="15.75" customHeight="1" x14ac:dyDescent="0.3">
      <c r="F1034" s="330"/>
    </row>
    <row r="1035" spans="6:6" ht="15.75" customHeight="1" x14ac:dyDescent="0.3">
      <c r="F1035" s="330"/>
    </row>
    <row r="1036" spans="6:6" ht="15.75" customHeight="1" x14ac:dyDescent="0.3">
      <c r="F1036" s="330"/>
    </row>
    <row r="1037" spans="6:6" ht="15.75" customHeight="1" x14ac:dyDescent="0.3">
      <c r="F1037" s="330"/>
    </row>
    <row r="1038" spans="6:6" ht="15.75" customHeight="1" x14ac:dyDescent="0.3">
      <c r="F1038" s="330"/>
    </row>
    <row r="1039" spans="6:6" ht="15.75" customHeight="1" x14ac:dyDescent="0.3">
      <c r="F1039" s="330"/>
    </row>
    <row r="1040" spans="6:6" ht="15.75" customHeight="1" x14ac:dyDescent="0.3">
      <c r="F1040" s="330"/>
    </row>
    <row r="1041" spans="6:6" ht="15.75" customHeight="1" x14ac:dyDescent="0.3">
      <c r="F1041" s="330"/>
    </row>
    <row r="1042" spans="6:6" ht="15.75" customHeight="1" x14ac:dyDescent="0.3">
      <c r="F1042" s="330"/>
    </row>
    <row r="1043" spans="6:6" ht="15.75" customHeight="1" x14ac:dyDescent="0.3">
      <c r="F1043" s="330"/>
    </row>
    <row r="1044" spans="6:6" ht="15.75" customHeight="1" x14ac:dyDescent="0.3">
      <c r="F1044" s="330"/>
    </row>
    <row r="1045" spans="6:6" ht="15.75" customHeight="1" x14ac:dyDescent="0.3">
      <c r="F1045" s="330"/>
    </row>
    <row r="1046" spans="6:6" ht="15.75" customHeight="1" x14ac:dyDescent="0.3">
      <c r="F1046" s="330"/>
    </row>
    <row r="1047" spans="6:6" ht="15.75" customHeight="1" x14ac:dyDescent="0.3">
      <c r="F1047" s="330"/>
    </row>
    <row r="1048" spans="6:6" ht="15.75" customHeight="1" x14ac:dyDescent="0.3">
      <c r="F1048" s="330"/>
    </row>
    <row r="1049" spans="6:6" ht="15.75" customHeight="1" x14ac:dyDescent="0.3">
      <c r="F1049" s="330"/>
    </row>
    <row r="1050" spans="6:6" ht="15.75" customHeight="1" x14ac:dyDescent="0.3">
      <c r="F1050" s="330"/>
    </row>
    <row r="1051" spans="6:6" ht="15.75" customHeight="1" x14ac:dyDescent="0.3">
      <c r="F1051" s="330"/>
    </row>
    <row r="1052" spans="6:6" ht="15.75" customHeight="1" x14ac:dyDescent="0.3">
      <c r="F1052" s="330"/>
    </row>
    <row r="1053" spans="6:6" ht="15.75" customHeight="1" x14ac:dyDescent="0.3">
      <c r="F1053" s="330"/>
    </row>
    <row r="1054" spans="6:6" ht="15.75" customHeight="1" x14ac:dyDescent="0.3">
      <c r="F1054" s="330"/>
    </row>
    <row r="1055" spans="6:6" ht="15.75" customHeight="1" x14ac:dyDescent="0.3">
      <c r="F1055" s="330"/>
    </row>
    <row r="1056" spans="6:6" ht="15.75" customHeight="1" x14ac:dyDescent="0.3">
      <c r="F1056" s="330"/>
    </row>
    <row r="1057" spans="6:6" ht="15.75" customHeight="1" x14ac:dyDescent="0.3">
      <c r="F1057" s="330"/>
    </row>
    <row r="1058" spans="6:6" ht="15.75" customHeight="1" x14ac:dyDescent="0.3">
      <c r="F1058" s="330"/>
    </row>
    <row r="1059" spans="6:6" ht="15.75" customHeight="1" x14ac:dyDescent="0.3">
      <c r="F1059" s="330"/>
    </row>
    <row r="1060" spans="6:6" ht="15.75" customHeight="1" x14ac:dyDescent="0.3">
      <c r="F1060" s="330"/>
    </row>
    <row r="1061" spans="6:6" ht="15.75" customHeight="1" x14ac:dyDescent="0.3">
      <c r="F1061" s="330"/>
    </row>
    <row r="1062" spans="6:6" ht="15.75" customHeight="1" x14ac:dyDescent="0.3">
      <c r="F1062" s="330"/>
    </row>
    <row r="1063" spans="6:6" ht="15.75" customHeight="1" x14ac:dyDescent="0.3">
      <c r="F1063" s="330"/>
    </row>
    <row r="1064" spans="6:6" ht="15.75" customHeight="1" x14ac:dyDescent="0.3">
      <c r="F1064" s="330"/>
    </row>
    <row r="1065" spans="6:6" ht="15.75" customHeight="1" x14ac:dyDescent="0.3">
      <c r="F1065" s="330"/>
    </row>
    <row r="1066" spans="6:6" ht="15.75" customHeight="1" x14ac:dyDescent="0.3">
      <c r="F1066" s="330"/>
    </row>
    <row r="1067" spans="6:6" ht="15.75" customHeight="1" x14ac:dyDescent="0.3">
      <c r="F1067" s="330"/>
    </row>
    <row r="1068" spans="6:6" ht="15.75" customHeight="1" x14ac:dyDescent="0.3">
      <c r="F1068" s="330"/>
    </row>
    <row r="1069" spans="6:6" ht="15.75" customHeight="1" x14ac:dyDescent="0.3">
      <c r="F1069" s="330"/>
    </row>
    <row r="1070" spans="6:6" ht="15.75" customHeight="1" x14ac:dyDescent="0.3">
      <c r="F1070" s="330"/>
    </row>
    <row r="1071" spans="6:6" ht="15.75" customHeight="1" x14ac:dyDescent="0.3">
      <c r="F1071" s="330"/>
    </row>
    <row r="1072" spans="6:6" ht="15.75" customHeight="1" x14ac:dyDescent="0.3">
      <c r="F1072" s="330"/>
    </row>
    <row r="1073" spans="6:6" ht="15.75" customHeight="1" x14ac:dyDescent="0.3">
      <c r="F1073" s="330"/>
    </row>
    <row r="1074" spans="6:6" ht="15.75" customHeight="1" x14ac:dyDescent="0.3">
      <c r="F1074" s="330"/>
    </row>
    <row r="1075" spans="6:6" ht="15.75" customHeight="1" x14ac:dyDescent="0.3">
      <c r="F1075" s="330"/>
    </row>
    <row r="1076" spans="6:6" ht="15.75" customHeight="1" x14ac:dyDescent="0.3">
      <c r="F1076" s="330"/>
    </row>
    <row r="1077" spans="6:6" ht="15.75" customHeight="1" x14ac:dyDescent="0.3">
      <c r="F1077" s="330"/>
    </row>
    <row r="1078" spans="6:6" ht="15.75" customHeight="1" x14ac:dyDescent="0.3">
      <c r="F1078" s="330"/>
    </row>
    <row r="1079" spans="6:6" ht="15.75" customHeight="1" x14ac:dyDescent="0.3">
      <c r="F1079" s="330"/>
    </row>
    <row r="1080" spans="6:6" ht="15.75" customHeight="1" x14ac:dyDescent="0.3">
      <c r="F1080" s="330"/>
    </row>
    <row r="1081" spans="6:6" ht="15.75" customHeight="1" x14ac:dyDescent="0.3">
      <c r="F1081" s="330"/>
    </row>
    <row r="1082" spans="6:6" ht="15.75" customHeight="1" x14ac:dyDescent="0.3">
      <c r="F1082" s="330"/>
    </row>
    <row r="1083" spans="6:6" ht="15.75" customHeight="1" x14ac:dyDescent="0.3">
      <c r="F1083" s="330"/>
    </row>
    <row r="1084" spans="6:6" ht="15.75" customHeight="1" x14ac:dyDescent="0.3">
      <c r="F1084" s="330"/>
    </row>
    <row r="1085" spans="6:6" ht="15.75" customHeight="1" x14ac:dyDescent="0.3">
      <c r="F1085" s="330"/>
    </row>
    <row r="1086" spans="6:6" ht="15.75" customHeight="1" x14ac:dyDescent="0.3">
      <c r="F1086" s="330"/>
    </row>
    <row r="1087" spans="6:6" ht="15.75" customHeight="1" x14ac:dyDescent="0.3">
      <c r="F1087" s="330"/>
    </row>
    <row r="1088" spans="6:6" ht="15.75" customHeight="1" x14ac:dyDescent="0.3">
      <c r="F1088" s="330"/>
    </row>
    <row r="1089" spans="6:6" ht="15.75" customHeight="1" x14ac:dyDescent="0.3">
      <c r="F1089" s="330"/>
    </row>
    <row r="1090" spans="6:6" ht="15.75" customHeight="1" x14ac:dyDescent="0.3">
      <c r="F1090" s="330"/>
    </row>
    <row r="1091" spans="6:6" ht="15.75" customHeight="1" x14ac:dyDescent="0.3">
      <c r="F1091" s="330"/>
    </row>
    <row r="1092" spans="6:6" ht="15.75" customHeight="1" x14ac:dyDescent="0.3">
      <c r="F1092" s="330"/>
    </row>
    <row r="1093" spans="6:6" ht="15.75" customHeight="1" x14ac:dyDescent="0.3">
      <c r="F1093" s="330"/>
    </row>
    <row r="1094" spans="6:6" ht="15.75" customHeight="1" x14ac:dyDescent="0.3">
      <c r="F1094" s="330"/>
    </row>
    <row r="1095" spans="6:6" ht="15.75" customHeight="1" x14ac:dyDescent="0.3">
      <c r="F1095" s="330"/>
    </row>
    <row r="1096" spans="6:6" ht="15.75" customHeight="1" x14ac:dyDescent="0.3">
      <c r="F1096" s="330"/>
    </row>
    <row r="1097" spans="6:6" ht="15.75" customHeight="1" x14ac:dyDescent="0.3">
      <c r="F1097" s="330"/>
    </row>
    <row r="1098" spans="6:6" ht="15.75" customHeight="1" x14ac:dyDescent="0.3">
      <c r="F1098" s="330"/>
    </row>
    <row r="1099" spans="6:6" ht="15.75" customHeight="1" x14ac:dyDescent="0.3">
      <c r="F1099" s="330"/>
    </row>
    <row r="1100" spans="6:6" ht="15.75" customHeight="1" x14ac:dyDescent="0.3">
      <c r="F1100" s="330"/>
    </row>
    <row r="1101" spans="6:6" ht="15.75" customHeight="1" x14ac:dyDescent="0.3">
      <c r="F1101" s="330"/>
    </row>
    <row r="1102" spans="6:6" ht="15.75" customHeight="1" x14ac:dyDescent="0.3">
      <c r="F1102" s="330"/>
    </row>
    <row r="1103" spans="6:6" ht="15.75" customHeight="1" x14ac:dyDescent="0.3">
      <c r="F1103" s="330"/>
    </row>
    <row r="1104" spans="6:6" ht="15.75" customHeight="1" x14ac:dyDescent="0.3">
      <c r="F1104" s="330"/>
    </row>
    <row r="1105" spans="6:6" ht="15.75" customHeight="1" x14ac:dyDescent="0.3">
      <c r="F1105" s="330"/>
    </row>
    <row r="1106" spans="6:6" ht="15.75" customHeight="1" x14ac:dyDescent="0.3">
      <c r="F1106" s="330"/>
    </row>
    <row r="1107" spans="6:6" ht="15.75" customHeight="1" x14ac:dyDescent="0.3">
      <c r="F1107" s="330"/>
    </row>
    <row r="1108" spans="6:6" ht="15.75" customHeight="1" x14ac:dyDescent="0.3">
      <c r="F1108" s="330"/>
    </row>
    <row r="1109" spans="6:6" ht="15.75" customHeight="1" x14ac:dyDescent="0.3">
      <c r="F1109" s="330"/>
    </row>
    <row r="1110" spans="6:6" ht="15.75" customHeight="1" x14ac:dyDescent="0.3">
      <c r="F1110" s="330"/>
    </row>
    <row r="1111" spans="6:6" ht="15.75" customHeight="1" x14ac:dyDescent="0.3">
      <c r="F1111" s="330"/>
    </row>
    <row r="1112" spans="6:6" ht="15.75" customHeight="1" x14ac:dyDescent="0.3">
      <c r="F1112" s="330"/>
    </row>
    <row r="1113" spans="6:6" ht="15.75" customHeight="1" x14ac:dyDescent="0.3">
      <c r="F1113" s="330"/>
    </row>
    <row r="1114" spans="6:6" ht="15.75" customHeight="1" x14ac:dyDescent="0.3">
      <c r="F1114" s="330"/>
    </row>
    <row r="1115" spans="6:6" ht="15.75" customHeight="1" x14ac:dyDescent="0.3">
      <c r="F1115" s="330"/>
    </row>
    <row r="1116" spans="6:6" ht="15.75" customHeight="1" x14ac:dyDescent="0.3">
      <c r="F1116" s="330"/>
    </row>
    <row r="1117" spans="6:6" ht="15.75" customHeight="1" x14ac:dyDescent="0.3">
      <c r="F1117" s="330"/>
    </row>
    <row r="1118" spans="6:6" ht="15.75" customHeight="1" x14ac:dyDescent="0.3">
      <c r="F1118" s="330"/>
    </row>
    <row r="1119" spans="6:6" ht="15.75" customHeight="1" x14ac:dyDescent="0.3">
      <c r="F1119" s="330"/>
    </row>
    <row r="1120" spans="6:6" ht="15.75" customHeight="1" x14ac:dyDescent="0.3">
      <c r="F1120" s="330"/>
    </row>
    <row r="1121" spans="6:6" ht="15.75" customHeight="1" x14ac:dyDescent="0.3">
      <c r="F1121" s="330"/>
    </row>
    <row r="1122" spans="6:6" ht="15.75" customHeight="1" x14ac:dyDescent="0.3">
      <c r="F1122" s="330"/>
    </row>
    <row r="1123" spans="6:6" ht="15.75" customHeight="1" x14ac:dyDescent="0.3">
      <c r="F1123" s="330"/>
    </row>
    <row r="1124" spans="6:6" ht="15.75" customHeight="1" x14ac:dyDescent="0.3">
      <c r="F1124" s="330"/>
    </row>
    <row r="1125" spans="6:6" ht="15.75" customHeight="1" x14ac:dyDescent="0.3">
      <c r="F1125" s="330"/>
    </row>
    <row r="1126" spans="6:6" ht="15.75" customHeight="1" x14ac:dyDescent="0.3">
      <c r="F1126" s="330"/>
    </row>
    <row r="1127" spans="6:6" ht="15.75" customHeight="1" x14ac:dyDescent="0.3">
      <c r="F1127" s="330"/>
    </row>
    <row r="1128" spans="6:6" ht="15.75" customHeight="1" x14ac:dyDescent="0.3">
      <c r="F1128" s="330"/>
    </row>
    <row r="1129" spans="6:6" ht="15.75" customHeight="1" x14ac:dyDescent="0.3">
      <c r="F1129" s="330"/>
    </row>
    <row r="1130" spans="6:6" ht="15.75" customHeight="1" x14ac:dyDescent="0.3">
      <c r="F1130" s="330"/>
    </row>
    <row r="1131" spans="6:6" ht="15.75" customHeight="1" x14ac:dyDescent="0.3">
      <c r="F1131" s="330"/>
    </row>
    <row r="1132" spans="6:6" ht="15.75" customHeight="1" x14ac:dyDescent="0.3">
      <c r="F1132" s="330"/>
    </row>
    <row r="1133" spans="6:6" ht="15.75" customHeight="1" x14ac:dyDescent="0.3">
      <c r="F1133" s="330"/>
    </row>
    <row r="1134" spans="6:6" ht="15.75" customHeight="1" x14ac:dyDescent="0.3">
      <c r="F1134" s="330"/>
    </row>
    <row r="1135" spans="6:6" ht="15.75" customHeight="1" x14ac:dyDescent="0.3">
      <c r="F1135" s="330"/>
    </row>
    <row r="1136" spans="6:6" ht="15.75" customHeight="1" x14ac:dyDescent="0.3">
      <c r="F1136" s="330"/>
    </row>
    <row r="1137" spans="6:6" ht="15.75" customHeight="1" x14ac:dyDescent="0.3">
      <c r="F1137" s="330"/>
    </row>
    <row r="1138" spans="6:6" ht="15.75" customHeight="1" x14ac:dyDescent="0.3">
      <c r="F1138" s="330"/>
    </row>
    <row r="1139" spans="6:6" ht="15.75" customHeight="1" x14ac:dyDescent="0.3">
      <c r="F1139" s="330"/>
    </row>
    <row r="1140" spans="6:6" ht="15.6" x14ac:dyDescent="0.3">
      <c r="F1140" s="330"/>
    </row>
    <row r="1141" spans="6:6" ht="15.6" x14ac:dyDescent="0.3">
      <c r="F1141" s="330"/>
    </row>
    <row r="1142" spans="6:6" ht="15.6" x14ac:dyDescent="0.3">
      <c r="F1142" s="330"/>
    </row>
    <row r="1143" spans="6:6" ht="15.6" x14ac:dyDescent="0.3">
      <c r="F1143" s="330"/>
    </row>
    <row r="1144" spans="6:6" ht="15.6" x14ac:dyDescent="0.3">
      <c r="F1144" s="330"/>
    </row>
  </sheetData>
  <sheetProtection algorithmName="SHA-512" hashValue="7C8NEP07isr1TS4kpUEfqFeyl5WMZsOL7xuaaTf2dMZ3aCi+hBMPnaCDBLuYSaZmoblyj9Ybqhzdry+So1yrMw==" saltValue="QtXdMzVHlfjjan4NVbEfKg==" spinCount="100000" sheet="1" objects="1" scenarios="1"/>
  <mergeCells count="288">
    <mergeCell ref="F190:H190"/>
    <mergeCell ref="B238:C238"/>
    <mergeCell ref="A121:B133"/>
    <mergeCell ref="F144:H144"/>
    <mergeCell ref="B134:C134"/>
    <mergeCell ref="B136:C136"/>
    <mergeCell ref="A137:B137"/>
    <mergeCell ref="B183:C183"/>
    <mergeCell ref="A166:B166"/>
    <mergeCell ref="B170:C170"/>
    <mergeCell ref="B212:C212"/>
    <mergeCell ref="B217:C217"/>
    <mergeCell ref="A203:B211"/>
    <mergeCell ref="B165:C165"/>
    <mergeCell ref="A167:B167"/>
    <mergeCell ref="B168:C168"/>
    <mergeCell ref="B138:C138"/>
    <mergeCell ref="A140:B141"/>
    <mergeCell ref="B142:C142"/>
    <mergeCell ref="A143:B143"/>
    <mergeCell ref="A144:C144"/>
    <mergeCell ref="B145:C145"/>
    <mergeCell ref="A5:C5"/>
    <mergeCell ref="B55:C55"/>
    <mergeCell ref="A21:B26"/>
    <mergeCell ref="B6:C6"/>
    <mergeCell ref="A7:B12"/>
    <mergeCell ref="B13:C13"/>
    <mergeCell ref="A14:B19"/>
    <mergeCell ref="B20:C20"/>
    <mergeCell ref="B27:C27"/>
    <mergeCell ref="A28:B33"/>
    <mergeCell ref="B43:C43"/>
    <mergeCell ref="A44:A53"/>
    <mergeCell ref="B41:C41"/>
    <mergeCell ref="A54:C54"/>
    <mergeCell ref="D1:O1"/>
    <mergeCell ref="A2:O2"/>
    <mergeCell ref="D3:D4"/>
    <mergeCell ref="E3:E4"/>
    <mergeCell ref="L3:L4"/>
    <mergeCell ref="H3:H4"/>
    <mergeCell ref="I3:I4"/>
    <mergeCell ref="J3:J4"/>
    <mergeCell ref="K3:K4"/>
    <mergeCell ref="A3:B4"/>
    <mergeCell ref="C3:C4"/>
    <mergeCell ref="F3:F4"/>
    <mergeCell ref="G3:G4"/>
    <mergeCell ref="M3:N4"/>
    <mergeCell ref="A1:C1"/>
    <mergeCell ref="B241:C241"/>
    <mergeCell ref="B150:C150"/>
    <mergeCell ref="A152:B155"/>
    <mergeCell ref="B156:C156"/>
    <mergeCell ref="A157:B162"/>
    <mergeCell ref="B163:C163"/>
    <mergeCell ref="B233:C233"/>
    <mergeCell ref="A190:C190"/>
    <mergeCell ref="B191:C191"/>
    <mergeCell ref="A193:B200"/>
    <mergeCell ref="B201:C201"/>
    <mergeCell ref="A239:B239"/>
    <mergeCell ref="A234:B237"/>
    <mergeCell ref="A219:B232"/>
    <mergeCell ref="B175:C175"/>
    <mergeCell ref="B177:C177"/>
    <mergeCell ref="A240:C240"/>
    <mergeCell ref="B76:C76"/>
    <mergeCell ref="A56:B58"/>
    <mergeCell ref="B68:C68"/>
    <mergeCell ref="A69:B74"/>
    <mergeCell ref="A96:C96"/>
    <mergeCell ref="A42:B42"/>
    <mergeCell ref="A75:C75"/>
    <mergeCell ref="A77:B82"/>
    <mergeCell ref="B63:C63"/>
    <mergeCell ref="A64:B67"/>
    <mergeCell ref="B83:C83"/>
    <mergeCell ref="B59:C59"/>
    <mergeCell ref="A60:B62"/>
    <mergeCell ref="A118:C118"/>
    <mergeCell ref="B119:C119"/>
    <mergeCell ref="M7:N7"/>
    <mergeCell ref="M8:N8"/>
    <mergeCell ref="M9:N9"/>
    <mergeCell ref="M10:N10"/>
    <mergeCell ref="M11:N11"/>
    <mergeCell ref="A112:B117"/>
    <mergeCell ref="B34:C34"/>
    <mergeCell ref="A35:B40"/>
    <mergeCell ref="B97:C97"/>
    <mergeCell ref="A84:B87"/>
    <mergeCell ref="B92:C92"/>
    <mergeCell ref="A98:B103"/>
    <mergeCell ref="B104:C104"/>
    <mergeCell ref="A105:B110"/>
    <mergeCell ref="B111:C111"/>
    <mergeCell ref="M18:N18"/>
    <mergeCell ref="M19:N19"/>
    <mergeCell ref="M21:N21"/>
    <mergeCell ref="M22:N22"/>
    <mergeCell ref="M23:N23"/>
    <mergeCell ref="M12:N12"/>
    <mergeCell ref="M14:N14"/>
    <mergeCell ref="M15:N15"/>
    <mergeCell ref="M16:N16"/>
    <mergeCell ref="M17:N17"/>
    <mergeCell ref="M30:N30"/>
    <mergeCell ref="M31:N31"/>
    <mergeCell ref="M32:N32"/>
    <mergeCell ref="M33:N33"/>
    <mergeCell ref="M35:N35"/>
    <mergeCell ref="M24:N24"/>
    <mergeCell ref="M25:N25"/>
    <mergeCell ref="M26:N26"/>
    <mergeCell ref="M28:N28"/>
    <mergeCell ref="M29:N29"/>
    <mergeCell ref="M42:N42"/>
    <mergeCell ref="M44:N44"/>
    <mergeCell ref="M45:N45"/>
    <mergeCell ref="M46:N46"/>
    <mergeCell ref="M47:N47"/>
    <mergeCell ref="M36:N36"/>
    <mergeCell ref="M37:N37"/>
    <mergeCell ref="M38:N38"/>
    <mergeCell ref="M39:N39"/>
    <mergeCell ref="M40:N40"/>
    <mergeCell ref="M53:N53"/>
    <mergeCell ref="M56:N56"/>
    <mergeCell ref="M57:N57"/>
    <mergeCell ref="M58:N58"/>
    <mergeCell ref="M64:N64"/>
    <mergeCell ref="M48:N48"/>
    <mergeCell ref="M49:N49"/>
    <mergeCell ref="M50:N50"/>
    <mergeCell ref="M51:N51"/>
    <mergeCell ref="M52:N52"/>
    <mergeCell ref="M60:N60"/>
    <mergeCell ref="M61:N61"/>
    <mergeCell ref="M62:N62"/>
    <mergeCell ref="M71:N71"/>
    <mergeCell ref="M72:N72"/>
    <mergeCell ref="M73:N73"/>
    <mergeCell ref="M74:N74"/>
    <mergeCell ref="M77:N77"/>
    <mergeCell ref="M65:N65"/>
    <mergeCell ref="M66:N66"/>
    <mergeCell ref="M67:N67"/>
    <mergeCell ref="M69:N69"/>
    <mergeCell ref="M70:N70"/>
    <mergeCell ref="M84:N84"/>
    <mergeCell ref="M85:N85"/>
    <mergeCell ref="M86:N86"/>
    <mergeCell ref="M87:N87"/>
    <mergeCell ref="M88:N88"/>
    <mergeCell ref="M78:N78"/>
    <mergeCell ref="M79:N79"/>
    <mergeCell ref="M80:N80"/>
    <mergeCell ref="M81:N81"/>
    <mergeCell ref="M82:N82"/>
    <mergeCell ref="M95:N95"/>
    <mergeCell ref="M98:N98"/>
    <mergeCell ref="M99:N99"/>
    <mergeCell ref="M100:N100"/>
    <mergeCell ref="M101:N101"/>
    <mergeCell ref="M89:N89"/>
    <mergeCell ref="M90:N90"/>
    <mergeCell ref="M91:N91"/>
    <mergeCell ref="M93:N93"/>
    <mergeCell ref="M94:N94"/>
    <mergeCell ref="M108:N108"/>
    <mergeCell ref="M109:N109"/>
    <mergeCell ref="M110:N110"/>
    <mergeCell ref="M112:N112"/>
    <mergeCell ref="M113:N113"/>
    <mergeCell ref="M102:N102"/>
    <mergeCell ref="M103:N103"/>
    <mergeCell ref="M105:N105"/>
    <mergeCell ref="M106:N106"/>
    <mergeCell ref="M107:N107"/>
    <mergeCell ref="M121:N121"/>
    <mergeCell ref="M122:N122"/>
    <mergeCell ref="M123:N123"/>
    <mergeCell ref="M124:N124"/>
    <mergeCell ref="M125:N125"/>
    <mergeCell ref="M114:N114"/>
    <mergeCell ref="M115:N115"/>
    <mergeCell ref="M116:N116"/>
    <mergeCell ref="M117:N117"/>
    <mergeCell ref="M120:N120"/>
    <mergeCell ref="M137:N137"/>
    <mergeCell ref="M139:N139"/>
    <mergeCell ref="M140:N140"/>
    <mergeCell ref="M141:N141"/>
    <mergeCell ref="M131:N131"/>
    <mergeCell ref="M132:N132"/>
    <mergeCell ref="M133:N133"/>
    <mergeCell ref="M135:N135"/>
    <mergeCell ref="M126:N126"/>
    <mergeCell ref="M127:N127"/>
    <mergeCell ref="M128:N128"/>
    <mergeCell ref="M129:N129"/>
    <mergeCell ref="M130:N130"/>
    <mergeCell ref="M153:N153"/>
    <mergeCell ref="M154:N154"/>
    <mergeCell ref="M155:N155"/>
    <mergeCell ref="M157:N157"/>
    <mergeCell ref="M158:N158"/>
    <mergeCell ref="M143:N143"/>
    <mergeCell ref="M146:N146"/>
    <mergeCell ref="M151:N151"/>
    <mergeCell ref="M152:N152"/>
    <mergeCell ref="M147:N147"/>
    <mergeCell ref="M148:N148"/>
    <mergeCell ref="M149:N149"/>
    <mergeCell ref="M166:N166"/>
    <mergeCell ref="M167:N167"/>
    <mergeCell ref="M169:N169"/>
    <mergeCell ref="M171:N171"/>
    <mergeCell ref="M172:N172"/>
    <mergeCell ref="M159:N159"/>
    <mergeCell ref="M160:N160"/>
    <mergeCell ref="M161:N161"/>
    <mergeCell ref="M162:N162"/>
    <mergeCell ref="M164:N164"/>
    <mergeCell ref="M179:N179"/>
    <mergeCell ref="M180:N180"/>
    <mergeCell ref="M181:N181"/>
    <mergeCell ref="M182:N182"/>
    <mergeCell ref="M184:N184"/>
    <mergeCell ref="M173:N173"/>
    <mergeCell ref="M174:N174"/>
    <mergeCell ref="M176:N176"/>
    <mergeCell ref="M178:N178"/>
    <mergeCell ref="M195:N195"/>
    <mergeCell ref="M196:N196"/>
    <mergeCell ref="M197:N197"/>
    <mergeCell ref="M198:N198"/>
    <mergeCell ref="M199:N199"/>
    <mergeCell ref="M192:N192"/>
    <mergeCell ref="M193:N193"/>
    <mergeCell ref="M194:N194"/>
    <mergeCell ref="M185:N185"/>
    <mergeCell ref="M186:N186"/>
    <mergeCell ref="M187:N187"/>
    <mergeCell ref="M188:N188"/>
    <mergeCell ref="M189:N189"/>
    <mergeCell ref="M206:N206"/>
    <mergeCell ref="M207:N207"/>
    <mergeCell ref="M208:N208"/>
    <mergeCell ref="M209:N209"/>
    <mergeCell ref="M210:N210"/>
    <mergeCell ref="M200:N200"/>
    <mergeCell ref="M202:N202"/>
    <mergeCell ref="M203:N203"/>
    <mergeCell ref="M204:N204"/>
    <mergeCell ref="M205:N205"/>
    <mergeCell ref="M218:N218"/>
    <mergeCell ref="M219:N219"/>
    <mergeCell ref="M220:N220"/>
    <mergeCell ref="M221:N221"/>
    <mergeCell ref="M211:N211"/>
    <mergeCell ref="M213:N213"/>
    <mergeCell ref="M214:N214"/>
    <mergeCell ref="M215:N215"/>
    <mergeCell ref="M216:N216"/>
    <mergeCell ref="M227:N227"/>
    <mergeCell ref="M228:N228"/>
    <mergeCell ref="M229:N229"/>
    <mergeCell ref="M230:N230"/>
    <mergeCell ref="M231:N231"/>
    <mergeCell ref="M222:N222"/>
    <mergeCell ref="M223:N223"/>
    <mergeCell ref="M224:N224"/>
    <mergeCell ref="M225:N225"/>
    <mergeCell ref="M226:N226"/>
    <mergeCell ref="M245:N245"/>
    <mergeCell ref="M246:N246"/>
    <mergeCell ref="M239:N239"/>
    <mergeCell ref="M242:N242"/>
    <mergeCell ref="M243:N243"/>
    <mergeCell ref="M244:N244"/>
    <mergeCell ref="M232:N232"/>
    <mergeCell ref="M234:N234"/>
    <mergeCell ref="M235:N235"/>
    <mergeCell ref="M236:N236"/>
    <mergeCell ref="M237:N237"/>
  </mergeCells>
  <conditionalFormatting sqref="K6:K143 K191:K257 K145 K150:K189">
    <cfRule type="expression" dxfId="174" priority="32">
      <formula>H6=1</formula>
    </cfRule>
  </conditionalFormatting>
  <conditionalFormatting sqref="I191:I257 I7:I143 I145:I146 I150:I189">
    <cfRule type="cellIs" dxfId="173" priority="24" operator="lessThan">
      <formula>0</formula>
    </cfRule>
  </conditionalFormatting>
  <conditionalFormatting sqref="L6:L145 L150:L257">
    <cfRule type="cellIs" dxfId="172" priority="22" operator="greaterThan">
      <formula>0</formula>
    </cfRule>
    <cfRule type="cellIs" dxfId="171" priority="23" operator="equal">
      <formula>0</formula>
    </cfRule>
  </conditionalFormatting>
  <conditionalFormatting sqref="O6:O146 O150:O257">
    <cfRule type="containsText" dxfId="170" priority="25" operator="containsText" text="Expired">
      <formula>NOT(ISERROR(SEARCH("Expired",O6)))</formula>
    </cfRule>
    <cfRule type="containsText" dxfId="169" priority="26" operator="containsText" text="B1">
      <formula>NOT(ISERROR(SEARCH("B1",O6)))</formula>
    </cfRule>
    <cfRule type="containsText" dxfId="168" priority="27" operator="containsText" text="LCA">
      <formula>NOT(ISERROR(SEARCH("LCA",O6)))</formula>
    </cfRule>
    <cfRule type="containsText" dxfId="167" priority="28" operator="containsText" text="ICE">
      <formula>NOT(ISERROR(SEARCH("ICE",O6)))</formula>
    </cfRule>
    <cfRule type="containsText" dxfId="166" priority="29" operator="containsText" text="No">
      <formula>NOT(ISERROR(SEARCH("No",O6)))</formula>
    </cfRule>
    <cfRule type="containsText" dxfId="165" priority="30" operator="containsText" text="None">
      <formula>NOT(ISERROR(SEARCH("None",O6)))</formula>
    </cfRule>
    <cfRule type="containsText" dxfId="164" priority="31" operator="containsText" text="A1-">
      <formula>NOT(ISERROR(SEARCH("A1-",O6)))</formula>
    </cfRule>
  </conditionalFormatting>
  <conditionalFormatting sqref="P4">
    <cfRule type="cellIs" dxfId="163" priority="18" operator="greaterThan">
      <formula>0</formula>
    </cfRule>
    <cfRule type="cellIs" dxfId="162" priority="19" operator="equal">
      <formula>0</formula>
    </cfRule>
  </conditionalFormatting>
  <conditionalFormatting sqref="O4">
    <cfRule type="expression" dxfId="161" priority="17">
      <formula>COUNTIF($H:$H, 1)&gt;0</formula>
    </cfRule>
  </conditionalFormatting>
  <conditionalFormatting sqref="K144">
    <cfRule type="cellIs" dxfId="160" priority="16" operator="lessThan">
      <formula>0</formula>
    </cfRule>
  </conditionalFormatting>
  <conditionalFormatting sqref="K190">
    <cfRule type="cellIs" dxfId="159" priority="15" operator="lessThan">
      <formula>0</formula>
    </cfRule>
  </conditionalFormatting>
  <conditionalFormatting sqref="K147:K149">
    <cfRule type="expression" dxfId="158" priority="14">
      <formula>H147=1</formula>
    </cfRule>
  </conditionalFormatting>
  <conditionalFormatting sqref="I147:I149">
    <cfRule type="cellIs" dxfId="157" priority="6" operator="lessThan">
      <formula>0</formula>
    </cfRule>
  </conditionalFormatting>
  <conditionalFormatting sqref="L147:L149">
    <cfRule type="cellIs" dxfId="156" priority="4" operator="greaterThan">
      <formula>0</formula>
    </cfRule>
    <cfRule type="cellIs" dxfId="155" priority="5" operator="equal">
      <formula>0</formula>
    </cfRule>
  </conditionalFormatting>
  <conditionalFormatting sqref="O147:O149">
    <cfRule type="containsText" dxfId="154" priority="7" operator="containsText" text="Expired">
      <formula>NOT(ISERROR(SEARCH("Expired",O147)))</formula>
    </cfRule>
    <cfRule type="containsText" dxfId="153" priority="8" operator="containsText" text="B1">
      <formula>NOT(ISERROR(SEARCH("B1",O147)))</formula>
    </cfRule>
    <cfRule type="containsText" dxfId="152" priority="9" operator="containsText" text="LCA">
      <formula>NOT(ISERROR(SEARCH("LCA",O147)))</formula>
    </cfRule>
    <cfRule type="containsText" dxfId="151" priority="10" operator="containsText" text="ICE">
      <formula>NOT(ISERROR(SEARCH("ICE",O147)))</formula>
    </cfRule>
    <cfRule type="containsText" dxfId="150" priority="11" operator="containsText" text="No">
      <formula>NOT(ISERROR(SEARCH("No",O147)))</formula>
    </cfRule>
    <cfRule type="containsText" dxfId="149" priority="12" operator="containsText" text="None">
      <formula>NOT(ISERROR(SEARCH("None",O147)))</formula>
    </cfRule>
    <cfRule type="containsText" dxfId="148" priority="13" operator="containsText" text="A1-">
      <formula>NOT(ISERROR(SEARCH("A1-",O147)))</formula>
    </cfRule>
  </conditionalFormatting>
  <conditionalFormatting sqref="K146">
    <cfRule type="expression" dxfId="147" priority="3">
      <formula>H146=1</formula>
    </cfRule>
  </conditionalFormatting>
  <conditionalFormatting sqref="L146">
    <cfRule type="cellIs" dxfId="146" priority="1" operator="greaterThan">
      <formula>0</formula>
    </cfRule>
    <cfRule type="cellIs" dxfId="145" priority="2" operator="equal">
      <formula>0</formula>
    </cfRule>
  </conditionalFormatting>
  <dataValidations count="2">
    <dataValidation type="list" allowBlank="1" showErrorMessage="1" sqref="E5 E96" xr:uid="{00000000-0002-0000-1200-000000000000}">
      <formula1>spacing</formula1>
    </dataValidation>
    <dataValidation type="whole" errorStyle="warning" operator="equal" allowBlank="1" showErrorMessage="1" errorTitle="Enter 1 to select" error="Options:_x000a_To select item, enter '1'_x000a_To unselect, leave cell empty" sqref="H191:H246 H6:H143 H145:H189" xr:uid="{00000000-0002-0000-1200-000001000000}">
      <formula1>1</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2000000}">
          <x14:formula1>
            <xm:f>'Dropdown Lists'!$D$2:$D$3</xm:f>
          </x14:formula1>
          <xm:sqref>K190 K144</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5">
    <tabColor theme="2" tint="-0.249977111117893"/>
  </sheetPr>
  <dimension ref="A1:AA1681"/>
  <sheetViews>
    <sheetView zoomScale="80" zoomScaleNormal="80" workbookViewId="0">
      <pane ySplit="4" topLeftCell="A5" activePane="bottomLeft" state="frozen"/>
      <selection activeCell="K14" sqref="K14"/>
      <selection pane="bottomLeft" activeCell="A5" sqref="A5"/>
    </sheetView>
  </sheetViews>
  <sheetFormatPr defaultColWidth="11.36328125" defaultRowHeight="15" customHeight="1" outlineLevelRow="1" x14ac:dyDescent="0.25"/>
  <cols>
    <col min="1" max="1" width="8.6328125" customWidth="1"/>
    <col min="2" max="2" width="13.08984375" customWidth="1"/>
    <col min="3" max="3" width="57.54296875" customWidth="1"/>
    <col min="4" max="4" width="19.81640625" style="712" customWidth="1"/>
    <col min="5" max="5" width="5.6328125" customWidth="1"/>
    <col min="6" max="6" width="6.6328125" style="331" customWidth="1"/>
    <col min="7" max="7" width="2.36328125" customWidth="1"/>
    <col min="8" max="8" width="6.6328125" customWidth="1"/>
    <col min="9" max="9" width="13.6328125" style="714" hidden="1" customWidth="1"/>
    <col min="10" max="10" width="16.6328125" style="714" hidden="1" customWidth="1"/>
    <col min="11" max="12" width="13.6328125" style="714" customWidth="1"/>
    <col min="13" max="13" width="12.6328125" style="714" customWidth="1"/>
    <col min="14" max="14" width="30.453125" style="714" customWidth="1"/>
    <col min="15" max="15" width="28.6328125" customWidth="1"/>
    <col min="16" max="16" width="30.36328125" style="620" customWidth="1"/>
    <col min="17" max="17" width="12.54296875" style="757" customWidth="1"/>
    <col min="18" max="18" width="10.36328125" style="757" customWidth="1"/>
    <col min="19" max="26" width="10.54296875" style="619" customWidth="1"/>
    <col min="27" max="16384" width="11.36328125" style="619"/>
  </cols>
  <sheetData>
    <row r="1" spans="1:27" ht="54.75" customHeight="1" x14ac:dyDescent="0.25">
      <c r="A1" s="1528" t="s">
        <v>3441</v>
      </c>
      <c r="B1" s="1529"/>
      <c r="C1" s="1530"/>
      <c r="D1" s="1608" t="s">
        <v>1556</v>
      </c>
      <c r="E1" s="1608"/>
      <c r="F1" s="1608"/>
      <c r="G1" s="1608"/>
      <c r="H1" s="1608"/>
      <c r="I1" s="1608"/>
      <c r="J1" s="1608"/>
      <c r="K1" s="1608"/>
      <c r="L1" s="1608"/>
      <c r="M1" s="1609"/>
      <c r="N1" s="1609"/>
      <c r="O1" s="1608"/>
      <c r="P1" s="618"/>
    </row>
    <row r="2" spans="1:27" ht="17.100000000000001" customHeight="1" x14ac:dyDescent="0.3">
      <c r="A2" s="1531" t="s">
        <v>7209</v>
      </c>
      <c r="B2" s="1531"/>
      <c r="C2" s="1531"/>
      <c r="D2" s="1531"/>
      <c r="E2" s="1531"/>
      <c r="F2" s="1531"/>
      <c r="G2" s="1531"/>
      <c r="H2" s="1531"/>
      <c r="I2" s="1531"/>
      <c r="J2" s="1531"/>
      <c r="K2" s="1531"/>
      <c r="L2" s="1531"/>
      <c r="M2" s="1531"/>
      <c r="N2" s="1531"/>
      <c r="O2" s="1531"/>
      <c r="AA2" s="621"/>
    </row>
    <row r="3" spans="1:27" s="624" customFormat="1" ht="60" customHeight="1" x14ac:dyDescent="0.25">
      <c r="A3" s="1537" t="s">
        <v>1031</v>
      </c>
      <c r="B3" s="1537"/>
      <c r="C3" s="1537" t="s">
        <v>13</v>
      </c>
      <c r="D3" s="1641" t="s">
        <v>1583</v>
      </c>
      <c r="E3" s="1534"/>
      <c r="F3" s="1537" t="s">
        <v>14</v>
      </c>
      <c r="G3" s="1537"/>
      <c r="H3" s="1538" t="s">
        <v>3417</v>
      </c>
      <c r="I3" s="1526" t="s">
        <v>7157</v>
      </c>
      <c r="J3" s="1526" t="s">
        <v>7158</v>
      </c>
      <c r="K3" s="1535" t="s">
        <v>900</v>
      </c>
      <c r="L3" s="1535" t="s">
        <v>7156</v>
      </c>
      <c r="M3" s="1520" t="s">
        <v>7165</v>
      </c>
      <c r="N3" s="1520"/>
      <c r="O3" s="622" t="s">
        <v>7195</v>
      </c>
      <c r="P3" s="622" t="s">
        <v>7197</v>
      </c>
      <c r="Q3" s="728"/>
      <c r="R3" s="728"/>
      <c r="S3" s="623"/>
      <c r="T3" s="623"/>
      <c r="U3" s="623"/>
      <c r="V3" s="623"/>
      <c r="W3" s="623"/>
      <c r="X3" s="623"/>
      <c r="Y3" s="623"/>
      <c r="Z3" s="623"/>
      <c r="AA3" s="623"/>
    </row>
    <row r="4" spans="1:27" s="624" customFormat="1" ht="30.15" customHeight="1" x14ac:dyDescent="0.3">
      <c r="A4" s="1537"/>
      <c r="B4" s="1537"/>
      <c r="C4" s="1537"/>
      <c r="D4" s="1642"/>
      <c r="E4" s="1523"/>
      <c r="F4" s="1537"/>
      <c r="G4" s="1537"/>
      <c r="H4" s="1539"/>
      <c r="I4" s="1527"/>
      <c r="J4" s="1527"/>
      <c r="K4" s="1536"/>
      <c r="L4" s="1536"/>
      <c r="M4" s="1520"/>
      <c r="N4" s="1520"/>
      <c r="O4" s="405">
        <f>SUMIF(H6:H606, 1, K6:K606)</f>
        <v>0</v>
      </c>
      <c r="P4" s="424">
        <f>SUMIF(H6:H606, 1, L6:L606)</f>
        <v>0</v>
      </c>
      <c r="Q4" s="626" t="s">
        <v>107</v>
      </c>
      <c r="R4" s="626" t="s">
        <v>1072</v>
      </c>
      <c r="S4" s="627" t="s">
        <v>749</v>
      </c>
      <c r="T4" s="627" t="s">
        <v>108</v>
      </c>
      <c r="AA4" s="627"/>
    </row>
    <row r="5" spans="1:27" s="624" customFormat="1" ht="40.200000000000003" customHeight="1" collapsed="1" x14ac:dyDescent="0.25">
      <c r="A5" s="865" t="s">
        <v>1579</v>
      </c>
      <c r="B5" s="866"/>
      <c r="C5" s="867"/>
      <c r="D5" s="286"/>
      <c r="E5" s="290"/>
      <c r="F5" s="342"/>
      <c r="G5" s="868"/>
      <c r="H5" s="869"/>
      <c r="I5" s="287"/>
      <c r="J5" s="287"/>
      <c r="K5" s="288"/>
      <c r="L5" s="289"/>
      <c r="M5" s="289"/>
      <c r="N5" s="289"/>
      <c r="O5" s="25"/>
      <c r="P5" s="637"/>
      <c r="Q5" s="29"/>
      <c r="R5" s="28"/>
      <c r="S5" s="638"/>
      <c r="T5" s="638"/>
      <c r="U5" s="638"/>
      <c r="V5" s="638"/>
      <c r="W5" s="638"/>
      <c r="X5" s="638"/>
      <c r="Y5" s="638"/>
      <c r="Z5" s="638"/>
      <c r="AA5" s="638"/>
    </row>
    <row r="6" spans="1:27" s="624" customFormat="1" ht="55.2" customHeight="1" outlineLevel="1" x14ac:dyDescent="0.25">
      <c r="A6" s="1522" t="s">
        <v>18</v>
      </c>
      <c r="B6" s="1523"/>
      <c r="C6" s="1523"/>
      <c r="D6" s="629" t="s">
        <v>19</v>
      </c>
      <c r="E6" s="1"/>
      <c r="F6" s="318" t="s">
        <v>20</v>
      </c>
      <c r="G6" s="718" t="s">
        <v>21</v>
      </c>
      <c r="H6" s="12">
        <f>IF(F6="mm",E6/1000,E6*0.0254)</f>
        <v>0</v>
      </c>
      <c r="I6" s="631" t="s">
        <v>22</v>
      </c>
      <c r="J6" s="632"/>
      <c r="K6" s="633"/>
      <c r="L6" s="634"/>
      <c r="M6" s="634"/>
      <c r="N6" s="634"/>
      <c r="O6" s="636"/>
      <c r="P6" s="637"/>
      <c r="Q6" s="28"/>
      <c r="R6" s="28"/>
      <c r="S6" s="638"/>
      <c r="T6" s="638"/>
      <c r="U6" s="638"/>
      <c r="V6" s="638"/>
      <c r="W6" s="638"/>
      <c r="X6" s="638"/>
      <c r="Y6" s="638"/>
      <c r="Z6" s="638"/>
      <c r="AA6" s="638"/>
    </row>
    <row r="7" spans="1:27" s="624" customFormat="1" ht="23.85" customHeight="1" outlineLevel="1" x14ac:dyDescent="0.25">
      <c r="A7" s="639"/>
      <c r="B7" s="1550" t="s">
        <v>1023</v>
      </c>
      <c r="C7" s="1550"/>
      <c r="D7" s="640"/>
      <c r="E7" s="641"/>
      <c r="F7" s="320"/>
      <c r="G7" s="641"/>
      <c r="H7" s="641"/>
      <c r="I7" s="642"/>
      <c r="J7" s="643"/>
      <c r="K7" s="644"/>
      <c r="L7" s="645"/>
      <c r="M7" s="645"/>
      <c r="N7" s="645"/>
      <c r="O7" s="637"/>
      <c r="P7" s="637"/>
      <c r="Q7" s="28"/>
      <c r="R7" s="28"/>
      <c r="S7" s="638"/>
      <c r="T7" s="638"/>
      <c r="U7" s="638"/>
      <c r="V7" s="638"/>
      <c r="W7" s="638"/>
      <c r="X7" s="638"/>
      <c r="Y7" s="638"/>
      <c r="Z7" s="638"/>
      <c r="AA7" s="638"/>
    </row>
    <row r="8" spans="1:27" s="624" customFormat="1" ht="84" customHeight="1" outlineLevel="1" x14ac:dyDescent="0.25">
      <c r="A8" s="1540" t="s">
        <v>785</v>
      </c>
      <c r="B8" s="1540"/>
      <c r="C8" s="647" t="str">
        <f>INDEX('Master sheet'!$A$1:$A$670,MATCH(4,'Master sheet'!$AN$1:$AN$670,0))</f>
        <v>Aggregate /  /  / Avg construction aggregate (gravel &amp; sand)</v>
      </c>
      <c r="D8" s="13">
        <f>'USER INPUT SHEET'!$D$51</f>
        <v>0</v>
      </c>
      <c r="E8" s="14" t="s">
        <v>5</v>
      </c>
      <c r="F8" s="2">
        <v>1</v>
      </c>
      <c r="G8" s="648"/>
      <c r="H8" s="7"/>
      <c r="I8" s="88">
        <f>K8-L8</f>
        <v>0</v>
      </c>
      <c r="J8" s="89" t="str">
        <f>IF(H8=1,I8,"")</f>
        <v/>
      </c>
      <c r="K8" s="404">
        <f>$D8*$H$6*$F8*VLOOKUP($C8,'Master sheet'!$A:$AL,13,FALSE)</f>
        <v>0</v>
      </c>
      <c r="L8" s="90">
        <f>$D8*$H$6*$F8*VLOOKUP($C8,'Master sheet'!$A:$AL,27,FALSE)</f>
        <v>0</v>
      </c>
      <c r="M8" s="1552"/>
      <c r="N8" s="1552"/>
      <c r="O8" s="25" t="str">
        <f ca="1">_xlfn.IFNA(VLOOKUP($C8,'Master sheet'!$A:$AR,44,FALSE),"")&amp;""</f>
        <v>Expired 2023</v>
      </c>
      <c r="P8" s="637"/>
      <c r="Q8" s="29" t="s">
        <v>1556</v>
      </c>
      <c r="R8" s="28" t="s">
        <v>1584</v>
      </c>
      <c r="S8" s="638"/>
      <c r="T8" s="638"/>
      <c r="U8" s="638"/>
      <c r="V8" s="638"/>
      <c r="W8" s="638"/>
      <c r="X8" s="638"/>
      <c r="Y8" s="638"/>
      <c r="Z8" s="638"/>
      <c r="AA8" s="638"/>
    </row>
    <row r="9" spans="1:27" ht="55.2" customHeight="1" outlineLevel="1" x14ac:dyDescent="0.25">
      <c r="A9" s="1522" t="s">
        <v>1571</v>
      </c>
      <c r="B9" s="1523"/>
      <c r="C9" s="1523"/>
      <c r="D9" s="683" t="s">
        <v>19</v>
      </c>
      <c r="E9" s="1"/>
      <c r="F9" s="318" t="s">
        <v>20</v>
      </c>
      <c r="G9" s="684" t="s">
        <v>21</v>
      </c>
      <c r="H9" s="315">
        <f>IF(F9="mm",E9/1000,E9*0.0254)</f>
        <v>0</v>
      </c>
      <c r="I9" s="631" t="s">
        <v>22</v>
      </c>
      <c r="J9" s="103"/>
      <c r="K9" s="652"/>
      <c r="L9" s="653"/>
      <c r="M9" s="653"/>
      <c r="N9" s="653"/>
      <c r="O9" s="25" t="str">
        <f>_xlfn.IFNA(VLOOKUP($C9,'Master sheet'!$A:$AR,44,FALSE),"")&amp;""</f>
        <v/>
      </c>
      <c r="P9" s="685"/>
      <c r="Q9" s="29"/>
      <c r="R9" s="21"/>
      <c r="S9" s="664"/>
      <c r="T9" s="664"/>
      <c r="U9" s="664"/>
      <c r="V9" s="664"/>
      <c r="W9" s="664"/>
      <c r="X9" s="664"/>
      <c r="Y9" s="664"/>
      <c r="Z9" s="664"/>
      <c r="AA9" s="664"/>
    </row>
    <row r="10" spans="1:27" ht="23.85" customHeight="1" outlineLevel="1" x14ac:dyDescent="0.25">
      <c r="A10" s="639"/>
      <c r="B10" s="1524" t="s">
        <v>1349</v>
      </c>
      <c r="C10" s="1524"/>
      <c r="D10" s="656"/>
      <c r="E10" s="657"/>
      <c r="F10" s="322"/>
      <c r="G10" s="657"/>
      <c r="H10" s="657"/>
      <c r="I10" s="658"/>
      <c r="J10" s="659"/>
      <c r="K10" s="660"/>
      <c r="L10" s="661"/>
      <c r="M10" s="677"/>
      <c r="N10" s="677"/>
      <c r="O10" s="25" t="str">
        <f>_xlfn.IFNA(VLOOKUP($C10,'Master sheet'!$A:$AR,44,FALSE),"")&amp;""</f>
        <v/>
      </c>
      <c r="P10" s="663"/>
      <c r="Q10" s="29"/>
      <c r="R10" s="21"/>
      <c r="S10" s="664"/>
      <c r="T10" s="664"/>
      <c r="U10" s="664"/>
      <c r="V10" s="664"/>
      <c r="W10" s="664"/>
      <c r="X10" s="664"/>
      <c r="Y10" s="664"/>
      <c r="Z10" s="664"/>
      <c r="AA10" s="664"/>
    </row>
    <row r="11" spans="1:27" ht="31.5" customHeight="1" outlineLevel="1" x14ac:dyDescent="0.25">
      <c r="A11" s="1525" t="s">
        <v>786</v>
      </c>
      <c r="B11" s="1525"/>
      <c r="C11" s="667" t="str" cm="1">
        <f t="array" ref="C11">INDEX('Master sheet'!$A$1:$A$670,MATCH(1,("0-25" = 'Master sheet'!$AO$1:$AO$670)*(1 = 'Master sheet'!$AP$1:$AP$670)*('Master sheet'!$AT$1:$AT$670),0))</f>
        <v xml:space="preserve">Concrete - 25 MPa, GU / SRMCA / Can. Sask Avg. / </v>
      </c>
      <c r="D11" s="230">
        <f>'USER INPUT SHEET'!$D$51</f>
        <v>0</v>
      </c>
      <c r="E11" s="14" t="str">
        <f>'USER INPUT SHEET'!$F$51</f>
        <v>m2</v>
      </c>
      <c r="F11" s="5">
        <v>1</v>
      </c>
      <c r="G11" s="668"/>
      <c r="H11" s="10"/>
      <c r="I11" s="232">
        <f t="shared" ref="I11:I17" si="0">K11-L11</f>
        <v>0</v>
      </c>
      <c r="J11" s="233" t="str">
        <f t="shared" ref="J11:J17" si="1">IF(H11=1,I11,"")</f>
        <v/>
      </c>
      <c r="K11" s="409">
        <f>$D11*$F11*$H$9*VLOOKUP($C11,'Master sheet'!$A:$AL,13,FALSE)</f>
        <v>0</v>
      </c>
      <c r="L11" s="234">
        <f>$D11*$F11*$H$9*VLOOKUP($C11,'Master sheet'!$A:$AL,27,FALSE)</f>
        <v>0</v>
      </c>
      <c r="M11" s="1552"/>
      <c r="N11" s="1552"/>
      <c r="O11" s="25" t="str">
        <f ca="1">_xlfn.IFNA(VLOOKUP($C11,'Master sheet'!$A:$AR,44,FALSE),"")&amp;""</f>
        <v/>
      </c>
      <c r="P11" s="637"/>
      <c r="Q11" s="29" t="s">
        <v>1556</v>
      </c>
      <c r="R11" s="28" t="s">
        <v>1585</v>
      </c>
      <c r="S11" s="664"/>
      <c r="T11" s="664"/>
      <c r="U11" s="664"/>
      <c r="V11" s="664"/>
      <c r="W11" s="664"/>
      <c r="X11" s="664"/>
      <c r="Y11" s="664"/>
      <c r="Z11" s="664"/>
      <c r="AA11" s="664"/>
    </row>
    <row r="12" spans="1:27" ht="23.25" customHeight="1" outlineLevel="1" x14ac:dyDescent="0.25">
      <c r="A12" s="1525"/>
      <c r="B12" s="1525"/>
      <c r="C12" s="669" t="str" cm="1">
        <f t="array" ref="C12">INDEX('Master sheet'!$A$1:$A$670,MATCH(1,("0-25" = 'Master sheet'!$AO$1:$AO$670)*(2 = 'Master sheet'!$AP$1:$AP$670)*('Master sheet'!$AT$1:$AT$670),0))</f>
        <v xml:space="preserve">Concrete - 25 MPa, 10% FA, GU / SRMCA / Can. Sask Avg. / </v>
      </c>
      <c r="D12" s="15">
        <f>'USER INPUT SHEET'!$D$51</f>
        <v>0</v>
      </c>
      <c r="E12" s="16" t="str">
        <f>'USER INPUT SHEET'!$F$51</f>
        <v>m2</v>
      </c>
      <c r="F12" s="3">
        <v>1</v>
      </c>
      <c r="G12" s="670"/>
      <c r="H12" s="8"/>
      <c r="I12" s="92">
        <f t="shared" si="0"/>
        <v>0</v>
      </c>
      <c r="J12" s="93" t="str">
        <f t="shared" si="1"/>
        <v/>
      </c>
      <c r="K12" s="406">
        <f>$D12*$F12*$H$9*VLOOKUP($C12,'Master sheet'!$A:$AL,13,FALSE)</f>
        <v>0</v>
      </c>
      <c r="L12" s="94">
        <f>$D12*$F12*$H$9*VLOOKUP($C12,'Master sheet'!$A:$AL,27,FALSE)</f>
        <v>0</v>
      </c>
      <c r="M12" s="1552"/>
      <c r="N12" s="1552"/>
      <c r="O12" s="25" t="str">
        <f ca="1">_xlfn.IFNA(VLOOKUP($C12,'Master sheet'!$A:$AR,44,FALSE),"")&amp;""</f>
        <v/>
      </c>
      <c r="P12" s="671"/>
      <c r="Q12" s="29" t="s">
        <v>1556</v>
      </c>
      <c r="R12" s="28" t="s">
        <v>1585</v>
      </c>
      <c r="S12" s="664"/>
      <c r="T12" s="664"/>
      <c r="U12" s="664"/>
      <c r="V12" s="664"/>
      <c r="W12" s="664"/>
      <c r="X12" s="664"/>
      <c r="Y12" s="664"/>
      <c r="Z12" s="664"/>
      <c r="AA12" s="664"/>
    </row>
    <row r="13" spans="1:27" ht="23.25" customHeight="1" outlineLevel="1" x14ac:dyDescent="0.25">
      <c r="A13" s="1525"/>
      <c r="B13" s="1525"/>
      <c r="C13" s="669" t="str" cm="1">
        <f t="array" ref="C13">INDEX('Master sheet'!$A$1:$A$670,MATCH(1,("0-25" = 'Master sheet'!$AO$1:$AO$670)*(3 = 'Master sheet'!$AP$1:$AP$670)*('Master sheet'!$AT$1:$AT$670),0))</f>
        <v xml:space="preserve">Concrete - 25 MPa, 20% FA, GU / SRMCA / Can. Sask Avg. / </v>
      </c>
      <c r="D13" s="15">
        <f>'USER INPUT SHEET'!$D$51</f>
        <v>0</v>
      </c>
      <c r="E13" s="16" t="str">
        <f>'USER INPUT SHEET'!$F$51</f>
        <v>m2</v>
      </c>
      <c r="F13" s="3">
        <v>1</v>
      </c>
      <c r="G13" s="670"/>
      <c r="H13" s="8"/>
      <c r="I13" s="92">
        <f t="shared" si="0"/>
        <v>0</v>
      </c>
      <c r="J13" s="93" t="str">
        <f t="shared" si="1"/>
        <v/>
      </c>
      <c r="K13" s="406">
        <f>$D13*$F13*$H$9*VLOOKUP($C13,'Master sheet'!$A:$AL,13,FALSE)</f>
        <v>0</v>
      </c>
      <c r="L13" s="94">
        <f>$D13*$F13*$H$9*VLOOKUP($C13,'Master sheet'!$A:$AL,27,FALSE)</f>
        <v>0</v>
      </c>
      <c r="M13" s="1552"/>
      <c r="N13" s="1552"/>
      <c r="O13" s="25" t="str">
        <f ca="1">_xlfn.IFNA(VLOOKUP($C13,'Master sheet'!$A:$AR,44,FALSE),"")&amp;""</f>
        <v/>
      </c>
      <c r="P13" s="672"/>
      <c r="Q13" s="29" t="s">
        <v>1556</v>
      </c>
      <c r="R13" s="28" t="s">
        <v>1585</v>
      </c>
      <c r="S13" s="664"/>
      <c r="T13" s="664"/>
      <c r="U13" s="664"/>
      <c r="V13" s="664"/>
      <c r="W13" s="664"/>
      <c r="X13" s="664"/>
      <c r="Y13" s="664"/>
      <c r="Z13" s="664"/>
      <c r="AA13" s="664"/>
    </row>
    <row r="14" spans="1:27" ht="23.25" customHeight="1" outlineLevel="1" x14ac:dyDescent="0.25">
      <c r="A14" s="1525"/>
      <c r="B14" s="1525"/>
      <c r="C14" s="669" t="str" cm="1">
        <f t="array" ref="C14">INDEX('Master sheet'!$A$1:$A$670,MATCH(1,("0-25" = 'Master sheet'!$AO$1:$AO$670)*(4 = 'Master sheet'!$AP$1:$AP$670)*('Master sheet'!$AT$1:$AT$670),0))</f>
        <v xml:space="preserve">Concrete - 25 MPa, 30% FA, GU / SRMCA / Can. Sask Avg. / </v>
      </c>
      <c r="D14" s="15">
        <f>'USER INPUT SHEET'!$D$51</f>
        <v>0</v>
      </c>
      <c r="E14" s="16" t="str">
        <f>'USER INPUT SHEET'!$F$51</f>
        <v>m2</v>
      </c>
      <c r="F14" s="3">
        <v>1</v>
      </c>
      <c r="G14" s="670"/>
      <c r="H14" s="8"/>
      <c r="I14" s="92">
        <f t="shared" si="0"/>
        <v>0</v>
      </c>
      <c r="J14" s="93" t="str">
        <f t="shared" si="1"/>
        <v/>
      </c>
      <c r="K14" s="406">
        <f>$D14*$F14*$H$9*VLOOKUP($C14,'Master sheet'!$A:$AL,13,FALSE)</f>
        <v>0</v>
      </c>
      <c r="L14" s="94">
        <f>$D14*$F14*$H$9*VLOOKUP($C14,'Master sheet'!$A:$AL,27,FALSE)</f>
        <v>0</v>
      </c>
      <c r="M14" s="1552"/>
      <c r="N14" s="1552"/>
      <c r="O14" s="25" t="str">
        <f ca="1">_xlfn.IFNA(VLOOKUP($C14,'Master sheet'!$A:$AR,44,FALSE),"")&amp;""</f>
        <v/>
      </c>
      <c r="P14" s="672"/>
      <c r="Q14" s="29" t="s">
        <v>1556</v>
      </c>
      <c r="R14" s="28" t="s">
        <v>1585</v>
      </c>
      <c r="S14" s="664"/>
      <c r="T14" s="664"/>
      <c r="U14" s="664"/>
      <c r="V14" s="664"/>
      <c r="W14" s="664"/>
      <c r="X14" s="664"/>
      <c r="Y14" s="664"/>
      <c r="Z14" s="664"/>
      <c r="AA14" s="664"/>
    </row>
    <row r="15" spans="1:27" ht="23.25" customHeight="1" outlineLevel="1" x14ac:dyDescent="0.25">
      <c r="A15" s="1525"/>
      <c r="B15" s="1525"/>
      <c r="C15" s="669" t="str" cm="1">
        <f t="array" ref="C15">INDEX('Master sheet'!$A$1:$A$670,MATCH(1,("0-25" = 'Master sheet'!$AO$1:$AO$670)*(5 = 'Master sheet'!$AP$1:$AP$670)*('Master sheet'!$AT$1:$AT$670),0))</f>
        <v xml:space="preserve">Concrete - 25 MPa, 40% FA, GU / SRMCA / Can. Sask Avg. / </v>
      </c>
      <c r="D15" s="15">
        <f>'USER INPUT SHEET'!$D$51</f>
        <v>0</v>
      </c>
      <c r="E15" s="16" t="str">
        <f>'USER INPUT SHEET'!$F$51</f>
        <v>m2</v>
      </c>
      <c r="F15" s="3">
        <v>1</v>
      </c>
      <c r="G15" s="670"/>
      <c r="H15" s="8"/>
      <c r="I15" s="92">
        <f t="shared" si="0"/>
        <v>0</v>
      </c>
      <c r="J15" s="93" t="str">
        <f t="shared" si="1"/>
        <v/>
      </c>
      <c r="K15" s="406">
        <f>$D15*$F15*$H$9*VLOOKUP($C15,'Master sheet'!$A:$AL,13,FALSE)</f>
        <v>0</v>
      </c>
      <c r="L15" s="94">
        <f>$D15*$F15*$H$9*VLOOKUP($C15,'Master sheet'!$A:$AL,27,FALSE)</f>
        <v>0</v>
      </c>
      <c r="M15" s="1552"/>
      <c r="N15" s="1552"/>
      <c r="O15" s="25" t="str">
        <f ca="1">_xlfn.IFNA(VLOOKUP($C15,'Master sheet'!$A:$AR,44,FALSE),"")&amp;""</f>
        <v/>
      </c>
      <c r="P15" s="672"/>
      <c r="Q15" s="29" t="s">
        <v>1556</v>
      </c>
      <c r="R15" s="28" t="s">
        <v>1585</v>
      </c>
      <c r="S15" s="664"/>
      <c r="T15" s="664"/>
      <c r="U15" s="664"/>
      <c r="V15" s="664"/>
      <c r="W15" s="664"/>
      <c r="X15" s="664"/>
      <c r="Y15" s="664"/>
      <c r="Z15" s="664"/>
      <c r="AA15" s="664"/>
    </row>
    <row r="16" spans="1:27" ht="23.25" hidden="1" customHeight="1" outlineLevel="1" x14ac:dyDescent="0.25">
      <c r="A16" s="1525"/>
      <c r="B16" s="1525"/>
      <c r="C16" s="669" t="e" cm="1">
        <f t="array" ref="C16">INDEX('Master sheet'!$A$1:$A$670,MATCH(1,("0-25" = 'Master sheet'!$AO$1:$AO$670)*(6 = 'Master sheet'!$AP$1:$AP$670)*('Master sheet'!$AT$1:$AT$670),0))</f>
        <v>#N/A</v>
      </c>
      <c r="D16" s="15">
        <f>'USER INPUT SHEET'!$D$51</f>
        <v>0</v>
      </c>
      <c r="E16" s="16" t="str">
        <f>'USER INPUT SHEET'!$F$51</f>
        <v>m2</v>
      </c>
      <c r="F16" s="3">
        <v>1</v>
      </c>
      <c r="G16" s="670"/>
      <c r="H16" s="8"/>
      <c r="I16" s="92" t="e">
        <f t="shared" ref="I16" si="2">K16-L16</f>
        <v>#N/A</v>
      </c>
      <c r="J16" s="93" t="str">
        <f t="shared" ref="J16" si="3">IF(H16=1,I16,"")</f>
        <v/>
      </c>
      <c r="K16" s="406" t="e">
        <f>$D16*$F16*$H$9*VLOOKUP($C16,'Master sheet'!$A:$AL,13,FALSE)</f>
        <v>#N/A</v>
      </c>
      <c r="L16" s="94" t="e">
        <f>$D16*$F16*$H$9*VLOOKUP($C16,'Master sheet'!$A:$AL,27,FALSE)</f>
        <v>#N/A</v>
      </c>
      <c r="M16" s="1552"/>
      <c r="N16" s="1552"/>
      <c r="O16" s="25" t="str">
        <f>_xlfn.IFNA(VLOOKUP($C16,'Master sheet'!$A:$AR,44,FALSE),"")&amp;""</f>
        <v/>
      </c>
      <c r="P16" s="672"/>
      <c r="Q16" s="29" t="s">
        <v>1556</v>
      </c>
      <c r="R16" s="28" t="s">
        <v>1585</v>
      </c>
      <c r="S16" s="664"/>
      <c r="T16" s="664"/>
      <c r="U16" s="664"/>
      <c r="V16" s="664"/>
      <c r="W16" s="664"/>
      <c r="X16" s="664"/>
      <c r="Y16" s="664"/>
      <c r="Z16" s="664"/>
      <c r="AA16" s="638"/>
    </row>
    <row r="17" spans="1:27" s="624" customFormat="1" ht="23.25" hidden="1" customHeight="1" outlineLevel="1" x14ac:dyDescent="0.25">
      <c r="A17" s="1525"/>
      <c r="B17" s="1525"/>
      <c r="C17" s="673" t="e" cm="1">
        <f t="array" ref="C17">INDEX('Master sheet'!$A$1:$A$670,MATCH(1,("0-25" = 'Master sheet'!$AO$1:$AO$670)*(7 = 'Master sheet'!$AP$1:$AP$670)*('Master sheet'!$AT$1:$AT$670),0))</f>
        <v>#N/A</v>
      </c>
      <c r="D17" s="17">
        <f>'USER INPUT SHEET'!$D$51</f>
        <v>0</v>
      </c>
      <c r="E17" s="18" t="str">
        <f>'USER INPUT SHEET'!$F$51</f>
        <v>m2</v>
      </c>
      <c r="F17" s="4">
        <v>1</v>
      </c>
      <c r="G17" s="674"/>
      <c r="H17" s="9"/>
      <c r="I17" s="95" t="e">
        <f t="shared" si="0"/>
        <v>#N/A</v>
      </c>
      <c r="J17" s="96" t="str">
        <f t="shared" si="1"/>
        <v/>
      </c>
      <c r="K17" s="407" t="e">
        <f>$D17*$F17*$H$9*VLOOKUP($C17,'Master sheet'!$A:$AL,13,FALSE)</f>
        <v>#N/A</v>
      </c>
      <c r="L17" s="97" t="e">
        <f>$D17*$F17*$H$9*VLOOKUP($C17,'Master sheet'!$A:$AL,27,FALSE)</f>
        <v>#N/A</v>
      </c>
      <c r="M17" s="1552"/>
      <c r="N17" s="1552"/>
      <c r="O17" s="25" t="str">
        <f>_xlfn.IFNA(VLOOKUP($C17,'Master sheet'!$A:$AR,44,FALSE),"")&amp;""</f>
        <v/>
      </c>
      <c r="P17" s="637"/>
      <c r="Q17" s="29" t="s">
        <v>1556</v>
      </c>
      <c r="R17" s="28" t="s">
        <v>1585</v>
      </c>
      <c r="S17" s="638"/>
      <c r="T17" s="638"/>
      <c r="U17" s="638"/>
      <c r="V17" s="638"/>
      <c r="W17" s="638"/>
      <c r="X17" s="638"/>
      <c r="Y17" s="638"/>
      <c r="Z17" s="638"/>
      <c r="AA17" s="664"/>
    </row>
    <row r="18" spans="1:27" ht="23.85" customHeight="1" outlineLevel="1" x14ac:dyDescent="0.25">
      <c r="A18" s="639"/>
      <c r="B18" s="1524" t="s">
        <v>1350</v>
      </c>
      <c r="C18" s="1524"/>
      <c r="D18" s="656"/>
      <c r="E18" s="657"/>
      <c r="F18" s="322"/>
      <c r="G18" s="657"/>
      <c r="H18" s="657"/>
      <c r="I18" s="658"/>
      <c r="J18" s="659"/>
      <c r="K18" s="660"/>
      <c r="L18" s="661"/>
      <c r="M18" s="677"/>
      <c r="N18" s="677"/>
      <c r="O18" s="25" t="str">
        <f>_xlfn.IFNA(VLOOKUP($C18,'Master sheet'!$A:$AR,44,FALSE),"")&amp;""</f>
        <v/>
      </c>
      <c r="P18" s="663"/>
      <c r="Q18" s="29" t="s">
        <v>1556</v>
      </c>
      <c r="R18" s="28" t="s">
        <v>1585</v>
      </c>
      <c r="S18" s="664"/>
      <c r="T18" s="664"/>
      <c r="U18" s="664"/>
      <c r="V18" s="664"/>
      <c r="W18" s="664"/>
      <c r="X18" s="664"/>
      <c r="Y18" s="664"/>
      <c r="Z18" s="664"/>
      <c r="AA18" s="664"/>
    </row>
    <row r="19" spans="1:27" ht="31.5" customHeight="1" outlineLevel="1" x14ac:dyDescent="0.25">
      <c r="A19" s="1525" t="s">
        <v>786</v>
      </c>
      <c r="B19" s="1525"/>
      <c r="C19" s="667" t="str" cm="1">
        <f t="array" ref="C19">INDEX('Master sheet'!$A$1:$A$670,MATCH(1,("26-30" = 'Master sheet'!$AO$1:$AO$670)*(1 = 'Master sheet'!$AP$1:$AP$670)*('Master sheet'!$AT$1:$AT$670),0))</f>
        <v xml:space="preserve">Concrete - 30 MPa, GU / SRMCA / Can. Sask Avg. / </v>
      </c>
      <c r="D19" s="230">
        <f>'USER INPUT SHEET'!$D$51</f>
        <v>0</v>
      </c>
      <c r="E19" s="14" t="str">
        <f>'USER INPUT SHEET'!$F$51</f>
        <v>m2</v>
      </c>
      <c r="F19" s="5">
        <v>1</v>
      </c>
      <c r="G19" s="668"/>
      <c r="H19" s="10"/>
      <c r="I19" s="232">
        <f t="shared" ref="I19:I25" si="4">K19-L19</f>
        <v>0</v>
      </c>
      <c r="J19" s="233" t="str">
        <f t="shared" ref="J19:J25" si="5">IF(H19=1,I19,"")</f>
        <v/>
      </c>
      <c r="K19" s="409">
        <f>$D19*$F19*$H$9*VLOOKUP($C19,'Master sheet'!$A:$AL,13,FALSE)</f>
        <v>0</v>
      </c>
      <c r="L19" s="234">
        <f>$D19*$F19*$H$9*VLOOKUP($C19,'Master sheet'!$A:$AL,27,FALSE)</f>
        <v>0</v>
      </c>
      <c r="M19" s="1552"/>
      <c r="N19" s="1552"/>
      <c r="O19" s="25" t="str">
        <f ca="1">_xlfn.IFNA(VLOOKUP($C19,'Master sheet'!$A:$AR,44,FALSE),"")&amp;""</f>
        <v/>
      </c>
      <c r="P19" s="637"/>
      <c r="Q19" s="29" t="s">
        <v>1556</v>
      </c>
      <c r="R19" s="28" t="s">
        <v>1585</v>
      </c>
      <c r="S19" s="664"/>
      <c r="T19" s="664"/>
      <c r="U19" s="664"/>
      <c r="V19" s="664"/>
      <c r="W19" s="664"/>
      <c r="X19" s="664"/>
      <c r="Y19" s="664"/>
      <c r="Z19" s="664"/>
      <c r="AA19" s="664"/>
    </row>
    <row r="20" spans="1:27" ht="23.25" customHeight="1" outlineLevel="1" x14ac:dyDescent="0.25">
      <c r="A20" s="1525"/>
      <c r="B20" s="1525"/>
      <c r="C20" s="669" t="str" cm="1">
        <f t="array" ref="C20">INDEX('Master sheet'!$A$1:$A$670,MATCH(1,("26-30" = 'Master sheet'!$AO$1:$AO$670)*(2 = 'Master sheet'!$AP$1:$AP$670)*('Master sheet'!$AT$1:$AT$670),0))</f>
        <v xml:space="preserve">Concrete - 30 MPa, 10% FA, GU / SRMCA / Can. Sask Avg. / </v>
      </c>
      <c r="D20" s="15">
        <f>'USER INPUT SHEET'!$D$51</f>
        <v>0</v>
      </c>
      <c r="E20" s="16" t="str">
        <f>'USER INPUT SHEET'!$F$51</f>
        <v>m2</v>
      </c>
      <c r="F20" s="3">
        <v>1</v>
      </c>
      <c r="G20" s="670"/>
      <c r="H20" s="8"/>
      <c r="I20" s="92">
        <f t="shared" si="4"/>
        <v>0</v>
      </c>
      <c r="J20" s="93" t="str">
        <f t="shared" si="5"/>
        <v/>
      </c>
      <c r="K20" s="406">
        <f>$D20*$F20*$H$9*VLOOKUP($C20,'Master sheet'!$A:$AL,13,FALSE)</f>
        <v>0</v>
      </c>
      <c r="L20" s="94">
        <f>$D20*$F20*$H$9*VLOOKUP($C20,'Master sheet'!$A:$AL,27,FALSE)</f>
        <v>0</v>
      </c>
      <c r="M20" s="1552"/>
      <c r="N20" s="1552"/>
      <c r="O20" s="25" t="str">
        <f ca="1">_xlfn.IFNA(VLOOKUP($C20,'Master sheet'!$A:$AR,44,FALSE),"")&amp;""</f>
        <v/>
      </c>
      <c r="P20" s="671"/>
      <c r="Q20" s="29" t="s">
        <v>1556</v>
      </c>
      <c r="R20" s="28" t="s">
        <v>1585</v>
      </c>
      <c r="S20" s="664"/>
      <c r="T20" s="664"/>
      <c r="U20" s="664"/>
      <c r="V20" s="664"/>
      <c r="W20" s="664"/>
      <c r="X20" s="664"/>
      <c r="Y20" s="664"/>
      <c r="Z20" s="664"/>
      <c r="AA20" s="664"/>
    </row>
    <row r="21" spans="1:27" ht="23.25" customHeight="1" outlineLevel="1" x14ac:dyDescent="0.25">
      <c r="A21" s="1525"/>
      <c r="B21" s="1525"/>
      <c r="C21" s="669" t="str" cm="1">
        <f t="array" ref="C21">INDEX('Master sheet'!$A$1:$A$670,MATCH(1,("26-30" = 'Master sheet'!$AO$1:$AO$670)*(3 = 'Master sheet'!$AP$1:$AP$670)*('Master sheet'!$AT$1:$AT$670),0))</f>
        <v xml:space="preserve">Concrete - 30 MPa, 20% FA, GU / SRMCA / Can. Sask Avg. / </v>
      </c>
      <c r="D21" s="15">
        <f>'USER INPUT SHEET'!$D$51</f>
        <v>0</v>
      </c>
      <c r="E21" s="16" t="str">
        <f>'USER INPUT SHEET'!$F$51</f>
        <v>m2</v>
      </c>
      <c r="F21" s="3">
        <v>1</v>
      </c>
      <c r="G21" s="670"/>
      <c r="H21" s="8"/>
      <c r="I21" s="92">
        <f t="shared" si="4"/>
        <v>0</v>
      </c>
      <c r="J21" s="93" t="str">
        <f t="shared" si="5"/>
        <v/>
      </c>
      <c r="K21" s="406">
        <f>$D21*$F21*$H$9*VLOOKUP($C21,'Master sheet'!$A:$AL,13,FALSE)</f>
        <v>0</v>
      </c>
      <c r="L21" s="94">
        <f>$D21*$F21*$H$9*VLOOKUP($C21,'Master sheet'!$A:$AL,27,FALSE)</f>
        <v>0</v>
      </c>
      <c r="M21" s="1552"/>
      <c r="N21" s="1552"/>
      <c r="O21" s="25" t="str">
        <f ca="1">_xlfn.IFNA(VLOOKUP($C21,'Master sheet'!$A:$AR,44,FALSE),"")&amp;""</f>
        <v/>
      </c>
      <c r="P21" s="672"/>
      <c r="Q21" s="29" t="s">
        <v>1556</v>
      </c>
      <c r="R21" s="28" t="s">
        <v>1585</v>
      </c>
      <c r="S21" s="664"/>
      <c r="T21" s="664"/>
      <c r="U21" s="664"/>
      <c r="V21" s="664"/>
      <c r="W21" s="664"/>
      <c r="X21" s="664"/>
      <c r="Y21" s="664"/>
      <c r="Z21" s="664"/>
      <c r="AA21" s="664"/>
    </row>
    <row r="22" spans="1:27" ht="23.25" customHeight="1" outlineLevel="1" x14ac:dyDescent="0.25">
      <c r="A22" s="1525"/>
      <c r="B22" s="1525"/>
      <c r="C22" s="669" t="str" cm="1">
        <f t="array" ref="C22">INDEX('Master sheet'!$A$1:$A$670,MATCH(1,("26-30" = 'Master sheet'!$AO$1:$AO$670)*(4 = 'Master sheet'!$AP$1:$AP$670)*('Master sheet'!$AT$1:$AT$670),0))</f>
        <v xml:space="preserve">Concrete - 30 MPa, 30% FA, GU / SRMCA / Can. Sask Avg. / </v>
      </c>
      <c r="D22" s="15">
        <f>'USER INPUT SHEET'!$D$51</f>
        <v>0</v>
      </c>
      <c r="E22" s="16" t="str">
        <f>'USER INPUT SHEET'!$F$51</f>
        <v>m2</v>
      </c>
      <c r="F22" s="3">
        <v>1</v>
      </c>
      <c r="G22" s="670"/>
      <c r="H22" s="8"/>
      <c r="I22" s="92">
        <f t="shared" si="4"/>
        <v>0</v>
      </c>
      <c r="J22" s="93" t="str">
        <f t="shared" si="5"/>
        <v/>
      </c>
      <c r="K22" s="406">
        <f>$D22*$F22*$H$9*VLOOKUP($C22,'Master sheet'!$A:$AL,13,FALSE)</f>
        <v>0</v>
      </c>
      <c r="L22" s="94">
        <f>$D22*$F22*$H$9*VLOOKUP($C22,'Master sheet'!$A:$AL,27,FALSE)</f>
        <v>0</v>
      </c>
      <c r="M22" s="1552"/>
      <c r="N22" s="1552"/>
      <c r="O22" s="25" t="str">
        <f ca="1">_xlfn.IFNA(VLOOKUP($C22,'Master sheet'!$A:$AR,44,FALSE),"")&amp;""</f>
        <v/>
      </c>
      <c r="P22" s="672"/>
      <c r="Q22" s="29" t="s">
        <v>1556</v>
      </c>
      <c r="R22" s="28" t="s">
        <v>1585</v>
      </c>
      <c r="S22" s="664"/>
      <c r="T22" s="664"/>
      <c r="U22" s="664"/>
      <c r="V22" s="664"/>
      <c r="W22" s="664"/>
      <c r="X22" s="664"/>
      <c r="Y22" s="664"/>
      <c r="Z22" s="664"/>
      <c r="AA22" s="664"/>
    </row>
    <row r="23" spans="1:27" ht="23.25" customHeight="1" outlineLevel="1" x14ac:dyDescent="0.25">
      <c r="A23" s="1525"/>
      <c r="B23" s="1525"/>
      <c r="C23" s="669" t="str" cm="1">
        <f t="array" ref="C23">INDEX('Master sheet'!$A$1:$A$670,MATCH(1,("26-30" = 'Master sheet'!$AO$1:$AO$670)*(5 = 'Master sheet'!$AP$1:$AP$670)*('Master sheet'!$AT$1:$AT$670),0))</f>
        <v xml:space="preserve">Concrete - 30 MPa, 40% FA, GU / SRMCA / Can. Sask Avg. / </v>
      </c>
      <c r="D23" s="15">
        <f>'USER INPUT SHEET'!$D$51</f>
        <v>0</v>
      </c>
      <c r="E23" s="16" t="str">
        <f>'USER INPUT SHEET'!$F$51</f>
        <v>m2</v>
      </c>
      <c r="F23" s="3">
        <v>1</v>
      </c>
      <c r="G23" s="670"/>
      <c r="H23" s="8"/>
      <c r="I23" s="92">
        <f t="shared" si="4"/>
        <v>0</v>
      </c>
      <c r="J23" s="93" t="str">
        <f t="shared" si="5"/>
        <v/>
      </c>
      <c r="K23" s="406">
        <f>$D23*$F23*$H$9*VLOOKUP($C23,'Master sheet'!$A:$AL,13,FALSE)</f>
        <v>0</v>
      </c>
      <c r="L23" s="94">
        <f>$D23*$F23*$H$9*VLOOKUP($C23,'Master sheet'!$A:$AL,27,FALSE)</f>
        <v>0</v>
      </c>
      <c r="M23" s="1552"/>
      <c r="N23" s="1552"/>
      <c r="O23" s="25" t="str">
        <f ca="1">_xlfn.IFNA(VLOOKUP($C23,'Master sheet'!$A:$AR,44,FALSE),"")&amp;""</f>
        <v/>
      </c>
      <c r="P23" s="672"/>
      <c r="Q23" s="29" t="s">
        <v>1556</v>
      </c>
      <c r="R23" s="28" t="s">
        <v>1585</v>
      </c>
      <c r="S23" s="664"/>
      <c r="T23" s="664"/>
      <c r="U23" s="664"/>
      <c r="V23" s="664"/>
      <c r="W23" s="664"/>
      <c r="X23" s="664"/>
      <c r="Y23" s="664"/>
      <c r="Z23" s="664"/>
      <c r="AA23" s="664"/>
    </row>
    <row r="24" spans="1:27" ht="23.25" hidden="1" customHeight="1" outlineLevel="1" x14ac:dyDescent="0.25">
      <c r="A24" s="1525"/>
      <c r="B24" s="1525"/>
      <c r="C24" s="669" t="e" cm="1">
        <f t="array" ref="C24">INDEX('Master sheet'!$A$1:$A$670,MATCH(1,("26-30" = 'Master sheet'!$AO$1:$AO$670)*(6 = 'Master sheet'!$AP$1:$AP$670)*('Master sheet'!$AT$1:$AT$670),0))</f>
        <v>#N/A</v>
      </c>
      <c r="D24" s="15">
        <f>'USER INPUT SHEET'!$D$51</f>
        <v>0</v>
      </c>
      <c r="E24" s="16" t="str">
        <f>'USER INPUT SHEET'!$F$51</f>
        <v>m2</v>
      </c>
      <c r="F24" s="3">
        <v>1</v>
      </c>
      <c r="G24" s="670"/>
      <c r="H24" s="8"/>
      <c r="I24" s="92" t="e">
        <f t="shared" ref="I24" si="6">K24-L24</f>
        <v>#N/A</v>
      </c>
      <c r="J24" s="93" t="str">
        <f t="shared" ref="J24" si="7">IF(H24=1,I24,"")</f>
        <v/>
      </c>
      <c r="K24" s="406" t="e">
        <f>$D24*$F24*$H$9*VLOOKUP($C24,'Master sheet'!$A:$AL,13,FALSE)</f>
        <v>#N/A</v>
      </c>
      <c r="L24" s="94" t="e">
        <f>$D24*$F24*$H$9*VLOOKUP($C24,'Master sheet'!$A:$AL,27,FALSE)</f>
        <v>#N/A</v>
      </c>
      <c r="M24" s="1552"/>
      <c r="N24" s="1552"/>
      <c r="O24" s="25" t="str">
        <f>_xlfn.IFNA(VLOOKUP($C24,'Master sheet'!$A:$AR,44,FALSE),"")&amp;""</f>
        <v/>
      </c>
      <c r="P24" s="672"/>
      <c r="Q24" s="29" t="s">
        <v>1556</v>
      </c>
      <c r="R24" s="28" t="s">
        <v>1585</v>
      </c>
      <c r="S24" s="664"/>
      <c r="T24" s="664"/>
      <c r="U24" s="664"/>
      <c r="V24" s="664"/>
      <c r="W24" s="664"/>
      <c r="X24" s="664"/>
      <c r="Y24" s="664"/>
      <c r="Z24" s="664"/>
      <c r="AA24" s="638"/>
    </row>
    <row r="25" spans="1:27" s="624" customFormat="1" ht="23.25" hidden="1" customHeight="1" outlineLevel="1" x14ac:dyDescent="0.25">
      <c r="A25" s="1525"/>
      <c r="B25" s="1525"/>
      <c r="C25" s="673" t="e" cm="1">
        <f t="array" ref="C25">INDEX('Master sheet'!$A$1:$A$670,MATCH(1,("26-30" = 'Master sheet'!$AO$1:$AO$670)*(7 = 'Master sheet'!$AP$1:$AP$670)*('Master sheet'!$AT$1:$AT$670),0))</f>
        <v>#N/A</v>
      </c>
      <c r="D25" s="17">
        <f>'USER INPUT SHEET'!$D$51</f>
        <v>0</v>
      </c>
      <c r="E25" s="18" t="str">
        <f>'USER INPUT SHEET'!$F$51</f>
        <v>m2</v>
      </c>
      <c r="F25" s="4">
        <v>1</v>
      </c>
      <c r="G25" s="674"/>
      <c r="H25" s="9"/>
      <c r="I25" s="95" t="e">
        <f t="shared" si="4"/>
        <v>#N/A</v>
      </c>
      <c r="J25" s="96" t="str">
        <f t="shared" si="5"/>
        <v/>
      </c>
      <c r="K25" s="407" t="e">
        <f>$D25*$F25*$H$9*VLOOKUP($C25,'Master sheet'!$A:$AL,13,FALSE)</f>
        <v>#N/A</v>
      </c>
      <c r="L25" s="97" t="e">
        <f>$D25*$F25*$H$9*VLOOKUP($C25,'Master sheet'!$A:$AL,27,FALSE)</f>
        <v>#N/A</v>
      </c>
      <c r="M25" s="1552"/>
      <c r="N25" s="1552"/>
      <c r="O25" s="25" t="str">
        <f>_xlfn.IFNA(VLOOKUP($C25,'Master sheet'!$A:$AR,44,FALSE),"")&amp;""</f>
        <v/>
      </c>
      <c r="P25" s="637"/>
      <c r="Q25" s="29" t="s">
        <v>1556</v>
      </c>
      <c r="R25" s="28" t="s">
        <v>1585</v>
      </c>
      <c r="S25" s="638"/>
      <c r="T25" s="638"/>
      <c r="U25" s="638"/>
      <c r="V25" s="638"/>
      <c r="W25" s="638"/>
      <c r="X25" s="638"/>
      <c r="Y25" s="638"/>
      <c r="Z25" s="638"/>
      <c r="AA25" s="664"/>
    </row>
    <row r="26" spans="1:27" s="624" customFormat="1" ht="55.2" customHeight="1" outlineLevel="1" x14ac:dyDescent="0.25">
      <c r="A26" s="1522" t="s">
        <v>1672</v>
      </c>
      <c r="B26" s="1523"/>
      <c r="C26" s="1523"/>
      <c r="D26" s="629" t="s">
        <v>1538</v>
      </c>
      <c r="E26" s="314"/>
      <c r="F26" s="323" t="s">
        <v>1537</v>
      </c>
      <c r="G26" s="650"/>
      <c r="H26" s="650"/>
      <c r="I26" s="651"/>
      <c r="J26" s="103"/>
      <c r="K26" s="652"/>
      <c r="L26" s="653"/>
      <c r="M26" s="653"/>
      <c r="N26" s="653"/>
      <c r="O26" s="25" t="str">
        <f>_xlfn.IFNA(VLOOKUP($C26,'Master sheet'!$A:$AR,44,FALSE),"")&amp;""</f>
        <v/>
      </c>
      <c r="P26" s="637"/>
      <c r="Q26" s="29"/>
      <c r="R26" s="28"/>
      <c r="S26" s="638"/>
      <c r="T26" s="638"/>
      <c r="U26" s="638"/>
      <c r="V26" s="638"/>
      <c r="W26" s="638"/>
      <c r="X26" s="638"/>
      <c r="Y26" s="638"/>
      <c r="Z26" s="638"/>
      <c r="AA26" s="664"/>
    </row>
    <row r="27" spans="1:27" ht="23.85" customHeight="1" outlineLevel="1" x14ac:dyDescent="0.25">
      <c r="A27" s="639"/>
      <c r="B27" s="1524" t="s">
        <v>1673</v>
      </c>
      <c r="C27" s="1524"/>
      <c r="D27" s="640"/>
      <c r="E27" s="675"/>
      <c r="F27" s="324"/>
      <c r="G27" s="675"/>
      <c r="H27" s="675"/>
      <c r="I27" s="642"/>
      <c r="J27" s="643"/>
      <c r="K27" s="676"/>
      <c r="L27" s="677"/>
      <c r="M27" s="677"/>
      <c r="N27" s="677"/>
      <c r="O27" s="25" t="str">
        <f>_xlfn.IFNA(VLOOKUP($C27,'Master sheet'!$A:$AR,44,FALSE),"")&amp;""</f>
        <v/>
      </c>
      <c r="P27" s="637"/>
      <c r="Q27" s="29"/>
      <c r="R27" s="21"/>
      <c r="S27" s="664"/>
      <c r="T27" s="664"/>
      <c r="U27" s="664"/>
      <c r="V27" s="664"/>
      <c r="W27" s="664"/>
      <c r="X27" s="664"/>
      <c r="Y27" s="664"/>
      <c r="Z27" s="664"/>
      <c r="AA27" s="664"/>
    </row>
    <row r="28" spans="1:27" ht="23.25" customHeight="1" outlineLevel="1" x14ac:dyDescent="0.25">
      <c r="A28" s="666"/>
      <c r="B28" s="666"/>
      <c r="C28" s="647" t="str">
        <f>INDEX('Master sheet'!$A$1:$A$670,MATCH("A121",'Master sheet'!$AN$1:$AN$670,0))</f>
        <v xml:space="preserve">Welded wire reinforcement / Insteel Industries / 4" x 4" x 6/6g / </v>
      </c>
      <c r="D28" s="13">
        <f>IF($E$26&gt;0,$E$26,'USER INPUT SHEET'!$D$51)</f>
        <v>0</v>
      </c>
      <c r="E28" s="23" t="str">
        <f>'USER INPUT SHEET'!$F$51</f>
        <v>m2</v>
      </c>
      <c r="F28" s="2">
        <v>1</v>
      </c>
      <c r="G28" s="648"/>
      <c r="H28" s="7"/>
      <c r="I28" s="88">
        <f>K28-L28</f>
        <v>0</v>
      </c>
      <c r="J28" s="89" t="str">
        <f>IF(H28=1,I28,"")</f>
        <v/>
      </c>
      <c r="K28" s="404">
        <f>$D28*$F28*VLOOKUP($C28,'Master sheet'!$A:$AL,13,FALSE)</f>
        <v>0</v>
      </c>
      <c r="L28" s="90">
        <f>$D28*$F28*VLOOKUP($C28,'Master sheet'!$A:$AL,27,FALSE)</f>
        <v>0</v>
      </c>
      <c r="M28" s="1552"/>
      <c r="N28" s="1552"/>
      <c r="O28" s="25" t="str">
        <f>_xlfn.IFNA(VLOOKUP($C28,'Master sheet'!$A:$AR,44,FALSE),"")&amp;""</f>
        <v/>
      </c>
      <c r="P28" s="637"/>
      <c r="Q28" s="29" t="s">
        <v>1556</v>
      </c>
      <c r="R28" s="21" t="s">
        <v>1671</v>
      </c>
      <c r="S28" s="664"/>
      <c r="T28" s="664"/>
      <c r="U28" s="664"/>
      <c r="V28" s="664"/>
      <c r="W28" s="664"/>
      <c r="X28" s="664"/>
      <c r="Y28" s="664"/>
      <c r="Z28" s="664"/>
      <c r="AA28" s="664"/>
    </row>
    <row r="29" spans="1:27" ht="23.25" customHeight="1" outlineLevel="1" x14ac:dyDescent="0.25">
      <c r="A29" s="666"/>
      <c r="B29" s="666"/>
      <c r="C29" s="647" t="str">
        <f>INDEX('Master sheet'!$A$1:$A$670,MATCH("A120",'Master sheet'!$AN$1:$AN$670,0))</f>
        <v xml:space="preserve">Welded wire reinforcement / Insteel Industries / 6" x 6" x 6/6g / </v>
      </c>
      <c r="D29" s="13">
        <f>IF($E$26&gt;0,$E$26,'USER INPUT SHEET'!$D$51)</f>
        <v>0</v>
      </c>
      <c r="E29" s="23" t="str">
        <f>'USER INPUT SHEET'!$F$51</f>
        <v>m2</v>
      </c>
      <c r="F29" s="2">
        <v>1</v>
      </c>
      <c r="G29" s="648"/>
      <c r="H29" s="7"/>
      <c r="I29" s="88">
        <f>K29-L29</f>
        <v>0</v>
      </c>
      <c r="J29" s="89" t="str">
        <f>IF(H29=1,I29,"")</f>
        <v/>
      </c>
      <c r="K29" s="404">
        <f>$D29*$F29*VLOOKUP($C29,'Master sheet'!$A:$AL,13,FALSE)</f>
        <v>0</v>
      </c>
      <c r="L29" s="90">
        <f>$D29*$F29*VLOOKUP($C29,'Master sheet'!$A:$AL,27,FALSE)</f>
        <v>0</v>
      </c>
      <c r="M29" s="1552"/>
      <c r="N29" s="1552"/>
      <c r="O29" s="25" t="str">
        <f>_xlfn.IFNA(VLOOKUP($C29,'Master sheet'!$A:$AR,44,FALSE),"")&amp;""</f>
        <v/>
      </c>
      <c r="P29" s="637"/>
      <c r="Q29" s="29" t="s">
        <v>1556</v>
      </c>
      <c r="R29" s="21" t="s">
        <v>1671</v>
      </c>
      <c r="S29" s="664"/>
      <c r="T29" s="664"/>
      <c r="U29" s="664"/>
      <c r="V29" s="664"/>
      <c r="W29" s="664"/>
      <c r="X29" s="664"/>
      <c r="Y29" s="664"/>
      <c r="Z29" s="664"/>
      <c r="AA29" s="664"/>
    </row>
    <row r="30" spans="1:27" s="624" customFormat="1" ht="55.2" customHeight="1" outlineLevel="1" x14ac:dyDescent="0.25">
      <c r="A30" s="1522" t="s">
        <v>1535</v>
      </c>
      <c r="B30" s="1523"/>
      <c r="C30" s="1523"/>
      <c r="D30" s="649"/>
      <c r="E30" s="650"/>
      <c r="F30" s="321"/>
      <c r="G30" s="650"/>
      <c r="H30" s="650"/>
      <c r="I30" s="651"/>
      <c r="J30" s="103"/>
      <c r="K30" s="652"/>
      <c r="L30" s="653"/>
      <c r="M30" s="653"/>
      <c r="N30" s="653"/>
      <c r="O30" s="25" t="str">
        <f>_xlfn.IFNA(VLOOKUP($C30,'Master sheet'!$A:$AR,44,FALSE),"")&amp;""</f>
        <v/>
      </c>
      <c r="P30" s="655"/>
      <c r="Q30" s="29"/>
      <c r="R30" s="28"/>
      <c r="S30" s="638"/>
      <c r="T30" s="638"/>
      <c r="U30" s="638"/>
      <c r="V30" s="638"/>
      <c r="W30" s="638"/>
      <c r="X30" s="638"/>
      <c r="Y30" s="638"/>
      <c r="Z30" s="638"/>
      <c r="AA30" s="664"/>
    </row>
    <row r="31" spans="1:27" ht="23.85" customHeight="1" outlineLevel="1" x14ac:dyDescent="0.25">
      <c r="A31" s="639"/>
      <c r="B31" s="1524" t="s">
        <v>1349</v>
      </c>
      <c r="C31" s="1524"/>
      <c r="D31" s="656"/>
      <c r="E31" s="657"/>
      <c r="F31" s="322"/>
      <c r="G31" s="657"/>
      <c r="H31" s="657"/>
      <c r="I31" s="658"/>
      <c r="J31" s="659"/>
      <c r="K31" s="660"/>
      <c r="L31" s="661"/>
      <c r="M31" s="677"/>
      <c r="N31" s="677"/>
      <c r="O31" s="25" t="str">
        <f>_xlfn.IFNA(VLOOKUP($C31,'Master sheet'!$A:$AR,44,FALSE),"")&amp;""</f>
        <v/>
      </c>
      <c r="P31" s="663"/>
      <c r="Q31" s="29"/>
      <c r="R31" s="21"/>
      <c r="S31" s="664"/>
      <c r="T31" s="664"/>
      <c r="U31" s="664"/>
      <c r="V31" s="664"/>
      <c r="W31" s="664"/>
      <c r="X31" s="664"/>
      <c r="Y31" s="664"/>
      <c r="Z31" s="664"/>
      <c r="AA31" s="664"/>
    </row>
    <row r="32" spans="1:27" ht="31.5" customHeight="1" outlineLevel="1" x14ac:dyDescent="0.25">
      <c r="A32" s="1525" t="s">
        <v>786</v>
      </c>
      <c r="B32" s="1525"/>
      <c r="C32" s="667" t="str" cm="1">
        <f t="array" ref="C32">INDEX('Master sheet'!$A$1:$A$670,MATCH(1,("0-25" = 'Master sheet'!$AO$1:$AO$670)*(1 = 'Master sheet'!$AP$1:$AP$670)*('Master sheet'!$AT$1:$AT$670),0))</f>
        <v xml:space="preserve">Concrete - 25 MPa, GU / SRMCA / Can. Sask Avg. / </v>
      </c>
      <c r="D32" s="230">
        <f>'USER INPUT SHEET'!$D$48</f>
        <v>0</v>
      </c>
      <c r="E32" s="231" t="str">
        <f>'USER INPUT SHEET'!$F$48</f>
        <v>m3</v>
      </c>
      <c r="F32" s="5">
        <v>1</v>
      </c>
      <c r="G32" s="668"/>
      <c r="H32" s="10"/>
      <c r="I32" s="232">
        <f t="shared" ref="I32:I38" si="8">K32-L32</f>
        <v>0</v>
      </c>
      <c r="J32" s="233" t="str">
        <f t="shared" ref="J32:J38" si="9">IF(H32=1,I32,"")</f>
        <v/>
      </c>
      <c r="K32" s="409">
        <f>$D32*$F32*VLOOKUP($C32,'Master sheet'!$A:$AL,13,FALSE)</f>
        <v>0</v>
      </c>
      <c r="L32" s="90">
        <f>$D32*$F32*VLOOKUP($C32,'Master sheet'!$A:$AL,27,FALSE)</f>
        <v>0</v>
      </c>
      <c r="M32" s="1552"/>
      <c r="N32" s="1552"/>
      <c r="O32" s="25" t="str">
        <f ca="1">_xlfn.IFNA(VLOOKUP($C32,'Master sheet'!$A:$AR,44,FALSE),"")&amp;""</f>
        <v/>
      </c>
      <c r="P32" s="637"/>
      <c r="Q32" s="29" t="s">
        <v>1556</v>
      </c>
      <c r="R32" s="21" t="s">
        <v>1586</v>
      </c>
      <c r="S32" s="664"/>
      <c r="T32" s="664"/>
      <c r="U32" s="664"/>
      <c r="V32" s="664"/>
      <c r="W32" s="664"/>
      <c r="X32" s="664"/>
      <c r="Y32" s="664"/>
      <c r="Z32" s="664"/>
      <c r="AA32" s="638"/>
    </row>
    <row r="33" spans="1:27" ht="23.25" customHeight="1" outlineLevel="1" x14ac:dyDescent="0.25">
      <c r="A33" s="1525"/>
      <c r="B33" s="1525"/>
      <c r="C33" s="669" t="str" cm="1">
        <f t="array" ref="C33">INDEX('Master sheet'!$A$1:$A$670,MATCH(1,("0-25" = 'Master sheet'!$AO$1:$AO$670)*(2 = 'Master sheet'!$AP$1:$AP$670)*('Master sheet'!$AT$1:$AT$670),0))</f>
        <v xml:space="preserve">Concrete - 25 MPa, 10% FA, GU / SRMCA / Can. Sask Avg. / </v>
      </c>
      <c r="D33" s="15">
        <f>'USER INPUT SHEET'!$D$48</f>
        <v>0</v>
      </c>
      <c r="E33" s="16" t="str">
        <f>'USER INPUT SHEET'!$F$48</f>
        <v>m3</v>
      </c>
      <c r="F33" s="3">
        <v>1</v>
      </c>
      <c r="G33" s="670"/>
      <c r="H33" s="8"/>
      <c r="I33" s="92">
        <f t="shared" si="8"/>
        <v>0</v>
      </c>
      <c r="J33" s="93" t="str">
        <f t="shared" si="9"/>
        <v/>
      </c>
      <c r="K33" s="406">
        <f>$D33*$F33*VLOOKUP($C33,'Master sheet'!$A:$AL,13,FALSE)</f>
        <v>0</v>
      </c>
      <c r="L33" s="94">
        <f>$D33*$F33*VLOOKUP($C33,'Master sheet'!$A:$AL,27,FALSE)</f>
        <v>0</v>
      </c>
      <c r="M33" s="1552"/>
      <c r="N33" s="1552"/>
      <c r="O33" s="25" t="str">
        <f ca="1">_xlfn.IFNA(VLOOKUP($C33,'Master sheet'!$A:$AR,44,FALSE),"")&amp;""</f>
        <v/>
      </c>
      <c r="P33" s="671"/>
      <c r="Q33" s="29" t="s">
        <v>1556</v>
      </c>
      <c r="R33" s="21" t="s">
        <v>1586</v>
      </c>
      <c r="S33" s="664"/>
      <c r="T33" s="664"/>
      <c r="U33" s="664"/>
      <c r="V33" s="664"/>
      <c r="W33" s="664"/>
      <c r="X33" s="664"/>
      <c r="Y33" s="664"/>
      <c r="Z33" s="664"/>
      <c r="AA33" s="638"/>
    </row>
    <row r="34" spans="1:27" ht="23.25" customHeight="1" outlineLevel="1" x14ac:dyDescent="0.25">
      <c r="A34" s="1525"/>
      <c r="B34" s="1525"/>
      <c r="C34" s="669" t="str" cm="1">
        <f t="array" ref="C34">INDEX('Master sheet'!$A$1:$A$670,MATCH(1,("0-25" = 'Master sheet'!$AO$1:$AO$670)*(3 = 'Master sheet'!$AP$1:$AP$670)*('Master sheet'!$AT$1:$AT$670),0))</f>
        <v xml:space="preserve">Concrete - 25 MPa, 20% FA, GU / SRMCA / Can. Sask Avg. / </v>
      </c>
      <c r="D34" s="15">
        <f>'USER INPUT SHEET'!$D$48</f>
        <v>0</v>
      </c>
      <c r="E34" s="16" t="str">
        <f>'USER INPUT SHEET'!$F$48</f>
        <v>m3</v>
      </c>
      <c r="F34" s="3">
        <v>1</v>
      </c>
      <c r="G34" s="670"/>
      <c r="H34" s="8"/>
      <c r="I34" s="92">
        <f t="shared" si="8"/>
        <v>0</v>
      </c>
      <c r="J34" s="93" t="str">
        <f t="shared" si="9"/>
        <v/>
      </c>
      <c r="K34" s="406">
        <f>$D34*$F34*VLOOKUP($C34,'Master sheet'!$A:$AL,13,FALSE)</f>
        <v>0</v>
      </c>
      <c r="L34" s="94">
        <f>$D34*$F34*VLOOKUP($C34,'Master sheet'!$A:$AL,27,FALSE)</f>
        <v>0</v>
      </c>
      <c r="M34" s="1552"/>
      <c r="N34" s="1552"/>
      <c r="O34" s="25" t="str">
        <f ca="1">_xlfn.IFNA(VLOOKUP($C34,'Master sheet'!$A:$AR,44,FALSE),"")&amp;""</f>
        <v/>
      </c>
      <c r="P34" s="672"/>
      <c r="Q34" s="29" t="s">
        <v>1556</v>
      </c>
      <c r="R34" s="21" t="s">
        <v>1586</v>
      </c>
      <c r="S34" s="664"/>
      <c r="T34" s="664"/>
      <c r="U34" s="664"/>
      <c r="V34" s="664"/>
      <c r="W34" s="664"/>
      <c r="X34" s="664"/>
      <c r="Y34" s="664"/>
      <c r="Z34" s="664"/>
      <c r="AA34" s="664"/>
    </row>
    <row r="35" spans="1:27" ht="23.25" customHeight="1" outlineLevel="1" x14ac:dyDescent="0.25">
      <c r="A35" s="1525"/>
      <c r="B35" s="1525"/>
      <c r="C35" s="669" t="str" cm="1">
        <f t="array" ref="C35">INDEX('Master sheet'!$A$1:$A$670,MATCH(1,("0-25" = 'Master sheet'!$AO$1:$AO$670)*(4 = 'Master sheet'!$AP$1:$AP$670)*('Master sheet'!$AT$1:$AT$670),0))</f>
        <v xml:space="preserve">Concrete - 25 MPa, 30% FA, GU / SRMCA / Can. Sask Avg. / </v>
      </c>
      <c r="D35" s="15">
        <f>'USER INPUT SHEET'!$D$48</f>
        <v>0</v>
      </c>
      <c r="E35" s="16" t="str">
        <f>'USER INPUT SHEET'!$F$48</f>
        <v>m3</v>
      </c>
      <c r="F35" s="3">
        <v>1</v>
      </c>
      <c r="G35" s="670"/>
      <c r="H35" s="8"/>
      <c r="I35" s="92">
        <f t="shared" si="8"/>
        <v>0</v>
      </c>
      <c r="J35" s="93" t="str">
        <f t="shared" si="9"/>
        <v/>
      </c>
      <c r="K35" s="406">
        <f>$D35*$F35*VLOOKUP($C35,'Master sheet'!$A:$AL,13,FALSE)</f>
        <v>0</v>
      </c>
      <c r="L35" s="94">
        <f>$D35*$F35*VLOOKUP($C35,'Master sheet'!$A:$AL,27,FALSE)</f>
        <v>0</v>
      </c>
      <c r="M35" s="1552"/>
      <c r="N35" s="1552"/>
      <c r="O35" s="25" t="str">
        <f ca="1">_xlfn.IFNA(VLOOKUP($C35,'Master sheet'!$A:$AR,44,FALSE),"")&amp;""</f>
        <v/>
      </c>
      <c r="P35" s="672"/>
      <c r="Q35" s="29" t="s">
        <v>1556</v>
      </c>
      <c r="R35" s="21" t="s">
        <v>1586</v>
      </c>
      <c r="S35" s="664"/>
      <c r="T35" s="664"/>
      <c r="U35" s="664"/>
      <c r="V35" s="664"/>
      <c r="W35" s="664"/>
      <c r="X35" s="664"/>
      <c r="Y35" s="664"/>
      <c r="Z35" s="664"/>
      <c r="AA35" s="664"/>
    </row>
    <row r="36" spans="1:27" ht="23.25" customHeight="1" outlineLevel="1" x14ac:dyDescent="0.25">
      <c r="A36" s="1525"/>
      <c r="B36" s="1525"/>
      <c r="C36" s="669" t="str" cm="1">
        <f t="array" ref="C36">INDEX('Master sheet'!$A$1:$A$670,MATCH(1,("0-25" = 'Master sheet'!$AO$1:$AO$670)*(5 = 'Master sheet'!$AP$1:$AP$670)*('Master sheet'!$AT$1:$AT$670),0))</f>
        <v xml:space="preserve">Concrete - 25 MPa, 40% FA, GU / SRMCA / Can. Sask Avg. / </v>
      </c>
      <c r="D36" s="15">
        <f>'USER INPUT SHEET'!$D$48</f>
        <v>0</v>
      </c>
      <c r="E36" s="16" t="str">
        <f>'USER INPUT SHEET'!$F$48</f>
        <v>m3</v>
      </c>
      <c r="F36" s="3">
        <v>1</v>
      </c>
      <c r="G36" s="670"/>
      <c r="H36" s="8"/>
      <c r="I36" s="92">
        <f t="shared" si="8"/>
        <v>0</v>
      </c>
      <c r="J36" s="93" t="str">
        <f t="shared" si="9"/>
        <v/>
      </c>
      <c r="K36" s="406">
        <f>$D36*$F36*VLOOKUP($C36,'Master sheet'!$A:$AL,13,FALSE)</f>
        <v>0</v>
      </c>
      <c r="L36" s="94">
        <f>$D36*$F36*VLOOKUP($C36,'Master sheet'!$A:$AL,27,FALSE)</f>
        <v>0</v>
      </c>
      <c r="M36" s="1552"/>
      <c r="N36" s="1552"/>
      <c r="O36" s="25" t="str">
        <f ca="1">_xlfn.IFNA(VLOOKUP($C36,'Master sheet'!$A:$AR,44,FALSE),"")&amp;""</f>
        <v/>
      </c>
      <c r="P36" s="672"/>
      <c r="Q36" s="29" t="s">
        <v>1556</v>
      </c>
      <c r="R36" s="21" t="s">
        <v>1586</v>
      </c>
      <c r="S36" s="664"/>
      <c r="T36" s="664"/>
      <c r="U36" s="664"/>
      <c r="V36" s="664"/>
      <c r="W36" s="664"/>
      <c r="X36" s="664"/>
      <c r="Y36" s="664"/>
      <c r="Z36" s="664"/>
      <c r="AA36" s="664"/>
    </row>
    <row r="37" spans="1:27" ht="23.25" hidden="1" customHeight="1" outlineLevel="1" x14ac:dyDescent="0.25">
      <c r="A37" s="1525"/>
      <c r="B37" s="1525"/>
      <c r="C37" s="669" t="e" cm="1">
        <f t="array" ref="C37">INDEX('Master sheet'!$A$1:$A$670,MATCH(1,("0-25" = 'Master sheet'!$AO$1:$AO$670)*(6 = 'Master sheet'!$AP$1:$AP$670)*('Master sheet'!$AT$1:$AT$670),0))</f>
        <v>#N/A</v>
      </c>
      <c r="D37" s="15">
        <f>'USER INPUT SHEET'!$D$48</f>
        <v>0</v>
      </c>
      <c r="E37" s="16" t="str">
        <f>'USER INPUT SHEET'!$F$48</f>
        <v>m3</v>
      </c>
      <c r="F37" s="3">
        <v>1</v>
      </c>
      <c r="G37" s="670"/>
      <c r="H37" s="8"/>
      <c r="I37" s="92" t="e">
        <f t="shared" ref="I37" si="10">K37-L37</f>
        <v>#N/A</v>
      </c>
      <c r="J37" s="93" t="str">
        <f t="shared" ref="J37" si="11">IF(H37=1,I37,"")</f>
        <v/>
      </c>
      <c r="K37" s="406" t="e">
        <f>$D37*$F37*VLOOKUP($C37,'Master sheet'!$A:$AL,13,FALSE)</f>
        <v>#N/A</v>
      </c>
      <c r="L37" s="94" t="e">
        <f>$D37*$F37*VLOOKUP($C37,'Master sheet'!$A:$AL,27,FALSE)</f>
        <v>#N/A</v>
      </c>
      <c r="M37" s="1552"/>
      <c r="N37" s="1552"/>
      <c r="O37" s="25" t="str">
        <f>_xlfn.IFNA(VLOOKUP($C37,'Master sheet'!$A:$AR,44,FALSE),"")&amp;""</f>
        <v/>
      </c>
      <c r="P37" s="672"/>
      <c r="Q37" s="29" t="s">
        <v>1556</v>
      </c>
      <c r="R37" s="21" t="s">
        <v>1586</v>
      </c>
      <c r="S37" s="664"/>
      <c r="T37" s="664"/>
      <c r="U37" s="664"/>
      <c r="V37" s="664"/>
      <c r="W37" s="664"/>
      <c r="X37" s="664"/>
      <c r="Y37" s="664"/>
      <c r="Z37" s="664"/>
      <c r="AA37" s="664"/>
    </row>
    <row r="38" spans="1:27" s="624" customFormat="1" ht="23.25" hidden="1" customHeight="1" outlineLevel="1" x14ac:dyDescent="0.25">
      <c r="A38" s="1525"/>
      <c r="B38" s="1525"/>
      <c r="C38" s="673" t="e" cm="1">
        <f t="array" ref="C38">INDEX('Master sheet'!$A$1:$A$670,MATCH(1,("0-25" = 'Master sheet'!$AO$1:$AO$670)*(7 = 'Master sheet'!$AP$1:$AP$670)*('Master sheet'!$AT$1:$AT$670),0))</f>
        <v>#N/A</v>
      </c>
      <c r="D38" s="17">
        <f>'USER INPUT SHEET'!$D$48</f>
        <v>0</v>
      </c>
      <c r="E38" s="18" t="str">
        <f>'USER INPUT SHEET'!$F$48</f>
        <v>m3</v>
      </c>
      <c r="F38" s="4">
        <v>1</v>
      </c>
      <c r="G38" s="674"/>
      <c r="H38" s="9"/>
      <c r="I38" s="95" t="e">
        <f t="shared" si="8"/>
        <v>#N/A</v>
      </c>
      <c r="J38" s="96" t="str">
        <f t="shared" si="9"/>
        <v/>
      </c>
      <c r="K38" s="407" t="e">
        <f>$D38*$F38*VLOOKUP($C38,'Master sheet'!$A:$AL,13,FALSE)</f>
        <v>#N/A</v>
      </c>
      <c r="L38" s="97" t="e">
        <f>$D38*$F38*VLOOKUP($C38,'Master sheet'!$A:$AL,27,FALSE)</f>
        <v>#N/A</v>
      </c>
      <c r="M38" s="1552"/>
      <c r="N38" s="1552"/>
      <c r="O38" s="25" t="str">
        <f>_xlfn.IFNA(VLOOKUP($C38,'Master sheet'!$A:$AR,44,FALSE),"")&amp;""</f>
        <v/>
      </c>
      <c r="P38" s="637"/>
      <c r="Q38" s="29" t="s">
        <v>1556</v>
      </c>
      <c r="R38" s="21" t="s">
        <v>1586</v>
      </c>
      <c r="S38" s="638"/>
      <c r="T38" s="638"/>
      <c r="U38" s="638"/>
      <c r="V38" s="638"/>
      <c r="W38" s="638"/>
      <c r="X38" s="638"/>
      <c r="Y38" s="638"/>
      <c r="Z38" s="638"/>
      <c r="AA38" s="664"/>
    </row>
    <row r="39" spans="1:27" ht="23.85" customHeight="1" outlineLevel="1" x14ac:dyDescent="0.25">
      <c r="A39" s="639"/>
      <c r="B39" s="1524" t="s">
        <v>1350</v>
      </c>
      <c r="C39" s="1524"/>
      <c r="D39" s="656"/>
      <c r="E39" s="657"/>
      <c r="F39" s="322"/>
      <c r="G39" s="657"/>
      <c r="H39" s="657"/>
      <c r="I39" s="658"/>
      <c r="J39" s="659"/>
      <c r="K39" s="660"/>
      <c r="L39" s="661"/>
      <c r="M39" s="677"/>
      <c r="N39" s="677"/>
      <c r="O39" s="25" t="str">
        <f>_xlfn.IFNA(VLOOKUP($C39,'Master sheet'!$A:$AR,44,FALSE),"")&amp;""</f>
        <v/>
      </c>
      <c r="P39" s="663"/>
      <c r="Q39" s="29" t="s">
        <v>1556</v>
      </c>
      <c r="R39" s="21" t="s">
        <v>1586</v>
      </c>
      <c r="S39" s="664"/>
      <c r="T39" s="664"/>
      <c r="U39" s="664"/>
      <c r="V39" s="664"/>
      <c r="W39" s="664"/>
      <c r="X39" s="664"/>
      <c r="Y39" s="664"/>
      <c r="Z39" s="664"/>
      <c r="AA39" s="664"/>
    </row>
    <row r="40" spans="1:27" ht="31.5" customHeight="1" outlineLevel="1" x14ac:dyDescent="0.25">
      <c r="A40" s="1525" t="s">
        <v>786</v>
      </c>
      <c r="B40" s="1525"/>
      <c r="C40" s="667" t="str" cm="1">
        <f t="array" ref="C40">INDEX('Master sheet'!$A$1:$A$670,MATCH(1,("26-30" = 'Master sheet'!$AO$1:$AO$670)*(1 = 'Master sheet'!$AP$1:$AP$670)*('Master sheet'!$AT$1:$AT$670),0))</f>
        <v xml:space="preserve">Concrete - 30 MPa, GU / SRMCA / Can. Sask Avg. / </v>
      </c>
      <c r="D40" s="230">
        <f>'USER INPUT SHEET'!$D$48</f>
        <v>0</v>
      </c>
      <c r="E40" s="231" t="str">
        <f>'USER INPUT SHEET'!$F$48</f>
        <v>m3</v>
      </c>
      <c r="F40" s="5">
        <v>1</v>
      </c>
      <c r="G40" s="668"/>
      <c r="H40" s="10"/>
      <c r="I40" s="232">
        <f t="shared" ref="I40:I46" si="12">K40-L40</f>
        <v>0</v>
      </c>
      <c r="J40" s="233" t="str">
        <f t="shared" ref="J40:J46" si="13">IF(H40=1,I40,"")</f>
        <v/>
      </c>
      <c r="K40" s="409">
        <f>$D40*$F40*VLOOKUP($C40,'Master sheet'!$A:$AL,13,FALSE)</f>
        <v>0</v>
      </c>
      <c r="L40" s="90">
        <f>$D40*$F40*VLOOKUP($C40,'Master sheet'!$A:$AL,27,FALSE)</f>
        <v>0</v>
      </c>
      <c r="M40" s="1552"/>
      <c r="N40" s="1552"/>
      <c r="O40" s="25" t="str">
        <f ca="1">_xlfn.IFNA(VLOOKUP($C40,'Master sheet'!$A:$AR,44,FALSE),"")&amp;""</f>
        <v/>
      </c>
      <c r="P40" s="637"/>
      <c r="Q40" s="29" t="s">
        <v>1556</v>
      </c>
      <c r="R40" s="21" t="s">
        <v>1586</v>
      </c>
      <c r="S40" s="664"/>
      <c r="T40" s="664"/>
      <c r="U40" s="664"/>
      <c r="V40" s="664"/>
      <c r="W40" s="664"/>
      <c r="X40" s="664"/>
      <c r="Y40" s="664"/>
      <c r="Z40" s="664"/>
      <c r="AA40" s="664"/>
    </row>
    <row r="41" spans="1:27" ht="23.25" customHeight="1" outlineLevel="1" x14ac:dyDescent="0.25">
      <c r="A41" s="1525"/>
      <c r="B41" s="1525"/>
      <c r="C41" s="669" t="str" cm="1">
        <f t="array" ref="C41">INDEX('Master sheet'!$A$1:$A$670,MATCH(1,("26-30" = 'Master sheet'!$AO$1:$AO$670)*(2 = 'Master sheet'!$AP$1:$AP$670)*('Master sheet'!$AT$1:$AT$670),0))</f>
        <v xml:space="preserve">Concrete - 30 MPa, 10% FA, GU / SRMCA / Can. Sask Avg. / </v>
      </c>
      <c r="D41" s="15">
        <f>'USER INPUT SHEET'!$D$48</f>
        <v>0</v>
      </c>
      <c r="E41" s="16" t="str">
        <f>'USER INPUT SHEET'!$F$48</f>
        <v>m3</v>
      </c>
      <c r="F41" s="3">
        <v>1</v>
      </c>
      <c r="G41" s="670"/>
      <c r="H41" s="8"/>
      <c r="I41" s="92">
        <f t="shared" si="12"/>
        <v>0</v>
      </c>
      <c r="J41" s="93" t="str">
        <f t="shared" si="13"/>
        <v/>
      </c>
      <c r="K41" s="406">
        <f>$D41*$F41*VLOOKUP($C41,'Master sheet'!$A:$AL,13,FALSE)</f>
        <v>0</v>
      </c>
      <c r="L41" s="94">
        <f>$D41*$F41*VLOOKUP($C41,'Master sheet'!$A:$AL,27,FALSE)</f>
        <v>0</v>
      </c>
      <c r="M41" s="1552"/>
      <c r="N41" s="1552"/>
      <c r="O41" s="25" t="str">
        <f ca="1">_xlfn.IFNA(VLOOKUP($C41,'Master sheet'!$A:$AR,44,FALSE),"")&amp;""</f>
        <v/>
      </c>
      <c r="P41" s="671"/>
      <c r="Q41" s="29" t="s">
        <v>1556</v>
      </c>
      <c r="R41" s="21" t="s">
        <v>1586</v>
      </c>
      <c r="S41" s="664"/>
      <c r="T41" s="664"/>
      <c r="U41" s="664"/>
      <c r="V41" s="664"/>
      <c r="W41" s="664"/>
      <c r="X41" s="664"/>
      <c r="Y41" s="664"/>
      <c r="Z41" s="664"/>
      <c r="AA41" s="664"/>
    </row>
    <row r="42" spans="1:27" ht="23.25" customHeight="1" outlineLevel="1" x14ac:dyDescent="0.25">
      <c r="A42" s="1525"/>
      <c r="B42" s="1525"/>
      <c r="C42" s="669" t="str" cm="1">
        <f t="array" ref="C42">INDEX('Master sheet'!$A$1:$A$670,MATCH(1,("26-30" = 'Master sheet'!$AO$1:$AO$670)*(3 = 'Master sheet'!$AP$1:$AP$670)*('Master sheet'!$AT$1:$AT$670),0))</f>
        <v xml:space="preserve">Concrete - 30 MPa, 20% FA, GU / SRMCA / Can. Sask Avg. / </v>
      </c>
      <c r="D42" s="15">
        <f>'USER INPUT SHEET'!$D$48</f>
        <v>0</v>
      </c>
      <c r="E42" s="16" t="str">
        <f>'USER INPUT SHEET'!$F$48</f>
        <v>m3</v>
      </c>
      <c r="F42" s="3">
        <v>1</v>
      </c>
      <c r="G42" s="670"/>
      <c r="H42" s="8"/>
      <c r="I42" s="92">
        <f t="shared" si="12"/>
        <v>0</v>
      </c>
      <c r="J42" s="93" t="str">
        <f t="shared" si="13"/>
        <v/>
      </c>
      <c r="K42" s="406">
        <f>$D42*$F42*VLOOKUP($C42,'Master sheet'!$A:$AL,13,FALSE)</f>
        <v>0</v>
      </c>
      <c r="L42" s="94">
        <f>$D42*$F42*VLOOKUP($C42,'Master sheet'!$A:$AL,27,FALSE)</f>
        <v>0</v>
      </c>
      <c r="M42" s="1552"/>
      <c r="N42" s="1552"/>
      <c r="O42" s="25" t="str">
        <f ca="1">_xlfn.IFNA(VLOOKUP($C42,'Master sheet'!$A:$AR,44,FALSE),"")&amp;""</f>
        <v/>
      </c>
      <c r="P42" s="672"/>
      <c r="Q42" s="29" t="s">
        <v>1556</v>
      </c>
      <c r="R42" s="21" t="s">
        <v>1586</v>
      </c>
      <c r="S42" s="664"/>
      <c r="T42" s="664"/>
      <c r="U42" s="664"/>
      <c r="V42" s="664"/>
      <c r="W42" s="664"/>
      <c r="X42" s="664"/>
      <c r="Y42" s="664"/>
      <c r="Z42" s="664"/>
      <c r="AA42" s="664"/>
    </row>
    <row r="43" spans="1:27" ht="23.25" customHeight="1" outlineLevel="1" x14ac:dyDescent="0.25">
      <c r="A43" s="1525"/>
      <c r="B43" s="1525"/>
      <c r="C43" s="669" t="str" cm="1">
        <f t="array" ref="C43">INDEX('Master sheet'!$A$1:$A$670,MATCH(1,("26-30" = 'Master sheet'!$AO$1:$AO$670)*(4 = 'Master sheet'!$AP$1:$AP$670)*('Master sheet'!$AT$1:$AT$670),0))</f>
        <v xml:space="preserve">Concrete - 30 MPa, 30% FA, GU / SRMCA / Can. Sask Avg. / </v>
      </c>
      <c r="D43" s="15">
        <f>'USER INPUT SHEET'!$D$48</f>
        <v>0</v>
      </c>
      <c r="E43" s="16" t="str">
        <f>'USER INPUT SHEET'!$F$48</f>
        <v>m3</v>
      </c>
      <c r="F43" s="3">
        <v>1</v>
      </c>
      <c r="G43" s="670"/>
      <c r="H43" s="8"/>
      <c r="I43" s="92">
        <f t="shared" si="12"/>
        <v>0</v>
      </c>
      <c r="J43" s="93" t="str">
        <f t="shared" si="13"/>
        <v/>
      </c>
      <c r="K43" s="406">
        <f>$D43*$F43*VLOOKUP($C43,'Master sheet'!$A:$AL,13,FALSE)</f>
        <v>0</v>
      </c>
      <c r="L43" s="94">
        <f>$D43*$F43*VLOOKUP($C43,'Master sheet'!$A:$AL,27,FALSE)</f>
        <v>0</v>
      </c>
      <c r="M43" s="1552"/>
      <c r="N43" s="1552"/>
      <c r="O43" s="25" t="str">
        <f ca="1">_xlfn.IFNA(VLOOKUP($C43,'Master sheet'!$A:$AR,44,FALSE),"")&amp;""</f>
        <v/>
      </c>
      <c r="P43" s="672"/>
      <c r="Q43" s="29" t="s">
        <v>1556</v>
      </c>
      <c r="R43" s="21" t="s">
        <v>1586</v>
      </c>
      <c r="S43" s="664"/>
      <c r="T43" s="664"/>
      <c r="U43" s="664"/>
      <c r="V43" s="664"/>
      <c r="W43" s="664"/>
      <c r="X43" s="664"/>
      <c r="Y43" s="664"/>
      <c r="Z43" s="664"/>
      <c r="AA43" s="638"/>
    </row>
    <row r="44" spans="1:27" ht="23.25" customHeight="1" outlineLevel="1" x14ac:dyDescent="0.25">
      <c r="A44" s="1525"/>
      <c r="B44" s="1525"/>
      <c r="C44" s="669" t="str" cm="1">
        <f t="array" ref="C44">INDEX('Master sheet'!$A$1:$A$670,MATCH(1,("26-30" = 'Master sheet'!$AO$1:$AO$670)*(5 = 'Master sheet'!$AP$1:$AP$670)*('Master sheet'!$AT$1:$AT$670),0))</f>
        <v xml:space="preserve">Concrete - 30 MPa, 40% FA, GU / SRMCA / Can. Sask Avg. / </v>
      </c>
      <c r="D44" s="15">
        <f>'USER INPUT SHEET'!$D$48</f>
        <v>0</v>
      </c>
      <c r="E44" s="16" t="str">
        <f>'USER INPUT SHEET'!$F$48</f>
        <v>m3</v>
      </c>
      <c r="F44" s="3">
        <v>1</v>
      </c>
      <c r="G44" s="670"/>
      <c r="H44" s="8"/>
      <c r="I44" s="92">
        <f t="shared" si="12"/>
        <v>0</v>
      </c>
      <c r="J44" s="93" t="str">
        <f t="shared" si="13"/>
        <v/>
      </c>
      <c r="K44" s="406">
        <f>$D44*$F44*VLOOKUP($C44,'Master sheet'!$A:$AL,13,FALSE)</f>
        <v>0</v>
      </c>
      <c r="L44" s="94">
        <f>$D44*$F44*VLOOKUP($C44,'Master sheet'!$A:$AL,27,FALSE)</f>
        <v>0</v>
      </c>
      <c r="M44" s="1552"/>
      <c r="N44" s="1552"/>
      <c r="O44" s="25" t="str">
        <f ca="1">_xlfn.IFNA(VLOOKUP($C44,'Master sheet'!$A:$AR,44,FALSE),"")&amp;""</f>
        <v/>
      </c>
      <c r="P44" s="672"/>
      <c r="Q44" s="29" t="s">
        <v>1556</v>
      </c>
      <c r="R44" s="21" t="s">
        <v>1586</v>
      </c>
      <c r="S44" s="664"/>
      <c r="T44" s="664"/>
      <c r="U44" s="664"/>
      <c r="V44" s="664"/>
      <c r="W44" s="664"/>
      <c r="X44" s="664"/>
      <c r="Y44" s="664"/>
      <c r="Z44" s="664"/>
      <c r="AA44" s="664"/>
    </row>
    <row r="45" spans="1:27" ht="23.25" hidden="1" customHeight="1" outlineLevel="1" x14ac:dyDescent="0.25">
      <c r="A45" s="1525"/>
      <c r="B45" s="1525"/>
      <c r="C45" s="669" t="e" cm="1">
        <f t="array" ref="C45">INDEX('Master sheet'!$A$1:$A$670,MATCH(1,("26-30" = 'Master sheet'!$AO$1:$AO$670)*(6 = 'Master sheet'!$AP$1:$AP$670)*('Master sheet'!$AT$1:$AT$670),0))</f>
        <v>#N/A</v>
      </c>
      <c r="D45" s="15">
        <f>'USER INPUT SHEET'!$D$48</f>
        <v>0</v>
      </c>
      <c r="E45" s="16" t="str">
        <f>'USER INPUT SHEET'!$F$48</f>
        <v>m3</v>
      </c>
      <c r="F45" s="3">
        <v>1</v>
      </c>
      <c r="G45" s="670"/>
      <c r="H45" s="8"/>
      <c r="I45" s="92" t="e">
        <f t="shared" ref="I45" si="14">K45-L45</f>
        <v>#N/A</v>
      </c>
      <c r="J45" s="93" t="str">
        <f t="shared" ref="J45" si="15">IF(H45=1,I45,"")</f>
        <v/>
      </c>
      <c r="K45" s="406" t="e">
        <f>$D45*$F45*VLOOKUP($C45,'Master sheet'!$A:$AL,13,FALSE)</f>
        <v>#N/A</v>
      </c>
      <c r="L45" s="94" t="e">
        <f>$D45*$F45*VLOOKUP($C45,'Master sheet'!$A:$AL,27,FALSE)</f>
        <v>#N/A</v>
      </c>
      <c r="M45" s="1552"/>
      <c r="N45" s="1552"/>
      <c r="O45" s="25" t="str">
        <f>_xlfn.IFNA(VLOOKUP($C45,'Master sheet'!$A:$AR,44,FALSE),"")&amp;""</f>
        <v/>
      </c>
      <c r="P45" s="672"/>
      <c r="Q45" s="29" t="s">
        <v>1556</v>
      </c>
      <c r="R45" s="21" t="s">
        <v>1586</v>
      </c>
      <c r="S45" s="664"/>
      <c r="T45" s="664"/>
      <c r="U45" s="664"/>
      <c r="V45" s="664"/>
      <c r="W45" s="664"/>
      <c r="X45" s="664"/>
      <c r="Y45" s="664"/>
      <c r="Z45" s="664"/>
      <c r="AA45" s="664"/>
    </row>
    <row r="46" spans="1:27" s="624" customFormat="1" ht="23.25" hidden="1" customHeight="1" outlineLevel="1" x14ac:dyDescent="0.25">
      <c r="A46" s="1525"/>
      <c r="B46" s="1525"/>
      <c r="C46" s="673" t="e" cm="1">
        <f t="array" ref="C46">INDEX('Master sheet'!$A$1:$A$670,MATCH(1,("26-30" = 'Master sheet'!$AO$1:$AO$670)*(7 = 'Master sheet'!$AP$1:$AP$670)*('Master sheet'!$AT$1:$AT$670),0))</f>
        <v>#N/A</v>
      </c>
      <c r="D46" s="17">
        <f>'USER INPUT SHEET'!$D$48</f>
        <v>0</v>
      </c>
      <c r="E46" s="18" t="str">
        <f>'USER INPUT SHEET'!$F$48</f>
        <v>m3</v>
      </c>
      <c r="F46" s="4">
        <v>1</v>
      </c>
      <c r="G46" s="674"/>
      <c r="H46" s="9"/>
      <c r="I46" s="95" t="e">
        <f t="shared" si="12"/>
        <v>#N/A</v>
      </c>
      <c r="J46" s="96" t="str">
        <f t="shared" si="13"/>
        <v/>
      </c>
      <c r="K46" s="407" t="e">
        <f>$D46*$F46*VLOOKUP($C46,'Master sheet'!$A:$AL,13,FALSE)</f>
        <v>#N/A</v>
      </c>
      <c r="L46" s="97" t="e">
        <f>$D46*$F46*VLOOKUP($C46,'Master sheet'!$A:$AL,27,FALSE)</f>
        <v>#N/A</v>
      </c>
      <c r="M46" s="1552"/>
      <c r="N46" s="1552"/>
      <c r="O46" s="25" t="str">
        <f>_xlfn.IFNA(VLOOKUP($C46,'Master sheet'!$A:$AR,44,FALSE),"")&amp;""</f>
        <v/>
      </c>
      <c r="P46" s="637"/>
      <c r="Q46" s="29" t="s">
        <v>1556</v>
      </c>
      <c r="R46" s="21" t="s">
        <v>1586</v>
      </c>
      <c r="S46" s="638"/>
      <c r="T46" s="638"/>
      <c r="U46" s="638"/>
      <c r="V46" s="638"/>
      <c r="W46" s="638"/>
      <c r="X46" s="638"/>
      <c r="Y46" s="638"/>
      <c r="Z46" s="638"/>
      <c r="AA46" s="664"/>
    </row>
    <row r="47" spans="1:27" s="624" customFormat="1" ht="55.2" customHeight="1" outlineLevel="1" x14ac:dyDescent="0.25">
      <c r="A47" s="1522" t="s">
        <v>24</v>
      </c>
      <c r="B47" s="1523"/>
      <c r="C47" s="1523"/>
      <c r="D47" s="629" t="s">
        <v>1674</v>
      </c>
      <c r="E47" s="314"/>
      <c r="F47" s="323" t="s">
        <v>22</v>
      </c>
      <c r="G47" s="650"/>
      <c r="H47" s="650"/>
      <c r="I47" s="651"/>
      <c r="J47" s="103"/>
      <c r="K47" s="652"/>
      <c r="L47" s="653"/>
      <c r="M47" s="653"/>
      <c r="N47" s="653"/>
      <c r="O47" s="25" t="str">
        <f>_xlfn.IFNA(VLOOKUP($C47,'Master sheet'!$A:$AR,44,FALSE),"")&amp;""</f>
        <v/>
      </c>
      <c r="P47" s="637"/>
      <c r="Q47" s="29" t="s">
        <v>1556</v>
      </c>
      <c r="R47" s="28"/>
      <c r="S47" s="638"/>
      <c r="T47" s="638"/>
      <c r="U47" s="638"/>
      <c r="V47" s="638"/>
      <c r="W47" s="638"/>
      <c r="X47" s="638"/>
      <c r="Y47" s="638"/>
      <c r="Z47" s="638"/>
      <c r="AA47" s="638"/>
    </row>
    <row r="48" spans="1:27" ht="23.85" customHeight="1" outlineLevel="1" x14ac:dyDescent="0.25">
      <c r="A48" s="639"/>
      <c r="B48" s="1524" t="s">
        <v>918</v>
      </c>
      <c r="C48" s="1524"/>
      <c r="D48" s="640"/>
      <c r="E48" s="675"/>
      <c r="F48" s="324"/>
      <c r="G48" s="675"/>
      <c r="H48" s="675"/>
      <c r="I48" s="642"/>
      <c r="J48" s="643"/>
      <c r="K48" s="676"/>
      <c r="L48" s="677"/>
      <c r="M48" s="677"/>
      <c r="N48" s="677"/>
      <c r="O48" s="25" t="str">
        <f>_xlfn.IFNA(VLOOKUP($C48,'Master sheet'!$A:$AR,44,FALSE),"")&amp;""</f>
        <v/>
      </c>
      <c r="P48" s="637"/>
      <c r="Q48" s="29" t="s">
        <v>1556</v>
      </c>
      <c r="R48" s="21"/>
      <c r="S48" s="664"/>
      <c r="T48" s="664"/>
      <c r="U48" s="664"/>
      <c r="V48" s="664"/>
      <c r="W48" s="664"/>
      <c r="X48" s="664"/>
      <c r="Y48" s="664"/>
      <c r="Z48" s="664"/>
      <c r="AA48" s="664"/>
    </row>
    <row r="49" spans="1:27" ht="23.25" customHeight="1" outlineLevel="1" x14ac:dyDescent="0.25">
      <c r="A49" s="1525" t="s">
        <v>1272</v>
      </c>
      <c r="B49" s="1525"/>
      <c r="C49" s="673" t="str">
        <f>INDEX('Master sheet'!$A$1:$A$670,MATCH(390,'Master sheet'!$AN$1:$AN$670,0))</f>
        <v>Rebar / Nucor Corporation / Canadian sizes / 10M</v>
      </c>
      <c r="D49" s="17">
        <f>IF($E$47&gt;0,$E$47,'USER INPUT SHEET'!$G$49)</f>
        <v>0</v>
      </c>
      <c r="E49" s="18" t="str">
        <f t="shared" ref="E49:E53" si="16">$F$47</f>
        <v>m</v>
      </c>
      <c r="F49" s="4">
        <v>1</v>
      </c>
      <c r="G49" s="674"/>
      <c r="H49" s="9"/>
      <c r="I49" s="95">
        <f t="shared" ref="I49:I53" si="17">K49-L49</f>
        <v>0</v>
      </c>
      <c r="J49" s="96" t="str">
        <f t="shared" ref="J49:J53" si="18">IF(H49=1,I49,"")</f>
        <v/>
      </c>
      <c r="K49" s="407">
        <f>$D49*$F49*VLOOKUP($C49,'Master sheet'!$A:$AL,13,FALSE)</f>
        <v>0</v>
      </c>
      <c r="L49" s="97">
        <f>$D49*$F49*VLOOKUP($C49,'Master sheet'!$A:$AL,27,FALSE)</f>
        <v>0</v>
      </c>
      <c r="M49" s="1562"/>
      <c r="N49" s="1562"/>
      <c r="O49" s="25" t="str">
        <f ca="1">_xlfn.IFNA(VLOOKUP($C49,'Master sheet'!$A:$AR,44,FALSE),"")&amp;""</f>
        <v/>
      </c>
      <c r="P49" s="637"/>
      <c r="Q49" s="29" t="s">
        <v>1556</v>
      </c>
      <c r="R49" s="21" t="s">
        <v>1587</v>
      </c>
      <c r="S49" s="664"/>
      <c r="T49" s="664"/>
      <c r="U49" s="664"/>
      <c r="V49" s="664"/>
      <c r="W49" s="664"/>
      <c r="X49" s="664"/>
      <c r="Y49" s="664"/>
      <c r="Z49" s="664"/>
      <c r="AA49" s="664"/>
    </row>
    <row r="50" spans="1:27" ht="23.25" customHeight="1" outlineLevel="1" x14ac:dyDescent="0.25">
      <c r="A50" s="1525"/>
      <c r="B50" s="1525"/>
      <c r="C50" s="673" t="str">
        <f>INDEX('Master sheet'!$A$1:$A$670,MATCH(391,'Master sheet'!$AN$1:$AN$670,0))</f>
        <v>Rebar / Nucor Corporation / Canadian sizes / 15M</v>
      </c>
      <c r="D50" s="17">
        <f>IF($E$47&gt;0,$E$47,'USER INPUT SHEET'!$G$49)</f>
        <v>0</v>
      </c>
      <c r="E50" s="18" t="str">
        <f t="shared" si="16"/>
        <v>m</v>
      </c>
      <c r="F50" s="4">
        <v>1</v>
      </c>
      <c r="G50" s="674"/>
      <c r="H50" s="9"/>
      <c r="I50" s="95">
        <f t="shared" si="17"/>
        <v>0</v>
      </c>
      <c r="J50" s="96" t="str">
        <f t="shared" si="18"/>
        <v/>
      </c>
      <c r="K50" s="407">
        <f>$D50*$F50*VLOOKUP($C50,'Master sheet'!$A:$AL,13,FALSE)</f>
        <v>0</v>
      </c>
      <c r="L50" s="97">
        <f>$D50*$F50*VLOOKUP($C50,'Master sheet'!$A:$AL,27,FALSE)</f>
        <v>0</v>
      </c>
      <c r="M50" s="1552"/>
      <c r="N50" s="1552"/>
      <c r="O50" s="25" t="str">
        <f ca="1">_xlfn.IFNA(VLOOKUP($C50,'Master sheet'!$A:$AR,44,FALSE),"")&amp;""</f>
        <v/>
      </c>
      <c r="P50" s="637"/>
      <c r="Q50" s="29" t="s">
        <v>1556</v>
      </c>
      <c r="R50" s="21" t="s">
        <v>1587</v>
      </c>
      <c r="S50" s="664"/>
      <c r="T50" s="664"/>
      <c r="U50" s="664"/>
      <c r="V50" s="664"/>
      <c r="W50" s="664"/>
      <c r="X50" s="664"/>
      <c r="Y50" s="664"/>
      <c r="Z50" s="664"/>
      <c r="AA50" s="664"/>
    </row>
    <row r="51" spans="1:27" ht="23.25" customHeight="1" outlineLevel="1" x14ac:dyDescent="0.25">
      <c r="A51" s="1525"/>
      <c r="B51" s="1525"/>
      <c r="C51" s="673" t="str">
        <f>INDEX('Master sheet'!$A$1:$A$670,MATCH(392,'Master sheet'!$AN$1:$AN$670,0))</f>
        <v>Rebar / Nucor Corporation / Canadian sizes / 20M</v>
      </c>
      <c r="D51" s="17">
        <f>IF($E$47&gt;0,$E$47,'USER INPUT SHEET'!$G$49)</f>
        <v>0</v>
      </c>
      <c r="E51" s="18" t="str">
        <f t="shared" si="16"/>
        <v>m</v>
      </c>
      <c r="F51" s="4">
        <v>1</v>
      </c>
      <c r="G51" s="674"/>
      <c r="H51" s="9"/>
      <c r="I51" s="95">
        <f t="shared" si="17"/>
        <v>0</v>
      </c>
      <c r="J51" s="96" t="str">
        <f t="shared" si="18"/>
        <v/>
      </c>
      <c r="K51" s="407">
        <f>$D51*$F51*VLOOKUP($C51,'Master sheet'!$A:$AL,13,FALSE)</f>
        <v>0</v>
      </c>
      <c r="L51" s="97">
        <f>$D51*$F51*VLOOKUP($C51,'Master sheet'!$A:$AL,27,FALSE)</f>
        <v>0</v>
      </c>
      <c r="M51" s="1552"/>
      <c r="N51" s="1552"/>
      <c r="O51" s="25" t="str">
        <f ca="1">_xlfn.IFNA(VLOOKUP($C51,'Master sheet'!$A:$AR,44,FALSE),"")&amp;""</f>
        <v/>
      </c>
      <c r="P51" s="637"/>
      <c r="Q51" s="29" t="s">
        <v>1556</v>
      </c>
      <c r="R51" s="21" t="s">
        <v>1587</v>
      </c>
      <c r="S51" s="664"/>
      <c r="T51" s="664"/>
      <c r="U51" s="664"/>
      <c r="V51" s="664"/>
      <c r="W51" s="664"/>
      <c r="X51" s="664"/>
      <c r="Y51" s="664"/>
      <c r="Z51" s="664"/>
      <c r="AA51" s="664"/>
    </row>
    <row r="52" spans="1:27" ht="31.2" outlineLevel="1" x14ac:dyDescent="0.25">
      <c r="A52" s="1525"/>
      <c r="B52" s="1525"/>
      <c r="C52" s="673" t="str">
        <f>INDEX('Master sheet'!$A$1:$A$670,MATCH("A104",'Master sheet'!$AN$1:$AN$670,0))</f>
        <v>Rebar / Concrete Reinforcing Steel Institute / Canadian sizes -98% recycled, EAF / 10M</v>
      </c>
      <c r="D52" s="17">
        <f>IF($E$47&gt;0,$E$47,'USER INPUT SHEET'!$G$49)</f>
        <v>0</v>
      </c>
      <c r="E52" s="18" t="str">
        <f t="shared" si="16"/>
        <v>m</v>
      </c>
      <c r="F52" s="4">
        <v>1</v>
      </c>
      <c r="G52" s="674"/>
      <c r="H52" s="9"/>
      <c r="I52" s="95">
        <f t="shared" ref="I52" si="19">K52-L52</f>
        <v>0</v>
      </c>
      <c r="J52" s="96" t="str">
        <f t="shared" ref="J52" si="20">IF(H52=1,I52,"")</f>
        <v/>
      </c>
      <c r="K52" s="407">
        <f>$D52*$F52*VLOOKUP($C52,'Master sheet'!$A:$AL,13,FALSE)</f>
        <v>0</v>
      </c>
      <c r="L52" s="97">
        <f>$D52*$F52*VLOOKUP($C52,'Master sheet'!$A:$AL,27,FALSE)</f>
        <v>0</v>
      </c>
      <c r="M52" s="1552"/>
      <c r="N52" s="1552"/>
      <c r="O52" s="25" t="str">
        <f>_xlfn.IFNA(VLOOKUP($C52,'Master sheet'!$A:$AR,44,FALSE),"")&amp;""</f>
        <v/>
      </c>
      <c r="P52" s="637"/>
      <c r="Q52" s="29" t="s">
        <v>1556</v>
      </c>
      <c r="R52" s="21" t="s">
        <v>1587</v>
      </c>
      <c r="S52" s="664"/>
      <c r="T52" s="664"/>
      <c r="U52" s="664"/>
      <c r="V52" s="664"/>
      <c r="W52" s="664"/>
      <c r="X52" s="664"/>
      <c r="Y52" s="664"/>
      <c r="Z52" s="664"/>
      <c r="AA52" s="664"/>
    </row>
    <row r="53" spans="1:27" ht="31.2" outlineLevel="1" x14ac:dyDescent="0.25">
      <c r="A53" s="1525"/>
      <c r="B53" s="1525"/>
      <c r="C53" s="673" t="str">
        <f>INDEX('Master sheet'!$A$1:$A$670,MATCH("A105",'Master sheet'!$AN$1:$AN$670,0))</f>
        <v>Rebar / Concrete Reinforcing Steel Institute / Canadian sizes -98% recycled, EAF / 15M</v>
      </c>
      <c r="D53" s="17">
        <f>IF($E$47&gt;0,$E$47,'USER INPUT SHEET'!$G$49)</f>
        <v>0</v>
      </c>
      <c r="E53" s="18" t="str">
        <f t="shared" si="16"/>
        <v>m</v>
      </c>
      <c r="F53" s="4">
        <v>1</v>
      </c>
      <c r="G53" s="674"/>
      <c r="H53" s="9"/>
      <c r="I53" s="95">
        <f t="shared" si="17"/>
        <v>0</v>
      </c>
      <c r="J53" s="96" t="str">
        <f t="shared" si="18"/>
        <v/>
      </c>
      <c r="K53" s="407">
        <f>$D53*$F53*VLOOKUP($C53,'Master sheet'!$A:$AL,13,FALSE)</f>
        <v>0</v>
      </c>
      <c r="L53" s="97">
        <f>$D53*$F53*VLOOKUP($C53,'Master sheet'!$A:$AL,27,FALSE)</f>
        <v>0</v>
      </c>
      <c r="M53" s="1552"/>
      <c r="N53" s="1552"/>
      <c r="O53" s="25" t="str">
        <f>_xlfn.IFNA(VLOOKUP($C53,'Master sheet'!$A:$AR,44,FALSE),"")&amp;""</f>
        <v/>
      </c>
      <c r="P53" s="637"/>
      <c r="Q53" s="29" t="s">
        <v>1556</v>
      </c>
      <c r="R53" s="21" t="s">
        <v>1587</v>
      </c>
      <c r="S53" s="664"/>
      <c r="T53" s="664"/>
      <c r="U53" s="664"/>
      <c r="V53" s="664"/>
      <c r="W53" s="664"/>
      <c r="X53" s="664"/>
      <c r="Y53" s="664"/>
      <c r="Z53" s="664"/>
      <c r="AA53" s="664"/>
    </row>
    <row r="54" spans="1:27" s="624" customFormat="1" ht="55.2" customHeight="1" outlineLevel="1" x14ac:dyDescent="0.25">
      <c r="A54" s="1522" t="s">
        <v>25</v>
      </c>
      <c r="B54" s="1523"/>
      <c r="C54" s="1523"/>
      <c r="D54" s="629" t="s">
        <v>26</v>
      </c>
      <c r="E54" s="314"/>
      <c r="F54" s="323" t="s">
        <v>22</v>
      </c>
      <c r="G54" s="650"/>
      <c r="H54" s="650"/>
      <c r="I54" s="651"/>
      <c r="J54" s="103"/>
      <c r="K54" s="652"/>
      <c r="L54" s="653"/>
      <c r="M54" s="653"/>
      <c r="N54" s="653"/>
      <c r="O54" s="25" t="str">
        <f>_xlfn.IFNA(VLOOKUP($C54,'Master sheet'!$A:$AR,44,FALSE),"")&amp;""</f>
        <v/>
      </c>
      <c r="P54" s="637"/>
      <c r="Q54" s="29" t="s">
        <v>1556</v>
      </c>
      <c r="R54" s="28"/>
      <c r="S54" s="638"/>
      <c r="T54" s="638"/>
      <c r="U54" s="638"/>
      <c r="V54" s="638"/>
      <c r="W54" s="638"/>
      <c r="X54" s="638"/>
      <c r="Y54" s="638"/>
      <c r="Z54" s="638"/>
      <c r="AA54" s="664"/>
    </row>
    <row r="55" spans="1:27" ht="23.85" customHeight="1" outlineLevel="1" x14ac:dyDescent="0.25">
      <c r="A55" s="639"/>
      <c r="B55" s="1524" t="s">
        <v>25</v>
      </c>
      <c r="C55" s="1524"/>
      <c r="D55" s="640"/>
      <c r="E55" s="641"/>
      <c r="F55" s="325"/>
      <c r="G55" s="678"/>
      <c r="H55" s="679"/>
      <c r="I55" s="642"/>
      <c r="J55" s="642"/>
      <c r="K55" s="642"/>
      <c r="L55" s="642"/>
      <c r="M55" s="642"/>
      <c r="N55" s="642"/>
      <c r="O55" s="25" t="str">
        <f>_xlfn.IFNA(VLOOKUP($C55,'Master sheet'!$A:$AR,44,FALSE),"")&amp;""</f>
        <v/>
      </c>
      <c r="P55" s="637"/>
      <c r="Q55" s="29" t="s">
        <v>1556</v>
      </c>
      <c r="R55" s="21"/>
      <c r="S55" s="664"/>
      <c r="T55" s="664"/>
      <c r="U55" s="664"/>
      <c r="V55" s="664"/>
      <c r="W55" s="664"/>
      <c r="X55" s="664"/>
      <c r="Y55" s="664"/>
      <c r="Z55" s="664"/>
      <c r="AA55" s="638"/>
    </row>
    <row r="56" spans="1:27" ht="82.5" customHeight="1" outlineLevel="1" x14ac:dyDescent="0.25">
      <c r="A56" s="1639" t="s">
        <v>1050</v>
      </c>
      <c r="B56" s="1640"/>
      <c r="C56" s="681" t="str">
        <f>INDEX('Master sheet'!$A$1:$A$670,MATCH(120,'Master sheet'!$AN$1:$AN$670,0))</f>
        <v>Helical pier / Generic /  / 3" Nominal Pipe, 3.5 x 3/16" (89 x 5.5 mm), 10" Helix, Sched 40 STD Galvanized steel</v>
      </c>
      <c r="D56" s="22">
        <f>$E$54</f>
        <v>0</v>
      </c>
      <c r="E56" s="23" t="s">
        <v>22</v>
      </c>
      <c r="F56" s="6">
        <v>1</v>
      </c>
      <c r="G56" s="682"/>
      <c r="H56" s="10"/>
      <c r="I56" s="100">
        <f>K56-L56</f>
        <v>0</v>
      </c>
      <c r="J56" s="101" t="str">
        <f>IF(H56=1,I56,"")</f>
        <v/>
      </c>
      <c r="K56" s="408">
        <f>$D56*$F56*VLOOKUP($C56,'Master sheet'!$A:$AL,13,FALSE)</f>
        <v>0</v>
      </c>
      <c r="L56" s="102">
        <f>$D56*$F56*VLOOKUP($C56,'Master sheet'!$A:$AL,27,FALSE)</f>
        <v>0</v>
      </c>
      <c r="M56" s="1559"/>
      <c r="N56" s="1559"/>
      <c r="O56" s="25" t="str">
        <f ca="1">_xlfn.IFNA(VLOOKUP($C56,'Master sheet'!$A:$AR,44,FALSE),"")&amp;""</f>
        <v>Expired 2021</v>
      </c>
      <c r="P56" s="637"/>
      <c r="Q56" s="29" t="s">
        <v>1556</v>
      </c>
      <c r="R56" s="21" t="s">
        <v>1588</v>
      </c>
      <c r="S56" s="664"/>
      <c r="T56" s="664"/>
      <c r="U56" s="664"/>
      <c r="V56" s="664"/>
      <c r="W56" s="664"/>
      <c r="X56" s="664"/>
      <c r="Y56" s="664"/>
      <c r="Z56" s="664"/>
      <c r="AA56" s="664"/>
    </row>
    <row r="57" spans="1:27" s="624" customFormat="1" ht="40.200000000000003" customHeight="1" x14ac:dyDescent="0.25">
      <c r="A57" s="865" t="s">
        <v>1578</v>
      </c>
      <c r="B57" s="866"/>
      <c r="C57" s="867"/>
      <c r="D57" s="286"/>
      <c r="E57" s="290"/>
      <c r="F57" s="342"/>
      <c r="G57" s="868"/>
      <c r="H57" s="869"/>
      <c r="I57" s="287"/>
      <c r="J57" s="287"/>
      <c r="K57" s="421"/>
      <c r="L57" s="289"/>
      <c r="M57" s="289"/>
      <c r="N57" s="289"/>
      <c r="O57" s="25" t="str">
        <f>_xlfn.IFNA(VLOOKUP($C57,'Master sheet'!$A:$AR,44,FALSE),"")&amp;""</f>
        <v/>
      </c>
      <c r="P57" s="637"/>
      <c r="Q57" s="29"/>
      <c r="R57" s="28"/>
      <c r="S57" s="638"/>
      <c r="T57" s="638"/>
      <c r="U57" s="638"/>
      <c r="V57" s="638"/>
      <c r="W57" s="638"/>
      <c r="X57" s="638"/>
      <c r="Y57" s="638"/>
      <c r="Z57" s="638"/>
      <c r="AA57" s="664"/>
    </row>
    <row r="58" spans="1:27" s="624" customFormat="1" ht="54.75" customHeight="1" outlineLevel="1" x14ac:dyDescent="0.25">
      <c r="A58" s="1522" t="s">
        <v>1570</v>
      </c>
      <c r="B58" s="1523"/>
      <c r="C58" s="1523"/>
      <c r="D58" s="629" t="s">
        <v>19</v>
      </c>
      <c r="E58" s="1"/>
      <c r="F58" s="318" t="s">
        <v>20</v>
      </c>
      <c r="G58" s="718" t="s">
        <v>21</v>
      </c>
      <c r="H58" s="12">
        <f>IF(F58="mm",E58/1000,E58*2.54/100)</f>
        <v>0</v>
      </c>
      <c r="I58" s="631" t="s">
        <v>22</v>
      </c>
      <c r="J58" s="632"/>
      <c r="K58" s="777"/>
      <c r="L58" s="720"/>
      <c r="M58" s="720"/>
      <c r="N58" s="720"/>
      <c r="O58" s="25" t="str">
        <f>_xlfn.IFNA(VLOOKUP($C58,'Master sheet'!$A:$AR,44,FALSE),"")&amp;""</f>
        <v/>
      </c>
      <c r="P58" s="637"/>
      <c r="Q58" s="29" t="s">
        <v>1556</v>
      </c>
      <c r="R58" s="722"/>
      <c r="S58" s="638"/>
      <c r="T58" s="638"/>
      <c r="U58" s="638"/>
      <c r="V58" s="638"/>
      <c r="W58" s="638"/>
      <c r="X58" s="638"/>
      <c r="Y58" s="638"/>
      <c r="Z58" s="638"/>
      <c r="AA58" s="664"/>
    </row>
    <row r="59" spans="1:27" ht="23.85" customHeight="1" outlineLevel="1" x14ac:dyDescent="0.25">
      <c r="A59" s="639"/>
      <c r="B59" s="1524" t="s">
        <v>1349</v>
      </c>
      <c r="C59" s="1524"/>
      <c r="D59" s="656"/>
      <c r="E59" s="657"/>
      <c r="F59" s="322"/>
      <c r="G59" s="657"/>
      <c r="H59" s="657"/>
      <c r="I59" s="658"/>
      <c r="J59" s="659"/>
      <c r="K59" s="660"/>
      <c r="L59" s="661"/>
      <c r="M59" s="677"/>
      <c r="N59" s="677"/>
      <c r="O59" s="25" t="str">
        <f>_xlfn.IFNA(VLOOKUP($C59,'Master sheet'!$A:$AR,44,FALSE),"")&amp;""</f>
        <v/>
      </c>
      <c r="P59" s="663"/>
      <c r="Q59" s="29" t="s">
        <v>1556</v>
      </c>
      <c r="R59" s="21"/>
      <c r="S59" s="664"/>
      <c r="T59" s="664"/>
      <c r="U59" s="664"/>
      <c r="V59" s="664"/>
      <c r="W59" s="664"/>
      <c r="X59" s="664"/>
      <c r="Y59" s="664"/>
      <c r="Z59" s="664"/>
      <c r="AA59" s="664"/>
    </row>
    <row r="60" spans="1:27" ht="31.5" customHeight="1" outlineLevel="1" x14ac:dyDescent="0.25">
      <c r="A60" s="1525" t="s">
        <v>786</v>
      </c>
      <c r="B60" s="1525"/>
      <c r="C60" s="667" t="str" cm="1">
        <f t="array" ref="C60">INDEX('Master sheet'!$A$1:$A$670,MATCH(1,("0-25" = 'Master sheet'!$AO$1:$AO$670)*(1 = 'Master sheet'!$AP$1:$AP$670)*('Master sheet'!$AT$1:$AT$670),0))</f>
        <v xml:space="preserve">Concrete - 25 MPa, GU / SRMCA / Can. Sask Avg. / </v>
      </c>
      <c r="D60" s="230">
        <f>'USER INPUT SHEET'!$D$50</f>
        <v>0</v>
      </c>
      <c r="E60" s="14" t="str">
        <f>'USER INPUT SHEET'!$F$50</f>
        <v>m2</v>
      </c>
      <c r="F60" s="5">
        <v>1</v>
      </c>
      <c r="G60" s="668"/>
      <c r="H60" s="10"/>
      <c r="I60" s="232">
        <f t="shared" ref="I60:I66" si="21">K60-L60</f>
        <v>0</v>
      </c>
      <c r="J60" s="233" t="str">
        <f t="shared" ref="J60:J66" si="22">IF(H60=1,I60,"")</f>
        <v/>
      </c>
      <c r="K60" s="409">
        <f>$D60*$H$58*$F60*VLOOKUP($C60,'Master sheet'!$A:$AL,13,FALSE)</f>
        <v>0</v>
      </c>
      <c r="L60" s="234">
        <v>0</v>
      </c>
      <c r="M60" s="1552"/>
      <c r="N60" s="1552"/>
      <c r="O60" s="25" t="str">
        <f ca="1">_xlfn.IFNA(VLOOKUP($C60,'Master sheet'!$A:$AR,44,FALSE),"")&amp;""</f>
        <v/>
      </c>
      <c r="P60" s="637"/>
      <c r="Q60" s="29" t="s">
        <v>1556</v>
      </c>
      <c r="R60" s="722" t="s">
        <v>1589</v>
      </c>
      <c r="S60" s="664"/>
      <c r="T60" s="664"/>
      <c r="U60" s="664"/>
      <c r="V60" s="664"/>
      <c r="W60" s="664"/>
      <c r="X60" s="664"/>
      <c r="Y60" s="664"/>
      <c r="Z60" s="664"/>
      <c r="AA60" s="664"/>
    </row>
    <row r="61" spans="1:27" ht="23.25" customHeight="1" outlineLevel="1" x14ac:dyDescent="0.25">
      <c r="A61" s="1525"/>
      <c r="B61" s="1525"/>
      <c r="C61" s="669" t="str" cm="1">
        <f t="array" ref="C61">INDEX('Master sheet'!$A$1:$A$670,MATCH(1,("0-25" = 'Master sheet'!$AO$1:$AO$670)*(2 = 'Master sheet'!$AP$1:$AP$670)*('Master sheet'!$AT$1:$AT$670),0))</f>
        <v xml:space="preserve">Concrete - 25 MPa, 10% FA, GU / SRMCA / Can. Sask Avg. / </v>
      </c>
      <c r="D61" s="15">
        <f>'USER INPUT SHEET'!$D$50</f>
        <v>0</v>
      </c>
      <c r="E61" s="16" t="str">
        <f>'USER INPUT SHEET'!$F$50</f>
        <v>m2</v>
      </c>
      <c r="F61" s="3">
        <v>1</v>
      </c>
      <c r="G61" s="670"/>
      <c r="H61" s="8"/>
      <c r="I61" s="92">
        <f t="shared" si="21"/>
        <v>0</v>
      </c>
      <c r="J61" s="93" t="str">
        <f t="shared" si="22"/>
        <v/>
      </c>
      <c r="K61" s="406">
        <f>$D61*$H$58*$F61*VLOOKUP($C61,'Master sheet'!$A:$AL,13,FALSE)</f>
        <v>0</v>
      </c>
      <c r="L61" s="94">
        <v>0</v>
      </c>
      <c r="M61" s="1552"/>
      <c r="N61" s="1552"/>
      <c r="O61" s="25" t="str">
        <f ca="1">_xlfn.IFNA(VLOOKUP($C61,'Master sheet'!$A:$AR,44,FALSE),"")&amp;""</f>
        <v/>
      </c>
      <c r="P61" s="671"/>
      <c r="Q61" s="29" t="s">
        <v>1556</v>
      </c>
      <c r="R61" s="722" t="s">
        <v>1589</v>
      </c>
      <c r="S61" s="664"/>
      <c r="T61" s="664"/>
      <c r="U61" s="664"/>
      <c r="V61" s="664"/>
      <c r="W61" s="664"/>
      <c r="X61" s="664"/>
      <c r="Y61" s="664"/>
      <c r="Z61" s="664"/>
      <c r="AA61" s="664"/>
    </row>
    <row r="62" spans="1:27" ht="23.25" customHeight="1" outlineLevel="1" x14ac:dyDescent="0.25">
      <c r="A62" s="1525"/>
      <c r="B62" s="1525"/>
      <c r="C62" s="669" t="str" cm="1">
        <f t="array" ref="C62">INDEX('Master sheet'!$A$1:$A$670,MATCH(1,("0-25" = 'Master sheet'!$AO$1:$AO$670)*(3 = 'Master sheet'!$AP$1:$AP$670)*('Master sheet'!$AT$1:$AT$670),0))</f>
        <v xml:space="preserve">Concrete - 25 MPa, 20% FA, GU / SRMCA / Can. Sask Avg. / </v>
      </c>
      <c r="D62" s="15">
        <f>'USER INPUT SHEET'!$D$50</f>
        <v>0</v>
      </c>
      <c r="E62" s="16" t="str">
        <f>'USER INPUT SHEET'!$F$50</f>
        <v>m2</v>
      </c>
      <c r="F62" s="3">
        <v>1</v>
      </c>
      <c r="G62" s="670"/>
      <c r="H62" s="8"/>
      <c r="I62" s="92">
        <f t="shared" si="21"/>
        <v>0</v>
      </c>
      <c r="J62" s="93" t="str">
        <f t="shared" si="22"/>
        <v/>
      </c>
      <c r="K62" s="406">
        <f>$D62*$H$58*$F62*VLOOKUP($C62,'Master sheet'!$A:$AL,13,FALSE)</f>
        <v>0</v>
      </c>
      <c r="L62" s="94">
        <v>0</v>
      </c>
      <c r="M62" s="1552"/>
      <c r="N62" s="1552"/>
      <c r="O62" s="25" t="str">
        <f ca="1">_xlfn.IFNA(VLOOKUP($C62,'Master sheet'!$A:$AR,44,FALSE),"")&amp;""</f>
        <v/>
      </c>
      <c r="P62" s="672"/>
      <c r="Q62" s="29" t="s">
        <v>1556</v>
      </c>
      <c r="R62" s="722" t="s">
        <v>1589</v>
      </c>
      <c r="S62" s="664"/>
      <c r="T62" s="664"/>
      <c r="U62" s="664"/>
      <c r="V62" s="664"/>
      <c r="W62" s="664"/>
      <c r="X62" s="664"/>
      <c r="Y62" s="664"/>
      <c r="Z62" s="664"/>
      <c r="AA62" s="664"/>
    </row>
    <row r="63" spans="1:27" ht="23.25" customHeight="1" outlineLevel="1" x14ac:dyDescent="0.25">
      <c r="A63" s="1525"/>
      <c r="B63" s="1525"/>
      <c r="C63" s="669" t="str" cm="1">
        <f t="array" ref="C63">INDEX('Master sheet'!$A$1:$A$670,MATCH(1,("0-25" = 'Master sheet'!$AO$1:$AO$670)*(4 = 'Master sheet'!$AP$1:$AP$670)*('Master sheet'!$AT$1:$AT$670),0))</f>
        <v xml:space="preserve">Concrete - 25 MPa, 30% FA, GU / SRMCA / Can. Sask Avg. / </v>
      </c>
      <c r="D63" s="15">
        <f>'USER INPUT SHEET'!$D$50</f>
        <v>0</v>
      </c>
      <c r="E63" s="16" t="str">
        <f>'USER INPUT SHEET'!$F$50</f>
        <v>m2</v>
      </c>
      <c r="F63" s="3">
        <v>1</v>
      </c>
      <c r="G63" s="670"/>
      <c r="H63" s="8"/>
      <c r="I63" s="92">
        <f t="shared" si="21"/>
        <v>0</v>
      </c>
      <c r="J63" s="93" t="str">
        <f t="shared" si="22"/>
        <v/>
      </c>
      <c r="K63" s="406">
        <f>$D63*$H$58*$F63*VLOOKUP($C63,'Master sheet'!$A:$AL,13,FALSE)</f>
        <v>0</v>
      </c>
      <c r="L63" s="94">
        <v>0</v>
      </c>
      <c r="M63" s="1552"/>
      <c r="N63" s="1552"/>
      <c r="O63" s="25" t="str">
        <f ca="1">_xlfn.IFNA(VLOOKUP($C63,'Master sheet'!$A:$AR,44,FALSE),"")&amp;""</f>
        <v/>
      </c>
      <c r="P63" s="672"/>
      <c r="Q63" s="29" t="s">
        <v>1556</v>
      </c>
      <c r="R63" s="722" t="s">
        <v>1589</v>
      </c>
      <c r="S63" s="664"/>
      <c r="T63" s="664"/>
      <c r="U63" s="664"/>
      <c r="V63" s="664"/>
      <c r="W63" s="664"/>
      <c r="X63" s="664"/>
      <c r="Y63" s="664"/>
      <c r="Z63" s="664"/>
      <c r="AA63" s="638"/>
    </row>
    <row r="64" spans="1:27" ht="23.25" customHeight="1" outlineLevel="1" x14ac:dyDescent="0.25">
      <c r="A64" s="1525"/>
      <c r="B64" s="1525"/>
      <c r="C64" s="669" t="str" cm="1">
        <f t="array" ref="C64">INDEX('Master sheet'!$A$1:$A$670,MATCH(1,("0-25" = 'Master sheet'!$AO$1:$AO$670)*(5 = 'Master sheet'!$AP$1:$AP$670)*('Master sheet'!$AT$1:$AT$670),0))</f>
        <v xml:space="preserve">Concrete - 25 MPa, 40% FA, GU / SRMCA / Can. Sask Avg. / </v>
      </c>
      <c r="D64" s="15">
        <f>'USER INPUT SHEET'!$D$50</f>
        <v>0</v>
      </c>
      <c r="E64" s="16" t="str">
        <f>'USER INPUT SHEET'!$F$50</f>
        <v>m2</v>
      </c>
      <c r="F64" s="3">
        <v>1</v>
      </c>
      <c r="G64" s="670"/>
      <c r="H64" s="8"/>
      <c r="I64" s="92">
        <f t="shared" si="21"/>
        <v>0</v>
      </c>
      <c r="J64" s="93" t="str">
        <f t="shared" si="22"/>
        <v/>
      </c>
      <c r="K64" s="406">
        <f>$D64*$H$58*$F64*VLOOKUP($C64,'Master sheet'!$A:$AL,13,FALSE)</f>
        <v>0</v>
      </c>
      <c r="L64" s="94">
        <v>0</v>
      </c>
      <c r="M64" s="1552"/>
      <c r="N64" s="1552"/>
      <c r="O64" s="25" t="str">
        <f ca="1">_xlfn.IFNA(VLOOKUP($C64,'Master sheet'!$A:$AR,44,FALSE),"")&amp;""</f>
        <v/>
      </c>
      <c r="P64" s="672"/>
      <c r="Q64" s="29" t="s">
        <v>1556</v>
      </c>
      <c r="R64" s="722" t="s">
        <v>1589</v>
      </c>
      <c r="S64" s="664"/>
      <c r="T64" s="664"/>
      <c r="U64" s="664"/>
      <c r="V64" s="664"/>
      <c r="W64" s="664"/>
      <c r="X64" s="664"/>
      <c r="Y64" s="664"/>
      <c r="Z64" s="664"/>
      <c r="AA64" s="664"/>
    </row>
    <row r="65" spans="1:27" ht="23.25" hidden="1" customHeight="1" outlineLevel="1" x14ac:dyDescent="0.25">
      <c r="A65" s="1525"/>
      <c r="B65" s="1525"/>
      <c r="C65" s="669" t="e" cm="1">
        <f t="array" ref="C65">INDEX('Master sheet'!$A$1:$A$670,MATCH(1,("0-25" = 'Master sheet'!$AO$1:$AO$670)*(6 = 'Master sheet'!$AP$1:$AP$670)*('Master sheet'!$AT$1:$AT$670),0))</f>
        <v>#N/A</v>
      </c>
      <c r="D65" s="15">
        <f>'USER INPUT SHEET'!$D$50</f>
        <v>0</v>
      </c>
      <c r="E65" s="16" t="str">
        <f>'USER INPUT SHEET'!$F$50</f>
        <v>m2</v>
      </c>
      <c r="F65" s="3">
        <v>1</v>
      </c>
      <c r="G65" s="670"/>
      <c r="H65" s="8"/>
      <c r="I65" s="92" t="e">
        <f t="shared" ref="I65" si="23">K65-L65</f>
        <v>#N/A</v>
      </c>
      <c r="J65" s="93" t="str">
        <f t="shared" ref="J65" si="24">IF(H65=1,I65,"")</f>
        <v/>
      </c>
      <c r="K65" s="406" t="e">
        <f>$D65*$H$58*$F65*VLOOKUP($C65,'Master sheet'!$A:$AL,13,FALSE)</f>
        <v>#N/A</v>
      </c>
      <c r="L65" s="94">
        <v>0</v>
      </c>
      <c r="M65" s="1552"/>
      <c r="N65" s="1552"/>
      <c r="O65" s="25" t="str">
        <f>_xlfn.IFNA(VLOOKUP($C65,'Master sheet'!$A:$AR,44,FALSE),"")&amp;""</f>
        <v/>
      </c>
      <c r="P65" s="672"/>
      <c r="Q65" s="29" t="s">
        <v>1556</v>
      </c>
      <c r="R65" s="722" t="s">
        <v>1589</v>
      </c>
      <c r="S65" s="664"/>
      <c r="T65" s="664"/>
      <c r="U65" s="664"/>
      <c r="V65" s="664"/>
      <c r="W65" s="664"/>
      <c r="X65" s="664"/>
      <c r="Y65" s="664"/>
      <c r="Z65" s="664"/>
      <c r="AA65" s="664"/>
    </row>
    <row r="66" spans="1:27" s="624" customFormat="1" ht="23.25" hidden="1" customHeight="1" outlineLevel="1" x14ac:dyDescent="0.25">
      <c r="A66" s="1525"/>
      <c r="B66" s="1525"/>
      <c r="C66" s="673" t="e" cm="1">
        <f t="array" ref="C66">INDEX('Master sheet'!$A$1:$A$670,MATCH(1,("0-25" = 'Master sheet'!$AO$1:$AO$670)*(7 = 'Master sheet'!$AP$1:$AP$670)*('Master sheet'!$AT$1:$AT$670),0))</f>
        <v>#N/A</v>
      </c>
      <c r="D66" s="17">
        <f>'USER INPUT SHEET'!$D$50</f>
        <v>0</v>
      </c>
      <c r="E66" s="18" t="str">
        <f>'USER INPUT SHEET'!$F$50</f>
        <v>m2</v>
      </c>
      <c r="F66" s="4">
        <v>1</v>
      </c>
      <c r="G66" s="674"/>
      <c r="H66" s="9"/>
      <c r="I66" s="95" t="e">
        <f t="shared" si="21"/>
        <v>#N/A</v>
      </c>
      <c r="J66" s="96" t="str">
        <f t="shared" si="22"/>
        <v/>
      </c>
      <c r="K66" s="407" t="e">
        <f>$D66*$H$58*$F66*VLOOKUP($C66,'Master sheet'!$A:$AL,13,FALSE)</f>
        <v>#N/A</v>
      </c>
      <c r="L66" s="97">
        <v>0</v>
      </c>
      <c r="M66" s="1552"/>
      <c r="N66" s="1552"/>
      <c r="O66" s="25" t="str">
        <f>_xlfn.IFNA(VLOOKUP($C66,'Master sheet'!$A:$AR,44,FALSE),"")&amp;""</f>
        <v/>
      </c>
      <c r="P66" s="637"/>
      <c r="Q66" s="29" t="s">
        <v>1556</v>
      </c>
      <c r="R66" s="722" t="s">
        <v>1589</v>
      </c>
      <c r="S66" s="638"/>
      <c r="T66" s="638"/>
      <c r="U66" s="638"/>
      <c r="V66" s="638"/>
      <c r="W66" s="638"/>
      <c r="X66" s="638"/>
      <c r="Y66" s="638"/>
      <c r="Z66" s="638"/>
      <c r="AA66" s="664"/>
    </row>
    <row r="67" spans="1:27" ht="23.85" customHeight="1" outlineLevel="1" x14ac:dyDescent="0.25">
      <c r="A67" s="639"/>
      <c r="B67" s="1524" t="s">
        <v>1350</v>
      </c>
      <c r="C67" s="1524"/>
      <c r="D67" s="656"/>
      <c r="E67" s="657"/>
      <c r="F67" s="322"/>
      <c r="G67" s="657"/>
      <c r="H67" s="657"/>
      <c r="I67" s="658"/>
      <c r="J67" s="659"/>
      <c r="K67" s="660"/>
      <c r="L67" s="661"/>
      <c r="M67" s="677"/>
      <c r="N67" s="677"/>
      <c r="O67" s="25" t="str">
        <f>_xlfn.IFNA(VLOOKUP($C67,'Master sheet'!$A:$AR,44,FALSE),"")&amp;""</f>
        <v/>
      </c>
      <c r="P67" s="663"/>
      <c r="Q67" s="29" t="s">
        <v>1556</v>
      </c>
      <c r="R67" s="722" t="s">
        <v>1589</v>
      </c>
      <c r="S67" s="664"/>
      <c r="T67" s="664"/>
      <c r="U67" s="664"/>
      <c r="V67" s="664"/>
      <c r="W67" s="664"/>
      <c r="X67" s="664"/>
      <c r="Y67" s="664"/>
      <c r="Z67" s="664"/>
      <c r="AA67" s="664"/>
    </row>
    <row r="68" spans="1:27" ht="31.5" customHeight="1" outlineLevel="1" x14ac:dyDescent="0.25">
      <c r="A68" s="1525" t="s">
        <v>786</v>
      </c>
      <c r="B68" s="1525"/>
      <c r="C68" s="667" t="str" cm="1">
        <f t="array" ref="C68">INDEX('Master sheet'!$A$1:$A$670,MATCH(1,("26-30" = 'Master sheet'!$AO$1:$AO$670)*(1 = 'Master sheet'!$AP$1:$AP$670)*('Master sheet'!$AT$1:$AT$670),0))</f>
        <v xml:space="preserve">Concrete - 30 MPa, GU / SRMCA / Can. Sask Avg. / </v>
      </c>
      <c r="D68" s="230">
        <f>'USER INPUT SHEET'!$D$50</f>
        <v>0</v>
      </c>
      <c r="E68" s="14" t="str">
        <f>'USER INPUT SHEET'!$F$50</f>
        <v>m2</v>
      </c>
      <c r="F68" s="5">
        <v>1</v>
      </c>
      <c r="G68" s="668"/>
      <c r="H68" s="10"/>
      <c r="I68" s="232">
        <f t="shared" ref="I68:I74" si="25">K68-L68</f>
        <v>0</v>
      </c>
      <c r="J68" s="233" t="str">
        <f t="shared" ref="J68:J74" si="26">IF(H68=1,I68,"")</f>
        <v/>
      </c>
      <c r="K68" s="409">
        <f>$D68*$H$58*$F68*VLOOKUP($C68,'Master sheet'!$A:$AL,13,FALSE)</f>
        <v>0</v>
      </c>
      <c r="L68" s="234">
        <v>0</v>
      </c>
      <c r="M68" s="1552"/>
      <c r="N68" s="1552"/>
      <c r="O68" s="25" t="str">
        <f ca="1">_xlfn.IFNA(VLOOKUP($C68,'Master sheet'!$A:$AR,44,FALSE),"")&amp;""</f>
        <v/>
      </c>
      <c r="P68" s="637"/>
      <c r="Q68" s="29" t="s">
        <v>1556</v>
      </c>
      <c r="R68" s="722" t="s">
        <v>1589</v>
      </c>
      <c r="S68" s="664"/>
      <c r="T68" s="664"/>
      <c r="U68" s="664"/>
      <c r="V68" s="664"/>
      <c r="W68" s="664"/>
      <c r="X68" s="664"/>
      <c r="Y68" s="664"/>
      <c r="Z68" s="664"/>
      <c r="AA68" s="664"/>
    </row>
    <row r="69" spans="1:27" ht="23.25" customHeight="1" outlineLevel="1" x14ac:dyDescent="0.25">
      <c r="A69" s="1525"/>
      <c r="B69" s="1525"/>
      <c r="C69" s="669" t="str" cm="1">
        <f t="array" ref="C69">INDEX('Master sheet'!$A$1:$A$670,MATCH(1,("26-30" = 'Master sheet'!$AO$1:$AO$670)*(2 = 'Master sheet'!$AP$1:$AP$670)*('Master sheet'!$AT$1:$AT$670),0))</f>
        <v xml:space="preserve">Concrete - 30 MPa, 10% FA, GU / SRMCA / Can. Sask Avg. / </v>
      </c>
      <c r="D69" s="15">
        <f>'USER INPUT SHEET'!$D$50</f>
        <v>0</v>
      </c>
      <c r="E69" s="16" t="str">
        <f>'USER INPUT SHEET'!$F$50</f>
        <v>m2</v>
      </c>
      <c r="F69" s="3">
        <v>1</v>
      </c>
      <c r="G69" s="670"/>
      <c r="H69" s="8"/>
      <c r="I69" s="92">
        <f t="shared" si="25"/>
        <v>0</v>
      </c>
      <c r="J69" s="93" t="str">
        <f t="shared" si="26"/>
        <v/>
      </c>
      <c r="K69" s="406">
        <f>$D69*$H$58*$F69*VLOOKUP($C69,'Master sheet'!$A:$AL,13,FALSE)</f>
        <v>0</v>
      </c>
      <c r="L69" s="94">
        <v>0</v>
      </c>
      <c r="M69" s="1552"/>
      <c r="N69" s="1552"/>
      <c r="O69" s="25" t="str">
        <f ca="1">_xlfn.IFNA(VLOOKUP($C69,'Master sheet'!$A:$AR,44,FALSE),"")&amp;""</f>
        <v/>
      </c>
      <c r="P69" s="671"/>
      <c r="Q69" s="29" t="s">
        <v>1556</v>
      </c>
      <c r="R69" s="722" t="s">
        <v>1589</v>
      </c>
      <c r="S69" s="664"/>
      <c r="T69" s="664"/>
      <c r="U69" s="664"/>
      <c r="V69" s="664"/>
      <c r="W69" s="664"/>
      <c r="X69" s="664"/>
      <c r="Y69" s="664"/>
      <c r="Z69" s="664"/>
      <c r="AA69" s="664"/>
    </row>
    <row r="70" spans="1:27" ht="23.25" customHeight="1" outlineLevel="1" x14ac:dyDescent="0.25">
      <c r="A70" s="1525"/>
      <c r="B70" s="1525"/>
      <c r="C70" s="669" t="str" cm="1">
        <f t="array" ref="C70">INDEX('Master sheet'!$A$1:$A$670,MATCH(1,("26-30" = 'Master sheet'!$AO$1:$AO$670)*(3 = 'Master sheet'!$AP$1:$AP$670)*('Master sheet'!$AT$1:$AT$670),0))</f>
        <v xml:space="preserve">Concrete - 30 MPa, 20% FA, GU / SRMCA / Can. Sask Avg. / </v>
      </c>
      <c r="D70" s="15">
        <f>'USER INPUT SHEET'!$D$50</f>
        <v>0</v>
      </c>
      <c r="E70" s="16" t="str">
        <f>'USER INPUT SHEET'!$F$50</f>
        <v>m2</v>
      </c>
      <c r="F70" s="3">
        <v>1</v>
      </c>
      <c r="G70" s="670"/>
      <c r="H70" s="8"/>
      <c r="I70" s="92">
        <f t="shared" si="25"/>
        <v>0</v>
      </c>
      <c r="J70" s="93" t="str">
        <f t="shared" si="26"/>
        <v/>
      </c>
      <c r="K70" s="406">
        <f>$D70*$H$58*$F70*VLOOKUP($C70,'Master sheet'!$A:$AL,13,FALSE)</f>
        <v>0</v>
      </c>
      <c r="L70" s="94">
        <v>0</v>
      </c>
      <c r="M70" s="1552"/>
      <c r="N70" s="1552"/>
      <c r="O70" s="25" t="str">
        <f ca="1">_xlfn.IFNA(VLOOKUP($C70,'Master sheet'!$A:$AR,44,FALSE),"")&amp;""</f>
        <v/>
      </c>
      <c r="P70" s="672"/>
      <c r="Q70" s="29" t="s">
        <v>1556</v>
      </c>
      <c r="R70" s="722" t="s">
        <v>1589</v>
      </c>
      <c r="S70" s="664"/>
      <c r="T70" s="664"/>
      <c r="U70" s="664"/>
      <c r="V70" s="664"/>
      <c r="W70" s="664"/>
      <c r="X70" s="664"/>
      <c r="Y70" s="664"/>
      <c r="Z70" s="664"/>
      <c r="AA70" s="664"/>
    </row>
    <row r="71" spans="1:27" ht="23.25" customHeight="1" outlineLevel="1" x14ac:dyDescent="0.25">
      <c r="A71" s="1525"/>
      <c r="B71" s="1525"/>
      <c r="C71" s="669" t="str" cm="1">
        <f t="array" ref="C71">INDEX('Master sheet'!$A$1:$A$670,MATCH(1,("26-30" = 'Master sheet'!$AO$1:$AO$670)*(4 = 'Master sheet'!$AP$1:$AP$670)*('Master sheet'!$AT$1:$AT$670),0))</f>
        <v xml:space="preserve">Concrete - 30 MPa, 30% FA, GU / SRMCA / Can. Sask Avg. / </v>
      </c>
      <c r="D71" s="15">
        <f>'USER INPUT SHEET'!$D$50</f>
        <v>0</v>
      </c>
      <c r="E71" s="16" t="str">
        <f>'USER INPUT SHEET'!$F$50</f>
        <v>m2</v>
      </c>
      <c r="F71" s="3">
        <v>1</v>
      </c>
      <c r="G71" s="670"/>
      <c r="H71" s="8"/>
      <c r="I71" s="92">
        <f t="shared" si="25"/>
        <v>0</v>
      </c>
      <c r="J71" s="93" t="str">
        <f t="shared" si="26"/>
        <v/>
      </c>
      <c r="K71" s="406">
        <f>$D71*$H$58*$F71*VLOOKUP($C71,'Master sheet'!$A:$AL,13,FALSE)</f>
        <v>0</v>
      </c>
      <c r="L71" s="94">
        <v>0</v>
      </c>
      <c r="M71" s="1552"/>
      <c r="N71" s="1552"/>
      <c r="O71" s="25" t="str">
        <f ca="1">_xlfn.IFNA(VLOOKUP($C71,'Master sheet'!$A:$AR,44,FALSE),"")&amp;""</f>
        <v/>
      </c>
      <c r="P71" s="672"/>
      <c r="Q71" s="29" t="s">
        <v>1556</v>
      </c>
      <c r="R71" s="722" t="s">
        <v>1589</v>
      </c>
      <c r="S71" s="664"/>
      <c r="T71" s="664"/>
      <c r="U71" s="664"/>
      <c r="V71" s="664"/>
      <c r="W71" s="664"/>
      <c r="X71" s="664"/>
      <c r="Y71" s="664"/>
      <c r="Z71" s="664"/>
      <c r="AA71" s="638"/>
    </row>
    <row r="72" spans="1:27" ht="23.25" customHeight="1" outlineLevel="1" x14ac:dyDescent="0.25">
      <c r="A72" s="1525"/>
      <c r="B72" s="1525"/>
      <c r="C72" s="669" t="str" cm="1">
        <f t="array" ref="C72">INDEX('Master sheet'!$A$1:$A$670,MATCH(1,("26-30" = 'Master sheet'!$AO$1:$AO$670)*(5 = 'Master sheet'!$AP$1:$AP$670)*('Master sheet'!$AT$1:$AT$670),0))</f>
        <v xml:space="preserve">Concrete - 30 MPa, 40% FA, GU / SRMCA / Can. Sask Avg. / </v>
      </c>
      <c r="D72" s="15">
        <f>'USER INPUT SHEET'!$D$50</f>
        <v>0</v>
      </c>
      <c r="E72" s="16" t="str">
        <f>'USER INPUT SHEET'!$F$50</f>
        <v>m2</v>
      </c>
      <c r="F72" s="3">
        <v>1</v>
      </c>
      <c r="G72" s="670"/>
      <c r="H72" s="8"/>
      <c r="I72" s="92">
        <f t="shared" si="25"/>
        <v>0</v>
      </c>
      <c r="J72" s="93" t="str">
        <f t="shared" si="26"/>
        <v/>
      </c>
      <c r="K72" s="406">
        <f>$D72*$H$58*$F72*VLOOKUP($C72,'Master sheet'!$A:$AL,13,FALSE)</f>
        <v>0</v>
      </c>
      <c r="L72" s="94">
        <v>0</v>
      </c>
      <c r="M72" s="1552"/>
      <c r="N72" s="1552"/>
      <c r="O72" s="25" t="str">
        <f ca="1">_xlfn.IFNA(VLOOKUP($C72,'Master sheet'!$A:$AR,44,FALSE),"")&amp;""</f>
        <v/>
      </c>
      <c r="P72" s="672"/>
      <c r="Q72" s="29" t="s">
        <v>1556</v>
      </c>
      <c r="R72" s="722" t="s">
        <v>1589</v>
      </c>
      <c r="S72" s="664"/>
      <c r="T72" s="664"/>
      <c r="U72" s="664"/>
      <c r="V72" s="664"/>
      <c r="W72" s="664"/>
      <c r="X72" s="664"/>
      <c r="Y72" s="664"/>
      <c r="Z72" s="664"/>
      <c r="AA72" s="638"/>
    </row>
    <row r="73" spans="1:27" ht="23.25" hidden="1" customHeight="1" outlineLevel="1" x14ac:dyDescent="0.25">
      <c r="A73" s="1525"/>
      <c r="B73" s="1525"/>
      <c r="C73" s="669" t="e" cm="1">
        <f t="array" ref="C73">INDEX('Master sheet'!$A$1:$A$670,MATCH(1,("26-30" = 'Master sheet'!$AO$1:$AO$670)*(6 = 'Master sheet'!$AP$1:$AP$670)*('Master sheet'!$AT$1:$AT$670),0))</f>
        <v>#N/A</v>
      </c>
      <c r="D73" s="15">
        <f>'USER INPUT SHEET'!$D$50</f>
        <v>0</v>
      </c>
      <c r="E73" s="16" t="str">
        <f>'USER INPUT SHEET'!$F$50</f>
        <v>m2</v>
      </c>
      <c r="F73" s="3">
        <v>1</v>
      </c>
      <c r="G73" s="670"/>
      <c r="H73" s="8"/>
      <c r="I73" s="92" t="e">
        <f t="shared" ref="I73" si="27">K73-L73</f>
        <v>#N/A</v>
      </c>
      <c r="J73" s="93" t="str">
        <f t="shared" ref="J73" si="28">IF(H73=1,I73,"")</f>
        <v/>
      </c>
      <c r="K73" s="406" t="e">
        <f>$D73*$H$58*$F73*VLOOKUP($C73,'Master sheet'!$A:$AL,13,FALSE)</f>
        <v>#N/A</v>
      </c>
      <c r="L73" s="94">
        <v>0</v>
      </c>
      <c r="M73" s="1552"/>
      <c r="N73" s="1552"/>
      <c r="O73" s="25" t="str">
        <f>_xlfn.IFNA(VLOOKUP($C73,'Master sheet'!$A:$AR,44,FALSE),"")&amp;""</f>
        <v/>
      </c>
      <c r="P73" s="672"/>
      <c r="Q73" s="29" t="s">
        <v>1556</v>
      </c>
      <c r="R73" s="722" t="s">
        <v>1589</v>
      </c>
      <c r="S73" s="664"/>
      <c r="T73" s="664"/>
      <c r="U73" s="664"/>
      <c r="V73" s="664"/>
      <c r="W73" s="664"/>
      <c r="X73" s="664"/>
      <c r="Y73" s="664"/>
      <c r="Z73" s="664"/>
      <c r="AA73" s="664"/>
    </row>
    <row r="74" spans="1:27" s="624" customFormat="1" ht="23.25" hidden="1" customHeight="1" outlineLevel="1" x14ac:dyDescent="0.25">
      <c r="A74" s="1525"/>
      <c r="B74" s="1525"/>
      <c r="C74" s="673" t="e" cm="1">
        <f t="array" ref="C74">INDEX('Master sheet'!$A$1:$A$670,MATCH(1,("26-30" = 'Master sheet'!$AO$1:$AO$670)*(7 = 'Master sheet'!$AP$1:$AP$670)*('Master sheet'!$AT$1:$AT$670),0))</f>
        <v>#N/A</v>
      </c>
      <c r="D74" s="17">
        <f>'USER INPUT SHEET'!$D$50</f>
        <v>0</v>
      </c>
      <c r="E74" s="16" t="str">
        <f>'USER INPUT SHEET'!$F$50</f>
        <v>m2</v>
      </c>
      <c r="F74" s="4">
        <v>1</v>
      </c>
      <c r="G74" s="674"/>
      <c r="H74" s="9"/>
      <c r="I74" s="95" t="e">
        <f t="shared" si="25"/>
        <v>#N/A</v>
      </c>
      <c r="J74" s="96" t="str">
        <f t="shared" si="26"/>
        <v/>
      </c>
      <c r="K74" s="407" t="e">
        <f>$D74*$H$58*$F74*VLOOKUP($C74,'Master sheet'!$A:$AL,13,FALSE)</f>
        <v>#N/A</v>
      </c>
      <c r="L74" s="97">
        <v>0</v>
      </c>
      <c r="M74" s="1552"/>
      <c r="N74" s="1552"/>
      <c r="O74" s="25" t="str">
        <f>_xlfn.IFNA(VLOOKUP($C74,'Master sheet'!$A:$AR,44,FALSE),"")&amp;""</f>
        <v/>
      </c>
      <c r="P74" s="637"/>
      <c r="Q74" s="29" t="s">
        <v>1556</v>
      </c>
      <c r="R74" s="722" t="s">
        <v>1589</v>
      </c>
      <c r="S74" s="638"/>
      <c r="T74" s="638"/>
      <c r="U74" s="638"/>
      <c r="V74" s="638"/>
      <c r="W74" s="638"/>
      <c r="X74" s="638"/>
      <c r="Y74" s="638"/>
      <c r="Z74" s="638"/>
      <c r="AA74" s="664"/>
    </row>
    <row r="75" spans="1:27" s="624" customFormat="1" ht="54.75" customHeight="1" outlineLevel="1" x14ac:dyDescent="0.25">
      <c r="A75" s="1522" t="s">
        <v>1573</v>
      </c>
      <c r="B75" s="1523"/>
      <c r="C75" s="1523"/>
      <c r="D75" s="649"/>
      <c r="E75" s="650"/>
      <c r="F75" s="321"/>
      <c r="G75" s="650"/>
      <c r="H75" s="650"/>
      <c r="I75" s="651"/>
      <c r="J75" s="651"/>
      <c r="K75" s="652"/>
      <c r="L75" s="653"/>
      <c r="M75" s="653"/>
      <c r="N75" s="653"/>
      <c r="O75" s="25" t="str">
        <f>_xlfn.IFNA(VLOOKUP($C75,'Master sheet'!$A:$AR,44,FALSE),"")&amp;""</f>
        <v/>
      </c>
      <c r="P75" s="663"/>
      <c r="Q75" s="29"/>
      <c r="R75" s="722"/>
      <c r="S75" s="638"/>
      <c r="T75" s="638"/>
      <c r="U75" s="638"/>
      <c r="V75" s="638"/>
      <c r="W75" s="638"/>
      <c r="X75" s="638"/>
      <c r="Y75" s="638"/>
      <c r="Z75" s="638"/>
      <c r="AA75" s="638"/>
    </row>
    <row r="76" spans="1:27" ht="23.4" outlineLevel="1" x14ac:dyDescent="0.25">
      <c r="A76" s="686"/>
      <c r="B76" s="1541" t="s">
        <v>1675</v>
      </c>
      <c r="C76" s="1530"/>
      <c r="D76" s="656"/>
      <c r="E76" s="657"/>
      <c r="F76" s="327"/>
      <c r="G76" s="724"/>
      <c r="H76" s="695"/>
      <c r="I76" s="658"/>
      <c r="J76" s="659"/>
      <c r="K76" s="660"/>
      <c r="L76" s="661"/>
      <c r="M76" s="677"/>
      <c r="N76" s="677"/>
      <c r="O76" s="25" t="str">
        <f>_xlfn.IFNA(VLOOKUP($C76,'Master sheet'!$A:$AR,44,FALSE),"")&amp;""</f>
        <v/>
      </c>
      <c r="P76" s="637"/>
      <c r="Q76" s="29"/>
      <c r="R76" s="717"/>
      <c r="S76" s="664"/>
      <c r="T76" s="664"/>
      <c r="U76" s="664"/>
      <c r="V76" s="664"/>
      <c r="W76" s="664"/>
      <c r="X76" s="664"/>
      <c r="Y76" s="664"/>
      <c r="Z76" s="664"/>
      <c r="AA76" s="664"/>
    </row>
    <row r="77" spans="1:27" ht="22.8" outlineLevel="1" x14ac:dyDescent="0.25">
      <c r="A77" s="1525" t="s">
        <v>1746</v>
      </c>
      <c r="B77" s="1525"/>
      <c r="C77" s="691" t="s">
        <v>1745</v>
      </c>
      <c r="D77" s="19">
        <f>'USER INPUT SHEET'!$D$50</f>
        <v>0</v>
      </c>
      <c r="E77" s="20" t="str">
        <f>'USER INPUT SHEET'!$F$50</f>
        <v>m2</v>
      </c>
      <c r="F77" s="6">
        <v>1</v>
      </c>
      <c r="G77" s="692"/>
      <c r="H77" s="10"/>
      <c r="I77" s="98">
        <f t="shared" ref="I77:I83" si="29">K77-L77</f>
        <v>0</v>
      </c>
      <c r="J77" s="91" t="str">
        <f t="shared" ref="J77:J83" si="30">IF(H77=1,I77,"")</f>
        <v/>
      </c>
      <c r="K77" s="410">
        <f>$F77*AVERAGE(K78:K83)</f>
        <v>0</v>
      </c>
      <c r="L77" s="99">
        <f>$F77*AVERAGE(L78:L83)</f>
        <v>0</v>
      </c>
      <c r="M77" s="1552"/>
      <c r="N77" s="1552"/>
      <c r="O77" s="25" t="str">
        <f>_xlfn.IFNA(VLOOKUP($C77,'Master sheet'!$A:$AR,44,FALSE),"")&amp;""</f>
        <v/>
      </c>
      <c r="P77" s="671"/>
      <c r="Q77" s="29" t="s">
        <v>1556</v>
      </c>
      <c r="R77" s="717" t="s">
        <v>1590</v>
      </c>
      <c r="S77" s="664"/>
      <c r="T77" s="664"/>
      <c r="U77" s="664"/>
      <c r="V77" s="664"/>
      <c r="W77" s="664"/>
      <c r="X77" s="664"/>
      <c r="Y77" s="664"/>
      <c r="Z77" s="664"/>
      <c r="AA77" s="664"/>
    </row>
    <row r="78" spans="1:27" ht="31.5" customHeight="1" outlineLevel="1" x14ac:dyDescent="0.25">
      <c r="A78" s="1525"/>
      <c r="B78" s="1525"/>
      <c r="C78" s="673" t="str">
        <f>INDEX('Master sheet'!$A$1:$A$670,MATCH("A15",'Master sheet'!$AN$1:$AN$670,0))</f>
        <v xml:space="preserve">CMU - Light weight / Brampton Brick (Boehmers) / 8" CarboClave Block / 8 x 8 x 16 </v>
      </c>
      <c r="D78" s="17">
        <f>'USER INPUT SHEET'!$D$50</f>
        <v>0</v>
      </c>
      <c r="E78" s="18" t="str">
        <f>'USER INPUT SHEET'!$F$50</f>
        <v>m2</v>
      </c>
      <c r="F78" s="4">
        <v>1</v>
      </c>
      <c r="G78" s="674"/>
      <c r="H78" s="9"/>
      <c r="I78" s="95">
        <f t="shared" ref="I78:I82" si="31">K78-L78</f>
        <v>0</v>
      </c>
      <c r="J78" s="96" t="str">
        <f t="shared" ref="J78:J82" si="32">IF(H78=1,I78,"")</f>
        <v/>
      </c>
      <c r="K78" s="407">
        <f>$D78*$F78*VLOOKUP($C78,'Master sheet'!$A:$AL,13,FALSE)</f>
        <v>0</v>
      </c>
      <c r="L78" s="97">
        <f>$D78*$F78*VLOOKUP($C78,'Master sheet'!$A:$AL,27,FALSE)</f>
        <v>0</v>
      </c>
      <c r="M78" s="1552"/>
      <c r="N78" s="1552"/>
      <c r="O78" s="25" t="str">
        <f>_xlfn.IFNA(VLOOKUP($C78,'Master sheet'!$A:$AR,44,FALSE),"")&amp;""</f>
        <v/>
      </c>
      <c r="P78" s="637"/>
      <c r="Q78" s="29" t="s">
        <v>1556</v>
      </c>
      <c r="R78" s="717" t="s">
        <v>1590</v>
      </c>
      <c r="S78" s="664"/>
      <c r="T78" s="664"/>
      <c r="U78" s="664"/>
      <c r="V78" s="664"/>
      <c r="W78" s="664"/>
      <c r="X78" s="664"/>
      <c r="Y78" s="664"/>
      <c r="Z78" s="664"/>
      <c r="AA78" s="664"/>
    </row>
    <row r="79" spans="1:27" ht="46.8" outlineLevel="1" x14ac:dyDescent="0.25">
      <c r="A79" s="1525"/>
      <c r="B79" s="1525"/>
      <c r="C79" s="673" t="str">
        <f>INDEX('Master sheet'!$A$1:$A$670,MATCH("A16",'Master sheet'!$AN$1:$AN$670,0))</f>
        <v xml:space="preserve">CMU - Light weight / Canadian Concrete Masonry Producers Assn, East Region / 8" Light weight blocks / 15 MPa, 390 x 190 x 190 mm </v>
      </c>
      <c r="D79" s="17">
        <f>'USER INPUT SHEET'!$D$50</f>
        <v>0</v>
      </c>
      <c r="E79" s="18" t="str">
        <f>'USER INPUT SHEET'!$F$50</f>
        <v>m2</v>
      </c>
      <c r="F79" s="4">
        <v>1</v>
      </c>
      <c r="G79" s="674"/>
      <c r="H79" s="9"/>
      <c r="I79" s="95">
        <f t="shared" si="31"/>
        <v>0</v>
      </c>
      <c r="J79" s="96" t="str">
        <f t="shared" si="32"/>
        <v/>
      </c>
      <c r="K79" s="407">
        <f>$D79*$F79*VLOOKUP($C79,'Master sheet'!$A:$AL,13,FALSE)</f>
        <v>0</v>
      </c>
      <c r="L79" s="97">
        <f>$D79*$F79*VLOOKUP($C79,'Master sheet'!$A:$AL,27,FALSE)</f>
        <v>0</v>
      </c>
      <c r="M79" s="1552"/>
      <c r="N79" s="1552"/>
      <c r="O79" s="25" t="str">
        <f>_xlfn.IFNA(VLOOKUP($C79,'Master sheet'!$A:$AR,44,FALSE),"")&amp;""</f>
        <v/>
      </c>
      <c r="P79" s="637"/>
      <c r="Q79" s="29" t="s">
        <v>1556</v>
      </c>
      <c r="R79" s="717" t="s">
        <v>1590</v>
      </c>
      <c r="S79" s="664"/>
      <c r="T79" s="664"/>
      <c r="U79" s="664"/>
      <c r="V79" s="664"/>
      <c r="W79" s="664"/>
      <c r="X79" s="664"/>
      <c r="Y79" s="664"/>
      <c r="Z79" s="664"/>
      <c r="AA79" s="664"/>
    </row>
    <row r="80" spans="1:27" ht="46.8" outlineLevel="1" x14ac:dyDescent="0.25">
      <c r="A80" s="1525"/>
      <c r="B80" s="1525"/>
      <c r="C80" s="673" t="str">
        <f>INDEX('Master sheet'!$A$1:$A$670,MATCH("A17",'Master sheet'!$AN$1:$AN$670,0))</f>
        <v xml:space="preserve">CMU - Light weight / Canadian Concrete Masonry Producers Assn, West Region / 8" Light weight blocks / 15 MPa, 390 x 190 x 190 mm </v>
      </c>
      <c r="D80" s="17">
        <f>'USER INPUT SHEET'!$D$50</f>
        <v>0</v>
      </c>
      <c r="E80" s="18" t="str">
        <f>'USER INPUT SHEET'!$F$50</f>
        <v>m2</v>
      </c>
      <c r="F80" s="4">
        <v>1</v>
      </c>
      <c r="G80" s="674"/>
      <c r="H80" s="9"/>
      <c r="I80" s="95">
        <f t="shared" si="31"/>
        <v>0</v>
      </c>
      <c r="J80" s="96" t="str">
        <f t="shared" si="32"/>
        <v/>
      </c>
      <c r="K80" s="407">
        <f>$D80*$F80*VLOOKUP($C80,'Master sheet'!$A:$AL,13,FALSE)</f>
        <v>0</v>
      </c>
      <c r="L80" s="97">
        <f>$D80*$F80*VLOOKUP($C80,'Master sheet'!$A:$AL,27,FALSE)</f>
        <v>0</v>
      </c>
      <c r="M80" s="1552"/>
      <c r="N80" s="1552"/>
      <c r="O80" s="25" t="str">
        <f>_xlfn.IFNA(VLOOKUP($C80,'Master sheet'!$A:$AR,44,FALSE),"")&amp;""</f>
        <v/>
      </c>
      <c r="P80" s="637"/>
      <c r="Q80" s="29" t="s">
        <v>1556</v>
      </c>
      <c r="R80" s="717" t="s">
        <v>1590</v>
      </c>
      <c r="S80" s="664"/>
      <c r="T80" s="664"/>
      <c r="U80" s="664"/>
      <c r="V80" s="664"/>
      <c r="W80" s="664"/>
      <c r="X80" s="664"/>
      <c r="Y80" s="664"/>
      <c r="Z80" s="664"/>
      <c r="AA80" s="664"/>
    </row>
    <row r="81" spans="1:27" ht="31.2" outlineLevel="1" x14ac:dyDescent="0.25">
      <c r="A81" s="1525"/>
      <c r="B81" s="1525"/>
      <c r="C81" s="673" t="str">
        <f>INDEX('Master sheet'!$A$1:$A$670,MATCH("A20",'Master sheet'!$AN$1:$AN$670,0))</f>
        <v xml:space="preserve">CMU - Normal weight / Brampton Brick (Boehmers) / 8" CarboClave Block / 8 x 8 x 16 </v>
      </c>
      <c r="D81" s="17">
        <f>'USER INPUT SHEET'!$D$50</f>
        <v>0</v>
      </c>
      <c r="E81" s="18" t="str">
        <f>'USER INPUT SHEET'!$F$50</f>
        <v>m2</v>
      </c>
      <c r="F81" s="4">
        <v>1</v>
      </c>
      <c r="G81" s="674"/>
      <c r="H81" s="9"/>
      <c r="I81" s="95">
        <f t="shared" si="31"/>
        <v>0</v>
      </c>
      <c r="J81" s="96" t="str">
        <f t="shared" si="32"/>
        <v/>
      </c>
      <c r="K81" s="407">
        <f>$D81*$F81*VLOOKUP($C81,'Master sheet'!$A:$AL,13,FALSE)</f>
        <v>0</v>
      </c>
      <c r="L81" s="97">
        <f>$D81*$F81*VLOOKUP($C81,'Master sheet'!$A:$AL,27,FALSE)</f>
        <v>0</v>
      </c>
      <c r="M81" s="1552"/>
      <c r="N81" s="1552"/>
      <c r="O81" s="25" t="str">
        <f>_xlfn.IFNA(VLOOKUP($C81,'Master sheet'!$A:$AR,44,FALSE),"")&amp;""</f>
        <v/>
      </c>
      <c r="P81" s="637"/>
      <c r="Q81" s="29" t="s">
        <v>1556</v>
      </c>
      <c r="R81" s="717" t="s">
        <v>1590</v>
      </c>
      <c r="S81" s="664"/>
      <c r="T81" s="664"/>
      <c r="U81" s="664"/>
      <c r="V81" s="664"/>
      <c r="W81" s="664"/>
      <c r="X81" s="664"/>
      <c r="Y81" s="664"/>
      <c r="Z81" s="664"/>
      <c r="AA81" s="664"/>
    </row>
    <row r="82" spans="1:27" ht="46.8" outlineLevel="1" x14ac:dyDescent="0.25">
      <c r="A82" s="1525"/>
      <c r="B82" s="1525"/>
      <c r="C82" s="673" t="str">
        <f>INDEX('Master sheet'!$A$1:$A$670,MATCH("A18",'Master sheet'!$AN$1:$AN$670,0))</f>
        <v xml:space="preserve">CMU - Normal weight / Canadian Concrete Masonry Producers Assn, East Region / 8" Normal weight blocks / 15 MPa, 390 x 190 x 190 mm </v>
      </c>
      <c r="D82" s="17">
        <f>'USER INPUT SHEET'!$D$50</f>
        <v>0</v>
      </c>
      <c r="E82" s="18" t="str">
        <f>'USER INPUT SHEET'!$F$50</f>
        <v>m2</v>
      </c>
      <c r="F82" s="4">
        <v>1</v>
      </c>
      <c r="G82" s="674"/>
      <c r="H82" s="9"/>
      <c r="I82" s="95">
        <f t="shared" si="31"/>
        <v>0</v>
      </c>
      <c r="J82" s="96" t="str">
        <f t="shared" si="32"/>
        <v/>
      </c>
      <c r="K82" s="407">
        <f>$D82*$F82*VLOOKUP($C82,'Master sheet'!$A:$AL,13,FALSE)</f>
        <v>0</v>
      </c>
      <c r="L82" s="97">
        <f>$D82*$F82*VLOOKUP($C82,'Master sheet'!$A:$AL,27,FALSE)</f>
        <v>0</v>
      </c>
      <c r="M82" s="1552"/>
      <c r="N82" s="1552"/>
      <c r="O82" s="25" t="str">
        <f>_xlfn.IFNA(VLOOKUP($C82,'Master sheet'!$A:$AR,44,FALSE),"")&amp;""</f>
        <v/>
      </c>
      <c r="P82" s="637"/>
      <c r="Q82" s="29" t="s">
        <v>1556</v>
      </c>
      <c r="R82" s="717" t="s">
        <v>1590</v>
      </c>
      <c r="S82" s="664"/>
      <c r="T82" s="664"/>
      <c r="U82" s="664"/>
      <c r="V82" s="664"/>
      <c r="W82" s="664"/>
      <c r="X82" s="664"/>
      <c r="Y82" s="664"/>
      <c r="Z82" s="664"/>
      <c r="AA82" s="664"/>
    </row>
    <row r="83" spans="1:27" s="624" customFormat="1" ht="46.8" outlineLevel="1" x14ac:dyDescent="0.25">
      <c r="A83" s="1643"/>
      <c r="B83" s="1643"/>
      <c r="C83" s="673" t="str">
        <f>INDEX('Master sheet'!$A$1:$A$670,MATCH("A19",'Master sheet'!$AN$1:$AN$670,0))</f>
        <v xml:space="preserve">CMU - Normal weight / Canadian Concrete Masonry Producers Assn, West Region / 8" Normal weight blocks / 15 MPa, 390 x 190 x 190 mm </v>
      </c>
      <c r="D83" s="17">
        <f>'USER INPUT SHEET'!$D$50</f>
        <v>0</v>
      </c>
      <c r="E83" s="18" t="str">
        <f>'USER INPUT SHEET'!$F$50</f>
        <v>m2</v>
      </c>
      <c r="F83" s="4">
        <v>1</v>
      </c>
      <c r="G83" s="674"/>
      <c r="H83" s="9"/>
      <c r="I83" s="95">
        <f t="shared" si="29"/>
        <v>0</v>
      </c>
      <c r="J83" s="96" t="str">
        <f t="shared" si="30"/>
        <v/>
      </c>
      <c r="K83" s="407">
        <f>$D83*$F83*VLOOKUP($C83,'Master sheet'!$A:$AL,13,FALSE)</f>
        <v>0</v>
      </c>
      <c r="L83" s="97">
        <f>$D83*$F83*VLOOKUP($C83,'Master sheet'!$A:$AL,27,FALSE)</f>
        <v>0</v>
      </c>
      <c r="M83" s="1559"/>
      <c r="N83" s="1559"/>
      <c r="O83" s="25" t="str">
        <f>_xlfn.IFNA(VLOOKUP($C83,'Master sheet'!$A:$AR,44,FALSE),"")&amp;""</f>
        <v/>
      </c>
      <c r="P83" s="637"/>
      <c r="Q83" s="29" t="s">
        <v>1556</v>
      </c>
      <c r="R83" s="717" t="s">
        <v>1590</v>
      </c>
      <c r="S83" s="638"/>
      <c r="T83" s="638"/>
      <c r="U83" s="638"/>
      <c r="V83" s="638"/>
      <c r="W83" s="638"/>
      <c r="X83" s="638"/>
      <c r="Y83" s="638"/>
      <c r="Z83" s="638"/>
      <c r="AA83" s="664"/>
    </row>
    <row r="84" spans="1:27" s="624" customFormat="1" ht="40.200000000000003" customHeight="1" x14ac:dyDescent="0.25">
      <c r="A84" s="865" t="s">
        <v>1750</v>
      </c>
      <c r="B84" s="866"/>
      <c r="C84" s="867"/>
      <c r="D84" s="286"/>
      <c r="E84" s="290"/>
      <c r="F84" s="342"/>
      <c r="G84" s="868"/>
      <c r="H84" s="869"/>
      <c r="I84" s="287"/>
      <c r="J84" s="287"/>
      <c r="K84" s="288"/>
      <c r="L84" s="289"/>
      <c r="M84" s="289"/>
      <c r="N84" s="289"/>
      <c r="O84" s="25" t="str">
        <f>_xlfn.IFNA(VLOOKUP($C84,'Master sheet'!$A:$AR,44,FALSE),"")&amp;""</f>
        <v/>
      </c>
      <c r="P84" s="637"/>
      <c r="Q84" s="29"/>
      <c r="R84" s="28"/>
      <c r="S84" s="638"/>
      <c r="T84" s="638"/>
      <c r="U84" s="638"/>
      <c r="V84" s="638"/>
      <c r="W84" s="638"/>
      <c r="X84" s="638"/>
      <c r="Y84" s="638"/>
      <c r="Z84" s="638"/>
      <c r="AA84" s="664"/>
    </row>
    <row r="85" spans="1:27" s="624" customFormat="1" ht="54.75" customHeight="1" outlineLevel="1" x14ac:dyDescent="0.25">
      <c r="A85" s="1592" t="s">
        <v>1747</v>
      </c>
      <c r="B85" s="1523"/>
      <c r="C85" s="1523"/>
      <c r="D85" s="1523"/>
      <c r="E85" s="650"/>
      <c r="F85" s="321"/>
      <c r="G85" s="650"/>
      <c r="H85" s="650"/>
      <c r="I85" s="651"/>
      <c r="J85" s="651"/>
      <c r="K85" s="652"/>
      <c r="L85" s="759"/>
      <c r="M85" s="759"/>
      <c r="N85" s="759"/>
      <c r="O85" s="25" t="str">
        <f>_xlfn.IFNA(VLOOKUP($C85,'Master sheet'!$A:$AR,44,FALSE),"")&amp;""</f>
        <v/>
      </c>
      <c r="P85" s="637"/>
      <c r="Q85" s="29"/>
      <c r="R85" s="728"/>
      <c r="S85" s="638"/>
      <c r="T85" s="638"/>
      <c r="U85" s="638"/>
      <c r="V85" s="638"/>
      <c r="W85" s="638"/>
      <c r="X85" s="638"/>
      <c r="Y85" s="638"/>
      <c r="Z85" s="638"/>
      <c r="AA85" s="664"/>
    </row>
    <row r="86" spans="1:27" ht="23.25" customHeight="1" outlineLevel="1" x14ac:dyDescent="0.25">
      <c r="A86" s="686"/>
      <c r="B86" s="1541" t="s">
        <v>1720</v>
      </c>
      <c r="C86" s="1530"/>
      <c r="D86" s="656"/>
      <c r="E86" s="657"/>
      <c r="F86" s="339"/>
      <c r="G86" s="724"/>
      <c r="H86" s="763"/>
      <c r="I86" s="658"/>
      <c r="J86" s="659"/>
      <c r="K86" s="723"/>
      <c r="L86" s="661"/>
      <c r="M86" s="677"/>
      <c r="N86" s="677"/>
      <c r="O86" s="25" t="str">
        <f>_xlfn.IFNA(VLOOKUP($C86,'Master sheet'!$A:$AR,44,FALSE),"")&amp;""</f>
        <v/>
      </c>
      <c r="P86" s="637"/>
      <c r="Q86" s="29"/>
      <c r="S86" s="664"/>
      <c r="T86" s="664"/>
      <c r="U86" s="664"/>
      <c r="V86" s="664"/>
      <c r="W86" s="664"/>
      <c r="X86" s="664"/>
      <c r="Y86" s="664"/>
      <c r="Z86" s="664"/>
      <c r="AA86" s="638"/>
    </row>
    <row r="87" spans="1:27" ht="22.95" customHeight="1" outlineLevel="1" x14ac:dyDescent="0.25">
      <c r="A87" s="1638" t="s">
        <v>1719</v>
      </c>
      <c r="B87" s="1638"/>
      <c r="C87" s="691" t="s">
        <v>1394</v>
      </c>
      <c r="D87" s="19">
        <f>'USER INPUT SHEET'!$D$56</f>
        <v>0</v>
      </c>
      <c r="E87" s="20" t="str">
        <f>'USER INPUT SHEET'!$F$39</f>
        <v>m3</v>
      </c>
      <c r="F87" s="6">
        <v>1</v>
      </c>
      <c r="G87" s="692"/>
      <c r="H87" s="10"/>
      <c r="I87" s="98">
        <f t="shared" ref="I87:I94" si="33">K87-L87-IF(N87,M87,0)</f>
        <v>0</v>
      </c>
      <c r="J87" s="91" t="str">
        <f t="shared" ref="J87:J104" si="34">IF(H87=1,I87,"")</f>
        <v/>
      </c>
      <c r="K87" s="410">
        <f>$F87*AVERAGE(K88:K105)</f>
        <v>0</v>
      </c>
      <c r="L87" s="99">
        <f>$F87*AVERAGE(L88:L105)</f>
        <v>0</v>
      </c>
      <c r="M87" s="1552"/>
      <c r="N87" s="1552"/>
      <c r="O87" s="25" t="str">
        <f>_xlfn.IFNA(VLOOKUP($C87,'Master sheet'!$A:$AR,44,FALSE),"")&amp;""</f>
        <v/>
      </c>
      <c r="P87" s="637"/>
      <c r="Q87" s="29" t="s">
        <v>1556</v>
      </c>
      <c r="R87" s="757" t="s">
        <v>1748</v>
      </c>
      <c r="S87" s="664"/>
      <c r="T87" s="664"/>
      <c r="U87" s="664"/>
      <c r="V87" s="664"/>
      <c r="W87" s="664"/>
      <c r="X87" s="664"/>
      <c r="Y87" s="664"/>
      <c r="Z87" s="664"/>
      <c r="AA87" s="664"/>
    </row>
    <row r="88" spans="1:27" ht="22.8" outlineLevel="1" x14ac:dyDescent="0.25">
      <c r="A88" s="1589"/>
      <c r="B88" s="1589"/>
      <c r="C88" s="669" t="str">
        <f>INDEX('Master sheet'!$A$1:$A$670,MATCH("248-1",'Master sheet'!$AN$1:$AN$670,0))</f>
        <v xml:space="preserve">Wood - SPF / Canadian Wood Council / British Columbia / </v>
      </c>
      <c r="D88" s="15">
        <f>'USER INPUT SHEET'!$D$56</f>
        <v>0</v>
      </c>
      <c r="E88" s="16" t="str">
        <f>'USER INPUT SHEET'!$F$39</f>
        <v>m3</v>
      </c>
      <c r="F88" s="3">
        <v>1</v>
      </c>
      <c r="G88" s="670"/>
      <c r="H88" s="8"/>
      <c r="I88" s="95">
        <f t="shared" si="33"/>
        <v>0</v>
      </c>
      <c r="J88" s="93" t="str">
        <f t="shared" si="34"/>
        <v/>
      </c>
      <c r="K88" s="406">
        <f>$D88*$F88*VLOOKUP($C88,'Master sheet'!$A:$AL,13,FALSE)</f>
        <v>0</v>
      </c>
      <c r="L88" s="94">
        <f>$D88*$F88*VLOOKUP($C88,'Master sheet'!$A:$AL,27,FALSE)</f>
        <v>0</v>
      </c>
      <c r="M88" s="1552"/>
      <c r="N88" s="1552"/>
      <c r="O88" s="25" t="str">
        <f>_xlfn.IFNA(VLOOKUP($C88,'Master sheet'!$A:$AR,44,FALSE),"")&amp;""</f>
        <v/>
      </c>
      <c r="P88" s="685"/>
      <c r="Q88" s="29" t="s">
        <v>1556</v>
      </c>
      <c r="R88" s="757" t="s">
        <v>1748</v>
      </c>
      <c r="S88" s="664"/>
      <c r="T88" s="664"/>
      <c r="U88" s="664"/>
      <c r="V88" s="664"/>
      <c r="W88" s="664"/>
      <c r="X88" s="664"/>
      <c r="Y88" s="664"/>
      <c r="Z88" s="664"/>
      <c r="AA88" s="664"/>
    </row>
    <row r="89" spans="1:27" ht="22.8" outlineLevel="1" x14ac:dyDescent="0.25">
      <c r="A89" s="1589"/>
      <c r="B89" s="1589"/>
      <c r="C89" s="669" t="str">
        <f>INDEX('Master sheet'!$A$1:$A$670,MATCH("248-2",'Master sheet'!$AN$1:$AN$670,0))</f>
        <v xml:space="preserve">Wood - SPF / Canadian Wood Council / Alberta / </v>
      </c>
      <c r="D89" s="15">
        <f>'USER INPUT SHEET'!$D$56</f>
        <v>0</v>
      </c>
      <c r="E89" s="16" t="str">
        <f>'USER INPUT SHEET'!$F$39</f>
        <v>m3</v>
      </c>
      <c r="F89" s="3">
        <v>1</v>
      </c>
      <c r="G89" s="670"/>
      <c r="H89" s="8"/>
      <c r="I89" s="95">
        <f t="shared" ref="I89:I93" si="35">K89-L89-IF(N89,M89,0)</f>
        <v>0</v>
      </c>
      <c r="J89" s="93" t="str">
        <f t="shared" ref="J89:J93" si="36">IF(H89=1,I89,"")</f>
        <v/>
      </c>
      <c r="K89" s="406">
        <f>$D89*$F89*VLOOKUP($C89,'Master sheet'!$A:$AL,13,FALSE)</f>
        <v>0</v>
      </c>
      <c r="L89" s="94">
        <f>$D89*$F89*VLOOKUP($C89,'Master sheet'!$A:$AL,27,FALSE)</f>
        <v>0</v>
      </c>
      <c r="M89" s="1552"/>
      <c r="N89" s="1552"/>
      <c r="O89" s="25" t="str">
        <f>_xlfn.IFNA(VLOOKUP($C89,'Master sheet'!$A:$AR,44,FALSE),"")&amp;""</f>
        <v/>
      </c>
      <c r="P89" s="685"/>
      <c r="Q89" s="29" t="s">
        <v>1556</v>
      </c>
      <c r="R89" s="757" t="s">
        <v>1748</v>
      </c>
      <c r="S89" s="664"/>
      <c r="T89" s="664"/>
      <c r="U89" s="664"/>
      <c r="V89" s="664"/>
      <c r="W89" s="664"/>
      <c r="X89" s="664"/>
      <c r="Y89" s="664"/>
      <c r="Z89" s="664"/>
      <c r="AA89" s="664"/>
    </row>
    <row r="90" spans="1:27" ht="22.8" outlineLevel="1" x14ac:dyDescent="0.25">
      <c r="A90" s="1589"/>
      <c r="B90" s="1589"/>
      <c r="C90" s="669" t="str">
        <f>INDEX('Master sheet'!$A$1:$A$670,MATCH("248-3",'Master sheet'!$AN$1:$AN$670,0))</f>
        <v xml:space="preserve">Wood - SPF / Canadian Wood Council / Ontario / </v>
      </c>
      <c r="D90" s="15">
        <f>'USER INPUT SHEET'!$D$56</f>
        <v>0</v>
      </c>
      <c r="E90" s="16" t="str">
        <f>'USER INPUT SHEET'!$F$39</f>
        <v>m3</v>
      </c>
      <c r="F90" s="3">
        <v>1</v>
      </c>
      <c r="G90" s="670"/>
      <c r="H90" s="8"/>
      <c r="I90" s="95">
        <f t="shared" si="35"/>
        <v>0</v>
      </c>
      <c r="J90" s="93" t="str">
        <f t="shared" si="36"/>
        <v/>
      </c>
      <c r="K90" s="406">
        <f>$D90*$F90*VLOOKUP($C90,'Master sheet'!$A:$AL,13,FALSE)</f>
        <v>0</v>
      </c>
      <c r="L90" s="94">
        <f>$D90*$F90*VLOOKUP($C90,'Master sheet'!$A:$AL,27,FALSE)</f>
        <v>0</v>
      </c>
      <c r="M90" s="1552"/>
      <c r="N90" s="1552"/>
      <c r="O90" s="25" t="str">
        <f>_xlfn.IFNA(VLOOKUP($C90,'Master sheet'!$A:$AR,44,FALSE),"")&amp;""</f>
        <v/>
      </c>
      <c r="P90" s="685"/>
      <c r="Q90" s="29" t="s">
        <v>1556</v>
      </c>
      <c r="R90" s="757" t="s">
        <v>1748</v>
      </c>
      <c r="S90" s="664"/>
      <c r="T90" s="664"/>
      <c r="U90" s="664"/>
      <c r="V90" s="664"/>
      <c r="W90" s="664"/>
      <c r="X90" s="664"/>
      <c r="Y90" s="664"/>
      <c r="Z90" s="664"/>
      <c r="AA90" s="664"/>
    </row>
    <row r="91" spans="1:27" ht="22.8" outlineLevel="1" x14ac:dyDescent="0.25">
      <c r="A91" s="1589"/>
      <c r="B91" s="1589"/>
      <c r="C91" s="669" t="str">
        <f>INDEX('Master sheet'!$A$1:$A$670,MATCH("248-4",'Master sheet'!$AN$1:$AN$670,0))</f>
        <v xml:space="preserve">Wood - SPF / Canadian Wood Council / Quebec / </v>
      </c>
      <c r="D91" s="15">
        <f>'USER INPUT SHEET'!$D$56</f>
        <v>0</v>
      </c>
      <c r="E91" s="16" t="str">
        <f>'USER INPUT SHEET'!$F$39</f>
        <v>m3</v>
      </c>
      <c r="F91" s="3">
        <v>1</v>
      </c>
      <c r="G91" s="670"/>
      <c r="H91" s="8"/>
      <c r="I91" s="95">
        <f t="shared" si="35"/>
        <v>0</v>
      </c>
      <c r="J91" s="93" t="str">
        <f t="shared" si="36"/>
        <v/>
      </c>
      <c r="K91" s="406">
        <f>$D91*$F91*VLOOKUP($C91,'Master sheet'!$A:$AL,13,FALSE)</f>
        <v>0</v>
      </c>
      <c r="L91" s="94">
        <f>$D91*$F91*VLOOKUP($C91,'Master sheet'!$A:$AL,27,FALSE)</f>
        <v>0</v>
      </c>
      <c r="M91" s="1552"/>
      <c r="N91" s="1552"/>
      <c r="O91" s="25" t="str">
        <f>_xlfn.IFNA(VLOOKUP($C91,'Master sheet'!$A:$AR,44,FALSE),"")&amp;""</f>
        <v/>
      </c>
      <c r="P91" s="685"/>
      <c r="Q91" s="29" t="s">
        <v>1556</v>
      </c>
      <c r="R91" s="757" t="s">
        <v>1748</v>
      </c>
      <c r="S91" s="664"/>
      <c r="T91" s="664"/>
      <c r="U91" s="664"/>
      <c r="V91" s="664"/>
      <c r="W91" s="664"/>
      <c r="X91" s="664"/>
      <c r="Y91" s="664"/>
      <c r="Z91" s="664"/>
      <c r="AA91" s="638"/>
    </row>
    <row r="92" spans="1:27" ht="22.8" outlineLevel="1" x14ac:dyDescent="0.25">
      <c r="A92" s="1589"/>
      <c r="B92" s="1589"/>
      <c r="C92" s="669" t="str">
        <f>INDEX('Master sheet'!$A$1:$A$670,MATCH("248-5",'Master sheet'!$AN$1:$AN$670,0))</f>
        <v xml:space="preserve">Wood - SPF / Canadian Wood Council / New Brunswick / </v>
      </c>
      <c r="D92" s="15">
        <f>'USER INPUT SHEET'!$D$56</f>
        <v>0</v>
      </c>
      <c r="E92" s="16" t="str">
        <f>'USER INPUT SHEET'!$F$39</f>
        <v>m3</v>
      </c>
      <c r="F92" s="3">
        <v>1</v>
      </c>
      <c r="G92" s="670"/>
      <c r="H92" s="8"/>
      <c r="I92" s="95">
        <f t="shared" si="35"/>
        <v>0</v>
      </c>
      <c r="J92" s="93" t="str">
        <f t="shared" si="36"/>
        <v/>
      </c>
      <c r="K92" s="406">
        <f>$D92*$F92*VLOOKUP($C92,'Master sheet'!$A:$AL,13,FALSE)</f>
        <v>0</v>
      </c>
      <c r="L92" s="94">
        <f>$D92*$F92*VLOOKUP($C92,'Master sheet'!$A:$AL,27,FALSE)</f>
        <v>0</v>
      </c>
      <c r="M92" s="1552"/>
      <c r="N92" s="1552"/>
      <c r="O92" s="25" t="str">
        <f>_xlfn.IFNA(VLOOKUP($C92,'Master sheet'!$A:$AR,44,FALSE),"")&amp;""</f>
        <v/>
      </c>
      <c r="P92" s="685"/>
      <c r="Q92" s="29" t="s">
        <v>1556</v>
      </c>
      <c r="R92" s="757" t="s">
        <v>1748</v>
      </c>
      <c r="S92" s="664"/>
      <c r="T92" s="664"/>
      <c r="U92" s="664"/>
      <c r="V92" s="664"/>
      <c r="W92" s="664"/>
      <c r="X92" s="664"/>
      <c r="Y92" s="664"/>
      <c r="Z92" s="664"/>
      <c r="AA92" s="638"/>
    </row>
    <row r="93" spans="1:27" ht="22.8" outlineLevel="1" x14ac:dyDescent="0.25">
      <c r="A93" s="1589"/>
      <c r="B93" s="1589"/>
      <c r="C93" s="669" t="str">
        <f>INDEX('Master sheet'!$A$1:$A$670,MATCH("248-6",'Master sheet'!$AN$1:$AN$670,0))</f>
        <v xml:space="preserve">Wood - SPF / Canadian Wood Council / Atlantic Canada / </v>
      </c>
      <c r="D93" s="15">
        <f>'USER INPUT SHEET'!$D$56</f>
        <v>0</v>
      </c>
      <c r="E93" s="16" t="str">
        <f>'USER INPUT SHEET'!$F$39</f>
        <v>m3</v>
      </c>
      <c r="F93" s="3">
        <v>1</v>
      </c>
      <c r="G93" s="670"/>
      <c r="H93" s="8"/>
      <c r="I93" s="95">
        <f t="shared" si="35"/>
        <v>0</v>
      </c>
      <c r="J93" s="93" t="str">
        <f t="shared" si="36"/>
        <v/>
      </c>
      <c r="K93" s="406">
        <f>$D93*$F93*VLOOKUP($C93,'Master sheet'!$A:$AL,13,FALSE)</f>
        <v>0</v>
      </c>
      <c r="L93" s="94">
        <f>$D93*$F93*VLOOKUP($C93,'Master sheet'!$A:$AL,27,FALSE)</f>
        <v>0</v>
      </c>
      <c r="M93" s="1552"/>
      <c r="N93" s="1552"/>
      <c r="O93" s="25" t="str">
        <f>_xlfn.IFNA(VLOOKUP($C93,'Master sheet'!$A:$AR,44,FALSE),"")&amp;""</f>
        <v/>
      </c>
      <c r="P93" s="685"/>
      <c r="Q93" s="29" t="s">
        <v>1556</v>
      </c>
      <c r="R93" s="757" t="s">
        <v>1748</v>
      </c>
      <c r="S93" s="664"/>
      <c r="T93" s="664"/>
      <c r="U93" s="664"/>
      <c r="V93" s="664"/>
      <c r="W93" s="664"/>
      <c r="X93" s="664"/>
      <c r="Y93" s="664"/>
      <c r="Z93" s="664"/>
      <c r="AA93" s="638"/>
    </row>
    <row r="94" spans="1:27" ht="31.5" customHeight="1" outlineLevel="1" x14ac:dyDescent="0.25">
      <c r="A94" s="1589"/>
      <c r="B94" s="1589"/>
      <c r="C94" s="669" t="str">
        <f>INDEX('Master sheet'!$A$1:$A$670,MATCH(126,'Master sheet'!$AN$1:$AN$670,0))</f>
        <v xml:space="preserve">Laminated strand lumber (LSL) / American Wood Council &amp; Canadian Wood Council /  / </v>
      </c>
      <c r="D94" s="15">
        <f>'USER INPUT SHEET'!$D$56</f>
        <v>0</v>
      </c>
      <c r="E94" s="16" t="str">
        <f>'USER INPUT SHEET'!$F$39</f>
        <v>m3</v>
      </c>
      <c r="F94" s="3">
        <v>1</v>
      </c>
      <c r="G94" s="670"/>
      <c r="H94" s="8"/>
      <c r="I94" s="95">
        <f t="shared" si="33"/>
        <v>0</v>
      </c>
      <c r="J94" s="93" t="str">
        <f t="shared" ref="J94" si="37">IF(H94=1,I94,"")</f>
        <v/>
      </c>
      <c r="K94" s="406">
        <f>$D94*$F94*VLOOKUP($C94,'Master sheet'!$A:$AL,13,FALSE)</f>
        <v>0</v>
      </c>
      <c r="L94" s="94">
        <f>$D94*$F94*VLOOKUP($C94,'Master sheet'!$A:$AL,27,FALSE)</f>
        <v>0</v>
      </c>
      <c r="M94" s="1552"/>
      <c r="N94" s="1552"/>
      <c r="O94" s="25" t="str">
        <f ca="1">_xlfn.IFNA(VLOOKUP($C94,'Master sheet'!$A:$AR,44,FALSE),"")&amp;""</f>
        <v/>
      </c>
      <c r="P94" s="685"/>
      <c r="Q94" s="29" t="s">
        <v>1556</v>
      </c>
      <c r="R94" s="757" t="s">
        <v>1748</v>
      </c>
      <c r="S94" s="664"/>
      <c r="T94" s="664"/>
      <c r="U94" s="664"/>
      <c r="V94" s="664"/>
      <c r="W94" s="664"/>
      <c r="X94" s="664"/>
      <c r="Y94" s="664"/>
      <c r="Z94" s="664"/>
      <c r="AA94" s="638"/>
    </row>
    <row r="95" spans="1:27" ht="31.5" customHeight="1" outlineLevel="1" x14ac:dyDescent="0.25">
      <c r="A95" s="1589"/>
      <c r="B95" s="1589"/>
      <c r="C95" s="669" t="str">
        <f>INDEX('Master sheet'!$A$1:$A$670,MATCH(127,'Master sheet'!$AN$1:$AN$670,0))</f>
        <v xml:space="preserve">Laminated veneer lumber (LVL) / American Wood Council &amp; Canadian Wood Council /  / </v>
      </c>
      <c r="D95" s="15">
        <f>'USER INPUT SHEET'!$D$56</f>
        <v>0</v>
      </c>
      <c r="E95" s="16" t="str">
        <f>'USER INPUT SHEET'!$F$39</f>
        <v>m3</v>
      </c>
      <c r="F95" s="3">
        <v>1</v>
      </c>
      <c r="G95" s="670"/>
      <c r="H95" s="8"/>
      <c r="I95" s="95">
        <f t="shared" ref="I95:I97" si="38">K95-L95-IF(N95,M95,0)</f>
        <v>0</v>
      </c>
      <c r="J95" s="93" t="str">
        <f t="shared" si="34"/>
        <v/>
      </c>
      <c r="K95" s="406">
        <f>$D95*$F95*VLOOKUP($C95,'Master sheet'!$A:$AL,13,FALSE)</f>
        <v>0</v>
      </c>
      <c r="L95" s="94">
        <f>$D95*$F95*VLOOKUP($C95,'Master sheet'!$A:$AL,27,FALSE)</f>
        <v>0</v>
      </c>
      <c r="M95" s="1552"/>
      <c r="N95" s="1552"/>
      <c r="O95" s="25" t="str">
        <f ca="1">_xlfn.IFNA(VLOOKUP($C95,'Master sheet'!$A:$AR,44,FALSE),"")&amp;""</f>
        <v>Expired 2025</v>
      </c>
      <c r="P95" s="685"/>
      <c r="Q95" s="29" t="s">
        <v>1556</v>
      </c>
      <c r="R95" s="757" t="s">
        <v>1748</v>
      </c>
      <c r="S95" s="664"/>
      <c r="T95" s="664"/>
      <c r="U95" s="664"/>
      <c r="V95" s="664"/>
      <c r="W95" s="664"/>
      <c r="X95" s="664"/>
      <c r="Y95" s="664"/>
      <c r="Z95" s="664"/>
      <c r="AA95" s="638"/>
    </row>
    <row r="96" spans="1:27" ht="31.5" customHeight="1" outlineLevel="1" x14ac:dyDescent="0.25">
      <c r="A96" s="1589"/>
      <c r="B96" s="1589"/>
      <c r="C96" s="669" t="str">
        <f>INDEX('Master sheet'!$A$1:$A$670,MATCH(113,'Master sheet'!$AN$1:$AN$670,0))</f>
        <v xml:space="preserve">Glued laminated timber / American Wood Council &amp; Canadian Wood Council /  / </v>
      </c>
      <c r="D96" s="15">
        <f>'USER INPUT SHEET'!$D$56</f>
        <v>0</v>
      </c>
      <c r="E96" s="16" t="str">
        <f>'USER INPUT SHEET'!$F$39</f>
        <v>m3</v>
      </c>
      <c r="F96" s="3">
        <v>1</v>
      </c>
      <c r="G96" s="670"/>
      <c r="H96" s="8"/>
      <c r="I96" s="92">
        <f t="shared" si="38"/>
        <v>0</v>
      </c>
      <c r="J96" s="93" t="str">
        <f t="shared" si="34"/>
        <v/>
      </c>
      <c r="K96" s="406">
        <f>$D96*$F96*VLOOKUP($C96,'Master sheet'!$A:$AL,13,FALSE)</f>
        <v>0</v>
      </c>
      <c r="L96" s="94">
        <f>$D96*$F96*VLOOKUP($C96,'Master sheet'!$A:$AL,27,FALSE)</f>
        <v>0</v>
      </c>
      <c r="M96" s="1552"/>
      <c r="N96" s="1552"/>
      <c r="O96" s="25" t="str">
        <f ca="1">_xlfn.IFNA(VLOOKUP($C96,'Master sheet'!$A:$AR,44,FALSE),"")&amp;""</f>
        <v>Expired 2025</v>
      </c>
      <c r="P96" s="637"/>
      <c r="Q96" s="29" t="s">
        <v>1556</v>
      </c>
      <c r="R96" s="757" t="s">
        <v>1748</v>
      </c>
      <c r="S96" s="664"/>
      <c r="T96" s="664"/>
      <c r="U96" s="664"/>
      <c r="V96" s="664"/>
      <c r="W96" s="664"/>
      <c r="X96" s="664"/>
      <c r="Y96" s="664"/>
      <c r="Z96" s="664"/>
      <c r="AA96" s="638"/>
    </row>
    <row r="97" spans="1:27" s="624" customFormat="1" ht="31.5" customHeight="1" outlineLevel="1" x14ac:dyDescent="0.25">
      <c r="A97" s="1589"/>
      <c r="B97" s="1589"/>
      <c r="C97" s="673" t="str">
        <f>INDEX('Master sheet'!$A$1:$A$670,MATCH(114,'Master sheet'!$AN$1:$AN$670,0))</f>
        <v>Glued laminated timber / Structurlam / Glulam Plus / 3-1/2" (90mm) thick</v>
      </c>
      <c r="D97" s="17">
        <f>'USER INPUT SHEET'!$D$56</f>
        <v>0</v>
      </c>
      <c r="E97" s="18" t="str">
        <f>'USER INPUT SHEET'!$F$39</f>
        <v>m3</v>
      </c>
      <c r="F97" s="4">
        <v>1</v>
      </c>
      <c r="G97" s="674"/>
      <c r="H97" s="9"/>
      <c r="I97" s="95">
        <f t="shared" si="38"/>
        <v>0</v>
      </c>
      <c r="J97" s="96" t="str">
        <f t="shared" si="34"/>
        <v/>
      </c>
      <c r="K97" s="407">
        <f>$D97*$F97*VLOOKUP($C97,'Master sheet'!$A:$AL,13,FALSE)</f>
        <v>0</v>
      </c>
      <c r="L97" s="97">
        <f>$D97*$F97*VLOOKUP($C97,'Master sheet'!$A:$AL,27,FALSE)</f>
        <v>0</v>
      </c>
      <c r="M97" s="1552"/>
      <c r="N97" s="1552"/>
      <c r="O97" s="25" t="str">
        <f ca="1">_xlfn.IFNA(VLOOKUP($C97,'Master sheet'!$A:$AR,44,FALSE),"")&amp;""</f>
        <v>Expired 2025</v>
      </c>
      <c r="P97" s="655"/>
      <c r="Q97" s="29" t="s">
        <v>1556</v>
      </c>
      <c r="R97" s="757" t="s">
        <v>1748</v>
      </c>
      <c r="S97" s="638"/>
      <c r="T97" s="638"/>
      <c r="U97" s="638"/>
      <c r="V97" s="638"/>
      <c r="W97" s="638"/>
      <c r="X97" s="638"/>
      <c r="Y97" s="638"/>
      <c r="Z97" s="638"/>
      <c r="AA97" s="638"/>
    </row>
    <row r="98" spans="1:27" s="624" customFormat="1" ht="31.5" customHeight="1" outlineLevel="1" x14ac:dyDescent="0.25">
      <c r="A98" s="1589"/>
      <c r="B98" s="1589"/>
      <c r="C98" s="673" t="str">
        <f>INDEX('Master sheet'!$A$1:$A$670,MATCH(409,'Master sheet'!$AN$1:$AN$670,0))</f>
        <v xml:space="preserve">Laminated veneer lumber / Roseburg Forest Products / RigidLam LVL / </v>
      </c>
      <c r="D98" s="17">
        <f>'USER INPUT SHEET'!$D$56</f>
        <v>0</v>
      </c>
      <c r="E98" s="18" t="str">
        <f>'USER INPUT SHEET'!$F$39</f>
        <v>m3</v>
      </c>
      <c r="F98" s="4">
        <v>1</v>
      </c>
      <c r="G98" s="674"/>
      <c r="H98" s="9"/>
      <c r="I98" s="95">
        <f t="shared" ref="I98:I105" si="39">K98-L98-IF(N98,M98,0)</f>
        <v>0</v>
      </c>
      <c r="J98" s="96" t="str">
        <f t="shared" si="34"/>
        <v/>
      </c>
      <c r="K98" s="407">
        <f>$D98*$F98*VLOOKUP($C98,'Master sheet'!$A:$AL,13,FALSE)</f>
        <v>0</v>
      </c>
      <c r="L98" s="97">
        <f>$D98*$F98*VLOOKUP($C98,'Master sheet'!$A:$AL,27,FALSE)</f>
        <v>0</v>
      </c>
      <c r="M98" s="1552"/>
      <c r="N98" s="1552"/>
      <c r="O98" s="25" t="str">
        <f ca="1">_xlfn.IFNA(VLOOKUP($C98,'Master sheet'!$A:$AR,44,FALSE),"")&amp;""</f>
        <v>Expired 2023</v>
      </c>
      <c r="P98" s="655"/>
      <c r="Q98" s="29" t="s">
        <v>1556</v>
      </c>
      <c r="R98" s="757" t="s">
        <v>1748</v>
      </c>
      <c r="S98" s="638"/>
      <c r="T98" s="638"/>
      <c r="U98" s="638"/>
      <c r="V98" s="638"/>
      <c r="W98" s="638"/>
      <c r="X98" s="638"/>
      <c r="Y98" s="638"/>
      <c r="Z98" s="638"/>
      <c r="AA98" s="638"/>
    </row>
    <row r="99" spans="1:27" s="624" customFormat="1" ht="22.8" outlineLevel="1" x14ac:dyDescent="0.25">
      <c r="A99" s="1589"/>
      <c r="B99" s="1589"/>
      <c r="C99" s="673" t="str">
        <f>INDEX('Master sheet'!$A$1:$A$670,MATCH("A49",'Master sheet'!$AN$1:$AN$670,0))</f>
        <v>Glued Laminated Timber (Glulam) / Element5 /  / Ontario</v>
      </c>
      <c r="D99" s="17">
        <f>'USER INPUT SHEET'!$D$56</f>
        <v>0</v>
      </c>
      <c r="E99" s="18" t="str">
        <f>'USER INPUT SHEET'!$F$39</f>
        <v>m3</v>
      </c>
      <c r="F99" s="4">
        <v>1</v>
      </c>
      <c r="G99" s="674"/>
      <c r="H99" s="9"/>
      <c r="I99" s="95">
        <f t="shared" si="39"/>
        <v>0</v>
      </c>
      <c r="J99" s="96" t="str">
        <f t="shared" si="34"/>
        <v/>
      </c>
      <c r="K99" s="407">
        <f>$D99*$F99*VLOOKUP($C99,'Master sheet'!$A:$AL,13,FALSE)</f>
        <v>0</v>
      </c>
      <c r="L99" s="97">
        <f>$D99*$F99*VLOOKUP($C99,'Master sheet'!$A:$AL,27,FALSE)</f>
        <v>0</v>
      </c>
      <c r="M99" s="1552"/>
      <c r="N99" s="1552"/>
      <c r="O99" s="25" t="str">
        <f>_xlfn.IFNA(VLOOKUP($C99,'Master sheet'!$A:$AR,44,FALSE),"")&amp;""</f>
        <v/>
      </c>
      <c r="P99" s="655"/>
      <c r="Q99" s="29" t="s">
        <v>1556</v>
      </c>
      <c r="R99" s="757" t="s">
        <v>1748</v>
      </c>
      <c r="S99" s="638"/>
      <c r="T99" s="638"/>
      <c r="U99" s="638"/>
      <c r="V99" s="638"/>
      <c r="W99" s="638"/>
      <c r="X99" s="638"/>
      <c r="Y99" s="638"/>
      <c r="Z99" s="638"/>
      <c r="AA99" s="664"/>
    </row>
    <row r="100" spans="1:27" s="624" customFormat="1" ht="31.2" outlineLevel="1" x14ac:dyDescent="0.25">
      <c r="A100" s="1589"/>
      <c r="B100" s="1589"/>
      <c r="C100" s="673" t="str">
        <f>INDEX('Master sheet'!$A$1:$A$670,MATCH("A46",'Master sheet'!$AN$1:$AN$670,0))</f>
        <v>Glued Laminated Timber (Glulam) / Kalesnikoff Lumber Co. /  / BC</v>
      </c>
      <c r="D100" s="17">
        <f>'USER INPUT SHEET'!$D$56</f>
        <v>0</v>
      </c>
      <c r="E100" s="18" t="str">
        <f>'USER INPUT SHEET'!$F$39</f>
        <v>m3</v>
      </c>
      <c r="F100" s="4">
        <v>1</v>
      </c>
      <c r="G100" s="674"/>
      <c r="H100" s="9"/>
      <c r="I100" s="95">
        <f t="shared" si="39"/>
        <v>0</v>
      </c>
      <c r="J100" s="96" t="str">
        <f t="shared" si="34"/>
        <v/>
      </c>
      <c r="K100" s="407">
        <f>$D100*$F100*VLOOKUP($C100,'Master sheet'!$A:$AL,13,FALSE)</f>
        <v>0</v>
      </c>
      <c r="L100" s="97">
        <f>$D100*$F100*VLOOKUP($C100,'Master sheet'!$A:$AL,27,FALSE)</f>
        <v>0</v>
      </c>
      <c r="M100" s="1552"/>
      <c r="N100" s="1552"/>
      <c r="O100" s="25" t="str">
        <f>_xlfn.IFNA(VLOOKUP($C100,'Master sheet'!$A:$AR,44,FALSE),"")&amp;""</f>
        <v/>
      </c>
      <c r="P100" s="655"/>
      <c r="Q100" s="29" t="s">
        <v>1556</v>
      </c>
      <c r="R100" s="757" t="s">
        <v>1748</v>
      </c>
      <c r="S100" s="638"/>
      <c r="T100" s="638"/>
      <c r="U100" s="638"/>
      <c r="V100" s="638"/>
      <c r="W100" s="638"/>
      <c r="X100" s="638"/>
      <c r="Y100" s="638"/>
      <c r="Z100" s="638"/>
      <c r="AA100" s="664"/>
    </row>
    <row r="101" spans="1:27" s="624" customFormat="1" ht="31.5" customHeight="1" outlineLevel="1" x14ac:dyDescent="0.25">
      <c r="A101" s="1589"/>
      <c r="B101" s="1589"/>
      <c r="C101" s="673" t="str">
        <f>INDEX('Master sheet'!$A$1:$A$670,MATCH("A45",'Master sheet'!$AN$1:$AN$670,0))</f>
        <v>Glued Laminated Timber (Glulam) / Vaagen Timbers /  / Colville, WA</v>
      </c>
      <c r="D101" s="17">
        <f>'USER INPUT SHEET'!$D$56</f>
        <v>0</v>
      </c>
      <c r="E101" s="18" t="str">
        <f>'USER INPUT SHEET'!$F$39</f>
        <v>m3</v>
      </c>
      <c r="F101" s="4">
        <v>1</v>
      </c>
      <c r="G101" s="674"/>
      <c r="H101" s="9"/>
      <c r="I101" s="95">
        <f t="shared" si="39"/>
        <v>0</v>
      </c>
      <c r="J101" s="96" t="str">
        <f t="shared" si="34"/>
        <v/>
      </c>
      <c r="K101" s="407">
        <f>$D101*$F101*VLOOKUP($C101,'Master sheet'!$A:$AL,13,FALSE)</f>
        <v>0</v>
      </c>
      <c r="L101" s="97">
        <f>$D101*$F101*VLOOKUP($C101,'Master sheet'!$A:$AL,27,FALSE)</f>
        <v>0</v>
      </c>
      <c r="M101" s="1552"/>
      <c r="N101" s="1552"/>
      <c r="O101" s="25" t="str">
        <f>_xlfn.IFNA(VLOOKUP($C101,'Master sheet'!$A:$AR,44,FALSE),"")&amp;""</f>
        <v/>
      </c>
      <c r="P101" s="655"/>
      <c r="Q101" s="29" t="s">
        <v>1556</v>
      </c>
      <c r="R101" s="757" t="s">
        <v>1748</v>
      </c>
      <c r="S101" s="638"/>
      <c r="T101" s="638"/>
      <c r="U101" s="638"/>
      <c r="V101" s="638"/>
      <c r="W101" s="638"/>
      <c r="X101" s="638"/>
      <c r="Y101" s="638"/>
      <c r="Z101" s="638"/>
      <c r="AA101" s="638"/>
    </row>
    <row r="102" spans="1:27" s="624" customFormat="1" ht="22.8" outlineLevel="1" x14ac:dyDescent="0.25">
      <c r="A102" s="1589"/>
      <c r="B102" s="1589"/>
      <c r="C102" s="673" t="str">
        <f>INDEX('Master sheet'!$A$1:$A$670,MATCH("A48",'Master sheet'!$AN$1:$AN$670,0))</f>
        <v>Glued Laminated Timber (Glulam) / Western Archrib /  / Alberta</v>
      </c>
      <c r="D102" s="17">
        <f>'USER INPUT SHEET'!$D$56</f>
        <v>0</v>
      </c>
      <c r="E102" s="18" t="str">
        <f>'USER INPUT SHEET'!$F$39</f>
        <v>m3</v>
      </c>
      <c r="F102" s="4">
        <v>1</v>
      </c>
      <c r="G102" s="674"/>
      <c r="H102" s="9"/>
      <c r="I102" s="95">
        <f t="shared" si="39"/>
        <v>0</v>
      </c>
      <c r="J102" s="96" t="str">
        <f t="shared" si="34"/>
        <v/>
      </c>
      <c r="K102" s="407">
        <f>$D102*$F102*VLOOKUP($C102,'Master sheet'!$A:$AL,13,FALSE)</f>
        <v>0</v>
      </c>
      <c r="L102" s="97">
        <f>$D102*$F102*VLOOKUP($C102,'Master sheet'!$A:$AL,27,FALSE)</f>
        <v>0</v>
      </c>
      <c r="M102" s="1552"/>
      <c r="N102" s="1552"/>
      <c r="O102" s="25" t="str">
        <f>_xlfn.IFNA(VLOOKUP($C102,'Master sheet'!$A:$AR,44,FALSE),"")&amp;""</f>
        <v/>
      </c>
      <c r="P102" s="655"/>
      <c r="Q102" s="29" t="s">
        <v>1556</v>
      </c>
      <c r="R102" s="757" t="s">
        <v>1748</v>
      </c>
      <c r="S102" s="638"/>
      <c r="T102" s="638"/>
      <c r="U102" s="638"/>
      <c r="V102" s="638"/>
      <c r="W102" s="638"/>
      <c r="X102" s="638"/>
      <c r="Y102" s="638"/>
      <c r="Z102" s="638"/>
      <c r="AA102" s="664"/>
    </row>
    <row r="103" spans="1:27" s="624" customFormat="1" ht="31.5" customHeight="1" outlineLevel="1" x14ac:dyDescent="0.25">
      <c r="A103" s="1589"/>
      <c r="B103" s="1589"/>
      <c r="C103" s="673" t="str">
        <f>INDEX('Master sheet'!$A$1:$A$670,MATCH("A47",'Master sheet'!$AN$1:$AN$670,0))</f>
        <v>Glued Laminated Timber (Glulam) / Western Archrib /  / Manitoba</v>
      </c>
      <c r="D103" s="17">
        <f>'USER INPUT SHEET'!$D$56</f>
        <v>0</v>
      </c>
      <c r="E103" s="18" t="str">
        <f>'USER INPUT SHEET'!$F$39</f>
        <v>m3</v>
      </c>
      <c r="F103" s="4">
        <v>1</v>
      </c>
      <c r="G103" s="674"/>
      <c r="H103" s="9"/>
      <c r="I103" s="95">
        <f t="shared" si="39"/>
        <v>0</v>
      </c>
      <c r="J103" s="96" t="str">
        <f t="shared" si="34"/>
        <v/>
      </c>
      <c r="K103" s="407">
        <f>$D103*$F103*VLOOKUP($C103,'Master sheet'!$A:$AL,13,FALSE)</f>
        <v>0</v>
      </c>
      <c r="L103" s="97">
        <f>$D103*$F103*VLOOKUP($C103,'Master sheet'!$A:$AL,27,FALSE)</f>
        <v>0</v>
      </c>
      <c r="M103" s="1552"/>
      <c r="N103" s="1552"/>
      <c r="O103" s="25" t="str">
        <f>_xlfn.IFNA(VLOOKUP($C103,'Master sheet'!$A:$AR,44,FALSE),"")&amp;""</f>
        <v/>
      </c>
      <c r="P103" s="655"/>
      <c r="Q103" s="29" t="s">
        <v>1556</v>
      </c>
      <c r="R103" s="757" t="s">
        <v>1748</v>
      </c>
      <c r="S103" s="638"/>
      <c r="T103" s="638" t="s">
        <v>7295</v>
      </c>
      <c r="U103" s="638"/>
      <c r="V103" s="638"/>
      <c r="W103" s="638"/>
      <c r="X103" s="638"/>
      <c r="Y103" s="638"/>
      <c r="Z103" s="638"/>
      <c r="AA103" s="638"/>
    </row>
    <row r="104" spans="1:27" s="624" customFormat="1" ht="22.8" outlineLevel="1" x14ac:dyDescent="0.25">
      <c r="A104" s="1589"/>
      <c r="B104" s="1589"/>
      <c r="C104" s="673" t="str">
        <f>INDEX('Master sheet'!$A$1:$A$670,MATCH("A63",'Master sheet'!$AN$1:$AN$670,0))</f>
        <v xml:space="preserve">Laminated veneer lumber (LVL)  / Boise Cascade / Versa-Lam / </v>
      </c>
      <c r="D104" s="17">
        <f>'USER INPUT SHEET'!$D$56</f>
        <v>0</v>
      </c>
      <c r="E104" s="18" t="str">
        <f>'USER INPUT SHEET'!$F$39</f>
        <v>m3</v>
      </c>
      <c r="F104" s="4">
        <v>1</v>
      </c>
      <c r="G104" s="674"/>
      <c r="H104" s="9"/>
      <c r="I104" s="95">
        <f t="shared" si="39"/>
        <v>0</v>
      </c>
      <c r="J104" s="96" t="str">
        <f t="shared" si="34"/>
        <v/>
      </c>
      <c r="K104" s="407">
        <f>$D104*$F104*VLOOKUP($C104,'Master sheet'!$A:$AL,13,FALSE)</f>
        <v>0</v>
      </c>
      <c r="L104" s="97">
        <f>$D104*$F104*VLOOKUP($C104,'Master sheet'!$A:$AL,27,FALSE)</f>
        <v>0</v>
      </c>
      <c r="M104" s="1552"/>
      <c r="N104" s="1552"/>
      <c r="O104" s="25" t="str">
        <f>_xlfn.IFNA(VLOOKUP($C104,'Master sheet'!$A:$AR,44,FALSE),"")&amp;""</f>
        <v/>
      </c>
      <c r="P104" s="655"/>
      <c r="Q104" s="29" t="s">
        <v>1556</v>
      </c>
      <c r="R104" s="757" t="s">
        <v>1748</v>
      </c>
      <c r="S104" s="638"/>
      <c r="T104" s="638"/>
      <c r="U104" s="638"/>
      <c r="V104" s="638"/>
      <c r="W104" s="638"/>
      <c r="X104" s="638"/>
      <c r="Y104" s="638"/>
      <c r="Z104" s="638"/>
      <c r="AA104" s="638"/>
    </row>
    <row r="105" spans="1:27" s="624" customFormat="1" ht="22.8" outlineLevel="1" x14ac:dyDescent="0.25">
      <c r="A105" s="1589"/>
      <c r="B105" s="1589"/>
      <c r="C105" s="673" t="str">
        <f>INDEX('Master sheet'!$A$1:$A$670,MATCH("A62",'Master sheet'!$AN$1:$AN$670,0))</f>
        <v xml:space="preserve">Laminated veneer lumber (LVL)  / RedBuilt / RedLam LVL / </v>
      </c>
      <c r="D105" s="17">
        <f>'USER INPUT SHEET'!$D$56</f>
        <v>0</v>
      </c>
      <c r="E105" s="18" t="str">
        <f>'USER INPUT SHEET'!$F$39</f>
        <v>m3</v>
      </c>
      <c r="F105" s="4">
        <v>1</v>
      </c>
      <c r="G105" s="674"/>
      <c r="H105" s="9"/>
      <c r="I105" s="95">
        <f t="shared" si="39"/>
        <v>0</v>
      </c>
      <c r="J105" s="96" t="str">
        <f t="shared" ref="J105" si="40">IF(H105=1,I105,"")</f>
        <v/>
      </c>
      <c r="K105" s="407">
        <f>$D105*$F105*VLOOKUP($C105,'Master sheet'!$A:$AL,13,FALSE)</f>
        <v>0</v>
      </c>
      <c r="L105" s="97">
        <f>$D105*$F105*VLOOKUP($C105,'Master sheet'!$A:$AL,27,FALSE)</f>
        <v>0</v>
      </c>
      <c r="M105" s="1552"/>
      <c r="N105" s="1552"/>
      <c r="O105" s="25" t="str">
        <f>_xlfn.IFNA(VLOOKUP($C105,'Master sheet'!$A:$AR,44,FALSE),"")&amp;""</f>
        <v/>
      </c>
      <c r="P105" s="655"/>
      <c r="Q105" s="29" t="s">
        <v>1556</v>
      </c>
      <c r="R105" s="757" t="s">
        <v>1748</v>
      </c>
      <c r="S105" s="638"/>
      <c r="T105" s="638"/>
      <c r="U105" s="638"/>
      <c r="V105" s="638"/>
      <c r="W105" s="638"/>
      <c r="X105" s="638"/>
      <c r="Y105" s="638"/>
      <c r="Z105" s="638"/>
      <c r="AA105" s="638"/>
    </row>
    <row r="106" spans="1:27" s="624" customFormat="1" ht="54.75" customHeight="1" outlineLevel="1" x14ac:dyDescent="0.25">
      <c r="A106" s="1522" t="s">
        <v>63</v>
      </c>
      <c r="B106" s="1523"/>
      <c r="C106" s="1523"/>
      <c r="D106" s="649"/>
      <c r="E106" s="650"/>
      <c r="F106" s="321"/>
      <c r="G106" s="650"/>
      <c r="H106" s="650"/>
      <c r="I106" s="651"/>
      <c r="J106" s="651"/>
      <c r="K106" s="652"/>
      <c r="L106" s="653"/>
      <c r="M106" s="653"/>
      <c r="N106" s="653"/>
      <c r="O106" s="25" t="str">
        <f>_xlfn.IFNA(VLOOKUP($C106,'Master sheet'!$A:$AR,44,FALSE),"")&amp;""</f>
        <v/>
      </c>
      <c r="P106" s="663"/>
      <c r="Q106" s="29"/>
      <c r="R106" s="728"/>
      <c r="S106" s="638"/>
      <c r="T106" s="638"/>
      <c r="U106" s="638"/>
      <c r="V106" s="638"/>
      <c r="W106" s="638"/>
      <c r="X106" s="638"/>
      <c r="Y106" s="638"/>
      <c r="Z106" s="638"/>
      <c r="AA106" s="638"/>
    </row>
    <row r="107" spans="1:27" s="624" customFormat="1" ht="23.25" customHeight="1" outlineLevel="1" x14ac:dyDescent="0.25">
      <c r="A107" s="639"/>
      <c r="B107" s="1524" t="s">
        <v>1074</v>
      </c>
      <c r="C107" s="1523"/>
      <c r="D107" s="640"/>
      <c r="E107" s="641"/>
      <c r="F107" s="325"/>
      <c r="G107" s="678"/>
      <c r="H107" s="679"/>
      <c r="I107" s="642"/>
      <c r="J107" s="643"/>
      <c r="K107" s="727"/>
      <c r="L107" s="677"/>
      <c r="M107" s="677"/>
      <c r="N107" s="677"/>
      <c r="O107" s="25" t="str">
        <f>_xlfn.IFNA(VLOOKUP($C107,'Master sheet'!$A:$AR,44,FALSE),"")&amp;""</f>
        <v/>
      </c>
      <c r="P107" s="637"/>
      <c r="Q107" s="29"/>
      <c r="R107" s="728"/>
      <c r="S107" s="638"/>
      <c r="T107" s="638"/>
      <c r="U107" s="638"/>
      <c r="V107" s="638"/>
      <c r="W107" s="638"/>
      <c r="X107" s="638"/>
      <c r="Y107" s="638"/>
      <c r="Z107" s="638"/>
      <c r="AA107" s="638"/>
    </row>
    <row r="108" spans="1:27" ht="31.2" customHeight="1" outlineLevel="1" x14ac:dyDescent="0.25">
      <c r="A108" s="1589" t="s">
        <v>4930</v>
      </c>
      <c r="B108" s="1589"/>
      <c r="C108" s="669" t="str">
        <f>INDEX('Master sheet'!$A$1:$A$670,MATCH(199,'Master sheet'!$AN$1:$AN$670,0))</f>
        <v>Steel post / Generic /  / 3.5 x 0.216" (89 x 5.5 mm), Sched 40 STD</v>
      </c>
      <c r="D108" s="107"/>
      <c r="E108" s="767" t="s">
        <v>22</v>
      </c>
      <c r="F108" s="3">
        <v>1</v>
      </c>
      <c r="G108" s="670"/>
      <c r="H108" s="8"/>
      <c r="I108" s="92">
        <f>K108-L108</f>
        <v>0</v>
      </c>
      <c r="J108" s="93" t="str">
        <f>IF(H108=1,I108,"")</f>
        <v/>
      </c>
      <c r="K108" s="406">
        <f>$D108*$F108*VLOOKUP($C108,'Master sheet'!$A:$AL,13,FALSE)</f>
        <v>0</v>
      </c>
      <c r="L108" s="94">
        <f>$D108*$F108*VLOOKUP($C108,'Master sheet'!$A:$AL,27,FALSE)</f>
        <v>0</v>
      </c>
      <c r="M108" s="1562"/>
      <c r="N108" s="1562"/>
      <c r="O108" s="25" t="str">
        <f ca="1">_xlfn.IFNA(VLOOKUP($C108,'Master sheet'!$A:$AR,44,FALSE),"")&amp;""</f>
        <v>Expired 2021</v>
      </c>
      <c r="P108" s="672"/>
      <c r="Q108" s="29" t="s">
        <v>1556</v>
      </c>
      <c r="R108" s="728" t="s">
        <v>1591</v>
      </c>
      <c r="S108" s="664"/>
      <c r="T108" s="664"/>
      <c r="U108" s="664"/>
      <c r="V108" s="664"/>
      <c r="W108" s="664"/>
      <c r="X108" s="664"/>
      <c r="Y108" s="664"/>
      <c r="Z108" s="664"/>
      <c r="AA108" s="638"/>
    </row>
    <row r="109" spans="1:27" ht="31.2" outlineLevel="1" x14ac:dyDescent="0.25">
      <c r="A109" s="1589"/>
      <c r="B109" s="1589"/>
      <c r="C109" s="669" t="str">
        <f>INDEX('Master sheet'!$A$1:$A$670,MATCH("A106",'Master sheet'!$AN$1:$AN$670,0))</f>
        <v>Steel beam / W150x22 (W6x15) / American Institute of Steel Construction</v>
      </c>
      <c r="D109" s="107"/>
      <c r="E109" s="767" t="s">
        <v>22</v>
      </c>
      <c r="F109" s="3">
        <v>1</v>
      </c>
      <c r="G109" s="670"/>
      <c r="H109" s="8"/>
      <c r="I109" s="92">
        <f t="shared" ref="I109:I117" si="41">K109-L109</f>
        <v>0</v>
      </c>
      <c r="J109" s="93" t="str">
        <f t="shared" ref="J109:J117" si="42">IF(H109=1,I109,"")</f>
        <v/>
      </c>
      <c r="K109" s="406">
        <f>$D109*$F109*VLOOKUP($C109,'Master sheet'!$A:$AL,13,FALSE)</f>
        <v>0</v>
      </c>
      <c r="L109" s="94">
        <f>$D109*$F109*VLOOKUP($C109,'Master sheet'!$A:$AL,27,FALSE)</f>
        <v>0</v>
      </c>
      <c r="M109" s="1552"/>
      <c r="N109" s="1552"/>
      <c r="O109" s="25" t="str">
        <f>_xlfn.IFNA(VLOOKUP($C109,'Master sheet'!$A:$AR,44,FALSE),"")&amp;""</f>
        <v/>
      </c>
      <c r="P109" s="672"/>
      <c r="Q109" s="29" t="s">
        <v>1556</v>
      </c>
      <c r="R109" s="728" t="s">
        <v>1591</v>
      </c>
      <c r="S109" s="664"/>
      <c r="T109" s="664"/>
      <c r="U109" s="664"/>
      <c r="V109" s="664"/>
      <c r="W109" s="664"/>
      <c r="X109" s="664"/>
      <c r="Y109" s="664"/>
      <c r="Z109" s="664"/>
      <c r="AA109" s="664"/>
    </row>
    <row r="110" spans="1:27" ht="31.2" outlineLevel="1" x14ac:dyDescent="0.25">
      <c r="A110" s="1589"/>
      <c r="B110" s="1589"/>
      <c r="C110" s="669" t="str">
        <f>INDEX('Master sheet'!$A$1:$A$670,MATCH("A107",'Master sheet'!$AN$1:$AN$670,0))</f>
        <v>Steel beam / W200x22 (W8x15) / American Institute of Steel Construction</v>
      </c>
      <c r="D110" s="107"/>
      <c r="E110" s="767" t="s">
        <v>22</v>
      </c>
      <c r="F110" s="3">
        <v>1</v>
      </c>
      <c r="G110" s="670"/>
      <c r="H110" s="8"/>
      <c r="I110" s="92">
        <f t="shared" si="41"/>
        <v>0</v>
      </c>
      <c r="J110" s="93" t="str">
        <f t="shared" si="42"/>
        <v/>
      </c>
      <c r="K110" s="406">
        <f>$D110*$F110*VLOOKUP($C110,'Master sheet'!$A:$AL,13,FALSE)</f>
        <v>0</v>
      </c>
      <c r="L110" s="94">
        <f>$D110*$F110*VLOOKUP($C110,'Master sheet'!$A:$AL,27,FALSE)</f>
        <v>0</v>
      </c>
      <c r="M110" s="1552"/>
      <c r="N110" s="1552"/>
      <c r="O110" s="25" t="str">
        <f>_xlfn.IFNA(VLOOKUP($C110,'Master sheet'!$A:$AR,44,FALSE),"")&amp;""</f>
        <v/>
      </c>
      <c r="P110" s="672"/>
      <c r="Q110" s="29" t="s">
        <v>1556</v>
      </c>
      <c r="R110" s="728" t="s">
        <v>1591</v>
      </c>
      <c r="S110" s="664"/>
      <c r="T110" s="664"/>
      <c r="U110" s="664"/>
      <c r="V110" s="664"/>
      <c r="W110" s="664"/>
      <c r="X110" s="664"/>
      <c r="Y110" s="664"/>
      <c r="Z110" s="664"/>
      <c r="AA110" s="638"/>
    </row>
    <row r="111" spans="1:27" ht="31.2" outlineLevel="1" x14ac:dyDescent="0.25">
      <c r="A111" s="1589"/>
      <c r="B111" s="1589"/>
      <c r="C111" s="669" t="str">
        <f>INDEX('Master sheet'!$A$1:$A$670,MATCH("A108",'Master sheet'!$AN$1:$AN$670,0))</f>
        <v>Steel beam / W200x27 (W8x18) / American Institute of Steel Construction</v>
      </c>
      <c r="D111" s="107"/>
      <c r="E111" s="767" t="s">
        <v>22</v>
      </c>
      <c r="F111" s="3">
        <v>1</v>
      </c>
      <c r="G111" s="670"/>
      <c r="H111" s="8"/>
      <c r="I111" s="92">
        <f t="shared" si="41"/>
        <v>0</v>
      </c>
      <c r="J111" s="93" t="str">
        <f t="shared" si="42"/>
        <v/>
      </c>
      <c r="K111" s="406">
        <f>$D111*$F111*VLOOKUP($C111,'Master sheet'!$A:$AL,13,FALSE)</f>
        <v>0</v>
      </c>
      <c r="L111" s="94">
        <f>$D111*$F111*VLOOKUP($C111,'Master sheet'!$A:$AL,27,FALSE)</f>
        <v>0</v>
      </c>
      <c r="M111" s="1552"/>
      <c r="N111" s="1552"/>
      <c r="O111" s="25" t="str">
        <f>_xlfn.IFNA(VLOOKUP($C111,'Master sheet'!$A:$AR,44,FALSE),"")&amp;""</f>
        <v/>
      </c>
      <c r="P111" s="672"/>
      <c r="Q111" s="29" t="s">
        <v>1556</v>
      </c>
      <c r="R111" s="728" t="s">
        <v>1591</v>
      </c>
      <c r="S111" s="664"/>
      <c r="T111" s="664"/>
      <c r="U111" s="664"/>
      <c r="V111" s="664"/>
      <c r="W111" s="664"/>
      <c r="X111" s="664"/>
      <c r="Y111" s="664"/>
      <c r="Z111" s="664"/>
      <c r="AA111" s="638"/>
    </row>
    <row r="112" spans="1:27" ht="31.2" outlineLevel="1" x14ac:dyDescent="0.25">
      <c r="A112" s="1589"/>
      <c r="B112" s="1589"/>
      <c r="C112" s="669" t="str">
        <f>INDEX('Master sheet'!$A$1:$A$670,MATCH("A109",'Master sheet'!$AN$1:$AN$670,0))</f>
        <v>Steel beam / W200x31 (W8x21) / American Institute of Steel Construction</v>
      </c>
      <c r="D112" s="107"/>
      <c r="E112" s="767" t="s">
        <v>22</v>
      </c>
      <c r="F112" s="3">
        <v>1</v>
      </c>
      <c r="G112" s="670"/>
      <c r="H112" s="8"/>
      <c r="I112" s="92">
        <f t="shared" si="41"/>
        <v>0</v>
      </c>
      <c r="J112" s="93" t="str">
        <f t="shared" si="42"/>
        <v/>
      </c>
      <c r="K112" s="406">
        <f>$D112*$F112*VLOOKUP($C112,'Master sheet'!$A:$AL,13,FALSE)</f>
        <v>0</v>
      </c>
      <c r="L112" s="94">
        <f>$D112*$F112*VLOOKUP($C112,'Master sheet'!$A:$AL,27,FALSE)</f>
        <v>0</v>
      </c>
      <c r="M112" s="1552"/>
      <c r="N112" s="1552"/>
      <c r="O112" s="25" t="str">
        <f>_xlfn.IFNA(VLOOKUP($C112,'Master sheet'!$A:$AR,44,FALSE),"")&amp;""</f>
        <v/>
      </c>
      <c r="P112" s="672"/>
      <c r="Q112" s="29" t="s">
        <v>1556</v>
      </c>
      <c r="R112" s="728" t="s">
        <v>1591</v>
      </c>
      <c r="S112" s="664"/>
      <c r="T112" s="664"/>
      <c r="U112" s="664"/>
      <c r="V112" s="664"/>
      <c r="W112" s="664"/>
      <c r="X112" s="664"/>
      <c r="Y112" s="664"/>
      <c r="Z112" s="664"/>
      <c r="AA112" s="664"/>
    </row>
    <row r="113" spans="1:27" ht="31.2" outlineLevel="1" x14ac:dyDescent="0.25">
      <c r="A113" s="1589"/>
      <c r="B113" s="1589"/>
      <c r="C113" s="669" t="str">
        <f>INDEX('Master sheet'!$A$1:$A$670,MATCH("A110",'Master sheet'!$AN$1:$AN$670,0))</f>
        <v>Steel beam / W250x25 (W10x17) / American Institute of Steel Construction</v>
      </c>
      <c r="D113" s="107"/>
      <c r="E113" s="767" t="s">
        <v>22</v>
      </c>
      <c r="F113" s="3">
        <v>1</v>
      </c>
      <c r="G113" s="670"/>
      <c r="H113" s="8"/>
      <c r="I113" s="92">
        <f t="shared" si="41"/>
        <v>0</v>
      </c>
      <c r="J113" s="93" t="str">
        <f t="shared" si="42"/>
        <v/>
      </c>
      <c r="K113" s="406">
        <f>$D113*$F113*VLOOKUP($C113,'Master sheet'!$A:$AL,13,FALSE)</f>
        <v>0</v>
      </c>
      <c r="L113" s="94">
        <f>$D113*$F113*VLOOKUP($C113,'Master sheet'!$A:$AL,27,FALSE)</f>
        <v>0</v>
      </c>
      <c r="M113" s="1552"/>
      <c r="N113" s="1552"/>
      <c r="O113" s="25" t="str">
        <f>_xlfn.IFNA(VLOOKUP($C113,'Master sheet'!$A:$AR,44,FALSE),"")&amp;""</f>
        <v/>
      </c>
      <c r="P113" s="672"/>
      <c r="Q113" s="29" t="s">
        <v>1556</v>
      </c>
      <c r="R113" s="728" t="s">
        <v>1591</v>
      </c>
      <c r="S113" s="664"/>
      <c r="T113" s="664"/>
      <c r="U113" s="664"/>
      <c r="V113" s="664"/>
      <c r="W113" s="664"/>
      <c r="X113" s="664"/>
      <c r="Y113" s="664"/>
      <c r="Z113" s="664"/>
      <c r="AA113" s="638"/>
    </row>
    <row r="114" spans="1:27" ht="31.2" outlineLevel="1" x14ac:dyDescent="0.25">
      <c r="A114" s="1589"/>
      <c r="B114" s="1589"/>
      <c r="C114" s="669" t="str">
        <f>INDEX('Master sheet'!$A$1:$A$670,MATCH("A111",'Master sheet'!$AN$1:$AN$670,0))</f>
        <v>Steel beam / W250x33 (W10x22) / American Institute of Steel Construction</v>
      </c>
      <c r="D114" s="107"/>
      <c r="E114" s="767" t="s">
        <v>22</v>
      </c>
      <c r="F114" s="3">
        <v>1</v>
      </c>
      <c r="G114" s="670"/>
      <c r="H114" s="8"/>
      <c r="I114" s="92">
        <f t="shared" si="41"/>
        <v>0</v>
      </c>
      <c r="J114" s="93" t="str">
        <f t="shared" si="42"/>
        <v/>
      </c>
      <c r="K114" s="406">
        <f>$D114*$F114*VLOOKUP($C114,'Master sheet'!$A:$AL,13,FALSE)</f>
        <v>0</v>
      </c>
      <c r="L114" s="94">
        <f>$D114*$F114*VLOOKUP($C114,'Master sheet'!$A:$AL,27,FALSE)</f>
        <v>0</v>
      </c>
      <c r="M114" s="1552"/>
      <c r="N114" s="1552"/>
      <c r="O114" s="25" t="str">
        <f>_xlfn.IFNA(VLOOKUP($C114,'Master sheet'!$A:$AR,44,FALSE),"")&amp;""</f>
        <v/>
      </c>
      <c r="P114" s="672"/>
      <c r="Q114" s="29" t="s">
        <v>1556</v>
      </c>
      <c r="R114" s="728" t="s">
        <v>1591</v>
      </c>
      <c r="S114" s="664"/>
      <c r="T114" s="664"/>
      <c r="U114" s="664"/>
      <c r="V114" s="664"/>
      <c r="W114" s="664"/>
      <c r="X114" s="664"/>
      <c r="Y114" s="664"/>
      <c r="Z114" s="664"/>
      <c r="AA114" s="638"/>
    </row>
    <row r="115" spans="1:27" ht="31.2" outlineLevel="1" x14ac:dyDescent="0.25">
      <c r="A115" s="1589"/>
      <c r="B115" s="1589"/>
      <c r="C115" s="669" t="str">
        <f>INDEX('Master sheet'!$A$1:$A$670,MATCH("A112",'Master sheet'!$AN$1:$AN$670,0))</f>
        <v>Steel beam / W250x39 (W10x26) / American Institute of Steel Construction</v>
      </c>
      <c r="D115" s="107"/>
      <c r="E115" s="767" t="s">
        <v>22</v>
      </c>
      <c r="F115" s="3">
        <v>1</v>
      </c>
      <c r="G115" s="670"/>
      <c r="H115" s="8"/>
      <c r="I115" s="92">
        <f t="shared" si="41"/>
        <v>0</v>
      </c>
      <c r="J115" s="93" t="str">
        <f t="shared" si="42"/>
        <v/>
      </c>
      <c r="K115" s="406">
        <f>$D115*$F115*VLOOKUP($C115,'Master sheet'!$A:$AL,13,FALSE)</f>
        <v>0</v>
      </c>
      <c r="L115" s="94">
        <f>$D115*$F115*VLOOKUP($C115,'Master sheet'!$A:$AL,27,FALSE)</f>
        <v>0</v>
      </c>
      <c r="M115" s="1552"/>
      <c r="N115" s="1552"/>
      <c r="O115" s="25" t="str">
        <f>_xlfn.IFNA(VLOOKUP($C115,'Master sheet'!$A:$AR,44,FALSE),"")&amp;""</f>
        <v/>
      </c>
      <c r="P115" s="672"/>
      <c r="Q115" s="29" t="s">
        <v>1556</v>
      </c>
      <c r="R115" s="728" t="s">
        <v>1591</v>
      </c>
      <c r="S115" s="664"/>
      <c r="T115" s="664"/>
      <c r="U115" s="664"/>
      <c r="V115" s="664"/>
      <c r="W115" s="664"/>
      <c r="X115" s="664"/>
      <c r="Y115" s="664"/>
      <c r="Z115" s="664"/>
      <c r="AA115" s="664"/>
    </row>
    <row r="116" spans="1:27" ht="31.2" outlineLevel="1" x14ac:dyDescent="0.25">
      <c r="A116" s="1589"/>
      <c r="B116" s="1589"/>
      <c r="C116" s="669" t="str">
        <f>INDEX('Master sheet'!$A$1:$A$670,MATCH("A113",'Master sheet'!$AN$1:$AN$670,0))</f>
        <v>Steel beam / W310x33 (W12x22) / American Institute of Steel Construction</v>
      </c>
      <c r="D116" s="107"/>
      <c r="E116" s="767" t="s">
        <v>22</v>
      </c>
      <c r="F116" s="3">
        <v>1</v>
      </c>
      <c r="G116" s="670"/>
      <c r="H116" s="8"/>
      <c r="I116" s="92">
        <f t="shared" ref="I116" si="43">K116-L116</f>
        <v>0</v>
      </c>
      <c r="J116" s="93" t="str">
        <f t="shared" ref="J116" si="44">IF(H116=1,I116,"")</f>
        <v/>
      </c>
      <c r="K116" s="406">
        <f>$D116*$F116*VLOOKUP($C116,'Master sheet'!$A:$AL,13,FALSE)</f>
        <v>0</v>
      </c>
      <c r="L116" s="94">
        <f>$D116*$F116*VLOOKUP($C116,'Master sheet'!$A:$AL,27,FALSE)</f>
        <v>0</v>
      </c>
      <c r="M116" s="1552"/>
      <c r="N116" s="1552"/>
      <c r="O116" s="25" t="str">
        <f>_xlfn.IFNA(VLOOKUP($C116,'Master sheet'!$A:$AR,44,FALSE),"")&amp;""</f>
        <v/>
      </c>
      <c r="P116" s="672"/>
      <c r="Q116" s="29" t="s">
        <v>1556</v>
      </c>
      <c r="R116" s="728" t="s">
        <v>1591</v>
      </c>
      <c r="S116" s="664"/>
      <c r="T116" s="664"/>
      <c r="U116" s="664"/>
      <c r="V116" s="664"/>
      <c r="W116" s="664"/>
      <c r="X116" s="664"/>
      <c r="Y116" s="664"/>
      <c r="Z116" s="664"/>
      <c r="AA116" s="664"/>
    </row>
    <row r="117" spans="1:27" ht="31.2" outlineLevel="1" x14ac:dyDescent="0.25">
      <c r="A117" s="1589"/>
      <c r="B117" s="1589"/>
      <c r="C117" s="669" t="str">
        <f>INDEX('Master sheet'!$A$1:$A$670,MATCH("A114",'Master sheet'!$AN$1:$AN$670,0))</f>
        <v>Steel beam / W310x39 (W12x26) / American Institute of Steel Construction</v>
      </c>
      <c r="D117" s="107"/>
      <c r="E117" s="767" t="s">
        <v>22</v>
      </c>
      <c r="F117" s="3">
        <v>1</v>
      </c>
      <c r="G117" s="670"/>
      <c r="H117" s="8"/>
      <c r="I117" s="92">
        <f t="shared" si="41"/>
        <v>0</v>
      </c>
      <c r="J117" s="93" t="str">
        <f t="shared" si="42"/>
        <v/>
      </c>
      <c r="K117" s="406">
        <f>$D117*$F117*VLOOKUP($C117,'Master sheet'!$A:$AL,13,FALSE)</f>
        <v>0</v>
      </c>
      <c r="L117" s="94">
        <f>$D117*$F117*VLOOKUP($C117,'Master sheet'!$A:$AL,27,FALSE)</f>
        <v>0</v>
      </c>
      <c r="M117" s="1552"/>
      <c r="N117" s="1552"/>
      <c r="O117" s="25" t="str">
        <f>_xlfn.IFNA(VLOOKUP($C117,'Master sheet'!$A:$AR,44,FALSE),"")&amp;""</f>
        <v/>
      </c>
      <c r="P117" s="672"/>
      <c r="Q117" s="29" t="s">
        <v>1556</v>
      </c>
      <c r="R117" s="728" t="s">
        <v>1591</v>
      </c>
      <c r="S117" s="664"/>
      <c r="T117" s="664"/>
      <c r="U117" s="664"/>
      <c r="V117" s="664"/>
      <c r="W117" s="664"/>
      <c r="X117" s="664"/>
      <c r="Y117" s="664"/>
      <c r="Z117" s="664"/>
      <c r="AA117" s="664"/>
    </row>
    <row r="118" spans="1:27" s="624" customFormat="1" ht="40.200000000000003" customHeight="1" x14ac:dyDescent="0.25">
      <c r="A118" s="865" t="s">
        <v>1749</v>
      </c>
      <c r="B118" s="866"/>
      <c r="C118" s="867"/>
      <c r="D118" s="286"/>
      <c r="E118" s="290"/>
      <c r="F118" s="342"/>
      <c r="G118" s="868"/>
      <c r="H118" s="869"/>
      <c r="I118" s="287"/>
      <c r="J118" s="287"/>
      <c r="K118" s="421"/>
      <c r="L118" s="289"/>
      <c r="M118" s="289"/>
      <c r="N118" s="289"/>
      <c r="O118" s="25" t="str">
        <f>_xlfn.IFNA(VLOOKUP($C118,'Master sheet'!$A:$AR,44,FALSE),"")&amp;""</f>
        <v/>
      </c>
      <c r="P118" s="637"/>
      <c r="Q118" s="29"/>
      <c r="R118" s="28"/>
      <c r="S118" s="638"/>
      <c r="T118" s="638"/>
      <c r="U118" s="638"/>
      <c r="V118" s="638"/>
      <c r="W118" s="638"/>
      <c r="X118" s="638"/>
      <c r="Y118" s="638"/>
      <c r="Z118" s="638"/>
      <c r="AA118" s="638"/>
    </row>
    <row r="119" spans="1:27" s="624" customFormat="1" ht="54.75" customHeight="1" outlineLevel="1" x14ac:dyDescent="0.25">
      <c r="A119" s="1522" t="s">
        <v>39</v>
      </c>
      <c r="B119" s="1523"/>
      <c r="C119" s="1523"/>
      <c r="D119" s="629" t="s">
        <v>38</v>
      </c>
      <c r="E119" s="1"/>
      <c r="F119" s="323" t="str">
        <f>IF(LOWER(Setting!rng_language)="english","in","po")</f>
        <v>in</v>
      </c>
      <c r="G119" s="650"/>
      <c r="H119" s="650"/>
      <c r="I119" s="651"/>
      <c r="J119" s="651"/>
      <c r="K119" s="652"/>
      <c r="L119" s="759"/>
      <c r="M119" s="759"/>
      <c r="N119" s="759"/>
      <c r="O119" s="25" t="str">
        <f>_xlfn.IFNA(VLOOKUP($C119,'Master sheet'!$A:$AR,44,FALSE),"")&amp;""</f>
        <v/>
      </c>
      <c r="P119" s="637"/>
      <c r="Q119" s="29"/>
      <c r="R119" s="728"/>
      <c r="T119" s="638"/>
      <c r="U119" s="638"/>
      <c r="V119" s="638"/>
      <c r="W119" s="638"/>
      <c r="X119" s="638"/>
      <c r="Y119" s="638"/>
      <c r="Z119" s="638"/>
      <c r="AA119" s="638"/>
    </row>
    <row r="120" spans="1:27" s="624" customFormat="1" ht="21" customHeight="1" outlineLevel="1" x14ac:dyDescent="0.25">
      <c r="A120" s="639"/>
      <c r="B120" s="1524" t="s">
        <v>6836</v>
      </c>
      <c r="C120" s="1523"/>
      <c r="D120" s="640"/>
      <c r="E120" s="641"/>
      <c r="F120" s="334"/>
      <c r="G120" s="678"/>
      <c r="H120" s="639"/>
      <c r="I120" s="733"/>
      <c r="J120" s="733"/>
      <c r="K120" s="698"/>
      <c r="L120" s="736"/>
      <c r="M120" s="736"/>
      <c r="N120" s="736"/>
      <c r="O120" s="25" t="str">
        <f>_xlfn.IFNA(VLOOKUP($C120,'Master sheet'!$A:$AR,44,FALSE),"")&amp;""</f>
        <v/>
      </c>
      <c r="P120" s="637"/>
      <c r="Q120" s="722"/>
      <c r="R120" s="722"/>
      <c r="S120" s="623"/>
      <c r="T120" s="638"/>
      <c r="U120" s="638"/>
      <c r="V120" s="638"/>
      <c r="W120" s="638"/>
      <c r="X120" s="638"/>
      <c r="Y120" s="638"/>
      <c r="Z120" s="638"/>
      <c r="AA120" s="638"/>
    </row>
    <row r="121" spans="1:27" ht="22.8" outlineLevel="1" x14ac:dyDescent="0.25">
      <c r="A121" s="1542"/>
      <c r="B121" s="1542"/>
      <c r="C121" s="669" t="str">
        <f>INDEX('Master sheet'!$A$1:$A$670,MATCH("248-1",'Master sheet'!$AN$1:$AN$670,0))</f>
        <v xml:space="preserve">Wood - SPF / Canadian Wood Council / British Columbia / </v>
      </c>
      <c r="D121" s="15">
        <f>'USER INPUT SHEET'!$D$52</f>
        <v>0</v>
      </c>
      <c r="E121" s="16" t="str">
        <f>'USER INPUT SHEET'!$F$52</f>
        <v>m2</v>
      </c>
      <c r="F121" s="3">
        <v>1</v>
      </c>
      <c r="G121" s="670"/>
      <c r="H121" s="8"/>
      <c r="I121" s="92">
        <f t="shared" ref="I121:I126" si="45">K121-L121-IF(N121,M121,0)</f>
        <v>0</v>
      </c>
      <c r="J121" s="93" t="str">
        <f t="shared" ref="J121:J126" si="46">IF(H121=1,I121,"")</f>
        <v/>
      </c>
      <c r="K121" s="406">
        <f>$F121*IF($E$119=16,$D121*0.25,$D121*0.22)*VLOOKUP($C121,'Master sheet'!$A:$AL,13,FALSE)*0.0889</f>
        <v>0</v>
      </c>
      <c r="L121" s="94">
        <f>$F121*IF($E$119=16,$D121*0.25,$D121*0.22)*VLOOKUP($C121,'Master sheet'!$A:$AL,27,FALSE)*0.0889</f>
        <v>0</v>
      </c>
      <c r="M121" s="1562"/>
      <c r="N121" s="1562"/>
      <c r="O121" s="25" t="str">
        <f>_xlfn.IFNA(VLOOKUP($C121,'Master sheet'!$A:$AR,44,FALSE),"")&amp;""</f>
        <v/>
      </c>
      <c r="P121" s="685"/>
      <c r="Q121" s="29" t="s">
        <v>1556</v>
      </c>
      <c r="R121" s="757" t="s">
        <v>1592</v>
      </c>
      <c r="S121" s="770" t="s">
        <v>7250</v>
      </c>
      <c r="T121" s="665"/>
      <c r="U121" s="664"/>
      <c r="V121" s="664"/>
      <c r="W121" s="664"/>
      <c r="X121" s="664"/>
      <c r="Y121" s="664"/>
      <c r="Z121" s="664"/>
      <c r="AA121" s="664"/>
    </row>
    <row r="122" spans="1:27" ht="22.8" outlineLevel="1" x14ac:dyDescent="0.25">
      <c r="A122" s="1542"/>
      <c r="B122" s="1542"/>
      <c r="C122" s="669" t="str">
        <f>INDEX('Master sheet'!$A$1:$A$670,MATCH("248-2",'Master sheet'!$AN$1:$AN$670,0))</f>
        <v xml:space="preserve">Wood - SPF / Canadian Wood Council / Alberta / </v>
      </c>
      <c r="D122" s="15">
        <f>'USER INPUT SHEET'!$D$52</f>
        <v>0</v>
      </c>
      <c r="E122" s="16" t="str">
        <f>'USER INPUT SHEET'!$F$52</f>
        <v>m2</v>
      </c>
      <c r="F122" s="3">
        <v>1</v>
      </c>
      <c r="G122" s="670"/>
      <c r="H122" s="8"/>
      <c r="I122" s="92">
        <f t="shared" si="45"/>
        <v>0</v>
      </c>
      <c r="J122" s="93" t="str">
        <f t="shared" si="46"/>
        <v/>
      </c>
      <c r="K122" s="406">
        <f>$F122*IF($E$119=16,$D122*0.25,$D122*0.22)*VLOOKUP($C122,'Master sheet'!$A:$AL,13,FALSE)*0.0889</f>
        <v>0</v>
      </c>
      <c r="L122" s="94">
        <f>$F122*IF($E$119=16,$D122*0.25,$D122*0.22)*VLOOKUP($C122,'Master sheet'!$A:$AL,27,FALSE)*0.0889</f>
        <v>0</v>
      </c>
      <c r="M122" s="1552"/>
      <c r="N122" s="1552"/>
      <c r="O122" s="25" t="str">
        <f>_xlfn.IFNA(VLOOKUP($C122,'Master sheet'!$A:$AR,44,FALSE),"")&amp;""</f>
        <v/>
      </c>
      <c r="P122" s="685"/>
      <c r="Q122" s="29" t="s">
        <v>1556</v>
      </c>
      <c r="R122" s="757" t="s">
        <v>1592</v>
      </c>
      <c r="S122" s="770" t="s">
        <v>7250</v>
      </c>
      <c r="T122" s="665"/>
      <c r="U122" s="664"/>
      <c r="V122" s="664"/>
      <c r="W122" s="664"/>
      <c r="X122" s="664"/>
      <c r="Y122" s="664"/>
      <c r="Z122" s="664"/>
      <c r="AA122" s="664"/>
    </row>
    <row r="123" spans="1:27" ht="22.8" outlineLevel="1" x14ac:dyDescent="0.25">
      <c r="A123" s="1542"/>
      <c r="B123" s="1542"/>
      <c r="C123" s="669" t="str">
        <f>INDEX('Master sheet'!$A$1:$A$670,MATCH("248-3",'Master sheet'!$AN$1:$AN$670,0))</f>
        <v xml:space="preserve">Wood - SPF / Canadian Wood Council / Ontario / </v>
      </c>
      <c r="D123" s="15">
        <f>'USER INPUT SHEET'!$D$52</f>
        <v>0</v>
      </c>
      <c r="E123" s="16" t="str">
        <f>'USER INPUT SHEET'!$F$52</f>
        <v>m2</v>
      </c>
      <c r="F123" s="3">
        <v>1</v>
      </c>
      <c r="G123" s="670"/>
      <c r="H123" s="8"/>
      <c r="I123" s="92">
        <f t="shared" si="45"/>
        <v>0</v>
      </c>
      <c r="J123" s="93" t="str">
        <f t="shared" si="46"/>
        <v/>
      </c>
      <c r="K123" s="406">
        <f>$F123*IF($E$119=16,$D123*0.25,$D123*0.22)*VLOOKUP($C123,'Master sheet'!$A:$AL,13,FALSE)*0.0889</f>
        <v>0</v>
      </c>
      <c r="L123" s="94">
        <f>$F123*IF($E$119=16,$D123*0.25,$D123*0.22)*VLOOKUP($C123,'Master sheet'!$A:$AL,27,FALSE)*0.0889</f>
        <v>0</v>
      </c>
      <c r="M123" s="1552"/>
      <c r="N123" s="1552"/>
      <c r="O123" s="25" t="str">
        <f>_xlfn.IFNA(VLOOKUP($C123,'Master sheet'!$A:$AR,44,FALSE),"")&amp;""</f>
        <v/>
      </c>
      <c r="P123" s="685"/>
      <c r="Q123" s="29" t="s">
        <v>1556</v>
      </c>
      <c r="R123" s="757" t="s">
        <v>1592</v>
      </c>
      <c r="S123" s="770" t="s">
        <v>7250</v>
      </c>
      <c r="T123" s="665"/>
      <c r="U123" s="664"/>
      <c r="V123" s="664"/>
      <c r="W123" s="664"/>
      <c r="X123" s="664"/>
      <c r="Y123" s="664"/>
      <c r="Z123" s="664"/>
      <c r="AA123" s="664"/>
    </row>
    <row r="124" spans="1:27" ht="22.8" outlineLevel="1" x14ac:dyDescent="0.25">
      <c r="A124" s="1542"/>
      <c r="B124" s="1542"/>
      <c r="C124" s="669" t="str">
        <f>INDEX('Master sheet'!$A$1:$A$670,MATCH("248-4",'Master sheet'!$AN$1:$AN$670,0))</f>
        <v xml:space="preserve">Wood - SPF / Canadian Wood Council / Quebec / </v>
      </c>
      <c r="D124" s="15">
        <f>'USER INPUT SHEET'!$D$52</f>
        <v>0</v>
      </c>
      <c r="E124" s="16" t="str">
        <f>'USER INPUT SHEET'!$F$52</f>
        <v>m2</v>
      </c>
      <c r="F124" s="3">
        <v>1</v>
      </c>
      <c r="G124" s="670"/>
      <c r="H124" s="8"/>
      <c r="I124" s="92">
        <f t="shared" si="45"/>
        <v>0</v>
      </c>
      <c r="J124" s="93" t="str">
        <f t="shared" si="46"/>
        <v/>
      </c>
      <c r="K124" s="406">
        <f>$F124*IF($E$119=16,$D124*0.25,$D124*0.22)*VLOOKUP($C124,'Master sheet'!$A:$AL,13,FALSE)*0.0889</f>
        <v>0</v>
      </c>
      <c r="L124" s="94">
        <f>$F124*IF($E$119=16,$D124*0.25,$D124*0.22)*VLOOKUP($C124,'Master sheet'!$A:$AL,27,FALSE)*0.0889</f>
        <v>0</v>
      </c>
      <c r="M124" s="1552"/>
      <c r="N124" s="1552"/>
      <c r="O124" s="25" t="str">
        <f>_xlfn.IFNA(VLOOKUP($C124,'Master sheet'!$A:$AR,44,FALSE),"")&amp;""</f>
        <v/>
      </c>
      <c r="P124" s="685"/>
      <c r="Q124" s="29" t="s">
        <v>1556</v>
      </c>
      <c r="R124" s="757" t="s">
        <v>1592</v>
      </c>
      <c r="S124" s="770" t="s">
        <v>7250</v>
      </c>
      <c r="T124" s="665"/>
      <c r="U124" s="664"/>
      <c r="V124" s="664"/>
      <c r="W124" s="664"/>
      <c r="X124" s="664"/>
      <c r="Y124" s="664"/>
      <c r="Z124" s="664"/>
      <c r="AA124" s="664"/>
    </row>
    <row r="125" spans="1:27" ht="22.8" outlineLevel="1" x14ac:dyDescent="0.25">
      <c r="A125" s="1542"/>
      <c r="B125" s="1542"/>
      <c r="C125" s="669" t="str">
        <f>INDEX('Master sheet'!$A$1:$A$670,MATCH("248-5",'Master sheet'!$AN$1:$AN$670,0))</f>
        <v xml:space="preserve">Wood - SPF / Canadian Wood Council / New Brunswick / </v>
      </c>
      <c r="D125" s="15">
        <f>'USER INPUT SHEET'!$D$52</f>
        <v>0</v>
      </c>
      <c r="E125" s="16" t="str">
        <f>'USER INPUT SHEET'!$F$52</f>
        <v>m2</v>
      </c>
      <c r="F125" s="3">
        <v>1</v>
      </c>
      <c r="G125" s="670"/>
      <c r="H125" s="8"/>
      <c r="I125" s="92">
        <f t="shared" si="45"/>
        <v>0</v>
      </c>
      <c r="J125" s="93" t="str">
        <f t="shared" si="46"/>
        <v/>
      </c>
      <c r="K125" s="406">
        <f>$F125*IF($E$119=16,$D125*0.25,$D125*0.22)*VLOOKUP($C125,'Master sheet'!$A:$AL,13,FALSE)*0.0889</f>
        <v>0</v>
      </c>
      <c r="L125" s="94">
        <f>$F125*IF($E$119=16,$D125*0.25,$D125*0.22)*VLOOKUP($C125,'Master sheet'!$A:$AL,27,FALSE)*0.0889</f>
        <v>0</v>
      </c>
      <c r="M125" s="1552"/>
      <c r="N125" s="1552"/>
      <c r="O125" s="25" t="str">
        <f>_xlfn.IFNA(VLOOKUP($C125,'Master sheet'!$A:$AR,44,FALSE),"")&amp;""</f>
        <v/>
      </c>
      <c r="P125" s="685"/>
      <c r="Q125" s="29" t="s">
        <v>1556</v>
      </c>
      <c r="R125" s="757" t="s">
        <v>1592</v>
      </c>
      <c r="S125" s="770" t="s">
        <v>7250</v>
      </c>
      <c r="T125" s="665"/>
      <c r="U125" s="664"/>
      <c r="V125" s="664"/>
      <c r="W125" s="664"/>
      <c r="X125" s="664"/>
      <c r="Y125" s="664"/>
      <c r="Z125" s="664"/>
      <c r="AA125" s="638"/>
    </row>
    <row r="126" spans="1:27" ht="22.8" outlineLevel="1" x14ac:dyDescent="0.25">
      <c r="A126" s="1542"/>
      <c r="B126" s="1542"/>
      <c r="C126" s="669" t="str">
        <f>INDEX('Master sheet'!$A$1:$A$670,MATCH("248-6",'Master sheet'!$AN$1:$AN$670,0))</f>
        <v xml:space="preserve">Wood - SPF / Canadian Wood Council / Atlantic Canada / </v>
      </c>
      <c r="D126" s="15">
        <f>'USER INPUT SHEET'!$D$52</f>
        <v>0</v>
      </c>
      <c r="E126" s="16" t="str">
        <f>'USER INPUT SHEET'!$F$52</f>
        <v>m2</v>
      </c>
      <c r="F126" s="3">
        <v>1</v>
      </c>
      <c r="G126" s="670"/>
      <c r="H126" s="8"/>
      <c r="I126" s="92">
        <f t="shared" si="45"/>
        <v>0</v>
      </c>
      <c r="J126" s="93" t="str">
        <f t="shared" si="46"/>
        <v/>
      </c>
      <c r="K126" s="406">
        <f>$F126*IF($E$119=16,$D126*0.25,$D126*0.22)*VLOOKUP($C126,'Master sheet'!$A:$AL,13,FALSE)*0.0889</f>
        <v>0</v>
      </c>
      <c r="L126" s="94">
        <f>$F126*IF($E$119=16,$D126*0.25,$D126*0.22)*VLOOKUP($C126,'Master sheet'!$A:$AL,27,FALSE)*0.0889</f>
        <v>0</v>
      </c>
      <c r="M126" s="1552"/>
      <c r="N126" s="1552"/>
      <c r="O126" s="25" t="str">
        <f>_xlfn.IFNA(VLOOKUP($C126,'Master sheet'!$A:$AR,44,FALSE),"")&amp;""</f>
        <v/>
      </c>
      <c r="P126" s="685"/>
      <c r="Q126" s="29" t="s">
        <v>1556</v>
      </c>
      <c r="R126" s="757" t="s">
        <v>1592</v>
      </c>
      <c r="S126" s="770" t="s">
        <v>7250</v>
      </c>
      <c r="T126" s="665"/>
      <c r="U126" s="664"/>
      <c r="V126" s="664"/>
      <c r="W126" s="664"/>
      <c r="X126" s="664"/>
      <c r="Y126" s="664"/>
      <c r="Z126" s="664"/>
      <c r="AA126" s="664"/>
    </row>
    <row r="127" spans="1:27" s="624" customFormat="1" ht="21" customHeight="1" outlineLevel="1" x14ac:dyDescent="0.25">
      <c r="A127" s="639"/>
      <c r="B127" s="1524" t="s">
        <v>6837</v>
      </c>
      <c r="C127" s="1523"/>
      <c r="D127" s="640"/>
      <c r="E127" s="641"/>
      <c r="F127" s="334"/>
      <c r="G127" s="678"/>
      <c r="H127" s="639"/>
      <c r="I127" s="733"/>
      <c r="J127" s="733"/>
      <c r="K127" s="698"/>
      <c r="L127" s="736"/>
      <c r="M127" s="736"/>
      <c r="N127" s="736"/>
      <c r="O127" s="25" t="str">
        <f>_xlfn.IFNA(VLOOKUP($C127,'Master sheet'!$A:$AR,44,FALSE),"")&amp;""</f>
        <v/>
      </c>
      <c r="P127" s="637"/>
      <c r="Q127" s="722"/>
      <c r="R127" s="722"/>
      <c r="S127" s="623"/>
      <c r="T127" s="638"/>
      <c r="U127" s="638"/>
      <c r="V127" s="638"/>
      <c r="W127" s="638"/>
      <c r="X127" s="638"/>
      <c r="Y127" s="638"/>
      <c r="Z127" s="638"/>
      <c r="AA127" s="638"/>
    </row>
    <row r="128" spans="1:27" ht="22.8" outlineLevel="1" x14ac:dyDescent="0.25">
      <c r="A128" s="1542"/>
      <c r="B128" s="1542"/>
      <c r="C128" s="669" t="str">
        <f>INDEX('Master sheet'!$A$1:$A$670,MATCH("248-1",'Master sheet'!$AN$1:$AN$670,0))</f>
        <v xml:space="preserve">Wood - SPF / Canadian Wood Council / British Columbia / </v>
      </c>
      <c r="D128" s="15">
        <f>'USER INPUT SHEET'!$D$52</f>
        <v>0</v>
      </c>
      <c r="E128" s="16" t="str">
        <f>'USER INPUT SHEET'!$F$52</f>
        <v>m2</v>
      </c>
      <c r="F128" s="3">
        <v>1</v>
      </c>
      <c r="G128" s="670"/>
      <c r="H128" s="8"/>
      <c r="I128" s="92">
        <f t="shared" ref="I128:I133" si="47">K128-L128-IF(N128,M128,0)</f>
        <v>0</v>
      </c>
      <c r="J128" s="93" t="str">
        <f t="shared" ref="J128:J133" si="48">IF(H128=1,I128,"")</f>
        <v/>
      </c>
      <c r="K128" s="406">
        <f>$F128*IF($E$119=16,$D128*0.25,$D128*0.22)*VLOOKUP($C128,'Master sheet'!$A:$AL,13,FALSE)*0.1397</f>
        <v>0</v>
      </c>
      <c r="L128" s="94">
        <f>$F128*IF($E$119=16,$D128*0.25,$D128*0.22)*VLOOKUP($C128,'Master sheet'!$A:$AL,27,FALSE)*0.1397</f>
        <v>0</v>
      </c>
      <c r="M128" s="1562"/>
      <c r="N128" s="1562"/>
      <c r="O128" s="25" t="str">
        <f>_xlfn.IFNA(VLOOKUP($C128,'Master sheet'!$A:$AR,44,FALSE),"")&amp;""</f>
        <v/>
      </c>
      <c r="P128" s="685"/>
      <c r="Q128" s="29" t="s">
        <v>1556</v>
      </c>
      <c r="R128" s="757" t="s">
        <v>1592</v>
      </c>
      <c r="S128" s="770" t="s">
        <v>7251</v>
      </c>
      <c r="T128" s="664"/>
      <c r="U128" s="664"/>
      <c r="V128" s="664"/>
      <c r="W128" s="664"/>
      <c r="X128" s="664"/>
      <c r="Y128" s="664"/>
      <c r="Z128" s="664"/>
      <c r="AA128" s="638"/>
    </row>
    <row r="129" spans="1:27" ht="22.8" outlineLevel="1" x14ac:dyDescent="0.25">
      <c r="A129" s="1542"/>
      <c r="B129" s="1542"/>
      <c r="C129" s="669" t="str">
        <f>INDEX('Master sheet'!$A$1:$A$670,MATCH("248-2",'Master sheet'!$AN$1:$AN$670,0))</f>
        <v xml:space="preserve">Wood - SPF / Canadian Wood Council / Alberta / </v>
      </c>
      <c r="D129" s="15">
        <f>'USER INPUT SHEET'!$D$52</f>
        <v>0</v>
      </c>
      <c r="E129" s="16" t="str">
        <f>'USER INPUT SHEET'!$F$52</f>
        <v>m2</v>
      </c>
      <c r="F129" s="3">
        <v>1</v>
      </c>
      <c r="G129" s="670"/>
      <c r="H129" s="8"/>
      <c r="I129" s="92">
        <f t="shared" si="47"/>
        <v>0</v>
      </c>
      <c r="J129" s="93" t="str">
        <f t="shared" si="48"/>
        <v/>
      </c>
      <c r="K129" s="406">
        <f>$F129*IF($E$119=16,$D129*0.25,$D129*0.22)*VLOOKUP($C129,'Master sheet'!$A:$AL,13,FALSE)*0.1397</f>
        <v>0</v>
      </c>
      <c r="L129" s="94">
        <f>$F129*IF($E$119=16,$D129*0.25,$D129*0.22)*VLOOKUP($C129,'Master sheet'!$A:$AL,27,FALSE)*0.1397</f>
        <v>0</v>
      </c>
      <c r="M129" s="1552"/>
      <c r="N129" s="1552"/>
      <c r="O129" s="25" t="str">
        <f>_xlfn.IFNA(VLOOKUP($C129,'Master sheet'!$A:$AR,44,FALSE),"")&amp;""</f>
        <v/>
      </c>
      <c r="P129" s="685"/>
      <c r="Q129" s="29" t="s">
        <v>1556</v>
      </c>
      <c r="R129" s="757" t="s">
        <v>1592</v>
      </c>
      <c r="S129" s="770" t="s">
        <v>7251</v>
      </c>
      <c r="T129" s="664"/>
      <c r="U129" s="664"/>
      <c r="V129" s="664"/>
      <c r="W129" s="664"/>
      <c r="X129" s="664"/>
      <c r="Y129" s="664"/>
      <c r="Z129" s="664"/>
      <c r="AA129" s="638"/>
    </row>
    <row r="130" spans="1:27" ht="22.8" outlineLevel="1" x14ac:dyDescent="0.25">
      <c r="A130" s="1542"/>
      <c r="B130" s="1542"/>
      <c r="C130" s="669" t="str">
        <f>INDEX('Master sheet'!$A$1:$A$670,MATCH("248-3",'Master sheet'!$AN$1:$AN$670,0))</f>
        <v xml:space="preserve">Wood - SPF / Canadian Wood Council / Ontario / </v>
      </c>
      <c r="D130" s="15">
        <f>'USER INPUT SHEET'!$D$52</f>
        <v>0</v>
      </c>
      <c r="E130" s="16" t="str">
        <f>'USER INPUT SHEET'!$F$52</f>
        <v>m2</v>
      </c>
      <c r="F130" s="3">
        <v>1</v>
      </c>
      <c r="G130" s="670"/>
      <c r="H130" s="8"/>
      <c r="I130" s="92">
        <f t="shared" si="47"/>
        <v>0</v>
      </c>
      <c r="J130" s="93" t="str">
        <f t="shared" si="48"/>
        <v/>
      </c>
      <c r="K130" s="406">
        <f>$F130*IF($E$119=16,$D130*0.25,$D130*0.22)*VLOOKUP($C130,'Master sheet'!$A:$AL,13,FALSE)*0.1397</f>
        <v>0</v>
      </c>
      <c r="L130" s="94">
        <f>$F130*IF($E$119=16,$D130*0.25,$D130*0.22)*VLOOKUP($C130,'Master sheet'!$A:$AL,27,FALSE)*0.1397</f>
        <v>0</v>
      </c>
      <c r="M130" s="1552"/>
      <c r="N130" s="1552"/>
      <c r="O130" s="25" t="str">
        <f>_xlfn.IFNA(VLOOKUP($C130,'Master sheet'!$A:$AR,44,FALSE),"")&amp;""</f>
        <v/>
      </c>
      <c r="P130" s="685"/>
      <c r="Q130" s="29" t="s">
        <v>1556</v>
      </c>
      <c r="R130" s="757" t="s">
        <v>1592</v>
      </c>
      <c r="S130" s="770" t="s">
        <v>7251</v>
      </c>
      <c r="T130" s="664"/>
      <c r="U130" s="664"/>
      <c r="V130" s="664"/>
      <c r="W130" s="664"/>
      <c r="X130" s="664"/>
      <c r="Y130" s="664"/>
      <c r="Z130" s="664"/>
      <c r="AA130" s="638"/>
    </row>
    <row r="131" spans="1:27" ht="22.8" outlineLevel="1" x14ac:dyDescent="0.25">
      <c r="A131" s="1542"/>
      <c r="B131" s="1542"/>
      <c r="C131" s="669" t="str">
        <f>INDEX('Master sheet'!$A$1:$A$670,MATCH("248-4",'Master sheet'!$AN$1:$AN$670,0))</f>
        <v xml:space="preserve">Wood - SPF / Canadian Wood Council / Quebec / </v>
      </c>
      <c r="D131" s="15">
        <f>'USER INPUT SHEET'!$D$52</f>
        <v>0</v>
      </c>
      <c r="E131" s="16" t="str">
        <f>'USER INPUT SHEET'!$F$52</f>
        <v>m2</v>
      </c>
      <c r="F131" s="3">
        <v>1</v>
      </c>
      <c r="G131" s="670"/>
      <c r="H131" s="8"/>
      <c r="I131" s="92">
        <f t="shared" si="47"/>
        <v>0</v>
      </c>
      <c r="J131" s="93" t="str">
        <f t="shared" si="48"/>
        <v/>
      </c>
      <c r="K131" s="406">
        <f>$F131*IF($E$119=16,$D131*0.25,$D131*0.22)*VLOOKUP($C131,'Master sheet'!$A:$AL,13,FALSE)*0.1397</f>
        <v>0</v>
      </c>
      <c r="L131" s="94">
        <f>$F131*IF($E$119=16,$D131*0.25,$D131*0.22)*VLOOKUP($C131,'Master sheet'!$A:$AL,27,FALSE)*0.1397</f>
        <v>0</v>
      </c>
      <c r="M131" s="1552"/>
      <c r="N131" s="1552"/>
      <c r="O131" s="25" t="str">
        <f>_xlfn.IFNA(VLOOKUP($C131,'Master sheet'!$A:$AR,44,FALSE),"")&amp;""</f>
        <v/>
      </c>
      <c r="P131" s="685"/>
      <c r="Q131" s="29" t="s">
        <v>1556</v>
      </c>
      <c r="R131" s="757" t="s">
        <v>1592</v>
      </c>
      <c r="S131" s="770" t="s">
        <v>7251</v>
      </c>
      <c r="T131" s="664"/>
      <c r="U131" s="664"/>
      <c r="V131" s="664"/>
      <c r="W131" s="664"/>
      <c r="X131" s="664"/>
      <c r="Y131" s="664"/>
      <c r="Z131" s="664"/>
      <c r="AA131" s="664"/>
    </row>
    <row r="132" spans="1:27" ht="22.8" outlineLevel="1" x14ac:dyDescent="0.25">
      <c r="A132" s="1542"/>
      <c r="B132" s="1542"/>
      <c r="C132" s="669" t="str">
        <f>INDEX('Master sheet'!$A$1:$A$670,MATCH("248-5",'Master sheet'!$AN$1:$AN$670,0))</f>
        <v xml:space="preserve">Wood - SPF / Canadian Wood Council / New Brunswick / </v>
      </c>
      <c r="D132" s="15">
        <f>'USER INPUT SHEET'!$D$52</f>
        <v>0</v>
      </c>
      <c r="E132" s="16" t="str">
        <f>'USER INPUT SHEET'!$F$52</f>
        <v>m2</v>
      </c>
      <c r="F132" s="3">
        <v>1</v>
      </c>
      <c r="G132" s="670"/>
      <c r="H132" s="8"/>
      <c r="I132" s="92">
        <f t="shared" si="47"/>
        <v>0</v>
      </c>
      <c r="J132" s="93" t="str">
        <f t="shared" si="48"/>
        <v/>
      </c>
      <c r="K132" s="406">
        <f>$F132*IF($E$119=16,$D132*0.25,$D132*0.22)*VLOOKUP($C132,'Master sheet'!$A:$AL,13,FALSE)*0.1397</f>
        <v>0</v>
      </c>
      <c r="L132" s="94">
        <f>$F132*IF($E$119=16,$D132*0.25,$D132*0.22)*VLOOKUP($C132,'Master sheet'!$A:$AL,27,FALSE)*0.1397</f>
        <v>0</v>
      </c>
      <c r="M132" s="1552"/>
      <c r="N132" s="1552"/>
      <c r="O132" s="25" t="str">
        <f>_xlfn.IFNA(VLOOKUP($C132,'Master sheet'!$A:$AR,44,FALSE),"")&amp;""</f>
        <v/>
      </c>
      <c r="P132" s="685"/>
      <c r="Q132" s="29" t="s">
        <v>1556</v>
      </c>
      <c r="R132" s="757" t="s">
        <v>1592</v>
      </c>
      <c r="S132" s="770" t="s">
        <v>7251</v>
      </c>
      <c r="T132" s="664"/>
      <c r="U132" s="664"/>
      <c r="V132" s="664"/>
      <c r="W132" s="664"/>
      <c r="X132" s="664"/>
      <c r="Y132" s="664"/>
      <c r="Z132" s="664"/>
      <c r="AA132" s="664"/>
    </row>
    <row r="133" spans="1:27" ht="22.8" outlineLevel="1" x14ac:dyDescent="0.25">
      <c r="A133" s="1542"/>
      <c r="B133" s="1542"/>
      <c r="C133" s="669" t="str">
        <f>INDEX('Master sheet'!$A$1:$A$670,MATCH("248-6",'Master sheet'!$AN$1:$AN$670,0))</f>
        <v xml:space="preserve">Wood - SPF / Canadian Wood Council / Atlantic Canada / </v>
      </c>
      <c r="D133" s="15">
        <f>'USER INPUT SHEET'!$D$52</f>
        <v>0</v>
      </c>
      <c r="E133" s="16" t="str">
        <f>'USER INPUT SHEET'!$F$52</f>
        <v>m2</v>
      </c>
      <c r="F133" s="3">
        <v>1</v>
      </c>
      <c r="G133" s="670"/>
      <c r="H133" s="8"/>
      <c r="I133" s="92">
        <f t="shared" si="47"/>
        <v>0</v>
      </c>
      <c r="J133" s="93" t="str">
        <f t="shared" si="48"/>
        <v/>
      </c>
      <c r="K133" s="406">
        <f>$F133*IF($E$119=16,$D133*0.25,$D133*0.22)*VLOOKUP($C133,'Master sheet'!$A:$AL,13,FALSE)*0.1397</f>
        <v>0</v>
      </c>
      <c r="L133" s="94">
        <f>$F133*IF($E$119=16,$D133*0.25,$D133*0.22)*VLOOKUP($C133,'Master sheet'!$A:$AL,27,FALSE)*0.1397</f>
        <v>0</v>
      </c>
      <c r="M133" s="1552"/>
      <c r="N133" s="1552"/>
      <c r="O133" s="25" t="str">
        <f>_xlfn.IFNA(VLOOKUP($C133,'Master sheet'!$A:$AR,44,FALSE),"")&amp;""</f>
        <v/>
      </c>
      <c r="P133" s="685"/>
      <c r="Q133" s="29" t="s">
        <v>1556</v>
      </c>
      <c r="R133" s="757" t="s">
        <v>1592</v>
      </c>
      <c r="S133" s="770" t="s">
        <v>7251</v>
      </c>
      <c r="T133" s="664"/>
      <c r="U133" s="664"/>
      <c r="V133" s="664"/>
      <c r="W133" s="664"/>
      <c r="X133" s="664"/>
      <c r="Y133" s="664"/>
      <c r="Z133" s="664"/>
      <c r="AA133" s="664"/>
    </row>
    <row r="134" spans="1:27" s="624" customFormat="1" ht="21" customHeight="1" outlineLevel="1" x14ac:dyDescent="0.25">
      <c r="A134" s="639"/>
      <c r="B134" s="1524" t="s">
        <v>6838</v>
      </c>
      <c r="C134" s="1523"/>
      <c r="D134" s="640"/>
      <c r="E134" s="641"/>
      <c r="F134" s="334"/>
      <c r="G134" s="678"/>
      <c r="H134" s="639"/>
      <c r="I134" s="733"/>
      <c r="J134" s="733"/>
      <c r="K134" s="698"/>
      <c r="L134" s="736"/>
      <c r="M134" s="736"/>
      <c r="N134" s="736"/>
      <c r="O134" s="25" t="str">
        <f>_xlfn.IFNA(VLOOKUP($C134,'Master sheet'!$A:$AR,44,FALSE),"")&amp;""</f>
        <v/>
      </c>
      <c r="P134" s="637"/>
      <c r="Q134" s="722"/>
      <c r="R134" s="722"/>
      <c r="S134" s="623"/>
      <c r="T134" s="638"/>
      <c r="U134" s="638"/>
      <c r="V134" s="638"/>
      <c r="W134" s="638"/>
      <c r="X134" s="638"/>
      <c r="Y134" s="638"/>
      <c r="Z134" s="638"/>
      <c r="AA134" s="664"/>
    </row>
    <row r="135" spans="1:27" ht="22.8" outlineLevel="1" x14ac:dyDescent="0.25">
      <c r="A135" s="1542"/>
      <c r="B135" s="1542"/>
      <c r="C135" s="669" t="str">
        <f>INDEX('Master sheet'!$A$1:$A$670,MATCH("248-1",'Master sheet'!$AN$1:$AN$670,0))</f>
        <v xml:space="preserve">Wood - SPF / Canadian Wood Council / British Columbia / </v>
      </c>
      <c r="D135" s="15">
        <f>'USER INPUT SHEET'!$D$52</f>
        <v>0</v>
      </c>
      <c r="E135" s="16" t="str">
        <f>'USER INPUT SHEET'!$F$52</f>
        <v>m2</v>
      </c>
      <c r="F135" s="3">
        <v>1</v>
      </c>
      <c r="G135" s="670"/>
      <c r="H135" s="8"/>
      <c r="I135" s="92">
        <f t="shared" ref="I135:I140" si="49">K135-L135-IF(N135,M135,0)</f>
        <v>0</v>
      </c>
      <c r="J135" s="93" t="str">
        <f t="shared" ref="J135:J140" si="50">IF(H135=1,I135,"")</f>
        <v/>
      </c>
      <c r="K135" s="406">
        <f>$F135*IF($E$119=16,$D135*0.25,$D135*0.22)*VLOOKUP($C135,'Master sheet'!$A:$AL,13,FALSE)*0.18415</f>
        <v>0</v>
      </c>
      <c r="L135" s="94">
        <f>$F135*IF($E$119=16,$D135*0.25,$D135*0.22)*VLOOKUP($C135,'Master sheet'!$A:$AL,27,FALSE)*0.18415</f>
        <v>0</v>
      </c>
      <c r="M135" s="1562"/>
      <c r="N135" s="1562"/>
      <c r="O135" s="25" t="str">
        <f>_xlfn.IFNA(VLOOKUP($C135,'Master sheet'!$A:$AR,44,FALSE),"")&amp;""</f>
        <v/>
      </c>
      <c r="P135" s="685"/>
      <c r="Q135" s="29" t="s">
        <v>1556</v>
      </c>
      <c r="R135" s="757" t="s">
        <v>1592</v>
      </c>
      <c r="S135" s="770" t="s">
        <v>7252</v>
      </c>
      <c r="T135" s="664"/>
      <c r="U135" s="664"/>
      <c r="V135" s="664"/>
      <c r="W135" s="664"/>
      <c r="X135" s="664"/>
      <c r="Y135" s="664"/>
      <c r="Z135" s="664"/>
      <c r="AA135" s="638"/>
    </row>
    <row r="136" spans="1:27" ht="22.8" outlineLevel="1" x14ac:dyDescent="0.25">
      <c r="A136" s="1542"/>
      <c r="B136" s="1542"/>
      <c r="C136" s="669" t="str">
        <f>INDEX('Master sheet'!$A$1:$A$670,MATCH("248-2",'Master sheet'!$AN$1:$AN$670,0))</f>
        <v xml:space="preserve">Wood - SPF / Canadian Wood Council / Alberta / </v>
      </c>
      <c r="D136" s="15">
        <f>'USER INPUT SHEET'!$D$52</f>
        <v>0</v>
      </c>
      <c r="E136" s="16" t="str">
        <f>'USER INPUT SHEET'!$F$52</f>
        <v>m2</v>
      </c>
      <c r="F136" s="3">
        <v>1</v>
      </c>
      <c r="G136" s="670"/>
      <c r="H136" s="8"/>
      <c r="I136" s="92">
        <f t="shared" si="49"/>
        <v>0</v>
      </c>
      <c r="J136" s="93" t="str">
        <f t="shared" si="50"/>
        <v/>
      </c>
      <c r="K136" s="406">
        <f>$F136*IF($E$119=16,$D136*0.25,$D136*0.22)*VLOOKUP($C136,'Master sheet'!$A:$AL,13,FALSE)*0.18415</f>
        <v>0</v>
      </c>
      <c r="L136" s="94">
        <f>$F136*IF($E$119=16,$D136*0.25,$D136*0.22)*VLOOKUP($C136,'Master sheet'!$A:$AL,27,FALSE)*0.18415</f>
        <v>0</v>
      </c>
      <c r="M136" s="1552"/>
      <c r="N136" s="1552"/>
      <c r="O136" s="25" t="str">
        <f>_xlfn.IFNA(VLOOKUP($C136,'Master sheet'!$A:$AR,44,FALSE),"")&amp;""</f>
        <v/>
      </c>
      <c r="P136" s="685"/>
      <c r="Q136" s="29" t="s">
        <v>1556</v>
      </c>
      <c r="R136" s="757" t="s">
        <v>1592</v>
      </c>
      <c r="S136" s="770" t="s">
        <v>7252</v>
      </c>
      <c r="T136" s="664"/>
      <c r="U136" s="664"/>
      <c r="V136" s="664"/>
      <c r="W136" s="664"/>
      <c r="X136" s="664"/>
      <c r="Y136" s="664"/>
      <c r="Z136" s="664"/>
      <c r="AA136" s="638"/>
    </row>
    <row r="137" spans="1:27" ht="22.8" outlineLevel="1" x14ac:dyDescent="0.25">
      <c r="A137" s="1542"/>
      <c r="B137" s="1542"/>
      <c r="C137" s="669" t="str">
        <f>INDEX('Master sheet'!$A$1:$A$670,MATCH("248-3",'Master sheet'!$AN$1:$AN$670,0))</f>
        <v xml:space="preserve">Wood - SPF / Canadian Wood Council / Ontario / </v>
      </c>
      <c r="D137" s="15">
        <f>'USER INPUT SHEET'!$D$52</f>
        <v>0</v>
      </c>
      <c r="E137" s="16" t="str">
        <f>'USER INPUT SHEET'!$F$52</f>
        <v>m2</v>
      </c>
      <c r="F137" s="3">
        <v>1</v>
      </c>
      <c r="G137" s="670"/>
      <c r="H137" s="8"/>
      <c r="I137" s="92">
        <f t="shared" si="49"/>
        <v>0</v>
      </c>
      <c r="J137" s="93" t="str">
        <f t="shared" si="50"/>
        <v/>
      </c>
      <c r="K137" s="406">
        <f>$F137*IF($E$119=16,$D137*0.25,$D137*0.22)*VLOOKUP($C137,'Master sheet'!$A:$AL,13,FALSE)*0.18415</f>
        <v>0</v>
      </c>
      <c r="L137" s="94">
        <f>$F137*IF($E$119=16,$D137*0.25,$D137*0.22)*VLOOKUP($C137,'Master sheet'!$A:$AL,27,FALSE)*0.18415</f>
        <v>0</v>
      </c>
      <c r="M137" s="1552"/>
      <c r="N137" s="1552"/>
      <c r="O137" s="25" t="str">
        <f>_xlfn.IFNA(VLOOKUP($C137,'Master sheet'!$A:$AR,44,FALSE),"")&amp;""</f>
        <v/>
      </c>
      <c r="P137" s="685"/>
      <c r="Q137" s="29" t="s">
        <v>1556</v>
      </c>
      <c r="R137" s="757" t="s">
        <v>1592</v>
      </c>
      <c r="S137" s="770" t="s">
        <v>7252</v>
      </c>
      <c r="T137" s="664"/>
      <c r="U137" s="664"/>
      <c r="V137" s="664"/>
      <c r="W137" s="664"/>
      <c r="X137" s="664"/>
      <c r="Y137" s="664"/>
      <c r="Z137" s="664"/>
      <c r="AA137" s="664"/>
    </row>
    <row r="138" spans="1:27" ht="22.8" outlineLevel="1" x14ac:dyDescent="0.25">
      <c r="A138" s="1542"/>
      <c r="B138" s="1542"/>
      <c r="C138" s="669" t="str">
        <f>INDEX('Master sheet'!$A$1:$A$670,MATCH("248-4",'Master sheet'!$AN$1:$AN$670,0))</f>
        <v xml:space="preserve">Wood - SPF / Canadian Wood Council / Quebec / </v>
      </c>
      <c r="D138" s="15">
        <f>'USER INPUT SHEET'!$D$52</f>
        <v>0</v>
      </c>
      <c r="E138" s="16" t="str">
        <f>'USER INPUT SHEET'!$F$52</f>
        <v>m2</v>
      </c>
      <c r="F138" s="3">
        <v>1</v>
      </c>
      <c r="G138" s="670"/>
      <c r="H138" s="8"/>
      <c r="I138" s="92">
        <f t="shared" si="49"/>
        <v>0</v>
      </c>
      <c r="J138" s="93" t="str">
        <f t="shared" si="50"/>
        <v/>
      </c>
      <c r="K138" s="406">
        <f>$F138*IF($E$119=16,$D138*0.25,$D138*0.22)*VLOOKUP($C138,'Master sheet'!$A:$AL,13,FALSE)*0.18415</f>
        <v>0</v>
      </c>
      <c r="L138" s="94">
        <f>$F138*IF($E$119=16,$D138*0.25,$D138*0.22)*VLOOKUP($C138,'Master sheet'!$A:$AL,27,FALSE)*0.18415</f>
        <v>0</v>
      </c>
      <c r="M138" s="1552"/>
      <c r="N138" s="1552"/>
      <c r="O138" s="25" t="str">
        <f>_xlfn.IFNA(VLOOKUP($C138,'Master sheet'!$A:$AR,44,FALSE),"")&amp;""</f>
        <v/>
      </c>
      <c r="P138" s="685"/>
      <c r="Q138" s="29" t="s">
        <v>1556</v>
      </c>
      <c r="R138" s="757" t="s">
        <v>1592</v>
      </c>
      <c r="S138" s="770" t="s">
        <v>7252</v>
      </c>
      <c r="T138" s="664"/>
      <c r="U138" s="664"/>
      <c r="V138" s="664"/>
      <c r="W138" s="664"/>
      <c r="X138" s="664"/>
      <c r="Y138" s="664"/>
      <c r="Z138" s="664"/>
      <c r="AA138" s="664"/>
    </row>
    <row r="139" spans="1:27" ht="22.8" outlineLevel="1" x14ac:dyDescent="0.25">
      <c r="A139" s="1542"/>
      <c r="B139" s="1542"/>
      <c r="C139" s="669" t="str">
        <f>INDEX('Master sheet'!$A$1:$A$670,MATCH("248-5",'Master sheet'!$AN$1:$AN$670,0))</f>
        <v xml:space="preserve">Wood - SPF / Canadian Wood Council / New Brunswick / </v>
      </c>
      <c r="D139" s="15">
        <f>'USER INPUT SHEET'!$D$52</f>
        <v>0</v>
      </c>
      <c r="E139" s="16" t="str">
        <f>'USER INPUT SHEET'!$F$52</f>
        <v>m2</v>
      </c>
      <c r="F139" s="3">
        <v>1</v>
      </c>
      <c r="G139" s="670"/>
      <c r="H139" s="8"/>
      <c r="I139" s="92">
        <f t="shared" si="49"/>
        <v>0</v>
      </c>
      <c r="J139" s="93" t="str">
        <f t="shared" si="50"/>
        <v/>
      </c>
      <c r="K139" s="406">
        <f>$F139*IF($E$119=16,$D139*0.25,$D139*0.22)*VLOOKUP($C139,'Master sheet'!$A:$AL,13,FALSE)*0.18415</f>
        <v>0</v>
      </c>
      <c r="L139" s="94">
        <f>$F139*IF($E$119=16,$D139*0.25,$D139*0.22)*VLOOKUP($C139,'Master sheet'!$A:$AL,27,FALSE)*0.18415</f>
        <v>0</v>
      </c>
      <c r="M139" s="1552"/>
      <c r="N139" s="1552"/>
      <c r="O139" s="25" t="str">
        <f>_xlfn.IFNA(VLOOKUP($C139,'Master sheet'!$A:$AR,44,FALSE),"")&amp;""</f>
        <v/>
      </c>
      <c r="P139" s="685"/>
      <c r="Q139" s="29" t="s">
        <v>1556</v>
      </c>
      <c r="R139" s="757" t="s">
        <v>1592</v>
      </c>
      <c r="S139" s="770" t="s">
        <v>7252</v>
      </c>
      <c r="T139" s="664"/>
      <c r="U139" s="664"/>
      <c r="V139" s="664"/>
      <c r="W139" s="664"/>
      <c r="X139" s="664"/>
      <c r="Y139" s="664"/>
      <c r="Z139" s="664"/>
      <c r="AA139" s="638"/>
    </row>
    <row r="140" spans="1:27" ht="22.8" outlineLevel="1" x14ac:dyDescent="0.25">
      <c r="A140" s="1542"/>
      <c r="B140" s="1542"/>
      <c r="C140" s="669" t="str">
        <f>INDEX('Master sheet'!$A$1:$A$670,MATCH("248-6",'Master sheet'!$AN$1:$AN$670,0))</f>
        <v xml:space="preserve">Wood - SPF / Canadian Wood Council / Atlantic Canada / </v>
      </c>
      <c r="D140" s="15">
        <f>'USER INPUT SHEET'!$D$52</f>
        <v>0</v>
      </c>
      <c r="E140" s="16" t="str">
        <f>'USER INPUT SHEET'!$F$52</f>
        <v>m2</v>
      </c>
      <c r="F140" s="3">
        <v>1</v>
      </c>
      <c r="G140" s="670"/>
      <c r="H140" s="8"/>
      <c r="I140" s="92">
        <f t="shared" si="49"/>
        <v>0</v>
      </c>
      <c r="J140" s="93" t="str">
        <f t="shared" si="50"/>
        <v/>
      </c>
      <c r="K140" s="406">
        <f>$F140*IF($E$119=16,$D140*0.25,$D140*0.22)*VLOOKUP($C140,'Master sheet'!$A:$AL,13,FALSE)*0.18415</f>
        <v>0</v>
      </c>
      <c r="L140" s="94">
        <f>$F140*IF($E$119=16,$D140*0.25,$D140*0.22)*VLOOKUP($C140,'Master sheet'!$A:$AL,27,FALSE)*0.18415</f>
        <v>0</v>
      </c>
      <c r="M140" s="1562"/>
      <c r="N140" s="1562"/>
      <c r="O140" s="25" t="str">
        <f>_xlfn.IFNA(VLOOKUP($C140,'Master sheet'!$A:$AR,44,FALSE),"")&amp;""</f>
        <v/>
      </c>
      <c r="P140" s="685"/>
      <c r="Q140" s="29" t="s">
        <v>1556</v>
      </c>
      <c r="R140" s="757" t="s">
        <v>1592</v>
      </c>
      <c r="S140" s="770" t="s">
        <v>7252</v>
      </c>
      <c r="T140" s="664"/>
      <c r="U140" s="664"/>
      <c r="V140" s="664"/>
      <c r="W140" s="664"/>
      <c r="X140" s="664"/>
      <c r="Y140" s="664"/>
      <c r="Z140" s="664"/>
      <c r="AA140" s="638"/>
    </row>
    <row r="141" spans="1:27" s="624" customFormat="1" ht="21" customHeight="1" outlineLevel="1" x14ac:dyDescent="0.25">
      <c r="A141" s="639"/>
      <c r="B141" s="1524" t="s">
        <v>6839</v>
      </c>
      <c r="C141" s="1523"/>
      <c r="D141" s="640"/>
      <c r="E141" s="641"/>
      <c r="F141" s="334"/>
      <c r="G141" s="678"/>
      <c r="H141" s="639"/>
      <c r="I141" s="733"/>
      <c r="J141" s="733"/>
      <c r="K141" s="698"/>
      <c r="L141" s="736"/>
      <c r="M141" s="736"/>
      <c r="N141" s="736"/>
      <c r="O141" s="25" t="str">
        <f>_xlfn.IFNA(VLOOKUP($C141,'Master sheet'!$A:$AR,44,FALSE),"")&amp;""</f>
        <v/>
      </c>
      <c r="P141" s="637"/>
      <c r="Q141" s="722"/>
      <c r="R141" s="722"/>
      <c r="S141" s="623"/>
      <c r="T141" s="638"/>
      <c r="U141" s="638"/>
      <c r="V141" s="638"/>
      <c r="W141" s="638"/>
      <c r="X141" s="638"/>
      <c r="Y141" s="638"/>
      <c r="Z141" s="638"/>
      <c r="AA141" s="664"/>
    </row>
    <row r="142" spans="1:27" ht="22.8" outlineLevel="1" x14ac:dyDescent="0.25">
      <c r="A142" s="1542"/>
      <c r="B142" s="1542"/>
      <c r="C142" s="669" t="str">
        <f>INDEX('Master sheet'!$A$1:$A$670,MATCH("248-1",'Master sheet'!$AN$1:$AN$670,0))</f>
        <v xml:space="preserve">Wood - SPF / Canadian Wood Council / British Columbia / </v>
      </c>
      <c r="D142" s="17">
        <f>'USER INPUT SHEET'!$D$52</f>
        <v>0</v>
      </c>
      <c r="E142" s="18" t="str">
        <f>'USER INPUT SHEET'!$F$52</f>
        <v>m2</v>
      </c>
      <c r="F142" s="4">
        <v>1</v>
      </c>
      <c r="G142" s="674"/>
      <c r="H142" s="9"/>
      <c r="I142" s="95">
        <f t="shared" ref="I142:I147" si="51">K142-L142-IF(N142,M142,0)</f>
        <v>0</v>
      </c>
      <c r="J142" s="96" t="str">
        <f t="shared" ref="J142:J147" si="52">IF(H142=1,I142,"")</f>
        <v/>
      </c>
      <c r="K142" s="407">
        <f>$F142*IF($E$119=16,$D142*0.25,$D142*0.22)*VLOOKUP($C142,'Master sheet'!$A:$AL,13,FALSE)*(2*0.0889)</f>
        <v>0</v>
      </c>
      <c r="L142" s="97">
        <f>$F142*IF($E$119=16,$D142*0.25,$D142*0.22)*VLOOKUP($C142,'Master sheet'!$A:$AL,27,FALSE)*(2*0.0889)</f>
        <v>0</v>
      </c>
      <c r="M142" s="1562"/>
      <c r="N142" s="1562"/>
      <c r="O142" s="25" t="str">
        <f>_xlfn.IFNA(VLOOKUP($C142,'Master sheet'!$A:$AR,44,FALSE),"")&amp;""</f>
        <v/>
      </c>
      <c r="P142" s="637"/>
      <c r="Q142" s="29" t="s">
        <v>1556</v>
      </c>
      <c r="R142" s="757" t="s">
        <v>1592</v>
      </c>
      <c r="S142" s="776" t="s">
        <v>7253</v>
      </c>
      <c r="T142" s="638"/>
      <c r="U142" s="664"/>
      <c r="V142" s="664"/>
      <c r="W142" s="664"/>
      <c r="X142" s="664"/>
      <c r="Y142" s="664"/>
      <c r="Z142" s="664"/>
      <c r="AA142" s="638"/>
    </row>
    <row r="143" spans="1:27" ht="22.8" outlineLevel="1" x14ac:dyDescent="0.25">
      <c r="A143" s="1542"/>
      <c r="B143" s="1542"/>
      <c r="C143" s="669" t="str">
        <f>INDEX('Master sheet'!$A$1:$A$670,MATCH("248-2",'Master sheet'!$AN$1:$AN$670,0))</f>
        <v xml:space="preserve">Wood - SPF / Canadian Wood Council / Alberta / </v>
      </c>
      <c r="D143" s="17">
        <f>'USER INPUT SHEET'!$D$52</f>
        <v>0</v>
      </c>
      <c r="E143" s="18" t="str">
        <f>'USER INPUT SHEET'!$F$52</f>
        <v>m2</v>
      </c>
      <c r="F143" s="4">
        <v>1</v>
      </c>
      <c r="G143" s="674"/>
      <c r="H143" s="9"/>
      <c r="I143" s="95">
        <f t="shared" si="51"/>
        <v>0</v>
      </c>
      <c r="J143" s="96" t="str">
        <f t="shared" si="52"/>
        <v/>
      </c>
      <c r="K143" s="407">
        <f>$F143*IF($E$119=16,$D143*0.25,$D143*0.22)*VLOOKUP($C143,'Master sheet'!$A:$AL,13,FALSE)*(2*0.0889)</f>
        <v>0</v>
      </c>
      <c r="L143" s="97">
        <f>$F143*IF($E$119=16,$D143*0.25,$D143*0.22)*VLOOKUP($C143,'Master sheet'!$A:$AL,27,FALSE)*(2*0.0889)</f>
        <v>0</v>
      </c>
      <c r="M143" s="1552"/>
      <c r="N143" s="1552"/>
      <c r="O143" s="25" t="str">
        <f>_xlfn.IFNA(VLOOKUP($C143,'Master sheet'!$A:$AR,44,FALSE),"")&amp;""</f>
        <v/>
      </c>
      <c r="P143" s="637"/>
      <c r="Q143" s="29" t="s">
        <v>1556</v>
      </c>
      <c r="R143" s="757" t="s">
        <v>1592</v>
      </c>
      <c r="S143" s="776" t="s">
        <v>7253</v>
      </c>
      <c r="T143" s="638"/>
      <c r="U143" s="664"/>
      <c r="V143" s="664"/>
      <c r="W143" s="664"/>
      <c r="X143" s="664"/>
      <c r="Y143" s="664"/>
      <c r="Z143" s="664"/>
      <c r="AA143" s="638"/>
    </row>
    <row r="144" spans="1:27" ht="22.8" outlineLevel="1" x14ac:dyDescent="0.25">
      <c r="A144" s="1542"/>
      <c r="B144" s="1542"/>
      <c r="C144" s="669" t="str">
        <f>INDEX('Master sheet'!$A$1:$A$670,MATCH("248-3",'Master sheet'!$AN$1:$AN$670,0))</f>
        <v xml:space="preserve">Wood - SPF / Canadian Wood Council / Ontario / </v>
      </c>
      <c r="D144" s="17">
        <f>'USER INPUT SHEET'!$D$52</f>
        <v>0</v>
      </c>
      <c r="E144" s="18" t="str">
        <f>'USER INPUT SHEET'!$F$52</f>
        <v>m2</v>
      </c>
      <c r="F144" s="4">
        <v>1</v>
      </c>
      <c r="G144" s="674"/>
      <c r="H144" s="9"/>
      <c r="I144" s="95">
        <f t="shared" si="51"/>
        <v>0</v>
      </c>
      <c r="J144" s="96" t="str">
        <f t="shared" si="52"/>
        <v/>
      </c>
      <c r="K144" s="407">
        <f>$F144*IF($E$119=16,$D144*0.25,$D144*0.22)*VLOOKUP($C144,'Master sheet'!$A:$AL,13,FALSE)*(2*0.0889)</f>
        <v>0</v>
      </c>
      <c r="L144" s="97">
        <f>$F144*IF($E$119=16,$D144*0.25,$D144*0.22)*VLOOKUP($C144,'Master sheet'!$A:$AL,27,FALSE)*(2*0.0889)</f>
        <v>0</v>
      </c>
      <c r="M144" s="1552"/>
      <c r="N144" s="1552"/>
      <c r="O144" s="25" t="str">
        <f>_xlfn.IFNA(VLOOKUP($C144,'Master sheet'!$A:$AR,44,FALSE),"")&amp;""</f>
        <v/>
      </c>
      <c r="P144" s="637"/>
      <c r="Q144" s="29" t="s">
        <v>1556</v>
      </c>
      <c r="R144" s="757" t="s">
        <v>1592</v>
      </c>
      <c r="S144" s="776" t="s">
        <v>7253</v>
      </c>
      <c r="T144" s="638"/>
      <c r="U144" s="664"/>
      <c r="V144" s="664"/>
      <c r="W144" s="664"/>
      <c r="X144" s="664"/>
      <c r="Y144" s="664"/>
      <c r="Z144" s="664"/>
      <c r="AA144" s="638"/>
    </row>
    <row r="145" spans="1:27" ht="22.8" outlineLevel="1" x14ac:dyDescent="0.25">
      <c r="A145" s="1542"/>
      <c r="B145" s="1542"/>
      <c r="C145" s="669" t="str">
        <f>INDEX('Master sheet'!$A$1:$A$670,MATCH("248-4",'Master sheet'!$AN$1:$AN$670,0))</f>
        <v xml:space="preserve">Wood - SPF / Canadian Wood Council / Quebec / </v>
      </c>
      <c r="D145" s="17">
        <f>'USER INPUT SHEET'!$D$52</f>
        <v>0</v>
      </c>
      <c r="E145" s="18" t="str">
        <f>'USER INPUT SHEET'!$F$52</f>
        <v>m2</v>
      </c>
      <c r="F145" s="4">
        <v>1</v>
      </c>
      <c r="G145" s="674"/>
      <c r="H145" s="9"/>
      <c r="I145" s="95">
        <f t="shared" si="51"/>
        <v>0</v>
      </c>
      <c r="J145" s="96" t="str">
        <f t="shared" si="52"/>
        <v/>
      </c>
      <c r="K145" s="407">
        <f>$F145*IF($E$119=16,$D145*0.25,$D145*0.22)*VLOOKUP($C145,'Master sheet'!$A:$AL,13,FALSE)*(2*0.0889)</f>
        <v>0</v>
      </c>
      <c r="L145" s="97">
        <f>$F145*IF($E$119=16,$D145*0.25,$D145*0.22)*VLOOKUP($C145,'Master sheet'!$A:$AL,27,FALSE)*(2*0.0889)</f>
        <v>0</v>
      </c>
      <c r="M145" s="1552"/>
      <c r="N145" s="1552"/>
      <c r="O145" s="25" t="str">
        <f>_xlfn.IFNA(VLOOKUP($C145,'Master sheet'!$A:$AR,44,FALSE),"")&amp;""</f>
        <v/>
      </c>
      <c r="P145" s="637"/>
      <c r="Q145" s="29" t="s">
        <v>1556</v>
      </c>
      <c r="R145" s="757" t="s">
        <v>1592</v>
      </c>
      <c r="S145" s="776" t="s">
        <v>7253</v>
      </c>
      <c r="T145" s="638"/>
      <c r="U145" s="664"/>
      <c r="V145" s="664"/>
      <c r="W145" s="664"/>
      <c r="X145" s="664"/>
      <c r="Y145" s="664"/>
      <c r="Z145" s="664"/>
      <c r="AA145" s="638"/>
    </row>
    <row r="146" spans="1:27" ht="22.8" outlineLevel="1" x14ac:dyDescent="0.25">
      <c r="A146" s="1542"/>
      <c r="B146" s="1542"/>
      <c r="C146" s="669" t="str">
        <f>INDEX('Master sheet'!$A$1:$A$670,MATCH("248-5",'Master sheet'!$AN$1:$AN$670,0))</f>
        <v xml:space="preserve">Wood - SPF / Canadian Wood Council / New Brunswick / </v>
      </c>
      <c r="D146" s="17">
        <f>'USER INPUT SHEET'!$D$52</f>
        <v>0</v>
      </c>
      <c r="E146" s="18" t="str">
        <f>'USER INPUT SHEET'!$F$52</f>
        <v>m2</v>
      </c>
      <c r="F146" s="4">
        <v>1</v>
      </c>
      <c r="G146" s="674"/>
      <c r="H146" s="9"/>
      <c r="I146" s="95">
        <f t="shared" si="51"/>
        <v>0</v>
      </c>
      <c r="J146" s="96" t="str">
        <f t="shared" si="52"/>
        <v/>
      </c>
      <c r="K146" s="407">
        <f>$F146*IF($E$119=16,$D146*0.25,$D146*0.22)*VLOOKUP($C146,'Master sheet'!$A:$AL,13,FALSE)*(2*0.0889)</f>
        <v>0</v>
      </c>
      <c r="L146" s="97">
        <f>$F146*IF($E$119=16,$D146*0.25,$D146*0.22)*VLOOKUP($C146,'Master sheet'!$A:$AL,27,FALSE)*(2*0.0889)</f>
        <v>0</v>
      </c>
      <c r="M146" s="1552"/>
      <c r="N146" s="1552"/>
      <c r="O146" s="25" t="str">
        <f>_xlfn.IFNA(VLOOKUP($C146,'Master sheet'!$A:$AR,44,FALSE),"")&amp;""</f>
        <v/>
      </c>
      <c r="P146" s="637"/>
      <c r="Q146" s="29" t="s">
        <v>1556</v>
      </c>
      <c r="R146" s="757" t="s">
        <v>1592</v>
      </c>
      <c r="S146" s="776" t="s">
        <v>7253</v>
      </c>
      <c r="T146" s="638"/>
      <c r="U146" s="664"/>
      <c r="V146" s="664"/>
      <c r="W146" s="664"/>
      <c r="X146" s="664"/>
      <c r="Y146" s="664"/>
      <c r="Z146" s="664"/>
      <c r="AA146" s="638"/>
    </row>
    <row r="147" spans="1:27" ht="22.8" outlineLevel="1" x14ac:dyDescent="0.25">
      <c r="A147" s="1542"/>
      <c r="B147" s="1542"/>
      <c r="C147" s="669" t="str">
        <f>INDEX('Master sheet'!$A$1:$A$670,MATCH("248-6",'Master sheet'!$AN$1:$AN$670,0))</f>
        <v xml:space="preserve">Wood - SPF / Canadian Wood Council / Atlantic Canada / </v>
      </c>
      <c r="D147" s="17">
        <f>'USER INPUT SHEET'!$D$52</f>
        <v>0</v>
      </c>
      <c r="E147" s="18" t="str">
        <f>'USER INPUT SHEET'!$F$52</f>
        <v>m2</v>
      </c>
      <c r="F147" s="4">
        <v>1</v>
      </c>
      <c r="G147" s="674"/>
      <c r="H147" s="9"/>
      <c r="I147" s="95">
        <f t="shared" si="51"/>
        <v>0</v>
      </c>
      <c r="J147" s="96" t="str">
        <f t="shared" si="52"/>
        <v/>
      </c>
      <c r="K147" s="407">
        <f>$F147*IF($E$119=16,$D147*0.25,$D147*0.22)*VLOOKUP($C147,'Master sheet'!$A:$AL,13,FALSE)*(2*0.0889)</f>
        <v>0</v>
      </c>
      <c r="L147" s="97">
        <f>$F147*IF($E$119=16,$D147*0.25,$D147*0.22)*VLOOKUP($C147,'Master sheet'!$A:$AL,27,FALSE)*(2*0.0889)</f>
        <v>0</v>
      </c>
      <c r="M147" s="1552"/>
      <c r="N147" s="1552"/>
      <c r="O147" s="25" t="str">
        <f>_xlfn.IFNA(VLOOKUP($C147,'Master sheet'!$A:$AR,44,FALSE),"")&amp;""</f>
        <v/>
      </c>
      <c r="P147" s="637"/>
      <c r="Q147" s="29" t="s">
        <v>1556</v>
      </c>
      <c r="R147" s="757" t="s">
        <v>1592</v>
      </c>
      <c r="S147" s="776" t="s">
        <v>7253</v>
      </c>
      <c r="T147" s="638"/>
      <c r="U147" s="664"/>
      <c r="V147" s="664"/>
      <c r="W147" s="664"/>
      <c r="X147" s="664"/>
      <c r="Y147" s="664"/>
      <c r="Z147" s="664"/>
      <c r="AA147" s="638"/>
    </row>
    <row r="148" spans="1:27" s="624" customFormat="1" ht="54.75" customHeight="1" outlineLevel="1" x14ac:dyDescent="0.25">
      <c r="A148" s="1522" t="s">
        <v>53</v>
      </c>
      <c r="B148" s="1523"/>
      <c r="C148" s="1523"/>
      <c r="D148" s="629" t="s">
        <v>38</v>
      </c>
      <c r="E148" s="1"/>
      <c r="F148" s="323" t="str">
        <f>IF(LOWER(Setting!rng_language)="english","in","po")</f>
        <v>in</v>
      </c>
      <c r="G148" s="650"/>
      <c r="H148" s="650"/>
      <c r="I148" s="651"/>
      <c r="J148" s="103" t="str">
        <f t="shared" ref="J148:J160" si="53">IF(H148=1,I148,"")</f>
        <v/>
      </c>
      <c r="K148" s="652"/>
      <c r="L148" s="759"/>
      <c r="M148" s="759"/>
      <c r="N148" s="759"/>
      <c r="O148" s="25" t="str">
        <f>_xlfn.IFNA(VLOOKUP($C148,'Master sheet'!$A:$AR,44,FALSE),"")&amp;""</f>
        <v/>
      </c>
      <c r="P148" s="655"/>
      <c r="Q148" s="29"/>
      <c r="R148" s="728"/>
      <c r="T148" s="638"/>
      <c r="U148" s="638"/>
      <c r="V148" s="638"/>
      <c r="W148" s="638"/>
      <c r="X148" s="638"/>
      <c r="Y148" s="638"/>
      <c r="Z148" s="638"/>
      <c r="AA148" s="638"/>
    </row>
    <row r="149" spans="1:27" s="624" customFormat="1" ht="23.25" customHeight="1" outlineLevel="1" x14ac:dyDescent="0.25">
      <c r="A149" s="639"/>
      <c r="B149" s="1524" t="s">
        <v>1044</v>
      </c>
      <c r="C149" s="1523"/>
      <c r="D149" s="773"/>
      <c r="E149" s="641"/>
      <c r="F149" s="340"/>
      <c r="G149" s="739"/>
      <c r="H149" s="740"/>
      <c r="I149" s="642"/>
      <c r="J149" s="643"/>
      <c r="K149" s="676"/>
      <c r="L149" s="677"/>
      <c r="M149" s="677"/>
      <c r="N149" s="677"/>
      <c r="O149" s="25" t="str">
        <f>_xlfn.IFNA(VLOOKUP($C149,'Master sheet'!$A:$AR,44,FALSE),"")&amp;""</f>
        <v/>
      </c>
      <c r="P149" s="663"/>
      <c r="Q149" s="29"/>
      <c r="R149" s="728"/>
      <c r="T149" s="638"/>
      <c r="U149" s="638"/>
      <c r="V149" s="638"/>
      <c r="W149" s="638"/>
      <c r="X149" s="638"/>
      <c r="Y149" s="638"/>
      <c r="Z149" s="638"/>
      <c r="AA149" s="638"/>
    </row>
    <row r="150" spans="1:27" ht="22.8" outlineLevel="1" x14ac:dyDescent="0.25">
      <c r="A150" s="1589" t="s">
        <v>787</v>
      </c>
      <c r="B150" s="1589"/>
      <c r="C150" s="691" t="s">
        <v>1359</v>
      </c>
      <c r="D150" s="19">
        <f>'USER INPUT SHEET'!$D$52</f>
        <v>0</v>
      </c>
      <c r="E150" s="20" t="str">
        <f>'USER INPUT SHEET'!$F$52</f>
        <v>m2</v>
      </c>
      <c r="F150" s="6">
        <v>1</v>
      </c>
      <c r="G150" s="692"/>
      <c r="H150" s="10"/>
      <c r="I150" s="98">
        <f t="shared" ref="I150:I153" si="54">K150-L150</f>
        <v>0</v>
      </c>
      <c r="J150" s="91" t="str">
        <f>IF(H150=1,I150,"")</f>
        <v/>
      </c>
      <c r="K150" s="410">
        <f>F150*AVERAGE(K151:K153)</f>
        <v>0</v>
      </c>
      <c r="L150" s="99">
        <f>F150*AVERAGE(L151:L153)</f>
        <v>0</v>
      </c>
      <c r="M150" s="1552"/>
      <c r="N150" s="1552"/>
      <c r="O150" s="25" t="str">
        <f>_xlfn.IFNA(VLOOKUP($C150,'Master sheet'!$A:$AR,44,FALSE),"")&amp;""</f>
        <v/>
      </c>
      <c r="P150" s="637"/>
      <c r="Q150" s="29" t="s">
        <v>1556</v>
      </c>
      <c r="R150" s="757" t="s">
        <v>1593</v>
      </c>
      <c r="S150" s="664"/>
      <c r="T150" s="664"/>
      <c r="U150" s="664"/>
      <c r="V150" s="664"/>
      <c r="W150" s="664"/>
      <c r="X150" s="664"/>
      <c r="Y150" s="664"/>
      <c r="Z150" s="664"/>
      <c r="AA150" s="638"/>
    </row>
    <row r="151" spans="1:27" ht="31.65" customHeight="1" outlineLevel="1" x14ac:dyDescent="0.25">
      <c r="A151" s="1589"/>
      <c r="B151" s="1589"/>
      <c r="C151" s="669" t="str">
        <f>INDEX('Master sheet'!$A$1:$A$670,MATCH(201,'Master sheet'!$AN$1:$AN$670,0))</f>
        <v>Steel studs - Load bearing / MarinoWARE / Structural stud and track / 600-S-137-54, 16 gauge, "2x6"</v>
      </c>
      <c r="D151" s="15">
        <f>'USER INPUT SHEET'!$D$52</f>
        <v>0</v>
      </c>
      <c r="E151" s="16" t="str">
        <f>'USER INPUT SHEET'!$F$52</f>
        <v>m2</v>
      </c>
      <c r="F151" s="3">
        <v>1</v>
      </c>
      <c r="G151" s="670"/>
      <c r="H151" s="8"/>
      <c r="I151" s="92">
        <f t="shared" si="54"/>
        <v>0</v>
      </c>
      <c r="J151" s="93" t="str">
        <f t="shared" si="53"/>
        <v/>
      </c>
      <c r="K151" s="406">
        <f>$D151*$F151*IF($E$148=16,3.79,2.97)*VLOOKUP($C151,'Master sheet'!$A:$AL,13,FALSE)</f>
        <v>0</v>
      </c>
      <c r="L151" s="94">
        <f>$D151*$F151*IF($E$148=16,3.79,2.97)*VLOOKUP($C151,'Master sheet'!$A:$AL,27,FALSE)</f>
        <v>0</v>
      </c>
      <c r="M151" s="1552"/>
      <c r="N151" s="1552"/>
      <c r="O151" s="25" t="str">
        <f ca="1">_xlfn.IFNA(VLOOKUP($C151,'Master sheet'!$A:$AR,44,FALSE),"")&amp;""</f>
        <v/>
      </c>
      <c r="P151" s="671"/>
      <c r="Q151" s="29" t="s">
        <v>1556</v>
      </c>
      <c r="R151" s="757" t="s">
        <v>1593</v>
      </c>
      <c r="T151" s="664"/>
      <c r="U151" s="664"/>
      <c r="V151" s="664"/>
      <c r="W151" s="664"/>
      <c r="X151" s="664"/>
      <c r="Y151" s="664"/>
      <c r="Z151" s="664"/>
      <c r="AA151" s="638"/>
    </row>
    <row r="152" spans="1:27" ht="23.25" customHeight="1" outlineLevel="1" x14ac:dyDescent="0.25">
      <c r="A152" s="1589"/>
      <c r="B152" s="1589"/>
      <c r="C152" s="669" t="str">
        <f>INDEX('Master sheet'!$A$1:$A$670,MATCH(203,'Master sheet'!$AN$1:$AN$670,0))</f>
        <v>Steel studs - Load bearing / Scafco /  / 600-S-137-54, 16 gauge</v>
      </c>
      <c r="D152" s="15">
        <f>'USER INPUT SHEET'!$D$52</f>
        <v>0</v>
      </c>
      <c r="E152" s="16" t="str">
        <f>'USER INPUT SHEET'!$F$52</f>
        <v>m2</v>
      </c>
      <c r="F152" s="3">
        <v>1</v>
      </c>
      <c r="G152" s="670"/>
      <c r="H152" s="8"/>
      <c r="I152" s="92">
        <f t="shared" si="54"/>
        <v>0</v>
      </c>
      <c r="J152" s="93" t="str">
        <f t="shared" si="53"/>
        <v/>
      </c>
      <c r="K152" s="406">
        <f>$D152*$F152*IF($E$148=16,3.79,2.97)*VLOOKUP($C152,'Master sheet'!$A:$AL,13,FALSE)</f>
        <v>0</v>
      </c>
      <c r="L152" s="94">
        <f>$D152*$F152*IF($E$148=16,3.79,2.97)*VLOOKUP($C152,'Master sheet'!$A:$AL,27,FALSE)</f>
        <v>0</v>
      </c>
      <c r="M152" s="1552"/>
      <c r="N152" s="1552"/>
      <c r="O152" s="25" t="str">
        <f ca="1">_xlfn.IFNA(VLOOKUP($C152,'Master sheet'!$A:$AR,44,FALSE),"")&amp;""</f>
        <v>Expired 2024</v>
      </c>
      <c r="P152" s="672"/>
      <c r="Q152" s="29" t="s">
        <v>1556</v>
      </c>
      <c r="R152" s="757" t="s">
        <v>1593</v>
      </c>
      <c r="T152" s="664"/>
      <c r="U152" s="664"/>
      <c r="V152" s="664"/>
      <c r="W152" s="664"/>
      <c r="X152" s="664"/>
      <c r="Y152" s="664"/>
      <c r="Z152" s="664"/>
      <c r="AA152" s="638"/>
    </row>
    <row r="153" spans="1:27" s="624" customFormat="1" ht="31.5" customHeight="1" outlineLevel="1" x14ac:dyDescent="0.25">
      <c r="A153" s="1589"/>
      <c r="B153" s="1589"/>
      <c r="C153" s="673" t="str">
        <f>INDEX('Master sheet'!$A$1:$A$670,MATCH(200,'Master sheet'!$AN$1:$AN$670,0))</f>
        <v>Steel studs - Load bearing  / ClarkDietrich /  / 600-S-137-54, 16 gauge</v>
      </c>
      <c r="D153" s="17">
        <f>'USER INPUT SHEET'!$D$52</f>
        <v>0</v>
      </c>
      <c r="E153" s="18" t="str">
        <f>'USER INPUT SHEET'!$F$52</f>
        <v>m2</v>
      </c>
      <c r="F153" s="4">
        <v>1</v>
      </c>
      <c r="G153" s="674"/>
      <c r="H153" s="9"/>
      <c r="I153" s="95">
        <f t="shared" si="54"/>
        <v>0</v>
      </c>
      <c r="J153" s="96" t="str">
        <f t="shared" si="53"/>
        <v/>
      </c>
      <c r="K153" s="407">
        <f>$D153*$F153*IF($E$148=16,3.79,2.97)*VLOOKUP($C153,'Master sheet'!$A:$AL,13,FALSE)</f>
        <v>0</v>
      </c>
      <c r="L153" s="97">
        <f>$D153*$F153*IF($E$148=16,3.79,2.97)*VLOOKUP($C153,'Master sheet'!$A:$AL,27,FALSE)</f>
        <v>0</v>
      </c>
      <c r="M153" s="1559"/>
      <c r="N153" s="1559"/>
      <c r="O153" s="25" t="str">
        <f ca="1">_xlfn.IFNA(VLOOKUP($C153,'Master sheet'!$A:$AR,44,FALSE),"")&amp;""</f>
        <v/>
      </c>
      <c r="P153" s="637"/>
      <c r="Q153" s="29" t="s">
        <v>1556</v>
      </c>
      <c r="R153" s="757" t="s">
        <v>1593</v>
      </c>
      <c r="T153" s="638"/>
      <c r="U153" s="638"/>
      <c r="V153" s="638"/>
      <c r="W153" s="638"/>
      <c r="X153" s="638"/>
      <c r="Y153" s="638"/>
      <c r="Z153" s="638"/>
      <c r="AA153" s="638"/>
    </row>
    <row r="154" spans="1:27" s="624" customFormat="1" ht="23.25" customHeight="1" outlineLevel="1" x14ac:dyDescent="0.25">
      <c r="A154" s="639"/>
      <c r="B154" s="1524" t="s">
        <v>1036</v>
      </c>
      <c r="C154" s="1523"/>
      <c r="D154" s="640"/>
      <c r="E154" s="641"/>
      <c r="F154" s="325"/>
      <c r="G154" s="678"/>
      <c r="H154" s="679"/>
      <c r="I154" s="642"/>
      <c r="J154" s="643"/>
      <c r="K154" s="676"/>
      <c r="L154" s="677"/>
      <c r="M154" s="677"/>
      <c r="N154" s="677"/>
      <c r="O154" s="25" t="str">
        <f>_xlfn.IFNA(VLOOKUP($C154,'Master sheet'!$A:$AR,44,FALSE),"")&amp;""</f>
        <v/>
      </c>
      <c r="P154" s="637"/>
      <c r="Q154" s="726"/>
      <c r="R154" s="726"/>
      <c r="S154" s="638"/>
      <c r="T154" s="638"/>
      <c r="U154" s="638"/>
      <c r="V154" s="638"/>
      <c r="W154" s="638"/>
      <c r="X154" s="638"/>
      <c r="Y154" s="638"/>
      <c r="Z154" s="638"/>
      <c r="AA154" s="638"/>
    </row>
    <row r="155" spans="1:27" ht="22.8" outlineLevel="1" x14ac:dyDescent="0.25">
      <c r="A155" s="729"/>
      <c r="B155" s="745"/>
      <c r="C155" s="832" t="s">
        <v>1070</v>
      </c>
      <c r="D155" s="19">
        <f>'USER INPUT SHEET'!$D$52</f>
        <v>0</v>
      </c>
      <c r="E155" s="20" t="str">
        <f>'USER INPUT SHEET'!$F$52</f>
        <v>m2</v>
      </c>
      <c r="F155" s="6">
        <v>1</v>
      </c>
      <c r="G155" s="692"/>
      <c r="H155" s="10"/>
      <c r="I155" s="98">
        <f t="shared" ref="I155:I157" si="55">K155-L155</f>
        <v>0</v>
      </c>
      <c r="J155" s="91" t="str">
        <f t="shared" ref="J155:J157" si="56">IF(H155=1,I155,"")</f>
        <v/>
      </c>
      <c r="K155" s="410">
        <f>F155*AVERAGE(K156:K157)</f>
        <v>0</v>
      </c>
      <c r="L155" s="99">
        <f>F155*AVERAGE(L156:L157)</f>
        <v>0</v>
      </c>
      <c r="M155" s="1552"/>
      <c r="N155" s="1552"/>
      <c r="O155" s="25" t="str">
        <f>_xlfn.IFNA(VLOOKUP($C155,'Master sheet'!$A:$AR,44,FALSE),"")&amp;""</f>
        <v/>
      </c>
      <c r="P155" s="655"/>
      <c r="Q155" s="29" t="s">
        <v>1556</v>
      </c>
      <c r="R155" s="757" t="s">
        <v>1593</v>
      </c>
      <c r="S155" s="664"/>
      <c r="T155" s="664"/>
      <c r="U155" s="664"/>
      <c r="V155" s="664"/>
      <c r="W155" s="664"/>
      <c r="X155" s="664"/>
      <c r="Y155" s="664"/>
      <c r="Z155" s="664"/>
      <c r="AA155" s="664"/>
    </row>
    <row r="156" spans="1:27" ht="31.5" customHeight="1" outlineLevel="1" x14ac:dyDescent="0.25">
      <c r="A156" s="1540" t="s">
        <v>790</v>
      </c>
      <c r="B156" s="1632"/>
      <c r="C156" s="669" t="str">
        <f>INDEX('Master sheet'!$A$1:$A$670,MATCH(206,'Master sheet'!$AN$1:$AN$670,0))</f>
        <v>Steel studs - Non-loadbearing / MarinoWARE / Viper Stud Viper 20 / 362-S-125-18, 20EQ gauge, "2x4"</v>
      </c>
      <c r="D156" s="15">
        <f>'USER INPUT SHEET'!$D$52</f>
        <v>0</v>
      </c>
      <c r="E156" s="16" t="str">
        <f>'USER INPUT SHEET'!$F$52</f>
        <v>m2</v>
      </c>
      <c r="F156" s="3">
        <v>1</v>
      </c>
      <c r="G156" s="670"/>
      <c r="H156" s="8"/>
      <c r="I156" s="92">
        <f t="shared" si="55"/>
        <v>0</v>
      </c>
      <c r="J156" s="93" t="str">
        <f t="shared" si="56"/>
        <v/>
      </c>
      <c r="K156" s="406">
        <f>$D156*$F156*IF($E$148=16,3.13,2.31)*VLOOKUP($C156,'Master sheet'!$A:$AL,13,FALSE)</f>
        <v>0</v>
      </c>
      <c r="L156" s="94">
        <f>$D156*$F156*IF($E$148=16,3.13,2.31)*VLOOKUP($C156,'Master sheet'!$A:$AL,27,FALSE)</f>
        <v>0</v>
      </c>
      <c r="M156" s="1552"/>
      <c r="N156" s="1552"/>
      <c r="O156" s="25" t="str">
        <f ca="1">_xlfn.IFNA(VLOOKUP($C156,'Master sheet'!$A:$AR,44,FALSE),"")&amp;""</f>
        <v/>
      </c>
      <c r="P156" s="663"/>
      <c r="Q156" s="29" t="s">
        <v>1556</v>
      </c>
      <c r="R156" s="757" t="s">
        <v>1593</v>
      </c>
      <c r="S156" s="664"/>
      <c r="T156" s="664"/>
      <c r="U156" s="664"/>
      <c r="V156" s="664"/>
      <c r="W156" s="664"/>
      <c r="X156" s="664"/>
      <c r="Y156" s="664"/>
      <c r="Z156" s="664"/>
    </row>
    <row r="157" spans="1:27" s="624" customFormat="1" ht="31.5" customHeight="1" outlineLevel="1" x14ac:dyDescent="0.25">
      <c r="A157" s="1633"/>
      <c r="B157" s="1632"/>
      <c r="C157" s="673" t="str">
        <f>INDEX('Master sheet'!$A$1:$A$670,MATCH(205,'Master sheet'!$AN$1:$AN$670,0))</f>
        <v>Steel studs - Non-loadbearing / ClarkDietrich /  / 362-S-125-18, 20EQ gauge, "2x4"</v>
      </c>
      <c r="D157" s="17">
        <f>'USER INPUT SHEET'!$D$52</f>
        <v>0</v>
      </c>
      <c r="E157" s="18" t="str">
        <f>'USER INPUT SHEET'!$F$52</f>
        <v>m2</v>
      </c>
      <c r="F157" s="4">
        <v>1</v>
      </c>
      <c r="G157" s="674"/>
      <c r="H157" s="9"/>
      <c r="I157" s="95">
        <f t="shared" si="55"/>
        <v>0</v>
      </c>
      <c r="J157" s="96" t="str">
        <f t="shared" si="56"/>
        <v/>
      </c>
      <c r="K157" s="407">
        <f>$D157*$F157*IF($E$148=16,3.13,2.31)*VLOOKUP($C157,'Master sheet'!$A:$AL,13,FALSE)</f>
        <v>0</v>
      </c>
      <c r="L157" s="97">
        <f>$D157*$F157*IF($E$148=16,3.13,2.31)*VLOOKUP($C157,'Master sheet'!$A:$AL,27,FALSE)</f>
        <v>0</v>
      </c>
      <c r="M157" s="1552"/>
      <c r="N157" s="1552"/>
      <c r="O157" s="25" t="str">
        <f ca="1">_xlfn.IFNA(VLOOKUP($C157,'Master sheet'!$A:$AR,44,FALSE),"")&amp;""</f>
        <v/>
      </c>
      <c r="P157" s="672"/>
      <c r="Q157" s="29" t="s">
        <v>1556</v>
      </c>
      <c r="R157" s="757" t="s">
        <v>1593</v>
      </c>
      <c r="S157" s="638"/>
      <c r="T157" s="638"/>
      <c r="U157" s="638"/>
      <c r="V157" s="638"/>
      <c r="W157" s="638"/>
      <c r="X157" s="638"/>
      <c r="Y157" s="638"/>
      <c r="Z157" s="638"/>
      <c r="AA157" s="619"/>
    </row>
    <row r="158" spans="1:27" s="624" customFormat="1" ht="54.75" customHeight="1" outlineLevel="1" x14ac:dyDescent="0.25">
      <c r="A158" s="1522" t="s">
        <v>55</v>
      </c>
      <c r="B158" s="1523"/>
      <c r="C158" s="1523"/>
      <c r="D158" s="649"/>
      <c r="E158" s="650"/>
      <c r="F158" s="321"/>
      <c r="G158" s="650"/>
      <c r="H158" s="650"/>
      <c r="I158" s="651"/>
      <c r="J158" s="103" t="str">
        <f t="shared" si="53"/>
        <v/>
      </c>
      <c r="K158" s="652"/>
      <c r="L158" s="759"/>
      <c r="M158" s="759"/>
      <c r="N158" s="759"/>
      <c r="O158" s="25" t="str">
        <f>_xlfn.IFNA(VLOOKUP($C158,'Master sheet'!$A:$AR,44,FALSE),"")&amp;""</f>
        <v/>
      </c>
      <c r="P158" s="637"/>
      <c r="Q158" s="29"/>
      <c r="R158" s="728"/>
      <c r="T158" s="638"/>
      <c r="U158" s="638"/>
      <c r="V158" s="638"/>
      <c r="W158" s="638"/>
      <c r="X158" s="638"/>
      <c r="Y158" s="638"/>
      <c r="Z158" s="638"/>
      <c r="AA158" s="619"/>
    </row>
    <row r="159" spans="1:27" s="624" customFormat="1" ht="23.25" customHeight="1" outlineLevel="1" x14ac:dyDescent="0.25">
      <c r="A159" s="639"/>
      <c r="B159" s="1524" t="s">
        <v>978</v>
      </c>
      <c r="C159" s="1523"/>
      <c r="D159" s="773"/>
      <c r="E159" s="778"/>
      <c r="F159" s="340"/>
      <c r="G159" s="739"/>
      <c r="H159" s="740"/>
      <c r="I159" s="779"/>
      <c r="J159" s="742"/>
      <c r="K159" s="741"/>
      <c r="L159" s="743"/>
      <c r="M159" s="743"/>
      <c r="N159" s="743"/>
      <c r="O159" s="25" t="str">
        <f>_xlfn.IFNA(VLOOKUP($C159,'Master sheet'!$A:$AR,44,FALSE),"")&amp;""</f>
        <v/>
      </c>
      <c r="P159" s="637"/>
      <c r="Q159" s="29"/>
      <c r="R159" s="728"/>
      <c r="T159" s="638"/>
      <c r="U159" s="638"/>
      <c r="V159" s="638"/>
      <c r="W159" s="638"/>
      <c r="X159" s="638"/>
      <c r="Y159" s="638"/>
      <c r="Z159" s="638"/>
      <c r="AA159" s="619"/>
    </row>
    <row r="160" spans="1:27" s="624" customFormat="1" ht="22.8" outlineLevel="1" x14ac:dyDescent="0.25">
      <c r="A160" s="1598"/>
      <c r="B160" s="1599"/>
      <c r="C160" s="647" t="str">
        <f>INDEX('Master sheet'!$A$1:$A$670,MATCH("154-1",'Master sheet'!$AN$1:$AN$670,0))</f>
        <v>OSB sheathing / Canadian Wood Council -Eastern /  / 1/2"</v>
      </c>
      <c r="D160" s="13">
        <f>'USER INPUT SHEET'!$D$52</f>
        <v>0</v>
      </c>
      <c r="E160" s="14" t="str">
        <f>'USER INPUT SHEET'!$F$52</f>
        <v>m2</v>
      </c>
      <c r="F160" s="2">
        <v>1</v>
      </c>
      <c r="G160" s="648"/>
      <c r="H160" s="7"/>
      <c r="I160" s="88">
        <f t="shared" ref="I160:I172" si="57">K160-L160-IF(N160,M160,0)</f>
        <v>0</v>
      </c>
      <c r="J160" s="89" t="str">
        <f t="shared" si="53"/>
        <v/>
      </c>
      <c r="K160" s="404">
        <f>$D160*$F160*VLOOKUP($C160,'Master sheet'!$A:$AL,13,FALSE)</f>
        <v>0</v>
      </c>
      <c r="L160" s="90">
        <f>$D160*$F160*VLOOKUP($C160,'Master sheet'!$A:$AL,27,FALSE)</f>
        <v>0</v>
      </c>
      <c r="M160" s="1552"/>
      <c r="N160" s="1552"/>
      <c r="O160" s="25" t="str">
        <f>_xlfn.IFNA(VLOOKUP($C160,'Master sheet'!$A:$AR,44,FALSE),"")&amp;""</f>
        <v/>
      </c>
      <c r="P160" s="637"/>
      <c r="Q160" s="29" t="s">
        <v>1556</v>
      </c>
      <c r="R160" s="728" t="s">
        <v>1594</v>
      </c>
      <c r="T160" s="638"/>
      <c r="U160" s="638"/>
      <c r="V160" s="638"/>
      <c r="W160" s="638"/>
      <c r="X160" s="638"/>
      <c r="Y160" s="638"/>
      <c r="Z160" s="638"/>
      <c r="AA160" s="619"/>
    </row>
    <row r="161" spans="1:27" s="624" customFormat="1" ht="22.8" outlineLevel="1" x14ac:dyDescent="0.25">
      <c r="A161" s="1598"/>
      <c r="B161" s="1599"/>
      <c r="C161" s="647" t="str">
        <f>INDEX('Master sheet'!$A$1:$A$670,MATCH("154-2",'Master sheet'!$AN$1:$AN$670,0))</f>
        <v>OSB sheathing / Canadian Wood Council -Western /  / 1/2"</v>
      </c>
      <c r="D161" s="13">
        <f>'USER INPUT SHEET'!$D$52</f>
        <v>0</v>
      </c>
      <c r="E161" s="14" t="str">
        <f>'USER INPUT SHEET'!$F$52</f>
        <v>m2</v>
      </c>
      <c r="F161" s="2">
        <v>1</v>
      </c>
      <c r="G161" s="648"/>
      <c r="H161" s="7"/>
      <c r="I161" s="88">
        <f t="shared" ref="I161" si="58">K161-L161-IF(N161,M161,0)</f>
        <v>0</v>
      </c>
      <c r="J161" s="89" t="str">
        <f t="shared" ref="J161" si="59">IF(H161=1,I161,"")</f>
        <v/>
      </c>
      <c r="K161" s="404">
        <f>$D161*$F161*VLOOKUP($C161,'Master sheet'!$A:$AL,13,FALSE)</f>
        <v>0</v>
      </c>
      <c r="L161" s="90">
        <f>$D161*$F161*VLOOKUP($C161,'Master sheet'!$A:$AL,27,FALSE)</f>
        <v>0</v>
      </c>
      <c r="M161" s="1552"/>
      <c r="N161" s="1552"/>
      <c r="O161" s="25" t="str">
        <f>_xlfn.IFNA(VLOOKUP($C161,'Master sheet'!$A:$AR,44,FALSE),"")&amp;""</f>
        <v/>
      </c>
      <c r="P161" s="637"/>
      <c r="Q161" s="29" t="s">
        <v>1556</v>
      </c>
      <c r="R161" s="728" t="s">
        <v>1594</v>
      </c>
      <c r="T161" s="638"/>
      <c r="U161" s="638"/>
      <c r="V161" s="638"/>
      <c r="W161" s="638"/>
      <c r="X161" s="638"/>
      <c r="Y161" s="638"/>
      <c r="Z161" s="638"/>
      <c r="AA161" s="619"/>
    </row>
    <row r="162" spans="1:27" ht="22.8" outlineLevel="1" x14ac:dyDescent="0.25">
      <c r="A162" s="1598"/>
      <c r="B162" s="1599"/>
      <c r="C162" s="669" t="str">
        <f>INDEX('Master sheet'!$A$1:$A$670,MATCH("155-1",'Master sheet'!$AN$1:$AN$670,0))</f>
        <v>OSB sheathing / Canadian Wood Council -Eastern /  / 5/8"</v>
      </c>
      <c r="D162" s="15">
        <f>'USER INPUT SHEET'!$D$52</f>
        <v>0</v>
      </c>
      <c r="E162" s="16" t="str">
        <f>'USER INPUT SHEET'!$F$52</f>
        <v>m2</v>
      </c>
      <c r="F162" s="3">
        <v>1</v>
      </c>
      <c r="G162" s="670"/>
      <c r="H162" s="8"/>
      <c r="I162" s="92">
        <f t="shared" si="57"/>
        <v>0</v>
      </c>
      <c r="J162" s="93" t="str">
        <f t="shared" ref="J162:J167" si="60">IF(H162=1,I162,"")</f>
        <v/>
      </c>
      <c r="K162" s="406">
        <f>$D162*$F162*VLOOKUP($C162,'Master sheet'!$A:$AL,13,FALSE)</f>
        <v>0</v>
      </c>
      <c r="L162" s="94">
        <f>$D162*$F162*VLOOKUP($C162,'Master sheet'!$A:$AL,27,FALSE)</f>
        <v>0</v>
      </c>
      <c r="M162" s="1552"/>
      <c r="N162" s="1552"/>
      <c r="O162" s="25" t="str">
        <f>_xlfn.IFNA(VLOOKUP($C162,'Master sheet'!$A:$AR,44,FALSE),"")&amp;""</f>
        <v/>
      </c>
      <c r="P162" s="685"/>
      <c r="Q162" s="29" t="s">
        <v>1556</v>
      </c>
      <c r="R162" s="728" t="s">
        <v>1594</v>
      </c>
      <c r="T162" s="664"/>
      <c r="U162" s="664"/>
      <c r="V162" s="664"/>
      <c r="W162" s="664"/>
      <c r="X162" s="664"/>
      <c r="Y162" s="664"/>
      <c r="Z162" s="664"/>
    </row>
    <row r="163" spans="1:27" ht="22.8" outlineLevel="1" x14ac:dyDescent="0.25">
      <c r="A163" s="1598"/>
      <c r="B163" s="1599"/>
      <c r="C163" s="669" t="str">
        <f>INDEX('Master sheet'!$A$1:$A$670,MATCH("155-2",'Master sheet'!$AN$1:$AN$670,0))</f>
        <v>OSB sheathing / Canadian Wood Council -Western /  / 5/8"</v>
      </c>
      <c r="D163" s="15">
        <f>'USER INPUT SHEET'!$D$52</f>
        <v>0</v>
      </c>
      <c r="E163" s="16" t="str">
        <f>'USER INPUT SHEET'!$F$52</f>
        <v>m2</v>
      </c>
      <c r="F163" s="3">
        <v>1</v>
      </c>
      <c r="G163" s="670"/>
      <c r="H163" s="8"/>
      <c r="I163" s="92">
        <f t="shared" ref="I163" si="61">K163-L163-IF(N163,M163,0)</f>
        <v>0</v>
      </c>
      <c r="J163" s="93" t="str">
        <f t="shared" si="60"/>
        <v/>
      </c>
      <c r="K163" s="406">
        <f>$D163*$F163*VLOOKUP($C163,'Master sheet'!$A:$AL,13,FALSE)</f>
        <v>0</v>
      </c>
      <c r="L163" s="94">
        <f>$D163*$F163*VLOOKUP($C163,'Master sheet'!$A:$AL,27,FALSE)</f>
        <v>0</v>
      </c>
      <c r="M163" s="1552"/>
      <c r="N163" s="1552"/>
      <c r="O163" s="25" t="str">
        <f>_xlfn.IFNA(VLOOKUP($C163,'Master sheet'!$A:$AR,44,FALSE),"")&amp;""</f>
        <v/>
      </c>
      <c r="P163" s="685"/>
      <c r="Q163" s="29" t="s">
        <v>1556</v>
      </c>
      <c r="R163" s="728" t="s">
        <v>1594</v>
      </c>
      <c r="T163" s="664"/>
      <c r="U163" s="664"/>
      <c r="V163" s="664"/>
      <c r="W163" s="664"/>
      <c r="X163" s="664"/>
      <c r="Y163" s="664"/>
      <c r="Z163" s="664"/>
    </row>
    <row r="164" spans="1:27" ht="42.75" customHeight="1" outlineLevel="1" x14ac:dyDescent="0.25">
      <c r="A164" s="1598"/>
      <c r="B164" s="1599"/>
      <c r="C164" s="669" t="str">
        <f>INDEX('Master sheet'!$A$1:$A$670,MATCH(157,'Master sheet'!$AN$1:$AN$670,0))</f>
        <v xml:space="preserve">OSB sheathing &amp; barrier / Huber  / ZIP System - Wall and Roof Sheathing / 7/16" </v>
      </c>
      <c r="D164" s="15">
        <f>'USER INPUT SHEET'!$D$52</f>
        <v>0</v>
      </c>
      <c r="E164" s="16" t="str">
        <f>'USER INPUT SHEET'!$F$52</f>
        <v>m2</v>
      </c>
      <c r="F164" s="3">
        <v>1</v>
      </c>
      <c r="G164" s="670"/>
      <c r="H164" s="8"/>
      <c r="I164" s="92">
        <f t="shared" si="57"/>
        <v>0</v>
      </c>
      <c r="J164" s="93" t="str">
        <f t="shared" si="60"/>
        <v/>
      </c>
      <c r="K164" s="406">
        <f>$D164*$F164*VLOOKUP($C164,'Master sheet'!$A:$AL,13,FALSE)</f>
        <v>0</v>
      </c>
      <c r="L164" s="94">
        <f>$D164*$F164*VLOOKUP($C164,'Master sheet'!$A:$AL,27,FALSE)</f>
        <v>0</v>
      </c>
      <c r="M164" s="1552"/>
      <c r="N164" s="1552"/>
      <c r="O164" s="25" t="str">
        <f ca="1">_xlfn.IFNA(VLOOKUP($C164,'Master sheet'!$A:$AR,44,FALSE),"")&amp;""</f>
        <v>Expired 2025</v>
      </c>
      <c r="P164" s="685"/>
      <c r="Q164" s="29" t="s">
        <v>1556</v>
      </c>
      <c r="R164" s="728" t="s">
        <v>1594</v>
      </c>
      <c r="T164" s="664"/>
      <c r="U164" s="664"/>
      <c r="V164" s="664"/>
      <c r="W164" s="664"/>
      <c r="X164" s="664"/>
      <c r="Y164" s="664"/>
      <c r="Z164" s="664"/>
    </row>
    <row r="165" spans="1:27" ht="22.8" outlineLevel="1" x14ac:dyDescent="0.25">
      <c r="A165" s="1598"/>
      <c r="B165" s="1599"/>
      <c r="C165" s="673" t="str">
        <f>INDEX('Master sheet'!$A$1:$A$670,MATCH(156,'Master sheet'!$AN$1:$AN$670,0))</f>
        <v>OSB sheathing / Huber  / AdvanTech / 1/2" Sheathing</v>
      </c>
      <c r="D165" s="17">
        <f>'USER INPUT SHEET'!$D$52</f>
        <v>0</v>
      </c>
      <c r="E165" s="18" t="str">
        <f>'USER INPUT SHEET'!$F$52</f>
        <v>m2</v>
      </c>
      <c r="F165" s="4">
        <v>1</v>
      </c>
      <c r="G165" s="674"/>
      <c r="H165" s="9"/>
      <c r="I165" s="95">
        <f t="shared" si="57"/>
        <v>0</v>
      </c>
      <c r="J165" s="96" t="str">
        <f t="shared" si="60"/>
        <v/>
      </c>
      <c r="K165" s="407">
        <f>$D165*$F165*VLOOKUP($C165,'Master sheet'!$A:$AL,13,FALSE)</f>
        <v>0</v>
      </c>
      <c r="L165" s="97">
        <f>$D165*$F165*VLOOKUP($C165,'Master sheet'!$A:$AL,27,FALSE)</f>
        <v>0</v>
      </c>
      <c r="M165" s="1552"/>
      <c r="N165" s="1552"/>
      <c r="O165" s="25" t="str">
        <f ca="1">_xlfn.IFNA(VLOOKUP($C165,'Master sheet'!$A:$AR,44,FALSE),"")&amp;""</f>
        <v>Expired 2025</v>
      </c>
      <c r="P165" s="685"/>
      <c r="Q165" s="29" t="s">
        <v>1556</v>
      </c>
      <c r="R165" s="728" t="s">
        <v>1594</v>
      </c>
      <c r="S165" s="624"/>
      <c r="T165" s="638"/>
      <c r="U165" s="638"/>
      <c r="V165" s="638"/>
      <c r="W165" s="638"/>
      <c r="X165" s="638"/>
      <c r="Y165" s="638"/>
      <c r="Z165" s="638"/>
    </row>
    <row r="166" spans="1:27" ht="31.2" outlineLevel="1" x14ac:dyDescent="0.25">
      <c r="A166" s="1598"/>
      <c r="B166" s="1599"/>
      <c r="C166" s="673" t="str">
        <f>INDEX('Master sheet'!$A$1:$A$670,MATCH("A78",'Master sheet'!$AN$1:$AN$670,0))</f>
        <v>OSB sheathing / LP / FlameBlock® Fire-Rated / 7/16", coated 1 side</v>
      </c>
      <c r="D166" s="17">
        <f>'USER INPUT SHEET'!$D$52</f>
        <v>0</v>
      </c>
      <c r="E166" s="18" t="str">
        <f>'USER INPUT SHEET'!$F$52</f>
        <v>m2</v>
      </c>
      <c r="F166" s="4">
        <v>1</v>
      </c>
      <c r="G166" s="674"/>
      <c r="H166" s="9"/>
      <c r="I166" s="95">
        <f t="shared" si="57"/>
        <v>0</v>
      </c>
      <c r="J166" s="96" t="str">
        <f t="shared" si="60"/>
        <v/>
      </c>
      <c r="K166" s="407">
        <f>$D166*$F166*VLOOKUP($C166,'Master sheet'!$A:$AL,13,FALSE)</f>
        <v>0</v>
      </c>
      <c r="L166" s="97">
        <f>$D166*$F166*VLOOKUP($C166,'Master sheet'!$A:$AL,27,FALSE)</f>
        <v>0</v>
      </c>
      <c r="M166" s="1552"/>
      <c r="N166" s="1552"/>
      <c r="O166" s="25" t="str">
        <f>_xlfn.IFNA(VLOOKUP($C166,'Master sheet'!$A:$AR,44,FALSE),"")&amp;""</f>
        <v/>
      </c>
      <c r="P166" s="685"/>
      <c r="Q166" s="29" t="s">
        <v>1556</v>
      </c>
      <c r="R166" s="728" t="s">
        <v>1594</v>
      </c>
      <c r="S166" s="624"/>
      <c r="T166" s="638"/>
      <c r="U166" s="638"/>
      <c r="V166" s="638"/>
      <c r="W166" s="638"/>
      <c r="X166" s="638"/>
      <c r="Y166" s="638"/>
      <c r="Z166" s="638"/>
    </row>
    <row r="167" spans="1:27" s="624" customFormat="1" ht="22.8" outlineLevel="1" x14ac:dyDescent="0.25">
      <c r="A167" s="1598"/>
      <c r="B167" s="1599"/>
      <c r="C167" s="673" t="str">
        <f>INDEX('Master sheet'!$A$1:$A$670,MATCH("A79",'Master sheet'!$AN$1:$AN$670,0))</f>
        <v>OSB sheathing / LP / LP® TopNotch® 350 / 7/16"</v>
      </c>
      <c r="D167" s="17">
        <f>'USER INPUT SHEET'!$D$52</f>
        <v>0</v>
      </c>
      <c r="E167" s="18" t="str">
        <f>'USER INPUT SHEET'!$F$52</f>
        <v>m2</v>
      </c>
      <c r="F167" s="4">
        <v>1</v>
      </c>
      <c r="G167" s="674"/>
      <c r="H167" s="9"/>
      <c r="I167" s="95">
        <f t="shared" si="57"/>
        <v>0</v>
      </c>
      <c r="J167" s="96" t="str">
        <f t="shared" si="60"/>
        <v/>
      </c>
      <c r="K167" s="407">
        <f>$D167*$F167*VLOOKUP($C167,'Master sheet'!$A:$AL,13,FALSE)</f>
        <v>0</v>
      </c>
      <c r="L167" s="97">
        <f>$D167*$F167*VLOOKUP($C167,'Master sheet'!$A:$AL,27,FALSE)</f>
        <v>0</v>
      </c>
      <c r="M167" s="1559"/>
      <c r="N167" s="1559"/>
      <c r="O167" s="25" t="str">
        <f>_xlfn.IFNA(VLOOKUP($C167,'Master sheet'!$A:$AR,44,FALSE),"")&amp;""</f>
        <v/>
      </c>
      <c r="P167" s="685"/>
      <c r="Q167" s="29" t="s">
        <v>1556</v>
      </c>
      <c r="R167" s="728" t="s">
        <v>1594</v>
      </c>
      <c r="T167" s="638"/>
      <c r="U167" s="638"/>
      <c r="V167" s="638"/>
      <c r="W167" s="638"/>
      <c r="X167" s="638"/>
      <c r="Y167" s="638"/>
      <c r="Z167" s="638"/>
    </row>
    <row r="168" spans="1:27" s="624" customFormat="1" ht="23.25" customHeight="1" outlineLevel="1" x14ac:dyDescent="0.25">
      <c r="A168" s="639"/>
      <c r="B168" s="1524" t="s">
        <v>4778</v>
      </c>
      <c r="C168" s="1523"/>
      <c r="D168" s="773"/>
      <c r="E168" s="778"/>
      <c r="F168" s="340"/>
      <c r="G168" s="739"/>
      <c r="H168" s="740"/>
      <c r="I168" s="779"/>
      <c r="J168" s="742"/>
      <c r="K168" s="741"/>
      <c r="L168" s="743"/>
      <c r="M168" s="743"/>
      <c r="N168" s="743"/>
      <c r="O168" s="25" t="str">
        <f>_xlfn.IFNA(VLOOKUP($C168,'Master sheet'!$A:$AR,44,FALSE),"")&amp;""</f>
        <v/>
      </c>
      <c r="P168" s="637"/>
      <c r="Q168" s="29"/>
      <c r="R168" s="728"/>
      <c r="T168" s="638"/>
      <c r="U168" s="638"/>
      <c r="V168" s="638"/>
      <c r="W168" s="638"/>
      <c r="X168" s="638"/>
      <c r="Y168" s="638"/>
      <c r="Z168" s="638"/>
    </row>
    <row r="169" spans="1:27" s="624" customFormat="1" ht="31.2" outlineLevel="1" x14ac:dyDescent="0.25">
      <c r="A169" s="1598"/>
      <c r="B169" s="1598"/>
      <c r="C169" s="647" t="str">
        <f>INDEX('Master sheet'!$A$1:$A$670,MATCH("A81",'Master sheet'!$AN$1:$AN$670,0))</f>
        <v>OSB sheathing &amp; barrier / Huber  / ZIP System - Wall and Roof Sheathing / 1/2"</v>
      </c>
      <c r="D169" s="13">
        <f>'USER INPUT SHEET'!$D$52</f>
        <v>0</v>
      </c>
      <c r="E169" s="14" t="str">
        <f>'USER INPUT SHEET'!$F$52</f>
        <v>m2</v>
      </c>
      <c r="F169" s="2">
        <v>1</v>
      </c>
      <c r="G169" s="648"/>
      <c r="H169" s="7"/>
      <c r="I169" s="88">
        <f t="shared" si="57"/>
        <v>0</v>
      </c>
      <c r="J169" s="89" t="str">
        <f t="shared" ref="J169" si="62">IF(H169=1,I169,"")</f>
        <v/>
      </c>
      <c r="K169" s="404">
        <f>$D169*$F169*VLOOKUP($C169,'Master sheet'!$A:$AL,13,FALSE)</f>
        <v>0</v>
      </c>
      <c r="L169" s="90">
        <f>$D169*$F169*VLOOKUP($C169,'Master sheet'!$A:$AL,27,FALSE)</f>
        <v>0</v>
      </c>
      <c r="M169" s="1552"/>
      <c r="N169" s="1552"/>
      <c r="O169" s="25" t="str">
        <f>_xlfn.IFNA(VLOOKUP($C169,'Master sheet'!$A:$AR,44,FALSE),"")&amp;""</f>
        <v/>
      </c>
      <c r="P169" s="637"/>
      <c r="Q169" s="29" t="s">
        <v>1556</v>
      </c>
      <c r="R169" s="728" t="s">
        <v>1594</v>
      </c>
      <c r="T169" s="638"/>
      <c r="U169" s="638"/>
      <c r="V169" s="638"/>
      <c r="W169" s="638"/>
      <c r="X169" s="638"/>
      <c r="Y169" s="638"/>
      <c r="Z169" s="638"/>
    </row>
    <row r="170" spans="1:27" s="624" customFormat="1" ht="31.2" outlineLevel="1" x14ac:dyDescent="0.25">
      <c r="A170" s="1598"/>
      <c r="B170" s="1598"/>
      <c r="C170" s="669" t="str">
        <f>INDEX('Master sheet'!$A$1:$A$670,MATCH("A80",'Master sheet'!$AN$1:$AN$670,0))</f>
        <v>OSB sheathing &amp; barrier / Huber  / ZIP System - Wall and Roof Sheathing / 5/8"</v>
      </c>
      <c r="D170" s="15">
        <f>'USER INPUT SHEET'!$D$52</f>
        <v>0</v>
      </c>
      <c r="E170" s="16" t="str">
        <f>'USER INPUT SHEET'!$F$52</f>
        <v>m2</v>
      </c>
      <c r="F170" s="3">
        <v>1</v>
      </c>
      <c r="G170" s="670"/>
      <c r="H170" s="8"/>
      <c r="I170" s="92">
        <f t="shared" si="57"/>
        <v>0</v>
      </c>
      <c r="J170" s="93" t="str">
        <f>IF(H170=1,I170,"")</f>
        <v/>
      </c>
      <c r="K170" s="406">
        <f>$D170*$F170*VLOOKUP($C170,'Master sheet'!$A:$AL,13,FALSE)</f>
        <v>0</v>
      </c>
      <c r="L170" s="94">
        <f>$D170*$F170*VLOOKUP($C170,'Master sheet'!$A:$AL,27,FALSE)</f>
        <v>0</v>
      </c>
      <c r="M170" s="1552"/>
      <c r="N170" s="1552"/>
      <c r="O170" s="25" t="str">
        <f>_xlfn.IFNA(VLOOKUP($C170,'Master sheet'!$A:$AR,44,FALSE),"")&amp;""</f>
        <v/>
      </c>
      <c r="P170" s="685"/>
      <c r="Q170" s="29" t="s">
        <v>1556</v>
      </c>
      <c r="R170" s="728" t="s">
        <v>1594</v>
      </c>
      <c r="S170" s="619"/>
      <c r="T170" s="664"/>
      <c r="U170" s="664"/>
      <c r="V170" s="664"/>
      <c r="W170" s="638"/>
      <c r="X170" s="638"/>
      <c r="Y170" s="638"/>
      <c r="Z170" s="638"/>
    </row>
    <row r="171" spans="1:27" s="624" customFormat="1" ht="31.2" outlineLevel="1" x14ac:dyDescent="0.25">
      <c r="A171" s="1598"/>
      <c r="B171" s="1598"/>
      <c r="C171" s="669" t="str">
        <f>INDEX('Master sheet'!$A$1:$A$670,MATCH("A82",'Master sheet'!$AN$1:$AN$670,0))</f>
        <v>OSB sheathing &amp; barrier / LP / WeatherLogic® Air &amp; Water Barrier / 1/2"</v>
      </c>
      <c r="D171" s="15">
        <f>'USER INPUT SHEET'!$D$52</f>
        <v>0</v>
      </c>
      <c r="E171" s="16" t="str">
        <f>'USER INPUT SHEET'!$F$52</f>
        <v>m2</v>
      </c>
      <c r="F171" s="3">
        <v>1</v>
      </c>
      <c r="G171" s="670"/>
      <c r="H171" s="8"/>
      <c r="I171" s="92">
        <f t="shared" si="57"/>
        <v>0</v>
      </c>
      <c r="J171" s="93" t="str">
        <f>IF(H171=1,I171,"")</f>
        <v/>
      </c>
      <c r="K171" s="406">
        <f>$D171*$F171*VLOOKUP($C171,'Master sheet'!$A:$AL,13,FALSE)</f>
        <v>0</v>
      </c>
      <c r="L171" s="94">
        <f>$D171*$F171*VLOOKUP($C171,'Master sheet'!$A:$AL,27,FALSE)</f>
        <v>0</v>
      </c>
      <c r="M171" s="1552"/>
      <c r="N171" s="1552"/>
      <c r="O171" s="25" t="str">
        <f>_xlfn.IFNA(VLOOKUP($C171,'Master sheet'!$A:$AR,44,FALSE),"")&amp;""</f>
        <v/>
      </c>
      <c r="P171" s="685"/>
      <c r="Q171" s="29" t="s">
        <v>1556</v>
      </c>
      <c r="R171" s="728" t="s">
        <v>1594</v>
      </c>
      <c r="S171" s="619"/>
      <c r="T171" s="664"/>
      <c r="U171" s="664"/>
      <c r="V171" s="664"/>
      <c r="W171" s="638"/>
      <c r="X171" s="638"/>
      <c r="Y171" s="638"/>
      <c r="Z171" s="638"/>
    </row>
    <row r="172" spans="1:27" s="624" customFormat="1" ht="31.2" outlineLevel="1" x14ac:dyDescent="0.25">
      <c r="A172" s="1598"/>
      <c r="B172" s="1598"/>
      <c r="C172" s="673" t="str">
        <f>INDEX('Master sheet'!$A$1:$A$670,MATCH("A83",'Master sheet'!$AN$1:$AN$670,0))</f>
        <v>OSB sheathing &amp; barrier / LP / WeatherLogic® Air &amp; Water Barrier / 7/16"</v>
      </c>
      <c r="D172" s="17">
        <f>'USER INPUT SHEET'!$D$52</f>
        <v>0</v>
      </c>
      <c r="E172" s="18" t="str">
        <f>'USER INPUT SHEET'!$F$52</f>
        <v>m2</v>
      </c>
      <c r="F172" s="4">
        <v>1</v>
      </c>
      <c r="G172" s="674"/>
      <c r="H172" s="9"/>
      <c r="I172" s="95">
        <f t="shared" si="57"/>
        <v>0</v>
      </c>
      <c r="J172" s="96" t="str">
        <f>IF(H172=1,I172,"")</f>
        <v/>
      </c>
      <c r="K172" s="407">
        <f>$D172*$F172*VLOOKUP($C172,'Master sheet'!$A:$AL,13,FALSE)</f>
        <v>0</v>
      </c>
      <c r="L172" s="97">
        <f>$D172*$F172*VLOOKUP($C172,'Master sheet'!$A:$AL,27,FALSE)</f>
        <v>0</v>
      </c>
      <c r="M172" s="1559"/>
      <c r="N172" s="1559"/>
      <c r="O172" s="25" t="str">
        <f>_xlfn.IFNA(VLOOKUP($C172,'Master sheet'!$A:$AR,44,FALSE),"")&amp;""</f>
        <v/>
      </c>
      <c r="P172" s="685"/>
      <c r="Q172" s="29" t="s">
        <v>1556</v>
      </c>
      <c r="R172" s="728" t="s">
        <v>1594</v>
      </c>
      <c r="T172" s="638"/>
      <c r="U172" s="638"/>
      <c r="V172" s="638"/>
      <c r="W172" s="638"/>
      <c r="X172" s="638"/>
      <c r="Y172" s="638"/>
      <c r="Z172" s="638"/>
    </row>
    <row r="173" spans="1:27" s="624" customFormat="1" ht="23.25" customHeight="1" outlineLevel="1" x14ac:dyDescent="0.25">
      <c r="A173" s="639"/>
      <c r="B173" s="1524" t="s">
        <v>979</v>
      </c>
      <c r="C173" s="1523"/>
      <c r="D173" s="773"/>
      <c r="E173" s="778"/>
      <c r="F173" s="340"/>
      <c r="G173" s="739"/>
      <c r="H173" s="740"/>
      <c r="I173" s="779"/>
      <c r="J173" s="742"/>
      <c r="K173" s="741"/>
      <c r="L173" s="743"/>
      <c r="M173" s="743"/>
      <c r="N173" s="743"/>
      <c r="O173" s="25" t="str">
        <f>_xlfn.IFNA(VLOOKUP($C173,'Master sheet'!$A:$AR,44,FALSE),"")&amp;""</f>
        <v/>
      </c>
      <c r="P173" s="685"/>
      <c r="Q173" s="29"/>
      <c r="R173" s="728"/>
      <c r="T173" s="638"/>
      <c r="U173" s="638"/>
      <c r="V173" s="638"/>
      <c r="W173" s="638"/>
      <c r="X173" s="638"/>
      <c r="Y173" s="638"/>
      <c r="Z173" s="638"/>
    </row>
    <row r="174" spans="1:27" ht="22.8" outlineLevel="1" x14ac:dyDescent="0.25">
      <c r="A174" s="1597"/>
      <c r="B174" s="1597"/>
      <c r="C174" s="669" t="str">
        <f>INDEX('Master sheet'!$A$1:$A$670,MATCH("159-1",'Master sheet'!$AN$1:$AN$670,0))</f>
        <v>Plywood / Canadian Wood Council /  / 1/2"</v>
      </c>
      <c r="D174" s="15">
        <f>'USER INPUT SHEET'!$D$52</f>
        <v>0</v>
      </c>
      <c r="E174" s="16" t="str">
        <f>'USER INPUT SHEET'!$F$52</f>
        <v>m2</v>
      </c>
      <c r="F174" s="3">
        <v>1</v>
      </c>
      <c r="G174" s="670"/>
      <c r="H174" s="8"/>
      <c r="I174" s="92">
        <f t="shared" ref="I174:I182" si="63">K174-L174-IF(N174,M174,0)</f>
        <v>0</v>
      </c>
      <c r="J174" s="93" t="str">
        <f t="shared" ref="J174:J189" si="64">IF(H174=1,I174,"")</f>
        <v/>
      </c>
      <c r="K174" s="406">
        <f>$D174*$F174*VLOOKUP($C174,'Master sheet'!$A:$AL,13,FALSE)</f>
        <v>0</v>
      </c>
      <c r="L174" s="94">
        <f>$D174*$F174*VLOOKUP($C174,'Master sheet'!$A:$AL,27,FALSE)</f>
        <v>0</v>
      </c>
      <c r="M174" s="1562"/>
      <c r="N174" s="1562"/>
      <c r="O174" s="25" t="str">
        <f>_xlfn.IFNA(VLOOKUP($C174,'Master sheet'!$A:$AR,44,FALSE),"")&amp;""</f>
        <v/>
      </c>
      <c r="P174" s="637"/>
      <c r="Q174" s="29" t="s">
        <v>1556</v>
      </c>
      <c r="R174" s="728" t="s">
        <v>1594</v>
      </c>
      <c r="T174" s="664"/>
      <c r="U174" s="664"/>
      <c r="V174" s="664"/>
      <c r="W174" s="664"/>
      <c r="X174" s="664"/>
      <c r="Y174" s="664"/>
      <c r="Z174" s="664"/>
    </row>
    <row r="175" spans="1:27" ht="22.8" outlineLevel="1" x14ac:dyDescent="0.25">
      <c r="A175" s="1597"/>
      <c r="B175" s="1597"/>
      <c r="C175" s="669" t="str">
        <f>INDEX('Master sheet'!$A$1:$A$670,MATCH(160,'Master sheet'!$AN$1:$AN$670,0))</f>
        <v>Plywood / Canadian Wood Council /  / 5/8"</v>
      </c>
      <c r="D175" s="15">
        <f>'USER INPUT SHEET'!$D$52</f>
        <v>0</v>
      </c>
      <c r="E175" s="16" t="str">
        <f>'USER INPUT SHEET'!$F$52</f>
        <v>m2</v>
      </c>
      <c r="F175" s="3">
        <v>1</v>
      </c>
      <c r="G175" s="670"/>
      <c r="H175" s="8"/>
      <c r="I175" s="92">
        <f t="shared" si="63"/>
        <v>0</v>
      </c>
      <c r="J175" s="93" t="str">
        <f t="shared" ref="J175:J182" si="65">IF(H175=1,I175,"")</f>
        <v/>
      </c>
      <c r="K175" s="406">
        <f>$D175*$F175*VLOOKUP($C175,'Master sheet'!$A:$AL,13,FALSE)</f>
        <v>0</v>
      </c>
      <c r="L175" s="94">
        <f>$D175*$F175*VLOOKUP($C175,'Master sheet'!$A:$AL,27,FALSE)</f>
        <v>0</v>
      </c>
      <c r="M175" s="1552"/>
      <c r="N175" s="1552"/>
      <c r="O175" s="25" t="str">
        <f>_xlfn.IFNA(VLOOKUP($C175,'Master sheet'!$A:$AR,44,FALSE),"")&amp;""</f>
        <v/>
      </c>
      <c r="P175" s="637"/>
      <c r="Q175" s="29" t="s">
        <v>1556</v>
      </c>
      <c r="R175" s="728" t="s">
        <v>1594</v>
      </c>
      <c r="T175" s="664"/>
      <c r="U175" s="664"/>
      <c r="V175" s="664"/>
      <c r="W175" s="664"/>
      <c r="X175" s="664"/>
      <c r="Y175" s="664"/>
      <c r="Z175" s="664"/>
    </row>
    <row r="176" spans="1:27" ht="22.8" outlineLevel="1" x14ac:dyDescent="0.25">
      <c r="A176" s="1597"/>
      <c r="B176" s="1597"/>
      <c r="C176" s="673" t="str">
        <f>INDEX('Master sheet'!$A$1:$A$670,MATCH(161,'Master sheet'!$AN$1:$AN$670,0))</f>
        <v>Plywood / Canadian Wood Council /  / 3/4"</v>
      </c>
      <c r="D176" s="17">
        <f>'USER INPUT SHEET'!$D$52</f>
        <v>0</v>
      </c>
      <c r="E176" s="18" t="str">
        <f>'USER INPUT SHEET'!$F$52</f>
        <v>m2</v>
      </c>
      <c r="F176" s="4">
        <v>1</v>
      </c>
      <c r="G176" s="674"/>
      <c r="H176" s="9"/>
      <c r="I176" s="92">
        <f t="shared" si="63"/>
        <v>0</v>
      </c>
      <c r="J176" s="96" t="str">
        <f t="shared" si="65"/>
        <v/>
      </c>
      <c r="K176" s="407">
        <f>$D176*$F176*VLOOKUP($C176,'Master sheet'!$A:$AL,13,FALSE)</f>
        <v>0</v>
      </c>
      <c r="L176" s="97">
        <f>$D176*$F176*VLOOKUP($C176,'Master sheet'!$A:$AL,27,FALSE)</f>
        <v>0</v>
      </c>
      <c r="M176" s="1552"/>
      <c r="N176" s="1552"/>
      <c r="O176" s="25" t="str">
        <f>_xlfn.IFNA(VLOOKUP($C176,'Master sheet'!$A:$AR,44,FALSE),"")&amp;""</f>
        <v/>
      </c>
      <c r="P176" s="637"/>
      <c r="Q176" s="29" t="s">
        <v>1556</v>
      </c>
      <c r="R176" s="728" t="s">
        <v>1594</v>
      </c>
      <c r="S176" s="624"/>
      <c r="T176" s="638"/>
      <c r="U176" s="638"/>
      <c r="V176" s="664"/>
      <c r="W176" s="664"/>
      <c r="X176" s="664"/>
      <c r="Y176" s="664"/>
      <c r="Z176" s="664"/>
    </row>
    <row r="177" spans="1:26" ht="31.5" customHeight="1" outlineLevel="1" x14ac:dyDescent="0.25">
      <c r="A177" s="1597"/>
      <c r="B177" s="1597"/>
      <c r="C177" s="673" t="str">
        <f>INDEX('Master sheet'!$A$1:$A$670,MATCH("A85",'Master sheet'!$AN$1:$AN$670,0))</f>
        <v>Plywood / British Columbia Average / Includes : West Fraser Mills, Thompson River Veneer Products / 1/2"</v>
      </c>
      <c r="D177" s="17">
        <f>'USER INPUT SHEET'!$D$52</f>
        <v>0</v>
      </c>
      <c r="E177" s="18" t="str">
        <f>'USER INPUT SHEET'!$F$52</f>
        <v>m2</v>
      </c>
      <c r="F177" s="4">
        <v>1</v>
      </c>
      <c r="G177" s="674"/>
      <c r="H177" s="9"/>
      <c r="I177" s="92">
        <f t="shared" si="63"/>
        <v>0</v>
      </c>
      <c r="J177" s="96" t="str">
        <f t="shared" si="65"/>
        <v/>
      </c>
      <c r="K177" s="407">
        <f>$D177*$F177*VLOOKUP($C177,'Master sheet'!$A:$AL,13,FALSE)</f>
        <v>0</v>
      </c>
      <c r="L177" s="97">
        <f>$D177*$F177*VLOOKUP($C177,'Master sheet'!$A:$AL,27,FALSE)</f>
        <v>0</v>
      </c>
      <c r="M177" s="1552"/>
      <c r="N177" s="1552"/>
      <c r="O177" s="25" t="str">
        <f>_xlfn.IFNA(VLOOKUP($C177,'Master sheet'!$A:$AR,44,FALSE),"")&amp;""</f>
        <v/>
      </c>
      <c r="P177" s="637"/>
      <c r="Q177" s="29" t="s">
        <v>1556</v>
      </c>
      <c r="R177" s="728" t="s">
        <v>1594</v>
      </c>
      <c r="S177" s="624"/>
      <c r="T177" s="638"/>
      <c r="U177" s="638"/>
      <c r="V177" s="664"/>
      <c r="W177" s="664"/>
      <c r="X177" s="664"/>
      <c r="Y177" s="664"/>
      <c r="Z177" s="664"/>
    </row>
    <row r="178" spans="1:26" ht="31.5" customHeight="1" outlineLevel="1" x14ac:dyDescent="0.25">
      <c r="A178" s="1597"/>
      <c r="B178" s="1597"/>
      <c r="C178" s="673" t="str">
        <f>INDEX('Master sheet'!$A$1:$A$670,MATCH("A86",'Master sheet'!$AN$1:$AN$670,0))</f>
        <v>Plywood / British Columbia Average / Includes : West Fraser Mills, Thompson River Veneer Products / 3/4"</v>
      </c>
      <c r="D178" s="17">
        <f>'USER INPUT SHEET'!$D$52</f>
        <v>0</v>
      </c>
      <c r="E178" s="18" t="str">
        <f>'USER INPUT SHEET'!$F$52</f>
        <v>m2</v>
      </c>
      <c r="F178" s="4">
        <v>1</v>
      </c>
      <c r="G178" s="674"/>
      <c r="H178" s="9"/>
      <c r="I178" s="92">
        <f t="shared" si="63"/>
        <v>0</v>
      </c>
      <c r="J178" s="96" t="str">
        <f t="shared" si="65"/>
        <v/>
      </c>
      <c r="K178" s="407">
        <f>$D178*$F178*VLOOKUP($C178,'Master sheet'!$A:$AL,13,FALSE)</f>
        <v>0</v>
      </c>
      <c r="L178" s="97">
        <f>$D178*$F178*VLOOKUP($C178,'Master sheet'!$A:$AL,27,FALSE)</f>
        <v>0</v>
      </c>
      <c r="M178" s="1552"/>
      <c r="N178" s="1552"/>
      <c r="O178" s="25" t="str">
        <f>_xlfn.IFNA(VLOOKUP($C178,'Master sheet'!$A:$AR,44,FALSE),"")&amp;""</f>
        <v/>
      </c>
      <c r="P178" s="637"/>
      <c r="Q178" s="29" t="s">
        <v>1556</v>
      </c>
      <c r="R178" s="728" t="s">
        <v>1594</v>
      </c>
      <c r="S178" s="624"/>
      <c r="T178" s="638"/>
      <c r="U178" s="638"/>
      <c r="V178" s="664"/>
      <c r="W178" s="664"/>
      <c r="X178" s="664"/>
      <c r="Y178" s="664"/>
      <c r="Z178" s="664"/>
    </row>
    <row r="179" spans="1:26" ht="31.5" customHeight="1" outlineLevel="1" x14ac:dyDescent="0.25">
      <c r="A179" s="1597"/>
      <c r="B179" s="1597"/>
      <c r="C179" s="673" t="str">
        <f>INDEX('Master sheet'!$A$1:$A$670,MATCH("A87",'Master sheet'!$AN$1:$AN$670,0))</f>
        <v>Plywood / British Columbia Average / Includes : West Fraser Mills, Thompson River Veneer Products / 5/8"</v>
      </c>
      <c r="D179" s="17">
        <f>'USER INPUT SHEET'!$D$52</f>
        <v>0</v>
      </c>
      <c r="E179" s="18" t="str">
        <f>'USER INPUT SHEET'!$F$52</f>
        <v>m2</v>
      </c>
      <c r="F179" s="4">
        <v>1</v>
      </c>
      <c r="G179" s="674"/>
      <c r="H179" s="9"/>
      <c r="I179" s="92">
        <f t="shared" si="63"/>
        <v>0</v>
      </c>
      <c r="J179" s="96" t="str">
        <f t="shared" si="65"/>
        <v/>
      </c>
      <c r="K179" s="407">
        <f>$D179*$F179*VLOOKUP($C179,'Master sheet'!$A:$AL,13,FALSE)</f>
        <v>0</v>
      </c>
      <c r="L179" s="97">
        <f>$D179*$F179*VLOOKUP($C179,'Master sheet'!$A:$AL,27,FALSE)</f>
        <v>0</v>
      </c>
      <c r="M179" s="1552"/>
      <c r="N179" s="1552"/>
      <c r="O179" s="25" t="str">
        <f>_xlfn.IFNA(VLOOKUP($C179,'Master sheet'!$A:$AR,44,FALSE),"")&amp;""</f>
        <v/>
      </c>
      <c r="P179" s="637"/>
      <c r="Q179" s="29" t="s">
        <v>1556</v>
      </c>
      <c r="R179" s="728" t="s">
        <v>1594</v>
      </c>
      <c r="S179" s="624"/>
      <c r="T179" s="638"/>
      <c r="U179" s="638"/>
      <c r="V179" s="664"/>
      <c r="W179" s="664"/>
      <c r="X179" s="664"/>
      <c r="Y179" s="664"/>
      <c r="Z179" s="664"/>
    </row>
    <row r="180" spans="1:26" ht="31.5" customHeight="1" outlineLevel="1" x14ac:dyDescent="0.25">
      <c r="A180" s="1597"/>
      <c r="B180" s="1597"/>
      <c r="C180" s="673" t="str">
        <f>INDEX('Master sheet'!$A$1:$A$670,MATCH("A88",'Master sheet'!$AN$1:$AN$670,0))</f>
        <v>Plywood / Roseburg / Hardwood plywood. Includes:  walnut, alder, cherry, mahogany, oak, birch, maple faces  / 3/4"</v>
      </c>
      <c r="D180" s="17">
        <f>'USER INPUT SHEET'!$D$52</f>
        <v>0</v>
      </c>
      <c r="E180" s="18" t="str">
        <f>'USER INPUT SHEET'!$F$52</f>
        <v>m2</v>
      </c>
      <c r="F180" s="4">
        <v>1</v>
      </c>
      <c r="G180" s="674"/>
      <c r="H180" s="9"/>
      <c r="I180" s="92">
        <f t="shared" si="63"/>
        <v>0</v>
      </c>
      <c r="J180" s="96" t="str">
        <f t="shared" si="65"/>
        <v/>
      </c>
      <c r="K180" s="407">
        <f>$D180*$F180*VLOOKUP($C180,'Master sheet'!$A:$AL,13,FALSE)</f>
        <v>0</v>
      </c>
      <c r="L180" s="97">
        <f>$D180*$F180*VLOOKUP($C180,'Master sheet'!$A:$AL,27,FALSE)</f>
        <v>0</v>
      </c>
      <c r="M180" s="1552"/>
      <c r="N180" s="1552"/>
      <c r="O180" s="25" t="str">
        <f>_xlfn.IFNA(VLOOKUP($C180,'Master sheet'!$A:$AR,44,FALSE),"")&amp;""</f>
        <v/>
      </c>
      <c r="P180" s="637"/>
      <c r="Q180" s="29" t="s">
        <v>1556</v>
      </c>
      <c r="R180" s="728" t="s">
        <v>1594</v>
      </c>
      <c r="S180" s="624"/>
      <c r="T180" s="638"/>
      <c r="U180" s="638"/>
      <c r="V180" s="664"/>
      <c r="W180" s="664"/>
      <c r="X180" s="664"/>
      <c r="Y180" s="664"/>
      <c r="Z180" s="664"/>
    </row>
    <row r="181" spans="1:26" ht="22.8" outlineLevel="1" x14ac:dyDescent="0.25">
      <c r="A181" s="1597"/>
      <c r="B181" s="1597"/>
      <c r="C181" s="673" t="str">
        <f>INDEX('Master sheet'!$A$1:$A$670,MATCH("A89",'Master sheet'!$AN$1:$AN$670,0))</f>
        <v>Plywood / Roseburg / softwood plywood / 1/2"</v>
      </c>
      <c r="D181" s="17">
        <f>'USER INPUT SHEET'!$D$52</f>
        <v>0</v>
      </c>
      <c r="E181" s="18" t="str">
        <f>'USER INPUT SHEET'!$F$52</f>
        <v>m2</v>
      </c>
      <c r="F181" s="4">
        <v>1</v>
      </c>
      <c r="G181" s="674"/>
      <c r="H181" s="9"/>
      <c r="I181" s="92">
        <f t="shared" si="63"/>
        <v>0</v>
      </c>
      <c r="J181" s="96" t="str">
        <f t="shared" si="65"/>
        <v/>
      </c>
      <c r="K181" s="407">
        <f>$D181*$F181*VLOOKUP($C181,'Master sheet'!$A:$AL,13,FALSE)</f>
        <v>0</v>
      </c>
      <c r="L181" s="97">
        <f>$D181*$F181*VLOOKUP($C181,'Master sheet'!$A:$AL,27,FALSE)</f>
        <v>0</v>
      </c>
      <c r="M181" s="1552"/>
      <c r="N181" s="1552"/>
      <c r="O181" s="25" t="str">
        <f>_xlfn.IFNA(VLOOKUP($C181,'Master sheet'!$A:$AR,44,FALSE),"")&amp;""</f>
        <v/>
      </c>
      <c r="P181" s="637"/>
      <c r="Q181" s="29" t="s">
        <v>1556</v>
      </c>
      <c r="R181" s="728" t="s">
        <v>1594</v>
      </c>
      <c r="S181" s="624"/>
      <c r="T181" s="638"/>
      <c r="U181" s="638"/>
      <c r="V181" s="664"/>
      <c r="W181" s="664"/>
      <c r="X181" s="664"/>
      <c r="Y181" s="664"/>
      <c r="Z181" s="664"/>
    </row>
    <row r="182" spans="1:26" s="624" customFormat="1" ht="22.8" outlineLevel="1" x14ac:dyDescent="0.25">
      <c r="A182" s="1597"/>
      <c r="B182" s="1597"/>
      <c r="C182" s="673" t="str">
        <f>INDEX('Master sheet'!$A$1:$A$670,MATCH("A90",'Master sheet'!$AN$1:$AN$670,0))</f>
        <v>Plywood / Roseburg / softwood plywood / 3/4"</v>
      </c>
      <c r="D182" s="17">
        <f>'USER INPUT SHEET'!$D$52</f>
        <v>0</v>
      </c>
      <c r="E182" s="18" t="str">
        <f>'USER INPUT SHEET'!$F$52</f>
        <v>m2</v>
      </c>
      <c r="F182" s="4">
        <v>1</v>
      </c>
      <c r="G182" s="674"/>
      <c r="H182" s="9"/>
      <c r="I182" s="92">
        <f t="shared" si="63"/>
        <v>0</v>
      </c>
      <c r="J182" s="96" t="str">
        <f t="shared" si="65"/>
        <v/>
      </c>
      <c r="K182" s="407">
        <f>$D182*$F182*VLOOKUP($C182,'Master sheet'!$A:$AL,13,FALSE)</f>
        <v>0</v>
      </c>
      <c r="L182" s="97">
        <f>$D182*$F182*VLOOKUP($C182,'Master sheet'!$A:$AL,27,FALSE)</f>
        <v>0</v>
      </c>
      <c r="M182" s="1559"/>
      <c r="N182" s="1559"/>
      <c r="O182" s="25" t="str">
        <f>_xlfn.IFNA(VLOOKUP($C182,'Master sheet'!$A:$AR,44,FALSE),"")&amp;""</f>
        <v/>
      </c>
      <c r="P182" s="637"/>
      <c r="Q182" s="29" t="s">
        <v>1556</v>
      </c>
      <c r="R182" s="728" t="s">
        <v>1594</v>
      </c>
      <c r="T182" s="638"/>
      <c r="U182" s="638"/>
      <c r="V182" s="638"/>
      <c r="W182" s="638"/>
      <c r="X182" s="638"/>
      <c r="Y182" s="638"/>
      <c r="Z182" s="638"/>
    </row>
    <row r="183" spans="1:26" s="624" customFormat="1" ht="22.8" outlineLevel="1" x14ac:dyDescent="0.25">
      <c r="A183" s="639"/>
      <c r="B183" s="1524" t="s">
        <v>980</v>
      </c>
      <c r="C183" s="1523"/>
      <c r="D183" s="773"/>
      <c r="E183" s="778"/>
      <c r="F183" s="340"/>
      <c r="G183" s="739"/>
      <c r="H183" s="740"/>
      <c r="I183" s="779"/>
      <c r="J183" s="742"/>
      <c r="K183" s="741"/>
      <c r="L183" s="743"/>
      <c r="M183" s="743"/>
      <c r="N183" s="743"/>
      <c r="O183" s="25" t="str">
        <f>_xlfn.IFNA(VLOOKUP($C183,'Master sheet'!$A:$AR,44,FALSE),"")&amp;""</f>
        <v/>
      </c>
      <c r="P183" s="685"/>
      <c r="Q183" s="29"/>
      <c r="R183" s="728" t="s">
        <v>1594</v>
      </c>
      <c r="T183" s="638"/>
      <c r="U183" s="638"/>
      <c r="V183" s="638"/>
      <c r="W183" s="638"/>
      <c r="X183" s="638"/>
      <c r="Y183" s="638"/>
      <c r="Z183" s="638"/>
    </row>
    <row r="184" spans="1:26" ht="22.8" outlineLevel="1" x14ac:dyDescent="0.25">
      <c r="A184" s="1540"/>
      <c r="B184" s="1540"/>
      <c r="C184" s="673" t="str">
        <f>INDEX('Master sheet'!$A$1:$A$670,MATCH(116,'Master sheet'!$AN$1:$AN$670,0))</f>
        <v>Gypsum panels - glass mat / USG / Securock ExoAir 430 / 1/2"</v>
      </c>
      <c r="D184" s="15">
        <f>'USER INPUT SHEET'!$D$52</f>
        <v>0</v>
      </c>
      <c r="E184" s="16" t="str">
        <f>'USER INPUT SHEET'!$F$52</f>
        <v>m2</v>
      </c>
      <c r="F184" s="3">
        <v>1</v>
      </c>
      <c r="G184" s="670"/>
      <c r="H184" s="8"/>
      <c r="I184" s="92">
        <f t="shared" ref="I184:I188" si="66">K184-L184</f>
        <v>0</v>
      </c>
      <c r="J184" s="93" t="str">
        <f t="shared" ref="J184:J188" si="67">IF(H184=1,I184,"")</f>
        <v/>
      </c>
      <c r="K184" s="406">
        <f>$D184*$F184*VLOOKUP($C184,'Master sheet'!$A:$AL,13,FALSE)</f>
        <v>0</v>
      </c>
      <c r="L184" s="94">
        <f>$D184*$F184*VLOOKUP($C184,'Master sheet'!$A:$AL,27,FALSE)</f>
        <v>0</v>
      </c>
      <c r="M184" s="1552"/>
      <c r="N184" s="1552"/>
      <c r="O184" s="25" t="str">
        <f ca="1">_xlfn.IFNA(VLOOKUP($C184,'Master sheet'!$A:$AR,44,FALSE),"")&amp;""</f>
        <v>Expired 2024</v>
      </c>
      <c r="P184" s="637"/>
      <c r="Q184" s="29" t="s">
        <v>1556</v>
      </c>
      <c r="R184" s="728" t="s">
        <v>1594</v>
      </c>
      <c r="T184" s="664"/>
      <c r="U184" s="664"/>
      <c r="V184" s="664"/>
      <c r="W184" s="664"/>
      <c r="X184" s="664"/>
      <c r="Y184" s="664"/>
      <c r="Z184" s="664"/>
    </row>
    <row r="185" spans="1:26" ht="31.2" outlineLevel="1" x14ac:dyDescent="0.25">
      <c r="A185" s="1540"/>
      <c r="B185" s="1540"/>
      <c r="C185" s="673" t="str">
        <f>INDEX('Master sheet'!$A$1:$A$670,MATCH(418,'Master sheet'!$AN$1:$AN$670,0))</f>
        <v xml:space="preserve">Gypsum panels - glass mat / CertainTeed / GlasRoc Sheathing gypsum board / 5/8" </v>
      </c>
      <c r="D185" s="17">
        <f>'USER INPUT SHEET'!$D$52</f>
        <v>0</v>
      </c>
      <c r="E185" s="18" t="str">
        <f>'USER INPUT SHEET'!$F$52</f>
        <v>m2</v>
      </c>
      <c r="F185" s="4">
        <v>1</v>
      </c>
      <c r="G185" s="674"/>
      <c r="H185" s="9"/>
      <c r="I185" s="95">
        <f t="shared" si="66"/>
        <v>0</v>
      </c>
      <c r="J185" s="96" t="str">
        <f t="shared" si="67"/>
        <v/>
      </c>
      <c r="K185" s="407">
        <f>$D185*$F185*VLOOKUP($C185,'Master sheet'!$A:$AL,13,FALSE)</f>
        <v>0</v>
      </c>
      <c r="L185" s="97">
        <f>$D185*$F185*VLOOKUP($C185,'Master sheet'!$A:$AL,27,FALSE)</f>
        <v>0</v>
      </c>
      <c r="M185" s="1552"/>
      <c r="N185" s="1552"/>
      <c r="O185" s="25" t="str">
        <f ca="1">_xlfn.IFNA(VLOOKUP($C185,'Master sheet'!$A:$AR,44,FALSE),"")&amp;""</f>
        <v/>
      </c>
      <c r="P185" s="637"/>
      <c r="Q185" s="29" t="s">
        <v>1556</v>
      </c>
      <c r="R185" s="728" t="s">
        <v>1594</v>
      </c>
      <c r="S185" s="624"/>
      <c r="T185" s="638"/>
      <c r="U185" s="638"/>
      <c r="V185" s="638"/>
      <c r="W185" s="664"/>
      <c r="X185" s="664"/>
      <c r="Y185" s="664"/>
      <c r="Z185" s="664"/>
    </row>
    <row r="186" spans="1:26" ht="31.2" outlineLevel="1" x14ac:dyDescent="0.25">
      <c r="A186" s="1540"/>
      <c r="B186" s="1540"/>
      <c r="C186" s="673" t="str">
        <f>INDEX('Master sheet'!$A$1:$A$670,MATCH("A51",'Master sheet'!$AN$1:$AN$670,0))</f>
        <v>Gypsum panels - glass mat / Georgia-Pacific / DensGlass Sheathing  / 1/2"</v>
      </c>
      <c r="D186" s="17">
        <f>'USER INPUT SHEET'!$D$52</f>
        <v>0</v>
      </c>
      <c r="E186" s="18" t="str">
        <f>'USER INPUT SHEET'!$F$52</f>
        <v>m2</v>
      </c>
      <c r="F186" s="4">
        <v>1</v>
      </c>
      <c r="G186" s="674"/>
      <c r="H186" s="9"/>
      <c r="I186" s="95">
        <f t="shared" si="66"/>
        <v>0</v>
      </c>
      <c r="J186" s="96" t="str">
        <f t="shared" si="67"/>
        <v/>
      </c>
      <c r="K186" s="407">
        <f>$D186*$F186*VLOOKUP($C186,'Master sheet'!$A:$AL,13,FALSE)</f>
        <v>0</v>
      </c>
      <c r="L186" s="97">
        <f>$D186*$F186*VLOOKUP($C186,'Master sheet'!$A:$AL,27,FALSE)</f>
        <v>0</v>
      </c>
      <c r="M186" s="1552"/>
      <c r="N186" s="1552"/>
      <c r="O186" s="25" t="str">
        <f>_xlfn.IFNA(VLOOKUP($C186,'Master sheet'!$A:$AR,44,FALSE),"")&amp;""</f>
        <v/>
      </c>
      <c r="P186" s="637"/>
      <c r="Q186" s="29" t="s">
        <v>1556</v>
      </c>
      <c r="R186" s="728" t="s">
        <v>1594</v>
      </c>
      <c r="S186" s="624"/>
      <c r="T186" s="638"/>
      <c r="U186" s="638"/>
      <c r="V186" s="638"/>
      <c r="W186" s="664"/>
      <c r="X186" s="664"/>
      <c r="Y186" s="664"/>
      <c r="Z186" s="664"/>
    </row>
    <row r="187" spans="1:26" ht="31.2" outlineLevel="1" x14ac:dyDescent="0.25">
      <c r="A187" s="1540"/>
      <c r="B187" s="1540"/>
      <c r="C187" s="673" t="str">
        <f>INDEX('Master sheet'!$A$1:$A$670,MATCH("A142",'Master sheet'!$AN$1:$AN$670,0))</f>
        <v>Gypsum panels - glass mat / Georgia-Pacific / DensGlass Sheathing / 5/8"</v>
      </c>
      <c r="D187" s="17">
        <f>'USER INPUT SHEET'!$D$52</f>
        <v>0</v>
      </c>
      <c r="E187" s="18" t="str">
        <f>'USER INPUT SHEET'!$F$52</f>
        <v>m2</v>
      </c>
      <c r="F187" s="4">
        <v>1</v>
      </c>
      <c r="G187" s="674"/>
      <c r="H187" s="9"/>
      <c r="I187" s="95">
        <f t="shared" si="66"/>
        <v>0</v>
      </c>
      <c r="J187" s="96" t="str">
        <f t="shared" si="67"/>
        <v/>
      </c>
      <c r="K187" s="407">
        <f>$D187*$F187*VLOOKUP($C187,'Master sheet'!$A:$AL,13,FALSE)</f>
        <v>0</v>
      </c>
      <c r="L187" s="97">
        <f>$D187*$F187*VLOOKUP($C187,'Master sheet'!$A:$AL,27,FALSE)</f>
        <v>0</v>
      </c>
      <c r="M187" s="1552"/>
      <c r="N187" s="1552"/>
      <c r="O187" s="25" t="str">
        <f>_xlfn.IFNA(VLOOKUP($C187,'Master sheet'!$A:$AR,44,FALSE),"")&amp;""</f>
        <v/>
      </c>
      <c r="P187" s="637"/>
      <c r="Q187" s="29" t="s">
        <v>1556</v>
      </c>
      <c r="R187" s="728" t="s">
        <v>1594</v>
      </c>
      <c r="S187" s="624"/>
      <c r="T187" s="638"/>
      <c r="U187" s="638"/>
      <c r="V187" s="638"/>
      <c r="W187" s="664"/>
      <c r="X187" s="664"/>
      <c r="Y187" s="664"/>
      <c r="Z187" s="664"/>
    </row>
    <row r="188" spans="1:26" ht="31.2" outlineLevel="1" x14ac:dyDescent="0.25">
      <c r="A188" s="1540"/>
      <c r="B188" s="1540"/>
      <c r="C188" s="673" t="str">
        <f>INDEX('Master sheet'!$A$1:$A$670,MATCH("A50",'Master sheet'!$AN$1:$AN$670,0))</f>
        <v>Gypsum panels - glass mat / Gypsum Association / North American Industry Average / 1/2"</v>
      </c>
      <c r="D188" s="17">
        <f>'USER INPUT SHEET'!$D$52</f>
        <v>0</v>
      </c>
      <c r="E188" s="18" t="str">
        <f>'USER INPUT SHEET'!$F$52</f>
        <v>m2</v>
      </c>
      <c r="F188" s="4">
        <v>1</v>
      </c>
      <c r="G188" s="674"/>
      <c r="H188" s="9"/>
      <c r="I188" s="95">
        <f t="shared" si="66"/>
        <v>0</v>
      </c>
      <c r="J188" s="96" t="str">
        <f t="shared" si="67"/>
        <v/>
      </c>
      <c r="K188" s="407">
        <f>$D188*$F188*VLOOKUP($C188,'Master sheet'!$A:$AL,13,FALSE)</f>
        <v>0</v>
      </c>
      <c r="L188" s="97">
        <f>$D188*$F188*VLOOKUP($C188,'Master sheet'!$A:$AL,27,FALSE)</f>
        <v>0</v>
      </c>
      <c r="M188" s="1552"/>
      <c r="N188" s="1552"/>
      <c r="O188" s="25" t="str">
        <f>_xlfn.IFNA(VLOOKUP($C188,'Master sheet'!$A:$AR,44,FALSE),"")&amp;""</f>
        <v/>
      </c>
      <c r="P188" s="637"/>
      <c r="Q188" s="29" t="s">
        <v>1556</v>
      </c>
      <c r="R188" s="728" t="s">
        <v>1594</v>
      </c>
      <c r="S188" s="624"/>
      <c r="T188" s="638"/>
      <c r="U188" s="638"/>
      <c r="V188" s="638"/>
      <c r="W188" s="664"/>
      <c r="X188" s="664"/>
      <c r="Y188" s="664"/>
      <c r="Z188" s="664"/>
    </row>
    <row r="189" spans="1:26" s="624" customFormat="1" ht="31.2" outlineLevel="1" x14ac:dyDescent="0.25">
      <c r="A189" s="1540"/>
      <c r="B189" s="1540"/>
      <c r="C189" s="673" t="str">
        <f>INDEX('Master sheet'!$A$1:$A$670,MATCH("A143",'Master sheet'!$AN$1:$AN$670,0))</f>
        <v>Gypsum panels - glass mat / Gypsum Association / North American Industry Average / 5/8" Type X</v>
      </c>
      <c r="D189" s="17">
        <f>'USER INPUT SHEET'!$D$52</f>
        <v>0</v>
      </c>
      <c r="E189" s="18" t="str">
        <f>'USER INPUT SHEET'!$F$52</f>
        <v>m2</v>
      </c>
      <c r="F189" s="4">
        <v>1</v>
      </c>
      <c r="G189" s="674"/>
      <c r="H189" s="9"/>
      <c r="I189" s="95">
        <f t="shared" ref="I189" si="68">K189-L189</f>
        <v>0</v>
      </c>
      <c r="J189" s="96" t="str">
        <f t="shared" si="64"/>
        <v/>
      </c>
      <c r="K189" s="407">
        <f>$D189*$F189*VLOOKUP($C189,'Master sheet'!$A:$AL,13,FALSE)</f>
        <v>0</v>
      </c>
      <c r="L189" s="97">
        <f>$D189*$F189*VLOOKUP($C189,'Master sheet'!$A:$AL,27,FALSE)</f>
        <v>0</v>
      </c>
      <c r="M189" s="1552"/>
      <c r="N189" s="1552"/>
      <c r="O189" s="25" t="str">
        <f>_xlfn.IFNA(VLOOKUP($C189,'Master sheet'!$A:$AR,44,FALSE),"")&amp;""</f>
        <v/>
      </c>
      <c r="P189" s="637"/>
      <c r="Q189" s="29" t="s">
        <v>1556</v>
      </c>
      <c r="R189" s="728" t="s">
        <v>1594</v>
      </c>
      <c r="T189" s="638"/>
      <c r="U189" s="638"/>
      <c r="V189" s="638"/>
      <c r="W189" s="638"/>
      <c r="X189" s="638"/>
      <c r="Y189" s="638"/>
      <c r="Z189" s="638"/>
    </row>
    <row r="190" spans="1:26" s="624" customFormat="1" ht="54.75" customHeight="1" outlineLevel="1" x14ac:dyDescent="0.25">
      <c r="A190" s="1522" t="s">
        <v>1574</v>
      </c>
      <c r="B190" s="1523"/>
      <c r="C190" s="1523"/>
      <c r="D190" s="649"/>
      <c r="E190" s="650"/>
      <c r="F190" s="321"/>
      <c r="G190" s="650"/>
      <c r="H190" s="650"/>
      <c r="I190" s="651"/>
      <c r="J190" s="103" t="str">
        <f t="shared" ref="J190:J198" si="69">IF(H190=1,I190,"")</f>
        <v/>
      </c>
      <c r="K190" s="652"/>
      <c r="L190" s="759"/>
      <c r="M190" s="759"/>
      <c r="N190" s="759"/>
      <c r="O190" s="25" t="str">
        <f>_xlfn.IFNA(VLOOKUP($C190,'Master sheet'!$A:$AR,44,FALSE),"")&amp;""</f>
        <v/>
      </c>
      <c r="P190" s="685"/>
      <c r="Q190" s="29"/>
      <c r="R190" s="728"/>
      <c r="T190" s="638"/>
      <c r="U190" s="638"/>
      <c r="V190" s="638"/>
      <c r="W190" s="638"/>
      <c r="X190" s="638"/>
      <c r="Y190" s="638"/>
      <c r="Z190" s="638"/>
    </row>
    <row r="191" spans="1:26" ht="22.8" outlineLevel="1" x14ac:dyDescent="0.25">
      <c r="A191" s="686"/>
      <c r="B191" s="1541" t="s">
        <v>3442</v>
      </c>
      <c r="C191" s="1530"/>
      <c r="D191" s="656"/>
      <c r="E191" s="657"/>
      <c r="F191" s="339"/>
      <c r="G191" s="724"/>
      <c r="H191" s="763"/>
      <c r="I191" s="658"/>
      <c r="J191" s="659"/>
      <c r="K191" s="723"/>
      <c r="L191" s="723"/>
      <c r="M191" s="727"/>
      <c r="N191" s="727"/>
      <c r="O191" s="25" t="str">
        <f>_xlfn.IFNA(VLOOKUP($C191,'Master sheet'!$A:$AR,44,FALSE),"")&amp;""</f>
        <v/>
      </c>
      <c r="P191" s="685"/>
      <c r="Q191" s="29"/>
      <c r="T191" s="664"/>
      <c r="U191" s="664"/>
      <c r="V191" s="664"/>
      <c r="W191" s="664"/>
      <c r="X191" s="664"/>
      <c r="Y191" s="664"/>
      <c r="Z191" s="664"/>
    </row>
    <row r="192" spans="1:26" ht="23.25" customHeight="1" outlineLevel="1" x14ac:dyDescent="0.25">
      <c r="A192" s="729"/>
      <c r="B192" s="729"/>
      <c r="C192" s="691" t="s">
        <v>1367</v>
      </c>
      <c r="D192" s="19">
        <f>'USER INPUT SHEET'!$D$52</f>
        <v>0</v>
      </c>
      <c r="E192" s="20" t="str">
        <f>'USER INPUT SHEET'!$F$52</f>
        <v>m2</v>
      </c>
      <c r="F192" s="6">
        <v>1</v>
      </c>
      <c r="G192" s="692"/>
      <c r="H192" s="10"/>
      <c r="I192" s="98">
        <f>K192-L192</f>
        <v>0</v>
      </c>
      <c r="J192" s="91" t="str">
        <f>IF(H192=1,I192,"")</f>
        <v/>
      </c>
      <c r="K192" s="410">
        <f>F192*AVERAGE(K193:K198)</f>
        <v>0</v>
      </c>
      <c r="L192" s="99">
        <f>F192*AVERAGE(L193:L198)</f>
        <v>0</v>
      </c>
      <c r="M192" s="1552"/>
      <c r="N192" s="1552"/>
      <c r="O192" s="25" t="str">
        <f>_xlfn.IFNA(VLOOKUP($C192,'Master sheet'!$A:$AR,44,FALSE),"")&amp;""</f>
        <v/>
      </c>
      <c r="Q192" s="29" t="s">
        <v>1556</v>
      </c>
      <c r="R192" s="757" t="s">
        <v>1595</v>
      </c>
      <c r="S192" s="664"/>
      <c r="T192" s="664"/>
      <c r="U192" s="664"/>
      <c r="V192" s="664"/>
      <c r="W192" s="664"/>
      <c r="X192" s="664"/>
      <c r="Y192" s="664"/>
      <c r="Z192" s="664"/>
    </row>
    <row r="193" spans="1:26" ht="31.5" customHeight="1" outlineLevel="1" x14ac:dyDescent="0.25">
      <c r="A193" s="1540" t="s">
        <v>789</v>
      </c>
      <c r="B193" s="1540"/>
      <c r="C193" s="749" t="str">
        <f>INDEX('Master sheet'!$A$1:$A$670,MATCH("A15",'Master sheet'!$AN$1:$AN$670,0))</f>
        <v xml:space="preserve">CMU - Light weight / Brampton Brick (Boehmers) / 8" CarboClave Block / 8 x 8 x 16 </v>
      </c>
      <c r="D193" s="250">
        <f>'USER INPUT SHEET'!$D$52</f>
        <v>0</v>
      </c>
      <c r="E193" s="251" t="str">
        <f>'USER INPUT SHEET'!$F$52</f>
        <v>m2</v>
      </c>
      <c r="F193" s="252">
        <v>1</v>
      </c>
      <c r="G193" s="750"/>
      <c r="H193" s="253"/>
      <c r="I193" s="254">
        <f t="shared" ref="I193:I197" si="70">K193-L193</f>
        <v>0</v>
      </c>
      <c r="J193" s="255" t="str">
        <f t="shared" ref="J193:J197" si="71">IF(H193=1,I193,"")</f>
        <v/>
      </c>
      <c r="K193" s="417">
        <f>$D193*$F193*VLOOKUP($C193,'Master sheet'!$A:$AL,13,FALSE)</f>
        <v>0</v>
      </c>
      <c r="L193" s="256">
        <f>$D193*$F193*VLOOKUP($C193,'Master sheet'!$A:$AL,27,FALSE)</f>
        <v>0</v>
      </c>
      <c r="M193" s="1552"/>
      <c r="N193" s="1552"/>
      <c r="O193" s="25" t="str">
        <f>_xlfn.IFNA(VLOOKUP($C193,'Master sheet'!$A:$AR,44,FALSE),"")&amp;""</f>
        <v/>
      </c>
      <c r="Q193" s="29" t="s">
        <v>1556</v>
      </c>
      <c r="R193" s="757" t="s">
        <v>1595</v>
      </c>
      <c r="T193" s="664"/>
      <c r="U193" s="664"/>
      <c r="V193" s="664"/>
      <c r="W193" s="664"/>
      <c r="X193" s="664"/>
      <c r="Y193" s="664"/>
      <c r="Z193" s="664"/>
    </row>
    <row r="194" spans="1:26" ht="46.8" outlineLevel="1" x14ac:dyDescent="0.25">
      <c r="A194" s="1540"/>
      <c r="B194" s="1540"/>
      <c r="C194" s="749" t="str">
        <f>INDEX('Master sheet'!$A$1:$A$670,MATCH("A16",'Master sheet'!$AN$1:$AN$670,0))</f>
        <v xml:space="preserve">CMU - Light weight / Canadian Concrete Masonry Producers Assn, East Region / 8" Light weight blocks / 15 MPa, 390 x 190 x 190 mm </v>
      </c>
      <c r="D194" s="250">
        <f>'USER INPUT SHEET'!$D$52</f>
        <v>0</v>
      </c>
      <c r="E194" s="251" t="str">
        <f>'USER INPUT SHEET'!$F$52</f>
        <v>m2</v>
      </c>
      <c r="F194" s="252">
        <v>1</v>
      </c>
      <c r="G194" s="750"/>
      <c r="H194" s="253"/>
      <c r="I194" s="254">
        <f t="shared" si="70"/>
        <v>0</v>
      </c>
      <c r="J194" s="255" t="str">
        <f t="shared" si="71"/>
        <v/>
      </c>
      <c r="K194" s="417">
        <f>$D194*$F194*VLOOKUP($C194,'Master sheet'!$A:$AL,13,FALSE)</f>
        <v>0</v>
      </c>
      <c r="L194" s="256">
        <f>$D194*$F194*VLOOKUP($C194,'Master sheet'!$A:$AL,27,FALSE)</f>
        <v>0</v>
      </c>
      <c r="M194" s="1552"/>
      <c r="N194" s="1552"/>
      <c r="O194" s="25" t="str">
        <f>_xlfn.IFNA(VLOOKUP($C194,'Master sheet'!$A:$AR,44,FALSE),"")&amp;""</f>
        <v/>
      </c>
      <c r="Q194" s="29" t="s">
        <v>1556</v>
      </c>
      <c r="R194" s="757" t="s">
        <v>1595</v>
      </c>
      <c r="T194" s="664"/>
      <c r="U194" s="664"/>
      <c r="V194" s="664"/>
      <c r="W194" s="664"/>
      <c r="X194" s="664"/>
      <c r="Y194" s="664"/>
      <c r="Z194" s="664"/>
    </row>
    <row r="195" spans="1:26" ht="46.8" outlineLevel="1" x14ac:dyDescent="0.25">
      <c r="A195" s="1540"/>
      <c r="B195" s="1540"/>
      <c r="C195" s="749" t="str">
        <f>INDEX('Master sheet'!$A$1:$A$670,MATCH("A17",'Master sheet'!$AN$1:$AN$670,0))</f>
        <v xml:space="preserve">CMU - Light weight / Canadian Concrete Masonry Producers Assn, West Region / 8" Light weight blocks / 15 MPa, 390 x 190 x 190 mm </v>
      </c>
      <c r="D195" s="250">
        <f>'USER INPUT SHEET'!$D$52</f>
        <v>0</v>
      </c>
      <c r="E195" s="251" t="str">
        <f>'USER INPUT SHEET'!$F$52</f>
        <v>m2</v>
      </c>
      <c r="F195" s="252">
        <v>1</v>
      </c>
      <c r="G195" s="750"/>
      <c r="H195" s="253"/>
      <c r="I195" s="254">
        <f t="shared" si="70"/>
        <v>0</v>
      </c>
      <c r="J195" s="255" t="str">
        <f t="shared" si="71"/>
        <v/>
      </c>
      <c r="K195" s="417">
        <f>$D195*$F195*VLOOKUP($C195,'Master sheet'!$A:$AL,13,FALSE)</f>
        <v>0</v>
      </c>
      <c r="L195" s="256">
        <f>$D195*$F195*VLOOKUP($C195,'Master sheet'!$A:$AL,27,FALSE)</f>
        <v>0</v>
      </c>
      <c r="M195" s="1552"/>
      <c r="N195" s="1552"/>
      <c r="O195" s="25" t="str">
        <f>_xlfn.IFNA(VLOOKUP($C195,'Master sheet'!$A:$AR,44,FALSE),"")&amp;""</f>
        <v/>
      </c>
      <c r="Q195" s="29" t="s">
        <v>1556</v>
      </c>
      <c r="R195" s="757" t="s">
        <v>1595</v>
      </c>
      <c r="T195" s="664"/>
      <c r="U195" s="664"/>
      <c r="V195" s="664"/>
      <c r="W195" s="664"/>
      <c r="X195" s="664"/>
      <c r="Y195" s="664"/>
      <c r="Z195" s="664"/>
    </row>
    <row r="196" spans="1:26" ht="31.5" customHeight="1" outlineLevel="1" x14ac:dyDescent="0.25">
      <c r="A196" s="1540"/>
      <c r="B196" s="1540"/>
      <c r="C196" s="749" t="str">
        <f>INDEX('Master sheet'!$A$1:$A$670,MATCH("A20",'Master sheet'!$AN$1:$AN$670,0))</f>
        <v xml:space="preserve">CMU - Normal weight / Brampton Brick (Boehmers) / 8" CarboClave Block / 8 x 8 x 16 </v>
      </c>
      <c r="D196" s="250">
        <f>'USER INPUT SHEET'!$D$52</f>
        <v>0</v>
      </c>
      <c r="E196" s="251" t="str">
        <f>'USER INPUT SHEET'!$F$52</f>
        <v>m2</v>
      </c>
      <c r="F196" s="252">
        <v>1</v>
      </c>
      <c r="G196" s="750"/>
      <c r="H196" s="253"/>
      <c r="I196" s="254">
        <f t="shared" si="70"/>
        <v>0</v>
      </c>
      <c r="J196" s="255" t="str">
        <f t="shared" si="71"/>
        <v/>
      </c>
      <c r="K196" s="417">
        <f>$D196*$F196*VLOOKUP($C196,'Master sheet'!$A:$AL,13,FALSE)</f>
        <v>0</v>
      </c>
      <c r="L196" s="256">
        <f>$D196*$F196*VLOOKUP($C196,'Master sheet'!$A:$AL,27,FALSE)</f>
        <v>0</v>
      </c>
      <c r="M196" s="1552"/>
      <c r="N196" s="1552"/>
      <c r="O196" s="25" t="str">
        <f>_xlfn.IFNA(VLOOKUP($C196,'Master sheet'!$A:$AR,44,FALSE),"")&amp;""</f>
        <v/>
      </c>
      <c r="Q196" s="29" t="s">
        <v>1556</v>
      </c>
      <c r="R196" s="757" t="s">
        <v>1595</v>
      </c>
      <c r="T196" s="664"/>
      <c r="U196" s="664"/>
      <c r="V196" s="664"/>
      <c r="W196" s="664"/>
      <c r="X196" s="664"/>
      <c r="Y196" s="664"/>
      <c r="Z196" s="664"/>
    </row>
    <row r="197" spans="1:26" ht="46.8" outlineLevel="1" x14ac:dyDescent="0.25">
      <c r="A197" s="1540"/>
      <c r="B197" s="1540"/>
      <c r="C197" s="749" t="str">
        <f>INDEX('Master sheet'!$A$1:$A$670,MATCH("A18",'Master sheet'!$AN$1:$AN$670,0))</f>
        <v xml:space="preserve">CMU - Normal weight / Canadian Concrete Masonry Producers Assn, East Region / 8" Normal weight blocks / 15 MPa, 390 x 190 x 190 mm </v>
      </c>
      <c r="D197" s="250">
        <f>'USER INPUT SHEET'!$D$52</f>
        <v>0</v>
      </c>
      <c r="E197" s="251" t="str">
        <f>'USER INPUT SHEET'!$F$52</f>
        <v>m2</v>
      </c>
      <c r="F197" s="252">
        <v>1</v>
      </c>
      <c r="G197" s="750"/>
      <c r="H197" s="253"/>
      <c r="I197" s="254">
        <f t="shared" si="70"/>
        <v>0</v>
      </c>
      <c r="J197" s="255" t="str">
        <f t="shared" si="71"/>
        <v/>
      </c>
      <c r="K197" s="417">
        <f>$D197*$F197*VLOOKUP($C197,'Master sheet'!$A:$AL,13,FALSE)</f>
        <v>0</v>
      </c>
      <c r="L197" s="256">
        <f>$D197*$F197*VLOOKUP($C197,'Master sheet'!$A:$AL,27,FALSE)</f>
        <v>0</v>
      </c>
      <c r="M197" s="1552"/>
      <c r="N197" s="1552"/>
      <c r="O197" s="25" t="str">
        <f>_xlfn.IFNA(VLOOKUP($C197,'Master sheet'!$A:$AR,44,FALSE),"")&amp;""</f>
        <v/>
      </c>
      <c r="Q197" s="29" t="s">
        <v>1556</v>
      </c>
      <c r="R197" s="757" t="s">
        <v>1595</v>
      </c>
      <c r="T197" s="664"/>
      <c r="U197" s="664"/>
      <c r="V197" s="664"/>
      <c r="W197" s="664"/>
      <c r="X197" s="664"/>
      <c r="Y197" s="664"/>
      <c r="Z197" s="664"/>
    </row>
    <row r="198" spans="1:26" s="624" customFormat="1" ht="46.8" outlineLevel="1" x14ac:dyDescent="0.25">
      <c r="A198" s="1619"/>
      <c r="B198" s="1619"/>
      <c r="C198" s="749" t="str">
        <f>INDEX('Master sheet'!$A$1:$A$670,MATCH("A19",'Master sheet'!$AN$1:$AN$670,0))</f>
        <v xml:space="preserve">CMU - Normal weight / Canadian Concrete Masonry Producers Assn, West Region / 8" Normal weight blocks / 15 MPa, 390 x 190 x 190 mm </v>
      </c>
      <c r="D198" s="250">
        <f>'USER INPUT SHEET'!$D$52</f>
        <v>0</v>
      </c>
      <c r="E198" s="251" t="str">
        <f>'USER INPUT SHEET'!$F$52</f>
        <v>m2</v>
      </c>
      <c r="F198" s="252">
        <v>1</v>
      </c>
      <c r="G198" s="750"/>
      <c r="H198" s="253"/>
      <c r="I198" s="254">
        <f t="shared" ref="I198" si="72">K198-L198</f>
        <v>0</v>
      </c>
      <c r="J198" s="255" t="str">
        <f t="shared" si="69"/>
        <v/>
      </c>
      <c r="K198" s="417">
        <f>$D198*$F198*VLOOKUP($C198,'Master sheet'!$A:$AL,13,FALSE)</f>
        <v>0</v>
      </c>
      <c r="L198" s="256">
        <f>$D198*$F198*VLOOKUP($C198,'Master sheet'!$A:$AL,27,FALSE)</f>
        <v>0</v>
      </c>
      <c r="M198" s="1552"/>
      <c r="N198" s="1552"/>
      <c r="O198" s="25" t="str">
        <f>_xlfn.IFNA(VLOOKUP($C198,'Master sheet'!$A:$AR,44,FALSE),"")&amp;""</f>
        <v/>
      </c>
      <c r="P198" s="620"/>
      <c r="Q198" s="29" t="s">
        <v>1556</v>
      </c>
      <c r="R198" s="757" t="s">
        <v>1595</v>
      </c>
      <c r="T198" s="638"/>
      <c r="U198" s="638"/>
      <c r="V198" s="638"/>
      <c r="W198" s="638"/>
      <c r="X198" s="638"/>
      <c r="Y198" s="638"/>
      <c r="Z198" s="638"/>
    </row>
    <row r="199" spans="1:26" s="624" customFormat="1" ht="54.75" customHeight="1" outlineLevel="1" x14ac:dyDescent="0.25">
      <c r="A199" s="1522" t="s">
        <v>1681</v>
      </c>
      <c r="B199" s="1523"/>
      <c r="C199" s="1523"/>
      <c r="D199" s="629" t="str">
        <f>IF(LOWER(Setting!rng_language)="english","R-VALUE:","VALEUR R :")</f>
        <v>R-VALUE:</v>
      </c>
      <c r="E199" s="1"/>
      <c r="F199" s="870"/>
      <c r="G199" s="1648" t="s">
        <v>1686</v>
      </c>
      <c r="H199" s="1648"/>
      <c r="I199" s="1648"/>
      <c r="J199" s="1648"/>
      <c r="K199" s="1648"/>
      <c r="L199" s="1648"/>
      <c r="M199" s="871"/>
      <c r="N199" s="871"/>
      <c r="O199" s="25" t="str">
        <f>_xlfn.IFNA(VLOOKUP($C199,'Master sheet'!$A:$AR,44,FALSE),"")&amp;""</f>
        <v/>
      </c>
      <c r="P199" s="685"/>
      <c r="Q199" s="761"/>
      <c r="R199" s="728"/>
      <c r="T199" s="638"/>
      <c r="U199" s="638"/>
      <c r="V199" s="638"/>
      <c r="W199" s="638"/>
      <c r="X199" s="638"/>
      <c r="Y199" s="638"/>
      <c r="Z199" s="638"/>
    </row>
    <row r="200" spans="1:26" ht="22.8" outlineLevel="1" x14ac:dyDescent="0.25">
      <c r="A200" s="686"/>
      <c r="B200" s="1541" t="s">
        <v>966</v>
      </c>
      <c r="C200" s="1530"/>
      <c r="D200" s="687" t="str">
        <f>IF(LOWER(Setting!rng_language)="english","R-VALUE:","VALEUR R :")</f>
        <v>R-VALUE:</v>
      </c>
      <c r="E200" s="1"/>
      <c r="F200" s="341"/>
      <c r="G200" s="781"/>
      <c r="H200" s="782"/>
      <c r="I200" s="783"/>
      <c r="J200" s="784"/>
      <c r="K200" s="872"/>
      <c r="L200" s="785"/>
      <c r="M200" s="743"/>
      <c r="N200" s="743"/>
      <c r="O200" s="25" t="str">
        <f>_xlfn.IFNA(VLOOKUP($C200,'Master sheet'!$A:$AR,44,FALSE),"")&amp;""</f>
        <v/>
      </c>
      <c r="P200" s="685"/>
      <c r="T200" s="664"/>
      <c r="U200" s="664"/>
      <c r="V200" s="664"/>
      <c r="W200" s="664"/>
      <c r="X200" s="664"/>
      <c r="Y200" s="664"/>
      <c r="Z200" s="664"/>
    </row>
    <row r="201" spans="1:26" ht="22.8" outlineLevel="1" x14ac:dyDescent="0.25">
      <c r="A201" s="729"/>
      <c r="B201" s="729"/>
      <c r="C201" s="691" t="s">
        <v>1360</v>
      </c>
      <c r="D201" s="19">
        <f>'USER INPUT SHEET'!$D$52</f>
        <v>0</v>
      </c>
      <c r="E201" s="20" t="str">
        <f>'USER INPUT SHEET'!$F$32</f>
        <v>m2</v>
      </c>
      <c r="F201" s="6">
        <v>1</v>
      </c>
      <c r="G201" s="692"/>
      <c r="H201" s="10"/>
      <c r="I201" s="98">
        <f>K201-L201</f>
        <v>0</v>
      </c>
      <c r="J201" s="91" t="str">
        <f>IF(H201=1,I201,"")</f>
        <v/>
      </c>
      <c r="K201" s="410">
        <f>F201*AVERAGE(K202:K204)</f>
        <v>0</v>
      </c>
      <c r="L201" s="99">
        <f>F201*AVERAGE(L202:L204)</f>
        <v>0</v>
      </c>
      <c r="M201" s="1552"/>
      <c r="N201" s="1552"/>
      <c r="O201" s="25" t="str">
        <f>_xlfn.IFNA(VLOOKUP($C201,'Master sheet'!$A:$AR,44,FALSE),"")&amp;""</f>
        <v/>
      </c>
      <c r="P201" s="685"/>
      <c r="Q201" s="29" t="s">
        <v>1556</v>
      </c>
      <c r="R201" s="757" t="s">
        <v>1680</v>
      </c>
      <c r="S201" s="664"/>
      <c r="T201" s="664"/>
      <c r="U201" s="664"/>
      <c r="V201" s="664"/>
      <c r="W201" s="664"/>
      <c r="X201" s="664"/>
      <c r="Y201" s="664"/>
      <c r="Z201" s="664"/>
    </row>
    <row r="202" spans="1:26" ht="31.5" customHeight="1" outlineLevel="1" x14ac:dyDescent="0.25">
      <c r="A202" s="729"/>
      <c r="B202" s="729"/>
      <c r="C202" s="673" t="str">
        <f>INDEX('Master sheet'!$A$1:$A$670,MATCH("A36",'Master sheet'!$AN$1:$AN$670,0))</f>
        <v>Fiberglass batt / Johns Manville / Unfaced, ComfortTherm, Cavity-SHIELD, FSK-25 / R 3.4/inch</v>
      </c>
      <c r="D202" s="17">
        <f>'USER INPUT SHEET'!$D$52</f>
        <v>0</v>
      </c>
      <c r="E202" s="18" t="str">
        <f>'USER INPUT SHEET'!$F$32</f>
        <v>m2</v>
      </c>
      <c r="F202" s="4">
        <v>1</v>
      </c>
      <c r="G202" s="674"/>
      <c r="H202" s="9"/>
      <c r="I202" s="95">
        <f t="shared" ref="I202:I203" si="73">K202-L202</f>
        <v>0</v>
      </c>
      <c r="J202" s="96" t="str">
        <f t="shared" ref="J202:J203" si="74">IF(H202=1,I202,"")</f>
        <v/>
      </c>
      <c r="K202" s="407">
        <f>$D202*($E$200/5.678)*$F202*VLOOKUP($C202,'Master sheet'!$A:$AL,13,FALSE)</f>
        <v>0</v>
      </c>
      <c r="L202" s="97">
        <f>$D202*($E$200/5.678)*$F202*VLOOKUP($C202,'Master sheet'!$A:$AL,27,FALSE)</f>
        <v>0</v>
      </c>
      <c r="M202" s="1552"/>
      <c r="N202" s="1552"/>
      <c r="O202" s="25" t="str">
        <f>_xlfn.IFNA(VLOOKUP($C202,'Master sheet'!$A:$AR,44,FALSE),"")&amp;""</f>
        <v/>
      </c>
      <c r="P202" s="685"/>
      <c r="Q202" s="29" t="s">
        <v>1556</v>
      </c>
      <c r="R202" s="757" t="s">
        <v>1680</v>
      </c>
      <c r="T202" s="664"/>
      <c r="U202" s="664"/>
      <c r="V202" s="664"/>
      <c r="W202" s="664"/>
      <c r="X202" s="664"/>
      <c r="Y202" s="664"/>
      <c r="Z202" s="664"/>
    </row>
    <row r="203" spans="1:26" ht="22.8" outlineLevel="1" x14ac:dyDescent="0.25">
      <c r="A203" s="729"/>
      <c r="B203" s="729"/>
      <c r="C203" s="673" t="str">
        <f>INDEX('Master sheet'!$A$1:$A$670,MATCH("A37",'Master sheet'!$AN$1:$AN$670,0))</f>
        <v>Fiberglass batt / NAIMA  /  / R 4.4/inch</v>
      </c>
      <c r="D203" s="17">
        <f>'USER INPUT SHEET'!$D$52</f>
        <v>0</v>
      </c>
      <c r="E203" s="18" t="str">
        <f>'USER INPUT SHEET'!$F$32</f>
        <v>m2</v>
      </c>
      <c r="F203" s="4">
        <v>1</v>
      </c>
      <c r="G203" s="674"/>
      <c r="H203" s="9"/>
      <c r="I203" s="95">
        <f t="shared" si="73"/>
        <v>0</v>
      </c>
      <c r="J203" s="96" t="str">
        <f t="shared" si="74"/>
        <v/>
      </c>
      <c r="K203" s="407">
        <f>$D203*($E$200/5.678)*$F203*VLOOKUP($C203,'Master sheet'!$A:$AL,13,FALSE)</f>
        <v>0</v>
      </c>
      <c r="L203" s="97">
        <f>$D203*($E$200/5.678)*$F203*VLOOKUP($C203,'Master sheet'!$A:$AL,27,FALSE)</f>
        <v>0</v>
      </c>
      <c r="M203" s="1552"/>
      <c r="N203" s="1552"/>
      <c r="O203" s="25" t="str">
        <f>_xlfn.IFNA(VLOOKUP($C203,'Master sheet'!$A:$AR,44,FALSE),"")&amp;""</f>
        <v/>
      </c>
      <c r="P203" s="685"/>
      <c r="Q203" s="29" t="s">
        <v>1556</v>
      </c>
      <c r="R203" s="757" t="s">
        <v>1680</v>
      </c>
      <c r="T203" s="664"/>
      <c r="U203" s="664"/>
      <c r="V203" s="664"/>
      <c r="W203" s="664"/>
      <c r="X203" s="664"/>
      <c r="Y203" s="664"/>
      <c r="Z203" s="664"/>
    </row>
    <row r="204" spans="1:26" s="624" customFormat="1" ht="31.2" outlineLevel="1" x14ac:dyDescent="0.25">
      <c r="A204" s="729"/>
      <c r="B204" s="729"/>
      <c r="C204" s="673" t="str">
        <f>INDEX('Master sheet'!$A$1:$A$670,MATCH("A38",'Master sheet'!$AN$1:$AN$670,0))</f>
        <v>Fiberglass batt &amp; roll  / Owens Corning /  Unfaced, PINK Next Gen Fiberglas / R 3.6/inch avg.</v>
      </c>
      <c r="D204" s="17">
        <f>'USER INPUT SHEET'!$D$52</f>
        <v>0</v>
      </c>
      <c r="E204" s="18" t="str">
        <f>'USER INPUT SHEET'!$F$32</f>
        <v>m2</v>
      </c>
      <c r="F204" s="4">
        <v>1</v>
      </c>
      <c r="G204" s="674"/>
      <c r="H204" s="9"/>
      <c r="I204" s="95">
        <f t="shared" ref="I204:I212" si="75">K204-L204</f>
        <v>0</v>
      </c>
      <c r="J204" s="96" t="str">
        <f t="shared" ref="J204:J212" si="76">IF(H204=1,I204,"")</f>
        <v/>
      </c>
      <c r="K204" s="407">
        <f>$D204*($E$200/5.678)*$F204*VLOOKUP($C204,'Master sheet'!$A:$AL,13,FALSE)</f>
        <v>0</v>
      </c>
      <c r="L204" s="97">
        <f>$D204*($E$200/5.678)*$F204*VLOOKUP($C204,'Master sheet'!$A:$AL,27,FALSE)</f>
        <v>0</v>
      </c>
      <c r="M204" s="1559"/>
      <c r="N204" s="1559"/>
      <c r="O204" s="25" t="str">
        <f>_xlfn.IFNA(VLOOKUP($C204,'Master sheet'!$A:$AR,44,FALSE),"")&amp;""</f>
        <v/>
      </c>
      <c r="P204" s="685"/>
      <c r="Q204" s="29" t="s">
        <v>1556</v>
      </c>
      <c r="R204" s="757" t="s">
        <v>1680</v>
      </c>
      <c r="T204" s="638"/>
      <c r="U204" s="638"/>
      <c r="V204" s="638"/>
      <c r="W204" s="638"/>
      <c r="X204" s="638"/>
      <c r="Y204" s="638"/>
      <c r="Z204" s="638"/>
    </row>
    <row r="205" spans="1:26" s="624" customFormat="1" ht="22.8" outlineLevel="1" x14ac:dyDescent="0.25">
      <c r="A205" s="639"/>
      <c r="B205" s="1524" t="s">
        <v>1041</v>
      </c>
      <c r="C205" s="1523"/>
      <c r="D205" s="687" t="str">
        <f>IF(LOWER(Setting!rng_language)="english","R-VALUE:","VALEUR R :")</f>
        <v>R-VALUE:</v>
      </c>
      <c r="E205" s="1"/>
      <c r="F205" s="340"/>
      <c r="G205" s="739"/>
      <c r="H205" s="740"/>
      <c r="I205" s="741"/>
      <c r="J205" s="742"/>
      <c r="K205" s="741"/>
      <c r="L205" s="743"/>
      <c r="M205" s="743"/>
      <c r="N205" s="743"/>
      <c r="O205" s="25" t="str">
        <f>_xlfn.IFNA(VLOOKUP($C205,'Master sheet'!$A:$AR,44,FALSE),"")&amp;""</f>
        <v/>
      </c>
      <c r="P205" s="637"/>
      <c r="Q205" s="29" t="s">
        <v>1556</v>
      </c>
      <c r="R205" s="757" t="s">
        <v>1680</v>
      </c>
      <c r="T205" s="638"/>
      <c r="U205" s="638"/>
      <c r="V205" s="638"/>
      <c r="W205" s="638"/>
      <c r="X205" s="638"/>
      <c r="Y205" s="638"/>
      <c r="Z205" s="638"/>
    </row>
    <row r="206" spans="1:26" ht="22.8" outlineLevel="1" x14ac:dyDescent="0.25">
      <c r="A206" s="729"/>
      <c r="B206" s="729"/>
      <c r="C206" s="691" t="s">
        <v>1361</v>
      </c>
      <c r="D206" s="19">
        <f>'USER INPUT SHEET'!$D$52</f>
        <v>0</v>
      </c>
      <c r="E206" s="20" t="str">
        <f>'USER INPUT SHEET'!$F$32</f>
        <v>m2</v>
      </c>
      <c r="F206" s="6">
        <v>1</v>
      </c>
      <c r="G206" s="692"/>
      <c r="H206" s="10"/>
      <c r="I206" s="98">
        <f>K206-L206</f>
        <v>0</v>
      </c>
      <c r="J206" s="91" t="str">
        <f>IF(H206=1,I206,"")</f>
        <v/>
      </c>
      <c r="K206" s="410">
        <f>F206*AVERAGE(K207:K210)</f>
        <v>0</v>
      </c>
      <c r="L206" s="99">
        <f>F206*AVERAGE(L207:L210)</f>
        <v>0</v>
      </c>
      <c r="M206" s="1552"/>
      <c r="N206" s="1552"/>
      <c r="O206" s="25" t="str">
        <f>_xlfn.IFNA(VLOOKUP($C206,'Master sheet'!$A:$AR,44,FALSE),"")&amp;""</f>
        <v/>
      </c>
      <c r="P206" s="637"/>
      <c r="Q206" s="29" t="s">
        <v>1556</v>
      </c>
      <c r="R206" s="757" t="s">
        <v>1680</v>
      </c>
      <c r="S206" s="664"/>
      <c r="T206" s="664"/>
      <c r="U206" s="664"/>
      <c r="V206" s="664"/>
      <c r="W206" s="664"/>
      <c r="X206" s="664"/>
      <c r="Y206" s="664"/>
      <c r="Z206" s="664"/>
    </row>
    <row r="207" spans="1:26" ht="31.5" customHeight="1" outlineLevel="1" x14ac:dyDescent="0.25">
      <c r="A207" s="1564"/>
      <c r="B207" s="1564"/>
      <c r="C207" s="669" t="str">
        <f>INDEX('Master sheet'!$A$1:$A$670,MATCH(105,'Master sheet'!$AN$1:$AN$670,0))</f>
        <v>Fiberglass loose fill / CertainTeed / InsulSafe, Optima, TruComfort / R 2.6/inch</v>
      </c>
      <c r="D207" s="15">
        <f>'USER INPUT SHEET'!$D$52</f>
        <v>0</v>
      </c>
      <c r="E207" s="16" t="str">
        <f>'USER INPUT SHEET'!$F$32</f>
        <v>m2</v>
      </c>
      <c r="F207" s="3">
        <v>1</v>
      </c>
      <c r="G207" s="670"/>
      <c r="H207" s="8"/>
      <c r="I207" s="92">
        <f t="shared" si="75"/>
        <v>0</v>
      </c>
      <c r="J207" s="93" t="str">
        <f t="shared" si="76"/>
        <v/>
      </c>
      <c r="K207" s="406">
        <f>$D207*($E$205/5.678)*$F207*VLOOKUP($C207,'Master sheet'!$A:$AL,13,FALSE)</f>
        <v>0</v>
      </c>
      <c r="L207" s="94">
        <f>$D207*($E$205/5.678)*$F207*VLOOKUP($C207,'Master sheet'!$A:$AL,27,FALSE)</f>
        <v>0</v>
      </c>
      <c r="M207" s="1552"/>
      <c r="N207" s="1552"/>
      <c r="O207" s="25" t="str">
        <f ca="1">_xlfn.IFNA(VLOOKUP($C207,'Master sheet'!$A:$AR,44,FALSE),"")&amp;""</f>
        <v>Expired 2024</v>
      </c>
      <c r="P207" s="685"/>
      <c r="Q207" s="29" t="s">
        <v>1556</v>
      </c>
      <c r="R207" s="757" t="s">
        <v>1680</v>
      </c>
      <c r="T207" s="664"/>
      <c r="U207" s="664"/>
      <c r="V207" s="664"/>
      <c r="W207" s="664"/>
      <c r="X207" s="664"/>
      <c r="Y207" s="664"/>
      <c r="Z207" s="664"/>
    </row>
    <row r="208" spans="1:26" ht="46.8" outlineLevel="1" x14ac:dyDescent="0.25">
      <c r="A208" s="1564"/>
      <c r="B208" s="1564"/>
      <c r="C208" s="673" t="str">
        <f>INDEX('Master sheet'!$A$1:$A$670,MATCH(374,'Master sheet'!$AN$1:$AN$670,0))</f>
        <v>Fiberglass loose fill / Johns Manville / Climate Pro, Attic Protector, JM Spider PLUS (Canada) / R 2.8/inch, Formaldehyde-free</v>
      </c>
      <c r="D208" s="17">
        <f>'USER INPUT SHEET'!$D$52</f>
        <v>0</v>
      </c>
      <c r="E208" s="18" t="str">
        <f>'USER INPUT SHEET'!$F$32</f>
        <v>m2</v>
      </c>
      <c r="F208" s="4">
        <v>1</v>
      </c>
      <c r="G208" s="674"/>
      <c r="H208" s="9"/>
      <c r="I208" s="95">
        <f t="shared" ref="I208:I209" si="77">K208-L208</f>
        <v>0</v>
      </c>
      <c r="J208" s="96" t="str">
        <f t="shared" ref="J208:J209" si="78">IF(H208=1,I208,"")</f>
        <v/>
      </c>
      <c r="K208" s="407">
        <f>$D208*($E$205/5.678)*$F208*VLOOKUP($C208,'Master sheet'!$A:$AL,13,FALSE)</f>
        <v>0</v>
      </c>
      <c r="L208" s="97">
        <f>$D208*($E$205/5.678)*$F208*VLOOKUP($C208,'Master sheet'!$A:$AL,27,FALSE)</f>
        <v>0</v>
      </c>
      <c r="M208" s="1552"/>
      <c r="N208" s="1552"/>
      <c r="O208" s="25" t="str">
        <f ca="1">_xlfn.IFNA(VLOOKUP($C208,'Master sheet'!$A:$AR,44,FALSE),"")&amp;""</f>
        <v/>
      </c>
      <c r="P208" s="685"/>
      <c r="Q208" s="29" t="s">
        <v>1556</v>
      </c>
      <c r="R208" s="757" t="s">
        <v>1680</v>
      </c>
      <c r="S208" s="624"/>
      <c r="T208" s="638" t="s">
        <v>7295</v>
      </c>
      <c r="U208" s="638"/>
      <c r="V208" s="638"/>
      <c r="W208" s="664"/>
      <c r="X208" s="664"/>
      <c r="Y208" s="664"/>
      <c r="Z208" s="664"/>
    </row>
    <row r="209" spans="1:26" ht="46.8" outlineLevel="1" x14ac:dyDescent="0.25">
      <c r="A209" s="1564"/>
      <c r="B209" s="1564"/>
      <c r="C209" s="673" t="str">
        <f>INDEX('Master sheet'!$A$1:$A$670,MATCH("A40",'Master sheet'!$AN$1:$AN$670,0))</f>
        <v>Fiberglass loose fill / NAIMA  / Includes : CertainTeed, Inc. Saint-Gobin, Johns Manville, Knauf Insulation North America, Owens Corning / R 2.2/inch</v>
      </c>
      <c r="D209" s="17">
        <f>'USER INPUT SHEET'!$D$52</f>
        <v>0</v>
      </c>
      <c r="E209" s="18" t="str">
        <f>'USER INPUT SHEET'!$F$32</f>
        <v>m2</v>
      </c>
      <c r="F209" s="4">
        <v>1</v>
      </c>
      <c r="G209" s="674"/>
      <c r="H209" s="9"/>
      <c r="I209" s="95">
        <f t="shared" si="77"/>
        <v>0</v>
      </c>
      <c r="J209" s="96" t="str">
        <f t="shared" si="78"/>
        <v/>
      </c>
      <c r="K209" s="407">
        <f>$D209*($E$205/5.678)*$F209*VLOOKUP($C209,'Master sheet'!$A:$AL,13,FALSE)</f>
        <v>0</v>
      </c>
      <c r="L209" s="97">
        <f>$D209*($E$205/5.678)*$F209*VLOOKUP($C209,'Master sheet'!$A:$AL,27,FALSE)</f>
        <v>0</v>
      </c>
      <c r="M209" s="1552"/>
      <c r="N209" s="1552"/>
      <c r="O209" s="25" t="str">
        <f>_xlfn.IFNA(VLOOKUP($C209,'Master sheet'!$A:$AR,44,FALSE),"")&amp;""</f>
        <v/>
      </c>
      <c r="P209" s="685"/>
      <c r="Q209" s="29" t="s">
        <v>1556</v>
      </c>
      <c r="R209" s="757" t="s">
        <v>1680</v>
      </c>
      <c r="S209" s="624"/>
      <c r="T209" s="638" t="s">
        <v>7295</v>
      </c>
      <c r="U209" s="638"/>
      <c r="V209" s="638"/>
      <c r="W209" s="664"/>
      <c r="X209" s="664"/>
      <c r="Y209" s="664"/>
      <c r="Z209" s="664"/>
    </row>
    <row r="210" spans="1:26" s="624" customFormat="1" ht="31.2" outlineLevel="1" x14ac:dyDescent="0.25">
      <c r="A210" s="1564"/>
      <c r="B210" s="1564"/>
      <c r="C210" s="673" t="str">
        <f>INDEX('Master sheet'!$A$1:$A$670,MATCH("A39",'Master sheet'!$AN$1:$AN$670,0))</f>
        <v>Fiberglass loose fill / Owens Corning / AttiCat, ProCat, ProPink / R 3.28/inch</v>
      </c>
      <c r="D210" s="17">
        <f>'USER INPUT SHEET'!$D$52</f>
        <v>0</v>
      </c>
      <c r="E210" s="18" t="str">
        <f>'USER INPUT SHEET'!$F$32</f>
        <v>m2</v>
      </c>
      <c r="F210" s="4">
        <v>1</v>
      </c>
      <c r="G210" s="674"/>
      <c r="H210" s="9"/>
      <c r="I210" s="95">
        <f t="shared" si="75"/>
        <v>0</v>
      </c>
      <c r="J210" s="96" t="str">
        <f t="shared" si="76"/>
        <v/>
      </c>
      <c r="K210" s="407">
        <f>$D210*($E$205/5.678)*$F210*VLOOKUP($C210,'Master sheet'!$A:$AL,13,FALSE)</f>
        <v>0</v>
      </c>
      <c r="L210" s="97">
        <f>$D210*($E$205/5.678)*$F210*VLOOKUP($C210,'Master sheet'!$A:$AL,27,FALSE)</f>
        <v>0</v>
      </c>
      <c r="M210" s="1559"/>
      <c r="N210" s="1559"/>
      <c r="O210" s="25" t="str">
        <f>_xlfn.IFNA(VLOOKUP($C210,'Master sheet'!$A:$AR,44,FALSE),"")&amp;""</f>
        <v/>
      </c>
      <c r="P210" s="685"/>
      <c r="Q210" s="29" t="s">
        <v>1556</v>
      </c>
      <c r="R210" s="757" t="s">
        <v>1680</v>
      </c>
      <c r="T210" s="638"/>
      <c r="U210" s="638"/>
      <c r="V210" s="638"/>
      <c r="W210" s="638"/>
      <c r="X210" s="638"/>
      <c r="Y210" s="638"/>
      <c r="Z210" s="638"/>
    </row>
    <row r="211" spans="1:26" s="624" customFormat="1" ht="22.8" outlineLevel="1" x14ac:dyDescent="0.25">
      <c r="A211" s="639"/>
      <c r="B211" s="1524" t="s">
        <v>968</v>
      </c>
      <c r="C211" s="1523"/>
      <c r="D211" s="687" t="str">
        <f>IF(LOWER(Setting!rng_language)="english","R-VALUE:","VALEUR R :")</f>
        <v>R-VALUE:</v>
      </c>
      <c r="E211" s="1"/>
      <c r="F211" s="340"/>
      <c r="G211" s="739"/>
      <c r="H211" s="740"/>
      <c r="I211" s="741"/>
      <c r="J211" s="742"/>
      <c r="K211" s="741"/>
      <c r="L211" s="743"/>
      <c r="M211" s="743"/>
      <c r="N211" s="743"/>
      <c r="O211" s="25" t="str">
        <f>_xlfn.IFNA(VLOOKUP($C211,'Master sheet'!$A:$AR,44,FALSE),"")&amp;""</f>
        <v/>
      </c>
      <c r="P211" s="685"/>
      <c r="Q211" s="29" t="s">
        <v>1556</v>
      </c>
      <c r="R211" s="757" t="s">
        <v>1680</v>
      </c>
      <c r="T211" s="638"/>
      <c r="U211" s="638"/>
      <c r="V211" s="638"/>
      <c r="W211" s="638"/>
      <c r="X211" s="638"/>
      <c r="Y211" s="638"/>
      <c r="Z211" s="638"/>
    </row>
    <row r="212" spans="1:26" ht="31.5" customHeight="1" outlineLevel="1" x14ac:dyDescent="0.25">
      <c r="A212" s="1600"/>
      <c r="B212" s="1564"/>
      <c r="C212" s="669" t="str">
        <f>INDEX('Master sheet'!$A$1:$A$670,MATCH("A189",'Master sheet'!$AN$1:$AN$670,0))</f>
        <v>Mineral wool batt / Owens Corning / UltraBatt - Fire and Sound guard Plus R-15, R-30 / R 4.2-inch</v>
      </c>
      <c r="D212" s="15">
        <f>'USER INPUT SHEET'!$D$52</f>
        <v>0</v>
      </c>
      <c r="E212" s="16" t="str">
        <f>'USER INPUT SHEET'!$F$32</f>
        <v>m2</v>
      </c>
      <c r="F212" s="3">
        <v>1</v>
      </c>
      <c r="G212" s="670"/>
      <c r="H212" s="8"/>
      <c r="I212" s="92">
        <f t="shared" si="75"/>
        <v>0</v>
      </c>
      <c r="J212" s="93" t="str">
        <f t="shared" si="76"/>
        <v/>
      </c>
      <c r="K212" s="406">
        <f>$D212*($E$211/5.678)*$F212*VLOOKUP($C212,'Master sheet'!$A:$AL,13,FALSE)</f>
        <v>0</v>
      </c>
      <c r="L212" s="94">
        <f>$D212*($E$211/5.678)*$F212*VLOOKUP($C212,'Master sheet'!$A:$AL,27,FALSE)</f>
        <v>0</v>
      </c>
      <c r="M212" s="1552"/>
      <c r="N212" s="1552"/>
      <c r="O212" s="25" t="str">
        <f>_xlfn.IFNA(VLOOKUP($C212,'Master sheet'!$A:$AR,44,FALSE),"")&amp;""</f>
        <v/>
      </c>
      <c r="P212" s="637"/>
      <c r="Q212" s="29" t="s">
        <v>1556</v>
      </c>
      <c r="R212" s="757" t="s">
        <v>1680</v>
      </c>
      <c r="T212" s="664"/>
      <c r="U212" s="664"/>
      <c r="V212" s="664"/>
      <c r="W212" s="664"/>
      <c r="X212" s="664"/>
      <c r="Y212" s="664"/>
      <c r="Z212" s="664"/>
    </row>
    <row r="213" spans="1:26" ht="31.5" customHeight="1" outlineLevel="1" x14ac:dyDescent="0.25">
      <c r="A213" s="1600"/>
      <c r="B213" s="1564"/>
      <c r="C213" s="673" t="str">
        <f>INDEX('Master sheet'!$A$1:$A$670,MATCH("A190",'Master sheet'!$AN$1:$AN$670,0))</f>
        <v>Mineral wool batt / Owens Corning / UltraBatt - Fire and Sound guard Plus R-23 / R 4.2-inch</v>
      </c>
      <c r="D213" s="17">
        <f>'USER INPUT SHEET'!$D$52</f>
        <v>0</v>
      </c>
      <c r="E213" s="18" t="str">
        <f>'USER INPUT SHEET'!$F$32</f>
        <v>m2</v>
      </c>
      <c r="F213" s="4">
        <v>1</v>
      </c>
      <c r="G213" s="674"/>
      <c r="H213" s="9"/>
      <c r="I213" s="95">
        <f t="shared" ref="I213:I217" si="79">K213-L213</f>
        <v>0</v>
      </c>
      <c r="J213" s="96" t="str">
        <f t="shared" ref="J213:J217" si="80">IF(H213=1,I213,"")</f>
        <v/>
      </c>
      <c r="K213" s="407">
        <f>$D213*($E$211/5.678)*$F213*VLOOKUP($C213,'Master sheet'!$A:$AL,13,FALSE)</f>
        <v>0</v>
      </c>
      <c r="L213" s="97">
        <f>$D213*($E$211/5.678)*$F213*VLOOKUP($C213,'Master sheet'!$A:$AL,27,FALSE)</f>
        <v>0</v>
      </c>
      <c r="M213" s="1552"/>
      <c r="N213" s="1552"/>
      <c r="O213" s="25" t="str">
        <f>_xlfn.IFNA(VLOOKUP($C213,'Master sheet'!$A:$AR,44,FALSE),"")&amp;""</f>
        <v/>
      </c>
      <c r="P213" s="637"/>
      <c r="Q213" s="29" t="s">
        <v>1556</v>
      </c>
      <c r="R213" s="757" t="s">
        <v>1680</v>
      </c>
      <c r="T213" s="664"/>
      <c r="U213" s="664"/>
      <c r="V213" s="664"/>
      <c r="W213" s="664"/>
      <c r="X213" s="664"/>
      <c r="Y213" s="664"/>
      <c r="Z213" s="664"/>
    </row>
    <row r="214" spans="1:26" ht="31.2" outlineLevel="1" x14ac:dyDescent="0.25">
      <c r="A214" s="1600"/>
      <c r="B214" s="1564"/>
      <c r="C214" s="673" t="str">
        <f>INDEX('Master sheet'!$A$1:$A$670,MATCH("A191",'Master sheet'!$AN$1:$AN$670,0))</f>
        <v>Mineral wool batt / Owens Corning / UltraBatt - Fire and Sound guard Plus R-24 / R 4.0-inch</v>
      </c>
      <c r="D214" s="17">
        <f>'USER INPUT SHEET'!$D$52</f>
        <v>0</v>
      </c>
      <c r="E214" s="18" t="str">
        <f>'USER INPUT SHEET'!$F$32</f>
        <v>m2</v>
      </c>
      <c r="F214" s="4">
        <v>1</v>
      </c>
      <c r="G214" s="674"/>
      <c r="H214" s="9"/>
      <c r="I214" s="95">
        <f t="shared" si="79"/>
        <v>0</v>
      </c>
      <c r="J214" s="96" t="str">
        <f t="shared" si="80"/>
        <v/>
      </c>
      <c r="K214" s="407">
        <f>$D214*($E$211/5.678)*$F214*VLOOKUP($C214,'Master sheet'!$A:$AL,13,FALSE)</f>
        <v>0</v>
      </c>
      <c r="L214" s="97">
        <f>$D214*($E$211/5.678)*$F214*VLOOKUP($C214,'Master sheet'!$A:$AL,27,FALSE)</f>
        <v>0</v>
      </c>
      <c r="M214" s="1552"/>
      <c r="N214" s="1552"/>
      <c r="O214" s="25" t="str">
        <f>_xlfn.IFNA(VLOOKUP($C214,'Master sheet'!$A:$AR,44,FALSE),"")&amp;""</f>
        <v/>
      </c>
      <c r="P214" s="637"/>
      <c r="Q214" s="29" t="s">
        <v>1556</v>
      </c>
      <c r="R214" s="757" t="s">
        <v>1680</v>
      </c>
      <c r="T214" s="664"/>
      <c r="U214" s="664"/>
      <c r="V214" s="664"/>
      <c r="W214" s="664"/>
      <c r="X214" s="664"/>
      <c r="Y214" s="664"/>
      <c r="Z214" s="664"/>
    </row>
    <row r="215" spans="1:26" ht="22.95" customHeight="1" outlineLevel="1" x14ac:dyDescent="0.25">
      <c r="A215" s="1600"/>
      <c r="B215" s="1564"/>
      <c r="C215" s="673" t="str">
        <f>INDEX('Master sheet'!$A$1:$A$670,MATCH("A195",'Master sheet'!$AN$1:$AN$670,0))</f>
        <v>Mineral wool batt / Rockwool / ComfortBatt R-23 / R 4.2-inch</v>
      </c>
      <c r="D215" s="17">
        <f>'USER INPUT SHEET'!$D$52</f>
        <v>0</v>
      </c>
      <c r="E215" s="18" t="str">
        <f>'USER INPUT SHEET'!$F$32</f>
        <v>m2</v>
      </c>
      <c r="F215" s="4">
        <v>1</v>
      </c>
      <c r="G215" s="674"/>
      <c r="H215" s="9"/>
      <c r="I215" s="95">
        <f t="shared" si="79"/>
        <v>0</v>
      </c>
      <c r="J215" s="96" t="str">
        <f t="shared" si="80"/>
        <v/>
      </c>
      <c r="K215" s="407">
        <f>$D215*($E$211/5.678)*$F215*VLOOKUP($C215,'Master sheet'!$A:$AL,13,FALSE)</f>
        <v>0</v>
      </c>
      <c r="L215" s="97">
        <f>$D215*($E$211/5.678)*$F215*VLOOKUP($C215,'Master sheet'!$A:$AL,27,FALSE)</f>
        <v>0</v>
      </c>
      <c r="M215" s="1552"/>
      <c r="N215" s="1552"/>
      <c r="O215" s="25" t="str">
        <f>_xlfn.IFNA(VLOOKUP($C215,'Master sheet'!$A:$AR,44,FALSE),"")&amp;""</f>
        <v/>
      </c>
      <c r="P215" s="637"/>
      <c r="Q215" s="29" t="s">
        <v>1556</v>
      </c>
      <c r="R215" s="757" t="s">
        <v>1680</v>
      </c>
      <c r="T215" s="664"/>
      <c r="U215" s="664"/>
      <c r="V215" s="664"/>
      <c r="W215" s="664"/>
      <c r="X215" s="664"/>
      <c r="Y215" s="664"/>
      <c r="Z215" s="664"/>
    </row>
    <row r="216" spans="1:26" ht="31.2" outlineLevel="1" x14ac:dyDescent="0.25">
      <c r="A216" s="1600"/>
      <c r="B216" s="1564"/>
      <c r="C216" s="673" t="str">
        <f>INDEX('Master sheet'!$A$1:$A$670,MATCH("A196",'Master sheet'!$AN$1:$AN$670,0))</f>
        <v>Mineral wool batt / Rockwool / ComfortBatt R-24 (Steel Studs) / R 4.0-inch</v>
      </c>
      <c r="D216" s="17">
        <f>'USER INPUT SHEET'!$D$52</f>
        <v>0</v>
      </c>
      <c r="E216" s="18" t="str">
        <f>'USER INPUT SHEET'!$F$32</f>
        <v>m2</v>
      </c>
      <c r="F216" s="4">
        <v>1</v>
      </c>
      <c r="G216" s="674"/>
      <c r="H216" s="9"/>
      <c r="I216" s="95">
        <f t="shared" si="79"/>
        <v>0</v>
      </c>
      <c r="J216" s="96" t="str">
        <f t="shared" si="80"/>
        <v/>
      </c>
      <c r="K216" s="407">
        <f>$D216*($E$211/5.678)*$F216*VLOOKUP($C216,'Master sheet'!$A:$AL,13,FALSE)</f>
        <v>0</v>
      </c>
      <c r="L216" s="97">
        <f>$D216*($E$211/5.678)*$F216*VLOOKUP($C216,'Master sheet'!$A:$AL,27,FALSE)</f>
        <v>0</v>
      </c>
      <c r="M216" s="1552"/>
      <c r="N216" s="1552"/>
      <c r="O216" s="25" t="str">
        <f>_xlfn.IFNA(VLOOKUP($C216,'Master sheet'!$A:$AR,44,FALSE),"")&amp;""</f>
        <v/>
      </c>
      <c r="P216" s="637"/>
      <c r="Q216" s="29" t="s">
        <v>1556</v>
      </c>
      <c r="R216" s="757" t="s">
        <v>1680</v>
      </c>
      <c r="T216" s="664"/>
      <c r="U216" s="664"/>
      <c r="V216" s="664"/>
      <c r="W216" s="664"/>
      <c r="X216" s="664"/>
      <c r="Y216" s="664"/>
      <c r="Z216" s="664"/>
    </row>
    <row r="217" spans="1:26" ht="31.2" outlineLevel="1" x14ac:dyDescent="0.25">
      <c r="A217" s="1600"/>
      <c r="B217" s="1564"/>
      <c r="C217" s="673" t="str">
        <f>INDEX('Master sheet'!$A$1:$A$670,MATCH("A197",'Master sheet'!$AN$1:$AN$670,0))</f>
        <v>Mineral wool batt / Rockwool / ComfortBatt R-24 (Wood Studs) / R 4.4-inch</v>
      </c>
      <c r="D217" s="17">
        <f>'USER INPUT SHEET'!$D$52</f>
        <v>0</v>
      </c>
      <c r="E217" s="18" t="str">
        <f>'USER INPUT SHEET'!$F$32</f>
        <v>m2</v>
      </c>
      <c r="F217" s="4">
        <v>1</v>
      </c>
      <c r="G217" s="674"/>
      <c r="H217" s="9"/>
      <c r="I217" s="95">
        <f t="shared" si="79"/>
        <v>0</v>
      </c>
      <c r="J217" s="96" t="str">
        <f t="shared" si="80"/>
        <v/>
      </c>
      <c r="K217" s="407">
        <f>$D217*($E$211/5.678)*$F217*VLOOKUP($C217,'Master sheet'!$A:$AL,13,FALSE)</f>
        <v>0</v>
      </c>
      <c r="L217" s="97">
        <f>$D217*($E$211/5.678)*$F217*VLOOKUP($C217,'Master sheet'!$A:$AL,27,FALSE)</f>
        <v>0</v>
      </c>
      <c r="M217" s="1559"/>
      <c r="N217" s="1559"/>
      <c r="O217" s="25" t="str">
        <f>_xlfn.IFNA(VLOOKUP($C217,'Master sheet'!$A:$AR,44,FALSE),"")&amp;""</f>
        <v/>
      </c>
      <c r="P217" s="637"/>
      <c r="Q217" s="29" t="s">
        <v>1556</v>
      </c>
      <c r="R217" s="757" t="s">
        <v>1680</v>
      </c>
      <c r="T217" s="664"/>
      <c r="U217" s="664"/>
      <c r="V217" s="664"/>
      <c r="W217" s="664"/>
      <c r="X217" s="664"/>
      <c r="Y217" s="664"/>
      <c r="Z217" s="664"/>
    </row>
    <row r="218" spans="1:26" s="624" customFormat="1" ht="22.8" outlineLevel="1" x14ac:dyDescent="0.25">
      <c r="A218" s="639"/>
      <c r="B218" s="1524" t="s">
        <v>3437</v>
      </c>
      <c r="C218" s="1523"/>
      <c r="D218" s="687" t="str">
        <f>IF(LOWER(Setting!rng_language)="english","R-VALUE:","VALEUR R :")</f>
        <v>R-VALUE:</v>
      </c>
      <c r="E218" s="1"/>
      <c r="F218" s="340"/>
      <c r="G218" s="739"/>
      <c r="H218" s="740"/>
      <c r="I218" s="741"/>
      <c r="J218" s="742"/>
      <c r="K218" s="741"/>
      <c r="L218" s="743"/>
      <c r="M218" s="743"/>
      <c r="N218" s="743"/>
      <c r="O218" s="25" t="str">
        <f>_xlfn.IFNA(VLOOKUP($C218,'Master sheet'!$A:$AR,44,FALSE),"")&amp;""</f>
        <v/>
      </c>
      <c r="P218" s="685"/>
      <c r="Q218" s="29" t="s">
        <v>1556</v>
      </c>
      <c r="R218" s="757" t="s">
        <v>1680</v>
      </c>
      <c r="T218" s="638"/>
      <c r="U218" s="638"/>
      <c r="V218" s="638"/>
      <c r="W218" s="638"/>
      <c r="X218" s="638"/>
      <c r="Y218" s="638"/>
      <c r="Z218" s="638"/>
    </row>
    <row r="219" spans="1:26" s="624" customFormat="1" ht="31.5" customHeight="1" outlineLevel="1" x14ac:dyDescent="0.25">
      <c r="A219" s="1603"/>
      <c r="B219" s="1603"/>
      <c r="C219" s="669" t="str">
        <f>INDEX('Master sheet'!$A$1:$A$670,MATCH("A77",'Master sheet'!$AN$1:$AN$670,0))</f>
        <v>Mineral wool loose fill / NAIMA / USG, American Rockwool  / R 3/inch</v>
      </c>
      <c r="D219" s="15">
        <f>'USER INPUT SHEET'!$D$52</f>
        <v>0</v>
      </c>
      <c r="E219" s="16" t="str">
        <f>'USER INPUT SHEET'!$F$32</f>
        <v>m2</v>
      </c>
      <c r="F219" s="3">
        <v>1</v>
      </c>
      <c r="G219" s="670"/>
      <c r="H219" s="8"/>
      <c r="I219" s="92">
        <f t="shared" ref="I219" si="81">K219-L219</f>
        <v>0</v>
      </c>
      <c r="J219" s="93" t="str">
        <f t="shared" ref="J219" si="82">IF(H219=1,I219,"")</f>
        <v/>
      </c>
      <c r="K219" s="406">
        <f>$D219*($E$218/5.678)*$F219*VLOOKUP($C219,'Master sheet'!$A:$AL,13,FALSE)</f>
        <v>0</v>
      </c>
      <c r="L219" s="94">
        <f>$D219*($E$218/5.678)*$F219*VLOOKUP($C219,'Master sheet'!$A:$AL,27,FALSE)</f>
        <v>0</v>
      </c>
      <c r="M219" s="1562"/>
      <c r="N219" s="1562"/>
      <c r="O219" s="25" t="str">
        <f>_xlfn.IFNA(VLOOKUP($C219,'Master sheet'!$A:$AR,44,FALSE),"")&amp;""</f>
        <v/>
      </c>
      <c r="P219" s="637"/>
      <c r="Q219" s="29" t="s">
        <v>1556</v>
      </c>
      <c r="R219" s="757" t="s">
        <v>1680</v>
      </c>
      <c r="S219" s="619"/>
      <c r="T219" s="664"/>
      <c r="U219" s="638"/>
      <c r="V219" s="638"/>
      <c r="W219" s="638"/>
      <c r="X219" s="638"/>
      <c r="Y219" s="638"/>
      <c r="Z219" s="638"/>
    </row>
    <row r="220" spans="1:26" s="624" customFormat="1" ht="22.8" outlineLevel="1" x14ac:dyDescent="0.25">
      <c r="A220" s="639"/>
      <c r="B220" s="1524" t="s">
        <v>46</v>
      </c>
      <c r="C220" s="1523"/>
      <c r="D220" s="687" t="str">
        <f>IF(LOWER(Setting!rng_language)="english","R-VALUE:","VALEUR R :")</f>
        <v>R-VALUE:</v>
      </c>
      <c r="E220" s="1"/>
      <c r="F220" s="340"/>
      <c r="G220" s="739"/>
      <c r="H220" s="740"/>
      <c r="I220" s="741"/>
      <c r="J220" s="742"/>
      <c r="K220" s="741"/>
      <c r="L220" s="743"/>
      <c r="M220" s="743"/>
      <c r="N220" s="743"/>
      <c r="O220" s="25" t="str">
        <f>_xlfn.IFNA(VLOOKUP($C220,'Master sheet'!$A:$AR,44,FALSE),"")&amp;""</f>
        <v/>
      </c>
      <c r="P220" s="685"/>
      <c r="Q220" s="29" t="s">
        <v>1556</v>
      </c>
      <c r="R220" s="757" t="s">
        <v>1680</v>
      </c>
      <c r="T220" s="638"/>
      <c r="U220" s="638"/>
      <c r="V220" s="638"/>
      <c r="W220" s="638"/>
      <c r="X220" s="638"/>
      <c r="Y220" s="638"/>
      <c r="Z220" s="638"/>
    </row>
    <row r="221" spans="1:26" ht="22.8" outlineLevel="1" x14ac:dyDescent="0.25">
      <c r="A221" s="729"/>
      <c r="B221" s="729"/>
      <c r="C221" s="691" t="s">
        <v>1362</v>
      </c>
      <c r="D221" s="19">
        <f>'USER INPUT SHEET'!$D$52</f>
        <v>0</v>
      </c>
      <c r="E221" s="20" t="str">
        <f>'USER INPUT SHEET'!$F$32</f>
        <v>m2</v>
      </c>
      <c r="F221" s="6">
        <v>1</v>
      </c>
      <c r="G221" s="692"/>
      <c r="H221" s="10"/>
      <c r="I221" s="98">
        <f>K221-L221</f>
        <v>0</v>
      </c>
      <c r="J221" s="91" t="str">
        <f>IF(H221=1,I221,"")</f>
        <v/>
      </c>
      <c r="K221" s="410">
        <f>F221*AVERAGE(K222:K224)</f>
        <v>0</v>
      </c>
      <c r="L221" s="99">
        <f>F221*AVERAGE(L222:L224)</f>
        <v>0</v>
      </c>
      <c r="M221" s="1552"/>
      <c r="N221" s="1552"/>
      <c r="O221" s="25" t="str">
        <f>_xlfn.IFNA(VLOOKUP($C221,'Master sheet'!$A:$AR,44,FALSE),"")&amp;""</f>
        <v/>
      </c>
      <c r="P221" s="685"/>
      <c r="Q221" s="29" t="s">
        <v>1556</v>
      </c>
      <c r="R221" s="757" t="s">
        <v>1680</v>
      </c>
      <c r="S221" s="664"/>
      <c r="T221" s="664"/>
      <c r="U221" s="664"/>
      <c r="V221" s="664"/>
      <c r="W221" s="664"/>
      <c r="X221" s="664"/>
      <c r="Y221" s="664"/>
      <c r="Z221" s="664"/>
    </row>
    <row r="222" spans="1:26" ht="47.25" customHeight="1" outlineLevel="1" x14ac:dyDescent="0.25">
      <c r="A222" s="1600"/>
      <c r="B222" s="1564"/>
      <c r="C222" s="669" t="str">
        <f>INDEX('Master sheet'!$A$1:$A$670,MATCH(33,'Master sheet'!$AN$1:$AN$670,0))</f>
        <v>Cellulose - dense pack /  / R 3.7/inch / Includes AFT, Applegate, Can-Cell, Cell-Pak, Cleanfiber, Climatizer, Fiberlite, Igloo, ICC, Mason City, Nu-Wool, Soprema, Thermo-Kool</v>
      </c>
      <c r="D222" s="15">
        <f>'USER INPUT SHEET'!$D$52</f>
        <v>0</v>
      </c>
      <c r="E222" s="16" t="str">
        <f>'USER INPUT SHEET'!$F$32</f>
        <v>m2</v>
      </c>
      <c r="F222" s="3">
        <v>1</v>
      </c>
      <c r="G222" s="670"/>
      <c r="H222" s="8"/>
      <c r="I222" s="92">
        <f t="shared" ref="I222:I228" si="83">K222-L222</f>
        <v>0</v>
      </c>
      <c r="J222" s="93" t="str">
        <f t="shared" ref="J222:J228" si="84">IF(H222=1,I222,"")</f>
        <v/>
      </c>
      <c r="K222" s="406">
        <f>$D222*($E$220/5.678)*$F222*VLOOKUP($C222,'Master sheet'!$A:$AL,13,FALSE)</f>
        <v>0</v>
      </c>
      <c r="L222" s="94">
        <f>$D222*($E$220/5.678)*$F222*VLOOKUP($C222,'Master sheet'!$A:$AL,27,FALSE)</f>
        <v>0</v>
      </c>
      <c r="M222" s="1552"/>
      <c r="N222" s="1552"/>
      <c r="O222" s="25" t="str">
        <f ca="1">_xlfn.IFNA(VLOOKUP($C222,'Master sheet'!$A:$AR,44,FALSE),"")&amp;""</f>
        <v>Expired 2024</v>
      </c>
      <c r="P222" s="637"/>
      <c r="Q222" s="29" t="s">
        <v>1556</v>
      </c>
      <c r="R222" s="757" t="s">
        <v>1680</v>
      </c>
      <c r="T222" s="664"/>
      <c r="U222" s="664"/>
      <c r="V222" s="664"/>
      <c r="W222" s="664"/>
      <c r="X222" s="664"/>
      <c r="Y222" s="664"/>
      <c r="Z222" s="664"/>
    </row>
    <row r="223" spans="1:26" ht="23.25" customHeight="1" outlineLevel="1" x14ac:dyDescent="0.25">
      <c r="A223" s="1564"/>
      <c r="B223" s="1564"/>
      <c r="C223" s="669" t="str">
        <f>INDEX('Master sheet'!$A$1:$A$670,MATCH(32,'Master sheet'!$AN$1:$AN$670,0))</f>
        <v>Cellulose - batt / CMS / R 3.6/inch / EcoCell</v>
      </c>
      <c r="D223" s="15">
        <f>'USER INPUT SHEET'!$D$52</f>
        <v>0</v>
      </c>
      <c r="E223" s="16" t="str">
        <f>'USER INPUT SHEET'!$F$32</f>
        <v>m2</v>
      </c>
      <c r="F223" s="3">
        <v>1</v>
      </c>
      <c r="G223" s="670"/>
      <c r="H223" s="8"/>
      <c r="I223" s="92">
        <f t="shared" si="83"/>
        <v>0</v>
      </c>
      <c r="J223" s="93" t="str">
        <f t="shared" si="84"/>
        <v/>
      </c>
      <c r="K223" s="406">
        <f>$D223*($E$220/5.678)*$F223*VLOOKUP($C223,'Master sheet'!$A:$AL,13,FALSE)</f>
        <v>0</v>
      </c>
      <c r="L223" s="94">
        <f>$D223*($E$220/5.678)*$F223*VLOOKUP($C223,'Master sheet'!$A:$AL,27,FALSE)</f>
        <v>0</v>
      </c>
      <c r="M223" s="1552"/>
      <c r="N223" s="1552"/>
      <c r="O223" s="25" t="str">
        <f ca="1">_xlfn.IFNA(VLOOKUP($C223,'Master sheet'!$A:$AR,44,FALSE),"")&amp;""</f>
        <v>Expired 2024</v>
      </c>
      <c r="P223" s="637"/>
      <c r="Q223" s="29" t="s">
        <v>1556</v>
      </c>
      <c r="R223" s="757" t="s">
        <v>1680</v>
      </c>
      <c r="T223" s="664"/>
      <c r="U223" s="664"/>
      <c r="V223" s="664"/>
      <c r="W223" s="664"/>
      <c r="X223" s="664"/>
      <c r="Y223" s="664"/>
      <c r="Z223" s="664"/>
    </row>
    <row r="224" spans="1:26" s="624" customFormat="1" ht="31.5" customHeight="1" outlineLevel="1" x14ac:dyDescent="0.25">
      <c r="A224" s="1564"/>
      <c r="B224" s="1564"/>
      <c r="C224" s="673" t="str">
        <f>INDEX('Master sheet'!$A$1:$A$670,MATCH(35,'Master sheet'!$AN$1:$AN$670,0))</f>
        <v>Cellulose - spray applied / R 3.75/inch / International Cellulose Corp. / K-13, ThermoCon</v>
      </c>
      <c r="D224" s="17">
        <f>'USER INPUT SHEET'!$D$52</f>
        <v>0</v>
      </c>
      <c r="E224" s="18" t="str">
        <f>'USER INPUT SHEET'!$F$32</f>
        <v>m2</v>
      </c>
      <c r="F224" s="4">
        <v>1</v>
      </c>
      <c r="G224" s="674"/>
      <c r="H224" s="9"/>
      <c r="I224" s="95">
        <f t="shared" si="83"/>
        <v>0</v>
      </c>
      <c r="J224" s="96" t="str">
        <f t="shared" si="84"/>
        <v/>
      </c>
      <c r="K224" s="407">
        <f>$D224*($E$220/5.678)*$F224*VLOOKUP($C224,'Master sheet'!$A:$AL,13,FALSE)</f>
        <v>0</v>
      </c>
      <c r="L224" s="97">
        <f>$D224*($E$220/5.678)*$F224*VLOOKUP($C224,'Master sheet'!$A:$AL,27,FALSE)</f>
        <v>0</v>
      </c>
      <c r="M224" s="1559"/>
      <c r="N224" s="1559"/>
      <c r="O224" s="25" t="str">
        <f ca="1">_xlfn.IFNA(VLOOKUP($C224,'Master sheet'!$A:$AR,44,FALSE),"")&amp;""</f>
        <v>Expired 2025</v>
      </c>
      <c r="P224" s="685"/>
      <c r="Q224" s="29" t="s">
        <v>1556</v>
      </c>
      <c r="R224" s="757" t="s">
        <v>1680</v>
      </c>
      <c r="T224" s="638"/>
      <c r="U224" s="638"/>
      <c r="V224" s="638"/>
      <c r="W224" s="638"/>
      <c r="X224" s="638"/>
      <c r="Y224" s="638"/>
      <c r="Z224" s="638"/>
    </row>
    <row r="225" spans="1:26" s="624" customFormat="1" ht="22.8" outlineLevel="1" x14ac:dyDescent="0.25">
      <c r="A225" s="639"/>
      <c r="B225" s="1524" t="s">
        <v>969</v>
      </c>
      <c r="C225" s="1523"/>
      <c r="D225" s="687" t="str">
        <f>IF(LOWER(Setting!rng_language)="english","R-VALUE:","VALEUR R :")</f>
        <v>R-VALUE:</v>
      </c>
      <c r="E225" s="1"/>
      <c r="F225" s="340"/>
      <c r="G225" s="739"/>
      <c r="H225" s="740"/>
      <c r="I225" s="741"/>
      <c r="J225" s="742"/>
      <c r="K225" s="741"/>
      <c r="L225" s="743"/>
      <c r="M225" s="743"/>
      <c r="N225" s="743"/>
      <c r="O225" s="25" t="str">
        <f>_xlfn.IFNA(VLOOKUP($C225,'Master sheet'!$A:$AR,44,FALSE),"")&amp;""</f>
        <v/>
      </c>
      <c r="P225" s="685"/>
      <c r="Q225" s="29" t="s">
        <v>1556</v>
      </c>
      <c r="R225" s="757" t="s">
        <v>1680</v>
      </c>
      <c r="T225" s="638"/>
      <c r="U225" s="638"/>
      <c r="V225" s="638"/>
      <c r="W225" s="638"/>
      <c r="X225" s="638"/>
      <c r="Y225" s="638"/>
      <c r="Z225" s="638"/>
    </row>
    <row r="226" spans="1:26" ht="22.8" outlineLevel="1" x14ac:dyDescent="0.25">
      <c r="A226" s="729"/>
      <c r="B226" s="729"/>
      <c r="C226" s="691" t="s">
        <v>1363</v>
      </c>
      <c r="D226" s="19">
        <f>'USER INPUT SHEET'!$D$52</f>
        <v>0</v>
      </c>
      <c r="E226" s="20" t="str">
        <f>'USER INPUT SHEET'!$F$32</f>
        <v>m2</v>
      </c>
      <c r="F226" s="6">
        <v>1</v>
      </c>
      <c r="G226" s="692"/>
      <c r="H226" s="10"/>
      <c r="I226" s="98">
        <f>K226-L226</f>
        <v>0</v>
      </c>
      <c r="J226" s="91" t="str">
        <f>IF(H226=1,I226,"")</f>
        <v/>
      </c>
      <c r="K226" s="410">
        <f>F226*AVERAGE(K227:K228)</f>
        <v>0</v>
      </c>
      <c r="L226" s="99">
        <f>F226*AVERAGE(L227:L228)</f>
        <v>0</v>
      </c>
      <c r="M226" s="1552"/>
      <c r="N226" s="1552"/>
      <c r="O226" s="25" t="str">
        <f>_xlfn.IFNA(VLOOKUP($C226,'Master sheet'!$A:$AR,44,FALSE),"")&amp;""</f>
        <v/>
      </c>
      <c r="P226" s="685"/>
      <c r="Q226" s="29" t="s">
        <v>1556</v>
      </c>
      <c r="R226" s="757" t="s">
        <v>1680</v>
      </c>
      <c r="S226" s="664"/>
      <c r="T226" s="664"/>
      <c r="U226" s="664"/>
      <c r="V226" s="664"/>
      <c r="W226" s="664"/>
      <c r="X226" s="664"/>
      <c r="Y226" s="664"/>
      <c r="Z226" s="664"/>
    </row>
    <row r="227" spans="1:26" ht="23.25" customHeight="1" outlineLevel="1" x14ac:dyDescent="0.25">
      <c r="A227" s="1564"/>
      <c r="B227" s="1564"/>
      <c r="C227" s="673" t="str">
        <f>INDEX('Master sheet'!$A$1:$A$670,MATCH(238,'Master sheet'!$AN$1:$AN$670,0))</f>
        <v>Wood fiber - loose fill / GUTEX / ThermoFiber / R 3.6/inch</v>
      </c>
      <c r="D227" s="17">
        <f>'USER INPUT SHEET'!$D$52</f>
        <v>0</v>
      </c>
      <c r="E227" s="18" t="str">
        <f>'USER INPUT SHEET'!$F$32</f>
        <v>m2</v>
      </c>
      <c r="F227" s="4">
        <v>1</v>
      </c>
      <c r="G227" s="674"/>
      <c r="H227" s="9"/>
      <c r="I227" s="95">
        <f t="shared" ref="I227" si="85">K227-L227</f>
        <v>0</v>
      </c>
      <c r="J227" s="96" t="str">
        <f t="shared" ref="J227" si="86">IF(H227=1,I227,"")</f>
        <v/>
      </c>
      <c r="K227" s="407">
        <f>$D227*($E$225/5.678)*$F227*VLOOKUP($C227,'Master sheet'!$A:$AL,13,FALSE)</f>
        <v>0</v>
      </c>
      <c r="L227" s="97">
        <f>$D227*($E$225/5.678)*$F227*VLOOKUP($C227,'Master sheet'!$A:$AL,27,FALSE)</f>
        <v>0</v>
      </c>
      <c r="M227" s="1552"/>
      <c r="N227" s="1552"/>
      <c r="O227" s="25" t="str">
        <f ca="1">_xlfn.IFNA(VLOOKUP($C227,'Master sheet'!$A:$AR,44,FALSE),"")&amp;""</f>
        <v>Expired 2024</v>
      </c>
      <c r="P227" s="637"/>
      <c r="Q227" s="29" t="s">
        <v>1556</v>
      </c>
      <c r="R227" s="757" t="s">
        <v>1680</v>
      </c>
      <c r="S227" s="624"/>
      <c r="T227" s="638"/>
      <c r="U227" s="638"/>
      <c r="V227" s="638"/>
      <c r="W227" s="664"/>
      <c r="X227" s="664"/>
      <c r="Y227" s="664"/>
      <c r="Z227" s="664"/>
    </row>
    <row r="228" spans="1:26" s="624" customFormat="1" ht="23.25" customHeight="1" outlineLevel="1" x14ac:dyDescent="0.25">
      <c r="A228" s="1564"/>
      <c r="B228" s="1564"/>
      <c r="C228" s="673" t="str">
        <f>INDEX('Master sheet'!$A$1:$A$670,MATCH("A122",'Master sheet'!$AN$1:$AN$670,0))</f>
        <v>Wood fiber batt / Steico / SteicoFlex / R 3.8/inch</v>
      </c>
      <c r="D228" s="17">
        <f>'USER INPUT SHEET'!$D$52</f>
        <v>0</v>
      </c>
      <c r="E228" s="18" t="str">
        <f>'USER INPUT SHEET'!$F$32</f>
        <v>m2</v>
      </c>
      <c r="F228" s="4">
        <v>1</v>
      </c>
      <c r="G228" s="674"/>
      <c r="H228" s="9"/>
      <c r="I228" s="95">
        <f t="shared" si="83"/>
        <v>0</v>
      </c>
      <c r="J228" s="96" t="str">
        <f t="shared" si="84"/>
        <v/>
      </c>
      <c r="K228" s="407">
        <f>$D228*($E$225/5.678)*$F228*VLOOKUP($C228,'Master sheet'!$A:$AL,13,FALSE)</f>
        <v>0</v>
      </c>
      <c r="L228" s="97">
        <f>$D228*($E$225/5.678)*$F228*VLOOKUP($C228,'Master sheet'!$A:$AL,27,FALSE)</f>
        <v>0</v>
      </c>
      <c r="M228" s="1559"/>
      <c r="N228" s="1559"/>
      <c r="O228" s="25" t="str">
        <f>_xlfn.IFNA(VLOOKUP($C228,'Master sheet'!$A:$AR,44,FALSE),"")&amp;""</f>
        <v/>
      </c>
      <c r="P228" s="637"/>
      <c r="Q228" s="29" t="s">
        <v>1556</v>
      </c>
      <c r="R228" s="757" t="s">
        <v>1680</v>
      </c>
      <c r="T228" s="638"/>
      <c r="U228" s="638"/>
      <c r="V228" s="638"/>
      <c r="W228" s="638"/>
      <c r="X228" s="638"/>
      <c r="Y228" s="638"/>
      <c r="Z228" s="638"/>
    </row>
    <row r="229" spans="1:26" s="624" customFormat="1" ht="22.8" outlineLevel="1" x14ac:dyDescent="0.25">
      <c r="A229" s="639"/>
      <c r="B229" s="1524" t="s">
        <v>56</v>
      </c>
      <c r="C229" s="1523"/>
      <c r="D229" s="687" t="str">
        <f>IF(LOWER(Setting!rng_language)="english","R-VALUE:","VALEUR R :")</f>
        <v>R-VALUE:</v>
      </c>
      <c r="E229" s="1"/>
      <c r="F229" s="325"/>
      <c r="G229" s="678"/>
      <c r="H229" s="679"/>
      <c r="I229" s="642"/>
      <c r="J229" s="643"/>
      <c r="K229" s="676"/>
      <c r="L229" s="677"/>
      <c r="M229" s="677"/>
      <c r="N229" s="677"/>
      <c r="O229" s="25" t="str">
        <f>_xlfn.IFNA(VLOOKUP($C229,'Master sheet'!$A:$AR,44,FALSE),"")&amp;""</f>
        <v/>
      </c>
      <c r="P229" s="685"/>
      <c r="Q229" s="29" t="s">
        <v>1556</v>
      </c>
      <c r="R229" s="757" t="s">
        <v>1680</v>
      </c>
      <c r="T229" s="638"/>
      <c r="U229" s="638"/>
      <c r="V229" s="638"/>
      <c r="W229" s="638"/>
      <c r="X229" s="638"/>
      <c r="Y229" s="638"/>
      <c r="Z229" s="638"/>
    </row>
    <row r="230" spans="1:26" s="624" customFormat="1" ht="23.25" customHeight="1" outlineLevel="1" x14ac:dyDescent="0.25">
      <c r="A230" s="1600"/>
      <c r="B230" s="1564"/>
      <c r="C230" s="647" t="str">
        <f>INDEX('Master sheet'!$A$1:$A$670,MATCH(254,'Master sheet'!$AN$1:$AN$670,0))</f>
        <v>Wool batt / Havelock Wool /  / R 3.6/inch</v>
      </c>
      <c r="D230" s="13">
        <f>'USER INPUT SHEET'!$D$52</f>
        <v>0</v>
      </c>
      <c r="E230" s="14" t="str">
        <f>'USER INPUT SHEET'!$F$32</f>
        <v>m2</v>
      </c>
      <c r="F230" s="2">
        <v>1</v>
      </c>
      <c r="G230" s="648"/>
      <c r="H230" s="7"/>
      <c r="I230" s="88">
        <f t="shared" ref="I230:I233" si="87">K230-L230</f>
        <v>0</v>
      </c>
      <c r="J230" s="89" t="str">
        <f t="shared" ref="J230:J233" si="88">IF(H230=1,I230,"")</f>
        <v/>
      </c>
      <c r="K230" s="404">
        <f>$D230*($E$229/5.678)*$F230*VLOOKUP($C230,'Master sheet'!$A:$AL,13,FALSE)</f>
        <v>0</v>
      </c>
      <c r="L230" s="90">
        <f>$D230*($E$229/5.678)*$F230*VLOOKUP($C230,'Master sheet'!$A:$AL,27,FALSE)</f>
        <v>0</v>
      </c>
      <c r="M230" s="1552"/>
      <c r="N230" s="1552"/>
      <c r="O230" s="25" t="str">
        <f ca="1">_xlfn.IFNA(VLOOKUP($C230,'Master sheet'!$A:$AR,44,FALSE),"")&amp;""</f>
        <v>Expired 2025</v>
      </c>
      <c r="P230" s="685"/>
      <c r="Q230" s="29" t="s">
        <v>1556</v>
      </c>
      <c r="R230" s="757" t="s">
        <v>1680</v>
      </c>
      <c r="T230" s="638"/>
      <c r="U230" s="638"/>
      <c r="V230" s="638"/>
      <c r="W230" s="638"/>
      <c r="X230" s="638"/>
      <c r="Y230" s="638"/>
      <c r="Z230" s="638"/>
    </row>
    <row r="231" spans="1:26" ht="23.25" customHeight="1" outlineLevel="1" x14ac:dyDescent="0.25">
      <c r="A231" s="1564"/>
      <c r="B231" s="1564"/>
      <c r="C231" s="669" t="str">
        <f>INDEX('Master sheet'!$A$1:$A$670,MATCH(255,'Master sheet'!$AN$1:$AN$670,0))</f>
        <v>Wool loose fill / Havelock Wool /  / R 4.4/inch</v>
      </c>
      <c r="D231" s="15">
        <f>'USER INPUT SHEET'!$D$52</f>
        <v>0</v>
      </c>
      <c r="E231" s="16" t="str">
        <f>'USER INPUT SHEET'!$F$32</f>
        <v>m2</v>
      </c>
      <c r="F231" s="3">
        <v>1</v>
      </c>
      <c r="G231" s="670"/>
      <c r="H231" s="8"/>
      <c r="I231" s="92">
        <f t="shared" si="87"/>
        <v>0</v>
      </c>
      <c r="J231" s="93" t="str">
        <f t="shared" si="88"/>
        <v/>
      </c>
      <c r="K231" s="406">
        <f>$D231*($E$229/5.678)*$F231*VLOOKUP($C231,'Master sheet'!$A:$AL,13,FALSE)</f>
        <v>0</v>
      </c>
      <c r="L231" s="94">
        <f>$D231*($E$229/5.678)*$F231*VLOOKUP($C231,'Master sheet'!$A:$AL,27,FALSE)</f>
        <v>0</v>
      </c>
      <c r="M231" s="1552"/>
      <c r="N231" s="1552"/>
      <c r="O231" s="25" t="str">
        <f ca="1">_xlfn.IFNA(VLOOKUP($C231,'Master sheet'!$A:$AR,44,FALSE),"")&amp;""</f>
        <v/>
      </c>
      <c r="P231" s="685"/>
      <c r="Q231" s="29" t="s">
        <v>1556</v>
      </c>
      <c r="R231" s="757" t="s">
        <v>1680</v>
      </c>
      <c r="T231" s="664"/>
      <c r="U231" s="664"/>
      <c r="V231" s="664"/>
      <c r="W231" s="664"/>
      <c r="X231" s="664"/>
      <c r="Y231" s="664"/>
      <c r="Z231" s="664"/>
    </row>
    <row r="232" spans="1:26" ht="23.25" customHeight="1" outlineLevel="1" x14ac:dyDescent="0.25">
      <c r="A232" s="1564"/>
      <c r="B232" s="1564"/>
      <c r="C232" s="673" t="str">
        <f>INDEX('Master sheet'!$A$1:$A$670,MATCH(412,'Master sheet'!$AN$1:$AN$670,0))</f>
        <v>Straw Bale / SNaB (UK) / Wheat &amp; barley straw / R 2.8/inch</v>
      </c>
      <c r="D232" s="17">
        <f>'USER INPUT SHEET'!$D$52</f>
        <v>0</v>
      </c>
      <c r="E232" s="18" t="str">
        <f>'USER INPUT SHEET'!$F$32</f>
        <v>m2</v>
      </c>
      <c r="F232" s="4">
        <v>1</v>
      </c>
      <c r="G232" s="674"/>
      <c r="H232" s="9"/>
      <c r="I232" s="95">
        <f t="shared" si="87"/>
        <v>0</v>
      </c>
      <c r="J232" s="96" t="str">
        <f t="shared" si="88"/>
        <v/>
      </c>
      <c r="K232" s="407">
        <f>$D232*($E$229/5.678)*$F232*VLOOKUP($C232,'Master sheet'!$A:$AL,13,FALSE)</f>
        <v>0</v>
      </c>
      <c r="L232" s="97">
        <f>$D232*($E$229/5.678)*$F232*VLOOKUP($C232,'Master sheet'!$A:$AL,27,FALSE)</f>
        <v>0</v>
      </c>
      <c r="M232" s="1552"/>
      <c r="N232" s="1552"/>
      <c r="O232" s="25" t="str">
        <f ca="1">_xlfn.IFNA(VLOOKUP($C232,'Master sheet'!$A:$AR,44,FALSE),"")&amp;""</f>
        <v/>
      </c>
      <c r="P232" s="637"/>
      <c r="Q232" s="29" t="s">
        <v>1556</v>
      </c>
      <c r="R232" s="757" t="s">
        <v>1680</v>
      </c>
      <c r="S232" s="624"/>
      <c r="T232" s="638"/>
      <c r="U232" s="638"/>
      <c r="V232" s="638"/>
      <c r="W232" s="664"/>
      <c r="X232" s="664"/>
      <c r="Y232" s="664"/>
      <c r="Z232" s="664"/>
    </row>
    <row r="233" spans="1:26" s="624" customFormat="1" ht="23.25" customHeight="1" outlineLevel="1" x14ac:dyDescent="0.25">
      <c r="A233" s="1564"/>
      <c r="B233" s="1564"/>
      <c r="C233" s="673" t="str">
        <f>INDEX('Master sheet'!$A$1:$A$670,MATCH("A54",'Master sheet'!$AN$1:$AN$670,0))</f>
        <v>Hemp fiber batt / NaturFibre / Hemp Wool / R 3.7/inch</v>
      </c>
      <c r="D233" s="17">
        <f>'USER INPUT SHEET'!$D$52</f>
        <v>0</v>
      </c>
      <c r="E233" s="18" t="str">
        <f>'USER INPUT SHEET'!$F$32</f>
        <v>m2</v>
      </c>
      <c r="F233" s="4">
        <v>1</v>
      </c>
      <c r="G233" s="674"/>
      <c r="H233" s="9"/>
      <c r="I233" s="95">
        <f t="shared" si="87"/>
        <v>0</v>
      </c>
      <c r="J233" s="96" t="str">
        <f t="shared" si="88"/>
        <v/>
      </c>
      <c r="K233" s="407">
        <f>$D233*($E$229/5.678)*$F233*VLOOKUP($C233,'Master sheet'!$A:$AL,13,FALSE)</f>
        <v>0</v>
      </c>
      <c r="L233" s="97">
        <f>$D233*($E$229/5.678)*$F233*VLOOKUP($C233,'Master sheet'!$A:$AL,27,FALSE)</f>
        <v>0</v>
      </c>
      <c r="M233" s="1559"/>
      <c r="N233" s="1559"/>
      <c r="O233" s="25" t="str">
        <f>_xlfn.IFNA(VLOOKUP($C233,'Master sheet'!$A:$AR,44,FALSE),"")&amp;""</f>
        <v/>
      </c>
      <c r="P233" s="637"/>
      <c r="Q233" s="29" t="s">
        <v>1556</v>
      </c>
      <c r="R233" s="757" t="s">
        <v>1680</v>
      </c>
      <c r="T233" s="638"/>
      <c r="U233" s="638"/>
      <c r="V233" s="638"/>
      <c r="W233" s="638"/>
      <c r="X233" s="638"/>
      <c r="Y233" s="638"/>
      <c r="Z233" s="638"/>
    </row>
    <row r="234" spans="1:26" s="624" customFormat="1" ht="22.8" outlineLevel="1" x14ac:dyDescent="0.25">
      <c r="A234" s="639"/>
      <c r="B234" s="1524" t="s">
        <v>3428</v>
      </c>
      <c r="C234" s="1523"/>
      <c r="D234" s="687" t="str">
        <f>IF(LOWER(Setting!rng_language)="english","R-VALUE:","VALEUR R :")</f>
        <v>R-VALUE:</v>
      </c>
      <c r="E234" s="1"/>
      <c r="F234" s="325"/>
      <c r="G234" s="678"/>
      <c r="H234" s="679"/>
      <c r="I234" s="642"/>
      <c r="J234" s="643"/>
      <c r="K234" s="676"/>
      <c r="L234" s="727"/>
      <c r="M234" s="727"/>
      <c r="N234" s="727"/>
      <c r="O234" s="25" t="str">
        <f>_xlfn.IFNA(VLOOKUP($C234,'Master sheet'!$A:$AR,44,FALSE),"")&amp;""</f>
        <v/>
      </c>
      <c r="P234" s="637"/>
      <c r="Q234" s="29" t="s">
        <v>1556</v>
      </c>
      <c r="R234" s="757" t="s">
        <v>1680</v>
      </c>
      <c r="T234" s="638"/>
      <c r="U234" s="638"/>
      <c r="V234" s="638"/>
      <c r="W234" s="638"/>
      <c r="X234" s="638"/>
      <c r="Y234" s="638"/>
      <c r="Z234" s="638"/>
    </row>
    <row r="235" spans="1:26" s="624" customFormat="1" ht="31.5" customHeight="1" outlineLevel="1" x14ac:dyDescent="0.25">
      <c r="A235" s="1601"/>
      <c r="B235" s="1602"/>
      <c r="C235" s="673" t="str">
        <f>INDEX('Master sheet'!$A$1:$A$670,MATCH(184,'Master sheet'!$AN$1:$AN$670,0))</f>
        <v>Spray polyurethane foam - Closed Cell - HFO gas filled / SPFA /  / R 6.6/inch</v>
      </c>
      <c r="D235" s="17">
        <f>'USER INPUT SHEET'!$D$52</f>
        <v>0</v>
      </c>
      <c r="E235" s="18" t="str">
        <f>'USER INPUT SHEET'!$F$32</f>
        <v>m2</v>
      </c>
      <c r="F235" s="4">
        <v>1</v>
      </c>
      <c r="G235" s="674"/>
      <c r="H235" s="9"/>
      <c r="I235" s="95">
        <f>K235-L235</f>
        <v>0</v>
      </c>
      <c r="J235" s="96" t="str">
        <f>IF(H235=1,I235,"")</f>
        <v/>
      </c>
      <c r="K235" s="407">
        <f>$D235*($E$234/5.678)*$F235*VLOOKUP($C235,'Master sheet'!$A:$AL,13,FALSE)</f>
        <v>0</v>
      </c>
      <c r="L235" s="97">
        <f>$D235*($E$234/5.678)*$F235*VLOOKUP($C235,'Master sheet'!$A:$AL,27,FALSE)</f>
        <v>0</v>
      </c>
      <c r="M235" s="1562"/>
      <c r="N235" s="1562"/>
      <c r="O235" s="25" t="str">
        <f ca="1">_xlfn.IFNA(VLOOKUP($C235,'Master sheet'!$A:$AR,44,FALSE),"")&amp;""</f>
        <v/>
      </c>
      <c r="P235" s="685"/>
      <c r="Q235" s="29" t="s">
        <v>1556</v>
      </c>
      <c r="R235" s="757" t="s">
        <v>1680</v>
      </c>
      <c r="T235" s="638"/>
      <c r="U235" s="638"/>
      <c r="V235" s="638"/>
      <c r="W235" s="638"/>
      <c r="X235" s="638"/>
      <c r="Y235" s="638"/>
      <c r="Z235" s="638"/>
    </row>
    <row r="236" spans="1:26" s="624" customFormat="1" ht="31.5" customHeight="1" outlineLevel="1" x14ac:dyDescent="0.25">
      <c r="A236" s="1601"/>
      <c r="B236" s="1602"/>
      <c r="C236" s="673" t="str">
        <f>INDEX('Master sheet'!$A$1:$A$670,MATCH(410,'Master sheet'!$AN$1:$AN$670,0))</f>
        <v xml:space="preserve">Spray polyurethane foam - Closed Cell (HFO) / Huntsman Building Solutions / Heatlok HFO &amp; Heatlok Soya HFO / </v>
      </c>
      <c r="D236" s="17">
        <f>'USER INPUT SHEET'!$D$52</f>
        <v>0</v>
      </c>
      <c r="E236" s="18" t="str">
        <f>'USER INPUT SHEET'!$F$32</f>
        <v>m2</v>
      </c>
      <c r="F236" s="4">
        <v>1</v>
      </c>
      <c r="G236" s="674"/>
      <c r="H236" s="9"/>
      <c r="I236" s="95">
        <f>K236-L236</f>
        <v>0</v>
      </c>
      <c r="J236" s="96" t="str">
        <f>IF(H236=1,I236,"")</f>
        <v/>
      </c>
      <c r="K236" s="407">
        <f>$D236*($E$234/5.678)*$F236*VLOOKUP($C236,'Master sheet'!$A:$AL,13,FALSE)</f>
        <v>0</v>
      </c>
      <c r="L236" s="97">
        <f>$D236*($E$234/5.678)*$F236*VLOOKUP($C236,'Master sheet'!$A:$AL,27,FALSE)</f>
        <v>0</v>
      </c>
      <c r="M236" s="1559"/>
      <c r="N236" s="1559"/>
      <c r="O236" s="25" t="str">
        <f>_xlfn.IFNA(VLOOKUP($C236,'Master sheet'!$A:$AR,44,FALSE),"")&amp;""</f>
        <v>A1-B1</v>
      </c>
      <c r="P236" s="685"/>
      <c r="Q236" s="29" t="s">
        <v>1556</v>
      </c>
      <c r="R236" s="757" t="s">
        <v>1680</v>
      </c>
      <c r="T236" s="638"/>
      <c r="U236" s="638"/>
      <c r="V236" s="638"/>
      <c r="W236" s="638"/>
      <c r="X236" s="638"/>
      <c r="Y236" s="638"/>
      <c r="Z236" s="638"/>
    </row>
    <row r="237" spans="1:26" s="624" customFormat="1" ht="22.8" outlineLevel="1" x14ac:dyDescent="0.25">
      <c r="A237" s="639"/>
      <c r="B237" s="1524" t="s">
        <v>3429</v>
      </c>
      <c r="C237" s="1523"/>
      <c r="D237" s="687" t="str">
        <f>IF(LOWER(Setting!rng_language)="english","R-VALUE:","VALEUR R :")</f>
        <v>R-VALUE:</v>
      </c>
      <c r="E237" s="1"/>
      <c r="F237" s="325"/>
      <c r="G237" s="678"/>
      <c r="H237" s="679"/>
      <c r="I237" s="642"/>
      <c r="J237" s="643"/>
      <c r="K237" s="676"/>
      <c r="L237" s="727"/>
      <c r="M237" s="727"/>
      <c r="N237" s="727"/>
      <c r="O237" s="25" t="str">
        <f>_xlfn.IFNA(VLOOKUP($C237,'Master sheet'!$A:$AR,44,FALSE),"")&amp;""</f>
        <v/>
      </c>
      <c r="P237" s="685"/>
      <c r="Q237" s="29" t="s">
        <v>1556</v>
      </c>
      <c r="R237" s="757" t="s">
        <v>1680</v>
      </c>
      <c r="T237" s="638"/>
      <c r="U237" s="638"/>
      <c r="V237" s="638"/>
      <c r="W237" s="638"/>
      <c r="X237" s="638"/>
      <c r="Y237" s="638"/>
      <c r="Z237" s="638"/>
    </row>
    <row r="238" spans="1:26" s="624" customFormat="1" ht="31.5" customHeight="1" outlineLevel="1" x14ac:dyDescent="0.25">
      <c r="A238" s="1601"/>
      <c r="B238" s="1602"/>
      <c r="C238" s="673" t="str">
        <f>INDEX('Master sheet'!$A$1:$A$670,MATCH(188,'Master sheet'!$AN$1:$AN$670,0))</f>
        <v>Spray polyurethane foam - Open Cell - HFO gas / SPFA /  / R 4.1/inch</v>
      </c>
      <c r="D238" s="17">
        <f>'USER INPUT SHEET'!$D$52</f>
        <v>0</v>
      </c>
      <c r="E238" s="18" t="str">
        <f>'USER INPUT SHEET'!$F$32</f>
        <v>m2</v>
      </c>
      <c r="F238" s="4">
        <v>1</v>
      </c>
      <c r="G238" s="674"/>
      <c r="H238" s="9"/>
      <c r="I238" s="95">
        <f>K238-L238</f>
        <v>0</v>
      </c>
      <c r="J238" s="96" t="str">
        <f>IF(H238=1,I238,"")</f>
        <v/>
      </c>
      <c r="K238" s="407">
        <f>$D238*($E$237/5.678)*$F238*VLOOKUP($C238,'Master sheet'!$A:$AL,13,FALSE)</f>
        <v>0</v>
      </c>
      <c r="L238" s="97">
        <f>$D238*($E$237/5.678)*$F238*VLOOKUP($C238,'Master sheet'!$A:$AL,27,FALSE)</f>
        <v>0</v>
      </c>
      <c r="M238" s="1610"/>
      <c r="N238" s="1610"/>
      <c r="O238" s="25" t="str">
        <f ca="1">_xlfn.IFNA(VLOOKUP($C238,'Master sheet'!$A:$AR,44,FALSE),"")&amp;""</f>
        <v/>
      </c>
      <c r="P238" s="637"/>
      <c r="Q238" s="29" t="s">
        <v>1556</v>
      </c>
      <c r="R238" s="757" t="s">
        <v>1680</v>
      </c>
      <c r="T238" s="638"/>
      <c r="U238" s="638"/>
      <c r="V238" s="638"/>
      <c r="W238" s="638"/>
      <c r="X238" s="638"/>
      <c r="Y238" s="638"/>
      <c r="Z238" s="638"/>
    </row>
    <row r="239" spans="1:26" s="624" customFormat="1" ht="22.8" outlineLevel="1" x14ac:dyDescent="0.25">
      <c r="A239" s="639"/>
      <c r="B239" s="1524" t="s">
        <v>1042</v>
      </c>
      <c r="C239" s="1523"/>
      <c r="D239" s="687" t="str">
        <f>IF(LOWER(Setting!rng_language)="english","R-VALUE:","VALEUR R :")</f>
        <v>R-VALUE:</v>
      </c>
      <c r="E239" s="1"/>
      <c r="F239" s="325"/>
      <c r="G239" s="678"/>
      <c r="H239" s="679"/>
      <c r="I239" s="642"/>
      <c r="J239" s="643"/>
      <c r="K239" s="676"/>
      <c r="L239" s="727"/>
      <c r="M239" s="727"/>
      <c r="N239" s="727"/>
      <c r="O239" s="25" t="str">
        <f>_xlfn.IFNA(VLOOKUP($C239,'Master sheet'!$A:$AR,44,FALSE),"")&amp;""</f>
        <v/>
      </c>
      <c r="P239" s="685"/>
      <c r="Q239" s="29" t="s">
        <v>1556</v>
      </c>
      <c r="R239" s="757" t="s">
        <v>1680</v>
      </c>
      <c r="T239" s="638"/>
      <c r="U239" s="638"/>
      <c r="V239" s="638"/>
      <c r="W239" s="638"/>
      <c r="X239" s="638"/>
      <c r="Y239" s="638"/>
      <c r="Z239" s="638"/>
    </row>
    <row r="240" spans="1:26" ht="22.8" outlineLevel="1" x14ac:dyDescent="0.25">
      <c r="A240" s="729"/>
      <c r="B240" s="729"/>
      <c r="C240" s="691" t="s">
        <v>1364</v>
      </c>
      <c r="D240" s="19">
        <f>'USER INPUT SHEET'!$D$52</f>
        <v>0</v>
      </c>
      <c r="E240" s="20" t="str">
        <f>'USER INPUT SHEET'!$F$32</f>
        <v>m2</v>
      </c>
      <c r="F240" s="6">
        <v>1</v>
      </c>
      <c r="G240" s="692"/>
      <c r="H240" s="10"/>
      <c r="I240" s="98">
        <f>K240-L240</f>
        <v>0</v>
      </c>
      <c r="J240" s="91" t="str">
        <f>IF(H240=1,I240,"")</f>
        <v/>
      </c>
      <c r="K240" s="410">
        <f>F240*AVERAGE(K241:K247)</f>
        <v>0</v>
      </c>
      <c r="L240" s="99">
        <f>F240*AVERAGE(L241:L247)</f>
        <v>0</v>
      </c>
      <c r="M240" s="1552"/>
      <c r="N240" s="1552"/>
      <c r="O240" s="25" t="str">
        <f>_xlfn.IFNA(VLOOKUP($C240,'Master sheet'!$A:$AR,44,FALSE),"")&amp;""</f>
        <v/>
      </c>
      <c r="P240" s="685"/>
      <c r="Q240" s="29" t="s">
        <v>1556</v>
      </c>
      <c r="R240" s="757" t="s">
        <v>1680</v>
      </c>
      <c r="S240" s="664"/>
      <c r="T240" s="664"/>
      <c r="U240" s="664"/>
      <c r="V240" s="664"/>
      <c r="W240" s="664"/>
      <c r="X240" s="664"/>
      <c r="Y240" s="664"/>
      <c r="Z240" s="664"/>
    </row>
    <row r="241" spans="1:26" ht="31.5" customHeight="1" outlineLevel="1" x14ac:dyDescent="0.25">
      <c r="A241" s="1600"/>
      <c r="B241" s="1564"/>
      <c r="C241" s="669" t="str">
        <f>INDEX('Master sheet'!$A$1:$A$670,MATCH(124,'Master sheet'!$AN$1:$AN$670,0))</f>
        <v>Hempcrete / Cast in-situ / Site mixed / USA / R 2.1/inch, Avg. mix using NHL &amp; PHL</v>
      </c>
      <c r="D241" s="15">
        <f>'USER INPUT SHEET'!$D$52</f>
        <v>0</v>
      </c>
      <c r="E241" s="16" t="str">
        <f>'USER INPUT SHEET'!$F$32</f>
        <v>m2</v>
      </c>
      <c r="F241" s="3">
        <v>1</v>
      </c>
      <c r="G241" s="670"/>
      <c r="H241" s="8"/>
      <c r="I241" s="92">
        <f t="shared" ref="I241:I247" si="89">K241-L241</f>
        <v>0</v>
      </c>
      <c r="J241" s="93" t="str">
        <f t="shared" ref="J241:J291" si="90">IF(H241=1,I241,"")</f>
        <v/>
      </c>
      <c r="K241" s="406">
        <f>$D241*($E$239/5.678)*$F241*VLOOKUP($C241,'Master sheet'!$A:$AL,13,FALSE)</f>
        <v>0</v>
      </c>
      <c r="L241" s="94">
        <f>$D241*($E$239/5.678)*$F241*VLOOKUP($C241,'Master sheet'!$A:$AL,27,FALSE)</f>
        <v>0</v>
      </c>
      <c r="M241" s="1552"/>
      <c r="N241" s="1552"/>
      <c r="O241" s="25" t="str">
        <f>_xlfn.IFNA(VLOOKUP($C241,'Master sheet'!$A:$AR,44,FALSE),"")&amp;""</f>
        <v>Peer-reviewed LCA, 2020</v>
      </c>
      <c r="P241" s="637"/>
      <c r="Q241" s="29" t="s">
        <v>1556</v>
      </c>
      <c r="R241" s="757" t="s">
        <v>1680</v>
      </c>
      <c r="T241" s="664"/>
      <c r="U241" s="664"/>
      <c r="V241" s="664"/>
      <c r="W241" s="664"/>
      <c r="X241" s="664"/>
      <c r="Y241" s="664"/>
      <c r="Z241" s="664"/>
    </row>
    <row r="242" spans="1:26" ht="31.2" outlineLevel="1" x14ac:dyDescent="0.25">
      <c r="A242" s="1564"/>
      <c r="B242" s="1564"/>
      <c r="C242" s="669" t="str">
        <f>INDEX('Master sheet'!$A$1:$A$670,MATCH(123,'Master sheet'!$AN$1:$AN$670,0))</f>
        <v>Hempcrete / Cast in-situ / Site mixed / Europe / R 2.1/inch, Avg. of 9 mixes</v>
      </c>
      <c r="D242" s="15">
        <f>'USER INPUT SHEET'!$D$52</f>
        <v>0</v>
      </c>
      <c r="E242" s="16" t="str">
        <f>'USER INPUT SHEET'!$F$32</f>
        <v>m2</v>
      </c>
      <c r="F242" s="3">
        <v>1</v>
      </c>
      <c r="G242" s="670"/>
      <c r="H242" s="8"/>
      <c r="I242" s="92">
        <f t="shared" si="89"/>
        <v>0</v>
      </c>
      <c r="J242" s="93" t="str">
        <f t="shared" si="90"/>
        <v/>
      </c>
      <c r="K242" s="406">
        <f>$D242*($E$239/5.678)*$F242*VLOOKUP($C242,'Master sheet'!$A:$AL,13,FALSE)</f>
        <v>0</v>
      </c>
      <c r="L242" s="94">
        <f>$D242*($E$239/5.678)*$F242*VLOOKUP($C242,'Master sheet'!$A:$AL,27,FALSE)</f>
        <v>0</v>
      </c>
      <c r="M242" s="1552"/>
      <c r="N242" s="1552"/>
      <c r="O242" s="25" t="str">
        <f>_xlfn.IFNA(VLOOKUP($C242,'Master sheet'!$A:$AR,44,FALSE),"")&amp;""</f>
        <v>Peer-reviewed LCA, 2017</v>
      </c>
      <c r="P242" s="637"/>
      <c r="Q242" s="29" t="s">
        <v>1556</v>
      </c>
      <c r="R242" s="757" t="s">
        <v>1680</v>
      </c>
      <c r="T242" s="664"/>
      <c r="U242" s="664"/>
      <c r="V242" s="664"/>
      <c r="W242" s="664"/>
      <c r="X242" s="664"/>
      <c r="Y242" s="664"/>
      <c r="Z242" s="664"/>
    </row>
    <row r="243" spans="1:26" ht="23.25" customHeight="1" outlineLevel="1" x14ac:dyDescent="0.25">
      <c r="A243" s="1564"/>
      <c r="B243" s="1564"/>
      <c r="C243" s="673" t="str">
        <f>INDEX('Master sheet'!$A$1:$A$670,MATCH("A57",'Master sheet'!$AN$1:$AN$670,0))</f>
        <v>Hempcrete / Cast in-situ / IsoHemp / Europe / R 2.1/inch</v>
      </c>
      <c r="D243" s="17">
        <f>'USER INPUT SHEET'!$D$52</f>
        <v>0</v>
      </c>
      <c r="E243" s="18" t="str">
        <f>'USER INPUT SHEET'!$F$32</f>
        <v>m2</v>
      </c>
      <c r="F243" s="4">
        <v>1</v>
      </c>
      <c r="G243" s="674"/>
      <c r="H243" s="9"/>
      <c r="I243" s="95">
        <f t="shared" ref="I243:I246" si="91">K243-L243</f>
        <v>0</v>
      </c>
      <c r="J243" s="96" t="str">
        <f t="shared" ref="J243:J246" si="92">IF(H243=1,I243,"")</f>
        <v/>
      </c>
      <c r="K243" s="407">
        <f>$D243*($E$239/5.678)*$F243*VLOOKUP($C243,'Master sheet'!$A:$AL,13,FALSE)</f>
        <v>0</v>
      </c>
      <c r="L243" s="97">
        <f>$D243*($E$239/5.678)*$F243*VLOOKUP($C243,'Master sheet'!$A:$AL,27,FALSE)</f>
        <v>0</v>
      </c>
      <c r="M243" s="1552"/>
      <c r="N243" s="1552"/>
      <c r="O243" s="25" t="str">
        <f>_xlfn.IFNA(VLOOKUP($C243,'Master sheet'!$A:$AR,44,FALSE),"")&amp;""</f>
        <v/>
      </c>
      <c r="P243" s="637"/>
      <c r="Q243" s="29" t="s">
        <v>1556</v>
      </c>
      <c r="R243" s="757" t="s">
        <v>1680</v>
      </c>
      <c r="S243" s="624"/>
      <c r="T243" s="664"/>
      <c r="U243" s="664"/>
      <c r="V243" s="664"/>
      <c r="W243" s="664"/>
      <c r="X243" s="664"/>
      <c r="Y243" s="664"/>
      <c r="Z243" s="664"/>
    </row>
    <row r="244" spans="1:26" ht="31.2" outlineLevel="1" x14ac:dyDescent="0.25">
      <c r="A244" s="1564"/>
      <c r="B244" s="1564"/>
      <c r="C244" s="673" t="str">
        <f>INDEX('Master sheet'!$A$1:$A$670,MATCH("A60",'Master sheet'!$AN$1:$AN$670,0))</f>
        <v xml:space="preserve">Hempcrete / Cast in-situ / Senini / Bio Beton Jet / 230 kg/m3 / R 2.7/inch </v>
      </c>
      <c r="D244" s="17">
        <f>'USER INPUT SHEET'!$D$52</f>
        <v>0</v>
      </c>
      <c r="E244" s="18" t="str">
        <f>'USER INPUT SHEET'!$F$32</f>
        <v>m2</v>
      </c>
      <c r="F244" s="4">
        <v>1</v>
      </c>
      <c r="G244" s="674"/>
      <c r="H244" s="9"/>
      <c r="I244" s="95">
        <f t="shared" si="91"/>
        <v>0</v>
      </c>
      <c r="J244" s="96" t="str">
        <f t="shared" si="92"/>
        <v/>
      </c>
      <c r="K244" s="407">
        <f>$D244*($E$239/5.678)*$F244*VLOOKUP($C244,'Master sheet'!$A:$AL,13,FALSE)</f>
        <v>0</v>
      </c>
      <c r="L244" s="97">
        <f>$D244*($E$239/5.678)*$F244*VLOOKUP($C244,'Master sheet'!$A:$AL,27,FALSE)</f>
        <v>0</v>
      </c>
      <c r="M244" s="1552"/>
      <c r="N244" s="1552"/>
      <c r="O244" s="25" t="str">
        <f>_xlfn.IFNA(VLOOKUP($C244,'Master sheet'!$A:$AR,44,FALSE),"")&amp;""</f>
        <v/>
      </c>
      <c r="P244" s="637"/>
      <c r="Q244" s="29" t="s">
        <v>1556</v>
      </c>
      <c r="R244" s="757" t="s">
        <v>1680</v>
      </c>
      <c r="S244" s="624"/>
      <c r="T244" s="664"/>
      <c r="U244" s="664"/>
      <c r="V244" s="664"/>
      <c r="W244" s="664"/>
      <c r="X244" s="664"/>
      <c r="Y244" s="664"/>
      <c r="Z244" s="664"/>
    </row>
    <row r="245" spans="1:26" ht="31.2" outlineLevel="1" x14ac:dyDescent="0.25">
      <c r="A245" s="1564"/>
      <c r="B245" s="1564"/>
      <c r="C245" s="673" t="str">
        <f>INDEX('Master sheet'!$A$1:$A$670,MATCH("A58",'Master sheet'!$AN$1:$AN$670,0))</f>
        <v>Hempcrete block / Isohemp / Hemp Block PAL36EX including mortar / 600 x 300 x 360 mm  / R 2/inch</v>
      </c>
      <c r="D245" s="17">
        <f>'USER INPUT SHEET'!$D$52</f>
        <v>0</v>
      </c>
      <c r="E245" s="18" t="str">
        <f>'USER INPUT SHEET'!$F$32</f>
        <v>m2</v>
      </c>
      <c r="F245" s="4">
        <v>1</v>
      </c>
      <c r="G245" s="674"/>
      <c r="H245" s="9"/>
      <c r="I245" s="95">
        <f t="shared" si="91"/>
        <v>0</v>
      </c>
      <c r="J245" s="96" t="str">
        <f t="shared" si="92"/>
        <v/>
      </c>
      <c r="K245" s="407">
        <f>$D245*($E$239/5.678)*$F245*VLOOKUP($C245,'Master sheet'!$A:$AL,13,FALSE)</f>
        <v>0</v>
      </c>
      <c r="L245" s="97">
        <f>$D245*($E$239/5.678)*$F245*VLOOKUP($C245,'Master sheet'!$A:$AL,27,FALSE)</f>
        <v>0</v>
      </c>
      <c r="M245" s="1552"/>
      <c r="N245" s="1552"/>
      <c r="O245" s="25" t="str">
        <f>_xlfn.IFNA(VLOOKUP($C245,'Master sheet'!$A:$AR,44,FALSE),"")&amp;""</f>
        <v/>
      </c>
      <c r="P245" s="637"/>
      <c r="Q245" s="29" t="s">
        <v>1556</v>
      </c>
      <c r="R245" s="757" t="s">
        <v>1680</v>
      </c>
      <c r="S245" s="624"/>
      <c r="T245" s="664"/>
      <c r="U245" s="664"/>
      <c r="V245" s="664"/>
      <c r="W245" s="664"/>
      <c r="X245" s="664"/>
      <c r="Y245" s="664"/>
      <c r="Z245" s="664"/>
    </row>
    <row r="246" spans="1:26" ht="31.2" outlineLevel="1" x14ac:dyDescent="0.25">
      <c r="A246" s="1564"/>
      <c r="B246" s="1564"/>
      <c r="C246" s="673" t="str">
        <f>INDEX('Master sheet'!$A$1:$A$670,MATCH("A59",'Master sheet'!$AN$1:$AN$670,0))</f>
        <v>Hempcrete block / Senini / Blocco Ambiente / 200 x 500 x 300 mm / 330 kg/m3 / R 2.1/inch</v>
      </c>
      <c r="D246" s="17">
        <f>'USER INPUT SHEET'!$D$52</f>
        <v>0</v>
      </c>
      <c r="E246" s="18" t="str">
        <f>'USER INPUT SHEET'!$F$32</f>
        <v>m2</v>
      </c>
      <c r="F246" s="4">
        <v>1</v>
      </c>
      <c r="G246" s="674"/>
      <c r="H246" s="9"/>
      <c r="I246" s="95">
        <f t="shared" si="91"/>
        <v>0</v>
      </c>
      <c r="J246" s="96" t="str">
        <f t="shared" si="92"/>
        <v/>
      </c>
      <c r="K246" s="407">
        <f>$D246*($E$239/5.678)*$F246*VLOOKUP($C246,'Master sheet'!$A:$AL,13,FALSE)</f>
        <v>0</v>
      </c>
      <c r="L246" s="97">
        <f>$D246*($E$239/5.678)*$F246*VLOOKUP($C246,'Master sheet'!$A:$AL,27,FALSE)</f>
        <v>0</v>
      </c>
      <c r="M246" s="1552"/>
      <c r="N246" s="1552"/>
      <c r="O246" s="25" t="str">
        <f>_xlfn.IFNA(VLOOKUP($C246,'Master sheet'!$A:$AR,44,FALSE),"")&amp;""</f>
        <v/>
      </c>
      <c r="P246" s="637"/>
      <c r="Q246" s="29" t="s">
        <v>1556</v>
      </c>
      <c r="R246" s="757" t="s">
        <v>1680</v>
      </c>
      <c r="S246" s="624"/>
      <c r="T246" s="664"/>
      <c r="U246" s="664"/>
      <c r="V246" s="664"/>
      <c r="W246" s="664"/>
      <c r="X246" s="664"/>
      <c r="Y246" s="664"/>
      <c r="Z246" s="664"/>
    </row>
    <row r="247" spans="1:26" s="624" customFormat="1" ht="31.2" outlineLevel="1" x14ac:dyDescent="0.25">
      <c r="A247" s="1564"/>
      <c r="B247" s="1564"/>
      <c r="C247" s="673" t="str">
        <f>INDEX('Master sheet'!$A$1:$A$670,MATCH("A61",'Master sheet'!$AN$1:$AN$670,0))</f>
        <v xml:space="preserve">Hempcrete dry fill / Senini / Bio Beton Pronto / 190 kg/m3 / R 2.7/inch </v>
      </c>
      <c r="D247" s="17">
        <f>'USER INPUT SHEET'!$D$52</f>
        <v>0</v>
      </c>
      <c r="E247" s="18" t="str">
        <f>'USER INPUT SHEET'!$F$32</f>
        <v>m2</v>
      </c>
      <c r="F247" s="4">
        <v>1</v>
      </c>
      <c r="G247" s="674"/>
      <c r="H247" s="9"/>
      <c r="I247" s="95">
        <f t="shared" si="89"/>
        <v>0</v>
      </c>
      <c r="J247" s="96" t="str">
        <f t="shared" si="90"/>
        <v/>
      </c>
      <c r="K247" s="407">
        <f>$D247*($E$239/5.678)*$F247*VLOOKUP($C247,'Master sheet'!$A:$AL,13,FALSE)</f>
        <v>0</v>
      </c>
      <c r="L247" s="97">
        <f>$D247*($E$239/5.678)*$F247*VLOOKUP($C247,'Master sheet'!$A:$AL,27,FALSE)</f>
        <v>0</v>
      </c>
      <c r="M247" s="1552"/>
      <c r="N247" s="1552"/>
      <c r="O247" s="25" t="str">
        <f>_xlfn.IFNA(VLOOKUP($C247,'Master sheet'!$A:$AR,44,FALSE),"")&amp;""</f>
        <v/>
      </c>
      <c r="P247" s="637"/>
      <c r="Q247" s="29" t="s">
        <v>1556</v>
      </c>
      <c r="R247" s="757" t="s">
        <v>1680</v>
      </c>
      <c r="T247" s="638"/>
      <c r="U247" s="638"/>
      <c r="V247" s="638"/>
      <c r="W247" s="638"/>
      <c r="X247" s="638"/>
      <c r="Y247" s="638"/>
      <c r="Z247" s="638"/>
    </row>
    <row r="248" spans="1:26" s="624" customFormat="1" ht="54.75" customHeight="1" outlineLevel="1" x14ac:dyDescent="0.25">
      <c r="A248" s="1522" t="s">
        <v>1682</v>
      </c>
      <c r="B248" s="1523"/>
      <c r="C248" s="1523"/>
      <c r="D248" s="629" t="str">
        <f>IF(LOWER(Setting!rng_language)="english","R-VALUE:","VALEUR R :")</f>
        <v>R-VALUE:</v>
      </c>
      <c r="E248" s="1"/>
      <c r="F248" s="323"/>
      <c r="G248" s="1647" t="s">
        <v>1685</v>
      </c>
      <c r="H248" s="1647"/>
      <c r="I248" s="1647"/>
      <c r="J248" s="1647"/>
      <c r="K248" s="1647"/>
      <c r="L248" s="759"/>
      <c r="M248" s="759"/>
      <c r="N248" s="759"/>
      <c r="O248" s="25" t="str">
        <f>_xlfn.IFNA(VLOOKUP($C248,'Master sheet'!$A:$AR,44,FALSE),"")&amp;""</f>
        <v/>
      </c>
      <c r="P248" s="637"/>
      <c r="Q248" s="761"/>
      <c r="R248" s="757"/>
      <c r="T248" s="638"/>
      <c r="U248" s="638"/>
      <c r="V248" s="638"/>
      <c r="W248" s="638"/>
      <c r="X248" s="638"/>
      <c r="Y248" s="638"/>
      <c r="Z248" s="638"/>
    </row>
    <row r="249" spans="1:26" s="624" customFormat="1" ht="22.8" outlineLevel="1" x14ac:dyDescent="0.25">
      <c r="A249" s="639"/>
      <c r="B249" s="1524" t="s">
        <v>1024</v>
      </c>
      <c r="C249" s="1523"/>
      <c r="D249" s="687" t="str">
        <f>IF(LOWER(Setting!rng_language)="english","R-VALUE:","VALEUR R :")</f>
        <v>R-VALUE:</v>
      </c>
      <c r="E249" s="1"/>
      <c r="F249" s="325"/>
      <c r="G249" s="678"/>
      <c r="H249" s="679"/>
      <c r="I249" s="642"/>
      <c r="J249" s="643"/>
      <c r="K249" s="727"/>
      <c r="L249" s="727"/>
      <c r="M249" s="727"/>
      <c r="N249" s="727"/>
      <c r="O249" s="25" t="str">
        <f>_xlfn.IFNA(VLOOKUP($C249,'Master sheet'!$A:$AR,44,FALSE),"")&amp;""</f>
        <v/>
      </c>
      <c r="P249" s="685"/>
      <c r="Q249" s="728"/>
      <c r="R249" s="757"/>
      <c r="T249" s="638"/>
      <c r="U249" s="638"/>
      <c r="V249" s="638"/>
      <c r="W249" s="638"/>
      <c r="X249" s="638"/>
      <c r="Y249" s="638"/>
      <c r="Z249" s="638"/>
    </row>
    <row r="250" spans="1:26" ht="22.8" outlineLevel="1" x14ac:dyDescent="0.25">
      <c r="A250" s="729"/>
      <c r="B250" s="729"/>
      <c r="C250" s="691" t="s">
        <v>1051</v>
      </c>
      <c r="D250" s="19">
        <f>'USER INPUT SHEET'!$D$52</f>
        <v>0</v>
      </c>
      <c r="E250" s="20" t="str">
        <f>'USER INPUT SHEET'!$F$32</f>
        <v>m2</v>
      </c>
      <c r="F250" s="6">
        <v>1</v>
      </c>
      <c r="G250" s="692"/>
      <c r="H250" s="10"/>
      <c r="I250" s="98">
        <f>K250-L250</f>
        <v>0</v>
      </c>
      <c r="J250" s="91" t="str">
        <f>IF(H250=1,I250,"")</f>
        <v/>
      </c>
      <c r="K250" s="410">
        <f>F250*AVERAGE(K251:K258)</f>
        <v>0</v>
      </c>
      <c r="L250" s="99">
        <f>F250*AVERAGE(L251:L258)</f>
        <v>0</v>
      </c>
      <c r="M250" s="1552"/>
      <c r="N250" s="1552"/>
      <c r="O250" s="25" t="str">
        <f>_xlfn.IFNA(VLOOKUP($C250,'Master sheet'!$A:$AR,44,FALSE),"")&amp;""</f>
        <v/>
      </c>
      <c r="P250" s="685"/>
      <c r="Q250" s="29" t="s">
        <v>1556</v>
      </c>
      <c r="R250" s="757" t="s">
        <v>1680</v>
      </c>
      <c r="S250" s="664"/>
      <c r="T250" s="664"/>
      <c r="U250" s="664"/>
      <c r="V250" s="664"/>
      <c r="W250" s="664"/>
      <c r="X250" s="664"/>
      <c r="Y250" s="664"/>
      <c r="Z250" s="664"/>
    </row>
    <row r="251" spans="1:26" ht="31.5" customHeight="1" outlineLevel="1" x14ac:dyDescent="0.25">
      <c r="A251" s="1600"/>
      <c r="B251" s="1564"/>
      <c r="C251" s="673" t="str">
        <f>INDEX('Master sheet'!$A$1:$A$670,MATCH("A28",'Master sheet'!$AN$1:$AN$670,0))</f>
        <v>EPS foam board / EPS Industry Alliance /  / R 3.6/inch, Type I, 10 psi (70 kPa)</v>
      </c>
      <c r="D251" s="17">
        <f>'USER INPUT SHEET'!$D$52</f>
        <v>0</v>
      </c>
      <c r="E251" s="18" t="str">
        <f>'USER INPUT SHEET'!$F$32</f>
        <v>m2</v>
      </c>
      <c r="F251" s="4">
        <v>1</v>
      </c>
      <c r="G251" s="674"/>
      <c r="H251" s="9"/>
      <c r="I251" s="95">
        <f t="shared" ref="I251:I257" si="93">K251-L251</f>
        <v>0</v>
      </c>
      <c r="J251" s="96" t="str">
        <f t="shared" ref="J251:J257" si="94">IF(H251=1,I251,"")</f>
        <v/>
      </c>
      <c r="K251" s="407">
        <f>$D251*($E$249/5.678)*$F251*VLOOKUP($C251,'Master sheet'!$A:$AL,13,FALSE)</f>
        <v>0</v>
      </c>
      <c r="L251" s="97">
        <f>$D251*($E$249/5.678)*$F251*VLOOKUP($C251,'Master sheet'!$A:$AL,27,FALSE)</f>
        <v>0</v>
      </c>
      <c r="M251" s="1552"/>
      <c r="N251" s="1552"/>
      <c r="O251" s="25" t="str">
        <f>_xlfn.IFNA(VLOOKUP($C251,'Master sheet'!$A:$AR,44,FALSE),"")&amp;""</f>
        <v/>
      </c>
      <c r="Q251" s="29" t="s">
        <v>1556</v>
      </c>
      <c r="R251" s="757" t="s">
        <v>1680</v>
      </c>
      <c r="T251" s="664"/>
      <c r="U251" s="664"/>
      <c r="V251" s="664"/>
      <c r="W251" s="664"/>
      <c r="X251" s="664"/>
      <c r="Y251" s="664"/>
      <c r="Z251" s="664"/>
    </row>
    <row r="252" spans="1:26" ht="31.5" customHeight="1" outlineLevel="1" x14ac:dyDescent="0.25">
      <c r="A252" s="1600"/>
      <c r="B252" s="1564"/>
      <c r="C252" s="673" t="str">
        <f>INDEX('Master sheet'!$A$1:$A$670,MATCH("A29",'Master sheet'!$AN$1:$AN$670,0))</f>
        <v>EPS foam board / EPS Industry Alliance /  / R 4.0/inch, Type II, 15 psi (100 kPa)</v>
      </c>
      <c r="D252" s="17">
        <f>'USER INPUT SHEET'!$D$52</f>
        <v>0</v>
      </c>
      <c r="E252" s="18" t="str">
        <f>'USER INPUT SHEET'!$F$32</f>
        <v>m2</v>
      </c>
      <c r="F252" s="4">
        <v>1</v>
      </c>
      <c r="G252" s="674"/>
      <c r="H252" s="9"/>
      <c r="I252" s="95">
        <f t="shared" si="93"/>
        <v>0</v>
      </c>
      <c r="J252" s="96" t="str">
        <f t="shared" si="94"/>
        <v/>
      </c>
      <c r="K252" s="407">
        <f>$D252*($E$249/5.678)*$F252*VLOOKUP($C252,'Master sheet'!$A:$AL,13,FALSE)</f>
        <v>0</v>
      </c>
      <c r="L252" s="97">
        <f>$D252*($E$249/5.678)*$F252*VLOOKUP($C252,'Master sheet'!$A:$AL,27,FALSE)</f>
        <v>0</v>
      </c>
      <c r="M252" s="1552"/>
      <c r="N252" s="1552"/>
      <c r="O252" s="25" t="str">
        <f>_xlfn.IFNA(VLOOKUP($C252,'Master sheet'!$A:$AR,44,FALSE),"")&amp;""</f>
        <v/>
      </c>
      <c r="Q252" s="29" t="s">
        <v>1556</v>
      </c>
      <c r="R252" s="757" t="s">
        <v>1680</v>
      </c>
      <c r="T252" s="664"/>
      <c r="U252" s="664"/>
      <c r="V252" s="664"/>
      <c r="W252" s="664"/>
      <c r="X252" s="664"/>
      <c r="Y252" s="664"/>
      <c r="Z252" s="664"/>
    </row>
    <row r="253" spans="1:26" ht="31.5" customHeight="1" outlineLevel="1" x14ac:dyDescent="0.25">
      <c r="A253" s="1600"/>
      <c r="B253" s="1564"/>
      <c r="C253" s="673" t="str">
        <f>INDEX('Master sheet'!$A$1:$A$670,MATCH("A30",'Master sheet'!$AN$1:$AN$670,0))</f>
        <v>EPS foam board / EPS Industry Alliance /  / R 4.2/inch, Type IX, 25 psi (170 kPa)</v>
      </c>
      <c r="D253" s="17">
        <f>'USER INPUT SHEET'!$D$52</f>
        <v>0</v>
      </c>
      <c r="E253" s="18" t="str">
        <f>'USER INPUT SHEET'!$F$32</f>
        <v>m2</v>
      </c>
      <c r="F253" s="4">
        <v>1</v>
      </c>
      <c r="G253" s="674"/>
      <c r="H253" s="9"/>
      <c r="I253" s="95">
        <f t="shared" si="93"/>
        <v>0</v>
      </c>
      <c r="J253" s="96" t="str">
        <f t="shared" si="94"/>
        <v/>
      </c>
      <c r="K253" s="407">
        <f>$D253*($E$249/5.678)*$F253*VLOOKUP($C253,'Master sheet'!$A:$AL,13,FALSE)</f>
        <v>0</v>
      </c>
      <c r="L253" s="97">
        <f>$D253*($E$249/5.678)*$F253*VLOOKUP($C253,'Master sheet'!$A:$AL,27,FALSE)</f>
        <v>0</v>
      </c>
      <c r="M253" s="1552"/>
      <c r="N253" s="1552"/>
      <c r="O253" s="25" t="str">
        <f>_xlfn.IFNA(VLOOKUP($C253,'Master sheet'!$A:$AR,44,FALSE),"")&amp;""</f>
        <v/>
      </c>
      <c r="Q253" s="29" t="s">
        <v>1556</v>
      </c>
      <c r="R253" s="757" t="s">
        <v>1680</v>
      </c>
      <c r="T253" s="664"/>
      <c r="U253" s="664"/>
      <c r="V253" s="664"/>
      <c r="W253" s="664"/>
      <c r="X253" s="664"/>
      <c r="Y253" s="664"/>
      <c r="Z253" s="664"/>
    </row>
    <row r="254" spans="1:26" ht="31.5" customHeight="1" outlineLevel="1" x14ac:dyDescent="0.25">
      <c r="A254" s="1600"/>
      <c r="B254" s="1564"/>
      <c r="C254" s="673" t="str">
        <f>INDEX('Master sheet'!$A$1:$A$670,MATCH("A31",'Master sheet'!$AN$1:$AN$670,0))</f>
        <v>EPS foam board / EPS Industry Alliance /  / R 4.3/inch, Type XV, 60 psi (400 kPa)</v>
      </c>
      <c r="D254" s="17">
        <f>'USER INPUT SHEET'!$D$52</f>
        <v>0</v>
      </c>
      <c r="E254" s="18" t="str">
        <f>'USER INPUT SHEET'!$F$32</f>
        <v>m2</v>
      </c>
      <c r="F254" s="4">
        <v>1</v>
      </c>
      <c r="G254" s="674"/>
      <c r="H254" s="9"/>
      <c r="I254" s="95">
        <f t="shared" si="93"/>
        <v>0</v>
      </c>
      <c r="J254" s="96" t="str">
        <f t="shared" si="94"/>
        <v/>
      </c>
      <c r="K254" s="407">
        <f>$D254*($E$249/5.678)*$F254*VLOOKUP($C254,'Master sheet'!$A:$AL,13,FALSE)</f>
        <v>0</v>
      </c>
      <c r="L254" s="97">
        <f>$D254*($E$249/5.678)*$F254*VLOOKUP($C254,'Master sheet'!$A:$AL,27,FALSE)</f>
        <v>0</v>
      </c>
      <c r="M254" s="1552"/>
      <c r="N254" s="1552"/>
      <c r="O254" s="25" t="str">
        <f>_xlfn.IFNA(VLOOKUP($C254,'Master sheet'!$A:$AR,44,FALSE),"")&amp;""</f>
        <v/>
      </c>
      <c r="Q254" s="29" t="s">
        <v>1556</v>
      </c>
      <c r="R254" s="757" t="s">
        <v>1680</v>
      </c>
      <c r="T254" s="664"/>
      <c r="U254" s="664"/>
      <c r="V254" s="664"/>
      <c r="W254" s="664"/>
      <c r="X254" s="664"/>
      <c r="Y254" s="664"/>
      <c r="Z254" s="664"/>
    </row>
    <row r="255" spans="1:26" ht="31.5" customHeight="1" outlineLevel="1" x14ac:dyDescent="0.25">
      <c r="A255" s="1600"/>
      <c r="B255" s="1564"/>
      <c r="C255" s="673" t="str">
        <f>INDEX('Master sheet'!$A$1:$A$670,MATCH("A33",'Master sheet'!$AN$1:$AN$670,0))</f>
        <v>EPS foam board with graphite / BASF  / Neopor F 5200 &amp; F 5300 Plus BMB / R 4.7/inch, Type II, 15 psi (Type 2, 110 kPa)</v>
      </c>
      <c r="D255" s="17">
        <f>'USER INPUT SHEET'!$D$52</f>
        <v>0</v>
      </c>
      <c r="E255" s="18" t="str">
        <f>'USER INPUT SHEET'!$F$32</f>
        <v>m2</v>
      </c>
      <c r="F255" s="4">
        <v>1</v>
      </c>
      <c r="G255" s="674"/>
      <c r="H255" s="9"/>
      <c r="I255" s="95">
        <f t="shared" si="93"/>
        <v>0</v>
      </c>
      <c r="J255" s="96" t="str">
        <f t="shared" si="94"/>
        <v/>
      </c>
      <c r="K255" s="407">
        <f>$D255*($E$249/5.678)*$F255*VLOOKUP($C255,'Master sheet'!$A:$AL,13,FALSE)</f>
        <v>0</v>
      </c>
      <c r="L255" s="97">
        <f>$D255*($E$249/5.678)*$F255*VLOOKUP($C255,'Master sheet'!$A:$AL,27,FALSE)</f>
        <v>0</v>
      </c>
      <c r="M255" s="1552"/>
      <c r="N255" s="1552"/>
      <c r="O255" s="25" t="str">
        <f>_xlfn.IFNA(VLOOKUP($C255,'Master sheet'!$A:$AR,44,FALSE),"")&amp;""</f>
        <v/>
      </c>
      <c r="Q255" s="29" t="s">
        <v>1556</v>
      </c>
      <c r="R255" s="757" t="s">
        <v>1680</v>
      </c>
      <c r="T255" s="664"/>
      <c r="U255" s="664"/>
      <c r="V255" s="664"/>
      <c r="W255" s="664"/>
      <c r="X255" s="664"/>
      <c r="Y255" s="664"/>
      <c r="Z255" s="664"/>
    </row>
    <row r="256" spans="1:26" ht="31.5" customHeight="1" outlineLevel="1" x14ac:dyDescent="0.25">
      <c r="A256" s="1600"/>
      <c r="B256" s="1564"/>
      <c r="C256" s="673" t="str">
        <f>INDEX('Master sheet'!$A$1:$A$670,MATCH("A34",'Master sheet'!$AN$1:$AN$670,0))</f>
        <v>EPS foam board with graphite / BASF  / Neopor F 5200 &amp; F 5300 Plus BMB / R 4.7/inch, Type IX, 25 psi (Type 9, 175 kPa)</v>
      </c>
      <c r="D256" s="17">
        <f>'USER INPUT SHEET'!$D$52</f>
        <v>0</v>
      </c>
      <c r="E256" s="18" t="str">
        <f>'USER INPUT SHEET'!$F$32</f>
        <v>m2</v>
      </c>
      <c r="F256" s="4">
        <v>1</v>
      </c>
      <c r="G256" s="674"/>
      <c r="H256" s="9"/>
      <c r="I256" s="95">
        <f t="shared" si="93"/>
        <v>0</v>
      </c>
      <c r="J256" s="96" t="str">
        <f t="shared" si="94"/>
        <v/>
      </c>
      <c r="K256" s="407">
        <f>$D256*($E$249/5.678)*$F256*VLOOKUP($C256,'Master sheet'!$A:$AL,13,FALSE)</f>
        <v>0</v>
      </c>
      <c r="L256" s="97">
        <f>$D256*($E$249/5.678)*$F256*VLOOKUP($C256,'Master sheet'!$A:$AL,27,FALSE)</f>
        <v>0</v>
      </c>
      <c r="M256" s="1552"/>
      <c r="N256" s="1552"/>
      <c r="O256" s="25" t="str">
        <f>_xlfn.IFNA(VLOOKUP($C256,'Master sheet'!$A:$AR,44,FALSE),"")&amp;""</f>
        <v/>
      </c>
      <c r="Q256" s="29" t="s">
        <v>1556</v>
      </c>
      <c r="R256" s="757" t="s">
        <v>1680</v>
      </c>
      <c r="T256" s="664"/>
      <c r="U256" s="664"/>
      <c r="V256" s="664"/>
      <c r="W256" s="664"/>
      <c r="X256" s="664"/>
      <c r="Y256" s="664"/>
      <c r="Z256" s="664"/>
    </row>
    <row r="257" spans="1:26" ht="31.5" customHeight="1" outlineLevel="1" x14ac:dyDescent="0.25">
      <c r="A257" s="1600"/>
      <c r="B257" s="1564"/>
      <c r="C257" s="673" t="str">
        <f>INDEX('Master sheet'!$A$1:$A$670,MATCH("A32",'Master sheet'!$AN$1:$AN$670,0))</f>
        <v>EPS foam board with graphite / BASF  / Neopor F 5200 Plus / R 4.7-inch, Type IX, 25 psi</v>
      </c>
      <c r="D257" s="17">
        <f>'USER INPUT SHEET'!$D$52</f>
        <v>0</v>
      </c>
      <c r="E257" s="18" t="str">
        <f>'USER INPUT SHEET'!$F$32</f>
        <v>m2</v>
      </c>
      <c r="F257" s="4">
        <v>1</v>
      </c>
      <c r="G257" s="674"/>
      <c r="H257" s="9"/>
      <c r="I257" s="95">
        <f t="shared" si="93"/>
        <v>0</v>
      </c>
      <c r="J257" s="96" t="str">
        <f t="shared" si="94"/>
        <v/>
      </c>
      <c r="K257" s="407">
        <f>$D257*($E$249/5.678)*$F257*VLOOKUP($C257,'Master sheet'!$A:$AL,13,FALSE)</f>
        <v>0</v>
      </c>
      <c r="L257" s="97">
        <f>$D257*($E$249/5.678)*$F257*VLOOKUP($C257,'Master sheet'!$A:$AL,27,FALSE)</f>
        <v>0</v>
      </c>
      <c r="M257" s="1552"/>
      <c r="N257" s="1552"/>
      <c r="O257" s="25" t="str">
        <f>_xlfn.IFNA(VLOOKUP($C257,'Master sheet'!$A:$AR,44,FALSE),"")&amp;""</f>
        <v/>
      </c>
      <c r="Q257" s="29" t="s">
        <v>1556</v>
      </c>
      <c r="R257" s="757" t="s">
        <v>1680</v>
      </c>
      <c r="T257" s="664"/>
      <c r="U257" s="664"/>
      <c r="V257" s="664"/>
      <c r="W257" s="664"/>
      <c r="X257" s="664"/>
      <c r="Y257" s="664"/>
      <c r="Z257" s="664"/>
    </row>
    <row r="258" spans="1:26" s="624" customFormat="1" ht="31.5" customHeight="1" outlineLevel="1" x14ac:dyDescent="0.25">
      <c r="A258" s="1564"/>
      <c r="B258" s="1564"/>
      <c r="C258" s="673" t="str">
        <f>INDEX('Master sheet'!$A$1:$A$670,MATCH("A35",'Master sheet'!$AN$1:$AN$670,0))</f>
        <v>EPS foam board with graphite / BASF / Neopor F 5200 Plus / R 4.7/inch, Type II, 15 psi (Type 2, 110 kPa)</v>
      </c>
      <c r="D258" s="17">
        <f>'USER INPUT SHEET'!$D$52</f>
        <v>0</v>
      </c>
      <c r="E258" s="18" t="str">
        <f>'USER INPUT SHEET'!$F$32</f>
        <v>m2</v>
      </c>
      <c r="F258" s="4">
        <v>1</v>
      </c>
      <c r="G258" s="674"/>
      <c r="H258" s="9"/>
      <c r="I258" s="95">
        <f t="shared" ref="I258:I284" si="95">K258-L258</f>
        <v>0</v>
      </c>
      <c r="J258" s="96" t="str">
        <f t="shared" si="90"/>
        <v/>
      </c>
      <c r="K258" s="407">
        <f>$D258*($E$249/5.678)*$F258*VLOOKUP($C258,'Master sheet'!$A:$AL,13,FALSE)</f>
        <v>0</v>
      </c>
      <c r="L258" s="97">
        <f>$D258*($E$249/5.678)*$F258*VLOOKUP($C258,'Master sheet'!$A:$AL,27,FALSE)</f>
        <v>0</v>
      </c>
      <c r="M258" s="1559"/>
      <c r="N258" s="1559"/>
      <c r="O258" s="25" t="str">
        <f>_xlfn.IFNA(VLOOKUP($C258,'Master sheet'!$A:$AR,44,FALSE),"")&amp;""</f>
        <v/>
      </c>
      <c r="P258" s="685"/>
      <c r="Q258" s="29" t="s">
        <v>1556</v>
      </c>
      <c r="R258" s="757" t="s">
        <v>1680</v>
      </c>
      <c r="T258" s="638"/>
      <c r="U258" s="638"/>
      <c r="V258" s="638"/>
      <c r="W258" s="638"/>
      <c r="X258" s="638"/>
      <c r="Y258" s="638"/>
      <c r="Z258" s="638"/>
    </row>
    <row r="259" spans="1:26" s="624" customFormat="1" ht="22.8" outlineLevel="1" x14ac:dyDescent="0.25">
      <c r="A259" s="639"/>
      <c r="B259" s="1524" t="s">
        <v>1035</v>
      </c>
      <c r="C259" s="1523"/>
      <c r="D259" s="687" t="str">
        <f>IF(LOWER(Setting!rng_language)="english","R-VALUE:","VALEUR R :")</f>
        <v>R-VALUE:</v>
      </c>
      <c r="E259" s="1"/>
      <c r="F259" s="325"/>
      <c r="G259" s="678"/>
      <c r="H259" s="679"/>
      <c r="I259" s="642"/>
      <c r="J259" s="643"/>
      <c r="K259" s="676"/>
      <c r="L259" s="727"/>
      <c r="M259" s="727"/>
      <c r="N259" s="727"/>
      <c r="O259" s="25" t="str">
        <f>_xlfn.IFNA(VLOOKUP($C259,'Master sheet'!$A:$AR,44,FALSE),"")&amp;""</f>
        <v/>
      </c>
      <c r="P259" s="637"/>
      <c r="Q259" s="29" t="s">
        <v>1556</v>
      </c>
      <c r="R259" s="757" t="s">
        <v>1680</v>
      </c>
      <c r="T259" s="638"/>
      <c r="U259" s="638"/>
      <c r="V259" s="638"/>
      <c r="W259" s="638"/>
      <c r="X259" s="638"/>
      <c r="Y259" s="638"/>
      <c r="Z259" s="638"/>
    </row>
    <row r="260" spans="1:26" ht="22.8" outlineLevel="1" x14ac:dyDescent="0.25">
      <c r="A260" s="729"/>
      <c r="B260" s="729"/>
      <c r="C260" s="691" t="s">
        <v>1355</v>
      </c>
      <c r="D260" s="19">
        <f>'USER INPUT SHEET'!$D$52</f>
        <v>0</v>
      </c>
      <c r="E260" s="20" t="str">
        <f>'USER INPUT SHEET'!$F$32</f>
        <v>m2</v>
      </c>
      <c r="F260" s="6">
        <v>1</v>
      </c>
      <c r="G260" s="692"/>
      <c r="H260" s="10"/>
      <c r="I260" s="98">
        <f>K260-L260</f>
        <v>0</v>
      </c>
      <c r="J260" s="91" t="str">
        <f>IF(H260=1,I260,"")</f>
        <v/>
      </c>
      <c r="K260" s="410">
        <f>F260*AVERAGE(K261:K269)</f>
        <v>0</v>
      </c>
      <c r="L260" s="99">
        <f>F260*AVERAGE(L261:L269)</f>
        <v>0</v>
      </c>
      <c r="M260" s="1552"/>
      <c r="N260" s="1552"/>
      <c r="O260" s="25" t="str">
        <f>_xlfn.IFNA(VLOOKUP($C260,'Master sheet'!$A:$AR,44,FALSE),"")&amp;""</f>
        <v/>
      </c>
      <c r="P260" s="637"/>
      <c r="Q260" s="29" t="s">
        <v>1556</v>
      </c>
      <c r="R260" s="757" t="s">
        <v>1680</v>
      </c>
      <c r="S260" s="664"/>
      <c r="T260" s="664"/>
      <c r="U260" s="664"/>
      <c r="V260" s="664"/>
      <c r="W260" s="664"/>
      <c r="X260" s="664"/>
      <c r="Y260" s="664"/>
      <c r="Z260" s="664"/>
    </row>
    <row r="261" spans="1:26" ht="22.8" outlineLevel="1" x14ac:dyDescent="0.25">
      <c r="A261" s="1564"/>
      <c r="B261" s="1564"/>
      <c r="C261" s="669" t="str">
        <f>INDEX('Master sheet'!$A$1:$A$670,MATCH(243,'Master sheet'!$AN$1:$AN$670,0))</f>
        <v>Wood fiber board / GUTEX / Multi-Therm / R 3.6/inch, 40-200 mm</v>
      </c>
      <c r="D261" s="15">
        <f>'USER INPUT SHEET'!$D$52</f>
        <v>0</v>
      </c>
      <c r="E261" s="16" t="str">
        <f>'USER INPUT SHEET'!$F$32</f>
        <v>m2</v>
      </c>
      <c r="F261" s="3">
        <v>1</v>
      </c>
      <c r="G261" s="670"/>
      <c r="H261" s="8"/>
      <c r="I261" s="92">
        <f t="shared" si="95"/>
        <v>0</v>
      </c>
      <c r="J261" s="93" t="str">
        <f t="shared" si="90"/>
        <v/>
      </c>
      <c r="K261" s="406">
        <f>$D261*($E$259/5.678)*$F261*VLOOKUP($C261,'Master sheet'!$A:$AL,13,FALSE)</f>
        <v>0</v>
      </c>
      <c r="L261" s="94">
        <f>$D261*($E$259/5.678)*$F261*VLOOKUP($C261,'Master sheet'!$A:$AL,27,FALSE)</f>
        <v>0</v>
      </c>
      <c r="M261" s="1552"/>
      <c r="N261" s="1552"/>
      <c r="O261" s="25" t="str">
        <f ca="1">_xlfn.IFNA(VLOOKUP($C261,'Master sheet'!$A:$AR,44,FALSE),"")&amp;""</f>
        <v>Expired 2025</v>
      </c>
      <c r="P261" s="685"/>
      <c r="Q261" s="29" t="s">
        <v>1556</v>
      </c>
      <c r="R261" s="757" t="s">
        <v>1680</v>
      </c>
      <c r="T261" s="664"/>
      <c r="U261" s="664"/>
      <c r="V261" s="664"/>
      <c r="W261" s="664"/>
      <c r="X261" s="664"/>
      <c r="Y261" s="664"/>
      <c r="Z261" s="664"/>
    </row>
    <row r="262" spans="1:26" ht="31.2" outlineLevel="1" x14ac:dyDescent="0.25">
      <c r="A262" s="1564"/>
      <c r="B262" s="1564"/>
      <c r="C262" s="673" t="str">
        <f>INDEX('Master sheet'!$A$1:$A$670,MATCH(397,'Master sheet'!$AN$1:$AN$670,0))</f>
        <v>Wood fiber board / North American Fiberboard Association / Includes: MSL, Blue Ridge Fiberboard Inc. / R 2.7/inch</v>
      </c>
      <c r="D262" s="17">
        <f>'USER INPUT SHEET'!$D$52</f>
        <v>0</v>
      </c>
      <c r="E262" s="18" t="str">
        <f>'USER INPUT SHEET'!$F$32</f>
        <v>m2</v>
      </c>
      <c r="F262" s="4">
        <v>1</v>
      </c>
      <c r="G262" s="674"/>
      <c r="H262" s="9"/>
      <c r="I262" s="95">
        <f t="shared" ref="I262:I268" si="96">K262-L262</f>
        <v>0</v>
      </c>
      <c r="J262" s="96" t="str">
        <f t="shared" ref="J262:J268" si="97">IF(H262=1,I262,"")</f>
        <v/>
      </c>
      <c r="K262" s="407">
        <f>$D262*($E$259/5.678)*$F262*VLOOKUP($C262,'Master sheet'!$A:$AL,13,FALSE)</f>
        <v>0</v>
      </c>
      <c r="L262" s="97">
        <f>$D262*($E$259/5.678)*$F262*VLOOKUP($C262,'Master sheet'!$A:$AL,27,FALSE)</f>
        <v>0</v>
      </c>
      <c r="M262" s="1552"/>
      <c r="N262" s="1552"/>
      <c r="O262" s="25" t="str">
        <f ca="1">_xlfn.IFNA(VLOOKUP($C262,'Master sheet'!$A:$AR,44,FALSE),"")&amp;""</f>
        <v/>
      </c>
      <c r="P262" s="637"/>
      <c r="Q262" s="29" t="s">
        <v>1556</v>
      </c>
      <c r="R262" s="757" t="s">
        <v>1680</v>
      </c>
      <c r="T262" s="664"/>
      <c r="U262" s="664"/>
      <c r="V262" s="664"/>
      <c r="W262" s="664"/>
      <c r="X262" s="664"/>
      <c r="Y262" s="664"/>
      <c r="Z262" s="664"/>
    </row>
    <row r="263" spans="1:26" ht="31.2" outlineLevel="1" x14ac:dyDescent="0.25">
      <c r="A263" s="1564"/>
      <c r="B263" s="1564"/>
      <c r="C263" s="673" t="str">
        <f>INDEX('Master sheet'!$A$1:$A$670,MATCH("A123",'Master sheet'!$AN$1:$AN$670,0))</f>
        <v>Wood fiber board / Pavatex / Isolair, Isoroof, Isolair Multi / R 3.3-inch / 200 kg/m3, 30-80 mm</v>
      </c>
      <c r="D263" s="17">
        <f>'USER INPUT SHEET'!$D$52</f>
        <v>0</v>
      </c>
      <c r="E263" s="18" t="str">
        <f>'USER INPUT SHEET'!$F$32</f>
        <v>m2</v>
      </c>
      <c r="F263" s="4">
        <v>1</v>
      </c>
      <c r="G263" s="674"/>
      <c r="H263" s="9"/>
      <c r="I263" s="95">
        <f t="shared" si="96"/>
        <v>0</v>
      </c>
      <c r="J263" s="96" t="str">
        <f t="shared" si="97"/>
        <v/>
      </c>
      <c r="K263" s="407">
        <f>$D263*($E$259/5.678)*$F263*VLOOKUP($C263,'Master sheet'!$A:$AL,13,FALSE)</f>
        <v>0</v>
      </c>
      <c r="L263" s="97">
        <f>$D263*($E$259/5.678)*$F263*VLOOKUP($C263,'Master sheet'!$A:$AL,27,FALSE)</f>
        <v>0</v>
      </c>
      <c r="M263" s="1552"/>
      <c r="N263" s="1552"/>
      <c r="O263" s="25" t="str">
        <f>_xlfn.IFNA(VLOOKUP($C263,'Master sheet'!$A:$AR,44,FALSE),"")&amp;""</f>
        <v/>
      </c>
      <c r="P263" s="637"/>
      <c r="Q263" s="29" t="s">
        <v>1556</v>
      </c>
      <c r="R263" s="757" t="s">
        <v>1680</v>
      </c>
      <c r="T263" s="664"/>
      <c r="U263" s="664"/>
      <c r="V263" s="664"/>
      <c r="W263" s="664"/>
      <c r="X263" s="664"/>
      <c r="Y263" s="664"/>
      <c r="Z263" s="664"/>
    </row>
    <row r="264" spans="1:26" ht="31.2" customHeight="1" outlineLevel="1" x14ac:dyDescent="0.25">
      <c r="A264" s="1564"/>
      <c r="B264" s="1564"/>
      <c r="C264" s="673" t="str">
        <f>INDEX('Master sheet'!$A$1:$A$670,MATCH("A124",'Master sheet'!$AN$1:$AN$670,0))</f>
        <v>Wood fiber board / Pavatex / Pavatherm / R 3.3-inch / 110 kg/m3</v>
      </c>
      <c r="D264" s="17">
        <f>'USER INPUT SHEET'!$D$52</f>
        <v>0</v>
      </c>
      <c r="E264" s="18" t="str">
        <f>'USER INPUT SHEET'!$F$32</f>
        <v>m2</v>
      </c>
      <c r="F264" s="4">
        <v>1</v>
      </c>
      <c r="G264" s="674"/>
      <c r="H264" s="9"/>
      <c r="I264" s="95">
        <f t="shared" si="96"/>
        <v>0</v>
      </c>
      <c r="J264" s="96" t="str">
        <f t="shared" si="97"/>
        <v/>
      </c>
      <c r="K264" s="407">
        <f>$D264*($E$259/5.678)*$F264*VLOOKUP($C264,'Master sheet'!$A:$AL,13,FALSE)</f>
        <v>0</v>
      </c>
      <c r="L264" s="97">
        <f>$D264*($E$259/5.678)*$F264*VLOOKUP($C264,'Master sheet'!$A:$AL,27,FALSE)</f>
        <v>0</v>
      </c>
      <c r="M264" s="1552"/>
      <c r="N264" s="1552"/>
      <c r="O264" s="25" t="str">
        <f>_xlfn.IFNA(VLOOKUP($C264,'Master sheet'!$A:$AR,44,FALSE),"")&amp;""</f>
        <v/>
      </c>
      <c r="P264" s="637"/>
      <c r="Q264" s="29" t="s">
        <v>1556</v>
      </c>
      <c r="R264" s="757" t="s">
        <v>1680</v>
      </c>
      <c r="T264" s="638" t="s">
        <v>7295</v>
      </c>
      <c r="U264" s="664"/>
      <c r="V264" s="664"/>
      <c r="W264" s="664"/>
      <c r="X264" s="664"/>
      <c r="Y264" s="664"/>
      <c r="Z264" s="664"/>
    </row>
    <row r="265" spans="1:26" ht="31.2" outlineLevel="1" x14ac:dyDescent="0.25">
      <c r="A265" s="1564"/>
      <c r="B265" s="1564"/>
      <c r="C265" s="673" t="str">
        <f>INDEX('Master sheet'!$A$1:$A$670,MATCH("A125",'Master sheet'!$AN$1:$AN$670,0))</f>
        <v xml:space="preserve">Wood fiber board / Pavatex / Pavawall GF, Pavawall Bloc, Pavawall GF XL / R 3.3-inch / 130 kg/m3 </v>
      </c>
      <c r="D265" s="17">
        <f>'USER INPUT SHEET'!$D$52</f>
        <v>0</v>
      </c>
      <c r="E265" s="18" t="str">
        <f>'USER INPUT SHEET'!$F$32</f>
        <v>m2</v>
      </c>
      <c r="F265" s="4">
        <v>1</v>
      </c>
      <c r="G265" s="674"/>
      <c r="H265" s="9"/>
      <c r="I265" s="95">
        <f t="shared" si="96"/>
        <v>0</v>
      </c>
      <c r="J265" s="96" t="str">
        <f t="shared" si="97"/>
        <v/>
      </c>
      <c r="K265" s="407">
        <f>$D265*($E$259/5.678)*$F265*VLOOKUP($C265,'Master sheet'!$A:$AL,13,FALSE)</f>
        <v>0</v>
      </c>
      <c r="L265" s="97">
        <f>$D265*($E$259/5.678)*$F265*VLOOKUP($C265,'Master sheet'!$A:$AL,27,FALSE)</f>
        <v>0</v>
      </c>
      <c r="M265" s="1552"/>
      <c r="N265" s="1552"/>
      <c r="O265" s="25" t="str">
        <f>_xlfn.IFNA(VLOOKUP($C265,'Master sheet'!$A:$AR,44,FALSE),"")&amp;""</f>
        <v/>
      </c>
      <c r="P265" s="637"/>
      <c r="Q265" s="29" t="s">
        <v>1556</v>
      </c>
      <c r="R265" s="757" t="s">
        <v>1680</v>
      </c>
      <c r="T265" s="664"/>
      <c r="U265" s="664"/>
      <c r="V265" s="664"/>
      <c r="W265" s="664"/>
      <c r="X265" s="664"/>
      <c r="Y265" s="664"/>
      <c r="Z265" s="664"/>
    </row>
    <row r="266" spans="1:26" ht="31.2" outlineLevel="1" x14ac:dyDescent="0.25">
      <c r="A266" s="1564"/>
      <c r="B266" s="1564"/>
      <c r="C266" s="673" t="str">
        <f>INDEX('Master sheet'!$A$1:$A$670,MATCH("A126",'Master sheet'!$AN$1:$AN$670,0))</f>
        <v>Wood fiber board / Pavatex / Pavawall Smart, Pavawall Light, Pavawall FW / R 3.3-inch / 115 kg/m3</v>
      </c>
      <c r="D266" s="17">
        <f>'USER INPUT SHEET'!$D$52</f>
        <v>0</v>
      </c>
      <c r="E266" s="18" t="str">
        <f>'USER INPUT SHEET'!$F$32</f>
        <v>m2</v>
      </c>
      <c r="F266" s="4">
        <v>1</v>
      </c>
      <c r="G266" s="674"/>
      <c r="H266" s="9"/>
      <c r="I266" s="95">
        <f t="shared" si="96"/>
        <v>0</v>
      </c>
      <c r="J266" s="96" t="str">
        <f t="shared" si="97"/>
        <v/>
      </c>
      <c r="K266" s="407">
        <f>$D266*($E$259/5.678)*$F266*VLOOKUP($C266,'Master sheet'!$A:$AL,13,FALSE)</f>
        <v>0</v>
      </c>
      <c r="L266" s="97">
        <f>$D266*($E$259/5.678)*$F266*VLOOKUP($C266,'Master sheet'!$A:$AL,27,FALSE)</f>
        <v>0</v>
      </c>
      <c r="M266" s="1552"/>
      <c r="N266" s="1552"/>
      <c r="O266" s="25" t="str">
        <f>_xlfn.IFNA(VLOOKUP($C266,'Master sheet'!$A:$AR,44,FALSE),"")&amp;""</f>
        <v/>
      </c>
      <c r="P266" s="637"/>
      <c r="Q266" s="29" t="s">
        <v>1556</v>
      </c>
      <c r="R266" s="757" t="s">
        <v>1680</v>
      </c>
      <c r="T266" s="664"/>
      <c r="U266" s="664"/>
      <c r="V266" s="664"/>
      <c r="W266" s="664"/>
      <c r="X266" s="664"/>
      <c r="Y266" s="664"/>
      <c r="Z266" s="664"/>
    </row>
    <row r="267" spans="1:26" ht="31.2" outlineLevel="1" x14ac:dyDescent="0.25">
      <c r="A267" s="1564"/>
      <c r="B267" s="1564"/>
      <c r="C267" s="673" t="str">
        <f>INDEX('Master sheet'!$A$1:$A$670,MATCH("A127",'Master sheet'!$AN$1:$AN$670,0))</f>
        <v xml:space="preserve">Wood fiber board / Steico / STEICOprotect M dry, STEICOroof dry, STEICOspecial dry, STEICOtop / R 3.6-inch, 140 kg/m3 </v>
      </c>
      <c r="D267" s="17">
        <f>'USER INPUT SHEET'!$D$52</f>
        <v>0</v>
      </c>
      <c r="E267" s="18" t="str">
        <f>'USER INPUT SHEET'!$F$32</f>
        <v>m2</v>
      </c>
      <c r="F267" s="4">
        <v>1</v>
      </c>
      <c r="G267" s="674"/>
      <c r="H267" s="9"/>
      <c r="I267" s="95">
        <f t="shared" si="96"/>
        <v>0</v>
      </c>
      <c r="J267" s="96" t="str">
        <f t="shared" si="97"/>
        <v/>
      </c>
      <c r="K267" s="407">
        <f>$D267*($E$259/5.678)*$F267*VLOOKUP($C267,'Master sheet'!$A:$AL,13,FALSE)</f>
        <v>0</v>
      </c>
      <c r="L267" s="97">
        <f>$D267*($E$259/5.678)*$F267*VLOOKUP($C267,'Master sheet'!$A:$AL,27,FALSE)</f>
        <v>0</v>
      </c>
      <c r="M267" s="1552"/>
      <c r="N267" s="1552"/>
      <c r="O267" s="25" t="str">
        <f>_xlfn.IFNA(VLOOKUP($C267,'Master sheet'!$A:$AR,44,FALSE),"")&amp;""</f>
        <v/>
      </c>
      <c r="P267" s="637"/>
      <c r="Q267" s="29" t="s">
        <v>1556</v>
      </c>
      <c r="R267" s="757" t="s">
        <v>1680</v>
      </c>
      <c r="T267" s="664"/>
      <c r="U267" s="664"/>
      <c r="V267" s="664"/>
      <c r="W267" s="664"/>
      <c r="X267" s="664"/>
      <c r="Y267" s="664"/>
      <c r="Z267" s="664"/>
    </row>
    <row r="268" spans="1:26" ht="31.2" outlineLevel="1" x14ac:dyDescent="0.25">
      <c r="A268" s="1564"/>
      <c r="B268" s="1564"/>
      <c r="C268" s="673" t="str">
        <f>INDEX('Master sheet'!$A$1:$A$670,MATCH("A128",'Master sheet'!$AN$1:$AN$670,0))</f>
        <v>Wood fiber board / Steico / STEICOprotect S dry, STEICOsafe 40, STEICOuniversal dry / R 3.6-inch, 210 kg/m3</v>
      </c>
      <c r="D268" s="17">
        <f>'USER INPUT SHEET'!$D$52</f>
        <v>0</v>
      </c>
      <c r="E268" s="18" t="str">
        <f>'USER INPUT SHEET'!$F$32</f>
        <v>m2</v>
      </c>
      <c r="F268" s="4">
        <v>1</v>
      </c>
      <c r="G268" s="674"/>
      <c r="H268" s="9"/>
      <c r="I268" s="95">
        <f t="shared" si="96"/>
        <v>0</v>
      </c>
      <c r="J268" s="96" t="str">
        <f t="shared" si="97"/>
        <v/>
      </c>
      <c r="K268" s="407">
        <f>$D268*($E$259/5.678)*$F268*VLOOKUP($C268,'Master sheet'!$A:$AL,13,FALSE)</f>
        <v>0</v>
      </c>
      <c r="L268" s="97">
        <f>$D268*($E$259/5.678)*$F268*VLOOKUP($C268,'Master sheet'!$A:$AL,27,FALSE)</f>
        <v>0</v>
      </c>
      <c r="M268" s="1552"/>
      <c r="N268" s="1552"/>
      <c r="O268" s="25" t="str">
        <f>_xlfn.IFNA(VLOOKUP($C268,'Master sheet'!$A:$AR,44,FALSE),"")&amp;""</f>
        <v/>
      </c>
      <c r="P268" s="637"/>
      <c r="Q268" s="29" t="s">
        <v>1556</v>
      </c>
      <c r="R268" s="757" t="s">
        <v>1680</v>
      </c>
      <c r="T268" s="664"/>
      <c r="U268" s="664"/>
      <c r="V268" s="664"/>
      <c r="W268" s="664"/>
      <c r="X268" s="664"/>
      <c r="Y268" s="664"/>
      <c r="Z268" s="664"/>
    </row>
    <row r="269" spans="1:26" s="624" customFormat="1" ht="31.2" outlineLevel="1" x14ac:dyDescent="0.25">
      <c r="A269" s="1564"/>
      <c r="B269" s="1564"/>
      <c r="C269" s="673" t="str">
        <f>INDEX('Master sheet'!$A$1:$A$670,MATCH("A129",'Master sheet'!$AN$1:$AN$670,0))</f>
        <v>Wood fiber board / Steico / STEICOtherm dry, STEICOprotect L dry, STEICOsafe / R 3.6-inch, 110 kg/m3</v>
      </c>
      <c r="D269" s="17">
        <f>'USER INPUT SHEET'!$D$52</f>
        <v>0</v>
      </c>
      <c r="E269" s="18" t="str">
        <f>'USER INPUT SHEET'!$F$32</f>
        <v>m2</v>
      </c>
      <c r="F269" s="4">
        <v>1</v>
      </c>
      <c r="G269" s="674"/>
      <c r="H269" s="9"/>
      <c r="I269" s="95">
        <f t="shared" si="95"/>
        <v>0</v>
      </c>
      <c r="J269" s="96" t="str">
        <f t="shared" si="90"/>
        <v/>
      </c>
      <c r="K269" s="407">
        <f>$D269*($E$259/5.678)*$F269*VLOOKUP($C269,'Master sheet'!$A:$AL,13,FALSE)</f>
        <v>0</v>
      </c>
      <c r="L269" s="97">
        <f>$D269*($E$259/5.678)*$F269*VLOOKUP($C269,'Master sheet'!$A:$AL,27,FALSE)</f>
        <v>0</v>
      </c>
      <c r="M269" s="1559"/>
      <c r="N269" s="1559"/>
      <c r="O269" s="25" t="str">
        <f>_xlfn.IFNA(VLOOKUP($C269,'Master sheet'!$A:$AR,44,FALSE),"")&amp;""</f>
        <v/>
      </c>
      <c r="P269" s="637"/>
      <c r="Q269" s="29" t="s">
        <v>1556</v>
      </c>
      <c r="R269" s="757" t="s">
        <v>1680</v>
      </c>
      <c r="T269" s="638"/>
      <c r="U269" s="638"/>
      <c r="V269" s="638"/>
      <c r="W269" s="638"/>
      <c r="X269" s="638"/>
      <c r="Y269" s="638"/>
      <c r="Z269" s="638"/>
    </row>
    <row r="270" spans="1:26" s="624" customFormat="1" ht="22.8" outlineLevel="1" x14ac:dyDescent="0.25">
      <c r="A270" s="639"/>
      <c r="B270" s="1524" t="s">
        <v>1025</v>
      </c>
      <c r="C270" s="1523"/>
      <c r="D270" s="687" t="str">
        <f>IF(LOWER(Setting!rng_language)="english","R-VALUE:","VALEUR R :")</f>
        <v>R-VALUE:</v>
      </c>
      <c r="E270" s="1"/>
      <c r="F270" s="325"/>
      <c r="G270" s="678"/>
      <c r="H270" s="679"/>
      <c r="I270" s="642"/>
      <c r="J270" s="643"/>
      <c r="K270" s="676"/>
      <c r="L270" s="727"/>
      <c r="M270" s="727"/>
      <c r="N270" s="727"/>
      <c r="O270" s="25" t="str">
        <f>_xlfn.IFNA(VLOOKUP($C270,'Master sheet'!$A:$AR,44,FALSE),"")&amp;""</f>
        <v/>
      </c>
      <c r="P270" s="637"/>
      <c r="Q270" s="29" t="s">
        <v>1556</v>
      </c>
      <c r="R270" s="757" t="s">
        <v>1680</v>
      </c>
      <c r="T270" s="638"/>
      <c r="U270" s="638"/>
      <c r="V270" s="638"/>
      <c r="W270" s="638"/>
      <c r="X270" s="638"/>
      <c r="Y270" s="638"/>
      <c r="Z270" s="638"/>
    </row>
    <row r="271" spans="1:26" ht="23.25" customHeight="1" outlineLevel="1" x14ac:dyDescent="0.25">
      <c r="A271" s="729"/>
      <c r="B271" s="729"/>
      <c r="C271" s="691" t="s">
        <v>4023</v>
      </c>
      <c r="D271" s="19">
        <f>'USER INPUT SHEET'!$D$52</f>
        <v>0</v>
      </c>
      <c r="E271" s="20" t="str">
        <f>'USER INPUT SHEET'!$F$32</f>
        <v>m2</v>
      </c>
      <c r="F271" s="6">
        <v>1</v>
      </c>
      <c r="G271" s="692"/>
      <c r="H271" s="10"/>
      <c r="I271" s="98">
        <f>K271-L271</f>
        <v>0</v>
      </c>
      <c r="J271" s="91" t="str">
        <f>IF(H271=1,I271,"")</f>
        <v/>
      </c>
      <c r="K271" s="410">
        <f>F271*AVERAGE(K272:K274)</f>
        <v>0</v>
      </c>
      <c r="L271" s="99">
        <f>F271*AVERAGE(L272:L274)</f>
        <v>0</v>
      </c>
      <c r="M271" s="1552"/>
      <c r="N271" s="1552"/>
      <c r="O271" s="25" t="str">
        <f>_xlfn.IFNA(VLOOKUP($C271,'Master sheet'!$A:$AR,44,FALSE),"")&amp;""</f>
        <v/>
      </c>
      <c r="P271" s="637"/>
      <c r="Q271" s="29" t="s">
        <v>1556</v>
      </c>
      <c r="R271" s="757" t="s">
        <v>1680</v>
      </c>
      <c r="S271" s="664"/>
      <c r="T271" s="664"/>
      <c r="U271" s="664"/>
      <c r="V271" s="664"/>
      <c r="W271" s="664"/>
      <c r="X271" s="664"/>
      <c r="Y271" s="664"/>
      <c r="Z271" s="664"/>
    </row>
    <row r="272" spans="1:26" ht="22.8" outlineLevel="1" x14ac:dyDescent="0.25">
      <c r="A272" s="729"/>
      <c r="B272" s="729"/>
      <c r="C272" s="673" t="str">
        <f>INDEX('Master sheet'!$A$1:$A$670,MATCH(258,'Master sheet'!$AN$1:$AN$670,0))</f>
        <v>XPS foam board / Owens Corning / Foamular NGX 250  / R 5/inch</v>
      </c>
      <c r="D272" s="17">
        <f>'USER INPUT SHEET'!$D$52</f>
        <v>0</v>
      </c>
      <c r="E272" s="18" t="str">
        <f>'USER INPUT SHEET'!$F$32</f>
        <v>m2</v>
      </c>
      <c r="F272" s="4">
        <v>1</v>
      </c>
      <c r="G272" s="674"/>
      <c r="H272" s="9"/>
      <c r="I272" s="95">
        <f>K272-L272</f>
        <v>0</v>
      </c>
      <c r="J272" s="96" t="str">
        <f>IF(H272=1,I272,"")</f>
        <v/>
      </c>
      <c r="K272" s="407">
        <f>$D272*($E$270/5.678)*$F272*VLOOKUP($C272,'Master sheet'!$A:$AL,13,FALSE)</f>
        <v>0</v>
      </c>
      <c r="L272" s="97">
        <f>$D272*($E$270/5.678)*$F272*VLOOKUP($C272,'Master sheet'!$A:$AL,27,FALSE)</f>
        <v>0</v>
      </c>
      <c r="M272" s="1552"/>
      <c r="N272" s="1552"/>
      <c r="O272" s="25" t="str">
        <f>_xlfn.IFNA(VLOOKUP($C272,'Master sheet'!$A:$AR,44,FALSE),"")&amp;""</f>
        <v>A1-B1</v>
      </c>
      <c r="P272" s="685"/>
      <c r="Q272" s="29" t="s">
        <v>1556</v>
      </c>
      <c r="R272" s="757" t="s">
        <v>1680</v>
      </c>
      <c r="T272" s="638" t="s">
        <v>7295</v>
      </c>
      <c r="U272" s="664"/>
      <c r="V272" s="664"/>
      <c r="W272" s="664"/>
      <c r="X272" s="664"/>
      <c r="Y272" s="664"/>
      <c r="Z272" s="664"/>
    </row>
    <row r="273" spans="1:26" ht="23.25" customHeight="1" outlineLevel="1" x14ac:dyDescent="0.25">
      <c r="A273" s="729"/>
      <c r="B273" s="729"/>
      <c r="C273" s="673" t="str">
        <f>INDEX('Master sheet'!$A$1:$A$670,MATCH(401,'Master sheet'!$AN$1:$AN$670,0))</f>
        <v>XPS foam board / Soprema / SOPRA-XPS / R 5.0/inch</v>
      </c>
      <c r="D273" s="17">
        <f>'USER INPUT SHEET'!$D$52</f>
        <v>0</v>
      </c>
      <c r="E273" s="18" t="str">
        <f>'USER INPUT SHEET'!$F$32</f>
        <v>m2</v>
      </c>
      <c r="F273" s="4">
        <v>1</v>
      </c>
      <c r="G273" s="674"/>
      <c r="H273" s="9"/>
      <c r="I273" s="95">
        <f>K273-L273</f>
        <v>0</v>
      </c>
      <c r="J273" s="96" t="str">
        <f>IF(H273=1,I273,"")</f>
        <v/>
      </c>
      <c r="K273" s="407">
        <f>$D273*($E$270/5.678)*$F273*VLOOKUP($C273,'Master sheet'!$A:$AL,13,FALSE)</f>
        <v>0</v>
      </c>
      <c r="L273" s="97">
        <f>$D273*($E$270/5.678)*$F273*VLOOKUP($C273,'Master sheet'!$A:$AL,27,FALSE)</f>
        <v>0</v>
      </c>
      <c r="M273" s="1552"/>
      <c r="N273" s="1552"/>
      <c r="O273" s="25" t="str">
        <f>_xlfn.IFNA(VLOOKUP($C273,'Master sheet'!$A:$AR,44,FALSE),"")&amp;""</f>
        <v>A1-B1</v>
      </c>
      <c r="P273" s="685"/>
      <c r="Q273" s="29" t="s">
        <v>1556</v>
      </c>
      <c r="R273" s="757" t="s">
        <v>1680</v>
      </c>
      <c r="T273" s="664"/>
      <c r="U273" s="664"/>
      <c r="V273" s="664"/>
      <c r="W273" s="664"/>
      <c r="X273" s="664"/>
      <c r="Y273" s="664"/>
      <c r="Z273" s="664"/>
    </row>
    <row r="274" spans="1:26" ht="31.2" outlineLevel="1" x14ac:dyDescent="0.25">
      <c r="A274" s="729"/>
      <c r="B274" s="729"/>
      <c r="C274" s="673" t="str">
        <f>INDEX('Master sheet'!$A$1:$A$670,MATCH(400,'Master sheet'!$AN$1:$AN$670,0))</f>
        <v>XPS foam board / DuPont / Reduced GWP Grey Styrofoam™ (same as ST-100) / R 5.0/inch</v>
      </c>
      <c r="D274" s="17">
        <f>'USER INPUT SHEET'!$D$52</f>
        <v>0</v>
      </c>
      <c r="E274" s="18" t="str">
        <f>'USER INPUT SHEET'!$F$32</f>
        <v>m2</v>
      </c>
      <c r="F274" s="4">
        <v>1</v>
      </c>
      <c r="G274" s="674"/>
      <c r="H274" s="9"/>
      <c r="I274" s="95">
        <f>K274-L274</f>
        <v>0</v>
      </c>
      <c r="J274" s="96" t="str">
        <f>IF(H274=1,I274,"")</f>
        <v/>
      </c>
      <c r="K274" s="407">
        <f>$D274*($E$270/5.678)*$F274*VLOOKUP($C274,'Master sheet'!$A:$AL,13,FALSE)</f>
        <v>0</v>
      </c>
      <c r="L274" s="97">
        <f>$D274*($E$270/5.678)*$F274*VLOOKUP($C274,'Master sheet'!$A:$AL,27,FALSE)</f>
        <v>0</v>
      </c>
      <c r="M274" s="1559"/>
      <c r="N274" s="1559"/>
      <c r="O274" s="25" t="str">
        <f>_xlfn.IFNA(VLOOKUP($C274,'Master sheet'!$A:$AR,44,FALSE),"")&amp;""</f>
        <v>A1-B1</v>
      </c>
      <c r="P274" s="685"/>
      <c r="Q274" s="29" t="s">
        <v>1556</v>
      </c>
      <c r="R274" s="757" t="s">
        <v>1680</v>
      </c>
      <c r="T274" s="664"/>
      <c r="U274" s="664"/>
      <c r="V274" s="664"/>
      <c r="W274" s="664"/>
      <c r="X274" s="664"/>
      <c r="Y274" s="664"/>
      <c r="Z274" s="664"/>
    </row>
    <row r="275" spans="1:26" s="624" customFormat="1" ht="22.8" outlineLevel="1" x14ac:dyDescent="0.25">
      <c r="A275" s="639"/>
      <c r="B275" s="1524" t="s">
        <v>1065</v>
      </c>
      <c r="C275" s="1523"/>
      <c r="D275" s="687" t="str">
        <f>IF(LOWER(Setting!rng_language)="english","R-VALUE:","VALEUR R :")</f>
        <v>R-VALUE:</v>
      </c>
      <c r="E275" s="1"/>
      <c r="F275" s="325"/>
      <c r="G275" s="678"/>
      <c r="H275" s="679"/>
      <c r="I275" s="642"/>
      <c r="J275" s="643"/>
      <c r="K275" s="676"/>
      <c r="L275" s="727"/>
      <c r="M275" s="727"/>
      <c r="N275" s="727"/>
      <c r="O275" s="25" t="str">
        <f>_xlfn.IFNA(VLOOKUP($C275,'Master sheet'!$A:$AR,44,FALSE),"")&amp;""</f>
        <v/>
      </c>
      <c r="P275" s="637"/>
      <c r="Q275" s="29" t="s">
        <v>1556</v>
      </c>
      <c r="R275" s="757" t="s">
        <v>1680</v>
      </c>
      <c r="T275" s="638"/>
      <c r="U275" s="638"/>
      <c r="V275" s="638"/>
      <c r="W275" s="638"/>
      <c r="X275" s="638"/>
      <c r="Y275" s="638"/>
      <c r="Z275" s="638"/>
    </row>
    <row r="276" spans="1:26" ht="22.8" outlineLevel="1" x14ac:dyDescent="0.25">
      <c r="A276" s="729"/>
      <c r="B276" s="729"/>
      <c r="C276" s="691" t="s">
        <v>1365</v>
      </c>
      <c r="D276" s="19">
        <f>'USER INPUT SHEET'!$D$52</f>
        <v>0</v>
      </c>
      <c r="E276" s="20" t="str">
        <f>'USER INPUT SHEET'!$F$32</f>
        <v>m2</v>
      </c>
      <c r="F276" s="6">
        <v>1</v>
      </c>
      <c r="G276" s="692"/>
      <c r="H276" s="10"/>
      <c r="I276" s="98">
        <f>K276-L276</f>
        <v>0</v>
      </c>
      <c r="J276" s="91" t="str">
        <f>IF(H276=1,I276,"")</f>
        <v/>
      </c>
      <c r="K276" s="410">
        <f>F276*AVERAGE(K277:K279)</f>
        <v>0</v>
      </c>
      <c r="L276" s="99">
        <f>F276*AVERAGE(L277:L279)</f>
        <v>0</v>
      </c>
      <c r="M276" s="1552"/>
      <c r="N276" s="1552"/>
      <c r="O276" s="25" t="str">
        <f>_xlfn.IFNA(VLOOKUP($C276,'Master sheet'!$A:$AR,44,FALSE),"")&amp;""</f>
        <v/>
      </c>
      <c r="P276" s="637"/>
      <c r="Q276" s="29" t="s">
        <v>1556</v>
      </c>
      <c r="R276" s="757" t="s">
        <v>1680</v>
      </c>
      <c r="S276" s="664"/>
      <c r="T276" s="664"/>
      <c r="U276" s="664"/>
      <c r="V276" s="664"/>
      <c r="W276" s="664"/>
      <c r="X276" s="664"/>
      <c r="Y276" s="664"/>
      <c r="Z276" s="664"/>
    </row>
    <row r="277" spans="1:26" ht="31.2" outlineLevel="1" x14ac:dyDescent="0.25">
      <c r="A277" s="1564"/>
      <c r="B277" s="1564"/>
      <c r="C277" s="669" t="str">
        <f>INDEX('Master sheet'!$A$1:$A$670,MATCH(167,'Master sheet'!$AN$1:$AN$670,0))</f>
        <v>Polyiso - wall boards / Hunter / Polysio Wall insulation boards / R 6.5/inch</v>
      </c>
      <c r="D277" s="15">
        <f>'USER INPUT SHEET'!$D$52</f>
        <v>0</v>
      </c>
      <c r="E277" s="16" t="str">
        <f>'USER INPUT SHEET'!$F$32</f>
        <v>m2</v>
      </c>
      <c r="F277" s="3">
        <v>1</v>
      </c>
      <c r="G277" s="670"/>
      <c r="H277" s="8"/>
      <c r="I277" s="92">
        <f t="shared" si="95"/>
        <v>0</v>
      </c>
      <c r="J277" s="93" t="str">
        <f t="shared" si="90"/>
        <v/>
      </c>
      <c r="K277" s="406">
        <f>$D277*($E$275/5.678)*$F277*VLOOKUP($C277,'Master sheet'!$A:$AL,13,FALSE)</f>
        <v>0</v>
      </c>
      <c r="L277" s="94">
        <f>$D277*($E$275/5.678)*$F277*VLOOKUP($C277,'Master sheet'!$A:$AL,27,FALSE)</f>
        <v>0</v>
      </c>
      <c r="M277" s="1552"/>
      <c r="N277" s="1552"/>
      <c r="O277" s="25" t="str">
        <f ca="1">_xlfn.IFNA(VLOOKUP($C277,'Master sheet'!$A:$AR,44,FALSE),"")&amp;""</f>
        <v/>
      </c>
      <c r="P277" s="685"/>
      <c r="Q277" s="29" t="s">
        <v>1556</v>
      </c>
      <c r="R277" s="757" t="s">
        <v>1680</v>
      </c>
      <c r="T277" s="664"/>
      <c r="U277" s="664"/>
      <c r="V277" s="664"/>
      <c r="W277" s="664"/>
      <c r="X277" s="664"/>
      <c r="Y277" s="664"/>
      <c r="Z277" s="664"/>
    </row>
    <row r="278" spans="1:26" ht="22.8" outlineLevel="1" x14ac:dyDescent="0.25">
      <c r="A278" s="1564"/>
      <c r="B278" s="1564"/>
      <c r="C278" s="673" t="str">
        <f>INDEX('Master sheet'!$A$1:$A$670,MATCH(408,'Master sheet'!$AN$1:$AN$670,0))</f>
        <v>Polyiso - wall boards / DuPont / Thermax / R 6.5/inch</v>
      </c>
      <c r="D278" s="17">
        <f>'USER INPUT SHEET'!$D$52</f>
        <v>0</v>
      </c>
      <c r="E278" s="18" t="str">
        <f>'USER INPUT SHEET'!$F$32</f>
        <v>m2</v>
      </c>
      <c r="F278" s="4">
        <v>1</v>
      </c>
      <c r="G278" s="674"/>
      <c r="H278" s="9"/>
      <c r="I278" s="95">
        <f t="shared" ref="I278" si="98">K278-L278</f>
        <v>0</v>
      </c>
      <c r="J278" s="96" t="str">
        <f t="shared" ref="J278" si="99">IF(H278=1,I278,"")</f>
        <v/>
      </c>
      <c r="K278" s="407">
        <f>$D278*($E$275/5.678)*$F278*VLOOKUP($C278,'Master sheet'!$A:$AL,13,FALSE)</f>
        <v>0</v>
      </c>
      <c r="L278" s="97">
        <f>$D278*($E$275/5.678)*$F278*VLOOKUP($C278,'Master sheet'!$A:$AL,27,FALSE)</f>
        <v>0</v>
      </c>
      <c r="M278" s="1552"/>
      <c r="N278" s="1552"/>
      <c r="O278" s="25" t="str">
        <f ca="1">_xlfn.IFNA(VLOOKUP($C278,'Master sheet'!$A:$AR,44,FALSE),"")&amp;""</f>
        <v/>
      </c>
      <c r="P278" s="637"/>
      <c r="Q278" s="29" t="s">
        <v>1556</v>
      </c>
      <c r="R278" s="757" t="s">
        <v>1680</v>
      </c>
      <c r="T278" s="664"/>
      <c r="U278" s="664"/>
      <c r="V278" s="664"/>
      <c r="W278" s="664"/>
      <c r="X278" s="664"/>
      <c r="Y278" s="664"/>
      <c r="Z278" s="664"/>
    </row>
    <row r="279" spans="1:26" s="624" customFormat="1" ht="22.8" outlineLevel="1" x14ac:dyDescent="0.25">
      <c r="A279" s="1564"/>
      <c r="B279" s="1564"/>
      <c r="C279" s="673" t="str">
        <f>INDEX('Master sheet'!$A$1:$A$670,MATCH("A103",'Master sheet'!$AN$1:$AN$670,0))</f>
        <v>Polyiso - wall boards / Carlisle  / R2+ Silver  / R 6.3/inch, 20 psi</v>
      </c>
      <c r="D279" s="17">
        <f>'USER INPUT SHEET'!$D$52</f>
        <v>0</v>
      </c>
      <c r="E279" s="18" t="str">
        <f>'USER INPUT SHEET'!$F$32</f>
        <v>m2</v>
      </c>
      <c r="F279" s="4">
        <v>1</v>
      </c>
      <c r="G279" s="674"/>
      <c r="H279" s="9"/>
      <c r="I279" s="95">
        <f t="shared" si="95"/>
        <v>0</v>
      </c>
      <c r="J279" s="96" t="str">
        <f t="shared" si="90"/>
        <v/>
      </c>
      <c r="K279" s="407">
        <f>$D279*($E$275/5.678)*$F279*VLOOKUP($C279,'Master sheet'!$A:$AL,13,FALSE)</f>
        <v>0</v>
      </c>
      <c r="L279" s="97">
        <f>$D279*($E$275/5.678)*$F279*VLOOKUP($C279,'Master sheet'!$A:$AL,27,FALSE)</f>
        <v>0</v>
      </c>
      <c r="M279" s="1559"/>
      <c r="N279" s="1559"/>
      <c r="O279" s="25" t="str">
        <f>_xlfn.IFNA(VLOOKUP($C279,'Master sheet'!$A:$AR,44,FALSE),"")&amp;""</f>
        <v/>
      </c>
      <c r="P279" s="637"/>
      <c r="Q279" s="29" t="s">
        <v>1556</v>
      </c>
      <c r="R279" s="757" t="s">
        <v>1680</v>
      </c>
      <c r="T279" s="638"/>
      <c r="U279" s="638"/>
      <c r="V279" s="638"/>
      <c r="W279" s="638"/>
      <c r="X279" s="638"/>
      <c r="Y279" s="638"/>
      <c r="Z279" s="638"/>
    </row>
    <row r="280" spans="1:26" s="624" customFormat="1" ht="22.8" outlineLevel="1" x14ac:dyDescent="0.25">
      <c r="A280" s="639"/>
      <c r="B280" s="1524" t="s">
        <v>3418</v>
      </c>
      <c r="C280" s="1523"/>
      <c r="D280" s="687" t="str">
        <f>IF(LOWER(Setting!rng_language)="english","R-VALUE:","VALEUR R :")</f>
        <v>R-VALUE:</v>
      </c>
      <c r="E280" s="1"/>
      <c r="F280" s="325"/>
      <c r="G280" s="678"/>
      <c r="H280" s="679"/>
      <c r="I280" s="642"/>
      <c r="J280" s="643"/>
      <c r="K280" s="676"/>
      <c r="L280" s="727"/>
      <c r="M280" s="727"/>
      <c r="N280" s="727"/>
      <c r="O280" s="25" t="str">
        <f>_xlfn.IFNA(VLOOKUP($C280,'Master sheet'!$A:$AR,44,FALSE),"")&amp;""</f>
        <v/>
      </c>
      <c r="P280" s="637"/>
      <c r="Q280" s="29"/>
      <c r="R280" s="757"/>
      <c r="T280" s="638"/>
      <c r="U280" s="638"/>
      <c r="V280" s="638"/>
      <c r="W280" s="638"/>
      <c r="X280" s="638"/>
      <c r="Y280" s="638"/>
      <c r="Z280" s="638"/>
    </row>
    <row r="281" spans="1:26" ht="22.8" outlineLevel="1" x14ac:dyDescent="0.25">
      <c r="A281" s="1576"/>
      <c r="B281" s="1576"/>
      <c r="C281" s="691" t="s">
        <v>1354</v>
      </c>
      <c r="D281" s="19">
        <f>'USER INPUT SHEET'!$D$52</f>
        <v>0</v>
      </c>
      <c r="E281" s="20" t="str">
        <f>'USER INPUT SHEET'!$F$32</f>
        <v>m2</v>
      </c>
      <c r="F281" s="6">
        <v>1</v>
      </c>
      <c r="G281" s="692"/>
      <c r="H281" s="10"/>
      <c r="I281" s="98">
        <f>K281-L281</f>
        <v>0</v>
      </c>
      <c r="J281" s="91" t="str">
        <f>IF(H281=1,I281,"")</f>
        <v/>
      </c>
      <c r="K281" s="410">
        <f>F281*AVERAGE(K282:K285)</f>
        <v>0</v>
      </c>
      <c r="L281" s="99">
        <f>F281*AVERAGE(L282:L285)</f>
        <v>0</v>
      </c>
      <c r="M281" s="1552"/>
      <c r="N281" s="1552"/>
      <c r="O281" s="25" t="str">
        <f>_xlfn.IFNA(VLOOKUP($C281,'Master sheet'!$A:$AR,44,FALSE),"")&amp;""</f>
        <v/>
      </c>
      <c r="P281" s="637"/>
      <c r="Q281" s="29" t="s">
        <v>1556</v>
      </c>
      <c r="R281" s="757" t="s">
        <v>1680</v>
      </c>
      <c r="S281" s="664"/>
      <c r="T281" s="664"/>
      <c r="U281" s="664"/>
      <c r="V281" s="664"/>
      <c r="W281" s="664"/>
      <c r="X281" s="664"/>
      <c r="Y281" s="664"/>
      <c r="Z281" s="664"/>
    </row>
    <row r="282" spans="1:26" s="624" customFormat="1" ht="23.25" customHeight="1" outlineLevel="1" x14ac:dyDescent="0.25">
      <c r="A282" s="1576"/>
      <c r="B282" s="1576"/>
      <c r="C282" s="673" t="str">
        <f>INDEX('Master sheet'!$A$1:$A$670,MATCH("A200",'Master sheet'!$AN$1:$AN$670,0))</f>
        <v>Mineral wool board / Rockwool / Comfortboard 80 / R 4.2-inch</v>
      </c>
      <c r="D282" s="17">
        <f>'USER INPUT SHEET'!$D$52</f>
        <v>0</v>
      </c>
      <c r="E282" s="18" t="str">
        <f>'USER INPUT SHEET'!$F$32</f>
        <v>m2</v>
      </c>
      <c r="F282" s="4">
        <v>1</v>
      </c>
      <c r="G282" s="674"/>
      <c r="H282" s="9"/>
      <c r="I282" s="95">
        <f t="shared" si="95"/>
        <v>0</v>
      </c>
      <c r="J282" s="96" t="str">
        <f t="shared" si="90"/>
        <v/>
      </c>
      <c r="K282" s="407">
        <f>$D282*($E$280/5.678)*$F282*VLOOKUP($C282,'Master sheet'!$A:$AL,13,FALSE)</f>
        <v>0</v>
      </c>
      <c r="L282" s="97">
        <f>$D282*($E$280/5.678)*$F282*VLOOKUP($C282,'Master sheet'!$A:$AL,27,FALSE)</f>
        <v>0</v>
      </c>
      <c r="M282" s="1552"/>
      <c r="N282" s="1552"/>
      <c r="O282" s="25" t="str">
        <f>_xlfn.IFNA(VLOOKUP($C282,'Master sheet'!$A:$AR,44,FALSE),"")&amp;""</f>
        <v/>
      </c>
      <c r="P282" s="637"/>
      <c r="Q282" s="29" t="s">
        <v>1556</v>
      </c>
      <c r="R282" s="757" t="s">
        <v>1680</v>
      </c>
      <c r="T282" s="638"/>
      <c r="U282" s="638"/>
      <c r="V282" s="638"/>
      <c r="W282" s="638"/>
      <c r="X282" s="638"/>
      <c r="Y282" s="638"/>
      <c r="Z282" s="638"/>
    </row>
    <row r="283" spans="1:26" s="624" customFormat="1" ht="23.25" customHeight="1" outlineLevel="1" x14ac:dyDescent="0.25">
      <c r="A283" s="1576"/>
      <c r="B283" s="1576"/>
      <c r="C283" s="673" t="str">
        <f>INDEX('Master sheet'!$A$1:$A$670,MATCH("A199",'Master sheet'!$AN$1:$AN$670,0))</f>
        <v>Mineral wool board / Rockwool / Comfortboard 110 / R 4.0-inch</v>
      </c>
      <c r="D283" s="17">
        <f>'USER INPUT SHEET'!$D$52</f>
        <v>0</v>
      </c>
      <c r="E283" s="18" t="str">
        <f>'USER INPUT SHEET'!$F$32</f>
        <v>m2</v>
      </c>
      <c r="F283" s="4">
        <v>1</v>
      </c>
      <c r="G283" s="674"/>
      <c r="H283" s="9"/>
      <c r="I283" s="95">
        <f t="shared" si="95"/>
        <v>0</v>
      </c>
      <c r="J283" s="96" t="str">
        <f t="shared" si="90"/>
        <v/>
      </c>
      <c r="K283" s="407">
        <f>$D283*($E$280/5.678)*$F283*VLOOKUP($C283,'Master sheet'!$A:$AL,13,FALSE)</f>
        <v>0</v>
      </c>
      <c r="L283" s="97">
        <f>$D283*($E$280/5.678)*$F283*VLOOKUP($C283,'Master sheet'!$A:$AL,27,FALSE)</f>
        <v>0</v>
      </c>
      <c r="M283" s="1552"/>
      <c r="N283" s="1552"/>
      <c r="O283" s="25" t="str">
        <f>_xlfn.IFNA(VLOOKUP($C283,'Master sheet'!$A:$AR,44,FALSE),"")&amp;""</f>
        <v/>
      </c>
      <c r="P283" s="637"/>
      <c r="Q283" s="29" t="s">
        <v>1556</v>
      </c>
      <c r="R283" s="757" t="s">
        <v>1680</v>
      </c>
      <c r="T283" s="638"/>
      <c r="U283" s="638"/>
      <c r="V283" s="638"/>
      <c r="W283" s="638"/>
      <c r="X283" s="638"/>
      <c r="Y283" s="638"/>
      <c r="Z283" s="638"/>
    </row>
    <row r="284" spans="1:26" s="624" customFormat="1" ht="31.2" outlineLevel="1" x14ac:dyDescent="0.25">
      <c r="A284" s="1576"/>
      <c r="B284" s="1576"/>
      <c r="C284" s="673" t="str">
        <f>INDEX('Master sheet'!$A$1:$A$670,MATCH("A192",'Master sheet'!$AN$1:$AN$670,0))</f>
        <v>Mineral wool board / Owens Corning / Thermafiber RainBarrier ci 80 / R 4.2-inch</v>
      </c>
      <c r="D284" s="17">
        <f>'USER INPUT SHEET'!$D$52</f>
        <v>0</v>
      </c>
      <c r="E284" s="18" t="str">
        <f>'USER INPUT SHEET'!$F$32</f>
        <v>m2</v>
      </c>
      <c r="F284" s="4">
        <v>1</v>
      </c>
      <c r="G284" s="674"/>
      <c r="H284" s="9"/>
      <c r="I284" s="95">
        <f t="shared" si="95"/>
        <v>0</v>
      </c>
      <c r="J284" s="96" t="str">
        <f t="shared" si="90"/>
        <v/>
      </c>
      <c r="K284" s="407">
        <f>$D284*($E$280/5.678)*$F284*VLOOKUP($C284,'Master sheet'!$A:$AL,13,FALSE)</f>
        <v>0</v>
      </c>
      <c r="L284" s="97">
        <f>$D284*($E$280/5.678)*$F284*VLOOKUP($C284,'Master sheet'!$A:$AL,27,FALSE)</f>
        <v>0</v>
      </c>
      <c r="M284" s="1552"/>
      <c r="N284" s="1552"/>
      <c r="O284" s="25" t="str">
        <f>_xlfn.IFNA(VLOOKUP($C284,'Master sheet'!$A:$AR,44,FALSE),"")&amp;""</f>
        <v/>
      </c>
      <c r="P284" s="637"/>
      <c r="Q284" s="29" t="s">
        <v>1556</v>
      </c>
      <c r="R284" s="757" t="s">
        <v>1680</v>
      </c>
      <c r="T284" s="638"/>
      <c r="U284" s="638"/>
      <c r="V284" s="638"/>
      <c r="W284" s="638"/>
      <c r="X284" s="638"/>
      <c r="Y284" s="638"/>
      <c r="Z284" s="638"/>
    </row>
    <row r="285" spans="1:26" s="624" customFormat="1" ht="31.2" outlineLevel="1" x14ac:dyDescent="0.25">
      <c r="A285" s="1576"/>
      <c r="B285" s="1576"/>
      <c r="C285" s="673" t="str">
        <f>INDEX('Master sheet'!$A$1:$A$670,MATCH("A194",'Master sheet'!$AN$1:$AN$670,0))</f>
        <v>Mineral wool board / Owens Corning / Thermafiber RainBarrier ci HC 110 / R 4.3-inch</v>
      </c>
      <c r="D285" s="17">
        <f>'USER INPUT SHEET'!$D$52</f>
        <v>0</v>
      </c>
      <c r="E285" s="18" t="str">
        <f>'USER INPUT SHEET'!$F$32</f>
        <v>m2</v>
      </c>
      <c r="F285" s="4">
        <v>1</v>
      </c>
      <c r="G285" s="674"/>
      <c r="H285" s="9"/>
      <c r="I285" s="95">
        <f t="shared" ref="I285" si="100">K285-L285</f>
        <v>0</v>
      </c>
      <c r="J285" s="96" t="str">
        <f t="shared" ref="J285" si="101">IF(H285=1,I285,"")</f>
        <v/>
      </c>
      <c r="K285" s="407">
        <f>$D285*($E$280/5.678)*$F285*VLOOKUP($C285,'Master sheet'!$A:$AL,13,FALSE)</f>
        <v>0</v>
      </c>
      <c r="L285" s="97">
        <f>$D285*($E$280/5.678)*$F285*VLOOKUP($C285,'Master sheet'!$A:$AL,27,FALSE)</f>
        <v>0</v>
      </c>
      <c r="M285" s="1559"/>
      <c r="N285" s="1559"/>
      <c r="O285" s="25" t="str">
        <f>_xlfn.IFNA(VLOOKUP($C285,'Master sheet'!$A:$AR,44,FALSE),"")&amp;""</f>
        <v/>
      </c>
      <c r="P285" s="637"/>
      <c r="Q285" s="29" t="s">
        <v>1556</v>
      </c>
      <c r="R285" s="757" t="s">
        <v>1680</v>
      </c>
      <c r="T285" s="638"/>
      <c r="U285" s="638"/>
      <c r="V285" s="638"/>
      <c r="W285" s="638"/>
      <c r="X285" s="638"/>
      <c r="Y285" s="638"/>
      <c r="Z285" s="638"/>
    </row>
    <row r="286" spans="1:26" s="624" customFormat="1" ht="22.8" outlineLevel="1" x14ac:dyDescent="0.25">
      <c r="A286" s="639"/>
      <c r="B286" s="1524" t="s">
        <v>4776</v>
      </c>
      <c r="C286" s="1523"/>
      <c r="D286" s="687" t="str">
        <f>IF(LOWER(Setting!rng_language)="english","R-VALUE:","VALEUR R :")</f>
        <v>R-VALUE:</v>
      </c>
      <c r="E286" s="1"/>
      <c r="F286" s="325"/>
      <c r="G286" s="678"/>
      <c r="H286" s="679"/>
      <c r="I286" s="642"/>
      <c r="J286" s="643"/>
      <c r="K286" s="676"/>
      <c r="L286" s="727"/>
      <c r="M286" s="727"/>
      <c r="N286" s="727"/>
      <c r="O286" s="25" t="str">
        <f>_xlfn.IFNA(VLOOKUP($C286,'Master sheet'!$A:$AR,44,FALSE),"")&amp;""</f>
        <v/>
      </c>
      <c r="P286" s="637"/>
      <c r="Q286" s="29"/>
      <c r="R286" s="757"/>
      <c r="T286" s="638"/>
      <c r="U286" s="638"/>
      <c r="V286" s="638"/>
      <c r="W286" s="638"/>
      <c r="X286" s="638"/>
      <c r="Y286" s="638"/>
      <c r="Z286" s="638"/>
    </row>
    <row r="287" spans="1:26" s="624" customFormat="1" ht="28.95" customHeight="1" outlineLevel="1" x14ac:dyDescent="0.25">
      <c r="A287" s="1576"/>
      <c r="B287" s="1576"/>
      <c r="C287" s="669" t="str">
        <f>INDEX('Master sheet'!$A$1:$A$670,MATCH("A148",'Master sheet'!$AN$1:$AN$670,0))</f>
        <v>Fiberglass board / NAIMA / Includes :  Johns Manville, Knauf, Owens Corning, CertainTeed / R-3.2/inch</v>
      </c>
      <c r="D287" s="15">
        <f>'USER INPUT SHEET'!$D$52</f>
        <v>0</v>
      </c>
      <c r="E287" s="16" t="str">
        <f>'USER INPUT SHEET'!$F$32</f>
        <v>m2</v>
      </c>
      <c r="F287" s="3">
        <v>1</v>
      </c>
      <c r="G287" s="670"/>
      <c r="H287" s="8"/>
      <c r="I287" s="92">
        <f t="shared" ref="I287" si="102">K287-L287</f>
        <v>0</v>
      </c>
      <c r="J287" s="93" t="str">
        <f t="shared" ref="J287" si="103">IF(H287=1,I287,"")</f>
        <v/>
      </c>
      <c r="K287" s="406">
        <f>$D287*($E$286/5.678)*$F287*VLOOKUP($C287,'Master sheet'!$A:$AL,13,FALSE)</f>
        <v>0</v>
      </c>
      <c r="L287" s="94">
        <f>$D287*($E$286/5.678)*$F287*VLOOKUP($C287,'Master sheet'!$A:$AL,27,FALSE)</f>
        <v>0</v>
      </c>
      <c r="M287" s="1562"/>
      <c r="N287" s="1562"/>
      <c r="O287" s="25" t="str">
        <f>_xlfn.IFNA(VLOOKUP($C287,'Master sheet'!$A:$AR,44,FALSE),"")&amp;""</f>
        <v/>
      </c>
      <c r="P287" s="637"/>
      <c r="Q287" s="29" t="s">
        <v>1556</v>
      </c>
      <c r="R287" s="757" t="s">
        <v>1680</v>
      </c>
      <c r="S287" s="619"/>
      <c r="T287" s="664"/>
      <c r="U287" s="664"/>
      <c r="V287" s="664"/>
      <c r="W287" s="664"/>
      <c r="X287" s="638"/>
      <c r="Y287" s="638"/>
      <c r="Z287" s="638"/>
    </row>
    <row r="288" spans="1:26" s="624" customFormat="1" ht="22.8" outlineLevel="1" x14ac:dyDescent="0.25">
      <c r="A288" s="639"/>
      <c r="B288" s="1524" t="s">
        <v>1027</v>
      </c>
      <c r="C288" s="1523"/>
      <c r="D288" s="687" t="str">
        <f>IF(LOWER(Setting!rng_language)="english","R-VALUE:","VALEUR R :")</f>
        <v>R-VALUE:</v>
      </c>
      <c r="E288" s="1"/>
      <c r="F288" s="320"/>
      <c r="G288" s="678"/>
      <c r="H288" s="641"/>
      <c r="I288" s="642"/>
      <c r="J288" s="643"/>
      <c r="K288" s="676"/>
      <c r="L288" s="677"/>
      <c r="M288" s="677"/>
      <c r="N288" s="677"/>
      <c r="O288" s="25" t="str">
        <f>_xlfn.IFNA(VLOOKUP($C288,'Master sheet'!$A:$AR,44,FALSE),"")&amp;""</f>
        <v/>
      </c>
      <c r="P288" s="637"/>
      <c r="Q288" s="722"/>
      <c r="R288" s="757" t="s">
        <v>1680</v>
      </c>
      <c r="S288" s="638"/>
      <c r="T288" s="638"/>
      <c r="U288" s="638"/>
      <c r="V288" s="638"/>
      <c r="W288" s="638"/>
      <c r="X288" s="638"/>
      <c r="Y288" s="638"/>
      <c r="Z288" s="638"/>
    </row>
    <row r="289" spans="1:27" s="624" customFormat="1" ht="31.2" outlineLevel="1" x14ac:dyDescent="0.25">
      <c r="A289" s="744"/>
      <c r="B289" s="744"/>
      <c r="C289" s="669" t="str">
        <f>INDEX('Master sheet'!$A$1:$A$670,MATCH("A21",'Master sheet'!$AN$1:$AN$670,0))</f>
        <v>Cork board insulation / Amorim  / Expanded Insulation Corkboard (ICB) / R3.6-inch, 115 kg/m3</v>
      </c>
      <c r="D289" s="15">
        <f>'USER INPUT SHEET'!$D$52</f>
        <v>0</v>
      </c>
      <c r="E289" s="16" t="str">
        <f>'USER INPUT SHEET'!$F$40</f>
        <v>m2</v>
      </c>
      <c r="F289" s="3">
        <v>1</v>
      </c>
      <c r="G289" s="670"/>
      <c r="H289" s="8"/>
      <c r="I289" s="92">
        <f t="shared" ref="I289" si="104">K289-L289</f>
        <v>0</v>
      </c>
      <c r="J289" s="93" t="str">
        <f t="shared" ref="J289" si="105">IF(H289=1,I289,"")</f>
        <v/>
      </c>
      <c r="K289" s="406">
        <f>$D289*($E$288/5.678)*$F289*VLOOKUP($C289,'Master sheet'!$A:$AL,13,FALSE)</f>
        <v>0</v>
      </c>
      <c r="L289" s="94">
        <f>$D289*($E$288/5.678)*$F289*VLOOKUP($C289,'Master sheet'!$A:$AL,27,FALSE)</f>
        <v>0</v>
      </c>
      <c r="M289" s="1562"/>
      <c r="N289" s="1562"/>
      <c r="O289" s="25" t="str">
        <f>_xlfn.IFNA(VLOOKUP($C289,'Master sheet'!$A:$AR,44,FALSE),"")&amp;""</f>
        <v/>
      </c>
      <c r="P289" s="637"/>
      <c r="Q289" s="29" t="s">
        <v>1556</v>
      </c>
      <c r="R289" s="757" t="s">
        <v>1680</v>
      </c>
      <c r="S289" s="619"/>
      <c r="T289" s="664"/>
      <c r="U289" s="664"/>
      <c r="V289" s="664"/>
      <c r="W289" s="664"/>
      <c r="X289" s="638"/>
      <c r="Y289" s="638"/>
      <c r="Z289" s="638"/>
    </row>
    <row r="290" spans="1:27" s="624" customFormat="1" ht="40.200000000000003" customHeight="1" x14ac:dyDescent="0.25">
      <c r="A290" s="865" t="s">
        <v>1683</v>
      </c>
      <c r="B290" s="866"/>
      <c r="C290" s="867"/>
      <c r="D290" s="286"/>
      <c r="E290" s="290"/>
      <c r="F290" s="342"/>
      <c r="G290" s="868"/>
      <c r="H290" s="869"/>
      <c r="I290" s="287"/>
      <c r="J290" s="287"/>
      <c r="K290" s="421"/>
      <c r="L290" s="289"/>
      <c r="M290" s="289"/>
      <c r="N290" s="289"/>
      <c r="O290" s="25" t="str">
        <f>_xlfn.IFNA(VLOOKUP($C290,'Master sheet'!$A:$AR,44,FALSE),"")&amp;""</f>
        <v/>
      </c>
      <c r="P290" s="637"/>
      <c r="Q290" s="29"/>
      <c r="R290" s="28"/>
      <c r="S290" s="638"/>
      <c r="T290" s="638"/>
      <c r="U290" s="638"/>
      <c r="V290" s="638"/>
      <c r="W290" s="638"/>
      <c r="X290" s="638"/>
      <c r="Y290" s="638"/>
      <c r="Z290" s="638"/>
    </row>
    <row r="291" spans="1:27" s="624" customFormat="1" ht="54.75" customHeight="1" outlineLevel="1" x14ac:dyDescent="0.25">
      <c r="A291" s="1522" t="s">
        <v>1684</v>
      </c>
      <c r="B291" s="1523"/>
      <c r="C291" s="1523"/>
      <c r="D291" s="629" t="str">
        <f>IF(LOWER(Setting!rng_language)="english","R-VALUE:","VALEUR R :")</f>
        <v>R-VALUE:</v>
      </c>
      <c r="E291" s="1"/>
      <c r="F291" s="323"/>
      <c r="G291" s="650"/>
      <c r="H291" s="650"/>
      <c r="I291" s="651"/>
      <c r="J291" s="103" t="str">
        <f t="shared" si="90"/>
        <v/>
      </c>
      <c r="K291" s="652"/>
      <c r="L291" s="759"/>
      <c r="M291" s="759"/>
      <c r="N291" s="759"/>
      <c r="O291" s="25" t="str">
        <f>_xlfn.IFNA(VLOOKUP($C291,'Master sheet'!$A:$AR,44,FALSE),"")&amp;""</f>
        <v/>
      </c>
      <c r="P291" s="685"/>
      <c r="Q291" s="761"/>
      <c r="R291" s="728"/>
      <c r="T291" s="638"/>
      <c r="U291" s="638"/>
      <c r="V291" s="638"/>
      <c r="W291" s="638"/>
      <c r="X291" s="638"/>
      <c r="Y291" s="638"/>
      <c r="Z291" s="638"/>
    </row>
    <row r="292" spans="1:27" s="624" customFormat="1" ht="22.8" outlineLevel="1" x14ac:dyDescent="0.3">
      <c r="A292" s="639"/>
      <c r="B292" s="1524" t="s">
        <v>966</v>
      </c>
      <c r="C292" s="1523"/>
      <c r="D292" s="687" t="str">
        <f>IF(LOWER(Setting!rng_language)="english","R-VALUE:","VALEUR R :")</f>
        <v>R-VALUE:</v>
      </c>
      <c r="E292" s="1"/>
      <c r="F292" s="325"/>
      <c r="G292" s="678"/>
      <c r="H292" s="679"/>
      <c r="I292" s="642"/>
      <c r="J292" s="643"/>
      <c r="K292" s="676"/>
      <c r="L292" s="677"/>
      <c r="M292" s="677"/>
      <c r="N292" s="677"/>
      <c r="O292" s="25" t="str">
        <f>_xlfn.IFNA(VLOOKUP($C292,'Master sheet'!$A:$AR,44,FALSE),"")&amp;""</f>
        <v/>
      </c>
      <c r="P292" s="637"/>
      <c r="Q292" s="843"/>
      <c r="R292" s="843"/>
      <c r="S292" s="638"/>
      <c r="T292" s="638"/>
      <c r="U292" s="638"/>
      <c r="V292" s="638"/>
      <c r="W292" s="638"/>
      <c r="X292" s="638"/>
      <c r="Y292" s="638"/>
      <c r="Z292" s="638"/>
      <c r="AA292" s="638"/>
    </row>
    <row r="293" spans="1:27" ht="22.8" outlineLevel="1" x14ac:dyDescent="0.25">
      <c r="A293" s="729"/>
      <c r="B293" s="729"/>
      <c r="C293" s="691" t="s">
        <v>1360</v>
      </c>
      <c r="D293" s="19">
        <f>'USER INPUT SHEET'!$D$47</f>
        <v>0</v>
      </c>
      <c r="E293" s="20" t="str">
        <f>'USER INPUT SHEET'!$F$32</f>
        <v>m2</v>
      </c>
      <c r="F293" s="6">
        <v>1</v>
      </c>
      <c r="G293" s="692"/>
      <c r="H293" s="10"/>
      <c r="I293" s="98">
        <f>K293-L293</f>
        <v>0</v>
      </c>
      <c r="J293" s="91" t="str">
        <f>IF(H293=1,I293,"")</f>
        <v/>
      </c>
      <c r="K293" s="410">
        <f>F293*AVERAGE(K294:K296)</f>
        <v>0</v>
      </c>
      <c r="L293" s="99">
        <f>F293*AVERAGE(L294:L296)</f>
        <v>0</v>
      </c>
      <c r="M293" s="1552"/>
      <c r="N293" s="1552"/>
      <c r="O293" s="25" t="str">
        <f>_xlfn.IFNA(VLOOKUP($C293,'Master sheet'!$A:$AR,44,FALSE),"")&amp;""</f>
        <v/>
      </c>
      <c r="P293" s="685"/>
      <c r="Q293" s="29" t="s">
        <v>1556</v>
      </c>
      <c r="R293" s="757" t="s">
        <v>1683</v>
      </c>
      <c r="S293" s="664"/>
      <c r="T293" s="664"/>
      <c r="U293" s="664"/>
      <c r="V293" s="664"/>
      <c r="W293" s="664"/>
      <c r="X293" s="664"/>
      <c r="Y293" s="664"/>
      <c r="Z293" s="664"/>
      <c r="AA293" s="638"/>
    </row>
    <row r="294" spans="1:27" s="624" customFormat="1" ht="31.2" outlineLevel="1" x14ac:dyDescent="0.25">
      <c r="A294" s="729"/>
      <c r="B294" s="729"/>
      <c r="C294" s="673" t="str">
        <f>INDEX('Master sheet'!$A$1:$A$670,MATCH("A36",'Master sheet'!$AN$1:$AN$670,0))</f>
        <v>Fiberglass batt / Johns Manville / Unfaced, ComfortTherm, Cavity-SHIELD, FSK-25 / R 3.4/inch</v>
      </c>
      <c r="D294" s="17">
        <f>'USER INPUT SHEET'!$D$47</f>
        <v>0</v>
      </c>
      <c r="E294" s="18" t="str">
        <f>'USER INPUT SHEET'!$F$32</f>
        <v>m2</v>
      </c>
      <c r="F294" s="4">
        <v>1</v>
      </c>
      <c r="G294" s="674"/>
      <c r="H294" s="9"/>
      <c r="I294" s="95">
        <f t="shared" ref="I294:I295" si="106">K294-L294</f>
        <v>0</v>
      </c>
      <c r="J294" s="96" t="str">
        <f t="shared" ref="J294:J296" si="107">IF(H294=1,I294,"")</f>
        <v/>
      </c>
      <c r="K294" s="407">
        <f>$D294*($E$292/5.678)*$F294*VLOOKUP($C294,'Master sheet'!$A:$AL,13,FALSE)</f>
        <v>0</v>
      </c>
      <c r="L294" s="97">
        <f>$D294*($E$292/5.678)*$F294*VLOOKUP($C294,'Master sheet'!$A:$AL,27,FALSE)</f>
        <v>0</v>
      </c>
      <c r="M294" s="1552"/>
      <c r="N294" s="1552"/>
      <c r="O294" s="25" t="str">
        <f>_xlfn.IFNA(VLOOKUP($C294,'Master sheet'!$A:$AR,44,FALSE),"")&amp;""</f>
        <v/>
      </c>
      <c r="P294" s="685"/>
      <c r="Q294" s="29" t="s">
        <v>1556</v>
      </c>
      <c r="R294" s="757" t="s">
        <v>1683</v>
      </c>
      <c r="S294" s="619"/>
      <c r="T294" s="638"/>
      <c r="U294" s="638"/>
      <c r="V294" s="638"/>
      <c r="W294" s="638"/>
      <c r="X294" s="638"/>
      <c r="Y294" s="638"/>
      <c r="Z294" s="638"/>
      <c r="AA294" s="638"/>
    </row>
    <row r="295" spans="1:27" s="624" customFormat="1" ht="23.25" customHeight="1" outlineLevel="1" x14ac:dyDescent="0.25">
      <c r="A295" s="729"/>
      <c r="B295" s="729"/>
      <c r="C295" s="673" t="str">
        <f>INDEX('Master sheet'!$A$1:$A$670,MATCH("A37",'Master sheet'!$AN$1:$AN$670,0))</f>
        <v>Fiberglass batt / NAIMA  /  / R 4.4/inch</v>
      </c>
      <c r="D295" s="17">
        <f>'USER INPUT SHEET'!$D$47</f>
        <v>0</v>
      </c>
      <c r="E295" s="18" t="str">
        <f>'USER INPUT SHEET'!$F$32</f>
        <v>m2</v>
      </c>
      <c r="F295" s="4">
        <v>1</v>
      </c>
      <c r="G295" s="674"/>
      <c r="H295" s="9"/>
      <c r="I295" s="95">
        <f t="shared" si="106"/>
        <v>0</v>
      </c>
      <c r="J295" s="96" t="str">
        <f t="shared" si="107"/>
        <v/>
      </c>
      <c r="K295" s="407">
        <f>$D295*($E$292/5.678)*$F295*VLOOKUP($C295,'Master sheet'!$A:$AL,13,FALSE)</f>
        <v>0</v>
      </c>
      <c r="L295" s="97">
        <f>$D295*($E$292/5.678)*$F295*VLOOKUP($C295,'Master sheet'!$A:$AL,27,FALSE)</f>
        <v>0</v>
      </c>
      <c r="M295" s="1552"/>
      <c r="N295" s="1552"/>
      <c r="O295" s="25" t="str">
        <f>_xlfn.IFNA(VLOOKUP($C295,'Master sheet'!$A:$AR,44,FALSE),"")&amp;""</f>
        <v/>
      </c>
      <c r="P295" s="685"/>
      <c r="Q295" s="29" t="s">
        <v>1556</v>
      </c>
      <c r="R295" s="757" t="s">
        <v>1683</v>
      </c>
      <c r="S295" s="619"/>
      <c r="T295" s="638"/>
      <c r="U295" s="638"/>
      <c r="V295" s="638"/>
      <c r="W295" s="638"/>
      <c r="X295" s="638"/>
      <c r="Y295" s="638"/>
      <c r="Z295" s="638"/>
      <c r="AA295" s="638"/>
    </row>
    <row r="296" spans="1:27" s="624" customFormat="1" ht="31.2" outlineLevel="1" x14ac:dyDescent="0.25">
      <c r="A296" s="729"/>
      <c r="B296" s="729"/>
      <c r="C296" s="673" t="str">
        <f>INDEX('Master sheet'!$A$1:$A$670,MATCH("A38",'Master sheet'!$AN$1:$AN$670,0))</f>
        <v>Fiberglass batt &amp; roll  / Owens Corning /  Unfaced, PINK Next Gen Fiberglas / R 3.6/inch avg.</v>
      </c>
      <c r="D296" s="17">
        <f>'USER INPUT SHEET'!$D$47</f>
        <v>0</v>
      </c>
      <c r="E296" s="18" t="str">
        <f>'USER INPUT SHEET'!$F$32</f>
        <v>m2</v>
      </c>
      <c r="F296" s="4">
        <v>1</v>
      </c>
      <c r="G296" s="674"/>
      <c r="H296" s="9"/>
      <c r="I296" s="95">
        <f>K296-L296</f>
        <v>0</v>
      </c>
      <c r="J296" s="96" t="str">
        <f t="shared" si="107"/>
        <v/>
      </c>
      <c r="K296" s="407">
        <f>$D296*($E$292/5.678)*$F296*VLOOKUP($C296,'Master sheet'!$A:$AL,13,FALSE)</f>
        <v>0</v>
      </c>
      <c r="L296" s="97">
        <f>$D296*($E$292/5.678)*$F296*VLOOKUP($C296,'Master sheet'!$A:$AL,27,FALSE)</f>
        <v>0</v>
      </c>
      <c r="M296" s="1610"/>
      <c r="N296" s="1610"/>
      <c r="O296" s="25" t="str">
        <f>_xlfn.IFNA(VLOOKUP($C296,'Master sheet'!$A:$AR,44,FALSE),"")&amp;""</f>
        <v/>
      </c>
      <c r="P296" s="685"/>
      <c r="Q296" s="29" t="s">
        <v>1556</v>
      </c>
      <c r="R296" s="757" t="s">
        <v>1683</v>
      </c>
      <c r="T296" s="638"/>
      <c r="U296" s="638"/>
      <c r="V296" s="638"/>
      <c r="W296" s="638"/>
      <c r="X296" s="638"/>
      <c r="Y296" s="638"/>
      <c r="Z296" s="638"/>
      <c r="AA296" s="638"/>
    </row>
    <row r="297" spans="1:27" s="624" customFormat="1" ht="22.8" outlineLevel="1" x14ac:dyDescent="0.25">
      <c r="A297" s="639"/>
      <c r="B297" s="1524" t="s">
        <v>1041</v>
      </c>
      <c r="C297" s="1523"/>
      <c r="D297" s="687" t="str">
        <f>IF(LOWER(Setting!rng_language)="english","R-VALUE:","VALEUR R :")</f>
        <v>R-VALUE:</v>
      </c>
      <c r="E297" s="1"/>
      <c r="F297" s="340"/>
      <c r="G297" s="739"/>
      <c r="H297" s="740"/>
      <c r="I297" s="741"/>
      <c r="J297" s="742"/>
      <c r="K297" s="741"/>
      <c r="L297" s="743"/>
      <c r="M297" s="743"/>
      <c r="N297" s="743"/>
      <c r="O297" s="25" t="str">
        <f>_xlfn.IFNA(VLOOKUP($C297,'Master sheet'!$A:$AR,44,FALSE),"")&amp;""</f>
        <v/>
      </c>
      <c r="P297" s="637"/>
      <c r="Q297" s="29" t="s">
        <v>1556</v>
      </c>
      <c r="R297" s="757" t="s">
        <v>1683</v>
      </c>
      <c r="T297" s="638"/>
      <c r="U297" s="638"/>
      <c r="V297" s="638"/>
      <c r="W297" s="638"/>
      <c r="X297" s="638"/>
      <c r="Y297" s="638"/>
      <c r="Z297" s="638"/>
    </row>
    <row r="298" spans="1:27" ht="22.8" outlineLevel="1" x14ac:dyDescent="0.25">
      <c r="A298" s="729"/>
      <c r="B298" s="729"/>
      <c r="C298" s="691" t="s">
        <v>1361</v>
      </c>
      <c r="D298" s="19">
        <f>'USER INPUT SHEET'!$D$47</f>
        <v>0</v>
      </c>
      <c r="E298" s="20" t="str">
        <f>'USER INPUT SHEET'!$F$32</f>
        <v>m2</v>
      </c>
      <c r="F298" s="6">
        <v>1</v>
      </c>
      <c r="G298" s="692"/>
      <c r="H298" s="10"/>
      <c r="I298" s="98">
        <f>K298-L298</f>
        <v>0</v>
      </c>
      <c r="J298" s="91" t="str">
        <f>IF(H298=1,I298,"")</f>
        <v/>
      </c>
      <c r="K298" s="410">
        <f>F298*AVERAGE(K299:K300)</f>
        <v>0</v>
      </c>
      <c r="L298" s="99">
        <f>F298*AVERAGE(L299:L300)</f>
        <v>0</v>
      </c>
      <c r="M298" s="1552"/>
      <c r="N298" s="1552"/>
      <c r="O298" s="25" t="str">
        <f>_xlfn.IFNA(VLOOKUP($C298,'Master sheet'!$A:$AR,44,FALSE),"")&amp;""</f>
        <v/>
      </c>
      <c r="P298" s="637"/>
      <c r="Q298" s="29" t="s">
        <v>1556</v>
      </c>
      <c r="R298" s="757" t="s">
        <v>1683</v>
      </c>
      <c r="S298" s="664"/>
      <c r="T298" s="664"/>
      <c r="U298" s="664"/>
      <c r="V298" s="664"/>
      <c r="W298" s="664"/>
      <c r="X298" s="664"/>
      <c r="Y298" s="664"/>
      <c r="Z298" s="664"/>
    </row>
    <row r="299" spans="1:27" ht="31.5" customHeight="1" outlineLevel="1" x14ac:dyDescent="0.25">
      <c r="A299" s="1564"/>
      <c r="B299" s="1564"/>
      <c r="C299" s="669" t="str">
        <f>INDEX('Master sheet'!$A$1:$A$670,MATCH(105,'Master sheet'!$AN$1:$AN$670,0))</f>
        <v>Fiberglass loose fill / CertainTeed / InsulSafe, Optima, TruComfort / R 2.6/inch</v>
      </c>
      <c r="D299" s="15">
        <f>'USER INPUT SHEET'!$D$47</f>
        <v>0</v>
      </c>
      <c r="E299" s="16" t="str">
        <f>'USER INPUT SHEET'!$F$32</f>
        <v>m2</v>
      </c>
      <c r="F299" s="3">
        <v>1</v>
      </c>
      <c r="G299" s="670"/>
      <c r="H299" s="8"/>
      <c r="I299" s="92">
        <f t="shared" ref="I299:I300" si="108">K299-L299</f>
        <v>0</v>
      </c>
      <c r="J299" s="93" t="str">
        <f t="shared" ref="J299:J300" si="109">IF(H299=1,I299,"")</f>
        <v/>
      </c>
      <c r="K299" s="406">
        <f>$D299*($E$297/5.678)*$F299*VLOOKUP($C299,'Master sheet'!$A:$AL,13,FALSE)</f>
        <v>0</v>
      </c>
      <c r="L299" s="94">
        <f>$D299*($E$297/5.678)*$F299*VLOOKUP($C299,'Master sheet'!$A:$AL,27,FALSE)</f>
        <v>0</v>
      </c>
      <c r="M299" s="1552"/>
      <c r="N299" s="1552"/>
      <c r="O299" s="25" t="str">
        <f ca="1">_xlfn.IFNA(VLOOKUP($C299,'Master sheet'!$A:$AR,44,FALSE),"")&amp;""</f>
        <v>Expired 2024</v>
      </c>
      <c r="P299" s="685"/>
      <c r="Q299" s="29" t="s">
        <v>1556</v>
      </c>
      <c r="R299" s="757" t="s">
        <v>1683</v>
      </c>
      <c r="T299" s="664"/>
      <c r="U299" s="664"/>
      <c r="V299" s="664"/>
      <c r="W299" s="664"/>
      <c r="X299" s="664"/>
      <c r="Y299" s="664"/>
      <c r="Z299" s="664"/>
    </row>
    <row r="300" spans="1:27" s="624" customFormat="1" ht="46.8" outlineLevel="1" x14ac:dyDescent="0.25">
      <c r="A300" s="1564"/>
      <c r="B300" s="1564"/>
      <c r="C300" s="673" t="str">
        <f>INDEX('Master sheet'!$A$1:$A$670,MATCH(374,'Master sheet'!$AN$1:$AN$670,0))</f>
        <v>Fiberglass loose fill / Johns Manville / Climate Pro, Attic Protector, JM Spider PLUS (Canada) / R 2.8/inch, Formaldehyde-free</v>
      </c>
      <c r="D300" s="17">
        <f>'USER INPUT SHEET'!$D$47</f>
        <v>0</v>
      </c>
      <c r="E300" s="18" t="str">
        <f>'USER INPUT SHEET'!$F$32</f>
        <v>m2</v>
      </c>
      <c r="F300" s="4">
        <v>1</v>
      </c>
      <c r="G300" s="674"/>
      <c r="H300" s="9"/>
      <c r="I300" s="95">
        <f t="shared" si="108"/>
        <v>0</v>
      </c>
      <c r="J300" s="96" t="str">
        <f t="shared" si="109"/>
        <v/>
      </c>
      <c r="K300" s="407">
        <f>$D300*($E$297/5.678)*$F300*VLOOKUP($C300,'Master sheet'!$A:$AL,13,FALSE)</f>
        <v>0</v>
      </c>
      <c r="L300" s="97">
        <f>$D300*($E$297/5.678)*$F300*VLOOKUP($C300,'Master sheet'!$A:$AL,27,FALSE)</f>
        <v>0</v>
      </c>
      <c r="M300" s="1559"/>
      <c r="N300" s="1559"/>
      <c r="O300" s="25" t="str">
        <f ca="1">_xlfn.IFNA(VLOOKUP($C300,'Master sheet'!$A:$AR,44,FALSE),"")&amp;""</f>
        <v/>
      </c>
      <c r="P300" s="685"/>
      <c r="Q300" s="29" t="s">
        <v>1556</v>
      </c>
      <c r="R300" s="757" t="s">
        <v>1683</v>
      </c>
      <c r="T300" s="638" t="s">
        <v>7295</v>
      </c>
      <c r="U300" s="638"/>
      <c r="V300" s="638"/>
      <c r="W300" s="638"/>
      <c r="X300" s="638"/>
      <c r="Y300" s="638"/>
      <c r="Z300" s="638"/>
    </row>
    <row r="301" spans="1:27" s="624" customFormat="1" ht="22.8" outlineLevel="1" x14ac:dyDescent="0.25">
      <c r="A301" s="639"/>
      <c r="B301" s="1524" t="s">
        <v>968</v>
      </c>
      <c r="C301" s="1523"/>
      <c r="D301" s="687" t="str">
        <f>IF(LOWER(Setting!rng_language)="english","R-VALUE:","VALEUR R :")</f>
        <v>R-VALUE:</v>
      </c>
      <c r="E301" s="1"/>
      <c r="F301" s="340"/>
      <c r="G301" s="739"/>
      <c r="H301" s="740"/>
      <c r="I301" s="741"/>
      <c r="J301" s="742"/>
      <c r="K301" s="741"/>
      <c r="L301" s="743"/>
      <c r="M301" s="743"/>
      <c r="N301" s="743"/>
      <c r="O301" s="25" t="str">
        <f>_xlfn.IFNA(VLOOKUP($C301,'Master sheet'!$A:$AR,44,FALSE),"")&amp;""</f>
        <v/>
      </c>
      <c r="P301" s="685"/>
      <c r="Q301" s="29" t="s">
        <v>1556</v>
      </c>
      <c r="R301" s="757" t="s">
        <v>1683</v>
      </c>
      <c r="T301" s="638"/>
      <c r="U301" s="638"/>
      <c r="V301" s="638"/>
      <c r="W301" s="638"/>
      <c r="X301" s="638"/>
      <c r="Y301" s="638"/>
      <c r="Z301" s="638"/>
    </row>
    <row r="302" spans="1:27" ht="31.5" customHeight="1" outlineLevel="1" x14ac:dyDescent="0.25">
      <c r="A302" s="1600"/>
      <c r="B302" s="1564"/>
      <c r="C302" s="669" t="str">
        <f>INDEX('Master sheet'!$A$1:$A$670,MATCH("A189",'Master sheet'!$AN$1:$AN$670,0))</f>
        <v>Mineral wool batt / Owens Corning / UltraBatt - Fire and Sound guard Plus R-15, R-30 / R 4.2-inch</v>
      </c>
      <c r="D302" s="15">
        <f>'USER INPUT SHEET'!$D$47</f>
        <v>0</v>
      </c>
      <c r="E302" s="16" t="str">
        <f>'USER INPUT SHEET'!$F$32</f>
        <v>m2</v>
      </c>
      <c r="F302" s="3">
        <v>1</v>
      </c>
      <c r="G302" s="670"/>
      <c r="H302" s="8"/>
      <c r="I302" s="92">
        <f t="shared" ref="I302" si="110">K302-L302</f>
        <v>0</v>
      </c>
      <c r="J302" s="93" t="str">
        <f t="shared" ref="J302" si="111">IF(H302=1,I302,"")</f>
        <v/>
      </c>
      <c r="K302" s="406">
        <f>$D302*($E$301/5.678)*$F302*VLOOKUP($C302,'Master sheet'!$A:$AL,13,FALSE)</f>
        <v>0</v>
      </c>
      <c r="L302" s="94">
        <f>$D302*($E$301/5.678)*$F302*VLOOKUP($C302,'Master sheet'!$A:$AL,27,FALSE)</f>
        <v>0</v>
      </c>
      <c r="M302" s="1562"/>
      <c r="N302" s="1562"/>
      <c r="O302" s="25" t="str">
        <f>_xlfn.IFNA(VLOOKUP($C302,'Master sheet'!$A:$AR,44,FALSE),"")&amp;""</f>
        <v/>
      </c>
      <c r="P302" s="637"/>
      <c r="Q302" s="29" t="s">
        <v>1556</v>
      </c>
      <c r="R302" s="757" t="s">
        <v>1683</v>
      </c>
      <c r="T302" s="664"/>
      <c r="U302" s="664"/>
      <c r="V302" s="664"/>
      <c r="W302" s="664"/>
      <c r="X302" s="664"/>
      <c r="Y302" s="664"/>
      <c r="Z302" s="664"/>
    </row>
    <row r="303" spans="1:27" ht="31.5" customHeight="1" outlineLevel="1" x14ac:dyDescent="0.25">
      <c r="A303" s="1600"/>
      <c r="B303" s="1564"/>
      <c r="C303" s="673" t="str">
        <f>INDEX('Master sheet'!$A$1:$A$670,MATCH("A190",'Master sheet'!$AN$1:$AN$670,0))</f>
        <v>Mineral wool batt / Owens Corning / UltraBatt - Fire and Sound guard Plus R-23 / R 4.2-inch</v>
      </c>
      <c r="D303" s="17">
        <f>'USER INPUT SHEET'!$D$47</f>
        <v>0</v>
      </c>
      <c r="E303" s="18" t="str">
        <f>'USER INPUT SHEET'!$F$32</f>
        <v>m2</v>
      </c>
      <c r="F303" s="4">
        <v>1</v>
      </c>
      <c r="G303" s="674"/>
      <c r="H303" s="9"/>
      <c r="I303" s="95">
        <f t="shared" ref="I303:I307" si="112">K303-L303</f>
        <v>0</v>
      </c>
      <c r="J303" s="96" t="str">
        <f t="shared" ref="J303:J307" si="113">IF(H303=1,I303,"")</f>
        <v/>
      </c>
      <c r="K303" s="407">
        <f>$D303*($E$301/5.678)*$F303*VLOOKUP($C303,'Master sheet'!$A:$AL,13,FALSE)</f>
        <v>0</v>
      </c>
      <c r="L303" s="97">
        <f>$D303*($E$301/5.678)*$F303*VLOOKUP($C303,'Master sheet'!$A:$AL,27,FALSE)</f>
        <v>0</v>
      </c>
      <c r="M303" s="1552"/>
      <c r="N303" s="1552"/>
      <c r="O303" s="25" t="str">
        <f>_xlfn.IFNA(VLOOKUP($C303,'Master sheet'!$A:$AR,44,FALSE),"")&amp;""</f>
        <v/>
      </c>
      <c r="P303" s="637"/>
      <c r="Q303" s="29" t="s">
        <v>1556</v>
      </c>
      <c r="R303" s="757" t="s">
        <v>1683</v>
      </c>
      <c r="T303" s="664"/>
      <c r="U303" s="664"/>
      <c r="V303" s="664"/>
      <c r="W303" s="664"/>
      <c r="X303" s="664"/>
      <c r="Y303" s="664"/>
      <c r="Z303" s="664"/>
    </row>
    <row r="304" spans="1:27" ht="31.2" outlineLevel="1" x14ac:dyDescent="0.25">
      <c r="A304" s="1600"/>
      <c r="B304" s="1564"/>
      <c r="C304" s="673" t="str">
        <f>INDEX('Master sheet'!$A$1:$A$670,MATCH("A191",'Master sheet'!$AN$1:$AN$670,0))</f>
        <v>Mineral wool batt / Owens Corning / UltraBatt - Fire and Sound guard Plus R-24 / R 4.0-inch</v>
      </c>
      <c r="D304" s="17">
        <f>'USER INPUT SHEET'!$D$47</f>
        <v>0</v>
      </c>
      <c r="E304" s="18" t="str">
        <f>'USER INPUT SHEET'!$F$32</f>
        <v>m2</v>
      </c>
      <c r="F304" s="4">
        <v>1</v>
      </c>
      <c r="G304" s="674"/>
      <c r="H304" s="9"/>
      <c r="I304" s="95">
        <f t="shared" si="112"/>
        <v>0</v>
      </c>
      <c r="J304" s="96" t="str">
        <f t="shared" si="113"/>
        <v/>
      </c>
      <c r="K304" s="407">
        <f>$D304*($E$301/5.678)*$F304*VLOOKUP($C304,'Master sheet'!$A:$AL,13,FALSE)</f>
        <v>0</v>
      </c>
      <c r="L304" s="97">
        <f>$D304*($E$301/5.678)*$F304*VLOOKUP($C304,'Master sheet'!$A:$AL,27,FALSE)</f>
        <v>0</v>
      </c>
      <c r="M304" s="1552"/>
      <c r="N304" s="1552"/>
      <c r="O304" s="25" t="str">
        <f>_xlfn.IFNA(VLOOKUP($C304,'Master sheet'!$A:$AR,44,FALSE),"")&amp;""</f>
        <v/>
      </c>
      <c r="P304" s="637"/>
      <c r="Q304" s="29" t="s">
        <v>1556</v>
      </c>
      <c r="R304" s="757" t="s">
        <v>1683</v>
      </c>
      <c r="T304" s="664"/>
      <c r="U304" s="664"/>
      <c r="V304" s="664"/>
      <c r="W304" s="664"/>
      <c r="X304" s="664"/>
      <c r="Y304" s="664"/>
      <c r="Z304" s="664"/>
    </row>
    <row r="305" spans="1:26" ht="22.8" outlineLevel="1" x14ac:dyDescent="0.25">
      <c r="A305" s="1600"/>
      <c r="B305" s="1564"/>
      <c r="C305" s="673" t="str">
        <f>INDEX('Master sheet'!$A$1:$A$670,MATCH("A195",'Master sheet'!$AN$1:$AN$670,0))</f>
        <v>Mineral wool batt / Rockwool / ComfortBatt R-23 / R 4.2-inch</v>
      </c>
      <c r="D305" s="17">
        <f>'USER INPUT SHEET'!$D$47</f>
        <v>0</v>
      </c>
      <c r="E305" s="18" t="str">
        <f>'USER INPUT SHEET'!$F$32</f>
        <v>m2</v>
      </c>
      <c r="F305" s="4">
        <v>1</v>
      </c>
      <c r="G305" s="674"/>
      <c r="H305" s="9"/>
      <c r="I305" s="95">
        <f t="shared" si="112"/>
        <v>0</v>
      </c>
      <c r="J305" s="96" t="str">
        <f t="shared" si="113"/>
        <v/>
      </c>
      <c r="K305" s="407">
        <f>$D305*($E$301/5.678)*$F305*VLOOKUP($C305,'Master sheet'!$A:$AL,13,FALSE)</f>
        <v>0</v>
      </c>
      <c r="L305" s="97">
        <f>$D305*($E$301/5.678)*$F305*VLOOKUP($C305,'Master sheet'!$A:$AL,27,FALSE)</f>
        <v>0</v>
      </c>
      <c r="M305" s="1552"/>
      <c r="N305" s="1552"/>
      <c r="O305" s="25" t="str">
        <f>_xlfn.IFNA(VLOOKUP($C305,'Master sheet'!$A:$AR,44,FALSE),"")&amp;""</f>
        <v/>
      </c>
      <c r="P305" s="637"/>
      <c r="Q305" s="29" t="s">
        <v>1556</v>
      </c>
      <c r="R305" s="757" t="s">
        <v>1683</v>
      </c>
      <c r="T305" s="664"/>
      <c r="U305" s="664"/>
      <c r="V305" s="664"/>
      <c r="W305" s="664"/>
      <c r="X305" s="664"/>
      <c r="Y305" s="664"/>
      <c r="Z305" s="664"/>
    </row>
    <row r="306" spans="1:26" ht="31.2" outlineLevel="1" x14ac:dyDescent="0.25">
      <c r="A306" s="1600"/>
      <c r="B306" s="1564"/>
      <c r="C306" s="673" t="str">
        <f>INDEX('Master sheet'!$A$1:$A$670,MATCH("A196",'Master sheet'!$AN$1:$AN$670,0))</f>
        <v>Mineral wool batt / Rockwool / ComfortBatt R-24 (Steel Studs) / R 4.0-inch</v>
      </c>
      <c r="D306" s="17">
        <f>'USER INPUT SHEET'!$D$47</f>
        <v>0</v>
      </c>
      <c r="E306" s="18" t="str">
        <f>'USER INPUT SHEET'!$F$32</f>
        <v>m2</v>
      </c>
      <c r="F306" s="4">
        <v>1</v>
      </c>
      <c r="G306" s="674"/>
      <c r="H306" s="9"/>
      <c r="I306" s="95">
        <f t="shared" si="112"/>
        <v>0</v>
      </c>
      <c r="J306" s="96" t="str">
        <f t="shared" si="113"/>
        <v/>
      </c>
      <c r="K306" s="407">
        <f>$D306*($E$301/5.678)*$F306*VLOOKUP($C306,'Master sheet'!$A:$AL,13,FALSE)</f>
        <v>0</v>
      </c>
      <c r="L306" s="97">
        <f>$D306*($E$301/5.678)*$F306*VLOOKUP($C306,'Master sheet'!$A:$AL,27,FALSE)</f>
        <v>0</v>
      </c>
      <c r="M306" s="1552"/>
      <c r="N306" s="1552"/>
      <c r="O306" s="25" t="str">
        <f>_xlfn.IFNA(VLOOKUP($C306,'Master sheet'!$A:$AR,44,FALSE),"")&amp;""</f>
        <v/>
      </c>
      <c r="P306" s="637"/>
      <c r="Q306" s="29" t="s">
        <v>1556</v>
      </c>
      <c r="R306" s="757" t="s">
        <v>1683</v>
      </c>
      <c r="T306" s="664"/>
      <c r="U306" s="664"/>
      <c r="V306" s="664"/>
      <c r="W306" s="664"/>
      <c r="X306" s="664"/>
      <c r="Y306" s="664"/>
      <c r="Z306" s="664"/>
    </row>
    <row r="307" spans="1:26" ht="31.2" outlineLevel="1" x14ac:dyDescent="0.25">
      <c r="A307" s="1600"/>
      <c r="B307" s="1564"/>
      <c r="C307" s="673" t="str">
        <f>INDEX('Master sheet'!$A$1:$A$670,MATCH("A197",'Master sheet'!$AN$1:$AN$670,0))</f>
        <v>Mineral wool batt / Rockwool / ComfortBatt R-24 (Wood Studs) / R 4.4-inch</v>
      </c>
      <c r="D307" s="17">
        <f>'USER INPUT SHEET'!$D$47</f>
        <v>0</v>
      </c>
      <c r="E307" s="18" t="str">
        <f>'USER INPUT SHEET'!$F$32</f>
        <v>m2</v>
      </c>
      <c r="F307" s="4">
        <v>1</v>
      </c>
      <c r="G307" s="674"/>
      <c r="H307" s="9"/>
      <c r="I307" s="95">
        <f t="shared" si="112"/>
        <v>0</v>
      </c>
      <c r="J307" s="96" t="str">
        <f t="shared" si="113"/>
        <v/>
      </c>
      <c r="K307" s="407">
        <f>$D307*($E$301/5.678)*$F307*VLOOKUP($C307,'Master sheet'!$A:$AL,13,FALSE)</f>
        <v>0</v>
      </c>
      <c r="L307" s="97">
        <f>$D307*($E$301/5.678)*$F307*VLOOKUP($C307,'Master sheet'!$A:$AL,27,FALSE)</f>
        <v>0</v>
      </c>
      <c r="M307" s="1559"/>
      <c r="N307" s="1559"/>
      <c r="O307" s="25" t="str">
        <f>_xlfn.IFNA(VLOOKUP($C307,'Master sheet'!$A:$AR,44,FALSE),"")&amp;""</f>
        <v/>
      </c>
      <c r="P307" s="637"/>
      <c r="Q307" s="29" t="s">
        <v>1556</v>
      </c>
      <c r="R307" s="757" t="s">
        <v>1683</v>
      </c>
      <c r="T307" s="664"/>
      <c r="U307" s="664"/>
      <c r="V307" s="664"/>
      <c r="W307" s="664"/>
      <c r="X307" s="664"/>
      <c r="Y307" s="664"/>
      <c r="Z307" s="664"/>
    </row>
    <row r="308" spans="1:26" s="624" customFormat="1" ht="22.8" outlineLevel="1" x14ac:dyDescent="0.25">
      <c r="A308" s="639"/>
      <c r="B308" s="1524" t="s">
        <v>46</v>
      </c>
      <c r="C308" s="1523"/>
      <c r="D308" s="687" t="str">
        <f>IF(LOWER(Setting!rng_language)="english","R-VALUE:","VALEUR R :")</f>
        <v>R-VALUE:</v>
      </c>
      <c r="E308" s="1"/>
      <c r="F308" s="340"/>
      <c r="G308" s="739"/>
      <c r="H308" s="740"/>
      <c r="I308" s="741"/>
      <c r="J308" s="742"/>
      <c r="K308" s="741"/>
      <c r="L308" s="743"/>
      <c r="M308" s="743"/>
      <c r="N308" s="743"/>
      <c r="O308" s="25" t="str">
        <f>_xlfn.IFNA(VLOOKUP($C308,'Master sheet'!$A:$AR,44,FALSE),"")&amp;""</f>
        <v/>
      </c>
      <c r="P308" s="685"/>
      <c r="Q308" s="29" t="s">
        <v>1556</v>
      </c>
      <c r="R308" s="757" t="s">
        <v>1683</v>
      </c>
      <c r="T308" s="638"/>
      <c r="U308" s="638"/>
      <c r="V308" s="638"/>
      <c r="W308" s="638"/>
      <c r="X308" s="638"/>
      <c r="Y308" s="638"/>
      <c r="Z308" s="638"/>
    </row>
    <row r="309" spans="1:26" ht="22.8" outlineLevel="1" x14ac:dyDescent="0.25">
      <c r="A309" s="729"/>
      <c r="B309" s="729"/>
      <c r="C309" s="691" t="s">
        <v>1362</v>
      </c>
      <c r="D309" s="19">
        <f>'USER INPUT SHEET'!$D$47</f>
        <v>0</v>
      </c>
      <c r="E309" s="20" t="str">
        <f>'USER INPUT SHEET'!$F$32</f>
        <v>m2</v>
      </c>
      <c r="F309" s="6">
        <v>1</v>
      </c>
      <c r="G309" s="692"/>
      <c r="H309" s="10"/>
      <c r="I309" s="98">
        <f>K309-L309</f>
        <v>0</v>
      </c>
      <c r="J309" s="91" t="str">
        <f>IF(H309=1,I309,"")</f>
        <v/>
      </c>
      <c r="K309" s="410">
        <f>F309*AVERAGE(K310:K312)</f>
        <v>0</v>
      </c>
      <c r="L309" s="99">
        <f>F309*AVERAGE(L310:L312)</f>
        <v>0</v>
      </c>
      <c r="M309" s="1552"/>
      <c r="N309" s="1552"/>
      <c r="O309" s="25" t="str">
        <f>_xlfn.IFNA(VLOOKUP($C309,'Master sheet'!$A:$AR,44,FALSE),"")&amp;""</f>
        <v/>
      </c>
      <c r="P309" s="685"/>
      <c r="Q309" s="29" t="s">
        <v>1556</v>
      </c>
      <c r="R309" s="757" t="s">
        <v>1683</v>
      </c>
      <c r="S309" s="664"/>
      <c r="T309" s="664"/>
      <c r="U309" s="664"/>
      <c r="V309" s="664"/>
      <c r="W309" s="664"/>
      <c r="X309" s="664"/>
      <c r="Y309" s="664"/>
      <c r="Z309" s="664"/>
    </row>
    <row r="310" spans="1:26" ht="47.25" customHeight="1" outlineLevel="1" x14ac:dyDescent="0.25">
      <c r="A310" s="1600"/>
      <c r="B310" s="1564"/>
      <c r="C310" s="669" t="str">
        <f>INDEX('Master sheet'!$A$1:$A$670,MATCH(33,'Master sheet'!$AN$1:$AN$670,0))</f>
        <v>Cellulose - dense pack /  / R 3.7/inch / Includes AFT, Applegate, Can-Cell, Cell-Pak, Cleanfiber, Climatizer, Fiberlite, Igloo, ICC, Mason City, Nu-Wool, Soprema, Thermo-Kool</v>
      </c>
      <c r="D310" s="15">
        <f>'USER INPUT SHEET'!$D$47</f>
        <v>0</v>
      </c>
      <c r="E310" s="16" t="str">
        <f>'USER INPUT SHEET'!$F$32</f>
        <v>m2</v>
      </c>
      <c r="F310" s="3">
        <v>1</v>
      </c>
      <c r="G310" s="670"/>
      <c r="H310" s="8"/>
      <c r="I310" s="92">
        <f t="shared" ref="I310:I312" si="114">K310-L310</f>
        <v>0</v>
      </c>
      <c r="J310" s="93" t="str">
        <f t="shared" ref="J310:J312" si="115">IF(H310=1,I310,"")</f>
        <v/>
      </c>
      <c r="K310" s="406">
        <f>$D310*($E$308/5.678)*$F310*VLOOKUP($C310,'Master sheet'!$A:$AL,13,FALSE)</f>
        <v>0</v>
      </c>
      <c r="L310" s="94">
        <f>$D310*($E$308/5.678)*$F310*VLOOKUP($C310,'Master sheet'!$A:$AL,27,FALSE)</f>
        <v>0</v>
      </c>
      <c r="M310" s="1552"/>
      <c r="N310" s="1552"/>
      <c r="O310" s="25" t="str">
        <f ca="1">_xlfn.IFNA(VLOOKUP($C310,'Master sheet'!$A:$AR,44,FALSE),"")&amp;""</f>
        <v>Expired 2024</v>
      </c>
      <c r="P310" s="637"/>
      <c r="Q310" s="29" t="s">
        <v>1556</v>
      </c>
      <c r="R310" s="757" t="s">
        <v>1683</v>
      </c>
      <c r="T310" s="664"/>
      <c r="U310" s="664"/>
      <c r="V310" s="664"/>
      <c r="W310" s="664"/>
      <c r="X310" s="664"/>
      <c r="Y310" s="664"/>
      <c r="Z310" s="664"/>
    </row>
    <row r="311" spans="1:26" ht="23.25" customHeight="1" outlineLevel="1" x14ac:dyDescent="0.25">
      <c r="A311" s="1564"/>
      <c r="B311" s="1564"/>
      <c r="C311" s="669" t="str">
        <f>INDEX('Master sheet'!$A$1:$A$670,MATCH(32,'Master sheet'!$AN$1:$AN$670,0))</f>
        <v>Cellulose - batt / CMS / R 3.6/inch / EcoCell</v>
      </c>
      <c r="D311" s="15">
        <f>'USER INPUT SHEET'!$D$47</f>
        <v>0</v>
      </c>
      <c r="E311" s="16" t="str">
        <f>'USER INPUT SHEET'!$F$32</f>
        <v>m2</v>
      </c>
      <c r="F311" s="3">
        <v>1</v>
      </c>
      <c r="G311" s="670"/>
      <c r="H311" s="8"/>
      <c r="I311" s="92">
        <f t="shared" si="114"/>
        <v>0</v>
      </c>
      <c r="J311" s="93" t="str">
        <f t="shared" si="115"/>
        <v/>
      </c>
      <c r="K311" s="406">
        <f>$D311*($E$308/5.678)*$F311*VLOOKUP($C311,'Master sheet'!$A:$AL,13,FALSE)</f>
        <v>0</v>
      </c>
      <c r="L311" s="94">
        <f>$D311*($E$308/5.678)*$F311*VLOOKUP($C311,'Master sheet'!$A:$AL,27,FALSE)</f>
        <v>0</v>
      </c>
      <c r="M311" s="1552"/>
      <c r="N311" s="1552"/>
      <c r="O311" s="25" t="str">
        <f ca="1">_xlfn.IFNA(VLOOKUP($C311,'Master sheet'!$A:$AR,44,FALSE),"")&amp;""</f>
        <v>Expired 2024</v>
      </c>
      <c r="P311" s="637"/>
      <c r="Q311" s="29" t="s">
        <v>1556</v>
      </c>
      <c r="R311" s="757" t="s">
        <v>1683</v>
      </c>
      <c r="T311" s="664"/>
      <c r="U311" s="664"/>
      <c r="V311" s="664"/>
      <c r="W311" s="664"/>
      <c r="X311" s="664"/>
      <c r="Y311" s="664"/>
      <c r="Z311" s="664"/>
    </row>
    <row r="312" spans="1:26" s="624" customFormat="1" ht="31.5" customHeight="1" outlineLevel="1" x14ac:dyDescent="0.25">
      <c r="A312" s="1564"/>
      <c r="B312" s="1564"/>
      <c r="C312" s="673" t="str">
        <f>INDEX('Master sheet'!$A$1:$A$670,MATCH(35,'Master sheet'!$AN$1:$AN$670,0))</f>
        <v>Cellulose - spray applied / R 3.75/inch / International Cellulose Corp. / K-13, ThermoCon</v>
      </c>
      <c r="D312" s="17">
        <f>'USER INPUT SHEET'!$D$47</f>
        <v>0</v>
      </c>
      <c r="E312" s="18" t="str">
        <f>'USER INPUT SHEET'!$F$32</f>
        <v>m2</v>
      </c>
      <c r="F312" s="4">
        <v>1</v>
      </c>
      <c r="G312" s="674"/>
      <c r="H312" s="9"/>
      <c r="I312" s="95">
        <f t="shared" si="114"/>
        <v>0</v>
      </c>
      <c r="J312" s="96" t="str">
        <f t="shared" si="115"/>
        <v/>
      </c>
      <c r="K312" s="407">
        <f>$D312*($E$308/5.678)*$F312*VLOOKUP($C312,'Master sheet'!$A:$AL,13,FALSE)</f>
        <v>0</v>
      </c>
      <c r="L312" s="97">
        <f>$D312*($E$308/5.678)*$F312*VLOOKUP($C312,'Master sheet'!$A:$AL,27,FALSE)</f>
        <v>0</v>
      </c>
      <c r="M312" s="1559"/>
      <c r="N312" s="1559"/>
      <c r="O312" s="25" t="str">
        <f ca="1">_xlfn.IFNA(VLOOKUP($C312,'Master sheet'!$A:$AR,44,FALSE),"")&amp;""</f>
        <v>Expired 2025</v>
      </c>
      <c r="P312" s="685"/>
      <c r="Q312" s="29" t="s">
        <v>1556</v>
      </c>
      <c r="R312" s="757" t="s">
        <v>1683</v>
      </c>
      <c r="T312" s="638"/>
      <c r="U312" s="638"/>
      <c r="V312" s="638"/>
      <c r="W312" s="638"/>
      <c r="X312" s="638"/>
      <c r="Y312" s="638"/>
      <c r="Z312" s="638"/>
    </row>
    <row r="313" spans="1:26" s="624" customFormat="1" ht="22.8" outlineLevel="1" x14ac:dyDescent="0.25">
      <c r="A313" s="639"/>
      <c r="B313" s="1524" t="s">
        <v>969</v>
      </c>
      <c r="C313" s="1523"/>
      <c r="D313" s="687" t="str">
        <f>IF(LOWER(Setting!rng_language)="english","R-VALUE:","VALEUR R :")</f>
        <v>R-VALUE:</v>
      </c>
      <c r="E313" s="1"/>
      <c r="F313" s="340"/>
      <c r="G313" s="739"/>
      <c r="H313" s="740"/>
      <c r="I313" s="741"/>
      <c r="J313" s="742"/>
      <c r="K313" s="741"/>
      <c r="L313" s="743"/>
      <c r="M313" s="743"/>
      <c r="N313" s="743"/>
      <c r="O313" s="25" t="str">
        <f>_xlfn.IFNA(VLOOKUP($C313,'Master sheet'!$A:$AR,44,FALSE),"")&amp;""</f>
        <v/>
      </c>
      <c r="P313" s="685"/>
      <c r="Q313" s="29" t="s">
        <v>1556</v>
      </c>
      <c r="R313" s="757" t="s">
        <v>1683</v>
      </c>
      <c r="T313" s="638"/>
      <c r="U313" s="638"/>
      <c r="V313" s="638"/>
      <c r="W313" s="638"/>
      <c r="X313" s="638"/>
      <c r="Y313" s="638"/>
      <c r="Z313" s="638"/>
    </row>
    <row r="314" spans="1:26" s="624" customFormat="1" ht="23.25" customHeight="1" outlineLevel="1" x14ac:dyDescent="0.25">
      <c r="A314" s="1564"/>
      <c r="B314" s="1564"/>
      <c r="C314" s="673" t="str">
        <f>INDEX('Master sheet'!$A$1:$A$670,MATCH(238,'Master sheet'!$AN$1:$AN$670,0))</f>
        <v>Wood fiber - loose fill / GUTEX / ThermoFiber / R 3.6/inch</v>
      </c>
      <c r="D314" s="17">
        <f>'USER INPUT SHEET'!$D$47</f>
        <v>0</v>
      </c>
      <c r="E314" s="18" t="str">
        <f>'USER INPUT SHEET'!$F$32</f>
        <v>m2</v>
      </c>
      <c r="F314" s="4">
        <v>1</v>
      </c>
      <c r="G314" s="674"/>
      <c r="H314" s="9"/>
      <c r="I314" s="95">
        <f t="shared" ref="I314" si="116">K314-L314</f>
        <v>0</v>
      </c>
      <c r="J314" s="96" t="str">
        <f t="shared" ref="J314" si="117">IF(H314=1,I314,"")</f>
        <v/>
      </c>
      <c r="K314" s="407">
        <f>$D314*($E$313/5.678)*$F314*VLOOKUP($C314,'Master sheet'!$A:$AL,13,FALSE)</f>
        <v>0</v>
      </c>
      <c r="L314" s="97">
        <f>$D314*($E$313/5.678)*$F314*VLOOKUP($C314,'Master sheet'!$A:$AL,27,FALSE)</f>
        <v>0</v>
      </c>
      <c r="M314" s="1559"/>
      <c r="N314" s="1559"/>
      <c r="O314" s="25" t="str">
        <f ca="1">_xlfn.IFNA(VLOOKUP($C314,'Master sheet'!$A:$AR,44,FALSE),"")&amp;""</f>
        <v>Expired 2024</v>
      </c>
      <c r="P314" s="637"/>
      <c r="Q314" s="29" t="s">
        <v>1556</v>
      </c>
      <c r="R314" s="757" t="s">
        <v>1683</v>
      </c>
      <c r="T314" s="638"/>
      <c r="U314" s="638"/>
      <c r="V314" s="638"/>
      <c r="W314" s="638"/>
      <c r="X314" s="638"/>
      <c r="Y314" s="638"/>
      <c r="Z314" s="638"/>
    </row>
    <row r="315" spans="1:26" s="624" customFormat="1" ht="22.8" outlineLevel="1" x14ac:dyDescent="0.25">
      <c r="A315" s="639"/>
      <c r="B315" s="1524" t="s">
        <v>56</v>
      </c>
      <c r="C315" s="1523"/>
      <c r="D315" s="687" t="str">
        <f>IF(LOWER(Setting!rng_language)="english","R-VALUE:","VALEUR R :")</f>
        <v>R-VALUE:</v>
      </c>
      <c r="E315" s="1"/>
      <c r="F315" s="325"/>
      <c r="G315" s="678"/>
      <c r="H315" s="679"/>
      <c r="I315" s="642"/>
      <c r="J315" s="643"/>
      <c r="K315" s="676"/>
      <c r="L315" s="677"/>
      <c r="M315" s="677"/>
      <c r="N315" s="677"/>
      <c r="O315" s="25" t="str">
        <f>_xlfn.IFNA(VLOOKUP($C315,'Master sheet'!$A:$AR,44,FALSE),"")&amp;""</f>
        <v/>
      </c>
      <c r="P315" s="685"/>
      <c r="Q315" s="29" t="s">
        <v>1556</v>
      </c>
      <c r="R315" s="757" t="s">
        <v>1683</v>
      </c>
      <c r="T315" s="638"/>
      <c r="U315" s="638"/>
      <c r="V315" s="638"/>
      <c r="W315" s="638"/>
      <c r="X315" s="638"/>
      <c r="Y315" s="638"/>
      <c r="Z315" s="638"/>
    </row>
    <row r="316" spans="1:26" s="624" customFormat="1" ht="23.25" customHeight="1" outlineLevel="1" x14ac:dyDescent="0.25">
      <c r="A316" s="1600"/>
      <c r="B316" s="1564"/>
      <c r="C316" s="647" t="str">
        <f>INDEX('Master sheet'!$A$1:$A$670,MATCH(254,'Master sheet'!$AN$1:$AN$670,0))</f>
        <v>Wool batt / Havelock Wool /  / R 3.6/inch</v>
      </c>
      <c r="D316" s="13">
        <f>'USER INPUT SHEET'!$D$47</f>
        <v>0</v>
      </c>
      <c r="E316" s="14" t="str">
        <f>'USER INPUT SHEET'!$F$32</f>
        <v>m2</v>
      </c>
      <c r="F316" s="2">
        <v>1</v>
      </c>
      <c r="G316" s="648"/>
      <c r="H316" s="7"/>
      <c r="I316" s="88">
        <f>K316-L316</f>
        <v>0</v>
      </c>
      <c r="J316" s="89" t="str">
        <f>IF(H316=1,I316,"")</f>
        <v/>
      </c>
      <c r="K316" s="404">
        <f>$D316*($E$315/5.678)*$F316*VLOOKUP($C316,'Master sheet'!$A:$AL,13,FALSE)</f>
        <v>0</v>
      </c>
      <c r="L316" s="90">
        <f>$D316*($E$315/5.678)*$F316*VLOOKUP($C316,'Master sheet'!$A:$AL,27,FALSE)</f>
        <v>0</v>
      </c>
      <c r="M316" s="1552"/>
      <c r="N316" s="1552"/>
      <c r="O316" s="25" t="str">
        <f ca="1">_xlfn.IFNA(VLOOKUP($C316,'Master sheet'!$A:$AR,44,FALSE),"")&amp;""</f>
        <v>Expired 2025</v>
      </c>
      <c r="P316" s="685"/>
      <c r="Q316" s="29" t="s">
        <v>1556</v>
      </c>
      <c r="R316" s="757" t="s">
        <v>1683</v>
      </c>
      <c r="T316" s="638"/>
      <c r="U316" s="638"/>
      <c r="V316" s="638"/>
      <c r="W316" s="638"/>
      <c r="X316" s="638"/>
      <c r="Y316" s="638"/>
      <c r="Z316" s="638"/>
    </row>
    <row r="317" spans="1:26" ht="23.25" customHeight="1" outlineLevel="1" x14ac:dyDescent="0.25">
      <c r="A317" s="1564"/>
      <c r="B317" s="1564"/>
      <c r="C317" s="669" t="str">
        <f>INDEX('Master sheet'!$A$1:$A$670,MATCH(255,'Master sheet'!$AN$1:$AN$670,0))</f>
        <v>Wool loose fill / Havelock Wool /  / R 4.4/inch</v>
      </c>
      <c r="D317" s="15">
        <f>'USER INPUT SHEET'!$D$47</f>
        <v>0</v>
      </c>
      <c r="E317" s="16" t="str">
        <f>'USER INPUT SHEET'!$F$32</f>
        <v>m2</v>
      </c>
      <c r="F317" s="3">
        <v>1</v>
      </c>
      <c r="G317" s="670"/>
      <c r="H317" s="8"/>
      <c r="I317" s="92">
        <f>K317-L317</f>
        <v>0</v>
      </c>
      <c r="J317" s="93" t="str">
        <f>IF(H317=1,I317,"")</f>
        <v/>
      </c>
      <c r="K317" s="406">
        <f>$D317*($E$315/5.678)*$F317*VLOOKUP($C317,'Master sheet'!$A:$AL,13,FALSE)</f>
        <v>0</v>
      </c>
      <c r="L317" s="94">
        <f>$D317*($E$315/5.678)*$F317*VLOOKUP($C317,'Master sheet'!$A:$AL,27,FALSE)</f>
        <v>0</v>
      </c>
      <c r="M317" s="1552"/>
      <c r="N317" s="1552"/>
      <c r="O317" s="25" t="str">
        <f ca="1">_xlfn.IFNA(VLOOKUP($C317,'Master sheet'!$A:$AR,44,FALSE),"")&amp;""</f>
        <v/>
      </c>
      <c r="P317" s="685"/>
      <c r="Q317" s="29" t="s">
        <v>1556</v>
      </c>
      <c r="R317" s="757" t="s">
        <v>1683</v>
      </c>
      <c r="T317" s="664"/>
      <c r="U317" s="664"/>
      <c r="V317" s="664"/>
      <c r="W317" s="664"/>
      <c r="X317" s="664"/>
      <c r="Y317" s="664"/>
      <c r="Z317" s="664"/>
    </row>
    <row r="318" spans="1:26" s="624" customFormat="1" ht="23.25" customHeight="1" outlineLevel="1" x14ac:dyDescent="0.25">
      <c r="A318" s="1564"/>
      <c r="B318" s="1564"/>
      <c r="C318" s="673" t="str">
        <f>INDEX('Master sheet'!$A$1:$A$670,MATCH(412,'Master sheet'!$AN$1:$AN$670,0))</f>
        <v>Straw Bale / SNaB (UK) / Wheat &amp; barley straw / R 2.8/inch</v>
      </c>
      <c r="D318" s="17">
        <f>'USER INPUT SHEET'!$D$47</f>
        <v>0</v>
      </c>
      <c r="E318" s="18" t="str">
        <f>'USER INPUT SHEET'!$F$32</f>
        <v>m2</v>
      </c>
      <c r="F318" s="4">
        <v>1</v>
      </c>
      <c r="G318" s="674"/>
      <c r="H318" s="9"/>
      <c r="I318" s="95">
        <f>K318-L318</f>
        <v>0</v>
      </c>
      <c r="J318" s="96" t="str">
        <f>IF(H318=1,I318,"")</f>
        <v/>
      </c>
      <c r="K318" s="407">
        <f>$D318*($E$315/5.678)*$F318*VLOOKUP($C318,'Master sheet'!$A:$AL,13,FALSE)</f>
        <v>0</v>
      </c>
      <c r="L318" s="97">
        <f>$D318*($E$315/5.678)*$F318*VLOOKUP($C318,'Master sheet'!$A:$AL,27,FALSE)</f>
        <v>0</v>
      </c>
      <c r="M318" s="1559"/>
      <c r="N318" s="1559"/>
      <c r="O318" s="25" t="str">
        <f ca="1">_xlfn.IFNA(VLOOKUP($C318,'Master sheet'!$A:$AR,44,FALSE),"")&amp;""</f>
        <v/>
      </c>
      <c r="P318" s="637"/>
      <c r="Q318" s="29" t="s">
        <v>1556</v>
      </c>
      <c r="R318" s="757" t="s">
        <v>1683</v>
      </c>
      <c r="T318" s="638"/>
      <c r="U318" s="638"/>
      <c r="V318" s="638"/>
      <c r="W318" s="638"/>
      <c r="X318" s="638"/>
      <c r="Y318" s="638"/>
      <c r="Z318" s="638"/>
    </row>
    <row r="319" spans="1:26" s="624" customFormat="1" ht="22.8" outlineLevel="1" x14ac:dyDescent="0.25">
      <c r="A319" s="639"/>
      <c r="B319" s="1524" t="s">
        <v>3428</v>
      </c>
      <c r="C319" s="1523"/>
      <c r="D319" s="687" t="str">
        <f>IF(LOWER(Setting!rng_language)="english","R-VALUE:","VALEUR R :")</f>
        <v>R-VALUE:</v>
      </c>
      <c r="E319" s="1"/>
      <c r="F319" s="325"/>
      <c r="G319" s="678"/>
      <c r="H319" s="679"/>
      <c r="I319" s="642"/>
      <c r="J319" s="643"/>
      <c r="K319" s="676"/>
      <c r="L319" s="727"/>
      <c r="M319" s="727"/>
      <c r="N319" s="727"/>
      <c r="O319" s="25" t="str">
        <f>_xlfn.IFNA(VLOOKUP($C319,'Master sheet'!$A:$AR,44,FALSE),"")&amp;""</f>
        <v/>
      </c>
      <c r="P319" s="637"/>
      <c r="Q319" s="29" t="s">
        <v>1556</v>
      </c>
      <c r="R319" s="757" t="s">
        <v>1683</v>
      </c>
      <c r="T319" s="638"/>
      <c r="U319" s="638"/>
      <c r="V319" s="638"/>
      <c r="W319" s="638"/>
      <c r="X319" s="638"/>
      <c r="Y319" s="638"/>
      <c r="Z319" s="638"/>
    </row>
    <row r="320" spans="1:26" s="624" customFormat="1" ht="31.5" customHeight="1" outlineLevel="1" x14ac:dyDescent="0.25">
      <c r="A320" s="1601"/>
      <c r="B320" s="1602"/>
      <c r="C320" s="673" t="str">
        <f>INDEX('Master sheet'!$A$1:$A$670,MATCH(184,'Master sheet'!$AN$1:$AN$670,0))</f>
        <v>Spray polyurethane foam - Closed Cell - HFO gas filled / SPFA /  / R 6.6/inch</v>
      </c>
      <c r="D320" s="17">
        <f>'USER INPUT SHEET'!$D$47</f>
        <v>0</v>
      </c>
      <c r="E320" s="18" t="str">
        <f>'USER INPUT SHEET'!$F$32</f>
        <v>m2</v>
      </c>
      <c r="F320" s="4">
        <v>1</v>
      </c>
      <c r="G320" s="674"/>
      <c r="H320" s="9"/>
      <c r="I320" s="95">
        <f>K320-L320</f>
        <v>0</v>
      </c>
      <c r="J320" s="96" t="str">
        <f>IF(H320=1,I320,"")</f>
        <v/>
      </c>
      <c r="K320" s="407">
        <f>$D320*($E$319/5.678)*$F320*VLOOKUP($C320,'Master sheet'!$A:$AL,13,FALSE)</f>
        <v>0</v>
      </c>
      <c r="L320" s="97">
        <f>$D320*($E$319/5.678)*$F320*VLOOKUP($C320,'Master sheet'!$A:$AL,27,FALSE)</f>
        <v>0</v>
      </c>
      <c r="M320" s="1562"/>
      <c r="N320" s="1562"/>
      <c r="O320" s="25" t="str">
        <f ca="1">_xlfn.IFNA(VLOOKUP($C320,'Master sheet'!$A:$AR,44,FALSE),"")&amp;""</f>
        <v/>
      </c>
      <c r="P320" s="685"/>
      <c r="Q320" s="29" t="s">
        <v>1556</v>
      </c>
      <c r="R320" s="757" t="s">
        <v>1683</v>
      </c>
      <c r="T320" s="638"/>
      <c r="U320" s="638"/>
      <c r="V320" s="638"/>
      <c r="W320" s="638"/>
      <c r="X320" s="638"/>
      <c r="Y320" s="638"/>
      <c r="Z320" s="638"/>
    </row>
    <row r="321" spans="1:26" s="624" customFormat="1" ht="31.5" customHeight="1" outlineLevel="1" x14ac:dyDescent="0.25">
      <c r="A321" s="1601"/>
      <c r="B321" s="1602"/>
      <c r="C321" s="673" t="str">
        <f>INDEX('Master sheet'!$A$1:$A$670,MATCH(410,'Master sheet'!$AN$1:$AN$670,0))</f>
        <v xml:space="preserve">Spray polyurethane foam - Closed Cell (HFO) / Huntsman Building Solutions / Heatlok HFO &amp; Heatlok Soya HFO / </v>
      </c>
      <c r="D321" s="17">
        <f>'USER INPUT SHEET'!$D$47</f>
        <v>0</v>
      </c>
      <c r="E321" s="18" t="str">
        <f>'USER INPUT SHEET'!$F$32</f>
        <v>m2</v>
      </c>
      <c r="F321" s="4">
        <v>1</v>
      </c>
      <c r="G321" s="674"/>
      <c r="H321" s="9"/>
      <c r="I321" s="95">
        <f>K321-L321</f>
        <v>0</v>
      </c>
      <c r="J321" s="96" t="str">
        <f>IF(H321=1,I321,"")</f>
        <v/>
      </c>
      <c r="K321" s="407">
        <f>$D321*($E$319/5.678)*$F321*VLOOKUP($C321,'Master sheet'!$A:$AL,13,FALSE)</f>
        <v>0</v>
      </c>
      <c r="L321" s="97">
        <f>$D321*($E$319/5.678)*$F321*VLOOKUP($C321,'Master sheet'!$A:$AL,27,FALSE)</f>
        <v>0</v>
      </c>
      <c r="M321" s="1559"/>
      <c r="N321" s="1559"/>
      <c r="O321" s="25" t="str">
        <f>_xlfn.IFNA(VLOOKUP($C321,'Master sheet'!$A:$AR,44,FALSE),"")&amp;""</f>
        <v>A1-B1</v>
      </c>
      <c r="P321" s="685"/>
      <c r="Q321" s="29" t="s">
        <v>1556</v>
      </c>
      <c r="R321" s="757" t="s">
        <v>1683</v>
      </c>
      <c r="T321" s="638"/>
      <c r="U321" s="638"/>
      <c r="V321" s="638"/>
      <c r="W321" s="638"/>
      <c r="X321" s="638"/>
      <c r="Y321" s="638"/>
      <c r="Z321" s="638"/>
    </row>
    <row r="322" spans="1:26" s="624" customFormat="1" ht="22.8" outlineLevel="1" x14ac:dyDescent="0.25">
      <c r="A322" s="639"/>
      <c r="B322" s="1524" t="s">
        <v>3429</v>
      </c>
      <c r="C322" s="1523"/>
      <c r="D322" s="687" t="str">
        <f>IF(LOWER(Setting!rng_language)="english","R-VALUE:","VALEUR R :")</f>
        <v>R-VALUE:</v>
      </c>
      <c r="E322" s="1"/>
      <c r="F322" s="325"/>
      <c r="G322" s="678"/>
      <c r="H322" s="679"/>
      <c r="I322" s="642"/>
      <c r="J322" s="643"/>
      <c r="K322" s="676"/>
      <c r="L322" s="727"/>
      <c r="M322" s="727"/>
      <c r="N322" s="727"/>
      <c r="O322" s="25" t="str">
        <f>_xlfn.IFNA(VLOOKUP($C322,'Master sheet'!$A:$AR,44,FALSE),"")&amp;""</f>
        <v/>
      </c>
      <c r="P322" s="685"/>
      <c r="Q322" s="29" t="s">
        <v>1556</v>
      </c>
      <c r="R322" s="757" t="s">
        <v>1683</v>
      </c>
      <c r="T322" s="638"/>
      <c r="U322" s="638"/>
      <c r="V322" s="638"/>
      <c r="W322" s="638"/>
      <c r="X322" s="638"/>
      <c r="Y322" s="638"/>
      <c r="Z322" s="638"/>
    </row>
    <row r="323" spans="1:26" s="624" customFormat="1" ht="31.5" customHeight="1" outlineLevel="1" x14ac:dyDescent="0.25">
      <c r="A323" s="729"/>
      <c r="B323" s="729"/>
      <c r="C323" s="673" t="str">
        <f>INDEX('Master sheet'!$A$1:$A$670,MATCH(188,'Master sheet'!$AN$1:$AN$670,0))</f>
        <v>Spray polyurethane foam - Open Cell - HFO gas / SPFA /  / R 4.1/inch</v>
      </c>
      <c r="D323" s="17">
        <f>'USER INPUT SHEET'!$D$47</f>
        <v>0</v>
      </c>
      <c r="E323" s="18" t="str">
        <f>'USER INPUT SHEET'!$F$32</f>
        <v>m2</v>
      </c>
      <c r="F323" s="4">
        <v>1</v>
      </c>
      <c r="G323" s="674"/>
      <c r="H323" s="9"/>
      <c r="I323" s="95">
        <f>K323-L323</f>
        <v>0</v>
      </c>
      <c r="J323" s="96" t="str">
        <f>IF(H323=1,I323,"")</f>
        <v/>
      </c>
      <c r="K323" s="407">
        <f>$D323*($E$322/5.678)*$F323*VLOOKUP($C323,'Master sheet'!$A:$AL,13,FALSE)</f>
        <v>0</v>
      </c>
      <c r="L323" s="97">
        <f>$D323*($E$322/5.678)*$F323*VLOOKUP($C323,'Master sheet'!$A:$AL,27,FALSE)</f>
        <v>0</v>
      </c>
      <c r="M323" s="1610"/>
      <c r="N323" s="1610"/>
      <c r="O323" s="25" t="str">
        <f ca="1">_xlfn.IFNA(VLOOKUP($C323,'Master sheet'!$A:$AR,44,FALSE),"")&amp;""</f>
        <v/>
      </c>
      <c r="P323" s="637"/>
      <c r="Q323" s="29" t="s">
        <v>1556</v>
      </c>
      <c r="R323" s="757" t="s">
        <v>1683</v>
      </c>
      <c r="T323" s="638"/>
      <c r="U323" s="638"/>
      <c r="V323" s="638"/>
      <c r="W323" s="638"/>
      <c r="X323" s="638"/>
      <c r="Y323" s="638"/>
      <c r="Z323" s="638"/>
    </row>
    <row r="324" spans="1:26" s="624" customFormat="1" ht="22.8" outlineLevel="1" x14ac:dyDescent="0.25">
      <c r="A324" s="639"/>
      <c r="B324" s="1524" t="s">
        <v>1042</v>
      </c>
      <c r="C324" s="1523"/>
      <c r="D324" s="687" t="str">
        <f>IF(LOWER(Setting!rng_language)="english","R-VALUE:","VALEUR R :")</f>
        <v>R-VALUE:</v>
      </c>
      <c r="E324" s="1"/>
      <c r="F324" s="325"/>
      <c r="G324" s="678"/>
      <c r="H324" s="679"/>
      <c r="I324" s="642"/>
      <c r="J324" s="643"/>
      <c r="K324" s="676"/>
      <c r="L324" s="727"/>
      <c r="M324" s="727"/>
      <c r="N324" s="727"/>
      <c r="O324" s="25" t="str">
        <f>_xlfn.IFNA(VLOOKUP($C324,'Master sheet'!$A:$AR,44,FALSE),"")&amp;""</f>
        <v/>
      </c>
      <c r="P324" s="685"/>
      <c r="Q324" s="29" t="s">
        <v>1556</v>
      </c>
      <c r="R324" s="757" t="s">
        <v>1683</v>
      </c>
      <c r="T324" s="638"/>
      <c r="U324" s="638"/>
      <c r="V324" s="638"/>
      <c r="W324" s="638"/>
      <c r="X324" s="638"/>
      <c r="Y324" s="638"/>
      <c r="Z324" s="638"/>
    </row>
    <row r="325" spans="1:26" ht="22.8" outlineLevel="1" x14ac:dyDescent="0.25">
      <c r="A325" s="729"/>
      <c r="B325" s="729"/>
      <c r="C325" s="691" t="s">
        <v>1364</v>
      </c>
      <c r="D325" s="19">
        <f>'USER INPUT SHEET'!$D$47</f>
        <v>0</v>
      </c>
      <c r="E325" s="20" t="str">
        <f>'USER INPUT SHEET'!$F$32</f>
        <v>m2</v>
      </c>
      <c r="F325" s="6">
        <v>1</v>
      </c>
      <c r="G325" s="692"/>
      <c r="H325" s="10"/>
      <c r="I325" s="98">
        <f>K325-L325</f>
        <v>0</v>
      </c>
      <c r="J325" s="91" t="str">
        <f>IF(H325=1,I325,"")</f>
        <v/>
      </c>
      <c r="K325" s="410">
        <f>F325*AVERAGE(K326:K327)</f>
        <v>0</v>
      </c>
      <c r="L325" s="99">
        <f>F325*AVERAGE(L326:L327)</f>
        <v>0</v>
      </c>
      <c r="M325" s="1552"/>
      <c r="N325" s="1552"/>
      <c r="O325" s="25" t="str">
        <f>_xlfn.IFNA(VLOOKUP($C325,'Master sheet'!$A:$AR,44,FALSE),"")&amp;""</f>
        <v/>
      </c>
      <c r="P325" s="685"/>
      <c r="Q325" s="29" t="s">
        <v>1556</v>
      </c>
      <c r="R325" s="757" t="s">
        <v>1683</v>
      </c>
      <c r="S325" s="664"/>
      <c r="T325" s="664"/>
      <c r="U325" s="664"/>
      <c r="V325" s="664"/>
      <c r="W325" s="664"/>
      <c r="X325" s="664"/>
      <c r="Y325" s="664"/>
      <c r="Z325" s="664"/>
    </row>
    <row r="326" spans="1:26" ht="31.5" customHeight="1" outlineLevel="1" x14ac:dyDescent="0.25">
      <c r="A326" s="1600"/>
      <c r="B326" s="1564"/>
      <c r="C326" s="669" t="str">
        <f>INDEX('Master sheet'!$A$1:$A$670,MATCH(124,'Master sheet'!$AN$1:$AN$670,0))</f>
        <v>Hempcrete / Cast in-situ / Site mixed / USA / R 2.1/inch, Avg. mix using NHL &amp; PHL</v>
      </c>
      <c r="D326" s="15">
        <f>'USER INPUT SHEET'!$D$47</f>
        <v>0</v>
      </c>
      <c r="E326" s="16" t="str">
        <f>'USER INPUT SHEET'!$F$32</f>
        <v>m2</v>
      </c>
      <c r="F326" s="3">
        <v>1</v>
      </c>
      <c r="G326" s="670"/>
      <c r="H326" s="8"/>
      <c r="I326" s="92">
        <f t="shared" ref="I326:I327" si="118">K326-L326</f>
        <v>0</v>
      </c>
      <c r="J326" s="93" t="str">
        <f t="shared" ref="J326:J327" si="119">IF(H326=1,I326,"")</f>
        <v/>
      </c>
      <c r="K326" s="406">
        <f>$D326*($E$324/5.678)*$F326*VLOOKUP($C326,'Master sheet'!$A:$AL,13,FALSE)</f>
        <v>0</v>
      </c>
      <c r="L326" s="94">
        <f>$D326*($E$324/5.678)*$F326*VLOOKUP($C326,'Master sheet'!$A:$AL,27,FALSE)</f>
        <v>0</v>
      </c>
      <c r="M326" s="1552"/>
      <c r="N326" s="1552"/>
      <c r="O326" s="25" t="str">
        <f>_xlfn.IFNA(VLOOKUP($C326,'Master sheet'!$A:$AR,44,FALSE),"")&amp;""</f>
        <v>Peer-reviewed LCA, 2020</v>
      </c>
      <c r="P326" s="637"/>
      <c r="Q326" s="29" t="s">
        <v>1556</v>
      </c>
      <c r="R326" s="757" t="s">
        <v>1683</v>
      </c>
      <c r="T326" s="664"/>
      <c r="U326" s="664"/>
      <c r="V326" s="664"/>
      <c r="W326" s="664"/>
      <c r="X326" s="664"/>
      <c r="Y326" s="664"/>
      <c r="Z326" s="664"/>
    </row>
    <row r="327" spans="1:26" ht="31.2" outlineLevel="1" x14ac:dyDescent="0.25">
      <c r="A327" s="1564"/>
      <c r="B327" s="1564"/>
      <c r="C327" s="669" t="str">
        <f>INDEX('Master sheet'!$A$1:$A$670,MATCH(123,'Master sheet'!$AN$1:$AN$670,0))</f>
        <v>Hempcrete / Cast in-situ / Site mixed / Europe / R 2.1/inch, Avg. of 9 mixes</v>
      </c>
      <c r="D327" s="15">
        <f>'USER INPUT SHEET'!$D$47</f>
        <v>0</v>
      </c>
      <c r="E327" s="16" t="str">
        <f>'USER INPUT SHEET'!$F$32</f>
        <v>m2</v>
      </c>
      <c r="F327" s="3">
        <v>1</v>
      </c>
      <c r="G327" s="670"/>
      <c r="H327" s="8"/>
      <c r="I327" s="92">
        <f t="shared" si="118"/>
        <v>0</v>
      </c>
      <c r="J327" s="93" t="str">
        <f t="shared" si="119"/>
        <v/>
      </c>
      <c r="K327" s="406">
        <f>$D327*($E$324/5.678)*$F327*VLOOKUP($C327,'Master sheet'!$A:$AL,13,FALSE)</f>
        <v>0</v>
      </c>
      <c r="L327" s="94">
        <f>$D327*($E$324/5.678)*$F327*VLOOKUP($C327,'Master sheet'!$A:$AL,27,FALSE)</f>
        <v>0</v>
      </c>
      <c r="M327" s="1552"/>
      <c r="N327" s="1552"/>
      <c r="O327" s="25" t="str">
        <f>_xlfn.IFNA(VLOOKUP($C327,'Master sheet'!$A:$AR,44,FALSE),"")&amp;""</f>
        <v>Peer-reviewed LCA, 2017</v>
      </c>
      <c r="P327" s="637"/>
      <c r="Q327" s="29" t="s">
        <v>1556</v>
      </c>
      <c r="R327" s="757" t="s">
        <v>1683</v>
      </c>
      <c r="T327" s="664"/>
      <c r="U327" s="664"/>
      <c r="V327" s="664"/>
      <c r="W327" s="664"/>
      <c r="X327" s="664"/>
      <c r="Y327" s="664"/>
      <c r="Z327" s="664"/>
    </row>
    <row r="328" spans="1:26" s="624" customFormat="1" ht="40.200000000000003" customHeight="1" outlineLevel="1" x14ac:dyDescent="0.25">
      <c r="A328" s="865" t="s">
        <v>1577</v>
      </c>
      <c r="B328" s="866"/>
      <c r="C328" s="867"/>
      <c r="D328" s="286"/>
      <c r="E328" s="290"/>
      <c r="F328" s="342"/>
      <c r="G328" s="868"/>
      <c r="H328" s="869"/>
      <c r="I328" s="287"/>
      <c r="J328" s="287"/>
      <c r="K328" s="421"/>
      <c r="L328" s="289"/>
      <c r="M328" s="289"/>
      <c r="N328" s="289"/>
      <c r="O328" s="25" t="str">
        <f>_xlfn.IFNA(VLOOKUP($C328,'Master sheet'!$A:$AR,44,FALSE),"")&amp;""</f>
        <v/>
      </c>
      <c r="P328" s="637"/>
      <c r="Q328" s="29"/>
      <c r="R328" s="28"/>
      <c r="S328" s="638"/>
      <c r="T328" s="638"/>
      <c r="U328" s="638"/>
      <c r="V328" s="638"/>
      <c r="W328" s="638"/>
      <c r="X328" s="638"/>
      <c r="Y328" s="638"/>
      <c r="Z328" s="638"/>
    </row>
    <row r="329" spans="1:26" s="624" customFormat="1" ht="54.75" customHeight="1" outlineLevel="1" x14ac:dyDescent="0.25">
      <c r="A329" s="1522" t="s">
        <v>66</v>
      </c>
      <c r="B329" s="1523"/>
      <c r="C329" s="1523"/>
      <c r="D329" s="649"/>
      <c r="E329" s="650"/>
      <c r="F329" s="321"/>
      <c r="G329" s="650"/>
      <c r="H329" s="650"/>
      <c r="I329" s="651"/>
      <c r="J329" s="651"/>
      <c r="K329" s="652"/>
      <c r="L329" s="759"/>
      <c r="M329" s="759"/>
      <c r="N329" s="759"/>
      <c r="O329" s="25" t="str">
        <f>_xlfn.IFNA(VLOOKUP($C329,'Master sheet'!$A:$AR,44,FALSE),"")&amp;""</f>
        <v/>
      </c>
      <c r="P329" s="637"/>
      <c r="Q329" s="29"/>
      <c r="R329" s="638"/>
      <c r="S329" s="638"/>
      <c r="T329" s="638"/>
      <c r="U329" s="638"/>
      <c r="V329" s="638"/>
      <c r="W329" s="638"/>
      <c r="X329" s="638"/>
      <c r="Y329" s="638"/>
      <c r="Z329" s="638"/>
    </row>
    <row r="330" spans="1:26" s="624" customFormat="1" ht="23.25" customHeight="1" outlineLevel="1" x14ac:dyDescent="0.25">
      <c r="A330" s="639"/>
      <c r="B330" s="1524" t="s">
        <v>1045</v>
      </c>
      <c r="C330" s="1523"/>
      <c r="D330" s="640"/>
      <c r="E330" s="641"/>
      <c r="F330" s="340"/>
      <c r="G330" s="739"/>
      <c r="H330" s="821"/>
      <c r="I330" s="642"/>
      <c r="J330" s="643"/>
      <c r="K330" s="676"/>
      <c r="L330" s="677"/>
      <c r="M330" s="677"/>
      <c r="N330" s="677"/>
      <c r="O330" s="25" t="str">
        <f>_xlfn.IFNA(VLOOKUP($C330,'Master sheet'!$A:$AR,44,FALSE),"")&amp;""</f>
        <v/>
      </c>
      <c r="P330" s="637"/>
      <c r="Q330" s="29"/>
      <c r="R330" s="638"/>
      <c r="S330" s="638"/>
      <c r="T330" s="638"/>
      <c r="U330" s="638"/>
      <c r="V330" s="638"/>
      <c r="W330" s="638"/>
      <c r="X330" s="638"/>
      <c r="Y330" s="638"/>
      <c r="Z330" s="638"/>
    </row>
    <row r="331" spans="1:26" s="624" customFormat="1" ht="47.25" customHeight="1" outlineLevel="1" x14ac:dyDescent="0.25">
      <c r="A331" s="1600"/>
      <c r="B331" s="1600"/>
      <c r="C331" s="647" t="str">
        <f>INDEX('Master sheet'!$A$1:$A$670,MATCH(23,'Master sheet'!$AN$1:$AN$670,0))</f>
        <v>Brick, Clay, Generic Modular / Brick Industry Association / US-Canada Industry Average / 3-5/8" x 2-3/4" x 7-5/8" incl. 3/8" mortar</v>
      </c>
      <c r="D331" s="13">
        <f>'USER INPUT SHEET'!$D$52</f>
        <v>0</v>
      </c>
      <c r="E331" s="14" t="str">
        <f>'USER INPUT SHEET'!$F$52</f>
        <v>m2</v>
      </c>
      <c r="F331" s="2">
        <v>1</v>
      </c>
      <c r="G331" s="648"/>
      <c r="H331" s="7"/>
      <c r="I331" s="88">
        <f t="shared" ref="I331:I337" si="120">K331-L331</f>
        <v>0</v>
      </c>
      <c r="J331" s="89" t="str">
        <f t="shared" ref="J331:J337" si="121">IF(H331=1,I331,"")</f>
        <v/>
      </c>
      <c r="K331" s="404">
        <f>$D331*$F331*VLOOKUP($C331,'Master sheet'!$A:$AL,13,FALSE)</f>
        <v>0</v>
      </c>
      <c r="L331" s="90">
        <f>$D331*$F331*VLOOKUP($C331,'Master sheet'!$A:$AL,27,FALSE)</f>
        <v>0</v>
      </c>
      <c r="M331" s="1552"/>
      <c r="N331" s="1552"/>
      <c r="O331" s="25" t="str">
        <f ca="1">_xlfn.IFNA(VLOOKUP($C331,'Master sheet'!$A:$AR,44,FALSE),"")&amp;""</f>
        <v>Expired 2025</v>
      </c>
      <c r="P331" s="637"/>
      <c r="Q331" s="29" t="s">
        <v>1556</v>
      </c>
      <c r="R331" s="638" t="s">
        <v>1596</v>
      </c>
      <c r="S331" s="638"/>
      <c r="T331" s="638"/>
      <c r="U331" s="638"/>
      <c r="V331" s="638"/>
      <c r="W331" s="638"/>
      <c r="X331" s="638"/>
      <c r="Y331" s="638"/>
      <c r="Z331" s="638"/>
    </row>
    <row r="332" spans="1:26" ht="31.5" customHeight="1" outlineLevel="1" x14ac:dyDescent="0.25">
      <c r="A332" s="1600"/>
      <c r="B332" s="1600"/>
      <c r="C332" s="669" t="str">
        <f>INDEX('Master sheet'!$A$1:$A$670,MATCH(21,'Master sheet'!$AN$1:$AN$670,0))</f>
        <v>Brick, Clay / Interstate / Avg Face Brick / 3-5/8" x 2-3/4" x 7-5/8" (92 x 70 x 194 mm) incl. 3/8" mortar</v>
      </c>
      <c r="D332" s="15">
        <f>'USER INPUT SHEET'!$D$52</f>
        <v>0</v>
      </c>
      <c r="E332" s="16" t="str">
        <f>'USER INPUT SHEET'!$F$52</f>
        <v>m2</v>
      </c>
      <c r="F332" s="3">
        <v>1</v>
      </c>
      <c r="G332" s="670"/>
      <c r="H332" s="8"/>
      <c r="I332" s="92">
        <f t="shared" si="120"/>
        <v>0</v>
      </c>
      <c r="J332" s="93" t="str">
        <f t="shared" si="121"/>
        <v/>
      </c>
      <c r="K332" s="406">
        <f>$D332*$F332*VLOOKUP($C332,'Master sheet'!$A:$AL,13,FALSE)</f>
        <v>0</v>
      </c>
      <c r="L332" s="94">
        <f>$D332*$F332*VLOOKUP($C332,'Master sheet'!$A:$AL,27,FALSE)</f>
        <v>0</v>
      </c>
      <c r="M332" s="1552"/>
      <c r="N332" s="1552"/>
      <c r="O332" s="25" t="str">
        <f ca="1">_xlfn.IFNA(VLOOKUP($C332,'Master sheet'!$A:$AR,44,FALSE),"")&amp;""</f>
        <v>Expired 2025</v>
      </c>
      <c r="P332" s="685"/>
      <c r="Q332" s="29" t="s">
        <v>1556</v>
      </c>
      <c r="R332" s="638" t="s">
        <v>1596</v>
      </c>
      <c r="S332" s="664"/>
      <c r="T332" s="664"/>
      <c r="U332" s="664"/>
      <c r="V332" s="664"/>
      <c r="W332" s="664"/>
      <c r="X332" s="664"/>
      <c r="Y332" s="664"/>
      <c r="Z332" s="664"/>
    </row>
    <row r="333" spans="1:26" ht="31.5" customHeight="1" outlineLevel="1" x14ac:dyDescent="0.25">
      <c r="A333" s="1600"/>
      <c r="B333" s="1600"/>
      <c r="C333" s="673" t="str">
        <f>INDEX('Master sheet'!$A$1:$A$670,MATCH(22,'Master sheet'!$AN$1:$AN$670,0))</f>
        <v>Brick, Clay / Interstate / Avg Thin Face Brick / 3-9/16" x 5/8" x 11-5/8" (90 x 16 mm x 295) incl. 3/8" mortar</v>
      </c>
      <c r="D333" s="15">
        <f>'USER INPUT SHEET'!$D$52</f>
        <v>0</v>
      </c>
      <c r="E333" s="16" t="str">
        <f>'USER INPUT SHEET'!$F$52</f>
        <v>m2</v>
      </c>
      <c r="F333" s="3">
        <v>1</v>
      </c>
      <c r="G333" s="670"/>
      <c r="H333" s="8"/>
      <c r="I333" s="92">
        <f t="shared" si="120"/>
        <v>0</v>
      </c>
      <c r="J333" s="93" t="str">
        <f t="shared" si="121"/>
        <v/>
      </c>
      <c r="K333" s="406">
        <f>$D333*$F333*VLOOKUP($C333,'Master sheet'!$A:$AL,13,FALSE)</f>
        <v>0</v>
      </c>
      <c r="L333" s="94">
        <f>$D333*$F333*VLOOKUP($C333,'Master sheet'!$A:$AL,27,FALSE)</f>
        <v>0</v>
      </c>
      <c r="M333" s="1552"/>
      <c r="N333" s="1552"/>
      <c r="O333" s="25" t="str">
        <f ca="1">_xlfn.IFNA(VLOOKUP($C333,'Master sheet'!$A:$AR,44,FALSE),"")&amp;""</f>
        <v>Expired 2025</v>
      </c>
      <c r="P333" s="685"/>
      <c r="Q333" s="29" t="s">
        <v>1556</v>
      </c>
      <c r="R333" s="638" t="s">
        <v>1596</v>
      </c>
      <c r="S333" s="664"/>
      <c r="T333" s="664"/>
      <c r="U333" s="664"/>
      <c r="V333" s="664"/>
      <c r="W333" s="664"/>
      <c r="X333" s="664"/>
      <c r="Y333" s="664"/>
      <c r="Z333" s="664"/>
    </row>
    <row r="334" spans="1:26" ht="31.5" customHeight="1" outlineLevel="1" x14ac:dyDescent="0.25">
      <c r="A334" s="1600"/>
      <c r="B334" s="1600"/>
      <c r="C334" s="673" t="str">
        <f>INDEX('Master sheet'!$A$1:$A$670,MATCH(388,'Master sheet'!$AN$1:$AN$670,0))</f>
        <v>Brick, Clay / SHAW / Slender - Thin Face Brick / 2 1/4" x 1/2" x 7-1/2" (57 x 12.7 mm x 190) incl. 3/8" mortar</v>
      </c>
      <c r="D334" s="15">
        <f>'USER INPUT SHEET'!$D$52</f>
        <v>0</v>
      </c>
      <c r="E334" s="16" t="str">
        <f>'USER INPUT SHEET'!$F$52</f>
        <v>m2</v>
      </c>
      <c r="F334" s="3">
        <v>1</v>
      </c>
      <c r="G334" s="670"/>
      <c r="H334" s="8"/>
      <c r="I334" s="92">
        <f t="shared" si="120"/>
        <v>0</v>
      </c>
      <c r="J334" s="93" t="str">
        <f t="shared" si="121"/>
        <v/>
      </c>
      <c r="K334" s="406">
        <f>$D334*$F334*VLOOKUP($C334,'Master sheet'!$A:$AL,13,FALSE)</f>
        <v>0</v>
      </c>
      <c r="L334" s="94">
        <f>$D334*$F334*VLOOKUP($C334,'Master sheet'!$A:$AL,27,FALSE)</f>
        <v>0</v>
      </c>
      <c r="M334" s="1552"/>
      <c r="N334" s="1552"/>
      <c r="O334" s="25" t="str">
        <f ca="1">_xlfn.IFNA(VLOOKUP($C334,'Master sheet'!$A:$AR,44,FALSE),"")&amp;""</f>
        <v/>
      </c>
      <c r="P334" s="685"/>
      <c r="Q334" s="29" t="s">
        <v>1556</v>
      </c>
      <c r="R334" s="638" t="s">
        <v>1596</v>
      </c>
      <c r="S334" s="664"/>
      <c r="T334" s="664"/>
      <c r="U334" s="664"/>
      <c r="V334" s="664"/>
      <c r="W334" s="664"/>
      <c r="X334" s="664"/>
      <c r="Y334" s="664"/>
      <c r="Z334" s="664"/>
    </row>
    <row r="335" spans="1:26" ht="31.5" customHeight="1" outlineLevel="1" x14ac:dyDescent="0.25">
      <c r="A335" s="1600"/>
      <c r="B335" s="1600"/>
      <c r="C335" s="673" t="str">
        <f>INDEX('Master sheet'!$A$1:$A$670,MATCH(389,'Master sheet'!$AN$1:$AN$670,0))</f>
        <v>Brick, Clay / SHAW / Avg Face Brick / 3-5/8" x 2-3/4" x 7-5/8" (92 x 70 x 194 mm) incl. 3/8" mortar</v>
      </c>
      <c r="D335" s="17">
        <f>'USER INPUT SHEET'!$D$52</f>
        <v>0</v>
      </c>
      <c r="E335" s="18" t="str">
        <f>'USER INPUT SHEET'!$F$52</f>
        <v>m2</v>
      </c>
      <c r="F335" s="4">
        <v>1</v>
      </c>
      <c r="G335" s="674"/>
      <c r="H335" s="9"/>
      <c r="I335" s="95">
        <f t="shared" ref="I335:I336" si="122">K335-L335</f>
        <v>0</v>
      </c>
      <c r="J335" s="96" t="str">
        <f t="shared" ref="J335:J336" si="123">IF(H335=1,I335,"")</f>
        <v/>
      </c>
      <c r="K335" s="407">
        <f>$D335*$F335*VLOOKUP($C335,'Master sheet'!$A:$AL,13,FALSE)</f>
        <v>0</v>
      </c>
      <c r="L335" s="97">
        <f>$D335*$F335*VLOOKUP($C335,'Master sheet'!$A:$AL,27,FALSE)</f>
        <v>0</v>
      </c>
      <c r="M335" s="1552"/>
      <c r="N335" s="1552"/>
      <c r="O335" s="25" t="str">
        <f ca="1">_xlfn.IFNA(VLOOKUP($C335,'Master sheet'!$A:$AR,44,FALSE),"")&amp;""</f>
        <v/>
      </c>
      <c r="P335" s="685"/>
      <c r="Q335" s="29" t="s">
        <v>1556</v>
      </c>
      <c r="R335" s="638" t="s">
        <v>1596</v>
      </c>
      <c r="S335" s="664"/>
      <c r="T335" s="664"/>
      <c r="U335" s="664"/>
      <c r="V335" s="664"/>
      <c r="W335" s="664"/>
      <c r="X335" s="664"/>
      <c r="Y335" s="664"/>
      <c r="Z335" s="664"/>
    </row>
    <row r="336" spans="1:26" ht="31.5" customHeight="1" outlineLevel="1" x14ac:dyDescent="0.25">
      <c r="A336" s="1600"/>
      <c r="B336" s="1600"/>
      <c r="C336" s="673" t="str">
        <f>INDEX('Master sheet'!$A$1:$A$670,MATCH("A11",'Master sheet'!$AN$1:$AN$670,0))</f>
        <v>Brick, Clay / Mutual Materials / Avg Face Brick (plant Avg) / 3-5/8" x 2-3/4" x 7-5/8" (92 x 70 x 194 mm) incl. 3/8" mortar</v>
      </c>
      <c r="D336" s="17">
        <f>'USER INPUT SHEET'!$D$52</f>
        <v>0</v>
      </c>
      <c r="E336" s="18" t="str">
        <f>'USER INPUT SHEET'!$F$52</f>
        <v>m2</v>
      </c>
      <c r="F336" s="4">
        <v>1</v>
      </c>
      <c r="G336" s="674"/>
      <c r="H336" s="9"/>
      <c r="I336" s="95">
        <f t="shared" si="122"/>
        <v>0</v>
      </c>
      <c r="J336" s="96" t="str">
        <f t="shared" si="123"/>
        <v/>
      </c>
      <c r="K336" s="407">
        <f>$D336*$F336*VLOOKUP($C336,'Master sheet'!$A:$AL,13,FALSE)</f>
        <v>0</v>
      </c>
      <c r="L336" s="97">
        <f>$D336*$F336*VLOOKUP($C336,'Master sheet'!$A:$AL,27,FALSE)</f>
        <v>0</v>
      </c>
      <c r="M336" s="1552"/>
      <c r="N336" s="1552"/>
      <c r="O336" s="25" t="str">
        <f>_xlfn.IFNA(VLOOKUP($C336,'Master sheet'!$A:$AR,44,FALSE),"")&amp;""</f>
        <v/>
      </c>
      <c r="P336" s="685"/>
      <c r="Q336" s="29" t="s">
        <v>1556</v>
      </c>
      <c r="R336" s="638" t="s">
        <v>1596</v>
      </c>
      <c r="S336" s="664"/>
      <c r="T336" s="664"/>
      <c r="U336" s="664"/>
      <c r="V336" s="664"/>
      <c r="W336" s="664"/>
      <c r="X336" s="664"/>
      <c r="Y336" s="664"/>
      <c r="Z336" s="664"/>
    </row>
    <row r="337" spans="1:26" s="624" customFormat="1" ht="31.5" customHeight="1" outlineLevel="1" x14ac:dyDescent="0.25">
      <c r="A337" s="1600"/>
      <c r="B337" s="1600"/>
      <c r="C337" s="673" t="str">
        <f>INDEX('Master sheet'!$A$1:$A$670,MATCH("A12",'Master sheet'!$AN$1:$AN$670,0))</f>
        <v>Brick, Clay / Mutual Materials / Avg Thin Face Brick, Columbia Plant / 2-1/2" x 5/8" x 7-1/2" (64 x 16 x 190 mm) incl. 3/8" mortar</v>
      </c>
      <c r="D337" s="17">
        <f>'USER INPUT SHEET'!$D$52</f>
        <v>0</v>
      </c>
      <c r="E337" s="18" t="str">
        <f>'USER INPUT SHEET'!$F$52</f>
        <v>m2</v>
      </c>
      <c r="F337" s="4">
        <v>1</v>
      </c>
      <c r="G337" s="674"/>
      <c r="H337" s="9"/>
      <c r="I337" s="95">
        <f t="shared" si="120"/>
        <v>0</v>
      </c>
      <c r="J337" s="96" t="str">
        <f t="shared" si="121"/>
        <v/>
      </c>
      <c r="K337" s="407">
        <f>$D337*$F337*VLOOKUP($C337,'Master sheet'!$A:$AL,13,FALSE)</f>
        <v>0</v>
      </c>
      <c r="L337" s="97">
        <f>$D337*$F337*VLOOKUP($C337,'Master sheet'!$A:$AL,27,FALSE)</f>
        <v>0</v>
      </c>
      <c r="M337" s="1559"/>
      <c r="N337" s="1559"/>
      <c r="O337" s="25" t="str">
        <f>_xlfn.IFNA(VLOOKUP($C337,'Master sheet'!$A:$AR,44,FALSE),"")&amp;""</f>
        <v/>
      </c>
      <c r="P337" s="637"/>
      <c r="Q337" s="29" t="s">
        <v>1556</v>
      </c>
      <c r="R337" s="638" t="s">
        <v>1596</v>
      </c>
      <c r="S337" s="638"/>
      <c r="T337" s="638"/>
      <c r="U337" s="638"/>
      <c r="V337" s="638"/>
      <c r="W337" s="638"/>
      <c r="X337" s="638"/>
      <c r="Y337" s="638"/>
      <c r="Z337" s="638"/>
    </row>
    <row r="338" spans="1:26" s="624" customFormat="1" ht="23.25" customHeight="1" outlineLevel="1" x14ac:dyDescent="0.25">
      <c r="A338" s="639"/>
      <c r="B338" s="1524" t="s">
        <v>67</v>
      </c>
      <c r="C338" s="1523"/>
      <c r="D338" s="640"/>
      <c r="E338" s="641"/>
      <c r="F338" s="340"/>
      <c r="G338" s="739"/>
      <c r="H338" s="821"/>
      <c r="I338" s="642"/>
      <c r="J338" s="643"/>
      <c r="K338" s="676"/>
      <c r="L338" s="677"/>
      <c r="M338" s="677"/>
      <c r="N338" s="677"/>
      <c r="O338" s="25" t="str">
        <f>_xlfn.IFNA(VLOOKUP($C338,'Master sheet'!$A:$AR,44,FALSE),"")&amp;""</f>
        <v/>
      </c>
      <c r="P338" s="655"/>
      <c r="Q338" s="29" t="s">
        <v>1556</v>
      </c>
      <c r="R338" s="638"/>
      <c r="S338" s="638"/>
      <c r="T338" s="638"/>
      <c r="U338" s="638"/>
      <c r="V338" s="638"/>
      <c r="W338" s="638"/>
      <c r="X338" s="638"/>
      <c r="Y338" s="638"/>
      <c r="Z338" s="638"/>
    </row>
    <row r="339" spans="1:26" s="624" customFormat="1" ht="31.5" customHeight="1" outlineLevel="1" x14ac:dyDescent="0.25">
      <c r="A339" s="823"/>
      <c r="B339" s="824" t="s">
        <v>937</v>
      </c>
      <c r="C339" s="647" t="str">
        <f>INDEX('Master sheet'!$A$1:$A$670,MATCH(31,'Master sheet'!$AN$1:$AN$670,0))</f>
        <v>Cedar Siding / Western Red Cedar Lumber Assn /  / 1 x 6 Boards</v>
      </c>
      <c r="D339" s="13">
        <f>'USER INPUT SHEET'!$D$52</f>
        <v>0</v>
      </c>
      <c r="E339" s="14" t="str">
        <f>'USER INPUT SHEET'!$F$52</f>
        <v>m2</v>
      </c>
      <c r="F339" s="2">
        <v>1</v>
      </c>
      <c r="G339" s="648"/>
      <c r="H339" s="7"/>
      <c r="I339" s="88">
        <f t="shared" ref="I339:I340" si="124">K339-L339-IF(N339,M339,0)</f>
        <v>0</v>
      </c>
      <c r="J339" s="89" t="str">
        <f>IF(H339=1,I339,"")</f>
        <v/>
      </c>
      <c r="K339" s="404">
        <f>$D339*$F339*VLOOKUP($C339,'Master sheet'!$A:$AL,13,FALSE)</f>
        <v>0</v>
      </c>
      <c r="L339" s="90">
        <f>$D339*$F339*VLOOKUP($C339,'Master sheet'!$A:$AL,27,FALSE)</f>
        <v>0</v>
      </c>
      <c r="M339" s="1552"/>
      <c r="N339" s="1552"/>
      <c r="O339" s="25" t="str">
        <f ca="1">_xlfn.IFNA(VLOOKUP($C339,'Master sheet'!$A:$AR,44,FALSE),"")&amp;""</f>
        <v>Expired 2021</v>
      </c>
      <c r="P339" s="663"/>
      <c r="Q339" s="29" t="s">
        <v>1556</v>
      </c>
      <c r="R339" s="638" t="s">
        <v>1596</v>
      </c>
      <c r="S339" s="638"/>
      <c r="T339" s="638" t="s">
        <v>7295</v>
      </c>
      <c r="U339" s="638"/>
      <c r="V339" s="638"/>
      <c r="W339" s="638"/>
      <c r="X339" s="638"/>
      <c r="Y339" s="638"/>
      <c r="Z339" s="638"/>
    </row>
    <row r="340" spans="1:26" s="624" customFormat="1" ht="22.8" outlineLevel="1" x14ac:dyDescent="0.25">
      <c r="A340" s="823"/>
      <c r="B340" s="824" t="s">
        <v>937</v>
      </c>
      <c r="C340" s="669" t="str">
        <f>INDEX('Master sheet'!$A$1:$A$670,MATCH("248-1",'Master sheet'!$AN$1:$AN$670,0))</f>
        <v xml:space="preserve">Wood - SPF / Canadian Wood Council / British Columbia / </v>
      </c>
      <c r="D340" s="15">
        <f>'USER INPUT SHEET'!$D$52</f>
        <v>0</v>
      </c>
      <c r="E340" s="16" t="str">
        <f>'USER INPUT SHEET'!$F$52</f>
        <v>m2</v>
      </c>
      <c r="F340" s="3">
        <v>1</v>
      </c>
      <c r="G340" s="670"/>
      <c r="H340" s="8"/>
      <c r="I340" s="92">
        <f t="shared" si="124"/>
        <v>0</v>
      </c>
      <c r="J340" s="93" t="str">
        <f>IF(H340=1,I340,"")</f>
        <v/>
      </c>
      <c r="K340" s="406">
        <f>$D340*$F340*VLOOKUP($C340,'Master sheet'!$A:$AL,13,FALSE)*0.01905</f>
        <v>0</v>
      </c>
      <c r="L340" s="94">
        <f>$D340*$F340*VLOOKUP($C340,'Master sheet'!$A:$AL,27,FALSE)*0.01905</f>
        <v>0</v>
      </c>
      <c r="M340" s="1552"/>
      <c r="N340" s="1552"/>
      <c r="O340" s="25" t="str">
        <f>_xlfn.IFNA(VLOOKUP($C340,'Master sheet'!$A:$AR,44,FALSE),"")&amp;""</f>
        <v/>
      </c>
      <c r="P340" s="663"/>
      <c r="Q340" s="29" t="s">
        <v>1556</v>
      </c>
      <c r="R340" s="638" t="s">
        <v>1596</v>
      </c>
      <c r="S340" s="638" t="s">
        <v>937</v>
      </c>
      <c r="T340" s="638"/>
      <c r="U340" s="638"/>
      <c r="V340" s="638"/>
      <c r="W340" s="638"/>
      <c r="X340" s="638"/>
      <c r="Y340" s="638"/>
      <c r="Z340" s="638"/>
    </row>
    <row r="341" spans="1:26" s="624" customFormat="1" ht="22.8" outlineLevel="1" x14ac:dyDescent="0.25">
      <c r="A341" s="823"/>
      <c r="B341" s="824" t="s">
        <v>937</v>
      </c>
      <c r="C341" s="669" t="str">
        <f>INDEX('Master sheet'!$A$1:$A$670,MATCH("248-2",'Master sheet'!$AN$1:$AN$670,0))</f>
        <v xml:space="preserve">Wood - SPF / Canadian Wood Council / Alberta / </v>
      </c>
      <c r="D341" s="15">
        <f>'USER INPUT SHEET'!$D$52</f>
        <v>0</v>
      </c>
      <c r="E341" s="16" t="str">
        <f>'USER INPUT SHEET'!$F$52</f>
        <v>m2</v>
      </c>
      <c r="F341" s="3">
        <v>1</v>
      </c>
      <c r="G341" s="670"/>
      <c r="H341" s="8"/>
      <c r="I341" s="92">
        <f t="shared" ref="I341:I345" si="125">K341-L341-IF(N341,M341,0)</f>
        <v>0</v>
      </c>
      <c r="J341" s="93" t="str">
        <f t="shared" ref="J341:J345" si="126">IF(H341=1,I341,"")</f>
        <v/>
      </c>
      <c r="K341" s="406">
        <f>$D341*$F341*VLOOKUP($C341,'Master sheet'!$A:$AL,13,FALSE)*0.01905</f>
        <v>0</v>
      </c>
      <c r="L341" s="94">
        <f>$D341*$F341*VLOOKUP($C341,'Master sheet'!$A:$AL,27,FALSE)*0.01905</f>
        <v>0</v>
      </c>
      <c r="M341" s="1552"/>
      <c r="N341" s="1552"/>
      <c r="O341" s="25" t="str">
        <f>_xlfn.IFNA(VLOOKUP($C341,'Master sheet'!$A:$AR,44,FALSE),"")&amp;""</f>
        <v/>
      </c>
      <c r="P341" s="663"/>
      <c r="Q341" s="29" t="s">
        <v>1556</v>
      </c>
      <c r="R341" s="638" t="s">
        <v>1596</v>
      </c>
      <c r="S341" s="638" t="s">
        <v>937</v>
      </c>
      <c r="T341" s="638"/>
      <c r="U341" s="638"/>
      <c r="V341" s="638"/>
      <c r="W341" s="638"/>
      <c r="X341" s="638"/>
      <c r="Y341" s="638"/>
      <c r="Z341" s="638"/>
    </row>
    <row r="342" spans="1:26" s="624" customFormat="1" ht="22.8" outlineLevel="1" x14ac:dyDescent="0.25">
      <c r="A342" s="823"/>
      <c r="B342" s="824" t="s">
        <v>937</v>
      </c>
      <c r="C342" s="669" t="str">
        <f>INDEX('Master sheet'!$A$1:$A$670,MATCH("248-3",'Master sheet'!$AN$1:$AN$670,0))</f>
        <v xml:space="preserve">Wood - SPF / Canadian Wood Council / Ontario / </v>
      </c>
      <c r="D342" s="15">
        <f>'USER INPUT SHEET'!$D$52</f>
        <v>0</v>
      </c>
      <c r="E342" s="16" t="str">
        <f>'USER INPUT SHEET'!$F$52</f>
        <v>m2</v>
      </c>
      <c r="F342" s="3">
        <v>1</v>
      </c>
      <c r="G342" s="670"/>
      <c r="H342" s="8"/>
      <c r="I342" s="92">
        <f t="shared" si="125"/>
        <v>0</v>
      </c>
      <c r="J342" s="93" t="str">
        <f t="shared" si="126"/>
        <v/>
      </c>
      <c r="K342" s="406">
        <f>$D342*$F342*VLOOKUP($C342,'Master sheet'!$A:$AL,13,FALSE)*0.01905</f>
        <v>0</v>
      </c>
      <c r="L342" s="94">
        <f>$D342*$F342*VLOOKUP($C342,'Master sheet'!$A:$AL,27,FALSE)*0.01905</f>
        <v>0</v>
      </c>
      <c r="M342" s="1552"/>
      <c r="N342" s="1552"/>
      <c r="O342" s="25" t="str">
        <f>_xlfn.IFNA(VLOOKUP($C342,'Master sheet'!$A:$AR,44,FALSE),"")&amp;""</f>
        <v/>
      </c>
      <c r="P342" s="663"/>
      <c r="Q342" s="29" t="s">
        <v>1556</v>
      </c>
      <c r="R342" s="638" t="s">
        <v>1596</v>
      </c>
      <c r="S342" s="638" t="s">
        <v>937</v>
      </c>
      <c r="T342" s="638"/>
      <c r="U342" s="638"/>
      <c r="V342" s="638"/>
      <c r="W342" s="638"/>
      <c r="X342" s="638"/>
      <c r="Y342" s="638"/>
      <c r="Z342" s="638"/>
    </row>
    <row r="343" spans="1:26" s="624" customFormat="1" ht="22.8" outlineLevel="1" x14ac:dyDescent="0.25">
      <c r="A343" s="823"/>
      <c r="B343" s="824" t="s">
        <v>937</v>
      </c>
      <c r="C343" s="669" t="str">
        <f>INDEX('Master sheet'!$A$1:$A$670,MATCH("248-4",'Master sheet'!$AN$1:$AN$670,0))</f>
        <v xml:space="preserve">Wood - SPF / Canadian Wood Council / Quebec / </v>
      </c>
      <c r="D343" s="15">
        <f>'USER INPUT SHEET'!$D$52</f>
        <v>0</v>
      </c>
      <c r="E343" s="16" t="str">
        <f>'USER INPUT SHEET'!$F$52</f>
        <v>m2</v>
      </c>
      <c r="F343" s="3">
        <v>1</v>
      </c>
      <c r="G343" s="670"/>
      <c r="H343" s="8"/>
      <c r="I343" s="92">
        <f t="shared" si="125"/>
        <v>0</v>
      </c>
      <c r="J343" s="93" t="str">
        <f t="shared" si="126"/>
        <v/>
      </c>
      <c r="K343" s="406">
        <f>$D343*$F343*VLOOKUP($C343,'Master sheet'!$A:$AL,13,FALSE)*0.01905</f>
        <v>0</v>
      </c>
      <c r="L343" s="94">
        <f>$D343*$F343*VLOOKUP($C343,'Master sheet'!$A:$AL,27,FALSE)*0.01905</f>
        <v>0</v>
      </c>
      <c r="M343" s="1552"/>
      <c r="N343" s="1552"/>
      <c r="O343" s="25" t="str">
        <f>_xlfn.IFNA(VLOOKUP($C343,'Master sheet'!$A:$AR,44,FALSE),"")&amp;""</f>
        <v/>
      </c>
      <c r="P343" s="663"/>
      <c r="Q343" s="29" t="s">
        <v>1556</v>
      </c>
      <c r="R343" s="638" t="s">
        <v>1596</v>
      </c>
      <c r="S343" s="638" t="s">
        <v>937</v>
      </c>
      <c r="T343" s="638"/>
      <c r="U343" s="638"/>
      <c r="V343" s="638"/>
      <c r="W343" s="638"/>
      <c r="X343" s="638"/>
      <c r="Y343" s="638"/>
      <c r="Z343" s="638"/>
    </row>
    <row r="344" spans="1:26" s="624" customFormat="1" ht="22.8" outlineLevel="1" x14ac:dyDescent="0.25">
      <c r="A344" s="823"/>
      <c r="B344" s="824" t="s">
        <v>937</v>
      </c>
      <c r="C344" s="669" t="str">
        <f>INDEX('Master sheet'!$A$1:$A$670,MATCH("248-5",'Master sheet'!$AN$1:$AN$670,0))</f>
        <v xml:space="preserve">Wood - SPF / Canadian Wood Council / New Brunswick / </v>
      </c>
      <c r="D344" s="15">
        <f>'USER INPUT SHEET'!$D$52</f>
        <v>0</v>
      </c>
      <c r="E344" s="16" t="str">
        <f>'USER INPUT SHEET'!$F$52</f>
        <v>m2</v>
      </c>
      <c r="F344" s="3">
        <v>1</v>
      </c>
      <c r="G344" s="670"/>
      <c r="H344" s="8"/>
      <c r="I344" s="92">
        <f t="shared" si="125"/>
        <v>0</v>
      </c>
      <c r="J344" s="93" t="str">
        <f t="shared" si="126"/>
        <v/>
      </c>
      <c r="K344" s="406">
        <f>$D344*$F344*VLOOKUP($C344,'Master sheet'!$A:$AL,13,FALSE)*0.01905</f>
        <v>0</v>
      </c>
      <c r="L344" s="94">
        <f>$D344*$F344*VLOOKUP($C344,'Master sheet'!$A:$AL,27,FALSE)*0.01905</f>
        <v>0</v>
      </c>
      <c r="M344" s="1552"/>
      <c r="N344" s="1552"/>
      <c r="O344" s="25" t="str">
        <f>_xlfn.IFNA(VLOOKUP($C344,'Master sheet'!$A:$AR,44,FALSE),"")&amp;""</f>
        <v/>
      </c>
      <c r="P344" s="663"/>
      <c r="Q344" s="29" t="s">
        <v>1556</v>
      </c>
      <c r="R344" s="638" t="s">
        <v>1596</v>
      </c>
      <c r="S344" s="638" t="s">
        <v>937</v>
      </c>
      <c r="T344" s="638"/>
      <c r="U344" s="638"/>
      <c r="V344" s="638"/>
      <c r="W344" s="638"/>
      <c r="X344" s="638"/>
      <c r="Y344" s="638"/>
      <c r="Z344" s="638"/>
    </row>
    <row r="345" spans="1:26" s="624" customFormat="1" ht="22.8" outlineLevel="1" x14ac:dyDescent="0.25">
      <c r="A345" s="823"/>
      <c r="B345" s="824" t="s">
        <v>937</v>
      </c>
      <c r="C345" s="669" t="str">
        <f>INDEX('Master sheet'!$A$1:$A$670,MATCH("248-6",'Master sheet'!$AN$1:$AN$670,0))</f>
        <v xml:space="preserve">Wood - SPF / Canadian Wood Council / Atlantic Canada / </v>
      </c>
      <c r="D345" s="15">
        <f>'USER INPUT SHEET'!$D$52</f>
        <v>0</v>
      </c>
      <c r="E345" s="16" t="str">
        <f>'USER INPUT SHEET'!$F$52</f>
        <v>m2</v>
      </c>
      <c r="F345" s="3">
        <v>1</v>
      </c>
      <c r="G345" s="670"/>
      <c r="H345" s="8"/>
      <c r="I345" s="92">
        <f t="shared" si="125"/>
        <v>0</v>
      </c>
      <c r="J345" s="93" t="str">
        <f t="shared" si="126"/>
        <v/>
      </c>
      <c r="K345" s="406">
        <f>$D345*$F345*VLOOKUP($C345,'Master sheet'!$A:$AL,13,FALSE)*0.01905</f>
        <v>0</v>
      </c>
      <c r="L345" s="94">
        <f>$D345*$F345*VLOOKUP($C345,'Master sheet'!$A:$AL,27,FALSE)*0.01905</f>
        <v>0</v>
      </c>
      <c r="M345" s="1552"/>
      <c r="N345" s="1552"/>
      <c r="O345" s="25" t="str">
        <f>_xlfn.IFNA(VLOOKUP($C345,'Master sheet'!$A:$AR,44,FALSE),"")&amp;""</f>
        <v/>
      </c>
      <c r="P345" s="663"/>
      <c r="Q345" s="29" t="s">
        <v>1556</v>
      </c>
      <c r="R345" s="638" t="s">
        <v>1596</v>
      </c>
      <c r="S345" s="638" t="s">
        <v>937</v>
      </c>
      <c r="T345" s="638"/>
      <c r="U345" s="638"/>
      <c r="V345" s="638"/>
      <c r="W345" s="638"/>
      <c r="X345" s="638"/>
      <c r="Y345" s="638"/>
      <c r="Z345" s="638"/>
    </row>
    <row r="346" spans="1:26" s="624" customFormat="1" ht="23.25" customHeight="1" outlineLevel="1" x14ac:dyDescent="0.25">
      <c r="A346" s="639"/>
      <c r="B346" s="1524" t="s">
        <v>1046</v>
      </c>
      <c r="C346" s="1523"/>
      <c r="D346" s="640"/>
      <c r="E346" s="641"/>
      <c r="F346" s="340"/>
      <c r="G346" s="739"/>
      <c r="H346" s="821"/>
      <c r="I346" s="642"/>
      <c r="J346" s="643"/>
      <c r="K346" s="676"/>
      <c r="L346" s="677"/>
      <c r="M346" s="677"/>
      <c r="N346" s="677"/>
      <c r="O346" s="25" t="str">
        <f>_xlfn.IFNA(VLOOKUP($C346,'Master sheet'!$A:$AR,44,FALSE),"")&amp;""</f>
        <v/>
      </c>
      <c r="P346" s="671"/>
      <c r="Q346" s="29" t="s">
        <v>1556</v>
      </c>
      <c r="R346" s="638"/>
      <c r="S346" s="638"/>
      <c r="T346" s="638"/>
      <c r="U346" s="638"/>
      <c r="V346" s="638"/>
      <c r="W346" s="638"/>
      <c r="X346" s="638"/>
      <c r="Y346" s="638"/>
      <c r="Z346" s="638"/>
    </row>
    <row r="347" spans="1:26" ht="22.8" outlineLevel="1" x14ac:dyDescent="0.25">
      <c r="A347" s="729"/>
      <c r="B347" s="729"/>
      <c r="C347" s="691" t="s">
        <v>1369</v>
      </c>
      <c r="D347" s="19">
        <f>'USER INPUT SHEET'!$D$52</f>
        <v>0</v>
      </c>
      <c r="E347" s="20" t="str">
        <f>'USER INPUT SHEET'!$F$52</f>
        <v>m2</v>
      </c>
      <c r="F347" s="6">
        <v>1</v>
      </c>
      <c r="G347" s="692"/>
      <c r="H347" s="10"/>
      <c r="I347" s="98">
        <f t="shared" ref="I347:I353" si="127">K347-L347</f>
        <v>0</v>
      </c>
      <c r="J347" s="91" t="str">
        <f t="shared" ref="J347:J353" si="128">IF(H347=1,I347,"")</f>
        <v/>
      </c>
      <c r="K347" s="410">
        <f>F347*AVERAGE(K348:K353)</f>
        <v>0</v>
      </c>
      <c r="L347" s="99">
        <f>F347*AVERAGE(L348:L353)</f>
        <v>0</v>
      </c>
      <c r="M347" s="1552"/>
      <c r="N347" s="1552"/>
      <c r="O347" s="25" t="str">
        <f>_xlfn.IFNA(VLOOKUP($C347,'Master sheet'!$A:$AR,44,FALSE),"")&amp;""</f>
        <v/>
      </c>
      <c r="P347" s="672"/>
      <c r="Q347" s="29" t="s">
        <v>1556</v>
      </c>
      <c r="R347" s="638" t="s">
        <v>1596</v>
      </c>
      <c r="S347" s="664"/>
      <c r="T347" s="664"/>
      <c r="U347" s="664"/>
      <c r="V347" s="664"/>
      <c r="W347" s="664"/>
      <c r="X347" s="664"/>
      <c r="Y347" s="664"/>
      <c r="Z347" s="664"/>
    </row>
    <row r="348" spans="1:26" ht="31.2" outlineLevel="1" x14ac:dyDescent="0.25">
      <c r="A348" s="1628"/>
      <c r="B348" s="824"/>
      <c r="C348" s="673" t="str">
        <f>INDEX('Master sheet'!$A$1:$A$670,MATCH(384,'Master sheet'!$AN$1:$AN$670,0))</f>
        <v>Fiber Cement siding / Equitone / Pictura and Natura Pro / 8 mm (5/16")</v>
      </c>
      <c r="D348" s="15">
        <f>'USER INPUT SHEET'!$D$52</f>
        <v>0</v>
      </c>
      <c r="E348" s="16" t="str">
        <f>'USER INPUT SHEET'!$F$52</f>
        <v>m2</v>
      </c>
      <c r="F348" s="3">
        <v>1</v>
      </c>
      <c r="G348" s="670"/>
      <c r="H348" s="8"/>
      <c r="I348" s="92">
        <f t="shared" si="127"/>
        <v>0</v>
      </c>
      <c r="J348" s="93" t="str">
        <f t="shared" si="128"/>
        <v/>
      </c>
      <c r="K348" s="406">
        <f>$D348*$F348*VLOOKUP($C348,'Master sheet'!$A:$AL,13,FALSE)</f>
        <v>0</v>
      </c>
      <c r="L348" s="94">
        <f>$D348*$F348*VLOOKUP($C348,'Master sheet'!$A:$AL,27,FALSE)</f>
        <v>0</v>
      </c>
      <c r="M348" s="1552"/>
      <c r="N348" s="1552"/>
      <c r="O348" s="25" t="str">
        <f ca="1">_xlfn.IFNA(VLOOKUP($C348,'Master sheet'!$A:$AR,44,FALSE),"")&amp;""</f>
        <v>Expired 2025</v>
      </c>
      <c r="P348" s="672"/>
      <c r="Q348" s="29" t="s">
        <v>1556</v>
      </c>
      <c r="R348" s="638" t="s">
        <v>1596</v>
      </c>
      <c r="S348" s="664"/>
      <c r="T348" s="664"/>
      <c r="U348" s="664"/>
      <c r="V348" s="664"/>
      <c r="W348" s="664"/>
      <c r="X348" s="664"/>
      <c r="Y348" s="664"/>
      <c r="Z348" s="664"/>
    </row>
    <row r="349" spans="1:26" ht="22.8" outlineLevel="1" x14ac:dyDescent="0.25">
      <c r="A349" s="1628"/>
      <c r="B349" s="824"/>
      <c r="C349" s="673" t="str">
        <f>INDEX('Master sheet'!$A$1:$A$670,MATCH("A136",'Master sheet'!$AN$1:$AN$670,0))</f>
        <v>Fiber Cement siding / Equitone / Linea|Lunara sheets / 10 mm</v>
      </c>
      <c r="D349" s="17">
        <f>'USER INPUT SHEET'!$D$52</f>
        <v>0</v>
      </c>
      <c r="E349" s="18" t="str">
        <f>'USER INPUT SHEET'!$F$52</f>
        <v>m2</v>
      </c>
      <c r="F349" s="4">
        <v>1</v>
      </c>
      <c r="G349" s="674"/>
      <c r="H349" s="9"/>
      <c r="I349" s="95">
        <f t="shared" ref="I349:I352" si="129">K349-L349</f>
        <v>0</v>
      </c>
      <c r="J349" s="96" t="str">
        <f t="shared" ref="J349:J352" si="130">IF(H349=1,I349,"")</f>
        <v/>
      </c>
      <c r="K349" s="407">
        <f>$D349*$F349*VLOOKUP($C349,'Master sheet'!$A:$AL,13,FALSE)</f>
        <v>0</v>
      </c>
      <c r="L349" s="97">
        <f>$D349*$F349*VLOOKUP($C349,'Master sheet'!$A:$AL,27,FALSE)</f>
        <v>0</v>
      </c>
      <c r="M349" s="1552"/>
      <c r="N349" s="1552"/>
      <c r="O349" s="25" t="str">
        <f>_xlfn.IFNA(VLOOKUP($C349,'Master sheet'!$A:$AR,44,FALSE),"")&amp;""</f>
        <v/>
      </c>
      <c r="P349" s="672"/>
      <c r="Q349" s="29" t="s">
        <v>1556</v>
      </c>
      <c r="R349" s="638" t="s">
        <v>1596</v>
      </c>
      <c r="S349" s="664"/>
      <c r="T349" s="664"/>
      <c r="U349" s="664"/>
      <c r="V349" s="664"/>
      <c r="W349" s="664"/>
      <c r="X349" s="664"/>
      <c r="Y349" s="664"/>
      <c r="Z349" s="664"/>
    </row>
    <row r="350" spans="1:26" ht="31.2" outlineLevel="1" x14ac:dyDescent="0.25">
      <c r="A350" s="1628"/>
      <c r="B350" s="824"/>
      <c r="C350" s="673" t="str">
        <f>INDEX('Master sheet'!$A$1:$A$670,MATCH("A144",'Master sheet'!$AN$1:$AN$670,0))</f>
        <v>Fiber Cement siding / James Hardie / Hardie Plank HZ10, Hardie Panel HZ10, Hardie Architectural Panel HZ10 / 8 mm</v>
      </c>
      <c r="D350" s="17">
        <f>'USER INPUT SHEET'!$D$52</f>
        <v>0</v>
      </c>
      <c r="E350" s="18" t="str">
        <f>'USER INPUT SHEET'!$F$52</f>
        <v>m2</v>
      </c>
      <c r="F350" s="4">
        <v>1</v>
      </c>
      <c r="G350" s="674"/>
      <c r="H350" s="9"/>
      <c r="I350" s="95">
        <f t="shared" si="129"/>
        <v>0</v>
      </c>
      <c r="J350" s="96" t="str">
        <f t="shared" si="130"/>
        <v/>
      </c>
      <c r="K350" s="407">
        <f>$D350*$F350*VLOOKUP($C350,'Master sheet'!$A:$AL,13,FALSE)</f>
        <v>0</v>
      </c>
      <c r="L350" s="97">
        <f>$D350*$F350*VLOOKUP($C350,'Master sheet'!$A:$AL,27,FALSE)</f>
        <v>0</v>
      </c>
      <c r="M350" s="1552"/>
      <c r="N350" s="1552"/>
      <c r="O350" s="25" t="str">
        <f>_xlfn.IFNA(VLOOKUP($C350,'Master sheet'!$A:$AR,44,FALSE),"")&amp;""</f>
        <v/>
      </c>
      <c r="P350" s="672"/>
      <c r="Q350" s="29" t="s">
        <v>1556</v>
      </c>
      <c r="R350" s="638" t="s">
        <v>1596</v>
      </c>
      <c r="S350" s="664"/>
      <c r="T350" s="664"/>
      <c r="U350" s="664"/>
      <c r="V350" s="664"/>
      <c r="W350" s="664"/>
      <c r="X350" s="664"/>
      <c r="Y350" s="664"/>
      <c r="Z350" s="664"/>
    </row>
    <row r="351" spans="1:26" ht="31.2" outlineLevel="1" x14ac:dyDescent="0.25">
      <c r="A351" s="1628"/>
      <c r="B351" s="824"/>
      <c r="C351" s="673" t="str">
        <f>INDEX('Master sheet'!$A$1:$A$670,MATCH("A145",'Master sheet'!$AN$1:$AN$670,0))</f>
        <v>Fiber Cement siding / James Hardie / Hardie Plank HZ5, Hardie Panel HZ5, Hardie Architectural Panel HZ5 / 8 mm</v>
      </c>
      <c r="D351" s="17">
        <f>'USER INPUT SHEET'!$D$52</f>
        <v>0</v>
      </c>
      <c r="E351" s="18" t="str">
        <f>'USER INPUT SHEET'!$F$52</f>
        <v>m2</v>
      </c>
      <c r="F351" s="4">
        <v>1</v>
      </c>
      <c r="G351" s="674"/>
      <c r="H351" s="9"/>
      <c r="I351" s="95">
        <f t="shared" si="129"/>
        <v>0</v>
      </c>
      <c r="J351" s="96" t="str">
        <f t="shared" si="130"/>
        <v/>
      </c>
      <c r="K351" s="407">
        <f>$D351*$F351*VLOOKUP($C351,'Master sheet'!$A:$AL,13,FALSE)</f>
        <v>0</v>
      </c>
      <c r="L351" s="97">
        <f>$D351*$F351*VLOOKUP($C351,'Master sheet'!$A:$AL,27,FALSE)</f>
        <v>0</v>
      </c>
      <c r="M351" s="1552"/>
      <c r="N351" s="1552"/>
      <c r="O351" s="25" t="str">
        <f>_xlfn.IFNA(VLOOKUP($C351,'Master sheet'!$A:$AR,44,FALSE),"")&amp;""</f>
        <v/>
      </c>
      <c r="P351" s="672"/>
      <c r="Q351" s="29" t="s">
        <v>1556</v>
      </c>
      <c r="R351" s="638" t="s">
        <v>1596</v>
      </c>
      <c r="S351" s="664"/>
      <c r="T351" s="664"/>
      <c r="U351" s="664"/>
      <c r="V351" s="664"/>
      <c r="W351" s="664"/>
      <c r="X351" s="664"/>
      <c r="Y351" s="664"/>
      <c r="Z351" s="664"/>
    </row>
    <row r="352" spans="1:26" ht="31.2" outlineLevel="1" x14ac:dyDescent="0.25">
      <c r="A352" s="1628"/>
      <c r="B352" s="824"/>
      <c r="C352" s="673" t="str">
        <f>INDEX('Master sheet'!$A$1:$A$670,MATCH("A146",'Master sheet'!$AN$1:$AN$670,0))</f>
        <v>Fiber Cement siding / James Hardie / Hardie Shingle HZ10 / 6.3mm</v>
      </c>
      <c r="D352" s="17">
        <f>'USER INPUT SHEET'!$D$52</f>
        <v>0</v>
      </c>
      <c r="E352" s="18" t="str">
        <f>'USER INPUT SHEET'!$F$52</f>
        <v>m2</v>
      </c>
      <c r="F352" s="4">
        <v>1</v>
      </c>
      <c r="G352" s="674"/>
      <c r="H352" s="9"/>
      <c r="I352" s="95">
        <f t="shared" si="129"/>
        <v>0</v>
      </c>
      <c r="J352" s="96" t="str">
        <f t="shared" si="130"/>
        <v/>
      </c>
      <c r="K352" s="407">
        <f>$D352*$F352*VLOOKUP($C352,'Master sheet'!$A:$AL,13,FALSE)</f>
        <v>0</v>
      </c>
      <c r="L352" s="97">
        <f>$D352*$F352*VLOOKUP($C352,'Master sheet'!$A:$AL,27,FALSE)</f>
        <v>0</v>
      </c>
      <c r="M352" s="1552"/>
      <c r="N352" s="1552"/>
      <c r="O352" s="25" t="str">
        <f>_xlfn.IFNA(VLOOKUP($C352,'Master sheet'!$A:$AR,44,FALSE),"")&amp;""</f>
        <v/>
      </c>
      <c r="P352" s="672"/>
      <c r="Q352" s="29" t="s">
        <v>1556</v>
      </c>
      <c r="R352" s="638" t="s">
        <v>1596</v>
      </c>
      <c r="S352" s="664"/>
      <c r="T352" s="664"/>
      <c r="U352" s="664"/>
      <c r="V352" s="664"/>
      <c r="W352" s="664"/>
      <c r="X352" s="664"/>
      <c r="Y352" s="664"/>
      <c r="Z352" s="664"/>
    </row>
    <row r="353" spans="1:26" s="624" customFormat="1" ht="22.8" outlineLevel="1" x14ac:dyDescent="0.25">
      <c r="A353" s="1628"/>
      <c r="B353" s="824"/>
      <c r="C353" s="673" t="str">
        <f>INDEX('Master sheet'!$A$1:$A$670,MATCH("A147",'Master sheet'!$AN$1:$AN$670,0))</f>
        <v>Fiber Cement siding / James Hardie / Hardie Shingle HZ5 / 6.3mm</v>
      </c>
      <c r="D353" s="17">
        <f>'USER INPUT SHEET'!$D$52</f>
        <v>0</v>
      </c>
      <c r="E353" s="18" t="str">
        <f>'USER INPUT SHEET'!$F$52</f>
        <v>m2</v>
      </c>
      <c r="F353" s="4">
        <v>1</v>
      </c>
      <c r="G353" s="674"/>
      <c r="H353" s="9"/>
      <c r="I353" s="95">
        <f t="shared" si="127"/>
        <v>0</v>
      </c>
      <c r="J353" s="96" t="str">
        <f t="shared" si="128"/>
        <v/>
      </c>
      <c r="K353" s="407">
        <f>$D353*$F353*VLOOKUP($C353,'Master sheet'!$A:$AL,13,FALSE)</f>
        <v>0</v>
      </c>
      <c r="L353" s="97">
        <f>$D353*$F353*VLOOKUP($C353,'Master sheet'!$A:$AL,27,FALSE)</f>
        <v>0</v>
      </c>
      <c r="M353" s="1559"/>
      <c r="N353" s="1559"/>
      <c r="O353" s="25" t="str">
        <f>_xlfn.IFNA(VLOOKUP($C353,'Master sheet'!$A:$AR,44,FALSE),"")&amp;""</f>
        <v/>
      </c>
      <c r="P353" s="672"/>
      <c r="Q353" s="29" t="s">
        <v>1556</v>
      </c>
      <c r="R353" s="638" t="s">
        <v>1596</v>
      </c>
      <c r="S353" s="638"/>
      <c r="T353" s="638"/>
      <c r="U353" s="638"/>
      <c r="V353" s="638"/>
      <c r="W353" s="638"/>
      <c r="X353" s="638"/>
      <c r="Y353" s="638"/>
      <c r="Z353" s="638"/>
    </row>
    <row r="354" spans="1:26" s="624" customFormat="1" ht="23.25" customHeight="1" outlineLevel="1" x14ac:dyDescent="0.25">
      <c r="A354" s="639"/>
      <c r="B354" s="1524" t="s">
        <v>796</v>
      </c>
      <c r="C354" s="1523"/>
      <c r="D354" s="640"/>
      <c r="E354" s="641"/>
      <c r="F354" s="340"/>
      <c r="G354" s="739"/>
      <c r="H354" s="821"/>
      <c r="I354" s="642"/>
      <c r="J354" s="643"/>
      <c r="K354" s="676"/>
      <c r="L354" s="677"/>
      <c r="M354" s="677"/>
      <c r="N354" s="677"/>
      <c r="O354" s="25" t="str">
        <f>_xlfn.IFNA(VLOOKUP($C354,'Master sheet'!$A:$AR,44,FALSE),"")&amp;""</f>
        <v/>
      </c>
      <c r="P354" s="637"/>
      <c r="Q354" s="29" t="s">
        <v>1556</v>
      </c>
      <c r="R354" s="638"/>
      <c r="S354" s="638"/>
      <c r="T354" s="638"/>
      <c r="U354" s="638"/>
      <c r="V354" s="638"/>
      <c r="W354" s="638"/>
      <c r="X354" s="638"/>
      <c r="Y354" s="638"/>
      <c r="Z354" s="638"/>
    </row>
    <row r="355" spans="1:26" s="624" customFormat="1" ht="46.8" outlineLevel="1" x14ac:dyDescent="0.25">
      <c r="A355" s="1601"/>
      <c r="B355" s="1601"/>
      <c r="C355" s="681" t="str">
        <f>INDEX('Master sheet'!$A$1:$A$670,MATCH(219,'Master sheet'!$AN$1:$AN$670,0))</f>
        <v>Vinyl Siding / Vinyl Siding Institute / Double 4.5" products from: American Original, Associated Materials, CertainTeed, Novik, Ply Gem / 0.040" Double 4.5"</v>
      </c>
      <c r="D355" s="22">
        <f>'USER INPUT SHEET'!$D$52</f>
        <v>0</v>
      </c>
      <c r="E355" s="23" t="str">
        <f>'USER INPUT SHEET'!$F$52</f>
        <v>m2</v>
      </c>
      <c r="F355" s="6">
        <v>1</v>
      </c>
      <c r="G355" s="682"/>
      <c r="H355" s="10"/>
      <c r="I355" s="100">
        <f>K355-L355</f>
        <v>0</v>
      </c>
      <c r="J355" s="101" t="str">
        <f>IF(H355=1,I355,"")</f>
        <v/>
      </c>
      <c r="K355" s="408">
        <f>$D355*$F355*VLOOKUP($C355,'Master sheet'!$A:$AL,13,FALSE)</f>
        <v>0</v>
      </c>
      <c r="L355" s="102">
        <f>$D355*$F355*VLOOKUP($C355,'Master sheet'!$A:$AL,27,FALSE)</f>
        <v>0</v>
      </c>
      <c r="M355" s="1559"/>
      <c r="N355" s="1559"/>
      <c r="O355" s="25" t="str">
        <f ca="1">_xlfn.IFNA(VLOOKUP($C355,'Master sheet'!$A:$AR,44,FALSE),"")&amp;""</f>
        <v/>
      </c>
      <c r="P355" s="637"/>
      <c r="Q355" s="29" t="s">
        <v>1556</v>
      </c>
      <c r="R355" s="638" t="s">
        <v>1596</v>
      </c>
      <c r="S355" s="638"/>
      <c r="T355" s="638"/>
      <c r="U355" s="638"/>
      <c r="V355" s="638"/>
      <c r="W355" s="638"/>
      <c r="X355" s="638"/>
      <c r="Y355" s="638"/>
      <c r="Z355" s="638"/>
    </row>
    <row r="356" spans="1:26" s="624" customFormat="1" ht="23.25" customHeight="1" outlineLevel="1" x14ac:dyDescent="0.25">
      <c r="A356" s="639"/>
      <c r="B356" s="1524" t="s">
        <v>1047</v>
      </c>
      <c r="C356" s="1523"/>
      <c r="D356" s="640"/>
      <c r="E356" s="641"/>
      <c r="F356" s="340"/>
      <c r="G356" s="739"/>
      <c r="H356" s="821"/>
      <c r="I356" s="642"/>
      <c r="J356" s="643"/>
      <c r="K356" s="676"/>
      <c r="L356" s="677"/>
      <c r="M356" s="677"/>
      <c r="N356" s="677"/>
      <c r="O356" s="25" t="str">
        <f>_xlfn.IFNA(VLOOKUP($C356,'Master sheet'!$A:$AR,44,FALSE),"")&amp;""</f>
        <v/>
      </c>
      <c r="P356" s="637"/>
      <c r="Q356" s="29" t="s">
        <v>1556</v>
      </c>
      <c r="R356" s="638" t="s">
        <v>1596</v>
      </c>
      <c r="S356" s="638"/>
      <c r="T356" s="638"/>
      <c r="U356" s="638"/>
      <c r="V356" s="638"/>
      <c r="W356" s="638"/>
      <c r="X356" s="638"/>
      <c r="Y356" s="638"/>
      <c r="Z356" s="638"/>
    </row>
    <row r="357" spans="1:26" s="624" customFormat="1" ht="31.5" customHeight="1" outlineLevel="1" x14ac:dyDescent="0.25">
      <c r="A357" s="1564"/>
      <c r="B357" s="1564"/>
      <c r="C357" s="673" t="str">
        <f>INDEX('Master sheet'!$A$1:$A$670,MATCH(170,'Master sheet'!$AN$1:$AN$670,0))</f>
        <v>Polypropylene siding / Vinyl Siding Institute  /  / 0.085" Single 7" wood Shake appearance</v>
      </c>
      <c r="D357" s="17">
        <f>'USER INPUT SHEET'!$D$52</f>
        <v>0</v>
      </c>
      <c r="E357" s="18" t="str">
        <f>'USER INPUT SHEET'!$F$52</f>
        <v>m2</v>
      </c>
      <c r="F357" s="4">
        <v>1</v>
      </c>
      <c r="G357" s="674"/>
      <c r="H357" s="9"/>
      <c r="I357" s="95">
        <f>K357-L357</f>
        <v>0</v>
      </c>
      <c r="J357" s="96" t="str">
        <f>IF(H357=1,I357,"")</f>
        <v/>
      </c>
      <c r="K357" s="407">
        <f>$D357*$F357*VLOOKUP($C357,'Master sheet'!$A:$AL,13,FALSE)</f>
        <v>0</v>
      </c>
      <c r="L357" s="97">
        <f>$D357*$F357*VLOOKUP($C357,'Master sheet'!$A:$AL,27,FALSE)</f>
        <v>0</v>
      </c>
      <c r="M357" s="1559"/>
      <c r="N357" s="1559"/>
      <c r="O357" s="25" t="str">
        <f ca="1">_xlfn.IFNA(VLOOKUP($C357,'Master sheet'!$A:$AR,44,FALSE),"")&amp;""</f>
        <v/>
      </c>
      <c r="P357" s="637"/>
      <c r="Q357" s="29" t="s">
        <v>1556</v>
      </c>
      <c r="R357" s="638" t="s">
        <v>1596</v>
      </c>
      <c r="S357" s="638"/>
      <c r="T357" s="638"/>
      <c r="U357" s="638"/>
      <c r="V357" s="638"/>
      <c r="W357" s="638"/>
      <c r="X357" s="638"/>
      <c r="Y357" s="638"/>
      <c r="Z357" s="638"/>
    </row>
    <row r="358" spans="1:26" s="624" customFormat="1" ht="23.25" customHeight="1" outlineLevel="1" x14ac:dyDescent="0.25">
      <c r="A358" s="639"/>
      <c r="B358" s="1524" t="s">
        <v>1067</v>
      </c>
      <c r="C358" s="1523"/>
      <c r="D358" s="640"/>
      <c r="E358" s="641"/>
      <c r="F358" s="340"/>
      <c r="G358" s="739"/>
      <c r="H358" s="821"/>
      <c r="I358" s="642"/>
      <c r="J358" s="643"/>
      <c r="K358" s="676"/>
      <c r="L358" s="677"/>
      <c r="M358" s="677"/>
      <c r="N358" s="677"/>
      <c r="O358" s="25" t="str">
        <f>_xlfn.IFNA(VLOOKUP($C358,'Master sheet'!$A:$AR,44,FALSE),"")&amp;""</f>
        <v/>
      </c>
      <c r="P358" s="637"/>
      <c r="Q358" s="29" t="s">
        <v>1556</v>
      </c>
      <c r="R358" s="638" t="s">
        <v>1596</v>
      </c>
      <c r="S358" s="638"/>
      <c r="T358" s="638"/>
      <c r="U358" s="638"/>
      <c r="V358" s="638"/>
      <c r="W358" s="638"/>
      <c r="X358" s="638"/>
      <c r="Y358" s="638"/>
      <c r="Z358" s="638"/>
    </row>
    <row r="359" spans="1:26" ht="22.8" outlineLevel="1" x14ac:dyDescent="0.25">
      <c r="A359" s="729"/>
      <c r="B359" s="729"/>
      <c r="C359" s="691" t="s">
        <v>1371</v>
      </c>
      <c r="D359" s="19">
        <f>'USER INPUT SHEET'!$D$52</f>
        <v>0</v>
      </c>
      <c r="E359" s="20" t="str">
        <f>'USER INPUT SHEET'!$F$52</f>
        <v>m2</v>
      </c>
      <c r="F359" s="6">
        <v>1</v>
      </c>
      <c r="G359" s="692"/>
      <c r="H359" s="10"/>
      <c r="I359" s="98">
        <f t="shared" ref="I359:I365" si="131">K359-L359</f>
        <v>0</v>
      </c>
      <c r="J359" s="91" t="str">
        <f t="shared" ref="J359:J365" si="132">IF(H359=1,I359,"")</f>
        <v/>
      </c>
      <c r="K359" s="410">
        <f>F359*AVERAGE(K360:K365)</f>
        <v>0</v>
      </c>
      <c r="L359" s="99">
        <f>F359*AVERAGE(L360:L365)</f>
        <v>0</v>
      </c>
      <c r="M359" s="1552"/>
      <c r="N359" s="1552"/>
      <c r="O359" s="25" t="str">
        <f>_xlfn.IFNA(VLOOKUP($C359,'Master sheet'!$A:$AR,44,FALSE),"")&amp;""</f>
        <v/>
      </c>
      <c r="P359" s="637"/>
      <c r="Q359" s="29" t="s">
        <v>1556</v>
      </c>
      <c r="R359" s="638" t="s">
        <v>1596</v>
      </c>
      <c r="S359" s="664"/>
      <c r="T359" s="664"/>
      <c r="U359" s="664"/>
      <c r="V359" s="664"/>
      <c r="W359" s="664"/>
      <c r="X359" s="664"/>
      <c r="Y359" s="664"/>
      <c r="Z359" s="664"/>
    </row>
    <row r="360" spans="1:26" ht="23.25" customHeight="1" outlineLevel="1" x14ac:dyDescent="0.25">
      <c r="A360" s="1600"/>
      <c r="B360" s="1564"/>
      <c r="C360" s="669" t="str">
        <f>INDEX('Master sheet'!$A$1:$A$670,MATCH(144,'Master sheet'!$AN$1:$AN$670,0))</f>
        <v>Metal Panels - Steel / Metal Construction Assn. / 24 gauge</v>
      </c>
      <c r="D360" s="15">
        <f>'USER INPUT SHEET'!$D$52</f>
        <v>0</v>
      </c>
      <c r="E360" s="16" t="str">
        <f>'USER INPUT SHEET'!$F$52</f>
        <v>m2</v>
      </c>
      <c r="F360" s="3">
        <v>1</v>
      </c>
      <c r="G360" s="670"/>
      <c r="H360" s="8"/>
      <c r="I360" s="92">
        <f t="shared" si="131"/>
        <v>0</v>
      </c>
      <c r="J360" s="93" t="str">
        <f t="shared" si="132"/>
        <v/>
      </c>
      <c r="K360" s="406">
        <f>$D360*$F360*VLOOKUP($C360,'Master sheet'!$A:$AL,13,FALSE)</f>
        <v>0</v>
      </c>
      <c r="L360" s="94">
        <f>$D360*$F360*VLOOKUP($C360,'Master sheet'!$A:$AL,27,FALSE)</f>
        <v>0</v>
      </c>
      <c r="M360" s="1552"/>
      <c r="N360" s="1552"/>
      <c r="O360" s="25" t="str">
        <f ca="1">_xlfn.IFNA(VLOOKUP($C360,'Master sheet'!$A:$AR,44,FALSE),"")&amp;""</f>
        <v>Expired 2025</v>
      </c>
      <c r="P360" s="637"/>
      <c r="Q360" s="29" t="s">
        <v>1556</v>
      </c>
      <c r="R360" s="638" t="s">
        <v>1596</v>
      </c>
      <c r="S360" s="664"/>
      <c r="T360" s="664"/>
      <c r="U360" s="664"/>
      <c r="V360" s="664"/>
      <c r="W360" s="664"/>
      <c r="X360" s="664"/>
      <c r="Y360" s="664"/>
      <c r="Z360" s="664"/>
    </row>
    <row r="361" spans="1:26" ht="31.2" outlineLevel="1" x14ac:dyDescent="0.25">
      <c r="A361" s="1600"/>
      <c r="B361" s="1564"/>
      <c r="C361" s="673" t="str">
        <f>INDEX('Master sheet'!$A$1:$A$670,MATCH("A70",'Master sheet'!$AN$1:$AN$670,0))</f>
        <v>Metal Panels - Steel / AEP Span / All roofing &amp; wall products / 24 gauge</v>
      </c>
      <c r="D361" s="17">
        <f>'USER INPUT SHEET'!$D$52</f>
        <v>0</v>
      </c>
      <c r="E361" s="18" t="str">
        <f>'USER INPUT SHEET'!$F$52</f>
        <v>m2</v>
      </c>
      <c r="F361" s="4">
        <v>1</v>
      </c>
      <c r="G361" s="674"/>
      <c r="H361" s="9"/>
      <c r="I361" s="95">
        <f t="shared" ref="I361:I364" si="133">K361-L361</f>
        <v>0</v>
      </c>
      <c r="J361" s="96" t="str">
        <f t="shared" ref="J361:J364" si="134">IF(H361=1,I361,"")</f>
        <v/>
      </c>
      <c r="K361" s="407">
        <f>$D361*$F361*VLOOKUP($C361,'Master sheet'!$A:$AL,13,FALSE)</f>
        <v>0</v>
      </c>
      <c r="L361" s="97">
        <f>$D361*$F361*VLOOKUP($C361,'Master sheet'!$A:$AL,27,FALSE)</f>
        <v>0</v>
      </c>
      <c r="M361" s="1552"/>
      <c r="N361" s="1552"/>
      <c r="O361" s="25" t="str">
        <f>_xlfn.IFNA(VLOOKUP($C361,'Master sheet'!$A:$AR,44,FALSE),"")&amp;""</f>
        <v/>
      </c>
      <c r="P361" s="637"/>
      <c r="Q361" s="29" t="s">
        <v>1556</v>
      </c>
      <c r="R361" s="638" t="s">
        <v>1596</v>
      </c>
      <c r="S361" s="638"/>
      <c r="T361" s="638"/>
      <c r="U361" s="638"/>
      <c r="V361" s="664"/>
      <c r="W361" s="664"/>
      <c r="X361" s="664"/>
      <c r="Y361" s="664"/>
      <c r="Z361" s="664"/>
    </row>
    <row r="362" spans="1:26" ht="22.8" outlineLevel="1" x14ac:dyDescent="0.25">
      <c r="A362" s="1600"/>
      <c r="B362" s="1564"/>
      <c r="C362" s="673" t="str">
        <f>INDEX('Master sheet'!$A$1:$A$670,MATCH("A71",'Master sheet'!$AN$1:$AN$670,0))</f>
        <v>Metal Panels - Steel / ArcelorMittal / XCarb RRP / 24 gauge</v>
      </c>
      <c r="D362" s="17">
        <f>'USER INPUT SHEET'!$D$52</f>
        <v>0</v>
      </c>
      <c r="E362" s="18" t="str">
        <f>'USER INPUT SHEET'!$F$52</f>
        <v>m2</v>
      </c>
      <c r="F362" s="4">
        <v>1</v>
      </c>
      <c r="G362" s="674"/>
      <c r="H362" s="9"/>
      <c r="I362" s="95">
        <f t="shared" si="133"/>
        <v>0</v>
      </c>
      <c r="J362" s="96" t="str">
        <f t="shared" si="134"/>
        <v/>
      </c>
      <c r="K362" s="407">
        <f>$D362*$F362*VLOOKUP($C362,'Master sheet'!$A:$AL,13,FALSE)</f>
        <v>0</v>
      </c>
      <c r="L362" s="97">
        <f>$D362*$F362*VLOOKUP($C362,'Master sheet'!$A:$AL,27,FALSE)</f>
        <v>0</v>
      </c>
      <c r="M362" s="1552"/>
      <c r="N362" s="1552"/>
      <c r="O362" s="25" t="str">
        <f>_xlfn.IFNA(VLOOKUP($C362,'Master sheet'!$A:$AR,44,FALSE),"")&amp;""</f>
        <v/>
      </c>
      <c r="P362" s="637"/>
      <c r="Q362" s="29" t="s">
        <v>1556</v>
      </c>
      <c r="R362" s="638" t="s">
        <v>1596</v>
      </c>
      <c r="S362" s="638"/>
      <c r="T362" s="638"/>
      <c r="U362" s="638"/>
      <c r="V362" s="664"/>
      <c r="W362" s="664"/>
      <c r="X362" s="664"/>
      <c r="Y362" s="664"/>
      <c r="Z362" s="664"/>
    </row>
    <row r="363" spans="1:26" ht="31.2" outlineLevel="1" x14ac:dyDescent="0.25">
      <c r="A363" s="1600"/>
      <c r="B363" s="1564"/>
      <c r="C363" s="673" t="str">
        <f>INDEX('Master sheet'!$A$1:$A$670,MATCH("A72",'Master sheet'!$AN$1:$AN$670,0))</f>
        <v>Metal Panels - Steel / Canadian Sheet Steel Building Institute / 24 gauge</v>
      </c>
      <c r="D363" s="17">
        <f>'USER INPUT SHEET'!$D$52</f>
        <v>0</v>
      </c>
      <c r="E363" s="18" t="str">
        <f>'USER INPUT SHEET'!$F$52</f>
        <v>m2</v>
      </c>
      <c r="F363" s="4">
        <v>1</v>
      </c>
      <c r="G363" s="674"/>
      <c r="H363" s="9"/>
      <c r="I363" s="95">
        <f t="shared" si="133"/>
        <v>0</v>
      </c>
      <c r="J363" s="96" t="str">
        <f t="shared" si="134"/>
        <v/>
      </c>
      <c r="K363" s="407">
        <f>$D363*$F363*VLOOKUP($C363,'Master sheet'!$A:$AL,13,FALSE)</f>
        <v>0</v>
      </c>
      <c r="L363" s="97">
        <f>$D363*$F363*VLOOKUP($C363,'Master sheet'!$A:$AL,27,FALSE)</f>
        <v>0</v>
      </c>
      <c r="M363" s="1552"/>
      <c r="N363" s="1552"/>
      <c r="O363" s="25" t="str">
        <f>_xlfn.IFNA(VLOOKUP($C363,'Master sheet'!$A:$AR,44,FALSE),"")&amp;""</f>
        <v/>
      </c>
      <c r="P363" s="637"/>
      <c r="Q363" s="29" t="s">
        <v>1556</v>
      </c>
      <c r="R363" s="638" t="s">
        <v>1596</v>
      </c>
      <c r="S363" s="638"/>
      <c r="T363" s="638"/>
      <c r="U363" s="638"/>
      <c r="V363" s="664"/>
      <c r="W363" s="664"/>
      <c r="X363" s="664"/>
      <c r="Y363" s="664"/>
      <c r="Z363" s="664"/>
    </row>
    <row r="364" spans="1:26" ht="46.8" outlineLevel="1" x14ac:dyDescent="0.25">
      <c r="A364" s="1600"/>
      <c r="B364" s="1564"/>
      <c r="C364" s="673" t="str">
        <f>INDEX('Master sheet'!$A$1:$A$670,MATCH("A73",'Master sheet'!$AN$1:$AN$670,0))</f>
        <v>Metal Panels - Steel / Metal Building Manufacturers Assn / List of participating members: https://www.mbma.com/System_Members.html  / 24 gauge</v>
      </c>
      <c r="D364" s="17">
        <f>'USER INPUT SHEET'!$D$52</f>
        <v>0</v>
      </c>
      <c r="E364" s="18" t="str">
        <f>'USER INPUT SHEET'!$F$52</f>
        <v>m2</v>
      </c>
      <c r="F364" s="4">
        <v>1</v>
      </c>
      <c r="G364" s="674"/>
      <c r="H364" s="9"/>
      <c r="I364" s="95">
        <f t="shared" si="133"/>
        <v>0</v>
      </c>
      <c r="J364" s="96" t="str">
        <f t="shared" si="134"/>
        <v/>
      </c>
      <c r="K364" s="407">
        <f>$D364*$F364*VLOOKUP($C364,'Master sheet'!$A:$AL,13,FALSE)</f>
        <v>0</v>
      </c>
      <c r="L364" s="97">
        <f>$D364*$F364*VLOOKUP($C364,'Master sheet'!$A:$AL,27,FALSE)</f>
        <v>0</v>
      </c>
      <c r="M364" s="1552"/>
      <c r="N364" s="1552"/>
      <c r="O364" s="25" t="str">
        <f>_xlfn.IFNA(VLOOKUP($C364,'Master sheet'!$A:$AR,44,FALSE),"")&amp;""</f>
        <v/>
      </c>
      <c r="P364" s="637"/>
      <c r="Q364" s="29" t="s">
        <v>1556</v>
      </c>
      <c r="R364" s="638" t="s">
        <v>1596</v>
      </c>
      <c r="S364" s="638"/>
      <c r="T364" s="638"/>
      <c r="U364" s="638"/>
      <c r="V364" s="664"/>
      <c r="W364" s="664"/>
      <c r="X364" s="664"/>
      <c r="Y364" s="664"/>
      <c r="Z364" s="664"/>
    </row>
    <row r="365" spans="1:26" s="624" customFormat="1" ht="31.5" customHeight="1" outlineLevel="1" x14ac:dyDescent="0.25">
      <c r="A365" s="1564"/>
      <c r="B365" s="1564"/>
      <c r="C365" s="673" t="str">
        <f>INDEX('Master sheet'!$A$1:$A$670,MATCH("A74",'Master sheet'!$AN$1:$AN$670,0))</f>
        <v>Metal Panels - Steel / Petersen Aluminum Corp / Pac-Clad, all profiles / 24 gauge</v>
      </c>
      <c r="D365" s="17">
        <f>'USER INPUT SHEET'!$D$52</f>
        <v>0</v>
      </c>
      <c r="E365" s="18" t="str">
        <f>'USER INPUT SHEET'!$F$52</f>
        <v>m2</v>
      </c>
      <c r="F365" s="4">
        <v>1</v>
      </c>
      <c r="G365" s="674"/>
      <c r="H365" s="9"/>
      <c r="I365" s="95">
        <f t="shared" si="131"/>
        <v>0</v>
      </c>
      <c r="J365" s="96" t="str">
        <f t="shared" si="132"/>
        <v/>
      </c>
      <c r="K365" s="407">
        <f>$D365*$F365*VLOOKUP($C365,'Master sheet'!$A:$AL,13,FALSE)</f>
        <v>0</v>
      </c>
      <c r="L365" s="97">
        <f>$D365*$F365*VLOOKUP($C365,'Master sheet'!$A:$AL,27,FALSE)</f>
        <v>0</v>
      </c>
      <c r="M365" s="1559"/>
      <c r="N365" s="1559"/>
      <c r="O365" s="25" t="str">
        <f>_xlfn.IFNA(VLOOKUP($C365,'Master sheet'!$A:$AR,44,FALSE),"")&amp;""</f>
        <v/>
      </c>
      <c r="P365" s="637"/>
      <c r="Q365" s="29" t="s">
        <v>1556</v>
      </c>
      <c r="R365" s="638" t="s">
        <v>1596</v>
      </c>
      <c r="S365" s="638"/>
      <c r="T365" s="638"/>
      <c r="U365" s="638"/>
      <c r="V365" s="638"/>
      <c r="W365" s="638"/>
      <c r="X365" s="638"/>
      <c r="Y365" s="638"/>
      <c r="Z365" s="638"/>
    </row>
    <row r="366" spans="1:26" s="624" customFormat="1" ht="23.25" customHeight="1" outlineLevel="1" x14ac:dyDescent="0.25">
      <c r="A366" s="639"/>
      <c r="B366" s="1524" t="s">
        <v>1068</v>
      </c>
      <c r="C366" s="1523"/>
      <c r="D366" s="640"/>
      <c r="E366" s="641"/>
      <c r="F366" s="340"/>
      <c r="G366" s="739"/>
      <c r="H366" s="821"/>
      <c r="I366" s="642"/>
      <c r="J366" s="643"/>
      <c r="K366" s="676"/>
      <c r="L366" s="677"/>
      <c r="M366" s="677"/>
      <c r="N366" s="677"/>
      <c r="O366" s="25" t="str">
        <f>_xlfn.IFNA(VLOOKUP($C366,'Master sheet'!$A:$AR,44,FALSE),"")&amp;""</f>
        <v/>
      </c>
      <c r="P366" s="637"/>
      <c r="Q366" s="29" t="s">
        <v>1556</v>
      </c>
      <c r="R366" s="638" t="s">
        <v>1596</v>
      </c>
      <c r="S366" s="638"/>
      <c r="T366" s="638"/>
      <c r="U366" s="638"/>
      <c r="V366" s="638"/>
      <c r="W366" s="638"/>
      <c r="X366" s="638"/>
      <c r="Y366" s="638"/>
      <c r="Z366" s="638"/>
    </row>
    <row r="367" spans="1:26" ht="22.8" outlineLevel="1" x14ac:dyDescent="0.25">
      <c r="A367" s="729"/>
      <c r="B367" s="729"/>
      <c r="C367" s="691" t="s">
        <v>1372</v>
      </c>
      <c r="D367" s="19">
        <f>'USER INPUT SHEET'!$D$52</f>
        <v>0</v>
      </c>
      <c r="E367" s="20" t="str">
        <f>'USER INPUT SHEET'!$F$52</f>
        <v>m2</v>
      </c>
      <c r="F367" s="6">
        <v>1</v>
      </c>
      <c r="G367" s="692"/>
      <c r="H367" s="10"/>
      <c r="I367" s="98">
        <f>K367-L367</f>
        <v>0</v>
      </c>
      <c r="J367" s="91" t="str">
        <f>IF(H367=1,I367,"")</f>
        <v/>
      </c>
      <c r="K367" s="410">
        <f>F367*AVERAGE(K368:K369)</f>
        <v>0</v>
      </c>
      <c r="L367" s="99">
        <f>F367*AVERAGE(L368:L369)</f>
        <v>0</v>
      </c>
      <c r="M367" s="1552"/>
      <c r="N367" s="1552"/>
      <c r="O367" s="25" t="str">
        <f>_xlfn.IFNA(VLOOKUP($C367,'Master sheet'!$A:$AR,44,FALSE),"")&amp;""</f>
        <v/>
      </c>
      <c r="P367" s="637"/>
      <c r="Q367" s="29" t="s">
        <v>1556</v>
      </c>
      <c r="R367" s="638" t="s">
        <v>1596</v>
      </c>
      <c r="S367" s="664"/>
      <c r="T367" s="664"/>
      <c r="U367" s="664"/>
      <c r="V367" s="664"/>
      <c r="W367" s="664"/>
      <c r="X367" s="664"/>
      <c r="Y367" s="664"/>
      <c r="Z367" s="664"/>
    </row>
    <row r="368" spans="1:26" ht="31.5" customHeight="1" outlineLevel="1" x14ac:dyDescent="0.25">
      <c r="A368" s="1600"/>
      <c r="B368" s="1564"/>
      <c r="C368" s="669" t="str">
        <f>INDEX('Master sheet'!$A$1:$A$670,MATCH(138,'Master sheet'!$AN$1:$AN$670,0))</f>
        <v>Metal Panels - Aluminum / Metal Construction Assn. / 22 gauge / Includes: ATAS, DMI, Englert, Fabral,McElroy, Pac-Clad</v>
      </c>
      <c r="D368" s="15">
        <f>'USER INPUT SHEET'!$D$52</f>
        <v>0</v>
      </c>
      <c r="E368" s="16" t="str">
        <f>'USER INPUT SHEET'!$F$52</f>
        <v>m2</v>
      </c>
      <c r="F368" s="3">
        <v>1</v>
      </c>
      <c r="G368" s="670"/>
      <c r="H368" s="8"/>
      <c r="I368" s="92">
        <f>K368-L368</f>
        <v>0</v>
      </c>
      <c r="J368" s="93" t="str">
        <f>IF(H368=1,I368,"")</f>
        <v/>
      </c>
      <c r="K368" s="406">
        <f>$D368*$F368*VLOOKUP($C368,'Master sheet'!$A:$AL,13,FALSE)</f>
        <v>0</v>
      </c>
      <c r="L368" s="94">
        <f>$D368*$F368*VLOOKUP($C368,'Master sheet'!$A:$AL,27,FALSE)</f>
        <v>0</v>
      </c>
      <c r="M368" s="1552"/>
      <c r="N368" s="1552"/>
      <c r="O368" s="25" t="str">
        <f ca="1">_xlfn.IFNA(VLOOKUP($C368,'Master sheet'!$A:$AR,44,FALSE),"")&amp;""</f>
        <v/>
      </c>
      <c r="P368" s="685"/>
      <c r="Q368" s="29" t="s">
        <v>1556</v>
      </c>
      <c r="R368" s="638" t="s">
        <v>1596</v>
      </c>
      <c r="S368" s="664"/>
      <c r="T368" s="664"/>
      <c r="U368" s="664"/>
      <c r="V368" s="664"/>
      <c r="W368" s="664"/>
      <c r="X368" s="664"/>
      <c r="Y368" s="664"/>
      <c r="Z368" s="664"/>
    </row>
    <row r="369" spans="1:26" s="624" customFormat="1" ht="31.5" customHeight="1" outlineLevel="1" x14ac:dyDescent="0.25">
      <c r="A369" s="1564"/>
      <c r="B369" s="1564"/>
      <c r="C369" s="673" t="str">
        <f>INDEX('Master sheet'!$A$1:$A$670,MATCH("A69",'Master sheet'!$AN$1:$AN$670,0))</f>
        <v>Metal Panels - Aluminum / Petersen Aluminum Corp / Pac-Clad, all profiles / 20 gauge</v>
      </c>
      <c r="D369" s="17">
        <f>'USER INPUT SHEET'!$D$52</f>
        <v>0</v>
      </c>
      <c r="E369" s="18" t="str">
        <f>'USER INPUT SHEET'!$F$52</f>
        <v>m2</v>
      </c>
      <c r="F369" s="4">
        <v>1</v>
      </c>
      <c r="G369" s="674"/>
      <c r="H369" s="9"/>
      <c r="I369" s="95">
        <f>K369-L369</f>
        <v>0</v>
      </c>
      <c r="J369" s="96" t="str">
        <f>IF(H369=1,I369,"")</f>
        <v/>
      </c>
      <c r="K369" s="407">
        <f>$D369*$F369*VLOOKUP($C369,'Master sheet'!$A:$AL,13,FALSE)</f>
        <v>0</v>
      </c>
      <c r="L369" s="97">
        <f>$D369*$F369*VLOOKUP($C369,'Master sheet'!$A:$AL,27,FALSE)</f>
        <v>0</v>
      </c>
      <c r="M369" s="1559"/>
      <c r="N369" s="1559"/>
      <c r="O369" s="25" t="str">
        <f>_xlfn.IFNA(VLOOKUP($C369,'Master sheet'!$A:$AR,44,FALSE),"")&amp;""</f>
        <v/>
      </c>
      <c r="P369" s="637"/>
      <c r="Q369" s="29" t="s">
        <v>1556</v>
      </c>
      <c r="R369" s="638" t="s">
        <v>1596</v>
      </c>
      <c r="S369" s="638"/>
      <c r="T369" s="638"/>
      <c r="U369" s="638"/>
      <c r="V369" s="638"/>
      <c r="W369" s="638"/>
      <c r="X369" s="638"/>
      <c r="Y369" s="638"/>
      <c r="Z369" s="638"/>
    </row>
    <row r="370" spans="1:26" s="624" customFormat="1" ht="23.25" customHeight="1" outlineLevel="1" x14ac:dyDescent="0.25">
      <c r="A370" s="639"/>
      <c r="B370" s="1524" t="s">
        <v>3433</v>
      </c>
      <c r="C370" s="1523"/>
      <c r="D370" s="640"/>
      <c r="E370" s="641"/>
      <c r="F370" s="340"/>
      <c r="G370" s="739"/>
      <c r="H370" s="821"/>
      <c r="I370" s="642"/>
      <c r="J370" s="643"/>
      <c r="K370" s="676"/>
      <c r="L370" s="677"/>
      <c r="M370" s="677"/>
      <c r="N370" s="677"/>
      <c r="O370" s="25" t="str">
        <f>_xlfn.IFNA(VLOOKUP($C370,'Master sheet'!$A:$AR,44,FALSE),"")&amp;""</f>
        <v/>
      </c>
      <c r="P370" s="637"/>
      <c r="Q370" s="29" t="s">
        <v>1556</v>
      </c>
      <c r="R370" s="638" t="s">
        <v>1596</v>
      </c>
      <c r="S370" s="638"/>
      <c r="T370" s="638"/>
      <c r="U370" s="638"/>
      <c r="V370" s="638"/>
      <c r="W370" s="638"/>
      <c r="X370" s="638"/>
      <c r="Y370" s="638"/>
      <c r="Z370" s="638"/>
    </row>
    <row r="371" spans="1:26" ht="23.25" customHeight="1" outlineLevel="1" x14ac:dyDescent="0.25">
      <c r="A371" s="1564"/>
      <c r="B371" s="1564"/>
      <c r="C371" s="669" t="str">
        <f>INDEX('Master sheet'!$A$1:$A$670,MATCH(42,'Master sheet'!$AN$1:$AN$670,0))</f>
        <v>Clay plaster / Site mixed /  / 15 mm</v>
      </c>
      <c r="D371" s="15">
        <f>'USER INPUT SHEET'!$D$52</f>
        <v>0</v>
      </c>
      <c r="E371" s="16" t="str">
        <f>'USER INPUT SHEET'!$F$52</f>
        <v>m2</v>
      </c>
      <c r="F371" s="3">
        <v>1</v>
      </c>
      <c r="G371" s="670"/>
      <c r="H371" s="8"/>
      <c r="I371" s="92">
        <f t="shared" ref="I371:I374" si="135">K371-L371</f>
        <v>0</v>
      </c>
      <c r="J371" s="93" t="str">
        <f t="shared" ref="J371:J374" si="136">IF(H371=1,I371,"")</f>
        <v/>
      </c>
      <c r="K371" s="406">
        <f>$D371*$F371*VLOOKUP($C371,'Master sheet'!$A:$AL,13,FALSE)</f>
        <v>0</v>
      </c>
      <c r="L371" s="94">
        <f>$D371*$F371*VLOOKUP($C371,'Master sheet'!$A:$AL,27,FALSE)</f>
        <v>0</v>
      </c>
      <c r="M371" s="1552"/>
      <c r="N371" s="1552"/>
      <c r="O371" s="25" t="str">
        <f>_xlfn.IFNA(VLOOKUP($C371,'Master sheet'!$A:$AR,44,FALSE),"")&amp;""</f>
        <v>Peer-reviewed LCA, 2014</v>
      </c>
      <c r="P371" s="685"/>
      <c r="Q371" s="29" t="s">
        <v>1556</v>
      </c>
      <c r="R371" s="638" t="s">
        <v>1596</v>
      </c>
      <c r="S371" s="664"/>
      <c r="T371" s="664"/>
      <c r="U371" s="664"/>
      <c r="V371" s="664"/>
      <c r="W371" s="664"/>
      <c r="X371" s="664"/>
      <c r="Y371" s="664"/>
      <c r="Z371" s="664"/>
    </row>
    <row r="372" spans="1:26" ht="31.2" outlineLevel="1" x14ac:dyDescent="0.25">
      <c r="A372" s="1564"/>
      <c r="B372" s="1564"/>
      <c r="C372" s="673" t="str">
        <f>INDEX('Master sheet'!$A$1:$A$670,MATCH(212,'Master sheet'!$AN$1:$AN$670,0))</f>
        <v xml:space="preserve">Acrylic Stucco Textured Finish / Sto / Stolit 1.0, Stolit 1.5, Stolit Freeform / </v>
      </c>
      <c r="D372" s="17">
        <f>'USER INPUT SHEET'!$D$52</f>
        <v>0</v>
      </c>
      <c r="E372" s="18" t="str">
        <f>'USER INPUT SHEET'!$F$52</f>
        <v>m2</v>
      </c>
      <c r="F372" s="4">
        <v>1</v>
      </c>
      <c r="G372" s="674"/>
      <c r="H372" s="9"/>
      <c r="I372" s="95">
        <f t="shared" si="135"/>
        <v>0</v>
      </c>
      <c r="J372" s="96" t="str">
        <f t="shared" si="136"/>
        <v/>
      </c>
      <c r="K372" s="407">
        <f>$D372*$F372*VLOOKUP($C372,'Master sheet'!$A:$AL,13,FALSE)</f>
        <v>0</v>
      </c>
      <c r="L372" s="97">
        <f>$D372*$F372*VLOOKUP($C372,'Master sheet'!$A:$AL,27,FALSE)</f>
        <v>0</v>
      </c>
      <c r="M372" s="1552"/>
      <c r="N372" s="1552"/>
      <c r="O372" s="25" t="str">
        <f ca="1">_xlfn.IFNA(VLOOKUP($C372,'Master sheet'!$A:$AR,44,FALSE),"")&amp;""</f>
        <v>Expired 2024</v>
      </c>
      <c r="P372" s="685"/>
      <c r="Q372" s="29" t="s">
        <v>1556</v>
      </c>
      <c r="R372" s="638" t="s">
        <v>1596</v>
      </c>
      <c r="S372" s="638"/>
      <c r="T372" s="638"/>
      <c r="U372" s="638"/>
      <c r="V372" s="664"/>
      <c r="W372" s="664"/>
      <c r="X372" s="664"/>
      <c r="Y372" s="664"/>
      <c r="Z372" s="664"/>
    </row>
    <row r="373" spans="1:26" ht="31.2" outlineLevel="1" x14ac:dyDescent="0.25">
      <c r="A373" s="1564"/>
      <c r="B373" s="1564"/>
      <c r="C373" s="673" t="str">
        <f>INDEX('Master sheet'!$A$1:$A$670,MATCH("A64",'Master sheet'!$AN$1:$AN$670,0))</f>
        <v>Lime/Cork Plaster (Ext. &amp; Int.) / Diasen / Diathonite Evolution, R3.2-inch / 3/4"</v>
      </c>
      <c r="D373" s="17">
        <f>'USER INPUT SHEET'!$D$52</f>
        <v>0</v>
      </c>
      <c r="E373" s="18" t="str">
        <f>'USER INPUT SHEET'!$F$52</f>
        <v>m2</v>
      </c>
      <c r="F373" s="4">
        <v>1</v>
      </c>
      <c r="G373" s="674"/>
      <c r="H373" s="9"/>
      <c r="I373" s="95">
        <f t="shared" si="135"/>
        <v>0</v>
      </c>
      <c r="J373" s="96" t="str">
        <f t="shared" si="136"/>
        <v/>
      </c>
      <c r="K373" s="407">
        <f>$D373*$F373*VLOOKUP($C373,'Master sheet'!$A:$AL,13,FALSE)</f>
        <v>0</v>
      </c>
      <c r="L373" s="97">
        <f>$D373*$F373*VLOOKUP($C373,'Master sheet'!$A:$AL,27,FALSE)</f>
        <v>0</v>
      </c>
      <c r="M373" s="1552"/>
      <c r="N373" s="1552"/>
      <c r="O373" s="25" t="str">
        <f>_xlfn.IFNA(VLOOKUP($C373,'Master sheet'!$A:$AR,44,FALSE),"")&amp;""</f>
        <v/>
      </c>
      <c r="P373" s="685"/>
      <c r="Q373" s="29" t="s">
        <v>1556</v>
      </c>
      <c r="R373" s="638" t="s">
        <v>1596</v>
      </c>
      <c r="S373" s="638"/>
      <c r="T373" s="638"/>
      <c r="U373" s="638"/>
      <c r="V373" s="664"/>
      <c r="W373" s="664"/>
      <c r="X373" s="664"/>
      <c r="Y373" s="664"/>
      <c r="Z373" s="664"/>
    </row>
    <row r="374" spans="1:26" s="624" customFormat="1" ht="31.5" customHeight="1" outlineLevel="1" x14ac:dyDescent="0.25">
      <c r="A374" s="1564"/>
      <c r="B374" s="1564"/>
      <c r="C374" s="673" t="str">
        <f>INDEX('Master sheet'!$A$1:$A$670,MATCH("A65",'Master sheet'!$AN$1:$AN$670,0))</f>
        <v>Lime/Cork Plaster (Ext. &amp; Int.) / Diasen / Diathonite Thermactive.037, R3.9-inch / 3/4"</v>
      </c>
      <c r="D374" s="17">
        <f>'USER INPUT SHEET'!$D$52</f>
        <v>0</v>
      </c>
      <c r="E374" s="18" t="str">
        <f>'USER INPUT SHEET'!$F$52</f>
        <v>m2</v>
      </c>
      <c r="F374" s="4">
        <v>1</v>
      </c>
      <c r="G374" s="674"/>
      <c r="H374" s="9"/>
      <c r="I374" s="95">
        <f t="shared" si="135"/>
        <v>0</v>
      </c>
      <c r="J374" s="96" t="str">
        <f t="shared" si="136"/>
        <v/>
      </c>
      <c r="K374" s="407">
        <f>$D374*$F374*VLOOKUP($C374,'Master sheet'!$A:$AL,13,FALSE)</f>
        <v>0</v>
      </c>
      <c r="L374" s="97">
        <f>$D374*$F374*VLOOKUP($C374,'Master sheet'!$A:$AL,27,FALSE)</f>
        <v>0</v>
      </c>
      <c r="M374" s="1559"/>
      <c r="N374" s="1559"/>
      <c r="O374" s="25" t="str">
        <f>_xlfn.IFNA(VLOOKUP($C374,'Master sheet'!$A:$AR,44,FALSE),"")&amp;""</f>
        <v/>
      </c>
      <c r="P374" s="685"/>
      <c r="Q374" s="29" t="s">
        <v>1556</v>
      </c>
      <c r="R374" s="638" t="s">
        <v>1596</v>
      </c>
      <c r="S374" s="638"/>
      <c r="T374" s="638"/>
      <c r="U374" s="638"/>
      <c r="V374" s="638"/>
      <c r="W374" s="638"/>
      <c r="X374" s="638"/>
      <c r="Y374" s="638"/>
      <c r="Z374" s="638"/>
    </row>
    <row r="375" spans="1:26" s="624" customFormat="1" ht="31.5" customHeight="1" outlineLevel="1" x14ac:dyDescent="0.25">
      <c r="A375" s="639"/>
      <c r="B375" s="1524" t="s">
        <v>3804</v>
      </c>
      <c r="C375" s="1523"/>
      <c r="D375" s="640"/>
      <c r="E375" s="641"/>
      <c r="F375" s="340"/>
      <c r="G375" s="739"/>
      <c r="H375" s="821"/>
      <c r="I375" s="642"/>
      <c r="J375" s="643"/>
      <c r="K375" s="676"/>
      <c r="L375" s="677"/>
      <c r="M375" s="677"/>
      <c r="N375" s="677"/>
      <c r="O375" s="25" t="str">
        <f>_xlfn.IFNA(VLOOKUP($C375,'Master sheet'!$A:$AR,44,FALSE),"")&amp;""</f>
        <v/>
      </c>
      <c r="P375" s="637"/>
      <c r="Q375" s="638"/>
      <c r="R375" s="638"/>
      <c r="S375" s="638"/>
      <c r="T375" s="638"/>
      <c r="U375" s="638"/>
      <c r="V375" s="638"/>
      <c r="W375" s="638"/>
      <c r="X375" s="638"/>
      <c r="Y375" s="638"/>
      <c r="Z375" s="638"/>
    </row>
    <row r="376" spans="1:26" s="624" customFormat="1" ht="31.5" customHeight="1" outlineLevel="1" x14ac:dyDescent="0.25">
      <c r="A376" s="1564"/>
      <c r="B376" s="1564"/>
      <c r="C376" s="673" t="str">
        <f>INDEX('Master sheet'!$A$1:$A$670,MATCH("A140",'Master sheet'!$AN$1:$AN$670,0))</f>
        <v>Engineered Wood Siding &amp; Trim / LP / BuilderSeries® Lap Siding / 9/32" (7.3 mm)</v>
      </c>
      <c r="D376" s="17">
        <f>'USER INPUT SHEET'!$D$52</f>
        <v>0</v>
      </c>
      <c r="E376" s="18" t="str">
        <f>'USER INPUT SHEET'!$F$52</f>
        <v>m2</v>
      </c>
      <c r="F376" s="4">
        <v>1</v>
      </c>
      <c r="G376" s="674"/>
      <c r="H376" s="9"/>
      <c r="I376" s="92">
        <f t="shared" ref="I376:I380" si="137">K376-L376-IF(N376,M376,0)</f>
        <v>0</v>
      </c>
      <c r="J376" s="96" t="str">
        <f t="shared" ref="J376:J379" si="138">IF(H376=1,I376,"")</f>
        <v/>
      </c>
      <c r="K376" s="407">
        <f>$D376*$F376*VLOOKUP($C376,'Master sheet'!$A:$AL,13,FALSE)</f>
        <v>0</v>
      </c>
      <c r="L376" s="97">
        <f>$D376*$F376*VLOOKUP($C376,'Master sheet'!$A:$AL,27,FALSE)</f>
        <v>0</v>
      </c>
      <c r="M376" s="1552"/>
      <c r="N376" s="1552"/>
      <c r="O376" s="25" t="str">
        <f>_xlfn.IFNA(VLOOKUP($C376,'Master sheet'!$A:$AR,44,FALSE),"")&amp;""</f>
        <v/>
      </c>
      <c r="P376" s="685"/>
      <c r="Q376" s="29" t="s">
        <v>1556</v>
      </c>
      <c r="R376" s="638" t="s">
        <v>1596</v>
      </c>
      <c r="S376" s="638"/>
      <c r="T376" s="638"/>
      <c r="U376" s="638"/>
      <c r="V376" s="638"/>
      <c r="W376" s="638"/>
      <c r="X376" s="638"/>
      <c r="Y376" s="638"/>
      <c r="Z376" s="638"/>
    </row>
    <row r="377" spans="1:26" s="624" customFormat="1" ht="31.5" customHeight="1" outlineLevel="1" x14ac:dyDescent="0.25">
      <c r="A377" s="1564"/>
      <c r="B377" s="1564"/>
      <c r="C377" s="673" t="str">
        <f>INDEX('Master sheet'!$A$1:$A$670,MATCH("A137",'Master sheet'!$AN$1:$AN$670,0))</f>
        <v>Engineered Wood Siding &amp; Trim / LP / SmartSide / 0.354" (9 mm)</v>
      </c>
      <c r="D377" s="17">
        <f>'USER INPUT SHEET'!$D$52</f>
        <v>0</v>
      </c>
      <c r="E377" s="18" t="str">
        <f>'USER INPUT SHEET'!$F$52</f>
        <v>m2</v>
      </c>
      <c r="F377" s="4">
        <v>1</v>
      </c>
      <c r="G377" s="674"/>
      <c r="H377" s="9"/>
      <c r="I377" s="92">
        <f t="shared" si="137"/>
        <v>0</v>
      </c>
      <c r="J377" s="96" t="str">
        <f t="shared" si="138"/>
        <v/>
      </c>
      <c r="K377" s="407">
        <f>$D377*$F377*VLOOKUP($C377,'Master sheet'!$A:$AL,13,FALSE)</f>
        <v>0</v>
      </c>
      <c r="L377" s="97">
        <f>$D377*$F377*VLOOKUP($C377,'Master sheet'!$A:$AL,27,FALSE)</f>
        <v>0</v>
      </c>
      <c r="M377" s="1552"/>
      <c r="N377" s="1552"/>
      <c r="O377" s="25" t="str">
        <f>_xlfn.IFNA(VLOOKUP($C377,'Master sheet'!$A:$AR,44,FALSE),"")&amp;""</f>
        <v/>
      </c>
      <c r="P377" s="685"/>
      <c r="Q377" s="29" t="s">
        <v>1556</v>
      </c>
      <c r="R377" s="638" t="s">
        <v>1596</v>
      </c>
      <c r="S377" s="638"/>
      <c r="T377" s="638" t="s">
        <v>7295</v>
      </c>
      <c r="U377" s="638"/>
      <c r="V377" s="638"/>
      <c r="W377" s="638"/>
      <c r="X377" s="638"/>
      <c r="Y377" s="638"/>
      <c r="Z377" s="638"/>
    </row>
    <row r="378" spans="1:26" s="624" customFormat="1" ht="31.5" customHeight="1" outlineLevel="1" x14ac:dyDescent="0.25">
      <c r="A378" s="1564"/>
      <c r="B378" s="1564"/>
      <c r="C378" s="673" t="str">
        <f>INDEX('Master sheet'!$A$1:$A$670,MATCH("A138",'Master sheet'!$AN$1:$AN$670,0))</f>
        <v>Engineered Wood Siding &amp; Trim / LP / SmartSide / 0.418" (10.6 mm)</v>
      </c>
      <c r="D378" s="17">
        <f>'USER INPUT SHEET'!$D$52</f>
        <v>0</v>
      </c>
      <c r="E378" s="18" t="str">
        <f>'USER INPUT SHEET'!$F$52</f>
        <v>m2</v>
      </c>
      <c r="F378" s="4">
        <v>1</v>
      </c>
      <c r="G378" s="674"/>
      <c r="H378" s="9"/>
      <c r="I378" s="92">
        <f t="shared" si="137"/>
        <v>0</v>
      </c>
      <c r="J378" s="96" t="str">
        <f t="shared" si="138"/>
        <v/>
      </c>
      <c r="K378" s="407">
        <f>$D378*$F378*VLOOKUP($C378,'Master sheet'!$A:$AL,13,FALSE)</f>
        <v>0</v>
      </c>
      <c r="L378" s="97">
        <f>$D378*$F378*VLOOKUP($C378,'Master sheet'!$A:$AL,27,FALSE)</f>
        <v>0</v>
      </c>
      <c r="M378" s="1552"/>
      <c r="N378" s="1552"/>
      <c r="O378" s="25" t="str">
        <f>_xlfn.IFNA(VLOOKUP($C378,'Master sheet'!$A:$AR,44,FALSE),"")&amp;""</f>
        <v/>
      </c>
      <c r="P378" s="685"/>
      <c r="Q378" s="29" t="s">
        <v>1556</v>
      </c>
      <c r="R378" s="638" t="s">
        <v>1596</v>
      </c>
      <c r="S378" s="638"/>
      <c r="T378" s="638"/>
      <c r="U378" s="638"/>
      <c r="V378" s="638"/>
      <c r="W378" s="638"/>
      <c r="X378" s="638"/>
      <c r="Y378" s="638"/>
      <c r="Z378" s="638"/>
    </row>
    <row r="379" spans="1:26" s="624" customFormat="1" ht="31.5" customHeight="1" outlineLevel="1" x14ac:dyDescent="0.25">
      <c r="A379" s="1564"/>
      <c r="B379" s="1564"/>
      <c r="C379" s="673" t="str">
        <f>INDEX('Master sheet'!$A$1:$A$670,MATCH("A139",'Master sheet'!$AN$1:$AN$670,0))</f>
        <v>Engineered Wood Siding &amp; Trim / LP / SmartSide / 0.578" (14.7mm)</v>
      </c>
      <c r="D379" s="17">
        <f>'USER INPUT SHEET'!$D$52</f>
        <v>0</v>
      </c>
      <c r="E379" s="18" t="str">
        <f>'USER INPUT SHEET'!$F$52</f>
        <v>m2</v>
      </c>
      <c r="F379" s="4">
        <v>1</v>
      </c>
      <c r="G379" s="674"/>
      <c r="H379" s="9"/>
      <c r="I379" s="92">
        <f t="shared" si="137"/>
        <v>0</v>
      </c>
      <c r="J379" s="96" t="str">
        <f t="shared" si="138"/>
        <v/>
      </c>
      <c r="K379" s="407">
        <f>$D379*$F379*VLOOKUP($C379,'Master sheet'!$A:$AL,13,FALSE)</f>
        <v>0</v>
      </c>
      <c r="L379" s="97">
        <f>$D379*$F379*VLOOKUP($C379,'Master sheet'!$A:$AL,27,FALSE)</f>
        <v>0</v>
      </c>
      <c r="M379" s="1552"/>
      <c r="N379" s="1552"/>
      <c r="O379" s="25" t="str">
        <f>_xlfn.IFNA(VLOOKUP($C379,'Master sheet'!$A:$AR,44,FALSE),"")&amp;""</f>
        <v/>
      </c>
      <c r="P379" s="685"/>
      <c r="Q379" s="29" t="s">
        <v>1556</v>
      </c>
      <c r="R379" s="638" t="s">
        <v>1596</v>
      </c>
      <c r="S379" s="638"/>
      <c r="T379" s="638"/>
      <c r="U379" s="638"/>
      <c r="V379" s="638"/>
      <c r="W379" s="638"/>
      <c r="X379" s="638"/>
      <c r="Y379" s="638"/>
      <c r="Z379" s="638"/>
    </row>
    <row r="380" spans="1:26" s="624" customFormat="1" ht="31.5" customHeight="1" outlineLevel="1" x14ac:dyDescent="0.25">
      <c r="A380" s="1564"/>
      <c r="B380" s="1564"/>
      <c r="C380" s="673" t="str">
        <f>INDEX('Master sheet'!$A$1:$A$670,MATCH("A141",'Master sheet'!$AN$1:$AN$670,0))</f>
        <v>Engineered Wood Siding &amp; Trim / LP / SmartSide ExpertFinish / 3/8" (9.5 mm)</v>
      </c>
      <c r="D380" s="17">
        <f>'USER INPUT SHEET'!$D$52</f>
        <v>0</v>
      </c>
      <c r="E380" s="18" t="str">
        <f>'USER INPUT SHEET'!$F$52</f>
        <v>m2</v>
      </c>
      <c r="F380" s="4">
        <v>1</v>
      </c>
      <c r="G380" s="674"/>
      <c r="H380" s="9"/>
      <c r="I380" s="92">
        <f t="shared" si="137"/>
        <v>0</v>
      </c>
      <c r="J380" s="96" t="str">
        <f>IF(H380=1,I380,"")</f>
        <v/>
      </c>
      <c r="K380" s="407">
        <f>$D380*$F380*VLOOKUP($C380,'Master sheet'!$A:$AL,13,FALSE)</f>
        <v>0</v>
      </c>
      <c r="L380" s="97">
        <f>$D380*$F380*VLOOKUP($C380,'Master sheet'!$A:$AL,27,FALSE)</f>
        <v>0</v>
      </c>
      <c r="M380" s="1552"/>
      <c r="N380" s="1552"/>
      <c r="O380" s="25" t="str">
        <f>_xlfn.IFNA(VLOOKUP($C380,'Master sheet'!$A:$AR,44,FALSE),"")&amp;""</f>
        <v/>
      </c>
      <c r="P380" s="685"/>
      <c r="Q380" s="29" t="s">
        <v>1556</v>
      </c>
      <c r="R380" s="638" t="s">
        <v>1596</v>
      </c>
      <c r="S380" s="638"/>
      <c r="T380" s="638"/>
      <c r="U380" s="638"/>
      <c r="V380" s="638"/>
      <c r="W380" s="638"/>
      <c r="X380" s="638"/>
      <c r="Y380" s="638"/>
      <c r="Z380" s="638"/>
    </row>
    <row r="381" spans="1:26" s="624" customFormat="1" ht="54.75" customHeight="1" outlineLevel="1" x14ac:dyDescent="0.25">
      <c r="A381" s="1522" t="s">
        <v>68</v>
      </c>
      <c r="B381" s="1523"/>
      <c r="C381" s="1523"/>
      <c r="D381" s="629" t="s">
        <v>69</v>
      </c>
      <c r="E381" s="1"/>
      <c r="F381" s="323" t="str">
        <f>IF(LOWER(Setting!rng_language)="english","in","po")</f>
        <v>in</v>
      </c>
      <c r="G381" s="650"/>
      <c r="H381" s="650"/>
      <c r="I381" s="651"/>
      <c r="J381" s="651"/>
      <c r="K381" s="652"/>
      <c r="L381" s="759"/>
      <c r="M381" s="759"/>
      <c r="N381" s="759"/>
      <c r="O381" s="25" t="str">
        <f>_xlfn.IFNA(VLOOKUP($C381,'Master sheet'!$A:$AR,44,FALSE),"")&amp;""</f>
        <v/>
      </c>
      <c r="P381" s="685"/>
      <c r="Q381" s="29" t="s">
        <v>1556</v>
      </c>
      <c r="R381" s="638"/>
      <c r="S381" s="638"/>
      <c r="T381" s="638"/>
      <c r="U381" s="638"/>
      <c r="V381" s="638"/>
      <c r="W381" s="638"/>
      <c r="X381" s="638"/>
      <c r="Y381" s="638"/>
      <c r="Z381" s="638"/>
    </row>
    <row r="382" spans="1:26" s="624" customFormat="1" ht="21" outlineLevel="1" x14ac:dyDescent="0.25">
      <c r="A382" s="639"/>
      <c r="B382" s="1524" t="s">
        <v>6840</v>
      </c>
      <c r="C382" s="1523"/>
      <c r="D382" s="640"/>
      <c r="E382" s="641"/>
      <c r="F382" s="334"/>
      <c r="G382" s="678"/>
      <c r="H382" s="639"/>
      <c r="I382" s="733"/>
      <c r="J382" s="733"/>
      <c r="K382" s="698"/>
      <c r="L382" s="736"/>
      <c r="M382" s="736"/>
      <c r="N382" s="736"/>
      <c r="O382" s="25" t="str">
        <f>_xlfn.IFNA(VLOOKUP($C382,'Master sheet'!$A:$AR,44,FALSE),"")&amp;""</f>
        <v/>
      </c>
      <c r="P382" s="637"/>
      <c r="Q382" s="722"/>
      <c r="R382" s="722"/>
      <c r="S382" s="623"/>
      <c r="T382" s="638"/>
      <c r="U382" s="638"/>
      <c r="V382" s="638"/>
      <c r="W382" s="638"/>
      <c r="X382" s="638"/>
      <c r="Y382" s="638"/>
      <c r="Z382" s="638"/>
    </row>
    <row r="383" spans="1:26" ht="22.8" outlineLevel="1" x14ac:dyDescent="0.25">
      <c r="A383" s="1542"/>
      <c r="B383" s="1542"/>
      <c r="C383" s="669" t="str">
        <f>INDEX('Master sheet'!$A$1:$A$670,MATCH("248-1",'Master sheet'!$AN$1:$AN$670,0))</f>
        <v xml:space="preserve">Wood - SPF / Canadian Wood Council / British Columbia / </v>
      </c>
      <c r="D383" s="13">
        <f>'USER INPUT SHEET'!$D$52</f>
        <v>0</v>
      </c>
      <c r="E383" s="14" t="str">
        <f>'USER INPUT SHEET'!$F$52</f>
        <v>m2</v>
      </c>
      <c r="F383" s="2">
        <v>1</v>
      </c>
      <c r="G383" s="648"/>
      <c r="H383" s="7"/>
      <c r="I383" s="92">
        <f t="shared" ref="I383:I388" si="139">K383-L383-IF(N383,M383,0)</f>
        <v>0</v>
      </c>
      <c r="J383" s="93" t="str">
        <f t="shared" ref="J383:J388" si="140">IF(H383=1,I383,"")</f>
        <v/>
      </c>
      <c r="K383" s="406">
        <f>$D383*$F383*IF($E$381=16,1/0.406,1/0.61)*VLOOKUP($C383,'Master sheet'!$A:$AL,13,FALSE)*(0.0889*0.01905)</f>
        <v>0</v>
      </c>
      <c r="L383" s="94">
        <f>$D383*$F383*IF($E$381=16,1/0.406,1/0.61)*VLOOKUP($C383,'Master sheet'!$A:$AL,27,FALSE)*(0.0889*0.01905)</f>
        <v>0</v>
      </c>
      <c r="M383" s="1552"/>
      <c r="N383" s="1552"/>
      <c r="O383" s="25" t="str">
        <f>_xlfn.IFNA(VLOOKUP($C383,'Master sheet'!$A:$AR,44,FALSE),"")&amp;""</f>
        <v/>
      </c>
      <c r="P383" s="685"/>
      <c r="Q383" s="29" t="s">
        <v>1556</v>
      </c>
      <c r="R383" s="638" t="s">
        <v>1597</v>
      </c>
      <c r="S383" s="638" t="s">
        <v>7257</v>
      </c>
      <c r="T383" s="638"/>
      <c r="U383" s="664"/>
      <c r="V383" s="664"/>
      <c r="W383" s="664"/>
      <c r="X383" s="664"/>
      <c r="Y383" s="664"/>
      <c r="Z383" s="664"/>
    </row>
    <row r="384" spans="1:26" ht="22.8" outlineLevel="1" x14ac:dyDescent="0.25">
      <c r="A384" s="1542"/>
      <c r="B384" s="1542"/>
      <c r="C384" s="669" t="str">
        <f>INDEX('Master sheet'!$A$1:$A$670,MATCH("248-2",'Master sheet'!$AN$1:$AN$670,0))</f>
        <v xml:space="preserve">Wood - SPF / Canadian Wood Council / Alberta / </v>
      </c>
      <c r="D384" s="13">
        <f>'USER INPUT SHEET'!$D$52</f>
        <v>0</v>
      </c>
      <c r="E384" s="14" t="str">
        <f>'USER INPUT SHEET'!$F$52</f>
        <v>m2</v>
      </c>
      <c r="F384" s="2">
        <v>1</v>
      </c>
      <c r="G384" s="648"/>
      <c r="H384" s="7"/>
      <c r="I384" s="92">
        <f t="shared" si="139"/>
        <v>0</v>
      </c>
      <c r="J384" s="93" t="str">
        <f t="shared" si="140"/>
        <v/>
      </c>
      <c r="K384" s="406">
        <f>$D384*$F384*IF($E$381=16,1/0.406,1/0.61)*VLOOKUP($C384,'Master sheet'!$A:$AL,13,FALSE)*(0.0889*0.01905)</f>
        <v>0</v>
      </c>
      <c r="L384" s="94">
        <f>$D384*$F384*IF($E$381=16,1/0.406,1/0.61)*VLOOKUP($C384,'Master sheet'!$A:$AL,27,FALSE)*(0.0889*0.01905)</f>
        <v>0</v>
      </c>
      <c r="M384" s="1552"/>
      <c r="N384" s="1552"/>
      <c r="O384" s="25" t="str">
        <f>_xlfn.IFNA(VLOOKUP($C384,'Master sheet'!$A:$AR,44,FALSE),"")&amp;""</f>
        <v/>
      </c>
      <c r="P384" s="685"/>
      <c r="Q384" s="29" t="s">
        <v>1556</v>
      </c>
      <c r="R384" s="638" t="s">
        <v>1597</v>
      </c>
      <c r="S384" s="638" t="s">
        <v>7257</v>
      </c>
      <c r="T384" s="638"/>
      <c r="U384" s="664"/>
      <c r="V384" s="664"/>
      <c r="W384" s="664"/>
      <c r="X384" s="664"/>
      <c r="Y384" s="664"/>
      <c r="Z384" s="664"/>
    </row>
    <row r="385" spans="1:26" ht="22.8" outlineLevel="1" x14ac:dyDescent="0.25">
      <c r="A385" s="1542"/>
      <c r="B385" s="1542"/>
      <c r="C385" s="669" t="str">
        <f>INDEX('Master sheet'!$A$1:$A$670,MATCH("248-3",'Master sheet'!$AN$1:$AN$670,0))</f>
        <v xml:space="preserve">Wood - SPF / Canadian Wood Council / Ontario / </v>
      </c>
      <c r="D385" s="13">
        <f>'USER INPUT SHEET'!$D$52</f>
        <v>0</v>
      </c>
      <c r="E385" s="14" t="str">
        <f>'USER INPUT SHEET'!$F$52</f>
        <v>m2</v>
      </c>
      <c r="F385" s="2">
        <v>1</v>
      </c>
      <c r="G385" s="648"/>
      <c r="H385" s="7"/>
      <c r="I385" s="92">
        <f t="shared" si="139"/>
        <v>0</v>
      </c>
      <c r="J385" s="93" t="str">
        <f t="shared" si="140"/>
        <v/>
      </c>
      <c r="K385" s="406">
        <f>$D385*$F385*IF($E$381=16,1/0.406,1/0.61)*VLOOKUP($C385,'Master sheet'!$A:$AL,13,FALSE)*(0.0889*0.01905)</f>
        <v>0</v>
      </c>
      <c r="L385" s="94">
        <f>$D385*$F385*IF($E$381=16,1/0.406,1/0.61)*VLOOKUP($C385,'Master sheet'!$A:$AL,27,FALSE)*(0.0889*0.01905)</f>
        <v>0</v>
      </c>
      <c r="M385" s="1552"/>
      <c r="N385" s="1552"/>
      <c r="O385" s="25" t="str">
        <f>_xlfn.IFNA(VLOOKUP($C385,'Master sheet'!$A:$AR,44,FALSE),"")&amp;""</f>
        <v/>
      </c>
      <c r="P385" s="685"/>
      <c r="Q385" s="29" t="s">
        <v>1556</v>
      </c>
      <c r="R385" s="638" t="s">
        <v>1597</v>
      </c>
      <c r="S385" s="638" t="s">
        <v>7257</v>
      </c>
      <c r="T385" s="638"/>
      <c r="U385" s="664"/>
      <c r="V385" s="664"/>
      <c r="W385" s="664"/>
      <c r="X385" s="664"/>
      <c r="Y385" s="664"/>
      <c r="Z385" s="664"/>
    </row>
    <row r="386" spans="1:26" ht="22.8" outlineLevel="1" x14ac:dyDescent="0.25">
      <c r="A386" s="1542"/>
      <c r="B386" s="1542"/>
      <c r="C386" s="669" t="str">
        <f>INDEX('Master sheet'!$A$1:$A$670,MATCH("248-4",'Master sheet'!$AN$1:$AN$670,0))</f>
        <v xml:space="preserve">Wood - SPF / Canadian Wood Council / Quebec / </v>
      </c>
      <c r="D386" s="13">
        <f>'USER INPUT SHEET'!$D$52</f>
        <v>0</v>
      </c>
      <c r="E386" s="14" t="str">
        <f>'USER INPUT SHEET'!$F$52</f>
        <v>m2</v>
      </c>
      <c r="F386" s="2">
        <v>1</v>
      </c>
      <c r="G386" s="648"/>
      <c r="H386" s="7"/>
      <c r="I386" s="92">
        <f t="shared" si="139"/>
        <v>0</v>
      </c>
      <c r="J386" s="93" t="str">
        <f t="shared" si="140"/>
        <v/>
      </c>
      <c r="K386" s="406">
        <f>$D386*$F386*IF($E$381=16,1/0.406,1/0.61)*VLOOKUP($C386,'Master sheet'!$A:$AL,13,FALSE)*(0.0889*0.01905)</f>
        <v>0</v>
      </c>
      <c r="L386" s="94">
        <f>$D386*$F386*IF($E$381=16,1/0.406,1/0.61)*VLOOKUP($C386,'Master sheet'!$A:$AL,27,FALSE)*(0.0889*0.01905)</f>
        <v>0</v>
      </c>
      <c r="M386" s="1552"/>
      <c r="N386" s="1552"/>
      <c r="O386" s="25" t="str">
        <f>_xlfn.IFNA(VLOOKUP($C386,'Master sheet'!$A:$AR,44,FALSE),"")&amp;""</f>
        <v/>
      </c>
      <c r="P386" s="685"/>
      <c r="Q386" s="29" t="s">
        <v>1556</v>
      </c>
      <c r="R386" s="638" t="s">
        <v>1597</v>
      </c>
      <c r="S386" s="638" t="s">
        <v>7257</v>
      </c>
      <c r="T386" s="638"/>
      <c r="U386" s="664"/>
      <c r="V386" s="664"/>
      <c r="W386" s="664"/>
      <c r="X386" s="664"/>
      <c r="Y386" s="664"/>
      <c r="Z386" s="664"/>
    </row>
    <row r="387" spans="1:26" ht="22.8" outlineLevel="1" x14ac:dyDescent="0.25">
      <c r="A387" s="1542"/>
      <c r="B387" s="1542"/>
      <c r="C387" s="669" t="str">
        <f>INDEX('Master sheet'!$A$1:$A$670,MATCH("248-5",'Master sheet'!$AN$1:$AN$670,0))</f>
        <v xml:space="preserve">Wood - SPF / Canadian Wood Council / New Brunswick / </v>
      </c>
      <c r="D387" s="13">
        <f>'USER INPUT SHEET'!$D$52</f>
        <v>0</v>
      </c>
      <c r="E387" s="14" t="str">
        <f>'USER INPUT SHEET'!$F$52</f>
        <v>m2</v>
      </c>
      <c r="F387" s="2">
        <v>1</v>
      </c>
      <c r="G387" s="648"/>
      <c r="H387" s="7"/>
      <c r="I387" s="92">
        <f t="shared" si="139"/>
        <v>0</v>
      </c>
      <c r="J387" s="93" t="str">
        <f t="shared" si="140"/>
        <v/>
      </c>
      <c r="K387" s="406">
        <f>$D387*$F387*IF($E$381=16,1/0.406,1/0.61)*VLOOKUP($C387,'Master sheet'!$A:$AL,13,FALSE)*(0.0889*0.01905)</f>
        <v>0</v>
      </c>
      <c r="L387" s="94">
        <f>$D387*$F387*IF($E$381=16,1/0.406,1/0.61)*VLOOKUP($C387,'Master sheet'!$A:$AL,27,FALSE)*(0.0889*0.01905)</f>
        <v>0</v>
      </c>
      <c r="M387" s="1552"/>
      <c r="N387" s="1552"/>
      <c r="O387" s="25" t="str">
        <f>_xlfn.IFNA(VLOOKUP($C387,'Master sheet'!$A:$AR,44,FALSE),"")&amp;""</f>
        <v/>
      </c>
      <c r="P387" s="685"/>
      <c r="Q387" s="29" t="s">
        <v>1556</v>
      </c>
      <c r="R387" s="638" t="s">
        <v>1597</v>
      </c>
      <c r="S387" s="638" t="s">
        <v>7257</v>
      </c>
      <c r="T387" s="638"/>
      <c r="U387" s="664"/>
      <c r="V387" s="664"/>
      <c r="W387" s="664"/>
      <c r="X387" s="664"/>
      <c r="Y387" s="664"/>
      <c r="Z387" s="664"/>
    </row>
    <row r="388" spans="1:26" ht="22.8" outlineLevel="1" x14ac:dyDescent="0.25">
      <c r="A388" s="1542"/>
      <c r="B388" s="1542"/>
      <c r="C388" s="669" t="str">
        <f>INDEX('Master sheet'!$A$1:$A$670,MATCH("248-6",'Master sheet'!$AN$1:$AN$670,0))</f>
        <v xml:space="preserve">Wood - SPF / Canadian Wood Council / Atlantic Canada / </v>
      </c>
      <c r="D388" s="13">
        <f>'USER INPUT SHEET'!$D$52</f>
        <v>0</v>
      </c>
      <c r="E388" s="14" t="str">
        <f>'USER INPUT SHEET'!$F$52</f>
        <v>m2</v>
      </c>
      <c r="F388" s="2">
        <v>1</v>
      </c>
      <c r="G388" s="648"/>
      <c r="H388" s="7"/>
      <c r="I388" s="92">
        <f t="shared" si="139"/>
        <v>0</v>
      </c>
      <c r="J388" s="93" t="str">
        <f t="shared" si="140"/>
        <v/>
      </c>
      <c r="K388" s="406">
        <f>$D388*$F388*IF($E$381=16,1/0.406,1/0.61)*VLOOKUP($C388,'Master sheet'!$A:$AL,13,FALSE)*(0.0889*0.01905)</f>
        <v>0</v>
      </c>
      <c r="L388" s="94">
        <f>$D388*$F388*IF($E$381=16,1/0.406,1/0.61)*VLOOKUP($C388,'Master sheet'!$A:$AL,27,FALSE)*(0.0889*0.01905)</f>
        <v>0</v>
      </c>
      <c r="M388" s="1552"/>
      <c r="N388" s="1552"/>
      <c r="O388" s="25" t="str">
        <f>_xlfn.IFNA(VLOOKUP($C388,'Master sheet'!$A:$AR,44,FALSE),"")&amp;""</f>
        <v/>
      </c>
      <c r="P388" s="685"/>
      <c r="Q388" s="29" t="s">
        <v>1556</v>
      </c>
      <c r="R388" s="638" t="s">
        <v>1597</v>
      </c>
      <c r="S388" s="638" t="s">
        <v>7257</v>
      </c>
      <c r="T388" s="638"/>
      <c r="U388" s="664"/>
      <c r="V388" s="664"/>
      <c r="W388" s="664"/>
      <c r="X388" s="664"/>
      <c r="Y388" s="664"/>
      <c r="Z388" s="664"/>
    </row>
    <row r="389" spans="1:26" s="624" customFormat="1" ht="21" customHeight="1" outlineLevel="1" x14ac:dyDescent="0.25">
      <c r="A389" s="639"/>
      <c r="B389" s="1524" t="s">
        <v>6841</v>
      </c>
      <c r="C389" s="1523"/>
      <c r="D389" s="640"/>
      <c r="E389" s="641"/>
      <c r="F389" s="334"/>
      <c r="G389" s="678"/>
      <c r="H389" s="639"/>
      <c r="I389" s="733"/>
      <c r="J389" s="733"/>
      <c r="K389" s="698"/>
      <c r="L389" s="736"/>
      <c r="M389" s="736"/>
      <c r="N389" s="736"/>
      <c r="O389" s="25" t="str">
        <f>_xlfn.IFNA(VLOOKUP($C389,'Master sheet'!$A:$AR,44,FALSE),"")&amp;""</f>
        <v/>
      </c>
      <c r="P389" s="637"/>
      <c r="Q389" s="722"/>
      <c r="R389" s="722"/>
      <c r="S389" s="623"/>
      <c r="T389" s="638"/>
      <c r="U389" s="638"/>
      <c r="V389" s="638"/>
      <c r="W389" s="638"/>
      <c r="X389" s="638"/>
      <c r="Y389" s="638"/>
      <c r="Z389" s="638"/>
    </row>
    <row r="390" spans="1:26" ht="22.8" outlineLevel="1" x14ac:dyDescent="0.25">
      <c r="A390" s="1542"/>
      <c r="B390" s="1542"/>
      <c r="C390" s="669" t="str">
        <f>INDEX('Master sheet'!$A$1:$A$670,MATCH("248-1",'Master sheet'!$AN$1:$AN$670,0))</f>
        <v xml:space="preserve">Wood - SPF / Canadian Wood Council / British Columbia / </v>
      </c>
      <c r="D390" s="17">
        <f>'USER INPUT SHEET'!$D$52</f>
        <v>0</v>
      </c>
      <c r="E390" s="18" t="str">
        <f>'USER INPUT SHEET'!$F$52</f>
        <v>m2</v>
      </c>
      <c r="F390" s="4">
        <v>1</v>
      </c>
      <c r="G390" s="674"/>
      <c r="H390" s="9"/>
      <c r="I390" s="92">
        <f t="shared" ref="I390:I395" si="141">K390-L390-IF(N390,M390,0)</f>
        <v>0</v>
      </c>
      <c r="J390" s="96" t="str">
        <f t="shared" ref="J390:J395" si="142">IF(H390=1,I390,"")</f>
        <v/>
      </c>
      <c r="K390" s="407">
        <f>$D390*$F390*IF($E$381=16,1/0.406,1/0.61)*VLOOKUP($C390,'Master sheet'!$A:$AL,13,FALSE)*(0.0889*0.0381)</f>
        <v>0</v>
      </c>
      <c r="L390" s="97">
        <f>$D390*$F390*IF($E$381=16,1/0.406,1/0.61)*VLOOKUP($C390,'Master sheet'!$A:$AL,27,FALSE)*(0.0889*0.0381)</f>
        <v>0</v>
      </c>
      <c r="M390" s="1562"/>
      <c r="N390" s="1562"/>
      <c r="O390" s="25" t="str">
        <f>_xlfn.IFNA(VLOOKUP($C390,'Master sheet'!$A:$AR,44,FALSE),"")&amp;""</f>
        <v/>
      </c>
      <c r="P390" s="637"/>
      <c r="Q390" s="29" t="s">
        <v>1556</v>
      </c>
      <c r="R390" s="638" t="s">
        <v>1597</v>
      </c>
      <c r="S390" s="638" t="s">
        <v>7250</v>
      </c>
      <c r="T390" s="638"/>
      <c r="U390" s="664"/>
      <c r="V390" s="664"/>
      <c r="W390" s="664"/>
      <c r="X390" s="664"/>
      <c r="Y390" s="664"/>
      <c r="Z390" s="664"/>
    </row>
    <row r="391" spans="1:26" ht="22.8" outlineLevel="1" x14ac:dyDescent="0.25">
      <c r="A391" s="1542"/>
      <c r="B391" s="1542"/>
      <c r="C391" s="669" t="str">
        <f>INDEX('Master sheet'!$A$1:$A$670,MATCH("248-2",'Master sheet'!$AN$1:$AN$670,0))</f>
        <v xml:space="preserve">Wood - SPF / Canadian Wood Council / Alberta / </v>
      </c>
      <c r="D391" s="17">
        <f>'USER INPUT SHEET'!$D$52</f>
        <v>0</v>
      </c>
      <c r="E391" s="18" t="str">
        <f>'USER INPUT SHEET'!$F$52</f>
        <v>m2</v>
      </c>
      <c r="F391" s="4">
        <v>1</v>
      </c>
      <c r="G391" s="674"/>
      <c r="H391" s="9"/>
      <c r="I391" s="92">
        <f t="shared" si="141"/>
        <v>0</v>
      </c>
      <c r="J391" s="96" t="str">
        <f t="shared" si="142"/>
        <v/>
      </c>
      <c r="K391" s="407">
        <f>$D391*$F391*IF($E$381=16,1/0.406,1/0.61)*VLOOKUP($C391,'Master sheet'!$A:$AL,13,FALSE)*(0.0889*0.0381)</f>
        <v>0</v>
      </c>
      <c r="L391" s="97">
        <f>$D391*$F391*IF($E$381=16,1/0.406,1/0.61)*VLOOKUP($C391,'Master sheet'!$A:$AL,27,FALSE)*(0.0889*0.0381)</f>
        <v>0</v>
      </c>
      <c r="M391" s="1552"/>
      <c r="N391" s="1552"/>
      <c r="O391" s="25" t="str">
        <f>_xlfn.IFNA(VLOOKUP($C391,'Master sheet'!$A:$AR,44,FALSE),"")&amp;""</f>
        <v/>
      </c>
      <c r="P391" s="637"/>
      <c r="Q391" s="29" t="s">
        <v>1556</v>
      </c>
      <c r="R391" s="638" t="s">
        <v>1597</v>
      </c>
      <c r="S391" s="638" t="s">
        <v>7250</v>
      </c>
      <c r="T391" s="638"/>
      <c r="U391" s="664"/>
      <c r="V391" s="664"/>
      <c r="W391" s="664"/>
      <c r="X391" s="664"/>
      <c r="Y391" s="664"/>
      <c r="Z391" s="664"/>
    </row>
    <row r="392" spans="1:26" ht="22.8" outlineLevel="1" x14ac:dyDescent="0.25">
      <c r="A392" s="1542"/>
      <c r="B392" s="1542"/>
      <c r="C392" s="669" t="str">
        <f>INDEX('Master sheet'!$A$1:$A$670,MATCH("248-3",'Master sheet'!$AN$1:$AN$670,0))</f>
        <v xml:space="preserve">Wood - SPF / Canadian Wood Council / Ontario / </v>
      </c>
      <c r="D392" s="17">
        <f>'USER INPUT SHEET'!$D$52</f>
        <v>0</v>
      </c>
      <c r="E392" s="18" t="str">
        <f>'USER INPUT SHEET'!$F$52</f>
        <v>m2</v>
      </c>
      <c r="F392" s="4">
        <v>1</v>
      </c>
      <c r="G392" s="674"/>
      <c r="H392" s="9"/>
      <c r="I392" s="92">
        <f t="shared" si="141"/>
        <v>0</v>
      </c>
      <c r="J392" s="96" t="str">
        <f t="shared" si="142"/>
        <v/>
      </c>
      <c r="K392" s="407">
        <f>$D392*$F392*IF($E$381=16,1/0.406,1/0.61)*VLOOKUP($C392,'Master sheet'!$A:$AL,13,FALSE)*(0.0889*0.0381)</f>
        <v>0</v>
      </c>
      <c r="L392" s="97">
        <f>$D392*$F392*IF($E$381=16,1/0.406,1/0.61)*VLOOKUP($C392,'Master sheet'!$A:$AL,27,FALSE)*(0.0889*0.0381)</f>
        <v>0</v>
      </c>
      <c r="M392" s="1552"/>
      <c r="N392" s="1552"/>
      <c r="O392" s="25" t="str">
        <f>_xlfn.IFNA(VLOOKUP($C392,'Master sheet'!$A:$AR,44,FALSE),"")&amp;""</f>
        <v/>
      </c>
      <c r="P392" s="637"/>
      <c r="Q392" s="29" t="s">
        <v>1556</v>
      </c>
      <c r="R392" s="638" t="s">
        <v>1597</v>
      </c>
      <c r="S392" s="638" t="s">
        <v>7250</v>
      </c>
      <c r="T392" s="638"/>
      <c r="U392" s="664"/>
      <c r="V392" s="664"/>
      <c r="W392" s="664"/>
      <c r="X392" s="664"/>
      <c r="Y392" s="664"/>
      <c r="Z392" s="664"/>
    </row>
    <row r="393" spans="1:26" ht="22.8" outlineLevel="1" x14ac:dyDescent="0.25">
      <c r="A393" s="1542"/>
      <c r="B393" s="1542"/>
      <c r="C393" s="669" t="str">
        <f>INDEX('Master sheet'!$A$1:$A$670,MATCH("248-4",'Master sheet'!$AN$1:$AN$670,0))</f>
        <v xml:space="preserve">Wood - SPF / Canadian Wood Council / Quebec / </v>
      </c>
      <c r="D393" s="17">
        <f>'USER INPUT SHEET'!$D$52</f>
        <v>0</v>
      </c>
      <c r="E393" s="18" t="str">
        <f>'USER INPUT SHEET'!$F$52</f>
        <v>m2</v>
      </c>
      <c r="F393" s="4">
        <v>1</v>
      </c>
      <c r="G393" s="674"/>
      <c r="H393" s="9"/>
      <c r="I393" s="92">
        <f t="shared" si="141"/>
        <v>0</v>
      </c>
      <c r="J393" s="96" t="str">
        <f t="shared" si="142"/>
        <v/>
      </c>
      <c r="K393" s="407">
        <f>$D393*$F393*IF($E$381=16,1/0.406,1/0.61)*VLOOKUP($C393,'Master sheet'!$A:$AL,13,FALSE)*(0.0889*0.0381)</f>
        <v>0</v>
      </c>
      <c r="L393" s="97">
        <f>$D393*$F393*IF($E$381=16,1/0.406,1/0.61)*VLOOKUP($C393,'Master sheet'!$A:$AL,27,FALSE)*(0.0889*0.0381)</f>
        <v>0</v>
      </c>
      <c r="M393" s="1552"/>
      <c r="N393" s="1552"/>
      <c r="O393" s="25" t="str">
        <f>_xlfn.IFNA(VLOOKUP($C393,'Master sheet'!$A:$AR,44,FALSE),"")&amp;""</f>
        <v/>
      </c>
      <c r="P393" s="637"/>
      <c r="Q393" s="29" t="s">
        <v>1556</v>
      </c>
      <c r="R393" s="638" t="s">
        <v>1597</v>
      </c>
      <c r="S393" s="638" t="s">
        <v>7250</v>
      </c>
      <c r="T393" s="638"/>
      <c r="U393" s="664"/>
      <c r="V393" s="664"/>
      <c r="W393" s="664"/>
      <c r="X393" s="664"/>
      <c r="Y393" s="664"/>
      <c r="Z393" s="664"/>
    </row>
    <row r="394" spans="1:26" ht="22.8" outlineLevel="1" x14ac:dyDescent="0.25">
      <c r="A394" s="1542"/>
      <c r="B394" s="1542"/>
      <c r="C394" s="669" t="str">
        <f>INDEX('Master sheet'!$A$1:$A$670,MATCH("248-5",'Master sheet'!$AN$1:$AN$670,0))</f>
        <v xml:space="preserve">Wood - SPF / Canadian Wood Council / New Brunswick / </v>
      </c>
      <c r="D394" s="17">
        <f>'USER INPUT SHEET'!$D$52</f>
        <v>0</v>
      </c>
      <c r="E394" s="18" t="str">
        <f>'USER INPUT SHEET'!$F$52</f>
        <v>m2</v>
      </c>
      <c r="F394" s="4">
        <v>1</v>
      </c>
      <c r="G394" s="674"/>
      <c r="H394" s="9"/>
      <c r="I394" s="92">
        <f t="shared" si="141"/>
        <v>0</v>
      </c>
      <c r="J394" s="96" t="str">
        <f t="shared" si="142"/>
        <v/>
      </c>
      <c r="K394" s="407">
        <f>$D394*$F394*IF($E$381=16,1/0.406,1/0.61)*VLOOKUP($C394,'Master sheet'!$A:$AL,13,FALSE)*(0.0889*0.0381)</f>
        <v>0</v>
      </c>
      <c r="L394" s="97">
        <f>$D394*$F394*IF($E$381=16,1/0.406,1/0.61)*VLOOKUP($C394,'Master sheet'!$A:$AL,27,FALSE)*(0.0889*0.0381)</f>
        <v>0</v>
      </c>
      <c r="M394" s="1552"/>
      <c r="N394" s="1552"/>
      <c r="O394" s="25" t="str">
        <f>_xlfn.IFNA(VLOOKUP($C394,'Master sheet'!$A:$AR,44,FALSE),"")&amp;""</f>
        <v/>
      </c>
      <c r="P394" s="637"/>
      <c r="Q394" s="29" t="s">
        <v>1556</v>
      </c>
      <c r="R394" s="638" t="s">
        <v>1597</v>
      </c>
      <c r="S394" s="638" t="s">
        <v>7250</v>
      </c>
      <c r="T394" s="638"/>
      <c r="U394" s="664"/>
      <c r="V394" s="664"/>
      <c r="W394" s="664"/>
      <c r="X394" s="664"/>
      <c r="Y394" s="664"/>
      <c r="Z394" s="664"/>
    </row>
    <row r="395" spans="1:26" ht="22.8" outlineLevel="1" x14ac:dyDescent="0.25">
      <c r="A395" s="1542"/>
      <c r="B395" s="1542"/>
      <c r="C395" s="669" t="str">
        <f>INDEX('Master sheet'!$A$1:$A$670,MATCH("248-6",'Master sheet'!$AN$1:$AN$670,0))</f>
        <v xml:space="preserve">Wood - SPF / Canadian Wood Council / Atlantic Canada / </v>
      </c>
      <c r="D395" s="17">
        <f>'USER INPUT SHEET'!$D$52</f>
        <v>0</v>
      </c>
      <c r="E395" s="18" t="str">
        <f>'USER INPUT SHEET'!$F$52</f>
        <v>m2</v>
      </c>
      <c r="F395" s="4">
        <v>1</v>
      </c>
      <c r="G395" s="674"/>
      <c r="H395" s="9"/>
      <c r="I395" s="92">
        <f t="shared" si="141"/>
        <v>0</v>
      </c>
      <c r="J395" s="96" t="str">
        <f t="shared" si="142"/>
        <v/>
      </c>
      <c r="K395" s="407">
        <f>$D395*$F395*IF($E$381=16,1/0.406,1/0.61)*VLOOKUP($C395,'Master sheet'!$A:$AL,13,FALSE)*(0.0889*0.0381)</f>
        <v>0</v>
      </c>
      <c r="L395" s="97">
        <f>$D395*$F395*IF($E$381=16,1/0.406,1/0.61)*VLOOKUP($C395,'Master sheet'!$A:$AL,27,FALSE)*(0.0889*0.0381)</f>
        <v>0</v>
      </c>
      <c r="M395" s="1552"/>
      <c r="N395" s="1552"/>
      <c r="O395" s="25" t="str">
        <f>_xlfn.IFNA(VLOOKUP($C395,'Master sheet'!$A:$AR,44,FALSE),"")&amp;""</f>
        <v/>
      </c>
      <c r="P395" s="637"/>
      <c r="Q395" s="29" t="s">
        <v>1556</v>
      </c>
      <c r="R395" s="638" t="s">
        <v>1597</v>
      </c>
      <c r="S395" s="638" t="s">
        <v>7250</v>
      </c>
      <c r="T395" s="638"/>
      <c r="U395" s="664"/>
      <c r="V395" s="664"/>
      <c r="W395" s="664"/>
      <c r="X395" s="664"/>
      <c r="Y395" s="664"/>
      <c r="Z395" s="664"/>
    </row>
    <row r="396" spans="1:26" s="624" customFormat="1" ht="54.75" customHeight="1" outlineLevel="1" x14ac:dyDescent="0.25">
      <c r="A396" s="1522" t="s">
        <v>1572</v>
      </c>
      <c r="B396" s="1523"/>
      <c r="C396" s="1523"/>
      <c r="D396" s="649"/>
      <c r="E396" s="650"/>
      <c r="F396" s="321"/>
      <c r="G396" s="650"/>
      <c r="H396" s="650"/>
      <c r="I396" s="651"/>
      <c r="J396" s="651"/>
      <c r="K396" s="652"/>
      <c r="L396" s="759"/>
      <c r="M396" s="759"/>
      <c r="N396" s="759"/>
      <c r="O396" s="25" t="str">
        <f>_xlfn.IFNA(VLOOKUP($C396,'Master sheet'!$A:$AR,44,FALSE),"")&amp;""</f>
        <v/>
      </c>
      <c r="P396" s="637"/>
      <c r="Q396" s="29" t="s">
        <v>1556</v>
      </c>
      <c r="R396" s="638"/>
      <c r="S396" s="638"/>
      <c r="T396" s="638"/>
      <c r="U396" s="638"/>
      <c r="V396" s="638"/>
      <c r="W396" s="638"/>
      <c r="X396" s="638"/>
      <c r="Y396" s="638"/>
      <c r="Z396" s="638"/>
    </row>
    <row r="397" spans="1:26" ht="23.25" customHeight="1" outlineLevel="1" x14ac:dyDescent="0.25">
      <c r="A397" s="686"/>
      <c r="B397" s="1541" t="s">
        <v>1038</v>
      </c>
      <c r="C397" s="1530"/>
      <c r="D397" s="812"/>
      <c r="E397" s="813"/>
      <c r="F397" s="341"/>
      <c r="G397" s="781"/>
      <c r="H397" s="782"/>
      <c r="I397" s="814"/>
      <c r="J397" s="784"/>
      <c r="K397" s="783"/>
      <c r="L397" s="785"/>
      <c r="M397" s="743"/>
      <c r="N397" s="743"/>
      <c r="O397" s="25" t="str">
        <f>_xlfn.IFNA(VLOOKUP($C397,'Master sheet'!$A:$AR,44,FALSE),"")&amp;""</f>
        <v/>
      </c>
      <c r="P397" s="685"/>
      <c r="Q397" s="29" t="s">
        <v>1556</v>
      </c>
      <c r="R397" s="664"/>
      <c r="S397" s="664"/>
      <c r="T397" s="664"/>
      <c r="U397" s="664"/>
      <c r="V397" s="664"/>
      <c r="W397" s="664"/>
      <c r="X397" s="664"/>
      <c r="Y397" s="664"/>
      <c r="Z397" s="664"/>
    </row>
    <row r="398" spans="1:26" ht="31.5" customHeight="1" outlineLevel="1" x14ac:dyDescent="0.25">
      <c r="A398" s="729"/>
      <c r="B398" s="729"/>
      <c r="C398" s="691" t="s">
        <v>1069</v>
      </c>
      <c r="D398" s="19">
        <f>'USER INPUT SHEET'!$D$52+'USER INPUT SHEET'!$D$47</f>
        <v>0</v>
      </c>
      <c r="E398" s="20" t="str">
        <f>'USER INPUT SHEET'!$F$52</f>
        <v>m2</v>
      </c>
      <c r="F398" s="6">
        <v>1</v>
      </c>
      <c r="G398" s="692"/>
      <c r="H398" s="10"/>
      <c r="I398" s="98">
        <f>K398-L398</f>
        <v>0</v>
      </c>
      <c r="J398" s="91" t="str">
        <f>IF(H398=1,I398,"")</f>
        <v/>
      </c>
      <c r="K398" s="410">
        <f>F398*AVERAGE(K399:K400)</f>
        <v>0</v>
      </c>
      <c r="L398" s="99">
        <f>F398*AVERAGE(L399:L400)</f>
        <v>0</v>
      </c>
      <c r="M398" s="1552"/>
      <c r="N398" s="1552"/>
      <c r="O398" s="25" t="str">
        <f>_xlfn.IFNA(VLOOKUP($C398,'Master sheet'!$A:$AR,44,FALSE),"")&amp;""</f>
        <v/>
      </c>
      <c r="P398" s="685"/>
      <c r="Q398" s="29" t="s">
        <v>1556</v>
      </c>
      <c r="R398" s="664" t="s">
        <v>1572</v>
      </c>
      <c r="S398" s="664"/>
      <c r="T398" s="664"/>
      <c r="U398" s="664"/>
      <c r="V398" s="664"/>
      <c r="W398" s="664"/>
      <c r="X398" s="664"/>
      <c r="Y398" s="664"/>
      <c r="Z398" s="664"/>
    </row>
    <row r="399" spans="1:26" ht="22.8" outlineLevel="1" x14ac:dyDescent="0.25">
      <c r="A399" s="1564"/>
      <c r="B399" s="1564"/>
      <c r="C399" s="673" t="str">
        <f>INDEX('Master sheet'!$A$1:$A$670,MATCH(89,'Master sheet'!$AN$1:$AN$670,0))</f>
        <v>Drywall 1/2" / Pabco / QuietRock / QuietRock 1/2"</v>
      </c>
      <c r="D399" s="15">
        <f>'USER INPUT SHEET'!$D$52+'USER INPUT SHEET'!$D$47</f>
        <v>0</v>
      </c>
      <c r="E399" s="16" t="str">
        <f>'USER INPUT SHEET'!$F$52</f>
        <v>m2</v>
      </c>
      <c r="F399" s="3">
        <v>1</v>
      </c>
      <c r="G399" s="670"/>
      <c r="H399" s="8"/>
      <c r="I399" s="92">
        <f t="shared" ref="I399:I400" si="143">K399-L399</f>
        <v>0</v>
      </c>
      <c r="J399" s="93" t="str">
        <f t="shared" ref="J399:J400" si="144">IF(H399=1,I399,"")</f>
        <v/>
      </c>
      <c r="K399" s="406">
        <f>$D399*$F399*VLOOKUP($C399,'Master sheet'!$A:$AL,13,FALSE)</f>
        <v>0</v>
      </c>
      <c r="L399" s="94">
        <f>$D399*$F399*VLOOKUP($C399,'Master sheet'!$A:$AL,27,FALSE)</f>
        <v>0</v>
      </c>
      <c r="M399" s="1552"/>
      <c r="N399" s="1552"/>
      <c r="O399" s="25" t="str">
        <f ca="1">_xlfn.IFNA(VLOOKUP($C399,'Master sheet'!$A:$AR,44,FALSE),"")&amp;""</f>
        <v>Expired 2025</v>
      </c>
      <c r="P399" s="685"/>
      <c r="Q399" s="29" t="s">
        <v>1556</v>
      </c>
      <c r="R399" s="664" t="s">
        <v>1572</v>
      </c>
      <c r="S399" s="664"/>
      <c r="T399" s="664"/>
      <c r="U399" s="664"/>
      <c r="V399" s="664"/>
      <c r="W399" s="664"/>
      <c r="X399" s="664"/>
      <c r="Y399" s="664"/>
      <c r="Z399" s="664"/>
    </row>
    <row r="400" spans="1:26" ht="31.5" customHeight="1" outlineLevel="1" x14ac:dyDescent="0.25">
      <c r="A400" s="1564"/>
      <c r="B400" s="1564"/>
      <c r="C400" s="673" t="str">
        <f>INDEX('Master sheet'!$A$1:$A$670,MATCH(376,'Master sheet'!$AN$1:$AN$670,0))</f>
        <v>Drywall 1/2" / National Gypsum / Gold Bond XP Gypsum Board  / 1/2" (12.7 mm)</v>
      </c>
      <c r="D400" s="15">
        <f>'USER INPUT SHEET'!$D$52+'USER INPUT SHEET'!$D$47</f>
        <v>0</v>
      </c>
      <c r="E400" s="16" t="str">
        <f>'USER INPUT SHEET'!$F$52</f>
        <v>m2</v>
      </c>
      <c r="F400" s="3">
        <v>1</v>
      </c>
      <c r="G400" s="670"/>
      <c r="H400" s="8"/>
      <c r="I400" s="92">
        <f t="shared" si="143"/>
        <v>0</v>
      </c>
      <c r="J400" s="93" t="str">
        <f t="shared" si="144"/>
        <v/>
      </c>
      <c r="K400" s="406">
        <f>$D400*$F400*VLOOKUP($C400,'Master sheet'!$A:$AL,13,FALSE)</f>
        <v>0</v>
      </c>
      <c r="L400" s="94">
        <f>$D400*$F400*VLOOKUP($C400,'Master sheet'!$A:$AL,27,FALSE)</f>
        <v>0</v>
      </c>
      <c r="M400" s="1552"/>
      <c r="N400" s="1552"/>
      <c r="O400" s="25" t="str">
        <f ca="1">_xlfn.IFNA(VLOOKUP($C400,'Master sheet'!$A:$AR,44,FALSE),"")&amp;""</f>
        <v/>
      </c>
      <c r="P400" s="685"/>
      <c r="Q400" s="29" t="s">
        <v>1556</v>
      </c>
      <c r="R400" s="664" t="s">
        <v>1572</v>
      </c>
      <c r="S400" s="664"/>
      <c r="T400" s="664"/>
      <c r="U400" s="664"/>
      <c r="V400" s="664"/>
      <c r="W400" s="664"/>
      <c r="X400" s="664"/>
      <c r="Y400" s="664"/>
      <c r="Z400" s="664"/>
    </row>
    <row r="401" spans="1:26" s="624" customFormat="1" ht="23.25" customHeight="1" outlineLevel="1" x14ac:dyDescent="0.25">
      <c r="A401" s="639"/>
      <c r="B401" s="1524" t="s">
        <v>1039</v>
      </c>
      <c r="C401" s="1523"/>
      <c r="D401" s="773"/>
      <c r="E401" s="778"/>
      <c r="F401" s="340"/>
      <c r="G401" s="739"/>
      <c r="H401" s="740"/>
      <c r="I401" s="779"/>
      <c r="J401" s="742"/>
      <c r="K401" s="741"/>
      <c r="L401" s="743"/>
      <c r="M401" s="743"/>
      <c r="N401" s="743"/>
      <c r="O401" s="25" t="str">
        <f>_xlfn.IFNA(VLOOKUP($C401,'Master sheet'!$A:$AR,44,FALSE),"")&amp;""</f>
        <v/>
      </c>
      <c r="P401" s="637"/>
      <c r="Q401" s="29" t="s">
        <v>1556</v>
      </c>
      <c r="R401" s="638" t="s">
        <v>1572</v>
      </c>
      <c r="S401" s="638"/>
      <c r="T401" s="638"/>
      <c r="U401" s="638"/>
      <c r="V401" s="638"/>
      <c r="W401" s="638"/>
      <c r="X401" s="638"/>
      <c r="Y401" s="638"/>
      <c r="Z401" s="638"/>
    </row>
    <row r="402" spans="1:26" s="624" customFormat="1" ht="31.2" outlineLevel="1" x14ac:dyDescent="0.25">
      <c r="A402" s="729"/>
      <c r="B402" s="729"/>
      <c r="C402" s="691" t="s">
        <v>4937</v>
      </c>
      <c r="D402" s="19">
        <f>'USER INPUT SHEET'!$D$52+'USER INPUT SHEET'!$D$47</f>
        <v>0</v>
      </c>
      <c r="E402" s="20" t="str">
        <f>'USER INPUT SHEET'!$F$52</f>
        <v>m2</v>
      </c>
      <c r="F402" s="6">
        <v>1</v>
      </c>
      <c r="G402" s="692"/>
      <c r="H402" s="10"/>
      <c r="I402" s="98">
        <f>K402-L402</f>
        <v>0</v>
      </c>
      <c r="J402" s="91" t="str">
        <f>IF(H402=1,I402,"")</f>
        <v/>
      </c>
      <c r="K402" s="410">
        <f>F402*AVERAGE(K403:K405)</f>
        <v>0</v>
      </c>
      <c r="L402" s="99">
        <f>F402*AVERAGE(L403:L405)</f>
        <v>0</v>
      </c>
      <c r="M402" s="1552"/>
      <c r="N402" s="1552"/>
      <c r="O402" s="25" t="str">
        <f>_xlfn.IFNA(VLOOKUP($C402,'Master sheet'!$A:$AR,44,FALSE),"")&amp;""</f>
        <v/>
      </c>
      <c r="P402" s="685"/>
      <c r="Q402" s="29" t="s">
        <v>1556</v>
      </c>
      <c r="R402" s="664" t="s">
        <v>1572</v>
      </c>
      <c r="S402" s="664"/>
      <c r="T402" s="664"/>
      <c r="U402" s="664"/>
      <c r="V402" s="638"/>
      <c r="W402" s="638"/>
      <c r="X402" s="638"/>
      <c r="Y402" s="638"/>
      <c r="Z402" s="638"/>
    </row>
    <row r="403" spans="1:26" ht="47.25" customHeight="1" outlineLevel="1" x14ac:dyDescent="0.25">
      <c r="A403" s="1600"/>
      <c r="B403" s="1600"/>
      <c r="C403" s="669" t="str">
        <f>INDEX('Master sheet'!$A$1:$A$670,MATCH(90,'Master sheet'!$AN$1:$AN$670,0))</f>
        <v>Drywall 5/8" /  / Includes American Gypsum, CertainTeed, Continental, Georgia-Pacific, National Gypsum, Pabco, USG, CGC / 5/8"</v>
      </c>
      <c r="D403" s="15">
        <f>'USER INPUT SHEET'!$D$52+'USER INPUT SHEET'!$D$47</f>
        <v>0</v>
      </c>
      <c r="E403" s="16" t="str">
        <f>'USER INPUT SHEET'!$F$52</f>
        <v>m2</v>
      </c>
      <c r="F403" s="3">
        <v>1</v>
      </c>
      <c r="G403" s="670"/>
      <c r="H403" s="8"/>
      <c r="I403" s="92">
        <f t="shared" ref="I403:I404" si="145">K403-L403</f>
        <v>0</v>
      </c>
      <c r="J403" s="93" t="str">
        <f t="shared" ref="J403:J404" si="146">IF(H403=1,I403,"")</f>
        <v/>
      </c>
      <c r="K403" s="406">
        <f>$D403*$F403*VLOOKUP($C403,'Master sheet'!$A:$AL,13,FALSE)</f>
        <v>0</v>
      </c>
      <c r="L403" s="94">
        <f>$D403*$F403*VLOOKUP($C403,'Master sheet'!$A:$AL,27,FALSE)</f>
        <v>0</v>
      </c>
      <c r="M403" s="1552"/>
      <c r="N403" s="1552"/>
      <c r="O403" s="25" t="str">
        <f ca="1">_xlfn.IFNA(VLOOKUP($C403,'Master sheet'!$A:$AR,44,FALSE),"")&amp;""</f>
        <v>Expired 2025</v>
      </c>
      <c r="P403" s="685"/>
      <c r="Q403" s="29" t="s">
        <v>1556</v>
      </c>
      <c r="R403" s="664" t="s">
        <v>1572</v>
      </c>
      <c r="S403" s="664"/>
      <c r="T403" s="664"/>
      <c r="U403" s="664"/>
      <c r="V403" s="664"/>
      <c r="W403" s="664"/>
      <c r="X403" s="664"/>
      <c r="Y403" s="664"/>
      <c r="Z403" s="664"/>
    </row>
    <row r="404" spans="1:26" s="624" customFormat="1" ht="31.2" outlineLevel="1" x14ac:dyDescent="0.25">
      <c r="A404" s="1600"/>
      <c r="B404" s="1600"/>
      <c r="C404" s="673" t="str">
        <f>INDEX('Master sheet'!$A$1:$A$670,MATCH(377,'Master sheet'!$AN$1:$AN$670,0))</f>
        <v>Drywall 5/8" Type X / National Gypsum / Gold Bond XP Fire-Shield Gypsum Board  / 5/8'' type X</v>
      </c>
      <c r="D404" s="17">
        <f>'USER INPUT SHEET'!$D$52+'USER INPUT SHEET'!$D$47</f>
        <v>0</v>
      </c>
      <c r="E404" s="18" t="str">
        <f>'USER INPUT SHEET'!$F$52</f>
        <v>m2</v>
      </c>
      <c r="F404" s="4">
        <v>1</v>
      </c>
      <c r="G404" s="674"/>
      <c r="H404" s="9"/>
      <c r="I404" s="95">
        <f t="shared" si="145"/>
        <v>0</v>
      </c>
      <c r="J404" s="96" t="str">
        <f t="shared" si="146"/>
        <v/>
      </c>
      <c r="K404" s="407">
        <f>$D404*$F404*VLOOKUP($C404,'Master sheet'!$A:$AL,13,FALSE)</f>
        <v>0</v>
      </c>
      <c r="L404" s="97">
        <f>$D404*$F404*VLOOKUP($C404,'Master sheet'!$A:$AL,27,FALSE)</f>
        <v>0</v>
      </c>
      <c r="M404" s="1552"/>
      <c r="N404" s="1552"/>
      <c r="O404" s="25" t="str">
        <f ca="1">_xlfn.IFNA(VLOOKUP($C404,'Master sheet'!$A:$AR,44,FALSE),"")&amp;""</f>
        <v/>
      </c>
      <c r="P404" s="685"/>
      <c r="Q404" s="29" t="s">
        <v>1556</v>
      </c>
      <c r="R404" s="664" t="s">
        <v>1572</v>
      </c>
      <c r="S404" s="638"/>
      <c r="T404" s="638"/>
      <c r="U404" s="638"/>
      <c r="V404" s="638"/>
      <c r="W404" s="638"/>
      <c r="X404" s="638"/>
      <c r="Y404" s="638"/>
      <c r="Z404" s="638"/>
    </row>
    <row r="405" spans="1:26" s="624" customFormat="1" ht="31.2" outlineLevel="1" x14ac:dyDescent="0.25">
      <c r="A405" s="1600"/>
      <c r="B405" s="1600"/>
      <c r="C405" s="673" t="str">
        <f>INDEX('Master sheet'!$A$1:$A$670,MATCH("A27",'Master sheet'!$AN$1:$AN$670,0))</f>
        <v>Drywall 5/8"  / USG / Sheetrock Brand EcoSmart Firecode X  / 5/8'' type X</v>
      </c>
      <c r="D405" s="17">
        <f>'USER INPUT SHEET'!$D$52+'USER INPUT SHEET'!$D$47</f>
        <v>0</v>
      </c>
      <c r="E405" s="18" t="str">
        <f>'USER INPUT SHEET'!$F$52</f>
        <v>m2</v>
      </c>
      <c r="F405" s="4">
        <v>1</v>
      </c>
      <c r="G405" s="674"/>
      <c r="H405" s="9"/>
      <c r="I405" s="95">
        <f t="shared" ref="I405" si="147">K405-L405</f>
        <v>0</v>
      </c>
      <c r="J405" s="96" t="str">
        <f t="shared" ref="J405" si="148">IF(H405=1,I405,"")</f>
        <v/>
      </c>
      <c r="K405" s="407">
        <f>$D405*$F405*VLOOKUP($C405,'Master sheet'!$A:$AL,13,FALSE)</f>
        <v>0</v>
      </c>
      <c r="L405" s="97">
        <f>$D405*$F405*VLOOKUP($C405,'Master sheet'!$A:$AL,27,FALSE)</f>
        <v>0</v>
      </c>
      <c r="M405" s="1559"/>
      <c r="N405" s="1559"/>
      <c r="O405" s="25" t="str">
        <f>_xlfn.IFNA(VLOOKUP($C405,'Master sheet'!$A:$AR,44,FALSE),"")&amp;""</f>
        <v/>
      </c>
      <c r="P405" s="685"/>
      <c r="Q405" s="29" t="s">
        <v>1556</v>
      </c>
      <c r="R405" s="638" t="s">
        <v>1572</v>
      </c>
      <c r="S405" s="638"/>
      <c r="T405" s="638"/>
      <c r="U405" s="638"/>
      <c r="V405" s="638"/>
      <c r="W405" s="638"/>
      <c r="X405" s="638"/>
      <c r="Y405" s="638"/>
      <c r="Z405" s="638"/>
    </row>
    <row r="406" spans="1:26" s="624" customFormat="1" ht="23.25" customHeight="1" outlineLevel="1" x14ac:dyDescent="0.25">
      <c r="A406" s="639"/>
      <c r="B406" s="1524" t="s">
        <v>50</v>
      </c>
      <c r="C406" s="1523"/>
      <c r="D406" s="640"/>
      <c r="E406" s="641"/>
      <c r="F406" s="325"/>
      <c r="G406" s="678"/>
      <c r="H406" s="679"/>
      <c r="I406" s="642"/>
      <c r="J406" s="643"/>
      <c r="K406" s="676"/>
      <c r="L406" s="677"/>
      <c r="M406" s="677"/>
      <c r="N406" s="677"/>
      <c r="O406" s="25" t="str">
        <f>_xlfn.IFNA(VLOOKUP($C406,'Master sheet'!$A:$AR,44,FALSE),"")&amp;""</f>
        <v/>
      </c>
      <c r="P406" s="637"/>
      <c r="Q406" s="29" t="s">
        <v>1556</v>
      </c>
      <c r="R406" s="638" t="s">
        <v>1572</v>
      </c>
      <c r="S406" s="638"/>
      <c r="T406" s="638"/>
      <c r="U406" s="638"/>
      <c r="V406" s="638"/>
      <c r="W406" s="638"/>
      <c r="X406" s="638"/>
      <c r="Y406" s="638"/>
      <c r="Z406" s="638"/>
    </row>
    <row r="407" spans="1:26" s="624" customFormat="1" ht="23.25" customHeight="1" outlineLevel="1" x14ac:dyDescent="0.25">
      <c r="A407" s="815"/>
      <c r="C407" s="647" t="str">
        <f>INDEX('Master sheet'!$A$1:$A$670,MATCH(146,'Master sheet'!$AN$1:$AN$670,0))</f>
        <v>MgO board 1/2" / North American MgO / MagTech Ultra / 1/2"</v>
      </c>
      <c r="D407" s="13">
        <f>'USER INPUT SHEET'!$D$52+'USER INPUT SHEET'!$D$47</f>
        <v>0</v>
      </c>
      <c r="E407" s="14" t="str">
        <f>'USER INPUT SHEET'!$F$52</f>
        <v>m2</v>
      </c>
      <c r="F407" s="2">
        <v>1</v>
      </c>
      <c r="G407" s="648"/>
      <c r="H407" s="7"/>
      <c r="I407" s="88">
        <f>K407-L407</f>
        <v>0</v>
      </c>
      <c r="J407" s="89" t="str">
        <f t="shared" ref="J407:J418" si="149">IF(H407=1,I407,"")</f>
        <v/>
      </c>
      <c r="K407" s="404">
        <f>$D407*$F407*VLOOKUP($C407,'Master sheet'!$A:$AL,13,FALSE)</f>
        <v>0</v>
      </c>
      <c r="L407" s="90">
        <f>$D407*$F407*VLOOKUP($C407,'Master sheet'!$A:$AL,27,FALSE)</f>
        <v>0</v>
      </c>
      <c r="M407" s="1552"/>
      <c r="N407" s="1552"/>
      <c r="O407" s="25" t="str">
        <f ca="1">_xlfn.IFNA(VLOOKUP($C407,'Master sheet'!$A:$AR,44,FALSE),"")&amp;""</f>
        <v>Expired 2023</v>
      </c>
      <c r="P407" s="637"/>
      <c r="Q407" s="29" t="s">
        <v>1556</v>
      </c>
      <c r="R407" s="638" t="s">
        <v>1572</v>
      </c>
      <c r="S407" s="638"/>
      <c r="T407" s="638"/>
      <c r="U407" s="638"/>
      <c r="V407" s="638"/>
      <c r="W407" s="638"/>
      <c r="X407" s="638"/>
      <c r="Y407" s="638"/>
      <c r="Z407" s="638"/>
    </row>
    <row r="408" spans="1:26" s="624" customFormat="1" ht="22.8" outlineLevel="1" x14ac:dyDescent="0.25">
      <c r="A408" s="815"/>
      <c r="B408" s="748" t="s">
        <v>937</v>
      </c>
      <c r="C408" s="669" t="str">
        <f>INDEX('Master sheet'!$A$1:$A$670,MATCH("248-1",'Master sheet'!$AN$1:$AN$670,0))</f>
        <v xml:space="preserve">Wood - SPF / Canadian Wood Council / British Columbia / </v>
      </c>
      <c r="D408" s="13">
        <f>'USER INPUT SHEET'!$D$52+'USER INPUT SHEET'!$D$47</f>
        <v>0</v>
      </c>
      <c r="E408" s="14" t="str">
        <f>'USER INPUT SHEET'!$F$52</f>
        <v>m2</v>
      </c>
      <c r="F408" s="2">
        <v>1</v>
      </c>
      <c r="G408" s="648"/>
      <c r="H408" s="7"/>
      <c r="I408" s="88">
        <f>K408-L408-IF(N408,M408,0)</f>
        <v>0</v>
      </c>
      <c r="J408" s="89" t="str">
        <f t="shared" si="149"/>
        <v/>
      </c>
      <c r="K408" s="404">
        <f>$D408*$F408*VLOOKUP($C408,'Master sheet'!$A:$AL,13,FALSE)*0.01905</f>
        <v>0</v>
      </c>
      <c r="L408" s="90">
        <f>$D408*$F408*VLOOKUP($C408,'Master sheet'!$A:$AL,27,FALSE)*0.01905</f>
        <v>0</v>
      </c>
      <c r="M408" s="1552"/>
      <c r="N408" s="1552"/>
      <c r="O408" s="25" t="str">
        <f>_xlfn.IFNA(VLOOKUP($C408,'Master sheet'!$A:$AR,44,FALSE),"")&amp;""</f>
        <v/>
      </c>
      <c r="P408" s="637"/>
      <c r="Q408" s="29" t="s">
        <v>1556</v>
      </c>
      <c r="R408" s="638" t="s">
        <v>1572</v>
      </c>
      <c r="S408" s="638" t="s">
        <v>7254</v>
      </c>
      <c r="T408" s="638"/>
      <c r="U408" s="638"/>
      <c r="V408" s="638"/>
      <c r="W408" s="638"/>
      <c r="X408" s="638"/>
      <c r="Y408" s="638"/>
      <c r="Z408" s="638"/>
    </row>
    <row r="409" spans="1:26" s="624" customFormat="1" ht="22.8" outlineLevel="1" x14ac:dyDescent="0.25">
      <c r="A409" s="815"/>
      <c r="B409" s="748" t="s">
        <v>937</v>
      </c>
      <c r="C409" s="669" t="str">
        <f>INDEX('Master sheet'!$A$1:$A$670,MATCH("248-2",'Master sheet'!$AN$1:$AN$670,0))</f>
        <v xml:space="preserve">Wood - SPF / Canadian Wood Council / Alberta / </v>
      </c>
      <c r="D409" s="13">
        <f>'USER INPUT SHEET'!$D$52+'USER INPUT SHEET'!$D$47</f>
        <v>0</v>
      </c>
      <c r="E409" s="14" t="str">
        <f>'USER INPUT SHEET'!$F$52</f>
        <v>m2</v>
      </c>
      <c r="F409" s="2">
        <v>1</v>
      </c>
      <c r="G409" s="648"/>
      <c r="H409" s="7"/>
      <c r="I409" s="88">
        <f t="shared" ref="I409:I413" si="150">K409-L409-IF(N409,M409,0)</f>
        <v>0</v>
      </c>
      <c r="J409" s="89" t="str">
        <f t="shared" ref="J409:J413" si="151">IF(H409=1,I409,"")</f>
        <v/>
      </c>
      <c r="K409" s="404">
        <f>$D409*$F409*VLOOKUP($C409,'Master sheet'!$A:$AL,13,FALSE)*0.01905</f>
        <v>0</v>
      </c>
      <c r="L409" s="90">
        <f>$D409*$F409*VLOOKUP($C409,'Master sheet'!$A:$AL,27,FALSE)*0.01905</f>
        <v>0</v>
      </c>
      <c r="M409" s="1552"/>
      <c r="N409" s="1552"/>
      <c r="O409" s="25" t="str">
        <f>_xlfn.IFNA(VLOOKUP($C409,'Master sheet'!$A:$AR,44,FALSE),"")&amp;""</f>
        <v/>
      </c>
      <c r="P409" s="637"/>
      <c r="Q409" s="29" t="s">
        <v>1556</v>
      </c>
      <c r="R409" s="638" t="s">
        <v>1572</v>
      </c>
      <c r="S409" s="638" t="s">
        <v>7254</v>
      </c>
      <c r="T409" s="638"/>
      <c r="U409" s="638"/>
      <c r="V409" s="638"/>
      <c r="W409" s="638"/>
      <c r="X409" s="638"/>
      <c r="Y409" s="638"/>
      <c r="Z409" s="638"/>
    </row>
    <row r="410" spans="1:26" s="624" customFormat="1" ht="22.8" outlineLevel="1" x14ac:dyDescent="0.25">
      <c r="A410" s="815"/>
      <c r="B410" s="748" t="s">
        <v>937</v>
      </c>
      <c r="C410" s="669" t="str">
        <f>INDEX('Master sheet'!$A$1:$A$670,MATCH("248-3",'Master sheet'!$AN$1:$AN$670,0))</f>
        <v xml:space="preserve">Wood - SPF / Canadian Wood Council / Ontario / </v>
      </c>
      <c r="D410" s="13">
        <f>'USER INPUT SHEET'!$D$52+'USER INPUT SHEET'!$D$47</f>
        <v>0</v>
      </c>
      <c r="E410" s="14" t="str">
        <f>'USER INPUT SHEET'!$F$52</f>
        <v>m2</v>
      </c>
      <c r="F410" s="2">
        <v>1</v>
      </c>
      <c r="G410" s="648"/>
      <c r="H410" s="7"/>
      <c r="I410" s="88">
        <f t="shared" si="150"/>
        <v>0</v>
      </c>
      <c r="J410" s="89" t="str">
        <f t="shared" si="151"/>
        <v/>
      </c>
      <c r="K410" s="404">
        <f>$D410*$F410*VLOOKUP($C410,'Master sheet'!$A:$AL,13,FALSE)*0.01905</f>
        <v>0</v>
      </c>
      <c r="L410" s="90">
        <f>$D410*$F410*VLOOKUP($C410,'Master sheet'!$A:$AL,27,FALSE)*0.01905</f>
        <v>0</v>
      </c>
      <c r="M410" s="1552"/>
      <c r="N410" s="1552"/>
      <c r="O410" s="25" t="str">
        <f>_xlfn.IFNA(VLOOKUP($C410,'Master sheet'!$A:$AR,44,FALSE),"")&amp;""</f>
        <v/>
      </c>
      <c r="P410" s="637"/>
      <c r="Q410" s="29" t="s">
        <v>1556</v>
      </c>
      <c r="R410" s="638" t="s">
        <v>1572</v>
      </c>
      <c r="S410" s="638" t="s">
        <v>7254</v>
      </c>
      <c r="T410" s="638"/>
      <c r="U410" s="638"/>
      <c r="V410" s="638"/>
      <c r="W410" s="638"/>
      <c r="X410" s="638"/>
      <c r="Y410" s="638"/>
      <c r="Z410" s="638"/>
    </row>
    <row r="411" spans="1:26" s="624" customFormat="1" ht="22.8" outlineLevel="1" x14ac:dyDescent="0.25">
      <c r="A411" s="815"/>
      <c r="B411" s="748" t="s">
        <v>937</v>
      </c>
      <c r="C411" s="669" t="str">
        <f>INDEX('Master sheet'!$A$1:$A$670,MATCH("248-4",'Master sheet'!$AN$1:$AN$670,0))</f>
        <v xml:space="preserve">Wood - SPF / Canadian Wood Council / Quebec / </v>
      </c>
      <c r="D411" s="13">
        <f>'USER INPUT SHEET'!$D$52+'USER INPUT SHEET'!$D$47</f>
        <v>0</v>
      </c>
      <c r="E411" s="14" t="str">
        <f>'USER INPUT SHEET'!$F$52</f>
        <v>m2</v>
      </c>
      <c r="F411" s="2">
        <v>1</v>
      </c>
      <c r="G411" s="648"/>
      <c r="H411" s="7"/>
      <c r="I411" s="88">
        <f t="shared" si="150"/>
        <v>0</v>
      </c>
      <c r="J411" s="89" t="str">
        <f t="shared" si="151"/>
        <v/>
      </c>
      <c r="K411" s="404">
        <f>$D411*$F411*VLOOKUP($C411,'Master sheet'!$A:$AL,13,FALSE)*0.01905</f>
        <v>0</v>
      </c>
      <c r="L411" s="90">
        <f>$D411*$F411*VLOOKUP($C411,'Master sheet'!$A:$AL,27,FALSE)*0.01905</f>
        <v>0</v>
      </c>
      <c r="M411" s="1552"/>
      <c r="N411" s="1552"/>
      <c r="O411" s="25" t="str">
        <f>_xlfn.IFNA(VLOOKUP($C411,'Master sheet'!$A:$AR,44,FALSE),"")&amp;""</f>
        <v/>
      </c>
      <c r="P411" s="637"/>
      <c r="Q411" s="29" t="s">
        <v>1556</v>
      </c>
      <c r="R411" s="638" t="s">
        <v>1572</v>
      </c>
      <c r="S411" s="638" t="s">
        <v>7254</v>
      </c>
      <c r="T411" s="638"/>
      <c r="U411" s="638"/>
      <c r="V411" s="638"/>
      <c r="W411" s="638"/>
      <c r="X411" s="638"/>
      <c r="Y411" s="638"/>
      <c r="Z411" s="638"/>
    </row>
    <row r="412" spans="1:26" s="624" customFormat="1" ht="22.8" outlineLevel="1" x14ac:dyDescent="0.25">
      <c r="A412" s="815"/>
      <c r="B412" s="748" t="s">
        <v>937</v>
      </c>
      <c r="C412" s="669" t="str">
        <f>INDEX('Master sheet'!$A$1:$A$670,MATCH("248-5",'Master sheet'!$AN$1:$AN$670,0))</f>
        <v xml:space="preserve">Wood - SPF / Canadian Wood Council / New Brunswick / </v>
      </c>
      <c r="D412" s="13">
        <f>'USER INPUT SHEET'!$D$52+'USER INPUT SHEET'!$D$47</f>
        <v>0</v>
      </c>
      <c r="E412" s="14" t="str">
        <f>'USER INPUT SHEET'!$F$52</f>
        <v>m2</v>
      </c>
      <c r="F412" s="2">
        <v>1</v>
      </c>
      <c r="G412" s="648"/>
      <c r="H412" s="7"/>
      <c r="I412" s="88">
        <f t="shared" si="150"/>
        <v>0</v>
      </c>
      <c r="J412" s="89" t="str">
        <f t="shared" si="151"/>
        <v/>
      </c>
      <c r="K412" s="404">
        <f>$D412*$F412*VLOOKUP($C412,'Master sheet'!$A:$AL,13,FALSE)*0.01905</f>
        <v>0</v>
      </c>
      <c r="L412" s="90">
        <f>$D412*$F412*VLOOKUP($C412,'Master sheet'!$A:$AL,27,FALSE)*0.01905</f>
        <v>0</v>
      </c>
      <c r="M412" s="1552"/>
      <c r="N412" s="1552"/>
      <c r="O412" s="25" t="str">
        <f>_xlfn.IFNA(VLOOKUP($C412,'Master sheet'!$A:$AR,44,FALSE),"")&amp;""</f>
        <v/>
      </c>
      <c r="P412" s="637"/>
      <c r="Q412" s="29" t="s">
        <v>1556</v>
      </c>
      <c r="R412" s="638" t="s">
        <v>1572</v>
      </c>
      <c r="S412" s="638" t="s">
        <v>7254</v>
      </c>
      <c r="T412" s="638"/>
      <c r="U412" s="638"/>
      <c r="V412" s="638"/>
      <c r="W412" s="638"/>
      <c r="X412" s="638"/>
      <c r="Y412" s="638"/>
      <c r="Z412" s="638"/>
    </row>
    <row r="413" spans="1:26" s="624" customFormat="1" ht="22.8" outlineLevel="1" x14ac:dyDescent="0.25">
      <c r="A413" s="815"/>
      <c r="B413" s="748" t="s">
        <v>937</v>
      </c>
      <c r="C413" s="669" t="str">
        <f>INDEX('Master sheet'!$A$1:$A$670,MATCH("248-6",'Master sheet'!$AN$1:$AN$670,0))</f>
        <v xml:space="preserve">Wood - SPF / Canadian Wood Council / Atlantic Canada / </v>
      </c>
      <c r="D413" s="13">
        <f>'USER INPUT SHEET'!$D$52+'USER INPUT SHEET'!$D$47</f>
        <v>0</v>
      </c>
      <c r="E413" s="14" t="str">
        <f>'USER INPUT SHEET'!$F$52</f>
        <v>m2</v>
      </c>
      <c r="F413" s="2">
        <v>1</v>
      </c>
      <c r="G413" s="648"/>
      <c r="H413" s="7"/>
      <c r="I413" s="88">
        <f t="shared" si="150"/>
        <v>0</v>
      </c>
      <c r="J413" s="89" t="str">
        <f t="shared" si="151"/>
        <v/>
      </c>
      <c r="K413" s="404">
        <f>$D413*$F413*VLOOKUP($C413,'Master sheet'!$A:$AL,13,FALSE)*0.01905</f>
        <v>0</v>
      </c>
      <c r="L413" s="90">
        <f>$D413*$F413*VLOOKUP($C413,'Master sheet'!$A:$AL,27,FALSE)*0.01905</f>
        <v>0</v>
      </c>
      <c r="M413" s="1552"/>
      <c r="N413" s="1552"/>
      <c r="O413" s="25" t="str">
        <f>_xlfn.IFNA(VLOOKUP($C413,'Master sheet'!$A:$AR,44,FALSE),"")&amp;""</f>
        <v/>
      </c>
      <c r="P413" s="637"/>
      <c r="Q413" s="29" t="s">
        <v>1556</v>
      </c>
      <c r="R413" s="638" t="s">
        <v>1572</v>
      </c>
      <c r="S413" s="638" t="s">
        <v>7254</v>
      </c>
      <c r="T413" s="638"/>
      <c r="U413" s="638"/>
      <c r="V413" s="638"/>
      <c r="W413" s="638"/>
      <c r="X413" s="638"/>
      <c r="Y413" s="638"/>
      <c r="Z413" s="638"/>
    </row>
    <row r="414" spans="1:26" ht="31.5" customHeight="1" outlineLevel="1" x14ac:dyDescent="0.25">
      <c r="A414" s="624"/>
      <c r="B414" s="624"/>
      <c r="C414" s="669" t="str">
        <f>INDEX('Master sheet'!$A$1:$A$670,MATCH(31,'Master sheet'!$AN$1:$AN$670,0))</f>
        <v>Cedar Siding / Western Red Cedar Lumber Assn /  / 1 x 6 Boards</v>
      </c>
      <c r="D414" s="15">
        <f>'USER INPUT SHEET'!$D$52+'USER INPUT SHEET'!$D$47</f>
        <v>0</v>
      </c>
      <c r="E414" s="16" t="str">
        <f>'USER INPUT SHEET'!$F$52</f>
        <v>m2</v>
      </c>
      <c r="F414" s="3">
        <v>1</v>
      </c>
      <c r="G414" s="670"/>
      <c r="H414" s="8"/>
      <c r="I414" s="88">
        <f>K414-L414-IF(N414,M414,0)</f>
        <v>0</v>
      </c>
      <c r="J414" s="93" t="str">
        <f t="shared" si="149"/>
        <v/>
      </c>
      <c r="K414" s="406">
        <f>$D414*$F414*VLOOKUP($C414,'Master sheet'!$A:$AL,13,FALSE)</f>
        <v>0</v>
      </c>
      <c r="L414" s="94">
        <f>$D414*$F414*VLOOKUP($C414,'Master sheet'!$A:$AL,27,FALSE)</f>
        <v>0</v>
      </c>
      <c r="M414" s="1552"/>
      <c r="N414" s="1552"/>
      <c r="O414" s="25" t="str">
        <f ca="1">_xlfn.IFNA(VLOOKUP($C414,'Master sheet'!$A:$AR,44,FALSE),"")&amp;""</f>
        <v>Expired 2021</v>
      </c>
      <c r="P414" s="637"/>
      <c r="Q414" s="29" t="s">
        <v>1556</v>
      </c>
      <c r="R414" s="638" t="s">
        <v>1572</v>
      </c>
      <c r="S414" s="664"/>
      <c r="T414" s="638" t="s">
        <v>7295</v>
      </c>
      <c r="U414" s="664"/>
      <c r="V414" s="664"/>
      <c r="W414" s="664"/>
      <c r="X414" s="664"/>
      <c r="Y414" s="664"/>
      <c r="Z414" s="664"/>
    </row>
    <row r="415" spans="1:26" ht="22.8" outlineLevel="1" x14ac:dyDescent="0.25">
      <c r="A415" s="624"/>
      <c r="B415" s="624"/>
      <c r="C415" s="669" t="str">
        <f>INDEX('Master sheet'!$A$1:$A$670,MATCH("159-1",'Master sheet'!$AN$1:$AN$670,0))</f>
        <v>Plywood / Canadian Wood Council /  / 1/2"</v>
      </c>
      <c r="D415" s="15">
        <f>'USER INPUT SHEET'!$D$52+'USER INPUT SHEET'!$D$47</f>
        <v>0</v>
      </c>
      <c r="E415" s="16" t="str">
        <f>'USER INPUT SHEET'!$F$52</f>
        <v>m2</v>
      </c>
      <c r="F415" s="3">
        <v>1</v>
      </c>
      <c r="G415" s="670"/>
      <c r="H415" s="8"/>
      <c r="I415" s="88">
        <f>K415-L415-IF(N415,M415,0)</f>
        <v>0</v>
      </c>
      <c r="J415" s="93" t="str">
        <f t="shared" si="149"/>
        <v/>
      </c>
      <c r="K415" s="406">
        <f>$D415*$F415*VLOOKUP($C415,'Master sheet'!$A:$AL,13,FALSE)</f>
        <v>0</v>
      </c>
      <c r="L415" s="94">
        <f>$D415*$F415*VLOOKUP($C415,'Master sheet'!$A:$AL,27,FALSE)</f>
        <v>0</v>
      </c>
      <c r="M415" s="1552"/>
      <c r="N415" s="1552"/>
      <c r="O415" s="25" t="str">
        <f>_xlfn.IFNA(VLOOKUP($C415,'Master sheet'!$A:$AR,44,FALSE),"")&amp;""</f>
        <v/>
      </c>
      <c r="P415" s="637"/>
      <c r="Q415" s="29" t="s">
        <v>1556</v>
      </c>
      <c r="R415" s="638" t="s">
        <v>1572</v>
      </c>
      <c r="S415" s="664"/>
      <c r="T415" s="664"/>
      <c r="U415" s="664"/>
      <c r="V415" s="664"/>
      <c r="W415" s="664"/>
      <c r="X415" s="664"/>
      <c r="Y415" s="664"/>
      <c r="Z415" s="664"/>
    </row>
    <row r="416" spans="1:26" ht="23.25" customHeight="1" outlineLevel="1" x14ac:dyDescent="0.25">
      <c r="A416" s="624"/>
      <c r="B416" s="624"/>
      <c r="C416" s="669" t="str">
        <f>INDEX('Master sheet'!$A$1:$A$670,MATCH(42,'Master sheet'!$AN$1:$AN$670,0))</f>
        <v>Clay plaster / Site mixed /  / 15 mm</v>
      </c>
      <c r="D416" s="15">
        <f>'USER INPUT SHEET'!$D$52+'USER INPUT SHEET'!$D$47</f>
        <v>0</v>
      </c>
      <c r="E416" s="16" t="str">
        <f>'USER INPUT SHEET'!$F$52</f>
        <v>m2</v>
      </c>
      <c r="F416" s="3">
        <v>1</v>
      </c>
      <c r="G416" s="670"/>
      <c r="H416" s="8"/>
      <c r="I416" s="92">
        <f t="shared" ref="I416" si="152">K416-L416</f>
        <v>0</v>
      </c>
      <c r="J416" s="93" t="str">
        <f t="shared" si="149"/>
        <v/>
      </c>
      <c r="K416" s="406">
        <f>$D416*$F416*VLOOKUP($C416,'Master sheet'!$A:$AL,13,FALSE)</f>
        <v>0</v>
      </c>
      <c r="L416" s="94">
        <f>$D416*$F416*VLOOKUP($C416,'Master sheet'!$A:$AL,27,FALSE)</f>
        <v>0</v>
      </c>
      <c r="M416" s="1552"/>
      <c r="N416" s="1552"/>
      <c r="O416" s="25" t="str">
        <f>_xlfn.IFNA(VLOOKUP($C416,'Master sheet'!$A:$AR,44,FALSE),"")&amp;""</f>
        <v>Peer-reviewed LCA, 2014</v>
      </c>
      <c r="P416" s="637"/>
      <c r="Q416" s="29" t="s">
        <v>1556</v>
      </c>
      <c r="R416" s="638" t="s">
        <v>1572</v>
      </c>
      <c r="S416" s="664"/>
      <c r="T416" s="664"/>
      <c r="U416" s="664"/>
      <c r="V416" s="664"/>
      <c r="W416" s="664"/>
      <c r="X416" s="664"/>
      <c r="Y416" s="664"/>
      <c r="Z416" s="664"/>
    </row>
    <row r="417" spans="1:26" ht="23.25" customHeight="1" outlineLevel="1" x14ac:dyDescent="0.25">
      <c r="A417" s="624"/>
      <c r="B417" s="624"/>
      <c r="C417" s="749" t="str">
        <f>INDEX('Master sheet'!$A$1:$A$670,MATCH("A9",'Master sheet'!$AN$1:$AN$670,0))</f>
        <v>Bamboo plywood / Smith &amp; Fong / Plyboo / 1/2" (12.7 mm)</v>
      </c>
      <c r="D417" s="250">
        <f>'USER INPUT SHEET'!$D$52+'USER INPUT SHEET'!$D$47</f>
        <v>0</v>
      </c>
      <c r="E417" s="251" t="str">
        <f>'USER INPUT SHEET'!$F$52</f>
        <v>m2</v>
      </c>
      <c r="F417" s="252">
        <v>1</v>
      </c>
      <c r="G417" s="750"/>
      <c r="H417" s="253"/>
      <c r="I417" s="254">
        <f t="shared" ref="I417" si="153">K417-L417</f>
        <v>0</v>
      </c>
      <c r="J417" s="255" t="str">
        <f t="shared" ref="J417" si="154">IF(H417=1,I417,"")</f>
        <v/>
      </c>
      <c r="K417" s="417">
        <f>$D417*$F417*VLOOKUP($C417,'Master sheet'!$A:$AL,13,FALSE)</f>
        <v>0</v>
      </c>
      <c r="L417" s="256">
        <f>$D417*$F417*VLOOKUP($C417,'Master sheet'!$A:$AL,27,FALSE)</f>
        <v>0</v>
      </c>
      <c r="M417" s="1552"/>
      <c r="N417" s="1552"/>
      <c r="O417" s="25" t="str">
        <f>_xlfn.IFNA(VLOOKUP($C417,'Master sheet'!$A:$AR,44,FALSE),"")&amp;""</f>
        <v/>
      </c>
      <c r="P417" s="637"/>
      <c r="Q417" s="29" t="s">
        <v>1556</v>
      </c>
      <c r="R417" s="638" t="s">
        <v>1572</v>
      </c>
      <c r="S417" s="664"/>
      <c r="T417" s="664"/>
      <c r="U417" s="664"/>
      <c r="V417" s="664"/>
      <c r="W417" s="664"/>
      <c r="X417" s="664"/>
      <c r="Y417" s="664"/>
      <c r="Z417" s="664"/>
    </row>
    <row r="418" spans="1:26" s="624" customFormat="1" ht="31.5" customHeight="1" outlineLevel="1" x14ac:dyDescent="0.25">
      <c r="A418" s="816"/>
      <c r="B418" s="816"/>
      <c r="C418" s="749" t="str">
        <f>INDEX('Master sheet'!$A$1:$A$670,MATCH("A85",'Master sheet'!$AN$1:$AN$670,0))</f>
        <v>Plywood / British Columbia Average / Includes : West Fraser Mills, Thompson River Veneer Products / 1/2"</v>
      </c>
      <c r="D418" s="250">
        <f>'USER INPUT SHEET'!$D$52+'USER INPUT SHEET'!$D$47</f>
        <v>0</v>
      </c>
      <c r="E418" s="251" t="str">
        <f>'USER INPUT SHEET'!$F$52</f>
        <v>m2</v>
      </c>
      <c r="F418" s="252">
        <v>1</v>
      </c>
      <c r="G418" s="750"/>
      <c r="H418" s="253"/>
      <c r="I418" s="88">
        <f>K418-L418-IF(N418,M418,0)</f>
        <v>0</v>
      </c>
      <c r="J418" s="255" t="str">
        <f t="shared" si="149"/>
        <v/>
      </c>
      <c r="K418" s="417">
        <f>$D418*$F418*VLOOKUP($C418,'Master sheet'!$A:$AL,13,FALSE)</f>
        <v>0</v>
      </c>
      <c r="L418" s="94">
        <f>$D418*$F418*VLOOKUP($C418,'Master sheet'!$A:$AL,27,FALSE)</f>
        <v>0</v>
      </c>
      <c r="M418" s="1552"/>
      <c r="N418" s="1552"/>
      <c r="O418" s="25" t="str">
        <f>_xlfn.IFNA(VLOOKUP($C418,'Master sheet'!$A:$AR,44,FALSE),"")&amp;""</f>
        <v/>
      </c>
      <c r="P418" s="685"/>
      <c r="Q418" s="29" t="s">
        <v>1556</v>
      </c>
      <c r="R418" s="638" t="s">
        <v>1572</v>
      </c>
      <c r="S418" s="638"/>
      <c r="T418" s="638"/>
      <c r="U418" s="638"/>
      <c r="V418" s="638"/>
      <c r="W418" s="638"/>
      <c r="X418" s="638"/>
      <c r="Y418" s="638"/>
      <c r="Z418" s="638"/>
    </row>
    <row r="419" spans="1:26" s="624" customFormat="1" ht="40.200000000000003" customHeight="1" x14ac:dyDescent="0.25">
      <c r="A419" s="865" t="s">
        <v>1598</v>
      </c>
      <c r="B419" s="866"/>
      <c r="C419" s="867"/>
      <c r="D419" s="286"/>
      <c r="E419" s="290"/>
      <c r="F419" s="342"/>
      <c r="G419" s="868"/>
      <c r="H419" s="869"/>
      <c r="I419" s="287"/>
      <c r="J419" s="287"/>
      <c r="K419" s="421"/>
      <c r="L419" s="289"/>
      <c r="M419" s="289"/>
      <c r="N419" s="289"/>
      <c r="O419" s="25" t="str">
        <f>_xlfn.IFNA(VLOOKUP($C419,'Master sheet'!$A:$AR,44,FALSE),"")&amp;""</f>
        <v/>
      </c>
      <c r="P419" s="637"/>
      <c r="Q419" s="29"/>
      <c r="R419" s="28"/>
      <c r="S419" s="638"/>
      <c r="T419" s="638"/>
      <c r="U419" s="638"/>
      <c r="V419" s="638"/>
      <c r="W419" s="638"/>
      <c r="X419" s="638"/>
      <c r="Y419" s="638"/>
      <c r="Z419" s="638"/>
    </row>
    <row r="420" spans="1:26" s="624" customFormat="1" ht="54.75" customHeight="1" outlineLevel="1" x14ac:dyDescent="0.25">
      <c r="A420" s="1522" t="s">
        <v>1373</v>
      </c>
      <c r="B420" s="1523"/>
      <c r="C420" s="1523"/>
      <c r="D420" s="649"/>
      <c r="E420" s="650"/>
      <c r="F420" s="321"/>
      <c r="G420" s="650"/>
      <c r="H420" s="650"/>
      <c r="I420" s="651"/>
      <c r="J420" s="651"/>
      <c r="K420" s="652"/>
      <c r="L420" s="759"/>
      <c r="M420" s="759"/>
      <c r="N420" s="759"/>
      <c r="O420" s="25" t="str">
        <f>_xlfn.IFNA(VLOOKUP($C420,'Master sheet'!$A:$AR,44,FALSE),"")&amp;""</f>
        <v/>
      </c>
      <c r="P420" s="637"/>
      <c r="Q420" s="29"/>
      <c r="R420" s="726"/>
      <c r="S420" s="638"/>
      <c r="T420" s="638"/>
      <c r="U420" s="638"/>
      <c r="V420" s="638"/>
      <c r="W420" s="638"/>
      <c r="X420" s="638"/>
    </row>
    <row r="421" spans="1:26" ht="23.25" customHeight="1" outlineLevel="1" x14ac:dyDescent="0.25">
      <c r="A421" s="823"/>
      <c r="B421" s="823"/>
      <c r="C421" s="669" t="str">
        <f>INDEX('Master sheet'!$A$1:$A$670,MATCH(222,'Master sheet'!$AN$1:$AN$670,0))</f>
        <v>Window - double pane / Fiberglass frame /  / USA &amp; CAN</v>
      </c>
      <c r="D421" s="15">
        <f>'USER INPUT SHEET'!$D$53</f>
        <v>0</v>
      </c>
      <c r="E421" s="16" t="str">
        <f>'USER INPUT SHEET'!$F$53</f>
        <v>m2</v>
      </c>
      <c r="F421" s="3">
        <v>1</v>
      </c>
      <c r="G421" s="670"/>
      <c r="H421" s="8"/>
      <c r="I421" s="92">
        <f t="shared" ref="I421:I422" si="155">K421-L421</f>
        <v>0</v>
      </c>
      <c r="J421" s="93" t="str">
        <f t="shared" ref="J421:J423" si="156">IF(H421=1,I421,"")</f>
        <v/>
      </c>
      <c r="K421" s="406">
        <f>$D421*$F421*VLOOKUP($C421,'Master sheet'!$A:$AL,13,FALSE)</f>
        <v>0</v>
      </c>
      <c r="L421" s="94">
        <f>$D421*$F421*VLOOKUP($C421,'Master sheet'!$A:$AL,27,FALSE)</f>
        <v>0</v>
      </c>
      <c r="M421" s="1552"/>
      <c r="N421" s="1552"/>
      <c r="O421" s="25" t="str">
        <f>_xlfn.IFNA(VLOOKUP($C421,'Master sheet'!$A:$AR,44,FALSE),"")&amp;""</f>
        <v>BfCA Study (Tally)</v>
      </c>
      <c r="P421" s="637"/>
      <c r="Q421" s="29" t="s">
        <v>1556</v>
      </c>
      <c r="R421" s="725" t="s">
        <v>1598</v>
      </c>
      <c r="S421" s="664"/>
      <c r="T421" s="664"/>
      <c r="U421" s="664"/>
      <c r="V421" s="664"/>
      <c r="W421" s="664"/>
      <c r="X421" s="664"/>
    </row>
    <row r="422" spans="1:26" ht="23.25" customHeight="1" outlineLevel="1" x14ac:dyDescent="0.25">
      <c r="A422" s="823"/>
      <c r="B422" s="823"/>
      <c r="C422" s="669" t="str">
        <f>INDEX('Master sheet'!$A$1:$A$670,MATCH(224,'Master sheet'!$AN$1:$AN$670,0))</f>
        <v>Window - double pane / Vinyl frame /  / USA &amp; CAN</v>
      </c>
      <c r="D422" s="15">
        <f>'USER INPUT SHEET'!$D$53</f>
        <v>0</v>
      </c>
      <c r="E422" s="16" t="str">
        <f>'USER INPUT SHEET'!$F$53</f>
        <v>m2</v>
      </c>
      <c r="F422" s="3">
        <v>1</v>
      </c>
      <c r="G422" s="670"/>
      <c r="H422" s="8"/>
      <c r="I422" s="92">
        <f t="shared" si="155"/>
        <v>0</v>
      </c>
      <c r="J422" s="93" t="str">
        <f t="shared" si="156"/>
        <v/>
      </c>
      <c r="K422" s="406">
        <f>$D422*$F422*VLOOKUP($C422,'Master sheet'!$A:$AL,13,FALSE)</f>
        <v>0</v>
      </c>
      <c r="L422" s="94">
        <f>$D422*$F422*VLOOKUP($C422,'Master sheet'!$A:$AL,27,FALSE)</f>
        <v>0</v>
      </c>
      <c r="M422" s="1552"/>
      <c r="N422" s="1552"/>
      <c r="O422" s="25" t="str">
        <f>_xlfn.IFNA(VLOOKUP($C422,'Master sheet'!$A:$AR,44,FALSE),"")&amp;""</f>
        <v>BfCA Study (Tally)</v>
      </c>
      <c r="P422" s="685"/>
      <c r="Q422" s="29" t="s">
        <v>1556</v>
      </c>
      <c r="R422" s="725" t="s">
        <v>1598</v>
      </c>
      <c r="S422" s="664"/>
      <c r="T422" s="664"/>
      <c r="U422" s="664"/>
      <c r="V422" s="664"/>
      <c r="W422" s="664"/>
      <c r="X422" s="664"/>
    </row>
    <row r="423" spans="1:26" ht="23.25" customHeight="1" outlineLevel="1" x14ac:dyDescent="0.25">
      <c r="A423" s="826"/>
      <c r="B423" s="826"/>
      <c r="C423" s="669" t="str">
        <f>INDEX('Master sheet'!$A$1:$A$670,MATCH(226,'Master sheet'!$AN$1:$AN$670,0))</f>
        <v>Window - double pane / Wood frame /  / USA &amp; CAN</v>
      </c>
      <c r="D423" s="15">
        <f>'USER INPUT SHEET'!$D$53</f>
        <v>0</v>
      </c>
      <c r="E423" s="16" t="str">
        <f>'USER INPUT SHEET'!$F$53</f>
        <v>m2</v>
      </c>
      <c r="F423" s="3">
        <v>1</v>
      </c>
      <c r="G423" s="670"/>
      <c r="H423" s="8"/>
      <c r="I423" s="92">
        <f t="shared" ref="I423:I424" si="157">K423-L423-IF(N423,M423,0)</f>
        <v>0</v>
      </c>
      <c r="J423" s="93" t="str">
        <f t="shared" si="156"/>
        <v/>
      </c>
      <c r="K423" s="406">
        <f>$D423*$F423*VLOOKUP($C423,'Master sheet'!$A:$AL,13,FALSE)</f>
        <v>0</v>
      </c>
      <c r="L423" s="94">
        <f>$D423*$F423*VLOOKUP($C423,'Master sheet'!$A:$AL,27,FALSE)</f>
        <v>0</v>
      </c>
      <c r="M423" s="1552"/>
      <c r="N423" s="1552"/>
      <c r="O423" s="25" t="str">
        <f>_xlfn.IFNA(VLOOKUP($C423,'Master sheet'!$A:$AR,44,FALSE),"")&amp;""</f>
        <v>BfCA Study (Tally)</v>
      </c>
      <c r="P423" s="685"/>
      <c r="Q423" s="29" t="s">
        <v>1556</v>
      </c>
      <c r="R423" s="725" t="s">
        <v>1598</v>
      </c>
      <c r="S423" s="664"/>
      <c r="T423" s="664"/>
      <c r="U423" s="664"/>
      <c r="V423" s="664"/>
      <c r="W423" s="664"/>
      <c r="X423" s="664"/>
    </row>
    <row r="424" spans="1:26" ht="31.2" outlineLevel="1" x14ac:dyDescent="0.25">
      <c r="A424" s="826"/>
      <c r="B424" s="826"/>
      <c r="C424" s="669" t="str">
        <f>INDEX('Master sheet'!$A$1:$A$670,MATCH(228,'Master sheet'!$AN$1:$AN$670,0))</f>
        <v>Window - double pane / Wood frame, aluminum cladding /  / USA &amp; CAN</v>
      </c>
      <c r="D424" s="15">
        <f>'USER INPUT SHEET'!$D$53</f>
        <v>0</v>
      </c>
      <c r="E424" s="16" t="str">
        <f>'USER INPUT SHEET'!$F$53</f>
        <v>m2</v>
      </c>
      <c r="F424" s="3">
        <v>1</v>
      </c>
      <c r="G424" s="670"/>
      <c r="H424" s="8"/>
      <c r="I424" s="92">
        <f t="shared" si="157"/>
        <v>0</v>
      </c>
      <c r="J424" s="93" t="str">
        <f t="shared" ref="J424" si="158">IF(H424=1,I424,"")</f>
        <v/>
      </c>
      <c r="K424" s="406">
        <f>$D424*$F424*VLOOKUP($C424,'Master sheet'!$A:$AL,13,FALSE)</f>
        <v>0</v>
      </c>
      <c r="L424" s="94">
        <f>$D424*$F424*VLOOKUP($C424,'Master sheet'!$A:$AL,27,FALSE)</f>
        <v>0</v>
      </c>
      <c r="M424" s="1552"/>
      <c r="N424" s="1552"/>
      <c r="O424" s="25" t="str">
        <f>_xlfn.IFNA(VLOOKUP($C424,'Master sheet'!$A:$AR,44,FALSE),"")&amp;""</f>
        <v>BfCA Study (Tally)</v>
      </c>
      <c r="P424" s="637"/>
      <c r="Q424" s="29" t="s">
        <v>1556</v>
      </c>
      <c r="R424" s="725" t="s">
        <v>1598</v>
      </c>
      <c r="S424" s="664"/>
      <c r="T424" s="664"/>
      <c r="U424" s="664"/>
      <c r="V424" s="664"/>
      <c r="W424" s="664"/>
      <c r="X424" s="664"/>
    </row>
    <row r="425" spans="1:26" s="624" customFormat="1" ht="54.75" customHeight="1" outlineLevel="1" x14ac:dyDescent="0.25">
      <c r="A425" s="1522" t="s">
        <v>101</v>
      </c>
      <c r="B425" s="1523"/>
      <c r="C425" s="1523"/>
      <c r="D425" s="827"/>
      <c r="E425" s="684"/>
      <c r="F425" s="323"/>
      <c r="G425" s="650"/>
      <c r="H425" s="650"/>
      <c r="I425" s="651"/>
      <c r="J425" s="651"/>
      <c r="K425" s="652"/>
      <c r="L425" s="759"/>
      <c r="M425" s="759"/>
      <c r="N425" s="759"/>
      <c r="O425" s="25" t="str">
        <f>_xlfn.IFNA(VLOOKUP($C425,'Master sheet'!$A:$AR,44,FALSE),"")&amp;""</f>
        <v/>
      </c>
      <c r="P425" s="637"/>
      <c r="Q425" s="29" t="s">
        <v>1556</v>
      </c>
      <c r="R425" s="726"/>
      <c r="S425" s="638"/>
      <c r="T425" s="638"/>
      <c r="U425" s="638"/>
      <c r="V425" s="638"/>
      <c r="W425" s="638"/>
      <c r="X425" s="638"/>
    </row>
    <row r="426" spans="1:26" s="624" customFormat="1" ht="31.5" customHeight="1" outlineLevel="1" x14ac:dyDescent="0.25">
      <c r="A426" s="1601"/>
      <c r="B426" s="1601"/>
      <c r="C426" s="669" t="str">
        <f>INDEX('Master sheet'!$A$1:$A$670,MATCH(375,'Master sheet'!$AN$1:$AN$670,0))</f>
        <v>Window - double pane / Andersen / E-series (Average Double-hung/Awning/Picture) / Wood frame, aluminum cladding</v>
      </c>
      <c r="D426" s="15">
        <f>'USER INPUT SHEET'!$D$53</f>
        <v>0</v>
      </c>
      <c r="E426" s="16" t="str">
        <f>'USER INPUT SHEET'!$F$53</f>
        <v>m2</v>
      </c>
      <c r="F426" s="3">
        <v>1</v>
      </c>
      <c r="G426" s="670"/>
      <c r="H426" s="8"/>
      <c r="I426" s="92">
        <f t="shared" ref="I426:I427" si="159">K426-L426</f>
        <v>0</v>
      </c>
      <c r="J426" s="93" t="str">
        <f t="shared" ref="J426:J427" si="160">IF(H426=1,I426,"")</f>
        <v/>
      </c>
      <c r="K426" s="406">
        <f>$D426*$F426*VLOOKUP($C426,'Master sheet'!$A:$AL,13,FALSE)</f>
        <v>0</v>
      </c>
      <c r="L426" s="94">
        <f>$D426*$F426*VLOOKUP($C426,'Master sheet'!$A:$AL,27,FALSE)</f>
        <v>0</v>
      </c>
      <c r="M426" s="1562"/>
      <c r="N426" s="1562"/>
      <c r="O426" s="25" t="str">
        <f ca="1">_xlfn.IFNA(VLOOKUP($C426,'Master sheet'!$A:$AR,44,FALSE),"")&amp;""</f>
        <v/>
      </c>
      <c r="P426" s="637"/>
      <c r="Q426" s="29" t="s">
        <v>1556</v>
      </c>
      <c r="R426" s="725" t="s">
        <v>1598</v>
      </c>
      <c r="S426" s="638"/>
      <c r="T426" s="638"/>
      <c r="U426" s="638"/>
      <c r="V426" s="638"/>
      <c r="W426" s="638"/>
      <c r="X426" s="638"/>
    </row>
    <row r="427" spans="1:26" s="624" customFormat="1" ht="46.95" customHeight="1" outlineLevel="1" x14ac:dyDescent="0.25">
      <c r="A427" s="1601"/>
      <c r="B427" s="1601"/>
      <c r="C427" s="669" t="str">
        <f>INDEX('Master sheet'!$A$1:$A$670,MATCH(416,'Master sheet'!$AN$1:$AN$670,0))</f>
        <v>Window - double pane / Inline Fiberglass / 300 Series Tilt and Turn, 300 Series Fixed, 325 Series Awning/Casement, 325 Series Fixed, and 400 Series / Fiberglass frame</v>
      </c>
      <c r="D427" s="15">
        <f>'USER INPUT SHEET'!$D$53</f>
        <v>0</v>
      </c>
      <c r="E427" s="16" t="str">
        <f>'USER INPUT SHEET'!$F$53</f>
        <v>m2</v>
      </c>
      <c r="F427" s="3">
        <v>1</v>
      </c>
      <c r="G427" s="670"/>
      <c r="H427" s="8"/>
      <c r="I427" s="92">
        <f t="shared" si="159"/>
        <v>0</v>
      </c>
      <c r="J427" s="93" t="str">
        <f t="shared" si="160"/>
        <v/>
      </c>
      <c r="K427" s="406">
        <f>$D427*$F427*VLOOKUP($C427,'Master sheet'!$A:$AL,13,FALSE)</f>
        <v>0</v>
      </c>
      <c r="L427" s="94">
        <f>$D427*$F427*VLOOKUP($C427,'Master sheet'!$A:$AL,27,FALSE)</f>
        <v>0</v>
      </c>
      <c r="M427" s="1552"/>
      <c r="N427" s="1552"/>
      <c r="O427" s="25" t="str">
        <f ca="1">_xlfn.IFNA(VLOOKUP($C427,'Master sheet'!$A:$AR,44,FALSE),"")&amp;""</f>
        <v/>
      </c>
      <c r="P427" s="637"/>
      <c r="Q427" s="29" t="s">
        <v>1556</v>
      </c>
      <c r="R427" s="725" t="s">
        <v>1598</v>
      </c>
      <c r="S427" s="638"/>
      <c r="T427" s="638"/>
      <c r="U427" s="638"/>
      <c r="V427" s="638"/>
      <c r="W427" s="638"/>
      <c r="X427" s="638"/>
    </row>
    <row r="428" spans="1:26" s="624" customFormat="1" ht="31.5" customHeight="1" outlineLevel="1" x14ac:dyDescent="0.25">
      <c r="A428" s="1601"/>
      <c r="B428" s="1601"/>
      <c r="C428" s="828" t="str">
        <f>INDEX('Master sheet'!$A$1:$A$670,MATCH("A149",'Master sheet'!$AN$1:$AN$670,0))</f>
        <v>Window - double-glazed  / AluQuebec / Avg of fixed, casement, slider, hung, tilt &amp; turn, awning / Aluminum frame</v>
      </c>
      <c r="D428" s="257">
        <f>'USER INPUT SHEET'!$D$53</f>
        <v>0</v>
      </c>
      <c r="E428" s="258" t="str">
        <f>'USER INPUT SHEET'!$F$53</f>
        <v>m2</v>
      </c>
      <c r="F428" s="259">
        <v>1</v>
      </c>
      <c r="G428" s="829"/>
      <c r="H428" s="260"/>
      <c r="I428" s="261">
        <f t="shared" ref="I428:I435" si="161">K428-L428</f>
        <v>0</v>
      </c>
      <c r="J428" s="262" t="str">
        <f t="shared" ref="J428:J435" si="162">IF(H428=1,I428,"")</f>
        <v/>
      </c>
      <c r="K428" s="420">
        <f>$D428*$F428*VLOOKUP($C428,'Master sheet'!$A:$AL,13,FALSE)</f>
        <v>0</v>
      </c>
      <c r="L428" s="263">
        <f>$D428*$F428*VLOOKUP($C428,'Master sheet'!$A:$AL,27,FALSE)</f>
        <v>0</v>
      </c>
      <c r="M428" s="1552"/>
      <c r="N428" s="1552"/>
      <c r="O428" s="25" t="str">
        <f>_xlfn.IFNA(VLOOKUP($C428,'Master sheet'!$A:$AR,44,FALSE),"")&amp;""</f>
        <v/>
      </c>
      <c r="P428" s="637"/>
      <c r="Q428" s="29" t="s">
        <v>1556</v>
      </c>
      <c r="R428" s="725" t="s">
        <v>1598</v>
      </c>
      <c r="S428" s="638"/>
      <c r="T428" s="638"/>
      <c r="U428" s="638"/>
      <c r="V428" s="638"/>
      <c r="W428" s="638"/>
      <c r="X428" s="638"/>
    </row>
    <row r="429" spans="1:26" s="624" customFormat="1" ht="31.5" customHeight="1" outlineLevel="1" x14ac:dyDescent="0.25">
      <c r="A429" s="1601"/>
      <c r="B429" s="1601"/>
      <c r="C429" s="828" t="str">
        <f>INDEX('Master sheet'!$A$1:$A$670,MATCH("A150",'Master sheet'!$AN$1:$AN$670,0))</f>
        <v>Window - double-glazed  / Arcadia / CV200, T200 / Projected &amp; casement / Aluminum frame</v>
      </c>
      <c r="D429" s="257">
        <f>'USER INPUT SHEET'!$D$53</f>
        <v>0</v>
      </c>
      <c r="E429" s="258" t="str">
        <f>'USER INPUT SHEET'!$F$53</f>
        <v>m2</v>
      </c>
      <c r="F429" s="259">
        <v>1</v>
      </c>
      <c r="G429" s="829"/>
      <c r="H429" s="260"/>
      <c r="I429" s="261">
        <f t="shared" si="161"/>
        <v>0</v>
      </c>
      <c r="J429" s="262" t="str">
        <f t="shared" si="162"/>
        <v/>
      </c>
      <c r="K429" s="420">
        <f>$D429*$F429*VLOOKUP($C429,'Master sheet'!$A:$AL,13,FALSE)</f>
        <v>0</v>
      </c>
      <c r="L429" s="263">
        <f>$D429*$F429*VLOOKUP($C429,'Master sheet'!$A:$AL,27,FALSE)</f>
        <v>0</v>
      </c>
      <c r="M429" s="1552"/>
      <c r="N429" s="1552"/>
      <c r="O429" s="25" t="str">
        <f>_xlfn.IFNA(VLOOKUP($C429,'Master sheet'!$A:$AR,44,FALSE),"")&amp;""</f>
        <v/>
      </c>
      <c r="P429" s="637"/>
      <c r="Q429" s="29" t="s">
        <v>1556</v>
      </c>
      <c r="R429" s="725" t="s">
        <v>1598</v>
      </c>
      <c r="S429" s="638"/>
      <c r="T429" s="638"/>
      <c r="U429" s="638"/>
      <c r="V429" s="638"/>
      <c r="W429" s="638"/>
      <c r="X429" s="638"/>
    </row>
    <row r="430" spans="1:26" s="624" customFormat="1" ht="31.2" outlineLevel="1" x14ac:dyDescent="0.25">
      <c r="A430" s="1601"/>
      <c r="B430" s="1601"/>
      <c r="C430" s="828" t="str">
        <f>INDEX('Master sheet'!$A$1:$A$670,MATCH("A151",'Master sheet'!$AN$1:$AN$670,0))</f>
        <v>Window - double-glazed  / EFCO / Xtherm, 5FXT, FX45, 6615, 6621, 6715, FX32, OG32, OG45 / Fixed / Aluminum frame</v>
      </c>
      <c r="D430" s="257">
        <f>'USER INPUT SHEET'!$D$53</f>
        <v>0</v>
      </c>
      <c r="E430" s="258" t="str">
        <f>'USER INPUT SHEET'!$F$53</f>
        <v>m2</v>
      </c>
      <c r="F430" s="259">
        <v>1</v>
      </c>
      <c r="G430" s="829"/>
      <c r="H430" s="260"/>
      <c r="I430" s="261">
        <f t="shared" si="161"/>
        <v>0</v>
      </c>
      <c r="J430" s="262" t="str">
        <f t="shared" si="162"/>
        <v/>
      </c>
      <c r="K430" s="420">
        <f>$D430*$F430*VLOOKUP($C430,'Master sheet'!$A:$AL,13,FALSE)</f>
        <v>0</v>
      </c>
      <c r="L430" s="263">
        <f>$D430*$F430*VLOOKUP($C430,'Master sheet'!$A:$AL,27,FALSE)</f>
        <v>0</v>
      </c>
      <c r="M430" s="1552"/>
      <c r="N430" s="1552"/>
      <c r="O430" s="25" t="str">
        <f>_xlfn.IFNA(VLOOKUP($C430,'Master sheet'!$A:$AR,44,FALSE),"")&amp;""</f>
        <v/>
      </c>
      <c r="P430" s="637"/>
      <c r="Q430" s="29" t="s">
        <v>1556</v>
      </c>
      <c r="R430" s="725" t="s">
        <v>1598</v>
      </c>
      <c r="S430" s="638"/>
      <c r="T430" s="638"/>
      <c r="U430" s="638"/>
      <c r="V430" s="638"/>
      <c r="W430" s="638"/>
      <c r="X430" s="638"/>
    </row>
    <row r="431" spans="1:26" s="624" customFormat="1" ht="46.8" outlineLevel="1" x14ac:dyDescent="0.25">
      <c r="A431" s="1601"/>
      <c r="B431" s="1601"/>
      <c r="C431" s="828" t="str">
        <f>INDEX('Master sheet'!$A$1:$A$670,MATCH("A152",'Master sheet'!$AN$1:$AN$670,0))</f>
        <v>Window - double-glazed  / EFCO / Xtherm, 875V, 2700, 2701, 450G, 590X, 6725, PG32, PX32, WV410, WV430 / Projected &amp; casement / Aluminum frame</v>
      </c>
      <c r="D431" s="257">
        <f>'USER INPUT SHEET'!$D$53</f>
        <v>0</v>
      </c>
      <c r="E431" s="258" t="str">
        <f>'USER INPUT SHEET'!$F$53</f>
        <v>m2</v>
      </c>
      <c r="F431" s="259">
        <v>1</v>
      </c>
      <c r="G431" s="829"/>
      <c r="H431" s="260"/>
      <c r="I431" s="261">
        <f t="shared" si="161"/>
        <v>0</v>
      </c>
      <c r="J431" s="262" t="str">
        <f t="shared" si="162"/>
        <v/>
      </c>
      <c r="K431" s="420">
        <f>$D431*$F431*VLOOKUP($C431,'Master sheet'!$A:$AL,13,FALSE)</f>
        <v>0</v>
      </c>
      <c r="L431" s="263">
        <f>$D431*$F431*VLOOKUP($C431,'Master sheet'!$A:$AL,27,FALSE)</f>
        <v>0</v>
      </c>
      <c r="M431" s="1552"/>
      <c r="N431" s="1552"/>
      <c r="O431" s="25" t="str">
        <f>_xlfn.IFNA(VLOOKUP($C431,'Master sheet'!$A:$AR,44,FALSE),"")&amp;""</f>
        <v/>
      </c>
      <c r="P431" s="637"/>
      <c r="Q431" s="29" t="s">
        <v>1556</v>
      </c>
      <c r="R431" s="725" t="s">
        <v>1598</v>
      </c>
      <c r="S431" s="638"/>
      <c r="T431" s="638"/>
      <c r="U431" s="638"/>
      <c r="V431" s="638"/>
      <c r="W431" s="638"/>
      <c r="X431" s="638"/>
    </row>
    <row r="432" spans="1:26" s="624" customFormat="1" ht="46.8" outlineLevel="1" x14ac:dyDescent="0.25">
      <c r="A432" s="1601"/>
      <c r="B432" s="1601"/>
      <c r="C432" s="828" t="str">
        <f>INDEX('Master sheet'!$A$1:$A$670,MATCH("A153",'Master sheet'!$AN$1:$AN$670,0))</f>
        <v>Window - double-glazed  / Kawneer / Optiq AA4325, 8225TL|TLF, 526, AA 6400|6500, NX-300|3000 / Projected &amp; casement / Aluminum frame</v>
      </c>
      <c r="D432" s="257">
        <f>'USER INPUT SHEET'!$D$53</f>
        <v>0</v>
      </c>
      <c r="E432" s="258" t="str">
        <f>'USER INPUT SHEET'!$F$53</f>
        <v>m2</v>
      </c>
      <c r="F432" s="259">
        <v>1</v>
      </c>
      <c r="G432" s="829"/>
      <c r="H432" s="260"/>
      <c r="I432" s="261">
        <f t="shared" si="161"/>
        <v>0</v>
      </c>
      <c r="J432" s="262" t="str">
        <f t="shared" si="162"/>
        <v/>
      </c>
      <c r="K432" s="420">
        <f>$D432*$F432*VLOOKUP($C432,'Master sheet'!$A:$AL,13,FALSE)</f>
        <v>0</v>
      </c>
      <c r="L432" s="263">
        <f>$D432*$F432*VLOOKUP($C432,'Master sheet'!$A:$AL,27,FALSE)</f>
        <v>0</v>
      </c>
      <c r="M432" s="1552"/>
      <c r="N432" s="1552"/>
      <c r="O432" s="25" t="str">
        <f>_xlfn.IFNA(VLOOKUP($C432,'Master sheet'!$A:$AR,44,FALSE),"")&amp;""</f>
        <v/>
      </c>
      <c r="P432" s="637"/>
      <c r="Q432" s="29" t="s">
        <v>1556</v>
      </c>
      <c r="R432" s="725" t="s">
        <v>1598</v>
      </c>
      <c r="S432" s="638"/>
      <c r="T432" s="638"/>
      <c r="U432" s="638"/>
      <c r="V432" s="638"/>
      <c r="W432" s="638"/>
      <c r="X432" s="638"/>
    </row>
    <row r="433" spans="1:26" s="624" customFormat="1" ht="31.5" customHeight="1" outlineLevel="1" x14ac:dyDescent="0.25">
      <c r="A433" s="1601"/>
      <c r="B433" s="1601"/>
      <c r="C433" s="828" t="str">
        <f>INDEX('Master sheet'!$A$1:$A$670,MATCH("A154",'Master sheet'!$AN$1:$AN$670,0))</f>
        <v>Window - double-glazed  / Kawneer / OptiQ AA5450, TR-9100, 8400TL, AA6400|6500|6600 / Hung &amp; sliding / Aluminum frame</v>
      </c>
      <c r="D433" s="257">
        <f>'USER INPUT SHEET'!$D$53</f>
        <v>0</v>
      </c>
      <c r="E433" s="258" t="str">
        <f>'USER INPUT SHEET'!$F$53</f>
        <v>m2</v>
      </c>
      <c r="F433" s="259">
        <v>1</v>
      </c>
      <c r="G433" s="829"/>
      <c r="H433" s="260"/>
      <c r="I433" s="261">
        <f t="shared" si="161"/>
        <v>0</v>
      </c>
      <c r="J433" s="262" t="str">
        <f t="shared" si="162"/>
        <v/>
      </c>
      <c r="K433" s="420">
        <f>$D433*$F433*VLOOKUP($C433,'Master sheet'!$A:$AL,13,FALSE)</f>
        <v>0</v>
      </c>
      <c r="L433" s="263">
        <f>$D433*$F433*VLOOKUP($C433,'Master sheet'!$A:$AL,27,FALSE)</f>
        <v>0</v>
      </c>
      <c r="M433" s="1552"/>
      <c r="N433" s="1552"/>
      <c r="O433" s="25" t="str">
        <f>_xlfn.IFNA(VLOOKUP($C433,'Master sheet'!$A:$AR,44,FALSE),"")&amp;""</f>
        <v/>
      </c>
      <c r="P433" s="637"/>
      <c r="Q433" s="29" t="s">
        <v>1556</v>
      </c>
      <c r="R433" s="725" t="s">
        <v>1598</v>
      </c>
      <c r="S433" s="638"/>
      <c r="T433" s="638"/>
      <c r="U433" s="638"/>
      <c r="V433" s="638"/>
      <c r="W433" s="638"/>
      <c r="X433" s="638"/>
    </row>
    <row r="434" spans="1:26" s="624" customFormat="1" ht="31.5" customHeight="1" outlineLevel="1" x14ac:dyDescent="0.25">
      <c r="A434" s="1601"/>
      <c r="B434" s="1601"/>
      <c r="C434" s="828" t="str">
        <f>INDEX('Master sheet'!$A$1:$A$670,MATCH("A155",'Master sheet'!$AN$1:$AN$670,0))</f>
        <v>Window - double-glazed  / Wasau / INvent casement windows / Aluminum frame</v>
      </c>
      <c r="D434" s="257">
        <f>'USER INPUT SHEET'!$D$53</f>
        <v>0</v>
      </c>
      <c r="E434" s="258" t="str">
        <f>'USER INPUT SHEET'!$F$53</f>
        <v>m2</v>
      </c>
      <c r="F434" s="259">
        <v>1</v>
      </c>
      <c r="G434" s="829"/>
      <c r="H434" s="260"/>
      <c r="I434" s="261">
        <f t="shared" si="161"/>
        <v>0</v>
      </c>
      <c r="J434" s="262" t="str">
        <f t="shared" si="162"/>
        <v/>
      </c>
      <c r="K434" s="420">
        <f>$D434*$F434*VLOOKUP($C434,'Master sheet'!$A:$AL,13,FALSE)</f>
        <v>0</v>
      </c>
      <c r="L434" s="263">
        <f>$D434*$F434*VLOOKUP($C434,'Master sheet'!$A:$AL,27,FALSE)</f>
        <v>0</v>
      </c>
      <c r="M434" s="1552"/>
      <c r="N434" s="1552"/>
      <c r="O434" s="25" t="str">
        <f>_xlfn.IFNA(VLOOKUP($C434,'Master sheet'!$A:$AR,44,FALSE),"")&amp;""</f>
        <v/>
      </c>
      <c r="P434" s="637"/>
      <c r="Q434" s="29" t="s">
        <v>1556</v>
      </c>
      <c r="R434" s="725" t="s">
        <v>1598</v>
      </c>
      <c r="S434" s="638"/>
      <c r="T434" s="638"/>
      <c r="U434" s="638"/>
      <c r="V434" s="638"/>
      <c r="W434" s="638"/>
      <c r="X434" s="638"/>
    </row>
    <row r="435" spans="1:26" s="624" customFormat="1" ht="31.5" customHeight="1" outlineLevel="1" x14ac:dyDescent="0.25">
      <c r="A435" s="1601"/>
      <c r="B435" s="1601"/>
      <c r="C435" s="828" t="str">
        <f>INDEX('Master sheet'!$A$1:$A$670,MATCH("A156",'Master sheet'!$AN$1:$AN$670,0))</f>
        <v>Window - double-glazed  / Wasau / INvent fixed windows  / Aluminum frame</v>
      </c>
      <c r="D435" s="257">
        <f>'USER INPUT SHEET'!$D$53</f>
        <v>0</v>
      </c>
      <c r="E435" s="258" t="str">
        <f>'USER INPUT SHEET'!$F$53</f>
        <v>m2</v>
      </c>
      <c r="F435" s="259">
        <v>1</v>
      </c>
      <c r="G435" s="829"/>
      <c r="H435" s="260"/>
      <c r="I435" s="261">
        <f t="shared" si="161"/>
        <v>0</v>
      </c>
      <c r="J435" s="262" t="str">
        <f t="shared" si="162"/>
        <v/>
      </c>
      <c r="K435" s="420">
        <f>$D435*$F435*VLOOKUP($C435,'Master sheet'!$A:$AL,13,FALSE)</f>
        <v>0</v>
      </c>
      <c r="L435" s="263">
        <f>$D435*$F435*VLOOKUP($C435,'Master sheet'!$A:$AL,27,FALSE)</f>
        <v>0</v>
      </c>
      <c r="M435" s="1552"/>
      <c r="N435" s="1552"/>
      <c r="O435" s="25" t="str">
        <f>_xlfn.IFNA(VLOOKUP($C435,'Master sheet'!$A:$AR,44,FALSE),"")&amp;""</f>
        <v/>
      </c>
      <c r="P435" s="637"/>
      <c r="Q435" s="29" t="s">
        <v>1556</v>
      </c>
      <c r="R435" s="725" t="s">
        <v>1598</v>
      </c>
      <c r="S435" s="638"/>
      <c r="T435" s="638"/>
      <c r="U435" s="638"/>
      <c r="V435" s="638"/>
      <c r="W435" s="638"/>
      <c r="X435" s="638"/>
    </row>
    <row r="436" spans="1:26" s="624" customFormat="1" ht="40.200000000000003" customHeight="1" x14ac:dyDescent="0.25">
      <c r="A436" s="865" t="s">
        <v>1576</v>
      </c>
      <c r="B436" s="866"/>
      <c r="C436" s="867"/>
      <c r="D436" s="286"/>
      <c r="E436" s="290"/>
      <c r="F436" s="342"/>
      <c r="G436" s="868"/>
      <c r="H436" s="869"/>
      <c r="I436" s="287"/>
      <c r="J436" s="287"/>
      <c r="K436" s="421"/>
      <c r="L436" s="289"/>
      <c r="M436" s="289"/>
      <c r="N436" s="289"/>
      <c r="O436" s="25" t="str">
        <f>_xlfn.IFNA(VLOOKUP($C436,'Master sheet'!$A:$AR,44,FALSE),"")&amp;""</f>
        <v/>
      </c>
      <c r="P436" s="637"/>
      <c r="Q436" s="29"/>
      <c r="R436" s="28"/>
      <c r="S436" s="638"/>
      <c r="T436" s="638"/>
      <c r="U436" s="638"/>
      <c r="V436" s="638"/>
      <c r="W436" s="638"/>
      <c r="X436" s="638"/>
      <c r="Y436" s="638"/>
      <c r="Z436" s="638"/>
    </row>
    <row r="437" spans="1:26" s="624" customFormat="1" ht="54.75" customHeight="1" outlineLevel="1" x14ac:dyDescent="0.25">
      <c r="A437" s="1522" t="s">
        <v>1599</v>
      </c>
      <c r="B437" s="1523"/>
      <c r="C437" s="1523"/>
      <c r="D437" s="649"/>
      <c r="E437" s="650"/>
      <c r="F437" s="321"/>
      <c r="G437" s="650"/>
      <c r="H437" s="650"/>
      <c r="I437" s="651"/>
      <c r="J437" s="651"/>
      <c r="K437" s="652"/>
      <c r="L437" s="759"/>
      <c r="M437" s="759"/>
      <c r="N437" s="759"/>
      <c r="O437" s="25" t="str">
        <f>_xlfn.IFNA(VLOOKUP($C437,'Master sheet'!$A:$AR,44,FALSE),"")&amp;""</f>
        <v/>
      </c>
      <c r="P437" s="637"/>
      <c r="Q437" s="29" t="s">
        <v>1556</v>
      </c>
      <c r="R437" s="849"/>
      <c r="S437" s="638"/>
      <c r="T437" s="638"/>
      <c r="U437" s="638"/>
      <c r="V437" s="638"/>
      <c r="W437" s="638"/>
      <c r="X437" s="638"/>
      <c r="Y437" s="638"/>
      <c r="Z437" s="638"/>
    </row>
    <row r="438" spans="1:26" ht="23.25" customHeight="1" outlineLevel="1" x14ac:dyDescent="0.25">
      <c r="A438" s="686"/>
      <c r="B438" s="1541" t="s">
        <v>1038</v>
      </c>
      <c r="C438" s="1530"/>
      <c r="D438" s="656"/>
      <c r="E438" s="657"/>
      <c r="F438" s="339"/>
      <c r="G438" s="724"/>
      <c r="H438" s="763"/>
      <c r="I438" s="658"/>
      <c r="J438" s="659"/>
      <c r="K438" s="660"/>
      <c r="L438" s="661"/>
      <c r="M438" s="677"/>
      <c r="N438" s="677"/>
      <c r="O438" s="25" t="str">
        <f>_xlfn.IFNA(VLOOKUP($C438,'Master sheet'!$A:$AR,44,FALSE),"")&amp;""</f>
        <v/>
      </c>
      <c r="P438" s="839"/>
      <c r="Q438" s="29" t="s">
        <v>1556</v>
      </c>
      <c r="R438" s="851"/>
      <c r="S438" s="664"/>
      <c r="T438" s="664"/>
      <c r="U438" s="664"/>
      <c r="V438" s="664"/>
      <c r="W438" s="664"/>
      <c r="X438" s="664"/>
      <c r="Y438" s="664"/>
      <c r="Z438" s="664"/>
    </row>
    <row r="439" spans="1:26" ht="22.8" outlineLevel="1" x14ac:dyDescent="0.25">
      <c r="A439" s="729"/>
      <c r="B439" s="729"/>
      <c r="C439" s="691" t="s">
        <v>1077</v>
      </c>
      <c r="D439" s="19">
        <f>'USER INPUT SHEET'!$D$54</f>
        <v>0</v>
      </c>
      <c r="E439" s="20" t="str">
        <f>'USER INPUT SHEET'!$F$54</f>
        <v>m2</v>
      </c>
      <c r="F439" s="6">
        <v>1</v>
      </c>
      <c r="G439" s="692"/>
      <c r="H439" s="10"/>
      <c r="I439" s="98">
        <f>K439-L439</f>
        <v>0</v>
      </c>
      <c r="J439" s="91" t="str">
        <f>IF(H439=1,I439,"")</f>
        <v/>
      </c>
      <c r="K439" s="410">
        <f>F439*AVERAGE(K440:K441)</f>
        <v>0</v>
      </c>
      <c r="L439" s="99">
        <f>F439*AVERAGE(L440:L441)</f>
        <v>0</v>
      </c>
      <c r="M439" s="1552"/>
      <c r="N439" s="1552"/>
      <c r="O439" s="25" t="str">
        <f>_xlfn.IFNA(VLOOKUP($C439,'Master sheet'!$A:$AR,44,FALSE),"")&amp;""</f>
        <v/>
      </c>
      <c r="P439" s="685"/>
      <c r="Q439" s="29" t="s">
        <v>1556</v>
      </c>
      <c r="R439" s="725" t="s">
        <v>1599</v>
      </c>
      <c r="S439" s="664"/>
      <c r="T439" s="664"/>
      <c r="U439" s="664"/>
      <c r="V439" s="664"/>
      <c r="W439" s="664"/>
      <c r="X439" s="664"/>
      <c r="Y439" s="664"/>
      <c r="Z439" s="664"/>
    </row>
    <row r="440" spans="1:26" ht="22.8" outlineLevel="1" x14ac:dyDescent="0.25">
      <c r="A440" s="1564"/>
      <c r="B440" s="1564"/>
      <c r="C440" s="673" t="str">
        <f>INDEX('Master sheet'!$A$1:$A$670,MATCH(89,'Master sheet'!$AN$1:$AN$670,0))</f>
        <v>Drywall 1/2" / Pabco / QuietRock / QuietRock 1/2"</v>
      </c>
      <c r="D440" s="15">
        <f>'USER INPUT SHEET'!$D$54</f>
        <v>0</v>
      </c>
      <c r="E440" s="16" t="str">
        <f>'USER INPUT SHEET'!$F$54</f>
        <v>m2</v>
      </c>
      <c r="F440" s="3">
        <v>1</v>
      </c>
      <c r="G440" s="670"/>
      <c r="H440" s="8"/>
      <c r="I440" s="92">
        <f t="shared" ref="I440:I441" si="163">K440-L440</f>
        <v>0</v>
      </c>
      <c r="J440" s="93" t="str">
        <f t="shared" ref="J440:J441" si="164">IF(H440=1,I440,"")</f>
        <v/>
      </c>
      <c r="K440" s="406">
        <f>$D440*$F440*VLOOKUP($C440,'Master sheet'!$A:$AL,13,FALSE)</f>
        <v>0</v>
      </c>
      <c r="L440" s="94">
        <f>$D440*$F440*VLOOKUP($C440,'Master sheet'!$A:$AL,27,FALSE)</f>
        <v>0</v>
      </c>
      <c r="M440" s="1552"/>
      <c r="N440" s="1552"/>
      <c r="O440" s="25" t="str">
        <f ca="1">_xlfn.IFNA(VLOOKUP($C440,'Master sheet'!$A:$AR,44,FALSE),"")&amp;""</f>
        <v>Expired 2025</v>
      </c>
      <c r="P440" s="664"/>
      <c r="Q440" s="29" t="s">
        <v>1556</v>
      </c>
      <c r="R440" s="725" t="s">
        <v>1599</v>
      </c>
      <c r="S440" s="664"/>
      <c r="T440" s="664"/>
      <c r="U440" s="664"/>
      <c r="V440" s="664"/>
      <c r="W440" s="664"/>
      <c r="X440" s="664"/>
      <c r="Y440" s="664"/>
      <c r="Z440" s="664"/>
    </row>
    <row r="441" spans="1:26" ht="31.5" customHeight="1" outlineLevel="1" x14ac:dyDescent="0.25">
      <c r="A441" s="1564"/>
      <c r="B441" s="1564"/>
      <c r="C441" s="673" t="str">
        <f>INDEX('Master sheet'!$A$1:$A$670,MATCH(376,'Master sheet'!$AN$1:$AN$670,0))</f>
        <v>Drywall 1/2" / National Gypsum / Gold Bond XP Gypsum Board  / 1/2" (12.7 mm)</v>
      </c>
      <c r="D441" s="15">
        <f>'USER INPUT SHEET'!$D$54</f>
        <v>0</v>
      </c>
      <c r="E441" s="16" t="str">
        <f>'USER INPUT SHEET'!$F$54</f>
        <v>m2</v>
      </c>
      <c r="F441" s="3">
        <v>1</v>
      </c>
      <c r="G441" s="670"/>
      <c r="H441" s="8"/>
      <c r="I441" s="92">
        <f t="shared" si="163"/>
        <v>0</v>
      </c>
      <c r="J441" s="93" t="str">
        <f t="shared" si="164"/>
        <v/>
      </c>
      <c r="K441" s="406">
        <f>$D441*$F441*VLOOKUP($C441,'Master sheet'!$A:$AL,13,FALSE)</f>
        <v>0</v>
      </c>
      <c r="L441" s="94">
        <f>$D441*$F441*VLOOKUP($C441,'Master sheet'!$A:$AL,27,FALSE)</f>
        <v>0</v>
      </c>
      <c r="M441" s="1552"/>
      <c r="N441" s="1552"/>
      <c r="O441" s="25" t="str">
        <f ca="1">_xlfn.IFNA(VLOOKUP($C441,'Master sheet'!$A:$AR,44,FALSE),"")&amp;""</f>
        <v/>
      </c>
      <c r="P441" s="664"/>
      <c r="Q441" s="29" t="s">
        <v>1556</v>
      </c>
      <c r="R441" s="725" t="s">
        <v>1599</v>
      </c>
      <c r="S441" s="664"/>
      <c r="T441" s="664"/>
      <c r="U441" s="664"/>
      <c r="V441" s="664"/>
      <c r="W441" s="664"/>
      <c r="X441" s="664"/>
      <c r="Y441" s="664"/>
      <c r="Z441" s="664"/>
    </row>
    <row r="442" spans="1:26" s="624" customFormat="1" ht="23.25" customHeight="1" outlineLevel="1" x14ac:dyDescent="0.25">
      <c r="A442" s="639"/>
      <c r="B442" s="1524" t="s">
        <v>1039</v>
      </c>
      <c r="C442" s="1523"/>
      <c r="D442" s="640"/>
      <c r="E442" s="641"/>
      <c r="F442" s="325"/>
      <c r="G442" s="678"/>
      <c r="H442" s="679"/>
      <c r="I442" s="642"/>
      <c r="J442" s="643"/>
      <c r="K442" s="676"/>
      <c r="L442" s="677"/>
      <c r="M442" s="677"/>
      <c r="N442" s="677"/>
      <c r="O442" s="25" t="str">
        <f>_xlfn.IFNA(VLOOKUP($C442,'Master sheet'!$A:$AR,44,FALSE),"")&amp;""</f>
        <v/>
      </c>
      <c r="P442" s="811"/>
      <c r="Q442" s="29" t="s">
        <v>1556</v>
      </c>
      <c r="R442" s="849"/>
      <c r="S442" s="638"/>
      <c r="T442" s="638"/>
      <c r="U442" s="638"/>
      <c r="V442" s="638"/>
      <c r="W442" s="638"/>
      <c r="X442" s="638"/>
      <c r="Y442" s="638"/>
      <c r="Z442" s="638"/>
    </row>
    <row r="443" spans="1:26" ht="22.8" outlineLevel="1" x14ac:dyDescent="0.25">
      <c r="A443" s="729"/>
      <c r="B443" s="729"/>
      <c r="C443" s="691" t="s">
        <v>1078</v>
      </c>
      <c r="D443" s="19">
        <f>'USER INPUT SHEET'!$D$54</f>
        <v>0</v>
      </c>
      <c r="E443" s="20" t="str">
        <f>'USER INPUT SHEET'!$F$54</f>
        <v>m2</v>
      </c>
      <c r="F443" s="6">
        <v>1</v>
      </c>
      <c r="G443" s="692"/>
      <c r="H443" s="10"/>
      <c r="I443" s="98">
        <f>K443-L443</f>
        <v>0</v>
      </c>
      <c r="J443" s="91" t="str">
        <f>IF(H443=1,I443,"")</f>
        <v/>
      </c>
      <c r="K443" s="410">
        <f>F443*AVERAGE(K444:K445)</f>
        <v>0</v>
      </c>
      <c r="L443" s="99">
        <f>F443*AVERAGE(L444:L445)</f>
        <v>0</v>
      </c>
      <c r="M443" s="1552"/>
      <c r="N443" s="1552"/>
      <c r="O443" s="25" t="str">
        <f>_xlfn.IFNA(VLOOKUP($C443,'Master sheet'!$A:$AR,44,FALSE),"")&amp;""</f>
        <v/>
      </c>
      <c r="P443" s="839"/>
      <c r="Q443" s="29" t="s">
        <v>1556</v>
      </c>
      <c r="R443" s="725" t="s">
        <v>1599</v>
      </c>
      <c r="S443" s="664"/>
      <c r="T443" s="664"/>
      <c r="U443" s="664"/>
      <c r="V443" s="664"/>
      <c r="W443" s="664"/>
      <c r="X443" s="664"/>
      <c r="Y443" s="664"/>
      <c r="Z443" s="664"/>
    </row>
    <row r="444" spans="1:26" ht="47.25" customHeight="1" outlineLevel="1" x14ac:dyDescent="0.25">
      <c r="A444" s="1600"/>
      <c r="B444" s="1600"/>
      <c r="C444" s="669" t="str">
        <f>INDEX('Master sheet'!$A$1:$A$670,MATCH(90,'Master sheet'!$AN$1:$AN$670,0))</f>
        <v>Drywall 5/8" /  / Includes American Gypsum, CertainTeed, Continental, Georgia-Pacific, National Gypsum, Pabco, USG, CGC / 5/8"</v>
      </c>
      <c r="D444" s="15">
        <f>'USER INPUT SHEET'!$D$54</f>
        <v>0</v>
      </c>
      <c r="E444" s="16" t="str">
        <f>'USER INPUT SHEET'!$F$54</f>
        <v>m2</v>
      </c>
      <c r="F444" s="3">
        <v>1</v>
      </c>
      <c r="G444" s="670"/>
      <c r="H444" s="8"/>
      <c r="I444" s="92">
        <f t="shared" ref="I444" si="165">K444-L444</f>
        <v>0</v>
      </c>
      <c r="J444" s="93" t="str">
        <f t="shared" ref="J444" si="166">IF(H444=1,I444,"")</f>
        <v/>
      </c>
      <c r="K444" s="406">
        <f>$D444*$F444*VLOOKUP($C444,'Master sheet'!$A:$AL,13,FALSE)</f>
        <v>0</v>
      </c>
      <c r="L444" s="94">
        <f>$D444*$F444*VLOOKUP($C444,'Master sheet'!$A:$AL,27,FALSE)</f>
        <v>0</v>
      </c>
      <c r="M444" s="1552"/>
      <c r="N444" s="1552"/>
      <c r="O444" s="25" t="str">
        <f ca="1">_xlfn.IFNA(VLOOKUP($C444,'Master sheet'!$A:$AR,44,FALSE),"")&amp;""</f>
        <v>Expired 2025</v>
      </c>
      <c r="P444" s="664"/>
      <c r="Q444" s="29" t="s">
        <v>1556</v>
      </c>
      <c r="R444" s="725" t="s">
        <v>1599</v>
      </c>
      <c r="S444" s="664"/>
      <c r="T444" s="664"/>
      <c r="U444" s="664"/>
      <c r="V444" s="664"/>
      <c r="W444" s="664"/>
      <c r="X444" s="664"/>
      <c r="Y444" s="664"/>
      <c r="Z444" s="664"/>
    </row>
    <row r="445" spans="1:26" s="624" customFormat="1" ht="31.2" outlineLevel="1" x14ac:dyDescent="0.25">
      <c r="A445" s="1600"/>
      <c r="B445" s="1600"/>
      <c r="C445" s="673" t="str">
        <f>INDEX('Master sheet'!$A$1:$A$670,MATCH(377,'Master sheet'!$AN$1:$AN$670,0))</f>
        <v>Drywall 5/8" Type X / National Gypsum / Gold Bond XP Fire-Shield Gypsum Board  / 5/8'' type X</v>
      </c>
      <c r="D445" s="17">
        <f>'USER INPUT SHEET'!$D$54</f>
        <v>0</v>
      </c>
      <c r="E445" s="18" t="str">
        <f>'USER INPUT SHEET'!$F$54</f>
        <v>m2</v>
      </c>
      <c r="F445" s="4">
        <v>1</v>
      </c>
      <c r="G445" s="674"/>
      <c r="H445" s="9"/>
      <c r="I445" s="95">
        <f t="shared" ref="I445" si="167">K445-L445</f>
        <v>0</v>
      </c>
      <c r="J445" s="96" t="str">
        <f t="shared" ref="J445" si="168">IF(H445=1,I445,"")</f>
        <v/>
      </c>
      <c r="K445" s="407">
        <f>$D445*$F445*VLOOKUP($C445,'Master sheet'!$A:$AL,13,FALSE)</f>
        <v>0</v>
      </c>
      <c r="L445" s="97">
        <f>$D445*$F445*VLOOKUP($C445,'Master sheet'!$A:$AL,27,FALSE)</f>
        <v>0</v>
      </c>
      <c r="M445" s="1559"/>
      <c r="N445" s="1559"/>
      <c r="O445" s="25" t="str">
        <f ca="1">_xlfn.IFNA(VLOOKUP($C445,'Master sheet'!$A:$AR,44,FALSE),"")&amp;""</f>
        <v/>
      </c>
      <c r="P445" s="638"/>
      <c r="Q445" s="29" t="s">
        <v>1556</v>
      </c>
      <c r="R445" s="725" t="s">
        <v>1599</v>
      </c>
      <c r="S445" s="638"/>
      <c r="T445" s="638"/>
      <c r="U445" s="638"/>
      <c r="V445" s="638"/>
      <c r="W445" s="638"/>
      <c r="X445" s="638"/>
      <c r="Y445" s="638"/>
      <c r="Z445" s="638"/>
    </row>
    <row r="446" spans="1:26" s="624" customFormat="1" ht="23.25" customHeight="1" outlineLevel="1" x14ac:dyDescent="0.25">
      <c r="A446" s="639"/>
      <c r="B446" s="1524" t="s">
        <v>86</v>
      </c>
      <c r="C446" s="1523"/>
      <c r="D446" s="640"/>
      <c r="E446" s="641"/>
      <c r="F446" s="325"/>
      <c r="G446" s="678"/>
      <c r="H446" s="679"/>
      <c r="I446" s="642"/>
      <c r="J446" s="643"/>
      <c r="K446" s="676"/>
      <c r="L446" s="677"/>
      <c r="M446" s="677"/>
      <c r="N446" s="677"/>
      <c r="O446" s="25" t="str">
        <f>_xlfn.IFNA(VLOOKUP($C446,'Master sheet'!$A:$AR,44,FALSE),"")&amp;""</f>
        <v/>
      </c>
      <c r="P446" s="638"/>
      <c r="Q446" s="29" t="s">
        <v>1556</v>
      </c>
      <c r="R446" s="725" t="s">
        <v>1599</v>
      </c>
      <c r="S446" s="638"/>
      <c r="T446" s="638"/>
      <c r="U446" s="638"/>
      <c r="V446" s="638"/>
      <c r="W446" s="638"/>
      <c r="X446" s="638"/>
      <c r="Y446" s="638"/>
      <c r="Z446" s="638"/>
    </row>
    <row r="447" spans="1:26" s="624" customFormat="1" ht="23.25" customHeight="1" outlineLevel="1" x14ac:dyDescent="0.25">
      <c r="A447" s="815"/>
      <c r="B447" s="1635"/>
      <c r="C447" s="647" t="str">
        <f>INDEX('Master sheet'!$A$1:$A$670,MATCH(146,'Master sheet'!$AN$1:$AN$670,0))</f>
        <v>MgO board 1/2" / North American MgO / MagTech Ultra / 1/2"</v>
      </c>
      <c r="D447" s="13">
        <f>'USER INPUT SHEET'!$D$54</f>
        <v>0</v>
      </c>
      <c r="E447" s="14" t="str">
        <f>'USER INPUT SHEET'!$F$54</f>
        <v>m2</v>
      </c>
      <c r="F447" s="2">
        <v>1</v>
      </c>
      <c r="G447" s="648"/>
      <c r="H447" s="7"/>
      <c r="I447" s="88">
        <f t="shared" ref="I447" si="169">K447-L447</f>
        <v>0</v>
      </c>
      <c r="J447" s="89" t="str">
        <f t="shared" ref="J447:J457" si="170">IF(H447=1,I447,"")</f>
        <v/>
      </c>
      <c r="K447" s="404">
        <f>$D447*$F447*VLOOKUP($C447,'Master sheet'!$A:$AL,13,FALSE)</f>
        <v>0</v>
      </c>
      <c r="L447" s="90">
        <f>$D447*$F447*VLOOKUP($C447,'Master sheet'!$A:$AL,27,FALSE)</f>
        <v>0</v>
      </c>
      <c r="M447" s="1552"/>
      <c r="N447" s="1552"/>
      <c r="O447" s="25" t="str">
        <f ca="1">_xlfn.IFNA(VLOOKUP($C447,'Master sheet'!$A:$AR,44,FALSE),"")&amp;""</f>
        <v>Expired 2023</v>
      </c>
      <c r="P447" s="638"/>
      <c r="Q447" s="29" t="s">
        <v>1556</v>
      </c>
      <c r="R447" s="725" t="s">
        <v>1599</v>
      </c>
      <c r="S447" s="638"/>
      <c r="T447" s="638"/>
      <c r="U447" s="638"/>
      <c r="V447" s="638"/>
      <c r="W447" s="638"/>
      <c r="X447" s="638"/>
      <c r="Y447" s="638"/>
      <c r="Z447" s="638"/>
    </row>
    <row r="448" spans="1:26" ht="31.5" customHeight="1" outlineLevel="1" x14ac:dyDescent="0.25">
      <c r="A448" s="823"/>
      <c r="B448" s="1635"/>
      <c r="C448" s="669" t="str">
        <f>INDEX('Master sheet'!$A$1:$A$670,MATCH(31,'Master sheet'!$AN$1:$AN$670,0))</f>
        <v>Cedar Siding / Western Red Cedar Lumber Assn /  / 1 x 6 Boards</v>
      </c>
      <c r="D448" s="15">
        <f>'USER INPUT SHEET'!$D$54</f>
        <v>0</v>
      </c>
      <c r="E448" s="16" t="str">
        <f>'USER INPUT SHEET'!$F$54</f>
        <v>m2</v>
      </c>
      <c r="F448" s="3">
        <v>1</v>
      </c>
      <c r="G448" s="670"/>
      <c r="H448" s="8"/>
      <c r="I448" s="88">
        <f t="shared" ref="I448:I455" si="171">K448-L448-IF(N448,M448,0)</f>
        <v>0</v>
      </c>
      <c r="J448" s="93" t="str">
        <f t="shared" si="170"/>
        <v/>
      </c>
      <c r="K448" s="406">
        <f>$D448*$F448*VLOOKUP($C448,'Master sheet'!$A:$AL,13,FALSE)</f>
        <v>0</v>
      </c>
      <c r="L448" s="94">
        <f>$D448*$F448*VLOOKUP($C448,'Master sheet'!$A:$AL,27,FALSE)</f>
        <v>0</v>
      </c>
      <c r="M448" s="1552"/>
      <c r="N448" s="1552"/>
      <c r="O448" s="25" t="str">
        <f ca="1">_xlfn.IFNA(VLOOKUP($C448,'Master sheet'!$A:$AR,44,FALSE),"")&amp;""</f>
        <v>Expired 2021</v>
      </c>
      <c r="P448" s="664"/>
      <c r="Q448" s="29" t="s">
        <v>1556</v>
      </c>
      <c r="R448" s="725" t="s">
        <v>1599</v>
      </c>
      <c r="S448" s="664"/>
      <c r="T448" s="664"/>
      <c r="U448" s="664"/>
      <c r="V448" s="664"/>
      <c r="W448" s="664"/>
      <c r="X448" s="664"/>
      <c r="Y448" s="664"/>
      <c r="Z448" s="664"/>
    </row>
    <row r="449" spans="1:26" ht="22.8" outlineLevel="1" x14ac:dyDescent="0.25">
      <c r="A449" s="823"/>
      <c r="B449" s="835" t="s">
        <v>937</v>
      </c>
      <c r="C449" s="669" t="str">
        <f>INDEX('Master sheet'!$A$1:$A$670,MATCH("248-1",'Master sheet'!$AN$1:$AN$670,0))</f>
        <v xml:space="preserve">Wood - SPF / Canadian Wood Council / British Columbia / </v>
      </c>
      <c r="D449" s="15">
        <f>'USER INPUT SHEET'!$D$54</f>
        <v>0</v>
      </c>
      <c r="E449" s="16" t="str">
        <f>'USER INPUT SHEET'!$F$54</f>
        <v>m2</v>
      </c>
      <c r="F449" s="3">
        <v>1</v>
      </c>
      <c r="G449" s="670"/>
      <c r="H449" s="8"/>
      <c r="I449" s="88">
        <f t="shared" si="171"/>
        <v>0</v>
      </c>
      <c r="J449" s="93" t="str">
        <f t="shared" si="170"/>
        <v/>
      </c>
      <c r="K449" s="406">
        <f>$D449*$F449*VLOOKUP($C449,'Master sheet'!$A:$AL,13,FALSE)*0.01905</f>
        <v>0</v>
      </c>
      <c r="L449" s="94">
        <f>$D449*$F449*VLOOKUP($C449,'Master sheet'!$A:$AL,27,FALSE)*0.01905</f>
        <v>0</v>
      </c>
      <c r="M449" s="1552"/>
      <c r="N449" s="1552"/>
      <c r="O449" s="25" t="str">
        <f>_xlfn.IFNA(VLOOKUP($C449,'Master sheet'!$A:$AR,44,FALSE),"")&amp;""</f>
        <v/>
      </c>
      <c r="P449" s="664"/>
      <c r="Q449" s="29" t="s">
        <v>1556</v>
      </c>
      <c r="R449" s="725" t="s">
        <v>1599</v>
      </c>
      <c r="S449" s="664" t="s">
        <v>7254</v>
      </c>
      <c r="T449" s="664"/>
      <c r="U449" s="664"/>
      <c r="V449" s="664"/>
      <c r="W449" s="664"/>
      <c r="X449" s="664"/>
      <c r="Y449" s="664"/>
      <c r="Z449" s="664"/>
    </row>
    <row r="450" spans="1:26" ht="22.8" outlineLevel="1" x14ac:dyDescent="0.25">
      <c r="A450" s="823"/>
      <c r="B450" s="835" t="s">
        <v>937</v>
      </c>
      <c r="C450" s="669" t="str">
        <f>INDEX('Master sheet'!$A$1:$A$670,MATCH("248-2",'Master sheet'!$AN$1:$AN$670,0))</f>
        <v xml:space="preserve">Wood - SPF / Canadian Wood Council / Alberta / </v>
      </c>
      <c r="D450" s="15">
        <f>'USER INPUT SHEET'!$D$54</f>
        <v>0</v>
      </c>
      <c r="E450" s="16" t="str">
        <f>'USER INPUT SHEET'!$F$54</f>
        <v>m2</v>
      </c>
      <c r="F450" s="3">
        <v>1</v>
      </c>
      <c r="G450" s="670"/>
      <c r="H450" s="8"/>
      <c r="I450" s="88">
        <f t="shared" ref="I450:I454" si="172">K450-L450-IF(N450,M450,0)</f>
        <v>0</v>
      </c>
      <c r="J450" s="93" t="str">
        <f t="shared" ref="J450:J454" si="173">IF(H450=1,I450,"")</f>
        <v/>
      </c>
      <c r="K450" s="406">
        <f>$D450*$F450*VLOOKUP($C450,'Master sheet'!$A:$AL,13,FALSE)*0.01905</f>
        <v>0</v>
      </c>
      <c r="L450" s="94">
        <f>$D450*$F450*VLOOKUP($C450,'Master sheet'!$A:$AL,27,FALSE)*0.01905</f>
        <v>0</v>
      </c>
      <c r="M450" s="1552"/>
      <c r="N450" s="1552"/>
      <c r="O450" s="25" t="str">
        <f>_xlfn.IFNA(VLOOKUP($C450,'Master sheet'!$A:$AR,44,FALSE),"")&amp;""</f>
        <v/>
      </c>
      <c r="P450" s="664"/>
      <c r="Q450" s="29" t="s">
        <v>1556</v>
      </c>
      <c r="R450" s="725" t="s">
        <v>1599</v>
      </c>
      <c r="S450" s="664" t="s">
        <v>7254</v>
      </c>
      <c r="T450" s="664"/>
      <c r="U450" s="664"/>
      <c r="V450" s="664"/>
      <c r="W450" s="664"/>
      <c r="X450" s="664"/>
      <c r="Y450" s="664"/>
      <c r="Z450" s="664"/>
    </row>
    <row r="451" spans="1:26" ht="22.8" outlineLevel="1" x14ac:dyDescent="0.25">
      <c r="A451" s="823"/>
      <c r="B451" s="835" t="s">
        <v>937</v>
      </c>
      <c r="C451" s="669" t="str">
        <f>INDEX('Master sheet'!$A$1:$A$670,MATCH("248-3",'Master sheet'!$AN$1:$AN$670,0))</f>
        <v xml:space="preserve">Wood - SPF / Canadian Wood Council / Ontario / </v>
      </c>
      <c r="D451" s="15">
        <f>'USER INPUT SHEET'!$D$54</f>
        <v>0</v>
      </c>
      <c r="E451" s="16" t="str">
        <f>'USER INPUT SHEET'!$F$54</f>
        <v>m2</v>
      </c>
      <c r="F451" s="3">
        <v>1</v>
      </c>
      <c r="G451" s="670"/>
      <c r="H451" s="8"/>
      <c r="I451" s="88">
        <f t="shared" si="172"/>
        <v>0</v>
      </c>
      <c r="J451" s="93" t="str">
        <f t="shared" si="173"/>
        <v/>
      </c>
      <c r="K451" s="406">
        <f>$D451*$F451*VLOOKUP($C451,'Master sheet'!$A:$AL,13,FALSE)*0.01905</f>
        <v>0</v>
      </c>
      <c r="L451" s="94">
        <f>$D451*$F451*VLOOKUP($C451,'Master sheet'!$A:$AL,27,FALSE)*0.01905</f>
        <v>0</v>
      </c>
      <c r="M451" s="1552"/>
      <c r="N451" s="1552"/>
      <c r="O451" s="25" t="str">
        <f>_xlfn.IFNA(VLOOKUP($C451,'Master sheet'!$A:$AR,44,FALSE),"")&amp;""</f>
        <v/>
      </c>
      <c r="P451" s="664"/>
      <c r="Q451" s="29" t="s">
        <v>1556</v>
      </c>
      <c r="R451" s="725" t="s">
        <v>1599</v>
      </c>
      <c r="S451" s="664" t="s">
        <v>7254</v>
      </c>
      <c r="T451" s="664"/>
      <c r="U451" s="664"/>
      <c r="V451" s="664"/>
      <c r="W451" s="664"/>
      <c r="X451" s="664"/>
      <c r="Y451" s="664"/>
      <c r="Z451" s="664"/>
    </row>
    <row r="452" spans="1:26" ht="22.8" outlineLevel="1" x14ac:dyDescent="0.25">
      <c r="A452" s="823"/>
      <c r="B452" s="835" t="s">
        <v>937</v>
      </c>
      <c r="C452" s="669" t="str">
        <f>INDEX('Master sheet'!$A$1:$A$670,MATCH("248-4",'Master sheet'!$AN$1:$AN$670,0))</f>
        <v xml:space="preserve">Wood - SPF / Canadian Wood Council / Quebec / </v>
      </c>
      <c r="D452" s="15">
        <f>'USER INPUT SHEET'!$D$54</f>
        <v>0</v>
      </c>
      <c r="E452" s="16" t="str">
        <f>'USER INPUT SHEET'!$F$54</f>
        <v>m2</v>
      </c>
      <c r="F452" s="3">
        <v>1</v>
      </c>
      <c r="G452" s="670"/>
      <c r="H452" s="8"/>
      <c r="I452" s="88">
        <f t="shared" si="172"/>
        <v>0</v>
      </c>
      <c r="J452" s="93" t="str">
        <f t="shared" si="173"/>
        <v/>
      </c>
      <c r="K452" s="406">
        <f>$D452*$F452*VLOOKUP($C452,'Master sheet'!$A:$AL,13,FALSE)*0.01905</f>
        <v>0</v>
      </c>
      <c r="L452" s="94">
        <f>$D452*$F452*VLOOKUP($C452,'Master sheet'!$A:$AL,27,FALSE)*0.01905</f>
        <v>0</v>
      </c>
      <c r="M452" s="1552"/>
      <c r="N452" s="1552"/>
      <c r="O452" s="25" t="str">
        <f>_xlfn.IFNA(VLOOKUP($C452,'Master sheet'!$A:$AR,44,FALSE),"")&amp;""</f>
        <v/>
      </c>
      <c r="P452" s="664"/>
      <c r="Q452" s="29" t="s">
        <v>1556</v>
      </c>
      <c r="R452" s="725" t="s">
        <v>1599</v>
      </c>
      <c r="S452" s="664" t="s">
        <v>7254</v>
      </c>
      <c r="T452" s="664"/>
      <c r="U452" s="664"/>
      <c r="V452" s="664"/>
      <c r="W452" s="664"/>
      <c r="X452" s="664"/>
      <c r="Y452" s="664"/>
      <c r="Z452" s="664"/>
    </row>
    <row r="453" spans="1:26" ht="22.8" outlineLevel="1" x14ac:dyDescent="0.25">
      <c r="A453" s="823"/>
      <c r="B453" s="835" t="s">
        <v>937</v>
      </c>
      <c r="C453" s="669" t="str">
        <f>INDEX('Master sheet'!$A$1:$A$670,MATCH("248-5",'Master sheet'!$AN$1:$AN$670,0))</f>
        <v xml:space="preserve">Wood - SPF / Canadian Wood Council / New Brunswick / </v>
      </c>
      <c r="D453" s="15">
        <f>'USER INPUT SHEET'!$D$54</f>
        <v>0</v>
      </c>
      <c r="E453" s="16" t="str">
        <f>'USER INPUT SHEET'!$F$54</f>
        <v>m2</v>
      </c>
      <c r="F453" s="3">
        <v>1</v>
      </c>
      <c r="G453" s="670"/>
      <c r="H453" s="8"/>
      <c r="I453" s="88">
        <f t="shared" si="172"/>
        <v>0</v>
      </c>
      <c r="J453" s="93" t="str">
        <f t="shared" si="173"/>
        <v/>
      </c>
      <c r="K453" s="406">
        <f>$D453*$F453*VLOOKUP($C453,'Master sheet'!$A:$AL,13,FALSE)*0.01905</f>
        <v>0</v>
      </c>
      <c r="L453" s="94">
        <f>$D453*$F453*VLOOKUP($C453,'Master sheet'!$A:$AL,27,FALSE)*0.01905</f>
        <v>0</v>
      </c>
      <c r="M453" s="1552"/>
      <c r="N453" s="1552"/>
      <c r="O453" s="25" t="str">
        <f>_xlfn.IFNA(VLOOKUP($C453,'Master sheet'!$A:$AR,44,FALSE),"")&amp;""</f>
        <v/>
      </c>
      <c r="P453" s="664"/>
      <c r="Q453" s="29" t="s">
        <v>1556</v>
      </c>
      <c r="R453" s="725" t="s">
        <v>1599</v>
      </c>
      <c r="S453" s="664" t="s">
        <v>7254</v>
      </c>
      <c r="T453" s="664"/>
      <c r="U453" s="664"/>
      <c r="V453" s="664"/>
      <c r="W453" s="664"/>
      <c r="X453" s="664"/>
      <c r="Y453" s="664"/>
      <c r="Z453" s="664"/>
    </row>
    <row r="454" spans="1:26" ht="22.8" outlineLevel="1" x14ac:dyDescent="0.25">
      <c r="A454" s="823"/>
      <c r="B454" s="835" t="s">
        <v>937</v>
      </c>
      <c r="C454" s="669" t="str">
        <f>INDEX('Master sheet'!$A$1:$A$670,MATCH("248-6",'Master sheet'!$AN$1:$AN$670,0))</f>
        <v xml:space="preserve">Wood - SPF / Canadian Wood Council / Atlantic Canada / </v>
      </c>
      <c r="D454" s="15">
        <f>'USER INPUT SHEET'!$D$54</f>
        <v>0</v>
      </c>
      <c r="E454" s="16" t="str">
        <f>'USER INPUT SHEET'!$F$54</f>
        <v>m2</v>
      </c>
      <c r="F454" s="3">
        <v>1</v>
      </c>
      <c r="G454" s="670"/>
      <c r="H454" s="8"/>
      <c r="I454" s="88">
        <f t="shared" si="172"/>
        <v>0</v>
      </c>
      <c r="J454" s="93" t="str">
        <f t="shared" si="173"/>
        <v/>
      </c>
      <c r="K454" s="406">
        <f>$D454*$F454*VLOOKUP($C454,'Master sheet'!$A:$AL,13,FALSE)*0.01905</f>
        <v>0</v>
      </c>
      <c r="L454" s="94">
        <f>$D454*$F454*VLOOKUP($C454,'Master sheet'!$A:$AL,27,FALSE)*0.01905</f>
        <v>0</v>
      </c>
      <c r="M454" s="1552"/>
      <c r="N454" s="1552"/>
      <c r="O454" s="25" t="str">
        <f>_xlfn.IFNA(VLOOKUP($C454,'Master sheet'!$A:$AR,44,FALSE),"")&amp;""</f>
        <v/>
      </c>
      <c r="P454" s="664"/>
      <c r="Q454" s="29" t="s">
        <v>1556</v>
      </c>
      <c r="R454" s="725" t="s">
        <v>1599</v>
      </c>
      <c r="S454" s="664" t="s">
        <v>7254</v>
      </c>
      <c r="T454" s="664"/>
      <c r="U454" s="664"/>
      <c r="V454" s="664"/>
      <c r="W454" s="664"/>
      <c r="X454" s="664"/>
      <c r="Y454" s="664"/>
      <c r="Z454" s="664"/>
    </row>
    <row r="455" spans="1:26" ht="22.8" outlineLevel="1" x14ac:dyDescent="0.25">
      <c r="A455" s="815"/>
      <c r="B455" s="1644"/>
      <c r="C455" s="669" t="str">
        <f>INDEX('Master sheet'!$A$1:$A$670,MATCH("159-1",'Master sheet'!$AN$1:$AN$670,0))</f>
        <v>Plywood / Canadian Wood Council /  / 1/2"</v>
      </c>
      <c r="D455" s="15">
        <f>'USER INPUT SHEET'!$D$54</f>
        <v>0</v>
      </c>
      <c r="E455" s="16" t="str">
        <f>'USER INPUT SHEET'!$F$54</f>
        <v>m2</v>
      </c>
      <c r="F455" s="3">
        <v>1</v>
      </c>
      <c r="G455" s="670"/>
      <c r="H455" s="8"/>
      <c r="I455" s="88">
        <f t="shared" si="171"/>
        <v>0</v>
      </c>
      <c r="J455" s="93" t="str">
        <f t="shared" si="170"/>
        <v/>
      </c>
      <c r="K455" s="406">
        <f>$D455*$F455*VLOOKUP($C455,'Master sheet'!$A:$AL,13,FALSE)</f>
        <v>0</v>
      </c>
      <c r="L455" s="94">
        <f>$D455*$F455*VLOOKUP($C455,'Master sheet'!$A:$AL,27,FALSE)</f>
        <v>0</v>
      </c>
      <c r="M455" s="1552"/>
      <c r="N455" s="1552"/>
      <c r="O455" s="25" t="str">
        <f>_xlfn.IFNA(VLOOKUP($C455,'Master sheet'!$A:$AR,44,FALSE),"")&amp;""</f>
        <v/>
      </c>
      <c r="P455" s="664"/>
      <c r="Q455" s="29" t="s">
        <v>1556</v>
      </c>
      <c r="R455" s="725" t="s">
        <v>1599</v>
      </c>
      <c r="S455" s="664"/>
      <c r="T455" s="664"/>
      <c r="U455" s="664"/>
      <c r="V455" s="664"/>
      <c r="W455" s="664"/>
      <c r="X455" s="664"/>
      <c r="Y455" s="664"/>
      <c r="Z455" s="664"/>
    </row>
    <row r="456" spans="1:26" ht="22.8" outlineLevel="1" x14ac:dyDescent="0.25">
      <c r="A456" s="815"/>
      <c r="B456" s="1644"/>
      <c r="C456" s="749" t="str">
        <f>INDEX('Master sheet'!$A$1:$A$670,MATCH("A9",'Master sheet'!$AN$1:$AN$670,0))</f>
        <v>Bamboo plywood / Smith &amp; Fong / Plyboo / 1/2" (12.7 mm)</v>
      </c>
      <c r="D456" s="250">
        <f>'USER INPUT SHEET'!$D$54</f>
        <v>0</v>
      </c>
      <c r="E456" s="251" t="str">
        <f>'USER INPUT SHEET'!$F$54</f>
        <v>m2</v>
      </c>
      <c r="F456" s="252">
        <v>1</v>
      </c>
      <c r="G456" s="750"/>
      <c r="H456" s="253"/>
      <c r="I456" s="254">
        <f t="shared" ref="I456" si="174">K456-L456</f>
        <v>0</v>
      </c>
      <c r="J456" s="255" t="str">
        <f t="shared" ref="J456" si="175">IF(H456=1,I456,"")</f>
        <v/>
      </c>
      <c r="K456" s="417">
        <f>$D456*$F456*VLOOKUP($C456,'Master sheet'!$A:$AL,13,FALSE)</f>
        <v>0</v>
      </c>
      <c r="L456" s="256">
        <f>$D456*$F456*VLOOKUP($C456,'Master sheet'!$A:$AL,27,FALSE)</f>
        <v>0</v>
      </c>
      <c r="M456" s="1552"/>
      <c r="N456" s="1552"/>
      <c r="O456" s="25" t="str">
        <f>_xlfn.IFNA(VLOOKUP($C456,'Master sheet'!$A:$AR,44,FALSE),"")&amp;""</f>
        <v/>
      </c>
      <c r="P456" s="664"/>
      <c r="Q456" s="29" t="s">
        <v>1556</v>
      </c>
      <c r="R456" s="725" t="s">
        <v>1599</v>
      </c>
      <c r="S456" s="664"/>
      <c r="T456" s="664"/>
      <c r="U456" s="664"/>
      <c r="V456" s="664"/>
      <c r="W456" s="664"/>
      <c r="X456" s="664"/>
      <c r="Y456" s="664"/>
      <c r="Z456" s="664"/>
    </row>
    <row r="457" spans="1:26" s="624" customFormat="1" ht="31.2" outlineLevel="1" x14ac:dyDescent="0.25">
      <c r="A457" s="854"/>
      <c r="B457" s="1645"/>
      <c r="C457" s="749" t="str">
        <f>INDEX('Master sheet'!$A$1:$A$670,MATCH("A85",'Master sheet'!$AN$1:$AN$670,0))</f>
        <v>Plywood / British Columbia Average / Includes : West Fraser Mills, Thompson River Veneer Products / 1/2"</v>
      </c>
      <c r="D457" s="250">
        <f>'USER INPUT SHEET'!$D$54</f>
        <v>0</v>
      </c>
      <c r="E457" s="251" t="str">
        <f>'USER INPUT SHEET'!$F$54</f>
        <v>m2</v>
      </c>
      <c r="F457" s="252">
        <v>1</v>
      </c>
      <c r="G457" s="750"/>
      <c r="H457" s="253"/>
      <c r="I457" s="88">
        <f t="shared" ref="I457" si="176">K457-L457-IF(N457,M457,0)</f>
        <v>0</v>
      </c>
      <c r="J457" s="255" t="str">
        <f t="shared" si="170"/>
        <v/>
      </c>
      <c r="K457" s="417">
        <f>$D457*$F457*VLOOKUP($C457,'Master sheet'!$A:$AL,13,FALSE)</f>
        <v>0</v>
      </c>
      <c r="L457" s="94">
        <f>$D457*$F457*VLOOKUP($C457,'Master sheet'!$A:$AL,27,FALSE)</f>
        <v>0</v>
      </c>
      <c r="M457" s="1552"/>
      <c r="N457" s="1552"/>
      <c r="O457" s="25" t="str">
        <f>_xlfn.IFNA(VLOOKUP($C457,'Master sheet'!$A:$AR,44,FALSE),"")&amp;""</f>
        <v/>
      </c>
      <c r="P457" s="638"/>
      <c r="Q457" s="29" t="s">
        <v>1556</v>
      </c>
      <c r="R457" s="725" t="s">
        <v>1599</v>
      </c>
      <c r="S457" s="638"/>
      <c r="T457" s="638"/>
      <c r="U457" s="638"/>
      <c r="V457" s="638"/>
      <c r="W457" s="638"/>
      <c r="X457" s="638"/>
      <c r="Y457" s="638"/>
      <c r="Z457" s="638"/>
    </row>
    <row r="458" spans="1:26" s="624" customFormat="1" ht="40.200000000000003" customHeight="1" x14ac:dyDescent="0.25">
      <c r="A458" s="865" t="s">
        <v>1575</v>
      </c>
      <c r="B458" s="866"/>
      <c r="C458" s="867"/>
      <c r="D458" s="286"/>
      <c r="E458" s="290"/>
      <c r="F458" s="342"/>
      <c r="G458" s="868"/>
      <c r="H458" s="869"/>
      <c r="I458" s="287"/>
      <c r="J458" s="287"/>
      <c r="K458" s="421"/>
      <c r="L458" s="289"/>
      <c r="M458" s="289"/>
      <c r="N458" s="289"/>
      <c r="O458" s="25" t="str">
        <f>_xlfn.IFNA(VLOOKUP($C458,'Master sheet'!$A:$AR,44,FALSE),"")&amp;""</f>
        <v/>
      </c>
      <c r="P458" s="637"/>
      <c r="Q458" s="29"/>
      <c r="R458" s="28"/>
      <c r="S458" s="638"/>
      <c r="T458" s="638"/>
      <c r="U458" s="638"/>
      <c r="V458" s="638"/>
      <c r="W458" s="638"/>
      <c r="X458" s="638"/>
      <c r="Y458" s="638"/>
      <c r="Z458" s="638"/>
    </row>
    <row r="459" spans="1:26" s="624" customFormat="1" ht="54.75" customHeight="1" outlineLevel="1" x14ac:dyDescent="0.25">
      <c r="A459" s="1522" t="s">
        <v>39</v>
      </c>
      <c r="B459" s="1523"/>
      <c r="C459" s="1523"/>
      <c r="D459" s="629" t="s">
        <v>38</v>
      </c>
      <c r="E459" s="1"/>
      <c r="F459" s="323" t="str">
        <f>IF(LOWER(Setting!rng_language)="english","in","po")</f>
        <v>in</v>
      </c>
      <c r="G459" s="650"/>
      <c r="H459" s="650"/>
      <c r="I459" s="651"/>
      <c r="J459" s="651"/>
      <c r="K459" s="652"/>
      <c r="L459" s="759"/>
      <c r="M459" s="759"/>
      <c r="N459" s="759"/>
      <c r="O459" s="25" t="str">
        <f>_xlfn.IFNA(VLOOKUP($C459,'Master sheet'!$A:$AR,44,FALSE),"")&amp;""</f>
        <v/>
      </c>
      <c r="P459" s="637"/>
      <c r="Q459" s="29" t="s">
        <v>1556</v>
      </c>
      <c r="R459" s="855"/>
      <c r="S459" s="638"/>
      <c r="T459" s="638"/>
      <c r="U459" s="638"/>
      <c r="V459" s="638"/>
      <c r="W459" s="638"/>
      <c r="X459" s="638"/>
      <c r="Y459" s="638"/>
      <c r="Z459" s="638"/>
    </row>
    <row r="460" spans="1:26" s="624" customFormat="1" ht="21" customHeight="1" outlineLevel="1" x14ac:dyDescent="0.25">
      <c r="A460" s="639"/>
      <c r="B460" s="1524" t="s">
        <v>6850</v>
      </c>
      <c r="C460" s="1523"/>
      <c r="D460" s="640"/>
      <c r="E460" s="641"/>
      <c r="F460" s="334"/>
      <c r="G460" s="678"/>
      <c r="H460" s="639"/>
      <c r="I460" s="733"/>
      <c r="J460" s="733"/>
      <c r="K460" s="698"/>
      <c r="L460" s="736"/>
      <c r="M460" s="736"/>
      <c r="N460" s="736"/>
      <c r="O460" s="25" t="str">
        <f>_xlfn.IFNA(VLOOKUP($C460,'Master sheet'!$A:$AR,44,FALSE),"")&amp;""</f>
        <v/>
      </c>
      <c r="P460" s="637"/>
      <c r="Q460" s="722"/>
      <c r="R460" s="722"/>
      <c r="S460" s="623"/>
      <c r="T460" s="638"/>
      <c r="U460" s="638"/>
      <c r="V460" s="638"/>
      <c r="W460" s="638"/>
      <c r="X460" s="638"/>
      <c r="Y460" s="638"/>
      <c r="Z460" s="638"/>
    </row>
    <row r="461" spans="1:26" ht="22.8" outlineLevel="1" x14ac:dyDescent="0.25">
      <c r="A461" s="1542"/>
      <c r="B461" s="1542"/>
      <c r="C461" s="669" t="str">
        <f>INDEX('Master sheet'!$A$1:$A$670,MATCH("248-1",'Master sheet'!$AN$1:$AN$670,0))</f>
        <v xml:space="preserve">Wood - SPF / Canadian Wood Council / British Columbia / </v>
      </c>
      <c r="D461" s="13">
        <f>'USER INPUT SHEET'!$D$55</f>
        <v>0</v>
      </c>
      <c r="E461" s="14" t="str">
        <f>'USER INPUT SHEET'!$F$37</f>
        <v>m2</v>
      </c>
      <c r="F461" s="2">
        <v>1</v>
      </c>
      <c r="G461" s="648"/>
      <c r="H461" s="7"/>
      <c r="I461" s="88">
        <f t="shared" ref="I461:I466" si="177">K461-L461-IF(N461,M461,0)</f>
        <v>0</v>
      </c>
      <c r="J461" s="89" t="str">
        <f t="shared" ref="J461:J466" si="178">IF(H461=1,I461,"")</f>
        <v/>
      </c>
      <c r="K461" s="404">
        <f>$D461*$F461*IF($E$459=16,0.25,0.22)*VLOOKUP($C461,'Master sheet'!$A:$AL,13,FALSE)*(0.0254*3.5)</f>
        <v>0</v>
      </c>
      <c r="L461" s="90">
        <f>$D461*$F461*IF($E$459=16,0.25,0.22)*VLOOKUP($C461,'Master sheet'!$A:$AL,27,FALSE)*(0.0254*3.5)</f>
        <v>0</v>
      </c>
      <c r="M461" s="1552"/>
      <c r="N461" s="1552"/>
      <c r="O461" s="25" t="str">
        <f>_xlfn.IFNA(VLOOKUP($C461,'Master sheet'!$A:$AR,44,FALSE),"")&amp;""</f>
        <v/>
      </c>
      <c r="P461" s="637"/>
      <c r="Q461" s="29" t="s">
        <v>1556</v>
      </c>
      <c r="R461" s="726" t="s">
        <v>1600</v>
      </c>
      <c r="S461" s="638" t="s">
        <v>7250</v>
      </c>
      <c r="T461" s="638"/>
      <c r="U461" s="664"/>
      <c r="V461" s="664"/>
      <c r="W461" s="664"/>
      <c r="X461" s="664"/>
      <c r="Y461" s="664"/>
      <c r="Z461" s="664"/>
    </row>
    <row r="462" spans="1:26" ht="22.8" outlineLevel="1" x14ac:dyDescent="0.25">
      <c r="A462" s="1542"/>
      <c r="B462" s="1542"/>
      <c r="C462" s="669" t="str">
        <f>INDEX('Master sheet'!$A$1:$A$670,MATCH("248-2",'Master sheet'!$AN$1:$AN$670,0))</f>
        <v xml:space="preserve">Wood - SPF / Canadian Wood Council / Alberta / </v>
      </c>
      <c r="D462" s="13">
        <f>'USER INPUT SHEET'!$D$55</f>
        <v>0</v>
      </c>
      <c r="E462" s="14" t="str">
        <f>'USER INPUT SHEET'!$F$37</f>
        <v>m2</v>
      </c>
      <c r="F462" s="2">
        <v>1</v>
      </c>
      <c r="G462" s="648"/>
      <c r="H462" s="7"/>
      <c r="I462" s="88">
        <f t="shared" si="177"/>
        <v>0</v>
      </c>
      <c r="J462" s="89" t="str">
        <f t="shared" si="178"/>
        <v/>
      </c>
      <c r="K462" s="404">
        <f>$D462*$F462*IF($E$459=16,0.25,0.22)*VLOOKUP($C462,'Master sheet'!$A:$AL,13,FALSE)*(0.0254*3.5)</f>
        <v>0</v>
      </c>
      <c r="L462" s="90">
        <f>$D462*$F462*IF($E$459=16,0.25,0.22)*VLOOKUP($C462,'Master sheet'!$A:$AL,27,FALSE)*(0.0254*3.5)</f>
        <v>0</v>
      </c>
      <c r="M462" s="1552"/>
      <c r="N462" s="1552"/>
      <c r="O462" s="25" t="str">
        <f>_xlfn.IFNA(VLOOKUP($C462,'Master sheet'!$A:$AR,44,FALSE),"")&amp;""</f>
        <v/>
      </c>
      <c r="P462" s="637"/>
      <c r="Q462" s="29" t="s">
        <v>1556</v>
      </c>
      <c r="R462" s="726" t="s">
        <v>1600</v>
      </c>
      <c r="S462" s="638" t="s">
        <v>7250</v>
      </c>
      <c r="T462" s="638"/>
      <c r="U462" s="664"/>
      <c r="V462" s="664"/>
      <c r="W462" s="664"/>
      <c r="X462" s="664"/>
      <c r="Y462" s="664"/>
      <c r="Z462" s="664"/>
    </row>
    <row r="463" spans="1:26" ht="22.8" outlineLevel="1" x14ac:dyDescent="0.25">
      <c r="A463" s="1542"/>
      <c r="B463" s="1542"/>
      <c r="C463" s="669" t="str">
        <f>INDEX('Master sheet'!$A$1:$A$670,MATCH("248-3",'Master sheet'!$AN$1:$AN$670,0))</f>
        <v xml:space="preserve">Wood - SPF / Canadian Wood Council / Ontario / </v>
      </c>
      <c r="D463" s="13">
        <f>'USER INPUT SHEET'!$D$55</f>
        <v>0</v>
      </c>
      <c r="E463" s="14" t="str">
        <f>'USER INPUT SHEET'!$F$37</f>
        <v>m2</v>
      </c>
      <c r="F463" s="2">
        <v>1</v>
      </c>
      <c r="G463" s="648"/>
      <c r="H463" s="7"/>
      <c r="I463" s="88">
        <f t="shared" si="177"/>
        <v>0</v>
      </c>
      <c r="J463" s="89" t="str">
        <f t="shared" si="178"/>
        <v/>
      </c>
      <c r="K463" s="404">
        <f>$D463*$F463*IF($E$459=16,0.25,0.22)*VLOOKUP($C463,'Master sheet'!$A:$AL,13,FALSE)*(0.0254*3.5)</f>
        <v>0</v>
      </c>
      <c r="L463" s="90">
        <f>$D463*$F463*IF($E$459=16,0.25,0.22)*VLOOKUP($C463,'Master sheet'!$A:$AL,27,FALSE)*(0.0254*3.5)</f>
        <v>0</v>
      </c>
      <c r="M463" s="1552"/>
      <c r="N463" s="1552"/>
      <c r="O463" s="25" t="str">
        <f>_xlfn.IFNA(VLOOKUP($C463,'Master sheet'!$A:$AR,44,FALSE),"")&amp;""</f>
        <v/>
      </c>
      <c r="P463" s="637"/>
      <c r="Q463" s="29" t="s">
        <v>1556</v>
      </c>
      <c r="R463" s="726" t="s">
        <v>1600</v>
      </c>
      <c r="S463" s="638" t="s">
        <v>7250</v>
      </c>
      <c r="T463" s="638"/>
      <c r="U463" s="664"/>
      <c r="V463" s="664"/>
      <c r="W463" s="664"/>
      <c r="X463" s="664"/>
      <c r="Y463" s="664"/>
      <c r="Z463" s="664"/>
    </row>
    <row r="464" spans="1:26" ht="22.8" outlineLevel="1" x14ac:dyDescent="0.25">
      <c r="A464" s="1542"/>
      <c r="B464" s="1542"/>
      <c r="C464" s="669" t="str">
        <f>INDEX('Master sheet'!$A$1:$A$670,MATCH("248-4",'Master sheet'!$AN$1:$AN$670,0))</f>
        <v xml:space="preserve">Wood - SPF / Canadian Wood Council / Quebec / </v>
      </c>
      <c r="D464" s="13">
        <f>'USER INPUT SHEET'!$D$55</f>
        <v>0</v>
      </c>
      <c r="E464" s="14" t="str">
        <f>'USER INPUT SHEET'!$F$37</f>
        <v>m2</v>
      </c>
      <c r="F464" s="2">
        <v>1</v>
      </c>
      <c r="G464" s="648"/>
      <c r="H464" s="7"/>
      <c r="I464" s="88">
        <f t="shared" si="177"/>
        <v>0</v>
      </c>
      <c r="J464" s="89" t="str">
        <f t="shared" si="178"/>
        <v/>
      </c>
      <c r="K464" s="404">
        <f>$D464*$F464*IF($E$459=16,0.25,0.22)*VLOOKUP($C464,'Master sheet'!$A:$AL,13,FALSE)*(0.0254*3.5)</f>
        <v>0</v>
      </c>
      <c r="L464" s="90">
        <f>$D464*$F464*IF($E$459=16,0.25,0.22)*VLOOKUP($C464,'Master sheet'!$A:$AL,27,FALSE)*(0.0254*3.5)</f>
        <v>0</v>
      </c>
      <c r="M464" s="1552"/>
      <c r="N464" s="1552"/>
      <c r="O464" s="25" t="str">
        <f>_xlfn.IFNA(VLOOKUP($C464,'Master sheet'!$A:$AR,44,FALSE),"")&amp;""</f>
        <v/>
      </c>
      <c r="P464" s="637"/>
      <c r="Q464" s="29" t="s">
        <v>1556</v>
      </c>
      <c r="R464" s="726" t="s">
        <v>1600</v>
      </c>
      <c r="S464" s="638" t="s">
        <v>7250</v>
      </c>
      <c r="T464" s="638"/>
      <c r="U464" s="664"/>
      <c r="V464" s="664"/>
      <c r="W464" s="664"/>
      <c r="X464" s="664"/>
      <c r="Y464" s="664"/>
      <c r="Z464" s="664"/>
    </row>
    <row r="465" spans="1:26" ht="22.8" outlineLevel="1" x14ac:dyDescent="0.25">
      <c r="A465" s="1542"/>
      <c r="B465" s="1542"/>
      <c r="C465" s="669" t="str">
        <f>INDEX('Master sheet'!$A$1:$A$670,MATCH("248-5",'Master sheet'!$AN$1:$AN$670,0))</f>
        <v xml:space="preserve">Wood - SPF / Canadian Wood Council / New Brunswick / </v>
      </c>
      <c r="D465" s="13">
        <f>'USER INPUT SHEET'!$D$55</f>
        <v>0</v>
      </c>
      <c r="E465" s="14" t="str">
        <f>'USER INPUT SHEET'!$F$37</f>
        <v>m2</v>
      </c>
      <c r="F465" s="2">
        <v>1</v>
      </c>
      <c r="G465" s="648"/>
      <c r="H465" s="7"/>
      <c r="I465" s="88">
        <f t="shared" si="177"/>
        <v>0</v>
      </c>
      <c r="J465" s="89" t="str">
        <f t="shared" si="178"/>
        <v/>
      </c>
      <c r="K465" s="404">
        <f>$D465*$F465*IF($E$459=16,0.25,0.22)*VLOOKUP($C465,'Master sheet'!$A:$AL,13,FALSE)*(0.0254*3.5)</f>
        <v>0</v>
      </c>
      <c r="L465" s="90">
        <f>$D465*$F465*IF($E$459=16,0.25,0.22)*VLOOKUP($C465,'Master sheet'!$A:$AL,27,FALSE)*(0.0254*3.5)</f>
        <v>0</v>
      </c>
      <c r="M465" s="1552"/>
      <c r="N465" s="1552"/>
      <c r="O465" s="25" t="str">
        <f>_xlfn.IFNA(VLOOKUP($C465,'Master sheet'!$A:$AR,44,FALSE),"")&amp;""</f>
        <v/>
      </c>
      <c r="P465" s="637"/>
      <c r="Q465" s="29" t="s">
        <v>1556</v>
      </c>
      <c r="R465" s="726" t="s">
        <v>1600</v>
      </c>
      <c r="S465" s="638" t="s">
        <v>7250</v>
      </c>
      <c r="T465" s="638"/>
      <c r="U465" s="664"/>
      <c r="V465" s="664"/>
      <c r="W465" s="664"/>
      <c r="X465" s="664"/>
      <c r="Y465" s="664"/>
      <c r="Z465" s="664"/>
    </row>
    <row r="466" spans="1:26" ht="22.8" outlineLevel="1" x14ac:dyDescent="0.25">
      <c r="A466" s="1542"/>
      <c r="B466" s="1542"/>
      <c r="C466" s="669" t="str">
        <f>INDEX('Master sheet'!$A$1:$A$670,MATCH("248-6",'Master sheet'!$AN$1:$AN$670,0))</f>
        <v xml:space="preserve">Wood - SPF / Canadian Wood Council / Atlantic Canada / </v>
      </c>
      <c r="D466" s="13">
        <f>'USER INPUT SHEET'!$D$55</f>
        <v>0</v>
      </c>
      <c r="E466" s="14" t="str">
        <f>'USER INPUT SHEET'!$F$37</f>
        <v>m2</v>
      </c>
      <c r="F466" s="2">
        <v>1</v>
      </c>
      <c r="G466" s="648"/>
      <c r="H466" s="7"/>
      <c r="I466" s="88">
        <f t="shared" si="177"/>
        <v>0</v>
      </c>
      <c r="J466" s="89" t="str">
        <f t="shared" si="178"/>
        <v/>
      </c>
      <c r="K466" s="404">
        <f>$D466*$F466*IF($E$459=16,0.25,0.22)*VLOOKUP($C466,'Master sheet'!$A:$AL,13,FALSE)*(0.0254*3.5)</f>
        <v>0</v>
      </c>
      <c r="L466" s="90">
        <f>$D466*$F466*IF($E$459=16,0.25,0.22)*VLOOKUP($C466,'Master sheet'!$A:$AL,27,FALSE)*(0.0254*3.5)</f>
        <v>0</v>
      </c>
      <c r="M466" s="1552"/>
      <c r="N466" s="1552"/>
      <c r="O466" s="25" t="str">
        <f>_xlfn.IFNA(VLOOKUP($C466,'Master sheet'!$A:$AR,44,FALSE),"")&amp;""</f>
        <v/>
      </c>
      <c r="P466" s="637"/>
      <c r="Q466" s="29" t="s">
        <v>1556</v>
      </c>
      <c r="R466" s="726" t="s">
        <v>1600</v>
      </c>
      <c r="S466" s="638" t="s">
        <v>7250</v>
      </c>
      <c r="T466" s="638"/>
      <c r="U466" s="664"/>
      <c r="V466" s="664"/>
      <c r="W466" s="664"/>
      <c r="X466" s="664"/>
      <c r="Y466" s="664"/>
      <c r="Z466" s="664"/>
    </row>
    <row r="467" spans="1:26" s="624" customFormat="1" ht="21" customHeight="1" outlineLevel="1" x14ac:dyDescent="0.25">
      <c r="A467" s="639"/>
      <c r="B467" s="1524" t="s">
        <v>6849</v>
      </c>
      <c r="C467" s="1523"/>
      <c r="D467" s="640"/>
      <c r="E467" s="641"/>
      <c r="F467" s="334"/>
      <c r="G467" s="678"/>
      <c r="H467" s="639"/>
      <c r="I467" s="733"/>
      <c r="J467" s="733"/>
      <c r="K467" s="698"/>
      <c r="L467" s="736"/>
      <c r="M467" s="736"/>
      <c r="N467" s="736"/>
      <c r="O467" s="25" t="str">
        <f>_xlfn.IFNA(VLOOKUP($C467,'Master sheet'!$A:$AR,44,FALSE),"")&amp;""</f>
        <v/>
      </c>
      <c r="P467" s="637"/>
      <c r="Q467" s="722"/>
      <c r="R467" s="722"/>
      <c r="S467" s="623"/>
      <c r="T467" s="638"/>
      <c r="U467" s="638"/>
      <c r="V467" s="638"/>
      <c r="W467" s="638"/>
      <c r="X467" s="638"/>
      <c r="Y467" s="638"/>
      <c r="Z467" s="638"/>
    </row>
    <row r="468" spans="1:26" ht="22.8" outlineLevel="1" x14ac:dyDescent="0.25">
      <c r="A468" s="1542"/>
      <c r="B468" s="1542"/>
      <c r="C468" s="669" t="str">
        <f>INDEX('Master sheet'!$A$1:$A$670,MATCH("248-1",'Master sheet'!$AN$1:$AN$670,0))</f>
        <v xml:space="preserve">Wood - SPF / Canadian Wood Council / British Columbia / </v>
      </c>
      <c r="D468" s="15">
        <f>'USER INPUT SHEET'!$D$55</f>
        <v>0</v>
      </c>
      <c r="E468" s="16" t="str">
        <f>'USER INPUT SHEET'!$F$37</f>
        <v>m2</v>
      </c>
      <c r="F468" s="3">
        <v>1</v>
      </c>
      <c r="G468" s="670"/>
      <c r="H468" s="8"/>
      <c r="I468" s="88">
        <f t="shared" ref="I468:I473" si="179">K468-L468-IF(N468,M468,0)</f>
        <v>0</v>
      </c>
      <c r="J468" s="93" t="str">
        <f t="shared" ref="J468:J473" si="180">IF(H468=1,I468,"")</f>
        <v/>
      </c>
      <c r="K468" s="406">
        <f>$D468*$F468*IF($E$459=16,0.25,0.22)*VLOOKUP($C468,'Master sheet'!$A:$AL,13,FALSE)*(0.0254*5.5)</f>
        <v>0</v>
      </c>
      <c r="L468" s="94">
        <f>$D468*$F468*IF($E$459=16,0.25,0.22)*VLOOKUP($C468,'Master sheet'!$A:$AL,27,FALSE)*(0.0254*5.5)</f>
        <v>0</v>
      </c>
      <c r="M468" s="1562"/>
      <c r="N468" s="1562"/>
      <c r="O468" s="25" t="str">
        <f>_xlfn.IFNA(VLOOKUP($C468,'Master sheet'!$A:$AR,44,FALSE),"")&amp;""</f>
        <v/>
      </c>
      <c r="P468" s="685"/>
      <c r="Q468" s="29" t="s">
        <v>1556</v>
      </c>
      <c r="R468" s="726" t="s">
        <v>1600</v>
      </c>
      <c r="S468" s="664" t="s">
        <v>7251</v>
      </c>
      <c r="T468" s="664"/>
      <c r="U468" s="664"/>
      <c r="V468" s="664"/>
      <c r="W468" s="664"/>
      <c r="X468" s="664"/>
      <c r="Y468" s="664"/>
      <c r="Z468" s="664"/>
    </row>
    <row r="469" spans="1:26" ht="22.8" outlineLevel="1" x14ac:dyDescent="0.25">
      <c r="A469" s="1542"/>
      <c r="B469" s="1542"/>
      <c r="C469" s="669" t="str">
        <f>INDEX('Master sheet'!$A$1:$A$670,MATCH("248-2",'Master sheet'!$AN$1:$AN$670,0))</f>
        <v xml:space="preserve">Wood - SPF / Canadian Wood Council / Alberta / </v>
      </c>
      <c r="D469" s="15">
        <f>'USER INPUT SHEET'!$D$55</f>
        <v>0</v>
      </c>
      <c r="E469" s="16" t="str">
        <f>'USER INPUT SHEET'!$F$37</f>
        <v>m2</v>
      </c>
      <c r="F469" s="3">
        <v>1</v>
      </c>
      <c r="G469" s="670"/>
      <c r="H469" s="8"/>
      <c r="I469" s="88">
        <f t="shared" si="179"/>
        <v>0</v>
      </c>
      <c r="J469" s="93" t="str">
        <f t="shared" si="180"/>
        <v/>
      </c>
      <c r="K469" s="406">
        <f>$D469*$F469*IF($E$459=16,0.25,0.22)*VLOOKUP($C469,'Master sheet'!$A:$AL,13,FALSE)*(0.0254*5.5)</f>
        <v>0</v>
      </c>
      <c r="L469" s="94">
        <f>$D469*$F469*IF($E$459=16,0.25,0.22)*VLOOKUP($C469,'Master sheet'!$A:$AL,27,FALSE)*(0.0254*5.5)</f>
        <v>0</v>
      </c>
      <c r="M469" s="1552"/>
      <c r="N469" s="1552"/>
      <c r="O469" s="25" t="str">
        <f>_xlfn.IFNA(VLOOKUP($C469,'Master sheet'!$A:$AR,44,FALSE),"")&amp;""</f>
        <v/>
      </c>
      <c r="P469" s="685"/>
      <c r="Q469" s="29" t="s">
        <v>1556</v>
      </c>
      <c r="R469" s="726" t="s">
        <v>1600</v>
      </c>
      <c r="S469" s="664" t="s">
        <v>7251</v>
      </c>
      <c r="T469" s="664"/>
      <c r="U469" s="664"/>
      <c r="V469" s="664"/>
      <c r="W469" s="664"/>
      <c r="X469" s="664"/>
      <c r="Y469" s="664"/>
      <c r="Z469" s="664"/>
    </row>
    <row r="470" spans="1:26" ht="22.8" outlineLevel="1" x14ac:dyDescent="0.25">
      <c r="A470" s="1542"/>
      <c r="B470" s="1542"/>
      <c r="C470" s="669" t="str">
        <f>INDEX('Master sheet'!$A$1:$A$670,MATCH("248-3",'Master sheet'!$AN$1:$AN$670,0))</f>
        <v xml:space="preserve">Wood - SPF / Canadian Wood Council / Ontario / </v>
      </c>
      <c r="D470" s="15">
        <f>'USER INPUT SHEET'!$D$55</f>
        <v>0</v>
      </c>
      <c r="E470" s="16" t="str">
        <f>'USER INPUT SHEET'!$F$37</f>
        <v>m2</v>
      </c>
      <c r="F470" s="3">
        <v>1</v>
      </c>
      <c r="G470" s="670"/>
      <c r="H470" s="8"/>
      <c r="I470" s="88">
        <f t="shared" si="179"/>
        <v>0</v>
      </c>
      <c r="J470" s="93" t="str">
        <f t="shared" si="180"/>
        <v/>
      </c>
      <c r="K470" s="406">
        <f>$D470*$F470*IF($E$459=16,0.25,0.22)*VLOOKUP($C470,'Master sheet'!$A:$AL,13,FALSE)*(0.0254*5.5)</f>
        <v>0</v>
      </c>
      <c r="L470" s="94">
        <f>$D470*$F470*IF($E$459=16,0.25,0.22)*VLOOKUP($C470,'Master sheet'!$A:$AL,27,FALSE)*(0.0254*5.5)</f>
        <v>0</v>
      </c>
      <c r="M470" s="1552"/>
      <c r="N470" s="1552"/>
      <c r="O470" s="25" t="str">
        <f>_xlfn.IFNA(VLOOKUP($C470,'Master sheet'!$A:$AR,44,FALSE),"")&amp;""</f>
        <v/>
      </c>
      <c r="P470" s="685"/>
      <c r="Q470" s="29" t="s">
        <v>1556</v>
      </c>
      <c r="R470" s="726" t="s">
        <v>1600</v>
      </c>
      <c r="S470" s="664" t="s">
        <v>7251</v>
      </c>
      <c r="T470" s="664"/>
      <c r="U470" s="664"/>
      <c r="V470" s="664"/>
      <c r="W470" s="664"/>
      <c r="X470" s="664"/>
      <c r="Y470" s="664"/>
      <c r="Z470" s="664"/>
    </row>
    <row r="471" spans="1:26" ht="22.8" outlineLevel="1" x14ac:dyDescent="0.25">
      <c r="A471" s="1542"/>
      <c r="B471" s="1542"/>
      <c r="C471" s="669" t="str">
        <f>INDEX('Master sheet'!$A$1:$A$670,MATCH("248-4",'Master sheet'!$AN$1:$AN$670,0))</f>
        <v xml:space="preserve">Wood - SPF / Canadian Wood Council / Quebec / </v>
      </c>
      <c r="D471" s="15">
        <f>'USER INPUT SHEET'!$D$55</f>
        <v>0</v>
      </c>
      <c r="E471" s="16" t="str">
        <f>'USER INPUT SHEET'!$F$37</f>
        <v>m2</v>
      </c>
      <c r="F471" s="3">
        <v>1</v>
      </c>
      <c r="G471" s="670"/>
      <c r="H471" s="8"/>
      <c r="I471" s="88">
        <f t="shared" si="179"/>
        <v>0</v>
      </c>
      <c r="J471" s="93" t="str">
        <f t="shared" si="180"/>
        <v/>
      </c>
      <c r="K471" s="406">
        <f>$D471*$F471*IF($E$459=16,0.25,0.22)*VLOOKUP($C471,'Master sheet'!$A:$AL,13,FALSE)*(0.0254*5.5)</f>
        <v>0</v>
      </c>
      <c r="L471" s="94">
        <f>$D471*$F471*IF($E$459=16,0.25,0.22)*VLOOKUP($C471,'Master sheet'!$A:$AL,27,FALSE)*(0.0254*5.5)</f>
        <v>0</v>
      </c>
      <c r="M471" s="1552"/>
      <c r="N471" s="1552"/>
      <c r="O471" s="25" t="str">
        <f>_xlfn.IFNA(VLOOKUP($C471,'Master sheet'!$A:$AR,44,FALSE),"")&amp;""</f>
        <v/>
      </c>
      <c r="P471" s="685"/>
      <c r="Q471" s="29" t="s">
        <v>1556</v>
      </c>
      <c r="R471" s="726" t="s">
        <v>1600</v>
      </c>
      <c r="S471" s="664" t="s">
        <v>7251</v>
      </c>
      <c r="T471" s="664"/>
      <c r="U471" s="664"/>
      <c r="V471" s="664"/>
      <c r="W471" s="664"/>
      <c r="X471" s="664"/>
      <c r="Y471" s="664"/>
      <c r="Z471" s="664"/>
    </row>
    <row r="472" spans="1:26" ht="22.8" outlineLevel="1" x14ac:dyDescent="0.25">
      <c r="A472" s="1542"/>
      <c r="B472" s="1542"/>
      <c r="C472" s="669" t="str">
        <f>INDEX('Master sheet'!$A$1:$A$670,MATCH("248-5",'Master sheet'!$AN$1:$AN$670,0))</f>
        <v xml:space="preserve">Wood - SPF / Canadian Wood Council / New Brunswick / </v>
      </c>
      <c r="D472" s="15">
        <f>'USER INPUT SHEET'!$D$55</f>
        <v>0</v>
      </c>
      <c r="E472" s="16" t="str">
        <f>'USER INPUT SHEET'!$F$37</f>
        <v>m2</v>
      </c>
      <c r="F472" s="3">
        <v>1</v>
      </c>
      <c r="G472" s="670"/>
      <c r="H472" s="8"/>
      <c r="I472" s="88">
        <f t="shared" si="179"/>
        <v>0</v>
      </c>
      <c r="J472" s="93" t="str">
        <f t="shared" si="180"/>
        <v/>
      </c>
      <c r="K472" s="406">
        <f>$D472*$F472*IF($E$459=16,0.25,0.22)*VLOOKUP($C472,'Master sheet'!$A:$AL,13,FALSE)*(0.0254*5.5)</f>
        <v>0</v>
      </c>
      <c r="L472" s="94">
        <f>$D472*$F472*IF($E$459=16,0.25,0.22)*VLOOKUP($C472,'Master sheet'!$A:$AL,27,FALSE)*(0.0254*5.5)</f>
        <v>0</v>
      </c>
      <c r="M472" s="1552"/>
      <c r="N472" s="1552"/>
      <c r="O472" s="25" t="str">
        <f>_xlfn.IFNA(VLOOKUP($C472,'Master sheet'!$A:$AR,44,FALSE),"")&amp;""</f>
        <v/>
      </c>
      <c r="P472" s="685"/>
      <c r="Q472" s="29" t="s">
        <v>1556</v>
      </c>
      <c r="R472" s="726" t="s">
        <v>1600</v>
      </c>
      <c r="S472" s="664" t="s">
        <v>7251</v>
      </c>
      <c r="T472" s="664"/>
      <c r="U472" s="664"/>
      <c r="V472" s="664"/>
      <c r="W472" s="664"/>
      <c r="X472" s="664"/>
      <c r="Y472" s="664"/>
      <c r="Z472" s="664"/>
    </row>
    <row r="473" spans="1:26" ht="22.8" outlineLevel="1" x14ac:dyDescent="0.25">
      <c r="A473" s="1542"/>
      <c r="B473" s="1542"/>
      <c r="C473" s="669" t="str">
        <f>INDEX('Master sheet'!$A$1:$A$670,MATCH("248-6",'Master sheet'!$AN$1:$AN$670,0))</f>
        <v xml:space="preserve">Wood - SPF / Canadian Wood Council / Atlantic Canada / </v>
      </c>
      <c r="D473" s="15">
        <f>'USER INPUT SHEET'!$D$55</f>
        <v>0</v>
      </c>
      <c r="E473" s="16" t="str">
        <f>'USER INPUT SHEET'!$F$37</f>
        <v>m2</v>
      </c>
      <c r="F473" s="3">
        <v>1</v>
      </c>
      <c r="G473" s="670"/>
      <c r="H473" s="8"/>
      <c r="I473" s="88">
        <f t="shared" si="179"/>
        <v>0</v>
      </c>
      <c r="J473" s="93" t="str">
        <f t="shared" si="180"/>
        <v/>
      </c>
      <c r="K473" s="406">
        <f>$D473*$F473*IF($E$459=16,0.25,0.22)*VLOOKUP($C473,'Master sheet'!$A:$AL,13,FALSE)*(0.0254*5.5)</f>
        <v>0</v>
      </c>
      <c r="L473" s="94">
        <f>$D473*$F473*IF($E$459=16,0.25,0.22)*VLOOKUP($C473,'Master sheet'!$A:$AL,27,FALSE)*(0.0254*5.5)</f>
        <v>0</v>
      </c>
      <c r="M473" s="1552"/>
      <c r="N473" s="1552"/>
      <c r="O473" s="25" t="str">
        <f>_xlfn.IFNA(VLOOKUP($C473,'Master sheet'!$A:$AR,44,FALSE),"")&amp;""</f>
        <v/>
      </c>
      <c r="P473" s="685"/>
      <c r="Q473" s="29" t="s">
        <v>1556</v>
      </c>
      <c r="R473" s="726" t="s">
        <v>1600</v>
      </c>
      <c r="S473" s="664" t="s">
        <v>7251</v>
      </c>
      <c r="T473" s="664"/>
      <c r="U473" s="664"/>
      <c r="V473" s="664"/>
      <c r="W473" s="664"/>
      <c r="X473" s="664"/>
      <c r="Y473" s="664"/>
      <c r="Z473" s="664"/>
    </row>
    <row r="474" spans="1:26" s="624" customFormat="1" ht="21" customHeight="1" outlineLevel="1" x14ac:dyDescent="0.25">
      <c r="A474" s="639"/>
      <c r="B474" s="1524" t="s">
        <v>6848</v>
      </c>
      <c r="C474" s="1523"/>
      <c r="D474" s="640"/>
      <c r="E474" s="641"/>
      <c r="F474" s="334"/>
      <c r="G474" s="678"/>
      <c r="H474" s="639"/>
      <c r="I474" s="733"/>
      <c r="J474" s="733"/>
      <c r="K474" s="698"/>
      <c r="L474" s="736"/>
      <c r="M474" s="736"/>
      <c r="N474" s="736"/>
      <c r="O474" s="25" t="str">
        <f>_xlfn.IFNA(VLOOKUP($C474,'Master sheet'!$A:$AR,44,FALSE),"")&amp;""</f>
        <v/>
      </c>
      <c r="P474" s="637"/>
      <c r="Q474" s="722"/>
      <c r="R474" s="722"/>
      <c r="S474" s="623"/>
      <c r="T474" s="638"/>
      <c r="U474" s="638"/>
      <c r="V474" s="638"/>
      <c r="W474" s="638"/>
      <c r="X474" s="638"/>
      <c r="Y474" s="638"/>
      <c r="Z474" s="638"/>
    </row>
    <row r="475" spans="1:26" ht="22.8" outlineLevel="1" x14ac:dyDescent="0.25">
      <c r="A475" s="1542"/>
      <c r="B475" s="1542"/>
      <c r="C475" s="669" t="str">
        <f>INDEX('Master sheet'!$A$1:$A$670,MATCH("248-1",'Master sheet'!$AN$1:$AN$670,0))</f>
        <v xml:space="preserve">Wood - SPF / Canadian Wood Council / British Columbia / </v>
      </c>
      <c r="D475" s="15">
        <f>'USER INPUT SHEET'!$D$55</f>
        <v>0</v>
      </c>
      <c r="E475" s="16" t="str">
        <f>'USER INPUT SHEET'!$F$37</f>
        <v>m2</v>
      </c>
      <c r="F475" s="3">
        <v>1</v>
      </c>
      <c r="G475" s="670"/>
      <c r="H475" s="8"/>
      <c r="I475" s="88">
        <f t="shared" ref="I475:I480" si="181">K475-L475-IF(N475,M475,0)</f>
        <v>0</v>
      </c>
      <c r="J475" s="93" t="str">
        <f t="shared" ref="J475:J480" si="182">IF(H475=1,I475,"")</f>
        <v/>
      </c>
      <c r="K475" s="406">
        <f>$D475*$F475*IF($E$459=16,0.25,0.22)*VLOOKUP($C475,'Master sheet'!$A:$AL,13,FALSE)*(0.0254*7.25)</f>
        <v>0</v>
      </c>
      <c r="L475" s="94">
        <f>$D475*$F475*IF($E$459=16,0.25,0.22)*VLOOKUP($C475,'Master sheet'!$A:$AL,27,FALSE)*(0.0254*7.25)</f>
        <v>0</v>
      </c>
      <c r="M475" s="1562"/>
      <c r="N475" s="1562"/>
      <c r="O475" s="25" t="str">
        <f>_xlfn.IFNA(VLOOKUP($C475,'Master sheet'!$A:$AR,44,FALSE),"")&amp;""</f>
        <v/>
      </c>
      <c r="P475" s="685"/>
      <c r="Q475" s="29" t="s">
        <v>1556</v>
      </c>
      <c r="R475" s="726" t="s">
        <v>1600</v>
      </c>
      <c r="S475" s="664" t="s">
        <v>7252</v>
      </c>
      <c r="T475" s="664"/>
      <c r="U475" s="664"/>
      <c r="V475" s="664"/>
      <c r="W475" s="664"/>
      <c r="X475" s="664"/>
      <c r="Y475" s="664"/>
      <c r="Z475" s="664"/>
    </row>
    <row r="476" spans="1:26" ht="22.8" outlineLevel="1" x14ac:dyDescent="0.25">
      <c r="A476" s="1542"/>
      <c r="B476" s="1542"/>
      <c r="C476" s="669" t="str">
        <f>INDEX('Master sheet'!$A$1:$A$670,MATCH("248-2",'Master sheet'!$AN$1:$AN$670,0))</f>
        <v xml:space="preserve">Wood - SPF / Canadian Wood Council / Alberta / </v>
      </c>
      <c r="D476" s="15">
        <f>'USER INPUT SHEET'!$D$55</f>
        <v>0</v>
      </c>
      <c r="E476" s="16" t="str">
        <f>'USER INPUT SHEET'!$F$37</f>
        <v>m2</v>
      </c>
      <c r="F476" s="3">
        <v>1</v>
      </c>
      <c r="G476" s="670"/>
      <c r="H476" s="8"/>
      <c r="I476" s="88">
        <f t="shared" si="181"/>
        <v>0</v>
      </c>
      <c r="J476" s="93" t="str">
        <f t="shared" si="182"/>
        <v/>
      </c>
      <c r="K476" s="406">
        <f>$D476*$F476*IF($E$459=16,0.25,0.22)*VLOOKUP($C476,'Master sheet'!$A:$AL,13,FALSE)*(0.0254*7.25)</f>
        <v>0</v>
      </c>
      <c r="L476" s="94">
        <f>$D476*$F476*IF($E$459=16,0.25,0.22)*VLOOKUP($C476,'Master sheet'!$A:$AL,27,FALSE)*(0.0254*7.25)</f>
        <v>0</v>
      </c>
      <c r="M476" s="1552"/>
      <c r="N476" s="1552"/>
      <c r="O476" s="25" t="str">
        <f>_xlfn.IFNA(VLOOKUP($C476,'Master sheet'!$A:$AR,44,FALSE),"")&amp;""</f>
        <v/>
      </c>
      <c r="P476" s="685"/>
      <c r="Q476" s="29" t="s">
        <v>1556</v>
      </c>
      <c r="R476" s="726" t="s">
        <v>1600</v>
      </c>
      <c r="S476" s="664" t="s">
        <v>7252</v>
      </c>
      <c r="T476" s="664"/>
      <c r="U476" s="664"/>
      <c r="V476" s="664"/>
      <c r="W476" s="664"/>
      <c r="X476" s="664"/>
      <c r="Y476" s="664"/>
      <c r="Z476" s="664"/>
    </row>
    <row r="477" spans="1:26" ht="22.8" outlineLevel="1" x14ac:dyDescent="0.25">
      <c r="A477" s="1542"/>
      <c r="B477" s="1542"/>
      <c r="C477" s="669" t="str">
        <f>INDEX('Master sheet'!$A$1:$A$670,MATCH("248-3",'Master sheet'!$AN$1:$AN$670,0))</f>
        <v xml:space="preserve">Wood - SPF / Canadian Wood Council / Ontario / </v>
      </c>
      <c r="D477" s="15">
        <f>'USER INPUT SHEET'!$D$55</f>
        <v>0</v>
      </c>
      <c r="E477" s="16" t="str">
        <f>'USER INPUT SHEET'!$F$37</f>
        <v>m2</v>
      </c>
      <c r="F477" s="3">
        <v>1</v>
      </c>
      <c r="G477" s="670"/>
      <c r="H477" s="8"/>
      <c r="I477" s="88">
        <f t="shared" si="181"/>
        <v>0</v>
      </c>
      <c r="J477" s="93" t="str">
        <f t="shared" si="182"/>
        <v/>
      </c>
      <c r="K477" s="406">
        <f>$D477*$F477*IF($E$459=16,0.25,0.22)*VLOOKUP($C477,'Master sheet'!$A:$AL,13,FALSE)*(0.0254*7.25)</f>
        <v>0</v>
      </c>
      <c r="L477" s="94">
        <f>$D477*$F477*IF($E$459=16,0.25,0.22)*VLOOKUP($C477,'Master sheet'!$A:$AL,27,FALSE)*(0.0254*7.25)</f>
        <v>0</v>
      </c>
      <c r="M477" s="1552"/>
      <c r="N477" s="1552"/>
      <c r="O477" s="25" t="str">
        <f>_xlfn.IFNA(VLOOKUP($C477,'Master sheet'!$A:$AR,44,FALSE),"")&amp;""</f>
        <v/>
      </c>
      <c r="P477" s="685"/>
      <c r="Q477" s="29" t="s">
        <v>1556</v>
      </c>
      <c r="R477" s="726" t="s">
        <v>1600</v>
      </c>
      <c r="S477" s="664" t="s">
        <v>7252</v>
      </c>
      <c r="T477" s="664"/>
      <c r="U477" s="664"/>
      <c r="V477" s="664"/>
      <c r="W477" s="664"/>
      <c r="X477" s="664"/>
      <c r="Y477" s="664"/>
      <c r="Z477" s="664"/>
    </row>
    <row r="478" spans="1:26" ht="22.8" outlineLevel="1" x14ac:dyDescent="0.25">
      <c r="A478" s="1542"/>
      <c r="B478" s="1542"/>
      <c r="C478" s="669" t="str">
        <f>INDEX('Master sheet'!$A$1:$A$670,MATCH("248-4",'Master sheet'!$AN$1:$AN$670,0))</f>
        <v xml:space="preserve">Wood - SPF / Canadian Wood Council / Quebec / </v>
      </c>
      <c r="D478" s="15">
        <f>'USER INPUT SHEET'!$D$55</f>
        <v>0</v>
      </c>
      <c r="E478" s="16" t="str">
        <f>'USER INPUT SHEET'!$F$37</f>
        <v>m2</v>
      </c>
      <c r="F478" s="3">
        <v>1</v>
      </c>
      <c r="G478" s="670"/>
      <c r="H478" s="8"/>
      <c r="I478" s="88">
        <f t="shared" si="181"/>
        <v>0</v>
      </c>
      <c r="J478" s="93" t="str">
        <f t="shared" si="182"/>
        <v/>
      </c>
      <c r="K478" s="406">
        <f>$D478*$F478*IF($E$459=16,0.25,0.22)*VLOOKUP($C478,'Master sheet'!$A:$AL,13,FALSE)*(0.0254*7.25)</f>
        <v>0</v>
      </c>
      <c r="L478" s="94">
        <f>$D478*$F478*IF($E$459=16,0.25,0.22)*VLOOKUP($C478,'Master sheet'!$A:$AL,27,FALSE)*(0.0254*7.25)</f>
        <v>0</v>
      </c>
      <c r="M478" s="1552"/>
      <c r="N478" s="1552"/>
      <c r="O478" s="25" t="str">
        <f>_xlfn.IFNA(VLOOKUP($C478,'Master sheet'!$A:$AR,44,FALSE),"")&amp;""</f>
        <v/>
      </c>
      <c r="P478" s="685"/>
      <c r="Q478" s="29" t="s">
        <v>1556</v>
      </c>
      <c r="R478" s="726" t="s">
        <v>1600</v>
      </c>
      <c r="S478" s="664" t="s">
        <v>7252</v>
      </c>
      <c r="T478" s="664"/>
      <c r="U478" s="664"/>
      <c r="V478" s="664"/>
      <c r="W478" s="664"/>
      <c r="X478" s="664"/>
      <c r="Y478" s="664"/>
      <c r="Z478" s="664"/>
    </row>
    <row r="479" spans="1:26" ht="22.8" outlineLevel="1" x14ac:dyDescent="0.25">
      <c r="A479" s="1542"/>
      <c r="B479" s="1542"/>
      <c r="C479" s="669" t="str">
        <f>INDEX('Master sheet'!$A$1:$A$670,MATCH("248-5",'Master sheet'!$AN$1:$AN$670,0))</f>
        <v xml:space="preserve">Wood - SPF / Canadian Wood Council / New Brunswick / </v>
      </c>
      <c r="D479" s="15">
        <f>'USER INPUT SHEET'!$D$55</f>
        <v>0</v>
      </c>
      <c r="E479" s="16" t="str">
        <f>'USER INPUT SHEET'!$F$37</f>
        <v>m2</v>
      </c>
      <c r="F479" s="3">
        <v>1</v>
      </c>
      <c r="G479" s="670"/>
      <c r="H479" s="8"/>
      <c r="I479" s="88">
        <f t="shared" si="181"/>
        <v>0</v>
      </c>
      <c r="J479" s="93" t="str">
        <f t="shared" si="182"/>
        <v/>
      </c>
      <c r="K479" s="406">
        <f>$D479*$F479*IF($E$459=16,0.25,0.22)*VLOOKUP($C479,'Master sheet'!$A:$AL,13,FALSE)*(0.0254*7.25)</f>
        <v>0</v>
      </c>
      <c r="L479" s="94">
        <f>$D479*$F479*IF($E$459=16,0.25,0.22)*VLOOKUP($C479,'Master sheet'!$A:$AL,27,FALSE)*(0.0254*7.25)</f>
        <v>0</v>
      </c>
      <c r="M479" s="1552"/>
      <c r="N479" s="1552"/>
      <c r="O479" s="25" t="str">
        <f>_xlfn.IFNA(VLOOKUP($C479,'Master sheet'!$A:$AR,44,FALSE),"")&amp;""</f>
        <v/>
      </c>
      <c r="P479" s="685"/>
      <c r="Q479" s="29" t="s">
        <v>1556</v>
      </c>
      <c r="R479" s="726" t="s">
        <v>1600</v>
      </c>
      <c r="S479" s="664" t="s">
        <v>7252</v>
      </c>
      <c r="T479" s="664"/>
      <c r="U479" s="664"/>
      <c r="V479" s="664"/>
      <c r="W479" s="664"/>
      <c r="X479" s="664"/>
      <c r="Y479" s="664"/>
      <c r="Z479" s="664"/>
    </row>
    <row r="480" spans="1:26" ht="22.8" outlineLevel="1" x14ac:dyDescent="0.25">
      <c r="A480" s="1542"/>
      <c r="B480" s="1542"/>
      <c r="C480" s="669" t="str">
        <f>INDEX('Master sheet'!$A$1:$A$670,MATCH("248-6",'Master sheet'!$AN$1:$AN$670,0))</f>
        <v xml:space="preserve">Wood - SPF / Canadian Wood Council / Atlantic Canada / </v>
      </c>
      <c r="D480" s="15">
        <f>'USER INPUT SHEET'!$D$55</f>
        <v>0</v>
      </c>
      <c r="E480" s="16" t="str">
        <f>'USER INPUT SHEET'!$F$37</f>
        <v>m2</v>
      </c>
      <c r="F480" s="3">
        <v>1</v>
      </c>
      <c r="G480" s="670"/>
      <c r="H480" s="8"/>
      <c r="I480" s="88">
        <f t="shared" si="181"/>
        <v>0</v>
      </c>
      <c r="J480" s="93" t="str">
        <f t="shared" si="182"/>
        <v/>
      </c>
      <c r="K480" s="406">
        <f>$D480*$F480*IF($E$459=16,0.25,0.22)*VLOOKUP($C480,'Master sheet'!$A:$AL,13,FALSE)*(0.0254*7.25)</f>
        <v>0</v>
      </c>
      <c r="L480" s="94">
        <f>$D480*$F480*IF($E$459=16,0.25,0.22)*VLOOKUP($C480,'Master sheet'!$A:$AL,27,FALSE)*(0.0254*7.25)</f>
        <v>0</v>
      </c>
      <c r="M480" s="1552"/>
      <c r="N480" s="1552"/>
      <c r="O480" s="25" t="str">
        <f>_xlfn.IFNA(VLOOKUP($C480,'Master sheet'!$A:$AR,44,FALSE),"")&amp;""</f>
        <v/>
      </c>
      <c r="P480" s="685"/>
      <c r="Q480" s="29" t="s">
        <v>1556</v>
      </c>
      <c r="R480" s="726" t="s">
        <v>1600</v>
      </c>
      <c r="S480" s="664" t="s">
        <v>7252</v>
      </c>
      <c r="T480" s="664"/>
      <c r="U480" s="664"/>
      <c r="V480" s="664"/>
      <c r="W480" s="664"/>
      <c r="X480" s="664"/>
      <c r="Y480" s="664"/>
      <c r="Z480" s="664"/>
    </row>
    <row r="481" spans="1:26" s="624" customFormat="1" ht="21" customHeight="1" outlineLevel="1" x14ac:dyDescent="0.25">
      <c r="A481" s="639"/>
      <c r="B481" s="1524" t="s">
        <v>6847</v>
      </c>
      <c r="C481" s="1523"/>
      <c r="D481" s="640"/>
      <c r="E481" s="641"/>
      <c r="F481" s="334"/>
      <c r="G481" s="678"/>
      <c r="H481" s="639"/>
      <c r="I481" s="733"/>
      <c r="J481" s="733"/>
      <c r="K481" s="698"/>
      <c r="L481" s="736"/>
      <c r="M481" s="736"/>
      <c r="N481" s="736"/>
      <c r="O481" s="25" t="str">
        <f>_xlfn.IFNA(VLOOKUP($C481,'Master sheet'!$A:$AR,44,FALSE),"")&amp;""</f>
        <v/>
      </c>
      <c r="P481" s="637"/>
      <c r="Q481" s="722"/>
      <c r="R481" s="722"/>
      <c r="S481" s="623"/>
      <c r="T481" s="638"/>
      <c r="U481" s="638"/>
      <c r="V481" s="638"/>
      <c r="W481" s="638"/>
      <c r="X481" s="638"/>
      <c r="Y481" s="638"/>
      <c r="Z481" s="638"/>
    </row>
    <row r="482" spans="1:26" ht="22.8" outlineLevel="1" x14ac:dyDescent="0.25">
      <c r="A482" s="1542"/>
      <c r="B482" s="1542"/>
      <c r="C482" s="669" t="str">
        <f>INDEX('Master sheet'!$A$1:$A$670,MATCH("248-1",'Master sheet'!$AN$1:$AN$670,0))</f>
        <v xml:space="preserve">Wood - SPF / Canadian Wood Council / British Columbia / </v>
      </c>
      <c r="D482" s="15">
        <f>'USER INPUT SHEET'!$D$55</f>
        <v>0</v>
      </c>
      <c r="E482" s="16" t="str">
        <f>'USER INPUT SHEET'!$F$37</f>
        <v>m2</v>
      </c>
      <c r="F482" s="3">
        <v>1</v>
      </c>
      <c r="G482" s="670"/>
      <c r="H482" s="8"/>
      <c r="I482" s="88">
        <f t="shared" ref="I482:I487" si="183">K482-L482-IF(N482,M482,0)</f>
        <v>0</v>
      </c>
      <c r="J482" s="93" t="str">
        <f t="shared" ref="J482:J487" si="184">IF(H482=1,I482,"")</f>
        <v/>
      </c>
      <c r="K482" s="406">
        <f>$D482*$F482*IF($E$459=16,0.25,0.22)*VLOOKUP($C482,'Master sheet'!$A:$AL,13,FALSE)*(0.0254*9.25)</f>
        <v>0</v>
      </c>
      <c r="L482" s="94">
        <f>$D482*$F482*IF($E$459=16,0.25,0.22)*VLOOKUP($C482,'Master sheet'!$A:$AL,27,FALSE)*(0.0254*9.25)</f>
        <v>0</v>
      </c>
      <c r="M482" s="1562"/>
      <c r="N482" s="1562"/>
      <c r="O482" s="25" t="str">
        <f>_xlfn.IFNA(VLOOKUP($C482,'Master sheet'!$A:$AR,44,FALSE),"")&amp;""</f>
        <v/>
      </c>
      <c r="P482" s="685"/>
      <c r="Q482" s="29" t="s">
        <v>1556</v>
      </c>
      <c r="R482" s="726" t="s">
        <v>1600</v>
      </c>
      <c r="S482" s="664" t="s">
        <v>7267</v>
      </c>
      <c r="T482" s="664"/>
      <c r="U482" s="664"/>
      <c r="V482" s="664"/>
      <c r="W482" s="664"/>
      <c r="X482" s="664"/>
      <c r="Y482" s="664"/>
      <c r="Z482" s="664"/>
    </row>
    <row r="483" spans="1:26" ht="22.8" outlineLevel="1" x14ac:dyDescent="0.25">
      <c r="A483" s="1542"/>
      <c r="B483" s="1542"/>
      <c r="C483" s="669" t="str">
        <f>INDEX('Master sheet'!$A$1:$A$670,MATCH("248-2",'Master sheet'!$AN$1:$AN$670,0))</f>
        <v xml:space="preserve">Wood - SPF / Canadian Wood Council / Alberta / </v>
      </c>
      <c r="D483" s="15">
        <f>'USER INPUT SHEET'!$D$55</f>
        <v>0</v>
      </c>
      <c r="E483" s="16" t="str">
        <f>'USER INPUT SHEET'!$F$37</f>
        <v>m2</v>
      </c>
      <c r="F483" s="3">
        <v>1</v>
      </c>
      <c r="G483" s="670"/>
      <c r="H483" s="8"/>
      <c r="I483" s="88">
        <f t="shared" si="183"/>
        <v>0</v>
      </c>
      <c r="J483" s="93" t="str">
        <f t="shared" si="184"/>
        <v/>
      </c>
      <c r="K483" s="406">
        <f>$D483*$F483*IF($E$459=16,0.25,0.22)*VLOOKUP($C483,'Master sheet'!$A:$AL,13,FALSE)*(0.0254*9.25)</f>
        <v>0</v>
      </c>
      <c r="L483" s="94">
        <f>$D483*$F483*IF($E$459=16,0.25,0.22)*VLOOKUP($C483,'Master sheet'!$A:$AL,27,FALSE)*(0.0254*9.25)</f>
        <v>0</v>
      </c>
      <c r="M483" s="1552"/>
      <c r="N483" s="1552"/>
      <c r="O483" s="25" t="str">
        <f>_xlfn.IFNA(VLOOKUP($C483,'Master sheet'!$A:$AR,44,FALSE),"")&amp;""</f>
        <v/>
      </c>
      <c r="P483" s="685"/>
      <c r="Q483" s="29" t="s">
        <v>1556</v>
      </c>
      <c r="R483" s="726" t="s">
        <v>1600</v>
      </c>
      <c r="S483" s="664" t="s">
        <v>7267</v>
      </c>
      <c r="T483" s="664"/>
      <c r="U483" s="664"/>
      <c r="V483" s="664"/>
      <c r="W483" s="664"/>
      <c r="X483" s="664"/>
      <c r="Y483" s="664"/>
      <c r="Z483" s="664"/>
    </row>
    <row r="484" spans="1:26" ht="22.8" outlineLevel="1" x14ac:dyDescent="0.25">
      <c r="A484" s="1542"/>
      <c r="B484" s="1542"/>
      <c r="C484" s="669" t="str">
        <f>INDEX('Master sheet'!$A$1:$A$670,MATCH("248-3",'Master sheet'!$AN$1:$AN$670,0))</f>
        <v xml:space="preserve">Wood - SPF / Canadian Wood Council / Ontario / </v>
      </c>
      <c r="D484" s="15">
        <f>'USER INPUT SHEET'!$D$55</f>
        <v>0</v>
      </c>
      <c r="E484" s="16" t="str">
        <f>'USER INPUT SHEET'!$F$37</f>
        <v>m2</v>
      </c>
      <c r="F484" s="3">
        <v>1</v>
      </c>
      <c r="G484" s="670"/>
      <c r="H484" s="8"/>
      <c r="I484" s="88">
        <f t="shared" si="183"/>
        <v>0</v>
      </c>
      <c r="J484" s="93" t="str">
        <f t="shared" si="184"/>
        <v/>
      </c>
      <c r="K484" s="406">
        <f>$D484*$F484*IF($E$459=16,0.25,0.22)*VLOOKUP($C484,'Master sheet'!$A:$AL,13,FALSE)*(0.0254*9.25)</f>
        <v>0</v>
      </c>
      <c r="L484" s="94">
        <f>$D484*$F484*IF($E$459=16,0.25,0.22)*VLOOKUP($C484,'Master sheet'!$A:$AL,27,FALSE)*(0.0254*9.25)</f>
        <v>0</v>
      </c>
      <c r="M484" s="1552"/>
      <c r="N484" s="1552"/>
      <c r="O484" s="25" t="str">
        <f>_xlfn.IFNA(VLOOKUP($C484,'Master sheet'!$A:$AR,44,FALSE),"")&amp;""</f>
        <v/>
      </c>
      <c r="P484" s="685"/>
      <c r="Q484" s="29" t="s">
        <v>1556</v>
      </c>
      <c r="R484" s="726" t="s">
        <v>1600</v>
      </c>
      <c r="S484" s="664" t="s">
        <v>7267</v>
      </c>
      <c r="T484" s="664"/>
      <c r="U484" s="664"/>
      <c r="V484" s="664"/>
      <c r="W484" s="664"/>
      <c r="X484" s="664"/>
      <c r="Y484" s="664"/>
      <c r="Z484" s="664"/>
    </row>
    <row r="485" spans="1:26" ht="22.8" outlineLevel="1" x14ac:dyDescent="0.25">
      <c r="A485" s="1542"/>
      <c r="B485" s="1542"/>
      <c r="C485" s="669" t="str">
        <f>INDEX('Master sheet'!$A$1:$A$670,MATCH("248-4",'Master sheet'!$AN$1:$AN$670,0))</f>
        <v xml:space="preserve">Wood - SPF / Canadian Wood Council / Quebec / </v>
      </c>
      <c r="D485" s="15">
        <f>'USER INPUT SHEET'!$D$55</f>
        <v>0</v>
      </c>
      <c r="E485" s="16" t="str">
        <f>'USER INPUT SHEET'!$F$37</f>
        <v>m2</v>
      </c>
      <c r="F485" s="3">
        <v>1</v>
      </c>
      <c r="G485" s="670"/>
      <c r="H485" s="8"/>
      <c r="I485" s="88">
        <f t="shared" si="183"/>
        <v>0</v>
      </c>
      <c r="J485" s="93" t="str">
        <f t="shared" si="184"/>
        <v/>
      </c>
      <c r="K485" s="406">
        <f>$D485*$F485*IF($E$459=16,0.25,0.22)*VLOOKUP($C485,'Master sheet'!$A:$AL,13,FALSE)*(0.0254*9.25)</f>
        <v>0</v>
      </c>
      <c r="L485" s="94">
        <f>$D485*$F485*IF($E$459=16,0.25,0.22)*VLOOKUP($C485,'Master sheet'!$A:$AL,27,FALSE)*(0.0254*9.25)</f>
        <v>0</v>
      </c>
      <c r="M485" s="1552"/>
      <c r="N485" s="1552"/>
      <c r="O485" s="25" t="str">
        <f>_xlfn.IFNA(VLOOKUP($C485,'Master sheet'!$A:$AR,44,FALSE),"")&amp;""</f>
        <v/>
      </c>
      <c r="P485" s="685"/>
      <c r="Q485" s="29" t="s">
        <v>1556</v>
      </c>
      <c r="R485" s="726" t="s">
        <v>1600</v>
      </c>
      <c r="S485" s="664" t="s">
        <v>7267</v>
      </c>
      <c r="T485" s="664"/>
      <c r="U485" s="664"/>
      <c r="V485" s="664"/>
      <c r="W485" s="664"/>
      <c r="X485" s="664"/>
      <c r="Y485" s="664"/>
      <c r="Z485" s="664"/>
    </row>
    <row r="486" spans="1:26" ht="22.8" outlineLevel="1" x14ac:dyDescent="0.25">
      <c r="A486" s="1542"/>
      <c r="B486" s="1542"/>
      <c r="C486" s="669" t="str">
        <f>INDEX('Master sheet'!$A$1:$A$670,MATCH("248-5",'Master sheet'!$AN$1:$AN$670,0))</f>
        <v xml:space="preserve">Wood - SPF / Canadian Wood Council / New Brunswick / </v>
      </c>
      <c r="D486" s="15">
        <f>'USER INPUT SHEET'!$D$55</f>
        <v>0</v>
      </c>
      <c r="E486" s="16" t="str">
        <f>'USER INPUT SHEET'!$F$37</f>
        <v>m2</v>
      </c>
      <c r="F486" s="3">
        <v>1</v>
      </c>
      <c r="G486" s="670"/>
      <c r="H486" s="8"/>
      <c r="I486" s="88">
        <f t="shared" si="183"/>
        <v>0</v>
      </c>
      <c r="J486" s="93" t="str">
        <f t="shared" si="184"/>
        <v/>
      </c>
      <c r="K486" s="406">
        <f>$D486*$F486*IF($E$459=16,0.25,0.22)*VLOOKUP($C486,'Master sheet'!$A:$AL,13,FALSE)*(0.0254*9.25)</f>
        <v>0</v>
      </c>
      <c r="L486" s="94">
        <f>$D486*$F486*IF($E$459=16,0.25,0.22)*VLOOKUP($C486,'Master sheet'!$A:$AL,27,FALSE)*(0.0254*9.25)</f>
        <v>0</v>
      </c>
      <c r="M486" s="1552"/>
      <c r="N486" s="1552"/>
      <c r="O486" s="25" t="str">
        <f>_xlfn.IFNA(VLOOKUP($C486,'Master sheet'!$A:$AR,44,FALSE),"")&amp;""</f>
        <v/>
      </c>
      <c r="P486" s="685"/>
      <c r="Q486" s="29" t="s">
        <v>1556</v>
      </c>
      <c r="R486" s="726" t="s">
        <v>1600</v>
      </c>
      <c r="S486" s="664" t="s">
        <v>7267</v>
      </c>
      <c r="T486" s="664"/>
      <c r="U486" s="664"/>
      <c r="V486" s="664"/>
      <c r="W486" s="664"/>
      <c r="X486" s="664"/>
      <c r="Y486" s="664"/>
      <c r="Z486" s="664"/>
    </row>
    <row r="487" spans="1:26" ht="22.8" outlineLevel="1" x14ac:dyDescent="0.25">
      <c r="A487" s="1542"/>
      <c r="B487" s="1542"/>
      <c r="C487" s="669" t="str">
        <f>INDEX('Master sheet'!$A$1:$A$670,MATCH("248-6",'Master sheet'!$AN$1:$AN$670,0))</f>
        <v xml:space="preserve">Wood - SPF / Canadian Wood Council / Atlantic Canada / </v>
      </c>
      <c r="D487" s="15">
        <f>'USER INPUT SHEET'!$D$55</f>
        <v>0</v>
      </c>
      <c r="E487" s="16" t="str">
        <f>'USER INPUT SHEET'!$F$37</f>
        <v>m2</v>
      </c>
      <c r="F487" s="3">
        <v>1</v>
      </c>
      <c r="G487" s="670"/>
      <c r="H487" s="8"/>
      <c r="I487" s="88">
        <f t="shared" si="183"/>
        <v>0</v>
      </c>
      <c r="J487" s="93" t="str">
        <f t="shared" si="184"/>
        <v/>
      </c>
      <c r="K487" s="406">
        <f>$D487*$F487*IF($E$459=16,0.25,0.22)*VLOOKUP($C487,'Master sheet'!$A:$AL,13,FALSE)*(0.0254*9.25)</f>
        <v>0</v>
      </c>
      <c r="L487" s="94">
        <f>$D487*$F487*IF($E$459=16,0.25,0.22)*VLOOKUP($C487,'Master sheet'!$A:$AL,27,FALSE)*(0.0254*9.25)</f>
        <v>0</v>
      </c>
      <c r="M487" s="1552"/>
      <c r="N487" s="1552"/>
      <c r="O487" s="25" t="str">
        <f>_xlfn.IFNA(VLOOKUP($C487,'Master sheet'!$A:$AR,44,FALSE),"")&amp;""</f>
        <v/>
      </c>
      <c r="P487" s="685"/>
      <c r="Q487" s="29" t="s">
        <v>1556</v>
      </c>
      <c r="R487" s="726" t="s">
        <v>1600</v>
      </c>
      <c r="S487" s="664" t="s">
        <v>7267</v>
      </c>
      <c r="T487" s="664"/>
      <c r="U487" s="664"/>
      <c r="V487" s="664"/>
      <c r="W487" s="664"/>
      <c r="X487" s="664"/>
      <c r="Y487" s="664"/>
      <c r="Z487" s="664"/>
    </row>
    <row r="488" spans="1:26" s="624" customFormat="1" ht="21" customHeight="1" outlineLevel="1" x14ac:dyDescent="0.25">
      <c r="A488" s="639"/>
      <c r="B488" s="1524" t="s">
        <v>6846</v>
      </c>
      <c r="C488" s="1523"/>
      <c r="D488" s="640"/>
      <c r="E488" s="641"/>
      <c r="F488" s="334"/>
      <c r="G488" s="678"/>
      <c r="H488" s="639"/>
      <c r="I488" s="733"/>
      <c r="J488" s="733"/>
      <c r="K488" s="698"/>
      <c r="L488" s="736"/>
      <c r="M488" s="736"/>
      <c r="N488" s="736"/>
      <c r="O488" s="25" t="str">
        <f>_xlfn.IFNA(VLOOKUP($C488,'Master sheet'!$A:$AR,44,FALSE),"")&amp;""</f>
        <v/>
      </c>
      <c r="P488" s="637"/>
      <c r="Q488" s="722"/>
      <c r="R488" s="722"/>
      <c r="S488" s="623"/>
      <c r="T488" s="638"/>
      <c r="U488" s="638"/>
      <c r="V488" s="638"/>
      <c r="W488" s="638"/>
      <c r="X488" s="638"/>
      <c r="Y488" s="638"/>
      <c r="Z488" s="638"/>
    </row>
    <row r="489" spans="1:26" ht="22.8" outlineLevel="1" x14ac:dyDescent="0.25">
      <c r="A489" s="1542"/>
      <c r="B489" s="1542"/>
      <c r="C489" s="669" t="str">
        <f>INDEX('Master sheet'!$A$1:$A$670,MATCH("248-1",'Master sheet'!$AN$1:$AN$670,0))</f>
        <v xml:space="preserve">Wood - SPF / Canadian Wood Council / British Columbia / </v>
      </c>
      <c r="D489" s="17">
        <f>'USER INPUT SHEET'!$D$55</f>
        <v>0</v>
      </c>
      <c r="E489" s="18" t="str">
        <f>'USER INPUT SHEET'!$F$37</f>
        <v>m2</v>
      </c>
      <c r="F489" s="4">
        <v>1</v>
      </c>
      <c r="G489" s="674"/>
      <c r="H489" s="9"/>
      <c r="I489" s="95">
        <f t="shared" ref="I489:I494" si="185">K489-L489-IF(N489,M489,0)</f>
        <v>0</v>
      </c>
      <c r="J489" s="96" t="str">
        <f t="shared" ref="J489:J494" si="186">IF(H489=1,I489,"")</f>
        <v/>
      </c>
      <c r="K489" s="407">
        <f>$D489*$F489*IF($E$459=16,0.25,0.22)*VLOOKUP($C489,'Master sheet'!$A:$AL,13,FALSE)*(0.0254*11.25)</f>
        <v>0</v>
      </c>
      <c r="L489" s="97">
        <f>$D489*$F489*IF($E$459=16,0.25,0.22)*VLOOKUP($C489,'Master sheet'!$A:$AL,27,FALSE)*(0.0254*11.25)</f>
        <v>0</v>
      </c>
      <c r="M489" s="1562"/>
      <c r="N489" s="1562"/>
      <c r="O489" s="25" t="str">
        <f>_xlfn.IFNA(VLOOKUP($C489,'Master sheet'!$A:$AR,44,FALSE),"")&amp;""</f>
        <v/>
      </c>
      <c r="P489" s="637"/>
      <c r="Q489" s="29" t="s">
        <v>1556</v>
      </c>
      <c r="R489" s="726" t="s">
        <v>1600</v>
      </c>
      <c r="S489" s="638" t="s">
        <v>7268</v>
      </c>
      <c r="T489" s="638"/>
      <c r="U489" s="664"/>
      <c r="V489" s="664"/>
      <c r="W489" s="664"/>
      <c r="X489" s="664"/>
      <c r="Y489" s="664"/>
      <c r="Z489" s="664"/>
    </row>
    <row r="490" spans="1:26" ht="22.8" outlineLevel="1" x14ac:dyDescent="0.25">
      <c r="A490" s="1542"/>
      <c r="B490" s="1542"/>
      <c r="C490" s="669" t="str">
        <f>INDEX('Master sheet'!$A$1:$A$670,MATCH("248-2",'Master sheet'!$AN$1:$AN$670,0))</f>
        <v xml:space="preserve">Wood - SPF / Canadian Wood Council / Alberta / </v>
      </c>
      <c r="D490" s="17">
        <f>'USER INPUT SHEET'!$D$55</f>
        <v>0</v>
      </c>
      <c r="E490" s="18" t="str">
        <f>'USER INPUT SHEET'!$F$37</f>
        <v>m2</v>
      </c>
      <c r="F490" s="4">
        <v>1</v>
      </c>
      <c r="G490" s="674"/>
      <c r="H490" s="9"/>
      <c r="I490" s="95">
        <f t="shared" si="185"/>
        <v>0</v>
      </c>
      <c r="J490" s="96" t="str">
        <f t="shared" si="186"/>
        <v/>
      </c>
      <c r="K490" s="407">
        <f>$D490*$F490*IF($E$459=16,0.25,0.22)*VLOOKUP($C490,'Master sheet'!$A:$AL,13,FALSE)*(0.0254*11.25)</f>
        <v>0</v>
      </c>
      <c r="L490" s="97">
        <f>$D490*$F490*IF($E$459=16,0.25,0.22)*VLOOKUP($C490,'Master sheet'!$A:$AL,27,FALSE)*(0.0254*11.25)</f>
        <v>0</v>
      </c>
      <c r="M490" s="1552"/>
      <c r="N490" s="1552"/>
      <c r="O490" s="25" t="str">
        <f>_xlfn.IFNA(VLOOKUP($C490,'Master sheet'!$A:$AR,44,FALSE),"")&amp;""</f>
        <v/>
      </c>
      <c r="P490" s="637"/>
      <c r="Q490" s="29" t="s">
        <v>1556</v>
      </c>
      <c r="R490" s="726" t="s">
        <v>1600</v>
      </c>
      <c r="S490" s="638" t="s">
        <v>7268</v>
      </c>
      <c r="T490" s="638"/>
      <c r="U490" s="664"/>
      <c r="V490" s="664"/>
      <c r="W490" s="664"/>
      <c r="X490" s="664"/>
      <c r="Y490" s="664"/>
      <c r="Z490" s="664"/>
    </row>
    <row r="491" spans="1:26" ht="22.8" outlineLevel="1" x14ac:dyDescent="0.25">
      <c r="A491" s="1542"/>
      <c r="B491" s="1542"/>
      <c r="C491" s="669" t="str">
        <f>INDEX('Master sheet'!$A$1:$A$670,MATCH("248-3",'Master sheet'!$AN$1:$AN$670,0))</f>
        <v xml:space="preserve">Wood - SPF / Canadian Wood Council / Ontario / </v>
      </c>
      <c r="D491" s="17">
        <f>'USER INPUT SHEET'!$D$55</f>
        <v>0</v>
      </c>
      <c r="E491" s="18" t="str">
        <f>'USER INPUT SHEET'!$F$37</f>
        <v>m2</v>
      </c>
      <c r="F491" s="4">
        <v>1</v>
      </c>
      <c r="G491" s="674"/>
      <c r="H491" s="9"/>
      <c r="I491" s="95">
        <f t="shared" si="185"/>
        <v>0</v>
      </c>
      <c r="J491" s="96" t="str">
        <f t="shared" si="186"/>
        <v/>
      </c>
      <c r="K491" s="407">
        <f>$D491*$F491*IF($E$459=16,0.25,0.22)*VLOOKUP($C491,'Master sheet'!$A:$AL,13,FALSE)*(0.0254*11.25)</f>
        <v>0</v>
      </c>
      <c r="L491" s="97">
        <f>$D491*$F491*IF($E$459=16,0.25,0.22)*VLOOKUP($C491,'Master sheet'!$A:$AL,27,FALSE)*(0.0254*11.25)</f>
        <v>0</v>
      </c>
      <c r="M491" s="1552"/>
      <c r="N491" s="1552"/>
      <c r="O491" s="25" t="str">
        <f>_xlfn.IFNA(VLOOKUP($C491,'Master sheet'!$A:$AR,44,FALSE),"")&amp;""</f>
        <v/>
      </c>
      <c r="P491" s="637"/>
      <c r="Q491" s="29" t="s">
        <v>1556</v>
      </c>
      <c r="R491" s="726" t="s">
        <v>1600</v>
      </c>
      <c r="S491" s="638" t="s">
        <v>7268</v>
      </c>
      <c r="T491" s="638"/>
      <c r="U491" s="664"/>
      <c r="V491" s="664"/>
      <c r="W491" s="664"/>
      <c r="X491" s="664"/>
      <c r="Y491" s="664"/>
      <c r="Z491" s="664"/>
    </row>
    <row r="492" spans="1:26" ht="22.8" outlineLevel="1" x14ac:dyDescent="0.25">
      <c r="A492" s="1542"/>
      <c r="B492" s="1542"/>
      <c r="C492" s="669" t="str">
        <f>INDEX('Master sheet'!$A$1:$A$670,MATCH("248-4",'Master sheet'!$AN$1:$AN$670,0))</f>
        <v xml:space="preserve">Wood - SPF / Canadian Wood Council / Quebec / </v>
      </c>
      <c r="D492" s="17">
        <f>'USER INPUT SHEET'!$D$55</f>
        <v>0</v>
      </c>
      <c r="E492" s="18" t="str">
        <f>'USER INPUT SHEET'!$F$37</f>
        <v>m2</v>
      </c>
      <c r="F492" s="4">
        <v>1</v>
      </c>
      <c r="G492" s="674"/>
      <c r="H492" s="9"/>
      <c r="I492" s="95">
        <f t="shared" si="185"/>
        <v>0</v>
      </c>
      <c r="J492" s="96" t="str">
        <f t="shared" si="186"/>
        <v/>
      </c>
      <c r="K492" s="407">
        <f>$D492*$F492*IF($E$459=16,0.25,0.22)*VLOOKUP($C492,'Master sheet'!$A:$AL,13,FALSE)*(0.0254*11.25)</f>
        <v>0</v>
      </c>
      <c r="L492" s="97">
        <f>$D492*$F492*IF($E$459=16,0.25,0.22)*VLOOKUP($C492,'Master sheet'!$A:$AL,27,FALSE)*(0.0254*11.25)</f>
        <v>0</v>
      </c>
      <c r="M492" s="1552"/>
      <c r="N492" s="1552"/>
      <c r="O492" s="25" t="str">
        <f>_xlfn.IFNA(VLOOKUP($C492,'Master sheet'!$A:$AR,44,FALSE),"")&amp;""</f>
        <v/>
      </c>
      <c r="P492" s="637"/>
      <c r="Q492" s="29" t="s">
        <v>1556</v>
      </c>
      <c r="R492" s="726" t="s">
        <v>1600</v>
      </c>
      <c r="S492" s="638" t="s">
        <v>7268</v>
      </c>
      <c r="T492" s="638"/>
      <c r="U492" s="664"/>
      <c r="V492" s="664"/>
      <c r="W492" s="664"/>
      <c r="X492" s="664"/>
      <c r="Y492" s="664"/>
      <c r="Z492" s="664"/>
    </row>
    <row r="493" spans="1:26" ht="22.8" outlineLevel="1" x14ac:dyDescent="0.25">
      <c r="A493" s="1542"/>
      <c r="B493" s="1542"/>
      <c r="C493" s="669" t="str">
        <f>INDEX('Master sheet'!$A$1:$A$670,MATCH("248-5",'Master sheet'!$AN$1:$AN$670,0))</f>
        <v xml:space="preserve">Wood - SPF / Canadian Wood Council / New Brunswick / </v>
      </c>
      <c r="D493" s="17">
        <f>'USER INPUT SHEET'!$D$55</f>
        <v>0</v>
      </c>
      <c r="E493" s="18" t="str">
        <f>'USER INPUT SHEET'!$F$37</f>
        <v>m2</v>
      </c>
      <c r="F493" s="4">
        <v>1</v>
      </c>
      <c r="G493" s="674"/>
      <c r="H493" s="9"/>
      <c r="I493" s="95">
        <f t="shared" si="185"/>
        <v>0</v>
      </c>
      <c r="J493" s="96" t="str">
        <f t="shared" si="186"/>
        <v/>
      </c>
      <c r="K493" s="407">
        <f>$D493*$F493*IF($E$459=16,0.25,0.22)*VLOOKUP($C493,'Master sheet'!$A:$AL,13,FALSE)*(0.0254*11.25)</f>
        <v>0</v>
      </c>
      <c r="L493" s="97">
        <f>$D493*$F493*IF($E$459=16,0.25,0.22)*VLOOKUP($C493,'Master sheet'!$A:$AL,27,FALSE)*(0.0254*11.25)</f>
        <v>0</v>
      </c>
      <c r="M493" s="1552"/>
      <c r="N493" s="1552"/>
      <c r="O493" s="25" t="str">
        <f>_xlfn.IFNA(VLOOKUP($C493,'Master sheet'!$A:$AR,44,FALSE),"")&amp;""</f>
        <v/>
      </c>
      <c r="P493" s="637"/>
      <c r="Q493" s="29" t="s">
        <v>1556</v>
      </c>
      <c r="R493" s="726" t="s">
        <v>1600</v>
      </c>
      <c r="S493" s="638" t="s">
        <v>7268</v>
      </c>
      <c r="T493" s="638"/>
      <c r="U493" s="664"/>
      <c r="V493" s="664"/>
      <c r="W493" s="664"/>
      <c r="X493" s="664"/>
      <c r="Y493" s="664"/>
      <c r="Z493" s="664"/>
    </row>
    <row r="494" spans="1:26" ht="22.8" outlineLevel="1" x14ac:dyDescent="0.25">
      <c r="A494" s="1542"/>
      <c r="B494" s="1542"/>
      <c r="C494" s="669" t="str">
        <f>INDEX('Master sheet'!$A$1:$A$670,MATCH("248-6",'Master sheet'!$AN$1:$AN$670,0))</f>
        <v xml:space="preserve">Wood - SPF / Canadian Wood Council / Atlantic Canada / </v>
      </c>
      <c r="D494" s="17">
        <f>'USER INPUT SHEET'!$D$55</f>
        <v>0</v>
      </c>
      <c r="E494" s="18" t="str">
        <f>'USER INPUT SHEET'!$F$37</f>
        <v>m2</v>
      </c>
      <c r="F494" s="4">
        <v>1</v>
      </c>
      <c r="G494" s="674"/>
      <c r="H494" s="9"/>
      <c r="I494" s="95">
        <f t="shared" si="185"/>
        <v>0</v>
      </c>
      <c r="J494" s="96" t="str">
        <f t="shared" si="186"/>
        <v/>
      </c>
      <c r="K494" s="407">
        <f>$D494*$F494*IF($E$459=16,0.25,0.22)*VLOOKUP($C494,'Master sheet'!$A:$AL,13,FALSE)*(0.0254*11.25)</f>
        <v>0</v>
      </c>
      <c r="L494" s="97">
        <f>$D494*$F494*IF($E$459=16,0.25,0.22)*VLOOKUP($C494,'Master sheet'!$A:$AL,27,FALSE)*(0.0254*11.25)</f>
        <v>0</v>
      </c>
      <c r="M494" s="1559"/>
      <c r="N494" s="1559"/>
      <c r="O494" s="25" t="str">
        <f>_xlfn.IFNA(VLOOKUP($C494,'Master sheet'!$A:$AR,44,FALSE),"")&amp;""</f>
        <v/>
      </c>
      <c r="P494" s="637"/>
      <c r="Q494" s="29" t="s">
        <v>1556</v>
      </c>
      <c r="R494" s="726" t="s">
        <v>1600</v>
      </c>
      <c r="S494" s="638" t="s">
        <v>7268</v>
      </c>
      <c r="T494" s="638"/>
      <c r="U494" s="664"/>
      <c r="V494" s="664"/>
      <c r="W494" s="664"/>
      <c r="X494" s="664"/>
      <c r="Y494" s="664"/>
      <c r="Z494" s="664"/>
    </row>
    <row r="495" spans="1:26" s="624" customFormat="1" ht="22.8" outlineLevel="1" x14ac:dyDescent="0.25">
      <c r="A495" s="639"/>
      <c r="B495" s="1524" t="s">
        <v>79</v>
      </c>
      <c r="C495" s="1523"/>
      <c r="D495" s="640"/>
      <c r="E495" s="641"/>
      <c r="F495" s="325"/>
      <c r="G495" s="678"/>
      <c r="H495" s="679"/>
      <c r="I495" s="642"/>
      <c r="J495" s="643"/>
      <c r="K495" s="676"/>
      <c r="L495" s="677"/>
      <c r="M495" s="677"/>
      <c r="N495" s="677"/>
      <c r="O495" s="25" t="str">
        <f>_xlfn.IFNA(VLOOKUP($C495,'Master sheet'!$A:$AR,44,FALSE),"")&amp;""</f>
        <v/>
      </c>
      <c r="P495" s="655"/>
      <c r="Q495" s="29" t="s">
        <v>1556</v>
      </c>
      <c r="R495" s="726" t="s">
        <v>1600</v>
      </c>
      <c r="S495" s="638" t="s">
        <v>7268</v>
      </c>
      <c r="T495" s="638"/>
      <c r="U495" s="638"/>
      <c r="V495" s="638"/>
      <c r="W495" s="638"/>
      <c r="X495" s="638"/>
      <c r="Y495" s="638"/>
      <c r="Z495" s="638"/>
    </row>
    <row r="496" spans="1:26" s="624" customFormat="1" ht="58.2" customHeight="1" outlineLevel="1" x14ac:dyDescent="0.25">
      <c r="A496" s="1646"/>
      <c r="B496" s="1646"/>
      <c r="C496" s="681" t="str">
        <f>INDEX('Master sheet'!$A$1:$A$670,MATCH(252,'Master sheet'!$AN$1:$AN$670,0))</f>
        <v>Wood roof truss - prefabricated / Canadian Wood Council / Common (Double Howe) Gable Roof / 2x6 Chords, 2x4 Webs, 4:12 Pitch, 40 ft span, 20" overhang</v>
      </c>
      <c r="D496" s="22">
        <f>'USER INPUT SHEET'!$D$55</f>
        <v>0</v>
      </c>
      <c r="E496" s="23" t="str">
        <f>'USER INPUT SHEET'!$F$37</f>
        <v>m2</v>
      </c>
      <c r="F496" s="6">
        <v>1</v>
      </c>
      <c r="G496" s="682"/>
      <c r="H496" s="10"/>
      <c r="I496" s="100">
        <f t="shared" ref="I496" si="187">K496-L496-IF(N496,M496,0)</f>
        <v>0</v>
      </c>
      <c r="J496" s="101" t="str">
        <f t="shared" ref="J496:J507" si="188">IF(H496=1,I496,"")</f>
        <v/>
      </c>
      <c r="K496" s="408">
        <f>$D496*$F496*IF($E$459=16,2.46, 1.64)*VLOOKUP($C496,'Master sheet'!$A:$AL,13,FALSE)</f>
        <v>0</v>
      </c>
      <c r="L496" s="102">
        <f>$D496*$F496*IF($E$459=16,2.46, 1.64)*VLOOKUP($C496,'Master sheet'!$A:$AL,27,FALSE)</f>
        <v>0</v>
      </c>
      <c r="M496" s="1559"/>
      <c r="N496" s="1559"/>
      <c r="O496" s="25" t="str">
        <f>_xlfn.IFNA(VLOOKUP($C496,'Master sheet'!$A:$AR,44,FALSE),"")&amp;""</f>
        <v/>
      </c>
      <c r="P496" s="663"/>
      <c r="Q496" s="29" t="s">
        <v>1556</v>
      </c>
      <c r="R496" s="726" t="s">
        <v>1600</v>
      </c>
      <c r="S496" s="638"/>
      <c r="T496" s="638"/>
      <c r="U496" s="638"/>
      <c r="V496" s="638"/>
      <c r="W496" s="638"/>
      <c r="X496" s="638"/>
      <c r="Y496" s="638"/>
      <c r="Z496" s="638"/>
    </row>
    <row r="497" spans="1:26" s="624" customFormat="1" ht="22.8" outlineLevel="1" x14ac:dyDescent="0.25">
      <c r="A497" s="639"/>
      <c r="B497" s="1524" t="s">
        <v>76</v>
      </c>
      <c r="C497" s="1523"/>
      <c r="D497" s="640"/>
      <c r="E497" s="641"/>
      <c r="F497" s="325"/>
      <c r="G497" s="678"/>
      <c r="H497" s="679"/>
      <c r="I497" s="642"/>
      <c r="J497" s="643"/>
      <c r="K497" s="676"/>
      <c r="L497" s="677"/>
      <c r="M497" s="677"/>
      <c r="N497" s="677"/>
      <c r="O497" s="25" t="str">
        <f>_xlfn.IFNA(VLOOKUP($C497,'Master sheet'!$A:$AR,44,FALSE),"")&amp;""</f>
        <v/>
      </c>
      <c r="P497" s="637"/>
      <c r="Q497" s="29" t="s">
        <v>1556</v>
      </c>
      <c r="R497" s="726" t="s">
        <v>1600</v>
      </c>
      <c r="S497" s="638"/>
      <c r="T497" s="638"/>
      <c r="U497" s="638"/>
      <c r="V497" s="638"/>
      <c r="W497" s="638"/>
      <c r="X497" s="638"/>
      <c r="Y497" s="638"/>
      <c r="Z497" s="638"/>
    </row>
    <row r="498" spans="1:26" s="624" customFormat="1" ht="22.8" outlineLevel="1" x14ac:dyDescent="0.25">
      <c r="A498" s="1600"/>
      <c r="B498" s="853" t="s">
        <v>816</v>
      </c>
      <c r="C498" s="647" t="str">
        <f>INDEX('Master sheet'!$A$1:$A$670,MATCH(249,'Master sheet'!$AN$1:$AN$670,0))</f>
        <v>Wood I joist / Canadian Wood Council /  / TJI 230/360</v>
      </c>
      <c r="D498" s="13">
        <f>'USER INPUT SHEET'!$D$55</f>
        <v>0</v>
      </c>
      <c r="E498" s="14" t="str">
        <f>'USER INPUT SHEET'!$F$37</f>
        <v>m2</v>
      </c>
      <c r="F498" s="2">
        <v>1</v>
      </c>
      <c r="G498" s="648"/>
      <c r="H498" s="7"/>
      <c r="I498" s="88">
        <f t="shared" ref="I498:I502" si="189">K498-L498-IF(N498,M498,0)</f>
        <v>0</v>
      </c>
      <c r="J498" s="89" t="str">
        <f t="shared" si="188"/>
        <v/>
      </c>
      <c r="K498" s="404">
        <f>$D498*$F498*IF($E$459=16,2.46,1.64)*VLOOKUP($C498,'Master sheet'!$A:$AL,13,FALSE)*0.926</f>
        <v>0</v>
      </c>
      <c r="L498" s="90">
        <f>$D498*$F498*IF($E$459=16,2.46,1.64)*VLOOKUP($C498,'Master sheet'!$A:$AL,27,FALSE)*0.926</f>
        <v>0</v>
      </c>
      <c r="M498" s="1552"/>
      <c r="N498" s="1552"/>
      <c r="O498" s="25" t="str">
        <f>_xlfn.IFNA(VLOOKUP($C498,'Master sheet'!$A:$AR,44,FALSE),"")&amp;""</f>
        <v/>
      </c>
      <c r="P498" s="671"/>
      <c r="Q498" s="29" t="s">
        <v>1556</v>
      </c>
      <c r="R498" s="726" t="s">
        <v>1600</v>
      </c>
      <c r="S498" s="638" t="s">
        <v>816</v>
      </c>
      <c r="T498" s="638"/>
      <c r="U498" s="638"/>
      <c r="V498" s="638"/>
      <c r="W498" s="638"/>
      <c r="X498" s="638"/>
      <c r="Y498" s="638"/>
      <c r="Z498" s="638"/>
    </row>
    <row r="499" spans="1:26" ht="22.8" outlineLevel="1" x14ac:dyDescent="0.25">
      <c r="A499" s="1564"/>
      <c r="B499" s="857" t="s">
        <v>77</v>
      </c>
      <c r="C499" s="669" t="str">
        <f>INDEX('Master sheet'!$A$1:$A$670,MATCH(249,'Master sheet'!$AN$1:$AN$670,0))</f>
        <v>Wood I joist / Canadian Wood Council /  / TJI 230/360</v>
      </c>
      <c r="D499" s="15">
        <f>'USER INPUT SHEET'!$D$55</f>
        <v>0</v>
      </c>
      <c r="E499" s="16" t="str">
        <f>'USER INPUT SHEET'!$F$37</f>
        <v>m2</v>
      </c>
      <c r="F499" s="3">
        <v>1</v>
      </c>
      <c r="G499" s="670"/>
      <c r="H499" s="8"/>
      <c r="I499" s="92">
        <f t="shared" si="189"/>
        <v>0</v>
      </c>
      <c r="J499" s="93" t="str">
        <f t="shared" si="188"/>
        <v/>
      </c>
      <c r="K499" s="406">
        <f>$D499*$F499*IF($E$459=16,2.46,1.64)*VLOOKUP($C499,'Master sheet'!$A:$AL,13,FALSE)*1.029</f>
        <v>0</v>
      </c>
      <c r="L499" s="94">
        <f>$D499*$F499*IF($E$459=16,2.46,1.64)*VLOOKUP($C499,'Master sheet'!$A:$AL,27,FALSE)*1.029</f>
        <v>0</v>
      </c>
      <c r="M499" s="1552"/>
      <c r="N499" s="1552"/>
      <c r="O499" s="25" t="str">
        <f>_xlfn.IFNA(VLOOKUP($C499,'Master sheet'!$A:$AR,44,FALSE),"")&amp;""</f>
        <v/>
      </c>
      <c r="P499" s="672"/>
      <c r="Q499" s="29" t="s">
        <v>1556</v>
      </c>
      <c r="R499" s="726" t="s">
        <v>1600</v>
      </c>
      <c r="S499" s="664" t="s">
        <v>77</v>
      </c>
      <c r="T499" s="664"/>
      <c r="U499" s="664"/>
      <c r="V499" s="664"/>
      <c r="W499" s="664"/>
      <c r="X499" s="664"/>
      <c r="Y499" s="664"/>
      <c r="Z499" s="664"/>
    </row>
    <row r="500" spans="1:26" ht="22.8" outlineLevel="1" x14ac:dyDescent="0.25">
      <c r="A500" s="1564"/>
      <c r="B500" s="858" t="s">
        <v>78</v>
      </c>
      <c r="C500" s="669" t="str">
        <f>INDEX('Master sheet'!$A$1:$A$670,MATCH(249,'Master sheet'!$AN$1:$AN$670,0))</f>
        <v>Wood I joist / Canadian Wood Council /  / TJI 230/360</v>
      </c>
      <c r="D500" s="15">
        <f>'USER INPUT SHEET'!$D$55</f>
        <v>0</v>
      </c>
      <c r="E500" s="16" t="str">
        <f>'USER INPUT SHEET'!$F$37</f>
        <v>m2</v>
      </c>
      <c r="F500" s="3">
        <v>1</v>
      </c>
      <c r="G500" s="670"/>
      <c r="H500" s="8"/>
      <c r="I500" s="92">
        <f t="shared" si="189"/>
        <v>0</v>
      </c>
      <c r="J500" s="93" t="str">
        <f t="shared" si="188"/>
        <v/>
      </c>
      <c r="K500" s="406">
        <f>$D500*$F500*IF($E$459=16,2.46,1.64)*VLOOKUP($C500,'Master sheet'!$A:$AL,13,FALSE)*1.132</f>
        <v>0</v>
      </c>
      <c r="L500" s="94">
        <f>$D500*$F500*IF($E$459=16,2.46,1.64)*VLOOKUP($C500,'Master sheet'!$A:$AL,27,FALSE)*1.132</f>
        <v>0</v>
      </c>
      <c r="M500" s="1552"/>
      <c r="N500" s="1552"/>
      <c r="O500" s="25" t="str">
        <f>_xlfn.IFNA(VLOOKUP($C500,'Master sheet'!$A:$AR,44,FALSE),"")&amp;""</f>
        <v/>
      </c>
      <c r="P500" s="672"/>
      <c r="Q500" s="29" t="s">
        <v>1556</v>
      </c>
      <c r="R500" s="726" t="s">
        <v>1600</v>
      </c>
      <c r="S500" s="664" t="s">
        <v>78</v>
      </c>
      <c r="T500" s="664"/>
      <c r="U500" s="664"/>
      <c r="V500" s="664"/>
      <c r="W500" s="664"/>
      <c r="X500" s="664"/>
      <c r="Y500" s="664"/>
      <c r="Z500" s="664"/>
    </row>
    <row r="501" spans="1:26" ht="22.8" outlineLevel="1" x14ac:dyDescent="0.25">
      <c r="A501" s="1564"/>
      <c r="B501" s="859" t="s">
        <v>80</v>
      </c>
      <c r="C501" s="673" t="str">
        <f>INDEX('Master sheet'!$A$1:$A$670,MATCH(249,'Master sheet'!$AN$1:$AN$670,0))</f>
        <v>Wood I joist / Canadian Wood Council /  / TJI 230/360</v>
      </c>
      <c r="D501" s="17">
        <f>'USER INPUT SHEET'!$D$55</f>
        <v>0</v>
      </c>
      <c r="E501" s="18" t="str">
        <f>'USER INPUT SHEET'!$F$37</f>
        <v>m2</v>
      </c>
      <c r="F501" s="4">
        <v>1</v>
      </c>
      <c r="G501" s="674"/>
      <c r="H501" s="9"/>
      <c r="I501" s="92">
        <f t="shared" si="189"/>
        <v>0</v>
      </c>
      <c r="J501" s="96" t="str">
        <f t="shared" ref="J501:J506" si="190">IF(H501=1,I501,"")</f>
        <v/>
      </c>
      <c r="K501" s="407">
        <f>$D501*$F501*IF($E$459=16,2.46,1.64)*VLOOKUP($C501,'Master sheet'!$A:$AL,13,FALSE)*1.2</f>
        <v>0</v>
      </c>
      <c r="L501" s="97">
        <f>$D501*$F501*IF($E$459=16,2.46,1.64)*VLOOKUP($C501,'Master sheet'!$A:$AL,27,FALSE)*1.2</f>
        <v>0</v>
      </c>
      <c r="M501" s="1552"/>
      <c r="N501" s="1552"/>
      <c r="O501" s="25" t="str">
        <f>_xlfn.IFNA(VLOOKUP($C501,'Master sheet'!$A:$AR,44,FALSE),"")&amp;""</f>
        <v/>
      </c>
      <c r="P501" s="672"/>
      <c r="Q501" s="29" t="s">
        <v>1556</v>
      </c>
      <c r="R501" s="726" t="s">
        <v>1600</v>
      </c>
      <c r="S501" s="664" t="s">
        <v>80</v>
      </c>
      <c r="T501" s="664"/>
      <c r="U501" s="664"/>
      <c r="V501" s="664"/>
      <c r="W501" s="664"/>
      <c r="X501" s="664"/>
      <c r="Y501" s="664"/>
      <c r="Z501" s="664"/>
    </row>
    <row r="502" spans="1:26" ht="31.5" customHeight="1" outlineLevel="1" x14ac:dyDescent="0.25">
      <c r="A502" s="1564"/>
      <c r="B502" s="857" t="s">
        <v>77</v>
      </c>
      <c r="C502" s="673" t="str">
        <f>INDEX('Master sheet'!$A$1:$A$670,MATCH("A130",'Master sheet'!$AN$1:$AN$670,0))</f>
        <v>Wood I-joist / RedBuilt / Red I-45 / 11.875" depth, 1.75 x 1.5" LVL flanges</v>
      </c>
      <c r="D502" s="17">
        <f>'USER INPUT SHEET'!$D$55</f>
        <v>0</v>
      </c>
      <c r="E502" s="18" t="str">
        <f>'USER INPUT SHEET'!$F$37</f>
        <v>m2</v>
      </c>
      <c r="F502" s="4">
        <v>1</v>
      </c>
      <c r="G502" s="674"/>
      <c r="H502" s="9"/>
      <c r="I502" s="92">
        <f t="shared" si="189"/>
        <v>0</v>
      </c>
      <c r="J502" s="96" t="str">
        <f t="shared" si="190"/>
        <v/>
      </c>
      <c r="K502" s="407">
        <f>$D502*$F502*IF($E$459=16,2.46,1.64)*VLOOKUP($C502,'Master sheet'!$A:$AL,13,FALSE)</f>
        <v>0</v>
      </c>
      <c r="L502" s="97">
        <f>$D502*$F502*IF($E$459=16,2.46,1.64)*VLOOKUP($C502,'Master sheet'!$A:$AL,27,FALSE)</f>
        <v>0</v>
      </c>
      <c r="M502" s="1552"/>
      <c r="N502" s="1552"/>
      <c r="O502" s="25" t="str">
        <f>_xlfn.IFNA(VLOOKUP($C502,'Master sheet'!$A:$AR,44,FALSE),"")&amp;""</f>
        <v/>
      </c>
      <c r="P502" s="672"/>
      <c r="Q502" s="29" t="s">
        <v>1556</v>
      </c>
      <c r="R502" s="726" t="s">
        <v>1600</v>
      </c>
      <c r="S502" s="664" t="s">
        <v>77</v>
      </c>
      <c r="T502" s="664"/>
      <c r="U502" s="664"/>
      <c r="V502" s="664"/>
      <c r="W502" s="664"/>
      <c r="X502" s="664"/>
      <c r="Y502" s="664"/>
      <c r="Z502" s="664"/>
    </row>
    <row r="503" spans="1:26" ht="31.5" customHeight="1" outlineLevel="1" x14ac:dyDescent="0.25">
      <c r="A503" s="1564"/>
      <c r="B503" s="858" t="s">
        <v>78</v>
      </c>
      <c r="C503" s="673" t="str">
        <f>INDEX('Master sheet'!$A$1:$A$670,MATCH("A131",'Master sheet'!$AN$1:$AN$670,0))</f>
        <v>Wood I-joist / RedBuilt / Red I-45 / 14" depth, 1.75 x 1.5" LVL flanges</v>
      </c>
      <c r="D503" s="17">
        <f>'USER INPUT SHEET'!$D$55</f>
        <v>0</v>
      </c>
      <c r="E503" s="18" t="str">
        <f>'USER INPUT SHEET'!$F$37</f>
        <v>m2</v>
      </c>
      <c r="F503" s="4">
        <v>1</v>
      </c>
      <c r="G503" s="674"/>
      <c r="H503" s="9"/>
      <c r="I503" s="92">
        <f t="shared" ref="I503:I507" si="191">K503-L503-IF(N503,M503,0)</f>
        <v>0</v>
      </c>
      <c r="J503" s="96" t="str">
        <f t="shared" si="190"/>
        <v/>
      </c>
      <c r="K503" s="407">
        <f>$D503*$F503*IF($E$459=16,2.46,1.64)*VLOOKUP($C503,'Master sheet'!$A:$AL,13,FALSE)</f>
        <v>0</v>
      </c>
      <c r="L503" s="97">
        <f>$D503*$F503*IF($E$459=16,2.46,1.64)*VLOOKUP($C503,'Master sheet'!$A:$AL,27,FALSE)</f>
        <v>0</v>
      </c>
      <c r="M503" s="1552"/>
      <c r="N503" s="1552"/>
      <c r="O503" s="25" t="str">
        <f>_xlfn.IFNA(VLOOKUP($C503,'Master sheet'!$A:$AR,44,FALSE),"")&amp;""</f>
        <v/>
      </c>
      <c r="P503" s="672"/>
      <c r="Q503" s="29" t="s">
        <v>1556</v>
      </c>
      <c r="R503" s="726" t="s">
        <v>1600</v>
      </c>
      <c r="S503" s="664" t="s">
        <v>78</v>
      </c>
      <c r="T503" s="664"/>
      <c r="U503" s="664"/>
      <c r="V503" s="664"/>
      <c r="W503" s="664"/>
      <c r="X503" s="664"/>
      <c r="Y503" s="664"/>
      <c r="Z503" s="664"/>
    </row>
    <row r="504" spans="1:26" ht="31.5" customHeight="1" outlineLevel="1" x14ac:dyDescent="0.25">
      <c r="A504" s="1564"/>
      <c r="B504" s="859" t="s">
        <v>80</v>
      </c>
      <c r="C504" s="673" t="str">
        <f>INDEX('Master sheet'!$A$1:$A$670,MATCH("A132",'Master sheet'!$AN$1:$AN$670,0))</f>
        <v>Wood I-joist / RedBuilt / Red I-45 / 16" depth, 1.75 x 1.5" LVL flanges</v>
      </c>
      <c r="D504" s="17">
        <f>'USER INPUT SHEET'!$D$55</f>
        <v>0</v>
      </c>
      <c r="E504" s="18" t="str">
        <f>'USER INPUT SHEET'!$F$37</f>
        <v>m2</v>
      </c>
      <c r="F504" s="4">
        <v>1</v>
      </c>
      <c r="G504" s="674"/>
      <c r="H504" s="9"/>
      <c r="I504" s="92">
        <f t="shared" si="191"/>
        <v>0</v>
      </c>
      <c r="J504" s="96" t="str">
        <f t="shared" si="190"/>
        <v/>
      </c>
      <c r="K504" s="407">
        <f>$D504*$F504*IF($E$459=16,2.46,1.64)*VLOOKUP($C504,'Master sheet'!$A:$AL,13,FALSE)</f>
        <v>0</v>
      </c>
      <c r="L504" s="97">
        <f>$D504*$F504*IF($E$459=16,2.46,1.64)*VLOOKUP($C504,'Master sheet'!$A:$AL,27,FALSE)</f>
        <v>0</v>
      </c>
      <c r="M504" s="1552"/>
      <c r="N504" s="1552"/>
      <c r="O504" s="25" t="str">
        <f>_xlfn.IFNA(VLOOKUP($C504,'Master sheet'!$A:$AR,44,FALSE),"")&amp;""</f>
        <v/>
      </c>
      <c r="P504" s="672"/>
      <c r="Q504" s="29" t="s">
        <v>1556</v>
      </c>
      <c r="R504" s="726" t="s">
        <v>1600</v>
      </c>
      <c r="S504" s="664" t="s">
        <v>80</v>
      </c>
      <c r="T504" s="664"/>
      <c r="U504" s="664"/>
      <c r="V504" s="664"/>
      <c r="W504" s="664"/>
      <c r="X504" s="664"/>
      <c r="Y504" s="664"/>
      <c r="Z504" s="664"/>
    </row>
    <row r="505" spans="1:26" ht="31.5" customHeight="1" outlineLevel="1" x14ac:dyDescent="0.25">
      <c r="A505" s="1564"/>
      <c r="B505" s="857" t="s">
        <v>77</v>
      </c>
      <c r="C505" s="673" t="str">
        <f>INDEX('Master sheet'!$A$1:$A$670,MATCH("A133",'Master sheet'!$AN$1:$AN$670,0))</f>
        <v>Wood I-joist / RedBuilt / Red I-65 / 11.875" depth, 2.5 x 1.5" LVL flanges</v>
      </c>
      <c r="D505" s="17">
        <f>'USER INPUT SHEET'!$D$55</f>
        <v>0</v>
      </c>
      <c r="E505" s="18" t="str">
        <f>'USER INPUT SHEET'!$F$37</f>
        <v>m2</v>
      </c>
      <c r="F505" s="4">
        <v>1</v>
      </c>
      <c r="G505" s="674"/>
      <c r="H505" s="9"/>
      <c r="I505" s="92">
        <f t="shared" si="191"/>
        <v>0</v>
      </c>
      <c r="J505" s="96" t="str">
        <f t="shared" si="190"/>
        <v/>
      </c>
      <c r="K505" s="407">
        <f>$D505*$F505*IF($E$459=16,2.46,1.64)*VLOOKUP($C505,'Master sheet'!$A:$AL,13,FALSE)</f>
        <v>0</v>
      </c>
      <c r="L505" s="97">
        <f>$D505*$F505*IF($E$459=16,2.46,1.64)*VLOOKUP($C505,'Master sheet'!$A:$AL,27,FALSE)</f>
        <v>0</v>
      </c>
      <c r="M505" s="1552"/>
      <c r="N505" s="1552"/>
      <c r="O505" s="25" t="str">
        <f>_xlfn.IFNA(VLOOKUP($C505,'Master sheet'!$A:$AR,44,FALSE),"")&amp;""</f>
        <v/>
      </c>
      <c r="P505" s="672"/>
      <c r="Q505" s="29" t="s">
        <v>1556</v>
      </c>
      <c r="R505" s="726" t="s">
        <v>1600</v>
      </c>
      <c r="S505" s="664" t="s">
        <v>77</v>
      </c>
      <c r="T505" s="664"/>
      <c r="U505" s="664"/>
      <c r="V505" s="664"/>
      <c r="W505" s="664"/>
      <c r="X505" s="664"/>
      <c r="Y505" s="664"/>
      <c r="Z505" s="664"/>
    </row>
    <row r="506" spans="1:26" ht="31.5" customHeight="1" outlineLevel="1" x14ac:dyDescent="0.25">
      <c r="A506" s="1564"/>
      <c r="B506" s="858" t="s">
        <v>78</v>
      </c>
      <c r="C506" s="673" t="str">
        <f>INDEX('Master sheet'!$A$1:$A$670,MATCH("A134",'Master sheet'!$AN$1:$AN$670,0))</f>
        <v>Wood I-joist / RedBuilt / Red I-65 / 14" depth, 2.5 x 1.5" LVL flanges</v>
      </c>
      <c r="D506" s="17">
        <f>'USER INPUT SHEET'!$D$55</f>
        <v>0</v>
      </c>
      <c r="E506" s="18" t="str">
        <f>'USER INPUT SHEET'!$F$37</f>
        <v>m2</v>
      </c>
      <c r="F506" s="4">
        <v>1</v>
      </c>
      <c r="G506" s="674"/>
      <c r="H506" s="9"/>
      <c r="I506" s="92">
        <f t="shared" si="191"/>
        <v>0</v>
      </c>
      <c r="J506" s="96" t="str">
        <f t="shared" si="190"/>
        <v/>
      </c>
      <c r="K506" s="407">
        <f>$D506*$F506*IF($E$459=16,2.46,1.64)*VLOOKUP($C506,'Master sheet'!$A:$AL,13,FALSE)</f>
        <v>0</v>
      </c>
      <c r="L506" s="97">
        <f>$D506*$F506*IF($E$459=16,2.46,1.64)*VLOOKUP($C506,'Master sheet'!$A:$AL,27,FALSE)</f>
        <v>0</v>
      </c>
      <c r="M506" s="1552"/>
      <c r="N506" s="1552"/>
      <c r="O506" s="25" t="str">
        <f>_xlfn.IFNA(VLOOKUP($C506,'Master sheet'!$A:$AR,44,FALSE),"")&amp;""</f>
        <v/>
      </c>
      <c r="P506" s="672"/>
      <c r="Q506" s="29" t="s">
        <v>1556</v>
      </c>
      <c r="R506" s="726" t="s">
        <v>1600</v>
      </c>
      <c r="S506" s="664" t="s">
        <v>78</v>
      </c>
      <c r="T506" s="664"/>
      <c r="U506" s="664"/>
      <c r="V506" s="664"/>
      <c r="W506" s="664"/>
      <c r="X506" s="664"/>
      <c r="Y506" s="664"/>
      <c r="Z506" s="664"/>
    </row>
    <row r="507" spans="1:26" s="624" customFormat="1" ht="31.5" customHeight="1" outlineLevel="1" x14ac:dyDescent="0.25">
      <c r="A507" s="1564"/>
      <c r="B507" s="859" t="s">
        <v>80</v>
      </c>
      <c r="C507" s="673" t="str">
        <f>INDEX('Master sheet'!$A$1:$A$670,MATCH("A135",'Master sheet'!$AN$1:$AN$670,0))</f>
        <v>Wood I-joist / RedBuilt / Red I-65 / 16" depth, 2.5 x 1.5" LVL flanges</v>
      </c>
      <c r="D507" s="17">
        <f>'USER INPUT SHEET'!$D$55</f>
        <v>0</v>
      </c>
      <c r="E507" s="18" t="str">
        <f>'USER INPUT SHEET'!$F$37</f>
        <v>m2</v>
      </c>
      <c r="F507" s="4">
        <v>1</v>
      </c>
      <c r="G507" s="674"/>
      <c r="H507" s="9"/>
      <c r="I507" s="92">
        <f t="shared" si="191"/>
        <v>0</v>
      </c>
      <c r="J507" s="96" t="str">
        <f t="shared" si="188"/>
        <v/>
      </c>
      <c r="K507" s="407">
        <f>$D507*$F507*IF($E$459=16,2.46,1.64)*VLOOKUP($C507,'Master sheet'!$A:$AL,13,FALSE)</f>
        <v>0</v>
      </c>
      <c r="L507" s="97">
        <f>$D507*$F507*IF($E$459=16,2.46,1.64)*VLOOKUP($C507,'Master sheet'!$A:$AL,27,FALSE)</f>
        <v>0</v>
      </c>
      <c r="M507" s="1552"/>
      <c r="N507" s="1552"/>
      <c r="O507" s="25" t="str">
        <f>_xlfn.IFNA(VLOOKUP($C507,'Master sheet'!$A:$AR,44,FALSE),"")&amp;""</f>
        <v/>
      </c>
      <c r="P507" s="672"/>
      <c r="Q507" s="29" t="s">
        <v>1556</v>
      </c>
      <c r="R507" s="726" t="s">
        <v>1600</v>
      </c>
      <c r="S507" s="638" t="s">
        <v>80</v>
      </c>
      <c r="T507" s="638"/>
      <c r="U507" s="638"/>
      <c r="V507" s="638"/>
      <c r="W507" s="638"/>
      <c r="X507" s="638"/>
      <c r="Y507" s="638"/>
      <c r="Z507" s="638"/>
    </row>
    <row r="508" spans="1:26" s="624" customFormat="1" ht="55.2" customHeight="1" outlineLevel="1" x14ac:dyDescent="0.25">
      <c r="A508" s="1522" t="s">
        <v>90</v>
      </c>
      <c r="B508" s="1523"/>
      <c r="C508" s="1523"/>
      <c r="D508" s="649"/>
      <c r="E508" s="650"/>
      <c r="F508" s="321"/>
      <c r="G508" s="650"/>
      <c r="H508" s="650"/>
      <c r="I508" s="651"/>
      <c r="J508" s="651"/>
      <c r="K508" s="652"/>
      <c r="L508" s="759"/>
      <c r="M508" s="759"/>
      <c r="N508" s="759"/>
      <c r="O508" s="25" t="str">
        <f>_xlfn.IFNA(VLOOKUP($C508,'Master sheet'!$A:$AR,44,FALSE),"")&amp;""</f>
        <v/>
      </c>
      <c r="P508" s="637"/>
      <c r="Q508" s="29"/>
      <c r="R508" s="726"/>
      <c r="S508" s="638"/>
      <c r="T508" s="638"/>
      <c r="U508" s="638"/>
      <c r="V508" s="638"/>
      <c r="W508" s="638"/>
      <c r="X508" s="638"/>
      <c r="Y508" s="638"/>
      <c r="Z508" s="638"/>
    </row>
    <row r="509" spans="1:26" s="624" customFormat="1" ht="22.8" outlineLevel="1" x14ac:dyDescent="0.25">
      <c r="A509" s="639"/>
      <c r="B509" s="1524" t="s">
        <v>91</v>
      </c>
      <c r="C509" s="1523"/>
      <c r="D509" s="640"/>
      <c r="E509" s="641"/>
      <c r="F509" s="325"/>
      <c r="G509" s="678"/>
      <c r="H509" s="679"/>
      <c r="I509" s="642"/>
      <c r="J509" s="643"/>
      <c r="K509" s="676"/>
      <c r="L509" s="677"/>
      <c r="M509" s="677"/>
      <c r="N509" s="677"/>
      <c r="O509" s="25" t="str">
        <f>_xlfn.IFNA(VLOOKUP($C509,'Master sheet'!$A:$AR,44,FALSE),"")&amp;""</f>
        <v/>
      </c>
      <c r="P509" s="637"/>
      <c r="Q509" s="29"/>
      <c r="R509" s="726"/>
      <c r="S509" s="638"/>
      <c r="T509" s="638"/>
      <c r="U509" s="638"/>
      <c r="V509" s="638"/>
      <c r="W509" s="638"/>
      <c r="X509" s="638"/>
      <c r="Y509" s="638"/>
      <c r="Z509" s="638"/>
    </row>
    <row r="510" spans="1:26" s="624" customFormat="1" ht="22.8" outlineLevel="1" x14ac:dyDescent="0.25">
      <c r="A510" s="1600"/>
      <c r="B510" s="1564"/>
      <c r="C510" s="647" t="str">
        <f>INDEX('Master sheet'!$A$1:$A$670,MATCH(160,'Master sheet'!$AN$1:$AN$670,0))</f>
        <v>Plywood / Canadian Wood Council /  / 5/8"</v>
      </c>
      <c r="D510" s="13">
        <f>'USER INPUT SHEET'!$D$55</f>
        <v>0</v>
      </c>
      <c r="E510" s="14" t="str">
        <f>'USER INPUT SHEET'!$F$37</f>
        <v>m2</v>
      </c>
      <c r="F510" s="2">
        <v>1</v>
      </c>
      <c r="G510" s="648"/>
      <c r="H510" s="7"/>
      <c r="I510" s="92">
        <f t="shared" ref="I510:I512" si="192">K510-L510-IF(N510,M510,0)</f>
        <v>0</v>
      </c>
      <c r="J510" s="93" t="str">
        <f>IF(H510=1,I510,"")</f>
        <v/>
      </c>
      <c r="K510" s="406">
        <f>$D510*$F510*VLOOKUP($C510,'Master sheet'!$A:$AL,13,FALSE)</f>
        <v>0</v>
      </c>
      <c r="L510" s="94">
        <f>$D510*$F510*VLOOKUP($C510,'Master sheet'!$A:$AL,27,FALSE)</f>
        <v>0</v>
      </c>
      <c r="M510" s="1562"/>
      <c r="N510" s="1562"/>
      <c r="O510" s="25" t="str">
        <f>_xlfn.IFNA(VLOOKUP($C510,'Master sheet'!$A:$AR,44,FALSE),"")&amp;""</f>
        <v/>
      </c>
      <c r="P510" s="637"/>
      <c r="Q510" s="29" t="s">
        <v>1556</v>
      </c>
      <c r="R510" s="726" t="s">
        <v>1601</v>
      </c>
      <c r="S510" s="638"/>
      <c r="T510" s="638"/>
      <c r="U510" s="638"/>
      <c r="V510" s="638"/>
      <c r="W510" s="638"/>
      <c r="X510" s="638"/>
      <c r="Y510" s="638"/>
      <c r="Z510" s="638"/>
    </row>
    <row r="511" spans="1:26" s="624" customFormat="1" ht="22.8" outlineLevel="1" x14ac:dyDescent="0.25">
      <c r="A511" s="1600"/>
      <c r="B511" s="1564"/>
      <c r="C511" s="673" t="str">
        <f>INDEX('Master sheet'!$A$1:$A$670,MATCH("155-1",'Master sheet'!$AN$1:$AN$670,0))</f>
        <v>OSB sheathing / Canadian Wood Council -Eastern /  / 5/8"</v>
      </c>
      <c r="D511" s="17">
        <f>'USER INPUT SHEET'!$D$55</f>
        <v>0</v>
      </c>
      <c r="E511" s="18" t="str">
        <f>'USER INPUT SHEET'!$F$37</f>
        <v>m2</v>
      </c>
      <c r="F511" s="4">
        <v>1</v>
      </c>
      <c r="G511" s="674"/>
      <c r="H511" s="9"/>
      <c r="I511" s="92">
        <f t="shared" ref="I511" si="193">K511-L511-IF(N511,M511,0)</f>
        <v>0</v>
      </c>
      <c r="J511" s="96" t="str">
        <f>IF(H511=1,I511,"")</f>
        <v/>
      </c>
      <c r="K511" s="407">
        <f>$D511*$F511*VLOOKUP($C511,'Master sheet'!$A:$AL,13,FALSE)</f>
        <v>0</v>
      </c>
      <c r="L511" s="97">
        <f>$D511*$F511*VLOOKUP($C511,'Master sheet'!$A:$AL,27,FALSE)</f>
        <v>0</v>
      </c>
      <c r="M511" s="1552"/>
      <c r="N511" s="1552"/>
      <c r="O511" s="25" t="str">
        <f>_xlfn.IFNA(VLOOKUP($C511,'Master sheet'!$A:$AR,44,FALSE),"")&amp;""</f>
        <v/>
      </c>
      <c r="P511" s="637"/>
      <c r="Q511" s="29" t="s">
        <v>1556</v>
      </c>
      <c r="R511" s="726" t="s">
        <v>1601</v>
      </c>
      <c r="S511" s="638"/>
      <c r="T511" s="638"/>
      <c r="U511" s="638"/>
      <c r="V511" s="638"/>
      <c r="W511" s="638"/>
      <c r="X511" s="638"/>
      <c r="Y511" s="638"/>
      <c r="Z511" s="638"/>
    </row>
    <row r="512" spans="1:26" s="624" customFormat="1" ht="22.8" outlineLevel="1" x14ac:dyDescent="0.25">
      <c r="A512" s="1564"/>
      <c r="B512" s="1564"/>
      <c r="C512" s="673" t="str">
        <f>INDEX('Master sheet'!$A$1:$A$670,MATCH("155-2",'Master sheet'!$AN$1:$AN$670,0))</f>
        <v>OSB sheathing / Canadian Wood Council -Western /  / 5/8"</v>
      </c>
      <c r="D512" s="17">
        <f>'USER INPUT SHEET'!$D$55</f>
        <v>0</v>
      </c>
      <c r="E512" s="18" t="str">
        <f>'USER INPUT SHEET'!$F$37</f>
        <v>m2</v>
      </c>
      <c r="F512" s="4">
        <v>1</v>
      </c>
      <c r="G512" s="674"/>
      <c r="H512" s="9"/>
      <c r="I512" s="92">
        <f t="shared" si="192"/>
        <v>0</v>
      </c>
      <c r="J512" s="96" t="str">
        <f>IF(H512=1,I512,"")</f>
        <v/>
      </c>
      <c r="K512" s="407">
        <f>$D512*$F512*VLOOKUP($C512,'Master sheet'!$A:$AL,13,FALSE)</f>
        <v>0</v>
      </c>
      <c r="L512" s="97">
        <f>$D512*$F512*VLOOKUP($C512,'Master sheet'!$A:$AL,27,FALSE)</f>
        <v>0</v>
      </c>
      <c r="M512" s="1559"/>
      <c r="N512" s="1559"/>
      <c r="O512" s="25" t="str">
        <f>_xlfn.IFNA(VLOOKUP($C512,'Master sheet'!$A:$AR,44,FALSE),"")&amp;""</f>
        <v/>
      </c>
      <c r="P512" s="637"/>
      <c r="Q512" s="29" t="s">
        <v>1556</v>
      </c>
      <c r="R512" s="726" t="s">
        <v>1601</v>
      </c>
      <c r="S512" s="638"/>
      <c r="T512" s="638"/>
      <c r="U512" s="638"/>
      <c r="V512" s="638"/>
      <c r="W512" s="638"/>
      <c r="X512" s="638"/>
      <c r="Y512" s="638"/>
      <c r="Z512" s="638"/>
    </row>
    <row r="513" spans="1:27" s="624" customFormat="1" ht="22.8" outlineLevel="1" x14ac:dyDescent="0.25">
      <c r="A513" s="639"/>
      <c r="B513" s="1524" t="s">
        <v>965</v>
      </c>
      <c r="C513" s="1523"/>
      <c r="D513" s="640"/>
      <c r="E513" s="641"/>
      <c r="F513" s="325"/>
      <c r="G513" s="678"/>
      <c r="H513" s="679"/>
      <c r="I513" s="642"/>
      <c r="J513" s="643"/>
      <c r="K513" s="676"/>
      <c r="L513" s="677"/>
      <c r="M513" s="677"/>
      <c r="N513" s="677"/>
      <c r="O513" s="25" t="str">
        <f>_xlfn.IFNA(VLOOKUP($C513,'Master sheet'!$A:$AR,44,FALSE),"")&amp;""</f>
        <v/>
      </c>
      <c r="P513" s="637"/>
      <c r="Q513" s="29" t="s">
        <v>1556</v>
      </c>
      <c r="R513" s="855"/>
      <c r="S513" s="638"/>
      <c r="T513" s="638"/>
      <c r="U513" s="638"/>
      <c r="V513" s="638"/>
      <c r="W513" s="638"/>
      <c r="X513" s="638"/>
      <c r="Y513" s="638"/>
      <c r="Z513" s="638"/>
    </row>
    <row r="514" spans="1:27" s="624" customFormat="1" ht="22.8" outlineLevel="1" x14ac:dyDescent="0.25">
      <c r="A514" s="1600"/>
      <c r="B514" s="1564"/>
      <c r="C514" s="681" t="str">
        <f>INDEX('Master sheet'!$A$1:$A$670,MATCH(116,'Master sheet'!$AN$1:$AN$670,0))</f>
        <v>Gypsum panels - glass mat / USG / Securock ExoAir 430 / 1/2"</v>
      </c>
      <c r="D514" s="13">
        <f>'USER INPUT SHEET'!$D$55</f>
        <v>0</v>
      </c>
      <c r="E514" s="14" t="str">
        <f>'USER INPUT SHEET'!$F$37</f>
        <v>m2</v>
      </c>
      <c r="F514" s="2">
        <v>1</v>
      </c>
      <c r="G514" s="648"/>
      <c r="H514" s="7"/>
      <c r="I514" s="88">
        <f t="shared" ref="I514:I519" si="194">K514-L514</f>
        <v>0</v>
      </c>
      <c r="J514" s="89" t="str">
        <f t="shared" ref="J514:J519" si="195">IF(H514=1,I514,"")</f>
        <v/>
      </c>
      <c r="K514" s="404">
        <f>$D514*$F514*VLOOKUP($C514,'Master sheet'!$A:$AL,13,FALSE)</f>
        <v>0</v>
      </c>
      <c r="L514" s="90">
        <f>$D514*$F514*VLOOKUP($C514,'Master sheet'!$A:$AL,27,FALSE)</f>
        <v>0</v>
      </c>
      <c r="M514" s="1552"/>
      <c r="N514" s="1552"/>
      <c r="O514" s="25" t="str">
        <f ca="1">_xlfn.IFNA(VLOOKUP($C514,'Master sheet'!$A:$AR,44,FALSE),"")&amp;""</f>
        <v>Expired 2024</v>
      </c>
      <c r="P514" s="637"/>
      <c r="Q514" s="29" t="s">
        <v>1556</v>
      </c>
      <c r="R514" s="726" t="s">
        <v>1601</v>
      </c>
      <c r="S514" s="638"/>
      <c r="T514" s="638"/>
      <c r="U514" s="638"/>
      <c r="V514" s="638"/>
      <c r="W514" s="638"/>
      <c r="X514" s="638"/>
      <c r="Y514" s="638"/>
      <c r="Z514" s="638"/>
    </row>
    <row r="515" spans="1:27" s="624" customFormat="1" ht="31.2" outlineLevel="1" x14ac:dyDescent="0.25">
      <c r="A515" s="1600"/>
      <c r="B515" s="1564"/>
      <c r="C515" s="673" t="str">
        <f>INDEX('Master sheet'!$A$1:$A$670,MATCH(418,'Master sheet'!$AN$1:$AN$670,0))</f>
        <v xml:space="preserve">Gypsum panels - glass mat / CertainTeed / GlasRoc Sheathing gypsum board / 5/8" </v>
      </c>
      <c r="D515" s="17">
        <f>'USER INPUT SHEET'!$D$55</f>
        <v>0</v>
      </c>
      <c r="E515" s="18" t="str">
        <f>'USER INPUT SHEET'!$F$37</f>
        <v>m2</v>
      </c>
      <c r="F515" s="4">
        <v>1</v>
      </c>
      <c r="G515" s="674"/>
      <c r="H515" s="9"/>
      <c r="I515" s="95">
        <f t="shared" si="194"/>
        <v>0</v>
      </c>
      <c r="J515" s="96" t="str">
        <f t="shared" si="195"/>
        <v/>
      </c>
      <c r="K515" s="407">
        <f>$D515*$F515*VLOOKUP($C515,'Master sheet'!$A:$AL,13,FALSE)</f>
        <v>0</v>
      </c>
      <c r="L515" s="97">
        <f>$D515*$F515*VLOOKUP($C515,'Master sheet'!$A:$AL,27,FALSE)</f>
        <v>0</v>
      </c>
      <c r="M515" s="1552"/>
      <c r="N515" s="1552"/>
      <c r="O515" s="25" t="str">
        <f ca="1">_xlfn.IFNA(VLOOKUP($C515,'Master sheet'!$A:$AR,44,FALSE),"")&amp;""</f>
        <v/>
      </c>
      <c r="P515" s="637"/>
      <c r="Q515" s="29" t="s">
        <v>1556</v>
      </c>
      <c r="R515" s="726" t="s">
        <v>1601</v>
      </c>
      <c r="S515" s="638"/>
      <c r="T515" s="638"/>
      <c r="U515" s="638"/>
      <c r="V515" s="638"/>
      <c r="W515" s="638"/>
      <c r="X515" s="638"/>
      <c r="Y515" s="638"/>
      <c r="Z515" s="638"/>
    </row>
    <row r="516" spans="1:27" s="624" customFormat="1" ht="31.2" outlineLevel="1" x14ac:dyDescent="0.25">
      <c r="A516" s="1600"/>
      <c r="B516" s="1564"/>
      <c r="C516" s="673" t="str">
        <f>INDEX('Master sheet'!$A$1:$A$670,MATCH("A51",'Master sheet'!$AN$1:$AN$670,0))</f>
        <v>Gypsum panels - glass mat / Georgia-Pacific / DensGlass Sheathing  / 1/2"</v>
      </c>
      <c r="D516" s="17">
        <f>'USER INPUT SHEET'!$D$55</f>
        <v>0</v>
      </c>
      <c r="E516" s="18" t="str">
        <f>'USER INPUT SHEET'!$F$37</f>
        <v>m2</v>
      </c>
      <c r="F516" s="4">
        <v>1</v>
      </c>
      <c r="G516" s="674"/>
      <c r="H516" s="9"/>
      <c r="I516" s="95">
        <f t="shared" si="194"/>
        <v>0</v>
      </c>
      <c r="J516" s="96" t="str">
        <f t="shared" si="195"/>
        <v/>
      </c>
      <c r="K516" s="407">
        <f>$D516*$F516*VLOOKUP($C516,'Master sheet'!$A:$AL,13,FALSE)</f>
        <v>0</v>
      </c>
      <c r="L516" s="97">
        <f>$D516*$F516*VLOOKUP($C516,'Master sheet'!$A:$AL,27,FALSE)</f>
        <v>0</v>
      </c>
      <c r="M516" s="1552"/>
      <c r="N516" s="1552"/>
      <c r="O516" s="25" t="str">
        <f>_xlfn.IFNA(VLOOKUP($C516,'Master sheet'!$A:$AR,44,FALSE),"")&amp;""</f>
        <v/>
      </c>
      <c r="P516" s="637"/>
      <c r="Q516" s="29" t="s">
        <v>1556</v>
      </c>
      <c r="R516" s="726" t="s">
        <v>1601</v>
      </c>
      <c r="S516" s="638"/>
      <c r="T516" s="638"/>
      <c r="U516" s="638"/>
      <c r="V516" s="638"/>
      <c r="W516" s="638"/>
      <c r="X516" s="638"/>
      <c r="Y516" s="638"/>
      <c r="Z516" s="638"/>
    </row>
    <row r="517" spans="1:27" s="624" customFormat="1" ht="31.2" outlineLevel="1" x14ac:dyDescent="0.25">
      <c r="A517" s="1600"/>
      <c r="B517" s="1564"/>
      <c r="C517" s="673" t="str">
        <f>INDEX('Master sheet'!$A$1:$A$670,MATCH("A142",'Master sheet'!$AN$1:$AN$670,0))</f>
        <v>Gypsum panels - glass mat / Georgia-Pacific / DensGlass Sheathing / 5/8"</v>
      </c>
      <c r="D517" s="17">
        <f>'USER INPUT SHEET'!$D$55</f>
        <v>0</v>
      </c>
      <c r="E517" s="18" t="str">
        <f>'USER INPUT SHEET'!$F$37</f>
        <v>m2</v>
      </c>
      <c r="F517" s="4">
        <v>1</v>
      </c>
      <c r="G517" s="674"/>
      <c r="H517" s="9"/>
      <c r="I517" s="95">
        <f t="shared" si="194"/>
        <v>0</v>
      </c>
      <c r="J517" s="96" t="str">
        <f t="shared" si="195"/>
        <v/>
      </c>
      <c r="K517" s="407">
        <f>$D517*$F517*VLOOKUP($C517,'Master sheet'!$A:$AL,13,FALSE)</f>
        <v>0</v>
      </c>
      <c r="L517" s="97">
        <f>$D517*$F517*VLOOKUP($C517,'Master sheet'!$A:$AL,27,FALSE)</f>
        <v>0</v>
      </c>
      <c r="M517" s="1552"/>
      <c r="N517" s="1552"/>
      <c r="O517" s="25" t="str">
        <f>_xlfn.IFNA(VLOOKUP($C517,'Master sheet'!$A:$AR,44,FALSE),"")&amp;""</f>
        <v/>
      </c>
      <c r="P517" s="637"/>
      <c r="Q517" s="29" t="s">
        <v>1556</v>
      </c>
      <c r="R517" s="726" t="s">
        <v>1601</v>
      </c>
      <c r="S517" s="638"/>
      <c r="T517" s="638"/>
      <c r="U517" s="638"/>
      <c r="V517" s="638"/>
      <c r="W517" s="638"/>
      <c r="X517" s="638"/>
      <c r="Y517" s="638"/>
      <c r="Z517" s="638"/>
    </row>
    <row r="518" spans="1:27" s="624" customFormat="1" ht="31.2" outlineLevel="1" x14ac:dyDescent="0.25">
      <c r="A518" s="1600"/>
      <c r="B518" s="1564"/>
      <c r="C518" s="673" t="str">
        <f>INDEX('Master sheet'!$A$1:$A$670,MATCH("A50",'Master sheet'!$AN$1:$AN$670,0))</f>
        <v>Gypsum panels - glass mat / Gypsum Association / North American Industry Average / 1/2"</v>
      </c>
      <c r="D518" s="17">
        <f>'USER INPUT SHEET'!$D$55</f>
        <v>0</v>
      </c>
      <c r="E518" s="18" t="str">
        <f>'USER INPUT SHEET'!$F$37</f>
        <v>m2</v>
      </c>
      <c r="F518" s="4">
        <v>1</v>
      </c>
      <c r="G518" s="674"/>
      <c r="H518" s="9"/>
      <c r="I518" s="95">
        <f t="shared" si="194"/>
        <v>0</v>
      </c>
      <c r="J518" s="96" t="str">
        <f t="shared" si="195"/>
        <v/>
      </c>
      <c r="K518" s="407">
        <f>$D518*$F518*VLOOKUP($C518,'Master sheet'!$A:$AL,13,FALSE)</f>
        <v>0</v>
      </c>
      <c r="L518" s="97">
        <f>$D518*$F518*VLOOKUP($C518,'Master sheet'!$A:$AL,27,FALSE)</f>
        <v>0</v>
      </c>
      <c r="M518" s="1552"/>
      <c r="N518" s="1552"/>
      <c r="O518" s="25" t="str">
        <f>_xlfn.IFNA(VLOOKUP($C518,'Master sheet'!$A:$AR,44,FALSE),"")&amp;""</f>
        <v/>
      </c>
      <c r="P518" s="637"/>
      <c r="Q518" s="29" t="s">
        <v>1556</v>
      </c>
      <c r="R518" s="726" t="s">
        <v>1601</v>
      </c>
      <c r="S518" s="638"/>
      <c r="T518" s="638"/>
      <c r="U518" s="638"/>
      <c r="V518" s="638"/>
      <c r="W518" s="638"/>
      <c r="X518" s="638"/>
      <c r="Y518" s="638"/>
      <c r="Z518" s="638"/>
    </row>
    <row r="519" spans="1:27" s="624" customFormat="1" ht="31.2" outlineLevel="1" x14ac:dyDescent="0.25">
      <c r="A519" s="1564"/>
      <c r="B519" s="1564"/>
      <c r="C519" s="673" t="str">
        <f>INDEX('Master sheet'!$A$1:$A$670,MATCH("A143",'Master sheet'!$AN$1:$AN$670,0))</f>
        <v>Gypsum panels - glass mat / Gypsum Association / North American Industry Average / 5/8" Type X</v>
      </c>
      <c r="D519" s="17">
        <f>'USER INPUT SHEET'!$D$55</f>
        <v>0</v>
      </c>
      <c r="E519" s="18" t="str">
        <f>'USER INPUT SHEET'!$F$37</f>
        <v>m2</v>
      </c>
      <c r="F519" s="4">
        <v>1</v>
      </c>
      <c r="G519" s="674"/>
      <c r="H519" s="9"/>
      <c r="I519" s="95">
        <f t="shared" si="194"/>
        <v>0</v>
      </c>
      <c r="J519" s="96" t="str">
        <f t="shared" si="195"/>
        <v/>
      </c>
      <c r="K519" s="407">
        <f>$D519*$F519*VLOOKUP($C519,'Master sheet'!$A:$AL,13,FALSE)</f>
        <v>0</v>
      </c>
      <c r="L519" s="97">
        <f>$D519*$F519*VLOOKUP($C519,'Master sheet'!$A:$AL,27,FALSE)</f>
        <v>0</v>
      </c>
      <c r="M519" s="1552"/>
      <c r="N519" s="1552"/>
      <c r="O519" s="25" t="str">
        <f>_xlfn.IFNA(VLOOKUP($C519,'Master sheet'!$A:$AR,44,FALSE),"")&amp;""</f>
        <v/>
      </c>
      <c r="P519" s="637"/>
      <c r="Q519" s="29" t="s">
        <v>1556</v>
      </c>
      <c r="R519" s="726" t="s">
        <v>1601</v>
      </c>
      <c r="S519" s="638"/>
      <c r="T519" s="638"/>
      <c r="U519" s="638"/>
      <c r="V519" s="638"/>
      <c r="W519" s="638"/>
      <c r="X519" s="638"/>
      <c r="Y519" s="638"/>
      <c r="Z519" s="638"/>
    </row>
    <row r="520" spans="1:27" s="624" customFormat="1" ht="55.2" customHeight="1" outlineLevel="1" x14ac:dyDescent="0.25">
      <c r="A520" s="1522" t="s">
        <v>925</v>
      </c>
      <c r="B520" s="1523"/>
      <c r="C520" s="1523"/>
      <c r="D520" s="649"/>
      <c r="E520" s="650"/>
      <c r="F520" s="321"/>
      <c r="G520" s="650"/>
      <c r="H520" s="650"/>
      <c r="I520" s="651"/>
      <c r="J520" s="651"/>
      <c r="K520" s="652"/>
      <c r="L520" s="759"/>
      <c r="M520" s="759"/>
      <c r="N520" s="759"/>
      <c r="O520" s="25" t="str">
        <f>_xlfn.IFNA(VLOOKUP($C520,'Master sheet'!$A:$AR,44,FALSE),"")&amp;""</f>
        <v/>
      </c>
      <c r="P520" s="637"/>
      <c r="Q520" s="29"/>
      <c r="R520" s="855"/>
      <c r="S520" s="638"/>
      <c r="T520" s="638"/>
      <c r="U520" s="638"/>
      <c r="V520" s="638"/>
      <c r="W520" s="638"/>
      <c r="X520" s="638"/>
      <c r="Y520" s="638"/>
      <c r="Z520" s="638"/>
    </row>
    <row r="521" spans="1:27" ht="22.8" outlineLevel="1" x14ac:dyDescent="0.25">
      <c r="A521" s="686"/>
      <c r="B521" s="1541" t="s">
        <v>925</v>
      </c>
      <c r="C521" s="1530"/>
      <c r="D521" s="656"/>
      <c r="E521" s="657"/>
      <c r="F521" s="339"/>
      <c r="G521" s="724"/>
      <c r="H521" s="763"/>
      <c r="I521" s="658"/>
      <c r="J521" s="659"/>
      <c r="K521" s="660"/>
      <c r="L521" s="661"/>
      <c r="M521" s="677"/>
      <c r="N521" s="677"/>
      <c r="O521" s="25" t="str">
        <f>_xlfn.IFNA(VLOOKUP($C521,'Master sheet'!$A:$AR,44,FALSE),"")&amp;""</f>
        <v/>
      </c>
      <c r="P521" s="685"/>
      <c r="Q521" s="29"/>
      <c r="R521" s="860"/>
      <c r="S521" s="664"/>
      <c r="T521" s="664"/>
      <c r="U521" s="664"/>
      <c r="V521" s="664"/>
      <c r="W521" s="664"/>
      <c r="X521" s="664"/>
      <c r="Y521" s="664"/>
      <c r="Z521" s="664"/>
    </row>
    <row r="522" spans="1:27" ht="23.25" customHeight="1" outlineLevel="1" x14ac:dyDescent="0.25">
      <c r="A522" s="1603"/>
      <c r="B522" s="1603"/>
      <c r="C522" s="669" t="str">
        <f>INDEX('Master sheet'!$A$1:$A$670,MATCH(92,'Master sheet'!$AN$1:$AN$670,0))</f>
        <v xml:space="preserve">EPDM Roofing Membrane / SPRI /  / </v>
      </c>
      <c r="D522" s="15">
        <f>'USER INPUT SHEET'!$D$55</f>
        <v>0</v>
      </c>
      <c r="E522" s="16" t="str">
        <f>'USER INPUT SHEET'!$F$37</f>
        <v>m2</v>
      </c>
      <c r="F522" s="3">
        <v>1</v>
      </c>
      <c r="G522" s="670"/>
      <c r="H522" s="8"/>
      <c r="I522" s="92">
        <f>K522-L522</f>
        <v>0</v>
      </c>
      <c r="J522" s="93" t="str">
        <f>IF(H522=1,I522,"")</f>
        <v/>
      </c>
      <c r="K522" s="406">
        <f>$D522*$F522*VLOOKUP($C522,'Master sheet'!$A:$AL,13,FALSE)</f>
        <v>0</v>
      </c>
      <c r="L522" s="94">
        <f>$D522*$F522*VLOOKUP($C522,'Master sheet'!$A:$AL,27,FALSE)</f>
        <v>0</v>
      </c>
      <c r="M522" s="1562"/>
      <c r="N522" s="1562"/>
      <c r="O522" s="25" t="str">
        <f ca="1">_xlfn.IFNA(VLOOKUP($C522,'Master sheet'!$A:$AR,44,FALSE),"")&amp;""</f>
        <v>Expired 2022</v>
      </c>
      <c r="P522" s="685"/>
      <c r="Q522" s="29" t="s">
        <v>1556</v>
      </c>
      <c r="R522" s="873" t="s">
        <v>1602</v>
      </c>
      <c r="S522" s="664"/>
      <c r="T522" s="664"/>
      <c r="U522" s="664"/>
      <c r="V522" s="664"/>
      <c r="W522" s="664"/>
      <c r="X522" s="664"/>
      <c r="Y522" s="664"/>
      <c r="Z522" s="664"/>
    </row>
    <row r="523" spans="1:27" ht="47.25" customHeight="1" outlineLevel="1" x14ac:dyDescent="0.25">
      <c r="A523" s="1603"/>
      <c r="B523" s="1603"/>
      <c r="C523" s="669" t="str">
        <f>INDEX('Master sheet'!$A$1:$A$670,MATCH(180,'Master sheet'!$AN$1:$AN$670,0))</f>
        <v xml:space="preserve">SBS Modified Bitumen Roofing / ARMA / Includes: CertainTeed, Firestone, GAF, Henry, IKO, Johns Mansville, Malarkey, Siplast, Soprema / </v>
      </c>
      <c r="D523" s="15">
        <f>'USER INPUT SHEET'!$D$55</f>
        <v>0</v>
      </c>
      <c r="E523" s="16" t="str">
        <f>'USER INPUT SHEET'!$F$37</f>
        <v>m2</v>
      </c>
      <c r="F523" s="3">
        <v>1</v>
      </c>
      <c r="G523" s="670"/>
      <c r="H523" s="8"/>
      <c r="I523" s="92">
        <f>K523-L523</f>
        <v>0</v>
      </c>
      <c r="J523" s="93" t="str">
        <f>IF(H523=1,I523,"")</f>
        <v/>
      </c>
      <c r="K523" s="406">
        <f>$D523*$F523*VLOOKUP($C523,'Master sheet'!$A:$AL,13,FALSE)</f>
        <v>0</v>
      </c>
      <c r="L523" s="94">
        <f>$D523*$F523*VLOOKUP($C523,'Master sheet'!$A:$AL,27,FALSE)</f>
        <v>0</v>
      </c>
      <c r="M523" s="1552"/>
      <c r="N523" s="1552"/>
      <c r="O523" s="25" t="str">
        <f ca="1">_xlfn.IFNA(VLOOKUP($C523,'Master sheet'!$A:$AR,44,FALSE),"")&amp;""</f>
        <v>Expired 2021</v>
      </c>
      <c r="P523" s="685"/>
      <c r="Q523" s="29" t="s">
        <v>1556</v>
      </c>
      <c r="R523" s="873" t="s">
        <v>1602</v>
      </c>
      <c r="S523" s="664"/>
      <c r="T523" s="664"/>
      <c r="U523" s="664"/>
      <c r="V523" s="664"/>
      <c r="W523" s="664"/>
      <c r="X523" s="664"/>
      <c r="Y523" s="664"/>
      <c r="Z523" s="664"/>
    </row>
    <row r="524" spans="1:27" ht="31.2" outlineLevel="1" x14ac:dyDescent="0.25">
      <c r="A524" s="1603"/>
      <c r="B524" s="1603"/>
      <c r="C524" s="669" t="str">
        <f>INDEX('Master sheet'!$A$1:$A$670,MATCH(172,'Master sheet'!$AN$1:$AN$670,0))</f>
        <v>PVC Roofing Membrane / CIFA / Includes: Canadian General-Tower, Duro-Last, FiberTite / 48 mils</v>
      </c>
      <c r="D524" s="15">
        <f>'USER INPUT SHEET'!$D$55</f>
        <v>0</v>
      </c>
      <c r="E524" s="16" t="str">
        <f>'USER INPUT SHEET'!$F$37</f>
        <v>m2</v>
      </c>
      <c r="F524" s="3">
        <v>1</v>
      </c>
      <c r="G524" s="670"/>
      <c r="H524" s="8"/>
      <c r="I524" s="92">
        <f>K524-L524</f>
        <v>0</v>
      </c>
      <c r="J524" s="93" t="str">
        <f>IF(H524=1,I524,"")</f>
        <v/>
      </c>
      <c r="K524" s="406">
        <f>$D524*$F524*VLOOKUP($C524,'Master sheet'!$A:$AL,13,FALSE)</f>
        <v>0</v>
      </c>
      <c r="L524" s="94">
        <f>$D524*$F524*VLOOKUP($C524,'Master sheet'!$A:$AL,27,FALSE)</f>
        <v>0</v>
      </c>
      <c r="M524" s="1552"/>
      <c r="N524" s="1552"/>
      <c r="O524" s="25" t="str">
        <f ca="1">_xlfn.IFNA(VLOOKUP($C524,'Master sheet'!$A:$AR,44,FALSE),"")&amp;""</f>
        <v>Expired 2019</v>
      </c>
      <c r="P524" s="685"/>
      <c r="Q524" s="29" t="s">
        <v>1556</v>
      </c>
      <c r="R524" s="873" t="s">
        <v>1602</v>
      </c>
      <c r="S524" s="664"/>
      <c r="T524" s="664"/>
      <c r="U524" s="664"/>
      <c r="V524" s="664"/>
      <c r="W524" s="664"/>
      <c r="X524" s="664"/>
      <c r="Y524" s="664"/>
      <c r="Z524" s="664"/>
    </row>
    <row r="525" spans="1:27" ht="22.8" outlineLevel="1" x14ac:dyDescent="0.25">
      <c r="A525" s="1603"/>
      <c r="B525" s="1603"/>
      <c r="C525" s="673" t="str">
        <f>INDEX('Master sheet'!$A$1:$A$670,MATCH("A116",'Master sheet'!$AN$1:$AN$670,0))</f>
        <v>TPO Roofing Membrane / Carlisle / Sure-Weld / 60 mils</v>
      </c>
      <c r="D525" s="15">
        <f>'USER INPUT SHEET'!$D$55</f>
        <v>0</v>
      </c>
      <c r="E525" s="18" t="str">
        <f>'USER INPUT SHEET'!$F$37</f>
        <v>m2</v>
      </c>
      <c r="F525" s="4">
        <v>1</v>
      </c>
      <c r="G525" s="674"/>
      <c r="H525" s="9"/>
      <c r="I525" s="95">
        <f t="shared" ref="I525:I527" si="196">K525-L525</f>
        <v>0</v>
      </c>
      <c r="J525" s="96" t="str">
        <f t="shared" ref="J525:J527" si="197">IF(H525=1,I525,"")</f>
        <v/>
      </c>
      <c r="K525" s="407">
        <f>$D525*$F525*VLOOKUP($C525,'Master sheet'!$A:$AL,13,FALSE)</f>
        <v>0</v>
      </c>
      <c r="L525" s="97">
        <f>$D525*$F525*VLOOKUP($C525,'Master sheet'!$A:$AL,27,FALSE)</f>
        <v>0</v>
      </c>
      <c r="M525" s="1552"/>
      <c r="N525" s="1552"/>
      <c r="O525" s="25" t="str">
        <f>_xlfn.IFNA(VLOOKUP($C525,'Master sheet'!$A:$AR,44,FALSE),"")&amp;""</f>
        <v/>
      </c>
      <c r="P525" s="637"/>
      <c r="Q525" s="29" t="s">
        <v>1556</v>
      </c>
      <c r="R525" s="873" t="s">
        <v>1602</v>
      </c>
      <c r="S525" s="664"/>
      <c r="T525" s="664"/>
      <c r="U525" s="664"/>
      <c r="V525" s="664"/>
      <c r="W525" s="664"/>
      <c r="X525" s="664"/>
      <c r="Y525" s="664"/>
      <c r="Z525" s="664"/>
    </row>
    <row r="526" spans="1:27" ht="22.8" outlineLevel="1" x14ac:dyDescent="0.25">
      <c r="A526" s="1603"/>
      <c r="B526" s="1603"/>
      <c r="C526" s="673" t="str">
        <f>INDEX('Master sheet'!$A$1:$A$670,MATCH("A117",'Master sheet'!$AN$1:$AN$670,0))</f>
        <v>TPO roofing membrane / Single Ply Roofing Industry /  / 45 mils</v>
      </c>
      <c r="D526" s="15">
        <f>'USER INPUT SHEET'!$D$55</f>
        <v>0</v>
      </c>
      <c r="E526" s="18" t="str">
        <f>'USER INPUT SHEET'!$F$37</f>
        <v>m2</v>
      </c>
      <c r="F526" s="4">
        <v>1</v>
      </c>
      <c r="G526" s="674"/>
      <c r="H526" s="9"/>
      <c r="I526" s="95">
        <f t="shared" si="196"/>
        <v>0</v>
      </c>
      <c r="J526" s="96" t="str">
        <f t="shared" si="197"/>
        <v/>
      </c>
      <c r="K526" s="407">
        <f>$D526*$F526*VLOOKUP($C526,'Master sheet'!$A:$AL,13,FALSE)</f>
        <v>0</v>
      </c>
      <c r="L526" s="97">
        <f>$D526*$F526*VLOOKUP($C526,'Master sheet'!$A:$AL,27,FALSE)</f>
        <v>0</v>
      </c>
      <c r="M526" s="1552"/>
      <c r="N526" s="1552"/>
      <c r="O526" s="25" t="str">
        <f>_xlfn.IFNA(VLOOKUP($C526,'Master sheet'!$A:$AR,44,FALSE),"")&amp;""</f>
        <v/>
      </c>
      <c r="P526" s="637"/>
      <c r="Q526" s="29" t="s">
        <v>1556</v>
      </c>
      <c r="R526" s="873" t="s">
        <v>1602</v>
      </c>
      <c r="S526" s="664"/>
      <c r="T526" s="664"/>
      <c r="U526" s="664"/>
      <c r="V526" s="664"/>
      <c r="W526" s="664"/>
      <c r="X526" s="664"/>
      <c r="Y526" s="664"/>
      <c r="Z526" s="664"/>
    </row>
    <row r="527" spans="1:27" ht="22.8" outlineLevel="1" x14ac:dyDescent="0.25">
      <c r="A527" s="1603"/>
      <c r="B527" s="1603"/>
      <c r="C527" s="673" t="str">
        <f>INDEX('Master sheet'!$A$1:$A$670,MATCH("A118",'Master sheet'!$AN$1:$AN$670,0))</f>
        <v>TPO roofing membrane / Single Ply Roofing Industry /  / 60 mils</v>
      </c>
      <c r="D527" s="17">
        <f>'USER INPUT SHEET'!$D$55</f>
        <v>0</v>
      </c>
      <c r="E527" s="18" t="str">
        <f>'USER INPUT SHEET'!$F$37</f>
        <v>m2</v>
      </c>
      <c r="F527" s="4">
        <v>1</v>
      </c>
      <c r="G527" s="674"/>
      <c r="H527" s="9"/>
      <c r="I527" s="95">
        <f t="shared" si="196"/>
        <v>0</v>
      </c>
      <c r="J527" s="96" t="str">
        <f t="shared" si="197"/>
        <v/>
      </c>
      <c r="K527" s="407">
        <f>$D527*$F527*VLOOKUP($C527,'Master sheet'!$A:$AL,13,FALSE)</f>
        <v>0</v>
      </c>
      <c r="L527" s="97">
        <f>$D527*$F527*VLOOKUP($C527,'Master sheet'!$A:$AL,27,FALSE)</f>
        <v>0</v>
      </c>
      <c r="M527" s="1610"/>
      <c r="N527" s="1610"/>
      <c r="O527" s="25" t="str">
        <f>_xlfn.IFNA(VLOOKUP($C527,'Master sheet'!$A:$AR,44,FALSE),"")&amp;""</f>
        <v/>
      </c>
      <c r="P527" s="637"/>
      <c r="Q527" s="29" t="s">
        <v>1556</v>
      </c>
      <c r="R527" s="873" t="s">
        <v>1602</v>
      </c>
      <c r="S527" s="664"/>
      <c r="T527" s="664"/>
      <c r="U527" s="664"/>
      <c r="V527" s="664"/>
      <c r="W527" s="664"/>
      <c r="X527" s="664"/>
      <c r="Y527" s="664"/>
      <c r="Z527" s="664"/>
    </row>
    <row r="528" spans="1:27" ht="23.25" customHeight="1" outlineLevel="1" x14ac:dyDescent="0.3">
      <c r="A528" s="686"/>
      <c r="B528" s="1541" t="s">
        <v>4592</v>
      </c>
      <c r="C528" s="1530"/>
      <c r="D528" s="656"/>
      <c r="E528" s="657"/>
      <c r="F528" s="339"/>
      <c r="G528" s="724"/>
      <c r="H528" s="763"/>
      <c r="I528" s="658"/>
      <c r="J528" s="659"/>
      <c r="K528" s="660"/>
      <c r="L528" s="661"/>
      <c r="M528" s="677"/>
      <c r="N528" s="677"/>
      <c r="O528" s="25" t="str">
        <f>_xlfn.IFNA(VLOOKUP($C528,'Master sheet'!$A:$AR,44,FALSE),"")&amp;""</f>
        <v/>
      </c>
      <c r="P528" s="685"/>
      <c r="Q528" s="852"/>
      <c r="R528" s="852"/>
      <c r="S528" s="664"/>
      <c r="T528" s="664"/>
      <c r="U528" s="664"/>
      <c r="V528" s="664"/>
      <c r="W528" s="664"/>
      <c r="X528" s="664"/>
      <c r="Y528" s="664"/>
      <c r="Z528" s="664"/>
      <c r="AA528" s="664"/>
    </row>
    <row r="529" spans="1:27" ht="22.8" outlineLevel="1" x14ac:dyDescent="0.25">
      <c r="A529" s="1576"/>
      <c r="B529" s="1576"/>
      <c r="C529" s="691" t="s">
        <v>4765</v>
      </c>
      <c r="D529" s="19">
        <f>'USER INPUT SHEET'!$D$55</f>
        <v>0</v>
      </c>
      <c r="E529" s="20" t="str">
        <f>'USER INPUT SHEET'!$F$37</f>
        <v>m2</v>
      </c>
      <c r="F529" s="6">
        <v>1</v>
      </c>
      <c r="G529" s="692"/>
      <c r="H529" s="10"/>
      <c r="I529" s="98">
        <f>K529-L529</f>
        <v>0</v>
      </c>
      <c r="J529" s="91" t="str">
        <f>IF(H529=1,I529,"")</f>
        <v/>
      </c>
      <c r="K529" s="410">
        <f>F529*AVERAGE(K530:K532)</f>
        <v>0</v>
      </c>
      <c r="L529" s="99">
        <f>F529*AVERAGE(L530:L532)</f>
        <v>0</v>
      </c>
      <c r="M529" s="1552"/>
      <c r="N529" s="1552"/>
      <c r="O529" s="25" t="str">
        <f>_xlfn.IFNA(VLOOKUP($C529,'Master sheet'!$A:$AR,44,FALSE),"")&amp;""</f>
        <v/>
      </c>
      <c r="P529" s="685"/>
      <c r="Q529" s="29" t="s">
        <v>1556</v>
      </c>
      <c r="R529" s="873" t="s">
        <v>1602</v>
      </c>
      <c r="S529" s="664"/>
      <c r="T529" s="664"/>
      <c r="U529" s="664"/>
      <c r="V529" s="664"/>
      <c r="W529" s="664"/>
      <c r="X529" s="664"/>
      <c r="Y529" s="664"/>
      <c r="Z529" s="664"/>
      <c r="AA529" s="664"/>
    </row>
    <row r="530" spans="1:27" ht="33.75" customHeight="1" outlineLevel="1" x14ac:dyDescent="0.25">
      <c r="A530" s="1576"/>
      <c r="B530" s="1576"/>
      <c r="C530" s="669" t="str">
        <f>INDEX('Master sheet'!$A$1:$A$670,MATCH("A163",'Master sheet'!$AN$1:$AN$670,0))</f>
        <v>Ext. Roof Barrier, sheet / Rothoblaas / Traspir Weld EVO 360 / 17.5 Perms / 1.0 mm</v>
      </c>
      <c r="D530" s="15">
        <f>'USER INPUT SHEET'!$D$55</f>
        <v>0</v>
      </c>
      <c r="E530" s="16" t="str">
        <f>'USER INPUT SHEET'!$F$37</f>
        <v>m2</v>
      </c>
      <c r="F530" s="3">
        <v>1</v>
      </c>
      <c r="G530" s="670"/>
      <c r="H530" s="8"/>
      <c r="I530" s="92">
        <f t="shared" ref="I530:I536" si="198">K530-L530</f>
        <v>0</v>
      </c>
      <c r="J530" s="93" t="str">
        <f t="shared" ref="J530:J536" si="199">IF(H530=1,I530,"")</f>
        <v/>
      </c>
      <c r="K530" s="406">
        <f>$D530*$F530*VLOOKUP($C530,'Master sheet'!$A:$AL,13,FALSE)</f>
        <v>0</v>
      </c>
      <c r="L530" s="94">
        <f>$D530*$F530*VLOOKUP($C530,'Master sheet'!$A:$AL,27,FALSE)</f>
        <v>0</v>
      </c>
      <c r="M530" s="1552"/>
      <c r="N530" s="1552"/>
      <c r="O530" s="25" t="str">
        <f>_xlfn.IFNA(VLOOKUP($C530,'Master sheet'!$A:$AR,44,FALSE),"")&amp;""</f>
        <v/>
      </c>
      <c r="P530" s="707"/>
      <c r="Q530" s="29" t="s">
        <v>1556</v>
      </c>
      <c r="R530" s="873" t="s">
        <v>1602</v>
      </c>
      <c r="S530" s="664"/>
      <c r="T530" s="664"/>
      <c r="U530" s="664"/>
      <c r="V530" s="664"/>
      <c r="W530" s="664"/>
      <c r="X530" s="664"/>
      <c r="Y530" s="664"/>
      <c r="Z530" s="664"/>
      <c r="AA530" s="664"/>
    </row>
    <row r="531" spans="1:27" ht="33.75" customHeight="1" outlineLevel="1" x14ac:dyDescent="0.25">
      <c r="A531" s="1576"/>
      <c r="B531" s="1576"/>
      <c r="C531" s="669" t="str">
        <f>INDEX('Master sheet'!$A$1:$A$670,MATCH("A166",'Master sheet'!$AN$1:$AN$670,0))</f>
        <v xml:space="preserve">Ext. Wall &amp; Roof Barrier, sheet / Dupont / Tyvek Monolayer 60 / Permeable / </v>
      </c>
      <c r="D531" s="15">
        <f>'USER INPUT SHEET'!$D$55</f>
        <v>0</v>
      </c>
      <c r="E531" s="16" t="str">
        <f>'USER INPUT SHEET'!$F$37</f>
        <v>m2</v>
      </c>
      <c r="F531" s="3">
        <v>1</v>
      </c>
      <c r="G531" s="670"/>
      <c r="H531" s="8"/>
      <c r="I531" s="92">
        <f t="shared" si="198"/>
        <v>0</v>
      </c>
      <c r="J531" s="93" t="str">
        <f t="shared" si="199"/>
        <v/>
      </c>
      <c r="K531" s="406">
        <f>$D531*$F531*VLOOKUP($C531,'Master sheet'!$A:$AL,13,FALSE)</f>
        <v>0</v>
      </c>
      <c r="L531" s="94">
        <f>$D531*$F531*VLOOKUP($C531,'Master sheet'!$A:$AL,27,FALSE)</f>
        <v>0</v>
      </c>
      <c r="M531" s="1552"/>
      <c r="N531" s="1552"/>
      <c r="O531" s="25" t="str">
        <f>_xlfn.IFNA(VLOOKUP($C531,'Master sheet'!$A:$AR,44,FALSE),"")&amp;""</f>
        <v/>
      </c>
      <c r="P531" s="707"/>
      <c r="Q531" s="29" t="s">
        <v>1556</v>
      </c>
      <c r="R531" s="873" t="s">
        <v>1602</v>
      </c>
      <c r="S531" s="664"/>
      <c r="T531" s="664"/>
      <c r="U531" s="664"/>
      <c r="V531" s="664"/>
      <c r="W531" s="664"/>
      <c r="X531" s="664"/>
      <c r="Y531" s="664"/>
      <c r="Z531" s="664"/>
      <c r="AA531" s="664"/>
    </row>
    <row r="532" spans="1:27" s="624" customFormat="1" ht="31.2" outlineLevel="1" x14ac:dyDescent="0.25">
      <c r="A532" s="1576"/>
      <c r="B532" s="1576"/>
      <c r="C532" s="669" t="str">
        <f>INDEX('Master sheet'!$A$1:$A$670,MATCH("A167",'Master sheet'!$AN$1:$AN$670,0))</f>
        <v xml:space="preserve">Ext. Wall &amp; Roof Barrier, sheet / Partel / Exoperm Mono 150 / Permeable / </v>
      </c>
      <c r="D532" s="15">
        <f>'USER INPUT SHEET'!$D$55</f>
        <v>0</v>
      </c>
      <c r="E532" s="16" t="str">
        <f>'USER INPUT SHEET'!$F$37</f>
        <v>m2</v>
      </c>
      <c r="F532" s="3">
        <v>1</v>
      </c>
      <c r="G532" s="670"/>
      <c r="H532" s="8"/>
      <c r="I532" s="92">
        <f t="shared" si="198"/>
        <v>0</v>
      </c>
      <c r="J532" s="93" t="str">
        <f t="shared" si="199"/>
        <v/>
      </c>
      <c r="K532" s="406">
        <f>$D532*$F532*VLOOKUP($C532,'Master sheet'!$A:$AL,13,FALSE)</f>
        <v>0</v>
      </c>
      <c r="L532" s="94">
        <f>$D532*$F532*VLOOKUP($C532,'Master sheet'!$A:$AL,27,FALSE)</f>
        <v>0</v>
      </c>
      <c r="M532" s="1552"/>
      <c r="N532" s="1552"/>
      <c r="O532" s="25" t="str">
        <f>_xlfn.IFNA(VLOOKUP($C532,'Master sheet'!$A:$AR,44,FALSE),"")&amp;""</f>
        <v/>
      </c>
      <c r="P532" s="707"/>
      <c r="Q532" s="29" t="s">
        <v>1556</v>
      </c>
      <c r="R532" s="873" t="s">
        <v>1602</v>
      </c>
      <c r="S532" s="664"/>
      <c r="T532" s="664"/>
      <c r="U532" s="664"/>
      <c r="V532" s="638"/>
      <c r="W532" s="638"/>
      <c r="X532" s="638"/>
      <c r="Y532" s="638"/>
      <c r="Z532" s="638"/>
      <c r="AA532" s="664"/>
    </row>
    <row r="533" spans="1:27" s="624" customFormat="1" ht="31.2" outlineLevel="1" x14ac:dyDescent="0.25">
      <c r="A533" s="744"/>
      <c r="B533" s="744"/>
      <c r="C533" s="669" t="str">
        <f>INDEX('Master sheet'!$A$1:$A$670,MATCH("A158",'Master sheet'!$AN$1:$AN$670,0))</f>
        <v>Ext. &amp; Int. Wall &amp; Roof Barrier, sheet / Rothoblaas / Clima Control Net 160 / Moisture-variable / 0.5 mm</v>
      </c>
      <c r="D533" s="15">
        <f>'USER INPUT SHEET'!$D$55</f>
        <v>0</v>
      </c>
      <c r="E533" s="16" t="str">
        <f>'USER INPUT SHEET'!$F$37</f>
        <v>m2</v>
      </c>
      <c r="F533" s="3">
        <v>1</v>
      </c>
      <c r="G533" s="670"/>
      <c r="H533" s="8"/>
      <c r="I533" s="92">
        <f t="shared" si="198"/>
        <v>0</v>
      </c>
      <c r="J533" s="93" t="str">
        <f t="shared" si="199"/>
        <v/>
      </c>
      <c r="K533" s="406">
        <f>$D533*$F533*VLOOKUP($C533,'Master sheet'!$A:$AL,13,FALSE)</f>
        <v>0</v>
      </c>
      <c r="L533" s="94">
        <f>$D533*$F533*VLOOKUP($C533,'Master sheet'!$A:$AL,27,FALSE)</f>
        <v>0</v>
      </c>
      <c r="M533" s="1552"/>
      <c r="N533" s="1552"/>
      <c r="O533" s="25" t="str">
        <f>_xlfn.IFNA(VLOOKUP($C533,'Master sheet'!$A:$AR,44,FALSE),"")&amp;""</f>
        <v/>
      </c>
      <c r="P533" s="707"/>
      <c r="Q533" s="29" t="s">
        <v>1556</v>
      </c>
      <c r="R533" s="873" t="s">
        <v>1602</v>
      </c>
      <c r="S533" s="664"/>
      <c r="T533" s="664"/>
      <c r="U533" s="664"/>
      <c r="V533" s="638"/>
      <c r="W533" s="638"/>
      <c r="X533" s="638"/>
      <c r="Y533" s="638"/>
      <c r="Z533" s="638"/>
      <c r="AA533" s="664"/>
    </row>
    <row r="534" spans="1:27" s="624" customFormat="1" ht="31.2" outlineLevel="1" x14ac:dyDescent="0.25">
      <c r="A534" s="744"/>
      <c r="B534" s="744"/>
      <c r="C534" s="669" t="str">
        <f>INDEX('Master sheet'!$A$1:$A$670,MATCH("A159",'Master sheet'!$AN$1:$AN$670,0))</f>
        <v>Ext. &amp; Int. Wall &amp; Roof Barrier, sheet / Rothoblaas / Traspir EVO 160 / 12.3 Perms / 0.5 mm</v>
      </c>
      <c r="D534" s="15">
        <f>'USER INPUT SHEET'!$D$55</f>
        <v>0</v>
      </c>
      <c r="E534" s="16" t="str">
        <f>'USER INPUT SHEET'!$F$37</f>
        <v>m2</v>
      </c>
      <c r="F534" s="3">
        <v>1</v>
      </c>
      <c r="G534" s="670"/>
      <c r="H534" s="8"/>
      <c r="I534" s="92">
        <f t="shared" si="198"/>
        <v>0</v>
      </c>
      <c r="J534" s="93" t="str">
        <f t="shared" si="199"/>
        <v/>
      </c>
      <c r="K534" s="406">
        <f>$D534*$F534*VLOOKUP($C534,'Master sheet'!$A:$AL,13,FALSE)</f>
        <v>0</v>
      </c>
      <c r="L534" s="94">
        <f>$D534*$F534*VLOOKUP($C534,'Master sheet'!$A:$AL,27,FALSE)</f>
        <v>0</v>
      </c>
      <c r="M534" s="1552"/>
      <c r="N534" s="1552"/>
      <c r="O534" s="25" t="str">
        <f>_xlfn.IFNA(VLOOKUP($C534,'Master sheet'!$A:$AR,44,FALSE),"")&amp;""</f>
        <v/>
      </c>
      <c r="P534" s="707"/>
      <c r="Q534" s="29" t="s">
        <v>1556</v>
      </c>
      <c r="R534" s="873" t="s">
        <v>1602</v>
      </c>
      <c r="S534" s="664"/>
      <c r="T534" s="664"/>
      <c r="U534" s="664"/>
      <c r="V534" s="638"/>
      <c r="W534" s="638"/>
      <c r="X534" s="638"/>
      <c r="Y534" s="638"/>
      <c r="Z534" s="638"/>
      <c r="AA534" s="664"/>
    </row>
    <row r="535" spans="1:27" s="624" customFormat="1" ht="31.2" outlineLevel="1" x14ac:dyDescent="0.25">
      <c r="A535" s="744"/>
      <c r="B535" s="744"/>
      <c r="C535" s="669" t="str">
        <f>INDEX('Master sheet'!$A$1:$A$670,MATCH("A160",'Master sheet'!$AN$1:$AN$670,0))</f>
        <v>Ext. &amp; Int. Wall &amp; Roof Barrier, sheet / Rothoblaas / Traspir Vapor 225 / Non-permeable / 0.8 mm</v>
      </c>
      <c r="D535" s="15">
        <f>'USER INPUT SHEET'!$D$55</f>
        <v>0</v>
      </c>
      <c r="E535" s="16" t="str">
        <f>'USER INPUT SHEET'!$F$37</f>
        <v>m2</v>
      </c>
      <c r="F535" s="3">
        <v>1</v>
      </c>
      <c r="G535" s="670"/>
      <c r="H535" s="8"/>
      <c r="I535" s="92">
        <f t="shared" si="198"/>
        <v>0</v>
      </c>
      <c r="J535" s="93" t="str">
        <f t="shared" si="199"/>
        <v/>
      </c>
      <c r="K535" s="406">
        <f>$D535*$F535*VLOOKUP($C535,'Master sheet'!$A:$AL,13,FALSE)</f>
        <v>0</v>
      </c>
      <c r="L535" s="94">
        <f>$D535*$F535*VLOOKUP($C535,'Master sheet'!$A:$AL,27,FALSE)</f>
        <v>0</v>
      </c>
      <c r="M535" s="1552"/>
      <c r="N535" s="1552"/>
      <c r="O535" s="25" t="str">
        <f>_xlfn.IFNA(VLOOKUP($C535,'Master sheet'!$A:$AR,44,FALSE),"")&amp;""</f>
        <v/>
      </c>
      <c r="P535" s="707"/>
      <c r="Q535" s="29" t="s">
        <v>1556</v>
      </c>
      <c r="R535" s="873" t="s">
        <v>1602</v>
      </c>
      <c r="S535" s="664"/>
      <c r="T535" s="664"/>
      <c r="U535" s="664"/>
      <c r="V535" s="638"/>
      <c r="W535" s="638"/>
      <c r="X535" s="638"/>
      <c r="Y535" s="638"/>
      <c r="Z535" s="638"/>
      <c r="AA535" s="664"/>
    </row>
    <row r="536" spans="1:27" s="624" customFormat="1" ht="31.2" outlineLevel="1" x14ac:dyDescent="0.25">
      <c r="A536" s="744"/>
      <c r="B536" s="744"/>
      <c r="C536" s="669" t="str">
        <f>INDEX('Master sheet'!$A$1:$A$670,MATCH("A164",'Master sheet'!$AN$1:$AN$670,0))</f>
        <v xml:space="preserve">Ext. Wall &amp; Roof Barrier, adhesive / Partel / Exoperm Mono SA 250 / Permeable / </v>
      </c>
      <c r="D536" s="15">
        <f>'USER INPUT SHEET'!$D$55</f>
        <v>0</v>
      </c>
      <c r="E536" s="16" t="str">
        <f>'USER INPUT SHEET'!$F$37</f>
        <v>m2</v>
      </c>
      <c r="F536" s="3">
        <v>1</v>
      </c>
      <c r="G536" s="670"/>
      <c r="H536" s="8"/>
      <c r="I536" s="92">
        <f t="shared" si="198"/>
        <v>0</v>
      </c>
      <c r="J536" s="93" t="str">
        <f t="shared" si="199"/>
        <v/>
      </c>
      <c r="K536" s="406">
        <f>$D536*$F536*VLOOKUP($C536,'Master sheet'!$A:$AL,13,FALSE)</f>
        <v>0</v>
      </c>
      <c r="L536" s="94">
        <f>$D536*$F536*VLOOKUP($C536,'Master sheet'!$A:$AL,27,FALSE)</f>
        <v>0</v>
      </c>
      <c r="M536" s="1552"/>
      <c r="N536" s="1552"/>
      <c r="O536" s="25" t="str">
        <f>_xlfn.IFNA(VLOOKUP($C536,'Master sheet'!$A:$AR,44,FALSE),"")&amp;""</f>
        <v/>
      </c>
      <c r="P536" s="707"/>
      <c r="Q536" s="29" t="s">
        <v>1556</v>
      </c>
      <c r="R536" s="873" t="s">
        <v>1602</v>
      </c>
      <c r="S536" s="664"/>
      <c r="T536" s="664"/>
      <c r="U536" s="664"/>
      <c r="V536" s="638"/>
      <c r="W536" s="638"/>
      <c r="X536" s="638"/>
      <c r="Y536" s="638"/>
      <c r="Z536" s="638"/>
      <c r="AA536" s="664"/>
    </row>
    <row r="537" spans="1:27" ht="23.25" customHeight="1" outlineLevel="1" x14ac:dyDescent="0.3">
      <c r="A537" s="686"/>
      <c r="B537" s="1541" t="s">
        <v>4593</v>
      </c>
      <c r="C537" s="1530"/>
      <c r="D537" s="656"/>
      <c r="E537" s="657"/>
      <c r="F537" s="339"/>
      <c r="G537" s="724"/>
      <c r="H537" s="763"/>
      <c r="I537" s="658"/>
      <c r="J537" s="659"/>
      <c r="K537" s="660"/>
      <c r="L537" s="661"/>
      <c r="M537" s="677"/>
      <c r="N537" s="677"/>
      <c r="O537" s="25" t="str">
        <f>_xlfn.IFNA(VLOOKUP($C537,'Master sheet'!$A:$AR,44,FALSE),"")&amp;""</f>
        <v/>
      </c>
      <c r="P537" s="685"/>
      <c r="Q537" s="852"/>
      <c r="R537" s="852"/>
      <c r="S537" s="664"/>
      <c r="T537" s="664"/>
      <c r="U537" s="664"/>
      <c r="V537" s="664"/>
      <c r="W537" s="664"/>
      <c r="X537" s="664"/>
      <c r="Y537" s="664"/>
      <c r="Z537" s="664"/>
      <c r="AA537" s="664"/>
    </row>
    <row r="538" spans="1:27" ht="22.8" outlineLevel="1" x14ac:dyDescent="0.25">
      <c r="A538" s="729"/>
      <c r="B538" s="624"/>
      <c r="C538" s="691" t="s">
        <v>4766</v>
      </c>
      <c r="D538" s="19">
        <f>'USER INPUT SHEET'!$D$55</f>
        <v>0</v>
      </c>
      <c r="E538" s="20" t="str">
        <f>'USER INPUT SHEET'!$F$37</f>
        <v>m2</v>
      </c>
      <c r="F538" s="6">
        <v>1</v>
      </c>
      <c r="G538" s="692"/>
      <c r="H538" s="10"/>
      <c r="I538" s="98">
        <f>K538-L538</f>
        <v>0</v>
      </c>
      <c r="J538" s="91" t="str">
        <f>IF(H538=1,I538,"")</f>
        <v/>
      </c>
      <c r="K538" s="410">
        <f>F538*AVERAGE(K539:K540)</f>
        <v>0</v>
      </c>
      <c r="L538" s="99">
        <f>F538*AVERAGE(L539:L540)</f>
        <v>0</v>
      </c>
      <c r="M538" s="1552"/>
      <c r="N538" s="1552"/>
      <c r="O538" s="25" t="str">
        <f>_xlfn.IFNA(VLOOKUP($C538,'Master sheet'!$A:$AR,44,FALSE),"")&amp;""</f>
        <v/>
      </c>
      <c r="P538" s="685"/>
      <c r="Q538" s="29" t="s">
        <v>1556</v>
      </c>
      <c r="R538" s="873" t="s">
        <v>1602</v>
      </c>
      <c r="S538" s="664"/>
      <c r="T538" s="664"/>
      <c r="U538" s="664"/>
      <c r="V538" s="664"/>
      <c r="W538" s="664"/>
      <c r="X538" s="664"/>
      <c r="Y538" s="664"/>
      <c r="Z538" s="664"/>
      <c r="AA538" s="638"/>
    </row>
    <row r="539" spans="1:27" ht="33.75" customHeight="1" outlineLevel="1" x14ac:dyDescent="0.25">
      <c r="A539" s="638"/>
      <c r="B539" s="853"/>
      <c r="C539" s="669" t="str">
        <f>INDEX('Master sheet'!$A$1:$A$670,MATCH("A165",'Master sheet'!$AN$1:$AN$670,0))</f>
        <v>Ext. Wall &amp; Roof Barrier, liquid applied / Carlisle / Barrithane VP / 11.1 Perms / 40 mils</v>
      </c>
      <c r="D539" s="15">
        <f>'USER INPUT SHEET'!$D$55</f>
        <v>0</v>
      </c>
      <c r="E539" s="16" t="str">
        <f>'USER INPUT SHEET'!$F$37</f>
        <v>m2</v>
      </c>
      <c r="F539" s="3">
        <v>1</v>
      </c>
      <c r="G539" s="670"/>
      <c r="H539" s="8"/>
      <c r="I539" s="92">
        <f t="shared" ref="I539:I540" si="200">K539-L539</f>
        <v>0</v>
      </c>
      <c r="J539" s="93" t="str">
        <f t="shared" ref="J539:J540" si="201">IF(H539=1,I539,"")</f>
        <v/>
      </c>
      <c r="K539" s="406">
        <f>$D539*$F539*VLOOKUP($C539,'Master sheet'!$A:$AL,13,FALSE)</f>
        <v>0</v>
      </c>
      <c r="L539" s="94">
        <f>$D539*$F539*VLOOKUP($C539,'Master sheet'!$A:$AL,27,FALSE)</f>
        <v>0</v>
      </c>
      <c r="M539" s="1552"/>
      <c r="N539" s="1552"/>
      <c r="O539" s="25" t="str">
        <f>_xlfn.IFNA(VLOOKUP($C539,'Master sheet'!$A:$AR,44,FALSE),"")&amp;""</f>
        <v/>
      </c>
      <c r="P539" s="707"/>
      <c r="Q539" s="29" t="s">
        <v>1556</v>
      </c>
      <c r="R539" s="873" t="s">
        <v>1602</v>
      </c>
      <c r="S539" s="664"/>
      <c r="T539" s="664"/>
      <c r="U539" s="664"/>
      <c r="V539" s="664"/>
      <c r="W539" s="664"/>
      <c r="X539" s="664"/>
      <c r="Y539" s="664"/>
      <c r="Z539" s="664"/>
      <c r="AA539" s="664"/>
    </row>
    <row r="540" spans="1:27" s="624" customFormat="1" ht="23.25" customHeight="1" outlineLevel="1" x14ac:dyDescent="0.25">
      <c r="A540"/>
      <c r="B540"/>
      <c r="C540" s="669" t="str">
        <f>INDEX('Master sheet'!$A$1:$A$670,MATCH("A179",'Master sheet'!$AN$1:$AN$670,0))</f>
        <v xml:space="preserve">Ext. Waterproofing Barrier, adhesive / Carlisle / MiraPLY V / </v>
      </c>
      <c r="D540" s="15">
        <f>'USER INPUT SHEET'!$D$55</f>
        <v>0</v>
      </c>
      <c r="E540" s="16" t="str">
        <f>'USER INPUT SHEET'!$F$37</f>
        <v>m2</v>
      </c>
      <c r="F540" s="3">
        <v>1</v>
      </c>
      <c r="G540" s="670"/>
      <c r="H540" s="8"/>
      <c r="I540" s="92">
        <f t="shared" si="200"/>
        <v>0</v>
      </c>
      <c r="J540" s="93" t="str">
        <f t="shared" si="201"/>
        <v/>
      </c>
      <c r="K540" s="406">
        <f>$D540*$F540*VLOOKUP($C540,'Master sheet'!$A:$AL,13,FALSE)</f>
        <v>0</v>
      </c>
      <c r="L540" s="94">
        <f>$D540*$F540*VLOOKUP($C540,'Master sheet'!$A:$AL,27,FALSE)</f>
        <v>0</v>
      </c>
      <c r="M540" s="1552"/>
      <c r="N540" s="1552"/>
      <c r="O540" s="25" t="str">
        <f>_xlfn.IFNA(VLOOKUP($C540,'Master sheet'!$A:$AR,44,FALSE),"")&amp;""</f>
        <v/>
      </c>
      <c r="P540" s="707"/>
      <c r="Q540" s="29" t="s">
        <v>1556</v>
      </c>
      <c r="R540" s="873" t="s">
        <v>1602</v>
      </c>
      <c r="S540" s="664"/>
      <c r="T540" s="638"/>
      <c r="U540" s="638"/>
      <c r="V540" s="638"/>
      <c r="W540" s="638"/>
      <c r="X540" s="638"/>
      <c r="Y540" s="638"/>
      <c r="Z540" s="638"/>
      <c r="AA540" s="664"/>
    </row>
    <row r="541" spans="1:27" s="624" customFormat="1" ht="55.2" customHeight="1" outlineLevel="1" x14ac:dyDescent="0.3">
      <c r="A541" s="1522" t="s">
        <v>92</v>
      </c>
      <c r="B541" s="1523"/>
      <c r="C541" s="1523"/>
      <c r="D541" s="629" t="s">
        <v>69</v>
      </c>
      <c r="E541" s="1"/>
      <c r="F541" s="323" t="str">
        <f>IF(LOWER(Setting!rng_language)="english","in","po")</f>
        <v>in</v>
      </c>
      <c r="G541" s="650"/>
      <c r="H541" s="650"/>
      <c r="I541" s="651"/>
      <c r="J541" s="651"/>
      <c r="K541" s="652"/>
      <c r="L541" s="759"/>
      <c r="M541" s="759"/>
      <c r="N541" s="759"/>
      <c r="O541" s="25" t="str">
        <f>_xlfn.IFNA(VLOOKUP($C541,'Master sheet'!$A:$AR,44,FALSE),"")&amp;""</f>
        <v/>
      </c>
      <c r="P541" s="637"/>
      <c r="Q541" s="29" t="s">
        <v>1556</v>
      </c>
      <c r="R541" s="843"/>
      <c r="S541" s="638"/>
      <c r="T541" s="638"/>
      <c r="U541" s="638"/>
      <c r="V541" s="638"/>
      <c r="W541" s="638"/>
      <c r="X541" s="638"/>
      <c r="Y541" s="638"/>
      <c r="Z541" s="638"/>
    </row>
    <row r="542" spans="1:27" s="624" customFormat="1" ht="21" customHeight="1" outlineLevel="1" x14ac:dyDescent="0.25">
      <c r="A542" s="639"/>
      <c r="B542" s="1524" t="s">
        <v>6851</v>
      </c>
      <c r="C542" s="1523"/>
      <c r="D542" s="640"/>
      <c r="E542" s="641"/>
      <c r="F542" s="334"/>
      <c r="G542" s="678"/>
      <c r="H542" s="639"/>
      <c r="I542" s="733"/>
      <c r="J542" s="733"/>
      <c r="K542" s="698"/>
      <c r="L542" s="736"/>
      <c r="M542" s="736"/>
      <c r="N542" s="736"/>
      <c r="O542" s="25" t="str">
        <f>_xlfn.IFNA(VLOOKUP($C542,'Master sheet'!$A:$AR,44,FALSE),"")&amp;""</f>
        <v/>
      </c>
      <c r="P542" s="637"/>
      <c r="Q542" s="722"/>
      <c r="R542" s="722"/>
      <c r="S542" s="623"/>
      <c r="T542" s="638"/>
      <c r="U542" s="638"/>
      <c r="V542" s="638"/>
      <c r="W542" s="638"/>
      <c r="X542" s="638"/>
      <c r="Y542" s="638"/>
      <c r="Z542" s="638"/>
    </row>
    <row r="543" spans="1:27" ht="22.8" outlineLevel="1" x14ac:dyDescent="0.3">
      <c r="A543" s="1542"/>
      <c r="B543" s="1542"/>
      <c r="C543" s="669" t="str">
        <f>INDEX('Master sheet'!$A$1:$A$670,MATCH("248-1",'Master sheet'!$AN$1:$AN$670,0))</f>
        <v xml:space="preserve">Wood - SPF / Canadian Wood Council / British Columbia / </v>
      </c>
      <c r="D543" s="15">
        <f>'USER INPUT SHEET'!$D$55</f>
        <v>0</v>
      </c>
      <c r="E543" s="16" t="str">
        <f>'USER INPUT SHEET'!$F$37</f>
        <v>m2</v>
      </c>
      <c r="F543" s="3">
        <v>1</v>
      </c>
      <c r="G543" s="670"/>
      <c r="H543" s="8"/>
      <c r="I543" s="92">
        <f t="shared" ref="I543:I548" si="202">K543-L543-IF(N543,M543,0)</f>
        <v>0</v>
      </c>
      <c r="J543" s="93" t="str">
        <f t="shared" ref="J543:J548" si="203">IF(H543=1,I543,"")</f>
        <v/>
      </c>
      <c r="K543" s="406">
        <f>$D543*$F543*IF($E$541=16,2.5/16,2.5/24)*VLOOKUP($C543,'Master sheet'!$A:$AL,13,FALSE)*0.01905</f>
        <v>0</v>
      </c>
      <c r="L543" s="94">
        <f>$D543*$F543*IF($E$541=16,2.5/16,2.5/24)*VLOOKUP($C543,'Master sheet'!$A:$AL,27,FALSE)*0.01905</f>
        <v>0</v>
      </c>
      <c r="M543" s="1562"/>
      <c r="N543" s="1562"/>
      <c r="O543" s="25" t="str">
        <f>_xlfn.IFNA(VLOOKUP($C543,'Master sheet'!$A:$AR,44,FALSE),"")&amp;""</f>
        <v/>
      </c>
      <c r="P543" s="637"/>
      <c r="Q543" s="29" t="s">
        <v>1556</v>
      </c>
      <c r="R543" s="874" t="s">
        <v>1603</v>
      </c>
      <c r="S543" s="638" t="s">
        <v>7269</v>
      </c>
      <c r="T543" s="665"/>
      <c r="U543" s="664"/>
      <c r="V543" s="664"/>
      <c r="W543" s="664"/>
      <c r="X543" s="664"/>
      <c r="Y543" s="664"/>
      <c r="Z543" s="664"/>
    </row>
    <row r="544" spans="1:27" ht="22.8" outlineLevel="1" x14ac:dyDescent="0.3">
      <c r="A544" s="1542"/>
      <c r="B544" s="1542"/>
      <c r="C544" s="669" t="str">
        <f>INDEX('Master sheet'!$A$1:$A$670,MATCH("248-2",'Master sheet'!$AN$1:$AN$670,0))</f>
        <v xml:space="preserve">Wood - SPF / Canadian Wood Council / Alberta / </v>
      </c>
      <c r="D544" s="13">
        <f>'USER INPUT SHEET'!$D$55</f>
        <v>0</v>
      </c>
      <c r="E544" s="14" t="str">
        <f>'USER INPUT SHEET'!$F$37</f>
        <v>m2</v>
      </c>
      <c r="F544" s="2">
        <v>1</v>
      </c>
      <c r="G544" s="648"/>
      <c r="H544" s="7"/>
      <c r="I544" s="88">
        <f t="shared" si="202"/>
        <v>0</v>
      </c>
      <c r="J544" s="89" t="str">
        <f t="shared" si="203"/>
        <v/>
      </c>
      <c r="K544" s="404">
        <f>$D544*$F544*IF($E$541=16,2.5/16,2.5/24)*VLOOKUP($C544,'Master sheet'!$A:$AL,13,FALSE)*0.01905</f>
        <v>0</v>
      </c>
      <c r="L544" s="90">
        <f>$D544*$F544*IF($E$541=16,2.5/16,2.5/24)*VLOOKUP($C544,'Master sheet'!$A:$AL,27,FALSE)*0.01905</f>
        <v>0</v>
      </c>
      <c r="M544" s="1552"/>
      <c r="N544" s="1552"/>
      <c r="O544" s="25" t="str">
        <f>_xlfn.IFNA(VLOOKUP($C544,'Master sheet'!$A:$AR,44,FALSE),"")&amp;""</f>
        <v/>
      </c>
      <c r="P544" s="637"/>
      <c r="Q544" s="29" t="s">
        <v>1556</v>
      </c>
      <c r="R544" s="874" t="s">
        <v>1603</v>
      </c>
      <c r="S544" s="638" t="s">
        <v>7269</v>
      </c>
      <c r="T544" s="665"/>
      <c r="U544" s="664"/>
      <c r="V544" s="664"/>
      <c r="W544" s="664"/>
      <c r="X544" s="664"/>
      <c r="Y544" s="664"/>
      <c r="Z544" s="664"/>
    </row>
    <row r="545" spans="1:26" ht="22.8" outlineLevel="1" x14ac:dyDescent="0.3">
      <c r="A545" s="1542"/>
      <c r="B545" s="1542"/>
      <c r="C545" s="669" t="str">
        <f>INDEX('Master sheet'!$A$1:$A$670,MATCH("248-3",'Master sheet'!$AN$1:$AN$670,0))</f>
        <v xml:space="preserve">Wood - SPF / Canadian Wood Council / Ontario / </v>
      </c>
      <c r="D545" s="13">
        <f>'USER INPUT SHEET'!$D$55</f>
        <v>0</v>
      </c>
      <c r="E545" s="14" t="str">
        <f>'USER INPUT SHEET'!$F$37</f>
        <v>m2</v>
      </c>
      <c r="F545" s="2">
        <v>1</v>
      </c>
      <c r="G545" s="648"/>
      <c r="H545" s="7"/>
      <c r="I545" s="88">
        <f t="shared" si="202"/>
        <v>0</v>
      </c>
      <c r="J545" s="89" t="str">
        <f t="shared" si="203"/>
        <v/>
      </c>
      <c r="K545" s="404">
        <f>$D545*$F545*IF($E$541=16,2.5/16,2.5/24)*VLOOKUP($C545,'Master sheet'!$A:$AL,13,FALSE)*0.01905</f>
        <v>0</v>
      </c>
      <c r="L545" s="90">
        <f>$D545*$F545*IF($E$541=16,2.5/16,2.5/24)*VLOOKUP($C545,'Master sheet'!$A:$AL,27,FALSE)*0.01905</f>
        <v>0</v>
      </c>
      <c r="M545" s="1552"/>
      <c r="N545" s="1552"/>
      <c r="O545" s="25" t="str">
        <f>_xlfn.IFNA(VLOOKUP($C545,'Master sheet'!$A:$AR,44,FALSE),"")&amp;""</f>
        <v/>
      </c>
      <c r="P545" s="637"/>
      <c r="Q545" s="29" t="s">
        <v>1556</v>
      </c>
      <c r="R545" s="874" t="s">
        <v>1603</v>
      </c>
      <c r="S545" s="638" t="s">
        <v>7269</v>
      </c>
      <c r="T545" s="665"/>
      <c r="U545" s="664"/>
      <c r="V545" s="664"/>
      <c r="W545" s="664"/>
      <c r="X545" s="664"/>
      <c r="Y545" s="664"/>
      <c r="Z545" s="664"/>
    </row>
    <row r="546" spans="1:26" ht="22.8" outlineLevel="1" x14ac:dyDescent="0.3">
      <c r="A546" s="1542"/>
      <c r="B546" s="1542"/>
      <c r="C546" s="669" t="str">
        <f>INDEX('Master sheet'!$A$1:$A$670,MATCH("248-4",'Master sheet'!$AN$1:$AN$670,0))</f>
        <v xml:space="preserve">Wood - SPF / Canadian Wood Council / Quebec / </v>
      </c>
      <c r="D546" s="13">
        <f>'USER INPUT SHEET'!$D$55</f>
        <v>0</v>
      </c>
      <c r="E546" s="14" t="str">
        <f>'USER INPUT SHEET'!$F$37</f>
        <v>m2</v>
      </c>
      <c r="F546" s="2">
        <v>1</v>
      </c>
      <c r="G546" s="648"/>
      <c r="H546" s="7"/>
      <c r="I546" s="88">
        <f t="shared" si="202"/>
        <v>0</v>
      </c>
      <c r="J546" s="89" t="str">
        <f t="shared" si="203"/>
        <v/>
      </c>
      <c r="K546" s="404">
        <f>$D546*$F546*IF($E$541=16,2.5/16,2.5/24)*VLOOKUP($C546,'Master sheet'!$A:$AL,13,FALSE)*0.01905</f>
        <v>0</v>
      </c>
      <c r="L546" s="90">
        <f>$D546*$F546*IF($E$541=16,2.5/16,2.5/24)*VLOOKUP($C546,'Master sheet'!$A:$AL,27,FALSE)*0.01905</f>
        <v>0</v>
      </c>
      <c r="M546" s="1552"/>
      <c r="N546" s="1552"/>
      <c r="O546" s="25" t="str">
        <f>_xlfn.IFNA(VLOOKUP($C546,'Master sheet'!$A:$AR,44,FALSE),"")&amp;""</f>
        <v/>
      </c>
      <c r="P546" s="637"/>
      <c r="Q546" s="29" t="s">
        <v>1556</v>
      </c>
      <c r="R546" s="874" t="s">
        <v>1603</v>
      </c>
      <c r="S546" s="638" t="s">
        <v>7269</v>
      </c>
      <c r="T546" s="665"/>
      <c r="U546" s="664"/>
      <c r="V546" s="664"/>
      <c r="W546" s="664"/>
      <c r="X546" s="664"/>
      <c r="Y546" s="664"/>
      <c r="Z546" s="664"/>
    </row>
    <row r="547" spans="1:26" ht="22.8" outlineLevel="1" x14ac:dyDescent="0.3">
      <c r="A547" s="1542"/>
      <c r="B547" s="1542"/>
      <c r="C547" s="669" t="str">
        <f>INDEX('Master sheet'!$A$1:$A$670,MATCH("248-5",'Master sheet'!$AN$1:$AN$670,0))</f>
        <v xml:space="preserve">Wood - SPF / Canadian Wood Council / New Brunswick / </v>
      </c>
      <c r="D547" s="13">
        <f>'USER INPUT SHEET'!$D$55</f>
        <v>0</v>
      </c>
      <c r="E547" s="14" t="str">
        <f>'USER INPUT SHEET'!$F$37</f>
        <v>m2</v>
      </c>
      <c r="F547" s="2">
        <v>1</v>
      </c>
      <c r="G547" s="648"/>
      <c r="H547" s="7"/>
      <c r="I547" s="88">
        <f t="shared" si="202"/>
        <v>0</v>
      </c>
      <c r="J547" s="89" t="str">
        <f t="shared" si="203"/>
        <v/>
      </c>
      <c r="K547" s="404">
        <f>$D547*$F547*IF($E$541=16,2.5/16,2.5/24)*VLOOKUP($C547,'Master sheet'!$A:$AL,13,FALSE)*0.01905</f>
        <v>0</v>
      </c>
      <c r="L547" s="90">
        <f>$D547*$F547*IF($E$541=16,2.5/16,2.5/24)*VLOOKUP($C547,'Master sheet'!$A:$AL,27,FALSE)*0.01905</f>
        <v>0</v>
      </c>
      <c r="M547" s="1552"/>
      <c r="N547" s="1552"/>
      <c r="O547" s="25" t="str">
        <f>_xlfn.IFNA(VLOOKUP($C547,'Master sheet'!$A:$AR,44,FALSE),"")&amp;""</f>
        <v/>
      </c>
      <c r="P547" s="637"/>
      <c r="Q547" s="29" t="s">
        <v>1556</v>
      </c>
      <c r="R547" s="874" t="s">
        <v>1603</v>
      </c>
      <c r="S547" s="638" t="s">
        <v>7269</v>
      </c>
      <c r="T547" s="665"/>
      <c r="U547" s="664"/>
      <c r="V547" s="664"/>
      <c r="W547" s="664"/>
      <c r="X547" s="664"/>
      <c r="Y547" s="664"/>
      <c r="Z547" s="664"/>
    </row>
    <row r="548" spans="1:26" ht="22.8" outlineLevel="1" x14ac:dyDescent="0.3">
      <c r="A548" s="1542"/>
      <c r="B548" s="1542"/>
      <c r="C548" s="669" t="str">
        <f>INDEX('Master sheet'!$A$1:$A$670,MATCH("248-6",'Master sheet'!$AN$1:$AN$670,0))</f>
        <v xml:space="preserve">Wood - SPF / Canadian Wood Council / Atlantic Canada / </v>
      </c>
      <c r="D548" s="13">
        <f>'USER INPUT SHEET'!$D$55</f>
        <v>0</v>
      </c>
      <c r="E548" s="14" t="str">
        <f>'USER INPUT SHEET'!$F$37</f>
        <v>m2</v>
      </c>
      <c r="F548" s="2">
        <v>1</v>
      </c>
      <c r="G548" s="648"/>
      <c r="H548" s="7"/>
      <c r="I548" s="88">
        <f t="shared" si="202"/>
        <v>0</v>
      </c>
      <c r="J548" s="89" t="str">
        <f t="shared" si="203"/>
        <v/>
      </c>
      <c r="K548" s="404">
        <f>$D548*$F548*IF($E$541=16,2.5/16,2.5/24)*VLOOKUP($C548,'Master sheet'!$A:$AL,13,FALSE)*0.01905</f>
        <v>0</v>
      </c>
      <c r="L548" s="90">
        <f>$D548*$F548*IF($E$541=16,2.5/16,2.5/24)*VLOOKUP($C548,'Master sheet'!$A:$AL,27,FALSE)*0.01905</f>
        <v>0</v>
      </c>
      <c r="M548" s="1552"/>
      <c r="N548" s="1552"/>
      <c r="O548" s="25" t="str">
        <f>_xlfn.IFNA(VLOOKUP($C548,'Master sheet'!$A:$AR,44,FALSE),"")&amp;""</f>
        <v/>
      </c>
      <c r="P548" s="637"/>
      <c r="Q548" s="29" t="s">
        <v>1556</v>
      </c>
      <c r="R548" s="874" t="s">
        <v>1603</v>
      </c>
      <c r="S548" s="638" t="s">
        <v>7269</v>
      </c>
      <c r="T548" s="665"/>
      <c r="U548" s="664"/>
      <c r="V548" s="664"/>
      <c r="W548" s="664"/>
      <c r="X548" s="664"/>
      <c r="Y548" s="664"/>
      <c r="Z548" s="664"/>
    </row>
    <row r="549" spans="1:26" s="624" customFormat="1" ht="21" customHeight="1" outlineLevel="1" x14ac:dyDescent="0.25">
      <c r="A549" s="639"/>
      <c r="B549" s="1524" t="s">
        <v>6852</v>
      </c>
      <c r="C549" s="1523"/>
      <c r="D549" s="640"/>
      <c r="E549" s="641"/>
      <c r="F549" s="334"/>
      <c r="G549" s="678"/>
      <c r="H549" s="639"/>
      <c r="I549" s="733"/>
      <c r="J549" s="733"/>
      <c r="K549" s="698"/>
      <c r="L549" s="736"/>
      <c r="M549" s="736"/>
      <c r="N549" s="736"/>
      <c r="O549" s="25" t="str">
        <f>_xlfn.IFNA(VLOOKUP($C549,'Master sheet'!$A:$AR,44,FALSE),"")&amp;""</f>
        <v/>
      </c>
      <c r="P549" s="637"/>
      <c r="Q549" s="722"/>
      <c r="R549" s="722"/>
      <c r="S549" s="623"/>
      <c r="T549" s="638"/>
      <c r="U549" s="638"/>
      <c r="V549" s="638"/>
      <c r="W549" s="638"/>
      <c r="X549" s="638"/>
      <c r="Y549" s="638"/>
      <c r="Z549" s="638"/>
    </row>
    <row r="550" spans="1:26" ht="22.8" outlineLevel="1" x14ac:dyDescent="0.3">
      <c r="A550" s="1542"/>
      <c r="B550" s="1542"/>
      <c r="C550" s="669" t="str">
        <f>INDEX('Master sheet'!$A$1:$A$670,MATCH("248-1",'Master sheet'!$AN$1:$AN$670,0))</f>
        <v xml:space="preserve">Wood - SPF / Canadian Wood Council / British Columbia / </v>
      </c>
      <c r="D550" s="15">
        <f>'USER INPUT SHEET'!$D$55</f>
        <v>0</v>
      </c>
      <c r="E550" s="16" t="str">
        <f>'USER INPUT SHEET'!$F$37</f>
        <v>m2</v>
      </c>
      <c r="F550" s="3">
        <v>1</v>
      </c>
      <c r="G550" s="670"/>
      <c r="H550" s="8"/>
      <c r="I550" s="92">
        <f t="shared" ref="I550:I555" si="204">K550-L550-IF(N550,M550,0)</f>
        <v>0</v>
      </c>
      <c r="J550" s="93" t="str">
        <f t="shared" ref="J550:J555" si="205">IF(H550=1,I550,"")</f>
        <v/>
      </c>
      <c r="K550" s="406">
        <f>$D550*$F550*IF($E$541=16,3.5/16,3.5/24)*VLOOKUP($C550,'Master sheet'!$A:$AL,13,FALSE)*0.01905</f>
        <v>0</v>
      </c>
      <c r="L550" s="94">
        <f>$D550*$F550*IF($E$541=16,3.5/16,3.5/24)*VLOOKUP($C550,'Master sheet'!$A:$AL,27,FALSE)*0.01905</f>
        <v>0</v>
      </c>
      <c r="M550" s="1562"/>
      <c r="N550" s="1562"/>
      <c r="O550" s="25" t="str">
        <f>_xlfn.IFNA(VLOOKUP($C550,'Master sheet'!$A:$AR,44,FALSE),"")&amp;""</f>
        <v/>
      </c>
      <c r="P550" s="685"/>
      <c r="Q550" s="29" t="s">
        <v>1556</v>
      </c>
      <c r="R550" s="874" t="s">
        <v>1603</v>
      </c>
      <c r="S550" s="664" t="s">
        <v>7257</v>
      </c>
      <c r="T550" s="665"/>
      <c r="U550" s="664"/>
      <c r="V550" s="664"/>
      <c r="W550" s="664"/>
      <c r="X550" s="664"/>
      <c r="Y550" s="664"/>
      <c r="Z550" s="664"/>
    </row>
    <row r="551" spans="1:26" ht="22.8" outlineLevel="1" x14ac:dyDescent="0.3">
      <c r="A551" s="1542"/>
      <c r="B551" s="1542"/>
      <c r="C551" s="669" t="str">
        <f>INDEX('Master sheet'!$A$1:$A$670,MATCH("248-2",'Master sheet'!$AN$1:$AN$670,0))</f>
        <v xml:space="preserve">Wood - SPF / Canadian Wood Council / Alberta / </v>
      </c>
      <c r="D551" s="15">
        <f>'USER INPUT SHEET'!$D$55</f>
        <v>0</v>
      </c>
      <c r="E551" s="16" t="str">
        <f>'USER INPUT SHEET'!$F$37</f>
        <v>m2</v>
      </c>
      <c r="F551" s="3">
        <v>1</v>
      </c>
      <c r="G551" s="670"/>
      <c r="H551" s="8"/>
      <c r="I551" s="92">
        <f t="shared" si="204"/>
        <v>0</v>
      </c>
      <c r="J551" s="93" t="str">
        <f t="shared" si="205"/>
        <v/>
      </c>
      <c r="K551" s="406">
        <f>$D551*$F551*IF($E$541=16,3.5/16,3.5/24)*VLOOKUP($C551,'Master sheet'!$A:$AL,13,FALSE)*0.01905</f>
        <v>0</v>
      </c>
      <c r="L551" s="94">
        <f>$D551*$F551*IF($E$541=16,3.5/16,3.5/24)*VLOOKUP($C551,'Master sheet'!$A:$AL,27,FALSE)*0.01905</f>
        <v>0</v>
      </c>
      <c r="M551" s="1552"/>
      <c r="N551" s="1552"/>
      <c r="O551" s="25" t="str">
        <f>_xlfn.IFNA(VLOOKUP($C551,'Master sheet'!$A:$AR,44,FALSE),"")&amp;""</f>
        <v/>
      </c>
      <c r="P551" s="685"/>
      <c r="Q551" s="29" t="s">
        <v>1556</v>
      </c>
      <c r="R551" s="874" t="s">
        <v>1603</v>
      </c>
      <c r="S551" s="664" t="s">
        <v>7257</v>
      </c>
      <c r="T551" s="665"/>
      <c r="U551" s="664"/>
      <c r="V551" s="664"/>
      <c r="W551" s="664"/>
      <c r="X551" s="664"/>
      <c r="Y551" s="664"/>
      <c r="Z551" s="664"/>
    </row>
    <row r="552" spans="1:26" ht="22.8" outlineLevel="1" x14ac:dyDescent="0.3">
      <c r="A552" s="1542"/>
      <c r="B552" s="1542"/>
      <c r="C552" s="669" t="str">
        <f>INDEX('Master sheet'!$A$1:$A$670,MATCH("248-3",'Master sheet'!$AN$1:$AN$670,0))</f>
        <v xml:space="preserve">Wood - SPF / Canadian Wood Council / Ontario / </v>
      </c>
      <c r="D552" s="15">
        <f>'USER INPUT SHEET'!$D$55</f>
        <v>0</v>
      </c>
      <c r="E552" s="16" t="str">
        <f>'USER INPUT SHEET'!$F$37</f>
        <v>m2</v>
      </c>
      <c r="F552" s="3">
        <v>1</v>
      </c>
      <c r="G552" s="670"/>
      <c r="H552" s="8"/>
      <c r="I552" s="92">
        <f t="shared" si="204"/>
        <v>0</v>
      </c>
      <c r="J552" s="93" t="str">
        <f t="shared" si="205"/>
        <v/>
      </c>
      <c r="K552" s="406">
        <f>$D552*$F552*IF($E$541=16,3.5/16,3.5/24)*VLOOKUP($C552,'Master sheet'!$A:$AL,13,FALSE)*0.01905</f>
        <v>0</v>
      </c>
      <c r="L552" s="94">
        <f>$D552*$F552*IF($E$541=16,3.5/16,3.5/24)*VLOOKUP($C552,'Master sheet'!$A:$AL,27,FALSE)*0.01905</f>
        <v>0</v>
      </c>
      <c r="M552" s="1552"/>
      <c r="N552" s="1552"/>
      <c r="O552" s="25" t="str">
        <f>_xlfn.IFNA(VLOOKUP($C552,'Master sheet'!$A:$AR,44,FALSE),"")&amp;""</f>
        <v/>
      </c>
      <c r="P552" s="685"/>
      <c r="Q552" s="29" t="s">
        <v>1556</v>
      </c>
      <c r="R552" s="874" t="s">
        <v>1603</v>
      </c>
      <c r="S552" s="664" t="s">
        <v>7257</v>
      </c>
      <c r="T552" s="665"/>
      <c r="U552" s="664"/>
      <c r="V552" s="664"/>
      <c r="W552" s="664"/>
      <c r="X552" s="664"/>
      <c r="Y552" s="664"/>
      <c r="Z552" s="664"/>
    </row>
    <row r="553" spans="1:26" ht="22.8" outlineLevel="1" x14ac:dyDescent="0.3">
      <c r="A553" s="1542"/>
      <c r="B553" s="1542"/>
      <c r="C553" s="669" t="str">
        <f>INDEX('Master sheet'!$A$1:$A$670,MATCH("248-4",'Master sheet'!$AN$1:$AN$670,0))</f>
        <v xml:space="preserve">Wood - SPF / Canadian Wood Council / Quebec / </v>
      </c>
      <c r="D553" s="15">
        <f>'USER INPUT SHEET'!$D$55</f>
        <v>0</v>
      </c>
      <c r="E553" s="16" t="str">
        <f>'USER INPUT SHEET'!$F$37</f>
        <v>m2</v>
      </c>
      <c r="F553" s="3">
        <v>1</v>
      </c>
      <c r="G553" s="670"/>
      <c r="H553" s="8"/>
      <c r="I553" s="92">
        <f t="shared" si="204"/>
        <v>0</v>
      </c>
      <c r="J553" s="93" t="str">
        <f t="shared" si="205"/>
        <v/>
      </c>
      <c r="K553" s="406">
        <f>$D553*$F553*IF($E$541=16,3.5/16,3.5/24)*VLOOKUP($C553,'Master sheet'!$A:$AL,13,FALSE)*0.01905</f>
        <v>0</v>
      </c>
      <c r="L553" s="94">
        <f>$D553*$F553*IF($E$541=16,3.5/16,3.5/24)*VLOOKUP($C553,'Master sheet'!$A:$AL,27,FALSE)*0.01905</f>
        <v>0</v>
      </c>
      <c r="M553" s="1552"/>
      <c r="N553" s="1552"/>
      <c r="O553" s="25" t="str">
        <f>_xlfn.IFNA(VLOOKUP($C553,'Master sheet'!$A:$AR,44,FALSE),"")&amp;""</f>
        <v/>
      </c>
      <c r="P553" s="685"/>
      <c r="Q553" s="29" t="s">
        <v>1556</v>
      </c>
      <c r="R553" s="874" t="s">
        <v>1603</v>
      </c>
      <c r="S553" s="664" t="s">
        <v>7257</v>
      </c>
      <c r="T553" s="665"/>
      <c r="U553" s="664"/>
      <c r="V553" s="664"/>
      <c r="W553" s="664"/>
      <c r="X553" s="664"/>
      <c r="Y553" s="664"/>
      <c r="Z553" s="664"/>
    </row>
    <row r="554" spans="1:26" ht="22.8" outlineLevel="1" x14ac:dyDescent="0.3">
      <c r="A554" s="1542"/>
      <c r="B554" s="1542"/>
      <c r="C554" s="669" t="str">
        <f>INDEX('Master sheet'!$A$1:$A$670,MATCH("248-5",'Master sheet'!$AN$1:$AN$670,0))</f>
        <v xml:space="preserve">Wood - SPF / Canadian Wood Council / New Brunswick / </v>
      </c>
      <c r="D554" s="15">
        <f>'USER INPUT SHEET'!$D$55</f>
        <v>0</v>
      </c>
      <c r="E554" s="16" t="str">
        <f>'USER INPUT SHEET'!$F$37</f>
        <v>m2</v>
      </c>
      <c r="F554" s="3">
        <v>1</v>
      </c>
      <c r="G554" s="670"/>
      <c r="H554" s="8"/>
      <c r="I554" s="92">
        <f t="shared" si="204"/>
        <v>0</v>
      </c>
      <c r="J554" s="93" t="str">
        <f t="shared" si="205"/>
        <v/>
      </c>
      <c r="K554" s="406">
        <f>$D554*$F554*IF($E$541=16,3.5/16,3.5/24)*VLOOKUP($C554,'Master sheet'!$A:$AL,13,FALSE)*0.01905</f>
        <v>0</v>
      </c>
      <c r="L554" s="94">
        <f>$D554*$F554*IF($E$541=16,3.5/16,3.5/24)*VLOOKUP($C554,'Master sheet'!$A:$AL,27,FALSE)*0.01905</f>
        <v>0</v>
      </c>
      <c r="M554" s="1552"/>
      <c r="N554" s="1552"/>
      <c r="O554" s="25" t="str">
        <f>_xlfn.IFNA(VLOOKUP($C554,'Master sheet'!$A:$AR,44,FALSE),"")&amp;""</f>
        <v/>
      </c>
      <c r="P554" s="685"/>
      <c r="Q554" s="29" t="s">
        <v>1556</v>
      </c>
      <c r="R554" s="874" t="s">
        <v>1603</v>
      </c>
      <c r="S554" s="664" t="s">
        <v>7257</v>
      </c>
      <c r="T554" s="665"/>
      <c r="U554" s="664"/>
      <c r="V554" s="664"/>
      <c r="W554" s="664"/>
      <c r="X554" s="664"/>
      <c r="Y554" s="664"/>
      <c r="Z554" s="664"/>
    </row>
    <row r="555" spans="1:26" ht="22.8" outlineLevel="1" x14ac:dyDescent="0.3">
      <c r="A555" s="1542"/>
      <c r="B555" s="1542"/>
      <c r="C555" s="669" t="str">
        <f>INDEX('Master sheet'!$A$1:$A$670,MATCH("248-6",'Master sheet'!$AN$1:$AN$670,0))</f>
        <v xml:space="preserve">Wood - SPF / Canadian Wood Council / Atlantic Canada / </v>
      </c>
      <c r="D555" s="15">
        <f>'USER INPUT SHEET'!$D$55</f>
        <v>0</v>
      </c>
      <c r="E555" s="16" t="str">
        <f>'USER INPUT SHEET'!$F$37</f>
        <v>m2</v>
      </c>
      <c r="F555" s="3">
        <v>1</v>
      </c>
      <c r="G555" s="670"/>
      <c r="H555" s="8"/>
      <c r="I555" s="92">
        <f t="shared" si="204"/>
        <v>0</v>
      </c>
      <c r="J555" s="93" t="str">
        <f t="shared" si="205"/>
        <v/>
      </c>
      <c r="K555" s="406">
        <f>$D555*$F555*IF($E$541=16,3.5/16,3.5/24)*VLOOKUP($C555,'Master sheet'!$A:$AL,13,FALSE)*0.01905</f>
        <v>0</v>
      </c>
      <c r="L555" s="94">
        <f>$D555*$F555*IF($E$541=16,3.5/16,3.5/24)*VLOOKUP($C555,'Master sheet'!$A:$AL,27,FALSE)*0.01905</f>
        <v>0</v>
      </c>
      <c r="M555" s="1562"/>
      <c r="N555" s="1562"/>
      <c r="O555" s="25" t="str">
        <f>_xlfn.IFNA(VLOOKUP($C555,'Master sheet'!$A:$AR,44,FALSE),"")&amp;""</f>
        <v/>
      </c>
      <c r="P555" s="685"/>
      <c r="Q555" s="29" t="s">
        <v>1556</v>
      </c>
      <c r="R555" s="874" t="s">
        <v>1603</v>
      </c>
      <c r="S555" s="664" t="s">
        <v>7257</v>
      </c>
      <c r="T555" s="665"/>
      <c r="U555" s="664"/>
      <c r="V555" s="664"/>
      <c r="W555" s="664"/>
      <c r="X555" s="664"/>
      <c r="Y555" s="664"/>
      <c r="Z555" s="664"/>
    </row>
    <row r="556" spans="1:26" s="624" customFormat="1" ht="21" customHeight="1" outlineLevel="1" x14ac:dyDescent="0.25">
      <c r="A556" s="639"/>
      <c r="B556" s="1524" t="s">
        <v>6853</v>
      </c>
      <c r="C556" s="1523"/>
      <c r="D556" s="640"/>
      <c r="E556" s="641"/>
      <c r="F556" s="334"/>
      <c r="G556" s="678"/>
      <c r="H556" s="639"/>
      <c r="I556" s="733"/>
      <c r="J556" s="733"/>
      <c r="K556" s="698"/>
      <c r="L556" s="736"/>
      <c r="M556" s="736"/>
      <c r="N556" s="736"/>
      <c r="O556" s="25" t="str">
        <f>_xlfn.IFNA(VLOOKUP($C556,'Master sheet'!$A:$AR,44,FALSE),"")&amp;""</f>
        <v/>
      </c>
      <c r="P556" s="637"/>
      <c r="Q556" s="722"/>
      <c r="R556" s="722"/>
      <c r="S556" s="623"/>
      <c r="T556" s="638"/>
      <c r="U556" s="638"/>
      <c r="V556" s="638"/>
      <c r="W556" s="638"/>
      <c r="X556" s="638"/>
      <c r="Y556" s="638"/>
      <c r="Z556" s="638"/>
    </row>
    <row r="557" spans="1:26" ht="22.8" outlineLevel="1" x14ac:dyDescent="0.3">
      <c r="A557" s="1542"/>
      <c r="B557" s="1542"/>
      <c r="C557" s="669" t="str">
        <f>INDEX('Master sheet'!$A$1:$A$670,MATCH("248-1",'Master sheet'!$AN$1:$AN$670,0))</f>
        <v xml:space="preserve">Wood - SPF / Canadian Wood Council / British Columbia / </v>
      </c>
      <c r="D557" s="17">
        <f>'USER INPUT SHEET'!$D$55</f>
        <v>0</v>
      </c>
      <c r="E557" s="18" t="str">
        <f>'USER INPUT SHEET'!$F$37</f>
        <v>m2</v>
      </c>
      <c r="F557" s="4">
        <v>1</v>
      </c>
      <c r="G557" s="674"/>
      <c r="H557" s="9"/>
      <c r="I557" s="95">
        <f t="shared" ref="I557:I562" si="206">K557-L557-IF(N557,M557,0)</f>
        <v>0</v>
      </c>
      <c r="J557" s="96" t="str">
        <f t="shared" ref="J557:J562" si="207">IF(H557=1,I557,"")</f>
        <v/>
      </c>
      <c r="K557" s="407">
        <f>$D557*$F557*IF($E$541=16,3.5/16,3.5/24)*VLOOKUP($C557,'Master sheet'!$A:$AL,13,FALSE)*0.0381</f>
        <v>0</v>
      </c>
      <c r="L557" s="97">
        <f>$D557*$F557*IF($E$541=16,3.5/16,3.5/24)*VLOOKUP($C557,'Master sheet'!$A:$AL,27,FALSE)*0.0381</f>
        <v>0</v>
      </c>
      <c r="M557" s="1562"/>
      <c r="N557" s="1562"/>
      <c r="O557" s="25" t="str">
        <f>_xlfn.IFNA(VLOOKUP($C557,'Master sheet'!$A:$AR,44,FALSE),"")&amp;""</f>
        <v/>
      </c>
      <c r="P557" s="637"/>
      <c r="Q557" s="29" t="s">
        <v>1556</v>
      </c>
      <c r="R557" s="874" t="s">
        <v>1603</v>
      </c>
      <c r="S557" s="638" t="s">
        <v>7250</v>
      </c>
      <c r="T557" s="665"/>
      <c r="U557" s="664"/>
      <c r="V557" s="664"/>
      <c r="W557" s="664"/>
      <c r="X557" s="664"/>
      <c r="Y557" s="664"/>
      <c r="Z557" s="664"/>
    </row>
    <row r="558" spans="1:26" ht="22.8" outlineLevel="1" x14ac:dyDescent="0.3">
      <c r="A558" s="1542"/>
      <c r="B558" s="1542"/>
      <c r="C558" s="669" t="str">
        <f>INDEX('Master sheet'!$A$1:$A$670,MATCH("248-2",'Master sheet'!$AN$1:$AN$670,0))</f>
        <v xml:space="preserve">Wood - SPF / Canadian Wood Council / Alberta / </v>
      </c>
      <c r="D558" s="17">
        <f>'USER INPUT SHEET'!$D$55</f>
        <v>0</v>
      </c>
      <c r="E558" s="18" t="str">
        <f>'USER INPUT SHEET'!$F$37</f>
        <v>m2</v>
      </c>
      <c r="F558" s="4">
        <v>1</v>
      </c>
      <c r="G558" s="674"/>
      <c r="H558" s="9"/>
      <c r="I558" s="95">
        <f t="shared" si="206"/>
        <v>0</v>
      </c>
      <c r="J558" s="96" t="str">
        <f t="shared" si="207"/>
        <v/>
      </c>
      <c r="K558" s="407">
        <f>$D558*$F558*IF($E$541=16,3.5/16,3.5/24)*VLOOKUP($C558,'Master sheet'!$A:$AL,13,FALSE)*0.0381</f>
        <v>0</v>
      </c>
      <c r="L558" s="97">
        <f>$D558*$F558*IF($E$541=16,3.5/16,3.5/24)*VLOOKUP($C558,'Master sheet'!$A:$AL,27,FALSE)*0.0381</f>
        <v>0</v>
      </c>
      <c r="M558" s="1552"/>
      <c r="N558" s="1552"/>
      <c r="O558" s="25" t="str">
        <f>_xlfn.IFNA(VLOOKUP($C558,'Master sheet'!$A:$AR,44,FALSE),"")&amp;""</f>
        <v/>
      </c>
      <c r="P558" s="637"/>
      <c r="Q558" s="29" t="s">
        <v>1556</v>
      </c>
      <c r="R558" s="874" t="s">
        <v>1603</v>
      </c>
      <c r="S558" s="638" t="s">
        <v>7250</v>
      </c>
      <c r="T558" s="665"/>
      <c r="U558" s="664"/>
      <c r="V558" s="664"/>
      <c r="W558" s="664"/>
      <c r="X558" s="664"/>
      <c r="Y558" s="664"/>
      <c r="Z558" s="664"/>
    </row>
    <row r="559" spans="1:26" ht="22.8" outlineLevel="1" x14ac:dyDescent="0.3">
      <c r="A559" s="1542"/>
      <c r="B559" s="1542"/>
      <c r="C559" s="669" t="str">
        <f>INDEX('Master sheet'!$A$1:$A$670,MATCH("248-3",'Master sheet'!$AN$1:$AN$670,0))</f>
        <v xml:space="preserve">Wood - SPF / Canadian Wood Council / Ontario / </v>
      </c>
      <c r="D559" s="17">
        <f>'USER INPUT SHEET'!$D$55</f>
        <v>0</v>
      </c>
      <c r="E559" s="18" t="str">
        <f>'USER INPUT SHEET'!$F$37</f>
        <v>m2</v>
      </c>
      <c r="F559" s="4">
        <v>1</v>
      </c>
      <c r="G559" s="674"/>
      <c r="H559" s="9"/>
      <c r="I559" s="95">
        <f t="shared" si="206"/>
        <v>0</v>
      </c>
      <c r="J559" s="96" t="str">
        <f t="shared" si="207"/>
        <v/>
      </c>
      <c r="K559" s="407">
        <f>$D559*$F559*IF($E$541=16,3.5/16,3.5/24)*VLOOKUP($C559,'Master sheet'!$A:$AL,13,FALSE)*0.0381</f>
        <v>0</v>
      </c>
      <c r="L559" s="97">
        <f>$D559*$F559*IF($E$541=16,3.5/16,3.5/24)*VLOOKUP($C559,'Master sheet'!$A:$AL,27,FALSE)*0.0381</f>
        <v>0</v>
      </c>
      <c r="M559" s="1552"/>
      <c r="N559" s="1552"/>
      <c r="O559" s="25" t="str">
        <f>_xlfn.IFNA(VLOOKUP($C559,'Master sheet'!$A:$AR,44,FALSE),"")&amp;""</f>
        <v/>
      </c>
      <c r="P559" s="637"/>
      <c r="Q559" s="29" t="s">
        <v>1556</v>
      </c>
      <c r="R559" s="874" t="s">
        <v>1603</v>
      </c>
      <c r="S559" s="638" t="s">
        <v>7250</v>
      </c>
      <c r="T559" s="665"/>
      <c r="U559" s="664"/>
      <c r="V559" s="664"/>
      <c r="W559" s="664"/>
      <c r="X559" s="664"/>
      <c r="Y559" s="664"/>
      <c r="Z559" s="664"/>
    </row>
    <row r="560" spans="1:26" ht="22.8" outlineLevel="1" x14ac:dyDescent="0.3">
      <c r="A560" s="1542"/>
      <c r="B560" s="1542"/>
      <c r="C560" s="669" t="str">
        <f>INDEX('Master sheet'!$A$1:$A$670,MATCH("248-4",'Master sheet'!$AN$1:$AN$670,0))</f>
        <v xml:space="preserve">Wood - SPF / Canadian Wood Council / Quebec / </v>
      </c>
      <c r="D560" s="17">
        <f>'USER INPUT SHEET'!$D$55</f>
        <v>0</v>
      </c>
      <c r="E560" s="18" t="str">
        <f>'USER INPUT SHEET'!$F$37</f>
        <v>m2</v>
      </c>
      <c r="F560" s="4">
        <v>1</v>
      </c>
      <c r="G560" s="674"/>
      <c r="H560" s="9"/>
      <c r="I560" s="95">
        <f t="shared" si="206"/>
        <v>0</v>
      </c>
      <c r="J560" s="96" t="str">
        <f t="shared" si="207"/>
        <v/>
      </c>
      <c r="K560" s="407">
        <f>$D560*$F560*IF($E$541=16,3.5/16,3.5/24)*VLOOKUP($C560,'Master sheet'!$A:$AL,13,FALSE)*0.0381</f>
        <v>0</v>
      </c>
      <c r="L560" s="97">
        <f>$D560*$F560*IF($E$541=16,3.5/16,3.5/24)*VLOOKUP($C560,'Master sheet'!$A:$AL,27,FALSE)*0.0381</f>
        <v>0</v>
      </c>
      <c r="M560" s="1552"/>
      <c r="N560" s="1552"/>
      <c r="O560" s="25" t="str">
        <f>_xlfn.IFNA(VLOOKUP($C560,'Master sheet'!$A:$AR,44,FALSE),"")&amp;""</f>
        <v/>
      </c>
      <c r="P560" s="637"/>
      <c r="Q560" s="29" t="s">
        <v>1556</v>
      </c>
      <c r="R560" s="874" t="s">
        <v>1603</v>
      </c>
      <c r="S560" s="638" t="s">
        <v>7250</v>
      </c>
      <c r="T560" s="665"/>
      <c r="U560" s="664"/>
      <c r="V560" s="664"/>
      <c r="W560" s="664"/>
      <c r="X560" s="664"/>
      <c r="Y560" s="664"/>
      <c r="Z560" s="664"/>
    </row>
    <row r="561" spans="1:26" ht="22.8" outlineLevel="1" x14ac:dyDescent="0.3">
      <c r="A561" s="1542"/>
      <c r="B561" s="1542"/>
      <c r="C561" s="669" t="str">
        <f>INDEX('Master sheet'!$A$1:$A$670,MATCH("248-5",'Master sheet'!$AN$1:$AN$670,0))</f>
        <v xml:space="preserve">Wood - SPF / Canadian Wood Council / New Brunswick / </v>
      </c>
      <c r="D561" s="17">
        <f>'USER INPUT SHEET'!$D$55</f>
        <v>0</v>
      </c>
      <c r="E561" s="18" t="str">
        <f>'USER INPUT SHEET'!$F$37</f>
        <v>m2</v>
      </c>
      <c r="F561" s="4">
        <v>1</v>
      </c>
      <c r="G561" s="674"/>
      <c r="H561" s="9"/>
      <c r="I561" s="95">
        <f t="shared" si="206"/>
        <v>0</v>
      </c>
      <c r="J561" s="96" t="str">
        <f t="shared" si="207"/>
        <v/>
      </c>
      <c r="K561" s="407">
        <f>$D561*$F561*IF($E$541=16,3.5/16,3.5/24)*VLOOKUP($C561,'Master sheet'!$A:$AL,13,FALSE)*0.0381</f>
        <v>0</v>
      </c>
      <c r="L561" s="97">
        <f>$D561*$F561*IF($E$541=16,3.5/16,3.5/24)*VLOOKUP($C561,'Master sheet'!$A:$AL,27,FALSE)*0.0381</f>
        <v>0</v>
      </c>
      <c r="M561" s="1552"/>
      <c r="N561" s="1552"/>
      <c r="O561" s="25" t="str">
        <f>_xlfn.IFNA(VLOOKUP($C561,'Master sheet'!$A:$AR,44,FALSE),"")&amp;""</f>
        <v/>
      </c>
      <c r="P561" s="637"/>
      <c r="Q561" s="29" t="s">
        <v>1556</v>
      </c>
      <c r="R561" s="874" t="s">
        <v>1603</v>
      </c>
      <c r="S561" s="638" t="s">
        <v>7250</v>
      </c>
      <c r="T561" s="665"/>
      <c r="U561" s="664"/>
      <c r="V561" s="664"/>
      <c r="W561" s="664"/>
      <c r="X561" s="664"/>
      <c r="Y561" s="664"/>
      <c r="Z561" s="664"/>
    </row>
    <row r="562" spans="1:26" ht="22.8" outlineLevel="1" x14ac:dyDescent="0.3">
      <c r="A562" s="1542"/>
      <c r="B562" s="1542"/>
      <c r="C562" s="669" t="str">
        <f>INDEX('Master sheet'!$A$1:$A$670,MATCH("248-6",'Master sheet'!$AN$1:$AN$670,0))</f>
        <v xml:space="preserve">Wood - SPF / Canadian Wood Council / Atlantic Canada / </v>
      </c>
      <c r="D562" s="17">
        <f>'USER INPUT SHEET'!$D$55</f>
        <v>0</v>
      </c>
      <c r="E562" s="18" t="str">
        <f>'USER INPUT SHEET'!$F$37</f>
        <v>m2</v>
      </c>
      <c r="F562" s="4">
        <v>1</v>
      </c>
      <c r="G562" s="674"/>
      <c r="H562" s="9"/>
      <c r="I562" s="95">
        <f t="shared" si="206"/>
        <v>0</v>
      </c>
      <c r="J562" s="96" t="str">
        <f t="shared" si="207"/>
        <v/>
      </c>
      <c r="K562" s="407">
        <f>$D562*$F562*IF($E$541=16,3.5/16,3.5/24)*VLOOKUP($C562,'Master sheet'!$A:$AL,13,FALSE)*0.0381</f>
        <v>0</v>
      </c>
      <c r="L562" s="97">
        <f>$D562*$F562*IF($E$541=16,3.5/16,3.5/24)*VLOOKUP($C562,'Master sheet'!$A:$AL,27,FALSE)*0.0381</f>
        <v>0</v>
      </c>
      <c r="M562" s="1552"/>
      <c r="N562" s="1552"/>
      <c r="O562" s="25" t="str">
        <f>_xlfn.IFNA(VLOOKUP($C562,'Master sheet'!$A:$AR,44,FALSE),"")&amp;""</f>
        <v/>
      </c>
      <c r="P562" s="637"/>
      <c r="Q562" s="29" t="s">
        <v>1556</v>
      </c>
      <c r="R562" s="874" t="s">
        <v>1603</v>
      </c>
      <c r="S562" s="638" t="s">
        <v>7250</v>
      </c>
      <c r="T562" s="665"/>
      <c r="U562" s="664"/>
      <c r="V562" s="664"/>
      <c r="W562" s="664"/>
      <c r="X562" s="664"/>
      <c r="Y562" s="664"/>
      <c r="Z562" s="664"/>
    </row>
    <row r="563" spans="1:26" s="624" customFormat="1" ht="55.2" customHeight="1" outlineLevel="1" x14ac:dyDescent="0.3">
      <c r="A563" s="1522" t="s">
        <v>93</v>
      </c>
      <c r="B563" s="1523"/>
      <c r="C563" s="1523"/>
      <c r="D563" s="649"/>
      <c r="E563" s="650"/>
      <c r="F563" s="321"/>
      <c r="G563" s="650"/>
      <c r="H563" s="650"/>
      <c r="I563" s="651"/>
      <c r="J563" s="651"/>
      <c r="K563" s="652"/>
      <c r="L563" s="759"/>
      <c r="M563" s="759"/>
      <c r="N563" s="759"/>
      <c r="O563" s="25" t="str">
        <f>_xlfn.IFNA(VLOOKUP($C563,'Master sheet'!$A:$AR,44,FALSE),"")&amp;""</f>
        <v/>
      </c>
      <c r="P563" s="637"/>
      <c r="Q563" s="29" t="s">
        <v>1556</v>
      </c>
      <c r="R563" s="843"/>
      <c r="S563" s="638"/>
      <c r="T563" s="638"/>
      <c r="U563" s="638"/>
      <c r="V563" s="638"/>
      <c r="W563" s="638"/>
      <c r="X563" s="638"/>
      <c r="Y563" s="638"/>
      <c r="Z563" s="638"/>
    </row>
    <row r="564" spans="1:26" ht="22.8" outlineLevel="1" x14ac:dyDescent="0.3">
      <c r="A564" s="686"/>
      <c r="B564" s="1541" t="s">
        <v>963</v>
      </c>
      <c r="C564" s="1530"/>
      <c r="D564" s="656"/>
      <c r="E564" s="657"/>
      <c r="F564" s="339"/>
      <c r="G564" s="724"/>
      <c r="H564" s="763"/>
      <c r="I564" s="658"/>
      <c r="J564" s="659"/>
      <c r="K564" s="660"/>
      <c r="L564" s="661"/>
      <c r="M564" s="677"/>
      <c r="N564" s="677"/>
      <c r="O564" s="25" t="str">
        <f>_xlfn.IFNA(VLOOKUP($C564,'Master sheet'!$A:$AR,44,FALSE),"")&amp;""</f>
        <v/>
      </c>
      <c r="P564" s="685"/>
      <c r="Q564" s="29" t="s">
        <v>1556</v>
      </c>
      <c r="R564" s="852"/>
      <c r="S564" s="664"/>
      <c r="T564" s="664"/>
      <c r="U564" s="664"/>
      <c r="V564" s="664"/>
      <c r="W564" s="664"/>
      <c r="X564" s="664"/>
      <c r="Y564" s="664"/>
      <c r="Z564" s="664"/>
    </row>
    <row r="565" spans="1:26" ht="22.8" outlineLevel="1" x14ac:dyDescent="0.3">
      <c r="A565" s="729"/>
      <c r="B565" s="729"/>
      <c r="C565" s="691" t="s">
        <v>1081</v>
      </c>
      <c r="D565" s="19">
        <f>'USER INPUT SHEET'!$D$55</f>
        <v>0</v>
      </c>
      <c r="E565" s="20" t="str">
        <f>'USER INPUT SHEET'!$F$37</f>
        <v>m2</v>
      </c>
      <c r="F565" s="6">
        <v>1</v>
      </c>
      <c r="G565" s="692"/>
      <c r="H565" s="10"/>
      <c r="I565" s="98">
        <f>K565-L565</f>
        <v>0</v>
      </c>
      <c r="J565" s="91" t="str">
        <f>IF(H565=1,I565,"")</f>
        <v/>
      </c>
      <c r="K565" s="410">
        <f>F565*AVERAGE(K566:K578)</f>
        <v>0</v>
      </c>
      <c r="L565" s="99">
        <f>F565*AVERAGE(L566:L578)</f>
        <v>0</v>
      </c>
      <c r="M565" s="1552"/>
      <c r="N565" s="1552"/>
      <c r="O565" s="25" t="str">
        <f>_xlfn.IFNA(VLOOKUP($C565,'Master sheet'!$A:$AR,44,FALSE),"")&amp;""</f>
        <v/>
      </c>
      <c r="P565" s="685"/>
      <c r="Q565" s="29" t="s">
        <v>1556</v>
      </c>
      <c r="R565" s="875" t="s">
        <v>1604</v>
      </c>
      <c r="S565" s="664"/>
      <c r="T565" s="664"/>
      <c r="U565" s="664"/>
      <c r="V565" s="664"/>
      <c r="W565" s="664"/>
      <c r="X565" s="664"/>
      <c r="Y565" s="664"/>
      <c r="Z565" s="664"/>
    </row>
    <row r="566" spans="1:26" ht="23.25" customHeight="1" outlineLevel="1" x14ac:dyDescent="0.3">
      <c r="A566" s="1564"/>
      <c r="B566" s="1564"/>
      <c r="C566" s="669" t="str">
        <f>INDEX('Master sheet'!$A$1:$A$670,MATCH(14,'Master sheet'!$AN$1:$AN$670,0))</f>
        <v xml:space="preserve">Asphalt Shingles / Owens Corning / Duration / </v>
      </c>
      <c r="D566" s="15">
        <f>'USER INPUT SHEET'!$D$55</f>
        <v>0</v>
      </c>
      <c r="E566" s="16" t="str">
        <f>'USER INPUT SHEET'!$F$37</f>
        <v>m2</v>
      </c>
      <c r="F566" s="3">
        <v>1</v>
      </c>
      <c r="G566" s="670"/>
      <c r="H566" s="8"/>
      <c r="I566" s="92">
        <f t="shared" ref="I566:I594" si="208">K566-L566</f>
        <v>0</v>
      </c>
      <c r="J566" s="93" t="str">
        <f t="shared" ref="J566:J594" si="209">IF(H566=1,I566,"")</f>
        <v/>
      </c>
      <c r="K566" s="406">
        <f>$D566*$F566*VLOOKUP($C566,'Master sheet'!$A:$AL,13,FALSE)</f>
        <v>0</v>
      </c>
      <c r="L566" s="94">
        <f>$D566*$F566*VLOOKUP($C566,'Master sheet'!$A:$AL,27,FALSE)</f>
        <v>0</v>
      </c>
      <c r="M566" s="1552"/>
      <c r="N566" s="1552"/>
      <c r="O566" s="25" t="str">
        <f ca="1">_xlfn.IFNA(VLOOKUP($C566,'Master sheet'!$A:$AR,44,FALSE),"")&amp;""</f>
        <v>Expired 2025</v>
      </c>
      <c r="P566" s="685"/>
      <c r="Q566" s="29" t="s">
        <v>1556</v>
      </c>
      <c r="R566" s="875" t="s">
        <v>1604</v>
      </c>
      <c r="S566" s="664"/>
      <c r="T566" s="664"/>
      <c r="U566" s="664"/>
      <c r="V566" s="664"/>
      <c r="W566" s="664"/>
      <c r="X566" s="664"/>
      <c r="Y566" s="664"/>
      <c r="Z566" s="664"/>
    </row>
    <row r="567" spans="1:26" ht="23.25" customHeight="1" outlineLevel="1" x14ac:dyDescent="0.3">
      <c r="A567" s="1564"/>
      <c r="B567" s="1564"/>
      <c r="C567" s="669" t="str">
        <f>INDEX('Master sheet'!$A$1:$A$670,MATCH(15,'Master sheet'!$AN$1:$AN$670,0))</f>
        <v xml:space="preserve">Asphalt Shingles / Owens Corning / Oakridge / </v>
      </c>
      <c r="D567" s="15">
        <f>'USER INPUT SHEET'!$D$55</f>
        <v>0</v>
      </c>
      <c r="E567" s="16" t="str">
        <f>'USER INPUT SHEET'!$F$37</f>
        <v>m2</v>
      </c>
      <c r="F567" s="3">
        <v>1</v>
      </c>
      <c r="G567" s="670"/>
      <c r="H567" s="8"/>
      <c r="I567" s="92">
        <f>K567-L567</f>
        <v>0</v>
      </c>
      <c r="J567" s="93" t="str">
        <f>IF(H567=1,I567,"")</f>
        <v/>
      </c>
      <c r="K567" s="406">
        <f>$D567*$F567*VLOOKUP($C567,'Master sheet'!$A:$AL,13,FALSE)</f>
        <v>0</v>
      </c>
      <c r="L567" s="94">
        <f>$D567*$F567*VLOOKUP($C567,'Master sheet'!$A:$AL,27,FALSE)</f>
        <v>0</v>
      </c>
      <c r="M567" s="1552"/>
      <c r="N567" s="1552"/>
      <c r="O567" s="25" t="str">
        <f ca="1">_xlfn.IFNA(VLOOKUP($C567,'Master sheet'!$A:$AR,44,FALSE),"")&amp;""</f>
        <v>Expired 2025</v>
      </c>
      <c r="P567" s="685"/>
      <c r="Q567" s="29" t="s">
        <v>1556</v>
      </c>
      <c r="R567" s="875" t="s">
        <v>1604</v>
      </c>
      <c r="S567" s="664"/>
      <c r="T567" s="664"/>
      <c r="U567" s="664"/>
      <c r="V567" s="664"/>
      <c r="W567" s="664"/>
      <c r="X567" s="664"/>
      <c r="Y567" s="664"/>
      <c r="Z567" s="664"/>
    </row>
    <row r="568" spans="1:26" ht="23.25" customHeight="1" outlineLevel="1" x14ac:dyDescent="0.3">
      <c r="A568" s="1564"/>
      <c r="B568" s="1564"/>
      <c r="C568" s="669" t="str">
        <f>INDEX('Master sheet'!$A$1:$A$670,MATCH(16,'Master sheet'!$AN$1:$AN$670,0))</f>
        <v xml:space="preserve">Asphalt Shingles / Owens Corning / Supreme / </v>
      </c>
      <c r="D568" s="15">
        <f>'USER INPUT SHEET'!$D$55</f>
        <v>0</v>
      </c>
      <c r="E568" s="16" t="str">
        <f>'USER INPUT SHEET'!$F$37</f>
        <v>m2</v>
      </c>
      <c r="F568" s="3">
        <v>1</v>
      </c>
      <c r="G568" s="670"/>
      <c r="H568" s="8"/>
      <c r="I568" s="92">
        <f t="shared" si="208"/>
        <v>0</v>
      </c>
      <c r="J568" s="93" t="str">
        <f t="shared" si="209"/>
        <v/>
      </c>
      <c r="K568" s="406">
        <f>$D568*$F568*VLOOKUP($C568,'Master sheet'!$A:$AL,13,FALSE)</f>
        <v>0</v>
      </c>
      <c r="L568" s="94">
        <f>$D568*$F568*VLOOKUP($C568,'Master sheet'!$A:$AL,27,FALSE)</f>
        <v>0</v>
      </c>
      <c r="M568" s="1552"/>
      <c r="N568" s="1552"/>
      <c r="O568" s="25" t="str">
        <f ca="1">_xlfn.IFNA(VLOOKUP($C568,'Master sheet'!$A:$AR,44,FALSE),"")&amp;""</f>
        <v>Expired 2025</v>
      </c>
      <c r="P568" s="685"/>
      <c r="Q568" s="29" t="s">
        <v>1556</v>
      </c>
      <c r="R568" s="875" t="s">
        <v>1604</v>
      </c>
      <c r="S568" s="664"/>
      <c r="T568" s="664"/>
      <c r="U568" s="664"/>
      <c r="V568" s="664"/>
      <c r="W568" s="664"/>
      <c r="X568" s="664"/>
      <c r="Y568" s="664"/>
      <c r="Z568" s="664"/>
    </row>
    <row r="569" spans="1:26" ht="23.25" customHeight="1" outlineLevel="1" x14ac:dyDescent="0.3">
      <c r="A569" s="1564"/>
      <c r="B569" s="1564"/>
      <c r="C569" s="673" t="str">
        <f>INDEX('Master sheet'!$A$1:$A$670,MATCH(13,'Master sheet'!$AN$1:$AN$670,0))</f>
        <v>Asphalt Shingles / GAF / Timberline / Timberline</v>
      </c>
      <c r="D569" s="15">
        <f>'USER INPUT SHEET'!$D$55</f>
        <v>0</v>
      </c>
      <c r="E569" s="16" t="str">
        <f>'USER INPUT SHEET'!$F$37</f>
        <v>m2</v>
      </c>
      <c r="F569" s="3">
        <v>1</v>
      </c>
      <c r="G569" s="670"/>
      <c r="H569" s="8"/>
      <c r="I569" s="92">
        <f t="shared" ref="I569:I577" si="210">K569-L569</f>
        <v>0</v>
      </c>
      <c r="J569" s="93" t="str">
        <f t="shared" ref="J569:J577" si="211">IF(H569=1,I569,"")</f>
        <v/>
      </c>
      <c r="K569" s="406">
        <f>$D569*$F569*VLOOKUP($C569,'Master sheet'!$A:$AL,13,FALSE)</f>
        <v>0</v>
      </c>
      <c r="L569" s="94">
        <f>$D569*$F569*VLOOKUP($C569,'Master sheet'!$A:$AL,27,FALSE)</f>
        <v>0</v>
      </c>
      <c r="M569" s="1552"/>
      <c r="N569" s="1552"/>
      <c r="O569" s="25" t="str">
        <f ca="1">_xlfn.IFNA(VLOOKUP($C569,'Master sheet'!$A:$AR,44,FALSE),"")&amp;""</f>
        <v>Expired 2025</v>
      </c>
      <c r="P569" s="685"/>
      <c r="Q569" s="29" t="s">
        <v>1556</v>
      </c>
      <c r="R569" s="875" t="s">
        <v>1604</v>
      </c>
      <c r="S569" s="664"/>
      <c r="T569" s="664"/>
      <c r="U569" s="664"/>
      <c r="V569" s="664"/>
      <c r="W569" s="664"/>
      <c r="X569" s="664"/>
      <c r="Y569" s="664"/>
      <c r="Z569" s="664"/>
    </row>
    <row r="570" spans="1:26" ht="23.25" customHeight="1" outlineLevel="1" x14ac:dyDescent="0.3">
      <c r="A570" s="1564"/>
      <c r="B570" s="1564"/>
      <c r="C570" s="673" t="str">
        <f>INDEX('Master sheet'!$A$1:$A$670,MATCH(380,'Master sheet'!$AN$1:$AN$670,0))</f>
        <v xml:space="preserve">Asphalt Shingles / GAF / Timberline Cool Series / </v>
      </c>
      <c r="D570" s="17">
        <f>'USER INPUT SHEET'!$D$55</f>
        <v>0</v>
      </c>
      <c r="E570" s="18" t="str">
        <f>'USER INPUT SHEET'!$F$37</f>
        <v>m2</v>
      </c>
      <c r="F570" s="4">
        <v>1</v>
      </c>
      <c r="G570" s="674"/>
      <c r="H570" s="9"/>
      <c r="I570" s="95">
        <f t="shared" si="210"/>
        <v>0</v>
      </c>
      <c r="J570" s="96" t="str">
        <f t="shared" si="211"/>
        <v/>
      </c>
      <c r="K570" s="407">
        <f>$D570*$F570*VLOOKUP($C570,'Master sheet'!$A:$AL,13,FALSE)</f>
        <v>0</v>
      </c>
      <c r="L570" s="97">
        <f>$D570*$F570*VLOOKUP($C570,'Master sheet'!$A:$AL,27,FALSE)</f>
        <v>0</v>
      </c>
      <c r="M570" s="1552"/>
      <c r="N570" s="1552"/>
      <c r="O570" s="25" t="str">
        <f ca="1">_xlfn.IFNA(VLOOKUP($C570,'Master sheet'!$A:$AR,44,FALSE),"")&amp;""</f>
        <v>Expired 2025</v>
      </c>
      <c r="P570" s="685"/>
      <c r="Q570" s="29" t="s">
        <v>1556</v>
      </c>
      <c r="R570" s="875" t="s">
        <v>1604</v>
      </c>
      <c r="S570" s="664"/>
      <c r="T570" s="664"/>
      <c r="U570" s="664"/>
      <c r="V570" s="664"/>
      <c r="W570" s="664"/>
      <c r="X570" s="664"/>
      <c r="Y570" s="664"/>
      <c r="Z570" s="664"/>
    </row>
    <row r="571" spans="1:26" ht="31.2" outlineLevel="1" x14ac:dyDescent="0.3">
      <c r="A571" s="1564"/>
      <c r="B571" s="1564"/>
      <c r="C571" s="673" t="str">
        <f>INDEX('Master sheet'!$A$1:$A$670,MATCH("A1",'Master sheet'!$AN$1:$AN$670,0))</f>
        <v xml:space="preserve">Asphalt Shingles / Asphalt Roofing Manufacturers Association / Fiberglass Asphalt Shingles  / </v>
      </c>
      <c r="D571" s="17">
        <f>'USER INPUT SHEET'!$D$55</f>
        <v>0</v>
      </c>
      <c r="E571" s="18" t="str">
        <f>'USER INPUT SHEET'!$F$37</f>
        <v>m2</v>
      </c>
      <c r="F571" s="4">
        <v>1</v>
      </c>
      <c r="G571" s="674"/>
      <c r="H571" s="9"/>
      <c r="I571" s="95">
        <f t="shared" si="210"/>
        <v>0</v>
      </c>
      <c r="J571" s="96" t="str">
        <f t="shared" si="211"/>
        <v/>
      </c>
      <c r="K571" s="407">
        <f>$D571*$F571*VLOOKUP($C571,'Master sheet'!$A:$AL,13,FALSE)</f>
        <v>0</v>
      </c>
      <c r="L571" s="97">
        <f>$D571*$F571*VLOOKUP($C571,'Master sheet'!$A:$AL,27,FALSE)</f>
        <v>0</v>
      </c>
      <c r="M571" s="1552"/>
      <c r="N571" s="1552"/>
      <c r="O571" s="25" t="str">
        <f>_xlfn.IFNA(VLOOKUP($C571,'Master sheet'!$A:$AR,44,FALSE),"")&amp;""</f>
        <v/>
      </c>
      <c r="P571" s="685"/>
      <c r="Q571" s="29" t="s">
        <v>1556</v>
      </c>
      <c r="R571" s="875" t="s">
        <v>1604</v>
      </c>
      <c r="S571" s="664"/>
      <c r="T571" s="664"/>
      <c r="U571" s="664"/>
      <c r="V571" s="664"/>
      <c r="W571" s="664"/>
      <c r="X571" s="664"/>
      <c r="Y571" s="664"/>
      <c r="Z571" s="664"/>
    </row>
    <row r="572" spans="1:26" ht="23.25" customHeight="1" outlineLevel="1" x14ac:dyDescent="0.3">
      <c r="A572" s="1564"/>
      <c r="B572" s="1564"/>
      <c r="C572" s="673" t="str">
        <f>INDEX('Master sheet'!$A$1:$A$670,MATCH("A4",'Master sheet'!$AN$1:$AN$670,0))</f>
        <v xml:space="preserve">Asphalt Shingles / Malarkey Roofing / Dura-Seal / </v>
      </c>
      <c r="D572" s="17">
        <f>'USER INPUT SHEET'!$D$55</f>
        <v>0</v>
      </c>
      <c r="E572" s="18" t="str">
        <f>'USER INPUT SHEET'!$F$37</f>
        <v>m2</v>
      </c>
      <c r="F572" s="4">
        <v>1</v>
      </c>
      <c r="G572" s="674"/>
      <c r="H572" s="9"/>
      <c r="I572" s="95">
        <f t="shared" si="210"/>
        <v>0</v>
      </c>
      <c r="J572" s="96" t="str">
        <f t="shared" si="211"/>
        <v/>
      </c>
      <c r="K572" s="407">
        <f>$D572*$F572*VLOOKUP($C572,'Master sheet'!$A:$AL,13,FALSE)</f>
        <v>0</v>
      </c>
      <c r="L572" s="97">
        <f>$D572*$F572*VLOOKUP($C572,'Master sheet'!$A:$AL,27,FALSE)</f>
        <v>0</v>
      </c>
      <c r="M572" s="1552"/>
      <c r="N572" s="1552"/>
      <c r="O572" s="25" t="str">
        <f>_xlfn.IFNA(VLOOKUP($C572,'Master sheet'!$A:$AR,44,FALSE),"")&amp;""</f>
        <v/>
      </c>
      <c r="P572" s="685"/>
      <c r="Q572" s="29" t="s">
        <v>1556</v>
      </c>
      <c r="R572" s="875" t="s">
        <v>1604</v>
      </c>
      <c r="S572" s="664"/>
      <c r="T572" s="664"/>
      <c r="U572" s="664"/>
      <c r="V572" s="664"/>
      <c r="W572" s="664"/>
      <c r="X572" s="664"/>
      <c r="Y572" s="664"/>
      <c r="Z572" s="664"/>
    </row>
    <row r="573" spans="1:26" ht="23.25" customHeight="1" outlineLevel="1" x14ac:dyDescent="0.3">
      <c r="A573" s="1564"/>
      <c r="B573" s="1564"/>
      <c r="C573" s="673" t="str">
        <f>INDEX('Master sheet'!$A$1:$A$670,MATCH("A2",'Master sheet'!$AN$1:$AN$670,0))</f>
        <v xml:space="preserve">Asphalt Shingles / Malarkey Roofing / Ecoasis NEX / </v>
      </c>
      <c r="D573" s="17">
        <f>'USER INPUT SHEET'!$D$55</f>
        <v>0</v>
      </c>
      <c r="E573" s="18" t="str">
        <f>'USER INPUT SHEET'!$F$37</f>
        <v>m2</v>
      </c>
      <c r="F573" s="4">
        <v>1</v>
      </c>
      <c r="G573" s="674"/>
      <c r="H573" s="9"/>
      <c r="I573" s="95">
        <f t="shared" si="210"/>
        <v>0</v>
      </c>
      <c r="J573" s="96" t="str">
        <f t="shared" si="211"/>
        <v/>
      </c>
      <c r="K573" s="407">
        <f>$D573*$F573*VLOOKUP($C573,'Master sheet'!$A:$AL,13,FALSE)</f>
        <v>0</v>
      </c>
      <c r="L573" s="97">
        <f>$D573*$F573*VLOOKUP($C573,'Master sheet'!$A:$AL,27,FALSE)</f>
        <v>0</v>
      </c>
      <c r="M573" s="1552"/>
      <c r="N573" s="1552"/>
      <c r="O573" s="25" t="str">
        <f>_xlfn.IFNA(VLOOKUP($C573,'Master sheet'!$A:$AR,44,FALSE),"")&amp;""</f>
        <v/>
      </c>
      <c r="P573" s="685"/>
      <c r="Q573" s="29" t="s">
        <v>1556</v>
      </c>
      <c r="R573" s="875" t="s">
        <v>1604</v>
      </c>
      <c r="S573" s="664"/>
      <c r="T573" s="664"/>
      <c r="U573" s="664"/>
      <c r="V573" s="664"/>
      <c r="W573" s="664"/>
      <c r="X573" s="664"/>
      <c r="Y573" s="664"/>
      <c r="Z573" s="664"/>
    </row>
    <row r="574" spans="1:26" ht="23.25" customHeight="1" outlineLevel="1" x14ac:dyDescent="0.3">
      <c r="A574" s="1564"/>
      <c r="B574" s="1564"/>
      <c r="C574" s="673" t="str">
        <f>INDEX('Master sheet'!$A$1:$A$670,MATCH("A3",'Master sheet'!$AN$1:$AN$670,0))</f>
        <v xml:space="preserve">Asphalt Shingles / Malarkey Roofing / Ecoasis Premium / </v>
      </c>
      <c r="D574" s="17">
        <f>'USER INPUT SHEET'!$D$55</f>
        <v>0</v>
      </c>
      <c r="E574" s="18" t="str">
        <f>'USER INPUT SHEET'!$F$37</f>
        <v>m2</v>
      </c>
      <c r="F574" s="4">
        <v>1</v>
      </c>
      <c r="G574" s="674"/>
      <c r="H574" s="9"/>
      <c r="I574" s="95">
        <f t="shared" si="210"/>
        <v>0</v>
      </c>
      <c r="J574" s="96" t="str">
        <f t="shared" si="211"/>
        <v/>
      </c>
      <c r="K574" s="407">
        <f>$D574*$F574*VLOOKUP($C574,'Master sheet'!$A:$AL,13,FALSE)</f>
        <v>0</v>
      </c>
      <c r="L574" s="97">
        <f>$D574*$F574*VLOOKUP($C574,'Master sheet'!$A:$AL,27,FALSE)</f>
        <v>0</v>
      </c>
      <c r="M574" s="1552"/>
      <c r="N574" s="1552"/>
      <c r="O574" s="25" t="str">
        <f>_xlfn.IFNA(VLOOKUP($C574,'Master sheet'!$A:$AR,44,FALSE),"")&amp;""</f>
        <v/>
      </c>
      <c r="P574" s="685"/>
      <c r="Q574" s="29" t="s">
        <v>1556</v>
      </c>
      <c r="R574" s="875" t="s">
        <v>1604</v>
      </c>
      <c r="S574" s="664"/>
      <c r="T574" s="664"/>
      <c r="U574" s="664"/>
      <c r="V574" s="664"/>
      <c r="W574" s="664"/>
      <c r="X574" s="664"/>
      <c r="Y574" s="664"/>
      <c r="Z574" s="664"/>
    </row>
    <row r="575" spans="1:26" ht="23.25" customHeight="1" outlineLevel="1" x14ac:dyDescent="0.3">
      <c r="A575" s="1564"/>
      <c r="B575" s="1564"/>
      <c r="C575" s="673" t="str">
        <f>INDEX('Master sheet'!$A$1:$A$670,MATCH("A5",'Master sheet'!$AN$1:$AN$670,0))</f>
        <v xml:space="preserve">Asphalt Shingles / Malarkey Roofing / Highlander NEX / </v>
      </c>
      <c r="D575" s="17">
        <f>'USER INPUT SHEET'!$D$55</f>
        <v>0</v>
      </c>
      <c r="E575" s="18" t="str">
        <f>'USER INPUT SHEET'!$F$37</f>
        <v>m2</v>
      </c>
      <c r="F575" s="4">
        <v>1</v>
      </c>
      <c r="G575" s="674"/>
      <c r="H575" s="9"/>
      <c r="I575" s="95">
        <f t="shared" si="210"/>
        <v>0</v>
      </c>
      <c r="J575" s="96" t="str">
        <f t="shared" si="211"/>
        <v/>
      </c>
      <c r="K575" s="407">
        <f>$D575*$F575*VLOOKUP($C575,'Master sheet'!$A:$AL,13,FALSE)</f>
        <v>0</v>
      </c>
      <c r="L575" s="97">
        <f>$D575*$F575*VLOOKUP($C575,'Master sheet'!$A:$AL,27,FALSE)</f>
        <v>0</v>
      </c>
      <c r="M575" s="1552"/>
      <c r="N575" s="1552"/>
      <c r="O575" s="25" t="str">
        <f>_xlfn.IFNA(VLOOKUP($C575,'Master sheet'!$A:$AR,44,FALSE),"")&amp;""</f>
        <v/>
      </c>
      <c r="P575" s="685"/>
      <c r="Q575" s="29" t="s">
        <v>1556</v>
      </c>
      <c r="R575" s="875" t="s">
        <v>1604</v>
      </c>
      <c r="S575" s="664"/>
      <c r="T575" s="664"/>
      <c r="U575" s="664"/>
      <c r="V575" s="664"/>
      <c r="W575" s="664"/>
      <c r="X575" s="664"/>
      <c r="Y575" s="664"/>
      <c r="Z575" s="664"/>
    </row>
    <row r="576" spans="1:26" ht="23.25" customHeight="1" outlineLevel="1" x14ac:dyDescent="0.3">
      <c r="A576" s="1564"/>
      <c r="B576" s="1564"/>
      <c r="C576" s="673" t="str">
        <f>INDEX('Master sheet'!$A$1:$A$670,MATCH("A6",'Master sheet'!$AN$1:$AN$670,0))</f>
        <v xml:space="preserve">Asphalt Shingles / Malarkey Roofing / Legacy / </v>
      </c>
      <c r="D576" s="17">
        <f>'USER INPUT SHEET'!$D$55</f>
        <v>0</v>
      </c>
      <c r="E576" s="18" t="str">
        <f>'USER INPUT SHEET'!$F$37</f>
        <v>m2</v>
      </c>
      <c r="F576" s="4">
        <v>1</v>
      </c>
      <c r="G576" s="674"/>
      <c r="H576" s="9"/>
      <c r="I576" s="95">
        <f t="shared" si="210"/>
        <v>0</v>
      </c>
      <c r="J576" s="96" t="str">
        <f t="shared" si="211"/>
        <v/>
      </c>
      <c r="K576" s="407">
        <f>$D576*$F576*VLOOKUP($C576,'Master sheet'!$A:$AL,13,FALSE)</f>
        <v>0</v>
      </c>
      <c r="L576" s="97">
        <f>$D576*$F576*VLOOKUP($C576,'Master sheet'!$A:$AL,27,FALSE)</f>
        <v>0</v>
      </c>
      <c r="M576" s="1552"/>
      <c r="N576" s="1552"/>
      <c r="O576" s="25" t="str">
        <f>_xlfn.IFNA(VLOOKUP($C576,'Master sheet'!$A:$AR,44,FALSE),"")&amp;""</f>
        <v/>
      </c>
      <c r="P576" s="685"/>
      <c r="Q576" s="29" t="s">
        <v>1556</v>
      </c>
      <c r="R576" s="875" t="s">
        <v>1604</v>
      </c>
      <c r="S576" s="664"/>
      <c r="T576" s="664"/>
      <c r="U576" s="664"/>
      <c r="V576" s="664"/>
      <c r="W576" s="664"/>
      <c r="X576" s="664"/>
      <c r="Y576" s="664"/>
      <c r="Z576" s="664"/>
    </row>
    <row r="577" spans="1:26" ht="23.25" customHeight="1" outlineLevel="1" x14ac:dyDescent="0.3">
      <c r="A577" s="1564"/>
      <c r="B577" s="1564"/>
      <c r="C577" s="673" t="str">
        <f>INDEX('Master sheet'!$A$1:$A$670,MATCH("A7",'Master sheet'!$AN$1:$AN$670,0))</f>
        <v xml:space="preserve">Asphalt Shingles / Malarkey Roofing / Vista / </v>
      </c>
      <c r="D577" s="17">
        <f>'USER INPUT SHEET'!$D$55</f>
        <v>0</v>
      </c>
      <c r="E577" s="18" t="str">
        <f>'USER INPUT SHEET'!$F$37</f>
        <v>m2</v>
      </c>
      <c r="F577" s="4">
        <v>1</v>
      </c>
      <c r="G577" s="674"/>
      <c r="H577" s="9"/>
      <c r="I577" s="95">
        <f t="shared" si="210"/>
        <v>0</v>
      </c>
      <c r="J577" s="96" t="str">
        <f t="shared" si="211"/>
        <v/>
      </c>
      <c r="K577" s="407">
        <f>$D577*$F577*VLOOKUP($C577,'Master sheet'!$A:$AL,13,FALSE)</f>
        <v>0</v>
      </c>
      <c r="L577" s="97">
        <f>$D577*$F577*VLOOKUP($C577,'Master sheet'!$A:$AL,27,FALSE)</f>
        <v>0</v>
      </c>
      <c r="M577" s="1552"/>
      <c r="N577" s="1552"/>
      <c r="O577" s="25" t="str">
        <f>_xlfn.IFNA(VLOOKUP($C577,'Master sheet'!$A:$AR,44,FALSE),"")&amp;""</f>
        <v/>
      </c>
      <c r="P577" s="685"/>
      <c r="Q577" s="29" t="s">
        <v>1556</v>
      </c>
      <c r="R577" s="875" t="s">
        <v>1604</v>
      </c>
      <c r="S577" s="664"/>
      <c r="T577" s="664"/>
      <c r="U577" s="664"/>
      <c r="V577" s="664"/>
      <c r="W577" s="664"/>
      <c r="X577" s="664"/>
      <c r="Y577" s="664"/>
      <c r="Z577" s="664"/>
    </row>
    <row r="578" spans="1:26" s="624" customFormat="1" ht="23.25" customHeight="1" outlineLevel="1" x14ac:dyDescent="0.3">
      <c r="A578" s="1564"/>
      <c r="B578" s="1564"/>
      <c r="C578" s="673" t="str">
        <f>INDEX('Master sheet'!$A$1:$A$670,MATCH("A8",'Master sheet'!$AN$1:$AN$670,0))</f>
        <v xml:space="preserve">Asphalt Shingles / Malarkey Roofing / Windsor / </v>
      </c>
      <c r="D578" s="17">
        <f>'USER INPUT SHEET'!$D$55</f>
        <v>0</v>
      </c>
      <c r="E578" s="18" t="str">
        <f>'USER INPUT SHEET'!$F$37</f>
        <v>m2</v>
      </c>
      <c r="F578" s="4">
        <v>1</v>
      </c>
      <c r="G578" s="674"/>
      <c r="H578" s="9"/>
      <c r="I578" s="95">
        <f t="shared" si="208"/>
        <v>0</v>
      </c>
      <c r="J578" s="96" t="str">
        <f t="shared" si="209"/>
        <v/>
      </c>
      <c r="K578" s="407">
        <f>$D578*$F578*VLOOKUP($C578,'Master sheet'!$A:$AL,13,FALSE)</f>
        <v>0</v>
      </c>
      <c r="L578" s="97">
        <f>$D578*$F578*VLOOKUP($C578,'Master sheet'!$A:$AL,27,FALSE)</f>
        <v>0</v>
      </c>
      <c r="M578" s="1559"/>
      <c r="N578" s="1559"/>
      <c r="O578" s="25" t="str">
        <f>_xlfn.IFNA(VLOOKUP($C578,'Master sheet'!$A:$AR,44,FALSE),"")&amp;""</f>
        <v/>
      </c>
      <c r="P578" s="637"/>
      <c r="Q578" s="29" t="s">
        <v>1556</v>
      </c>
      <c r="R578" s="875" t="s">
        <v>1604</v>
      </c>
      <c r="S578" s="638"/>
      <c r="T578" s="638"/>
      <c r="U578" s="638"/>
      <c r="V578" s="638"/>
      <c r="W578" s="638"/>
      <c r="X578" s="638"/>
      <c r="Y578" s="638"/>
      <c r="Z578" s="638"/>
    </row>
    <row r="579" spans="1:26" s="624" customFormat="1" ht="22.8" outlineLevel="1" x14ac:dyDescent="0.3">
      <c r="A579" s="639"/>
      <c r="B579" s="1524" t="s">
        <v>1082</v>
      </c>
      <c r="C579" s="1523"/>
      <c r="D579" s="640"/>
      <c r="E579" s="641"/>
      <c r="F579" s="325"/>
      <c r="G579" s="678"/>
      <c r="H579" s="679"/>
      <c r="I579" s="642"/>
      <c r="J579" s="643"/>
      <c r="K579" s="676"/>
      <c r="L579" s="677"/>
      <c r="M579" s="677"/>
      <c r="N579" s="677"/>
      <c r="O579" s="25" t="str">
        <f>_xlfn.IFNA(VLOOKUP($C579,'Master sheet'!$A:$AR,44,FALSE),"")&amp;""</f>
        <v/>
      </c>
      <c r="P579" s="637"/>
      <c r="Q579" s="29" t="s">
        <v>1556</v>
      </c>
      <c r="R579" s="875" t="s">
        <v>1604</v>
      </c>
      <c r="S579" s="638"/>
      <c r="T579" s="638"/>
      <c r="U579" s="638"/>
      <c r="V579" s="638"/>
      <c r="W579" s="638"/>
      <c r="X579" s="638"/>
      <c r="Y579" s="638"/>
      <c r="Z579" s="638"/>
    </row>
    <row r="580" spans="1:26" ht="22.8" outlineLevel="1" x14ac:dyDescent="0.3">
      <c r="A580" s="729"/>
      <c r="B580" s="729"/>
      <c r="C580" s="691" t="s">
        <v>1084</v>
      </c>
      <c r="D580" s="19">
        <f>'USER INPUT SHEET'!$D$55</f>
        <v>0</v>
      </c>
      <c r="E580" s="20" t="str">
        <f>'USER INPUT SHEET'!$F$37</f>
        <v>m2</v>
      </c>
      <c r="F580" s="6">
        <v>1</v>
      </c>
      <c r="G580" s="692"/>
      <c r="H580" s="10"/>
      <c r="I580" s="98">
        <f>K580-L580</f>
        <v>0</v>
      </c>
      <c r="J580" s="91" t="str">
        <f>IF(H580=1,I580,"")</f>
        <v/>
      </c>
      <c r="K580" s="410">
        <f>F580*AVERAGE(K581:K586)</f>
        <v>0</v>
      </c>
      <c r="L580" s="99">
        <f>F580*AVERAGE(L581:L586)</f>
        <v>0</v>
      </c>
      <c r="M580" s="1552"/>
      <c r="N580" s="1552"/>
      <c r="O580" s="25" t="str">
        <f>_xlfn.IFNA(VLOOKUP($C580,'Master sheet'!$A:$AR,44,FALSE),"")&amp;""</f>
        <v/>
      </c>
      <c r="P580" s="685"/>
      <c r="Q580" s="29" t="s">
        <v>1556</v>
      </c>
      <c r="R580" s="875" t="s">
        <v>1604</v>
      </c>
      <c r="S580" s="664"/>
      <c r="T580" s="664"/>
      <c r="U580" s="664"/>
      <c r="V580" s="664"/>
      <c r="W580" s="664"/>
      <c r="X580" s="664"/>
      <c r="Y580" s="664"/>
      <c r="Z580" s="664"/>
    </row>
    <row r="581" spans="1:26" ht="23.25" customHeight="1" outlineLevel="1" x14ac:dyDescent="0.3">
      <c r="A581" s="619"/>
      <c r="B581" s="619"/>
      <c r="C581" s="669" t="str">
        <f>INDEX('Master sheet'!$A$1:$A$670,MATCH(144,'Master sheet'!$AN$1:$AN$670,0))</f>
        <v>Metal Panels - Steel / Metal Construction Assn. / 24 gauge</v>
      </c>
      <c r="D581" s="15">
        <f>'USER INPUT SHEET'!$D$55</f>
        <v>0</v>
      </c>
      <c r="E581" s="16" t="str">
        <f>'USER INPUT SHEET'!$F$37</f>
        <v>m2</v>
      </c>
      <c r="F581" s="3">
        <v>1</v>
      </c>
      <c r="G581" s="670"/>
      <c r="H581" s="8"/>
      <c r="I581" s="92">
        <f t="shared" ref="I581:I586" si="212">K581-L581</f>
        <v>0</v>
      </c>
      <c r="J581" s="93" t="str">
        <f t="shared" ref="J581:J586" si="213">IF(H581=1,I581,"")</f>
        <v/>
      </c>
      <c r="K581" s="406">
        <f>$D581*$F581*VLOOKUP($C581,'Master sheet'!$A:$AL,13,FALSE)</f>
        <v>0</v>
      </c>
      <c r="L581" s="94">
        <f>$D581*$F581*VLOOKUP($C581,'Master sheet'!$A:$AL,27,FALSE)</f>
        <v>0</v>
      </c>
      <c r="M581" s="1552"/>
      <c r="N581" s="1552"/>
      <c r="O581" s="25" t="str">
        <f ca="1">_xlfn.IFNA(VLOOKUP($C581,'Master sheet'!$A:$AR,44,FALSE),"")&amp;""</f>
        <v>Expired 2025</v>
      </c>
      <c r="P581" s="685"/>
      <c r="Q581" s="29" t="s">
        <v>1556</v>
      </c>
      <c r="R581" s="875" t="s">
        <v>1604</v>
      </c>
      <c r="S581" s="664"/>
      <c r="T581" s="664"/>
      <c r="U581" s="664"/>
      <c r="V581" s="664"/>
      <c r="W581" s="664"/>
      <c r="X581" s="664"/>
      <c r="Y581" s="664"/>
      <c r="Z581" s="664"/>
    </row>
    <row r="582" spans="1:26" ht="31.2" outlineLevel="1" x14ac:dyDescent="0.3">
      <c r="A582" s="619"/>
      <c r="B582" s="619"/>
      <c r="C582" s="673" t="str">
        <f>INDEX('Master sheet'!$A$1:$A$670,MATCH("A70",'Master sheet'!$AN$1:$AN$670,0))</f>
        <v>Metal Panels - Steel / AEP Span / All roofing &amp; wall products / 24 gauge</v>
      </c>
      <c r="D582" s="17">
        <f>'USER INPUT SHEET'!$D$55</f>
        <v>0</v>
      </c>
      <c r="E582" s="18" t="str">
        <f>'USER INPUT SHEET'!$F$37</f>
        <v>m2</v>
      </c>
      <c r="F582" s="4">
        <v>1</v>
      </c>
      <c r="G582" s="674"/>
      <c r="H582" s="9"/>
      <c r="I582" s="95">
        <f t="shared" si="212"/>
        <v>0</v>
      </c>
      <c r="J582" s="96" t="str">
        <f t="shared" si="213"/>
        <v/>
      </c>
      <c r="K582" s="407">
        <f>$D582*$F582*VLOOKUP($C582,'Master sheet'!$A:$AL,13,FALSE)</f>
        <v>0</v>
      </c>
      <c r="L582" s="97">
        <f>$D582*$F582*VLOOKUP($C582,'Master sheet'!$A:$AL,27,FALSE)</f>
        <v>0</v>
      </c>
      <c r="M582" s="1552"/>
      <c r="N582" s="1552"/>
      <c r="O582" s="25" t="str">
        <f>_xlfn.IFNA(VLOOKUP($C582,'Master sheet'!$A:$AR,44,FALSE),"")&amp;""</f>
        <v/>
      </c>
      <c r="P582" s="637"/>
      <c r="Q582" s="29" t="s">
        <v>1556</v>
      </c>
      <c r="R582" s="875" t="s">
        <v>1604</v>
      </c>
      <c r="S582" s="638"/>
      <c r="T582" s="638"/>
      <c r="U582" s="638"/>
      <c r="V582" s="638"/>
      <c r="W582" s="638"/>
      <c r="X582" s="638"/>
      <c r="Y582" s="664"/>
      <c r="Z582" s="664"/>
    </row>
    <row r="583" spans="1:26" ht="23.25" customHeight="1" outlineLevel="1" x14ac:dyDescent="0.3">
      <c r="A583" s="619"/>
      <c r="B583" s="619"/>
      <c r="C583" s="673" t="str">
        <f>INDEX('Master sheet'!$A$1:$A$670,MATCH("A71",'Master sheet'!$AN$1:$AN$670,0))</f>
        <v>Metal Panels - Steel / ArcelorMittal / XCarb RRP / 24 gauge</v>
      </c>
      <c r="D583" s="17">
        <f>'USER INPUT SHEET'!$D$55</f>
        <v>0</v>
      </c>
      <c r="E583" s="18" t="str">
        <f>'USER INPUT SHEET'!$F$37</f>
        <v>m2</v>
      </c>
      <c r="F583" s="4">
        <v>1</v>
      </c>
      <c r="G583" s="674"/>
      <c r="H583" s="9"/>
      <c r="I583" s="95">
        <f t="shared" si="212"/>
        <v>0</v>
      </c>
      <c r="J583" s="96" t="str">
        <f t="shared" si="213"/>
        <v/>
      </c>
      <c r="K583" s="407">
        <f>$D583*$F583*VLOOKUP($C583,'Master sheet'!$A:$AL,13,FALSE)</f>
        <v>0</v>
      </c>
      <c r="L583" s="97">
        <f>$D583*$F583*VLOOKUP($C583,'Master sheet'!$A:$AL,27,FALSE)</f>
        <v>0</v>
      </c>
      <c r="M583" s="1552"/>
      <c r="N583" s="1552"/>
      <c r="O583" s="25" t="str">
        <f>_xlfn.IFNA(VLOOKUP($C583,'Master sheet'!$A:$AR,44,FALSE),"")&amp;""</f>
        <v/>
      </c>
      <c r="P583" s="637"/>
      <c r="Q583" s="29" t="s">
        <v>1556</v>
      </c>
      <c r="R583" s="875" t="s">
        <v>1604</v>
      </c>
      <c r="S583" s="638"/>
      <c r="T583" s="638"/>
      <c r="U583" s="638"/>
      <c r="V583" s="638"/>
      <c r="W583" s="638"/>
      <c r="X583" s="638"/>
      <c r="Y583" s="664"/>
      <c r="Z583" s="664"/>
    </row>
    <row r="584" spans="1:26" ht="31.2" outlineLevel="1" x14ac:dyDescent="0.3">
      <c r="A584" s="619"/>
      <c r="B584" s="619"/>
      <c r="C584" s="673" t="str">
        <f>INDEX('Master sheet'!$A$1:$A$670,MATCH("A72",'Master sheet'!$AN$1:$AN$670,0))</f>
        <v>Metal Panels - Steel / Canadian Sheet Steel Building Institute / 24 gauge</v>
      </c>
      <c r="D584" s="17">
        <f>'USER INPUT SHEET'!$D$55</f>
        <v>0</v>
      </c>
      <c r="E584" s="18" t="str">
        <f>'USER INPUT SHEET'!$F$37</f>
        <v>m2</v>
      </c>
      <c r="F584" s="4">
        <v>1</v>
      </c>
      <c r="G584" s="674"/>
      <c r="H584" s="9"/>
      <c r="I584" s="95">
        <f t="shared" si="212"/>
        <v>0</v>
      </c>
      <c r="J584" s="96" t="str">
        <f t="shared" si="213"/>
        <v/>
      </c>
      <c r="K584" s="407">
        <f>$D584*$F584*VLOOKUP($C584,'Master sheet'!$A:$AL,13,FALSE)</f>
        <v>0</v>
      </c>
      <c r="L584" s="97">
        <f>$D584*$F584*VLOOKUP($C584,'Master sheet'!$A:$AL,27,FALSE)</f>
        <v>0</v>
      </c>
      <c r="M584" s="1552"/>
      <c r="N584" s="1552"/>
      <c r="O584" s="25" t="str">
        <f>_xlfn.IFNA(VLOOKUP($C584,'Master sheet'!$A:$AR,44,FALSE),"")&amp;""</f>
        <v/>
      </c>
      <c r="P584" s="637"/>
      <c r="Q584" s="29" t="s">
        <v>1556</v>
      </c>
      <c r="R584" s="875" t="s">
        <v>1604</v>
      </c>
      <c r="S584" s="638"/>
      <c r="T584" s="638"/>
      <c r="U584" s="638"/>
      <c r="V584" s="638"/>
      <c r="W584" s="638"/>
      <c r="X584" s="638"/>
      <c r="Y584" s="664"/>
      <c r="Z584" s="664"/>
    </row>
    <row r="585" spans="1:26" ht="46.8" outlineLevel="1" x14ac:dyDescent="0.3">
      <c r="A585" s="619"/>
      <c r="B585" s="619"/>
      <c r="C585" s="673" t="str">
        <f>INDEX('Master sheet'!$A$1:$A$670,MATCH("A73",'Master sheet'!$AN$1:$AN$670,0))</f>
        <v>Metal Panels - Steel / Metal Building Manufacturers Assn / List of participating members: https://www.mbma.com/System_Members.html  / 24 gauge</v>
      </c>
      <c r="D585" s="17">
        <f>'USER INPUT SHEET'!$D$55</f>
        <v>0</v>
      </c>
      <c r="E585" s="18" t="str">
        <f>'USER INPUT SHEET'!$F$37</f>
        <v>m2</v>
      </c>
      <c r="F585" s="4">
        <v>1</v>
      </c>
      <c r="G585" s="674"/>
      <c r="H585" s="9"/>
      <c r="I585" s="95">
        <f t="shared" si="212"/>
        <v>0</v>
      </c>
      <c r="J585" s="96" t="str">
        <f t="shared" si="213"/>
        <v/>
      </c>
      <c r="K585" s="407">
        <f>$D585*$F585*VLOOKUP($C585,'Master sheet'!$A:$AL,13,FALSE)</f>
        <v>0</v>
      </c>
      <c r="L585" s="97">
        <f>$D585*$F585*VLOOKUP($C585,'Master sheet'!$A:$AL,27,FALSE)</f>
        <v>0</v>
      </c>
      <c r="M585" s="1552"/>
      <c r="N585" s="1552"/>
      <c r="O585" s="25" t="str">
        <f>_xlfn.IFNA(VLOOKUP($C585,'Master sheet'!$A:$AR,44,FALSE),"")&amp;""</f>
        <v/>
      </c>
      <c r="P585" s="637"/>
      <c r="Q585" s="29" t="s">
        <v>1556</v>
      </c>
      <c r="R585" s="875" t="s">
        <v>1604</v>
      </c>
      <c r="S585" s="638"/>
      <c r="T585" s="638"/>
      <c r="U585" s="638"/>
      <c r="V585" s="638"/>
      <c r="W585" s="638"/>
      <c r="X585" s="638"/>
      <c r="Y585" s="664"/>
      <c r="Z585" s="664"/>
    </row>
    <row r="586" spans="1:26" s="624" customFormat="1" ht="31.5" customHeight="1" outlineLevel="1" x14ac:dyDescent="0.3">
      <c r="C586" s="673" t="str">
        <f>INDEX('Master sheet'!$A$1:$A$670,MATCH("A74",'Master sheet'!$AN$1:$AN$670,0))</f>
        <v>Metal Panels - Steel / Petersen Aluminum Corp / Pac-Clad, all profiles / 24 gauge</v>
      </c>
      <c r="D586" s="17">
        <f>'USER INPUT SHEET'!$D$55</f>
        <v>0</v>
      </c>
      <c r="E586" s="18" t="str">
        <f>'USER INPUT SHEET'!$F$37</f>
        <v>m2</v>
      </c>
      <c r="F586" s="4">
        <v>1</v>
      </c>
      <c r="G586" s="674"/>
      <c r="H586" s="9"/>
      <c r="I586" s="95">
        <f t="shared" si="212"/>
        <v>0</v>
      </c>
      <c r="J586" s="96" t="str">
        <f t="shared" si="213"/>
        <v/>
      </c>
      <c r="K586" s="407">
        <f>$D586*$F586*VLOOKUP($C586,'Master sheet'!$A:$AL,13,FALSE)</f>
        <v>0</v>
      </c>
      <c r="L586" s="97">
        <f>$D586*$F586*VLOOKUP($C586,'Master sheet'!$A:$AL,27,FALSE)</f>
        <v>0</v>
      </c>
      <c r="M586" s="1559"/>
      <c r="N586" s="1559"/>
      <c r="O586" s="25" t="str">
        <f>_xlfn.IFNA(VLOOKUP($C586,'Master sheet'!$A:$AR,44,FALSE),"")&amp;""</f>
        <v/>
      </c>
      <c r="P586" s="637"/>
      <c r="Q586" s="29" t="s">
        <v>1556</v>
      </c>
      <c r="R586" s="875" t="s">
        <v>1604</v>
      </c>
      <c r="S586" s="638"/>
      <c r="T586" s="638"/>
      <c r="U586" s="638"/>
      <c r="V586" s="638"/>
      <c r="W586" s="638"/>
      <c r="X586" s="638"/>
      <c r="Y586" s="638"/>
      <c r="Z586" s="638"/>
    </row>
    <row r="587" spans="1:26" s="624" customFormat="1" ht="22.8" outlineLevel="1" x14ac:dyDescent="0.3">
      <c r="A587" s="639"/>
      <c r="B587" s="1524" t="s">
        <v>1083</v>
      </c>
      <c r="C587" s="1523"/>
      <c r="D587" s="640"/>
      <c r="E587" s="641"/>
      <c r="F587" s="325"/>
      <c r="G587" s="678"/>
      <c r="H587" s="679"/>
      <c r="I587" s="642"/>
      <c r="J587" s="643"/>
      <c r="K587" s="676"/>
      <c r="L587" s="677"/>
      <c r="M587" s="677"/>
      <c r="N587" s="677"/>
      <c r="O587" s="25" t="str">
        <f>_xlfn.IFNA(VLOOKUP($C587,'Master sheet'!$A:$AR,44,FALSE),"")&amp;""</f>
        <v/>
      </c>
      <c r="P587" s="637"/>
      <c r="Q587" s="29" t="s">
        <v>1556</v>
      </c>
      <c r="R587" s="875" t="s">
        <v>1604</v>
      </c>
      <c r="S587" s="638"/>
      <c r="T587" s="638"/>
      <c r="U587" s="638"/>
      <c r="V587" s="638"/>
      <c r="W587" s="638"/>
      <c r="X587" s="638"/>
      <c r="Y587" s="638"/>
      <c r="Z587" s="638"/>
    </row>
    <row r="588" spans="1:26" ht="22.8" outlineLevel="1" x14ac:dyDescent="0.3">
      <c r="A588" s="729"/>
      <c r="B588" s="729"/>
      <c r="C588" s="691" t="s">
        <v>1085</v>
      </c>
      <c r="D588" s="19">
        <f>'USER INPUT SHEET'!$D$55</f>
        <v>0</v>
      </c>
      <c r="E588" s="20" t="str">
        <f>'USER INPUT SHEET'!$F$37</f>
        <v>m2</v>
      </c>
      <c r="F588" s="6">
        <v>1</v>
      </c>
      <c r="G588" s="692"/>
      <c r="H588" s="10"/>
      <c r="I588" s="98">
        <f>K588-L588</f>
        <v>0</v>
      </c>
      <c r="J588" s="91" t="str">
        <f>IF(H588=1,I588,"")</f>
        <v/>
      </c>
      <c r="K588" s="410">
        <f>F588*AVERAGE(K589:K590)</f>
        <v>0</v>
      </c>
      <c r="L588" s="99">
        <f>F588*AVERAGE(L589:L590)</f>
        <v>0</v>
      </c>
      <c r="M588" s="1552"/>
      <c r="N588" s="1552"/>
      <c r="O588" s="25" t="str">
        <f>_xlfn.IFNA(VLOOKUP($C588,'Master sheet'!$A:$AR,44,FALSE),"")&amp;""</f>
        <v/>
      </c>
      <c r="P588" s="685"/>
      <c r="Q588" s="29" t="s">
        <v>1556</v>
      </c>
      <c r="R588" s="875" t="s">
        <v>1604</v>
      </c>
      <c r="S588" s="664"/>
      <c r="T588" s="664"/>
      <c r="U588" s="664"/>
      <c r="V588" s="664"/>
      <c r="W588" s="664"/>
      <c r="X588" s="664"/>
      <c r="Y588" s="664"/>
      <c r="Z588" s="664"/>
    </row>
    <row r="589" spans="1:26" ht="31.5" customHeight="1" outlineLevel="1" x14ac:dyDescent="0.3">
      <c r="A589" s="1600"/>
      <c r="B589" s="1564"/>
      <c r="C589" s="669" t="str">
        <f>INDEX('Master sheet'!$A$1:$A$670,MATCH(138,'Master sheet'!$AN$1:$AN$670,0))</f>
        <v>Metal Panels - Aluminum / Metal Construction Assn. / 22 gauge / Includes: ATAS, DMI, Englert, Fabral,McElroy, Pac-Clad</v>
      </c>
      <c r="D589" s="15">
        <f>'USER INPUT SHEET'!$D$55</f>
        <v>0</v>
      </c>
      <c r="E589" s="16" t="str">
        <f>'USER INPUT SHEET'!$F$37</f>
        <v>m2</v>
      </c>
      <c r="F589" s="3">
        <v>1</v>
      </c>
      <c r="G589" s="670"/>
      <c r="H589" s="8"/>
      <c r="I589" s="92">
        <f t="shared" si="208"/>
        <v>0</v>
      </c>
      <c r="J589" s="93" t="str">
        <f t="shared" si="209"/>
        <v/>
      </c>
      <c r="K589" s="406">
        <f>$D589*$F589*VLOOKUP($C589,'Master sheet'!$A:$AL,13,FALSE)</f>
        <v>0</v>
      </c>
      <c r="L589" s="94">
        <f>$D589*$F589*VLOOKUP($C589,'Master sheet'!$A:$AL,27,FALSE)</f>
        <v>0</v>
      </c>
      <c r="M589" s="1552"/>
      <c r="N589" s="1552"/>
      <c r="O589" s="25" t="str">
        <f ca="1">_xlfn.IFNA(VLOOKUP($C589,'Master sheet'!$A:$AR,44,FALSE),"")&amp;""</f>
        <v/>
      </c>
      <c r="P589" s="685"/>
      <c r="Q589" s="29" t="s">
        <v>1556</v>
      </c>
      <c r="R589" s="875" t="s">
        <v>1604</v>
      </c>
      <c r="S589" s="664"/>
      <c r="T589" s="664"/>
      <c r="U589" s="664"/>
      <c r="V589" s="664"/>
      <c r="W589" s="664"/>
      <c r="X589" s="664"/>
      <c r="Y589" s="664"/>
      <c r="Z589" s="664"/>
    </row>
    <row r="590" spans="1:26" s="624" customFormat="1" ht="31.5" customHeight="1" outlineLevel="1" x14ac:dyDescent="0.3">
      <c r="A590" s="1564"/>
      <c r="B590" s="1564"/>
      <c r="C590" s="673" t="str">
        <f>INDEX('Master sheet'!$A$1:$A$670,MATCH("A69",'Master sheet'!$AN$1:$AN$670,0))</f>
        <v>Metal Panels - Aluminum / Petersen Aluminum Corp / Pac-Clad, all profiles / 20 gauge</v>
      </c>
      <c r="D590" s="17">
        <f>'USER INPUT SHEET'!$D$55</f>
        <v>0</v>
      </c>
      <c r="E590" s="18" t="str">
        <f>'USER INPUT SHEET'!$F$37</f>
        <v>m2</v>
      </c>
      <c r="F590" s="4">
        <v>1</v>
      </c>
      <c r="G590" s="674"/>
      <c r="H590" s="9"/>
      <c r="I590" s="95">
        <f t="shared" si="208"/>
        <v>0</v>
      </c>
      <c r="J590" s="96" t="str">
        <f t="shared" si="209"/>
        <v/>
      </c>
      <c r="K590" s="407">
        <f>$D590*$F590*VLOOKUP($C590,'Master sheet'!$A:$AL,13,FALSE)</f>
        <v>0</v>
      </c>
      <c r="L590" s="97">
        <f>$D590*$F590*VLOOKUP($C590,'Master sheet'!$A:$AL,27,FALSE)</f>
        <v>0</v>
      </c>
      <c r="M590" s="1559"/>
      <c r="N590" s="1559"/>
      <c r="O590" s="25" t="str">
        <f>_xlfn.IFNA(VLOOKUP($C590,'Master sheet'!$A:$AR,44,FALSE),"")&amp;""</f>
        <v/>
      </c>
      <c r="P590" s="637"/>
      <c r="Q590" s="29" t="s">
        <v>1556</v>
      </c>
      <c r="R590" s="875" t="s">
        <v>1604</v>
      </c>
      <c r="S590" s="638"/>
      <c r="T590" s="638"/>
      <c r="U590" s="638"/>
      <c r="V590" s="638"/>
      <c r="W590" s="638"/>
      <c r="X590" s="638"/>
      <c r="Y590" s="638"/>
      <c r="Z590" s="638"/>
    </row>
    <row r="591" spans="1:26" s="624" customFormat="1" ht="22.8" outlineLevel="1" x14ac:dyDescent="0.3">
      <c r="A591" s="639"/>
      <c r="B591" s="1524" t="s">
        <v>964</v>
      </c>
      <c r="C591" s="1523"/>
      <c r="D591" s="640"/>
      <c r="E591" s="641"/>
      <c r="F591" s="325"/>
      <c r="G591" s="678"/>
      <c r="H591" s="679"/>
      <c r="I591" s="642"/>
      <c r="J591" s="643"/>
      <c r="K591" s="676"/>
      <c r="L591" s="677"/>
      <c r="M591" s="677"/>
      <c r="N591" s="677"/>
      <c r="O591" s="25" t="str">
        <f>_xlfn.IFNA(VLOOKUP($C591,'Master sheet'!$A:$AR,44,FALSE),"")&amp;""</f>
        <v/>
      </c>
      <c r="P591" s="637"/>
      <c r="Q591" s="29" t="s">
        <v>1556</v>
      </c>
      <c r="R591" s="875" t="s">
        <v>1604</v>
      </c>
      <c r="S591" s="638"/>
      <c r="T591" s="638"/>
      <c r="U591" s="638"/>
      <c r="V591" s="638"/>
      <c r="W591" s="638"/>
      <c r="X591" s="638"/>
      <c r="Y591" s="638"/>
      <c r="Z591" s="638"/>
    </row>
    <row r="592" spans="1:26" ht="22.8" outlineLevel="1" x14ac:dyDescent="0.3">
      <c r="A592" s="729"/>
      <c r="B592" s="729"/>
      <c r="C592" s="691" t="s">
        <v>1086</v>
      </c>
      <c r="D592" s="19">
        <f>'USER INPUT SHEET'!$D$55</f>
        <v>0</v>
      </c>
      <c r="E592" s="20" t="str">
        <f>'USER INPUT SHEET'!$F$37</f>
        <v>m2</v>
      </c>
      <c r="F592" s="6">
        <v>1</v>
      </c>
      <c r="G592" s="692"/>
      <c r="H592" s="10"/>
      <c r="I592" s="98">
        <f>K592-L592</f>
        <v>0</v>
      </c>
      <c r="J592" s="91" t="str">
        <f>IF(H592=1,I592,"")</f>
        <v/>
      </c>
      <c r="K592" s="410">
        <f>F592*AVERAGE(K593:K594)</f>
        <v>0</v>
      </c>
      <c r="L592" s="99">
        <f>F592*AVERAGE(L593:L594)</f>
        <v>0</v>
      </c>
      <c r="M592" s="1552"/>
      <c r="N592" s="1552"/>
      <c r="O592" s="25" t="str">
        <f>_xlfn.IFNA(VLOOKUP($C592,'Master sheet'!$A:$AR,44,FALSE),"")&amp;""</f>
        <v/>
      </c>
      <c r="P592" s="685"/>
      <c r="Q592" s="29" t="s">
        <v>1556</v>
      </c>
      <c r="R592" s="875" t="s">
        <v>1604</v>
      </c>
      <c r="S592" s="664"/>
      <c r="T592" s="664"/>
      <c r="U592" s="664"/>
      <c r="V592" s="664"/>
      <c r="W592" s="664"/>
      <c r="X592" s="664"/>
      <c r="Y592" s="664"/>
      <c r="Z592" s="664"/>
    </row>
    <row r="593" spans="1:26" ht="23.25" customHeight="1" outlineLevel="1" x14ac:dyDescent="0.3">
      <c r="A593" s="1600"/>
      <c r="B593" s="1564"/>
      <c r="C593" s="669" t="str">
        <f>INDEX('Master sheet'!$A$1:$A$670,MATCH(97,'Master sheet'!$AN$1:$AN$670,0))</f>
        <v>Fiber Cement roofing / Cembrit / Corrugated sheets / 6.5 mm</v>
      </c>
      <c r="D593" s="15">
        <f>'USER INPUT SHEET'!$D$55</f>
        <v>0</v>
      </c>
      <c r="E593" s="16" t="str">
        <f>'USER INPUT SHEET'!$F$37</f>
        <v>m2</v>
      </c>
      <c r="F593" s="3">
        <v>1</v>
      </c>
      <c r="G593" s="670"/>
      <c r="H593" s="8"/>
      <c r="I593" s="92">
        <f t="shared" si="208"/>
        <v>0</v>
      </c>
      <c r="J593" s="93" t="str">
        <f t="shared" si="209"/>
        <v/>
      </c>
      <c r="K593" s="406">
        <f>$D593*$F593*VLOOKUP($C593,'Master sheet'!$A:$AL,13,FALSE)</f>
        <v>0</v>
      </c>
      <c r="L593" s="94">
        <f>$D593*$F593*VLOOKUP($C593,'Master sheet'!$A:$AL,27,FALSE)</f>
        <v>0</v>
      </c>
      <c r="M593" s="1552"/>
      <c r="N593" s="1552"/>
      <c r="O593" s="25" t="str">
        <f ca="1">_xlfn.IFNA(VLOOKUP($C593,'Master sheet'!$A:$AR,44,FALSE),"")&amp;""</f>
        <v>Expired 2021</v>
      </c>
      <c r="P593" s="685"/>
      <c r="Q593" s="29" t="s">
        <v>1556</v>
      </c>
      <c r="R593" s="875" t="s">
        <v>1604</v>
      </c>
      <c r="S593" s="664"/>
      <c r="T593" s="664"/>
      <c r="U593" s="664"/>
      <c r="V593" s="664"/>
      <c r="W593" s="664"/>
      <c r="X593" s="664"/>
      <c r="Y593" s="664"/>
      <c r="Z593" s="664"/>
    </row>
    <row r="594" spans="1:26" ht="23.25" customHeight="1" outlineLevel="1" x14ac:dyDescent="0.3">
      <c r="A594" s="1564"/>
      <c r="B594" s="1564"/>
      <c r="C594" s="669" t="str">
        <f>INDEX('Master sheet'!$A$1:$A$670,MATCH(98,'Master sheet'!$AN$1:$AN$670,0))</f>
        <v>Fiber Cement roofing / Cembrit / Slates / 4 mm</v>
      </c>
      <c r="D594" s="15">
        <f>'USER INPUT SHEET'!$D$55</f>
        <v>0</v>
      </c>
      <c r="E594" s="16" t="str">
        <f>'USER INPUT SHEET'!$F$37</f>
        <v>m2</v>
      </c>
      <c r="F594" s="3">
        <v>1</v>
      </c>
      <c r="G594" s="670"/>
      <c r="H594" s="8"/>
      <c r="I594" s="92">
        <f t="shared" si="208"/>
        <v>0</v>
      </c>
      <c r="J594" s="93" t="str">
        <f t="shared" si="209"/>
        <v/>
      </c>
      <c r="K594" s="406">
        <f>$D594*$F594*VLOOKUP($C594,'Master sheet'!$A:$AL,13,FALSE)</f>
        <v>0</v>
      </c>
      <c r="L594" s="94">
        <f>$D594*$F594*VLOOKUP($C594,'Master sheet'!$A:$AL,27,FALSE)</f>
        <v>0</v>
      </c>
      <c r="M594" s="1552"/>
      <c r="N594" s="1552"/>
      <c r="O594" s="25" t="str">
        <f ca="1">_xlfn.IFNA(VLOOKUP($C594,'Master sheet'!$A:$AR,44,FALSE),"")&amp;""</f>
        <v>Expired 2021</v>
      </c>
      <c r="P594" s="685"/>
      <c r="Q594" s="29" t="s">
        <v>1556</v>
      </c>
      <c r="R594" s="875" t="s">
        <v>1604</v>
      </c>
      <c r="S594" s="664"/>
      <c r="T594" s="664"/>
      <c r="U594" s="664"/>
      <c r="V594" s="664"/>
      <c r="W594" s="664"/>
      <c r="X594" s="664"/>
      <c r="Y594" s="664"/>
      <c r="Z594" s="664"/>
    </row>
    <row r="595" spans="1:26" s="624" customFormat="1" ht="22.8" outlineLevel="1" x14ac:dyDescent="0.3">
      <c r="A595" s="639"/>
      <c r="B595" s="1524" t="s">
        <v>94</v>
      </c>
      <c r="C595" s="1523"/>
      <c r="D595" s="640"/>
      <c r="E595" s="641"/>
      <c r="F595" s="325"/>
      <c r="G595" s="678"/>
      <c r="H595" s="679"/>
      <c r="I595" s="642"/>
      <c r="J595" s="643"/>
      <c r="K595" s="676"/>
      <c r="L595" s="677"/>
      <c r="M595" s="677"/>
      <c r="N595" s="677"/>
      <c r="O595" s="25" t="str">
        <f>_xlfn.IFNA(VLOOKUP($C595,'Master sheet'!$A:$AR,44,FALSE),"")&amp;""</f>
        <v/>
      </c>
      <c r="P595" s="637"/>
      <c r="Q595" s="29" t="s">
        <v>1556</v>
      </c>
      <c r="R595" s="875" t="s">
        <v>1604</v>
      </c>
      <c r="S595" s="638"/>
      <c r="T595" s="638"/>
      <c r="U595" s="638"/>
      <c r="V595" s="638"/>
      <c r="W595" s="638"/>
      <c r="X595" s="638"/>
      <c r="Y595" s="638"/>
      <c r="Z595" s="638"/>
    </row>
    <row r="596" spans="1:26" s="624" customFormat="1" ht="23.25" customHeight="1" outlineLevel="1" x14ac:dyDescent="0.3">
      <c r="A596" s="1602"/>
      <c r="B596" s="1602"/>
      <c r="C596" s="681" t="str">
        <f>INDEX('Master sheet'!$A$1:$A$670,MATCH(43,'Master sheet'!$AN$1:$AN$670,0))</f>
        <v xml:space="preserve">Clay roof tiles / HISPALYT /  / </v>
      </c>
      <c r="D596" s="22">
        <f>'USER INPUT SHEET'!$D$55</f>
        <v>0</v>
      </c>
      <c r="E596" s="23" t="str">
        <f>'USER INPUT SHEET'!$F$37</f>
        <v>m2</v>
      </c>
      <c r="F596" s="6">
        <v>1</v>
      </c>
      <c r="G596" s="682"/>
      <c r="H596" s="10"/>
      <c r="I596" s="100">
        <f>K596-L596</f>
        <v>0</v>
      </c>
      <c r="J596" s="101" t="str">
        <f>IF(H596=1,I596,"")</f>
        <v/>
      </c>
      <c r="K596" s="408">
        <f>$D596*$F596*VLOOKUP($C596,'Master sheet'!$A:$AL,13,FALSE)</f>
        <v>0</v>
      </c>
      <c r="L596" s="102">
        <f>$D596*$F596*VLOOKUP($C596,'Master sheet'!$A:$AL,27,FALSE)</f>
        <v>0</v>
      </c>
      <c r="M596" s="1559"/>
      <c r="N596" s="1559"/>
      <c r="O596" s="25" t="str">
        <f ca="1">_xlfn.IFNA(VLOOKUP($C596,'Master sheet'!$A:$AR,44,FALSE),"")&amp;""</f>
        <v>Expired 2022</v>
      </c>
      <c r="P596" s="637"/>
      <c r="Q596" s="29" t="s">
        <v>1556</v>
      </c>
      <c r="R596" s="875" t="s">
        <v>1604</v>
      </c>
      <c r="S596" s="638"/>
      <c r="T596" s="638"/>
      <c r="U596" s="638"/>
      <c r="V596" s="638"/>
      <c r="W596" s="638"/>
      <c r="X596" s="638"/>
      <c r="Y596" s="638"/>
      <c r="Z596" s="638"/>
    </row>
    <row r="597" spans="1:26" ht="15.6" x14ac:dyDescent="0.3">
      <c r="A597" s="700"/>
      <c r="B597" s="700"/>
      <c r="C597" s="700"/>
      <c r="D597" s="701"/>
      <c r="E597" s="700"/>
      <c r="F597" s="328"/>
      <c r="G597" s="700"/>
      <c r="H597" s="706"/>
      <c r="I597" s="704"/>
      <c r="J597" s="704"/>
      <c r="K597" s="704"/>
      <c r="L597" s="704"/>
      <c r="M597" s="704"/>
      <c r="N597" s="704"/>
      <c r="O597" s="685"/>
    </row>
    <row r="598" spans="1:26" ht="15.6" x14ac:dyDescent="0.3">
      <c r="A598" s="700"/>
      <c r="B598" s="706" t="s">
        <v>4901</v>
      </c>
      <c r="C598" s="700"/>
      <c r="D598" s="701"/>
      <c r="E598" s="700"/>
      <c r="F598" s="328"/>
      <c r="G598" s="700"/>
      <c r="H598" s="706"/>
      <c r="I598" s="704"/>
      <c r="J598" s="704"/>
      <c r="K598" s="704"/>
      <c r="L598" s="704"/>
      <c r="M598" s="704"/>
      <c r="N598" s="704"/>
      <c r="O598" s="685"/>
    </row>
    <row r="599" spans="1:26" ht="15.6" x14ac:dyDescent="0.3">
      <c r="A599" s="700"/>
      <c r="B599" s="706" t="s">
        <v>4900</v>
      </c>
      <c r="C599" s="700"/>
      <c r="D599" s="701"/>
      <c r="E599" s="700"/>
      <c r="F599" s="328"/>
      <c r="G599" s="700"/>
      <c r="H599" s="706"/>
      <c r="I599" s="704"/>
      <c r="J599" s="704"/>
      <c r="K599" s="704"/>
      <c r="L599" s="704"/>
      <c r="M599" s="704"/>
      <c r="N599" s="704"/>
      <c r="O599" s="685"/>
    </row>
    <row r="600" spans="1:26" ht="15.6" x14ac:dyDescent="0.3">
      <c r="A600" s="700"/>
      <c r="B600" s="700"/>
      <c r="C600" s="700"/>
      <c r="D600" s="701"/>
      <c r="E600" s="700"/>
      <c r="F600" s="328"/>
      <c r="G600" s="700"/>
      <c r="H600" s="706"/>
      <c r="I600" s="704"/>
      <c r="J600" s="704"/>
      <c r="K600" s="704"/>
      <c r="L600" s="704"/>
      <c r="M600" s="704"/>
      <c r="N600" s="704"/>
      <c r="O600" s="685"/>
    </row>
    <row r="601" spans="1:26" ht="15.6" x14ac:dyDescent="0.3">
      <c r="A601" s="700"/>
      <c r="B601" s="700"/>
      <c r="C601" s="700"/>
      <c r="D601" s="701"/>
      <c r="E601" s="700"/>
      <c r="F601" s="328"/>
      <c r="G601" s="700"/>
      <c r="H601" s="706"/>
      <c r="I601" s="704"/>
      <c r="J601" s="704"/>
      <c r="K601" s="704"/>
      <c r="L601" s="704"/>
      <c r="M601" s="704"/>
      <c r="N601" s="704"/>
      <c r="O601" s="685"/>
    </row>
    <row r="602" spans="1:26" ht="15.6" x14ac:dyDescent="0.3">
      <c r="A602" s="700"/>
      <c r="B602" s="700"/>
      <c r="C602" s="700"/>
      <c r="D602" s="701"/>
      <c r="E602" s="700"/>
      <c r="F602" s="328"/>
      <c r="G602" s="700"/>
      <c r="H602" s="706"/>
      <c r="I602" s="704"/>
      <c r="J602" s="704"/>
      <c r="K602" s="704"/>
      <c r="L602" s="704"/>
      <c r="M602" s="704"/>
      <c r="N602" s="704"/>
      <c r="O602" s="685"/>
    </row>
    <row r="603" spans="1:26" ht="15.6" x14ac:dyDescent="0.3">
      <c r="A603" s="700"/>
      <c r="B603" s="700"/>
      <c r="C603" s="700"/>
      <c r="D603" s="701"/>
      <c r="E603" s="700"/>
      <c r="F603" s="328"/>
      <c r="G603" s="700"/>
      <c r="H603" s="706"/>
      <c r="I603" s="704"/>
      <c r="J603" s="704"/>
      <c r="K603" s="704"/>
      <c r="L603" s="704"/>
      <c r="M603" s="704"/>
      <c r="N603" s="704"/>
      <c r="O603" s="685"/>
    </row>
    <row r="604" spans="1:26" ht="15.6" x14ac:dyDescent="0.3">
      <c r="A604" s="700"/>
      <c r="B604" s="700"/>
      <c r="C604" s="700"/>
      <c r="D604" s="701"/>
      <c r="E604" s="700"/>
      <c r="F604" s="328"/>
      <c r="G604" s="700"/>
      <c r="H604" s="706"/>
      <c r="I604" s="704"/>
      <c r="J604" s="704"/>
      <c r="K604" s="704"/>
      <c r="L604" s="704"/>
      <c r="M604" s="704"/>
      <c r="N604" s="704"/>
      <c r="O604" s="685"/>
    </row>
    <row r="605" spans="1:26" ht="15.6" x14ac:dyDescent="0.3">
      <c r="A605" s="700"/>
      <c r="B605" s="700"/>
      <c r="C605" s="700"/>
      <c r="D605" s="701"/>
      <c r="E605" s="700"/>
      <c r="F605" s="328"/>
      <c r="G605" s="700"/>
      <c r="H605" s="706"/>
      <c r="I605" s="704"/>
      <c r="J605" s="704"/>
      <c r="K605" s="704"/>
      <c r="L605" s="704"/>
      <c r="M605" s="704"/>
      <c r="N605" s="704"/>
      <c r="O605" s="685"/>
    </row>
    <row r="606" spans="1:26" ht="15.6" x14ac:dyDescent="0.3">
      <c r="A606" s="700"/>
      <c r="B606" s="700"/>
      <c r="C606" s="700"/>
      <c r="D606" s="701"/>
      <c r="E606" s="700"/>
      <c r="F606" s="328"/>
      <c r="G606" s="700"/>
      <c r="H606" s="706"/>
      <c r="I606" s="704"/>
      <c r="J606" s="704"/>
      <c r="K606" s="704"/>
      <c r="L606" s="704"/>
      <c r="M606" s="704"/>
      <c r="N606" s="704"/>
      <c r="O606" s="685"/>
    </row>
    <row r="607" spans="1:26" ht="15.6" x14ac:dyDescent="0.3">
      <c r="A607" s="700"/>
      <c r="B607" s="700"/>
      <c r="C607" s="700"/>
      <c r="D607" s="701"/>
      <c r="E607" s="700"/>
      <c r="F607" s="328"/>
      <c r="G607" s="700"/>
      <c r="H607" s="706"/>
      <c r="I607" s="704"/>
      <c r="J607" s="704"/>
      <c r="K607" s="704"/>
      <c r="L607" s="704"/>
      <c r="M607" s="704"/>
      <c r="N607" s="704"/>
      <c r="O607" s="685"/>
    </row>
    <row r="608" spans="1:26" ht="15.6" x14ac:dyDescent="0.3">
      <c r="A608" s="700"/>
      <c r="B608" s="700"/>
      <c r="C608" s="700"/>
      <c r="D608" s="701"/>
      <c r="E608" s="700"/>
      <c r="F608" s="328"/>
      <c r="G608" s="700"/>
      <c r="H608" s="706"/>
      <c r="I608" s="704"/>
      <c r="J608" s="704"/>
      <c r="K608" s="704"/>
      <c r="L608" s="704"/>
      <c r="M608" s="704"/>
      <c r="N608" s="704"/>
      <c r="O608" s="685"/>
    </row>
    <row r="609" spans="1:15" ht="15.6" x14ac:dyDescent="0.3">
      <c r="A609" s="700"/>
      <c r="B609" s="700"/>
      <c r="C609" s="700"/>
      <c r="D609" s="701"/>
      <c r="E609" s="700"/>
      <c r="F609" s="328"/>
      <c r="G609" s="700"/>
      <c r="H609" s="706"/>
      <c r="I609" s="704"/>
      <c r="J609" s="704"/>
      <c r="K609" s="704"/>
      <c r="L609" s="704"/>
      <c r="M609" s="704"/>
      <c r="N609" s="704"/>
      <c r="O609" s="685"/>
    </row>
    <row r="610" spans="1:15" ht="15.6" x14ac:dyDescent="0.3">
      <c r="A610" s="700"/>
      <c r="B610" s="700"/>
      <c r="C610" s="700"/>
      <c r="D610" s="701"/>
      <c r="E610" s="700"/>
      <c r="F610" s="328"/>
      <c r="G610" s="700"/>
      <c r="H610" s="706"/>
      <c r="I610" s="704"/>
      <c r="J610" s="704"/>
      <c r="K610" s="704"/>
      <c r="L610" s="704"/>
      <c r="M610" s="704"/>
      <c r="N610" s="704"/>
      <c r="O610" s="685"/>
    </row>
    <row r="611" spans="1:15" ht="15.6" x14ac:dyDescent="0.3">
      <c r="A611" s="700"/>
      <c r="B611" s="700"/>
      <c r="C611" s="700"/>
      <c r="D611" s="701"/>
      <c r="E611" s="700"/>
      <c r="F611" s="328"/>
      <c r="G611" s="700"/>
      <c r="H611" s="706"/>
      <c r="I611" s="704"/>
      <c r="J611" s="704"/>
      <c r="K611" s="704"/>
      <c r="L611" s="704"/>
      <c r="M611" s="704"/>
      <c r="N611" s="704"/>
      <c r="O611" s="685"/>
    </row>
    <row r="612" spans="1:15" ht="15.6" x14ac:dyDescent="0.3">
      <c r="A612" s="700"/>
      <c r="B612" s="700"/>
      <c r="C612" s="700"/>
      <c r="D612" s="701"/>
      <c r="E612" s="700"/>
      <c r="F612" s="328"/>
      <c r="G612" s="700"/>
      <c r="H612" s="706"/>
      <c r="I612" s="704"/>
      <c r="J612" s="704"/>
      <c r="K612" s="704"/>
      <c r="L612" s="704"/>
      <c r="M612" s="704"/>
      <c r="N612" s="704"/>
      <c r="O612" s="685"/>
    </row>
    <row r="613" spans="1:15" ht="15.6" x14ac:dyDescent="0.3">
      <c r="A613" s="700"/>
      <c r="B613" s="700"/>
      <c r="C613" s="700"/>
      <c r="D613" s="701"/>
      <c r="E613" s="700"/>
      <c r="F613" s="328"/>
      <c r="G613" s="700"/>
      <c r="H613" s="706"/>
      <c r="I613" s="704"/>
      <c r="J613" s="704"/>
      <c r="K613" s="704"/>
      <c r="L613" s="704"/>
      <c r="M613" s="704"/>
      <c r="N613" s="704"/>
      <c r="O613" s="685"/>
    </row>
    <row r="614" spans="1:15" ht="15.6" x14ac:dyDescent="0.3">
      <c r="A614" s="700"/>
      <c r="B614" s="700"/>
      <c r="C614" s="700"/>
      <c r="D614" s="701"/>
      <c r="E614" s="700"/>
      <c r="F614" s="328"/>
      <c r="G614" s="700"/>
      <c r="H614" s="706"/>
      <c r="I614" s="704"/>
      <c r="J614" s="704"/>
      <c r="K614" s="704"/>
      <c r="L614" s="704"/>
      <c r="M614" s="704"/>
      <c r="N614" s="704"/>
      <c r="O614" s="685"/>
    </row>
    <row r="615" spans="1:15" ht="15.6" x14ac:dyDescent="0.3">
      <c r="A615" s="700"/>
      <c r="B615" s="700"/>
      <c r="C615" s="700"/>
      <c r="D615" s="701"/>
      <c r="E615" s="700"/>
      <c r="F615" s="328"/>
      <c r="G615" s="700"/>
      <c r="H615" s="706"/>
      <c r="I615" s="704"/>
      <c r="J615" s="704"/>
      <c r="K615" s="704"/>
      <c r="L615" s="704"/>
      <c r="M615" s="704"/>
      <c r="N615" s="704"/>
      <c r="O615" s="685"/>
    </row>
    <row r="616" spans="1:15" ht="15.6" x14ac:dyDescent="0.3">
      <c r="A616" s="700"/>
      <c r="B616" s="700"/>
      <c r="C616" s="700"/>
      <c r="D616" s="701"/>
      <c r="E616" s="700"/>
      <c r="F616" s="328"/>
      <c r="G616" s="700"/>
      <c r="H616" s="706"/>
      <c r="I616" s="704"/>
      <c r="J616" s="704"/>
      <c r="K616" s="704"/>
      <c r="L616" s="704"/>
      <c r="M616" s="704"/>
      <c r="N616" s="704"/>
      <c r="O616" s="685"/>
    </row>
    <row r="617" spans="1:15" ht="15.6" x14ac:dyDescent="0.3">
      <c r="A617" s="700"/>
      <c r="B617" s="700"/>
      <c r="C617" s="700"/>
      <c r="D617" s="701"/>
      <c r="E617" s="700"/>
      <c r="F617" s="328"/>
      <c r="G617" s="700"/>
      <c r="H617" s="706"/>
      <c r="I617" s="704"/>
      <c r="J617" s="704"/>
      <c r="K617" s="704"/>
      <c r="L617" s="704"/>
      <c r="M617" s="704"/>
      <c r="N617" s="704"/>
      <c r="O617" s="685"/>
    </row>
    <row r="618" spans="1:15" ht="15.6" x14ac:dyDescent="0.3">
      <c r="A618" s="700"/>
      <c r="B618" s="700"/>
      <c r="C618" s="700"/>
      <c r="D618" s="701"/>
      <c r="E618" s="700"/>
      <c r="F618" s="328"/>
      <c r="G618" s="700"/>
      <c r="H618" s="706"/>
      <c r="I618" s="704"/>
      <c r="J618" s="704"/>
      <c r="K618" s="704"/>
      <c r="L618" s="704"/>
      <c r="M618" s="704"/>
      <c r="N618" s="704"/>
      <c r="O618" s="685"/>
    </row>
    <row r="619" spans="1:15" ht="15.6" x14ac:dyDescent="0.3">
      <c r="A619" s="700"/>
      <c r="B619" s="700"/>
      <c r="C619" s="700"/>
      <c r="D619" s="701"/>
      <c r="E619" s="700"/>
      <c r="F619" s="328"/>
      <c r="G619" s="700"/>
      <c r="H619" s="706"/>
      <c r="I619" s="704"/>
      <c r="J619" s="704"/>
      <c r="K619" s="704"/>
      <c r="L619" s="704"/>
      <c r="M619" s="704"/>
      <c r="N619" s="704"/>
      <c r="O619" s="685"/>
    </row>
    <row r="620" spans="1:15" ht="15.6" x14ac:dyDescent="0.3">
      <c r="A620" s="700"/>
      <c r="B620" s="700"/>
      <c r="C620" s="700"/>
      <c r="D620" s="701"/>
      <c r="E620" s="700"/>
      <c r="F620" s="328"/>
      <c r="G620" s="700"/>
      <c r="H620" s="706"/>
      <c r="I620" s="704"/>
      <c r="J620" s="704"/>
      <c r="K620" s="704"/>
      <c r="L620" s="704"/>
      <c r="M620" s="704"/>
      <c r="N620" s="704"/>
      <c r="O620" s="685"/>
    </row>
    <row r="621" spans="1:15" ht="15.6" x14ac:dyDescent="0.3">
      <c r="A621" s="700"/>
      <c r="B621" s="700"/>
      <c r="C621" s="700"/>
      <c r="D621" s="701"/>
      <c r="E621" s="700"/>
      <c r="F621" s="328"/>
      <c r="G621" s="700"/>
      <c r="H621" s="706"/>
      <c r="I621" s="704"/>
      <c r="J621" s="704"/>
      <c r="K621" s="704"/>
      <c r="L621" s="704"/>
      <c r="M621" s="704"/>
      <c r="N621" s="704"/>
      <c r="O621" s="685"/>
    </row>
    <row r="622" spans="1:15" ht="15.6" x14ac:dyDescent="0.3">
      <c r="A622" s="700"/>
      <c r="B622" s="700"/>
      <c r="C622" s="700"/>
      <c r="D622" s="701"/>
      <c r="E622" s="700"/>
      <c r="F622" s="328"/>
      <c r="G622" s="700"/>
      <c r="H622" s="706"/>
      <c r="I622" s="704"/>
      <c r="J622" s="704"/>
      <c r="K622" s="704"/>
      <c r="L622" s="704"/>
      <c r="M622" s="704"/>
      <c r="N622" s="704"/>
      <c r="O622" s="685"/>
    </row>
    <row r="623" spans="1:15" ht="15.6" x14ac:dyDescent="0.3">
      <c r="A623" s="700"/>
      <c r="B623" s="700"/>
      <c r="C623" s="700"/>
      <c r="D623" s="701"/>
      <c r="E623" s="700"/>
      <c r="F623" s="328"/>
      <c r="G623" s="700"/>
      <c r="H623" s="706"/>
      <c r="I623" s="704"/>
      <c r="J623" s="704"/>
      <c r="K623" s="704"/>
      <c r="L623" s="704"/>
      <c r="M623" s="704"/>
      <c r="N623" s="704"/>
      <c r="O623" s="685"/>
    </row>
    <row r="624" spans="1:15" ht="15.6" x14ac:dyDescent="0.3">
      <c r="A624" s="700"/>
      <c r="B624" s="700"/>
      <c r="C624" s="700"/>
      <c r="D624" s="701"/>
      <c r="E624" s="700"/>
      <c r="F624" s="328"/>
      <c r="G624" s="700"/>
      <c r="H624" s="706"/>
      <c r="I624" s="704"/>
      <c r="J624" s="704"/>
      <c r="K624" s="704"/>
      <c r="L624" s="704"/>
      <c r="M624" s="704"/>
      <c r="N624" s="704"/>
      <c r="O624" s="685"/>
    </row>
    <row r="625" spans="1:15" ht="15.6" x14ac:dyDescent="0.3">
      <c r="A625" s="700"/>
      <c r="B625" s="700"/>
      <c r="C625" s="700"/>
      <c r="D625" s="701"/>
      <c r="E625" s="700"/>
      <c r="F625" s="328"/>
      <c r="G625" s="700"/>
      <c r="H625" s="706"/>
      <c r="I625" s="704"/>
      <c r="J625" s="704"/>
      <c r="K625" s="704"/>
      <c r="L625" s="704"/>
      <c r="M625" s="704"/>
      <c r="N625" s="704"/>
      <c r="O625" s="685"/>
    </row>
    <row r="626" spans="1:15" ht="15.6" x14ac:dyDescent="0.3">
      <c r="A626" s="700"/>
      <c r="B626" s="700"/>
      <c r="C626" s="700"/>
      <c r="D626" s="701"/>
      <c r="E626" s="700"/>
      <c r="F626" s="328"/>
      <c r="G626" s="700"/>
      <c r="H626" s="706"/>
      <c r="I626" s="704"/>
      <c r="J626" s="704"/>
      <c r="K626" s="704"/>
      <c r="L626" s="704"/>
      <c r="M626" s="704"/>
      <c r="N626" s="704"/>
      <c r="O626" s="685"/>
    </row>
    <row r="627" spans="1:15" ht="15.6" x14ac:dyDescent="0.3">
      <c r="A627" s="700"/>
      <c r="B627" s="700"/>
      <c r="C627" s="700"/>
      <c r="D627" s="701"/>
      <c r="E627" s="700"/>
      <c r="F627" s="328"/>
      <c r="G627" s="700"/>
      <c r="H627" s="706"/>
      <c r="I627" s="704"/>
      <c r="J627" s="704"/>
      <c r="K627" s="704"/>
      <c r="L627" s="704"/>
      <c r="M627" s="704"/>
      <c r="N627" s="704"/>
      <c r="O627" s="685"/>
    </row>
    <row r="628" spans="1:15" ht="15.6" x14ac:dyDescent="0.3">
      <c r="A628" s="700"/>
      <c r="B628" s="700"/>
      <c r="C628" s="700"/>
      <c r="D628" s="701"/>
      <c r="E628" s="700"/>
      <c r="F628" s="328"/>
      <c r="G628" s="700"/>
      <c r="H628" s="706"/>
      <c r="I628" s="704"/>
      <c r="J628" s="704"/>
      <c r="K628" s="704"/>
      <c r="L628" s="704"/>
      <c r="M628" s="704"/>
      <c r="N628" s="704"/>
      <c r="O628" s="685"/>
    </row>
    <row r="629" spans="1:15" ht="15.6" x14ac:dyDescent="0.3">
      <c r="A629" s="700"/>
      <c r="B629" s="700"/>
      <c r="C629" s="700"/>
      <c r="D629" s="701"/>
      <c r="E629" s="700"/>
      <c r="F629" s="328"/>
      <c r="G629" s="700"/>
      <c r="H629" s="706"/>
      <c r="I629" s="704"/>
      <c r="J629" s="704"/>
      <c r="K629" s="704"/>
      <c r="L629" s="704"/>
      <c r="M629" s="704"/>
      <c r="N629" s="704"/>
      <c r="O629" s="685"/>
    </row>
    <row r="630" spans="1:15" ht="15.6" x14ac:dyDescent="0.3">
      <c r="A630" s="700"/>
      <c r="B630" s="700"/>
      <c r="C630" s="700"/>
      <c r="D630" s="701"/>
      <c r="E630" s="700"/>
      <c r="F630" s="328"/>
      <c r="G630" s="700"/>
      <c r="H630" s="706"/>
      <c r="I630" s="704"/>
      <c r="J630" s="704"/>
      <c r="K630" s="704"/>
      <c r="L630" s="704"/>
      <c r="M630" s="704"/>
      <c r="N630" s="704"/>
      <c r="O630" s="685"/>
    </row>
    <row r="631" spans="1:15" ht="15.6" x14ac:dyDescent="0.3">
      <c r="A631" s="700"/>
      <c r="B631" s="700"/>
      <c r="C631" s="700"/>
      <c r="D631" s="701"/>
      <c r="E631" s="700"/>
      <c r="F631" s="328"/>
      <c r="G631" s="700"/>
      <c r="H631" s="706"/>
      <c r="I631" s="704"/>
      <c r="J631" s="704"/>
      <c r="K631" s="704"/>
      <c r="L631" s="704"/>
      <c r="M631" s="704"/>
      <c r="N631" s="704"/>
      <c r="O631" s="685"/>
    </row>
    <row r="632" spans="1:15" ht="15.6" x14ac:dyDescent="0.3">
      <c r="A632" s="700"/>
      <c r="B632" s="700"/>
      <c r="C632" s="700"/>
      <c r="D632" s="701"/>
      <c r="E632" s="700"/>
      <c r="F632" s="328"/>
      <c r="G632" s="700"/>
      <c r="H632" s="706"/>
      <c r="I632" s="704"/>
      <c r="J632" s="704"/>
      <c r="K632" s="704"/>
      <c r="L632" s="704"/>
      <c r="M632" s="704"/>
      <c r="N632" s="704"/>
      <c r="O632" s="685"/>
    </row>
    <row r="633" spans="1:15" ht="15.6" x14ac:dyDescent="0.3">
      <c r="A633" s="700"/>
      <c r="B633" s="700"/>
      <c r="C633" s="700"/>
      <c r="D633" s="701"/>
      <c r="E633" s="700"/>
      <c r="F633" s="328"/>
      <c r="G633" s="700"/>
      <c r="H633" s="706"/>
      <c r="I633" s="704"/>
      <c r="J633" s="704"/>
      <c r="K633" s="704"/>
      <c r="L633" s="704"/>
      <c r="M633" s="704"/>
      <c r="N633" s="704"/>
      <c r="O633" s="685"/>
    </row>
    <row r="634" spans="1:15" ht="15.6" x14ac:dyDescent="0.3">
      <c r="A634" s="700"/>
      <c r="B634" s="700"/>
      <c r="C634" s="700"/>
      <c r="D634" s="701"/>
      <c r="E634" s="700"/>
      <c r="F634" s="328"/>
      <c r="G634" s="700"/>
      <c r="H634" s="706"/>
      <c r="I634" s="704"/>
      <c r="J634" s="704"/>
      <c r="K634" s="704"/>
      <c r="L634" s="704"/>
      <c r="M634" s="704"/>
      <c r="N634" s="704"/>
      <c r="O634" s="685"/>
    </row>
    <row r="635" spans="1:15" ht="15.6" x14ac:dyDescent="0.3">
      <c r="A635" s="700"/>
      <c r="B635" s="700"/>
      <c r="C635" s="700"/>
      <c r="D635" s="701"/>
      <c r="E635" s="700"/>
      <c r="F635" s="328"/>
      <c r="G635" s="700"/>
      <c r="H635" s="706"/>
      <c r="I635" s="704"/>
      <c r="J635" s="704"/>
      <c r="K635" s="704"/>
      <c r="L635" s="704"/>
      <c r="M635" s="704"/>
      <c r="N635" s="704"/>
      <c r="O635" s="685"/>
    </row>
    <row r="636" spans="1:15" ht="15.6" x14ac:dyDescent="0.3">
      <c r="A636" s="700"/>
      <c r="B636" s="700"/>
      <c r="C636" s="700"/>
      <c r="D636" s="701"/>
      <c r="E636" s="700"/>
      <c r="F636" s="328"/>
      <c r="G636" s="700"/>
      <c r="H636" s="706"/>
      <c r="I636" s="704"/>
      <c r="J636" s="704"/>
      <c r="K636" s="704"/>
      <c r="L636" s="704"/>
      <c r="M636" s="704"/>
      <c r="N636" s="704"/>
      <c r="O636" s="685"/>
    </row>
    <row r="637" spans="1:15" ht="15.6" x14ac:dyDescent="0.3">
      <c r="A637" s="700"/>
      <c r="B637" s="700"/>
      <c r="C637" s="700"/>
      <c r="D637" s="701"/>
      <c r="E637" s="700"/>
      <c r="F637" s="328"/>
      <c r="G637" s="700"/>
      <c r="H637" s="706"/>
      <c r="I637" s="704"/>
      <c r="J637" s="704"/>
      <c r="K637" s="704"/>
      <c r="L637" s="704"/>
      <c r="M637" s="704"/>
      <c r="N637" s="704"/>
      <c r="O637" s="685"/>
    </row>
    <row r="638" spans="1:15" ht="15.6" x14ac:dyDescent="0.3">
      <c r="A638" s="700"/>
      <c r="B638" s="700"/>
      <c r="C638" s="700"/>
      <c r="D638" s="701"/>
      <c r="E638" s="700"/>
      <c r="F638" s="328"/>
      <c r="G638" s="700"/>
      <c r="H638" s="706"/>
      <c r="I638" s="704"/>
      <c r="J638" s="704"/>
      <c r="K638" s="704"/>
      <c r="L638" s="704"/>
      <c r="M638" s="704"/>
      <c r="N638" s="704"/>
      <c r="O638" s="685"/>
    </row>
    <row r="639" spans="1:15" ht="15.6" x14ac:dyDescent="0.3">
      <c r="A639" s="700"/>
      <c r="B639" s="700"/>
      <c r="C639" s="700"/>
      <c r="D639" s="701"/>
      <c r="E639" s="700"/>
      <c r="F639" s="328"/>
      <c r="G639" s="700"/>
      <c r="H639" s="706"/>
      <c r="I639" s="704"/>
      <c r="J639" s="704"/>
      <c r="K639" s="704"/>
      <c r="L639" s="704"/>
      <c r="M639" s="704"/>
      <c r="N639" s="704"/>
      <c r="O639" s="685"/>
    </row>
    <row r="640" spans="1:15" ht="15.6" x14ac:dyDescent="0.3">
      <c r="A640" s="700"/>
      <c r="B640" s="700"/>
      <c r="C640" s="700"/>
      <c r="D640" s="701"/>
      <c r="E640" s="700"/>
      <c r="F640" s="328"/>
      <c r="G640" s="700"/>
      <c r="H640" s="706"/>
      <c r="I640" s="704"/>
      <c r="J640" s="704"/>
      <c r="K640" s="704"/>
      <c r="L640" s="704"/>
      <c r="M640" s="704"/>
      <c r="N640" s="704"/>
      <c r="O640" s="685"/>
    </row>
    <row r="641" spans="1:15" ht="15.6" x14ac:dyDescent="0.3">
      <c r="A641" s="700"/>
      <c r="B641" s="700"/>
      <c r="C641" s="700"/>
      <c r="D641" s="701"/>
      <c r="E641" s="700"/>
      <c r="F641" s="328"/>
      <c r="G641" s="700"/>
      <c r="H641" s="706"/>
      <c r="I641" s="704"/>
      <c r="J641" s="704"/>
      <c r="K641" s="704"/>
      <c r="L641" s="704"/>
      <c r="M641" s="704"/>
      <c r="N641" s="704"/>
      <c r="O641" s="685"/>
    </row>
    <row r="642" spans="1:15" ht="15.6" x14ac:dyDescent="0.3">
      <c r="A642" s="700"/>
      <c r="B642" s="700"/>
      <c r="C642" s="700"/>
      <c r="D642" s="701"/>
      <c r="E642" s="700"/>
      <c r="F642" s="328"/>
      <c r="G642" s="700"/>
      <c r="H642" s="706"/>
      <c r="I642" s="704"/>
      <c r="J642" s="704"/>
      <c r="K642" s="704"/>
      <c r="L642" s="704"/>
      <c r="M642" s="704"/>
      <c r="N642" s="704"/>
      <c r="O642" s="685"/>
    </row>
    <row r="643" spans="1:15" ht="15.6" x14ac:dyDescent="0.3">
      <c r="A643" s="700"/>
      <c r="B643" s="700"/>
      <c r="C643" s="700"/>
      <c r="D643" s="701"/>
      <c r="E643" s="700"/>
      <c r="F643" s="328"/>
      <c r="G643" s="700"/>
      <c r="H643" s="706"/>
      <c r="I643" s="704"/>
      <c r="J643" s="704"/>
      <c r="K643" s="704"/>
      <c r="L643" s="704"/>
      <c r="M643" s="704"/>
      <c r="N643" s="704"/>
      <c r="O643" s="685"/>
    </row>
    <row r="644" spans="1:15" ht="15.6" x14ac:dyDescent="0.3">
      <c r="A644" s="700"/>
      <c r="B644" s="700"/>
      <c r="C644" s="700"/>
      <c r="D644" s="701"/>
      <c r="E644" s="700"/>
      <c r="F644" s="328"/>
      <c r="G644" s="700"/>
      <c r="H644" s="706"/>
      <c r="I644" s="704"/>
      <c r="J644" s="704"/>
      <c r="K644" s="704"/>
      <c r="L644" s="704"/>
      <c r="M644" s="704"/>
      <c r="N644" s="704"/>
      <c r="O644" s="685"/>
    </row>
    <row r="645" spans="1:15" ht="15.6" x14ac:dyDescent="0.3">
      <c r="A645" s="700"/>
      <c r="B645" s="700"/>
      <c r="C645" s="700"/>
      <c r="D645" s="701"/>
      <c r="E645" s="700"/>
      <c r="F645" s="328"/>
      <c r="G645" s="700"/>
      <c r="H645" s="706"/>
      <c r="I645" s="704"/>
      <c r="J645" s="704"/>
      <c r="K645" s="704"/>
      <c r="L645" s="704"/>
      <c r="M645" s="704"/>
      <c r="N645" s="704"/>
      <c r="O645" s="685"/>
    </row>
    <row r="646" spans="1:15" ht="15.6" x14ac:dyDescent="0.3">
      <c r="A646" s="700"/>
      <c r="B646" s="700"/>
      <c r="C646" s="700"/>
      <c r="D646" s="701"/>
      <c r="E646" s="700"/>
      <c r="F646" s="328"/>
      <c r="G646" s="700"/>
      <c r="H646" s="706"/>
      <c r="I646" s="704"/>
      <c r="J646" s="704"/>
      <c r="K646" s="704"/>
      <c r="L646" s="704"/>
      <c r="M646" s="704"/>
      <c r="N646" s="704"/>
      <c r="O646" s="685"/>
    </row>
    <row r="647" spans="1:15" ht="15.6" x14ac:dyDescent="0.3">
      <c r="A647" s="700"/>
      <c r="B647" s="700"/>
      <c r="C647" s="700"/>
      <c r="D647" s="701"/>
      <c r="E647" s="700"/>
      <c r="F647" s="328"/>
      <c r="G647" s="700"/>
      <c r="H647" s="706"/>
      <c r="I647" s="704"/>
      <c r="J647" s="704"/>
      <c r="K647" s="704"/>
      <c r="L647" s="704"/>
      <c r="M647" s="704"/>
      <c r="N647" s="704"/>
      <c r="O647" s="685"/>
    </row>
    <row r="648" spans="1:15" ht="15.6" x14ac:dyDescent="0.3">
      <c r="A648" s="700"/>
      <c r="B648" s="700"/>
      <c r="C648" s="700"/>
      <c r="D648" s="701"/>
      <c r="E648" s="700"/>
      <c r="F648" s="328"/>
      <c r="G648" s="700"/>
      <c r="H648" s="706"/>
      <c r="I648" s="704"/>
      <c r="J648" s="704"/>
      <c r="K648" s="704"/>
      <c r="L648" s="704"/>
      <c r="M648" s="704"/>
      <c r="N648" s="704"/>
      <c r="O648" s="685"/>
    </row>
    <row r="649" spans="1:15" ht="15.6" x14ac:dyDescent="0.3">
      <c r="A649" s="700"/>
      <c r="B649" s="700"/>
      <c r="C649" s="700"/>
      <c r="D649" s="701"/>
      <c r="E649" s="700"/>
      <c r="F649" s="328"/>
      <c r="G649" s="700"/>
      <c r="H649" s="706"/>
      <c r="I649" s="704"/>
      <c r="J649" s="704"/>
      <c r="K649" s="704"/>
      <c r="L649" s="704"/>
      <c r="M649" s="704"/>
      <c r="N649" s="704"/>
      <c r="O649" s="685"/>
    </row>
    <row r="650" spans="1:15" ht="15.6" x14ac:dyDescent="0.3">
      <c r="A650" s="700"/>
      <c r="B650" s="700"/>
      <c r="C650" s="700"/>
      <c r="D650" s="701"/>
      <c r="E650" s="700"/>
      <c r="F650" s="328"/>
      <c r="G650" s="700"/>
      <c r="H650" s="706"/>
      <c r="I650" s="704"/>
      <c r="J650" s="704"/>
      <c r="K650" s="704"/>
      <c r="L650" s="704"/>
      <c r="M650" s="704"/>
      <c r="N650" s="704"/>
      <c r="O650" s="685"/>
    </row>
    <row r="651" spans="1:15" ht="15.6" x14ac:dyDescent="0.3">
      <c r="A651" s="700"/>
      <c r="B651" s="700"/>
      <c r="C651" s="700"/>
      <c r="D651" s="701"/>
      <c r="E651" s="700"/>
      <c r="F651" s="328"/>
      <c r="G651" s="700"/>
      <c r="H651" s="706"/>
      <c r="I651" s="704"/>
      <c r="J651" s="704"/>
      <c r="K651" s="704"/>
      <c r="L651" s="704"/>
      <c r="M651" s="704"/>
      <c r="N651" s="704"/>
      <c r="O651" s="685"/>
    </row>
    <row r="652" spans="1:15" ht="15.6" x14ac:dyDescent="0.3">
      <c r="A652" s="700"/>
      <c r="B652" s="700"/>
      <c r="C652" s="700"/>
      <c r="D652" s="701"/>
      <c r="E652" s="700"/>
      <c r="F652" s="328"/>
      <c r="G652" s="700"/>
      <c r="H652" s="706"/>
      <c r="I652" s="704"/>
      <c r="J652" s="704"/>
      <c r="K652" s="704"/>
      <c r="L652" s="704"/>
      <c r="M652" s="704"/>
      <c r="N652" s="704"/>
      <c r="O652" s="685"/>
    </row>
    <row r="653" spans="1:15" ht="15.6" x14ac:dyDescent="0.3">
      <c r="A653" s="700"/>
      <c r="B653" s="700"/>
      <c r="C653" s="700"/>
      <c r="D653" s="701"/>
      <c r="E653" s="700"/>
      <c r="F653" s="328"/>
      <c r="G653" s="700"/>
      <c r="H653" s="706"/>
      <c r="I653" s="704"/>
      <c r="J653" s="704"/>
      <c r="K653" s="704"/>
      <c r="L653" s="704"/>
      <c r="M653" s="704"/>
      <c r="N653" s="704"/>
      <c r="O653" s="685"/>
    </row>
    <row r="654" spans="1:15" ht="15.6" x14ac:dyDescent="0.3">
      <c r="A654" s="700"/>
      <c r="B654" s="700"/>
      <c r="C654" s="700"/>
      <c r="D654" s="701"/>
      <c r="E654" s="700"/>
      <c r="F654" s="328"/>
      <c r="G654" s="700"/>
      <c r="H654" s="706"/>
      <c r="I654" s="704"/>
      <c r="J654" s="704"/>
      <c r="K654" s="704"/>
      <c r="L654" s="704"/>
      <c r="M654" s="704"/>
      <c r="N654" s="704"/>
      <c r="O654" s="685"/>
    </row>
    <row r="655" spans="1:15" ht="15.6" x14ac:dyDescent="0.3">
      <c r="A655" s="700"/>
      <c r="B655" s="700"/>
      <c r="C655" s="700"/>
      <c r="D655" s="701"/>
      <c r="E655" s="700"/>
      <c r="F655" s="328"/>
      <c r="G655" s="700"/>
      <c r="H655" s="706"/>
      <c r="I655" s="704"/>
      <c r="J655" s="704"/>
      <c r="K655" s="704"/>
      <c r="L655" s="704"/>
      <c r="M655" s="704"/>
      <c r="N655" s="704"/>
      <c r="O655" s="685"/>
    </row>
    <row r="656" spans="1:15" ht="15.6" x14ac:dyDescent="0.3">
      <c r="A656" s="700"/>
      <c r="B656" s="700"/>
      <c r="C656" s="700"/>
      <c r="D656" s="701"/>
      <c r="E656" s="700"/>
      <c r="F656" s="328"/>
      <c r="G656" s="700"/>
      <c r="H656" s="706"/>
      <c r="I656" s="704"/>
      <c r="J656" s="704"/>
      <c r="K656" s="704"/>
      <c r="L656" s="704"/>
      <c r="M656" s="704"/>
      <c r="N656" s="704"/>
      <c r="O656" s="685"/>
    </row>
    <row r="657" spans="1:15" ht="15.6" x14ac:dyDescent="0.3">
      <c r="A657" s="700"/>
      <c r="B657" s="700"/>
      <c r="C657" s="700"/>
      <c r="D657" s="701"/>
      <c r="E657" s="700"/>
      <c r="F657" s="328"/>
      <c r="G657" s="700"/>
      <c r="H657" s="706"/>
      <c r="I657" s="704"/>
      <c r="J657" s="704"/>
      <c r="K657" s="704"/>
      <c r="L657" s="704"/>
      <c r="M657" s="704"/>
      <c r="N657" s="704"/>
      <c r="O657" s="685"/>
    </row>
    <row r="658" spans="1:15" ht="15.6" x14ac:dyDescent="0.3">
      <c r="A658" s="700"/>
      <c r="B658" s="700"/>
      <c r="C658" s="700"/>
      <c r="D658" s="701"/>
      <c r="E658" s="700"/>
      <c r="F658" s="328"/>
      <c r="G658" s="700"/>
      <c r="H658" s="706"/>
      <c r="I658" s="704"/>
      <c r="J658" s="704"/>
      <c r="K658" s="704"/>
      <c r="L658" s="704"/>
      <c r="M658" s="704"/>
      <c r="N658" s="704"/>
      <c r="O658" s="685"/>
    </row>
    <row r="659" spans="1:15" ht="15.6" x14ac:dyDescent="0.3">
      <c r="A659" s="700"/>
      <c r="B659" s="700"/>
      <c r="C659" s="700"/>
      <c r="D659" s="701"/>
      <c r="E659" s="700"/>
      <c r="F659" s="328"/>
      <c r="G659" s="700"/>
      <c r="H659" s="706"/>
      <c r="I659" s="704"/>
      <c r="J659" s="704"/>
      <c r="K659" s="704"/>
      <c r="L659" s="704"/>
      <c r="M659" s="704"/>
      <c r="N659" s="704"/>
      <c r="O659" s="685"/>
    </row>
    <row r="660" spans="1:15" ht="15.6" x14ac:dyDescent="0.3">
      <c r="A660" s="700"/>
      <c r="B660" s="700"/>
      <c r="C660" s="700"/>
      <c r="D660" s="701"/>
      <c r="E660" s="700"/>
      <c r="F660" s="328"/>
      <c r="G660" s="700"/>
      <c r="H660" s="706"/>
      <c r="I660" s="704"/>
      <c r="J660" s="704"/>
      <c r="K660" s="704"/>
      <c r="L660" s="704"/>
      <c r="M660" s="704"/>
      <c r="N660" s="704"/>
      <c r="O660" s="685"/>
    </row>
    <row r="661" spans="1:15" ht="15.6" x14ac:dyDescent="0.3">
      <c r="A661" s="700"/>
      <c r="B661" s="700"/>
      <c r="C661" s="700"/>
      <c r="D661" s="701"/>
      <c r="E661" s="700"/>
      <c r="F661" s="328"/>
      <c r="G661" s="700"/>
      <c r="H661" s="706"/>
      <c r="I661" s="704"/>
      <c r="J661" s="704"/>
      <c r="K661" s="704"/>
      <c r="L661" s="704"/>
      <c r="M661" s="704"/>
      <c r="N661" s="704"/>
      <c r="O661" s="685"/>
    </row>
    <row r="662" spans="1:15" ht="15.6" x14ac:dyDescent="0.3">
      <c r="A662" s="700"/>
      <c r="B662" s="700"/>
      <c r="C662" s="700"/>
      <c r="D662" s="701"/>
      <c r="E662" s="700"/>
      <c r="F662" s="328"/>
      <c r="G662" s="700"/>
      <c r="H662" s="706"/>
      <c r="I662" s="704"/>
      <c r="J662" s="704"/>
      <c r="K662" s="704"/>
      <c r="L662" s="704"/>
      <c r="M662" s="704"/>
      <c r="N662" s="704"/>
      <c r="O662" s="685"/>
    </row>
    <row r="663" spans="1:15" ht="15.6" x14ac:dyDescent="0.3">
      <c r="A663" s="700"/>
      <c r="B663" s="700"/>
      <c r="C663" s="700"/>
      <c r="D663" s="701"/>
      <c r="E663" s="700"/>
      <c r="F663" s="328"/>
      <c r="G663" s="700"/>
      <c r="H663" s="706"/>
      <c r="I663" s="704"/>
      <c r="J663" s="704"/>
      <c r="K663" s="704"/>
      <c r="L663" s="704"/>
      <c r="M663" s="704"/>
      <c r="N663" s="704"/>
      <c r="O663" s="685"/>
    </row>
    <row r="664" spans="1:15" ht="15.6" x14ac:dyDescent="0.3">
      <c r="A664" s="700"/>
      <c r="B664" s="700"/>
      <c r="C664" s="700"/>
      <c r="D664" s="701"/>
      <c r="E664" s="700"/>
      <c r="F664" s="328"/>
      <c r="G664" s="700"/>
      <c r="H664" s="706"/>
      <c r="I664" s="704"/>
      <c r="J664" s="704"/>
      <c r="K664" s="704"/>
      <c r="L664" s="704"/>
      <c r="M664" s="704"/>
      <c r="N664" s="704"/>
      <c r="O664" s="685"/>
    </row>
    <row r="665" spans="1:15" ht="15.6" x14ac:dyDescent="0.3">
      <c r="A665" s="700"/>
      <c r="B665" s="700"/>
      <c r="C665" s="700"/>
      <c r="D665" s="701"/>
      <c r="E665" s="700"/>
      <c r="F665" s="328"/>
      <c r="G665" s="700"/>
      <c r="H665" s="706"/>
      <c r="I665" s="704"/>
      <c r="J665" s="704"/>
      <c r="K665" s="704"/>
      <c r="L665" s="704"/>
      <c r="M665" s="704"/>
      <c r="N665" s="704"/>
      <c r="O665" s="685"/>
    </row>
    <row r="666" spans="1:15" ht="15.6" x14ac:dyDescent="0.3">
      <c r="A666" s="700"/>
      <c r="B666" s="700"/>
      <c r="C666" s="700"/>
      <c r="D666" s="701"/>
      <c r="E666" s="700"/>
      <c r="F666" s="328"/>
      <c r="G666" s="700"/>
      <c r="H666" s="706"/>
      <c r="I666" s="704"/>
      <c r="J666" s="704"/>
      <c r="K666" s="704"/>
      <c r="L666" s="704"/>
      <c r="M666" s="704"/>
      <c r="N666" s="704"/>
      <c r="O666" s="685"/>
    </row>
    <row r="667" spans="1:15" ht="15.6" x14ac:dyDescent="0.3">
      <c r="A667" s="700"/>
      <c r="B667" s="700"/>
      <c r="C667" s="700"/>
      <c r="D667" s="701"/>
      <c r="E667" s="700"/>
      <c r="F667" s="328"/>
      <c r="G667" s="700"/>
      <c r="H667" s="706"/>
      <c r="I667" s="704"/>
      <c r="J667" s="704"/>
      <c r="K667" s="704"/>
      <c r="L667" s="704"/>
      <c r="M667" s="704"/>
      <c r="N667" s="704"/>
      <c r="O667" s="685"/>
    </row>
    <row r="668" spans="1:15" ht="15.6" x14ac:dyDescent="0.3">
      <c r="A668" s="700"/>
      <c r="B668" s="700"/>
      <c r="C668" s="700"/>
      <c r="D668" s="701"/>
      <c r="E668" s="700"/>
      <c r="F668" s="328"/>
      <c r="G668" s="700"/>
      <c r="H668" s="706"/>
      <c r="I668" s="704"/>
      <c r="J668" s="704"/>
      <c r="K668" s="704"/>
      <c r="L668" s="704"/>
      <c r="M668" s="704"/>
      <c r="N668" s="704"/>
      <c r="O668" s="685"/>
    </row>
    <row r="669" spans="1:15" ht="15.6" x14ac:dyDescent="0.3">
      <c r="A669" s="700"/>
      <c r="B669" s="700"/>
      <c r="C669" s="700"/>
      <c r="D669" s="701"/>
      <c r="E669" s="700"/>
      <c r="F669" s="328"/>
      <c r="G669" s="700"/>
      <c r="H669" s="706"/>
      <c r="I669" s="704"/>
      <c r="J669" s="704"/>
      <c r="K669" s="704"/>
      <c r="L669" s="704"/>
      <c r="M669" s="704"/>
      <c r="N669" s="704"/>
      <c r="O669" s="685"/>
    </row>
    <row r="670" spans="1:15" ht="15.6" x14ac:dyDescent="0.3">
      <c r="A670" s="700"/>
      <c r="B670" s="700"/>
      <c r="C670" s="700"/>
      <c r="D670" s="701"/>
      <c r="E670" s="700"/>
      <c r="F670" s="328"/>
      <c r="G670" s="700"/>
      <c r="H670" s="706"/>
      <c r="I670" s="704"/>
      <c r="J670" s="704"/>
      <c r="K670" s="704"/>
      <c r="L670" s="704"/>
      <c r="M670" s="704"/>
      <c r="N670" s="704"/>
      <c r="O670" s="685"/>
    </row>
    <row r="671" spans="1:15" ht="15.6" x14ac:dyDescent="0.3">
      <c r="A671" s="700"/>
      <c r="B671" s="700"/>
      <c r="C671" s="700"/>
      <c r="D671" s="701"/>
      <c r="E671" s="700"/>
      <c r="F671" s="328"/>
      <c r="G671" s="700"/>
      <c r="H671" s="706"/>
      <c r="I671" s="704"/>
      <c r="J671" s="704"/>
      <c r="K671" s="704"/>
      <c r="L671" s="704"/>
      <c r="M671" s="704"/>
      <c r="N671" s="704"/>
      <c r="O671" s="685"/>
    </row>
    <row r="672" spans="1:15" ht="15.6" x14ac:dyDescent="0.3">
      <c r="A672" s="700"/>
      <c r="B672" s="700"/>
      <c r="C672" s="700"/>
      <c r="D672" s="701"/>
      <c r="E672" s="700"/>
      <c r="F672" s="328"/>
      <c r="G672" s="700"/>
      <c r="H672" s="706"/>
      <c r="I672" s="704"/>
      <c r="J672" s="704"/>
      <c r="K672" s="704"/>
      <c r="L672" s="704"/>
      <c r="M672" s="704"/>
      <c r="N672" s="704"/>
      <c r="O672" s="685"/>
    </row>
    <row r="673" spans="1:15" ht="15.6" x14ac:dyDescent="0.3">
      <c r="A673" s="700"/>
      <c r="B673" s="700"/>
      <c r="C673" s="700"/>
      <c r="D673" s="701"/>
      <c r="E673" s="700"/>
      <c r="F673" s="328"/>
      <c r="G673" s="700"/>
      <c r="H673" s="706"/>
      <c r="I673" s="704"/>
      <c r="J673" s="704"/>
      <c r="K673" s="704"/>
      <c r="L673" s="704"/>
      <c r="M673" s="704"/>
      <c r="N673" s="704"/>
      <c r="O673" s="685"/>
    </row>
    <row r="674" spans="1:15" ht="15.6" x14ac:dyDescent="0.3">
      <c r="A674" s="700"/>
      <c r="B674" s="700"/>
      <c r="C674" s="700"/>
      <c r="D674" s="701"/>
      <c r="E674" s="700"/>
      <c r="F674" s="328"/>
      <c r="G674" s="700"/>
      <c r="H674" s="706"/>
      <c r="I674" s="704"/>
      <c r="J674" s="704"/>
      <c r="K674" s="704"/>
      <c r="L674" s="704"/>
      <c r="M674" s="704"/>
      <c r="N674" s="704"/>
      <c r="O674" s="685"/>
    </row>
    <row r="675" spans="1:15" ht="15.6" x14ac:dyDescent="0.3">
      <c r="A675" s="700"/>
      <c r="B675" s="700"/>
      <c r="C675" s="700"/>
      <c r="D675" s="701"/>
      <c r="E675" s="700"/>
      <c r="F675" s="328"/>
      <c r="G675" s="700"/>
      <c r="H675" s="706"/>
      <c r="I675" s="704"/>
      <c r="J675" s="704"/>
      <c r="K675" s="704"/>
      <c r="L675" s="704"/>
      <c r="M675" s="704"/>
      <c r="N675" s="704"/>
      <c r="O675" s="685"/>
    </row>
    <row r="676" spans="1:15" ht="15.6" x14ac:dyDescent="0.3">
      <c r="A676" s="700"/>
      <c r="B676" s="700"/>
      <c r="C676" s="700"/>
      <c r="D676" s="701"/>
      <c r="E676" s="700"/>
      <c r="F676" s="328"/>
      <c r="G676" s="700"/>
      <c r="H676" s="706"/>
      <c r="I676" s="704"/>
      <c r="J676" s="704"/>
      <c r="K676" s="704"/>
      <c r="L676" s="704"/>
      <c r="M676" s="704"/>
      <c r="N676" s="704"/>
      <c r="O676" s="685"/>
    </row>
    <row r="677" spans="1:15" ht="15.6" x14ac:dyDescent="0.3">
      <c r="A677" s="700"/>
      <c r="B677" s="700"/>
      <c r="C677" s="700"/>
      <c r="D677" s="701"/>
      <c r="E677" s="700"/>
      <c r="F677" s="328"/>
      <c r="G677" s="700"/>
      <c r="H677" s="706"/>
      <c r="I677" s="704"/>
      <c r="J677" s="704"/>
      <c r="K677" s="704"/>
      <c r="L677" s="704"/>
      <c r="M677" s="704"/>
      <c r="N677" s="704"/>
      <c r="O677" s="685"/>
    </row>
    <row r="678" spans="1:15" ht="15.6" x14ac:dyDescent="0.3">
      <c r="A678" s="700"/>
      <c r="B678" s="700"/>
      <c r="C678" s="700"/>
      <c r="D678" s="701"/>
      <c r="E678" s="700"/>
      <c r="F678" s="328"/>
      <c r="G678" s="700"/>
      <c r="H678" s="706"/>
      <c r="I678" s="704"/>
      <c r="J678" s="704"/>
      <c r="K678" s="704"/>
      <c r="L678" s="704"/>
      <c r="M678" s="704"/>
      <c r="N678" s="704"/>
      <c r="O678" s="685"/>
    </row>
    <row r="679" spans="1:15" ht="15.6" x14ac:dyDescent="0.3">
      <c r="A679" s="700"/>
      <c r="B679" s="700"/>
      <c r="C679" s="700"/>
      <c r="D679" s="701"/>
      <c r="E679" s="700"/>
      <c r="F679" s="328"/>
      <c r="G679" s="700"/>
      <c r="H679" s="706"/>
      <c r="I679" s="704"/>
      <c r="J679" s="704"/>
      <c r="K679" s="704"/>
      <c r="L679" s="704"/>
      <c r="M679" s="704"/>
      <c r="N679" s="704"/>
      <c r="O679" s="685"/>
    </row>
    <row r="680" spans="1:15" ht="15.6" x14ac:dyDescent="0.3">
      <c r="A680" s="700"/>
      <c r="B680" s="700"/>
      <c r="C680" s="700"/>
      <c r="D680" s="701"/>
      <c r="E680" s="700"/>
      <c r="F680" s="328"/>
      <c r="G680" s="700"/>
      <c r="H680" s="706"/>
      <c r="I680" s="704"/>
      <c r="J680" s="704"/>
      <c r="K680" s="704"/>
      <c r="L680" s="704"/>
      <c r="M680" s="704"/>
      <c r="N680" s="704"/>
      <c r="O680" s="685"/>
    </row>
    <row r="681" spans="1:15" ht="15.6" x14ac:dyDescent="0.3">
      <c r="A681" s="700"/>
      <c r="B681" s="700"/>
      <c r="C681" s="700"/>
      <c r="D681" s="701"/>
      <c r="E681" s="700"/>
      <c r="F681" s="328"/>
      <c r="G681" s="700"/>
      <c r="H681" s="706"/>
      <c r="I681" s="704"/>
      <c r="J681" s="704"/>
      <c r="K681" s="704"/>
      <c r="L681" s="704"/>
      <c r="M681" s="704"/>
      <c r="N681" s="704"/>
      <c r="O681" s="685"/>
    </row>
    <row r="682" spans="1:15" ht="15.6" x14ac:dyDescent="0.3">
      <c r="A682" s="700"/>
      <c r="B682" s="700"/>
      <c r="C682" s="700"/>
      <c r="D682" s="701"/>
      <c r="E682" s="700"/>
      <c r="F682" s="328"/>
      <c r="G682" s="700"/>
      <c r="H682" s="706"/>
      <c r="I682" s="704"/>
      <c r="J682" s="704"/>
      <c r="K682" s="704"/>
      <c r="L682" s="704"/>
      <c r="M682" s="704"/>
      <c r="N682" s="704"/>
      <c r="O682" s="685"/>
    </row>
    <row r="683" spans="1:15" ht="15.6" x14ac:dyDescent="0.3">
      <c r="A683" s="700"/>
      <c r="B683" s="700"/>
      <c r="C683" s="700"/>
      <c r="D683" s="701"/>
      <c r="E683" s="700"/>
      <c r="F683" s="328"/>
      <c r="G683" s="700"/>
      <c r="H683" s="706"/>
      <c r="I683" s="704"/>
      <c r="J683" s="704"/>
      <c r="K683" s="704"/>
      <c r="L683" s="704"/>
      <c r="M683" s="704"/>
      <c r="N683" s="704"/>
      <c r="O683" s="685"/>
    </row>
    <row r="684" spans="1:15" ht="15.6" x14ac:dyDescent="0.3">
      <c r="A684" s="700"/>
      <c r="B684" s="700"/>
      <c r="C684" s="700"/>
      <c r="D684" s="701"/>
      <c r="E684" s="700"/>
      <c r="F684" s="328"/>
      <c r="G684" s="700"/>
      <c r="H684" s="706"/>
      <c r="I684" s="704"/>
      <c r="J684" s="704"/>
      <c r="K684" s="704"/>
      <c r="L684" s="704"/>
      <c r="M684" s="704"/>
      <c r="N684" s="704"/>
      <c r="O684" s="685"/>
    </row>
    <row r="685" spans="1:15" ht="15.6" x14ac:dyDescent="0.3">
      <c r="A685" s="700"/>
      <c r="B685" s="700"/>
      <c r="C685" s="700"/>
      <c r="D685" s="701"/>
      <c r="E685" s="700"/>
      <c r="F685" s="328"/>
      <c r="G685" s="700"/>
      <c r="H685" s="706"/>
      <c r="I685" s="704"/>
      <c r="J685" s="704"/>
      <c r="K685" s="704"/>
      <c r="L685" s="704"/>
      <c r="M685" s="704"/>
      <c r="N685" s="704"/>
      <c r="O685" s="685"/>
    </row>
    <row r="686" spans="1:15" ht="15.6" x14ac:dyDescent="0.3">
      <c r="A686" s="700"/>
      <c r="B686" s="700"/>
      <c r="C686" s="700"/>
      <c r="D686" s="701"/>
      <c r="E686" s="700"/>
      <c r="F686" s="328"/>
      <c r="G686" s="700"/>
      <c r="H686" s="706"/>
      <c r="I686" s="704"/>
      <c r="J686" s="704"/>
      <c r="K686" s="704"/>
      <c r="L686" s="704"/>
      <c r="M686" s="704"/>
      <c r="N686" s="704"/>
      <c r="O686" s="685"/>
    </row>
    <row r="687" spans="1:15" ht="15.6" x14ac:dyDescent="0.3">
      <c r="A687" s="700"/>
      <c r="B687" s="700"/>
      <c r="C687" s="700"/>
      <c r="D687" s="701"/>
      <c r="E687" s="700"/>
      <c r="F687" s="328"/>
      <c r="G687" s="700"/>
      <c r="H687" s="706"/>
      <c r="I687" s="704"/>
      <c r="J687" s="704"/>
      <c r="K687" s="704"/>
      <c r="L687" s="704"/>
      <c r="M687" s="704"/>
      <c r="N687" s="704"/>
      <c r="O687" s="685"/>
    </row>
    <row r="688" spans="1:15" ht="15.6" x14ac:dyDescent="0.3">
      <c r="A688" s="700"/>
      <c r="B688" s="700"/>
      <c r="C688" s="700"/>
      <c r="D688" s="701"/>
      <c r="E688" s="700"/>
      <c r="F688" s="328"/>
      <c r="G688" s="700"/>
      <c r="H688" s="706"/>
      <c r="I688" s="704"/>
      <c r="J688" s="704"/>
      <c r="K688" s="704"/>
      <c r="L688" s="704"/>
      <c r="M688" s="704"/>
      <c r="N688" s="704"/>
      <c r="O688" s="685"/>
    </row>
    <row r="689" spans="1:15" ht="15.6" x14ac:dyDescent="0.3">
      <c r="A689" s="700"/>
      <c r="B689" s="700"/>
      <c r="C689" s="700"/>
      <c r="D689" s="701"/>
      <c r="E689" s="700"/>
      <c r="F689" s="328"/>
      <c r="G689" s="700"/>
      <c r="H689" s="706"/>
      <c r="I689" s="704"/>
      <c r="J689" s="704"/>
      <c r="K689" s="704"/>
      <c r="L689" s="704"/>
      <c r="M689" s="704"/>
      <c r="N689" s="704"/>
      <c r="O689" s="685"/>
    </row>
    <row r="690" spans="1:15" ht="15.6" x14ac:dyDescent="0.3">
      <c r="A690" s="700"/>
      <c r="B690" s="700"/>
      <c r="C690" s="700"/>
      <c r="D690" s="701"/>
      <c r="E690" s="700"/>
      <c r="F690" s="328"/>
      <c r="G690" s="700"/>
      <c r="H690" s="706"/>
      <c r="I690" s="704"/>
      <c r="J690" s="704"/>
      <c r="K690" s="704"/>
      <c r="L690" s="704"/>
      <c r="M690" s="704"/>
      <c r="N690" s="704"/>
      <c r="O690" s="685"/>
    </row>
    <row r="691" spans="1:15" ht="15.6" x14ac:dyDescent="0.3">
      <c r="A691" s="700"/>
      <c r="B691" s="700"/>
      <c r="C691" s="700"/>
      <c r="D691" s="701"/>
      <c r="E691" s="700"/>
      <c r="F691" s="328"/>
      <c r="G691" s="700"/>
      <c r="H691" s="706"/>
      <c r="I691" s="704"/>
      <c r="J691" s="704"/>
      <c r="K691" s="704"/>
      <c r="L691" s="704"/>
      <c r="M691" s="704"/>
      <c r="N691" s="704"/>
      <c r="O691" s="685"/>
    </row>
    <row r="692" spans="1:15" ht="15.6" x14ac:dyDescent="0.3">
      <c r="A692" s="700"/>
      <c r="B692" s="700"/>
      <c r="C692" s="700"/>
      <c r="D692" s="701"/>
      <c r="E692" s="700"/>
      <c r="F692" s="328"/>
      <c r="G692" s="700"/>
      <c r="H692" s="706"/>
      <c r="I692" s="704"/>
      <c r="J692" s="704"/>
      <c r="K692" s="704"/>
      <c r="L692" s="704"/>
      <c r="M692" s="704"/>
      <c r="N692" s="704"/>
      <c r="O692" s="685"/>
    </row>
    <row r="693" spans="1:15" ht="15.6" x14ac:dyDescent="0.3">
      <c r="A693" s="700"/>
      <c r="B693" s="700"/>
      <c r="C693" s="700"/>
      <c r="D693" s="701"/>
      <c r="E693" s="700"/>
      <c r="F693" s="328"/>
      <c r="G693" s="700"/>
      <c r="H693" s="706"/>
      <c r="I693" s="704"/>
      <c r="J693" s="704"/>
      <c r="K693" s="704"/>
      <c r="L693" s="704"/>
      <c r="M693" s="704"/>
      <c r="N693" s="704"/>
      <c r="O693" s="685"/>
    </row>
    <row r="694" spans="1:15" ht="15.6" x14ac:dyDescent="0.3">
      <c r="A694" s="700"/>
      <c r="B694" s="700"/>
      <c r="C694" s="700"/>
      <c r="D694" s="701"/>
      <c r="E694" s="700"/>
      <c r="F694" s="328"/>
      <c r="G694" s="700"/>
      <c r="H694" s="706"/>
      <c r="I694" s="704"/>
      <c r="J694" s="704"/>
      <c r="K694" s="704"/>
      <c r="L694" s="704"/>
      <c r="M694" s="704"/>
      <c r="N694" s="704"/>
      <c r="O694" s="685"/>
    </row>
    <row r="695" spans="1:15" ht="15.6" x14ac:dyDescent="0.3">
      <c r="A695" s="700"/>
      <c r="B695" s="700"/>
      <c r="C695" s="700"/>
      <c r="D695" s="701"/>
      <c r="E695" s="700"/>
      <c r="F695" s="328"/>
      <c r="G695" s="700"/>
      <c r="H695" s="706"/>
      <c r="I695" s="704"/>
      <c r="J695" s="704"/>
      <c r="K695" s="704"/>
      <c r="L695" s="704"/>
      <c r="M695" s="704"/>
      <c r="N695" s="704"/>
      <c r="O695" s="685"/>
    </row>
    <row r="696" spans="1:15" ht="15.6" x14ac:dyDescent="0.3">
      <c r="A696" s="700"/>
      <c r="B696" s="700"/>
      <c r="C696" s="700"/>
      <c r="D696" s="701"/>
      <c r="E696" s="700"/>
      <c r="F696" s="328"/>
      <c r="G696" s="700"/>
      <c r="H696" s="706"/>
      <c r="I696" s="704"/>
      <c r="J696" s="704"/>
      <c r="K696" s="704"/>
      <c r="L696" s="704"/>
      <c r="M696" s="704"/>
      <c r="N696" s="704"/>
      <c r="O696" s="685"/>
    </row>
    <row r="697" spans="1:15" ht="15.6" x14ac:dyDescent="0.3">
      <c r="A697" s="700"/>
      <c r="B697" s="700"/>
      <c r="C697" s="700"/>
      <c r="D697" s="701"/>
      <c r="E697" s="700"/>
      <c r="F697" s="328"/>
      <c r="G697" s="700"/>
      <c r="H697" s="706"/>
      <c r="I697" s="704"/>
      <c r="J697" s="704"/>
      <c r="K697" s="704"/>
      <c r="L697" s="704"/>
      <c r="M697" s="704"/>
      <c r="N697" s="704"/>
      <c r="O697" s="685"/>
    </row>
    <row r="698" spans="1:15" ht="15.6" x14ac:dyDescent="0.3">
      <c r="A698" s="700"/>
      <c r="B698" s="700"/>
      <c r="C698" s="700"/>
      <c r="D698" s="701"/>
      <c r="E698" s="700"/>
      <c r="F698" s="328"/>
      <c r="G698" s="700"/>
      <c r="H698" s="706"/>
      <c r="I698" s="704"/>
      <c r="J698" s="704"/>
      <c r="K698" s="704"/>
      <c r="L698" s="704"/>
      <c r="M698" s="704"/>
      <c r="N698" s="704"/>
      <c r="O698" s="685"/>
    </row>
    <row r="699" spans="1:15" ht="15.6" x14ac:dyDescent="0.3">
      <c r="A699" s="700"/>
      <c r="B699" s="700"/>
      <c r="C699" s="700"/>
      <c r="D699" s="701"/>
      <c r="E699" s="700"/>
      <c r="F699" s="328"/>
      <c r="G699" s="700"/>
      <c r="H699" s="706"/>
      <c r="I699" s="704"/>
      <c r="J699" s="704"/>
      <c r="K699" s="704"/>
      <c r="L699" s="704"/>
      <c r="M699" s="704"/>
      <c r="N699" s="704"/>
      <c r="O699" s="685"/>
    </row>
    <row r="700" spans="1:15" ht="15.6" x14ac:dyDescent="0.3">
      <c r="A700" s="700"/>
      <c r="B700" s="700"/>
      <c r="C700" s="700"/>
      <c r="D700" s="701"/>
      <c r="E700" s="700"/>
      <c r="F700" s="328"/>
      <c r="G700" s="700"/>
      <c r="H700" s="706"/>
      <c r="I700" s="704"/>
      <c r="J700" s="704"/>
      <c r="K700" s="704"/>
      <c r="L700" s="704"/>
      <c r="M700" s="704"/>
      <c r="N700" s="704"/>
      <c r="O700" s="685"/>
    </row>
    <row r="701" spans="1:15" ht="15.6" x14ac:dyDescent="0.3">
      <c r="A701" s="700"/>
      <c r="B701" s="700"/>
      <c r="C701" s="700"/>
      <c r="D701" s="701"/>
      <c r="E701" s="700"/>
      <c r="F701" s="328"/>
      <c r="G701" s="700"/>
      <c r="H701" s="706"/>
      <c r="I701" s="704"/>
      <c r="J701" s="704"/>
      <c r="K701" s="704"/>
      <c r="L701" s="704"/>
      <c r="M701" s="704"/>
      <c r="N701" s="704"/>
      <c r="O701" s="685"/>
    </row>
    <row r="702" spans="1:15" ht="15.6" x14ac:dyDescent="0.3">
      <c r="A702" s="700"/>
      <c r="B702" s="700"/>
      <c r="C702" s="700"/>
      <c r="D702" s="701"/>
      <c r="E702" s="700"/>
      <c r="F702" s="328"/>
      <c r="G702" s="700"/>
      <c r="H702" s="706"/>
      <c r="I702" s="704"/>
      <c r="J702" s="704"/>
      <c r="K702" s="704"/>
      <c r="L702" s="704"/>
      <c r="M702" s="704"/>
      <c r="N702" s="704"/>
      <c r="O702" s="685"/>
    </row>
    <row r="703" spans="1:15" ht="15.6" x14ac:dyDescent="0.3">
      <c r="A703" s="700"/>
      <c r="B703" s="700"/>
      <c r="C703" s="700"/>
      <c r="D703" s="701"/>
      <c r="E703" s="700"/>
      <c r="F703" s="328"/>
      <c r="G703" s="700"/>
      <c r="H703" s="706"/>
      <c r="I703" s="704"/>
      <c r="J703" s="704"/>
      <c r="K703" s="704"/>
      <c r="L703" s="704"/>
      <c r="M703" s="704"/>
      <c r="N703" s="704"/>
      <c r="O703" s="685"/>
    </row>
    <row r="704" spans="1:15" ht="15.6" x14ac:dyDescent="0.3">
      <c r="A704" s="700"/>
      <c r="B704" s="700"/>
      <c r="C704" s="700"/>
      <c r="D704" s="701"/>
      <c r="E704" s="700"/>
      <c r="F704" s="328"/>
      <c r="G704" s="700"/>
      <c r="H704" s="706"/>
      <c r="I704" s="704"/>
      <c r="J704" s="704"/>
      <c r="K704" s="704"/>
      <c r="L704" s="704"/>
      <c r="M704" s="704"/>
      <c r="N704" s="704"/>
      <c r="O704" s="685"/>
    </row>
    <row r="705" spans="1:15" ht="15.6" x14ac:dyDescent="0.3">
      <c r="A705" s="700"/>
      <c r="B705" s="700"/>
      <c r="C705" s="700"/>
      <c r="D705" s="701"/>
      <c r="E705" s="700"/>
      <c r="F705" s="328"/>
      <c r="G705" s="700"/>
      <c r="H705" s="706"/>
      <c r="I705" s="704"/>
      <c r="J705" s="704"/>
      <c r="K705" s="704"/>
      <c r="L705" s="704"/>
      <c r="M705" s="704"/>
      <c r="N705" s="704"/>
      <c r="O705" s="685"/>
    </row>
    <row r="706" spans="1:15" ht="15.6" x14ac:dyDescent="0.3">
      <c r="A706" s="700"/>
      <c r="B706" s="700"/>
      <c r="C706" s="700"/>
      <c r="D706" s="701"/>
      <c r="E706" s="700"/>
      <c r="F706" s="328"/>
      <c r="G706" s="700"/>
      <c r="H706" s="706"/>
      <c r="I706" s="704"/>
      <c r="J706" s="704"/>
      <c r="K706" s="704"/>
      <c r="L706" s="704"/>
      <c r="M706" s="704"/>
      <c r="N706" s="704"/>
      <c r="O706" s="685"/>
    </row>
    <row r="707" spans="1:15" ht="15.6" x14ac:dyDescent="0.3">
      <c r="A707" s="700"/>
      <c r="B707" s="700"/>
      <c r="C707" s="700"/>
      <c r="D707" s="701"/>
      <c r="E707" s="700"/>
      <c r="F707" s="328"/>
      <c r="G707" s="700"/>
      <c r="H707" s="706"/>
      <c r="I707" s="704"/>
      <c r="J707" s="704"/>
      <c r="K707" s="704"/>
      <c r="L707" s="704"/>
      <c r="M707" s="704"/>
      <c r="N707" s="704"/>
      <c r="O707" s="685"/>
    </row>
    <row r="708" spans="1:15" ht="15.6" x14ac:dyDescent="0.3">
      <c r="A708" s="700"/>
      <c r="B708" s="700"/>
      <c r="C708" s="700"/>
      <c r="D708" s="701"/>
      <c r="E708" s="700"/>
      <c r="F708" s="328"/>
      <c r="G708" s="700"/>
      <c r="H708" s="706"/>
      <c r="I708" s="704"/>
      <c r="J708" s="704"/>
      <c r="K708" s="704"/>
      <c r="L708" s="704"/>
      <c r="M708" s="704"/>
      <c r="N708" s="704"/>
      <c r="O708" s="685"/>
    </row>
    <row r="709" spans="1:15" ht="15.6" x14ac:dyDescent="0.3">
      <c r="A709" s="700"/>
      <c r="B709" s="700"/>
      <c r="C709" s="700"/>
      <c r="D709" s="701"/>
      <c r="E709" s="700"/>
      <c r="F709" s="328"/>
      <c r="G709" s="700"/>
      <c r="H709" s="706"/>
      <c r="I709" s="704"/>
      <c r="J709" s="704"/>
      <c r="K709" s="704"/>
      <c r="L709" s="704"/>
      <c r="M709" s="704"/>
      <c r="N709" s="704"/>
      <c r="O709" s="685"/>
    </row>
    <row r="710" spans="1:15" ht="15.6" x14ac:dyDescent="0.3">
      <c r="A710" s="700"/>
      <c r="B710" s="700"/>
      <c r="C710" s="700"/>
      <c r="D710" s="701"/>
      <c r="E710" s="700"/>
      <c r="F710" s="328"/>
      <c r="G710" s="700"/>
      <c r="H710" s="706"/>
      <c r="I710" s="704"/>
      <c r="J710" s="704"/>
      <c r="K710" s="704"/>
      <c r="L710" s="704"/>
      <c r="M710" s="704"/>
      <c r="N710" s="704"/>
      <c r="O710" s="685"/>
    </row>
    <row r="711" spans="1:15" ht="15.6" x14ac:dyDescent="0.3">
      <c r="A711" s="700"/>
      <c r="B711" s="700"/>
      <c r="C711" s="700"/>
      <c r="D711" s="701"/>
      <c r="E711" s="700"/>
      <c r="F711" s="328"/>
      <c r="G711" s="700"/>
      <c r="H711" s="706"/>
      <c r="I711" s="704"/>
      <c r="J711" s="704"/>
      <c r="K711" s="704"/>
      <c r="L711" s="704"/>
      <c r="M711" s="704"/>
      <c r="N711" s="704"/>
      <c r="O711" s="685"/>
    </row>
    <row r="712" spans="1:15" ht="15.6" x14ac:dyDescent="0.3">
      <c r="A712" s="700"/>
      <c r="B712" s="700"/>
      <c r="C712" s="700"/>
      <c r="D712" s="701"/>
      <c r="E712" s="700"/>
      <c r="F712" s="328"/>
      <c r="G712" s="700"/>
      <c r="H712" s="706"/>
      <c r="I712" s="704"/>
      <c r="J712" s="704"/>
      <c r="K712" s="704"/>
      <c r="L712" s="704"/>
      <c r="M712" s="704"/>
      <c r="N712" s="704"/>
      <c r="O712" s="685"/>
    </row>
    <row r="713" spans="1:15" ht="15.6" x14ac:dyDescent="0.3">
      <c r="A713" s="700"/>
      <c r="B713" s="700"/>
      <c r="C713" s="700"/>
      <c r="D713" s="701"/>
      <c r="E713" s="700"/>
      <c r="F713" s="328"/>
      <c r="G713" s="700"/>
      <c r="H713" s="706"/>
      <c r="I713" s="704"/>
      <c r="J713" s="704"/>
      <c r="K713" s="704"/>
      <c r="L713" s="704"/>
      <c r="M713" s="704"/>
      <c r="N713" s="704"/>
      <c r="O713" s="685"/>
    </row>
    <row r="714" spans="1:15" ht="15.6" x14ac:dyDescent="0.3">
      <c r="A714" s="700"/>
      <c r="B714" s="700"/>
      <c r="C714" s="700"/>
      <c r="D714" s="701"/>
      <c r="E714" s="700"/>
      <c r="F714" s="328"/>
      <c r="G714" s="700"/>
      <c r="H714" s="706"/>
      <c r="I714" s="704"/>
      <c r="J714" s="704"/>
      <c r="K714" s="704"/>
      <c r="L714" s="704"/>
      <c r="M714" s="704"/>
      <c r="N714" s="704"/>
      <c r="O714" s="685"/>
    </row>
    <row r="715" spans="1:15" ht="15.6" x14ac:dyDescent="0.3">
      <c r="A715" s="700"/>
      <c r="B715" s="700"/>
      <c r="C715" s="700"/>
      <c r="D715" s="701"/>
      <c r="E715" s="700"/>
      <c r="F715" s="328"/>
      <c r="G715" s="700"/>
      <c r="H715" s="706"/>
      <c r="I715" s="704"/>
      <c r="J715" s="704"/>
      <c r="K715" s="704"/>
      <c r="L715" s="704"/>
      <c r="M715" s="704"/>
      <c r="N715" s="704"/>
      <c r="O715" s="685"/>
    </row>
    <row r="716" spans="1:15" ht="15.6" x14ac:dyDescent="0.3">
      <c r="A716" s="700"/>
      <c r="B716" s="700"/>
      <c r="C716" s="700"/>
      <c r="D716" s="701"/>
      <c r="E716" s="700"/>
      <c r="F716" s="328"/>
      <c r="G716" s="700"/>
      <c r="H716" s="706"/>
      <c r="I716" s="704"/>
      <c r="J716" s="704"/>
      <c r="K716" s="704"/>
      <c r="L716" s="704"/>
      <c r="M716" s="704"/>
      <c r="N716" s="704"/>
      <c r="O716" s="685"/>
    </row>
    <row r="717" spans="1:15" ht="15.6" x14ac:dyDescent="0.3">
      <c r="A717" s="700"/>
      <c r="B717" s="700"/>
      <c r="C717" s="700"/>
      <c r="D717" s="701"/>
      <c r="E717" s="700"/>
      <c r="F717" s="328"/>
      <c r="G717" s="700"/>
      <c r="H717" s="706"/>
      <c r="I717" s="704"/>
      <c r="J717" s="704"/>
      <c r="K717" s="704"/>
      <c r="L717" s="704"/>
      <c r="M717" s="704"/>
      <c r="N717" s="704"/>
      <c r="O717" s="685"/>
    </row>
    <row r="718" spans="1:15" ht="15.6" x14ac:dyDescent="0.3">
      <c r="A718" s="700"/>
      <c r="B718" s="700"/>
      <c r="C718" s="700"/>
      <c r="D718" s="701"/>
      <c r="E718" s="700"/>
      <c r="F718" s="328"/>
      <c r="G718" s="700"/>
      <c r="H718" s="706"/>
      <c r="I718" s="704"/>
      <c r="J718" s="704"/>
      <c r="K718" s="704"/>
      <c r="L718" s="704"/>
      <c r="M718" s="704"/>
      <c r="N718" s="704"/>
      <c r="O718" s="685"/>
    </row>
    <row r="719" spans="1:15" ht="15.6" x14ac:dyDescent="0.3">
      <c r="A719" s="700"/>
      <c r="B719" s="700"/>
      <c r="C719" s="700"/>
      <c r="D719" s="701"/>
      <c r="E719" s="700"/>
      <c r="F719" s="328"/>
      <c r="G719" s="700"/>
      <c r="H719" s="706"/>
      <c r="I719" s="704"/>
      <c r="J719" s="704"/>
      <c r="K719" s="704"/>
      <c r="L719" s="704"/>
      <c r="M719" s="704"/>
      <c r="N719" s="704"/>
      <c r="O719" s="685"/>
    </row>
    <row r="720" spans="1:15" ht="15.6" x14ac:dyDescent="0.3">
      <c r="A720" s="700"/>
      <c r="B720" s="700"/>
      <c r="C720" s="700"/>
      <c r="D720" s="701"/>
      <c r="E720" s="700"/>
      <c r="F720" s="328"/>
      <c r="G720" s="700"/>
      <c r="H720" s="706"/>
      <c r="I720" s="704"/>
      <c r="J720" s="704"/>
      <c r="K720" s="704"/>
      <c r="L720" s="704"/>
      <c r="M720" s="704"/>
      <c r="N720" s="704"/>
      <c r="O720" s="685"/>
    </row>
    <row r="721" spans="1:15" ht="15.6" x14ac:dyDescent="0.3">
      <c r="A721" s="700"/>
      <c r="B721" s="700"/>
      <c r="C721" s="700"/>
      <c r="D721" s="701"/>
      <c r="E721" s="700"/>
      <c r="F721" s="328"/>
      <c r="G721" s="700"/>
      <c r="H721" s="706"/>
      <c r="I721" s="704"/>
      <c r="J721" s="704"/>
      <c r="K721" s="704"/>
      <c r="L721" s="704"/>
      <c r="M721" s="704"/>
      <c r="N721" s="704"/>
      <c r="O721" s="685"/>
    </row>
    <row r="722" spans="1:15" ht="15.6" x14ac:dyDescent="0.3">
      <c r="A722" s="700"/>
      <c r="B722" s="700"/>
      <c r="C722" s="700"/>
      <c r="D722" s="701"/>
      <c r="E722" s="700"/>
      <c r="F722" s="328"/>
      <c r="G722" s="700"/>
      <c r="H722" s="706"/>
      <c r="I722" s="704"/>
      <c r="J722" s="704"/>
      <c r="K722" s="704"/>
      <c r="L722" s="704"/>
      <c r="M722" s="704"/>
      <c r="N722" s="704"/>
      <c r="O722" s="685"/>
    </row>
    <row r="723" spans="1:15" ht="15.6" x14ac:dyDescent="0.3">
      <c r="A723" s="700"/>
      <c r="B723" s="700"/>
      <c r="C723" s="700"/>
      <c r="D723" s="701"/>
      <c r="E723" s="700"/>
      <c r="F723" s="328"/>
      <c r="G723" s="700"/>
      <c r="H723" s="706"/>
      <c r="I723" s="704"/>
      <c r="J723" s="704"/>
      <c r="K723" s="704"/>
      <c r="L723" s="704"/>
      <c r="M723" s="704"/>
      <c r="N723" s="704"/>
      <c r="O723" s="685"/>
    </row>
    <row r="724" spans="1:15" ht="15.6" x14ac:dyDescent="0.3">
      <c r="A724" s="700"/>
      <c r="B724" s="700"/>
      <c r="C724" s="700"/>
      <c r="D724" s="701"/>
      <c r="E724" s="700"/>
      <c r="F724" s="328"/>
      <c r="G724" s="700"/>
      <c r="H724" s="706"/>
      <c r="I724" s="704"/>
      <c r="J724" s="704"/>
      <c r="K724" s="704"/>
      <c r="L724" s="704"/>
      <c r="M724" s="704"/>
      <c r="N724" s="704"/>
      <c r="O724" s="685"/>
    </row>
    <row r="725" spans="1:15" ht="15.6" x14ac:dyDescent="0.3">
      <c r="A725" s="700"/>
      <c r="B725" s="700"/>
      <c r="C725" s="700"/>
      <c r="D725" s="701"/>
      <c r="E725" s="700"/>
      <c r="F725" s="328"/>
      <c r="G725" s="700"/>
      <c r="H725" s="706"/>
      <c r="I725" s="704"/>
      <c r="J725" s="704"/>
      <c r="K725" s="704"/>
      <c r="L725" s="704"/>
      <c r="M725" s="704"/>
      <c r="N725" s="704"/>
      <c r="O725" s="685"/>
    </row>
    <row r="726" spans="1:15" ht="15.6" x14ac:dyDescent="0.3">
      <c r="A726" s="700"/>
      <c r="B726" s="700"/>
      <c r="C726" s="700"/>
      <c r="D726" s="701"/>
      <c r="E726" s="700"/>
      <c r="F726" s="328"/>
      <c r="G726" s="700"/>
      <c r="H726" s="706"/>
      <c r="I726" s="704"/>
      <c r="J726" s="704"/>
      <c r="K726" s="704"/>
      <c r="L726" s="704"/>
      <c r="M726" s="704"/>
      <c r="N726" s="704"/>
      <c r="O726" s="685"/>
    </row>
    <row r="727" spans="1:15" ht="15.6" x14ac:dyDescent="0.3">
      <c r="A727" s="700"/>
      <c r="B727" s="700"/>
      <c r="C727" s="700"/>
      <c r="D727" s="701"/>
      <c r="E727" s="700"/>
      <c r="F727" s="328"/>
      <c r="G727" s="700"/>
      <c r="H727" s="706"/>
      <c r="I727" s="704"/>
      <c r="J727" s="704"/>
      <c r="K727" s="704"/>
      <c r="L727" s="704"/>
      <c r="M727" s="704"/>
      <c r="N727" s="704"/>
      <c r="O727" s="685"/>
    </row>
    <row r="728" spans="1:15" ht="15.6" x14ac:dyDescent="0.3">
      <c r="A728" s="700"/>
      <c r="B728" s="700"/>
      <c r="C728" s="700"/>
      <c r="D728" s="701"/>
      <c r="E728" s="700"/>
      <c r="F728" s="328"/>
      <c r="G728" s="700"/>
      <c r="H728" s="706"/>
      <c r="I728" s="704"/>
      <c r="J728" s="704"/>
      <c r="K728" s="704"/>
      <c r="L728" s="704"/>
      <c r="M728" s="704"/>
      <c r="N728" s="704"/>
      <c r="O728" s="685"/>
    </row>
    <row r="729" spans="1:15" ht="15.6" x14ac:dyDescent="0.3">
      <c r="A729" s="700"/>
      <c r="B729" s="700"/>
      <c r="C729" s="700"/>
      <c r="D729" s="701"/>
      <c r="E729" s="700"/>
      <c r="F729" s="328"/>
      <c r="G729" s="700"/>
      <c r="H729" s="706"/>
      <c r="I729" s="704"/>
      <c r="J729" s="704"/>
      <c r="K729" s="704"/>
      <c r="L729" s="704"/>
      <c r="M729" s="704"/>
      <c r="N729" s="704"/>
      <c r="O729" s="685"/>
    </row>
    <row r="730" spans="1:15" ht="15.6" x14ac:dyDescent="0.3">
      <c r="A730" s="700"/>
      <c r="B730" s="700"/>
      <c r="C730" s="700"/>
      <c r="D730" s="701"/>
      <c r="E730" s="700"/>
      <c r="F730" s="328"/>
      <c r="G730" s="700"/>
      <c r="H730" s="706"/>
      <c r="I730" s="704"/>
      <c r="J730" s="704"/>
      <c r="K730" s="704"/>
      <c r="L730" s="704"/>
      <c r="M730" s="704"/>
      <c r="N730" s="704"/>
      <c r="O730" s="685"/>
    </row>
    <row r="731" spans="1:15" ht="15.6" x14ac:dyDescent="0.3">
      <c r="A731" s="700"/>
      <c r="B731" s="700"/>
      <c r="C731" s="700"/>
      <c r="D731" s="701"/>
      <c r="E731" s="700"/>
      <c r="F731" s="328"/>
      <c r="G731" s="700"/>
      <c r="H731" s="706"/>
      <c r="I731" s="704"/>
      <c r="J731" s="704"/>
      <c r="K731" s="704"/>
      <c r="L731" s="704"/>
      <c r="M731" s="704"/>
      <c r="N731" s="704"/>
      <c r="O731" s="685"/>
    </row>
    <row r="732" spans="1:15" ht="15.6" x14ac:dyDescent="0.3">
      <c r="A732" s="700"/>
      <c r="B732" s="700"/>
      <c r="C732" s="700"/>
      <c r="D732" s="701"/>
      <c r="E732" s="700"/>
      <c r="F732" s="328"/>
      <c r="G732" s="700"/>
      <c r="H732" s="706"/>
      <c r="I732" s="704"/>
      <c r="J732" s="704"/>
      <c r="K732" s="704"/>
      <c r="L732" s="704"/>
      <c r="M732" s="704"/>
      <c r="N732" s="704"/>
      <c r="O732" s="685"/>
    </row>
    <row r="733" spans="1:15" ht="15.6" x14ac:dyDescent="0.3">
      <c r="A733" s="700"/>
      <c r="B733" s="700"/>
      <c r="C733" s="700"/>
      <c r="D733" s="701"/>
      <c r="E733" s="700"/>
      <c r="F733" s="328"/>
      <c r="G733" s="700"/>
      <c r="H733" s="706"/>
      <c r="I733" s="704"/>
      <c r="J733" s="704"/>
      <c r="K733" s="704"/>
      <c r="L733" s="704"/>
      <c r="M733" s="704"/>
      <c r="N733" s="704"/>
      <c r="O733" s="685"/>
    </row>
    <row r="734" spans="1:15" ht="15.6" x14ac:dyDescent="0.3">
      <c r="A734" s="700"/>
      <c r="B734" s="700"/>
      <c r="C734" s="700"/>
      <c r="D734" s="701"/>
      <c r="E734" s="700"/>
      <c r="F734" s="328"/>
      <c r="G734" s="700"/>
      <c r="H734" s="706"/>
      <c r="I734" s="704"/>
      <c r="J734" s="704"/>
      <c r="K734" s="704"/>
      <c r="L734" s="704"/>
      <c r="M734" s="704"/>
      <c r="N734" s="704"/>
      <c r="O734" s="685"/>
    </row>
    <row r="735" spans="1:15" ht="15.6" x14ac:dyDescent="0.3">
      <c r="A735" s="700"/>
      <c r="B735" s="700"/>
      <c r="C735" s="700"/>
      <c r="D735" s="701"/>
      <c r="E735" s="700"/>
      <c r="F735" s="328"/>
      <c r="G735" s="700"/>
      <c r="H735" s="706"/>
      <c r="I735" s="704"/>
      <c r="J735" s="704"/>
      <c r="K735" s="704"/>
      <c r="L735" s="704"/>
      <c r="M735" s="704"/>
      <c r="N735" s="704"/>
      <c r="O735" s="685"/>
    </row>
    <row r="736" spans="1:15" ht="15.6" x14ac:dyDescent="0.3">
      <c r="A736" s="700"/>
      <c r="B736" s="700"/>
      <c r="C736" s="700"/>
      <c r="D736" s="701"/>
      <c r="E736" s="700"/>
      <c r="F736" s="328"/>
      <c r="G736" s="700"/>
      <c r="H736" s="706"/>
      <c r="I736" s="704"/>
      <c r="J736" s="704"/>
      <c r="K736" s="704"/>
      <c r="L736" s="704"/>
      <c r="M736" s="704"/>
      <c r="N736" s="704"/>
      <c r="O736" s="685"/>
    </row>
    <row r="737" spans="1:15" ht="15.6" x14ac:dyDescent="0.3">
      <c r="A737" s="700"/>
      <c r="B737" s="700"/>
      <c r="C737" s="700"/>
      <c r="D737" s="701"/>
      <c r="E737" s="700"/>
      <c r="F737" s="328"/>
      <c r="G737" s="700"/>
      <c r="H737" s="706"/>
      <c r="I737" s="704"/>
      <c r="J737" s="704"/>
      <c r="K737" s="704"/>
      <c r="L737" s="704"/>
      <c r="M737" s="704"/>
      <c r="N737" s="704"/>
      <c r="O737" s="685"/>
    </row>
    <row r="738" spans="1:15" ht="15.6" x14ac:dyDescent="0.3">
      <c r="A738" s="700"/>
      <c r="B738" s="700"/>
      <c r="C738" s="700"/>
      <c r="D738" s="701"/>
      <c r="E738" s="700"/>
      <c r="F738" s="328"/>
      <c r="G738" s="700"/>
      <c r="H738" s="706"/>
      <c r="I738" s="704"/>
      <c r="J738" s="704"/>
      <c r="K738" s="704"/>
      <c r="L738" s="704"/>
      <c r="M738" s="704"/>
      <c r="N738" s="704"/>
      <c r="O738" s="685"/>
    </row>
    <row r="739" spans="1:15" ht="15.6" x14ac:dyDescent="0.3">
      <c r="A739" s="700"/>
      <c r="B739" s="700"/>
      <c r="C739" s="700"/>
      <c r="D739" s="701"/>
      <c r="E739" s="700"/>
      <c r="F739" s="328"/>
      <c r="G739" s="700"/>
      <c r="H739" s="706"/>
      <c r="I739" s="704"/>
      <c r="J739" s="704"/>
      <c r="K739" s="704"/>
      <c r="L739" s="704"/>
      <c r="M739" s="704"/>
      <c r="N739" s="704"/>
      <c r="O739" s="685"/>
    </row>
    <row r="740" spans="1:15" ht="15.6" x14ac:dyDescent="0.3">
      <c r="A740" s="700"/>
      <c r="B740" s="700"/>
      <c r="C740" s="700"/>
      <c r="D740" s="701"/>
      <c r="E740" s="700"/>
      <c r="F740" s="328"/>
      <c r="G740" s="700"/>
      <c r="H740" s="706"/>
      <c r="I740" s="704"/>
      <c r="J740" s="704"/>
      <c r="K740" s="704"/>
      <c r="L740" s="704"/>
      <c r="M740" s="704"/>
      <c r="N740" s="704"/>
      <c r="O740" s="685"/>
    </row>
    <row r="741" spans="1:15" ht="15.6" x14ac:dyDescent="0.3">
      <c r="A741" s="700"/>
      <c r="B741" s="700"/>
      <c r="C741" s="700"/>
      <c r="D741" s="701"/>
      <c r="E741" s="700"/>
      <c r="F741" s="328"/>
      <c r="G741" s="700"/>
      <c r="H741" s="706"/>
      <c r="I741" s="704"/>
      <c r="J741" s="704"/>
      <c r="K741" s="704"/>
      <c r="L741" s="704"/>
      <c r="M741" s="704"/>
      <c r="N741" s="704"/>
      <c r="O741" s="685"/>
    </row>
    <row r="742" spans="1:15" ht="15.6" x14ac:dyDescent="0.3">
      <c r="A742" s="700"/>
      <c r="B742" s="700"/>
      <c r="C742" s="700"/>
      <c r="D742" s="701"/>
      <c r="E742" s="700"/>
      <c r="F742" s="328"/>
      <c r="G742" s="700"/>
      <c r="H742" s="706"/>
      <c r="I742" s="704"/>
      <c r="J742" s="704"/>
      <c r="K742" s="704"/>
      <c r="L742" s="704"/>
      <c r="M742" s="704"/>
      <c r="N742" s="704"/>
      <c r="O742" s="685"/>
    </row>
    <row r="743" spans="1:15" ht="15.6" x14ac:dyDescent="0.3">
      <c r="A743" s="700"/>
      <c r="B743" s="700"/>
      <c r="C743" s="700"/>
      <c r="D743" s="701"/>
      <c r="E743" s="700"/>
      <c r="F743" s="328"/>
      <c r="G743" s="700"/>
      <c r="H743" s="706"/>
      <c r="I743" s="704"/>
      <c r="J743" s="704"/>
      <c r="K743" s="704"/>
      <c r="L743" s="704"/>
      <c r="M743" s="704"/>
      <c r="N743" s="704"/>
      <c r="O743" s="685"/>
    </row>
    <row r="744" spans="1:15" ht="15.6" x14ac:dyDescent="0.3">
      <c r="A744" s="700"/>
      <c r="B744" s="700"/>
      <c r="C744" s="700"/>
      <c r="D744" s="701"/>
      <c r="E744" s="700"/>
      <c r="F744" s="328"/>
      <c r="G744" s="700"/>
      <c r="H744" s="706"/>
      <c r="I744" s="704"/>
      <c r="J744" s="704"/>
      <c r="K744" s="704"/>
      <c r="L744" s="704"/>
      <c r="M744" s="704"/>
      <c r="N744" s="704"/>
      <c r="O744" s="685"/>
    </row>
    <row r="745" spans="1:15" ht="15.6" x14ac:dyDescent="0.3">
      <c r="A745" s="700"/>
      <c r="B745" s="700"/>
      <c r="C745" s="700"/>
      <c r="D745" s="701"/>
      <c r="E745" s="700"/>
      <c r="F745" s="328"/>
      <c r="G745" s="700"/>
      <c r="H745" s="706"/>
      <c r="I745" s="704"/>
      <c r="J745" s="704"/>
      <c r="K745" s="704"/>
      <c r="L745" s="704"/>
      <c r="M745" s="704"/>
      <c r="N745" s="704"/>
      <c r="O745" s="685"/>
    </row>
    <row r="746" spans="1:15" ht="15.6" x14ac:dyDescent="0.3">
      <c r="A746" s="700"/>
      <c r="B746" s="700"/>
      <c r="C746" s="700"/>
      <c r="D746" s="701"/>
      <c r="E746" s="700"/>
      <c r="F746" s="328"/>
      <c r="G746" s="700"/>
      <c r="H746" s="706"/>
      <c r="I746" s="704"/>
      <c r="J746" s="704"/>
      <c r="K746" s="704"/>
      <c r="L746" s="704"/>
      <c r="M746" s="704"/>
      <c r="N746" s="704"/>
      <c r="O746" s="685"/>
    </row>
    <row r="747" spans="1:15" ht="15.6" x14ac:dyDescent="0.3">
      <c r="A747" s="752"/>
      <c r="B747" s="752"/>
      <c r="C747" s="752"/>
      <c r="D747" s="753"/>
      <c r="E747" s="752"/>
      <c r="F747" s="338"/>
      <c r="G747" s="752"/>
      <c r="H747" s="754"/>
      <c r="I747" s="755"/>
      <c r="J747" s="755"/>
      <c r="K747" s="755"/>
      <c r="L747" s="755"/>
      <c r="M747" s="755"/>
      <c r="N747" s="755"/>
      <c r="O747" s="787"/>
    </row>
    <row r="748" spans="1:15" ht="15.6" x14ac:dyDescent="0.3">
      <c r="A748" s="752"/>
      <c r="B748" s="752"/>
      <c r="C748" s="752"/>
      <c r="D748" s="753"/>
      <c r="E748" s="752"/>
      <c r="F748" s="338"/>
      <c r="G748" s="752"/>
      <c r="H748" s="754"/>
      <c r="I748" s="755"/>
      <c r="J748" s="755"/>
      <c r="K748" s="755"/>
      <c r="L748" s="755"/>
      <c r="M748" s="755"/>
      <c r="N748" s="755"/>
      <c r="O748" s="787"/>
    </row>
    <row r="749" spans="1:15" ht="15.6" x14ac:dyDescent="0.3">
      <c r="A749" s="752"/>
      <c r="B749" s="752"/>
      <c r="C749" s="752"/>
      <c r="D749" s="753"/>
      <c r="E749" s="752"/>
      <c r="F749" s="338"/>
      <c r="G749" s="752"/>
      <c r="H749" s="754"/>
      <c r="I749" s="755"/>
      <c r="J749" s="755"/>
      <c r="K749" s="755"/>
      <c r="L749" s="755"/>
      <c r="M749" s="755"/>
      <c r="N749" s="755"/>
      <c r="O749" s="787"/>
    </row>
    <row r="750" spans="1:15" ht="15.6" x14ac:dyDescent="0.3">
      <c r="A750" s="752"/>
      <c r="B750" s="752"/>
      <c r="C750" s="752"/>
      <c r="D750" s="753"/>
      <c r="E750" s="752"/>
      <c r="F750" s="338"/>
      <c r="G750" s="752"/>
      <c r="H750" s="754"/>
      <c r="I750" s="755"/>
      <c r="J750" s="755"/>
      <c r="K750" s="755"/>
      <c r="L750" s="755"/>
      <c r="M750" s="755"/>
      <c r="N750" s="755"/>
      <c r="O750" s="787"/>
    </row>
    <row r="751" spans="1:15" ht="15.6" x14ac:dyDescent="0.3">
      <c r="A751" s="752"/>
      <c r="B751" s="752"/>
      <c r="C751" s="752"/>
      <c r="D751" s="753"/>
      <c r="E751" s="752"/>
      <c r="F751" s="338"/>
      <c r="G751" s="752"/>
      <c r="H751" s="754"/>
      <c r="I751" s="755"/>
      <c r="J751" s="755"/>
      <c r="K751" s="755"/>
      <c r="L751" s="755"/>
      <c r="M751" s="755"/>
      <c r="N751" s="755"/>
      <c r="O751" s="787"/>
    </row>
    <row r="752" spans="1:15" ht="15.6" x14ac:dyDescent="0.3">
      <c r="A752" s="752"/>
      <c r="B752" s="752"/>
      <c r="C752" s="752"/>
      <c r="D752" s="753"/>
      <c r="E752" s="752"/>
      <c r="F752" s="338"/>
      <c r="G752" s="752"/>
      <c r="H752" s="754"/>
      <c r="I752" s="755"/>
      <c r="J752" s="755"/>
      <c r="K752" s="755"/>
      <c r="L752" s="755"/>
      <c r="M752" s="755"/>
      <c r="N752" s="755"/>
      <c r="O752" s="787"/>
    </row>
    <row r="753" spans="1:15" ht="15.6" x14ac:dyDescent="0.3">
      <c r="A753" s="752"/>
      <c r="B753" s="752"/>
      <c r="C753" s="752"/>
      <c r="D753" s="753"/>
      <c r="E753" s="752"/>
      <c r="F753" s="338"/>
      <c r="G753" s="752"/>
      <c r="H753" s="754"/>
      <c r="I753" s="755"/>
      <c r="J753" s="755"/>
      <c r="K753" s="755"/>
      <c r="L753" s="755"/>
      <c r="M753" s="755"/>
      <c r="N753" s="755"/>
      <c r="O753" s="787"/>
    </row>
    <row r="754" spans="1:15" ht="15.6" x14ac:dyDescent="0.3">
      <c r="A754" s="752"/>
      <c r="B754" s="752"/>
      <c r="C754" s="752"/>
      <c r="D754" s="753"/>
      <c r="E754" s="752"/>
      <c r="F754" s="338"/>
      <c r="G754" s="752"/>
      <c r="H754" s="754"/>
      <c r="I754" s="755"/>
      <c r="J754" s="755"/>
      <c r="K754" s="755"/>
      <c r="L754" s="755"/>
      <c r="M754" s="755"/>
      <c r="N754" s="755"/>
      <c r="O754" s="787"/>
    </row>
    <row r="755" spans="1:15" ht="15.6" x14ac:dyDescent="0.3">
      <c r="A755" s="752"/>
      <c r="B755" s="752"/>
      <c r="C755" s="752"/>
      <c r="D755" s="753"/>
      <c r="E755" s="752"/>
      <c r="F755" s="338"/>
      <c r="G755" s="752"/>
      <c r="H755" s="754"/>
      <c r="I755" s="755"/>
      <c r="J755" s="755"/>
      <c r="K755" s="755"/>
      <c r="L755" s="755"/>
      <c r="M755" s="755"/>
      <c r="N755" s="755"/>
      <c r="O755" s="787"/>
    </row>
    <row r="756" spans="1:15" ht="15.6" x14ac:dyDescent="0.3">
      <c r="A756" s="752"/>
      <c r="B756" s="752"/>
      <c r="C756" s="752"/>
      <c r="D756" s="753"/>
      <c r="E756" s="752"/>
      <c r="F756" s="338"/>
      <c r="G756" s="752"/>
      <c r="H756" s="754"/>
      <c r="I756" s="755"/>
      <c r="J756" s="755"/>
      <c r="K756" s="755"/>
      <c r="L756" s="755"/>
      <c r="M756" s="755"/>
      <c r="N756" s="755"/>
      <c r="O756" s="787"/>
    </row>
    <row r="757" spans="1:15" ht="15.6" x14ac:dyDescent="0.3">
      <c r="A757" s="752"/>
      <c r="B757" s="752"/>
      <c r="C757" s="752"/>
      <c r="D757" s="753"/>
      <c r="E757" s="752"/>
      <c r="F757" s="338"/>
      <c r="G757" s="752"/>
      <c r="H757" s="754"/>
      <c r="I757" s="755"/>
      <c r="J757" s="755"/>
      <c r="K757" s="755"/>
      <c r="L757" s="755"/>
      <c r="M757" s="755"/>
      <c r="N757" s="755"/>
      <c r="O757" s="787"/>
    </row>
    <row r="758" spans="1:15" ht="15.6" x14ac:dyDescent="0.3">
      <c r="A758" s="752"/>
      <c r="B758" s="752"/>
      <c r="C758" s="752"/>
      <c r="D758" s="753"/>
      <c r="E758" s="752"/>
      <c r="F758" s="338"/>
      <c r="G758" s="752"/>
      <c r="H758" s="754"/>
      <c r="I758" s="755"/>
      <c r="J758" s="755"/>
      <c r="K758" s="755"/>
      <c r="L758" s="755"/>
      <c r="M758" s="755"/>
      <c r="N758" s="755"/>
      <c r="O758" s="787"/>
    </row>
    <row r="759" spans="1:15" ht="15.6" x14ac:dyDescent="0.3">
      <c r="A759" s="752"/>
      <c r="B759" s="752"/>
      <c r="C759" s="752"/>
      <c r="D759" s="753"/>
      <c r="E759" s="752"/>
      <c r="F759" s="338"/>
      <c r="G759" s="752"/>
      <c r="H759" s="754"/>
      <c r="I759" s="755"/>
      <c r="J759" s="755"/>
      <c r="K759" s="755"/>
      <c r="L759" s="755"/>
      <c r="M759" s="755"/>
      <c r="N759" s="755"/>
      <c r="O759" s="787"/>
    </row>
    <row r="760" spans="1:15" ht="15.6" x14ac:dyDescent="0.3">
      <c r="A760" s="752"/>
      <c r="B760" s="752"/>
      <c r="C760" s="752"/>
      <c r="D760" s="753"/>
      <c r="E760" s="752"/>
      <c r="F760" s="338"/>
      <c r="G760" s="752"/>
      <c r="H760" s="754"/>
      <c r="I760" s="755"/>
      <c r="J760" s="755"/>
      <c r="K760" s="755"/>
      <c r="L760" s="755"/>
      <c r="M760" s="755"/>
      <c r="N760" s="755"/>
      <c r="O760" s="787"/>
    </row>
    <row r="761" spans="1:15" ht="15.6" x14ac:dyDescent="0.3">
      <c r="A761" s="752"/>
      <c r="B761" s="752"/>
      <c r="C761" s="752"/>
      <c r="D761" s="753"/>
      <c r="E761" s="752"/>
      <c r="F761" s="338"/>
      <c r="G761" s="752"/>
      <c r="H761" s="754"/>
      <c r="I761" s="755"/>
      <c r="J761" s="755"/>
      <c r="K761" s="755"/>
      <c r="L761" s="755"/>
      <c r="M761" s="755"/>
      <c r="N761" s="755"/>
      <c r="O761" s="787"/>
    </row>
    <row r="762" spans="1:15" ht="15.6" x14ac:dyDescent="0.3">
      <c r="A762" s="752"/>
      <c r="B762" s="752"/>
      <c r="C762" s="752"/>
      <c r="D762" s="753"/>
      <c r="E762" s="752"/>
      <c r="F762" s="338"/>
      <c r="G762" s="752"/>
      <c r="H762" s="754"/>
      <c r="I762" s="755"/>
      <c r="J762" s="755"/>
      <c r="K762" s="755"/>
      <c r="L762" s="755"/>
      <c r="M762" s="755"/>
      <c r="N762" s="755"/>
      <c r="O762" s="787"/>
    </row>
    <row r="763" spans="1:15" ht="15.6" x14ac:dyDescent="0.3">
      <c r="A763" s="752"/>
      <c r="B763" s="752"/>
      <c r="C763" s="752"/>
      <c r="D763" s="753"/>
      <c r="E763" s="752"/>
      <c r="F763" s="338"/>
      <c r="G763" s="752"/>
      <c r="H763" s="754"/>
      <c r="I763" s="755"/>
      <c r="J763" s="755"/>
      <c r="K763" s="755"/>
      <c r="L763" s="755"/>
      <c r="M763" s="755"/>
      <c r="N763" s="755"/>
      <c r="O763" s="787"/>
    </row>
    <row r="764" spans="1:15" ht="15.6" x14ac:dyDescent="0.3">
      <c r="A764" s="752"/>
      <c r="B764" s="752"/>
      <c r="C764" s="752"/>
      <c r="D764" s="753"/>
      <c r="E764" s="752"/>
      <c r="F764" s="338"/>
      <c r="G764" s="752"/>
      <c r="H764" s="754"/>
      <c r="I764" s="755"/>
      <c r="J764" s="755"/>
      <c r="K764" s="755"/>
      <c r="L764" s="755"/>
      <c r="M764" s="755"/>
      <c r="N764" s="755"/>
      <c r="O764" s="787"/>
    </row>
    <row r="765" spans="1:15" ht="15.6" x14ac:dyDescent="0.3">
      <c r="A765" s="752"/>
      <c r="B765" s="752"/>
      <c r="C765" s="752"/>
      <c r="D765" s="753"/>
      <c r="E765" s="752"/>
      <c r="F765" s="338"/>
      <c r="G765" s="752"/>
      <c r="H765" s="754"/>
      <c r="I765" s="755"/>
      <c r="J765" s="755"/>
      <c r="K765" s="755"/>
      <c r="L765" s="755"/>
      <c r="M765" s="755"/>
      <c r="N765" s="755"/>
      <c r="O765" s="787"/>
    </row>
    <row r="766" spans="1:15" ht="15.6" x14ac:dyDescent="0.3">
      <c r="A766" s="752"/>
      <c r="B766" s="752"/>
      <c r="C766" s="752"/>
      <c r="D766" s="753"/>
      <c r="E766" s="752"/>
      <c r="F766" s="338"/>
      <c r="G766" s="752"/>
      <c r="H766" s="754"/>
      <c r="I766" s="755"/>
      <c r="J766" s="755"/>
      <c r="K766" s="755"/>
      <c r="L766" s="755"/>
      <c r="M766" s="755"/>
      <c r="N766" s="755"/>
      <c r="O766" s="787"/>
    </row>
    <row r="767" spans="1:15" ht="15.6" x14ac:dyDescent="0.3">
      <c r="A767" s="752"/>
      <c r="B767" s="752"/>
      <c r="C767" s="752"/>
      <c r="D767" s="753"/>
      <c r="E767" s="752"/>
      <c r="F767" s="338"/>
      <c r="G767" s="752"/>
      <c r="H767" s="754"/>
      <c r="I767" s="755"/>
      <c r="J767" s="755"/>
      <c r="K767" s="755"/>
      <c r="L767" s="755"/>
      <c r="M767" s="755"/>
      <c r="N767" s="755"/>
      <c r="O767" s="787"/>
    </row>
    <row r="768" spans="1:15" ht="15.6" x14ac:dyDescent="0.3">
      <c r="A768" s="752"/>
      <c r="B768" s="752"/>
      <c r="C768" s="752"/>
      <c r="D768" s="753"/>
      <c r="E768" s="752"/>
      <c r="F768" s="338"/>
      <c r="G768" s="752"/>
      <c r="H768" s="754"/>
      <c r="I768" s="755"/>
      <c r="J768" s="755"/>
      <c r="K768" s="755"/>
      <c r="L768" s="755"/>
      <c r="M768" s="755"/>
      <c r="N768" s="755"/>
      <c r="O768" s="787"/>
    </row>
    <row r="769" spans="1:15" ht="15.6" x14ac:dyDescent="0.3">
      <c r="A769" s="752"/>
      <c r="B769" s="752"/>
      <c r="C769" s="752"/>
      <c r="D769" s="753"/>
      <c r="E769" s="752"/>
      <c r="F769" s="338"/>
      <c r="G769" s="752"/>
      <c r="H769" s="754"/>
      <c r="I769" s="755"/>
      <c r="J769" s="755"/>
      <c r="K769" s="755"/>
      <c r="L769" s="755"/>
      <c r="M769" s="755"/>
      <c r="N769" s="755"/>
      <c r="O769" s="787"/>
    </row>
    <row r="770" spans="1:15" ht="15.6" x14ac:dyDescent="0.3">
      <c r="A770" s="752"/>
      <c r="B770" s="752"/>
      <c r="C770" s="752"/>
      <c r="D770" s="753"/>
      <c r="E770" s="752"/>
      <c r="F770" s="338"/>
      <c r="G770" s="752"/>
      <c r="H770" s="754"/>
      <c r="I770" s="755"/>
      <c r="J770" s="755"/>
      <c r="K770" s="755"/>
      <c r="L770" s="755"/>
      <c r="M770" s="755"/>
      <c r="N770" s="755"/>
      <c r="O770" s="787"/>
    </row>
    <row r="771" spans="1:15" ht="15.6" x14ac:dyDescent="0.3">
      <c r="A771" s="752"/>
      <c r="B771" s="752"/>
      <c r="C771" s="752"/>
      <c r="D771" s="753"/>
      <c r="E771" s="752"/>
      <c r="F771" s="338"/>
      <c r="G771" s="752"/>
      <c r="H771" s="754"/>
      <c r="I771" s="755"/>
      <c r="J771" s="755"/>
      <c r="K771" s="755"/>
      <c r="L771" s="755"/>
      <c r="M771" s="755"/>
      <c r="N771" s="755"/>
      <c r="O771" s="787"/>
    </row>
    <row r="772" spans="1:15" ht="15.6" x14ac:dyDescent="0.3">
      <c r="A772" s="752"/>
      <c r="B772" s="752"/>
      <c r="C772" s="752"/>
      <c r="D772" s="753"/>
      <c r="E772" s="752"/>
      <c r="F772" s="338"/>
      <c r="G772" s="752"/>
      <c r="H772" s="754"/>
      <c r="I772" s="755"/>
      <c r="J772" s="755"/>
      <c r="K772" s="755"/>
      <c r="L772" s="755"/>
      <c r="M772" s="755"/>
      <c r="N772" s="755"/>
      <c r="O772" s="787"/>
    </row>
    <row r="773" spans="1:15" ht="15.6" x14ac:dyDescent="0.3">
      <c r="A773" s="752"/>
      <c r="B773" s="752"/>
      <c r="C773" s="752"/>
      <c r="D773" s="753"/>
      <c r="E773" s="752"/>
      <c r="F773" s="338"/>
      <c r="G773" s="752"/>
      <c r="H773" s="754"/>
      <c r="I773" s="755"/>
      <c r="J773" s="755"/>
      <c r="K773" s="755"/>
      <c r="L773" s="755"/>
      <c r="M773" s="755"/>
      <c r="N773" s="755"/>
      <c r="O773" s="787"/>
    </row>
    <row r="774" spans="1:15" ht="15.6" x14ac:dyDescent="0.3">
      <c r="A774" s="752"/>
      <c r="B774" s="752"/>
      <c r="C774" s="752"/>
      <c r="D774" s="753"/>
      <c r="E774" s="752"/>
      <c r="F774" s="338"/>
      <c r="G774" s="752"/>
      <c r="H774" s="754"/>
      <c r="I774" s="755"/>
      <c r="J774" s="755"/>
      <c r="K774" s="755"/>
      <c r="L774" s="755"/>
      <c r="M774" s="755"/>
      <c r="N774" s="755"/>
      <c r="O774" s="787"/>
    </row>
    <row r="775" spans="1:15" ht="15.6" x14ac:dyDescent="0.3">
      <c r="A775" s="752"/>
      <c r="B775" s="752"/>
      <c r="C775" s="752"/>
      <c r="D775" s="753"/>
      <c r="E775" s="752"/>
      <c r="F775" s="338"/>
      <c r="G775" s="752"/>
      <c r="H775" s="754"/>
      <c r="I775" s="755"/>
      <c r="J775" s="755"/>
      <c r="K775" s="755"/>
      <c r="L775" s="755"/>
      <c r="M775" s="755"/>
      <c r="N775" s="755"/>
      <c r="O775" s="787"/>
    </row>
    <row r="776" spans="1:15" ht="15.6" x14ac:dyDescent="0.3">
      <c r="A776" s="752"/>
      <c r="B776" s="752"/>
      <c r="C776" s="752"/>
      <c r="D776" s="753"/>
      <c r="E776" s="752"/>
      <c r="F776" s="338"/>
      <c r="G776" s="752"/>
      <c r="H776" s="754"/>
      <c r="I776" s="755"/>
      <c r="J776" s="755"/>
      <c r="K776" s="755"/>
      <c r="L776" s="755"/>
      <c r="M776" s="755"/>
      <c r="N776" s="755"/>
      <c r="O776" s="787"/>
    </row>
    <row r="777" spans="1:15" ht="15.6" x14ac:dyDescent="0.3">
      <c r="A777" s="752"/>
      <c r="B777" s="752"/>
      <c r="C777" s="752"/>
      <c r="D777" s="753"/>
      <c r="E777" s="752"/>
      <c r="F777" s="338"/>
      <c r="G777" s="752"/>
      <c r="H777" s="754"/>
      <c r="I777" s="755"/>
      <c r="J777" s="755"/>
      <c r="K777" s="755"/>
      <c r="L777" s="755"/>
      <c r="M777" s="755"/>
      <c r="N777" s="755"/>
      <c r="O777" s="787"/>
    </row>
    <row r="778" spans="1:15" ht="15.6" x14ac:dyDescent="0.3">
      <c r="A778" s="752"/>
      <c r="B778" s="752"/>
      <c r="C778" s="752"/>
      <c r="D778" s="753"/>
      <c r="E778" s="752"/>
      <c r="F778" s="338"/>
      <c r="G778" s="752"/>
      <c r="H778" s="754"/>
      <c r="I778" s="755"/>
      <c r="J778" s="755"/>
      <c r="K778" s="755"/>
      <c r="L778" s="755"/>
      <c r="M778" s="755"/>
      <c r="N778" s="755"/>
      <c r="O778" s="787"/>
    </row>
    <row r="779" spans="1:15" ht="15.6" x14ac:dyDescent="0.3">
      <c r="A779" s="752"/>
      <c r="B779" s="752"/>
      <c r="C779" s="752"/>
      <c r="D779" s="753"/>
      <c r="E779" s="752"/>
      <c r="F779" s="338"/>
      <c r="G779" s="752"/>
      <c r="H779" s="754"/>
      <c r="I779" s="755"/>
      <c r="J779" s="755"/>
      <c r="K779" s="755"/>
      <c r="L779" s="755"/>
      <c r="M779" s="755"/>
      <c r="N779" s="755"/>
      <c r="O779" s="787"/>
    </row>
    <row r="780" spans="1:15" ht="15.6" x14ac:dyDescent="0.3">
      <c r="A780" s="752"/>
      <c r="B780" s="752"/>
      <c r="C780" s="752"/>
      <c r="D780" s="753"/>
      <c r="E780" s="752"/>
      <c r="F780" s="338"/>
      <c r="G780" s="752"/>
      <c r="H780" s="754"/>
      <c r="I780" s="755"/>
      <c r="J780" s="755"/>
      <c r="K780" s="755"/>
      <c r="L780" s="755"/>
      <c r="M780" s="755"/>
      <c r="N780" s="755"/>
      <c r="O780" s="787"/>
    </row>
    <row r="781" spans="1:15" ht="15.6" x14ac:dyDescent="0.3">
      <c r="A781" s="752"/>
      <c r="B781" s="752"/>
      <c r="C781" s="752"/>
      <c r="D781" s="753"/>
      <c r="E781" s="752"/>
      <c r="F781" s="338"/>
      <c r="G781" s="752"/>
      <c r="H781" s="754"/>
      <c r="I781" s="755"/>
      <c r="J781" s="755"/>
      <c r="K781" s="755"/>
      <c r="L781" s="755"/>
      <c r="M781" s="755"/>
      <c r="N781" s="755"/>
      <c r="O781" s="787"/>
    </row>
    <row r="782" spans="1:15" ht="15.6" x14ac:dyDescent="0.3">
      <c r="A782" s="752"/>
      <c r="B782" s="752"/>
      <c r="C782" s="752"/>
      <c r="D782" s="753"/>
      <c r="E782" s="752"/>
      <c r="F782" s="338"/>
      <c r="G782" s="752"/>
      <c r="H782" s="754"/>
      <c r="I782" s="755"/>
      <c r="J782" s="755"/>
      <c r="K782" s="755"/>
      <c r="L782" s="755"/>
      <c r="M782" s="755"/>
      <c r="N782" s="755"/>
      <c r="O782" s="787"/>
    </row>
    <row r="783" spans="1:15" ht="15.6" x14ac:dyDescent="0.3">
      <c r="A783" s="752"/>
      <c r="B783" s="752"/>
      <c r="C783" s="752"/>
      <c r="D783" s="753"/>
      <c r="E783" s="752"/>
      <c r="F783" s="338"/>
      <c r="G783" s="752"/>
      <c r="H783" s="754"/>
      <c r="I783" s="755"/>
      <c r="J783" s="755"/>
      <c r="K783" s="755"/>
      <c r="L783" s="755"/>
      <c r="M783" s="755"/>
      <c r="N783" s="755"/>
      <c r="O783" s="787"/>
    </row>
    <row r="784" spans="1:15" ht="15.6" x14ac:dyDescent="0.3">
      <c r="A784" s="752"/>
      <c r="B784" s="752"/>
      <c r="C784" s="752"/>
      <c r="D784" s="753"/>
      <c r="E784" s="752"/>
      <c r="F784" s="338"/>
      <c r="G784" s="752"/>
      <c r="H784" s="754"/>
      <c r="I784" s="755"/>
      <c r="J784" s="755"/>
      <c r="K784" s="755"/>
      <c r="L784" s="755"/>
      <c r="M784" s="755"/>
      <c r="N784" s="755"/>
      <c r="O784" s="787"/>
    </row>
    <row r="785" spans="1:15" ht="15.6" x14ac:dyDescent="0.3">
      <c r="A785" s="752"/>
      <c r="B785" s="752"/>
      <c r="C785" s="752"/>
      <c r="D785" s="753"/>
      <c r="E785" s="752"/>
      <c r="F785" s="338"/>
      <c r="G785" s="752"/>
      <c r="H785" s="754"/>
      <c r="I785" s="755"/>
      <c r="J785" s="755"/>
      <c r="K785" s="755"/>
      <c r="L785" s="755"/>
      <c r="M785" s="755"/>
      <c r="N785" s="755"/>
      <c r="O785" s="787"/>
    </row>
    <row r="786" spans="1:15" ht="15.6" x14ac:dyDescent="0.3">
      <c r="A786" s="752"/>
      <c r="B786" s="752"/>
      <c r="C786" s="752"/>
      <c r="D786" s="753"/>
      <c r="E786" s="752"/>
      <c r="F786" s="338"/>
      <c r="G786" s="752"/>
      <c r="H786" s="754"/>
      <c r="I786" s="755"/>
      <c r="J786" s="755"/>
      <c r="K786" s="755"/>
      <c r="L786" s="755"/>
      <c r="M786" s="755"/>
      <c r="N786" s="755"/>
      <c r="O786" s="787"/>
    </row>
    <row r="787" spans="1:15" ht="15.6" x14ac:dyDescent="0.3">
      <c r="A787" s="752"/>
      <c r="B787" s="752"/>
      <c r="C787" s="752"/>
      <c r="D787" s="753"/>
      <c r="E787" s="752"/>
      <c r="F787" s="338"/>
      <c r="G787" s="752"/>
      <c r="H787" s="754"/>
      <c r="I787" s="755"/>
      <c r="J787" s="755"/>
      <c r="K787" s="755"/>
      <c r="L787" s="755"/>
      <c r="M787" s="755"/>
      <c r="N787" s="755"/>
      <c r="O787" s="787"/>
    </row>
    <row r="788" spans="1:15" ht="15.6" x14ac:dyDescent="0.3">
      <c r="A788" s="752"/>
      <c r="B788" s="752"/>
      <c r="C788" s="752"/>
      <c r="D788" s="753"/>
      <c r="E788" s="752"/>
      <c r="F788" s="338"/>
      <c r="G788" s="752"/>
      <c r="H788" s="754"/>
      <c r="I788" s="755"/>
      <c r="J788" s="755"/>
      <c r="K788" s="755"/>
      <c r="L788" s="755"/>
      <c r="M788" s="755"/>
      <c r="N788" s="755"/>
      <c r="O788" s="787"/>
    </row>
    <row r="789" spans="1:15" ht="15.6" x14ac:dyDescent="0.3">
      <c r="A789" s="752"/>
      <c r="B789" s="752"/>
      <c r="C789" s="752"/>
      <c r="D789" s="753"/>
      <c r="E789" s="752"/>
      <c r="F789" s="338"/>
      <c r="G789" s="752"/>
      <c r="H789" s="754"/>
      <c r="I789" s="755"/>
      <c r="J789" s="755"/>
      <c r="K789" s="755"/>
      <c r="L789" s="755"/>
      <c r="M789" s="755"/>
      <c r="N789" s="755"/>
      <c r="O789" s="787"/>
    </row>
    <row r="790" spans="1:15" ht="15.6" x14ac:dyDescent="0.3">
      <c r="A790" s="752"/>
      <c r="B790" s="752"/>
      <c r="C790" s="752"/>
      <c r="D790" s="753"/>
      <c r="E790" s="752"/>
      <c r="F790" s="338"/>
      <c r="G790" s="752"/>
      <c r="H790" s="754"/>
      <c r="I790" s="755"/>
      <c r="J790" s="755"/>
      <c r="K790" s="755"/>
      <c r="L790" s="755"/>
      <c r="M790" s="755"/>
      <c r="N790" s="755"/>
      <c r="O790" s="787"/>
    </row>
    <row r="791" spans="1:15" ht="15.6" x14ac:dyDescent="0.3">
      <c r="A791" s="752"/>
      <c r="B791" s="752"/>
      <c r="C791" s="752"/>
      <c r="D791" s="753"/>
      <c r="E791" s="752"/>
      <c r="F791" s="338"/>
      <c r="G791" s="752"/>
      <c r="H791" s="754"/>
      <c r="I791" s="755"/>
      <c r="J791" s="755"/>
      <c r="K791" s="755"/>
      <c r="L791" s="755"/>
      <c r="M791" s="755"/>
      <c r="N791" s="755"/>
      <c r="O791" s="787"/>
    </row>
    <row r="792" spans="1:15" ht="15.6" x14ac:dyDescent="0.3">
      <c r="A792" s="752"/>
      <c r="B792" s="752"/>
      <c r="C792" s="752"/>
      <c r="D792" s="753"/>
      <c r="E792" s="752"/>
      <c r="F792" s="338"/>
      <c r="G792" s="752"/>
      <c r="H792" s="754"/>
      <c r="I792" s="755"/>
      <c r="J792" s="755"/>
      <c r="K792" s="755"/>
      <c r="L792" s="755"/>
      <c r="M792" s="755"/>
      <c r="N792" s="755"/>
      <c r="O792" s="787"/>
    </row>
    <row r="793" spans="1:15" ht="15.6" x14ac:dyDescent="0.3">
      <c r="A793" s="752"/>
      <c r="B793" s="752"/>
      <c r="C793" s="752"/>
      <c r="D793" s="753"/>
      <c r="E793" s="752"/>
      <c r="F793" s="338"/>
      <c r="G793" s="752"/>
      <c r="H793" s="754"/>
      <c r="I793" s="755"/>
      <c r="J793" s="755"/>
      <c r="K793" s="755"/>
      <c r="L793" s="755"/>
      <c r="M793" s="755"/>
      <c r="N793" s="755"/>
      <c r="O793" s="787"/>
    </row>
    <row r="794" spans="1:15" ht="15.6" x14ac:dyDescent="0.25">
      <c r="F794" s="330"/>
      <c r="O794" s="787"/>
    </row>
    <row r="795" spans="1:15" ht="15.6" x14ac:dyDescent="0.25">
      <c r="F795" s="330"/>
      <c r="O795" s="787"/>
    </row>
    <row r="796" spans="1:15" ht="15.6" x14ac:dyDescent="0.25">
      <c r="F796" s="330"/>
      <c r="O796" s="787"/>
    </row>
    <row r="797" spans="1:15" ht="15.6" x14ac:dyDescent="0.25">
      <c r="F797" s="330"/>
      <c r="O797" s="787"/>
    </row>
    <row r="798" spans="1:15" ht="15.6" x14ac:dyDescent="0.25">
      <c r="F798" s="330"/>
      <c r="O798" s="787"/>
    </row>
    <row r="799" spans="1:15" ht="15.6" x14ac:dyDescent="0.25">
      <c r="F799" s="330"/>
      <c r="O799" s="787"/>
    </row>
    <row r="800" spans="1:15" ht="15.6" x14ac:dyDescent="0.25">
      <c r="F800" s="330"/>
      <c r="O800" s="787"/>
    </row>
    <row r="801" spans="6:15" ht="15.6" x14ac:dyDescent="0.25">
      <c r="F801" s="330"/>
      <c r="O801" s="787"/>
    </row>
    <row r="802" spans="6:15" ht="15.6" x14ac:dyDescent="0.25">
      <c r="F802" s="330"/>
      <c r="O802" s="787"/>
    </row>
    <row r="803" spans="6:15" ht="15.6" x14ac:dyDescent="0.25">
      <c r="F803" s="330"/>
      <c r="O803" s="787"/>
    </row>
    <row r="804" spans="6:15" ht="15.6" x14ac:dyDescent="0.25">
      <c r="F804" s="330"/>
      <c r="O804" s="787"/>
    </row>
    <row r="805" spans="6:15" ht="15.6" x14ac:dyDescent="0.25">
      <c r="F805" s="330"/>
      <c r="O805" s="787"/>
    </row>
    <row r="806" spans="6:15" ht="15.6" x14ac:dyDescent="0.25">
      <c r="F806" s="330"/>
      <c r="O806" s="787"/>
    </row>
    <row r="807" spans="6:15" ht="15.6" x14ac:dyDescent="0.25">
      <c r="F807" s="330"/>
      <c r="O807" s="787"/>
    </row>
    <row r="808" spans="6:15" ht="15.6" x14ac:dyDescent="0.25">
      <c r="F808" s="330"/>
      <c r="O808" s="787"/>
    </row>
    <row r="809" spans="6:15" ht="15.6" x14ac:dyDescent="0.25">
      <c r="F809" s="330"/>
      <c r="O809" s="787"/>
    </row>
    <row r="810" spans="6:15" ht="15.6" x14ac:dyDescent="0.25">
      <c r="F810" s="330"/>
      <c r="O810" s="787"/>
    </row>
    <row r="811" spans="6:15" ht="15.6" x14ac:dyDescent="0.25">
      <c r="F811" s="330"/>
      <c r="O811" s="787"/>
    </row>
    <row r="812" spans="6:15" ht="15.6" x14ac:dyDescent="0.25">
      <c r="F812" s="330"/>
      <c r="O812" s="787"/>
    </row>
    <row r="813" spans="6:15" ht="15.6" x14ac:dyDescent="0.25">
      <c r="F813" s="330"/>
      <c r="O813" s="787"/>
    </row>
    <row r="814" spans="6:15" ht="15.6" x14ac:dyDescent="0.25">
      <c r="F814" s="330"/>
      <c r="O814" s="787"/>
    </row>
    <row r="815" spans="6:15" ht="15.6" x14ac:dyDescent="0.25">
      <c r="F815" s="330"/>
      <c r="O815" s="787"/>
    </row>
    <row r="816" spans="6:15" ht="15.6" x14ac:dyDescent="0.25">
      <c r="F816" s="330"/>
      <c r="O816" s="787"/>
    </row>
    <row r="817" spans="6:15" ht="15.6" x14ac:dyDescent="0.25">
      <c r="F817" s="330"/>
      <c r="O817" s="787"/>
    </row>
    <row r="818" spans="6:15" ht="15.6" x14ac:dyDescent="0.25">
      <c r="F818" s="330"/>
      <c r="O818" s="787"/>
    </row>
    <row r="819" spans="6:15" ht="15.6" x14ac:dyDescent="0.25">
      <c r="F819" s="330"/>
      <c r="O819" s="787"/>
    </row>
    <row r="820" spans="6:15" ht="15.6" x14ac:dyDescent="0.25">
      <c r="F820" s="330"/>
      <c r="O820" s="787"/>
    </row>
    <row r="821" spans="6:15" ht="15.6" x14ac:dyDescent="0.25">
      <c r="F821" s="330"/>
      <c r="O821" s="787"/>
    </row>
    <row r="822" spans="6:15" ht="15.6" x14ac:dyDescent="0.25">
      <c r="F822" s="330"/>
      <c r="O822" s="787"/>
    </row>
    <row r="823" spans="6:15" ht="15.6" x14ac:dyDescent="0.25">
      <c r="F823" s="330"/>
      <c r="O823" s="787"/>
    </row>
    <row r="824" spans="6:15" ht="15.6" x14ac:dyDescent="0.25">
      <c r="F824" s="330"/>
      <c r="O824" s="787"/>
    </row>
    <row r="825" spans="6:15" ht="15.6" x14ac:dyDescent="0.25">
      <c r="F825" s="330"/>
      <c r="O825" s="787"/>
    </row>
    <row r="826" spans="6:15" ht="15.6" x14ac:dyDescent="0.25">
      <c r="F826" s="330"/>
      <c r="O826" s="787"/>
    </row>
    <row r="827" spans="6:15" ht="15.6" x14ac:dyDescent="0.25">
      <c r="F827" s="330"/>
      <c r="O827" s="787"/>
    </row>
    <row r="828" spans="6:15" ht="15.6" x14ac:dyDescent="0.25">
      <c r="F828" s="330"/>
      <c r="O828" s="787"/>
    </row>
    <row r="829" spans="6:15" ht="15.6" x14ac:dyDescent="0.25">
      <c r="F829" s="330"/>
      <c r="O829" s="787"/>
    </row>
    <row r="830" spans="6:15" ht="15.6" x14ac:dyDescent="0.25">
      <c r="F830" s="330"/>
      <c r="O830" s="787"/>
    </row>
    <row r="831" spans="6:15" ht="15.6" x14ac:dyDescent="0.25">
      <c r="F831" s="330"/>
      <c r="O831" s="787"/>
    </row>
    <row r="832" spans="6:15" ht="15.6" x14ac:dyDescent="0.25">
      <c r="F832" s="330"/>
      <c r="O832" s="787"/>
    </row>
    <row r="833" spans="6:15" ht="15.6" x14ac:dyDescent="0.25">
      <c r="F833" s="330"/>
      <c r="O833" s="787"/>
    </row>
    <row r="834" spans="6:15" ht="15.6" x14ac:dyDescent="0.25">
      <c r="F834" s="330"/>
      <c r="O834" s="787"/>
    </row>
    <row r="835" spans="6:15" ht="15.6" x14ac:dyDescent="0.25">
      <c r="F835" s="330"/>
      <c r="O835" s="787"/>
    </row>
    <row r="836" spans="6:15" ht="15.6" x14ac:dyDescent="0.25">
      <c r="F836" s="330"/>
      <c r="O836" s="787"/>
    </row>
    <row r="837" spans="6:15" ht="15.6" x14ac:dyDescent="0.25">
      <c r="F837" s="330"/>
      <c r="O837" s="787"/>
    </row>
    <row r="838" spans="6:15" ht="15.6" x14ac:dyDescent="0.25">
      <c r="F838" s="330"/>
      <c r="O838" s="787"/>
    </row>
    <row r="839" spans="6:15" ht="15.6" x14ac:dyDescent="0.25">
      <c r="F839" s="330"/>
      <c r="O839" s="787"/>
    </row>
    <row r="840" spans="6:15" ht="15.6" x14ac:dyDescent="0.25">
      <c r="F840" s="330"/>
      <c r="O840" s="787"/>
    </row>
    <row r="841" spans="6:15" ht="15.6" x14ac:dyDescent="0.25">
      <c r="F841" s="330"/>
      <c r="O841" s="787"/>
    </row>
    <row r="842" spans="6:15" ht="15.6" x14ac:dyDescent="0.25">
      <c r="F842" s="330"/>
      <c r="O842" s="787"/>
    </row>
    <row r="843" spans="6:15" ht="15.6" x14ac:dyDescent="0.25">
      <c r="F843" s="330"/>
      <c r="O843" s="787"/>
    </row>
    <row r="844" spans="6:15" ht="15.6" x14ac:dyDescent="0.25">
      <c r="F844" s="330"/>
      <c r="O844" s="787"/>
    </row>
    <row r="845" spans="6:15" ht="15.6" x14ac:dyDescent="0.25">
      <c r="F845" s="330"/>
      <c r="O845" s="787"/>
    </row>
    <row r="846" spans="6:15" ht="15.6" x14ac:dyDescent="0.25">
      <c r="F846" s="330"/>
      <c r="O846" s="787"/>
    </row>
    <row r="847" spans="6:15" ht="15.6" x14ac:dyDescent="0.25">
      <c r="F847" s="330"/>
      <c r="O847" s="787"/>
    </row>
    <row r="848" spans="6:15" ht="15.6" x14ac:dyDescent="0.25">
      <c r="F848" s="330"/>
      <c r="O848" s="787"/>
    </row>
    <row r="849" spans="6:15" ht="15.6" x14ac:dyDescent="0.25">
      <c r="F849" s="330"/>
      <c r="O849" s="787"/>
    </row>
    <row r="850" spans="6:15" ht="15.6" x14ac:dyDescent="0.25">
      <c r="F850" s="330"/>
      <c r="O850" s="787"/>
    </row>
    <row r="851" spans="6:15" ht="15.6" x14ac:dyDescent="0.25">
      <c r="F851" s="330"/>
      <c r="O851" s="787"/>
    </row>
    <row r="852" spans="6:15" ht="15.6" x14ac:dyDescent="0.25">
      <c r="F852" s="330"/>
      <c r="O852" s="787"/>
    </row>
    <row r="853" spans="6:15" ht="15.6" x14ac:dyDescent="0.25">
      <c r="F853" s="330"/>
      <c r="O853" s="787"/>
    </row>
    <row r="854" spans="6:15" ht="15.6" x14ac:dyDescent="0.25">
      <c r="F854" s="330"/>
      <c r="O854" s="787"/>
    </row>
    <row r="855" spans="6:15" ht="15.6" x14ac:dyDescent="0.25">
      <c r="F855" s="330"/>
      <c r="O855" s="787"/>
    </row>
    <row r="856" spans="6:15" ht="15.6" x14ac:dyDescent="0.25">
      <c r="F856" s="330"/>
      <c r="O856" s="787"/>
    </row>
    <row r="857" spans="6:15" ht="15.6" x14ac:dyDescent="0.25">
      <c r="F857" s="330"/>
      <c r="O857" s="787"/>
    </row>
    <row r="858" spans="6:15" ht="15.6" x14ac:dyDescent="0.25">
      <c r="F858" s="330"/>
      <c r="O858" s="787"/>
    </row>
    <row r="859" spans="6:15" ht="15.6" x14ac:dyDescent="0.25">
      <c r="F859" s="330"/>
      <c r="O859" s="787"/>
    </row>
    <row r="860" spans="6:15" ht="15.6" x14ac:dyDescent="0.25">
      <c r="F860" s="330"/>
      <c r="O860" s="787"/>
    </row>
    <row r="861" spans="6:15" ht="15.6" x14ac:dyDescent="0.25">
      <c r="F861" s="330"/>
      <c r="O861" s="787"/>
    </row>
    <row r="862" spans="6:15" ht="15.6" x14ac:dyDescent="0.25">
      <c r="F862" s="330"/>
      <c r="O862" s="787"/>
    </row>
    <row r="863" spans="6:15" ht="15.6" x14ac:dyDescent="0.25">
      <c r="F863" s="330"/>
      <c r="O863" s="787"/>
    </row>
    <row r="864" spans="6:15" ht="15.6" x14ac:dyDescent="0.25">
      <c r="F864" s="330"/>
      <c r="O864" s="787"/>
    </row>
    <row r="865" spans="6:15" ht="15.6" x14ac:dyDescent="0.25">
      <c r="F865" s="330"/>
      <c r="O865" s="787"/>
    </row>
    <row r="866" spans="6:15" ht="15.6" x14ac:dyDescent="0.25">
      <c r="F866" s="330"/>
      <c r="O866" s="787"/>
    </row>
    <row r="867" spans="6:15" ht="15.6" x14ac:dyDescent="0.25">
      <c r="F867" s="330"/>
      <c r="O867" s="787"/>
    </row>
    <row r="868" spans="6:15" ht="15.6" x14ac:dyDescent="0.25">
      <c r="F868" s="330"/>
      <c r="O868" s="787"/>
    </row>
    <row r="869" spans="6:15" ht="15.6" x14ac:dyDescent="0.25">
      <c r="F869" s="330"/>
      <c r="O869" s="787"/>
    </row>
    <row r="870" spans="6:15" ht="15.6" x14ac:dyDescent="0.25">
      <c r="F870" s="330"/>
      <c r="O870" s="787"/>
    </row>
    <row r="871" spans="6:15" ht="15.6" x14ac:dyDescent="0.25">
      <c r="F871" s="330"/>
      <c r="O871" s="787"/>
    </row>
    <row r="872" spans="6:15" ht="15.6" x14ac:dyDescent="0.25">
      <c r="F872" s="330"/>
      <c r="O872" s="787"/>
    </row>
    <row r="873" spans="6:15" ht="15.6" x14ac:dyDescent="0.25">
      <c r="F873" s="330"/>
      <c r="O873" s="787"/>
    </row>
    <row r="874" spans="6:15" ht="15.6" x14ac:dyDescent="0.25">
      <c r="F874" s="330"/>
      <c r="O874" s="787"/>
    </row>
    <row r="875" spans="6:15" ht="15.6" x14ac:dyDescent="0.25">
      <c r="F875" s="330"/>
      <c r="O875" s="787"/>
    </row>
    <row r="876" spans="6:15" ht="15.6" x14ac:dyDescent="0.25">
      <c r="F876" s="330"/>
      <c r="O876" s="787"/>
    </row>
    <row r="877" spans="6:15" ht="15.6" x14ac:dyDescent="0.25">
      <c r="F877" s="330"/>
      <c r="O877" s="787"/>
    </row>
    <row r="878" spans="6:15" ht="15.6" x14ac:dyDescent="0.25">
      <c r="F878" s="330"/>
      <c r="O878" s="787"/>
    </row>
    <row r="879" spans="6:15" ht="15.6" x14ac:dyDescent="0.25">
      <c r="F879" s="330"/>
      <c r="O879" s="787"/>
    </row>
    <row r="880" spans="6:15" ht="15.6" x14ac:dyDescent="0.25">
      <c r="F880" s="330"/>
      <c r="O880" s="787"/>
    </row>
    <row r="881" spans="6:15" ht="15.6" x14ac:dyDescent="0.25">
      <c r="F881" s="330"/>
      <c r="O881" s="787"/>
    </row>
    <row r="882" spans="6:15" ht="15.6" x14ac:dyDescent="0.25">
      <c r="F882" s="330"/>
      <c r="O882" s="787"/>
    </row>
    <row r="883" spans="6:15" ht="15.6" x14ac:dyDescent="0.25">
      <c r="F883" s="330"/>
      <c r="O883" s="787"/>
    </row>
    <row r="884" spans="6:15" ht="15.6" x14ac:dyDescent="0.25">
      <c r="F884" s="330"/>
      <c r="O884" s="787"/>
    </row>
    <row r="885" spans="6:15" ht="15.6" x14ac:dyDescent="0.25">
      <c r="F885" s="330"/>
      <c r="O885" s="787"/>
    </row>
    <row r="886" spans="6:15" ht="15.6" x14ac:dyDescent="0.25">
      <c r="F886" s="330"/>
      <c r="O886" s="787"/>
    </row>
    <row r="887" spans="6:15" ht="15.6" x14ac:dyDescent="0.25">
      <c r="F887" s="330"/>
      <c r="O887" s="787"/>
    </row>
    <row r="888" spans="6:15" ht="15.6" x14ac:dyDescent="0.25">
      <c r="F888" s="330"/>
      <c r="O888" s="787"/>
    </row>
    <row r="889" spans="6:15" ht="15.6" x14ac:dyDescent="0.25">
      <c r="F889" s="330"/>
      <c r="O889" s="787"/>
    </row>
    <row r="890" spans="6:15" ht="15.6" x14ac:dyDescent="0.25">
      <c r="F890" s="330"/>
      <c r="O890" s="787"/>
    </row>
    <row r="891" spans="6:15" ht="15.6" x14ac:dyDescent="0.25">
      <c r="F891" s="330"/>
      <c r="O891" s="787"/>
    </row>
    <row r="892" spans="6:15" ht="15.6" x14ac:dyDescent="0.25">
      <c r="F892" s="330"/>
      <c r="O892" s="787"/>
    </row>
    <row r="893" spans="6:15" ht="15.6" x14ac:dyDescent="0.25">
      <c r="F893" s="330"/>
      <c r="O893" s="787"/>
    </row>
    <row r="894" spans="6:15" ht="15.6" x14ac:dyDescent="0.25">
      <c r="F894" s="330"/>
      <c r="O894" s="787"/>
    </row>
    <row r="895" spans="6:15" ht="15.6" x14ac:dyDescent="0.25">
      <c r="F895" s="330"/>
      <c r="O895" s="787"/>
    </row>
    <row r="896" spans="6:15" ht="15.6" x14ac:dyDescent="0.25">
      <c r="F896" s="330"/>
      <c r="O896" s="787"/>
    </row>
    <row r="897" spans="6:15" ht="15.6" x14ac:dyDescent="0.25">
      <c r="F897" s="330"/>
      <c r="O897" s="787"/>
    </row>
    <row r="898" spans="6:15" ht="15.6" x14ac:dyDescent="0.25">
      <c r="F898" s="330"/>
      <c r="O898" s="787"/>
    </row>
    <row r="899" spans="6:15" ht="15.6" x14ac:dyDescent="0.25">
      <c r="F899" s="330"/>
      <c r="O899" s="787"/>
    </row>
    <row r="900" spans="6:15" ht="15.6" x14ac:dyDescent="0.25">
      <c r="F900" s="330"/>
      <c r="O900" s="787"/>
    </row>
    <row r="901" spans="6:15" ht="15.6" x14ac:dyDescent="0.25">
      <c r="F901" s="330"/>
      <c r="O901" s="787"/>
    </row>
    <row r="902" spans="6:15" ht="15.6" x14ac:dyDescent="0.25">
      <c r="F902" s="330"/>
      <c r="O902" s="787"/>
    </row>
    <row r="903" spans="6:15" ht="15.6" x14ac:dyDescent="0.25">
      <c r="F903" s="330"/>
      <c r="O903" s="787"/>
    </row>
    <row r="904" spans="6:15" ht="15.6" x14ac:dyDescent="0.25">
      <c r="F904" s="330"/>
      <c r="O904" s="787"/>
    </row>
    <row r="905" spans="6:15" ht="15.6" x14ac:dyDescent="0.25">
      <c r="F905" s="330"/>
      <c r="O905" s="787"/>
    </row>
    <row r="906" spans="6:15" ht="15.6" x14ac:dyDescent="0.25">
      <c r="F906" s="330"/>
      <c r="O906" s="787"/>
    </row>
    <row r="907" spans="6:15" ht="15.6" x14ac:dyDescent="0.25">
      <c r="F907" s="330"/>
      <c r="O907" s="787"/>
    </row>
    <row r="908" spans="6:15" ht="15.6" x14ac:dyDescent="0.25">
      <c r="F908" s="330"/>
      <c r="O908" s="787"/>
    </row>
    <row r="909" spans="6:15" ht="15.6" x14ac:dyDescent="0.25">
      <c r="F909" s="330"/>
      <c r="O909" s="787"/>
    </row>
    <row r="910" spans="6:15" ht="15.6" x14ac:dyDescent="0.25">
      <c r="F910" s="330"/>
      <c r="O910" s="787"/>
    </row>
    <row r="911" spans="6:15" ht="15.6" x14ac:dyDescent="0.25">
      <c r="F911" s="330"/>
      <c r="O911" s="787"/>
    </row>
    <row r="912" spans="6:15" ht="15.6" x14ac:dyDescent="0.25">
      <c r="F912" s="330"/>
      <c r="O912" s="787"/>
    </row>
    <row r="913" spans="6:15" ht="15.6" x14ac:dyDescent="0.25">
      <c r="F913" s="330"/>
      <c r="O913" s="787"/>
    </row>
    <row r="914" spans="6:15" ht="15.6" x14ac:dyDescent="0.25">
      <c r="F914" s="330"/>
      <c r="O914" s="787"/>
    </row>
    <row r="915" spans="6:15" ht="15.6" x14ac:dyDescent="0.25">
      <c r="F915" s="330"/>
      <c r="O915" s="787"/>
    </row>
    <row r="916" spans="6:15" ht="15.6" x14ac:dyDescent="0.25">
      <c r="F916" s="330"/>
      <c r="O916" s="787"/>
    </row>
    <row r="917" spans="6:15" ht="15.6" x14ac:dyDescent="0.25">
      <c r="F917" s="330"/>
      <c r="O917" s="787"/>
    </row>
    <row r="918" spans="6:15" ht="15.6" x14ac:dyDescent="0.25">
      <c r="F918" s="330"/>
      <c r="O918" s="787"/>
    </row>
    <row r="919" spans="6:15" ht="15.6" x14ac:dyDescent="0.25">
      <c r="F919" s="330"/>
      <c r="O919" s="787"/>
    </row>
    <row r="920" spans="6:15" ht="15.6" x14ac:dyDescent="0.25">
      <c r="F920" s="330"/>
      <c r="O920" s="787"/>
    </row>
    <row r="921" spans="6:15" ht="15.6" x14ac:dyDescent="0.25">
      <c r="F921" s="330"/>
      <c r="O921" s="787"/>
    </row>
    <row r="922" spans="6:15" ht="15.6" x14ac:dyDescent="0.25">
      <c r="F922" s="330"/>
      <c r="O922" s="787"/>
    </row>
    <row r="923" spans="6:15" ht="15.6" x14ac:dyDescent="0.25">
      <c r="F923" s="330"/>
      <c r="O923" s="787"/>
    </row>
    <row r="924" spans="6:15" ht="15.6" x14ac:dyDescent="0.25">
      <c r="F924" s="330"/>
      <c r="O924" s="787"/>
    </row>
    <row r="925" spans="6:15" ht="15.6" x14ac:dyDescent="0.25">
      <c r="F925" s="330"/>
      <c r="O925" s="787"/>
    </row>
    <row r="926" spans="6:15" ht="15.6" x14ac:dyDescent="0.25">
      <c r="F926" s="330"/>
      <c r="O926" s="787"/>
    </row>
    <row r="927" spans="6:15" ht="15.6" x14ac:dyDescent="0.25">
      <c r="F927" s="330"/>
      <c r="O927" s="787"/>
    </row>
    <row r="928" spans="6:15" ht="15.6" x14ac:dyDescent="0.25">
      <c r="F928" s="330"/>
      <c r="O928" s="787"/>
    </row>
    <row r="929" spans="6:15" ht="15.6" x14ac:dyDescent="0.25">
      <c r="F929" s="330"/>
      <c r="O929" s="787"/>
    </row>
    <row r="930" spans="6:15" ht="15.6" x14ac:dyDescent="0.25">
      <c r="F930" s="330"/>
      <c r="O930" s="787"/>
    </row>
    <row r="931" spans="6:15" ht="15.6" x14ac:dyDescent="0.25">
      <c r="F931" s="330"/>
      <c r="O931" s="787"/>
    </row>
    <row r="932" spans="6:15" ht="15.6" x14ac:dyDescent="0.25">
      <c r="F932" s="330"/>
      <c r="O932" s="787"/>
    </row>
    <row r="933" spans="6:15" ht="15.6" x14ac:dyDescent="0.25">
      <c r="F933" s="330"/>
      <c r="O933" s="787"/>
    </row>
    <row r="934" spans="6:15" ht="15.6" x14ac:dyDescent="0.25">
      <c r="F934" s="330"/>
      <c r="O934" s="787"/>
    </row>
    <row r="935" spans="6:15" ht="15.6" x14ac:dyDescent="0.25">
      <c r="F935" s="330"/>
      <c r="O935" s="787"/>
    </row>
    <row r="936" spans="6:15" ht="15.6" x14ac:dyDescent="0.25">
      <c r="F936" s="330"/>
      <c r="O936" s="787"/>
    </row>
    <row r="937" spans="6:15" ht="15.6" x14ac:dyDescent="0.25">
      <c r="F937" s="330"/>
      <c r="O937" s="787"/>
    </row>
    <row r="938" spans="6:15" ht="15.6" x14ac:dyDescent="0.25">
      <c r="F938" s="330"/>
      <c r="O938" s="787"/>
    </row>
    <row r="939" spans="6:15" ht="15.6" x14ac:dyDescent="0.25">
      <c r="F939" s="330"/>
      <c r="O939" s="787"/>
    </row>
    <row r="940" spans="6:15" ht="15.6" x14ac:dyDescent="0.25">
      <c r="F940" s="330"/>
      <c r="O940" s="787"/>
    </row>
    <row r="941" spans="6:15" ht="15.6" x14ac:dyDescent="0.25">
      <c r="F941" s="330"/>
      <c r="O941" s="787"/>
    </row>
    <row r="942" spans="6:15" ht="15.6" x14ac:dyDescent="0.25">
      <c r="F942" s="330"/>
      <c r="O942" s="787"/>
    </row>
    <row r="943" spans="6:15" ht="15.6" x14ac:dyDescent="0.25">
      <c r="F943" s="330"/>
      <c r="O943" s="787"/>
    </row>
    <row r="944" spans="6:15" ht="15.6" x14ac:dyDescent="0.25">
      <c r="F944" s="330"/>
      <c r="O944" s="787"/>
    </row>
    <row r="945" spans="6:15" ht="15.6" x14ac:dyDescent="0.25">
      <c r="F945" s="330"/>
      <c r="O945" s="787"/>
    </row>
    <row r="946" spans="6:15" ht="15.6" x14ac:dyDescent="0.25">
      <c r="F946" s="330"/>
      <c r="O946" s="787"/>
    </row>
    <row r="947" spans="6:15" ht="15.6" x14ac:dyDescent="0.25">
      <c r="F947" s="330"/>
      <c r="O947" s="787"/>
    </row>
    <row r="948" spans="6:15" ht="15.6" x14ac:dyDescent="0.25">
      <c r="F948" s="330"/>
      <c r="O948" s="787"/>
    </row>
    <row r="949" spans="6:15" ht="15.6" x14ac:dyDescent="0.25">
      <c r="F949" s="330"/>
      <c r="O949" s="787"/>
    </row>
    <row r="950" spans="6:15" ht="15.6" x14ac:dyDescent="0.25">
      <c r="F950" s="330"/>
      <c r="O950" s="787"/>
    </row>
    <row r="951" spans="6:15" ht="15.6" x14ac:dyDescent="0.25">
      <c r="F951" s="330"/>
      <c r="O951" s="787"/>
    </row>
    <row r="952" spans="6:15" ht="15.6" x14ac:dyDescent="0.25">
      <c r="F952" s="330"/>
      <c r="O952" s="787"/>
    </row>
    <row r="953" spans="6:15" ht="15.6" x14ac:dyDescent="0.25">
      <c r="F953" s="330"/>
      <c r="O953" s="787"/>
    </row>
    <row r="954" spans="6:15" ht="15.6" x14ac:dyDescent="0.25">
      <c r="F954" s="330"/>
      <c r="O954" s="787"/>
    </row>
    <row r="955" spans="6:15" ht="15.6" x14ac:dyDescent="0.25">
      <c r="F955" s="330"/>
      <c r="O955" s="787"/>
    </row>
    <row r="956" spans="6:15" ht="15.6" x14ac:dyDescent="0.25">
      <c r="F956" s="330"/>
      <c r="O956" s="787"/>
    </row>
    <row r="957" spans="6:15" ht="15.6" x14ac:dyDescent="0.25">
      <c r="F957" s="330"/>
      <c r="O957" s="787"/>
    </row>
    <row r="958" spans="6:15" ht="15.6" x14ac:dyDescent="0.25">
      <c r="F958" s="330"/>
      <c r="O958" s="787"/>
    </row>
    <row r="959" spans="6:15" ht="15.6" x14ac:dyDescent="0.25">
      <c r="F959" s="330"/>
      <c r="O959" s="787"/>
    </row>
    <row r="960" spans="6:15" ht="15.6" x14ac:dyDescent="0.25">
      <c r="F960" s="330"/>
      <c r="O960" s="787"/>
    </row>
    <row r="961" spans="6:15" ht="15.6" x14ac:dyDescent="0.25">
      <c r="F961" s="330"/>
      <c r="O961" s="787"/>
    </row>
    <row r="962" spans="6:15" ht="15.6" x14ac:dyDescent="0.25">
      <c r="F962" s="330"/>
      <c r="O962" s="787"/>
    </row>
    <row r="963" spans="6:15" ht="15.6" x14ac:dyDescent="0.25">
      <c r="F963" s="330"/>
      <c r="O963" s="787"/>
    </row>
    <row r="964" spans="6:15" ht="15.6" x14ac:dyDescent="0.25">
      <c r="F964" s="330"/>
      <c r="O964" s="787"/>
    </row>
    <row r="965" spans="6:15" ht="15.6" x14ac:dyDescent="0.25">
      <c r="F965" s="330"/>
      <c r="O965" s="787"/>
    </row>
    <row r="966" spans="6:15" ht="15.6" x14ac:dyDescent="0.25">
      <c r="F966" s="330"/>
      <c r="O966" s="787"/>
    </row>
    <row r="967" spans="6:15" ht="15.6" x14ac:dyDescent="0.25">
      <c r="F967" s="330"/>
      <c r="O967" s="787"/>
    </row>
    <row r="968" spans="6:15" ht="15.6" x14ac:dyDescent="0.25">
      <c r="F968" s="330"/>
      <c r="O968" s="787"/>
    </row>
    <row r="969" spans="6:15" ht="15.6" x14ac:dyDescent="0.25">
      <c r="F969" s="330"/>
      <c r="O969" s="787"/>
    </row>
    <row r="970" spans="6:15" ht="15.6" x14ac:dyDescent="0.25">
      <c r="F970" s="330"/>
      <c r="O970" s="787"/>
    </row>
    <row r="971" spans="6:15" ht="15.6" x14ac:dyDescent="0.25">
      <c r="F971" s="330"/>
      <c r="O971" s="787"/>
    </row>
    <row r="972" spans="6:15" ht="15.6" x14ac:dyDescent="0.25">
      <c r="F972" s="330"/>
      <c r="O972" s="787"/>
    </row>
    <row r="973" spans="6:15" ht="15.6" x14ac:dyDescent="0.25">
      <c r="F973" s="330"/>
      <c r="O973" s="787"/>
    </row>
    <row r="974" spans="6:15" ht="15.6" x14ac:dyDescent="0.25">
      <c r="F974" s="330"/>
      <c r="O974" s="787"/>
    </row>
    <row r="975" spans="6:15" ht="15.6" x14ac:dyDescent="0.25">
      <c r="F975" s="330"/>
      <c r="O975" s="787"/>
    </row>
    <row r="976" spans="6:15" ht="15.6" x14ac:dyDescent="0.25">
      <c r="F976" s="330"/>
      <c r="O976" s="787"/>
    </row>
    <row r="977" spans="6:15" ht="15.6" x14ac:dyDescent="0.25">
      <c r="F977" s="330"/>
      <c r="O977" s="787"/>
    </row>
    <row r="978" spans="6:15" ht="15.6" x14ac:dyDescent="0.25">
      <c r="F978" s="330"/>
      <c r="O978" s="787"/>
    </row>
    <row r="979" spans="6:15" ht="15.6" x14ac:dyDescent="0.25">
      <c r="F979" s="330"/>
      <c r="O979" s="787"/>
    </row>
    <row r="980" spans="6:15" ht="15.6" x14ac:dyDescent="0.25">
      <c r="F980" s="330"/>
      <c r="O980" s="787"/>
    </row>
    <row r="981" spans="6:15" ht="15.6" x14ac:dyDescent="0.25">
      <c r="F981" s="330"/>
      <c r="O981" s="787"/>
    </row>
    <row r="982" spans="6:15" ht="15.6" x14ac:dyDescent="0.25">
      <c r="F982" s="330"/>
      <c r="O982" s="787"/>
    </row>
    <row r="983" spans="6:15" ht="15.6" x14ac:dyDescent="0.25">
      <c r="F983" s="330"/>
      <c r="O983" s="787"/>
    </row>
    <row r="984" spans="6:15" ht="15.6" x14ac:dyDescent="0.25">
      <c r="F984" s="330"/>
      <c r="O984" s="787"/>
    </row>
    <row r="985" spans="6:15" ht="15.6" x14ac:dyDescent="0.25">
      <c r="F985" s="330"/>
      <c r="O985" s="787"/>
    </row>
    <row r="986" spans="6:15" ht="15.6" x14ac:dyDescent="0.25">
      <c r="F986" s="330"/>
      <c r="O986" s="787"/>
    </row>
    <row r="987" spans="6:15" ht="15.6" x14ac:dyDescent="0.25">
      <c r="F987" s="330"/>
      <c r="O987" s="787"/>
    </row>
    <row r="988" spans="6:15" ht="15.6" x14ac:dyDescent="0.25">
      <c r="F988" s="330"/>
      <c r="O988" s="787"/>
    </row>
    <row r="989" spans="6:15" ht="15.6" x14ac:dyDescent="0.25">
      <c r="F989" s="330"/>
      <c r="O989" s="787"/>
    </row>
    <row r="990" spans="6:15" ht="15.6" x14ac:dyDescent="0.25">
      <c r="F990" s="330"/>
      <c r="O990" s="787"/>
    </row>
    <row r="991" spans="6:15" ht="15.6" x14ac:dyDescent="0.25">
      <c r="F991" s="330"/>
      <c r="O991" s="787"/>
    </row>
    <row r="992" spans="6:15" ht="15.6" x14ac:dyDescent="0.25">
      <c r="F992" s="330"/>
      <c r="O992" s="787"/>
    </row>
    <row r="993" spans="6:15" ht="15.6" x14ac:dyDescent="0.25">
      <c r="F993" s="330"/>
      <c r="O993" s="787"/>
    </row>
    <row r="994" spans="6:15" ht="15.6" x14ac:dyDescent="0.25">
      <c r="F994" s="330"/>
      <c r="O994" s="787"/>
    </row>
    <row r="995" spans="6:15" ht="15.6" x14ac:dyDescent="0.25">
      <c r="F995" s="330"/>
      <c r="O995" s="787"/>
    </row>
    <row r="996" spans="6:15" ht="15.6" x14ac:dyDescent="0.25">
      <c r="F996" s="330"/>
      <c r="O996" s="787"/>
    </row>
    <row r="997" spans="6:15" ht="15.6" x14ac:dyDescent="0.25">
      <c r="F997" s="330"/>
      <c r="O997" s="787"/>
    </row>
    <row r="998" spans="6:15" ht="15.6" x14ac:dyDescent="0.25">
      <c r="F998" s="330"/>
      <c r="O998" s="787"/>
    </row>
    <row r="999" spans="6:15" ht="15.6" x14ac:dyDescent="0.25">
      <c r="F999" s="330"/>
      <c r="O999" s="787"/>
    </row>
    <row r="1000" spans="6:15" ht="15.6" x14ac:dyDescent="0.25">
      <c r="F1000" s="330"/>
      <c r="O1000" s="787"/>
    </row>
    <row r="1001" spans="6:15" ht="15.6" x14ac:dyDescent="0.25">
      <c r="F1001" s="330"/>
      <c r="O1001" s="787"/>
    </row>
    <row r="1002" spans="6:15" ht="15.6" x14ac:dyDescent="0.25">
      <c r="F1002" s="330"/>
      <c r="O1002" s="787"/>
    </row>
    <row r="1003" spans="6:15" ht="15.6" x14ac:dyDescent="0.25">
      <c r="F1003" s="330"/>
      <c r="O1003" s="787"/>
    </row>
    <row r="1004" spans="6:15" ht="15.6" x14ac:dyDescent="0.25">
      <c r="F1004" s="330"/>
      <c r="O1004" s="787"/>
    </row>
    <row r="1005" spans="6:15" ht="15.6" x14ac:dyDescent="0.25">
      <c r="F1005" s="330"/>
      <c r="O1005" s="787"/>
    </row>
    <row r="1006" spans="6:15" ht="15.6" x14ac:dyDescent="0.25">
      <c r="F1006" s="330"/>
      <c r="O1006" s="787"/>
    </row>
    <row r="1007" spans="6:15" ht="15.6" x14ac:dyDescent="0.25">
      <c r="F1007" s="330"/>
      <c r="O1007" s="787"/>
    </row>
    <row r="1008" spans="6:15" ht="15.6" x14ac:dyDescent="0.25">
      <c r="F1008" s="330"/>
      <c r="O1008" s="787"/>
    </row>
    <row r="1009" spans="6:15" ht="15.6" x14ac:dyDescent="0.25">
      <c r="F1009" s="330"/>
      <c r="O1009" s="787"/>
    </row>
    <row r="1010" spans="6:15" ht="15.6" x14ac:dyDescent="0.25">
      <c r="F1010" s="330"/>
      <c r="O1010" s="787"/>
    </row>
    <row r="1011" spans="6:15" ht="15.6" x14ac:dyDescent="0.25">
      <c r="F1011" s="330"/>
      <c r="O1011" s="787"/>
    </row>
    <row r="1012" spans="6:15" ht="15.6" x14ac:dyDescent="0.25">
      <c r="F1012" s="330"/>
      <c r="O1012" s="787"/>
    </row>
    <row r="1013" spans="6:15" ht="15.6" x14ac:dyDescent="0.25">
      <c r="F1013" s="330"/>
      <c r="O1013" s="787"/>
    </row>
    <row r="1014" spans="6:15" ht="15.6" x14ac:dyDescent="0.25">
      <c r="F1014" s="330"/>
      <c r="O1014" s="787"/>
    </row>
    <row r="1015" spans="6:15" ht="15.6" x14ac:dyDescent="0.25">
      <c r="F1015" s="330"/>
      <c r="O1015" s="787"/>
    </row>
    <row r="1016" spans="6:15" ht="15.6" x14ac:dyDescent="0.25">
      <c r="F1016" s="330"/>
      <c r="O1016" s="787"/>
    </row>
    <row r="1017" spans="6:15" ht="15.6" x14ac:dyDescent="0.25">
      <c r="F1017" s="330"/>
      <c r="O1017" s="787"/>
    </row>
    <row r="1018" spans="6:15" ht="15.6" x14ac:dyDescent="0.25">
      <c r="F1018" s="330"/>
      <c r="O1018" s="787"/>
    </row>
    <row r="1019" spans="6:15" ht="15.6" x14ac:dyDescent="0.25">
      <c r="F1019" s="330"/>
      <c r="O1019" s="787"/>
    </row>
    <row r="1020" spans="6:15" ht="15.6" x14ac:dyDescent="0.25">
      <c r="F1020" s="330"/>
      <c r="O1020" s="787"/>
    </row>
    <row r="1021" spans="6:15" ht="15.6" x14ac:dyDescent="0.25">
      <c r="F1021" s="330"/>
      <c r="O1021" s="787"/>
    </row>
    <row r="1022" spans="6:15" ht="15.6" x14ac:dyDescent="0.25">
      <c r="F1022" s="330"/>
      <c r="O1022" s="787"/>
    </row>
    <row r="1023" spans="6:15" ht="15.6" x14ac:dyDescent="0.25">
      <c r="F1023" s="330"/>
      <c r="O1023" s="787"/>
    </row>
    <row r="1024" spans="6:15" ht="15.6" x14ac:dyDescent="0.25">
      <c r="F1024" s="330"/>
      <c r="O1024" s="787"/>
    </row>
    <row r="1025" spans="6:15" ht="15.6" x14ac:dyDescent="0.25">
      <c r="F1025" s="330"/>
      <c r="O1025" s="787"/>
    </row>
    <row r="1026" spans="6:15" ht="15.6" x14ac:dyDescent="0.25">
      <c r="F1026" s="330"/>
      <c r="O1026" s="787"/>
    </row>
    <row r="1027" spans="6:15" ht="15.6" x14ac:dyDescent="0.25">
      <c r="F1027" s="330"/>
      <c r="O1027" s="787"/>
    </row>
    <row r="1028" spans="6:15" ht="15.6" x14ac:dyDescent="0.25">
      <c r="F1028" s="330"/>
      <c r="O1028" s="787"/>
    </row>
    <row r="1029" spans="6:15" ht="15.6" x14ac:dyDescent="0.25">
      <c r="F1029" s="330"/>
      <c r="O1029" s="787"/>
    </row>
    <row r="1030" spans="6:15" ht="15.6" x14ac:dyDescent="0.25">
      <c r="F1030" s="330"/>
      <c r="O1030" s="787"/>
    </row>
    <row r="1031" spans="6:15" ht="15.6" x14ac:dyDescent="0.25">
      <c r="F1031" s="330"/>
      <c r="O1031" s="787"/>
    </row>
    <row r="1032" spans="6:15" ht="15.6" x14ac:dyDescent="0.25">
      <c r="F1032" s="330"/>
      <c r="O1032" s="787"/>
    </row>
    <row r="1033" spans="6:15" ht="15.6" x14ac:dyDescent="0.25">
      <c r="F1033" s="330"/>
      <c r="O1033" s="787"/>
    </row>
    <row r="1034" spans="6:15" ht="15.6" x14ac:dyDescent="0.25">
      <c r="F1034" s="330"/>
      <c r="O1034" s="787"/>
    </row>
    <row r="1035" spans="6:15" ht="15.6" x14ac:dyDescent="0.25">
      <c r="F1035" s="330"/>
      <c r="O1035" s="787"/>
    </row>
    <row r="1036" spans="6:15" ht="15.6" x14ac:dyDescent="0.25">
      <c r="F1036" s="330"/>
      <c r="O1036" s="787"/>
    </row>
    <row r="1037" spans="6:15" ht="15.6" x14ac:dyDescent="0.25">
      <c r="F1037" s="330"/>
      <c r="O1037" s="787"/>
    </row>
    <row r="1038" spans="6:15" ht="15.6" x14ac:dyDescent="0.25">
      <c r="F1038" s="330"/>
      <c r="O1038" s="787"/>
    </row>
    <row r="1039" spans="6:15" ht="15.6" x14ac:dyDescent="0.25">
      <c r="F1039" s="330"/>
      <c r="O1039" s="787"/>
    </row>
    <row r="1040" spans="6:15" ht="15.6" x14ac:dyDescent="0.25">
      <c r="F1040" s="330"/>
      <c r="O1040" s="787"/>
    </row>
    <row r="1041" spans="6:15" ht="15.6" x14ac:dyDescent="0.25">
      <c r="F1041" s="330"/>
      <c r="O1041" s="787"/>
    </row>
    <row r="1042" spans="6:15" ht="15.6" x14ac:dyDescent="0.25">
      <c r="F1042" s="330"/>
      <c r="O1042" s="787"/>
    </row>
    <row r="1043" spans="6:15" ht="15.6" x14ac:dyDescent="0.25">
      <c r="F1043" s="330"/>
      <c r="O1043" s="787"/>
    </row>
    <row r="1044" spans="6:15" ht="15.6" x14ac:dyDescent="0.25">
      <c r="F1044" s="330"/>
      <c r="O1044" s="787"/>
    </row>
    <row r="1045" spans="6:15" ht="15.6" x14ac:dyDescent="0.25">
      <c r="F1045" s="330"/>
      <c r="O1045" s="787"/>
    </row>
    <row r="1046" spans="6:15" ht="15.6" x14ac:dyDescent="0.25">
      <c r="F1046" s="330"/>
      <c r="O1046" s="787"/>
    </row>
    <row r="1047" spans="6:15" ht="15.6" x14ac:dyDescent="0.25">
      <c r="F1047" s="330"/>
      <c r="O1047" s="787"/>
    </row>
    <row r="1048" spans="6:15" ht="15.6" x14ac:dyDescent="0.25">
      <c r="F1048" s="330"/>
      <c r="O1048" s="787"/>
    </row>
    <row r="1049" spans="6:15" ht="15.6" x14ac:dyDescent="0.25">
      <c r="F1049" s="330"/>
      <c r="O1049" s="787"/>
    </row>
    <row r="1050" spans="6:15" ht="15.6" x14ac:dyDescent="0.25">
      <c r="F1050" s="330"/>
      <c r="O1050" s="787"/>
    </row>
    <row r="1051" spans="6:15" ht="15.6" x14ac:dyDescent="0.25">
      <c r="F1051" s="330"/>
      <c r="O1051" s="787"/>
    </row>
    <row r="1052" spans="6:15" ht="15.6" x14ac:dyDescent="0.25">
      <c r="F1052" s="330"/>
      <c r="O1052" s="787"/>
    </row>
    <row r="1053" spans="6:15" ht="15.6" x14ac:dyDescent="0.25">
      <c r="F1053" s="330"/>
      <c r="O1053" s="787"/>
    </row>
    <row r="1054" spans="6:15" ht="15.6" x14ac:dyDescent="0.25">
      <c r="F1054" s="330"/>
      <c r="O1054" s="787"/>
    </row>
    <row r="1055" spans="6:15" ht="15.6" x14ac:dyDescent="0.25">
      <c r="F1055" s="330"/>
      <c r="O1055" s="787"/>
    </row>
    <row r="1056" spans="6:15" ht="15.6" x14ac:dyDescent="0.25">
      <c r="F1056" s="330"/>
      <c r="O1056" s="787"/>
    </row>
    <row r="1057" spans="6:15" ht="15.6" x14ac:dyDescent="0.25">
      <c r="F1057" s="330"/>
      <c r="O1057" s="787"/>
    </row>
    <row r="1058" spans="6:15" ht="15.6" x14ac:dyDescent="0.25">
      <c r="F1058" s="330"/>
      <c r="O1058" s="787"/>
    </row>
    <row r="1059" spans="6:15" ht="15.6" x14ac:dyDescent="0.25">
      <c r="F1059" s="330"/>
      <c r="O1059" s="787"/>
    </row>
    <row r="1060" spans="6:15" ht="15.6" x14ac:dyDescent="0.25">
      <c r="F1060" s="330"/>
      <c r="O1060" s="787"/>
    </row>
    <row r="1061" spans="6:15" ht="15.6" x14ac:dyDescent="0.25">
      <c r="F1061" s="330"/>
      <c r="O1061" s="787"/>
    </row>
    <row r="1062" spans="6:15" ht="15.6" x14ac:dyDescent="0.25">
      <c r="F1062" s="330"/>
      <c r="O1062" s="787"/>
    </row>
    <row r="1063" spans="6:15" ht="15.6" x14ac:dyDescent="0.25">
      <c r="F1063" s="330"/>
      <c r="O1063" s="787"/>
    </row>
    <row r="1064" spans="6:15" ht="15.6" x14ac:dyDescent="0.25">
      <c r="F1064" s="330"/>
      <c r="O1064" s="787"/>
    </row>
    <row r="1065" spans="6:15" ht="15.6" x14ac:dyDescent="0.25">
      <c r="F1065" s="330"/>
      <c r="O1065" s="787"/>
    </row>
    <row r="1066" spans="6:15" ht="15.6" x14ac:dyDescent="0.25">
      <c r="F1066" s="330"/>
      <c r="O1066" s="787"/>
    </row>
    <row r="1067" spans="6:15" ht="15.6" x14ac:dyDescent="0.25">
      <c r="F1067" s="330"/>
      <c r="O1067" s="787"/>
    </row>
    <row r="1068" spans="6:15" ht="15.6" x14ac:dyDescent="0.25">
      <c r="F1068" s="330"/>
      <c r="O1068" s="787"/>
    </row>
    <row r="1069" spans="6:15" ht="15.6" x14ac:dyDescent="0.25">
      <c r="F1069" s="330"/>
      <c r="O1069" s="787"/>
    </row>
    <row r="1070" spans="6:15" ht="15.6" x14ac:dyDescent="0.25">
      <c r="F1070" s="330"/>
      <c r="O1070" s="787"/>
    </row>
    <row r="1071" spans="6:15" ht="15.6" x14ac:dyDescent="0.25">
      <c r="F1071" s="330"/>
      <c r="O1071" s="787"/>
    </row>
    <row r="1072" spans="6:15" ht="15.6" x14ac:dyDescent="0.25">
      <c r="F1072" s="330"/>
      <c r="O1072" s="787"/>
    </row>
    <row r="1073" spans="6:15" ht="15.6" x14ac:dyDescent="0.25">
      <c r="F1073" s="330"/>
      <c r="O1073" s="787"/>
    </row>
    <row r="1074" spans="6:15" ht="15.6" x14ac:dyDescent="0.25">
      <c r="F1074" s="330"/>
      <c r="O1074" s="787"/>
    </row>
    <row r="1075" spans="6:15" ht="15.6" x14ac:dyDescent="0.25">
      <c r="F1075" s="330"/>
      <c r="O1075" s="787"/>
    </row>
    <row r="1076" spans="6:15" ht="15.6" x14ac:dyDescent="0.25">
      <c r="F1076" s="330"/>
      <c r="O1076" s="787"/>
    </row>
    <row r="1077" spans="6:15" ht="15.6" x14ac:dyDescent="0.25">
      <c r="F1077" s="330"/>
      <c r="O1077" s="787"/>
    </row>
    <row r="1078" spans="6:15" ht="15.6" x14ac:dyDescent="0.25">
      <c r="F1078" s="330"/>
      <c r="O1078" s="787"/>
    </row>
    <row r="1079" spans="6:15" ht="15.6" x14ac:dyDescent="0.25">
      <c r="F1079" s="330"/>
      <c r="O1079" s="787"/>
    </row>
    <row r="1080" spans="6:15" ht="15.6" x14ac:dyDescent="0.25">
      <c r="F1080" s="330"/>
      <c r="O1080" s="787"/>
    </row>
    <row r="1081" spans="6:15" ht="15.6" x14ac:dyDescent="0.25">
      <c r="F1081" s="330"/>
      <c r="O1081" s="787"/>
    </row>
    <row r="1082" spans="6:15" ht="15.6" x14ac:dyDescent="0.25">
      <c r="F1082" s="330"/>
      <c r="O1082" s="787"/>
    </row>
    <row r="1083" spans="6:15" ht="15.6" x14ac:dyDescent="0.25">
      <c r="F1083" s="330"/>
      <c r="O1083" s="787"/>
    </row>
    <row r="1084" spans="6:15" ht="15.6" x14ac:dyDescent="0.25">
      <c r="F1084" s="330"/>
      <c r="O1084" s="787"/>
    </row>
    <row r="1085" spans="6:15" ht="15.6" x14ac:dyDescent="0.25">
      <c r="F1085" s="330"/>
      <c r="O1085" s="787"/>
    </row>
    <row r="1086" spans="6:15" ht="15.6" x14ac:dyDescent="0.25">
      <c r="F1086" s="330"/>
      <c r="O1086" s="787"/>
    </row>
    <row r="1087" spans="6:15" ht="15.6" x14ac:dyDescent="0.25">
      <c r="F1087" s="330"/>
      <c r="O1087" s="787"/>
    </row>
    <row r="1088" spans="6:15" ht="15.6" x14ac:dyDescent="0.25">
      <c r="F1088" s="330"/>
      <c r="O1088" s="787"/>
    </row>
    <row r="1089" spans="6:15" ht="15.6" x14ac:dyDescent="0.25">
      <c r="F1089" s="330"/>
      <c r="O1089" s="787"/>
    </row>
    <row r="1090" spans="6:15" ht="15.6" x14ac:dyDescent="0.25">
      <c r="F1090" s="330"/>
      <c r="O1090" s="787"/>
    </row>
    <row r="1091" spans="6:15" ht="15.6" x14ac:dyDescent="0.25">
      <c r="F1091" s="330"/>
      <c r="O1091" s="787"/>
    </row>
    <row r="1092" spans="6:15" ht="15.6" x14ac:dyDescent="0.25">
      <c r="F1092" s="330"/>
      <c r="O1092" s="787"/>
    </row>
    <row r="1093" spans="6:15" ht="15.6" x14ac:dyDescent="0.25">
      <c r="F1093" s="330"/>
      <c r="O1093" s="787"/>
    </row>
    <row r="1094" spans="6:15" ht="15.6" x14ac:dyDescent="0.25">
      <c r="F1094" s="330"/>
      <c r="O1094" s="787"/>
    </row>
    <row r="1095" spans="6:15" ht="15.6" x14ac:dyDescent="0.25">
      <c r="F1095" s="330"/>
      <c r="O1095" s="787"/>
    </row>
    <row r="1096" spans="6:15" ht="15.6" x14ac:dyDescent="0.25">
      <c r="F1096" s="330"/>
      <c r="O1096" s="787"/>
    </row>
    <row r="1097" spans="6:15" ht="15.6" x14ac:dyDescent="0.25">
      <c r="F1097" s="330"/>
      <c r="O1097" s="787"/>
    </row>
    <row r="1098" spans="6:15" ht="15.6" x14ac:dyDescent="0.25">
      <c r="F1098" s="330"/>
      <c r="O1098" s="787"/>
    </row>
    <row r="1099" spans="6:15" ht="15.6" x14ac:dyDescent="0.25">
      <c r="F1099" s="330"/>
      <c r="O1099" s="787"/>
    </row>
    <row r="1100" spans="6:15" ht="15.6" x14ac:dyDescent="0.25">
      <c r="F1100" s="330"/>
      <c r="O1100" s="787"/>
    </row>
    <row r="1101" spans="6:15" ht="15.6" x14ac:dyDescent="0.25">
      <c r="F1101" s="330"/>
      <c r="O1101" s="787"/>
    </row>
    <row r="1102" spans="6:15" ht="15.6" x14ac:dyDescent="0.25">
      <c r="F1102" s="330"/>
      <c r="O1102" s="787"/>
    </row>
    <row r="1103" spans="6:15" ht="15.6" x14ac:dyDescent="0.25">
      <c r="F1103" s="330"/>
      <c r="O1103" s="787"/>
    </row>
    <row r="1104" spans="6:15" ht="15.6" x14ac:dyDescent="0.25">
      <c r="F1104" s="330"/>
      <c r="O1104" s="787"/>
    </row>
    <row r="1105" spans="6:15" ht="15.6" x14ac:dyDescent="0.25">
      <c r="F1105" s="330"/>
      <c r="O1105" s="787"/>
    </row>
    <row r="1106" spans="6:15" ht="15.6" x14ac:dyDescent="0.25">
      <c r="F1106" s="330"/>
      <c r="O1106" s="787"/>
    </row>
    <row r="1107" spans="6:15" ht="15.6" x14ac:dyDescent="0.25">
      <c r="F1107" s="330"/>
      <c r="O1107" s="787"/>
    </row>
    <row r="1108" spans="6:15" ht="15.6" x14ac:dyDescent="0.25">
      <c r="F1108" s="330"/>
      <c r="O1108" s="787"/>
    </row>
    <row r="1109" spans="6:15" ht="15.6" x14ac:dyDescent="0.25">
      <c r="F1109" s="330"/>
      <c r="O1109" s="787"/>
    </row>
    <row r="1110" spans="6:15" ht="15.6" x14ac:dyDescent="0.25">
      <c r="F1110" s="330"/>
      <c r="O1110" s="787"/>
    </row>
    <row r="1111" spans="6:15" ht="15.6" x14ac:dyDescent="0.25">
      <c r="F1111" s="330"/>
      <c r="O1111" s="787"/>
    </row>
    <row r="1112" spans="6:15" ht="15.6" x14ac:dyDescent="0.25">
      <c r="F1112" s="330"/>
      <c r="O1112" s="787"/>
    </row>
    <row r="1113" spans="6:15" ht="15.6" x14ac:dyDescent="0.25">
      <c r="F1113" s="330"/>
      <c r="O1113" s="787"/>
    </row>
    <row r="1114" spans="6:15" ht="15.6" x14ac:dyDescent="0.25">
      <c r="F1114" s="330"/>
      <c r="O1114" s="787"/>
    </row>
    <row r="1115" spans="6:15" ht="15.6" x14ac:dyDescent="0.25">
      <c r="F1115" s="330"/>
      <c r="O1115" s="787"/>
    </row>
    <row r="1116" spans="6:15" ht="15.6" x14ac:dyDescent="0.25">
      <c r="F1116" s="330"/>
      <c r="O1116" s="787"/>
    </row>
    <row r="1117" spans="6:15" ht="15.6" x14ac:dyDescent="0.25">
      <c r="F1117" s="330"/>
      <c r="O1117" s="787"/>
    </row>
    <row r="1118" spans="6:15" ht="15.6" x14ac:dyDescent="0.25">
      <c r="F1118" s="330"/>
      <c r="O1118" s="787"/>
    </row>
    <row r="1119" spans="6:15" ht="15.6" x14ac:dyDescent="0.25">
      <c r="F1119" s="330"/>
      <c r="O1119" s="787"/>
    </row>
    <row r="1120" spans="6:15" ht="15.6" x14ac:dyDescent="0.25">
      <c r="F1120" s="330"/>
      <c r="O1120" s="787"/>
    </row>
    <row r="1121" spans="6:15" ht="15.6" x14ac:dyDescent="0.25">
      <c r="F1121" s="330"/>
      <c r="O1121" s="787"/>
    </row>
    <row r="1122" spans="6:15" ht="15.6" x14ac:dyDescent="0.25">
      <c r="F1122" s="330"/>
      <c r="O1122" s="787"/>
    </row>
    <row r="1123" spans="6:15" ht="15.6" x14ac:dyDescent="0.25">
      <c r="F1123" s="330"/>
      <c r="O1123" s="787"/>
    </row>
    <row r="1124" spans="6:15" ht="15.6" x14ac:dyDescent="0.25">
      <c r="F1124" s="330"/>
      <c r="O1124" s="787"/>
    </row>
    <row r="1125" spans="6:15" ht="15.6" x14ac:dyDescent="0.25">
      <c r="F1125" s="330"/>
      <c r="O1125" s="787"/>
    </row>
    <row r="1126" spans="6:15" ht="15.6" x14ac:dyDescent="0.25">
      <c r="F1126" s="330"/>
      <c r="O1126" s="787"/>
    </row>
    <row r="1127" spans="6:15" ht="15.6" x14ac:dyDescent="0.25">
      <c r="F1127" s="330"/>
      <c r="O1127" s="787"/>
    </row>
    <row r="1128" spans="6:15" ht="15.6" x14ac:dyDescent="0.25">
      <c r="F1128" s="330"/>
      <c r="O1128" s="787"/>
    </row>
    <row r="1129" spans="6:15" ht="15.6" x14ac:dyDescent="0.25">
      <c r="F1129" s="330"/>
      <c r="O1129" s="787"/>
    </row>
    <row r="1130" spans="6:15" ht="15.6" x14ac:dyDescent="0.25">
      <c r="F1130" s="330"/>
      <c r="O1130" s="787"/>
    </row>
    <row r="1131" spans="6:15" ht="15.6" x14ac:dyDescent="0.25">
      <c r="F1131" s="330"/>
      <c r="O1131" s="787"/>
    </row>
    <row r="1132" spans="6:15" ht="15.6" x14ac:dyDescent="0.25">
      <c r="F1132" s="330"/>
      <c r="O1132" s="787"/>
    </row>
    <row r="1133" spans="6:15" ht="15.6" x14ac:dyDescent="0.25">
      <c r="F1133" s="330"/>
      <c r="O1133" s="787"/>
    </row>
    <row r="1134" spans="6:15" ht="15.6" x14ac:dyDescent="0.25">
      <c r="F1134" s="330"/>
      <c r="O1134" s="787"/>
    </row>
    <row r="1135" spans="6:15" ht="15.6" x14ac:dyDescent="0.25">
      <c r="F1135" s="330"/>
      <c r="O1135" s="787"/>
    </row>
    <row r="1136" spans="6:15" ht="15.6" x14ac:dyDescent="0.25">
      <c r="F1136" s="330"/>
      <c r="O1136" s="787"/>
    </row>
    <row r="1137" spans="6:15" ht="15.6" x14ac:dyDescent="0.25">
      <c r="F1137" s="330"/>
      <c r="O1137" s="787"/>
    </row>
    <row r="1138" spans="6:15" ht="15.6" x14ac:dyDescent="0.25">
      <c r="F1138" s="330"/>
      <c r="O1138" s="787"/>
    </row>
    <row r="1139" spans="6:15" ht="15.6" x14ac:dyDescent="0.25">
      <c r="F1139" s="330"/>
      <c r="O1139" s="787"/>
    </row>
    <row r="1140" spans="6:15" ht="15.6" x14ac:dyDescent="0.25">
      <c r="F1140" s="330"/>
      <c r="O1140" s="787"/>
    </row>
    <row r="1141" spans="6:15" ht="15.6" x14ac:dyDescent="0.25">
      <c r="F1141" s="330"/>
      <c r="O1141" s="787"/>
    </row>
    <row r="1142" spans="6:15" ht="15.6" x14ac:dyDescent="0.25">
      <c r="F1142" s="330"/>
      <c r="O1142" s="787"/>
    </row>
    <row r="1143" spans="6:15" ht="15.6" x14ac:dyDescent="0.25">
      <c r="F1143" s="330"/>
      <c r="O1143" s="787"/>
    </row>
    <row r="1144" spans="6:15" ht="15.6" x14ac:dyDescent="0.25">
      <c r="F1144" s="330"/>
      <c r="O1144" s="787"/>
    </row>
    <row r="1145" spans="6:15" ht="15.6" x14ac:dyDescent="0.25">
      <c r="F1145" s="330"/>
      <c r="O1145" s="787"/>
    </row>
    <row r="1146" spans="6:15" ht="15.6" x14ac:dyDescent="0.25">
      <c r="F1146" s="330"/>
      <c r="O1146" s="787"/>
    </row>
    <row r="1147" spans="6:15" ht="15.6" x14ac:dyDescent="0.25">
      <c r="F1147" s="330"/>
      <c r="O1147" s="787"/>
    </row>
    <row r="1148" spans="6:15" ht="15.6" x14ac:dyDescent="0.25">
      <c r="F1148" s="330"/>
      <c r="O1148" s="787"/>
    </row>
    <row r="1149" spans="6:15" ht="15.6" x14ac:dyDescent="0.25">
      <c r="F1149" s="330"/>
      <c r="O1149" s="787"/>
    </row>
    <row r="1150" spans="6:15" ht="15.6" x14ac:dyDescent="0.25">
      <c r="F1150" s="330"/>
      <c r="O1150" s="787"/>
    </row>
    <row r="1151" spans="6:15" ht="15.6" x14ac:dyDescent="0.25">
      <c r="F1151" s="330"/>
      <c r="O1151" s="787"/>
    </row>
    <row r="1152" spans="6:15" ht="15.6" x14ac:dyDescent="0.25">
      <c r="F1152" s="330"/>
      <c r="O1152" s="787"/>
    </row>
    <row r="1153" spans="6:15" ht="15.6" x14ac:dyDescent="0.25">
      <c r="F1153" s="330"/>
      <c r="O1153" s="787"/>
    </row>
    <row r="1154" spans="6:15" ht="15.6" x14ac:dyDescent="0.25">
      <c r="F1154" s="330"/>
      <c r="O1154" s="787"/>
    </row>
    <row r="1155" spans="6:15" ht="15.6" x14ac:dyDescent="0.25">
      <c r="F1155" s="330"/>
      <c r="O1155" s="787"/>
    </row>
    <row r="1156" spans="6:15" ht="15.6" x14ac:dyDescent="0.25">
      <c r="F1156" s="330"/>
      <c r="O1156" s="787"/>
    </row>
    <row r="1157" spans="6:15" ht="15.6" x14ac:dyDescent="0.25">
      <c r="F1157" s="330"/>
      <c r="O1157" s="787"/>
    </row>
    <row r="1158" spans="6:15" ht="15.6" x14ac:dyDescent="0.25">
      <c r="F1158" s="330"/>
      <c r="O1158" s="787"/>
    </row>
    <row r="1159" spans="6:15" ht="15.6" x14ac:dyDescent="0.25">
      <c r="F1159" s="330"/>
      <c r="O1159" s="787"/>
    </row>
    <row r="1160" spans="6:15" ht="15.6" x14ac:dyDescent="0.25">
      <c r="F1160" s="330"/>
      <c r="O1160" s="787"/>
    </row>
    <row r="1161" spans="6:15" ht="15.6" x14ac:dyDescent="0.25">
      <c r="F1161" s="330"/>
      <c r="O1161" s="787"/>
    </row>
    <row r="1162" spans="6:15" ht="15.6" x14ac:dyDescent="0.25">
      <c r="F1162" s="330"/>
      <c r="O1162" s="787"/>
    </row>
    <row r="1163" spans="6:15" ht="15.6" x14ac:dyDescent="0.25">
      <c r="F1163" s="330"/>
      <c r="O1163" s="787"/>
    </row>
    <row r="1164" spans="6:15" ht="15.6" x14ac:dyDescent="0.25">
      <c r="F1164" s="330"/>
      <c r="O1164" s="787"/>
    </row>
    <row r="1165" spans="6:15" ht="15.6" x14ac:dyDescent="0.25">
      <c r="F1165" s="330"/>
      <c r="O1165" s="787"/>
    </row>
    <row r="1166" spans="6:15" ht="15.6" x14ac:dyDescent="0.25">
      <c r="F1166" s="330"/>
      <c r="O1166" s="787"/>
    </row>
    <row r="1167" spans="6:15" ht="15.6" x14ac:dyDescent="0.25">
      <c r="F1167" s="330"/>
      <c r="O1167" s="787"/>
    </row>
    <row r="1168" spans="6:15" ht="15.6" x14ac:dyDescent="0.25">
      <c r="F1168" s="330"/>
      <c r="O1168" s="787"/>
    </row>
    <row r="1169" spans="6:15" ht="15.6" x14ac:dyDescent="0.25">
      <c r="F1169" s="330"/>
      <c r="O1169" s="787"/>
    </row>
    <row r="1170" spans="6:15" ht="15.6" x14ac:dyDescent="0.25">
      <c r="F1170" s="330"/>
      <c r="O1170" s="787"/>
    </row>
    <row r="1171" spans="6:15" ht="15.6" x14ac:dyDescent="0.25">
      <c r="F1171" s="330"/>
      <c r="O1171" s="787"/>
    </row>
    <row r="1172" spans="6:15" ht="15.6" x14ac:dyDescent="0.25">
      <c r="F1172" s="330"/>
      <c r="O1172" s="787"/>
    </row>
    <row r="1173" spans="6:15" ht="15.6" x14ac:dyDescent="0.25">
      <c r="F1173" s="330"/>
      <c r="O1173" s="787"/>
    </row>
    <row r="1174" spans="6:15" ht="15.6" x14ac:dyDescent="0.25">
      <c r="F1174" s="330"/>
      <c r="O1174" s="787"/>
    </row>
    <row r="1175" spans="6:15" ht="15.6" x14ac:dyDescent="0.25">
      <c r="F1175" s="330"/>
      <c r="O1175" s="787"/>
    </row>
    <row r="1176" spans="6:15" ht="15.6" x14ac:dyDescent="0.25">
      <c r="F1176" s="330"/>
      <c r="O1176" s="787"/>
    </row>
    <row r="1177" spans="6:15" ht="15.6" x14ac:dyDescent="0.25">
      <c r="F1177" s="330"/>
      <c r="O1177" s="787"/>
    </row>
    <row r="1178" spans="6:15" ht="15.6" x14ac:dyDescent="0.25">
      <c r="F1178" s="330"/>
      <c r="O1178" s="787"/>
    </row>
    <row r="1179" spans="6:15" ht="15.6" x14ac:dyDescent="0.25">
      <c r="F1179" s="330"/>
      <c r="O1179" s="787"/>
    </row>
    <row r="1180" spans="6:15" ht="15.6" x14ac:dyDescent="0.25">
      <c r="F1180" s="330"/>
      <c r="O1180" s="787"/>
    </row>
    <row r="1181" spans="6:15" ht="15.6" x14ac:dyDescent="0.25">
      <c r="F1181" s="330"/>
      <c r="O1181" s="787"/>
    </row>
    <row r="1182" spans="6:15" ht="15.6" x14ac:dyDescent="0.25">
      <c r="F1182" s="330"/>
      <c r="O1182" s="787"/>
    </row>
    <row r="1183" spans="6:15" ht="15.6" x14ac:dyDescent="0.25">
      <c r="F1183" s="330"/>
      <c r="O1183" s="787"/>
    </row>
    <row r="1184" spans="6:15" ht="15.6" x14ac:dyDescent="0.25">
      <c r="F1184" s="330"/>
      <c r="O1184" s="787"/>
    </row>
    <row r="1185" spans="6:15" ht="15.6" x14ac:dyDescent="0.25">
      <c r="F1185" s="330"/>
      <c r="O1185" s="787"/>
    </row>
    <row r="1186" spans="6:15" ht="15.6" x14ac:dyDescent="0.25">
      <c r="F1186" s="330"/>
      <c r="O1186" s="787"/>
    </row>
    <row r="1187" spans="6:15" ht="15.6" x14ac:dyDescent="0.25">
      <c r="F1187" s="330"/>
      <c r="O1187" s="787"/>
    </row>
    <row r="1188" spans="6:15" ht="15.6" x14ac:dyDescent="0.25">
      <c r="F1188" s="330"/>
      <c r="O1188" s="787"/>
    </row>
    <row r="1189" spans="6:15" ht="15.6" x14ac:dyDescent="0.25">
      <c r="F1189" s="330"/>
      <c r="O1189" s="787"/>
    </row>
    <row r="1190" spans="6:15" ht="15.6" x14ac:dyDescent="0.25">
      <c r="F1190" s="330"/>
      <c r="O1190" s="787"/>
    </row>
    <row r="1191" spans="6:15" ht="15.6" x14ac:dyDescent="0.25">
      <c r="F1191" s="330"/>
      <c r="O1191" s="787"/>
    </row>
    <row r="1192" spans="6:15" ht="15.6" x14ac:dyDescent="0.25">
      <c r="F1192" s="330"/>
      <c r="O1192" s="787"/>
    </row>
    <row r="1193" spans="6:15" ht="15.6" x14ac:dyDescent="0.25">
      <c r="F1193" s="330"/>
      <c r="O1193" s="787"/>
    </row>
    <row r="1194" spans="6:15" ht="15.6" x14ac:dyDescent="0.25">
      <c r="F1194" s="330"/>
      <c r="O1194" s="787"/>
    </row>
    <row r="1195" spans="6:15" ht="15.6" x14ac:dyDescent="0.25">
      <c r="F1195" s="330"/>
      <c r="O1195" s="787"/>
    </row>
    <row r="1196" spans="6:15" ht="15.6" x14ac:dyDescent="0.25">
      <c r="F1196" s="330"/>
      <c r="O1196" s="787"/>
    </row>
    <row r="1197" spans="6:15" ht="15.6" x14ac:dyDescent="0.25">
      <c r="F1197" s="330"/>
      <c r="O1197" s="787"/>
    </row>
    <row r="1198" spans="6:15" ht="15.6" x14ac:dyDescent="0.25">
      <c r="F1198" s="330"/>
      <c r="O1198" s="787"/>
    </row>
    <row r="1199" spans="6:15" ht="15.6" x14ac:dyDescent="0.25">
      <c r="F1199" s="330"/>
      <c r="O1199" s="787"/>
    </row>
    <row r="1200" spans="6:15" ht="15.6" x14ac:dyDescent="0.25">
      <c r="F1200" s="330"/>
      <c r="O1200" s="787"/>
    </row>
    <row r="1201" spans="6:15" ht="15.6" x14ac:dyDescent="0.25">
      <c r="F1201" s="330"/>
      <c r="O1201" s="787"/>
    </row>
    <row r="1202" spans="6:15" ht="15.6" x14ac:dyDescent="0.25">
      <c r="F1202" s="330"/>
      <c r="O1202" s="787"/>
    </row>
    <row r="1203" spans="6:15" ht="15.6" x14ac:dyDescent="0.25">
      <c r="F1203" s="330"/>
      <c r="O1203" s="787"/>
    </row>
    <row r="1204" spans="6:15" ht="15.6" x14ac:dyDescent="0.25">
      <c r="F1204" s="330"/>
      <c r="O1204" s="787"/>
    </row>
    <row r="1205" spans="6:15" ht="15.6" x14ac:dyDescent="0.25">
      <c r="F1205" s="330"/>
      <c r="O1205" s="787"/>
    </row>
    <row r="1206" spans="6:15" ht="15.6" x14ac:dyDescent="0.25">
      <c r="F1206" s="330"/>
      <c r="O1206" s="787"/>
    </row>
    <row r="1207" spans="6:15" ht="15.6" x14ac:dyDescent="0.25">
      <c r="F1207" s="330"/>
      <c r="O1207" s="787"/>
    </row>
    <row r="1208" spans="6:15" ht="15.6" x14ac:dyDescent="0.25">
      <c r="F1208" s="330"/>
      <c r="O1208" s="787"/>
    </row>
    <row r="1209" spans="6:15" ht="15.6" x14ac:dyDescent="0.25">
      <c r="F1209" s="330"/>
      <c r="O1209" s="787"/>
    </row>
    <row r="1210" spans="6:15" ht="15.6" x14ac:dyDescent="0.25">
      <c r="F1210" s="330"/>
      <c r="O1210" s="787"/>
    </row>
    <row r="1211" spans="6:15" ht="15.6" x14ac:dyDescent="0.25">
      <c r="F1211" s="330"/>
      <c r="O1211" s="787"/>
    </row>
    <row r="1212" spans="6:15" ht="15.6" x14ac:dyDescent="0.25">
      <c r="F1212" s="330"/>
      <c r="O1212" s="787"/>
    </row>
    <row r="1213" spans="6:15" ht="15.6" x14ac:dyDescent="0.25">
      <c r="F1213" s="330"/>
      <c r="O1213" s="787"/>
    </row>
    <row r="1214" spans="6:15" ht="15.6" x14ac:dyDescent="0.25">
      <c r="F1214" s="330"/>
      <c r="O1214" s="787"/>
    </row>
    <row r="1215" spans="6:15" ht="15.6" x14ac:dyDescent="0.25">
      <c r="F1215" s="330"/>
      <c r="O1215" s="787"/>
    </row>
    <row r="1216" spans="6:15" ht="15.6" x14ac:dyDescent="0.25">
      <c r="F1216" s="330"/>
      <c r="O1216" s="787"/>
    </row>
    <row r="1217" spans="6:15" ht="15.6" x14ac:dyDescent="0.25">
      <c r="F1217" s="330"/>
      <c r="O1217" s="787"/>
    </row>
    <row r="1218" spans="6:15" ht="15.6" x14ac:dyDescent="0.25">
      <c r="F1218" s="330"/>
      <c r="O1218" s="787"/>
    </row>
    <row r="1219" spans="6:15" ht="15.6" x14ac:dyDescent="0.25">
      <c r="F1219" s="330"/>
      <c r="O1219" s="787"/>
    </row>
    <row r="1220" spans="6:15" ht="15.6" x14ac:dyDescent="0.25">
      <c r="F1220" s="330"/>
      <c r="O1220" s="787"/>
    </row>
    <row r="1221" spans="6:15" ht="15.6" x14ac:dyDescent="0.25">
      <c r="F1221" s="330"/>
      <c r="O1221" s="787"/>
    </row>
    <row r="1222" spans="6:15" ht="15.6" x14ac:dyDescent="0.25">
      <c r="F1222" s="330"/>
      <c r="O1222" s="787"/>
    </row>
    <row r="1223" spans="6:15" ht="15.6" x14ac:dyDescent="0.25">
      <c r="F1223" s="330"/>
      <c r="O1223" s="787"/>
    </row>
    <row r="1224" spans="6:15" ht="15.6" x14ac:dyDescent="0.25">
      <c r="F1224" s="330"/>
      <c r="O1224" s="787"/>
    </row>
    <row r="1225" spans="6:15" ht="15.6" x14ac:dyDescent="0.25">
      <c r="F1225" s="330"/>
      <c r="O1225" s="787"/>
    </row>
    <row r="1226" spans="6:15" ht="15.6" x14ac:dyDescent="0.25">
      <c r="F1226" s="330"/>
      <c r="O1226" s="787"/>
    </row>
    <row r="1227" spans="6:15" ht="15.6" x14ac:dyDescent="0.25">
      <c r="F1227" s="330"/>
      <c r="O1227" s="787"/>
    </row>
    <row r="1228" spans="6:15" ht="15.6" x14ac:dyDescent="0.25">
      <c r="F1228" s="330"/>
      <c r="O1228" s="787"/>
    </row>
    <row r="1229" spans="6:15" ht="15.6" x14ac:dyDescent="0.25">
      <c r="F1229" s="330"/>
      <c r="O1229" s="787"/>
    </row>
    <row r="1230" spans="6:15" ht="15.6" x14ac:dyDescent="0.25">
      <c r="F1230" s="330"/>
      <c r="O1230" s="787"/>
    </row>
    <row r="1231" spans="6:15" ht="15.6" x14ac:dyDescent="0.25">
      <c r="F1231" s="330"/>
      <c r="O1231" s="787"/>
    </row>
    <row r="1232" spans="6:15" ht="15.6" x14ac:dyDescent="0.25">
      <c r="F1232" s="330"/>
      <c r="O1232" s="787"/>
    </row>
    <row r="1233" spans="6:15" ht="15.6" x14ac:dyDescent="0.25">
      <c r="F1233" s="330"/>
      <c r="O1233" s="787"/>
    </row>
    <row r="1234" spans="6:15" ht="15.6" x14ac:dyDescent="0.25">
      <c r="F1234" s="330"/>
      <c r="O1234" s="787"/>
    </row>
    <row r="1235" spans="6:15" ht="15.6" x14ac:dyDescent="0.25">
      <c r="F1235" s="330"/>
      <c r="O1235" s="787"/>
    </row>
    <row r="1236" spans="6:15" ht="15.6" x14ac:dyDescent="0.25">
      <c r="F1236" s="330"/>
      <c r="O1236" s="787"/>
    </row>
    <row r="1237" spans="6:15" ht="15.6" x14ac:dyDescent="0.25">
      <c r="F1237" s="330"/>
      <c r="O1237" s="787"/>
    </row>
    <row r="1238" spans="6:15" ht="15.6" x14ac:dyDescent="0.25">
      <c r="F1238" s="330"/>
      <c r="O1238" s="787"/>
    </row>
    <row r="1239" spans="6:15" ht="15.6" x14ac:dyDescent="0.25">
      <c r="F1239" s="330"/>
      <c r="O1239" s="787"/>
    </row>
    <row r="1240" spans="6:15" ht="15.6" x14ac:dyDescent="0.25">
      <c r="F1240" s="330"/>
      <c r="O1240" s="787"/>
    </row>
    <row r="1241" spans="6:15" ht="15.6" x14ac:dyDescent="0.25">
      <c r="F1241" s="330"/>
      <c r="O1241" s="787"/>
    </row>
    <row r="1242" spans="6:15" ht="15.6" x14ac:dyDescent="0.25">
      <c r="F1242" s="330"/>
      <c r="O1242" s="787"/>
    </row>
    <row r="1243" spans="6:15" ht="15.6" x14ac:dyDescent="0.25">
      <c r="F1243" s="330"/>
      <c r="O1243" s="787"/>
    </row>
    <row r="1244" spans="6:15" ht="15.6" x14ac:dyDescent="0.25">
      <c r="F1244" s="330"/>
      <c r="O1244" s="787"/>
    </row>
    <row r="1245" spans="6:15" ht="15.6" x14ac:dyDescent="0.25">
      <c r="F1245" s="330"/>
      <c r="O1245" s="787"/>
    </row>
    <row r="1246" spans="6:15" ht="15.6" x14ac:dyDescent="0.25">
      <c r="F1246" s="330"/>
      <c r="O1246" s="787"/>
    </row>
    <row r="1247" spans="6:15" ht="15.6" x14ac:dyDescent="0.25">
      <c r="F1247" s="330"/>
      <c r="O1247" s="787"/>
    </row>
    <row r="1248" spans="6:15" ht="15.6" x14ac:dyDescent="0.25">
      <c r="F1248" s="330"/>
      <c r="O1248" s="787"/>
    </row>
    <row r="1249" spans="6:15" ht="15.6" x14ac:dyDescent="0.25">
      <c r="F1249" s="330"/>
      <c r="O1249" s="787"/>
    </row>
    <row r="1250" spans="6:15" ht="15.6" x14ac:dyDescent="0.25">
      <c r="F1250" s="330"/>
      <c r="O1250" s="787"/>
    </row>
    <row r="1251" spans="6:15" ht="15.6" x14ac:dyDescent="0.25">
      <c r="F1251" s="330"/>
      <c r="O1251" s="787"/>
    </row>
    <row r="1252" spans="6:15" ht="15.6" x14ac:dyDescent="0.25">
      <c r="F1252" s="330"/>
      <c r="O1252" s="787"/>
    </row>
    <row r="1253" spans="6:15" ht="15.6" x14ac:dyDescent="0.25">
      <c r="F1253" s="330"/>
      <c r="O1253" s="787"/>
    </row>
    <row r="1254" spans="6:15" ht="15.6" x14ac:dyDescent="0.25">
      <c r="F1254" s="330"/>
      <c r="O1254" s="787"/>
    </row>
    <row r="1255" spans="6:15" ht="15.6" x14ac:dyDescent="0.25">
      <c r="F1255" s="330"/>
      <c r="O1255" s="787"/>
    </row>
    <row r="1256" spans="6:15" ht="15.6" x14ac:dyDescent="0.25">
      <c r="F1256" s="330"/>
      <c r="O1256" s="787"/>
    </row>
    <row r="1257" spans="6:15" ht="15.6" x14ac:dyDescent="0.25">
      <c r="F1257" s="330"/>
      <c r="O1257" s="787"/>
    </row>
    <row r="1258" spans="6:15" ht="15.6" x14ac:dyDescent="0.25">
      <c r="F1258" s="330"/>
      <c r="O1258" s="787"/>
    </row>
    <row r="1259" spans="6:15" ht="15.6" x14ac:dyDescent="0.25">
      <c r="F1259" s="330"/>
      <c r="O1259" s="787"/>
    </row>
    <row r="1260" spans="6:15" ht="15.6" x14ac:dyDescent="0.25">
      <c r="F1260" s="330"/>
      <c r="O1260" s="787"/>
    </row>
    <row r="1261" spans="6:15" ht="15.6" x14ac:dyDescent="0.25">
      <c r="F1261" s="330"/>
      <c r="O1261" s="787"/>
    </row>
    <row r="1262" spans="6:15" ht="15.6" x14ac:dyDescent="0.25">
      <c r="F1262" s="330"/>
      <c r="O1262" s="787"/>
    </row>
    <row r="1263" spans="6:15" ht="15.6" x14ac:dyDescent="0.25">
      <c r="F1263" s="330"/>
      <c r="O1263" s="787"/>
    </row>
    <row r="1264" spans="6:15" ht="15.6" x14ac:dyDescent="0.25">
      <c r="F1264" s="330"/>
      <c r="O1264" s="787"/>
    </row>
    <row r="1265" spans="6:15" ht="15.6" x14ac:dyDescent="0.25">
      <c r="F1265" s="330"/>
      <c r="O1265" s="787"/>
    </row>
    <row r="1266" spans="6:15" ht="15.6" x14ac:dyDescent="0.25">
      <c r="F1266" s="330"/>
      <c r="O1266" s="787"/>
    </row>
    <row r="1267" spans="6:15" ht="15.6" x14ac:dyDescent="0.25">
      <c r="F1267" s="330"/>
      <c r="O1267" s="787"/>
    </row>
    <row r="1268" spans="6:15" ht="15.6" x14ac:dyDescent="0.25">
      <c r="F1268" s="330"/>
      <c r="O1268" s="787"/>
    </row>
    <row r="1269" spans="6:15" ht="15.6" x14ac:dyDescent="0.25">
      <c r="F1269" s="330"/>
      <c r="O1269" s="787"/>
    </row>
    <row r="1270" spans="6:15" ht="15.6" x14ac:dyDescent="0.25">
      <c r="F1270" s="330"/>
      <c r="O1270" s="787"/>
    </row>
    <row r="1271" spans="6:15" ht="15.6" x14ac:dyDescent="0.25">
      <c r="F1271" s="330"/>
      <c r="O1271" s="787"/>
    </row>
    <row r="1272" spans="6:15" ht="15.6" x14ac:dyDescent="0.25">
      <c r="F1272" s="330"/>
      <c r="O1272" s="787"/>
    </row>
    <row r="1273" spans="6:15" ht="15.6" x14ac:dyDescent="0.25">
      <c r="F1273" s="330"/>
      <c r="O1273" s="787"/>
    </row>
    <row r="1274" spans="6:15" ht="15.6" x14ac:dyDescent="0.25">
      <c r="F1274" s="330"/>
      <c r="O1274" s="787"/>
    </row>
    <row r="1275" spans="6:15" ht="15.6" x14ac:dyDescent="0.25">
      <c r="F1275" s="330"/>
      <c r="O1275" s="787"/>
    </row>
    <row r="1276" spans="6:15" ht="15.6" x14ac:dyDescent="0.25">
      <c r="F1276" s="330"/>
      <c r="O1276" s="787"/>
    </row>
    <row r="1277" spans="6:15" ht="15.6" x14ac:dyDescent="0.25">
      <c r="F1277" s="330"/>
      <c r="O1277" s="787"/>
    </row>
    <row r="1278" spans="6:15" ht="15.6" x14ac:dyDescent="0.25">
      <c r="F1278" s="330"/>
      <c r="O1278" s="787"/>
    </row>
    <row r="1279" spans="6:15" ht="15.6" x14ac:dyDescent="0.25">
      <c r="F1279" s="330"/>
      <c r="O1279" s="787"/>
    </row>
    <row r="1280" spans="6:15" ht="15.6" x14ac:dyDescent="0.25">
      <c r="F1280" s="330"/>
      <c r="O1280" s="787"/>
    </row>
    <row r="1281" spans="6:15" ht="15.6" x14ac:dyDescent="0.25">
      <c r="F1281" s="330"/>
      <c r="O1281" s="787"/>
    </row>
    <row r="1282" spans="6:15" ht="15.6" x14ac:dyDescent="0.25">
      <c r="F1282" s="330"/>
      <c r="O1282" s="787"/>
    </row>
    <row r="1283" spans="6:15" ht="15.6" x14ac:dyDescent="0.25">
      <c r="F1283" s="330"/>
      <c r="O1283" s="787"/>
    </row>
    <row r="1284" spans="6:15" ht="15.6" x14ac:dyDescent="0.25">
      <c r="F1284" s="330"/>
      <c r="O1284" s="787"/>
    </row>
    <row r="1285" spans="6:15" ht="15.6" x14ac:dyDescent="0.25">
      <c r="F1285" s="330"/>
      <c r="O1285" s="787"/>
    </row>
    <row r="1286" spans="6:15" ht="15.6" x14ac:dyDescent="0.25">
      <c r="F1286" s="330"/>
      <c r="O1286" s="787"/>
    </row>
    <row r="1287" spans="6:15" ht="15.6" x14ac:dyDescent="0.25">
      <c r="F1287" s="330"/>
      <c r="O1287" s="787"/>
    </row>
    <row r="1288" spans="6:15" ht="15.6" x14ac:dyDescent="0.25">
      <c r="F1288" s="330"/>
      <c r="O1288" s="787"/>
    </row>
    <row r="1289" spans="6:15" ht="15.6" x14ac:dyDescent="0.25">
      <c r="F1289" s="330"/>
      <c r="O1289" s="787"/>
    </row>
    <row r="1290" spans="6:15" ht="15.6" x14ac:dyDescent="0.25">
      <c r="F1290" s="330"/>
      <c r="O1290" s="787"/>
    </row>
    <row r="1291" spans="6:15" ht="15.6" x14ac:dyDescent="0.25">
      <c r="F1291" s="330"/>
      <c r="O1291" s="787"/>
    </row>
    <row r="1292" spans="6:15" ht="15.6" x14ac:dyDescent="0.25">
      <c r="F1292" s="330"/>
      <c r="O1292" s="787"/>
    </row>
    <row r="1293" spans="6:15" ht="15.6" x14ac:dyDescent="0.25">
      <c r="F1293" s="330"/>
      <c r="O1293" s="787"/>
    </row>
    <row r="1294" spans="6:15" ht="15.6" x14ac:dyDescent="0.25">
      <c r="F1294" s="330"/>
      <c r="O1294" s="787"/>
    </row>
    <row r="1295" spans="6:15" ht="15.6" x14ac:dyDescent="0.25">
      <c r="F1295" s="330"/>
      <c r="O1295" s="787"/>
    </row>
    <row r="1296" spans="6:15" ht="15.6" x14ac:dyDescent="0.25">
      <c r="F1296" s="330"/>
      <c r="O1296" s="787"/>
    </row>
    <row r="1297" spans="6:15" ht="15.6" x14ac:dyDescent="0.25">
      <c r="F1297" s="330"/>
      <c r="O1297" s="787"/>
    </row>
    <row r="1298" spans="6:15" ht="15.6" x14ac:dyDescent="0.25">
      <c r="F1298" s="330"/>
      <c r="O1298" s="787"/>
    </row>
    <row r="1299" spans="6:15" ht="15.6" x14ac:dyDescent="0.25">
      <c r="F1299" s="330"/>
      <c r="O1299" s="787"/>
    </row>
    <row r="1300" spans="6:15" ht="15.6" x14ac:dyDescent="0.25">
      <c r="F1300" s="330"/>
      <c r="O1300" s="787"/>
    </row>
    <row r="1301" spans="6:15" ht="15.6" x14ac:dyDescent="0.25">
      <c r="F1301" s="330"/>
      <c r="O1301" s="787"/>
    </row>
    <row r="1302" spans="6:15" ht="15.6" x14ac:dyDescent="0.25">
      <c r="F1302" s="330"/>
      <c r="O1302" s="787"/>
    </row>
    <row r="1303" spans="6:15" ht="15.6" x14ac:dyDescent="0.25">
      <c r="F1303" s="330"/>
      <c r="O1303" s="787"/>
    </row>
    <row r="1304" spans="6:15" ht="15.6" x14ac:dyDescent="0.25">
      <c r="F1304" s="330"/>
      <c r="O1304" s="787"/>
    </row>
    <row r="1305" spans="6:15" ht="15.6" x14ac:dyDescent="0.25">
      <c r="F1305" s="330"/>
      <c r="O1305" s="787"/>
    </row>
    <row r="1306" spans="6:15" ht="15.6" x14ac:dyDescent="0.25">
      <c r="F1306" s="330"/>
      <c r="O1306" s="787"/>
    </row>
    <row r="1307" spans="6:15" ht="15.6" x14ac:dyDescent="0.25">
      <c r="F1307" s="330"/>
      <c r="O1307" s="787"/>
    </row>
    <row r="1308" spans="6:15" ht="15.6" x14ac:dyDescent="0.25">
      <c r="F1308" s="330"/>
      <c r="O1308" s="787"/>
    </row>
    <row r="1309" spans="6:15" ht="15.6" x14ac:dyDescent="0.25">
      <c r="F1309" s="330"/>
      <c r="O1309" s="787"/>
    </row>
    <row r="1310" spans="6:15" ht="15.6" x14ac:dyDescent="0.25">
      <c r="F1310" s="330"/>
      <c r="O1310" s="787"/>
    </row>
    <row r="1311" spans="6:15" ht="15.6" x14ac:dyDescent="0.25">
      <c r="F1311" s="330"/>
      <c r="O1311" s="787"/>
    </row>
    <row r="1312" spans="6:15" ht="15.6" x14ac:dyDescent="0.25">
      <c r="F1312" s="330"/>
      <c r="O1312" s="787"/>
    </row>
    <row r="1313" spans="6:15" ht="15.6" x14ac:dyDescent="0.25">
      <c r="F1313" s="330"/>
      <c r="O1313" s="787"/>
    </row>
    <row r="1314" spans="6:15" ht="15.6" x14ac:dyDescent="0.25">
      <c r="F1314" s="330"/>
      <c r="O1314" s="787"/>
    </row>
    <row r="1315" spans="6:15" ht="15.6" x14ac:dyDescent="0.25">
      <c r="F1315" s="330"/>
      <c r="O1315" s="787"/>
    </row>
    <row r="1316" spans="6:15" ht="15.6" x14ac:dyDescent="0.25">
      <c r="F1316" s="330"/>
      <c r="O1316" s="787"/>
    </row>
    <row r="1317" spans="6:15" ht="15.6" x14ac:dyDescent="0.25">
      <c r="F1317" s="330"/>
      <c r="O1317" s="787"/>
    </row>
    <row r="1318" spans="6:15" ht="15.6" x14ac:dyDescent="0.25">
      <c r="F1318" s="330"/>
      <c r="O1318" s="787"/>
    </row>
    <row r="1319" spans="6:15" ht="15.6" x14ac:dyDescent="0.25">
      <c r="F1319" s="330"/>
      <c r="O1319" s="787"/>
    </row>
    <row r="1320" spans="6:15" ht="15.6" x14ac:dyDescent="0.25">
      <c r="F1320" s="330"/>
      <c r="O1320" s="787"/>
    </row>
    <row r="1321" spans="6:15" ht="15.6" x14ac:dyDescent="0.25">
      <c r="F1321" s="330"/>
      <c r="O1321" s="787"/>
    </row>
    <row r="1322" spans="6:15" ht="15.6" x14ac:dyDescent="0.25">
      <c r="F1322" s="330"/>
      <c r="O1322" s="787"/>
    </row>
    <row r="1323" spans="6:15" ht="15.6" x14ac:dyDescent="0.25">
      <c r="F1323" s="330"/>
      <c r="O1323" s="787"/>
    </row>
    <row r="1324" spans="6:15" ht="15.6" x14ac:dyDescent="0.25">
      <c r="F1324" s="330"/>
      <c r="O1324" s="787"/>
    </row>
    <row r="1325" spans="6:15" ht="15.6" x14ac:dyDescent="0.25">
      <c r="F1325" s="330"/>
      <c r="O1325" s="787"/>
    </row>
    <row r="1326" spans="6:15" ht="15.6" x14ac:dyDescent="0.25">
      <c r="F1326" s="330"/>
      <c r="O1326" s="787"/>
    </row>
    <row r="1327" spans="6:15" ht="15.6" x14ac:dyDescent="0.25">
      <c r="F1327" s="330"/>
      <c r="O1327" s="787"/>
    </row>
    <row r="1328" spans="6:15" ht="15.6" x14ac:dyDescent="0.25">
      <c r="F1328" s="330"/>
      <c r="O1328" s="787"/>
    </row>
    <row r="1329" spans="6:15" ht="15.6" x14ac:dyDescent="0.25">
      <c r="F1329" s="330"/>
      <c r="O1329" s="787"/>
    </row>
    <row r="1330" spans="6:15" ht="15.6" x14ac:dyDescent="0.25">
      <c r="F1330" s="330"/>
      <c r="O1330" s="787"/>
    </row>
    <row r="1331" spans="6:15" ht="15.6" x14ac:dyDescent="0.25">
      <c r="F1331" s="330"/>
      <c r="O1331" s="787"/>
    </row>
    <row r="1332" spans="6:15" ht="15.6" x14ac:dyDescent="0.25">
      <c r="F1332" s="330"/>
      <c r="O1332" s="787"/>
    </row>
    <row r="1333" spans="6:15" ht="15.6" x14ac:dyDescent="0.25">
      <c r="F1333" s="330"/>
      <c r="O1333" s="787"/>
    </row>
    <row r="1334" spans="6:15" ht="15.6" x14ac:dyDescent="0.25">
      <c r="F1334" s="330"/>
      <c r="O1334" s="787"/>
    </row>
    <row r="1335" spans="6:15" ht="15.6" x14ac:dyDescent="0.25">
      <c r="F1335" s="330"/>
      <c r="O1335" s="787"/>
    </row>
    <row r="1336" spans="6:15" ht="15.6" x14ac:dyDescent="0.25">
      <c r="F1336" s="330"/>
      <c r="O1336" s="787"/>
    </row>
    <row r="1337" spans="6:15" ht="15.6" x14ac:dyDescent="0.25">
      <c r="F1337" s="330"/>
      <c r="O1337" s="787"/>
    </row>
    <row r="1338" spans="6:15" ht="15.6" x14ac:dyDescent="0.25">
      <c r="F1338" s="330"/>
      <c r="O1338" s="787"/>
    </row>
    <row r="1339" spans="6:15" ht="15.6" x14ac:dyDescent="0.25">
      <c r="F1339" s="330"/>
      <c r="O1339" s="787"/>
    </row>
    <row r="1340" spans="6:15" ht="15.6" x14ac:dyDescent="0.25">
      <c r="F1340" s="330"/>
      <c r="O1340" s="787"/>
    </row>
    <row r="1341" spans="6:15" ht="15.6" x14ac:dyDescent="0.25">
      <c r="F1341" s="330"/>
      <c r="O1341" s="787"/>
    </row>
    <row r="1342" spans="6:15" ht="15.6" x14ac:dyDescent="0.25">
      <c r="F1342" s="330"/>
      <c r="O1342" s="787"/>
    </row>
    <row r="1343" spans="6:15" ht="15.6" x14ac:dyDescent="0.25">
      <c r="F1343" s="330"/>
      <c r="O1343" s="787"/>
    </row>
    <row r="1344" spans="6:15" ht="15.6" x14ac:dyDescent="0.25">
      <c r="F1344" s="330"/>
      <c r="O1344" s="787"/>
    </row>
    <row r="1345" spans="6:15" ht="15.6" x14ac:dyDescent="0.25">
      <c r="F1345" s="330"/>
      <c r="O1345" s="787"/>
    </row>
    <row r="1346" spans="6:15" ht="15.6" x14ac:dyDescent="0.25">
      <c r="F1346" s="330"/>
      <c r="O1346" s="787"/>
    </row>
    <row r="1347" spans="6:15" ht="15.6" x14ac:dyDescent="0.25">
      <c r="F1347" s="330"/>
      <c r="O1347" s="787"/>
    </row>
    <row r="1348" spans="6:15" ht="15.6" x14ac:dyDescent="0.25">
      <c r="F1348" s="330"/>
      <c r="O1348" s="787"/>
    </row>
    <row r="1349" spans="6:15" ht="15.6" x14ac:dyDescent="0.25">
      <c r="F1349" s="330"/>
      <c r="O1349" s="787"/>
    </row>
    <row r="1350" spans="6:15" ht="15.6" x14ac:dyDescent="0.25">
      <c r="F1350" s="330"/>
      <c r="O1350" s="787"/>
    </row>
    <row r="1351" spans="6:15" ht="15.6" x14ac:dyDescent="0.25">
      <c r="F1351" s="330"/>
      <c r="O1351" s="787"/>
    </row>
    <row r="1352" spans="6:15" ht="15.6" x14ac:dyDescent="0.25">
      <c r="F1352" s="330"/>
      <c r="O1352" s="787"/>
    </row>
    <row r="1353" spans="6:15" ht="15.6" x14ac:dyDescent="0.25">
      <c r="F1353" s="330"/>
      <c r="O1353" s="787"/>
    </row>
    <row r="1354" spans="6:15" ht="15.6" x14ac:dyDescent="0.25">
      <c r="F1354" s="330"/>
      <c r="O1354" s="787"/>
    </row>
    <row r="1355" spans="6:15" ht="15.6" x14ac:dyDescent="0.25">
      <c r="F1355" s="330"/>
      <c r="O1355" s="787"/>
    </row>
    <row r="1356" spans="6:15" ht="15.6" x14ac:dyDescent="0.25">
      <c r="F1356" s="330"/>
      <c r="O1356" s="787"/>
    </row>
    <row r="1357" spans="6:15" ht="15.6" x14ac:dyDescent="0.25">
      <c r="F1357" s="330"/>
      <c r="O1357" s="787"/>
    </row>
    <row r="1358" spans="6:15" ht="15.6" x14ac:dyDescent="0.25">
      <c r="F1358" s="330"/>
      <c r="O1358" s="787"/>
    </row>
    <row r="1359" spans="6:15" ht="15.6" x14ac:dyDescent="0.25">
      <c r="F1359" s="330"/>
      <c r="O1359" s="787"/>
    </row>
    <row r="1360" spans="6:15" ht="15.6" x14ac:dyDescent="0.25">
      <c r="F1360" s="330"/>
      <c r="O1360" s="787"/>
    </row>
    <row r="1361" spans="6:15" ht="15.6" x14ac:dyDescent="0.25">
      <c r="F1361" s="330"/>
      <c r="O1361" s="787"/>
    </row>
    <row r="1362" spans="6:15" ht="15.6" x14ac:dyDescent="0.25">
      <c r="F1362" s="330"/>
      <c r="O1362" s="787"/>
    </row>
    <row r="1363" spans="6:15" ht="15.6" x14ac:dyDescent="0.25">
      <c r="F1363" s="330"/>
      <c r="O1363" s="787"/>
    </row>
    <row r="1364" spans="6:15" ht="15.6" x14ac:dyDescent="0.25">
      <c r="F1364" s="330"/>
      <c r="O1364" s="787"/>
    </row>
    <row r="1365" spans="6:15" ht="15.6" x14ac:dyDescent="0.25">
      <c r="F1365" s="330"/>
      <c r="O1365" s="787"/>
    </row>
    <row r="1366" spans="6:15" ht="15.6" x14ac:dyDescent="0.25">
      <c r="F1366" s="330"/>
      <c r="O1366" s="787"/>
    </row>
    <row r="1367" spans="6:15" ht="15.6" x14ac:dyDescent="0.25">
      <c r="F1367" s="330"/>
      <c r="O1367" s="787"/>
    </row>
    <row r="1368" spans="6:15" ht="15.6" x14ac:dyDescent="0.25">
      <c r="F1368" s="330"/>
      <c r="O1368" s="787"/>
    </row>
    <row r="1369" spans="6:15" ht="15.6" x14ac:dyDescent="0.25">
      <c r="F1369" s="330"/>
      <c r="O1369" s="787"/>
    </row>
    <row r="1370" spans="6:15" ht="15.6" x14ac:dyDescent="0.25">
      <c r="F1370" s="330"/>
      <c r="O1370" s="787"/>
    </row>
    <row r="1371" spans="6:15" ht="15.6" x14ac:dyDescent="0.25">
      <c r="F1371" s="330"/>
      <c r="O1371" s="787"/>
    </row>
    <row r="1372" spans="6:15" ht="15.6" x14ac:dyDescent="0.25">
      <c r="F1372" s="330"/>
      <c r="O1372" s="787"/>
    </row>
    <row r="1373" spans="6:15" ht="15.6" x14ac:dyDescent="0.25">
      <c r="F1373" s="330"/>
      <c r="O1373" s="787"/>
    </row>
    <row r="1374" spans="6:15" ht="15.6" x14ac:dyDescent="0.25">
      <c r="F1374" s="330"/>
      <c r="O1374" s="787"/>
    </row>
    <row r="1375" spans="6:15" ht="15.6" x14ac:dyDescent="0.25">
      <c r="F1375" s="330"/>
      <c r="O1375" s="787"/>
    </row>
    <row r="1376" spans="6:15" ht="15.6" x14ac:dyDescent="0.25">
      <c r="F1376" s="330"/>
      <c r="O1376" s="787"/>
    </row>
    <row r="1377" spans="6:15" ht="15.6" x14ac:dyDescent="0.25">
      <c r="F1377" s="330"/>
      <c r="O1377" s="787"/>
    </row>
    <row r="1378" spans="6:15" ht="15.6" x14ac:dyDescent="0.25">
      <c r="F1378" s="330"/>
      <c r="O1378" s="787"/>
    </row>
    <row r="1379" spans="6:15" ht="15.6" x14ac:dyDescent="0.25">
      <c r="F1379" s="330"/>
      <c r="O1379" s="787"/>
    </row>
    <row r="1380" spans="6:15" ht="15.6" x14ac:dyDescent="0.25">
      <c r="F1380" s="330"/>
      <c r="O1380" s="787"/>
    </row>
    <row r="1381" spans="6:15" ht="15.6" x14ac:dyDescent="0.25">
      <c r="F1381" s="330"/>
      <c r="O1381" s="787"/>
    </row>
    <row r="1382" spans="6:15" ht="15.6" x14ac:dyDescent="0.25">
      <c r="F1382" s="330"/>
      <c r="O1382" s="787"/>
    </row>
    <row r="1383" spans="6:15" ht="15.6" x14ac:dyDescent="0.25">
      <c r="F1383" s="330"/>
      <c r="O1383" s="787"/>
    </row>
    <row r="1384" spans="6:15" ht="15.6" x14ac:dyDescent="0.25">
      <c r="F1384" s="330"/>
      <c r="O1384" s="787"/>
    </row>
    <row r="1385" spans="6:15" ht="15.6" x14ac:dyDescent="0.25">
      <c r="F1385" s="330"/>
      <c r="O1385" s="787"/>
    </row>
    <row r="1386" spans="6:15" ht="15.6" x14ac:dyDescent="0.25">
      <c r="F1386" s="330"/>
      <c r="O1386" s="787"/>
    </row>
    <row r="1387" spans="6:15" ht="15.6" x14ac:dyDescent="0.25">
      <c r="F1387" s="330"/>
      <c r="O1387" s="787"/>
    </row>
    <row r="1388" spans="6:15" ht="15.6" x14ac:dyDescent="0.25">
      <c r="F1388" s="330"/>
      <c r="O1388" s="787"/>
    </row>
    <row r="1389" spans="6:15" ht="15.6" x14ac:dyDescent="0.25">
      <c r="F1389" s="330"/>
      <c r="O1389" s="787"/>
    </row>
    <row r="1390" spans="6:15" ht="15.6" x14ac:dyDescent="0.25">
      <c r="F1390" s="330"/>
      <c r="O1390" s="787"/>
    </row>
    <row r="1391" spans="6:15" ht="15.6" x14ac:dyDescent="0.25">
      <c r="F1391" s="330"/>
      <c r="O1391" s="787"/>
    </row>
    <row r="1392" spans="6:15" ht="15.6" x14ac:dyDescent="0.25">
      <c r="F1392" s="330"/>
      <c r="O1392" s="787"/>
    </row>
    <row r="1393" spans="6:15" ht="15.6" x14ac:dyDescent="0.25">
      <c r="F1393" s="330"/>
      <c r="O1393" s="787"/>
    </row>
    <row r="1394" spans="6:15" ht="15.6" x14ac:dyDescent="0.25">
      <c r="F1394" s="330"/>
      <c r="O1394" s="787"/>
    </row>
    <row r="1395" spans="6:15" ht="15.6" x14ac:dyDescent="0.25">
      <c r="F1395" s="330"/>
      <c r="O1395" s="787"/>
    </row>
    <row r="1396" spans="6:15" ht="15.6" x14ac:dyDescent="0.25">
      <c r="F1396" s="330"/>
      <c r="O1396" s="787"/>
    </row>
    <row r="1397" spans="6:15" ht="15.6" x14ac:dyDescent="0.25">
      <c r="F1397" s="330"/>
      <c r="O1397" s="787"/>
    </row>
    <row r="1398" spans="6:15" ht="15.6" x14ac:dyDescent="0.25">
      <c r="F1398" s="330"/>
      <c r="O1398" s="787"/>
    </row>
    <row r="1399" spans="6:15" ht="15.6" x14ac:dyDescent="0.25">
      <c r="F1399" s="330"/>
      <c r="O1399" s="787"/>
    </row>
    <row r="1400" spans="6:15" ht="15.6" x14ac:dyDescent="0.25">
      <c r="F1400" s="330"/>
      <c r="O1400" s="787"/>
    </row>
    <row r="1401" spans="6:15" ht="15.6" x14ac:dyDescent="0.25">
      <c r="F1401" s="330"/>
      <c r="O1401" s="787"/>
    </row>
    <row r="1402" spans="6:15" ht="15.6" x14ac:dyDescent="0.25">
      <c r="F1402" s="330"/>
      <c r="O1402" s="787"/>
    </row>
    <row r="1403" spans="6:15" ht="15.6" x14ac:dyDescent="0.25">
      <c r="F1403" s="330"/>
      <c r="O1403" s="787"/>
    </row>
    <row r="1404" spans="6:15" ht="15.6" x14ac:dyDescent="0.25">
      <c r="F1404" s="330"/>
      <c r="O1404" s="787"/>
    </row>
    <row r="1405" spans="6:15" ht="15.6" x14ac:dyDescent="0.25">
      <c r="F1405" s="330"/>
      <c r="O1405" s="787"/>
    </row>
    <row r="1406" spans="6:15" ht="15.6" x14ac:dyDescent="0.25">
      <c r="F1406" s="330"/>
      <c r="O1406" s="787"/>
    </row>
    <row r="1407" spans="6:15" ht="15.6" x14ac:dyDescent="0.25">
      <c r="F1407" s="330"/>
      <c r="O1407" s="787"/>
    </row>
    <row r="1408" spans="6:15" ht="15.6" x14ac:dyDescent="0.25">
      <c r="F1408" s="330"/>
      <c r="O1408" s="787"/>
    </row>
    <row r="1409" spans="6:15" ht="15.6" x14ac:dyDescent="0.25">
      <c r="F1409" s="330"/>
      <c r="O1409" s="787"/>
    </row>
    <row r="1410" spans="6:15" ht="15.6" x14ac:dyDescent="0.25">
      <c r="F1410" s="330"/>
      <c r="O1410" s="787"/>
    </row>
    <row r="1411" spans="6:15" ht="15.6" x14ac:dyDescent="0.25">
      <c r="F1411" s="330"/>
      <c r="O1411" s="787"/>
    </row>
    <row r="1412" spans="6:15" ht="15.6" x14ac:dyDescent="0.25">
      <c r="F1412" s="330"/>
      <c r="O1412" s="787"/>
    </row>
    <row r="1413" spans="6:15" ht="15.6" x14ac:dyDescent="0.25">
      <c r="F1413" s="330"/>
      <c r="O1413" s="787"/>
    </row>
    <row r="1414" spans="6:15" ht="15.6" x14ac:dyDescent="0.25">
      <c r="F1414" s="330"/>
      <c r="O1414" s="787"/>
    </row>
    <row r="1415" spans="6:15" ht="15.6" x14ac:dyDescent="0.25">
      <c r="F1415" s="330"/>
      <c r="O1415" s="787"/>
    </row>
    <row r="1416" spans="6:15" ht="15.6" x14ac:dyDescent="0.25">
      <c r="F1416" s="330"/>
      <c r="O1416" s="787"/>
    </row>
    <row r="1417" spans="6:15" ht="15.6" x14ac:dyDescent="0.25">
      <c r="F1417" s="330"/>
      <c r="O1417" s="787"/>
    </row>
    <row r="1418" spans="6:15" ht="15.6" x14ac:dyDescent="0.25">
      <c r="F1418" s="330"/>
      <c r="O1418" s="787"/>
    </row>
    <row r="1419" spans="6:15" ht="15.6" x14ac:dyDescent="0.25">
      <c r="F1419" s="330"/>
      <c r="O1419" s="787"/>
    </row>
    <row r="1420" spans="6:15" ht="15.6" x14ac:dyDescent="0.25">
      <c r="F1420" s="330"/>
      <c r="O1420" s="787"/>
    </row>
    <row r="1421" spans="6:15" ht="15.6" x14ac:dyDescent="0.25">
      <c r="F1421" s="330"/>
      <c r="O1421" s="787"/>
    </row>
    <row r="1422" spans="6:15" ht="15.6" x14ac:dyDescent="0.25">
      <c r="F1422" s="330"/>
      <c r="O1422" s="787"/>
    </row>
    <row r="1423" spans="6:15" ht="15.6" x14ac:dyDescent="0.25">
      <c r="F1423" s="330"/>
      <c r="O1423" s="787"/>
    </row>
    <row r="1424" spans="6:15" ht="15.6" x14ac:dyDescent="0.25">
      <c r="F1424" s="330"/>
      <c r="O1424" s="787"/>
    </row>
    <row r="1425" spans="6:15" ht="15.6" x14ac:dyDescent="0.25">
      <c r="F1425" s="330"/>
      <c r="O1425" s="787"/>
    </row>
    <row r="1426" spans="6:15" ht="15.6" x14ac:dyDescent="0.25">
      <c r="F1426" s="330"/>
      <c r="O1426" s="787"/>
    </row>
    <row r="1427" spans="6:15" ht="15.6" x14ac:dyDescent="0.25">
      <c r="F1427" s="330"/>
      <c r="O1427" s="787"/>
    </row>
    <row r="1428" spans="6:15" ht="15.6" x14ac:dyDescent="0.25">
      <c r="F1428" s="330"/>
      <c r="O1428" s="787"/>
    </row>
    <row r="1429" spans="6:15" ht="15.6" x14ac:dyDescent="0.25">
      <c r="F1429" s="330"/>
      <c r="O1429" s="787"/>
    </row>
    <row r="1430" spans="6:15" ht="15.6" x14ac:dyDescent="0.25">
      <c r="F1430" s="330"/>
      <c r="O1430" s="787"/>
    </row>
    <row r="1431" spans="6:15" ht="15.6" x14ac:dyDescent="0.25">
      <c r="F1431" s="330"/>
      <c r="O1431" s="787"/>
    </row>
    <row r="1432" spans="6:15" ht="15.6" x14ac:dyDescent="0.25">
      <c r="F1432" s="330"/>
      <c r="O1432" s="787"/>
    </row>
    <row r="1433" spans="6:15" ht="15.6" x14ac:dyDescent="0.25">
      <c r="F1433" s="330"/>
      <c r="O1433" s="787"/>
    </row>
    <row r="1434" spans="6:15" ht="15.6" x14ac:dyDescent="0.25">
      <c r="F1434" s="330"/>
      <c r="O1434" s="787"/>
    </row>
    <row r="1435" spans="6:15" ht="15.6" x14ac:dyDescent="0.25">
      <c r="F1435" s="330"/>
      <c r="O1435" s="787"/>
    </row>
    <row r="1436" spans="6:15" ht="15.6" x14ac:dyDescent="0.25">
      <c r="F1436" s="330"/>
      <c r="O1436" s="787"/>
    </row>
    <row r="1437" spans="6:15" ht="15.6" x14ac:dyDescent="0.25">
      <c r="F1437" s="330"/>
      <c r="O1437" s="787"/>
    </row>
    <row r="1438" spans="6:15" ht="15.6" x14ac:dyDescent="0.25">
      <c r="F1438" s="330"/>
      <c r="O1438" s="787"/>
    </row>
    <row r="1439" spans="6:15" ht="15.6" x14ac:dyDescent="0.25">
      <c r="F1439" s="330"/>
      <c r="O1439" s="787"/>
    </row>
    <row r="1440" spans="6:15" ht="15.6" x14ac:dyDescent="0.25">
      <c r="F1440" s="330"/>
      <c r="O1440" s="787"/>
    </row>
    <row r="1441" spans="6:15" ht="15.6" x14ac:dyDescent="0.25">
      <c r="F1441" s="330"/>
      <c r="O1441" s="787"/>
    </row>
    <row r="1442" spans="6:15" ht="15.6" x14ac:dyDescent="0.25">
      <c r="F1442" s="330"/>
      <c r="O1442" s="787"/>
    </row>
    <row r="1443" spans="6:15" ht="15.6" x14ac:dyDescent="0.25">
      <c r="F1443" s="330"/>
      <c r="O1443" s="787"/>
    </row>
    <row r="1444" spans="6:15" ht="15.6" x14ac:dyDescent="0.25">
      <c r="F1444" s="330"/>
      <c r="O1444" s="787"/>
    </row>
    <row r="1445" spans="6:15" ht="15.6" x14ac:dyDescent="0.25">
      <c r="F1445" s="330"/>
      <c r="O1445" s="787"/>
    </row>
    <row r="1446" spans="6:15" ht="15.6" x14ac:dyDescent="0.25">
      <c r="F1446" s="330"/>
      <c r="O1446" s="787"/>
    </row>
    <row r="1447" spans="6:15" ht="15.6" x14ac:dyDescent="0.25">
      <c r="F1447" s="330"/>
      <c r="O1447" s="787"/>
    </row>
    <row r="1448" spans="6:15" ht="15.6" x14ac:dyDescent="0.25">
      <c r="F1448" s="330"/>
      <c r="O1448" s="787"/>
    </row>
    <row r="1449" spans="6:15" ht="15.6" x14ac:dyDescent="0.25">
      <c r="F1449" s="330"/>
      <c r="O1449" s="787"/>
    </row>
    <row r="1450" spans="6:15" ht="15.6" x14ac:dyDescent="0.25">
      <c r="F1450" s="330"/>
      <c r="O1450" s="787"/>
    </row>
    <row r="1451" spans="6:15" ht="15.6" x14ac:dyDescent="0.25">
      <c r="F1451" s="330"/>
      <c r="O1451" s="787"/>
    </row>
    <row r="1452" spans="6:15" ht="15.6" x14ac:dyDescent="0.25">
      <c r="F1452" s="330"/>
      <c r="O1452" s="787"/>
    </row>
    <row r="1453" spans="6:15" ht="15.6" x14ac:dyDescent="0.25">
      <c r="F1453" s="330"/>
      <c r="O1453" s="787"/>
    </row>
    <row r="1454" spans="6:15" ht="15.6" x14ac:dyDescent="0.25">
      <c r="F1454" s="330"/>
      <c r="O1454" s="787"/>
    </row>
    <row r="1455" spans="6:15" ht="15.6" x14ac:dyDescent="0.25">
      <c r="F1455" s="330"/>
      <c r="O1455" s="787"/>
    </row>
    <row r="1456" spans="6:15" ht="15.6" x14ac:dyDescent="0.25">
      <c r="F1456" s="330"/>
      <c r="O1456" s="787"/>
    </row>
    <row r="1457" spans="6:15" ht="15.6" x14ac:dyDescent="0.25">
      <c r="F1457" s="330"/>
      <c r="O1457" s="787"/>
    </row>
    <row r="1458" spans="6:15" ht="15.6" x14ac:dyDescent="0.25">
      <c r="F1458" s="330"/>
      <c r="O1458" s="787"/>
    </row>
    <row r="1459" spans="6:15" ht="15.6" x14ac:dyDescent="0.25">
      <c r="F1459" s="330"/>
      <c r="O1459" s="787"/>
    </row>
    <row r="1460" spans="6:15" ht="15.6" x14ac:dyDescent="0.25">
      <c r="F1460" s="330"/>
      <c r="O1460" s="787"/>
    </row>
    <row r="1461" spans="6:15" ht="15.6" x14ac:dyDescent="0.25">
      <c r="F1461" s="330"/>
      <c r="O1461" s="787"/>
    </row>
    <row r="1462" spans="6:15" ht="15.6" x14ac:dyDescent="0.25">
      <c r="F1462" s="330"/>
      <c r="O1462" s="787"/>
    </row>
    <row r="1463" spans="6:15" ht="15.6" x14ac:dyDescent="0.25">
      <c r="F1463" s="330"/>
      <c r="O1463" s="787"/>
    </row>
    <row r="1464" spans="6:15" ht="15.75" customHeight="1" x14ac:dyDescent="0.25">
      <c r="F1464" s="330"/>
      <c r="O1464" s="787"/>
    </row>
    <row r="1465" spans="6:15" ht="15.75" customHeight="1" x14ac:dyDescent="0.25">
      <c r="F1465" s="330"/>
      <c r="O1465" s="787"/>
    </row>
    <row r="1466" spans="6:15" ht="15.75" customHeight="1" x14ac:dyDescent="0.25">
      <c r="F1466" s="330"/>
      <c r="O1466" s="787"/>
    </row>
    <row r="1467" spans="6:15" ht="15.75" customHeight="1" x14ac:dyDescent="0.25">
      <c r="F1467" s="330"/>
      <c r="O1467" s="787"/>
    </row>
    <row r="1468" spans="6:15" ht="15.75" customHeight="1" x14ac:dyDescent="0.25">
      <c r="F1468" s="330"/>
      <c r="O1468" s="787"/>
    </row>
    <row r="1469" spans="6:15" ht="15.75" customHeight="1" x14ac:dyDescent="0.25">
      <c r="F1469" s="330"/>
      <c r="O1469" s="787"/>
    </row>
    <row r="1470" spans="6:15" ht="15.75" customHeight="1" x14ac:dyDescent="0.25">
      <c r="F1470" s="330"/>
      <c r="O1470" s="787"/>
    </row>
    <row r="1471" spans="6:15" ht="15.75" customHeight="1" x14ac:dyDescent="0.25">
      <c r="F1471" s="330"/>
      <c r="O1471" s="787"/>
    </row>
    <row r="1472" spans="6:15" ht="15.75" customHeight="1" x14ac:dyDescent="0.25">
      <c r="F1472" s="330"/>
      <c r="O1472" s="787"/>
    </row>
    <row r="1473" spans="6:15" ht="15.75" customHeight="1" x14ac:dyDescent="0.25">
      <c r="F1473" s="330"/>
      <c r="O1473" s="787"/>
    </row>
    <row r="1474" spans="6:15" ht="15.75" customHeight="1" x14ac:dyDescent="0.25">
      <c r="F1474" s="330"/>
      <c r="O1474" s="787"/>
    </row>
    <row r="1475" spans="6:15" ht="15.75" customHeight="1" x14ac:dyDescent="0.25">
      <c r="F1475" s="330"/>
      <c r="O1475" s="787"/>
    </row>
    <row r="1476" spans="6:15" ht="15.75" customHeight="1" x14ac:dyDescent="0.25">
      <c r="F1476" s="330"/>
      <c r="O1476" s="787"/>
    </row>
    <row r="1477" spans="6:15" ht="15.75" customHeight="1" x14ac:dyDescent="0.25">
      <c r="F1477" s="330"/>
      <c r="O1477" s="787"/>
    </row>
    <row r="1478" spans="6:15" ht="15.75" customHeight="1" x14ac:dyDescent="0.25">
      <c r="F1478" s="330"/>
      <c r="O1478" s="787"/>
    </row>
    <row r="1479" spans="6:15" ht="15.75" customHeight="1" x14ac:dyDescent="0.25">
      <c r="F1479" s="330"/>
      <c r="O1479" s="787"/>
    </row>
    <row r="1480" spans="6:15" ht="15.75" customHeight="1" x14ac:dyDescent="0.25">
      <c r="F1480" s="330"/>
      <c r="O1480" s="787"/>
    </row>
    <row r="1481" spans="6:15" ht="15.75" customHeight="1" x14ac:dyDescent="0.25">
      <c r="F1481" s="330"/>
      <c r="O1481" s="787"/>
    </row>
    <row r="1482" spans="6:15" ht="15.75" customHeight="1" x14ac:dyDescent="0.25">
      <c r="F1482" s="330"/>
      <c r="O1482" s="787"/>
    </row>
    <row r="1483" spans="6:15" ht="15.75" customHeight="1" x14ac:dyDescent="0.25">
      <c r="F1483" s="330"/>
      <c r="O1483" s="787"/>
    </row>
    <row r="1484" spans="6:15" ht="15.75" customHeight="1" x14ac:dyDescent="0.25">
      <c r="F1484" s="330"/>
      <c r="O1484" s="787"/>
    </row>
    <row r="1485" spans="6:15" ht="15.75" customHeight="1" x14ac:dyDescent="0.25">
      <c r="F1485" s="330"/>
      <c r="O1485" s="787"/>
    </row>
    <row r="1486" spans="6:15" ht="15.75" customHeight="1" x14ac:dyDescent="0.25">
      <c r="F1486" s="330"/>
      <c r="O1486" s="787"/>
    </row>
    <row r="1487" spans="6:15" ht="15.75" customHeight="1" x14ac:dyDescent="0.25">
      <c r="F1487" s="330"/>
      <c r="O1487" s="787"/>
    </row>
    <row r="1488" spans="6:15" ht="15.75" customHeight="1" x14ac:dyDescent="0.25">
      <c r="F1488" s="330"/>
      <c r="O1488" s="787"/>
    </row>
    <row r="1489" spans="6:15" ht="15.75" customHeight="1" x14ac:dyDescent="0.25">
      <c r="F1489" s="330"/>
      <c r="O1489" s="787"/>
    </row>
    <row r="1490" spans="6:15" ht="15.75" customHeight="1" x14ac:dyDescent="0.25">
      <c r="F1490" s="330"/>
      <c r="O1490" s="787"/>
    </row>
    <row r="1491" spans="6:15" ht="15.75" customHeight="1" x14ac:dyDescent="0.25">
      <c r="F1491" s="330"/>
      <c r="O1491" s="787"/>
    </row>
    <row r="1492" spans="6:15" ht="15.75" customHeight="1" x14ac:dyDescent="0.25">
      <c r="F1492" s="330"/>
      <c r="O1492" s="787"/>
    </row>
    <row r="1493" spans="6:15" ht="15.75" customHeight="1" x14ac:dyDescent="0.25">
      <c r="F1493" s="330"/>
      <c r="O1493" s="787"/>
    </row>
    <row r="1494" spans="6:15" ht="15.75" customHeight="1" x14ac:dyDescent="0.25">
      <c r="F1494" s="330"/>
      <c r="O1494" s="787"/>
    </row>
    <row r="1495" spans="6:15" ht="15.75" customHeight="1" x14ac:dyDescent="0.25">
      <c r="F1495" s="330"/>
      <c r="O1495" s="787"/>
    </row>
    <row r="1496" spans="6:15" ht="15.75" customHeight="1" x14ac:dyDescent="0.25">
      <c r="F1496" s="330"/>
      <c r="O1496" s="787"/>
    </row>
    <row r="1497" spans="6:15" ht="15.75" customHeight="1" x14ac:dyDescent="0.25">
      <c r="F1497" s="330"/>
      <c r="O1497" s="787"/>
    </row>
    <row r="1498" spans="6:15" ht="15.75" customHeight="1" x14ac:dyDescent="0.25">
      <c r="F1498" s="330"/>
      <c r="O1498" s="787"/>
    </row>
    <row r="1499" spans="6:15" ht="15.75" customHeight="1" x14ac:dyDescent="0.25">
      <c r="F1499" s="330"/>
      <c r="O1499" s="787"/>
    </row>
    <row r="1500" spans="6:15" ht="15.75" customHeight="1" x14ac:dyDescent="0.25">
      <c r="F1500" s="330"/>
      <c r="O1500" s="787"/>
    </row>
    <row r="1501" spans="6:15" ht="15.75" customHeight="1" x14ac:dyDescent="0.25">
      <c r="F1501" s="330"/>
      <c r="O1501" s="787"/>
    </row>
    <row r="1502" spans="6:15" ht="15.75" customHeight="1" x14ac:dyDescent="0.25">
      <c r="F1502" s="330"/>
      <c r="O1502" s="787"/>
    </row>
    <row r="1503" spans="6:15" ht="15.75" customHeight="1" x14ac:dyDescent="0.25">
      <c r="F1503" s="330"/>
      <c r="O1503" s="787"/>
    </row>
    <row r="1504" spans="6:15" ht="15.75" customHeight="1" x14ac:dyDescent="0.25">
      <c r="F1504" s="330"/>
      <c r="O1504" s="787"/>
    </row>
    <row r="1505" spans="6:15" ht="15.75" customHeight="1" x14ac:dyDescent="0.25">
      <c r="F1505" s="330"/>
      <c r="O1505" s="787"/>
    </row>
    <row r="1506" spans="6:15" ht="15.75" customHeight="1" x14ac:dyDescent="0.25">
      <c r="F1506" s="330"/>
      <c r="O1506" s="787"/>
    </row>
    <row r="1507" spans="6:15" ht="15.75" customHeight="1" x14ac:dyDescent="0.25">
      <c r="F1507" s="330"/>
      <c r="O1507" s="787"/>
    </row>
    <row r="1508" spans="6:15" ht="15.75" customHeight="1" x14ac:dyDescent="0.25">
      <c r="F1508" s="330"/>
      <c r="O1508" s="787"/>
    </row>
    <row r="1509" spans="6:15" ht="15.75" customHeight="1" x14ac:dyDescent="0.25">
      <c r="F1509" s="330"/>
      <c r="O1509" s="787"/>
    </row>
    <row r="1510" spans="6:15" ht="15.75" customHeight="1" x14ac:dyDescent="0.25">
      <c r="F1510" s="330"/>
      <c r="O1510" s="787"/>
    </row>
    <row r="1511" spans="6:15" ht="15.75" customHeight="1" x14ac:dyDescent="0.25">
      <c r="F1511" s="330"/>
      <c r="O1511" s="787"/>
    </row>
    <row r="1512" spans="6:15" ht="15.75" customHeight="1" x14ac:dyDescent="0.25">
      <c r="F1512" s="330"/>
      <c r="O1512" s="787"/>
    </row>
    <row r="1513" spans="6:15" ht="15.75" customHeight="1" x14ac:dyDescent="0.25">
      <c r="F1513" s="330"/>
      <c r="O1513" s="787"/>
    </row>
    <row r="1514" spans="6:15" ht="15.75" customHeight="1" x14ac:dyDescent="0.25">
      <c r="F1514" s="330"/>
      <c r="O1514" s="787"/>
    </row>
    <row r="1515" spans="6:15" ht="15.75" customHeight="1" x14ac:dyDescent="0.25">
      <c r="F1515" s="330"/>
      <c r="O1515" s="787"/>
    </row>
    <row r="1516" spans="6:15" ht="15.75" customHeight="1" x14ac:dyDescent="0.25">
      <c r="F1516" s="330"/>
      <c r="O1516" s="787"/>
    </row>
    <row r="1517" spans="6:15" ht="15.75" customHeight="1" x14ac:dyDescent="0.25">
      <c r="F1517" s="330"/>
      <c r="O1517" s="787"/>
    </row>
    <row r="1518" spans="6:15" ht="15.75" customHeight="1" x14ac:dyDescent="0.25">
      <c r="F1518" s="330"/>
      <c r="O1518" s="787"/>
    </row>
    <row r="1519" spans="6:15" ht="15.75" customHeight="1" x14ac:dyDescent="0.25">
      <c r="F1519" s="330"/>
      <c r="O1519" s="787"/>
    </row>
    <row r="1520" spans="6:15" ht="15.75" customHeight="1" x14ac:dyDescent="0.25">
      <c r="F1520" s="330"/>
      <c r="O1520" s="787"/>
    </row>
    <row r="1521" spans="6:15" ht="15.75" customHeight="1" x14ac:dyDescent="0.25">
      <c r="F1521" s="330"/>
      <c r="O1521" s="787"/>
    </row>
    <row r="1522" spans="6:15" ht="15.75" customHeight="1" x14ac:dyDescent="0.25">
      <c r="F1522" s="330"/>
      <c r="O1522" s="787"/>
    </row>
    <row r="1523" spans="6:15" ht="15.75" customHeight="1" x14ac:dyDescent="0.25">
      <c r="F1523" s="330"/>
      <c r="O1523" s="787"/>
    </row>
    <row r="1524" spans="6:15" ht="15.75" customHeight="1" x14ac:dyDescent="0.25">
      <c r="F1524" s="330"/>
      <c r="O1524" s="787"/>
    </row>
    <row r="1525" spans="6:15" ht="15.75" customHeight="1" x14ac:dyDescent="0.25">
      <c r="F1525" s="330"/>
      <c r="O1525" s="787"/>
    </row>
    <row r="1526" spans="6:15" ht="15.75" customHeight="1" x14ac:dyDescent="0.25">
      <c r="F1526" s="330"/>
      <c r="O1526" s="787"/>
    </row>
    <row r="1527" spans="6:15" ht="15.75" customHeight="1" x14ac:dyDescent="0.25">
      <c r="F1527" s="330"/>
      <c r="O1527" s="787"/>
    </row>
    <row r="1528" spans="6:15" ht="15.75" customHeight="1" x14ac:dyDescent="0.25">
      <c r="F1528" s="330"/>
      <c r="O1528" s="787"/>
    </row>
    <row r="1529" spans="6:15" ht="15.75" customHeight="1" x14ac:dyDescent="0.25">
      <c r="F1529" s="330"/>
      <c r="O1529" s="787"/>
    </row>
    <row r="1530" spans="6:15" ht="15.75" customHeight="1" x14ac:dyDescent="0.25">
      <c r="F1530" s="330"/>
      <c r="O1530" s="787"/>
    </row>
    <row r="1531" spans="6:15" ht="15.75" customHeight="1" x14ac:dyDescent="0.25">
      <c r="F1531" s="330"/>
      <c r="O1531" s="787"/>
    </row>
    <row r="1532" spans="6:15" ht="15.75" customHeight="1" x14ac:dyDescent="0.25">
      <c r="F1532" s="330"/>
      <c r="O1532" s="787"/>
    </row>
    <row r="1533" spans="6:15" ht="15.75" customHeight="1" x14ac:dyDescent="0.25">
      <c r="F1533" s="330"/>
      <c r="O1533" s="787"/>
    </row>
    <row r="1534" spans="6:15" ht="15.75" customHeight="1" x14ac:dyDescent="0.25">
      <c r="F1534" s="330"/>
      <c r="O1534" s="787"/>
    </row>
    <row r="1535" spans="6:15" ht="15.75" customHeight="1" x14ac:dyDescent="0.25">
      <c r="F1535" s="330"/>
      <c r="O1535" s="787"/>
    </row>
    <row r="1536" spans="6:15" ht="15.75" customHeight="1" x14ac:dyDescent="0.25">
      <c r="F1536" s="330"/>
      <c r="O1536" s="787"/>
    </row>
    <row r="1537" spans="6:15" ht="15.75" customHeight="1" x14ac:dyDescent="0.25">
      <c r="F1537" s="330"/>
      <c r="O1537" s="787"/>
    </row>
    <row r="1538" spans="6:15" ht="15.75" customHeight="1" x14ac:dyDescent="0.25">
      <c r="F1538" s="330"/>
      <c r="O1538" s="787"/>
    </row>
    <row r="1539" spans="6:15" ht="15.75" customHeight="1" x14ac:dyDescent="0.25">
      <c r="F1539" s="330"/>
      <c r="O1539" s="787"/>
    </row>
    <row r="1540" spans="6:15" ht="15.75" customHeight="1" x14ac:dyDescent="0.25">
      <c r="F1540" s="330"/>
      <c r="O1540" s="787"/>
    </row>
    <row r="1541" spans="6:15" ht="15.75" customHeight="1" x14ac:dyDescent="0.25">
      <c r="F1541" s="330"/>
      <c r="O1541" s="787"/>
    </row>
    <row r="1542" spans="6:15" ht="15.75" customHeight="1" x14ac:dyDescent="0.25">
      <c r="F1542" s="330"/>
      <c r="O1542" s="787"/>
    </row>
    <row r="1543" spans="6:15" ht="15.75" customHeight="1" x14ac:dyDescent="0.25">
      <c r="F1543" s="330"/>
      <c r="O1543" s="787"/>
    </row>
    <row r="1544" spans="6:15" ht="15.75" customHeight="1" x14ac:dyDescent="0.25">
      <c r="F1544" s="330"/>
      <c r="O1544" s="787"/>
    </row>
    <row r="1545" spans="6:15" ht="15.75" customHeight="1" x14ac:dyDescent="0.25">
      <c r="F1545" s="330"/>
      <c r="O1545" s="787"/>
    </row>
    <row r="1546" spans="6:15" ht="15.75" customHeight="1" x14ac:dyDescent="0.25">
      <c r="F1546" s="330"/>
      <c r="O1546" s="787"/>
    </row>
    <row r="1547" spans="6:15" ht="15.75" customHeight="1" x14ac:dyDescent="0.25">
      <c r="F1547" s="330"/>
      <c r="O1547" s="787"/>
    </row>
    <row r="1548" spans="6:15" ht="15.75" customHeight="1" x14ac:dyDescent="0.25">
      <c r="F1548" s="330"/>
      <c r="O1548" s="787"/>
    </row>
    <row r="1549" spans="6:15" ht="15.75" customHeight="1" x14ac:dyDescent="0.25">
      <c r="F1549" s="330"/>
      <c r="O1549" s="787"/>
    </row>
    <row r="1550" spans="6:15" ht="15.75" customHeight="1" x14ac:dyDescent="0.25">
      <c r="F1550" s="330"/>
      <c r="O1550" s="787"/>
    </row>
    <row r="1551" spans="6:15" ht="15.75" customHeight="1" x14ac:dyDescent="0.25">
      <c r="F1551" s="330"/>
      <c r="O1551" s="787"/>
    </row>
    <row r="1552" spans="6:15" ht="15.75" customHeight="1" x14ac:dyDescent="0.25">
      <c r="F1552" s="330"/>
      <c r="O1552" s="787"/>
    </row>
    <row r="1553" spans="6:15" ht="15.75" customHeight="1" x14ac:dyDescent="0.25">
      <c r="F1553" s="330"/>
      <c r="O1553" s="787"/>
    </row>
    <row r="1554" spans="6:15" ht="15.75" customHeight="1" x14ac:dyDescent="0.25">
      <c r="F1554" s="330"/>
      <c r="O1554" s="787"/>
    </row>
    <row r="1555" spans="6:15" ht="15.75" customHeight="1" x14ac:dyDescent="0.25">
      <c r="F1555" s="330"/>
      <c r="O1555" s="787"/>
    </row>
    <row r="1556" spans="6:15" ht="15.75" customHeight="1" x14ac:dyDescent="0.25">
      <c r="F1556" s="330"/>
      <c r="O1556" s="787"/>
    </row>
    <row r="1557" spans="6:15" ht="15.75" customHeight="1" x14ac:dyDescent="0.25">
      <c r="F1557" s="330"/>
      <c r="O1557" s="787"/>
    </row>
    <row r="1558" spans="6:15" ht="15.75" customHeight="1" x14ac:dyDescent="0.25">
      <c r="F1558" s="330"/>
      <c r="O1558" s="787"/>
    </row>
    <row r="1559" spans="6:15" ht="15.75" customHeight="1" x14ac:dyDescent="0.25">
      <c r="F1559" s="330"/>
      <c r="O1559" s="787"/>
    </row>
    <row r="1560" spans="6:15" ht="15.75" customHeight="1" x14ac:dyDescent="0.25">
      <c r="F1560" s="330"/>
      <c r="O1560" s="787"/>
    </row>
    <row r="1561" spans="6:15" ht="15.75" customHeight="1" x14ac:dyDescent="0.25">
      <c r="F1561" s="330"/>
      <c r="O1561" s="787"/>
    </row>
    <row r="1562" spans="6:15" ht="15.75" customHeight="1" x14ac:dyDescent="0.25">
      <c r="F1562" s="330"/>
      <c r="O1562" s="787"/>
    </row>
    <row r="1563" spans="6:15" ht="15.75" customHeight="1" x14ac:dyDescent="0.25">
      <c r="F1563" s="330"/>
      <c r="O1563" s="787"/>
    </row>
    <row r="1564" spans="6:15" ht="15.75" customHeight="1" x14ac:dyDescent="0.25">
      <c r="F1564" s="330"/>
      <c r="O1564" s="787"/>
    </row>
    <row r="1565" spans="6:15" ht="15.75" customHeight="1" x14ac:dyDescent="0.25">
      <c r="F1565" s="330"/>
      <c r="O1565" s="787"/>
    </row>
    <row r="1566" spans="6:15" ht="15.75" customHeight="1" x14ac:dyDescent="0.25">
      <c r="F1566" s="330"/>
      <c r="O1566" s="787"/>
    </row>
    <row r="1567" spans="6:15" ht="15.75" customHeight="1" x14ac:dyDescent="0.25">
      <c r="F1567" s="330"/>
      <c r="O1567" s="787"/>
    </row>
    <row r="1568" spans="6:15" ht="15.75" customHeight="1" x14ac:dyDescent="0.25">
      <c r="F1568" s="330"/>
      <c r="O1568" s="787"/>
    </row>
    <row r="1569" spans="6:15" ht="15.75" customHeight="1" x14ac:dyDescent="0.25">
      <c r="F1569" s="330"/>
      <c r="O1569" s="787"/>
    </row>
    <row r="1570" spans="6:15" ht="15.75" customHeight="1" x14ac:dyDescent="0.25">
      <c r="F1570" s="330"/>
      <c r="O1570" s="787"/>
    </row>
    <row r="1571" spans="6:15" ht="15.75" customHeight="1" x14ac:dyDescent="0.25">
      <c r="F1571" s="330"/>
      <c r="O1571" s="787"/>
    </row>
    <row r="1572" spans="6:15" ht="15.75" customHeight="1" x14ac:dyDescent="0.25">
      <c r="F1572" s="330"/>
      <c r="O1572" s="787"/>
    </row>
    <row r="1573" spans="6:15" ht="15.75" customHeight="1" x14ac:dyDescent="0.25">
      <c r="F1573" s="330"/>
      <c r="O1573" s="787"/>
    </row>
    <row r="1574" spans="6:15" ht="15.75" customHeight="1" x14ac:dyDescent="0.25">
      <c r="F1574" s="330"/>
      <c r="O1574" s="787"/>
    </row>
    <row r="1575" spans="6:15" ht="15.75" customHeight="1" x14ac:dyDescent="0.25">
      <c r="F1575" s="330"/>
      <c r="O1575" s="787"/>
    </row>
    <row r="1576" spans="6:15" ht="15.75" customHeight="1" x14ac:dyDescent="0.25">
      <c r="F1576" s="330"/>
      <c r="O1576" s="787"/>
    </row>
    <row r="1577" spans="6:15" ht="15.75" customHeight="1" x14ac:dyDescent="0.25">
      <c r="F1577" s="330"/>
      <c r="O1577" s="787"/>
    </row>
    <row r="1578" spans="6:15" ht="15.75" customHeight="1" x14ac:dyDescent="0.25">
      <c r="F1578" s="330"/>
      <c r="O1578" s="787"/>
    </row>
    <row r="1579" spans="6:15" ht="15.75" customHeight="1" x14ac:dyDescent="0.25">
      <c r="F1579" s="330"/>
      <c r="O1579" s="787"/>
    </row>
    <row r="1580" spans="6:15" ht="15.75" customHeight="1" x14ac:dyDescent="0.25">
      <c r="F1580" s="330"/>
      <c r="O1580" s="787"/>
    </row>
    <row r="1581" spans="6:15" ht="15.75" customHeight="1" x14ac:dyDescent="0.25">
      <c r="F1581" s="330"/>
      <c r="O1581" s="787"/>
    </row>
    <row r="1582" spans="6:15" ht="15.75" customHeight="1" x14ac:dyDescent="0.25">
      <c r="F1582" s="330"/>
      <c r="O1582" s="787"/>
    </row>
    <row r="1583" spans="6:15" ht="15.75" customHeight="1" x14ac:dyDescent="0.25">
      <c r="F1583" s="330"/>
      <c r="O1583" s="787"/>
    </row>
    <row r="1584" spans="6:15" ht="15.75" customHeight="1" x14ac:dyDescent="0.25">
      <c r="F1584" s="330"/>
      <c r="O1584" s="787"/>
    </row>
    <row r="1585" spans="6:15" ht="15.75" customHeight="1" x14ac:dyDescent="0.25">
      <c r="F1585" s="330"/>
      <c r="O1585" s="787"/>
    </row>
    <row r="1586" spans="6:15" ht="15.75" customHeight="1" x14ac:dyDescent="0.25">
      <c r="F1586" s="330"/>
      <c r="O1586" s="787"/>
    </row>
    <row r="1587" spans="6:15" ht="15.75" customHeight="1" x14ac:dyDescent="0.25">
      <c r="F1587" s="330"/>
      <c r="O1587" s="787"/>
    </row>
    <row r="1588" spans="6:15" ht="15.75" customHeight="1" x14ac:dyDescent="0.25">
      <c r="F1588" s="330"/>
      <c r="O1588" s="787"/>
    </row>
    <row r="1589" spans="6:15" ht="15.75" customHeight="1" x14ac:dyDescent="0.25">
      <c r="F1589" s="330"/>
      <c r="O1589" s="787"/>
    </row>
    <row r="1590" spans="6:15" ht="15.75" customHeight="1" x14ac:dyDescent="0.25">
      <c r="F1590" s="330"/>
      <c r="O1590" s="787"/>
    </row>
    <row r="1591" spans="6:15" ht="15.75" customHeight="1" x14ac:dyDescent="0.25">
      <c r="F1591" s="330"/>
      <c r="O1591" s="787"/>
    </row>
    <row r="1592" spans="6:15" ht="15.75" customHeight="1" x14ac:dyDescent="0.25">
      <c r="F1592" s="330"/>
      <c r="O1592" s="787"/>
    </row>
    <row r="1593" spans="6:15" ht="15.75" customHeight="1" x14ac:dyDescent="0.25">
      <c r="F1593" s="330"/>
      <c r="O1593" s="787"/>
    </row>
    <row r="1594" spans="6:15" ht="15.75" customHeight="1" x14ac:dyDescent="0.25">
      <c r="F1594" s="330"/>
      <c r="O1594" s="787"/>
    </row>
    <row r="1595" spans="6:15" ht="15.75" customHeight="1" x14ac:dyDescent="0.25">
      <c r="F1595" s="330"/>
      <c r="O1595" s="787"/>
    </row>
    <row r="1596" spans="6:15" ht="15.75" customHeight="1" x14ac:dyDescent="0.25">
      <c r="F1596" s="330"/>
      <c r="O1596" s="787"/>
    </row>
    <row r="1597" spans="6:15" ht="15.75" customHeight="1" x14ac:dyDescent="0.25">
      <c r="F1597" s="330"/>
      <c r="O1597" s="787"/>
    </row>
    <row r="1598" spans="6:15" ht="15.75" customHeight="1" x14ac:dyDescent="0.25">
      <c r="F1598" s="330"/>
      <c r="O1598" s="787"/>
    </row>
    <row r="1599" spans="6:15" ht="15.75" customHeight="1" x14ac:dyDescent="0.25">
      <c r="F1599" s="330"/>
      <c r="O1599" s="787"/>
    </row>
    <row r="1600" spans="6:15" ht="15.75" customHeight="1" x14ac:dyDescent="0.25">
      <c r="F1600" s="330"/>
      <c r="O1600" s="787"/>
    </row>
    <row r="1601" spans="6:15" ht="15.75" customHeight="1" x14ac:dyDescent="0.25">
      <c r="F1601" s="330"/>
      <c r="O1601" s="787"/>
    </row>
    <row r="1602" spans="6:15" ht="15.75" customHeight="1" x14ac:dyDescent="0.25">
      <c r="F1602" s="330"/>
      <c r="O1602" s="787"/>
    </row>
    <row r="1603" spans="6:15" ht="15.75" customHeight="1" x14ac:dyDescent="0.25">
      <c r="F1603" s="330"/>
      <c r="O1603" s="787"/>
    </row>
    <row r="1604" spans="6:15" ht="15.75" customHeight="1" x14ac:dyDescent="0.25">
      <c r="F1604" s="330"/>
      <c r="O1604" s="787"/>
    </row>
    <row r="1605" spans="6:15" ht="15.75" customHeight="1" x14ac:dyDescent="0.25">
      <c r="F1605" s="330"/>
      <c r="O1605" s="787"/>
    </row>
    <row r="1606" spans="6:15" ht="15.75" customHeight="1" x14ac:dyDescent="0.25">
      <c r="F1606" s="330"/>
      <c r="O1606" s="787"/>
    </row>
    <row r="1607" spans="6:15" ht="15.75" customHeight="1" x14ac:dyDescent="0.25">
      <c r="F1607" s="330"/>
      <c r="O1607" s="787"/>
    </row>
    <row r="1608" spans="6:15" ht="15.75" customHeight="1" x14ac:dyDescent="0.25">
      <c r="F1608" s="330"/>
      <c r="O1608" s="787"/>
    </row>
    <row r="1609" spans="6:15" ht="15.75" customHeight="1" x14ac:dyDescent="0.25">
      <c r="F1609" s="330"/>
      <c r="O1609" s="787"/>
    </row>
    <row r="1610" spans="6:15" ht="15.75" customHeight="1" x14ac:dyDescent="0.25">
      <c r="F1610" s="330"/>
      <c r="O1610" s="787"/>
    </row>
    <row r="1611" spans="6:15" ht="15.75" customHeight="1" x14ac:dyDescent="0.25">
      <c r="F1611" s="330"/>
      <c r="O1611" s="787"/>
    </row>
    <row r="1612" spans="6:15" ht="15.75" customHeight="1" x14ac:dyDescent="0.25">
      <c r="F1612" s="330"/>
      <c r="O1612" s="787"/>
    </row>
    <row r="1613" spans="6:15" ht="15.75" customHeight="1" x14ac:dyDescent="0.25">
      <c r="F1613" s="330"/>
      <c r="O1613" s="787"/>
    </row>
    <row r="1614" spans="6:15" ht="15.75" customHeight="1" x14ac:dyDescent="0.25">
      <c r="F1614" s="330"/>
      <c r="O1614" s="787"/>
    </row>
    <row r="1615" spans="6:15" ht="15.75" customHeight="1" x14ac:dyDescent="0.25">
      <c r="F1615" s="330"/>
      <c r="O1615" s="787"/>
    </row>
    <row r="1616" spans="6:15" ht="15.75" customHeight="1" x14ac:dyDescent="0.25">
      <c r="F1616" s="330"/>
      <c r="O1616" s="787"/>
    </row>
    <row r="1617" spans="6:15" ht="15.75" customHeight="1" x14ac:dyDescent="0.25">
      <c r="F1617" s="330"/>
      <c r="O1617" s="787"/>
    </row>
    <row r="1618" spans="6:15" ht="15.75" customHeight="1" x14ac:dyDescent="0.25">
      <c r="F1618" s="330"/>
      <c r="O1618" s="787"/>
    </row>
    <row r="1619" spans="6:15" ht="15.75" customHeight="1" x14ac:dyDescent="0.25">
      <c r="F1619" s="330"/>
      <c r="O1619" s="787"/>
    </row>
    <row r="1620" spans="6:15" ht="15.75" customHeight="1" x14ac:dyDescent="0.25">
      <c r="F1620" s="330"/>
      <c r="O1620" s="787"/>
    </row>
    <row r="1621" spans="6:15" ht="15.75" customHeight="1" x14ac:dyDescent="0.25">
      <c r="F1621" s="330"/>
      <c r="O1621" s="787"/>
    </row>
    <row r="1622" spans="6:15" ht="15.75" customHeight="1" x14ac:dyDescent="0.25">
      <c r="F1622" s="330"/>
      <c r="O1622" s="787"/>
    </row>
    <row r="1623" spans="6:15" ht="15.75" customHeight="1" x14ac:dyDescent="0.25">
      <c r="F1623" s="330"/>
      <c r="O1623" s="787"/>
    </row>
    <row r="1624" spans="6:15" ht="15.75" customHeight="1" x14ac:dyDescent="0.25">
      <c r="F1624" s="330"/>
      <c r="O1624" s="787"/>
    </row>
    <row r="1625" spans="6:15" ht="15.75" customHeight="1" x14ac:dyDescent="0.25">
      <c r="F1625" s="330"/>
      <c r="O1625" s="787"/>
    </row>
    <row r="1626" spans="6:15" ht="15.75" customHeight="1" x14ac:dyDescent="0.25">
      <c r="F1626" s="330"/>
      <c r="O1626" s="787"/>
    </row>
    <row r="1627" spans="6:15" ht="15.75" customHeight="1" x14ac:dyDescent="0.25">
      <c r="F1627" s="330"/>
      <c r="O1627" s="787"/>
    </row>
    <row r="1628" spans="6:15" ht="15.75" customHeight="1" x14ac:dyDescent="0.25">
      <c r="F1628" s="330"/>
      <c r="O1628" s="787"/>
    </row>
    <row r="1629" spans="6:15" ht="15.75" customHeight="1" x14ac:dyDescent="0.25">
      <c r="F1629" s="330"/>
      <c r="O1629" s="787"/>
    </row>
    <row r="1630" spans="6:15" ht="15.75" customHeight="1" x14ac:dyDescent="0.25">
      <c r="F1630" s="330"/>
      <c r="O1630" s="787"/>
    </row>
    <row r="1631" spans="6:15" ht="15.75" customHeight="1" x14ac:dyDescent="0.25">
      <c r="F1631" s="330"/>
      <c r="O1631" s="787"/>
    </row>
    <row r="1632" spans="6:15" ht="15.75" customHeight="1" x14ac:dyDescent="0.25">
      <c r="F1632" s="330"/>
      <c r="O1632" s="787"/>
    </row>
    <row r="1633" spans="6:15" ht="15.75" customHeight="1" x14ac:dyDescent="0.25">
      <c r="F1633" s="330"/>
      <c r="O1633" s="787"/>
    </row>
    <row r="1634" spans="6:15" ht="15.75" customHeight="1" x14ac:dyDescent="0.25">
      <c r="F1634" s="330"/>
      <c r="O1634" s="787"/>
    </row>
    <row r="1635" spans="6:15" ht="15.75" customHeight="1" x14ac:dyDescent="0.25">
      <c r="F1635" s="330"/>
      <c r="O1635" s="787"/>
    </row>
    <row r="1636" spans="6:15" ht="15.75" customHeight="1" x14ac:dyDescent="0.25">
      <c r="F1636" s="330"/>
      <c r="O1636" s="787"/>
    </row>
    <row r="1637" spans="6:15" ht="15.75" customHeight="1" x14ac:dyDescent="0.25">
      <c r="F1637" s="330"/>
      <c r="O1637" s="787"/>
    </row>
    <row r="1638" spans="6:15" ht="15.75" customHeight="1" x14ac:dyDescent="0.25">
      <c r="F1638" s="330"/>
      <c r="O1638" s="787"/>
    </row>
    <row r="1639" spans="6:15" ht="15.75" customHeight="1" x14ac:dyDescent="0.25">
      <c r="F1639" s="330"/>
      <c r="O1639" s="787"/>
    </row>
    <row r="1640" spans="6:15" ht="15.75" customHeight="1" x14ac:dyDescent="0.25">
      <c r="F1640" s="330"/>
      <c r="O1640" s="787"/>
    </row>
    <row r="1641" spans="6:15" ht="15.75" customHeight="1" x14ac:dyDescent="0.25">
      <c r="F1641" s="330"/>
      <c r="O1641" s="787"/>
    </row>
    <row r="1642" spans="6:15" ht="15.75" customHeight="1" x14ac:dyDescent="0.25">
      <c r="F1642" s="330"/>
      <c r="O1642" s="787"/>
    </row>
    <row r="1643" spans="6:15" ht="15.75" customHeight="1" x14ac:dyDescent="0.25">
      <c r="F1643" s="330"/>
      <c r="O1643" s="787"/>
    </row>
    <row r="1644" spans="6:15" ht="15.75" customHeight="1" x14ac:dyDescent="0.25">
      <c r="F1644" s="330"/>
      <c r="O1644" s="787"/>
    </row>
    <row r="1645" spans="6:15" ht="15.75" customHeight="1" x14ac:dyDescent="0.25">
      <c r="F1645" s="330"/>
      <c r="O1645" s="787"/>
    </row>
    <row r="1646" spans="6:15" ht="15.75" customHeight="1" x14ac:dyDescent="0.25">
      <c r="F1646" s="330"/>
      <c r="O1646" s="787"/>
    </row>
    <row r="1647" spans="6:15" ht="15.75" customHeight="1" x14ac:dyDescent="0.25">
      <c r="F1647" s="330"/>
      <c r="O1647" s="787"/>
    </row>
    <row r="1648" spans="6:15" ht="15.75" customHeight="1" x14ac:dyDescent="0.25">
      <c r="F1648" s="330"/>
      <c r="O1648" s="787"/>
    </row>
    <row r="1649" spans="6:15" ht="15.75" customHeight="1" x14ac:dyDescent="0.25">
      <c r="F1649" s="330"/>
      <c r="O1649" s="787"/>
    </row>
    <row r="1650" spans="6:15" ht="15.75" customHeight="1" x14ac:dyDescent="0.25">
      <c r="F1650" s="330"/>
      <c r="O1650" s="787"/>
    </row>
    <row r="1651" spans="6:15" ht="15.75" customHeight="1" x14ac:dyDescent="0.25">
      <c r="F1651" s="330"/>
      <c r="O1651" s="787"/>
    </row>
    <row r="1652" spans="6:15" ht="15.75" customHeight="1" x14ac:dyDescent="0.25">
      <c r="F1652" s="330"/>
      <c r="O1652" s="787"/>
    </row>
    <row r="1653" spans="6:15" ht="15.75" customHeight="1" x14ac:dyDescent="0.25">
      <c r="F1653" s="330"/>
      <c r="O1653" s="787"/>
    </row>
    <row r="1654" spans="6:15" ht="15.75" customHeight="1" x14ac:dyDescent="0.25">
      <c r="F1654" s="330"/>
      <c r="O1654" s="787"/>
    </row>
    <row r="1655" spans="6:15" ht="15.75" customHeight="1" x14ac:dyDescent="0.25">
      <c r="F1655" s="330"/>
      <c r="O1655" s="787"/>
    </row>
    <row r="1656" spans="6:15" ht="15.75" customHeight="1" x14ac:dyDescent="0.25">
      <c r="F1656" s="330"/>
      <c r="O1656" s="787"/>
    </row>
    <row r="1657" spans="6:15" ht="15.75" customHeight="1" x14ac:dyDescent="0.25">
      <c r="F1657" s="330"/>
      <c r="O1657" s="787"/>
    </row>
    <row r="1658" spans="6:15" ht="15.75" customHeight="1" x14ac:dyDescent="0.25">
      <c r="F1658" s="330"/>
      <c r="O1658" s="787"/>
    </row>
    <row r="1659" spans="6:15" ht="15.75" customHeight="1" x14ac:dyDescent="0.25">
      <c r="F1659" s="330"/>
      <c r="O1659" s="787"/>
    </row>
    <row r="1660" spans="6:15" ht="15.75" customHeight="1" x14ac:dyDescent="0.25">
      <c r="F1660" s="330"/>
      <c r="O1660" s="787"/>
    </row>
    <row r="1661" spans="6:15" ht="15.75" customHeight="1" x14ac:dyDescent="0.25">
      <c r="F1661" s="330"/>
      <c r="O1661" s="787"/>
    </row>
    <row r="1662" spans="6:15" ht="15.75" customHeight="1" x14ac:dyDescent="0.25">
      <c r="F1662" s="330"/>
      <c r="O1662" s="787"/>
    </row>
    <row r="1663" spans="6:15" ht="15.75" customHeight="1" x14ac:dyDescent="0.25">
      <c r="F1663" s="330"/>
      <c r="O1663" s="787"/>
    </row>
    <row r="1664" spans="6:15" ht="15.6" x14ac:dyDescent="0.25"/>
    <row r="1665" ht="15.6" x14ac:dyDescent="0.25"/>
    <row r="1666" ht="15.6" x14ac:dyDescent="0.25"/>
    <row r="1667" ht="15.6" x14ac:dyDescent="0.25"/>
    <row r="1668" ht="15.6" x14ac:dyDescent="0.25"/>
    <row r="1669" ht="15.6" x14ac:dyDescent="0.25"/>
    <row r="1670" ht="15.6" x14ac:dyDescent="0.25"/>
    <row r="1671" ht="15.6" x14ac:dyDescent="0.25"/>
    <row r="1672" ht="15.6" x14ac:dyDescent="0.25"/>
    <row r="1673" ht="15.6" x14ac:dyDescent="0.25"/>
    <row r="1674" ht="15.6" x14ac:dyDescent="0.25"/>
    <row r="1675" ht="15.6" x14ac:dyDescent="0.25"/>
    <row r="1676" ht="15.6" x14ac:dyDescent="0.25"/>
    <row r="1677" ht="15.6" x14ac:dyDescent="0.25"/>
    <row r="1678" ht="15.6" x14ac:dyDescent="0.25"/>
    <row r="1679" ht="15.6" x14ac:dyDescent="0.25"/>
    <row r="1680" ht="15.6" x14ac:dyDescent="0.25"/>
    <row r="1681" ht="15.6" x14ac:dyDescent="0.25"/>
  </sheetData>
  <sheetProtection algorithmName="SHA-512" hashValue="G7iGfwiE3fPRDZub5BsTI/Vf3Qc4DOzPYrQUCGEhGrPfa7UVXnc3z0eACUS+1Q9vosRnGtiUIs6voBp9fFuazg==" saltValue="T9fxIqRecJQW8zaCJh+FDQ==" spinCount="100000" sheet="1" objects="1" scenarios="1" formatRows="0"/>
  <mergeCells count="682">
    <mergeCell ref="A326:B327"/>
    <mergeCell ref="G248:K248"/>
    <mergeCell ref="A314:B314"/>
    <mergeCell ref="B308:C308"/>
    <mergeCell ref="A310:B312"/>
    <mergeCell ref="B313:C313"/>
    <mergeCell ref="A108:B113"/>
    <mergeCell ref="A114:B117"/>
    <mergeCell ref="B537:C537"/>
    <mergeCell ref="G199:L199"/>
    <mergeCell ref="A238:B238"/>
    <mergeCell ref="B239:C239"/>
    <mergeCell ref="A241:B247"/>
    <mergeCell ref="A248:C248"/>
    <mergeCell ref="B324:C324"/>
    <mergeCell ref="B249:C249"/>
    <mergeCell ref="A251:B258"/>
    <mergeCell ref="B259:C259"/>
    <mergeCell ref="A520:C520"/>
    <mergeCell ref="B521:C521"/>
    <mergeCell ref="A522:B527"/>
    <mergeCell ref="A425:C425"/>
    <mergeCell ref="A437:C437"/>
    <mergeCell ref="A381:C381"/>
    <mergeCell ref="B528:C528"/>
    <mergeCell ref="A529:B532"/>
    <mergeCell ref="M529:N529"/>
    <mergeCell ref="M530:N530"/>
    <mergeCell ref="M531:N531"/>
    <mergeCell ref="M532:N532"/>
    <mergeCell ref="M533:N533"/>
    <mergeCell ref="M534:N534"/>
    <mergeCell ref="M535:N535"/>
    <mergeCell ref="B591:C591"/>
    <mergeCell ref="A593:B594"/>
    <mergeCell ref="B595:C595"/>
    <mergeCell ref="A596:B596"/>
    <mergeCell ref="A563:C563"/>
    <mergeCell ref="B564:C564"/>
    <mergeCell ref="A566:B578"/>
    <mergeCell ref="B579:C579"/>
    <mergeCell ref="B587:C587"/>
    <mergeCell ref="A589:B590"/>
    <mergeCell ref="A541:C541"/>
    <mergeCell ref="A498:A507"/>
    <mergeCell ref="A508:C508"/>
    <mergeCell ref="B509:C509"/>
    <mergeCell ref="A510:B512"/>
    <mergeCell ref="B513:C513"/>
    <mergeCell ref="A281:B285"/>
    <mergeCell ref="A514:B519"/>
    <mergeCell ref="B455:B457"/>
    <mergeCell ref="A459:C459"/>
    <mergeCell ref="B495:C495"/>
    <mergeCell ref="A496:B496"/>
    <mergeCell ref="B497:C497"/>
    <mergeCell ref="B438:C438"/>
    <mergeCell ref="A440:B441"/>
    <mergeCell ref="B442:C442"/>
    <mergeCell ref="B446:C446"/>
    <mergeCell ref="B447:B448"/>
    <mergeCell ref="A444:B445"/>
    <mergeCell ref="B481:C481"/>
    <mergeCell ref="A482:B487"/>
    <mergeCell ref="B488:C488"/>
    <mergeCell ref="A489:B494"/>
    <mergeCell ref="B474:C474"/>
    <mergeCell ref="A396:C396"/>
    <mergeCell ref="B397:C397"/>
    <mergeCell ref="A399:B400"/>
    <mergeCell ref="B401:C401"/>
    <mergeCell ref="A403:B405"/>
    <mergeCell ref="A426:B435"/>
    <mergeCell ref="A368:B369"/>
    <mergeCell ref="B370:C370"/>
    <mergeCell ref="A287:B287"/>
    <mergeCell ref="B288:C288"/>
    <mergeCell ref="B406:C406"/>
    <mergeCell ref="A420:C420"/>
    <mergeCell ref="A348:A353"/>
    <mergeCell ref="B354:C354"/>
    <mergeCell ref="A355:B355"/>
    <mergeCell ref="B356:C356"/>
    <mergeCell ref="A357:B357"/>
    <mergeCell ref="B338:C338"/>
    <mergeCell ref="A371:B374"/>
    <mergeCell ref="B346:C346"/>
    <mergeCell ref="B315:C315"/>
    <mergeCell ref="A316:B318"/>
    <mergeCell ref="B319:C319"/>
    <mergeCell ref="A321:B321"/>
    <mergeCell ref="B322:C322"/>
    <mergeCell ref="A291:C291"/>
    <mergeCell ref="B297:C297"/>
    <mergeCell ref="A299:B300"/>
    <mergeCell ref="B301:C301"/>
    <mergeCell ref="A302:B307"/>
    <mergeCell ref="D1:O1"/>
    <mergeCell ref="A2:O2"/>
    <mergeCell ref="A3:B4"/>
    <mergeCell ref="C3:C4"/>
    <mergeCell ref="D3:D4"/>
    <mergeCell ref="E3:E4"/>
    <mergeCell ref="F3:F4"/>
    <mergeCell ref="G3:G4"/>
    <mergeCell ref="H3:H4"/>
    <mergeCell ref="I3:I4"/>
    <mergeCell ref="J3:J4"/>
    <mergeCell ref="K3:K4"/>
    <mergeCell ref="L3:L4"/>
    <mergeCell ref="A1:C1"/>
    <mergeCell ref="A77:B83"/>
    <mergeCell ref="A85:D85"/>
    <mergeCell ref="A236:B236"/>
    <mergeCell ref="A219:B219"/>
    <mergeCell ref="A6:C6"/>
    <mergeCell ref="B7:C7"/>
    <mergeCell ref="A8:B8"/>
    <mergeCell ref="A30:C30"/>
    <mergeCell ref="B31:C31"/>
    <mergeCell ref="A32:B38"/>
    <mergeCell ref="B39:C39"/>
    <mergeCell ref="A40:B46"/>
    <mergeCell ref="A11:B17"/>
    <mergeCell ref="B18:C18"/>
    <mergeCell ref="A19:B25"/>
    <mergeCell ref="A26:C26"/>
    <mergeCell ref="B27:C27"/>
    <mergeCell ref="A9:C9"/>
    <mergeCell ref="B10:C10"/>
    <mergeCell ref="A47:C47"/>
    <mergeCell ref="B48:C48"/>
    <mergeCell ref="A49:B53"/>
    <mergeCell ref="A75:C75"/>
    <mergeCell ref="B76:C76"/>
    <mergeCell ref="A60:B66"/>
    <mergeCell ref="A68:B74"/>
    <mergeCell ref="A58:C58"/>
    <mergeCell ref="B59:C59"/>
    <mergeCell ref="A54:C54"/>
    <mergeCell ref="B55:C55"/>
    <mergeCell ref="A56:B56"/>
    <mergeCell ref="B107:C107"/>
    <mergeCell ref="B200:C200"/>
    <mergeCell ref="A87:B105"/>
    <mergeCell ref="B556:C556"/>
    <mergeCell ref="A119:C119"/>
    <mergeCell ref="A475:B480"/>
    <mergeCell ref="B286:C286"/>
    <mergeCell ref="B375:C375"/>
    <mergeCell ref="A376:B380"/>
    <mergeCell ref="A468:B473"/>
    <mergeCell ref="B191:C191"/>
    <mergeCell ref="A261:B269"/>
    <mergeCell ref="B270:C270"/>
    <mergeCell ref="B275:C275"/>
    <mergeCell ref="A277:B279"/>
    <mergeCell ref="B280:C280"/>
    <mergeCell ref="A329:C329"/>
    <mergeCell ref="A320:B320"/>
    <mergeCell ref="B330:C330"/>
    <mergeCell ref="A331:B337"/>
    <mergeCell ref="B292:C292"/>
    <mergeCell ref="B358:C358"/>
    <mergeCell ref="A360:B365"/>
    <mergeCell ref="B366:C366"/>
    <mergeCell ref="A160:B167"/>
    <mergeCell ref="A156:B157"/>
    <mergeCell ref="B218:C218"/>
    <mergeCell ref="B67:C67"/>
    <mergeCell ref="M3:N4"/>
    <mergeCell ref="B542:C542"/>
    <mergeCell ref="A543:B548"/>
    <mergeCell ref="B549:C549"/>
    <mergeCell ref="A550:B555"/>
    <mergeCell ref="B86:C86"/>
    <mergeCell ref="A106:C106"/>
    <mergeCell ref="B168:C168"/>
    <mergeCell ref="A169:B172"/>
    <mergeCell ref="A190:C190"/>
    <mergeCell ref="B173:C173"/>
    <mergeCell ref="A174:B182"/>
    <mergeCell ref="B183:C183"/>
    <mergeCell ref="A184:B189"/>
    <mergeCell ref="A148:C148"/>
    <mergeCell ref="B149:C149"/>
    <mergeCell ref="A150:B153"/>
    <mergeCell ref="A158:C158"/>
    <mergeCell ref="B154:C154"/>
    <mergeCell ref="B159:C159"/>
    <mergeCell ref="A193:B198"/>
    <mergeCell ref="B237:C237"/>
    <mergeCell ref="A227:B228"/>
    <mergeCell ref="B229:C229"/>
    <mergeCell ref="A230:B233"/>
    <mergeCell ref="A199:C199"/>
    <mergeCell ref="A235:B235"/>
    <mergeCell ref="B234:C234"/>
    <mergeCell ref="B205:C205"/>
    <mergeCell ref="A207:B210"/>
    <mergeCell ref="B211:C211"/>
    <mergeCell ref="A212:B217"/>
    <mergeCell ref="B220:C220"/>
    <mergeCell ref="A222:B224"/>
    <mergeCell ref="B225:C225"/>
    <mergeCell ref="M24:N24"/>
    <mergeCell ref="M25:N25"/>
    <mergeCell ref="M38:N38"/>
    <mergeCell ref="M46:N46"/>
    <mergeCell ref="M21:N21"/>
    <mergeCell ref="M22:N22"/>
    <mergeCell ref="M23:N23"/>
    <mergeCell ref="M28:N28"/>
    <mergeCell ref="A557:B562"/>
    <mergeCell ref="B120:C120"/>
    <mergeCell ref="A121:B126"/>
    <mergeCell ref="B127:C127"/>
    <mergeCell ref="A128:B133"/>
    <mergeCell ref="B134:C134"/>
    <mergeCell ref="A135:B140"/>
    <mergeCell ref="B141:C141"/>
    <mergeCell ref="A142:B147"/>
    <mergeCell ref="B382:C382"/>
    <mergeCell ref="A383:B388"/>
    <mergeCell ref="B389:C389"/>
    <mergeCell ref="A390:B395"/>
    <mergeCell ref="B460:C460"/>
    <mergeCell ref="A461:B466"/>
    <mergeCell ref="B467:C467"/>
    <mergeCell ref="M8:N8"/>
    <mergeCell ref="M11:N11"/>
    <mergeCell ref="M12:N12"/>
    <mergeCell ref="M13:N13"/>
    <mergeCell ref="M14:N14"/>
    <mergeCell ref="M15:N15"/>
    <mergeCell ref="M19:N19"/>
    <mergeCell ref="M20:N20"/>
    <mergeCell ref="M16:N16"/>
    <mergeCell ref="M17:N17"/>
    <mergeCell ref="M53:N53"/>
    <mergeCell ref="M56:N56"/>
    <mergeCell ref="M60:N60"/>
    <mergeCell ref="M61:N61"/>
    <mergeCell ref="M62:N62"/>
    <mergeCell ref="M63:N63"/>
    <mergeCell ref="M64:N64"/>
    <mergeCell ref="M42:N42"/>
    <mergeCell ref="M43:N43"/>
    <mergeCell ref="M44:N44"/>
    <mergeCell ref="M45:N45"/>
    <mergeCell ref="M49:N49"/>
    <mergeCell ref="M50:N50"/>
    <mergeCell ref="M51:N51"/>
    <mergeCell ref="M52:N52"/>
    <mergeCell ref="M29:N29"/>
    <mergeCell ref="M32:N32"/>
    <mergeCell ref="M33:N33"/>
    <mergeCell ref="M34:N34"/>
    <mergeCell ref="M35:N35"/>
    <mergeCell ref="M36:N36"/>
    <mergeCell ref="M37:N37"/>
    <mergeCell ref="M40:N40"/>
    <mergeCell ref="M41:N41"/>
    <mergeCell ref="M68:N68"/>
    <mergeCell ref="M69:N69"/>
    <mergeCell ref="M65:N65"/>
    <mergeCell ref="M66:N66"/>
    <mergeCell ref="M70:N70"/>
    <mergeCell ref="M71:N71"/>
    <mergeCell ref="M72:N72"/>
    <mergeCell ref="M77:N77"/>
    <mergeCell ref="M78:N78"/>
    <mergeCell ref="M79:N79"/>
    <mergeCell ref="M80:N80"/>
    <mergeCell ref="M81:N81"/>
    <mergeCell ref="M74:N74"/>
    <mergeCell ref="M73:N73"/>
    <mergeCell ref="M82:N82"/>
    <mergeCell ref="M83:N83"/>
    <mergeCell ref="M87:N87"/>
    <mergeCell ref="M88:N88"/>
    <mergeCell ref="M89:N89"/>
    <mergeCell ref="M90:N90"/>
    <mergeCell ref="M91:N91"/>
    <mergeCell ref="M92:N92"/>
    <mergeCell ref="M93:N93"/>
    <mergeCell ref="M94:N94"/>
    <mergeCell ref="M95:N95"/>
    <mergeCell ref="M96:N96"/>
    <mergeCell ref="M97:N97"/>
    <mergeCell ref="M98:N98"/>
    <mergeCell ref="M99:N99"/>
    <mergeCell ref="M100:N100"/>
    <mergeCell ref="M101:N101"/>
    <mergeCell ref="M102:N102"/>
    <mergeCell ref="M103:N103"/>
    <mergeCell ref="M104:N104"/>
    <mergeCell ref="M105:N105"/>
    <mergeCell ref="M108:N108"/>
    <mergeCell ref="M109:N109"/>
    <mergeCell ref="M110:N110"/>
    <mergeCell ref="M111:N111"/>
    <mergeCell ref="M112:N112"/>
    <mergeCell ref="M113:N113"/>
    <mergeCell ref="M114:N114"/>
    <mergeCell ref="M115:N115"/>
    <mergeCell ref="M116:N116"/>
    <mergeCell ref="M117:N117"/>
    <mergeCell ref="M121:N121"/>
    <mergeCell ref="M122:N122"/>
    <mergeCell ref="M123:N123"/>
    <mergeCell ref="M124:N124"/>
    <mergeCell ref="M125:N125"/>
    <mergeCell ref="M126:N126"/>
    <mergeCell ref="M128:N128"/>
    <mergeCell ref="M129:N129"/>
    <mergeCell ref="M130:N130"/>
    <mergeCell ref="M131:N131"/>
    <mergeCell ref="M132:N132"/>
    <mergeCell ref="M133:N133"/>
    <mergeCell ref="M135:N135"/>
    <mergeCell ref="M136:N136"/>
    <mergeCell ref="M147:N147"/>
    <mergeCell ref="M150:N150"/>
    <mergeCell ref="M151:N151"/>
    <mergeCell ref="M152:N152"/>
    <mergeCell ref="M153:N153"/>
    <mergeCell ref="M155:N155"/>
    <mergeCell ref="M156:N156"/>
    <mergeCell ref="M157:N157"/>
    <mergeCell ref="M137:N137"/>
    <mergeCell ref="M138:N138"/>
    <mergeCell ref="M139:N139"/>
    <mergeCell ref="M140:N140"/>
    <mergeCell ref="M142:N142"/>
    <mergeCell ref="M143:N143"/>
    <mergeCell ref="M144:N144"/>
    <mergeCell ref="M145:N145"/>
    <mergeCell ref="M146:N146"/>
    <mergeCell ref="M160:N160"/>
    <mergeCell ref="M161:N161"/>
    <mergeCell ref="M162:N162"/>
    <mergeCell ref="M163:N163"/>
    <mergeCell ref="M164:N164"/>
    <mergeCell ref="M165:N165"/>
    <mergeCell ref="M166:N166"/>
    <mergeCell ref="M167:N167"/>
    <mergeCell ref="M169:N169"/>
    <mergeCell ref="M170:N170"/>
    <mergeCell ref="M171:N171"/>
    <mergeCell ref="M172:N172"/>
    <mergeCell ref="M174:N174"/>
    <mergeCell ref="M175:N175"/>
    <mergeCell ref="M176:N176"/>
    <mergeCell ref="M177:N177"/>
    <mergeCell ref="M178:N178"/>
    <mergeCell ref="M179:N179"/>
    <mergeCell ref="M192:N192"/>
    <mergeCell ref="M193:N193"/>
    <mergeCell ref="M194:N194"/>
    <mergeCell ref="M195:N195"/>
    <mergeCell ref="M196:N196"/>
    <mergeCell ref="M197:N197"/>
    <mergeCell ref="M198:N198"/>
    <mergeCell ref="M201:N201"/>
    <mergeCell ref="M180:N180"/>
    <mergeCell ref="M181:N181"/>
    <mergeCell ref="M182:N182"/>
    <mergeCell ref="M184:N184"/>
    <mergeCell ref="M185:N185"/>
    <mergeCell ref="M186:N186"/>
    <mergeCell ref="M187:N187"/>
    <mergeCell ref="M188:N188"/>
    <mergeCell ref="M189:N189"/>
    <mergeCell ref="M202:N202"/>
    <mergeCell ref="M203:N203"/>
    <mergeCell ref="M204:N204"/>
    <mergeCell ref="M206:N206"/>
    <mergeCell ref="M207:N207"/>
    <mergeCell ref="M208:N208"/>
    <mergeCell ref="M209:N209"/>
    <mergeCell ref="M210:N210"/>
    <mergeCell ref="M212:N212"/>
    <mergeCell ref="M213:N213"/>
    <mergeCell ref="M214:N214"/>
    <mergeCell ref="M215:N215"/>
    <mergeCell ref="M216:N216"/>
    <mergeCell ref="M217:N217"/>
    <mergeCell ref="M219:N219"/>
    <mergeCell ref="M221:N221"/>
    <mergeCell ref="M222:N222"/>
    <mergeCell ref="M223:N223"/>
    <mergeCell ref="M224:N224"/>
    <mergeCell ref="M226:N226"/>
    <mergeCell ref="M227:N227"/>
    <mergeCell ref="M228:N228"/>
    <mergeCell ref="M230:N230"/>
    <mergeCell ref="M231:N231"/>
    <mergeCell ref="M232:N232"/>
    <mergeCell ref="M233:N233"/>
    <mergeCell ref="M235:N235"/>
    <mergeCell ref="M236:N236"/>
    <mergeCell ref="M238:N238"/>
    <mergeCell ref="M240:N240"/>
    <mergeCell ref="M241:N241"/>
    <mergeCell ref="M242:N242"/>
    <mergeCell ref="M243:N243"/>
    <mergeCell ref="M244:N244"/>
    <mergeCell ref="M245:N245"/>
    <mergeCell ref="M246:N246"/>
    <mergeCell ref="M268:N268"/>
    <mergeCell ref="M269:N269"/>
    <mergeCell ref="M247:N247"/>
    <mergeCell ref="M250:N250"/>
    <mergeCell ref="M251:N251"/>
    <mergeCell ref="M252:N252"/>
    <mergeCell ref="M253:N253"/>
    <mergeCell ref="M254:N254"/>
    <mergeCell ref="M255:N255"/>
    <mergeCell ref="M256:N256"/>
    <mergeCell ref="M257:N257"/>
    <mergeCell ref="M258:N258"/>
    <mergeCell ref="M260:N260"/>
    <mergeCell ref="M261:N261"/>
    <mergeCell ref="M262:N262"/>
    <mergeCell ref="M263:N263"/>
    <mergeCell ref="M264:N264"/>
    <mergeCell ref="M265:N265"/>
    <mergeCell ref="M266:N266"/>
    <mergeCell ref="M267:N267"/>
    <mergeCell ref="M271:N271"/>
    <mergeCell ref="M272:N272"/>
    <mergeCell ref="M309:N309"/>
    <mergeCell ref="M310:N310"/>
    <mergeCell ref="M311:N311"/>
    <mergeCell ref="M312:N312"/>
    <mergeCell ref="M314:N314"/>
    <mergeCell ref="M316:N316"/>
    <mergeCell ref="M317:N317"/>
    <mergeCell ref="M283:N283"/>
    <mergeCell ref="M284:N284"/>
    <mergeCell ref="M285:N285"/>
    <mergeCell ref="M287:N287"/>
    <mergeCell ref="M289:N289"/>
    <mergeCell ref="M273:N273"/>
    <mergeCell ref="M274:N274"/>
    <mergeCell ref="M276:N276"/>
    <mergeCell ref="M277:N277"/>
    <mergeCell ref="M278:N278"/>
    <mergeCell ref="M279:N279"/>
    <mergeCell ref="M281:N281"/>
    <mergeCell ref="M282:N282"/>
    <mergeCell ref="M293:N293"/>
    <mergeCell ref="M294:N294"/>
    <mergeCell ref="M318:N318"/>
    <mergeCell ref="M298:N298"/>
    <mergeCell ref="M299:N299"/>
    <mergeCell ref="M300:N300"/>
    <mergeCell ref="M302:N302"/>
    <mergeCell ref="M303:N303"/>
    <mergeCell ref="M304:N304"/>
    <mergeCell ref="M305:N305"/>
    <mergeCell ref="M306:N306"/>
    <mergeCell ref="M307:N307"/>
    <mergeCell ref="M320:N320"/>
    <mergeCell ref="M321:N321"/>
    <mergeCell ref="M323:N323"/>
    <mergeCell ref="M325:N325"/>
    <mergeCell ref="M326:N326"/>
    <mergeCell ref="M327:N327"/>
    <mergeCell ref="M331:N331"/>
    <mergeCell ref="M332:N332"/>
    <mergeCell ref="M333:N333"/>
    <mergeCell ref="M334:N334"/>
    <mergeCell ref="M335:N335"/>
    <mergeCell ref="M336:N336"/>
    <mergeCell ref="M337:N337"/>
    <mergeCell ref="M339:N339"/>
    <mergeCell ref="M340:N340"/>
    <mergeCell ref="M341:N341"/>
    <mergeCell ref="M342:N342"/>
    <mergeCell ref="M343:N343"/>
    <mergeCell ref="M355:N355"/>
    <mergeCell ref="M357:N357"/>
    <mergeCell ref="M359:N359"/>
    <mergeCell ref="M360:N360"/>
    <mergeCell ref="M361:N361"/>
    <mergeCell ref="M362:N362"/>
    <mergeCell ref="M363:N363"/>
    <mergeCell ref="M364:N364"/>
    <mergeCell ref="M344:N344"/>
    <mergeCell ref="M345:N345"/>
    <mergeCell ref="M347:N347"/>
    <mergeCell ref="M348:N348"/>
    <mergeCell ref="M349:N349"/>
    <mergeCell ref="M350:N350"/>
    <mergeCell ref="M351:N351"/>
    <mergeCell ref="M352:N352"/>
    <mergeCell ref="M353:N353"/>
    <mergeCell ref="M365:N365"/>
    <mergeCell ref="M367:N367"/>
    <mergeCell ref="M368:N368"/>
    <mergeCell ref="M369:N369"/>
    <mergeCell ref="M371:N371"/>
    <mergeCell ref="M372:N372"/>
    <mergeCell ref="M373:N373"/>
    <mergeCell ref="M374:N374"/>
    <mergeCell ref="M376:N376"/>
    <mergeCell ref="M377:N377"/>
    <mergeCell ref="M378:N378"/>
    <mergeCell ref="M379:N379"/>
    <mergeCell ref="M380:N380"/>
    <mergeCell ref="M383:N383"/>
    <mergeCell ref="M384:N384"/>
    <mergeCell ref="M385:N385"/>
    <mergeCell ref="M386:N386"/>
    <mergeCell ref="M387:N387"/>
    <mergeCell ref="M388:N388"/>
    <mergeCell ref="M390:N390"/>
    <mergeCell ref="M391:N391"/>
    <mergeCell ref="M392:N392"/>
    <mergeCell ref="M393:N393"/>
    <mergeCell ref="M394:N394"/>
    <mergeCell ref="M395:N395"/>
    <mergeCell ref="M398:N398"/>
    <mergeCell ref="M399:N399"/>
    <mergeCell ref="M400:N400"/>
    <mergeCell ref="M402:N402"/>
    <mergeCell ref="M403:N403"/>
    <mergeCell ref="M404:N404"/>
    <mergeCell ref="M405:N405"/>
    <mergeCell ref="M407:N407"/>
    <mergeCell ref="M408:N408"/>
    <mergeCell ref="M409:N409"/>
    <mergeCell ref="M410:N410"/>
    <mergeCell ref="M411:N411"/>
    <mergeCell ref="M412:N412"/>
    <mergeCell ref="M413:N413"/>
    <mergeCell ref="M414:N414"/>
    <mergeCell ref="M415:N415"/>
    <mergeCell ref="M416:N416"/>
    <mergeCell ref="M417:N417"/>
    <mergeCell ref="M418:N418"/>
    <mergeCell ref="M421:N421"/>
    <mergeCell ref="M422:N422"/>
    <mergeCell ref="M423:N423"/>
    <mergeCell ref="M424:N424"/>
    <mergeCell ref="M426:N426"/>
    <mergeCell ref="M427:N427"/>
    <mergeCell ref="M428:N428"/>
    <mergeCell ref="M429:N429"/>
    <mergeCell ref="M430:N430"/>
    <mergeCell ref="M431:N431"/>
    <mergeCell ref="M432:N432"/>
    <mergeCell ref="M433:N433"/>
    <mergeCell ref="M434:N434"/>
    <mergeCell ref="M435:N435"/>
    <mergeCell ref="M439:N439"/>
    <mergeCell ref="M440:N440"/>
    <mergeCell ref="M441:N441"/>
    <mergeCell ref="M443:N443"/>
    <mergeCell ref="M444:N444"/>
    <mergeCell ref="M445:N445"/>
    <mergeCell ref="M447:N447"/>
    <mergeCell ref="M448:N448"/>
    <mergeCell ref="M449:N449"/>
    <mergeCell ref="M450:N450"/>
    <mergeCell ref="M451:N451"/>
    <mergeCell ref="M452:N452"/>
    <mergeCell ref="M453:N453"/>
    <mergeCell ref="M454:N454"/>
    <mergeCell ref="M455:N455"/>
    <mergeCell ref="M456:N456"/>
    <mergeCell ref="M457:N457"/>
    <mergeCell ref="M461:N461"/>
    <mergeCell ref="M462:N462"/>
    <mergeCell ref="M463:N463"/>
    <mergeCell ref="M464:N464"/>
    <mergeCell ref="M465:N465"/>
    <mergeCell ref="M466:N466"/>
    <mergeCell ref="M468:N468"/>
    <mergeCell ref="M469:N469"/>
    <mergeCell ref="M470:N470"/>
    <mergeCell ref="M471:N471"/>
    <mergeCell ref="M472:N472"/>
    <mergeCell ref="M473:N473"/>
    <mergeCell ref="M475:N475"/>
    <mergeCell ref="M476:N476"/>
    <mergeCell ref="M477:N477"/>
    <mergeCell ref="M478:N478"/>
    <mergeCell ref="M479:N479"/>
    <mergeCell ref="M480:N480"/>
    <mergeCell ref="M482:N482"/>
    <mergeCell ref="M483:N483"/>
    <mergeCell ref="M484:N484"/>
    <mergeCell ref="M485:N485"/>
    <mergeCell ref="M486:N486"/>
    <mergeCell ref="M487:N487"/>
    <mergeCell ref="M489:N489"/>
    <mergeCell ref="M490:N490"/>
    <mergeCell ref="M491:N491"/>
    <mergeCell ref="M492:N492"/>
    <mergeCell ref="M493:N493"/>
    <mergeCell ref="M494:N494"/>
    <mergeCell ref="M496:N496"/>
    <mergeCell ref="M498:N498"/>
    <mergeCell ref="M499:N499"/>
    <mergeCell ref="M500:N500"/>
    <mergeCell ref="M501:N501"/>
    <mergeCell ref="M502:N502"/>
    <mergeCell ref="M503:N503"/>
    <mergeCell ref="M504:N504"/>
    <mergeCell ref="M505:N505"/>
    <mergeCell ref="M506:N506"/>
    <mergeCell ref="M507:N507"/>
    <mergeCell ref="M510:N510"/>
    <mergeCell ref="M511:N511"/>
    <mergeCell ref="M512:N512"/>
    <mergeCell ref="M514:N514"/>
    <mergeCell ref="M515:N515"/>
    <mergeCell ref="M516:N516"/>
    <mergeCell ref="M517:N517"/>
    <mergeCell ref="M518:N518"/>
    <mergeCell ref="M519:N519"/>
    <mergeCell ref="M522:N522"/>
    <mergeCell ref="M523:N523"/>
    <mergeCell ref="M527:N527"/>
    <mergeCell ref="M543:N543"/>
    <mergeCell ref="M544:N544"/>
    <mergeCell ref="M545:N545"/>
    <mergeCell ref="M546:N546"/>
    <mergeCell ref="M547:N547"/>
    <mergeCell ref="M548:N548"/>
    <mergeCell ref="M550:N550"/>
    <mergeCell ref="M524:N524"/>
    <mergeCell ref="M525:N525"/>
    <mergeCell ref="M526:N526"/>
    <mergeCell ref="M536:N536"/>
    <mergeCell ref="M538:N538"/>
    <mergeCell ref="M539:N539"/>
    <mergeCell ref="M540:N540"/>
    <mergeCell ref="M562:N562"/>
    <mergeCell ref="M565:N565"/>
    <mergeCell ref="M566:N566"/>
    <mergeCell ref="M567:N567"/>
    <mergeCell ref="M568:N568"/>
    <mergeCell ref="M569:N569"/>
    <mergeCell ref="M570:N570"/>
    <mergeCell ref="M571:N571"/>
    <mergeCell ref="M551:N551"/>
    <mergeCell ref="M552:N552"/>
    <mergeCell ref="M553:N553"/>
    <mergeCell ref="M554:N554"/>
    <mergeCell ref="M555:N555"/>
    <mergeCell ref="M557:N557"/>
    <mergeCell ref="M558:N558"/>
    <mergeCell ref="M559:N559"/>
    <mergeCell ref="M560:N560"/>
    <mergeCell ref="M295:N295"/>
    <mergeCell ref="M296:N296"/>
    <mergeCell ref="M593:N593"/>
    <mergeCell ref="M594:N594"/>
    <mergeCell ref="M596:N596"/>
    <mergeCell ref="M582:N582"/>
    <mergeCell ref="M583:N583"/>
    <mergeCell ref="M584:N584"/>
    <mergeCell ref="M585:N585"/>
    <mergeCell ref="M586:N586"/>
    <mergeCell ref="M588:N588"/>
    <mergeCell ref="M589:N589"/>
    <mergeCell ref="M590:N590"/>
    <mergeCell ref="M592:N592"/>
    <mergeCell ref="M572:N572"/>
    <mergeCell ref="M573:N573"/>
    <mergeCell ref="M574:N574"/>
    <mergeCell ref="M575:N575"/>
    <mergeCell ref="M576:N576"/>
    <mergeCell ref="M577:N577"/>
    <mergeCell ref="M578:N578"/>
    <mergeCell ref="M580:N580"/>
    <mergeCell ref="M581:N581"/>
    <mergeCell ref="M561:N561"/>
  </mergeCells>
  <conditionalFormatting sqref="K541:K606 K6:K291 K297:K524">
    <cfRule type="expression" dxfId="144" priority="74">
      <formula>H6=1</formula>
    </cfRule>
  </conditionalFormatting>
  <conditionalFormatting sqref="I7:I291 I541:I606 I297:I524">
    <cfRule type="cellIs" dxfId="143" priority="66" operator="lessThan">
      <formula>0</formula>
    </cfRule>
  </conditionalFormatting>
  <conditionalFormatting sqref="L6:L291 L541:L606 L297:L524">
    <cfRule type="cellIs" dxfId="142" priority="64" operator="greaterThan">
      <formula>0</formula>
    </cfRule>
    <cfRule type="cellIs" dxfId="141" priority="65" operator="equal">
      <formula>0</formula>
    </cfRule>
  </conditionalFormatting>
  <conditionalFormatting sqref="O6:O291 O541:O606 O297:O524">
    <cfRule type="containsText" dxfId="140" priority="67" operator="containsText" text="Expired">
      <formula>NOT(ISERROR(SEARCH("Expired",O6)))</formula>
    </cfRule>
    <cfRule type="containsText" dxfId="139" priority="68" operator="containsText" text="B1">
      <formula>NOT(ISERROR(SEARCH("B1",O6)))</formula>
    </cfRule>
    <cfRule type="containsText" dxfId="138" priority="69" operator="containsText" text="LCA">
      <formula>NOT(ISERROR(SEARCH("LCA",O6)))</formula>
    </cfRule>
    <cfRule type="containsText" dxfId="137" priority="70" operator="containsText" text="ICE">
      <formula>NOT(ISERROR(SEARCH("ICE",O6)))</formula>
    </cfRule>
    <cfRule type="containsText" dxfId="136" priority="71" operator="containsText" text="No">
      <formula>NOT(ISERROR(SEARCH("No",O6)))</formula>
    </cfRule>
    <cfRule type="containsText" dxfId="135" priority="72" operator="containsText" text="None">
      <formula>NOT(ISERROR(SEARCH("None",O6)))</formula>
    </cfRule>
    <cfRule type="containsText" dxfId="134" priority="73" operator="containsText" text="A1-">
      <formula>NOT(ISERROR(SEARCH("A1-",O6)))</formula>
    </cfRule>
  </conditionalFormatting>
  <conditionalFormatting sqref="P4">
    <cfRule type="cellIs" dxfId="133" priority="60" operator="greaterThan">
      <formula>0</formula>
    </cfRule>
    <cfRule type="cellIs" dxfId="132" priority="61" operator="equal">
      <formula>0</formula>
    </cfRule>
  </conditionalFormatting>
  <conditionalFormatting sqref="O4">
    <cfRule type="expression" dxfId="131" priority="59">
      <formula>COUNTIF($H:$H, 1)&gt;0</formula>
    </cfRule>
  </conditionalFormatting>
  <conditionalFormatting sqref="K525:K527">
    <cfRule type="expression" dxfId="130" priority="47">
      <formula>H525=1</formula>
    </cfRule>
  </conditionalFormatting>
  <conditionalFormatting sqref="I525:I527">
    <cfRule type="cellIs" dxfId="129" priority="39" operator="lessThan">
      <formula>0</formula>
    </cfRule>
  </conditionalFormatting>
  <conditionalFormatting sqref="L525:L527">
    <cfRule type="cellIs" dxfId="128" priority="37" operator="greaterThan">
      <formula>0</formula>
    </cfRule>
    <cfRule type="cellIs" dxfId="127" priority="38" operator="equal">
      <formula>0</formula>
    </cfRule>
  </conditionalFormatting>
  <conditionalFormatting sqref="O525:O527">
    <cfRule type="containsText" dxfId="126" priority="40" operator="containsText" text="Expired">
      <formula>NOT(ISERROR(SEARCH("Expired",O525)))</formula>
    </cfRule>
    <cfRule type="containsText" dxfId="125" priority="41" operator="containsText" text="B1">
      <formula>NOT(ISERROR(SEARCH("B1",O525)))</formula>
    </cfRule>
    <cfRule type="containsText" dxfId="124" priority="42" operator="containsText" text="LCA">
      <formula>NOT(ISERROR(SEARCH("LCA",O525)))</formula>
    </cfRule>
    <cfRule type="containsText" dxfId="123" priority="43" operator="containsText" text="ICE">
      <formula>NOT(ISERROR(SEARCH("ICE",O525)))</formula>
    </cfRule>
    <cfRule type="containsText" dxfId="122" priority="44" operator="containsText" text="No">
      <formula>NOT(ISERROR(SEARCH("No",O525)))</formula>
    </cfRule>
    <cfRule type="containsText" dxfId="121" priority="45" operator="containsText" text="None">
      <formula>NOT(ISERROR(SEARCH("None",O525)))</formula>
    </cfRule>
    <cfRule type="containsText" dxfId="120" priority="46" operator="containsText" text="A1-">
      <formula>NOT(ISERROR(SEARCH("A1-",O525)))</formula>
    </cfRule>
  </conditionalFormatting>
  <conditionalFormatting sqref="K528:K540">
    <cfRule type="expression" dxfId="119" priority="36">
      <formula>H528=1</formula>
    </cfRule>
  </conditionalFormatting>
  <conditionalFormatting sqref="I528:I540">
    <cfRule type="cellIs" dxfId="118" priority="28" operator="lessThan">
      <formula>0</formula>
    </cfRule>
  </conditionalFormatting>
  <conditionalFormatting sqref="L528:L540">
    <cfRule type="cellIs" dxfId="117" priority="26" operator="greaterThan">
      <formula>0</formula>
    </cfRule>
    <cfRule type="cellIs" dxfId="116" priority="27" operator="equal">
      <formula>0</formula>
    </cfRule>
  </conditionalFormatting>
  <conditionalFormatting sqref="O528:O540">
    <cfRule type="containsText" dxfId="115" priority="29" operator="containsText" text="Expired">
      <formula>NOT(ISERROR(SEARCH("Expired",O528)))</formula>
    </cfRule>
    <cfRule type="containsText" dxfId="114" priority="30" operator="containsText" text="B1">
      <formula>NOT(ISERROR(SEARCH("B1",O528)))</formula>
    </cfRule>
    <cfRule type="containsText" dxfId="113" priority="31" operator="containsText" text="LCA">
      <formula>NOT(ISERROR(SEARCH("LCA",O528)))</formula>
    </cfRule>
    <cfRule type="containsText" dxfId="112" priority="32" operator="containsText" text="ICE">
      <formula>NOT(ISERROR(SEARCH("ICE",O528)))</formula>
    </cfRule>
    <cfRule type="containsText" dxfId="111" priority="33" operator="containsText" text="No">
      <formula>NOT(ISERROR(SEARCH("No",O528)))</formula>
    </cfRule>
    <cfRule type="containsText" dxfId="110" priority="34" operator="containsText" text="None">
      <formula>NOT(ISERROR(SEARCH("None",O528)))</formula>
    </cfRule>
    <cfRule type="containsText" dxfId="109" priority="35" operator="containsText" text="A1-">
      <formula>NOT(ISERROR(SEARCH("A1-",O528)))</formula>
    </cfRule>
  </conditionalFormatting>
  <conditionalFormatting sqref="K292">
    <cfRule type="expression" dxfId="108" priority="25">
      <formula>H292=1</formula>
    </cfRule>
  </conditionalFormatting>
  <conditionalFormatting sqref="I292:I293">
    <cfRule type="cellIs" dxfId="107" priority="17" operator="lessThan">
      <formula>0</formula>
    </cfRule>
  </conditionalFormatting>
  <conditionalFormatting sqref="L292">
    <cfRule type="cellIs" dxfId="106" priority="15" operator="greaterThan">
      <formula>0</formula>
    </cfRule>
    <cfRule type="cellIs" dxfId="105" priority="16" operator="equal">
      <formula>0</formula>
    </cfRule>
  </conditionalFormatting>
  <conditionalFormatting sqref="O292:O293">
    <cfRule type="containsText" dxfId="104" priority="18" operator="containsText" text="Expired">
      <formula>NOT(ISERROR(SEARCH("Expired",O292)))</formula>
    </cfRule>
    <cfRule type="containsText" dxfId="103" priority="19" operator="containsText" text="B1">
      <formula>NOT(ISERROR(SEARCH("B1",O292)))</formula>
    </cfRule>
    <cfRule type="containsText" dxfId="102" priority="20" operator="containsText" text="LCA">
      <formula>NOT(ISERROR(SEARCH("LCA",O292)))</formula>
    </cfRule>
    <cfRule type="containsText" dxfId="101" priority="21" operator="containsText" text="ICE">
      <formula>NOT(ISERROR(SEARCH("ICE",O292)))</formula>
    </cfRule>
    <cfRule type="containsText" dxfId="100" priority="22" operator="containsText" text="No">
      <formula>NOT(ISERROR(SEARCH("No",O292)))</formula>
    </cfRule>
    <cfRule type="containsText" dxfId="99" priority="23" operator="containsText" text="None">
      <formula>NOT(ISERROR(SEARCH("None",O292)))</formula>
    </cfRule>
    <cfRule type="containsText" dxfId="98" priority="24" operator="containsText" text="A1-">
      <formula>NOT(ISERROR(SEARCH("A1-",O292)))</formula>
    </cfRule>
  </conditionalFormatting>
  <conditionalFormatting sqref="K294:K296">
    <cfRule type="expression" dxfId="97" priority="14">
      <formula>H294=1</formula>
    </cfRule>
  </conditionalFormatting>
  <conditionalFormatting sqref="I294:I296">
    <cfRule type="cellIs" dxfId="96" priority="6" operator="lessThan">
      <formula>0</formula>
    </cfRule>
  </conditionalFormatting>
  <conditionalFormatting sqref="L294:L296">
    <cfRule type="cellIs" dxfId="95" priority="4" operator="greaterThan">
      <formula>0</formula>
    </cfRule>
    <cfRule type="cellIs" dxfId="94" priority="5" operator="equal">
      <formula>0</formula>
    </cfRule>
  </conditionalFormatting>
  <conditionalFormatting sqref="O294:O296">
    <cfRule type="containsText" dxfId="93" priority="7" operator="containsText" text="Expired">
      <formula>NOT(ISERROR(SEARCH("Expired",O294)))</formula>
    </cfRule>
    <cfRule type="containsText" dxfId="92" priority="8" operator="containsText" text="B1">
      <formula>NOT(ISERROR(SEARCH("B1",O294)))</formula>
    </cfRule>
    <cfRule type="containsText" dxfId="91" priority="9" operator="containsText" text="LCA">
      <formula>NOT(ISERROR(SEARCH("LCA",O294)))</formula>
    </cfRule>
    <cfRule type="containsText" dxfId="90" priority="10" operator="containsText" text="ICE">
      <formula>NOT(ISERROR(SEARCH("ICE",O294)))</formula>
    </cfRule>
    <cfRule type="containsText" dxfId="89" priority="11" operator="containsText" text="No">
      <formula>NOT(ISERROR(SEARCH("No",O294)))</formula>
    </cfRule>
    <cfRule type="containsText" dxfId="88" priority="12" operator="containsText" text="None">
      <formula>NOT(ISERROR(SEARCH("None",O294)))</formula>
    </cfRule>
    <cfRule type="containsText" dxfId="87" priority="13" operator="containsText" text="A1-">
      <formula>NOT(ISERROR(SEARCH("A1-",O294)))</formula>
    </cfRule>
  </conditionalFormatting>
  <conditionalFormatting sqref="K293">
    <cfRule type="expression" dxfId="86" priority="3">
      <formula>H293=1</formula>
    </cfRule>
  </conditionalFormatting>
  <conditionalFormatting sqref="L293">
    <cfRule type="cellIs" dxfId="85" priority="1" operator="greaterThan">
      <formula>0</formula>
    </cfRule>
    <cfRule type="cellIs" dxfId="84" priority="2" operator="equal">
      <formula>0</formula>
    </cfRule>
  </conditionalFormatting>
  <dataValidations count="3">
    <dataValidation type="list" allowBlank="1" showErrorMessage="1" sqref="E119 E148 E381 E459 E541" xr:uid="{00000000-0002-0000-1300-000000000000}">
      <formula1>spacing</formula1>
    </dataValidation>
    <dataValidation type="whole" errorStyle="warning" operator="equal" allowBlank="1" showErrorMessage="1" errorTitle="Enter 1 to select" error="Options:_x000a_To select item, enter '1'_x000a_To unselect, leave cell empty" sqref="H8:H29 H60:H84 H421:H436 H87:H105 H439:H458 H460:H596 H32:H57 H108:H198 H200:H247 H249:H419" xr:uid="{00000000-0002-0000-1300-000001000000}">
      <formula1>1</formula1>
    </dataValidation>
    <dataValidation type="list" allowBlank="1" showErrorMessage="1" sqref="F6 F9 F58" xr:uid="{00000000-0002-0000-1300-000002000000}">
      <formula1>thickness</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3">
    <tabColor theme="7" tint="0.59999389629810485"/>
  </sheetPr>
  <dimension ref="A1:AE305"/>
  <sheetViews>
    <sheetView zoomScale="80" zoomScaleNormal="80" workbookViewId="0">
      <pane ySplit="4" topLeftCell="A5" activePane="bottomLeft" state="frozen"/>
      <selection activeCell="K14" sqref="K14"/>
      <selection pane="bottomLeft" activeCell="A5" sqref="A5:D5"/>
    </sheetView>
  </sheetViews>
  <sheetFormatPr defaultColWidth="11.36328125" defaultRowHeight="15" customHeight="1" x14ac:dyDescent="0.25"/>
  <cols>
    <col min="1" max="1" width="11.36328125" style="619"/>
    <col min="2" max="2" width="10.6328125" customWidth="1"/>
    <col min="3" max="3" width="8.6328125" customWidth="1"/>
    <col min="4" max="4" width="55.6328125" customWidth="1"/>
    <col min="5" max="5" width="14.36328125" style="712" customWidth="1"/>
    <col min="6" max="6" width="5.6328125" customWidth="1"/>
    <col min="7" max="7" width="6.6328125" style="331" customWidth="1"/>
    <col min="8" max="8" width="2.36328125" customWidth="1"/>
    <col min="9" max="9" width="6.6328125" customWidth="1"/>
    <col min="10" max="10" width="14.6328125" style="714" hidden="1" customWidth="1"/>
    <col min="11" max="11" width="16.6328125" style="714" hidden="1" customWidth="1"/>
    <col min="12" max="13" width="13.6328125" style="714" customWidth="1"/>
    <col min="14" max="14" width="36.1796875" style="714" customWidth="1"/>
    <col min="15" max="15" width="12.6328125" style="714" customWidth="1"/>
    <col min="16" max="16" width="33.6328125" customWidth="1"/>
    <col min="17" max="17" width="33.6328125" style="620" customWidth="1"/>
    <col min="18" max="18" width="19.1796875" style="757" hidden="1" customWidth="1"/>
    <col min="19" max="19" width="15.6328125" style="757" hidden="1" customWidth="1"/>
    <col min="20" max="20" width="10.54296875" style="619" hidden="1" customWidth="1"/>
    <col min="21" max="21" width="10.54296875" style="345" hidden="1" customWidth="1"/>
    <col min="22" max="22" width="10.54296875" style="354" hidden="1" customWidth="1"/>
    <col min="23" max="29" width="10.54296875" style="619" customWidth="1"/>
    <col min="30" max="31" width="11.36328125" style="619" customWidth="1"/>
    <col min="32" max="16384" width="11.36328125" style="619"/>
  </cols>
  <sheetData>
    <row r="1" spans="1:31" ht="54.75" customHeight="1" x14ac:dyDescent="0.25">
      <c r="A1" s="1666" t="s">
        <v>3443</v>
      </c>
      <c r="B1" s="1666"/>
      <c r="C1" s="1666"/>
      <c r="D1" s="1666"/>
      <c r="E1" s="1660" t="s">
        <v>1704</v>
      </c>
      <c r="F1" s="1660"/>
      <c r="G1" s="1660"/>
      <c r="H1" s="1660"/>
      <c r="I1" s="1660"/>
      <c r="J1" s="1660"/>
      <c r="K1" s="1660"/>
      <c r="L1" s="1660"/>
      <c r="M1" s="1660"/>
      <c r="N1" s="716"/>
      <c r="O1" s="716"/>
      <c r="P1" s="618"/>
      <c r="Q1" s="618"/>
      <c r="V1" s="345"/>
    </row>
    <row r="2" spans="1:31" s="621" customFormat="1" ht="40.65" customHeight="1" x14ac:dyDescent="0.3">
      <c r="A2" s="346"/>
      <c r="B2" s="1663" t="s">
        <v>4918</v>
      </c>
      <c r="C2" s="1664"/>
      <c r="D2" s="1664"/>
      <c r="E2" s="1664"/>
      <c r="F2" s="1665" t="s">
        <v>7212</v>
      </c>
      <c r="G2" s="1665"/>
      <c r="H2" s="1665"/>
      <c r="I2" s="1665"/>
      <c r="J2" s="1665"/>
      <c r="K2" s="1665"/>
      <c r="L2" s="1665"/>
      <c r="M2" s="1665"/>
      <c r="N2" s="1659"/>
      <c r="O2" s="1659"/>
      <c r="P2" s="1657" t="s">
        <v>1760</v>
      </c>
      <c r="Q2" s="1657"/>
      <c r="R2" s="758"/>
      <c r="S2" s="758"/>
      <c r="U2" s="346"/>
      <c r="V2" s="346"/>
    </row>
    <row r="3" spans="1:31" s="624" customFormat="1" ht="60" customHeight="1" x14ac:dyDescent="0.25">
      <c r="A3" s="1537" t="s">
        <v>1031</v>
      </c>
      <c r="B3" s="1537"/>
      <c r="C3" s="1537"/>
      <c r="D3" s="1537" t="s">
        <v>13</v>
      </c>
      <c r="E3" s="1641" t="s">
        <v>1583</v>
      </c>
      <c r="F3" s="1661" t="s">
        <v>895</v>
      </c>
      <c r="G3" s="1537" t="s">
        <v>14</v>
      </c>
      <c r="H3" s="1537"/>
      <c r="I3" s="1538" t="s">
        <v>3417</v>
      </c>
      <c r="J3" s="1526" t="s">
        <v>7157</v>
      </c>
      <c r="K3" s="1526" t="s">
        <v>7158</v>
      </c>
      <c r="L3" s="1535" t="s">
        <v>900</v>
      </c>
      <c r="M3" s="1535" t="s">
        <v>7156</v>
      </c>
      <c r="N3" s="1520" t="s">
        <v>7165</v>
      </c>
      <c r="O3" s="1520"/>
      <c r="P3" s="622" t="s">
        <v>7196</v>
      </c>
      <c r="Q3" s="622" t="s">
        <v>7186</v>
      </c>
      <c r="R3" s="728"/>
      <c r="S3" s="728"/>
      <c r="T3" s="623"/>
      <c r="U3" s="347"/>
      <c r="V3" s="347"/>
      <c r="W3" s="623"/>
      <c r="X3" s="623"/>
      <c r="Y3" s="623"/>
      <c r="Z3" s="623"/>
      <c r="AA3" s="623"/>
      <c r="AB3" s="623"/>
      <c r="AC3" s="623"/>
      <c r="AD3" s="623"/>
      <c r="AE3" s="623"/>
    </row>
    <row r="4" spans="1:31" s="624" customFormat="1" ht="30.15" customHeight="1" x14ac:dyDescent="0.25">
      <c r="A4" s="1537"/>
      <c r="B4" s="1537"/>
      <c r="C4" s="1537"/>
      <c r="D4" s="1537"/>
      <c r="E4" s="1642"/>
      <c r="F4" s="1662"/>
      <c r="G4" s="1537"/>
      <c r="H4" s="1537"/>
      <c r="I4" s="1539"/>
      <c r="J4" s="1527"/>
      <c r="K4" s="1527"/>
      <c r="L4" s="1536"/>
      <c r="M4" s="1536"/>
      <c r="N4" s="1520"/>
      <c r="O4" s="1520"/>
      <c r="P4" s="405">
        <f>SUMIF(I6:I30, 1, L6:L30)</f>
        <v>0</v>
      </c>
      <c r="Q4" s="424">
        <f>SUMIF(I6:I30, 1, M6:M30)</f>
        <v>0</v>
      </c>
      <c r="R4" s="728"/>
      <c r="S4" s="728"/>
      <c r="U4" s="348"/>
      <c r="V4" s="348"/>
    </row>
    <row r="5" spans="1:31" s="624" customFormat="1" ht="55.2" customHeight="1" x14ac:dyDescent="0.25">
      <c r="A5" s="1658" t="s">
        <v>1721</v>
      </c>
      <c r="B5" s="1658"/>
      <c r="C5" s="1658"/>
      <c r="D5" s="1658"/>
      <c r="E5" s="649"/>
      <c r="F5" s="650"/>
      <c r="G5" s="321"/>
      <c r="H5" s="650"/>
      <c r="I5" s="650"/>
      <c r="J5" s="651"/>
      <c r="K5" s="103"/>
      <c r="L5" s="759"/>
      <c r="M5" s="653"/>
      <c r="N5" s="653"/>
      <c r="O5" s="653"/>
      <c r="P5" s="705"/>
      <c r="Q5" s="685"/>
      <c r="R5" s="28"/>
      <c r="S5" s="28"/>
      <c r="T5" s="638"/>
      <c r="U5" s="349"/>
      <c r="V5" s="349"/>
      <c r="W5" s="638"/>
      <c r="X5" s="638"/>
      <c r="Y5" s="638"/>
      <c r="Z5" s="638"/>
      <c r="AA5" s="638"/>
      <c r="AB5" s="638"/>
      <c r="AC5" s="638"/>
      <c r="AD5" s="623"/>
      <c r="AE5" s="623"/>
    </row>
    <row r="6" spans="1:31" s="624" customFormat="1" ht="24" customHeight="1" thickBot="1" x14ac:dyDescent="0.3">
      <c r="A6" s="639"/>
      <c r="B6" s="639"/>
      <c r="C6" s="1524" t="s">
        <v>1724</v>
      </c>
      <c r="D6" s="1524"/>
      <c r="E6" s="640"/>
      <c r="F6" s="641"/>
      <c r="G6" s="325"/>
      <c r="H6" s="678"/>
      <c r="I6" s="679"/>
      <c r="J6" s="642"/>
      <c r="K6" s="643"/>
      <c r="L6" s="727"/>
      <c r="M6" s="727"/>
      <c r="N6" s="727"/>
      <c r="O6" s="727"/>
      <c r="P6" s="25" t="str">
        <f>IF(ISTEXT(VLOOKUP($D6,'Master sheet'!$A:$AR,42,FALSE)),VLOOKUP($D6,'Master sheet'!$A:$AR,42,FALSE),"")</f>
        <v/>
      </c>
      <c r="Q6" s="637"/>
      <c r="R6" s="29"/>
      <c r="S6" s="757"/>
      <c r="U6" s="350" t="s">
        <v>3357</v>
      </c>
      <c r="V6" s="351"/>
      <c r="W6" s="638"/>
      <c r="X6" s="638"/>
      <c r="Y6" s="638"/>
      <c r="Z6" s="638"/>
      <c r="AA6" s="638"/>
      <c r="AB6" s="638"/>
      <c r="AC6" s="638"/>
      <c r="AD6" s="623"/>
      <c r="AE6" s="623"/>
    </row>
    <row r="7" spans="1:31" s="624" customFormat="1" ht="21.6" thickBot="1" x14ac:dyDescent="0.3">
      <c r="A7" s="319"/>
      <c r="B7" s="1654" t="s">
        <v>1396</v>
      </c>
      <c r="C7" s="1655"/>
      <c r="D7" s="244"/>
      <c r="E7" s="249"/>
      <c r="F7" s="876" t="s">
        <v>3</v>
      </c>
      <c r="G7" s="267">
        <v>1</v>
      </c>
      <c r="H7" s="877"/>
      <c r="I7" s="7"/>
      <c r="J7" s="104" t="e">
        <f t="shared" ref="J7:J9" si="0">L7-M7-IF(O7,N7,0)</f>
        <v>#N/A</v>
      </c>
      <c r="K7" s="284" t="str">
        <f t="shared" ref="K7:K21" si="1">IF(I7=1,J7,"")</f>
        <v/>
      </c>
      <c r="L7" s="406" t="e">
        <f>$E7*$G7*VLOOKUP($D7,'Master sheet'!$A:$AL,13,FALSE)</f>
        <v>#N/A</v>
      </c>
      <c r="M7" s="94" t="e">
        <f>$E7*$G7*VLOOKUP($D7,'Master sheet'!$A:$AL,27,FALSE)</f>
        <v>#N/A</v>
      </c>
      <c r="N7" s="1562"/>
      <c r="O7" s="1562"/>
      <c r="P7" s="25" t="str">
        <f>_xlfn.IFNA(VLOOKUP($D7,'Master sheet'!$A:$AR,44,FALSE),"")&amp;""</f>
        <v/>
      </c>
      <c r="Q7" s="685"/>
      <c r="R7" s="245" t="s">
        <v>1722</v>
      </c>
      <c r="S7" s="28" t="str">
        <f>IF(LEN($A7)&gt;0, $A7,$A$5)</f>
        <v>EXISTING DATABASE MATERIALS</v>
      </c>
      <c r="T7" s="638"/>
      <c r="U7" s="349" t="str" cm="1">
        <f t="array" aca="1" ref="U7" ca="1">_xlfn.IFNA(MATCH(D7,'Dropdown Lists'!$E$2:$E$144,0), "") &amp; "," &amp; CELL("col", 'Dropdown Lists'!$E$2)</f>
        <v>,5</v>
      </c>
      <c r="V7" s="352" t="s">
        <v>3392</v>
      </c>
      <c r="W7" s="638"/>
      <c r="X7" s="638"/>
      <c r="Y7" s="638"/>
      <c r="Z7" s="638"/>
      <c r="AA7" s="638"/>
      <c r="AB7" s="638"/>
      <c r="AC7" s="638"/>
      <c r="AD7" s="623"/>
      <c r="AE7" s="623"/>
    </row>
    <row r="8" spans="1:31" s="624" customFormat="1" ht="21.6" thickBot="1" x14ac:dyDescent="0.3">
      <c r="A8" s="319"/>
      <c r="B8" s="1652" t="s">
        <v>1396</v>
      </c>
      <c r="C8" s="1653"/>
      <c r="D8" s="244"/>
      <c r="E8" s="249"/>
      <c r="F8" s="876" t="s">
        <v>3</v>
      </c>
      <c r="G8" s="267">
        <v>1</v>
      </c>
      <c r="H8" s="877"/>
      <c r="I8" s="7"/>
      <c r="J8" s="104" t="e">
        <f t="shared" si="0"/>
        <v>#N/A</v>
      </c>
      <c r="K8" s="284" t="str">
        <f t="shared" si="1"/>
        <v/>
      </c>
      <c r="L8" s="406" t="e">
        <f>$E8*$G8*VLOOKUP($D8,'Master sheet'!$A:$AL,13,FALSE)</f>
        <v>#N/A</v>
      </c>
      <c r="M8" s="94" t="e">
        <f>$E8*$G8*VLOOKUP($D8,'Master sheet'!$A:$AL,27,FALSE)</f>
        <v>#N/A</v>
      </c>
      <c r="N8" s="1552"/>
      <c r="O8" s="1552"/>
      <c r="P8" s="25" t="str">
        <f>_xlfn.IFNA(VLOOKUP($D8,'Master sheet'!$A:$AR,44,FALSE),"")&amp;""</f>
        <v/>
      </c>
      <c r="Q8" s="685"/>
      <c r="R8" s="245" t="s">
        <v>1722</v>
      </c>
      <c r="S8" s="28" t="str">
        <f>IF(LEN($A8)&gt;0, $A8,$A$5)</f>
        <v>EXISTING DATABASE MATERIALS</v>
      </c>
      <c r="T8" s="638"/>
      <c r="U8" s="349" t="str" cm="1">
        <f t="array" aca="1" ref="U8" ca="1">_xlfn.IFNA(MATCH(D8,'Dropdown Lists'!$E$2:$E$144,0), "") &amp; "," &amp; CELL("col", 'Dropdown Lists'!$E$2)</f>
        <v>,5</v>
      </c>
      <c r="V8" s="352" t="s">
        <v>3392</v>
      </c>
      <c r="W8" s="638"/>
      <c r="X8" s="638"/>
      <c r="Y8" s="638"/>
      <c r="Z8" s="638"/>
      <c r="AA8" s="638"/>
      <c r="AB8" s="638"/>
      <c r="AC8" s="638"/>
      <c r="AD8" s="623"/>
      <c r="AE8" s="623"/>
    </row>
    <row r="9" spans="1:31" s="624" customFormat="1" ht="21.6" thickBot="1" x14ac:dyDescent="0.3">
      <c r="A9" s="319"/>
      <c r="B9" s="1652" t="s">
        <v>1396</v>
      </c>
      <c r="C9" s="1653"/>
      <c r="D9" s="244"/>
      <c r="E9" s="249"/>
      <c r="F9" s="876" t="s">
        <v>3</v>
      </c>
      <c r="G9" s="267">
        <v>1</v>
      </c>
      <c r="H9" s="877"/>
      <c r="I9" s="7"/>
      <c r="J9" s="104" t="e">
        <f t="shared" si="0"/>
        <v>#N/A</v>
      </c>
      <c r="K9" s="284" t="str">
        <f t="shared" si="1"/>
        <v/>
      </c>
      <c r="L9" s="406" t="e">
        <f>$E9*$G9*VLOOKUP($D9,'Master sheet'!$A:$AL,13,FALSE)</f>
        <v>#N/A</v>
      </c>
      <c r="M9" s="94" t="e">
        <f>$E9*$G9*VLOOKUP($D9,'Master sheet'!$A:$AL,27,FALSE)</f>
        <v>#N/A</v>
      </c>
      <c r="N9" s="1552"/>
      <c r="O9" s="1552"/>
      <c r="P9" s="25" t="str">
        <f>_xlfn.IFNA(VLOOKUP($D9,'Master sheet'!$A:$AR,44,FALSE),"")&amp;""</f>
        <v/>
      </c>
      <c r="Q9" s="685"/>
      <c r="R9" s="245" t="s">
        <v>1722</v>
      </c>
      <c r="S9" s="28" t="str">
        <f>IF(LEN($A9)&gt;0, $A9,$A$5)</f>
        <v>EXISTING DATABASE MATERIALS</v>
      </c>
      <c r="T9" s="638"/>
      <c r="U9" s="349" t="str" cm="1">
        <f t="array" aca="1" ref="U9" ca="1">_xlfn.IFNA(MATCH(D9,'Dropdown Lists'!$E$2:$E$144,0), "") &amp; "," &amp; CELL("col", 'Dropdown Lists'!$E$2)</f>
        <v>,5</v>
      </c>
      <c r="V9" s="352" t="s">
        <v>3392</v>
      </c>
      <c r="W9" s="638"/>
      <c r="X9" s="638"/>
      <c r="Y9" s="638"/>
      <c r="Z9" s="638"/>
      <c r="AA9" s="638"/>
      <c r="AB9" s="638"/>
      <c r="AC9" s="638"/>
      <c r="AD9" s="623"/>
      <c r="AE9" s="623"/>
    </row>
    <row r="10" spans="1:31" s="624" customFormat="1" ht="23.4" thickBot="1" x14ac:dyDescent="0.3">
      <c r="A10" s="639"/>
      <c r="B10" s="639"/>
      <c r="C10" s="1524" t="s">
        <v>1725</v>
      </c>
      <c r="D10" s="1523"/>
      <c r="E10" s="640"/>
      <c r="F10" s="641"/>
      <c r="G10" s="325"/>
      <c r="H10" s="678"/>
      <c r="I10" s="679"/>
      <c r="J10" s="642"/>
      <c r="K10" s="643"/>
      <c r="L10" s="676"/>
      <c r="M10" s="727"/>
      <c r="N10" s="727"/>
      <c r="O10" s="727"/>
      <c r="P10" s="25" t="str">
        <f>_xlfn.IFNA(VLOOKUP($D10,'Master sheet'!$A:$AR,44,FALSE),"")&amp;""</f>
        <v/>
      </c>
      <c r="Q10" s="637"/>
      <c r="R10" s="29"/>
      <c r="S10" s="757"/>
      <c r="U10" s="349"/>
      <c r="V10" s="352"/>
      <c r="W10" s="638"/>
      <c r="X10" s="638"/>
      <c r="Y10" s="638"/>
      <c r="Z10" s="638"/>
      <c r="AA10" s="638"/>
      <c r="AB10" s="638"/>
      <c r="AC10" s="638"/>
      <c r="AD10" s="623"/>
      <c r="AE10" s="623"/>
    </row>
    <row r="11" spans="1:31" ht="21.6" thickBot="1" x14ac:dyDescent="0.3">
      <c r="A11" s="319"/>
      <c r="B11" s="1654" t="s">
        <v>1398</v>
      </c>
      <c r="C11" s="1655"/>
      <c r="D11" s="244"/>
      <c r="E11" s="249"/>
      <c r="F11" s="876" t="s">
        <v>5</v>
      </c>
      <c r="G11" s="267">
        <v>1</v>
      </c>
      <c r="H11" s="877"/>
      <c r="I11" s="7"/>
      <c r="J11" s="104" t="e">
        <f t="shared" ref="J11:J13" si="2">L11-M11-IF(O11,N11,0)</f>
        <v>#N/A</v>
      </c>
      <c r="K11" s="284" t="str">
        <f t="shared" si="1"/>
        <v/>
      </c>
      <c r="L11" s="406" t="e">
        <f>$E11*$G11*VLOOKUP($D11,'Master sheet'!$A:$AL,13,FALSE)</f>
        <v>#N/A</v>
      </c>
      <c r="M11" s="94" t="e">
        <f>$E11*$G11*VLOOKUP($D11,'Master sheet'!$A:$AL,27,FALSE)</f>
        <v>#N/A</v>
      </c>
      <c r="N11" s="1562"/>
      <c r="O11" s="1562"/>
      <c r="P11" s="25" t="str">
        <f>_xlfn.IFNA(VLOOKUP($D11,'Master sheet'!$A:$AR,44,FALSE),"")&amp;""</f>
        <v/>
      </c>
      <c r="Q11" s="685"/>
      <c r="R11" s="245" t="s">
        <v>1722</v>
      </c>
      <c r="S11" s="28" t="str">
        <f>IF(LEN($A11)&gt;0, $A11,$A$5)</f>
        <v>EXISTING DATABASE MATERIALS</v>
      </c>
      <c r="T11" s="664"/>
      <c r="U11" s="349" t="str" cm="1">
        <f t="array" aca="1" ref="U11" ca="1">_xlfn.IFNA(MATCH(D11,'Dropdown Lists'!$F$2:$F$161,0), "")&amp; "," &amp; CELL("col", 'Dropdown Lists'!$F$2)</f>
        <v>,6</v>
      </c>
      <c r="V11" s="353" t="s">
        <v>3393</v>
      </c>
      <c r="W11" s="664"/>
      <c r="X11" s="664"/>
      <c r="Y11" s="664"/>
      <c r="Z11" s="664"/>
      <c r="AA11" s="664"/>
      <c r="AB11" s="664"/>
      <c r="AC11" s="664"/>
      <c r="AD11" s="665"/>
      <c r="AE11" s="665"/>
    </row>
    <row r="12" spans="1:31" ht="21.6" thickBot="1" x14ac:dyDescent="0.3">
      <c r="A12" s="319"/>
      <c r="B12" s="1654" t="s">
        <v>1398</v>
      </c>
      <c r="C12" s="1655"/>
      <c r="D12" s="244"/>
      <c r="E12" s="249"/>
      <c r="F12" s="876" t="s">
        <v>5</v>
      </c>
      <c r="G12" s="267">
        <v>1</v>
      </c>
      <c r="H12" s="877"/>
      <c r="I12" s="7"/>
      <c r="J12" s="104" t="e">
        <f t="shared" si="2"/>
        <v>#N/A</v>
      </c>
      <c r="K12" s="284" t="str">
        <f t="shared" si="1"/>
        <v/>
      </c>
      <c r="L12" s="406" t="e">
        <f>$E12*$G12*VLOOKUP($D12,'Master sheet'!$A:$AL,13,FALSE)</f>
        <v>#N/A</v>
      </c>
      <c r="M12" s="94" t="e">
        <f>$E12*$G12*VLOOKUP($D12,'Master sheet'!$A:$AL,27,FALSE)</f>
        <v>#N/A</v>
      </c>
      <c r="N12" s="1552"/>
      <c r="O12" s="1552"/>
      <c r="P12" s="25" t="str">
        <f>_xlfn.IFNA(VLOOKUP($D12,'Master sheet'!$A:$AR,44,FALSE),"")&amp;""</f>
        <v/>
      </c>
      <c r="Q12" s="685"/>
      <c r="R12" s="245" t="s">
        <v>1722</v>
      </c>
      <c r="S12" s="28" t="str">
        <f>IF(LEN($A12)&gt;0, $A12,$A$5)</f>
        <v>EXISTING DATABASE MATERIALS</v>
      </c>
      <c r="T12" s="664"/>
      <c r="U12" s="349" t="str" cm="1">
        <f t="array" aca="1" ref="U12" ca="1">_xlfn.IFNA(MATCH(D12,'Dropdown Lists'!$F$2:$F$161,0), "")&amp; "," &amp; CELL("col", 'Dropdown Lists'!$F$2)</f>
        <v>,6</v>
      </c>
      <c r="V12" s="353" t="s">
        <v>3393</v>
      </c>
      <c r="W12" s="664"/>
      <c r="X12" s="664"/>
      <c r="Y12" s="664"/>
      <c r="Z12" s="664"/>
      <c r="AA12" s="664"/>
      <c r="AB12" s="664"/>
      <c r="AC12" s="664"/>
      <c r="AD12" s="665"/>
      <c r="AE12" s="665"/>
    </row>
    <row r="13" spans="1:31" ht="21.6" thickBot="1" x14ac:dyDescent="0.3">
      <c r="A13" s="319"/>
      <c r="B13" s="1654" t="s">
        <v>1398</v>
      </c>
      <c r="C13" s="1655"/>
      <c r="D13" s="244"/>
      <c r="E13" s="249"/>
      <c r="F13" s="876" t="s">
        <v>5</v>
      </c>
      <c r="G13" s="267">
        <v>1</v>
      </c>
      <c r="H13" s="877"/>
      <c r="I13" s="7"/>
      <c r="J13" s="104" t="e">
        <f t="shared" si="2"/>
        <v>#N/A</v>
      </c>
      <c r="K13" s="284" t="str">
        <f t="shared" si="1"/>
        <v/>
      </c>
      <c r="L13" s="406" t="e">
        <f>$E13*$G13*VLOOKUP($D13,'Master sheet'!$A:$AL,13,FALSE)</f>
        <v>#N/A</v>
      </c>
      <c r="M13" s="94" t="e">
        <f>$E13*$G13*VLOOKUP($D13,'Master sheet'!$A:$AL,27,FALSE)</f>
        <v>#N/A</v>
      </c>
      <c r="N13" s="1552"/>
      <c r="O13" s="1552"/>
      <c r="P13" s="25" t="str">
        <f>_xlfn.IFNA(VLOOKUP($D13,'Master sheet'!$A:$AR,44,FALSE),"")&amp;""</f>
        <v/>
      </c>
      <c r="Q13" s="685"/>
      <c r="R13" s="245" t="s">
        <v>1722</v>
      </c>
      <c r="S13" s="28" t="str">
        <f>IF(LEN($A13)&gt;0, $A13,$A$5)</f>
        <v>EXISTING DATABASE MATERIALS</v>
      </c>
      <c r="T13" s="664"/>
      <c r="U13" s="349" t="str" cm="1">
        <f t="array" aca="1" ref="U13" ca="1">_xlfn.IFNA(MATCH(D13,'Dropdown Lists'!$F$2:$F$161,0), "")&amp; "," &amp; CELL("col", 'Dropdown Lists'!$F$2)</f>
        <v>,6</v>
      </c>
      <c r="V13" s="353" t="s">
        <v>3393</v>
      </c>
      <c r="W13" s="664"/>
      <c r="X13" s="664"/>
      <c r="Y13" s="664"/>
      <c r="Z13" s="664"/>
      <c r="AA13" s="664"/>
      <c r="AB13" s="664"/>
      <c r="AC13" s="664"/>
      <c r="AD13" s="665"/>
      <c r="AE13" s="665"/>
    </row>
    <row r="14" spans="1:31" s="624" customFormat="1" ht="23.4" thickBot="1" x14ac:dyDescent="0.3">
      <c r="A14" s="639"/>
      <c r="B14" s="639"/>
      <c r="C14" s="1524" t="s">
        <v>1726</v>
      </c>
      <c r="D14" s="1523"/>
      <c r="E14" s="640"/>
      <c r="F14" s="641"/>
      <c r="G14" s="325"/>
      <c r="H14" s="678"/>
      <c r="I14" s="679"/>
      <c r="J14" s="642"/>
      <c r="K14" s="643"/>
      <c r="L14" s="676"/>
      <c r="M14" s="727"/>
      <c r="N14" s="727"/>
      <c r="O14" s="727"/>
      <c r="P14" s="25" t="str">
        <f>_xlfn.IFNA(VLOOKUP($D14,'Master sheet'!$A:$AR,44,FALSE),"")&amp;""</f>
        <v/>
      </c>
      <c r="Q14" s="637"/>
      <c r="R14" s="29"/>
      <c r="S14" s="757"/>
      <c r="U14" s="349"/>
      <c r="V14" s="352"/>
      <c r="W14" s="638"/>
      <c r="X14" s="638"/>
      <c r="Y14" s="638"/>
      <c r="Z14" s="638"/>
      <c r="AA14" s="638"/>
      <c r="AB14" s="638"/>
      <c r="AC14" s="638"/>
      <c r="AD14" s="623"/>
      <c r="AE14" s="623"/>
    </row>
    <row r="15" spans="1:31" ht="21.6" thickBot="1" x14ac:dyDescent="0.3">
      <c r="A15" s="319"/>
      <c r="B15" s="1656" t="s">
        <v>1397</v>
      </c>
      <c r="C15" s="1656"/>
      <c r="D15" s="244"/>
      <c r="E15" s="249"/>
      <c r="F15" s="876" t="s">
        <v>22</v>
      </c>
      <c r="G15" s="267">
        <v>1</v>
      </c>
      <c r="H15" s="877"/>
      <c r="I15" s="7"/>
      <c r="J15" s="104" t="e">
        <f t="shared" ref="J15:J17" si="3">L15-M15-IF(O15,N15,0)</f>
        <v>#N/A</v>
      </c>
      <c r="K15" s="284" t="str">
        <f t="shared" si="1"/>
        <v/>
      </c>
      <c r="L15" s="406" t="e">
        <f>$E15*$G15*VLOOKUP($D15,'Master sheet'!$A:$AL,13,FALSE)</f>
        <v>#N/A</v>
      </c>
      <c r="M15" s="94" t="e">
        <f>$E15*$G15*VLOOKUP($D15,'Master sheet'!$A:$AL,27,FALSE)</f>
        <v>#N/A</v>
      </c>
      <c r="N15" s="1562"/>
      <c r="O15" s="1562"/>
      <c r="P15" s="25" t="str">
        <f>_xlfn.IFNA(VLOOKUP($D15,'Master sheet'!$A:$AR,44,FALSE),"")&amp;""</f>
        <v/>
      </c>
      <c r="Q15" s="637"/>
      <c r="R15" s="245" t="s">
        <v>1722</v>
      </c>
      <c r="S15" s="28" t="str">
        <f>IF(LEN($A15)&gt;0, $A15,$A$5)</f>
        <v>EXISTING DATABASE MATERIALS</v>
      </c>
      <c r="T15" s="664"/>
      <c r="U15" s="349" t="str" cm="1">
        <f t="array" aca="1" ref="U15" ca="1">_xlfn.IFNA(MATCH(D15,'Dropdown Lists'!$G$2:$G$32,0), "")&amp; "," &amp; CELL("col", 'Dropdown Lists'!$G$2)</f>
        <v>,7</v>
      </c>
      <c r="V15" s="353" t="s">
        <v>3394</v>
      </c>
      <c r="W15" s="664"/>
      <c r="X15" s="664"/>
      <c r="Y15" s="664"/>
      <c r="Z15" s="664"/>
      <c r="AA15" s="664"/>
      <c r="AB15" s="664"/>
      <c r="AC15" s="664"/>
      <c r="AD15" s="665"/>
      <c r="AE15" s="665"/>
    </row>
    <row r="16" spans="1:31" ht="21.6" thickBot="1" x14ac:dyDescent="0.3">
      <c r="A16" s="319"/>
      <c r="B16" s="1656" t="s">
        <v>1397</v>
      </c>
      <c r="C16" s="1656"/>
      <c r="D16" s="244"/>
      <c r="E16" s="249"/>
      <c r="F16" s="876" t="s">
        <v>22</v>
      </c>
      <c r="G16" s="267">
        <v>1</v>
      </c>
      <c r="H16" s="877"/>
      <c r="I16" s="7"/>
      <c r="J16" s="104" t="e">
        <f t="shared" si="3"/>
        <v>#N/A</v>
      </c>
      <c r="K16" s="284" t="str">
        <f t="shared" si="1"/>
        <v/>
      </c>
      <c r="L16" s="406" t="e">
        <f>$E16*$G16*VLOOKUP($D16,'Master sheet'!$A:$AL,13,FALSE)</f>
        <v>#N/A</v>
      </c>
      <c r="M16" s="94" t="e">
        <f>$E16*$G16*VLOOKUP($D16,'Master sheet'!$A:$AL,27,FALSE)</f>
        <v>#N/A</v>
      </c>
      <c r="N16" s="1552"/>
      <c r="O16" s="1552"/>
      <c r="P16" s="25" t="str">
        <f>_xlfn.IFNA(VLOOKUP($D16,'Master sheet'!$A:$AR,44,FALSE),"")&amp;""</f>
        <v/>
      </c>
      <c r="Q16" s="637"/>
      <c r="R16" s="245" t="s">
        <v>1722</v>
      </c>
      <c r="S16" s="28" t="str">
        <f>IF(LEN($A16)&gt;0, $A16,$A$5)</f>
        <v>EXISTING DATABASE MATERIALS</v>
      </c>
      <c r="T16" s="664"/>
      <c r="U16" s="349" t="str" cm="1">
        <f t="array" aca="1" ref="U16" ca="1">_xlfn.IFNA(MATCH(D16,'Dropdown Lists'!$G$2:$G$32,0), "")&amp; "," &amp; CELL("col", 'Dropdown Lists'!$G$2)</f>
        <v>,7</v>
      </c>
      <c r="V16" s="353" t="s">
        <v>3394</v>
      </c>
      <c r="W16" s="664"/>
      <c r="X16" s="664"/>
      <c r="Y16" s="664"/>
      <c r="Z16" s="664"/>
      <c r="AA16" s="664"/>
      <c r="AB16" s="664"/>
      <c r="AC16" s="664"/>
      <c r="AD16" s="665"/>
      <c r="AE16" s="665"/>
    </row>
    <row r="17" spans="1:31" ht="21.6" thickBot="1" x14ac:dyDescent="0.3">
      <c r="A17" s="319"/>
      <c r="B17" s="1654" t="s">
        <v>1397</v>
      </c>
      <c r="C17" s="1655"/>
      <c r="D17" s="244"/>
      <c r="E17" s="249"/>
      <c r="F17" s="876" t="s">
        <v>22</v>
      </c>
      <c r="G17" s="267">
        <v>1</v>
      </c>
      <c r="H17" s="877"/>
      <c r="I17" s="7"/>
      <c r="J17" s="104" t="e">
        <f t="shared" si="3"/>
        <v>#N/A</v>
      </c>
      <c r="K17" s="284" t="str">
        <f t="shared" si="1"/>
        <v/>
      </c>
      <c r="L17" s="406" t="e">
        <f>$E17*$G17*VLOOKUP($D17,'Master sheet'!$A:$AL,13,FALSE)</f>
        <v>#N/A</v>
      </c>
      <c r="M17" s="94" t="e">
        <f>$E17*$G17*VLOOKUP($D17,'Master sheet'!$A:$AL,27,FALSE)</f>
        <v>#N/A</v>
      </c>
      <c r="N17" s="1552"/>
      <c r="O17" s="1552"/>
      <c r="P17" s="25" t="str">
        <f>_xlfn.IFNA(VLOOKUP($D17,'Master sheet'!$A:$AR,44,FALSE),"")&amp;""</f>
        <v/>
      </c>
      <c r="Q17" s="637"/>
      <c r="R17" s="245" t="s">
        <v>1722</v>
      </c>
      <c r="S17" s="28" t="str">
        <f>IF(LEN($A17)&gt;0, $A17,$A$5)</f>
        <v>EXISTING DATABASE MATERIALS</v>
      </c>
      <c r="T17" s="664"/>
      <c r="U17" s="349" t="str" cm="1">
        <f t="array" aca="1" ref="U17" ca="1">_xlfn.IFNA(MATCH(D17,'Dropdown Lists'!$G$2:$G$32,0), "")&amp; "," &amp; CELL("col", 'Dropdown Lists'!$G$2)</f>
        <v>,7</v>
      </c>
      <c r="V17" s="353" t="s">
        <v>3394</v>
      </c>
      <c r="W17" s="664"/>
      <c r="X17" s="664"/>
      <c r="Y17" s="664"/>
      <c r="Z17" s="664"/>
      <c r="AA17" s="664"/>
      <c r="AB17" s="664"/>
      <c r="AC17" s="664"/>
      <c r="AD17" s="665"/>
      <c r="AE17" s="665"/>
    </row>
    <row r="18" spans="1:31" s="624" customFormat="1" ht="23.4" thickBot="1" x14ac:dyDescent="0.3">
      <c r="A18" s="639"/>
      <c r="B18" s="639"/>
      <c r="C18" s="1524" t="s">
        <v>3391</v>
      </c>
      <c r="D18" s="1523"/>
      <c r="E18" s="640"/>
      <c r="F18" s="641"/>
      <c r="G18" s="325"/>
      <c r="H18" s="678"/>
      <c r="I18" s="679"/>
      <c r="J18" s="642"/>
      <c r="K18" s="643"/>
      <c r="L18" s="676"/>
      <c r="M18" s="727"/>
      <c r="N18" s="727"/>
      <c r="O18" s="727"/>
      <c r="P18" s="25" t="str">
        <f>_xlfn.IFNA(VLOOKUP($D18,'Master sheet'!$A:$AR,44,FALSE),"")&amp;""</f>
        <v/>
      </c>
      <c r="Q18" s="637"/>
      <c r="R18" s="29"/>
      <c r="S18" s="757"/>
      <c r="U18" s="349"/>
      <c r="V18" s="352"/>
      <c r="W18" s="638"/>
      <c r="X18" s="638"/>
      <c r="Y18" s="638"/>
      <c r="Z18" s="638"/>
      <c r="AA18" s="638"/>
      <c r="AB18" s="638"/>
      <c r="AC18" s="638"/>
      <c r="AD18" s="623"/>
      <c r="AE18" s="623"/>
    </row>
    <row r="19" spans="1:31" ht="21.6" thickBot="1" x14ac:dyDescent="0.3">
      <c r="A19" s="319"/>
      <c r="B19" s="878" t="str">
        <f>IF(LOWER(Setting!rng_language)="english","R-VALUE:","VALEUR R :")</f>
        <v>R-VALUE:</v>
      </c>
      <c r="C19" s="246"/>
      <c r="D19" s="244"/>
      <c r="E19" s="249"/>
      <c r="F19" s="876" t="s">
        <v>5</v>
      </c>
      <c r="G19" s="267">
        <v>1</v>
      </c>
      <c r="H19" s="877"/>
      <c r="I19" s="7"/>
      <c r="J19" s="104" t="e">
        <f t="shared" ref="J19:J21" si="4">L19-M19-IF(O19,N19,0)</f>
        <v>#N/A</v>
      </c>
      <c r="K19" s="284" t="str">
        <f t="shared" si="1"/>
        <v/>
      </c>
      <c r="L19" s="406" t="e">
        <f>$E19*$G19*VLOOKUP($D19,'Master sheet'!$A:$AL,13,FALSE)*$C19/5.678</f>
        <v>#N/A</v>
      </c>
      <c r="M19" s="94" t="e">
        <f>$E19*$G19*VLOOKUP($D19,'Master sheet'!$A:$AL,27,FALSE)*$C19/5.678</f>
        <v>#N/A</v>
      </c>
      <c r="N19" s="1562"/>
      <c r="O19" s="1562"/>
      <c r="P19" s="25" t="str">
        <f>_xlfn.IFNA(VLOOKUP($D19,'Master sheet'!$A:$AR,44,FALSE),"")&amp;""</f>
        <v/>
      </c>
      <c r="Q19" s="637"/>
      <c r="R19" s="245" t="s">
        <v>1722</v>
      </c>
      <c r="S19" s="28" t="str">
        <f>IF(LEN($A19)&gt;0, $A19,$A$5)</f>
        <v>EXISTING DATABASE MATERIALS</v>
      </c>
      <c r="T19" s="664"/>
      <c r="U19" s="349" t="str" cm="1">
        <f t="array" aca="1" ref="U19" ca="1">_xlfn.IFNA(MATCH(D19,'Dropdown Lists'!$H$2:$H$98,0), "")&amp; "," &amp; CELL("col", 'Dropdown Lists'!$H$2)</f>
        <v>,8</v>
      </c>
      <c r="V19" s="353" t="s">
        <v>3395</v>
      </c>
      <c r="W19" s="664"/>
      <c r="X19" s="664"/>
      <c r="Y19" s="664"/>
      <c r="Z19" s="664"/>
      <c r="AA19" s="664"/>
      <c r="AB19" s="664"/>
      <c r="AC19" s="664"/>
      <c r="AD19" s="665"/>
      <c r="AE19" s="665"/>
    </row>
    <row r="20" spans="1:31" ht="21.6" thickBot="1" x14ac:dyDescent="0.3">
      <c r="A20" s="319"/>
      <c r="B20" s="878" t="str">
        <f>IF(LOWER(Setting!rng_language)="english","R-VALUE:","VALEUR R :")</f>
        <v>R-VALUE:</v>
      </c>
      <c r="C20" s="246"/>
      <c r="D20" s="244"/>
      <c r="E20" s="249"/>
      <c r="F20" s="876" t="s">
        <v>5</v>
      </c>
      <c r="G20" s="267">
        <v>1</v>
      </c>
      <c r="H20" s="877"/>
      <c r="I20" s="7"/>
      <c r="J20" s="104" t="e">
        <f t="shared" si="4"/>
        <v>#N/A</v>
      </c>
      <c r="K20" s="284" t="str">
        <f t="shared" si="1"/>
        <v/>
      </c>
      <c r="L20" s="406" t="e">
        <f>$E20*$G20*VLOOKUP($D20,'Master sheet'!$A:$AL,13,FALSE)*$C20/5.678</f>
        <v>#N/A</v>
      </c>
      <c r="M20" s="94" t="e">
        <f>$E20*$G20*VLOOKUP($D20,'Master sheet'!$A:$AL,27,FALSE)*$C20/5.678</f>
        <v>#N/A</v>
      </c>
      <c r="N20" s="1552"/>
      <c r="O20" s="1552"/>
      <c r="P20" s="25" t="str">
        <f>_xlfn.IFNA(VLOOKUP($D20,'Master sheet'!$A:$AR,44,FALSE),"")&amp;""</f>
        <v/>
      </c>
      <c r="Q20" s="637"/>
      <c r="R20" s="245" t="s">
        <v>1722</v>
      </c>
      <c r="S20" s="28" t="str">
        <f>IF(LEN($A20)&gt;0, $A20,$A$5)</f>
        <v>EXISTING DATABASE MATERIALS</v>
      </c>
      <c r="T20" s="664"/>
      <c r="U20" s="349" t="str" cm="1">
        <f t="array" aca="1" ref="U20" ca="1">_xlfn.IFNA(MATCH(D20,'Dropdown Lists'!$H$2:$H$98,0), "")&amp; "," &amp; CELL("col", 'Dropdown Lists'!$H$2)</f>
        <v>,8</v>
      </c>
      <c r="V20" s="353" t="s">
        <v>3395</v>
      </c>
      <c r="W20" s="664"/>
      <c r="X20" s="664"/>
      <c r="Y20" s="664"/>
      <c r="Z20" s="664"/>
      <c r="AA20" s="664"/>
      <c r="AB20" s="664"/>
      <c r="AC20" s="664"/>
      <c r="AD20" s="665"/>
      <c r="AE20" s="665"/>
    </row>
    <row r="21" spans="1:31" ht="21.6" thickBot="1" x14ac:dyDescent="0.3">
      <c r="A21" s="319"/>
      <c r="B21" s="878" t="str">
        <f>IF(LOWER(Setting!rng_language)="english","R-VALUE:","VALEUR R :")</f>
        <v>R-VALUE:</v>
      </c>
      <c r="C21" s="246"/>
      <c r="D21" s="244"/>
      <c r="E21" s="249"/>
      <c r="F21" s="876" t="s">
        <v>5</v>
      </c>
      <c r="G21" s="267">
        <v>1</v>
      </c>
      <c r="H21" s="877"/>
      <c r="I21" s="7"/>
      <c r="J21" s="104" t="e">
        <f t="shared" si="4"/>
        <v>#N/A</v>
      </c>
      <c r="K21" s="284" t="str">
        <f t="shared" si="1"/>
        <v/>
      </c>
      <c r="L21" s="406" t="e">
        <f>$E21*$G21*VLOOKUP($D21,'Master sheet'!$A:$AL,13,FALSE)*$C21/5.678</f>
        <v>#N/A</v>
      </c>
      <c r="M21" s="94" t="e">
        <f>$E21*$G21*VLOOKUP($D21,'Master sheet'!$A:$AL,27,FALSE)*$C21/5.678</f>
        <v>#N/A</v>
      </c>
      <c r="N21" s="1552"/>
      <c r="O21" s="1552"/>
      <c r="P21" s="25" t="str">
        <f>_xlfn.IFNA(VLOOKUP($D21,'Master sheet'!$A:$AR,44,FALSE),"")&amp;""</f>
        <v/>
      </c>
      <c r="Q21" s="637"/>
      <c r="R21" s="245" t="s">
        <v>1722</v>
      </c>
      <c r="S21" s="28" t="str">
        <f>IF(LEN($A21)&gt;0, $A21,$A$5)</f>
        <v>EXISTING DATABASE MATERIALS</v>
      </c>
      <c r="T21" s="664"/>
      <c r="U21" s="349" t="str" cm="1">
        <f t="array" aca="1" ref="U21" ca="1">_xlfn.IFNA(MATCH(D21,'Dropdown Lists'!$H$2:$H$98,0), "")&amp; "," &amp; CELL("col", 'Dropdown Lists'!$H$2)</f>
        <v>,8</v>
      </c>
      <c r="V21" s="353" t="s">
        <v>3395</v>
      </c>
      <c r="W21" s="664"/>
      <c r="X21" s="664"/>
      <c r="Y21" s="664"/>
      <c r="Z21" s="664"/>
      <c r="AA21" s="664"/>
      <c r="AB21" s="664"/>
      <c r="AC21" s="664"/>
      <c r="AD21" s="665"/>
      <c r="AE21" s="665"/>
    </row>
    <row r="22" spans="1:31" s="624" customFormat="1" ht="55.2" customHeight="1" x14ac:dyDescent="0.25">
      <c r="A22" s="1658" t="s">
        <v>1723</v>
      </c>
      <c r="B22" s="1658"/>
      <c r="C22" s="1658"/>
      <c r="D22" s="1658"/>
      <c r="E22" s="649"/>
      <c r="F22" s="650"/>
      <c r="G22" s="321"/>
      <c r="H22" s="650"/>
      <c r="I22" s="650"/>
      <c r="J22" s="651"/>
      <c r="K22" s="103"/>
      <c r="L22" s="759"/>
      <c r="M22" s="653"/>
      <c r="N22" s="653"/>
      <c r="O22" s="653"/>
      <c r="P22" s="705"/>
      <c r="Q22" s="685"/>
      <c r="R22" s="28"/>
      <c r="S22" s="28"/>
      <c r="T22" s="638"/>
      <c r="U22" s="349"/>
      <c r="V22" s="352"/>
      <c r="W22" s="638"/>
      <c r="X22" s="638"/>
      <c r="Y22" s="638"/>
      <c r="Z22" s="638"/>
      <c r="AA22" s="638"/>
      <c r="AB22" s="638"/>
      <c r="AC22" s="638"/>
      <c r="AD22" s="623"/>
      <c r="AE22" s="623"/>
    </row>
    <row r="23" spans="1:31" ht="23.85" customHeight="1" x14ac:dyDescent="0.25">
      <c r="A23" s="770"/>
      <c r="B23" s="1650" t="s">
        <v>1429</v>
      </c>
      <c r="C23" s="1651"/>
      <c r="D23" s="247"/>
      <c r="E23" s="248"/>
      <c r="F23" s="266"/>
      <c r="G23" s="267">
        <v>1</v>
      </c>
      <c r="H23" s="877"/>
      <c r="I23" s="7"/>
      <c r="J23" s="104">
        <f t="shared" ref="J23:J27" si="5">L23-M23-IF(O23,N23,0)</f>
        <v>0</v>
      </c>
      <c r="K23" s="285" t="str">
        <f>IF(I23=1,J23,"")</f>
        <v/>
      </c>
      <c r="L23" s="313"/>
      <c r="M23" s="313"/>
      <c r="N23" s="1552"/>
      <c r="O23" s="1552"/>
      <c r="P23" s="705"/>
      <c r="Q23" s="672"/>
      <c r="R23" s="245" t="s">
        <v>1722</v>
      </c>
      <c r="S23" s="28" t="str">
        <f>B23</f>
        <v>User-Defined</v>
      </c>
      <c r="U23" s="349"/>
    </row>
    <row r="24" spans="1:31" ht="23.85" customHeight="1" x14ac:dyDescent="0.25">
      <c r="B24" s="1650" t="s">
        <v>1429</v>
      </c>
      <c r="C24" s="1651"/>
      <c r="D24" s="247"/>
      <c r="E24" s="248"/>
      <c r="F24" s="266"/>
      <c r="G24" s="267">
        <v>1</v>
      </c>
      <c r="H24" s="877"/>
      <c r="I24" s="7"/>
      <c r="J24" s="104">
        <f t="shared" si="5"/>
        <v>0</v>
      </c>
      <c r="K24" s="285" t="str">
        <f>IF(I24=1,J24,"")</f>
        <v/>
      </c>
      <c r="L24" s="313"/>
      <c r="M24" s="313"/>
      <c r="N24" s="1552"/>
      <c r="O24" s="1552"/>
      <c r="P24" s="705"/>
      <c r="Q24" s="637"/>
      <c r="R24" s="245" t="s">
        <v>1722</v>
      </c>
      <c r="S24" s="28" t="str">
        <f t="shared" ref="S24:S27" si="6">B24</f>
        <v>User-Defined</v>
      </c>
      <c r="U24" s="349"/>
    </row>
    <row r="25" spans="1:31" ht="23.85" customHeight="1" x14ac:dyDescent="0.25">
      <c r="B25" s="1650" t="s">
        <v>1429</v>
      </c>
      <c r="C25" s="1651"/>
      <c r="D25" s="247"/>
      <c r="E25" s="248"/>
      <c r="F25" s="266"/>
      <c r="G25" s="267">
        <v>1</v>
      </c>
      <c r="H25" s="877"/>
      <c r="I25" s="7"/>
      <c r="J25" s="104">
        <f t="shared" si="5"/>
        <v>0</v>
      </c>
      <c r="K25" s="285" t="str">
        <f>IF(I25=1,J25,"")</f>
        <v/>
      </c>
      <c r="L25" s="313"/>
      <c r="M25" s="313"/>
      <c r="N25" s="1552"/>
      <c r="O25" s="1552"/>
      <c r="P25" s="705"/>
      <c r="Q25" s="637"/>
      <c r="R25" s="245" t="s">
        <v>1722</v>
      </c>
      <c r="S25" s="28" t="str">
        <f t="shared" si="6"/>
        <v>User-Defined</v>
      </c>
      <c r="U25" s="349"/>
    </row>
    <row r="26" spans="1:31" ht="23.85" customHeight="1" x14ac:dyDescent="0.25">
      <c r="B26" s="1650" t="s">
        <v>1429</v>
      </c>
      <c r="C26" s="1651"/>
      <c r="D26" s="247"/>
      <c r="E26" s="248"/>
      <c r="F26" s="266"/>
      <c r="G26" s="267">
        <v>1</v>
      </c>
      <c r="H26" s="877"/>
      <c r="I26" s="7"/>
      <c r="J26" s="104">
        <f t="shared" si="5"/>
        <v>0</v>
      </c>
      <c r="K26" s="285" t="str">
        <f>IF(I26=1,J26,"")</f>
        <v/>
      </c>
      <c r="L26" s="313"/>
      <c r="M26" s="313"/>
      <c r="N26" s="1552"/>
      <c r="O26" s="1552"/>
      <c r="P26" s="705"/>
      <c r="Q26" s="637"/>
      <c r="R26" s="245" t="s">
        <v>1722</v>
      </c>
      <c r="S26" s="28" t="str">
        <f t="shared" si="6"/>
        <v>User-Defined</v>
      </c>
      <c r="U26" s="349"/>
    </row>
    <row r="27" spans="1:31" ht="23.85" customHeight="1" x14ac:dyDescent="0.25">
      <c r="B27" s="1650" t="s">
        <v>1429</v>
      </c>
      <c r="C27" s="1651"/>
      <c r="D27" s="247"/>
      <c r="E27" s="248"/>
      <c r="F27" s="266"/>
      <c r="G27" s="267">
        <v>1</v>
      </c>
      <c r="H27" s="877"/>
      <c r="I27" s="7"/>
      <c r="J27" s="104">
        <f t="shared" si="5"/>
        <v>0</v>
      </c>
      <c r="K27" s="285" t="str">
        <f>IF(I27=1,J27,"")</f>
        <v/>
      </c>
      <c r="L27" s="313"/>
      <c r="M27" s="313"/>
      <c r="N27" s="1552"/>
      <c r="O27" s="1552"/>
      <c r="P27" s="705"/>
      <c r="Q27" s="637"/>
      <c r="R27" s="245" t="s">
        <v>1722</v>
      </c>
      <c r="S27" s="28" t="str">
        <f t="shared" si="6"/>
        <v>User-Defined</v>
      </c>
      <c r="U27" s="349"/>
    </row>
    <row r="28" spans="1:31" ht="15.75" customHeight="1" x14ac:dyDescent="0.3">
      <c r="B28" s="1649" t="s">
        <v>1727</v>
      </c>
      <c r="C28" s="1649"/>
      <c r="D28" s="1649"/>
      <c r="E28" s="1649"/>
      <c r="F28" s="700"/>
      <c r="G28" s="328"/>
      <c r="H28" s="700"/>
      <c r="I28" s="700"/>
      <c r="J28" s="703"/>
      <c r="K28" s="704"/>
      <c r="L28" s="704"/>
      <c r="M28" s="769"/>
      <c r="N28" s="769"/>
      <c r="O28" s="769"/>
      <c r="P28" s="664"/>
      <c r="Q28" s="637"/>
    </row>
    <row r="29" spans="1:31" ht="15.75" customHeight="1" x14ac:dyDescent="0.3">
      <c r="B29" s="700"/>
      <c r="C29" s="700"/>
      <c r="D29" s="700"/>
      <c r="E29" s="701"/>
      <c r="F29" s="700"/>
      <c r="G29" s="328"/>
      <c r="H29" s="700"/>
      <c r="I29" s="700"/>
      <c r="J29" s="703"/>
      <c r="K29" s="704"/>
      <c r="L29" s="704"/>
      <c r="M29" s="769"/>
      <c r="N29" s="769"/>
      <c r="O29" s="769"/>
      <c r="P29" s="664"/>
      <c r="Q29" s="637"/>
    </row>
    <row r="30" spans="1:31" ht="15.75" customHeight="1" x14ac:dyDescent="0.3">
      <c r="B30" s="706" t="s">
        <v>4901</v>
      </c>
      <c r="C30" s="700"/>
      <c r="D30" s="700"/>
      <c r="E30" s="701"/>
      <c r="F30" s="700"/>
      <c r="G30" s="328"/>
      <c r="H30" s="700"/>
      <c r="I30" s="700"/>
      <c r="J30" s="703"/>
      <c r="K30" s="704"/>
      <c r="L30" s="704"/>
      <c r="M30" s="769"/>
      <c r="N30" s="769"/>
      <c r="O30" s="769"/>
      <c r="P30" s="664"/>
      <c r="Q30" s="637"/>
    </row>
    <row r="31" spans="1:31" ht="15.75" customHeight="1" x14ac:dyDescent="0.3">
      <c r="B31" s="706" t="s">
        <v>4900</v>
      </c>
      <c r="C31" s="700"/>
      <c r="D31" s="700"/>
      <c r="E31" s="701"/>
      <c r="F31" s="700"/>
      <c r="G31" s="328"/>
      <c r="H31" s="700"/>
      <c r="I31" s="700"/>
      <c r="J31" s="703"/>
      <c r="K31" s="704"/>
      <c r="L31" s="704"/>
      <c r="M31" s="769"/>
      <c r="N31" s="769"/>
      <c r="O31" s="769"/>
      <c r="P31" s="664"/>
      <c r="Q31" s="637"/>
    </row>
    <row r="32" spans="1:31" ht="15.75" customHeight="1" x14ac:dyDescent="0.3">
      <c r="B32" s="700"/>
      <c r="C32" s="700"/>
      <c r="D32" s="700"/>
      <c r="E32" s="701"/>
      <c r="F32" s="700"/>
      <c r="G32" s="328"/>
      <c r="H32" s="700"/>
      <c r="I32" s="700"/>
      <c r="J32" s="703"/>
      <c r="K32" s="704"/>
      <c r="L32" s="704"/>
      <c r="M32" s="769"/>
      <c r="N32" s="769"/>
      <c r="O32" s="769"/>
      <c r="P32" s="664"/>
      <c r="Q32" s="685"/>
    </row>
    <row r="33" spans="2:17" ht="15.75" customHeight="1" x14ac:dyDescent="0.3">
      <c r="B33" s="700"/>
      <c r="C33" s="700"/>
      <c r="D33" s="700"/>
      <c r="E33" s="701"/>
      <c r="F33" s="700"/>
      <c r="G33" s="328"/>
      <c r="H33" s="700"/>
      <c r="I33" s="700"/>
      <c r="J33" s="703"/>
      <c r="K33" s="704"/>
      <c r="L33" s="704"/>
      <c r="M33" s="769"/>
      <c r="N33" s="769"/>
      <c r="O33" s="769"/>
      <c r="P33" s="664"/>
      <c r="Q33" s="685"/>
    </row>
    <row r="34" spans="2:17" ht="15.75" customHeight="1" x14ac:dyDescent="0.3">
      <c r="B34" s="700"/>
      <c r="C34" s="700"/>
      <c r="D34" s="700"/>
      <c r="E34" s="701"/>
      <c r="F34" s="700"/>
      <c r="G34" s="328"/>
      <c r="H34" s="700"/>
      <c r="I34" s="700"/>
      <c r="J34" s="703"/>
      <c r="K34" s="704"/>
      <c r="L34" s="704"/>
      <c r="M34" s="769"/>
      <c r="N34" s="769"/>
      <c r="O34" s="769"/>
      <c r="P34" s="664"/>
      <c r="Q34" s="685"/>
    </row>
    <row r="35" spans="2:17" ht="15.75" customHeight="1" x14ac:dyDescent="0.3">
      <c r="B35" s="700"/>
      <c r="C35" s="700"/>
      <c r="D35" s="700"/>
      <c r="E35" s="701"/>
      <c r="F35" s="700"/>
      <c r="G35" s="328"/>
      <c r="H35" s="700"/>
      <c r="I35" s="700"/>
      <c r="J35" s="703"/>
      <c r="K35" s="704"/>
      <c r="L35" s="704"/>
      <c r="M35" s="769"/>
      <c r="N35" s="769"/>
      <c r="O35" s="769"/>
      <c r="P35" s="664"/>
      <c r="Q35" s="685"/>
    </row>
    <row r="36" spans="2:17" ht="15.75" customHeight="1" x14ac:dyDescent="0.3">
      <c r="B36" s="700"/>
      <c r="C36" s="700"/>
      <c r="D36" s="700"/>
      <c r="E36" s="701"/>
      <c r="F36" s="700"/>
      <c r="G36" s="328"/>
      <c r="H36" s="700"/>
      <c r="I36" s="700"/>
      <c r="J36" s="703"/>
      <c r="K36" s="704"/>
      <c r="L36" s="704"/>
      <c r="M36" s="769"/>
      <c r="N36" s="769"/>
      <c r="O36" s="769"/>
      <c r="P36" s="664"/>
      <c r="Q36" s="637"/>
    </row>
    <row r="37" spans="2:17" ht="15.75" customHeight="1" x14ac:dyDescent="0.3">
      <c r="B37" s="700"/>
      <c r="C37" s="700"/>
      <c r="D37" s="700"/>
      <c r="E37" s="701"/>
      <c r="F37" s="700"/>
      <c r="G37" s="328"/>
      <c r="H37" s="700"/>
      <c r="I37" s="700"/>
      <c r="J37" s="703"/>
      <c r="K37" s="704"/>
      <c r="L37" s="704"/>
      <c r="M37" s="769"/>
      <c r="N37" s="769"/>
      <c r="O37" s="769"/>
      <c r="P37" s="664"/>
      <c r="Q37" s="637"/>
    </row>
    <row r="38" spans="2:17" ht="15.75" customHeight="1" x14ac:dyDescent="0.3">
      <c r="B38" s="700"/>
      <c r="C38" s="700"/>
      <c r="D38" s="700"/>
      <c r="E38" s="701"/>
      <c r="F38" s="700"/>
      <c r="G38" s="328"/>
      <c r="H38" s="700"/>
      <c r="I38" s="700"/>
      <c r="J38" s="703"/>
      <c r="K38" s="704"/>
      <c r="L38" s="704"/>
      <c r="M38" s="769"/>
      <c r="N38" s="769"/>
      <c r="O38" s="769"/>
      <c r="P38" s="664"/>
      <c r="Q38" s="637"/>
    </row>
    <row r="39" spans="2:17" ht="15.75" customHeight="1" x14ac:dyDescent="0.3">
      <c r="B39" s="700"/>
      <c r="C39" s="700"/>
      <c r="D39" s="700"/>
      <c r="E39" s="701"/>
      <c r="F39" s="700"/>
      <c r="G39" s="328"/>
      <c r="H39" s="700"/>
      <c r="I39" s="700"/>
      <c r="J39" s="703"/>
      <c r="K39" s="704"/>
      <c r="L39" s="704"/>
      <c r="M39" s="769"/>
      <c r="N39" s="769"/>
      <c r="O39" s="769"/>
      <c r="P39" s="664"/>
      <c r="Q39" s="637"/>
    </row>
    <row r="40" spans="2:17" ht="15.75" customHeight="1" x14ac:dyDescent="0.3">
      <c r="B40" s="700"/>
      <c r="C40" s="700"/>
      <c r="D40" s="700"/>
      <c r="E40" s="701"/>
      <c r="F40" s="700"/>
      <c r="G40" s="328"/>
      <c r="H40" s="700"/>
      <c r="I40" s="700"/>
      <c r="J40" s="703"/>
      <c r="K40" s="704"/>
      <c r="L40" s="704"/>
      <c r="M40" s="769"/>
      <c r="N40" s="769"/>
      <c r="O40" s="769"/>
      <c r="P40" s="664"/>
      <c r="Q40" s="685"/>
    </row>
    <row r="41" spans="2:17" ht="15.75" customHeight="1" x14ac:dyDescent="0.3">
      <c r="B41" s="700"/>
      <c r="C41" s="700"/>
      <c r="D41" s="700"/>
      <c r="E41" s="701"/>
      <c r="F41" s="700"/>
      <c r="G41" s="328"/>
      <c r="H41" s="700"/>
      <c r="I41" s="700"/>
      <c r="J41" s="703"/>
      <c r="K41" s="704"/>
      <c r="L41" s="704"/>
      <c r="M41" s="769"/>
      <c r="N41" s="769"/>
      <c r="O41" s="769"/>
      <c r="P41" s="664"/>
      <c r="Q41" s="637"/>
    </row>
    <row r="42" spans="2:17" ht="15.75" customHeight="1" x14ac:dyDescent="0.3">
      <c r="B42" s="700"/>
      <c r="C42" s="700"/>
      <c r="D42" s="700"/>
      <c r="E42" s="701"/>
      <c r="F42" s="700"/>
      <c r="G42" s="328"/>
      <c r="H42" s="700"/>
      <c r="I42" s="700"/>
      <c r="J42" s="703"/>
      <c r="K42" s="704"/>
      <c r="L42" s="704"/>
      <c r="M42" s="769"/>
      <c r="N42" s="769"/>
      <c r="O42" s="769"/>
      <c r="P42" s="664"/>
      <c r="Q42" s="637"/>
    </row>
    <row r="43" spans="2:17" ht="15.75" customHeight="1" x14ac:dyDescent="0.3">
      <c r="B43" s="700"/>
      <c r="C43" s="700"/>
      <c r="D43" s="700"/>
      <c r="E43" s="701"/>
      <c r="F43" s="700"/>
      <c r="G43" s="328"/>
      <c r="H43" s="700"/>
      <c r="I43" s="700"/>
      <c r="J43" s="703"/>
      <c r="K43" s="704"/>
      <c r="L43" s="704"/>
      <c r="M43" s="769"/>
      <c r="N43" s="769"/>
      <c r="O43" s="769"/>
      <c r="P43" s="664"/>
      <c r="Q43" s="685"/>
    </row>
    <row r="44" spans="2:17" ht="15.75" customHeight="1" x14ac:dyDescent="0.3">
      <c r="B44" s="700"/>
      <c r="C44" s="700"/>
      <c r="D44" s="700"/>
      <c r="E44" s="701"/>
      <c r="F44" s="700"/>
      <c r="G44" s="328"/>
      <c r="H44" s="700"/>
      <c r="I44" s="700"/>
      <c r="J44" s="703"/>
      <c r="K44" s="704"/>
      <c r="L44" s="704"/>
      <c r="M44" s="769"/>
      <c r="N44" s="769"/>
      <c r="O44" s="769"/>
      <c r="P44" s="664"/>
      <c r="Q44" s="685"/>
    </row>
    <row r="45" spans="2:17" ht="15.75" customHeight="1" x14ac:dyDescent="0.3">
      <c r="B45" s="700"/>
      <c r="C45" s="700"/>
      <c r="D45" s="700"/>
      <c r="E45" s="701"/>
      <c r="F45" s="700"/>
      <c r="G45" s="328"/>
      <c r="H45" s="700"/>
      <c r="I45" s="700"/>
      <c r="J45" s="703"/>
      <c r="K45" s="704"/>
      <c r="L45" s="704"/>
      <c r="M45" s="769"/>
      <c r="N45" s="769"/>
      <c r="O45" s="769"/>
      <c r="P45" s="664"/>
      <c r="Q45" s="685"/>
    </row>
    <row r="46" spans="2:17" ht="15.75" customHeight="1" x14ac:dyDescent="0.3">
      <c r="B46" s="700"/>
      <c r="C46" s="700"/>
      <c r="D46" s="700"/>
      <c r="E46" s="701"/>
      <c r="F46" s="700"/>
      <c r="G46" s="328"/>
      <c r="H46" s="700"/>
      <c r="I46" s="700"/>
      <c r="J46" s="703"/>
      <c r="K46" s="704"/>
      <c r="L46" s="704"/>
      <c r="M46" s="769"/>
      <c r="N46" s="769"/>
      <c r="O46" s="769"/>
      <c r="P46" s="664"/>
      <c r="Q46" s="685"/>
    </row>
    <row r="47" spans="2:17" ht="15.75" customHeight="1" x14ac:dyDescent="0.3">
      <c r="B47" s="700"/>
      <c r="C47" s="700"/>
      <c r="D47" s="700"/>
      <c r="E47" s="701"/>
      <c r="F47" s="700"/>
      <c r="G47" s="328"/>
      <c r="H47" s="700"/>
      <c r="I47" s="700"/>
      <c r="J47" s="703"/>
      <c r="K47" s="704"/>
      <c r="L47" s="704"/>
      <c r="M47" s="769"/>
      <c r="N47" s="769"/>
      <c r="O47" s="769"/>
      <c r="P47" s="664"/>
      <c r="Q47" s="685"/>
    </row>
    <row r="48" spans="2:17" ht="15.75" customHeight="1" x14ac:dyDescent="0.3">
      <c r="B48" s="700"/>
      <c r="C48" s="700"/>
      <c r="D48" s="700"/>
      <c r="E48" s="701"/>
      <c r="F48" s="700"/>
      <c r="G48" s="328"/>
      <c r="H48" s="700"/>
      <c r="I48" s="700"/>
      <c r="J48" s="703"/>
      <c r="K48" s="704"/>
      <c r="L48" s="704"/>
      <c r="M48" s="769"/>
      <c r="N48" s="769"/>
      <c r="O48" s="769"/>
      <c r="P48" s="664"/>
      <c r="Q48" s="685"/>
    </row>
    <row r="49" spans="2:17" ht="15.75" customHeight="1" x14ac:dyDescent="0.3">
      <c r="B49" s="700"/>
      <c r="C49" s="700"/>
      <c r="D49" s="700"/>
      <c r="E49" s="701"/>
      <c r="F49" s="700"/>
      <c r="G49" s="328"/>
      <c r="H49" s="700"/>
      <c r="I49" s="700"/>
      <c r="J49" s="703"/>
      <c r="K49" s="704"/>
      <c r="L49" s="704"/>
      <c r="M49" s="769"/>
      <c r="N49" s="769"/>
      <c r="O49" s="769"/>
      <c r="P49" s="664"/>
      <c r="Q49" s="637"/>
    </row>
    <row r="50" spans="2:17" ht="15.75" customHeight="1" x14ac:dyDescent="0.3">
      <c r="B50" s="700"/>
      <c r="C50" s="700"/>
      <c r="D50" s="700"/>
      <c r="E50" s="701"/>
      <c r="F50" s="700"/>
      <c r="G50" s="328"/>
      <c r="H50" s="700"/>
      <c r="I50" s="700"/>
      <c r="J50" s="703"/>
      <c r="K50" s="704"/>
      <c r="L50" s="704"/>
      <c r="M50" s="769"/>
      <c r="N50" s="769"/>
      <c r="O50" s="769"/>
      <c r="P50" s="664"/>
      <c r="Q50" s="637"/>
    </row>
    <row r="51" spans="2:17" ht="15.75" customHeight="1" x14ac:dyDescent="0.3">
      <c r="B51" s="700"/>
      <c r="C51" s="700"/>
      <c r="D51" s="700"/>
      <c r="E51" s="701"/>
      <c r="F51" s="700"/>
      <c r="G51" s="328"/>
      <c r="H51" s="700"/>
      <c r="I51" s="700"/>
      <c r="J51" s="703"/>
      <c r="K51" s="704"/>
      <c r="L51" s="704"/>
      <c r="M51" s="704"/>
      <c r="N51" s="704"/>
      <c r="O51" s="704"/>
      <c r="P51" s="664"/>
      <c r="Q51" s="685"/>
    </row>
    <row r="52" spans="2:17" ht="15.75" customHeight="1" x14ac:dyDescent="0.3">
      <c r="B52" s="700"/>
      <c r="C52" s="700"/>
      <c r="D52" s="700"/>
      <c r="E52" s="701"/>
      <c r="F52" s="700"/>
      <c r="G52" s="328"/>
      <c r="H52" s="700"/>
      <c r="I52" s="700"/>
      <c r="J52" s="703"/>
      <c r="K52" s="704"/>
      <c r="L52" s="704"/>
      <c r="M52" s="704"/>
      <c r="N52" s="704"/>
      <c r="O52" s="704"/>
      <c r="P52" s="664"/>
      <c r="Q52" s="685"/>
    </row>
    <row r="53" spans="2:17" ht="15.75" customHeight="1" x14ac:dyDescent="0.3">
      <c r="B53" s="700"/>
      <c r="C53" s="700"/>
      <c r="D53" s="700"/>
      <c r="E53" s="701"/>
      <c r="F53" s="700"/>
      <c r="G53" s="328"/>
      <c r="H53" s="700"/>
      <c r="I53" s="700"/>
      <c r="J53" s="703"/>
      <c r="K53" s="704"/>
      <c r="L53" s="704"/>
      <c r="M53" s="704"/>
      <c r="N53" s="704"/>
      <c r="O53" s="704"/>
      <c r="P53" s="664"/>
      <c r="Q53" s="685"/>
    </row>
    <row r="54" spans="2:17" ht="15.75" customHeight="1" x14ac:dyDescent="0.3">
      <c r="B54" s="700"/>
      <c r="C54" s="700"/>
      <c r="D54" s="700"/>
      <c r="E54" s="701"/>
      <c r="F54" s="700"/>
      <c r="G54" s="328"/>
      <c r="H54" s="700"/>
      <c r="I54" s="700"/>
      <c r="J54" s="703"/>
      <c r="K54" s="704"/>
      <c r="L54" s="704"/>
      <c r="M54" s="704"/>
      <c r="N54" s="704"/>
      <c r="O54" s="704"/>
      <c r="P54" s="664"/>
      <c r="Q54" s="685"/>
    </row>
    <row r="55" spans="2:17" ht="15.75" customHeight="1" x14ac:dyDescent="0.3">
      <c r="B55" s="700"/>
      <c r="C55" s="700"/>
      <c r="D55" s="700"/>
      <c r="E55" s="701"/>
      <c r="F55" s="700"/>
      <c r="G55" s="328"/>
      <c r="H55" s="700"/>
      <c r="I55" s="700"/>
      <c r="J55" s="703"/>
      <c r="K55" s="704"/>
      <c r="L55" s="704"/>
      <c r="M55" s="704"/>
      <c r="N55" s="704"/>
      <c r="O55" s="704"/>
      <c r="P55" s="664"/>
      <c r="Q55" s="685"/>
    </row>
    <row r="56" spans="2:17" ht="15.75" customHeight="1" x14ac:dyDescent="0.3">
      <c r="B56" s="700"/>
      <c r="C56" s="700"/>
      <c r="D56" s="700"/>
      <c r="E56" s="701"/>
      <c r="F56" s="700"/>
      <c r="G56" s="328"/>
      <c r="H56" s="700"/>
      <c r="I56" s="700"/>
      <c r="J56" s="703"/>
      <c r="K56" s="704"/>
      <c r="L56" s="704"/>
      <c r="M56" s="704"/>
      <c r="N56" s="704"/>
      <c r="O56" s="704"/>
      <c r="P56" s="664"/>
      <c r="Q56" s="637"/>
    </row>
    <row r="57" spans="2:17" ht="15.75" customHeight="1" x14ac:dyDescent="0.3">
      <c r="B57" s="700"/>
      <c r="C57" s="700"/>
      <c r="D57" s="700"/>
      <c r="E57" s="701"/>
      <c r="F57" s="700"/>
      <c r="G57" s="328"/>
      <c r="H57" s="700"/>
      <c r="I57" s="700"/>
      <c r="J57" s="703"/>
      <c r="K57" s="704"/>
      <c r="L57" s="704"/>
      <c r="M57" s="704"/>
      <c r="N57" s="704"/>
      <c r="O57" s="704"/>
      <c r="P57" s="664"/>
      <c r="Q57" s="637"/>
    </row>
    <row r="58" spans="2:17" ht="15.75" customHeight="1" x14ac:dyDescent="0.3">
      <c r="B58" s="700"/>
      <c r="C58" s="700"/>
      <c r="D58" s="700"/>
      <c r="E58" s="701"/>
      <c r="F58" s="700"/>
      <c r="G58" s="328"/>
      <c r="H58" s="700"/>
      <c r="I58" s="700"/>
      <c r="J58" s="703"/>
      <c r="K58" s="704"/>
      <c r="L58" s="704"/>
      <c r="M58" s="704"/>
      <c r="N58" s="704"/>
      <c r="O58" s="704"/>
      <c r="P58" s="664"/>
      <c r="Q58" s="685"/>
    </row>
    <row r="59" spans="2:17" ht="15.75" customHeight="1" x14ac:dyDescent="0.3">
      <c r="B59" s="700"/>
      <c r="C59" s="700"/>
      <c r="D59" s="700"/>
      <c r="E59" s="701"/>
      <c r="F59" s="700"/>
      <c r="G59" s="328"/>
      <c r="H59" s="700"/>
      <c r="I59" s="700"/>
      <c r="J59" s="703"/>
      <c r="K59" s="704"/>
      <c r="L59" s="704"/>
      <c r="M59" s="704"/>
      <c r="N59" s="704"/>
      <c r="O59" s="704"/>
      <c r="P59" s="664"/>
      <c r="Q59" s="685"/>
    </row>
    <row r="60" spans="2:17" ht="15.75" customHeight="1" x14ac:dyDescent="0.3">
      <c r="B60" s="700"/>
      <c r="C60" s="700"/>
      <c r="D60" s="700"/>
      <c r="E60" s="701"/>
      <c r="F60" s="700"/>
      <c r="G60" s="328"/>
      <c r="H60" s="700"/>
      <c r="I60" s="700"/>
      <c r="J60" s="703"/>
      <c r="K60" s="704"/>
      <c r="L60" s="704"/>
      <c r="M60" s="704"/>
      <c r="N60" s="704"/>
      <c r="O60" s="704"/>
      <c r="P60" s="664"/>
      <c r="Q60" s="637"/>
    </row>
    <row r="61" spans="2:17" ht="15.75" customHeight="1" x14ac:dyDescent="0.3">
      <c r="B61" s="700"/>
      <c r="C61" s="700"/>
      <c r="D61" s="700"/>
      <c r="E61" s="701"/>
      <c r="F61" s="700"/>
      <c r="G61" s="328"/>
      <c r="H61" s="700"/>
      <c r="I61" s="700"/>
      <c r="J61" s="703"/>
      <c r="K61" s="704"/>
      <c r="L61" s="704"/>
      <c r="M61" s="704"/>
      <c r="N61" s="704"/>
      <c r="O61" s="704"/>
      <c r="P61" s="664"/>
      <c r="Q61" s="637"/>
    </row>
    <row r="62" spans="2:17" ht="15.75" customHeight="1" x14ac:dyDescent="0.3">
      <c r="B62" s="700"/>
      <c r="C62" s="700"/>
      <c r="D62" s="700"/>
      <c r="E62" s="701"/>
      <c r="F62" s="700"/>
      <c r="G62" s="328"/>
      <c r="H62" s="700"/>
      <c r="I62" s="700"/>
      <c r="J62" s="703"/>
      <c r="K62" s="704"/>
      <c r="L62" s="704"/>
      <c r="M62" s="704"/>
      <c r="N62" s="704"/>
      <c r="O62" s="704"/>
      <c r="P62" s="664"/>
      <c r="Q62" s="685"/>
    </row>
    <row r="63" spans="2:17" ht="15.75" customHeight="1" x14ac:dyDescent="0.3">
      <c r="B63" s="700"/>
      <c r="C63" s="700"/>
      <c r="D63" s="700"/>
      <c r="E63" s="701"/>
      <c r="F63" s="700"/>
      <c r="G63" s="328"/>
      <c r="H63" s="700"/>
      <c r="I63" s="700"/>
      <c r="J63" s="703"/>
      <c r="K63" s="704"/>
      <c r="L63" s="704"/>
      <c r="M63" s="704"/>
      <c r="N63" s="704"/>
      <c r="O63" s="704"/>
      <c r="P63" s="664"/>
      <c r="Q63" s="685"/>
    </row>
    <row r="64" spans="2:17" ht="15.75" customHeight="1" x14ac:dyDescent="0.3">
      <c r="B64" s="700"/>
      <c r="C64" s="700"/>
      <c r="D64" s="700"/>
      <c r="E64" s="701"/>
      <c r="F64" s="700"/>
      <c r="G64" s="328"/>
      <c r="H64" s="700"/>
      <c r="I64" s="700"/>
      <c r="J64" s="703"/>
      <c r="K64" s="704"/>
      <c r="L64" s="704"/>
      <c r="M64" s="704"/>
      <c r="N64" s="704"/>
      <c r="O64" s="704"/>
      <c r="P64" s="664"/>
      <c r="Q64" s="685"/>
    </row>
    <row r="65" spans="2:17" ht="15.75" customHeight="1" x14ac:dyDescent="0.3">
      <c r="B65" s="700"/>
      <c r="C65" s="700"/>
      <c r="D65" s="700"/>
      <c r="E65" s="701"/>
      <c r="F65" s="700"/>
      <c r="G65" s="328"/>
      <c r="H65" s="700"/>
      <c r="I65" s="700"/>
      <c r="J65" s="703"/>
      <c r="K65" s="704"/>
      <c r="L65" s="704"/>
      <c r="M65" s="704"/>
      <c r="N65" s="704"/>
      <c r="O65" s="704"/>
      <c r="P65" s="664"/>
      <c r="Q65" s="637"/>
    </row>
    <row r="66" spans="2:17" ht="15.75" customHeight="1" x14ac:dyDescent="0.3">
      <c r="B66" s="700"/>
      <c r="C66" s="700"/>
      <c r="D66" s="700"/>
      <c r="E66" s="701"/>
      <c r="F66" s="700"/>
      <c r="G66" s="328"/>
      <c r="H66" s="700"/>
      <c r="I66" s="700"/>
      <c r="J66" s="703"/>
      <c r="K66" s="704"/>
      <c r="L66" s="704"/>
      <c r="M66" s="704"/>
      <c r="N66" s="704"/>
      <c r="O66" s="704"/>
      <c r="P66" s="664"/>
      <c r="Q66" s="637"/>
    </row>
    <row r="67" spans="2:17" ht="15.75" customHeight="1" x14ac:dyDescent="0.3">
      <c r="B67" s="700"/>
      <c r="C67" s="700"/>
      <c r="D67" s="700"/>
      <c r="E67" s="701"/>
      <c r="F67" s="700"/>
      <c r="G67" s="328"/>
      <c r="H67" s="700"/>
      <c r="I67" s="700"/>
      <c r="J67" s="703"/>
      <c r="K67" s="704"/>
      <c r="L67" s="704"/>
      <c r="M67" s="704"/>
      <c r="N67" s="704"/>
      <c r="O67" s="704"/>
      <c r="P67" s="664"/>
      <c r="Q67" s="637"/>
    </row>
    <row r="68" spans="2:17" ht="15.75" customHeight="1" x14ac:dyDescent="0.3">
      <c r="B68" s="700"/>
      <c r="C68" s="700"/>
      <c r="D68" s="700"/>
      <c r="E68" s="701"/>
      <c r="F68" s="700"/>
      <c r="G68" s="328"/>
      <c r="H68" s="700"/>
      <c r="I68" s="700"/>
      <c r="J68" s="703"/>
      <c r="K68" s="704"/>
      <c r="L68" s="704"/>
      <c r="M68" s="704"/>
      <c r="N68" s="704"/>
      <c r="O68" s="704"/>
      <c r="P68" s="664"/>
      <c r="Q68" s="637"/>
    </row>
    <row r="69" spans="2:17" ht="15.75" customHeight="1" x14ac:dyDescent="0.3">
      <c r="B69" s="700"/>
      <c r="C69" s="700"/>
      <c r="D69" s="700"/>
      <c r="E69" s="701"/>
      <c r="F69" s="700"/>
      <c r="G69" s="328"/>
      <c r="H69" s="700"/>
      <c r="I69" s="700"/>
      <c r="J69" s="703"/>
      <c r="K69" s="704"/>
      <c r="L69" s="704"/>
      <c r="M69" s="704"/>
      <c r="N69" s="704"/>
      <c r="O69" s="704"/>
      <c r="P69" s="664"/>
      <c r="Q69" s="685"/>
    </row>
    <row r="70" spans="2:17" ht="15.75" customHeight="1" x14ac:dyDescent="0.3">
      <c r="B70" s="700"/>
      <c r="C70" s="700"/>
      <c r="D70" s="700"/>
      <c r="E70" s="701"/>
      <c r="F70" s="700"/>
      <c r="G70" s="328"/>
      <c r="H70" s="700"/>
      <c r="I70" s="700"/>
      <c r="J70" s="703"/>
      <c r="K70" s="704"/>
      <c r="L70" s="704"/>
      <c r="M70" s="704"/>
      <c r="N70" s="704"/>
      <c r="O70" s="704"/>
      <c r="P70" s="664"/>
      <c r="Q70" s="685"/>
    </row>
    <row r="71" spans="2:17" ht="15.75" customHeight="1" x14ac:dyDescent="0.3">
      <c r="B71" s="700"/>
      <c r="C71" s="700"/>
      <c r="D71" s="700"/>
      <c r="E71" s="701"/>
      <c r="F71" s="700"/>
      <c r="G71" s="328"/>
      <c r="H71" s="700"/>
      <c r="I71" s="700"/>
      <c r="J71" s="703"/>
      <c r="K71" s="704"/>
      <c r="L71" s="704"/>
      <c r="M71" s="704"/>
      <c r="N71" s="704"/>
      <c r="O71" s="704"/>
      <c r="P71" s="664"/>
      <c r="Q71" s="685"/>
    </row>
    <row r="72" spans="2:17" ht="15.75" customHeight="1" x14ac:dyDescent="0.3">
      <c r="B72" s="700"/>
      <c r="C72" s="700"/>
      <c r="D72" s="700"/>
      <c r="E72" s="701"/>
      <c r="F72" s="700"/>
      <c r="G72" s="328"/>
      <c r="H72" s="700"/>
      <c r="I72" s="700"/>
      <c r="J72" s="703"/>
      <c r="K72" s="704"/>
      <c r="L72" s="704"/>
      <c r="M72" s="704"/>
      <c r="N72" s="704"/>
      <c r="O72" s="704"/>
      <c r="P72" s="664"/>
      <c r="Q72" s="685"/>
    </row>
    <row r="73" spans="2:17" ht="15.75" customHeight="1" x14ac:dyDescent="0.3">
      <c r="B73" s="700"/>
      <c r="C73" s="700"/>
      <c r="D73" s="700"/>
      <c r="E73" s="701"/>
      <c r="F73" s="700"/>
      <c r="G73" s="328"/>
      <c r="H73" s="700"/>
      <c r="I73" s="700"/>
      <c r="J73" s="703"/>
      <c r="K73" s="704"/>
      <c r="L73" s="704"/>
      <c r="M73" s="704"/>
      <c r="N73" s="704"/>
      <c r="O73" s="704"/>
      <c r="P73" s="664"/>
      <c r="Q73" s="637"/>
    </row>
    <row r="74" spans="2:17" ht="15.75" customHeight="1" x14ac:dyDescent="0.3">
      <c r="B74" s="700"/>
      <c r="C74" s="700"/>
      <c r="D74" s="700"/>
      <c r="E74" s="701"/>
      <c r="F74" s="700"/>
      <c r="G74" s="328"/>
      <c r="H74" s="700"/>
      <c r="I74" s="700"/>
      <c r="J74" s="703"/>
      <c r="K74" s="704"/>
      <c r="L74" s="704"/>
      <c r="M74" s="704"/>
      <c r="N74" s="704"/>
      <c r="O74" s="704"/>
      <c r="P74" s="664"/>
      <c r="Q74" s="637"/>
    </row>
    <row r="75" spans="2:17" ht="15.75" customHeight="1" x14ac:dyDescent="0.3">
      <c r="B75" s="700"/>
      <c r="C75" s="700"/>
      <c r="D75" s="700"/>
      <c r="E75" s="701"/>
      <c r="F75" s="700"/>
      <c r="G75" s="328"/>
      <c r="H75" s="700"/>
      <c r="I75" s="700"/>
      <c r="J75" s="703"/>
      <c r="K75" s="704"/>
      <c r="L75" s="704"/>
      <c r="M75" s="704"/>
      <c r="N75" s="704"/>
      <c r="O75" s="704"/>
      <c r="P75" s="664"/>
      <c r="Q75" s="685"/>
    </row>
    <row r="76" spans="2:17" ht="15.75" customHeight="1" x14ac:dyDescent="0.3">
      <c r="B76" s="700"/>
      <c r="C76" s="700"/>
      <c r="D76" s="700"/>
      <c r="E76" s="701"/>
      <c r="F76" s="700"/>
      <c r="G76" s="328"/>
      <c r="H76" s="700"/>
      <c r="I76" s="700"/>
      <c r="J76" s="703"/>
      <c r="K76" s="704"/>
      <c r="L76" s="704"/>
      <c r="M76" s="704"/>
      <c r="N76" s="704"/>
      <c r="O76" s="704"/>
      <c r="P76" s="664"/>
      <c r="Q76" s="685"/>
    </row>
    <row r="77" spans="2:17" ht="15.75" customHeight="1" x14ac:dyDescent="0.3">
      <c r="B77" s="700"/>
      <c r="C77" s="700"/>
      <c r="D77" s="700"/>
      <c r="E77" s="701"/>
      <c r="F77" s="700"/>
      <c r="G77" s="328"/>
      <c r="H77" s="700"/>
      <c r="I77" s="700"/>
      <c r="J77" s="703"/>
      <c r="K77" s="704"/>
      <c r="L77" s="704"/>
      <c r="M77" s="704"/>
      <c r="N77" s="704"/>
      <c r="O77" s="704"/>
      <c r="P77" s="664"/>
      <c r="Q77" s="685"/>
    </row>
    <row r="78" spans="2:17" ht="15.75" customHeight="1" x14ac:dyDescent="0.3">
      <c r="B78" s="700"/>
      <c r="C78" s="700"/>
      <c r="D78" s="700"/>
      <c r="E78" s="701"/>
      <c r="F78" s="700"/>
      <c r="G78" s="328"/>
      <c r="H78" s="700"/>
      <c r="I78" s="700"/>
      <c r="J78" s="703"/>
      <c r="K78" s="704"/>
      <c r="L78" s="704"/>
      <c r="M78" s="704"/>
      <c r="N78" s="704"/>
      <c r="O78" s="704"/>
      <c r="P78" s="664"/>
      <c r="Q78" s="637"/>
    </row>
    <row r="79" spans="2:17" ht="15.75" customHeight="1" x14ac:dyDescent="0.3">
      <c r="B79" s="700"/>
      <c r="C79" s="700"/>
      <c r="D79" s="700"/>
      <c r="E79" s="701"/>
      <c r="F79" s="700"/>
      <c r="G79" s="328"/>
      <c r="H79" s="700"/>
      <c r="I79" s="700"/>
      <c r="J79" s="703"/>
      <c r="K79" s="704"/>
      <c r="L79" s="704"/>
      <c r="M79" s="704"/>
      <c r="N79" s="704"/>
      <c r="O79" s="704"/>
      <c r="P79" s="664"/>
      <c r="Q79" s="637"/>
    </row>
    <row r="80" spans="2:17" ht="15.75" customHeight="1" x14ac:dyDescent="0.3">
      <c r="B80" s="700"/>
      <c r="C80" s="700"/>
      <c r="D80" s="700"/>
      <c r="E80" s="701"/>
      <c r="F80" s="700"/>
      <c r="G80" s="328"/>
      <c r="H80" s="700"/>
      <c r="I80" s="700"/>
      <c r="J80" s="703"/>
      <c r="K80" s="704"/>
      <c r="L80" s="704"/>
      <c r="M80" s="704"/>
      <c r="N80" s="704"/>
      <c r="O80" s="704"/>
      <c r="P80" s="664"/>
      <c r="Q80" s="685"/>
    </row>
    <row r="81" spans="2:17" ht="15.75" customHeight="1" x14ac:dyDescent="0.3">
      <c r="B81" s="700"/>
      <c r="C81" s="700"/>
      <c r="D81" s="700"/>
      <c r="E81" s="701"/>
      <c r="F81" s="700"/>
      <c r="G81" s="328"/>
      <c r="H81" s="700"/>
      <c r="I81" s="700"/>
      <c r="J81" s="703"/>
      <c r="K81" s="704"/>
      <c r="L81" s="704"/>
      <c r="M81" s="704"/>
      <c r="N81" s="704"/>
      <c r="O81" s="704"/>
      <c r="P81" s="664"/>
      <c r="Q81" s="685"/>
    </row>
    <row r="82" spans="2:17" ht="15.75" customHeight="1" x14ac:dyDescent="0.3">
      <c r="B82" s="700"/>
      <c r="C82" s="700"/>
      <c r="D82" s="700"/>
      <c r="E82" s="701"/>
      <c r="F82" s="700"/>
      <c r="G82" s="328"/>
      <c r="H82" s="700"/>
      <c r="I82" s="700"/>
      <c r="J82" s="703"/>
      <c r="K82" s="704"/>
      <c r="L82" s="704"/>
      <c r="M82" s="704"/>
      <c r="N82" s="704"/>
      <c r="O82" s="704"/>
      <c r="P82" s="664"/>
      <c r="Q82" s="637"/>
    </row>
    <row r="83" spans="2:17" ht="15.75" customHeight="1" x14ac:dyDescent="0.3">
      <c r="B83" s="700"/>
      <c r="C83" s="700"/>
      <c r="D83" s="700"/>
      <c r="E83" s="701"/>
      <c r="F83" s="700"/>
      <c r="G83" s="328"/>
      <c r="H83" s="700"/>
      <c r="I83" s="700"/>
      <c r="J83" s="703"/>
      <c r="K83" s="704"/>
      <c r="L83" s="704"/>
      <c r="M83" s="704"/>
      <c r="N83" s="704"/>
      <c r="O83" s="704"/>
      <c r="P83" s="664"/>
      <c r="Q83" s="637"/>
    </row>
    <row r="84" spans="2:17" ht="15.75" customHeight="1" x14ac:dyDescent="0.3">
      <c r="B84" s="700"/>
      <c r="C84" s="700"/>
      <c r="D84" s="700"/>
      <c r="E84" s="701"/>
      <c r="F84" s="700"/>
      <c r="G84" s="328"/>
      <c r="H84" s="700"/>
      <c r="I84" s="700"/>
      <c r="J84" s="703"/>
      <c r="K84" s="704"/>
      <c r="L84" s="704"/>
      <c r="M84" s="704"/>
      <c r="N84" s="704"/>
      <c r="O84" s="704"/>
      <c r="P84" s="664"/>
      <c r="Q84" s="637"/>
    </row>
    <row r="85" spans="2:17" ht="15.75" customHeight="1" x14ac:dyDescent="0.3">
      <c r="B85" s="700"/>
      <c r="C85" s="700"/>
      <c r="D85" s="700"/>
      <c r="E85" s="701"/>
      <c r="F85" s="700"/>
      <c r="G85" s="328"/>
      <c r="H85" s="700"/>
      <c r="I85" s="700"/>
      <c r="J85" s="703"/>
      <c r="K85" s="704"/>
      <c r="L85" s="704"/>
      <c r="M85" s="704"/>
      <c r="N85" s="704"/>
      <c r="O85" s="704"/>
      <c r="P85" s="664"/>
      <c r="Q85" s="637"/>
    </row>
    <row r="86" spans="2:17" ht="15.75" customHeight="1" x14ac:dyDescent="0.3">
      <c r="B86" s="700"/>
      <c r="C86" s="700"/>
      <c r="D86" s="700"/>
      <c r="E86" s="701"/>
      <c r="F86" s="700"/>
      <c r="G86" s="328"/>
      <c r="H86" s="700"/>
      <c r="I86" s="700"/>
      <c r="J86" s="703"/>
      <c r="K86" s="704"/>
      <c r="L86" s="704"/>
      <c r="M86" s="704"/>
      <c r="N86" s="704"/>
      <c r="O86" s="704"/>
      <c r="P86" s="664"/>
      <c r="Q86" s="685"/>
    </row>
    <row r="87" spans="2:17" ht="15.75" customHeight="1" x14ac:dyDescent="0.3">
      <c r="B87" s="700"/>
      <c r="C87" s="700"/>
      <c r="D87" s="700"/>
      <c r="E87" s="701"/>
      <c r="F87" s="700"/>
      <c r="G87" s="328"/>
      <c r="H87" s="700"/>
      <c r="I87" s="700"/>
      <c r="J87" s="703"/>
      <c r="K87" s="704"/>
      <c r="L87" s="704"/>
      <c r="M87" s="704"/>
      <c r="N87" s="704"/>
      <c r="O87" s="704"/>
      <c r="P87" s="664"/>
      <c r="Q87" s="685"/>
    </row>
    <row r="88" spans="2:17" ht="15.75" customHeight="1" x14ac:dyDescent="0.3">
      <c r="B88" s="700"/>
      <c r="C88" s="700"/>
      <c r="D88" s="700"/>
      <c r="E88" s="701"/>
      <c r="F88" s="700"/>
      <c r="G88" s="328"/>
      <c r="H88" s="700"/>
      <c r="I88" s="700"/>
      <c r="J88" s="703"/>
      <c r="K88" s="704"/>
      <c r="L88" s="704"/>
      <c r="M88" s="704"/>
      <c r="N88" s="704"/>
      <c r="O88" s="704"/>
      <c r="P88" s="664"/>
    </row>
    <row r="89" spans="2:17" ht="15.75" customHeight="1" x14ac:dyDescent="0.3">
      <c r="B89" s="700"/>
      <c r="C89" s="700"/>
      <c r="D89" s="700"/>
      <c r="E89" s="701"/>
      <c r="F89" s="700"/>
      <c r="G89" s="328"/>
      <c r="H89" s="700"/>
      <c r="I89" s="700"/>
      <c r="J89" s="703"/>
      <c r="K89" s="704"/>
      <c r="L89" s="704"/>
      <c r="M89" s="704"/>
      <c r="N89" s="704"/>
      <c r="O89" s="704"/>
      <c r="P89" s="664"/>
      <c r="Q89" s="685"/>
    </row>
    <row r="90" spans="2:17" ht="15.75" customHeight="1" x14ac:dyDescent="0.3">
      <c r="B90" s="700"/>
      <c r="C90" s="700"/>
      <c r="D90" s="700"/>
      <c r="E90" s="701"/>
      <c r="F90" s="700"/>
      <c r="G90" s="328"/>
      <c r="H90" s="700"/>
      <c r="I90" s="700"/>
      <c r="J90" s="703"/>
      <c r="K90" s="704"/>
      <c r="L90" s="704"/>
      <c r="M90" s="704"/>
      <c r="N90" s="704"/>
      <c r="O90" s="704"/>
      <c r="P90" s="664"/>
      <c r="Q90" s="637"/>
    </row>
    <row r="91" spans="2:17" ht="15.75" customHeight="1" x14ac:dyDescent="0.3">
      <c r="B91" s="700"/>
      <c r="C91" s="700"/>
      <c r="D91" s="700"/>
      <c r="E91" s="701"/>
      <c r="F91" s="700"/>
      <c r="G91" s="328"/>
      <c r="H91" s="700"/>
      <c r="I91" s="700"/>
      <c r="J91" s="703"/>
      <c r="K91" s="704"/>
      <c r="L91" s="704"/>
      <c r="M91" s="704"/>
      <c r="N91" s="704"/>
      <c r="O91" s="704"/>
      <c r="P91" s="664"/>
      <c r="Q91" s="637"/>
    </row>
    <row r="92" spans="2:17" ht="15.75" customHeight="1" x14ac:dyDescent="0.3">
      <c r="B92" s="700"/>
      <c r="C92" s="700"/>
      <c r="D92" s="700"/>
      <c r="E92" s="701"/>
      <c r="F92" s="700"/>
      <c r="G92" s="328"/>
      <c r="H92" s="700"/>
      <c r="I92" s="700"/>
      <c r="J92" s="703"/>
      <c r="K92" s="704"/>
      <c r="L92" s="704"/>
      <c r="M92" s="704"/>
      <c r="N92" s="704"/>
      <c r="O92" s="704"/>
      <c r="P92" s="664"/>
      <c r="Q92" s="685"/>
    </row>
    <row r="93" spans="2:17" ht="15.75" customHeight="1" x14ac:dyDescent="0.3">
      <c r="B93" s="700"/>
      <c r="C93" s="700"/>
      <c r="D93" s="700"/>
      <c r="E93" s="701"/>
      <c r="F93" s="700"/>
      <c r="G93" s="328"/>
      <c r="H93" s="700"/>
      <c r="I93" s="700"/>
      <c r="J93" s="703"/>
      <c r="K93" s="704"/>
      <c r="L93" s="704"/>
      <c r="M93" s="704"/>
      <c r="N93" s="704"/>
      <c r="O93" s="704"/>
      <c r="P93" s="664"/>
      <c r="Q93" s="685"/>
    </row>
    <row r="94" spans="2:17" ht="15.75" customHeight="1" x14ac:dyDescent="0.3">
      <c r="B94" s="700"/>
      <c r="C94" s="700"/>
      <c r="D94" s="700"/>
      <c r="E94" s="701"/>
      <c r="F94" s="700"/>
      <c r="G94" s="328"/>
      <c r="H94" s="700"/>
      <c r="I94" s="700"/>
      <c r="J94" s="703"/>
      <c r="K94" s="704"/>
      <c r="L94" s="704"/>
      <c r="M94" s="704"/>
      <c r="N94" s="704"/>
      <c r="O94" s="704"/>
      <c r="P94" s="664"/>
      <c r="Q94" s="685"/>
    </row>
    <row r="95" spans="2:17" ht="15.75" customHeight="1" x14ac:dyDescent="0.3">
      <c r="B95" s="700"/>
      <c r="C95" s="700"/>
      <c r="D95" s="700"/>
      <c r="E95" s="701"/>
      <c r="F95" s="700"/>
      <c r="G95" s="328"/>
      <c r="H95" s="700"/>
      <c r="I95" s="700"/>
      <c r="J95" s="703"/>
      <c r="K95" s="704"/>
      <c r="L95" s="704"/>
      <c r="M95" s="704"/>
      <c r="N95" s="704"/>
      <c r="O95" s="704"/>
      <c r="P95" s="664"/>
      <c r="Q95" s="637"/>
    </row>
    <row r="96" spans="2:17" ht="15.75" customHeight="1" x14ac:dyDescent="0.3">
      <c r="B96" s="700"/>
      <c r="C96" s="700"/>
      <c r="D96" s="700"/>
      <c r="E96" s="701"/>
      <c r="F96" s="700"/>
      <c r="G96" s="328"/>
      <c r="H96" s="700"/>
      <c r="I96" s="700"/>
      <c r="J96" s="703"/>
      <c r="K96" s="704"/>
      <c r="L96" s="704"/>
      <c r="M96" s="704"/>
      <c r="N96" s="704"/>
      <c r="O96" s="704"/>
      <c r="P96" s="664"/>
      <c r="Q96" s="637"/>
    </row>
    <row r="97" spans="2:17" ht="15.75" customHeight="1" x14ac:dyDescent="0.3">
      <c r="B97" s="700"/>
      <c r="C97" s="700"/>
      <c r="D97" s="700"/>
      <c r="E97" s="701"/>
      <c r="F97" s="700"/>
      <c r="G97" s="328"/>
      <c r="H97" s="700"/>
      <c r="I97" s="700"/>
      <c r="J97" s="703"/>
      <c r="K97" s="704"/>
      <c r="L97" s="704"/>
      <c r="M97" s="704"/>
      <c r="N97" s="704"/>
      <c r="O97" s="704"/>
      <c r="P97" s="664"/>
      <c r="Q97" s="637"/>
    </row>
    <row r="98" spans="2:17" ht="15.75" customHeight="1" x14ac:dyDescent="0.3">
      <c r="B98" s="700"/>
      <c r="C98" s="700"/>
      <c r="D98" s="700"/>
      <c r="E98" s="701"/>
      <c r="F98" s="700"/>
      <c r="G98" s="328"/>
      <c r="H98" s="700"/>
      <c r="I98" s="700"/>
      <c r="J98" s="703"/>
      <c r="K98" s="704"/>
      <c r="L98" s="704"/>
      <c r="M98" s="704"/>
      <c r="N98" s="704"/>
      <c r="O98" s="704"/>
      <c r="P98" s="664"/>
      <c r="Q98" s="685"/>
    </row>
    <row r="99" spans="2:17" ht="15.75" customHeight="1" x14ac:dyDescent="0.3">
      <c r="B99" s="700"/>
      <c r="C99" s="700"/>
      <c r="D99" s="700"/>
      <c r="E99" s="701"/>
      <c r="F99" s="700"/>
      <c r="G99" s="328"/>
      <c r="H99" s="700"/>
      <c r="I99" s="700"/>
      <c r="J99" s="703"/>
      <c r="K99" s="704"/>
      <c r="L99" s="704"/>
      <c r="M99" s="704"/>
      <c r="N99" s="704"/>
      <c r="O99" s="704"/>
      <c r="P99" s="664"/>
      <c r="Q99" s="685"/>
    </row>
    <row r="100" spans="2:17" ht="15.75" customHeight="1" x14ac:dyDescent="0.3">
      <c r="B100" s="700"/>
      <c r="C100" s="700"/>
      <c r="D100" s="700"/>
      <c r="E100" s="701"/>
      <c r="F100" s="700"/>
      <c r="G100" s="328"/>
      <c r="H100" s="700"/>
      <c r="I100" s="700"/>
      <c r="J100" s="703"/>
      <c r="K100" s="704"/>
      <c r="L100" s="704"/>
      <c r="M100" s="704"/>
      <c r="N100" s="704"/>
      <c r="O100" s="704"/>
      <c r="P100" s="664"/>
      <c r="Q100" s="685"/>
    </row>
    <row r="101" spans="2:17" ht="15.75" customHeight="1" x14ac:dyDescent="0.3">
      <c r="B101" s="700"/>
      <c r="C101" s="700"/>
      <c r="D101" s="700"/>
      <c r="E101" s="701"/>
      <c r="F101" s="700"/>
      <c r="G101" s="328"/>
      <c r="H101" s="700"/>
      <c r="I101" s="700"/>
      <c r="J101" s="703"/>
      <c r="K101" s="704"/>
      <c r="L101" s="704"/>
      <c r="M101" s="704"/>
      <c r="N101" s="704"/>
      <c r="O101" s="704"/>
      <c r="P101" s="664"/>
      <c r="Q101" s="637"/>
    </row>
    <row r="102" spans="2:17" ht="15.75" customHeight="1" x14ac:dyDescent="0.3">
      <c r="B102" s="700"/>
      <c r="C102" s="700"/>
      <c r="D102" s="700"/>
      <c r="E102" s="701"/>
      <c r="F102" s="700"/>
      <c r="G102" s="328"/>
      <c r="H102" s="700"/>
      <c r="I102" s="700"/>
      <c r="J102" s="703"/>
      <c r="K102" s="704"/>
      <c r="L102" s="704"/>
      <c r="M102" s="704"/>
      <c r="N102" s="704"/>
      <c r="O102" s="704"/>
      <c r="P102" s="664"/>
      <c r="Q102" s="637"/>
    </row>
    <row r="103" spans="2:17" ht="15.75" customHeight="1" x14ac:dyDescent="0.3">
      <c r="B103" s="700"/>
      <c r="C103" s="700"/>
      <c r="D103" s="700"/>
      <c r="E103" s="701"/>
      <c r="F103" s="700"/>
      <c r="G103" s="328"/>
      <c r="H103" s="700"/>
      <c r="I103" s="700"/>
      <c r="J103" s="703"/>
      <c r="K103" s="704"/>
      <c r="L103" s="704"/>
      <c r="M103" s="704"/>
      <c r="N103" s="704"/>
      <c r="O103" s="704"/>
      <c r="P103" s="664"/>
      <c r="Q103" s="685"/>
    </row>
    <row r="104" spans="2:17" ht="15.75" customHeight="1" x14ac:dyDescent="0.3">
      <c r="B104" s="700"/>
      <c r="C104" s="700"/>
      <c r="D104" s="700"/>
      <c r="E104" s="701"/>
      <c r="F104" s="700"/>
      <c r="G104" s="328"/>
      <c r="H104" s="700"/>
      <c r="I104" s="700"/>
      <c r="J104" s="703"/>
      <c r="K104" s="704"/>
      <c r="L104" s="704"/>
      <c r="M104" s="704"/>
      <c r="N104" s="704"/>
      <c r="O104" s="704"/>
      <c r="P104" s="664"/>
      <c r="Q104" s="685"/>
    </row>
    <row r="105" spans="2:17" ht="15.75" customHeight="1" x14ac:dyDescent="0.3">
      <c r="B105" s="700"/>
      <c r="C105" s="700"/>
      <c r="D105" s="700"/>
      <c r="E105" s="701"/>
      <c r="F105" s="700"/>
      <c r="G105" s="328"/>
      <c r="H105" s="700"/>
      <c r="I105" s="700"/>
      <c r="J105" s="703"/>
      <c r="K105" s="704"/>
      <c r="L105" s="704"/>
      <c r="M105" s="704"/>
      <c r="N105" s="704"/>
      <c r="O105" s="704"/>
      <c r="P105" s="664"/>
      <c r="Q105" s="637"/>
    </row>
    <row r="106" spans="2:17" ht="15.75" customHeight="1" x14ac:dyDescent="0.3">
      <c r="B106" s="700"/>
      <c r="C106" s="700"/>
      <c r="D106" s="700"/>
      <c r="E106" s="701"/>
      <c r="F106" s="700"/>
      <c r="G106" s="328"/>
      <c r="H106" s="700"/>
      <c r="I106" s="700"/>
      <c r="J106" s="703"/>
      <c r="K106" s="704"/>
      <c r="L106" s="704"/>
      <c r="M106" s="704"/>
      <c r="N106" s="704"/>
      <c r="O106" s="704"/>
      <c r="P106" s="664"/>
      <c r="Q106" s="637"/>
    </row>
    <row r="107" spans="2:17" ht="15.75" customHeight="1" x14ac:dyDescent="0.3">
      <c r="B107" s="700"/>
      <c r="C107" s="700"/>
      <c r="D107" s="700"/>
      <c r="E107" s="701"/>
      <c r="F107" s="700"/>
      <c r="G107" s="328"/>
      <c r="H107" s="700"/>
      <c r="I107" s="700"/>
      <c r="J107" s="703"/>
      <c r="K107" s="704"/>
      <c r="L107" s="704"/>
      <c r="M107" s="704"/>
      <c r="N107" s="704"/>
      <c r="O107" s="704"/>
      <c r="P107" s="664"/>
      <c r="Q107" s="637"/>
    </row>
    <row r="108" spans="2:17" ht="15.75" customHeight="1" x14ac:dyDescent="0.3">
      <c r="B108" s="700"/>
      <c r="C108" s="700"/>
      <c r="D108" s="700"/>
      <c r="E108" s="701"/>
      <c r="F108" s="700"/>
      <c r="G108" s="328"/>
      <c r="H108" s="700"/>
      <c r="I108" s="700"/>
      <c r="J108" s="703"/>
      <c r="K108" s="704"/>
      <c r="L108" s="704"/>
      <c r="M108" s="704"/>
      <c r="N108" s="704"/>
      <c r="O108" s="704"/>
      <c r="P108" s="664"/>
      <c r="Q108" s="637"/>
    </row>
    <row r="109" spans="2:17" ht="15.75" customHeight="1" x14ac:dyDescent="0.3">
      <c r="B109" s="700"/>
      <c r="C109" s="700"/>
      <c r="D109" s="700"/>
      <c r="E109" s="701"/>
      <c r="F109" s="700"/>
      <c r="G109" s="328"/>
      <c r="H109" s="700"/>
      <c r="I109" s="700"/>
      <c r="J109" s="703"/>
      <c r="K109" s="704"/>
      <c r="L109" s="704"/>
      <c r="M109" s="704"/>
      <c r="N109" s="704"/>
      <c r="O109" s="704"/>
      <c r="P109" s="664"/>
      <c r="Q109" s="637"/>
    </row>
    <row r="110" spans="2:17" ht="15.75" customHeight="1" x14ac:dyDescent="0.3">
      <c r="B110" s="700"/>
      <c r="C110" s="700"/>
      <c r="D110" s="700"/>
      <c r="E110" s="701"/>
      <c r="F110" s="700"/>
      <c r="G110" s="328"/>
      <c r="H110" s="700"/>
      <c r="I110" s="700"/>
      <c r="J110" s="703"/>
      <c r="K110" s="704"/>
      <c r="L110" s="704"/>
      <c r="M110" s="704"/>
      <c r="N110" s="704"/>
      <c r="O110" s="704"/>
      <c r="P110" s="664"/>
      <c r="Q110" s="685"/>
    </row>
    <row r="111" spans="2:17" ht="15.75" customHeight="1" x14ac:dyDescent="0.3">
      <c r="B111" s="700"/>
      <c r="C111" s="700"/>
      <c r="D111" s="700"/>
      <c r="E111" s="701"/>
      <c r="F111" s="700"/>
      <c r="G111" s="328"/>
      <c r="H111" s="700"/>
      <c r="I111" s="700"/>
      <c r="J111" s="703"/>
      <c r="K111" s="704"/>
      <c r="L111" s="704"/>
      <c r="M111" s="704"/>
      <c r="N111" s="704"/>
      <c r="O111" s="704"/>
      <c r="P111" s="664"/>
      <c r="Q111" s="685"/>
    </row>
    <row r="112" spans="2:17" ht="15.75" customHeight="1" x14ac:dyDescent="0.3">
      <c r="B112" s="700"/>
      <c r="C112" s="700"/>
      <c r="D112" s="700"/>
      <c r="E112" s="701"/>
      <c r="F112" s="700"/>
      <c r="G112" s="328"/>
      <c r="H112" s="700"/>
      <c r="I112" s="700"/>
      <c r="J112" s="703"/>
      <c r="K112" s="704"/>
      <c r="L112" s="704"/>
      <c r="M112" s="704"/>
      <c r="N112" s="704"/>
      <c r="O112" s="704"/>
      <c r="P112" s="664"/>
      <c r="Q112" s="707"/>
    </row>
    <row r="113" spans="2:17" ht="15.75" customHeight="1" x14ac:dyDescent="0.3">
      <c r="B113" s="700"/>
      <c r="C113" s="700"/>
      <c r="D113" s="700"/>
      <c r="E113" s="701"/>
      <c r="F113" s="700"/>
      <c r="G113" s="328"/>
      <c r="H113" s="700"/>
      <c r="I113" s="700"/>
      <c r="J113" s="703"/>
      <c r="K113" s="704"/>
      <c r="L113" s="704"/>
      <c r="M113" s="704"/>
      <c r="N113" s="704"/>
      <c r="O113" s="704"/>
      <c r="P113" s="664"/>
      <c r="Q113" s="707"/>
    </row>
    <row r="114" spans="2:17" ht="15.75" customHeight="1" x14ac:dyDescent="0.3">
      <c r="B114" s="700"/>
      <c r="C114" s="700"/>
      <c r="D114" s="700"/>
      <c r="E114" s="701"/>
      <c r="F114" s="700"/>
      <c r="G114" s="328"/>
      <c r="H114" s="700"/>
      <c r="I114" s="700"/>
      <c r="J114" s="703"/>
      <c r="K114" s="704"/>
      <c r="L114" s="704"/>
      <c r="M114" s="704"/>
      <c r="N114" s="704"/>
      <c r="O114" s="704"/>
      <c r="P114" s="664"/>
      <c r="Q114" s="707"/>
    </row>
    <row r="115" spans="2:17" ht="15.75" customHeight="1" x14ac:dyDescent="0.3">
      <c r="B115" s="700"/>
      <c r="C115" s="700"/>
      <c r="D115" s="700"/>
      <c r="E115" s="701"/>
      <c r="F115" s="700"/>
      <c r="G115" s="328"/>
      <c r="H115" s="700"/>
      <c r="I115" s="700"/>
      <c r="J115" s="703"/>
      <c r="K115" s="704"/>
      <c r="L115" s="704"/>
      <c r="M115" s="704"/>
      <c r="N115" s="704"/>
      <c r="O115" s="704"/>
      <c r="P115" s="664"/>
      <c r="Q115" s="671"/>
    </row>
    <row r="116" spans="2:17" ht="15.75" customHeight="1" x14ac:dyDescent="0.3">
      <c r="B116" s="700"/>
      <c r="C116" s="700"/>
      <c r="D116" s="700"/>
      <c r="E116" s="701"/>
      <c r="F116" s="700"/>
      <c r="G116" s="328"/>
      <c r="H116" s="700"/>
      <c r="I116" s="700"/>
      <c r="J116" s="703"/>
      <c r="K116" s="704"/>
      <c r="L116" s="704"/>
      <c r="M116" s="704"/>
      <c r="N116" s="704"/>
      <c r="O116" s="704"/>
      <c r="P116" s="664"/>
      <c r="Q116" s="637"/>
    </row>
    <row r="117" spans="2:17" ht="15.75" customHeight="1" x14ac:dyDescent="0.3">
      <c r="B117" s="700"/>
      <c r="C117" s="700"/>
      <c r="D117" s="700"/>
      <c r="E117" s="701"/>
      <c r="F117" s="700"/>
      <c r="G117" s="328"/>
      <c r="H117" s="700"/>
      <c r="I117" s="700"/>
      <c r="J117" s="703"/>
      <c r="K117" s="704"/>
      <c r="L117" s="704"/>
      <c r="M117" s="704"/>
      <c r="N117" s="704"/>
      <c r="O117" s="704"/>
      <c r="P117" s="664"/>
      <c r="Q117" s="637"/>
    </row>
    <row r="118" spans="2:17" ht="15.75" customHeight="1" x14ac:dyDescent="0.3">
      <c r="B118" s="700"/>
      <c r="C118" s="700"/>
      <c r="D118" s="700"/>
      <c r="E118" s="701"/>
      <c r="F118" s="700"/>
      <c r="G118" s="328"/>
      <c r="H118" s="700"/>
      <c r="I118" s="700"/>
      <c r="J118" s="703"/>
      <c r="K118" s="704"/>
      <c r="L118" s="704"/>
      <c r="M118" s="704"/>
      <c r="N118" s="704"/>
      <c r="O118" s="704"/>
      <c r="P118" s="664"/>
      <c r="Q118" s="685"/>
    </row>
    <row r="119" spans="2:17" ht="15.75" customHeight="1" x14ac:dyDescent="0.3">
      <c r="B119" s="700"/>
      <c r="C119" s="700"/>
      <c r="D119" s="700"/>
      <c r="E119" s="701"/>
      <c r="F119" s="700"/>
      <c r="G119" s="328"/>
      <c r="H119" s="700"/>
      <c r="I119" s="700"/>
      <c r="J119" s="703"/>
      <c r="K119" s="704"/>
      <c r="L119" s="704"/>
      <c r="M119" s="704"/>
      <c r="N119" s="704"/>
      <c r="O119" s="704"/>
      <c r="P119" s="664"/>
      <c r="Q119" s="685"/>
    </row>
    <row r="120" spans="2:17" ht="15.75" customHeight="1" x14ac:dyDescent="0.3">
      <c r="B120" s="700"/>
      <c r="C120" s="700"/>
      <c r="D120" s="700"/>
      <c r="E120" s="701"/>
      <c r="F120" s="700"/>
      <c r="G120" s="328"/>
      <c r="H120" s="700"/>
      <c r="I120" s="700"/>
      <c r="J120" s="703"/>
      <c r="K120" s="704"/>
      <c r="L120" s="704"/>
      <c r="M120" s="704"/>
      <c r="N120" s="704"/>
      <c r="O120" s="704"/>
      <c r="P120" s="664"/>
      <c r="Q120" s="685"/>
    </row>
    <row r="121" spans="2:17" ht="15.75" customHeight="1" x14ac:dyDescent="0.3">
      <c r="B121" s="700"/>
      <c r="C121" s="700"/>
      <c r="D121" s="700"/>
      <c r="E121" s="701"/>
      <c r="F121" s="700"/>
      <c r="G121" s="328"/>
      <c r="H121" s="700"/>
      <c r="I121" s="700"/>
      <c r="J121" s="703"/>
      <c r="K121" s="704"/>
      <c r="L121" s="704"/>
      <c r="M121" s="704"/>
      <c r="N121" s="704"/>
      <c r="O121" s="704"/>
      <c r="P121" s="664"/>
    </row>
    <row r="122" spans="2:17" ht="15.75" customHeight="1" x14ac:dyDescent="0.3">
      <c r="B122" s="700"/>
      <c r="C122" s="700"/>
      <c r="D122" s="700"/>
      <c r="E122" s="701"/>
      <c r="F122" s="700"/>
      <c r="G122" s="328"/>
      <c r="H122" s="700"/>
      <c r="I122" s="700"/>
      <c r="J122" s="703"/>
      <c r="K122" s="704"/>
      <c r="L122" s="704"/>
      <c r="M122" s="704"/>
      <c r="N122" s="704"/>
      <c r="O122" s="704"/>
      <c r="P122" s="664"/>
    </row>
    <row r="123" spans="2:17" ht="15.75" customHeight="1" x14ac:dyDescent="0.3">
      <c r="B123" s="700"/>
      <c r="C123" s="700"/>
      <c r="D123" s="700"/>
      <c r="E123" s="701"/>
      <c r="F123" s="700"/>
      <c r="G123" s="328"/>
      <c r="H123" s="700"/>
      <c r="I123" s="700"/>
      <c r="J123" s="703"/>
      <c r="K123" s="704"/>
      <c r="L123" s="704"/>
      <c r="M123" s="704"/>
      <c r="N123" s="704"/>
      <c r="O123" s="704"/>
      <c r="P123" s="664"/>
    </row>
    <row r="124" spans="2:17" ht="15.75" customHeight="1" x14ac:dyDescent="0.3">
      <c r="B124" s="700"/>
      <c r="C124" s="700"/>
      <c r="D124" s="700"/>
      <c r="E124" s="701"/>
      <c r="F124" s="700"/>
      <c r="G124" s="328"/>
      <c r="H124" s="700"/>
      <c r="I124" s="700"/>
      <c r="J124" s="703"/>
      <c r="K124" s="704"/>
      <c r="L124" s="704"/>
      <c r="M124" s="704"/>
      <c r="N124" s="704"/>
      <c r="O124" s="704"/>
      <c r="P124" s="664"/>
    </row>
    <row r="125" spans="2:17" ht="15.75" customHeight="1" x14ac:dyDescent="0.3">
      <c r="B125" s="700"/>
      <c r="C125" s="700"/>
      <c r="D125" s="700"/>
      <c r="E125" s="701"/>
      <c r="F125" s="700"/>
      <c r="G125" s="328"/>
      <c r="H125" s="700"/>
      <c r="I125" s="700"/>
      <c r="J125" s="703"/>
      <c r="K125" s="704"/>
      <c r="L125" s="704"/>
      <c r="M125" s="704"/>
      <c r="N125" s="704"/>
      <c r="O125" s="704"/>
      <c r="P125" s="664"/>
    </row>
    <row r="126" spans="2:17" ht="15.75" customHeight="1" x14ac:dyDescent="0.3">
      <c r="B126" s="700"/>
      <c r="C126" s="700"/>
      <c r="D126" s="700"/>
      <c r="E126" s="701"/>
      <c r="F126" s="700"/>
      <c r="G126" s="328"/>
      <c r="H126" s="700"/>
      <c r="I126" s="700"/>
      <c r="J126" s="703"/>
      <c r="K126" s="704"/>
      <c r="L126" s="704"/>
      <c r="M126" s="704"/>
      <c r="N126" s="704"/>
      <c r="O126" s="704"/>
      <c r="P126" s="664"/>
    </row>
    <row r="127" spans="2:17" ht="15.75" customHeight="1" x14ac:dyDescent="0.3">
      <c r="B127" s="700"/>
      <c r="C127" s="700"/>
      <c r="D127" s="700"/>
      <c r="E127" s="701"/>
      <c r="F127" s="700"/>
      <c r="G127" s="328"/>
      <c r="H127" s="700"/>
      <c r="I127" s="700"/>
      <c r="J127" s="703"/>
      <c r="K127" s="704"/>
      <c r="L127" s="704"/>
      <c r="M127" s="704"/>
      <c r="N127" s="704"/>
      <c r="O127" s="704"/>
      <c r="P127" s="664"/>
    </row>
    <row r="128" spans="2:17" ht="15.75" customHeight="1" x14ac:dyDescent="0.3">
      <c r="B128" s="700"/>
      <c r="C128" s="700"/>
      <c r="D128" s="700"/>
      <c r="E128" s="701"/>
      <c r="F128" s="700"/>
      <c r="G128" s="328"/>
      <c r="H128" s="700"/>
      <c r="I128" s="700"/>
      <c r="J128" s="703"/>
      <c r="K128" s="704"/>
      <c r="L128" s="704"/>
      <c r="M128" s="704"/>
      <c r="N128" s="704"/>
      <c r="O128" s="704"/>
      <c r="P128" s="664"/>
    </row>
    <row r="129" spans="2:16" ht="15.75" customHeight="1" x14ac:dyDescent="0.3">
      <c r="B129" s="700"/>
      <c r="C129" s="700"/>
      <c r="D129" s="700"/>
      <c r="E129" s="701"/>
      <c r="F129" s="700"/>
      <c r="G129" s="328"/>
      <c r="H129" s="700"/>
      <c r="I129" s="700"/>
      <c r="J129" s="703"/>
      <c r="K129" s="704"/>
      <c r="L129" s="704"/>
      <c r="M129" s="704"/>
      <c r="N129" s="704"/>
      <c r="O129" s="704"/>
      <c r="P129" s="664"/>
    </row>
    <row r="130" spans="2:16" ht="15.75" customHeight="1" x14ac:dyDescent="0.3">
      <c r="B130" s="700"/>
      <c r="C130" s="700"/>
      <c r="D130" s="700"/>
      <c r="E130" s="701"/>
      <c r="F130" s="700"/>
      <c r="G130" s="328"/>
      <c r="H130" s="700"/>
      <c r="I130" s="700"/>
      <c r="J130" s="703"/>
      <c r="K130" s="704"/>
      <c r="L130" s="704"/>
      <c r="M130" s="704"/>
      <c r="N130" s="704"/>
      <c r="O130" s="704"/>
      <c r="P130" s="664"/>
    </row>
    <row r="131" spans="2:16" ht="15.75" customHeight="1" x14ac:dyDescent="0.3">
      <c r="B131" s="700"/>
      <c r="C131" s="700"/>
      <c r="D131" s="700"/>
      <c r="E131" s="701"/>
      <c r="F131" s="700"/>
      <c r="G131" s="328"/>
      <c r="H131" s="700"/>
      <c r="I131" s="700"/>
      <c r="J131" s="703"/>
      <c r="K131" s="704"/>
      <c r="L131" s="704"/>
      <c r="M131" s="704"/>
      <c r="N131" s="704"/>
      <c r="O131" s="704"/>
      <c r="P131" s="664"/>
    </row>
    <row r="132" spans="2:16" ht="15.75" customHeight="1" x14ac:dyDescent="0.3">
      <c r="B132" s="700"/>
      <c r="C132" s="700"/>
      <c r="D132" s="700"/>
      <c r="E132" s="701"/>
      <c r="F132" s="700"/>
      <c r="G132" s="328"/>
      <c r="H132" s="700"/>
      <c r="I132" s="700"/>
      <c r="J132" s="703"/>
      <c r="K132" s="704"/>
      <c r="L132" s="704"/>
      <c r="M132" s="704"/>
      <c r="N132" s="704"/>
      <c r="O132" s="704"/>
      <c r="P132" s="664"/>
    </row>
    <row r="133" spans="2:16" ht="15.75" customHeight="1" x14ac:dyDescent="0.3">
      <c r="B133" s="700"/>
      <c r="C133" s="700"/>
      <c r="D133" s="700"/>
      <c r="E133" s="701"/>
      <c r="F133" s="700"/>
      <c r="G133" s="328"/>
      <c r="H133" s="700"/>
      <c r="I133" s="700"/>
      <c r="J133" s="703"/>
      <c r="K133" s="704"/>
      <c r="L133" s="704"/>
      <c r="M133" s="704"/>
      <c r="N133" s="704"/>
      <c r="O133" s="704"/>
      <c r="P133" s="664"/>
    </row>
    <row r="134" spans="2:16" ht="15.75" customHeight="1" x14ac:dyDescent="0.3">
      <c r="B134" s="700"/>
      <c r="C134" s="700"/>
      <c r="D134" s="700"/>
      <c r="E134" s="701"/>
      <c r="F134" s="700"/>
      <c r="G134" s="328"/>
      <c r="H134" s="700"/>
      <c r="I134" s="700"/>
      <c r="J134" s="703"/>
      <c r="K134" s="704"/>
      <c r="L134" s="704"/>
      <c r="M134" s="704"/>
      <c r="N134" s="704"/>
      <c r="O134" s="704"/>
      <c r="P134" s="664"/>
    </row>
    <row r="135" spans="2:16" ht="15.75" customHeight="1" x14ac:dyDescent="0.3">
      <c r="B135" s="700"/>
      <c r="C135" s="700"/>
      <c r="D135" s="700"/>
      <c r="E135" s="701"/>
      <c r="F135" s="700"/>
      <c r="G135" s="328"/>
      <c r="H135" s="700"/>
      <c r="I135" s="700"/>
      <c r="J135" s="703"/>
      <c r="K135" s="704"/>
      <c r="L135" s="704"/>
      <c r="M135" s="704"/>
      <c r="N135" s="704"/>
      <c r="O135" s="704"/>
      <c r="P135" s="664"/>
    </row>
    <row r="136" spans="2:16" ht="15.75" customHeight="1" x14ac:dyDescent="0.3">
      <c r="B136" s="700"/>
      <c r="C136" s="700"/>
      <c r="D136" s="700"/>
      <c r="E136" s="701"/>
      <c r="F136" s="700"/>
      <c r="G136" s="328"/>
      <c r="H136" s="700"/>
      <c r="I136" s="700"/>
      <c r="J136" s="703"/>
      <c r="K136" s="704"/>
      <c r="L136" s="704"/>
      <c r="M136" s="704"/>
      <c r="N136" s="704"/>
      <c r="O136" s="704"/>
      <c r="P136" s="664"/>
    </row>
    <row r="137" spans="2:16" ht="15.75" customHeight="1" x14ac:dyDescent="0.3">
      <c r="B137" s="700"/>
      <c r="C137" s="700"/>
      <c r="D137" s="700"/>
      <c r="E137" s="701"/>
      <c r="F137" s="700"/>
      <c r="G137" s="328"/>
      <c r="H137" s="700"/>
      <c r="I137" s="700"/>
      <c r="J137" s="703"/>
      <c r="K137" s="704"/>
      <c r="L137" s="704"/>
      <c r="M137" s="704"/>
      <c r="N137" s="704"/>
      <c r="O137" s="704"/>
      <c r="P137" s="664"/>
    </row>
    <row r="138" spans="2:16" ht="15.75" customHeight="1" x14ac:dyDescent="0.3">
      <c r="B138" s="700"/>
      <c r="C138" s="700"/>
      <c r="D138" s="700"/>
      <c r="E138" s="701"/>
      <c r="F138" s="700"/>
      <c r="G138" s="328"/>
      <c r="H138" s="700"/>
      <c r="I138" s="700"/>
      <c r="J138" s="703"/>
      <c r="K138" s="704"/>
      <c r="L138" s="704"/>
      <c r="M138" s="704"/>
      <c r="N138" s="704"/>
      <c r="O138" s="704"/>
      <c r="P138" s="664"/>
    </row>
    <row r="139" spans="2:16" ht="15.75" customHeight="1" x14ac:dyDescent="0.3">
      <c r="B139" s="700"/>
      <c r="C139" s="700"/>
      <c r="D139" s="700"/>
      <c r="E139" s="701"/>
      <c r="F139" s="700"/>
      <c r="G139" s="328"/>
      <c r="H139" s="700"/>
      <c r="I139" s="700"/>
      <c r="J139" s="703"/>
      <c r="K139" s="704"/>
      <c r="L139" s="704"/>
      <c r="M139" s="704"/>
      <c r="N139" s="704"/>
      <c r="O139" s="704"/>
      <c r="P139" s="664"/>
    </row>
    <row r="140" spans="2:16" ht="15.75" customHeight="1" x14ac:dyDescent="0.3">
      <c r="B140" s="700"/>
      <c r="C140" s="700"/>
      <c r="D140" s="700"/>
      <c r="E140" s="701"/>
      <c r="F140" s="700"/>
      <c r="G140" s="328"/>
      <c r="H140" s="700"/>
      <c r="I140" s="700"/>
      <c r="J140" s="703"/>
      <c r="K140" s="704"/>
      <c r="L140" s="704"/>
      <c r="M140" s="704"/>
      <c r="N140" s="704"/>
      <c r="O140" s="704"/>
      <c r="P140" s="664"/>
    </row>
    <row r="141" spans="2:16" ht="15.75" customHeight="1" x14ac:dyDescent="0.3">
      <c r="B141" s="700"/>
      <c r="C141" s="700"/>
      <c r="D141" s="700"/>
      <c r="E141" s="701"/>
      <c r="F141" s="700"/>
      <c r="G141" s="328"/>
      <c r="H141" s="700"/>
      <c r="I141" s="700"/>
      <c r="J141" s="703"/>
      <c r="K141" s="704"/>
      <c r="L141" s="704"/>
      <c r="M141" s="704"/>
      <c r="N141" s="704"/>
      <c r="O141" s="704"/>
      <c r="P141" s="664"/>
    </row>
    <row r="142" spans="2:16" ht="15.75" customHeight="1" x14ac:dyDescent="0.3">
      <c r="B142" s="700"/>
      <c r="C142" s="700"/>
      <c r="D142" s="700"/>
      <c r="E142" s="701"/>
      <c r="F142" s="700"/>
      <c r="G142" s="328"/>
      <c r="H142" s="700"/>
      <c r="I142" s="700"/>
      <c r="J142" s="703"/>
      <c r="K142" s="704"/>
      <c r="L142" s="704"/>
      <c r="M142" s="704"/>
      <c r="N142" s="704"/>
      <c r="O142" s="704"/>
      <c r="P142" s="664"/>
    </row>
    <row r="143" spans="2:16" ht="15.75" customHeight="1" x14ac:dyDescent="0.3">
      <c r="B143" s="700"/>
      <c r="C143" s="700"/>
      <c r="D143" s="700"/>
      <c r="E143" s="701"/>
      <c r="F143" s="700"/>
      <c r="G143" s="328"/>
      <c r="H143" s="700"/>
      <c r="I143" s="700"/>
      <c r="J143" s="703"/>
      <c r="K143" s="704"/>
      <c r="L143" s="704"/>
      <c r="M143" s="704"/>
      <c r="N143" s="704"/>
      <c r="O143" s="704"/>
      <c r="P143" s="664"/>
    </row>
    <row r="144" spans="2:16" ht="15.75" customHeight="1" x14ac:dyDescent="0.3">
      <c r="B144" s="700"/>
      <c r="C144" s="700"/>
      <c r="D144" s="700"/>
      <c r="E144" s="701"/>
      <c r="F144" s="700"/>
      <c r="G144" s="328"/>
      <c r="H144" s="700"/>
      <c r="I144" s="700"/>
      <c r="J144" s="703"/>
      <c r="K144" s="704"/>
      <c r="L144" s="704"/>
      <c r="M144" s="704"/>
      <c r="N144" s="704"/>
      <c r="O144" s="704"/>
      <c r="P144" s="664"/>
    </row>
    <row r="145" spans="2:16" ht="15.75" customHeight="1" x14ac:dyDescent="0.3">
      <c r="B145" s="700"/>
      <c r="C145" s="700"/>
      <c r="D145" s="700"/>
      <c r="E145" s="701"/>
      <c r="F145" s="700"/>
      <c r="G145" s="328"/>
      <c r="H145" s="700"/>
      <c r="I145" s="700"/>
      <c r="J145" s="703"/>
      <c r="K145" s="704"/>
      <c r="L145" s="704"/>
      <c r="M145" s="704"/>
      <c r="N145" s="704"/>
      <c r="O145" s="704"/>
      <c r="P145" s="664"/>
    </row>
    <row r="146" spans="2:16" ht="15.75" customHeight="1" x14ac:dyDescent="0.3">
      <c r="B146" s="700"/>
      <c r="C146" s="700"/>
      <c r="D146" s="700"/>
      <c r="E146" s="701"/>
      <c r="F146" s="700"/>
      <c r="G146" s="328"/>
      <c r="H146" s="700"/>
      <c r="I146" s="700"/>
      <c r="J146" s="703"/>
      <c r="K146" s="704"/>
      <c r="L146" s="704"/>
      <c r="M146" s="704"/>
      <c r="N146" s="704"/>
      <c r="O146" s="704"/>
      <c r="P146" s="664"/>
    </row>
    <row r="147" spans="2:16" ht="15.75" customHeight="1" x14ac:dyDescent="0.3">
      <c r="B147" s="700"/>
      <c r="C147" s="700"/>
      <c r="D147" s="700"/>
      <c r="E147" s="701"/>
      <c r="F147" s="700"/>
      <c r="G147" s="328"/>
      <c r="H147" s="700"/>
      <c r="I147" s="700"/>
      <c r="J147" s="703"/>
      <c r="K147" s="704"/>
      <c r="L147" s="704"/>
      <c r="M147" s="704"/>
      <c r="N147" s="704"/>
      <c r="O147" s="704"/>
      <c r="P147" s="664"/>
    </row>
    <row r="148" spans="2:16" ht="15.75" customHeight="1" x14ac:dyDescent="0.3">
      <c r="B148" s="700"/>
      <c r="C148" s="700"/>
      <c r="D148" s="700"/>
      <c r="E148" s="701"/>
      <c r="F148" s="700"/>
      <c r="G148" s="328"/>
      <c r="H148" s="700"/>
      <c r="I148" s="700"/>
      <c r="J148" s="703"/>
      <c r="K148" s="704"/>
      <c r="L148" s="704"/>
      <c r="M148" s="704"/>
      <c r="N148" s="704"/>
      <c r="O148" s="704"/>
      <c r="P148" s="664"/>
    </row>
    <row r="149" spans="2:16" ht="15.75" customHeight="1" x14ac:dyDescent="0.3">
      <c r="B149" s="700"/>
      <c r="C149" s="700"/>
      <c r="D149" s="700"/>
      <c r="E149" s="701"/>
      <c r="F149" s="700"/>
      <c r="G149" s="328"/>
      <c r="H149" s="700"/>
      <c r="I149" s="700"/>
      <c r="J149" s="703"/>
      <c r="K149" s="704"/>
      <c r="L149" s="704"/>
      <c r="M149" s="704"/>
      <c r="N149" s="704"/>
      <c r="O149" s="704"/>
      <c r="P149" s="664"/>
    </row>
    <row r="150" spans="2:16" ht="15.75" customHeight="1" x14ac:dyDescent="0.3">
      <c r="B150" s="700"/>
      <c r="C150" s="700"/>
      <c r="D150" s="700"/>
      <c r="E150" s="701"/>
      <c r="F150" s="700"/>
      <c r="G150" s="328"/>
      <c r="H150" s="700"/>
      <c r="I150" s="700"/>
      <c r="J150" s="703"/>
      <c r="K150" s="704"/>
      <c r="L150" s="704"/>
      <c r="M150" s="704"/>
      <c r="N150" s="704"/>
      <c r="O150" s="704"/>
      <c r="P150" s="664"/>
    </row>
    <row r="151" spans="2:16" ht="15.75" customHeight="1" x14ac:dyDescent="0.3">
      <c r="B151" s="700"/>
      <c r="C151" s="700"/>
      <c r="D151" s="700"/>
      <c r="E151" s="701"/>
      <c r="F151" s="700"/>
      <c r="G151" s="328"/>
      <c r="H151" s="700"/>
      <c r="I151" s="700"/>
      <c r="J151" s="703"/>
      <c r="K151" s="704"/>
      <c r="L151" s="704"/>
      <c r="M151" s="704"/>
      <c r="N151" s="704"/>
      <c r="O151" s="704"/>
      <c r="P151" s="664"/>
    </row>
    <row r="152" spans="2:16" ht="15.75" customHeight="1" x14ac:dyDescent="0.3">
      <c r="B152" s="700"/>
      <c r="C152" s="700"/>
      <c r="D152" s="700"/>
      <c r="E152" s="701"/>
      <c r="F152" s="700"/>
      <c r="G152" s="328"/>
      <c r="H152" s="700"/>
      <c r="I152" s="700"/>
      <c r="J152" s="703"/>
      <c r="K152" s="704"/>
      <c r="L152" s="704"/>
      <c r="M152" s="704"/>
      <c r="N152" s="704"/>
      <c r="O152" s="704"/>
      <c r="P152" s="664"/>
    </row>
    <row r="153" spans="2:16" ht="15.75" customHeight="1" x14ac:dyDescent="0.3">
      <c r="B153" s="700"/>
      <c r="C153" s="700"/>
      <c r="D153" s="700"/>
      <c r="E153" s="701"/>
      <c r="F153" s="700"/>
      <c r="G153" s="328"/>
      <c r="H153" s="700"/>
      <c r="I153" s="700"/>
      <c r="J153" s="703"/>
      <c r="K153" s="704"/>
      <c r="L153" s="704"/>
      <c r="M153" s="704"/>
      <c r="N153" s="704"/>
      <c r="O153" s="704"/>
      <c r="P153" s="664"/>
    </row>
    <row r="154" spans="2:16" ht="15.75" customHeight="1" x14ac:dyDescent="0.3">
      <c r="B154" s="700"/>
      <c r="C154" s="700"/>
      <c r="D154" s="700"/>
      <c r="E154" s="701"/>
      <c r="F154" s="700"/>
      <c r="G154" s="328"/>
      <c r="H154" s="700"/>
      <c r="I154" s="700"/>
      <c r="J154" s="703"/>
      <c r="K154" s="704"/>
      <c r="L154" s="704"/>
      <c r="M154" s="704"/>
      <c r="N154" s="704"/>
      <c r="O154" s="704"/>
      <c r="P154" s="664"/>
    </row>
    <row r="155" spans="2:16" ht="15.75" customHeight="1" x14ac:dyDescent="0.3">
      <c r="B155" s="700"/>
      <c r="C155" s="700"/>
      <c r="D155" s="700"/>
      <c r="E155" s="701"/>
      <c r="F155" s="700"/>
      <c r="G155" s="328"/>
      <c r="H155" s="700"/>
      <c r="I155" s="700"/>
      <c r="J155" s="703"/>
      <c r="K155" s="704"/>
      <c r="L155" s="704"/>
      <c r="M155" s="704"/>
      <c r="N155" s="704"/>
      <c r="O155" s="704"/>
      <c r="P155" s="664"/>
    </row>
    <row r="156" spans="2:16" ht="15.75" customHeight="1" x14ac:dyDescent="0.3">
      <c r="B156" s="700"/>
      <c r="C156" s="700"/>
      <c r="D156" s="700"/>
      <c r="E156" s="701"/>
      <c r="F156" s="700"/>
      <c r="G156" s="328"/>
      <c r="H156" s="700"/>
      <c r="I156" s="700"/>
      <c r="J156" s="703"/>
      <c r="K156" s="704"/>
      <c r="L156" s="704"/>
      <c r="M156" s="704"/>
      <c r="N156" s="704"/>
      <c r="O156" s="704"/>
      <c r="P156" s="664"/>
    </row>
    <row r="157" spans="2:16" ht="15.75" customHeight="1" x14ac:dyDescent="0.3">
      <c r="B157" s="700"/>
      <c r="C157" s="700"/>
      <c r="D157" s="700"/>
      <c r="E157" s="701"/>
      <c r="F157" s="700"/>
      <c r="G157" s="328"/>
      <c r="H157" s="700"/>
      <c r="I157" s="700"/>
      <c r="J157" s="703"/>
      <c r="K157" s="704"/>
      <c r="L157" s="704"/>
      <c r="M157" s="704"/>
      <c r="N157" s="704"/>
      <c r="O157" s="704"/>
      <c r="P157" s="664"/>
    </row>
    <row r="158" spans="2:16" ht="15.75" customHeight="1" x14ac:dyDescent="0.3">
      <c r="B158" s="700"/>
      <c r="C158" s="700"/>
      <c r="D158" s="700"/>
      <c r="E158" s="701"/>
      <c r="F158" s="700"/>
      <c r="G158" s="328"/>
      <c r="H158" s="700"/>
      <c r="I158" s="700"/>
      <c r="J158" s="703"/>
      <c r="K158" s="704"/>
      <c r="L158" s="704"/>
      <c r="M158" s="704"/>
      <c r="N158" s="704"/>
      <c r="O158" s="704"/>
      <c r="P158" s="664"/>
    </row>
    <row r="159" spans="2:16" ht="15.75" customHeight="1" x14ac:dyDescent="0.3">
      <c r="B159" s="700"/>
      <c r="C159" s="700"/>
      <c r="D159" s="700"/>
      <c r="E159" s="701"/>
      <c r="F159" s="700"/>
      <c r="G159" s="328"/>
      <c r="H159" s="700"/>
      <c r="I159" s="700"/>
      <c r="J159" s="703"/>
      <c r="K159" s="704"/>
      <c r="L159" s="704"/>
      <c r="M159" s="704"/>
      <c r="N159" s="704"/>
      <c r="O159" s="704"/>
      <c r="P159" s="664"/>
    </row>
    <row r="160" spans="2:16" ht="15.75" customHeight="1" x14ac:dyDescent="0.3">
      <c r="B160" s="700"/>
      <c r="C160" s="700"/>
      <c r="D160" s="700"/>
      <c r="E160" s="701"/>
      <c r="F160" s="700"/>
      <c r="G160" s="328"/>
      <c r="H160" s="700"/>
      <c r="I160" s="700"/>
      <c r="J160" s="703"/>
      <c r="K160" s="704"/>
      <c r="L160" s="704"/>
      <c r="M160" s="704"/>
      <c r="N160" s="704"/>
      <c r="O160" s="704"/>
      <c r="P160" s="664"/>
    </row>
    <row r="161" spans="2:16" ht="15.75" customHeight="1" x14ac:dyDescent="0.3">
      <c r="B161" s="700"/>
      <c r="C161" s="700"/>
      <c r="D161" s="700"/>
      <c r="E161" s="701"/>
      <c r="F161" s="700"/>
      <c r="G161" s="328"/>
      <c r="H161" s="700"/>
      <c r="I161" s="700"/>
      <c r="J161" s="703"/>
      <c r="K161" s="704"/>
      <c r="L161" s="704"/>
      <c r="M161" s="704"/>
      <c r="N161" s="704"/>
      <c r="O161" s="704"/>
      <c r="P161" s="664"/>
    </row>
    <row r="162" spans="2:16" ht="15.75" customHeight="1" x14ac:dyDescent="0.3">
      <c r="B162" s="700"/>
      <c r="C162" s="700"/>
      <c r="D162" s="700"/>
      <c r="E162" s="701"/>
      <c r="F162" s="700"/>
      <c r="G162" s="328"/>
      <c r="H162" s="700"/>
      <c r="I162" s="700"/>
      <c r="J162" s="703"/>
      <c r="K162" s="704"/>
      <c r="L162" s="704"/>
      <c r="M162" s="704"/>
      <c r="N162" s="704"/>
      <c r="O162" s="704"/>
      <c r="P162" s="664"/>
    </row>
    <row r="163" spans="2:16" ht="15.75" customHeight="1" x14ac:dyDescent="0.3">
      <c r="B163" s="700"/>
      <c r="C163" s="700"/>
      <c r="D163" s="700"/>
      <c r="E163" s="701"/>
      <c r="F163" s="700"/>
      <c r="G163" s="328"/>
      <c r="H163" s="700"/>
      <c r="I163" s="700"/>
      <c r="J163" s="703"/>
      <c r="K163" s="704"/>
      <c r="L163" s="704"/>
      <c r="M163" s="704"/>
      <c r="N163" s="704"/>
      <c r="O163" s="704"/>
      <c r="P163" s="664"/>
    </row>
    <row r="164" spans="2:16" ht="15.75" customHeight="1" x14ac:dyDescent="0.3">
      <c r="B164" s="700"/>
      <c r="C164" s="700"/>
      <c r="D164" s="700"/>
      <c r="E164" s="701"/>
      <c r="F164" s="700"/>
      <c r="G164" s="328"/>
      <c r="H164" s="700"/>
      <c r="I164" s="700"/>
      <c r="J164" s="703"/>
      <c r="K164" s="704"/>
      <c r="L164" s="704"/>
      <c r="M164" s="704"/>
      <c r="N164" s="704"/>
      <c r="O164" s="704"/>
      <c r="P164" s="664"/>
    </row>
    <row r="165" spans="2:16" ht="15.75" customHeight="1" x14ac:dyDescent="0.3">
      <c r="B165" s="700"/>
      <c r="C165" s="700"/>
      <c r="D165" s="700"/>
      <c r="E165" s="701"/>
      <c r="F165" s="700"/>
      <c r="G165" s="328"/>
      <c r="H165" s="700"/>
      <c r="I165" s="700"/>
      <c r="J165" s="703"/>
      <c r="K165" s="704"/>
      <c r="L165" s="704"/>
      <c r="M165" s="704"/>
      <c r="N165" s="704"/>
      <c r="O165" s="704"/>
      <c r="P165" s="664"/>
    </row>
    <row r="166" spans="2:16" ht="15.75" customHeight="1" x14ac:dyDescent="0.3">
      <c r="B166" s="700"/>
      <c r="C166" s="700"/>
      <c r="D166" s="700"/>
      <c r="E166" s="701"/>
      <c r="F166" s="700"/>
      <c r="G166" s="328"/>
      <c r="H166" s="700"/>
      <c r="I166" s="700"/>
      <c r="J166" s="703"/>
      <c r="K166" s="704"/>
      <c r="L166" s="704"/>
      <c r="M166" s="704"/>
      <c r="N166" s="704"/>
      <c r="O166" s="704"/>
      <c r="P166" s="664"/>
    </row>
    <row r="167" spans="2:16" ht="15.75" customHeight="1" x14ac:dyDescent="0.3">
      <c r="B167" s="700"/>
      <c r="C167" s="700"/>
      <c r="D167" s="700"/>
      <c r="E167" s="701"/>
      <c r="F167" s="700"/>
      <c r="G167" s="328"/>
      <c r="H167" s="700"/>
      <c r="I167" s="700"/>
      <c r="J167" s="703"/>
      <c r="K167" s="704"/>
      <c r="L167" s="704"/>
      <c r="M167" s="704"/>
      <c r="N167" s="704"/>
      <c r="O167" s="704"/>
      <c r="P167" s="664"/>
    </row>
    <row r="168" spans="2:16" ht="15.75" customHeight="1" x14ac:dyDescent="0.3">
      <c r="B168" s="700"/>
      <c r="C168" s="700"/>
      <c r="D168" s="700"/>
      <c r="E168" s="701"/>
      <c r="F168" s="700"/>
      <c r="G168" s="328"/>
      <c r="H168" s="700"/>
      <c r="I168" s="700"/>
      <c r="J168" s="703"/>
      <c r="K168" s="704"/>
      <c r="L168" s="704"/>
      <c r="M168" s="704"/>
      <c r="N168" s="704"/>
      <c r="O168" s="704"/>
      <c r="P168" s="664"/>
    </row>
    <row r="169" spans="2:16" ht="15.75" customHeight="1" x14ac:dyDescent="0.3">
      <c r="B169" s="700"/>
      <c r="C169" s="700"/>
      <c r="D169" s="700"/>
      <c r="E169" s="701"/>
      <c r="F169" s="700"/>
      <c r="G169" s="328"/>
      <c r="H169" s="700"/>
      <c r="I169" s="700"/>
      <c r="J169" s="703"/>
      <c r="K169" s="704"/>
      <c r="L169" s="704"/>
      <c r="M169" s="704"/>
      <c r="N169" s="704"/>
      <c r="O169" s="704"/>
      <c r="P169" s="664"/>
    </row>
    <row r="170" spans="2:16" ht="15.75" customHeight="1" x14ac:dyDescent="0.3">
      <c r="B170" s="700"/>
      <c r="C170" s="700"/>
      <c r="D170" s="700"/>
      <c r="E170" s="701"/>
      <c r="F170" s="700"/>
      <c r="G170" s="328"/>
      <c r="H170" s="700"/>
      <c r="I170" s="700"/>
      <c r="J170" s="703"/>
      <c r="K170" s="704"/>
      <c r="L170" s="704"/>
      <c r="M170" s="704"/>
      <c r="N170" s="704"/>
      <c r="O170" s="704"/>
      <c r="P170" s="664"/>
    </row>
    <row r="171" spans="2:16" ht="15.75" customHeight="1" x14ac:dyDescent="0.3">
      <c r="B171" s="700"/>
      <c r="C171" s="700"/>
      <c r="D171" s="700"/>
      <c r="E171" s="701"/>
      <c r="F171" s="700"/>
      <c r="G171" s="328"/>
      <c r="H171" s="700"/>
      <c r="I171" s="700"/>
      <c r="J171" s="703"/>
      <c r="K171" s="704"/>
      <c r="L171" s="704"/>
      <c r="M171" s="704"/>
      <c r="N171" s="704"/>
      <c r="O171" s="704"/>
      <c r="P171" s="664"/>
    </row>
    <row r="172" spans="2:16" ht="15.75" customHeight="1" x14ac:dyDescent="0.3">
      <c r="B172" s="700"/>
      <c r="C172" s="700"/>
      <c r="D172" s="700"/>
      <c r="E172" s="701"/>
      <c r="F172" s="700"/>
      <c r="G172" s="328"/>
      <c r="H172" s="700"/>
      <c r="I172" s="700"/>
      <c r="J172" s="703"/>
      <c r="K172" s="704"/>
      <c r="L172" s="704"/>
      <c r="M172" s="704"/>
      <c r="N172" s="704"/>
      <c r="O172" s="704"/>
      <c r="P172" s="664"/>
    </row>
    <row r="173" spans="2:16" ht="15.75" customHeight="1" x14ac:dyDescent="0.3">
      <c r="B173" s="700"/>
      <c r="C173" s="700"/>
      <c r="D173" s="700"/>
      <c r="E173" s="701"/>
      <c r="F173" s="700"/>
      <c r="G173" s="328"/>
      <c r="H173" s="700"/>
      <c r="I173" s="700"/>
      <c r="J173" s="703"/>
      <c r="K173" s="704"/>
      <c r="L173" s="704"/>
      <c r="M173" s="704"/>
      <c r="N173" s="704"/>
      <c r="O173" s="704"/>
      <c r="P173" s="664"/>
    </row>
    <row r="174" spans="2:16" ht="15.75" customHeight="1" x14ac:dyDescent="0.3">
      <c r="B174" s="700"/>
      <c r="C174" s="700"/>
      <c r="D174" s="700"/>
      <c r="E174" s="701"/>
      <c r="F174" s="700"/>
      <c r="G174" s="328"/>
      <c r="H174" s="700"/>
      <c r="I174" s="700"/>
      <c r="J174" s="703"/>
      <c r="K174" s="704"/>
      <c r="L174" s="704"/>
      <c r="M174" s="704"/>
      <c r="N174" s="704"/>
      <c r="O174" s="704"/>
      <c r="P174" s="664"/>
    </row>
    <row r="175" spans="2:16" ht="15.75" customHeight="1" x14ac:dyDescent="0.3">
      <c r="B175" s="700"/>
      <c r="C175" s="700"/>
      <c r="D175" s="700"/>
      <c r="E175" s="701"/>
      <c r="F175" s="700"/>
      <c r="G175" s="328"/>
      <c r="H175" s="700"/>
      <c r="I175" s="700"/>
      <c r="J175" s="703"/>
      <c r="K175" s="704"/>
      <c r="L175" s="704"/>
      <c r="M175" s="704"/>
      <c r="N175" s="704"/>
      <c r="O175" s="704"/>
      <c r="P175" s="664"/>
    </row>
    <row r="176" spans="2:16" ht="15.75" customHeight="1" x14ac:dyDescent="0.3">
      <c r="B176" s="700"/>
      <c r="C176" s="700"/>
      <c r="D176" s="700"/>
      <c r="E176" s="701"/>
      <c r="F176" s="700"/>
      <c r="G176" s="328"/>
      <c r="H176" s="700"/>
      <c r="I176" s="700"/>
      <c r="J176" s="703"/>
      <c r="K176" s="704"/>
      <c r="L176" s="704"/>
      <c r="M176" s="704"/>
      <c r="N176" s="704"/>
      <c r="O176" s="704"/>
      <c r="P176" s="664"/>
    </row>
    <row r="177" spans="2:16" ht="15.75" customHeight="1" x14ac:dyDescent="0.3">
      <c r="B177" s="700"/>
      <c r="C177" s="700"/>
      <c r="D177" s="700"/>
      <c r="E177" s="701"/>
      <c r="F177" s="700"/>
      <c r="G177" s="328"/>
      <c r="H177" s="700"/>
      <c r="I177" s="700"/>
      <c r="J177" s="703"/>
      <c r="K177" s="704"/>
      <c r="L177" s="704"/>
      <c r="M177" s="704"/>
      <c r="N177" s="704"/>
      <c r="O177" s="704"/>
      <c r="P177" s="664"/>
    </row>
    <row r="178" spans="2:16" ht="15.75" customHeight="1" x14ac:dyDescent="0.3">
      <c r="B178" s="700"/>
      <c r="C178" s="700"/>
      <c r="D178" s="700"/>
      <c r="E178" s="701"/>
      <c r="F178" s="700"/>
      <c r="G178" s="328"/>
      <c r="H178" s="700"/>
      <c r="I178" s="700"/>
      <c r="J178" s="703"/>
      <c r="K178" s="704"/>
      <c r="L178" s="704"/>
      <c r="M178" s="704"/>
      <c r="N178" s="704"/>
      <c r="O178" s="704"/>
      <c r="P178" s="664"/>
    </row>
    <row r="179" spans="2:16" ht="15.75" customHeight="1" x14ac:dyDescent="0.3">
      <c r="B179" s="700"/>
      <c r="C179" s="700"/>
      <c r="D179" s="700"/>
      <c r="E179" s="701"/>
      <c r="F179" s="700"/>
      <c r="G179" s="328"/>
      <c r="H179" s="700"/>
      <c r="I179" s="700"/>
      <c r="J179" s="703"/>
      <c r="K179" s="704"/>
      <c r="L179" s="704"/>
      <c r="M179" s="704"/>
      <c r="N179" s="704"/>
      <c r="O179" s="704"/>
      <c r="P179" s="664"/>
    </row>
    <row r="180" spans="2:16" ht="15.75" customHeight="1" x14ac:dyDescent="0.3">
      <c r="B180" s="700"/>
      <c r="C180" s="700"/>
      <c r="D180" s="700"/>
      <c r="E180" s="701"/>
      <c r="F180" s="700"/>
      <c r="G180" s="328"/>
      <c r="H180" s="700"/>
      <c r="I180" s="700"/>
      <c r="J180" s="703"/>
      <c r="K180" s="704"/>
      <c r="L180" s="704"/>
      <c r="M180" s="704"/>
      <c r="N180" s="704"/>
      <c r="O180" s="704"/>
      <c r="P180" s="664"/>
    </row>
    <row r="181" spans="2:16" ht="15.75" customHeight="1" x14ac:dyDescent="0.3">
      <c r="B181" s="700"/>
      <c r="C181" s="700"/>
      <c r="D181" s="700"/>
      <c r="E181" s="701"/>
      <c r="F181" s="700"/>
      <c r="G181" s="328"/>
      <c r="H181" s="700"/>
      <c r="I181" s="700"/>
      <c r="J181" s="703"/>
      <c r="K181" s="704"/>
      <c r="L181" s="704"/>
      <c r="M181" s="704"/>
      <c r="N181" s="704"/>
      <c r="O181" s="704"/>
      <c r="P181" s="664"/>
    </row>
    <row r="182" spans="2:16" ht="15.75" customHeight="1" x14ac:dyDescent="0.3">
      <c r="B182" s="700"/>
      <c r="C182" s="700"/>
      <c r="D182" s="700"/>
      <c r="E182" s="701"/>
      <c r="F182" s="700"/>
      <c r="G182" s="328"/>
      <c r="H182" s="700"/>
      <c r="I182" s="700"/>
      <c r="J182" s="703"/>
      <c r="K182" s="704"/>
      <c r="L182" s="704"/>
      <c r="M182" s="704"/>
      <c r="N182" s="704"/>
      <c r="O182" s="704"/>
      <c r="P182" s="664"/>
    </row>
    <row r="183" spans="2:16" ht="15.75" customHeight="1" x14ac:dyDescent="0.3">
      <c r="B183" s="700"/>
      <c r="C183" s="700"/>
      <c r="D183" s="700"/>
      <c r="E183" s="701"/>
      <c r="F183" s="700"/>
      <c r="G183" s="328"/>
      <c r="H183" s="700"/>
      <c r="I183" s="700"/>
      <c r="J183" s="703"/>
      <c r="K183" s="704"/>
      <c r="L183" s="704"/>
      <c r="M183" s="704"/>
      <c r="N183" s="704"/>
      <c r="O183" s="704"/>
      <c r="P183" s="664"/>
    </row>
    <row r="184" spans="2:16" ht="15.75" customHeight="1" x14ac:dyDescent="0.3">
      <c r="B184" s="700"/>
      <c r="C184" s="700"/>
      <c r="D184" s="700"/>
      <c r="E184" s="701"/>
      <c r="F184" s="700"/>
      <c r="G184" s="328"/>
      <c r="H184" s="700"/>
      <c r="I184" s="700"/>
      <c r="J184" s="703"/>
      <c r="K184" s="704"/>
      <c r="L184" s="704"/>
      <c r="M184" s="704"/>
      <c r="N184" s="704"/>
      <c r="O184" s="704"/>
      <c r="P184" s="664"/>
    </row>
    <row r="185" spans="2:16" ht="15.75" customHeight="1" x14ac:dyDescent="0.3">
      <c r="B185" s="700"/>
      <c r="C185" s="700"/>
      <c r="D185" s="700"/>
      <c r="E185" s="701"/>
      <c r="F185" s="700"/>
      <c r="G185" s="328"/>
      <c r="H185" s="700"/>
      <c r="I185" s="700"/>
      <c r="J185" s="703"/>
      <c r="K185" s="704"/>
      <c r="L185" s="704"/>
      <c r="M185" s="704"/>
      <c r="N185" s="704"/>
      <c r="O185" s="704"/>
      <c r="P185" s="664"/>
    </row>
    <row r="186" spans="2:16" ht="15.75" customHeight="1" x14ac:dyDescent="0.3">
      <c r="B186" s="700"/>
      <c r="C186" s="700"/>
      <c r="D186" s="700"/>
      <c r="E186" s="701"/>
      <c r="F186" s="700"/>
      <c r="G186" s="328"/>
      <c r="H186" s="700"/>
      <c r="I186" s="700"/>
      <c r="J186" s="703"/>
      <c r="K186" s="704"/>
      <c r="L186" s="704"/>
      <c r="M186" s="704"/>
      <c r="N186" s="704"/>
      <c r="O186" s="704"/>
      <c r="P186" s="664"/>
    </row>
    <row r="187" spans="2:16" ht="15.75" customHeight="1" x14ac:dyDescent="0.3">
      <c r="B187" s="700"/>
      <c r="C187" s="700"/>
      <c r="D187" s="700"/>
      <c r="E187" s="701"/>
      <c r="F187" s="700"/>
      <c r="G187" s="328"/>
      <c r="H187" s="700"/>
      <c r="I187" s="700"/>
      <c r="J187" s="703"/>
      <c r="K187" s="704"/>
      <c r="L187" s="704"/>
      <c r="M187" s="704"/>
      <c r="N187" s="704"/>
      <c r="O187" s="704"/>
      <c r="P187" s="664"/>
    </row>
    <row r="188" spans="2:16" ht="15.75" customHeight="1" x14ac:dyDescent="0.3">
      <c r="B188" s="700"/>
      <c r="C188" s="700"/>
      <c r="D188" s="700"/>
      <c r="E188" s="701"/>
      <c r="F188" s="700"/>
      <c r="G188" s="328"/>
      <c r="H188" s="700"/>
      <c r="I188" s="700"/>
      <c r="J188" s="703"/>
      <c r="K188" s="704"/>
      <c r="L188" s="704"/>
      <c r="M188" s="704"/>
      <c r="N188" s="704"/>
      <c r="O188" s="704"/>
      <c r="P188" s="664"/>
    </row>
    <row r="189" spans="2:16" ht="15.75" customHeight="1" x14ac:dyDescent="0.3">
      <c r="B189" s="700"/>
      <c r="C189" s="700"/>
      <c r="D189" s="700"/>
      <c r="E189" s="701"/>
      <c r="F189" s="700"/>
      <c r="G189" s="328"/>
      <c r="H189" s="700"/>
      <c r="I189" s="700"/>
      <c r="J189" s="703"/>
      <c r="K189" s="704"/>
      <c r="L189" s="704"/>
      <c r="M189" s="704"/>
      <c r="N189" s="704"/>
      <c r="O189" s="704"/>
      <c r="P189" s="664"/>
    </row>
    <row r="190" spans="2:16" ht="15.75" customHeight="1" x14ac:dyDescent="0.3">
      <c r="B190" s="700"/>
      <c r="C190" s="700"/>
      <c r="D190" s="700"/>
      <c r="E190" s="701"/>
      <c r="F190" s="700"/>
      <c r="G190" s="328"/>
      <c r="H190" s="700"/>
      <c r="I190" s="700"/>
      <c r="J190" s="703"/>
      <c r="K190" s="704"/>
      <c r="L190" s="704"/>
      <c r="M190" s="704"/>
      <c r="N190" s="704"/>
      <c r="O190" s="704"/>
      <c r="P190" s="664"/>
    </row>
    <row r="191" spans="2:16" ht="15.75" customHeight="1" x14ac:dyDescent="0.3">
      <c r="B191" s="700"/>
      <c r="C191" s="700"/>
      <c r="D191" s="700"/>
      <c r="E191" s="701"/>
      <c r="F191" s="700"/>
      <c r="G191" s="328"/>
      <c r="H191" s="700"/>
      <c r="I191" s="700"/>
      <c r="J191" s="703"/>
      <c r="K191" s="704"/>
      <c r="L191" s="704"/>
      <c r="M191" s="704"/>
      <c r="N191" s="704"/>
      <c r="O191" s="704"/>
      <c r="P191" s="664"/>
    </row>
    <row r="192" spans="2:16" ht="15.75" customHeight="1" x14ac:dyDescent="0.3">
      <c r="B192" s="700"/>
      <c r="C192" s="700"/>
      <c r="D192" s="700"/>
      <c r="E192" s="701"/>
      <c r="F192" s="700"/>
      <c r="G192" s="328"/>
      <c r="H192" s="700"/>
      <c r="I192" s="700"/>
      <c r="J192" s="703"/>
      <c r="K192" s="704"/>
      <c r="L192" s="704"/>
      <c r="M192" s="704"/>
      <c r="N192" s="704"/>
      <c r="O192" s="704"/>
      <c r="P192" s="664"/>
    </row>
    <row r="193" spans="2:16" ht="15.75" customHeight="1" x14ac:dyDescent="0.3">
      <c r="B193" s="700"/>
      <c r="C193" s="700"/>
      <c r="D193" s="700"/>
      <c r="E193" s="701"/>
      <c r="F193" s="700"/>
      <c r="G193" s="328"/>
      <c r="H193" s="700"/>
      <c r="I193" s="700"/>
      <c r="J193" s="703"/>
      <c r="K193" s="704"/>
      <c r="L193" s="704"/>
      <c r="M193" s="704"/>
      <c r="N193" s="704"/>
      <c r="O193" s="704"/>
      <c r="P193" s="664"/>
    </row>
    <row r="194" spans="2:16" ht="15.75" customHeight="1" x14ac:dyDescent="0.3">
      <c r="B194" s="700"/>
      <c r="C194" s="700"/>
      <c r="D194" s="700"/>
      <c r="E194" s="701"/>
      <c r="F194" s="700"/>
      <c r="G194" s="328"/>
      <c r="H194" s="700"/>
      <c r="I194" s="700"/>
      <c r="J194" s="703"/>
      <c r="K194" s="704"/>
      <c r="L194" s="704"/>
      <c r="M194" s="704"/>
      <c r="N194" s="704"/>
      <c r="O194" s="704"/>
      <c r="P194" s="664"/>
    </row>
    <row r="195" spans="2:16" ht="15.75" customHeight="1" x14ac:dyDescent="0.3">
      <c r="B195" s="700"/>
      <c r="C195" s="700"/>
      <c r="D195" s="700"/>
      <c r="E195" s="701"/>
      <c r="F195" s="700"/>
      <c r="G195" s="328"/>
      <c r="H195" s="700"/>
      <c r="I195" s="700"/>
      <c r="J195" s="703"/>
      <c r="K195" s="704"/>
      <c r="L195" s="704"/>
      <c r="M195" s="704"/>
      <c r="N195" s="704"/>
      <c r="O195" s="704"/>
      <c r="P195" s="664"/>
    </row>
    <row r="196" spans="2:16" ht="15.75" customHeight="1" x14ac:dyDescent="0.3">
      <c r="B196" s="700"/>
      <c r="C196" s="700"/>
      <c r="D196" s="700"/>
      <c r="E196" s="701"/>
      <c r="F196" s="700"/>
      <c r="G196" s="328"/>
      <c r="H196" s="700"/>
      <c r="I196" s="700"/>
      <c r="J196" s="703"/>
      <c r="K196" s="704"/>
      <c r="L196" s="704"/>
      <c r="M196" s="704"/>
      <c r="N196" s="704"/>
      <c r="O196" s="704"/>
      <c r="P196" s="664"/>
    </row>
    <row r="197" spans="2:16" ht="15.75" customHeight="1" x14ac:dyDescent="0.3">
      <c r="B197" s="700"/>
      <c r="C197" s="700"/>
      <c r="D197" s="700"/>
      <c r="E197" s="701"/>
      <c r="F197" s="700"/>
      <c r="G197" s="328"/>
      <c r="H197" s="700"/>
      <c r="I197" s="700"/>
      <c r="J197" s="703"/>
      <c r="K197" s="704"/>
      <c r="L197" s="704"/>
      <c r="M197" s="704"/>
      <c r="N197" s="704"/>
      <c r="O197" s="704"/>
      <c r="P197" s="664"/>
    </row>
    <row r="198" spans="2:16" ht="15.75" customHeight="1" x14ac:dyDescent="0.3">
      <c r="B198" s="700"/>
      <c r="C198" s="700"/>
      <c r="D198" s="700"/>
      <c r="E198" s="701"/>
      <c r="F198" s="700"/>
      <c r="G198" s="328"/>
      <c r="H198" s="700"/>
      <c r="I198" s="700"/>
      <c r="J198" s="703"/>
      <c r="K198" s="704"/>
      <c r="L198" s="704"/>
      <c r="M198" s="704"/>
      <c r="N198" s="704"/>
      <c r="O198" s="704"/>
      <c r="P198" s="664"/>
    </row>
    <row r="199" spans="2:16" ht="15.75" customHeight="1" x14ac:dyDescent="0.3">
      <c r="B199" s="700"/>
      <c r="C199" s="700"/>
      <c r="D199" s="700"/>
      <c r="E199" s="701"/>
      <c r="F199" s="700"/>
      <c r="G199" s="328"/>
      <c r="H199" s="700"/>
      <c r="I199" s="700"/>
      <c r="J199" s="703"/>
      <c r="K199" s="704"/>
      <c r="L199" s="704"/>
      <c r="M199" s="704"/>
      <c r="N199" s="704"/>
      <c r="O199" s="704"/>
      <c r="P199" s="664"/>
    </row>
    <row r="200" spans="2:16" ht="15.75" customHeight="1" x14ac:dyDescent="0.3">
      <c r="B200" s="700"/>
      <c r="C200" s="700"/>
      <c r="D200" s="700"/>
      <c r="E200" s="701"/>
      <c r="F200" s="700"/>
      <c r="G200" s="328"/>
      <c r="H200" s="700"/>
      <c r="I200" s="700"/>
      <c r="J200" s="703"/>
      <c r="K200" s="704"/>
      <c r="L200" s="704"/>
      <c r="M200" s="704"/>
      <c r="N200" s="704"/>
      <c r="O200" s="704"/>
      <c r="P200" s="664"/>
    </row>
    <row r="201" spans="2:16" ht="15.75" customHeight="1" x14ac:dyDescent="0.3">
      <c r="B201" s="700"/>
      <c r="C201" s="700"/>
      <c r="D201" s="700"/>
      <c r="E201" s="701"/>
      <c r="F201" s="700"/>
      <c r="G201" s="328"/>
      <c r="H201" s="700"/>
      <c r="I201" s="700"/>
      <c r="J201" s="703"/>
      <c r="K201" s="704"/>
      <c r="L201" s="704"/>
      <c r="M201" s="704"/>
      <c r="N201" s="704"/>
      <c r="O201" s="704"/>
      <c r="P201" s="664"/>
    </row>
    <row r="202" spans="2:16" ht="15.75" customHeight="1" x14ac:dyDescent="0.3">
      <c r="B202" s="700"/>
      <c r="C202" s="700"/>
      <c r="D202" s="700"/>
      <c r="E202" s="701"/>
      <c r="F202" s="700"/>
      <c r="G202" s="328"/>
      <c r="H202" s="700"/>
      <c r="I202" s="700"/>
      <c r="J202" s="703"/>
      <c r="K202" s="704"/>
      <c r="L202" s="704"/>
      <c r="M202" s="704"/>
      <c r="N202" s="704"/>
      <c r="O202" s="704"/>
      <c r="P202" s="664"/>
    </row>
    <row r="203" spans="2:16" ht="15.75" customHeight="1" x14ac:dyDescent="0.3">
      <c r="B203" s="700"/>
      <c r="C203" s="700"/>
      <c r="D203" s="700"/>
      <c r="E203" s="701"/>
      <c r="F203" s="700"/>
      <c r="G203" s="328"/>
      <c r="H203" s="700"/>
      <c r="I203" s="700"/>
      <c r="J203" s="703"/>
      <c r="K203" s="704"/>
      <c r="L203" s="704"/>
      <c r="M203" s="704"/>
      <c r="N203" s="704"/>
      <c r="O203" s="704"/>
      <c r="P203" s="664"/>
    </row>
    <row r="204" spans="2:16" ht="15.75" customHeight="1" x14ac:dyDescent="0.3">
      <c r="B204" s="700"/>
      <c r="C204" s="700"/>
      <c r="D204" s="700"/>
      <c r="E204" s="701"/>
      <c r="F204" s="700"/>
      <c r="G204" s="328"/>
      <c r="H204" s="700"/>
      <c r="I204" s="700"/>
      <c r="J204" s="703"/>
      <c r="K204" s="704"/>
      <c r="L204" s="704"/>
      <c r="M204" s="704"/>
      <c r="N204" s="704"/>
      <c r="O204" s="704"/>
      <c r="P204" s="664"/>
    </row>
    <row r="205" spans="2:16" ht="15.75" customHeight="1" x14ac:dyDescent="0.3">
      <c r="B205" s="700"/>
      <c r="C205" s="700"/>
      <c r="D205" s="700"/>
      <c r="E205" s="701"/>
      <c r="F205" s="700"/>
      <c r="G205" s="328"/>
      <c r="H205" s="700"/>
      <c r="I205" s="700"/>
      <c r="J205" s="703"/>
      <c r="K205" s="704"/>
      <c r="L205" s="704"/>
      <c r="M205" s="704"/>
      <c r="N205" s="704"/>
      <c r="O205" s="704"/>
      <c r="P205" s="664"/>
    </row>
    <row r="206" spans="2:16" ht="15.75" customHeight="1" x14ac:dyDescent="0.3">
      <c r="B206" s="700"/>
      <c r="C206" s="700"/>
      <c r="D206" s="700"/>
      <c r="E206" s="701"/>
      <c r="F206" s="700"/>
      <c r="G206" s="328"/>
      <c r="H206" s="700"/>
      <c r="I206" s="700"/>
      <c r="J206" s="703"/>
      <c r="K206" s="704"/>
      <c r="L206" s="704"/>
      <c r="M206" s="704"/>
      <c r="N206" s="704"/>
      <c r="O206" s="704"/>
      <c r="P206" s="664"/>
    </row>
    <row r="207" spans="2:16" ht="15.75" customHeight="1" x14ac:dyDescent="0.3">
      <c r="B207" s="700"/>
      <c r="C207" s="700"/>
      <c r="D207" s="700"/>
      <c r="E207" s="701"/>
      <c r="F207" s="700"/>
      <c r="G207" s="328"/>
      <c r="H207" s="700"/>
      <c r="I207" s="700"/>
      <c r="J207" s="703"/>
      <c r="K207" s="704"/>
      <c r="L207" s="704"/>
      <c r="M207" s="704"/>
      <c r="N207" s="704"/>
      <c r="O207" s="704"/>
      <c r="P207" s="664"/>
    </row>
    <row r="208" spans="2:16" ht="15.75" customHeight="1" x14ac:dyDescent="0.3">
      <c r="B208" s="700"/>
      <c r="C208" s="700"/>
      <c r="D208" s="700"/>
      <c r="E208" s="701"/>
      <c r="F208" s="700"/>
      <c r="G208" s="328"/>
      <c r="H208" s="700"/>
      <c r="I208" s="700"/>
      <c r="J208" s="703"/>
      <c r="K208" s="704"/>
      <c r="L208" s="704"/>
      <c r="M208" s="704"/>
      <c r="N208" s="704"/>
      <c r="O208" s="704"/>
      <c r="P208" s="664"/>
    </row>
    <row r="209" spans="2:16" ht="15.75" customHeight="1" x14ac:dyDescent="0.3">
      <c r="B209" s="700"/>
      <c r="C209" s="700"/>
      <c r="D209" s="700"/>
      <c r="E209" s="701"/>
      <c r="F209" s="700"/>
      <c r="G209" s="328"/>
      <c r="H209" s="700"/>
      <c r="I209" s="700"/>
      <c r="J209" s="703"/>
      <c r="K209" s="704"/>
      <c r="L209" s="704"/>
      <c r="M209" s="704"/>
      <c r="N209" s="704"/>
      <c r="O209" s="704"/>
      <c r="P209" s="664"/>
    </row>
    <row r="210" spans="2:16" ht="15.75" customHeight="1" x14ac:dyDescent="0.3">
      <c r="B210" s="700"/>
      <c r="C210" s="700"/>
      <c r="D210" s="700"/>
      <c r="E210" s="701"/>
      <c r="F210" s="700"/>
      <c r="G210" s="328"/>
      <c r="H210" s="700"/>
      <c r="I210" s="700"/>
      <c r="J210" s="703"/>
      <c r="K210" s="704"/>
      <c r="L210" s="704"/>
      <c r="M210" s="704"/>
      <c r="N210" s="704"/>
      <c r="O210" s="704"/>
      <c r="P210" s="664"/>
    </row>
    <row r="211" spans="2:16" ht="15.75" customHeight="1" x14ac:dyDescent="0.3">
      <c r="B211" s="700"/>
      <c r="C211" s="700"/>
      <c r="D211" s="700"/>
      <c r="E211" s="701"/>
      <c r="F211" s="700"/>
      <c r="G211" s="328"/>
      <c r="H211" s="700"/>
      <c r="I211" s="700"/>
      <c r="J211" s="703"/>
      <c r="K211" s="704"/>
      <c r="L211" s="704"/>
      <c r="M211" s="704"/>
      <c r="N211" s="704"/>
      <c r="O211" s="704"/>
      <c r="P211" s="664"/>
    </row>
    <row r="212" spans="2:16" ht="15.75" customHeight="1" x14ac:dyDescent="0.3">
      <c r="B212" s="700"/>
      <c r="C212" s="700"/>
      <c r="D212" s="700"/>
      <c r="E212" s="701"/>
      <c r="F212" s="700"/>
      <c r="G212" s="328"/>
      <c r="H212" s="700"/>
      <c r="I212" s="700"/>
      <c r="J212" s="703"/>
      <c r="K212" s="704"/>
      <c r="L212" s="704"/>
      <c r="M212" s="704"/>
      <c r="N212" s="704"/>
      <c r="O212" s="704"/>
      <c r="P212" s="664"/>
    </row>
    <row r="213" spans="2:16" ht="15.75" customHeight="1" x14ac:dyDescent="0.3">
      <c r="B213" s="700"/>
      <c r="C213" s="700"/>
      <c r="D213" s="700"/>
      <c r="E213" s="701"/>
      <c r="F213" s="700"/>
      <c r="G213" s="328"/>
      <c r="H213" s="700"/>
      <c r="I213" s="700"/>
      <c r="J213" s="703"/>
      <c r="K213" s="704"/>
      <c r="L213" s="704"/>
      <c r="M213" s="704"/>
      <c r="N213" s="704"/>
      <c r="O213" s="704"/>
      <c r="P213" s="664"/>
    </row>
    <row r="214" spans="2:16" ht="15.75" customHeight="1" x14ac:dyDescent="0.3">
      <c r="B214" s="700"/>
      <c r="C214" s="700"/>
      <c r="D214" s="700"/>
      <c r="E214" s="701"/>
      <c r="F214" s="700"/>
      <c r="G214" s="328"/>
      <c r="H214" s="700"/>
      <c r="I214" s="700"/>
      <c r="J214" s="703"/>
      <c r="K214" s="704"/>
      <c r="L214" s="704"/>
      <c r="M214" s="704"/>
      <c r="N214" s="704"/>
      <c r="O214" s="704"/>
      <c r="P214" s="664"/>
    </row>
    <row r="215" spans="2:16" ht="15.75" customHeight="1" x14ac:dyDescent="0.3">
      <c r="B215" s="700"/>
      <c r="C215" s="700"/>
      <c r="D215" s="700"/>
      <c r="E215" s="701"/>
      <c r="F215" s="700"/>
      <c r="G215" s="328"/>
      <c r="H215" s="700"/>
      <c r="I215" s="700"/>
      <c r="J215" s="703"/>
      <c r="K215" s="704"/>
      <c r="L215" s="704"/>
      <c r="M215" s="704"/>
      <c r="N215" s="704"/>
      <c r="O215" s="704"/>
      <c r="P215" s="664"/>
    </row>
    <row r="216" spans="2:16" ht="15.75" customHeight="1" x14ac:dyDescent="0.3">
      <c r="B216" s="700"/>
      <c r="C216" s="700"/>
      <c r="D216" s="700"/>
      <c r="E216" s="701"/>
      <c r="F216" s="700"/>
      <c r="G216" s="328"/>
      <c r="H216" s="700"/>
      <c r="I216" s="700"/>
      <c r="J216" s="703"/>
      <c r="K216" s="704"/>
      <c r="L216" s="704"/>
      <c r="M216" s="704"/>
      <c r="N216" s="704"/>
      <c r="O216" s="704"/>
      <c r="P216" s="664"/>
    </row>
    <row r="217" spans="2:16" ht="15.75" customHeight="1" x14ac:dyDescent="0.3">
      <c r="B217" s="700"/>
      <c r="C217" s="700"/>
      <c r="D217" s="700"/>
      <c r="E217" s="701"/>
      <c r="F217" s="700"/>
      <c r="G217" s="328"/>
      <c r="H217" s="700"/>
      <c r="I217" s="700"/>
      <c r="J217" s="703"/>
      <c r="K217" s="704"/>
      <c r="L217" s="704"/>
      <c r="M217" s="704"/>
      <c r="N217" s="704"/>
      <c r="O217" s="704"/>
      <c r="P217" s="664"/>
    </row>
    <row r="218" spans="2:16" ht="15.75" customHeight="1" x14ac:dyDescent="0.3">
      <c r="B218" s="700"/>
      <c r="C218" s="700"/>
      <c r="D218" s="700"/>
      <c r="E218" s="701"/>
      <c r="F218" s="700"/>
      <c r="G218" s="328"/>
      <c r="H218" s="700"/>
      <c r="I218" s="700"/>
      <c r="J218" s="703"/>
      <c r="K218" s="704"/>
      <c r="L218" s="704"/>
      <c r="M218" s="704"/>
      <c r="N218" s="704"/>
      <c r="O218" s="704"/>
      <c r="P218" s="664"/>
    </row>
    <row r="219" spans="2:16" ht="15.75" customHeight="1" x14ac:dyDescent="0.3">
      <c r="B219" s="700"/>
      <c r="C219" s="700"/>
      <c r="D219" s="700"/>
      <c r="E219" s="701"/>
      <c r="F219" s="700"/>
      <c r="G219" s="328"/>
      <c r="H219" s="700"/>
      <c r="I219" s="700"/>
      <c r="J219" s="703"/>
      <c r="K219" s="704"/>
      <c r="L219" s="704"/>
      <c r="M219" s="704"/>
      <c r="N219" s="704"/>
      <c r="O219" s="704"/>
      <c r="P219" s="664"/>
    </row>
    <row r="220" spans="2:16" ht="15.75" customHeight="1" x14ac:dyDescent="0.3">
      <c r="B220" s="700"/>
      <c r="C220" s="700"/>
      <c r="D220" s="700"/>
      <c r="E220" s="701"/>
      <c r="F220" s="700"/>
      <c r="G220" s="328"/>
      <c r="H220" s="700"/>
      <c r="I220" s="700"/>
      <c r="J220" s="703"/>
      <c r="K220" s="704"/>
      <c r="L220" s="704"/>
      <c r="M220" s="704"/>
      <c r="N220" s="704"/>
      <c r="O220" s="704"/>
      <c r="P220" s="664"/>
    </row>
    <row r="221" spans="2:16" ht="15.75" customHeight="1" x14ac:dyDescent="0.3">
      <c r="B221" s="700"/>
      <c r="C221" s="700"/>
      <c r="D221" s="700"/>
      <c r="E221" s="701"/>
      <c r="F221" s="700"/>
      <c r="G221" s="328"/>
      <c r="H221" s="700"/>
      <c r="I221" s="700"/>
      <c r="J221" s="703"/>
      <c r="K221" s="704"/>
      <c r="L221" s="704"/>
      <c r="M221" s="704"/>
      <c r="N221" s="704"/>
      <c r="O221" s="704"/>
      <c r="P221" s="664"/>
    </row>
    <row r="222" spans="2:16" ht="15.75" customHeight="1" x14ac:dyDescent="0.3">
      <c r="B222" s="700"/>
      <c r="C222" s="700"/>
      <c r="D222" s="700"/>
      <c r="E222" s="701"/>
      <c r="F222" s="700"/>
      <c r="G222" s="328"/>
      <c r="H222" s="700"/>
      <c r="I222" s="700"/>
      <c r="J222" s="703"/>
      <c r="K222" s="704"/>
      <c r="L222" s="704"/>
      <c r="M222" s="704"/>
      <c r="N222" s="704"/>
      <c r="O222" s="704"/>
      <c r="P222" s="664"/>
    </row>
    <row r="223" spans="2:16" ht="15.75" customHeight="1" x14ac:dyDescent="0.3">
      <c r="B223" s="700"/>
      <c r="C223" s="700"/>
      <c r="D223" s="700"/>
      <c r="E223" s="701"/>
      <c r="F223" s="700"/>
      <c r="G223" s="328"/>
      <c r="H223" s="700"/>
      <c r="I223" s="700"/>
      <c r="J223" s="703"/>
      <c r="K223" s="704"/>
      <c r="L223" s="704"/>
      <c r="M223" s="704"/>
      <c r="N223" s="704"/>
      <c r="O223" s="704"/>
      <c r="P223" s="664"/>
    </row>
    <row r="224" spans="2:16" ht="15.75" customHeight="1" x14ac:dyDescent="0.3">
      <c r="B224" s="700"/>
      <c r="C224" s="700"/>
      <c r="D224" s="700"/>
      <c r="E224" s="701"/>
      <c r="F224" s="700"/>
      <c r="G224" s="328"/>
      <c r="H224" s="700"/>
      <c r="I224" s="700"/>
      <c r="J224" s="703"/>
      <c r="K224" s="704"/>
      <c r="L224" s="704"/>
      <c r="M224" s="704"/>
      <c r="N224" s="704"/>
      <c r="O224" s="704"/>
      <c r="P224" s="664"/>
    </row>
    <row r="225" spans="2:16" ht="15.75" customHeight="1" x14ac:dyDescent="0.3">
      <c r="B225" s="700"/>
      <c r="C225" s="700"/>
      <c r="D225" s="700"/>
      <c r="E225" s="701"/>
      <c r="F225" s="700"/>
      <c r="G225" s="328"/>
      <c r="H225" s="700"/>
      <c r="I225" s="700"/>
      <c r="J225" s="703"/>
      <c r="K225" s="704"/>
      <c r="L225" s="704"/>
      <c r="M225" s="704"/>
      <c r="N225" s="704"/>
      <c r="O225" s="704"/>
      <c r="P225" s="664"/>
    </row>
    <row r="226" spans="2:16" ht="15.75" customHeight="1" x14ac:dyDescent="0.3">
      <c r="B226" s="700"/>
      <c r="C226" s="700"/>
      <c r="D226" s="700"/>
      <c r="E226" s="701"/>
      <c r="F226" s="700"/>
      <c r="G226" s="328"/>
      <c r="H226" s="700"/>
      <c r="I226" s="700"/>
      <c r="J226" s="703"/>
      <c r="K226" s="704"/>
      <c r="L226" s="704"/>
      <c r="M226" s="704"/>
      <c r="N226" s="704"/>
      <c r="O226" s="704"/>
      <c r="P226" s="664"/>
    </row>
    <row r="227" spans="2:16" ht="15.75" customHeight="1" x14ac:dyDescent="0.25">
      <c r="B227" s="619"/>
      <c r="C227" s="619"/>
      <c r="D227" s="619"/>
      <c r="E227" s="708"/>
      <c r="F227" s="619"/>
      <c r="G227" s="329"/>
      <c r="H227" s="619"/>
      <c r="I227" s="619"/>
      <c r="J227" s="710"/>
      <c r="K227" s="710"/>
      <c r="L227" s="710"/>
      <c r="M227" s="710"/>
      <c r="N227" s="710"/>
      <c r="O227" s="710"/>
      <c r="P227" s="619"/>
    </row>
    <row r="228" spans="2:16" ht="15.75" customHeight="1" x14ac:dyDescent="0.25">
      <c r="B228" s="619"/>
      <c r="C228" s="619"/>
      <c r="D228" s="619"/>
      <c r="E228" s="708"/>
      <c r="F228" s="619"/>
      <c r="G228" s="329"/>
      <c r="H228" s="619"/>
      <c r="I228" s="619"/>
      <c r="J228" s="710"/>
      <c r="K228" s="710"/>
      <c r="L228" s="710"/>
      <c r="M228" s="710"/>
      <c r="N228" s="710"/>
      <c r="O228" s="710"/>
      <c r="P228" s="619"/>
    </row>
    <row r="229" spans="2:16" ht="15.75" customHeight="1" x14ac:dyDescent="0.25">
      <c r="B229" s="619"/>
      <c r="C229" s="619"/>
      <c r="D229" s="619"/>
      <c r="E229" s="708"/>
      <c r="F229" s="619"/>
      <c r="G229" s="329"/>
      <c r="H229" s="619"/>
      <c r="I229" s="619"/>
      <c r="J229" s="710"/>
      <c r="K229" s="710"/>
      <c r="L229" s="710"/>
      <c r="M229" s="710"/>
      <c r="N229" s="710"/>
      <c r="O229" s="710"/>
      <c r="P229" s="619"/>
    </row>
    <row r="230" spans="2:16" ht="15.75" customHeight="1" x14ac:dyDescent="0.25">
      <c r="B230" s="619"/>
      <c r="C230" s="619"/>
      <c r="D230" s="619"/>
      <c r="E230" s="708"/>
      <c r="F230" s="619"/>
      <c r="G230" s="329"/>
      <c r="H230" s="619"/>
      <c r="I230" s="619"/>
      <c r="J230" s="710"/>
      <c r="K230" s="710"/>
      <c r="L230" s="710"/>
      <c r="M230" s="710"/>
      <c r="N230" s="710"/>
      <c r="O230" s="710"/>
      <c r="P230" s="619"/>
    </row>
    <row r="231" spans="2:16" ht="15.75" customHeight="1" x14ac:dyDescent="0.25">
      <c r="B231" s="619"/>
      <c r="C231" s="619"/>
      <c r="D231" s="619"/>
      <c r="E231" s="708"/>
      <c r="F231" s="619"/>
      <c r="G231" s="329"/>
      <c r="H231" s="619"/>
      <c r="I231" s="619"/>
      <c r="J231" s="710"/>
      <c r="K231" s="710"/>
      <c r="L231" s="710"/>
      <c r="M231" s="710"/>
      <c r="N231" s="710"/>
      <c r="O231" s="710"/>
      <c r="P231" s="619"/>
    </row>
    <row r="232" spans="2:16" ht="15.75" customHeight="1" x14ac:dyDescent="0.25">
      <c r="B232" s="619"/>
      <c r="C232" s="619"/>
      <c r="D232" s="619"/>
      <c r="E232" s="708"/>
      <c r="F232" s="619"/>
      <c r="G232" s="329"/>
      <c r="H232" s="619"/>
      <c r="I232" s="619"/>
      <c r="J232" s="710"/>
      <c r="K232" s="710"/>
      <c r="L232" s="710"/>
      <c r="M232" s="710"/>
      <c r="N232" s="710"/>
      <c r="O232" s="710"/>
      <c r="P232" s="619"/>
    </row>
    <row r="233" spans="2:16" ht="15.75" customHeight="1" x14ac:dyDescent="0.25">
      <c r="B233" s="619"/>
      <c r="C233" s="619"/>
      <c r="D233" s="619"/>
      <c r="E233" s="708"/>
      <c r="F233" s="619"/>
      <c r="G233" s="329"/>
      <c r="H233" s="619"/>
      <c r="I233" s="619"/>
      <c r="J233" s="710"/>
      <c r="K233" s="710"/>
      <c r="L233" s="710"/>
      <c r="M233" s="710"/>
      <c r="N233" s="710"/>
      <c r="O233" s="710"/>
      <c r="P233" s="619"/>
    </row>
    <row r="234" spans="2:16" ht="15.75" customHeight="1" x14ac:dyDescent="0.25">
      <c r="B234" s="619"/>
      <c r="C234" s="619"/>
      <c r="D234" s="619"/>
      <c r="E234" s="708"/>
      <c r="F234" s="619"/>
      <c r="G234" s="329"/>
      <c r="H234" s="619"/>
      <c r="I234" s="619"/>
      <c r="J234" s="710"/>
      <c r="K234" s="710"/>
      <c r="L234" s="710"/>
      <c r="M234" s="710"/>
      <c r="N234" s="710"/>
      <c r="O234" s="710"/>
      <c r="P234" s="619"/>
    </row>
    <row r="235" spans="2:16" ht="15.75" customHeight="1" x14ac:dyDescent="0.25">
      <c r="B235" s="619"/>
      <c r="C235" s="619"/>
      <c r="D235" s="619"/>
      <c r="E235" s="708"/>
      <c r="F235" s="619"/>
      <c r="G235" s="329"/>
      <c r="H235" s="619"/>
      <c r="I235" s="619"/>
      <c r="J235" s="710"/>
      <c r="K235" s="710"/>
      <c r="L235" s="710"/>
      <c r="M235" s="710"/>
      <c r="N235" s="710"/>
      <c r="O235" s="710"/>
      <c r="P235" s="619"/>
    </row>
    <row r="236" spans="2:16" ht="15.75" customHeight="1" x14ac:dyDescent="0.25">
      <c r="B236" s="619"/>
      <c r="C236" s="619"/>
      <c r="D236" s="619"/>
      <c r="E236" s="708"/>
      <c r="F236" s="619"/>
      <c r="G236" s="329"/>
      <c r="H236" s="619"/>
      <c r="I236" s="619"/>
      <c r="J236" s="710"/>
      <c r="K236" s="710"/>
      <c r="L236" s="710"/>
      <c r="M236" s="710"/>
      <c r="N236" s="710"/>
      <c r="O236" s="710"/>
      <c r="P236" s="619"/>
    </row>
    <row r="237" spans="2:16" ht="15.75" customHeight="1" x14ac:dyDescent="0.25">
      <c r="B237" s="619"/>
      <c r="C237" s="619"/>
      <c r="D237" s="619"/>
      <c r="E237" s="708"/>
      <c r="F237" s="619"/>
      <c r="G237" s="329"/>
      <c r="H237" s="619"/>
      <c r="I237" s="619"/>
      <c r="J237" s="710"/>
      <c r="K237" s="710"/>
      <c r="L237" s="710"/>
      <c r="M237" s="710"/>
      <c r="N237" s="710"/>
      <c r="O237" s="710"/>
      <c r="P237" s="619"/>
    </row>
    <row r="238" spans="2:16" ht="15.75" customHeight="1" x14ac:dyDescent="0.25">
      <c r="B238" s="619"/>
      <c r="C238" s="619"/>
      <c r="D238" s="619"/>
      <c r="E238" s="708"/>
      <c r="F238" s="619"/>
      <c r="G238" s="329"/>
      <c r="H238" s="619"/>
      <c r="I238" s="619"/>
      <c r="J238" s="710"/>
      <c r="K238" s="710"/>
      <c r="L238" s="710"/>
      <c r="M238" s="710"/>
      <c r="N238" s="710"/>
      <c r="O238" s="710"/>
      <c r="P238" s="619"/>
    </row>
    <row r="239" spans="2:16" ht="15.75" customHeight="1" x14ac:dyDescent="0.25">
      <c r="B239" s="619"/>
      <c r="C239" s="619"/>
      <c r="D239" s="619"/>
      <c r="E239" s="708"/>
      <c r="F239" s="619"/>
      <c r="G239" s="329"/>
      <c r="H239" s="619"/>
      <c r="I239" s="619"/>
      <c r="J239" s="710"/>
      <c r="K239" s="710"/>
      <c r="L239" s="710"/>
      <c r="M239" s="710"/>
      <c r="N239" s="710"/>
      <c r="O239" s="710"/>
      <c r="P239" s="619"/>
    </row>
    <row r="240" spans="2:16" ht="15.75" customHeight="1" x14ac:dyDescent="0.25">
      <c r="B240" s="619"/>
      <c r="C240" s="619"/>
      <c r="D240" s="619"/>
      <c r="E240" s="708"/>
      <c r="F240" s="619"/>
      <c r="G240" s="329"/>
      <c r="H240" s="619"/>
      <c r="I240" s="619"/>
      <c r="J240" s="710"/>
      <c r="K240" s="710"/>
      <c r="L240" s="710"/>
      <c r="M240" s="710"/>
      <c r="N240" s="710"/>
      <c r="O240" s="710"/>
      <c r="P240" s="619"/>
    </row>
    <row r="241" spans="2:16" ht="15.75" customHeight="1" x14ac:dyDescent="0.25">
      <c r="B241" s="619"/>
      <c r="C241" s="619"/>
      <c r="D241" s="619"/>
      <c r="E241" s="708"/>
      <c r="F241" s="619"/>
      <c r="G241" s="329"/>
      <c r="H241" s="619"/>
      <c r="I241" s="619"/>
      <c r="J241" s="710"/>
      <c r="K241" s="710"/>
      <c r="L241" s="710"/>
      <c r="M241" s="710"/>
      <c r="N241" s="710"/>
      <c r="O241" s="710"/>
      <c r="P241" s="619"/>
    </row>
    <row r="242" spans="2:16" ht="15.75" customHeight="1" x14ac:dyDescent="0.25">
      <c r="B242" s="619"/>
      <c r="C242" s="619"/>
      <c r="D242" s="619"/>
      <c r="E242" s="708"/>
      <c r="F242" s="619"/>
      <c r="G242" s="329"/>
      <c r="H242" s="619"/>
      <c r="I242" s="619"/>
      <c r="J242" s="710"/>
      <c r="K242" s="710"/>
      <c r="L242" s="710"/>
      <c r="M242" s="710"/>
      <c r="N242" s="710"/>
      <c r="O242" s="710"/>
      <c r="P242" s="619"/>
    </row>
    <row r="243" spans="2:16" ht="15.75" customHeight="1" x14ac:dyDescent="0.25">
      <c r="B243" s="619"/>
      <c r="C243" s="619"/>
      <c r="D243" s="619"/>
      <c r="E243" s="708"/>
      <c r="F243" s="619"/>
      <c r="G243" s="329"/>
      <c r="H243" s="619"/>
      <c r="I243" s="619"/>
      <c r="J243" s="710"/>
      <c r="K243" s="710"/>
      <c r="L243" s="710"/>
      <c r="M243" s="710"/>
      <c r="N243" s="710"/>
      <c r="O243" s="710"/>
      <c r="P243" s="619"/>
    </row>
    <row r="244" spans="2:16" ht="15.75" customHeight="1" x14ac:dyDescent="0.25">
      <c r="B244" s="619"/>
      <c r="C244" s="619"/>
      <c r="D244" s="619"/>
      <c r="E244" s="708"/>
      <c r="F244" s="619"/>
      <c r="G244" s="329"/>
      <c r="H244" s="619"/>
      <c r="I244" s="619"/>
      <c r="J244" s="710"/>
      <c r="K244" s="710"/>
      <c r="L244" s="710"/>
      <c r="M244" s="710"/>
      <c r="N244" s="710"/>
      <c r="O244" s="710"/>
      <c r="P244" s="619"/>
    </row>
    <row r="245" spans="2:16" ht="15.75" customHeight="1" x14ac:dyDescent="0.25">
      <c r="B245" s="619"/>
      <c r="C245" s="619"/>
      <c r="D245" s="619"/>
      <c r="E245" s="708"/>
      <c r="F245" s="619"/>
      <c r="G245" s="329"/>
      <c r="H245" s="619"/>
      <c r="I245" s="619"/>
      <c r="J245" s="710"/>
      <c r="K245" s="710"/>
      <c r="L245" s="710"/>
      <c r="M245" s="710"/>
      <c r="N245" s="710"/>
      <c r="O245" s="710"/>
      <c r="P245" s="619"/>
    </row>
    <row r="246" spans="2:16" ht="15.75" customHeight="1" x14ac:dyDescent="0.25">
      <c r="B246" s="619"/>
      <c r="C246" s="619"/>
      <c r="D246" s="619"/>
      <c r="E246" s="708"/>
      <c r="F246" s="619"/>
      <c r="G246" s="329"/>
      <c r="H246" s="619"/>
      <c r="I246" s="619"/>
      <c r="J246" s="710"/>
      <c r="K246" s="710"/>
      <c r="L246" s="710"/>
      <c r="M246" s="710"/>
      <c r="N246" s="710"/>
      <c r="O246" s="710"/>
      <c r="P246" s="619"/>
    </row>
    <row r="247" spans="2:16" ht="15.75" customHeight="1" x14ac:dyDescent="0.25">
      <c r="B247" s="619"/>
      <c r="C247" s="619"/>
      <c r="D247" s="619"/>
      <c r="E247" s="708"/>
      <c r="F247" s="619"/>
      <c r="G247" s="329"/>
      <c r="H247" s="619"/>
      <c r="I247" s="619"/>
      <c r="J247" s="710"/>
      <c r="K247" s="710"/>
      <c r="L247" s="710"/>
      <c r="M247" s="710"/>
      <c r="N247" s="710"/>
      <c r="O247" s="710"/>
      <c r="P247" s="619"/>
    </row>
    <row r="248" spans="2:16" ht="15.75" customHeight="1" x14ac:dyDescent="0.25">
      <c r="B248" s="619"/>
      <c r="C248" s="619"/>
      <c r="D248" s="619"/>
      <c r="E248" s="708"/>
      <c r="F248" s="619"/>
      <c r="G248" s="329"/>
      <c r="H248" s="619"/>
      <c r="I248" s="619"/>
      <c r="J248" s="710"/>
      <c r="K248" s="710"/>
      <c r="L248" s="710"/>
      <c r="M248" s="710"/>
      <c r="N248" s="710"/>
      <c r="O248" s="710"/>
      <c r="P248" s="619"/>
    </row>
    <row r="249" spans="2:16" ht="15.75" customHeight="1" x14ac:dyDescent="0.25">
      <c r="B249" s="619"/>
      <c r="C249" s="619"/>
      <c r="D249" s="619"/>
      <c r="E249" s="708"/>
      <c r="F249" s="619"/>
      <c r="G249" s="329"/>
      <c r="H249" s="619"/>
      <c r="I249" s="619"/>
      <c r="J249" s="710"/>
      <c r="K249" s="710"/>
      <c r="L249" s="710"/>
      <c r="M249" s="710"/>
      <c r="N249" s="710"/>
      <c r="O249" s="710"/>
      <c r="P249" s="619"/>
    </row>
    <row r="250" spans="2:16" ht="15.75" customHeight="1" x14ac:dyDescent="0.25">
      <c r="B250" s="619"/>
      <c r="C250" s="619"/>
      <c r="D250" s="619"/>
      <c r="E250" s="708"/>
      <c r="F250" s="619"/>
      <c r="G250" s="329"/>
      <c r="H250" s="619"/>
      <c r="I250" s="619"/>
      <c r="J250" s="710"/>
      <c r="K250" s="710"/>
      <c r="L250" s="710"/>
      <c r="M250" s="710"/>
      <c r="N250" s="710"/>
      <c r="O250" s="710"/>
      <c r="P250" s="619"/>
    </row>
    <row r="251" spans="2:16" ht="15.75" customHeight="1" x14ac:dyDescent="0.25">
      <c r="B251" s="619"/>
      <c r="C251" s="619"/>
      <c r="D251" s="619"/>
      <c r="E251" s="708"/>
      <c r="F251" s="619"/>
      <c r="G251" s="329"/>
      <c r="H251" s="619"/>
      <c r="I251" s="619"/>
      <c r="J251" s="710"/>
      <c r="K251" s="710"/>
      <c r="L251" s="710"/>
      <c r="M251" s="710"/>
      <c r="N251" s="710"/>
      <c r="O251" s="710"/>
      <c r="P251" s="619"/>
    </row>
    <row r="252" spans="2:16" ht="15.75" customHeight="1" x14ac:dyDescent="0.25">
      <c r="B252" s="619"/>
      <c r="C252" s="619"/>
      <c r="D252" s="619"/>
      <c r="E252" s="708"/>
      <c r="F252" s="619"/>
      <c r="G252" s="329"/>
      <c r="H252" s="619"/>
      <c r="I252" s="619"/>
      <c r="J252" s="710"/>
      <c r="K252" s="710"/>
      <c r="L252" s="710"/>
      <c r="M252" s="710"/>
      <c r="N252" s="710"/>
      <c r="O252" s="710"/>
      <c r="P252" s="619"/>
    </row>
    <row r="253" spans="2:16" ht="15.75" customHeight="1" x14ac:dyDescent="0.25">
      <c r="B253" s="619"/>
      <c r="C253" s="619"/>
      <c r="D253" s="619"/>
      <c r="E253" s="708"/>
      <c r="F253" s="619"/>
      <c r="G253" s="329"/>
      <c r="H253" s="619"/>
      <c r="I253" s="619"/>
      <c r="J253" s="710"/>
      <c r="K253" s="710"/>
      <c r="L253" s="710"/>
      <c r="M253" s="710"/>
      <c r="N253" s="710"/>
      <c r="O253" s="710"/>
      <c r="P253" s="619"/>
    </row>
    <row r="254" spans="2:16" ht="15.75" customHeight="1" x14ac:dyDescent="0.25">
      <c r="B254" s="619"/>
      <c r="C254" s="619"/>
      <c r="D254" s="619"/>
      <c r="E254" s="708"/>
      <c r="F254" s="619"/>
      <c r="G254" s="329"/>
      <c r="H254" s="619"/>
      <c r="I254" s="619"/>
      <c r="J254" s="710"/>
      <c r="K254" s="710"/>
      <c r="L254" s="710"/>
      <c r="M254" s="710"/>
      <c r="N254" s="710"/>
      <c r="O254" s="710"/>
      <c r="P254" s="619"/>
    </row>
    <row r="255" spans="2:16" ht="15.75" customHeight="1" x14ac:dyDescent="0.25">
      <c r="B255" s="619"/>
      <c r="C255" s="619"/>
      <c r="D255" s="619"/>
      <c r="E255" s="708"/>
      <c r="F255" s="619"/>
      <c r="G255" s="329"/>
      <c r="H255" s="619"/>
      <c r="I255" s="619"/>
      <c r="J255" s="710"/>
      <c r="K255" s="710"/>
      <c r="L255" s="710"/>
      <c r="M255" s="710"/>
      <c r="N255" s="710"/>
      <c r="O255" s="710"/>
      <c r="P255" s="619"/>
    </row>
    <row r="256" spans="2:16" ht="15.75" customHeight="1" x14ac:dyDescent="0.25">
      <c r="B256" s="619"/>
      <c r="C256" s="619"/>
      <c r="D256" s="619"/>
      <c r="E256" s="708"/>
      <c r="F256" s="619"/>
      <c r="G256" s="329"/>
      <c r="H256" s="619"/>
      <c r="I256" s="619"/>
      <c r="J256" s="710"/>
      <c r="K256" s="710"/>
      <c r="L256" s="710"/>
      <c r="M256" s="710"/>
      <c r="N256" s="710"/>
      <c r="O256" s="710"/>
      <c r="P256" s="619"/>
    </row>
    <row r="257" spans="2:16" ht="15.75" customHeight="1" x14ac:dyDescent="0.25">
      <c r="B257" s="619"/>
      <c r="C257" s="619"/>
      <c r="D257" s="619"/>
      <c r="E257" s="708"/>
      <c r="F257" s="619"/>
      <c r="G257" s="329"/>
      <c r="H257" s="619"/>
      <c r="I257" s="619"/>
      <c r="J257" s="710"/>
      <c r="K257" s="710"/>
      <c r="L257" s="710"/>
      <c r="M257" s="710"/>
      <c r="N257" s="710"/>
      <c r="O257" s="710"/>
      <c r="P257" s="619"/>
    </row>
    <row r="258" spans="2:16" ht="15.75" customHeight="1" x14ac:dyDescent="0.25">
      <c r="B258" s="619"/>
      <c r="C258" s="619"/>
      <c r="D258" s="619"/>
      <c r="E258" s="708"/>
      <c r="F258" s="619"/>
      <c r="G258" s="329"/>
      <c r="H258" s="619"/>
      <c r="I258" s="619"/>
      <c r="J258" s="710"/>
      <c r="K258" s="710"/>
      <c r="L258" s="710"/>
      <c r="M258" s="710"/>
      <c r="N258" s="710"/>
      <c r="O258" s="710"/>
      <c r="P258" s="619"/>
    </row>
    <row r="259" spans="2:16" ht="15.75" customHeight="1" x14ac:dyDescent="0.25">
      <c r="B259" s="619"/>
      <c r="C259" s="619"/>
      <c r="D259" s="619"/>
      <c r="E259" s="708"/>
      <c r="F259" s="619"/>
      <c r="G259" s="329"/>
      <c r="H259" s="619"/>
      <c r="I259" s="619"/>
      <c r="J259" s="710"/>
      <c r="K259" s="710"/>
      <c r="L259" s="710"/>
      <c r="M259" s="710"/>
      <c r="N259" s="710"/>
      <c r="O259" s="710"/>
      <c r="P259" s="619"/>
    </row>
    <row r="260" spans="2:16" ht="15.75" customHeight="1" x14ac:dyDescent="0.25">
      <c r="B260" s="619"/>
      <c r="C260" s="619"/>
      <c r="D260" s="619"/>
      <c r="E260" s="708"/>
      <c r="F260" s="619"/>
      <c r="G260" s="329"/>
      <c r="H260" s="619"/>
      <c r="I260" s="619"/>
      <c r="J260" s="710"/>
      <c r="K260" s="710"/>
      <c r="L260" s="710"/>
      <c r="M260" s="710"/>
      <c r="N260" s="710"/>
      <c r="O260" s="710"/>
      <c r="P260" s="619"/>
    </row>
    <row r="261" spans="2:16" ht="15.75" customHeight="1" x14ac:dyDescent="0.25">
      <c r="B261" s="619"/>
      <c r="C261" s="619"/>
      <c r="D261" s="619"/>
      <c r="E261" s="708"/>
      <c r="F261" s="619"/>
      <c r="G261" s="329"/>
      <c r="H261" s="619"/>
      <c r="I261" s="619"/>
      <c r="J261" s="710"/>
      <c r="K261" s="710"/>
      <c r="L261" s="710"/>
      <c r="M261" s="710"/>
      <c r="N261" s="710"/>
      <c r="O261" s="710"/>
      <c r="P261" s="619"/>
    </row>
    <row r="262" spans="2:16" ht="15.75" customHeight="1" x14ac:dyDescent="0.25">
      <c r="B262" s="619"/>
      <c r="C262" s="619"/>
      <c r="D262" s="619"/>
      <c r="E262" s="708"/>
      <c r="F262" s="619"/>
      <c r="G262" s="329"/>
      <c r="H262" s="619"/>
      <c r="I262" s="619"/>
      <c r="J262" s="710"/>
      <c r="K262" s="710"/>
      <c r="L262" s="710"/>
      <c r="M262" s="710"/>
      <c r="N262" s="710"/>
      <c r="O262" s="710"/>
      <c r="P262" s="619"/>
    </row>
    <row r="263" spans="2:16" ht="15.75" customHeight="1" x14ac:dyDescent="0.25">
      <c r="B263" s="619"/>
      <c r="C263" s="619"/>
      <c r="D263" s="619"/>
      <c r="E263" s="708"/>
      <c r="F263" s="619"/>
      <c r="G263" s="329"/>
      <c r="H263" s="619"/>
      <c r="I263" s="619"/>
      <c r="J263" s="710"/>
      <c r="K263" s="710"/>
      <c r="L263" s="710"/>
      <c r="M263" s="710"/>
      <c r="N263" s="710"/>
      <c r="O263" s="710"/>
      <c r="P263" s="619"/>
    </row>
    <row r="264" spans="2:16" ht="15.75" customHeight="1" x14ac:dyDescent="0.25">
      <c r="B264" s="619"/>
      <c r="C264" s="619"/>
      <c r="D264" s="619"/>
      <c r="E264" s="708"/>
      <c r="F264" s="619"/>
      <c r="G264" s="329"/>
      <c r="H264" s="619"/>
      <c r="I264" s="619"/>
      <c r="J264" s="710"/>
      <c r="K264" s="710"/>
      <c r="L264" s="710"/>
      <c r="M264" s="710"/>
      <c r="N264" s="710"/>
      <c r="O264" s="710"/>
      <c r="P264" s="619"/>
    </row>
    <row r="265" spans="2:16" ht="15.75" customHeight="1" x14ac:dyDescent="0.25">
      <c r="B265" s="619"/>
      <c r="C265" s="619"/>
      <c r="D265" s="619"/>
      <c r="E265" s="708"/>
      <c r="F265" s="619"/>
      <c r="G265" s="329"/>
      <c r="H265" s="619"/>
      <c r="I265" s="619"/>
      <c r="J265" s="710"/>
      <c r="K265" s="710"/>
      <c r="L265" s="710"/>
      <c r="M265" s="710"/>
      <c r="N265" s="710"/>
      <c r="O265" s="710"/>
      <c r="P265" s="619"/>
    </row>
    <row r="266" spans="2:16" ht="15.75" customHeight="1" x14ac:dyDescent="0.25">
      <c r="B266" s="619"/>
      <c r="C266" s="619"/>
      <c r="D266" s="619"/>
      <c r="E266" s="708"/>
      <c r="F266" s="619"/>
      <c r="G266" s="329"/>
      <c r="H266" s="619"/>
      <c r="I266" s="619"/>
      <c r="J266" s="710"/>
      <c r="K266" s="710"/>
      <c r="L266" s="710"/>
      <c r="M266" s="710"/>
      <c r="N266" s="710"/>
      <c r="O266" s="710"/>
      <c r="P266" s="619"/>
    </row>
    <row r="267" spans="2:16" ht="15.75" customHeight="1" x14ac:dyDescent="0.25">
      <c r="B267" s="619"/>
      <c r="C267" s="619"/>
      <c r="D267" s="619"/>
      <c r="E267" s="708"/>
      <c r="F267" s="619"/>
      <c r="G267" s="329"/>
      <c r="H267" s="619"/>
      <c r="I267" s="619"/>
      <c r="J267" s="710"/>
      <c r="K267" s="710"/>
      <c r="L267" s="710"/>
      <c r="M267" s="710"/>
      <c r="N267" s="710"/>
      <c r="O267" s="710"/>
      <c r="P267" s="619"/>
    </row>
    <row r="268" spans="2:16" ht="15.75" customHeight="1" x14ac:dyDescent="0.25">
      <c r="B268" s="619"/>
      <c r="C268" s="619"/>
      <c r="D268" s="619"/>
      <c r="E268" s="708"/>
      <c r="F268" s="619"/>
      <c r="G268" s="329"/>
      <c r="H268" s="619"/>
      <c r="I268" s="619"/>
      <c r="J268" s="710"/>
      <c r="K268" s="710"/>
      <c r="L268" s="710"/>
      <c r="M268" s="710"/>
      <c r="N268" s="710"/>
      <c r="O268" s="710"/>
      <c r="P268" s="619"/>
    </row>
    <row r="269" spans="2:16" ht="15.75" customHeight="1" x14ac:dyDescent="0.25">
      <c r="B269" s="619"/>
      <c r="C269" s="619"/>
      <c r="D269" s="619"/>
      <c r="E269" s="708"/>
      <c r="F269" s="619"/>
      <c r="G269" s="329"/>
      <c r="H269" s="619"/>
      <c r="I269" s="619"/>
      <c r="J269" s="710"/>
      <c r="K269" s="710"/>
      <c r="L269" s="710"/>
      <c r="M269" s="710"/>
      <c r="N269" s="710"/>
      <c r="O269" s="710"/>
      <c r="P269" s="619"/>
    </row>
    <row r="270" spans="2:16" ht="15.75" customHeight="1" x14ac:dyDescent="0.25">
      <c r="B270" s="619"/>
      <c r="C270" s="619"/>
      <c r="D270" s="619"/>
      <c r="E270" s="708"/>
      <c r="F270" s="619"/>
      <c r="G270" s="329"/>
      <c r="H270" s="619"/>
      <c r="I270" s="619"/>
      <c r="J270" s="710"/>
      <c r="K270" s="710"/>
      <c r="L270" s="710"/>
      <c r="M270" s="710"/>
      <c r="N270" s="710"/>
      <c r="O270" s="710"/>
      <c r="P270" s="619"/>
    </row>
    <row r="271" spans="2:16" ht="15.75" customHeight="1" x14ac:dyDescent="0.25">
      <c r="B271" s="619"/>
      <c r="C271" s="619"/>
      <c r="D271" s="619"/>
      <c r="E271" s="708"/>
      <c r="F271" s="619"/>
      <c r="G271" s="329"/>
      <c r="H271" s="619"/>
      <c r="I271" s="619"/>
      <c r="J271" s="710"/>
      <c r="K271" s="710"/>
      <c r="L271" s="710"/>
      <c r="M271" s="710"/>
      <c r="N271" s="710"/>
      <c r="O271" s="710"/>
      <c r="P271" s="619"/>
    </row>
    <row r="272" spans="2:16" ht="15.75" customHeight="1" x14ac:dyDescent="0.25">
      <c r="B272" s="619"/>
      <c r="C272" s="619"/>
      <c r="D272" s="619"/>
      <c r="E272" s="708"/>
      <c r="F272" s="619"/>
      <c r="G272" s="329"/>
      <c r="H272" s="619"/>
      <c r="I272" s="619"/>
      <c r="J272" s="710"/>
      <c r="K272" s="710"/>
      <c r="L272" s="710"/>
      <c r="M272" s="710"/>
      <c r="N272" s="710"/>
      <c r="O272" s="710"/>
      <c r="P272" s="619"/>
    </row>
    <row r="273" spans="2:16" ht="15.75" customHeight="1" x14ac:dyDescent="0.25">
      <c r="B273" s="619"/>
      <c r="C273" s="619"/>
      <c r="D273" s="619"/>
      <c r="E273" s="708"/>
      <c r="F273" s="619"/>
      <c r="G273" s="329"/>
      <c r="H273" s="619"/>
      <c r="I273" s="619"/>
      <c r="J273" s="710"/>
      <c r="K273" s="710"/>
      <c r="L273" s="710"/>
      <c r="M273" s="710"/>
      <c r="N273" s="710"/>
      <c r="O273" s="710"/>
      <c r="P273" s="619"/>
    </row>
    <row r="274" spans="2:16" ht="15.75" customHeight="1" x14ac:dyDescent="0.25">
      <c r="B274" s="619"/>
      <c r="C274" s="619"/>
      <c r="D274" s="619"/>
      <c r="E274" s="708"/>
      <c r="F274" s="619"/>
      <c r="G274" s="329"/>
      <c r="H274" s="619"/>
      <c r="I274" s="619"/>
      <c r="J274" s="710"/>
      <c r="K274" s="710"/>
      <c r="L274" s="710"/>
      <c r="M274" s="710"/>
      <c r="N274" s="710"/>
      <c r="O274" s="710"/>
      <c r="P274" s="619"/>
    </row>
    <row r="275" spans="2:16" ht="15.75" customHeight="1" x14ac:dyDescent="0.25">
      <c r="B275" s="619"/>
      <c r="C275" s="619"/>
      <c r="D275" s="619"/>
      <c r="E275" s="708"/>
      <c r="F275" s="619"/>
      <c r="G275" s="329"/>
      <c r="H275" s="619"/>
      <c r="I275" s="619"/>
      <c r="J275" s="710"/>
      <c r="K275" s="710"/>
      <c r="L275" s="710"/>
      <c r="M275" s="710"/>
      <c r="N275" s="710"/>
      <c r="O275" s="710"/>
      <c r="P275" s="619"/>
    </row>
    <row r="276" spans="2:16" ht="15.75" customHeight="1" x14ac:dyDescent="0.25">
      <c r="B276" s="619"/>
      <c r="C276" s="619"/>
      <c r="D276" s="619"/>
      <c r="E276" s="708"/>
      <c r="F276" s="619"/>
      <c r="G276" s="329"/>
      <c r="H276" s="619"/>
      <c r="I276" s="619"/>
      <c r="J276" s="710"/>
      <c r="K276" s="710"/>
      <c r="L276" s="710"/>
      <c r="M276" s="710"/>
      <c r="N276" s="710"/>
      <c r="O276" s="710"/>
      <c r="P276" s="619"/>
    </row>
    <row r="277" spans="2:16" ht="15.75" customHeight="1" x14ac:dyDescent="0.25">
      <c r="B277" s="619"/>
      <c r="C277" s="619"/>
      <c r="D277" s="619"/>
      <c r="E277" s="708"/>
      <c r="F277" s="619"/>
      <c r="G277" s="329"/>
      <c r="H277" s="619"/>
      <c r="I277" s="619"/>
      <c r="J277" s="710"/>
      <c r="K277" s="710"/>
      <c r="L277" s="710"/>
      <c r="M277" s="710"/>
      <c r="N277" s="710"/>
      <c r="O277" s="710"/>
      <c r="P277" s="619"/>
    </row>
    <row r="278" spans="2:16" ht="15.75" customHeight="1" x14ac:dyDescent="0.25">
      <c r="B278" s="619"/>
      <c r="C278" s="619"/>
      <c r="D278" s="619"/>
      <c r="E278" s="708"/>
      <c r="F278" s="619"/>
      <c r="G278" s="329"/>
      <c r="H278" s="619"/>
      <c r="I278" s="619"/>
      <c r="J278" s="710"/>
      <c r="K278" s="710"/>
      <c r="L278" s="710"/>
      <c r="M278" s="710"/>
      <c r="N278" s="710"/>
      <c r="O278" s="710"/>
      <c r="P278" s="619"/>
    </row>
    <row r="279" spans="2:16" ht="15.75" customHeight="1" x14ac:dyDescent="0.25">
      <c r="B279" s="619"/>
      <c r="C279" s="619"/>
      <c r="D279" s="619"/>
      <c r="E279" s="708"/>
      <c r="F279" s="619"/>
      <c r="G279" s="329"/>
      <c r="H279" s="619"/>
      <c r="I279" s="619"/>
      <c r="J279" s="710"/>
      <c r="K279" s="710"/>
      <c r="L279" s="710"/>
      <c r="M279" s="710"/>
      <c r="N279" s="710"/>
      <c r="O279" s="710"/>
      <c r="P279" s="619"/>
    </row>
    <row r="280" spans="2:16" ht="15.75" customHeight="1" x14ac:dyDescent="0.25">
      <c r="B280" s="619"/>
      <c r="C280" s="619"/>
      <c r="D280" s="619"/>
      <c r="E280" s="708"/>
      <c r="F280" s="619"/>
      <c r="G280" s="329"/>
      <c r="H280" s="619"/>
      <c r="I280" s="619"/>
      <c r="J280" s="710"/>
      <c r="K280" s="710"/>
      <c r="L280" s="710"/>
      <c r="M280" s="710"/>
      <c r="N280" s="710"/>
      <c r="O280" s="710"/>
      <c r="P280" s="619"/>
    </row>
    <row r="281" spans="2:16" ht="15.75" customHeight="1" x14ac:dyDescent="0.25">
      <c r="B281" s="619"/>
      <c r="C281" s="619"/>
      <c r="D281" s="619"/>
      <c r="E281" s="708"/>
      <c r="F281" s="619"/>
      <c r="G281" s="329"/>
      <c r="H281" s="619"/>
      <c r="I281" s="619"/>
      <c r="J281" s="710"/>
      <c r="K281" s="710"/>
      <c r="L281" s="710"/>
      <c r="M281" s="710"/>
      <c r="N281" s="710"/>
      <c r="O281" s="710"/>
      <c r="P281" s="619"/>
    </row>
    <row r="282" spans="2:16" ht="15.75" customHeight="1" x14ac:dyDescent="0.25">
      <c r="B282" s="619"/>
      <c r="C282" s="619"/>
      <c r="D282" s="619"/>
      <c r="E282" s="708"/>
      <c r="F282" s="619"/>
      <c r="G282" s="329"/>
      <c r="H282" s="619"/>
      <c r="I282" s="619"/>
      <c r="J282" s="710"/>
      <c r="K282" s="710"/>
      <c r="L282" s="710"/>
      <c r="M282" s="710"/>
      <c r="N282" s="710"/>
      <c r="O282" s="710"/>
      <c r="P282" s="619"/>
    </row>
    <row r="283" spans="2:16" ht="15.75" customHeight="1" x14ac:dyDescent="0.25">
      <c r="B283" s="619"/>
      <c r="C283" s="619"/>
      <c r="D283" s="619"/>
      <c r="E283" s="708"/>
      <c r="F283" s="619"/>
      <c r="G283" s="329"/>
      <c r="H283" s="619"/>
      <c r="I283" s="619"/>
      <c r="J283" s="710"/>
      <c r="K283" s="710"/>
      <c r="L283" s="710"/>
      <c r="M283" s="710"/>
      <c r="N283" s="710"/>
      <c r="O283" s="710"/>
      <c r="P283" s="619"/>
    </row>
    <row r="284" spans="2:16" ht="15.75" customHeight="1" x14ac:dyDescent="0.25">
      <c r="B284" s="619"/>
      <c r="C284" s="619"/>
      <c r="D284" s="619"/>
      <c r="E284" s="708"/>
      <c r="F284" s="619"/>
      <c r="G284" s="329"/>
      <c r="H284" s="619"/>
      <c r="I284" s="619"/>
      <c r="J284" s="710"/>
      <c r="K284" s="710"/>
      <c r="L284" s="710"/>
      <c r="M284" s="710"/>
      <c r="N284" s="710"/>
      <c r="O284" s="710"/>
      <c r="P284" s="619"/>
    </row>
    <row r="285" spans="2:16" ht="15.75" customHeight="1" x14ac:dyDescent="0.25">
      <c r="B285" s="619"/>
      <c r="C285" s="619"/>
      <c r="D285" s="619"/>
      <c r="E285" s="708"/>
      <c r="F285" s="619"/>
      <c r="G285" s="329"/>
      <c r="H285" s="619"/>
      <c r="I285" s="619"/>
      <c r="J285" s="710"/>
      <c r="K285" s="710"/>
      <c r="L285" s="710"/>
      <c r="M285" s="710"/>
      <c r="N285" s="710"/>
      <c r="O285" s="710"/>
      <c r="P285" s="619"/>
    </row>
    <row r="286" spans="2:16" ht="15.75" customHeight="1" x14ac:dyDescent="0.25">
      <c r="B286" s="619"/>
      <c r="C286" s="619"/>
      <c r="D286" s="619"/>
      <c r="E286" s="708"/>
      <c r="F286" s="619"/>
      <c r="G286" s="329"/>
      <c r="H286" s="619"/>
      <c r="I286" s="619"/>
      <c r="J286" s="710"/>
      <c r="K286" s="710"/>
      <c r="L286" s="710"/>
      <c r="M286" s="710"/>
      <c r="N286" s="710"/>
      <c r="O286" s="710"/>
      <c r="P286" s="619"/>
    </row>
    <row r="287" spans="2:16" ht="15.75" customHeight="1" x14ac:dyDescent="0.25">
      <c r="B287" s="619"/>
      <c r="C287" s="619"/>
      <c r="D287" s="619"/>
      <c r="E287" s="708"/>
      <c r="F287" s="619"/>
      <c r="G287" s="329"/>
      <c r="H287" s="619"/>
      <c r="I287" s="619"/>
      <c r="J287" s="710"/>
      <c r="K287" s="710"/>
      <c r="L287" s="710"/>
      <c r="M287" s="710"/>
      <c r="N287" s="710"/>
      <c r="O287" s="710"/>
      <c r="P287" s="619"/>
    </row>
    <row r="288" spans="2:16" ht="15.75" customHeight="1" x14ac:dyDescent="0.25">
      <c r="B288" s="619"/>
      <c r="C288" s="619"/>
      <c r="D288" s="619"/>
      <c r="E288" s="708"/>
      <c r="F288" s="619"/>
      <c r="G288" s="329"/>
      <c r="H288" s="619"/>
      <c r="I288" s="619"/>
      <c r="J288" s="710"/>
      <c r="K288" s="710"/>
      <c r="L288" s="710"/>
      <c r="M288" s="710"/>
      <c r="N288" s="710"/>
      <c r="O288" s="710"/>
      <c r="P288" s="619"/>
    </row>
    <row r="289" spans="2:16" ht="15.75" customHeight="1" x14ac:dyDescent="0.25">
      <c r="B289" s="619"/>
      <c r="C289" s="619"/>
      <c r="D289" s="619"/>
      <c r="E289" s="708"/>
      <c r="F289" s="619"/>
      <c r="G289" s="329"/>
      <c r="H289" s="619"/>
      <c r="I289" s="619"/>
      <c r="J289" s="710"/>
      <c r="K289" s="710"/>
      <c r="L289" s="710"/>
      <c r="M289" s="710"/>
      <c r="N289" s="710"/>
      <c r="O289" s="710"/>
      <c r="P289" s="619"/>
    </row>
    <row r="290" spans="2:16" ht="15.75" customHeight="1" x14ac:dyDescent="0.25">
      <c r="B290" s="619"/>
      <c r="C290" s="619"/>
      <c r="D290" s="619"/>
      <c r="E290" s="708"/>
      <c r="F290" s="619"/>
      <c r="G290" s="329"/>
      <c r="H290" s="619"/>
      <c r="I290" s="619"/>
      <c r="J290" s="710"/>
      <c r="K290" s="710"/>
      <c r="L290" s="710"/>
      <c r="M290" s="710"/>
      <c r="N290" s="710"/>
      <c r="O290" s="710"/>
      <c r="P290" s="619"/>
    </row>
    <row r="291" spans="2:16" ht="15.75" customHeight="1" x14ac:dyDescent="0.25">
      <c r="B291" s="619"/>
      <c r="C291" s="619"/>
      <c r="D291" s="619"/>
      <c r="E291" s="708"/>
      <c r="F291" s="619"/>
      <c r="G291" s="329"/>
      <c r="H291" s="619"/>
      <c r="I291" s="619"/>
      <c r="J291" s="710"/>
      <c r="K291" s="710"/>
      <c r="L291" s="710"/>
      <c r="M291" s="710"/>
      <c r="N291" s="710"/>
      <c r="O291" s="710"/>
      <c r="P291" s="619"/>
    </row>
    <row r="292" spans="2:16" ht="15.75" customHeight="1" x14ac:dyDescent="0.25">
      <c r="B292" s="619"/>
      <c r="C292" s="619"/>
      <c r="D292" s="619"/>
      <c r="E292" s="708"/>
      <c r="F292" s="619"/>
      <c r="G292" s="329"/>
      <c r="H292" s="619"/>
      <c r="I292" s="619"/>
      <c r="J292" s="710"/>
      <c r="K292" s="710"/>
      <c r="L292" s="710"/>
      <c r="M292" s="710"/>
      <c r="N292" s="710"/>
      <c r="O292" s="710"/>
      <c r="P292" s="619"/>
    </row>
    <row r="293" spans="2:16" ht="15.75" customHeight="1" x14ac:dyDescent="0.25">
      <c r="B293" s="619"/>
      <c r="C293" s="619"/>
      <c r="D293" s="619"/>
      <c r="E293" s="708"/>
      <c r="F293" s="619"/>
      <c r="G293" s="329"/>
      <c r="H293" s="619"/>
      <c r="I293" s="619"/>
      <c r="J293" s="710"/>
      <c r="K293" s="710"/>
      <c r="L293" s="710"/>
      <c r="M293" s="710"/>
      <c r="N293" s="710"/>
      <c r="O293" s="710"/>
      <c r="P293" s="619"/>
    </row>
    <row r="294" spans="2:16" ht="15.75" customHeight="1" x14ac:dyDescent="0.25">
      <c r="B294" s="619"/>
      <c r="C294" s="619"/>
      <c r="D294" s="619"/>
      <c r="E294" s="708"/>
      <c r="F294" s="619"/>
      <c r="G294" s="329"/>
      <c r="H294" s="619"/>
      <c r="I294" s="619"/>
      <c r="J294" s="710"/>
      <c r="K294" s="710"/>
      <c r="L294" s="710"/>
      <c r="M294" s="710"/>
      <c r="N294" s="710"/>
      <c r="O294" s="710"/>
      <c r="P294" s="619"/>
    </row>
    <row r="295" spans="2:16" ht="15.75" customHeight="1" x14ac:dyDescent="0.25">
      <c r="B295" s="619"/>
      <c r="C295" s="619"/>
      <c r="D295" s="619"/>
      <c r="E295" s="708"/>
      <c r="F295" s="619"/>
      <c r="G295" s="329"/>
      <c r="H295" s="619"/>
      <c r="I295" s="619"/>
      <c r="J295" s="710"/>
      <c r="K295" s="710"/>
      <c r="L295" s="710"/>
      <c r="M295" s="710"/>
      <c r="N295" s="710"/>
      <c r="O295" s="710"/>
      <c r="P295" s="619"/>
    </row>
    <row r="296" spans="2:16" ht="15.75" customHeight="1" x14ac:dyDescent="0.25">
      <c r="B296" s="619"/>
      <c r="C296" s="619"/>
      <c r="D296" s="619"/>
      <c r="E296" s="708"/>
      <c r="F296" s="619"/>
      <c r="G296" s="329"/>
      <c r="H296" s="619"/>
      <c r="I296" s="619"/>
      <c r="J296" s="710"/>
      <c r="K296" s="710"/>
      <c r="L296" s="710"/>
      <c r="M296" s="710"/>
      <c r="N296" s="710"/>
      <c r="O296" s="710"/>
      <c r="P296" s="619"/>
    </row>
    <row r="297" spans="2:16" ht="15.75" customHeight="1" x14ac:dyDescent="0.25">
      <c r="B297" s="619"/>
      <c r="C297" s="619"/>
      <c r="D297" s="619"/>
      <c r="E297" s="708"/>
      <c r="F297" s="619"/>
      <c r="G297" s="329"/>
      <c r="H297" s="619"/>
      <c r="I297" s="619"/>
      <c r="J297" s="710"/>
      <c r="K297" s="710"/>
      <c r="L297" s="710"/>
      <c r="M297" s="710"/>
      <c r="N297" s="710"/>
      <c r="O297" s="710"/>
      <c r="P297" s="619"/>
    </row>
    <row r="298" spans="2:16" ht="15.75" customHeight="1" x14ac:dyDescent="0.25">
      <c r="B298" s="619"/>
      <c r="C298" s="619"/>
      <c r="D298" s="619"/>
      <c r="E298" s="708"/>
      <c r="F298" s="619"/>
      <c r="G298" s="329"/>
      <c r="H298" s="619"/>
      <c r="I298" s="619"/>
      <c r="J298" s="710"/>
      <c r="K298" s="710"/>
      <c r="L298" s="710"/>
      <c r="M298" s="710"/>
      <c r="N298" s="710"/>
      <c r="O298" s="710"/>
      <c r="P298" s="619"/>
    </row>
    <row r="299" spans="2:16" ht="15.75" customHeight="1" x14ac:dyDescent="0.25">
      <c r="B299" s="619"/>
      <c r="C299" s="619"/>
      <c r="D299" s="619"/>
      <c r="E299" s="708"/>
      <c r="F299" s="619"/>
      <c r="G299" s="329"/>
      <c r="H299" s="619"/>
      <c r="I299" s="619"/>
      <c r="J299" s="710"/>
      <c r="K299" s="710"/>
      <c r="L299" s="710"/>
      <c r="M299" s="710"/>
      <c r="N299" s="710"/>
      <c r="O299" s="710"/>
      <c r="P299" s="619"/>
    </row>
    <row r="300" spans="2:16" ht="15.75" customHeight="1" x14ac:dyDescent="0.25">
      <c r="B300" s="619"/>
      <c r="C300" s="619"/>
      <c r="D300" s="619"/>
      <c r="E300" s="708"/>
      <c r="F300" s="619"/>
      <c r="G300" s="329"/>
      <c r="H300" s="619"/>
      <c r="I300" s="619"/>
      <c r="J300" s="710"/>
      <c r="K300" s="710"/>
      <c r="L300" s="710"/>
      <c r="M300" s="710"/>
      <c r="N300" s="710"/>
      <c r="O300" s="710"/>
      <c r="P300" s="619"/>
    </row>
    <row r="301" spans="2:16" ht="15.75" customHeight="1" x14ac:dyDescent="0.25">
      <c r="B301" s="619"/>
      <c r="C301" s="619"/>
      <c r="D301" s="619"/>
      <c r="E301" s="708"/>
      <c r="F301" s="619"/>
      <c r="G301" s="329"/>
      <c r="H301" s="619"/>
      <c r="I301" s="619"/>
      <c r="J301" s="710"/>
      <c r="K301" s="710"/>
      <c r="L301" s="710"/>
      <c r="M301" s="710"/>
      <c r="N301" s="710"/>
      <c r="O301" s="710"/>
      <c r="P301" s="619"/>
    </row>
    <row r="302" spans="2:16" ht="15.75" customHeight="1" x14ac:dyDescent="0.25">
      <c r="B302" s="619"/>
      <c r="C302" s="619"/>
      <c r="D302" s="619"/>
      <c r="E302" s="708"/>
      <c r="F302" s="619"/>
      <c r="G302" s="329"/>
      <c r="H302" s="619"/>
      <c r="I302" s="619"/>
      <c r="J302" s="710"/>
      <c r="K302" s="710"/>
      <c r="L302" s="710"/>
      <c r="M302" s="710"/>
      <c r="N302" s="710"/>
      <c r="O302" s="710"/>
      <c r="P302" s="619"/>
    </row>
    <row r="303" spans="2:16" ht="15.75" customHeight="1" x14ac:dyDescent="0.25">
      <c r="B303" s="619"/>
      <c r="C303" s="619"/>
      <c r="D303" s="619"/>
      <c r="E303" s="708"/>
      <c r="F303" s="619"/>
      <c r="G303" s="329"/>
      <c r="H303" s="619"/>
      <c r="I303" s="619"/>
      <c r="J303" s="710"/>
      <c r="K303" s="710"/>
      <c r="L303" s="710"/>
      <c r="M303" s="710"/>
      <c r="N303" s="710"/>
      <c r="O303" s="710"/>
      <c r="P303" s="619"/>
    </row>
    <row r="304" spans="2:16" ht="15.75" customHeight="1" x14ac:dyDescent="0.25">
      <c r="B304" s="619"/>
      <c r="C304" s="619"/>
      <c r="D304" s="619"/>
      <c r="E304" s="708"/>
      <c r="F304" s="619"/>
      <c r="G304" s="329"/>
      <c r="H304" s="619"/>
      <c r="I304" s="619"/>
      <c r="J304" s="710"/>
      <c r="K304" s="710"/>
      <c r="L304" s="710"/>
      <c r="M304" s="710"/>
      <c r="N304" s="710"/>
      <c r="O304" s="710"/>
      <c r="P304" s="619"/>
    </row>
    <row r="305" spans="2:16" ht="15.75" customHeight="1" x14ac:dyDescent="0.25">
      <c r="B305" s="619"/>
      <c r="C305" s="619"/>
      <c r="D305" s="619"/>
      <c r="E305" s="708"/>
      <c r="F305" s="619"/>
      <c r="G305" s="329"/>
      <c r="H305" s="619"/>
      <c r="I305" s="619"/>
      <c r="J305" s="710"/>
      <c r="K305" s="710"/>
      <c r="L305" s="710"/>
      <c r="M305" s="710"/>
      <c r="N305" s="710"/>
      <c r="O305" s="710"/>
      <c r="P305" s="619"/>
    </row>
  </sheetData>
  <sheetProtection algorithmName="SHA-512" hashValue="iP+5GDOYtzvgXCLmh/duV7t3eojJNTkCNhgaL/uHEMBsQhFZqCmIjZBr7icEH1/oeyibt0Iu/SgzZRS5Fq+klA==" saltValue="yW5OtJtC/hcgrfmEk8ePOQ==" spinCount="100000" sheet="1" objects="1" scenarios="1"/>
  <mergeCells count="56">
    <mergeCell ref="E1:M1"/>
    <mergeCell ref="D3:D4"/>
    <mergeCell ref="E3:E4"/>
    <mergeCell ref="F3:F4"/>
    <mergeCell ref="G3:G4"/>
    <mergeCell ref="H3:H4"/>
    <mergeCell ref="I3:I4"/>
    <mergeCell ref="B2:E2"/>
    <mergeCell ref="F2:M2"/>
    <mergeCell ref="J3:J4"/>
    <mergeCell ref="A1:D1"/>
    <mergeCell ref="A3:C4"/>
    <mergeCell ref="B25:C25"/>
    <mergeCell ref="B26:C26"/>
    <mergeCell ref="P2:Q2"/>
    <mergeCell ref="A5:D5"/>
    <mergeCell ref="A22:D22"/>
    <mergeCell ref="C10:D10"/>
    <mergeCell ref="C14:D14"/>
    <mergeCell ref="C18:D18"/>
    <mergeCell ref="B7:C7"/>
    <mergeCell ref="N2:O2"/>
    <mergeCell ref="N3:O4"/>
    <mergeCell ref="N7:O7"/>
    <mergeCell ref="N8:O8"/>
    <mergeCell ref="N9:O9"/>
    <mergeCell ref="N11:O11"/>
    <mergeCell ref="N12:O12"/>
    <mergeCell ref="B28:E28"/>
    <mergeCell ref="K3:K4"/>
    <mergeCell ref="L3:L4"/>
    <mergeCell ref="M3:M4"/>
    <mergeCell ref="C6:D6"/>
    <mergeCell ref="B27:C27"/>
    <mergeCell ref="B8:C8"/>
    <mergeCell ref="B9:C9"/>
    <mergeCell ref="B11:C11"/>
    <mergeCell ref="B15:C15"/>
    <mergeCell ref="B16:C16"/>
    <mergeCell ref="B13:C13"/>
    <mergeCell ref="B17:C17"/>
    <mergeCell ref="B12:C12"/>
    <mergeCell ref="B23:C23"/>
    <mergeCell ref="B24:C24"/>
    <mergeCell ref="N13:O13"/>
    <mergeCell ref="N15:O15"/>
    <mergeCell ref="N16:O16"/>
    <mergeCell ref="N17:O17"/>
    <mergeCell ref="N19:O19"/>
    <mergeCell ref="N26:O26"/>
    <mergeCell ref="N27:O27"/>
    <mergeCell ref="N20:O20"/>
    <mergeCell ref="N21:O21"/>
    <mergeCell ref="N23:O23"/>
    <mergeCell ref="N24:O24"/>
    <mergeCell ref="N25:O25"/>
  </mergeCells>
  <conditionalFormatting sqref="L5:L30">
    <cfRule type="expression" dxfId="83" priority="45">
      <formula>I5=1</formula>
    </cfRule>
  </conditionalFormatting>
  <conditionalFormatting sqref="J6:J30">
    <cfRule type="cellIs" dxfId="82" priority="43" operator="lessThan">
      <formula>0</formula>
    </cfRule>
  </conditionalFormatting>
  <conditionalFormatting sqref="P5:P30">
    <cfRule type="containsText" dxfId="81" priority="38" operator="containsText" text="Expired">
      <formula>NOT(ISERROR(SEARCH("Expired",P5)))</formula>
    </cfRule>
    <cfRule type="containsText" dxfId="80" priority="39" operator="containsText" text="B1">
      <formula>NOT(ISERROR(SEARCH("B1",P5)))</formula>
    </cfRule>
    <cfRule type="containsText" dxfId="79" priority="40" operator="containsText" text="LCA">
      <formula>NOT(ISERROR(SEARCH("LCA",P5)))</formula>
    </cfRule>
    <cfRule type="containsText" dxfId="78" priority="41" operator="containsText" text="ICE">
      <formula>NOT(ISERROR(SEARCH("ICE",P5)))</formula>
    </cfRule>
    <cfRule type="containsText" dxfId="77" priority="42" operator="containsText" text="No">
      <formula>NOT(ISERROR(SEARCH("No",P5)))</formula>
    </cfRule>
    <cfRule type="containsText" dxfId="76" priority="55" operator="containsText" text="None">
      <formula>NOT(ISERROR(SEARCH("None",P5)))</formula>
    </cfRule>
    <cfRule type="containsText" dxfId="75" priority="56" operator="containsText" text="A1-">
      <formula>NOT(ISERROR(SEARCH("A1-",P5)))</formula>
    </cfRule>
  </conditionalFormatting>
  <conditionalFormatting sqref="Q4">
    <cfRule type="cellIs" dxfId="74" priority="2" operator="greaterThan">
      <formula>0</formula>
    </cfRule>
    <cfRule type="cellIs" dxfId="73" priority="3" operator="equal">
      <formula>0</formula>
    </cfRule>
  </conditionalFormatting>
  <conditionalFormatting sqref="P4">
    <cfRule type="expression" dxfId="72" priority="1">
      <formula>COUNTIF($I:$I, 1)&gt;0</formula>
    </cfRule>
  </conditionalFormatting>
  <conditionalFormatting sqref="M5:M22">
    <cfRule type="cellIs" dxfId="71" priority="35" operator="greaterThan">
      <formula>0</formula>
    </cfRule>
    <cfRule type="cellIs" dxfId="70" priority="36" operator="equal">
      <formula>0</formula>
    </cfRule>
  </conditionalFormatting>
  <dataValidations disablePrompts="1" count="2">
    <dataValidation type="whole" errorStyle="warning" operator="equal" allowBlank="1" showErrorMessage="1" errorTitle="Enter 1 to select" error="Options:_x000a_To select item, enter '1'_x000a_To unselect, leave cell empty" sqref="I23:I27 I6:I21" xr:uid="{00000000-0002-0000-1400-000000000000}">
      <formula1>1</formula1>
    </dataValidation>
    <dataValidation type="list" allowBlank="1" showInputMessage="1" showErrorMessage="1" sqref="A7:A9 A11:A13 A15:A17 A19:A21" xr:uid="{00000000-0002-0000-1400-000001000000}">
      <formula1>rng_component_sheets</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extLst>
    <ext xmlns:x14="http://schemas.microsoft.com/office/spreadsheetml/2009/9/main" uri="{CCE6A557-97BC-4b89-ADB6-D9C93CAAB3DF}">
      <x14:dataValidations xmlns:xm="http://schemas.microsoft.com/office/excel/2006/main" disablePrompts="1" count="5">
        <x14:dataValidation type="list" allowBlank="1" showInputMessage="1" showErrorMessage="1" xr:uid="{00000000-0002-0000-1400-000005000000}">
          <x14:formula1>
            <xm:f>Data!$N$16:$N$29</xm:f>
          </x14:formula1>
          <xm:sqref>B23:C27</xm:sqref>
        </x14:dataValidation>
        <x14:dataValidation type="list" allowBlank="1" showInputMessage="1" showErrorMessage="1" xr:uid="{00000000-0002-0000-1400-000002000000}">
          <x14:formula1>
            <xm:f>'Dropdown Lists'!$E$2:$E$144</xm:f>
          </x14:formula1>
          <xm:sqref>D7:D9</xm:sqref>
        </x14:dataValidation>
        <x14:dataValidation type="list" allowBlank="1" showErrorMessage="1" xr:uid="{00000000-0002-0000-1400-000003000000}">
          <x14:formula1>
            <xm:f>'Dropdown Lists'!$G$2:$G$32</xm:f>
          </x14:formula1>
          <xm:sqref>D15:D17</xm:sqref>
        </x14:dataValidation>
        <x14:dataValidation type="list" allowBlank="1" showInputMessage="1" showErrorMessage="1" prompt="Select insulation from dropdown, enter R-value (left,imperial units) and surface area (right, square metres)" xr:uid="{00000000-0002-0000-1400-000006000000}">
          <x14:formula1>
            <xm:f>'Dropdown Lists'!$H$2:$H$98</xm:f>
          </x14:formula1>
          <xm:sqref>D19:D21</xm:sqref>
        </x14:dataValidation>
        <x14:dataValidation type="list" allowBlank="1" showErrorMessage="1" xr:uid="{00000000-0002-0000-1400-000004000000}">
          <x14:formula1>
            <xm:f>'Dropdown Lists'!$F$2:$F$161</xm:f>
          </x14:formula1>
          <xm:sqref>D11:D13</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8">
    <tabColor theme="7"/>
  </sheetPr>
  <dimension ref="A1:J300"/>
  <sheetViews>
    <sheetView zoomScale="80" zoomScaleNormal="80" workbookViewId="0">
      <pane ySplit="2" topLeftCell="A3" activePane="bottomLeft" state="frozen"/>
      <selection activeCell="K14" sqref="K14"/>
      <selection pane="bottomLeft" activeCell="A3" sqref="A3"/>
    </sheetView>
  </sheetViews>
  <sheetFormatPr defaultColWidth="8.81640625" defaultRowHeight="15.6" x14ac:dyDescent="0.3"/>
  <cols>
    <col min="1" max="1" width="22.453125" style="883" customWidth="1"/>
    <col min="2" max="2" width="45.1796875" style="786" customWidth="1"/>
    <col min="3" max="3" width="66.54296875" style="884" customWidth="1"/>
    <col min="4" max="4" width="16" style="885" hidden="1" customWidth="1"/>
    <col min="5" max="6" width="16" style="886" customWidth="1"/>
    <col min="7" max="7" width="16" style="886" hidden="1" customWidth="1"/>
    <col min="8" max="8" width="10.6328125" style="624" customWidth="1"/>
    <col min="9" max="16384" width="8.81640625" style="619"/>
  </cols>
  <sheetData>
    <row r="1" spans="1:10" ht="79.5" customHeight="1" x14ac:dyDescent="0.25">
      <c r="A1" s="1667" t="s">
        <v>1106</v>
      </c>
      <c r="B1" s="1668"/>
      <c r="C1" s="46" t="s">
        <v>1105</v>
      </c>
      <c r="D1" s="47">
        <f>SUM($D$3:$D$499)</f>
        <v>0</v>
      </c>
      <c r="E1" s="48">
        <f>SUM($E$3:$E$499)</f>
        <v>0</v>
      </c>
      <c r="F1" s="422">
        <f>SUM($F$3:$F$499)</f>
        <v>0</v>
      </c>
      <c r="G1" s="375">
        <f>SUM($G$3:$G$499)</f>
        <v>0</v>
      </c>
      <c r="H1" s="879"/>
      <c r="I1" s="880"/>
    </row>
    <row r="2" spans="1:10" s="881" customFormat="1" ht="74.099999999999994" customHeight="1" x14ac:dyDescent="0.3">
      <c r="A2" s="218" t="s">
        <v>1104</v>
      </c>
      <c r="B2" s="218" t="s">
        <v>1031</v>
      </c>
      <c r="C2" s="218" t="s">
        <v>13</v>
      </c>
      <c r="D2" s="217" t="s">
        <v>1232</v>
      </c>
      <c r="E2" s="217" t="s">
        <v>1233</v>
      </c>
      <c r="F2" s="217" t="s">
        <v>7161</v>
      </c>
      <c r="G2" s="217" t="s">
        <v>4082</v>
      </c>
      <c r="H2" s="217" t="s">
        <v>4049</v>
      </c>
    </row>
    <row r="3" spans="1:10" ht="45.75" customHeight="1" x14ac:dyDescent="0.3">
      <c r="A3" s="108" t="str">
        <f>IFERROR(INDEX(Data!A$3:A$635,MATCH(IF(B3="","END",B3),Data!$B$3:$B$635,0)),"")</f>
        <v/>
      </c>
      <c r="B3" s="108" t="str" cm="1">
        <f t="array" ref="B3">INDEX(Data!B$3:B$635,MATCH(SMALL(IFERROR(SEARCH(,Data!B$3:B$635),10^9)+ROW(Data!B$3:B$635)/1000,ROWS(B$3:B3)),IFERROR(SEARCH(,Data!B$3:B$635),10^9)+ROW(Data!B$3:B$635)/1000,0))</f>
        <v/>
      </c>
      <c r="C3" s="317" t="str" cm="1">
        <f t="array" ref="C3">INDEX(Data!C$3:C$635,MATCH(SMALL(IFERROR(SEARCH(,Data!C$3:C$635),10^9)+ROW(Data!C$3:C$635)/1000,ROWS(C$3:C3)),IFERROR(SEARCH(,Data!C$3:C$635),10^9)+ROW(Data!C$3:C$635)/1000,0))</f>
        <v/>
      </c>
      <c r="D3" s="111" t="str">
        <f>IFERROR(E3-F3,"")</f>
        <v/>
      </c>
      <c r="E3" s="111" t="str" cm="1">
        <f t="array" ref="E3">INDEX(Data!E$3:E$635,MATCH(SMALL(IFERROR(SEARCH(,Data!E$3:E$635),10^9)+ROW(Data!E$3:E$635)/1000,ROWS(E$3:E3)),IFERROR(SEARCH(,Data!E$3:E$635),10^9)+ROW(Data!E$3:E$635)/1000,0))</f>
        <v/>
      </c>
      <c r="F3" s="111" t="str" cm="1">
        <f t="array" ref="F3">INDEX(Data!F$3:F$635,MATCH(SMALL(IFERROR(SEARCH(,Data!F$3:F$635),10^9)+ROW(Data!F$3:F$635)/1000,ROWS(F$3:F3)),IFERROR(SEARCH(,Data!F$3:F$635),10^9)+ROW(Data!F$3:F$635)/1000,0))</f>
        <v/>
      </c>
      <c r="G3" s="111" t="str" cm="1">
        <f t="array" ref="G3">INDEX(Data!G$3:G$635,MATCH(SMALL(IFERROR(SEARCH(,Data!G$3:G$635),10^9)+ROW(Data!G$3:G$635)/1000,ROWS(G$3:G3)),IFERROR(SEARCH(,Data!G$3:G$635),10^9)+ROW(Data!G$3:G$635)/1000,0))</f>
        <v/>
      </c>
      <c r="H3" s="623" t="str" cm="1">
        <f t="array" ref="H3">INDEX(Data!I$3:I$635,MATCH(SMALL(IFERROR(SEARCH(,Data!I$3:I$635),10^9)+ROW(Data!I$3:I$635)/1000,ROWS(H$3:H3)),IFERROR(SEARCH(,Data!I$3:I$635),10^9)+ROW(Data!I$3:I$635)/1000,0))</f>
        <v/>
      </c>
      <c r="I3" s="706"/>
      <c r="J3" s="706" t="s">
        <v>4901</v>
      </c>
    </row>
    <row r="4" spans="1:10" ht="45.75" customHeight="1" x14ac:dyDescent="0.3">
      <c r="A4" s="108" t="str">
        <f>IFERROR(INDEX(Data!A$3:A$635,MATCH(IF(B4="","END",B4),Data!$B$3:$B$635,0)),"")</f>
        <v/>
      </c>
      <c r="B4" s="108" t="str" cm="1">
        <f t="array" ref="B4">INDEX(Data!B$3:B$635,MATCH(SMALL(IFERROR(SEARCH(,Data!B$3:B$635),10^9)+ROW(Data!B$3:B$635)/1000,ROWS(B$3:B4)),IFERROR(SEARCH(,Data!B$3:B$635),10^9)+ROW(Data!B$3:B$635)/1000,0))</f>
        <v/>
      </c>
      <c r="C4" s="317" t="str" cm="1">
        <f t="array" ref="C4">INDEX(Data!C$3:C$635,MATCH(SMALL(IFERROR(SEARCH(,Data!C$3:C$635),10^9)+ROW(Data!C$3:C$635)/1000,ROWS(C$3:C4)),IFERROR(SEARCH(,Data!C$3:C$635),10^9)+ROW(Data!C$3:C$635)/1000,0))</f>
        <v/>
      </c>
      <c r="D4" s="111" t="str">
        <f t="shared" ref="D4:D67" si="0">IFERROR(E4-F4,"")</f>
        <v/>
      </c>
      <c r="E4" s="111" t="str" cm="1">
        <f t="array" ref="E4">INDEX(Data!E$3:E$635,MATCH(SMALL(IFERROR(SEARCH(,Data!E$3:E$635),10^9)+ROW(Data!E$3:E$635)/1000,ROWS(E$3:E4)),IFERROR(SEARCH(,Data!E$3:E$635),10^9)+ROW(Data!E$3:E$635)/1000,0))</f>
        <v/>
      </c>
      <c r="F4" s="111" t="str" cm="1">
        <f t="array" ref="F4">INDEX(Data!F$3:F$635,MATCH(SMALL(IFERROR(SEARCH(,Data!F$3:F$635),10^9)+ROW(Data!F$3:F$635)/1000,ROWS(F$3:F4)),IFERROR(SEARCH(,Data!F$3:F$635),10^9)+ROW(Data!F$3:F$635)/1000,0))</f>
        <v/>
      </c>
      <c r="G4" s="111" t="str" cm="1">
        <f t="array" ref="G4">INDEX(Data!G$3:G$635,MATCH(SMALL(IFERROR(SEARCH(,Data!G$3:G$635),10^9)+ROW(Data!G$3:G$635)/1000,ROWS(G$3:G4)),IFERROR(SEARCH(,Data!G$3:G$635),10^9)+ROW(Data!G$3:G$635)/1000,0))</f>
        <v/>
      </c>
      <c r="H4" s="623" t="str" cm="1">
        <f t="array" ref="H4">INDEX(Data!I$3:I$635,MATCH(SMALL(IFERROR(SEARCH(,Data!I$3:I$635),10^9)+ROW(Data!I$3:I$635)/1000,ROWS(H$3:H4)),IFERROR(SEARCH(,Data!I$3:I$635),10^9)+ROW(Data!I$3:I$635)/1000,0))</f>
        <v/>
      </c>
      <c r="I4" s="706"/>
      <c r="J4" s="706" t="s">
        <v>4900</v>
      </c>
    </row>
    <row r="5" spans="1:10" ht="45.75" customHeight="1" x14ac:dyDescent="0.35">
      <c r="A5" s="108" t="str">
        <f>IFERROR(INDEX(Data!A$3:A$635,MATCH(IF(B5="","END",B5),Data!$B$3:$B$635,0)),"")</f>
        <v/>
      </c>
      <c r="B5" s="108" t="str" cm="1">
        <f t="array" ref="B5">INDEX(Data!B$3:B$635,MATCH(SMALL(IFERROR(SEARCH(,Data!B$3:B$635),10^9)+ROW(Data!B$3:B$635)/1000,ROWS(B$3:B5)),IFERROR(SEARCH(,Data!B$3:B$635),10^9)+ROW(Data!B$3:B$635)/1000,0))</f>
        <v/>
      </c>
      <c r="C5" s="317" t="str" cm="1">
        <f t="array" ref="C5">INDEX(Data!C$3:C$635,MATCH(SMALL(IFERROR(SEARCH(,Data!C$3:C$635),10^9)+ROW(Data!C$3:C$635)/1000,ROWS(C$3:C5)),IFERROR(SEARCH(,Data!C$3:C$635),10^9)+ROW(Data!C$3:C$635)/1000,0))</f>
        <v/>
      </c>
      <c r="D5" s="111" t="str">
        <f t="shared" si="0"/>
        <v/>
      </c>
      <c r="E5" s="111" t="str" cm="1">
        <f t="array" ref="E5">INDEX(Data!E$3:E$635,MATCH(SMALL(IFERROR(SEARCH(,Data!E$3:E$635),10^9)+ROW(Data!E$3:E$635)/1000,ROWS(E$3:E5)),IFERROR(SEARCH(,Data!E$3:E$635),10^9)+ROW(Data!E$3:E$635)/1000,0))</f>
        <v/>
      </c>
      <c r="F5" s="111" t="str" cm="1">
        <f t="array" ref="F5">INDEX(Data!F$3:F$635,MATCH(SMALL(IFERROR(SEARCH(,Data!F$3:F$635),10^9)+ROW(Data!F$3:F$635)/1000,ROWS(F$3:F5)),IFERROR(SEARCH(,Data!F$3:F$635),10^9)+ROW(Data!F$3:F$635)/1000,0))</f>
        <v/>
      </c>
      <c r="G5" s="111" t="str" cm="1">
        <f t="array" ref="G5">INDEX(Data!G$3:G$635,MATCH(SMALL(IFERROR(SEARCH(,Data!G$3:G$635),10^9)+ROW(Data!G$3:G$635)/1000,ROWS(G$3:G5)),IFERROR(SEARCH(,Data!G$3:G$635),10^9)+ROW(Data!G$3:G$635)/1000,0))</f>
        <v/>
      </c>
      <c r="H5" s="623" t="str" cm="1">
        <f t="array" ref="H5">INDEX(Data!I$3:I$635,MATCH(SMALL(IFERROR(SEARCH(,Data!I$3:I$635),10^9)+ROW(Data!I$3:I$635)/1000,ROWS(H$3:H5)),IFERROR(SEARCH(,Data!I$3:I$635),10^9)+ROW(Data!I$3:I$635)/1000,0))</f>
        <v/>
      </c>
      <c r="I5" s="882"/>
    </row>
    <row r="6" spans="1:10" ht="45.75" customHeight="1" x14ac:dyDescent="0.35">
      <c r="A6" s="108" t="str">
        <f>IFERROR(INDEX(Data!A$3:A$635,MATCH(IF(B6="","END",B6),Data!$B$3:$B$635,0)),"")</f>
        <v/>
      </c>
      <c r="B6" s="108" t="str" cm="1">
        <f t="array" ref="B6">INDEX(Data!B$3:B$635,MATCH(SMALL(IFERROR(SEARCH(,Data!B$3:B$635),10^9)+ROW(Data!B$3:B$635)/1000,ROWS(B$3:B6)),IFERROR(SEARCH(,Data!B$3:B$635),10^9)+ROW(Data!B$3:B$635)/1000,0))</f>
        <v/>
      </c>
      <c r="C6" s="317" t="str" cm="1">
        <f t="array" ref="C6">INDEX(Data!C$3:C$635,MATCH(SMALL(IFERROR(SEARCH(,Data!C$3:C$635),10^9)+ROW(Data!C$3:C$635)/1000,ROWS(C$3:C6)),IFERROR(SEARCH(,Data!C$3:C$635),10^9)+ROW(Data!C$3:C$635)/1000,0))</f>
        <v/>
      </c>
      <c r="D6" s="111" t="str">
        <f t="shared" si="0"/>
        <v/>
      </c>
      <c r="E6" s="111" t="str" cm="1">
        <f t="array" ref="E6">INDEX(Data!E$3:E$635,MATCH(SMALL(IFERROR(SEARCH(,Data!E$3:E$635),10^9)+ROW(Data!E$3:E$635)/1000,ROWS(E$3:E6)),IFERROR(SEARCH(,Data!E$3:E$635),10^9)+ROW(Data!E$3:E$635)/1000,0))</f>
        <v/>
      </c>
      <c r="F6" s="111" t="str" cm="1">
        <f t="array" ref="F6">INDEX(Data!F$3:F$635,MATCH(SMALL(IFERROR(SEARCH(,Data!F$3:F$635),10^9)+ROW(Data!F$3:F$635)/1000,ROWS(F$3:F6)),IFERROR(SEARCH(,Data!F$3:F$635),10^9)+ROW(Data!F$3:F$635)/1000,0))</f>
        <v/>
      </c>
      <c r="G6" s="111" t="str" cm="1">
        <f t="array" ref="G6">INDEX(Data!G$3:G$635,MATCH(SMALL(IFERROR(SEARCH(,Data!G$3:G$635),10^9)+ROW(Data!G$3:G$635)/1000,ROWS(G$3:G6)),IFERROR(SEARCH(,Data!G$3:G$635),10^9)+ROW(Data!G$3:G$635)/1000,0))</f>
        <v/>
      </c>
      <c r="H6" s="623" t="str" cm="1">
        <f t="array" ref="H6">INDEX(Data!I$3:I$635,MATCH(SMALL(IFERROR(SEARCH(,Data!I$3:I$635),10^9)+ROW(Data!I$3:I$635)/1000,ROWS(H$3:H6)),IFERROR(SEARCH(,Data!I$3:I$635),10^9)+ROW(Data!I$3:I$635)/1000,0))</f>
        <v/>
      </c>
      <c r="I6" s="882"/>
    </row>
    <row r="7" spans="1:10" ht="45.75" customHeight="1" x14ac:dyDescent="0.35">
      <c r="A7" s="108" t="str">
        <f>IFERROR(INDEX(Data!A$3:A$635,MATCH(IF(B7="","END",B7),Data!$B$3:$B$635,0)),"")</f>
        <v/>
      </c>
      <c r="B7" s="108" t="str" cm="1">
        <f t="array" ref="B7">INDEX(Data!B$3:B$635,MATCH(SMALL(IFERROR(SEARCH(,Data!B$3:B$635),10^9)+ROW(Data!B$3:B$635)/1000,ROWS(B$3:B7)),IFERROR(SEARCH(,Data!B$3:B$635),10^9)+ROW(Data!B$3:B$635)/1000,0))</f>
        <v/>
      </c>
      <c r="C7" s="317" t="str" cm="1">
        <f t="array" ref="C7">INDEX(Data!C$3:C$635,MATCH(SMALL(IFERROR(SEARCH(,Data!C$3:C$635),10^9)+ROW(Data!C$3:C$635)/1000,ROWS(C$3:C7)),IFERROR(SEARCH(,Data!C$3:C$635),10^9)+ROW(Data!C$3:C$635)/1000,0))</f>
        <v/>
      </c>
      <c r="D7" s="111" t="str">
        <f t="shared" si="0"/>
        <v/>
      </c>
      <c r="E7" s="111" t="str" cm="1">
        <f t="array" ref="E7">INDEX(Data!E$3:E$635,MATCH(SMALL(IFERROR(SEARCH(,Data!E$3:E$635),10^9)+ROW(Data!E$3:E$635)/1000,ROWS(E$3:E7)),IFERROR(SEARCH(,Data!E$3:E$635),10^9)+ROW(Data!E$3:E$635)/1000,0))</f>
        <v/>
      </c>
      <c r="F7" s="111" t="str" cm="1">
        <f t="array" ref="F7">INDEX(Data!F$3:F$635,MATCH(SMALL(IFERROR(SEARCH(,Data!F$3:F$635),10^9)+ROW(Data!F$3:F$635)/1000,ROWS(F$3:F7)),IFERROR(SEARCH(,Data!F$3:F$635),10^9)+ROW(Data!F$3:F$635)/1000,0))</f>
        <v/>
      </c>
      <c r="G7" s="111" t="str" cm="1">
        <f t="array" ref="G7">INDEX(Data!G$3:G$635,MATCH(SMALL(IFERROR(SEARCH(,Data!G$3:G$635),10^9)+ROW(Data!G$3:G$635)/1000,ROWS(G$3:G7)),IFERROR(SEARCH(,Data!G$3:G$635),10^9)+ROW(Data!G$3:G$635)/1000,0))</f>
        <v/>
      </c>
      <c r="H7" s="623" t="str" cm="1">
        <f t="array" ref="H7">INDEX(Data!I$3:I$635,MATCH(SMALL(IFERROR(SEARCH(,Data!I$3:I$635),10^9)+ROW(Data!I$3:I$635)/1000,ROWS(H$3:H7)),IFERROR(SEARCH(,Data!I$3:I$635),10^9)+ROW(Data!I$3:I$635)/1000,0))</f>
        <v/>
      </c>
      <c r="I7" s="882"/>
    </row>
    <row r="8" spans="1:10" ht="45.75" customHeight="1" x14ac:dyDescent="0.35">
      <c r="A8" s="108" t="str">
        <f>IFERROR(INDEX(Data!A$3:A$635,MATCH(IF(B8="","END",B8),Data!$B$3:$B$635,0)),"")</f>
        <v/>
      </c>
      <c r="B8" s="108" t="str" cm="1">
        <f t="array" ref="B8">INDEX(Data!B$3:B$635,MATCH(SMALL(IFERROR(SEARCH(,Data!B$3:B$635),10^9)+ROW(Data!B$3:B$635)/1000,ROWS(B$3:B8)),IFERROR(SEARCH(,Data!B$3:B$635),10^9)+ROW(Data!B$3:B$635)/1000,0))</f>
        <v/>
      </c>
      <c r="C8" s="317" t="str" cm="1">
        <f t="array" ref="C8">INDEX(Data!C$3:C$635,MATCH(SMALL(IFERROR(SEARCH(,Data!C$3:C$635),10^9)+ROW(Data!C$3:C$635)/1000,ROWS(C$3:C8)),IFERROR(SEARCH(,Data!C$3:C$635),10^9)+ROW(Data!C$3:C$635)/1000,0))</f>
        <v/>
      </c>
      <c r="D8" s="111" t="str">
        <f t="shared" si="0"/>
        <v/>
      </c>
      <c r="E8" s="111" t="str" cm="1">
        <f t="array" ref="E8">INDEX(Data!E$3:E$635,MATCH(SMALL(IFERROR(SEARCH(,Data!E$3:E$635),10^9)+ROW(Data!E$3:E$635)/1000,ROWS(E$3:E8)),IFERROR(SEARCH(,Data!E$3:E$635),10^9)+ROW(Data!E$3:E$635)/1000,0))</f>
        <v/>
      </c>
      <c r="F8" s="111" t="str" cm="1">
        <f t="array" ref="F8">INDEX(Data!F$3:F$635,MATCH(SMALL(IFERROR(SEARCH(,Data!F$3:F$635),10^9)+ROW(Data!F$3:F$635)/1000,ROWS(F$3:F8)),IFERROR(SEARCH(,Data!F$3:F$635),10^9)+ROW(Data!F$3:F$635)/1000,0))</f>
        <v/>
      </c>
      <c r="G8" s="111" t="str" cm="1">
        <f t="array" ref="G8">INDEX(Data!G$3:G$635,MATCH(SMALL(IFERROR(SEARCH(,Data!G$3:G$635),10^9)+ROW(Data!G$3:G$635)/1000,ROWS(G$3:G8)),IFERROR(SEARCH(,Data!G$3:G$635),10^9)+ROW(Data!G$3:G$635)/1000,0))</f>
        <v/>
      </c>
      <c r="H8" s="623" t="str" cm="1">
        <f t="array" ref="H8">INDEX(Data!I$3:I$635,MATCH(SMALL(IFERROR(SEARCH(,Data!I$3:I$635),10^9)+ROW(Data!I$3:I$635)/1000,ROWS(H$3:H8)),IFERROR(SEARCH(,Data!I$3:I$635),10^9)+ROW(Data!I$3:I$635)/1000,0))</f>
        <v/>
      </c>
      <c r="I8" s="882"/>
    </row>
    <row r="9" spans="1:10" ht="45.75" customHeight="1" x14ac:dyDescent="0.35">
      <c r="A9" s="108" t="str">
        <f>IFERROR(INDEX(Data!A$3:A$635,MATCH(IF(B9="","END",B9),Data!$B$3:$B$635,0)),"")</f>
        <v/>
      </c>
      <c r="B9" s="108" t="str" cm="1">
        <f t="array" ref="B9">INDEX(Data!B$3:B$635,MATCH(SMALL(IFERROR(SEARCH(,Data!B$3:B$635),10^9)+ROW(Data!B$3:B$635)/1000,ROWS(B$3:B9)),IFERROR(SEARCH(,Data!B$3:B$635),10^9)+ROW(Data!B$3:B$635)/1000,0))</f>
        <v/>
      </c>
      <c r="C9" s="317" t="str" cm="1">
        <f t="array" ref="C9">INDEX(Data!C$3:C$635,MATCH(SMALL(IFERROR(SEARCH(,Data!C$3:C$635),10^9)+ROW(Data!C$3:C$635)/1000,ROWS(C$3:C9)),IFERROR(SEARCH(,Data!C$3:C$635),10^9)+ROW(Data!C$3:C$635)/1000,0))</f>
        <v/>
      </c>
      <c r="D9" s="111" t="str">
        <f t="shared" si="0"/>
        <v/>
      </c>
      <c r="E9" s="111" t="str" cm="1">
        <f t="array" ref="E9">INDEX(Data!E$3:E$635,MATCH(SMALL(IFERROR(SEARCH(,Data!E$3:E$635),10^9)+ROW(Data!E$3:E$635)/1000,ROWS(E$3:E9)),IFERROR(SEARCH(,Data!E$3:E$635),10^9)+ROW(Data!E$3:E$635)/1000,0))</f>
        <v/>
      </c>
      <c r="F9" s="111" t="str" cm="1">
        <f t="array" ref="F9">INDEX(Data!F$3:F$635,MATCH(SMALL(IFERROR(SEARCH(,Data!F$3:F$635),10^9)+ROW(Data!F$3:F$635)/1000,ROWS(F$3:F9)),IFERROR(SEARCH(,Data!F$3:F$635),10^9)+ROW(Data!F$3:F$635)/1000,0))</f>
        <v/>
      </c>
      <c r="G9" s="111" t="str" cm="1">
        <f t="array" ref="G9">INDEX(Data!G$3:G$635,MATCH(SMALL(IFERROR(SEARCH(,Data!G$3:G$635),10^9)+ROW(Data!G$3:G$635)/1000,ROWS(G$3:G9)),IFERROR(SEARCH(,Data!G$3:G$635),10^9)+ROW(Data!G$3:G$635)/1000,0))</f>
        <v/>
      </c>
      <c r="H9" s="623" t="str" cm="1">
        <f t="array" ref="H9">INDEX(Data!I$3:I$635,MATCH(SMALL(IFERROR(SEARCH(,Data!I$3:I$635),10^9)+ROW(Data!I$3:I$635)/1000,ROWS(H$3:H9)),IFERROR(SEARCH(,Data!I$3:I$635),10^9)+ROW(Data!I$3:I$635)/1000,0))</f>
        <v/>
      </c>
      <c r="I9" s="882"/>
    </row>
    <row r="10" spans="1:10" ht="45.75" customHeight="1" x14ac:dyDescent="0.35">
      <c r="A10" s="108" t="str">
        <f>IFERROR(INDEX(Data!A$3:A$635,MATCH(IF(B10="","END",B10),Data!$B$3:$B$635,0)),"")</f>
        <v/>
      </c>
      <c r="B10" s="108" t="str" cm="1">
        <f t="array" ref="B10">INDEX(Data!B$3:B$635,MATCH(SMALL(IFERROR(SEARCH(,Data!B$3:B$635),10^9)+ROW(Data!B$3:B$635)/1000,ROWS(B$3:B10)),IFERROR(SEARCH(,Data!B$3:B$635),10^9)+ROW(Data!B$3:B$635)/1000,0))</f>
        <v/>
      </c>
      <c r="C10" s="317" t="str" cm="1">
        <f t="array" ref="C10">INDEX(Data!C$3:C$635,MATCH(SMALL(IFERROR(SEARCH(,Data!C$3:C$635),10^9)+ROW(Data!C$3:C$635)/1000,ROWS(C$3:C10)),IFERROR(SEARCH(,Data!C$3:C$635),10^9)+ROW(Data!C$3:C$635)/1000,0))</f>
        <v/>
      </c>
      <c r="D10" s="111" t="str">
        <f t="shared" si="0"/>
        <v/>
      </c>
      <c r="E10" s="111" t="str" cm="1">
        <f t="array" ref="E10">INDEX(Data!E$3:E$635,MATCH(SMALL(IFERROR(SEARCH(,Data!E$3:E$635),10^9)+ROW(Data!E$3:E$635)/1000,ROWS(E$3:E10)),IFERROR(SEARCH(,Data!E$3:E$635),10^9)+ROW(Data!E$3:E$635)/1000,0))</f>
        <v/>
      </c>
      <c r="F10" s="111" t="str" cm="1">
        <f t="array" ref="F10">INDEX(Data!F$3:F$635,MATCH(SMALL(IFERROR(SEARCH(,Data!F$3:F$635),10^9)+ROW(Data!F$3:F$635)/1000,ROWS(F$3:F10)),IFERROR(SEARCH(,Data!F$3:F$635),10^9)+ROW(Data!F$3:F$635)/1000,0))</f>
        <v/>
      </c>
      <c r="G10" s="111" t="str" cm="1">
        <f t="array" ref="G10">INDEX(Data!G$3:G$635,MATCH(SMALL(IFERROR(SEARCH(,Data!G$3:G$635),10^9)+ROW(Data!G$3:G$635)/1000,ROWS(G$3:G10)),IFERROR(SEARCH(,Data!G$3:G$635),10^9)+ROW(Data!G$3:G$635)/1000,0))</f>
        <v/>
      </c>
      <c r="H10" s="623" t="str" cm="1">
        <f t="array" ref="H10">INDEX(Data!I$3:I$635,MATCH(SMALL(IFERROR(SEARCH(,Data!I$3:I$635),10^9)+ROW(Data!I$3:I$635)/1000,ROWS(H$3:H10)),IFERROR(SEARCH(,Data!I$3:I$635),10^9)+ROW(Data!I$3:I$635)/1000,0))</f>
        <v/>
      </c>
      <c r="I10" s="882"/>
    </row>
    <row r="11" spans="1:10" ht="45.75" customHeight="1" x14ac:dyDescent="0.35">
      <c r="A11" s="108" t="str">
        <f>IFERROR(INDEX(Data!A$3:A$635,MATCH(IF(B11="","END",B11),Data!$B$3:$B$635,0)),"")</f>
        <v/>
      </c>
      <c r="B11" s="108" t="str" cm="1">
        <f t="array" ref="B11">INDEX(Data!B$3:B$635,MATCH(SMALL(IFERROR(SEARCH(,Data!B$3:B$635),10^9)+ROW(Data!B$3:B$635)/1000,ROWS(B$3:B11)),IFERROR(SEARCH(,Data!B$3:B$635),10^9)+ROW(Data!B$3:B$635)/1000,0))</f>
        <v/>
      </c>
      <c r="C11" s="317" t="str" cm="1">
        <f t="array" ref="C11">INDEX(Data!C$3:C$635,MATCH(SMALL(IFERROR(SEARCH(,Data!C$3:C$635),10^9)+ROW(Data!C$3:C$635)/1000,ROWS(C$3:C11)),IFERROR(SEARCH(,Data!C$3:C$635),10^9)+ROW(Data!C$3:C$635)/1000,0))</f>
        <v/>
      </c>
      <c r="D11" s="111" t="str">
        <f t="shared" si="0"/>
        <v/>
      </c>
      <c r="E11" s="111" t="str" cm="1">
        <f t="array" ref="E11">INDEX(Data!E$3:E$635,MATCH(SMALL(IFERROR(SEARCH(,Data!E$3:E$635),10^9)+ROW(Data!E$3:E$635)/1000,ROWS(E$3:E11)),IFERROR(SEARCH(,Data!E$3:E$635),10^9)+ROW(Data!E$3:E$635)/1000,0))</f>
        <v/>
      </c>
      <c r="F11" s="111" t="str" cm="1">
        <f t="array" ref="F11">INDEX(Data!F$3:F$635,MATCH(SMALL(IFERROR(SEARCH(,Data!F$3:F$635),10^9)+ROW(Data!F$3:F$635)/1000,ROWS(F$3:F11)),IFERROR(SEARCH(,Data!F$3:F$635),10^9)+ROW(Data!F$3:F$635)/1000,0))</f>
        <v/>
      </c>
      <c r="G11" s="111" t="str" cm="1">
        <f t="array" ref="G11">INDEX(Data!G$3:G$635,MATCH(SMALL(IFERROR(SEARCH(,Data!G$3:G$635),10^9)+ROW(Data!G$3:G$635)/1000,ROWS(G$3:G11)),IFERROR(SEARCH(,Data!G$3:G$635),10^9)+ROW(Data!G$3:G$635)/1000,0))</f>
        <v/>
      </c>
      <c r="H11" s="623" t="str" cm="1">
        <f t="array" ref="H11">INDEX(Data!I$3:I$635,MATCH(SMALL(IFERROR(SEARCH(,Data!I$3:I$635),10^9)+ROW(Data!I$3:I$635)/1000,ROWS(H$3:H11)),IFERROR(SEARCH(,Data!I$3:I$635),10^9)+ROW(Data!I$3:I$635)/1000,0))</f>
        <v/>
      </c>
      <c r="J11" s="882"/>
    </row>
    <row r="12" spans="1:10" ht="45.75" customHeight="1" x14ac:dyDescent="0.35">
      <c r="A12" s="108" t="str">
        <f>IFERROR(INDEX(Data!A$3:A$635,MATCH(IF(B12="","END",B12),Data!$B$3:$B$635,0)),"")</f>
        <v/>
      </c>
      <c r="B12" s="108" t="str" cm="1">
        <f t="array" ref="B12">INDEX(Data!B$3:B$635,MATCH(SMALL(IFERROR(SEARCH(,Data!B$3:B$635),10^9)+ROW(Data!B$3:B$635)/1000,ROWS(B$3:B12)),IFERROR(SEARCH(,Data!B$3:B$635),10^9)+ROW(Data!B$3:B$635)/1000,0))</f>
        <v/>
      </c>
      <c r="C12" s="317" t="str" cm="1">
        <f t="array" ref="C12">INDEX(Data!C$3:C$635,MATCH(SMALL(IFERROR(SEARCH(,Data!C$3:C$635),10^9)+ROW(Data!C$3:C$635)/1000,ROWS(C$3:C12)),IFERROR(SEARCH(,Data!C$3:C$635),10^9)+ROW(Data!C$3:C$635)/1000,0))</f>
        <v/>
      </c>
      <c r="D12" s="111" t="str">
        <f t="shared" si="0"/>
        <v/>
      </c>
      <c r="E12" s="111" t="str" cm="1">
        <f t="array" ref="E12">INDEX(Data!E$3:E$635,MATCH(SMALL(IFERROR(SEARCH(,Data!E$3:E$635),10^9)+ROW(Data!E$3:E$635)/1000,ROWS(E$3:E12)),IFERROR(SEARCH(,Data!E$3:E$635),10^9)+ROW(Data!E$3:E$635)/1000,0))</f>
        <v/>
      </c>
      <c r="F12" s="111" t="str" cm="1">
        <f t="array" ref="F12">INDEX(Data!F$3:F$635,MATCH(SMALL(IFERROR(SEARCH(,Data!F$3:F$635),10^9)+ROW(Data!F$3:F$635)/1000,ROWS(F$3:F12)),IFERROR(SEARCH(,Data!F$3:F$635),10^9)+ROW(Data!F$3:F$635)/1000,0))</f>
        <v/>
      </c>
      <c r="G12" s="111" t="str" cm="1">
        <f t="array" ref="G12">INDEX(Data!G$3:G$635,MATCH(SMALL(IFERROR(SEARCH(,Data!G$3:G$635),10^9)+ROW(Data!G$3:G$635)/1000,ROWS(G$3:G12)),IFERROR(SEARCH(,Data!G$3:G$635),10^9)+ROW(Data!G$3:G$635)/1000,0))</f>
        <v/>
      </c>
      <c r="H12" s="623" t="str" cm="1">
        <f t="array" ref="H12">INDEX(Data!I$3:I$635,MATCH(SMALL(IFERROR(SEARCH(,Data!I$3:I$635),10^9)+ROW(Data!I$3:I$635)/1000,ROWS(H$3:H12)),IFERROR(SEARCH(,Data!I$3:I$635),10^9)+ROW(Data!I$3:I$635)/1000,0))</f>
        <v/>
      </c>
      <c r="J12" s="882"/>
    </row>
    <row r="13" spans="1:10" ht="45.75" customHeight="1" x14ac:dyDescent="0.35">
      <c r="A13" s="108" t="str">
        <f>IFERROR(INDEX(Data!A$3:A$635,MATCH(IF(B13="","END",B13),Data!$B$3:$B$635,0)),"")</f>
        <v/>
      </c>
      <c r="B13" s="108" t="str" cm="1">
        <f t="array" ref="B13">INDEX(Data!B$3:B$635,MATCH(SMALL(IFERROR(SEARCH(,Data!B$3:B$635),10^9)+ROW(Data!B$3:B$635)/1000,ROWS(B$3:B13)),IFERROR(SEARCH(,Data!B$3:B$635),10^9)+ROW(Data!B$3:B$635)/1000,0))</f>
        <v/>
      </c>
      <c r="C13" s="317" t="str" cm="1">
        <f t="array" ref="C13">INDEX(Data!C$3:C$635,MATCH(SMALL(IFERROR(SEARCH(,Data!C$3:C$635),10^9)+ROW(Data!C$3:C$635)/1000,ROWS(C$3:C13)),IFERROR(SEARCH(,Data!C$3:C$635),10^9)+ROW(Data!C$3:C$635)/1000,0))</f>
        <v/>
      </c>
      <c r="D13" s="111" t="str">
        <f t="shared" si="0"/>
        <v/>
      </c>
      <c r="E13" s="111" t="str" cm="1">
        <f t="array" ref="E13">INDEX(Data!E$3:E$635,MATCH(SMALL(IFERROR(SEARCH(,Data!E$3:E$635),10^9)+ROW(Data!E$3:E$635)/1000,ROWS(E$3:E13)),IFERROR(SEARCH(,Data!E$3:E$635),10^9)+ROW(Data!E$3:E$635)/1000,0))</f>
        <v/>
      </c>
      <c r="F13" s="111" t="str" cm="1">
        <f t="array" ref="F13">INDEX(Data!F$3:F$635,MATCH(SMALL(IFERROR(SEARCH(,Data!F$3:F$635),10^9)+ROW(Data!F$3:F$635)/1000,ROWS(F$3:F13)),IFERROR(SEARCH(,Data!F$3:F$635),10^9)+ROW(Data!F$3:F$635)/1000,0))</f>
        <v/>
      </c>
      <c r="G13" s="111" t="str" cm="1">
        <f t="array" ref="G13">INDEX(Data!G$3:G$635,MATCH(SMALL(IFERROR(SEARCH(,Data!G$3:G$635),10^9)+ROW(Data!G$3:G$635)/1000,ROWS(G$3:G13)),IFERROR(SEARCH(,Data!G$3:G$635),10^9)+ROW(Data!G$3:G$635)/1000,0))</f>
        <v/>
      </c>
      <c r="H13" s="623" t="str" cm="1">
        <f t="array" ref="H13">INDEX(Data!I$3:I$635,MATCH(SMALL(IFERROR(SEARCH(,Data!I$3:I$635),10^9)+ROW(Data!I$3:I$635)/1000,ROWS(H$3:H13)),IFERROR(SEARCH(,Data!I$3:I$635),10^9)+ROW(Data!I$3:I$635)/1000,0))</f>
        <v/>
      </c>
      <c r="I13" s="882"/>
      <c r="J13" s="882"/>
    </row>
    <row r="14" spans="1:10" ht="45.75" customHeight="1" x14ac:dyDescent="0.35">
      <c r="A14" s="108" t="str">
        <f>IFERROR(INDEX(Data!A$3:A$635,MATCH(IF(B14="","END",B14),Data!$B$3:$B$635,0)),"")</f>
        <v/>
      </c>
      <c r="B14" s="108" t="str" cm="1">
        <f t="array" ref="B14">INDEX(Data!B$3:B$635,MATCH(SMALL(IFERROR(SEARCH(,Data!B$3:B$635),10^9)+ROW(Data!B$3:B$635)/1000,ROWS(B$3:B14)),IFERROR(SEARCH(,Data!B$3:B$635),10^9)+ROW(Data!B$3:B$635)/1000,0))</f>
        <v/>
      </c>
      <c r="C14" s="317" t="str" cm="1">
        <f t="array" ref="C14">INDEX(Data!C$3:C$635,MATCH(SMALL(IFERROR(SEARCH(,Data!C$3:C$635),10^9)+ROW(Data!C$3:C$635)/1000,ROWS(C$3:C14)),IFERROR(SEARCH(,Data!C$3:C$635),10^9)+ROW(Data!C$3:C$635)/1000,0))</f>
        <v/>
      </c>
      <c r="D14" s="111" t="str">
        <f t="shared" si="0"/>
        <v/>
      </c>
      <c r="E14" s="111" t="str" cm="1">
        <f t="array" ref="E14">INDEX(Data!E$3:E$635,MATCH(SMALL(IFERROR(SEARCH(,Data!E$3:E$635),10^9)+ROW(Data!E$3:E$635)/1000,ROWS(E$3:E14)),IFERROR(SEARCH(,Data!E$3:E$635),10^9)+ROW(Data!E$3:E$635)/1000,0))</f>
        <v/>
      </c>
      <c r="F14" s="111" t="str" cm="1">
        <f t="array" ref="F14">INDEX(Data!F$3:F$635,MATCH(SMALL(IFERROR(SEARCH(,Data!F$3:F$635),10^9)+ROW(Data!F$3:F$635)/1000,ROWS(F$3:F14)),IFERROR(SEARCH(,Data!F$3:F$635),10^9)+ROW(Data!F$3:F$635)/1000,0))</f>
        <v/>
      </c>
      <c r="G14" s="111" t="str" cm="1">
        <f t="array" ref="G14">INDEX(Data!G$3:G$635,MATCH(SMALL(IFERROR(SEARCH(,Data!G$3:G$635),10^9)+ROW(Data!G$3:G$635)/1000,ROWS(G$3:G14)),IFERROR(SEARCH(,Data!G$3:G$635),10^9)+ROW(Data!G$3:G$635)/1000,0))</f>
        <v/>
      </c>
      <c r="H14" s="623" t="str" cm="1">
        <f t="array" ref="H14">INDEX(Data!I$3:I$635,MATCH(SMALL(IFERROR(SEARCH(,Data!I$3:I$635),10^9)+ROW(Data!I$3:I$635)/1000,ROWS(H$3:H14)),IFERROR(SEARCH(,Data!I$3:I$635),10^9)+ROW(Data!I$3:I$635)/1000,0))</f>
        <v/>
      </c>
      <c r="I14" s="882"/>
      <c r="J14" s="882"/>
    </row>
    <row r="15" spans="1:10" ht="45.75" customHeight="1" x14ac:dyDescent="0.35">
      <c r="A15" s="108" t="str">
        <f>IFERROR(INDEX(Data!A$3:A$635,MATCH(IF(B15="","END",B15),Data!$B$3:$B$635,0)),"")</f>
        <v/>
      </c>
      <c r="B15" s="108" t="str" cm="1">
        <f t="array" ref="B15">INDEX(Data!B$3:B$635,MATCH(SMALL(IFERROR(SEARCH(,Data!B$3:B$635),10^9)+ROW(Data!B$3:B$635)/1000,ROWS(B$3:B15)),IFERROR(SEARCH(,Data!B$3:B$635),10^9)+ROW(Data!B$3:B$635)/1000,0))</f>
        <v/>
      </c>
      <c r="C15" s="317" t="str" cm="1">
        <f t="array" ref="C15">INDEX(Data!C$3:C$635,MATCH(SMALL(IFERROR(SEARCH(,Data!C$3:C$635),10^9)+ROW(Data!C$3:C$635)/1000,ROWS(C$3:C15)),IFERROR(SEARCH(,Data!C$3:C$635),10^9)+ROW(Data!C$3:C$635)/1000,0))</f>
        <v/>
      </c>
      <c r="D15" s="111" t="str">
        <f t="shared" si="0"/>
        <v/>
      </c>
      <c r="E15" s="111" t="str" cm="1">
        <f t="array" ref="E15">INDEX(Data!E$3:E$635,MATCH(SMALL(IFERROR(SEARCH(,Data!E$3:E$635),10^9)+ROW(Data!E$3:E$635)/1000,ROWS(E$3:E15)),IFERROR(SEARCH(,Data!E$3:E$635),10^9)+ROW(Data!E$3:E$635)/1000,0))</f>
        <v/>
      </c>
      <c r="F15" s="111" t="str" cm="1">
        <f t="array" ref="F15">INDEX(Data!F$3:F$635,MATCH(SMALL(IFERROR(SEARCH(,Data!F$3:F$635),10^9)+ROW(Data!F$3:F$635)/1000,ROWS(F$3:F15)),IFERROR(SEARCH(,Data!F$3:F$635),10^9)+ROW(Data!F$3:F$635)/1000,0))</f>
        <v/>
      </c>
      <c r="G15" s="111" t="str" cm="1">
        <f t="array" ref="G15">INDEX(Data!G$3:G$635,MATCH(SMALL(IFERROR(SEARCH(,Data!G$3:G$635),10^9)+ROW(Data!G$3:G$635)/1000,ROWS(G$3:G15)),IFERROR(SEARCH(,Data!G$3:G$635),10^9)+ROW(Data!G$3:G$635)/1000,0))</f>
        <v/>
      </c>
      <c r="H15" s="623" t="str" cm="1">
        <f t="array" ref="H15">INDEX(Data!I$3:I$635,MATCH(SMALL(IFERROR(SEARCH(,Data!I$3:I$635),10^9)+ROW(Data!I$3:I$635)/1000,ROWS(H$3:H15)),IFERROR(SEARCH(,Data!I$3:I$635),10^9)+ROW(Data!I$3:I$635)/1000,0))</f>
        <v/>
      </c>
      <c r="I15" s="882"/>
      <c r="J15" s="882"/>
    </row>
    <row r="16" spans="1:10" ht="45.75" customHeight="1" x14ac:dyDescent="0.35">
      <c r="A16" s="108" t="str">
        <f>IFERROR(INDEX(Data!A$3:A$635,MATCH(IF(B16="","END",B16),Data!$B$3:$B$635,0)),"")</f>
        <v/>
      </c>
      <c r="B16" s="108" t="str" cm="1">
        <f t="array" ref="B16">INDEX(Data!B$3:B$635,MATCH(SMALL(IFERROR(SEARCH(,Data!B$3:B$635),10^9)+ROW(Data!B$3:B$635)/1000,ROWS(B$3:B16)),IFERROR(SEARCH(,Data!B$3:B$635),10^9)+ROW(Data!B$3:B$635)/1000,0))</f>
        <v/>
      </c>
      <c r="C16" s="317" t="str" cm="1">
        <f t="array" ref="C16">INDEX(Data!C$3:C$635,MATCH(SMALL(IFERROR(SEARCH(,Data!C$3:C$635),10^9)+ROW(Data!C$3:C$635)/1000,ROWS(C$3:C16)),IFERROR(SEARCH(,Data!C$3:C$635),10^9)+ROW(Data!C$3:C$635)/1000,0))</f>
        <v/>
      </c>
      <c r="D16" s="111" t="str">
        <f t="shared" si="0"/>
        <v/>
      </c>
      <c r="E16" s="111" t="str" cm="1">
        <f t="array" ref="E16">INDEX(Data!E$3:E$635,MATCH(SMALL(IFERROR(SEARCH(,Data!E$3:E$635),10^9)+ROW(Data!E$3:E$635)/1000,ROWS(E$3:E16)),IFERROR(SEARCH(,Data!E$3:E$635),10^9)+ROW(Data!E$3:E$635)/1000,0))</f>
        <v/>
      </c>
      <c r="F16" s="111" t="str" cm="1">
        <f t="array" ref="F16">INDEX(Data!F$3:F$635,MATCH(SMALL(IFERROR(SEARCH(,Data!F$3:F$635),10^9)+ROW(Data!F$3:F$635)/1000,ROWS(F$3:F16)),IFERROR(SEARCH(,Data!F$3:F$635),10^9)+ROW(Data!F$3:F$635)/1000,0))</f>
        <v/>
      </c>
      <c r="G16" s="111" t="str" cm="1">
        <f t="array" ref="G16">INDEX(Data!G$3:G$635,MATCH(SMALL(IFERROR(SEARCH(,Data!G$3:G$635),10^9)+ROW(Data!G$3:G$635)/1000,ROWS(G$3:G16)),IFERROR(SEARCH(,Data!G$3:G$635),10^9)+ROW(Data!G$3:G$635)/1000,0))</f>
        <v/>
      </c>
      <c r="H16" s="623" t="str" cm="1">
        <f t="array" ref="H16">INDEX(Data!I$3:I$635,MATCH(SMALL(IFERROR(SEARCH(,Data!I$3:I$635),10^9)+ROW(Data!I$3:I$635)/1000,ROWS(H$3:H16)),IFERROR(SEARCH(,Data!I$3:I$635),10^9)+ROW(Data!I$3:I$635)/1000,0))</f>
        <v/>
      </c>
      <c r="I16" s="882"/>
      <c r="J16" s="882"/>
    </row>
    <row r="17" spans="1:10" ht="45.75" customHeight="1" x14ac:dyDescent="0.35">
      <c r="A17" s="108" t="str">
        <f>IFERROR(INDEX(Data!A$3:A$635,MATCH(IF(B17="","END",B17),Data!$B$3:$B$635,0)),"")</f>
        <v/>
      </c>
      <c r="B17" s="108" t="str" cm="1">
        <f t="array" ref="B17">INDEX(Data!B$3:B$635,MATCH(SMALL(IFERROR(SEARCH(,Data!B$3:B$635),10^9)+ROW(Data!B$3:B$635)/1000,ROWS(B$3:B17)),IFERROR(SEARCH(,Data!B$3:B$635),10^9)+ROW(Data!B$3:B$635)/1000,0))</f>
        <v/>
      </c>
      <c r="C17" s="317" t="str" cm="1">
        <f t="array" ref="C17">INDEX(Data!C$3:C$635,MATCH(SMALL(IFERROR(SEARCH(,Data!C$3:C$635),10^9)+ROW(Data!C$3:C$635)/1000,ROWS(C$3:C17)),IFERROR(SEARCH(,Data!C$3:C$635),10^9)+ROW(Data!C$3:C$635)/1000,0))</f>
        <v/>
      </c>
      <c r="D17" s="111" t="str">
        <f t="shared" si="0"/>
        <v/>
      </c>
      <c r="E17" s="111" t="str" cm="1">
        <f t="array" ref="E17">INDEX(Data!E$3:E$635,MATCH(SMALL(IFERROR(SEARCH(,Data!E$3:E$635),10^9)+ROW(Data!E$3:E$635)/1000,ROWS(E$3:E17)),IFERROR(SEARCH(,Data!E$3:E$635),10^9)+ROW(Data!E$3:E$635)/1000,0))</f>
        <v/>
      </c>
      <c r="F17" s="111" t="str" cm="1">
        <f t="array" ref="F17">INDEX(Data!F$3:F$635,MATCH(SMALL(IFERROR(SEARCH(,Data!F$3:F$635),10^9)+ROW(Data!F$3:F$635)/1000,ROWS(F$3:F17)),IFERROR(SEARCH(,Data!F$3:F$635),10^9)+ROW(Data!F$3:F$635)/1000,0))</f>
        <v/>
      </c>
      <c r="G17" s="111" t="str" cm="1">
        <f t="array" ref="G17">INDEX(Data!G$3:G$635,MATCH(SMALL(IFERROR(SEARCH(,Data!G$3:G$635),10^9)+ROW(Data!G$3:G$635)/1000,ROWS(G$3:G17)),IFERROR(SEARCH(,Data!G$3:G$635),10^9)+ROW(Data!G$3:G$635)/1000,0))</f>
        <v/>
      </c>
      <c r="H17" s="623" t="str" cm="1">
        <f t="array" ref="H17">INDEX(Data!I$3:I$635,MATCH(SMALL(IFERROR(SEARCH(,Data!I$3:I$635),10^9)+ROW(Data!I$3:I$635)/1000,ROWS(H$3:H17)),IFERROR(SEARCH(,Data!I$3:I$635),10^9)+ROW(Data!I$3:I$635)/1000,0))</f>
        <v/>
      </c>
      <c r="I17" s="882"/>
      <c r="J17" s="882"/>
    </row>
    <row r="18" spans="1:10" ht="45.75" customHeight="1" x14ac:dyDescent="0.35">
      <c r="A18" s="108" t="str">
        <f>IFERROR(INDEX(Data!A$3:A$635,MATCH(IF(B18="","END",B18),Data!$B$3:$B$635,0)),"")</f>
        <v/>
      </c>
      <c r="B18" s="108" t="str" cm="1">
        <f t="array" ref="B18">INDEX(Data!B$3:B$635,MATCH(SMALL(IFERROR(SEARCH(,Data!B$3:B$635),10^9)+ROW(Data!B$3:B$635)/1000,ROWS(B$3:B18)),IFERROR(SEARCH(,Data!B$3:B$635),10^9)+ROW(Data!B$3:B$635)/1000,0))</f>
        <v/>
      </c>
      <c r="C18" s="317" t="str" cm="1">
        <f t="array" ref="C18">INDEX(Data!C$3:C$635,MATCH(SMALL(IFERROR(SEARCH(,Data!C$3:C$635),10^9)+ROW(Data!C$3:C$635)/1000,ROWS(C$3:C18)),IFERROR(SEARCH(,Data!C$3:C$635),10^9)+ROW(Data!C$3:C$635)/1000,0))</f>
        <v/>
      </c>
      <c r="D18" s="111" t="str">
        <f t="shared" si="0"/>
        <v/>
      </c>
      <c r="E18" s="111" t="str" cm="1">
        <f t="array" ref="E18">INDEX(Data!E$3:E$635,MATCH(SMALL(IFERROR(SEARCH(,Data!E$3:E$635),10^9)+ROW(Data!E$3:E$635)/1000,ROWS(E$3:E18)),IFERROR(SEARCH(,Data!E$3:E$635),10^9)+ROW(Data!E$3:E$635)/1000,0))</f>
        <v/>
      </c>
      <c r="F18" s="111" t="str" cm="1">
        <f t="array" ref="F18">INDEX(Data!F$3:F$635,MATCH(SMALL(IFERROR(SEARCH(,Data!F$3:F$635),10^9)+ROW(Data!F$3:F$635)/1000,ROWS(F$3:F18)),IFERROR(SEARCH(,Data!F$3:F$635),10^9)+ROW(Data!F$3:F$635)/1000,0))</f>
        <v/>
      </c>
      <c r="G18" s="111" t="str" cm="1">
        <f t="array" ref="G18">INDEX(Data!G$3:G$635,MATCH(SMALL(IFERROR(SEARCH(,Data!G$3:G$635),10^9)+ROW(Data!G$3:G$635)/1000,ROWS(G$3:G18)),IFERROR(SEARCH(,Data!G$3:G$635),10^9)+ROW(Data!G$3:G$635)/1000,0))</f>
        <v/>
      </c>
      <c r="H18" s="623" t="str" cm="1">
        <f t="array" ref="H18">INDEX(Data!I$3:I$635,MATCH(SMALL(IFERROR(SEARCH(,Data!I$3:I$635),10^9)+ROW(Data!I$3:I$635)/1000,ROWS(H$3:H18)),IFERROR(SEARCH(,Data!I$3:I$635),10^9)+ROW(Data!I$3:I$635)/1000,0))</f>
        <v/>
      </c>
      <c r="I18" s="882"/>
      <c r="J18" s="882"/>
    </row>
    <row r="19" spans="1:10" ht="45.75" customHeight="1" x14ac:dyDescent="0.35">
      <c r="A19" s="108" t="str">
        <f>IFERROR(INDEX(Data!A$3:A$635,MATCH(IF(B19="","END",B19),Data!$B$3:$B$635,0)),"")</f>
        <v/>
      </c>
      <c r="B19" s="108" t="str" cm="1">
        <f t="array" ref="B19">INDEX(Data!B$3:B$635,MATCH(SMALL(IFERROR(SEARCH(,Data!B$3:B$635),10^9)+ROW(Data!B$3:B$635)/1000,ROWS(B$3:B19)),IFERROR(SEARCH(,Data!B$3:B$635),10^9)+ROW(Data!B$3:B$635)/1000,0))</f>
        <v/>
      </c>
      <c r="C19" s="317" t="str" cm="1">
        <f t="array" ref="C19">INDEX(Data!C$3:C$635,MATCH(SMALL(IFERROR(SEARCH(,Data!C$3:C$635),10^9)+ROW(Data!C$3:C$635)/1000,ROWS(C$3:C19)),IFERROR(SEARCH(,Data!C$3:C$635),10^9)+ROW(Data!C$3:C$635)/1000,0))</f>
        <v/>
      </c>
      <c r="D19" s="111" t="str">
        <f t="shared" si="0"/>
        <v/>
      </c>
      <c r="E19" s="111" t="str" cm="1">
        <f t="array" ref="E19">INDEX(Data!E$3:E$635,MATCH(SMALL(IFERROR(SEARCH(,Data!E$3:E$635),10^9)+ROW(Data!E$3:E$635)/1000,ROWS(E$3:E19)),IFERROR(SEARCH(,Data!E$3:E$635),10^9)+ROW(Data!E$3:E$635)/1000,0))</f>
        <v/>
      </c>
      <c r="F19" s="111" t="str" cm="1">
        <f t="array" ref="F19">INDEX(Data!F$3:F$635,MATCH(SMALL(IFERROR(SEARCH(,Data!F$3:F$635),10^9)+ROW(Data!F$3:F$635)/1000,ROWS(F$3:F19)),IFERROR(SEARCH(,Data!F$3:F$635),10^9)+ROW(Data!F$3:F$635)/1000,0))</f>
        <v/>
      </c>
      <c r="G19" s="111" t="str" cm="1">
        <f t="array" ref="G19">INDEX(Data!G$3:G$635,MATCH(SMALL(IFERROR(SEARCH(,Data!G$3:G$635),10^9)+ROW(Data!G$3:G$635)/1000,ROWS(G$3:G19)),IFERROR(SEARCH(,Data!G$3:G$635),10^9)+ROW(Data!G$3:G$635)/1000,0))</f>
        <v/>
      </c>
      <c r="H19" s="623" t="str" cm="1">
        <f t="array" ref="H19">INDEX(Data!I$3:I$635,MATCH(SMALL(IFERROR(SEARCH(,Data!I$3:I$635),10^9)+ROW(Data!I$3:I$635)/1000,ROWS(H$3:H19)),IFERROR(SEARCH(,Data!I$3:I$635),10^9)+ROW(Data!I$3:I$635)/1000,0))</f>
        <v/>
      </c>
      <c r="I19" s="882"/>
      <c r="J19" s="882"/>
    </row>
    <row r="20" spans="1:10" ht="45.75" customHeight="1" x14ac:dyDescent="0.35">
      <c r="A20" s="108" t="str">
        <f>IFERROR(INDEX(Data!A$3:A$635,MATCH(IF(B20="","END",B20),Data!$B$3:$B$635,0)),"")</f>
        <v/>
      </c>
      <c r="B20" s="108" t="str" cm="1">
        <f t="array" ref="B20">INDEX(Data!B$3:B$635,MATCH(SMALL(IFERROR(SEARCH(,Data!B$3:B$635),10^9)+ROW(Data!B$3:B$635)/1000,ROWS(B$3:B20)),IFERROR(SEARCH(,Data!B$3:B$635),10^9)+ROW(Data!B$3:B$635)/1000,0))</f>
        <v/>
      </c>
      <c r="C20" s="317" t="str" cm="1">
        <f t="array" ref="C20">INDEX(Data!C$3:C$635,MATCH(SMALL(IFERROR(SEARCH(,Data!C$3:C$635),10^9)+ROW(Data!C$3:C$635)/1000,ROWS(C$3:C20)),IFERROR(SEARCH(,Data!C$3:C$635),10^9)+ROW(Data!C$3:C$635)/1000,0))</f>
        <v/>
      </c>
      <c r="D20" s="111" t="str">
        <f t="shared" si="0"/>
        <v/>
      </c>
      <c r="E20" s="111" t="str" cm="1">
        <f t="array" ref="E20">INDEX(Data!E$3:E$635,MATCH(SMALL(IFERROR(SEARCH(,Data!E$3:E$635),10^9)+ROW(Data!E$3:E$635)/1000,ROWS(E$3:E20)),IFERROR(SEARCH(,Data!E$3:E$635),10^9)+ROW(Data!E$3:E$635)/1000,0))</f>
        <v/>
      </c>
      <c r="F20" s="111" t="str" cm="1">
        <f t="array" ref="F20">INDEX(Data!F$3:F$635,MATCH(SMALL(IFERROR(SEARCH(,Data!F$3:F$635),10^9)+ROW(Data!F$3:F$635)/1000,ROWS(F$3:F20)),IFERROR(SEARCH(,Data!F$3:F$635),10^9)+ROW(Data!F$3:F$635)/1000,0))</f>
        <v/>
      </c>
      <c r="G20" s="111" t="str" cm="1">
        <f t="array" ref="G20">INDEX(Data!G$3:G$635,MATCH(SMALL(IFERROR(SEARCH(,Data!G$3:G$635),10^9)+ROW(Data!G$3:G$635)/1000,ROWS(G$3:G20)),IFERROR(SEARCH(,Data!G$3:G$635),10^9)+ROW(Data!G$3:G$635)/1000,0))</f>
        <v/>
      </c>
      <c r="H20" s="623" t="str" cm="1">
        <f t="array" ref="H20">INDEX(Data!I$3:I$635,MATCH(SMALL(IFERROR(SEARCH(,Data!I$3:I$635),10^9)+ROW(Data!I$3:I$635)/1000,ROWS(H$3:H20)),IFERROR(SEARCH(,Data!I$3:I$635),10^9)+ROW(Data!I$3:I$635)/1000,0))</f>
        <v/>
      </c>
      <c r="I20" s="882"/>
      <c r="J20" s="882"/>
    </row>
    <row r="21" spans="1:10" ht="45.75" customHeight="1" x14ac:dyDescent="0.35">
      <c r="A21" s="108" t="str">
        <f>IFERROR(INDEX(Data!A$3:A$635,MATCH(IF(B21="","END",B21),Data!$B$3:$B$635,0)),"")</f>
        <v/>
      </c>
      <c r="B21" s="108" t="str" cm="1">
        <f t="array" ref="B21">INDEX(Data!B$3:B$635,MATCH(SMALL(IFERROR(SEARCH(,Data!B$3:B$635),10^9)+ROW(Data!B$3:B$635)/1000,ROWS(B$3:B21)),IFERROR(SEARCH(,Data!B$3:B$635),10^9)+ROW(Data!B$3:B$635)/1000,0))</f>
        <v/>
      </c>
      <c r="C21" s="317" t="str" cm="1">
        <f t="array" ref="C21">INDEX(Data!C$3:C$635,MATCH(SMALL(IFERROR(SEARCH(,Data!C$3:C$635),10^9)+ROW(Data!C$3:C$635)/1000,ROWS(C$3:C21)),IFERROR(SEARCH(,Data!C$3:C$635),10^9)+ROW(Data!C$3:C$635)/1000,0))</f>
        <v/>
      </c>
      <c r="D21" s="111" t="str">
        <f t="shared" si="0"/>
        <v/>
      </c>
      <c r="E21" s="111" t="str" cm="1">
        <f t="array" ref="E21">INDEX(Data!E$3:E$635,MATCH(SMALL(IFERROR(SEARCH(,Data!E$3:E$635),10^9)+ROW(Data!E$3:E$635)/1000,ROWS(E$3:E21)),IFERROR(SEARCH(,Data!E$3:E$635),10^9)+ROW(Data!E$3:E$635)/1000,0))</f>
        <v/>
      </c>
      <c r="F21" s="111" t="str" cm="1">
        <f t="array" ref="F21">INDEX(Data!F$3:F$635,MATCH(SMALL(IFERROR(SEARCH(,Data!F$3:F$635),10^9)+ROW(Data!F$3:F$635)/1000,ROWS(F$3:F21)),IFERROR(SEARCH(,Data!F$3:F$635),10^9)+ROW(Data!F$3:F$635)/1000,0))</f>
        <v/>
      </c>
      <c r="G21" s="111" t="str" cm="1">
        <f t="array" ref="G21">INDEX(Data!G$3:G$635,MATCH(SMALL(IFERROR(SEARCH(,Data!G$3:G$635),10^9)+ROW(Data!G$3:G$635)/1000,ROWS(G$3:G21)),IFERROR(SEARCH(,Data!G$3:G$635),10^9)+ROW(Data!G$3:G$635)/1000,0))</f>
        <v/>
      </c>
      <c r="H21" s="623" t="str" cm="1">
        <f t="array" ref="H21">INDEX(Data!I$3:I$635,MATCH(SMALL(IFERROR(SEARCH(,Data!I$3:I$635),10^9)+ROW(Data!I$3:I$635)/1000,ROWS(H$3:H21)),IFERROR(SEARCH(,Data!I$3:I$635),10^9)+ROW(Data!I$3:I$635)/1000,0))</f>
        <v/>
      </c>
      <c r="I21" s="882"/>
      <c r="J21" s="882"/>
    </row>
    <row r="22" spans="1:10" ht="45.75" customHeight="1" x14ac:dyDescent="0.35">
      <c r="A22" s="108" t="str">
        <f>IFERROR(INDEX(Data!A$3:A$635,MATCH(IF(B22="","END",B22),Data!$B$3:$B$635,0)),"")</f>
        <v/>
      </c>
      <c r="B22" s="108" t="str" cm="1">
        <f t="array" ref="B22">INDEX(Data!B$3:B$635,MATCH(SMALL(IFERROR(SEARCH(,Data!B$3:B$635),10^9)+ROW(Data!B$3:B$635)/1000,ROWS(B$3:B22)),IFERROR(SEARCH(,Data!B$3:B$635),10^9)+ROW(Data!B$3:B$635)/1000,0))</f>
        <v/>
      </c>
      <c r="C22" s="317" t="str" cm="1">
        <f t="array" ref="C22">INDEX(Data!C$3:C$635,MATCH(SMALL(IFERROR(SEARCH(,Data!C$3:C$635),10^9)+ROW(Data!C$3:C$635)/1000,ROWS(C$3:C22)),IFERROR(SEARCH(,Data!C$3:C$635),10^9)+ROW(Data!C$3:C$635)/1000,0))</f>
        <v/>
      </c>
      <c r="D22" s="111" t="str">
        <f t="shared" si="0"/>
        <v/>
      </c>
      <c r="E22" s="111" t="str" cm="1">
        <f t="array" ref="E22">INDEX(Data!E$3:E$635,MATCH(SMALL(IFERROR(SEARCH(,Data!E$3:E$635),10^9)+ROW(Data!E$3:E$635)/1000,ROWS(E$3:E22)),IFERROR(SEARCH(,Data!E$3:E$635),10^9)+ROW(Data!E$3:E$635)/1000,0))</f>
        <v/>
      </c>
      <c r="F22" s="111" t="str" cm="1">
        <f t="array" ref="F22">INDEX(Data!F$3:F$635,MATCH(SMALL(IFERROR(SEARCH(,Data!F$3:F$635),10^9)+ROW(Data!F$3:F$635)/1000,ROWS(F$3:F22)),IFERROR(SEARCH(,Data!F$3:F$635),10^9)+ROW(Data!F$3:F$635)/1000,0))</f>
        <v/>
      </c>
      <c r="G22" s="111" t="str" cm="1">
        <f t="array" ref="G22">INDEX(Data!G$3:G$635,MATCH(SMALL(IFERROR(SEARCH(,Data!G$3:G$635),10^9)+ROW(Data!G$3:G$635)/1000,ROWS(G$3:G22)),IFERROR(SEARCH(,Data!G$3:G$635),10^9)+ROW(Data!G$3:G$635)/1000,0))</f>
        <v/>
      </c>
      <c r="H22" s="623" t="str" cm="1">
        <f t="array" ref="H22">INDEX(Data!I$3:I$635,MATCH(SMALL(IFERROR(SEARCH(,Data!I$3:I$635),10^9)+ROW(Data!I$3:I$635)/1000,ROWS(H$3:H22)),IFERROR(SEARCH(,Data!I$3:I$635),10^9)+ROW(Data!I$3:I$635)/1000,0))</f>
        <v/>
      </c>
      <c r="I22" s="882"/>
      <c r="J22" s="882"/>
    </row>
    <row r="23" spans="1:10" ht="45.75" customHeight="1" x14ac:dyDescent="0.35">
      <c r="A23" s="108" t="str">
        <f>IFERROR(INDEX(Data!A$3:A$635,MATCH(IF(B23="","END",B23),Data!$B$3:$B$635,0)),"")</f>
        <v/>
      </c>
      <c r="B23" s="108" t="str" cm="1">
        <f t="array" ref="B23">INDEX(Data!B$3:B$635,MATCH(SMALL(IFERROR(SEARCH(,Data!B$3:B$635),10^9)+ROW(Data!B$3:B$635)/1000,ROWS(B$3:B23)),IFERROR(SEARCH(,Data!B$3:B$635),10^9)+ROW(Data!B$3:B$635)/1000,0))</f>
        <v/>
      </c>
      <c r="C23" s="317" t="str" cm="1">
        <f t="array" ref="C23">INDEX(Data!C$3:C$635,MATCH(SMALL(IFERROR(SEARCH(,Data!C$3:C$635),10^9)+ROW(Data!C$3:C$635)/1000,ROWS(C$3:C23)),IFERROR(SEARCH(,Data!C$3:C$635),10^9)+ROW(Data!C$3:C$635)/1000,0))</f>
        <v/>
      </c>
      <c r="D23" s="111" t="str">
        <f t="shared" si="0"/>
        <v/>
      </c>
      <c r="E23" s="111" t="str" cm="1">
        <f t="array" ref="E23">INDEX(Data!E$3:E$635,MATCH(SMALL(IFERROR(SEARCH(,Data!E$3:E$635),10^9)+ROW(Data!E$3:E$635)/1000,ROWS(E$3:E23)),IFERROR(SEARCH(,Data!E$3:E$635),10^9)+ROW(Data!E$3:E$635)/1000,0))</f>
        <v/>
      </c>
      <c r="F23" s="111" t="str" cm="1">
        <f t="array" ref="F23">INDEX(Data!F$3:F$635,MATCH(SMALL(IFERROR(SEARCH(,Data!F$3:F$635),10^9)+ROW(Data!F$3:F$635)/1000,ROWS(F$3:F23)),IFERROR(SEARCH(,Data!F$3:F$635),10^9)+ROW(Data!F$3:F$635)/1000,0))</f>
        <v/>
      </c>
      <c r="G23" s="111" t="str" cm="1">
        <f t="array" ref="G23">INDEX(Data!G$3:G$635,MATCH(SMALL(IFERROR(SEARCH(,Data!G$3:G$635),10^9)+ROW(Data!G$3:G$635)/1000,ROWS(G$3:G23)),IFERROR(SEARCH(,Data!G$3:G$635),10^9)+ROW(Data!G$3:G$635)/1000,0))</f>
        <v/>
      </c>
      <c r="H23" s="623" t="str" cm="1">
        <f t="array" ref="H23">INDEX(Data!I$3:I$635,MATCH(SMALL(IFERROR(SEARCH(,Data!I$3:I$635),10^9)+ROW(Data!I$3:I$635)/1000,ROWS(H$3:H23)),IFERROR(SEARCH(,Data!I$3:I$635),10^9)+ROW(Data!I$3:I$635)/1000,0))</f>
        <v/>
      </c>
      <c r="I23" s="882"/>
      <c r="J23" s="882"/>
    </row>
    <row r="24" spans="1:10" ht="45.75" customHeight="1" x14ac:dyDescent="0.35">
      <c r="A24" s="108" t="str">
        <f>IFERROR(INDEX(Data!A$3:A$635,MATCH(IF(B24="","END",B24),Data!$B$3:$B$635,0)),"")</f>
        <v/>
      </c>
      <c r="B24" s="108" t="str" cm="1">
        <f t="array" ref="B24">INDEX(Data!B$3:B$635,MATCH(SMALL(IFERROR(SEARCH(,Data!B$3:B$635),10^9)+ROW(Data!B$3:B$635)/1000,ROWS(B$3:B24)),IFERROR(SEARCH(,Data!B$3:B$635),10^9)+ROW(Data!B$3:B$635)/1000,0))</f>
        <v/>
      </c>
      <c r="C24" s="317" t="str" cm="1">
        <f t="array" ref="C24">INDEX(Data!C$3:C$635,MATCH(SMALL(IFERROR(SEARCH(,Data!C$3:C$635),10^9)+ROW(Data!C$3:C$635)/1000,ROWS(C$3:C24)),IFERROR(SEARCH(,Data!C$3:C$635),10^9)+ROW(Data!C$3:C$635)/1000,0))</f>
        <v/>
      </c>
      <c r="D24" s="111" t="str">
        <f t="shared" si="0"/>
        <v/>
      </c>
      <c r="E24" s="111" t="str" cm="1">
        <f t="array" ref="E24">INDEX(Data!E$3:E$635,MATCH(SMALL(IFERROR(SEARCH(,Data!E$3:E$635),10^9)+ROW(Data!E$3:E$635)/1000,ROWS(E$3:E24)),IFERROR(SEARCH(,Data!E$3:E$635),10^9)+ROW(Data!E$3:E$635)/1000,0))</f>
        <v/>
      </c>
      <c r="F24" s="111" t="str" cm="1">
        <f t="array" ref="F24">INDEX(Data!F$3:F$635,MATCH(SMALL(IFERROR(SEARCH(,Data!F$3:F$635),10^9)+ROW(Data!F$3:F$635)/1000,ROWS(F$3:F24)),IFERROR(SEARCH(,Data!F$3:F$635),10^9)+ROW(Data!F$3:F$635)/1000,0))</f>
        <v/>
      </c>
      <c r="G24" s="111" t="str" cm="1">
        <f t="array" ref="G24">INDEX(Data!G$3:G$635,MATCH(SMALL(IFERROR(SEARCH(,Data!G$3:G$635),10^9)+ROW(Data!G$3:G$635)/1000,ROWS(G$3:G24)),IFERROR(SEARCH(,Data!G$3:G$635),10^9)+ROW(Data!G$3:G$635)/1000,0))</f>
        <v/>
      </c>
      <c r="H24" s="623" t="str" cm="1">
        <f t="array" ref="H24">INDEX(Data!I$3:I$635,MATCH(SMALL(IFERROR(SEARCH(,Data!I$3:I$635),10^9)+ROW(Data!I$3:I$635)/1000,ROWS(H$3:H24)),IFERROR(SEARCH(,Data!I$3:I$635),10^9)+ROW(Data!I$3:I$635)/1000,0))</f>
        <v/>
      </c>
      <c r="I24" s="882"/>
      <c r="J24" s="882"/>
    </row>
    <row r="25" spans="1:10" ht="45.75" customHeight="1" x14ac:dyDescent="0.35">
      <c r="A25" s="108" t="str">
        <f>IFERROR(INDEX(Data!A$3:A$635,MATCH(IF(B25="","END",B25),Data!$B$3:$B$635,0)),"")</f>
        <v/>
      </c>
      <c r="B25" s="108" t="str" cm="1">
        <f t="array" ref="B25">INDEX(Data!B$3:B$635,MATCH(SMALL(IFERROR(SEARCH(,Data!B$3:B$635),10^9)+ROW(Data!B$3:B$635)/1000,ROWS(B$3:B25)),IFERROR(SEARCH(,Data!B$3:B$635),10^9)+ROW(Data!B$3:B$635)/1000,0))</f>
        <v/>
      </c>
      <c r="C25" s="317" t="str" cm="1">
        <f t="array" ref="C25">INDEX(Data!C$3:C$635,MATCH(SMALL(IFERROR(SEARCH(,Data!C$3:C$635),10^9)+ROW(Data!C$3:C$635)/1000,ROWS(C$3:C25)),IFERROR(SEARCH(,Data!C$3:C$635),10^9)+ROW(Data!C$3:C$635)/1000,0))</f>
        <v/>
      </c>
      <c r="D25" s="111" t="str">
        <f t="shared" si="0"/>
        <v/>
      </c>
      <c r="E25" s="111" t="str" cm="1">
        <f t="array" ref="E25">INDEX(Data!E$3:E$635,MATCH(SMALL(IFERROR(SEARCH(,Data!E$3:E$635),10^9)+ROW(Data!E$3:E$635)/1000,ROWS(E$3:E25)),IFERROR(SEARCH(,Data!E$3:E$635),10^9)+ROW(Data!E$3:E$635)/1000,0))</f>
        <v/>
      </c>
      <c r="F25" s="111" t="str" cm="1">
        <f t="array" ref="F25">INDEX(Data!F$3:F$635,MATCH(SMALL(IFERROR(SEARCH(,Data!F$3:F$635),10^9)+ROW(Data!F$3:F$635)/1000,ROWS(F$3:F25)),IFERROR(SEARCH(,Data!F$3:F$635),10^9)+ROW(Data!F$3:F$635)/1000,0))</f>
        <v/>
      </c>
      <c r="G25" s="111" t="str" cm="1">
        <f t="array" ref="G25">INDEX(Data!G$3:G$635,MATCH(SMALL(IFERROR(SEARCH(,Data!G$3:G$635),10^9)+ROW(Data!G$3:G$635)/1000,ROWS(G$3:G25)),IFERROR(SEARCH(,Data!G$3:G$635),10^9)+ROW(Data!G$3:G$635)/1000,0))</f>
        <v/>
      </c>
      <c r="H25" s="623" t="str" cm="1">
        <f t="array" ref="H25">INDEX(Data!I$3:I$635,MATCH(SMALL(IFERROR(SEARCH(,Data!I$3:I$635),10^9)+ROW(Data!I$3:I$635)/1000,ROWS(H$3:H25)),IFERROR(SEARCH(,Data!I$3:I$635),10^9)+ROW(Data!I$3:I$635)/1000,0))</f>
        <v/>
      </c>
      <c r="I25" s="882"/>
      <c r="J25" s="882"/>
    </row>
    <row r="26" spans="1:10" ht="45.75" customHeight="1" x14ac:dyDescent="0.35">
      <c r="A26" s="108" t="str">
        <f>IFERROR(INDEX(Data!A$3:A$635,MATCH(IF(B26="","END",B26),Data!$B$3:$B$635,0)),"")</f>
        <v/>
      </c>
      <c r="B26" s="108" t="str" cm="1">
        <f t="array" ref="B26">INDEX(Data!B$3:B$635,MATCH(SMALL(IFERROR(SEARCH(,Data!B$3:B$635),10^9)+ROW(Data!B$3:B$635)/1000,ROWS(B$3:B26)),IFERROR(SEARCH(,Data!B$3:B$635),10^9)+ROW(Data!B$3:B$635)/1000,0))</f>
        <v/>
      </c>
      <c r="C26" s="317" t="str" cm="1">
        <f t="array" ref="C26">INDEX(Data!C$3:C$635,MATCH(SMALL(IFERROR(SEARCH(,Data!C$3:C$635),10^9)+ROW(Data!C$3:C$635)/1000,ROWS(C$3:C26)),IFERROR(SEARCH(,Data!C$3:C$635),10^9)+ROW(Data!C$3:C$635)/1000,0))</f>
        <v/>
      </c>
      <c r="D26" s="111" t="str">
        <f t="shared" si="0"/>
        <v/>
      </c>
      <c r="E26" s="111" t="str" cm="1">
        <f t="array" ref="E26">INDEX(Data!E$3:E$635,MATCH(SMALL(IFERROR(SEARCH(,Data!E$3:E$635),10^9)+ROW(Data!E$3:E$635)/1000,ROWS(E$3:E26)),IFERROR(SEARCH(,Data!E$3:E$635),10^9)+ROW(Data!E$3:E$635)/1000,0))</f>
        <v/>
      </c>
      <c r="F26" s="111" t="str" cm="1">
        <f t="array" ref="F26">INDEX(Data!F$3:F$635,MATCH(SMALL(IFERROR(SEARCH(,Data!F$3:F$635),10^9)+ROW(Data!F$3:F$635)/1000,ROWS(F$3:F26)),IFERROR(SEARCH(,Data!F$3:F$635),10^9)+ROW(Data!F$3:F$635)/1000,0))</f>
        <v/>
      </c>
      <c r="G26" s="111" t="str" cm="1">
        <f t="array" ref="G26">INDEX(Data!G$3:G$635,MATCH(SMALL(IFERROR(SEARCH(,Data!G$3:G$635),10^9)+ROW(Data!G$3:G$635)/1000,ROWS(G$3:G26)),IFERROR(SEARCH(,Data!G$3:G$635),10^9)+ROW(Data!G$3:G$635)/1000,0))</f>
        <v/>
      </c>
      <c r="H26" s="623" t="str" cm="1">
        <f t="array" ref="H26">INDEX(Data!I$3:I$635,MATCH(SMALL(IFERROR(SEARCH(,Data!I$3:I$635),10^9)+ROW(Data!I$3:I$635)/1000,ROWS(H$3:H26)),IFERROR(SEARCH(,Data!I$3:I$635),10^9)+ROW(Data!I$3:I$635)/1000,0))</f>
        <v/>
      </c>
      <c r="I26" s="882"/>
      <c r="J26" s="882"/>
    </row>
    <row r="27" spans="1:10" ht="45.75" customHeight="1" x14ac:dyDescent="0.35">
      <c r="A27" s="108" t="str">
        <f>IFERROR(INDEX(Data!A$3:A$635,MATCH(IF(B27="","END",B27),Data!$B$3:$B$635,0)),"")</f>
        <v/>
      </c>
      <c r="B27" s="108" t="str" cm="1">
        <f t="array" ref="B27">INDEX(Data!B$3:B$635,MATCH(SMALL(IFERROR(SEARCH(,Data!B$3:B$635),10^9)+ROW(Data!B$3:B$635)/1000,ROWS(B$3:B27)),IFERROR(SEARCH(,Data!B$3:B$635),10^9)+ROW(Data!B$3:B$635)/1000,0))</f>
        <v/>
      </c>
      <c r="C27" s="317" t="str" cm="1">
        <f t="array" ref="C27">INDEX(Data!C$3:C$635,MATCH(SMALL(IFERROR(SEARCH(,Data!C$3:C$635),10^9)+ROW(Data!C$3:C$635)/1000,ROWS(C$3:C27)),IFERROR(SEARCH(,Data!C$3:C$635),10^9)+ROW(Data!C$3:C$635)/1000,0))</f>
        <v/>
      </c>
      <c r="D27" s="111" t="str">
        <f t="shared" si="0"/>
        <v/>
      </c>
      <c r="E27" s="111" t="str" cm="1">
        <f t="array" ref="E27">INDEX(Data!E$3:E$635,MATCH(SMALL(IFERROR(SEARCH(,Data!E$3:E$635),10^9)+ROW(Data!E$3:E$635)/1000,ROWS(E$3:E27)),IFERROR(SEARCH(,Data!E$3:E$635),10^9)+ROW(Data!E$3:E$635)/1000,0))</f>
        <v/>
      </c>
      <c r="F27" s="111" t="str" cm="1">
        <f t="array" ref="F27">INDEX(Data!F$3:F$635,MATCH(SMALL(IFERROR(SEARCH(,Data!F$3:F$635),10^9)+ROW(Data!F$3:F$635)/1000,ROWS(F$3:F27)),IFERROR(SEARCH(,Data!F$3:F$635),10^9)+ROW(Data!F$3:F$635)/1000,0))</f>
        <v/>
      </c>
      <c r="G27" s="111" t="str" cm="1">
        <f t="array" ref="G27">INDEX(Data!G$3:G$635,MATCH(SMALL(IFERROR(SEARCH(,Data!G$3:G$635),10^9)+ROW(Data!G$3:G$635)/1000,ROWS(G$3:G27)),IFERROR(SEARCH(,Data!G$3:G$635),10^9)+ROW(Data!G$3:G$635)/1000,0))</f>
        <v/>
      </c>
      <c r="H27" s="623" t="str" cm="1">
        <f t="array" ref="H27">INDEX(Data!I$3:I$635,MATCH(SMALL(IFERROR(SEARCH(,Data!I$3:I$635),10^9)+ROW(Data!I$3:I$635)/1000,ROWS(H$3:H27)),IFERROR(SEARCH(,Data!I$3:I$635),10^9)+ROW(Data!I$3:I$635)/1000,0))</f>
        <v/>
      </c>
      <c r="I27" s="882"/>
      <c r="J27" s="882"/>
    </row>
    <row r="28" spans="1:10" ht="45.75" customHeight="1" x14ac:dyDescent="0.35">
      <c r="A28" s="108" t="str">
        <f>IFERROR(INDEX(Data!A$3:A$635,MATCH(IF(B28="","END",B28),Data!$B$3:$B$635,0)),"")</f>
        <v/>
      </c>
      <c r="B28" s="108" t="str" cm="1">
        <f t="array" ref="B28">INDEX(Data!B$3:B$635,MATCH(SMALL(IFERROR(SEARCH(,Data!B$3:B$635),10^9)+ROW(Data!B$3:B$635)/1000,ROWS(B$3:B28)),IFERROR(SEARCH(,Data!B$3:B$635),10^9)+ROW(Data!B$3:B$635)/1000,0))</f>
        <v/>
      </c>
      <c r="C28" s="317" t="str" cm="1">
        <f t="array" ref="C28">INDEX(Data!C$3:C$635,MATCH(SMALL(IFERROR(SEARCH(,Data!C$3:C$635),10^9)+ROW(Data!C$3:C$635)/1000,ROWS(C$3:C28)),IFERROR(SEARCH(,Data!C$3:C$635),10^9)+ROW(Data!C$3:C$635)/1000,0))</f>
        <v/>
      </c>
      <c r="D28" s="111" t="str">
        <f t="shared" si="0"/>
        <v/>
      </c>
      <c r="E28" s="111" t="str" cm="1">
        <f t="array" ref="E28">INDEX(Data!E$3:E$635,MATCH(SMALL(IFERROR(SEARCH(,Data!E$3:E$635),10^9)+ROW(Data!E$3:E$635)/1000,ROWS(E$3:E28)),IFERROR(SEARCH(,Data!E$3:E$635),10^9)+ROW(Data!E$3:E$635)/1000,0))</f>
        <v/>
      </c>
      <c r="F28" s="111" t="str" cm="1">
        <f t="array" ref="F28">INDEX(Data!F$3:F$635,MATCH(SMALL(IFERROR(SEARCH(,Data!F$3:F$635),10^9)+ROW(Data!F$3:F$635)/1000,ROWS(F$3:F28)),IFERROR(SEARCH(,Data!F$3:F$635),10^9)+ROW(Data!F$3:F$635)/1000,0))</f>
        <v/>
      </c>
      <c r="G28" s="111" t="str" cm="1">
        <f t="array" ref="G28">INDEX(Data!G$3:G$635,MATCH(SMALL(IFERROR(SEARCH(,Data!G$3:G$635),10^9)+ROW(Data!G$3:G$635)/1000,ROWS(G$3:G28)),IFERROR(SEARCH(,Data!G$3:G$635),10^9)+ROW(Data!G$3:G$635)/1000,0))</f>
        <v/>
      </c>
      <c r="H28" s="623" t="str" cm="1">
        <f t="array" ref="H28">INDEX(Data!I$3:I$635,MATCH(SMALL(IFERROR(SEARCH(,Data!I$3:I$635),10^9)+ROW(Data!I$3:I$635)/1000,ROWS(H$3:H28)),IFERROR(SEARCH(,Data!I$3:I$635),10^9)+ROW(Data!I$3:I$635)/1000,0))</f>
        <v/>
      </c>
      <c r="I28" s="882"/>
      <c r="J28" s="882"/>
    </row>
    <row r="29" spans="1:10" ht="45.75" customHeight="1" x14ac:dyDescent="0.35">
      <c r="A29" s="108" t="str">
        <f>IFERROR(INDEX(Data!A$3:A$635,MATCH(IF(B29="","END",B29),Data!$B$3:$B$635,0)),"")</f>
        <v/>
      </c>
      <c r="B29" s="108" t="str" cm="1">
        <f t="array" ref="B29">INDEX(Data!B$3:B$635,MATCH(SMALL(IFERROR(SEARCH(,Data!B$3:B$635),10^9)+ROW(Data!B$3:B$635)/1000,ROWS(B$3:B29)),IFERROR(SEARCH(,Data!B$3:B$635),10^9)+ROW(Data!B$3:B$635)/1000,0))</f>
        <v/>
      </c>
      <c r="C29" s="317" t="str" cm="1">
        <f t="array" ref="C29">INDEX(Data!C$3:C$635,MATCH(SMALL(IFERROR(SEARCH(,Data!C$3:C$635),10^9)+ROW(Data!C$3:C$635)/1000,ROWS(C$3:C29)),IFERROR(SEARCH(,Data!C$3:C$635),10^9)+ROW(Data!C$3:C$635)/1000,0))</f>
        <v/>
      </c>
      <c r="D29" s="111" t="str">
        <f t="shared" si="0"/>
        <v/>
      </c>
      <c r="E29" s="111" t="str" cm="1">
        <f t="array" ref="E29">INDEX(Data!E$3:E$635,MATCH(SMALL(IFERROR(SEARCH(,Data!E$3:E$635),10^9)+ROW(Data!E$3:E$635)/1000,ROWS(E$3:E29)),IFERROR(SEARCH(,Data!E$3:E$635),10^9)+ROW(Data!E$3:E$635)/1000,0))</f>
        <v/>
      </c>
      <c r="F29" s="111" t="str" cm="1">
        <f t="array" ref="F29">INDEX(Data!F$3:F$635,MATCH(SMALL(IFERROR(SEARCH(,Data!F$3:F$635),10^9)+ROW(Data!F$3:F$635)/1000,ROWS(F$3:F29)),IFERROR(SEARCH(,Data!F$3:F$635),10^9)+ROW(Data!F$3:F$635)/1000,0))</f>
        <v/>
      </c>
      <c r="G29" s="111" t="str" cm="1">
        <f t="array" ref="G29">INDEX(Data!G$3:G$635,MATCH(SMALL(IFERROR(SEARCH(,Data!G$3:G$635),10^9)+ROW(Data!G$3:G$635)/1000,ROWS(G$3:G29)),IFERROR(SEARCH(,Data!G$3:G$635),10^9)+ROW(Data!G$3:G$635)/1000,0))</f>
        <v/>
      </c>
      <c r="H29" s="623" t="str" cm="1">
        <f t="array" ref="H29">INDEX(Data!I$3:I$635,MATCH(SMALL(IFERROR(SEARCH(,Data!I$3:I$635),10^9)+ROW(Data!I$3:I$635)/1000,ROWS(H$3:H29)),IFERROR(SEARCH(,Data!I$3:I$635),10^9)+ROW(Data!I$3:I$635)/1000,0))</f>
        <v/>
      </c>
      <c r="I29" s="882"/>
      <c r="J29" s="882"/>
    </row>
    <row r="30" spans="1:10" ht="45.75" customHeight="1" x14ac:dyDescent="0.35">
      <c r="A30" s="108" t="str">
        <f>IFERROR(INDEX(Data!A$3:A$635,MATCH(IF(B30="","END",B30),Data!$B$3:$B$635,0)),"")</f>
        <v/>
      </c>
      <c r="B30" s="108" t="str" cm="1">
        <f t="array" ref="B30">INDEX(Data!B$3:B$635,MATCH(SMALL(IFERROR(SEARCH(,Data!B$3:B$635),10^9)+ROW(Data!B$3:B$635)/1000,ROWS(B$3:B30)),IFERROR(SEARCH(,Data!B$3:B$635),10^9)+ROW(Data!B$3:B$635)/1000,0))</f>
        <v/>
      </c>
      <c r="C30" s="317" t="str" cm="1">
        <f t="array" ref="C30">INDEX(Data!C$3:C$635,MATCH(SMALL(IFERROR(SEARCH(,Data!C$3:C$635),10^9)+ROW(Data!C$3:C$635)/1000,ROWS(C$3:C30)),IFERROR(SEARCH(,Data!C$3:C$635),10^9)+ROW(Data!C$3:C$635)/1000,0))</f>
        <v/>
      </c>
      <c r="D30" s="111" t="str">
        <f t="shared" si="0"/>
        <v/>
      </c>
      <c r="E30" s="111" t="str" cm="1">
        <f t="array" ref="E30">INDEX(Data!E$3:E$635,MATCH(SMALL(IFERROR(SEARCH(,Data!E$3:E$635),10^9)+ROW(Data!E$3:E$635)/1000,ROWS(E$3:E30)),IFERROR(SEARCH(,Data!E$3:E$635),10^9)+ROW(Data!E$3:E$635)/1000,0))</f>
        <v/>
      </c>
      <c r="F30" s="111" t="str" cm="1">
        <f t="array" ref="F30">INDEX(Data!F$3:F$635,MATCH(SMALL(IFERROR(SEARCH(,Data!F$3:F$635),10^9)+ROW(Data!F$3:F$635)/1000,ROWS(F$3:F30)),IFERROR(SEARCH(,Data!F$3:F$635),10^9)+ROW(Data!F$3:F$635)/1000,0))</f>
        <v/>
      </c>
      <c r="G30" s="111" t="str" cm="1">
        <f t="array" ref="G30">INDEX(Data!G$3:G$635,MATCH(SMALL(IFERROR(SEARCH(,Data!G$3:G$635),10^9)+ROW(Data!G$3:G$635)/1000,ROWS(G$3:G30)),IFERROR(SEARCH(,Data!G$3:G$635),10^9)+ROW(Data!G$3:G$635)/1000,0))</f>
        <v/>
      </c>
      <c r="H30" s="623" t="str" cm="1">
        <f t="array" ref="H30">INDEX(Data!I$3:I$635,MATCH(SMALL(IFERROR(SEARCH(,Data!I$3:I$635),10^9)+ROW(Data!I$3:I$635)/1000,ROWS(H$3:H30)),IFERROR(SEARCH(,Data!I$3:I$635),10^9)+ROW(Data!I$3:I$635)/1000,0))</f>
        <v/>
      </c>
      <c r="I30" s="882"/>
      <c r="J30" s="882"/>
    </row>
    <row r="31" spans="1:10" ht="45.75" customHeight="1" x14ac:dyDescent="0.35">
      <c r="A31" s="108" t="str">
        <f>IFERROR(INDEX(Data!A$3:A$635,MATCH(IF(B31="","END",B31),Data!$B$3:$B$635,0)),"")</f>
        <v/>
      </c>
      <c r="B31" s="108" t="str" cm="1">
        <f t="array" ref="B31">INDEX(Data!B$3:B$635,MATCH(SMALL(IFERROR(SEARCH(,Data!B$3:B$635),10^9)+ROW(Data!B$3:B$635)/1000,ROWS(B$3:B31)),IFERROR(SEARCH(,Data!B$3:B$635),10^9)+ROW(Data!B$3:B$635)/1000,0))</f>
        <v/>
      </c>
      <c r="C31" s="317" t="str" cm="1">
        <f t="array" ref="C31">INDEX(Data!C$3:C$635,MATCH(SMALL(IFERROR(SEARCH(,Data!C$3:C$635),10^9)+ROW(Data!C$3:C$635)/1000,ROWS(C$3:C31)),IFERROR(SEARCH(,Data!C$3:C$635),10^9)+ROW(Data!C$3:C$635)/1000,0))</f>
        <v/>
      </c>
      <c r="D31" s="111" t="str">
        <f t="shared" si="0"/>
        <v/>
      </c>
      <c r="E31" s="111" t="str" cm="1">
        <f t="array" ref="E31">INDEX(Data!E$3:E$635,MATCH(SMALL(IFERROR(SEARCH(,Data!E$3:E$635),10^9)+ROW(Data!E$3:E$635)/1000,ROWS(E$3:E31)),IFERROR(SEARCH(,Data!E$3:E$635),10^9)+ROW(Data!E$3:E$635)/1000,0))</f>
        <v/>
      </c>
      <c r="F31" s="111" t="str" cm="1">
        <f t="array" ref="F31">INDEX(Data!F$3:F$635,MATCH(SMALL(IFERROR(SEARCH(,Data!F$3:F$635),10^9)+ROW(Data!F$3:F$635)/1000,ROWS(F$3:F31)),IFERROR(SEARCH(,Data!F$3:F$635),10^9)+ROW(Data!F$3:F$635)/1000,0))</f>
        <v/>
      </c>
      <c r="G31" s="111" t="str" cm="1">
        <f t="array" ref="G31">INDEX(Data!G$3:G$635,MATCH(SMALL(IFERROR(SEARCH(,Data!G$3:G$635),10^9)+ROW(Data!G$3:G$635)/1000,ROWS(G$3:G31)),IFERROR(SEARCH(,Data!G$3:G$635),10^9)+ROW(Data!G$3:G$635)/1000,0))</f>
        <v/>
      </c>
      <c r="H31" s="623" t="str" cm="1">
        <f t="array" ref="H31">INDEX(Data!I$3:I$635,MATCH(SMALL(IFERROR(SEARCH(,Data!I$3:I$635),10^9)+ROW(Data!I$3:I$635)/1000,ROWS(H$3:H31)),IFERROR(SEARCH(,Data!I$3:I$635),10^9)+ROW(Data!I$3:I$635)/1000,0))</f>
        <v/>
      </c>
      <c r="I31" s="882"/>
      <c r="J31" s="882"/>
    </row>
    <row r="32" spans="1:10" ht="45.75" customHeight="1" x14ac:dyDescent="0.35">
      <c r="A32" s="108" t="str">
        <f>IFERROR(INDEX(Data!A$3:A$635,MATCH(IF(B32="","END",B32),Data!$B$3:$B$635,0)),"")</f>
        <v/>
      </c>
      <c r="B32" s="108" t="str" cm="1">
        <f t="array" ref="B32">INDEX(Data!B$3:B$635,MATCH(SMALL(IFERROR(SEARCH(,Data!B$3:B$635),10^9)+ROW(Data!B$3:B$635)/1000,ROWS(B$3:B32)),IFERROR(SEARCH(,Data!B$3:B$635),10^9)+ROW(Data!B$3:B$635)/1000,0))</f>
        <v/>
      </c>
      <c r="C32" s="317" t="str" cm="1">
        <f t="array" ref="C32">INDEX(Data!C$3:C$635,MATCH(SMALL(IFERROR(SEARCH(,Data!C$3:C$635),10^9)+ROW(Data!C$3:C$635)/1000,ROWS(C$3:C32)),IFERROR(SEARCH(,Data!C$3:C$635),10^9)+ROW(Data!C$3:C$635)/1000,0))</f>
        <v/>
      </c>
      <c r="D32" s="111" t="str">
        <f t="shared" si="0"/>
        <v/>
      </c>
      <c r="E32" s="111" t="str" cm="1">
        <f t="array" ref="E32">INDEX(Data!E$3:E$635,MATCH(SMALL(IFERROR(SEARCH(,Data!E$3:E$635),10^9)+ROW(Data!E$3:E$635)/1000,ROWS(E$3:E32)),IFERROR(SEARCH(,Data!E$3:E$635),10^9)+ROW(Data!E$3:E$635)/1000,0))</f>
        <v/>
      </c>
      <c r="F32" s="111" t="str" cm="1">
        <f t="array" ref="F32">INDEX(Data!F$3:F$635,MATCH(SMALL(IFERROR(SEARCH(,Data!F$3:F$635),10^9)+ROW(Data!F$3:F$635)/1000,ROWS(F$3:F32)),IFERROR(SEARCH(,Data!F$3:F$635),10^9)+ROW(Data!F$3:F$635)/1000,0))</f>
        <v/>
      </c>
      <c r="G32" s="111" t="str" cm="1">
        <f t="array" ref="G32">INDEX(Data!G$3:G$635,MATCH(SMALL(IFERROR(SEARCH(,Data!G$3:G$635),10^9)+ROW(Data!G$3:G$635)/1000,ROWS(G$3:G32)),IFERROR(SEARCH(,Data!G$3:G$635),10^9)+ROW(Data!G$3:G$635)/1000,0))</f>
        <v/>
      </c>
      <c r="H32" s="623" t="str" cm="1">
        <f t="array" ref="H32">INDEX(Data!I$3:I$635,MATCH(SMALL(IFERROR(SEARCH(,Data!I$3:I$635),10^9)+ROW(Data!I$3:I$635)/1000,ROWS(H$3:H32)),IFERROR(SEARCH(,Data!I$3:I$635),10^9)+ROW(Data!I$3:I$635)/1000,0))</f>
        <v/>
      </c>
      <c r="I32" s="882"/>
      <c r="J32" s="882"/>
    </row>
    <row r="33" spans="1:10" ht="45.75" customHeight="1" x14ac:dyDescent="0.35">
      <c r="A33" s="108" t="str">
        <f>IFERROR(INDEX(Data!A$3:A$635,MATCH(IF(B33="","END",B33),Data!$B$3:$B$635,0)),"")</f>
        <v/>
      </c>
      <c r="B33" s="108" t="str" cm="1">
        <f t="array" ref="B33">INDEX(Data!B$3:B$635,MATCH(SMALL(IFERROR(SEARCH(,Data!B$3:B$635),10^9)+ROW(Data!B$3:B$635)/1000,ROWS(B$3:B33)),IFERROR(SEARCH(,Data!B$3:B$635),10^9)+ROW(Data!B$3:B$635)/1000,0))</f>
        <v/>
      </c>
      <c r="C33" s="317" t="str" cm="1">
        <f t="array" ref="C33">INDEX(Data!C$3:C$635,MATCH(SMALL(IFERROR(SEARCH(,Data!C$3:C$635),10^9)+ROW(Data!C$3:C$635)/1000,ROWS(C$3:C33)),IFERROR(SEARCH(,Data!C$3:C$635),10^9)+ROW(Data!C$3:C$635)/1000,0))</f>
        <v/>
      </c>
      <c r="D33" s="111" t="str">
        <f t="shared" si="0"/>
        <v/>
      </c>
      <c r="E33" s="111" t="str" cm="1">
        <f t="array" ref="E33">INDEX(Data!E$3:E$635,MATCH(SMALL(IFERROR(SEARCH(,Data!E$3:E$635),10^9)+ROW(Data!E$3:E$635)/1000,ROWS(E$3:E33)),IFERROR(SEARCH(,Data!E$3:E$635),10^9)+ROW(Data!E$3:E$635)/1000,0))</f>
        <v/>
      </c>
      <c r="F33" s="111" t="str" cm="1">
        <f t="array" ref="F33">INDEX(Data!F$3:F$635,MATCH(SMALL(IFERROR(SEARCH(,Data!F$3:F$635),10^9)+ROW(Data!F$3:F$635)/1000,ROWS(F$3:F33)),IFERROR(SEARCH(,Data!F$3:F$635),10^9)+ROW(Data!F$3:F$635)/1000,0))</f>
        <v/>
      </c>
      <c r="G33" s="111" t="str" cm="1">
        <f t="array" ref="G33">INDEX(Data!G$3:G$635,MATCH(SMALL(IFERROR(SEARCH(,Data!G$3:G$635),10^9)+ROW(Data!G$3:G$635)/1000,ROWS(G$3:G33)),IFERROR(SEARCH(,Data!G$3:G$635),10^9)+ROW(Data!G$3:G$635)/1000,0))</f>
        <v/>
      </c>
      <c r="H33" s="623" t="str" cm="1">
        <f t="array" ref="H33">INDEX(Data!I$3:I$635,MATCH(SMALL(IFERROR(SEARCH(,Data!I$3:I$635),10^9)+ROW(Data!I$3:I$635)/1000,ROWS(H$3:H33)),IFERROR(SEARCH(,Data!I$3:I$635),10^9)+ROW(Data!I$3:I$635)/1000,0))</f>
        <v/>
      </c>
      <c r="I33" s="882"/>
      <c r="J33" s="882"/>
    </row>
    <row r="34" spans="1:10" ht="45.75" customHeight="1" x14ac:dyDescent="0.35">
      <c r="A34" s="108" t="str">
        <f>IFERROR(INDEX(Data!A$3:A$635,MATCH(IF(B34="","END",B34),Data!$B$3:$B$635,0)),"")</f>
        <v/>
      </c>
      <c r="B34" s="108" t="str" cm="1">
        <f t="array" ref="B34">INDEX(Data!B$3:B$635,MATCH(SMALL(IFERROR(SEARCH(,Data!B$3:B$635),10^9)+ROW(Data!B$3:B$635)/1000,ROWS(B$3:B34)),IFERROR(SEARCH(,Data!B$3:B$635),10^9)+ROW(Data!B$3:B$635)/1000,0))</f>
        <v/>
      </c>
      <c r="C34" s="317" t="str" cm="1">
        <f t="array" ref="C34">INDEX(Data!C$3:C$635,MATCH(SMALL(IFERROR(SEARCH(,Data!C$3:C$635),10^9)+ROW(Data!C$3:C$635)/1000,ROWS(C$3:C34)),IFERROR(SEARCH(,Data!C$3:C$635),10^9)+ROW(Data!C$3:C$635)/1000,0))</f>
        <v/>
      </c>
      <c r="D34" s="111" t="str">
        <f t="shared" si="0"/>
        <v/>
      </c>
      <c r="E34" s="111" t="str" cm="1">
        <f t="array" ref="E34">INDEX(Data!E$3:E$635,MATCH(SMALL(IFERROR(SEARCH(,Data!E$3:E$635),10^9)+ROW(Data!E$3:E$635)/1000,ROWS(E$3:E34)),IFERROR(SEARCH(,Data!E$3:E$635),10^9)+ROW(Data!E$3:E$635)/1000,0))</f>
        <v/>
      </c>
      <c r="F34" s="111" t="str" cm="1">
        <f t="array" ref="F34">INDEX(Data!F$3:F$635,MATCH(SMALL(IFERROR(SEARCH(,Data!F$3:F$635),10^9)+ROW(Data!F$3:F$635)/1000,ROWS(F$3:F34)),IFERROR(SEARCH(,Data!F$3:F$635),10^9)+ROW(Data!F$3:F$635)/1000,0))</f>
        <v/>
      </c>
      <c r="G34" s="111" t="str" cm="1">
        <f t="array" ref="G34">INDEX(Data!G$3:G$635,MATCH(SMALL(IFERROR(SEARCH(,Data!G$3:G$635),10^9)+ROW(Data!G$3:G$635)/1000,ROWS(G$3:G34)),IFERROR(SEARCH(,Data!G$3:G$635),10^9)+ROW(Data!G$3:G$635)/1000,0))</f>
        <v/>
      </c>
      <c r="H34" s="623" t="str" cm="1">
        <f t="array" ref="H34">INDEX(Data!I$3:I$635,MATCH(SMALL(IFERROR(SEARCH(,Data!I$3:I$635),10^9)+ROW(Data!I$3:I$635)/1000,ROWS(H$3:H34)),IFERROR(SEARCH(,Data!I$3:I$635),10^9)+ROW(Data!I$3:I$635)/1000,0))</f>
        <v/>
      </c>
      <c r="I34" s="882"/>
      <c r="J34" s="882"/>
    </row>
    <row r="35" spans="1:10" ht="45.75" customHeight="1" x14ac:dyDescent="0.35">
      <c r="A35" s="108" t="str">
        <f>IFERROR(INDEX(Data!A$3:A$635,MATCH(IF(B35="","END",B35),Data!$B$3:$B$635,0)),"")</f>
        <v/>
      </c>
      <c r="B35" s="108" t="str" cm="1">
        <f t="array" ref="B35">INDEX(Data!B$3:B$635,MATCH(SMALL(IFERROR(SEARCH(,Data!B$3:B$635),10^9)+ROW(Data!B$3:B$635)/1000,ROWS(B$3:B35)),IFERROR(SEARCH(,Data!B$3:B$635),10^9)+ROW(Data!B$3:B$635)/1000,0))</f>
        <v/>
      </c>
      <c r="C35" s="317" t="str" cm="1">
        <f t="array" ref="C35">INDEX(Data!C$3:C$635,MATCH(SMALL(IFERROR(SEARCH(,Data!C$3:C$635),10^9)+ROW(Data!C$3:C$635)/1000,ROWS(C$3:C35)),IFERROR(SEARCH(,Data!C$3:C$635),10^9)+ROW(Data!C$3:C$635)/1000,0))</f>
        <v/>
      </c>
      <c r="D35" s="111" t="str">
        <f t="shared" si="0"/>
        <v/>
      </c>
      <c r="E35" s="111" t="str" cm="1">
        <f t="array" ref="E35">INDEX(Data!E$3:E$635,MATCH(SMALL(IFERROR(SEARCH(,Data!E$3:E$635),10^9)+ROW(Data!E$3:E$635)/1000,ROWS(E$3:E35)),IFERROR(SEARCH(,Data!E$3:E$635),10^9)+ROW(Data!E$3:E$635)/1000,0))</f>
        <v/>
      </c>
      <c r="F35" s="111" t="str" cm="1">
        <f t="array" ref="F35">INDEX(Data!F$3:F$635,MATCH(SMALL(IFERROR(SEARCH(,Data!F$3:F$635),10^9)+ROW(Data!F$3:F$635)/1000,ROWS(F$3:F35)),IFERROR(SEARCH(,Data!F$3:F$635),10^9)+ROW(Data!F$3:F$635)/1000,0))</f>
        <v/>
      </c>
      <c r="G35" s="111" t="str" cm="1">
        <f t="array" ref="G35">INDEX(Data!G$3:G$635,MATCH(SMALL(IFERROR(SEARCH(,Data!G$3:G$635),10^9)+ROW(Data!G$3:G$635)/1000,ROWS(G$3:G35)),IFERROR(SEARCH(,Data!G$3:G$635),10^9)+ROW(Data!G$3:G$635)/1000,0))</f>
        <v/>
      </c>
      <c r="H35" s="623" t="str" cm="1">
        <f t="array" ref="H35">INDEX(Data!I$3:I$635,MATCH(SMALL(IFERROR(SEARCH(,Data!I$3:I$635),10^9)+ROW(Data!I$3:I$635)/1000,ROWS(H$3:H35)),IFERROR(SEARCH(,Data!I$3:I$635),10^9)+ROW(Data!I$3:I$635)/1000,0))</f>
        <v/>
      </c>
      <c r="I35" s="882"/>
      <c r="J35" s="882"/>
    </row>
    <row r="36" spans="1:10" ht="45.75" customHeight="1" x14ac:dyDescent="0.35">
      <c r="A36" s="108" t="str">
        <f>IFERROR(INDEX(Data!A$3:A$635,MATCH(IF(B36="","END",B36),Data!$B$3:$B$635,0)),"")</f>
        <v/>
      </c>
      <c r="B36" s="108" t="str" cm="1">
        <f t="array" ref="B36">INDEX(Data!B$3:B$635,MATCH(SMALL(IFERROR(SEARCH(,Data!B$3:B$635),10^9)+ROW(Data!B$3:B$635)/1000,ROWS(B$3:B36)),IFERROR(SEARCH(,Data!B$3:B$635),10^9)+ROW(Data!B$3:B$635)/1000,0))</f>
        <v/>
      </c>
      <c r="C36" s="317" t="str" cm="1">
        <f t="array" ref="C36">INDEX(Data!C$3:C$635,MATCH(SMALL(IFERROR(SEARCH(,Data!C$3:C$635),10^9)+ROW(Data!C$3:C$635)/1000,ROWS(C$3:C36)),IFERROR(SEARCH(,Data!C$3:C$635),10^9)+ROW(Data!C$3:C$635)/1000,0))</f>
        <v/>
      </c>
      <c r="D36" s="111" t="str">
        <f t="shared" si="0"/>
        <v/>
      </c>
      <c r="E36" s="111" t="str" cm="1">
        <f t="array" ref="E36">INDEX(Data!E$3:E$635,MATCH(SMALL(IFERROR(SEARCH(,Data!E$3:E$635),10^9)+ROW(Data!E$3:E$635)/1000,ROWS(E$3:E36)),IFERROR(SEARCH(,Data!E$3:E$635),10^9)+ROW(Data!E$3:E$635)/1000,0))</f>
        <v/>
      </c>
      <c r="F36" s="111" t="str" cm="1">
        <f t="array" ref="F36">INDEX(Data!F$3:F$635,MATCH(SMALL(IFERROR(SEARCH(,Data!F$3:F$635),10^9)+ROW(Data!F$3:F$635)/1000,ROWS(F$3:F36)),IFERROR(SEARCH(,Data!F$3:F$635),10^9)+ROW(Data!F$3:F$635)/1000,0))</f>
        <v/>
      </c>
      <c r="G36" s="111" t="str" cm="1">
        <f t="array" ref="G36">INDEX(Data!G$3:G$635,MATCH(SMALL(IFERROR(SEARCH(,Data!G$3:G$635),10^9)+ROW(Data!G$3:G$635)/1000,ROWS(G$3:G36)),IFERROR(SEARCH(,Data!G$3:G$635),10^9)+ROW(Data!G$3:G$635)/1000,0))</f>
        <v/>
      </c>
      <c r="H36" s="623" t="str" cm="1">
        <f t="array" ref="H36">INDEX(Data!I$3:I$635,MATCH(SMALL(IFERROR(SEARCH(,Data!I$3:I$635),10^9)+ROW(Data!I$3:I$635)/1000,ROWS(H$3:H36)),IFERROR(SEARCH(,Data!I$3:I$635),10^9)+ROW(Data!I$3:I$635)/1000,0))</f>
        <v/>
      </c>
      <c r="I36" s="882"/>
      <c r="J36" s="882"/>
    </row>
    <row r="37" spans="1:10" ht="45.75" customHeight="1" x14ac:dyDescent="0.35">
      <c r="A37" s="108" t="str">
        <f>IFERROR(INDEX(Data!A$3:A$635,MATCH(IF(B37="","END",B37),Data!$B$3:$B$635,0)),"")</f>
        <v/>
      </c>
      <c r="B37" s="108" t="str" cm="1">
        <f t="array" ref="B37">INDEX(Data!B$3:B$635,MATCH(SMALL(IFERROR(SEARCH(,Data!B$3:B$635),10^9)+ROW(Data!B$3:B$635)/1000,ROWS(B$3:B37)),IFERROR(SEARCH(,Data!B$3:B$635),10^9)+ROW(Data!B$3:B$635)/1000,0))</f>
        <v/>
      </c>
      <c r="C37" s="317" t="str" cm="1">
        <f t="array" ref="C37">INDEX(Data!C$3:C$635,MATCH(SMALL(IFERROR(SEARCH(,Data!C$3:C$635),10^9)+ROW(Data!C$3:C$635)/1000,ROWS(C$3:C37)),IFERROR(SEARCH(,Data!C$3:C$635),10^9)+ROW(Data!C$3:C$635)/1000,0))</f>
        <v/>
      </c>
      <c r="D37" s="111" t="str">
        <f t="shared" si="0"/>
        <v/>
      </c>
      <c r="E37" s="111" t="str" cm="1">
        <f t="array" ref="E37">INDEX(Data!E$3:E$635,MATCH(SMALL(IFERROR(SEARCH(,Data!E$3:E$635),10^9)+ROW(Data!E$3:E$635)/1000,ROWS(E$3:E37)),IFERROR(SEARCH(,Data!E$3:E$635),10^9)+ROW(Data!E$3:E$635)/1000,0))</f>
        <v/>
      </c>
      <c r="F37" s="111" t="str" cm="1">
        <f t="array" ref="F37">INDEX(Data!F$3:F$635,MATCH(SMALL(IFERROR(SEARCH(,Data!F$3:F$635),10^9)+ROW(Data!F$3:F$635)/1000,ROWS(F$3:F37)),IFERROR(SEARCH(,Data!F$3:F$635),10^9)+ROW(Data!F$3:F$635)/1000,0))</f>
        <v/>
      </c>
      <c r="G37" s="111" t="str" cm="1">
        <f t="array" ref="G37">INDEX(Data!G$3:G$635,MATCH(SMALL(IFERROR(SEARCH(,Data!G$3:G$635),10^9)+ROW(Data!G$3:G$635)/1000,ROWS(G$3:G37)),IFERROR(SEARCH(,Data!G$3:G$635),10^9)+ROW(Data!G$3:G$635)/1000,0))</f>
        <v/>
      </c>
      <c r="H37" s="623" t="str" cm="1">
        <f t="array" ref="H37">INDEX(Data!I$3:I$635,MATCH(SMALL(IFERROR(SEARCH(,Data!I$3:I$635),10^9)+ROW(Data!I$3:I$635)/1000,ROWS(H$3:H37)),IFERROR(SEARCH(,Data!I$3:I$635),10^9)+ROW(Data!I$3:I$635)/1000,0))</f>
        <v/>
      </c>
      <c r="I37" s="882"/>
      <c r="J37" s="882"/>
    </row>
    <row r="38" spans="1:10" ht="45.75" customHeight="1" x14ac:dyDescent="0.35">
      <c r="A38" s="108" t="str">
        <f>IFERROR(INDEX(Data!A$3:A$635,MATCH(IF(B38="","END",B38),Data!$B$3:$B$635,0)),"")</f>
        <v/>
      </c>
      <c r="B38" s="108" t="str" cm="1">
        <f t="array" ref="B38">INDEX(Data!B$3:B$635,MATCH(SMALL(IFERROR(SEARCH(,Data!B$3:B$635),10^9)+ROW(Data!B$3:B$635)/1000,ROWS(B$3:B38)),IFERROR(SEARCH(,Data!B$3:B$635),10^9)+ROW(Data!B$3:B$635)/1000,0))</f>
        <v/>
      </c>
      <c r="C38" s="317" t="str" cm="1">
        <f t="array" ref="C38">INDEX(Data!C$3:C$635,MATCH(SMALL(IFERROR(SEARCH(,Data!C$3:C$635),10^9)+ROW(Data!C$3:C$635)/1000,ROWS(C$3:C38)),IFERROR(SEARCH(,Data!C$3:C$635),10^9)+ROW(Data!C$3:C$635)/1000,0))</f>
        <v/>
      </c>
      <c r="D38" s="111" t="str">
        <f t="shared" si="0"/>
        <v/>
      </c>
      <c r="E38" s="111" t="str" cm="1">
        <f t="array" ref="E38">INDEX(Data!E$3:E$635,MATCH(SMALL(IFERROR(SEARCH(,Data!E$3:E$635),10^9)+ROW(Data!E$3:E$635)/1000,ROWS(E$3:E38)),IFERROR(SEARCH(,Data!E$3:E$635),10^9)+ROW(Data!E$3:E$635)/1000,0))</f>
        <v/>
      </c>
      <c r="F38" s="111" t="str" cm="1">
        <f t="array" ref="F38">INDEX(Data!F$3:F$635,MATCH(SMALL(IFERROR(SEARCH(,Data!F$3:F$635),10^9)+ROW(Data!F$3:F$635)/1000,ROWS(F$3:F38)),IFERROR(SEARCH(,Data!F$3:F$635),10^9)+ROW(Data!F$3:F$635)/1000,0))</f>
        <v/>
      </c>
      <c r="G38" s="111" t="str" cm="1">
        <f t="array" ref="G38">INDEX(Data!G$3:G$635,MATCH(SMALL(IFERROR(SEARCH(,Data!G$3:G$635),10^9)+ROW(Data!G$3:G$635)/1000,ROWS(G$3:G38)),IFERROR(SEARCH(,Data!G$3:G$635),10^9)+ROW(Data!G$3:G$635)/1000,0))</f>
        <v/>
      </c>
      <c r="H38" s="623" t="str" cm="1">
        <f t="array" ref="H38">INDEX(Data!I$3:I$635,MATCH(SMALL(IFERROR(SEARCH(,Data!I$3:I$635),10^9)+ROW(Data!I$3:I$635)/1000,ROWS(H$3:H38)),IFERROR(SEARCH(,Data!I$3:I$635),10^9)+ROW(Data!I$3:I$635)/1000,0))</f>
        <v/>
      </c>
      <c r="I38" s="882"/>
      <c r="J38" s="882"/>
    </row>
    <row r="39" spans="1:10" ht="45.75" customHeight="1" x14ac:dyDescent="0.35">
      <c r="A39" s="108" t="str">
        <f>IFERROR(INDEX(Data!A$3:A$635,MATCH(IF(B39="","END",B39),Data!$B$3:$B$635,0)),"")</f>
        <v/>
      </c>
      <c r="B39" s="108" t="str" cm="1">
        <f t="array" ref="B39">INDEX(Data!B$3:B$635,MATCH(SMALL(IFERROR(SEARCH(,Data!B$3:B$635),10^9)+ROW(Data!B$3:B$635)/1000,ROWS(B$3:B39)),IFERROR(SEARCH(,Data!B$3:B$635),10^9)+ROW(Data!B$3:B$635)/1000,0))</f>
        <v/>
      </c>
      <c r="C39" s="317" t="str" cm="1">
        <f t="array" ref="C39">INDEX(Data!C$3:C$635,MATCH(SMALL(IFERROR(SEARCH(,Data!C$3:C$635),10^9)+ROW(Data!C$3:C$635)/1000,ROWS(C$3:C39)),IFERROR(SEARCH(,Data!C$3:C$635),10^9)+ROW(Data!C$3:C$635)/1000,0))</f>
        <v/>
      </c>
      <c r="D39" s="111" t="str">
        <f t="shared" si="0"/>
        <v/>
      </c>
      <c r="E39" s="111" t="str" cm="1">
        <f t="array" ref="E39">INDEX(Data!E$3:E$635,MATCH(SMALL(IFERROR(SEARCH(,Data!E$3:E$635),10^9)+ROW(Data!E$3:E$635)/1000,ROWS(E$3:E39)),IFERROR(SEARCH(,Data!E$3:E$635),10^9)+ROW(Data!E$3:E$635)/1000,0))</f>
        <v/>
      </c>
      <c r="F39" s="111" t="str" cm="1">
        <f t="array" ref="F39">INDEX(Data!F$3:F$635,MATCH(SMALL(IFERROR(SEARCH(,Data!F$3:F$635),10^9)+ROW(Data!F$3:F$635)/1000,ROWS(F$3:F39)),IFERROR(SEARCH(,Data!F$3:F$635),10^9)+ROW(Data!F$3:F$635)/1000,0))</f>
        <v/>
      </c>
      <c r="G39" s="111" t="str" cm="1">
        <f t="array" ref="G39">INDEX(Data!G$3:G$635,MATCH(SMALL(IFERROR(SEARCH(,Data!G$3:G$635),10^9)+ROW(Data!G$3:G$635)/1000,ROWS(G$3:G39)),IFERROR(SEARCH(,Data!G$3:G$635),10^9)+ROW(Data!G$3:G$635)/1000,0))</f>
        <v/>
      </c>
      <c r="H39" s="623" t="str" cm="1">
        <f t="array" ref="H39">INDEX(Data!I$3:I$635,MATCH(SMALL(IFERROR(SEARCH(,Data!I$3:I$635),10^9)+ROW(Data!I$3:I$635)/1000,ROWS(H$3:H39)),IFERROR(SEARCH(,Data!I$3:I$635),10^9)+ROW(Data!I$3:I$635)/1000,0))</f>
        <v/>
      </c>
      <c r="I39" s="882"/>
      <c r="J39" s="882"/>
    </row>
    <row r="40" spans="1:10" ht="45.75" customHeight="1" x14ac:dyDescent="0.35">
      <c r="A40" s="108" t="str">
        <f>IFERROR(INDEX(Data!A$3:A$635,MATCH(IF(B40="","END",B40),Data!$B$3:$B$635,0)),"")</f>
        <v/>
      </c>
      <c r="B40" s="108" t="str" cm="1">
        <f t="array" ref="B40">INDEX(Data!B$3:B$635,MATCH(SMALL(IFERROR(SEARCH(,Data!B$3:B$635),10^9)+ROW(Data!B$3:B$635)/1000,ROWS(B$3:B40)),IFERROR(SEARCH(,Data!B$3:B$635),10^9)+ROW(Data!B$3:B$635)/1000,0))</f>
        <v/>
      </c>
      <c r="C40" s="317" t="str" cm="1">
        <f t="array" ref="C40">INDEX(Data!C$3:C$635,MATCH(SMALL(IFERROR(SEARCH(,Data!C$3:C$635),10^9)+ROW(Data!C$3:C$635)/1000,ROWS(C$3:C40)),IFERROR(SEARCH(,Data!C$3:C$635),10^9)+ROW(Data!C$3:C$635)/1000,0))</f>
        <v/>
      </c>
      <c r="D40" s="111" t="str">
        <f t="shared" si="0"/>
        <v/>
      </c>
      <c r="E40" s="111" t="str" cm="1">
        <f t="array" ref="E40">INDEX(Data!E$3:E$635,MATCH(SMALL(IFERROR(SEARCH(,Data!E$3:E$635),10^9)+ROW(Data!E$3:E$635)/1000,ROWS(E$3:E40)),IFERROR(SEARCH(,Data!E$3:E$635),10^9)+ROW(Data!E$3:E$635)/1000,0))</f>
        <v/>
      </c>
      <c r="F40" s="111" t="str" cm="1">
        <f t="array" ref="F40">INDEX(Data!F$3:F$635,MATCH(SMALL(IFERROR(SEARCH(,Data!F$3:F$635),10^9)+ROW(Data!F$3:F$635)/1000,ROWS(F$3:F40)),IFERROR(SEARCH(,Data!F$3:F$635),10^9)+ROW(Data!F$3:F$635)/1000,0))</f>
        <v/>
      </c>
      <c r="G40" s="111" t="str" cm="1">
        <f t="array" ref="G40">INDEX(Data!G$3:G$635,MATCH(SMALL(IFERROR(SEARCH(,Data!G$3:G$635),10^9)+ROW(Data!G$3:G$635)/1000,ROWS(G$3:G40)),IFERROR(SEARCH(,Data!G$3:G$635),10^9)+ROW(Data!G$3:G$635)/1000,0))</f>
        <v/>
      </c>
      <c r="H40" s="623" t="str" cm="1">
        <f t="array" ref="H40">INDEX(Data!I$3:I$635,MATCH(SMALL(IFERROR(SEARCH(,Data!I$3:I$635),10^9)+ROW(Data!I$3:I$635)/1000,ROWS(H$3:H40)),IFERROR(SEARCH(,Data!I$3:I$635),10^9)+ROW(Data!I$3:I$635)/1000,0))</f>
        <v/>
      </c>
      <c r="I40" s="882"/>
      <c r="J40" s="882"/>
    </row>
    <row r="41" spans="1:10" ht="45.75" customHeight="1" x14ac:dyDescent="0.35">
      <c r="A41" s="108" t="str">
        <f>IFERROR(INDEX(Data!A$3:A$635,MATCH(IF(B41="","END",B41),Data!$B$3:$B$635,0)),"")</f>
        <v/>
      </c>
      <c r="B41" s="108" t="str" cm="1">
        <f t="array" ref="B41">INDEX(Data!B$3:B$635,MATCH(SMALL(IFERROR(SEARCH(,Data!B$3:B$635),10^9)+ROW(Data!B$3:B$635)/1000,ROWS(B$3:B41)),IFERROR(SEARCH(,Data!B$3:B$635),10^9)+ROW(Data!B$3:B$635)/1000,0))</f>
        <v/>
      </c>
      <c r="C41" s="317" t="str" cm="1">
        <f t="array" ref="C41">INDEX(Data!C$3:C$635,MATCH(SMALL(IFERROR(SEARCH(,Data!C$3:C$635),10^9)+ROW(Data!C$3:C$635)/1000,ROWS(C$3:C41)),IFERROR(SEARCH(,Data!C$3:C$635),10^9)+ROW(Data!C$3:C$635)/1000,0))</f>
        <v/>
      </c>
      <c r="D41" s="111" t="str">
        <f t="shared" si="0"/>
        <v/>
      </c>
      <c r="E41" s="111" t="str" cm="1">
        <f t="array" ref="E41">INDEX(Data!E$3:E$635,MATCH(SMALL(IFERROR(SEARCH(,Data!E$3:E$635),10^9)+ROW(Data!E$3:E$635)/1000,ROWS(E$3:E41)),IFERROR(SEARCH(,Data!E$3:E$635),10^9)+ROW(Data!E$3:E$635)/1000,0))</f>
        <v/>
      </c>
      <c r="F41" s="111" t="str" cm="1">
        <f t="array" ref="F41">INDEX(Data!F$3:F$635,MATCH(SMALL(IFERROR(SEARCH(,Data!F$3:F$635),10^9)+ROW(Data!F$3:F$635)/1000,ROWS(F$3:F41)),IFERROR(SEARCH(,Data!F$3:F$635),10^9)+ROW(Data!F$3:F$635)/1000,0))</f>
        <v/>
      </c>
      <c r="G41" s="111" t="str" cm="1">
        <f t="array" ref="G41">INDEX(Data!G$3:G$635,MATCH(SMALL(IFERROR(SEARCH(,Data!G$3:G$635),10^9)+ROW(Data!G$3:G$635)/1000,ROWS(G$3:G41)),IFERROR(SEARCH(,Data!G$3:G$635),10^9)+ROW(Data!G$3:G$635)/1000,0))</f>
        <v/>
      </c>
      <c r="H41" s="623" t="str" cm="1">
        <f t="array" ref="H41">INDEX(Data!I$3:I$635,MATCH(SMALL(IFERROR(SEARCH(,Data!I$3:I$635),10^9)+ROW(Data!I$3:I$635)/1000,ROWS(H$3:H41)),IFERROR(SEARCH(,Data!I$3:I$635),10^9)+ROW(Data!I$3:I$635)/1000,0))</f>
        <v/>
      </c>
      <c r="I41" s="882"/>
      <c r="J41" s="882"/>
    </row>
    <row r="42" spans="1:10" ht="45.75" customHeight="1" x14ac:dyDescent="0.35">
      <c r="A42" s="108" t="str">
        <f>IFERROR(INDEX(Data!A$3:A$635,MATCH(IF(B42="","END",B42),Data!$B$3:$B$635,0)),"")</f>
        <v/>
      </c>
      <c r="B42" s="108" t="str" cm="1">
        <f t="array" ref="B42">INDEX(Data!B$3:B$635,MATCH(SMALL(IFERROR(SEARCH(,Data!B$3:B$635),10^9)+ROW(Data!B$3:B$635)/1000,ROWS(B$3:B42)),IFERROR(SEARCH(,Data!B$3:B$635),10^9)+ROW(Data!B$3:B$635)/1000,0))</f>
        <v/>
      </c>
      <c r="C42" s="317" t="str" cm="1">
        <f t="array" ref="C42">INDEX(Data!C$3:C$635,MATCH(SMALL(IFERROR(SEARCH(,Data!C$3:C$635),10^9)+ROW(Data!C$3:C$635)/1000,ROWS(C$3:C42)),IFERROR(SEARCH(,Data!C$3:C$635),10^9)+ROW(Data!C$3:C$635)/1000,0))</f>
        <v/>
      </c>
      <c r="D42" s="111" t="str">
        <f t="shared" si="0"/>
        <v/>
      </c>
      <c r="E42" s="111" t="str" cm="1">
        <f t="array" ref="E42">INDEX(Data!E$3:E$635,MATCH(SMALL(IFERROR(SEARCH(,Data!E$3:E$635),10^9)+ROW(Data!E$3:E$635)/1000,ROWS(E$3:E42)),IFERROR(SEARCH(,Data!E$3:E$635),10^9)+ROW(Data!E$3:E$635)/1000,0))</f>
        <v/>
      </c>
      <c r="F42" s="111" t="str" cm="1">
        <f t="array" ref="F42">INDEX(Data!F$3:F$635,MATCH(SMALL(IFERROR(SEARCH(,Data!F$3:F$635),10^9)+ROW(Data!F$3:F$635)/1000,ROWS(F$3:F42)),IFERROR(SEARCH(,Data!F$3:F$635),10^9)+ROW(Data!F$3:F$635)/1000,0))</f>
        <v/>
      </c>
      <c r="G42" s="111" t="str" cm="1">
        <f t="array" ref="G42">INDEX(Data!G$3:G$635,MATCH(SMALL(IFERROR(SEARCH(,Data!G$3:G$635),10^9)+ROW(Data!G$3:G$635)/1000,ROWS(G$3:G42)),IFERROR(SEARCH(,Data!G$3:G$635),10^9)+ROW(Data!G$3:G$635)/1000,0))</f>
        <v/>
      </c>
      <c r="H42" s="623" t="str" cm="1">
        <f t="array" ref="H42">INDEX(Data!I$3:I$635,MATCH(SMALL(IFERROR(SEARCH(,Data!I$3:I$635),10^9)+ROW(Data!I$3:I$635)/1000,ROWS(H$3:H42)),IFERROR(SEARCH(,Data!I$3:I$635),10^9)+ROW(Data!I$3:I$635)/1000,0))</f>
        <v/>
      </c>
      <c r="I42" s="882"/>
      <c r="J42" s="882"/>
    </row>
    <row r="43" spans="1:10" ht="45.75" customHeight="1" x14ac:dyDescent="0.35">
      <c r="A43" s="108" t="str">
        <f>IFERROR(INDEX(Data!A$3:A$635,MATCH(IF(B43="","END",B43),Data!$B$3:$B$635,0)),"")</f>
        <v/>
      </c>
      <c r="B43" s="108" t="str" cm="1">
        <f t="array" ref="B43">INDEX(Data!B$3:B$635,MATCH(SMALL(IFERROR(SEARCH(,Data!B$3:B$635),10^9)+ROW(Data!B$3:B$635)/1000,ROWS(B$3:B43)),IFERROR(SEARCH(,Data!B$3:B$635),10^9)+ROW(Data!B$3:B$635)/1000,0))</f>
        <v/>
      </c>
      <c r="C43" s="317" t="str" cm="1">
        <f t="array" ref="C43">INDEX(Data!C$3:C$635,MATCH(SMALL(IFERROR(SEARCH(,Data!C$3:C$635),10^9)+ROW(Data!C$3:C$635)/1000,ROWS(C$3:C43)),IFERROR(SEARCH(,Data!C$3:C$635),10^9)+ROW(Data!C$3:C$635)/1000,0))</f>
        <v/>
      </c>
      <c r="D43" s="111" t="str">
        <f t="shared" si="0"/>
        <v/>
      </c>
      <c r="E43" s="111" t="str" cm="1">
        <f t="array" ref="E43">INDEX(Data!E$3:E$635,MATCH(SMALL(IFERROR(SEARCH(,Data!E$3:E$635),10^9)+ROW(Data!E$3:E$635)/1000,ROWS(E$3:E43)),IFERROR(SEARCH(,Data!E$3:E$635),10^9)+ROW(Data!E$3:E$635)/1000,0))</f>
        <v/>
      </c>
      <c r="F43" s="111" t="str" cm="1">
        <f t="array" ref="F43">INDEX(Data!F$3:F$635,MATCH(SMALL(IFERROR(SEARCH(,Data!F$3:F$635),10^9)+ROW(Data!F$3:F$635)/1000,ROWS(F$3:F43)),IFERROR(SEARCH(,Data!F$3:F$635),10^9)+ROW(Data!F$3:F$635)/1000,0))</f>
        <v/>
      </c>
      <c r="G43" s="111" t="str" cm="1">
        <f t="array" ref="G43">INDEX(Data!G$3:G$635,MATCH(SMALL(IFERROR(SEARCH(,Data!G$3:G$635),10^9)+ROW(Data!G$3:G$635)/1000,ROWS(G$3:G43)),IFERROR(SEARCH(,Data!G$3:G$635),10^9)+ROW(Data!G$3:G$635)/1000,0))</f>
        <v/>
      </c>
      <c r="H43" s="623" t="str" cm="1">
        <f t="array" ref="H43">INDEX(Data!I$3:I$635,MATCH(SMALL(IFERROR(SEARCH(,Data!I$3:I$635),10^9)+ROW(Data!I$3:I$635)/1000,ROWS(H$3:H43)),IFERROR(SEARCH(,Data!I$3:I$635),10^9)+ROW(Data!I$3:I$635)/1000,0))</f>
        <v/>
      </c>
      <c r="I43" s="882"/>
      <c r="J43" s="882"/>
    </row>
    <row r="44" spans="1:10" ht="45.75" customHeight="1" x14ac:dyDescent="0.35">
      <c r="A44" s="108" t="str">
        <f>IFERROR(INDEX(Data!A$3:A$635,MATCH(IF(B44="","END",B44),Data!$B$3:$B$635,0)),"")</f>
        <v/>
      </c>
      <c r="B44" s="108" t="str" cm="1">
        <f t="array" ref="B44">INDEX(Data!B$3:B$635,MATCH(SMALL(IFERROR(SEARCH(,Data!B$3:B$635),10^9)+ROW(Data!B$3:B$635)/1000,ROWS(B$3:B44)),IFERROR(SEARCH(,Data!B$3:B$635),10^9)+ROW(Data!B$3:B$635)/1000,0))</f>
        <v/>
      </c>
      <c r="C44" s="317" t="str" cm="1">
        <f t="array" ref="C44">INDEX(Data!C$3:C$635,MATCH(SMALL(IFERROR(SEARCH(,Data!C$3:C$635),10^9)+ROW(Data!C$3:C$635)/1000,ROWS(C$3:C44)),IFERROR(SEARCH(,Data!C$3:C$635),10^9)+ROW(Data!C$3:C$635)/1000,0))</f>
        <v/>
      </c>
      <c r="D44" s="111" t="str">
        <f t="shared" si="0"/>
        <v/>
      </c>
      <c r="E44" s="111" t="str" cm="1">
        <f t="array" ref="E44">INDEX(Data!E$3:E$635,MATCH(SMALL(IFERROR(SEARCH(,Data!E$3:E$635),10^9)+ROW(Data!E$3:E$635)/1000,ROWS(E$3:E44)),IFERROR(SEARCH(,Data!E$3:E$635),10^9)+ROW(Data!E$3:E$635)/1000,0))</f>
        <v/>
      </c>
      <c r="F44" s="111" t="str" cm="1">
        <f t="array" ref="F44">INDEX(Data!F$3:F$635,MATCH(SMALL(IFERROR(SEARCH(,Data!F$3:F$635),10^9)+ROW(Data!F$3:F$635)/1000,ROWS(F$3:F44)),IFERROR(SEARCH(,Data!F$3:F$635),10^9)+ROW(Data!F$3:F$635)/1000,0))</f>
        <v/>
      </c>
      <c r="G44" s="111" t="str" cm="1">
        <f t="array" ref="G44">INDEX(Data!G$3:G$635,MATCH(SMALL(IFERROR(SEARCH(,Data!G$3:G$635),10^9)+ROW(Data!G$3:G$635)/1000,ROWS(G$3:G44)),IFERROR(SEARCH(,Data!G$3:G$635),10^9)+ROW(Data!G$3:G$635)/1000,0))</f>
        <v/>
      </c>
      <c r="H44" s="623" t="str" cm="1">
        <f t="array" ref="H44">INDEX(Data!I$3:I$635,MATCH(SMALL(IFERROR(SEARCH(,Data!I$3:I$635),10^9)+ROW(Data!I$3:I$635)/1000,ROWS(H$3:H44)),IFERROR(SEARCH(,Data!I$3:I$635),10^9)+ROW(Data!I$3:I$635)/1000,0))</f>
        <v/>
      </c>
      <c r="I44" s="882"/>
      <c r="J44" s="882"/>
    </row>
    <row r="45" spans="1:10" ht="45.75" customHeight="1" x14ac:dyDescent="0.35">
      <c r="A45" s="108" t="str">
        <f>IFERROR(INDEX(Data!A$3:A$635,MATCH(IF(B45="","END",B45),Data!$B$3:$B$635,0)),"")</f>
        <v/>
      </c>
      <c r="B45" s="108" t="str" cm="1">
        <f t="array" ref="B45">INDEX(Data!B$3:B$635,MATCH(SMALL(IFERROR(SEARCH(,Data!B$3:B$635),10^9)+ROW(Data!B$3:B$635)/1000,ROWS(B$3:B45)),IFERROR(SEARCH(,Data!B$3:B$635),10^9)+ROW(Data!B$3:B$635)/1000,0))</f>
        <v/>
      </c>
      <c r="C45" s="317" t="str" cm="1">
        <f t="array" ref="C45">INDEX(Data!C$3:C$635,MATCH(SMALL(IFERROR(SEARCH(,Data!C$3:C$635),10^9)+ROW(Data!C$3:C$635)/1000,ROWS(C$3:C45)),IFERROR(SEARCH(,Data!C$3:C$635),10^9)+ROW(Data!C$3:C$635)/1000,0))</f>
        <v/>
      </c>
      <c r="D45" s="111" t="str">
        <f t="shared" si="0"/>
        <v/>
      </c>
      <c r="E45" s="111" t="str" cm="1">
        <f t="array" ref="E45">INDEX(Data!E$3:E$635,MATCH(SMALL(IFERROR(SEARCH(,Data!E$3:E$635),10^9)+ROW(Data!E$3:E$635)/1000,ROWS(E$3:E45)),IFERROR(SEARCH(,Data!E$3:E$635),10^9)+ROW(Data!E$3:E$635)/1000,0))</f>
        <v/>
      </c>
      <c r="F45" s="111" t="str" cm="1">
        <f t="array" ref="F45">INDEX(Data!F$3:F$635,MATCH(SMALL(IFERROR(SEARCH(,Data!F$3:F$635),10^9)+ROW(Data!F$3:F$635)/1000,ROWS(F$3:F45)),IFERROR(SEARCH(,Data!F$3:F$635),10^9)+ROW(Data!F$3:F$635)/1000,0))</f>
        <v/>
      </c>
      <c r="G45" s="111" t="str" cm="1">
        <f t="array" ref="G45">INDEX(Data!G$3:G$635,MATCH(SMALL(IFERROR(SEARCH(,Data!G$3:G$635),10^9)+ROW(Data!G$3:G$635)/1000,ROWS(G$3:G45)),IFERROR(SEARCH(,Data!G$3:G$635),10^9)+ROW(Data!G$3:G$635)/1000,0))</f>
        <v/>
      </c>
      <c r="H45" s="623" t="str" cm="1">
        <f t="array" ref="H45">INDEX(Data!I$3:I$635,MATCH(SMALL(IFERROR(SEARCH(,Data!I$3:I$635),10^9)+ROW(Data!I$3:I$635)/1000,ROWS(H$3:H45)),IFERROR(SEARCH(,Data!I$3:I$635),10^9)+ROW(Data!I$3:I$635)/1000,0))</f>
        <v/>
      </c>
      <c r="I45" s="882"/>
      <c r="J45" s="882"/>
    </row>
    <row r="46" spans="1:10" ht="45.75" customHeight="1" x14ac:dyDescent="0.35">
      <c r="A46" s="108" t="str">
        <f>IFERROR(INDEX(Data!A$3:A$635,MATCH(IF(B46="","END",B46),Data!$B$3:$B$635,0)),"")</f>
        <v/>
      </c>
      <c r="B46" s="108" t="str" cm="1">
        <f t="array" ref="B46">INDEX(Data!B$3:B$635,MATCH(SMALL(IFERROR(SEARCH(,Data!B$3:B$635),10^9)+ROW(Data!B$3:B$635)/1000,ROWS(B$3:B46)),IFERROR(SEARCH(,Data!B$3:B$635),10^9)+ROW(Data!B$3:B$635)/1000,0))</f>
        <v/>
      </c>
      <c r="C46" s="317" t="str" cm="1">
        <f t="array" ref="C46">INDEX(Data!C$3:C$635,MATCH(SMALL(IFERROR(SEARCH(,Data!C$3:C$635),10^9)+ROW(Data!C$3:C$635)/1000,ROWS(C$3:C46)),IFERROR(SEARCH(,Data!C$3:C$635),10^9)+ROW(Data!C$3:C$635)/1000,0))</f>
        <v/>
      </c>
      <c r="D46" s="111" t="str">
        <f t="shared" si="0"/>
        <v/>
      </c>
      <c r="E46" s="111" t="str" cm="1">
        <f t="array" ref="E46">INDEX(Data!E$3:E$635,MATCH(SMALL(IFERROR(SEARCH(,Data!E$3:E$635),10^9)+ROW(Data!E$3:E$635)/1000,ROWS(E$3:E46)),IFERROR(SEARCH(,Data!E$3:E$635),10^9)+ROW(Data!E$3:E$635)/1000,0))</f>
        <v/>
      </c>
      <c r="F46" s="111" t="str" cm="1">
        <f t="array" ref="F46">INDEX(Data!F$3:F$635,MATCH(SMALL(IFERROR(SEARCH(,Data!F$3:F$635),10^9)+ROW(Data!F$3:F$635)/1000,ROWS(F$3:F46)),IFERROR(SEARCH(,Data!F$3:F$635),10^9)+ROW(Data!F$3:F$635)/1000,0))</f>
        <v/>
      </c>
      <c r="G46" s="111" t="str" cm="1">
        <f t="array" ref="G46">INDEX(Data!G$3:G$635,MATCH(SMALL(IFERROR(SEARCH(,Data!G$3:G$635),10^9)+ROW(Data!G$3:G$635)/1000,ROWS(G$3:G46)),IFERROR(SEARCH(,Data!G$3:G$635),10^9)+ROW(Data!G$3:G$635)/1000,0))</f>
        <v/>
      </c>
      <c r="H46" s="623" t="str" cm="1">
        <f t="array" ref="H46">INDEX(Data!I$3:I$635,MATCH(SMALL(IFERROR(SEARCH(,Data!I$3:I$635),10^9)+ROW(Data!I$3:I$635)/1000,ROWS(H$3:H46)),IFERROR(SEARCH(,Data!I$3:I$635),10^9)+ROW(Data!I$3:I$635)/1000,0))</f>
        <v/>
      </c>
      <c r="I46" s="882"/>
      <c r="J46" s="882"/>
    </row>
    <row r="47" spans="1:10" ht="45.75" customHeight="1" x14ac:dyDescent="0.35">
      <c r="A47" s="108" t="str">
        <f>IFERROR(INDEX(Data!A$3:A$635,MATCH(IF(B47="","END",B47),Data!$B$3:$B$635,0)),"")</f>
        <v/>
      </c>
      <c r="B47" s="108" t="str" cm="1">
        <f t="array" ref="B47">INDEX(Data!B$3:B$635,MATCH(SMALL(IFERROR(SEARCH(,Data!B$3:B$635),10^9)+ROW(Data!B$3:B$635)/1000,ROWS(B$3:B47)),IFERROR(SEARCH(,Data!B$3:B$635),10^9)+ROW(Data!B$3:B$635)/1000,0))</f>
        <v/>
      </c>
      <c r="C47" s="317" t="str" cm="1">
        <f t="array" ref="C47">INDEX(Data!C$3:C$635,MATCH(SMALL(IFERROR(SEARCH(,Data!C$3:C$635),10^9)+ROW(Data!C$3:C$635)/1000,ROWS(C$3:C47)),IFERROR(SEARCH(,Data!C$3:C$635),10^9)+ROW(Data!C$3:C$635)/1000,0))</f>
        <v/>
      </c>
      <c r="D47" s="111" t="str">
        <f t="shared" si="0"/>
        <v/>
      </c>
      <c r="E47" s="111" t="str" cm="1">
        <f t="array" ref="E47">INDEX(Data!E$3:E$635,MATCH(SMALL(IFERROR(SEARCH(,Data!E$3:E$635),10^9)+ROW(Data!E$3:E$635)/1000,ROWS(E$3:E47)),IFERROR(SEARCH(,Data!E$3:E$635),10^9)+ROW(Data!E$3:E$635)/1000,0))</f>
        <v/>
      </c>
      <c r="F47" s="111" t="str" cm="1">
        <f t="array" ref="F47">INDEX(Data!F$3:F$635,MATCH(SMALL(IFERROR(SEARCH(,Data!F$3:F$635),10^9)+ROW(Data!F$3:F$635)/1000,ROWS(F$3:F47)),IFERROR(SEARCH(,Data!F$3:F$635),10^9)+ROW(Data!F$3:F$635)/1000,0))</f>
        <v/>
      </c>
      <c r="G47" s="111" t="str" cm="1">
        <f t="array" ref="G47">INDEX(Data!G$3:G$635,MATCH(SMALL(IFERROR(SEARCH(,Data!G$3:G$635),10^9)+ROW(Data!G$3:G$635)/1000,ROWS(G$3:G47)),IFERROR(SEARCH(,Data!G$3:G$635),10^9)+ROW(Data!G$3:G$635)/1000,0))</f>
        <v/>
      </c>
      <c r="H47" s="623" t="str" cm="1">
        <f t="array" ref="H47">INDEX(Data!I$3:I$635,MATCH(SMALL(IFERROR(SEARCH(,Data!I$3:I$635),10^9)+ROW(Data!I$3:I$635)/1000,ROWS(H$3:H47)),IFERROR(SEARCH(,Data!I$3:I$635),10^9)+ROW(Data!I$3:I$635)/1000,0))</f>
        <v/>
      </c>
      <c r="I47" s="882"/>
      <c r="J47" s="882"/>
    </row>
    <row r="48" spans="1:10" ht="45.75" customHeight="1" x14ac:dyDescent="0.35">
      <c r="A48" s="108" t="str">
        <f>IFERROR(INDEX(Data!A$3:A$635,MATCH(IF(B48="","END",B48),Data!$B$3:$B$635,0)),"")</f>
        <v/>
      </c>
      <c r="B48" s="108" t="str" cm="1">
        <f t="array" ref="B48">INDEX(Data!B$3:B$635,MATCH(SMALL(IFERROR(SEARCH(,Data!B$3:B$635),10^9)+ROW(Data!B$3:B$635)/1000,ROWS(B$3:B48)),IFERROR(SEARCH(,Data!B$3:B$635),10^9)+ROW(Data!B$3:B$635)/1000,0))</f>
        <v/>
      </c>
      <c r="C48" s="317" t="str" cm="1">
        <f t="array" ref="C48">INDEX(Data!C$3:C$635,MATCH(SMALL(IFERROR(SEARCH(,Data!C$3:C$635),10^9)+ROW(Data!C$3:C$635)/1000,ROWS(C$3:C48)),IFERROR(SEARCH(,Data!C$3:C$635),10^9)+ROW(Data!C$3:C$635)/1000,0))</f>
        <v/>
      </c>
      <c r="D48" s="111" t="str">
        <f t="shared" si="0"/>
        <v/>
      </c>
      <c r="E48" s="111" t="str" cm="1">
        <f t="array" ref="E48">INDEX(Data!E$3:E$635,MATCH(SMALL(IFERROR(SEARCH(,Data!E$3:E$635),10^9)+ROW(Data!E$3:E$635)/1000,ROWS(E$3:E48)),IFERROR(SEARCH(,Data!E$3:E$635),10^9)+ROW(Data!E$3:E$635)/1000,0))</f>
        <v/>
      </c>
      <c r="F48" s="111" t="str" cm="1">
        <f t="array" ref="F48">INDEX(Data!F$3:F$635,MATCH(SMALL(IFERROR(SEARCH(,Data!F$3:F$635),10^9)+ROW(Data!F$3:F$635)/1000,ROWS(F$3:F48)),IFERROR(SEARCH(,Data!F$3:F$635),10^9)+ROW(Data!F$3:F$635)/1000,0))</f>
        <v/>
      </c>
      <c r="G48" s="111" t="str" cm="1">
        <f t="array" ref="G48">INDEX(Data!G$3:G$635,MATCH(SMALL(IFERROR(SEARCH(,Data!G$3:G$635),10^9)+ROW(Data!G$3:G$635)/1000,ROWS(G$3:G48)),IFERROR(SEARCH(,Data!G$3:G$635),10^9)+ROW(Data!G$3:G$635)/1000,0))</f>
        <v/>
      </c>
      <c r="H48" s="623" t="str" cm="1">
        <f t="array" ref="H48">INDEX(Data!I$3:I$635,MATCH(SMALL(IFERROR(SEARCH(,Data!I$3:I$635),10^9)+ROW(Data!I$3:I$635)/1000,ROWS(H$3:H48)),IFERROR(SEARCH(,Data!I$3:I$635),10^9)+ROW(Data!I$3:I$635)/1000,0))</f>
        <v/>
      </c>
      <c r="I48" s="882"/>
      <c r="J48" s="882"/>
    </row>
    <row r="49" spans="1:10" ht="45.75" customHeight="1" x14ac:dyDescent="0.35">
      <c r="A49" s="108" t="str">
        <f>IFERROR(INDEX(Data!A$3:A$635,MATCH(IF(B49="","END",B49),Data!$B$3:$B$635,0)),"")</f>
        <v/>
      </c>
      <c r="B49" s="108" t="str" cm="1">
        <f t="array" ref="B49">INDEX(Data!B$3:B$635,MATCH(SMALL(IFERROR(SEARCH(,Data!B$3:B$635),10^9)+ROW(Data!B$3:B$635)/1000,ROWS(B$3:B49)),IFERROR(SEARCH(,Data!B$3:B$635),10^9)+ROW(Data!B$3:B$635)/1000,0))</f>
        <v/>
      </c>
      <c r="C49" s="317" t="str" cm="1">
        <f t="array" ref="C49">INDEX(Data!C$3:C$635,MATCH(SMALL(IFERROR(SEARCH(,Data!C$3:C$635),10^9)+ROW(Data!C$3:C$635)/1000,ROWS(C$3:C49)),IFERROR(SEARCH(,Data!C$3:C$635),10^9)+ROW(Data!C$3:C$635)/1000,0))</f>
        <v/>
      </c>
      <c r="D49" s="111" t="str">
        <f t="shared" si="0"/>
        <v/>
      </c>
      <c r="E49" s="111" t="str" cm="1">
        <f t="array" ref="E49">INDEX(Data!E$3:E$635,MATCH(SMALL(IFERROR(SEARCH(,Data!E$3:E$635),10^9)+ROW(Data!E$3:E$635)/1000,ROWS(E$3:E49)),IFERROR(SEARCH(,Data!E$3:E$635),10^9)+ROW(Data!E$3:E$635)/1000,0))</f>
        <v/>
      </c>
      <c r="F49" s="111" t="str" cm="1">
        <f t="array" ref="F49">INDEX(Data!F$3:F$635,MATCH(SMALL(IFERROR(SEARCH(,Data!F$3:F$635),10^9)+ROW(Data!F$3:F$635)/1000,ROWS(F$3:F49)),IFERROR(SEARCH(,Data!F$3:F$635),10^9)+ROW(Data!F$3:F$635)/1000,0))</f>
        <v/>
      </c>
      <c r="G49" s="111" t="str" cm="1">
        <f t="array" ref="G49">INDEX(Data!G$3:G$635,MATCH(SMALL(IFERROR(SEARCH(,Data!G$3:G$635),10^9)+ROW(Data!G$3:G$635)/1000,ROWS(G$3:G49)),IFERROR(SEARCH(,Data!G$3:G$635),10^9)+ROW(Data!G$3:G$635)/1000,0))</f>
        <v/>
      </c>
      <c r="H49" s="623" t="str" cm="1">
        <f t="array" ref="H49">INDEX(Data!I$3:I$635,MATCH(SMALL(IFERROR(SEARCH(,Data!I$3:I$635),10^9)+ROW(Data!I$3:I$635)/1000,ROWS(H$3:H49)),IFERROR(SEARCH(,Data!I$3:I$635),10^9)+ROW(Data!I$3:I$635)/1000,0))</f>
        <v/>
      </c>
      <c r="I49" s="882"/>
      <c r="J49" s="882"/>
    </row>
    <row r="50" spans="1:10" ht="45.75" customHeight="1" x14ac:dyDescent="0.35">
      <c r="A50" s="108" t="str">
        <f>IFERROR(INDEX(Data!A$3:A$635,MATCH(IF(B50="","END",B50),Data!$B$3:$B$635,0)),"")</f>
        <v/>
      </c>
      <c r="B50" s="108" t="str" cm="1">
        <f t="array" ref="B50">INDEX(Data!B$3:B$635,MATCH(SMALL(IFERROR(SEARCH(,Data!B$3:B$635),10^9)+ROW(Data!B$3:B$635)/1000,ROWS(B$3:B50)),IFERROR(SEARCH(,Data!B$3:B$635),10^9)+ROW(Data!B$3:B$635)/1000,0))</f>
        <v/>
      </c>
      <c r="C50" s="317" t="str" cm="1">
        <f t="array" ref="C50">INDEX(Data!C$3:C$635,MATCH(SMALL(IFERROR(SEARCH(,Data!C$3:C$635),10^9)+ROW(Data!C$3:C$635)/1000,ROWS(C$3:C50)),IFERROR(SEARCH(,Data!C$3:C$635),10^9)+ROW(Data!C$3:C$635)/1000,0))</f>
        <v/>
      </c>
      <c r="D50" s="111" t="str">
        <f t="shared" si="0"/>
        <v/>
      </c>
      <c r="E50" s="111" t="str" cm="1">
        <f t="array" ref="E50">INDEX(Data!E$3:E$635,MATCH(SMALL(IFERROR(SEARCH(,Data!E$3:E$635),10^9)+ROW(Data!E$3:E$635)/1000,ROWS(E$3:E50)),IFERROR(SEARCH(,Data!E$3:E$635),10^9)+ROW(Data!E$3:E$635)/1000,0))</f>
        <v/>
      </c>
      <c r="F50" s="111" t="str" cm="1">
        <f t="array" ref="F50">INDEX(Data!F$3:F$635,MATCH(SMALL(IFERROR(SEARCH(,Data!F$3:F$635),10^9)+ROW(Data!F$3:F$635)/1000,ROWS(F$3:F50)),IFERROR(SEARCH(,Data!F$3:F$635),10^9)+ROW(Data!F$3:F$635)/1000,0))</f>
        <v/>
      </c>
      <c r="G50" s="111" t="str" cm="1">
        <f t="array" ref="G50">INDEX(Data!G$3:G$635,MATCH(SMALL(IFERROR(SEARCH(,Data!G$3:G$635),10^9)+ROW(Data!G$3:G$635)/1000,ROWS(G$3:G50)),IFERROR(SEARCH(,Data!G$3:G$635),10^9)+ROW(Data!G$3:G$635)/1000,0))</f>
        <v/>
      </c>
      <c r="H50" s="623" t="str" cm="1">
        <f t="array" ref="H50">INDEX(Data!I$3:I$635,MATCH(SMALL(IFERROR(SEARCH(,Data!I$3:I$635),10^9)+ROW(Data!I$3:I$635)/1000,ROWS(H$3:H50)),IFERROR(SEARCH(,Data!I$3:I$635),10^9)+ROW(Data!I$3:I$635)/1000,0))</f>
        <v/>
      </c>
      <c r="I50" s="882"/>
      <c r="J50" s="882"/>
    </row>
    <row r="51" spans="1:10" ht="45.75" customHeight="1" x14ac:dyDescent="0.35">
      <c r="A51" s="108" t="str">
        <f>IFERROR(INDEX(Data!A$3:A$635,MATCH(IF(B51="","END",B51),Data!$B$3:$B$635,0)),"")</f>
        <v/>
      </c>
      <c r="B51" s="108" t="str" cm="1">
        <f t="array" ref="B51">INDEX(Data!B$3:B$635,MATCH(SMALL(IFERROR(SEARCH(,Data!B$3:B$635),10^9)+ROW(Data!B$3:B$635)/1000,ROWS(B$3:B51)),IFERROR(SEARCH(,Data!B$3:B$635),10^9)+ROW(Data!B$3:B$635)/1000,0))</f>
        <v/>
      </c>
      <c r="C51" s="317" t="str" cm="1">
        <f t="array" ref="C51">INDEX(Data!C$3:C$635,MATCH(SMALL(IFERROR(SEARCH(,Data!C$3:C$635),10^9)+ROW(Data!C$3:C$635)/1000,ROWS(C$3:C51)),IFERROR(SEARCH(,Data!C$3:C$635),10^9)+ROW(Data!C$3:C$635)/1000,0))</f>
        <v/>
      </c>
      <c r="D51" s="111" t="str">
        <f t="shared" si="0"/>
        <v/>
      </c>
      <c r="E51" s="111" t="str" cm="1">
        <f t="array" ref="E51">INDEX(Data!E$3:E$635,MATCH(SMALL(IFERROR(SEARCH(,Data!E$3:E$635),10^9)+ROW(Data!E$3:E$635)/1000,ROWS(E$3:E51)),IFERROR(SEARCH(,Data!E$3:E$635),10^9)+ROW(Data!E$3:E$635)/1000,0))</f>
        <v/>
      </c>
      <c r="F51" s="111" t="str" cm="1">
        <f t="array" ref="F51">INDEX(Data!F$3:F$635,MATCH(SMALL(IFERROR(SEARCH(,Data!F$3:F$635),10^9)+ROW(Data!F$3:F$635)/1000,ROWS(F$3:F51)),IFERROR(SEARCH(,Data!F$3:F$635),10^9)+ROW(Data!F$3:F$635)/1000,0))</f>
        <v/>
      </c>
      <c r="G51" s="111" t="str" cm="1">
        <f t="array" ref="G51">INDEX(Data!G$3:G$635,MATCH(SMALL(IFERROR(SEARCH(,Data!G$3:G$635),10^9)+ROW(Data!G$3:G$635)/1000,ROWS(G$3:G51)),IFERROR(SEARCH(,Data!G$3:G$635),10^9)+ROW(Data!G$3:G$635)/1000,0))</f>
        <v/>
      </c>
      <c r="H51" s="623" t="str" cm="1">
        <f t="array" ref="H51">INDEX(Data!I$3:I$635,MATCH(SMALL(IFERROR(SEARCH(,Data!I$3:I$635),10^9)+ROW(Data!I$3:I$635)/1000,ROWS(H$3:H51)),IFERROR(SEARCH(,Data!I$3:I$635),10^9)+ROW(Data!I$3:I$635)/1000,0))</f>
        <v/>
      </c>
      <c r="I51" s="882"/>
      <c r="J51" s="882"/>
    </row>
    <row r="52" spans="1:10" ht="45.75" customHeight="1" x14ac:dyDescent="0.35">
      <c r="A52" s="108" t="str">
        <f>IFERROR(INDEX(Data!A$3:A$635,MATCH(IF(B52="","END",B52),Data!$B$3:$B$635,0)),"")</f>
        <v/>
      </c>
      <c r="B52" s="108" t="str" cm="1">
        <f t="array" ref="B52">INDEX(Data!B$3:B$635,MATCH(SMALL(IFERROR(SEARCH(,Data!B$3:B$635),10^9)+ROW(Data!B$3:B$635)/1000,ROWS(B$3:B52)),IFERROR(SEARCH(,Data!B$3:B$635),10^9)+ROW(Data!B$3:B$635)/1000,0))</f>
        <v/>
      </c>
      <c r="C52" s="317" t="str" cm="1">
        <f t="array" ref="C52">INDEX(Data!C$3:C$635,MATCH(SMALL(IFERROR(SEARCH(,Data!C$3:C$635),10^9)+ROW(Data!C$3:C$635)/1000,ROWS(C$3:C52)),IFERROR(SEARCH(,Data!C$3:C$635),10^9)+ROW(Data!C$3:C$635)/1000,0))</f>
        <v/>
      </c>
      <c r="D52" s="111" t="str">
        <f t="shared" si="0"/>
        <v/>
      </c>
      <c r="E52" s="111" t="str" cm="1">
        <f t="array" ref="E52">INDEX(Data!E$3:E$635,MATCH(SMALL(IFERROR(SEARCH(,Data!E$3:E$635),10^9)+ROW(Data!E$3:E$635)/1000,ROWS(E$3:E52)),IFERROR(SEARCH(,Data!E$3:E$635),10^9)+ROW(Data!E$3:E$635)/1000,0))</f>
        <v/>
      </c>
      <c r="F52" s="111" t="str" cm="1">
        <f t="array" ref="F52">INDEX(Data!F$3:F$635,MATCH(SMALL(IFERROR(SEARCH(,Data!F$3:F$635),10^9)+ROW(Data!F$3:F$635)/1000,ROWS(F$3:F52)),IFERROR(SEARCH(,Data!F$3:F$635),10^9)+ROW(Data!F$3:F$635)/1000,0))</f>
        <v/>
      </c>
      <c r="G52" s="111" t="str" cm="1">
        <f t="array" ref="G52">INDEX(Data!G$3:G$635,MATCH(SMALL(IFERROR(SEARCH(,Data!G$3:G$635),10^9)+ROW(Data!G$3:G$635)/1000,ROWS(G$3:G52)),IFERROR(SEARCH(,Data!G$3:G$635),10^9)+ROW(Data!G$3:G$635)/1000,0))</f>
        <v/>
      </c>
      <c r="H52" s="623" t="str" cm="1">
        <f t="array" ref="H52">INDEX(Data!I$3:I$635,MATCH(SMALL(IFERROR(SEARCH(,Data!I$3:I$635),10^9)+ROW(Data!I$3:I$635)/1000,ROWS(H$3:H52)),IFERROR(SEARCH(,Data!I$3:I$635),10^9)+ROW(Data!I$3:I$635)/1000,0))</f>
        <v/>
      </c>
      <c r="I52" s="882"/>
      <c r="J52" s="882"/>
    </row>
    <row r="53" spans="1:10" ht="45.75" customHeight="1" x14ac:dyDescent="0.35">
      <c r="A53" s="108" t="str">
        <f>IFERROR(INDEX(Data!A$3:A$635,MATCH(IF(B53="","END",B53),Data!$B$3:$B$635,0)),"")</f>
        <v/>
      </c>
      <c r="B53" s="108" t="str" cm="1">
        <f t="array" ref="B53">INDEX(Data!B$3:B$635,MATCH(SMALL(IFERROR(SEARCH(,Data!B$3:B$635),10^9)+ROW(Data!B$3:B$635)/1000,ROWS(B$3:B53)),IFERROR(SEARCH(,Data!B$3:B$635),10^9)+ROW(Data!B$3:B$635)/1000,0))</f>
        <v/>
      </c>
      <c r="C53" s="317" t="str" cm="1">
        <f t="array" ref="C53">INDEX(Data!C$3:C$635,MATCH(SMALL(IFERROR(SEARCH(,Data!C$3:C$635),10^9)+ROW(Data!C$3:C$635)/1000,ROWS(C$3:C53)),IFERROR(SEARCH(,Data!C$3:C$635),10^9)+ROW(Data!C$3:C$635)/1000,0))</f>
        <v/>
      </c>
      <c r="D53" s="111" t="str">
        <f t="shared" si="0"/>
        <v/>
      </c>
      <c r="E53" s="111" t="str" cm="1">
        <f t="array" ref="E53">INDEX(Data!E$3:E$635,MATCH(SMALL(IFERROR(SEARCH(,Data!E$3:E$635),10^9)+ROW(Data!E$3:E$635)/1000,ROWS(E$3:E53)),IFERROR(SEARCH(,Data!E$3:E$635),10^9)+ROW(Data!E$3:E$635)/1000,0))</f>
        <v/>
      </c>
      <c r="F53" s="111" t="str" cm="1">
        <f t="array" ref="F53">INDEX(Data!F$3:F$635,MATCH(SMALL(IFERROR(SEARCH(,Data!F$3:F$635),10^9)+ROW(Data!F$3:F$635)/1000,ROWS(F$3:F53)),IFERROR(SEARCH(,Data!F$3:F$635),10^9)+ROW(Data!F$3:F$635)/1000,0))</f>
        <v/>
      </c>
      <c r="G53" s="111" t="str" cm="1">
        <f t="array" ref="G53">INDEX(Data!G$3:G$635,MATCH(SMALL(IFERROR(SEARCH(,Data!G$3:G$635),10^9)+ROW(Data!G$3:G$635)/1000,ROWS(G$3:G53)),IFERROR(SEARCH(,Data!G$3:G$635),10^9)+ROW(Data!G$3:G$635)/1000,0))</f>
        <v/>
      </c>
      <c r="H53" s="623" t="str" cm="1">
        <f t="array" ref="H53">INDEX(Data!I$3:I$635,MATCH(SMALL(IFERROR(SEARCH(,Data!I$3:I$635),10^9)+ROW(Data!I$3:I$635)/1000,ROWS(H$3:H53)),IFERROR(SEARCH(,Data!I$3:I$635),10^9)+ROW(Data!I$3:I$635)/1000,0))</f>
        <v/>
      </c>
      <c r="I53" s="882"/>
      <c r="J53" s="882"/>
    </row>
    <row r="54" spans="1:10" ht="45.75" customHeight="1" x14ac:dyDescent="0.35">
      <c r="A54" s="108" t="str">
        <f>IFERROR(INDEX(Data!A$3:A$635,MATCH(IF(B54="","END",B54),Data!$B$3:$B$635,0)),"")</f>
        <v/>
      </c>
      <c r="B54" s="108" t="str" cm="1">
        <f t="array" ref="B54">INDEX(Data!B$3:B$635,MATCH(SMALL(IFERROR(SEARCH(,Data!B$3:B$635),10^9)+ROW(Data!B$3:B$635)/1000,ROWS(B$3:B54)),IFERROR(SEARCH(,Data!B$3:B$635),10^9)+ROW(Data!B$3:B$635)/1000,0))</f>
        <v/>
      </c>
      <c r="C54" s="317" t="str" cm="1">
        <f t="array" ref="C54">INDEX(Data!C$3:C$635,MATCH(SMALL(IFERROR(SEARCH(,Data!C$3:C$635),10^9)+ROW(Data!C$3:C$635)/1000,ROWS(C$3:C54)),IFERROR(SEARCH(,Data!C$3:C$635),10^9)+ROW(Data!C$3:C$635)/1000,0))</f>
        <v/>
      </c>
      <c r="D54" s="111" t="str">
        <f t="shared" si="0"/>
        <v/>
      </c>
      <c r="E54" s="111" t="str" cm="1">
        <f t="array" ref="E54">INDEX(Data!E$3:E$635,MATCH(SMALL(IFERROR(SEARCH(,Data!E$3:E$635),10^9)+ROW(Data!E$3:E$635)/1000,ROWS(E$3:E54)),IFERROR(SEARCH(,Data!E$3:E$635),10^9)+ROW(Data!E$3:E$635)/1000,0))</f>
        <v/>
      </c>
      <c r="F54" s="111" t="str" cm="1">
        <f t="array" ref="F54">INDEX(Data!F$3:F$635,MATCH(SMALL(IFERROR(SEARCH(,Data!F$3:F$635),10^9)+ROW(Data!F$3:F$635)/1000,ROWS(F$3:F54)),IFERROR(SEARCH(,Data!F$3:F$635),10^9)+ROW(Data!F$3:F$635)/1000,0))</f>
        <v/>
      </c>
      <c r="G54" s="111" t="str" cm="1">
        <f t="array" ref="G54">INDEX(Data!G$3:G$635,MATCH(SMALL(IFERROR(SEARCH(,Data!G$3:G$635),10^9)+ROW(Data!G$3:G$635)/1000,ROWS(G$3:G54)),IFERROR(SEARCH(,Data!G$3:G$635),10^9)+ROW(Data!G$3:G$635)/1000,0))</f>
        <v/>
      </c>
      <c r="H54" s="623" t="str" cm="1">
        <f t="array" ref="H54">INDEX(Data!I$3:I$635,MATCH(SMALL(IFERROR(SEARCH(,Data!I$3:I$635),10^9)+ROW(Data!I$3:I$635)/1000,ROWS(H$3:H54)),IFERROR(SEARCH(,Data!I$3:I$635),10^9)+ROW(Data!I$3:I$635)/1000,0))</f>
        <v/>
      </c>
      <c r="I54" s="882"/>
      <c r="J54" s="882"/>
    </row>
    <row r="55" spans="1:10" ht="45.75" customHeight="1" x14ac:dyDescent="0.35">
      <c r="A55" s="108" t="str">
        <f>IFERROR(INDEX(Data!A$3:A$635,MATCH(IF(B55="","END",B55),Data!$B$3:$B$635,0)),"")</f>
        <v/>
      </c>
      <c r="B55" s="108" t="str" cm="1">
        <f t="array" ref="B55">INDEX(Data!B$3:B$635,MATCH(SMALL(IFERROR(SEARCH(,Data!B$3:B$635),10^9)+ROW(Data!B$3:B$635)/1000,ROWS(B$3:B55)),IFERROR(SEARCH(,Data!B$3:B$635),10^9)+ROW(Data!B$3:B$635)/1000,0))</f>
        <v/>
      </c>
      <c r="C55" s="317" t="str" cm="1">
        <f t="array" ref="C55">INDEX(Data!C$3:C$635,MATCH(SMALL(IFERROR(SEARCH(,Data!C$3:C$635),10^9)+ROW(Data!C$3:C$635)/1000,ROWS(C$3:C55)),IFERROR(SEARCH(,Data!C$3:C$635),10^9)+ROW(Data!C$3:C$635)/1000,0))</f>
        <v/>
      </c>
      <c r="D55" s="111" t="str">
        <f t="shared" si="0"/>
        <v/>
      </c>
      <c r="E55" s="111" t="str" cm="1">
        <f t="array" ref="E55">INDEX(Data!E$3:E$635,MATCH(SMALL(IFERROR(SEARCH(,Data!E$3:E$635),10^9)+ROW(Data!E$3:E$635)/1000,ROWS(E$3:E55)),IFERROR(SEARCH(,Data!E$3:E$635),10^9)+ROW(Data!E$3:E$635)/1000,0))</f>
        <v/>
      </c>
      <c r="F55" s="111" t="str" cm="1">
        <f t="array" ref="F55">INDEX(Data!F$3:F$635,MATCH(SMALL(IFERROR(SEARCH(,Data!F$3:F$635),10^9)+ROW(Data!F$3:F$635)/1000,ROWS(F$3:F55)),IFERROR(SEARCH(,Data!F$3:F$635),10^9)+ROW(Data!F$3:F$635)/1000,0))</f>
        <v/>
      </c>
      <c r="G55" s="111" t="str" cm="1">
        <f t="array" ref="G55">INDEX(Data!G$3:G$635,MATCH(SMALL(IFERROR(SEARCH(,Data!G$3:G$635),10^9)+ROW(Data!G$3:G$635)/1000,ROWS(G$3:G55)),IFERROR(SEARCH(,Data!G$3:G$635),10^9)+ROW(Data!G$3:G$635)/1000,0))</f>
        <v/>
      </c>
      <c r="H55" s="623" t="str" cm="1">
        <f t="array" ref="H55">INDEX(Data!I$3:I$635,MATCH(SMALL(IFERROR(SEARCH(,Data!I$3:I$635),10^9)+ROW(Data!I$3:I$635)/1000,ROWS(H$3:H55)),IFERROR(SEARCH(,Data!I$3:I$635),10^9)+ROW(Data!I$3:I$635)/1000,0))</f>
        <v/>
      </c>
      <c r="I55" s="882"/>
      <c r="J55" s="882"/>
    </row>
    <row r="56" spans="1:10" ht="45.75" customHeight="1" x14ac:dyDescent="0.35">
      <c r="A56" s="108" t="str">
        <f>IFERROR(INDEX(Data!A$3:A$635,MATCH(IF(B56="","END",B56),Data!$B$3:$B$635,0)),"")</f>
        <v/>
      </c>
      <c r="B56" s="108" t="str" cm="1">
        <f t="array" ref="B56">INDEX(Data!B$3:B$635,MATCH(SMALL(IFERROR(SEARCH(,Data!B$3:B$635),10^9)+ROW(Data!B$3:B$635)/1000,ROWS(B$3:B56)),IFERROR(SEARCH(,Data!B$3:B$635),10^9)+ROW(Data!B$3:B$635)/1000,0))</f>
        <v/>
      </c>
      <c r="C56" s="317" t="str" cm="1">
        <f t="array" ref="C56">INDEX(Data!C$3:C$635,MATCH(SMALL(IFERROR(SEARCH(,Data!C$3:C$635),10^9)+ROW(Data!C$3:C$635)/1000,ROWS(C$3:C56)),IFERROR(SEARCH(,Data!C$3:C$635),10^9)+ROW(Data!C$3:C$635)/1000,0))</f>
        <v/>
      </c>
      <c r="D56" s="111" t="str">
        <f t="shared" si="0"/>
        <v/>
      </c>
      <c r="E56" s="111" t="str" cm="1">
        <f t="array" ref="E56">INDEX(Data!E$3:E$635,MATCH(SMALL(IFERROR(SEARCH(,Data!E$3:E$635),10^9)+ROW(Data!E$3:E$635)/1000,ROWS(E$3:E56)),IFERROR(SEARCH(,Data!E$3:E$635),10^9)+ROW(Data!E$3:E$635)/1000,0))</f>
        <v/>
      </c>
      <c r="F56" s="111" t="str" cm="1">
        <f t="array" ref="F56">INDEX(Data!F$3:F$635,MATCH(SMALL(IFERROR(SEARCH(,Data!F$3:F$635),10^9)+ROW(Data!F$3:F$635)/1000,ROWS(F$3:F56)),IFERROR(SEARCH(,Data!F$3:F$635),10^9)+ROW(Data!F$3:F$635)/1000,0))</f>
        <v/>
      </c>
      <c r="G56" s="111" t="str" cm="1">
        <f t="array" ref="G56">INDEX(Data!G$3:G$635,MATCH(SMALL(IFERROR(SEARCH(,Data!G$3:G$635),10^9)+ROW(Data!G$3:G$635)/1000,ROWS(G$3:G56)),IFERROR(SEARCH(,Data!G$3:G$635),10^9)+ROW(Data!G$3:G$635)/1000,0))</f>
        <v/>
      </c>
      <c r="H56" s="623" t="str" cm="1">
        <f t="array" ref="H56">INDEX(Data!I$3:I$635,MATCH(SMALL(IFERROR(SEARCH(,Data!I$3:I$635),10^9)+ROW(Data!I$3:I$635)/1000,ROWS(H$3:H56)),IFERROR(SEARCH(,Data!I$3:I$635),10^9)+ROW(Data!I$3:I$635)/1000,0))</f>
        <v/>
      </c>
      <c r="I56" s="882"/>
      <c r="J56" s="882"/>
    </row>
    <row r="57" spans="1:10" ht="45.75" customHeight="1" x14ac:dyDescent="0.35">
      <c r="A57" s="108" t="str">
        <f>IFERROR(INDEX(Data!A$3:A$635,MATCH(IF(B57="","END",B57),Data!$B$3:$B$635,0)),"")</f>
        <v/>
      </c>
      <c r="B57" s="108" t="str" cm="1">
        <f t="array" ref="B57">INDEX(Data!B$3:B$635,MATCH(SMALL(IFERROR(SEARCH(,Data!B$3:B$635),10^9)+ROW(Data!B$3:B$635)/1000,ROWS(B$3:B57)),IFERROR(SEARCH(,Data!B$3:B$635),10^9)+ROW(Data!B$3:B$635)/1000,0))</f>
        <v/>
      </c>
      <c r="C57" s="317" t="str" cm="1">
        <f t="array" ref="C57">INDEX(Data!C$3:C$635,MATCH(SMALL(IFERROR(SEARCH(,Data!C$3:C$635),10^9)+ROW(Data!C$3:C$635)/1000,ROWS(C$3:C57)),IFERROR(SEARCH(,Data!C$3:C$635),10^9)+ROW(Data!C$3:C$635)/1000,0))</f>
        <v/>
      </c>
      <c r="D57" s="111" t="str">
        <f t="shared" si="0"/>
        <v/>
      </c>
      <c r="E57" s="111" t="str" cm="1">
        <f t="array" ref="E57">INDEX(Data!E$3:E$635,MATCH(SMALL(IFERROR(SEARCH(,Data!E$3:E$635),10^9)+ROW(Data!E$3:E$635)/1000,ROWS(E$3:E57)),IFERROR(SEARCH(,Data!E$3:E$635),10^9)+ROW(Data!E$3:E$635)/1000,0))</f>
        <v/>
      </c>
      <c r="F57" s="111" t="str" cm="1">
        <f t="array" ref="F57">INDEX(Data!F$3:F$635,MATCH(SMALL(IFERROR(SEARCH(,Data!F$3:F$635),10^9)+ROW(Data!F$3:F$635)/1000,ROWS(F$3:F57)),IFERROR(SEARCH(,Data!F$3:F$635),10^9)+ROW(Data!F$3:F$635)/1000,0))</f>
        <v/>
      </c>
      <c r="G57" s="111" t="str" cm="1">
        <f t="array" ref="G57">INDEX(Data!G$3:G$635,MATCH(SMALL(IFERROR(SEARCH(,Data!G$3:G$635),10^9)+ROW(Data!G$3:G$635)/1000,ROWS(G$3:G57)),IFERROR(SEARCH(,Data!G$3:G$635),10^9)+ROW(Data!G$3:G$635)/1000,0))</f>
        <v/>
      </c>
      <c r="H57" s="623" t="str" cm="1">
        <f t="array" ref="H57">INDEX(Data!I$3:I$635,MATCH(SMALL(IFERROR(SEARCH(,Data!I$3:I$635),10^9)+ROW(Data!I$3:I$635)/1000,ROWS(H$3:H57)),IFERROR(SEARCH(,Data!I$3:I$635),10^9)+ROW(Data!I$3:I$635)/1000,0))</f>
        <v/>
      </c>
      <c r="I57" s="882"/>
      <c r="J57" s="882"/>
    </row>
    <row r="58" spans="1:10" ht="45.75" customHeight="1" x14ac:dyDescent="0.35">
      <c r="A58" s="108" t="str">
        <f>IFERROR(INDEX(Data!A$3:A$635,MATCH(IF(B58="","END",B58),Data!$B$3:$B$635,0)),"")</f>
        <v/>
      </c>
      <c r="B58" s="108" t="str" cm="1">
        <f t="array" ref="B58">INDEX(Data!B$3:B$635,MATCH(SMALL(IFERROR(SEARCH(,Data!B$3:B$635),10^9)+ROW(Data!B$3:B$635)/1000,ROWS(B$3:B58)),IFERROR(SEARCH(,Data!B$3:B$635),10^9)+ROW(Data!B$3:B$635)/1000,0))</f>
        <v/>
      </c>
      <c r="C58" s="317" t="str" cm="1">
        <f t="array" ref="C58">INDEX(Data!C$3:C$635,MATCH(SMALL(IFERROR(SEARCH(,Data!C$3:C$635),10^9)+ROW(Data!C$3:C$635)/1000,ROWS(C$3:C58)),IFERROR(SEARCH(,Data!C$3:C$635),10^9)+ROW(Data!C$3:C$635)/1000,0))</f>
        <v/>
      </c>
      <c r="D58" s="111" t="str">
        <f t="shared" si="0"/>
        <v/>
      </c>
      <c r="E58" s="111" t="str" cm="1">
        <f t="array" ref="E58">INDEX(Data!E$3:E$635,MATCH(SMALL(IFERROR(SEARCH(,Data!E$3:E$635),10^9)+ROW(Data!E$3:E$635)/1000,ROWS(E$3:E58)),IFERROR(SEARCH(,Data!E$3:E$635),10^9)+ROW(Data!E$3:E$635)/1000,0))</f>
        <v/>
      </c>
      <c r="F58" s="111" t="str" cm="1">
        <f t="array" ref="F58">INDEX(Data!F$3:F$635,MATCH(SMALL(IFERROR(SEARCH(,Data!F$3:F$635),10^9)+ROW(Data!F$3:F$635)/1000,ROWS(F$3:F58)),IFERROR(SEARCH(,Data!F$3:F$635),10^9)+ROW(Data!F$3:F$635)/1000,0))</f>
        <v/>
      </c>
      <c r="G58" s="111" t="str" cm="1">
        <f t="array" ref="G58">INDEX(Data!G$3:G$635,MATCH(SMALL(IFERROR(SEARCH(,Data!G$3:G$635),10^9)+ROW(Data!G$3:G$635)/1000,ROWS(G$3:G58)),IFERROR(SEARCH(,Data!G$3:G$635),10^9)+ROW(Data!G$3:G$635)/1000,0))</f>
        <v/>
      </c>
      <c r="H58" s="623" t="str" cm="1">
        <f t="array" ref="H58">INDEX(Data!I$3:I$635,MATCH(SMALL(IFERROR(SEARCH(,Data!I$3:I$635),10^9)+ROW(Data!I$3:I$635)/1000,ROWS(H$3:H58)),IFERROR(SEARCH(,Data!I$3:I$635),10^9)+ROW(Data!I$3:I$635)/1000,0))</f>
        <v/>
      </c>
      <c r="I58" s="882"/>
      <c r="J58" s="882"/>
    </row>
    <row r="59" spans="1:10" ht="45.75" customHeight="1" x14ac:dyDescent="0.35">
      <c r="A59" s="108" t="str">
        <f>IFERROR(INDEX(Data!A$3:A$635,MATCH(IF(B59="","END",B59),Data!$B$3:$B$635,0)),"")</f>
        <v/>
      </c>
      <c r="B59" s="108" t="str" cm="1">
        <f t="array" ref="B59">INDEX(Data!B$3:B$635,MATCH(SMALL(IFERROR(SEARCH(,Data!B$3:B$635),10^9)+ROW(Data!B$3:B$635)/1000,ROWS(B$3:B59)),IFERROR(SEARCH(,Data!B$3:B$635),10^9)+ROW(Data!B$3:B$635)/1000,0))</f>
        <v/>
      </c>
      <c r="C59" s="317" t="str" cm="1">
        <f t="array" ref="C59">INDEX(Data!C$3:C$635,MATCH(SMALL(IFERROR(SEARCH(,Data!C$3:C$635),10^9)+ROW(Data!C$3:C$635)/1000,ROWS(C$3:C59)),IFERROR(SEARCH(,Data!C$3:C$635),10^9)+ROW(Data!C$3:C$635)/1000,0))</f>
        <v/>
      </c>
      <c r="D59" s="111" t="str">
        <f t="shared" si="0"/>
        <v/>
      </c>
      <c r="E59" s="111" t="str" cm="1">
        <f t="array" ref="E59">INDEX(Data!E$3:E$635,MATCH(SMALL(IFERROR(SEARCH(,Data!E$3:E$635),10^9)+ROW(Data!E$3:E$635)/1000,ROWS(E$3:E59)),IFERROR(SEARCH(,Data!E$3:E$635),10^9)+ROW(Data!E$3:E$635)/1000,0))</f>
        <v/>
      </c>
      <c r="F59" s="111" t="str" cm="1">
        <f t="array" ref="F59">INDEX(Data!F$3:F$635,MATCH(SMALL(IFERROR(SEARCH(,Data!F$3:F$635),10^9)+ROW(Data!F$3:F$635)/1000,ROWS(F$3:F59)),IFERROR(SEARCH(,Data!F$3:F$635),10^9)+ROW(Data!F$3:F$635)/1000,0))</f>
        <v/>
      </c>
      <c r="G59" s="111" t="str" cm="1">
        <f t="array" ref="G59">INDEX(Data!G$3:G$635,MATCH(SMALL(IFERROR(SEARCH(,Data!G$3:G$635),10^9)+ROW(Data!G$3:G$635)/1000,ROWS(G$3:G59)),IFERROR(SEARCH(,Data!G$3:G$635),10^9)+ROW(Data!G$3:G$635)/1000,0))</f>
        <v/>
      </c>
      <c r="H59" s="623" t="str" cm="1">
        <f t="array" ref="H59">INDEX(Data!I$3:I$635,MATCH(SMALL(IFERROR(SEARCH(,Data!I$3:I$635),10^9)+ROW(Data!I$3:I$635)/1000,ROWS(H$3:H59)),IFERROR(SEARCH(,Data!I$3:I$635),10^9)+ROW(Data!I$3:I$635)/1000,0))</f>
        <v/>
      </c>
      <c r="I59" s="882"/>
      <c r="J59" s="882"/>
    </row>
    <row r="60" spans="1:10" ht="45.75" customHeight="1" x14ac:dyDescent="0.35">
      <c r="A60" s="108" t="str">
        <f>IFERROR(INDEX(Data!A$3:A$635,MATCH(IF(B60="","END",B60),Data!$B$3:$B$635,0)),"")</f>
        <v/>
      </c>
      <c r="B60" s="108" t="str" cm="1">
        <f t="array" ref="B60">INDEX(Data!B$3:B$635,MATCH(SMALL(IFERROR(SEARCH(,Data!B$3:B$635),10^9)+ROW(Data!B$3:B$635)/1000,ROWS(B$3:B60)),IFERROR(SEARCH(,Data!B$3:B$635),10^9)+ROW(Data!B$3:B$635)/1000,0))</f>
        <v/>
      </c>
      <c r="C60" s="317" t="str" cm="1">
        <f t="array" ref="C60">INDEX(Data!C$3:C$635,MATCH(SMALL(IFERROR(SEARCH(,Data!C$3:C$635),10^9)+ROW(Data!C$3:C$635)/1000,ROWS(C$3:C60)),IFERROR(SEARCH(,Data!C$3:C$635),10^9)+ROW(Data!C$3:C$635)/1000,0))</f>
        <v/>
      </c>
      <c r="D60" s="111" t="str">
        <f t="shared" si="0"/>
        <v/>
      </c>
      <c r="E60" s="111" t="str" cm="1">
        <f t="array" ref="E60">INDEX(Data!E$3:E$635,MATCH(SMALL(IFERROR(SEARCH(,Data!E$3:E$635),10^9)+ROW(Data!E$3:E$635)/1000,ROWS(E$3:E60)),IFERROR(SEARCH(,Data!E$3:E$635),10^9)+ROW(Data!E$3:E$635)/1000,0))</f>
        <v/>
      </c>
      <c r="F60" s="111" t="str" cm="1">
        <f t="array" ref="F60">INDEX(Data!F$3:F$635,MATCH(SMALL(IFERROR(SEARCH(,Data!F$3:F$635),10^9)+ROW(Data!F$3:F$635)/1000,ROWS(F$3:F60)),IFERROR(SEARCH(,Data!F$3:F$635),10^9)+ROW(Data!F$3:F$635)/1000,0))</f>
        <v/>
      </c>
      <c r="G60" s="111" t="str" cm="1">
        <f t="array" ref="G60">INDEX(Data!G$3:G$635,MATCH(SMALL(IFERROR(SEARCH(,Data!G$3:G$635),10^9)+ROW(Data!G$3:G$635)/1000,ROWS(G$3:G60)),IFERROR(SEARCH(,Data!G$3:G$635),10^9)+ROW(Data!G$3:G$635)/1000,0))</f>
        <v/>
      </c>
      <c r="H60" s="623" t="str" cm="1">
        <f t="array" ref="H60">INDEX(Data!I$3:I$635,MATCH(SMALL(IFERROR(SEARCH(,Data!I$3:I$635),10^9)+ROW(Data!I$3:I$635)/1000,ROWS(H$3:H60)),IFERROR(SEARCH(,Data!I$3:I$635),10^9)+ROW(Data!I$3:I$635)/1000,0))</f>
        <v/>
      </c>
      <c r="I60" s="882"/>
      <c r="J60" s="882"/>
    </row>
    <row r="61" spans="1:10" ht="45.75" customHeight="1" x14ac:dyDescent="0.35">
      <c r="A61" s="108" t="str">
        <f>IFERROR(INDEX(Data!A$3:A$635,MATCH(IF(B61="","END",B61),Data!$B$3:$B$635,0)),"")</f>
        <v/>
      </c>
      <c r="B61" s="108" t="str" cm="1">
        <f t="array" ref="B61">INDEX(Data!B$3:B$635,MATCH(SMALL(IFERROR(SEARCH(,Data!B$3:B$635),10^9)+ROW(Data!B$3:B$635)/1000,ROWS(B$3:B61)),IFERROR(SEARCH(,Data!B$3:B$635),10^9)+ROW(Data!B$3:B$635)/1000,0))</f>
        <v/>
      </c>
      <c r="C61" s="317" t="str" cm="1">
        <f t="array" ref="C61">INDEX(Data!C$3:C$635,MATCH(SMALL(IFERROR(SEARCH(,Data!C$3:C$635),10^9)+ROW(Data!C$3:C$635)/1000,ROWS(C$3:C61)),IFERROR(SEARCH(,Data!C$3:C$635),10^9)+ROW(Data!C$3:C$635)/1000,0))</f>
        <v/>
      </c>
      <c r="D61" s="111" t="str">
        <f t="shared" si="0"/>
        <v/>
      </c>
      <c r="E61" s="111" t="str" cm="1">
        <f t="array" ref="E61">INDEX(Data!E$3:E$635,MATCH(SMALL(IFERROR(SEARCH(,Data!E$3:E$635),10^9)+ROW(Data!E$3:E$635)/1000,ROWS(E$3:E61)),IFERROR(SEARCH(,Data!E$3:E$635),10^9)+ROW(Data!E$3:E$635)/1000,0))</f>
        <v/>
      </c>
      <c r="F61" s="111" t="str" cm="1">
        <f t="array" ref="F61">INDEX(Data!F$3:F$635,MATCH(SMALL(IFERROR(SEARCH(,Data!F$3:F$635),10^9)+ROW(Data!F$3:F$635)/1000,ROWS(F$3:F61)),IFERROR(SEARCH(,Data!F$3:F$635),10^9)+ROW(Data!F$3:F$635)/1000,0))</f>
        <v/>
      </c>
      <c r="G61" s="111" t="str" cm="1">
        <f t="array" ref="G61">INDEX(Data!G$3:G$635,MATCH(SMALL(IFERROR(SEARCH(,Data!G$3:G$635),10^9)+ROW(Data!G$3:G$635)/1000,ROWS(G$3:G61)),IFERROR(SEARCH(,Data!G$3:G$635),10^9)+ROW(Data!G$3:G$635)/1000,0))</f>
        <v/>
      </c>
      <c r="H61" s="623" t="str" cm="1">
        <f t="array" ref="H61">INDEX(Data!I$3:I$635,MATCH(SMALL(IFERROR(SEARCH(,Data!I$3:I$635),10^9)+ROW(Data!I$3:I$635)/1000,ROWS(H$3:H61)),IFERROR(SEARCH(,Data!I$3:I$635),10^9)+ROW(Data!I$3:I$635)/1000,0))</f>
        <v/>
      </c>
      <c r="I61" s="882"/>
      <c r="J61" s="882"/>
    </row>
    <row r="62" spans="1:10" ht="45.75" customHeight="1" x14ac:dyDescent="0.35">
      <c r="A62" s="108" t="str">
        <f>IFERROR(INDEX(Data!A$3:A$635,MATCH(IF(B62="","END",B62),Data!$B$3:$B$635,0)),"")</f>
        <v/>
      </c>
      <c r="B62" s="108" t="str" cm="1">
        <f t="array" ref="B62">INDEX(Data!B$3:B$635,MATCH(SMALL(IFERROR(SEARCH(,Data!B$3:B$635),10^9)+ROW(Data!B$3:B$635)/1000,ROWS(B$3:B62)),IFERROR(SEARCH(,Data!B$3:B$635),10^9)+ROW(Data!B$3:B$635)/1000,0))</f>
        <v/>
      </c>
      <c r="C62" s="317" t="str" cm="1">
        <f t="array" ref="C62">INDEX(Data!C$3:C$635,MATCH(SMALL(IFERROR(SEARCH(,Data!C$3:C$635),10^9)+ROW(Data!C$3:C$635)/1000,ROWS(C$3:C62)),IFERROR(SEARCH(,Data!C$3:C$635),10^9)+ROW(Data!C$3:C$635)/1000,0))</f>
        <v/>
      </c>
      <c r="D62" s="111" t="str">
        <f t="shared" si="0"/>
        <v/>
      </c>
      <c r="E62" s="111" t="str" cm="1">
        <f t="array" ref="E62">INDEX(Data!E$3:E$635,MATCH(SMALL(IFERROR(SEARCH(,Data!E$3:E$635),10^9)+ROW(Data!E$3:E$635)/1000,ROWS(E$3:E62)),IFERROR(SEARCH(,Data!E$3:E$635),10^9)+ROW(Data!E$3:E$635)/1000,0))</f>
        <v/>
      </c>
      <c r="F62" s="111" t="str" cm="1">
        <f t="array" ref="F62">INDEX(Data!F$3:F$635,MATCH(SMALL(IFERROR(SEARCH(,Data!F$3:F$635),10^9)+ROW(Data!F$3:F$635)/1000,ROWS(F$3:F62)),IFERROR(SEARCH(,Data!F$3:F$635),10^9)+ROW(Data!F$3:F$635)/1000,0))</f>
        <v/>
      </c>
      <c r="G62" s="111" t="str" cm="1">
        <f t="array" ref="G62">INDEX(Data!G$3:G$635,MATCH(SMALL(IFERROR(SEARCH(,Data!G$3:G$635),10^9)+ROW(Data!G$3:G$635)/1000,ROWS(G$3:G62)),IFERROR(SEARCH(,Data!G$3:G$635),10^9)+ROW(Data!G$3:G$635)/1000,0))</f>
        <v/>
      </c>
      <c r="H62" s="623" t="str" cm="1">
        <f t="array" ref="H62">INDEX(Data!I$3:I$635,MATCH(SMALL(IFERROR(SEARCH(,Data!I$3:I$635),10^9)+ROW(Data!I$3:I$635)/1000,ROWS(H$3:H62)),IFERROR(SEARCH(,Data!I$3:I$635),10^9)+ROW(Data!I$3:I$635)/1000,0))</f>
        <v/>
      </c>
      <c r="I62" s="882"/>
      <c r="J62" s="882"/>
    </row>
    <row r="63" spans="1:10" ht="45.75" customHeight="1" x14ac:dyDescent="0.35">
      <c r="A63" s="108" t="str">
        <f>IFERROR(INDEX(Data!A$3:A$635,MATCH(IF(B63="","END",B63),Data!$B$3:$B$635,0)),"")</f>
        <v/>
      </c>
      <c r="B63" s="108" t="str" cm="1">
        <f t="array" ref="B63">INDEX(Data!B$3:B$635,MATCH(SMALL(IFERROR(SEARCH(,Data!B$3:B$635),10^9)+ROW(Data!B$3:B$635)/1000,ROWS(B$3:B63)),IFERROR(SEARCH(,Data!B$3:B$635),10^9)+ROW(Data!B$3:B$635)/1000,0))</f>
        <v/>
      </c>
      <c r="C63" s="317" t="str" cm="1">
        <f t="array" ref="C63">INDEX(Data!C$3:C$635,MATCH(SMALL(IFERROR(SEARCH(,Data!C$3:C$635),10^9)+ROW(Data!C$3:C$635)/1000,ROWS(C$3:C63)),IFERROR(SEARCH(,Data!C$3:C$635),10^9)+ROW(Data!C$3:C$635)/1000,0))</f>
        <v/>
      </c>
      <c r="D63" s="111" t="str">
        <f t="shared" si="0"/>
        <v/>
      </c>
      <c r="E63" s="111" t="str" cm="1">
        <f t="array" ref="E63">INDEX(Data!E$3:E$635,MATCH(SMALL(IFERROR(SEARCH(,Data!E$3:E$635),10^9)+ROW(Data!E$3:E$635)/1000,ROWS(E$3:E63)),IFERROR(SEARCH(,Data!E$3:E$635),10^9)+ROW(Data!E$3:E$635)/1000,0))</f>
        <v/>
      </c>
      <c r="F63" s="111" t="str" cm="1">
        <f t="array" ref="F63">INDEX(Data!F$3:F$635,MATCH(SMALL(IFERROR(SEARCH(,Data!F$3:F$635),10^9)+ROW(Data!F$3:F$635)/1000,ROWS(F$3:F63)),IFERROR(SEARCH(,Data!F$3:F$635),10^9)+ROW(Data!F$3:F$635)/1000,0))</f>
        <v/>
      </c>
      <c r="G63" s="111" t="str" cm="1">
        <f t="array" ref="G63">INDEX(Data!G$3:G$635,MATCH(SMALL(IFERROR(SEARCH(,Data!G$3:G$635),10^9)+ROW(Data!G$3:G$635)/1000,ROWS(G$3:G63)),IFERROR(SEARCH(,Data!G$3:G$635),10^9)+ROW(Data!G$3:G$635)/1000,0))</f>
        <v/>
      </c>
      <c r="H63" s="623" t="str" cm="1">
        <f t="array" ref="H63">INDEX(Data!I$3:I$635,MATCH(SMALL(IFERROR(SEARCH(,Data!I$3:I$635),10^9)+ROW(Data!I$3:I$635)/1000,ROWS(H$3:H63)),IFERROR(SEARCH(,Data!I$3:I$635),10^9)+ROW(Data!I$3:I$635)/1000,0))</f>
        <v/>
      </c>
      <c r="I63" s="882"/>
      <c r="J63" s="882"/>
    </row>
    <row r="64" spans="1:10" ht="45.75" customHeight="1" x14ac:dyDescent="0.35">
      <c r="A64" s="108" t="str">
        <f>IFERROR(INDEX(Data!A$3:A$635,MATCH(IF(B64="","END",B64),Data!$B$3:$B$635,0)),"")</f>
        <v/>
      </c>
      <c r="B64" s="108" t="str" cm="1">
        <f t="array" ref="B64">INDEX(Data!B$3:B$635,MATCH(SMALL(IFERROR(SEARCH(,Data!B$3:B$635),10^9)+ROW(Data!B$3:B$635)/1000,ROWS(B$3:B64)),IFERROR(SEARCH(,Data!B$3:B$635),10^9)+ROW(Data!B$3:B$635)/1000,0))</f>
        <v/>
      </c>
      <c r="C64" s="317" t="str" cm="1">
        <f t="array" ref="C64">INDEX(Data!C$3:C$635,MATCH(SMALL(IFERROR(SEARCH(,Data!C$3:C$635),10^9)+ROW(Data!C$3:C$635)/1000,ROWS(C$3:C64)),IFERROR(SEARCH(,Data!C$3:C$635),10^9)+ROW(Data!C$3:C$635)/1000,0))</f>
        <v/>
      </c>
      <c r="D64" s="111" t="str">
        <f t="shared" si="0"/>
        <v/>
      </c>
      <c r="E64" s="111" t="str" cm="1">
        <f t="array" ref="E64">INDEX(Data!E$3:E$635,MATCH(SMALL(IFERROR(SEARCH(,Data!E$3:E$635),10^9)+ROW(Data!E$3:E$635)/1000,ROWS(E$3:E64)),IFERROR(SEARCH(,Data!E$3:E$635),10^9)+ROW(Data!E$3:E$635)/1000,0))</f>
        <v/>
      </c>
      <c r="F64" s="111" t="str" cm="1">
        <f t="array" ref="F64">INDEX(Data!F$3:F$635,MATCH(SMALL(IFERROR(SEARCH(,Data!F$3:F$635),10^9)+ROW(Data!F$3:F$635)/1000,ROWS(F$3:F64)),IFERROR(SEARCH(,Data!F$3:F$635),10^9)+ROW(Data!F$3:F$635)/1000,0))</f>
        <v/>
      </c>
      <c r="G64" s="111" t="str" cm="1">
        <f t="array" ref="G64">INDEX(Data!G$3:G$635,MATCH(SMALL(IFERROR(SEARCH(,Data!G$3:G$635),10^9)+ROW(Data!G$3:G$635)/1000,ROWS(G$3:G64)),IFERROR(SEARCH(,Data!G$3:G$635),10^9)+ROW(Data!G$3:G$635)/1000,0))</f>
        <v/>
      </c>
      <c r="H64" s="623" t="str" cm="1">
        <f t="array" ref="H64">INDEX(Data!I$3:I$635,MATCH(SMALL(IFERROR(SEARCH(,Data!I$3:I$635),10^9)+ROW(Data!I$3:I$635)/1000,ROWS(H$3:H64)),IFERROR(SEARCH(,Data!I$3:I$635),10^9)+ROW(Data!I$3:I$635)/1000,0))</f>
        <v/>
      </c>
      <c r="I64" s="882"/>
      <c r="J64" s="882"/>
    </row>
    <row r="65" spans="1:10" ht="45.75" customHeight="1" x14ac:dyDescent="0.35">
      <c r="A65" s="108" t="str">
        <f>IFERROR(INDEX(Data!A$3:A$635,MATCH(IF(B65="","END",B65),Data!$B$3:$B$635,0)),"")</f>
        <v/>
      </c>
      <c r="B65" s="108" t="str" cm="1">
        <f t="array" ref="B65">INDEX(Data!B$3:B$635,MATCH(SMALL(IFERROR(SEARCH(,Data!B$3:B$635),10^9)+ROW(Data!B$3:B$635)/1000,ROWS(B$3:B65)),IFERROR(SEARCH(,Data!B$3:B$635),10^9)+ROW(Data!B$3:B$635)/1000,0))</f>
        <v/>
      </c>
      <c r="C65" s="317" t="str" cm="1">
        <f t="array" ref="C65">INDEX(Data!C$3:C$635,MATCH(SMALL(IFERROR(SEARCH(,Data!C$3:C$635),10^9)+ROW(Data!C$3:C$635)/1000,ROWS(C$3:C65)),IFERROR(SEARCH(,Data!C$3:C$635),10^9)+ROW(Data!C$3:C$635)/1000,0))</f>
        <v/>
      </c>
      <c r="D65" s="111" t="str">
        <f t="shared" si="0"/>
        <v/>
      </c>
      <c r="E65" s="111" t="str" cm="1">
        <f t="array" ref="E65">INDEX(Data!E$3:E$635,MATCH(SMALL(IFERROR(SEARCH(,Data!E$3:E$635),10^9)+ROW(Data!E$3:E$635)/1000,ROWS(E$3:E65)),IFERROR(SEARCH(,Data!E$3:E$635),10^9)+ROW(Data!E$3:E$635)/1000,0))</f>
        <v/>
      </c>
      <c r="F65" s="111" t="str" cm="1">
        <f t="array" ref="F65">INDEX(Data!F$3:F$635,MATCH(SMALL(IFERROR(SEARCH(,Data!F$3:F$635),10^9)+ROW(Data!F$3:F$635)/1000,ROWS(F$3:F65)),IFERROR(SEARCH(,Data!F$3:F$635),10^9)+ROW(Data!F$3:F$635)/1000,0))</f>
        <v/>
      </c>
      <c r="G65" s="111" t="str" cm="1">
        <f t="array" ref="G65">INDEX(Data!G$3:G$635,MATCH(SMALL(IFERROR(SEARCH(,Data!G$3:G$635),10^9)+ROW(Data!G$3:G$635)/1000,ROWS(G$3:G65)),IFERROR(SEARCH(,Data!G$3:G$635),10^9)+ROW(Data!G$3:G$635)/1000,0))</f>
        <v/>
      </c>
      <c r="H65" s="623" t="str" cm="1">
        <f t="array" ref="H65">INDEX(Data!I$3:I$635,MATCH(SMALL(IFERROR(SEARCH(,Data!I$3:I$635),10^9)+ROW(Data!I$3:I$635)/1000,ROWS(H$3:H65)),IFERROR(SEARCH(,Data!I$3:I$635),10^9)+ROW(Data!I$3:I$635)/1000,0))</f>
        <v/>
      </c>
      <c r="I65" s="882"/>
      <c r="J65" s="882"/>
    </row>
    <row r="66" spans="1:10" ht="45.75" customHeight="1" x14ac:dyDescent="0.35">
      <c r="A66" s="108" t="str">
        <f>IFERROR(INDEX(Data!A$3:A$635,MATCH(IF(B66="","END",B66),Data!$B$3:$B$635,0)),"")</f>
        <v/>
      </c>
      <c r="B66" s="108" t="str" cm="1">
        <f t="array" ref="B66">INDEX(Data!B$3:B$635,MATCH(SMALL(IFERROR(SEARCH(,Data!B$3:B$635),10^9)+ROW(Data!B$3:B$635)/1000,ROWS(B$3:B66)),IFERROR(SEARCH(,Data!B$3:B$635),10^9)+ROW(Data!B$3:B$635)/1000,0))</f>
        <v/>
      </c>
      <c r="C66" s="317" t="str" cm="1">
        <f t="array" ref="C66">INDEX(Data!C$3:C$635,MATCH(SMALL(IFERROR(SEARCH(,Data!C$3:C$635),10^9)+ROW(Data!C$3:C$635)/1000,ROWS(C$3:C66)),IFERROR(SEARCH(,Data!C$3:C$635),10^9)+ROW(Data!C$3:C$635)/1000,0))</f>
        <v/>
      </c>
      <c r="D66" s="111" t="str">
        <f t="shared" si="0"/>
        <v/>
      </c>
      <c r="E66" s="111" t="str" cm="1">
        <f t="array" ref="E66">INDEX(Data!E$3:E$635,MATCH(SMALL(IFERROR(SEARCH(,Data!E$3:E$635),10^9)+ROW(Data!E$3:E$635)/1000,ROWS(E$3:E66)),IFERROR(SEARCH(,Data!E$3:E$635),10^9)+ROW(Data!E$3:E$635)/1000,0))</f>
        <v/>
      </c>
      <c r="F66" s="111" t="str" cm="1">
        <f t="array" ref="F66">INDEX(Data!F$3:F$635,MATCH(SMALL(IFERROR(SEARCH(,Data!F$3:F$635),10^9)+ROW(Data!F$3:F$635)/1000,ROWS(F$3:F66)),IFERROR(SEARCH(,Data!F$3:F$635),10^9)+ROW(Data!F$3:F$635)/1000,0))</f>
        <v/>
      </c>
      <c r="G66" s="111" t="str" cm="1">
        <f t="array" ref="G66">INDEX(Data!G$3:G$635,MATCH(SMALL(IFERROR(SEARCH(,Data!G$3:G$635),10^9)+ROW(Data!G$3:G$635)/1000,ROWS(G$3:G66)),IFERROR(SEARCH(,Data!G$3:G$635),10^9)+ROW(Data!G$3:G$635)/1000,0))</f>
        <v/>
      </c>
      <c r="H66" s="623" t="str" cm="1">
        <f t="array" ref="H66">INDEX(Data!I$3:I$635,MATCH(SMALL(IFERROR(SEARCH(,Data!I$3:I$635),10^9)+ROW(Data!I$3:I$635)/1000,ROWS(H$3:H66)),IFERROR(SEARCH(,Data!I$3:I$635),10^9)+ROW(Data!I$3:I$635)/1000,0))</f>
        <v/>
      </c>
      <c r="I66" s="882"/>
      <c r="J66" s="882"/>
    </row>
    <row r="67" spans="1:10" ht="45.75" customHeight="1" x14ac:dyDescent="0.35">
      <c r="A67" s="108" t="str">
        <f>IFERROR(INDEX(Data!A$3:A$635,MATCH(IF(B67="","END",B67),Data!$B$3:$B$635,0)),"")</f>
        <v/>
      </c>
      <c r="B67" s="108" t="str" cm="1">
        <f t="array" ref="B67">INDEX(Data!B$3:B$635,MATCH(SMALL(IFERROR(SEARCH(,Data!B$3:B$635),10^9)+ROW(Data!B$3:B$635)/1000,ROWS(B$3:B67)),IFERROR(SEARCH(,Data!B$3:B$635),10^9)+ROW(Data!B$3:B$635)/1000,0))</f>
        <v/>
      </c>
      <c r="C67" s="317" t="str" cm="1">
        <f t="array" ref="C67">INDEX(Data!C$3:C$635,MATCH(SMALL(IFERROR(SEARCH(,Data!C$3:C$635),10^9)+ROW(Data!C$3:C$635)/1000,ROWS(C$3:C67)),IFERROR(SEARCH(,Data!C$3:C$635),10^9)+ROW(Data!C$3:C$635)/1000,0))</f>
        <v/>
      </c>
      <c r="D67" s="111" t="str">
        <f t="shared" si="0"/>
        <v/>
      </c>
      <c r="E67" s="111" t="str" cm="1">
        <f t="array" ref="E67">INDEX(Data!E$3:E$635,MATCH(SMALL(IFERROR(SEARCH(,Data!E$3:E$635),10^9)+ROW(Data!E$3:E$635)/1000,ROWS(E$3:E67)),IFERROR(SEARCH(,Data!E$3:E$635),10^9)+ROW(Data!E$3:E$635)/1000,0))</f>
        <v/>
      </c>
      <c r="F67" s="111" t="str" cm="1">
        <f t="array" ref="F67">INDEX(Data!F$3:F$635,MATCH(SMALL(IFERROR(SEARCH(,Data!F$3:F$635),10^9)+ROW(Data!F$3:F$635)/1000,ROWS(F$3:F67)),IFERROR(SEARCH(,Data!F$3:F$635),10^9)+ROW(Data!F$3:F$635)/1000,0))</f>
        <v/>
      </c>
      <c r="G67" s="111" t="str" cm="1">
        <f t="array" ref="G67">INDEX(Data!G$3:G$635,MATCH(SMALL(IFERROR(SEARCH(,Data!G$3:G$635),10^9)+ROW(Data!G$3:G$635)/1000,ROWS(G$3:G67)),IFERROR(SEARCH(,Data!G$3:G$635),10^9)+ROW(Data!G$3:G$635)/1000,0))</f>
        <v/>
      </c>
      <c r="H67" s="623" t="str" cm="1">
        <f t="array" ref="H67">INDEX(Data!I$3:I$635,MATCH(SMALL(IFERROR(SEARCH(,Data!I$3:I$635),10^9)+ROW(Data!I$3:I$635)/1000,ROWS(H$3:H67)),IFERROR(SEARCH(,Data!I$3:I$635),10^9)+ROW(Data!I$3:I$635)/1000,0))</f>
        <v/>
      </c>
      <c r="I67" s="882"/>
      <c r="J67" s="882"/>
    </row>
    <row r="68" spans="1:10" ht="45.75" customHeight="1" x14ac:dyDescent="0.35">
      <c r="A68" s="108" t="str">
        <f>IFERROR(INDEX(Data!A$3:A$635,MATCH(IF(B68="","END",B68),Data!$B$3:$B$635,0)),"")</f>
        <v/>
      </c>
      <c r="B68" s="108" t="str" cm="1">
        <f t="array" ref="B68">INDEX(Data!B$3:B$635,MATCH(SMALL(IFERROR(SEARCH(,Data!B$3:B$635),10^9)+ROW(Data!B$3:B$635)/1000,ROWS(B$3:B68)),IFERROR(SEARCH(,Data!B$3:B$635),10^9)+ROW(Data!B$3:B$635)/1000,0))</f>
        <v/>
      </c>
      <c r="C68" s="317" t="str" cm="1">
        <f t="array" ref="C68">INDEX(Data!C$3:C$635,MATCH(SMALL(IFERROR(SEARCH(,Data!C$3:C$635),10^9)+ROW(Data!C$3:C$635)/1000,ROWS(C$3:C68)),IFERROR(SEARCH(,Data!C$3:C$635),10^9)+ROW(Data!C$3:C$635)/1000,0))</f>
        <v/>
      </c>
      <c r="D68" s="111" t="str">
        <f t="shared" ref="D68:D131" si="1">IFERROR(E68-F68,"")</f>
        <v/>
      </c>
      <c r="E68" s="111" t="str" cm="1">
        <f t="array" ref="E68">INDEX(Data!E$3:E$635,MATCH(SMALL(IFERROR(SEARCH(,Data!E$3:E$635),10^9)+ROW(Data!E$3:E$635)/1000,ROWS(E$3:E68)),IFERROR(SEARCH(,Data!E$3:E$635),10^9)+ROW(Data!E$3:E$635)/1000,0))</f>
        <v/>
      </c>
      <c r="F68" s="111" t="str" cm="1">
        <f t="array" ref="F68">INDEX(Data!F$3:F$635,MATCH(SMALL(IFERROR(SEARCH(,Data!F$3:F$635),10^9)+ROW(Data!F$3:F$635)/1000,ROWS(F$3:F68)),IFERROR(SEARCH(,Data!F$3:F$635),10^9)+ROW(Data!F$3:F$635)/1000,0))</f>
        <v/>
      </c>
      <c r="G68" s="111" t="str" cm="1">
        <f t="array" ref="G68">INDEX(Data!G$3:G$635,MATCH(SMALL(IFERROR(SEARCH(,Data!G$3:G$635),10^9)+ROW(Data!G$3:G$635)/1000,ROWS(G$3:G68)),IFERROR(SEARCH(,Data!G$3:G$635),10^9)+ROW(Data!G$3:G$635)/1000,0))</f>
        <v/>
      </c>
      <c r="H68" s="623" t="str" cm="1">
        <f t="array" ref="H68">INDEX(Data!I$3:I$635,MATCH(SMALL(IFERROR(SEARCH(,Data!I$3:I$635),10^9)+ROW(Data!I$3:I$635)/1000,ROWS(H$3:H68)),IFERROR(SEARCH(,Data!I$3:I$635),10^9)+ROW(Data!I$3:I$635)/1000,0))</f>
        <v/>
      </c>
      <c r="I68" s="882"/>
      <c r="J68" s="882"/>
    </row>
    <row r="69" spans="1:10" ht="45.75" customHeight="1" x14ac:dyDescent="0.35">
      <c r="A69" s="108" t="str">
        <f>IFERROR(INDEX(Data!A$3:A$635,MATCH(IF(B69="","END",B69),Data!$B$3:$B$635,0)),"")</f>
        <v/>
      </c>
      <c r="B69" s="108" t="str" cm="1">
        <f t="array" ref="B69">INDEX(Data!B$3:B$635,MATCH(SMALL(IFERROR(SEARCH(,Data!B$3:B$635),10^9)+ROW(Data!B$3:B$635)/1000,ROWS(B$3:B69)),IFERROR(SEARCH(,Data!B$3:B$635),10^9)+ROW(Data!B$3:B$635)/1000,0))</f>
        <v/>
      </c>
      <c r="C69" s="317" t="str" cm="1">
        <f t="array" ref="C69">INDEX(Data!C$3:C$635,MATCH(SMALL(IFERROR(SEARCH(,Data!C$3:C$635),10^9)+ROW(Data!C$3:C$635)/1000,ROWS(C$3:C69)),IFERROR(SEARCH(,Data!C$3:C$635),10^9)+ROW(Data!C$3:C$635)/1000,0))</f>
        <v/>
      </c>
      <c r="D69" s="111" t="str">
        <f t="shared" si="1"/>
        <v/>
      </c>
      <c r="E69" s="111" t="str" cm="1">
        <f t="array" ref="E69">INDEX(Data!E$3:E$635,MATCH(SMALL(IFERROR(SEARCH(,Data!E$3:E$635),10^9)+ROW(Data!E$3:E$635)/1000,ROWS(E$3:E69)),IFERROR(SEARCH(,Data!E$3:E$635),10^9)+ROW(Data!E$3:E$635)/1000,0))</f>
        <v/>
      </c>
      <c r="F69" s="111" t="str" cm="1">
        <f t="array" ref="F69">INDEX(Data!F$3:F$635,MATCH(SMALL(IFERROR(SEARCH(,Data!F$3:F$635),10^9)+ROW(Data!F$3:F$635)/1000,ROWS(F$3:F69)),IFERROR(SEARCH(,Data!F$3:F$635),10^9)+ROW(Data!F$3:F$635)/1000,0))</f>
        <v/>
      </c>
      <c r="G69" s="111" t="str" cm="1">
        <f t="array" ref="G69">INDEX(Data!G$3:G$635,MATCH(SMALL(IFERROR(SEARCH(,Data!G$3:G$635),10^9)+ROW(Data!G$3:G$635)/1000,ROWS(G$3:G69)),IFERROR(SEARCH(,Data!G$3:G$635),10^9)+ROW(Data!G$3:G$635)/1000,0))</f>
        <v/>
      </c>
      <c r="H69" s="623" t="str" cm="1">
        <f t="array" ref="H69">INDEX(Data!I$3:I$635,MATCH(SMALL(IFERROR(SEARCH(,Data!I$3:I$635),10^9)+ROW(Data!I$3:I$635)/1000,ROWS(H$3:H69)),IFERROR(SEARCH(,Data!I$3:I$635),10^9)+ROW(Data!I$3:I$635)/1000,0))</f>
        <v/>
      </c>
      <c r="I69" s="882"/>
      <c r="J69" s="882"/>
    </row>
    <row r="70" spans="1:10" ht="45.75" customHeight="1" x14ac:dyDescent="0.35">
      <c r="A70" s="108" t="str">
        <f>IFERROR(INDEX(Data!A$3:A$635,MATCH(IF(B70="","END",B70),Data!$B$3:$B$635,0)),"")</f>
        <v/>
      </c>
      <c r="B70" s="108" t="str" cm="1">
        <f t="array" ref="B70">INDEX(Data!B$3:B$635,MATCH(SMALL(IFERROR(SEARCH(,Data!B$3:B$635),10^9)+ROW(Data!B$3:B$635)/1000,ROWS(B$3:B70)),IFERROR(SEARCH(,Data!B$3:B$635),10^9)+ROW(Data!B$3:B$635)/1000,0))</f>
        <v/>
      </c>
      <c r="C70" s="317" t="str" cm="1">
        <f t="array" ref="C70">INDEX(Data!C$3:C$635,MATCH(SMALL(IFERROR(SEARCH(,Data!C$3:C$635),10^9)+ROW(Data!C$3:C$635)/1000,ROWS(C$3:C70)),IFERROR(SEARCH(,Data!C$3:C$635),10^9)+ROW(Data!C$3:C$635)/1000,0))</f>
        <v/>
      </c>
      <c r="D70" s="111" t="str">
        <f t="shared" si="1"/>
        <v/>
      </c>
      <c r="E70" s="111" t="str" cm="1">
        <f t="array" ref="E70">INDEX(Data!E$3:E$635,MATCH(SMALL(IFERROR(SEARCH(,Data!E$3:E$635),10^9)+ROW(Data!E$3:E$635)/1000,ROWS(E$3:E70)),IFERROR(SEARCH(,Data!E$3:E$635),10^9)+ROW(Data!E$3:E$635)/1000,0))</f>
        <v/>
      </c>
      <c r="F70" s="111" t="str" cm="1">
        <f t="array" ref="F70">INDEX(Data!F$3:F$635,MATCH(SMALL(IFERROR(SEARCH(,Data!F$3:F$635),10^9)+ROW(Data!F$3:F$635)/1000,ROWS(F$3:F70)),IFERROR(SEARCH(,Data!F$3:F$635),10^9)+ROW(Data!F$3:F$635)/1000,0))</f>
        <v/>
      </c>
      <c r="G70" s="111" t="str" cm="1">
        <f t="array" ref="G70">INDEX(Data!G$3:G$635,MATCH(SMALL(IFERROR(SEARCH(,Data!G$3:G$635),10^9)+ROW(Data!G$3:G$635)/1000,ROWS(G$3:G70)),IFERROR(SEARCH(,Data!G$3:G$635),10^9)+ROW(Data!G$3:G$635)/1000,0))</f>
        <v/>
      </c>
      <c r="H70" s="623" t="str" cm="1">
        <f t="array" ref="H70">INDEX(Data!I$3:I$635,MATCH(SMALL(IFERROR(SEARCH(,Data!I$3:I$635),10^9)+ROW(Data!I$3:I$635)/1000,ROWS(H$3:H70)),IFERROR(SEARCH(,Data!I$3:I$635),10^9)+ROW(Data!I$3:I$635)/1000,0))</f>
        <v/>
      </c>
      <c r="I70" s="882"/>
      <c r="J70" s="882"/>
    </row>
    <row r="71" spans="1:10" ht="45.75" customHeight="1" x14ac:dyDescent="0.35">
      <c r="A71" s="108" t="str">
        <f>IFERROR(INDEX(Data!A$3:A$635,MATCH(IF(B71="","END",B71),Data!$B$3:$B$635,0)),"")</f>
        <v/>
      </c>
      <c r="B71" s="108" t="str" cm="1">
        <f t="array" ref="B71">INDEX(Data!B$3:B$635,MATCH(SMALL(IFERROR(SEARCH(,Data!B$3:B$635),10^9)+ROW(Data!B$3:B$635)/1000,ROWS(B$3:B71)),IFERROR(SEARCH(,Data!B$3:B$635),10^9)+ROW(Data!B$3:B$635)/1000,0))</f>
        <v/>
      </c>
      <c r="C71" s="317" t="str" cm="1">
        <f t="array" ref="C71">INDEX(Data!C$3:C$635,MATCH(SMALL(IFERROR(SEARCH(,Data!C$3:C$635),10^9)+ROW(Data!C$3:C$635)/1000,ROWS(C$3:C71)),IFERROR(SEARCH(,Data!C$3:C$635),10^9)+ROW(Data!C$3:C$635)/1000,0))</f>
        <v/>
      </c>
      <c r="D71" s="111" t="str">
        <f t="shared" si="1"/>
        <v/>
      </c>
      <c r="E71" s="111" t="str" cm="1">
        <f t="array" ref="E71">INDEX(Data!E$3:E$635,MATCH(SMALL(IFERROR(SEARCH(,Data!E$3:E$635),10^9)+ROW(Data!E$3:E$635)/1000,ROWS(E$3:E71)),IFERROR(SEARCH(,Data!E$3:E$635),10^9)+ROW(Data!E$3:E$635)/1000,0))</f>
        <v/>
      </c>
      <c r="F71" s="111" t="str" cm="1">
        <f t="array" ref="F71">INDEX(Data!F$3:F$635,MATCH(SMALL(IFERROR(SEARCH(,Data!F$3:F$635),10^9)+ROW(Data!F$3:F$635)/1000,ROWS(F$3:F71)),IFERROR(SEARCH(,Data!F$3:F$635),10^9)+ROW(Data!F$3:F$635)/1000,0))</f>
        <v/>
      </c>
      <c r="G71" s="111" t="str" cm="1">
        <f t="array" ref="G71">INDEX(Data!G$3:G$635,MATCH(SMALL(IFERROR(SEARCH(,Data!G$3:G$635),10^9)+ROW(Data!G$3:G$635)/1000,ROWS(G$3:G71)),IFERROR(SEARCH(,Data!G$3:G$635),10^9)+ROW(Data!G$3:G$635)/1000,0))</f>
        <v/>
      </c>
      <c r="H71" s="623" t="str" cm="1">
        <f t="array" ref="H71">INDEX(Data!I$3:I$635,MATCH(SMALL(IFERROR(SEARCH(,Data!I$3:I$635),10^9)+ROW(Data!I$3:I$635)/1000,ROWS(H$3:H71)),IFERROR(SEARCH(,Data!I$3:I$635),10^9)+ROW(Data!I$3:I$635)/1000,0))</f>
        <v/>
      </c>
      <c r="I71" s="882"/>
      <c r="J71" s="882"/>
    </row>
    <row r="72" spans="1:10" ht="45.75" customHeight="1" x14ac:dyDescent="0.35">
      <c r="A72" s="108" t="str">
        <f>IFERROR(INDEX(Data!A$3:A$635,MATCH(IF(B72="","END",B72),Data!$B$3:$B$635,0)),"")</f>
        <v/>
      </c>
      <c r="B72" s="108" t="str" cm="1">
        <f t="array" ref="B72">INDEX(Data!B$3:B$635,MATCH(SMALL(IFERROR(SEARCH(,Data!B$3:B$635),10^9)+ROW(Data!B$3:B$635)/1000,ROWS(B$3:B72)),IFERROR(SEARCH(,Data!B$3:B$635),10^9)+ROW(Data!B$3:B$635)/1000,0))</f>
        <v/>
      </c>
      <c r="C72" s="317" t="str" cm="1">
        <f t="array" ref="C72">INDEX(Data!C$3:C$635,MATCH(SMALL(IFERROR(SEARCH(,Data!C$3:C$635),10^9)+ROW(Data!C$3:C$635)/1000,ROWS(C$3:C72)),IFERROR(SEARCH(,Data!C$3:C$635),10^9)+ROW(Data!C$3:C$635)/1000,0))</f>
        <v/>
      </c>
      <c r="D72" s="111" t="str">
        <f t="shared" si="1"/>
        <v/>
      </c>
      <c r="E72" s="111" t="str" cm="1">
        <f t="array" ref="E72">INDEX(Data!E$3:E$635,MATCH(SMALL(IFERROR(SEARCH(,Data!E$3:E$635),10^9)+ROW(Data!E$3:E$635)/1000,ROWS(E$3:E72)),IFERROR(SEARCH(,Data!E$3:E$635),10^9)+ROW(Data!E$3:E$635)/1000,0))</f>
        <v/>
      </c>
      <c r="F72" s="111" t="str" cm="1">
        <f t="array" ref="F72">INDEX(Data!F$3:F$635,MATCH(SMALL(IFERROR(SEARCH(,Data!F$3:F$635),10^9)+ROW(Data!F$3:F$635)/1000,ROWS(F$3:F72)),IFERROR(SEARCH(,Data!F$3:F$635),10^9)+ROW(Data!F$3:F$635)/1000,0))</f>
        <v/>
      </c>
      <c r="G72" s="111" t="str" cm="1">
        <f t="array" ref="G72">INDEX(Data!G$3:G$635,MATCH(SMALL(IFERROR(SEARCH(,Data!G$3:G$635),10^9)+ROW(Data!G$3:G$635)/1000,ROWS(G$3:G72)),IFERROR(SEARCH(,Data!G$3:G$635),10^9)+ROW(Data!G$3:G$635)/1000,0))</f>
        <v/>
      </c>
      <c r="H72" s="623" t="str" cm="1">
        <f t="array" ref="H72">INDEX(Data!I$3:I$635,MATCH(SMALL(IFERROR(SEARCH(,Data!I$3:I$635),10^9)+ROW(Data!I$3:I$635)/1000,ROWS(H$3:H72)),IFERROR(SEARCH(,Data!I$3:I$635),10^9)+ROW(Data!I$3:I$635)/1000,0))</f>
        <v/>
      </c>
      <c r="I72" s="882"/>
      <c r="J72" s="882"/>
    </row>
    <row r="73" spans="1:10" ht="45.75" customHeight="1" x14ac:dyDescent="0.35">
      <c r="A73" s="108" t="str">
        <f>IFERROR(INDEX(Data!A$3:A$635,MATCH(IF(B73="","END",B73),Data!$B$3:$B$635,0)),"")</f>
        <v/>
      </c>
      <c r="B73" s="108" t="str" cm="1">
        <f t="array" ref="B73">INDEX(Data!B$3:B$635,MATCH(SMALL(IFERROR(SEARCH(,Data!B$3:B$635),10^9)+ROW(Data!B$3:B$635)/1000,ROWS(B$3:B73)),IFERROR(SEARCH(,Data!B$3:B$635),10^9)+ROW(Data!B$3:B$635)/1000,0))</f>
        <v/>
      </c>
      <c r="C73" s="317" t="str" cm="1">
        <f t="array" ref="C73">INDEX(Data!C$3:C$635,MATCH(SMALL(IFERROR(SEARCH(,Data!C$3:C$635),10^9)+ROW(Data!C$3:C$635)/1000,ROWS(C$3:C73)),IFERROR(SEARCH(,Data!C$3:C$635),10^9)+ROW(Data!C$3:C$635)/1000,0))</f>
        <v/>
      </c>
      <c r="D73" s="111" t="str">
        <f t="shared" si="1"/>
        <v/>
      </c>
      <c r="E73" s="111" t="str" cm="1">
        <f t="array" ref="E73">INDEX(Data!E$3:E$635,MATCH(SMALL(IFERROR(SEARCH(,Data!E$3:E$635),10^9)+ROW(Data!E$3:E$635)/1000,ROWS(E$3:E73)),IFERROR(SEARCH(,Data!E$3:E$635),10^9)+ROW(Data!E$3:E$635)/1000,0))</f>
        <v/>
      </c>
      <c r="F73" s="111" t="str" cm="1">
        <f t="array" ref="F73">INDEX(Data!F$3:F$635,MATCH(SMALL(IFERROR(SEARCH(,Data!F$3:F$635),10^9)+ROW(Data!F$3:F$635)/1000,ROWS(F$3:F73)),IFERROR(SEARCH(,Data!F$3:F$635),10^9)+ROW(Data!F$3:F$635)/1000,0))</f>
        <v/>
      </c>
      <c r="G73" s="111" t="str" cm="1">
        <f t="array" ref="G73">INDEX(Data!G$3:G$635,MATCH(SMALL(IFERROR(SEARCH(,Data!G$3:G$635),10^9)+ROW(Data!G$3:G$635)/1000,ROWS(G$3:G73)),IFERROR(SEARCH(,Data!G$3:G$635),10^9)+ROW(Data!G$3:G$635)/1000,0))</f>
        <v/>
      </c>
      <c r="H73" s="623" t="str" cm="1">
        <f t="array" ref="H73">INDEX(Data!I$3:I$635,MATCH(SMALL(IFERROR(SEARCH(,Data!I$3:I$635),10^9)+ROW(Data!I$3:I$635)/1000,ROWS(H$3:H73)),IFERROR(SEARCH(,Data!I$3:I$635),10^9)+ROW(Data!I$3:I$635)/1000,0))</f>
        <v/>
      </c>
      <c r="I73" s="882"/>
      <c r="J73" s="882"/>
    </row>
    <row r="74" spans="1:10" ht="45.75" customHeight="1" x14ac:dyDescent="0.35">
      <c r="A74" s="108" t="str">
        <f>IFERROR(INDEX(Data!A$3:A$635,MATCH(IF(B74="","END",B74),Data!$B$3:$B$635,0)),"")</f>
        <v/>
      </c>
      <c r="B74" s="108" t="str" cm="1">
        <f t="array" ref="B74">INDEX(Data!B$3:B$635,MATCH(SMALL(IFERROR(SEARCH(,Data!B$3:B$635),10^9)+ROW(Data!B$3:B$635)/1000,ROWS(B$3:B74)),IFERROR(SEARCH(,Data!B$3:B$635),10^9)+ROW(Data!B$3:B$635)/1000,0))</f>
        <v/>
      </c>
      <c r="C74" s="317" t="str" cm="1">
        <f t="array" ref="C74">INDEX(Data!C$3:C$635,MATCH(SMALL(IFERROR(SEARCH(,Data!C$3:C$635),10^9)+ROW(Data!C$3:C$635)/1000,ROWS(C$3:C74)),IFERROR(SEARCH(,Data!C$3:C$635),10^9)+ROW(Data!C$3:C$635)/1000,0))</f>
        <v/>
      </c>
      <c r="D74" s="111" t="str">
        <f t="shared" si="1"/>
        <v/>
      </c>
      <c r="E74" s="111" t="str" cm="1">
        <f t="array" ref="E74">INDEX(Data!E$3:E$635,MATCH(SMALL(IFERROR(SEARCH(,Data!E$3:E$635),10^9)+ROW(Data!E$3:E$635)/1000,ROWS(E$3:E74)),IFERROR(SEARCH(,Data!E$3:E$635),10^9)+ROW(Data!E$3:E$635)/1000,0))</f>
        <v/>
      </c>
      <c r="F74" s="111" t="str" cm="1">
        <f t="array" ref="F74">INDEX(Data!F$3:F$635,MATCH(SMALL(IFERROR(SEARCH(,Data!F$3:F$635),10^9)+ROW(Data!F$3:F$635)/1000,ROWS(F$3:F74)),IFERROR(SEARCH(,Data!F$3:F$635),10^9)+ROW(Data!F$3:F$635)/1000,0))</f>
        <v/>
      </c>
      <c r="G74" s="111" t="str" cm="1">
        <f t="array" ref="G74">INDEX(Data!G$3:G$635,MATCH(SMALL(IFERROR(SEARCH(,Data!G$3:G$635),10^9)+ROW(Data!G$3:G$635)/1000,ROWS(G$3:G74)),IFERROR(SEARCH(,Data!G$3:G$635),10^9)+ROW(Data!G$3:G$635)/1000,0))</f>
        <v/>
      </c>
      <c r="H74" s="623" t="str" cm="1">
        <f t="array" ref="H74">INDEX(Data!I$3:I$635,MATCH(SMALL(IFERROR(SEARCH(,Data!I$3:I$635),10^9)+ROW(Data!I$3:I$635)/1000,ROWS(H$3:H74)),IFERROR(SEARCH(,Data!I$3:I$635),10^9)+ROW(Data!I$3:I$635)/1000,0))</f>
        <v/>
      </c>
      <c r="I74" s="882"/>
      <c r="J74" s="882"/>
    </row>
    <row r="75" spans="1:10" ht="45.75" customHeight="1" x14ac:dyDescent="0.35">
      <c r="A75" s="108" t="str">
        <f>IFERROR(INDEX(Data!A$3:A$635,MATCH(IF(B75="","END",B75),Data!$B$3:$B$635,0)),"")</f>
        <v/>
      </c>
      <c r="B75" s="108" t="str" cm="1">
        <f t="array" ref="B75">INDEX(Data!B$3:B$635,MATCH(SMALL(IFERROR(SEARCH(,Data!B$3:B$635),10^9)+ROW(Data!B$3:B$635)/1000,ROWS(B$3:B75)),IFERROR(SEARCH(,Data!B$3:B$635),10^9)+ROW(Data!B$3:B$635)/1000,0))</f>
        <v/>
      </c>
      <c r="C75" s="317" t="str" cm="1">
        <f t="array" ref="C75">INDEX(Data!C$3:C$635,MATCH(SMALL(IFERROR(SEARCH(,Data!C$3:C$635),10^9)+ROW(Data!C$3:C$635)/1000,ROWS(C$3:C75)),IFERROR(SEARCH(,Data!C$3:C$635),10^9)+ROW(Data!C$3:C$635)/1000,0))</f>
        <v/>
      </c>
      <c r="D75" s="111" t="str">
        <f t="shared" si="1"/>
        <v/>
      </c>
      <c r="E75" s="111" t="str" cm="1">
        <f t="array" ref="E75">INDEX(Data!E$3:E$635,MATCH(SMALL(IFERROR(SEARCH(,Data!E$3:E$635),10^9)+ROW(Data!E$3:E$635)/1000,ROWS(E$3:E75)),IFERROR(SEARCH(,Data!E$3:E$635),10^9)+ROW(Data!E$3:E$635)/1000,0))</f>
        <v/>
      </c>
      <c r="F75" s="111" t="str" cm="1">
        <f t="array" ref="F75">INDEX(Data!F$3:F$635,MATCH(SMALL(IFERROR(SEARCH(,Data!F$3:F$635),10^9)+ROW(Data!F$3:F$635)/1000,ROWS(F$3:F75)),IFERROR(SEARCH(,Data!F$3:F$635),10^9)+ROW(Data!F$3:F$635)/1000,0))</f>
        <v/>
      </c>
      <c r="G75" s="111" t="str" cm="1">
        <f t="array" ref="G75">INDEX(Data!G$3:G$635,MATCH(SMALL(IFERROR(SEARCH(,Data!G$3:G$635),10^9)+ROW(Data!G$3:G$635)/1000,ROWS(G$3:G75)),IFERROR(SEARCH(,Data!G$3:G$635),10^9)+ROW(Data!G$3:G$635)/1000,0))</f>
        <v/>
      </c>
      <c r="H75" s="623" t="str" cm="1">
        <f t="array" ref="H75">INDEX(Data!I$3:I$635,MATCH(SMALL(IFERROR(SEARCH(,Data!I$3:I$635),10^9)+ROW(Data!I$3:I$635)/1000,ROWS(H$3:H75)),IFERROR(SEARCH(,Data!I$3:I$635),10^9)+ROW(Data!I$3:I$635)/1000,0))</f>
        <v/>
      </c>
      <c r="I75" s="882"/>
      <c r="J75" s="882"/>
    </row>
    <row r="76" spans="1:10" ht="45.75" customHeight="1" x14ac:dyDescent="0.35">
      <c r="A76" s="108" t="str">
        <f>IFERROR(INDEX(Data!A$3:A$635,MATCH(IF(B76="","END",B76),Data!$B$3:$B$635,0)),"")</f>
        <v/>
      </c>
      <c r="B76" s="108" t="str" cm="1">
        <f t="array" ref="B76">INDEX(Data!B$3:B$635,MATCH(SMALL(IFERROR(SEARCH(,Data!B$3:B$635),10^9)+ROW(Data!B$3:B$635)/1000,ROWS(B$3:B76)),IFERROR(SEARCH(,Data!B$3:B$635),10^9)+ROW(Data!B$3:B$635)/1000,0))</f>
        <v/>
      </c>
      <c r="C76" s="317" t="str" cm="1">
        <f t="array" ref="C76">INDEX(Data!C$3:C$635,MATCH(SMALL(IFERROR(SEARCH(,Data!C$3:C$635),10^9)+ROW(Data!C$3:C$635)/1000,ROWS(C$3:C76)),IFERROR(SEARCH(,Data!C$3:C$635),10^9)+ROW(Data!C$3:C$635)/1000,0))</f>
        <v/>
      </c>
      <c r="D76" s="111" t="str">
        <f t="shared" si="1"/>
        <v/>
      </c>
      <c r="E76" s="111" t="str" cm="1">
        <f t="array" ref="E76">INDEX(Data!E$3:E$635,MATCH(SMALL(IFERROR(SEARCH(,Data!E$3:E$635),10^9)+ROW(Data!E$3:E$635)/1000,ROWS(E$3:E76)),IFERROR(SEARCH(,Data!E$3:E$635),10^9)+ROW(Data!E$3:E$635)/1000,0))</f>
        <v/>
      </c>
      <c r="F76" s="111" t="str" cm="1">
        <f t="array" ref="F76">INDEX(Data!F$3:F$635,MATCH(SMALL(IFERROR(SEARCH(,Data!F$3:F$635),10^9)+ROW(Data!F$3:F$635)/1000,ROWS(F$3:F76)),IFERROR(SEARCH(,Data!F$3:F$635),10^9)+ROW(Data!F$3:F$635)/1000,0))</f>
        <v/>
      </c>
      <c r="G76" s="111" t="str" cm="1">
        <f t="array" ref="G76">INDEX(Data!G$3:G$635,MATCH(SMALL(IFERROR(SEARCH(,Data!G$3:G$635),10^9)+ROW(Data!G$3:G$635)/1000,ROWS(G$3:G76)),IFERROR(SEARCH(,Data!G$3:G$635),10^9)+ROW(Data!G$3:G$635)/1000,0))</f>
        <v/>
      </c>
      <c r="H76" s="623" t="str" cm="1">
        <f t="array" ref="H76">INDEX(Data!I$3:I$635,MATCH(SMALL(IFERROR(SEARCH(,Data!I$3:I$635),10^9)+ROW(Data!I$3:I$635)/1000,ROWS(H$3:H76)),IFERROR(SEARCH(,Data!I$3:I$635),10^9)+ROW(Data!I$3:I$635)/1000,0))</f>
        <v/>
      </c>
      <c r="I76" s="882"/>
      <c r="J76" s="882"/>
    </row>
    <row r="77" spans="1:10" ht="45.75" customHeight="1" x14ac:dyDescent="0.35">
      <c r="A77" s="108" t="str">
        <f>IFERROR(INDEX(Data!A$3:A$635,MATCH(IF(B77="","END",B77),Data!$B$3:$B$635,0)),"")</f>
        <v/>
      </c>
      <c r="B77" s="108" t="str" cm="1">
        <f t="array" ref="B77">INDEX(Data!B$3:B$635,MATCH(SMALL(IFERROR(SEARCH(,Data!B$3:B$635),10^9)+ROW(Data!B$3:B$635)/1000,ROWS(B$3:B77)),IFERROR(SEARCH(,Data!B$3:B$635),10^9)+ROW(Data!B$3:B$635)/1000,0))</f>
        <v/>
      </c>
      <c r="C77" s="317" t="str" cm="1">
        <f t="array" ref="C77">INDEX(Data!C$3:C$635,MATCH(SMALL(IFERROR(SEARCH(,Data!C$3:C$635),10^9)+ROW(Data!C$3:C$635)/1000,ROWS(C$3:C77)),IFERROR(SEARCH(,Data!C$3:C$635),10^9)+ROW(Data!C$3:C$635)/1000,0))</f>
        <v/>
      </c>
      <c r="D77" s="111" t="str">
        <f t="shared" si="1"/>
        <v/>
      </c>
      <c r="E77" s="111" t="str" cm="1">
        <f t="array" ref="E77">INDEX(Data!E$3:E$635,MATCH(SMALL(IFERROR(SEARCH(,Data!E$3:E$635),10^9)+ROW(Data!E$3:E$635)/1000,ROWS(E$3:E77)),IFERROR(SEARCH(,Data!E$3:E$635),10^9)+ROW(Data!E$3:E$635)/1000,0))</f>
        <v/>
      </c>
      <c r="F77" s="111" t="str" cm="1">
        <f t="array" ref="F77">INDEX(Data!F$3:F$635,MATCH(SMALL(IFERROR(SEARCH(,Data!F$3:F$635),10^9)+ROW(Data!F$3:F$635)/1000,ROWS(F$3:F77)),IFERROR(SEARCH(,Data!F$3:F$635),10^9)+ROW(Data!F$3:F$635)/1000,0))</f>
        <v/>
      </c>
      <c r="G77" s="111" t="str" cm="1">
        <f t="array" ref="G77">INDEX(Data!G$3:G$635,MATCH(SMALL(IFERROR(SEARCH(,Data!G$3:G$635),10^9)+ROW(Data!G$3:G$635)/1000,ROWS(G$3:G77)),IFERROR(SEARCH(,Data!G$3:G$635),10^9)+ROW(Data!G$3:G$635)/1000,0))</f>
        <v/>
      </c>
      <c r="H77" s="623" t="str" cm="1">
        <f t="array" ref="H77">INDEX(Data!I$3:I$635,MATCH(SMALL(IFERROR(SEARCH(,Data!I$3:I$635),10^9)+ROW(Data!I$3:I$635)/1000,ROWS(H$3:H77)),IFERROR(SEARCH(,Data!I$3:I$635),10^9)+ROW(Data!I$3:I$635)/1000,0))</f>
        <v/>
      </c>
      <c r="I77" s="882"/>
      <c r="J77" s="882"/>
    </row>
    <row r="78" spans="1:10" ht="45.75" customHeight="1" x14ac:dyDescent="0.35">
      <c r="A78" s="108" t="str">
        <f>IFERROR(INDEX(Data!A$3:A$635,MATCH(IF(B78="","END",B78),Data!$B$3:$B$635,0)),"")</f>
        <v/>
      </c>
      <c r="B78" s="108" t="str" cm="1">
        <f t="array" ref="B78">INDEX(Data!B$3:B$635,MATCH(SMALL(IFERROR(SEARCH(,Data!B$3:B$635),10^9)+ROW(Data!B$3:B$635)/1000,ROWS(B$3:B78)),IFERROR(SEARCH(,Data!B$3:B$635),10^9)+ROW(Data!B$3:B$635)/1000,0))</f>
        <v/>
      </c>
      <c r="C78" s="317" t="str" cm="1">
        <f t="array" ref="C78">INDEX(Data!C$3:C$635,MATCH(SMALL(IFERROR(SEARCH(,Data!C$3:C$635),10^9)+ROW(Data!C$3:C$635)/1000,ROWS(C$3:C78)),IFERROR(SEARCH(,Data!C$3:C$635),10^9)+ROW(Data!C$3:C$635)/1000,0))</f>
        <v/>
      </c>
      <c r="D78" s="111" t="str">
        <f t="shared" si="1"/>
        <v/>
      </c>
      <c r="E78" s="111" t="str" cm="1">
        <f t="array" ref="E78">INDEX(Data!E$3:E$635,MATCH(SMALL(IFERROR(SEARCH(,Data!E$3:E$635),10^9)+ROW(Data!E$3:E$635)/1000,ROWS(E$3:E78)),IFERROR(SEARCH(,Data!E$3:E$635),10^9)+ROW(Data!E$3:E$635)/1000,0))</f>
        <v/>
      </c>
      <c r="F78" s="111" t="str" cm="1">
        <f t="array" ref="F78">INDEX(Data!F$3:F$635,MATCH(SMALL(IFERROR(SEARCH(,Data!F$3:F$635),10^9)+ROW(Data!F$3:F$635)/1000,ROWS(F$3:F78)),IFERROR(SEARCH(,Data!F$3:F$635),10^9)+ROW(Data!F$3:F$635)/1000,0))</f>
        <v/>
      </c>
      <c r="G78" s="111" t="str" cm="1">
        <f t="array" ref="G78">INDEX(Data!G$3:G$635,MATCH(SMALL(IFERROR(SEARCH(,Data!G$3:G$635),10^9)+ROW(Data!G$3:G$635)/1000,ROWS(G$3:G78)),IFERROR(SEARCH(,Data!G$3:G$635),10^9)+ROW(Data!G$3:G$635)/1000,0))</f>
        <v/>
      </c>
      <c r="H78" s="623" t="str" cm="1">
        <f t="array" ref="H78">INDEX(Data!I$3:I$635,MATCH(SMALL(IFERROR(SEARCH(,Data!I$3:I$635),10^9)+ROW(Data!I$3:I$635)/1000,ROWS(H$3:H78)),IFERROR(SEARCH(,Data!I$3:I$635),10^9)+ROW(Data!I$3:I$635)/1000,0))</f>
        <v/>
      </c>
      <c r="I78" s="882"/>
      <c r="J78" s="882"/>
    </row>
    <row r="79" spans="1:10" ht="45.75" customHeight="1" x14ac:dyDescent="0.35">
      <c r="A79" s="108" t="str">
        <f>IFERROR(INDEX(Data!A$3:A$635,MATCH(IF(B79="","END",B79),Data!$B$3:$B$635,0)),"")</f>
        <v/>
      </c>
      <c r="B79" s="108" t="str" cm="1">
        <f t="array" ref="B79">INDEX(Data!B$3:B$635,MATCH(SMALL(IFERROR(SEARCH(,Data!B$3:B$635),10^9)+ROW(Data!B$3:B$635)/1000,ROWS(B$3:B79)),IFERROR(SEARCH(,Data!B$3:B$635),10^9)+ROW(Data!B$3:B$635)/1000,0))</f>
        <v/>
      </c>
      <c r="C79" s="317" t="str" cm="1">
        <f t="array" ref="C79">INDEX(Data!C$3:C$635,MATCH(SMALL(IFERROR(SEARCH(,Data!C$3:C$635),10^9)+ROW(Data!C$3:C$635)/1000,ROWS(C$3:C79)),IFERROR(SEARCH(,Data!C$3:C$635),10^9)+ROW(Data!C$3:C$635)/1000,0))</f>
        <v/>
      </c>
      <c r="D79" s="111" t="str">
        <f t="shared" si="1"/>
        <v/>
      </c>
      <c r="E79" s="111" t="str" cm="1">
        <f t="array" ref="E79">INDEX(Data!E$3:E$635,MATCH(SMALL(IFERROR(SEARCH(,Data!E$3:E$635),10^9)+ROW(Data!E$3:E$635)/1000,ROWS(E$3:E79)),IFERROR(SEARCH(,Data!E$3:E$635),10^9)+ROW(Data!E$3:E$635)/1000,0))</f>
        <v/>
      </c>
      <c r="F79" s="111" t="str" cm="1">
        <f t="array" ref="F79">INDEX(Data!F$3:F$635,MATCH(SMALL(IFERROR(SEARCH(,Data!F$3:F$635),10^9)+ROW(Data!F$3:F$635)/1000,ROWS(F$3:F79)),IFERROR(SEARCH(,Data!F$3:F$635),10^9)+ROW(Data!F$3:F$635)/1000,0))</f>
        <v/>
      </c>
      <c r="G79" s="111" t="str" cm="1">
        <f t="array" ref="G79">INDEX(Data!G$3:G$635,MATCH(SMALL(IFERROR(SEARCH(,Data!G$3:G$635),10^9)+ROW(Data!G$3:G$635)/1000,ROWS(G$3:G79)),IFERROR(SEARCH(,Data!G$3:G$635),10^9)+ROW(Data!G$3:G$635)/1000,0))</f>
        <v/>
      </c>
      <c r="H79" s="623" t="str" cm="1">
        <f t="array" ref="H79">INDEX(Data!I$3:I$635,MATCH(SMALL(IFERROR(SEARCH(,Data!I$3:I$635),10^9)+ROW(Data!I$3:I$635)/1000,ROWS(H$3:H79)),IFERROR(SEARCH(,Data!I$3:I$635),10^9)+ROW(Data!I$3:I$635)/1000,0))</f>
        <v/>
      </c>
      <c r="I79" s="882"/>
      <c r="J79" s="882"/>
    </row>
    <row r="80" spans="1:10" ht="45.75" customHeight="1" x14ac:dyDescent="0.35">
      <c r="A80" s="108" t="str">
        <f>IFERROR(INDEX(Data!A$3:A$635,MATCH(IF(B80="","END",B80),Data!$B$3:$B$635,0)),"")</f>
        <v/>
      </c>
      <c r="B80" s="108" t="str" cm="1">
        <f t="array" ref="B80">INDEX(Data!B$3:B$635,MATCH(SMALL(IFERROR(SEARCH(,Data!B$3:B$635),10^9)+ROW(Data!B$3:B$635)/1000,ROWS(B$3:B80)),IFERROR(SEARCH(,Data!B$3:B$635),10^9)+ROW(Data!B$3:B$635)/1000,0))</f>
        <v/>
      </c>
      <c r="C80" s="317" t="str" cm="1">
        <f t="array" ref="C80">INDEX(Data!C$3:C$635,MATCH(SMALL(IFERROR(SEARCH(,Data!C$3:C$635),10^9)+ROW(Data!C$3:C$635)/1000,ROWS(C$3:C80)),IFERROR(SEARCH(,Data!C$3:C$635),10^9)+ROW(Data!C$3:C$635)/1000,0))</f>
        <v/>
      </c>
      <c r="D80" s="111" t="str">
        <f t="shared" si="1"/>
        <v/>
      </c>
      <c r="E80" s="111" t="str" cm="1">
        <f t="array" ref="E80">INDEX(Data!E$3:E$635,MATCH(SMALL(IFERROR(SEARCH(,Data!E$3:E$635),10^9)+ROW(Data!E$3:E$635)/1000,ROWS(E$3:E80)),IFERROR(SEARCH(,Data!E$3:E$635),10^9)+ROW(Data!E$3:E$635)/1000,0))</f>
        <v/>
      </c>
      <c r="F80" s="111" t="str" cm="1">
        <f t="array" ref="F80">INDEX(Data!F$3:F$635,MATCH(SMALL(IFERROR(SEARCH(,Data!F$3:F$635),10^9)+ROW(Data!F$3:F$635)/1000,ROWS(F$3:F80)),IFERROR(SEARCH(,Data!F$3:F$635),10^9)+ROW(Data!F$3:F$635)/1000,0))</f>
        <v/>
      </c>
      <c r="G80" s="111" t="str" cm="1">
        <f t="array" ref="G80">INDEX(Data!G$3:G$635,MATCH(SMALL(IFERROR(SEARCH(,Data!G$3:G$635),10^9)+ROW(Data!G$3:G$635)/1000,ROWS(G$3:G80)),IFERROR(SEARCH(,Data!G$3:G$635),10^9)+ROW(Data!G$3:G$635)/1000,0))</f>
        <v/>
      </c>
      <c r="H80" s="623" t="str" cm="1">
        <f t="array" ref="H80">INDEX(Data!I$3:I$635,MATCH(SMALL(IFERROR(SEARCH(,Data!I$3:I$635),10^9)+ROW(Data!I$3:I$635)/1000,ROWS(H$3:H80)),IFERROR(SEARCH(,Data!I$3:I$635),10^9)+ROW(Data!I$3:I$635)/1000,0))</f>
        <v/>
      </c>
      <c r="I80" s="882"/>
      <c r="J80" s="882"/>
    </row>
    <row r="81" spans="1:10" ht="45.75" customHeight="1" x14ac:dyDescent="0.35">
      <c r="A81" s="108" t="str">
        <f>IFERROR(INDEX(Data!A$3:A$635,MATCH(IF(B81="","END",B81),Data!$B$3:$B$635,0)),"")</f>
        <v/>
      </c>
      <c r="B81" s="108" t="str" cm="1">
        <f t="array" ref="B81">INDEX(Data!B$3:B$635,MATCH(SMALL(IFERROR(SEARCH(,Data!B$3:B$635),10^9)+ROW(Data!B$3:B$635)/1000,ROWS(B$3:B81)),IFERROR(SEARCH(,Data!B$3:B$635),10^9)+ROW(Data!B$3:B$635)/1000,0))</f>
        <v/>
      </c>
      <c r="C81" s="317" t="str" cm="1">
        <f t="array" ref="C81">INDEX(Data!C$3:C$635,MATCH(SMALL(IFERROR(SEARCH(,Data!C$3:C$635),10^9)+ROW(Data!C$3:C$635)/1000,ROWS(C$3:C81)),IFERROR(SEARCH(,Data!C$3:C$635),10^9)+ROW(Data!C$3:C$635)/1000,0))</f>
        <v/>
      </c>
      <c r="D81" s="111" t="str">
        <f t="shared" si="1"/>
        <v/>
      </c>
      <c r="E81" s="111" t="str" cm="1">
        <f t="array" ref="E81">INDEX(Data!E$3:E$635,MATCH(SMALL(IFERROR(SEARCH(,Data!E$3:E$635),10^9)+ROW(Data!E$3:E$635)/1000,ROWS(E$3:E81)),IFERROR(SEARCH(,Data!E$3:E$635),10^9)+ROW(Data!E$3:E$635)/1000,0))</f>
        <v/>
      </c>
      <c r="F81" s="111" t="str" cm="1">
        <f t="array" ref="F81">INDEX(Data!F$3:F$635,MATCH(SMALL(IFERROR(SEARCH(,Data!F$3:F$635),10^9)+ROW(Data!F$3:F$635)/1000,ROWS(F$3:F81)),IFERROR(SEARCH(,Data!F$3:F$635),10^9)+ROW(Data!F$3:F$635)/1000,0))</f>
        <v/>
      </c>
      <c r="G81" s="111" t="str" cm="1">
        <f t="array" ref="G81">INDEX(Data!G$3:G$635,MATCH(SMALL(IFERROR(SEARCH(,Data!G$3:G$635),10^9)+ROW(Data!G$3:G$635)/1000,ROWS(G$3:G81)),IFERROR(SEARCH(,Data!G$3:G$635),10^9)+ROW(Data!G$3:G$635)/1000,0))</f>
        <v/>
      </c>
      <c r="H81" s="623" t="str" cm="1">
        <f t="array" ref="H81">INDEX(Data!I$3:I$635,MATCH(SMALL(IFERROR(SEARCH(,Data!I$3:I$635),10^9)+ROW(Data!I$3:I$635)/1000,ROWS(H$3:H81)),IFERROR(SEARCH(,Data!I$3:I$635),10^9)+ROW(Data!I$3:I$635)/1000,0))</f>
        <v/>
      </c>
      <c r="I81" s="882"/>
      <c r="J81" s="882"/>
    </row>
    <row r="82" spans="1:10" ht="45.75" customHeight="1" x14ac:dyDescent="0.35">
      <c r="A82" s="108" t="str">
        <f>IFERROR(INDEX(Data!A$3:A$635,MATCH(IF(B82="","END",B82),Data!$B$3:$B$635,0)),"")</f>
        <v/>
      </c>
      <c r="B82" s="108" t="str" cm="1">
        <f t="array" ref="B82">INDEX(Data!B$3:B$635,MATCH(SMALL(IFERROR(SEARCH(,Data!B$3:B$635),10^9)+ROW(Data!B$3:B$635)/1000,ROWS(B$3:B82)),IFERROR(SEARCH(,Data!B$3:B$635),10^9)+ROW(Data!B$3:B$635)/1000,0))</f>
        <v/>
      </c>
      <c r="C82" s="317" t="str" cm="1">
        <f t="array" ref="C82">INDEX(Data!C$3:C$635,MATCH(SMALL(IFERROR(SEARCH(,Data!C$3:C$635),10^9)+ROW(Data!C$3:C$635)/1000,ROWS(C$3:C82)),IFERROR(SEARCH(,Data!C$3:C$635),10^9)+ROW(Data!C$3:C$635)/1000,0))</f>
        <v/>
      </c>
      <c r="D82" s="111" t="str">
        <f t="shared" si="1"/>
        <v/>
      </c>
      <c r="E82" s="111" t="str" cm="1">
        <f t="array" ref="E82">INDEX(Data!E$3:E$635,MATCH(SMALL(IFERROR(SEARCH(,Data!E$3:E$635),10^9)+ROW(Data!E$3:E$635)/1000,ROWS(E$3:E82)),IFERROR(SEARCH(,Data!E$3:E$635),10^9)+ROW(Data!E$3:E$635)/1000,0))</f>
        <v/>
      </c>
      <c r="F82" s="111" t="str" cm="1">
        <f t="array" ref="F82">INDEX(Data!F$3:F$635,MATCH(SMALL(IFERROR(SEARCH(,Data!F$3:F$635),10^9)+ROW(Data!F$3:F$635)/1000,ROWS(F$3:F82)),IFERROR(SEARCH(,Data!F$3:F$635),10^9)+ROW(Data!F$3:F$635)/1000,0))</f>
        <v/>
      </c>
      <c r="G82" s="111" t="str" cm="1">
        <f t="array" ref="G82">INDEX(Data!G$3:G$635,MATCH(SMALL(IFERROR(SEARCH(,Data!G$3:G$635),10^9)+ROW(Data!G$3:G$635)/1000,ROWS(G$3:G82)),IFERROR(SEARCH(,Data!G$3:G$635),10^9)+ROW(Data!G$3:G$635)/1000,0))</f>
        <v/>
      </c>
      <c r="H82" s="623" t="str" cm="1">
        <f t="array" ref="H82">INDEX(Data!I$3:I$635,MATCH(SMALL(IFERROR(SEARCH(,Data!I$3:I$635),10^9)+ROW(Data!I$3:I$635)/1000,ROWS(H$3:H82)),IFERROR(SEARCH(,Data!I$3:I$635),10^9)+ROW(Data!I$3:I$635)/1000,0))</f>
        <v/>
      </c>
      <c r="I82" s="882"/>
      <c r="J82" s="882"/>
    </row>
    <row r="83" spans="1:10" ht="45.75" customHeight="1" x14ac:dyDescent="0.35">
      <c r="A83" s="108" t="str">
        <f>IFERROR(INDEX(Data!A$3:A$635,MATCH(IF(B83="","END",B83),Data!$B$3:$B$635,0)),"")</f>
        <v/>
      </c>
      <c r="B83" s="108" t="str" cm="1">
        <f t="array" ref="B83">INDEX(Data!B$3:B$635,MATCH(SMALL(IFERROR(SEARCH(,Data!B$3:B$635),10^9)+ROW(Data!B$3:B$635)/1000,ROWS(B$3:B83)),IFERROR(SEARCH(,Data!B$3:B$635),10^9)+ROW(Data!B$3:B$635)/1000,0))</f>
        <v/>
      </c>
      <c r="C83" s="317" t="str" cm="1">
        <f t="array" ref="C83">INDEX(Data!C$3:C$635,MATCH(SMALL(IFERROR(SEARCH(,Data!C$3:C$635),10^9)+ROW(Data!C$3:C$635)/1000,ROWS(C$3:C83)),IFERROR(SEARCH(,Data!C$3:C$635),10^9)+ROW(Data!C$3:C$635)/1000,0))</f>
        <v/>
      </c>
      <c r="D83" s="111" t="str">
        <f t="shared" si="1"/>
        <v/>
      </c>
      <c r="E83" s="111" t="str" cm="1">
        <f t="array" ref="E83">INDEX(Data!E$3:E$635,MATCH(SMALL(IFERROR(SEARCH(,Data!E$3:E$635),10^9)+ROW(Data!E$3:E$635)/1000,ROWS(E$3:E83)),IFERROR(SEARCH(,Data!E$3:E$635),10^9)+ROW(Data!E$3:E$635)/1000,0))</f>
        <v/>
      </c>
      <c r="F83" s="111" t="str" cm="1">
        <f t="array" ref="F83">INDEX(Data!F$3:F$635,MATCH(SMALL(IFERROR(SEARCH(,Data!F$3:F$635),10^9)+ROW(Data!F$3:F$635)/1000,ROWS(F$3:F83)),IFERROR(SEARCH(,Data!F$3:F$635),10^9)+ROW(Data!F$3:F$635)/1000,0))</f>
        <v/>
      </c>
      <c r="G83" s="111" t="str" cm="1">
        <f t="array" ref="G83">INDEX(Data!G$3:G$635,MATCH(SMALL(IFERROR(SEARCH(,Data!G$3:G$635),10^9)+ROW(Data!G$3:G$635)/1000,ROWS(G$3:G83)),IFERROR(SEARCH(,Data!G$3:G$635),10^9)+ROW(Data!G$3:G$635)/1000,0))</f>
        <v/>
      </c>
      <c r="H83" s="623" t="str" cm="1">
        <f t="array" ref="H83">INDEX(Data!I$3:I$635,MATCH(SMALL(IFERROR(SEARCH(,Data!I$3:I$635),10^9)+ROW(Data!I$3:I$635)/1000,ROWS(H$3:H83)),IFERROR(SEARCH(,Data!I$3:I$635),10^9)+ROW(Data!I$3:I$635)/1000,0))</f>
        <v/>
      </c>
      <c r="I83" s="882"/>
      <c r="J83" s="882"/>
    </row>
    <row r="84" spans="1:10" ht="45.75" customHeight="1" x14ac:dyDescent="0.35">
      <c r="A84" s="108" t="str">
        <f>IFERROR(INDEX(Data!A$3:A$635,MATCH(IF(B84="","END",B84),Data!$B$3:$B$635,0)),"")</f>
        <v/>
      </c>
      <c r="B84" s="108" t="str" cm="1">
        <f t="array" ref="B84">INDEX(Data!B$3:B$635,MATCH(SMALL(IFERROR(SEARCH(,Data!B$3:B$635),10^9)+ROW(Data!B$3:B$635)/1000,ROWS(B$3:B84)),IFERROR(SEARCH(,Data!B$3:B$635),10^9)+ROW(Data!B$3:B$635)/1000,0))</f>
        <v/>
      </c>
      <c r="C84" s="317" t="str" cm="1">
        <f t="array" ref="C84">INDEX(Data!C$3:C$635,MATCH(SMALL(IFERROR(SEARCH(,Data!C$3:C$635),10^9)+ROW(Data!C$3:C$635)/1000,ROWS(C$3:C84)),IFERROR(SEARCH(,Data!C$3:C$635),10^9)+ROW(Data!C$3:C$635)/1000,0))</f>
        <v/>
      </c>
      <c r="D84" s="111" t="str">
        <f t="shared" si="1"/>
        <v/>
      </c>
      <c r="E84" s="111" t="str" cm="1">
        <f t="array" ref="E84">INDEX(Data!E$3:E$635,MATCH(SMALL(IFERROR(SEARCH(,Data!E$3:E$635),10^9)+ROW(Data!E$3:E$635)/1000,ROWS(E$3:E84)),IFERROR(SEARCH(,Data!E$3:E$635),10^9)+ROW(Data!E$3:E$635)/1000,0))</f>
        <v/>
      </c>
      <c r="F84" s="111" t="str" cm="1">
        <f t="array" ref="F84">INDEX(Data!F$3:F$635,MATCH(SMALL(IFERROR(SEARCH(,Data!F$3:F$635),10^9)+ROW(Data!F$3:F$635)/1000,ROWS(F$3:F84)),IFERROR(SEARCH(,Data!F$3:F$635),10^9)+ROW(Data!F$3:F$635)/1000,0))</f>
        <v/>
      </c>
      <c r="G84" s="111" t="str" cm="1">
        <f t="array" ref="G84">INDEX(Data!G$3:G$635,MATCH(SMALL(IFERROR(SEARCH(,Data!G$3:G$635),10^9)+ROW(Data!G$3:G$635)/1000,ROWS(G$3:G84)),IFERROR(SEARCH(,Data!G$3:G$635),10^9)+ROW(Data!G$3:G$635)/1000,0))</f>
        <v/>
      </c>
      <c r="H84" s="623" t="str" cm="1">
        <f t="array" ref="H84">INDEX(Data!I$3:I$635,MATCH(SMALL(IFERROR(SEARCH(,Data!I$3:I$635),10^9)+ROW(Data!I$3:I$635)/1000,ROWS(H$3:H84)),IFERROR(SEARCH(,Data!I$3:I$635),10^9)+ROW(Data!I$3:I$635)/1000,0))</f>
        <v/>
      </c>
      <c r="I84" s="882"/>
      <c r="J84" s="882"/>
    </row>
    <row r="85" spans="1:10" ht="45.75" customHeight="1" x14ac:dyDescent="0.35">
      <c r="A85" s="108" t="str">
        <f>IFERROR(INDEX(Data!A$3:A$635,MATCH(IF(B85="","END",B85),Data!$B$3:$B$635,0)),"")</f>
        <v/>
      </c>
      <c r="B85" s="108" t="str" cm="1">
        <f t="array" ref="B85">INDEX(Data!B$3:B$635,MATCH(SMALL(IFERROR(SEARCH(,Data!B$3:B$635),10^9)+ROW(Data!B$3:B$635)/1000,ROWS(B$3:B85)),IFERROR(SEARCH(,Data!B$3:B$635),10^9)+ROW(Data!B$3:B$635)/1000,0))</f>
        <v/>
      </c>
      <c r="C85" s="317" t="str" cm="1">
        <f t="array" ref="C85">INDEX(Data!C$3:C$635,MATCH(SMALL(IFERROR(SEARCH(,Data!C$3:C$635),10^9)+ROW(Data!C$3:C$635)/1000,ROWS(C$3:C85)),IFERROR(SEARCH(,Data!C$3:C$635),10^9)+ROW(Data!C$3:C$635)/1000,0))</f>
        <v/>
      </c>
      <c r="D85" s="111" t="str">
        <f t="shared" si="1"/>
        <v/>
      </c>
      <c r="E85" s="111" t="str" cm="1">
        <f t="array" ref="E85">INDEX(Data!E$3:E$635,MATCH(SMALL(IFERROR(SEARCH(,Data!E$3:E$635),10^9)+ROW(Data!E$3:E$635)/1000,ROWS(E$3:E85)),IFERROR(SEARCH(,Data!E$3:E$635),10^9)+ROW(Data!E$3:E$635)/1000,0))</f>
        <v/>
      </c>
      <c r="F85" s="111" t="str" cm="1">
        <f t="array" ref="F85">INDEX(Data!F$3:F$635,MATCH(SMALL(IFERROR(SEARCH(,Data!F$3:F$635),10^9)+ROW(Data!F$3:F$635)/1000,ROWS(F$3:F85)),IFERROR(SEARCH(,Data!F$3:F$635),10^9)+ROW(Data!F$3:F$635)/1000,0))</f>
        <v/>
      </c>
      <c r="G85" s="111" t="str" cm="1">
        <f t="array" ref="G85">INDEX(Data!G$3:G$635,MATCH(SMALL(IFERROR(SEARCH(,Data!G$3:G$635),10^9)+ROW(Data!G$3:G$635)/1000,ROWS(G$3:G85)),IFERROR(SEARCH(,Data!G$3:G$635),10^9)+ROW(Data!G$3:G$635)/1000,0))</f>
        <v/>
      </c>
      <c r="H85" s="623" t="str" cm="1">
        <f t="array" ref="H85">INDEX(Data!I$3:I$635,MATCH(SMALL(IFERROR(SEARCH(,Data!I$3:I$635),10^9)+ROW(Data!I$3:I$635)/1000,ROWS(H$3:H85)),IFERROR(SEARCH(,Data!I$3:I$635),10^9)+ROW(Data!I$3:I$635)/1000,0))</f>
        <v/>
      </c>
      <c r="I85" s="882"/>
      <c r="J85" s="882"/>
    </row>
    <row r="86" spans="1:10" ht="45.75" customHeight="1" x14ac:dyDescent="0.35">
      <c r="A86" s="108" t="str">
        <f>IFERROR(INDEX(Data!A$3:A$635,MATCH(IF(B86="","END",B86),Data!$B$3:$B$635,0)),"")</f>
        <v/>
      </c>
      <c r="B86" s="108" t="str" cm="1">
        <f t="array" ref="B86">INDEX(Data!B$3:B$635,MATCH(SMALL(IFERROR(SEARCH(,Data!B$3:B$635),10^9)+ROW(Data!B$3:B$635)/1000,ROWS(B$3:B86)),IFERROR(SEARCH(,Data!B$3:B$635),10^9)+ROW(Data!B$3:B$635)/1000,0))</f>
        <v/>
      </c>
      <c r="C86" s="317" t="str" cm="1">
        <f t="array" ref="C86">INDEX(Data!C$3:C$635,MATCH(SMALL(IFERROR(SEARCH(,Data!C$3:C$635),10^9)+ROW(Data!C$3:C$635)/1000,ROWS(C$3:C86)),IFERROR(SEARCH(,Data!C$3:C$635),10^9)+ROW(Data!C$3:C$635)/1000,0))</f>
        <v/>
      </c>
      <c r="D86" s="111" t="str">
        <f t="shared" si="1"/>
        <v/>
      </c>
      <c r="E86" s="111" t="str" cm="1">
        <f t="array" ref="E86">INDEX(Data!E$3:E$635,MATCH(SMALL(IFERROR(SEARCH(,Data!E$3:E$635),10^9)+ROW(Data!E$3:E$635)/1000,ROWS(E$3:E86)),IFERROR(SEARCH(,Data!E$3:E$635),10^9)+ROW(Data!E$3:E$635)/1000,0))</f>
        <v/>
      </c>
      <c r="F86" s="111" t="str" cm="1">
        <f t="array" ref="F86">INDEX(Data!F$3:F$635,MATCH(SMALL(IFERROR(SEARCH(,Data!F$3:F$635),10^9)+ROW(Data!F$3:F$635)/1000,ROWS(F$3:F86)),IFERROR(SEARCH(,Data!F$3:F$635),10^9)+ROW(Data!F$3:F$635)/1000,0))</f>
        <v/>
      </c>
      <c r="G86" s="111" t="str" cm="1">
        <f t="array" ref="G86">INDEX(Data!G$3:G$635,MATCH(SMALL(IFERROR(SEARCH(,Data!G$3:G$635),10^9)+ROW(Data!G$3:G$635)/1000,ROWS(G$3:G86)),IFERROR(SEARCH(,Data!G$3:G$635),10^9)+ROW(Data!G$3:G$635)/1000,0))</f>
        <v/>
      </c>
      <c r="H86" s="623" t="str" cm="1">
        <f t="array" ref="H86">INDEX(Data!I$3:I$635,MATCH(SMALL(IFERROR(SEARCH(,Data!I$3:I$635),10^9)+ROW(Data!I$3:I$635)/1000,ROWS(H$3:H86)),IFERROR(SEARCH(,Data!I$3:I$635),10^9)+ROW(Data!I$3:I$635)/1000,0))</f>
        <v/>
      </c>
      <c r="I86" s="882"/>
      <c r="J86" s="882"/>
    </row>
    <row r="87" spans="1:10" ht="45.75" customHeight="1" x14ac:dyDescent="0.35">
      <c r="A87" s="108" t="str">
        <f>IFERROR(INDEX(Data!A$3:A$635,MATCH(IF(B87="","END",B87),Data!$B$3:$B$635,0)),"")</f>
        <v/>
      </c>
      <c r="B87" s="108" t="str" cm="1">
        <f t="array" ref="B87">INDEX(Data!B$3:B$635,MATCH(SMALL(IFERROR(SEARCH(,Data!B$3:B$635),10^9)+ROW(Data!B$3:B$635)/1000,ROWS(B$3:B87)),IFERROR(SEARCH(,Data!B$3:B$635),10^9)+ROW(Data!B$3:B$635)/1000,0))</f>
        <v/>
      </c>
      <c r="C87" s="317" t="str" cm="1">
        <f t="array" ref="C87">INDEX(Data!C$3:C$635,MATCH(SMALL(IFERROR(SEARCH(,Data!C$3:C$635),10^9)+ROW(Data!C$3:C$635)/1000,ROWS(C$3:C87)),IFERROR(SEARCH(,Data!C$3:C$635),10^9)+ROW(Data!C$3:C$635)/1000,0))</f>
        <v/>
      </c>
      <c r="D87" s="111" t="str">
        <f t="shared" si="1"/>
        <v/>
      </c>
      <c r="E87" s="111" t="str" cm="1">
        <f t="array" ref="E87">INDEX(Data!E$3:E$635,MATCH(SMALL(IFERROR(SEARCH(,Data!E$3:E$635),10^9)+ROW(Data!E$3:E$635)/1000,ROWS(E$3:E87)),IFERROR(SEARCH(,Data!E$3:E$635),10^9)+ROW(Data!E$3:E$635)/1000,0))</f>
        <v/>
      </c>
      <c r="F87" s="111" t="str" cm="1">
        <f t="array" ref="F87">INDEX(Data!F$3:F$635,MATCH(SMALL(IFERROR(SEARCH(,Data!F$3:F$635),10^9)+ROW(Data!F$3:F$635)/1000,ROWS(F$3:F87)),IFERROR(SEARCH(,Data!F$3:F$635),10^9)+ROW(Data!F$3:F$635)/1000,0))</f>
        <v/>
      </c>
      <c r="G87" s="111" t="str" cm="1">
        <f t="array" ref="G87">INDEX(Data!G$3:G$635,MATCH(SMALL(IFERROR(SEARCH(,Data!G$3:G$635),10^9)+ROW(Data!G$3:G$635)/1000,ROWS(G$3:G87)),IFERROR(SEARCH(,Data!G$3:G$635),10^9)+ROW(Data!G$3:G$635)/1000,0))</f>
        <v/>
      </c>
      <c r="H87" s="623" t="str" cm="1">
        <f t="array" ref="H87">INDEX(Data!I$3:I$635,MATCH(SMALL(IFERROR(SEARCH(,Data!I$3:I$635),10^9)+ROW(Data!I$3:I$635)/1000,ROWS(H$3:H87)),IFERROR(SEARCH(,Data!I$3:I$635),10^9)+ROW(Data!I$3:I$635)/1000,0))</f>
        <v/>
      </c>
      <c r="I87" s="882"/>
      <c r="J87" s="882"/>
    </row>
    <row r="88" spans="1:10" ht="45.75" customHeight="1" x14ac:dyDescent="0.35">
      <c r="A88" s="108" t="str">
        <f>IFERROR(INDEX(Data!A$3:A$635,MATCH(IF(B88="","END",B88),Data!$B$3:$B$635,0)),"")</f>
        <v/>
      </c>
      <c r="B88" s="108" t="str" cm="1">
        <f t="array" ref="B88">INDEX(Data!B$3:B$635,MATCH(SMALL(IFERROR(SEARCH(,Data!B$3:B$635),10^9)+ROW(Data!B$3:B$635)/1000,ROWS(B$3:B88)),IFERROR(SEARCH(,Data!B$3:B$635),10^9)+ROW(Data!B$3:B$635)/1000,0))</f>
        <v/>
      </c>
      <c r="C88" s="317" t="str" cm="1">
        <f t="array" ref="C88">INDEX(Data!C$3:C$635,MATCH(SMALL(IFERROR(SEARCH(,Data!C$3:C$635),10^9)+ROW(Data!C$3:C$635)/1000,ROWS(C$3:C88)),IFERROR(SEARCH(,Data!C$3:C$635),10^9)+ROW(Data!C$3:C$635)/1000,0))</f>
        <v/>
      </c>
      <c r="D88" s="111" t="str">
        <f t="shared" si="1"/>
        <v/>
      </c>
      <c r="E88" s="111" t="str" cm="1">
        <f t="array" ref="E88">INDEX(Data!E$3:E$635,MATCH(SMALL(IFERROR(SEARCH(,Data!E$3:E$635),10^9)+ROW(Data!E$3:E$635)/1000,ROWS(E$3:E88)),IFERROR(SEARCH(,Data!E$3:E$635),10^9)+ROW(Data!E$3:E$635)/1000,0))</f>
        <v/>
      </c>
      <c r="F88" s="111" t="str" cm="1">
        <f t="array" ref="F88">INDEX(Data!F$3:F$635,MATCH(SMALL(IFERROR(SEARCH(,Data!F$3:F$635),10^9)+ROW(Data!F$3:F$635)/1000,ROWS(F$3:F88)),IFERROR(SEARCH(,Data!F$3:F$635),10^9)+ROW(Data!F$3:F$635)/1000,0))</f>
        <v/>
      </c>
      <c r="G88" s="111" t="str" cm="1">
        <f t="array" ref="G88">INDEX(Data!G$3:G$635,MATCH(SMALL(IFERROR(SEARCH(,Data!G$3:G$635),10^9)+ROW(Data!G$3:G$635)/1000,ROWS(G$3:G88)),IFERROR(SEARCH(,Data!G$3:G$635),10^9)+ROW(Data!G$3:G$635)/1000,0))</f>
        <v/>
      </c>
      <c r="H88" s="623" t="str" cm="1">
        <f t="array" ref="H88">INDEX(Data!I$3:I$635,MATCH(SMALL(IFERROR(SEARCH(,Data!I$3:I$635),10^9)+ROW(Data!I$3:I$635)/1000,ROWS(H$3:H88)),IFERROR(SEARCH(,Data!I$3:I$635),10^9)+ROW(Data!I$3:I$635)/1000,0))</f>
        <v/>
      </c>
      <c r="I88" s="882"/>
      <c r="J88" s="882"/>
    </row>
    <row r="89" spans="1:10" ht="45.75" customHeight="1" x14ac:dyDescent="0.35">
      <c r="A89" s="108" t="str">
        <f>IFERROR(INDEX(Data!A$3:A$635,MATCH(IF(B89="","END",B89),Data!$B$3:$B$635,0)),"")</f>
        <v/>
      </c>
      <c r="B89" s="108" t="str" cm="1">
        <f t="array" ref="B89">INDEX(Data!B$3:B$635,MATCH(SMALL(IFERROR(SEARCH(,Data!B$3:B$635),10^9)+ROW(Data!B$3:B$635)/1000,ROWS(B$3:B89)),IFERROR(SEARCH(,Data!B$3:B$635),10^9)+ROW(Data!B$3:B$635)/1000,0))</f>
        <v/>
      </c>
      <c r="C89" s="317" t="str" cm="1">
        <f t="array" ref="C89">INDEX(Data!C$3:C$635,MATCH(SMALL(IFERROR(SEARCH(,Data!C$3:C$635),10^9)+ROW(Data!C$3:C$635)/1000,ROWS(C$3:C89)),IFERROR(SEARCH(,Data!C$3:C$635),10^9)+ROW(Data!C$3:C$635)/1000,0))</f>
        <v/>
      </c>
      <c r="D89" s="111" t="str">
        <f t="shared" si="1"/>
        <v/>
      </c>
      <c r="E89" s="111" t="str" cm="1">
        <f t="array" ref="E89">INDEX(Data!E$3:E$635,MATCH(SMALL(IFERROR(SEARCH(,Data!E$3:E$635),10^9)+ROW(Data!E$3:E$635)/1000,ROWS(E$3:E89)),IFERROR(SEARCH(,Data!E$3:E$635),10^9)+ROW(Data!E$3:E$635)/1000,0))</f>
        <v/>
      </c>
      <c r="F89" s="111" t="str" cm="1">
        <f t="array" ref="F89">INDEX(Data!F$3:F$635,MATCH(SMALL(IFERROR(SEARCH(,Data!F$3:F$635),10^9)+ROW(Data!F$3:F$635)/1000,ROWS(F$3:F89)),IFERROR(SEARCH(,Data!F$3:F$635),10^9)+ROW(Data!F$3:F$635)/1000,0))</f>
        <v/>
      </c>
      <c r="G89" s="111" t="str" cm="1">
        <f t="array" ref="G89">INDEX(Data!G$3:G$635,MATCH(SMALL(IFERROR(SEARCH(,Data!G$3:G$635),10^9)+ROW(Data!G$3:G$635)/1000,ROWS(G$3:G89)),IFERROR(SEARCH(,Data!G$3:G$635),10^9)+ROW(Data!G$3:G$635)/1000,0))</f>
        <v/>
      </c>
      <c r="H89" s="623" t="str" cm="1">
        <f t="array" ref="H89">INDEX(Data!I$3:I$635,MATCH(SMALL(IFERROR(SEARCH(,Data!I$3:I$635),10^9)+ROW(Data!I$3:I$635)/1000,ROWS(H$3:H89)),IFERROR(SEARCH(,Data!I$3:I$635),10^9)+ROW(Data!I$3:I$635)/1000,0))</f>
        <v/>
      </c>
      <c r="I89" s="882"/>
      <c r="J89" s="882"/>
    </row>
    <row r="90" spans="1:10" ht="45.75" customHeight="1" x14ac:dyDescent="0.35">
      <c r="A90" s="108" t="str">
        <f>IFERROR(INDEX(Data!A$3:A$635,MATCH(IF(B90="","END",B90),Data!$B$3:$B$635,0)),"")</f>
        <v/>
      </c>
      <c r="B90" s="108" t="str" cm="1">
        <f t="array" ref="B90">INDEX(Data!B$3:B$635,MATCH(SMALL(IFERROR(SEARCH(,Data!B$3:B$635),10^9)+ROW(Data!B$3:B$635)/1000,ROWS(B$3:B90)),IFERROR(SEARCH(,Data!B$3:B$635),10^9)+ROW(Data!B$3:B$635)/1000,0))</f>
        <v/>
      </c>
      <c r="C90" s="317" t="str" cm="1">
        <f t="array" ref="C90">INDEX(Data!C$3:C$635,MATCH(SMALL(IFERROR(SEARCH(,Data!C$3:C$635),10^9)+ROW(Data!C$3:C$635)/1000,ROWS(C$3:C90)),IFERROR(SEARCH(,Data!C$3:C$635),10^9)+ROW(Data!C$3:C$635)/1000,0))</f>
        <v/>
      </c>
      <c r="D90" s="111" t="str">
        <f t="shared" si="1"/>
        <v/>
      </c>
      <c r="E90" s="111" t="str" cm="1">
        <f t="array" ref="E90">INDEX(Data!E$3:E$635,MATCH(SMALL(IFERROR(SEARCH(,Data!E$3:E$635),10^9)+ROW(Data!E$3:E$635)/1000,ROWS(E$3:E90)),IFERROR(SEARCH(,Data!E$3:E$635),10^9)+ROW(Data!E$3:E$635)/1000,0))</f>
        <v/>
      </c>
      <c r="F90" s="111" t="str" cm="1">
        <f t="array" ref="F90">INDEX(Data!F$3:F$635,MATCH(SMALL(IFERROR(SEARCH(,Data!F$3:F$635),10^9)+ROW(Data!F$3:F$635)/1000,ROWS(F$3:F90)),IFERROR(SEARCH(,Data!F$3:F$635),10^9)+ROW(Data!F$3:F$635)/1000,0))</f>
        <v/>
      </c>
      <c r="G90" s="111" t="str" cm="1">
        <f t="array" ref="G90">INDEX(Data!G$3:G$635,MATCH(SMALL(IFERROR(SEARCH(,Data!G$3:G$635),10^9)+ROW(Data!G$3:G$635)/1000,ROWS(G$3:G90)),IFERROR(SEARCH(,Data!G$3:G$635),10^9)+ROW(Data!G$3:G$635)/1000,0))</f>
        <v/>
      </c>
      <c r="H90" s="623" t="str" cm="1">
        <f t="array" ref="H90">INDEX(Data!I$3:I$635,MATCH(SMALL(IFERROR(SEARCH(,Data!I$3:I$635),10^9)+ROW(Data!I$3:I$635)/1000,ROWS(H$3:H90)),IFERROR(SEARCH(,Data!I$3:I$635),10^9)+ROW(Data!I$3:I$635)/1000,0))</f>
        <v/>
      </c>
      <c r="I90" s="882"/>
      <c r="J90" s="882"/>
    </row>
    <row r="91" spans="1:10" ht="45.75" customHeight="1" x14ac:dyDescent="0.35">
      <c r="A91" s="108" t="str">
        <f>IFERROR(INDEX(Data!A$3:A$635,MATCH(IF(B91="","END",B91),Data!$B$3:$B$635,0)),"")</f>
        <v/>
      </c>
      <c r="B91" s="108" t="str" cm="1">
        <f t="array" ref="B91">INDEX(Data!B$3:B$635,MATCH(SMALL(IFERROR(SEARCH(,Data!B$3:B$635),10^9)+ROW(Data!B$3:B$635)/1000,ROWS(B$3:B91)),IFERROR(SEARCH(,Data!B$3:B$635),10^9)+ROW(Data!B$3:B$635)/1000,0))</f>
        <v/>
      </c>
      <c r="C91" s="317" t="str" cm="1">
        <f t="array" ref="C91">INDEX(Data!C$3:C$635,MATCH(SMALL(IFERROR(SEARCH(,Data!C$3:C$635),10^9)+ROW(Data!C$3:C$635)/1000,ROWS(C$3:C91)),IFERROR(SEARCH(,Data!C$3:C$635),10^9)+ROW(Data!C$3:C$635)/1000,0))</f>
        <v/>
      </c>
      <c r="D91" s="111" t="str">
        <f t="shared" si="1"/>
        <v/>
      </c>
      <c r="E91" s="111" t="str" cm="1">
        <f t="array" ref="E91">INDEX(Data!E$3:E$635,MATCH(SMALL(IFERROR(SEARCH(,Data!E$3:E$635),10^9)+ROW(Data!E$3:E$635)/1000,ROWS(E$3:E91)),IFERROR(SEARCH(,Data!E$3:E$635),10^9)+ROW(Data!E$3:E$635)/1000,0))</f>
        <v/>
      </c>
      <c r="F91" s="111" t="str" cm="1">
        <f t="array" ref="F91">INDEX(Data!F$3:F$635,MATCH(SMALL(IFERROR(SEARCH(,Data!F$3:F$635),10^9)+ROW(Data!F$3:F$635)/1000,ROWS(F$3:F91)),IFERROR(SEARCH(,Data!F$3:F$635),10^9)+ROW(Data!F$3:F$635)/1000,0))</f>
        <v/>
      </c>
      <c r="G91" s="111" t="str" cm="1">
        <f t="array" ref="G91">INDEX(Data!G$3:G$635,MATCH(SMALL(IFERROR(SEARCH(,Data!G$3:G$635),10^9)+ROW(Data!G$3:G$635)/1000,ROWS(G$3:G91)),IFERROR(SEARCH(,Data!G$3:G$635),10^9)+ROW(Data!G$3:G$635)/1000,0))</f>
        <v/>
      </c>
      <c r="H91" s="623" t="str" cm="1">
        <f t="array" ref="H91">INDEX(Data!I$3:I$635,MATCH(SMALL(IFERROR(SEARCH(,Data!I$3:I$635),10^9)+ROW(Data!I$3:I$635)/1000,ROWS(H$3:H91)),IFERROR(SEARCH(,Data!I$3:I$635),10^9)+ROW(Data!I$3:I$635)/1000,0))</f>
        <v/>
      </c>
      <c r="I91" s="882"/>
      <c r="J91" s="882"/>
    </row>
    <row r="92" spans="1:10" ht="45.75" customHeight="1" x14ac:dyDescent="0.35">
      <c r="A92" s="108" t="str">
        <f>IFERROR(INDEX(Data!A$3:A$635,MATCH(IF(B92="","END",B92),Data!$B$3:$B$635,0)),"")</f>
        <v/>
      </c>
      <c r="B92" s="108" t="str" cm="1">
        <f t="array" ref="B92">INDEX(Data!B$3:B$635,MATCH(SMALL(IFERROR(SEARCH(,Data!B$3:B$635),10^9)+ROW(Data!B$3:B$635)/1000,ROWS(B$3:B92)),IFERROR(SEARCH(,Data!B$3:B$635),10^9)+ROW(Data!B$3:B$635)/1000,0))</f>
        <v/>
      </c>
      <c r="C92" s="317" t="str" cm="1">
        <f t="array" ref="C92">INDEX(Data!C$3:C$635,MATCH(SMALL(IFERROR(SEARCH(,Data!C$3:C$635),10^9)+ROW(Data!C$3:C$635)/1000,ROWS(C$3:C92)),IFERROR(SEARCH(,Data!C$3:C$635),10^9)+ROW(Data!C$3:C$635)/1000,0))</f>
        <v/>
      </c>
      <c r="D92" s="111" t="str">
        <f t="shared" si="1"/>
        <v/>
      </c>
      <c r="E92" s="111" t="str" cm="1">
        <f t="array" ref="E92">INDEX(Data!E$3:E$635,MATCH(SMALL(IFERROR(SEARCH(,Data!E$3:E$635),10^9)+ROW(Data!E$3:E$635)/1000,ROWS(E$3:E92)),IFERROR(SEARCH(,Data!E$3:E$635),10^9)+ROW(Data!E$3:E$635)/1000,0))</f>
        <v/>
      </c>
      <c r="F92" s="111" t="str" cm="1">
        <f t="array" ref="F92">INDEX(Data!F$3:F$635,MATCH(SMALL(IFERROR(SEARCH(,Data!F$3:F$635),10^9)+ROW(Data!F$3:F$635)/1000,ROWS(F$3:F92)),IFERROR(SEARCH(,Data!F$3:F$635),10^9)+ROW(Data!F$3:F$635)/1000,0))</f>
        <v/>
      </c>
      <c r="G92" s="111" t="str" cm="1">
        <f t="array" ref="G92">INDEX(Data!G$3:G$635,MATCH(SMALL(IFERROR(SEARCH(,Data!G$3:G$635),10^9)+ROW(Data!G$3:G$635)/1000,ROWS(G$3:G92)),IFERROR(SEARCH(,Data!G$3:G$635),10^9)+ROW(Data!G$3:G$635)/1000,0))</f>
        <v/>
      </c>
      <c r="H92" s="623" t="str" cm="1">
        <f t="array" ref="H92">INDEX(Data!I$3:I$635,MATCH(SMALL(IFERROR(SEARCH(,Data!I$3:I$635),10^9)+ROW(Data!I$3:I$635)/1000,ROWS(H$3:H92)),IFERROR(SEARCH(,Data!I$3:I$635),10^9)+ROW(Data!I$3:I$635)/1000,0))</f>
        <v/>
      </c>
      <c r="I92" s="882"/>
      <c r="J92" s="882"/>
    </row>
    <row r="93" spans="1:10" ht="45.75" customHeight="1" x14ac:dyDescent="0.35">
      <c r="A93" s="108" t="str">
        <f>IFERROR(INDEX(Data!A$3:A$635,MATCH(IF(B93="","END",B93),Data!$B$3:$B$635,0)),"")</f>
        <v/>
      </c>
      <c r="B93" s="108" t="str" cm="1">
        <f t="array" ref="B93">INDEX(Data!B$3:B$635,MATCH(SMALL(IFERROR(SEARCH(,Data!B$3:B$635),10^9)+ROW(Data!B$3:B$635)/1000,ROWS(B$3:B93)),IFERROR(SEARCH(,Data!B$3:B$635),10^9)+ROW(Data!B$3:B$635)/1000,0))</f>
        <v/>
      </c>
      <c r="C93" s="317" t="str" cm="1">
        <f t="array" ref="C93">INDEX(Data!C$3:C$635,MATCH(SMALL(IFERROR(SEARCH(,Data!C$3:C$635),10^9)+ROW(Data!C$3:C$635)/1000,ROWS(C$3:C93)),IFERROR(SEARCH(,Data!C$3:C$635),10^9)+ROW(Data!C$3:C$635)/1000,0))</f>
        <v/>
      </c>
      <c r="D93" s="111" t="str">
        <f t="shared" si="1"/>
        <v/>
      </c>
      <c r="E93" s="111" t="str" cm="1">
        <f t="array" ref="E93">INDEX(Data!E$3:E$635,MATCH(SMALL(IFERROR(SEARCH(,Data!E$3:E$635),10^9)+ROW(Data!E$3:E$635)/1000,ROWS(E$3:E93)),IFERROR(SEARCH(,Data!E$3:E$635),10^9)+ROW(Data!E$3:E$635)/1000,0))</f>
        <v/>
      </c>
      <c r="F93" s="111" t="str" cm="1">
        <f t="array" ref="F93">INDEX(Data!F$3:F$635,MATCH(SMALL(IFERROR(SEARCH(,Data!F$3:F$635),10^9)+ROW(Data!F$3:F$635)/1000,ROWS(F$3:F93)),IFERROR(SEARCH(,Data!F$3:F$635),10^9)+ROW(Data!F$3:F$635)/1000,0))</f>
        <v/>
      </c>
      <c r="G93" s="111" t="str" cm="1">
        <f t="array" ref="G93">INDEX(Data!G$3:G$635,MATCH(SMALL(IFERROR(SEARCH(,Data!G$3:G$635),10^9)+ROW(Data!G$3:G$635)/1000,ROWS(G$3:G93)),IFERROR(SEARCH(,Data!G$3:G$635),10^9)+ROW(Data!G$3:G$635)/1000,0))</f>
        <v/>
      </c>
      <c r="H93" s="623" t="str" cm="1">
        <f t="array" ref="H93">INDEX(Data!I$3:I$635,MATCH(SMALL(IFERROR(SEARCH(,Data!I$3:I$635),10^9)+ROW(Data!I$3:I$635)/1000,ROWS(H$3:H93)),IFERROR(SEARCH(,Data!I$3:I$635),10^9)+ROW(Data!I$3:I$635)/1000,0))</f>
        <v/>
      </c>
      <c r="I93" s="882"/>
      <c r="J93" s="882"/>
    </row>
    <row r="94" spans="1:10" ht="45.75" customHeight="1" x14ac:dyDescent="0.35">
      <c r="A94" s="108" t="str">
        <f>IFERROR(INDEX(Data!A$3:A$635,MATCH(IF(B94="","END",B94),Data!$B$3:$B$635,0)),"")</f>
        <v/>
      </c>
      <c r="B94" s="108" t="str" cm="1">
        <f t="array" ref="B94">INDEX(Data!B$3:B$635,MATCH(SMALL(IFERROR(SEARCH(,Data!B$3:B$635),10^9)+ROW(Data!B$3:B$635)/1000,ROWS(B$3:B94)),IFERROR(SEARCH(,Data!B$3:B$635),10^9)+ROW(Data!B$3:B$635)/1000,0))</f>
        <v/>
      </c>
      <c r="C94" s="317" t="str" cm="1">
        <f t="array" ref="C94">INDEX(Data!C$3:C$635,MATCH(SMALL(IFERROR(SEARCH(,Data!C$3:C$635),10^9)+ROW(Data!C$3:C$635)/1000,ROWS(C$3:C94)),IFERROR(SEARCH(,Data!C$3:C$635),10^9)+ROW(Data!C$3:C$635)/1000,0))</f>
        <v/>
      </c>
      <c r="D94" s="111" t="str">
        <f t="shared" si="1"/>
        <v/>
      </c>
      <c r="E94" s="111" t="str" cm="1">
        <f t="array" ref="E94">INDEX(Data!E$3:E$635,MATCH(SMALL(IFERROR(SEARCH(,Data!E$3:E$635),10^9)+ROW(Data!E$3:E$635)/1000,ROWS(E$3:E94)),IFERROR(SEARCH(,Data!E$3:E$635),10^9)+ROW(Data!E$3:E$635)/1000,0))</f>
        <v/>
      </c>
      <c r="F94" s="111" t="str" cm="1">
        <f t="array" ref="F94">INDEX(Data!F$3:F$635,MATCH(SMALL(IFERROR(SEARCH(,Data!F$3:F$635),10^9)+ROW(Data!F$3:F$635)/1000,ROWS(F$3:F94)),IFERROR(SEARCH(,Data!F$3:F$635),10^9)+ROW(Data!F$3:F$635)/1000,0))</f>
        <v/>
      </c>
      <c r="G94" s="111" t="str" cm="1">
        <f t="array" ref="G94">INDEX(Data!G$3:G$635,MATCH(SMALL(IFERROR(SEARCH(,Data!G$3:G$635),10^9)+ROW(Data!G$3:G$635)/1000,ROWS(G$3:G94)),IFERROR(SEARCH(,Data!G$3:G$635),10^9)+ROW(Data!G$3:G$635)/1000,0))</f>
        <v/>
      </c>
      <c r="H94" s="623" t="str" cm="1">
        <f t="array" ref="H94">INDEX(Data!I$3:I$635,MATCH(SMALL(IFERROR(SEARCH(,Data!I$3:I$635),10^9)+ROW(Data!I$3:I$635)/1000,ROWS(H$3:H94)),IFERROR(SEARCH(,Data!I$3:I$635),10^9)+ROW(Data!I$3:I$635)/1000,0))</f>
        <v/>
      </c>
      <c r="I94" s="882"/>
      <c r="J94" s="882"/>
    </row>
    <row r="95" spans="1:10" ht="45.75" customHeight="1" x14ac:dyDescent="0.35">
      <c r="A95" s="108" t="str">
        <f>IFERROR(INDEX(Data!A$3:A$635,MATCH(IF(B95="","END",B95),Data!$B$3:$B$635,0)),"")</f>
        <v/>
      </c>
      <c r="B95" s="108" t="str" cm="1">
        <f t="array" ref="B95">INDEX(Data!B$3:B$635,MATCH(SMALL(IFERROR(SEARCH(,Data!B$3:B$635),10^9)+ROW(Data!B$3:B$635)/1000,ROWS(B$3:B95)),IFERROR(SEARCH(,Data!B$3:B$635),10^9)+ROW(Data!B$3:B$635)/1000,0))</f>
        <v/>
      </c>
      <c r="C95" s="317" t="str" cm="1">
        <f t="array" ref="C95">INDEX(Data!C$3:C$635,MATCH(SMALL(IFERROR(SEARCH(,Data!C$3:C$635),10^9)+ROW(Data!C$3:C$635)/1000,ROWS(C$3:C95)),IFERROR(SEARCH(,Data!C$3:C$635),10^9)+ROW(Data!C$3:C$635)/1000,0))</f>
        <v/>
      </c>
      <c r="D95" s="111" t="str">
        <f t="shared" si="1"/>
        <v/>
      </c>
      <c r="E95" s="111" t="str" cm="1">
        <f t="array" ref="E95">INDEX(Data!E$3:E$635,MATCH(SMALL(IFERROR(SEARCH(,Data!E$3:E$635),10^9)+ROW(Data!E$3:E$635)/1000,ROWS(E$3:E95)),IFERROR(SEARCH(,Data!E$3:E$635),10^9)+ROW(Data!E$3:E$635)/1000,0))</f>
        <v/>
      </c>
      <c r="F95" s="111" t="str" cm="1">
        <f t="array" ref="F95">INDEX(Data!F$3:F$635,MATCH(SMALL(IFERROR(SEARCH(,Data!F$3:F$635),10^9)+ROW(Data!F$3:F$635)/1000,ROWS(F$3:F95)),IFERROR(SEARCH(,Data!F$3:F$635),10^9)+ROW(Data!F$3:F$635)/1000,0))</f>
        <v/>
      </c>
      <c r="G95" s="111" t="str" cm="1">
        <f t="array" ref="G95">INDEX(Data!G$3:G$635,MATCH(SMALL(IFERROR(SEARCH(,Data!G$3:G$635),10^9)+ROW(Data!G$3:G$635)/1000,ROWS(G$3:G95)),IFERROR(SEARCH(,Data!G$3:G$635),10^9)+ROW(Data!G$3:G$635)/1000,0))</f>
        <v/>
      </c>
      <c r="H95" s="623" t="str" cm="1">
        <f t="array" ref="H95">INDEX(Data!I$3:I$635,MATCH(SMALL(IFERROR(SEARCH(,Data!I$3:I$635),10^9)+ROW(Data!I$3:I$635)/1000,ROWS(H$3:H95)),IFERROR(SEARCH(,Data!I$3:I$635),10^9)+ROW(Data!I$3:I$635)/1000,0))</f>
        <v/>
      </c>
      <c r="I95" s="882"/>
      <c r="J95" s="882"/>
    </row>
    <row r="96" spans="1:10" ht="45.75" customHeight="1" x14ac:dyDescent="0.35">
      <c r="A96" s="108" t="str">
        <f>IFERROR(INDEX(Data!A$3:A$635,MATCH(IF(B96="","END",B96),Data!$B$3:$B$635,0)),"")</f>
        <v/>
      </c>
      <c r="B96" s="108" t="str" cm="1">
        <f t="array" ref="B96">INDEX(Data!B$3:B$635,MATCH(SMALL(IFERROR(SEARCH(,Data!B$3:B$635),10^9)+ROW(Data!B$3:B$635)/1000,ROWS(B$3:B96)),IFERROR(SEARCH(,Data!B$3:B$635),10^9)+ROW(Data!B$3:B$635)/1000,0))</f>
        <v/>
      </c>
      <c r="C96" s="317" t="str" cm="1">
        <f t="array" ref="C96">INDEX(Data!C$3:C$635,MATCH(SMALL(IFERROR(SEARCH(,Data!C$3:C$635),10^9)+ROW(Data!C$3:C$635)/1000,ROWS(C$3:C96)),IFERROR(SEARCH(,Data!C$3:C$635),10^9)+ROW(Data!C$3:C$635)/1000,0))</f>
        <v/>
      </c>
      <c r="D96" s="111" t="str">
        <f t="shared" si="1"/>
        <v/>
      </c>
      <c r="E96" s="111" t="str" cm="1">
        <f t="array" ref="E96">INDEX(Data!E$3:E$635,MATCH(SMALL(IFERROR(SEARCH(,Data!E$3:E$635),10^9)+ROW(Data!E$3:E$635)/1000,ROWS(E$3:E96)),IFERROR(SEARCH(,Data!E$3:E$635),10^9)+ROW(Data!E$3:E$635)/1000,0))</f>
        <v/>
      </c>
      <c r="F96" s="111" t="str" cm="1">
        <f t="array" ref="F96">INDEX(Data!F$3:F$635,MATCH(SMALL(IFERROR(SEARCH(,Data!F$3:F$635),10^9)+ROW(Data!F$3:F$635)/1000,ROWS(F$3:F96)),IFERROR(SEARCH(,Data!F$3:F$635),10^9)+ROW(Data!F$3:F$635)/1000,0))</f>
        <v/>
      </c>
      <c r="G96" s="111" t="str" cm="1">
        <f t="array" ref="G96">INDEX(Data!G$3:G$635,MATCH(SMALL(IFERROR(SEARCH(,Data!G$3:G$635),10^9)+ROW(Data!G$3:G$635)/1000,ROWS(G$3:G96)),IFERROR(SEARCH(,Data!G$3:G$635),10^9)+ROW(Data!G$3:G$635)/1000,0))</f>
        <v/>
      </c>
      <c r="H96" s="623" t="str" cm="1">
        <f t="array" ref="H96">INDEX(Data!I$3:I$635,MATCH(SMALL(IFERROR(SEARCH(,Data!I$3:I$635),10^9)+ROW(Data!I$3:I$635)/1000,ROWS(H$3:H96)),IFERROR(SEARCH(,Data!I$3:I$635),10^9)+ROW(Data!I$3:I$635)/1000,0))</f>
        <v/>
      </c>
      <c r="I96" s="882"/>
      <c r="J96" s="882"/>
    </row>
    <row r="97" spans="1:10" ht="45.75" customHeight="1" x14ac:dyDescent="0.35">
      <c r="A97" s="108" t="str">
        <f>IFERROR(INDEX(Data!A$3:A$635,MATCH(IF(B97="","END",B97),Data!$B$3:$B$635,0)),"")</f>
        <v/>
      </c>
      <c r="B97" s="108" t="str" cm="1">
        <f t="array" ref="B97">INDEX(Data!B$3:B$635,MATCH(SMALL(IFERROR(SEARCH(,Data!B$3:B$635),10^9)+ROW(Data!B$3:B$635)/1000,ROWS(B$3:B97)),IFERROR(SEARCH(,Data!B$3:B$635),10^9)+ROW(Data!B$3:B$635)/1000,0))</f>
        <v/>
      </c>
      <c r="C97" s="317" t="str" cm="1">
        <f t="array" ref="C97">INDEX(Data!C$3:C$635,MATCH(SMALL(IFERROR(SEARCH(,Data!C$3:C$635),10^9)+ROW(Data!C$3:C$635)/1000,ROWS(C$3:C97)),IFERROR(SEARCH(,Data!C$3:C$635),10^9)+ROW(Data!C$3:C$635)/1000,0))</f>
        <v/>
      </c>
      <c r="D97" s="111" t="str">
        <f t="shared" si="1"/>
        <v/>
      </c>
      <c r="E97" s="111" t="str" cm="1">
        <f t="array" ref="E97">INDEX(Data!E$3:E$635,MATCH(SMALL(IFERROR(SEARCH(,Data!E$3:E$635),10^9)+ROW(Data!E$3:E$635)/1000,ROWS(E$3:E97)),IFERROR(SEARCH(,Data!E$3:E$635),10^9)+ROW(Data!E$3:E$635)/1000,0))</f>
        <v/>
      </c>
      <c r="F97" s="111" t="str" cm="1">
        <f t="array" ref="F97">INDEX(Data!F$3:F$635,MATCH(SMALL(IFERROR(SEARCH(,Data!F$3:F$635),10^9)+ROW(Data!F$3:F$635)/1000,ROWS(F$3:F97)),IFERROR(SEARCH(,Data!F$3:F$635),10^9)+ROW(Data!F$3:F$635)/1000,0))</f>
        <v/>
      </c>
      <c r="G97" s="111" t="str" cm="1">
        <f t="array" ref="G97">INDEX(Data!G$3:G$635,MATCH(SMALL(IFERROR(SEARCH(,Data!G$3:G$635),10^9)+ROW(Data!G$3:G$635)/1000,ROWS(G$3:G97)),IFERROR(SEARCH(,Data!G$3:G$635),10^9)+ROW(Data!G$3:G$635)/1000,0))</f>
        <v/>
      </c>
      <c r="H97" s="623" t="str" cm="1">
        <f t="array" ref="H97">INDEX(Data!I$3:I$635,MATCH(SMALL(IFERROR(SEARCH(,Data!I$3:I$635),10^9)+ROW(Data!I$3:I$635)/1000,ROWS(H$3:H97)),IFERROR(SEARCH(,Data!I$3:I$635),10^9)+ROW(Data!I$3:I$635)/1000,0))</f>
        <v/>
      </c>
      <c r="I97" s="882"/>
      <c r="J97" s="882"/>
    </row>
    <row r="98" spans="1:10" ht="45.75" customHeight="1" x14ac:dyDescent="0.35">
      <c r="A98" s="108" t="str">
        <f>IFERROR(INDEX(Data!A$3:A$635,MATCH(IF(B98="","END",B98),Data!$B$3:$B$635,0)),"")</f>
        <v/>
      </c>
      <c r="B98" s="108" t="str" cm="1">
        <f t="array" ref="B98">INDEX(Data!B$3:B$635,MATCH(SMALL(IFERROR(SEARCH(,Data!B$3:B$635),10^9)+ROW(Data!B$3:B$635)/1000,ROWS(B$3:B98)),IFERROR(SEARCH(,Data!B$3:B$635),10^9)+ROW(Data!B$3:B$635)/1000,0))</f>
        <v/>
      </c>
      <c r="C98" s="317" t="str" cm="1">
        <f t="array" ref="C98">INDEX(Data!C$3:C$635,MATCH(SMALL(IFERROR(SEARCH(,Data!C$3:C$635),10^9)+ROW(Data!C$3:C$635)/1000,ROWS(C$3:C98)),IFERROR(SEARCH(,Data!C$3:C$635),10^9)+ROW(Data!C$3:C$635)/1000,0))</f>
        <v/>
      </c>
      <c r="D98" s="111" t="str">
        <f t="shared" si="1"/>
        <v/>
      </c>
      <c r="E98" s="111" t="str" cm="1">
        <f t="array" ref="E98">INDEX(Data!E$3:E$635,MATCH(SMALL(IFERROR(SEARCH(,Data!E$3:E$635),10^9)+ROW(Data!E$3:E$635)/1000,ROWS(E$3:E98)),IFERROR(SEARCH(,Data!E$3:E$635),10^9)+ROW(Data!E$3:E$635)/1000,0))</f>
        <v/>
      </c>
      <c r="F98" s="111" t="str" cm="1">
        <f t="array" ref="F98">INDEX(Data!F$3:F$635,MATCH(SMALL(IFERROR(SEARCH(,Data!F$3:F$635),10^9)+ROW(Data!F$3:F$635)/1000,ROWS(F$3:F98)),IFERROR(SEARCH(,Data!F$3:F$635),10^9)+ROW(Data!F$3:F$635)/1000,0))</f>
        <v/>
      </c>
      <c r="G98" s="111" t="str" cm="1">
        <f t="array" ref="G98">INDEX(Data!G$3:G$635,MATCH(SMALL(IFERROR(SEARCH(,Data!G$3:G$635),10^9)+ROW(Data!G$3:G$635)/1000,ROWS(G$3:G98)),IFERROR(SEARCH(,Data!G$3:G$635),10^9)+ROW(Data!G$3:G$635)/1000,0))</f>
        <v/>
      </c>
      <c r="H98" s="623" t="str" cm="1">
        <f t="array" ref="H98">INDEX(Data!I$3:I$635,MATCH(SMALL(IFERROR(SEARCH(,Data!I$3:I$635),10^9)+ROW(Data!I$3:I$635)/1000,ROWS(H$3:H98)),IFERROR(SEARCH(,Data!I$3:I$635),10^9)+ROW(Data!I$3:I$635)/1000,0))</f>
        <v/>
      </c>
      <c r="I98" s="882"/>
      <c r="J98" s="882"/>
    </row>
    <row r="99" spans="1:10" ht="45.75" customHeight="1" x14ac:dyDescent="0.35">
      <c r="A99" s="108" t="str">
        <f>IFERROR(INDEX(Data!A$3:A$635,MATCH(IF(B99="","END",B99),Data!$B$3:$B$635,0)),"")</f>
        <v/>
      </c>
      <c r="B99" s="108" t="str" cm="1">
        <f t="array" ref="B99">INDEX(Data!B$3:B$635,MATCH(SMALL(IFERROR(SEARCH(,Data!B$3:B$635),10^9)+ROW(Data!B$3:B$635)/1000,ROWS(B$3:B99)),IFERROR(SEARCH(,Data!B$3:B$635),10^9)+ROW(Data!B$3:B$635)/1000,0))</f>
        <v/>
      </c>
      <c r="C99" s="317" t="str" cm="1">
        <f t="array" ref="C99">INDEX(Data!C$3:C$635,MATCH(SMALL(IFERROR(SEARCH(,Data!C$3:C$635),10^9)+ROW(Data!C$3:C$635)/1000,ROWS(C$3:C99)),IFERROR(SEARCH(,Data!C$3:C$635),10^9)+ROW(Data!C$3:C$635)/1000,0))</f>
        <v/>
      </c>
      <c r="D99" s="111" t="str">
        <f t="shared" si="1"/>
        <v/>
      </c>
      <c r="E99" s="111" t="str" cm="1">
        <f t="array" ref="E99">INDEX(Data!E$3:E$635,MATCH(SMALL(IFERROR(SEARCH(,Data!E$3:E$635),10^9)+ROW(Data!E$3:E$635)/1000,ROWS(E$3:E99)),IFERROR(SEARCH(,Data!E$3:E$635),10^9)+ROW(Data!E$3:E$635)/1000,0))</f>
        <v/>
      </c>
      <c r="F99" s="111" t="str" cm="1">
        <f t="array" ref="F99">INDEX(Data!F$3:F$635,MATCH(SMALL(IFERROR(SEARCH(,Data!F$3:F$635),10^9)+ROW(Data!F$3:F$635)/1000,ROWS(F$3:F99)),IFERROR(SEARCH(,Data!F$3:F$635),10^9)+ROW(Data!F$3:F$635)/1000,0))</f>
        <v/>
      </c>
      <c r="G99" s="111" t="str" cm="1">
        <f t="array" ref="G99">INDEX(Data!G$3:G$635,MATCH(SMALL(IFERROR(SEARCH(,Data!G$3:G$635),10^9)+ROW(Data!G$3:G$635)/1000,ROWS(G$3:G99)),IFERROR(SEARCH(,Data!G$3:G$635),10^9)+ROW(Data!G$3:G$635)/1000,0))</f>
        <v/>
      </c>
      <c r="H99" s="623" t="str" cm="1">
        <f t="array" ref="H99">INDEX(Data!I$3:I$635,MATCH(SMALL(IFERROR(SEARCH(,Data!I$3:I$635),10^9)+ROW(Data!I$3:I$635)/1000,ROWS(H$3:H99)),IFERROR(SEARCH(,Data!I$3:I$635),10^9)+ROW(Data!I$3:I$635)/1000,0))</f>
        <v/>
      </c>
      <c r="I99" s="882"/>
      <c r="J99" s="882"/>
    </row>
    <row r="100" spans="1:10" ht="45.75" customHeight="1" x14ac:dyDescent="0.35">
      <c r="A100" s="108" t="str">
        <f>IFERROR(INDEX(Data!A$3:A$635,MATCH(IF(B100="","END",B100),Data!$B$3:$B$635,0)),"")</f>
        <v/>
      </c>
      <c r="B100" s="108" t="str" cm="1">
        <f t="array" ref="B100">INDEX(Data!B$3:B$635,MATCH(SMALL(IFERROR(SEARCH(,Data!B$3:B$635),10^9)+ROW(Data!B$3:B$635)/1000,ROWS(B$3:B100)),IFERROR(SEARCH(,Data!B$3:B$635),10^9)+ROW(Data!B$3:B$635)/1000,0))</f>
        <v/>
      </c>
      <c r="C100" s="317" t="str" cm="1">
        <f t="array" ref="C100">INDEX(Data!C$3:C$635,MATCH(SMALL(IFERROR(SEARCH(,Data!C$3:C$635),10^9)+ROW(Data!C$3:C$635)/1000,ROWS(C$3:C100)),IFERROR(SEARCH(,Data!C$3:C$635),10^9)+ROW(Data!C$3:C$635)/1000,0))</f>
        <v/>
      </c>
      <c r="D100" s="111" t="str">
        <f t="shared" si="1"/>
        <v/>
      </c>
      <c r="E100" s="111" t="str" cm="1">
        <f t="array" ref="E100">INDEX(Data!E$3:E$635,MATCH(SMALL(IFERROR(SEARCH(,Data!E$3:E$635),10^9)+ROW(Data!E$3:E$635)/1000,ROWS(E$3:E100)),IFERROR(SEARCH(,Data!E$3:E$635),10^9)+ROW(Data!E$3:E$635)/1000,0))</f>
        <v/>
      </c>
      <c r="F100" s="111" t="str" cm="1">
        <f t="array" ref="F100">INDEX(Data!F$3:F$635,MATCH(SMALL(IFERROR(SEARCH(,Data!F$3:F$635),10^9)+ROW(Data!F$3:F$635)/1000,ROWS(F$3:F100)),IFERROR(SEARCH(,Data!F$3:F$635),10^9)+ROW(Data!F$3:F$635)/1000,0))</f>
        <v/>
      </c>
      <c r="G100" s="111" t="str" cm="1">
        <f t="array" ref="G100">INDEX(Data!G$3:G$635,MATCH(SMALL(IFERROR(SEARCH(,Data!G$3:G$635),10^9)+ROW(Data!G$3:G$635)/1000,ROWS(G$3:G100)),IFERROR(SEARCH(,Data!G$3:G$635),10^9)+ROW(Data!G$3:G$635)/1000,0))</f>
        <v/>
      </c>
      <c r="H100" s="623" t="str" cm="1">
        <f t="array" ref="H100">INDEX(Data!I$3:I$635,MATCH(SMALL(IFERROR(SEARCH(,Data!I$3:I$635),10^9)+ROW(Data!I$3:I$635)/1000,ROWS(H$3:H100)),IFERROR(SEARCH(,Data!I$3:I$635),10^9)+ROW(Data!I$3:I$635)/1000,0))</f>
        <v/>
      </c>
      <c r="I100" s="882"/>
      <c r="J100" s="882"/>
    </row>
    <row r="101" spans="1:10" ht="45.75" customHeight="1" x14ac:dyDescent="0.35">
      <c r="A101" s="108" t="str">
        <f>IFERROR(INDEX(Data!A$3:A$635,MATCH(IF(B101="","END",B101),Data!$B$3:$B$635,0)),"")</f>
        <v/>
      </c>
      <c r="B101" s="108" t="str" cm="1">
        <f t="array" ref="B101">INDEX(Data!B$3:B$635,MATCH(SMALL(IFERROR(SEARCH(,Data!B$3:B$635),10^9)+ROW(Data!B$3:B$635)/1000,ROWS(B$3:B101)),IFERROR(SEARCH(,Data!B$3:B$635),10^9)+ROW(Data!B$3:B$635)/1000,0))</f>
        <v/>
      </c>
      <c r="C101" s="317" t="str" cm="1">
        <f t="array" ref="C101">INDEX(Data!C$3:C$635,MATCH(SMALL(IFERROR(SEARCH(,Data!C$3:C$635),10^9)+ROW(Data!C$3:C$635)/1000,ROWS(C$3:C101)),IFERROR(SEARCH(,Data!C$3:C$635),10^9)+ROW(Data!C$3:C$635)/1000,0))</f>
        <v/>
      </c>
      <c r="D101" s="111" t="str">
        <f t="shared" si="1"/>
        <v/>
      </c>
      <c r="E101" s="111" t="str" cm="1">
        <f t="array" ref="E101">INDEX(Data!E$3:E$635,MATCH(SMALL(IFERROR(SEARCH(,Data!E$3:E$635),10^9)+ROW(Data!E$3:E$635)/1000,ROWS(E$3:E101)),IFERROR(SEARCH(,Data!E$3:E$635),10^9)+ROW(Data!E$3:E$635)/1000,0))</f>
        <v/>
      </c>
      <c r="F101" s="111" t="str" cm="1">
        <f t="array" ref="F101">INDEX(Data!F$3:F$635,MATCH(SMALL(IFERROR(SEARCH(,Data!F$3:F$635),10^9)+ROW(Data!F$3:F$635)/1000,ROWS(F$3:F101)),IFERROR(SEARCH(,Data!F$3:F$635),10^9)+ROW(Data!F$3:F$635)/1000,0))</f>
        <v/>
      </c>
      <c r="G101" s="111" t="str" cm="1">
        <f t="array" ref="G101">INDEX(Data!G$3:G$635,MATCH(SMALL(IFERROR(SEARCH(,Data!G$3:G$635),10^9)+ROW(Data!G$3:G$635)/1000,ROWS(G$3:G101)),IFERROR(SEARCH(,Data!G$3:G$635),10^9)+ROW(Data!G$3:G$635)/1000,0))</f>
        <v/>
      </c>
      <c r="H101" s="623" t="str" cm="1">
        <f t="array" ref="H101">INDEX(Data!I$3:I$635,MATCH(SMALL(IFERROR(SEARCH(,Data!I$3:I$635),10^9)+ROW(Data!I$3:I$635)/1000,ROWS(H$3:H101)),IFERROR(SEARCH(,Data!I$3:I$635),10^9)+ROW(Data!I$3:I$635)/1000,0))</f>
        <v/>
      </c>
      <c r="I101" s="882"/>
      <c r="J101" s="882"/>
    </row>
    <row r="102" spans="1:10" ht="45.75" customHeight="1" x14ac:dyDescent="0.35">
      <c r="A102" s="108" t="str">
        <f>IFERROR(INDEX(Data!A$3:A$635,MATCH(IF(B102="","END",B102),Data!$B$3:$B$635,0)),"")</f>
        <v/>
      </c>
      <c r="B102" s="108" t="str" cm="1">
        <f t="array" ref="B102">INDEX(Data!B$3:B$635,MATCH(SMALL(IFERROR(SEARCH(,Data!B$3:B$635),10^9)+ROW(Data!B$3:B$635)/1000,ROWS(B$3:B102)),IFERROR(SEARCH(,Data!B$3:B$635),10^9)+ROW(Data!B$3:B$635)/1000,0))</f>
        <v/>
      </c>
      <c r="C102" s="317" t="str" cm="1">
        <f t="array" ref="C102">INDEX(Data!C$3:C$635,MATCH(SMALL(IFERROR(SEARCH(,Data!C$3:C$635),10^9)+ROW(Data!C$3:C$635)/1000,ROWS(C$3:C102)),IFERROR(SEARCH(,Data!C$3:C$635),10^9)+ROW(Data!C$3:C$635)/1000,0))</f>
        <v/>
      </c>
      <c r="D102" s="111" t="str">
        <f t="shared" si="1"/>
        <v/>
      </c>
      <c r="E102" s="111" t="str" cm="1">
        <f t="array" ref="E102">INDEX(Data!E$3:E$635,MATCH(SMALL(IFERROR(SEARCH(,Data!E$3:E$635),10^9)+ROW(Data!E$3:E$635)/1000,ROWS(E$3:E102)),IFERROR(SEARCH(,Data!E$3:E$635),10^9)+ROW(Data!E$3:E$635)/1000,0))</f>
        <v/>
      </c>
      <c r="F102" s="111" t="str" cm="1">
        <f t="array" ref="F102">INDEX(Data!F$3:F$635,MATCH(SMALL(IFERROR(SEARCH(,Data!F$3:F$635),10^9)+ROW(Data!F$3:F$635)/1000,ROWS(F$3:F102)),IFERROR(SEARCH(,Data!F$3:F$635),10^9)+ROW(Data!F$3:F$635)/1000,0))</f>
        <v/>
      </c>
      <c r="G102" s="111" t="str" cm="1">
        <f t="array" ref="G102">INDEX(Data!G$3:G$635,MATCH(SMALL(IFERROR(SEARCH(,Data!G$3:G$635),10^9)+ROW(Data!G$3:G$635)/1000,ROWS(G$3:G102)),IFERROR(SEARCH(,Data!G$3:G$635),10^9)+ROW(Data!G$3:G$635)/1000,0))</f>
        <v/>
      </c>
      <c r="H102" s="623" t="str" cm="1">
        <f t="array" ref="H102">INDEX(Data!I$3:I$635,MATCH(SMALL(IFERROR(SEARCH(,Data!I$3:I$635),10^9)+ROW(Data!I$3:I$635)/1000,ROWS(H$3:H102)),IFERROR(SEARCH(,Data!I$3:I$635),10^9)+ROW(Data!I$3:I$635)/1000,0))</f>
        <v/>
      </c>
      <c r="I102" s="882"/>
      <c r="J102" s="882"/>
    </row>
    <row r="103" spans="1:10" ht="45.75" customHeight="1" x14ac:dyDescent="0.35">
      <c r="A103" s="108" t="str">
        <f>IFERROR(INDEX(Data!A$3:A$635,MATCH(IF(B103="","END",B103),Data!$B$3:$B$635,0)),"")</f>
        <v/>
      </c>
      <c r="B103" s="108" t="str" cm="1">
        <f t="array" ref="B103">INDEX(Data!B$3:B$635,MATCH(SMALL(IFERROR(SEARCH(,Data!B$3:B$635),10^9)+ROW(Data!B$3:B$635)/1000,ROWS(B$3:B103)),IFERROR(SEARCH(,Data!B$3:B$635),10^9)+ROW(Data!B$3:B$635)/1000,0))</f>
        <v/>
      </c>
      <c r="C103" s="317" t="str" cm="1">
        <f t="array" ref="C103">INDEX(Data!C$3:C$635,MATCH(SMALL(IFERROR(SEARCH(,Data!C$3:C$635),10^9)+ROW(Data!C$3:C$635)/1000,ROWS(C$3:C103)),IFERROR(SEARCH(,Data!C$3:C$635),10^9)+ROW(Data!C$3:C$635)/1000,0))</f>
        <v/>
      </c>
      <c r="D103" s="111" t="str">
        <f t="shared" si="1"/>
        <v/>
      </c>
      <c r="E103" s="111" t="str" cm="1">
        <f t="array" ref="E103">INDEX(Data!E$3:E$635,MATCH(SMALL(IFERROR(SEARCH(,Data!E$3:E$635),10^9)+ROW(Data!E$3:E$635)/1000,ROWS(E$3:E103)),IFERROR(SEARCH(,Data!E$3:E$635),10^9)+ROW(Data!E$3:E$635)/1000,0))</f>
        <v/>
      </c>
      <c r="F103" s="111" t="str" cm="1">
        <f t="array" ref="F103">INDEX(Data!F$3:F$635,MATCH(SMALL(IFERROR(SEARCH(,Data!F$3:F$635),10^9)+ROW(Data!F$3:F$635)/1000,ROWS(F$3:F103)),IFERROR(SEARCH(,Data!F$3:F$635),10^9)+ROW(Data!F$3:F$635)/1000,0))</f>
        <v/>
      </c>
      <c r="G103" s="111" t="str" cm="1">
        <f t="array" ref="G103">INDEX(Data!G$3:G$635,MATCH(SMALL(IFERROR(SEARCH(,Data!G$3:G$635),10^9)+ROW(Data!G$3:G$635)/1000,ROWS(G$3:G103)),IFERROR(SEARCH(,Data!G$3:G$635),10^9)+ROW(Data!G$3:G$635)/1000,0))</f>
        <v/>
      </c>
      <c r="H103" s="623" t="str" cm="1">
        <f t="array" ref="H103">INDEX(Data!I$3:I$635,MATCH(SMALL(IFERROR(SEARCH(,Data!I$3:I$635),10^9)+ROW(Data!I$3:I$635)/1000,ROWS(H$3:H103)),IFERROR(SEARCH(,Data!I$3:I$635),10^9)+ROW(Data!I$3:I$635)/1000,0))</f>
        <v/>
      </c>
      <c r="I103" s="882"/>
      <c r="J103" s="882"/>
    </row>
    <row r="104" spans="1:10" ht="45.75" customHeight="1" x14ac:dyDescent="0.35">
      <c r="A104" s="108" t="str">
        <f>IFERROR(INDEX(Data!A$3:A$635,MATCH(IF(B104="","END",B104),Data!$B$3:$B$635,0)),"")</f>
        <v/>
      </c>
      <c r="B104" s="108" t="str" cm="1">
        <f t="array" ref="B104">INDEX(Data!B$3:B$635,MATCH(SMALL(IFERROR(SEARCH(,Data!B$3:B$635),10^9)+ROW(Data!B$3:B$635)/1000,ROWS(B$3:B104)),IFERROR(SEARCH(,Data!B$3:B$635),10^9)+ROW(Data!B$3:B$635)/1000,0))</f>
        <v/>
      </c>
      <c r="C104" s="317" t="str" cm="1">
        <f t="array" ref="C104">INDEX(Data!C$3:C$635,MATCH(SMALL(IFERROR(SEARCH(,Data!C$3:C$635),10^9)+ROW(Data!C$3:C$635)/1000,ROWS(C$3:C104)),IFERROR(SEARCH(,Data!C$3:C$635),10^9)+ROW(Data!C$3:C$635)/1000,0))</f>
        <v/>
      </c>
      <c r="D104" s="111" t="str">
        <f t="shared" si="1"/>
        <v/>
      </c>
      <c r="E104" s="111" t="str" cm="1">
        <f t="array" ref="E104">INDEX(Data!E$3:E$635,MATCH(SMALL(IFERROR(SEARCH(,Data!E$3:E$635),10^9)+ROW(Data!E$3:E$635)/1000,ROWS(E$3:E104)),IFERROR(SEARCH(,Data!E$3:E$635),10^9)+ROW(Data!E$3:E$635)/1000,0))</f>
        <v/>
      </c>
      <c r="F104" s="111" t="str" cm="1">
        <f t="array" ref="F104">INDEX(Data!F$3:F$635,MATCH(SMALL(IFERROR(SEARCH(,Data!F$3:F$635),10^9)+ROW(Data!F$3:F$635)/1000,ROWS(F$3:F104)),IFERROR(SEARCH(,Data!F$3:F$635),10^9)+ROW(Data!F$3:F$635)/1000,0))</f>
        <v/>
      </c>
      <c r="G104" s="111" t="str" cm="1">
        <f t="array" ref="G104">INDEX(Data!G$3:G$635,MATCH(SMALL(IFERROR(SEARCH(,Data!G$3:G$635),10^9)+ROW(Data!G$3:G$635)/1000,ROWS(G$3:G104)),IFERROR(SEARCH(,Data!G$3:G$635),10^9)+ROW(Data!G$3:G$635)/1000,0))</f>
        <v/>
      </c>
      <c r="H104" s="623" t="str" cm="1">
        <f t="array" ref="H104">INDEX(Data!I$3:I$635,MATCH(SMALL(IFERROR(SEARCH(,Data!I$3:I$635),10^9)+ROW(Data!I$3:I$635)/1000,ROWS(H$3:H104)),IFERROR(SEARCH(,Data!I$3:I$635),10^9)+ROW(Data!I$3:I$635)/1000,0))</f>
        <v/>
      </c>
      <c r="I104" s="882"/>
      <c r="J104" s="882"/>
    </row>
    <row r="105" spans="1:10" ht="45.75" customHeight="1" x14ac:dyDescent="0.35">
      <c r="A105" s="108" t="str">
        <f>IFERROR(INDEX(Data!A$3:A$635,MATCH(IF(B105="","END",B105),Data!$B$3:$B$635,0)),"")</f>
        <v/>
      </c>
      <c r="B105" s="108" t="str" cm="1">
        <f t="array" ref="B105">INDEX(Data!B$3:B$635,MATCH(SMALL(IFERROR(SEARCH(,Data!B$3:B$635),10^9)+ROW(Data!B$3:B$635)/1000,ROWS(B$3:B105)),IFERROR(SEARCH(,Data!B$3:B$635),10^9)+ROW(Data!B$3:B$635)/1000,0))</f>
        <v/>
      </c>
      <c r="C105" s="317" t="str" cm="1">
        <f t="array" ref="C105">INDEX(Data!C$3:C$635,MATCH(SMALL(IFERROR(SEARCH(,Data!C$3:C$635),10^9)+ROW(Data!C$3:C$635)/1000,ROWS(C$3:C105)),IFERROR(SEARCH(,Data!C$3:C$635),10^9)+ROW(Data!C$3:C$635)/1000,0))</f>
        <v/>
      </c>
      <c r="D105" s="111" t="str">
        <f t="shared" si="1"/>
        <v/>
      </c>
      <c r="E105" s="111" t="str" cm="1">
        <f t="array" ref="E105">INDEX(Data!E$3:E$635,MATCH(SMALL(IFERROR(SEARCH(,Data!E$3:E$635),10^9)+ROW(Data!E$3:E$635)/1000,ROWS(E$3:E105)),IFERROR(SEARCH(,Data!E$3:E$635),10^9)+ROW(Data!E$3:E$635)/1000,0))</f>
        <v/>
      </c>
      <c r="F105" s="111" t="str" cm="1">
        <f t="array" ref="F105">INDEX(Data!F$3:F$635,MATCH(SMALL(IFERROR(SEARCH(,Data!F$3:F$635),10^9)+ROW(Data!F$3:F$635)/1000,ROWS(F$3:F105)),IFERROR(SEARCH(,Data!F$3:F$635),10^9)+ROW(Data!F$3:F$635)/1000,0))</f>
        <v/>
      </c>
      <c r="G105" s="111" t="str" cm="1">
        <f t="array" ref="G105">INDEX(Data!G$3:G$635,MATCH(SMALL(IFERROR(SEARCH(,Data!G$3:G$635),10^9)+ROW(Data!G$3:G$635)/1000,ROWS(G$3:G105)),IFERROR(SEARCH(,Data!G$3:G$635),10^9)+ROW(Data!G$3:G$635)/1000,0))</f>
        <v/>
      </c>
      <c r="H105" s="623" t="str" cm="1">
        <f t="array" ref="H105">INDEX(Data!I$3:I$635,MATCH(SMALL(IFERROR(SEARCH(,Data!I$3:I$635),10^9)+ROW(Data!I$3:I$635)/1000,ROWS(H$3:H105)),IFERROR(SEARCH(,Data!I$3:I$635),10^9)+ROW(Data!I$3:I$635)/1000,0))</f>
        <v/>
      </c>
      <c r="I105" s="882"/>
      <c r="J105" s="882"/>
    </row>
    <row r="106" spans="1:10" ht="45.75" customHeight="1" x14ac:dyDescent="0.35">
      <c r="A106" s="108" t="str">
        <f>IFERROR(INDEX(Data!A$3:A$635,MATCH(IF(B106="","END",B106),Data!$B$3:$B$635,0)),"")</f>
        <v/>
      </c>
      <c r="B106" s="108" t="str" cm="1">
        <f t="array" ref="B106">INDEX(Data!B$3:B$635,MATCH(SMALL(IFERROR(SEARCH(,Data!B$3:B$635),10^9)+ROW(Data!B$3:B$635)/1000,ROWS(B$3:B106)),IFERROR(SEARCH(,Data!B$3:B$635),10^9)+ROW(Data!B$3:B$635)/1000,0))</f>
        <v/>
      </c>
      <c r="C106" s="317" t="str" cm="1">
        <f t="array" ref="C106">INDEX(Data!C$3:C$635,MATCH(SMALL(IFERROR(SEARCH(,Data!C$3:C$635),10^9)+ROW(Data!C$3:C$635)/1000,ROWS(C$3:C106)),IFERROR(SEARCH(,Data!C$3:C$635),10^9)+ROW(Data!C$3:C$635)/1000,0))</f>
        <v/>
      </c>
      <c r="D106" s="111" t="str">
        <f t="shared" si="1"/>
        <v/>
      </c>
      <c r="E106" s="111" t="str" cm="1">
        <f t="array" ref="E106">INDEX(Data!E$3:E$635,MATCH(SMALL(IFERROR(SEARCH(,Data!E$3:E$635),10^9)+ROW(Data!E$3:E$635)/1000,ROWS(E$3:E106)),IFERROR(SEARCH(,Data!E$3:E$635),10^9)+ROW(Data!E$3:E$635)/1000,0))</f>
        <v/>
      </c>
      <c r="F106" s="111" t="str" cm="1">
        <f t="array" ref="F106">INDEX(Data!F$3:F$635,MATCH(SMALL(IFERROR(SEARCH(,Data!F$3:F$635),10^9)+ROW(Data!F$3:F$635)/1000,ROWS(F$3:F106)),IFERROR(SEARCH(,Data!F$3:F$635),10^9)+ROW(Data!F$3:F$635)/1000,0))</f>
        <v/>
      </c>
      <c r="G106" s="111" t="str" cm="1">
        <f t="array" ref="G106">INDEX(Data!G$3:G$635,MATCH(SMALL(IFERROR(SEARCH(,Data!G$3:G$635),10^9)+ROW(Data!G$3:G$635)/1000,ROWS(G$3:G106)),IFERROR(SEARCH(,Data!G$3:G$635),10^9)+ROW(Data!G$3:G$635)/1000,0))</f>
        <v/>
      </c>
      <c r="H106" s="623" t="str" cm="1">
        <f t="array" ref="H106">INDEX(Data!I$3:I$635,MATCH(SMALL(IFERROR(SEARCH(,Data!I$3:I$635),10^9)+ROW(Data!I$3:I$635)/1000,ROWS(H$3:H106)),IFERROR(SEARCH(,Data!I$3:I$635),10^9)+ROW(Data!I$3:I$635)/1000,0))</f>
        <v/>
      </c>
      <c r="I106" s="882"/>
      <c r="J106" s="882"/>
    </row>
    <row r="107" spans="1:10" ht="45.75" customHeight="1" x14ac:dyDescent="0.35">
      <c r="A107" s="108" t="str">
        <f>IFERROR(INDEX(Data!A$3:A$635,MATCH(IF(B107="","END",B107),Data!$B$3:$B$635,0)),"")</f>
        <v/>
      </c>
      <c r="B107" s="108" t="str" cm="1">
        <f t="array" ref="B107">INDEX(Data!B$3:B$635,MATCH(SMALL(IFERROR(SEARCH(,Data!B$3:B$635),10^9)+ROW(Data!B$3:B$635)/1000,ROWS(B$3:B107)),IFERROR(SEARCH(,Data!B$3:B$635),10^9)+ROW(Data!B$3:B$635)/1000,0))</f>
        <v/>
      </c>
      <c r="C107" s="317" t="str" cm="1">
        <f t="array" ref="C107">INDEX(Data!C$3:C$635,MATCH(SMALL(IFERROR(SEARCH(,Data!C$3:C$635),10^9)+ROW(Data!C$3:C$635)/1000,ROWS(C$3:C107)),IFERROR(SEARCH(,Data!C$3:C$635),10^9)+ROW(Data!C$3:C$635)/1000,0))</f>
        <v/>
      </c>
      <c r="D107" s="111" t="str">
        <f t="shared" si="1"/>
        <v/>
      </c>
      <c r="E107" s="111" t="str" cm="1">
        <f t="array" ref="E107">INDEX(Data!E$3:E$635,MATCH(SMALL(IFERROR(SEARCH(,Data!E$3:E$635),10^9)+ROW(Data!E$3:E$635)/1000,ROWS(E$3:E107)),IFERROR(SEARCH(,Data!E$3:E$635),10^9)+ROW(Data!E$3:E$635)/1000,0))</f>
        <v/>
      </c>
      <c r="F107" s="111" t="str" cm="1">
        <f t="array" ref="F107">INDEX(Data!F$3:F$635,MATCH(SMALL(IFERROR(SEARCH(,Data!F$3:F$635),10^9)+ROW(Data!F$3:F$635)/1000,ROWS(F$3:F107)),IFERROR(SEARCH(,Data!F$3:F$635),10^9)+ROW(Data!F$3:F$635)/1000,0))</f>
        <v/>
      </c>
      <c r="G107" s="111" t="str" cm="1">
        <f t="array" ref="G107">INDEX(Data!G$3:G$635,MATCH(SMALL(IFERROR(SEARCH(,Data!G$3:G$635),10^9)+ROW(Data!G$3:G$635)/1000,ROWS(G$3:G107)),IFERROR(SEARCH(,Data!G$3:G$635),10^9)+ROW(Data!G$3:G$635)/1000,0))</f>
        <v/>
      </c>
      <c r="H107" s="623" t="str" cm="1">
        <f t="array" ref="H107">INDEX(Data!I$3:I$635,MATCH(SMALL(IFERROR(SEARCH(,Data!I$3:I$635),10^9)+ROW(Data!I$3:I$635)/1000,ROWS(H$3:H107)),IFERROR(SEARCH(,Data!I$3:I$635),10^9)+ROW(Data!I$3:I$635)/1000,0))</f>
        <v/>
      </c>
      <c r="I107" s="882"/>
      <c r="J107" s="882"/>
    </row>
    <row r="108" spans="1:10" ht="45.75" customHeight="1" x14ac:dyDescent="0.35">
      <c r="A108" s="108" t="str">
        <f>IFERROR(INDEX(Data!A$3:A$635,MATCH(IF(B108="","END",B108),Data!$B$3:$B$635,0)),"")</f>
        <v/>
      </c>
      <c r="B108" s="108" t="str" cm="1">
        <f t="array" ref="B108">INDEX(Data!B$3:B$635,MATCH(SMALL(IFERROR(SEARCH(,Data!B$3:B$635),10^9)+ROW(Data!B$3:B$635)/1000,ROWS(B$3:B108)),IFERROR(SEARCH(,Data!B$3:B$635),10^9)+ROW(Data!B$3:B$635)/1000,0))</f>
        <v/>
      </c>
      <c r="C108" s="317" t="str" cm="1">
        <f t="array" ref="C108">INDEX(Data!C$3:C$635,MATCH(SMALL(IFERROR(SEARCH(,Data!C$3:C$635),10^9)+ROW(Data!C$3:C$635)/1000,ROWS(C$3:C108)),IFERROR(SEARCH(,Data!C$3:C$635),10^9)+ROW(Data!C$3:C$635)/1000,0))</f>
        <v/>
      </c>
      <c r="D108" s="111" t="str">
        <f t="shared" si="1"/>
        <v/>
      </c>
      <c r="E108" s="111" t="str" cm="1">
        <f t="array" ref="E108">INDEX(Data!E$3:E$635,MATCH(SMALL(IFERROR(SEARCH(,Data!E$3:E$635),10^9)+ROW(Data!E$3:E$635)/1000,ROWS(E$3:E108)),IFERROR(SEARCH(,Data!E$3:E$635),10^9)+ROW(Data!E$3:E$635)/1000,0))</f>
        <v/>
      </c>
      <c r="F108" s="111" t="str" cm="1">
        <f t="array" ref="F108">INDEX(Data!F$3:F$635,MATCH(SMALL(IFERROR(SEARCH(,Data!F$3:F$635),10^9)+ROW(Data!F$3:F$635)/1000,ROWS(F$3:F108)),IFERROR(SEARCH(,Data!F$3:F$635),10^9)+ROW(Data!F$3:F$635)/1000,0))</f>
        <v/>
      </c>
      <c r="G108" s="111" t="str" cm="1">
        <f t="array" ref="G108">INDEX(Data!G$3:G$635,MATCH(SMALL(IFERROR(SEARCH(,Data!G$3:G$635),10^9)+ROW(Data!G$3:G$635)/1000,ROWS(G$3:G108)),IFERROR(SEARCH(,Data!G$3:G$635),10^9)+ROW(Data!G$3:G$635)/1000,0))</f>
        <v/>
      </c>
      <c r="H108" s="623" t="str" cm="1">
        <f t="array" ref="H108">INDEX(Data!I$3:I$635,MATCH(SMALL(IFERROR(SEARCH(,Data!I$3:I$635),10^9)+ROW(Data!I$3:I$635)/1000,ROWS(H$3:H108)),IFERROR(SEARCH(,Data!I$3:I$635),10^9)+ROW(Data!I$3:I$635)/1000,0))</f>
        <v/>
      </c>
      <c r="I108" s="882"/>
      <c r="J108" s="882"/>
    </row>
    <row r="109" spans="1:10" ht="45.75" customHeight="1" x14ac:dyDescent="0.35">
      <c r="A109" s="108" t="str">
        <f>IFERROR(INDEX(Data!A$3:A$635,MATCH(IF(B109="","END",B109),Data!$B$3:$B$635,0)),"")</f>
        <v/>
      </c>
      <c r="B109" s="108" t="str" cm="1">
        <f t="array" ref="B109">INDEX(Data!B$3:B$635,MATCH(SMALL(IFERROR(SEARCH(,Data!B$3:B$635),10^9)+ROW(Data!B$3:B$635)/1000,ROWS(B$3:B109)),IFERROR(SEARCH(,Data!B$3:B$635),10^9)+ROW(Data!B$3:B$635)/1000,0))</f>
        <v/>
      </c>
      <c r="C109" s="317" t="str" cm="1">
        <f t="array" ref="C109">INDEX(Data!C$3:C$635,MATCH(SMALL(IFERROR(SEARCH(,Data!C$3:C$635),10^9)+ROW(Data!C$3:C$635)/1000,ROWS(C$3:C109)),IFERROR(SEARCH(,Data!C$3:C$635),10^9)+ROW(Data!C$3:C$635)/1000,0))</f>
        <v/>
      </c>
      <c r="D109" s="111" t="str">
        <f t="shared" si="1"/>
        <v/>
      </c>
      <c r="E109" s="111" t="str" cm="1">
        <f t="array" ref="E109">INDEX(Data!E$3:E$635,MATCH(SMALL(IFERROR(SEARCH(,Data!E$3:E$635),10^9)+ROW(Data!E$3:E$635)/1000,ROWS(E$3:E109)),IFERROR(SEARCH(,Data!E$3:E$635),10^9)+ROW(Data!E$3:E$635)/1000,0))</f>
        <v/>
      </c>
      <c r="F109" s="111" t="str" cm="1">
        <f t="array" ref="F109">INDEX(Data!F$3:F$635,MATCH(SMALL(IFERROR(SEARCH(,Data!F$3:F$635),10^9)+ROW(Data!F$3:F$635)/1000,ROWS(F$3:F109)),IFERROR(SEARCH(,Data!F$3:F$635),10^9)+ROW(Data!F$3:F$635)/1000,0))</f>
        <v/>
      </c>
      <c r="G109" s="111" t="str" cm="1">
        <f t="array" ref="G109">INDEX(Data!G$3:G$635,MATCH(SMALL(IFERROR(SEARCH(,Data!G$3:G$635),10^9)+ROW(Data!G$3:G$635)/1000,ROWS(G$3:G109)),IFERROR(SEARCH(,Data!G$3:G$635),10^9)+ROW(Data!G$3:G$635)/1000,0))</f>
        <v/>
      </c>
      <c r="H109" s="623" t="str" cm="1">
        <f t="array" ref="H109">INDEX(Data!I$3:I$635,MATCH(SMALL(IFERROR(SEARCH(,Data!I$3:I$635),10^9)+ROW(Data!I$3:I$635)/1000,ROWS(H$3:H109)),IFERROR(SEARCH(,Data!I$3:I$635),10^9)+ROW(Data!I$3:I$635)/1000,0))</f>
        <v/>
      </c>
      <c r="I109" s="882"/>
      <c r="J109" s="882"/>
    </row>
    <row r="110" spans="1:10" ht="45.75" customHeight="1" x14ac:dyDescent="0.35">
      <c r="A110" s="108" t="str">
        <f>IFERROR(INDEX(Data!A$3:A$635,MATCH(IF(B110="","END",B110),Data!$B$3:$B$635,0)),"")</f>
        <v/>
      </c>
      <c r="B110" s="108" t="str" cm="1">
        <f t="array" ref="B110">INDEX(Data!B$3:B$635,MATCH(SMALL(IFERROR(SEARCH(,Data!B$3:B$635),10^9)+ROW(Data!B$3:B$635)/1000,ROWS(B$3:B110)),IFERROR(SEARCH(,Data!B$3:B$635),10^9)+ROW(Data!B$3:B$635)/1000,0))</f>
        <v/>
      </c>
      <c r="C110" s="317" t="str" cm="1">
        <f t="array" ref="C110">INDEX(Data!C$3:C$635,MATCH(SMALL(IFERROR(SEARCH(,Data!C$3:C$635),10^9)+ROW(Data!C$3:C$635)/1000,ROWS(C$3:C110)),IFERROR(SEARCH(,Data!C$3:C$635),10^9)+ROW(Data!C$3:C$635)/1000,0))</f>
        <v/>
      </c>
      <c r="D110" s="111" t="str">
        <f t="shared" si="1"/>
        <v/>
      </c>
      <c r="E110" s="111" t="str" cm="1">
        <f t="array" ref="E110">INDEX(Data!E$3:E$635,MATCH(SMALL(IFERROR(SEARCH(,Data!E$3:E$635),10^9)+ROW(Data!E$3:E$635)/1000,ROWS(E$3:E110)),IFERROR(SEARCH(,Data!E$3:E$635),10^9)+ROW(Data!E$3:E$635)/1000,0))</f>
        <v/>
      </c>
      <c r="F110" s="111" t="str" cm="1">
        <f t="array" ref="F110">INDEX(Data!F$3:F$635,MATCH(SMALL(IFERROR(SEARCH(,Data!F$3:F$635),10^9)+ROW(Data!F$3:F$635)/1000,ROWS(F$3:F110)),IFERROR(SEARCH(,Data!F$3:F$635),10^9)+ROW(Data!F$3:F$635)/1000,0))</f>
        <v/>
      </c>
      <c r="G110" s="111" t="str" cm="1">
        <f t="array" ref="G110">INDEX(Data!G$3:G$635,MATCH(SMALL(IFERROR(SEARCH(,Data!G$3:G$635),10^9)+ROW(Data!G$3:G$635)/1000,ROWS(G$3:G110)),IFERROR(SEARCH(,Data!G$3:G$635),10^9)+ROW(Data!G$3:G$635)/1000,0))</f>
        <v/>
      </c>
      <c r="H110" s="623" t="str" cm="1">
        <f t="array" ref="H110">INDEX(Data!I$3:I$635,MATCH(SMALL(IFERROR(SEARCH(,Data!I$3:I$635),10^9)+ROW(Data!I$3:I$635)/1000,ROWS(H$3:H110)),IFERROR(SEARCH(,Data!I$3:I$635),10^9)+ROW(Data!I$3:I$635)/1000,0))</f>
        <v/>
      </c>
      <c r="I110" s="882"/>
      <c r="J110" s="882"/>
    </row>
    <row r="111" spans="1:10" ht="45.75" customHeight="1" x14ac:dyDescent="0.35">
      <c r="A111" s="108" t="str">
        <f>IFERROR(INDEX(Data!A$3:A$635,MATCH(IF(B111="","END",B111),Data!$B$3:$B$635,0)),"")</f>
        <v/>
      </c>
      <c r="B111" s="108" t="str" cm="1">
        <f t="array" ref="B111">INDEX(Data!B$3:B$635,MATCH(SMALL(IFERROR(SEARCH(,Data!B$3:B$635),10^9)+ROW(Data!B$3:B$635)/1000,ROWS(B$3:B111)),IFERROR(SEARCH(,Data!B$3:B$635),10^9)+ROW(Data!B$3:B$635)/1000,0))</f>
        <v/>
      </c>
      <c r="C111" s="317" t="str" cm="1">
        <f t="array" ref="C111">INDEX(Data!C$3:C$635,MATCH(SMALL(IFERROR(SEARCH(,Data!C$3:C$635),10^9)+ROW(Data!C$3:C$635)/1000,ROWS(C$3:C111)),IFERROR(SEARCH(,Data!C$3:C$635),10^9)+ROW(Data!C$3:C$635)/1000,0))</f>
        <v/>
      </c>
      <c r="D111" s="111" t="str">
        <f t="shared" si="1"/>
        <v/>
      </c>
      <c r="E111" s="111" t="str" cm="1">
        <f t="array" ref="E111">INDEX(Data!E$3:E$635,MATCH(SMALL(IFERROR(SEARCH(,Data!E$3:E$635),10^9)+ROW(Data!E$3:E$635)/1000,ROWS(E$3:E111)),IFERROR(SEARCH(,Data!E$3:E$635),10^9)+ROW(Data!E$3:E$635)/1000,0))</f>
        <v/>
      </c>
      <c r="F111" s="111" t="str" cm="1">
        <f t="array" ref="F111">INDEX(Data!F$3:F$635,MATCH(SMALL(IFERROR(SEARCH(,Data!F$3:F$635),10^9)+ROW(Data!F$3:F$635)/1000,ROWS(F$3:F111)),IFERROR(SEARCH(,Data!F$3:F$635),10^9)+ROW(Data!F$3:F$635)/1000,0))</f>
        <v/>
      </c>
      <c r="G111" s="111" t="str" cm="1">
        <f t="array" ref="G111">INDEX(Data!G$3:G$635,MATCH(SMALL(IFERROR(SEARCH(,Data!G$3:G$635),10^9)+ROW(Data!G$3:G$635)/1000,ROWS(G$3:G111)),IFERROR(SEARCH(,Data!G$3:G$635),10^9)+ROW(Data!G$3:G$635)/1000,0))</f>
        <v/>
      </c>
      <c r="H111" s="623" t="str" cm="1">
        <f t="array" ref="H111">INDEX(Data!I$3:I$635,MATCH(SMALL(IFERROR(SEARCH(,Data!I$3:I$635),10^9)+ROW(Data!I$3:I$635)/1000,ROWS(H$3:H111)),IFERROR(SEARCH(,Data!I$3:I$635),10^9)+ROW(Data!I$3:I$635)/1000,0))</f>
        <v/>
      </c>
      <c r="I111" s="882"/>
      <c r="J111" s="882"/>
    </row>
    <row r="112" spans="1:10" ht="45.75" customHeight="1" x14ac:dyDescent="0.35">
      <c r="A112" s="108" t="str">
        <f>IFERROR(INDEX(Data!A$3:A$635,MATCH(IF(B112="","END",B112),Data!$B$3:$B$635,0)),"")</f>
        <v/>
      </c>
      <c r="B112" s="108" t="str" cm="1">
        <f t="array" ref="B112">INDEX(Data!B$3:B$635,MATCH(SMALL(IFERROR(SEARCH(,Data!B$3:B$635),10^9)+ROW(Data!B$3:B$635)/1000,ROWS(B$3:B112)),IFERROR(SEARCH(,Data!B$3:B$635),10^9)+ROW(Data!B$3:B$635)/1000,0))</f>
        <v/>
      </c>
      <c r="C112" s="317" t="str" cm="1">
        <f t="array" ref="C112">INDEX(Data!C$3:C$635,MATCH(SMALL(IFERROR(SEARCH(,Data!C$3:C$635),10^9)+ROW(Data!C$3:C$635)/1000,ROWS(C$3:C112)),IFERROR(SEARCH(,Data!C$3:C$635),10^9)+ROW(Data!C$3:C$635)/1000,0))</f>
        <v/>
      </c>
      <c r="D112" s="111" t="str">
        <f t="shared" si="1"/>
        <v/>
      </c>
      <c r="E112" s="111" t="str" cm="1">
        <f t="array" ref="E112">INDEX(Data!E$3:E$635,MATCH(SMALL(IFERROR(SEARCH(,Data!E$3:E$635),10^9)+ROW(Data!E$3:E$635)/1000,ROWS(E$3:E112)),IFERROR(SEARCH(,Data!E$3:E$635),10^9)+ROW(Data!E$3:E$635)/1000,0))</f>
        <v/>
      </c>
      <c r="F112" s="111" t="str" cm="1">
        <f t="array" ref="F112">INDEX(Data!F$3:F$635,MATCH(SMALL(IFERROR(SEARCH(,Data!F$3:F$635),10^9)+ROW(Data!F$3:F$635)/1000,ROWS(F$3:F112)),IFERROR(SEARCH(,Data!F$3:F$635),10^9)+ROW(Data!F$3:F$635)/1000,0))</f>
        <v/>
      </c>
      <c r="G112" s="111" t="str" cm="1">
        <f t="array" ref="G112">INDEX(Data!G$3:G$635,MATCH(SMALL(IFERROR(SEARCH(,Data!G$3:G$635),10^9)+ROW(Data!G$3:G$635)/1000,ROWS(G$3:G112)),IFERROR(SEARCH(,Data!G$3:G$635),10^9)+ROW(Data!G$3:G$635)/1000,0))</f>
        <v/>
      </c>
      <c r="H112" s="623" t="str" cm="1">
        <f t="array" ref="H112">INDEX(Data!I$3:I$635,MATCH(SMALL(IFERROR(SEARCH(,Data!I$3:I$635),10^9)+ROW(Data!I$3:I$635)/1000,ROWS(H$3:H112)),IFERROR(SEARCH(,Data!I$3:I$635),10^9)+ROW(Data!I$3:I$635)/1000,0))</f>
        <v/>
      </c>
      <c r="I112" s="882"/>
      <c r="J112" s="882"/>
    </row>
    <row r="113" spans="1:10" ht="45.75" customHeight="1" x14ac:dyDescent="0.35">
      <c r="A113" s="108" t="str">
        <f>IFERROR(INDEX(Data!A$3:A$635,MATCH(IF(B113="","END",B113),Data!$B$3:$B$635,0)),"")</f>
        <v/>
      </c>
      <c r="B113" s="108" t="str" cm="1">
        <f t="array" ref="B113">INDEX(Data!B$3:B$635,MATCH(SMALL(IFERROR(SEARCH(,Data!B$3:B$635),10^9)+ROW(Data!B$3:B$635)/1000,ROWS(B$3:B113)),IFERROR(SEARCH(,Data!B$3:B$635),10^9)+ROW(Data!B$3:B$635)/1000,0))</f>
        <v/>
      </c>
      <c r="C113" s="317" t="str" cm="1">
        <f t="array" ref="C113">INDEX(Data!C$3:C$635,MATCH(SMALL(IFERROR(SEARCH(,Data!C$3:C$635),10^9)+ROW(Data!C$3:C$635)/1000,ROWS(C$3:C113)),IFERROR(SEARCH(,Data!C$3:C$635),10^9)+ROW(Data!C$3:C$635)/1000,0))</f>
        <v/>
      </c>
      <c r="D113" s="111" t="str">
        <f t="shared" si="1"/>
        <v/>
      </c>
      <c r="E113" s="111" t="str" cm="1">
        <f t="array" ref="E113">INDEX(Data!E$3:E$635,MATCH(SMALL(IFERROR(SEARCH(,Data!E$3:E$635),10^9)+ROW(Data!E$3:E$635)/1000,ROWS(E$3:E113)),IFERROR(SEARCH(,Data!E$3:E$635),10^9)+ROW(Data!E$3:E$635)/1000,0))</f>
        <v/>
      </c>
      <c r="F113" s="111" t="str" cm="1">
        <f t="array" ref="F113">INDEX(Data!F$3:F$635,MATCH(SMALL(IFERROR(SEARCH(,Data!F$3:F$635),10^9)+ROW(Data!F$3:F$635)/1000,ROWS(F$3:F113)),IFERROR(SEARCH(,Data!F$3:F$635),10^9)+ROW(Data!F$3:F$635)/1000,0))</f>
        <v/>
      </c>
      <c r="G113" s="111" t="str" cm="1">
        <f t="array" ref="G113">INDEX(Data!G$3:G$635,MATCH(SMALL(IFERROR(SEARCH(,Data!G$3:G$635),10^9)+ROW(Data!G$3:G$635)/1000,ROWS(G$3:G113)),IFERROR(SEARCH(,Data!G$3:G$635),10^9)+ROW(Data!G$3:G$635)/1000,0))</f>
        <v/>
      </c>
      <c r="H113" s="623" t="str" cm="1">
        <f t="array" ref="H113">INDEX(Data!I$3:I$635,MATCH(SMALL(IFERROR(SEARCH(,Data!I$3:I$635),10^9)+ROW(Data!I$3:I$635)/1000,ROWS(H$3:H113)),IFERROR(SEARCH(,Data!I$3:I$635),10^9)+ROW(Data!I$3:I$635)/1000,0))</f>
        <v/>
      </c>
      <c r="I113" s="882"/>
      <c r="J113" s="882"/>
    </row>
    <row r="114" spans="1:10" ht="45.75" customHeight="1" x14ac:dyDescent="0.35">
      <c r="A114" s="108" t="str">
        <f>IFERROR(INDEX(Data!A$3:A$635,MATCH(IF(B114="","END",B114),Data!$B$3:$B$635,0)),"")</f>
        <v/>
      </c>
      <c r="B114" s="108" t="str" cm="1">
        <f t="array" ref="B114">INDEX(Data!B$3:B$635,MATCH(SMALL(IFERROR(SEARCH(,Data!B$3:B$635),10^9)+ROW(Data!B$3:B$635)/1000,ROWS(B$3:B114)),IFERROR(SEARCH(,Data!B$3:B$635),10^9)+ROW(Data!B$3:B$635)/1000,0))</f>
        <v/>
      </c>
      <c r="C114" s="317" t="str" cm="1">
        <f t="array" ref="C114">INDEX(Data!C$3:C$635,MATCH(SMALL(IFERROR(SEARCH(,Data!C$3:C$635),10^9)+ROW(Data!C$3:C$635)/1000,ROWS(C$3:C114)),IFERROR(SEARCH(,Data!C$3:C$635),10^9)+ROW(Data!C$3:C$635)/1000,0))</f>
        <v/>
      </c>
      <c r="D114" s="111" t="str">
        <f t="shared" si="1"/>
        <v/>
      </c>
      <c r="E114" s="111" t="str" cm="1">
        <f t="array" ref="E114">INDEX(Data!E$3:E$635,MATCH(SMALL(IFERROR(SEARCH(,Data!E$3:E$635),10^9)+ROW(Data!E$3:E$635)/1000,ROWS(E$3:E114)),IFERROR(SEARCH(,Data!E$3:E$635),10^9)+ROW(Data!E$3:E$635)/1000,0))</f>
        <v/>
      </c>
      <c r="F114" s="111" t="str" cm="1">
        <f t="array" ref="F114">INDEX(Data!F$3:F$635,MATCH(SMALL(IFERROR(SEARCH(,Data!F$3:F$635),10^9)+ROW(Data!F$3:F$635)/1000,ROWS(F$3:F114)),IFERROR(SEARCH(,Data!F$3:F$635),10^9)+ROW(Data!F$3:F$635)/1000,0))</f>
        <v/>
      </c>
      <c r="G114" s="111" t="str" cm="1">
        <f t="array" ref="G114">INDEX(Data!G$3:G$635,MATCH(SMALL(IFERROR(SEARCH(,Data!G$3:G$635),10^9)+ROW(Data!G$3:G$635)/1000,ROWS(G$3:G114)),IFERROR(SEARCH(,Data!G$3:G$635),10^9)+ROW(Data!G$3:G$635)/1000,0))</f>
        <v/>
      </c>
      <c r="H114" s="623" t="str" cm="1">
        <f t="array" ref="H114">INDEX(Data!I$3:I$635,MATCH(SMALL(IFERROR(SEARCH(,Data!I$3:I$635),10^9)+ROW(Data!I$3:I$635)/1000,ROWS(H$3:H114)),IFERROR(SEARCH(,Data!I$3:I$635),10^9)+ROW(Data!I$3:I$635)/1000,0))</f>
        <v/>
      </c>
      <c r="I114" s="882"/>
      <c r="J114" s="882"/>
    </row>
    <row r="115" spans="1:10" ht="45.75" customHeight="1" x14ac:dyDescent="0.35">
      <c r="A115" s="108" t="str">
        <f>IFERROR(INDEX(Data!A$3:A$635,MATCH(IF(B115="","END",B115),Data!$B$3:$B$635,0)),"")</f>
        <v/>
      </c>
      <c r="B115" s="108" t="str" cm="1">
        <f t="array" ref="B115">INDEX(Data!B$3:B$635,MATCH(SMALL(IFERROR(SEARCH(,Data!B$3:B$635),10^9)+ROW(Data!B$3:B$635)/1000,ROWS(B$3:B115)),IFERROR(SEARCH(,Data!B$3:B$635),10^9)+ROW(Data!B$3:B$635)/1000,0))</f>
        <v/>
      </c>
      <c r="C115" s="317" t="str" cm="1">
        <f t="array" ref="C115">INDEX(Data!C$3:C$635,MATCH(SMALL(IFERROR(SEARCH(,Data!C$3:C$635),10^9)+ROW(Data!C$3:C$635)/1000,ROWS(C$3:C115)),IFERROR(SEARCH(,Data!C$3:C$635),10^9)+ROW(Data!C$3:C$635)/1000,0))</f>
        <v/>
      </c>
      <c r="D115" s="111" t="str">
        <f t="shared" si="1"/>
        <v/>
      </c>
      <c r="E115" s="111" t="str" cm="1">
        <f t="array" ref="E115">INDEX(Data!E$3:E$635,MATCH(SMALL(IFERROR(SEARCH(,Data!E$3:E$635),10^9)+ROW(Data!E$3:E$635)/1000,ROWS(E$3:E115)),IFERROR(SEARCH(,Data!E$3:E$635),10^9)+ROW(Data!E$3:E$635)/1000,0))</f>
        <v/>
      </c>
      <c r="F115" s="111" t="str" cm="1">
        <f t="array" ref="F115">INDEX(Data!F$3:F$635,MATCH(SMALL(IFERROR(SEARCH(,Data!F$3:F$635),10^9)+ROW(Data!F$3:F$635)/1000,ROWS(F$3:F115)),IFERROR(SEARCH(,Data!F$3:F$635),10^9)+ROW(Data!F$3:F$635)/1000,0))</f>
        <v/>
      </c>
      <c r="G115" s="111" t="str" cm="1">
        <f t="array" ref="G115">INDEX(Data!G$3:G$635,MATCH(SMALL(IFERROR(SEARCH(,Data!G$3:G$635),10^9)+ROW(Data!G$3:G$635)/1000,ROWS(G$3:G115)),IFERROR(SEARCH(,Data!G$3:G$635),10^9)+ROW(Data!G$3:G$635)/1000,0))</f>
        <v/>
      </c>
      <c r="H115" s="623" t="str" cm="1">
        <f t="array" ref="H115">INDEX(Data!I$3:I$635,MATCH(SMALL(IFERROR(SEARCH(,Data!I$3:I$635),10^9)+ROW(Data!I$3:I$635)/1000,ROWS(H$3:H115)),IFERROR(SEARCH(,Data!I$3:I$635),10^9)+ROW(Data!I$3:I$635)/1000,0))</f>
        <v/>
      </c>
      <c r="I115" s="882"/>
      <c r="J115" s="882"/>
    </row>
    <row r="116" spans="1:10" ht="45.75" customHeight="1" x14ac:dyDescent="0.35">
      <c r="A116" s="108" t="str">
        <f>IFERROR(INDEX(Data!A$3:A$635,MATCH(IF(B116="","END",B116),Data!$B$3:$B$635,0)),"")</f>
        <v/>
      </c>
      <c r="B116" s="108" t="str" cm="1">
        <f t="array" ref="B116">INDEX(Data!B$3:B$635,MATCH(SMALL(IFERROR(SEARCH(,Data!B$3:B$635),10^9)+ROW(Data!B$3:B$635)/1000,ROWS(B$3:B116)),IFERROR(SEARCH(,Data!B$3:B$635),10^9)+ROW(Data!B$3:B$635)/1000,0))</f>
        <v/>
      </c>
      <c r="C116" s="317" t="str" cm="1">
        <f t="array" ref="C116">INDEX(Data!C$3:C$635,MATCH(SMALL(IFERROR(SEARCH(,Data!C$3:C$635),10^9)+ROW(Data!C$3:C$635)/1000,ROWS(C$3:C116)),IFERROR(SEARCH(,Data!C$3:C$635),10^9)+ROW(Data!C$3:C$635)/1000,0))</f>
        <v/>
      </c>
      <c r="D116" s="111" t="str">
        <f t="shared" si="1"/>
        <v/>
      </c>
      <c r="E116" s="111" t="str" cm="1">
        <f t="array" ref="E116">INDEX(Data!E$3:E$635,MATCH(SMALL(IFERROR(SEARCH(,Data!E$3:E$635),10^9)+ROW(Data!E$3:E$635)/1000,ROWS(E$3:E116)),IFERROR(SEARCH(,Data!E$3:E$635),10^9)+ROW(Data!E$3:E$635)/1000,0))</f>
        <v/>
      </c>
      <c r="F116" s="111" t="str" cm="1">
        <f t="array" ref="F116">INDEX(Data!F$3:F$635,MATCH(SMALL(IFERROR(SEARCH(,Data!F$3:F$635),10^9)+ROW(Data!F$3:F$635)/1000,ROWS(F$3:F116)),IFERROR(SEARCH(,Data!F$3:F$635),10^9)+ROW(Data!F$3:F$635)/1000,0))</f>
        <v/>
      </c>
      <c r="G116" s="111" t="str" cm="1">
        <f t="array" ref="G116">INDEX(Data!G$3:G$635,MATCH(SMALL(IFERROR(SEARCH(,Data!G$3:G$635),10^9)+ROW(Data!G$3:G$635)/1000,ROWS(G$3:G116)),IFERROR(SEARCH(,Data!G$3:G$635),10^9)+ROW(Data!G$3:G$635)/1000,0))</f>
        <v/>
      </c>
      <c r="H116" s="623" t="str" cm="1">
        <f t="array" ref="H116">INDEX(Data!I$3:I$635,MATCH(SMALL(IFERROR(SEARCH(,Data!I$3:I$635),10^9)+ROW(Data!I$3:I$635)/1000,ROWS(H$3:H116)),IFERROR(SEARCH(,Data!I$3:I$635),10^9)+ROW(Data!I$3:I$635)/1000,0))</f>
        <v/>
      </c>
      <c r="I116" s="882"/>
      <c r="J116" s="882"/>
    </row>
    <row r="117" spans="1:10" ht="45.75" customHeight="1" x14ac:dyDescent="0.35">
      <c r="A117" s="108" t="str">
        <f>IFERROR(INDEX(Data!A$3:A$635,MATCH(IF(B117="","END",B117),Data!$B$3:$B$635,0)),"")</f>
        <v/>
      </c>
      <c r="B117" s="108" t="str" cm="1">
        <f t="array" ref="B117">INDEX(Data!B$3:B$635,MATCH(SMALL(IFERROR(SEARCH(,Data!B$3:B$635),10^9)+ROW(Data!B$3:B$635)/1000,ROWS(B$3:B117)),IFERROR(SEARCH(,Data!B$3:B$635),10^9)+ROW(Data!B$3:B$635)/1000,0))</f>
        <v/>
      </c>
      <c r="C117" s="317" t="str" cm="1">
        <f t="array" ref="C117">INDEX(Data!C$3:C$635,MATCH(SMALL(IFERROR(SEARCH(,Data!C$3:C$635),10^9)+ROW(Data!C$3:C$635)/1000,ROWS(C$3:C117)),IFERROR(SEARCH(,Data!C$3:C$635),10^9)+ROW(Data!C$3:C$635)/1000,0))</f>
        <v/>
      </c>
      <c r="D117" s="111" t="str">
        <f t="shared" si="1"/>
        <v/>
      </c>
      <c r="E117" s="111" t="str" cm="1">
        <f t="array" ref="E117">INDEX(Data!E$3:E$635,MATCH(SMALL(IFERROR(SEARCH(,Data!E$3:E$635),10^9)+ROW(Data!E$3:E$635)/1000,ROWS(E$3:E117)),IFERROR(SEARCH(,Data!E$3:E$635),10^9)+ROW(Data!E$3:E$635)/1000,0))</f>
        <v/>
      </c>
      <c r="F117" s="111" t="str" cm="1">
        <f t="array" ref="F117">INDEX(Data!F$3:F$635,MATCH(SMALL(IFERROR(SEARCH(,Data!F$3:F$635),10^9)+ROW(Data!F$3:F$635)/1000,ROWS(F$3:F117)),IFERROR(SEARCH(,Data!F$3:F$635),10^9)+ROW(Data!F$3:F$635)/1000,0))</f>
        <v/>
      </c>
      <c r="G117" s="111" t="str" cm="1">
        <f t="array" ref="G117">INDEX(Data!G$3:G$635,MATCH(SMALL(IFERROR(SEARCH(,Data!G$3:G$635),10^9)+ROW(Data!G$3:G$635)/1000,ROWS(G$3:G117)),IFERROR(SEARCH(,Data!G$3:G$635),10^9)+ROW(Data!G$3:G$635)/1000,0))</f>
        <v/>
      </c>
      <c r="H117" s="623" t="str" cm="1">
        <f t="array" ref="H117">INDEX(Data!I$3:I$635,MATCH(SMALL(IFERROR(SEARCH(,Data!I$3:I$635),10^9)+ROW(Data!I$3:I$635)/1000,ROWS(H$3:H117)),IFERROR(SEARCH(,Data!I$3:I$635),10^9)+ROW(Data!I$3:I$635)/1000,0))</f>
        <v/>
      </c>
      <c r="I117" s="882"/>
      <c r="J117" s="882"/>
    </row>
    <row r="118" spans="1:10" ht="45.75" customHeight="1" x14ac:dyDescent="0.35">
      <c r="A118" s="108" t="str">
        <f>IFERROR(INDEX(Data!A$3:A$635,MATCH(IF(B118="","END",B118),Data!$B$3:$B$635,0)),"")</f>
        <v/>
      </c>
      <c r="B118" s="108" t="str" cm="1">
        <f t="array" ref="B118">INDEX(Data!B$3:B$635,MATCH(SMALL(IFERROR(SEARCH(,Data!B$3:B$635),10^9)+ROW(Data!B$3:B$635)/1000,ROWS(B$3:B118)),IFERROR(SEARCH(,Data!B$3:B$635),10^9)+ROW(Data!B$3:B$635)/1000,0))</f>
        <v/>
      </c>
      <c r="C118" s="317" t="str" cm="1">
        <f t="array" ref="C118">INDEX(Data!C$3:C$635,MATCH(SMALL(IFERROR(SEARCH(,Data!C$3:C$635),10^9)+ROW(Data!C$3:C$635)/1000,ROWS(C$3:C118)),IFERROR(SEARCH(,Data!C$3:C$635),10^9)+ROW(Data!C$3:C$635)/1000,0))</f>
        <v/>
      </c>
      <c r="D118" s="111" t="str">
        <f t="shared" si="1"/>
        <v/>
      </c>
      <c r="E118" s="111" t="str" cm="1">
        <f t="array" ref="E118">INDEX(Data!E$3:E$635,MATCH(SMALL(IFERROR(SEARCH(,Data!E$3:E$635),10^9)+ROW(Data!E$3:E$635)/1000,ROWS(E$3:E118)),IFERROR(SEARCH(,Data!E$3:E$635),10^9)+ROW(Data!E$3:E$635)/1000,0))</f>
        <v/>
      </c>
      <c r="F118" s="111" t="str" cm="1">
        <f t="array" ref="F118">INDEX(Data!F$3:F$635,MATCH(SMALL(IFERROR(SEARCH(,Data!F$3:F$635),10^9)+ROW(Data!F$3:F$635)/1000,ROWS(F$3:F118)),IFERROR(SEARCH(,Data!F$3:F$635),10^9)+ROW(Data!F$3:F$635)/1000,0))</f>
        <v/>
      </c>
      <c r="G118" s="111" t="str" cm="1">
        <f t="array" ref="G118">INDEX(Data!G$3:G$635,MATCH(SMALL(IFERROR(SEARCH(,Data!G$3:G$635),10^9)+ROW(Data!G$3:G$635)/1000,ROWS(G$3:G118)),IFERROR(SEARCH(,Data!G$3:G$635),10^9)+ROW(Data!G$3:G$635)/1000,0))</f>
        <v/>
      </c>
      <c r="H118" s="623" t="str" cm="1">
        <f t="array" ref="H118">INDEX(Data!I$3:I$635,MATCH(SMALL(IFERROR(SEARCH(,Data!I$3:I$635),10^9)+ROW(Data!I$3:I$635)/1000,ROWS(H$3:H118)),IFERROR(SEARCH(,Data!I$3:I$635),10^9)+ROW(Data!I$3:I$635)/1000,0))</f>
        <v/>
      </c>
      <c r="I118" s="882"/>
      <c r="J118" s="882"/>
    </row>
    <row r="119" spans="1:10" ht="45.75" customHeight="1" x14ac:dyDescent="0.35">
      <c r="A119" s="108" t="str">
        <f>IFERROR(INDEX(Data!A$3:A$635,MATCH(IF(B119="","END",B119),Data!$B$3:$B$635,0)),"")</f>
        <v/>
      </c>
      <c r="B119" s="108" t="str" cm="1">
        <f t="array" ref="B119">INDEX(Data!B$3:B$635,MATCH(SMALL(IFERROR(SEARCH(,Data!B$3:B$635),10^9)+ROW(Data!B$3:B$635)/1000,ROWS(B$3:B119)),IFERROR(SEARCH(,Data!B$3:B$635),10^9)+ROW(Data!B$3:B$635)/1000,0))</f>
        <v/>
      </c>
      <c r="C119" s="317" t="str" cm="1">
        <f t="array" ref="C119">INDEX(Data!C$3:C$635,MATCH(SMALL(IFERROR(SEARCH(,Data!C$3:C$635),10^9)+ROW(Data!C$3:C$635)/1000,ROWS(C$3:C119)),IFERROR(SEARCH(,Data!C$3:C$635),10^9)+ROW(Data!C$3:C$635)/1000,0))</f>
        <v/>
      </c>
      <c r="D119" s="111" t="str">
        <f t="shared" si="1"/>
        <v/>
      </c>
      <c r="E119" s="111" t="str" cm="1">
        <f t="array" ref="E119">INDEX(Data!E$3:E$635,MATCH(SMALL(IFERROR(SEARCH(,Data!E$3:E$635),10^9)+ROW(Data!E$3:E$635)/1000,ROWS(E$3:E119)),IFERROR(SEARCH(,Data!E$3:E$635),10^9)+ROW(Data!E$3:E$635)/1000,0))</f>
        <v/>
      </c>
      <c r="F119" s="111" t="str" cm="1">
        <f t="array" ref="F119">INDEX(Data!F$3:F$635,MATCH(SMALL(IFERROR(SEARCH(,Data!F$3:F$635),10^9)+ROW(Data!F$3:F$635)/1000,ROWS(F$3:F119)),IFERROR(SEARCH(,Data!F$3:F$635),10^9)+ROW(Data!F$3:F$635)/1000,0))</f>
        <v/>
      </c>
      <c r="G119" s="111" t="str" cm="1">
        <f t="array" ref="G119">INDEX(Data!G$3:G$635,MATCH(SMALL(IFERROR(SEARCH(,Data!G$3:G$635),10^9)+ROW(Data!G$3:G$635)/1000,ROWS(G$3:G119)),IFERROR(SEARCH(,Data!G$3:G$635),10^9)+ROW(Data!G$3:G$635)/1000,0))</f>
        <v/>
      </c>
      <c r="H119" s="623" t="str" cm="1">
        <f t="array" ref="H119">INDEX(Data!I$3:I$635,MATCH(SMALL(IFERROR(SEARCH(,Data!I$3:I$635),10^9)+ROW(Data!I$3:I$635)/1000,ROWS(H$3:H119)),IFERROR(SEARCH(,Data!I$3:I$635),10^9)+ROW(Data!I$3:I$635)/1000,0))</f>
        <v/>
      </c>
      <c r="I119" s="882"/>
      <c r="J119" s="882"/>
    </row>
    <row r="120" spans="1:10" ht="45.75" customHeight="1" x14ac:dyDescent="0.35">
      <c r="A120" s="108" t="str">
        <f>IFERROR(INDEX(Data!A$3:A$635,MATCH(IF(B120="","END",B120),Data!$B$3:$B$635,0)),"")</f>
        <v/>
      </c>
      <c r="B120" s="108" t="str" cm="1">
        <f t="array" ref="B120">INDEX(Data!B$3:B$635,MATCH(SMALL(IFERROR(SEARCH(,Data!B$3:B$635),10^9)+ROW(Data!B$3:B$635)/1000,ROWS(B$3:B120)),IFERROR(SEARCH(,Data!B$3:B$635),10^9)+ROW(Data!B$3:B$635)/1000,0))</f>
        <v/>
      </c>
      <c r="C120" s="317" t="str" cm="1">
        <f t="array" ref="C120">INDEX(Data!C$3:C$635,MATCH(SMALL(IFERROR(SEARCH(,Data!C$3:C$635),10^9)+ROW(Data!C$3:C$635)/1000,ROWS(C$3:C120)),IFERROR(SEARCH(,Data!C$3:C$635),10^9)+ROW(Data!C$3:C$635)/1000,0))</f>
        <v/>
      </c>
      <c r="D120" s="111" t="str">
        <f t="shared" si="1"/>
        <v/>
      </c>
      <c r="E120" s="111" t="str" cm="1">
        <f t="array" ref="E120">INDEX(Data!E$3:E$635,MATCH(SMALL(IFERROR(SEARCH(,Data!E$3:E$635),10^9)+ROW(Data!E$3:E$635)/1000,ROWS(E$3:E120)),IFERROR(SEARCH(,Data!E$3:E$635),10^9)+ROW(Data!E$3:E$635)/1000,0))</f>
        <v/>
      </c>
      <c r="F120" s="111" t="str" cm="1">
        <f t="array" ref="F120">INDEX(Data!F$3:F$635,MATCH(SMALL(IFERROR(SEARCH(,Data!F$3:F$635),10^9)+ROW(Data!F$3:F$635)/1000,ROWS(F$3:F120)),IFERROR(SEARCH(,Data!F$3:F$635),10^9)+ROW(Data!F$3:F$635)/1000,0))</f>
        <v/>
      </c>
      <c r="G120" s="111" t="str" cm="1">
        <f t="array" ref="G120">INDEX(Data!G$3:G$635,MATCH(SMALL(IFERROR(SEARCH(,Data!G$3:G$635),10^9)+ROW(Data!G$3:G$635)/1000,ROWS(G$3:G120)),IFERROR(SEARCH(,Data!G$3:G$635),10^9)+ROW(Data!G$3:G$635)/1000,0))</f>
        <v/>
      </c>
      <c r="H120" s="623" t="str" cm="1">
        <f t="array" ref="H120">INDEX(Data!I$3:I$635,MATCH(SMALL(IFERROR(SEARCH(,Data!I$3:I$635),10^9)+ROW(Data!I$3:I$635)/1000,ROWS(H$3:H120)),IFERROR(SEARCH(,Data!I$3:I$635),10^9)+ROW(Data!I$3:I$635)/1000,0))</f>
        <v/>
      </c>
      <c r="I120" s="882"/>
      <c r="J120" s="882"/>
    </row>
    <row r="121" spans="1:10" ht="45.75" customHeight="1" x14ac:dyDescent="0.35">
      <c r="A121" s="108" t="str">
        <f>IFERROR(INDEX(Data!A$3:A$635,MATCH(IF(B121="","END",B121),Data!$B$3:$B$635,0)),"")</f>
        <v/>
      </c>
      <c r="B121" s="108" t="str" cm="1">
        <f t="array" ref="B121">INDEX(Data!B$3:B$635,MATCH(SMALL(IFERROR(SEARCH(,Data!B$3:B$635),10^9)+ROW(Data!B$3:B$635)/1000,ROWS(B$3:B121)),IFERROR(SEARCH(,Data!B$3:B$635),10^9)+ROW(Data!B$3:B$635)/1000,0))</f>
        <v/>
      </c>
      <c r="C121" s="317" t="str" cm="1">
        <f t="array" ref="C121">INDEX(Data!C$3:C$635,MATCH(SMALL(IFERROR(SEARCH(,Data!C$3:C$635),10^9)+ROW(Data!C$3:C$635)/1000,ROWS(C$3:C121)),IFERROR(SEARCH(,Data!C$3:C$635),10^9)+ROW(Data!C$3:C$635)/1000,0))</f>
        <v/>
      </c>
      <c r="D121" s="111" t="str">
        <f t="shared" si="1"/>
        <v/>
      </c>
      <c r="E121" s="111" t="str" cm="1">
        <f t="array" ref="E121">INDEX(Data!E$3:E$635,MATCH(SMALL(IFERROR(SEARCH(,Data!E$3:E$635),10^9)+ROW(Data!E$3:E$635)/1000,ROWS(E$3:E121)),IFERROR(SEARCH(,Data!E$3:E$635),10^9)+ROW(Data!E$3:E$635)/1000,0))</f>
        <v/>
      </c>
      <c r="F121" s="111" t="str" cm="1">
        <f t="array" ref="F121">INDEX(Data!F$3:F$635,MATCH(SMALL(IFERROR(SEARCH(,Data!F$3:F$635),10^9)+ROW(Data!F$3:F$635)/1000,ROWS(F$3:F121)),IFERROR(SEARCH(,Data!F$3:F$635),10^9)+ROW(Data!F$3:F$635)/1000,0))</f>
        <v/>
      </c>
      <c r="G121" s="111" t="str" cm="1">
        <f t="array" ref="G121">INDEX(Data!G$3:G$635,MATCH(SMALL(IFERROR(SEARCH(,Data!G$3:G$635),10^9)+ROW(Data!G$3:G$635)/1000,ROWS(G$3:G121)),IFERROR(SEARCH(,Data!G$3:G$635),10^9)+ROW(Data!G$3:G$635)/1000,0))</f>
        <v/>
      </c>
      <c r="H121" s="623" t="str" cm="1">
        <f t="array" ref="H121">INDEX(Data!I$3:I$635,MATCH(SMALL(IFERROR(SEARCH(,Data!I$3:I$635),10^9)+ROW(Data!I$3:I$635)/1000,ROWS(H$3:H121)),IFERROR(SEARCH(,Data!I$3:I$635),10^9)+ROW(Data!I$3:I$635)/1000,0))</f>
        <v/>
      </c>
      <c r="I121" s="882"/>
      <c r="J121" s="882"/>
    </row>
    <row r="122" spans="1:10" ht="45.75" customHeight="1" x14ac:dyDescent="0.35">
      <c r="A122" s="108" t="str">
        <f>IFERROR(INDEX(Data!A$3:A$635,MATCH(IF(B122="","END",B122),Data!$B$3:$B$635,0)),"")</f>
        <v/>
      </c>
      <c r="B122" s="108" t="str" cm="1">
        <f t="array" ref="B122">INDEX(Data!B$3:B$635,MATCH(SMALL(IFERROR(SEARCH(,Data!B$3:B$635),10^9)+ROW(Data!B$3:B$635)/1000,ROWS(B$3:B122)),IFERROR(SEARCH(,Data!B$3:B$635),10^9)+ROW(Data!B$3:B$635)/1000,0))</f>
        <v/>
      </c>
      <c r="C122" s="317" t="str" cm="1">
        <f t="array" ref="C122">INDEX(Data!C$3:C$635,MATCH(SMALL(IFERROR(SEARCH(,Data!C$3:C$635),10^9)+ROW(Data!C$3:C$635)/1000,ROWS(C$3:C122)),IFERROR(SEARCH(,Data!C$3:C$635),10^9)+ROW(Data!C$3:C$635)/1000,0))</f>
        <v/>
      </c>
      <c r="D122" s="111" t="str">
        <f t="shared" si="1"/>
        <v/>
      </c>
      <c r="E122" s="111" t="str" cm="1">
        <f t="array" ref="E122">INDEX(Data!E$3:E$635,MATCH(SMALL(IFERROR(SEARCH(,Data!E$3:E$635),10^9)+ROW(Data!E$3:E$635)/1000,ROWS(E$3:E122)),IFERROR(SEARCH(,Data!E$3:E$635),10^9)+ROW(Data!E$3:E$635)/1000,0))</f>
        <v/>
      </c>
      <c r="F122" s="111" t="str" cm="1">
        <f t="array" ref="F122">INDEX(Data!F$3:F$635,MATCH(SMALL(IFERROR(SEARCH(,Data!F$3:F$635),10^9)+ROW(Data!F$3:F$635)/1000,ROWS(F$3:F122)),IFERROR(SEARCH(,Data!F$3:F$635),10^9)+ROW(Data!F$3:F$635)/1000,0))</f>
        <v/>
      </c>
      <c r="G122" s="111" t="str" cm="1">
        <f t="array" ref="G122">INDEX(Data!G$3:G$635,MATCH(SMALL(IFERROR(SEARCH(,Data!G$3:G$635),10^9)+ROW(Data!G$3:G$635)/1000,ROWS(G$3:G122)),IFERROR(SEARCH(,Data!G$3:G$635),10^9)+ROW(Data!G$3:G$635)/1000,0))</f>
        <v/>
      </c>
      <c r="H122" s="623" t="str" cm="1">
        <f t="array" ref="H122">INDEX(Data!I$3:I$635,MATCH(SMALL(IFERROR(SEARCH(,Data!I$3:I$635),10^9)+ROW(Data!I$3:I$635)/1000,ROWS(H$3:H122)),IFERROR(SEARCH(,Data!I$3:I$635),10^9)+ROW(Data!I$3:I$635)/1000,0))</f>
        <v/>
      </c>
      <c r="I122" s="882"/>
      <c r="J122" s="882"/>
    </row>
    <row r="123" spans="1:10" ht="45.75" customHeight="1" x14ac:dyDescent="0.35">
      <c r="A123" s="108" t="str">
        <f>IFERROR(INDEX(Data!A$3:A$635,MATCH(IF(B123="","END",B123),Data!$B$3:$B$635,0)),"")</f>
        <v/>
      </c>
      <c r="B123" s="108" t="str" cm="1">
        <f t="array" ref="B123">INDEX(Data!B$3:B$635,MATCH(SMALL(IFERROR(SEARCH(,Data!B$3:B$635),10^9)+ROW(Data!B$3:B$635)/1000,ROWS(B$3:B123)),IFERROR(SEARCH(,Data!B$3:B$635),10^9)+ROW(Data!B$3:B$635)/1000,0))</f>
        <v/>
      </c>
      <c r="C123" s="317" t="str" cm="1">
        <f t="array" ref="C123">INDEX(Data!C$3:C$635,MATCH(SMALL(IFERROR(SEARCH(,Data!C$3:C$635),10^9)+ROW(Data!C$3:C$635)/1000,ROWS(C$3:C123)),IFERROR(SEARCH(,Data!C$3:C$635),10^9)+ROW(Data!C$3:C$635)/1000,0))</f>
        <v/>
      </c>
      <c r="D123" s="111" t="str">
        <f t="shared" si="1"/>
        <v/>
      </c>
      <c r="E123" s="111" t="str" cm="1">
        <f t="array" ref="E123">INDEX(Data!E$3:E$635,MATCH(SMALL(IFERROR(SEARCH(,Data!E$3:E$635),10^9)+ROW(Data!E$3:E$635)/1000,ROWS(E$3:E123)),IFERROR(SEARCH(,Data!E$3:E$635),10^9)+ROW(Data!E$3:E$635)/1000,0))</f>
        <v/>
      </c>
      <c r="F123" s="111" t="str" cm="1">
        <f t="array" ref="F123">INDEX(Data!F$3:F$635,MATCH(SMALL(IFERROR(SEARCH(,Data!F$3:F$635),10^9)+ROW(Data!F$3:F$635)/1000,ROWS(F$3:F123)),IFERROR(SEARCH(,Data!F$3:F$635),10^9)+ROW(Data!F$3:F$635)/1000,0))</f>
        <v/>
      </c>
      <c r="G123" s="111" t="str" cm="1">
        <f t="array" ref="G123">INDEX(Data!G$3:G$635,MATCH(SMALL(IFERROR(SEARCH(,Data!G$3:G$635),10^9)+ROW(Data!G$3:G$635)/1000,ROWS(G$3:G123)),IFERROR(SEARCH(,Data!G$3:G$635),10^9)+ROW(Data!G$3:G$635)/1000,0))</f>
        <v/>
      </c>
      <c r="H123" s="623" t="str" cm="1">
        <f t="array" ref="H123">INDEX(Data!I$3:I$635,MATCH(SMALL(IFERROR(SEARCH(,Data!I$3:I$635),10^9)+ROW(Data!I$3:I$635)/1000,ROWS(H$3:H123)),IFERROR(SEARCH(,Data!I$3:I$635),10^9)+ROW(Data!I$3:I$635)/1000,0))</f>
        <v/>
      </c>
      <c r="I123" s="882"/>
      <c r="J123" s="882"/>
    </row>
    <row r="124" spans="1:10" ht="45.75" customHeight="1" x14ac:dyDescent="0.35">
      <c r="A124" s="108" t="str">
        <f>IFERROR(INDEX(Data!A$3:A$635,MATCH(IF(B124="","END",B124),Data!$B$3:$B$635,0)),"")</f>
        <v/>
      </c>
      <c r="B124" s="108" t="str" cm="1">
        <f t="array" ref="B124">INDEX(Data!B$3:B$635,MATCH(SMALL(IFERROR(SEARCH(,Data!B$3:B$635),10^9)+ROW(Data!B$3:B$635)/1000,ROWS(B$3:B124)),IFERROR(SEARCH(,Data!B$3:B$635),10^9)+ROW(Data!B$3:B$635)/1000,0))</f>
        <v/>
      </c>
      <c r="C124" s="317" t="str" cm="1">
        <f t="array" ref="C124">INDEX(Data!C$3:C$635,MATCH(SMALL(IFERROR(SEARCH(,Data!C$3:C$635),10^9)+ROW(Data!C$3:C$635)/1000,ROWS(C$3:C124)),IFERROR(SEARCH(,Data!C$3:C$635),10^9)+ROW(Data!C$3:C$635)/1000,0))</f>
        <v/>
      </c>
      <c r="D124" s="111" t="str">
        <f t="shared" si="1"/>
        <v/>
      </c>
      <c r="E124" s="111" t="str" cm="1">
        <f t="array" ref="E124">INDEX(Data!E$3:E$635,MATCH(SMALL(IFERROR(SEARCH(,Data!E$3:E$635),10^9)+ROW(Data!E$3:E$635)/1000,ROWS(E$3:E124)),IFERROR(SEARCH(,Data!E$3:E$635),10^9)+ROW(Data!E$3:E$635)/1000,0))</f>
        <v/>
      </c>
      <c r="F124" s="111" t="str" cm="1">
        <f t="array" ref="F124">INDEX(Data!F$3:F$635,MATCH(SMALL(IFERROR(SEARCH(,Data!F$3:F$635),10^9)+ROW(Data!F$3:F$635)/1000,ROWS(F$3:F124)),IFERROR(SEARCH(,Data!F$3:F$635),10^9)+ROW(Data!F$3:F$635)/1000,0))</f>
        <v/>
      </c>
      <c r="G124" s="111" t="str" cm="1">
        <f t="array" ref="G124">INDEX(Data!G$3:G$635,MATCH(SMALL(IFERROR(SEARCH(,Data!G$3:G$635),10^9)+ROW(Data!G$3:G$635)/1000,ROWS(G$3:G124)),IFERROR(SEARCH(,Data!G$3:G$635),10^9)+ROW(Data!G$3:G$635)/1000,0))</f>
        <v/>
      </c>
      <c r="H124" s="623" t="str" cm="1">
        <f t="array" ref="H124">INDEX(Data!I$3:I$635,MATCH(SMALL(IFERROR(SEARCH(,Data!I$3:I$635),10^9)+ROW(Data!I$3:I$635)/1000,ROWS(H$3:H124)),IFERROR(SEARCH(,Data!I$3:I$635),10^9)+ROW(Data!I$3:I$635)/1000,0))</f>
        <v/>
      </c>
      <c r="I124" s="882"/>
      <c r="J124" s="882"/>
    </row>
    <row r="125" spans="1:10" ht="45.75" customHeight="1" x14ac:dyDescent="0.35">
      <c r="A125" s="108" t="str">
        <f>IFERROR(INDEX(Data!A$3:A$635,MATCH(IF(B125="","END",B125),Data!$B$3:$B$635,0)),"")</f>
        <v/>
      </c>
      <c r="B125" s="108" t="str" cm="1">
        <f t="array" ref="B125">INDEX(Data!B$3:B$635,MATCH(SMALL(IFERROR(SEARCH(,Data!B$3:B$635),10^9)+ROW(Data!B$3:B$635)/1000,ROWS(B$3:B125)),IFERROR(SEARCH(,Data!B$3:B$635),10^9)+ROW(Data!B$3:B$635)/1000,0))</f>
        <v/>
      </c>
      <c r="C125" s="317" t="str" cm="1">
        <f t="array" ref="C125">INDEX(Data!C$3:C$635,MATCH(SMALL(IFERROR(SEARCH(,Data!C$3:C$635),10^9)+ROW(Data!C$3:C$635)/1000,ROWS(C$3:C125)),IFERROR(SEARCH(,Data!C$3:C$635),10^9)+ROW(Data!C$3:C$635)/1000,0))</f>
        <v/>
      </c>
      <c r="D125" s="111" t="str">
        <f t="shared" si="1"/>
        <v/>
      </c>
      <c r="E125" s="111" t="str" cm="1">
        <f t="array" ref="E125">INDEX(Data!E$3:E$635,MATCH(SMALL(IFERROR(SEARCH(,Data!E$3:E$635),10^9)+ROW(Data!E$3:E$635)/1000,ROWS(E$3:E125)),IFERROR(SEARCH(,Data!E$3:E$635),10^9)+ROW(Data!E$3:E$635)/1000,0))</f>
        <v/>
      </c>
      <c r="F125" s="111" t="str" cm="1">
        <f t="array" ref="F125">INDEX(Data!F$3:F$635,MATCH(SMALL(IFERROR(SEARCH(,Data!F$3:F$635),10^9)+ROW(Data!F$3:F$635)/1000,ROWS(F$3:F125)),IFERROR(SEARCH(,Data!F$3:F$635),10^9)+ROW(Data!F$3:F$635)/1000,0))</f>
        <v/>
      </c>
      <c r="G125" s="111" t="str" cm="1">
        <f t="array" ref="G125">INDEX(Data!G$3:G$635,MATCH(SMALL(IFERROR(SEARCH(,Data!G$3:G$635),10^9)+ROW(Data!G$3:G$635)/1000,ROWS(G$3:G125)),IFERROR(SEARCH(,Data!G$3:G$635),10^9)+ROW(Data!G$3:G$635)/1000,0))</f>
        <v/>
      </c>
      <c r="H125" s="623" t="str" cm="1">
        <f t="array" ref="H125">INDEX(Data!I$3:I$635,MATCH(SMALL(IFERROR(SEARCH(,Data!I$3:I$635),10^9)+ROW(Data!I$3:I$635)/1000,ROWS(H$3:H125)),IFERROR(SEARCH(,Data!I$3:I$635),10^9)+ROW(Data!I$3:I$635)/1000,0))</f>
        <v/>
      </c>
      <c r="I125" s="882"/>
      <c r="J125" s="882"/>
    </row>
    <row r="126" spans="1:10" ht="45.75" customHeight="1" x14ac:dyDescent="0.35">
      <c r="A126" s="108" t="str">
        <f>IFERROR(INDEX(Data!A$3:A$635,MATCH(IF(B126="","END",B126),Data!$B$3:$B$635,0)),"")</f>
        <v/>
      </c>
      <c r="B126" s="108" t="str" cm="1">
        <f t="array" ref="B126">INDEX(Data!B$3:B$635,MATCH(SMALL(IFERROR(SEARCH(,Data!B$3:B$635),10^9)+ROW(Data!B$3:B$635)/1000,ROWS(B$3:B126)),IFERROR(SEARCH(,Data!B$3:B$635),10^9)+ROW(Data!B$3:B$635)/1000,0))</f>
        <v/>
      </c>
      <c r="C126" s="317" t="str" cm="1">
        <f t="array" ref="C126">INDEX(Data!C$3:C$635,MATCH(SMALL(IFERROR(SEARCH(,Data!C$3:C$635),10^9)+ROW(Data!C$3:C$635)/1000,ROWS(C$3:C126)),IFERROR(SEARCH(,Data!C$3:C$635),10^9)+ROW(Data!C$3:C$635)/1000,0))</f>
        <v/>
      </c>
      <c r="D126" s="111" t="str">
        <f t="shared" si="1"/>
        <v/>
      </c>
      <c r="E126" s="111" t="str" cm="1">
        <f t="array" ref="E126">INDEX(Data!E$3:E$635,MATCH(SMALL(IFERROR(SEARCH(,Data!E$3:E$635),10^9)+ROW(Data!E$3:E$635)/1000,ROWS(E$3:E126)),IFERROR(SEARCH(,Data!E$3:E$635),10^9)+ROW(Data!E$3:E$635)/1000,0))</f>
        <v/>
      </c>
      <c r="F126" s="111" t="str" cm="1">
        <f t="array" ref="F126">INDEX(Data!F$3:F$635,MATCH(SMALL(IFERROR(SEARCH(,Data!F$3:F$635),10^9)+ROW(Data!F$3:F$635)/1000,ROWS(F$3:F126)),IFERROR(SEARCH(,Data!F$3:F$635),10^9)+ROW(Data!F$3:F$635)/1000,0))</f>
        <v/>
      </c>
      <c r="G126" s="111" t="str" cm="1">
        <f t="array" ref="G126">INDEX(Data!G$3:G$635,MATCH(SMALL(IFERROR(SEARCH(,Data!G$3:G$635),10^9)+ROW(Data!G$3:G$635)/1000,ROWS(G$3:G126)),IFERROR(SEARCH(,Data!G$3:G$635),10^9)+ROW(Data!G$3:G$635)/1000,0))</f>
        <v/>
      </c>
      <c r="H126" s="623" t="str" cm="1">
        <f t="array" ref="H126">INDEX(Data!I$3:I$635,MATCH(SMALL(IFERROR(SEARCH(,Data!I$3:I$635),10^9)+ROW(Data!I$3:I$635)/1000,ROWS(H$3:H126)),IFERROR(SEARCH(,Data!I$3:I$635),10^9)+ROW(Data!I$3:I$635)/1000,0))</f>
        <v/>
      </c>
      <c r="I126" s="882"/>
      <c r="J126" s="882"/>
    </row>
    <row r="127" spans="1:10" ht="45.75" customHeight="1" x14ac:dyDescent="0.35">
      <c r="A127" s="108" t="str">
        <f>IFERROR(INDEX(Data!A$3:A$635,MATCH(IF(B127="","END",B127),Data!$B$3:$B$635,0)),"")</f>
        <v/>
      </c>
      <c r="B127" s="108" t="str" cm="1">
        <f t="array" ref="B127">INDEX(Data!B$3:B$635,MATCH(SMALL(IFERROR(SEARCH(,Data!B$3:B$635),10^9)+ROW(Data!B$3:B$635)/1000,ROWS(B$3:B127)),IFERROR(SEARCH(,Data!B$3:B$635),10^9)+ROW(Data!B$3:B$635)/1000,0))</f>
        <v/>
      </c>
      <c r="C127" s="317" t="str" cm="1">
        <f t="array" ref="C127">INDEX(Data!C$3:C$635,MATCH(SMALL(IFERROR(SEARCH(,Data!C$3:C$635),10^9)+ROW(Data!C$3:C$635)/1000,ROWS(C$3:C127)),IFERROR(SEARCH(,Data!C$3:C$635),10^9)+ROW(Data!C$3:C$635)/1000,0))</f>
        <v/>
      </c>
      <c r="D127" s="111" t="str">
        <f t="shared" si="1"/>
        <v/>
      </c>
      <c r="E127" s="111" t="str" cm="1">
        <f t="array" ref="E127">INDEX(Data!E$3:E$635,MATCH(SMALL(IFERROR(SEARCH(,Data!E$3:E$635),10^9)+ROW(Data!E$3:E$635)/1000,ROWS(E$3:E127)),IFERROR(SEARCH(,Data!E$3:E$635),10^9)+ROW(Data!E$3:E$635)/1000,0))</f>
        <v/>
      </c>
      <c r="F127" s="111" t="str" cm="1">
        <f t="array" ref="F127">INDEX(Data!F$3:F$635,MATCH(SMALL(IFERROR(SEARCH(,Data!F$3:F$635),10^9)+ROW(Data!F$3:F$635)/1000,ROWS(F$3:F127)),IFERROR(SEARCH(,Data!F$3:F$635),10^9)+ROW(Data!F$3:F$635)/1000,0))</f>
        <v/>
      </c>
      <c r="G127" s="111" t="str" cm="1">
        <f t="array" ref="G127">INDEX(Data!G$3:G$635,MATCH(SMALL(IFERROR(SEARCH(,Data!G$3:G$635),10^9)+ROW(Data!G$3:G$635)/1000,ROWS(G$3:G127)),IFERROR(SEARCH(,Data!G$3:G$635),10^9)+ROW(Data!G$3:G$635)/1000,0))</f>
        <v/>
      </c>
      <c r="H127" s="623" t="str" cm="1">
        <f t="array" ref="H127">INDEX(Data!I$3:I$635,MATCH(SMALL(IFERROR(SEARCH(,Data!I$3:I$635),10^9)+ROW(Data!I$3:I$635)/1000,ROWS(H$3:H127)),IFERROR(SEARCH(,Data!I$3:I$635),10^9)+ROW(Data!I$3:I$635)/1000,0))</f>
        <v/>
      </c>
      <c r="I127" s="882"/>
      <c r="J127" s="882"/>
    </row>
    <row r="128" spans="1:10" ht="45.75" customHeight="1" x14ac:dyDescent="0.35">
      <c r="A128" s="108" t="str">
        <f>IFERROR(INDEX(Data!A$3:A$635,MATCH(IF(B128="","END",B128),Data!$B$3:$B$635,0)),"")</f>
        <v/>
      </c>
      <c r="B128" s="108" t="str" cm="1">
        <f t="array" ref="B128">INDEX(Data!B$3:B$635,MATCH(SMALL(IFERROR(SEARCH(,Data!B$3:B$635),10^9)+ROW(Data!B$3:B$635)/1000,ROWS(B$3:B128)),IFERROR(SEARCH(,Data!B$3:B$635),10^9)+ROW(Data!B$3:B$635)/1000,0))</f>
        <v/>
      </c>
      <c r="C128" s="317" t="str" cm="1">
        <f t="array" ref="C128">INDEX(Data!C$3:C$635,MATCH(SMALL(IFERROR(SEARCH(,Data!C$3:C$635),10^9)+ROW(Data!C$3:C$635)/1000,ROWS(C$3:C128)),IFERROR(SEARCH(,Data!C$3:C$635),10^9)+ROW(Data!C$3:C$635)/1000,0))</f>
        <v/>
      </c>
      <c r="D128" s="111" t="str">
        <f t="shared" si="1"/>
        <v/>
      </c>
      <c r="E128" s="111" t="str" cm="1">
        <f t="array" ref="E128">INDEX(Data!E$3:E$635,MATCH(SMALL(IFERROR(SEARCH(,Data!E$3:E$635),10^9)+ROW(Data!E$3:E$635)/1000,ROWS(E$3:E128)),IFERROR(SEARCH(,Data!E$3:E$635),10^9)+ROW(Data!E$3:E$635)/1000,0))</f>
        <v/>
      </c>
      <c r="F128" s="111" t="str" cm="1">
        <f t="array" ref="F128">INDEX(Data!F$3:F$635,MATCH(SMALL(IFERROR(SEARCH(,Data!F$3:F$635),10^9)+ROW(Data!F$3:F$635)/1000,ROWS(F$3:F128)),IFERROR(SEARCH(,Data!F$3:F$635),10^9)+ROW(Data!F$3:F$635)/1000,0))</f>
        <v/>
      </c>
      <c r="G128" s="111" t="str" cm="1">
        <f t="array" ref="G128">INDEX(Data!G$3:G$635,MATCH(SMALL(IFERROR(SEARCH(,Data!G$3:G$635),10^9)+ROW(Data!G$3:G$635)/1000,ROWS(G$3:G128)),IFERROR(SEARCH(,Data!G$3:G$635),10^9)+ROW(Data!G$3:G$635)/1000,0))</f>
        <v/>
      </c>
      <c r="H128" s="623" t="str" cm="1">
        <f t="array" ref="H128">INDEX(Data!I$3:I$635,MATCH(SMALL(IFERROR(SEARCH(,Data!I$3:I$635),10^9)+ROW(Data!I$3:I$635)/1000,ROWS(H$3:H128)),IFERROR(SEARCH(,Data!I$3:I$635),10^9)+ROW(Data!I$3:I$635)/1000,0))</f>
        <v/>
      </c>
      <c r="I128" s="882"/>
      <c r="J128" s="882"/>
    </row>
    <row r="129" spans="1:10" ht="45.75" customHeight="1" x14ac:dyDescent="0.35">
      <c r="A129" s="108" t="str">
        <f>IFERROR(INDEX(Data!A$3:A$635,MATCH(IF(B129="","END",B129),Data!$B$3:$B$635,0)),"")</f>
        <v/>
      </c>
      <c r="B129" s="108" t="str" cm="1">
        <f t="array" ref="B129">INDEX(Data!B$3:B$635,MATCH(SMALL(IFERROR(SEARCH(,Data!B$3:B$635),10^9)+ROW(Data!B$3:B$635)/1000,ROWS(B$3:B129)),IFERROR(SEARCH(,Data!B$3:B$635),10^9)+ROW(Data!B$3:B$635)/1000,0))</f>
        <v/>
      </c>
      <c r="C129" s="317" t="str" cm="1">
        <f t="array" ref="C129">INDEX(Data!C$3:C$635,MATCH(SMALL(IFERROR(SEARCH(,Data!C$3:C$635),10^9)+ROW(Data!C$3:C$635)/1000,ROWS(C$3:C129)),IFERROR(SEARCH(,Data!C$3:C$635),10^9)+ROW(Data!C$3:C$635)/1000,0))</f>
        <v/>
      </c>
      <c r="D129" s="111" t="str">
        <f t="shared" si="1"/>
        <v/>
      </c>
      <c r="E129" s="111" t="str" cm="1">
        <f t="array" ref="E129">INDEX(Data!E$3:E$635,MATCH(SMALL(IFERROR(SEARCH(,Data!E$3:E$635),10^9)+ROW(Data!E$3:E$635)/1000,ROWS(E$3:E129)),IFERROR(SEARCH(,Data!E$3:E$635),10^9)+ROW(Data!E$3:E$635)/1000,0))</f>
        <v/>
      </c>
      <c r="F129" s="111" t="str" cm="1">
        <f t="array" ref="F129">INDEX(Data!F$3:F$635,MATCH(SMALL(IFERROR(SEARCH(,Data!F$3:F$635),10^9)+ROW(Data!F$3:F$635)/1000,ROWS(F$3:F129)),IFERROR(SEARCH(,Data!F$3:F$635),10^9)+ROW(Data!F$3:F$635)/1000,0))</f>
        <v/>
      </c>
      <c r="G129" s="111" t="str" cm="1">
        <f t="array" ref="G129">INDEX(Data!G$3:G$635,MATCH(SMALL(IFERROR(SEARCH(,Data!G$3:G$635),10^9)+ROW(Data!G$3:G$635)/1000,ROWS(G$3:G129)),IFERROR(SEARCH(,Data!G$3:G$635),10^9)+ROW(Data!G$3:G$635)/1000,0))</f>
        <v/>
      </c>
      <c r="H129" s="623" t="str" cm="1">
        <f t="array" ref="H129">INDEX(Data!I$3:I$635,MATCH(SMALL(IFERROR(SEARCH(,Data!I$3:I$635),10^9)+ROW(Data!I$3:I$635)/1000,ROWS(H$3:H129)),IFERROR(SEARCH(,Data!I$3:I$635),10^9)+ROW(Data!I$3:I$635)/1000,0))</f>
        <v/>
      </c>
      <c r="I129" s="882"/>
      <c r="J129" s="882"/>
    </row>
    <row r="130" spans="1:10" ht="45.75" customHeight="1" x14ac:dyDescent="0.35">
      <c r="A130" s="108" t="str">
        <f>IFERROR(INDEX(Data!A$3:A$635,MATCH(IF(B130="","END",B130),Data!$B$3:$B$635,0)),"")</f>
        <v/>
      </c>
      <c r="B130" s="108" t="str" cm="1">
        <f t="array" ref="B130">INDEX(Data!B$3:B$635,MATCH(SMALL(IFERROR(SEARCH(,Data!B$3:B$635),10^9)+ROW(Data!B$3:B$635)/1000,ROWS(B$3:B130)),IFERROR(SEARCH(,Data!B$3:B$635),10^9)+ROW(Data!B$3:B$635)/1000,0))</f>
        <v/>
      </c>
      <c r="C130" s="317" t="str" cm="1">
        <f t="array" ref="C130">INDEX(Data!C$3:C$635,MATCH(SMALL(IFERROR(SEARCH(,Data!C$3:C$635),10^9)+ROW(Data!C$3:C$635)/1000,ROWS(C$3:C130)),IFERROR(SEARCH(,Data!C$3:C$635),10^9)+ROW(Data!C$3:C$635)/1000,0))</f>
        <v/>
      </c>
      <c r="D130" s="111" t="str">
        <f t="shared" si="1"/>
        <v/>
      </c>
      <c r="E130" s="111" t="str" cm="1">
        <f t="array" ref="E130">INDEX(Data!E$3:E$635,MATCH(SMALL(IFERROR(SEARCH(,Data!E$3:E$635),10^9)+ROW(Data!E$3:E$635)/1000,ROWS(E$3:E130)),IFERROR(SEARCH(,Data!E$3:E$635),10^9)+ROW(Data!E$3:E$635)/1000,0))</f>
        <v/>
      </c>
      <c r="F130" s="111" t="str" cm="1">
        <f t="array" ref="F130">INDEX(Data!F$3:F$635,MATCH(SMALL(IFERROR(SEARCH(,Data!F$3:F$635),10^9)+ROW(Data!F$3:F$635)/1000,ROWS(F$3:F130)),IFERROR(SEARCH(,Data!F$3:F$635),10^9)+ROW(Data!F$3:F$635)/1000,0))</f>
        <v/>
      </c>
      <c r="G130" s="111" t="str" cm="1">
        <f t="array" ref="G130">INDEX(Data!G$3:G$635,MATCH(SMALL(IFERROR(SEARCH(,Data!G$3:G$635),10^9)+ROW(Data!G$3:G$635)/1000,ROWS(G$3:G130)),IFERROR(SEARCH(,Data!G$3:G$635),10^9)+ROW(Data!G$3:G$635)/1000,0))</f>
        <v/>
      </c>
      <c r="H130" s="623" t="str" cm="1">
        <f t="array" ref="H130">INDEX(Data!I$3:I$635,MATCH(SMALL(IFERROR(SEARCH(,Data!I$3:I$635),10^9)+ROW(Data!I$3:I$635)/1000,ROWS(H$3:H130)),IFERROR(SEARCH(,Data!I$3:I$635),10^9)+ROW(Data!I$3:I$635)/1000,0))</f>
        <v/>
      </c>
      <c r="I130" s="882"/>
      <c r="J130" s="882"/>
    </row>
    <row r="131" spans="1:10" ht="45.75" customHeight="1" x14ac:dyDescent="0.35">
      <c r="A131" s="108" t="str">
        <f>IFERROR(INDEX(Data!A$3:A$635,MATCH(IF(B131="","END",B131),Data!$B$3:$B$635,0)),"")</f>
        <v/>
      </c>
      <c r="B131" s="108" t="str" cm="1">
        <f t="array" ref="B131">INDEX(Data!B$3:B$635,MATCH(SMALL(IFERROR(SEARCH(,Data!B$3:B$635),10^9)+ROW(Data!B$3:B$635)/1000,ROWS(B$3:B131)),IFERROR(SEARCH(,Data!B$3:B$635),10^9)+ROW(Data!B$3:B$635)/1000,0))</f>
        <v/>
      </c>
      <c r="C131" s="317" t="str" cm="1">
        <f t="array" ref="C131">INDEX(Data!C$3:C$635,MATCH(SMALL(IFERROR(SEARCH(,Data!C$3:C$635),10^9)+ROW(Data!C$3:C$635)/1000,ROWS(C$3:C131)),IFERROR(SEARCH(,Data!C$3:C$635),10^9)+ROW(Data!C$3:C$635)/1000,0))</f>
        <v/>
      </c>
      <c r="D131" s="111" t="str">
        <f t="shared" si="1"/>
        <v/>
      </c>
      <c r="E131" s="111" t="str" cm="1">
        <f t="array" ref="E131">INDEX(Data!E$3:E$635,MATCH(SMALL(IFERROR(SEARCH(,Data!E$3:E$635),10^9)+ROW(Data!E$3:E$635)/1000,ROWS(E$3:E131)),IFERROR(SEARCH(,Data!E$3:E$635),10^9)+ROW(Data!E$3:E$635)/1000,0))</f>
        <v/>
      </c>
      <c r="F131" s="111" t="str" cm="1">
        <f t="array" ref="F131">INDEX(Data!F$3:F$635,MATCH(SMALL(IFERROR(SEARCH(,Data!F$3:F$635),10^9)+ROW(Data!F$3:F$635)/1000,ROWS(F$3:F131)),IFERROR(SEARCH(,Data!F$3:F$635),10^9)+ROW(Data!F$3:F$635)/1000,0))</f>
        <v/>
      </c>
      <c r="G131" s="111" t="str" cm="1">
        <f t="array" ref="G131">INDEX(Data!G$3:G$635,MATCH(SMALL(IFERROR(SEARCH(,Data!G$3:G$635),10^9)+ROW(Data!G$3:G$635)/1000,ROWS(G$3:G131)),IFERROR(SEARCH(,Data!G$3:G$635),10^9)+ROW(Data!G$3:G$635)/1000,0))</f>
        <v/>
      </c>
      <c r="H131" s="623" t="str" cm="1">
        <f t="array" ref="H131">INDEX(Data!I$3:I$635,MATCH(SMALL(IFERROR(SEARCH(,Data!I$3:I$635),10^9)+ROW(Data!I$3:I$635)/1000,ROWS(H$3:H131)),IFERROR(SEARCH(,Data!I$3:I$635),10^9)+ROW(Data!I$3:I$635)/1000,0))</f>
        <v/>
      </c>
      <c r="I131" s="882"/>
      <c r="J131" s="882"/>
    </row>
    <row r="132" spans="1:10" ht="45.75" customHeight="1" x14ac:dyDescent="0.35">
      <c r="A132" s="108" t="str">
        <f>IFERROR(INDEX(Data!A$3:A$635,MATCH(IF(B132="","END",B132),Data!$B$3:$B$635,0)),"")</f>
        <v/>
      </c>
      <c r="B132" s="108" t="str" cm="1">
        <f t="array" ref="B132">INDEX(Data!B$3:B$635,MATCH(SMALL(IFERROR(SEARCH(,Data!B$3:B$635),10^9)+ROW(Data!B$3:B$635)/1000,ROWS(B$3:B132)),IFERROR(SEARCH(,Data!B$3:B$635),10^9)+ROW(Data!B$3:B$635)/1000,0))</f>
        <v/>
      </c>
      <c r="C132" s="317" t="str" cm="1">
        <f t="array" ref="C132">INDEX(Data!C$3:C$635,MATCH(SMALL(IFERROR(SEARCH(,Data!C$3:C$635),10^9)+ROW(Data!C$3:C$635)/1000,ROWS(C$3:C132)),IFERROR(SEARCH(,Data!C$3:C$635),10^9)+ROW(Data!C$3:C$635)/1000,0))</f>
        <v/>
      </c>
      <c r="D132" s="111" t="str">
        <f t="shared" ref="D132:D195" si="2">IFERROR(E132-F132,"")</f>
        <v/>
      </c>
      <c r="E132" s="111" t="str" cm="1">
        <f t="array" ref="E132">INDEX(Data!E$3:E$635,MATCH(SMALL(IFERROR(SEARCH(,Data!E$3:E$635),10^9)+ROW(Data!E$3:E$635)/1000,ROWS(E$3:E132)),IFERROR(SEARCH(,Data!E$3:E$635),10^9)+ROW(Data!E$3:E$635)/1000,0))</f>
        <v/>
      </c>
      <c r="F132" s="111" t="str" cm="1">
        <f t="array" ref="F132">INDEX(Data!F$3:F$635,MATCH(SMALL(IFERROR(SEARCH(,Data!F$3:F$635),10^9)+ROW(Data!F$3:F$635)/1000,ROWS(F$3:F132)),IFERROR(SEARCH(,Data!F$3:F$635),10^9)+ROW(Data!F$3:F$635)/1000,0))</f>
        <v/>
      </c>
      <c r="G132" s="111" t="str" cm="1">
        <f t="array" ref="G132">INDEX(Data!G$3:G$635,MATCH(SMALL(IFERROR(SEARCH(,Data!G$3:G$635),10^9)+ROW(Data!G$3:G$635)/1000,ROWS(G$3:G132)),IFERROR(SEARCH(,Data!G$3:G$635),10^9)+ROW(Data!G$3:G$635)/1000,0))</f>
        <v/>
      </c>
      <c r="H132" s="623" t="str" cm="1">
        <f t="array" ref="H132">INDEX(Data!I$3:I$635,MATCH(SMALL(IFERROR(SEARCH(,Data!I$3:I$635),10^9)+ROW(Data!I$3:I$635)/1000,ROWS(H$3:H132)),IFERROR(SEARCH(,Data!I$3:I$635),10^9)+ROW(Data!I$3:I$635)/1000,0))</f>
        <v/>
      </c>
      <c r="I132" s="882"/>
      <c r="J132" s="882"/>
    </row>
    <row r="133" spans="1:10" ht="45.75" customHeight="1" x14ac:dyDescent="0.35">
      <c r="A133" s="108" t="str">
        <f>IFERROR(INDEX(Data!A$3:A$635,MATCH(IF(B133="","END",B133),Data!$B$3:$B$635,0)),"")</f>
        <v/>
      </c>
      <c r="B133" s="108" t="str" cm="1">
        <f t="array" ref="B133">INDEX(Data!B$3:B$635,MATCH(SMALL(IFERROR(SEARCH(,Data!B$3:B$635),10^9)+ROW(Data!B$3:B$635)/1000,ROWS(B$3:B133)),IFERROR(SEARCH(,Data!B$3:B$635),10^9)+ROW(Data!B$3:B$635)/1000,0))</f>
        <v/>
      </c>
      <c r="C133" s="317" t="str" cm="1">
        <f t="array" ref="C133">INDEX(Data!C$3:C$635,MATCH(SMALL(IFERROR(SEARCH(,Data!C$3:C$635),10^9)+ROW(Data!C$3:C$635)/1000,ROWS(C$3:C133)),IFERROR(SEARCH(,Data!C$3:C$635),10^9)+ROW(Data!C$3:C$635)/1000,0))</f>
        <v/>
      </c>
      <c r="D133" s="111" t="str">
        <f t="shared" si="2"/>
        <v/>
      </c>
      <c r="E133" s="111" t="str" cm="1">
        <f t="array" ref="E133">INDEX(Data!E$3:E$635,MATCH(SMALL(IFERROR(SEARCH(,Data!E$3:E$635),10^9)+ROW(Data!E$3:E$635)/1000,ROWS(E$3:E133)),IFERROR(SEARCH(,Data!E$3:E$635),10^9)+ROW(Data!E$3:E$635)/1000,0))</f>
        <v/>
      </c>
      <c r="F133" s="111" t="str" cm="1">
        <f t="array" ref="F133">INDEX(Data!F$3:F$635,MATCH(SMALL(IFERROR(SEARCH(,Data!F$3:F$635),10^9)+ROW(Data!F$3:F$635)/1000,ROWS(F$3:F133)),IFERROR(SEARCH(,Data!F$3:F$635),10^9)+ROW(Data!F$3:F$635)/1000,0))</f>
        <v/>
      </c>
      <c r="G133" s="111" t="str" cm="1">
        <f t="array" ref="G133">INDEX(Data!G$3:G$635,MATCH(SMALL(IFERROR(SEARCH(,Data!G$3:G$635),10^9)+ROW(Data!G$3:G$635)/1000,ROWS(G$3:G133)),IFERROR(SEARCH(,Data!G$3:G$635),10^9)+ROW(Data!G$3:G$635)/1000,0))</f>
        <v/>
      </c>
      <c r="H133" s="623" t="str" cm="1">
        <f t="array" ref="H133">INDEX(Data!I$3:I$635,MATCH(SMALL(IFERROR(SEARCH(,Data!I$3:I$635),10^9)+ROW(Data!I$3:I$635)/1000,ROWS(H$3:H133)),IFERROR(SEARCH(,Data!I$3:I$635),10^9)+ROW(Data!I$3:I$635)/1000,0))</f>
        <v/>
      </c>
      <c r="I133" s="882"/>
      <c r="J133" s="882"/>
    </row>
    <row r="134" spans="1:10" ht="45.75" customHeight="1" x14ac:dyDescent="0.35">
      <c r="A134" s="108" t="str">
        <f>IFERROR(INDEX(Data!A$3:A$635,MATCH(IF(B134="","END",B134),Data!$B$3:$B$635,0)),"")</f>
        <v/>
      </c>
      <c r="B134" s="108" t="str" cm="1">
        <f t="array" ref="B134">INDEX(Data!B$3:B$635,MATCH(SMALL(IFERROR(SEARCH(,Data!B$3:B$635),10^9)+ROW(Data!B$3:B$635)/1000,ROWS(B$3:B134)),IFERROR(SEARCH(,Data!B$3:B$635),10^9)+ROW(Data!B$3:B$635)/1000,0))</f>
        <v/>
      </c>
      <c r="C134" s="317" t="str" cm="1">
        <f t="array" ref="C134">INDEX(Data!C$3:C$635,MATCH(SMALL(IFERROR(SEARCH(,Data!C$3:C$635),10^9)+ROW(Data!C$3:C$635)/1000,ROWS(C$3:C134)),IFERROR(SEARCH(,Data!C$3:C$635),10^9)+ROW(Data!C$3:C$635)/1000,0))</f>
        <v/>
      </c>
      <c r="D134" s="111" t="str">
        <f t="shared" si="2"/>
        <v/>
      </c>
      <c r="E134" s="111" t="str" cm="1">
        <f t="array" ref="E134">INDEX(Data!E$3:E$635,MATCH(SMALL(IFERROR(SEARCH(,Data!E$3:E$635),10^9)+ROW(Data!E$3:E$635)/1000,ROWS(E$3:E134)),IFERROR(SEARCH(,Data!E$3:E$635),10^9)+ROW(Data!E$3:E$635)/1000,0))</f>
        <v/>
      </c>
      <c r="F134" s="111" t="str" cm="1">
        <f t="array" ref="F134">INDEX(Data!F$3:F$635,MATCH(SMALL(IFERROR(SEARCH(,Data!F$3:F$635),10^9)+ROW(Data!F$3:F$635)/1000,ROWS(F$3:F134)),IFERROR(SEARCH(,Data!F$3:F$635),10^9)+ROW(Data!F$3:F$635)/1000,0))</f>
        <v/>
      </c>
      <c r="G134" s="111" t="str" cm="1">
        <f t="array" ref="G134">INDEX(Data!G$3:G$635,MATCH(SMALL(IFERROR(SEARCH(,Data!G$3:G$635),10^9)+ROW(Data!G$3:G$635)/1000,ROWS(G$3:G134)),IFERROR(SEARCH(,Data!G$3:G$635),10^9)+ROW(Data!G$3:G$635)/1000,0))</f>
        <v/>
      </c>
      <c r="H134" s="623" t="str" cm="1">
        <f t="array" ref="H134">INDEX(Data!I$3:I$635,MATCH(SMALL(IFERROR(SEARCH(,Data!I$3:I$635),10^9)+ROW(Data!I$3:I$635)/1000,ROWS(H$3:H134)),IFERROR(SEARCH(,Data!I$3:I$635),10^9)+ROW(Data!I$3:I$635)/1000,0))</f>
        <v/>
      </c>
      <c r="I134" s="882"/>
      <c r="J134" s="882"/>
    </row>
    <row r="135" spans="1:10" ht="45.75" customHeight="1" x14ac:dyDescent="0.35">
      <c r="A135" s="108" t="str">
        <f>IFERROR(INDEX(Data!A$3:A$635,MATCH(IF(B135="","END",B135),Data!$B$3:$B$635,0)),"")</f>
        <v/>
      </c>
      <c r="B135" s="108" t="str" cm="1">
        <f t="array" ref="B135">INDEX(Data!B$3:B$635,MATCH(SMALL(IFERROR(SEARCH(,Data!B$3:B$635),10^9)+ROW(Data!B$3:B$635)/1000,ROWS(B$3:B135)),IFERROR(SEARCH(,Data!B$3:B$635),10^9)+ROW(Data!B$3:B$635)/1000,0))</f>
        <v/>
      </c>
      <c r="C135" s="317" t="str" cm="1">
        <f t="array" ref="C135">INDEX(Data!C$3:C$635,MATCH(SMALL(IFERROR(SEARCH(,Data!C$3:C$635),10^9)+ROW(Data!C$3:C$635)/1000,ROWS(C$3:C135)),IFERROR(SEARCH(,Data!C$3:C$635),10^9)+ROW(Data!C$3:C$635)/1000,0))</f>
        <v/>
      </c>
      <c r="D135" s="111" t="str">
        <f t="shared" si="2"/>
        <v/>
      </c>
      <c r="E135" s="111" t="str" cm="1">
        <f t="array" ref="E135">INDEX(Data!E$3:E$635,MATCH(SMALL(IFERROR(SEARCH(,Data!E$3:E$635),10^9)+ROW(Data!E$3:E$635)/1000,ROWS(E$3:E135)),IFERROR(SEARCH(,Data!E$3:E$635),10^9)+ROW(Data!E$3:E$635)/1000,0))</f>
        <v/>
      </c>
      <c r="F135" s="111" t="str" cm="1">
        <f t="array" ref="F135">INDEX(Data!F$3:F$635,MATCH(SMALL(IFERROR(SEARCH(,Data!F$3:F$635),10^9)+ROW(Data!F$3:F$635)/1000,ROWS(F$3:F135)),IFERROR(SEARCH(,Data!F$3:F$635),10^9)+ROW(Data!F$3:F$635)/1000,0))</f>
        <v/>
      </c>
      <c r="G135" s="111" t="str" cm="1">
        <f t="array" ref="G135">INDEX(Data!G$3:G$635,MATCH(SMALL(IFERROR(SEARCH(,Data!G$3:G$635),10^9)+ROW(Data!G$3:G$635)/1000,ROWS(G$3:G135)),IFERROR(SEARCH(,Data!G$3:G$635),10^9)+ROW(Data!G$3:G$635)/1000,0))</f>
        <v/>
      </c>
      <c r="H135" s="623" t="str" cm="1">
        <f t="array" ref="H135">INDEX(Data!I$3:I$635,MATCH(SMALL(IFERROR(SEARCH(,Data!I$3:I$635),10^9)+ROW(Data!I$3:I$635)/1000,ROWS(H$3:H135)),IFERROR(SEARCH(,Data!I$3:I$635),10^9)+ROW(Data!I$3:I$635)/1000,0))</f>
        <v/>
      </c>
      <c r="I135" s="882"/>
      <c r="J135" s="882"/>
    </row>
    <row r="136" spans="1:10" ht="45.75" customHeight="1" x14ac:dyDescent="0.35">
      <c r="A136" s="108" t="str">
        <f>IFERROR(INDEX(Data!A$3:A$635,MATCH(IF(B136="","END",B136),Data!$B$3:$B$635,0)),"")</f>
        <v/>
      </c>
      <c r="B136" s="108" t="str" cm="1">
        <f t="array" ref="B136">INDEX(Data!B$3:B$635,MATCH(SMALL(IFERROR(SEARCH(,Data!B$3:B$635),10^9)+ROW(Data!B$3:B$635)/1000,ROWS(B$3:B136)),IFERROR(SEARCH(,Data!B$3:B$635),10^9)+ROW(Data!B$3:B$635)/1000,0))</f>
        <v/>
      </c>
      <c r="C136" s="317" t="str" cm="1">
        <f t="array" ref="C136">INDEX(Data!C$3:C$635,MATCH(SMALL(IFERROR(SEARCH(,Data!C$3:C$635),10^9)+ROW(Data!C$3:C$635)/1000,ROWS(C$3:C136)),IFERROR(SEARCH(,Data!C$3:C$635),10^9)+ROW(Data!C$3:C$635)/1000,0))</f>
        <v/>
      </c>
      <c r="D136" s="111" t="str">
        <f t="shared" si="2"/>
        <v/>
      </c>
      <c r="E136" s="111" t="str" cm="1">
        <f t="array" ref="E136">INDEX(Data!E$3:E$635,MATCH(SMALL(IFERROR(SEARCH(,Data!E$3:E$635),10^9)+ROW(Data!E$3:E$635)/1000,ROWS(E$3:E136)),IFERROR(SEARCH(,Data!E$3:E$635),10^9)+ROW(Data!E$3:E$635)/1000,0))</f>
        <v/>
      </c>
      <c r="F136" s="111" t="str" cm="1">
        <f t="array" ref="F136">INDEX(Data!F$3:F$635,MATCH(SMALL(IFERROR(SEARCH(,Data!F$3:F$635),10^9)+ROW(Data!F$3:F$635)/1000,ROWS(F$3:F136)),IFERROR(SEARCH(,Data!F$3:F$635),10^9)+ROW(Data!F$3:F$635)/1000,0))</f>
        <v/>
      </c>
      <c r="G136" s="111" t="str" cm="1">
        <f t="array" ref="G136">INDEX(Data!G$3:G$635,MATCH(SMALL(IFERROR(SEARCH(,Data!G$3:G$635),10^9)+ROW(Data!G$3:G$635)/1000,ROWS(G$3:G136)),IFERROR(SEARCH(,Data!G$3:G$635),10^9)+ROW(Data!G$3:G$635)/1000,0))</f>
        <v/>
      </c>
      <c r="H136" s="623" t="str" cm="1">
        <f t="array" ref="H136">INDEX(Data!I$3:I$635,MATCH(SMALL(IFERROR(SEARCH(,Data!I$3:I$635),10^9)+ROW(Data!I$3:I$635)/1000,ROWS(H$3:H136)),IFERROR(SEARCH(,Data!I$3:I$635),10^9)+ROW(Data!I$3:I$635)/1000,0))</f>
        <v/>
      </c>
      <c r="I136" s="882"/>
      <c r="J136" s="882"/>
    </row>
    <row r="137" spans="1:10" ht="45.75" customHeight="1" x14ac:dyDescent="0.35">
      <c r="A137" s="108" t="str">
        <f>IFERROR(INDEX(Data!A$3:A$635,MATCH(IF(B137="","END",B137),Data!$B$3:$B$635,0)),"")</f>
        <v/>
      </c>
      <c r="B137" s="108" t="str" cm="1">
        <f t="array" ref="B137">INDEX(Data!B$3:B$635,MATCH(SMALL(IFERROR(SEARCH(,Data!B$3:B$635),10^9)+ROW(Data!B$3:B$635)/1000,ROWS(B$3:B137)),IFERROR(SEARCH(,Data!B$3:B$635),10^9)+ROW(Data!B$3:B$635)/1000,0))</f>
        <v/>
      </c>
      <c r="C137" s="317" t="str" cm="1">
        <f t="array" ref="C137">INDEX(Data!C$3:C$635,MATCH(SMALL(IFERROR(SEARCH(,Data!C$3:C$635),10^9)+ROW(Data!C$3:C$635)/1000,ROWS(C$3:C137)),IFERROR(SEARCH(,Data!C$3:C$635),10^9)+ROW(Data!C$3:C$635)/1000,0))</f>
        <v/>
      </c>
      <c r="D137" s="111" t="str">
        <f t="shared" si="2"/>
        <v/>
      </c>
      <c r="E137" s="111" t="str" cm="1">
        <f t="array" ref="E137">INDEX(Data!E$3:E$635,MATCH(SMALL(IFERROR(SEARCH(,Data!E$3:E$635),10^9)+ROW(Data!E$3:E$635)/1000,ROWS(E$3:E137)),IFERROR(SEARCH(,Data!E$3:E$635),10^9)+ROW(Data!E$3:E$635)/1000,0))</f>
        <v/>
      </c>
      <c r="F137" s="111" t="str" cm="1">
        <f t="array" ref="F137">INDEX(Data!F$3:F$635,MATCH(SMALL(IFERROR(SEARCH(,Data!F$3:F$635),10^9)+ROW(Data!F$3:F$635)/1000,ROWS(F$3:F137)),IFERROR(SEARCH(,Data!F$3:F$635),10^9)+ROW(Data!F$3:F$635)/1000,0))</f>
        <v/>
      </c>
      <c r="G137" s="111" t="str" cm="1">
        <f t="array" ref="G137">INDEX(Data!G$3:G$635,MATCH(SMALL(IFERROR(SEARCH(,Data!G$3:G$635),10^9)+ROW(Data!G$3:G$635)/1000,ROWS(G$3:G137)),IFERROR(SEARCH(,Data!G$3:G$635),10^9)+ROW(Data!G$3:G$635)/1000,0))</f>
        <v/>
      </c>
      <c r="H137" s="623" t="str" cm="1">
        <f t="array" ref="H137">INDEX(Data!I$3:I$635,MATCH(SMALL(IFERROR(SEARCH(,Data!I$3:I$635),10^9)+ROW(Data!I$3:I$635)/1000,ROWS(H$3:H137)),IFERROR(SEARCH(,Data!I$3:I$635),10^9)+ROW(Data!I$3:I$635)/1000,0))</f>
        <v/>
      </c>
      <c r="I137" s="882"/>
      <c r="J137" s="882"/>
    </row>
    <row r="138" spans="1:10" ht="45.75" customHeight="1" x14ac:dyDescent="0.35">
      <c r="A138" s="108" t="str">
        <f>IFERROR(INDEX(Data!A$3:A$635,MATCH(IF(B138="","END",B138),Data!$B$3:$B$635,0)),"")</f>
        <v/>
      </c>
      <c r="B138" s="108" t="str" cm="1">
        <f t="array" ref="B138">INDEX(Data!B$3:B$635,MATCH(SMALL(IFERROR(SEARCH(,Data!B$3:B$635),10^9)+ROW(Data!B$3:B$635)/1000,ROWS(B$3:B138)),IFERROR(SEARCH(,Data!B$3:B$635),10^9)+ROW(Data!B$3:B$635)/1000,0))</f>
        <v/>
      </c>
      <c r="C138" s="317" t="str" cm="1">
        <f t="array" ref="C138">INDEX(Data!C$3:C$635,MATCH(SMALL(IFERROR(SEARCH(,Data!C$3:C$635),10^9)+ROW(Data!C$3:C$635)/1000,ROWS(C$3:C138)),IFERROR(SEARCH(,Data!C$3:C$635),10^9)+ROW(Data!C$3:C$635)/1000,0))</f>
        <v/>
      </c>
      <c r="D138" s="111" t="str">
        <f t="shared" si="2"/>
        <v/>
      </c>
      <c r="E138" s="111" t="str" cm="1">
        <f t="array" ref="E138">INDEX(Data!E$3:E$635,MATCH(SMALL(IFERROR(SEARCH(,Data!E$3:E$635),10^9)+ROW(Data!E$3:E$635)/1000,ROWS(E$3:E138)),IFERROR(SEARCH(,Data!E$3:E$635),10^9)+ROW(Data!E$3:E$635)/1000,0))</f>
        <v/>
      </c>
      <c r="F138" s="111" t="str" cm="1">
        <f t="array" ref="F138">INDEX(Data!F$3:F$635,MATCH(SMALL(IFERROR(SEARCH(,Data!F$3:F$635),10^9)+ROW(Data!F$3:F$635)/1000,ROWS(F$3:F138)),IFERROR(SEARCH(,Data!F$3:F$635),10^9)+ROW(Data!F$3:F$635)/1000,0))</f>
        <v/>
      </c>
      <c r="G138" s="111" t="str" cm="1">
        <f t="array" ref="G138">INDEX(Data!G$3:G$635,MATCH(SMALL(IFERROR(SEARCH(,Data!G$3:G$635),10^9)+ROW(Data!G$3:G$635)/1000,ROWS(G$3:G138)),IFERROR(SEARCH(,Data!G$3:G$635),10^9)+ROW(Data!G$3:G$635)/1000,0))</f>
        <v/>
      </c>
      <c r="H138" s="623" t="str" cm="1">
        <f t="array" ref="H138">INDEX(Data!I$3:I$635,MATCH(SMALL(IFERROR(SEARCH(,Data!I$3:I$635),10^9)+ROW(Data!I$3:I$635)/1000,ROWS(H$3:H138)),IFERROR(SEARCH(,Data!I$3:I$635),10^9)+ROW(Data!I$3:I$635)/1000,0))</f>
        <v/>
      </c>
      <c r="I138" s="882"/>
      <c r="J138" s="882"/>
    </row>
    <row r="139" spans="1:10" ht="45.75" customHeight="1" x14ac:dyDescent="0.35">
      <c r="A139" s="108" t="str">
        <f>IFERROR(INDEX(Data!A$3:A$635,MATCH(IF(B139="","END",B139),Data!$B$3:$B$635,0)),"")</f>
        <v/>
      </c>
      <c r="B139" s="108" t="str" cm="1">
        <f t="array" ref="B139">INDEX(Data!B$3:B$635,MATCH(SMALL(IFERROR(SEARCH(,Data!B$3:B$635),10^9)+ROW(Data!B$3:B$635)/1000,ROWS(B$3:B139)),IFERROR(SEARCH(,Data!B$3:B$635),10^9)+ROW(Data!B$3:B$635)/1000,0))</f>
        <v/>
      </c>
      <c r="C139" s="317" t="str" cm="1">
        <f t="array" ref="C139">INDEX(Data!C$3:C$635,MATCH(SMALL(IFERROR(SEARCH(,Data!C$3:C$635),10^9)+ROW(Data!C$3:C$635)/1000,ROWS(C$3:C139)),IFERROR(SEARCH(,Data!C$3:C$635),10^9)+ROW(Data!C$3:C$635)/1000,0))</f>
        <v/>
      </c>
      <c r="D139" s="111" t="str">
        <f t="shared" si="2"/>
        <v/>
      </c>
      <c r="E139" s="111" t="str" cm="1">
        <f t="array" ref="E139">INDEX(Data!E$3:E$635,MATCH(SMALL(IFERROR(SEARCH(,Data!E$3:E$635),10^9)+ROW(Data!E$3:E$635)/1000,ROWS(E$3:E139)),IFERROR(SEARCH(,Data!E$3:E$635),10^9)+ROW(Data!E$3:E$635)/1000,0))</f>
        <v/>
      </c>
      <c r="F139" s="111" t="str" cm="1">
        <f t="array" ref="F139">INDEX(Data!F$3:F$635,MATCH(SMALL(IFERROR(SEARCH(,Data!F$3:F$635),10^9)+ROW(Data!F$3:F$635)/1000,ROWS(F$3:F139)),IFERROR(SEARCH(,Data!F$3:F$635),10^9)+ROW(Data!F$3:F$635)/1000,0))</f>
        <v/>
      </c>
      <c r="G139" s="111" t="str" cm="1">
        <f t="array" ref="G139">INDEX(Data!G$3:G$635,MATCH(SMALL(IFERROR(SEARCH(,Data!G$3:G$635),10^9)+ROW(Data!G$3:G$635)/1000,ROWS(G$3:G139)),IFERROR(SEARCH(,Data!G$3:G$635),10^9)+ROW(Data!G$3:G$635)/1000,0))</f>
        <v/>
      </c>
      <c r="H139" s="623" t="str" cm="1">
        <f t="array" ref="H139">INDEX(Data!I$3:I$635,MATCH(SMALL(IFERROR(SEARCH(,Data!I$3:I$635),10^9)+ROW(Data!I$3:I$635)/1000,ROWS(H$3:H139)),IFERROR(SEARCH(,Data!I$3:I$635),10^9)+ROW(Data!I$3:I$635)/1000,0))</f>
        <v/>
      </c>
      <c r="I139" s="882"/>
      <c r="J139" s="882"/>
    </row>
    <row r="140" spans="1:10" ht="45.75" customHeight="1" x14ac:dyDescent="0.35">
      <c r="A140" s="108" t="str">
        <f>IFERROR(INDEX(Data!A$3:A$635,MATCH(IF(B140="","END",B140),Data!$B$3:$B$635,0)),"")</f>
        <v/>
      </c>
      <c r="B140" s="108" t="str" cm="1">
        <f t="array" ref="B140">INDEX(Data!B$3:B$635,MATCH(SMALL(IFERROR(SEARCH(,Data!B$3:B$635),10^9)+ROW(Data!B$3:B$635)/1000,ROWS(B$3:B140)),IFERROR(SEARCH(,Data!B$3:B$635),10^9)+ROW(Data!B$3:B$635)/1000,0))</f>
        <v/>
      </c>
      <c r="C140" s="317" t="str" cm="1">
        <f t="array" ref="C140">INDEX(Data!C$3:C$635,MATCH(SMALL(IFERROR(SEARCH(,Data!C$3:C$635),10^9)+ROW(Data!C$3:C$635)/1000,ROWS(C$3:C140)),IFERROR(SEARCH(,Data!C$3:C$635),10^9)+ROW(Data!C$3:C$635)/1000,0))</f>
        <v/>
      </c>
      <c r="D140" s="111" t="str">
        <f t="shared" si="2"/>
        <v/>
      </c>
      <c r="E140" s="111" t="str" cm="1">
        <f t="array" ref="E140">INDEX(Data!E$3:E$635,MATCH(SMALL(IFERROR(SEARCH(,Data!E$3:E$635),10^9)+ROW(Data!E$3:E$635)/1000,ROWS(E$3:E140)),IFERROR(SEARCH(,Data!E$3:E$635),10^9)+ROW(Data!E$3:E$635)/1000,0))</f>
        <v/>
      </c>
      <c r="F140" s="111" t="str" cm="1">
        <f t="array" ref="F140">INDEX(Data!F$3:F$635,MATCH(SMALL(IFERROR(SEARCH(,Data!F$3:F$635),10^9)+ROW(Data!F$3:F$635)/1000,ROWS(F$3:F140)),IFERROR(SEARCH(,Data!F$3:F$635),10^9)+ROW(Data!F$3:F$635)/1000,0))</f>
        <v/>
      </c>
      <c r="G140" s="111" t="str" cm="1">
        <f t="array" ref="G140">INDEX(Data!G$3:G$635,MATCH(SMALL(IFERROR(SEARCH(,Data!G$3:G$635),10^9)+ROW(Data!G$3:G$635)/1000,ROWS(G$3:G140)),IFERROR(SEARCH(,Data!G$3:G$635),10^9)+ROW(Data!G$3:G$635)/1000,0))</f>
        <v/>
      </c>
      <c r="H140" s="623" t="str" cm="1">
        <f t="array" ref="H140">INDEX(Data!I$3:I$635,MATCH(SMALL(IFERROR(SEARCH(,Data!I$3:I$635),10^9)+ROW(Data!I$3:I$635)/1000,ROWS(H$3:H140)),IFERROR(SEARCH(,Data!I$3:I$635),10^9)+ROW(Data!I$3:I$635)/1000,0))</f>
        <v/>
      </c>
      <c r="I140" s="882"/>
      <c r="J140" s="882"/>
    </row>
    <row r="141" spans="1:10" ht="45.75" customHeight="1" x14ac:dyDescent="0.35">
      <c r="A141" s="108" t="str">
        <f>IFERROR(INDEX(Data!A$3:A$635,MATCH(IF(B141="","END",B141),Data!$B$3:$B$635,0)),"")</f>
        <v/>
      </c>
      <c r="B141" s="108" t="str" cm="1">
        <f t="array" ref="B141">INDEX(Data!B$3:B$635,MATCH(SMALL(IFERROR(SEARCH(,Data!B$3:B$635),10^9)+ROW(Data!B$3:B$635)/1000,ROWS(B$3:B141)),IFERROR(SEARCH(,Data!B$3:B$635),10^9)+ROW(Data!B$3:B$635)/1000,0))</f>
        <v/>
      </c>
      <c r="C141" s="317" t="str" cm="1">
        <f t="array" ref="C141">INDEX(Data!C$3:C$635,MATCH(SMALL(IFERROR(SEARCH(,Data!C$3:C$635),10^9)+ROW(Data!C$3:C$635)/1000,ROWS(C$3:C141)),IFERROR(SEARCH(,Data!C$3:C$635),10^9)+ROW(Data!C$3:C$635)/1000,0))</f>
        <v/>
      </c>
      <c r="D141" s="111" t="str">
        <f t="shared" si="2"/>
        <v/>
      </c>
      <c r="E141" s="111" t="str" cm="1">
        <f t="array" ref="E141">INDEX(Data!E$3:E$635,MATCH(SMALL(IFERROR(SEARCH(,Data!E$3:E$635),10^9)+ROW(Data!E$3:E$635)/1000,ROWS(E$3:E141)),IFERROR(SEARCH(,Data!E$3:E$635),10^9)+ROW(Data!E$3:E$635)/1000,0))</f>
        <v/>
      </c>
      <c r="F141" s="111" t="str" cm="1">
        <f t="array" ref="F141">INDEX(Data!F$3:F$635,MATCH(SMALL(IFERROR(SEARCH(,Data!F$3:F$635),10^9)+ROW(Data!F$3:F$635)/1000,ROWS(F$3:F141)),IFERROR(SEARCH(,Data!F$3:F$635),10^9)+ROW(Data!F$3:F$635)/1000,0))</f>
        <v/>
      </c>
      <c r="G141" s="111" t="str" cm="1">
        <f t="array" ref="G141">INDEX(Data!G$3:G$635,MATCH(SMALL(IFERROR(SEARCH(,Data!G$3:G$635),10^9)+ROW(Data!G$3:G$635)/1000,ROWS(G$3:G141)),IFERROR(SEARCH(,Data!G$3:G$635),10^9)+ROW(Data!G$3:G$635)/1000,0))</f>
        <v/>
      </c>
      <c r="H141" s="623" t="str" cm="1">
        <f t="array" ref="H141">INDEX(Data!I$3:I$635,MATCH(SMALL(IFERROR(SEARCH(,Data!I$3:I$635),10^9)+ROW(Data!I$3:I$635)/1000,ROWS(H$3:H141)),IFERROR(SEARCH(,Data!I$3:I$635),10^9)+ROW(Data!I$3:I$635)/1000,0))</f>
        <v/>
      </c>
      <c r="I141" s="882"/>
      <c r="J141" s="882"/>
    </row>
    <row r="142" spans="1:10" ht="45.75" customHeight="1" x14ac:dyDescent="0.35">
      <c r="A142" s="108" t="str">
        <f>IFERROR(INDEX(Data!A$3:A$635,MATCH(IF(B142="","END",B142),Data!$B$3:$B$635,0)),"")</f>
        <v/>
      </c>
      <c r="B142" s="108" t="str" cm="1">
        <f t="array" ref="B142">INDEX(Data!B$3:B$635,MATCH(SMALL(IFERROR(SEARCH(,Data!B$3:B$635),10^9)+ROW(Data!B$3:B$635)/1000,ROWS(B$3:B142)),IFERROR(SEARCH(,Data!B$3:B$635),10^9)+ROW(Data!B$3:B$635)/1000,0))</f>
        <v/>
      </c>
      <c r="C142" s="317" t="str" cm="1">
        <f t="array" ref="C142">INDEX(Data!C$3:C$635,MATCH(SMALL(IFERROR(SEARCH(,Data!C$3:C$635),10^9)+ROW(Data!C$3:C$635)/1000,ROWS(C$3:C142)),IFERROR(SEARCH(,Data!C$3:C$635),10^9)+ROW(Data!C$3:C$635)/1000,0))</f>
        <v/>
      </c>
      <c r="D142" s="111" t="str">
        <f t="shared" si="2"/>
        <v/>
      </c>
      <c r="E142" s="111" t="str" cm="1">
        <f t="array" ref="E142">INDEX(Data!E$3:E$635,MATCH(SMALL(IFERROR(SEARCH(,Data!E$3:E$635),10^9)+ROW(Data!E$3:E$635)/1000,ROWS(E$3:E142)),IFERROR(SEARCH(,Data!E$3:E$635),10^9)+ROW(Data!E$3:E$635)/1000,0))</f>
        <v/>
      </c>
      <c r="F142" s="111" t="str" cm="1">
        <f t="array" ref="F142">INDEX(Data!F$3:F$635,MATCH(SMALL(IFERROR(SEARCH(,Data!F$3:F$635),10^9)+ROW(Data!F$3:F$635)/1000,ROWS(F$3:F142)),IFERROR(SEARCH(,Data!F$3:F$635),10^9)+ROW(Data!F$3:F$635)/1000,0))</f>
        <v/>
      </c>
      <c r="G142" s="111" t="str" cm="1">
        <f t="array" ref="G142">INDEX(Data!G$3:G$635,MATCH(SMALL(IFERROR(SEARCH(,Data!G$3:G$635),10^9)+ROW(Data!G$3:G$635)/1000,ROWS(G$3:G142)),IFERROR(SEARCH(,Data!G$3:G$635),10^9)+ROW(Data!G$3:G$635)/1000,0))</f>
        <v/>
      </c>
      <c r="H142" s="623" t="str" cm="1">
        <f t="array" ref="H142">INDEX(Data!I$3:I$635,MATCH(SMALL(IFERROR(SEARCH(,Data!I$3:I$635),10^9)+ROW(Data!I$3:I$635)/1000,ROWS(H$3:H142)),IFERROR(SEARCH(,Data!I$3:I$635),10^9)+ROW(Data!I$3:I$635)/1000,0))</f>
        <v/>
      </c>
      <c r="I142" s="882"/>
      <c r="J142" s="882"/>
    </row>
    <row r="143" spans="1:10" ht="45.75" customHeight="1" x14ac:dyDescent="0.35">
      <c r="A143" s="108" t="str">
        <f>IFERROR(INDEX(Data!A$3:A$635,MATCH(IF(B143="","END",B143),Data!$B$3:$B$635,0)),"")</f>
        <v/>
      </c>
      <c r="B143" s="108" t="str" cm="1">
        <f t="array" ref="B143">INDEX(Data!B$3:B$635,MATCH(SMALL(IFERROR(SEARCH(,Data!B$3:B$635),10^9)+ROW(Data!B$3:B$635)/1000,ROWS(B$3:B143)),IFERROR(SEARCH(,Data!B$3:B$635),10^9)+ROW(Data!B$3:B$635)/1000,0))</f>
        <v/>
      </c>
      <c r="C143" s="317" t="str" cm="1">
        <f t="array" ref="C143">INDEX(Data!C$3:C$635,MATCH(SMALL(IFERROR(SEARCH(,Data!C$3:C$635),10^9)+ROW(Data!C$3:C$635)/1000,ROWS(C$3:C143)),IFERROR(SEARCH(,Data!C$3:C$635),10^9)+ROW(Data!C$3:C$635)/1000,0))</f>
        <v/>
      </c>
      <c r="D143" s="111" t="str">
        <f t="shared" si="2"/>
        <v/>
      </c>
      <c r="E143" s="111" t="str" cm="1">
        <f t="array" ref="E143">INDEX(Data!E$3:E$635,MATCH(SMALL(IFERROR(SEARCH(,Data!E$3:E$635),10^9)+ROW(Data!E$3:E$635)/1000,ROWS(E$3:E143)),IFERROR(SEARCH(,Data!E$3:E$635),10^9)+ROW(Data!E$3:E$635)/1000,0))</f>
        <v/>
      </c>
      <c r="F143" s="111" t="str" cm="1">
        <f t="array" ref="F143">INDEX(Data!F$3:F$635,MATCH(SMALL(IFERROR(SEARCH(,Data!F$3:F$635),10^9)+ROW(Data!F$3:F$635)/1000,ROWS(F$3:F143)),IFERROR(SEARCH(,Data!F$3:F$635),10^9)+ROW(Data!F$3:F$635)/1000,0))</f>
        <v/>
      </c>
      <c r="G143" s="111" t="str" cm="1">
        <f t="array" ref="G143">INDEX(Data!G$3:G$635,MATCH(SMALL(IFERROR(SEARCH(,Data!G$3:G$635),10^9)+ROW(Data!G$3:G$635)/1000,ROWS(G$3:G143)),IFERROR(SEARCH(,Data!G$3:G$635),10^9)+ROW(Data!G$3:G$635)/1000,0))</f>
        <v/>
      </c>
      <c r="H143" s="623" t="str" cm="1">
        <f t="array" ref="H143">INDEX(Data!I$3:I$635,MATCH(SMALL(IFERROR(SEARCH(,Data!I$3:I$635),10^9)+ROW(Data!I$3:I$635)/1000,ROWS(H$3:H143)),IFERROR(SEARCH(,Data!I$3:I$635),10^9)+ROW(Data!I$3:I$635)/1000,0))</f>
        <v/>
      </c>
      <c r="I143" s="882"/>
      <c r="J143" s="882"/>
    </row>
    <row r="144" spans="1:10" ht="45.75" customHeight="1" x14ac:dyDescent="0.35">
      <c r="A144" s="108" t="str">
        <f>IFERROR(INDEX(Data!A$3:A$635,MATCH(IF(B144="","END",B144),Data!$B$3:$B$635,0)),"")</f>
        <v/>
      </c>
      <c r="B144" s="108" t="str" cm="1">
        <f t="array" ref="B144">INDEX(Data!B$3:B$635,MATCH(SMALL(IFERROR(SEARCH(,Data!B$3:B$635),10^9)+ROW(Data!B$3:B$635)/1000,ROWS(B$3:B144)),IFERROR(SEARCH(,Data!B$3:B$635),10^9)+ROW(Data!B$3:B$635)/1000,0))</f>
        <v/>
      </c>
      <c r="C144" s="317" t="str" cm="1">
        <f t="array" ref="C144">INDEX(Data!C$3:C$635,MATCH(SMALL(IFERROR(SEARCH(,Data!C$3:C$635),10^9)+ROW(Data!C$3:C$635)/1000,ROWS(C$3:C144)),IFERROR(SEARCH(,Data!C$3:C$635),10^9)+ROW(Data!C$3:C$635)/1000,0))</f>
        <v/>
      </c>
      <c r="D144" s="111" t="str">
        <f t="shared" si="2"/>
        <v/>
      </c>
      <c r="E144" s="111" t="str" cm="1">
        <f t="array" ref="E144">INDEX(Data!E$3:E$635,MATCH(SMALL(IFERROR(SEARCH(,Data!E$3:E$635),10^9)+ROW(Data!E$3:E$635)/1000,ROWS(E$3:E144)),IFERROR(SEARCH(,Data!E$3:E$635),10^9)+ROW(Data!E$3:E$635)/1000,0))</f>
        <v/>
      </c>
      <c r="F144" s="111" t="str" cm="1">
        <f t="array" ref="F144">INDEX(Data!F$3:F$635,MATCH(SMALL(IFERROR(SEARCH(,Data!F$3:F$635),10^9)+ROW(Data!F$3:F$635)/1000,ROWS(F$3:F144)),IFERROR(SEARCH(,Data!F$3:F$635),10^9)+ROW(Data!F$3:F$635)/1000,0))</f>
        <v/>
      </c>
      <c r="G144" s="111" t="str" cm="1">
        <f t="array" ref="G144">INDEX(Data!G$3:G$635,MATCH(SMALL(IFERROR(SEARCH(,Data!G$3:G$635),10^9)+ROW(Data!G$3:G$635)/1000,ROWS(G$3:G144)),IFERROR(SEARCH(,Data!G$3:G$635),10^9)+ROW(Data!G$3:G$635)/1000,0))</f>
        <v/>
      </c>
      <c r="H144" s="623" t="str" cm="1">
        <f t="array" ref="H144">INDEX(Data!I$3:I$635,MATCH(SMALL(IFERROR(SEARCH(,Data!I$3:I$635),10^9)+ROW(Data!I$3:I$635)/1000,ROWS(H$3:H144)),IFERROR(SEARCH(,Data!I$3:I$635),10^9)+ROW(Data!I$3:I$635)/1000,0))</f>
        <v/>
      </c>
      <c r="I144" s="882"/>
      <c r="J144" s="882"/>
    </row>
    <row r="145" spans="1:10" ht="45.75" customHeight="1" x14ac:dyDescent="0.35">
      <c r="A145" s="108" t="str">
        <f>IFERROR(INDEX(Data!A$3:A$635,MATCH(IF(B145="","END",B145),Data!$B$3:$B$635,0)),"")</f>
        <v/>
      </c>
      <c r="B145" s="108" t="str" cm="1">
        <f t="array" ref="B145">INDEX(Data!B$3:B$635,MATCH(SMALL(IFERROR(SEARCH(,Data!B$3:B$635),10^9)+ROW(Data!B$3:B$635)/1000,ROWS(B$3:B145)),IFERROR(SEARCH(,Data!B$3:B$635),10^9)+ROW(Data!B$3:B$635)/1000,0))</f>
        <v/>
      </c>
      <c r="C145" s="317" t="str" cm="1">
        <f t="array" ref="C145">INDEX(Data!C$3:C$635,MATCH(SMALL(IFERROR(SEARCH(,Data!C$3:C$635),10^9)+ROW(Data!C$3:C$635)/1000,ROWS(C$3:C145)),IFERROR(SEARCH(,Data!C$3:C$635),10^9)+ROW(Data!C$3:C$635)/1000,0))</f>
        <v/>
      </c>
      <c r="D145" s="111" t="str">
        <f t="shared" si="2"/>
        <v/>
      </c>
      <c r="E145" s="111" t="str" cm="1">
        <f t="array" ref="E145">INDEX(Data!E$3:E$635,MATCH(SMALL(IFERROR(SEARCH(,Data!E$3:E$635),10^9)+ROW(Data!E$3:E$635)/1000,ROWS(E$3:E145)),IFERROR(SEARCH(,Data!E$3:E$635),10^9)+ROW(Data!E$3:E$635)/1000,0))</f>
        <v/>
      </c>
      <c r="F145" s="111" t="str" cm="1">
        <f t="array" ref="F145">INDEX(Data!F$3:F$635,MATCH(SMALL(IFERROR(SEARCH(,Data!F$3:F$635),10^9)+ROW(Data!F$3:F$635)/1000,ROWS(F$3:F145)),IFERROR(SEARCH(,Data!F$3:F$635),10^9)+ROW(Data!F$3:F$635)/1000,0))</f>
        <v/>
      </c>
      <c r="G145" s="111" t="str" cm="1">
        <f t="array" ref="G145">INDEX(Data!G$3:G$635,MATCH(SMALL(IFERROR(SEARCH(,Data!G$3:G$635),10^9)+ROW(Data!G$3:G$635)/1000,ROWS(G$3:G145)),IFERROR(SEARCH(,Data!G$3:G$635),10^9)+ROW(Data!G$3:G$635)/1000,0))</f>
        <v/>
      </c>
      <c r="H145" s="623" t="str" cm="1">
        <f t="array" ref="H145">INDEX(Data!I$3:I$635,MATCH(SMALL(IFERROR(SEARCH(,Data!I$3:I$635),10^9)+ROW(Data!I$3:I$635)/1000,ROWS(H$3:H145)),IFERROR(SEARCH(,Data!I$3:I$635),10^9)+ROW(Data!I$3:I$635)/1000,0))</f>
        <v/>
      </c>
      <c r="I145" s="882"/>
      <c r="J145" s="882"/>
    </row>
    <row r="146" spans="1:10" ht="45.75" customHeight="1" x14ac:dyDescent="0.35">
      <c r="A146" s="108" t="str">
        <f>IFERROR(INDEX(Data!A$3:A$635,MATCH(IF(B146="","END",B146),Data!$B$3:$B$635,0)),"")</f>
        <v/>
      </c>
      <c r="B146" s="108" t="str" cm="1">
        <f t="array" ref="B146">INDEX(Data!B$3:B$635,MATCH(SMALL(IFERROR(SEARCH(,Data!B$3:B$635),10^9)+ROW(Data!B$3:B$635)/1000,ROWS(B$3:B146)),IFERROR(SEARCH(,Data!B$3:B$635),10^9)+ROW(Data!B$3:B$635)/1000,0))</f>
        <v/>
      </c>
      <c r="C146" s="317" t="str" cm="1">
        <f t="array" ref="C146">INDEX(Data!C$3:C$635,MATCH(SMALL(IFERROR(SEARCH(,Data!C$3:C$635),10^9)+ROW(Data!C$3:C$635)/1000,ROWS(C$3:C146)),IFERROR(SEARCH(,Data!C$3:C$635),10^9)+ROW(Data!C$3:C$635)/1000,0))</f>
        <v/>
      </c>
      <c r="D146" s="111" t="str">
        <f t="shared" si="2"/>
        <v/>
      </c>
      <c r="E146" s="111" t="str" cm="1">
        <f t="array" ref="E146">INDEX(Data!E$3:E$635,MATCH(SMALL(IFERROR(SEARCH(,Data!E$3:E$635),10^9)+ROW(Data!E$3:E$635)/1000,ROWS(E$3:E146)),IFERROR(SEARCH(,Data!E$3:E$635),10^9)+ROW(Data!E$3:E$635)/1000,0))</f>
        <v/>
      </c>
      <c r="F146" s="111" t="str" cm="1">
        <f t="array" ref="F146">INDEX(Data!F$3:F$635,MATCH(SMALL(IFERROR(SEARCH(,Data!F$3:F$635),10^9)+ROW(Data!F$3:F$635)/1000,ROWS(F$3:F146)),IFERROR(SEARCH(,Data!F$3:F$635),10^9)+ROW(Data!F$3:F$635)/1000,0))</f>
        <v/>
      </c>
      <c r="G146" s="111" t="str" cm="1">
        <f t="array" ref="G146">INDEX(Data!G$3:G$635,MATCH(SMALL(IFERROR(SEARCH(,Data!G$3:G$635),10^9)+ROW(Data!G$3:G$635)/1000,ROWS(G$3:G146)),IFERROR(SEARCH(,Data!G$3:G$635),10^9)+ROW(Data!G$3:G$635)/1000,0))</f>
        <v/>
      </c>
      <c r="H146" s="623" t="str" cm="1">
        <f t="array" ref="H146">INDEX(Data!I$3:I$635,MATCH(SMALL(IFERROR(SEARCH(,Data!I$3:I$635),10^9)+ROW(Data!I$3:I$635)/1000,ROWS(H$3:H146)),IFERROR(SEARCH(,Data!I$3:I$635),10^9)+ROW(Data!I$3:I$635)/1000,0))</f>
        <v/>
      </c>
      <c r="I146" s="882"/>
      <c r="J146" s="882"/>
    </row>
    <row r="147" spans="1:10" ht="45.75" customHeight="1" x14ac:dyDescent="0.35">
      <c r="A147" s="108" t="str">
        <f>IFERROR(INDEX(Data!A$3:A$635,MATCH(IF(B147="","END",B147),Data!$B$3:$B$635,0)),"")</f>
        <v/>
      </c>
      <c r="B147" s="108" t="str" cm="1">
        <f t="array" ref="B147">INDEX(Data!B$3:B$635,MATCH(SMALL(IFERROR(SEARCH(,Data!B$3:B$635),10^9)+ROW(Data!B$3:B$635)/1000,ROWS(B$3:B147)),IFERROR(SEARCH(,Data!B$3:B$635),10^9)+ROW(Data!B$3:B$635)/1000,0))</f>
        <v/>
      </c>
      <c r="C147" s="317" t="str" cm="1">
        <f t="array" ref="C147">INDEX(Data!C$3:C$635,MATCH(SMALL(IFERROR(SEARCH(,Data!C$3:C$635),10^9)+ROW(Data!C$3:C$635)/1000,ROWS(C$3:C147)),IFERROR(SEARCH(,Data!C$3:C$635),10^9)+ROW(Data!C$3:C$635)/1000,0))</f>
        <v/>
      </c>
      <c r="D147" s="111" t="str">
        <f t="shared" si="2"/>
        <v/>
      </c>
      <c r="E147" s="111" t="str" cm="1">
        <f t="array" ref="E147">INDEX(Data!E$3:E$635,MATCH(SMALL(IFERROR(SEARCH(,Data!E$3:E$635),10^9)+ROW(Data!E$3:E$635)/1000,ROWS(E$3:E147)),IFERROR(SEARCH(,Data!E$3:E$635),10^9)+ROW(Data!E$3:E$635)/1000,0))</f>
        <v/>
      </c>
      <c r="F147" s="111" t="str" cm="1">
        <f t="array" ref="F147">INDEX(Data!F$3:F$635,MATCH(SMALL(IFERROR(SEARCH(,Data!F$3:F$635),10^9)+ROW(Data!F$3:F$635)/1000,ROWS(F$3:F147)),IFERROR(SEARCH(,Data!F$3:F$635),10^9)+ROW(Data!F$3:F$635)/1000,0))</f>
        <v/>
      </c>
      <c r="G147" s="111" t="str" cm="1">
        <f t="array" ref="G147">INDEX(Data!G$3:G$635,MATCH(SMALL(IFERROR(SEARCH(,Data!G$3:G$635),10^9)+ROW(Data!G$3:G$635)/1000,ROWS(G$3:G147)),IFERROR(SEARCH(,Data!G$3:G$635),10^9)+ROW(Data!G$3:G$635)/1000,0))</f>
        <v/>
      </c>
      <c r="H147" s="623" t="str" cm="1">
        <f t="array" ref="H147">INDEX(Data!I$3:I$635,MATCH(SMALL(IFERROR(SEARCH(,Data!I$3:I$635),10^9)+ROW(Data!I$3:I$635)/1000,ROWS(H$3:H147)),IFERROR(SEARCH(,Data!I$3:I$635),10^9)+ROW(Data!I$3:I$635)/1000,0))</f>
        <v/>
      </c>
      <c r="I147" s="882"/>
      <c r="J147" s="882"/>
    </row>
    <row r="148" spans="1:10" ht="45.75" customHeight="1" x14ac:dyDescent="0.35">
      <c r="A148" s="108" t="str">
        <f>IFERROR(INDEX(Data!A$3:A$635,MATCH(IF(B148="","END",B148),Data!$B$3:$B$635,0)),"")</f>
        <v/>
      </c>
      <c r="B148" s="108" t="str" cm="1">
        <f t="array" ref="B148">INDEX(Data!B$3:B$635,MATCH(SMALL(IFERROR(SEARCH(,Data!B$3:B$635),10^9)+ROW(Data!B$3:B$635)/1000,ROWS(B$3:B148)),IFERROR(SEARCH(,Data!B$3:B$635),10^9)+ROW(Data!B$3:B$635)/1000,0))</f>
        <v/>
      </c>
      <c r="C148" s="317" t="str" cm="1">
        <f t="array" ref="C148">INDEX(Data!C$3:C$635,MATCH(SMALL(IFERROR(SEARCH(,Data!C$3:C$635),10^9)+ROW(Data!C$3:C$635)/1000,ROWS(C$3:C148)),IFERROR(SEARCH(,Data!C$3:C$635),10^9)+ROW(Data!C$3:C$635)/1000,0))</f>
        <v/>
      </c>
      <c r="D148" s="111" t="str">
        <f t="shared" si="2"/>
        <v/>
      </c>
      <c r="E148" s="111" t="str" cm="1">
        <f t="array" ref="E148">INDEX(Data!E$3:E$635,MATCH(SMALL(IFERROR(SEARCH(,Data!E$3:E$635),10^9)+ROW(Data!E$3:E$635)/1000,ROWS(E$3:E148)),IFERROR(SEARCH(,Data!E$3:E$635),10^9)+ROW(Data!E$3:E$635)/1000,0))</f>
        <v/>
      </c>
      <c r="F148" s="111" t="str" cm="1">
        <f t="array" ref="F148">INDEX(Data!F$3:F$635,MATCH(SMALL(IFERROR(SEARCH(,Data!F$3:F$635),10^9)+ROW(Data!F$3:F$635)/1000,ROWS(F$3:F148)),IFERROR(SEARCH(,Data!F$3:F$635),10^9)+ROW(Data!F$3:F$635)/1000,0))</f>
        <v/>
      </c>
      <c r="G148" s="111" t="str" cm="1">
        <f t="array" ref="G148">INDEX(Data!G$3:G$635,MATCH(SMALL(IFERROR(SEARCH(,Data!G$3:G$635),10^9)+ROW(Data!G$3:G$635)/1000,ROWS(G$3:G148)),IFERROR(SEARCH(,Data!G$3:G$635),10^9)+ROW(Data!G$3:G$635)/1000,0))</f>
        <v/>
      </c>
      <c r="H148" s="623" t="str" cm="1">
        <f t="array" ref="H148">INDEX(Data!I$3:I$635,MATCH(SMALL(IFERROR(SEARCH(,Data!I$3:I$635),10^9)+ROW(Data!I$3:I$635)/1000,ROWS(H$3:H148)),IFERROR(SEARCH(,Data!I$3:I$635),10^9)+ROW(Data!I$3:I$635)/1000,0))</f>
        <v/>
      </c>
      <c r="I148" s="882"/>
      <c r="J148" s="882"/>
    </row>
    <row r="149" spans="1:10" ht="45.75" customHeight="1" x14ac:dyDescent="0.35">
      <c r="A149" s="108" t="str">
        <f>IFERROR(INDEX(Data!A$3:A$635,MATCH(IF(B149="","END",B149),Data!$B$3:$B$635,0)),"")</f>
        <v/>
      </c>
      <c r="B149" s="108" t="str" cm="1">
        <f t="array" ref="B149">INDEX(Data!B$3:B$635,MATCH(SMALL(IFERROR(SEARCH(,Data!B$3:B$635),10^9)+ROW(Data!B$3:B$635)/1000,ROWS(B$3:B149)),IFERROR(SEARCH(,Data!B$3:B$635),10^9)+ROW(Data!B$3:B$635)/1000,0))</f>
        <v/>
      </c>
      <c r="C149" s="317" t="str" cm="1">
        <f t="array" ref="C149">INDEX(Data!C$3:C$635,MATCH(SMALL(IFERROR(SEARCH(,Data!C$3:C$635),10^9)+ROW(Data!C$3:C$635)/1000,ROWS(C$3:C149)),IFERROR(SEARCH(,Data!C$3:C$635),10^9)+ROW(Data!C$3:C$635)/1000,0))</f>
        <v/>
      </c>
      <c r="D149" s="111" t="str">
        <f t="shared" si="2"/>
        <v/>
      </c>
      <c r="E149" s="111" t="str" cm="1">
        <f t="array" ref="E149">INDEX(Data!E$3:E$635,MATCH(SMALL(IFERROR(SEARCH(,Data!E$3:E$635),10^9)+ROW(Data!E$3:E$635)/1000,ROWS(E$3:E149)),IFERROR(SEARCH(,Data!E$3:E$635),10^9)+ROW(Data!E$3:E$635)/1000,0))</f>
        <v/>
      </c>
      <c r="F149" s="111" t="str" cm="1">
        <f t="array" ref="F149">INDEX(Data!F$3:F$635,MATCH(SMALL(IFERROR(SEARCH(,Data!F$3:F$635),10^9)+ROW(Data!F$3:F$635)/1000,ROWS(F$3:F149)),IFERROR(SEARCH(,Data!F$3:F$635),10^9)+ROW(Data!F$3:F$635)/1000,0))</f>
        <v/>
      </c>
      <c r="G149" s="111" t="str" cm="1">
        <f t="array" ref="G149">INDEX(Data!G$3:G$635,MATCH(SMALL(IFERROR(SEARCH(,Data!G$3:G$635),10^9)+ROW(Data!G$3:G$635)/1000,ROWS(G$3:G149)),IFERROR(SEARCH(,Data!G$3:G$635),10^9)+ROW(Data!G$3:G$635)/1000,0))</f>
        <v/>
      </c>
      <c r="H149" s="623" t="str" cm="1">
        <f t="array" ref="H149">INDEX(Data!I$3:I$635,MATCH(SMALL(IFERROR(SEARCH(,Data!I$3:I$635),10^9)+ROW(Data!I$3:I$635)/1000,ROWS(H$3:H149)),IFERROR(SEARCH(,Data!I$3:I$635),10^9)+ROW(Data!I$3:I$635)/1000,0))</f>
        <v/>
      </c>
      <c r="I149" s="882"/>
      <c r="J149" s="882"/>
    </row>
    <row r="150" spans="1:10" ht="45.75" customHeight="1" x14ac:dyDescent="0.35">
      <c r="A150" s="108" t="str">
        <f>IFERROR(INDEX(Data!A$3:A$635,MATCH(IF(B150="","END",B150),Data!$B$3:$B$635,0)),"")</f>
        <v/>
      </c>
      <c r="B150" s="108" t="str" cm="1">
        <f t="array" ref="B150">INDEX(Data!B$3:B$635,MATCH(SMALL(IFERROR(SEARCH(,Data!B$3:B$635),10^9)+ROW(Data!B$3:B$635)/1000,ROWS(B$3:B150)),IFERROR(SEARCH(,Data!B$3:B$635),10^9)+ROW(Data!B$3:B$635)/1000,0))</f>
        <v/>
      </c>
      <c r="C150" s="317" t="str" cm="1">
        <f t="array" ref="C150">INDEX(Data!C$3:C$635,MATCH(SMALL(IFERROR(SEARCH(,Data!C$3:C$635),10^9)+ROW(Data!C$3:C$635)/1000,ROWS(C$3:C150)),IFERROR(SEARCH(,Data!C$3:C$635),10^9)+ROW(Data!C$3:C$635)/1000,0))</f>
        <v/>
      </c>
      <c r="D150" s="111" t="str">
        <f t="shared" si="2"/>
        <v/>
      </c>
      <c r="E150" s="111" t="str" cm="1">
        <f t="array" ref="E150">INDEX(Data!E$3:E$635,MATCH(SMALL(IFERROR(SEARCH(,Data!E$3:E$635),10^9)+ROW(Data!E$3:E$635)/1000,ROWS(E$3:E150)),IFERROR(SEARCH(,Data!E$3:E$635),10^9)+ROW(Data!E$3:E$635)/1000,0))</f>
        <v/>
      </c>
      <c r="F150" s="111" t="str" cm="1">
        <f t="array" ref="F150">INDEX(Data!F$3:F$635,MATCH(SMALL(IFERROR(SEARCH(,Data!F$3:F$635),10^9)+ROW(Data!F$3:F$635)/1000,ROWS(F$3:F150)),IFERROR(SEARCH(,Data!F$3:F$635),10^9)+ROW(Data!F$3:F$635)/1000,0))</f>
        <v/>
      </c>
      <c r="G150" s="111" t="str" cm="1">
        <f t="array" ref="G150">INDEX(Data!G$3:G$635,MATCH(SMALL(IFERROR(SEARCH(,Data!G$3:G$635),10^9)+ROW(Data!G$3:G$635)/1000,ROWS(G$3:G150)),IFERROR(SEARCH(,Data!G$3:G$635),10^9)+ROW(Data!G$3:G$635)/1000,0))</f>
        <v/>
      </c>
      <c r="H150" s="623" t="str" cm="1">
        <f t="array" ref="H150">INDEX(Data!I$3:I$635,MATCH(SMALL(IFERROR(SEARCH(,Data!I$3:I$635),10^9)+ROW(Data!I$3:I$635)/1000,ROWS(H$3:H150)),IFERROR(SEARCH(,Data!I$3:I$635),10^9)+ROW(Data!I$3:I$635)/1000,0))</f>
        <v/>
      </c>
      <c r="I150" s="882"/>
      <c r="J150" s="882"/>
    </row>
    <row r="151" spans="1:10" ht="45.75" customHeight="1" x14ac:dyDescent="0.35">
      <c r="A151" s="108" t="str">
        <f>IFERROR(INDEX(Data!A$3:A$635,MATCH(IF(B151="","END",B151),Data!$B$3:$B$635,0)),"")</f>
        <v/>
      </c>
      <c r="B151" s="108" t="str" cm="1">
        <f t="array" ref="B151">INDEX(Data!B$3:B$635,MATCH(SMALL(IFERROR(SEARCH(,Data!B$3:B$635),10^9)+ROW(Data!B$3:B$635)/1000,ROWS(B$3:B151)),IFERROR(SEARCH(,Data!B$3:B$635),10^9)+ROW(Data!B$3:B$635)/1000,0))</f>
        <v/>
      </c>
      <c r="C151" s="317" t="str" cm="1">
        <f t="array" ref="C151">INDEX(Data!C$3:C$635,MATCH(SMALL(IFERROR(SEARCH(,Data!C$3:C$635),10^9)+ROW(Data!C$3:C$635)/1000,ROWS(C$3:C151)),IFERROR(SEARCH(,Data!C$3:C$635),10^9)+ROW(Data!C$3:C$635)/1000,0))</f>
        <v/>
      </c>
      <c r="D151" s="111" t="str">
        <f t="shared" si="2"/>
        <v/>
      </c>
      <c r="E151" s="111" t="str" cm="1">
        <f t="array" ref="E151">INDEX(Data!E$3:E$635,MATCH(SMALL(IFERROR(SEARCH(,Data!E$3:E$635),10^9)+ROW(Data!E$3:E$635)/1000,ROWS(E$3:E151)),IFERROR(SEARCH(,Data!E$3:E$635),10^9)+ROW(Data!E$3:E$635)/1000,0))</f>
        <v/>
      </c>
      <c r="F151" s="111" t="str" cm="1">
        <f t="array" ref="F151">INDEX(Data!F$3:F$635,MATCH(SMALL(IFERROR(SEARCH(,Data!F$3:F$635),10^9)+ROW(Data!F$3:F$635)/1000,ROWS(F$3:F151)),IFERROR(SEARCH(,Data!F$3:F$635),10^9)+ROW(Data!F$3:F$635)/1000,0))</f>
        <v/>
      </c>
      <c r="G151" s="111" t="str" cm="1">
        <f t="array" ref="G151">INDEX(Data!G$3:G$635,MATCH(SMALL(IFERROR(SEARCH(,Data!G$3:G$635),10^9)+ROW(Data!G$3:G$635)/1000,ROWS(G$3:G151)),IFERROR(SEARCH(,Data!G$3:G$635),10^9)+ROW(Data!G$3:G$635)/1000,0))</f>
        <v/>
      </c>
      <c r="H151" s="623" t="str" cm="1">
        <f t="array" ref="H151">INDEX(Data!I$3:I$635,MATCH(SMALL(IFERROR(SEARCH(,Data!I$3:I$635),10^9)+ROW(Data!I$3:I$635)/1000,ROWS(H$3:H151)),IFERROR(SEARCH(,Data!I$3:I$635),10^9)+ROW(Data!I$3:I$635)/1000,0))</f>
        <v/>
      </c>
      <c r="I151" s="882"/>
      <c r="J151" s="882"/>
    </row>
    <row r="152" spans="1:10" ht="45.75" customHeight="1" x14ac:dyDescent="0.35">
      <c r="A152" s="108" t="str">
        <f>IFERROR(INDEX(Data!A$3:A$635,MATCH(IF(B152="","END",B152),Data!$B$3:$B$635,0)),"")</f>
        <v/>
      </c>
      <c r="B152" s="108" t="str" cm="1">
        <f t="array" ref="B152">INDEX(Data!B$3:B$635,MATCH(SMALL(IFERROR(SEARCH(,Data!B$3:B$635),10^9)+ROW(Data!B$3:B$635)/1000,ROWS(B$3:B152)),IFERROR(SEARCH(,Data!B$3:B$635),10^9)+ROW(Data!B$3:B$635)/1000,0))</f>
        <v/>
      </c>
      <c r="C152" s="317" t="str" cm="1">
        <f t="array" ref="C152">INDEX(Data!C$3:C$635,MATCH(SMALL(IFERROR(SEARCH(,Data!C$3:C$635),10^9)+ROW(Data!C$3:C$635)/1000,ROWS(C$3:C152)),IFERROR(SEARCH(,Data!C$3:C$635),10^9)+ROW(Data!C$3:C$635)/1000,0))</f>
        <v/>
      </c>
      <c r="D152" s="111" t="str">
        <f t="shared" si="2"/>
        <v/>
      </c>
      <c r="E152" s="111" t="str" cm="1">
        <f t="array" ref="E152">INDEX(Data!E$3:E$635,MATCH(SMALL(IFERROR(SEARCH(,Data!E$3:E$635),10^9)+ROW(Data!E$3:E$635)/1000,ROWS(E$3:E152)),IFERROR(SEARCH(,Data!E$3:E$635),10^9)+ROW(Data!E$3:E$635)/1000,0))</f>
        <v/>
      </c>
      <c r="F152" s="111" t="str" cm="1">
        <f t="array" ref="F152">INDEX(Data!F$3:F$635,MATCH(SMALL(IFERROR(SEARCH(,Data!F$3:F$635),10^9)+ROW(Data!F$3:F$635)/1000,ROWS(F$3:F152)),IFERROR(SEARCH(,Data!F$3:F$635),10^9)+ROW(Data!F$3:F$635)/1000,0))</f>
        <v/>
      </c>
      <c r="G152" s="111" t="str" cm="1">
        <f t="array" ref="G152">INDEX(Data!G$3:G$635,MATCH(SMALL(IFERROR(SEARCH(,Data!G$3:G$635),10^9)+ROW(Data!G$3:G$635)/1000,ROWS(G$3:G152)),IFERROR(SEARCH(,Data!G$3:G$635),10^9)+ROW(Data!G$3:G$635)/1000,0))</f>
        <v/>
      </c>
      <c r="H152" s="623" t="str" cm="1">
        <f t="array" ref="H152">INDEX(Data!I$3:I$635,MATCH(SMALL(IFERROR(SEARCH(,Data!I$3:I$635),10^9)+ROW(Data!I$3:I$635)/1000,ROWS(H$3:H152)),IFERROR(SEARCH(,Data!I$3:I$635),10^9)+ROW(Data!I$3:I$635)/1000,0))</f>
        <v/>
      </c>
      <c r="I152" s="882"/>
      <c r="J152" s="882"/>
    </row>
    <row r="153" spans="1:10" ht="45.75" customHeight="1" x14ac:dyDescent="0.35">
      <c r="A153" s="108" t="str">
        <f>IFERROR(INDEX(Data!A$3:A$635,MATCH(IF(B153="","END",B153),Data!$B$3:$B$635,0)),"")</f>
        <v/>
      </c>
      <c r="B153" s="108" t="str" cm="1">
        <f t="array" ref="B153">INDEX(Data!B$3:B$635,MATCH(SMALL(IFERROR(SEARCH(,Data!B$3:B$635),10^9)+ROW(Data!B$3:B$635)/1000,ROWS(B$3:B153)),IFERROR(SEARCH(,Data!B$3:B$635),10^9)+ROW(Data!B$3:B$635)/1000,0))</f>
        <v/>
      </c>
      <c r="C153" s="317" t="str" cm="1">
        <f t="array" ref="C153">INDEX(Data!C$3:C$635,MATCH(SMALL(IFERROR(SEARCH(,Data!C$3:C$635),10^9)+ROW(Data!C$3:C$635)/1000,ROWS(C$3:C153)),IFERROR(SEARCH(,Data!C$3:C$635),10^9)+ROW(Data!C$3:C$635)/1000,0))</f>
        <v/>
      </c>
      <c r="D153" s="111" t="str">
        <f t="shared" si="2"/>
        <v/>
      </c>
      <c r="E153" s="111" t="str" cm="1">
        <f t="array" ref="E153">INDEX(Data!E$3:E$635,MATCH(SMALL(IFERROR(SEARCH(,Data!E$3:E$635),10^9)+ROW(Data!E$3:E$635)/1000,ROWS(E$3:E153)),IFERROR(SEARCH(,Data!E$3:E$635),10^9)+ROW(Data!E$3:E$635)/1000,0))</f>
        <v/>
      </c>
      <c r="F153" s="111" t="str" cm="1">
        <f t="array" ref="F153">INDEX(Data!F$3:F$635,MATCH(SMALL(IFERROR(SEARCH(,Data!F$3:F$635),10^9)+ROW(Data!F$3:F$635)/1000,ROWS(F$3:F153)),IFERROR(SEARCH(,Data!F$3:F$635),10^9)+ROW(Data!F$3:F$635)/1000,0))</f>
        <v/>
      </c>
      <c r="G153" s="111" t="str" cm="1">
        <f t="array" ref="G153">INDEX(Data!G$3:G$635,MATCH(SMALL(IFERROR(SEARCH(,Data!G$3:G$635),10^9)+ROW(Data!G$3:G$635)/1000,ROWS(G$3:G153)),IFERROR(SEARCH(,Data!G$3:G$635),10^9)+ROW(Data!G$3:G$635)/1000,0))</f>
        <v/>
      </c>
      <c r="H153" s="623" t="str" cm="1">
        <f t="array" ref="H153">INDEX(Data!I$3:I$635,MATCH(SMALL(IFERROR(SEARCH(,Data!I$3:I$635),10^9)+ROW(Data!I$3:I$635)/1000,ROWS(H$3:H153)),IFERROR(SEARCH(,Data!I$3:I$635),10^9)+ROW(Data!I$3:I$635)/1000,0))</f>
        <v/>
      </c>
      <c r="I153" s="882"/>
      <c r="J153" s="882"/>
    </row>
    <row r="154" spans="1:10" ht="45.75" customHeight="1" x14ac:dyDescent="0.35">
      <c r="A154" s="108" t="str">
        <f>IFERROR(INDEX(Data!A$3:A$635,MATCH(IF(B154="","END",B154),Data!$B$3:$B$635,0)),"")</f>
        <v/>
      </c>
      <c r="B154" s="108" t="str" cm="1">
        <f t="array" ref="B154">INDEX(Data!B$3:B$635,MATCH(SMALL(IFERROR(SEARCH(,Data!B$3:B$635),10^9)+ROW(Data!B$3:B$635)/1000,ROWS(B$3:B154)),IFERROR(SEARCH(,Data!B$3:B$635),10^9)+ROW(Data!B$3:B$635)/1000,0))</f>
        <v/>
      </c>
      <c r="C154" s="317" t="str" cm="1">
        <f t="array" ref="C154">INDEX(Data!C$3:C$635,MATCH(SMALL(IFERROR(SEARCH(,Data!C$3:C$635),10^9)+ROW(Data!C$3:C$635)/1000,ROWS(C$3:C154)),IFERROR(SEARCH(,Data!C$3:C$635),10^9)+ROW(Data!C$3:C$635)/1000,0))</f>
        <v/>
      </c>
      <c r="D154" s="111" t="str">
        <f t="shared" si="2"/>
        <v/>
      </c>
      <c r="E154" s="111" t="str" cm="1">
        <f t="array" ref="E154">INDEX(Data!E$3:E$635,MATCH(SMALL(IFERROR(SEARCH(,Data!E$3:E$635),10^9)+ROW(Data!E$3:E$635)/1000,ROWS(E$3:E154)),IFERROR(SEARCH(,Data!E$3:E$635),10^9)+ROW(Data!E$3:E$635)/1000,0))</f>
        <v/>
      </c>
      <c r="F154" s="111" t="str" cm="1">
        <f t="array" ref="F154">INDEX(Data!F$3:F$635,MATCH(SMALL(IFERROR(SEARCH(,Data!F$3:F$635),10^9)+ROW(Data!F$3:F$635)/1000,ROWS(F$3:F154)),IFERROR(SEARCH(,Data!F$3:F$635),10^9)+ROW(Data!F$3:F$635)/1000,0))</f>
        <v/>
      </c>
      <c r="G154" s="111" t="str" cm="1">
        <f t="array" ref="G154">INDEX(Data!G$3:G$635,MATCH(SMALL(IFERROR(SEARCH(,Data!G$3:G$635),10^9)+ROW(Data!G$3:G$635)/1000,ROWS(G$3:G154)),IFERROR(SEARCH(,Data!G$3:G$635),10^9)+ROW(Data!G$3:G$635)/1000,0))</f>
        <v/>
      </c>
      <c r="H154" s="623" t="str" cm="1">
        <f t="array" ref="H154">INDEX(Data!I$3:I$635,MATCH(SMALL(IFERROR(SEARCH(,Data!I$3:I$635),10^9)+ROW(Data!I$3:I$635)/1000,ROWS(H$3:H154)),IFERROR(SEARCH(,Data!I$3:I$635),10^9)+ROW(Data!I$3:I$635)/1000,0))</f>
        <v/>
      </c>
      <c r="I154" s="882"/>
      <c r="J154" s="882"/>
    </row>
    <row r="155" spans="1:10" ht="45.75" customHeight="1" x14ac:dyDescent="0.35">
      <c r="A155" s="108" t="str">
        <f>IFERROR(INDEX(Data!A$3:A$635,MATCH(IF(B155="","END",B155),Data!$B$3:$B$635,0)),"")</f>
        <v/>
      </c>
      <c r="B155" s="108" t="str" cm="1">
        <f t="array" ref="B155">INDEX(Data!B$3:B$635,MATCH(SMALL(IFERROR(SEARCH(,Data!B$3:B$635),10^9)+ROW(Data!B$3:B$635)/1000,ROWS(B$3:B155)),IFERROR(SEARCH(,Data!B$3:B$635),10^9)+ROW(Data!B$3:B$635)/1000,0))</f>
        <v/>
      </c>
      <c r="C155" s="317" t="str" cm="1">
        <f t="array" ref="C155">INDEX(Data!C$3:C$635,MATCH(SMALL(IFERROR(SEARCH(,Data!C$3:C$635),10^9)+ROW(Data!C$3:C$635)/1000,ROWS(C$3:C155)),IFERROR(SEARCH(,Data!C$3:C$635),10^9)+ROW(Data!C$3:C$635)/1000,0))</f>
        <v/>
      </c>
      <c r="D155" s="111" t="str">
        <f t="shared" si="2"/>
        <v/>
      </c>
      <c r="E155" s="111" t="str" cm="1">
        <f t="array" ref="E155">INDEX(Data!E$3:E$635,MATCH(SMALL(IFERROR(SEARCH(,Data!E$3:E$635),10^9)+ROW(Data!E$3:E$635)/1000,ROWS(E$3:E155)),IFERROR(SEARCH(,Data!E$3:E$635),10^9)+ROW(Data!E$3:E$635)/1000,0))</f>
        <v/>
      </c>
      <c r="F155" s="111" t="str" cm="1">
        <f t="array" ref="F155">INDEX(Data!F$3:F$635,MATCH(SMALL(IFERROR(SEARCH(,Data!F$3:F$635),10^9)+ROW(Data!F$3:F$635)/1000,ROWS(F$3:F155)),IFERROR(SEARCH(,Data!F$3:F$635),10^9)+ROW(Data!F$3:F$635)/1000,0))</f>
        <v/>
      </c>
      <c r="G155" s="111" t="str" cm="1">
        <f t="array" ref="G155">INDEX(Data!G$3:G$635,MATCH(SMALL(IFERROR(SEARCH(,Data!G$3:G$635),10^9)+ROW(Data!G$3:G$635)/1000,ROWS(G$3:G155)),IFERROR(SEARCH(,Data!G$3:G$635),10^9)+ROW(Data!G$3:G$635)/1000,0))</f>
        <v/>
      </c>
      <c r="H155" s="623" t="str" cm="1">
        <f t="array" ref="H155">INDEX(Data!I$3:I$635,MATCH(SMALL(IFERROR(SEARCH(,Data!I$3:I$635),10^9)+ROW(Data!I$3:I$635)/1000,ROWS(H$3:H155)),IFERROR(SEARCH(,Data!I$3:I$635),10^9)+ROW(Data!I$3:I$635)/1000,0))</f>
        <v/>
      </c>
      <c r="I155" s="882"/>
      <c r="J155" s="882"/>
    </row>
    <row r="156" spans="1:10" ht="45.75" customHeight="1" x14ac:dyDescent="0.35">
      <c r="A156" s="108" t="str">
        <f>IFERROR(INDEX(Data!A$3:A$635,MATCH(IF(B156="","END",B156),Data!$B$3:$B$635,0)),"")</f>
        <v/>
      </c>
      <c r="B156" s="108" t="str" cm="1">
        <f t="array" ref="B156">INDEX(Data!B$3:B$635,MATCH(SMALL(IFERROR(SEARCH(,Data!B$3:B$635),10^9)+ROW(Data!B$3:B$635)/1000,ROWS(B$3:B156)),IFERROR(SEARCH(,Data!B$3:B$635),10^9)+ROW(Data!B$3:B$635)/1000,0))</f>
        <v/>
      </c>
      <c r="C156" s="317" t="str" cm="1">
        <f t="array" ref="C156">INDEX(Data!C$3:C$635,MATCH(SMALL(IFERROR(SEARCH(,Data!C$3:C$635),10^9)+ROW(Data!C$3:C$635)/1000,ROWS(C$3:C156)),IFERROR(SEARCH(,Data!C$3:C$635),10^9)+ROW(Data!C$3:C$635)/1000,0))</f>
        <v/>
      </c>
      <c r="D156" s="111" t="str">
        <f t="shared" si="2"/>
        <v/>
      </c>
      <c r="E156" s="111" t="str" cm="1">
        <f t="array" ref="E156">INDEX(Data!E$3:E$635,MATCH(SMALL(IFERROR(SEARCH(,Data!E$3:E$635),10^9)+ROW(Data!E$3:E$635)/1000,ROWS(E$3:E156)),IFERROR(SEARCH(,Data!E$3:E$635),10^9)+ROW(Data!E$3:E$635)/1000,0))</f>
        <v/>
      </c>
      <c r="F156" s="111" t="str" cm="1">
        <f t="array" ref="F156">INDEX(Data!F$3:F$635,MATCH(SMALL(IFERROR(SEARCH(,Data!F$3:F$635),10^9)+ROW(Data!F$3:F$635)/1000,ROWS(F$3:F156)),IFERROR(SEARCH(,Data!F$3:F$635),10^9)+ROW(Data!F$3:F$635)/1000,0))</f>
        <v/>
      </c>
      <c r="G156" s="111" t="str" cm="1">
        <f t="array" ref="G156">INDEX(Data!G$3:G$635,MATCH(SMALL(IFERROR(SEARCH(,Data!G$3:G$635),10^9)+ROW(Data!G$3:G$635)/1000,ROWS(G$3:G156)),IFERROR(SEARCH(,Data!G$3:G$635),10^9)+ROW(Data!G$3:G$635)/1000,0))</f>
        <v/>
      </c>
      <c r="H156" s="623" t="str" cm="1">
        <f t="array" ref="H156">INDEX(Data!I$3:I$635,MATCH(SMALL(IFERROR(SEARCH(,Data!I$3:I$635),10^9)+ROW(Data!I$3:I$635)/1000,ROWS(H$3:H156)),IFERROR(SEARCH(,Data!I$3:I$635),10^9)+ROW(Data!I$3:I$635)/1000,0))</f>
        <v/>
      </c>
      <c r="I156" s="882"/>
      <c r="J156" s="882"/>
    </row>
    <row r="157" spans="1:10" ht="45.75" customHeight="1" x14ac:dyDescent="0.35">
      <c r="A157" s="108" t="str">
        <f>IFERROR(INDEX(Data!A$3:A$635,MATCH(IF(B157="","END",B157),Data!$B$3:$B$635,0)),"")</f>
        <v/>
      </c>
      <c r="B157" s="108" t="str" cm="1">
        <f t="array" ref="B157">INDEX(Data!B$3:B$635,MATCH(SMALL(IFERROR(SEARCH(,Data!B$3:B$635),10^9)+ROW(Data!B$3:B$635)/1000,ROWS(B$3:B157)),IFERROR(SEARCH(,Data!B$3:B$635),10^9)+ROW(Data!B$3:B$635)/1000,0))</f>
        <v/>
      </c>
      <c r="C157" s="317" t="str" cm="1">
        <f t="array" ref="C157">INDEX(Data!C$3:C$635,MATCH(SMALL(IFERROR(SEARCH(,Data!C$3:C$635),10^9)+ROW(Data!C$3:C$635)/1000,ROWS(C$3:C157)),IFERROR(SEARCH(,Data!C$3:C$635),10^9)+ROW(Data!C$3:C$635)/1000,0))</f>
        <v/>
      </c>
      <c r="D157" s="111" t="str">
        <f t="shared" si="2"/>
        <v/>
      </c>
      <c r="E157" s="111" t="str" cm="1">
        <f t="array" ref="E157">INDEX(Data!E$3:E$635,MATCH(SMALL(IFERROR(SEARCH(,Data!E$3:E$635),10^9)+ROW(Data!E$3:E$635)/1000,ROWS(E$3:E157)),IFERROR(SEARCH(,Data!E$3:E$635),10^9)+ROW(Data!E$3:E$635)/1000,0))</f>
        <v/>
      </c>
      <c r="F157" s="111" t="str" cm="1">
        <f t="array" ref="F157">INDEX(Data!F$3:F$635,MATCH(SMALL(IFERROR(SEARCH(,Data!F$3:F$635),10^9)+ROW(Data!F$3:F$635)/1000,ROWS(F$3:F157)),IFERROR(SEARCH(,Data!F$3:F$635),10^9)+ROW(Data!F$3:F$635)/1000,0))</f>
        <v/>
      </c>
      <c r="G157" s="111" t="str" cm="1">
        <f t="array" ref="G157">INDEX(Data!G$3:G$635,MATCH(SMALL(IFERROR(SEARCH(,Data!G$3:G$635),10^9)+ROW(Data!G$3:G$635)/1000,ROWS(G$3:G157)),IFERROR(SEARCH(,Data!G$3:G$635),10^9)+ROW(Data!G$3:G$635)/1000,0))</f>
        <v/>
      </c>
      <c r="H157" s="623" t="str" cm="1">
        <f t="array" ref="H157">INDEX(Data!I$3:I$635,MATCH(SMALL(IFERROR(SEARCH(,Data!I$3:I$635),10^9)+ROW(Data!I$3:I$635)/1000,ROWS(H$3:H157)),IFERROR(SEARCH(,Data!I$3:I$635),10^9)+ROW(Data!I$3:I$635)/1000,0))</f>
        <v/>
      </c>
      <c r="I157" s="882"/>
      <c r="J157" s="882"/>
    </row>
    <row r="158" spans="1:10" ht="45.75" customHeight="1" x14ac:dyDescent="0.35">
      <c r="A158" s="108" t="str">
        <f>IFERROR(INDEX(Data!A$3:A$635,MATCH(IF(B158="","END",B158),Data!$B$3:$B$635,0)),"")</f>
        <v/>
      </c>
      <c r="B158" s="108" t="str" cm="1">
        <f t="array" ref="B158">INDEX(Data!B$3:B$635,MATCH(SMALL(IFERROR(SEARCH(,Data!B$3:B$635),10^9)+ROW(Data!B$3:B$635)/1000,ROWS(B$3:B158)),IFERROR(SEARCH(,Data!B$3:B$635),10^9)+ROW(Data!B$3:B$635)/1000,0))</f>
        <v/>
      </c>
      <c r="C158" s="317" t="str" cm="1">
        <f t="array" ref="C158">INDEX(Data!C$3:C$635,MATCH(SMALL(IFERROR(SEARCH(,Data!C$3:C$635),10^9)+ROW(Data!C$3:C$635)/1000,ROWS(C$3:C158)),IFERROR(SEARCH(,Data!C$3:C$635),10^9)+ROW(Data!C$3:C$635)/1000,0))</f>
        <v/>
      </c>
      <c r="D158" s="111" t="str">
        <f t="shared" si="2"/>
        <v/>
      </c>
      <c r="E158" s="111" t="str" cm="1">
        <f t="array" ref="E158">INDEX(Data!E$3:E$635,MATCH(SMALL(IFERROR(SEARCH(,Data!E$3:E$635),10^9)+ROW(Data!E$3:E$635)/1000,ROWS(E$3:E158)),IFERROR(SEARCH(,Data!E$3:E$635),10^9)+ROW(Data!E$3:E$635)/1000,0))</f>
        <v/>
      </c>
      <c r="F158" s="111" t="str" cm="1">
        <f t="array" ref="F158">INDEX(Data!F$3:F$635,MATCH(SMALL(IFERROR(SEARCH(,Data!F$3:F$635),10^9)+ROW(Data!F$3:F$635)/1000,ROWS(F$3:F158)),IFERROR(SEARCH(,Data!F$3:F$635),10^9)+ROW(Data!F$3:F$635)/1000,0))</f>
        <v/>
      </c>
      <c r="G158" s="111" t="str" cm="1">
        <f t="array" ref="G158">INDEX(Data!G$3:G$635,MATCH(SMALL(IFERROR(SEARCH(,Data!G$3:G$635),10^9)+ROW(Data!G$3:G$635)/1000,ROWS(G$3:G158)),IFERROR(SEARCH(,Data!G$3:G$635),10^9)+ROW(Data!G$3:G$635)/1000,0))</f>
        <v/>
      </c>
      <c r="H158" s="623" t="str" cm="1">
        <f t="array" ref="H158">INDEX(Data!I$3:I$635,MATCH(SMALL(IFERROR(SEARCH(,Data!I$3:I$635),10^9)+ROW(Data!I$3:I$635)/1000,ROWS(H$3:H158)),IFERROR(SEARCH(,Data!I$3:I$635),10^9)+ROW(Data!I$3:I$635)/1000,0))</f>
        <v/>
      </c>
      <c r="I158" s="882"/>
      <c r="J158" s="882"/>
    </row>
    <row r="159" spans="1:10" ht="45.75" customHeight="1" x14ac:dyDescent="0.35">
      <c r="A159" s="108" t="str">
        <f>IFERROR(INDEX(Data!A$3:A$635,MATCH(IF(B159="","END",B159),Data!$B$3:$B$635,0)),"")</f>
        <v/>
      </c>
      <c r="B159" s="108" t="str" cm="1">
        <f t="array" ref="B159">INDEX(Data!B$3:B$635,MATCH(SMALL(IFERROR(SEARCH(,Data!B$3:B$635),10^9)+ROW(Data!B$3:B$635)/1000,ROWS(B$3:B159)),IFERROR(SEARCH(,Data!B$3:B$635),10^9)+ROW(Data!B$3:B$635)/1000,0))</f>
        <v/>
      </c>
      <c r="C159" s="317" t="str" cm="1">
        <f t="array" ref="C159">INDEX(Data!C$3:C$635,MATCH(SMALL(IFERROR(SEARCH(,Data!C$3:C$635),10^9)+ROW(Data!C$3:C$635)/1000,ROWS(C$3:C159)),IFERROR(SEARCH(,Data!C$3:C$635),10^9)+ROW(Data!C$3:C$635)/1000,0))</f>
        <v/>
      </c>
      <c r="D159" s="111" t="str">
        <f t="shared" si="2"/>
        <v/>
      </c>
      <c r="E159" s="111" t="str" cm="1">
        <f t="array" ref="E159">INDEX(Data!E$3:E$635,MATCH(SMALL(IFERROR(SEARCH(,Data!E$3:E$635),10^9)+ROW(Data!E$3:E$635)/1000,ROWS(E$3:E159)),IFERROR(SEARCH(,Data!E$3:E$635),10^9)+ROW(Data!E$3:E$635)/1000,0))</f>
        <v/>
      </c>
      <c r="F159" s="111" t="str" cm="1">
        <f t="array" ref="F159">INDEX(Data!F$3:F$635,MATCH(SMALL(IFERROR(SEARCH(,Data!F$3:F$635),10^9)+ROW(Data!F$3:F$635)/1000,ROWS(F$3:F159)),IFERROR(SEARCH(,Data!F$3:F$635),10^9)+ROW(Data!F$3:F$635)/1000,0))</f>
        <v/>
      </c>
      <c r="G159" s="111" t="str" cm="1">
        <f t="array" ref="G159">INDEX(Data!G$3:G$635,MATCH(SMALL(IFERROR(SEARCH(,Data!G$3:G$635),10^9)+ROW(Data!G$3:G$635)/1000,ROWS(G$3:G159)),IFERROR(SEARCH(,Data!G$3:G$635),10^9)+ROW(Data!G$3:G$635)/1000,0))</f>
        <v/>
      </c>
      <c r="H159" s="623" t="str" cm="1">
        <f t="array" ref="H159">INDEX(Data!I$3:I$635,MATCH(SMALL(IFERROR(SEARCH(,Data!I$3:I$635),10^9)+ROW(Data!I$3:I$635)/1000,ROWS(H$3:H159)),IFERROR(SEARCH(,Data!I$3:I$635),10^9)+ROW(Data!I$3:I$635)/1000,0))</f>
        <v/>
      </c>
      <c r="I159" s="882"/>
      <c r="J159" s="882"/>
    </row>
    <row r="160" spans="1:10" ht="45.75" customHeight="1" x14ac:dyDescent="0.35">
      <c r="A160" s="108" t="str">
        <f>IFERROR(INDEX(Data!A$3:A$635,MATCH(IF(B160="","END",B160),Data!$B$3:$B$635,0)),"")</f>
        <v/>
      </c>
      <c r="B160" s="108" t="str" cm="1">
        <f t="array" ref="B160">INDEX(Data!B$3:B$635,MATCH(SMALL(IFERROR(SEARCH(,Data!B$3:B$635),10^9)+ROW(Data!B$3:B$635)/1000,ROWS(B$3:B160)),IFERROR(SEARCH(,Data!B$3:B$635),10^9)+ROW(Data!B$3:B$635)/1000,0))</f>
        <v/>
      </c>
      <c r="C160" s="317" t="str" cm="1">
        <f t="array" ref="C160">INDEX(Data!C$3:C$635,MATCH(SMALL(IFERROR(SEARCH(,Data!C$3:C$635),10^9)+ROW(Data!C$3:C$635)/1000,ROWS(C$3:C160)),IFERROR(SEARCH(,Data!C$3:C$635),10^9)+ROW(Data!C$3:C$635)/1000,0))</f>
        <v/>
      </c>
      <c r="D160" s="111" t="str">
        <f t="shared" si="2"/>
        <v/>
      </c>
      <c r="E160" s="111" t="str" cm="1">
        <f t="array" ref="E160">INDEX(Data!E$3:E$635,MATCH(SMALL(IFERROR(SEARCH(,Data!E$3:E$635),10^9)+ROW(Data!E$3:E$635)/1000,ROWS(E$3:E160)),IFERROR(SEARCH(,Data!E$3:E$635),10^9)+ROW(Data!E$3:E$635)/1000,0))</f>
        <v/>
      </c>
      <c r="F160" s="111" t="str" cm="1">
        <f t="array" ref="F160">INDEX(Data!F$3:F$635,MATCH(SMALL(IFERROR(SEARCH(,Data!F$3:F$635),10^9)+ROW(Data!F$3:F$635)/1000,ROWS(F$3:F160)),IFERROR(SEARCH(,Data!F$3:F$635),10^9)+ROW(Data!F$3:F$635)/1000,0))</f>
        <v/>
      </c>
      <c r="G160" s="111" t="str" cm="1">
        <f t="array" ref="G160">INDEX(Data!G$3:G$635,MATCH(SMALL(IFERROR(SEARCH(,Data!G$3:G$635),10^9)+ROW(Data!G$3:G$635)/1000,ROWS(G$3:G160)),IFERROR(SEARCH(,Data!G$3:G$635),10^9)+ROW(Data!G$3:G$635)/1000,0))</f>
        <v/>
      </c>
      <c r="H160" s="623" t="str" cm="1">
        <f t="array" ref="H160">INDEX(Data!I$3:I$635,MATCH(SMALL(IFERROR(SEARCH(,Data!I$3:I$635),10^9)+ROW(Data!I$3:I$635)/1000,ROWS(H$3:H160)),IFERROR(SEARCH(,Data!I$3:I$635),10^9)+ROW(Data!I$3:I$635)/1000,0))</f>
        <v/>
      </c>
      <c r="I160" s="882"/>
      <c r="J160" s="882"/>
    </row>
    <row r="161" spans="1:10" ht="45.75" customHeight="1" x14ac:dyDescent="0.35">
      <c r="A161" s="108" t="str">
        <f>IFERROR(INDEX(Data!A$3:A$635,MATCH(IF(B161="","END",B161),Data!$B$3:$B$635,0)),"")</f>
        <v/>
      </c>
      <c r="B161" s="108" t="str" cm="1">
        <f t="array" ref="B161">INDEX(Data!B$3:B$635,MATCH(SMALL(IFERROR(SEARCH(,Data!B$3:B$635),10^9)+ROW(Data!B$3:B$635)/1000,ROWS(B$3:B161)),IFERROR(SEARCH(,Data!B$3:B$635),10^9)+ROW(Data!B$3:B$635)/1000,0))</f>
        <v/>
      </c>
      <c r="C161" s="317" t="str" cm="1">
        <f t="array" ref="C161">INDEX(Data!C$3:C$635,MATCH(SMALL(IFERROR(SEARCH(,Data!C$3:C$635),10^9)+ROW(Data!C$3:C$635)/1000,ROWS(C$3:C161)),IFERROR(SEARCH(,Data!C$3:C$635),10^9)+ROW(Data!C$3:C$635)/1000,0))</f>
        <v/>
      </c>
      <c r="D161" s="111" t="str">
        <f t="shared" si="2"/>
        <v/>
      </c>
      <c r="E161" s="111" t="str" cm="1">
        <f t="array" ref="E161">INDEX(Data!E$3:E$635,MATCH(SMALL(IFERROR(SEARCH(,Data!E$3:E$635),10^9)+ROW(Data!E$3:E$635)/1000,ROWS(E$3:E161)),IFERROR(SEARCH(,Data!E$3:E$635),10^9)+ROW(Data!E$3:E$635)/1000,0))</f>
        <v/>
      </c>
      <c r="F161" s="111" t="str" cm="1">
        <f t="array" ref="F161">INDEX(Data!F$3:F$635,MATCH(SMALL(IFERROR(SEARCH(,Data!F$3:F$635),10^9)+ROW(Data!F$3:F$635)/1000,ROWS(F$3:F161)),IFERROR(SEARCH(,Data!F$3:F$635),10^9)+ROW(Data!F$3:F$635)/1000,0))</f>
        <v/>
      </c>
      <c r="G161" s="111" t="str" cm="1">
        <f t="array" ref="G161">INDEX(Data!G$3:G$635,MATCH(SMALL(IFERROR(SEARCH(,Data!G$3:G$635),10^9)+ROW(Data!G$3:G$635)/1000,ROWS(G$3:G161)),IFERROR(SEARCH(,Data!G$3:G$635),10^9)+ROW(Data!G$3:G$635)/1000,0))</f>
        <v/>
      </c>
      <c r="H161" s="623" t="str" cm="1">
        <f t="array" ref="H161">INDEX(Data!I$3:I$635,MATCH(SMALL(IFERROR(SEARCH(,Data!I$3:I$635),10^9)+ROW(Data!I$3:I$635)/1000,ROWS(H$3:H161)),IFERROR(SEARCH(,Data!I$3:I$635),10^9)+ROW(Data!I$3:I$635)/1000,0))</f>
        <v/>
      </c>
      <c r="I161" s="882"/>
      <c r="J161" s="882"/>
    </row>
    <row r="162" spans="1:10" ht="45.75" customHeight="1" x14ac:dyDescent="0.35">
      <c r="A162" s="108" t="str">
        <f>IFERROR(INDEX(Data!A$3:A$635,MATCH(IF(B162="","END",B162),Data!$B$3:$B$635,0)),"")</f>
        <v/>
      </c>
      <c r="B162" s="108" t="str" cm="1">
        <f t="array" ref="B162">INDEX(Data!B$3:B$635,MATCH(SMALL(IFERROR(SEARCH(,Data!B$3:B$635),10^9)+ROW(Data!B$3:B$635)/1000,ROWS(B$3:B162)),IFERROR(SEARCH(,Data!B$3:B$635),10^9)+ROW(Data!B$3:B$635)/1000,0))</f>
        <v/>
      </c>
      <c r="C162" s="317" t="str" cm="1">
        <f t="array" ref="C162">INDEX(Data!C$3:C$635,MATCH(SMALL(IFERROR(SEARCH(,Data!C$3:C$635),10^9)+ROW(Data!C$3:C$635)/1000,ROWS(C$3:C162)),IFERROR(SEARCH(,Data!C$3:C$635),10^9)+ROW(Data!C$3:C$635)/1000,0))</f>
        <v/>
      </c>
      <c r="D162" s="111" t="str">
        <f t="shared" si="2"/>
        <v/>
      </c>
      <c r="E162" s="111" t="str" cm="1">
        <f t="array" ref="E162">INDEX(Data!E$3:E$635,MATCH(SMALL(IFERROR(SEARCH(,Data!E$3:E$635),10^9)+ROW(Data!E$3:E$635)/1000,ROWS(E$3:E162)),IFERROR(SEARCH(,Data!E$3:E$635),10^9)+ROW(Data!E$3:E$635)/1000,0))</f>
        <v/>
      </c>
      <c r="F162" s="111" t="str" cm="1">
        <f t="array" ref="F162">INDEX(Data!F$3:F$635,MATCH(SMALL(IFERROR(SEARCH(,Data!F$3:F$635),10^9)+ROW(Data!F$3:F$635)/1000,ROWS(F$3:F162)),IFERROR(SEARCH(,Data!F$3:F$635),10^9)+ROW(Data!F$3:F$635)/1000,0))</f>
        <v/>
      </c>
      <c r="G162" s="111" t="str" cm="1">
        <f t="array" ref="G162">INDEX(Data!G$3:G$635,MATCH(SMALL(IFERROR(SEARCH(,Data!G$3:G$635),10^9)+ROW(Data!G$3:G$635)/1000,ROWS(G$3:G162)),IFERROR(SEARCH(,Data!G$3:G$635),10^9)+ROW(Data!G$3:G$635)/1000,0))</f>
        <v/>
      </c>
      <c r="H162" s="623" t="str" cm="1">
        <f t="array" ref="H162">INDEX(Data!I$3:I$635,MATCH(SMALL(IFERROR(SEARCH(,Data!I$3:I$635),10^9)+ROW(Data!I$3:I$635)/1000,ROWS(H$3:H162)),IFERROR(SEARCH(,Data!I$3:I$635),10^9)+ROW(Data!I$3:I$635)/1000,0))</f>
        <v/>
      </c>
      <c r="I162" s="882"/>
      <c r="J162" s="882"/>
    </row>
    <row r="163" spans="1:10" ht="45.75" customHeight="1" x14ac:dyDescent="0.35">
      <c r="A163" s="108" t="str">
        <f>IFERROR(INDEX(Data!A$3:A$635,MATCH(IF(B163="","END",B163),Data!$B$3:$B$635,0)),"")</f>
        <v/>
      </c>
      <c r="B163" s="108" t="str" cm="1">
        <f t="array" ref="B163">INDEX(Data!B$3:B$635,MATCH(SMALL(IFERROR(SEARCH(,Data!B$3:B$635),10^9)+ROW(Data!B$3:B$635)/1000,ROWS(B$3:B163)),IFERROR(SEARCH(,Data!B$3:B$635),10^9)+ROW(Data!B$3:B$635)/1000,0))</f>
        <v/>
      </c>
      <c r="C163" s="317" t="str" cm="1">
        <f t="array" ref="C163">INDEX(Data!C$3:C$635,MATCH(SMALL(IFERROR(SEARCH(,Data!C$3:C$635),10^9)+ROW(Data!C$3:C$635)/1000,ROWS(C$3:C163)),IFERROR(SEARCH(,Data!C$3:C$635),10^9)+ROW(Data!C$3:C$635)/1000,0))</f>
        <v/>
      </c>
      <c r="D163" s="111" t="str">
        <f t="shared" si="2"/>
        <v/>
      </c>
      <c r="E163" s="111" t="str" cm="1">
        <f t="array" ref="E163">INDEX(Data!E$3:E$635,MATCH(SMALL(IFERROR(SEARCH(,Data!E$3:E$635),10^9)+ROW(Data!E$3:E$635)/1000,ROWS(E$3:E163)),IFERROR(SEARCH(,Data!E$3:E$635),10^9)+ROW(Data!E$3:E$635)/1000,0))</f>
        <v/>
      </c>
      <c r="F163" s="111" t="str" cm="1">
        <f t="array" ref="F163">INDEX(Data!F$3:F$635,MATCH(SMALL(IFERROR(SEARCH(,Data!F$3:F$635),10^9)+ROW(Data!F$3:F$635)/1000,ROWS(F$3:F163)),IFERROR(SEARCH(,Data!F$3:F$635),10^9)+ROW(Data!F$3:F$635)/1000,0))</f>
        <v/>
      </c>
      <c r="G163" s="111" t="str" cm="1">
        <f t="array" ref="G163">INDEX(Data!G$3:G$635,MATCH(SMALL(IFERROR(SEARCH(,Data!G$3:G$635),10^9)+ROW(Data!G$3:G$635)/1000,ROWS(G$3:G163)),IFERROR(SEARCH(,Data!G$3:G$635),10^9)+ROW(Data!G$3:G$635)/1000,0))</f>
        <v/>
      </c>
      <c r="H163" s="623" t="str" cm="1">
        <f t="array" ref="H163">INDEX(Data!I$3:I$635,MATCH(SMALL(IFERROR(SEARCH(,Data!I$3:I$635),10^9)+ROW(Data!I$3:I$635)/1000,ROWS(H$3:H163)),IFERROR(SEARCH(,Data!I$3:I$635),10^9)+ROW(Data!I$3:I$635)/1000,0))</f>
        <v/>
      </c>
      <c r="I163" s="882"/>
      <c r="J163" s="882"/>
    </row>
    <row r="164" spans="1:10" ht="45.75" customHeight="1" x14ac:dyDescent="0.35">
      <c r="A164" s="108" t="str">
        <f>IFERROR(INDEX(Data!A$3:A$635,MATCH(IF(B164="","END",B164),Data!$B$3:$B$635,0)),"")</f>
        <v/>
      </c>
      <c r="B164" s="108" t="str" cm="1">
        <f t="array" ref="B164">INDEX(Data!B$3:B$635,MATCH(SMALL(IFERROR(SEARCH(,Data!B$3:B$635),10^9)+ROW(Data!B$3:B$635)/1000,ROWS(B$3:B164)),IFERROR(SEARCH(,Data!B$3:B$635),10^9)+ROW(Data!B$3:B$635)/1000,0))</f>
        <v/>
      </c>
      <c r="C164" s="317" t="str" cm="1">
        <f t="array" ref="C164">INDEX(Data!C$3:C$635,MATCH(SMALL(IFERROR(SEARCH(,Data!C$3:C$635),10^9)+ROW(Data!C$3:C$635)/1000,ROWS(C$3:C164)),IFERROR(SEARCH(,Data!C$3:C$635),10^9)+ROW(Data!C$3:C$635)/1000,0))</f>
        <v/>
      </c>
      <c r="D164" s="111" t="str">
        <f t="shared" si="2"/>
        <v/>
      </c>
      <c r="E164" s="111" t="str" cm="1">
        <f t="array" ref="E164">INDEX(Data!E$3:E$635,MATCH(SMALL(IFERROR(SEARCH(,Data!E$3:E$635),10^9)+ROW(Data!E$3:E$635)/1000,ROWS(E$3:E164)),IFERROR(SEARCH(,Data!E$3:E$635),10^9)+ROW(Data!E$3:E$635)/1000,0))</f>
        <v/>
      </c>
      <c r="F164" s="111" t="str" cm="1">
        <f t="array" ref="F164">INDEX(Data!F$3:F$635,MATCH(SMALL(IFERROR(SEARCH(,Data!F$3:F$635),10^9)+ROW(Data!F$3:F$635)/1000,ROWS(F$3:F164)),IFERROR(SEARCH(,Data!F$3:F$635),10^9)+ROW(Data!F$3:F$635)/1000,0))</f>
        <v/>
      </c>
      <c r="G164" s="111" t="str" cm="1">
        <f t="array" ref="G164">INDEX(Data!G$3:G$635,MATCH(SMALL(IFERROR(SEARCH(,Data!G$3:G$635),10^9)+ROW(Data!G$3:G$635)/1000,ROWS(G$3:G164)),IFERROR(SEARCH(,Data!G$3:G$635),10^9)+ROW(Data!G$3:G$635)/1000,0))</f>
        <v/>
      </c>
      <c r="H164" s="623" t="str" cm="1">
        <f t="array" ref="H164">INDEX(Data!I$3:I$635,MATCH(SMALL(IFERROR(SEARCH(,Data!I$3:I$635),10^9)+ROW(Data!I$3:I$635)/1000,ROWS(H$3:H164)),IFERROR(SEARCH(,Data!I$3:I$635),10^9)+ROW(Data!I$3:I$635)/1000,0))</f>
        <v/>
      </c>
      <c r="I164" s="882"/>
      <c r="J164" s="882"/>
    </row>
    <row r="165" spans="1:10" ht="45.75" customHeight="1" x14ac:dyDescent="0.35">
      <c r="A165" s="108" t="str">
        <f>IFERROR(INDEX(Data!A$3:A$635,MATCH(IF(B165="","END",B165),Data!$B$3:$B$635,0)),"")</f>
        <v/>
      </c>
      <c r="B165" s="108" t="str" cm="1">
        <f t="array" ref="B165">INDEX(Data!B$3:B$635,MATCH(SMALL(IFERROR(SEARCH(,Data!B$3:B$635),10^9)+ROW(Data!B$3:B$635)/1000,ROWS(B$3:B165)),IFERROR(SEARCH(,Data!B$3:B$635),10^9)+ROW(Data!B$3:B$635)/1000,0))</f>
        <v/>
      </c>
      <c r="C165" s="317" t="str" cm="1">
        <f t="array" ref="C165">INDEX(Data!C$3:C$635,MATCH(SMALL(IFERROR(SEARCH(,Data!C$3:C$635),10^9)+ROW(Data!C$3:C$635)/1000,ROWS(C$3:C165)),IFERROR(SEARCH(,Data!C$3:C$635),10^9)+ROW(Data!C$3:C$635)/1000,0))</f>
        <v/>
      </c>
      <c r="D165" s="111" t="str">
        <f t="shared" si="2"/>
        <v/>
      </c>
      <c r="E165" s="111" t="str" cm="1">
        <f t="array" ref="E165">INDEX(Data!E$3:E$635,MATCH(SMALL(IFERROR(SEARCH(,Data!E$3:E$635),10^9)+ROW(Data!E$3:E$635)/1000,ROWS(E$3:E165)),IFERROR(SEARCH(,Data!E$3:E$635),10^9)+ROW(Data!E$3:E$635)/1000,0))</f>
        <v/>
      </c>
      <c r="F165" s="111" t="str" cm="1">
        <f t="array" ref="F165">INDEX(Data!F$3:F$635,MATCH(SMALL(IFERROR(SEARCH(,Data!F$3:F$635),10^9)+ROW(Data!F$3:F$635)/1000,ROWS(F$3:F165)),IFERROR(SEARCH(,Data!F$3:F$635),10^9)+ROW(Data!F$3:F$635)/1000,0))</f>
        <v/>
      </c>
      <c r="G165" s="111" t="str" cm="1">
        <f t="array" ref="G165">INDEX(Data!G$3:G$635,MATCH(SMALL(IFERROR(SEARCH(,Data!G$3:G$635),10^9)+ROW(Data!G$3:G$635)/1000,ROWS(G$3:G165)),IFERROR(SEARCH(,Data!G$3:G$635),10^9)+ROW(Data!G$3:G$635)/1000,0))</f>
        <v/>
      </c>
      <c r="H165" s="623" t="str" cm="1">
        <f t="array" ref="H165">INDEX(Data!I$3:I$635,MATCH(SMALL(IFERROR(SEARCH(,Data!I$3:I$635),10^9)+ROW(Data!I$3:I$635)/1000,ROWS(H$3:H165)),IFERROR(SEARCH(,Data!I$3:I$635),10^9)+ROW(Data!I$3:I$635)/1000,0))</f>
        <v/>
      </c>
      <c r="I165" s="882"/>
      <c r="J165" s="882"/>
    </row>
    <row r="166" spans="1:10" ht="45.75" customHeight="1" x14ac:dyDescent="0.35">
      <c r="A166" s="108" t="str">
        <f>IFERROR(INDEX(Data!A$3:A$635,MATCH(IF(B166="","END",B166),Data!$B$3:$B$635,0)),"")</f>
        <v/>
      </c>
      <c r="B166" s="108" t="str" cm="1">
        <f t="array" ref="B166">INDEX(Data!B$3:B$635,MATCH(SMALL(IFERROR(SEARCH(,Data!B$3:B$635),10^9)+ROW(Data!B$3:B$635)/1000,ROWS(B$3:B166)),IFERROR(SEARCH(,Data!B$3:B$635),10^9)+ROW(Data!B$3:B$635)/1000,0))</f>
        <v/>
      </c>
      <c r="C166" s="317" t="str" cm="1">
        <f t="array" ref="C166">INDEX(Data!C$3:C$635,MATCH(SMALL(IFERROR(SEARCH(,Data!C$3:C$635),10^9)+ROW(Data!C$3:C$635)/1000,ROWS(C$3:C166)),IFERROR(SEARCH(,Data!C$3:C$635),10^9)+ROW(Data!C$3:C$635)/1000,0))</f>
        <v/>
      </c>
      <c r="D166" s="111" t="str">
        <f t="shared" si="2"/>
        <v/>
      </c>
      <c r="E166" s="111" t="str" cm="1">
        <f t="array" ref="E166">INDEX(Data!E$3:E$635,MATCH(SMALL(IFERROR(SEARCH(,Data!E$3:E$635),10^9)+ROW(Data!E$3:E$635)/1000,ROWS(E$3:E166)),IFERROR(SEARCH(,Data!E$3:E$635),10^9)+ROW(Data!E$3:E$635)/1000,0))</f>
        <v/>
      </c>
      <c r="F166" s="111" t="str" cm="1">
        <f t="array" ref="F166">INDEX(Data!F$3:F$635,MATCH(SMALL(IFERROR(SEARCH(,Data!F$3:F$635),10^9)+ROW(Data!F$3:F$635)/1000,ROWS(F$3:F166)),IFERROR(SEARCH(,Data!F$3:F$635),10^9)+ROW(Data!F$3:F$635)/1000,0))</f>
        <v/>
      </c>
      <c r="G166" s="111" t="str" cm="1">
        <f t="array" ref="G166">INDEX(Data!G$3:G$635,MATCH(SMALL(IFERROR(SEARCH(,Data!G$3:G$635),10^9)+ROW(Data!G$3:G$635)/1000,ROWS(G$3:G166)),IFERROR(SEARCH(,Data!G$3:G$635),10^9)+ROW(Data!G$3:G$635)/1000,0))</f>
        <v/>
      </c>
      <c r="H166" s="623" t="str" cm="1">
        <f t="array" ref="H166">INDEX(Data!I$3:I$635,MATCH(SMALL(IFERROR(SEARCH(,Data!I$3:I$635),10^9)+ROW(Data!I$3:I$635)/1000,ROWS(H$3:H166)),IFERROR(SEARCH(,Data!I$3:I$635),10^9)+ROW(Data!I$3:I$635)/1000,0))</f>
        <v/>
      </c>
      <c r="I166" s="882"/>
      <c r="J166" s="882"/>
    </row>
    <row r="167" spans="1:10" ht="45.75" customHeight="1" x14ac:dyDescent="0.35">
      <c r="A167" s="108" t="str">
        <f>IFERROR(INDEX(Data!A$3:A$635,MATCH(IF(B167="","END",B167),Data!$B$3:$B$635,0)),"")</f>
        <v/>
      </c>
      <c r="B167" s="108" t="str" cm="1">
        <f t="array" ref="B167">INDEX(Data!B$3:B$635,MATCH(SMALL(IFERROR(SEARCH(,Data!B$3:B$635),10^9)+ROW(Data!B$3:B$635)/1000,ROWS(B$3:B167)),IFERROR(SEARCH(,Data!B$3:B$635),10^9)+ROW(Data!B$3:B$635)/1000,0))</f>
        <v/>
      </c>
      <c r="C167" s="317" t="str" cm="1">
        <f t="array" ref="C167">INDEX(Data!C$3:C$635,MATCH(SMALL(IFERROR(SEARCH(,Data!C$3:C$635),10^9)+ROW(Data!C$3:C$635)/1000,ROWS(C$3:C167)),IFERROR(SEARCH(,Data!C$3:C$635),10^9)+ROW(Data!C$3:C$635)/1000,0))</f>
        <v/>
      </c>
      <c r="D167" s="111" t="str">
        <f t="shared" si="2"/>
        <v/>
      </c>
      <c r="E167" s="111" t="str" cm="1">
        <f t="array" ref="E167">INDEX(Data!E$3:E$635,MATCH(SMALL(IFERROR(SEARCH(,Data!E$3:E$635),10^9)+ROW(Data!E$3:E$635)/1000,ROWS(E$3:E167)),IFERROR(SEARCH(,Data!E$3:E$635),10^9)+ROW(Data!E$3:E$635)/1000,0))</f>
        <v/>
      </c>
      <c r="F167" s="111" t="str" cm="1">
        <f t="array" ref="F167">INDEX(Data!F$3:F$635,MATCH(SMALL(IFERROR(SEARCH(,Data!F$3:F$635),10^9)+ROW(Data!F$3:F$635)/1000,ROWS(F$3:F167)),IFERROR(SEARCH(,Data!F$3:F$635),10^9)+ROW(Data!F$3:F$635)/1000,0))</f>
        <v/>
      </c>
      <c r="G167" s="111" t="str" cm="1">
        <f t="array" ref="G167">INDEX(Data!G$3:G$635,MATCH(SMALL(IFERROR(SEARCH(,Data!G$3:G$635),10^9)+ROW(Data!G$3:G$635)/1000,ROWS(G$3:G167)),IFERROR(SEARCH(,Data!G$3:G$635),10^9)+ROW(Data!G$3:G$635)/1000,0))</f>
        <v/>
      </c>
      <c r="H167" s="623" t="str" cm="1">
        <f t="array" ref="H167">INDEX(Data!I$3:I$635,MATCH(SMALL(IFERROR(SEARCH(,Data!I$3:I$635),10^9)+ROW(Data!I$3:I$635)/1000,ROWS(H$3:H167)),IFERROR(SEARCH(,Data!I$3:I$635),10^9)+ROW(Data!I$3:I$635)/1000,0))</f>
        <v/>
      </c>
      <c r="I167" s="882"/>
      <c r="J167" s="882"/>
    </row>
    <row r="168" spans="1:10" ht="45.75" customHeight="1" x14ac:dyDescent="0.35">
      <c r="A168" s="108" t="str">
        <f>IFERROR(INDEX(Data!A$3:A$635,MATCH(IF(B168="","END",B168),Data!$B$3:$B$635,0)),"")</f>
        <v/>
      </c>
      <c r="B168" s="108" t="str" cm="1">
        <f t="array" ref="B168">INDEX(Data!B$3:B$635,MATCH(SMALL(IFERROR(SEARCH(,Data!B$3:B$635),10^9)+ROW(Data!B$3:B$635)/1000,ROWS(B$3:B168)),IFERROR(SEARCH(,Data!B$3:B$635),10^9)+ROW(Data!B$3:B$635)/1000,0))</f>
        <v/>
      </c>
      <c r="C168" s="317" t="str" cm="1">
        <f t="array" ref="C168">INDEX(Data!C$3:C$635,MATCH(SMALL(IFERROR(SEARCH(,Data!C$3:C$635),10^9)+ROW(Data!C$3:C$635)/1000,ROWS(C$3:C168)),IFERROR(SEARCH(,Data!C$3:C$635),10^9)+ROW(Data!C$3:C$635)/1000,0))</f>
        <v/>
      </c>
      <c r="D168" s="111" t="str">
        <f t="shared" si="2"/>
        <v/>
      </c>
      <c r="E168" s="111" t="str" cm="1">
        <f t="array" ref="E168">INDEX(Data!E$3:E$635,MATCH(SMALL(IFERROR(SEARCH(,Data!E$3:E$635),10^9)+ROW(Data!E$3:E$635)/1000,ROWS(E$3:E168)),IFERROR(SEARCH(,Data!E$3:E$635),10^9)+ROW(Data!E$3:E$635)/1000,0))</f>
        <v/>
      </c>
      <c r="F168" s="111" t="str" cm="1">
        <f t="array" ref="F168">INDEX(Data!F$3:F$635,MATCH(SMALL(IFERROR(SEARCH(,Data!F$3:F$635),10^9)+ROW(Data!F$3:F$635)/1000,ROWS(F$3:F168)),IFERROR(SEARCH(,Data!F$3:F$635),10^9)+ROW(Data!F$3:F$635)/1000,0))</f>
        <v/>
      </c>
      <c r="G168" s="111" t="str" cm="1">
        <f t="array" ref="G168">INDEX(Data!G$3:G$635,MATCH(SMALL(IFERROR(SEARCH(,Data!G$3:G$635),10^9)+ROW(Data!G$3:G$635)/1000,ROWS(G$3:G168)),IFERROR(SEARCH(,Data!G$3:G$635),10^9)+ROW(Data!G$3:G$635)/1000,0))</f>
        <v/>
      </c>
      <c r="H168" s="623" t="str" cm="1">
        <f t="array" ref="H168">INDEX(Data!I$3:I$635,MATCH(SMALL(IFERROR(SEARCH(,Data!I$3:I$635),10^9)+ROW(Data!I$3:I$635)/1000,ROWS(H$3:H168)),IFERROR(SEARCH(,Data!I$3:I$635),10^9)+ROW(Data!I$3:I$635)/1000,0))</f>
        <v/>
      </c>
      <c r="I168" s="882"/>
      <c r="J168" s="882"/>
    </row>
    <row r="169" spans="1:10" ht="45.75" customHeight="1" x14ac:dyDescent="0.35">
      <c r="A169" s="108" t="str">
        <f>IFERROR(INDEX(Data!A$3:A$635,MATCH(IF(B169="","END",B169),Data!$B$3:$B$635,0)),"")</f>
        <v/>
      </c>
      <c r="B169" s="108" t="str" cm="1">
        <f t="array" ref="B169">INDEX(Data!B$3:B$635,MATCH(SMALL(IFERROR(SEARCH(,Data!B$3:B$635),10^9)+ROW(Data!B$3:B$635)/1000,ROWS(B$3:B169)),IFERROR(SEARCH(,Data!B$3:B$635),10^9)+ROW(Data!B$3:B$635)/1000,0))</f>
        <v/>
      </c>
      <c r="C169" s="317" t="str" cm="1">
        <f t="array" ref="C169">INDEX(Data!C$3:C$635,MATCH(SMALL(IFERROR(SEARCH(,Data!C$3:C$635),10^9)+ROW(Data!C$3:C$635)/1000,ROWS(C$3:C169)),IFERROR(SEARCH(,Data!C$3:C$635),10^9)+ROW(Data!C$3:C$635)/1000,0))</f>
        <v/>
      </c>
      <c r="D169" s="111" t="str">
        <f t="shared" si="2"/>
        <v/>
      </c>
      <c r="E169" s="111" t="str" cm="1">
        <f t="array" ref="E169">INDEX(Data!E$3:E$635,MATCH(SMALL(IFERROR(SEARCH(,Data!E$3:E$635),10^9)+ROW(Data!E$3:E$635)/1000,ROWS(E$3:E169)),IFERROR(SEARCH(,Data!E$3:E$635),10^9)+ROW(Data!E$3:E$635)/1000,0))</f>
        <v/>
      </c>
      <c r="F169" s="111" t="str" cm="1">
        <f t="array" ref="F169">INDEX(Data!F$3:F$635,MATCH(SMALL(IFERROR(SEARCH(,Data!F$3:F$635),10^9)+ROW(Data!F$3:F$635)/1000,ROWS(F$3:F169)),IFERROR(SEARCH(,Data!F$3:F$635),10^9)+ROW(Data!F$3:F$635)/1000,0))</f>
        <v/>
      </c>
      <c r="G169" s="111" t="str" cm="1">
        <f t="array" ref="G169">INDEX(Data!G$3:G$635,MATCH(SMALL(IFERROR(SEARCH(,Data!G$3:G$635),10^9)+ROW(Data!G$3:G$635)/1000,ROWS(G$3:G169)),IFERROR(SEARCH(,Data!G$3:G$635),10^9)+ROW(Data!G$3:G$635)/1000,0))</f>
        <v/>
      </c>
      <c r="H169" s="623" t="str" cm="1">
        <f t="array" ref="H169">INDEX(Data!I$3:I$635,MATCH(SMALL(IFERROR(SEARCH(,Data!I$3:I$635),10^9)+ROW(Data!I$3:I$635)/1000,ROWS(H$3:H169)),IFERROR(SEARCH(,Data!I$3:I$635),10^9)+ROW(Data!I$3:I$635)/1000,0))</f>
        <v/>
      </c>
      <c r="I169" s="882"/>
      <c r="J169" s="882"/>
    </row>
    <row r="170" spans="1:10" ht="45.75" customHeight="1" x14ac:dyDescent="0.35">
      <c r="A170" s="108" t="str">
        <f>IFERROR(INDEX(Data!A$3:A$635,MATCH(IF(B170="","END",B170),Data!$B$3:$B$635,0)),"")</f>
        <v/>
      </c>
      <c r="B170" s="108" t="str" cm="1">
        <f t="array" ref="B170">INDEX(Data!B$3:B$635,MATCH(SMALL(IFERROR(SEARCH(,Data!B$3:B$635),10^9)+ROW(Data!B$3:B$635)/1000,ROWS(B$3:B170)),IFERROR(SEARCH(,Data!B$3:B$635),10^9)+ROW(Data!B$3:B$635)/1000,0))</f>
        <v/>
      </c>
      <c r="C170" s="317" t="str" cm="1">
        <f t="array" ref="C170">INDEX(Data!C$3:C$635,MATCH(SMALL(IFERROR(SEARCH(,Data!C$3:C$635),10^9)+ROW(Data!C$3:C$635)/1000,ROWS(C$3:C170)),IFERROR(SEARCH(,Data!C$3:C$635),10^9)+ROW(Data!C$3:C$635)/1000,0))</f>
        <v/>
      </c>
      <c r="D170" s="111" t="str">
        <f t="shared" si="2"/>
        <v/>
      </c>
      <c r="E170" s="111" t="str" cm="1">
        <f t="array" ref="E170">INDEX(Data!E$3:E$635,MATCH(SMALL(IFERROR(SEARCH(,Data!E$3:E$635),10^9)+ROW(Data!E$3:E$635)/1000,ROWS(E$3:E170)),IFERROR(SEARCH(,Data!E$3:E$635),10^9)+ROW(Data!E$3:E$635)/1000,0))</f>
        <v/>
      </c>
      <c r="F170" s="111" t="str" cm="1">
        <f t="array" ref="F170">INDEX(Data!F$3:F$635,MATCH(SMALL(IFERROR(SEARCH(,Data!F$3:F$635),10^9)+ROW(Data!F$3:F$635)/1000,ROWS(F$3:F170)),IFERROR(SEARCH(,Data!F$3:F$635),10^9)+ROW(Data!F$3:F$635)/1000,0))</f>
        <v/>
      </c>
      <c r="G170" s="111" t="str" cm="1">
        <f t="array" ref="G170">INDEX(Data!G$3:G$635,MATCH(SMALL(IFERROR(SEARCH(,Data!G$3:G$635),10^9)+ROW(Data!G$3:G$635)/1000,ROWS(G$3:G170)),IFERROR(SEARCH(,Data!G$3:G$635),10^9)+ROW(Data!G$3:G$635)/1000,0))</f>
        <v/>
      </c>
      <c r="H170" s="623" t="str" cm="1">
        <f t="array" ref="H170">INDEX(Data!I$3:I$635,MATCH(SMALL(IFERROR(SEARCH(,Data!I$3:I$635),10^9)+ROW(Data!I$3:I$635)/1000,ROWS(H$3:H170)),IFERROR(SEARCH(,Data!I$3:I$635),10^9)+ROW(Data!I$3:I$635)/1000,0))</f>
        <v/>
      </c>
      <c r="I170" s="882"/>
      <c r="J170" s="882"/>
    </row>
    <row r="171" spans="1:10" ht="45.75" customHeight="1" x14ac:dyDescent="0.35">
      <c r="A171" s="108" t="str">
        <f>IFERROR(INDEX(Data!A$3:A$635,MATCH(IF(B171="","END",B171),Data!$B$3:$B$635,0)),"")</f>
        <v/>
      </c>
      <c r="B171" s="108" t="str" cm="1">
        <f t="array" ref="B171">INDEX(Data!B$3:B$635,MATCH(SMALL(IFERROR(SEARCH(,Data!B$3:B$635),10^9)+ROW(Data!B$3:B$635)/1000,ROWS(B$3:B171)),IFERROR(SEARCH(,Data!B$3:B$635),10^9)+ROW(Data!B$3:B$635)/1000,0))</f>
        <v/>
      </c>
      <c r="C171" s="317" t="str" cm="1">
        <f t="array" ref="C171">INDEX(Data!C$3:C$635,MATCH(SMALL(IFERROR(SEARCH(,Data!C$3:C$635),10^9)+ROW(Data!C$3:C$635)/1000,ROWS(C$3:C171)),IFERROR(SEARCH(,Data!C$3:C$635),10^9)+ROW(Data!C$3:C$635)/1000,0))</f>
        <v/>
      </c>
      <c r="D171" s="111" t="str">
        <f t="shared" si="2"/>
        <v/>
      </c>
      <c r="E171" s="111" t="str" cm="1">
        <f t="array" ref="E171">INDEX(Data!E$3:E$635,MATCH(SMALL(IFERROR(SEARCH(,Data!E$3:E$635),10^9)+ROW(Data!E$3:E$635)/1000,ROWS(E$3:E171)),IFERROR(SEARCH(,Data!E$3:E$635),10^9)+ROW(Data!E$3:E$635)/1000,0))</f>
        <v/>
      </c>
      <c r="F171" s="111" t="str" cm="1">
        <f t="array" ref="F171">INDEX(Data!F$3:F$635,MATCH(SMALL(IFERROR(SEARCH(,Data!F$3:F$635),10^9)+ROW(Data!F$3:F$635)/1000,ROWS(F$3:F171)),IFERROR(SEARCH(,Data!F$3:F$635),10^9)+ROW(Data!F$3:F$635)/1000,0))</f>
        <v/>
      </c>
      <c r="G171" s="111" t="str" cm="1">
        <f t="array" ref="G171">INDEX(Data!G$3:G$635,MATCH(SMALL(IFERROR(SEARCH(,Data!G$3:G$635),10^9)+ROW(Data!G$3:G$635)/1000,ROWS(G$3:G171)),IFERROR(SEARCH(,Data!G$3:G$635),10^9)+ROW(Data!G$3:G$635)/1000,0))</f>
        <v/>
      </c>
      <c r="H171" s="623" t="str" cm="1">
        <f t="array" ref="H171">INDEX(Data!I$3:I$635,MATCH(SMALL(IFERROR(SEARCH(,Data!I$3:I$635),10^9)+ROW(Data!I$3:I$635)/1000,ROWS(H$3:H171)),IFERROR(SEARCH(,Data!I$3:I$635),10^9)+ROW(Data!I$3:I$635)/1000,0))</f>
        <v/>
      </c>
      <c r="I171" s="882"/>
      <c r="J171" s="882"/>
    </row>
    <row r="172" spans="1:10" ht="45.75" customHeight="1" x14ac:dyDescent="0.35">
      <c r="A172" s="108" t="str">
        <f>IFERROR(INDEX(Data!A$3:A$635,MATCH(IF(B172="","END",B172),Data!$B$3:$B$635,0)),"")</f>
        <v/>
      </c>
      <c r="B172" s="108" t="str" cm="1">
        <f t="array" ref="B172">INDEX(Data!B$3:B$635,MATCH(SMALL(IFERROR(SEARCH(,Data!B$3:B$635),10^9)+ROW(Data!B$3:B$635)/1000,ROWS(B$3:B172)),IFERROR(SEARCH(,Data!B$3:B$635),10^9)+ROW(Data!B$3:B$635)/1000,0))</f>
        <v/>
      </c>
      <c r="C172" s="317" t="str" cm="1">
        <f t="array" ref="C172">INDEX(Data!C$3:C$635,MATCH(SMALL(IFERROR(SEARCH(,Data!C$3:C$635),10^9)+ROW(Data!C$3:C$635)/1000,ROWS(C$3:C172)),IFERROR(SEARCH(,Data!C$3:C$635),10^9)+ROW(Data!C$3:C$635)/1000,0))</f>
        <v/>
      </c>
      <c r="D172" s="111" t="str">
        <f t="shared" si="2"/>
        <v/>
      </c>
      <c r="E172" s="111" t="str" cm="1">
        <f t="array" ref="E172">INDEX(Data!E$3:E$635,MATCH(SMALL(IFERROR(SEARCH(,Data!E$3:E$635),10^9)+ROW(Data!E$3:E$635)/1000,ROWS(E$3:E172)),IFERROR(SEARCH(,Data!E$3:E$635),10^9)+ROW(Data!E$3:E$635)/1000,0))</f>
        <v/>
      </c>
      <c r="F172" s="111" t="str" cm="1">
        <f t="array" ref="F172">INDEX(Data!F$3:F$635,MATCH(SMALL(IFERROR(SEARCH(,Data!F$3:F$635),10^9)+ROW(Data!F$3:F$635)/1000,ROWS(F$3:F172)),IFERROR(SEARCH(,Data!F$3:F$635),10^9)+ROW(Data!F$3:F$635)/1000,0))</f>
        <v/>
      </c>
      <c r="G172" s="111" t="str" cm="1">
        <f t="array" ref="G172">INDEX(Data!G$3:G$635,MATCH(SMALL(IFERROR(SEARCH(,Data!G$3:G$635),10^9)+ROW(Data!G$3:G$635)/1000,ROWS(G$3:G172)),IFERROR(SEARCH(,Data!G$3:G$635),10^9)+ROW(Data!G$3:G$635)/1000,0))</f>
        <v/>
      </c>
      <c r="H172" s="623" t="str" cm="1">
        <f t="array" ref="H172">INDEX(Data!I$3:I$635,MATCH(SMALL(IFERROR(SEARCH(,Data!I$3:I$635),10^9)+ROW(Data!I$3:I$635)/1000,ROWS(H$3:H172)),IFERROR(SEARCH(,Data!I$3:I$635),10^9)+ROW(Data!I$3:I$635)/1000,0))</f>
        <v/>
      </c>
      <c r="I172" s="882"/>
      <c r="J172" s="882"/>
    </row>
    <row r="173" spans="1:10" ht="45.75" customHeight="1" x14ac:dyDescent="0.35">
      <c r="A173" s="108" t="str">
        <f>IFERROR(INDEX(Data!A$3:A$635,MATCH(IF(B173="","END",B173),Data!$B$3:$B$635,0)),"")</f>
        <v/>
      </c>
      <c r="B173" s="108" t="str" cm="1">
        <f t="array" ref="B173">INDEX(Data!B$3:B$635,MATCH(SMALL(IFERROR(SEARCH(,Data!B$3:B$635),10^9)+ROW(Data!B$3:B$635)/1000,ROWS(B$3:B173)),IFERROR(SEARCH(,Data!B$3:B$635),10^9)+ROW(Data!B$3:B$635)/1000,0))</f>
        <v/>
      </c>
      <c r="C173" s="317" t="str" cm="1">
        <f t="array" ref="C173">INDEX(Data!C$3:C$635,MATCH(SMALL(IFERROR(SEARCH(,Data!C$3:C$635),10^9)+ROW(Data!C$3:C$635)/1000,ROWS(C$3:C173)),IFERROR(SEARCH(,Data!C$3:C$635),10^9)+ROW(Data!C$3:C$635)/1000,0))</f>
        <v/>
      </c>
      <c r="D173" s="111" t="str">
        <f t="shared" si="2"/>
        <v/>
      </c>
      <c r="E173" s="111" t="str" cm="1">
        <f t="array" ref="E173">INDEX(Data!E$3:E$635,MATCH(SMALL(IFERROR(SEARCH(,Data!E$3:E$635),10^9)+ROW(Data!E$3:E$635)/1000,ROWS(E$3:E173)),IFERROR(SEARCH(,Data!E$3:E$635),10^9)+ROW(Data!E$3:E$635)/1000,0))</f>
        <v/>
      </c>
      <c r="F173" s="111" t="str" cm="1">
        <f t="array" ref="F173">INDEX(Data!F$3:F$635,MATCH(SMALL(IFERROR(SEARCH(,Data!F$3:F$635),10^9)+ROW(Data!F$3:F$635)/1000,ROWS(F$3:F173)),IFERROR(SEARCH(,Data!F$3:F$635),10^9)+ROW(Data!F$3:F$635)/1000,0))</f>
        <v/>
      </c>
      <c r="G173" s="111" t="str" cm="1">
        <f t="array" ref="G173">INDEX(Data!G$3:G$635,MATCH(SMALL(IFERROR(SEARCH(,Data!G$3:G$635),10^9)+ROW(Data!G$3:G$635)/1000,ROWS(G$3:G173)),IFERROR(SEARCH(,Data!G$3:G$635),10^9)+ROW(Data!G$3:G$635)/1000,0))</f>
        <v/>
      </c>
      <c r="H173" s="623" t="str" cm="1">
        <f t="array" ref="H173">INDEX(Data!I$3:I$635,MATCH(SMALL(IFERROR(SEARCH(,Data!I$3:I$635),10^9)+ROW(Data!I$3:I$635)/1000,ROWS(H$3:H173)),IFERROR(SEARCH(,Data!I$3:I$635),10^9)+ROW(Data!I$3:I$635)/1000,0))</f>
        <v/>
      </c>
      <c r="I173" s="882"/>
      <c r="J173" s="882"/>
    </row>
    <row r="174" spans="1:10" ht="45.75" customHeight="1" x14ac:dyDescent="0.35">
      <c r="A174" s="108" t="str">
        <f>IFERROR(INDEX(Data!A$3:A$635,MATCH(IF(B174="","END",B174),Data!$B$3:$B$635,0)),"")</f>
        <v/>
      </c>
      <c r="B174" s="108" t="str" cm="1">
        <f t="array" ref="B174">INDEX(Data!B$3:B$635,MATCH(SMALL(IFERROR(SEARCH(,Data!B$3:B$635),10^9)+ROW(Data!B$3:B$635)/1000,ROWS(B$3:B174)),IFERROR(SEARCH(,Data!B$3:B$635),10^9)+ROW(Data!B$3:B$635)/1000,0))</f>
        <v/>
      </c>
      <c r="C174" s="317" t="str" cm="1">
        <f t="array" ref="C174">INDEX(Data!C$3:C$635,MATCH(SMALL(IFERROR(SEARCH(,Data!C$3:C$635),10^9)+ROW(Data!C$3:C$635)/1000,ROWS(C$3:C174)),IFERROR(SEARCH(,Data!C$3:C$635),10^9)+ROW(Data!C$3:C$635)/1000,0))</f>
        <v/>
      </c>
      <c r="D174" s="111" t="str">
        <f t="shared" si="2"/>
        <v/>
      </c>
      <c r="E174" s="111" t="str" cm="1">
        <f t="array" ref="E174">INDEX(Data!E$3:E$635,MATCH(SMALL(IFERROR(SEARCH(,Data!E$3:E$635),10^9)+ROW(Data!E$3:E$635)/1000,ROWS(E$3:E174)),IFERROR(SEARCH(,Data!E$3:E$635),10^9)+ROW(Data!E$3:E$635)/1000,0))</f>
        <v/>
      </c>
      <c r="F174" s="111" t="str" cm="1">
        <f t="array" ref="F174">INDEX(Data!F$3:F$635,MATCH(SMALL(IFERROR(SEARCH(,Data!F$3:F$635),10^9)+ROW(Data!F$3:F$635)/1000,ROWS(F$3:F174)),IFERROR(SEARCH(,Data!F$3:F$635),10^9)+ROW(Data!F$3:F$635)/1000,0))</f>
        <v/>
      </c>
      <c r="G174" s="111" t="str" cm="1">
        <f t="array" ref="G174">INDEX(Data!G$3:G$635,MATCH(SMALL(IFERROR(SEARCH(,Data!G$3:G$635),10^9)+ROW(Data!G$3:G$635)/1000,ROWS(G$3:G174)),IFERROR(SEARCH(,Data!G$3:G$635),10^9)+ROW(Data!G$3:G$635)/1000,0))</f>
        <v/>
      </c>
      <c r="H174" s="623" t="str" cm="1">
        <f t="array" ref="H174">INDEX(Data!I$3:I$635,MATCH(SMALL(IFERROR(SEARCH(,Data!I$3:I$635),10^9)+ROW(Data!I$3:I$635)/1000,ROWS(H$3:H174)),IFERROR(SEARCH(,Data!I$3:I$635),10^9)+ROW(Data!I$3:I$635)/1000,0))</f>
        <v/>
      </c>
      <c r="I174" s="882"/>
      <c r="J174" s="882"/>
    </row>
    <row r="175" spans="1:10" ht="45.75" customHeight="1" x14ac:dyDescent="0.35">
      <c r="A175" s="108" t="str">
        <f>IFERROR(INDEX(Data!A$3:A$635,MATCH(IF(B175="","END",B175),Data!$B$3:$B$635,0)),"")</f>
        <v/>
      </c>
      <c r="B175" s="108" t="str" cm="1">
        <f t="array" ref="B175">INDEX(Data!B$3:B$635,MATCH(SMALL(IFERROR(SEARCH(,Data!B$3:B$635),10^9)+ROW(Data!B$3:B$635)/1000,ROWS(B$3:B175)),IFERROR(SEARCH(,Data!B$3:B$635),10^9)+ROW(Data!B$3:B$635)/1000,0))</f>
        <v/>
      </c>
      <c r="C175" s="317" t="str" cm="1">
        <f t="array" ref="C175">INDEX(Data!C$3:C$635,MATCH(SMALL(IFERROR(SEARCH(,Data!C$3:C$635),10^9)+ROW(Data!C$3:C$635)/1000,ROWS(C$3:C175)),IFERROR(SEARCH(,Data!C$3:C$635),10^9)+ROW(Data!C$3:C$635)/1000,0))</f>
        <v/>
      </c>
      <c r="D175" s="111" t="str">
        <f t="shared" si="2"/>
        <v/>
      </c>
      <c r="E175" s="111" t="str" cm="1">
        <f t="array" ref="E175">INDEX(Data!E$3:E$635,MATCH(SMALL(IFERROR(SEARCH(,Data!E$3:E$635),10^9)+ROW(Data!E$3:E$635)/1000,ROWS(E$3:E175)),IFERROR(SEARCH(,Data!E$3:E$635),10^9)+ROW(Data!E$3:E$635)/1000,0))</f>
        <v/>
      </c>
      <c r="F175" s="111" t="str" cm="1">
        <f t="array" ref="F175">INDEX(Data!F$3:F$635,MATCH(SMALL(IFERROR(SEARCH(,Data!F$3:F$635),10^9)+ROW(Data!F$3:F$635)/1000,ROWS(F$3:F175)),IFERROR(SEARCH(,Data!F$3:F$635),10^9)+ROW(Data!F$3:F$635)/1000,0))</f>
        <v/>
      </c>
      <c r="G175" s="111" t="str" cm="1">
        <f t="array" ref="G175">INDEX(Data!G$3:G$635,MATCH(SMALL(IFERROR(SEARCH(,Data!G$3:G$635),10^9)+ROW(Data!G$3:G$635)/1000,ROWS(G$3:G175)),IFERROR(SEARCH(,Data!G$3:G$635),10^9)+ROW(Data!G$3:G$635)/1000,0))</f>
        <v/>
      </c>
      <c r="H175" s="623" t="str" cm="1">
        <f t="array" ref="H175">INDEX(Data!I$3:I$635,MATCH(SMALL(IFERROR(SEARCH(,Data!I$3:I$635),10^9)+ROW(Data!I$3:I$635)/1000,ROWS(H$3:H175)),IFERROR(SEARCH(,Data!I$3:I$635),10^9)+ROW(Data!I$3:I$635)/1000,0))</f>
        <v/>
      </c>
      <c r="I175" s="882"/>
      <c r="J175" s="882"/>
    </row>
    <row r="176" spans="1:10" ht="45.75" customHeight="1" x14ac:dyDescent="0.35">
      <c r="A176" s="108" t="str">
        <f>IFERROR(INDEX(Data!A$3:A$635,MATCH(IF(B176="","END",B176),Data!$B$3:$B$635,0)),"")</f>
        <v/>
      </c>
      <c r="B176" s="108" t="str" cm="1">
        <f t="array" ref="B176">INDEX(Data!B$3:B$635,MATCH(SMALL(IFERROR(SEARCH(,Data!B$3:B$635),10^9)+ROW(Data!B$3:B$635)/1000,ROWS(B$3:B176)),IFERROR(SEARCH(,Data!B$3:B$635),10^9)+ROW(Data!B$3:B$635)/1000,0))</f>
        <v/>
      </c>
      <c r="C176" s="317" t="str" cm="1">
        <f t="array" ref="C176">INDEX(Data!C$3:C$635,MATCH(SMALL(IFERROR(SEARCH(,Data!C$3:C$635),10^9)+ROW(Data!C$3:C$635)/1000,ROWS(C$3:C176)),IFERROR(SEARCH(,Data!C$3:C$635),10^9)+ROW(Data!C$3:C$635)/1000,0))</f>
        <v/>
      </c>
      <c r="D176" s="111" t="str">
        <f t="shared" si="2"/>
        <v/>
      </c>
      <c r="E176" s="111" t="str" cm="1">
        <f t="array" ref="E176">INDEX(Data!E$3:E$635,MATCH(SMALL(IFERROR(SEARCH(,Data!E$3:E$635),10^9)+ROW(Data!E$3:E$635)/1000,ROWS(E$3:E176)),IFERROR(SEARCH(,Data!E$3:E$635),10^9)+ROW(Data!E$3:E$635)/1000,0))</f>
        <v/>
      </c>
      <c r="F176" s="111" t="str" cm="1">
        <f t="array" ref="F176">INDEX(Data!F$3:F$635,MATCH(SMALL(IFERROR(SEARCH(,Data!F$3:F$635),10^9)+ROW(Data!F$3:F$635)/1000,ROWS(F$3:F176)),IFERROR(SEARCH(,Data!F$3:F$635),10^9)+ROW(Data!F$3:F$635)/1000,0))</f>
        <v/>
      </c>
      <c r="G176" s="111" t="str" cm="1">
        <f t="array" ref="G176">INDEX(Data!G$3:G$635,MATCH(SMALL(IFERROR(SEARCH(,Data!G$3:G$635),10^9)+ROW(Data!G$3:G$635)/1000,ROWS(G$3:G176)),IFERROR(SEARCH(,Data!G$3:G$635),10^9)+ROW(Data!G$3:G$635)/1000,0))</f>
        <v/>
      </c>
      <c r="H176" s="623" t="str" cm="1">
        <f t="array" ref="H176">INDEX(Data!I$3:I$635,MATCH(SMALL(IFERROR(SEARCH(,Data!I$3:I$635),10^9)+ROW(Data!I$3:I$635)/1000,ROWS(H$3:H176)),IFERROR(SEARCH(,Data!I$3:I$635),10^9)+ROW(Data!I$3:I$635)/1000,0))</f>
        <v/>
      </c>
      <c r="I176" s="882"/>
      <c r="J176" s="882"/>
    </row>
    <row r="177" spans="1:10" ht="45.75" customHeight="1" x14ac:dyDescent="0.35">
      <c r="A177" s="108" t="str">
        <f>IFERROR(INDEX(Data!A$3:A$635,MATCH(IF(B177="","END",B177),Data!$B$3:$B$635,0)),"")</f>
        <v/>
      </c>
      <c r="B177" s="108" t="str" cm="1">
        <f t="array" ref="B177">INDEX(Data!B$3:B$635,MATCH(SMALL(IFERROR(SEARCH(,Data!B$3:B$635),10^9)+ROW(Data!B$3:B$635)/1000,ROWS(B$3:B177)),IFERROR(SEARCH(,Data!B$3:B$635),10^9)+ROW(Data!B$3:B$635)/1000,0))</f>
        <v/>
      </c>
      <c r="C177" s="317" t="str" cm="1">
        <f t="array" ref="C177">INDEX(Data!C$3:C$635,MATCH(SMALL(IFERROR(SEARCH(,Data!C$3:C$635),10^9)+ROW(Data!C$3:C$635)/1000,ROWS(C$3:C177)),IFERROR(SEARCH(,Data!C$3:C$635),10^9)+ROW(Data!C$3:C$635)/1000,0))</f>
        <v/>
      </c>
      <c r="D177" s="111" t="str">
        <f t="shared" si="2"/>
        <v/>
      </c>
      <c r="E177" s="111" t="str" cm="1">
        <f t="array" ref="E177">INDEX(Data!E$3:E$635,MATCH(SMALL(IFERROR(SEARCH(,Data!E$3:E$635),10^9)+ROW(Data!E$3:E$635)/1000,ROWS(E$3:E177)),IFERROR(SEARCH(,Data!E$3:E$635),10^9)+ROW(Data!E$3:E$635)/1000,0))</f>
        <v/>
      </c>
      <c r="F177" s="111" t="str" cm="1">
        <f t="array" ref="F177">INDEX(Data!F$3:F$635,MATCH(SMALL(IFERROR(SEARCH(,Data!F$3:F$635),10^9)+ROW(Data!F$3:F$635)/1000,ROWS(F$3:F177)),IFERROR(SEARCH(,Data!F$3:F$635),10^9)+ROW(Data!F$3:F$635)/1000,0))</f>
        <v/>
      </c>
      <c r="G177" s="111" t="str" cm="1">
        <f t="array" ref="G177">INDEX(Data!G$3:G$635,MATCH(SMALL(IFERROR(SEARCH(,Data!G$3:G$635),10^9)+ROW(Data!G$3:G$635)/1000,ROWS(G$3:G177)),IFERROR(SEARCH(,Data!G$3:G$635),10^9)+ROW(Data!G$3:G$635)/1000,0))</f>
        <v/>
      </c>
      <c r="H177" s="623" t="str" cm="1">
        <f t="array" ref="H177">INDEX(Data!I$3:I$635,MATCH(SMALL(IFERROR(SEARCH(,Data!I$3:I$635),10^9)+ROW(Data!I$3:I$635)/1000,ROWS(H$3:H177)),IFERROR(SEARCH(,Data!I$3:I$635),10^9)+ROW(Data!I$3:I$635)/1000,0))</f>
        <v/>
      </c>
      <c r="I177" s="882"/>
      <c r="J177" s="882"/>
    </row>
    <row r="178" spans="1:10" ht="45.75" customHeight="1" x14ac:dyDescent="0.35">
      <c r="A178" s="108" t="str">
        <f>IFERROR(INDEX(Data!A$3:A$635,MATCH(IF(B178="","END",B178),Data!$B$3:$B$635,0)),"")</f>
        <v/>
      </c>
      <c r="B178" s="108" t="str" cm="1">
        <f t="array" ref="B178">INDEX(Data!B$3:B$635,MATCH(SMALL(IFERROR(SEARCH(,Data!B$3:B$635),10^9)+ROW(Data!B$3:B$635)/1000,ROWS(B$3:B178)),IFERROR(SEARCH(,Data!B$3:B$635),10^9)+ROW(Data!B$3:B$635)/1000,0))</f>
        <v/>
      </c>
      <c r="C178" s="317" t="str" cm="1">
        <f t="array" ref="C178">INDEX(Data!C$3:C$635,MATCH(SMALL(IFERROR(SEARCH(,Data!C$3:C$635),10^9)+ROW(Data!C$3:C$635)/1000,ROWS(C$3:C178)),IFERROR(SEARCH(,Data!C$3:C$635),10^9)+ROW(Data!C$3:C$635)/1000,0))</f>
        <v/>
      </c>
      <c r="D178" s="111" t="str">
        <f t="shared" si="2"/>
        <v/>
      </c>
      <c r="E178" s="111" t="str" cm="1">
        <f t="array" ref="E178">INDEX(Data!E$3:E$635,MATCH(SMALL(IFERROR(SEARCH(,Data!E$3:E$635),10^9)+ROW(Data!E$3:E$635)/1000,ROWS(E$3:E178)),IFERROR(SEARCH(,Data!E$3:E$635),10^9)+ROW(Data!E$3:E$635)/1000,0))</f>
        <v/>
      </c>
      <c r="F178" s="111" t="str" cm="1">
        <f t="array" ref="F178">INDEX(Data!F$3:F$635,MATCH(SMALL(IFERROR(SEARCH(,Data!F$3:F$635),10^9)+ROW(Data!F$3:F$635)/1000,ROWS(F$3:F178)),IFERROR(SEARCH(,Data!F$3:F$635),10^9)+ROW(Data!F$3:F$635)/1000,0))</f>
        <v/>
      </c>
      <c r="G178" s="111" t="str" cm="1">
        <f t="array" ref="G178">INDEX(Data!G$3:G$635,MATCH(SMALL(IFERROR(SEARCH(,Data!G$3:G$635),10^9)+ROW(Data!G$3:G$635)/1000,ROWS(G$3:G178)),IFERROR(SEARCH(,Data!G$3:G$635),10^9)+ROW(Data!G$3:G$635)/1000,0))</f>
        <v/>
      </c>
      <c r="H178" s="623" t="str" cm="1">
        <f t="array" ref="H178">INDEX(Data!I$3:I$635,MATCH(SMALL(IFERROR(SEARCH(,Data!I$3:I$635),10^9)+ROW(Data!I$3:I$635)/1000,ROWS(H$3:H178)),IFERROR(SEARCH(,Data!I$3:I$635),10^9)+ROW(Data!I$3:I$635)/1000,0))</f>
        <v/>
      </c>
      <c r="I178" s="882"/>
      <c r="J178" s="882"/>
    </row>
    <row r="179" spans="1:10" ht="45.75" customHeight="1" x14ac:dyDescent="0.35">
      <c r="A179" s="108" t="str">
        <f>IFERROR(INDEX(Data!A$3:A$635,MATCH(IF(B179="","END",B179),Data!$B$3:$B$635,0)),"")</f>
        <v/>
      </c>
      <c r="B179" s="108" t="str" cm="1">
        <f t="array" ref="B179">INDEX(Data!B$3:B$635,MATCH(SMALL(IFERROR(SEARCH(,Data!B$3:B$635),10^9)+ROW(Data!B$3:B$635)/1000,ROWS(B$3:B179)),IFERROR(SEARCH(,Data!B$3:B$635),10^9)+ROW(Data!B$3:B$635)/1000,0))</f>
        <v/>
      </c>
      <c r="C179" s="317" t="str" cm="1">
        <f t="array" ref="C179">INDEX(Data!C$3:C$635,MATCH(SMALL(IFERROR(SEARCH(,Data!C$3:C$635),10^9)+ROW(Data!C$3:C$635)/1000,ROWS(C$3:C179)),IFERROR(SEARCH(,Data!C$3:C$635),10^9)+ROW(Data!C$3:C$635)/1000,0))</f>
        <v/>
      </c>
      <c r="D179" s="111" t="str">
        <f t="shared" si="2"/>
        <v/>
      </c>
      <c r="E179" s="111" t="str" cm="1">
        <f t="array" ref="E179">INDEX(Data!E$3:E$635,MATCH(SMALL(IFERROR(SEARCH(,Data!E$3:E$635),10^9)+ROW(Data!E$3:E$635)/1000,ROWS(E$3:E179)),IFERROR(SEARCH(,Data!E$3:E$635),10^9)+ROW(Data!E$3:E$635)/1000,0))</f>
        <v/>
      </c>
      <c r="F179" s="111" t="str" cm="1">
        <f t="array" ref="F179">INDEX(Data!F$3:F$635,MATCH(SMALL(IFERROR(SEARCH(,Data!F$3:F$635),10^9)+ROW(Data!F$3:F$635)/1000,ROWS(F$3:F179)),IFERROR(SEARCH(,Data!F$3:F$635),10^9)+ROW(Data!F$3:F$635)/1000,0))</f>
        <v/>
      </c>
      <c r="G179" s="111" t="str" cm="1">
        <f t="array" ref="G179">INDEX(Data!G$3:G$635,MATCH(SMALL(IFERROR(SEARCH(,Data!G$3:G$635),10^9)+ROW(Data!G$3:G$635)/1000,ROWS(G$3:G179)),IFERROR(SEARCH(,Data!G$3:G$635),10^9)+ROW(Data!G$3:G$635)/1000,0))</f>
        <v/>
      </c>
      <c r="H179" s="623" t="str" cm="1">
        <f t="array" ref="H179">INDEX(Data!I$3:I$635,MATCH(SMALL(IFERROR(SEARCH(,Data!I$3:I$635),10^9)+ROW(Data!I$3:I$635)/1000,ROWS(H$3:H179)),IFERROR(SEARCH(,Data!I$3:I$635),10^9)+ROW(Data!I$3:I$635)/1000,0))</f>
        <v/>
      </c>
      <c r="I179" s="882"/>
      <c r="J179" s="882"/>
    </row>
    <row r="180" spans="1:10" ht="45.75" customHeight="1" x14ac:dyDescent="0.35">
      <c r="A180" s="108" t="str">
        <f>IFERROR(INDEX(Data!A$3:A$635,MATCH(IF(B180="","END",B180),Data!$B$3:$B$635,0)),"")</f>
        <v/>
      </c>
      <c r="B180" s="108" t="str" cm="1">
        <f t="array" ref="B180">INDEX(Data!B$3:B$635,MATCH(SMALL(IFERROR(SEARCH(,Data!B$3:B$635),10^9)+ROW(Data!B$3:B$635)/1000,ROWS(B$3:B180)),IFERROR(SEARCH(,Data!B$3:B$635),10^9)+ROW(Data!B$3:B$635)/1000,0))</f>
        <v/>
      </c>
      <c r="C180" s="317" t="str" cm="1">
        <f t="array" ref="C180">INDEX(Data!C$3:C$635,MATCH(SMALL(IFERROR(SEARCH(,Data!C$3:C$635),10^9)+ROW(Data!C$3:C$635)/1000,ROWS(C$3:C180)),IFERROR(SEARCH(,Data!C$3:C$635),10^9)+ROW(Data!C$3:C$635)/1000,0))</f>
        <v/>
      </c>
      <c r="D180" s="111" t="str">
        <f t="shared" si="2"/>
        <v/>
      </c>
      <c r="E180" s="111" t="str" cm="1">
        <f t="array" ref="E180">INDEX(Data!E$3:E$635,MATCH(SMALL(IFERROR(SEARCH(,Data!E$3:E$635),10^9)+ROW(Data!E$3:E$635)/1000,ROWS(E$3:E180)),IFERROR(SEARCH(,Data!E$3:E$635),10^9)+ROW(Data!E$3:E$635)/1000,0))</f>
        <v/>
      </c>
      <c r="F180" s="111" t="str" cm="1">
        <f t="array" ref="F180">INDEX(Data!F$3:F$635,MATCH(SMALL(IFERROR(SEARCH(,Data!F$3:F$635),10^9)+ROW(Data!F$3:F$635)/1000,ROWS(F$3:F180)),IFERROR(SEARCH(,Data!F$3:F$635),10^9)+ROW(Data!F$3:F$635)/1000,0))</f>
        <v/>
      </c>
      <c r="G180" s="111" t="str" cm="1">
        <f t="array" ref="G180">INDEX(Data!G$3:G$635,MATCH(SMALL(IFERROR(SEARCH(,Data!G$3:G$635),10^9)+ROW(Data!G$3:G$635)/1000,ROWS(G$3:G180)),IFERROR(SEARCH(,Data!G$3:G$635),10^9)+ROW(Data!G$3:G$635)/1000,0))</f>
        <v/>
      </c>
      <c r="H180" s="623" t="str" cm="1">
        <f t="array" ref="H180">INDEX(Data!I$3:I$635,MATCH(SMALL(IFERROR(SEARCH(,Data!I$3:I$635),10^9)+ROW(Data!I$3:I$635)/1000,ROWS(H$3:H180)),IFERROR(SEARCH(,Data!I$3:I$635),10^9)+ROW(Data!I$3:I$635)/1000,0))</f>
        <v/>
      </c>
      <c r="I180" s="882"/>
      <c r="J180" s="882"/>
    </row>
    <row r="181" spans="1:10" ht="45.75" customHeight="1" x14ac:dyDescent="0.35">
      <c r="A181" s="108" t="str">
        <f>IFERROR(INDEX(Data!A$3:A$635,MATCH(IF(B181="","END",B181),Data!$B$3:$B$635,0)),"")</f>
        <v/>
      </c>
      <c r="B181" s="108" t="str" cm="1">
        <f t="array" ref="B181">INDEX(Data!B$3:B$635,MATCH(SMALL(IFERROR(SEARCH(,Data!B$3:B$635),10^9)+ROW(Data!B$3:B$635)/1000,ROWS(B$3:B181)),IFERROR(SEARCH(,Data!B$3:B$635),10^9)+ROW(Data!B$3:B$635)/1000,0))</f>
        <v/>
      </c>
      <c r="C181" s="317" t="str" cm="1">
        <f t="array" ref="C181">INDEX(Data!C$3:C$635,MATCH(SMALL(IFERROR(SEARCH(,Data!C$3:C$635),10^9)+ROW(Data!C$3:C$635)/1000,ROWS(C$3:C181)),IFERROR(SEARCH(,Data!C$3:C$635),10^9)+ROW(Data!C$3:C$635)/1000,0))</f>
        <v/>
      </c>
      <c r="D181" s="111" t="str">
        <f t="shared" si="2"/>
        <v/>
      </c>
      <c r="E181" s="111" t="str" cm="1">
        <f t="array" ref="E181">INDEX(Data!E$3:E$635,MATCH(SMALL(IFERROR(SEARCH(,Data!E$3:E$635),10^9)+ROW(Data!E$3:E$635)/1000,ROWS(E$3:E181)),IFERROR(SEARCH(,Data!E$3:E$635),10^9)+ROW(Data!E$3:E$635)/1000,0))</f>
        <v/>
      </c>
      <c r="F181" s="111" t="str" cm="1">
        <f t="array" ref="F181">INDEX(Data!F$3:F$635,MATCH(SMALL(IFERROR(SEARCH(,Data!F$3:F$635),10^9)+ROW(Data!F$3:F$635)/1000,ROWS(F$3:F181)),IFERROR(SEARCH(,Data!F$3:F$635),10^9)+ROW(Data!F$3:F$635)/1000,0))</f>
        <v/>
      </c>
      <c r="G181" s="111" t="str" cm="1">
        <f t="array" ref="G181">INDEX(Data!G$3:G$635,MATCH(SMALL(IFERROR(SEARCH(,Data!G$3:G$635),10^9)+ROW(Data!G$3:G$635)/1000,ROWS(G$3:G181)),IFERROR(SEARCH(,Data!G$3:G$635),10^9)+ROW(Data!G$3:G$635)/1000,0))</f>
        <v/>
      </c>
      <c r="H181" s="623" t="str" cm="1">
        <f t="array" ref="H181">INDEX(Data!I$3:I$635,MATCH(SMALL(IFERROR(SEARCH(,Data!I$3:I$635),10^9)+ROW(Data!I$3:I$635)/1000,ROWS(H$3:H181)),IFERROR(SEARCH(,Data!I$3:I$635),10^9)+ROW(Data!I$3:I$635)/1000,0))</f>
        <v/>
      </c>
      <c r="I181" s="882"/>
      <c r="J181" s="882"/>
    </row>
    <row r="182" spans="1:10" ht="45.75" customHeight="1" x14ac:dyDescent="0.35">
      <c r="A182" s="108" t="str">
        <f>IFERROR(INDEX(Data!A$3:A$635,MATCH(IF(B182="","END",B182),Data!$B$3:$B$635,0)),"")</f>
        <v/>
      </c>
      <c r="B182" s="108" t="str" cm="1">
        <f t="array" ref="B182">INDEX(Data!B$3:B$635,MATCH(SMALL(IFERROR(SEARCH(,Data!B$3:B$635),10^9)+ROW(Data!B$3:B$635)/1000,ROWS(B$3:B182)),IFERROR(SEARCH(,Data!B$3:B$635),10^9)+ROW(Data!B$3:B$635)/1000,0))</f>
        <v/>
      </c>
      <c r="C182" s="317" t="str" cm="1">
        <f t="array" ref="C182">INDEX(Data!C$3:C$635,MATCH(SMALL(IFERROR(SEARCH(,Data!C$3:C$635),10^9)+ROW(Data!C$3:C$635)/1000,ROWS(C$3:C182)),IFERROR(SEARCH(,Data!C$3:C$635),10^9)+ROW(Data!C$3:C$635)/1000,0))</f>
        <v/>
      </c>
      <c r="D182" s="111" t="str">
        <f t="shared" si="2"/>
        <v/>
      </c>
      <c r="E182" s="111" t="str" cm="1">
        <f t="array" ref="E182">INDEX(Data!E$3:E$635,MATCH(SMALL(IFERROR(SEARCH(,Data!E$3:E$635),10^9)+ROW(Data!E$3:E$635)/1000,ROWS(E$3:E182)),IFERROR(SEARCH(,Data!E$3:E$635),10^9)+ROW(Data!E$3:E$635)/1000,0))</f>
        <v/>
      </c>
      <c r="F182" s="111" t="str" cm="1">
        <f t="array" ref="F182">INDEX(Data!F$3:F$635,MATCH(SMALL(IFERROR(SEARCH(,Data!F$3:F$635),10^9)+ROW(Data!F$3:F$635)/1000,ROWS(F$3:F182)),IFERROR(SEARCH(,Data!F$3:F$635),10^9)+ROW(Data!F$3:F$635)/1000,0))</f>
        <v/>
      </c>
      <c r="G182" s="111" t="str" cm="1">
        <f t="array" ref="G182">INDEX(Data!G$3:G$635,MATCH(SMALL(IFERROR(SEARCH(,Data!G$3:G$635),10^9)+ROW(Data!G$3:G$635)/1000,ROWS(G$3:G182)),IFERROR(SEARCH(,Data!G$3:G$635),10^9)+ROW(Data!G$3:G$635)/1000,0))</f>
        <v/>
      </c>
      <c r="H182" s="623" t="str" cm="1">
        <f t="array" ref="H182">INDEX(Data!I$3:I$635,MATCH(SMALL(IFERROR(SEARCH(,Data!I$3:I$635),10^9)+ROW(Data!I$3:I$635)/1000,ROWS(H$3:H182)),IFERROR(SEARCH(,Data!I$3:I$635),10^9)+ROW(Data!I$3:I$635)/1000,0))</f>
        <v/>
      </c>
      <c r="I182" s="882"/>
      <c r="J182" s="882"/>
    </row>
    <row r="183" spans="1:10" ht="45.75" customHeight="1" x14ac:dyDescent="0.35">
      <c r="A183" s="108" t="str">
        <f>IFERROR(INDEX(Data!A$3:A$635,MATCH(IF(B183="","END",B183),Data!$B$3:$B$635,0)),"")</f>
        <v/>
      </c>
      <c r="B183" s="108" t="str" cm="1">
        <f t="array" ref="B183">INDEX(Data!B$3:B$635,MATCH(SMALL(IFERROR(SEARCH(,Data!B$3:B$635),10^9)+ROW(Data!B$3:B$635)/1000,ROWS(B$3:B183)),IFERROR(SEARCH(,Data!B$3:B$635),10^9)+ROW(Data!B$3:B$635)/1000,0))</f>
        <v/>
      </c>
      <c r="C183" s="317" t="str" cm="1">
        <f t="array" ref="C183">INDEX(Data!C$3:C$635,MATCH(SMALL(IFERROR(SEARCH(,Data!C$3:C$635),10^9)+ROW(Data!C$3:C$635)/1000,ROWS(C$3:C183)),IFERROR(SEARCH(,Data!C$3:C$635),10^9)+ROW(Data!C$3:C$635)/1000,0))</f>
        <v/>
      </c>
      <c r="D183" s="111" t="str">
        <f t="shared" si="2"/>
        <v/>
      </c>
      <c r="E183" s="111" t="str" cm="1">
        <f t="array" ref="E183">INDEX(Data!E$3:E$635,MATCH(SMALL(IFERROR(SEARCH(,Data!E$3:E$635),10^9)+ROW(Data!E$3:E$635)/1000,ROWS(E$3:E183)),IFERROR(SEARCH(,Data!E$3:E$635),10^9)+ROW(Data!E$3:E$635)/1000,0))</f>
        <v/>
      </c>
      <c r="F183" s="111" t="str" cm="1">
        <f t="array" ref="F183">INDEX(Data!F$3:F$635,MATCH(SMALL(IFERROR(SEARCH(,Data!F$3:F$635),10^9)+ROW(Data!F$3:F$635)/1000,ROWS(F$3:F183)),IFERROR(SEARCH(,Data!F$3:F$635),10^9)+ROW(Data!F$3:F$635)/1000,0))</f>
        <v/>
      </c>
      <c r="G183" s="111" t="str" cm="1">
        <f t="array" ref="G183">INDEX(Data!G$3:G$635,MATCH(SMALL(IFERROR(SEARCH(,Data!G$3:G$635),10^9)+ROW(Data!G$3:G$635)/1000,ROWS(G$3:G183)),IFERROR(SEARCH(,Data!G$3:G$635),10^9)+ROW(Data!G$3:G$635)/1000,0))</f>
        <v/>
      </c>
      <c r="H183" s="623" t="str" cm="1">
        <f t="array" ref="H183">INDEX(Data!I$3:I$635,MATCH(SMALL(IFERROR(SEARCH(,Data!I$3:I$635),10^9)+ROW(Data!I$3:I$635)/1000,ROWS(H$3:H183)),IFERROR(SEARCH(,Data!I$3:I$635),10^9)+ROW(Data!I$3:I$635)/1000,0))</f>
        <v/>
      </c>
      <c r="I183" s="882"/>
      <c r="J183" s="882"/>
    </row>
    <row r="184" spans="1:10" ht="45.75" customHeight="1" x14ac:dyDescent="0.35">
      <c r="A184" s="108" t="str">
        <f>IFERROR(INDEX(Data!A$3:A$635,MATCH(IF(B184="","END",B184),Data!$B$3:$B$635,0)),"")</f>
        <v/>
      </c>
      <c r="B184" s="108" t="str" cm="1">
        <f t="array" ref="B184">INDEX(Data!B$3:B$635,MATCH(SMALL(IFERROR(SEARCH(,Data!B$3:B$635),10^9)+ROW(Data!B$3:B$635)/1000,ROWS(B$3:B184)),IFERROR(SEARCH(,Data!B$3:B$635),10^9)+ROW(Data!B$3:B$635)/1000,0))</f>
        <v/>
      </c>
      <c r="C184" s="317" t="str" cm="1">
        <f t="array" ref="C184">INDEX(Data!C$3:C$635,MATCH(SMALL(IFERROR(SEARCH(,Data!C$3:C$635),10^9)+ROW(Data!C$3:C$635)/1000,ROWS(C$3:C184)),IFERROR(SEARCH(,Data!C$3:C$635),10^9)+ROW(Data!C$3:C$635)/1000,0))</f>
        <v/>
      </c>
      <c r="D184" s="111" t="str">
        <f t="shared" si="2"/>
        <v/>
      </c>
      <c r="E184" s="111" t="str" cm="1">
        <f t="array" ref="E184">INDEX(Data!E$3:E$635,MATCH(SMALL(IFERROR(SEARCH(,Data!E$3:E$635),10^9)+ROW(Data!E$3:E$635)/1000,ROWS(E$3:E184)),IFERROR(SEARCH(,Data!E$3:E$635),10^9)+ROW(Data!E$3:E$635)/1000,0))</f>
        <v/>
      </c>
      <c r="F184" s="111" t="str" cm="1">
        <f t="array" ref="F184">INDEX(Data!F$3:F$635,MATCH(SMALL(IFERROR(SEARCH(,Data!F$3:F$635),10^9)+ROW(Data!F$3:F$635)/1000,ROWS(F$3:F184)),IFERROR(SEARCH(,Data!F$3:F$635),10^9)+ROW(Data!F$3:F$635)/1000,0))</f>
        <v/>
      </c>
      <c r="G184" s="111" t="str" cm="1">
        <f t="array" ref="G184">INDEX(Data!G$3:G$635,MATCH(SMALL(IFERROR(SEARCH(,Data!G$3:G$635),10^9)+ROW(Data!G$3:G$635)/1000,ROWS(G$3:G184)),IFERROR(SEARCH(,Data!G$3:G$635),10^9)+ROW(Data!G$3:G$635)/1000,0))</f>
        <v/>
      </c>
      <c r="H184" s="623" t="str" cm="1">
        <f t="array" ref="H184">INDEX(Data!I$3:I$635,MATCH(SMALL(IFERROR(SEARCH(,Data!I$3:I$635),10^9)+ROW(Data!I$3:I$635)/1000,ROWS(H$3:H184)),IFERROR(SEARCH(,Data!I$3:I$635),10^9)+ROW(Data!I$3:I$635)/1000,0))</f>
        <v/>
      </c>
      <c r="I184" s="882"/>
      <c r="J184" s="882"/>
    </row>
    <row r="185" spans="1:10" ht="45.75" customHeight="1" x14ac:dyDescent="0.35">
      <c r="A185" s="108" t="str">
        <f>IFERROR(INDEX(Data!A$3:A$635,MATCH(IF(B185="","END",B185),Data!$B$3:$B$635,0)),"")</f>
        <v/>
      </c>
      <c r="B185" s="108" t="str" cm="1">
        <f t="array" ref="B185">INDEX(Data!B$3:B$635,MATCH(SMALL(IFERROR(SEARCH(,Data!B$3:B$635),10^9)+ROW(Data!B$3:B$635)/1000,ROWS(B$3:B185)),IFERROR(SEARCH(,Data!B$3:B$635),10^9)+ROW(Data!B$3:B$635)/1000,0))</f>
        <v/>
      </c>
      <c r="C185" s="317" t="str" cm="1">
        <f t="array" ref="C185">INDEX(Data!C$3:C$635,MATCH(SMALL(IFERROR(SEARCH(,Data!C$3:C$635),10^9)+ROW(Data!C$3:C$635)/1000,ROWS(C$3:C185)),IFERROR(SEARCH(,Data!C$3:C$635),10^9)+ROW(Data!C$3:C$635)/1000,0))</f>
        <v/>
      </c>
      <c r="D185" s="111" t="str">
        <f t="shared" si="2"/>
        <v/>
      </c>
      <c r="E185" s="111" t="str" cm="1">
        <f t="array" ref="E185">INDEX(Data!E$3:E$635,MATCH(SMALL(IFERROR(SEARCH(,Data!E$3:E$635),10^9)+ROW(Data!E$3:E$635)/1000,ROWS(E$3:E185)),IFERROR(SEARCH(,Data!E$3:E$635),10^9)+ROW(Data!E$3:E$635)/1000,0))</f>
        <v/>
      </c>
      <c r="F185" s="111" t="str" cm="1">
        <f t="array" ref="F185">INDEX(Data!F$3:F$635,MATCH(SMALL(IFERROR(SEARCH(,Data!F$3:F$635),10^9)+ROW(Data!F$3:F$635)/1000,ROWS(F$3:F185)),IFERROR(SEARCH(,Data!F$3:F$635),10^9)+ROW(Data!F$3:F$635)/1000,0))</f>
        <v/>
      </c>
      <c r="G185" s="111" t="str" cm="1">
        <f t="array" ref="G185">INDEX(Data!G$3:G$635,MATCH(SMALL(IFERROR(SEARCH(,Data!G$3:G$635),10^9)+ROW(Data!G$3:G$635)/1000,ROWS(G$3:G185)),IFERROR(SEARCH(,Data!G$3:G$635),10^9)+ROW(Data!G$3:G$635)/1000,0))</f>
        <v/>
      </c>
      <c r="H185" s="623" t="str" cm="1">
        <f t="array" ref="H185">INDEX(Data!I$3:I$635,MATCH(SMALL(IFERROR(SEARCH(,Data!I$3:I$635),10^9)+ROW(Data!I$3:I$635)/1000,ROWS(H$3:H185)),IFERROR(SEARCH(,Data!I$3:I$635),10^9)+ROW(Data!I$3:I$635)/1000,0))</f>
        <v/>
      </c>
      <c r="I185" s="882"/>
      <c r="J185" s="882"/>
    </row>
    <row r="186" spans="1:10" ht="45.75" customHeight="1" x14ac:dyDescent="0.35">
      <c r="A186" s="108" t="str">
        <f>IFERROR(INDEX(Data!A$3:A$635,MATCH(IF(B186="","END",B186),Data!$B$3:$B$635,0)),"")</f>
        <v/>
      </c>
      <c r="B186" s="108" t="str" cm="1">
        <f t="array" ref="B186">INDEX(Data!B$3:B$635,MATCH(SMALL(IFERROR(SEARCH(,Data!B$3:B$635),10^9)+ROW(Data!B$3:B$635)/1000,ROWS(B$3:B186)),IFERROR(SEARCH(,Data!B$3:B$635),10^9)+ROW(Data!B$3:B$635)/1000,0))</f>
        <v/>
      </c>
      <c r="C186" s="317" t="str" cm="1">
        <f t="array" ref="C186">INDEX(Data!C$3:C$635,MATCH(SMALL(IFERROR(SEARCH(,Data!C$3:C$635),10^9)+ROW(Data!C$3:C$635)/1000,ROWS(C$3:C186)),IFERROR(SEARCH(,Data!C$3:C$635),10^9)+ROW(Data!C$3:C$635)/1000,0))</f>
        <v/>
      </c>
      <c r="D186" s="111" t="str">
        <f t="shared" si="2"/>
        <v/>
      </c>
      <c r="E186" s="111" t="str" cm="1">
        <f t="array" ref="E186">INDEX(Data!E$3:E$635,MATCH(SMALL(IFERROR(SEARCH(,Data!E$3:E$635),10^9)+ROW(Data!E$3:E$635)/1000,ROWS(E$3:E186)),IFERROR(SEARCH(,Data!E$3:E$635),10^9)+ROW(Data!E$3:E$635)/1000,0))</f>
        <v/>
      </c>
      <c r="F186" s="111" t="str" cm="1">
        <f t="array" ref="F186">INDEX(Data!F$3:F$635,MATCH(SMALL(IFERROR(SEARCH(,Data!F$3:F$635),10^9)+ROW(Data!F$3:F$635)/1000,ROWS(F$3:F186)),IFERROR(SEARCH(,Data!F$3:F$635),10^9)+ROW(Data!F$3:F$635)/1000,0))</f>
        <v/>
      </c>
      <c r="G186" s="111" t="str" cm="1">
        <f t="array" ref="G186">INDEX(Data!G$3:G$635,MATCH(SMALL(IFERROR(SEARCH(,Data!G$3:G$635),10^9)+ROW(Data!G$3:G$635)/1000,ROWS(G$3:G186)),IFERROR(SEARCH(,Data!G$3:G$635),10^9)+ROW(Data!G$3:G$635)/1000,0))</f>
        <v/>
      </c>
      <c r="H186" s="623" t="str" cm="1">
        <f t="array" ref="H186">INDEX(Data!I$3:I$635,MATCH(SMALL(IFERROR(SEARCH(,Data!I$3:I$635),10^9)+ROW(Data!I$3:I$635)/1000,ROWS(H$3:H186)),IFERROR(SEARCH(,Data!I$3:I$635),10^9)+ROW(Data!I$3:I$635)/1000,0))</f>
        <v/>
      </c>
      <c r="I186" s="882"/>
      <c r="J186" s="882"/>
    </row>
    <row r="187" spans="1:10" ht="45.75" customHeight="1" x14ac:dyDescent="0.35">
      <c r="A187" s="108" t="str">
        <f>IFERROR(INDEX(Data!A$3:A$635,MATCH(IF(B187="","END",B187),Data!$B$3:$B$635,0)),"")</f>
        <v/>
      </c>
      <c r="B187" s="108" t="str" cm="1">
        <f t="array" ref="B187">INDEX(Data!B$3:B$635,MATCH(SMALL(IFERROR(SEARCH(,Data!B$3:B$635),10^9)+ROW(Data!B$3:B$635)/1000,ROWS(B$3:B187)),IFERROR(SEARCH(,Data!B$3:B$635),10^9)+ROW(Data!B$3:B$635)/1000,0))</f>
        <v/>
      </c>
      <c r="C187" s="317" t="str" cm="1">
        <f t="array" ref="C187">INDEX(Data!C$3:C$635,MATCH(SMALL(IFERROR(SEARCH(,Data!C$3:C$635),10^9)+ROW(Data!C$3:C$635)/1000,ROWS(C$3:C187)),IFERROR(SEARCH(,Data!C$3:C$635),10^9)+ROW(Data!C$3:C$635)/1000,0))</f>
        <v/>
      </c>
      <c r="D187" s="111" t="str">
        <f t="shared" si="2"/>
        <v/>
      </c>
      <c r="E187" s="111" t="str" cm="1">
        <f t="array" ref="E187">INDEX(Data!E$3:E$635,MATCH(SMALL(IFERROR(SEARCH(,Data!E$3:E$635),10^9)+ROW(Data!E$3:E$635)/1000,ROWS(E$3:E187)),IFERROR(SEARCH(,Data!E$3:E$635),10^9)+ROW(Data!E$3:E$635)/1000,0))</f>
        <v/>
      </c>
      <c r="F187" s="111" t="str" cm="1">
        <f t="array" ref="F187">INDEX(Data!F$3:F$635,MATCH(SMALL(IFERROR(SEARCH(,Data!F$3:F$635),10^9)+ROW(Data!F$3:F$635)/1000,ROWS(F$3:F187)),IFERROR(SEARCH(,Data!F$3:F$635),10^9)+ROW(Data!F$3:F$635)/1000,0))</f>
        <v/>
      </c>
      <c r="G187" s="111" t="str" cm="1">
        <f t="array" ref="G187">INDEX(Data!G$3:G$635,MATCH(SMALL(IFERROR(SEARCH(,Data!G$3:G$635),10^9)+ROW(Data!G$3:G$635)/1000,ROWS(G$3:G187)),IFERROR(SEARCH(,Data!G$3:G$635),10^9)+ROW(Data!G$3:G$635)/1000,0))</f>
        <v/>
      </c>
      <c r="H187" s="623" t="str" cm="1">
        <f t="array" ref="H187">INDEX(Data!I$3:I$635,MATCH(SMALL(IFERROR(SEARCH(,Data!I$3:I$635),10^9)+ROW(Data!I$3:I$635)/1000,ROWS(H$3:H187)),IFERROR(SEARCH(,Data!I$3:I$635),10^9)+ROW(Data!I$3:I$635)/1000,0))</f>
        <v/>
      </c>
      <c r="I187" s="882"/>
      <c r="J187" s="882"/>
    </row>
    <row r="188" spans="1:10" ht="45.75" customHeight="1" x14ac:dyDescent="0.35">
      <c r="A188" s="108" t="str">
        <f>IFERROR(INDEX(Data!A$3:A$635,MATCH(IF(B188="","END",B188),Data!$B$3:$B$635,0)),"")</f>
        <v/>
      </c>
      <c r="B188" s="108" t="str" cm="1">
        <f t="array" ref="B188">INDEX(Data!B$3:B$635,MATCH(SMALL(IFERROR(SEARCH(,Data!B$3:B$635),10^9)+ROW(Data!B$3:B$635)/1000,ROWS(B$3:B188)),IFERROR(SEARCH(,Data!B$3:B$635),10^9)+ROW(Data!B$3:B$635)/1000,0))</f>
        <v/>
      </c>
      <c r="C188" s="317" t="str" cm="1">
        <f t="array" ref="C188">INDEX(Data!C$3:C$635,MATCH(SMALL(IFERROR(SEARCH(,Data!C$3:C$635),10^9)+ROW(Data!C$3:C$635)/1000,ROWS(C$3:C188)),IFERROR(SEARCH(,Data!C$3:C$635),10^9)+ROW(Data!C$3:C$635)/1000,0))</f>
        <v/>
      </c>
      <c r="D188" s="111" t="str">
        <f t="shared" si="2"/>
        <v/>
      </c>
      <c r="E188" s="111" t="str" cm="1">
        <f t="array" ref="E188">INDEX(Data!E$3:E$635,MATCH(SMALL(IFERROR(SEARCH(,Data!E$3:E$635),10^9)+ROW(Data!E$3:E$635)/1000,ROWS(E$3:E188)),IFERROR(SEARCH(,Data!E$3:E$635),10^9)+ROW(Data!E$3:E$635)/1000,0))</f>
        <v/>
      </c>
      <c r="F188" s="111" t="str" cm="1">
        <f t="array" ref="F188">INDEX(Data!F$3:F$635,MATCH(SMALL(IFERROR(SEARCH(,Data!F$3:F$635),10^9)+ROW(Data!F$3:F$635)/1000,ROWS(F$3:F188)),IFERROR(SEARCH(,Data!F$3:F$635),10^9)+ROW(Data!F$3:F$635)/1000,0))</f>
        <v/>
      </c>
      <c r="G188" s="111" t="str" cm="1">
        <f t="array" ref="G188">INDEX(Data!G$3:G$635,MATCH(SMALL(IFERROR(SEARCH(,Data!G$3:G$635),10^9)+ROW(Data!G$3:G$635)/1000,ROWS(G$3:G188)),IFERROR(SEARCH(,Data!G$3:G$635),10^9)+ROW(Data!G$3:G$635)/1000,0))</f>
        <v/>
      </c>
      <c r="H188" s="623" t="str" cm="1">
        <f t="array" ref="H188">INDEX(Data!I$3:I$635,MATCH(SMALL(IFERROR(SEARCH(,Data!I$3:I$635),10^9)+ROW(Data!I$3:I$635)/1000,ROWS(H$3:H188)),IFERROR(SEARCH(,Data!I$3:I$635),10^9)+ROW(Data!I$3:I$635)/1000,0))</f>
        <v/>
      </c>
      <c r="I188" s="882"/>
      <c r="J188" s="882"/>
    </row>
    <row r="189" spans="1:10" ht="45.75" customHeight="1" x14ac:dyDescent="0.35">
      <c r="A189" s="108" t="str">
        <f>IFERROR(INDEX(Data!A$3:A$635,MATCH(IF(B189="","END",B189),Data!$B$3:$B$635,0)),"")</f>
        <v/>
      </c>
      <c r="B189" s="108" t="str" cm="1">
        <f t="array" ref="B189">INDEX(Data!B$3:B$635,MATCH(SMALL(IFERROR(SEARCH(,Data!B$3:B$635),10^9)+ROW(Data!B$3:B$635)/1000,ROWS(B$3:B189)),IFERROR(SEARCH(,Data!B$3:B$635),10^9)+ROW(Data!B$3:B$635)/1000,0))</f>
        <v/>
      </c>
      <c r="C189" s="317" t="str" cm="1">
        <f t="array" ref="C189">INDEX(Data!C$3:C$635,MATCH(SMALL(IFERROR(SEARCH(,Data!C$3:C$635),10^9)+ROW(Data!C$3:C$635)/1000,ROWS(C$3:C189)),IFERROR(SEARCH(,Data!C$3:C$635),10^9)+ROW(Data!C$3:C$635)/1000,0))</f>
        <v/>
      </c>
      <c r="D189" s="111" t="str">
        <f t="shared" si="2"/>
        <v/>
      </c>
      <c r="E189" s="111" t="str" cm="1">
        <f t="array" ref="E189">INDEX(Data!E$3:E$635,MATCH(SMALL(IFERROR(SEARCH(,Data!E$3:E$635),10^9)+ROW(Data!E$3:E$635)/1000,ROWS(E$3:E189)),IFERROR(SEARCH(,Data!E$3:E$635),10^9)+ROW(Data!E$3:E$635)/1000,0))</f>
        <v/>
      </c>
      <c r="F189" s="111" t="str" cm="1">
        <f t="array" ref="F189">INDEX(Data!F$3:F$635,MATCH(SMALL(IFERROR(SEARCH(,Data!F$3:F$635),10^9)+ROW(Data!F$3:F$635)/1000,ROWS(F$3:F189)),IFERROR(SEARCH(,Data!F$3:F$635),10^9)+ROW(Data!F$3:F$635)/1000,0))</f>
        <v/>
      </c>
      <c r="G189" s="111" t="str" cm="1">
        <f t="array" ref="G189">INDEX(Data!G$3:G$635,MATCH(SMALL(IFERROR(SEARCH(,Data!G$3:G$635),10^9)+ROW(Data!G$3:G$635)/1000,ROWS(G$3:G189)),IFERROR(SEARCH(,Data!G$3:G$635),10^9)+ROW(Data!G$3:G$635)/1000,0))</f>
        <v/>
      </c>
      <c r="H189" s="623" t="str" cm="1">
        <f t="array" ref="H189">INDEX(Data!I$3:I$635,MATCH(SMALL(IFERROR(SEARCH(,Data!I$3:I$635),10^9)+ROW(Data!I$3:I$635)/1000,ROWS(H$3:H189)),IFERROR(SEARCH(,Data!I$3:I$635),10^9)+ROW(Data!I$3:I$635)/1000,0))</f>
        <v/>
      </c>
      <c r="I189" s="882"/>
      <c r="J189" s="882"/>
    </row>
    <row r="190" spans="1:10" ht="45.75" customHeight="1" x14ac:dyDescent="0.35">
      <c r="A190" s="108" t="str">
        <f>IFERROR(INDEX(Data!A$3:A$635,MATCH(IF(B190="","END",B190),Data!$B$3:$B$635,0)),"")</f>
        <v/>
      </c>
      <c r="B190" s="108" t="str" cm="1">
        <f t="array" ref="B190">INDEX(Data!B$3:B$635,MATCH(SMALL(IFERROR(SEARCH(,Data!B$3:B$635),10^9)+ROW(Data!B$3:B$635)/1000,ROWS(B$3:B190)),IFERROR(SEARCH(,Data!B$3:B$635),10^9)+ROW(Data!B$3:B$635)/1000,0))</f>
        <v/>
      </c>
      <c r="C190" s="317" t="str" cm="1">
        <f t="array" ref="C190">INDEX(Data!C$3:C$635,MATCH(SMALL(IFERROR(SEARCH(,Data!C$3:C$635),10^9)+ROW(Data!C$3:C$635)/1000,ROWS(C$3:C190)),IFERROR(SEARCH(,Data!C$3:C$635),10^9)+ROW(Data!C$3:C$635)/1000,0))</f>
        <v/>
      </c>
      <c r="D190" s="111" t="str">
        <f t="shared" si="2"/>
        <v/>
      </c>
      <c r="E190" s="111" t="str" cm="1">
        <f t="array" ref="E190">INDEX(Data!E$3:E$635,MATCH(SMALL(IFERROR(SEARCH(,Data!E$3:E$635),10^9)+ROW(Data!E$3:E$635)/1000,ROWS(E$3:E190)),IFERROR(SEARCH(,Data!E$3:E$635),10^9)+ROW(Data!E$3:E$635)/1000,0))</f>
        <v/>
      </c>
      <c r="F190" s="111" t="str" cm="1">
        <f t="array" ref="F190">INDEX(Data!F$3:F$635,MATCH(SMALL(IFERROR(SEARCH(,Data!F$3:F$635),10^9)+ROW(Data!F$3:F$635)/1000,ROWS(F$3:F190)),IFERROR(SEARCH(,Data!F$3:F$635),10^9)+ROW(Data!F$3:F$635)/1000,0))</f>
        <v/>
      </c>
      <c r="G190" s="111" t="str" cm="1">
        <f t="array" ref="G190">INDEX(Data!G$3:G$635,MATCH(SMALL(IFERROR(SEARCH(,Data!G$3:G$635),10^9)+ROW(Data!G$3:G$635)/1000,ROWS(G$3:G190)),IFERROR(SEARCH(,Data!G$3:G$635),10^9)+ROW(Data!G$3:G$635)/1000,0))</f>
        <v/>
      </c>
      <c r="H190" s="623" t="str" cm="1">
        <f t="array" ref="H190">INDEX(Data!I$3:I$635,MATCH(SMALL(IFERROR(SEARCH(,Data!I$3:I$635),10^9)+ROW(Data!I$3:I$635)/1000,ROWS(H$3:H190)),IFERROR(SEARCH(,Data!I$3:I$635),10^9)+ROW(Data!I$3:I$635)/1000,0))</f>
        <v/>
      </c>
      <c r="I190" s="882"/>
      <c r="J190" s="882"/>
    </row>
    <row r="191" spans="1:10" ht="45.75" customHeight="1" x14ac:dyDescent="0.35">
      <c r="A191" s="108" t="str">
        <f>IFERROR(INDEX(Data!A$3:A$635,MATCH(IF(B191="","END",B191),Data!$B$3:$B$635,0)),"")</f>
        <v/>
      </c>
      <c r="B191" s="108" t="str" cm="1">
        <f t="array" ref="B191">INDEX(Data!B$3:B$635,MATCH(SMALL(IFERROR(SEARCH(,Data!B$3:B$635),10^9)+ROW(Data!B$3:B$635)/1000,ROWS(B$3:B191)),IFERROR(SEARCH(,Data!B$3:B$635),10^9)+ROW(Data!B$3:B$635)/1000,0))</f>
        <v/>
      </c>
      <c r="C191" s="317" t="str" cm="1">
        <f t="array" ref="C191">INDEX(Data!C$3:C$635,MATCH(SMALL(IFERROR(SEARCH(,Data!C$3:C$635),10^9)+ROW(Data!C$3:C$635)/1000,ROWS(C$3:C191)),IFERROR(SEARCH(,Data!C$3:C$635),10^9)+ROW(Data!C$3:C$635)/1000,0))</f>
        <v/>
      </c>
      <c r="D191" s="111" t="str">
        <f t="shared" si="2"/>
        <v/>
      </c>
      <c r="E191" s="111" t="str" cm="1">
        <f t="array" ref="E191">INDEX(Data!E$3:E$635,MATCH(SMALL(IFERROR(SEARCH(,Data!E$3:E$635),10^9)+ROW(Data!E$3:E$635)/1000,ROWS(E$3:E191)),IFERROR(SEARCH(,Data!E$3:E$635),10^9)+ROW(Data!E$3:E$635)/1000,0))</f>
        <v/>
      </c>
      <c r="F191" s="111" t="str" cm="1">
        <f t="array" ref="F191">INDEX(Data!F$3:F$635,MATCH(SMALL(IFERROR(SEARCH(,Data!F$3:F$635),10^9)+ROW(Data!F$3:F$635)/1000,ROWS(F$3:F191)),IFERROR(SEARCH(,Data!F$3:F$635),10^9)+ROW(Data!F$3:F$635)/1000,0))</f>
        <v/>
      </c>
      <c r="G191" s="111" t="str" cm="1">
        <f t="array" ref="G191">INDEX(Data!G$3:G$635,MATCH(SMALL(IFERROR(SEARCH(,Data!G$3:G$635),10^9)+ROW(Data!G$3:G$635)/1000,ROWS(G$3:G191)),IFERROR(SEARCH(,Data!G$3:G$635),10^9)+ROW(Data!G$3:G$635)/1000,0))</f>
        <v/>
      </c>
      <c r="H191" s="623" t="str" cm="1">
        <f t="array" ref="H191">INDEX(Data!I$3:I$635,MATCH(SMALL(IFERROR(SEARCH(,Data!I$3:I$635),10^9)+ROW(Data!I$3:I$635)/1000,ROWS(H$3:H191)),IFERROR(SEARCH(,Data!I$3:I$635),10^9)+ROW(Data!I$3:I$635)/1000,0))</f>
        <v/>
      </c>
      <c r="I191" s="882"/>
      <c r="J191" s="882"/>
    </row>
    <row r="192" spans="1:10" ht="45.75" customHeight="1" x14ac:dyDescent="0.35">
      <c r="A192" s="108" t="str">
        <f>IFERROR(INDEX(Data!A$3:A$635,MATCH(IF(B192="","END",B192),Data!$B$3:$B$635,0)),"")</f>
        <v/>
      </c>
      <c r="B192" s="108" t="str" cm="1">
        <f t="array" ref="B192">INDEX(Data!B$3:B$635,MATCH(SMALL(IFERROR(SEARCH(,Data!B$3:B$635),10^9)+ROW(Data!B$3:B$635)/1000,ROWS(B$3:B192)),IFERROR(SEARCH(,Data!B$3:B$635),10^9)+ROW(Data!B$3:B$635)/1000,0))</f>
        <v/>
      </c>
      <c r="C192" s="317" t="str" cm="1">
        <f t="array" ref="C192">INDEX(Data!C$3:C$635,MATCH(SMALL(IFERROR(SEARCH(,Data!C$3:C$635),10^9)+ROW(Data!C$3:C$635)/1000,ROWS(C$3:C192)),IFERROR(SEARCH(,Data!C$3:C$635),10^9)+ROW(Data!C$3:C$635)/1000,0))</f>
        <v/>
      </c>
      <c r="D192" s="111" t="str">
        <f t="shared" si="2"/>
        <v/>
      </c>
      <c r="E192" s="111" t="str" cm="1">
        <f t="array" ref="E192">INDEX(Data!E$3:E$635,MATCH(SMALL(IFERROR(SEARCH(,Data!E$3:E$635),10^9)+ROW(Data!E$3:E$635)/1000,ROWS(E$3:E192)),IFERROR(SEARCH(,Data!E$3:E$635),10^9)+ROW(Data!E$3:E$635)/1000,0))</f>
        <v/>
      </c>
      <c r="F192" s="111" t="str" cm="1">
        <f t="array" ref="F192">INDEX(Data!F$3:F$635,MATCH(SMALL(IFERROR(SEARCH(,Data!F$3:F$635),10^9)+ROW(Data!F$3:F$635)/1000,ROWS(F$3:F192)),IFERROR(SEARCH(,Data!F$3:F$635),10^9)+ROW(Data!F$3:F$635)/1000,0))</f>
        <v/>
      </c>
      <c r="G192" s="111" t="str" cm="1">
        <f t="array" ref="G192">INDEX(Data!G$3:G$635,MATCH(SMALL(IFERROR(SEARCH(,Data!G$3:G$635),10^9)+ROW(Data!G$3:G$635)/1000,ROWS(G$3:G192)),IFERROR(SEARCH(,Data!G$3:G$635),10^9)+ROW(Data!G$3:G$635)/1000,0))</f>
        <v/>
      </c>
      <c r="H192" s="623" t="str" cm="1">
        <f t="array" ref="H192">INDEX(Data!I$3:I$635,MATCH(SMALL(IFERROR(SEARCH(,Data!I$3:I$635),10^9)+ROW(Data!I$3:I$635)/1000,ROWS(H$3:H192)),IFERROR(SEARCH(,Data!I$3:I$635),10^9)+ROW(Data!I$3:I$635)/1000,0))</f>
        <v/>
      </c>
      <c r="I192" s="882"/>
      <c r="J192" s="882"/>
    </row>
    <row r="193" spans="1:10" ht="45.75" customHeight="1" x14ac:dyDescent="0.35">
      <c r="A193" s="108" t="str">
        <f>IFERROR(INDEX(Data!A$3:A$635,MATCH(IF(B193="","END",B193),Data!$B$3:$B$635,0)),"")</f>
        <v/>
      </c>
      <c r="B193" s="108" t="str" cm="1">
        <f t="array" ref="B193">INDEX(Data!B$3:B$635,MATCH(SMALL(IFERROR(SEARCH(,Data!B$3:B$635),10^9)+ROW(Data!B$3:B$635)/1000,ROWS(B$3:B193)),IFERROR(SEARCH(,Data!B$3:B$635),10^9)+ROW(Data!B$3:B$635)/1000,0))</f>
        <v/>
      </c>
      <c r="C193" s="317" t="str" cm="1">
        <f t="array" ref="C193">INDEX(Data!C$3:C$635,MATCH(SMALL(IFERROR(SEARCH(,Data!C$3:C$635),10^9)+ROW(Data!C$3:C$635)/1000,ROWS(C$3:C193)),IFERROR(SEARCH(,Data!C$3:C$635),10^9)+ROW(Data!C$3:C$635)/1000,0))</f>
        <v/>
      </c>
      <c r="D193" s="111" t="str">
        <f t="shared" si="2"/>
        <v/>
      </c>
      <c r="E193" s="111" t="str" cm="1">
        <f t="array" ref="E193">INDEX(Data!E$3:E$635,MATCH(SMALL(IFERROR(SEARCH(,Data!E$3:E$635),10^9)+ROW(Data!E$3:E$635)/1000,ROWS(E$3:E193)),IFERROR(SEARCH(,Data!E$3:E$635),10^9)+ROW(Data!E$3:E$635)/1000,0))</f>
        <v/>
      </c>
      <c r="F193" s="111" t="str" cm="1">
        <f t="array" ref="F193">INDEX(Data!F$3:F$635,MATCH(SMALL(IFERROR(SEARCH(,Data!F$3:F$635),10^9)+ROW(Data!F$3:F$635)/1000,ROWS(F$3:F193)),IFERROR(SEARCH(,Data!F$3:F$635),10^9)+ROW(Data!F$3:F$635)/1000,0))</f>
        <v/>
      </c>
      <c r="G193" s="111" t="str" cm="1">
        <f t="array" ref="G193">INDEX(Data!G$3:G$635,MATCH(SMALL(IFERROR(SEARCH(,Data!G$3:G$635),10^9)+ROW(Data!G$3:G$635)/1000,ROWS(G$3:G193)),IFERROR(SEARCH(,Data!G$3:G$635),10^9)+ROW(Data!G$3:G$635)/1000,0))</f>
        <v/>
      </c>
      <c r="H193" s="623" t="str" cm="1">
        <f t="array" ref="H193">INDEX(Data!I$3:I$635,MATCH(SMALL(IFERROR(SEARCH(,Data!I$3:I$635),10^9)+ROW(Data!I$3:I$635)/1000,ROWS(H$3:H193)),IFERROR(SEARCH(,Data!I$3:I$635),10^9)+ROW(Data!I$3:I$635)/1000,0))</f>
        <v/>
      </c>
      <c r="I193" s="882"/>
      <c r="J193" s="882"/>
    </row>
    <row r="194" spans="1:10" ht="45.75" customHeight="1" x14ac:dyDescent="0.35">
      <c r="A194" s="108" t="str">
        <f>IFERROR(INDEX(Data!A$3:A$635,MATCH(IF(B194="","END",B194),Data!$B$3:$B$635,0)),"")</f>
        <v/>
      </c>
      <c r="B194" s="108" t="str" cm="1">
        <f t="array" ref="B194">INDEX(Data!B$3:B$635,MATCH(SMALL(IFERROR(SEARCH(,Data!B$3:B$635),10^9)+ROW(Data!B$3:B$635)/1000,ROWS(B$3:B194)),IFERROR(SEARCH(,Data!B$3:B$635),10^9)+ROW(Data!B$3:B$635)/1000,0))</f>
        <v/>
      </c>
      <c r="C194" s="317" t="str" cm="1">
        <f t="array" ref="C194">INDEX(Data!C$3:C$635,MATCH(SMALL(IFERROR(SEARCH(,Data!C$3:C$635),10^9)+ROW(Data!C$3:C$635)/1000,ROWS(C$3:C194)),IFERROR(SEARCH(,Data!C$3:C$635),10^9)+ROW(Data!C$3:C$635)/1000,0))</f>
        <v/>
      </c>
      <c r="D194" s="111" t="str">
        <f t="shared" si="2"/>
        <v/>
      </c>
      <c r="E194" s="111" t="str" cm="1">
        <f t="array" ref="E194">INDEX(Data!E$3:E$635,MATCH(SMALL(IFERROR(SEARCH(,Data!E$3:E$635),10^9)+ROW(Data!E$3:E$635)/1000,ROWS(E$3:E194)),IFERROR(SEARCH(,Data!E$3:E$635),10^9)+ROW(Data!E$3:E$635)/1000,0))</f>
        <v/>
      </c>
      <c r="F194" s="111" t="str" cm="1">
        <f t="array" ref="F194">INDEX(Data!F$3:F$635,MATCH(SMALL(IFERROR(SEARCH(,Data!F$3:F$635),10^9)+ROW(Data!F$3:F$635)/1000,ROWS(F$3:F194)),IFERROR(SEARCH(,Data!F$3:F$635),10^9)+ROW(Data!F$3:F$635)/1000,0))</f>
        <v/>
      </c>
      <c r="G194" s="111" t="str" cm="1">
        <f t="array" ref="G194">INDEX(Data!G$3:G$635,MATCH(SMALL(IFERROR(SEARCH(,Data!G$3:G$635),10^9)+ROW(Data!G$3:G$635)/1000,ROWS(G$3:G194)),IFERROR(SEARCH(,Data!G$3:G$635),10^9)+ROW(Data!G$3:G$635)/1000,0))</f>
        <v/>
      </c>
      <c r="H194" s="623" t="str" cm="1">
        <f t="array" ref="H194">INDEX(Data!I$3:I$635,MATCH(SMALL(IFERROR(SEARCH(,Data!I$3:I$635),10^9)+ROW(Data!I$3:I$635)/1000,ROWS(H$3:H194)),IFERROR(SEARCH(,Data!I$3:I$635),10^9)+ROW(Data!I$3:I$635)/1000,0))</f>
        <v/>
      </c>
      <c r="I194" s="882"/>
      <c r="J194" s="882"/>
    </row>
    <row r="195" spans="1:10" ht="45.75" customHeight="1" x14ac:dyDescent="0.35">
      <c r="A195" s="108" t="str">
        <f>IFERROR(INDEX(Data!A$3:A$635,MATCH(IF(B195="","END",B195),Data!$B$3:$B$635,0)),"")</f>
        <v/>
      </c>
      <c r="B195" s="108" t="str" cm="1">
        <f t="array" ref="B195">INDEX(Data!B$3:B$635,MATCH(SMALL(IFERROR(SEARCH(,Data!B$3:B$635),10^9)+ROW(Data!B$3:B$635)/1000,ROWS(B$3:B195)),IFERROR(SEARCH(,Data!B$3:B$635),10^9)+ROW(Data!B$3:B$635)/1000,0))</f>
        <v/>
      </c>
      <c r="C195" s="317" t="str" cm="1">
        <f t="array" ref="C195">INDEX(Data!C$3:C$635,MATCH(SMALL(IFERROR(SEARCH(,Data!C$3:C$635),10^9)+ROW(Data!C$3:C$635)/1000,ROWS(C$3:C195)),IFERROR(SEARCH(,Data!C$3:C$635),10^9)+ROW(Data!C$3:C$635)/1000,0))</f>
        <v/>
      </c>
      <c r="D195" s="111" t="str">
        <f t="shared" si="2"/>
        <v/>
      </c>
      <c r="E195" s="111" t="str" cm="1">
        <f t="array" ref="E195">INDEX(Data!E$3:E$635,MATCH(SMALL(IFERROR(SEARCH(,Data!E$3:E$635),10^9)+ROW(Data!E$3:E$635)/1000,ROWS(E$3:E195)),IFERROR(SEARCH(,Data!E$3:E$635),10^9)+ROW(Data!E$3:E$635)/1000,0))</f>
        <v/>
      </c>
      <c r="F195" s="111" t="str" cm="1">
        <f t="array" ref="F195">INDEX(Data!F$3:F$635,MATCH(SMALL(IFERROR(SEARCH(,Data!F$3:F$635),10^9)+ROW(Data!F$3:F$635)/1000,ROWS(F$3:F195)),IFERROR(SEARCH(,Data!F$3:F$635),10^9)+ROW(Data!F$3:F$635)/1000,0))</f>
        <v/>
      </c>
      <c r="G195" s="111" t="str" cm="1">
        <f t="array" ref="G195">INDEX(Data!G$3:G$635,MATCH(SMALL(IFERROR(SEARCH(,Data!G$3:G$635),10^9)+ROW(Data!G$3:G$635)/1000,ROWS(G$3:G195)),IFERROR(SEARCH(,Data!G$3:G$635),10^9)+ROW(Data!G$3:G$635)/1000,0))</f>
        <v/>
      </c>
      <c r="H195" s="623" t="str" cm="1">
        <f t="array" ref="H195">INDEX(Data!I$3:I$635,MATCH(SMALL(IFERROR(SEARCH(,Data!I$3:I$635),10^9)+ROW(Data!I$3:I$635)/1000,ROWS(H$3:H195)),IFERROR(SEARCH(,Data!I$3:I$635),10^9)+ROW(Data!I$3:I$635)/1000,0))</f>
        <v/>
      </c>
      <c r="I195" s="882"/>
      <c r="J195" s="882"/>
    </row>
    <row r="196" spans="1:10" ht="45.75" customHeight="1" x14ac:dyDescent="0.35">
      <c r="A196" s="108" t="str">
        <f>IFERROR(INDEX(Data!A$3:A$635,MATCH(IF(B196="","END",B196),Data!$B$3:$B$635,0)),"")</f>
        <v/>
      </c>
      <c r="B196" s="108" t="str" cm="1">
        <f t="array" ref="B196">INDEX(Data!B$3:B$635,MATCH(SMALL(IFERROR(SEARCH(,Data!B$3:B$635),10^9)+ROW(Data!B$3:B$635)/1000,ROWS(B$3:B196)),IFERROR(SEARCH(,Data!B$3:B$635),10^9)+ROW(Data!B$3:B$635)/1000,0))</f>
        <v/>
      </c>
      <c r="C196" s="317" t="str" cm="1">
        <f t="array" ref="C196">INDEX(Data!C$3:C$635,MATCH(SMALL(IFERROR(SEARCH(,Data!C$3:C$635),10^9)+ROW(Data!C$3:C$635)/1000,ROWS(C$3:C196)),IFERROR(SEARCH(,Data!C$3:C$635),10^9)+ROW(Data!C$3:C$635)/1000,0))</f>
        <v/>
      </c>
      <c r="D196" s="111" t="str">
        <f>IFERROR(E196-F196,"")</f>
        <v/>
      </c>
      <c r="E196" s="111" t="str" cm="1">
        <f t="array" ref="E196">INDEX(Data!E$3:E$635,MATCH(SMALL(IFERROR(SEARCH(,Data!E$3:E$635),10^9)+ROW(Data!E$3:E$635)/1000,ROWS(E$3:E196)),IFERROR(SEARCH(,Data!E$3:E$635),10^9)+ROW(Data!E$3:E$635)/1000,0))</f>
        <v/>
      </c>
      <c r="F196" s="111" t="str" cm="1">
        <f t="array" ref="F196">INDEX(Data!F$3:F$635,MATCH(SMALL(IFERROR(SEARCH(,Data!F$3:F$635),10^9)+ROW(Data!F$3:F$635)/1000,ROWS(F$3:F196)),IFERROR(SEARCH(,Data!F$3:F$635),10^9)+ROW(Data!F$3:F$635)/1000,0))</f>
        <v/>
      </c>
      <c r="G196" s="111" t="str" cm="1">
        <f t="array" ref="G196">INDEX(Data!G$3:G$635,MATCH(SMALL(IFERROR(SEARCH(,Data!G$3:G$635),10^9)+ROW(Data!G$3:G$635)/1000,ROWS(G$3:G196)),IFERROR(SEARCH(,Data!G$3:G$635),10^9)+ROW(Data!G$3:G$635)/1000,0))</f>
        <v/>
      </c>
      <c r="H196" s="623" t="str" cm="1">
        <f t="array" ref="H196">INDEX(Data!I$3:I$635,MATCH(SMALL(IFERROR(SEARCH(,Data!I$3:I$635),10^9)+ROW(Data!I$3:I$635)/1000,ROWS(H$3:H196)),IFERROR(SEARCH(,Data!I$3:I$635),10^9)+ROW(Data!I$3:I$635)/1000,0))</f>
        <v/>
      </c>
      <c r="I196" s="882"/>
      <c r="J196" s="882"/>
    </row>
    <row r="197" spans="1:10" ht="45.75" customHeight="1" x14ac:dyDescent="0.35">
      <c r="A197" s="108" t="str">
        <f>IFERROR(INDEX(Data!A$3:A$635,MATCH(IF(B197="","END",B197),Data!$B$3:$B$635,0)),"")</f>
        <v/>
      </c>
      <c r="B197" s="108" t="str" cm="1">
        <f t="array" ref="B197">INDEX(Data!B$3:B$635,MATCH(SMALL(IFERROR(SEARCH(,Data!B$3:B$635),10^9)+ROW(Data!B$3:B$635)/1000,ROWS(B$3:B197)),IFERROR(SEARCH(,Data!B$3:B$635),10^9)+ROW(Data!B$3:B$635)/1000,0))</f>
        <v/>
      </c>
      <c r="C197" s="317" t="str" cm="1">
        <f t="array" ref="C197">INDEX(Data!C$3:C$635,MATCH(SMALL(IFERROR(SEARCH(,Data!C$3:C$635),10^9)+ROW(Data!C$3:C$635)/1000,ROWS(C$3:C197)),IFERROR(SEARCH(,Data!C$3:C$635),10^9)+ROW(Data!C$3:C$635)/1000,0))</f>
        <v/>
      </c>
      <c r="D197" s="111" t="str">
        <f>IFERROR(E197-F197,"")</f>
        <v/>
      </c>
      <c r="E197" s="111" t="str" cm="1">
        <f t="array" ref="E197">INDEX(Data!E$3:E$635,MATCH(SMALL(IFERROR(SEARCH(,Data!E$3:E$635),10^9)+ROW(Data!E$3:E$635)/1000,ROWS(E$3:E197)),IFERROR(SEARCH(,Data!E$3:E$635),10^9)+ROW(Data!E$3:E$635)/1000,0))</f>
        <v/>
      </c>
      <c r="F197" s="111" t="str" cm="1">
        <f t="array" ref="F197">INDEX(Data!F$3:F$635,MATCH(SMALL(IFERROR(SEARCH(,Data!F$3:F$635),10^9)+ROW(Data!F$3:F$635)/1000,ROWS(F$3:F197)),IFERROR(SEARCH(,Data!F$3:F$635),10^9)+ROW(Data!F$3:F$635)/1000,0))</f>
        <v/>
      </c>
      <c r="G197" s="111" t="str" cm="1">
        <f t="array" ref="G197">INDEX(Data!G$3:G$635,MATCH(SMALL(IFERROR(SEARCH(,Data!G$3:G$635),10^9)+ROW(Data!G$3:G$635)/1000,ROWS(G$3:G197)),IFERROR(SEARCH(,Data!G$3:G$635),10^9)+ROW(Data!G$3:G$635)/1000,0))</f>
        <v/>
      </c>
      <c r="H197" s="623" t="str" cm="1">
        <f t="array" ref="H197">INDEX(Data!I$3:I$635,MATCH(SMALL(IFERROR(SEARCH(,Data!I$3:I$635),10^9)+ROW(Data!I$3:I$635)/1000,ROWS(H$3:H197)),IFERROR(SEARCH(,Data!I$3:I$635),10^9)+ROW(Data!I$3:I$635)/1000,0))</f>
        <v/>
      </c>
      <c r="I197" s="882"/>
      <c r="J197" s="882"/>
    </row>
    <row r="198" spans="1:10" ht="45.75" customHeight="1" x14ac:dyDescent="0.35">
      <c r="A198" s="108" t="str">
        <f>IFERROR(INDEX(Data!A$3:A$635,MATCH(IF(B198="","END",B198),Data!$B$3:$B$635,0)),"")</f>
        <v/>
      </c>
      <c r="B198" s="108" t="str" cm="1">
        <f t="array" ref="B198">INDEX(Data!B$3:B$635,MATCH(SMALL(IFERROR(SEARCH(,Data!B$3:B$635),10^9)+ROW(Data!B$3:B$635)/1000,ROWS(B$3:B198)),IFERROR(SEARCH(,Data!B$3:B$635),10^9)+ROW(Data!B$3:B$635)/1000,0))</f>
        <v/>
      </c>
      <c r="C198" s="317" t="str" cm="1">
        <f t="array" ref="C198">INDEX(Data!C$3:C$635,MATCH(SMALL(IFERROR(SEARCH(,Data!C$3:C$635),10^9)+ROW(Data!C$3:C$635)/1000,ROWS(C$3:C198)),IFERROR(SEARCH(,Data!C$3:C$635),10^9)+ROW(Data!C$3:C$635)/1000,0))</f>
        <v/>
      </c>
      <c r="D198" s="111" t="str">
        <f>IFERROR(E198-F198,"")</f>
        <v/>
      </c>
      <c r="E198" s="111" t="str" cm="1">
        <f t="array" ref="E198">INDEX(Data!E$3:E$635,MATCH(SMALL(IFERROR(SEARCH(,Data!E$3:E$635),10^9)+ROW(Data!E$3:E$635)/1000,ROWS(E$3:E198)),IFERROR(SEARCH(,Data!E$3:E$635),10^9)+ROW(Data!E$3:E$635)/1000,0))</f>
        <v/>
      </c>
      <c r="F198" s="111" t="str" cm="1">
        <f t="array" ref="F198">INDEX(Data!F$3:F$635,MATCH(SMALL(IFERROR(SEARCH(,Data!F$3:F$635),10^9)+ROW(Data!F$3:F$635)/1000,ROWS(F$3:F198)),IFERROR(SEARCH(,Data!F$3:F$635),10^9)+ROW(Data!F$3:F$635)/1000,0))</f>
        <v/>
      </c>
      <c r="G198" s="111" t="str" cm="1">
        <f t="array" ref="G198">INDEX(Data!G$3:G$635,MATCH(SMALL(IFERROR(SEARCH(,Data!G$3:G$635),10^9)+ROW(Data!G$3:G$635)/1000,ROWS(G$3:G198)),IFERROR(SEARCH(,Data!G$3:G$635),10^9)+ROW(Data!G$3:G$635)/1000,0))</f>
        <v/>
      </c>
      <c r="H198" s="623" t="str" cm="1">
        <f t="array" ref="H198">INDEX(Data!I$3:I$635,MATCH(SMALL(IFERROR(SEARCH(,Data!I$3:I$635),10^9)+ROW(Data!I$3:I$635)/1000,ROWS(H$3:H198)),IFERROR(SEARCH(,Data!I$3:I$635),10^9)+ROW(Data!I$3:I$635)/1000,0))</f>
        <v/>
      </c>
      <c r="I198" s="882"/>
      <c r="J198" s="882"/>
    </row>
    <row r="199" spans="1:10" ht="45.75" customHeight="1" x14ac:dyDescent="0.35">
      <c r="A199" s="108" t="str">
        <f>IFERROR(INDEX(Data!A$3:A$635,MATCH(IF(B199="","END",B199),Data!$B$3:$B$635,0)),"")</f>
        <v/>
      </c>
      <c r="B199" s="108" t="str" cm="1">
        <f t="array" ref="B199">INDEX(Data!B$3:B$635,MATCH(SMALL(IFERROR(SEARCH(,Data!B$3:B$635),10^9)+ROW(Data!B$3:B$635)/1000,ROWS(B$3:B199)),IFERROR(SEARCH(,Data!B$3:B$635),10^9)+ROW(Data!B$3:B$635)/1000,0))</f>
        <v/>
      </c>
      <c r="C199" s="317" t="str" cm="1">
        <f t="array" ref="C199">INDEX(Data!C$3:C$635,MATCH(SMALL(IFERROR(SEARCH(,Data!C$3:C$635),10^9)+ROW(Data!C$3:C$635)/1000,ROWS(C$3:C199)),IFERROR(SEARCH(,Data!C$3:C$635),10^9)+ROW(Data!C$3:C$635)/1000,0))</f>
        <v/>
      </c>
      <c r="D199" s="111" t="str">
        <f>IFERROR(E199-F199,"")</f>
        <v/>
      </c>
      <c r="E199" s="111" t="str" cm="1">
        <f t="array" ref="E199">INDEX(Data!E$3:E$635,MATCH(SMALL(IFERROR(SEARCH(,Data!E$3:E$635),10^9)+ROW(Data!E$3:E$635)/1000,ROWS(E$3:E199)),IFERROR(SEARCH(,Data!E$3:E$635),10^9)+ROW(Data!E$3:E$635)/1000,0))</f>
        <v/>
      </c>
      <c r="F199" s="111" t="str" cm="1">
        <f t="array" ref="F199">INDEX(Data!F$3:F$635,MATCH(SMALL(IFERROR(SEARCH(,Data!F$3:F$635),10^9)+ROW(Data!F$3:F$635)/1000,ROWS(F$3:F199)),IFERROR(SEARCH(,Data!F$3:F$635),10^9)+ROW(Data!F$3:F$635)/1000,0))</f>
        <v/>
      </c>
      <c r="G199" s="111" t="str" cm="1">
        <f t="array" ref="G199">INDEX(Data!G$3:G$635,MATCH(SMALL(IFERROR(SEARCH(,Data!G$3:G$635),10^9)+ROW(Data!G$3:G$635)/1000,ROWS(G$3:G199)),IFERROR(SEARCH(,Data!G$3:G$635),10^9)+ROW(Data!G$3:G$635)/1000,0))</f>
        <v/>
      </c>
      <c r="H199" s="623" t="str" cm="1">
        <f t="array" ref="H199">INDEX(Data!I$3:I$635,MATCH(SMALL(IFERROR(SEARCH(,Data!I$3:I$635),10^9)+ROW(Data!I$3:I$635)/1000,ROWS(H$3:H199)),IFERROR(SEARCH(,Data!I$3:I$635),10^9)+ROW(Data!I$3:I$635)/1000,0))</f>
        <v/>
      </c>
      <c r="I199" s="882"/>
      <c r="J199" s="882"/>
    </row>
    <row r="200" spans="1:10" ht="45.75" customHeight="1" x14ac:dyDescent="0.35">
      <c r="A200" s="108" t="str">
        <f>IFERROR(INDEX(Data!A$3:A$635,MATCH(IF(B200="","END",B200),Data!$B$3:$B$635,0)),"")</f>
        <v/>
      </c>
      <c r="B200" s="108" t="str" cm="1">
        <f t="array" ref="B200">INDEX(Data!B$3:B$635,MATCH(SMALL(IFERROR(SEARCH(,Data!B$3:B$635),10^9)+ROW(Data!B$3:B$635)/1000,ROWS(B$3:B200)),IFERROR(SEARCH(,Data!B$3:B$635),10^9)+ROW(Data!B$3:B$635)/1000,0))</f>
        <v/>
      </c>
      <c r="C200" s="317" t="str" cm="1">
        <f t="array" ref="C200">INDEX(Data!C$3:C$635,MATCH(SMALL(IFERROR(SEARCH(,Data!C$3:C$635),10^9)+ROW(Data!C$3:C$635)/1000,ROWS(C$3:C200)),IFERROR(SEARCH(,Data!C$3:C$635),10^9)+ROW(Data!C$3:C$635)/1000,0))</f>
        <v/>
      </c>
      <c r="D200" s="111" t="str">
        <f>IFERROR(E200-F200,"")</f>
        <v/>
      </c>
      <c r="E200" s="111" t="str" cm="1">
        <f t="array" ref="E200">INDEX(Data!E$3:E$635,MATCH(SMALL(IFERROR(SEARCH(,Data!E$3:E$635),10^9)+ROW(Data!E$3:E$635)/1000,ROWS(E$3:E200)),IFERROR(SEARCH(,Data!E$3:E$635),10^9)+ROW(Data!E$3:E$635)/1000,0))</f>
        <v/>
      </c>
      <c r="F200" s="111" t="str" cm="1">
        <f t="array" ref="F200">INDEX(Data!F$3:F$635,MATCH(SMALL(IFERROR(SEARCH(,Data!F$3:F$635),10^9)+ROW(Data!F$3:F$635)/1000,ROWS(F$3:F200)),IFERROR(SEARCH(,Data!F$3:F$635),10^9)+ROW(Data!F$3:F$635)/1000,0))</f>
        <v/>
      </c>
      <c r="G200" s="111" t="str" cm="1">
        <f t="array" ref="G200">INDEX(Data!G$3:G$635,MATCH(SMALL(IFERROR(SEARCH(,Data!G$3:G$635),10^9)+ROW(Data!G$3:G$635)/1000,ROWS(G$3:G200)),IFERROR(SEARCH(,Data!G$3:G$635),10^9)+ROW(Data!G$3:G$635)/1000,0))</f>
        <v/>
      </c>
      <c r="H200" s="623" t="str" cm="1">
        <f t="array" ref="H200">INDEX(Data!I$3:I$635,MATCH(SMALL(IFERROR(SEARCH(,Data!I$3:I$635),10^9)+ROW(Data!I$3:I$635)/1000,ROWS(H$3:H200)),IFERROR(SEARCH(,Data!I$3:I$635),10^9)+ROW(Data!I$3:I$635)/1000,0))</f>
        <v/>
      </c>
      <c r="I200" s="882"/>
      <c r="J200" s="882"/>
    </row>
    <row r="201" spans="1:10" ht="45.75" customHeight="1" x14ac:dyDescent="0.25">
      <c r="A201" s="108" t="str">
        <f>IFERROR(INDEX(Data!A$3:A$635,MATCH(IF(B201="","END",B201),Data!$B$3:$B$635,0)),"")</f>
        <v/>
      </c>
      <c r="B201" s="108" t="str" cm="1">
        <f t="array" ref="B201">INDEX(Data!B$3:B$635,MATCH(SMALL(IFERROR(SEARCH(,Data!B$3:B$635),10^9)+ROW(Data!B$3:B$635)/1000,ROWS(B$3:B201)),IFERROR(SEARCH(,Data!B$3:B$635),10^9)+ROW(Data!B$3:B$635)/1000,0))</f>
        <v/>
      </c>
      <c r="C201" s="317" t="str" cm="1">
        <f t="array" ref="C201">INDEX(Data!C$3:C$635,MATCH(SMALL(IFERROR(SEARCH(,Data!C$3:C$635),10^9)+ROW(Data!C$3:C$635)/1000,ROWS(C$3:C201)),IFERROR(SEARCH(,Data!C$3:C$635),10^9)+ROW(Data!C$3:C$635)/1000,0))</f>
        <v/>
      </c>
      <c r="D201" s="111" t="str">
        <f t="shared" ref="D201:D264" si="3">IFERROR(E201-F201,"")</f>
        <v/>
      </c>
      <c r="E201" s="111" t="str" cm="1">
        <f t="array" ref="E201">INDEX(Data!E$3:E$635,MATCH(SMALL(IFERROR(SEARCH(,Data!E$3:E$635),10^9)+ROW(Data!E$3:E$635)/1000,ROWS(E$3:E201)),IFERROR(SEARCH(,Data!E$3:E$635),10^9)+ROW(Data!E$3:E$635)/1000,0))</f>
        <v/>
      </c>
      <c r="F201" s="111" t="str" cm="1">
        <f t="array" ref="F201">INDEX(Data!F$3:F$635,MATCH(SMALL(IFERROR(SEARCH(,Data!F$3:F$635),10^9)+ROW(Data!F$3:F$635)/1000,ROWS(F$3:F201)),IFERROR(SEARCH(,Data!F$3:F$635),10^9)+ROW(Data!F$3:F$635)/1000,0))</f>
        <v/>
      </c>
      <c r="G201" s="111" t="str" cm="1">
        <f t="array" ref="G201">INDEX(Data!G$3:G$635,MATCH(SMALL(IFERROR(SEARCH(,Data!G$3:G$635),10^9)+ROW(Data!G$3:G$635)/1000,ROWS(G$3:G201)),IFERROR(SEARCH(,Data!G$3:G$635),10^9)+ROW(Data!G$3:G$635)/1000,0))</f>
        <v/>
      </c>
      <c r="H201" s="623" t="str" cm="1">
        <f t="array" ref="H201">INDEX(Data!I$3:I$635,MATCH(SMALL(IFERROR(SEARCH(,Data!I$3:I$635),10^9)+ROW(Data!I$3:I$635)/1000,ROWS(H$3:H201)),IFERROR(SEARCH(,Data!I$3:I$635),10^9)+ROW(Data!I$3:I$635)/1000,0))</f>
        <v/>
      </c>
    </row>
    <row r="202" spans="1:10" ht="45.75" customHeight="1" x14ac:dyDescent="0.25">
      <c r="A202" s="108" t="str">
        <f>IFERROR(INDEX(Data!A$3:A$635,MATCH(IF(B202="","END",B202),Data!$B$3:$B$635,0)),"")</f>
        <v/>
      </c>
      <c r="B202" s="108" t="str" cm="1">
        <f t="array" ref="B202">INDEX(Data!B$3:B$635,MATCH(SMALL(IFERROR(SEARCH(,Data!B$3:B$635),10^9)+ROW(Data!B$3:B$635)/1000,ROWS(B$3:B202)),IFERROR(SEARCH(,Data!B$3:B$635),10^9)+ROW(Data!B$3:B$635)/1000,0))</f>
        <v/>
      </c>
      <c r="C202" s="317" t="str" cm="1">
        <f t="array" ref="C202">INDEX(Data!C$3:C$635,MATCH(SMALL(IFERROR(SEARCH(,Data!C$3:C$635),10^9)+ROW(Data!C$3:C$635)/1000,ROWS(C$3:C202)),IFERROR(SEARCH(,Data!C$3:C$635),10^9)+ROW(Data!C$3:C$635)/1000,0))</f>
        <v/>
      </c>
      <c r="D202" s="111" t="str">
        <f t="shared" si="3"/>
        <v/>
      </c>
      <c r="E202" s="111" t="str" cm="1">
        <f t="array" ref="E202">INDEX(Data!E$3:E$635,MATCH(SMALL(IFERROR(SEARCH(,Data!E$3:E$635),10^9)+ROW(Data!E$3:E$635)/1000,ROWS(E$3:E202)),IFERROR(SEARCH(,Data!E$3:E$635),10^9)+ROW(Data!E$3:E$635)/1000,0))</f>
        <v/>
      </c>
      <c r="F202" s="111" t="str" cm="1">
        <f t="array" ref="F202">INDEX(Data!F$3:F$635,MATCH(SMALL(IFERROR(SEARCH(,Data!F$3:F$635),10^9)+ROW(Data!F$3:F$635)/1000,ROWS(F$3:F202)),IFERROR(SEARCH(,Data!F$3:F$635),10^9)+ROW(Data!F$3:F$635)/1000,0))</f>
        <v/>
      </c>
      <c r="G202" s="111" t="str" cm="1">
        <f t="array" ref="G202">INDEX(Data!G$3:G$635,MATCH(SMALL(IFERROR(SEARCH(,Data!G$3:G$635),10^9)+ROW(Data!G$3:G$635)/1000,ROWS(G$3:G202)),IFERROR(SEARCH(,Data!G$3:G$635),10^9)+ROW(Data!G$3:G$635)/1000,0))</f>
        <v/>
      </c>
      <c r="H202" s="623" t="str" cm="1">
        <f t="array" ref="H202">INDEX(Data!I$3:I$635,MATCH(SMALL(IFERROR(SEARCH(,Data!I$3:I$635),10^9)+ROW(Data!I$3:I$635)/1000,ROWS(H$3:H202)),IFERROR(SEARCH(,Data!I$3:I$635),10^9)+ROW(Data!I$3:I$635)/1000,0))</f>
        <v/>
      </c>
    </row>
    <row r="203" spans="1:10" ht="45.75" customHeight="1" x14ac:dyDescent="0.25">
      <c r="A203" s="108" t="str">
        <f>IFERROR(INDEX(Data!A$3:A$635,MATCH(IF(B203="","END",B203),Data!$B$3:$B$635,0)),"")</f>
        <v/>
      </c>
      <c r="B203" s="108" t="str" cm="1">
        <f t="array" ref="B203">INDEX(Data!B$3:B$635,MATCH(SMALL(IFERROR(SEARCH(,Data!B$3:B$635),10^9)+ROW(Data!B$3:B$635)/1000,ROWS(B$3:B203)),IFERROR(SEARCH(,Data!B$3:B$635),10^9)+ROW(Data!B$3:B$635)/1000,0))</f>
        <v/>
      </c>
      <c r="C203" s="317" t="str" cm="1">
        <f t="array" ref="C203">INDEX(Data!C$3:C$635,MATCH(SMALL(IFERROR(SEARCH(,Data!C$3:C$635),10^9)+ROW(Data!C$3:C$635)/1000,ROWS(C$3:C203)),IFERROR(SEARCH(,Data!C$3:C$635),10^9)+ROW(Data!C$3:C$635)/1000,0))</f>
        <v/>
      </c>
      <c r="D203" s="111" t="str">
        <f t="shared" si="3"/>
        <v/>
      </c>
      <c r="E203" s="111" t="str" cm="1">
        <f t="array" ref="E203">INDEX(Data!E$3:E$635,MATCH(SMALL(IFERROR(SEARCH(,Data!E$3:E$635),10^9)+ROW(Data!E$3:E$635)/1000,ROWS(E$3:E203)),IFERROR(SEARCH(,Data!E$3:E$635),10^9)+ROW(Data!E$3:E$635)/1000,0))</f>
        <v/>
      </c>
      <c r="F203" s="111" t="str" cm="1">
        <f t="array" ref="F203">INDEX(Data!F$3:F$635,MATCH(SMALL(IFERROR(SEARCH(,Data!F$3:F$635),10^9)+ROW(Data!F$3:F$635)/1000,ROWS(F$3:F203)),IFERROR(SEARCH(,Data!F$3:F$635),10^9)+ROW(Data!F$3:F$635)/1000,0))</f>
        <v/>
      </c>
      <c r="G203" s="111" t="str" cm="1">
        <f t="array" ref="G203">INDEX(Data!G$3:G$635,MATCH(SMALL(IFERROR(SEARCH(,Data!G$3:G$635),10^9)+ROW(Data!G$3:G$635)/1000,ROWS(G$3:G203)),IFERROR(SEARCH(,Data!G$3:G$635),10^9)+ROW(Data!G$3:G$635)/1000,0))</f>
        <v/>
      </c>
      <c r="H203" s="623" t="str" cm="1">
        <f t="array" ref="H203">INDEX(Data!I$3:I$635,MATCH(SMALL(IFERROR(SEARCH(,Data!I$3:I$635),10^9)+ROW(Data!I$3:I$635)/1000,ROWS(H$3:H203)),IFERROR(SEARCH(,Data!I$3:I$635),10^9)+ROW(Data!I$3:I$635)/1000,0))</f>
        <v/>
      </c>
    </row>
    <row r="204" spans="1:10" ht="45.75" customHeight="1" x14ac:dyDescent="0.25">
      <c r="A204" s="108" t="str">
        <f>IFERROR(INDEX(Data!A$3:A$635,MATCH(IF(B204="","END",B204),Data!$B$3:$B$635,0)),"")</f>
        <v/>
      </c>
      <c r="B204" s="108" t="str" cm="1">
        <f t="array" ref="B204">INDEX(Data!B$3:B$635,MATCH(SMALL(IFERROR(SEARCH(,Data!B$3:B$635),10^9)+ROW(Data!B$3:B$635)/1000,ROWS(B$3:B204)),IFERROR(SEARCH(,Data!B$3:B$635),10^9)+ROW(Data!B$3:B$635)/1000,0))</f>
        <v/>
      </c>
      <c r="C204" s="317" t="str" cm="1">
        <f t="array" ref="C204">INDEX(Data!C$3:C$635,MATCH(SMALL(IFERROR(SEARCH(,Data!C$3:C$635),10^9)+ROW(Data!C$3:C$635)/1000,ROWS(C$3:C204)),IFERROR(SEARCH(,Data!C$3:C$635),10^9)+ROW(Data!C$3:C$635)/1000,0))</f>
        <v/>
      </c>
      <c r="D204" s="111" t="str">
        <f t="shared" si="3"/>
        <v/>
      </c>
      <c r="E204" s="111" t="str" cm="1">
        <f t="array" ref="E204">INDEX(Data!E$3:E$635,MATCH(SMALL(IFERROR(SEARCH(,Data!E$3:E$635),10^9)+ROW(Data!E$3:E$635)/1000,ROWS(E$3:E204)),IFERROR(SEARCH(,Data!E$3:E$635),10^9)+ROW(Data!E$3:E$635)/1000,0))</f>
        <v/>
      </c>
      <c r="F204" s="111" t="str" cm="1">
        <f t="array" ref="F204">INDEX(Data!F$3:F$635,MATCH(SMALL(IFERROR(SEARCH(,Data!F$3:F$635),10^9)+ROW(Data!F$3:F$635)/1000,ROWS(F$3:F204)),IFERROR(SEARCH(,Data!F$3:F$635),10^9)+ROW(Data!F$3:F$635)/1000,0))</f>
        <v/>
      </c>
      <c r="G204" s="111" t="str" cm="1">
        <f t="array" ref="G204">INDEX(Data!G$3:G$635,MATCH(SMALL(IFERROR(SEARCH(,Data!G$3:G$635),10^9)+ROW(Data!G$3:G$635)/1000,ROWS(G$3:G204)),IFERROR(SEARCH(,Data!G$3:G$635),10^9)+ROW(Data!G$3:G$635)/1000,0))</f>
        <v/>
      </c>
      <c r="H204" s="623" t="str" cm="1">
        <f t="array" ref="H204">INDEX(Data!I$3:I$635,MATCH(SMALL(IFERROR(SEARCH(,Data!I$3:I$635),10^9)+ROW(Data!I$3:I$635)/1000,ROWS(H$3:H204)),IFERROR(SEARCH(,Data!I$3:I$635),10^9)+ROW(Data!I$3:I$635)/1000,0))</f>
        <v/>
      </c>
    </row>
    <row r="205" spans="1:10" ht="45.75" customHeight="1" x14ac:dyDescent="0.25">
      <c r="A205" s="108" t="str">
        <f>IFERROR(INDEX(Data!A$3:A$635,MATCH(IF(B205="","END",B205),Data!$B$3:$B$635,0)),"")</f>
        <v/>
      </c>
      <c r="B205" s="108" t="str" cm="1">
        <f t="array" ref="B205">INDEX(Data!B$3:B$635,MATCH(SMALL(IFERROR(SEARCH(,Data!B$3:B$635),10^9)+ROW(Data!B$3:B$635)/1000,ROWS(B$3:B205)),IFERROR(SEARCH(,Data!B$3:B$635),10^9)+ROW(Data!B$3:B$635)/1000,0))</f>
        <v/>
      </c>
      <c r="C205" s="317" t="str" cm="1">
        <f t="array" ref="C205">INDEX(Data!C$3:C$635,MATCH(SMALL(IFERROR(SEARCH(,Data!C$3:C$635),10^9)+ROW(Data!C$3:C$635)/1000,ROWS(C$3:C205)),IFERROR(SEARCH(,Data!C$3:C$635),10^9)+ROW(Data!C$3:C$635)/1000,0))</f>
        <v/>
      </c>
      <c r="D205" s="111" t="str">
        <f t="shared" si="3"/>
        <v/>
      </c>
      <c r="E205" s="111" t="str" cm="1">
        <f t="array" ref="E205">INDEX(Data!E$3:E$635,MATCH(SMALL(IFERROR(SEARCH(,Data!E$3:E$635),10^9)+ROW(Data!E$3:E$635)/1000,ROWS(E$3:E205)),IFERROR(SEARCH(,Data!E$3:E$635),10^9)+ROW(Data!E$3:E$635)/1000,0))</f>
        <v/>
      </c>
      <c r="F205" s="111" t="str" cm="1">
        <f t="array" ref="F205">INDEX(Data!F$3:F$635,MATCH(SMALL(IFERROR(SEARCH(,Data!F$3:F$635),10^9)+ROW(Data!F$3:F$635)/1000,ROWS(F$3:F205)),IFERROR(SEARCH(,Data!F$3:F$635),10^9)+ROW(Data!F$3:F$635)/1000,0))</f>
        <v/>
      </c>
      <c r="G205" s="111" t="str" cm="1">
        <f t="array" ref="G205">INDEX(Data!G$3:G$635,MATCH(SMALL(IFERROR(SEARCH(,Data!G$3:G$635),10^9)+ROW(Data!G$3:G$635)/1000,ROWS(G$3:G205)),IFERROR(SEARCH(,Data!G$3:G$635),10^9)+ROW(Data!G$3:G$635)/1000,0))</f>
        <v/>
      </c>
      <c r="H205" s="623" t="str" cm="1">
        <f t="array" ref="H205">INDEX(Data!I$3:I$635,MATCH(SMALL(IFERROR(SEARCH(,Data!I$3:I$635),10^9)+ROW(Data!I$3:I$635)/1000,ROWS(H$3:H205)),IFERROR(SEARCH(,Data!I$3:I$635),10^9)+ROW(Data!I$3:I$635)/1000,0))</f>
        <v/>
      </c>
    </row>
    <row r="206" spans="1:10" ht="45.75" customHeight="1" x14ac:dyDescent="0.25">
      <c r="A206" s="108" t="str">
        <f>IFERROR(INDEX(Data!A$3:A$635,MATCH(IF(B206="","END",B206),Data!$B$3:$B$635,0)),"")</f>
        <v/>
      </c>
      <c r="B206" s="108" t="str" cm="1">
        <f t="array" ref="B206">INDEX(Data!B$3:B$635,MATCH(SMALL(IFERROR(SEARCH(,Data!B$3:B$635),10^9)+ROW(Data!B$3:B$635)/1000,ROWS(B$3:B206)),IFERROR(SEARCH(,Data!B$3:B$635),10^9)+ROW(Data!B$3:B$635)/1000,0))</f>
        <v/>
      </c>
      <c r="C206" s="317" t="str" cm="1">
        <f t="array" ref="C206">INDEX(Data!C$3:C$635,MATCH(SMALL(IFERROR(SEARCH(,Data!C$3:C$635),10^9)+ROW(Data!C$3:C$635)/1000,ROWS(C$3:C206)),IFERROR(SEARCH(,Data!C$3:C$635),10^9)+ROW(Data!C$3:C$635)/1000,0))</f>
        <v/>
      </c>
      <c r="D206" s="111" t="str">
        <f t="shared" si="3"/>
        <v/>
      </c>
      <c r="E206" s="111" t="str" cm="1">
        <f t="array" ref="E206">INDEX(Data!E$3:E$635,MATCH(SMALL(IFERROR(SEARCH(,Data!E$3:E$635),10^9)+ROW(Data!E$3:E$635)/1000,ROWS(E$3:E206)),IFERROR(SEARCH(,Data!E$3:E$635),10^9)+ROW(Data!E$3:E$635)/1000,0))</f>
        <v/>
      </c>
      <c r="F206" s="111" t="str" cm="1">
        <f t="array" ref="F206">INDEX(Data!F$3:F$635,MATCH(SMALL(IFERROR(SEARCH(,Data!F$3:F$635),10^9)+ROW(Data!F$3:F$635)/1000,ROWS(F$3:F206)),IFERROR(SEARCH(,Data!F$3:F$635),10^9)+ROW(Data!F$3:F$635)/1000,0))</f>
        <v/>
      </c>
      <c r="G206" s="111" t="str" cm="1">
        <f t="array" ref="G206">INDEX(Data!G$3:G$635,MATCH(SMALL(IFERROR(SEARCH(,Data!G$3:G$635),10^9)+ROW(Data!G$3:G$635)/1000,ROWS(G$3:G206)),IFERROR(SEARCH(,Data!G$3:G$635),10^9)+ROW(Data!G$3:G$635)/1000,0))</f>
        <v/>
      </c>
      <c r="H206" s="623" t="str" cm="1">
        <f t="array" ref="H206">INDEX(Data!I$3:I$635,MATCH(SMALL(IFERROR(SEARCH(,Data!I$3:I$635),10^9)+ROW(Data!I$3:I$635)/1000,ROWS(H$3:H206)),IFERROR(SEARCH(,Data!I$3:I$635),10^9)+ROW(Data!I$3:I$635)/1000,0))</f>
        <v/>
      </c>
    </row>
    <row r="207" spans="1:10" ht="45.75" customHeight="1" x14ac:dyDescent="0.25">
      <c r="A207" s="108" t="str">
        <f>IFERROR(INDEX(Data!A$3:A$635,MATCH(IF(B207="","END",B207),Data!$B$3:$B$635,0)),"")</f>
        <v/>
      </c>
      <c r="B207" s="108" t="str" cm="1">
        <f t="array" ref="B207">INDEX(Data!B$3:B$635,MATCH(SMALL(IFERROR(SEARCH(,Data!B$3:B$635),10^9)+ROW(Data!B$3:B$635)/1000,ROWS(B$3:B207)),IFERROR(SEARCH(,Data!B$3:B$635),10^9)+ROW(Data!B$3:B$635)/1000,0))</f>
        <v/>
      </c>
      <c r="C207" s="317" t="str" cm="1">
        <f t="array" ref="C207">INDEX(Data!C$3:C$635,MATCH(SMALL(IFERROR(SEARCH(,Data!C$3:C$635),10^9)+ROW(Data!C$3:C$635)/1000,ROWS(C$3:C207)),IFERROR(SEARCH(,Data!C$3:C$635),10^9)+ROW(Data!C$3:C$635)/1000,0))</f>
        <v/>
      </c>
      <c r="D207" s="111" t="str">
        <f t="shared" si="3"/>
        <v/>
      </c>
      <c r="E207" s="111" t="str" cm="1">
        <f t="array" ref="E207">INDEX(Data!E$3:E$635,MATCH(SMALL(IFERROR(SEARCH(,Data!E$3:E$635),10^9)+ROW(Data!E$3:E$635)/1000,ROWS(E$3:E207)),IFERROR(SEARCH(,Data!E$3:E$635),10^9)+ROW(Data!E$3:E$635)/1000,0))</f>
        <v/>
      </c>
      <c r="F207" s="111" t="str" cm="1">
        <f t="array" ref="F207">INDEX(Data!F$3:F$635,MATCH(SMALL(IFERROR(SEARCH(,Data!F$3:F$635),10^9)+ROW(Data!F$3:F$635)/1000,ROWS(F$3:F207)),IFERROR(SEARCH(,Data!F$3:F$635),10^9)+ROW(Data!F$3:F$635)/1000,0))</f>
        <v/>
      </c>
      <c r="G207" s="111" t="str" cm="1">
        <f t="array" ref="G207">INDEX(Data!G$3:G$635,MATCH(SMALL(IFERROR(SEARCH(,Data!G$3:G$635),10^9)+ROW(Data!G$3:G$635)/1000,ROWS(G$3:G207)),IFERROR(SEARCH(,Data!G$3:G$635),10^9)+ROW(Data!G$3:G$635)/1000,0))</f>
        <v/>
      </c>
      <c r="H207" s="623" t="str" cm="1">
        <f t="array" ref="H207">INDEX(Data!I$3:I$635,MATCH(SMALL(IFERROR(SEARCH(,Data!I$3:I$635),10^9)+ROW(Data!I$3:I$635)/1000,ROWS(H$3:H207)),IFERROR(SEARCH(,Data!I$3:I$635),10^9)+ROW(Data!I$3:I$635)/1000,0))</f>
        <v/>
      </c>
    </row>
    <row r="208" spans="1:10" ht="45.75" customHeight="1" x14ac:dyDescent="0.25">
      <c r="A208" s="108" t="str">
        <f>IFERROR(INDEX(Data!A$3:A$635,MATCH(IF(B208="","END",B208),Data!$B$3:$B$635,0)),"")</f>
        <v/>
      </c>
      <c r="B208" s="108" t="str" cm="1">
        <f t="array" ref="B208">INDEX(Data!B$3:B$635,MATCH(SMALL(IFERROR(SEARCH(,Data!B$3:B$635),10^9)+ROW(Data!B$3:B$635)/1000,ROWS(B$3:B208)),IFERROR(SEARCH(,Data!B$3:B$635),10^9)+ROW(Data!B$3:B$635)/1000,0))</f>
        <v/>
      </c>
      <c r="C208" s="317" t="str" cm="1">
        <f t="array" ref="C208">INDEX(Data!C$3:C$635,MATCH(SMALL(IFERROR(SEARCH(,Data!C$3:C$635),10^9)+ROW(Data!C$3:C$635)/1000,ROWS(C$3:C208)),IFERROR(SEARCH(,Data!C$3:C$635),10^9)+ROW(Data!C$3:C$635)/1000,0))</f>
        <v/>
      </c>
      <c r="D208" s="111" t="str">
        <f t="shared" si="3"/>
        <v/>
      </c>
      <c r="E208" s="111" t="str" cm="1">
        <f t="array" ref="E208">INDEX(Data!E$3:E$635,MATCH(SMALL(IFERROR(SEARCH(,Data!E$3:E$635),10^9)+ROW(Data!E$3:E$635)/1000,ROWS(E$3:E208)),IFERROR(SEARCH(,Data!E$3:E$635),10^9)+ROW(Data!E$3:E$635)/1000,0))</f>
        <v/>
      </c>
      <c r="F208" s="111" t="str" cm="1">
        <f t="array" ref="F208">INDEX(Data!F$3:F$635,MATCH(SMALL(IFERROR(SEARCH(,Data!F$3:F$635),10^9)+ROW(Data!F$3:F$635)/1000,ROWS(F$3:F208)),IFERROR(SEARCH(,Data!F$3:F$635),10^9)+ROW(Data!F$3:F$635)/1000,0))</f>
        <v/>
      </c>
      <c r="G208" s="111" t="str" cm="1">
        <f t="array" ref="G208">INDEX(Data!G$3:G$635,MATCH(SMALL(IFERROR(SEARCH(,Data!G$3:G$635),10^9)+ROW(Data!G$3:G$635)/1000,ROWS(G$3:G208)),IFERROR(SEARCH(,Data!G$3:G$635),10^9)+ROW(Data!G$3:G$635)/1000,0))</f>
        <v/>
      </c>
      <c r="H208" s="623" t="str" cm="1">
        <f t="array" ref="H208">INDEX(Data!I$3:I$635,MATCH(SMALL(IFERROR(SEARCH(,Data!I$3:I$635),10^9)+ROW(Data!I$3:I$635)/1000,ROWS(H$3:H208)),IFERROR(SEARCH(,Data!I$3:I$635),10^9)+ROW(Data!I$3:I$635)/1000,0))</f>
        <v/>
      </c>
    </row>
    <row r="209" spans="1:8" ht="45.75" customHeight="1" x14ac:dyDescent="0.25">
      <c r="A209" s="108" t="str">
        <f>IFERROR(INDEX(Data!A$3:A$635,MATCH(IF(B209="","END",B209),Data!$B$3:$B$635,0)),"")</f>
        <v/>
      </c>
      <c r="B209" s="108" t="str" cm="1">
        <f t="array" ref="B209">INDEX(Data!B$3:B$635,MATCH(SMALL(IFERROR(SEARCH(,Data!B$3:B$635),10^9)+ROW(Data!B$3:B$635)/1000,ROWS(B$3:B209)),IFERROR(SEARCH(,Data!B$3:B$635),10^9)+ROW(Data!B$3:B$635)/1000,0))</f>
        <v/>
      </c>
      <c r="C209" s="317" t="str" cm="1">
        <f t="array" ref="C209">INDEX(Data!C$3:C$635,MATCH(SMALL(IFERROR(SEARCH(,Data!C$3:C$635),10^9)+ROW(Data!C$3:C$635)/1000,ROWS(C$3:C209)),IFERROR(SEARCH(,Data!C$3:C$635),10^9)+ROW(Data!C$3:C$635)/1000,0))</f>
        <v/>
      </c>
      <c r="D209" s="111" t="str">
        <f t="shared" si="3"/>
        <v/>
      </c>
      <c r="E209" s="111" t="str" cm="1">
        <f t="array" ref="E209">INDEX(Data!E$3:E$635,MATCH(SMALL(IFERROR(SEARCH(,Data!E$3:E$635),10^9)+ROW(Data!E$3:E$635)/1000,ROWS(E$3:E209)),IFERROR(SEARCH(,Data!E$3:E$635),10^9)+ROW(Data!E$3:E$635)/1000,0))</f>
        <v/>
      </c>
      <c r="F209" s="111" t="str" cm="1">
        <f t="array" ref="F209">INDEX(Data!F$3:F$635,MATCH(SMALL(IFERROR(SEARCH(,Data!F$3:F$635),10^9)+ROW(Data!F$3:F$635)/1000,ROWS(F$3:F209)),IFERROR(SEARCH(,Data!F$3:F$635),10^9)+ROW(Data!F$3:F$635)/1000,0))</f>
        <v/>
      </c>
      <c r="G209" s="111" t="str" cm="1">
        <f t="array" ref="G209">INDEX(Data!G$3:G$635,MATCH(SMALL(IFERROR(SEARCH(,Data!G$3:G$635),10^9)+ROW(Data!G$3:G$635)/1000,ROWS(G$3:G209)),IFERROR(SEARCH(,Data!G$3:G$635),10^9)+ROW(Data!G$3:G$635)/1000,0))</f>
        <v/>
      </c>
      <c r="H209" s="623" t="str" cm="1">
        <f t="array" ref="H209">INDEX(Data!I$3:I$635,MATCH(SMALL(IFERROR(SEARCH(,Data!I$3:I$635),10^9)+ROW(Data!I$3:I$635)/1000,ROWS(H$3:H209)),IFERROR(SEARCH(,Data!I$3:I$635),10^9)+ROW(Data!I$3:I$635)/1000,0))</f>
        <v/>
      </c>
    </row>
    <row r="210" spans="1:8" ht="45.75" customHeight="1" x14ac:dyDescent="0.25">
      <c r="A210" s="108" t="str">
        <f>IFERROR(INDEX(Data!A$3:A$635,MATCH(IF(B210="","END",B210),Data!$B$3:$B$635,0)),"")</f>
        <v/>
      </c>
      <c r="B210" s="108" t="str" cm="1">
        <f t="array" ref="B210">INDEX(Data!B$3:B$635,MATCH(SMALL(IFERROR(SEARCH(,Data!B$3:B$635),10^9)+ROW(Data!B$3:B$635)/1000,ROWS(B$3:B210)),IFERROR(SEARCH(,Data!B$3:B$635),10^9)+ROW(Data!B$3:B$635)/1000,0))</f>
        <v/>
      </c>
      <c r="C210" s="317" t="str" cm="1">
        <f t="array" ref="C210">INDEX(Data!C$3:C$635,MATCH(SMALL(IFERROR(SEARCH(,Data!C$3:C$635),10^9)+ROW(Data!C$3:C$635)/1000,ROWS(C$3:C210)),IFERROR(SEARCH(,Data!C$3:C$635),10^9)+ROW(Data!C$3:C$635)/1000,0))</f>
        <v/>
      </c>
      <c r="D210" s="111" t="str">
        <f t="shared" si="3"/>
        <v/>
      </c>
      <c r="E210" s="111" t="str" cm="1">
        <f t="array" ref="E210">INDEX(Data!E$3:E$635,MATCH(SMALL(IFERROR(SEARCH(,Data!E$3:E$635),10^9)+ROW(Data!E$3:E$635)/1000,ROWS(E$3:E210)),IFERROR(SEARCH(,Data!E$3:E$635),10^9)+ROW(Data!E$3:E$635)/1000,0))</f>
        <v/>
      </c>
      <c r="F210" s="111" t="str" cm="1">
        <f t="array" ref="F210">INDEX(Data!F$3:F$635,MATCH(SMALL(IFERROR(SEARCH(,Data!F$3:F$635),10^9)+ROW(Data!F$3:F$635)/1000,ROWS(F$3:F210)),IFERROR(SEARCH(,Data!F$3:F$635),10^9)+ROW(Data!F$3:F$635)/1000,0))</f>
        <v/>
      </c>
      <c r="G210" s="111" t="str" cm="1">
        <f t="array" ref="G210">INDEX(Data!G$3:G$635,MATCH(SMALL(IFERROR(SEARCH(,Data!G$3:G$635),10^9)+ROW(Data!G$3:G$635)/1000,ROWS(G$3:G210)),IFERROR(SEARCH(,Data!G$3:G$635),10^9)+ROW(Data!G$3:G$635)/1000,0))</f>
        <v/>
      </c>
      <c r="H210" s="623" t="str" cm="1">
        <f t="array" ref="H210">INDEX(Data!I$3:I$635,MATCH(SMALL(IFERROR(SEARCH(,Data!I$3:I$635),10^9)+ROW(Data!I$3:I$635)/1000,ROWS(H$3:H210)),IFERROR(SEARCH(,Data!I$3:I$635),10^9)+ROW(Data!I$3:I$635)/1000,0))</f>
        <v/>
      </c>
    </row>
    <row r="211" spans="1:8" ht="45.75" customHeight="1" x14ac:dyDescent="0.25">
      <c r="A211" s="108" t="str">
        <f>IFERROR(INDEX(Data!A$3:A$635,MATCH(IF(B211="","END",B211),Data!$B$3:$B$635,0)),"")</f>
        <v/>
      </c>
      <c r="B211" s="108" t="str" cm="1">
        <f t="array" ref="B211">INDEX(Data!B$3:B$635,MATCH(SMALL(IFERROR(SEARCH(,Data!B$3:B$635),10^9)+ROW(Data!B$3:B$635)/1000,ROWS(B$3:B211)),IFERROR(SEARCH(,Data!B$3:B$635),10^9)+ROW(Data!B$3:B$635)/1000,0))</f>
        <v/>
      </c>
      <c r="C211" s="317" t="str" cm="1">
        <f t="array" ref="C211">INDEX(Data!C$3:C$635,MATCH(SMALL(IFERROR(SEARCH(,Data!C$3:C$635),10^9)+ROW(Data!C$3:C$635)/1000,ROWS(C$3:C211)),IFERROR(SEARCH(,Data!C$3:C$635),10^9)+ROW(Data!C$3:C$635)/1000,0))</f>
        <v/>
      </c>
      <c r="D211" s="111" t="str">
        <f t="shared" si="3"/>
        <v/>
      </c>
      <c r="E211" s="111" t="str" cm="1">
        <f t="array" ref="E211">INDEX(Data!E$3:E$635,MATCH(SMALL(IFERROR(SEARCH(,Data!E$3:E$635),10^9)+ROW(Data!E$3:E$635)/1000,ROWS(E$3:E211)),IFERROR(SEARCH(,Data!E$3:E$635),10^9)+ROW(Data!E$3:E$635)/1000,0))</f>
        <v/>
      </c>
      <c r="F211" s="111" t="str" cm="1">
        <f t="array" ref="F211">INDEX(Data!F$3:F$635,MATCH(SMALL(IFERROR(SEARCH(,Data!F$3:F$635),10^9)+ROW(Data!F$3:F$635)/1000,ROWS(F$3:F211)),IFERROR(SEARCH(,Data!F$3:F$635),10^9)+ROW(Data!F$3:F$635)/1000,0))</f>
        <v/>
      </c>
      <c r="G211" s="111" t="str" cm="1">
        <f t="array" ref="G211">INDEX(Data!G$3:G$635,MATCH(SMALL(IFERROR(SEARCH(,Data!G$3:G$635),10^9)+ROW(Data!G$3:G$635)/1000,ROWS(G$3:G211)),IFERROR(SEARCH(,Data!G$3:G$635),10^9)+ROW(Data!G$3:G$635)/1000,0))</f>
        <v/>
      </c>
      <c r="H211" s="623" t="str" cm="1">
        <f t="array" ref="H211">INDEX(Data!I$3:I$635,MATCH(SMALL(IFERROR(SEARCH(,Data!I$3:I$635),10^9)+ROW(Data!I$3:I$635)/1000,ROWS(H$3:H211)),IFERROR(SEARCH(,Data!I$3:I$635),10^9)+ROW(Data!I$3:I$635)/1000,0))</f>
        <v/>
      </c>
    </row>
    <row r="212" spans="1:8" ht="45.75" customHeight="1" x14ac:dyDescent="0.25">
      <c r="A212" s="108" t="str">
        <f>IFERROR(INDEX(Data!A$3:A$635,MATCH(IF(B212="","END",B212),Data!$B$3:$B$635,0)),"")</f>
        <v/>
      </c>
      <c r="B212" s="108" t="str" cm="1">
        <f t="array" ref="B212">INDEX(Data!B$3:B$635,MATCH(SMALL(IFERROR(SEARCH(,Data!B$3:B$635),10^9)+ROW(Data!B$3:B$635)/1000,ROWS(B$3:B212)),IFERROR(SEARCH(,Data!B$3:B$635),10^9)+ROW(Data!B$3:B$635)/1000,0))</f>
        <v/>
      </c>
      <c r="C212" s="317" t="str" cm="1">
        <f t="array" ref="C212">INDEX(Data!C$3:C$635,MATCH(SMALL(IFERROR(SEARCH(,Data!C$3:C$635),10^9)+ROW(Data!C$3:C$635)/1000,ROWS(C$3:C212)),IFERROR(SEARCH(,Data!C$3:C$635),10^9)+ROW(Data!C$3:C$635)/1000,0))</f>
        <v/>
      </c>
      <c r="D212" s="111" t="str">
        <f t="shared" si="3"/>
        <v/>
      </c>
      <c r="E212" s="111" t="str" cm="1">
        <f t="array" ref="E212">INDEX(Data!E$3:E$635,MATCH(SMALL(IFERROR(SEARCH(,Data!E$3:E$635),10^9)+ROW(Data!E$3:E$635)/1000,ROWS(E$3:E212)),IFERROR(SEARCH(,Data!E$3:E$635),10^9)+ROW(Data!E$3:E$635)/1000,0))</f>
        <v/>
      </c>
      <c r="F212" s="111" t="str" cm="1">
        <f t="array" ref="F212">INDEX(Data!F$3:F$635,MATCH(SMALL(IFERROR(SEARCH(,Data!F$3:F$635),10^9)+ROW(Data!F$3:F$635)/1000,ROWS(F$3:F212)),IFERROR(SEARCH(,Data!F$3:F$635),10^9)+ROW(Data!F$3:F$635)/1000,0))</f>
        <v/>
      </c>
      <c r="G212" s="111" t="str" cm="1">
        <f t="array" ref="G212">INDEX(Data!G$3:G$635,MATCH(SMALL(IFERROR(SEARCH(,Data!G$3:G$635),10^9)+ROW(Data!G$3:G$635)/1000,ROWS(G$3:G212)),IFERROR(SEARCH(,Data!G$3:G$635),10^9)+ROW(Data!G$3:G$635)/1000,0))</f>
        <v/>
      </c>
      <c r="H212" s="623" t="str" cm="1">
        <f t="array" ref="H212">INDEX(Data!I$3:I$635,MATCH(SMALL(IFERROR(SEARCH(,Data!I$3:I$635),10^9)+ROW(Data!I$3:I$635)/1000,ROWS(H$3:H212)),IFERROR(SEARCH(,Data!I$3:I$635),10^9)+ROW(Data!I$3:I$635)/1000,0))</f>
        <v/>
      </c>
    </row>
    <row r="213" spans="1:8" ht="45.75" customHeight="1" x14ac:dyDescent="0.25">
      <c r="A213" s="108" t="str">
        <f>IFERROR(INDEX(Data!A$3:A$635,MATCH(IF(B213="","END",B213),Data!$B$3:$B$635,0)),"")</f>
        <v/>
      </c>
      <c r="B213" s="108" t="str" cm="1">
        <f t="array" ref="B213">INDEX(Data!B$3:B$635,MATCH(SMALL(IFERROR(SEARCH(,Data!B$3:B$635),10^9)+ROW(Data!B$3:B$635)/1000,ROWS(B$3:B213)),IFERROR(SEARCH(,Data!B$3:B$635),10^9)+ROW(Data!B$3:B$635)/1000,0))</f>
        <v/>
      </c>
      <c r="C213" s="317" t="str" cm="1">
        <f t="array" ref="C213">INDEX(Data!C$3:C$635,MATCH(SMALL(IFERROR(SEARCH(,Data!C$3:C$635),10^9)+ROW(Data!C$3:C$635)/1000,ROWS(C$3:C213)),IFERROR(SEARCH(,Data!C$3:C$635),10^9)+ROW(Data!C$3:C$635)/1000,0))</f>
        <v/>
      </c>
      <c r="D213" s="111" t="str">
        <f t="shared" si="3"/>
        <v/>
      </c>
      <c r="E213" s="111" t="str" cm="1">
        <f t="array" ref="E213">INDEX(Data!E$3:E$635,MATCH(SMALL(IFERROR(SEARCH(,Data!E$3:E$635),10^9)+ROW(Data!E$3:E$635)/1000,ROWS(E$3:E213)),IFERROR(SEARCH(,Data!E$3:E$635),10^9)+ROW(Data!E$3:E$635)/1000,0))</f>
        <v/>
      </c>
      <c r="F213" s="111" t="str" cm="1">
        <f t="array" ref="F213">INDEX(Data!F$3:F$635,MATCH(SMALL(IFERROR(SEARCH(,Data!F$3:F$635),10^9)+ROW(Data!F$3:F$635)/1000,ROWS(F$3:F213)),IFERROR(SEARCH(,Data!F$3:F$635),10^9)+ROW(Data!F$3:F$635)/1000,0))</f>
        <v/>
      </c>
      <c r="G213" s="111" t="str" cm="1">
        <f t="array" ref="G213">INDEX(Data!G$3:G$635,MATCH(SMALL(IFERROR(SEARCH(,Data!G$3:G$635),10^9)+ROW(Data!G$3:G$635)/1000,ROWS(G$3:G213)),IFERROR(SEARCH(,Data!G$3:G$635),10^9)+ROW(Data!G$3:G$635)/1000,0))</f>
        <v/>
      </c>
      <c r="H213" s="623" t="str" cm="1">
        <f t="array" ref="H213">INDEX(Data!I$3:I$635,MATCH(SMALL(IFERROR(SEARCH(,Data!I$3:I$635),10^9)+ROW(Data!I$3:I$635)/1000,ROWS(H$3:H213)),IFERROR(SEARCH(,Data!I$3:I$635),10^9)+ROW(Data!I$3:I$635)/1000,0))</f>
        <v/>
      </c>
    </row>
    <row r="214" spans="1:8" ht="45.75" customHeight="1" x14ac:dyDescent="0.25">
      <c r="A214" s="108" t="str">
        <f>IFERROR(INDEX(Data!A$3:A$635,MATCH(IF(B214="","END",B214),Data!$B$3:$B$635,0)),"")</f>
        <v/>
      </c>
      <c r="B214" s="108" t="str" cm="1">
        <f t="array" ref="B214">INDEX(Data!B$3:B$635,MATCH(SMALL(IFERROR(SEARCH(,Data!B$3:B$635),10^9)+ROW(Data!B$3:B$635)/1000,ROWS(B$3:B214)),IFERROR(SEARCH(,Data!B$3:B$635),10^9)+ROW(Data!B$3:B$635)/1000,0))</f>
        <v/>
      </c>
      <c r="C214" s="317" t="str" cm="1">
        <f t="array" ref="C214">INDEX(Data!C$3:C$635,MATCH(SMALL(IFERROR(SEARCH(,Data!C$3:C$635),10^9)+ROW(Data!C$3:C$635)/1000,ROWS(C$3:C214)),IFERROR(SEARCH(,Data!C$3:C$635),10^9)+ROW(Data!C$3:C$635)/1000,0))</f>
        <v/>
      </c>
      <c r="D214" s="111" t="str">
        <f t="shared" si="3"/>
        <v/>
      </c>
      <c r="E214" s="111" t="str" cm="1">
        <f t="array" ref="E214">INDEX(Data!E$3:E$635,MATCH(SMALL(IFERROR(SEARCH(,Data!E$3:E$635),10^9)+ROW(Data!E$3:E$635)/1000,ROWS(E$3:E214)),IFERROR(SEARCH(,Data!E$3:E$635),10^9)+ROW(Data!E$3:E$635)/1000,0))</f>
        <v/>
      </c>
      <c r="F214" s="111" t="str" cm="1">
        <f t="array" ref="F214">INDEX(Data!F$3:F$635,MATCH(SMALL(IFERROR(SEARCH(,Data!F$3:F$635),10^9)+ROW(Data!F$3:F$635)/1000,ROWS(F$3:F214)),IFERROR(SEARCH(,Data!F$3:F$635),10^9)+ROW(Data!F$3:F$635)/1000,0))</f>
        <v/>
      </c>
      <c r="G214" s="111" t="str" cm="1">
        <f t="array" ref="G214">INDEX(Data!G$3:G$635,MATCH(SMALL(IFERROR(SEARCH(,Data!G$3:G$635),10^9)+ROW(Data!G$3:G$635)/1000,ROWS(G$3:G214)),IFERROR(SEARCH(,Data!G$3:G$635),10^9)+ROW(Data!G$3:G$635)/1000,0))</f>
        <v/>
      </c>
      <c r="H214" s="623" t="str" cm="1">
        <f t="array" ref="H214">INDEX(Data!I$3:I$635,MATCH(SMALL(IFERROR(SEARCH(,Data!I$3:I$635),10^9)+ROW(Data!I$3:I$635)/1000,ROWS(H$3:H214)),IFERROR(SEARCH(,Data!I$3:I$635),10^9)+ROW(Data!I$3:I$635)/1000,0))</f>
        <v/>
      </c>
    </row>
    <row r="215" spans="1:8" ht="45.75" customHeight="1" x14ac:dyDescent="0.25">
      <c r="A215" s="108" t="str">
        <f>IFERROR(INDEX(Data!A$3:A$635,MATCH(IF(B215="","END",B215),Data!$B$3:$B$635,0)),"")</f>
        <v/>
      </c>
      <c r="B215" s="108" t="str" cm="1">
        <f t="array" ref="B215">INDEX(Data!B$3:B$635,MATCH(SMALL(IFERROR(SEARCH(,Data!B$3:B$635),10^9)+ROW(Data!B$3:B$635)/1000,ROWS(B$3:B215)),IFERROR(SEARCH(,Data!B$3:B$635),10^9)+ROW(Data!B$3:B$635)/1000,0))</f>
        <v/>
      </c>
      <c r="C215" s="317" t="str" cm="1">
        <f t="array" ref="C215">INDEX(Data!C$3:C$635,MATCH(SMALL(IFERROR(SEARCH(,Data!C$3:C$635),10^9)+ROW(Data!C$3:C$635)/1000,ROWS(C$3:C215)),IFERROR(SEARCH(,Data!C$3:C$635),10^9)+ROW(Data!C$3:C$635)/1000,0))</f>
        <v/>
      </c>
      <c r="D215" s="111" t="str">
        <f t="shared" si="3"/>
        <v/>
      </c>
      <c r="E215" s="111" t="str" cm="1">
        <f t="array" ref="E215">INDEX(Data!E$3:E$635,MATCH(SMALL(IFERROR(SEARCH(,Data!E$3:E$635),10^9)+ROW(Data!E$3:E$635)/1000,ROWS(E$3:E215)),IFERROR(SEARCH(,Data!E$3:E$635),10^9)+ROW(Data!E$3:E$635)/1000,0))</f>
        <v/>
      </c>
      <c r="F215" s="111" t="str" cm="1">
        <f t="array" ref="F215">INDEX(Data!F$3:F$635,MATCH(SMALL(IFERROR(SEARCH(,Data!F$3:F$635),10^9)+ROW(Data!F$3:F$635)/1000,ROWS(F$3:F215)),IFERROR(SEARCH(,Data!F$3:F$635),10^9)+ROW(Data!F$3:F$635)/1000,0))</f>
        <v/>
      </c>
      <c r="G215" s="111" t="str" cm="1">
        <f t="array" ref="G215">INDEX(Data!G$3:G$635,MATCH(SMALL(IFERROR(SEARCH(,Data!G$3:G$635),10^9)+ROW(Data!G$3:G$635)/1000,ROWS(G$3:G215)),IFERROR(SEARCH(,Data!G$3:G$635),10^9)+ROW(Data!G$3:G$635)/1000,0))</f>
        <v/>
      </c>
      <c r="H215" s="623" t="str" cm="1">
        <f t="array" ref="H215">INDEX(Data!I$3:I$635,MATCH(SMALL(IFERROR(SEARCH(,Data!I$3:I$635),10^9)+ROW(Data!I$3:I$635)/1000,ROWS(H$3:H215)),IFERROR(SEARCH(,Data!I$3:I$635),10^9)+ROW(Data!I$3:I$635)/1000,0))</f>
        <v/>
      </c>
    </row>
    <row r="216" spans="1:8" ht="45.75" customHeight="1" x14ac:dyDescent="0.25">
      <c r="A216" s="108" t="str">
        <f>IFERROR(INDEX(Data!A$3:A$635,MATCH(IF(B216="","END",B216),Data!$B$3:$B$635,0)),"")</f>
        <v/>
      </c>
      <c r="B216" s="108" t="str" cm="1">
        <f t="array" ref="B216">INDEX(Data!B$3:B$635,MATCH(SMALL(IFERROR(SEARCH(,Data!B$3:B$635),10^9)+ROW(Data!B$3:B$635)/1000,ROWS(B$3:B216)),IFERROR(SEARCH(,Data!B$3:B$635),10^9)+ROW(Data!B$3:B$635)/1000,0))</f>
        <v/>
      </c>
      <c r="C216" s="317" t="str" cm="1">
        <f t="array" ref="C216">INDEX(Data!C$3:C$635,MATCH(SMALL(IFERROR(SEARCH(,Data!C$3:C$635),10^9)+ROW(Data!C$3:C$635)/1000,ROWS(C$3:C216)),IFERROR(SEARCH(,Data!C$3:C$635),10^9)+ROW(Data!C$3:C$635)/1000,0))</f>
        <v/>
      </c>
      <c r="D216" s="111" t="str">
        <f t="shared" si="3"/>
        <v/>
      </c>
      <c r="E216" s="111" t="str" cm="1">
        <f t="array" ref="E216">INDEX(Data!E$3:E$635,MATCH(SMALL(IFERROR(SEARCH(,Data!E$3:E$635),10^9)+ROW(Data!E$3:E$635)/1000,ROWS(E$3:E216)),IFERROR(SEARCH(,Data!E$3:E$635),10^9)+ROW(Data!E$3:E$635)/1000,0))</f>
        <v/>
      </c>
      <c r="F216" s="111" t="str" cm="1">
        <f t="array" ref="F216">INDEX(Data!F$3:F$635,MATCH(SMALL(IFERROR(SEARCH(,Data!F$3:F$635),10^9)+ROW(Data!F$3:F$635)/1000,ROWS(F$3:F216)),IFERROR(SEARCH(,Data!F$3:F$635),10^9)+ROW(Data!F$3:F$635)/1000,0))</f>
        <v/>
      </c>
      <c r="G216" s="111" t="str" cm="1">
        <f t="array" ref="G216">INDEX(Data!G$3:G$635,MATCH(SMALL(IFERROR(SEARCH(,Data!G$3:G$635),10^9)+ROW(Data!G$3:G$635)/1000,ROWS(G$3:G216)),IFERROR(SEARCH(,Data!G$3:G$635),10^9)+ROW(Data!G$3:G$635)/1000,0))</f>
        <v/>
      </c>
      <c r="H216" s="623" t="str" cm="1">
        <f t="array" ref="H216">INDEX(Data!I$3:I$635,MATCH(SMALL(IFERROR(SEARCH(,Data!I$3:I$635),10^9)+ROW(Data!I$3:I$635)/1000,ROWS(H$3:H216)),IFERROR(SEARCH(,Data!I$3:I$635),10^9)+ROW(Data!I$3:I$635)/1000,0))</f>
        <v/>
      </c>
    </row>
    <row r="217" spans="1:8" ht="45.75" customHeight="1" x14ac:dyDescent="0.25">
      <c r="A217" s="108" t="str">
        <f>IFERROR(INDEX(Data!A$3:A$635,MATCH(IF(B217="","END",B217),Data!$B$3:$B$635,0)),"")</f>
        <v/>
      </c>
      <c r="B217" s="108" t="str" cm="1">
        <f t="array" ref="B217">INDEX(Data!B$3:B$635,MATCH(SMALL(IFERROR(SEARCH(,Data!B$3:B$635),10^9)+ROW(Data!B$3:B$635)/1000,ROWS(B$3:B217)),IFERROR(SEARCH(,Data!B$3:B$635),10^9)+ROW(Data!B$3:B$635)/1000,0))</f>
        <v/>
      </c>
      <c r="C217" s="317" t="str" cm="1">
        <f t="array" ref="C217">INDEX(Data!C$3:C$635,MATCH(SMALL(IFERROR(SEARCH(,Data!C$3:C$635),10^9)+ROW(Data!C$3:C$635)/1000,ROWS(C$3:C217)),IFERROR(SEARCH(,Data!C$3:C$635),10^9)+ROW(Data!C$3:C$635)/1000,0))</f>
        <v/>
      </c>
      <c r="D217" s="111" t="str">
        <f t="shared" si="3"/>
        <v/>
      </c>
      <c r="E217" s="111" t="str" cm="1">
        <f t="array" ref="E217">INDEX(Data!E$3:E$635,MATCH(SMALL(IFERROR(SEARCH(,Data!E$3:E$635),10^9)+ROW(Data!E$3:E$635)/1000,ROWS(E$3:E217)),IFERROR(SEARCH(,Data!E$3:E$635),10^9)+ROW(Data!E$3:E$635)/1000,0))</f>
        <v/>
      </c>
      <c r="F217" s="111" t="str" cm="1">
        <f t="array" ref="F217">INDEX(Data!F$3:F$635,MATCH(SMALL(IFERROR(SEARCH(,Data!F$3:F$635),10^9)+ROW(Data!F$3:F$635)/1000,ROWS(F$3:F217)),IFERROR(SEARCH(,Data!F$3:F$635),10^9)+ROW(Data!F$3:F$635)/1000,0))</f>
        <v/>
      </c>
      <c r="G217" s="111" t="str" cm="1">
        <f t="array" ref="G217">INDEX(Data!G$3:G$635,MATCH(SMALL(IFERROR(SEARCH(,Data!G$3:G$635),10^9)+ROW(Data!G$3:G$635)/1000,ROWS(G$3:G217)),IFERROR(SEARCH(,Data!G$3:G$635),10^9)+ROW(Data!G$3:G$635)/1000,0))</f>
        <v/>
      </c>
      <c r="H217" s="623" t="str" cm="1">
        <f t="array" ref="H217">INDEX(Data!I$3:I$635,MATCH(SMALL(IFERROR(SEARCH(,Data!I$3:I$635),10^9)+ROW(Data!I$3:I$635)/1000,ROWS(H$3:H217)),IFERROR(SEARCH(,Data!I$3:I$635),10^9)+ROW(Data!I$3:I$635)/1000,0))</f>
        <v/>
      </c>
    </row>
    <row r="218" spans="1:8" ht="45.75" customHeight="1" x14ac:dyDescent="0.25">
      <c r="A218" s="108" t="str">
        <f>IFERROR(INDEX(Data!A$3:A$635,MATCH(IF(B218="","END",B218),Data!$B$3:$B$635,0)),"")</f>
        <v/>
      </c>
      <c r="B218" s="108" t="str" cm="1">
        <f t="array" ref="B218">INDEX(Data!B$3:B$635,MATCH(SMALL(IFERROR(SEARCH(,Data!B$3:B$635),10^9)+ROW(Data!B$3:B$635)/1000,ROWS(B$3:B218)),IFERROR(SEARCH(,Data!B$3:B$635),10^9)+ROW(Data!B$3:B$635)/1000,0))</f>
        <v/>
      </c>
      <c r="C218" s="317" t="str" cm="1">
        <f t="array" ref="C218">INDEX(Data!C$3:C$635,MATCH(SMALL(IFERROR(SEARCH(,Data!C$3:C$635),10^9)+ROW(Data!C$3:C$635)/1000,ROWS(C$3:C218)),IFERROR(SEARCH(,Data!C$3:C$635),10^9)+ROW(Data!C$3:C$635)/1000,0))</f>
        <v/>
      </c>
      <c r="D218" s="111" t="str">
        <f t="shared" si="3"/>
        <v/>
      </c>
      <c r="E218" s="111" t="str" cm="1">
        <f t="array" ref="E218">INDEX(Data!E$3:E$635,MATCH(SMALL(IFERROR(SEARCH(,Data!E$3:E$635),10^9)+ROW(Data!E$3:E$635)/1000,ROWS(E$3:E218)),IFERROR(SEARCH(,Data!E$3:E$635),10^9)+ROW(Data!E$3:E$635)/1000,0))</f>
        <v/>
      </c>
      <c r="F218" s="111" t="str" cm="1">
        <f t="array" ref="F218">INDEX(Data!F$3:F$635,MATCH(SMALL(IFERROR(SEARCH(,Data!F$3:F$635),10^9)+ROW(Data!F$3:F$635)/1000,ROWS(F$3:F218)),IFERROR(SEARCH(,Data!F$3:F$635),10^9)+ROW(Data!F$3:F$635)/1000,0))</f>
        <v/>
      </c>
      <c r="G218" s="111" t="str" cm="1">
        <f t="array" ref="G218">INDEX(Data!G$3:G$635,MATCH(SMALL(IFERROR(SEARCH(,Data!G$3:G$635),10^9)+ROW(Data!G$3:G$635)/1000,ROWS(G$3:G218)),IFERROR(SEARCH(,Data!G$3:G$635),10^9)+ROW(Data!G$3:G$635)/1000,0))</f>
        <v/>
      </c>
      <c r="H218" s="623" t="str" cm="1">
        <f t="array" ref="H218">INDEX(Data!I$3:I$635,MATCH(SMALL(IFERROR(SEARCH(,Data!I$3:I$635),10^9)+ROW(Data!I$3:I$635)/1000,ROWS(H$3:H218)),IFERROR(SEARCH(,Data!I$3:I$635),10^9)+ROW(Data!I$3:I$635)/1000,0))</f>
        <v/>
      </c>
    </row>
    <row r="219" spans="1:8" ht="45.75" customHeight="1" x14ac:dyDescent="0.25">
      <c r="A219" s="108" t="str">
        <f>IFERROR(INDEX(Data!A$3:A$635,MATCH(IF(B219="","END",B219),Data!$B$3:$B$635,0)),"")</f>
        <v/>
      </c>
      <c r="B219" s="108" t="str" cm="1">
        <f t="array" ref="B219">INDEX(Data!B$3:B$635,MATCH(SMALL(IFERROR(SEARCH(,Data!B$3:B$635),10^9)+ROW(Data!B$3:B$635)/1000,ROWS(B$3:B219)),IFERROR(SEARCH(,Data!B$3:B$635),10^9)+ROW(Data!B$3:B$635)/1000,0))</f>
        <v/>
      </c>
      <c r="C219" s="317" t="str" cm="1">
        <f t="array" ref="C219">INDEX(Data!C$3:C$635,MATCH(SMALL(IFERROR(SEARCH(,Data!C$3:C$635),10^9)+ROW(Data!C$3:C$635)/1000,ROWS(C$3:C219)),IFERROR(SEARCH(,Data!C$3:C$635),10^9)+ROW(Data!C$3:C$635)/1000,0))</f>
        <v/>
      </c>
      <c r="D219" s="111" t="str">
        <f t="shared" si="3"/>
        <v/>
      </c>
      <c r="E219" s="111" t="str" cm="1">
        <f t="array" ref="E219">INDEX(Data!E$3:E$635,MATCH(SMALL(IFERROR(SEARCH(,Data!E$3:E$635),10^9)+ROW(Data!E$3:E$635)/1000,ROWS(E$3:E219)),IFERROR(SEARCH(,Data!E$3:E$635),10^9)+ROW(Data!E$3:E$635)/1000,0))</f>
        <v/>
      </c>
      <c r="F219" s="111" t="str" cm="1">
        <f t="array" ref="F219">INDEX(Data!F$3:F$635,MATCH(SMALL(IFERROR(SEARCH(,Data!F$3:F$635),10^9)+ROW(Data!F$3:F$635)/1000,ROWS(F$3:F219)),IFERROR(SEARCH(,Data!F$3:F$635),10^9)+ROW(Data!F$3:F$635)/1000,0))</f>
        <v/>
      </c>
      <c r="G219" s="111" t="str" cm="1">
        <f t="array" ref="G219">INDEX(Data!G$3:G$635,MATCH(SMALL(IFERROR(SEARCH(,Data!G$3:G$635),10^9)+ROW(Data!G$3:G$635)/1000,ROWS(G$3:G219)),IFERROR(SEARCH(,Data!G$3:G$635),10^9)+ROW(Data!G$3:G$635)/1000,0))</f>
        <v/>
      </c>
      <c r="H219" s="623" t="str" cm="1">
        <f t="array" ref="H219">INDEX(Data!I$3:I$635,MATCH(SMALL(IFERROR(SEARCH(,Data!I$3:I$635),10^9)+ROW(Data!I$3:I$635)/1000,ROWS(H$3:H219)),IFERROR(SEARCH(,Data!I$3:I$635),10^9)+ROW(Data!I$3:I$635)/1000,0))</f>
        <v/>
      </c>
    </row>
    <row r="220" spans="1:8" ht="45.75" customHeight="1" x14ac:dyDescent="0.25">
      <c r="A220" s="108" t="str">
        <f>IFERROR(INDEX(Data!A$3:A$635,MATCH(IF(B220="","END",B220),Data!$B$3:$B$635,0)),"")</f>
        <v/>
      </c>
      <c r="B220" s="108" t="str" cm="1">
        <f t="array" ref="B220">INDEX(Data!B$3:B$635,MATCH(SMALL(IFERROR(SEARCH(,Data!B$3:B$635),10^9)+ROW(Data!B$3:B$635)/1000,ROWS(B$3:B220)),IFERROR(SEARCH(,Data!B$3:B$635),10^9)+ROW(Data!B$3:B$635)/1000,0))</f>
        <v/>
      </c>
      <c r="C220" s="317" t="str" cm="1">
        <f t="array" ref="C220">INDEX(Data!C$3:C$635,MATCH(SMALL(IFERROR(SEARCH(,Data!C$3:C$635),10^9)+ROW(Data!C$3:C$635)/1000,ROWS(C$3:C220)),IFERROR(SEARCH(,Data!C$3:C$635),10^9)+ROW(Data!C$3:C$635)/1000,0))</f>
        <v/>
      </c>
      <c r="D220" s="111" t="str">
        <f t="shared" si="3"/>
        <v/>
      </c>
      <c r="E220" s="111" t="str" cm="1">
        <f t="array" ref="E220">INDEX(Data!E$3:E$635,MATCH(SMALL(IFERROR(SEARCH(,Data!E$3:E$635),10^9)+ROW(Data!E$3:E$635)/1000,ROWS(E$3:E220)),IFERROR(SEARCH(,Data!E$3:E$635),10^9)+ROW(Data!E$3:E$635)/1000,0))</f>
        <v/>
      </c>
      <c r="F220" s="111" t="str" cm="1">
        <f t="array" ref="F220">INDEX(Data!F$3:F$635,MATCH(SMALL(IFERROR(SEARCH(,Data!F$3:F$635),10^9)+ROW(Data!F$3:F$635)/1000,ROWS(F$3:F220)),IFERROR(SEARCH(,Data!F$3:F$635),10^9)+ROW(Data!F$3:F$635)/1000,0))</f>
        <v/>
      </c>
      <c r="G220" s="111" t="str" cm="1">
        <f t="array" ref="G220">INDEX(Data!G$3:G$635,MATCH(SMALL(IFERROR(SEARCH(,Data!G$3:G$635),10^9)+ROW(Data!G$3:G$635)/1000,ROWS(G$3:G220)),IFERROR(SEARCH(,Data!G$3:G$635),10^9)+ROW(Data!G$3:G$635)/1000,0))</f>
        <v/>
      </c>
      <c r="H220" s="623" t="str" cm="1">
        <f t="array" ref="H220">INDEX(Data!I$3:I$635,MATCH(SMALL(IFERROR(SEARCH(,Data!I$3:I$635),10^9)+ROW(Data!I$3:I$635)/1000,ROWS(H$3:H220)),IFERROR(SEARCH(,Data!I$3:I$635),10^9)+ROW(Data!I$3:I$635)/1000,0))</f>
        <v/>
      </c>
    </row>
    <row r="221" spans="1:8" ht="45.75" customHeight="1" x14ac:dyDescent="0.25">
      <c r="A221" s="108" t="str">
        <f>IFERROR(INDEX(Data!A$3:A$635,MATCH(IF(B221="","END",B221),Data!$B$3:$B$635,0)),"")</f>
        <v/>
      </c>
      <c r="B221" s="108" t="str" cm="1">
        <f t="array" ref="B221">INDEX(Data!B$3:B$635,MATCH(SMALL(IFERROR(SEARCH(,Data!B$3:B$635),10^9)+ROW(Data!B$3:B$635)/1000,ROWS(B$3:B221)),IFERROR(SEARCH(,Data!B$3:B$635),10^9)+ROW(Data!B$3:B$635)/1000,0))</f>
        <v/>
      </c>
      <c r="C221" s="317" t="str" cm="1">
        <f t="array" ref="C221">INDEX(Data!C$3:C$635,MATCH(SMALL(IFERROR(SEARCH(,Data!C$3:C$635),10^9)+ROW(Data!C$3:C$635)/1000,ROWS(C$3:C221)),IFERROR(SEARCH(,Data!C$3:C$635),10^9)+ROW(Data!C$3:C$635)/1000,0))</f>
        <v/>
      </c>
      <c r="D221" s="111" t="str">
        <f t="shared" si="3"/>
        <v/>
      </c>
      <c r="E221" s="111" t="str" cm="1">
        <f t="array" ref="E221">INDEX(Data!E$3:E$635,MATCH(SMALL(IFERROR(SEARCH(,Data!E$3:E$635),10^9)+ROW(Data!E$3:E$635)/1000,ROWS(E$3:E221)),IFERROR(SEARCH(,Data!E$3:E$635),10^9)+ROW(Data!E$3:E$635)/1000,0))</f>
        <v/>
      </c>
      <c r="F221" s="111" t="str" cm="1">
        <f t="array" ref="F221">INDEX(Data!F$3:F$635,MATCH(SMALL(IFERROR(SEARCH(,Data!F$3:F$635),10^9)+ROW(Data!F$3:F$635)/1000,ROWS(F$3:F221)),IFERROR(SEARCH(,Data!F$3:F$635),10^9)+ROW(Data!F$3:F$635)/1000,0))</f>
        <v/>
      </c>
      <c r="G221" s="111" t="str" cm="1">
        <f t="array" ref="G221">INDEX(Data!G$3:G$635,MATCH(SMALL(IFERROR(SEARCH(,Data!G$3:G$635),10^9)+ROW(Data!G$3:G$635)/1000,ROWS(G$3:G221)),IFERROR(SEARCH(,Data!G$3:G$635),10^9)+ROW(Data!G$3:G$635)/1000,0))</f>
        <v/>
      </c>
      <c r="H221" s="623" t="str" cm="1">
        <f t="array" ref="H221">INDEX(Data!I$3:I$635,MATCH(SMALL(IFERROR(SEARCH(,Data!I$3:I$635),10^9)+ROW(Data!I$3:I$635)/1000,ROWS(H$3:H221)),IFERROR(SEARCH(,Data!I$3:I$635),10^9)+ROW(Data!I$3:I$635)/1000,0))</f>
        <v/>
      </c>
    </row>
    <row r="222" spans="1:8" ht="45.75" customHeight="1" x14ac:dyDescent="0.25">
      <c r="A222" s="108" t="str">
        <f>IFERROR(INDEX(Data!A$3:A$635,MATCH(IF(B222="","END",B222),Data!$B$3:$B$635,0)),"")</f>
        <v/>
      </c>
      <c r="B222" s="108" t="str" cm="1">
        <f t="array" ref="B222">INDEX(Data!B$3:B$635,MATCH(SMALL(IFERROR(SEARCH(,Data!B$3:B$635),10^9)+ROW(Data!B$3:B$635)/1000,ROWS(B$3:B222)),IFERROR(SEARCH(,Data!B$3:B$635),10^9)+ROW(Data!B$3:B$635)/1000,0))</f>
        <v/>
      </c>
      <c r="C222" s="317" t="str" cm="1">
        <f t="array" ref="C222">INDEX(Data!C$3:C$635,MATCH(SMALL(IFERROR(SEARCH(,Data!C$3:C$635),10^9)+ROW(Data!C$3:C$635)/1000,ROWS(C$3:C222)),IFERROR(SEARCH(,Data!C$3:C$635),10^9)+ROW(Data!C$3:C$635)/1000,0))</f>
        <v/>
      </c>
      <c r="D222" s="111" t="str">
        <f t="shared" si="3"/>
        <v/>
      </c>
      <c r="E222" s="111" t="str" cm="1">
        <f t="array" ref="E222">INDEX(Data!E$3:E$635,MATCH(SMALL(IFERROR(SEARCH(,Data!E$3:E$635),10^9)+ROW(Data!E$3:E$635)/1000,ROWS(E$3:E222)),IFERROR(SEARCH(,Data!E$3:E$635),10^9)+ROW(Data!E$3:E$635)/1000,0))</f>
        <v/>
      </c>
      <c r="F222" s="111" t="str" cm="1">
        <f t="array" ref="F222">INDEX(Data!F$3:F$635,MATCH(SMALL(IFERROR(SEARCH(,Data!F$3:F$635),10^9)+ROW(Data!F$3:F$635)/1000,ROWS(F$3:F222)),IFERROR(SEARCH(,Data!F$3:F$635),10^9)+ROW(Data!F$3:F$635)/1000,0))</f>
        <v/>
      </c>
      <c r="G222" s="111" t="str" cm="1">
        <f t="array" ref="G222">INDEX(Data!G$3:G$635,MATCH(SMALL(IFERROR(SEARCH(,Data!G$3:G$635),10^9)+ROW(Data!G$3:G$635)/1000,ROWS(G$3:G222)),IFERROR(SEARCH(,Data!G$3:G$635),10^9)+ROW(Data!G$3:G$635)/1000,0))</f>
        <v/>
      </c>
      <c r="H222" s="623" t="str" cm="1">
        <f t="array" ref="H222">INDEX(Data!I$3:I$635,MATCH(SMALL(IFERROR(SEARCH(,Data!I$3:I$635),10^9)+ROW(Data!I$3:I$635)/1000,ROWS(H$3:H222)),IFERROR(SEARCH(,Data!I$3:I$635),10^9)+ROW(Data!I$3:I$635)/1000,0))</f>
        <v/>
      </c>
    </row>
    <row r="223" spans="1:8" ht="45.75" customHeight="1" x14ac:dyDescent="0.25">
      <c r="A223" s="108" t="str">
        <f>IFERROR(INDEX(Data!A$3:A$635,MATCH(IF(B223="","END",B223),Data!$B$3:$B$635,0)),"")</f>
        <v/>
      </c>
      <c r="B223" s="108" t="str" cm="1">
        <f t="array" ref="B223">INDEX(Data!B$3:B$635,MATCH(SMALL(IFERROR(SEARCH(,Data!B$3:B$635),10^9)+ROW(Data!B$3:B$635)/1000,ROWS(B$3:B223)),IFERROR(SEARCH(,Data!B$3:B$635),10^9)+ROW(Data!B$3:B$635)/1000,0))</f>
        <v/>
      </c>
      <c r="C223" s="317" t="str" cm="1">
        <f t="array" ref="C223">INDEX(Data!C$3:C$635,MATCH(SMALL(IFERROR(SEARCH(,Data!C$3:C$635),10^9)+ROW(Data!C$3:C$635)/1000,ROWS(C$3:C223)),IFERROR(SEARCH(,Data!C$3:C$635),10^9)+ROW(Data!C$3:C$635)/1000,0))</f>
        <v/>
      </c>
      <c r="D223" s="111" t="str">
        <f t="shared" si="3"/>
        <v/>
      </c>
      <c r="E223" s="111" t="str" cm="1">
        <f t="array" ref="E223">INDEX(Data!E$3:E$635,MATCH(SMALL(IFERROR(SEARCH(,Data!E$3:E$635),10^9)+ROW(Data!E$3:E$635)/1000,ROWS(E$3:E223)),IFERROR(SEARCH(,Data!E$3:E$635),10^9)+ROW(Data!E$3:E$635)/1000,0))</f>
        <v/>
      </c>
      <c r="F223" s="111" t="str" cm="1">
        <f t="array" ref="F223">INDEX(Data!F$3:F$635,MATCH(SMALL(IFERROR(SEARCH(,Data!F$3:F$635),10^9)+ROW(Data!F$3:F$635)/1000,ROWS(F$3:F223)),IFERROR(SEARCH(,Data!F$3:F$635),10^9)+ROW(Data!F$3:F$635)/1000,0))</f>
        <v/>
      </c>
      <c r="G223" s="111" t="str" cm="1">
        <f t="array" ref="G223">INDEX(Data!G$3:G$635,MATCH(SMALL(IFERROR(SEARCH(,Data!G$3:G$635),10^9)+ROW(Data!G$3:G$635)/1000,ROWS(G$3:G223)),IFERROR(SEARCH(,Data!G$3:G$635),10^9)+ROW(Data!G$3:G$635)/1000,0))</f>
        <v/>
      </c>
      <c r="H223" s="623" t="str" cm="1">
        <f t="array" ref="H223">INDEX(Data!I$3:I$635,MATCH(SMALL(IFERROR(SEARCH(,Data!I$3:I$635),10^9)+ROW(Data!I$3:I$635)/1000,ROWS(H$3:H223)),IFERROR(SEARCH(,Data!I$3:I$635),10^9)+ROW(Data!I$3:I$635)/1000,0))</f>
        <v/>
      </c>
    </row>
    <row r="224" spans="1:8" ht="45.75" customHeight="1" x14ac:dyDescent="0.25">
      <c r="A224" s="108" t="str">
        <f>IFERROR(INDEX(Data!A$3:A$635,MATCH(IF(B224="","END",B224),Data!$B$3:$B$635,0)),"")</f>
        <v/>
      </c>
      <c r="B224" s="108" t="str" cm="1">
        <f t="array" ref="B224">INDEX(Data!B$3:B$635,MATCH(SMALL(IFERROR(SEARCH(,Data!B$3:B$635),10^9)+ROW(Data!B$3:B$635)/1000,ROWS(B$3:B224)),IFERROR(SEARCH(,Data!B$3:B$635),10^9)+ROW(Data!B$3:B$635)/1000,0))</f>
        <v/>
      </c>
      <c r="C224" s="317" t="str" cm="1">
        <f t="array" ref="C224">INDEX(Data!C$3:C$635,MATCH(SMALL(IFERROR(SEARCH(,Data!C$3:C$635),10^9)+ROW(Data!C$3:C$635)/1000,ROWS(C$3:C224)),IFERROR(SEARCH(,Data!C$3:C$635),10^9)+ROW(Data!C$3:C$635)/1000,0))</f>
        <v/>
      </c>
      <c r="D224" s="111" t="str">
        <f t="shared" si="3"/>
        <v/>
      </c>
      <c r="E224" s="111" t="str" cm="1">
        <f t="array" ref="E224">INDEX(Data!E$3:E$635,MATCH(SMALL(IFERROR(SEARCH(,Data!E$3:E$635),10^9)+ROW(Data!E$3:E$635)/1000,ROWS(E$3:E224)),IFERROR(SEARCH(,Data!E$3:E$635),10^9)+ROW(Data!E$3:E$635)/1000,0))</f>
        <v/>
      </c>
      <c r="F224" s="111" t="str" cm="1">
        <f t="array" ref="F224">INDEX(Data!F$3:F$635,MATCH(SMALL(IFERROR(SEARCH(,Data!F$3:F$635),10^9)+ROW(Data!F$3:F$635)/1000,ROWS(F$3:F224)),IFERROR(SEARCH(,Data!F$3:F$635),10^9)+ROW(Data!F$3:F$635)/1000,0))</f>
        <v/>
      </c>
      <c r="G224" s="111" t="str" cm="1">
        <f t="array" ref="G224">INDEX(Data!G$3:G$635,MATCH(SMALL(IFERROR(SEARCH(,Data!G$3:G$635),10^9)+ROW(Data!G$3:G$635)/1000,ROWS(G$3:G224)),IFERROR(SEARCH(,Data!G$3:G$635),10^9)+ROW(Data!G$3:G$635)/1000,0))</f>
        <v/>
      </c>
      <c r="H224" s="623" t="str" cm="1">
        <f t="array" ref="H224">INDEX(Data!I$3:I$635,MATCH(SMALL(IFERROR(SEARCH(,Data!I$3:I$635),10^9)+ROW(Data!I$3:I$635)/1000,ROWS(H$3:H224)),IFERROR(SEARCH(,Data!I$3:I$635),10^9)+ROW(Data!I$3:I$635)/1000,0))</f>
        <v/>
      </c>
    </row>
    <row r="225" spans="1:8" ht="45.75" customHeight="1" x14ac:dyDescent="0.25">
      <c r="A225" s="108" t="str">
        <f>IFERROR(INDEX(Data!A$3:A$635,MATCH(IF(B225="","END",B225),Data!$B$3:$B$635,0)),"")</f>
        <v/>
      </c>
      <c r="B225" s="108" t="str" cm="1">
        <f t="array" ref="B225">INDEX(Data!B$3:B$635,MATCH(SMALL(IFERROR(SEARCH(,Data!B$3:B$635),10^9)+ROW(Data!B$3:B$635)/1000,ROWS(B$3:B225)),IFERROR(SEARCH(,Data!B$3:B$635),10^9)+ROW(Data!B$3:B$635)/1000,0))</f>
        <v/>
      </c>
      <c r="C225" s="317" t="str" cm="1">
        <f t="array" ref="C225">INDEX(Data!C$3:C$635,MATCH(SMALL(IFERROR(SEARCH(,Data!C$3:C$635),10^9)+ROW(Data!C$3:C$635)/1000,ROWS(C$3:C225)),IFERROR(SEARCH(,Data!C$3:C$635),10^9)+ROW(Data!C$3:C$635)/1000,0))</f>
        <v/>
      </c>
      <c r="D225" s="111" t="str">
        <f t="shared" si="3"/>
        <v/>
      </c>
      <c r="E225" s="111" t="str" cm="1">
        <f t="array" ref="E225">INDEX(Data!E$3:E$635,MATCH(SMALL(IFERROR(SEARCH(,Data!E$3:E$635),10^9)+ROW(Data!E$3:E$635)/1000,ROWS(E$3:E225)),IFERROR(SEARCH(,Data!E$3:E$635),10^9)+ROW(Data!E$3:E$635)/1000,0))</f>
        <v/>
      </c>
      <c r="F225" s="111" t="str" cm="1">
        <f t="array" ref="F225">INDEX(Data!F$3:F$635,MATCH(SMALL(IFERROR(SEARCH(,Data!F$3:F$635),10^9)+ROW(Data!F$3:F$635)/1000,ROWS(F$3:F225)),IFERROR(SEARCH(,Data!F$3:F$635),10^9)+ROW(Data!F$3:F$635)/1000,0))</f>
        <v/>
      </c>
      <c r="G225" s="111" t="str" cm="1">
        <f t="array" ref="G225">INDEX(Data!G$3:G$635,MATCH(SMALL(IFERROR(SEARCH(,Data!G$3:G$635),10^9)+ROW(Data!G$3:G$635)/1000,ROWS(G$3:G225)),IFERROR(SEARCH(,Data!G$3:G$635),10^9)+ROW(Data!G$3:G$635)/1000,0))</f>
        <v/>
      </c>
      <c r="H225" s="623" t="str" cm="1">
        <f t="array" ref="H225">INDEX(Data!I$3:I$635,MATCH(SMALL(IFERROR(SEARCH(,Data!I$3:I$635),10^9)+ROW(Data!I$3:I$635)/1000,ROWS(H$3:H225)),IFERROR(SEARCH(,Data!I$3:I$635),10^9)+ROW(Data!I$3:I$635)/1000,0))</f>
        <v/>
      </c>
    </row>
    <row r="226" spans="1:8" ht="45.75" customHeight="1" x14ac:dyDescent="0.25">
      <c r="A226" s="108" t="str">
        <f>IFERROR(INDEX(Data!A$3:A$635,MATCH(IF(B226="","END",B226),Data!$B$3:$B$635,0)),"")</f>
        <v/>
      </c>
      <c r="B226" s="108" t="str" cm="1">
        <f t="array" ref="B226">INDEX(Data!B$3:B$635,MATCH(SMALL(IFERROR(SEARCH(,Data!B$3:B$635),10^9)+ROW(Data!B$3:B$635)/1000,ROWS(B$3:B226)),IFERROR(SEARCH(,Data!B$3:B$635),10^9)+ROW(Data!B$3:B$635)/1000,0))</f>
        <v/>
      </c>
      <c r="C226" s="317" t="str" cm="1">
        <f t="array" ref="C226">INDEX(Data!C$3:C$635,MATCH(SMALL(IFERROR(SEARCH(,Data!C$3:C$635),10^9)+ROW(Data!C$3:C$635)/1000,ROWS(C$3:C226)),IFERROR(SEARCH(,Data!C$3:C$635),10^9)+ROW(Data!C$3:C$635)/1000,0))</f>
        <v/>
      </c>
      <c r="D226" s="111" t="str">
        <f t="shared" si="3"/>
        <v/>
      </c>
      <c r="E226" s="111" t="str" cm="1">
        <f t="array" ref="E226">INDEX(Data!E$3:E$635,MATCH(SMALL(IFERROR(SEARCH(,Data!E$3:E$635),10^9)+ROW(Data!E$3:E$635)/1000,ROWS(E$3:E226)),IFERROR(SEARCH(,Data!E$3:E$635),10^9)+ROW(Data!E$3:E$635)/1000,0))</f>
        <v/>
      </c>
      <c r="F226" s="111" t="str" cm="1">
        <f t="array" ref="F226">INDEX(Data!F$3:F$635,MATCH(SMALL(IFERROR(SEARCH(,Data!F$3:F$635),10^9)+ROW(Data!F$3:F$635)/1000,ROWS(F$3:F226)),IFERROR(SEARCH(,Data!F$3:F$635),10^9)+ROW(Data!F$3:F$635)/1000,0))</f>
        <v/>
      </c>
      <c r="G226" s="111" t="str" cm="1">
        <f t="array" ref="G226">INDEX(Data!G$3:G$635,MATCH(SMALL(IFERROR(SEARCH(,Data!G$3:G$635),10^9)+ROW(Data!G$3:G$635)/1000,ROWS(G$3:G226)),IFERROR(SEARCH(,Data!G$3:G$635),10^9)+ROW(Data!G$3:G$635)/1000,0))</f>
        <v/>
      </c>
      <c r="H226" s="623" t="str" cm="1">
        <f t="array" ref="H226">INDEX(Data!I$3:I$635,MATCH(SMALL(IFERROR(SEARCH(,Data!I$3:I$635),10^9)+ROW(Data!I$3:I$635)/1000,ROWS(H$3:H226)),IFERROR(SEARCH(,Data!I$3:I$635),10^9)+ROW(Data!I$3:I$635)/1000,0))</f>
        <v/>
      </c>
    </row>
    <row r="227" spans="1:8" ht="45.75" customHeight="1" x14ac:dyDescent="0.25">
      <c r="A227" s="108" t="str">
        <f>IFERROR(INDEX(Data!A$3:A$635,MATCH(IF(B227="","END",B227),Data!$B$3:$B$635,0)),"")</f>
        <v/>
      </c>
      <c r="B227" s="108" t="str" cm="1">
        <f t="array" ref="B227">INDEX(Data!B$3:B$635,MATCH(SMALL(IFERROR(SEARCH(,Data!B$3:B$635),10^9)+ROW(Data!B$3:B$635)/1000,ROWS(B$3:B227)),IFERROR(SEARCH(,Data!B$3:B$635),10^9)+ROW(Data!B$3:B$635)/1000,0))</f>
        <v/>
      </c>
      <c r="C227" s="317" t="str" cm="1">
        <f t="array" ref="C227">INDEX(Data!C$3:C$635,MATCH(SMALL(IFERROR(SEARCH(,Data!C$3:C$635),10^9)+ROW(Data!C$3:C$635)/1000,ROWS(C$3:C227)),IFERROR(SEARCH(,Data!C$3:C$635),10^9)+ROW(Data!C$3:C$635)/1000,0))</f>
        <v/>
      </c>
      <c r="D227" s="111" t="str">
        <f t="shared" si="3"/>
        <v/>
      </c>
      <c r="E227" s="111" t="str" cm="1">
        <f t="array" ref="E227">INDEX(Data!E$3:E$635,MATCH(SMALL(IFERROR(SEARCH(,Data!E$3:E$635),10^9)+ROW(Data!E$3:E$635)/1000,ROWS(E$3:E227)),IFERROR(SEARCH(,Data!E$3:E$635),10^9)+ROW(Data!E$3:E$635)/1000,0))</f>
        <v/>
      </c>
      <c r="F227" s="111" t="str" cm="1">
        <f t="array" ref="F227">INDEX(Data!F$3:F$635,MATCH(SMALL(IFERROR(SEARCH(,Data!F$3:F$635),10^9)+ROW(Data!F$3:F$635)/1000,ROWS(F$3:F227)),IFERROR(SEARCH(,Data!F$3:F$635),10^9)+ROW(Data!F$3:F$635)/1000,0))</f>
        <v/>
      </c>
      <c r="G227" s="111" t="str" cm="1">
        <f t="array" ref="G227">INDEX(Data!G$3:G$635,MATCH(SMALL(IFERROR(SEARCH(,Data!G$3:G$635),10^9)+ROW(Data!G$3:G$635)/1000,ROWS(G$3:G227)),IFERROR(SEARCH(,Data!G$3:G$635),10^9)+ROW(Data!G$3:G$635)/1000,0))</f>
        <v/>
      </c>
      <c r="H227" s="623" t="str" cm="1">
        <f t="array" ref="H227">INDEX(Data!I$3:I$635,MATCH(SMALL(IFERROR(SEARCH(,Data!I$3:I$635),10^9)+ROW(Data!I$3:I$635)/1000,ROWS(H$3:H227)),IFERROR(SEARCH(,Data!I$3:I$635),10^9)+ROW(Data!I$3:I$635)/1000,0))</f>
        <v/>
      </c>
    </row>
    <row r="228" spans="1:8" ht="45.75" customHeight="1" x14ac:dyDescent="0.25">
      <c r="A228" s="108" t="str">
        <f>IFERROR(INDEX(Data!A$3:A$635,MATCH(IF(B228="","END",B228),Data!$B$3:$B$635,0)),"")</f>
        <v/>
      </c>
      <c r="B228" s="108" t="str" cm="1">
        <f t="array" ref="B228">INDEX(Data!B$3:B$635,MATCH(SMALL(IFERROR(SEARCH(,Data!B$3:B$635),10^9)+ROW(Data!B$3:B$635)/1000,ROWS(B$3:B228)),IFERROR(SEARCH(,Data!B$3:B$635),10^9)+ROW(Data!B$3:B$635)/1000,0))</f>
        <v/>
      </c>
      <c r="C228" s="317" t="str" cm="1">
        <f t="array" ref="C228">INDEX(Data!C$3:C$635,MATCH(SMALL(IFERROR(SEARCH(,Data!C$3:C$635),10^9)+ROW(Data!C$3:C$635)/1000,ROWS(C$3:C228)),IFERROR(SEARCH(,Data!C$3:C$635),10^9)+ROW(Data!C$3:C$635)/1000,0))</f>
        <v/>
      </c>
      <c r="D228" s="111" t="str">
        <f t="shared" si="3"/>
        <v/>
      </c>
      <c r="E228" s="111" t="str" cm="1">
        <f t="array" ref="E228">INDEX(Data!E$3:E$635,MATCH(SMALL(IFERROR(SEARCH(,Data!E$3:E$635),10^9)+ROW(Data!E$3:E$635)/1000,ROWS(E$3:E228)),IFERROR(SEARCH(,Data!E$3:E$635),10^9)+ROW(Data!E$3:E$635)/1000,0))</f>
        <v/>
      </c>
      <c r="F228" s="111" t="str" cm="1">
        <f t="array" ref="F228">INDEX(Data!F$3:F$635,MATCH(SMALL(IFERROR(SEARCH(,Data!F$3:F$635),10^9)+ROW(Data!F$3:F$635)/1000,ROWS(F$3:F228)),IFERROR(SEARCH(,Data!F$3:F$635),10^9)+ROW(Data!F$3:F$635)/1000,0))</f>
        <v/>
      </c>
      <c r="G228" s="111" t="str" cm="1">
        <f t="array" ref="G228">INDEX(Data!G$3:G$635,MATCH(SMALL(IFERROR(SEARCH(,Data!G$3:G$635),10^9)+ROW(Data!G$3:G$635)/1000,ROWS(G$3:G228)),IFERROR(SEARCH(,Data!G$3:G$635),10^9)+ROW(Data!G$3:G$635)/1000,0))</f>
        <v/>
      </c>
      <c r="H228" s="623" t="str" cm="1">
        <f t="array" ref="H228">INDEX(Data!I$3:I$635,MATCH(SMALL(IFERROR(SEARCH(,Data!I$3:I$635),10^9)+ROW(Data!I$3:I$635)/1000,ROWS(H$3:H228)),IFERROR(SEARCH(,Data!I$3:I$635),10^9)+ROW(Data!I$3:I$635)/1000,0))</f>
        <v/>
      </c>
    </row>
    <row r="229" spans="1:8" ht="45.75" customHeight="1" x14ac:dyDescent="0.25">
      <c r="A229" s="108" t="str">
        <f>IFERROR(INDEX(Data!A$3:A$635,MATCH(IF(B229="","END",B229),Data!$B$3:$B$635,0)),"")</f>
        <v/>
      </c>
      <c r="B229" s="108" t="str" cm="1">
        <f t="array" ref="B229">INDEX(Data!B$3:B$635,MATCH(SMALL(IFERROR(SEARCH(,Data!B$3:B$635),10^9)+ROW(Data!B$3:B$635)/1000,ROWS(B$3:B229)),IFERROR(SEARCH(,Data!B$3:B$635),10^9)+ROW(Data!B$3:B$635)/1000,0))</f>
        <v/>
      </c>
      <c r="C229" s="317" t="str" cm="1">
        <f t="array" ref="C229">INDEX(Data!C$3:C$635,MATCH(SMALL(IFERROR(SEARCH(,Data!C$3:C$635),10^9)+ROW(Data!C$3:C$635)/1000,ROWS(C$3:C229)),IFERROR(SEARCH(,Data!C$3:C$635),10^9)+ROW(Data!C$3:C$635)/1000,0))</f>
        <v/>
      </c>
      <c r="D229" s="111" t="str">
        <f t="shared" si="3"/>
        <v/>
      </c>
      <c r="E229" s="111" t="str" cm="1">
        <f t="array" ref="E229">INDEX(Data!E$3:E$635,MATCH(SMALL(IFERROR(SEARCH(,Data!E$3:E$635),10^9)+ROW(Data!E$3:E$635)/1000,ROWS(E$3:E229)),IFERROR(SEARCH(,Data!E$3:E$635),10^9)+ROW(Data!E$3:E$635)/1000,0))</f>
        <v/>
      </c>
      <c r="F229" s="111" t="str" cm="1">
        <f t="array" ref="F229">INDEX(Data!F$3:F$635,MATCH(SMALL(IFERROR(SEARCH(,Data!F$3:F$635),10^9)+ROW(Data!F$3:F$635)/1000,ROWS(F$3:F229)),IFERROR(SEARCH(,Data!F$3:F$635),10^9)+ROW(Data!F$3:F$635)/1000,0))</f>
        <v/>
      </c>
      <c r="G229" s="111" t="str" cm="1">
        <f t="array" ref="G229">INDEX(Data!G$3:G$635,MATCH(SMALL(IFERROR(SEARCH(,Data!G$3:G$635),10^9)+ROW(Data!G$3:G$635)/1000,ROWS(G$3:G229)),IFERROR(SEARCH(,Data!G$3:G$635),10^9)+ROW(Data!G$3:G$635)/1000,0))</f>
        <v/>
      </c>
      <c r="H229" s="623" t="str" cm="1">
        <f t="array" ref="H229">INDEX(Data!I$3:I$635,MATCH(SMALL(IFERROR(SEARCH(,Data!I$3:I$635),10^9)+ROW(Data!I$3:I$635)/1000,ROWS(H$3:H229)),IFERROR(SEARCH(,Data!I$3:I$635),10^9)+ROW(Data!I$3:I$635)/1000,0))</f>
        <v/>
      </c>
    </row>
    <row r="230" spans="1:8" ht="45.75" customHeight="1" x14ac:dyDescent="0.25">
      <c r="A230" s="108" t="str">
        <f>IFERROR(INDEX(Data!A$3:A$635,MATCH(IF(B230="","END",B230),Data!$B$3:$B$635,0)),"")</f>
        <v/>
      </c>
      <c r="B230" s="108" t="str" cm="1">
        <f t="array" ref="B230">INDEX(Data!B$3:B$635,MATCH(SMALL(IFERROR(SEARCH(,Data!B$3:B$635),10^9)+ROW(Data!B$3:B$635)/1000,ROWS(B$3:B230)),IFERROR(SEARCH(,Data!B$3:B$635),10^9)+ROW(Data!B$3:B$635)/1000,0))</f>
        <v/>
      </c>
      <c r="C230" s="317" t="str" cm="1">
        <f t="array" ref="C230">INDEX(Data!C$3:C$635,MATCH(SMALL(IFERROR(SEARCH(,Data!C$3:C$635),10^9)+ROW(Data!C$3:C$635)/1000,ROWS(C$3:C230)),IFERROR(SEARCH(,Data!C$3:C$635),10^9)+ROW(Data!C$3:C$635)/1000,0))</f>
        <v/>
      </c>
      <c r="D230" s="111" t="str">
        <f t="shared" si="3"/>
        <v/>
      </c>
      <c r="E230" s="111" t="str" cm="1">
        <f t="array" ref="E230">INDEX(Data!E$3:E$635,MATCH(SMALL(IFERROR(SEARCH(,Data!E$3:E$635),10^9)+ROW(Data!E$3:E$635)/1000,ROWS(E$3:E230)),IFERROR(SEARCH(,Data!E$3:E$635),10^9)+ROW(Data!E$3:E$635)/1000,0))</f>
        <v/>
      </c>
      <c r="F230" s="111" t="str" cm="1">
        <f t="array" ref="F230">INDEX(Data!F$3:F$635,MATCH(SMALL(IFERROR(SEARCH(,Data!F$3:F$635),10^9)+ROW(Data!F$3:F$635)/1000,ROWS(F$3:F230)),IFERROR(SEARCH(,Data!F$3:F$635),10^9)+ROW(Data!F$3:F$635)/1000,0))</f>
        <v/>
      </c>
      <c r="G230" s="111" t="str" cm="1">
        <f t="array" ref="G230">INDEX(Data!G$3:G$635,MATCH(SMALL(IFERROR(SEARCH(,Data!G$3:G$635),10^9)+ROW(Data!G$3:G$635)/1000,ROWS(G$3:G230)),IFERROR(SEARCH(,Data!G$3:G$635),10^9)+ROW(Data!G$3:G$635)/1000,0))</f>
        <v/>
      </c>
      <c r="H230" s="623" t="str" cm="1">
        <f t="array" ref="H230">INDEX(Data!I$3:I$635,MATCH(SMALL(IFERROR(SEARCH(,Data!I$3:I$635),10^9)+ROW(Data!I$3:I$635)/1000,ROWS(H$3:H230)),IFERROR(SEARCH(,Data!I$3:I$635),10^9)+ROW(Data!I$3:I$635)/1000,0))</f>
        <v/>
      </c>
    </row>
    <row r="231" spans="1:8" ht="45.75" customHeight="1" x14ac:dyDescent="0.25">
      <c r="A231" s="108" t="str">
        <f>IFERROR(INDEX(Data!A$3:A$635,MATCH(IF(B231="","END",B231),Data!$B$3:$B$635,0)),"")</f>
        <v/>
      </c>
      <c r="B231" s="108" t="str" cm="1">
        <f t="array" ref="B231">INDEX(Data!B$3:B$635,MATCH(SMALL(IFERROR(SEARCH(,Data!B$3:B$635),10^9)+ROW(Data!B$3:B$635)/1000,ROWS(B$3:B231)),IFERROR(SEARCH(,Data!B$3:B$635),10^9)+ROW(Data!B$3:B$635)/1000,0))</f>
        <v/>
      </c>
      <c r="C231" s="317" t="str" cm="1">
        <f t="array" ref="C231">INDEX(Data!C$3:C$635,MATCH(SMALL(IFERROR(SEARCH(,Data!C$3:C$635),10^9)+ROW(Data!C$3:C$635)/1000,ROWS(C$3:C231)),IFERROR(SEARCH(,Data!C$3:C$635),10^9)+ROW(Data!C$3:C$635)/1000,0))</f>
        <v/>
      </c>
      <c r="D231" s="111" t="str">
        <f t="shared" si="3"/>
        <v/>
      </c>
      <c r="E231" s="111" t="str" cm="1">
        <f t="array" ref="E231">INDEX(Data!E$3:E$635,MATCH(SMALL(IFERROR(SEARCH(,Data!E$3:E$635),10^9)+ROW(Data!E$3:E$635)/1000,ROWS(E$3:E231)),IFERROR(SEARCH(,Data!E$3:E$635),10^9)+ROW(Data!E$3:E$635)/1000,0))</f>
        <v/>
      </c>
      <c r="F231" s="111" t="str" cm="1">
        <f t="array" ref="F231">INDEX(Data!F$3:F$635,MATCH(SMALL(IFERROR(SEARCH(,Data!F$3:F$635),10^9)+ROW(Data!F$3:F$635)/1000,ROWS(F$3:F231)),IFERROR(SEARCH(,Data!F$3:F$635),10^9)+ROW(Data!F$3:F$635)/1000,0))</f>
        <v/>
      </c>
      <c r="G231" s="111" t="str" cm="1">
        <f t="array" ref="G231">INDEX(Data!G$3:G$635,MATCH(SMALL(IFERROR(SEARCH(,Data!G$3:G$635),10^9)+ROW(Data!G$3:G$635)/1000,ROWS(G$3:G231)),IFERROR(SEARCH(,Data!G$3:G$635),10^9)+ROW(Data!G$3:G$635)/1000,0))</f>
        <v/>
      </c>
      <c r="H231" s="623" t="str" cm="1">
        <f t="array" ref="H231">INDEX(Data!I$3:I$635,MATCH(SMALL(IFERROR(SEARCH(,Data!I$3:I$635),10^9)+ROW(Data!I$3:I$635)/1000,ROWS(H$3:H231)),IFERROR(SEARCH(,Data!I$3:I$635),10^9)+ROW(Data!I$3:I$635)/1000,0))</f>
        <v/>
      </c>
    </row>
    <row r="232" spans="1:8" ht="45.75" customHeight="1" x14ac:dyDescent="0.25">
      <c r="A232" s="108" t="str">
        <f>IFERROR(INDEX(Data!A$3:A$635,MATCH(IF(B232="","END",B232),Data!$B$3:$B$635,0)),"")</f>
        <v/>
      </c>
      <c r="B232" s="108" t="str" cm="1">
        <f t="array" ref="B232">INDEX(Data!B$3:B$635,MATCH(SMALL(IFERROR(SEARCH(,Data!B$3:B$635),10^9)+ROW(Data!B$3:B$635)/1000,ROWS(B$3:B232)),IFERROR(SEARCH(,Data!B$3:B$635),10^9)+ROW(Data!B$3:B$635)/1000,0))</f>
        <v/>
      </c>
      <c r="C232" s="317" t="str" cm="1">
        <f t="array" ref="C232">INDEX(Data!C$3:C$635,MATCH(SMALL(IFERROR(SEARCH(,Data!C$3:C$635),10^9)+ROW(Data!C$3:C$635)/1000,ROWS(C$3:C232)),IFERROR(SEARCH(,Data!C$3:C$635),10^9)+ROW(Data!C$3:C$635)/1000,0))</f>
        <v/>
      </c>
      <c r="D232" s="111" t="str">
        <f t="shared" si="3"/>
        <v/>
      </c>
      <c r="E232" s="111" t="str" cm="1">
        <f t="array" ref="E232">INDEX(Data!E$3:E$635,MATCH(SMALL(IFERROR(SEARCH(,Data!E$3:E$635),10^9)+ROW(Data!E$3:E$635)/1000,ROWS(E$3:E232)),IFERROR(SEARCH(,Data!E$3:E$635),10^9)+ROW(Data!E$3:E$635)/1000,0))</f>
        <v/>
      </c>
      <c r="F232" s="111" t="str" cm="1">
        <f t="array" ref="F232">INDEX(Data!F$3:F$635,MATCH(SMALL(IFERROR(SEARCH(,Data!F$3:F$635),10^9)+ROW(Data!F$3:F$635)/1000,ROWS(F$3:F232)),IFERROR(SEARCH(,Data!F$3:F$635),10^9)+ROW(Data!F$3:F$635)/1000,0))</f>
        <v/>
      </c>
      <c r="G232" s="111" t="str" cm="1">
        <f t="array" ref="G232">INDEX(Data!G$3:G$635,MATCH(SMALL(IFERROR(SEARCH(,Data!G$3:G$635),10^9)+ROW(Data!G$3:G$635)/1000,ROWS(G$3:G232)),IFERROR(SEARCH(,Data!G$3:G$635),10^9)+ROW(Data!G$3:G$635)/1000,0))</f>
        <v/>
      </c>
      <c r="H232" s="623" t="str" cm="1">
        <f t="array" ref="H232">INDEX(Data!I$3:I$635,MATCH(SMALL(IFERROR(SEARCH(,Data!I$3:I$635),10^9)+ROW(Data!I$3:I$635)/1000,ROWS(H$3:H232)),IFERROR(SEARCH(,Data!I$3:I$635),10^9)+ROW(Data!I$3:I$635)/1000,0))</f>
        <v/>
      </c>
    </row>
    <row r="233" spans="1:8" ht="45.75" customHeight="1" x14ac:dyDescent="0.25">
      <c r="A233" s="108" t="str">
        <f>IFERROR(INDEX(Data!A$3:A$635,MATCH(IF(B233="","END",B233),Data!$B$3:$B$635,0)),"")</f>
        <v/>
      </c>
      <c r="B233" s="108" t="str" cm="1">
        <f t="array" ref="B233">INDEX(Data!B$3:B$635,MATCH(SMALL(IFERROR(SEARCH(,Data!B$3:B$635),10^9)+ROW(Data!B$3:B$635)/1000,ROWS(B$3:B233)),IFERROR(SEARCH(,Data!B$3:B$635),10^9)+ROW(Data!B$3:B$635)/1000,0))</f>
        <v/>
      </c>
      <c r="C233" s="317" t="str" cm="1">
        <f t="array" ref="C233">INDEX(Data!C$3:C$635,MATCH(SMALL(IFERROR(SEARCH(,Data!C$3:C$635),10^9)+ROW(Data!C$3:C$635)/1000,ROWS(C$3:C233)),IFERROR(SEARCH(,Data!C$3:C$635),10^9)+ROW(Data!C$3:C$635)/1000,0))</f>
        <v/>
      </c>
      <c r="D233" s="111" t="str">
        <f t="shared" si="3"/>
        <v/>
      </c>
      <c r="E233" s="111" t="str" cm="1">
        <f t="array" ref="E233">INDEX(Data!E$3:E$635,MATCH(SMALL(IFERROR(SEARCH(,Data!E$3:E$635),10^9)+ROW(Data!E$3:E$635)/1000,ROWS(E$3:E233)),IFERROR(SEARCH(,Data!E$3:E$635),10^9)+ROW(Data!E$3:E$635)/1000,0))</f>
        <v/>
      </c>
      <c r="F233" s="111" t="str" cm="1">
        <f t="array" ref="F233">INDEX(Data!F$3:F$635,MATCH(SMALL(IFERROR(SEARCH(,Data!F$3:F$635),10^9)+ROW(Data!F$3:F$635)/1000,ROWS(F$3:F233)),IFERROR(SEARCH(,Data!F$3:F$635),10^9)+ROW(Data!F$3:F$635)/1000,0))</f>
        <v/>
      </c>
      <c r="G233" s="111" t="str" cm="1">
        <f t="array" ref="G233">INDEX(Data!G$3:G$635,MATCH(SMALL(IFERROR(SEARCH(,Data!G$3:G$635),10^9)+ROW(Data!G$3:G$635)/1000,ROWS(G$3:G233)),IFERROR(SEARCH(,Data!G$3:G$635),10^9)+ROW(Data!G$3:G$635)/1000,0))</f>
        <v/>
      </c>
      <c r="H233" s="623" t="str" cm="1">
        <f t="array" ref="H233">INDEX(Data!I$3:I$635,MATCH(SMALL(IFERROR(SEARCH(,Data!I$3:I$635),10^9)+ROW(Data!I$3:I$635)/1000,ROWS(H$3:H233)),IFERROR(SEARCH(,Data!I$3:I$635),10^9)+ROW(Data!I$3:I$635)/1000,0))</f>
        <v/>
      </c>
    </row>
    <row r="234" spans="1:8" ht="45.75" customHeight="1" x14ac:dyDescent="0.25">
      <c r="A234" s="108" t="str">
        <f>IFERROR(INDEX(Data!A$3:A$635,MATCH(IF(B234="","END",B234),Data!$B$3:$B$635,0)),"")</f>
        <v/>
      </c>
      <c r="B234" s="108" t="str" cm="1">
        <f t="array" ref="B234">INDEX(Data!B$3:B$635,MATCH(SMALL(IFERROR(SEARCH(,Data!B$3:B$635),10^9)+ROW(Data!B$3:B$635)/1000,ROWS(B$3:B234)),IFERROR(SEARCH(,Data!B$3:B$635),10^9)+ROW(Data!B$3:B$635)/1000,0))</f>
        <v/>
      </c>
      <c r="C234" s="317" t="str" cm="1">
        <f t="array" ref="C234">INDEX(Data!C$3:C$635,MATCH(SMALL(IFERROR(SEARCH(,Data!C$3:C$635),10^9)+ROW(Data!C$3:C$635)/1000,ROWS(C$3:C234)),IFERROR(SEARCH(,Data!C$3:C$635),10^9)+ROW(Data!C$3:C$635)/1000,0))</f>
        <v/>
      </c>
      <c r="D234" s="111" t="str">
        <f t="shared" si="3"/>
        <v/>
      </c>
      <c r="E234" s="111" t="str" cm="1">
        <f t="array" ref="E234">INDEX(Data!E$3:E$635,MATCH(SMALL(IFERROR(SEARCH(,Data!E$3:E$635),10^9)+ROW(Data!E$3:E$635)/1000,ROWS(E$3:E234)),IFERROR(SEARCH(,Data!E$3:E$635),10^9)+ROW(Data!E$3:E$635)/1000,0))</f>
        <v/>
      </c>
      <c r="F234" s="111" t="str" cm="1">
        <f t="array" ref="F234">INDEX(Data!F$3:F$635,MATCH(SMALL(IFERROR(SEARCH(,Data!F$3:F$635),10^9)+ROW(Data!F$3:F$635)/1000,ROWS(F$3:F234)),IFERROR(SEARCH(,Data!F$3:F$635),10^9)+ROW(Data!F$3:F$635)/1000,0))</f>
        <v/>
      </c>
      <c r="G234" s="111" t="str" cm="1">
        <f t="array" ref="G234">INDEX(Data!G$3:G$635,MATCH(SMALL(IFERROR(SEARCH(,Data!G$3:G$635),10^9)+ROW(Data!G$3:G$635)/1000,ROWS(G$3:G234)),IFERROR(SEARCH(,Data!G$3:G$635),10^9)+ROW(Data!G$3:G$635)/1000,0))</f>
        <v/>
      </c>
      <c r="H234" s="623" t="str" cm="1">
        <f t="array" ref="H234">INDEX(Data!I$3:I$635,MATCH(SMALL(IFERROR(SEARCH(,Data!I$3:I$635),10^9)+ROW(Data!I$3:I$635)/1000,ROWS(H$3:H234)),IFERROR(SEARCH(,Data!I$3:I$635),10^9)+ROW(Data!I$3:I$635)/1000,0))</f>
        <v/>
      </c>
    </row>
    <row r="235" spans="1:8" ht="45.75" customHeight="1" x14ac:dyDescent="0.25">
      <c r="A235" s="108" t="str">
        <f>IFERROR(INDEX(Data!A$3:A$635,MATCH(IF(B235="","END",B235),Data!$B$3:$B$635,0)),"")</f>
        <v/>
      </c>
      <c r="B235" s="108" t="str" cm="1">
        <f t="array" ref="B235">INDEX(Data!B$3:B$635,MATCH(SMALL(IFERROR(SEARCH(,Data!B$3:B$635),10^9)+ROW(Data!B$3:B$635)/1000,ROWS(B$3:B235)),IFERROR(SEARCH(,Data!B$3:B$635),10^9)+ROW(Data!B$3:B$635)/1000,0))</f>
        <v/>
      </c>
      <c r="C235" s="317" t="str" cm="1">
        <f t="array" ref="C235">INDEX(Data!C$3:C$635,MATCH(SMALL(IFERROR(SEARCH(,Data!C$3:C$635),10^9)+ROW(Data!C$3:C$635)/1000,ROWS(C$3:C235)),IFERROR(SEARCH(,Data!C$3:C$635),10^9)+ROW(Data!C$3:C$635)/1000,0))</f>
        <v/>
      </c>
      <c r="D235" s="111" t="str">
        <f t="shared" si="3"/>
        <v/>
      </c>
      <c r="E235" s="111" t="str" cm="1">
        <f t="array" ref="E235">INDEX(Data!E$3:E$635,MATCH(SMALL(IFERROR(SEARCH(,Data!E$3:E$635),10^9)+ROW(Data!E$3:E$635)/1000,ROWS(E$3:E235)),IFERROR(SEARCH(,Data!E$3:E$635),10^9)+ROW(Data!E$3:E$635)/1000,0))</f>
        <v/>
      </c>
      <c r="F235" s="111" t="str" cm="1">
        <f t="array" ref="F235">INDEX(Data!F$3:F$635,MATCH(SMALL(IFERROR(SEARCH(,Data!F$3:F$635),10^9)+ROW(Data!F$3:F$635)/1000,ROWS(F$3:F235)),IFERROR(SEARCH(,Data!F$3:F$635),10^9)+ROW(Data!F$3:F$635)/1000,0))</f>
        <v/>
      </c>
      <c r="G235" s="111" t="str" cm="1">
        <f t="array" ref="G235">INDEX(Data!G$3:G$635,MATCH(SMALL(IFERROR(SEARCH(,Data!G$3:G$635),10^9)+ROW(Data!G$3:G$635)/1000,ROWS(G$3:G235)),IFERROR(SEARCH(,Data!G$3:G$635),10^9)+ROW(Data!G$3:G$635)/1000,0))</f>
        <v/>
      </c>
      <c r="H235" s="623" t="str" cm="1">
        <f t="array" ref="H235">INDEX(Data!I$3:I$635,MATCH(SMALL(IFERROR(SEARCH(,Data!I$3:I$635),10^9)+ROW(Data!I$3:I$635)/1000,ROWS(H$3:H235)),IFERROR(SEARCH(,Data!I$3:I$635),10^9)+ROW(Data!I$3:I$635)/1000,0))</f>
        <v/>
      </c>
    </row>
    <row r="236" spans="1:8" ht="45.75" customHeight="1" x14ac:dyDescent="0.25">
      <c r="A236" s="108" t="str">
        <f>IFERROR(INDEX(Data!A$3:A$635,MATCH(IF(B236="","END",B236),Data!$B$3:$B$635,0)),"")</f>
        <v/>
      </c>
      <c r="B236" s="108" t="str" cm="1">
        <f t="array" ref="B236">INDEX(Data!B$3:B$635,MATCH(SMALL(IFERROR(SEARCH(,Data!B$3:B$635),10^9)+ROW(Data!B$3:B$635)/1000,ROWS(B$3:B236)),IFERROR(SEARCH(,Data!B$3:B$635),10^9)+ROW(Data!B$3:B$635)/1000,0))</f>
        <v/>
      </c>
      <c r="C236" s="317" t="str" cm="1">
        <f t="array" ref="C236">INDEX(Data!C$3:C$635,MATCH(SMALL(IFERROR(SEARCH(,Data!C$3:C$635),10^9)+ROW(Data!C$3:C$635)/1000,ROWS(C$3:C236)),IFERROR(SEARCH(,Data!C$3:C$635),10^9)+ROW(Data!C$3:C$635)/1000,0))</f>
        <v/>
      </c>
      <c r="D236" s="111" t="str">
        <f t="shared" si="3"/>
        <v/>
      </c>
      <c r="E236" s="111" t="str" cm="1">
        <f t="array" ref="E236">INDEX(Data!E$3:E$635,MATCH(SMALL(IFERROR(SEARCH(,Data!E$3:E$635),10^9)+ROW(Data!E$3:E$635)/1000,ROWS(E$3:E236)),IFERROR(SEARCH(,Data!E$3:E$635),10^9)+ROW(Data!E$3:E$635)/1000,0))</f>
        <v/>
      </c>
      <c r="F236" s="111" t="str" cm="1">
        <f t="array" ref="F236">INDEX(Data!F$3:F$635,MATCH(SMALL(IFERROR(SEARCH(,Data!F$3:F$635),10^9)+ROW(Data!F$3:F$635)/1000,ROWS(F$3:F236)),IFERROR(SEARCH(,Data!F$3:F$635),10^9)+ROW(Data!F$3:F$635)/1000,0))</f>
        <v/>
      </c>
      <c r="G236" s="111" t="str" cm="1">
        <f t="array" ref="G236">INDEX(Data!G$3:G$635,MATCH(SMALL(IFERROR(SEARCH(,Data!G$3:G$635),10^9)+ROW(Data!G$3:G$635)/1000,ROWS(G$3:G236)),IFERROR(SEARCH(,Data!G$3:G$635),10^9)+ROW(Data!G$3:G$635)/1000,0))</f>
        <v/>
      </c>
      <c r="H236" s="623" t="str" cm="1">
        <f t="array" ref="H236">INDEX(Data!I$3:I$635,MATCH(SMALL(IFERROR(SEARCH(,Data!I$3:I$635),10^9)+ROW(Data!I$3:I$635)/1000,ROWS(H$3:H236)),IFERROR(SEARCH(,Data!I$3:I$635),10^9)+ROW(Data!I$3:I$635)/1000,0))</f>
        <v/>
      </c>
    </row>
    <row r="237" spans="1:8" ht="45.75" customHeight="1" x14ac:dyDescent="0.25">
      <c r="A237" s="108" t="str">
        <f>IFERROR(INDEX(Data!A$3:A$635,MATCH(IF(B237="","END",B237),Data!$B$3:$B$635,0)),"")</f>
        <v/>
      </c>
      <c r="B237" s="108" t="str" cm="1">
        <f t="array" ref="B237">INDEX(Data!B$3:B$635,MATCH(SMALL(IFERROR(SEARCH(,Data!B$3:B$635),10^9)+ROW(Data!B$3:B$635)/1000,ROWS(B$3:B237)),IFERROR(SEARCH(,Data!B$3:B$635),10^9)+ROW(Data!B$3:B$635)/1000,0))</f>
        <v/>
      </c>
      <c r="C237" s="317" t="str" cm="1">
        <f t="array" ref="C237">INDEX(Data!C$3:C$635,MATCH(SMALL(IFERROR(SEARCH(,Data!C$3:C$635),10^9)+ROW(Data!C$3:C$635)/1000,ROWS(C$3:C237)),IFERROR(SEARCH(,Data!C$3:C$635),10^9)+ROW(Data!C$3:C$635)/1000,0))</f>
        <v/>
      </c>
      <c r="D237" s="111" t="str">
        <f t="shared" si="3"/>
        <v/>
      </c>
      <c r="E237" s="111" t="str" cm="1">
        <f t="array" ref="E237">INDEX(Data!E$3:E$635,MATCH(SMALL(IFERROR(SEARCH(,Data!E$3:E$635),10^9)+ROW(Data!E$3:E$635)/1000,ROWS(E$3:E237)),IFERROR(SEARCH(,Data!E$3:E$635),10^9)+ROW(Data!E$3:E$635)/1000,0))</f>
        <v/>
      </c>
      <c r="F237" s="111" t="str" cm="1">
        <f t="array" ref="F237">INDEX(Data!F$3:F$635,MATCH(SMALL(IFERROR(SEARCH(,Data!F$3:F$635),10^9)+ROW(Data!F$3:F$635)/1000,ROWS(F$3:F237)),IFERROR(SEARCH(,Data!F$3:F$635),10^9)+ROW(Data!F$3:F$635)/1000,0))</f>
        <v/>
      </c>
      <c r="G237" s="111" t="str" cm="1">
        <f t="array" ref="G237">INDEX(Data!G$3:G$635,MATCH(SMALL(IFERROR(SEARCH(,Data!G$3:G$635),10^9)+ROW(Data!G$3:G$635)/1000,ROWS(G$3:G237)),IFERROR(SEARCH(,Data!G$3:G$635),10^9)+ROW(Data!G$3:G$635)/1000,0))</f>
        <v/>
      </c>
      <c r="H237" s="623" t="str" cm="1">
        <f t="array" ref="H237">INDEX(Data!I$3:I$635,MATCH(SMALL(IFERROR(SEARCH(,Data!I$3:I$635),10^9)+ROW(Data!I$3:I$635)/1000,ROWS(H$3:H237)),IFERROR(SEARCH(,Data!I$3:I$635),10^9)+ROW(Data!I$3:I$635)/1000,0))</f>
        <v/>
      </c>
    </row>
    <row r="238" spans="1:8" ht="45.75" customHeight="1" x14ac:dyDescent="0.25">
      <c r="A238" s="108" t="str">
        <f>IFERROR(INDEX(Data!A$3:A$635,MATCH(IF(B238="","END",B238),Data!$B$3:$B$635,0)),"")</f>
        <v/>
      </c>
      <c r="B238" s="108" t="str" cm="1">
        <f t="array" ref="B238">INDEX(Data!B$3:B$635,MATCH(SMALL(IFERROR(SEARCH(,Data!B$3:B$635),10^9)+ROW(Data!B$3:B$635)/1000,ROWS(B$3:B238)),IFERROR(SEARCH(,Data!B$3:B$635),10^9)+ROW(Data!B$3:B$635)/1000,0))</f>
        <v/>
      </c>
      <c r="C238" s="317" t="str" cm="1">
        <f t="array" ref="C238">INDEX(Data!C$3:C$635,MATCH(SMALL(IFERROR(SEARCH(,Data!C$3:C$635),10^9)+ROW(Data!C$3:C$635)/1000,ROWS(C$3:C238)),IFERROR(SEARCH(,Data!C$3:C$635),10^9)+ROW(Data!C$3:C$635)/1000,0))</f>
        <v/>
      </c>
      <c r="D238" s="111" t="str">
        <f t="shared" si="3"/>
        <v/>
      </c>
      <c r="E238" s="111" t="str" cm="1">
        <f t="array" ref="E238">INDEX(Data!E$3:E$635,MATCH(SMALL(IFERROR(SEARCH(,Data!E$3:E$635),10^9)+ROW(Data!E$3:E$635)/1000,ROWS(E$3:E238)),IFERROR(SEARCH(,Data!E$3:E$635),10^9)+ROW(Data!E$3:E$635)/1000,0))</f>
        <v/>
      </c>
      <c r="F238" s="111" t="str" cm="1">
        <f t="array" ref="F238">INDEX(Data!F$3:F$635,MATCH(SMALL(IFERROR(SEARCH(,Data!F$3:F$635),10^9)+ROW(Data!F$3:F$635)/1000,ROWS(F$3:F238)),IFERROR(SEARCH(,Data!F$3:F$635),10^9)+ROW(Data!F$3:F$635)/1000,0))</f>
        <v/>
      </c>
      <c r="G238" s="111" t="str" cm="1">
        <f t="array" ref="G238">INDEX(Data!G$3:G$635,MATCH(SMALL(IFERROR(SEARCH(,Data!G$3:G$635),10^9)+ROW(Data!G$3:G$635)/1000,ROWS(G$3:G238)),IFERROR(SEARCH(,Data!G$3:G$635),10^9)+ROW(Data!G$3:G$635)/1000,0))</f>
        <v/>
      </c>
      <c r="H238" s="623" t="str" cm="1">
        <f t="array" ref="H238">INDEX(Data!I$3:I$635,MATCH(SMALL(IFERROR(SEARCH(,Data!I$3:I$635),10^9)+ROW(Data!I$3:I$635)/1000,ROWS(H$3:H238)),IFERROR(SEARCH(,Data!I$3:I$635),10^9)+ROW(Data!I$3:I$635)/1000,0))</f>
        <v/>
      </c>
    </row>
    <row r="239" spans="1:8" ht="45.75" customHeight="1" x14ac:dyDescent="0.25">
      <c r="A239" s="108" t="str">
        <f>IFERROR(INDEX(Data!A$3:A$635,MATCH(IF(B239="","END",B239),Data!$B$3:$B$635,0)),"")</f>
        <v/>
      </c>
      <c r="B239" s="108" t="str" cm="1">
        <f t="array" ref="B239">INDEX(Data!B$3:B$635,MATCH(SMALL(IFERROR(SEARCH(,Data!B$3:B$635),10^9)+ROW(Data!B$3:B$635)/1000,ROWS(B$3:B239)),IFERROR(SEARCH(,Data!B$3:B$635),10^9)+ROW(Data!B$3:B$635)/1000,0))</f>
        <v/>
      </c>
      <c r="C239" s="317" t="str" cm="1">
        <f t="array" ref="C239">INDEX(Data!C$3:C$635,MATCH(SMALL(IFERROR(SEARCH(,Data!C$3:C$635),10^9)+ROW(Data!C$3:C$635)/1000,ROWS(C$3:C239)),IFERROR(SEARCH(,Data!C$3:C$635),10^9)+ROW(Data!C$3:C$635)/1000,0))</f>
        <v/>
      </c>
      <c r="D239" s="111" t="str">
        <f t="shared" si="3"/>
        <v/>
      </c>
      <c r="E239" s="111" t="str" cm="1">
        <f t="array" ref="E239">INDEX(Data!E$3:E$635,MATCH(SMALL(IFERROR(SEARCH(,Data!E$3:E$635),10^9)+ROW(Data!E$3:E$635)/1000,ROWS(E$3:E239)),IFERROR(SEARCH(,Data!E$3:E$635),10^9)+ROW(Data!E$3:E$635)/1000,0))</f>
        <v/>
      </c>
      <c r="F239" s="111" t="str" cm="1">
        <f t="array" ref="F239">INDEX(Data!F$3:F$635,MATCH(SMALL(IFERROR(SEARCH(,Data!F$3:F$635),10^9)+ROW(Data!F$3:F$635)/1000,ROWS(F$3:F239)),IFERROR(SEARCH(,Data!F$3:F$635),10^9)+ROW(Data!F$3:F$635)/1000,0))</f>
        <v/>
      </c>
      <c r="G239" s="111" t="str" cm="1">
        <f t="array" ref="G239">INDEX(Data!G$3:G$635,MATCH(SMALL(IFERROR(SEARCH(,Data!G$3:G$635),10^9)+ROW(Data!G$3:G$635)/1000,ROWS(G$3:G239)),IFERROR(SEARCH(,Data!G$3:G$635),10^9)+ROW(Data!G$3:G$635)/1000,0))</f>
        <v/>
      </c>
      <c r="H239" s="623" t="str" cm="1">
        <f t="array" ref="H239">INDEX(Data!I$3:I$635,MATCH(SMALL(IFERROR(SEARCH(,Data!I$3:I$635),10^9)+ROW(Data!I$3:I$635)/1000,ROWS(H$3:H239)),IFERROR(SEARCH(,Data!I$3:I$635),10^9)+ROW(Data!I$3:I$635)/1000,0))</f>
        <v/>
      </c>
    </row>
    <row r="240" spans="1:8" ht="45.75" customHeight="1" x14ac:dyDescent="0.25">
      <c r="A240" s="108" t="str">
        <f>IFERROR(INDEX(Data!A$3:A$635,MATCH(IF(B240="","END",B240),Data!$B$3:$B$635,0)),"")</f>
        <v/>
      </c>
      <c r="B240" s="108" t="str" cm="1">
        <f t="array" ref="B240">INDEX(Data!B$3:B$635,MATCH(SMALL(IFERROR(SEARCH(,Data!B$3:B$635),10^9)+ROW(Data!B$3:B$635)/1000,ROWS(B$3:B240)),IFERROR(SEARCH(,Data!B$3:B$635),10^9)+ROW(Data!B$3:B$635)/1000,0))</f>
        <v/>
      </c>
      <c r="C240" s="317" t="str" cm="1">
        <f t="array" ref="C240">INDEX(Data!C$3:C$635,MATCH(SMALL(IFERROR(SEARCH(,Data!C$3:C$635),10^9)+ROW(Data!C$3:C$635)/1000,ROWS(C$3:C240)),IFERROR(SEARCH(,Data!C$3:C$635),10^9)+ROW(Data!C$3:C$635)/1000,0))</f>
        <v/>
      </c>
      <c r="D240" s="111" t="str">
        <f t="shared" si="3"/>
        <v/>
      </c>
      <c r="E240" s="111" t="str" cm="1">
        <f t="array" ref="E240">INDEX(Data!E$3:E$635,MATCH(SMALL(IFERROR(SEARCH(,Data!E$3:E$635),10^9)+ROW(Data!E$3:E$635)/1000,ROWS(E$3:E240)),IFERROR(SEARCH(,Data!E$3:E$635),10^9)+ROW(Data!E$3:E$635)/1000,0))</f>
        <v/>
      </c>
      <c r="F240" s="111" t="str" cm="1">
        <f t="array" ref="F240">INDEX(Data!F$3:F$635,MATCH(SMALL(IFERROR(SEARCH(,Data!F$3:F$635),10^9)+ROW(Data!F$3:F$635)/1000,ROWS(F$3:F240)),IFERROR(SEARCH(,Data!F$3:F$635),10^9)+ROW(Data!F$3:F$635)/1000,0))</f>
        <v/>
      </c>
      <c r="G240" s="111" t="str" cm="1">
        <f t="array" ref="G240">INDEX(Data!G$3:G$635,MATCH(SMALL(IFERROR(SEARCH(,Data!G$3:G$635),10^9)+ROW(Data!G$3:G$635)/1000,ROWS(G$3:G240)),IFERROR(SEARCH(,Data!G$3:G$635),10^9)+ROW(Data!G$3:G$635)/1000,0))</f>
        <v/>
      </c>
      <c r="H240" s="623" t="str" cm="1">
        <f t="array" ref="H240">INDEX(Data!I$3:I$635,MATCH(SMALL(IFERROR(SEARCH(,Data!I$3:I$635),10^9)+ROW(Data!I$3:I$635)/1000,ROWS(H$3:H240)),IFERROR(SEARCH(,Data!I$3:I$635),10^9)+ROW(Data!I$3:I$635)/1000,0))</f>
        <v/>
      </c>
    </row>
    <row r="241" spans="1:8" ht="45.75" customHeight="1" x14ac:dyDescent="0.25">
      <c r="A241" s="108" t="str">
        <f>IFERROR(INDEX(Data!A$3:A$635,MATCH(IF(B241="","END",B241),Data!$B$3:$B$635,0)),"")</f>
        <v/>
      </c>
      <c r="B241" s="108" t="str" cm="1">
        <f t="array" ref="B241">INDEX(Data!B$3:B$635,MATCH(SMALL(IFERROR(SEARCH(,Data!B$3:B$635),10^9)+ROW(Data!B$3:B$635)/1000,ROWS(B$3:B241)),IFERROR(SEARCH(,Data!B$3:B$635),10^9)+ROW(Data!B$3:B$635)/1000,0))</f>
        <v/>
      </c>
      <c r="C241" s="317" t="str" cm="1">
        <f t="array" ref="C241">INDEX(Data!C$3:C$635,MATCH(SMALL(IFERROR(SEARCH(,Data!C$3:C$635),10^9)+ROW(Data!C$3:C$635)/1000,ROWS(C$3:C241)),IFERROR(SEARCH(,Data!C$3:C$635),10^9)+ROW(Data!C$3:C$635)/1000,0))</f>
        <v/>
      </c>
      <c r="D241" s="111" t="str">
        <f t="shared" si="3"/>
        <v/>
      </c>
      <c r="E241" s="111" t="str" cm="1">
        <f t="array" ref="E241">INDEX(Data!E$3:E$635,MATCH(SMALL(IFERROR(SEARCH(,Data!E$3:E$635),10^9)+ROW(Data!E$3:E$635)/1000,ROWS(E$3:E241)),IFERROR(SEARCH(,Data!E$3:E$635),10^9)+ROW(Data!E$3:E$635)/1000,0))</f>
        <v/>
      </c>
      <c r="F241" s="111" t="str" cm="1">
        <f t="array" ref="F241">INDEX(Data!F$3:F$635,MATCH(SMALL(IFERROR(SEARCH(,Data!F$3:F$635),10^9)+ROW(Data!F$3:F$635)/1000,ROWS(F$3:F241)),IFERROR(SEARCH(,Data!F$3:F$635),10^9)+ROW(Data!F$3:F$635)/1000,0))</f>
        <v/>
      </c>
      <c r="G241" s="111" t="str" cm="1">
        <f t="array" ref="G241">INDEX(Data!G$3:G$635,MATCH(SMALL(IFERROR(SEARCH(,Data!G$3:G$635),10^9)+ROW(Data!G$3:G$635)/1000,ROWS(G$3:G241)),IFERROR(SEARCH(,Data!G$3:G$635),10^9)+ROW(Data!G$3:G$635)/1000,0))</f>
        <v/>
      </c>
      <c r="H241" s="623" t="str" cm="1">
        <f t="array" ref="H241">INDEX(Data!I$3:I$635,MATCH(SMALL(IFERROR(SEARCH(,Data!I$3:I$635),10^9)+ROW(Data!I$3:I$635)/1000,ROWS(H$3:H241)),IFERROR(SEARCH(,Data!I$3:I$635),10^9)+ROW(Data!I$3:I$635)/1000,0))</f>
        <v/>
      </c>
    </row>
    <row r="242" spans="1:8" ht="45.75" customHeight="1" x14ac:dyDescent="0.25">
      <c r="A242" s="108" t="str">
        <f>IFERROR(INDEX(Data!A$3:A$635,MATCH(IF(B242="","END",B242),Data!$B$3:$B$635,0)),"")</f>
        <v/>
      </c>
      <c r="B242" s="108" t="str" cm="1">
        <f t="array" ref="B242">INDEX(Data!B$3:B$635,MATCH(SMALL(IFERROR(SEARCH(,Data!B$3:B$635),10^9)+ROW(Data!B$3:B$635)/1000,ROWS(B$3:B242)),IFERROR(SEARCH(,Data!B$3:B$635),10^9)+ROW(Data!B$3:B$635)/1000,0))</f>
        <v/>
      </c>
      <c r="C242" s="317" t="str" cm="1">
        <f t="array" ref="C242">INDEX(Data!C$3:C$635,MATCH(SMALL(IFERROR(SEARCH(,Data!C$3:C$635),10^9)+ROW(Data!C$3:C$635)/1000,ROWS(C$3:C242)),IFERROR(SEARCH(,Data!C$3:C$635),10^9)+ROW(Data!C$3:C$635)/1000,0))</f>
        <v/>
      </c>
      <c r="D242" s="111" t="str">
        <f t="shared" si="3"/>
        <v/>
      </c>
      <c r="E242" s="111" t="str" cm="1">
        <f t="array" ref="E242">INDEX(Data!E$3:E$635,MATCH(SMALL(IFERROR(SEARCH(,Data!E$3:E$635),10^9)+ROW(Data!E$3:E$635)/1000,ROWS(E$3:E242)),IFERROR(SEARCH(,Data!E$3:E$635),10^9)+ROW(Data!E$3:E$635)/1000,0))</f>
        <v/>
      </c>
      <c r="F242" s="111" t="str" cm="1">
        <f t="array" ref="F242">INDEX(Data!F$3:F$635,MATCH(SMALL(IFERROR(SEARCH(,Data!F$3:F$635),10^9)+ROW(Data!F$3:F$635)/1000,ROWS(F$3:F242)),IFERROR(SEARCH(,Data!F$3:F$635),10^9)+ROW(Data!F$3:F$635)/1000,0))</f>
        <v/>
      </c>
      <c r="G242" s="111" t="str" cm="1">
        <f t="array" ref="G242">INDEX(Data!G$3:G$635,MATCH(SMALL(IFERROR(SEARCH(,Data!G$3:G$635),10^9)+ROW(Data!G$3:G$635)/1000,ROWS(G$3:G242)),IFERROR(SEARCH(,Data!G$3:G$635),10^9)+ROW(Data!G$3:G$635)/1000,0))</f>
        <v/>
      </c>
      <c r="H242" s="623" t="str" cm="1">
        <f t="array" ref="H242">INDEX(Data!I$3:I$635,MATCH(SMALL(IFERROR(SEARCH(,Data!I$3:I$635),10^9)+ROW(Data!I$3:I$635)/1000,ROWS(H$3:H242)),IFERROR(SEARCH(,Data!I$3:I$635),10^9)+ROW(Data!I$3:I$635)/1000,0))</f>
        <v/>
      </c>
    </row>
    <row r="243" spans="1:8" ht="45.75" customHeight="1" x14ac:dyDescent="0.25">
      <c r="A243" s="108" t="str">
        <f>IFERROR(INDEX(Data!A$3:A$635,MATCH(IF(B243="","END",B243),Data!$B$3:$B$635,0)),"")</f>
        <v/>
      </c>
      <c r="B243" s="108" t="str" cm="1">
        <f t="array" ref="B243">INDEX(Data!B$3:B$635,MATCH(SMALL(IFERROR(SEARCH(,Data!B$3:B$635),10^9)+ROW(Data!B$3:B$635)/1000,ROWS(B$3:B243)),IFERROR(SEARCH(,Data!B$3:B$635),10^9)+ROW(Data!B$3:B$635)/1000,0))</f>
        <v/>
      </c>
      <c r="C243" s="317" t="str" cm="1">
        <f t="array" ref="C243">INDEX(Data!C$3:C$635,MATCH(SMALL(IFERROR(SEARCH(,Data!C$3:C$635),10^9)+ROW(Data!C$3:C$635)/1000,ROWS(C$3:C243)),IFERROR(SEARCH(,Data!C$3:C$635),10^9)+ROW(Data!C$3:C$635)/1000,0))</f>
        <v/>
      </c>
      <c r="D243" s="111" t="str">
        <f t="shared" si="3"/>
        <v/>
      </c>
      <c r="E243" s="111" t="str" cm="1">
        <f t="array" ref="E243">INDEX(Data!E$3:E$635,MATCH(SMALL(IFERROR(SEARCH(,Data!E$3:E$635),10^9)+ROW(Data!E$3:E$635)/1000,ROWS(E$3:E243)),IFERROR(SEARCH(,Data!E$3:E$635),10^9)+ROW(Data!E$3:E$635)/1000,0))</f>
        <v/>
      </c>
      <c r="F243" s="111" t="str" cm="1">
        <f t="array" ref="F243">INDEX(Data!F$3:F$635,MATCH(SMALL(IFERROR(SEARCH(,Data!F$3:F$635),10^9)+ROW(Data!F$3:F$635)/1000,ROWS(F$3:F243)),IFERROR(SEARCH(,Data!F$3:F$635),10^9)+ROW(Data!F$3:F$635)/1000,0))</f>
        <v/>
      </c>
      <c r="G243" s="111" t="str" cm="1">
        <f t="array" ref="G243">INDEX(Data!G$3:G$635,MATCH(SMALL(IFERROR(SEARCH(,Data!G$3:G$635),10^9)+ROW(Data!G$3:G$635)/1000,ROWS(G$3:G243)),IFERROR(SEARCH(,Data!G$3:G$635),10^9)+ROW(Data!G$3:G$635)/1000,0))</f>
        <v/>
      </c>
      <c r="H243" s="623" t="str" cm="1">
        <f t="array" ref="H243">INDEX(Data!I$3:I$635,MATCH(SMALL(IFERROR(SEARCH(,Data!I$3:I$635),10^9)+ROW(Data!I$3:I$635)/1000,ROWS(H$3:H243)),IFERROR(SEARCH(,Data!I$3:I$635),10^9)+ROW(Data!I$3:I$635)/1000,0))</f>
        <v/>
      </c>
    </row>
    <row r="244" spans="1:8" ht="45.75" customHeight="1" x14ac:dyDescent="0.25">
      <c r="A244" s="108" t="str">
        <f>IFERROR(INDEX(Data!A$3:A$635,MATCH(IF(B244="","END",B244),Data!$B$3:$B$635,0)),"")</f>
        <v/>
      </c>
      <c r="B244" s="108" t="str" cm="1">
        <f t="array" ref="B244">INDEX(Data!B$3:B$635,MATCH(SMALL(IFERROR(SEARCH(,Data!B$3:B$635),10^9)+ROW(Data!B$3:B$635)/1000,ROWS(B$3:B244)),IFERROR(SEARCH(,Data!B$3:B$635),10^9)+ROW(Data!B$3:B$635)/1000,0))</f>
        <v/>
      </c>
      <c r="C244" s="317" t="str" cm="1">
        <f t="array" ref="C244">INDEX(Data!C$3:C$635,MATCH(SMALL(IFERROR(SEARCH(,Data!C$3:C$635),10^9)+ROW(Data!C$3:C$635)/1000,ROWS(C$3:C244)),IFERROR(SEARCH(,Data!C$3:C$635),10^9)+ROW(Data!C$3:C$635)/1000,0))</f>
        <v/>
      </c>
      <c r="D244" s="111" t="str">
        <f t="shared" si="3"/>
        <v/>
      </c>
      <c r="E244" s="111" t="str" cm="1">
        <f t="array" ref="E244">INDEX(Data!E$3:E$635,MATCH(SMALL(IFERROR(SEARCH(,Data!E$3:E$635),10^9)+ROW(Data!E$3:E$635)/1000,ROWS(E$3:E244)),IFERROR(SEARCH(,Data!E$3:E$635),10^9)+ROW(Data!E$3:E$635)/1000,0))</f>
        <v/>
      </c>
      <c r="F244" s="111" t="str" cm="1">
        <f t="array" ref="F244">INDEX(Data!F$3:F$635,MATCH(SMALL(IFERROR(SEARCH(,Data!F$3:F$635),10^9)+ROW(Data!F$3:F$635)/1000,ROWS(F$3:F244)),IFERROR(SEARCH(,Data!F$3:F$635),10^9)+ROW(Data!F$3:F$635)/1000,0))</f>
        <v/>
      </c>
      <c r="G244" s="111" t="str" cm="1">
        <f t="array" ref="G244">INDEX(Data!G$3:G$635,MATCH(SMALL(IFERROR(SEARCH(,Data!G$3:G$635),10^9)+ROW(Data!G$3:G$635)/1000,ROWS(G$3:G244)),IFERROR(SEARCH(,Data!G$3:G$635),10^9)+ROW(Data!G$3:G$635)/1000,0))</f>
        <v/>
      </c>
      <c r="H244" s="623" t="str" cm="1">
        <f t="array" ref="H244">INDEX(Data!I$3:I$635,MATCH(SMALL(IFERROR(SEARCH(,Data!I$3:I$635),10^9)+ROW(Data!I$3:I$635)/1000,ROWS(H$3:H244)),IFERROR(SEARCH(,Data!I$3:I$635),10^9)+ROW(Data!I$3:I$635)/1000,0))</f>
        <v/>
      </c>
    </row>
    <row r="245" spans="1:8" ht="45.75" customHeight="1" x14ac:dyDescent="0.25">
      <c r="A245" s="108" t="str">
        <f>IFERROR(INDEX(Data!A$3:A$635,MATCH(IF(B245="","END",B245),Data!$B$3:$B$635,0)),"")</f>
        <v/>
      </c>
      <c r="B245" s="108" t="str" cm="1">
        <f t="array" ref="B245">INDEX(Data!B$3:B$635,MATCH(SMALL(IFERROR(SEARCH(,Data!B$3:B$635),10^9)+ROW(Data!B$3:B$635)/1000,ROWS(B$3:B245)),IFERROR(SEARCH(,Data!B$3:B$635),10^9)+ROW(Data!B$3:B$635)/1000,0))</f>
        <v/>
      </c>
      <c r="C245" s="317" t="str" cm="1">
        <f t="array" ref="C245">INDEX(Data!C$3:C$635,MATCH(SMALL(IFERROR(SEARCH(,Data!C$3:C$635),10^9)+ROW(Data!C$3:C$635)/1000,ROWS(C$3:C245)),IFERROR(SEARCH(,Data!C$3:C$635),10^9)+ROW(Data!C$3:C$635)/1000,0))</f>
        <v/>
      </c>
      <c r="D245" s="111" t="str">
        <f t="shared" si="3"/>
        <v/>
      </c>
      <c r="E245" s="111" t="str" cm="1">
        <f t="array" ref="E245">INDEX(Data!E$3:E$635,MATCH(SMALL(IFERROR(SEARCH(,Data!E$3:E$635),10^9)+ROW(Data!E$3:E$635)/1000,ROWS(E$3:E245)),IFERROR(SEARCH(,Data!E$3:E$635),10^9)+ROW(Data!E$3:E$635)/1000,0))</f>
        <v/>
      </c>
      <c r="F245" s="111" t="str" cm="1">
        <f t="array" ref="F245">INDEX(Data!F$3:F$635,MATCH(SMALL(IFERROR(SEARCH(,Data!F$3:F$635),10^9)+ROW(Data!F$3:F$635)/1000,ROWS(F$3:F245)),IFERROR(SEARCH(,Data!F$3:F$635),10^9)+ROW(Data!F$3:F$635)/1000,0))</f>
        <v/>
      </c>
      <c r="G245" s="111" t="str" cm="1">
        <f t="array" ref="G245">INDEX(Data!G$3:G$635,MATCH(SMALL(IFERROR(SEARCH(,Data!G$3:G$635),10^9)+ROW(Data!G$3:G$635)/1000,ROWS(G$3:G245)),IFERROR(SEARCH(,Data!G$3:G$635),10^9)+ROW(Data!G$3:G$635)/1000,0))</f>
        <v/>
      </c>
      <c r="H245" s="623" t="str" cm="1">
        <f t="array" ref="H245">INDEX(Data!I$3:I$635,MATCH(SMALL(IFERROR(SEARCH(,Data!I$3:I$635),10^9)+ROW(Data!I$3:I$635)/1000,ROWS(H$3:H245)),IFERROR(SEARCH(,Data!I$3:I$635),10^9)+ROW(Data!I$3:I$635)/1000,0))</f>
        <v/>
      </c>
    </row>
    <row r="246" spans="1:8" ht="45.75" customHeight="1" x14ac:dyDescent="0.25">
      <c r="A246" s="108" t="str">
        <f>IFERROR(INDEX(Data!A$3:A$635,MATCH(IF(B246="","END",B246),Data!$B$3:$B$635,0)),"")</f>
        <v/>
      </c>
      <c r="B246" s="108" t="str" cm="1">
        <f t="array" ref="B246">INDEX(Data!B$3:B$635,MATCH(SMALL(IFERROR(SEARCH(,Data!B$3:B$635),10^9)+ROW(Data!B$3:B$635)/1000,ROWS(B$3:B246)),IFERROR(SEARCH(,Data!B$3:B$635),10^9)+ROW(Data!B$3:B$635)/1000,0))</f>
        <v/>
      </c>
      <c r="C246" s="317" t="str" cm="1">
        <f t="array" ref="C246">INDEX(Data!C$3:C$635,MATCH(SMALL(IFERROR(SEARCH(,Data!C$3:C$635),10^9)+ROW(Data!C$3:C$635)/1000,ROWS(C$3:C246)),IFERROR(SEARCH(,Data!C$3:C$635),10^9)+ROW(Data!C$3:C$635)/1000,0))</f>
        <v/>
      </c>
      <c r="D246" s="111" t="str">
        <f t="shared" si="3"/>
        <v/>
      </c>
      <c r="E246" s="111" t="str" cm="1">
        <f t="array" ref="E246">INDEX(Data!E$3:E$635,MATCH(SMALL(IFERROR(SEARCH(,Data!E$3:E$635),10^9)+ROW(Data!E$3:E$635)/1000,ROWS(E$3:E246)),IFERROR(SEARCH(,Data!E$3:E$635),10^9)+ROW(Data!E$3:E$635)/1000,0))</f>
        <v/>
      </c>
      <c r="F246" s="111" t="str" cm="1">
        <f t="array" ref="F246">INDEX(Data!F$3:F$635,MATCH(SMALL(IFERROR(SEARCH(,Data!F$3:F$635),10^9)+ROW(Data!F$3:F$635)/1000,ROWS(F$3:F246)),IFERROR(SEARCH(,Data!F$3:F$635),10^9)+ROW(Data!F$3:F$635)/1000,0))</f>
        <v/>
      </c>
      <c r="G246" s="111" t="str" cm="1">
        <f t="array" ref="G246">INDEX(Data!G$3:G$635,MATCH(SMALL(IFERROR(SEARCH(,Data!G$3:G$635),10^9)+ROW(Data!G$3:G$635)/1000,ROWS(G$3:G246)),IFERROR(SEARCH(,Data!G$3:G$635),10^9)+ROW(Data!G$3:G$635)/1000,0))</f>
        <v/>
      </c>
      <c r="H246" s="623" t="str" cm="1">
        <f t="array" ref="H246">INDEX(Data!I$3:I$635,MATCH(SMALL(IFERROR(SEARCH(,Data!I$3:I$635),10^9)+ROW(Data!I$3:I$635)/1000,ROWS(H$3:H246)),IFERROR(SEARCH(,Data!I$3:I$635),10^9)+ROW(Data!I$3:I$635)/1000,0))</f>
        <v/>
      </c>
    </row>
    <row r="247" spans="1:8" ht="45.75" customHeight="1" x14ac:dyDescent="0.25">
      <c r="A247" s="108" t="str">
        <f>IFERROR(INDEX(Data!A$3:A$635,MATCH(IF(B247="","END",B247),Data!$B$3:$B$635,0)),"")</f>
        <v/>
      </c>
      <c r="B247" s="108" t="str" cm="1">
        <f t="array" ref="B247">INDEX(Data!B$3:B$635,MATCH(SMALL(IFERROR(SEARCH(,Data!B$3:B$635),10^9)+ROW(Data!B$3:B$635)/1000,ROWS(B$3:B247)),IFERROR(SEARCH(,Data!B$3:B$635),10^9)+ROW(Data!B$3:B$635)/1000,0))</f>
        <v/>
      </c>
      <c r="C247" s="317" t="str" cm="1">
        <f t="array" ref="C247">INDEX(Data!C$3:C$635,MATCH(SMALL(IFERROR(SEARCH(,Data!C$3:C$635),10^9)+ROW(Data!C$3:C$635)/1000,ROWS(C$3:C247)),IFERROR(SEARCH(,Data!C$3:C$635),10^9)+ROW(Data!C$3:C$635)/1000,0))</f>
        <v/>
      </c>
      <c r="D247" s="111" t="str">
        <f t="shared" si="3"/>
        <v/>
      </c>
      <c r="E247" s="111" t="str" cm="1">
        <f t="array" ref="E247">INDEX(Data!E$3:E$635,MATCH(SMALL(IFERROR(SEARCH(,Data!E$3:E$635),10^9)+ROW(Data!E$3:E$635)/1000,ROWS(E$3:E247)),IFERROR(SEARCH(,Data!E$3:E$635),10^9)+ROW(Data!E$3:E$635)/1000,0))</f>
        <v/>
      </c>
      <c r="F247" s="111" t="str" cm="1">
        <f t="array" ref="F247">INDEX(Data!F$3:F$635,MATCH(SMALL(IFERROR(SEARCH(,Data!F$3:F$635),10^9)+ROW(Data!F$3:F$635)/1000,ROWS(F$3:F247)),IFERROR(SEARCH(,Data!F$3:F$635),10^9)+ROW(Data!F$3:F$635)/1000,0))</f>
        <v/>
      </c>
      <c r="G247" s="111" t="str" cm="1">
        <f t="array" ref="G247">INDEX(Data!G$3:G$635,MATCH(SMALL(IFERROR(SEARCH(,Data!G$3:G$635),10^9)+ROW(Data!G$3:G$635)/1000,ROWS(G$3:G247)),IFERROR(SEARCH(,Data!G$3:G$635),10^9)+ROW(Data!G$3:G$635)/1000,0))</f>
        <v/>
      </c>
      <c r="H247" s="623" t="str" cm="1">
        <f t="array" ref="H247">INDEX(Data!I$3:I$635,MATCH(SMALL(IFERROR(SEARCH(,Data!I$3:I$635),10^9)+ROW(Data!I$3:I$635)/1000,ROWS(H$3:H247)),IFERROR(SEARCH(,Data!I$3:I$635),10^9)+ROW(Data!I$3:I$635)/1000,0))</f>
        <v/>
      </c>
    </row>
    <row r="248" spans="1:8" ht="45.75" customHeight="1" x14ac:dyDescent="0.25">
      <c r="A248" s="108" t="str">
        <f>IFERROR(INDEX(Data!A$3:A$635,MATCH(IF(B248="","END",B248),Data!$B$3:$B$635,0)),"")</f>
        <v/>
      </c>
      <c r="B248" s="108" t="str" cm="1">
        <f t="array" ref="B248">INDEX(Data!B$3:B$635,MATCH(SMALL(IFERROR(SEARCH(,Data!B$3:B$635),10^9)+ROW(Data!B$3:B$635)/1000,ROWS(B$3:B248)),IFERROR(SEARCH(,Data!B$3:B$635),10^9)+ROW(Data!B$3:B$635)/1000,0))</f>
        <v/>
      </c>
      <c r="C248" s="317" t="str" cm="1">
        <f t="array" ref="C248">INDEX(Data!C$3:C$635,MATCH(SMALL(IFERROR(SEARCH(,Data!C$3:C$635),10^9)+ROW(Data!C$3:C$635)/1000,ROWS(C$3:C248)),IFERROR(SEARCH(,Data!C$3:C$635),10^9)+ROW(Data!C$3:C$635)/1000,0))</f>
        <v/>
      </c>
      <c r="D248" s="111" t="str">
        <f t="shared" si="3"/>
        <v/>
      </c>
      <c r="E248" s="111" t="str" cm="1">
        <f t="array" ref="E248">INDEX(Data!E$3:E$635,MATCH(SMALL(IFERROR(SEARCH(,Data!E$3:E$635),10^9)+ROW(Data!E$3:E$635)/1000,ROWS(E$3:E248)),IFERROR(SEARCH(,Data!E$3:E$635),10^9)+ROW(Data!E$3:E$635)/1000,0))</f>
        <v/>
      </c>
      <c r="F248" s="111" t="str" cm="1">
        <f t="array" ref="F248">INDEX(Data!F$3:F$635,MATCH(SMALL(IFERROR(SEARCH(,Data!F$3:F$635),10^9)+ROW(Data!F$3:F$635)/1000,ROWS(F$3:F248)),IFERROR(SEARCH(,Data!F$3:F$635),10^9)+ROW(Data!F$3:F$635)/1000,0))</f>
        <v/>
      </c>
      <c r="G248" s="111" t="str" cm="1">
        <f t="array" ref="G248">INDEX(Data!G$3:G$635,MATCH(SMALL(IFERROR(SEARCH(,Data!G$3:G$635),10^9)+ROW(Data!G$3:G$635)/1000,ROWS(G$3:G248)),IFERROR(SEARCH(,Data!G$3:G$635),10^9)+ROW(Data!G$3:G$635)/1000,0))</f>
        <v/>
      </c>
      <c r="H248" s="623" t="str" cm="1">
        <f t="array" ref="H248">INDEX(Data!I$3:I$635,MATCH(SMALL(IFERROR(SEARCH(,Data!I$3:I$635),10^9)+ROW(Data!I$3:I$635)/1000,ROWS(H$3:H248)),IFERROR(SEARCH(,Data!I$3:I$635),10^9)+ROW(Data!I$3:I$635)/1000,0))</f>
        <v/>
      </c>
    </row>
    <row r="249" spans="1:8" ht="45.75" customHeight="1" x14ac:dyDescent="0.25">
      <c r="A249" s="108" t="str">
        <f>IFERROR(INDEX(Data!A$3:A$635,MATCH(IF(B249="","END",B249),Data!$B$3:$B$635,0)),"")</f>
        <v/>
      </c>
      <c r="B249" s="108" t="str" cm="1">
        <f t="array" ref="B249">INDEX(Data!B$3:B$635,MATCH(SMALL(IFERROR(SEARCH(,Data!B$3:B$635),10^9)+ROW(Data!B$3:B$635)/1000,ROWS(B$3:B249)),IFERROR(SEARCH(,Data!B$3:B$635),10^9)+ROW(Data!B$3:B$635)/1000,0))</f>
        <v/>
      </c>
      <c r="C249" s="317" t="str" cm="1">
        <f t="array" ref="C249">INDEX(Data!C$3:C$635,MATCH(SMALL(IFERROR(SEARCH(,Data!C$3:C$635),10^9)+ROW(Data!C$3:C$635)/1000,ROWS(C$3:C249)),IFERROR(SEARCH(,Data!C$3:C$635),10^9)+ROW(Data!C$3:C$635)/1000,0))</f>
        <v/>
      </c>
      <c r="D249" s="111" t="str">
        <f t="shared" si="3"/>
        <v/>
      </c>
      <c r="E249" s="111" t="str" cm="1">
        <f t="array" ref="E249">INDEX(Data!E$3:E$635,MATCH(SMALL(IFERROR(SEARCH(,Data!E$3:E$635),10^9)+ROW(Data!E$3:E$635)/1000,ROWS(E$3:E249)),IFERROR(SEARCH(,Data!E$3:E$635),10^9)+ROW(Data!E$3:E$635)/1000,0))</f>
        <v/>
      </c>
      <c r="F249" s="111" t="str" cm="1">
        <f t="array" ref="F249">INDEX(Data!F$3:F$635,MATCH(SMALL(IFERROR(SEARCH(,Data!F$3:F$635),10^9)+ROW(Data!F$3:F$635)/1000,ROWS(F$3:F249)),IFERROR(SEARCH(,Data!F$3:F$635),10^9)+ROW(Data!F$3:F$635)/1000,0))</f>
        <v/>
      </c>
      <c r="G249" s="111" t="str" cm="1">
        <f t="array" ref="G249">INDEX(Data!G$3:G$635,MATCH(SMALL(IFERROR(SEARCH(,Data!G$3:G$635),10^9)+ROW(Data!G$3:G$635)/1000,ROWS(G$3:G249)),IFERROR(SEARCH(,Data!G$3:G$635),10^9)+ROW(Data!G$3:G$635)/1000,0))</f>
        <v/>
      </c>
      <c r="H249" s="623" t="str" cm="1">
        <f t="array" ref="H249">INDEX(Data!I$3:I$635,MATCH(SMALL(IFERROR(SEARCH(,Data!I$3:I$635),10^9)+ROW(Data!I$3:I$635)/1000,ROWS(H$3:H249)),IFERROR(SEARCH(,Data!I$3:I$635),10^9)+ROW(Data!I$3:I$635)/1000,0))</f>
        <v/>
      </c>
    </row>
    <row r="250" spans="1:8" ht="45.75" customHeight="1" x14ac:dyDescent="0.25">
      <c r="A250" s="108" t="str">
        <f>IFERROR(INDEX(Data!A$3:A$635,MATCH(IF(B250="","END",B250),Data!$B$3:$B$635,0)),"")</f>
        <v/>
      </c>
      <c r="B250" s="108" t="str" cm="1">
        <f t="array" ref="B250">INDEX(Data!B$3:B$635,MATCH(SMALL(IFERROR(SEARCH(,Data!B$3:B$635),10^9)+ROW(Data!B$3:B$635)/1000,ROWS(B$3:B250)),IFERROR(SEARCH(,Data!B$3:B$635),10^9)+ROW(Data!B$3:B$635)/1000,0))</f>
        <v/>
      </c>
      <c r="C250" s="317" t="str" cm="1">
        <f t="array" ref="C250">INDEX(Data!C$3:C$635,MATCH(SMALL(IFERROR(SEARCH(,Data!C$3:C$635),10^9)+ROW(Data!C$3:C$635)/1000,ROWS(C$3:C250)),IFERROR(SEARCH(,Data!C$3:C$635),10^9)+ROW(Data!C$3:C$635)/1000,0))</f>
        <v/>
      </c>
      <c r="D250" s="111" t="str">
        <f t="shared" si="3"/>
        <v/>
      </c>
      <c r="E250" s="111" t="str" cm="1">
        <f t="array" ref="E250">INDEX(Data!E$3:E$635,MATCH(SMALL(IFERROR(SEARCH(,Data!E$3:E$635),10^9)+ROW(Data!E$3:E$635)/1000,ROWS(E$3:E250)),IFERROR(SEARCH(,Data!E$3:E$635),10^9)+ROW(Data!E$3:E$635)/1000,0))</f>
        <v/>
      </c>
      <c r="F250" s="111" t="str" cm="1">
        <f t="array" ref="F250">INDEX(Data!F$3:F$635,MATCH(SMALL(IFERROR(SEARCH(,Data!F$3:F$635),10^9)+ROW(Data!F$3:F$635)/1000,ROWS(F$3:F250)),IFERROR(SEARCH(,Data!F$3:F$635),10^9)+ROW(Data!F$3:F$635)/1000,0))</f>
        <v/>
      </c>
      <c r="G250" s="111" t="str" cm="1">
        <f t="array" ref="G250">INDEX(Data!G$3:G$635,MATCH(SMALL(IFERROR(SEARCH(,Data!G$3:G$635),10^9)+ROW(Data!G$3:G$635)/1000,ROWS(G$3:G250)),IFERROR(SEARCH(,Data!G$3:G$635),10^9)+ROW(Data!G$3:G$635)/1000,0))</f>
        <v/>
      </c>
      <c r="H250" s="623" t="str" cm="1">
        <f t="array" ref="H250">INDEX(Data!I$3:I$635,MATCH(SMALL(IFERROR(SEARCH(,Data!I$3:I$635),10^9)+ROW(Data!I$3:I$635)/1000,ROWS(H$3:H250)),IFERROR(SEARCH(,Data!I$3:I$635),10^9)+ROW(Data!I$3:I$635)/1000,0))</f>
        <v/>
      </c>
    </row>
    <row r="251" spans="1:8" ht="45.75" customHeight="1" x14ac:dyDescent="0.25">
      <c r="A251" s="108" t="str">
        <f>IFERROR(INDEX(Data!A$3:A$635,MATCH(IF(B251="","END",B251),Data!$B$3:$B$635,0)),"")</f>
        <v/>
      </c>
      <c r="B251" s="108" t="str" cm="1">
        <f t="array" ref="B251">INDEX(Data!B$3:B$635,MATCH(SMALL(IFERROR(SEARCH(,Data!B$3:B$635),10^9)+ROW(Data!B$3:B$635)/1000,ROWS(B$3:B251)),IFERROR(SEARCH(,Data!B$3:B$635),10^9)+ROW(Data!B$3:B$635)/1000,0))</f>
        <v/>
      </c>
      <c r="C251" s="317" t="str" cm="1">
        <f t="array" ref="C251">INDEX(Data!C$3:C$635,MATCH(SMALL(IFERROR(SEARCH(,Data!C$3:C$635),10^9)+ROW(Data!C$3:C$635)/1000,ROWS(C$3:C251)),IFERROR(SEARCH(,Data!C$3:C$635),10^9)+ROW(Data!C$3:C$635)/1000,0))</f>
        <v/>
      </c>
      <c r="D251" s="111" t="str">
        <f t="shared" si="3"/>
        <v/>
      </c>
      <c r="E251" s="111" t="str" cm="1">
        <f t="array" ref="E251">INDEX(Data!E$3:E$635,MATCH(SMALL(IFERROR(SEARCH(,Data!E$3:E$635),10^9)+ROW(Data!E$3:E$635)/1000,ROWS(E$3:E251)),IFERROR(SEARCH(,Data!E$3:E$635),10^9)+ROW(Data!E$3:E$635)/1000,0))</f>
        <v/>
      </c>
      <c r="F251" s="111" t="str" cm="1">
        <f t="array" ref="F251">INDEX(Data!F$3:F$635,MATCH(SMALL(IFERROR(SEARCH(,Data!F$3:F$635),10^9)+ROW(Data!F$3:F$635)/1000,ROWS(F$3:F251)),IFERROR(SEARCH(,Data!F$3:F$635),10^9)+ROW(Data!F$3:F$635)/1000,0))</f>
        <v/>
      </c>
      <c r="G251" s="111" t="str" cm="1">
        <f t="array" ref="G251">INDEX(Data!G$3:G$635,MATCH(SMALL(IFERROR(SEARCH(,Data!G$3:G$635),10^9)+ROW(Data!G$3:G$635)/1000,ROWS(G$3:G251)),IFERROR(SEARCH(,Data!G$3:G$635),10^9)+ROW(Data!G$3:G$635)/1000,0))</f>
        <v/>
      </c>
      <c r="H251" s="623" t="str" cm="1">
        <f t="array" ref="H251">INDEX(Data!I$3:I$635,MATCH(SMALL(IFERROR(SEARCH(,Data!I$3:I$635),10^9)+ROW(Data!I$3:I$635)/1000,ROWS(H$3:H251)),IFERROR(SEARCH(,Data!I$3:I$635),10^9)+ROW(Data!I$3:I$635)/1000,0))</f>
        <v/>
      </c>
    </row>
    <row r="252" spans="1:8" ht="45.75" customHeight="1" x14ac:dyDescent="0.25">
      <c r="A252" s="108" t="str">
        <f>IFERROR(INDEX(Data!A$3:A$635,MATCH(IF(B252="","END",B252),Data!$B$3:$B$635,0)),"")</f>
        <v/>
      </c>
      <c r="B252" s="108" t="str" cm="1">
        <f t="array" ref="B252">INDEX(Data!B$3:B$635,MATCH(SMALL(IFERROR(SEARCH(,Data!B$3:B$635),10^9)+ROW(Data!B$3:B$635)/1000,ROWS(B$3:B252)),IFERROR(SEARCH(,Data!B$3:B$635),10^9)+ROW(Data!B$3:B$635)/1000,0))</f>
        <v/>
      </c>
      <c r="C252" s="317" t="str" cm="1">
        <f t="array" ref="C252">INDEX(Data!C$3:C$635,MATCH(SMALL(IFERROR(SEARCH(,Data!C$3:C$635),10^9)+ROW(Data!C$3:C$635)/1000,ROWS(C$3:C252)),IFERROR(SEARCH(,Data!C$3:C$635),10^9)+ROW(Data!C$3:C$635)/1000,0))</f>
        <v/>
      </c>
      <c r="D252" s="111" t="str">
        <f t="shared" si="3"/>
        <v/>
      </c>
      <c r="E252" s="111" t="str" cm="1">
        <f t="array" ref="E252">INDEX(Data!E$3:E$635,MATCH(SMALL(IFERROR(SEARCH(,Data!E$3:E$635),10^9)+ROW(Data!E$3:E$635)/1000,ROWS(E$3:E252)),IFERROR(SEARCH(,Data!E$3:E$635),10^9)+ROW(Data!E$3:E$635)/1000,0))</f>
        <v/>
      </c>
      <c r="F252" s="111" t="str" cm="1">
        <f t="array" ref="F252">INDEX(Data!F$3:F$635,MATCH(SMALL(IFERROR(SEARCH(,Data!F$3:F$635),10^9)+ROW(Data!F$3:F$635)/1000,ROWS(F$3:F252)),IFERROR(SEARCH(,Data!F$3:F$635),10^9)+ROW(Data!F$3:F$635)/1000,0))</f>
        <v/>
      </c>
      <c r="G252" s="111" t="str" cm="1">
        <f t="array" ref="G252">INDEX(Data!G$3:G$635,MATCH(SMALL(IFERROR(SEARCH(,Data!G$3:G$635),10^9)+ROW(Data!G$3:G$635)/1000,ROWS(G$3:G252)),IFERROR(SEARCH(,Data!G$3:G$635),10^9)+ROW(Data!G$3:G$635)/1000,0))</f>
        <v/>
      </c>
      <c r="H252" s="623" t="str" cm="1">
        <f t="array" ref="H252">INDEX(Data!I$3:I$635,MATCH(SMALL(IFERROR(SEARCH(,Data!I$3:I$635),10^9)+ROW(Data!I$3:I$635)/1000,ROWS(H$3:H252)),IFERROR(SEARCH(,Data!I$3:I$635),10^9)+ROW(Data!I$3:I$635)/1000,0))</f>
        <v/>
      </c>
    </row>
    <row r="253" spans="1:8" ht="45.75" customHeight="1" x14ac:dyDescent="0.25">
      <c r="A253" s="108" t="str">
        <f>IFERROR(INDEX(Data!A$3:A$635,MATCH(IF(B253="","END",B253),Data!$B$3:$B$635,0)),"")</f>
        <v/>
      </c>
      <c r="B253" s="108" t="str" cm="1">
        <f t="array" ref="B253">INDEX(Data!B$3:B$635,MATCH(SMALL(IFERROR(SEARCH(,Data!B$3:B$635),10^9)+ROW(Data!B$3:B$635)/1000,ROWS(B$3:B253)),IFERROR(SEARCH(,Data!B$3:B$635),10^9)+ROW(Data!B$3:B$635)/1000,0))</f>
        <v/>
      </c>
      <c r="C253" s="317" t="str" cm="1">
        <f t="array" ref="C253">INDEX(Data!C$3:C$635,MATCH(SMALL(IFERROR(SEARCH(,Data!C$3:C$635),10^9)+ROW(Data!C$3:C$635)/1000,ROWS(C$3:C253)),IFERROR(SEARCH(,Data!C$3:C$635),10^9)+ROW(Data!C$3:C$635)/1000,0))</f>
        <v/>
      </c>
      <c r="D253" s="111" t="str">
        <f t="shared" si="3"/>
        <v/>
      </c>
      <c r="E253" s="111" t="str" cm="1">
        <f t="array" ref="E253">INDEX(Data!E$3:E$635,MATCH(SMALL(IFERROR(SEARCH(,Data!E$3:E$635),10^9)+ROW(Data!E$3:E$635)/1000,ROWS(E$3:E253)),IFERROR(SEARCH(,Data!E$3:E$635),10^9)+ROW(Data!E$3:E$635)/1000,0))</f>
        <v/>
      </c>
      <c r="F253" s="111" t="str" cm="1">
        <f t="array" ref="F253">INDEX(Data!F$3:F$635,MATCH(SMALL(IFERROR(SEARCH(,Data!F$3:F$635),10^9)+ROW(Data!F$3:F$635)/1000,ROWS(F$3:F253)),IFERROR(SEARCH(,Data!F$3:F$635),10^9)+ROW(Data!F$3:F$635)/1000,0))</f>
        <v/>
      </c>
      <c r="G253" s="111" t="str" cm="1">
        <f t="array" ref="G253">INDEX(Data!G$3:G$635,MATCH(SMALL(IFERROR(SEARCH(,Data!G$3:G$635),10^9)+ROW(Data!G$3:G$635)/1000,ROWS(G$3:G253)),IFERROR(SEARCH(,Data!G$3:G$635),10^9)+ROW(Data!G$3:G$635)/1000,0))</f>
        <v/>
      </c>
      <c r="H253" s="623" t="str" cm="1">
        <f t="array" ref="H253">INDEX(Data!I$3:I$635,MATCH(SMALL(IFERROR(SEARCH(,Data!I$3:I$635),10^9)+ROW(Data!I$3:I$635)/1000,ROWS(H$3:H253)),IFERROR(SEARCH(,Data!I$3:I$635),10^9)+ROW(Data!I$3:I$635)/1000,0))</f>
        <v/>
      </c>
    </row>
    <row r="254" spans="1:8" ht="45.75" customHeight="1" x14ac:dyDescent="0.25">
      <c r="A254" s="108" t="str">
        <f>IFERROR(INDEX(Data!A$3:A$635,MATCH(IF(B254="","END",B254),Data!$B$3:$B$635,0)),"")</f>
        <v/>
      </c>
      <c r="B254" s="108" t="str" cm="1">
        <f t="array" ref="B254">INDEX(Data!B$3:B$635,MATCH(SMALL(IFERROR(SEARCH(,Data!B$3:B$635),10^9)+ROW(Data!B$3:B$635)/1000,ROWS(B$3:B254)),IFERROR(SEARCH(,Data!B$3:B$635),10^9)+ROW(Data!B$3:B$635)/1000,0))</f>
        <v/>
      </c>
      <c r="C254" s="317" t="str" cm="1">
        <f t="array" ref="C254">INDEX(Data!C$3:C$635,MATCH(SMALL(IFERROR(SEARCH(,Data!C$3:C$635),10^9)+ROW(Data!C$3:C$635)/1000,ROWS(C$3:C254)),IFERROR(SEARCH(,Data!C$3:C$635),10^9)+ROW(Data!C$3:C$635)/1000,0))</f>
        <v/>
      </c>
      <c r="D254" s="111" t="str">
        <f t="shared" si="3"/>
        <v/>
      </c>
      <c r="E254" s="111" t="str" cm="1">
        <f t="array" ref="E254">INDEX(Data!E$3:E$635,MATCH(SMALL(IFERROR(SEARCH(,Data!E$3:E$635),10^9)+ROW(Data!E$3:E$635)/1000,ROWS(E$3:E254)),IFERROR(SEARCH(,Data!E$3:E$635),10^9)+ROW(Data!E$3:E$635)/1000,0))</f>
        <v/>
      </c>
      <c r="F254" s="111" t="str" cm="1">
        <f t="array" ref="F254">INDEX(Data!F$3:F$635,MATCH(SMALL(IFERROR(SEARCH(,Data!F$3:F$635),10^9)+ROW(Data!F$3:F$635)/1000,ROWS(F$3:F254)),IFERROR(SEARCH(,Data!F$3:F$635),10^9)+ROW(Data!F$3:F$635)/1000,0))</f>
        <v/>
      </c>
      <c r="G254" s="111" t="str" cm="1">
        <f t="array" ref="G254">INDEX(Data!G$3:G$635,MATCH(SMALL(IFERROR(SEARCH(,Data!G$3:G$635),10^9)+ROW(Data!G$3:G$635)/1000,ROWS(G$3:G254)),IFERROR(SEARCH(,Data!G$3:G$635),10^9)+ROW(Data!G$3:G$635)/1000,0))</f>
        <v/>
      </c>
      <c r="H254" s="623" t="str" cm="1">
        <f t="array" ref="H254">INDEX(Data!I$3:I$635,MATCH(SMALL(IFERROR(SEARCH(,Data!I$3:I$635),10^9)+ROW(Data!I$3:I$635)/1000,ROWS(H$3:H254)),IFERROR(SEARCH(,Data!I$3:I$635),10^9)+ROW(Data!I$3:I$635)/1000,0))</f>
        <v/>
      </c>
    </row>
    <row r="255" spans="1:8" ht="45.75" customHeight="1" x14ac:dyDescent="0.25">
      <c r="A255" s="108" t="str">
        <f>IFERROR(INDEX(Data!A$3:A$635,MATCH(IF(B255="","END",B255),Data!$B$3:$B$635,0)),"")</f>
        <v/>
      </c>
      <c r="B255" s="108" t="str" cm="1">
        <f t="array" ref="B255">INDEX(Data!B$3:B$635,MATCH(SMALL(IFERROR(SEARCH(,Data!B$3:B$635),10^9)+ROW(Data!B$3:B$635)/1000,ROWS(B$3:B255)),IFERROR(SEARCH(,Data!B$3:B$635),10^9)+ROW(Data!B$3:B$635)/1000,0))</f>
        <v/>
      </c>
      <c r="C255" s="317" t="str" cm="1">
        <f t="array" ref="C255">INDEX(Data!C$3:C$635,MATCH(SMALL(IFERROR(SEARCH(,Data!C$3:C$635),10^9)+ROW(Data!C$3:C$635)/1000,ROWS(C$3:C255)),IFERROR(SEARCH(,Data!C$3:C$635),10^9)+ROW(Data!C$3:C$635)/1000,0))</f>
        <v/>
      </c>
      <c r="D255" s="111" t="str">
        <f t="shared" si="3"/>
        <v/>
      </c>
      <c r="E255" s="111" t="str" cm="1">
        <f t="array" ref="E255">INDEX(Data!E$3:E$635,MATCH(SMALL(IFERROR(SEARCH(,Data!E$3:E$635),10^9)+ROW(Data!E$3:E$635)/1000,ROWS(E$3:E255)),IFERROR(SEARCH(,Data!E$3:E$635),10^9)+ROW(Data!E$3:E$635)/1000,0))</f>
        <v/>
      </c>
      <c r="F255" s="111" t="str" cm="1">
        <f t="array" ref="F255">INDEX(Data!F$3:F$635,MATCH(SMALL(IFERROR(SEARCH(,Data!F$3:F$635),10^9)+ROW(Data!F$3:F$635)/1000,ROWS(F$3:F255)),IFERROR(SEARCH(,Data!F$3:F$635),10^9)+ROW(Data!F$3:F$635)/1000,0))</f>
        <v/>
      </c>
      <c r="G255" s="111" t="str" cm="1">
        <f t="array" ref="G255">INDEX(Data!G$3:G$635,MATCH(SMALL(IFERROR(SEARCH(,Data!G$3:G$635),10^9)+ROW(Data!G$3:G$635)/1000,ROWS(G$3:G255)),IFERROR(SEARCH(,Data!G$3:G$635),10^9)+ROW(Data!G$3:G$635)/1000,0))</f>
        <v/>
      </c>
      <c r="H255" s="623" t="str" cm="1">
        <f t="array" ref="H255">INDEX(Data!I$3:I$635,MATCH(SMALL(IFERROR(SEARCH(,Data!I$3:I$635),10^9)+ROW(Data!I$3:I$635)/1000,ROWS(H$3:H255)),IFERROR(SEARCH(,Data!I$3:I$635),10^9)+ROW(Data!I$3:I$635)/1000,0))</f>
        <v/>
      </c>
    </row>
    <row r="256" spans="1:8" ht="45.75" customHeight="1" x14ac:dyDescent="0.25">
      <c r="A256" s="108" t="str">
        <f>IFERROR(INDEX(Data!A$3:A$635,MATCH(IF(B256="","END",B256),Data!$B$3:$B$635,0)),"")</f>
        <v/>
      </c>
      <c r="B256" s="108" t="str" cm="1">
        <f t="array" ref="B256">INDEX(Data!B$3:B$635,MATCH(SMALL(IFERROR(SEARCH(,Data!B$3:B$635),10^9)+ROW(Data!B$3:B$635)/1000,ROWS(B$3:B256)),IFERROR(SEARCH(,Data!B$3:B$635),10^9)+ROW(Data!B$3:B$635)/1000,0))</f>
        <v/>
      </c>
      <c r="C256" s="317" t="str" cm="1">
        <f t="array" ref="C256">INDEX(Data!C$3:C$635,MATCH(SMALL(IFERROR(SEARCH(,Data!C$3:C$635),10^9)+ROW(Data!C$3:C$635)/1000,ROWS(C$3:C256)),IFERROR(SEARCH(,Data!C$3:C$635),10^9)+ROW(Data!C$3:C$635)/1000,0))</f>
        <v/>
      </c>
      <c r="D256" s="111" t="str">
        <f t="shared" si="3"/>
        <v/>
      </c>
      <c r="E256" s="111" t="str" cm="1">
        <f t="array" ref="E256">INDEX(Data!E$3:E$635,MATCH(SMALL(IFERROR(SEARCH(,Data!E$3:E$635),10^9)+ROW(Data!E$3:E$635)/1000,ROWS(E$3:E256)),IFERROR(SEARCH(,Data!E$3:E$635),10^9)+ROW(Data!E$3:E$635)/1000,0))</f>
        <v/>
      </c>
      <c r="F256" s="111" t="str" cm="1">
        <f t="array" ref="F256">INDEX(Data!F$3:F$635,MATCH(SMALL(IFERROR(SEARCH(,Data!F$3:F$635),10^9)+ROW(Data!F$3:F$635)/1000,ROWS(F$3:F256)),IFERROR(SEARCH(,Data!F$3:F$635),10^9)+ROW(Data!F$3:F$635)/1000,0))</f>
        <v/>
      </c>
      <c r="G256" s="111" t="str" cm="1">
        <f t="array" ref="G256">INDEX(Data!G$3:G$635,MATCH(SMALL(IFERROR(SEARCH(,Data!G$3:G$635),10^9)+ROW(Data!G$3:G$635)/1000,ROWS(G$3:G256)),IFERROR(SEARCH(,Data!G$3:G$635),10^9)+ROW(Data!G$3:G$635)/1000,0))</f>
        <v/>
      </c>
      <c r="H256" s="623" t="str" cm="1">
        <f t="array" ref="H256">INDEX(Data!I$3:I$635,MATCH(SMALL(IFERROR(SEARCH(,Data!I$3:I$635),10^9)+ROW(Data!I$3:I$635)/1000,ROWS(H$3:H256)),IFERROR(SEARCH(,Data!I$3:I$635),10^9)+ROW(Data!I$3:I$635)/1000,0))</f>
        <v/>
      </c>
    </row>
    <row r="257" spans="1:8" ht="45.75" customHeight="1" x14ac:dyDescent="0.25">
      <c r="A257" s="108" t="str">
        <f>IFERROR(INDEX(Data!A$3:A$635,MATCH(IF(B257="","END",B257),Data!$B$3:$B$635,0)),"")</f>
        <v/>
      </c>
      <c r="B257" s="108" t="str" cm="1">
        <f t="array" ref="B257">INDEX(Data!B$3:B$635,MATCH(SMALL(IFERROR(SEARCH(,Data!B$3:B$635),10^9)+ROW(Data!B$3:B$635)/1000,ROWS(B$3:B257)),IFERROR(SEARCH(,Data!B$3:B$635),10^9)+ROW(Data!B$3:B$635)/1000,0))</f>
        <v/>
      </c>
      <c r="C257" s="317" t="str" cm="1">
        <f t="array" ref="C257">INDEX(Data!C$3:C$635,MATCH(SMALL(IFERROR(SEARCH(,Data!C$3:C$635),10^9)+ROW(Data!C$3:C$635)/1000,ROWS(C$3:C257)),IFERROR(SEARCH(,Data!C$3:C$635),10^9)+ROW(Data!C$3:C$635)/1000,0))</f>
        <v/>
      </c>
      <c r="D257" s="111" t="str">
        <f t="shared" si="3"/>
        <v/>
      </c>
      <c r="E257" s="111" t="str" cm="1">
        <f t="array" ref="E257">INDEX(Data!E$3:E$635,MATCH(SMALL(IFERROR(SEARCH(,Data!E$3:E$635),10^9)+ROW(Data!E$3:E$635)/1000,ROWS(E$3:E257)),IFERROR(SEARCH(,Data!E$3:E$635),10^9)+ROW(Data!E$3:E$635)/1000,0))</f>
        <v/>
      </c>
      <c r="F257" s="111" t="str" cm="1">
        <f t="array" ref="F257">INDEX(Data!F$3:F$635,MATCH(SMALL(IFERROR(SEARCH(,Data!F$3:F$635),10^9)+ROW(Data!F$3:F$635)/1000,ROWS(F$3:F257)),IFERROR(SEARCH(,Data!F$3:F$635),10^9)+ROW(Data!F$3:F$635)/1000,0))</f>
        <v/>
      </c>
      <c r="G257" s="111" t="str" cm="1">
        <f t="array" ref="G257">INDEX(Data!G$3:G$635,MATCH(SMALL(IFERROR(SEARCH(,Data!G$3:G$635),10^9)+ROW(Data!G$3:G$635)/1000,ROWS(G$3:G257)),IFERROR(SEARCH(,Data!G$3:G$635),10^9)+ROW(Data!G$3:G$635)/1000,0))</f>
        <v/>
      </c>
      <c r="H257" s="623" t="str" cm="1">
        <f t="array" ref="H257">INDEX(Data!I$3:I$635,MATCH(SMALL(IFERROR(SEARCH(,Data!I$3:I$635),10^9)+ROW(Data!I$3:I$635)/1000,ROWS(H$3:H257)),IFERROR(SEARCH(,Data!I$3:I$635),10^9)+ROW(Data!I$3:I$635)/1000,0))</f>
        <v/>
      </c>
    </row>
    <row r="258" spans="1:8" ht="45.75" customHeight="1" x14ac:dyDescent="0.25">
      <c r="A258" s="108" t="str">
        <f>IFERROR(INDEX(Data!A$3:A$635,MATCH(IF(B258="","END",B258),Data!$B$3:$B$635,0)),"")</f>
        <v/>
      </c>
      <c r="B258" s="108" t="str" cm="1">
        <f t="array" ref="B258">INDEX(Data!B$3:B$635,MATCH(SMALL(IFERROR(SEARCH(,Data!B$3:B$635),10^9)+ROW(Data!B$3:B$635)/1000,ROWS(B$3:B258)),IFERROR(SEARCH(,Data!B$3:B$635),10^9)+ROW(Data!B$3:B$635)/1000,0))</f>
        <v/>
      </c>
      <c r="C258" s="317" t="str" cm="1">
        <f t="array" ref="C258">INDEX(Data!C$3:C$635,MATCH(SMALL(IFERROR(SEARCH(,Data!C$3:C$635),10^9)+ROW(Data!C$3:C$635)/1000,ROWS(C$3:C258)),IFERROR(SEARCH(,Data!C$3:C$635),10^9)+ROW(Data!C$3:C$635)/1000,0))</f>
        <v/>
      </c>
      <c r="D258" s="111" t="str">
        <f t="shared" si="3"/>
        <v/>
      </c>
      <c r="E258" s="111" t="str" cm="1">
        <f t="array" ref="E258">INDEX(Data!E$3:E$635,MATCH(SMALL(IFERROR(SEARCH(,Data!E$3:E$635),10^9)+ROW(Data!E$3:E$635)/1000,ROWS(E$3:E258)),IFERROR(SEARCH(,Data!E$3:E$635),10^9)+ROW(Data!E$3:E$635)/1000,0))</f>
        <v/>
      </c>
      <c r="F258" s="111" t="str" cm="1">
        <f t="array" ref="F258">INDEX(Data!F$3:F$635,MATCH(SMALL(IFERROR(SEARCH(,Data!F$3:F$635),10^9)+ROW(Data!F$3:F$635)/1000,ROWS(F$3:F258)),IFERROR(SEARCH(,Data!F$3:F$635),10^9)+ROW(Data!F$3:F$635)/1000,0))</f>
        <v/>
      </c>
      <c r="G258" s="111" t="str" cm="1">
        <f t="array" ref="G258">INDEX(Data!G$3:G$635,MATCH(SMALL(IFERROR(SEARCH(,Data!G$3:G$635),10^9)+ROW(Data!G$3:G$635)/1000,ROWS(G$3:G258)),IFERROR(SEARCH(,Data!G$3:G$635),10^9)+ROW(Data!G$3:G$635)/1000,0))</f>
        <v/>
      </c>
      <c r="H258" s="623" t="str" cm="1">
        <f t="array" ref="H258">INDEX(Data!I$3:I$635,MATCH(SMALL(IFERROR(SEARCH(,Data!I$3:I$635),10^9)+ROW(Data!I$3:I$635)/1000,ROWS(H$3:H258)),IFERROR(SEARCH(,Data!I$3:I$635),10^9)+ROW(Data!I$3:I$635)/1000,0))</f>
        <v/>
      </c>
    </row>
    <row r="259" spans="1:8" ht="45.75" customHeight="1" x14ac:dyDescent="0.25">
      <c r="A259" s="108" t="str">
        <f>IFERROR(INDEX(Data!A$3:A$635,MATCH(IF(B259="","END",B259),Data!$B$3:$B$635,0)),"")</f>
        <v/>
      </c>
      <c r="B259" s="108" t="str" cm="1">
        <f t="array" ref="B259">INDEX(Data!B$3:B$635,MATCH(SMALL(IFERROR(SEARCH(,Data!B$3:B$635),10^9)+ROW(Data!B$3:B$635)/1000,ROWS(B$3:B259)),IFERROR(SEARCH(,Data!B$3:B$635),10^9)+ROW(Data!B$3:B$635)/1000,0))</f>
        <v/>
      </c>
      <c r="C259" s="317" t="str" cm="1">
        <f t="array" ref="C259">INDEX(Data!C$3:C$635,MATCH(SMALL(IFERROR(SEARCH(,Data!C$3:C$635),10^9)+ROW(Data!C$3:C$635)/1000,ROWS(C$3:C259)),IFERROR(SEARCH(,Data!C$3:C$635),10^9)+ROW(Data!C$3:C$635)/1000,0))</f>
        <v/>
      </c>
      <c r="D259" s="111" t="str">
        <f t="shared" si="3"/>
        <v/>
      </c>
      <c r="E259" s="111" t="str" cm="1">
        <f t="array" ref="E259">INDEX(Data!E$3:E$635,MATCH(SMALL(IFERROR(SEARCH(,Data!E$3:E$635),10^9)+ROW(Data!E$3:E$635)/1000,ROWS(E$3:E259)),IFERROR(SEARCH(,Data!E$3:E$635),10^9)+ROW(Data!E$3:E$635)/1000,0))</f>
        <v/>
      </c>
      <c r="F259" s="111" t="str" cm="1">
        <f t="array" ref="F259">INDEX(Data!F$3:F$635,MATCH(SMALL(IFERROR(SEARCH(,Data!F$3:F$635),10^9)+ROW(Data!F$3:F$635)/1000,ROWS(F$3:F259)),IFERROR(SEARCH(,Data!F$3:F$635),10^9)+ROW(Data!F$3:F$635)/1000,0))</f>
        <v/>
      </c>
      <c r="G259" s="111" t="str" cm="1">
        <f t="array" ref="G259">INDEX(Data!G$3:G$635,MATCH(SMALL(IFERROR(SEARCH(,Data!G$3:G$635),10^9)+ROW(Data!G$3:G$635)/1000,ROWS(G$3:G259)),IFERROR(SEARCH(,Data!G$3:G$635),10^9)+ROW(Data!G$3:G$635)/1000,0))</f>
        <v/>
      </c>
      <c r="H259" s="623" t="str" cm="1">
        <f t="array" ref="H259">INDEX(Data!I$3:I$635,MATCH(SMALL(IFERROR(SEARCH(,Data!I$3:I$635),10^9)+ROW(Data!I$3:I$635)/1000,ROWS(H$3:H259)),IFERROR(SEARCH(,Data!I$3:I$635),10^9)+ROW(Data!I$3:I$635)/1000,0))</f>
        <v/>
      </c>
    </row>
    <row r="260" spans="1:8" ht="45.75" customHeight="1" x14ac:dyDescent="0.25">
      <c r="A260" s="108" t="str">
        <f>IFERROR(INDEX(Data!A$3:A$635,MATCH(IF(B260="","END",B260),Data!$B$3:$B$635,0)),"")</f>
        <v/>
      </c>
      <c r="B260" s="108" t="str" cm="1">
        <f t="array" ref="B260">INDEX(Data!B$3:B$635,MATCH(SMALL(IFERROR(SEARCH(,Data!B$3:B$635),10^9)+ROW(Data!B$3:B$635)/1000,ROWS(B$3:B260)),IFERROR(SEARCH(,Data!B$3:B$635),10^9)+ROW(Data!B$3:B$635)/1000,0))</f>
        <v/>
      </c>
      <c r="C260" s="317" t="str" cm="1">
        <f t="array" ref="C260">INDEX(Data!C$3:C$635,MATCH(SMALL(IFERROR(SEARCH(,Data!C$3:C$635),10^9)+ROW(Data!C$3:C$635)/1000,ROWS(C$3:C260)),IFERROR(SEARCH(,Data!C$3:C$635),10^9)+ROW(Data!C$3:C$635)/1000,0))</f>
        <v/>
      </c>
      <c r="D260" s="111" t="str">
        <f t="shared" si="3"/>
        <v/>
      </c>
      <c r="E260" s="111" t="str" cm="1">
        <f t="array" ref="E260">INDEX(Data!E$3:E$635,MATCH(SMALL(IFERROR(SEARCH(,Data!E$3:E$635),10^9)+ROW(Data!E$3:E$635)/1000,ROWS(E$3:E260)),IFERROR(SEARCH(,Data!E$3:E$635),10^9)+ROW(Data!E$3:E$635)/1000,0))</f>
        <v/>
      </c>
      <c r="F260" s="111" t="str" cm="1">
        <f t="array" ref="F260">INDEX(Data!F$3:F$635,MATCH(SMALL(IFERROR(SEARCH(,Data!F$3:F$635),10^9)+ROW(Data!F$3:F$635)/1000,ROWS(F$3:F260)),IFERROR(SEARCH(,Data!F$3:F$635),10^9)+ROW(Data!F$3:F$635)/1000,0))</f>
        <v/>
      </c>
      <c r="G260" s="111" t="str" cm="1">
        <f t="array" ref="G260">INDEX(Data!G$3:G$635,MATCH(SMALL(IFERROR(SEARCH(,Data!G$3:G$635),10^9)+ROW(Data!G$3:G$635)/1000,ROWS(G$3:G260)),IFERROR(SEARCH(,Data!G$3:G$635),10^9)+ROW(Data!G$3:G$635)/1000,0))</f>
        <v/>
      </c>
      <c r="H260" s="623" t="str" cm="1">
        <f t="array" ref="H260">INDEX(Data!I$3:I$635,MATCH(SMALL(IFERROR(SEARCH(,Data!I$3:I$635),10^9)+ROW(Data!I$3:I$635)/1000,ROWS(H$3:H260)),IFERROR(SEARCH(,Data!I$3:I$635),10^9)+ROW(Data!I$3:I$635)/1000,0))</f>
        <v/>
      </c>
    </row>
    <row r="261" spans="1:8" ht="45.75" customHeight="1" x14ac:dyDescent="0.25">
      <c r="A261" s="108" t="str">
        <f>IFERROR(INDEX(Data!A$3:A$635,MATCH(IF(B261="","END",B261),Data!$B$3:$B$635,0)),"")</f>
        <v/>
      </c>
      <c r="B261" s="108" t="str" cm="1">
        <f t="array" ref="B261">INDEX(Data!B$3:B$635,MATCH(SMALL(IFERROR(SEARCH(,Data!B$3:B$635),10^9)+ROW(Data!B$3:B$635)/1000,ROWS(B$3:B261)),IFERROR(SEARCH(,Data!B$3:B$635),10^9)+ROW(Data!B$3:B$635)/1000,0))</f>
        <v/>
      </c>
      <c r="C261" s="317" t="str" cm="1">
        <f t="array" ref="C261">INDEX(Data!C$3:C$635,MATCH(SMALL(IFERROR(SEARCH(,Data!C$3:C$635),10^9)+ROW(Data!C$3:C$635)/1000,ROWS(C$3:C261)),IFERROR(SEARCH(,Data!C$3:C$635),10^9)+ROW(Data!C$3:C$635)/1000,0))</f>
        <v/>
      </c>
      <c r="D261" s="111" t="str">
        <f t="shared" si="3"/>
        <v/>
      </c>
      <c r="E261" s="111" t="str" cm="1">
        <f t="array" ref="E261">INDEX(Data!E$3:E$635,MATCH(SMALL(IFERROR(SEARCH(,Data!E$3:E$635),10^9)+ROW(Data!E$3:E$635)/1000,ROWS(E$3:E261)),IFERROR(SEARCH(,Data!E$3:E$635),10^9)+ROW(Data!E$3:E$635)/1000,0))</f>
        <v/>
      </c>
      <c r="F261" s="111" t="str" cm="1">
        <f t="array" ref="F261">INDEX(Data!F$3:F$635,MATCH(SMALL(IFERROR(SEARCH(,Data!F$3:F$635),10^9)+ROW(Data!F$3:F$635)/1000,ROWS(F$3:F261)),IFERROR(SEARCH(,Data!F$3:F$635),10^9)+ROW(Data!F$3:F$635)/1000,0))</f>
        <v/>
      </c>
      <c r="G261" s="111" t="str" cm="1">
        <f t="array" ref="G261">INDEX(Data!G$3:G$635,MATCH(SMALL(IFERROR(SEARCH(,Data!G$3:G$635),10^9)+ROW(Data!G$3:G$635)/1000,ROWS(G$3:G261)),IFERROR(SEARCH(,Data!G$3:G$635),10^9)+ROW(Data!G$3:G$635)/1000,0))</f>
        <v/>
      </c>
      <c r="H261" s="623" t="str" cm="1">
        <f t="array" ref="H261">INDEX(Data!I$3:I$635,MATCH(SMALL(IFERROR(SEARCH(,Data!I$3:I$635),10^9)+ROW(Data!I$3:I$635)/1000,ROWS(H$3:H261)),IFERROR(SEARCH(,Data!I$3:I$635),10^9)+ROW(Data!I$3:I$635)/1000,0))</f>
        <v/>
      </c>
    </row>
    <row r="262" spans="1:8" ht="45.75" customHeight="1" x14ac:dyDescent="0.25">
      <c r="A262" s="108" t="str">
        <f>IFERROR(INDEX(Data!A$3:A$635,MATCH(IF(B262="","END",B262),Data!$B$3:$B$635,0)),"")</f>
        <v/>
      </c>
      <c r="B262" s="108" t="str" cm="1">
        <f t="array" ref="B262">INDEX(Data!B$3:B$635,MATCH(SMALL(IFERROR(SEARCH(,Data!B$3:B$635),10^9)+ROW(Data!B$3:B$635)/1000,ROWS(B$3:B262)),IFERROR(SEARCH(,Data!B$3:B$635),10^9)+ROW(Data!B$3:B$635)/1000,0))</f>
        <v/>
      </c>
      <c r="C262" s="317" t="str" cm="1">
        <f t="array" ref="C262">INDEX(Data!C$3:C$635,MATCH(SMALL(IFERROR(SEARCH(,Data!C$3:C$635),10^9)+ROW(Data!C$3:C$635)/1000,ROWS(C$3:C262)),IFERROR(SEARCH(,Data!C$3:C$635),10^9)+ROW(Data!C$3:C$635)/1000,0))</f>
        <v/>
      </c>
      <c r="D262" s="111" t="str">
        <f t="shared" si="3"/>
        <v/>
      </c>
      <c r="E262" s="111" t="str" cm="1">
        <f t="array" ref="E262">INDEX(Data!E$3:E$635,MATCH(SMALL(IFERROR(SEARCH(,Data!E$3:E$635),10^9)+ROW(Data!E$3:E$635)/1000,ROWS(E$3:E262)),IFERROR(SEARCH(,Data!E$3:E$635),10^9)+ROW(Data!E$3:E$635)/1000,0))</f>
        <v/>
      </c>
      <c r="F262" s="111" t="str" cm="1">
        <f t="array" ref="F262">INDEX(Data!F$3:F$635,MATCH(SMALL(IFERROR(SEARCH(,Data!F$3:F$635),10^9)+ROW(Data!F$3:F$635)/1000,ROWS(F$3:F262)),IFERROR(SEARCH(,Data!F$3:F$635),10^9)+ROW(Data!F$3:F$635)/1000,0))</f>
        <v/>
      </c>
      <c r="G262" s="111" t="str" cm="1">
        <f t="array" ref="G262">INDEX(Data!G$3:G$635,MATCH(SMALL(IFERROR(SEARCH(,Data!G$3:G$635),10^9)+ROW(Data!G$3:G$635)/1000,ROWS(G$3:G262)),IFERROR(SEARCH(,Data!G$3:G$635),10^9)+ROW(Data!G$3:G$635)/1000,0))</f>
        <v/>
      </c>
      <c r="H262" s="623" t="str" cm="1">
        <f t="array" ref="H262">INDEX(Data!I$3:I$635,MATCH(SMALL(IFERROR(SEARCH(,Data!I$3:I$635),10^9)+ROW(Data!I$3:I$635)/1000,ROWS(H$3:H262)),IFERROR(SEARCH(,Data!I$3:I$635),10^9)+ROW(Data!I$3:I$635)/1000,0))</f>
        <v/>
      </c>
    </row>
    <row r="263" spans="1:8" ht="45.75" customHeight="1" x14ac:dyDescent="0.25">
      <c r="A263" s="108" t="str">
        <f>IFERROR(INDEX(Data!A$3:A$635,MATCH(IF(B263="","END",B263),Data!$B$3:$B$635,0)),"")</f>
        <v/>
      </c>
      <c r="B263" s="108" t="str" cm="1">
        <f t="array" ref="B263">INDEX(Data!B$3:B$635,MATCH(SMALL(IFERROR(SEARCH(,Data!B$3:B$635),10^9)+ROW(Data!B$3:B$635)/1000,ROWS(B$3:B263)),IFERROR(SEARCH(,Data!B$3:B$635),10^9)+ROW(Data!B$3:B$635)/1000,0))</f>
        <v/>
      </c>
      <c r="C263" s="317" t="str" cm="1">
        <f t="array" ref="C263">INDEX(Data!C$3:C$635,MATCH(SMALL(IFERROR(SEARCH(,Data!C$3:C$635),10^9)+ROW(Data!C$3:C$635)/1000,ROWS(C$3:C263)),IFERROR(SEARCH(,Data!C$3:C$635),10^9)+ROW(Data!C$3:C$635)/1000,0))</f>
        <v/>
      </c>
      <c r="D263" s="111" t="str">
        <f t="shared" si="3"/>
        <v/>
      </c>
      <c r="E263" s="111" t="str" cm="1">
        <f t="array" ref="E263">INDEX(Data!E$3:E$635,MATCH(SMALL(IFERROR(SEARCH(,Data!E$3:E$635),10^9)+ROW(Data!E$3:E$635)/1000,ROWS(E$3:E263)),IFERROR(SEARCH(,Data!E$3:E$635),10^9)+ROW(Data!E$3:E$635)/1000,0))</f>
        <v/>
      </c>
      <c r="F263" s="111" t="str" cm="1">
        <f t="array" ref="F263">INDEX(Data!F$3:F$635,MATCH(SMALL(IFERROR(SEARCH(,Data!F$3:F$635),10^9)+ROW(Data!F$3:F$635)/1000,ROWS(F$3:F263)),IFERROR(SEARCH(,Data!F$3:F$635),10^9)+ROW(Data!F$3:F$635)/1000,0))</f>
        <v/>
      </c>
      <c r="G263" s="111" t="str" cm="1">
        <f t="array" ref="G263">INDEX(Data!G$3:G$635,MATCH(SMALL(IFERROR(SEARCH(,Data!G$3:G$635),10^9)+ROW(Data!G$3:G$635)/1000,ROWS(G$3:G263)),IFERROR(SEARCH(,Data!G$3:G$635),10^9)+ROW(Data!G$3:G$635)/1000,0))</f>
        <v/>
      </c>
      <c r="H263" s="623" t="str" cm="1">
        <f t="array" ref="H263">INDEX(Data!I$3:I$635,MATCH(SMALL(IFERROR(SEARCH(,Data!I$3:I$635),10^9)+ROW(Data!I$3:I$635)/1000,ROWS(H$3:H263)),IFERROR(SEARCH(,Data!I$3:I$635),10^9)+ROW(Data!I$3:I$635)/1000,0))</f>
        <v/>
      </c>
    </row>
    <row r="264" spans="1:8" ht="45.75" customHeight="1" x14ac:dyDescent="0.25">
      <c r="A264" s="108" t="str">
        <f>IFERROR(INDEX(Data!A$3:A$635,MATCH(IF(B264="","END",B264),Data!$B$3:$B$635,0)),"")</f>
        <v/>
      </c>
      <c r="B264" s="108" t="str" cm="1">
        <f t="array" ref="B264">INDEX(Data!B$3:B$635,MATCH(SMALL(IFERROR(SEARCH(,Data!B$3:B$635),10^9)+ROW(Data!B$3:B$635)/1000,ROWS(B$3:B264)),IFERROR(SEARCH(,Data!B$3:B$635),10^9)+ROW(Data!B$3:B$635)/1000,0))</f>
        <v/>
      </c>
      <c r="C264" s="317" t="str" cm="1">
        <f t="array" ref="C264">INDEX(Data!C$3:C$635,MATCH(SMALL(IFERROR(SEARCH(,Data!C$3:C$635),10^9)+ROW(Data!C$3:C$635)/1000,ROWS(C$3:C264)),IFERROR(SEARCH(,Data!C$3:C$635),10^9)+ROW(Data!C$3:C$635)/1000,0))</f>
        <v/>
      </c>
      <c r="D264" s="111" t="str">
        <f t="shared" si="3"/>
        <v/>
      </c>
      <c r="E264" s="111" t="str" cm="1">
        <f t="array" ref="E264">INDEX(Data!E$3:E$635,MATCH(SMALL(IFERROR(SEARCH(,Data!E$3:E$635),10^9)+ROW(Data!E$3:E$635)/1000,ROWS(E$3:E264)),IFERROR(SEARCH(,Data!E$3:E$635),10^9)+ROW(Data!E$3:E$635)/1000,0))</f>
        <v/>
      </c>
      <c r="F264" s="111" t="str" cm="1">
        <f t="array" ref="F264">INDEX(Data!F$3:F$635,MATCH(SMALL(IFERROR(SEARCH(,Data!F$3:F$635),10^9)+ROW(Data!F$3:F$635)/1000,ROWS(F$3:F264)),IFERROR(SEARCH(,Data!F$3:F$635),10^9)+ROW(Data!F$3:F$635)/1000,0))</f>
        <v/>
      </c>
      <c r="G264" s="111" t="str" cm="1">
        <f t="array" ref="G264">INDEX(Data!G$3:G$635,MATCH(SMALL(IFERROR(SEARCH(,Data!G$3:G$635),10^9)+ROW(Data!G$3:G$635)/1000,ROWS(G$3:G264)),IFERROR(SEARCH(,Data!G$3:G$635),10^9)+ROW(Data!G$3:G$635)/1000,0))</f>
        <v/>
      </c>
      <c r="H264" s="623" t="str" cm="1">
        <f t="array" ref="H264">INDEX(Data!I$3:I$635,MATCH(SMALL(IFERROR(SEARCH(,Data!I$3:I$635),10^9)+ROW(Data!I$3:I$635)/1000,ROWS(H$3:H264)),IFERROR(SEARCH(,Data!I$3:I$635),10^9)+ROW(Data!I$3:I$635)/1000,0))</f>
        <v/>
      </c>
    </row>
    <row r="265" spans="1:8" ht="45.75" customHeight="1" x14ac:dyDescent="0.25">
      <c r="A265" s="108" t="str">
        <f>IFERROR(INDEX(Data!A$3:A$635,MATCH(IF(B265="","END",B265),Data!$B$3:$B$635,0)),"")</f>
        <v/>
      </c>
      <c r="B265" s="108" t="str" cm="1">
        <f t="array" ref="B265">INDEX(Data!B$3:B$635,MATCH(SMALL(IFERROR(SEARCH(,Data!B$3:B$635),10^9)+ROW(Data!B$3:B$635)/1000,ROWS(B$3:B265)),IFERROR(SEARCH(,Data!B$3:B$635),10^9)+ROW(Data!B$3:B$635)/1000,0))</f>
        <v/>
      </c>
      <c r="C265" s="317" t="str" cm="1">
        <f t="array" ref="C265">INDEX(Data!C$3:C$635,MATCH(SMALL(IFERROR(SEARCH(,Data!C$3:C$635),10^9)+ROW(Data!C$3:C$635)/1000,ROWS(C$3:C265)),IFERROR(SEARCH(,Data!C$3:C$635),10^9)+ROW(Data!C$3:C$635)/1000,0))</f>
        <v/>
      </c>
      <c r="D265" s="111" t="str">
        <f t="shared" ref="D265:D300" si="4">IFERROR(E265-F265,"")</f>
        <v/>
      </c>
      <c r="E265" s="111" t="str" cm="1">
        <f t="array" ref="E265">INDEX(Data!E$3:E$635,MATCH(SMALL(IFERROR(SEARCH(,Data!E$3:E$635),10^9)+ROW(Data!E$3:E$635)/1000,ROWS(E$3:E265)),IFERROR(SEARCH(,Data!E$3:E$635),10^9)+ROW(Data!E$3:E$635)/1000,0))</f>
        <v/>
      </c>
      <c r="F265" s="111" t="str" cm="1">
        <f t="array" ref="F265">INDEX(Data!F$3:F$635,MATCH(SMALL(IFERROR(SEARCH(,Data!F$3:F$635),10^9)+ROW(Data!F$3:F$635)/1000,ROWS(F$3:F265)),IFERROR(SEARCH(,Data!F$3:F$635),10^9)+ROW(Data!F$3:F$635)/1000,0))</f>
        <v/>
      </c>
      <c r="G265" s="111" t="str" cm="1">
        <f t="array" ref="G265">INDEX(Data!G$3:G$635,MATCH(SMALL(IFERROR(SEARCH(,Data!G$3:G$635),10^9)+ROW(Data!G$3:G$635)/1000,ROWS(G$3:G265)),IFERROR(SEARCH(,Data!G$3:G$635),10^9)+ROW(Data!G$3:G$635)/1000,0))</f>
        <v/>
      </c>
      <c r="H265" s="623" t="str" cm="1">
        <f t="array" ref="H265">INDEX(Data!I$3:I$635,MATCH(SMALL(IFERROR(SEARCH(,Data!I$3:I$635),10^9)+ROW(Data!I$3:I$635)/1000,ROWS(H$3:H265)),IFERROR(SEARCH(,Data!I$3:I$635),10^9)+ROW(Data!I$3:I$635)/1000,0))</f>
        <v/>
      </c>
    </row>
    <row r="266" spans="1:8" ht="45.75" customHeight="1" x14ac:dyDescent="0.25">
      <c r="A266" s="108" t="str">
        <f>IFERROR(INDEX(Data!A$3:A$635,MATCH(IF(B266="","END",B266),Data!$B$3:$B$635,0)),"")</f>
        <v/>
      </c>
      <c r="B266" s="108" t="str" cm="1">
        <f t="array" ref="B266">INDEX(Data!B$3:B$635,MATCH(SMALL(IFERROR(SEARCH(,Data!B$3:B$635),10^9)+ROW(Data!B$3:B$635)/1000,ROWS(B$3:B266)),IFERROR(SEARCH(,Data!B$3:B$635),10^9)+ROW(Data!B$3:B$635)/1000,0))</f>
        <v/>
      </c>
      <c r="C266" s="317" t="str" cm="1">
        <f t="array" ref="C266">INDEX(Data!C$3:C$635,MATCH(SMALL(IFERROR(SEARCH(,Data!C$3:C$635),10^9)+ROW(Data!C$3:C$635)/1000,ROWS(C$3:C266)),IFERROR(SEARCH(,Data!C$3:C$635),10^9)+ROW(Data!C$3:C$635)/1000,0))</f>
        <v/>
      </c>
      <c r="D266" s="111" t="str">
        <f t="shared" si="4"/>
        <v/>
      </c>
      <c r="E266" s="111" t="str" cm="1">
        <f t="array" ref="E266">INDEX(Data!E$3:E$635,MATCH(SMALL(IFERROR(SEARCH(,Data!E$3:E$635),10^9)+ROW(Data!E$3:E$635)/1000,ROWS(E$3:E266)),IFERROR(SEARCH(,Data!E$3:E$635),10^9)+ROW(Data!E$3:E$635)/1000,0))</f>
        <v/>
      </c>
      <c r="F266" s="111" t="str" cm="1">
        <f t="array" ref="F266">INDEX(Data!F$3:F$635,MATCH(SMALL(IFERROR(SEARCH(,Data!F$3:F$635),10^9)+ROW(Data!F$3:F$635)/1000,ROWS(F$3:F266)),IFERROR(SEARCH(,Data!F$3:F$635),10^9)+ROW(Data!F$3:F$635)/1000,0))</f>
        <v/>
      </c>
      <c r="G266" s="111" t="str" cm="1">
        <f t="array" ref="G266">INDEX(Data!G$3:G$635,MATCH(SMALL(IFERROR(SEARCH(,Data!G$3:G$635),10^9)+ROW(Data!G$3:G$635)/1000,ROWS(G$3:G266)),IFERROR(SEARCH(,Data!G$3:G$635),10^9)+ROW(Data!G$3:G$635)/1000,0))</f>
        <v/>
      </c>
      <c r="H266" s="623" t="str" cm="1">
        <f t="array" ref="H266">INDEX(Data!I$3:I$635,MATCH(SMALL(IFERROR(SEARCH(,Data!I$3:I$635),10^9)+ROW(Data!I$3:I$635)/1000,ROWS(H$3:H266)),IFERROR(SEARCH(,Data!I$3:I$635),10^9)+ROW(Data!I$3:I$635)/1000,0))</f>
        <v/>
      </c>
    </row>
    <row r="267" spans="1:8" ht="45.75" customHeight="1" x14ac:dyDescent="0.25">
      <c r="A267" s="108" t="str">
        <f>IFERROR(INDEX(Data!A$3:A$635,MATCH(IF(B267="","END",B267),Data!$B$3:$B$635,0)),"")</f>
        <v/>
      </c>
      <c r="B267" s="108" t="str" cm="1">
        <f t="array" ref="B267">INDEX(Data!B$3:B$635,MATCH(SMALL(IFERROR(SEARCH(,Data!B$3:B$635),10^9)+ROW(Data!B$3:B$635)/1000,ROWS(B$3:B267)),IFERROR(SEARCH(,Data!B$3:B$635),10^9)+ROW(Data!B$3:B$635)/1000,0))</f>
        <v/>
      </c>
      <c r="C267" s="317" t="str" cm="1">
        <f t="array" ref="C267">INDEX(Data!C$3:C$635,MATCH(SMALL(IFERROR(SEARCH(,Data!C$3:C$635),10^9)+ROW(Data!C$3:C$635)/1000,ROWS(C$3:C267)),IFERROR(SEARCH(,Data!C$3:C$635),10^9)+ROW(Data!C$3:C$635)/1000,0))</f>
        <v/>
      </c>
      <c r="D267" s="111" t="str">
        <f t="shared" si="4"/>
        <v/>
      </c>
      <c r="E267" s="111" t="str" cm="1">
        <f t="array" ref="E267">INDEX(Data!E$3:E$635,MATCH(SMALL(IFERROR(SEARCH(,Data!E$3:E$635),10^9)+ROW(Data!E$3:E$635)/1000,ROWS(E$3:E267)),IFERROR(SEARCH(,Data!E$3:E$635),10^9)+ROW(Data!E$3:E$635)/1000,0))</f>
        <v/>
      </c>
      <c r="F267" s="111" t="str" cm="1">
        <f t="array" ref="F267">INDEX(Data!F$3:F$635,MATCH(SMALL(IFERROR(SEARCH(,Data!F$3:F$635),10^9)+ROW(Data!F$3:F$635)/1000,ROWS(F$3:F267)),IFERROR(SEARCH(,Data!F$3:F$635),10^9)+ROW(Data!F$3:F$635)/1000,0))</f>
        <v/>
      </c>
      <c r="G267" s="111" t="str" cm="1">
        <f t="array" ref="G267">INDEX(Data!G$3:G$635,MATCH(SMALL(IFERROR(SEARCH(,Data!G$3:G$635),10^9)+ROW(Data!G$3:G$635)/1000,ROWS(G$3:G267)),IFERROR(SEARCH(,Data!G$3:G$635),10^9)+ROW(Data!G$3:G$635)/1000,0))</f>
        <v/>
      </c>
      <c r="H267" s="623" cm="1">
        <f t="array" ref="H267">INDEX(Data!I$3:I$635,MATCH(SMALL(IFERROR(SEARCH(,Data!I$3:I$635),10^9)+ROW(Data!I$3:I$635)/1000,ROWS(H$3:H267)),IFERROR(SEARCH(,Data!I$3:I$635),10^9)+ROW(Data!I$3:I$635)/1000,0))</f>
        <v>0</v>
      </c>
    </row>
    <row r="268" spans="1:8" ht="45.75" customHeight="1" x14ac:dyDescent="0.25">
      <c r="A268" s="108" t="str">
        <f>IFERROR(INDEX(Data!A$3:A$635,MATCH(IF(B268="","END",B268),Data!$B$3:$B$635,0)),"")</f>
        <v/>
      </c>
      <c r="B268" s="108" t="str" cm="1">
        <f t="array" ref="B268">INDEX(Data!B$3:B$635,MATCH(SMALL(IFERROR(SEARCH(,Data!B$3:B$635),10^9)+ROW(Data!B$3:B$635)/1000,ROWS(B$3:B268)),IFERROR(SEARCH(,Data!B$3:B$635),10^9)+ROW(Data!B$3:B$635)/1000,0))</f>
        <v/>
      </c>
      <c r="C268" s="317" t="str" cm="1">
        <f t="array" ref="C268">INDEX(Data!C$3:C$635,MATCH(SMALL(IFERROR(SEARCH(,Data!C$3:C$635),10^9)+ROW(Data!C$3:C$635)/1000,ROWS(C$3:C268)),IFERROR(SEARCH(,Data!C$3:C$635),10^9)+ROW(Data!C$3:C$635)/1000,0))</f>
        <v/>
      </c>
      <c r="D268" s="111" t="str">
        <f t="shared" si="4"/>
        <v/>
      </c>
      <c r="E268" s="111" t="str" cm="1">
        <f t="array" ref="E268">INDEX(Data!E$3:E$635,MATCH(SMALL(IFERROR(SEARCH(,Data!E$3:E$635),10^9)+ROW(Data!E$3:E$635)/1000,ROWS(E$3:E268)),IFERROR(SEARCH(,Data!E$3:E$635),10^9)+ROW(Data!E$3:E$635)/1000,0))</f>
        <v/>
      </c>
      <c r="F268" s="111" t="str" cm="1">
        <f t="array" ref="F268">INDEX(Data!F$3:F$635,MATCH(SMALL(IFERROR(SEARCH(,Data!F$3:F$635),10^9)+ROW(Data!F$3:F$635)/1000,ROWS(F$3:F268)),IFERROR(SEARCH(,Data!F$3:F$635),10^9)+ROW(Data!F$3:F$635)/1000,0))</f>
        <v/>
      </c>
      <c r="G268" s="111" t="str" cm="1">
        <f t="array" ref="G268">INDEX(Data!G$3:G$635,MATCH(SMALL(IFERROR(SEARCH(,Data!G$3:G$635),10^9)+ROW(Data!G$3:G$635)/1000,ROWS(G$3:G268)),IFERROR(SEARCH(,Data!G$3:G$635),10^9)+ROW(Data!G$3:G$635)/1000,0))</f>
        <v/>
      </c>
      <c r="H268" s="623" cm="1">
        <f t="array" ref="H268">INDEX(Data!I$3:I$635,MATCH(SMALL(IFERROR(SEARCH(,Data!I$3:I$635),10^9)+ROW(Data!I$3:I$635)/1000,ROWS(H$3:H268)),IFERROR(SEARCH(,Data!I$3:I$635),10^9)+ROW(Data!I$3:I$635)/1000,0))</f>
        <v>0</v>
      </c>
    </row>
    <row r="269" spans="1:8" ht="45.75" customHeight="1" x14ac:dyDescent="0.25">
      <c r="A269" s="108" t="str">
        <f>IFERROR(INDEX(Data!A$3:A$635,MATCH(IF(B269="","END",B269),Data!$B$3:$B$635,0)),"")</f>
        <v/>
      </c>
      <c r="B269" s="108" t="str" cm="1">
        <f t="array" ref="B269">INDEX(Data!B$3:B$635,MATCH(SMALL(IFERROR(SEARCH(,Data!B$3:B$635),10^9)+ROW(Data!B$3:B$635)/1000,ROWS(B$3:B269)),IFERROR(SEARCH(,Data!B$3:B$635),10^9)+ROW(Data!B$3:B$635)/1000,0))</f>
        <v/>
      </c>
      <c r="C269" s="317" t="str" cm="1">
        <f t="array" ref="C269">INDEX(Data!C$3:C$635,MATCH(SMALL(IFERROR(SEARCH(,Data!C$3:C$635),10^9)+ROW(Data!C$3:C$635)/1000,ROWS(C$3:C269)),IFERROR(SEARCH(,Data!C$3:C$635),10^9)+ROW(Data!C$3:C$635)/1000,0))</f>
        <v/>
      </c>
      <c r="D269" s="111" t="str">
        <f t="shared" si="4"/>
        <v/>
      </c>
      <c r="E269" s="111" t="str" cm="1">
        <f t="array" ref="E269">INDEX(Data!E$3:E$635,MATCH(SMALL(IFERROR(SEARCH(,Data!E$3:E$635),10^9)+ROW(Data!E$3:E$635)/1000,ROWS(E$3:E269)),IFERROR(SEARCH(,Data!E$3:E$635),10^9)+ROW(Data!E$3:E$635)/1000,0))</f>
        <v/>
      </c>
      <c r="F269" s="111" t="str" cm="1">
        <f t="array" ref="F269">INDEX(Data!F$3:F$635,MATCH(SMALL(IFERROR(SEARCH(,Data!F$3:F$635),10^9)+ROW(Data!F$3:F$635)/1000,ROWS(F$3:F269)),IFERROR(SEARCH(,Data!F$3:F$635),10^9)+ROW(Data!F$3:F$635)/1000,0))</f>
        <v/>
      </c>
      <c r="G269" s="111" t="str" cm="1">
        <f t="array" ref="G269">INDEX(Data!G$3:G$635,MATCH(SMALL(IFERROR(SEARCH(,Data!G$3:G$635),10^9)+ROW(Data!G$3:G$635)/1000,ROWS(G$3:G269)),IFERROR(SEARCH(,Data!G$3:G$635),10^9)+ROW(Data!G$3:G$635)/1000,0))</f>
        <v/>
      </c>
      <c r="H269" s="623" cm="1">
        <f t="array" ref="H269">INDEX(Data!I$3:I$635,MATCH(SMALL(IFERROR(SEARCH(,Data!I$3:I$635),10^9)+ROW(Data!I$3:I$635)/1000,ROWS(H$3:H269)),IFERROR(SEARCH(,Data!I$3:I$635),10^9)+ROW(Data!I$3:I$635)/1000,0))</f>
        <v>0</v>
      </c>
    </row>
    <row r="270" spans="1:8" ht="45.75" customHeight="1" x14ac:dyDescent="0.25">
      <c r="A270" s="108" t="str">
        <f>IFERROR(INDEX(Data!A$3:A$635,MATCH(IF(B270="","END",B270),Data!$B$3:$B$635,0)),"")</f>
        <v/>
      </c>
      <c r="B270" s="108" t="str" cm="1">
        <f t="array" ref="B270">INDEX(Data!B$3:B$635,MATCH(SMALL(IFERROR(SEARCH(,Data!B$3:B$635),10^9)+ROW(Data!B$3:B$635)/1000,ROWS(B$3:B270)),IFERROR(SEARCH(,Data!B$3:B$635),10^9)+ROW(Data!B$3:B$635)/1000,0))</f>
        <v/>
      </c>
      <c r="C270" s="317" t="str" cm="1">
        <f t="array" ref="C270">INDEX(Data!C$3:C$635,MATCH(SMALL(IFERROR(SEARCH(,Data!C$3:C$635),10^9)+ROW(Data!C$3:C$635)/1000,ROWS(C$3:C270)),IFERROR(SEARCH(,Data!C$3:C$635),10^9)+ROW(Data!C$3:C$635)/1000,0))</f>
        <v/>
      </c>
      <c r="D270" s="111" t="str">
        <f t="shared" si="4"/>
        <v/>
      </c>
      <c r="E270" s="111" t="str" cm="1">
        <f t="array" ref="E270">INDEX(Data!E$3:E$635,MATCH(SMALL(IFERROR(SEARCH(,Data!E$3:E$635),10^9)+ROW(Data!E$3:E$635)/1000,ROWS(E$3:E270)),IFERROR(SEARCH(,Data!E$3:E$635),10^9)+ROW(Data!E$3:E$635)/1000,0))</f>
        <v/>
      </c>
      <c r="F270" s="111" t="str" cm="1">
        <f t="array" ref="F270">INDEX(Data!F$3:F$635,MATCH(SMALL(IFERROR(SEARCH(,Data!F$3:F$635),10^9)+ROW(Data!F$3:F$635)/1000,ROWS(F$3:F270)),IFERROR(SEARCH(,Data!F$3:F$635),10^9)+ROW(Data!F$3:F$635)/1000,0))</f>
        <v/>
      </c>
      <c r="G270" s="111" t="str" cm="1">
        <f t="array" ref="G270">INDEX(Data!G$3:G$635,MATCH(SMALL(IFERROR(SEARCH(,Data!G$3:G$635),10^9)+ROW(Data!G$3:G$635)/1000,ROWS(G$3:G270)),IFERROR(SEARCH(,Data!G$3:G$635),10^9)+ROW(Data!G$3:G$635)/1000,0))</f>
        <v/>
      </c>
      <c r="H270" s="623" cm="1">
        <f t="array" ref="H270">INDEX(Data!I$3:I$635,MATCH(SMALL(IFERROR(SEARCH(,Data!I$3:I$635),10^9)+ROW(Data!I$3:I$635)/1000,ROWS(H$3:H270)),IFERROR(SEARCH(,Data!I$3:I$635),10^9)+ROW(Data!I$3:I$635)/1000,0))</f>
        <v>0</v>
      </c>
    </row>
    <row r="271" spans="1:8" ht="45.75" customHeight="1" x14ac:dyDescent="0.25">
      <c r="A271" s="108" t="str">
        <f>IFERROR(INDEX(Data!A$3:A$635,MATCH(IF(B271="","END",B271),Data!$B$3:$B$635,0)),"")</f>
        <v/>
      </c>
      <c r="B271" s="108" t="str" cm="1">
        <f t="array" ref="B271">INDEX(Data!B$3:B$635,MATCH(SMALL(IFERROR(SEARCH(,Data!B$3:B$635),10^9)+ROW(Data!B$3:B$635)/1000,ROWS(B$3:B271)),IFERROR(SEARCH(,Data!B$3:B$635),10^9)+ROW(Data!B$3:B$635)/1000,0))</f>
        <v/>
      </c>
      <c r="C271" s="317" t="str" cm="1">
        <f t="array" ref="C271">INDEX(Data!C$3:C$635,MATCH(SMALL(IFERROR(SEARCH(,Data!C$3:C$635),10^9)+ROW(Data!C$3:C$635)/1000,ROWS(C$3:C271)),IFERROR(SEARCH(,Data!C$3:C$635),10^9)+ROW(Data!C$3:C$635)/1000,0))</f>
        <v/>
      </c>
      <c r="D271" s="111" t="str">
        <f t="shared" si="4"/>
        <v/>
      </c>
      <c r="E271" s="111" t="str" cm="1">
        <f t="array" ref="E271">INDEX(Data!E$3:E$635,MATCH(SMALL(IFERROR(SEARCH(,Data!E$3:E$635),10^9)+ROW(Data!E$3:E$635)/1000,ROWS(E$3:E271)),IFERROR(SEARCH(,Data!E$3:E$635),10^9)+ROW(Data!E$3:E$635)/1000,0))</f>
        <v/>
      </c>
      <c r="F271" s="111" t="str" cm="1">
        <f t="array" ref="F271">INDEX(Data!F$3:F$635,MATCH(SMALL(IFERROR(SEARCH(,Data!F$3:F$635),10^9)+ROW(Data!F$3:F$635)/1000,ROWS(F$3:F271)),IFERROR(SEARCH(,Data!F$3:F$635),10^9)+ROW(Data!F$3:F$635)/1000,0))</f>
        <v/>
      </c>
      <c r="G271" s="111" t="str" cm="1">
        <f t="array" ref="G271">INDEX(Data!G$3:G$635,MATCH(SMALL(IFERROR(SEARCH(,Data!G$3:G$635),10^9)+ROW(Data!G$3:G$635)/1000,ROWS(G$3:G271)),IFERROR(SEARCH(,Data!G$3:G$635),10^9)+ROW(Data!G$3:G$635)/1000,0))</f>
        <v/>
      </c>
      <c r="H271" s="623" cm="1">
        <f t="array" ref="H271">INDEX(Data!I$3:I$635,MATCH(SMALL(IFERROR(SEARCH(,Data!I$3:I$635),10^9)+ROW(Data!I$3:I$635)/1000,ROWS(H$3:H271)),IFERROR(SEARCH(,Data!I$3:I$635),10^9)+ROW(Data!I$3:I$635)/1000,0))</f>
        <v>0</v>
      </c>
    </row>
    <row r="272" spans="1:8" ht="45.75" customHeight="1" x14ac:dyDescent="0.25">
      <c r="A272" s="108" t="str">
        <f>IFERROR(INDEX(Data!A$3:A$635,MATCH(IF(B272="","END",B272),Data!$B$3:$B$635,0)),"")</f>
        <v/>
      </c>
      <c r="B272" s="108" t="str" cm="1">
        <f t="array" ref="B272">INDEX(Data!B$3:B$635,MATCH(SMALL(IFERROR(SEARCH(,Data!B$3:B$635),10^9)+ROW(Data!B$3:B$635)/1000,ROWS(B$3:B272)),IFERROR(SEARCH(,Data!B$3:B$635),10^9)+ROW(Data!B$3:B$635)/1000,0))</f>
        <v/>
      </c>
      <c r="C272" s="317" t="str" cm="1">
        <f t="array" ref="C272">INDEX(Data!C$3:C$635,MATCH(SMALL(IFERROR(SEARCH(,Data!C$3:C$635),10^9)+ROW(Data!C$3:C$635)/1000,ROWS(C$3:C272)),IFERROR(SEARCH(,Data!C$3:C$635),10^9)+ROW(Data!C$3:C$635)/1000,0))</f>
        <v/>
      </c>
      <c r="D272" s="111" t="str">
        <f t="shared" si="4"/>
        <v/>
      </c>
      <c r="E272" s="111" t="str" cm="1">
        <f t="array" ref="E272">INDEX(Data!E$3:E$635,MATCH(SMALL(IFERROR(SEARCH(,Data!E$3:E$635),10^9)+ROW(Data!E$3:E$635)/1000,ROWS(E$3:E272)),IFERROR(SEARCH(,Data!E$3:E$635),10^9)+ROW(Data!E$3:E$635)/1000,0))</f>
        <v/>
      </c>
      <c r="F272" s="111" t="str" cm="1">
        <f t="array" ref="F272">INDEX(Data!F$3:F$635,MATCH(SMALL(IFERROR(SEARCH(,Data!F$3:F$635),10^9)+ROW(Data!F$3:F$635)/1000,ROWS(F$3:F272)),IFERROR(SEARCH(,Data!F$3:F$635),10^9)+ROW(Data!F$3:F$635)/1000,0))</f>
        <v/>
      </c>
      <c r="G272" s="111" t="str" cm="1">
        <f t="array" ref="G272">INDEX(Data!G$3:G$635,MATCH(SMALL(IFERROR(SEARCH(,Data!G$3:G$635),10^9)+ROW(Data!G$3:G$635)/1000,ROWS(G$3:G272)),IFERROR(SEARCH(,Data!G$3:G$635),10^9)+ROW(Data!G$3:G$635)/1000,0))</f>
        <v/>
      </c>
      <c r="H272" s="623" cm="1">
        <f t="array" ref="H272">INDEX(Data!I$3:I$635,MATCH(SMALL(IFERROR(SEARCH(,Data!I$3:I$635),10^9)+ROW(Data!I$3:I$635)/1000,ROWS(H$3:H272)),IFERROR(SEARCH(,Data!I$3:I$635),10^9)+ROW(Data!I$3:I$635)/1000,0))</f>
        <v>0</v>
      </c>
    </row>
    <row r="273" spans="1:8" ht="45.75" customHeight="1" x14ac:dyDescent="0.25">
      <c r="A273" s="108" t="str">
        <f>IFERROR(INDEX(Data!A$3:A$635,MATCH(IF(B273="","END",B273),Data!$B$3:$B$635,0)),"")</f>
        <v/>
      </c>
      <c r="B273" s="108" t="str" cm="1">
        <f t="array" ref="B273">INDEX(Data!B$3:B$635,MATCH(SMALL(IFERROR(SEARCH(,Data!B$3:B$635),10^9)+ROW(Data!B$3:B$635)/1000,ROWS(B$3:B273)),IFERROR(SEARCH(,Data!B$3:B$635),10^9)+ROW(Data!B$3:B$635)/1000,0))</f>
        <v/>
      </c>
      <c r="C273" s="317" t="str" cm="1">
        <f t="array" ref="C273">INDEX(Data!C$3:C$635,MATCH(SMALL(IFERROR(SEARCH(,Data!C$3:C$635),10^9)+ROW(Data!C$3:C$635)/1000,ROWS(C$3:C273)),IFERROR(SEARCH(,Data!C$3:C$635),10^9)+ROW(Data!C$3:C$635)/1000,0))</f>
        <v/>
      </c>
      <c r="D273" s="111" t="str">
        <f t="shared" si="4"/>
        <v/>
      </c>
      <c r="E273" s="111" t="str" cm="1">
        <f t="array" ref="E273">INDEX(Data!E$3:E$635,MATCH(SMALL(IFERROR(SEARCH(,Data!E$3:E$635),10^9)+ROW(Data!E$3:E$635)/1000,ROWS(E$3:E273)),IFERROR(SEARCH(,Data!E$3:E$635),10^9)+ROW(Data!E$3:E$635)/1000,0))</f>
        <v/>
      </c>
      <c r="F273" s="111" t="str" cm="1">
        <f t="array" ref="F273">INDEX(Data!F$3:F$635,MATCH(SMALL(IFERROR(SEARCH(,Data!F$3:F$635),10^9)+ROW(Data!F$3:F$635)/1000,ROWS(F$3:F273)),IFERROR(SEARCH(,Data!F$3:F$635),10^9)+ROW(Data!F$3:F$635)/1000,0))</f>
        <v/>
      </c>
      <c r="G273" s="111" t="str" cm="1">
        <f t="array" ref="G273">INDEX(Data!G$3:G$635,MATCH(SMALL(IFERROR(SEARCH(,Data!G$3:G$635),10^9)+ROW(Data!G$3:G$635)/1000,ROWS(G$3:G273)),IFERROR(SEARCH(,Data!G$3:G$635),10^9)+ROW(Data!G$3:G$635)/1000,0))</f>
        <v/>
      </c>
      <c r="H273" s="623" cm="1">
        <f t="array" ref="H273">INDEX(Data!I$3:I$635,MATCH(SMALL(IFERROR(SEARCH(,Data!I$3:I$635),10^9)+ROW(Data!I$3:I$635)/1000,ROWS(H$3:H273)),IFERROR(SEARCH(,Data!I$3:I$635),10^9)+ROW(Data!I$3:I$635)/1000,0))</f>
        <v>0</v>
      </c>
    </row>
    <row r="274" spans="1:8" ht="45.75" customHeight="1" x14ac:dyDescent="0.25">
      <c r="A274" s="108" t="str">
        <f>IFERROR(INDEX(Data!A$3:A$635,MATCH(IF(B274="","END",B274),Data!$B$3:$B$635,0)),"")</f>
        <v/>
      </c>
      <c r="B274" s="108" t="str" cm="1">
        <f t="array" ref="B274">INDEX(Data!B$3:B$635,MATCH(SMALL(IFERROR(SEARCH(,Data!B$3:B$635),10^9)+ROW(Data!B$3:B$635)/1000,ROWS(B$3:B274)),IFERROR(SEARCH(,Data!B$3:B$635),10^9)+ROW(Data!B$3:B$635)/1000,0))</f>
        <v/>
      </c>
      <c r="C274" s="317" t="str" cm="1">
        <f t="array" ref="C274">INDEX(Data!C$3:C$635,MATCH(SMALL(IFERROR(SEARCH(,Data!C$3:C$635),10^9)+ROW(Data!C$3:C$635)/1000,ROWS(C$3:C274)),IFERROR(SEARCH(,Data!C$3:C$635),10^9)+ROW(Data!C$3:C$635)/1000,0))</f>
        <v/>
      </c>
      <c r="D274" s="111" t="str">
        <f t="shared" si="4"/>
        <v/>
      </c>
      <c r="E274" s="111" t="str" cm="1">
        <f t="array" ref="E274">INDEX(Data!E$3:E$635,MATCH(SMALL(IFERROR(SEARCH(,Data!E$3:E$635),10^9)+ROW(Data!E$3:E$635)/1000,ROWS(E$3:E274)),IFERROR(SEARCH(,Data!E$3:E$635),10^9)+ROW(Data!E$3:E$635)/1000,0))</f>
        <v/>
      </c>
      <c r="F274" s="111" t="str" cm="1">
        <f t="array" ref="F274">INDEX(Data!F$3:F$635,MATCH(SMALL(IFERROR(SEARCH(,Data!F$3:F$635),10^9)+ROW(Data!F$3:F$635)/1000,ROWS(F$3:F274)),IFERROR(SEARCH(,Data!F$3:F$635),10^9)+ROW(Data!F$3:F$635)/1000,0))</f>
        <v/>
      </c>
      <c r="G274" s="111" t="str" cm="1">
        <f t="array" ref="G274">INDEX(Data!G$3:G$635,MATCH(SMALL(IFERROR(SEARCH(,Data!G$3:G$635),10^9)+ROW(Data!G$3:G$635)/1000,ROWS(G$3:G274)),IFERROR(SEARCH(,Data!G$3:G$635),10^9)+ROW(Data!G$3:G$635)/1000,0))</f>
        <v/>
      </c>
      <c r="H274" s="623" cm="1">
        <f t="array" ref="H274">INDEX(Data!I$3:I$635,MATCH(SMALL(IFERROR(SEARCH(,Data!I$3:I$635),10^9)+ROW(Data!I$3:I$635)/1000,ROWS(H$3:H274)),IFERROR(SEARCH(,Data!I$3:I$635),10^9)+ROW(Data!I$3:I$635)/1000,0))</f>
        <v>0</v>
      </c>
    </row>
    <row r="275" spans="1:8" ht="45.75" customHeight="1" x14ac:dyDescent="0.25">
      <c r="A275" s="108" t="str">
        <f>IFERROR(INDEX(Data!A$3:A$635,MATCH(IF(B275="","END",B275),Data!$B$3:$B$635,0)),"")</f>
        <v/>
      </c>
      <c r="B275" s="108" t="str" cm="1">
        <f t="array" ref="B275">INDEX(Data!B$3:B$635,MATCH(SMALL(IFERROR(SEARCH(,Data!B$3:B$635),10^9)+ROW(Data!B$3:B$635)/1000,ROWS(B$3:B275)),IFERROR(SEARCH(,Data!B$3:B$635),10^9)+ROW(Data!B$3:B$635)/1000,0))</f>
        <v/>
      </c>
      <c r="C275" s="317" t="str" cm="1">
        <f t="array" ref="C275">INDEX(Data!C$3:C$635,MATCH(SMALL(IFERROR(SEARCH(,Data!C$3:C$635),10^9)+ROW(Data!C$3:C$635)/1000,ROWS(C$3:C275)),IFERROR(SEARCH(,Data!C$3:C$635),10^9)+ROW(Data!C$3:C$635)/1000,0))</f>
        <v/>
      </c>
      <c r="D275" s="111" t="str">
        <f t="shared" si="4"/>
        <v/>
      </c>
      <c r="E275" s="111" t="str" cm="1">
        <f t="array" ref="E275">INDEX(Data!E$3:E$635,MATCH(SMALL(IFERROR(SEARCH(,Data!E$3:E$635),10^9)+ROW(Data!E$3:E$635)/1000,ROWS(E$3:E275)),IFERROR(SEARCH(,Data!E$3:E$635),10^9)+ROW(Data!E$3:E$635)/1000,0))</f>
        <v/>
      </c>
      <c r="F275" s="111" t="str" cm="1">
        <f t="array" ref="F275">INDEX(Data!F$3:F$635,MATCH(SMALL(IFERROR(SEARCH(,Data!F$3:F$635),10^9)+ROW(Data!F$3:F$635)/1000,ROWS(F$3:F275)),IFERROR(SEARCH(,Data!F$3:F$635),10^9)+ROW(Data!F$3:F$635)/1000,0))</f>
        <v/>
      </c>
      <c r="G275" s="111" t="str" cm="1">
        <f t="array" ref="G275">INDEX(Data!G$3:G$635,MATCH(SMALL(IFERROR(SEARCH(,Data!G$3:G$635),10^9)+ROW(Data!G$3:G$635)/1000,ROWS(G$3:G275)),IFERROR(SEARCH(,Data!G$3:G$635),10^9)+ROW(Data!G$3:G$635)/1000,0))</f>
        <v/>
      </c>
      <c r="H275" s="623" cm="1">
        <f t="array" ref="H275">INDEX(Data!I$3:I$635,MATCH(SMALL(IFERROR(SEARCH(,Data!I$3:I$635),10^9)+ROW(Data!I$3:I$635)/1000,ROWS(H$3:H275)),IFERROR(SEARCH(,Data!I$3:I$635),10^9)+ROW(Data!I$3:I$635)/1000,0))</f>
        <v>0</v>
      </c>
    </row>
    <row r="276" spans="1:8" ht="45.75" customHeight="1" x14ac:dyDescent="0.25">
      <c r="A276" s="108" t="str">
        <f>IFERROR(INDEX(Data!A$3:A$635,MATCH(IF(B276="","END",B276),Data!$B$3:$B$635,0)),"")</f>
        <v/>
      </c>
      <c r="B276" s="108" t="str" cm="1">
        <f t="array" ref="B276">INDEX(Data!B$3:B$635,MATCH(SMALL(IFERROR(SEARCH(,Data!B$3:B$635),10^9)+ROW(Data!B$3:B$635)/1000,ROWS(B$3:B276)),IFERROR(SEARCH(,Data!B$3:B$635),10^9)+ROW(Data!B$3:B$635)/1000,0))</f>
        <v/>
      </c>
      <c r="C276" s="317" t="str" cm="1">
        <f t="array" ref="C276">INDEX(Data!C$3:C$635,MATCH(SMALL(IFERROR(SEARCH(,Data!C$3:C$635),10^9)+ROW(Data!C$3:C$635)/1000,ROWS(C$3:C276)),IFERROR(SEARCH(,Data!C$3:C$635),10^9)+ROW(Data!C$3:C$635)/1000,0))</f>
        <v/>
      </c>
      <c r="D276" s="111" t="str">
        <f t="shared" si="4"/>
        <v/>
      </c>
      <c r="E276" s="111" t="str" cm="1">
        <f t="array" ref="E276">INDEX(Data!E$3:E$635,MATCH(SMALL(IFERROR(SEARCH(,Data!E$3:E$635),10^9)+ROW(Data!E$3:E$635)/1000,ROWS(E$3:E276)),IFERROR(SEARCH(,Data!E$3:E$635),10^9)+ROW(Data!E$3:E$635)/1000,0))</f>
        <v/>
      </c>
      <c r="F276" s="111" t="str" cm="1">
        <f t="array" ref="F276">INDEX(Data!F$3:F$635,MATCH(SMALL(IFERROR(SEARCH(,Data!F$3:F$635),10^9)+ROW(Data!F$3:F$635)/1000,ROWS(F$3:F276)),IFERROR(SEARCH(,Data!F$3:F$635),10^9)+ROW(Data!F$3:F$635)/1000,0))</f>
        <v/>
      </c>
      <c r="G276" s="111" t="str" cm="1">
        <f t="array" ref="G276">INDEX(Data!G$3:G$635,MATCH(SMALL(IFERROR(SEARCH(,Data!G$3:G$635),10^9)+ROW(Data!G$3:G$635)/1000,ROWS(G$3:G276)),IFERROR(SEARCH(,Data!G$3:G$635),10^9)+ROW(Data!G$3:G$635)/1000,0))</f>
        <v/>
      </c>
      <c r="H276" s="623" cm="1">
        <f t="array" ref="H276">INDEX(Data!I$3:I$635,MATCH(SMALL(IFERROR(SEARCH(,Data!I$3:I$635),10^9)+ROW(Data!I$3:I$635)/1000,ROWS(H$3:H276)),IFERROR(SEARCH(,Data!I$3:I$635),10^9)+ROW(Data!I$3:I$635)/1000,0))</f>
        <v>0</v>
      </c>
    </row>
    <row r="277" spans="1:8" ht="45.75" customHeight="1" x14ac:dyDescent="0.25">
      <c r="A277" s="108" t="str">
        <f>IFERROR(INDEX(Data!A$3:A$635,MATCH(IF(B277="","END",B277),Data!$B$3:$B$635,0)),"")</f>
        <v/>
      </c>
      <c r="B277" s="108" t="str" cm="1">
        <f t="array" ref="B277">INDEX(Data!B$3:B$635,MATCH(SMALL(IFERROR(SEARCH(,Data!B$3:B$635),10^9)+ROW(Data!B$3:B$635)/1000,ROWS(B$3:B277)),IFERROR(SEARCH(,Data!B$3:B$635),10^9)+ROW(Data!B$3:B$635)/1000,0))</f>
        <v/>
      </c>
      <c r="C277" s="317" t="str" cm="1">
        <f t="array" ref="C277">INDEX(Data!C$3:C$635,MATCH(SMALL(IFERROR(SEARCH(,Data!C$3:C$635),10^9)+ROW(Data!C$3:C$635)/1000,ROWS(C$3:C277)),IFERROR(SEARCH(,Data!C$3:C$635),10^9)+ROW(Data!C$3:C$635)/1000,0))</f>
        <v/>
      </c>
      <c r="D277" s="111" t="str">
        <f t="shared" si="4"/>
        <v/>
      </c>
      <c r="E277" s="111" t="str" cm="1">
        <f t="array" ref="E277">INDEX(Data!E$3:E$635,MATCH(SMALL(IFERROR(SEARCH(,Data!E$3:E$635),10^9)+ROW(Data!E$3:E$635)/1000,ROWS(E$3:E277)),IFERROR(SEARCH(,Data!E$3:E$635),10^9)+ROW(Data!E$3:E$635)/1000,0))</f>
        <v/>
      </c>
      <c r="F277" s="111" t="str" cm="1">
        <f t="array" ref="F277">INDEX(Data!F$3:F$635,MATCH(SMALL(IFERROR(SEARCH(,Data!F$3:F$635),10^9)+ROW(Data!F$3:F$635)/1000,ROWS(F$3:F277)),IFERROR(SEARCH(,Data!F$3:F$635),10^9)+ROW(Data!F$3:F$635)/1000,0))</f>
        <v/>
      </c>
      <c r="G277" s="111" t="str" cm="1">
        <f t="array" ref="G277">INDEX(Data!G$3:G$635,MATCH(SMALL(IFERROR(SEARCH(,Data!G$3:G$635),10^9)+ROW(Data!G$3:G$635)/1000,ROWS(G$3:G277)),IFERROR(SEARCH(,Data!G$3:G$635),10^9)+ROW(Data!G$3:G$635)/1000,0))</f>
        <v/>
      </c>
      <c r="H277" s="623" cm="1">
        <f t="array" ref="H277">INDEX(Data!I$3:I$635,MATCH(SMALL(IFERROR(SEARCH(,Data!I$3:I$635),10^9)+ROW(Data!I$3:I$635)/1000,ROWS(H$3:H277)),IFERROR(SEARCH(,Data!I$3:I$635),10^9)+ROW(Data!I$3:I$635)/1000,0))</f>
        <v>0</v>
      </c>
    </row>
    <row r="278" spans="1:8" ht="45.75" customHeight="1" x14ac:dyDescent="0.25">
      <c r="A278" s="108" t="str">
        <f>IFERROR(INDEX(Data!A$3:A$635,MATCH(IF(B278="","END",B278),Data!$B$3:$B$635,0)),"")</f>
        <v/>
      </c>
      <c r="B278" s="108" t="str" cm="1">
        <f t="array" ref="B278">INDEX(Data!B$3:B$635,MATCH(SMALL(IFERROR(SEARCH(,Data!B$3:B$635),10^9)+ROW(Data!B$3:B$635)/1000,ROWS(B$3:B278)),IFERROR(SEARCH(,Data!B$3:B$635),10^9)+ROW(Data!B$3:B$635)/1000,0))</f>
        <v/>
      </c>
      <c r="C278" s="317" t="str" cm="1">
        <f t="array" ref="C278">INDEX(Data!C$3:C$635,MATCH(SMALL(IFERROR(SEARCH(,Data!C$3:C$635),10^9)+ROW(Data!C$3:C$635)/1000,ROWS(C$3:C278)),IFERROR(SEARCH(,Data!C$3:C$635),10^9)+ROW(Data!C$3:C$635)/1000,0))</f>
        <v/>
      </c>
      <c r="D278" s="111" t="str">
        <f t="shared" si="4"/>
        <v/>
      </c>
      <c r="E278" s="111" t="str" cm="1">
        <f t="array" ref="E278">INDEX(Data!E$3:E$635,MATCH(SMALL(IFERROR(SEARCH(,Data!E$3:E$635),10^9)+ROW(Data!E$3:E$635)/1000,ROWS(E$3:E278)),IFERROR(SEARCH(,Data!E$3:E$635),10^9)+ROW(Data!E$3:E$635)/1000,0))</f>
        <v/>
      </c>
      <c r="F278" s="111" t="str" cm="1">
        <f t="array" ref="F278">INDEX(Data!F$3:F$635,MATCH(SMALL(IFERROR(SEARCH(,Data!F$3:F$635),10^9)+ROW(Data!F$3:F$635)/1000,ROWS(F$3:F278)),IFERROR(SEARCH(,Data!F$3:F$635),10^9)+ROW(Data!F$3:F$635)/1000,0))</f>
        <v/>
      </c>
      <c r="G278" s="111" t="str" cm="1">
        <f t="array" ref="G278">INDEX(Data!G$3:G$635,MATCH(SMALL(IFERROR(SEARCH(,Data!G$3:G$635),10^9)+ROW(Data!G$3:G$635)/1000,ROWS(G$3:G278)),IFERROR(SEARCH(,Data!G$3:G$635),10^9)+ROW(Data!G$3:G$635)/1000,0))</f>
        <v/>
      </c>
      <c r="H278" s="623" cm="1">
        <f t="array" ref="H278">INDEX(Data!I$3:I$635,MATCH(SMALL(IFERROR(SEARCH(,Data!I$3:I$635),10^9)+ROW(Data!I$3:I$635)/1000,ROWS(H$3:H278)),IFERROR(SEARCH(,Data!I$3:I$635),10^9)+ROW(Data!I$3:I$635)/1000,0))</f>
        <v>0</v>
      </c>
    </row>
    <row r="279" spans="1:8" ht="45.75" customHeight="1" x14ac:dyDescent="0.25">
      <c r="A279" s="108" t="str">
        <f>IFERROR(INDEX(Data!A$3:A$635,MATCH(IF(B279="","END",B279),Data!$B$3:$B$635,0)),"")</f>
        <v/>
      </c>
      <c r="B279" s="108" t="str" cm="1">
        <f t="array" ref="B279">INDEX(Data!B$3:B$635,MATCH(SMALL(IFERROR(SEARCH(,Data!B$3:B$635),10^9)+ROW(Data!B$3:B$635)/1000,ROWS(B$3:B279)),IFERROR(SEARCH(,Data!B$3:B$635),10^9)+ROW(Data!B$3:B$635)/1000,0))</f>
        <v/>
      </c>
      <c r="C279" s="317" t="str" cm="1">
        <f t="array" ref="C279">INDEX(Data!C$3:C$635,MATCH(SMALL(IFERROR(SEARCH(,Data!C$3:C$635),10^9)+ROW(Data!C$3:C$635)/1000,ROWS(C$3:C279)),IFERROR(SEARCH(,Data!C$3:C$635),10^9)+ROW(Data!C$3:C$635)/1000,0))</f>
        <v/>
      </c>
      <c r="D279" s="111" t="str">
        <f t="shared" si="4"/>
        <v/>
      </c>
      <c r="E279" s="111" t="str" cm="1">
        <f t="array" ref="E279">INDEX(Data!E$3:E$635,MATCH(SMALL(IFERROR(SEARCH(,Data!E$3:E$635),10^9)+ROW(Data!E$3:E$635)/1000,ROWS(E$3:E279)),IFERROR(SEARCH(,Data!E$3:E$635),10^9)+ROW(Data!E$3:E$635)/1000,0))</f>
        <v/>
      </c>
      <c r="F279" s="111" t="str" cm="1">
        <f t="array" ref="F279">INDEX(Data!F$3:F$635,MATCH(SMALL(IFERROR(SEARCH(,Data!F$3:F$635),10^9)+ROW(Data!F$3:F$635)/1000,ROWS(F$3:F279)),IFERROR(SEARCH(,Data!F$3:F$635),10^9)+ROW(Data!F$3:F$635)/1000,0))</f>
        <v/>
      </c>
      <c r="G279" s="111" t="str" cm="1">
        <f t="array" ref="G279">INDEX(Data!G$3:G$635,MATCH(SMALL(IFERROR(SEARCH(,Data!G$3:G$635),10^9)+ROW(Data!G$3:G$635)/1000,ROWS(G$3:G279)),IFERROR(SEARCH(,Data!G$3:G$635),10^9)+ROW(Data!G$3:G$635)/1000,0))</f>
        <v/>
      </c>
      <c r="H279" s="623" cm="1">
        <f t="array" ref="H279">INDEX(Data!I$3:I$635,MATCH(SMALL(IFERROR(SEARCH(,Data!I$3:I$635),10^9)+ROW(Data!I$3:I$635)/1000,ROWS(H$3:H279)),IFERROR(SEARCH(,Data!I$3:I$635),10^9)+ROW(Data!I$3:I$635)/1000,0))</f>
        <v>0</v>
      </c>
    </row>
    <row r="280" spans="1:8" ht="45.75" customHeight="1" x14ac:dyDescent="0.25">
      <c r="A280" s="108" t="str">
        <f>IFERROR(INDEX(Data!A$3:A$635,MATCH(IF(B280="","END",B280),Data!$B$3:$B$635,0)),"")</f>
        <v/>
      </c>
      <c r="B280" s="108" t="str" cm="1">
        <f t="array" ref="B280">INDEX(Data!B$3:B$635,MATCH(SMALL(IFERROR(SEARCH(,Data!B$3:B$635),10^9)+ROW(Data!B$3:B$635)/1000,ROWS(B$3:B280)),IFERROR(SEARCH(,Data!B$3:B$635),10^9)+ROW(Data!B$3:B$635)/1000,0))</f>
        <v/>
      </c>
      <c r="C280" s="317" t="str" cm="1">
        <f t="array" ref="C280">INDEX(Data!C$3:C$635,MATCH(SMALL(IFERROR(SEARCH(,Data!C$3:C$635),10^9)+ROW(Data!C$3:C$635)/1000,ROWS(C$3:C280)),IFERROR(SEARCH(,Data!C$3:C$635),10^9)+ROW(Data!C$3:C$635)/1000,0))</f>
        <v/>
      </c>
      <c r="D280" s="111" t="str">
        <f t="shared" si="4"/>
        <v/>
      </c>
      <c r="E280" s="111" t="str" cm="1">
        <f t="array" ref="E280">INDEX(Data!E$3:E$635,MATCH(SMALL(IFERROR(SEARCH(,Data!E$3:E$635),10^9)+ROW(Data!E$3:E$635)/1000,ROWS(E$3:E280)),IFERROR(SEARCH(,Data!E$3:E$635),10^9)+ROW(Data!E$3:E$635)/1000,0))</f>
        <v/>
      </c>
      <c r="F280" s="111" t="str" cm="1">
        <f t="array" ref="F280">INDEX(Data!F$3:F$635,MATCH(SMALL(IFERROR(SEARCH(,Data!F$3:F$635),10^9)+ROW(Data!F$3:F$635)/1000,ROWS(F$3:F280)),IFERROR(SEARCH(,Data!F$3:F$635),10^9)+ROW(Data!F$3:F$635)/1000,0))</f>
        <v/>
      </c>
      <c r="G280" s="111" t="str" cm="1">
        <f t="array" ref="G280">INDEX(Data!G$3:G$635,MATCH(SMALL(IFERROR(SEARCH(,Data!G$3:G$635),10^9)+ROW(Data!G$3:G$635)/1000,ROWS(G$3:G280)),IFERROR(SEARCH(,Data!G$3:G$635),10^9)+ROW(Data!G$3:G$635)/1000,0))</f>
        <v/>
      </c>
      <c r="H280" s="623" cm="1">
        <f t="array" ref="H280">INDEX(Data!I$3:I$635,MATCH(SMALL(IFERROR(SEARCH(,Data!I$3:I$635),10^9)+ROW(Data!I$3:I$635)/1000,ROWS(H$3:H280)),IFERROR(SEARCH(,Data!I$3:I$635),10^9)+ROW(Data!I$3:I$635)/1000,0))</f>
        <v>0</v>
      </c>
    </row>
    <row r="281" spans="1:8" ht="45.75" customHeight="1" x14ac:dyDescent="0.25">
      <c r="A281" s="108" t="str">
        <f>IFERROR(INDEX(Data!A$3:A$635,MATCH(IF(B281="","END",B281),Data!$B$3:$B$635,0)),"")</f>
        <v/>
      </c>
      <c r="B281" s="108" t="str" cm="1">
        <f t="array" ref="B281">INDEX(Data!B$3:B$635,MATCH(SMALL(IFERROR(SEARCH(,Data!B$3:B$635),10^9)+ROW(Data!B$3:B$635)/1000,ROWS(B$3:B281)),IFERROR(SEARCH(,Data!B$3:B$635),10^9)+ROW(Data!B$3:B$635)/1000,0))</f>
        <v/>
      </c>
      <c r="C281" s="317" t="str" cm="1">
        <f t="array" ref="C281">INDEX(Data!C$3:C$635,MATCH(SMALL(IFERROR(SEARCH(,Data!C$3:C$635),10^9)+ROW(Data!C$3:C$635)/1000,ROWS(C$3:C281)),IFERROR(SEARCH(,Data!C$3:C$635),10^9)+ROW(Data!C$3:C$635)/1000,0))</f>
        <v/>
      </c>
      <c r="D281" s="111" t="str">
        <f t="shared" si="4"/>
        <v/>
      </c>
      <c r="E281" s="111" t="str" cm="1">
        <f t="array" ref="E281">INDEX(Data!E$3:E$635,MATCH(SMALL(IFERROR(SEARCH(,Data!E$3:E$635),10^9)+ROW(Data!E$3:E$635)/1000,ROWS(E$3:E281)),IFERROR(SEARCH(,Data!E$3:E$635),10^9)+ROW(Data!E$3:E$635)/1000,0))</f>
        <v/>
      </c>
      <c r="F281" s="111" t="str" cm="1">
        <f t="array" ref="F281">INDEX(Data!F$3:F$635,MATCH(SMALL(IFERROR(SEARCH(,Data!F$3:F$635),10^9)+ROW(Data!F$3:F$635)/1000,ROWS(F$3:F281)),IFERROR(SEARCH(,Data!F$3:F$635),10^9)+ROW(Data!F$3:F$635)/1000,0))</f>
        <v/>
      </c>
      <c r="G281" s="111" t="str" cm="1">
        <f t="array" ref="G281">INDEX(Data!G$3:G$635,MATCH(SMALL(IFERROR(SEARCH(,Data!G$3:G$635),10^9)+ROW(Data!G$3:G$635)/1000,ROWS(G$3:G281)),IFERROR(SEARCH(,Data!G$3:G$635),10^9)+ROW(Data!G$3:G$635)/1000,0))</f>
        <v/>
      </c>
      <c r="H281" s="623" cm="1">
        <f t="array" ref="H281">INDEX(Data!I$3:I$635,MATCH(SMALL(IFERROR(SEARCH(,Data!I$3:I$635),10^9)+ROW(Data!I$3:I$635)/1000,ROWS(H$3:H281)),IFERROR(SEARCH(,Data!I$3:I$635),10^9)+ROW(Data!I$3:I$635)/1000,0))</f>
        <v>0</v>
      </c>
    </row>
    <row r="282" spans="1:8" ht="45.75" customHeight="1" x14ac:dyDescent="0.25">
      <c r="A282" s="108" t="str">
        <f>IFERROR(INDEX(Data!A$3:A$635,MATCH(IF(B282="","END",B282),Data!$B$3:$B$635,0)),"")</f>
        <v/>
      </c>
      <c r="B282" s="108" t="str" cm="1">
        <f t="array" ref="B282">INDEX(Data!B$3:B$635,MATCH(SMALL(IFERROR(SEARCH(,Data!B$3:B$635),10^9)+ROW(Data!B$3:B$635)/1000,ROWS(B$3:B282)),IFERROR(SEARCH(,Data!B$3:B$635),10^9)+ROW(Data!B$3:B$635)/1000,0))</f>
        <v/>
      </c>
      <c r="C282" s="317" t="str" cm="1">
        <f t="array" ref="C282">INDEX(Data!C$3:C$635,MATCH(SMALL(IFERROR(SEARCH(,Data!C$3:C$635),10^9)+ROW(Data!C$3:C$635)/1000,ROWS(C$3:C282)),IFERROR(SEARCH(,Data!C$3:C$635),10^9)+ROW(Data!C$3:C$635)/1000,0))</f>
        <v/>
      </c>
      <c r="D282" s="111" t="str">
        <f t="shared" si="4"/>
        <v/>
      </c>
      <c r="E282" s="111" t="str" cm="1">
        <f t="array" ref="E282">INDEX(Data!E$3:E$635,MATCH(SMALL(IFERROR(SEARCH(,Data!E$3:E$635),10^9)+ROW(Data!E$3:E$635)/1000,ROWS(E$3:E282)),IFERROR(SEARCH(,Data!E$3:E$635),10^9)+ROW(Data!E$3:E$635)/1000,0))</f>
        <v/>
      </c>
      <c r="F282" s="111" t="str" cm="1">
        <f t="array" ref="F282">INDEX(Data!F$3:F$635,MATCH(SMALL(IFERROR(SEARCH(,Data!F$3:F$635),10^9)+ROW(Data!F$3:F$635)/1000,ROWS(F$3:F282)),IFERROR(SEARCH(,Data!F$3:F$635),10^9)+ROW(Data!F$3:F$635)/1000,0))</f>
        <v/>
      </c>
      <c r="G282" s="111" t="str" cm="1">
        <f t="array" ref="G282">INDEX(Data!G$3:G$635,MATCH(SMALL(IFERROR(SEARCH(,Data!G$3:G$635),10^9)+ROW(Data!G$3:G$635)/1000,ROWS(G$3:G282)),IFERROR(SEARCH(,Data!G$3:G$635),10^9)+ROW(Data!G$3:G$635)/1000,0))</f>
        <v/>
      </c>
      <c r="H282" s="623" t="str" cm="1">
        <f t="array" ref="H282">INDEX(Data!I$3:I$635,MATCH(SMALL(IFERROR(SEARCH(,Data!I$3:I$635),10^9)+ROW(Data!I$3:I$635)/1000,ROWS(H$3:H282)),IFERROR(SEARCH(,Data!I$3:I$635),10^9)+ROW(Data!I$3:I$635)/1000,0))</f>
        <v/>
      </c>
    </row>
    <row r="283" spans="1:8" ht="45.75" customHeight="1" x14ac:dyDescent="0.25">
      <c r="A283" s="108" t="str">
        <f>IFERROR(INDEX(Data!A$3:A$635,MATCH(IF(B283="","END",B283),Data!$B$3:$B$635,0)),"")</f>
        <v/>
      </c>
      <c r="B283" s="108" t="str" cm="1">
        <f t="array" ref="B283">INDEX(Data!B$3:B$635,MATCH(SMALL(IFERROR(SEARCH(,Data!B$3:B$635),10^9)+ROW(Data!B$3:B$635)/1000,ROWS(B$3:B283)),IFERROR(SEARCH(,Data!B$3:B$635),10^9)+ROW(Data!B$3:B$635)/1000,0))</f>
        <v/>
      </c>
      <c r="C283" s="317" t="str" cm="1">
        <f t="array" ref="C283">INDEX(Data!C$3:C$635,MATCH(SMALL(IFERROR(SEARCH(,Data!C$3:C$635),10^9)+ROW(Data!C$3:C$635)/1000,ROWS(C$3:C283)),IFERROR(SEARCH(,Data!C$3:C$635),10^9)+ROW(Data!C$3:C$635)/1000,0))</f>
        <v/>
      </c>
      <c r="D283" s="111" t="str">
        <f t="shared" si="4"/>
        <v/>
      </c>
      <c r="E283" s="111" t="str" cm="1">
        <f t="array" ref="E283">INDEX(Data!E$3:E$635,MATCH(SMALL(IFERROR(SEARCH(,Data!E$3:E$635),10^9)+ROW(Data!E$3:E$635)/1000,ROWS(E$3:E283)),IFERROR(SEARCH(,Data!E$3:E$635),10^9)+ROW(Data!E$3:E$635)/1000,0))</f>
        <v/>
      </c>
      <c r="F283" s="111" t="str" cm="1">
        <f t="array" ref="F283">INDEX(Data!F$3:F$635,MATCH(SMALL(IFERROR(SEARCH(,Data!F$3:F$635),10^9)+ROW(Data!F$3:F$635)/1000,ROWS(F$3:F283)),IFERROR(SEARCH(,Data!F$3:F$635),10^9)+ROW(Data!F$3:F$635)/1000,0))</f>
        <v/>
      </c>
      <c r="G283" s="111" t="str" cm="1">
        <f t="array" ref="G283">INDEX(Data!G$3:G$635,MATCH(SMALL(IFERROR(SEARCH(,Data!G$3:G$635),10^9)+ROW(Data!G$3:G$635)/1000,ROWS(G$3:G283)),IFERROR(SEARCH(,Data!G$3:G$635),10^9)+ROW(Data!G$3:G$635)/1000,0))</f>
        <v/>
      </c>
      <c r="H283" s="623" t="str" cm="1">
        <f t="array" ref="H283">INDEX(Data!I$3:I$635,MATCH(SMALL(IFERROR(SEARCH(,Data!I$3:I$635),10^9)+ROW(Data!I$3:I$635)/1000,ROWS(H$3:H283)),IFERROR(SEARCH(,Data!I$3:I$635),10^9)+ROW(Data!I$3:I$635)/1000,0))</f>
        <v/>
      </c>
    </row>
    <row r="284" spans="1:8" ht="45.75" customHeight="1" x14ac:dyDescent="0.25">
      <c r="A284" s="108" t="str">
        <f>IFERROR(INDEX(Data!A$3:A$635,MATCH(IF(B284="","END",B284),Data!$B$3:$B$635,0)),"")</f>
        <v/>
      </c>
      <c r="B284" s="108" t="str" cm="1">
        <f t="array" ref="B284">INDEX(Data!B$3:B$635,MATCH(SMALL(IFERROR(SEARCH(,Data!B$3:B$635),10^9)+ROW(Data!B$3:B$635)/1000,ROWS(B$3:B284)),IFERROR(SEARCH(,Data!B$3:B$635),10^9)+ROW(Data!B$3:B$635)/1000,0))</f>
        <v/>
      </c>
      <c r="C284" s="317" t="str" cm="1">
        <f t="array" ref="C284">INDEX(Data!C$3:C$635,MATCH(SMALL(IFERROR(SEARCH(,Data!C$3:C$635),10^9)+ROW(Data!C$3:C$635)/1000,ROWS(C$3:C284)),IFERROR(SEARCH(,Data!C$3:C$635),10^9)+ROW(Data!C$3:C$635)/1000,0))</f>
        <v/>
      </c>
      <c r="D284" s="111" t="str">
        <f t="shared" si="4"/>
        <v/>
      </c>
      <c r="E284" s="111" t="str" cm="1">
        <f t="array" ref="E284">INDEX(Data!E$3:E$635,MATCH(SMALL(IFERROR(SEARCH(,Data!E$3:E$635),10^9)+ROW(Data!E$3:E$635)/1000,ROWS(E$3:E284)),IFERROR(SEARCH(,Data!E$3:E$635),10^9)+ROW(Data!E$3:E$635)/1000,0))</f>
        <v/>
      </c>
      <c r="F284" s="111" t="str" cm="1">
        <f t="array" ref="F284">INDEX(Data!F$3:F$635,MATCH(SMALL(IFERROR(SEARCH(,Data!F$3:F$635),10^9)+ROW(Data!F$3:F$635)/1000,ROWS(F$3:F284)),IFERROR(SEARCH(,Data!F$3:F$635),10^9)+ROW(Data!F$3:F$635)/1000,0))</f>
        <v/>
      </c>
      <c r="G284" s="111" t="str" cm="1">
        <f t="array" ref="G284">INDEX(Data!G$3:G$635,MATCH(SMALL(IFERROR(SEARCH(,Data!G$3:G$635),10^9)+ROW(Data!G$3:G$635)/1000,ROWS(G$3:G284)),IFERROR(SEARCH(,Data!G$3:G$635),10^9)+ROW(Data!G$3:G$635)/1000,0))</f>
        <v/>
      </c>
      <c r="H284" s="623" t="str" cm="1">
        <f t="array" ref="H284">INDEX(Data!I$3:I$635,MATCH(SMALL(IFERROR(SEARCH(,Data!I$3:I$635),10^9)+ROW(Data!I$3:I$635)/1000,ROWS(H$3:H284)),IFERROR(SEARCH(,Data!I$3:I$635),10^9)+ROW(Data!I$3:I$635)/1000,0))</f>
        <v/>
      </c>
    </row>
    <row r="285" spans="1:8" ht="45.75" customHeight="1" x14ac:dyDescent="0.25">
      <c r="A285" s="108" t="str">
        <f>IFERROR(INDEX(Data!A$3:A$635,MATCH(IF(B285="","END",B285),Data!$B$3:$B$635,0)),"")</f>
        <v/>
      </c>
      <c r="B285" s="108" t="str" cm="1">
        <f t="array" ref="B285">INDEX(Data!B$3:B$635,MATCH(SMALL(IFERROR(SEARCH(,Data!B$3:B$635),10^9)+ROW(Data!B$3:B$635)/1000,ROWS(B$3:B285)),IFERROR(SEARCH(,Data!B$3:B$635),10^9)+ROW(Data!B$3:B$635)/1000,0))</f>
        <v/>
      </c>
      <c r="C285" s="317" t="str" cm="1">
        <f t="array" ref="C285">INDEX(Data!C$3:C$635,MATCH(SMALL(IFERROR(SEARCH(,Data!C$3:C$635),10^9)+ROW(Data!C$3:C$635)/1000,ROWS(C$3:C285)),IFERROR(SEARCH(,Data!C$3:C$635),10^9)+ROW(Data!C$3:C$635)/1000,0))</f>
        <v/>
      </c>
      <c r="D285" s="111" t="str">
        <f t="shared" si="4"/>
        <v/>
      </c>
      <c r="E285" s="111" t="str" cm="1">
        <f t="array" ref="E285">INDEX(Data!E$3:E$635,MATCH(SMALL(IFERROR(SEARCH(,Data!E$3:E$635),10^9)+ROW(Data!E$3:E$635)/1000,ROWS(E$3:E285)),IFERROR(SEARCH(,Data!E$3:E$635),10^9)+ROW(Data!E$3:E$635)/1000,0))</f>
        <v/>
      </c>
      <c r="F285" s="111" t="str" cm="1">
        <f t="array" ref="F285">INDEX(Data!F$3:F$635,MATCH(SMALL(IFERROR(SEARCH(,Data!F$3:F$635),10^9)+ROW(Data!F$3:F$635)/1000,ROWS(F$3:F285)),IFERROR(SEARCH(,Data!F$3:F$635),10^9)+ROW(Data!F$3:F$635)/1000,0))</f>
        <v/>
      </c>
      <c r="G285" s="111" t="str" cm="1">
        <f t="array" ref="G285">INDEX(Data!G$3:G$635,MATCH(SMALL(IFERROR(SEARCH(,Data!G$3:G$635),10^9)+ROW(Data!G$3:G$635)/1000,ROWS(G$3:G285)),IFERROR(SEARCH(,Data!G$3:G$635),10^9)+ROW(Data!G$3:G$635)/1000,0))</f>
        <v/>
      </c>
      <c r="H285" s="623" t="str" cm="1">
        <f t="array" ref="H285">INDEX(Data!I$3:I$635,MATCH(SMALL(IFERROR(SEARCH(,Data!I$3:I$635),10^9)+ROW(Data!I$3:I$635)/1000,ROWS(H$3:H285)),IFERROR(SEARCH(,Data!I$3:I$635),10^9)+ROW(Data!I$3:I$635)/1000,0))</f>
        <v/>
      </c>
    </row>
    <row r="286" spans="1:8" ht="45.75" customHeight="1" x14ac:dyDescent="0.25">
      <c r="A286" s="108" t="str">
        <f>IFERROR(INDEX(Data!A$3:A$635,MATCH(IF(B286="","END",B286),Data!$B$3:$B$635,0)),"")</f>
        <v/>
      </c>
      <c r="B286" s="108" t="str" cm="1">
        <f t="array" ref="B286">INDEX(Data!B$3:B$635,MATCH(SMALL(IFERROR(SEARCH(,Data!B$3:B$635),10^9)+ROW(Data!B$3:B$635)/1000,ROWS(B$3:B286)),IFERROR(SEARCH(,Data!B$3:B$635),10^9)+ROW(Data!B$3:B$635)/1000,0))</f>
        <v/>
      </c>
      <c r="C286" s="317" t="str" cm="1">
        <f t="array" ref="C286">INDEX(Data!C$3:C$635,MATCH(SMALL(IFERROR(SEARCH(,Data!C$3:C$635),10^9)+ROW(Data!C$3:C$635)/1000,ROWS(C$3:C286)),IFERROR(SEARCH(,Data!C$3:C$635),10^9)+ROW(Data!C$3:C$635)/1000,0))</f>
        <v/>
      </c>
      <c r="D286" s="111" t="str">
        <f t="shared" si="4"/>
        <v/>
      </c>
      <c r="E286" s="111" t="str" cm="1">
        <f t="array" ref="E286">INDEX(Data!E$3:E$635,MATCH(SMALL(IFERROR(SEARCH(,Data!E$3:E$635),10^9)+ROW(Data!E$3:E$635)/1000,ROWS(E$3:E286)),IFERROR(SEARCH(,Data!E$3:E$635),10^9)+ROW(Data!E$3:E$635)/1000,0))</f>
        <v/>
      </c>
      <c r="F286" s="111" t="str" cm="1">
        <f t="array" ref="F286">INDEX(Data!F$3:F$635,MATCH(SMALL(IFERROR(SEARCH(,Data!F$3:F$635),10^9)+ROW(Data!F$3:F$635)/1000,ROWS(F$3:F286)),IFERROR(SEARCH(,Data!F$3:F$635),10^9)+ROW(Data!F$3:F$635)/1000,0))</f>
        <v/>
      </c>
      <c r="G286" s="111" t="str" cm="1">
        <f t="array" ref="G286">INDEX(Data!G$3:G$635,MATCH(SMALL(IFERROR(SEARCH(,Data!G$3:G$635),10^9)+ROW(Data!G$3:G$635)/1000,ROWS(G$3:G286)),IFERROR(SEARCH(,Data!G$3:G$635),10^9)+ROW(Data!G$3:G$635)/1000,0))</f>
        <v/>
      </c>
      <c r="H286" s="623" t="str" cm="1">
        <f t="array" ref="H286">INDEX(Data!I$3:I$635,MATCH(SMALL(IFERROR(SEARCH(,Data!I$3:I$635),10^9)+ROW(Data!I$3:I$635)/1000,ROWS(H$3:H286)),IFERROR(SEARCH(,Data!I$3:I$635),10^9)+ROW(Data!I$3:I$635)/1000,0))</f>
        <v/>
      </c>
    </row>
    <row r="287" spans="1:8" ht="45.75" customHeight="1" x14ac:dyDescent="0.25">
      <c r="A287" s="108" t="str">
        <f>IFERROR(INDEX(Data!A$3:A$635,MATCH(IF(B287="","END",B287),Data!$B$3:$B$635,0)),"")</f>
        <v/>
      </c>
      <c r="B287" s="108" t="str" cm="1">
        <f t="array" ref="B287">INDEX(Data!B$3:B$635,MATCH(SMALL(IFERROR(SEARCH(,Data!B$3:B$635),10^9)+ROW(Data!B$3:B$635)/1000,ROWS(B$3:B287)),IFERROR(SEARCH(,Data!B$3:B$635),10^9)+ROW(Data!B$3:B$635)/1000,0))</f>
        <v/>
      </c>
      <c r="C287" s="317" t="str" cm="1">
        <f t="array" ref="C287">INDEX(Data!C$3:C$635,MATCH(SMALL(IFERROR(SEARCH(,Data!C$3:C$635),10^9)+ROW(Data!C$3:C$635)/1000,ROWS(C$3:C287)),IFERROR(SEARCH(,Data!C$3:C$635),10^9)+ROW(Data!C$3:C$635)/1000,0))</f>
        <v/>
      </c>
      <c r="D287" s="111" t="str">
        <f t="shared" si="4"/>
        <v/>
      </c>
      <c r="E287" s="111" t="str" cm="1">
        <f t="array" ref="E287">INDEX(Data!E$3:E$635,MATCH(SMALL(IFERROR(SEARCH(,Data!E$3:E$635),10^9)+ROW(Data!E$3:E$635)/1000,ROWS(E$3:E287)),IFERROR(SEARCH(,Data!E$3:E$635),10^9)+ROW(Data!E$3:E$635)/1000,0))</f>
        <v/>
      </c>
      <c r="F287" s="111" t="str" cm="1">
        <f t="array" ref="F287">INDEX(Data!F$3:F$635,MATCH(SMALL(IFERROR(SEARCH(,Data!F$3:F$635),10^9)+ROW(Data!F$3:F$635)/1000,ROWS(F$3:F287)),IFERROR(SEARCH(,Data!F$3:F$635),10^9)+ROW(Data!F$3:F$635)/1000,0))</f>
        <v/>
      </c>
      <c r="G287" s="111" t="str" cm="1">
        <f t="array" ref="G287">INDEX(Data!G$3:G$635,MATCH(SMALL(IFERROR(SEARCH(,Data!G$3:G$635),10^9)+ROW(Data!G$3:G$635)/1000,ROWS(G$3:G287)),IFERROR(SEARCH(,Data!G$3:G$635),10^9)+ROW(Data!G$3:G$635)/1000,0))</f>
        <v/>
      </c>
      <c r="H287" s="623" t="str" cm="1">
        <f t="array" ref="H287">INDEX(Data!I$3:I$635,MATCH(SMALL(IFERROR(SEARCH(,Data!I$3:I$635),10^9)+ROW(Data!I$3:I$635)/1000,ROWS(H$3:H287)),IFERROR(SEARCH(,Data!I$3:I$635),10^9)+ROW(Data!I$3:I$635)/1000,0))</f>
        <v/>
      </c>
    </row>
    <row r="288" spans="1:8" ht="45.75" customHeight="1" x14ac:dyDescent="0.25">
      <c r="A288" s="108" t="str">
        <f>IFERROR(INDEX(Data!A$3:A$635,MATCH(IF(B288="","END",B288),Data!$B$3:$B$635,0)),"")</f>
        <v/>
      </c>
      <c r="B288" s="108" t="str" cm="1">
        <f t="array" ref="B288">INDEX(Data!B$3:B$635,MATCH(SMALL(IFERROR(SEARCH(,Data!B$3:B$635),10^9)+ROW(Data!B$3:B$635)/1000,ROWS(B$3:B288)),IFERROR(SEARCH(,Data!B$3:B$635),10^9)+ROW(Data!B$3:B$635)/1000,0))</f>
        <v/>
      </c>
      <c r="C288" s="317" t="str" cm="1">
        <f t="array" ref="C288">INDEX(Data!C$3:C$635,MATCH(SMALL(IFERROR(SEARCH(,Data!C$3:C$635),10^9)+ROW(Data!C$3:C$635)/1000,ROWS(C$3:C288)),IFERROR(SEARCH(,Data!C$3:C$635),10^9)+ROW(Data!C$3:C$635)/1000,0))</f>
        <v/>
      </c>
      <c r="D288" s="111" t="str">
        <f t="shared" si="4"/>
        <v/>
      </c>
      <c r="E288" s="111" t="str" cm="1">
        <f t="array" ref="E288">INDEX(Data!E$3:E$635,MATCH(SMALL(IFERROR(SEARCH(,Data!E$3:E$635),10^9)+ROW(Data!E$3:E$635)/1000,ROWS(E$3:E288)),IFERROR(SEARCH(,Data!E$3:E$635),10^9)+ROW(Data!E$3:E$635)/1000,0))</f>
        <v/>
      </c>
      <c r="F288" s="111" t="str" cm="1">
        <f t="array" ref="F288">INDEX(Data!F$3:F$635,MATCH(SMALL(IFERROR(SEARCH(,Data!F$3:F$635),10^9)+ROW(Data!F$3:F$635)/1000,ROWS(F$3:F288)),IFERROR(SEARCH(,Data!F$3:F$635),10^9)+ROW(Data!F$3:F$635)/1000,0))</f>
        <v/>
      </c>
      <c r="G288" s="111" t="str" cm="1">
        <f t="array" ref="G288">INDEX(Data!G$3:G$635,MATCH(SMALL(IFERROR(SEARCH(,Data!G$3:G$635),10^9)+ROW(Data!G$3:G$635)/1000,ROWS(G$3:G288)),IFERROR(SEARCH(,Data!G$3:G$635),10^9)+ROW(Data!G$3:G$635)/1000,0))</f>
        <v/>
      </c>
      <c r="H288" s="623" t="str" cm="1">
        <f t="array" ref="H288">INDEX(Data!I$3:I$635,MATCH(SMALL(IFERROR(SEARCH(,Data!I$3:I$635),10^9)+ROW(Data!I$3:I$635)/1000,ROWS(H$3:H288)),IFERROR(SEARCH(,Data!I$3:I$635),10^9)+ROW(Data!I$3:I$635)/1000,0))</f>
        <v/>
      </c>
    </row>
    <row r="289" spans="1:8" ht="45.75" customHeight="1" x14ac:dyDescent="0.25">
      <c r="A289" s="108" t="str">
        <f>IFERROR(INDEX(Data!A$3:A$635,MATCH(IF(B289="","END",B289),Data!$B$3:$B$635,0)),"")</f>
        <v/>
      </c>
      <c r="B289" s="108" t="str" cm="1">
        <f t="array" ref="B289">INDEX(Data!B$3:B$635,MATCH(SMALL(IFERROR(SEARCH(,Data!B$3:B$635),10^9)+ROW(Data!B$3:B$635)/1000,ROWS(B$3:B289)),IFERROR(SEARCH(,Data!B$3:B$635),10^9)+ROW(Data!B$3:B$635)/1000,0))</f>
        <v/>
      </c>
      <c r="C289" s="317" t="str" cm="1">
        <f t="array" ref="C289">INDEX(Data!C$3:C$635,MATCH(SMALL(IFERROR(SEARCH(,Data!C$3:C$635),10^9)+ROW(Data!C$3:C$635)/1000,ROWS(C$3:C289)),IFERROR(SEARCH(,Data!C$3:C$635),10^9)+ROW(Data!C$3:C$635)/1000,0))</f>
        <v/>
      </c>
      <c r="D289" s="111" t="str">
        <f t="shared" si="4"/>
        <v/>
      </c>
      <c r="E289" s="111" t="str" cm="1">
        <f t="array" ref="E289">INDEX(Data!E$3:E$635,MATCH(SMALL(IFERROR(SEARCH(,Data!E$3:E$635),10^9)+ROW(Data!E$3:E$635)/1000,ROWS(E$3:E289)),IFERROR(SEARCH(,Data!E$3:E$635),10^9)+ROW(Data!E$3:E$635)/1000,0))</f>
        <v/>
      </c>
      <c r="F289" s="111" t="str" cm="1">
        <f t="array" ref="F289">INDEX(Data!F$3:F$635,MATCH(SMALL(IFERROR(SEARCH(,Data!F$3:F$635),10^9)+ROW(Data!F$3:F$635)/1000,ROWS(F$3:F289)),IFERROR(SEARCH(,Data!F$3:F$635),10^9)+ROW(Data!F$3:F$635)/1000,0))</f>
        <v/>
      </c>
      <c r="G289" s="111" t="str" cm="1">
        <f t="array" ref="G289">INDEX(Data!G$3:G$635,MATCH(SMALL(IFERROR(SEARCH(,Data!G$3:G$635),10^9)+ROW(Data!G$3:G$635)/1000,ROWS(G$3:G289)),IFERROR(SEARCH(,Data!G$3:G$635),10^9)+ROW(Data!G$3:G$635)/1000,0))</f>
        <v/>
      </c>
      <c r="H289" s="623" t="str" cm="1">
        <f t="array" ref="H289">INDEX(Data!I$3:I$635,MATCH(SMALL(IFERROR(SEARCH(,Data!I$3:I$635),10^9)+ROW(Data!I$3:I$635)/1000,ROWS(H$3:H289)),IFERROR(SEARCH(,Data!I$3:I$635),10^9)+ROW(Data!I$3:I$635)/1000,0))</f>
        <v/>
      </c>
    </row>
    <row r="290" spans="1:8" ht="45.75" customHeight="1" x14ac:dyDescent="0.25">
      <c r="A290" s="108" t="str">
        <f>IFERROR(INDEX(Data!A$3:A$635,MATCH(IF(B290="","END",B290),Data!$B$3:$B$635,0)),"")</f>
        <v/>
      </c>
      <c r="B290" s="108" t="str" cm="1">
        <f t="array" ref="B290">INDEX(Data!B$3:B$635,MATCH(SMALL(IFERROR(SEARCH(,Data!B$3:B$635),10^9)+ROW(Data!B$3:B$635)/1000,ROWS(B$3:B290)),IFERROR(SEARCH(,Data!B$3:B$635),10^9)+ROW(Data!B$3:B$635)/1000,0))</f>
        <v/>
      </c>
      <c r="C290" s="317" t="str" cm="1">
        <f t="array" ref="C290">INDEX(Data!C$3:C$635,MATCH(SMALL(IFERROR(SEARCH(,Data!C$3:C$635),10^9)+ROW(Data!C$3:C$635)/1000,ROWS(C$3:C290)),IFERROR(SEARCH(,Data!C$3:C$635),10^9)+ROW(Data!C$3:C$635)/1000,0))</f>
        <v/>
      </c>
      <c r="D290" s="111" t="str">
        <f t="shared" si="4"/>
        <v/>
      </c>
      <c r="E290" s="111" t="str" cm="1">
        <f t="array" ref="E290">INDEX(Data!E$3:E$635,MATCH(SMALL(IFERROR(SEARCH(,Data!E$3:E$635),10^9)+ROW(Data!E$3:E$635)/1000,ROWS(E$3:E290)),IFERROR(SEARCH(,Data!E$3:E$635),10^9)+ROW(Data!E$3:E$635)/1000,0))</f>
        <v/>
      </c>
      <c r="F290" s="111" t="str" cm="1">
        <f t="array" ref="F290">INDEX(Data!F$3:F$635,MATCH(SMALL(IFERROR(SEARCH(,Data!F$3:F$635),10^9)+ROW(Data!F$3:F$635)/1000,ROWS(F$3:F290)),IFERROR(SEARCH(,Data!F$3:F$635),10^9)+ROW(Data!F$3:F$635)/1000,0))</f>
        <v/>
      </c>
      <c r="G290" s="111" t="str" cm="1">
        <f t="array" ref="G290">INDEX(Data!G$3:G$635,MATCH(SMALL(IFERROR(SEARCH(,Data!G$3:G$635),10^9)+ROW(Data!G$3:G$635)/1000,ROWS(G$3:G290)),IFERROR(SEARCH(,Data!G$3:G$635),10^9)+ROW(Data!G$3:G$635)/1000,0))</f>
        <v/>
      </c>
      <c r="H290" s="623" t="str" cm="1">
        <f t="array" ref="H290">INDEX(Data!I$3:I$635,MATCH(SMALL(IFERROR(SEARCH(,Data!I$3:I$635),10^9)+ROW(Data!I$3:I$635)/1000,ROWS(H$3:H290)),IFERROR(SEARCH(,Data!I$3:I$635),10^9)+ROW(Data!I$3:I$635)/1000,0))</f>
        <v/>
      </c>
    </row>
    <row r="291" spans="1:8" ht="45.75" customHeight="1" x14ac:dyDescent="0.25">
      <c r="A291" s="108" t="str">
        <f>IFERROR(INDEX(Data!A$3:A$635,MATCH(IF(B291="","END",B291),Data!$B$3:$B$635,0)),"")</f>
        <v/>
      </c>
      <c r="B291" s="108" t="str" cm="1">
        <f t="array" ref="B291">INDEX(Data!B$3:B$635,MATCH(SMALL(IFERROR(SEARCH(,Data!B$3:B$635),10^9)+ROW(Data!B$3:B$635)/1000,ROWS(B$3:B291)),IFERROR(SEARCH(,Data!B$3:B$635),10^9)+ROW(Data!B$3:B$635)/1000,0))</f>
        <v/>
      </c>
      <c r="C291" s="317" t="str" cm="1">
        <f t="array" ref="C291">INDEX(Data!C$3:C$635,MATCH(SMALL(IFERROR(SEARCH(,Data!C$3:C$635),10^9)+ROW(Data!C$3:C$635)/1000,ROWS(C$3:C291)),IFERROR(SEARCH(,Data!C$3:C$635),10^9)+ROW(Data!C$3:C$635)/1000,0))</f>
        <v/>
      </c>
      <c r="D291" s="111" t="str">
        <f t="shared" si="4"/>
        <v/>
      </c>
      <c r="E291" s="111" t="str" cm="1">
        <f t="array" ref="E291">INDEX(Data!E$3:E$635,MATCH(SMALL(IFERROR(SEARCH(,Data!E$3:E$635),10^9)+ROW(Data!E$3:E$635)/1000,ROWS(E$3:E291)),IFERROR(SEARCH(,Data!E$3:E$635),10^9)+ROW(Data!E$3:E$635)/1000,0))</f>
        <v/>
      </c>
      <c r="F291" s="111" t="str" cm="1">
        <f t="array" ref="F291">INDEX(Data!F$3:F$635,MATCH(SMALL(IFERROR(SEARCH(,Data!F$3:F$635),10^9)+ROW(Data!F$3:F$635)/1000,ROWS(F$3:F291)),IFERROR(SEARCH(,Data!F$3:F$635),10^9)+ROW(Data!F$3:F$635)/1000,0))</f>
        <v/>
      </c>
      <c r="G291" s="111" t="str" cm="1">
        <f t="array" ref="G291">INDEX(Data!G$3:G$635,MATCH(SMALL(IFERROR(SEARCH(,Data!G$3:G$635),10^9)+ROW(Data!G$3:G$635)/1000,ROWS(G$3:G291)),IFERROR(SEARCH(,Data!G$3:G$635),10^9)+ROW(Data!G$3:G$635)/1000,0))</f>
        <v/>
      </c>
      <c r="H291" s="623" t="str" cm="1">
        <f t="array" ref="H291">INDEX(Data!I$3:I$635,MATCH(SMALL(IFERROR(SEARCH(,Data!I$3:I$635),10^9)+ROW(Data!I$3:I$635)/1000,ROWS(H$3:H291)),IFERROR(SEARCH(,Data!I$3:I$635),10^9)+ROW(Data!I$3:I$635)/1000,0))</f>
        <v/>
      </c>
    </row>
    <row r="292" spans="1:8" ht="45.75" customHeight="1" x14ac:dyDescent="0.25">
      <c r="A292" s="108" t="str">
        <f>IFERROR(INDEX(Data!A$3:A$635,MATCH(IF(B292="","END",B292),Data!$B$3:$B$635,0)),"")</f>
        <v/>
      </c>
      <c r="B292" s="108" t="str" cm="1">
        <f t="array" ref="B292">INDEX(Data!B$3:B$635,MATCH(SMALL(IFERROR(SEARCH(,Data!B$3:B$635),10^9)+ROW(Data!B$3:B$635)/1000,ROWS(B$3:B292)),IFERROR(SEARCH(,Data!B$3:B$635),10^9)+ROW(Data!B$3:B$635)/1000,0))</f>
        <v/>
      </c>
      <c r="C292" s="317" t="str" cm="1">
        <f t="array" ref="C292">INDEX(Data!C$3:C$635,MATCH(SMALL(IFERROR(SEARCH(,Data!C$3:C$635),10^9)+ROW(Data!C$3:C$635)/1000,ROWS(C$3:C292)),IFERROR(SEARCH(,Data!C$3:C$635),10^9)+ROW(Data!C$3:C$635)/1000,0))</f>
        <v/>
      </c>
      <c r="D292" s="111" t="str">
        <f t="shared" si="4"/>
        <v/>
      </c>
      <c r="E292" s="111" t="str" cm="1">
        <f t="array" ref="E292">INDEX(Data!E$3:E$635,MATCH(SMALL(IFERROR(SEARCH(,Data!E$3:E$635),10^9)+ROW(Data!E$3:E$635)/1000,ROWS(E$3:E292)),IFERROR(SEARCH(,Data!E$3:E$635),10^9)+ROW(Data!E$3:E$635)/1000,0))</f>
        <v/>
      </c>
      <c r="F292" s="111" t="str" cm="1">
        <f t="array" ref="F292">INDEX(Data!F$3:F$635,MATCH(SMALL(IFERROR(SEARCH(,Data!F$3:F$635),10^9)+ROW(Data!F$3:F$635)/1000,ROWS(F$3:F292)),IFERROR(SEARCH(,Data!F$3:F$635),10^9)+ROW(Data!F$3:F$635)/1000,0))</f>
        <v/>
      </c>
      <c r="G292" s="111" t="str" cm="1">
        <f t="array" ref="G292">INDEX(Data!G$3:G$635,MATCH(SMALL(IFERROR(SEARCH(,Data!G$3:G$635),10^9)+ROW(Data!G$3:G$635)/1000,ROWS(G$3:G292)),IFERROR(SEARCH(,Data!G$3:G$635),10^9)+ROW(Data!G$3:G$635)/1000,0))</f>
        <v/>
      </c>
      <c r="H292" s="623" t="str" cm="1">
        <f t="array" ref="H292">INDEX(Data!I$3:I$635,MATCH(SMALL(IFERROR(SEARCH(,Data!I$3:I$635),10^9)+ROW(Data!I$3:I$635)/1000,ROWS(H$3:H292)),IFERROR(SEARCH(,Data!I$3:I$635),10^9)+ROW(Data!I$3:I$635)/1000,0))</f>
        <v/>
      </c>
    </row>
    <row r="293" spans="1:8" ht="45.75" customHeight="1" x14ac:dyDescent="0.25">
      <c r="A293" s="108" t="str">
        <f>IFERROR(INDEX(Data!A$3:A$635,MATCH(IF(B293="","END",B293),Data!$B$3:$B$635,0)),"")</f>
        <v/>
      </c>
      <c r="B293" s="108" t="str" cm="1">
        <f t="array" ref="B293">INDEX(Data!B$3:B$635,MATCH(SMALL(IFERROR(SEARCH(,Data!B$3:B$635),10^9)+ROW(Data!B$3:B$635)/1000,ROWS(B$3:B293)),IFERROR(SEARCH(,Data!B$3:B$635),10^9)+ROW(Data!B$3:B$635)/1000,0))</f>
        <v/>
      </c>
      <c r="C293" s="317" t="str" cm="1">
        <f t="array" ref="C293">INDEX(Data!C$3:C$635,MATCH(SMALL(IFERROR(SEARCH(,Data!C$3:C$635),10^9)+ROW(Data!C$3:C$635)/1000,ROWS(C$3:C293)),IFERROR(SEARCH(,Data!C$3:C$635),10^9)+ROW(Data!C$3:C$635)/1000,0))</f>
        <v/>
      </c>
      <c r="D293" s="111" t="str">
        <f t="shared" si="4"/>
        <v/>
      </c>
      <c r="E293" s="111" t="str" cm="1">
        <f t="array" ref="E293">INDEX(Data!E$3:E$635,MATCH(SMALL(IFERROR(SEARCH(,Data!E$3:E$635),10^9)+ROW(Data!E$3:E$635)/1000,ROWS(E$3:E293)),IFERROR(SEARCH(,Data!E$3:E$635),10^9)+ROW(Data!E$3:E$635)/1000,0))</f>
        <v/>
      </c>
      <c r="F293" s="111" t="str" cm="1">
        <f t="array" ref="F293">INDEX(Data!F$3:F$635,MATCH(SMALL(IFERROR(SEARCH(,Data!F$3:F$635),10^9)+ROW(Data!F$3:F$635)/1000,ROWS(F$3:F293)),IFERROR(SEARCH(,Data!F$3:F$635),10^9)+ROW(Data!F$3:F$635)/1000,0))</f>
        <v/>
      </c>
      <c r="G293" s="111" t="str" cm="1">
        <f t="array" ref="G293">INDEX(Data!G$3:G$635,MATCH(SMALL(IFERROR(SEARCH(,Data!G$3:G$635),10^9)+ROW(Data!G$3:G$635)/1000,ROWS(G$3:G293)),IFERROR(SEARCH(,Data!G$3:G$635),10^9)+ROW(Data!G$3:G$635)/1000,0))</f>
        <v/>
      </c>
      <c r="H293" s="623" t="str" cm="1">
        <f t="array" ref="H293">INDEX(Data!I$3:I$635,MATCH(SMALL(IFERROR(SEARCH(,Data!I$3:I$635),10^9)+ROW(Data!I$3:I$635)/1000,ROWS(H$3:H293)),IFERROR(SEARCH(,Data!I$3:I$635),10^9)+ROW(Data!I$3:I$635)/1000,0))</f>
        <v/>
      </c>
    </row>
    <row r="294" spans="1:8" ht="45.75" customHeight="1" x14ac:dyDescent="0.25">
      <c r="A294" s="108" t="str">
        <f>IFERROR(INDEX(Data!A$3:A$635,MATCH(IF(B294="","END",B294),Data!$B$3:$B$635,0)),"")</f>
        <v/>
      </c>
      <c r="B294" s="108" t="str" cm="1">
        <f t="array" ref="B294">INDEX(Data!B$3:B$635,MATCH(SMALL(IFERROR(SEARCH(,Data!B$3:B$635),10^9)+ROW(Data!B$3:B$635)/1000,ROWS(B$3:B294)),IFERROR(SEARCH(,Data!B$3:B$635),10^9)+ROW(Data!B$3:B$635)/1000,0))</f>
        <v/>
      </c>
      <c r="C294" s="317" t="str" cm="1">
        <f t="array" ref="C294">INDEX(Data!C$3:C$635,MATCH(SMALL(IFERROR(SEARCH(,Data!C$3:C$635),10^9)+ROW(Data!C$3:C$635)/1000,ROWS(C$3:C294)),IFERROR(SEARCH(,Data!C$3:C$635),10^9)+ROW(Data!C$3:C$635)/1000,0))</f>
        <v/>
      </c>
      <c r="D294" s="111" t="str">
        <f t="shared" si="4"/>
        <v/>
      </c>
      <c r="E294" s="111" t="str" cm="1">
        <f t="array" ref="E294">INDEX(Data!E$3:E$635,MATCH(SMALL(IFERROR(SEARCH(,Data!E$3:E$635),10^9)+ROW(Data!E$3:E$635)/1000,ROWS(E$3:E294)),IFERROR(SEARCH(,Data!E$3:E$635),10^9)+ROW(Data!E$3:E$635)/1000,0))</f>
        <v/>
      </c>
      <c r="F294" s="111" t="str" cm="1">
        <f t="array" ref="F294">INDEX(Data!F$3:F$635,MATCH(SMALL(IFERROR(SEARCH(,Data!F$3:F$635),10^9)+ROW(Data!F$3:F$635)/1000,ROWS(F$3:F294)),IFERROR(SEARCH(,Data!F$3:F$635),10^9)+ROW(Data!F$3:F$635)/1000,0))</f>
        <v/>
      </c>
      <c r="G294" s="111" t="str" cm="1">
        <f t="array" ref="G294">INDEX(Data!G$3:G$635,MATCH(SMALL(IFERROR(SEARCH(,Data!G$3:G$635),10^9)+ROW(Data!G$3:G$635)/1000,ROWS(G$3:G294)),IFERROR(SEARCH(,Data!G$3:G$635),10^9)+ROW(Data!G$3:G$635)/1000,0))</f>
        <v/>
      </c>
      <c r="H294" s="623" t="str" cm="1">
        <f t="array" ref="H294">INDEX(Data!I$3:I$635,MATCH(SMALL(IFERROR(SEARCH(,Data!I$3:I$635),10^9)+ROW(Data!I$3:I$635)/1000,ROWS(H$3:H294)),IFERROR(SEARCH(,Data!I$3:I$635),10^9)+ROW(Data!I$3:I$635)/1000,0))</f>
        <v/>
      </c>
    </row>
    <row r="295" spans="1:8" ht="45.75" customHeight="1" x14ac:dyDescent="0.25">
      <c r="A295" s="108" t="str">
        <f>IFERROR(INDEX(Data!A$3:A$635,MATCH(IF(B295="","END",B295),Data!$B$3:$B$635,0)),"")</f>
        <v/>
      </c>
      <c r="B295" s="108" t="str" cm="1">
        <f t="array" ref="B295">INDEX(Data!B$3:B$635,MATCH(SMALL(IFERROR(SEARCH(,Data!B$3:B$635),10^9)+ROW(Data!B$3:B$635)/1000,ROWS(B$3:B295)),IFERROR(SEARCH(,Data!B$3:B$635),10^9)+ROW(Data!B$3:B$635)/1000,0))</f>
        <v/>
      </c>
      <c r="C295" s="317" t="str" cm="1">
        <f t="array" ref="C295">INDEX(Data!C$3:C$635,MATCH(SMALL(IFERROR(SEARCH(,Data!C$3:C$635),10^9)+ROW(Data!C$3:C$635)/1000,ROWS(C$3:C295)),IFERROR(SEARCH(,Data!C$3:C$635),10^9)+ROW(Data!C$3:C$635)/1000,0))</f>
        <v/>
      </c>
      <c r="D295" s="111" t="str">
        <f t="shared" si="4"/>
        <v/>
      </c>
      <c r="E295" s="111" t="str" cm="1">
        <f t="array" ref="E295">INDEX(Data!E$3:E$635,MATCH(SMALL(IFERROR(SEARCH(,Data!E$3:E$635),10^9)+ROW(Data!E$3:E$635)/1000,ROWS(E$3:E295)),IFERROR(SEARCH(,Data!E$3:E$635),10^9)+ROW(Data!E$3:E$635)/1000,0))</f>
        <v/>
      </c>
      <c r="F295" s="111" t="str" cm="1">
        <f t="array" ref="F295">INDEX(Data!F$3:F$635,MATCH(SMALL(IFERROR(SEARCH(,Data!F$3:F$635),10^9)+ROW(Data!F$3:F$635)/1000,ROWS(F$3:F295)),IFERROR(SEARCH(,Data!F$3:F$635),10^9)+ROW(Data!F$3:F$635)/1000,0))</f>
        <v/>
      </c>
      <c r="G295" s="111" t="str" cm="1">
        <f t="array" ref="G295">INDEX(Data!G$3:G$635,MATCH(SMALL(IFERROR(SEARCH(,Data!G$3:G$635),10^9)+ROW(Data!G$3:G$635)/1000,ROWS(G$3:G295)),IFERROR(SEARCH(,Data!G$3:G$635),10^9)+ROW(Data!G$3:G$635)/1000,0))</f>
        <v/>
      </c>
      <c r="H295" s="623" t="str" cm="1">
        <f t="array" ref="H295">INDEX(Data!I$3:I$635,MATCH(SMALL(IFERROR(SEARCH(,Data!I$3:I$635),10^9)+ROW(Data!I$3:I$635)/1000,ROWS(H$3:H295)),IFERROR(SEARCH(,Data!I$3:I$635),10^9)+ROW(Data!I$3:I$635)/1000,0))</f>
        <v/>
      </c>
    </row>
    <row r="296" spans="1:8" ht="45.75" customHeight="1" x14ac:dyDescent="0.25">
      <c r="A296" s="108" t="str">
        <f>IFERROR(INDEX(Data!A$3:A$635,MATCH(IF(B296="","END",B296),Data!$B$3:$B$635,0)),"")</f>
        <v/>
      </c>
      <c r="B296" s="108" t="str" cm="1">
        <f t="array" ref="B296">INDEX(Data!B$3:B$635,MATCH(SMALL(IFERROR(SEARCH(,Data!B$3:B$635),10^9)+ROW(Data!B$3:B$635)/1000,ROWS(B$3:B296)),IFERROR(SEARCH(,Data!B$3:B$635),10^9)+ROW(Data!B$3:B$635)/1000,0))</f>
        <v/>
      </c>
      <c r="C296" s="317" t="str" cm="1">
        <f t="array" ref="C296">INDEX(Data!C$3:C$635,MATCH(SMALL(IFERROR(SEARCH(,Data!C$3:C$635),10^9)+ROW(Data!C$3:C$635)/1000,ROWS(C$3:C296)),IFERROR(SEARCH(,Data!C$3:C$635),10^9)+ROW(Data!C$3:C$635)/1000,0))</f>
        <v/>
      </c>
      <c r="D296" s="111" t="str">
        <f t="shared" si="4"/>
        <v/>
      </c>
      <c r="E296" s="111" t="str" cm="1">
        <f t="array" ref="E296">INDEX(Data!E$3:E$635,MATCH(SMALL(IFERROR(SEARCH(,Data!E$3:E$635),10^9)+ROW(Data!E$3:E$635)/1000,ROWS(E$3:E296)),IFERROR(SEARCH(,Data!E$3:E$635),10^9)+ROW(Data!E$3:E$635)/1000,0))</f>
        <v/>
      </c>
      <c r="F296" s="111" t="str" cm="1">
        <f t="array" ref="F296">INDEX(Data!F$3:F$635,MATCH(SMALL(IFERROR(SEARCH(,Data!F$3:F$635),10^9)+ROW(Data!F$3:F$635)/1000,ROWS(F$3:F296)),IFERROR(SEARCH(,Data!F$3:F$635),10^9)+ROW(Data!F$3:F$635)/1000,0))</f>
        <v/>
      </c>
      <c r="G296" s="111" t="str" cm="1">
        <f t="array" ref="G296">INDEX(Data!G$3:G$635,MATCH(SMALL(IFERROR(SEARCH(,Data!G$3:G$635),10^9)+ROW(Data!G$3:G$635)/1000,ROWS(G$3:G296)),IFERROR(SEARCH(,Data!G$3:G$635),10^9)+ROW(Data!G$3:G$635)/1000,0))</f>
        <v/>
      </c>
      <c r="H296" s="623" t="str" cm="1">
        <f t="array" ref="H296">INDEX(Data!I$3:I$635,MATCH(SMALL(IFERROR(SEARCH(,Data!I$3:I$635),10^9)+ROW(Data!I$3:I$635)/1000,ROWS(H$3:H296)),IFERROR(SEARCH(,Data!I$3:I$635),10^9)+ROW(Data!I$3:I$635)/1000,0))</f>
        <v/>
      </c>
    </row>
    <row r="297" spans="1:8" ht="45.75" customHeight="1" x14ac:dyDescent="0.25">
      <c r="A297" s="108" t="str">
        <f>IFERROR(INDEX(Data!A$3:A$635,MATCH(IF(B297="","END",B297),Data!$B$3:$B$635,0)),"")</f>
        <v/>
      </c>
      <c r="B297" s="108" t="str" cm="1">
        <f t="array" ref="B297">INDEX(Data!B$3:B$635,MATCH(SMALL(IFERROR(SEARCH(,Data!B$3:B$635),10^9)+ROW(Data!B$3:B$635)/1000,ROWS(B$3:B297)),IFERROR(SEARCH(,Data!B$3:B$635),10^9)+ROW(Data!B$3:B$635)/1000,0))</f>
        <v/>
      </c>
      <c r="C297" s="317" t="str" cm="1">
        <f t="array" ref="C297">INDEX(Data!C$3:C$635,MATCH(SMALL(IFERROR(SEARCH(,Data!C$3:C$635),10^9)+ROW(Data!C$3:C$635)/1000,ROWS(C$3:C297)),IFERROR(SEARCH(,Data!C$3:C$635),10^9)+ROW(Data!C$3:C$635)/1000,0))</f>
        <v/>
      </c>
      <c r="D297" s="111" t="str">
        <f t="shared" si="4"/>
        <v/>
      </c>
      <c r="E297" s="111" t="str" cm="1">
        <f t="array" ref="E297">INDEX(Data!E$3:E$635,MATCH(SMALL(IFERROR(SEARCH(,Data!E$3:E$635),10^9)+ROW(Data!E$3:E$635)/1000,ROWS(E$3:E297)),IFERROR(SEARCH(,Data!E$3:E$635),10^9)+ROW(Data!E$3:E$635)/1000,0))</f>
        <v/>
      </c>
      <c r="F297" s="111" t="str" cm="1">
        <f t="array" ref="F297">INDEX(Data!F$3:F$635,MATCH(SMALL(IFERROR(SEARCH(,Data!F$3:F$635),10^9)+ROW(Data!F$3:F$635)/1000,ROWS(F$3:F297)),IFERROR(SEARCH(,Data!F$3:F$635),10^9)+ROW(Data!F$3:F$635)/1000,0))</f>
        <v/>
      </c>
      <c r="G297" s="111" t="str" cm="1">
        <f t="array" ref="G297">INDEX(Data!G$3:G$635,MATCH(SMALL(IFERROR(SEARCH(,Data!G$3:G$635),10^9)+ROW(Data!G$3:G$635)/1000,ROWS(G$3:G297)),IFERROR(SEARCH(,Data!G$3:G$635),10^9)+ROW(Data!G$3:G$635)/1000,0))</f>
        <v/>
      </c>
      <c r="H297" s="623" t="str" cm="1">
        <f t="array" ref="H297">INDEX(Data!I$3:I$635,MATCH(SMALL(IFERROR(SEARCH(,Data!I$3:I$635),10^9)+ROW(Data!I$3:I$635)/1000,ROWS(H$3:H297)),IFERROR(SEARCH(,Data!I$3:I$635),10^9)+ROW(Data!I$3:I$635)/1000,0))</f>
        <v/>
      </c>
    </row>
    <row r="298" spans="1:8" ht="45.75" customHeight="1" x14ac:dyDescent="0.25">
      <c r="A298" s="108" t="str">
        <f>IFERROR(INDEX(Data!A$3:A$635,MATCH(IF(B298="","END",B298),Data!$B$3:$B$635,0)),"")</f>
        <v/>
      </c>
      <c r="B298" s="108" t="str" cm="1">
        <f t="array" ref="B298">INDEX(Data!B$3:B$635,MATCH(SMALL(IFERROR(SEARCH(,Data!B$3:B$635),10^9)+ROW(Data!B$3:B$635)/1000,ROWS(B$3:B298)),IFERROR(SEARCH(,Data!B$3:B$635),10^9)+ROW(Data!B$3:B$635)/1000,0))</f>
        <v/>
      </c>
      <c r="C298" s="317" t="str" cm="1">
        <f t="array" ref="C298">INDEX(Data!C$3:C$635,MATCH(SMALL(IFERROR(SEARCH(,Data!C$3:C$635),10^9)+ROW(Data!C$3:C$635)/1000,ROWS(C$3:C298)),IFERROR(SEARCH(,Data!C$3:C$635),10^9)+ROW(Data!C$3:C$635)/1000,0))</f>
        <v/>
      </c>
      <c r="D298" s="111" t="str">
        <f t="shared" si="4"/>
        <v/>
      </c>
      <c r="E298" s="111" t="str" cm="1">
        <f t="array" ref="E298">INDEX(Data!E$3:E$635,MATCH(SMALL(IFERROR(SEARCH(,Data!E$3:E$635),10^9)+ROW(Data!E$3:E$635)/1000,ROWS(E$3:E298)),IFERROR(SEARCH(,Data!E$3:E$635),10^9)+ROW(Data!E$3:E$635)/1000,0))</f>
        <v/>
      </c>
      <c r="F298" s="111" t="str" cm="1">
        <f t="array" ref="F298">INDEX(Data!F$3:F$635,MATCH(SMALL(IFERROR(SEARCH(,Data!F$3:F$635),10^9)+ROW(Data!F$3:F$635)/1000,ROWS(F$3:F298)),IFERROR(SEARCH(,Data!F$3:F$635),10^9)+ROW(Data!F$3:F$635)/1000,0))</f>
        <v/>
      </c>
      <c r="G298" s="111" t="str" cm="1">
        <f t="array" ref="G298">INDEX(Data!G$3:G$635,MATCH(SMALL(IFERROR(SEARCH(,Data!G$3:G$635),10^9)+ROW(Data!G$3:G$635)/1000,ROWS(G$3:G298)),IFERROR(SEARCH(,Data!G$3:G$635),10^9)+ROW(Data!G$3:G$635)/1000,0))</f>
        <v/>
      </c>
      <c r="H298" s="623" t="str" cm="1">
        <f t="array" ref="H298">INDEX(Data!I$3:I$635,MATCH(SMALL(IFERROR(SEARCH(,Data!I$3:I$635),10^9)+ROW(Data!I$3:I$635)/1000,ROWS(H$3:H298)),IFERROR(SEARCH(,Data!I$3:I$635),10^9)+ROW(Data!I$3:I$635)/1000,0))</f>
        <v/>
      </c>
    </row>
    <row r="299" spans="1:8" ht="45.75" customHeight="1" x14ac:dyDescent="0.25">
      <c r="A299" s="108" t="str">
        <f>IFERROR(INDEX(Data!A$3:A$635,MATCH(IF(B299="","END",B299),Data!$B$3:$B$635,0)),"")</f>
        <v/>
      </c>
      <c r="B299" s="108" t="str" cm="1">
        <f t="array" ref="B299">INDEX(Data!B$3:B$635,MATCH(SMALL(IFERROR(SEARCH(,Data!B$3:B$635),10^9)+ROW(Data!B$3:B$635)/1000,ROWS(B$3:B299)),IFERROR(SEARCH(,Data!B$3:B$635),10^9)+ROW(Data!B$3:B$635)/1000,0))</f>
        <v/>
      </c>
      <c r="C299" s="317" t="str" cm="1">
        <f t="array" ref="C299">INDEX(Data!C$3:C$635,MATCH(SMALL(IFERROR(SEARCH(,Data!C$3:C$635),10^9)+ROW(Data!C$3:C$635)/1000,ROWS(C$3:C299)),IFERROR(SEARCH(,Data!C$3:C$635),10^9)+ROW(Data!C$3:C$635)/1000,0))</f>
        <v/>
      </c>
      <c r="D299" s="111" t="str">
        <f t="shared" si="4"/>
        <v/>
      </c>
      <c r="E299" s="111" t="str" cm="1">
        <f t="array" ref="E299">INDEX(Data!E$3:E$635,MATCH(SMALL(IFERROR(SEARCH(,Data!E$3:E$635),10^9)+ROW(Data!E$3:E$635)/1000,ROWS(E$3:E299)),IFERROR(SEARCH(,Data!E$3:E$635),10^9)+ROW(Data!E$3:E$635)/1000,0))</f>
        <v/>
      </c>
      <c r="F299" s="111" t="str" cm="1">
        <f t="array" ref="F299">INDEX(Data!F$3:F$635,MATCH(SMALL(IFERROR(SEARCH(,Data!F$3:F$635),10^9)+ROW(Data!F$3:F$635)/1000,ROWS(F$3:F299)),IFERROR(SEARCH(,Data!F$3:F$635),10^9)+ROW(Data!F$3:F$635)/1000,0))</f>
        <v/>
      </c>
      <c r="G299" s="111" t="str" cm="1">
        <f t="array" ref="G299">INDEX(Data!G$3:G$635,MATCH(SMALL(IFERROR(SEARCH(,Data!G$3:G$635),10^9)+ROW(Data!G$3:G$635)/1000,ROWS(G$3:G299)),IFERROR(SEARCH(,Data!G$3:G$635),10^9)+ROW(Data!G$3:G$635)/1000,0))</f>
        <v/>
      </c>
      <c r="H299" s="623" t="str" cm="1">
        <f t="array" ref="H299">INDEX(Data!I$3:I$635,MATCH(SMALL(IFERROR(SEARCH(,Data!I$3:I$635),10^9)+ROW(Data!I$3:I$635)/1000,ROWS(H$3:H299)),IFERROR(SEARCH(,Data!I$3:I$635),10^9)+ROW(Data!I$3:I$635)/1000,0))</f>
        <v/>
      </c>
    </row>
    <row r="300" spans="1:8" ht="45.75" customHeight="1" x14ac:dyDescent="0.25">
      <c r="A300" s="108" t="str">
        <f>IFERROR(INDEX(Data!A$3:A$635,MATCH(IF(B300="","END",B300),Data!$B$3:$B$635,0)),"")</f>
        <v/>
      </c>
      <c r="B300" s="108" t="str" cm="1">
        <f t="array" ref="B300">INDEX(Data!B$3:B$635,MATCH(SMALL(IFERROR(SEARCH(,Data!B$3:B$635),10^9)+ROW(Data!B$3:B$635)/1000,ROWS(B$3:B300)),IFERROR(SEARCH(,Data!B$3:B$635),10^9)+ROW(Data!B$3:B$635)/1000,0))</f>
        <v/>
      </c>
      <c r="C300" s="317" t="str" cm="1">
        <f t="array" ref="C300">INDEX(Data!C$3:C$635,MATCH(SMALL(IFERROR(SEARCH(,Data!C$3:C$635),10^9)+ROW(Data!C$3:C$635)/1000,ROWS(C$3:C300)),IFERROR(SEARCH(,Data!C$3:C$635),10^9)+ROW(Data!C$3:C$635)/1000,0))</f>
        <v/>
      </c>
      <c r="D300" s="111" t="str">
        <f t="shared" si="4"/>
        <v/>
      </c>
      <c r="E300" s="111" t="str" cm="1">
        <f t="array" ref="E300">INDEX(Data!E$3:E$635,MATCH(SMALL(IFERROR(SEARCH(,Data!E$3:E$635),10^9)+ROW(Data!E$3:E$635)/1000,ROWS(E$3:E300)),IFERROR(SEARCH(,Data!E$3:E$635),10^9)+ROW(Data!E$3:E$635)/1000,0))</f>
        <v/>
      </c>
      <c r="F300" s="111" t="str" cm="1">
        <f t="array" ref="F300">INDEX(Data!F$3:F$635,MATCH(SMALL(IFERROR(SEARCH(,Data!F$3:F$635),10^9)+ROW(Data!F$3:F$635)/1000,ROWS(F$3:F300)),IFERROR(SEARCH(,Data!F$3:F$635),10^9)+ROW(Data!F$3:F$635)/1000,0))</f>
        <v/>
      </c>
      <c r="G300" s="111" t="str" cm="1">
        <f t="array" ref="G300">INDEX(Data!G$3:G$635,MATCH(SMALL(IFERROR(SEARCH(,Data!G$3:G$635),10^9)+ROW(Data!G$3:G$635)/1000,ROWS(G$3:G300)),IFERROR(SEARCH(,Data!G$3:G$635),10^9)+ROW(Data!G$3:G$635)/1000,0))</f>
        <v/>
      </c>
      <c r="H300" s="623" t="str" cm="1">
        <f t="array" ref="H300">INDEX(Data!I$3:I$635,MATCH(SMALL(IFERROR(SEARCH(,Data!I$3:I$635),10^9)+ROW(Data!I$3:I$635)/1000,ROWS(H$3:H300)),IFERROR(SEARCH(,Data!I$3:I$635),10^9)+ROW(Data!I$3:I$635)/1000,0))</f>
        <v/>
      </c>
    </row>
  </sheetData>
  <sheetProtection algorithmName="SHA-512" hashValue="uU4pCFrTHOqtONrKNN9TT5Z1SJIwHtyoOBLpGkjtsHzDic+tOAnrAf38zONZeB+96eH1P3/fC7ftzz50YkQmig==" saltValue="zCaTYPJL+OuHJO6/WEn7PQ==" spinCount="100000" sheet="1" objects="1" scenarios="1"/>
  <mergeCells count="1">
    <mergeCell ref="A1:B1"/>
  </mergeCells>
  <conditionalFormatting sqref="D3:D400">
    <cfRule type="dataBar" priority="2">
      <dataBar>
        <cfvo type="min"/>
        <cfvo type="max"/>
        <color theme="5" tint="0.39997558519241921"/>
      </dataBar>
      <extLst>
        <ext xmlns:x14="http://schemas.microsoft.com/office/spreadsheetml/2009/9/main" uri="{B025F937-C7B1-47D3-B67F-A62EFF666E3E}">
          <x14:id>{B9E460D8-7DE1-408A-B69D-CCCEC0AFCDC0}</x14:id>
        </ext>
      </extLst>
    </cfRule>
  </conditionalFormatting>
  <conditionalFormatting sqref="A3:A500">
    <cfRule type="cellIs" dxfId="69" priority="64" operator="equal">
      <formula>0</formula>
    </cfRule>
  </conditionalFormatting>
  <conditionalFormatting sqref="H3:H300">
    <cfRule type="notContainsBlanks" dxfId="68" priority="1">
      <formula>LEN(TRIM(H3))&gt;0</formula>
    </cfRule>
  </conditionalFormatting>
  <conditionalFormatting sqref="E3:E400">
    <cfRule type="dataBar" priority="3">
      <dataBar>
        <cfvo type="min"/>
        <cfvo type="max"/>
        <color rgb="FF808080"/>
      </dataBar>
      <extLst>
        <ext xmlns:x14="http://schemas.microsoft.com/office/spreadsheetml/2009/9/main" uri="{B025F937-C7B1-47D3-B67F-A62EFF666E3E}">
          <x14:id>{815E6993-194D-4AD5-B0D7-98FC38EF48F8}</x14:id>
        </ext>
      </extLst>
    </cfRule>
  </conditionalFormatting>
  <conditionalFormatting sqref="F3:F400">
    <cfRule type="dataBar" priority="22">
      <dataBar>
        <cfvo type="min"/>
        <cfvo type="max"/>
        <color rgb="FF70AD47"/>
      </dataBar>
      <extLst>
        <ext xmlns:x14="http://schemas.microsoft.com/office/spreadsheetml/2009/9/main" uri="{B025F937-C7B1-47D3-B67F-A62EFF666E3E}">
          <x14:id>{2C1B8E54-EF43-449A-A351-A63189DE1884}</x14:id>
        </ext>
      </extLst>
    </cfRule>
  </conditionalFormatting>
  <pageMargins left="0.7" right="0.7" top="0.75" bottom="0.75" header="0.3" footer="0.3"/>
  <pageSetup orientation="portrait" r:id="rId1"/>
  <headerFooter>
    <oddHeader>&amp;R&amp;"Aptos"&amp;12&amp;K000000 UNCLASSIFIED - NON CLASSIFIÉ&amp;1#_x000D_</oddHeader>
  </headerFooter>
  <legacyDrawing r:id="rId2"/>
  <extLst>
    <ext xmlns:x14="http://schemas.microsoft.com/office/spreadsheetml/2009/9/main" uri="{78C0D931-6437-407d-A8EE-F0AAD7539E65}">
      <x14:conditionalFormattings>
        <x14:conditionalFormatting xmlns:xm="http://schemas.microsoft.com/office/excel/2006/main">
          <x14:cfRule type="dataBar" id="{B9E460D8-7DE1-408A-B69D-CCCEC0AFCDC0}">
            <x14:dataBar minLength="0" maxLength="100" gradient="0">
              <x14:cfvo type="autoMin"/>
              <x14:cfvo type="autoMax"/>
              <x14:negativeFillColor rgb="FFBDE04C"/>
              <x14:axisColor rgb="FF000000"/>
            </x14:dataBar>
          </x14:cfRule>
          <xm:sqref>D3:D400</xm:sqref>
        </x14:conditionalFormatting>
        <x14:conditionalFormatting xmlns:xm="http://schemas.microsoft.com/office/excel/2006/main">
          <x14:cfRule type="dataBar" id="{815E6993-194D-4AD5-B0D7-98FC38EF48F8}">
            <x14:dataBar minLength="0" maxLength="100" gradient="0">
              <x14:cfvo type="autoMin"/>
              <x14:cfvo type="autoMax"/>
              <x14:negativeFillColor rgb="FFBDE04C"/>
              <x14:axisColor rgb="FF000000"/>
            </x14:dataBar>
          </x14:cfRule>
          <xm:sqref>E3:E400</xm:sqref>
        </x14:conditionalFormatting>
        <x14:conditionalFormatting xmlns:xm="http://schemas.microsoft.com/office/excel/2006/main">
          <x14:cfRule type="dataBar" id="{2C1B8E54-EF43-449A-A351-A63189DE1884}">
            <x14:dataBar minLength="0" maxLength="100" gradient="0">
              <x14:cfvo type="autoMin"/>
              <x14:cfvo type="autoMax"/>
              <x14:negativeFillColor rgb="FFBDE04C"/>
              <x14:axisColor rgb="FF000000"/>
            </x14:dataBar>
          </x14:cfRule>
          <xm:sqref>F3:F400</xm:sqref>
        </x14:conditionalFormatting>
        <x14:conditionalFormatting xmlns:xm="http://schemas.microsoft.com/office/excel/2006/main">
          <x14:cfRule type="containsText" priority="1194" operator="containsText" id="{AC149EEB-9A6F-462A-92C2-10B16184A2CF}">
            <xm:f>NOT(ISERROR(SEARCH(VLOOKUP("Garage",Setting!$E$6:$H$34,4,FALSE),A3)))</xm:f>
            <xm:f>VLOOKUP("Garage",Setting!$E$6:$H$34,4,FALSE)</xm:f>
            <x14:dxf>
              <fill>
                <patternFill>
                  <bgColor theme="9"/>
                </patternFill>
              </fill>
            </x14:dxf>
          </x14:cfRule>
          <x14:cfRule type="containsText" priority="1195" operator="containsText" id="{DD8F2ED7-481A-4616-A422-39F2573CB6F9}">
            <xm:f>NOT(ISERROR(SEARCH(VLOOKUP("Roof",Setting!$E$6:$H$34,4,FALSE),A3)))</xm:f>
            <xm:f>VLOOKUP("Roof",Setting!$E$6:$H$34,4,FALSE)</xm:f>
            <x14:dxf>
              <fill>
                <patternFill>
                  <bgColor theme="9" tint="-0.24994659260841701"/>
                </patternFill>
              </fill>
            </x14:dxf>
          </x14:cfRule>
          <x14:cfRule type="containsText" priority="1196" operator="containsText" id="{533EB452-5A50-4550-8236-7AF1B72FE27A}">
            <xm:f>NOT(ISERROR(SEARCH(VLOOKUP("Ceilings",Setting!$E$6:$H$34,4,FALSE),A3)))</xm:f>
            <xm:f>VLOOKUP("Ceilings",Setting!$E$6:$H$34,4,FALSE)</xm:f>
            <x14:dxf>
              <fill>
                <patternFill>
                  <bgColor rgb="FF247E90"/>
                </patternFill>
              </fill>
            </x14:dxf>
          </x14:cfRule>
          <x14:cfRule type="containsText" priority="1197" operator="containsText" id="{79B3B1FB-0D63-44E5-8779-4D4C94E64A10}">
            <xm:f>NOT(ISERROR(SEARCH(VLOOKUP("Floors",Setting!$E$6:$H$34,4,FALSE),A3)))</xm:f>
            <xm:f>VLOOKUP("Floors",Setting!$E$6:$H$34,4,FALSE)</xm:f>
            <x14:dxf>
              <fill>
                <patternFill>
                  <bgColor theme="7" tint="-0.24994659260841701"/>
                </patternFill>
              </fill>
            </x14:dxf>
          </x14:cfRule>
          <x14:cfRule type="containsText" priority="1198" operator="containsText" id="{60B6A5E7-AC14-435B-A3E1-30EA3FCB9C09}">
            <xm:f>NOT(ISERROR(SEARCH(VLOOKUP("Int. Walls",Setting!$E$6:$H$34,4,FALSE),A3)))</xm:f>
            <xm:f>VLOOKUP("Int. Walls",Setting!$E$6:$H$34,4,FALSE)</xm:f>
            <x14:dxf>
              <fill>
                <patternFill>
                  <bgColor rgb="FFEBBC7D"/>
                </patternFill>
              </fill>
            </x14:dxf>
          </x14:cfRule>
          <x14:cfRule type="containsText" priority="1199" operator="containsText" id="{F310ED5B-2996-4C52-87CD-03F16AA8B8D0}">
            <xm:f>NOT(ISERROR(SEARCH(VLOOKUP("Windows",Setting!$E$6:$H$34,4,FALSE),A3)))</xm:f>
            <xm:f>VLOOKUP("Windows",Setting!$E$6:$H$34,4,FALSE)</xm:f>
            <x14:dxf>
              <fill>
                <patternFill>
                  <bgColor theme="5" tint="-0.24994659260841701"/>
                </patternFill>
              </fill>
            </x14:dxf>
          </x14:cfRule>
          <x14:cfRule type="containsText" priority="1200" operator="containsText" id="{D730B6DF-11C8-4603-8CE5-1B1D88F4BE8D}">
            <xm:f>NOT(ISERROR(SEARCH(VLOOKUP("Cladding",Setting!$E$6:$H$34,4,FALSE),A3)))</xm:f>
            <xm:f>VLOOKUP("Cladding",Setting!$E$6:$H$34,4,FALSE)</xm:f>
            <x14:dxf>
              <fill>
                <patternFill>
                  <bgColor theme="4"/>
                </patternFill>
              </fill>
            </x14:dxf>
          </x14:cfRule>
          <x14:cfRule type="containsText" priority="1201" operator="containsText" id="{58961A2D-D50E-4693-9072-5F3BBA6AD86A}">
            <xm:f>NOT(ISERROR(SEARCH(VLOOKUP("Party Walls",Setting!$E$6:$H$34,4,FALSE),A3)))</xm:f>
            <xm:f>VLOOKUP("Party Walls",Setting!$E$6:$H$34,4,FALSE)</xm:f>
            <x14:dxf>
              <fill>
                <patternFill>
                  <bgColor rgb="FF97E4FF"/>
                </patternFill>
              </fill>
            </x14:dxf>
          </x14:cfRule>
          <x14:cfRule type="containsText" priority="1202" operator="containsText" id="{109F9708-8D75-4E00-8578-0F8C253826CA}">
            <xm:f>NOT(ISERROR(SEARCH(VLOOKUP("Ext. Wall Systems",Setting!$E$6:$H$34,4,FALSE),A3)))</xm:f>
            <xm:f>VLOOKUP("Ext. Wall Systems",Setting!$E$6:$H$34,4,FALSE)</xm:f>
            <x14:dxf>
              <fill>
                <patternFill>
                  <bgColor theme="9" tint="0.39994506668294322"/>
                </patternFill>
              </fill>
            </x14:dxf>
          </x14:cfRule>
          <x14:cfRule type="containsText" priority="1203" operator="containsText" id="{27A578D8-EBFB-476D-A64D-A0BD9348612B}">
            <xm:f>NOT(ISERROR(SEARCH(VLOOKUP("Ext. Walls",Setting!$E$6:$H$34,4,FALSE),A3)))</xm:f>
            <xm:f>VLOOKUP("Ext. Walls",Setting!$E$6:$H$34,4,FALSE)</xm:f>
            <x14:dxf>
              <fill>
                <patternFill>
                  <bgColor rgb="FF70A8DA"/>
                </patternFill>
              </fill>
            </x14:dxf>
          </x14:cfRule>
          <x14:cfRule type="containsText" priority="1204" operator="containsText" id="{5990007D-D145-47DE-97F5-4941C3686144}">
            <xm:f>NOT(ISERROR(SEARCH(VLOOKUP("Structural Elements",Setting!$E$6:$H$34,4,FALSE),A3)))</xm:f>
            <xm:f>VLOOKUP("Structural Elements",Setting!$E$6:$H$34,4,FALSE)</xm:f>
            <x14:dxf>
              <fill>
                <patternFill>
                  <bgColor theme="7"/>
                </patternFill>
              </fill>
            </x14:dxf>
          </x14:cfRule>
          <x14:cfRule type="containsText" priority="1205" operator="containsText" id="{CBB76455-8650-402D-91B4-9E2CF31D9805}">
            <xm:f>NOT(ISERROR(SEARCH(VLOOKUP("Foundation Walls",Setting!$E$6:$H$34,4,FALSE),A3)))</xm:f>
            <xm:f>VLOOKUP("Foundation Walls",Setting!$E$6:$H$34,4,FALSE)</xm:f>
            <x14:dxf>
              <fill>
                <patternFill>
                  <bgColor theme="6" tint="0.39994506668294322"/>
                </patternFill>
              </fill>
            </x14:dxf>
          </x14:cfRule>
          <x14:cfRule type="containsText" priority="1206" operator="containsText" id="{43AE5B4E-B855-42ED-B658-1522C104C5EF}">
            <xm:f>NOT(ISERROR(SEARCH(VLOOKUP("Footings &amp; Slabs",Setting!$E$6:$H$34,4,FALSE),A3)))</xm:f>
            <xm:f>VLOOKUP("Footings &amp; Slabs",Setting!$E$6:$H$34,4,FALSE)</xm:f>
            <x14:dxf>
              <font>
                <color auto="1"/>
              </font>
              <fill>
                <patternFill>
                  <bgColor rgb="FFCCCC00"/>
                </patternFill>
              </fill>
            </x14:dxf>
          </x14:cfRule>
          <x14:cfRule type="containsText" priority="1207" operator="containsText" id="{27BAA379-2A4B-40CD-BF2A-D0E9AA80D591}">
            <xm:f>NOT(ISERROR(SEARCH(VLOOKUP("User-Defined",Setting!$E$6:$H$34,4,FALSE),A3)))</xm:f>
            <xm:f>VLOOKUP("User-Defined",Setting!$E$6:$H$34,4,FALSE)</xm:f>
            <x14:dxf>
              <font>
                <color auto="1"/>
              </font>
              <fill>
                <patternFill>
                  <bgColor theme="7" tint="0.59996337778862885"/>
                </patternFill>
              </fill>
            </x14:dxf>
          </x14:cfRule>
          <xm:sqref>A3:A500</xm:sqref>
        </x14:conditionalFormatting>
      </x14:conditionalFormatting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A2CFB-EA73-4843-A540-658A0D50CEC4}">
  <sheetPr codeName="Sheet36"/>
  <dimension ref="A1:S3643"/>
  <sheetViews>
    <sheetView topLeftCell="A1303" zoomScaleNormal="100" workbookViewId="0">
      <selection activeCell="E1307" sqref="E1307"/>
    </sheetView>
  </sheetViews>
  <sheetFormatPr defaultColWidth="8.90625" defaultRowHeight="14.4" x14ac:dyDescent="0.3"/>
  <cols>
    <col min="1" max="1" width="10.90625" style="888" customWidth="1"/>
    <col min="2" max="2" width="13.453125" style="888" bestFit="1" customWidth="1"/>
    <col min="3" max="3" width="15.453125" style="888" bestFit="1" customWidth="1"/>
    <col min="4" max="4" width="15.453125" style="888" customWidth="1"/>
    <col min="5" max="5" width="72.36328125" style="893" customWidth="1"/>
    <col min="6" max="6" width="11.453125" style="893" bestFit="1" customWidth="1"/>
    <col min="7" max="7" width="8.90625" style="893"/>
    <col min="8" max="8" width="11.453125" style="893" bestFit="1" customWidth="1"/>
    <col min="9" max="16384" width="8.90625" style="888"/>
  </cols>
  <sheetData>
    <row r="1" spans="1:13" x14ac:dyDescent="0.3">
      <c r="A1" s="887"/>
      <c r="B1" s="887"/>
      <c r="C1" s="887"/>
      <c r="D1" s="887"/>
      <c r="E1" s="1690" t="s">
        <v>1971</v>
      </c>
      <c r="F1" s="1690"/>
      <c r="G1" s="1691" t="s">
        <v>1972</v>
      </c>
      <c r="H1" s="1691"/>
    </row>
    <row r="2" spans="1:13" x14ac:dyDescent="0.3">
      <c r="A2" s="889" t="s">
        <v>2056</v>
      </c>
      <c r="B2" s="889" t="s">
        <v>2057</v>
      </c>
      <c r="C2" s="889" t="s">
        <v>2058</v>
      </c>
      <c r="D2" s="889" t="s">
        <v>2059</v>
      </c>
      <c r="E2" s="890" t="s">
        <v>2060</v>
      </c>
      <c r="F2" s="890" t="s">
        <v>2061</v>
      </c>
      <c r="G2" s="891" t="s">
        <v>2060</v>
      </c>
      <c r="H2" s="891" t="s">
        <v>2061</v>
      </c>
    </row>
    <row r="3" spans="1:13" x14ac:dyDescent="0.3">
      <c r="A3" s="888" t="s">
        <v>2062</v>
      </c>
      <c r="B3" s="888" t="s">
        <v>1949</v>
      </c>
      <c r="C3" s="892" t="s">
        <v>2417</v>
      </c>
      <c r="E3" s="893" t="s">
        <v>3324</v>
      </c>
      <c r="F3" s="888"/>
      <c r="G3" s="894" t="s">
        <v>4899</v>
      </c>
      <c r="H3" s="888"/>
    </row>
    <row r="4" spans="1:13" x14ac:dyDescent="0.3">
      <c r="A4" s="888" t="s">
        <v>2062</v>
      </c>
      <c r="B4" s="895" t="s">
        <v>5141</v>
      </c>
      <c r="C4" s="888" t="s">
        <v>2063</v>
      </c>
      <c r="E4" s="896" t="s">
        <v>4035</v>
      </c>
      <c r="G4" s="894" t="s">
        <v>4900</v>
      </c>
    </row>
    <row r="5" spans="1:13" x14ac:dyDescent="0.3">
      <c r="A5" s="888" t="s">
        <v>2062</v>
      </c>
      <c r="B5" s="888" t="s">
        <v>1949</v>
      </c>
      <c r="C5" s="892" t="s">
        <v>2372</v>
      </c>
      <c r="D5" s="888" t="b">
        <v>1</v>
      </c>
      <c r="E5" s="1692" t="s">
        <v>1776</v>
      </c>
      <c r="F5" s="1692"/>
      <c r="G5" s="1692"/>
      <c r="H5" s="1692"/>
      <c r="I5" s="1692"/>
      <c r="J5" s="1692"/>
      <c r="K5" s="1692"/>
      <c r="L5" s="1692"/>
      <c r="M5" s="1692"/>
    </row>
    <row r="6" spans="1:13" x14ac:dyDescent="0.3">
      <c r="A6" s="888" t="s">
        <v>2083</v>
      </c>
      <c r="E6" s="1692"/>
      <c r="F6" s="1692"/>
      <c r="G6" s="1692"/>
      <c r="H6" s="1692"/>
      <c r="I6" s="1692"/>
      <c r="J6" s="1692"/>
      <c r="K6" s="1692"/>
      <c r="L6" s="1692"/>
      <c r="M6" s="1692"/>
    </row>
    <row r="7" spans="1:13" x14ac:dyDescent="0.3">
      <c r="A7" s="888" t="s">
        <v>2083</v>
      </c>
      <c r="E7" s="1692"/>
      <c r="F7" s="1692"/>
      <c r="G7" s="1692"/>
      <c r="H7" s="1692"/>
      <c r="I7" s="1692"/>
      <c r="J7" s="1692"/>
      <c r="K7" s="1692"/>
      <c r="L7" s="1692"/>
      <c r="M7" s="1692"/>
    </row>
    <row r="8" spans="1:13" x14ac:dyDescent="0.3">
      <c r="A8" s="888" t="s">
        <v>2083</v>
      </c>
      <c r="E8" s="1692"/>
      <c r="F8" s="1692"/>
      <c r="G8" s="1692"/>
      <c r="H8" s="1692"/>
      <c r="I8" s="1692"/>
      <c r="J8" s="1692"/>
      <c r="K8" s="1692"/>
      <c r="L8" s="1692"/>
      <c r="M8" s="1692"/>
    </row>
    <row r="9" spans="1:13" s="499" customFormat="1" ht="15.6" x14ac:dyDescent="0.3">
      <c r="A9" s="888" t="s">
        <v>2083</v>
      </c>
      <c r="E9" s="1692"/>
      <c r="F9" s="1692"/>
      <c r="G9" s="1692"/>
      <c r="H9" s="1692"/>
      <c r="I9" s="1692"/>
      <c r="J9" s="1692"/>
      <c r="K9" s="1692"/>
      <c r="L9" s="1692"/>
      <c r="M9" s="1692"/>
    </row>
    <row r="10" spans="1:13" x14ac:dyDescent="0.3">
      <c r="A10" s="888" t="s">
        <v>2062</v>
      </c>
      <c r="B10" s="888" t="s">
        <v>1949</v>
      </c>
      <c r="C10" s="892" t="s">
        <v>7298</v>
      </c>
      <c r="E10" s="897" t="s">
        <v>3407</v>
      </c>
    </row>
    <row r="11" spans="1:13" x14ac:dyDescent="0.3">
      <c r="A11" s="888" t="s">
        <v>2062</v>
      </c>
      <c r="B11" s="888" t="s">
        <v>1949</v>
      </c>
      <c r="C11" s="892" t="s">
        <v>7299</v>
      </c>
      <c r="E11" s="893" t="s">
        <v>3312</v>
      </c>
    </row>
    <row r="12" spans="1:13" x14ac:dyDescent="0.3">
      <c r="A12" s="888" t="s">
        <v>2062</v>
      </c>
      <c r="B12" s="888" t="s">
        <v>1949</v>
      </c>
      <c r="C12" s="892" t="s">
        <v>2419</v>
      </c>
      <c r="E12" s="893" t="s">
        <v>3313</v>
      </c>
    </row>
    <row r="13" spans="1:13" ht="15" thickBot="1" x14ac:dyDescent="0.35">
      <c r="A13" s="888" t="s">
        <v>2062</v>
      </c>
      <c r="B13" s="888" t="s">
        <v>1949</v>
      </c>
      <c r="C13" s="892" t="s">
        <v>7300</v>
      </c>
      <c r="E13" s="893" t="s">
        <v>3314</v>
      </c>
    </row>
    <row r="14" spans="1:13" ht="18.600000000000001" thickBot="1" x14ac:dyDescent="0.35">
      <c r="A14" s="888" t="s">
        <v>2062</v>
      </c>
      <c r="B14" s="888" t="s">
        <v>1949</v>
      </c>
      <c r="C14" s="898" t="s">
        <v>7301</v>
      </c>
      <c r="D14" s="888" t="b">
        <v>1</v>
      </c>
      <c r="E14" s="1445" t="s">
        <v>3476</v>
      </c>
      <c r="F14" s="1446"/>
    </row>
    <row r="15" spans="1:13" ht="18.600000000000001" thickBot="1" x14ac:dyDescent="0.35">
      <c r="A15" s="888" t="s">
        <v>2062</v>
      </c>
      <c r="B15" s="888" t="s">
        <v>1949</v>
      </c>
      <c r="C15" s="888" t="s">
        <v>7302</v>
      </c>
      <c r="D15" s="888" t="b">
        <v>1</v>
      </c>
      <c r="E15" s="1445" t="s">
        <v>3477</v>
      </c>
      <c r="F15" s="1446"/>
    </row>
    <row r="16" spans="1:13" ht="16.2" thickBot="1" x14ac:dyDescent="0.35">
      <c r="A16" s="888" t="s">
        <v>2062</v>
      </c>
      <c r="B16" s="888" t="s">
        <v>1949</v>
      </c>
      <c r="C16" s="888" t="s">
        <v>7303</v>
      </c>
      <c r="D16" s="888" t="b">
        <v>1</v>
      </c>
      <c r="E16" s="1445" t="s">
        <v>3478</v>
      </c>
      <c r="F16" s="1446"/>
    </row>
    <row r="17" spans="1:12" x14ac:dyDescent="0.3">
      <c r="A17" s="888" t="s">
        <v>2062</v>
      </c>
      <c r="B17" s="888" t="s">
        <v>1949</v>
      </c>
      <c r="C17" s="888" t="s">
        <v>2136</v>
      </c>
      <c r="E17" s="897" t="s">
        <v>3408</v>
      </c>
    </row>
    <row r="18" spans="1:12" ht="17.399999999999999" x14ac:dyDescent="0.3">
      <c r="A18" s="888" t="s">
        <v>2062</v>
      </c>
      <c r="B18" s="888" t="s">
        <v>1949</v>
      </c>
      <c r="C18" s="888" t="s">
        <v>2312</v>
      </c>
      <c r="D18" s="888" t="b">
        <v>1</v>
      </c>
      <c r="E18" s="516" t="s">
        <v>1282</v>
      </c>
    </row>
    <row r="19" spans="1:12" x14ac:dyDescent="0.3">
      <c r="A19" s="888" t="s">
        <v>2062</v>
      </c>
      <c r="B19" s="888" t="s">
        <v>1949</v>
      </c>
      <c r="C19" s="888" t="s">
        <v>7304</v>
      </c>
      <c r="E19" s="893" t="s">
        <v>1108</v>
      </c>
    </row>
    <row r="20" spans="1:12" x14ac:dyDescent="0.3">
      <c r="A20" s="888" t="s">
        <v>2062</v>
      </c>
      <c r="B20" s="888" t="s">
        <v>1949</v>
      </c>
      <c r="C20" s="888" t="s">
        <v>6788</v>
      </c>
      <c r="E20" s="893" t="s">
        <v>3458</v>
      </c>
    </row>
    <row r="21" spans="1:12" x14ac:dyDescent="0.3">
      <c r="A21" s="888" t="s">
        <v>2062</v>
      </c>
      <c r="B21" s="888" t="s">
        <v>1949</v>
      </c>
      <c r="C21" s="899" t="s">
        <v>7305</v>
      </c>
      <c r="E21" s="893" t="s">
        <v>6780</v>
      </c>
    </row>
    <row r="22" spans="1:12" x14ac:dyDescent="0.3">
      <c r="A22" s="888" t="s">
        <v>2062</v>
      </c>
      <c r="B22" s="888" t="s">
        <v>1949</v>
      </c>
      <c r="C22" s="888" t="s">
        <v>7306</v>
      </c>
      <c r="E22" s="893" t="s">
        <v>3474</v>
      </c>
    </row>
    <row r="23" spans="1:12" x14ac:dyDescent="0.3">
      <c r="A23" s="888" t="s">
        <v>2072</v>
      </c>
      <c r="B23" s="888" t="s">
        <v>1949</v>
      </c>
      <c r="C23" s="900" t="s">
        <v>3397</v>
      </c>
      <c r="E23" s="893" t="s">
        <v>2074</v>
      </c>
    </row>
    <row r="24" spans="1:12" x14ac:dyDescent="0.3">
      <c r="A24" s="888" t="s">
        <v>2072</v>
      </c>
      <c r="B24" s="888" t="s">
        <v>1949</v>
      </c>
      <c r="C24" s="900" t="s">
        <v>3398</v>
      </c>
      <c r="E24" s="901" t="s">
        <v>3361</v>
      </c>
    </row>
    <row r="25" spans="1:12" x14ac:dyDescent="0.3">
      <c r="A25" s="888" t="s">
        <v>2072</v>
      </c>
      <c r="B25" s="888" t="s">
        <v>1949</v>
      </c>
      <c r="C25" s="900" t="s">
        <v>3399</v>
      </c>
      <c r="E25" s="893" t="s">
        <v>3360</v>
      </c>
    </row>
    <row r="26" spans="1:12" x14ac:dyDescent="0.3">
      <c r="A26" s="888" t="s">
        <v>2062</v>
      </c>
      <c r="B26" s="888" t="s">
        <v>1949</v>
      </c>
      <c r="C26" s="888" t="s">
        <v>3327</v>
      </c>
      <c r="E26" s="893" t="s">
        <v>1117</v>
      </c>
    </row>
    <row r="27" spans="1:12" ht="18" x14ac:dyDescent="0.3">
      <c r="A27" s="888" t="s">
        <v>2062</v>
      </c>
      <c r="B27" s="888" t="s">
        <v>1949</v>
      </c>
      <c r="C27" s="888" t="s">
        <v>3814</v>
      </c>
      <c r="D27" s="888" t="b">
        <v>1</v>
      </c>
      <c r="E27" s="525" t="s">
        <v>1121</v>
      </c>
    </row>
    <row r="28" spans="1:12" x14ac:dyDescent="0.3">
      <c r="A28" s="888" t="s">
        <v>2062</v>
      </c>
      <c r="B28" s="888" t="s">
        <v>1949</v>
      </c>
      <c r="C28" s="888" t="s">
        <v>6790</v>
      </c>
      <c r="E28" s="893" t="s">
        <v>1117</v>
      </c>
    </row>
    <row r="29" spans="1:12" x14ac:dyDescent="0.3">
      <c r="A29" s="888" t="s">
        <v>2062</v>
      </c>
      <c r="B29" s="888" t="s">
        <v>1949</v>
      </c>
      <c r="C29" s="899" t="s">
        <v>7307</v>
      </c>
      <c r="E29" s="902" t="str">
        <f>$E$28</f>
        <v>Elec. kWh/yr</v>
      </c>
    </row>
    <row r="30" spans="1:12" s="499" customFormat="1" ht="15.6" x14ac:dyDescent="0.3">
      <c r="A30" s="888" t="s">
        <v>2062</v>
      </c>
      <c r="B30" s="888" t="s">
        <v>1949</v>
      </c>
      <c r="C30" s="888" t="s">
        <v>7308</v>
      </c>
      <c r="D30" s="888" t="b">
        <v>1</v>
      </c>
      <c r="E30" s="1516" t="s">
        <v>3459</v>
      </c>
      <c r="F30" s="1517"/>
      <c r="G30" s="1517"/>
      <c r="H30" s="1517"/>
      <c r="I30" s="1517"/>
      <c r="J30" s="1517"/>
      <c r="K30" s="1517"/>
      <c r="L30" s="1518"/>
    </row>
    <row r="31" spans="1:12" s="499" customFormat="1" ht="15.6" x14ac:dyDescent="0.3">
      <c r="A31" s="888" t="s">
        <v>2083</v>
      </c>
      <c r="E31" s="1500"/>
      <c r="F31" s="1501"/>
      <c r="G31" s="1501"/>
      <c r="H31" s="1501"/>
      <c r="I31" s="1501"/>
      <c r="J31" s="1501"/>
      <c r="K31" s="1501"/>
      <c r="L31" s="1502"/>
    </row>
    <row r="32" spans="1:12" ht="15.6" x14ac:dyDescent="0.3">
      <c r="A32" s="888" t="s">
        <v>2062</v>
      </c>
      <c r="B32" s="898" t="s">
        <v>5141</v>
      </c>
      <c r="C32" s="888" t="s">
        <v>3328</v>
      </c>
      <c r="D32" s="888" t="b">
        <v>1</v>
      </c>
      <c r="E32" s="1693" t="s">
        <v>0</v>
      </c>
      <c r="F32" s="1694"/>
      <c r="G32" s="1694"/>
    </row>
    <row r="33" spans="1:12" x14ac:dyDescent="0.3">
      <c r="A33" s="888" t="s">
        <v>2062</v>
      </c>
      <c r="B33" s="888" t="s">
        <v>1949</v>
      </c>
      <c r="C33" s="888" t="s">
        <v>2078</v>
      </c>
      <c r="E33" s="893" t="s">
        <v>1118</v>
      </c>
    </row>
    <row r="34" spans="1:12" x14ac:dyDescent="0.3">
      <c r="A34" s="888" t="s">
        <v>2062</v>
      </c>
      <c r="B34" s="888" t="s">
        <v>1949</v>
      </c>
      <c r="C34" s="888" t="s">
        <v>3329</v>
      </c>
      <c r="E34" s="893" t="s">
        <v>1119</v>
      </c>
    </row>
    <row r="35" spans="1:12" x14ac:dyDescent="0.3">
      <c r="A35" s="888" t="s">
        <v>2062</v>
      </c>
      <c r="B35" s="888" t="s">
        <v>1949</v>
      </c>
      <c r="C35" s="888" t="s">
        <v>7309</v>
      </c>
      <c r="E35" s="893" t="s">
        <v>1120</v>
      </c>
    </row>
    <row r="36" spans="1:12" s="499" customFormat="1" ht="15.75" customHeight="1" x14ac:dyDescent="0.3">
      <c r="A36" s="888" t="s">
        <v>2062</v>
      </c>
      <c r="B36" s="888" t="s">
        <v>1949</v>
      </c>
      <c r="C36" s="888" t="s">
        <v>7310</v>
      </c>
      <c r="D36" s="499" t="b">
        <v>1</v>
      </c>
      <c r="E36" s="1500" t="s">
        <v>3490</v>
      </c>
      <c r="F36" s="1501"/>
      <c r="G36" s="1501"/>
      <c r="H36" s="1501"/>
      <c r="I36" s="1501"/>
      <c r="J36" s="1501"/>
      <c r="K36" s="1501"/>
      <c r="L36" s="1502"/>
    </row>
    <row r="37" spans="1:12" s="499" customFormat="1" ht="15.6" x14ac:dyDescent="0.3">
      <c r="A37" s="888" t="s">
        <v>2083</v>
      </c>
      <c r="E37" s="1500"/>
      <c r="F37" s="1501"/>
      <c r="G37" s="1501"/>
      <c r="H37" s="1501"/>
      <c r="I37" s="1501"/>
      <c r="J37" s="1501"/>
      <c r="K37" s="1501"/>
      <c r="L37" s="1502"/>
    </row>
    <row r="38" spans="1:12" s="499" customFormat="1" ht="15.6" x14ac:dyDescent="0.3">
      <c r="A38" s="888" t="s">
        <v>2083</v>
      </c>
      <c r="E38" s="1500"/>
      <c r="F38" s="1501"/>
      <c r="G38" s="1501"/>
      <c r="H38" s="1501"/>
      <c r="I38" s="1501"/>
      <c r="J38" s="1501"/>
      <c r="K38" s="1501"/>
      <c r="L38" s="1502"/>
    </row>
    <row r="39" spans="1:12" ht="15" customHeight="1" x14ac:dyDescent="0.3">
      <c r="A39" s="888" t="s">
        <v>2062</v>
      </c>
      <c r="B39" s="888" t="s">
        <v>1949</v>
      </c>
      <c r="C39" s="888" t="s">
        <v>7311</v>
      </c>
      <c r="E39" s="893" t="s">
        <v>1713</v>
      </c>
    </row>
    <row r="40" spans="1:12" x14ac:dyDescent="0.3">
      <c r="A40" s="888" t="s">
        <v>2062</v>
      </c>
      <c r="B40" s="888" t="s">
        <v>1949</v>
      </c>
      <c r="C40" s="888" t="s">
        <v>2138</v>
      </c>
      <c r="E40" s="893" t="str">
        <f>$E$17</f>
        <v>Step</v>
      </c>
    </row>
    <row r="41" spans="1:12" ht="17.399999999999999" x14ac:dyDescent="0.3">
      <c r="A41" s="888" t="s">
        <v>2062</v>
      </c>
      <c r="B41" s="888" t="s">
        <v>1949</v>
      </c>
      <c r="C41" s="888" t="s">
        <v>2081</v>
      </c>
      <c r="D41" s="888" t="b">
        <v>1</v>
      </c>
      <c r="E41" s="1695" t="s">
        <v>7507</v>
      </c>
      <c r="F41" s="1695"/>
    </row>
    <row r="42" spans="1:12" x14ac:dyDescent="0.3">
      <c r="A42" s="888" t="s">
        <v>2062</v>
      </c>
      <c r="B42" s="888" t="s">
        <v>1949</v>
      </c>
      <c r="C42" s="888" t="s">
        <v>7312</v>
      </c>
      <c r="E42" s="893" t="s">
        <v>1618</v>
      </c>
    </row>
    <row r="43" spans="1:12" s="499" customFormat="1" ht="15.6" x14ac:dyDescent="0.3">
      <c r="A43" s="888" t="s">
        <v>2062</v>
      </c>
      <c r="B43" s="888" t="s">
        <v>1949</v>
      </c>
      <c r="C43" s="898" t="s">
        <v>7376</v>
      </c>
      <c r="E43" s="1500" t="s">
        <v>3460</v>
      </c>
      <c r="F43" s="1501"/>
      <c r="G43" s="1501"/>
      <c r="H43" s="1501"/>
      <c r="I43" s="1501"/>
      <c r="J43" s="1501"/>
      <c r="K43" s="1501"/>
      <c r="L43" s="1502"/>
    </row>
    <row r="44" spans="1:12" s="499" customFormat="1" ht="15.6" x14ac:dyDescent="0.3">
      <c r="A44" s="888" t="s">
        <v>2083</v>
      </c>
      <c r="E44" s="1500"/>
      <c r="F44" s="1501"/>
      <c r="G44" s="1501"/>
      <c r="H44" s="1501"/>
      <c r="I44" s="1501"/>
      <c r="J44" s="1501"/>
      <c r="K44" s="1501"/>
      <c r="L44" s="1502"/>
    </row>
    <row r="45" spans="1:12" s="499" customFormat="1" ht="15.6" x14ac:dyDescent="0.3">
      <c r="A45" s="888" t="s">
        <v>2083</v>
      </c>
      <c r="E45" s="1500"/>
      <c r="F45" s="1501"/>
      <c r="G45" s="1501"/>
      <c r="H45" s="1501"/>
      <c r="I45" s="1501"/>
      <c r="J45" s="1501"/>
      <c r="K45" s="1501"/>
      <c r="L45" s="1502"/>
    </row>
    <row r="46" spans="1:12" s="499" customFormat="1" ht="15.6" x14ac:dyDescent="0.3">
      <c r="A46" s="888" t="s">
        <v>2083</v>
      </c>
      <c r="E46" s="1503"/>
      <c r="F46" s="1504"/>
      <c r="G46" s="1504"/>
      <c r="H46" s="1504"/>
      <c r="I46" s="1504"/>
      <c r="J46" s="1504"/>
      <c r="K46" s="1504"/>
      <c r="L46" s="1505"/>
    </row>
    <row r="47" spans="1:12" x14ac:dyDescent="0.3">
      <c r="A47" s="888" t="s">
        <v>2062</v>
      </c>
      <c r="B47" s="888" t="s">
        <v>1949</v>
      </c>
      <c r="C47" s="888" t="s">
        <v>2082</v>
      </c>
      <c r="E47" s="893" t="s">
        <v>798</v>
      </c>
    </row>
    <row r="48" spans="1:12" x14ac:dyDescent="0.3">
      <c r="A48" s="888" t="s">
        <v>2062</v>
      </c>
      <c r="B48" s="888" t="s">
        <v>1949</v>
      </c>
      <c r="C48" s="888" t="s">
        <v>6745</v>
      </c>
      <c r="E48" s="893" t="s">
        <v>1109</v>
      </c>
    </row>
    <row r="49" spans="1:18" ht="18" x14ac:dyDescent="0.3">
      <c r="A49" s="888" t="s">
        <v>2062</v>
      </c>
      <c r="B49" s="888" t="s">
        <v>1949</v>
      </c>
      <c r="C49" s="888" t="s">
        <v>2084</v>
      </c>
      <c r="D49" s="888" t="b">
        <v>1</v>
      </c>
      <c r="E49" s="550" t="s">
        <v>1615</v>
      </c>
    </row>
    <row r="50" spans="1:18" ht="18" x14ac:dyDescent="0.3">
      <c r="A50" s="888" t="s">
        <v>2062</v>
      </c>
      <c r="B50" s="888" t="s">
        <v>1949</v>
      </c>
      <c r="C50" s="888" t="s">
        <v>5135</v>
      </c>
      <c r="D50" s="888" t="b">
        <v>1</v>
      </c>
      <c r="E50" s="525" t="s">
        <v>1616</v>
      </c>
    </row>
    <row r="51" spans="1:18" x14ac:dyDescent="0.3">
      <c r="A51" s="888" t="s">
        <v>2062</v>
      </c>
      <c r="B51" s="888" t="s">
        <v>1949</v>
      </c>
      <c r="C51" s="888" t="s">
        <v>2085</v>
      </c>
      <c r="E51" s="893" t="s">
        <v>799</v>
      </c>
    </row>
    <row r="52" spans="1:18" x14ac:dyDescent="0.3">
      <c r="A52" s="888" t="s">
        <v>2062</v>
      </c>
      <c r="B52" s="888" t="s">
        <v>1949</v>
      </c>
      <c r="C52" s="888" t="s">
        <v>7313</v>
      </c>
      <c r="E52" s="893" t="s">
        <v>1111</v>
      </c>
    </row>
    <row r="53" spans="1:18" x14ac:dyDescent="0.3">
      <c r="A53" s="888" t="s">
        <v>2062</v>
      </c>
      <c r="B53" s="888" t="s">
        <v>1949</v>
      </c>
      <c r="C53" s="888" t="s">
        <v>2086</v>
      </c>
      <c r="E53" s="893" t="s">
        <v>800</v>
      </c>
    </row>
    <row r="54" spans="1:18" x14ac:dyDescent="0.3">
      <c r="A54" s="888" t="s">
        <v>2062</v>
      </c>
      <c r="B54" s="888" t="s">
        <v>1949</v>
      </c>
      <c r="C54" s="888" t="s">
        <v>3297</v>
      </c>
      <c r="E54" s="893" t="s">
        <v>1112</v>
      </c>
    </row>
    <row r="55" spans="1:18" x14ac:dyDescent="0.3">
      <c r="A55" s="888" t="s">
        <v>2062</v>
      </c>
      <c r="B55" s="888" t="s">
        <v>1949</v>
      </c>
      <c r="C55" s="903" t="s">
        <v>7314</v>
      </c>
      <c r="E55" s="888" t="s">
        <v>6781</v>
      </c>
    </row>
    <row r="56" spans="1:18" x14ac:dyDescent="0.3">
      <c r="A56" s="888" t="s">
        <v>2062</v>
      </c>
      <c r="B56" s="904" t="s">
        <v>5141</v>
      </c>
      <c r="C56" s="905" t="s">
        <v>7377</v>
      </c>
      <c r="E56" s="905" t="s">
        <v>1561</v>
      </c>
    </row>
    <row r="57" spans="1:18" x14ac:dyDescent="0.3">
      <c r="A57" s="888" t="s">
        <v>2062</v>
      </c>
      <c r="B57" s="888" t="s">
        <v>1949</v>
      </c>
      <c r="C57" s="888" t="s">
        <v>2087</v>
      </c>
      <c r="E57" s="893" t="s">
        <v>801</v>
      </c>
    </row>
    <row r="58" spans="1:18" x14ac:dyDescent="0.3">
      <c r="A58" s="888" t="s">
        <v>2062</v>
      </c>
      <c r="B58" s="888" t="s">
        <v>1949</v>
      </c>
      <c r="C58" s="888" t="s">
        <v>7315</v>
      </c>
      <c r="E58" s="893" t="s">
        <v>1113</v>
      </c>
    </row>
    <row r="59" spans="1:18" x14ac:dyDescent="0.3">
      <c r="A59" s="888" t="s">
        <v>2062</v>
      </c>
      <c r="B59" s="888" t="s">
        <v>1949</v>
      </c>
      <c r="C59" s="888" t="s">
        <v>7316</v>
      </c>
      <c r="E59" s="893" t="s">
        <v>1617</v>
      </c>
    </row>
    <row r="60" spans="1:18" x14ac:dyDescent="0.3">
      <c r="A60" s="888" t="s">
        <v>2062</v>
      </c>
      <c r="B60" s="888" t="s">
        <v>1949</v>
      </c>
      <c r="C60" s="888" t="s">
        <v>2264</v>
      </c>
      <c r="E60" s="893" t="s">
        <v>802</v>
      </c>
    </row>
    <row r="61" spans="1:18" s="499" customFormat="1" ht="15.6" x14ac:dyDescent="0.3">
      <c r="A61" s="888" t="s">
        <v>2062</v>
      </c>
      <c r="B61" s="888" t="s">
        <v>1949</v>
      </c>
      <c r="C61" s="888" t="s">
        <v>7317</v>
      </c>
      <c r="E61" s="893" t="s">
        <v>3376</v>
      </c>
    </row>
    <row r="62" spans="1:18" s="893" customFormat="1" ht="15" customHeight="1" x14ac:dyDescent="0.3">
      <c r="A62" s="888" t="s">
        <v>2062</v>
      </c>
      <c r="B62" s="888" t="s">
        <v>1949</v>
      </c>
      <c r="C62" s="888" t="s">
        <v>3330</v>
      </c>
      <c r="D62" s="888" t="b">
        <v>1</v>
      </c>
      <c r="E62" s="1456" t="s">
        <v>1197</v>
      </c>
      <c r="I62" s="888"/>
      <c r="J62" s="888"/>
      <c r="K62" s="888"/>
      <c r="L62" s="888"/>
      <c r="M62" s="888"/>
      <c r="N62" s="888"/>
      <c r="O62" s="888"/>
      <c r="P62" s="888"/>
      <c r="Q62" s="888"/>
      <c r="R62" s="888"/>
    </row>
    <row r="63" spans="1:18" s="893" customFormat="1" ht="15" customHeight="1" x14ac:dyDescent="0.3">
      <c r="A63" s="888" t="s">
        <v>2083</v>
      </c>
      <c r="B63" s="888"/>
      <c r="C63" s="888"/>
      <c r="D63" s="888"/>
      <c r="E63" s="1456"/>
      <c r="I63" s="888"/>
      <c r="J63" s="888"/>
      <c r="K63" s="888"/>
      <c r="L63" s="888"/>
      <c r="M63" s="888"/>
      <c r="N63" s="888"/>
      <c r="O63" s="888"/>
      <c r="P63" s="888"/>
      <c r="Q63" s="888"/>
      <c r="R63" s="888"/>
    </row>
    <row r="64" spans="1:18" ht="15" customHeight="1" x14ac:dyDescent="0.3">
      <c r="A64" s="888" t="s">
        <v>2062</v>
      </c>
      <c r="B64" s="888" t="s">
        <v>1949</v>
      </c>
      <c r="C64" s="888" t="s">
        <v>7318</v>
      </c>
      <c r="D64" s="888" t="b">
        <v>1</v>
      </c>
      <c r="E64" s="1457" t="s">
        <v>1198</v>
      </c>
    </row>
    <row r="65" spans="1:12" ht="15" customHeight="1" x14ac:dyDescent="0.3">
      <c r="A65" s="888" t="s">
        <v>2083</v>
      </c>
      <c r="E65" s="1457"/>
    </row>
    <row r="66" spans="1:12" ht="15.6" x14ac:dyDescent="0.3">
      <c r="A66" s="888" t="s">
        <v>2062</v>
      </c>
      <c r="B66" s="888" t="s">
        <v>1949</v>
      </c>
      <c r="C66" s="888" t="s">
        <v>2089</v>
      </c>
      <c r="D66" s="888" t="b">
        <v>1</v>
      </c>
      <c r="E66" s="1488" t="s">
        <v>1278</v>
      </c>
      <c r="F66" s="1488"/>
    </row>
    <row r="67" spans="1:12" ht="15.6" x14ac:dyDescent="0.3">
      <c r="A67" s="888" t="s">
        <v>2062</v>
      </c>
      <c r="B67" s="888" t="s">
        <v>1949</v>
      </c>
      <c r="C67" s="888" t="s">
        <v>2090</v>
      </c>
      <c r="D67" s="888" t="b">
        <v>1</v>
      </c>
      <c r="E67" s="1488" t="s">
        <v>1279</v>
      </c>
      <c r="F67" s="1488"/>
    </row>
    <row r="68" spans="1:12" x14ac:dyDescent="0.3">
      <c r="A68" s="888" t="s">
        <v>2062</v>
      </c>
      <c r="B68" s="888" t="s">
        <v>1949</v>
      </c>
      <c r="C68" s="888" t="s">
        <v>2401</v>
      </c>
      <c r="E68" s="893" t="s">
        <v>803</v>
      </c>
    </row>
    <row r="69" spans="1:12" x14ac:dyDescent="0.3">
      <c r="A69" s="888" t="s">
        <v>2062</v>
      </c>
      <c r="B69" s="888" t="s">
        <v>1949</v>
      </c>
      <c r="C69" s="895" t="s">
        <v>2092</v>
      </c>
      <c r="E69" s="893" t="s">
        <v>4048</v>
      </c>
    </row>
    <row r="70" spans="1:12" x14ac:dyDescent="0.3">
      <c r="A70" s="888" t="s">
        <v>2062</v>
      </c>
      <c r="B70" s="888" t="s">
        <v>1949</v>
      </c>
      <c r="C70" s="895" t="s">
        <v>2207</v>
      </c>
      <c r="E70" s="893" t="str">
        <f>$E$17</f>
        <v>Step</v>
      </c>
    </row>
    <row r="71" spans="1:12" ht="17.399999999999999" x14ac:dyDescent="0.3">
      <c r="A71" s="888" t="s">
        <v>2062</v>
      </c>
      <c r="B71" s="888" t="s">
        <v>1949</v>
      </c>
      <c r="C71" s="888" t="s">
        <v>2477</v>
      </c>
      <c r="D71" s="888" t="b">
        <v>1</v>
      </c>
      <c r="E71" s="1441" t="s">
        <v>7506</v>
      </c>
      <c r="F71" s="1441"/>
    </row>
    <row r="72" spans="1:12" ht="32.25" customHeight="1" x14ac:dyDescent="0.3">
      <c r="A72" s="888" t="s">
        <v>2062</v>
      </c>
      <c r="B72" s="888" t="s">
        <v>1949</v>
      </c>
      <c r="C72" s="888" t="s">
        <v>7319</v>
      </c>
      <c r="D72" s="888" t="b">
        <v>1</v>
      </c>
      <c r="E72" s="1511" t="s">
        <v>1669</v>
      </c>
      <c r="F72" s="1511"/>
      <c r="G72" s="1511"/>
      <c r="H72" s="1511"/>
      <c r="I72" s="1511"/>
      <c r="J72" s="1511"/>
      <c r="K72" s="1511"/>
      <c r="L72" s="1511"/>
    </row>
    <row r="73" spans="1:12" ht="48.15" customHeight="1" x14ac:dyDescent="0.3">
      <c r="A73" s="888" t="s">
        <v>2062</v>
      </c>
      <c r="B73" s="888" t="s">
        <v>1949</v>
      </c>
      <c r="C73" s="888" t="s">
        <v>7320</v>
      </c>
      <c r="D73" s="888" t="b">
        <v>1</v>
      </c>
      <c r="E73" s="1512" t="s">
        <v>1670</v>
      </c>
      <c r="F73" s="1512"/>
      <c r="G73" s="1512"/>
    </row>
    <row r="74" spans="1:12" x14ac:dyDescent="0.3">
      <c r="A74" s="888" t="s">
        <v>2062</v>
      </c>
      <c r="B74" s="888" t="s">
        <v>1949</v>
      </c>
      <c r="C74" s="888" t="s">
        <v>7321</v>
      </c>
      <c r="E74" s="893" t="s">
        <v>1</v>
      </c>
    </row>
    <row r="75" spans="1:12" x14ac:dyDescent="0.3">
      <c r="A75" s="888" t="s">
        <v>2062</v>
      </c>
      <c r="B75" s="888" t="s">
        <v>1949</v>
      </c>
      <c r="C75" s="895" t="s">
        <v>2094</v>
      </c>
      <c r="E75" s="897" t="s">
        <v>3409</v>
      </c>
    </row>
    <row r="76" spans="1:12" x14ac:dyDescent="0.3">
      <c r="A76" s="888" t="s">
        <v>2062</v>
      </c>
      <c r="B76" s="888" t="s">
        <v>1949</v>
      </c>
      <c r="C76" s="888" t="s">
        <v>5088</v>
      </c>
      <c r="E76" s="893" t="s">
        <v>1114</v>
      </c>
    </row>
    <row r="77" spans="1:12" x14ac:dyDescent="0.3">
      <c r="A77" s="888" t="s">
        <v>2062</v>
      </c>
      <c r="B77" s="888" t="s">
        <v>1949</v>
      </c>
      <c r="C77" s="895" t="s">
        <v>7322</v>
      </c>
      <c r="E77" s="893" t="s">
        <v>895</v>
      </c>
    </row>
    <row r="78" spans="1:12" x14ac:dyDescent="0.3">
      <c r="A78" s="888" t="s">
        <v>2062</v>
      </c>
      <c r="B78" s="888" t="s">
        <v>1949</v>
      </c>
      <c r="C78" s="895" t="s">
        <v>7323</v>
      </c>
      <c r="E78" s="895" t="s">
        <v>3410</v>
      </c>
    </row>
    <row r="79" spans="1:12" x14ac:dyDescent="0.3">
      <c r="A79" s="888" t="s">
        <v>2062</v>
      </c>
      <c r="B79" s="888" t="s">
        <v>1949</v>
      </c>
      <c r="C79" s="895" t="s">
        <v>7324</v>
      </c>
      <c r="E79" s="895" t="s">
        <v>3411</v>
      </c>
    </row>
    <row r="80" spans="1:12" x14ac:dyDescent="0.3">
      <c r="A80" s="888" t="s">
        <v>2062</v>
      </c>
      <c r="B80" s="888" t="s">
        <v>1949</v>
      </c>
      <c r="C80" s="888" t="s">
        <v>2096</v>
      </c>
      <c r="E80" s="893" t="s">
        <v>2</v>
      </c>
    </row>
    <row r="81" spans="1:18" x14ac:dyDescent="0.3">
      <c r="A81" s="888" t="s">
        <v>2062</v>
      </c>
      <c r="B81" s="888" t="s">
        <v>1949</v>
      </c>
      <c r="C81" s="888" t="s">
        <v>2098</v>
      </c>
      <c r="E81" s="893" t="s">
        <v>4</v>
      </c>
    </row>
    <row r="82" spans="1:18" s="893" customFormat="1" x14ac:dyDescent="0.3">
      <c r="A82" s="888" t="s">
        <v>2062</v>
      </c>
      <c r="B82" s="888" t="s">
        <v>1949</v>
      </c>
      <c r="C82" s="888" t="s">
        <v>2099</v>
      </c>
      <c r="D82" s="888"/>
      <c r="E82" s="893" t="s">
        <v>1116</v>
      </c>
      <c r="I82" s="888"/>
      <c r="J82" s="888"/>
      <c r="K82" s="888"/>
      <c r="L82" s="888"/>
      <c r="M82" s="888"/>
      <c r="N82" s="888"/>
      <c r="O82" s="888"/>
      <c r="P82" s="888"/>
      <c r="Q82" s="888"/>
      <c r="R82" s="888"/>
    </row>
    <row r="83" spans="1:18" s="893" customFormat="1" x14ac:dyDescent="0.3">
      <c r="A83" s="888" t="s">
        <v>2062</v>
      </c>
      <c r="B83" s="888" t="s">
        <v>1949</v>
      </c>
      <c r="C83" s="888" t="s">
        <v>2100</v>
      </c>
      <c r="D83" s="888"/>
      <c r="E83" s="893" t="s">
        <v>6</v>
      </c>
      <c r="I83" s="888"/>
      <c r="J83" s="888"/>
      <c r="K83" s="888"/>
      <c r="L83" s="888"/>
      <c r="M83" s="888"/>
      <c r="N83" s="888"/>
      <c r="O83" s="888"/>
      <c r="P83" s="888"/>
      <c r="Q83" s="888"/>
      <c r="R83" s="888"/>
    </row>
    <row r="84" spans="1:18" s="893" customFormat="1" x14ac:dyDescent="0.3">
      <c r="A84" s="888" t="s">
        <v>2062</v>
      </c>
      <c r="B84" s="888" t="s">
        <v>1949</v>
      </c>
      <c r="C84" s="888" t="s">
        <v>2101</v>
      </c>
      <c r="D84" s="888"/>
      <c r="E84" s="893" t="s">
        <v>8</v>
      </c>
      <c r="I84" s="888"/>
      <c r="J84" s="888"/>
      <c r="K84" s="888"/>
      <c r="L84" s="888"/>
      <c r="M84" s="888"/>
      <c r="N84" s="888"/>
      <c r="O84" s="888"/>
      <c r="P84" s="888"/>
      <c r="Q84" s="888"/>
      <c r="R84" s="888"/>
    </row>
    <row r="85" spans="1:18" s="893" customFormat="1" x14ac:dyDescent="0.3">
      <c r="A85" s="888" t="s">
        <v>2062</v>
      </c>
      <c r="B85" s="888" t="s">
        <v>1949</v>
      </c>
      <c r="C85" s="888" t="s">
        <v>2102</v>
      </c>
      <c r="D85" s="888"/>
      <c r="E85" s="893" t="s">
        <v>7</v>
      </c>
      <c r="I85" s="888"/>
      <c r="J85" s="888"/>
      <c r="K85" s="888"/>
      <c r="L85" s="888"/>
      <c r="M85" s="888"/>
      <c r="N85" s="888"/>
      <c r="O85" s="888"/>
      <c r="P85" s="888"/>
      <c r="Q85" s="888"/>
      <c r="R85" s="888"/>
    </row>
    <row r="86" spans="1:18" s="893" customFormat="1" x14ac:dyDescent="0.3">
      <c r="A86" s="888" t="s">
        <v>2062</v>
      </c>
      <c r="B86" s="888" t="s">
        <v>1949</v>
      </c>
      <c r="C86" s="888" t="s">
        <v>2103</v>
      </c>
      <c r="D86" s="888"/>
      <c r="E86" s="893" t="s">
        <v>1552</v>
      </c>
      <c r="I86" s="888"/>
      <c r="J86" s="888"/>
      <c r="K86" s="888"/>
      <c r="L86" s="888"/>
      <c r="M86" s="888"/>
      <c r="N86" s="888"/>
      <c r="O86" s="888"/>
      <c r="P86" s="888"/>
      <c r="Q86" s="888"/>
      <c r="R86" s="888"/>
    </row>
    <row r="87" spans="1:18" s="893" customFormat="1" ht="15.6" x14ac:dyDescent="0.3">
      <c r="A87" s="888" t="s">
        <v>2062</v>
      </c>
      <c r="B87" s="888" t="s">
        <v>1949</v>
      </c>
      <c r="C87" s="888" t="s">
        <v>2279</v>
      </c>
      <c r="D87" s="888" t="b">
        <v>1</v>
      </c>
      <c r="E87" s="1472" t="s">
        <v>1553</v>
      </c>
      <c r="F87" s="1473"/>
      <c r="I87" s="888"/>
      <c r="J87" s="888"/>
      <c r="K87" s="888"/>
      <c r="L87" s="888"/>
      <c r="M87" s="888"/>
      <c r="N87" s="888"/>
      <c r="O87" s="888"/>
      <c r="P87" s="888"/>
      <c r="Q87" s="888"/>
      <c r="R87" s="888"/>
    </row>
    <row r="88" spans="1:18" s="893" customFormat="1" x14ac:dyDescent="0.3">
      <c r="A88" s="888" t="s">
        <v>2062</v>
      </c>
      <c r="B88" s="888" t="s">
        <v>1949</v>
      </c>
      <c r="C88" s="888" t="s">
        <v>2105</v>
      </c>
      <c r="D88" s="888"/>
      <c r="E88" s="893" t="s">
        <v>1554</v>
      </c>
      <c r="I88" s="888"/>
      <c r="J88" s="888"/>
      <c r="K88" s="888"/>
      <c r="L88" s="888"/>
      <c r="M88" s="888"/>
      <c r="N88" s="888"/>
      <c r="O88" s="888"/>
      <c r="P88" s="888"/>
      <c r="Q88" s="888"/>
      <c r="R88" s="888"/>
    </row>
    <row r="89" spans="1:18" s="893" customFormat="1" x14ac:dyDescent="0.3">
      <c r="A89" s="888" t="s">
        <v>2062</v>
      </c>
      <c r="B89" s="888" t="s">
        <v>1949</v>
      </c>
      <c r="C89" s="888" t="s">
        <v>2106</v>
      </c>
      <c r="D89" s="888"/>
      <c r="E89" s="893" t="s">
        <v>1546</v>
      </c>
      <c r="I89" s="888"/>
      <c r="J89" s="888"/>
      <c r="K89" s="888"/>
      <c r="L89" s="888"/>
      <c r="M89" s="888"/>
      <c r="N89" s="888"/>
      <c r="O89" s="888"/>
      <c r="P89" s="888"/>
      <c r="Q89" s="888"/>
      <c r="R89" s="888"/>
    </row>
    <row r="90" spans="1:18" s="893" customFormat="1" x14ac:dyDescent="0.3">
      <c r="A90" s="888" t="s">
        <v>2062</v>
      </c>
      <c r="B90" s="888" t="s">
        <v>1949</v>
      </c>
      <c r="C90" s="888" t="s">
        <v>2107</v>
      </c>
      <c r="D90" s="888"/>
      <c r="E90" s="893" t="s">
        <v>1531</v>
      </c>
      <c r="I90" s="888"/>
      <c r="J90" s="888"/>
      <c r="K90" s="888"/>
      <c r="L90" s="888"/>
      <c r="M90" s="888"/>
      <c r="N90" s="888"/>
      <c r="O90" s="888"/>
      <c r="P90" s="888"/>
      <c r="Q90" s="888"/>
      <c r="R90" s="888"/>
    </row>
    <row r="91" spans="1:18" s="893" customFormat="1" x14ac:dyDescent="0.3">
      <c r="A91" s="888" t="s">
        <v>2062</v>
      </c>
      <c r="B91" s="888" t="s">
        <v>1949</v>
      </c>
      <c r="C91" s="888" t="s">
        <v>2108</v>
      </c>
      <c r="D91" s="888"/>
      <c r="E91" s="893" t="s">
        <v>1605</v>
      </c>
      <c r="I91" s="888"/>
      <c r="J91" s="888"/>
      <c r="K91" s="888"/>
      <c r="L91" s="888"/>
      <c r="M91" s="888"/>
      <c r="N91" s="888"/>
      <c r="O91" s="888"/>
      <c r="P91" s="888"/>
      <c r="Q91" s="888"/>
      <c r="R91" s="888"/>
    </row>
    <row r="92" spans="1:18" s="893" customFormat="1" x14ac:dyDescent="0.3">
      <c r="A92" s="888" t="s">
        <v>2062</v>
      </c>
      <c r="B92" s="888" t="s">
        <v>1949</v>
      </c>
      <c r="C92" s="888" t="s">
        <v>7325</v>
      </c>
      <c r="D92" s="888"/>
      <c r="E92" s="893" t="s">
        <v>1284</v>
      </c>
      <c r="I92" s="888"/>
      <c r="J92" s="888"/>
      <c r="K92" s="888"/>
      <c r="L92" s="888"/>
      <c r="M92" s="888"/>
      <c r="N92" s="888"/>
      <c r="O92" s="888"/>
      <c r="P92" s="888"/>
      <c r="Q92" s="888"/>
      <c r="R92" s="888"/>
    </row>
    <row r="93" spans="1:18" s="893" customFormat="1" x14ac:dyDescent="0.3">
      <c r="A93" s="888" t="s">
        <v>2062</v>
      </c>
      <c r="B93" s="888" t="s">
        <v>1949</v>
      </c>
      <c r="C93" s="888" t="s">
        <v>7326</v>
      </c>
      <c r="D93" s="888"/>
      <c r="E93" s="893" t="s">
        <v>1285</v>
      </c>
      <c r="I93" s="888"/>
      <c r="J93" s="888"/>
      <c r="K93" s="888"/>
      <c r="L93" s="888"/>
      <c r="M93" s="888"/>
      <c r="N93" s="888"/>
      <c r="O93" s="888"/>
      <c r="P93" s="888"/>
      <c r="Q93" s="888"/>
      <c r="R93" s="888"/>
    </row>
    <row r="94" spans="1:18" s="893" customFormat="1" x14ac:dyDescent="0.3">
      <c r="A94" s="888" t="s">
        <v>2062</v>
      </c>
      <c r="B94" s="888" t="s">
        <v>1949</v>
      </c>
      <c r="C94" s="888" t="s">
        <v>2432</v>
      </c>
      <c r="D94" s="888"/>
      <c r="E94" s="888" t="s">
        <v>804</v>
      </c>
      <c r="I94" s="888"/>
      <c r="J94" s="888"/>
      <c r="K94" s="888"/>
      <c r="L94" s="888"/>
      <c r="M94" s="888"/>
      <c r="N94" s="888"/>
      <c r="O94" s="888"/>
      <c r="P94" s="888"/>
      <c r="Q94" s="888"/>
      <c r="R94" s="888"/>
    </row>
    <row r="95" spans="1:18" s="893" customFormat="1" x14ac:dyDescent="0.3">
      <c r="A95" s="888" t="s">
        <v>2062</v>
      </c>
      <c r="B95" s="888" t="s">
        <v>1949</v>
      </c>
      <c r="C95" s="888" t="s">
        <v>7327</v>
      </c>
      <c r="D95" s="888"/>
      <c r="E95" s="893" t="s">
        <v>1115</v>
      </c>
      <c r="I95" s="888"/>
      <c r="J95" s="888"/>
      <c r="K95" s="888"/>
      <c r="L95" s="888"/>
      <c r="M95" s="888"/>
      <c r="N95" s="888"/>
      <c r="O95" s="888"/>
      <c r="P95" s="888"/>
      <c r="Q95" s="888"/>
      <c r="R95" s="888"/>
    </row>
    <row r="96" spans="1:18" s="893" customFormat="1" x14ac:dyDescent="0.3">
      <c r="A96" s="888" t="s">
        <v>2062</v>
      </c>
      <c r="B96" s="888" t="s">
        <v>1949</v>
      </c>
      <c r="C96" s="888" t="s">
        <v>7328</v>
      </c>
      <c r="D96" s="888"/>
      <c r="E96" s="893" t="s">
        <v>1533</v>
      </c>
      <c r="I96" s="888"/>
      <c r="J96" s="888"/>
      <c r="K96" s="888"/>
      <c r="L96" s="888"/>
      <c r="M96" s="888"/>
      <c r="N96" s="888"/>
      <c r="O96" s="888"/>
      <c r="P96" s="888"/>
      <c r="Q96" s="888"/>
      <c r="R96" s="888"/>
    </row>
    <row r="97" spans="1:18" s="893" customFormat="1" x14ac:dyDescent="0.3">
      <c r="A97" s="888" t="s">
        <v>2062</v>
      </c>
      <c r="B97" s="888" t="s">
        <v>1949</v>
      </c>
      <c r="C97" s="888" t="s">
        <v>7329</v>
      </c>
      <c r="D97" s="888"/>
      <c r="E97" s="893" t="s">
        <v>1690</v>
      </c>
      <c r="I97" s="888"/>
      <c r="J97" s="888"/>
      <c r="K97" s="888"/>
      <c r="L97" s="888"/>
      <c r="M97" s="888"/>
      <c r="N97" s="888"/>
      <c r="O97" s="888"/>
      <c r="P97" s="888"/>
      <c r="Q97" s="888"/>
      <c r="R97" s="888"/>
    </row>
    <row r="98" spans="1:18" s="893" customFormat="1" x14ac:dyDescent="0.3">
      <c r="A98" s="888" t="s">
        <v>2062</v>
      </c>
      <c r="B98" s="888" t="s">
        <v>1949</v>
      </c>
      <c r="C98" s="888" t="s">
        <v>7330</v>
      </c>
      <c r="D98" s="888"/>
      <c r="E98" s="893" t="s">
        <v>9</v>
      </c>
      <c r="I98" s="888"/>
      <c r="J98" s="888"/>
      <c r="K98" s="888"/>
      <c r="L98" s="888"/>
      <c r="M98" s="888"/>
      <c r="N98" s="888"/>
      <c r="O98" s="888"/>
      <c r="P98" s="888"/>
      <c r="Q98" s="888"/>
      <c r="R98" s="888"/>
    </row>
    <row r="99" spans="1:18" s="893" customFormat="1" x14ac:dyDescent="0.3">
      <c r="A99" s="888" t="s">
        <v>2062</v>
      </c>
      <c r="B99" s="888" t="s">
        <v>1949</v>
      </c>
      <c r="C99" s="895" t="s">
        <v>7331</v>
      </c>
      <c r="D99" s="888"/>
      <c r="E99" s="897" t="s">
        <v>3412</v>
      </c>
      <c r="I99" s="888"/>
      <c r="J99" s="888"/>
      <c r="K99" s="888"/>
      <c r="L99" s="888"/>
      <c r="M99" s="888"/>
      <c r="N99" s="888"/>
      <c r="O99" s="888"/>
      <c r="P99" s="888"/>
      <c r="Q99" s="888"/>
      <c r="R99" s="888"/>
    </row>
    <row r="100" spans="1:18" s="893" customFormat="1" x14ac:dyDescent="0.3">
      <c r="A100" s="888" t="s">
        <v>2062</v>
      </c>
      <c r="B100" s="888" t="s">
        <v>1949</v>
      </c>
      <c r="C100" s="888" t="s">
        <v>7332</v>
      </c>
      <c r="D100" s="888"/>
      <c r="E100" s="893" t="s">
        <v>1541</v>
      </c>
      <c r="I100" s="888"/>
      <c r="J100" s="888"/>
      <c r="K100" s="888"/>
      <c r="L100" s="888"/>
      <c r="M100" s="888"/>
      <c r="N100" s="888"/>
      <c r="O100" s="888"/>
      <c r="P100" s="888"/>
      <c r="Q100" s="888"/>
      <c r="R100" s="888"/>
    </row>
    <row r="101" spans="1:18" s="893" customFormat="1" x14ac:dyDescent="0.3">
      <c r="A101" s="888" t="s">
        <v>2062</v>
      </c>
      <c r="B101" s="888" t="s">
        <v>1949</v>
      </c>
      <c r="C101" s="888" t="s">
        <v>7333</v>
      </c>
      <c r="D101" s="888"/>
      <c r="E101" s="893" t="s">
        <v>1540</v>
      </c>
      <c r="I101" s="888"/>
      <c r="J101" s="888"/>
      <c r="K101" s="888"/>
      <c r="L101" s="888"/>
      <c r="M101" s="888"/>
      <c r="N101" s="888"/>
      <c r="O101" s="888"/>
      <c r="P101" s="888"/>
      <c r="Q101" s="888"/>
      <c r="R101" s="888"/>
    </row>
    <row r="102" spans="1:18" s="893" customFormat="1" x14ac:dyDescent="0.3">
      <c r="A102" s="888" t="s">
        <v>2062</v>
      </c>
      <c r="B102" s="888" t="s">
        <v>1949</v>
      </c>
      <c r="C102" s="888" t="s">
        <v>7334</v>
      </c>
      <c r="D102" s="888"/>
      <c r="E102" s="893" t="s">
        <v>1692</v>
      </c>
      <c r="I102" s="888"/>
      <c r="J102" s="888"/>
      <c r="K102" s="888"/>
      <c r="L102" s="888"/>
      <c r="M102" s="888"/>
      <c r="N102" s="888"/>
      <c r="O102" s="888"/>
      <c r="P102" s="888"/>
      <c r="Q102" s="888"/>
      <c r="R102" s="888"/>
    </row>
    <row r="103" spans="1:18" s="893" customFormat="1" x14ac:dyDescent="0.3">
      <c r="A103" s="888" t="s">
        <v>2062</v>
      </c>
      <c r="B103" s="888" t="s">
        <v>1949</v>
      </c>
      <c r="C103" s="888" t="s">
        <v>7335</v>
      </c>
      <c r="D103" s="888"/>
      <c r="E103" s="893" t="s">
        <v>1694</v>
      </c>
      <c r="I103" s="888"/>
      <c r="J103" s="888"/>
      <c r="K103" s="888"/>
      <c r="L103" s="888"/>
      <c r="M103" s="888"/>
      <c r="N103" s="888"/>
      <c r="O103" s="888"/>
      <c r="P103" s="888"/>
      <c r="Q103" s="888"/>
      <c r="R103" s="888"/>
    </row>
    <row r="104" spans="1:18" s="893" customFormat="1" x14ac:dyDescent="0.3">
      <c r="A104" s="888" t="s">
        <v>2062</v>
      </c>
      <c r="B104" s="888" t="s">
        <v>1949</v>
      </c>
      <c r="C104" s="888" t="s">
        <v>7336</v>
      </c>
      <c r="D104" s="888"/>
      <c r="E104" s="893" t="s">
        <v>1383</v>
      </c>
      <c r="I104" s="888"/>
      <c r="J104" s="888"/>
      <c r="K104" s="888"/>
      <c r="L104" s="888"/>
      <c r="M104" s="888"/>
      <c r="N104" s="888"/>
      <c r="O104" s="888"/>
      <c r="P104" s="888"/>
      <c r="Q104" s="888"/>
      <c r="R104" s="888"/>
    </row>
    <row r="105" spans="1:18" s="893" customFormat="1" x14ac:dyDescent="0.3">
      <c r="A105" s="888" t="s">
        <v>2062</v>
      </c>
      <c r="B105" s="888" t="s">
        <v>1949</v>
      </c>
      <c r="C105" s="888" t="s">
        <v>7337</v>
      </c>
      <c r="D105" s="888"/>
      <c r="E105" s="893" t="s">
        <v>1658</v>
      </c>
      <c r="I105" s="888"/>
      <c r="J105" s="888"/>
      <c r="K105" s="888"/>
      <c r="L105" s="888"/>
      <c r="M105" s="888"/>
      <c r="N105" s="888"/>
      <c r="O105" s="888"/>
      <c r="P105" s="888"/>
      <c r="Q105" s="888"/>
      <c r="R105" s="888"/>
    </row>
    <row r="106" spans="1:18" s="893" customFormat="1" x14ac:dyDescent="0.3">
      <c r="A106" s="888" t="s">
        <v>2062</v>
      </c>
      <c r="B106" s="888" t="s">
        <v>1949</v>
      </c>
      <c r="C106" s="888" t="s">
        <v>7338</v>
      </c>
      <c r="D106" s="888"/>
      <c r="E106" s="893" t="s">
        <v>1275</v>
      </c>
      <c r="I106" s="888"/>
      <c r="J106" s="888"/>
      <c r="K106" s="888"/>
      <c r="L106" s="888"/>
      <c r="M106" s="888"/>
      <c r="N106" s="888"/>
      <c r="O106" s="888"/>
      <c r="P106" s="888"/>
      <c r="Q106" s="888"/>
      <c r="R106" s="888"/>
    </row>
    <row r="107" spans="1:18" s="893" customFormat="1" x14ac:dyDescent="0.3">
      <c r="A107" s="888" t="s">
        <v>2062</v>
      </c>
      <c r="B107" s="888" t="s">
        <v>1949</v>
      </c>
      <c r="C107" s="888" t="s">
        <v>5136</v>
      </c>
      <c r="D107" s="888"/>
      <c r="E107" s="893" t="s">
        <v>1688</v>
      </c>
      <c r="I107" s="888"/>
      <c r="J107" s="888"/>
      <c r="K107" s="888"/>
      <c r="L107" s="888"/>
      <c r="M107" s="888"/>
      <c r="N107" s="888"/>
      <c r="O107" s="888"/>
      <c r="P107" s="888"/>
      <c r="Q107" s="888"/>
      <c r="R107" s="888"/>
    </row>
    <row r="108" spans="1:18" s="893" customFormat="1" x14ac:dyDescent="0.3">
      <c r="A108" s="888" t="s">
        <v>2062</v>
      </c>
      <c r="B108" s="888" t="s">
        <v>1949</v>
      </c>
      <c r="C108" s="888" t="s">
        <v>7339</v>
      </c>
      <c r="D108" s="888"/>
      <c r="E108" s="893" t="s">
        <v>1276</v>
      </c>
      <c r="I108" s="888"/>
      <c r="J108" s="888"/>
      <c r="K108" s="888"/>
      <c r="L108" s="888"/>
      <c r="M108" s="888"/>
      <c r="N108" s="888"/>
      <c r="O108" s="888"/>
      <c r="P108" s="888"/>
      <c r="Q108" s="888"/>
      <c r="R108" s="888"/>
    </row>
    <row r="109" spans="1:18" s="893" customFormat="1" x14ac:dyDescent="0.3">
      <c r="A109" s="888" t="s">
        <v>2062</v>
      </c>
      <c r="B109" s="888" t="s">
        <v>1949</v>
      </c>
      <c r="C109" s="888" t="s">
        <v>7340</v>
      </c>
      <c r="D109" s="888"/>
      <c r="E109" s="893" t="s">
        <v>2104</v>
      </c>
      <c r="I109" s="888"/>
      <c r="J109" s="888"/>
      <c r="K109" s="888"/>
      <c r="L109" s="888"/>
      <c r="M109" s="888"/>
      <c r="N109" s="888"/>
      <c r="O109" s="888"/>
      <c r="P109" s="888"/>
      <c r="Q109" s="888"/>
      <c r="R109" s="888"/>
    </row>
    <row r="110" spans="1:18" s="893" customFormat="1" x14ac:dyDescent="0.3">
      <c r="A110" s="888" t="s">
        <v>2062</v>
      </c>
      <c r="B110" s="888" t="s">
        <v>1949</v>
      </c>
      <c r="C110" s="888" t="s">
        <v>7341</v>
      </c>
      <c r="D110" s="888"/>
      <c r="E110" s="893" t="s">
        <v>1689</v>
      </c>
      <c r="I110" s="888"/>
      <c r="J110" s="888"/>
      <c r="K110" s="888"/>
      <c r="L110" s="888"/>
      <c r="M110" s="888"/>
      <c r="N110" s="888"/>
      <c r="O110" s="888"/>
      <c r="P110" s="888"/>
      <c r="Q110" s="888"/>
      <c r="R110" s="888"/>
    </row>
    <row r="111" spans="1:18" s="893" customFormat="1" x14ac:dyDescent="0.3">
      <c r="A111" s="888" t="s">
        <v>2062</v>
      </c>
      <c r="B111" s="888" t="s">
        <v>1949</v>
      </c>
      <c r="C111" s="888" t="s">
        <v>7342</v>
      </c>
      <c r="D111" s="888"/>
      <c r="E111" s="893" t="s">
        <v>1691</v>
      </c>
      <c r="I111" s="888"/>
      <c r="J111" s="888"/>
      <c r="K111" s="888"/>
      <c r="L111" s="888"/>
      <c r="M111" s="888"/>
      <c r="N111" s="888"/>
      <c r="O111" s="888"/>
      <c r="P111" s="888"/>
      <c r="Q111" s="888"/>
      <c r="R111" s="888"/>
    </row>
    <row r="112" spans="1:18" s="893" customFormat="1" x14ac:dyDescent="0.3">
      <c r="A112" s="888" t="s">
        <v>2062</v>
      </c>
      <c r="B112" s="888" t="s">
        <v>1949</v>
      </c>
      <c r="C112" s="888" t="s">
        <v>7343</v>
      </c>
      <c r="D112" s="888"/>
      <c r="E112" s="893" t="s">
        <v>1555</v>
      </c>
      <c r="I112" s="888"/>
      <c r="J112" s="888"/>
      <c r="K112" s="888"/>
      <c r="L112" s="888"/>
      <c r="M112" s="888"/>
      <c r="N112" s="888"/>
      <c r="O112" s="888"/>
      <c r="P112" s="888"/>
      <c r="Q112" s="888"/>
      <c r="R112" s="888"/>
    </row>
    <row r="113" spans="1:19" s="893" customFormat="1" x14ac:dyDescent="0.3">
      <c r="A113" s="888" t="s">
        <v>2062</v>
      </c>
      <c r="B113" s="888" t="s">
        <v>1949</v>
      </c>
      <c r="C113" s="888" t="s">
        <v>7344</v>
      </c>
      <c r="D113" s="888"/>
      <c r="E113" s="893" t="s">
        <v>1532</v>
      </c>
      <c r="I113" s="888"/>
      <c r="J113" s="888"/>
      <c r="K113" s="888"/>
      <c r="L113" s="888"/>
      <c r="M113" s="888"/>
      <c r="N113" s="888"/>
      <c r="O113" s="888"/>
      <c r="P113" s="888"/>
      <c r="Q113" s="888"/>
      <c r="R113" s="888"/>
    </row>
    <row r="114" spans="1:19" x14ac:dyDescent="0.3">
      <c r="A114" s="888" t="s">
        <v>2062</v>
      </c>
      <c r="B114" s="888" t="s">
        <v>1949</v>
      </c>
      <c r="C114" s="888" t="s">
        <v>7345</v>
      </c>
      <c r="E114" s="893" t="s">
        <v>1693</v>
      </c>
    </row>
    <row r="115" spans="1:19" x14ac:dyDescent="0.3">
      <c r="A115" s="888" t="s">
        <v>2062</v>
      </c>
      <c r="B115" s="888" t="s">
        <v>1949</v>
      </c>
      <c r="C115" s="895" t="s">
        <v>7346</v>
      </c>
      <c r="E115" s="897" t="s">
        <v>3413</v>
      </c>
    </row>
    <row r="116" spans="1:19" x14ac:dyDescent="0.3">
      <c r="A116" s="888" t="s">
        <v>2062</v>
      </c>
      <c r="B116" s="888" t="s">
        <v>1949</v>
      </c>
      <c r="C116" s="888" t="s">
        <v>7347</v>
      </c>
      <c r="E116" s="893" t="s">
        <v>1582</v>
      </c>
    </row>
    <row r="117" spans="1:19" x14ac:dyDescent="0.3">
      <c r="A117" s="888" t="s">
        <v>2062</v>
      </c>
      <c r="B117" s="888" t="s">
        <v>1949</v>
      </c>
      <c r="C117" s="888" t="s">
        <v>7348</v>
      </c>
      <c r="E117" s="893" t="s">
        <v>1687</v>
      </c>
    </row>
    <row r="118" spans="1:19" x14ac:dyDescent="0.3">
      <c r="A118" s="888" t="s">
        <v>2062</v>
      </c>
      <c r="B118" s="888" t="s">
        <v>1949</v>
      </c>
      <c r="C118" s="888" t="s">
        <v>7349</v>
      </c>
      <c r="E118" s="893" t="s">
        <v>3325</v>
      </c>
    </row>
    <row r="119" spans="1:19" x14ac:dyDescent="0.3">
      <c r="A119" s="888" t="s">
        <v>2062</v>
      </c>
      <c r="B119" s="888" t="s">
        <v>1949</v>
      </c>
      <c r="C119" s="888" t="s">
        <v>7350</v>
      </c>
      <c r="E119" s="893" t="s">
        <v>3321</v>
      </c>
    </row>
    <row r="120" spans="1:19" x14ac:dyDescent="0.3">
      <c r="A120" s="888" t="s">
        <v>2062</v>
      </c>
      <c r="B120" s="888" t="s">
        <v>1949</v>
      </c>
      <c r="C120" s="888" t="s">
        <v>7351</v>
      </c>
      <c r="E120" s="893" t="s">
        <v>3322</v>
      </c>
    </row>
    <row r="121" spans="1:19" x14ac:dyDescent="0.3">
      <c r="A121" s="888" t="s">
        <v>2062</v>
      </c>
      <c r="B121" s="888" t="s">
        <v>1949</v>
      </c>
      <c r="C121" s="888" t="s">
        <v>7352</v>
      </c>
      <c r="E121" s="893" t="s">
        <v>3323</v>
      </c>
    </row>
    <row r="122" spans="1:19" x14ac:dyDescent="0.3">
      <c r="A122" s="888" t="s">
        <v>2062</v>
      </c>
      <c r="B122" s="888" t="s">
        <v>1949</v>
      </c>
      <c r="C122" s="888" t="s">
        <v>7353</v>
      </c>
      <c r="E122" s="893" t="s">
        <v>3331</v>
      </c>
    </row>
    <row r="123" spans="1:19" ht="14.4" customHeight="1" x14ac:dyDescent="0.3">
      <c r="A123" s="888" t="s">
        <v>2062</v>
      </c>
      <c r="B123" s="888" t="s">
        <v>1949</v>
      </c>
      <c r="C123" s="888" t="s">
        <v>2110</v>
      </c>
      <c r="D123" s="888" t="b">
        <v>1</v>
      </c>
      <c r="E123" s="1476" t="s">
        <v>1665</v>
      </c>
      <c r="F123" s="1476"/>
      <c r="G123" s="1476"/>
      <c r="H123" s="1476"/>
      <c r="I123" s="1476"/>
      <c r="J123" s="1476"/>
      <c r="K123" s="1476"/>
      <c r="L123" s="1476"/>
      <c r="M123" s="1476"/>
      <c r="N123" s="1476"/>
      <c r="O123" s="1476"/>
      <c r="P123" s="1476"/>
      <c r="Q123" s="1476"/>
      <c r="R123" s="1476"/>
      <c r="S123" s="1476"/>
    </row>
    <row r="124" spans="1:19" x14ac:dyDescent="0.3">
      <c r="A124" s="888" t="s">
        <v>2062</v>
      </c>
      <c r="B124" s="888" t="s">
        <v>1949</v>
      </c>
      <c r="C124" s="888" t="s">
        <v>2111</v>
      </c>
      <c r="E124" s="893" t="s">
        <v>1556</v>
      </c>
    </row>
    <row r="125" spans="1:19" ht="15" customHeight="1" x14ac:dyDescent="0.3">
      <c r="A125" s="888" t="s">
        <v>2062</v>
      </c>
      <c r="B125" s="888" t="s">
        <v>1949</v>
      </c>
      <c r="C125" s="888" t="s">
        <v>2501</v>
      </c>
      <c r="D125" s="888" t="b">
        <v>1</v>
      </c>
      <c r="E125" s="1478" t="s">
        <v>1664</v>
      </c>
      <c r="F125" s="1478"/>
      <c r="G125" s="1478"/>
      <c r="H125" s="1478"/>
      <c r="I125" s="1478"/>
      <c r="J125" s="1478"/>
      <c r="K125" s="1478"/>
      <c r="L125" s="1478"/>
      <c r="M125" s="1478"/>
      <c r="N125" s="1478"/>
      <c r="O125" s="1478"/>
      <c r="P125" s="1478"/>
    </row>
    <row r="126" spans="1:19" x14ac:dyDescent="0.3">
      <c r="A126" s="888" t="s">
        <v>2062</v>
      </c>
      <c r="B126" s="888" t="s">
        <v>1949</v>
      </c>
      <c r="C126" s="895" t="s">
        <v>2112</v>
      </c>
      <c r="E126" s="893" t="str">
        <f>$E$75</f>
        <v>COMPONENT</v>
      </c>
    </row>
    <row r="127" spans="1:19" x14ac:dyDescent="0.3">
      <c r="A127" s="888" t="s">
        <v>2062</v>
      </c>
      <c r="B127" s="888" t="s">
        <v>1949</v>
      </c>
      <c r="C127" s="888" t="s">
        <v>2503</v>
      </c>
      <c r="E127" s="893" t="s">
        <v>1583</v>
      </c>
    </row>
    <row r="128" spans="1:19" x14ac:dyDescent="0.3">
      <c r="A128" s="888" t="s">
        <v>2062</v>
      </c>
      <c r="B128" s="888" t="s">
        <v>1949</v>
      </c>
      <c r="C128" s="895" t="s">
        <v>2504</v>
      </c>
      <c r="E128" s="893" t="str">
        <f>$E$77</f>
        <v>UNIT</v>
      </c>
    </row>
    <row r="129" spans="1:10" x14ac:dyDescent="0.3">
      <c r="A129" s="888" t="s">
        <v>2062</v>
      </c>
      <c r="B129" s="888" t="s">
        <v>1949</v>
      </c>
      <c r="C129" s="895" t="s">
        <v>7354</v>
      </c>
      <c r="E129" s="888" t="str">
        <f>$E$78</f>
        <v>APPLICATION OF INPUT VALUE</v>
      </c>
    </row>
    <row r="130" spans="1:10" x14ac:dyDescent="0.3">
      <c r="A130" s="888" t="s">
        <v>2062</v>
      </c>
      <c r="B130" s="888" t="s">
        <v>1949</v>
      </c>
      <c r="C130" s="895" t="s">
        <v>7355</v>
      </c>
      <c r="E130" s="888" t="str">
        <f>$E$79</f>
        <v>DESCRIPTION OF REQUIRED UNITS</v>
      </c>
    </row>
    <row r="131" spans="1:10" x14ac:dyDescent="0.3">
      <c r="A131" s="888" t="s">
        <v>2062</v>
      </c>
      <c r="B131" s="888" t="s">
        <v>1949</v>
      </c>
      <c r="C131" s="888" t="s">
        <v>2114</v>
      </c>
      <c r="E131" s="893" t="s">
        <v>1663</v>
      </c>
    </row>
    <row r="132" spans="1:10" x14ac:dyDescent="0.3">
      <c r="A132" s="888" t="s">
        <v>2062</v>
      </c>
      <c r="B132" s="888" t="s">
        <v>1949</v>
      </c>
      <c r="C132" s="888" t="s">
        <v>2115</v>
      </c>
      <c r="E132" s="893" t="s">
        <v>1586</v>
      </c>
    </row>
    <row r="133" spans="1:10" x14ac:dyDescent="0.3">
      <c r="A133" s="888" t="s">
        <v>2062</v>
      </c>
      <c r="B133" s="888" t="s">
        <v>1949</v>
      </c>
      <c r="C133" s="888" t="s">
        <v>2117</v>
      </c>
      <c r="E133" s="893" t="s">
        <v>1563</v>
      </c>
    </row>
    <row r="134" spans="1:10" x14ac:dyDescent="0.3">
      <c r="A134" s="888" t="s">
        <v>2062</v>
      </c>
      <c r="B134" s="888" t="s">
        <v>1949</v>
      </c>
      <c r="C134" s="888" t="s">
        <v>2118</v>
      </c>
      <c r="E134" s="893" t="s">
        <v>1641</v>
      </c>
    </row>
    <row r="135" spans="1:10" x14ac:dyDescent="0.3">
      <c r="A135" s="888" t="s">
        <v>2062</v>
      </c>
      <c r="B135" s="888" t="s">
        <v>1949</v>
      </c>
      <c r="C135" s="888" t="s">
        <v>2145</v>
      </c>
      <c r="E135" s="893" t="s">
        <v>1640</v>
      </c>
    </row>
    <row r="136" spans="1:10" x14ac:dyDescent="0.3">
      <c r="A136" s="888" t="s">
        <v>2062</v>
      </c>
      <c r="B136" s="888" t="s">
        <v>1949</v>
      </c>
      <c r="C136" s="888" t="s">
        <v>2213</v>
      </c>
      <c r="E136" s="893" t="s">
        <v>1566</v>
      </c>
    </row>
    <row r="137" spans="1:10" x14ac:dyDescent="0.3">
      <c r="A137" s="888" t="s">
        <v>2062</v>
      </c>
      <c r="B137" s="888" t="s">
        <v>1949</v>
      </c>
      <c r="C137" s="888" t="s">
        <v>2120</v>
      </c>
      <c r="E137" s="893" t="s">
        <v>1567</v>
      </c>
    </row>
    <row r="138" spans="1:10" x14ac:dyDescent="0.3">
      <c r="A138" s="888" t="s">
        <v>2062</v>
      </c>
      <c r="B138" s="888" t="s">
        <v>1949</v>
      </c>
      <c r="C138" s="888" t="s">
        <v>2243</v>
      </c>
      <c r="E138" s="893" t="s">
        <v>1568</v>
      </c>
    </row>
    <row r="139" spans="1:10" x14ac:dyDescent="0.3">
      <c r="A139" s="888" t="s">
        <v>2062</v>
      </c>
      <c r="B139" s="888" t="s">
        <v>1949</v>
      </c>
      <c r="C139" s="888" t="s">
        <v>2293</v>
      </c>
      <c r="E139" s="893" t="s">
        <v>1581</v>
      </c>
    </row>
    <row r="140" spans="1:10" x14ac:dyDescent="0.3">
      <c r="A140" s="888" t="s">
        <v>2062</v>
      </c>
      <c r="B140" s="888" t="s">
        <v>1949</v>
      </c>
      <c r="C140" s="888" t="s">
        <v>7356</v>
      </c>
      <c r="D140" s="888" t="b">
        <v>1</v>
      </c>
      <c r="E140" s="1466" t="s">
        <v>1679</v>
      </c>
      <c r="F140" s="1466"/>
      <c r="G140" s="1466"/>
      <c r="H140" s="1466"/>
      <c r="I140" s="1466"/>
      <c r="J140" s="1466"/>
    </row>
    <row r="141" spans="1:10" x14ac:dyDescent="0.3">
      <c r="A141" s="888" t="s">
        <v>2062</v>
      </c>
      <c r="B141" s="888" t="s">
        <v>1949</v>
      </c>
      <c r="C141" s="888" t="s">
        <v>7357</v>
      </c>
      <c r="E141" s="893" t="str">
        <f>$E$92</f>
        <v>Footing Length</v>
      </c>
    </row>
    <row r="142" spans="1:10" x14ac:dyDescent="0.3">
      <c r="A142" s="888" t="s">
        <v>2062</v>
      </c>
      <c r="B142" s="888" t="s">
        <v>1949</v>
      </c>
      <c r="C142" s="888" t="s">
        <v>7358</v>
      </c>
      <c r="E142" s="893" t="str">
        <f>$E$93</f>
        <v>Footing Depth</v>
      </c>
    </row>
    <row r="143" spans="1:10" x14ac:dyDescent="0.3">
      <c r="A143" s="888" t="s">
        <v>2062</v>
      </c>
      <c r="B143" s="888" t="s">
        <v>1949</v>
      </c>
      <c r="C143" s="888" t="s">
        <v>7359</v>
      </c>
      <c r="E143" s="888" t="str">
        <f>$E$94</f>
        <v>Footing Width</v>
      </c>
    </row>
    <row r="144" spans="1:10" x14ac:dyDescent="0.3">
      <c r="A144" s="888" t="s">
        <v>2062</v>
      </c>
      <c r="B144" s="888" t="s">
        <v>1949</v>
      </c>
      <c r="C144" s="888" t="s">
        <v>7360</v>
      </c>
      <c r="E144" s="906" t="s">
        <v>1564</v>
      </c>
      <c r="F144" s="906"/>
      <c r="G144" s="906"/>
      <c r="H144" s="906"/>
      <c r="I144" s="906"/>
      <c r="J144" s="906"/>
    </row>
    <row r="145" spans="1:10" x14ac:dyDescent="0.3">
      <c r="A145" s="888" t="s">
        <v>2062</v>
      </c>
      <c r="B145" s="888" t="s">
        <v>1949</v>
      </c>
      <c r="C145" s="888" t="s">
        <v>7361</v>
      </c>
      <c r="E145" s="893" t="s">
        <v>1565</v>
      </c>
    </row>
    <row r="146" spans="1:10" x14ac:dyDescent="0.3">
      <c r="A146" s="888" t="s">
        <v>2062</v>
      </c>
      <c r="B146" s="888" t="s">
        <v>1949</v>
      </c>
      <c r="C146" s="888" t="s">
        <v>7362</v>
      </c>
      <c r="E146" s="893" t="s">
        <v>1569</v>
      </c>
    </row>
    <row r="147" spans="1:10" x14ac:dyDescent="0.3">
      <c r="A147" s="888" t="s">
        <v>2062</v>
      </c>
      <c r="B147" s="888" t="s">
        <v>1949</v>
      </c>
      <c r="C147" s="888" t="s">
        <v>7363</v>
      </c>
      <c r="E147" s="893" t="str">
        <f>$E$98</f>
        <v>Windows</v>
      </c>
    </row>
    <row r="148" spans="1:10" x14ac:dyDescent="0.3">
      <c r="A148" s="888" t="s">
        <v>2062</v>
      </c>
      <c r="B148" s="888" t="s">
        <v>1949</v>
      </c>
      <c r="C148" s="888" t="s">
        <v>7364</v>
      </c>
      <c r="E148" s="893" t="str">
        <f>$E$101</f>
        <v>Ceiling cladding/coverings</v>
      </c>
    </row>
    <row r="149" spans="1:10" x14ac:dyDescent="0.3">
      <c r="A149" s="888" t="s">
        <v>2062</v>
      </c>
      <c r="B149" s="888" t="s">
        <v>1949</v>
      </c>
      <c r="C149" s="888" t="s">
        <v>7365</v>
      </c>
      <c r="D149" s="888" t="b">
        <v>1</v>
      </c>
      <c r="E149" s="1491" t="s">
        <v>1662</v>
      </c>
      <c r="F149" s="1491"/>
      <c r="G149" s="1491"/>
      <c r="H149" s="1491"/>
      <c r="I149" s="1491"/>
      <c r="J149" s="1491"/>
    </row>
    <row r="150" spans="1:10" x14ac:dyDescent="0.3">
      <c r="A150" s="888" t="s">
        <v>2062</v>
      </c>
      <c r="B150" s="888" t="s">
        <v>1949</v>
      </c>
      <c r="C150" s="888" t="s">
        <v>7366</v>
      </c>
      <c r="E150" s="893" t="str">
        <f>$E$104</f>
        <v>Heavy timber framing members (e.g. posts and beams)</v>
      </c>
    </row>
    <row r="151" spans="1:10" ht="28.8" x14ac:dyDescent="0.3">
      <c r="A151" s="888" t="s">
        <v>2062</v>
      </c>
      <c r="B151" s="888" t="s">
        <v>1949</v>
      </c>
      <c r="C151" s="895" t="s">
        <v>7367</v>
      </c>
      <c r="E151" s="907" t="s">
        <v>3414</v>
      </c>
    </row>
    <row r="152" spans="1:10" x14ac:dyDescent="0.3">
      <c r="A152" s="888" t="s">
        <v>2062</v>
      </c>
      <c r="B152" s="888" t="s">
        <v>1949</v>
      </c>
      <c r="C152" s="888" t="s">
        <v>7368</v>
      </c>
      <c r="E152" s="893" t="s">
        <v>1661</v>
      </c>
    </row>
    <row r="153" spans="1:10" x14ac:dyDescent="0.3">
      <c r="A153" s="888" t="s">
        <v>2062</v>
      </c>
      <c r="B153" s="888" t="s">
        <v>1949</v>
      </c>
      <c r="C153" s="888" t="s">
        <v>7369</v>
      </c>
      <c r="E153" s="893" t="s">
        <v>1660</v>
      </c>
    </row>
    <row r="154" spans="1:10" x14ac:dyDescent="0.3">
      <c r="A154" s="888" t="s">
        <v>2062</v>
      </c>
      <c r="B154" s="888" t="s">
        <v>1949</v>
      </c>
      <c r="C154" s="888" t="s">
        <v>7370</v>
      </c>
      <c r="E154" s="893" t="str">
        <f>$E$108</f>
        <v>Square metres</v>
      </c>
    </row>
    <row r="155" spans="1:10" ht="37.5" customHeight="1" x14ac:dyDescent="0.3">
      <c r="A155" s="888" t="s">
        <v>2062</v>
      </c>
      <c r="B155" s="888" t="s">
        <v>1949</v>
      </c>
      <c r="C155" s="888" t="s">
        <v>7371</v>
      </c>
      <c r="D155" s="888" t="b">
        <v>1</v>
      </c>
      <c r="E155" s="1491" t="s">
        <v>1659</v>
      </c>
      <c r="F155" s="1491"/>
      <c r="G155" s="1491"/>
    </row>
    <row r="156" spans="1:10" x14ac:dyDescent="0.3">
      <c r="A156" s="888" t="s">
        <v>2062</v>
      </c>
      <c r="B156" s="888" t="s">
        <v>1949</v>
      </c>
      <c r="C156" s="888" t="s">
        <v>7372</v>
      </c>
      <c r="E156" s="893" t="s">
        <v>1277</v>
      </c>
    </row>
    <row r="157" spans="1:10" x14ac:dyDescent="0.3">
      <c r="A157" s="888" t="s">
        <v>2062</v>
      </c>
      <c r="B157" s="888" t="s">
        <v>1949</v>
      </c>
      <c r="C157" s="888" t="s">
        <v>7373</v>
      </c>
      <c r="E157" s="893" t="s">
        <v>1639</v>
      </c>
    </row>
    <row r="158" spans="1:10" x14ac:dyDescent="0.3">
      <c r="A158" s="888" t="s">
        <v>2062</v>
      </c>
      <c r="B158" s="888" t="s">
        <v>1949</v>
      </c>
      <c r="C158" s="895" t="s">
        <v>7374</v>
      </c>
      <c r="E158" s="897" t="s">
        <v>3415</v>
      </c>
    </row>
    <row r="159" spans="1:10" x14ac:dyDescent="0.3">
      <c r="A159" s="888" t="s">
        <v>2062</v>
      </c>
      <c r="B159" s="888" t="s">
        <v>1949</v>
      </c>
      <c r="C159" s="888" t="s">
        <v>7375</v>
      </c>
      <c r="E159" s="893" t="str">
        <f>$E$116</f>
        <v>Cubic metres of total wood volume in posts &amp; beams. (Heavy steel members input in Structural Elements tab)</v>
      </c>
    </row>
    <row r="160" spans="1:10" x14ac:dyDescent="0.3">
      <c r="A160" s="888" t="s">
        <v>2062</v>
      </c>
      <c r="B160" s="888" t="s">
        <v>1949</v>
      </c>
      <c r="C160" s="895" t="s">
        <v>4298</v>
      </c>
      <c r="E160" s="893" t="str">
        <f>$E$17</f>
        <v>Step</v>
      </c>
    </row>
    <row r="161" spans="1:19" ht="17.399999999999999" x14ac:dyDescent="0.3">
      <c r="A161" s="888" t="s">
        <v>2062</v>
      </c>
      <c r="B161" s="888" t="s">
        <v>1949</v>
      </c>
      <c r="C161" s="888" t="s">
        <v>2270</v>
      </c>
      <c r="D161" s="888" t="b">
        <v>1</v>
      </c>
      <c r="E161" s="609" t="s">
        <v>1668</v>
      </c>
    </row>
    <row r="162" spans="1:19" x14ac:dyDescent="0.3">
      <c r="A162" s="888" t="s">
        <v>2062</v>
      </c>
      <c r="B162" s="888" t="s">
        <v>1949</v>
      </c>
      <c r="C162" s="895" t="s">
        <v>3986</v>
      </c>
      <c r="E162" s="893" t="str">
        <f>$E$17</f>
        <v>Step</v>
      </c>
    </row>
    <row r="163" spans="1:19" ht="17.399999999999999" x14ac:dyDescent="0.3">
      <c r="A163" s="888" t="s">
        <v>2062</v>
      </c>
      <c r="B163" s="888" t="s">
        <v>1949</v>
      </c>
      <c r="C163" s="888" t="s">
        <v>2518</v>
      </c>
      <c r="D163" s="888" t="b">
        <v>1</v>
      </c>
      <c r="E163" s="609" t="s">
        <v>1666</v>
      </c>
    </row>
    <row r="164" spans="1:19" x14ac:dyDescent="0.3">
      <c r="A164" s="888" t="s">
        <v>2062</v>
      </c>
      <c r="B164" s="888" t="s">
        <v>1949</v>
      </c>
      <c r="C164" s="895" t="s">
        <v>2176</v>
      </c>
      <c r="E164" s="893" t="str">
        <f>$E$17</f>
        <v>Step</v>
      </c>
    </row>
    <row r="165" spans="1:19" ht="17.399999999999999" x14ac:dyDescent="0.3">
      <c r="A165" s="888" t="s">
        <v>2062</v>
      </c>
      <c r="B165" s="888" t="s">
        <v>1949</v>
      </c>
      <c r="C165" s="888" t="s">
        <v>2297</v>
      </c>
      <c r="D165" s="888" t="b">
        <v>1</v>
      </c>
      <c r="E165" s="609" t="s">
        <v>1667</v>
      </c>
    </row>
    <row r="166" spans="1:19" ht="97.5" customHeight="1" x14ac:dyDescent="0.3">
      <c r="A166" s="888" t="s">
        <v>2062</v>
      </c>
      <c r="B166" s="888" t="s">
        <v>1949</v>
      </c>
      <c r="C166" s="888" t="s">
        <v>2523</v>
      </c>
      <c r="D166" s="888" t="b">
        <v>1</v>
      </c>
      <c r="E166" s="1450" t="s">
        <v>1752</v>
      </c>
      <c r="F166" s="1450"/>
      <c r="G166" s="1450"/>
      <c r="H166" s="1450"/>
      <c r="I166" s="1450"/>
      <c r="J166" s="1450"/>
      <c r="K166" s="1450"/>
      <c r="L166" s="1450"/>
      <c r="M166" s="1450"/>
      <c r="N166" s="1450"/>
      <c r="O166" s="1450"/>
      <c r="P166" s="1450"/>
    </row>
    <row r="167" spans="1:19" x14ac:dyDescent="0.3">
      <c r="A167" s="888" t="s">
        <v>2062</v>
      </c>
      <c r="B167" s="888" t="s">
        <v>1022</v>
      </c>
      <c r="C167" s="888" t="s">
        <v>2124</v>
      </c>
      <c r="E167" s="893" t="s">
        <v>11</v>
      </c>
    </row>
    <row r="168" spans="1:19" x14ac:dyDescent="0.3">
      <c r="A168" s="888" t="s">
        <v>2062</v>
      </c>
      <c r="B168" s="888" t="s">
        <v>1022</v>
      </c>
      <c r="C168" s="888" t="s">
        <v>2125</v>
      </c>
      <c r="E168" s="893" t="s">
        <v>12</v>
      </c>
    </row>
    <row r="169" spans="1:19" ht="214.5" customHeight="1" x14ac:dyDescent="0.3">
      <c r="A169" s="888" t="s">
        <v>2062</v>
      </c>
      <c r="B169" s="888" t="s">
        <v>1022</v>
      </c>
      <c r="C169" s="888" t="s">
        <v>2063</v>
      </c>
      <c r="D169" s="888" t="b">
        <v>1</v>
      </c>
      <c r="E169" s="1671" t="s">
        <v>7209</v>
      </c>
      <c r="F169" s="1671"/>
      <c r="G169" s="1671"/>
      <c r="H169" s="1671"/>
      <c r="I169" s="1671"/>
      <c r="J169" s="1671"/>
      <c r="K169" s="1671"/>
      <c r="L169" s="1671"/>
      <c r="M169" s="1671"/>
      <c r="N169" s="1671"/>
      <c r="O169" s="1671"/>
      <c r="P169" s="1671"/>
      <c r="Q169" s="1671"/>
      <c r="R169" s="1671"/>
      <c r="S169" s="1671"/>
    </row>
    <row r="170" spans="1:19" x14ac:dyDescent="0.3">
      <c r="A170" s="888" t="s">
        <v>2062</v>
      </c>
      <c r="B170" s="888" t="s">
        <v>1022</v>
      </c>
      <c r="C170" s="888" t="s">
        <v>2064</v>
      </c>
      <c r="E170" s="888" t="s">
        <v>1031</v>
      </c>
    </row>
    <row r="171" spans="1:19" x14ac:dyDescent="0.3">
      <c r="A171" s="888" t="s">
        <v>2062</v>
      </c>
      <c r="B171" s="888" t="s">
        <v>1022</v>
      </c>
      <c r="C171" s="888" t="s">
        <v>2126</v>
      </c>
      <c r="E171" s="893" t="s">
        <v>13</v>
      </c>
    </row>
    <row r="172" spans="1:19" x14ac:dyDescent="0.3">
      <c r="A172" s="888" t="s">
        <v>2062</v>
      </c>
      <c r="B172" s="888" t="s">
        <v>1022</v>
      </c>
      <c r="C172" s="888" t="s">
        <v>2127</v>
      </c>
      <c r="E172" s="893" t="str">
        <f>$E$127</f>
        <v>QUANTITY</v>
      </c>
    </row>
    <row r="173" spans="1:19" x14ac:dyDescent="0.3">
      <c r="A173" s="888" t="s">
        <v>2062</v>
      </c>
      <c r="B173" s="888" t="s">
        <v>1022</v>
      </c>
      <c r="C173" s="888" t="s">
        <v>2128</v>
      </c>
      <c r="E173" s="888" t="s">
        <v>15</v>
      </c>
    </row>
    <row r="174" spans="1:19" ht="15" customHeight="1" x14ac:dyDescent="0.3">
      <c r="A174" s="888" t="s">
        <v>2062</v>
      </c>
      <c r="B174" s="908" t="s">
        <v>7296</v>
      </c>
      <c r="C174" s="888" t="s">
        <v>2129</v>
      </c>
      <c r="D174" s="888" t="b">
        <v>1</v>
      </c>
      <c r="E174" s="1669" t="s">
        <v>16</v>
      </c>
      <c r="G174" s="888"/>
    </row>
    <row r="175" spans="1:19" ht="15" customHeight="1" x14ac:dyDescent="0.3">
      <c r="A175" s="888" t="s">
        <v>2083</v>
      </c>
      <c r="E175" s="1670"/>
      <c r="G175" s="888"/>
    </row>
    <row r="176" spans="1:19" ht="24.75" customHeight="1" x14ac:dyDescent="0.3">
      <c r="A176" s="888" t="s">
        <v>2062</v>
      </c>
      <c r="B176" s="908" t="s">
        <v>7296</v>
      </c>
      <c r="C176" s="888" t="s">
        <v>2130</v>
      </c>
      <c r="D176" s="888" t="b">
        <v>1</v>
      </c>
      <c r="E176" s="1669" t="s">
        <v>17</v>
      </c>
    </row>
    <row r="177" spans="1:18" ht="15" customHeight="1" x14ac:dyDescent="0.3">
      <c r="A177" s="888" t="s">
        <v>2083</v>
      </c>
      <c r="E177" s="1670"/>
    </row>
    <row r="178" spans="1:18" x14ac:dyDescent="0.3">
      <c r="A178" s="888" t="s">
        <v>2062</v>
      </c>
      <c r="B178" s="888" t="s">
        <v>1022</v>
      </c>
      <c r="C178" s="888" t="s">
        <v>2131</v>
      </c>
      <c r="D178" s="888" t="b">
        <v>1</v>
      </c>
      <c r="E178" s="1669" t="s">
        <v>900</v>
      </c>
    </row>
    <row r="179" spans="1:18" x14ac:dyDescent="0.3">
      <c r="A179" s="888" t="s">
        <v>2083</v>
      </c>
      <c r="E179" s="1670"/>
    </row>
    <row r="180" spans="1:18" ht="14.4" customHeight="1" x14ac:dyDescent="0.3">
      <c r="A180" s="888" t="s">
        <v>2062</v>
      </c>
      <c r="B180" s="888" t="s">
        <v>1022</v>
      </c>
      <c r="C180" s="888" t="s">
        <v>2132</v>
      </c>
      <c r="D180" s="888" t="b">
        <v>1</v>
      </c>
      <c r="E180" s="1535" t="s">
        <v>7156</v>
      </c>
    </row>
    <row r="181" spans="1:18" ht="14.4" customHeight="1" x14ac:dyDescent="0.3">
      <c r="A181" s="888" t="s">
        <v>2083</v>
      </c>
      <c r="E181" s="1536"/>
    </row>
    <row r="182" spans="1:18" ht="14.4" customHeight="1" x14ac:dyDescent="0.3">
      <c r="A182" s="888" t="s">
        <v>2062</v>
      </c>
      <c r="B182" s="888" t="s">
        <v>1022</v>
      </c>
      <c r="C182" s="909" t="s">
        <v>2070</v>
      </c>
      <c r="D182" s="888" t="b">
        <v>1</v>
      </c>
      <c r="E182" s="1520" t="s">
        <v>7165</v>
      </c>
      <c r="F182" s="1520"/>
    </row>
    <row r="183" spans="1:18" ht="14.4" customHeight="1" x14ac:dyDescent="0.3">
      <c r="A183" s="888" t="s">
        <v>2083</v>
      </c>
      <c r="E183" s="1520"/>
      <c r="F183" s="1520"/>
    </row>
    <row r="184" spans="1:18" ht="14.4" customHeight="1" x14ac:dyDescent="0.3">
      <c r="A184" s="888" t="s">
        <v>2062</v>
      </c>
      <c r="B184" s="910" t="s">
        <v>7296</v>
      </c>
      <c r="C184" s="909" t="s">
        <v>3335</v>
      </c>
      <c r="D184" s="888" t="b">
        <v>1</v>
      </c>
      <c r="E184" s="1535" t="s">
        <v>4070</v>
      </c>
    </row>
    <row r="185" spans="1:18" ht="14.4" customHeight="1" x14ac:dyDescent="0.3">
      <c r="A185" s="888" t="s">
        <v>2083</v>
      </c>
      <c r="E185" s="1536"/>
    </row>
    <row r="186" spans="1:18" ht="38.4" x14ac:dyDescent="0.3">
      <c r="A186" s="888" t="s">
        <v>2062</v>
      </c>
      <c r="B186" s="888" t="s">
        <v>1022</v>
      </c>
      <c r="C186" s="909" t="s">
        <v>4961</v>
      </c>
      <c r="D186" s="888" t="b">
        <v>1</v>
      </c>
      <c r="E186" s="622" t="s">
        <v>7155</v>
      </c>
    </row>
    <row r="187" spans="1:18" ht="38.4" x14ac:dyDescent="0.3">
      <c r="A187" s="888" t="s">
        <v>2062</v>
      </c>
      <c r="B187" s="888" t="s">
        <v>1022</v>
      </c>
      <c r="C187" s="911" t="s">
        <v>5112</v>
      </c>
      <c r="D187" s="888" t="b">
        <v>1</v>
      </c>
      <c r="E187" s="622" t="s">
        <v>7159</v>
      </c>
    </row>
    <row r="188" spans="1:18" x14ac:dyDescent="0.3">
      <c r="A188" s="888" t="s">
        <v>2062</v>
      </c>
      <c r="B188" s="888" t="s">
        <v>1022</v>
      </c>
      <c r="C188" s="888" t="s">
        <v>2133</v>
      </c>
      <c r="E188" s="888" t="s">
        <v>18</v>
      </c>
    </row>
    <row r="189" spans="1:18" x14ac:dyDescent="0.3">
      <c r="A189" s="888" t="s">
        <v>2062</v>
      </c>
      <c r="B189" s="888" t="s">
        <v>1022</v>
      </c>
      <c r="C189" s="888" t="s">
        <v>2134</v>
      </c>
      <c r="E189" s="888" t="s">
        <v>19</v>
      </c>
    </row>
    <row r="190" spans="1:18" x14ac:dyDescent="0.3">
      <c r="A190" s="888" t="s">
        <v>2062</v>
      </c>
      <c r="B190" s="888" t="s">
        <v>1022</v>
      </c>
      <c r="C190" s="888" t="s">
        <v>2135</v>
      </c>
      <c r="E190" s="888" t="s">
        <v>1023</v>
      </c>
    </row>
    <row r="191" spans="1:18" x14ac:dyDescent="0.3">
      <c r="A191" s="888" t="s">
        <v>2062</v>
      </c>
      <c r="B191" s="888" t="s">
        <v>1022</v>
      </c>
      <c r="C191" s="888" t="s">
        <v>2136</v>
      </c>
      <c r="E191" s="893" t="s">
        <v>785</v>
      </c>
    </row>
    <row r="192" spans="1:18" s="893" customFormat="1" x14ac:dyDescent="0.3">
      <c r="A192" s="888" t="s">
        <v>2062</v>
      </c>
      <c r="B192" s="888" t="s">
        <v>1022</v>
      </c>
      <c r="C192" s="888" t="s">
        <v>2313</v>
      </c>
      <c r="D192" s="888"/>
      <c r="E192" s="888" t="s">
        <v>1535</v>
      </c>
      <c r="I192" s="888"/>
      <c r="J192" s="888"/>
      <c r="K192" s="888"/>
      <c r="L192" s="888"/>
      <c r="M192" s="888"/>
      <c r="N192" s="888"/>
      <c r="O192" s="888"/>
      <c r="P192" s="888"/>
      <c r="Q192" s="888"/>
      <c r="R192" s="888"/>
    </row>
    <row r="193" spans="1:18" s="893" customFormat="1" x14ac:dyDescent="0.3">
      <c r="A193" s="888" t="s">
        <v>2062</v>
      </c>
      <c r="B193" s="888" t="s">
        <v>1022</v>
      </c>
      <c r="C193" s="888" t="s">
        <v>2459</v>
      </c>
      <c r="D193" s="888"/>
      <c r="E193" s="893" t="s">
        <v>1349</v>
      </c>
      <c r="I193" s="888"/>
      <c r="J193" s="888"/>
      <c r="K193" s="888"/>
      <c r="L193" s="888"/>
      <c r="M193" s="888"/>
      <c r="N193" s="888"/>
      <c r="O193" s="888"/>
      <c r="P193" s="888"/>
      <c r="Q193" s="888"/>
      <c r="R193" s="888"/>
    </row>
    <row r="194" spans="1:18" s="893" customFormat="1" x14ac:dyDescent="0.3">
      <c r="A194" s="888" t="s">
        <v>2062</v>
      </c>
      <c r="B194" s="888" t="s">
        <v>1022</v>
      </c>
      <c r="C194" s="888" t="s">
        <v>2075</v>
      </c>
      <c r="D194" s="888"/>
      <c r="E194" s="893" t="s">
        <v>786</v>
      </c>
      <c r="I194" s="888"/>
      <c r="J194" s="888"/>
      <c r="K194" s="888"/>
      <c r="L194" s="888"/>
      <c r="M194" s="888"/>
      <c r="N194" s="888"/>
      <c r="O194" s="888"/>
      <c r="P194" s="888"/>
      <c r="Q194" s="888"/>
      <c r="R194" s="888"/>
    </row>
    <row r="195" spans="1:18" s="893" customFormat="1" x14ac:dyDescent="0.3">
      <c r="A195" s="888" t="s">
        <v>2062</v>
      </c>
      <c r="B195" s="888" t="s">
        <v>1022</v>
      </c>
      <c r="C195" s="888" t="s">
        <v>2086</v>
      </c>
      <c r="D195" s="888"/>
      <c r="E195" s="893" t="s">
        <v>1350</v>
      </c>
      <c r="I195" s="888"/>
      <c r="J195" s="888"/>
      <c r="K195" s="888"/>
      <c r="L195" s="888"/>
      <c r="M195" s="888"/>
      <c r="N195" s="888"/>
      <c r="O195" s="888"/>
      <c r="P195" s="888"/>
      <c r="Q195" s="888"/>
      <c r="R195" s="888"/>
    </row>
    <row r="196" spans="1:18" s="893" customFormat="1" x14ac:dyDescent="0.3">
      <c r="A196" s="888" t="s">
        <v>2062</v>
      </c>
      <c r="B196" s="888" t="s">
        <v>1022</v>
      </c>
      <c r="C196" s="888" t="s">
        <v>2233</v>
      </c>
      <c r="D196" s="888"/>
      <c r="E196" s="893" t="str">
        <f>$E$194</f>
        <v>Concrete mix specification makes a big difference in carbon footprint. The mix specifications here can be used to discuss low-carbon mix options with your supplier.</v>
      </c>
      <c r="I196" s="888"/>
      <c r="J196" s="888"/>
      <c r="K196" s="888"/>
      <c r="L196" s="888"/>
      <c r="M196" s="888"/>
      <c r="N196" s="888"/>
      <c r="O196" s="888"/>
      <c r="P196" s="888"/>
      <c r="Q196" s="888"/>
      <c r="R196" s="888"/>
    </row>
    <row r="197" spans="1:18" s="893" customFormat="1" x14ac:dyDescent="0.3">
      <c r="A197" s="888" t="s">
        <v>2062</v>
      </c>
      <c r="B197" s="888" t="s">
        <v>1022</v>
      </c>
      <c r="C197" s="888" t="s">
        <v>2093</v>
      </c>
      <c r="D197" s="888"/>
      <c r="E197" s="893" t="s">
        <v>1351</v>
      </c>
      <c r="I197" s="888"/>
      <c r="J197" s="888"/>
      <c r="K197" s="888"/>
      <c r="L197" s="888"/>
      <c r="M197" s="888"/>
      <c r="N197" s="888"/>
      <c r="O197" s="888"/>
      <c r="P197" s="888"/>
      <c r="Q197" s="888"/>
      <c r="R197" s="888"/>
    </row>
    <row r="198" spans="1:18" s="893" customFormat="1" x14ac:dyDescent="0.3">
      <c r="A198" s="888" t="s">
        <v>2062</v>
      </c>
      <c r="B198" s="888" t="s">
        <v>1022</v>
      </c>
      <c r="C198" s="888" t="s">
        <v>2276</v>
      </c>
      <c r="D198" s="888"/>
      <c r="E198" s="893" t="str">
        <f>$E$194</f>
        <v>Concrete mix specification makes a big difference in carbon footprint. The mix specifications here can be used to discuss low-carbon mix options with your supplier.</v>
      </c>
      <c r="I198" s="888"/>
      <c r="J198" s="888"/>
      <c r="K198" s="888"/>
      <c r="L198" s="888"/>
      <c r="M198" s="888"/>
      <c r="N198" s="888"/>
      <c r="O198" s="888"/>
      <c r="P198" s="888"/>
      <c r="Q198" s="888"/>
      <c r="R198" s="888"/>
    </row>
    <row r="199" spans="1:18" s="893" customFormat="1" x14ac:dyDescent="0.3">
      <c r="A199" s="888" t="s">
        <v>2062</v>
      </c>
      <c r="B199" s="888" t="s">
        <v>1022</v>
      </c>
      <c r="C199" s="888" t="s">
        <v>2315</v>
      </c>
      <c r="D199" s="888"/>
      <c r="E199" s="893" t="s">
        <v>24</v>
      </c>
      <c r="I199" s="888"/>
      <c r="J199" s="888"/>
      <c r="K199" s="888"/>
      <c r="L199" s="888"/>
      <c r="M199" s="888"/>
      <c r="N199" s="888"/>
      <c r="O199" s="888"/>
      <c r="P199" s="888"/>
      <c r="Q199" s="888"/>
      <c r="R199" s="888"/>
    </row>
    <row r="200" spans="1:18" s="893" customFormat="1" x14ac:dyDescent="0.3">
      <c r="A200" s="888" t="s">
        <v>2062</v>
      </c>
      <c r="B200" s="888" t="s">
        <v>1022</v>
      </c>
      <c r="C200" s="888" t="s">
        <v>2487</v>
      </c>
      <c r="D200" s="888"/>
      <c r="E200" s="893" t="s">
        <v>1539</v>
      </c>
      <c r="I200" s="888"/>
      <c r="J200" s="888"/>
      <c r="K200" s="888"/>
      <c r="L200" s="888"/>
      <c r="M200" s="888"/>
      <c r="N200" s="888"/>
      <c r="O200" s="888"/>
      <c r="P200" s="888"/>
      <c r="Q200" s="888"/>
      <c r="R200" s="888"/>
    </row>
    <row r="201" spans="1:18" s="893" customFormat="1" x14ac:dyDescent="0.3">
      <c r="A201" s="888" t="s">
        <v>2062</v>
      </c>
      <c r="B201" s="888" t="s">
        <v>1022</v>
      </c>
      <c r="C201" s="888" t="s">
        <v>2102</v>
      </c>
      <c r="D201" s="888"/>
      <c r="E201" s="893" t="s">
        <v>918</v>
      </c>
      <c r="I201" s="888"/>
      <c r="J201" s="888"/>
      <c r="K201" s="888"/>
      <c r="L201" s="888"/>
      <c r="M201" s="888"/>
      <c r="N201" s="888"/>
      <c r="O201" s="888"/>
      <c r="P201" s="888"/>
      <c r="Q201" s="888"/>
      <c r="R201" s="888"/>
    </row>
    <row r="202" spans="1:18" s="893" customFormat="1" x14ac:dyDescent="0.3">
      <c r="A202" s="888" t="s">
        <v>2062</v>
      </c>
      <c r="B202" s="888" t="s">
        <v>1022</v>
      </c>
      <c r="C202" s="888" t="s">
        <v>2278</v>
      </c>
      <c r="D202" s="888"/>
      <c r="E202" s="893" t="s">
        <v>1272</v>
      </c>
      <c r="I202" s="888"/>
      <c r="J202" s="888"/>
      <c r="K202" s="888"/>
      <c r="L202" s="888"/>
      <c r="M202" s="888"/>
      <c r="N202" s="888"/>
      <c r="O202" s="888"/>
      <c r="P202" s="888"/>
      <c r="Q202" s="888"/>
      <c r="R202" s="888"/>
    </row>
    <row r="203" spans="1:18" s="893" customFormat="1" x14ac:dyDescent="0.3">
      <c r="A203" s="888" t="s">
        <v>2062</v>
      </c>
      <c r="B203" s="888" t="s">
        <v>1022</v>
      </c>
      <c r="C203" s="888" t="s">
        <v>2240</v>
      </c>
      <c r="D203" s="888"/>
      <c r="E203" s="893" t="s">
        <v>1295</v>
      </c>
      <c r="I203" s="888"/>
      <c r="J203" s="888"/>
      <c r="K203" s="888"/>
      <c r="L203" s="888"/>
      <c r="M203" s="888"/>
      <c r="N203" s="888"/>
      <c r="O203" s="888"/>
      <c r="P203" s="888"/>
      <c r="Q203" s="888"/>
      <c r="R203" s="888"/>
    </row>
    <row r="204" spans="1:18" s="893" customFormat="1" x14ac:dyDescent="0.3">
      <c r="A204" s="888" t="s">
        <v>2062</v>
      </c>
      <c r="B204" s="888" t="s">
        <v>1022</v>
      </c>
      <c r="C204" s="888" t="s">
        <v>2497</v>
      </c>
      <c r="D204" s="888"/>
      <c r="E204" s="893" t="s">
        <v>1538</v>
      </c>
      <c r="I204" s="888"/>
      <c r="J204" s="888"/>
      <c r="K204" s="888"/>
      <c r="L204" s="888"/>
      <c r="M204" s="888"/>
      <c r="N204" s="888"/>
      <c r="O204" s="888"/>
      <c r="P204" s="888"/>
      <c r="Q204" s="888"/>
      <c r="R204" s="888"/>
    </row>
    <row r="205" spans="1:18" s="893" customFormat="1" x14ac:dyDescent="0.3">
      <c r="A205" s="888" t="s">
        <v>2062</v>
      </c>
      <c r="B205" s="888" t="s">
        <v>1022</v>
      </c>
      <c r="C205" s="888" t="s">
        <v>2281</v>
      </c>
      <c r="D205" s="888"/>
      <c r="E205" s="893" t="s">
        <v>1296</v>
      </c>
      <c r="I205" s="888"/>
      <c r="J205" s="888"/>
      <c r="K205" s="888"/>
      <c r="L205" s="888"/>
      <c r="M205" s="888"/>
      <c r="N205" s="888"/>
      <c r="O205" s="888"/>
      <c r="P205" s="888"/>
      <c r="Q205" s="888"/>
      <c r="R205" s="888"/>
    </row>
    <row r="206" spans="1:18" s="893" customFormat="1" x14ac:dyDescent="0.3">
      <c r="A206" s="888" t="s">
        <v>2062</v>
      </c>
      <c r="B206" s="888" t="s">
        <v>1022</v>
      </c>
      <c r="C206" s="888" t="s">
        <v>4294</v>
      </c>
      <c r="D206" s="888"/>
      <c r="E206" s="893" t="s">
        <v>25</v>
      </c>
      <c r="I206" s="888"/>
      <c r="J206" s="888"/>
      <c r="K206" s="888"/>
      <c r="L206" s="888"/>
      <c r="M206" s="888"/>
      <c r="N206" s="888"/>
      <c r="O206" s="888"/>
      <c r="P206" s="888"/>
      <c r="Q206" s="888"/>
      <c r="R206" s="888"/>
    </row>
    <row r="207" spans="1:18" s="893" customFormat="1" x14ac:dyDescent="0.3">
      <c r="A207" s="888" t="s">
        <v>2062</v>
      </c>
      <c r="B207" s="888" t="s">
        <v>1022</v>
      </c>
      <c r="C207" s="888" t="s">
        <v>7378</v>
      </c>
      <c r="D207" s="888"/>
      <c r="E207" s="893" t="s">
        <v>26</v>
      </c>
      <c r="I207" s="888"/>
      <c r="J207" s="888"/>
      <c r="K207" s="888"/>
      <c r="L207" s="888"/>
      <c r="M207" s="888"/>
      <c r="N207" s="888"/>
      <c r="O207" s="888"/>
      <c r="P207" s="888"/>
      <c r="Q207" s="888"/>
      <c r="R207" s="888"/>
    </row>
    <row r="208" spans="1:18" s="893" customFormat="1" x14ac:dyDescent="0.3">
      <c r="A208" s="888" t="s">
        <v>2062</v>
      </c>
      <c r="B208" s="888" t="s">
        <v>1022</v>
      </c>
      <c r="C208" s="888" t="s">
        <v>2112</v>
      </c>
      <c r="D208" s="888"/>
      <c r="E208" s="893" t="str">
        <f>$E$206</f>
        <v>HELICAL PIERS</v>
      </c>
      <c r="I208" s="888"/>
      <c r="J208" s="888"/>
      <c r="K208" s="888"/>
      <c r="L208" s="888"/>
      <c r="M208" s="888"/>
      <c r="N208" s="888"/>
      <c r="O208" s="888"/>
      <c r="P208" s="888"/>
      <c r="Q208" s="888"/>
      <c r="R208" s="888"/>
    </row>
    <row r="209" spans="1:18" s="893" customFormat="1" x14ac:dyDescent="0.3">
      <c r="A209" s="888" t="s">
        <v>2062</v>
      </c>
      <c r="B209" s="888" t="s">
        <v>1022</v>
      </c>
      <c r="C209" s="888" t="s">
        <v>4295</v>
      </c>
      <c r="D209" s="888"/>
      <c r="E209" s="893" t="s">
        <v>1050</v>
      </c>
      <c r="I209" s="888"/>
      <c r="J209" s="888"/>
      <c r="K209" s="888"/>
      <c r="L209" s="888"/>
      <c r="M209" s="888"/>
      <c r="N209" s="888"/>
      <c r="O209" s="888"/>
      <c r="P209" s="888"/>
      <c r="Q209" s="888"/>
      <c r="R209" s="888"/>
    </row>
    <row r="210" spans="1:18" s="893" customFormat="1" x14ac:dyDescent="0.3">
      <c r="A210" s="888" t="s">
        <v>2062</v>
      </c>
      <c r="B210" s="888" t="s">
        <v>1022</v>
      </c>
      <c r="C210" s="888" t="s">
        <v>2241</v>
      </c>
      <c r="D210" s="888"/>
      <c r="E210" s="893" t="s">
        <v>1422</v>
      </c>
      <c r="I210" s="888"/>
      <c r="J210" s="888"/>
      <c r="K210" s="888"/>
      <c r="L210" s="888"/>
      <c r="M210" s="888"/>
      <c r="N210" s="888"/>
      <c r="O210" s="888"/>
      <c r="P210" s="888"/>
      <c r="Q210" s="888"/>
      <c r="R210" s="888"/>
    </row>
    <row r="211" spans="1:18" s="893" customFormat="1" x14ac:dyDescent="0.3">
      <c r="A211" s="888" t="s">
        <v>2062</v>
      </c>
      <c r="B211" s="888" t="s">
        <v>1022</v>
      </c>
      <c r="C211" s="888" t="s">
        <v>2506</v>
      </c>
      <c r="D211" s="888"/>
      <c r="E211" s="888" t="str">
        <f>$E$189</f>
        <v>THICKNESS:</v>
      </c>
      <c r="I211" s="888"/>
      <c r="J211" s="888"/>
      <c r="K211" s="888"/>
      <c r="L211" s="888"/>
      <c r="M211" s="888"/>
      <c r="N211" s="888"/>
      <c r="O211" s="888"/>
      <c r="P211" s="888"/>
      <c r="Q211" s="888"/>
      <c r="R211" s="888"/>
    </row>
    <row r="212" spans="1:18" s="893" customFormat="1" x14ac:dyDescent="0.3">
      <c r="A212" s="888" t="s">
        <v>2062</v>
      </c>
      <c r="B212" s="888" t="s">
        <v>1022</v>
      </c>
      <c r="C212" s="888" t="s">
        <v>2115</v>
      </c>
      <c r="D212" s="888"/>
      <c r="E212" s="893" t="str">
        <f>$E$193</f>
        <v>CONCRETE – 25 MPa or less</v>
      </c>
      <c r="I212" s="888"/>
      <c r="J212" s="888"/>
      <c r="K212" s="888"/>
      <c r="L212" s="888"/>
      <c r="M212" s="888"/>
      <c r="N212" s="888"/>
      <c r="O212" s="888"/>
      <c r="P212" s="888"/>
      <c r="Q212" s="888"/>
      <c r="R212" s="888"/>
    </row>
    <row r="213" spans="1:18" s="893" customFormat="1" x14ac:dyDescent="0.3">
      <c r="A213" s="888" t="s">
        <v>2062</v>
      </c>
      <c r="B213" s="888" t="s">
        <v>1022</v>
      </c>
      <c r="C213" s="888" t="s">
        <v>4296</v>
      </c>
      <c r="D213" s="888"/>
      <c r="E213" s="893" t="str">
        <f>$E$194</f>
        <v>Concrete mix specification makes a big difference in carbon footprint. The mix specifications here can be used to discuss low-carbon mix options with your supplier.</v>
      </c>
      <c r="I213" s="888"/>
      <c r="J213" s="888"/>
      <c r="K213" s="888"/>
      <c r="L213" s="888"/>
      <c r="M213" s="888"/>
      <c r="N213" s="888"/>
      <c r="O213" s="888"/>
      <c r="P213" s="888"/>
      <c r="Q213" s="888"/>
      <c r="R213" s="888"/>
    </row>
    <row r="214" spans="1:18" s="893" customFormat="1" x14ac:dyDescent="0.3">
      <c r="A214" s="888" t="s">
        <v>2062</v>
      </c>
      <c r="B214" s="888" t="s">
        <v>1022</v>
      </c>
      <c r="C214" s="888" t="s">
        <v>2293</v>
      </c>
      <c r="D214" s="888"/>
      <c r="E214" s="893" t="str">
        <f>$E$195</f>
        <v>CONCRETE – 26-30 MPa</v>
      </c>
      <c r="I214" s="888"/>
      <c r="J214" s="888"/>
      <c r="K214" s="888"/>
      <c r="L214" s="888"/>
      <c r="M214" s="888"/>
      <c r="N214" s="888"/>
      <c r="O214" s="888"/>
      <c r="P214" s="888"/>
      <c r="Q214" s="888"/>
      <c r="R214" s="888"/>
    </row>
    <row r="215" spans="1:18" s="893" customFormat="1" x14ac:dyDescent="0.3">
      <c r="A215" s="888" t="s">
        <v>2062</v>
      </c>
      <c r="B215" s="888" t="s">
        <v>1022</v>
      </c>
      <c r="C215" s="888" t="s">
        <v>3983</v>
      </c>
      <c r="D215" s="888"/>
      <c r="E215" s="893" t="str">
        <f>$E$194</f>
        <v>Concrete mix specification makes a big difference in carbon footprint. The mix specifications here can be used to discuss low-carbon mix options with your supplier.</v>
      </c>
      <c r="I215" s="888"/>
      <c r="J215" s="888"/>
      <c r="K215" s="888"/>
      <c r="L215" s="888"/>
      <c r="M215" s="888"/>
      <c r="N215" s="888"/>
      <c r="O215" s="888"/>
      <c r="P215" s="888"/>
      <c r="Q215" s="888"/>
      <c r="R215" s="888"/>
    </row>
    <row r="216" spans="1:18" s="893" customFormat="1" x14ac:dyDescent="0.3">
      <c r="A216" s="888" t="s">
        <v>2062</v>
      </c>
      <c r="B216" s="888" t="s">
        <v>1022</v>
      </c>
      <c r="C216" s="888" t="s">
        <v>2271</v>
      </c>
      <c r="D216" s="888"/>
      <c r="E216" s="893" t="str">
        <f>$E$197</f>
        <v>CONCRETE – 31-35 MPa</v>
      </c>
      <c r="I216" s="888"/>
      <c r="J216" s="888"/>
      <c r="K216" s="888"/>
      <c r="L216" s="888"/>
      <c r="M216" s="888"/>
      <c r="N216" s="888"/>
      <c r="O216" s="888"/>
      <c r="P216" s="888"/>
      <c r="Q216" s="888"/>
      <c r="R216" s="888"/>
    </row>
    <row r="217" spans="1:18" s="893" customFormat="1" x14ac:dyDescent="0.3">
      <c r="A217" s="888" t="s">
        <v>2062</v>
      </c>
      <c r="B217" s="888" t="s">
        <v>1022</v>
      </c>
      <c r="C217" s="888" t="s">
        <v>2176</v>
      </c>
      <c r="D217" s="888"/>
      <c r="E217" s="893" t="str">
        <f>$E$194</f>
        <v>Concrete mix specification makes a big difference in carbon footprint. The mix specifications here can be used to discuss low-carbon mix options with your supplier.</v>
      </c>
      <c r="I217" s="888"/>
      <c r="J217" s="888"/>
      <c r="K217" s="888"/>
      <c r="L217" s="888"/>
      <c r="M217" s="888"/>
      <c r="N217" s="888"/>
      <c r="O217" s="888"/>
      <c r="P217" s="888"/>
      <c r="Q217" s="888"/>
      <c r="R217" s="888"/>
    </row>
    <row r="218" spans="1:18" s="893" customFormat="1" x14ac:dyDescent="0.3">
      <c r="A218" s="888" t="s">
        <v>2062</v>
      </c>
      <c r="B218" s="888" t="s">
        <v>1022</v>
      </c>
      <c r="C218" s="888" t="s">
        <v>4344</v>
      </c>
      <c r="D218" s="888"/>
      <c r="E218" s="893" t="s">
        <v>1423</v>
      </c>
      <c r="I218" s="888"/>
      <c r="J218" s="888"/>
      <c r="K218" s="888"/>
      <c r="L218" s="888"/>
      <c r="M218" s="888"/>
      <c r="N218" s="888"/>
      <c r="O218" s="888"/>
      <c r="P218" s="888"/>
      <c r="Q218" s="888"/>
      <c r="R218" s="888"/>
    </row>
    <row r="219" spans="1:18" s="893" customFormat="1" x14ac:dyDescent="0.3">
      <c r="A219" s="888" t="s">
        <v>2062</v>
      </c>
      <c r="B219" s="888" t="s">
        <v>1022</v>
      </c>
      <c r="C219" s="888" t="s">
        <v>2248</v>
      </c>
      <c r="D219" s="888"/>
      <c r="E219" s="893" t="s">
        <v>1421</v>
      </c>
      <c r="I219" s="888"/>
      <c r="J219" s="888"/>
      <c r="K219" s="888"/>
      <c r="L219" s="888"/>
      <c r="M219" s="888"/>
      <c r="N219" s="888"/>
      <c r="O219" s="888"/>
      <c r="P219" s="888"/>
      <c r="Q219" s="888"/>
      <c r="R219" s="888"/>
    </row>
    <row r="220" spans="1:18" s="893" customFormat="1" x14ac:dyDescent="0.3">
      <c r="A220" s="888" t="s">
        <v>2062</v>
      </c>
      <c r="B220" s="888" t="s">
        <v>1022</v>
      </c>
      <c r="C220" s="888" t="s">
        <v>4377</v>
      </c>
      <c r="D220" s="888"/>
      <c r="E220" s="893" t="s">
        <v>28</v>
      </c>
      <c r="I220" s="888"/>
      <c r="J220" s="888"/>
      <c r="K220" s="888"/>
      <c r="L220" s="888"/>
      <c r="M220" s="888"/>
      <c r="N220" s="888"/>
      <c r="O220" s="888"/>
      <c r="P220" s="888"/>
      <c r="Q220" s="888"/>
      <c r="R220" s="888"/>
    </row>
    <row r="221" spans="1:18" s="893" customFormat="1" x14ac:dyDescent="0.3">
      <c r="A221" s="888" t="s">
        <v>2062</v>
      </c>
      <c r="B221" s="888" t="s">
        <v>1022</v>
      </c>
      <c r="C221" s="888" t="s">
        <v>2528</v>
      </c>
      <c r="D221" s="888"/>
      <c r="E221" s="893" t="s">
        <v>1024</v>
      </c>
      <c r="I221" s="888"/>
      <c r="J221" s="888"/>
      <c r="K221" s="888"/>
      <c r="L221" s="888"/>
      <c r="M221" s="888"/>
      <c r="N221" s="888"/>
      <c r="O221" s="888"/>
      <c r="P221" s="888"/>
      <c r="Q221" s="888"/>
      <c r="R221" s="888"/>
    </row>
    <row r="222" spans="1:18" s="893" customFormat="1" x14ac:dyDescent="0.3">
      <c r="A222" s="888" t="s">
        <v>2062</v>
      </c>
      <c r="B222" s="888" t="s">
        <v>1022</v>
      </c>
      <c r="C222" s="888" t="s">
        <v>2529</v>
      </c>
      <c r="D222" s="888"/>
      <c r="E222" s="893" t="s">
        <v>1051</v>
      </c>
      <c r="I222" s="888"/>
      <c r="J222" s="888"/>
      <c r="K222" s="888"/>
      <c r="L222" s="888"/>
      <c r="M222" s="888"/>
      <c r="N222" s="888"/>
      <c r="O222" s="888"/>
      <c r="P222" s="888"/>
      <c r="Q222" s="888"/>
      <c r="R222" s="888"/>
    </row>
    <row r="223" spans="1:18" s="893" customFormat="1" x14ac:dyDescent="0.3">
      <c r="A223" s="888" t="s">
        <v>2062</v>
      </c>
      <c r="B223" s="888" t="s">
        <v>1022</v>
      </c>
      <c r="C223" s="888" t="s">
        <v>2155</v>
      </c>
      <c r="D223" s="888"/>
      <c r="E223" s="893" t="s">
        <v>1025</v>
      </c>
      <c r="I223" s="888"/>
      <c r="J223" s="888"/>
      <c r="K223" s="888"/>
      <c r="L223" s="888"/>
      <c r="M223" s="888"/>
      <c r="N223" s="888"/>
      <c r="O223" s="888"/>
      <c r="P223" s="888"/>
      <c r="Q223" s="888"/>
      <c r="R223" s="888"/>
    </row>
    <row r="224" spans="1:18" s="893" customFormat="1" x14ac:dyDescent="0.3">
      <c r="A224" s="888" t="s">
        <v>2062</v>
      </c>
      <c r="B224" s="888" t="s">
        <v>1022</v>
      </c>
      <c r="C224" s="888" t="s">
        <v>2156</v>
      </c>
      <c r="D224" s="888"/>
      <c r="E224" s="893" t="s">
        <v>4023</v>
      </c>
      <c r="I224" s="912"/>
      <c r="J224" s="888"/>
      <c r="K224" s="888"/>
      <c r="L224" s="888"/>
      <c r="M224" s="888"/>
      <c r="N224" s="888"/>
      <c r="O224" s="888"/>
      <c r="P224" s="888"/>
      <c r="Q224" s="888"/>
      <c r="R224" s="888"/>
    </row>
    <row r="225" spans="1:18" s="893" customFormat="1" x14ac:dyDescent="0.3">
      <c r="A225" s="888" t="s">
        <v>2062</v>
      </c>
      <c r="B225" s="888" t="s">
        <v>1022</v>
      </c>
      <c r="C225" s="888" t="s">
        <v>2288</v>
      </c>
      <c r="D225" s="888"/>
      <c r="E225" s="913" t="s">
        <v>3418</v>
      </c>
      <c r="I225" s="888"/>
      <c r="J225" s="888"/>
      <c r="K225" s="888"/>
      <c r="L225" s="888"/>
      <c r="M225" s="888"/>
      <c r="N225" s="888"/>
      <c r="O225" s="888"/>
      <c r="P225" s="888"/>
      <c r="Q225" s="888"/>
      <c r="R225" s="888"/>
    </row>
    <row r="226" spans="1:18" s="893" customFormat="1" x14ac:dyDescent="0.3">
      <c r="A226" s="888" t="s">
        <v>2062</v>
      </c>
      <c r="B226" s="888" t="s">
        <v>1022</v>
      </c>
      <c r="C226" s="914" t="s">
        <v>2549</v>
      </c>
      <c r="D226" s="888"/>
      <c r="E226" s="893" t="s">
        <v>1354</v>
      </c>
      <c r="I226" s="888"/>
      <c r="J226" s="888"/>
      <c r="K226" s="888"/>
      <c r="L226" s="888"/>
      <c r="M226" s="888"/>
      <c r="N226" s="888"/>
      <c r="O226" s="888"/>
      <c r="P226" s="888"/>
      <c r="Q226" s="888"/>
      <c r="R226" s="888"/>
    </row>
    <row r="227" spans="1:18" s="893" customFormat="1" x14ac:dyDescent="0.3">
      <c r="A227" s="888" t="s">
        <v>2062</v>
      </c>
      <c r="B227" s="888" t="s">
        <v>1022</v>
      </c>
      <c r="C227" s="888" t="s">
        <v>2302</v>
      </c>
      <c r="D227" s="888"/>
      <c r="E227" s="913" t="s">
        <v>3419</v>
      </c>
      <c r="I227" s="888"/>
      <c r="J227" s="888"/>
      <c r="K227" s="888"/>
      <c r="L227" s="888"/>
      <c r="M227" s="888"/>
      <c r="N227" s="888"/>
      <c r="O227" s="888"/>
      <c r="P227" s="888"/>
      <c r="Q227" s="888"/>
      <c r="R227" s="888"/>
    </row>
    <row r="228" spans="1:18" s="893" customFormat="1" x14ac:dyDescent="0.3">
      <c r="A228" s="888" t="s">
        <v>2062</v>
      </c>
      <c r="B228" s="915" t="s">
        <v>7296</v>
      </c>
      <c r="C228" s="888" t="s">
        <v>2559</v>
      </c>
      <c r="D228" s="888"/>
      <c r="E228" s="893" t="s">
        <v>1052</v>
      </c>
      <c r="I228" s="888"/>
      <c r="J228" s="888"/>
      <c r="K228" s="888"/>
      <c r="L228" s="888"/>
      <c r="M228" s="888"/>
      <c r="N228" s="888"/>
      <c r="O228" s="888"/>
      <c r="P228" s="888"/>
      <c r="Q228" s="888"/>
      <c r="R228" s="888"/>
    </row>
    <row r="229" spans="1:18" s="893" customFormat="1" x14ac:dyDescent="0.3">
      <c r="A229" s="888" t="s">
        <v>2062</v>
      </c>
      <c r="B229" s="888" t="s">
        <v>1022</v>
      </c>
      <c r="C229" s="888" t="s">
        <v>2187</v>
      </c>
      <c r="D229" s="888"/>
      <c r="E229" s="893" t="s">
        <v>1026</v>
      </c>
      <c r="I229" s="888"/>
      <c r="J229" s="888"/>
      <c r="K229" s="888"/>
      <c r="L229" s="888"/>
      <c r="M229" s="888"/>
      <c r="N229" s="888"/>
      <c r="O229" s="888"/>
      <c r="P229" s="888"/>
      <c r="Q229" s="888"/>
      <c r="R229" s="888"/>
    </row>
    <row r="230" spans="1:18" s="893" customFormat="1" x14ac:dyDescent="0.3">
      <c r="A230" s="888" t="s">
        <v>2062</v>
      </c>
      <c r="B230" s="888" t="s">
        <v>1022</v>
      </c>
      <c r="C230" s="888" t="s">
        <v>2161</v>
      </c>
      <c r="D230" s="888"/>
      <c r="E230" s="893" t="s">
        <v>1053</v>
      </c>
      <c r="I230" s="888"/>
      <c r="J230" s="888"/>
      <c r="K230" s="888"/>
      <c r="L230" s="888"/>
      <c r="M230" s="888"/>
      <c r="N230" s="888"/>
      <c r="O230" s="888"/>
      <c r="P230" s="888"/>
      <c r="Q230" s="888"/>
      <c r="R230" s="888"/>
    </row>
    <row r="231" spans="1:18" s="893" customFormat="1" x14ac:dyDescent="0.3">
      <c r="A231" s="888" t="s">
        <v>2062</v>
      </c>
      <c r="B231" s="888" t="s">
        <v>1022</v>
      </c>
      <c r="C231" s="888" t="s">
        <v>2291</v>
      </c>
      <c r="D231" s="888"/>
      <c r="E231" s="893" t="s">
        <v>1027</v>
      </c>
      <c r="I231" s="888"/>
      <c r="J231" s="888"/>
      <c r="K231" s="888"/>
      <c r="L231" s="888"/>
      <c r="M231" s="888"/>
      <c r="N231" s="888"/>
      <c r="O231" s="888"/>
      <c r="P231" s="888"/>
      <c r="Q231" s="888"/>
      <c r="R231" s="888"/>
    </row>
    <row r="232" spans="1:18" s="893" customFormat="1" x14ac:dyDescent="0.3">
      <c r="A232" s="888" t="s">
        <v>2062</v>
      </c>
      <c r="B232" s="888" t="s">
        <v>1022</v>
      </c>
      <c r="C232" s="888" t="s">
        <v>4502</v>
      </c>
      <c r="D232" s="888"/>
      <c r="E232" s="893" t="s">
        <v>4591</v>
      </c>
      <c r="I232" s="888"/>
      <c r="J232" s="888"/>
      <c r="K232" s="888"/>
      <c r="L232" s="888"/>
      <c r="M232" s="888"/>
      <c r="N232" s="888"/>
      <c r="O232" s="888"/>
      <c r="P232" s="888"/>
      <c r="Q232" s="888"/>
      <c r="R232" s="888"/>
    </row>
    <row r="233" spans="1:18" s="893" customFormat="1" x14ac:dyDescent="0.3">
      <c r="A233" s="888" t="s">
        <v>2062</v>
      </c>
      <c r="B233" s="888" t="s">
        <v>1022</v>
      </c>
      <c r="C233" s="888" t="s">
        <v>2566</v>
      </c>
      <c r="D233" s="888"/>
      <c r="E233" s="893" t="s">
        <v>4592</v>
      </c>
      <c r="I233" s="888"/>
      <c r="J233" s="888"/>
      <c r="K233" s="888"/>
      <c r="L233" s="888"/>
      <c r="M233" s="888"/>
      <c r="N233" s="888"/>
      <c r="O233" s="888"/>
      <c r="P233" s="888"/>
      <c r="Q233" s="888"/>
      <c r="R233" s="888"/>
    </row>
    <row r="234" spans="1:18" s="893" customFormat="1" x14ac:dyDescent="0.3">
      <c r="A234" s="888" t="s">
        <v>2062</v>
      </c>
      <c r="B234" s="888" t="s">
        <v>1022</v>
      </c>
      <c r="C234" s="888" t="s">
        <v>2256</v>
      </c>
      <c r="D234" s="888"/>
      <c r="E234" s="893" t="s">
        <v>4593</v>
      </c>
      <c r="I234" s="888"/>
      <c r="J234" s="888"/>
      <c r="K234" s="888"/>
      <c r="L234" s="888"/>
      <c r="M234" s="888"/>
      <c r="N234" s="888"/>
      <c r="O234" s="888"/>
      <c r="P234" s="888"/>
      <c r="Q234" s="888"/>
      <c r="R234" s="888"/>
    </row>
    <row r="235" spans="1:18" s="893" customFormat="1" x14ac:dyDescent="0.3">
      <c r="A235" s="888" t="s">
        <v>2062</v>
      </c>
      <c r="B235" s="888" t="s">
        <v>1022</v>
      </c>
      <c r="C235" s="888" t="s">
        <v>4506</v>
      </c>
      <c r="D235" s="888"/>
      <c r="E235" s="893" t="s">
        <v>29</v>
      </c>
      <c r="I235" s="888"/>
      <c r="J235" s="888"/>
      <c r="K235" s="888"/>
      <c r="L235" s="888"/>
      <c r="M235" s="888"/>
      <c r="N235" s="888"/>
      <c r="O235" s="888"/>
      <c r="P235" s="888"/>
      <c r="Q235" s="888"/>
      <c r="R235" s="888"/>
    </row>
    <row r="236" spans="1:18" s="893" customFormat="1" x14ac:dyDescent="0.3">
      <c r="A236" s="888" t="s">
        <v>2062</v>
      </c>
      <c r="B236" s="888" t="s">
        <v>1022</v>
      </c>
      <c r="C236" s="888" t="s">
        <v>2223</v>
      </c>
      <c r="D236" s="888"/>
      <c r="E236" s="893" t="s">
        <v>1028</v>
      </c>
      <c r="I236" s="888"/>
      <c r="J236" s="888"/>
      <c r="K236" s="888"/>
      <c r="L236" s="888"/>
      <c r="M236" s="888"/>
      <c r="N236" s="888"/>
      <c r="O236" s="888"/>
      <c r="P236" s="888"/>
      <c r="Q236" s="888"/>
      <c r="R236" s="888"/>
    </row>
    <row r="237" spans="1:18" s="893" customFormat="1" x14ac:dyDescent="0.3">
      <c r="A237" s="888" t="s">
        <v>2062</v>
      </c>
      <c r="B237" s="888" t="s">
        <v>1022</v>
      </c>
      <c r="C237" s="888" t="s">
        <v>2224</v>
      </c>
      <c r="D237" s="888"/>
      <c r="E237" s="893" t="s">
        <v>1054</v>
      </c>
      <c r="I237" s="888"/>
      <c r="J237" s="888"/>
      <c r="K237" s="888"/>
      <c r="L237" s="888"/>
      <c r="M237" s="888"/>
      <c r="N237" s="888"/>
      <c r="O237" s="888"/>
      <c r="P237" s="888"/>
      <c r="Q237" s="888"/>
      <c r="R237" s="888"/>
    </row>
    <row r="238" spans="1:18" s="893" customFormat="1" x14ac:dyDescent="0.3">
      <c r="A238" s="888" t="s">
        <v>2062</v>
      </c>
      <c r="B238" s="888" t="s">
        <v>1022</v>
      </c>
      <c r="C238" s="888" t="s">
        <v>2580</v>
      </c>
      <c r="D238" s="888"/>
      <c r="E238" s="913" t="s">
        <v>3420</v>
      </c>
      <c r="I238" s="888"/>
      <c r="J238" s="888"/>
      <c r="K238" s="888"/>
      <c r="L238" s="888"/>
      <c r="M238" s="888"/>
      <c r="N238" s="888"/>
      <c r="O238" s="888"/>
      <c r="P238" s="888"/>
      <c r="Q238" s="888"/>
      <c r="R238" s="888"/>
    </row>
    <row r="239" spans="1:18" s="893" customFormat="1" x14ac:dyDescent="0.3">
      <c r="A239" s="888" t="s">
        <v>2062</v>
      </c>
      <c r="B239" s="888" t="s">
        <v>1022</v>
      </c>
      <c r="C239" s="888" t="s">
        <v>2225</v>
      </c>
      <c r="D239" s="888"/>
      <c r="E239" s="893" t="s">
        <v>1353</v>
      </c>
      <c r="I239" s="888"/>
      <c r="J239" s="888"/>
      <c r="K239" s="888"/>
      <c r="L239" s="888"/>
      <c r="M239" s="888"/>
      <c r="N239" s="888"/>
      <c r="O239" s="888"/>
      <c r="P239" s="888"/>
      <c r="Q239" s="888"/>
      <c r="R239" s="888"/>
    </row>
    <row r="240" spans="1:18" s="893" customFormat="1" x14ac:dyDescent="0.3">
      <c r="A240" s="888" t="s">
        <v>2062</v>
      </c>
      <c r="B240" s="888" t="s">
        <v>1022</v>
      </c>
      <c r="C240" s="888" t="s">
        <v>2584</v>
      </c>
      <c r="D240" s="888"/>
      <c r="E240" s="893" t="s">
        <v>4784</v>
      </c>
      <c r="I240" s="888"/>
      <c r="J240" s="888"/>
      <c r="K240" s="888"/>
      <c r="L240" s="888"/>
      <c r="M240" s="888"/>
      <c r="N240" s="888"/>
      <c r="O240" s="888"/>
      <c r="P240" s="888"/>
      <c r="Q240" s="888"/>
      <c r="R240" s="888"/>
    </row>
    <row r="241" spans="1:19" s="893" customFormat="1" x14ac:dyDescent="0.3">
      <c r="A241" s="888" t="s">
        <v>2062</v>
      </c>
      <c r="B241" s="888" t="s">
        <v>1022</v>
      </c>
      <c r="C241" s="888" t="s">
        <v>2259</v>
      </c>
      <c r="D241" s="888"/>
      <c r="E241" s="893" t="s">
        <v>1029</v>
      </c>
      <c r="I241" s="888"/>
      <c r="J241" s="888"/>
      <c r="K241" s="888"/>
      <c r="L241" s="888"/>
      <c r="M241" s="888"/>
      <c r="N241" s="888"/>
      <c r="O241" s="888"/>
      <c r="P241" s="888"/>
      <c r="Q241" s="888"/>
      <c r="R241" s="888"/>
    </row>
    <row r="242" spans="1:19" s="893" customFormat="1" x14ac:dyDescent="0.3">
      <c r="A242" s="888" t="s">
        <v>2062</v>
      </c>
      <c r="B242" s="915" t="s">
        <v>7296</v>
      </c>
      <c r="C242" s="888" t="s">
        <v>2599</v>
      </c>
      <c r="D242" s="888"/>
      <c r="E242" s="893" t="s">
        <v>1056</v>
      </c>
      <c r="I242" s="888"/>
      <c r="J242" s="888"/>
      <c r="K242" s="888"/>
      <c r="L242" s="888"/>
      <c r="M242" s="888"/>
      <c r="N242" s="888"/>
      <c r="O242" s="888"/>
      <c r="P242" s="888"/>
      <c r="Q242" s="888"/>
      <c r="R242" s="888"/>
    </row>
    <row r="243" spans="1:19" s="893" customFormat="1" x14ac:dyDescent="0.3">
      <c r="A243" s="888" t="s">
        <v>2062</v>
      </c>
      <c r="B243" s="888" t="s">
        <v>1022</v>
      </c>
      <c r="C243" s="888" t="s">
        <v>2228</v>
      </c>
      <c r="D243" s="888"/>
      <c r="E243" s="893" t="s">
        <v>1030</v>
      </c>
      <c r="I243" s="888"/>
      <c r="J243" s="888"/>
      <c r="K243" s="888"/>
      <c r="L243" s="888"/>
      <c r="M243" s="888"/>
      <c r="N243" s="888"/>
      <c r="O243" s="888"/>
      <c r="P243" s="888"/>
      <c r="Q243" s="888"/>
      <c r="R243" s="888"/>
    </row>
    <row r="244" spans="1:19" x14ac:dyDescent="0.3">
      <c r="A244" s="888" t="s">
        <v>2062</v>
      </c>
      <c r="B244" s="915" t="s">
        <v>7296</v>
      </c>
      <c r="C244" s="888" t="s">
        <v>2608</v>
      </c>
      <c r="E244" s="893" t="s">
        <v>1055</v>
      </c>
    </row>
    <row r="245" spans="1:19" x14ac:dyDescent="0.3">
      <c r="A245" s="888" t="s">
        <v>2062</v>
      </c>
      <c r="B245" s="888" t="s">
        <v>1022</v>
      </c>
      <c r="C245" s="888" t="s">
        <v>2589</v>
      </c>
      <c r="E245" s="913" t="s">
        <v>3421</v>
      </c>
    </row>
    <row r="246" spans="1:19" x14ac:dyDescent="0.3">
      <c r="A246" s="888" t="s">
        <v>2062</v>
      </c>
      <c r="B246" s="888" t="s">
        <v>1022</v>
      </c>
      <c r="C246" s="888" t="s">
        <v>2592</v>
      </c>
      <c r="E246" s="913" t="s">
        <v>4897</v>
      </c>
    </row>
    <row r="247" spans="1:19" x14ac:dyDescent="0.3">
      <c r="A247" s="888" t="s">
        <v>2062</v>
      </c>
      <c r="B247" s="888" t="s">
        <v>1022</v>
      </c>
      <c r="C247" s="888" t="s">
        <v>5058</v>
      </c>
      <c r="E247" s="893" t="s">
        <v>1032</v>
      </c>
    </row>
    <row r="248" spans="1:19" x14ac:dyDescent="0.3">
      <c r="A248" s="888" t="s">
        <v>2062</v>
      </c>
      <c r="B248" s="888" t="s">
        <v>1022</v>
      </c>
      <c r="C248" s="888" t="s">
        <v>7379</v>
      </c>
      <c r="E248" s="913" t="s">
        <v>3422</v>
      </c>
    </row>
    <row r="249" spans="1:19" x14ac:dyDescent="0.3">
      <c r="A249" s="888" t="s">
        <v>2062</v>
      </c>
      <c r="B249" s="915" t="s">
        <v>7296</v>
      </c>
      <c r="C249" s="888" t="s">
        <v>2636</v>
      </c>
      <c r="E249" s="893" t="s">
        <v>30</v>
      </c>
    </row>
    <row r="250" spans="1:19" x14ac:dyDescent="0.3">
      <c r="A250" s="888" t="s">
        <v>2062</v>
      </c>
      <c r="B250" s="888" t="s">
        <v>1096</v>
      </c>
      <c r="C250" s="888" t="s">
        <v>2124</v>
      </c>
      <c r="E250" s="893" t="s">
        <v>31</v>
      </c>
    </row>
    <row r="251" spans="1:19" x14ac:dyDescent="0.3">
      <c r="A251" s="888" t="s">
        <v>2062</v>
      </c>
      <c r="B251" s="888" t="s">
        <v>1096</v>
      </c>
      <c r="C251" s="888" t="s">
        <v>2125</v>
      </c>
      <c r="E251" s="893" t="s">
        <v>32</v>
      </c>
    </row>
    <row r="252" spans="1:19" ht="227.25" customHeight="1" x14ac:dyDescent="0.3">
      <c r="A252" s="888" t="s">
        <v>2062</v>
      </c>
      <c r="B252" s="888" t="s">
        <v>1096</v>
      </c>
      <c r="C252" s="888" t="s">
        <v>2063</v>
      </c>
      <c r="D252" s="888" t="b">
        <v>1</v>
      </c>
      <c r="E252" s="1671"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252" s="1671"/>
      <c r="G252" s="1671"/>
      <c r="H252" s="1671"/>
      <c r="I252" s="1671"/>
      <c r="J252" s="1671"/>
      <c r="K252" s="1671"/>
      <c r="L252" s="1671"/>
      <c r="M252" s="1671"/>
      <c r="N252" s="1671"/>
      <c r="O252" s="1671"/>
      <c r="P252" s="1671"/>
      <c r="Q252" s="1671"/>
      <c r="R252" s="1671"/>
      <c r="S252" s="1671"/>
    </row>
    <row r="253" spans="1:19" x14ac:dyDescent="0.3">
      <c r="A253" s="888" t="s">
        <v>2062</v>
      </c>
      <c r="B253" s="888" t="s">
        <v>1096</v>
      </c>
      <c r="C253" s="888" t="s">
        <v>2064</v>
      </c>
      <c r="E253" s="888" t="str">
        <f>$E$170</f>
        <v>CATEGORY</v>
      </c>
    </row>
    <row r="254" spans="1:19" x14ac:dyDescent="0.3">
      <c r="A254" s="888" t="s">
        <v>2062</v>
      </c>
      <c r="B254" s="888" t="s">
        <v>1096</v>
      </c>
      <c r="C254" s="888" t="s">
        <v>2126</v>
      </c>
      <c r="E254" s="893" t="str">
        <f>$E$171</f>
        <v>MATERIAL</v>
      </c>
    </row>
    <row r="255" spans="1:19" x14ac:dyDescent="0.3">
      <c r="A255" s="888" t="s">
        <v>2062</v>
      </c>
      <c r="B255" s="888" t="s">
        <v>1096</v>
      </c>
      <c r="C255" s="888" t="s">
        <v>2127</v>
      </c>
      <c r="E255" s="893" t="str">
        <f>$E$127</f>
        <v>QUANTITY</v>
      </c>
    </row>
    <row r="256" spans="1:19" x14ac:dyDescent="0.3">
      <c r="A256" s="888" t="s">
        <v>2062</v>
      </c>
      <c r="B256" s="888" t="s">
        <v>1096</v>
      </c>
      <c r="C256" s="888" t="s">
        <v>2128</v>
      </c>
      <c r="E256" s="888" t="str">
        <f>$E$173</f>
        <v xml:space="preserve"> SELECT</v>
      </c>
    </row>
    <row r="257" spans="1:18" ht="15" customHeight="1" x14ac:dyDescent="0.3">
      <c r="A257" s="888" t="s">
        <v>2062</v>
      </c>
      <c r="B257" s="908" t="s">
        <v>7382</v>
      </c>
      <c r="C257" s="888" t="s">
        <v>2129</v>
      </c>
      <c r="D257" s="888" t="b">
        <v>1</v>
      </c>
      <c r="E257" s="1669" t="str">
        <f>$E$174</f>
        <v>NET kgCO2e EMISSIONS</v>
      </c>
    </row>
    <row r="258" spans="1:18" ht="15" customHeight="1" x14ac:dyDescent="0.3">
      <c r="A258" s="888" t="s">
        <v>2083</v>
      </c>
      <c r="E258" s="1670"/>
    </row>
    <row r="259" spans="1:18" ht="21.75" customHeight="1" x14ac:dyDescent="0.3">
      <c r="A259" s="888" t="s">
        <v>2062</v>
      </c>
      <c r="B259" s="908" t="s">
        <v>7382</v>
      </c>
      <c r="C259" s="888" t="s">
        <v>2130</v>
      </c>
      <c r="D259" s="888" t="b">
        <v>1</v>
      </c>
      <c r="E259" s="1669" t="str">
        <f>$E$176</f>
        <v>SELECTED MATERIAL kgCO2e CONTENT</v>
      </c>
    </row>
    <row r="260" spans="1:18" ht="15" customHeight="1" x14ac:dyDescent="0.3">
      <c r="A260" s="888" t="s">
        <v>2083</v>
      </c>
      <c r="E260" s="1670"/>
    </row>
    <row r="261" spans="1:18" ht="15" customHeight="1" x14ac:dyDescent="0.3">
      <c r="A261" s="888" t="s">
        <v>2062</v>
      </c>
      <c r="B261" s="888" t="s">
        <v>1096</v>
      </c>
      <c r="C261" s="888" t="s">
        <v>2131</v>
      </c>
      <c r="D261" s="888" t="b">
        <v>1</v>
      </c>
      <c r="E261" s="1669" t="str">
        <f>$E$178</f>
        <v>kgCO2e EMISSIONS</v>
      </c>
    </row>
    <row r="262" spans="1:18" ht="15" customHeight="1" x14ac:dyDescent="0.3">
      <c r="A262" s="888" t="s">
        <v>2083</v>
      </c>
      <c r="E262" s="1670"/>
    </row>
    <row r="263" spans="1:18" ht="15" customHeight="1" x14ac:dyDescent="0.3">
      <c r="A263" s="888" t="s">
        <v>2062</v>
      </c>
      <c r="B263" s="888" t="s">
        <v>1096</v>
      </c>
      <c r="C263" s="888" t="s">
        <v>2132</v>
      </c>
      <c r="D263" s="888" t="b">
        <v>1</v>
      </c>
      <c r="E263" s="1669" t="str">
        <f>$E$180</f>
        <v>kgCO2 STORAGE</v>
      </c>
    </row>
    <row r="264" spans="1:18" ht="15" customHeight="1" x14ac:dyDescent="0.3">
      <c r="A264" s="888" t="s">
        <v>2083</v>
      </c>
      <c r="E264" s="1670"/>
    </row>
    <row r="265" spans="1:18" ht="15" customHeight="1" x14ac:dyDescent="0.3">
      <c r="A265" s="888" t="s">
        <v>2062</v>
      </c>
      <c r="B265" s="888" t="s">
        <v>1096</v>
      </c>
      <c r="C265" s="909" t="s">
        <v>2070</v>
      </c>
      <c r="D265" s="888" t="b">
        <v>1</v>
      </c>
      <c r="E265" s="1520" t="str">
        <f>$E$182</f>
        <v xml:space="preserve">  Note</v>
      </c>
      <c r="F265" s="1520"/>
    </row>
    <row r="266" spans="1:18" ht="15" customHeight="1" x14ac:dyDescent="0.3">
      <c r="A266" s="888" t="s">
        <v>2083</v>
      </c>
      <c r="E266" s="1520"/>
      <c r="F266" s="1520"/>
    </row>
    <row r="267" spans="1:18" ht="15" customHeight="1" x14ac:dyDescent="0.3">
      <c r="A267" s="888" t="s">
        <v>2062</v>
      </c>
      <c r="B267" s="908" t="s">
        <v>7382</v>
      </c>
      <c r="C267" s="909" t="s">
        <v>3335</v>
      </c>
      <c r="D267" s="888" t="b">
        <v>1</v>
      </c>
      <c r="E267" s="1669" t="str">
        <f>$E$184</f>
        <v>Include Long Cycle</v>
      </c>
    </row>
    <row r="268" spans="1:18" ht="15" customHeight="1" x14ac:dyDescent="0.3">
      <c r="A268" s="888" t="s">
        <v>2083</v>
      </c>
      <c r="E268" s="1670"/>
    </row>
    <row r="269" spans="1:18" s="893" customFormat="1" ht="21" x14ac:dyDescent="0.3">
      <c r="A269" s="888" t="s">
        <v>2062</v>
      </c>
      <c r="B269" s="888" t="s">
        <v>1096</v>
      </c>
      <c r="C269" s="909" t="s">
        <v>4961</v>
      </c>
      <c r="D269" s="888" t="b">
        <v>1</v>
      </c>
      <c r="E269" s="622" t="s">
        <v>7184</v>
      </c>
      <c r="I269" s="888"/>
      <c r="J269" s="888"/>
      <c r="K269" s="888"/>
      <c r="L269" s="888"/>
      <c r="M269" s="888"/>
      <c r="N269" s="888"/>
      <c r="O269" s="888"/>
      <c r="P269" s="888"/>
      <c r="Q269" s="888"/>
      <c r="R269" s="888"/>
    </row>
    <row r="270" spans="1:18" s="893" customFormat="1" ht="21" x14ac:dyDescent="0.3">
      <c r="A270" s="888" t="s">
        <v>2062</v>
      </c>
      <c r="B270" s="888" t="s">
        <v>1096</v>
      </c>
      <c r="C270" s="911" t="s">
        <v>5112</v>
      </c>
      <c r="D270" s="888" t="b">
        <v>1</v>
      </c>
      <c r="E270" s="622" t="s">
        <v>7185</v>
      </c>
      <c r="I270" s="888"/>
      <c r="J270" s="888"/>
      <c r="K270" s="888"/>
      <c r="L270" s="888"/>
      <c r="M270" s="888"/>
      <c r="N270" s="888"/>
      <c r="O270" s="888"/>
      <c r="P270" s="888"/>
      <c r="Q270" s="888"/>
      <c r="R270" s="888"/>
    </row>
    <row r="271" spans="1:18" s="893" customFormat="1" x14ac:dyDescent="0.3">
      <c r="A271" s="888" t="s">
        <v>2062</v>
      </c>
      <c r="B271" s="888" t="s">
        <v>1096</v>
      </c>
      <c r="C271" s="888" t="s">
        <v>2133</v>
      </c>
      <c r="D271" s="888"/>
      <c r="E271" s="893" t="s">
        <v>1057</v>
      </c>
      <c r="I271" s="888"/>
      <c r="J271" s="888"/>
      <c r="K271" s="888"/>
      <c r="L271" s="888"/>
      <c r="M271" s="888"/>
      <c r="N271" s="888"/>
      <c r="O271" s="888"/>
      <c r="P271" s="888"/>
      <c r="Q271" s="888"/>
      <c r="R271" s="888"/>
    </row>
    <row r="272" spans="1:18" s="893" customFormat="1" x14ac:dyDescent="0.3">
      <c r="A272" s="888" t="s">
        <v>2062</v>
      </c>
      <c r="B272" s="888" t="s">
        <v>1096</v>
      </c>
      <c r="C272" s="888" t="s">
        <v>2134</v>
      </c>
      <c r="D272" s="888"/>
      <c r="E272" s="888" t="str">
        <f>$E$189</f>
        <v>THICKNESS:</v>
      </c>
      <c r="I272" s="888"/>
      <c r="J272" s="888"/>
      <c r="K272" s="888"/>
      <c r="L272" s="888"/>
      <c r="M272" s="888"/>
      <c r="N272" s="888"/>
      <c r="O272" s="888"/>
      <c r="P272" s="888"/>
      <c r="Q272" s="888"/>
      <c r="R272" s="888"/>
    </row>
    <row r="273" spans="1:18" s="893" customFormat="1" x14ac:dyDescent="0.3">
      <c r="A273" s="888" t="s">
        <v>2062</v>
      </c>
      <c r="B273" s="888" t="s">
        <v>1096</v>
      </c>
      <c r="C273" s="888" t="s">
        <v>2135</v>
      </c>
      <c r="D273" s="888"/>
      <c r="E273" s="893" t="str">
        <f>$E$193</f>
        <v>CONCRETE – 25 MPa or less</v>
      </c>
      <c r="I273" s="888"/>
      <c r="J273" s="888"/>
      <c r="K273" s="888"/>
      <c r="L273" s="888"/>
      <c r="M273" s="888"/>
      <c r="N273" s="888"/>
      <c r="O273" s="888"/>
      <c r="P273" s="888"/>
      <c r="Q273" s="888"/>
      <c r="R273" s="888"/>
    </row>
    <row r="274" spans="1:18" s="893" customFormat="1" x14ac:dyDescent="0.3">
      <c r="A274" s="888" t="s">
        <v>2062</v>
      </c>
      <c r="B274" s="888" t="s">
        <v>1096</v>
      </c>
      <c r="C274" s="888" t="s">
        <v>2136</v>
      </c>
      <c r="D274" s="888"/>
      <c r="E274" s="893" t="str">
        <f>$E$194</f>
        <v>Concrete mix specification makes a big difference in carbon footprint. The mix specifications here can be used to discuss low-carbon mix options with your supplier.</v>
      </c>
      <c r="I274" s="888"/>
      <c r="J274" s="888"/>
      <c r="K274" s="888"/>
      <c r="L274" s="888"/>
      <c r="M274" s="888"/>
      <c r="N274" s="888"/>
      <c r="O274" s="888"/>
      <c r="P274" s="888"/>
      <c r="Q274" s="888"/>
      <c r="R274" s="888"/>
    </row>
    <row r="275" spans="1:18" s="893" customFormat="1" x14ac:dyDescent="0.3">
      <c r="A275" s="888" t="s">
        <v>2062</v>
      </c>
      <c r="B275" s="888" t="s">
        <v>1096</v>
      </c>
      <c r="C275" s="888" t="s">
        <v>2081</v>
      </c>
      <c r="D275" s="888"/>
      <c r="E275" s="893" t="str">
        <f>$E$195</f>
        <v>CONCRETE – 26-30 MPa</v>
      </c>
      <c r="I275" s="888"/>
      <c r="J275" s="888"/>
      <c r="K275" s="888"/>
      <c r="L275" s="888"/>
      <c r="M275" s="888"/>
      <c r="N275" s="888"/>
      <c r="O275" s="888"/>
      <c r="P275" s="888"/>
      <c r="Q275" s="888"/>
      <c r="R275" s="888"/>
    </row>
    <row r="276" spans="1:18" s="893" customFormat="1" x14ac:dyDescent="0.3">
      <c r="A276" s="888" t="s">
        <v>2062</v>
      </c>
      <c r="B276" s="888" t="s">
        <v>1096</v>
      </c>
      <c r="C276" s="888" t="s">
        <v>2198</v>
      </c>
      <c r="D276" s="888"/>
      <c r="E276" s="893" t="str">
        <f>$E$194</f>
        <v>Concrete mix specification makes a big difference in carbon footprint. The mix specifications here can be used to discuss low-carbon mix options with your supplier.</v>
      </c>
      <c r="I276" s="888"/>
      <c r="J276" s="888"/>
      <c r="K276" s="888"/>
      <c r="L276" s="888"/>
      <c r="M276" s="888"/>
      <c r="N276" s="888"/>
      <c r="O276" s="888"/>
      <c r="P276" s="888"/>
      <c r="Q276" s="888"/>
      <c r="R276" s="888"/>
    </row>
    <row r="277" spans="1:18" s="893" customFormat="1" x14ac:dyDescent="0.3">
      <c r="A277" s="888" t="s">
        <v>2062</v>
      </c>
      <c r="B277" s="888" t="s">
        <v>1096</v>
      </c>
      <c r="C277" s="888" t="s">
        <v>2401</v>
      </c>
      <c r="D277" s="888"/>
      <c r="E277" s="893" t="str">
        <f>$E$197</f>
        <v>CONCRETE – 31-35 MPa</v>
      </c>
      <c r="I277" s="888"/>
      <c r="J277" s="888"/>
      <c r="K277" s="888"/>
      <c r="L277" s="888"/>
      <c r="M277" s="888"/>
      <c r="N277" s="888"/>
      <c r="O277" s="888"/>
      <c r="P277" s="888"/>
      <c r="Q277" s="888"/>
      <c r="R277" s="888"/>
    </row>
    <row r="278" spans="1:18" s="893" customFormat="1" x14ac:dyDescent="0.3">
      <c r="A278" s="888" t="s">
        <v>2062</v>
      </c>
      <c r="B278" s="888" t="s">
        <v>1096</v>
      </c>
      <c r="C278" s="888" t="s">
        <v>2370</v>
      </c>
      <c r="D278" s="888"/>
      <c r="E278" s="893" t="str">
        <f>$E$194</f>
        <v>Concrete mix specification makes a big difference in carbon footprint. The mix specifications here can be used to discuss low-carbon mix options with your supplier.</v>
      </c>
      <c r="I278" s="888"/>
      <c r="J278" s="888"/>
      <c r="K278" s="888"/>
      <c r="L278" s="888"/>
      <c r="M278" s="888"/>
      <c r="N278" s="888"/>
      <c r="O278" s="888"/>
      <c r="P278" s="888"/>
      <c r="Q278" s="888"/>
      <c r="R278" s="888"/>
    </row>
    <row r="279" spans="1:18" s="893" customFormat="1" x14ac:dyDescent="0.3">
      <c r="A279" s="888" t="s">
        <v>2062</v>
      </c>
      <c r="B279" s="888" t="s">
        <v>1096</v>
      </c>
      <c r="C279" s="916" t="s">
        <v>3965</v>
      </c>
      <c r="D279" s="888"/>
      <c r="E279" s="917" t="str">
        <f>$E$199</f>
        <v>REBAR</v>
      </c>
      <c r="I279" s="888"/>
      <c r="J279" s="888"/>
      <c r="K279" s="888"/>
      <c r="L279" s="888"/>
      <c r="M279" s="888"/>
      <c r="N279" s="888"/>
      <c r="O279" s="888"/>
      <c r="P279" s="888"/>
      <c r="Q279" s="888"/>
      <c r="R279" s="888"/>
    </row>
    <row r="280" spans="1:18" s="893" customFormat="1" x14ac:dyDescent="0.3">
      <c r="A280" s="888" t="s">
        <v>2062</v>
      </c>
      <c r="B280" s="888" t="s">
        <v>1096</v>
      </c>
      <c r="C280" s="916" t="s">
        <v>2483</v>
      </c>
      <c r="D280" s="888"/>
      <c r="E280" s="917" t="str">
        <f>$E$200</f>
        <v>CUSTOM LENGTH</v>
      </c>
      <c r="I280" s="888"/>
      <c r="J280" s="888"/>
      <c r="K280" s="888"/>
      <c r="L280" s="888"/>
      <c r="M280" s="888"/>
      <c r="N280" s="888"/>
      <c r="O280" s="888"/>
      <c r="P280" s="888"/>
      <c r="Q280" s="888"/>
      <c r="R280" s="888"/>
    </row>
    <row r="281" spans="1:18" s="893" customFormat="1" x14ac:dyDescent="0.3">
      <c r="A281" s="888" t="s">
        <v>2062</v>
      </c>
      <c r="B281" s="888" t="s">
        <v>1096</v>
      </c>
      <c r="C281" s="916" t="s">
        <v>2099</v>
      </c>
      <c r="D281" s="888"/>
      <c r="E281" s="893" t="str">
        <f>$E$201</f>
        <v>CONCRETE REINFORCING BAR</v>
      </c>
      <c r="I281" s="888"/>
      <c r="J281" s="888"/>
      <c r="K281" s="888"/>
      <c r="L281" s="888"/>
      <c r="M281" s="888"/>
      <c r="N281" s="888"/>
      <c r="O281" s="888"/>
      <c r="P281" s="888"/>
      <c r="Q281" s="888"/>
      <c r="R281" s="888"/>
    </row>
    <row r="282" spans="1:18" s="893" customFormat="1" x14ac:dyDescent="0.3">
      <c r="A282" s="888" t="s">
        <v>2062</v>
      </c>
      <c r="B282" s="888" t="s">
        <v>1096</v>
      </c>
      <c r="C282" s="916" t="s">
        <v>2239</v>
      </c>
      <c r="D282" s="888"/>
      <c r="E282" s="893" t="str">
        <f>$E$202</f>
        <v>Specify an overall rebar length.</v>
      </c>
      <c r="I282" s="888"/>
      <c r="J282" s="888"/>
      <c r="K282" s="888"/>
      <c r="L282" s="888"/>
      <c r="M282" s="888"/>
      <c r="N282" s="888"/>
      <c r="O282" s="888"/>
      <c r="P282" s="888"/>
      <c r="Q282" s="888"/>
      <c r="R282" s="888"/>
    </row>
    <row r="283" spans="1:18" s="893" customFormat="1" x14ac:dyDescent="0.3">
      <c r="A283" s="888" t="s">
        <v>2062</v>
      </c>
      <c r="B283" s="888" t="s">
        <v>1096</v>
      </c>
      <c r="C283" s="888" t="s">
        <v>2209</v>
      </c>
      <c r="D283" s="888"/>
      <c r="E283" s="893" t="s">
        <v>1716</v>
      </c>
      <c r="I283" s="888"/>
      <c r="J283" s="888"/>
      <c r="K283" s="888"/>
      <c r="L283" s="888"/>
      <c r="M283" s="888"/>
      <c r="N283" s="888"/>
      <c r="O283" s="888"/>
      <c r="P283" s="888"/>
      <c r="Q283" s="888"/>
      <c r="R283" s="888"/>
    </row>
    <row r="284" spans="1:18" s="893" customFormat="1" x14ac:dyDescent="0.3">
      <c r="A284" s="888" t="s">
        <v>2062</v>
      </c>
      <c r="B284" s="888" t="s">
        <v>1096</v>
      </c>
      <c r="C284" s="888" t="s">
        <v>2106</v>
      </c>
      <c r="D284" s="888"/>
      <c r="E284" s="893" t="s">
        <v>1675</v>
      </c>
      <c r="I284" s="888"/>
      <c r="J284" s="888"/>
      <c r="K284" s="888"/>
      <c r="L284" s="888"/>
      <c r="M284" s="888"/>
      <c r="N284" s="888"/>
      <c r="O284" s="888"/>
      <c r="P284" s="888"/>
      <c r="Q284" s="888"/>
      <c r="R284" s="888"/>
    </row>
    <row r="285" spans="1:18" s="893" customFormat="1" x14ac:dyDescent="0.3">
      <c r="A285" s="888" t="s">
        <v>2062</v>
      </c>
      <c r="B285" s="888" t="s">
        <v>1096</v>
      </c>
      <c r="C285" s="888" t="s">
        <v>2211</v>
      </c>
      <c r="D285" s="888"/>
      <c r="E285" s="893" t="s">
        <v>1718</v>
      </c>
      <c r="I285" s="888"/>
      <c r="J285" s="888"/>
      <c r="K285" s="888"/>
      <c r="L285" s="888"/>
      <c r="M285" s="888"/>
      <c r="N285" s="888"/>
      <c r="O285" s="888"/>
      <c r="P285" s="888"/>
      <c r="Q285" s="888"/>
      <c r="R285" s="888"/>
    </row>
    <row r="286" spans="1:18" s="893" customFormat="1" x14ac:dyDescent="0.3">
      <c r="A286" s="888" t="s">
        <v>2062</v>
      </c>
      <c r="B286" s="888" t="s">
        <v>1096</v>
      </c>
      <c r="C286" s="888" t="s">
        <v>2292</v>
      </c>
      <c r="D286" s="888"/>
      <c r="E286" s="893" t="s">
        <v>1717</v>
      </c>
      <c r="I286" s="888"/>
      <c r="J286" s="888"/>
      <c r="K286" s="888"/>
      <c r="L286" s="888"/>
      <c r="M286" s="888"/>
      <c r="N286" s="888"/>
      <c r="O286" s="888"/>
      <c r="P286" s="888"/>
      <c r="Q286" s="888"/>
      <c r="R286" s="888"/>
    </row>
    <row r="287" spans="1:18" s="893" customFormat="1" x14ac:dyDescent="0.3">
      <c r="A287" s="888" t="s">
        <v>2062</v>
      </c>
      <c r="B287" s="888" t="s">
        <v>1096</v>
      </c>
      <c r="C287" s="888" t="s">
        <v>4295</v>
      </c>
      <c r="D287" s="888"/>
      <c r="E287" s="893" t="s">
        <v>33</v>
      </c>
      <c r="I287" s="888"/>
      <c r="J287" s="888"/>
      <c r="K287" s="888"/>
      <c r="L287" s="888"/>
      <c r="M287" s="888"/>
      <c r="N287" s="888"/>
      <c r="O287" s="888"/>
      <c r="P287" s="888"/>
      <c r="Q287" s="888"/>
      <c r="R287" s="888"/>
    </row>
    <row r="288" spans="1:18" s="893" customFormat="1" x14ac:dyDescent="0.3">
      <c r="A288" s="888" t="s">
        <v>2062</v>
      </c>
      <c r="B288" s="888" t="s">
        <v>1096</v>
      </c>
      <c r="C288" s="888" t="s">
        <v>2317</v>
      </c>
      <c r="D288" s="888"/>
      <c r="E288" s="893" t="s">
        <v>34</v>
      </c>
      <c r="I288" s="888"/>
      <c r="J288" s="888"/>
      <c r="K288" s="888"/>
      <c r="L288" s="888"/>
      <c r="M288" s="888"/>
      <c r="N288" s="888"/>
      <c r="O288" s="888"/>
      <c r="P288" s="888"/>
      <c r="Q288" s="888"/>
      <c r="R288" s="888"/>
    </row>
    <row r="289" spans="1:18" s="893" customFormat="1" x14ac:dyDescent="0.3">
      <c r="A289" s="888" t="s">
        <v>2062</v>
      </c>
      <c r="B289" s="888" t="s">
        <v>1096</v>
      </c>
      <c r="C289" s="888" t="s">
        <v>2116</v>
      </c>
      <c r="D289" s="888"/>
      <c r="E289" s="893" t="s">
        <v>1033</v>
      </c>
      <c r="I289" s="888"/>
      <c r="J289" s="888"/>
      <c r="K289" s="888"/>
      <c r="L289" s="888"/>
      <c r="M289" s="888"/>
      <c r="N289" s="888"/>
      <c r="O289" s="888"/>
      <c r="P289" s="888"/>
      <c r="Q289" s="888"/>
      <c r="R289" s="888"/>
    </row>
    <row r="290" spans="1:18" s="893" customFormat="1" x14ac:dyDescent="0.3">
      <c r="A290" s="888" t="s">
        <v>2062</v>
      </c>
      <c r="B290" s="888" t="s">
        <v>1096</v>
      </c>
      <c r="C290" s="888" t="s">
        <v>2509</v>
      </c>
      <c r="D290" s="888"/>
      <c r="E290" s="893" t="str">
        <f>$E$222</f>
        <v>EPS foam board - AVERAGE</v>
      </c>
      <c r="I290" s="888"/>
      <c r="J290" s="888"/>
      <c r="K290" s="888"/>
      <c r="L290" s="888"/>
      <c r="M290" s="888"/>
      <c r="N290" s="888"/>
      <c r="O290" s="888"/>
      <c r="P290" s="888"/>
      <c r="Q290" s="888"/>
      <c r="R290" s="888"/>
    </row>
    <row r="291" spans="1:18" s="893" customFormat="1" x14ac:dyDescent="0.3">
      <c r="A291" s="888" t="s">
        <v>2062</v>
      </c>
      <c r="B291" s="888" t="s">
        <v>1096</v>
      </c>
      <c r="C291" s="916" t="s">
        <v>2147</v>
      </c>
      <c r="D291" s="888"/>
      <c r="E291" s="893" t="s">
        <v>1065</v>
      </c>
      <c r="I291" s="888"/>
      <c r="J291" s="888"/>
      <c r="K291" s="888"/>
      <c r="L291" s="888"/>
      <c r="M291" s="888"/>
      <c r="N291" s="888"/>
      <c r="O291" s="888"/>
      <c r="P291" s="888"/>
      <c r="Q291" s="888"/>
      <c r="R291" s="888"/>
    </row>
    <row r="292" spans="1:18" s="893" customFormat="1" x14ac:dyDescent="0.3">
      <c r="A292" s="888" t="s">
        <v>2062</v>
      </c>
      <c r="B292" s="888" t="s">
        <v>1096</v>
      </c>
      <c r="C292" s="916" t="s">
        <v>2516</v>
      </c>
      <c r="D292" s="888"/>
      <c r="E292" s="893" t="s">
        <v>1365</v>
      </c>
      <c r="I292" s="888"/>
      <c r="J292" s="888"/>
      <c r="K292" s="888"/>
      <c r="L292" s="888"/>
      <c r="M292" s="888"/>
      <c r="N292" s="888"/>
      <c r="O292" s="888"/>
      <c r="P292" s="888"/>
      <c r="Q292" s="888"/>
      <c r="R292" s="888"/>
    </row>
    <row r="293" spans="1:18" s="893" customFormat="1" x14ac:dyDescent="0.3">
      <c r="A293" s="888" t="s">
        <v>2062</v>
      </c>
      <c r="B293" s="888" t="s">
        <v>1096</v>
      </c>
      <c r="C293" s="888" t="s">
        <v>2271</v>
      </c>
      <c r="D293" s="888"/>
      <c r="E293" s="893" t="s">
        <v>1034</v>
      </c>
      <c r="I293" s="888"/>
      <c r="J293" s="888"/>
      <c r="K293" s="888"/>
      <c r="L293" s="888"/>
      <c r="M293" s="888"/>
      <c r="N293" s="888"/>
      <c r="O293" s="888"/>
      <c r="P293" s="888"/>
      <c r="Q293" s="888"/>
      <c r="R293" s="888"/>
    </row>
    <row r="294" spans="1:18" s="893" customFormat="1" x14ac:dyDescent="0.3">
      <c r="A294" s="888" t="s">
        <v>2062</v>
      </c>
      <c r="B294" s="888" t="s">
        <v>1096</v>
      </c>
      <c r="C294" s="888" t="s">
        <v>2297</v>
      </c>
      <c r="D294" s="888"/>
      <c r="E294" s="918" t="str">
        <f>$E$224</f>
        <v>XPS foam board - AVERAGE</v>
      </c>
      <c r="J294" s="912"/>
      <c r="K294" s="888"/>
      <c r="L294" s="888"/>
      <c r="M294" s="888"/>
      <c r="N294" s="888"/>
      <c r="O294" s="888"/>
      <c r="P294" s="888"/>
      <c r="Q294" s="888"/>
      <c r="R294" s="888"/>
    </row>
    <row r="295" spans="1:18" s="893" customFormat="1" x14ac:dyDescent="0.3">
      <c r="A295" s="888" t="s">
        <v>2062</v>
      </c>
      <c r="B295" s="888" t="s">
        <v>1096</v>
      </c>
      <c r="C295" s="888" t="s">
        <v>2216</v>
      </c>
      <c r="D295" s="888"/>
      <c r="E295" s="893" t="str">
        <f>$E$225</f>
        <v>MINERAL WOOL BOARD</v>
      </c>
      <c r="I295" s="888"/>
      <c r="J295" s="888"/>
      <c r="K295" s="888"/>
      <c r="L295" s="888"/>
      <c r="M295" s="888"/>
      <c r="N295" s="888"/>
      <c r="O295" s="888"/>
      <c r="P295" s="888"/>
      <c r="Q295" s="888"/>
      <c r="R295" s="888"/>
    </row>
    <row r="296" spans="1:18" s="893" customFormat="1" x14ac:dyDescent="0.3">
      <c r="A296" s="888" t="s">
        <v>2062</v>
      </c>
      <c r="B296" s="888" t="s">
        <v>1096</v>
      </c>
      <c r="C296" s="888" t="s">
        <v>7420</v>
      </c>
      <c r="D296" s="888"/>
      <c r="E296" s="893" t="s">
        <v>1356</v>
      </c>
      <c r="I296" s="888"/>
      <c r="J296" s="888"/>
      <c r="K296" s="888"/>
      <c r="L296" s="888"/>
      <c r="M296" s="888"/>
      <c r="N296" s="888"/>
      <c r="O296" s="888"/>
      <c r="P296" s="888"/>
      <c r="Q296" s="888"/>
      <c r="R296" s="888"/>
    </row>
    <row r="297" spans="1:18" s="893" customFormat="1" x14ac:dyDescent="0.3">
      <c r="A297" s="888" t="s">
        <v>2062</v>
      </c>
      <c r="B297" s="888" t="s">
        <v>1096</v>
      </c>
      <c r="C297" s="888" t="s">
        <v>2152</v>
      </c>
      <c r="D297" s="888"/>
      <c r="E297" s="893" t="s">
        <v>1035</v>
      </c>
      <c r="I297" s="888"/>
      <c r="J297" s="888"/>
      <c r="K297" s="888"/>
      <c r="L297" s="888"/>
      <c r="M297" s="888"/>
      <c r="N297" s="888"/>
      <c r="O297" s="888"/>
      <c r="P297" s="888"/>
      <c r="Q297" s="888"/>
      <c r="R297" s="888"/>
    </row>
    <row r="298" spans="1:18" s="893" customFormat="1" x14ac:dyDescent="0.3">
      <c r="A298" s="888" t="s">
        <v>2062</v>
      </c>
      <c r="B298" s="888" t="s">
        <v>1096</v>
      </c>
      <c r="C298" s="888" t="s">
        <v>2534</v>
      </c>
      <c r="D298" s="888"/>
      <c r="E298" s="893" t="s">
        <v>1355</v>
      </c>
      <c r="I298" s="888"/>
      <c r="J298" s="888"/>
      <c r="K298" s="888"/>
      <c r="L298" s="888"/>
      <c r="M298" s="888"/>
      <c r="N298" s="888"/>
      <c r="O298" s="888"/>
      <c r="P298" s="888"/>
      <c r="Q298" s="888"/>
      <c r="R298" s="888"/>
    </row>
    <row r="299" spans="1:18" s="893" customFormat="1" x14ac:dyDescent="0.3">
      <c r="A299" s="888" t="s">
        <v>2062</v>
      </c>
      <c r="B299" s="888" t="s">
        <v>1096</v>
      </c>
      <c r="C299" s="888" t="s">
        <v>2180</v>
      </c>
      <c r="D299" s="888"/>
      <c r="E299" s="893" t="str">
        <f>$E$231</f>
        <v>CORK BOARD</v>
      </c>
      <c r="I299" s="888"/>
      <c r="J299" s="888"/>
      <c r="K299" s="888"/>
      <c r="L299" s="888"/>
      <c r="M299" s="888"/>
      <c r="N299" s="888"/>
      <c r="O299" s="888"/>
      <c r="P299" s="888"/>
      <c r="Q299" s="888"/>
      <c r="R299" s="888"/>
    </row>
    <row r="300" spans="1:18" s="893" customFormat="1" x14ac:dyDescent="0.3">
      <c r="A300" s="888" t="s">
        <v>2062</v>
      </c>
      <c r="B300" s="888" t="s">
        <v>1096</v>
      </c>
      <c r="C300" s="888" t="s">
        <v>2540</v>
      </c>
      <c r="D300" s="888"/>
      <c r="E300" s="913" t="s">
        <v>3424</v>
      </c>
      <c r="I300" s="888"/>
      <c r="J300" s="888"/>
      <c r="K300" s="888"/>
      <c r="L300" s="888"/>
      <c r="M300" s="888"/>
      <c r="N300" s="888"/>
      <c r="O300" s="888"/>
      <c r="P300" s="888"/>
      <c r="Q300" s="888"/>
      <c r="R300" s="888"/>
    </row>
    <row r="301" spans="1:18" s="893" customFormat="1" x14ac:dyDescent="0.3">
      <c r="A301" s="888" t="s">
        <v>2062</v>
      </c>
      <c r="B301" s="888" t="s">
        <v>1096</v>
      </c>
      <c r="C301" s="888" t="s">
        <v>2287</v>
      </c>
      <c r="D301" s="888"/>
      <c r="E301" s="913" t="s">
        <v>4776</v>
      </c>
      <c r="I301" s="888"/>
      <c r="J301" s="888"/>
      <c r="K301" s="888"/>
      <c r="L301" s="888"/>
      <c r="M301" s="888"/>
      <c r="N301" s="888"/>
      <c r="O301" s="888"/>
      <c r="P301" s="888"/>
      <c r="Q301" s="888"/>
      <c r="R301" s="888"/>
    </row>
    <row r="302" spans="1:18" s="893" customFormat="1" x14ac:dyDescent="0.3">
      <c r="A302" s="888" t="s">
        <v>2062</v>
      </c>
      <c r="B302" s="888" t="s">
        <v>1096</v>
      </c>
      <c r="C302" s="888" t="s">
        <v>2184</v>
      </c>
      <c r="D302" s="888"/>
      <c r="E302" s="893" t="s">
        <v>35</v>
      </c>
      <c r="I302" s="888"/>
      <c r="J302" s="888"/>
      <c r="K302" s="888"/>
      <c r="L302" s="888"/>
      <c r="M302" s="888"/>
      <c r="N302" s="888"/>
      <c r="O302" s="888"/>
      <c r="P302" s="888"/>
      <c r="Q302" s="888"/>
      <c r="R302" s="888"/>
    </row>
    <row r="303" spans="1:18" s="893" customFormat="1" x14ac:dyDescent="0.3">
      <c r="A303" s="888" t="s">
        <v>2062</v>
      </c>
      <c r="B303" s="888" t="s">
        <v>1096</v>
      </c>
      <c r="C303" s="888" t="s">
        <v>3989</v>
      </c>
      <c r="D303" s="888"/>
      <c r="E303" s="893" t="s">
        <v>917</v>
      </c>
      <c r="I303" s="888"/>
      <c r="J303" s="888"/>
      <c r="K303" s="888"/>
      <c r="L303" s="888"/>
      <c r="M303" s="888"/>
      <c r="N303" s="888"/>
      <c r="O303" s="888"/>
      <c r="P303" s="888"/>
      <c r="Q303" s="888"/>
      <c r="R303" s="888"/>
    </row>
    <row r="304" spans="1:18" s="893" customFormat="1" x14ac:dyDescent="0.3">
      <c r="A304" s="888" t="s">
        <v>2062</v>
      </c>
      <c r="B304" s="888" t="s">
        <v>1096</v>
      </c>
      <c r="C304" s="912" t="s">
        <v>2300</v>
      </c>
      <c r="D304" s="888"/>
      <c r="E304" s="893" t="str">
        <f>$E$193</f>
        <v>CONCRETE – 25 MPa or less</v>
      </c>
      <c r="I304" s="888"/>
      <c r="J304" s="888"/>
      <c r="K304" s="888"/>
      <c r="L304" s="888"/>
      <c r="M304" s="888"/>
      <c r="N304" s="888"/>
      <c r="O304" s="888"/>
      <c r="P304" s="888"/>
      <c r="Q304" s="888"/>
      <c r="R304" s="888"/>
    </row>
    <row r="305" spans="1:18" s="893" customFormat="1" x14ac:dyDescent="0.3">
      <c r="A305" s="888" t="s">
        <v>2062</v>
      </c>
      <c r="B305" s="888" t="s">
        <v>1096</v>
      </c>
      <c r="C305" s="888" t="s">
        <v>2326</v>
      </c>
      <c r="D305" s="888"/>
      <c r="E305" s="893" t="s">
        <v>1058</v>
      </c>
      <c r="I305" s="888"/>
      <c r="J305" s="888"/>
      <c r="K305" s="888"/>
      <c r="L305" s="888"/>
      <c r="M305" s="888"/>
      <c r="N305" s="888"/>
      <c r="O305" s="888"/>
      <c r="P305" s="888"/>
      <c r="Q305" s="888"/>
      <c r="R305" s="888"/>
    </row>
    <row r="306" spans="1:18" s="893" customFormat="1" x14ac:dyDescent="0.3">
      <c r="A306" s="888" t="s">
        <v>2062</v>
      </c>
      <c r="B306" s="888" t="s">
        <v>1096</v>
      </c>
      <c r="C306" s="912" t="s">
        <v>2253</v>
      </c>
      <c r="D306" s="888"/>
      <c r="E306" s="913" t="str">
        <f>$E$195</f>
        <v>CONCRETE – 26-30 MPa</v>
      </c>
      <c r="I306" s="888"/>
      <c r="J306" s="888"/>
      <c r="K306" s="888"/>
      <c r="L306" s="888"/>
      <c r="M306" s="888"/>
      <c r="N306" s="888"/>
      <c r="O306" s="888"/>
      <c r="P306" s="888"/>
      <c r="Q306" s="888"/>
      <c r="R306" s="888"/>
    </row>
    <row r="307" spans="1:18" s="893" customFormat="1" x14ac:dyDescent="0.3">
      <c r="A307" s="888" t="s">
        <v>2062</v>
      </c>
      <c r="B307" s="888" t="s">
        <v>1096</v>
      </c>
      <c r="C307" s="912" t="s">
        <v>4434</v>
      </c>
      <c r="D307" s="888"/>
      <c r="E307" s="913" t="str">
        <f>$E$194</f>
        <v>Concrete mix specification makes a big difference in carbon footprint. The mix specifications here can be used to discuss low-carbon mix options with your supplier.</v>
      </c>
      <c r="I307" s="888"/>
      <c r="J307" s="888"/>
      <c r="K307" s="888"/>
      <c r="L307" s="888"/>
      <c r="M307" s="888"/>
      <c r="N307" s="888"/>
      <c r="O307" s="888"/>
      <c r="P307" s="888"/>
      <c r="Q307" s="888"/>
      <c r="R307" s="888"/>
    </row>
    <row r="308" spans="1:18" s="893" customFormat="1" x14ac:dyDescent="0.3">
      <c r="A308" s="888" t="s">
        <v>2062</v>
      </c>
      <c r="B308" s="888" t="s">
        <v>1096</v>
      </c>
      <c r="C308" s="912" t="s">
        <v>2566</v>
      </c>
      <c r="D308" s="888"/>
      <c r="E308" s="913" t="str">
        <f>$E$197</f>
        <v>CONCRETE – 31-35 MPa</v>
      </c>
      <c r="I308" s="888"/>
      <c r="J308" s="888"/>
      <c r="K308" s="888"/>
      <c r="L308" s="888"/>
      <c r="M308" s="888"/>
      <c r="N308" s="888"/>
      <c r="O308" s="888"/>
      <c r="P308" s="888"/>
      <c r="Q308" s="888"/>
      <c r="R308" s="888"/>
    </row>
    <row r="309" spans="1:18" s="893" customFormat="1" x14ac:dyDescent="0.3">
      <c r="A309" s="888" t="s">
        <v>2062</v>
      </c>
      <c r="B309" s="888" t="s">
        <v>1096</v>
      </c>
      <c r="C309" s="912" t="s">
        <v>4504</v>
      </c>
      <c r="D309" s="888"/>
      <c r="E309" s="913" t="str">
        <f>$E$194</f>
        <v>Concrete mix specification makes a big difference in carbon footprint. The mix specifications here can be used to discuss low-carbon mix options with your supplier.</v>
      </c>
      <c r="I309" s="888"/>
      <c r="J309" s="888"/>
      <c r="K309" s="888"/>
      <c r="L309" s="888"/>
      <c r="M309" s="888"/>
      <c r="N309" s="888"/>
      <c r="O309" s="888"/>
      <c r="P309" s="888"/>
      <c r="Q309" s="888"/>
      <c r="R309" s="888"/>
    </row>
    <row r="310" spans="1:18" s="893" customFormat="1" x14ac:dyDescent="0.3">
      <c r="A310" s="888" t="s">
        <v>2062</v>
      </c>
      <c r="B310" s="888" t="s">
        <v>1096</v>
      </c>
      <c r="C310" s="888" t="s">
        <v>4508</v>
      </c>
      <c r="D310" s="888"/>
      <c r="E310" s="893" t="s">
        <v>37</v>
      </c>
      <c r="I310" s="888"/>
      <c r="J310" s="888"/>
      <c r="K310" s="888"/>
      <c r="L310" s="888"/>
      <c r="M310" s="888"/>
      <c r="N310" s="888"/>
      <c r="O310" s="888"/>
      <c r="P310" s="888"/>
      <c r="Q310" s="888"/>
      <c r="R310" s="888"/>
    </row>
    <row r="311" spans="1:18" s="893" customFormat="1" x14ac:dyDescent="0.3">
      <c r="A311" s="888" t="s">
        <v>2062</v>
      </c>
      <c r="B311" s="888" t="s">
        <v>1096</v>
      </c>
      <c r="C311" s="888" t="s">
        <v>4509</v>
      </c>
      <c r="D311" s="888"/>
      <c r="E311" s="893" t="str">
        <f>$E$303</f>
        <v>Step 1: Select ICF size</v>
      </c>
      <c r="I311" s="888"/>
      <c r="J311" s="888"/>
      <c r="K311" s="888"/>
      <c r="L311" s="888"/>
      <c r="M311" s="888"/>
      <c r="N311" s="888"/>
      <c r="O311" s="888"/>
      <c r="P311" s="888"/>
      <c r="Q311" s="888"/>
      <c r="R311" s="888"/>
    </row>
    <row r="312" spans="1:18" s="893" customFormat="1" ht="15" thickBot="1" x14ac:dyDescent="0.35">
      <c r="A312" s="888" t="s">
        <v>2062</v>
      </c>
      <c r="B312" s="888" t="s">
        <v>1096</v>
      </c>
      <c r="C312" s="912" t="s">
        <v>2305</v>
      </c>
      <c r="D312" s="888"/>
      <c r="E312" s="893" t="str">
        <f>$E$193</f>
        <v>CONCRETE – 25 MPa or less</v>
      </c>
      <c r="I312" s="912"/>
      <c r="J312" s="888"/>
      <c r="K312" s="888"/>
      <c r="L312" s="888"/>
      <c r="M312" s="888"/>
      <c r="N312" s="888"/>
      <c r="O312" s="888"/>
      <c r="P312" s="888"/>
      <c r="Q312" s="888"/>
      <c r="R312" s="888"/>
    </row>
    <row r="313" spans="1:18" s="893" customFormat="1" x14ac:dyDescent="0.3">
      <c r="A313" s="888" t="s">
        <v>2062</v>
      </c>
      <c r="B313" s="888" t="s">
        <v>1096</v>
      </c>
      <c r="C313" s="888" t="s">
        <v>3993</v>
      </c>
      <c r="D313" s="888" t="b">
        <v>1</v>
      </c>
      <c r="E313" s="1686" t="s">
        <v>1715</v>
      </c>
      <c r="F313" s="1687"/>
      <c r="I313" s="888"/>
      <c r="J313" s="888"/>
      <c r="K313" s="888"/>
      <c r="L313" s="888"/>
      <c r="M313" s="888"/>
      <c r="N313" s="888"/>
      <c r="O313" s="888"/>
      <c r="P313" s="888"/>
      <c r="Q313" s="888"/>
      <c r="R313" s="888"/>
    </row>
    <row r="314" spans="1:18" s="893" customFormat="1" x14ac:dyDescent="0.3">
      <c r="A314" s="888" t="s">
        <v>2083</v>
      </c>
      <c r="B314" s="888"/>
      <c r="C314" s="888"/>
      <c r="D314" s="888"/>
      <c r="E314" s="1682"/>
      <c r="F314" s="1688"/>
      <c r="I314" s="888"/>
      <c r="J314" s="888"/>
      <c r="K314" s="888"/>
      <c r="L314" s="888"/>
      <c r="M314" s="888"/>
      <c r="N314" s="888"/>
      <c r="O314" s="888"/>
      <c r="P314" s="888"/>
      <c r="Q314" s="888"/>
      <c r="R314" s="888"/>
    </row>
    <row r="315" spans="1:18" s="893" customFormat="1" x14ac:dyDescent="0.3">
      <c r="A315" s="888" t="s">
        <v>2083</v>
      </c>
      <c r="B315" s="888"/>
      <c r="C315" s="888"/>
      <c r="D315" s="888"/>
      <c r="E315" s="1682"/>
      <c r="F315" s="1688"/>
      <c r="I315" s="888"/>
      <c r="J315" s="888"/>
      <c r="K315" s="888"/>
      <c r="L315" s="888"/>
      <c r="M315" s="888"/>
      <c r="N315" s="888"/>
      <c r="O315" s="888"/>
      <c r="P315" s="888"/>
      <c r="Q315" s="888"/>
      <c r="R315" s="888"/>
    </row>
    <row r="316" spans="1:18" s="893" customFormat="1" x14ac:dyDescent="0.3">
      <c r="A316" s="888" t="s">
        <v>2083</v>
      </c>
      <c r="B316" s="888"/>
      <c r="C316" s="888"/>
      <c r="D316" s="888"/>
      <c r="E316" s="1682"/>
      <c r="F316" s="1688"/>
      <c r="I316" s="888"/>
      <c r="J316" s="888"/>
      <c r="K316" s="888"/>
      <c r="L316" s="888"/>
      <c r="M316" s="888"/>
      <c r="N316" s="888"/>
      <c r="O316" s="888"/>
      <c r="P316" s="888"/>
      <c r="Q316" s="888"/>
      <c r="R316" s="888"/>
    </row>
    <row r="317" spans="1:18" s="893" customFormat="1" x14ac:dyDescent="0.3">
      <c r="A317" s="888" t="s">
        <v>2083</v>
      </c>
      <c r="B317" s="888"/>
      <c r="C317" s="888"/>
      <c r="D317" s="888"/>
      <c r="E317" s="1682"/>
      <c r="F317" s="1688"/>
      <c r="I317" s="888"/>
      <c r="J317" s="888"/>
      <c r="K317" s="888"/>
      <c r="L317" s="888"/>
      <c r="M317" s="888"/>
      <c r="N317" s="888"/>
      <c r="O317" s="888"/>
      <c r="P317" s="888"/>
      <c r="Q317" s="888"/>
      <c r="R317" s="888"/>
    </row>
    <row r="318" spans="1:18" s="893" customFormat="1" x14ac:dyDescent="0.3">
      <c r="A318" s="888" t="s">
        <v>2083</v>
      </c>
      <c r="B318" s="888"/>
      <c r="C318" s="888"/>
      <c r="D318" s="888"/>
      <c r="E318" s="1682"/>
      <c r="F318" s="1688"/>
      <c r="I318" s="888"/>
      <c r="J318" s="888"/>
      <c r="K318" s="888"/>
      <c r="L318" s="888"/>
      <c r="M318" s="888"/>
      <c r="N318" s="888"/>
      <c r="O318" s="888"/>
      <c r="P318" s="888"/>
      <c r="Q318" s="888"/>
      <c r="R318" s="888"/>
    </row>
    <row r="319" spans="1:18" s="893" customFormat="1" x14ac:dyDescent="0.3">
      <c r="A319" s="888" t="s">
        <v>2083</v>
      </c>
      <c r="B319" s="888"/>
      <c r="C319" s="888"/>
      <c r="D319" s="888"/>
      <c r="E319" s="1684"/>
      <c r="F319" s="1689"/>
      <c r="I319" s="888"/>
      <c r="J319" s="888"/>
      <c r="K319" s="888"/>
      <c r="L319" s="888"/>
      <c r="M319" s="888"/>
      <c r="N319" s="888"/>
      <c r="O319" s="888"/>
      <c r="P319" s="888"/>
      <c r="Q319" s="888"/>
      <c r="R319" s="888"/>
    </row>
    <row r="320" spans="1:18" s="893" customFormat="1" ht="15.6" x14ac:dyDescent="0.3">
      <c r="A320" s="888" t="s">
        <v>2062</v>
      </c>
      <c r="B320" s="888" t="s">
        <v>1096</v>
      </c>
      <c r="C320" s="912" t="s">
        <v>2588</v>
      </c>
      <c r="D320" s="888"/>
      <c r="E320" s="913" t="str">
        <f>$E$195</f>
        <v>CONCRETE – 26-30 MPa</v>
      </c>
      <c r="F320" s="919"/>
      <c r="I320" s="888"/>
      <c r="J320" s="888"/>
      <c r="K320" s="888"/>
      <c r="L320" s="888"/>
      <c r="M320" s="888"/>
      <c r="N320" s="888"/>
      <c r="O320" s="888"/>
      <c r="P320" s="888"/>
      <c r="Q320" s="888"/>
      <c r="R320" s="888"/>
    </row>
    <row r="321" spans="1:18" s="893" customFormat="1" ht="15.6" x14ac:dyDescent="0.3">
      <c r="A321" s="888" t="s">
        <v>2062</v>
      </c>
      <c r="B321" s="888" t="s">
        <v>1096</v>
      </c>
      <c r="C321" s="912" t="s">
        <v>4517</v>
      </c>
      <c r="D321" s="888"/>
      <c r="E321" s="913" t="str">
        <f>$E$194</f>
        <v>Concrete mix specification makes a big difference in carbon footprint. The mix specifications here can be used to discuss low-carbon mix options with your supplier.</v>
      </c>
      <c r="F321" s="919"/>
      <c r="I321" s="888"/>
      <c r="J321" s="888"/>
      <c r="K321" s="888"/>
      <c r="L321" s="888"/>
      <c r="M321" s="888"/>
      <c r="N321" s="888"/>
      <c r="O321" s="888"/>
      <c r="P321" s="888"/>
      <c r="Q321" s="888"/>
      <c r="R321" s="888"/>
    </row>
    <row r="322" spans="1:18" s="893" customFormat="1" ht="15.6" x14ac:dyDescent="0.3">
      <c r="A322" s="888" t="s">
        <v>2062</v>
      </c>
      <c r="B322" s="888" t="s">
        <v>1096</v>
      </c>
      <c r="C322" s="912" t="s">
        <v>7421</v>
      </c>
      <c r="D322" s="888"/>
      <c r="E322" s="913" t="str">
        <f>$E$197</f>
        <v>CONCRETE – 31-35 MPa</v>
      </c>
      <c r="F322" s="919"/>
      <c r="I322" s="888"/>
      <c r="J322" s="888"/>
      <c r="K322" s="888"/>
      <c r="L322" s="888"/>
      <c r="M322" s="888"/>
      <c r="N322" s="888"/>
      <c r="O322" s="888"/>
      <c r="P322" s="888"/>
      <c r="Q322" s="888"/>
      <c r="R322" s="888"/>
    </row>
    <row r="323" spans="1:18" s="893" customFormat="1" ht="15.6" x14ac:dyDescent="0.3">
      <c r="A323" s="888" t="s">
        <v>2062</v>
      </c>
      <c r="B323" s="888" t="s">
        <v>1096</v>
      </c>
      <c r="C323" s="912" t="s">
        <v>3977</v>
      </c>
      <c r="D323" s="888"/>
      <c r="E323" s="913" t="str">
        <f>$E$194</f>
        <v>Concrete mix specification makes a big difference in carbon footprint. The mix specifications here can be used to discuss low-carbon mix options with your supplier.</v>
      </c>
      <c r="F323" s="919"/>
      <c r="I323" s="888"/>
      <c r="J323" s="888"/>
      <c r="K323" s="888"/>
      <c r="L323" s="888"/>
      <c r="M323" s="888"/>
      <c r="N323" s="888"/>
      <c r="O323" s="888"/>
      <c r="P323" s="888"/>
      <c r="Q323" s="888"/>
      <c r="R323" s="888"/>
    </row>
    <row r="324" spans="1:18" s="893" customFormat="1" x14ac:dyDescent="0.3">
      <c r="A324" s="888" t="s">
        <v>2062</v>
      </c>
      <c r="B324" s="888" t="s">
        <v>1096</v>
      </c>
      <c r="C324" s="888" t="s">
        <v>4579</v>
      </c>
      <c r="D324" s="888"/>
      <c r="E324" s="913" t="s">
        <v>3425</v>
      </c>
      <c r="I324" s="888"/>
      <c r="J324" s="888"/>
      <c r="K324" s="888"/>
      <c r="L324" s="888"/>
      <c r="M324" s="888"/>
      <c r="N324" s="888"/>
      <c r="O324" s="888"/>
      <c r="P324" s="888"/>
      <c r="Q324" s="888"/>
      <c r="R324" s="888"/>
    </row>
    <row r="325" spans="1:18" s="893" customFormat="1" x14ac:dyDescent="0.3">
      <c r="A325" s="888" t="s">
        <v>2062</v>
      </c>
      <c r="B325" s="888" t="s">
        <v>1096</v>
      </c>
      <c r="C325" s="888" t="s">
        <v>2616</v>
      </c>
      <c r="D325" s="888"/>
      <c r="E325" s="893" t="s">
        <v>38</v>
      </c>
      <c r="I325" s="888"/>
      <c r="J325" s="888"/>
      <c r="K325" s="888"/>
      <c r="L325" s="888"/>
      <c r="M325" s="888"/>
      <c r="N325" s="888"/>
      <c r="O325" s="888"/>
      <c r="P325" s="888"/>
      <c r="Q325" s="888"/>
      <c r="R325" s="888"/>
    </row>
    <row r="326" spans="1:18" s="893" customFormat="1" x14ac:dyDescent="0.3">
      <c r="A326" s="888" t="s">
        <v>2062</v>
      </c>
      <c r="B326" s="920" t="s">
        <v>7382</v>
      </c>
      <c r="C326" s="888" t="s">
        <v>2623</v>
      </c>
      <c r="D326" s="888"/>
      <c r="E326" s="893" t="s">
        <v>39</v>
      </c>
      <c r="I326" s="888"/>
      <c r="J326" s="888"/>
      <c r="K326" s="888"/>
      <c r="L326" s="888"/>
      <c r="M326" s="888"/>
      <c r="N326" s="888"/>
      <c r="O326" s="888"/>
      <c r="P326" s="888"/>
      <c r="Q326" s="888"/>
      <c r="R326" s="888"/>
    </row>
    <row r="327" spans="1:18" s="893" customFormat="1" x14ac:dyDescent="0.3">
      <c r="A327" s="888" t="s">
        <v>2062</v>
      </c>
      <c r="B327" s="920" t="s">
        <v>7382</v>
      </c>
      <c r="C327" s="888" t="s">
        <v>2630</v>
      </c>
      <c r="D327" s="888"/>
      <c r="E327" s="893" t="s">
        <v>43</v>
      </c>
      <c r="I327" s="888"/>
      <c r="J327" s="888"/>
      <c r="K327" s="888"/>
      <c r="L327" s="888"/>
      <c r="M327" s="888"/>
      <c r="N327" s="888"/>
      <c r="O327" s="888"/>
      <c r="P327" s="888"/>
      <c r="Q327" s="888"/>
      <c r="R327" s="888"/>
    </row>
    <row r="328" spans="1:18" s="893" customFormat="1" x14ac:dyDescent="0.3">
      <c r="A328" s="888" t="s">
        <v>2062</v>
      </c>
      <c r="B328" s="888" t="s">
        <v>1096</v>
      </c>
      <c r="C328" s="888" t="s">
        <v>2618</v>
      </c>
      <c r="D328" s="888"/>
      <c r="E328" s="893" t="s">
        <v>6836</v>
      </c>
      <c r="I328" s="888"/>
      <c r="J328" s="888"/>
      <c r="K328" s="888"/>
      <c r="L328" s="888"/>
      <c r="M328" s="888"/>
      <c r="N328" s="888"/>
      <c r="O328" s="888"/>
      <c r="P328" s="888"/>
      <c r="Q328" s="888"/>
      <c r="R328" s="888"/>
    </row>
    <row r="329" spans="1:18" s="893" customFormat="1" x14ac:dyDescent="0.3">
      <c r="A329" s="888" t="s">
        <v>2062</v>
      </c>
      <c r="B329" s="888" t="s">
        <v>1096</v>
      </c>
      <c r="C329" s="888" t="s">
        <v>2630</v>
      </c>
      <c r="D329" s="888"/>
      <c r="E329" s="893" t="s">
        <v>6837</v>
      </c>
      <c r="I329" s="888"/>
      <c r="J329" s="888"/>
      <c r="K329" s="888"/>
      <c r="L329" s="888"/>
      <c r="M329" s="888"/>
      <c r="N329" s="888"/>
      <c r="O329" s="888"/>
      <c r="P329" s="888"/>
      <c r="Q329" s="888"/>
      <c r="R329" s="888"/>
    </row>
    <row r="330" spans="1:18" s="893" customFormat="1" x14ac:dyDescent="0.3">
      <c r="A330" s="888" t="s">
        <v>2062</v>
      </c>
      <c r="B330" s="888" t="s">
        <v>1096</v>
      </c>
      <c r="C330" s="888" t="s">
        <v>2642</v>
      </c>
      <c r="D330" s="888"/>
      <c r="E330" s="893" t="s">
        <v>6838</v>
      </c>
      <c r="I330" s="888"/>
      <c r="J330" s="888"/>
      <c r="K330" s="888"/>
      <c r="L330" s="888"/>
      <c r="M330" s="888"/>
      <c r="N330" s="888"/>
      <c r="O330" s="888"/>
      <c r="P330" s="888"/>
      <c r="Q330" s="888"/>
      <c r="R330" s="888"/>
    </row>
    <row r="331" spans="1:18" s="893" customFormat="1" x14ac:dyDescent="0.3">
      <c r="A331" s="888" t="s">
        <v>2062</v>
      </c>
      <c r="B331" s="888" t="s">
        <v>1096</v>
      </c>
      <c r="C331" s="888" t="s">
        <v>2653</v>
      </c>
      <c r="D331" s="888"/>
      <c r="E331" s="893" t="s">
        <v>6839</v>
      </c>
      <c r="I331" s="888"/>
      <c r="J331" s="888"/>
      <c r="K331" s="888"/>
      <c r="L331" s="888"/>
      <c r="M331" s="888"/>
      <c r="N331" s="888"/>
      <c r="O331" s="888"/>
      <c r="P331" s="888"/>
      <c r="Q331" s="888"/>
      <c r="R331" s="888"/>
    </row>
    <row r="332" spans="1:18" s="893" customFormat="1" x14ac:dyDescent="0.3">
      <c r="A332" s="888" t="s">
        <v>2062</v>
      </c>
      <c r="B332" s="888" t="s">
        <v>1096</v>
      </c>
      <c r="C332" s="888" t="s">
        <v>4755</v>
      </c>
      <c r="D332" s="888"/>
      <c r="E332" s="893" t="s">
        <v>44</v>
      </c>
      <c r="I332" s="888"/>
      <c r="J332" s="888"/>
      <c r="K332" s="888"/>
      <c r="L332" s="888"/>
      <c r="M332" s="888"/>
      <c r="N332" s="888"/>
      <c r="O332" s="888"/>
      <c r="P332" s="888"/>
      <c r="Q332" s="888"/>
      <c r="R332" s="888"/>
    </row>
    <row r="333" spans="1:18" s="893" customFormat="1" x14ac:dyDescent="0.3">
      <c r="A333" s="888" t="s">
        <v>2062</v>
      </c>
      <c r="B333" s="888" t="s">
        <v>1096</v>
      </c>
      <c r="C333" s="888" t="s">
        <v>2661</v>
      </c>
      <c r="D333" s="888"/>
      <c r="E333" s="893" t="str">
        <f>$E$325</f>
        <v>FRAMING SPACING:</v>
      </c>
      <c r="I333" s="888"/>
      <c r="J333" s="888"/>
      <c r="K333" s="888"/>
      <c r="L333" s="888"/>
      <c r="M333" s="888"/>
      <c r="N333" s="888"/>
      <c r="O333" s="888"/>
      <c r="P333" s="888"/>
      <c r="Q333" s="888"/>
      <c r="R333" s="888"/>
    </row>
    <row r="334" spans="1:18" s="893" customFormat="1" x14ac:dyDescent="0.3">
      <c r="A334" s="888" t="s">
        <v>2062</v>
      </c>
      <c r="B334" s="888" t="s">
        <v>1096</v>
      </c>
      <c r="C334" s="888" t="s">
        <v>2662</v>
      </c>
      <c r="D334" s="888"/>
      <c r="E334" s="893" t="s">
        <v>1036</v>
      </c>
      <c r="I334" s="888"/>
      <c r="J334" s="888"/>
      <c r="K334" s="888"/>
      <c r="L334" s="888"/>
      <c r="M334" s="888"/>
      <c r="N334" s="888"/>
      <c r="O334" s="888"/>
      <c r="P334" s="888"/>
      <c r="Q334" s="888"/>
      <c r="R334" s="888"/>
    </row>
    <row r="335" spans="1:18" s="893" customFormat="1" x14ac:dyDescent="0.3">
      <c r="A335" s="888" t="s">
        <v>2062</v>
      </c>
      <c r="B335" s="888" t="s">
        <v>1096</v>
      </c>
      <c r="C335" s="888" t="s">
        <v>3981</v>
      </c>
      <c r="D335" s="888"/>
      <c r="E335" s="893" t="s">
        <v>903</v>
      </c>
      <c r="I335" s="888"/>
      <c r="J335" s="888"/>
      <c r="K335" s="888"/>
      <c r="L335" s="888"/>
      <c r="M335" s="888"/>
      <c r="N335" s="888"/>
      <c r="O335" s="888"/>
      <c r="P335" s="888"/>
      <c r="Q335" s="888"/>
      <c r="R335" s="888"/>
    </row>
    <row r="336" spans="1:18" s="893" customFormat="1" x14ac:dyDescent="0.3">
      <c r="A336" s="888" t="s">
        <v>2062</v>
      </c>
      <c r="B336" s="921" t="s">
        <v>7382</v>
      </c>
      <c r="C336" s="888" t="s">
        <v>2337</v>
      </c>
      <c r="D336" s="888"/>
      <c r="E336" s="893" t="s">
        <v>1358</v>
      </c>
      <c r="I336" s="888"/>
      <c r="J336" s="888"/>
      <c r="K336" s="888"/>
      <c r="L336" s="888"/>
      <c r="M336" s="888"/>
      <c r="N336" s="888"/>
      <c r="O336" s="888"/>
      <c r="P336" s="888"/>
      <c r="Q336" s="888"/>
      <c r="R336" s="888"/>
    </row>
    <row r="337" spans="1:18" s="893" customFormat="1" x14ac:dyDescent="0.3">
      <c r="A337" s="888" t="s">
        <v>2062</v>
      </c>
      <c r="B337" s="888" t="s">
        <v>1096</v>
      </c>
      <c r="C337" s="888" t="s">
        <v>2341</v>
      </c>
      <c r="D337" s="888"/>
      <c r="E337" s="893" t="s">
        <v>45</v>
      </c>
      <c r="I337" s="888"/>
      <c r="J337" s="888"/>
      <c r="K337" s="888"/>
      <c r="L337" s="888"/>
      <c r="M337" s="888"/>
      <c r="N337" s="888"/>
      <c r="O337" s="888"/>
      <c r="P337" s="888"/>
      <c r="Q337" s="888"/>
      <c r="R337" s="888"/>
    </row>
    <row r="338" spans="1:18" s="893" customFormat="1" x14ac:dyDescent="0.3">
      <c r="A338" s="888" t="s">
        <v>2062</v>
      </c>
      <c r="B338" s="888" t="s">
        <v>1096</v>
      </c>
      <c r="C338" s="888" t="s">
        <v>2342</v>
      </c>
      <c r="D338" s="888"/>
      <c r="E338" s="893" t="str">
        <f>$E$300</f>
        <v>SPRAY FOAM - CLOSED CELL</v>
      </c>
      <c r="I338" s="888"/>
      <c r="J338" s="888"/>
      <c r="K338" s="888"/>
      <c r="L338" s="888"/>
      <c r="M338" s="888"/>
      <c r="N338" s="888"/>
      <c r="O338" s="888"/>
      <c r="P338" s="888"/>
      <c r="Q338" s="888"/>
      <c r="R338" s="888"/>
    </row>
    <row r="339" spans="1:18" s="893" customFormat="1" x14ac:dyDescent="0.3">
      <c r="A339" s="888" t="s">
        <v>2062</v>
      </c>
      <c r="B339" s="888" t="s">
        <v>1096</v>
      </c>
      <c r="C339" s="888" t="s">
        <v>2666</v>
      </c>
      <c r="D339" s="888"/>
      <c r="E339" s="893" t="s">
        <v>966</v>
      </c>
      <c r="I339" s="888"/>
      <c r="J339" s="888"/>
      <c r="K339" s="888"/>
      <c r="L339" s="888"/>
      <c r="M339" s="888"/>
      <c r="N339" s="888"/>
      <c r="O339" s="888"/>
      <c r="P339" s="888"/>
      <c r="Q339" s="888"/>
      <c r="R339" s="888"/>
    </row>
    <row r="340" spans="1:18" s="893" customFormat="1" x14ac:dyDescent="0.3">
      <c r="A340" s="888" t="s">
        <v>2062</v>
      </c>
      <c r="B340" s="888" t="s">
        <v>1096</v>
      </c>
      <c r="C340" s="888" t="s">
        <v>5090</v>
      </c>
      <c r="D340" s="888"/>
      <c r="E340" s="893" t="s">
        <v>1059</v>
      </c>
      <c r="I340" s="888"/>
      <c r="J340" s="888"/>
      <c r="K340" s="888"/>
      <c r="L340" s="888"/>
      <c r="M340" s="888"/>
      <c r="N340" s="888"/>
      <c r="O340" s="888"/>
      <c r="P340" s="888"/>
      <c r="Q340" s="888"/>
      <c r="R340" s="888"/>
    </row>
    <row r="341" spans="1:18" s="893" customFormat="1" x14ac:dyDescent="0.3">
      <c r="A341" s="888" t="s">
        <v>2062</v>
      </c>
      <c r="B341" s="888" t="s">
        <v>1096</v>
      </c>
      <c r="C341" s="888" t="s">
        <v>2672</v>
      </c>
      <c r="D341" s="888"/>
      <c r="E341" s="893" t="s">
        <v>46</v>
      </c>
      <c r="I341" s="888"/>
      <c r="J341" s="888"/>
      <c r="K341" s="888"/>
      <c r="L341" s="888"/>
      <c r="M341" s="888"/>
      <c r="N341" s="888"/>
      <c r="O341" s="888"/>
      <c r="P341" s="888"/>
      <c r="Q341" s="888"/>
      <c r="R341" s="888"/>
    </row>
    <row r="342" spans="1:18" s="893" customFormat="1" x14ac:dyDescent="0.3">
      <c r="A342" s="888" t="s">
        <v>2062</v>
      </c>
      <c r="B342" s="888" t="s">
        <v>1096</v>
      </c>
      <c r="C342" s="888" t="s">
        <v>5197</v>
      </c>
      <c r="D342" s="888"/>
      <c r="E342" s="893" t="s">
        <v>1060</v>
      </c>
      <c r="I342" s="888"/>
      <c r="J342" s="888"/>
      <c r="K342" s="888"/>
      <c r="L342" s="888"/>
      <c r="M342" s="888"/>
      <c r="N342" s="888"/>
      <c r="O342" s="888"/>
      <c r="P342" s="888"/>
      <c r="Q342" s="888"/>
      <c r="R342" s="888"/>
    </row>
    <row r="343" spans="1:18" x14ac:dyDescent="0.3">
      <c r="A343" s="888" t="s">
        <v>2062</v>
      </c>
      <c r="B343" s="888" t="s">
        <v>1096</v>
      </c>
      <c r="C343" s="888" t="s">
        <v>2676</v>
      </c>
      <c r="E343" s="893" t="s">
        <v>968</v>
      </c>
    </row>
    <row r="344" spans="1:18" x14ac:dyDescent="0.3">
      <c r="A344" s="888" t="s">
        <v>2062</v>
      </c>
      <c r="B344" s="888" t="s">
        <v>1096</v>
      </c>
      <c r="C344" s="888" t="s">
        <v>2679</v>
      </c>
      <c r="E344" s="893" t="s">
        <v>1061</v>
      </c>
    </row>
    <row r="345" spans="1:18" x14ac:dyDescent="0.3">
      <c r="A345" s="888" t="s">
        <v>2062</v>
      </c>
      <c r="B345" s="888" t="s">
        <v>1096</v>
      </c>
      <c r="C345" s="888" t="s">
        <v>2685</v>
      </c>
      <c r="E345" s="893" t="s">
        <v>969</v>
      </c>
    </row>
    <row r="346" spans="1:18" x14ac:dyDescent="0.3">
      <c r="A346" s="888" t="s">
        <v>2062</v>
      </c>
      <c r="B346" s="921" t="s">
        <v>7382</v>
      </c>
      <c r="C346" s="888" t="s">
        <v>5047</v>
      </c>
      <c r="E346" s="893" t="s">
        <v>1062</v>
      </c>
    </row>
    <row r="347" spans="1:18" x14ac:dyDescent="0.3">
      <c r="A347" s="888" t="s">
        <v>2062</v>
      </c>
      <c r="B347" s="888" t="s">
        <v>1096</v>
      </c>
      <c r="C347" s="916" t="s">
        <v>2686</v>
      </c>
      <c r="E347" s="893" t="s">
        <v>1041</v>
      </c>
    </row>
    <row r="348" spans="1:18" x14ac:dyDescent="0.3">
      <c r="A348" s="888" t="s">
        <v>2062</v>
      </c>
      <c r="B348" s="888" t="s">
        <v>1096</v>
      </c>
      <c r="C348" s="916" t="s">
        <v>2688</v>
      </c>
      <c r="E348" s="893" t="s">
        <v>1361</v>
      </c>
    </row>
    <row r="349" spans="1:18" x14ac:dyDescent="0.3">
      <c r="A349" s="888" t="s">
        <v>2062</v>
      </c>
      <c r="B349" s="888" t="s">
        <v>1096</v>
      </c>
      <c r="C349" s="888" t="s">
        <v>7422</v>
      </c>
      <c r="E349" s="893" t="s">
        <v>47</v>
      </c>
    </row>
    <row r="350" spans="1:18" x14ac:dyDescent="0.3">
      <c r="A350" s="888" t="s">
        <v>2062</v>
      </c>
      <c r="B350" s="888" t="s">
        <v>1096</v>
      </c>
      <c r="C350" s="888" t="s">
        <v>2699</v>
      </c>
      <c r="E350" s="893" t="s">
        <v>1037</v>
      </c>
    </row>
    <row r="351" spans="1:18" x14ac:dyDescent="0.3">
      <c r="A351" s="888" t="s">
        <v>2062</v>
      </c>
      <c r="B351" s="888" t="s">
        <v>1096</v>
      </c>
      <c r="C351" s="888" t="s">
        <v>7423</v>
      </c>
      <c r="E351" s="893" t="s">
        <v>1063</v>
      </c>
    </row>
    <row r="352" spans="1:18" x14ac:dyDescent="0.3">
      <c r="A352" s="888" t="s">
        <v>2062</v>
      </c>
      <c r="B352" s="921" t="s">
        <v>7382</v>
      </c>
      <c r="C352" s="888" t="s">
        <v>2349</v>
      </c>
      <c r="E352" s="893" t="s">
        <v>48</v>
      </c>
    </row>
    <row r="353" spans="1:19" x14ac:dyDescent="0.3">
      <c r="A353" s="888" t="s">
        <v>2062</v>
      </c>
      <c r="B353" s="888" t="s">
        <v>1096</v>
      </c>
      <c r="C353" s="916" t="s">
        <v>7424</v>
      </c>
      <c r="E353" s="893" t="str">
        <f>$E$232</f>
        <v>BARRIERS AND MEMBRANES</v>
      </c>
    </row>
    <row r="354" spans="1:19" x14ac:dyDescent="0.3">
      <c r="A354" s="888" t="s">
        <v>2062</v>
      </c>
      <c r="B354" s="888" t="s">
        <v>1096</v>
      </c>
      <c r="C354" s="916" t="s">
        <v>2711</v>
      </c>
      <c r="E354" s="893" t="str">
        <f>$E$233</f>
        <v>SHEET BARRIER</v>
      </c>
    </row>
    <row r="355" spans="1:19" x14ac:dyDescent="0.3">
      <c r="A355" s="888" t="s">
        <v>2062</v>
      </c>
      <c r="B355" s="888" t="s">
        <v>1096</v>
      </c>
      <c r="C355" s="888" t="s">
        <v>2713</v>
      </c>
      <c r="E355" s="893" t="s">
        <v>4765</v>
      </c>
    </row>
    <row r="356" spans="1:19" x14ac:dyDescent="0.3">
      <c r="A356" s="888" t="s">
        <v>2062</v>
      </c>
      <c r="B356" s="888" t="s">
        <v>1096</v>
      </c>
      <c r="C356" s="916" t="s">
        <v>2723</v>
      </c>
      <c r="E356" s="917" t="str">
        <f>$E$234</f>
        <v>LIQUID APPLIED BARRIER</v>
      </c>
    </row>
    <row r="357" spans="1:19" x14ac:dyDescent="0.3">
      <c r="A357" s="888" t="s">
        <v>2062</v>
      </c>
      <c r="B357" s="888" t="s">
        <v>1096</v>
      </c>
      <c r="C357" s="888" t="s">
        <v>3857</v>
      </c>
      <c r="E357" s="893" t="s">
        <v>4766</v>
      </c>
    </row>
    <row r="358" spans="1:19" x14ac:dyDescent="0.3">
      <c r="A358" s="888" t="s">
        <v>2062</v>
      </c>
      <c r="B358" s="888" t="s">
        <v>1096</v>
      </c>
      <c r="C358" s="888" t="s">
        <v>2729</v>
      </c>
      <c r="E358" s="893" t="s">
        <v>4764</v>
      </c>
    </row>
    <row r="359" spans="1:19" x14ac:dyDescent="0.3">
      <c r="A359" s="888" t="s">
        <v>2062</v>
      </c>
      <c r="B359" s="888" t="s">
        <v>1096</v>
      </c>
      <c r="C359" s="888" t="s">
        <v>6854</v>
      </c>
      <c r="E359" s="893" t="s">
        <v>4767</v>
      </c>
    </row>
    <row r="360" spans="1:19" x14ac:dyDescent="0.3">
      <c r="A360" s="888" t="s">
        <v>2062</v>
      </c>
      <c r="B360" s="888" t="s">
        <v>1096</v>
      </c>
      <c r="C360" s="888" t="s">
        <v>7425</v>
      </c>
      <c r="E360" s="893" t="s">
        <v>49</v>
      </c>
    </row>
    <row r="361" spans="1:19" x14ac:dyDescent="0.3">
      <c r="A361" s="888" t="s">
        <v>2062</v>
      </c>
      <c r="B361" s="888" t="s">
        <v>1096</v>
      </c>
      <c r="C361" s="888" t="s">
        <v>7426</v>
      </c>
      <c r="E361" s="893" t="s">
        <v>1038</v>
      </c>
    </row>
    <row r="362" spans="1:19" x14ac:dyDescent="0.3">
      <c r="A362" s="888" t="s">
        <v>2062</v>
      </c>
      <c r="B362" s="888" t="s">
        <v>1096</v>
      </c>
      <c r="C362" s="888" t="s">
        <v>5223</v>
      </c>
      <c r="E362" s="893" t="s">
        <v>1357</v>
      </c>
    </row>
    <row r="363" spans="1:19" x14ac:dyDescent="0.3">
      <c r="A363" s="888" t="s">
        <v>2062</v>
      </c>
      <c r="B363" s="888" t="s">
        <v>1096</v>
      </c>
      <c r="C363" s="888" t="s">
        <v>2739</v>
      </c>
      <c r="E363" s="893" t="s">
        <v>1039</v>
      </c>
    </row>
    <row r="364" spans="1:19" x14ac:dyDescent="0.3">
      <c r="A364" s="888" t="s">
        <v>2062</v>
      </c>
      <c r="B364" s="888" t="s">
        <v>1096</v>
      </c>
      <c r="C364" s="888" t="s">
        <v>6859</v>
      </c>
      <c r="E364" s="893" t="s">
        <v>4919</v>
      </c>
    </row>
    <row r="365" spans="1:19" x14ac:dyDescent="0.3">
      <c r="A365" s="888" t="s">
        <v>2062</v>
      </c>
      <c r="B365" s="888" t="s">
        <v>1096</v>
      </c>
      <c r="C365" s="888" t="s">
        <v>7427</v>
      </c>
      <c r="E365" s="893" t="s">
        <v>50</v>
      </c>
    </row>
    <row r="366" spans="1:19" x14ac:dyDescent="0.3">
      <c r="A366" s="888" t="s">
        <v>2062</v>
      </c>
      <c r="B366" s="888" t="s">
        <v>1095</v>
      </c>
      <c r="C366" s="888" t="s">
        <v>2124</v>
      </c>
      <c r="E366" s="893" t="s">
        <v>51</v>
      </c>
    </row>
    <row r="367" spans="1:19" x14ac:dyDescent="0.3">
      <c r="A367" s="888" t="s">
        <v>2062</v>
      </c>
      <c r="B367" s="888" t="s">
        <v>1095</v>
      </c>
      <c r="C367" s="888" t="s">
        <v>2125</v>
      </c>
      <c r="E367" s="893" t="s">
        <v>1073</v>
      </c>
    </row>
    <row r="368" spans="1:19" ht="202.65" customHeight="1" x14ac:dyDescent="0.3">
      <c r="A368" s="888" t="s">
        <v>2062</v>
      </c>
      <c r="B368" s="888" t="s">
        <v>1095</v>
      </c>
      <c r="C368" s="888" t="s">
        <v>2063</v>
      </c>
      <c r="D368" s="888" t="b">
        <v>1</v>
      </c>
      <c r="E368" s="1671"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368" s="1671"/>
      <c r="G368" s="1671"/>
      <c r="H368" s="1671"/>
      <c r="I368" s="1671"/>
      <c r="J368" s="1671"/>
      <c r="K368" s="1671"/>
      <c r="L368" s="1671"/>
      <c r="M368" s="1671"/>
      <c r="N368" s="1671"/>
      <c r="O368" s="1671"/>
      <c r="P368" s="1671"/>
      <c r="Q368" s="1671"/>
      <c r="R368" s="1671"/>
      <c r="S368" s="1671"/>
    </row>
    <row r="369" spans="1:18" s="893" customFormat="1" x14ac:dyDescent="0.3">
      <c r="A369" s="888" t="s">
        <v>2062</v>
      </c>
      <c r="B369" s="888" t="s">
        <v>1095</v>
      </c>
      <c r="C369" s="888" t="s">
        <v>2064</v>
      </c>
      <c r="D369" s="888"/>
      <c r="E369" s="888" t="str">
        <f>$E$170</f>
        <v>CATEGORY</v>
      </c>
      <c r="I369" s="888"/>
      <c r="J369" s="888"/>
      <c r="K369" s="888"/>
      <c r="L369" s="888"/>
      <c r="M369" s="888"/>
      <c r="N369" s="888"/>
      <c r="O369" s="888"/>
      <c r="P369" s="888"/>
      <c r="Q369" s="888"/>
      <c r="R369" s="888"/>
    </row>
    <row r="370" spans="1:18" s="893" customFormat="1" x14ac:dyDescent="0.3">
      <c r="A370" s="888" t="s">
        <v>2062</v>
      </c>
      <c r="B370" s="888" t="s">
        <v>1095</v>
      </c>
      <c r="C370" s="888" t="s">
        <v>2126</v>
      </c>
      <c r="D370" s="888"/>
      <c r="E370" s="893" t="str">
        <f>$E$171</f>
        <v>MATERIAL</v>
      </c>
      <c r="I370" s="888"/>
      <c r="J370" s="888"/>
      <c r="K370" s="888"/>
      <c r="L370" s="888"/>
      <c r="M370" s="888"/>
      <c r="N370" s="888"/>
      <c r="O370" s="888"/>
      <c r="P370" s="888"/>
      <c r="Q370" s="888"/>
      <c r="R370" s="888"/>
    </row>
    <row r="371" spans="1:18" s="893" customFormat="1" x14ac:dyDescent="0.3">
      <c r="A371" s="888" t="s">
        <v>2062</v>
      </c>
      <c r="B371" s="888" t="s">
        <v>1095</v>
      </c>
      <c r="C371" s="888" t="s">
        <v>2127</v>
      </c>
      <c r="D371" s="888"/>
      <c r="E371" s="893" t="str">
        <f>$E$127</f>
        <v>QUANTITY</v>
      </c>
      <c r="I371" s="888"/>
      <c r="J371" s="888"/>
      <c r="K371" s="888"/>
      <c r="L371" s="888"/>
      <c r="M371" s="888"/>
      <c r="N371" s="888"/>
      <c r="O371" s="888"/>
      <c r="P371" s="888"/>
      <c r="Q371" s="888"/>
      <c r="R371" s="888"/>
    </row>
    <row r="372" spans="1:18" s="893" customFormat="1" x14ac:dyDescent="0.3">
      <c r="A372" s="888" t="s">
        <v>2062</v>
      </c>
      <c r="B372" s="888" t="s">
        <v>1095</v>
      </c>
      <c r="C372" s="888" t="s">
        <v>2128</v>
      </c>
      <c r="D372" s="888"/>
      <c r="E372" s="888" t="str">
        <f>$E$173</f>
        <v xml:space="preserve"> SELECT</v>
      </c>
      <c r="I372" s="888"/>
      <c r="J372" s="888"/>
      <c r="K372" s="888"/>
      <c r="L372" s="888"/>
      <c r="M372" s="888"/>
      <c r="N372" s="888"/>
      <c r="O372" s="888"/>
      <c r="P372" s="888"/>
      <c r="Q372" s="888"/>
      <c r="R372" s="888"/>
    </row>
    <row r="373" spans="1:18" s="893" customFormat="1" ht="15" customHeight="1" x14ac:dyDescent="0.3">
      <c r="A373" s="888" t="s">
        <v>2062</v>
      </c>
      <c r="B373" s="908" t="s">
        <v>5054</v>
      </c>
      <c r="C373" s="888" t="s">
        <v>2129</v>
      </c>
      <c r="D373" s="888" t="b">
        <v>1</v>
      </c>
      <c r="E373" s="1669" t="str">
        <f>$E$174</f>
        <v>NET kgCO2e EMISSIONS</v>
      </c>
      <c r="I373" s="888"/>
      <c r="J373" s="888"/>
      <c r="K373" s="888"/>
      <c r="L373" s="888"/>
      <c r="M373" s="888"/>
      <c r="N373" s="888"/>
      <c r="O373" s="888"/>
      <c r="P373" s="888"/>
      <c r="Q373" s="888"/>
      <c r="R373" s="888"/>
    </row>
    <row r="374" spans="1:18" s="893" customFormat="1" ht="15" customHeight="1" x14ac:dyDescent="0.3">
      <c r="A374" s="888" t="s">
        <v>2083</v>
      </c>
      <c r="B374" s="888"/>
      <c r="C374" s="888"/>
      <c r="D374" s="888"/>
      <c r="E374" s="1670"/>
      <c r="I374" s="888"/>
      <c r="J374" s="888"/>
      <c r="K374" s="888"/>
      <c r="L374" s="888"/>
      <c r="M374" s="888"/>
      <c r="N374" s="888"/>
      <c r="O374" s="888"/>
      <c r="P374" s="888"/>
      <c r="Q374" s="888"/>
      <c r="R374" s="888"/>
    </row>
    <row r="375" spans="1:18" s="893" customFormat="1" ht="27.75" customHeight="1" x14ac:dyDescent="0.3">
      <c r="A375" s="888" t="s">
        <v>2062</v>
      </c>
      <c r="B375" s="908" t="s">
        <v>5054</v>
      </c>
      <c r="C375" s="888" t="s">
        <v>2130</v>
      </c>
      <c r="D375" s="888" t="b">
        <v>1</v>
      </c>
      <c r="E375" s="1669" t="str">
        <f>$E$176</f>
        <v>SELECTED MATERIAL kgCO2e CONTENT</v>
      </c>
      <c r="I375" s="888"/>
      <c r="J375" s="888"/>
      <c r="K375" s="888"/>
      <c r="L375" s="888"/>
      <c r="M375" s="888"/>
      <c r="N375" s="888"/>
      <c r="O375" s="888"/>
      <c r="P375" s="888"/>
      <c r="Q375" s="888"/>
      <c r="R375" s="888"/>
    </row>
    <row r="376" spans="1:18" s="893" customFormat="1" ht="15" customHeight="1" x14ac:dyDescent="0.3">
      <c r="A376" s="888" t="s">
        <v>2083</v>
      </c>
      <c r="B376" s="888"/>
      <c r="C376" s="888"/>
      <c r="D376" s="888"/>
      <c r="E376" s="1670"/>
      <c r="I376" s="888"/>
      <c r="J376" s="888"/>
      <c r="K376" s="888"/>
      <c r="L376" s="888"/>
      <c r="M376" s="888"/>
      <c r="N376" s="888"/>
      <c r="O376" s="888"/>
      <c r="P376" s="888"/>
      <c r="Q376" s="888"/>
      <c r="R376" s="888"/>
    </row>
    <row r="377" spans="1:18" s="893" customFormat="1" ht="15" customHeight="1" x14ac:dyDescent="0.3">
      <c r="A377" s="888" t="s">
        <v>2062</v>
      </c>
      <c r="B377" s="888" t="s">
        <v>1095</v>
      </c>
      <c r="C377" s="888" t="s">
        <v>2131</v>
      </c>
      <c r="D377" s="888" t="b">
        <v>1</v>
      </c>
      <c r="E377" s="1669" t="str">
        <f>$E$178</f>
        <v>kgCO2e EMISSIONS</v>
      </c>
      <c r="I377" s="888"/>
      <c r="J377" s="888"/>
      <c r="K377" s="888"/>
      <c r="L377" s="888"/>
      <c r="M377" s="888"/>
      <c r="N377" s="888"/>
      <c r="O377" s="888"/>
      <c r="P377" s="888"/>
      <c r="Q377" s="888"/>
      <c r="R377" s="888"/>
    </row>
    <row r="378" spans="1:18" s="893" customFormat="1" ht="15" customHeight="1" x14ac:dyDescent="0.3">
      <c r="A378" s="888" t="s">
        <v>2083</v>
      </c>
      <c r="B378" s="888"/>
      <c r="C378" s="888"/>
      <c r="D378" s="888"/>
      <c r="E378" s="1670"/>
      <c r="I378" s="888"/>
      <c r="J378" s="888"/>
      <c r="K378" s="888"/>
      <c r="L378" s="888"/>
      <c r="M378" s="888"/>
      <c r="N378" s="888"/>
      <c r="O378" s="888"/>
      <c r="P378" s="888"/>
      <c r="Q378" s="888"/>
      <c r="R378" s="888"/>
    </row>
    <row r="379" spans="1:18" s="893" customFormat="1" ht="15" customHeight="1" x14ac:dyDescent="0.3">
      <c r="A379" s="888" t="s">
        <v>2062</v>
      </c>
      <c r="B379" s="888" t="s">
        <v>1095</v>
      </c>
      <c r="C379" s="888" t="s">
        <v>2132</v>
      </c>
      <c r="D379" s="888" t="b">
        <v>1</v>
      </c>
      <c r="E379" s="1669" t="str">
        <f>$E$180</f>
        <v>kgCO2 STORAGE</v>
      </c>
      <c r="I379" s="888"/>
      <c r="J379" s="888"/>
      <c r="K379" s="888"/>
      <c r="L379" s="888"/>
      <c r="M379" s="888"/>
      <c r="N379" s="888"/>
      <c r="O379" s="888"/>
      <c r="P379" s="888"/>
      <c r="Q379" s="888"/>
      <c r="R379" s="888"/>
    </row>
    <row r="380" spans="1:18" s="893" customFormat="1" ht="15" customHeight="1" x14ac:dyDescent="0.3">
      <c r="A380" s="888" t="s">
        <v>2083</v>
      </c>
      <c r="B380" s="888"/>
      <c r="C380" s="888"/>
      <c r="D380" s="888"/>
      <c r="E380" s="1670"/>
      <c r="I380" s="888"/>
      <c r="J380" s="888"/>
      <c r="K380" s="888"/>
      <c r="L380" s="888"/>
      <c r="M380" s="888"/>
      <c r="N380" s="888"/>
      <c r="O380" s="888"/>
      <c r="P380" s="888"/>
      <c r="Q380" s="888"/>
      <c r="R380" s="888"/>
    </row>
    <row r="381" spans="1:18" s="893" customFormat="1" ht="15" customHeight="1" x14ac:dyDescent="0.3">
      <c r="A381" s="888" t="s">
        <v>2062</v>
      </c>
      <c r="B381" s="888" t="s">
        <v>1095</v>
      </c>
      <c r="C381" s="909" t="s">
        <v>2070</v>
      </c>
      <c r="D381" s="888" t="b">
        <v>1</v>
      </c>
      <c r="E381" s="1520" t="str">
        <f>$E$182</f>
        <v xml:space="preserve">  Note</v>
      </c>
      <c r="F381" s="1520"/>
      <c r="I381" s="888"/>
      <c r="J381" s="888"/>
      <c r="K381" s="888"/>
      <c r="L381" s="888"/>
      <c r="M381" s="888"/>
      <c r="N381" s="888"/>
      <c r="O381" s="888"/>
      <c r="P381" s="888"/>
      <c r="Q381" s="888"/>
      <c r="R381" s="888"/>
    </row>
    <row r="382" spans="1:18" s="893" customFormat="1" ht="15" customHeight="1" x14ac:dyDescent="0.3">
      <c r="A382" s="888" t="s">
        <v>2083</v>
      </c>
      <c r="B382" s="888"/>
      <c r="C382" s="888"/>
      <c r="D382" s="888"/>
      <c r="E382" s="1520"/>
      <c r="F382" s="1520"/>
      <c r="I382" s="888"/>
      <c r="J382" s="888"/>
      <c r="K382" s="888"/>
      <c r="L382" s="888"/>
      <c r="M382" s="888"/>
      <c r="N382" s="888"/>
      <c r="O382" s="888"/>
      <c r="P382" s="888"/>
      <c r="Q382" s="888"/>
      <c r="R382" s="888"/>
    </row>
    <row r="383" spans="1:18" s="893" customFormat="1" ht="15" customHeight="1" x14ac:dyDescent="0.3">
      <c r="A383" s="888" t="s">
        <v>2062</v>
      </c>
      <c r="B383" s="908" t="s">
        <v>5054</v>
      </c>
      <c r="C383" s="909" t="s">
        <v>3335</v>
      </c>
      <c r="D383" s="888" t="b">
        <v>1</v>
      </c>
      <c r="E383" s="1669" t="str">
        <f>$E$184</f>
        <v>Include Long Cycle</v>
      </c>
      <c r="I383" s="888"/>
      <c r="J383" s="888"/>
      <c r="K383" s="888"/>
      <c r="L383" s="888"/>
      <c r="M383" s="888"/>
      <c r="N383" s="888"/>
      <c r="O383" s="888"/>
      <c r="P383" s="888"/>
      <c r="Q383" s="888"/>
      <c r="R383" s="888"/>
    </row>
    <row r="384" spans="1:18" s="893" customFormat="1" ht="15" customHeight="1" x14ac:dyDescent="0.3">
      <c r="A384" s="888" t="s">
        <v>2083</v>
      </c>
      <c r="B384" s="888"/>
      <c r="C384" s="888"/>
      <c r="D384" s="888"/>
      <c r="E384" s="1670"/>
      <c r="I384" s="888"/>
      <c r="J384" s="888"/>
      <c r="K384" s="888"/>
      <c r="L384" s="888"/>
      <c r="M384" s="888"/>
      <c r="N384" s="888"/>
      <c r="O384" s="888"/>
      <c r="P384" s="888"/>
      <c r="Q384" s="888"/>
      <c r="R384" s="888"/>
    </row>
    <row r="385" spans="1:19" s="893" customFormat="1" ht="21" x14ac:dyDescent="0.3">
      <c r="A385" s="888" t="s">
        <v>2062</v>
      </c>
      <c r="B385" s="888" t="s">
        <v>1095</v>
      </c>
      <c r="C385" s="909" t="s">
        <v>4961</v>
      </c>
      <c r="D385" s="888" t="b">
        <v>1</v>
      </c>
      <c r="E385" s="622" t="s">
        <v>7207</v>
      </c>
      <c r="I385" s="888"/>
      <c r="J385" s="888"/>
      <c r="K385" s="888"/>
      <c r="L385" s="888"/>
      <c r="M385" s="888"/>
      <c r="N385" s="888"/>
      <c r="O385" s="888"/>
      <c r="P385" s="888"/>
      <c r="Q385" s="888"/>
      <c r="R385" s="888"/>
    </row>
    <row r="386" spans="1:19" s="893" customFormat="1" ht="21" x14ac:dyDescent="0.3">
      <c r="A386" s="888" t="s">
        <v>2062</v>
      </c>
      <c r="B386" s="888" t="s">
        <v>1095</v>
      </c>
      <c r="C386" s="911" t="s">
        <v>5112</v>
      </c>
      <c r="D386" s="888" t="b">
        <v>1</v>
      </c>
      <c r="E386" s="622" t="s">
        <v>7208</v>
      </c>
      <c r="I386" s="888"/>
      <c r="J386" s="888"/>
      <c r="K386" s="888"/>
      <c r="L386" s="888"/>
      <c r="M386" s="888"/>
      <c r="N386" s="888"/>
      <c r="O386" s="888"/>
      <c r="P386" s="888"/>
      <c r="Q386" s="888"/>
      <c r="R386" s="888"/>
    </row>
    <row r="387" spans="1:19" s="893" customFormat="1" x14ac:dyDescent="0.3">
      <c r="A387" s="888" t="s">
        <v>2062</v>
      </c>
      <c r="B387" s="888" t="s">
        <v>1095</v>
      </c>
      <c r="C387" s="888" t="s">
        <v>2133</v>
      </c>
      <c r="D387" s="888"/>
      <c r="E387" s="893" t="s">
        <v>10</v>
      </c>
      <c r="I387" s="888"/>
      <c r="J387" s="888"/>
      <c r="K387" s="888"/>
      <c r="L387" s="888"/>
      <c r="M387" s="888"/>
      <c r="N387" s="888"/>
      <c r="O387" s="888"/>
      <c r="P387" s="888"/>
      <c r="Q387" s="888"/>
      <c r="R387" s="888"/>
    </row>
    <row r="388" spans="1:19" s="893" customFormat="1" x14ac:dyDescent="0.3">
      <c r="A388" s="888" t="s">
        <v>2062</v>
      </c>
      <c r="B388" s="888" t="s">
        <v>1095</v>
      </c>
      <c r="C388" s="888" t="s">
        <v>2135</v>
      </c>
      <c r="D388" s="888"/>
      <c r="E388" s="893" t="s">
        <v>1720</v>
      </c>
      <c r="I388" s="888"/>
      <c r="J388" s="888"/>
      <c r="K388" s="888"/>
      <c r="L388" s="888"/>
      <c r="M388" s="888"/>
      <c r="N388" s="888"/>
      <c r="O388" s="888"/>
      <c r="P388" s="888"/>
      <c r="Q388" s="888"/>
      <c r="R388" s="888"/>
    </row>
    <row r="389" spans="1:19" s="893" customFormat="1" x14ac:dyDescent="0.3">
      <c r="A389" s="888" t="s">
        <v>2062</v>
      </c>
      <c r="B389" s="888" t="s">
        <v>1095</v>
      </c>
      <c r="C389" s="888" t="s">
        <v>2136</v>
      </c>
      <c r="D389" s="888"/>
      <c r="E389" s="893" t="s">
        <v>1719</v>
      </c>
      <c r="I389" s="888"/>
      <c r="J389" s="888"/>
      <c r="K389" s="888"/>
      <c r="L389" s="888"/>
      <c r="M389" s="888"/>
      <c r="N389" s="888"/>
      <c r="O389" s="888"/>
      <c r="P389" s="888"/>
      <c r="Q389" s="888"/>
      <c r="R389" s="888"/>
    </row>
    <row r="390" spans="1:19" s="893" customFormat="1" x14ac:dyDescent="0.3">
      <c r="A390" s="888" t="s">
        <v>2062</v>
      </c>
      <c r="B390" s="888" t="s">
        <v>1095</v>
      </c>
      <c r="C390" s="888" t="s">
        <v>2196</v>
      </c>
      <c r="D390" s="888"/>
      <c r="E390" s="893" t="s">
        <v>1394</v>
      </c>
      <c r="I390" s="888"/>
      <c r="J390" s="888"/>
      <c r="K390" s="888"/>
      <c r="L390" s="888"/>
      <c r="M390" s="888"/>
      <c r="N390" s="888"/>
      <c r="O390" s="888"/>
      <c r="P390" s="888"/>
      <c r="Q390" s="888"/>
      <c r="R390" s="888"/>
    </row>
    <row r="391" spans="1:19" s="893" customFormat="1" x14ac:dyDescent="0.3">
      <c r="A391" s="888" t="s">
        <v>2062</v>
      </c>
      <c r="B391" s="888" t="s">
        <v>1095</v>
      </c>
      <c r="C391" s="888" t="s">
        <v>2276</v>
      </c>
      <c r="D391" s="888"/>
      <c r="E391" s="893" t="s">
        <v>63</v>
      </c>
      <c r="I391" s="888"/>
      <c r="J391" s="888"/>
      <c r="K391" s="888"/>
      <c r="L391" s="888"/>
      <c r="M391" s="888"/>
      <c r="N391" s="888"/>
      <c r="O391" s="888"/>
      <c r="P391" s="888"/>
      <c r="Q391" s="888"/>
      <c r="R391" s="888"/>
    </row>
    <row r="392" spans="1:19" s="893" customFormat="1" x14ac:dyDescent="0.3">
      <c r="A392" s="888" t="s">
        <v>2062</v>
      </c>
      <c r="B392" s="888" t="s">
        <v>1095</v>
      </c>
      <c r="C392" s="888" t="s">
        <v>2095</v>
      </c>
      <c r="D392" s="888"/>
      <c r="E392" s="893" t="s">
        <v>1074</v>
      </c>
      <c r="I392" s="888"/>
      <c r="J392" s="888"/>
      <c r="K392" s="888"/>
      <c r="L392" s="888"/>
      <c r="M392" s="888"/>
      <c r="N392" s="888"/>
      <c r="O392" s="888"/>
      <c r="P392" s="888"/>
      <c r="Q392" s="888"/>
      <c r="R392" s="888"/>
    </row>
    <row r="393" spans="1:19" s="893" customFormat="1" x14ac:dyDescent="0.3">
      <c r="A393" s="888" t="s">
        <v>2062</v>
      </c>
      <c r="B393" s="922" t="s">
        <v>5054</v>
      </c>
      <c r="C393" s="888" t="s">
        <v>2236</v>
      </c>
      <c r="D393" s="922" t="s">
        <v>5055</v>
      </c>
      <c r="E393" s="893" t="s">
        <v>1418</v>
      </c>
      <c r="I393" s="888"/>
      <c r="J393" s="888"/>
      <c r="K393" s="888"/>
      <c r="L393" s="888"/>
      <c r="M393" s="888"/>
      <c r="N393" s="888"/>
      <c r="O393" s="888"/>
      <c r="P393" s="888"/>
      <c r="Q393" s="888"/>
      <c r="R393" s="888"/>
    </row>
    <row r="394" spans="1:19" x14ac:dyDescent="0.3">
      <c r="A394" s="888" t="s">
        <v>2062</v>
      </c>
      <c r="B394" s="922" t="s">
        <v>5054</v>
      </c>
      <c r="C394" s="888" t="s">
        <v>2263</v>
      </c>
      <c r="D394" s="922" t="s">
        <v>5055</v>
      </c>
      <c r="E394" s="893" t="s">
        <v>1395</v>
      </c>
    </row>
    <row r="395" spans="1:19" x14ac:dyDescent="0.3">
      <c r="A395" s="888" t="s">
        <v>2062</v>
      </c>
      <c r="B395" s="888" t="s">
        <v>1095</v>
      </c>
      <c r="C395" s="888" t="s">
        <v>2140</v>
      </c>
      <c r="E395" s="893" t="s">
        <v>4930</v>
      </c>
    </row>
    <row r="396" spans="1:19" x14ac:dyDescent="0.3">
      <c r="A396" s="888" t="s">
        <v>2062</v>
      </c>
      <c r="B396" s="888" t="s">
        <v>1094</v>
      </c>
      <c r="C396" s="888" t="s">
        <v>2124</v>
      </c>
      <c r="E396" s="893" t="s">
        <v>58</v>
      </c>
    </row>
    <row r="397" spans="1:19" x14ac:dyDescent="0.3">
      <c r="A397" s="888" t="s">
        <v>2062</v>
      </c>
      <c r="B397" s="888" t="s">
        <v>1094</v>
      </c>
      <c r="C397" s="888" t="s">
        <v>2125</v>
      </c>
      <c r="E397" s="893" t="s">
        <v>3366</v>
      </c>
    </row>
    <row r="398" spans="1:19" ht="194.25" customHeight="1" x14ac:dyDescent="0.3">
      <c r="A398" s="888" t="s">
        <v>2062</v>
      </c>
      <c r="B398" s="888" t="s">
        <v>1094</v>
      </c>
      <c r="C398" s="888" t="s">
        <v>2063</v>
      </c>
      <c r="D398" s="888" t="b">
        <v>1</v>
      </c>
      <c r="E398" s="1671"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398" s="1671"/>
      <c r="G398" s="1671"/>
      <c r="H398" s="1671"/>
      <c r="I398" s="1671"/>
      <c r="J398" s="1671"/>
      <c r="K398" s="1671"/>
      <c r="L398" s="1671"/>
      <c r="M398" s="1671"/>
      <c r="N398" s="1671"/>
      <c r="O398" s="1671"/>
      <c r="P398" s="1671"/>
      <c r="Q398" s="1671"/>
      <c r="R398" s="1671"/>
      <c r="S398" s="1671"/>
    </row>
    <row r="399" spans="1:19" x14ac:dyDescent="0.3">
      <c r="A399" s="888" t="s">
        <v>2062</v>
      </c>
      <c r="B399" s="888" t="s">
        <v>1094</v>
      </c>
      <c r="C399" s="888" t="s">
        <v>2064</v>
      </c>
      <c r="E399" s="888" t="str">
        <f>$E$170</f>
        <v>CATEGORY</v>
      </c>
    </row>
    <row r="400" spans="1:19" x14ac:dyDescent="0.3">
      <c r="A400" s="888" t="s">
        <v>2062</v>
      </c>
      <c r="B400" s="888" t="s">
        <v>1094</v>
      </c>
      <c r="C400" s="888" t="s">
        <v>2126</v>
      </c>
      <c r="E400" s="893" t="str">
        <f>$E$171</f>
        <v>MATERIAL</v>
      </c>
    </row>
    <row r="401" spans="1:6" x14ac:dyDescent="0.3">
      <c r="A401" s="888" t="s">
        <v>2062</v>
      </c>
      <c r="B401" s="888" t="s">
        <v>1094</v>
      </c>
      <c r="C401" s="888" t="s">
        <v>2127</v>
      </c>
      <c r="E401" s="893" t="str">
        <f>$E$127</f>
        <v>QUANTITY</v>
      </c>
    </row>
    <row r="402" spans="1:6" x14ac:dyDescent="0.3">
      <c r="A402" s="888" t="s">
        <v>2062</v>
      </c>
      <c r="B402" s="888" t="s">
        <v>1094</v>
      </c>
      <c r="C402" s="888" t="s">
        <v>2128</v>
      </c>
      <c r="E402" s="888" t="str">
        <f>$E$173</f>
        <v xml:space="preserve"> SELECT</v>
      </c>
    </row>
    <row r="403" spans="1:6" ht="15" customHeight="1" x14ac:dyDescent="0.3">
      <c r="A403" s="888" t="s">
        <v>2062</v>
      </c>
      <c r="B403" s="908" t="s">
        <v>7387</v>
      </c>
      <c r="C403" s="888" t="s">
        <v>2129</v>
      </c>
      <c r="D403" s="888" t="b">
        <v>1</v>
      </c>
      <c r="E403" s="1669" t="str">
        <f>$E$174</f>
        <v>NET kgCO2e EMISSIONS</v>
      </c>
    </row>
    <row r="404" spans="1:6" ht="15" customHeight="1" x14ac:dyDescent="0.3">
      <c r="A404" s="888" t="s">
        <v>2083</v>
      </c>
      <c r="E404" s="1670"/>
    </row>
    <row r="405" spans="1:6" ht="22.65" customHeight="1" x14ac:dyDescent="0.3">
      <c r="A405" s="888" t="s">
        <v>2062</v>
      </c>
      <c r="B405" s="908" t="s">
        <v>7387</v>
      </c>
      <c r="C405" s="888" t="s">
        <v>2130</v>
      </c>
      <c r="D405" s="888" t="b">
        <v>1</v>
      </c>
      <c r="E405" s="1669" t="str">
        <f>$E$176</f>
        <v>SELECTED MATERIAL kgCO2e CONTENT</v>
      </c>
    </row>
    <row r="406" spans="1:6" ht="15" customHeight="1" x14ac:dyDescent="0.3">
      <c r="A406" s="888" t="s">
        <v>2083</v>
      </c>
      <c r="E406" s="1670"/>
    </row>
    <row r="407" spans="1:6" ht="15" customHeight="1" x14ac:dyDescent="0.3">
      <c r="A407" s="888" t="s">
        <v>2062</v>
      </c>
      <c r="B407" s="888" t="s">
        <v>1094</v>
      </c>
      <c r="C407" s="888" t="s">
        <v>2131</v>
      </c>
      <c r="D407" s="888" t="b">
        <v>1</v>
      </c>
      <c r="E407" s="1669" t="str">
        <f>$E$178</f>
        <v>kgCO2e EMISSIONS</v>
      </c>
    </row>
    <row r="408" spans="1:6" ht="15" customHeight="1" x14ac:dyDescent="0.3">
      <c r="A408" s="888" t="s">
        <v>2083</v>
      </c>
      <c r="E408" s="1670"/>
    </row>
    <row r="409" spans="1:6" ht="15" customHeight="1" x14ac:dyDescent="0.3">
      <c r="A409" s="888" t="s">
        <v>2062</v>
      </c>
      <c r="B409" s="888" t="s">
        <v>1094</v>
      </c>
      <c r="C409" s="888" t="s">
        <v>2132</v>
      </c>
      <c r="D409" s="888" t="b">
        <v>1</v>
      </c>
      <c r="E409" s="1669" t="str">
        <f>$E$180</f>
        <v>kgCO2 STORAGE</v>
      </c>
    </row>
    <row r="410" spans="1:6" ht="15" customHeight="1" x14ac:dyDescent="0.3">
      <c r="A410" s="888" t="s">
        <v>2083</v>
      </c>
      <c r="E410" s="1670"/>
    </row>
    <row r="411" spans="1:6" ht="15" customHeight="1" x14ac:dyDescent="0.3">
      <c r="A411" s="888" t="s">
        <v>2062</v>
      </c>
      <c r="B411" s="888" t="s">
        <v>1094</v>
      </c>
      <c r="C411" s="909" t="s">
        <v>2070</v>
      </c>
      <c r="D411" s="888" t="b">
        <v>1</v>
      </c>
      <c r="E411" s="1520" t="str">
        <f>$E$182</f>
        <v xml:space="preserve">  Note</v>
      </c>
      <c r="F411" s="1520"/>
    </row>
    <row r="412" spans="1:6" ht="15" customHeight="1" x14ac:dyDescent="0.3">
      <c r="A412" s="888" t="s">
        <v>2083</v>
      </c>
      <c r="E412" s="1520"/>
      <c r="F412" s="1520"/>
    </row>
    <row r="413" spans="1:6" ht="15" customHeight="1" x14ac:dyDescent="0.3">
      <c r="A413" s="888" t="s">
        <v>2062</v>
      </c>
      <c r="B413" s="908" t="s">
        <v>7387</v>
      </c>
      <c r="C413" s="909" t="s">
        <v>3335</v>
      </c>
      <c r="D413" s="888" t="b">
        <v>1</v>
      </c>
      <c r="E413" s="1669" t="str">
        <f>$E$184</f>
        <v>Include Long Cycle</v>
      </c>
    </row>
    <row r="414" spans="1:6" ht="15" customHeight="1" x14ac:dyDescent="0.3">
      <c r="A414" s="888" t="s">
        <v>2083</v>
      </c>
      <c r="E414" s="1670"/>
    </row>
    <row r="415" spans="1:6" ht="21" x14ac:dyDescent="0.3">
      <c r="A415" s="888" t="s">
        <v>2062</v>
      </c>
      <c r="B415" s="888" t="s">
        <v>1094</v>
      </c>
      <c r="C415" s="909" t="s">
        <v>4961</v>
      </c>
      <c r="D415" s="888" t="b">
        <v>1</v>
      </c>
      <c r="E415" s="622" t="s">
        <v>7187</v>
      </c>
    </row>
    <row r="416" spans="1:6" ht="21" x14ac:dyDescent="0.3">
      <c r="A416" s="888" t="s">
        <v>2062</v>
      </c>
      <c r="B416" s="888" t="s">
        <v>1094</v>
      </c>
      <c r="C416" s="911" t="s">
        <v>5112</v>
      </c>
      <c r="D416" s="888" t="b">
        <v>1</v>
      </c>
      <c r="E416" s="622" t="s">
        <v>7206</v>
      </c>
    </row>
    <row r="417" spans="1:18" x14ac:dyDescent="0.3">
      <c r="A417" s="888" t="s">
        <v>2062</v>
      </c>
      <c r="B417" s="888" t="s">
        <v>1094</v>
      </c>
      <c r="C417" s="888" t="s">
        <v>2133</v>
      </c>
      <c r="E417" s="893" t="s">
        <v>1608</v>
      </c>
    </row>
    <row r="418" spans="1:18" x14ac:dyDescent="0.3">
      <c r="A418" s="888" t="s">
        <v>2062</v>
      </c>
      <c r="B418" s="888" t="s">
        <v>1094</v>
      </c>
      <c r="C418" s="888" t="s">
        <v>2134</v>
      </c>
      <c r="E418" s="893" t="str">
        <f>$E$325</f>
        <v>FRAMING SPACING:</v>
      </c>
    </row>
    <row r="419" spans="1:18" x14ac:dyDescent="0.3">
      <c r="A419" s="888" t="s">
        <v>2062</v>
      </c>
      <c r="B419" s="888" t="s">
        <v>1094</v>
      </c>
      <c r="C419" s="888" t="s">
        <v>2200</v>
      </c>
      <c r="E419" s="893" t="s">
        <v>1622</v>
      </c>
    </row>
    <row r="420" spans="1:18" s="893" customFormat="1" x14ac:dyDescent="0.3">
      <c r="A420" s="888" t="s">
        <v>2062</v>
      </c>
      <c r="B420" s="923" t="s">
        <v>7387</v>
      </c>
      <c r="C420" s="888" t="s">
        <v>2135</v>
      </c>
      <c r="D420" s="888"/>
      <c r="E420" s="893" t="str">
        <f>$E$326</f>
        <v>WOOD FRAME CONSTRUCTION</v>
      </c>
      <c r="I420" s="888"/>
      <c r="J420" s="888"/>
      <c r="K420" s="888"/>
      <c r="L420" s="888"/>
      <c r="M420" s="888"/>
      <c r="N420" s="888"/>
      <c r="O420" s="888"/>
      <c r="P420" s="888"/>
      <c r="Q420" s="888"/>
      <c r="R420" s="888"/>
    </row>
    <row r="421" spans="1:18" s="893" customFormat="1" x14ac:dyDescent="0.3">
      <c r="A421" s="888" t="s">
        <v>2062</v>
      </c>
      <c r="B421" s="923" t="s">
        <v>7387</v>
      </c>
      <c r="C421" s="888" t="s">
        <v>2076</v>
      </c>
      <c r="D421" s="888"/>
      <c r="E421" s="893" t="str">
        <f>$E$327</f>
        <v>Double 2x4</v>
      </c>
      <c r="I421" s="888"/>
      <c r="J421" s="888"/>
      <c r="K421" s="888"/>
      <c r="L421" s="888"/>
      <c r="M421" s="888"/>
      <c r="N421" s="888"/>
      <c r="O421" s="888"/>
      <c r="P421" s="888"/>
      <c r="Q421" s="888"/>
      <c r="R421" s="888"/>
    </row>
    <row r="422" spans="1:18" s="893" customFormat="1" x14ac:dyDescent="0.3">
      <c r="A422" s="888" t="s">
        <v>2062</v>
      </c>
      <c r="B422" s="888" t="s">
        <v>1094</v>
      </c>
      <c r="C422" s="888" t="s">
        <v>2135</v>
      </c>
      <c r="D422" s="888"/>
      <c r="E422" s="924" t="str">
        <f>$E$328</f>
        <v>2x4 WOOD FRAME CONSTRUCTION</v>
      </c>
      <c r="I422" s="888"/>
      <c r="J422" s="888"/>
      <c r="K422" s="888"/>
      <c r="L422" s="888"/>
      <c r="M422" s="888"/>
      <c r="N422" s="888"/>
      <c r="O422" s="888"/>
      <c r="P422" s="888"/>
      <c r="Q422" s="888"/>
      <c r="R422" s="888"/>
    </row>
    <row r="423" spans="1:18" s="893" customFormat="1" x14ac:dyDescent="0.3">
      <c r="A423" s="888" t="s">
        <v>2062</v>
      </c>
      <c r="B423" s="888" t="s">
        <v>1094</v>
      </c>
      <c r="C423" s="888" t="s">
        <v>2080</v>
      </c>
      <c r="D423" s="888"/>
      <c r="E423" s="924" t="str">
        <f>$E$329</f>
        <v>2x6 WOOD FRAME CONSTRUCTION</v>
      </c>
      <c r="I423" s="888"/>
      <c r="J423" s="888"/>
      <c r="K423" s="888"/>
      <c r="L423" s="888"/>
      <c r="M423" s="888"/>
      <c r="N423" s="888"/>
      <c r="O423" s="888"/>
      <c r="P423" s="888"/>
      <c r="Q423" s="888"/>
      <c r="R423" s="888"/>
    </row>
    <row r="424" spans="1:18" s="893" customFormat="1" x14ac:dyDescent="0.3">
      <c r="A424" s="888" t="s">
        <v>2062</v>
      </c>
      <c r="B424" s="888" t="s">
        <v>1094</v>
      </c>
      <c r="C424" s="888" t="s">
        <v>2089</v>
      </c>
      <c r="D424" s="888"/>
      <c r="E424" s="924" t="str">
        <f>$E$330</f>
        <v>2x8 WOOD FRAME CONSTRUCTION</v>
      </c>
      <c r="I424" s="888"/>
      <c r="J424" s="888"/>
      <c r="K424" s="888"/>
      <c r="L424" s="888"/>
      <c r="M424" s="888"/>
      <c r="N424" s="888"/>
      <c r="O424" s="888"/>
      <c r="P424" s="888"/>
      <c r="Q424" s="888"/>
      <c r="R424" s="888"/>
    </row>
    <row r="425" spans="1:18" s="893" customFormat="1" x14ac:dyDescent="0.3">
      <c r="A425" s="888" t="s">
        <v>2062</v>
      </c>
      <c r="B425" s="888" t="s">
        <v>1094</v>
      </c>
      <c r="C425" s="888" t="s">
        <v>2095</v>
      </c>
      <c r="D425" s="888"/>
      <c r="E425" s="924" t="str">
        <f>$E$331</f>
        <v>Double 2x4 WOOD FRAME CONSTRUCTION</v>
      </c>
      <c r="I425" s="888"/>
      <c r="J425" s="888"/>
      <c r="K425" s="888"/>
      <c r="L425" s="888"/>
      <c r="M425" s="888"/>
      <c r="N425" s="888"/>
      <c r="O425" s="888"/>
      <c r="P425" s="888"/>
      <c r="Q425" s="888"/>
      <c r="R425" s="888"/>
    </row>
    <row r="426" spans="1:18" s="893" customFormat="1" x14ac:dyDescent="0.3">
      <c r="A426" s="888" t="s">
        <v>2062</v>
      </c>
      <c r="B426" s="888" t="s">
        <v>1094</v>
      </c>
      <c r="C426" s="888" t="s">
        <v>4202</v>
      </c>
      <c r="D426" s="888"/>
      <c r="E426" s="893" t="s">
        <v>1609</v>
      </c>
      <c r="I426" s="888"/>
      <c r="J426" s="888"/>
      <c r="K426" s="888"/>
      <c r="L426" s="888"/>
      <c r="M426" s="888"/>
      <c r="N426" s="888"/>
      <c r="O426" s="888"/>
      <c r="P426" s="888"/>
      <c r="Q426" s="888"/>
      <c r="R426" s="888"/>
    </row>
    <row r="427" spans="1:18" s="893" customFormat="1" x14ac:dyDescent="0.3">
      <c r="A427" s="888" t="s">
        <v>2062</v>
      </c>
      <c r="B427" s="888" t="s">
        <v>1094</v>
      </c>
      <c r="C427" s="888" t="s">
        <v>2141</v>
      </c>
      <c r="D427" s="888"/>
      <c r="E427" s="893" t="str">
        <f>$E$325</f>
        <v>FRAMING SPACING:</v>
      </c>
      <c r="I427" s="888"/>
      <c r="J427" s="888"/>
      <c r="K427" s="888"/>
      <c r="L427" s="888"/>
      <c r="M427" s="888"/>
      <c r="N427" s="888"/>
      <c r="O427" s="888"/>
      <c r="P427" s="888"/>
      <c r="Q427" s="888"/>
      <c r="R427" s="888"/>
    </row>
    <row r="428" spans="1:18" s="893" customFormat="1" x14ac:dyDescent="0.3">
      <c r="A428" s="888" t="s">
        <v>2062</v>
      </c>
      <c r="B428" s="888" t="s">
        <v>1094</v>
      </c>
      <c r="C428" s="888" t="s">
        <v>7428</v>
      </c>
      <c r="D428" s="888"/>
      <c r="E428" s="893" t="str">
        <f>$E$419</f>
        <v>in. o/c</v>
      </c>
      <c r="I428" s="888"/>
      <c r="J428" s="888"/>
      <c r="K428" s="888"/>
      <c r="L428" s="888"/>
      <c r="M428" s="888"/>
      <c r="N428" s="888"/>
      <c r="O428" s="888"/>
      <c r="P428" s="888"/>
      <c r="Q428" s="888"/>
      <c r="R428" s="888"/>
    </row>
    <row r="429" spans="1:18" s="893" customFormat="1" x14ac:dyDescent="0.3">
      <c r="A429" s="888" t="s">
        <v>2062</v>
      </c>
      <c r="B429" s="888" t="s">
        <v>1094</v>
      </c>
      <c r="C429" s="888" t="s">
        <v>2103</v>
      </c>
      <c r="D429" s="888"/>
      <c r="E429" s="893" t="s">
        <v>1044</v>
      </c>
      <c r="I429" s="888"/>
      <c r="J429" s="888"/>
      <c r="K429" s="888"/>
      <c r="L429" s="888"/>
      <c r="M429" s="888"/>
      <c r="N429" s="888"/>
      <c r="O429" s="888"/>
      <c r="P429" s="888"/>
      <c r="Q429" s="888"/>
      <c r="R429" s="888"/>
    </row>
    <row r="430" spans="1:18" s="893" customFormat="1" x14ac:dyDescent="0.3">
      <c r="A430" s="888" t="s">
        <v>2062</v>
      </c>
      <c r="B430" s="888" t="s">
        <v>1094</v>
      </c>
      <c r="C430" s="888" t="s">
        <v>4215</v>
      </c>
      <c r="D430" s="888"/>
      <c r="E430" s="893" t="s">
        <v>1732</v>
      </c>
      <c r="I430" s="888"/>
      <c r="J430" s="888"/>
      <c r="K430" s="888"/>
      <c r="L430" s="888"/>
      <c r="M430" s="888"/>
      <c r="N430" s="888"/>
      <c r="O430" s="888"/>
      <c r="P430" s="888"/>
      <c r="Q430" s="888"/>
      <c r="R430" s="888"/>
    </row>
    <row r="431" spans="1:18" s="893" customFormat="1" x14ac:dyDescent="0.3">
      <c r="A431" s="888" t="s">
        <v>2062</v>
      </c>
      <c r="B431" s="888" t="s">
        <v>1094</v>
      </c>
      <c r="C431" s="888" t="s">
        <v>2492</v>
      </c>
      <c r="D431" s="888"/>
      <c r="E431" s="893" t="s">
        <v>1359</v>
      </c>
      <c r="I431" s="888"/>
      <c r="J431" s="888"/>
      <c r="K431" s="888"/>
      <c r="L431" s="888"/>
      <c r="M431" s="888"/>
      <c r="N431" s="888"/>
      <c r="O431" s="888"/>
      <c r="P431" s="888"/>
      <c r="Q431" s="888"/>
      <c r="R431" s="888"/>
    </row>
    <row r="432" spans="1:18" s="893" customFormat="1" x14ac:dyDescent="0.3">
      <c r="A432" s="888" t="s">
        <v>2062</v>
      </c>
      <c r="B432" s="888" t="s">
        <v>1094</v>
      </c>
      <c r="C432" s="888" t="s">
        <v>2240</v>
      </c>
      <c r="D432" s="888"/>
      <c r="E432" s="893" t="s">
        <v>54</v>
      </c>
      <c r="I432" s="888"/>
      <c r="J432" s="888"/>
      <c r="K432" s="888"/>
      <c r="L432" s="888"/>
      <c r="M432" s="888"/>
      <c r="N432" s="888"/>
      <c r="O432" s="888"/>
      <c r="P432" s="888"/>
      <c r="Q432" s="888"/>
      <c r="R432" s="888"/>
    </row>
    <row r="433" spans="1:18" s="893" customFormat="1" x14ac:dyDescent="0.3">
      <c r="A433" s="888" t="s">
        <v>2062</v>
      </c>
      <c r="B433" s="888" t="s">
        <v>1094</v>
      </c>
      <c r="C433" s="888" t="s">
        <v>2497</v>
      </c>
      <c r="D433" s="888"/>
      <c r="E433" s="893" t="str">
        <f>$E$325</f>
        <v>FRAMING SPACING:</v>
      </c>
      <c r="I433" s="888"/>
      <c r="J433" s="888"/>
      <c r="K433" s="888"/>
      <c r="L433" s="888"/>
      <c r="M433" s="888"/>
      <c r="N433" s="888"/>
      <c r="O433" s="888"/>
      <c r="P433" s="888"/>
      <c r="Q433" s="888"/>
      <c r="R433" s="888"/>
    </row>
    <row r="434" spans="1:18" s="893" customFormat="1" x14ac:dyDescent="0.3">
      <c r="A434" s="888" t="s">
        <v>2062</v>
      </c>
      <c r="B434" s="888" t="s">
        <v>1094</v>
      </c>
      <c r="C434" s="888" t="s">
        <v>7429</v>
      </c>
      <c r="D434" s="888"/>
      <c r="E434" s="893" t="str">
        <f>$E$419</f>
        <v>in. o/c</v>
      </c>
      <c r="I434" s="888"/>
      <c r="J434" s="888"/>
      <c r="K434" s="888"/>
      <c r="L434" s="888"/>
      <c r="M434" s="888"/>
      <c r="N434" s="888"/>
      <c r="O434" s="888"/>
      <c r="P434" s="888"/>
      <c r="Q434" s="888"/>
      <c r="R434" s="888"/>
    </row>
    <row r="435" spans="1:18" s="893" customFormat="1" x14ac:dyDescent="0.3">
      <c r="A435" s="888" t="s">
        <v>2062</v>
      </c>
      <c r="B435" s="888" t="s">
        <v>1094</v>
      </c>
      <c r="C435" s="888" t="s">
        <v>2143</v>
      </c>
      <c r="D435" s="888"/>
      <c r="E435" s="893" t="s">
        <v>1064</v>
      </c>
      <c r="I435" s="888"/>
      <c r="J435" s="888"/>
      <c r="K435" s="888"/>
      <c r="L435" s="888"/>
      <c r="M435" s="888"/>
      <c r="N435" s="888"/>
      <c r="O435" s="888"/>
      <c r="P435" s="888"/>
      <c r="Q435" s="888"/>
      <c r="R435" s="888"/>
    </row>
    <row r="436" spans="1:18" s="893" customFormat="1" x14ac:dyDescent="0.3">
      <c r="A436" s="888" t="s">
        <v>2062</v>
      </c>
      <c r="B436" s="888" t="s">
        <v>1094</v>
      </c>
      <c r="C436" s="888" t="s">
        <v>2144</v>
      </c>
      <c r="D436" s="888"/>
      <c r="E436" s="893" t="s">
        <v>57</v>
      </c>
      <c r="I436" s="888"/>
      <c r="J436" s="888"/>
      <c r="K436" s="888"/>
      <c r="L436" s="888"/>
      <c r="M436" s="888"/>
      <c r="N436" s="888"/>
      <c r="O436" s="888"/>
      <c r="P436" s="888"/>
      <c r="Q436" s="888"/>
      <c r="R436" s="888"/>
    </row>
    <row r="437" spans="1:18" s="893" customFormat="1" x14ac:dyDescent="0.3">
      <c r="A437" s="888" t="s">
        <v>2062</v>
      </c>
      <c r="B437" s="888" t="s">
        <v>1094</v>
      </c>
      <c r="C437" s="888" t="s">
        <v>2501</v>
      </c>
      <c r="D437" s="888"/>
      <c r="E437" s="893" t="s">
        <v>1043</v>
      </c>
      <c r="I437" s="888"/>
      <c r="J437" s="888"/>
      <c r="K437" s="888"/>
      <c r="L437" s="888"/>
      <c r="M437" s="888"/>
      <c r="N437" s="888"/>
      <c r="O437" s="888"/>
      <c r="P437" s="888"/>
      <c r="Q437" s="888"/>
      <c r="R437" s="888"/>
    </row>
    <row r="438" spans="1:18" s="893" customFormat="1" x14ac:dyDescent="0.3">
      <c r="A438" s="888" t="s">
        <v>2062</v>
      </c>
      <c r="B438" s="888" t="s">
        <v>1094</v>
      </c>
      <c r="C438" s="888" t="s">
        <v>2502</v>
      </c>
      <c r="D438" s="888"/>
      <c r="E438" s="893" t="s">
        <v>1366</v>
      </c>
      <c r="I438" s="888"/>
      <c r="J438" s="888"/>
      <c r="K438" s="888"/>
      <c r="L438" s="888"/>
      <c r="M438" s="888"/>
      <c r="N438" s="888"/>
      <c r="O438" s="888"/>
      <c r="P438" s="888"/>
      <c r="Q438" s="888"/>
      <c r="R438" s="888"/>
    </row>
    <row r="439" spans="1:18" s="893" customFormat="1" x14ac:dyDescent="0.3">
      <c r="A439" s="888" t="s">
        <v>2062</v>
      </c>
      <c r="B439" s="888" t="s">
        <v>1094</v>
      </c>
      <c r="C439" s="888" t="s">
        <v>4295</v>
      </c>
      <c r="D439" s="888"/>
      <c r="E439" s="893" t="s">
        <v>788</v>
      </c>
      <c r="I439" s="888"/>
      <c r="J439" s="888"/>
      <c r="K439" s="888"/>
      <c r="L439" s="888"/>
      <c r="M439" s="888"/>
      <c r="N439" s="888"/>
      <c r="O439" s="888"/>
      <c r="P439" s="888"/>
      <c r="Q439" s="888"/>
      <c r="R439" s="888"/>
    </row>
    <row r="440" spans="1:18" s="893" customFormat="1" x14ac:dyDescent="0.3">
      <c r="A440" s="888" t="s">
        <v>2062</v>
      </c>
      <c r="B440" s="888" t="s">
        <v>1094</v>
      </c>
      <c r="C440" s="888" t="s">
        <v>2317</v>
      </c>
      <c r="D440" s="888"/>
      <c r="E440" s="893" t="s">
        <v>1655</v>
      </c>
      <c r="I440" s="888"/>
      <c r="J440" s="888"/>
      <c r="K440" s="888"/>
      <c r="L440" s="888"/>
      <c r="M440" s="888"/>
      <c r="N440" s="888"/>
      <c r="O440" s="888"/>
      <c r="P440" s="888"/>
      <c r="Q440" s="888"/>
      <c r="R440" s="888"/>
    </row>
    <row r="441" spans="1:18" s="893" customFormat="1" x14ac:dyDescent="0.3">
      <c r="A441" s="888" t="s">
        <v>2062</v>
      </c>
      <c r="B441" s="888" t="s">
        <v>1094</v>
      </c>
      <c r="C441" s="888" t="s">
        <v>2116</v>
      </c>
      <c r="D441" s="888"/>
      <c r="E441" s="893" t="s">
        <v>1729</v>
      </c>
      <c r="I441" s="888"/>
      <c r="J441" s="888"/>
      <c r="K441" s="888"/>
      <c r="L441" s="888"/>
      <c r="M441" s="888"/>
      <c r="N441" s="888"/>
      <c r="O441" s="888"/>
      <c r="P441" s="888"/>
      <c r="Q441" s="888"/>
      <c r="R441" s="888"/>
    </row>
    <row r="442" spans="1:18" s="893" customFormat="1" x14ac:dyDescent="0.3">
      <c r="A442" s="888" t="s">
        <v>2062</v>
      </c>
      <c r="B442" s="888" t="s">
        <v>1094</v>
      </c>
      <c r="C442" s="888" t="s">
        <v>2509</v>
      </c>
      <c r="D442" s="888"/>
      <c r="E442" s="893" t="s">
        <v>1730</v>
      </c>
      <c r="I442" s="888"/>
      <c r="J442" s="888"/>
      <c r="K442" s="888"/>
      <c r="L442" s="888"/>
      <c r="M442" s="888"/>
      <c r="N442" s="888"/>
      <c r="O442" s="888"/>
      <c r="P442" s="888"/>
      <c r="Q442" s="888"/>
      <c r="R442" s="888"/>
    </row>
    <row r="443" spans="1:18" s="893" customFormat="1" x14ac:dyDescent="0.3">
      <c r="A443" s="888" t="s">
        <v>2062</v>
      </c>
      <c r="B443" s="888" t="s">
        <v>1094</v>
      </c>
      <c r="C443" s="888" t="s">
        <v>4297</v>
      </c>
      <c r="D443" s="888"/>
      <c r="E443" s="893" t="s">
        <v>1728</v>
      </c>
      <c r="I443" s="888"/>
      <c r="J443" s="888"/>
      <c r="K443" s="888"/>
      <c r="L443" s="888"/>
      <c r="M443" s="888"/>
      <c r="N443" s="888"/>
      <c r="O443" s="888"/>
      <c r="P443" s="888"/>
      <c r="Q443" s="888"/>
      <c r="R443" s="888"/>
    </row>
    <row r="444" spans="1:18" s="893" customFormat="1" x14ac:dyDescent="0.3">
      <c r="A444" s="888" t="s">
        <v>2062</v>
      </c>
      <c r="B444" s="888" t="s">
        <v>1094</v>
      </c>
      <c r="C444" s="888" t="s">
        <v>3983</v>
      </c>
      <c r="D444" s="888"/>
      <c r="E444" s="893" t="s">
        <v>1678</v>
      </c>
      <c r="I444" s="888"/>
      <c r="J444" s="888"/>
      <c r="K444" s="888"/>
      <c r="L444" s="888"/>
      <c r="M444" s="888"/>
      <c r="N444" s="888"/>
      <c r="O444" s="888"/>
      <c r="P444" s="888"/>
      <c r="Q444" s="888"/>
      <c r="R444" s="888"/>
    </row>
    <row r="445" spans="1:18" s="893" customFormat="1" x14ac:dyDescent="0.3">
      <c r="A445" s="888" t="s">
        <v>2062</v>
      </c>
      <c r="B445" s="888" t="s">
        <v>1094</v>
      </c>
      <c r="C445" s="888" t="s">
        <v>2513</v>
      </c>
      <c r="D445" s="888"/>
      <c r="E445" s="893" t="s">
        <v>1651</v>
      </c>
      <c r="I445" s="888"/>
      <c r="J445" s="888"/>
      <c r="K445" s="888"/>
      <c r="L445" s="888"/>
      <c r="M445" s="888"/>
      <c r="N445" s="888"/>
      <c r="O445" s="888"/>
      <c r="P445" s="888"/>
      <c r="Q445" s="888"/>
      <c r="R445" s="888"/>
    </row>
    <row r="446" spans="1:18" s="893" customFormat="1" x14ac:dyDescent="0.3">
      <c r="A446" s="888" t="s">
        <v>2062</v>
      </c>
      <c r="B446" s="888" t="s">
        <v>1094</v>
      </c>
      <c r="C446" s="888" t="s">
        <v>2173</v>
      </c>
      <c r="D446" s="888"/>
      <c r="E446" s="893" t="str">
        <f>$E$193</f>
        <v>CONCRETE – 25 MPa or less</v>
      </c>
      <c r="I446" s="888"/>
      <c r="J446" s="888"/>
      <c r="K446" s="888"/>
      <c r="L446" s="888"/>
      <c r="M446" s="888"/>
      <c r="N446" s="888"/>
      <c r="O446" s="888"/>
      <c r="P446" s="888"/>
      <c r="Q446" s="888"/>
      <c r="R446" s="888"/>
    </row>
    <row r="447" spans="1:18" s="893" customFormat="1" x14ac:dyDescent="0.3">
      <c r="A447" s="888" t="s">
        <v>2062</v>
      </c>
      <c r="B447" s="888" t="s">
        <v>1094</v>
      </c>
      <c r="C447" s="888" t="s">
        <v>4298</v>
      </c>
      <c r="D447" s="888"/>
      <c r="E447" s="893" t="s">
        <v>1731</v>
      </c>
      <c r="I447" s="888"/>
      <c r="J447" s="888"/>
      <c r="K447" s="888"/>
      <c r="L447" s="888"/>
      <c r="M447" s="888"/>
      <c r="N447" s="888"/>
      <c r="O447" s="888"/>
      <c r="P447" s="888"/>
      <c r="Q447" s="888"/>
      <c r="R447" s="888"/>
    </row>
    <row r="448" spans="1:18" s="893" customFormat="1" x14ac:dyDescent="0.3">
      <c r="A448" s="888" t="s">
        <v>2062</v>
      </c>
      <c r="B448" s="888" t="s">
        <v>1094</v>
      </c>
      <c r="C448" s="888" t="s">
        <v>2283</v>
      </c>
      <c r="D448" s="888"/>
      <c r="E448" s="893" t="str">
        <f>$E$195</f>
        <v>CONCRETE – 26-30 MPa</v>
      </c>
      <c r="I448" s="888"/>
      <c r="J448" s="888"/>
      <c r="K448" s="888"/>
      <c r="L448" s="888"/>
      <c r="M448" s="888"/>
      <c r="N448" s="888"/>
      <c r="O448" s="888"/>
      <c r="P448" s="888"/>
      <c r="Q448" s="888"/>
      <c r="R448" s="888"/>
    </row>
    <row r="449" spans="1:18" s="893" customFormat="1" x14ac:dyDescent="0.3">
      <c r="A449" s="888" t="s">
        <v>2062</v>
      </c>
      <c r="B449" s="888" t="s">
        <v>1094</v>
      </c>
      <c r="C449" s="888" t="s">
        <v>4341</v>
      </c>
      <c r="D449" s="888"/>
      <c r="E449" s="893" t="str">
        <f>$E$447</f>
        <v>Calculate the total concrete fill volume required for the CMU Wall area entered above.</v>
      </c>
      <c r="I449" s="888"/>
      <c r="J449" s="888"/>
      <c r="K449" s="888"/>
      <c r="L449" s="888"/>
      <c r="M449" s="888"/>
      <c r="N449" s="888"/>
      <c r="O449" s="888"/>
      <c r="P449" s="888"/>
      <c r="Q449" s="888"/>
      <c r="R449" s="888"/>
    </row>
    <row r="450" spans="1:18" s="893" customFormat="1" x14ac:dyDescent="0.3">
      <c r="A450" s="888" t="s">
        <v>2062</v>
      </c>
      <c r="B450" s="888" t="s">
        <v>1094</v>
      </c>
      <c r="C450" s="888" t="s">
        <v>3987</v>
      </c>
      <c r="D450" s="888"/>
      <c r="E450" s="893" t="s">
        <v>55</v>
      </c>
      <c r="I450" s="888"/>
      <c r="J450" s="888"/>
      <c r="K450" s="888"/>
      <c r="L450" s="888"/>
      <c r="M450" s="888"/>
      <c r="N450" s="888"/>
      <c r="O450" s="888"/>
      <c r="P450" s="888"/>
      <c r="Q450" s="888"/>
      <c r="R450" s="888"/>
    </row>
    <row r="451" spans="1:18" s="893" customFormat="1" x14ac:dyDescent="0.3">
      <c r="A451" s="888" t="s">
        <v>2062</v>
      </c>
      <c r="B451" s="888" t="s">
        <v>1094</v>
      </c>
      <c r="C451" s="888" t="s">
        <v>2273</v>
      </c>
      <c r="D451" s="888"/>
      <c r="E451" s="893" t="s">
        <v>978</v>
      </c>
      <c r="I451" s="888"/>
      <c r="J451" s="888"/>
      <c r="K451" s="888"/>
      <c r="L451" s="888"/>
      <c r="M451" s="888"/>
      <c r="N451" s="888"/>
      <c r="O451" s="888"/>
      <c r="P451" s="888"/>
      <c r="Q451" s="888"/>
      <c r="R451" s="888"/>
    </row>
    <row r="452" spans="1:18" s="893" customFormat="1" x14ac:dyDescent="0.3">
      <c r="A452" s="888" t="s">
        <v>2062</v>
      </c>
      <c r="B452" s="888" t="s">
        <v>1094</v>
      </c>
      <c r="C452" s="888" t="s">
        <v>2250</v>
      </c>
      <c r="D452" s="888"/>
      <c r="E452" s="893" t="s">
        <v>4778</v>
      </c>
      <c r="I452" s="888"/>
      <c r="J452" s="888"/>
      <c r="K452" s="888"/>
      <c r="L452" s="888"/>
      <c r="M452" s="888"/>
      <c r="N452" s="888"/>
      <c r="O452" s="888"/>
      <c r="P452" s="888"/>
      <c r="Q452" s="888"/>
      <c r="R452" s="888"/>
    </row>
    <row r="453" spans="1:18" s="893" customFormat="1" x14ac:dyDescent="0.3">
      <c r="A453" s="888" t="s">
        <v>2062</v>
      </c>
      <c r="B453" s="888" t="s">
        <v>1094</v>
      </c>
      <c r="C453" s="888" t="s">
        <v>2183</v>
      </c>
      <c r="D453" s="888"/>
      <c r="E453" s="893" t="s">
        <v>979</v>
      </c>
      <c r="I453" s="888"/>
      <c r="J453" s="888"/>
      <c r="K453" s="888"/>
      <c r="L453" s="888"/>
      <c r="M453" s="888"/>
      <c r="N453" s="888"/>
      <c r="O453" s="888"/>
      <c r="P453" s="888"/>
      <c r="Q453" s="888"/>
      <c r="R453" s="888"/>
    </row>
    <row r="454" spans="1:18" s="893" customFormat="1" x14ac:dyDescent="0.3">
      <c r="A454" s="888" t="s">
        <v>2062</v>
      </c>
      <c r="B454" s="888" t="s">
        <v>1094</v>
      </c>
      <c r="C454" s="888" t="s">
        <v>2187</v>
      </c>
      <c r="D454" s="888"/>
      <c r="E454" s="893" t="s">
        <v>980</v>
      </c>
      <c r="I454" s="888"/>
      <c r="J454" s="888"/>
      <c r="K454" s="888"/>
      <c r="L454" s="888"/>
      <c r="M454" s="888"/>
      <c r="N454" s="888"/>
      <c r="O454" s="888"/>
      <c r="P454" s="888"/>
      <c r="Q454" s="888"/>
      <c r="R454" s="888"/>
    </row>
    <row r="455" spans="1:18" s="893" customFormat="1" x14ac:dyDescent="0.3">
      <c r="A455" s="888" t="s">
        <v>2062</v>
      </c>
      <c r="B455" s="888" t="s">
        <v>1094</v>
      </c>
      <c r="C455" s="888" t="s">
        <v>2255</v>
      </c>
      <c r="D455" s="888"/>
      <c r="E455" s="893" t="s">
        <v>1647</v>
      </c>
      <c r="I455" s="888"/>
      <c r="J455" s="888"/>
      <c r="K455" s="888"/>
      <c r="L455" s="888"/>
      <c r="M455" s="888"/>
      <c r="N455" s="888"/>
      <c r="O455" s="888"/>
      <c r="P455" s="888"/>
      <c r="Q455" s="888"/>
      <c r="R455" s="888"/>
    </row>
    <row r="456" spans="1:18" s="893" customFormat="1" x14ac:dyDescent="0.3">
      <c r="A456" s="888" t="s">
        <v>2062</v>
      </c>
      <c r="B456" s="888" t="s">
        <v>1094</v>
      </c>
      <c r="C456" s="888" t="s">
        <v>4504</v>
      </c>
      <c r="D456" s="888"/>
      <c r="E456" s="893" t="s">
        <v>4591</v>
      </c>
      <c r="I456" s="888"/>
      <c r="J456" s="888"/>
      <c r="K456" s="888"/>
      <c r="L456" s="888"/>
      <c r="M456" s="888"/>
      <c r="N456" s="888"/>
      <c r="O456" s="888"/>
      <c r="P456" s="888"/>
      <c r="Q456" s="888"/>
      <c r="R456" s="888"/>
    </row>
    <row r="457" spans="1:18" s="893" customFormat="1" x14ac:dyDescent="0.3">
      <c r="A457" s="888" t="s">
        <v>2062</v>
      </c>
      <c r="B457" s="888" t="s">
        <v>1094</v>
      </c>
      <c r="C457" s="888" t="s">
        <v>2221</v>
      </c>
      <c r="D457" s="888"/>
      <c r="E457" s="893" t="s">
        <v>4768</v>
      </c>
      <c r="I457" s="888"/>
      <c r="J457" s="888"/>
      <c r="K457" s="888"/>
      <c r="L457" s="888"/>
      <c r="M457" s="888"/>
      <c r="N457" s="888"/>
      <c r="O457" s="888"/>
      <c r="P457" s="888"/>
      <c r="Q457" s="888"/>
      <c r="R457" s="888"/>
    </row>
    <row r="458" spans="1:18" s="893" customFormat="1" x14ac:dyDescent="0.3">
      <c r="A458" s="888" t="s">
        <v>2062</v>
      </c>
      <c r="B458" s="888" t="s">
        <v>1094</v>
      </c>
      <c r="C458" s="888" t="s">
        <v>2222</v>
      </c>
      <c r="D458" s="888"/>
      <c r="E458" s="893" t="s">
        <v>4771</v>
      </c>
      <c r="I458" s="888"/>
      <c r="J458" s="888"/>
      <c r="K458" s="888"/>
      <c r="L458" s="888"/>
      <c r="M458" s="888"/>
      <c r="N458" s="888"/>
      <c r="O458" s="888"/>
      <c r="P458" s="888"/>
      <c r="Q458" s="888"/>
      <c r="R458" s="888"/>
    </row>
    <row r="459" spans="1:18" s="893" customFormat="1" x14ac:dyDescent="0.3">
      <c r="A459" s="888" t="s">
        <v>2062</v>
      </c>
      <c r="B459" s="888" t="s">
        <v>1094</v>
      </c>
      <c r="C459" s="888" t="s">
        <v>2190</v>
      </c>
      <c r="D459" s="888"/>
      <c r="E459" s="893" t="s">
        <v>4769</v>
      </c>
      <c r="I459" s="888"/>
      <c r="J459" s="888"/>
      <c r="K459" s="888"/>
      <c r="L459" s="888"/>
      <c r="M459" s="888"/>
      <c r="N459" s="888"/>
      <c r="O459" s="888"/>
      <c r="P459" s="888"/>
      <c r="Q459" s="888"/>
      <c r="R459" s="888"/>
    </row>
    <row r="460" spans="1:18" s="893" customFormat="1" x14ac:dyDescent="0.3">
      <c r="A460" s="888" t="s">
        <v>2062</v>
      </c>
      <c r="B460" s="888" t="s">
        <v>1094</v>
      </c>
      <c r="C460" s="888" t="s">
        <v>7430</v>
      </c>
      <c r="D460" s="888"/>
      <c r="E460" s="893" t="s">
        <v>4772</v>
      </c>
      <c r="I460" s="888"/>
      <c r="J460" s="888"/>
      <c r="K460" s="888"/>
      <c r="L460" s="888"/>
      <c r="M460" s="888"/>
      <c r="N460" s="888"/>
      <c r="O460" s="888"/>
      <c r="P460" s="888"/>
      <c r="Q460" s="888"/>
      <c r="R460" s="888"/>
    </row>
    <row r="461" spans="1:18" s="893" customFormat="1" x14ac:dyDescent="0.3">
      <c r="A461" s="888" t="s">
        <v>2062</v>
      </c>
      <c r="B461" s="888" t="s">
        <v>1094</v>
      </c>
      <c r="C461" s="888" t="s">
        <v>2331</v>
      </c>
      <c r="D461" s="888"/>
      <c r="E461" s="893" t="s">
        <v>4770</v>
      </c>
      <c r="I461" s="888"/>
      <c r="J461" s="888"/>
      <c r="K461" s="888"/>
      <c r="L461" s="888"/>
      <c r="M461" s="888"/>
      <c r="N461" s="888"/>
      <c r="O461" s="888"/>
      <c r="P461" s="888"/>
      <c r="Q461" s="888"/>
      <c r="R461" s="888"/>
    </row>
    <row r="462" spans="1:18" s="893" customFormat="1" x14ac:dyDescent="0.3">
      <c r="A462" s="888" t="s">
        <v>2062</v>
      </c>
      <c r="B462" s="888" t="s">
        <v>1094</v>
      </c>
      <c r="C462" s="888" t="s">
        <v>2584</v>
      </c>
      <c r="D462" s="888"/>
      <c r="E462" s="893" t="s">
        <v>4773</v>
      </c>
      <c r="I462" s="888"/>
      <c r="J462" s="888"/>
      <c r="K462" s="888"/>
      <c r="L462" s="888"/>
      <c r="M462" s="888"/>
      <c r="N462" s="888"/>
      <c r="O462" s="888"/>
      <c r="P462" s="888"/>
      <c r="Q462" s="888"/>
      <c r="R462" s="888"/>
    </row>
    <row r="463" spans="1:18" s="893" customFormat="1" x14ac:dyDescent="0.3">
      <c r="A463" s="888" t="s">
        <v>2062</v>
      </c>
      <c r="B463" s="888" t="s">
        <v>1094</v>
      </c>
      <c r="C463" s="925" t="s">
        <v>2591</v>
      </c>
      <c r="D463" s="888"/>
      <c r="E463" s="926" t="str">
        <f>$E$234</f>
        <v>LIQUID APPLIED BARRIER</v>
      </c>
      <c r="I463" s="888"/>
      <c r="J463" s="888"/>
      <c r="K463" s="888"/>
      <c r="L463" s="888"/>
      <c r="M463" s="888"/>
      <c r="N463" s="888"/>
      <c r="O463" s="888"/>
      <c r="P463" s="888"/>
      <c r="Q463" s="888"/>
      <c r="R463" s="888"/>
    </row>
    <row r="464" spans="1:18" s="893" customFormat="1" x14ac:dyDescent="0.3">
      <c r="A464" s="888" t="s">
        <v>2062</v>
      </c>
      <c r="B464" s="888" t="s">
        <v>1094</v>
      </c>
      <c r="C464" s="925" t="s">
        <v>2596</v>
      </c>
      <c r="D464" s="888"/>
      <c r="E464" s="926" t="str">
        <f>$E$357</f>
        <v>Liquid applied barrier - AVERAGE</v>
      </c>
      <c r="I464" s="888"/>
      <c r="J464" s="888"/>
      <c r="K464" s="888"/>
      <c r="L464" s="888"/>
      <c r="M464" s="888"/>
      <c r="N464" s="888"/>
      <c r="O464" s="888"/>
      <c r="P464" s="888"/>
      <c r="Q464" s="888"/>
      <c r="R464" s="888"/>
    </row>
    <row r="465" spans="1:18" s="893" customFormat="1" x14ac:dyDescent="0.3">
      <c r="A465" s="888" t="s">
        <v>2062</v>
      </c>
      <c r="B465" s="888" t="s">
        <v>1094</v>
      </c>
      <c r="C465" s="925" t="s">
        <v>7431</v>
      </c>
      <c r="D465" s="888"/>
      <c r="E465" s="926" t="str">
        <f>$E$358</f>
        <v>SELF-ADHERED BARRIER</v>
      </c>
      <c r="I465" s="888"/>
      <c r="J465" s="888"/>
      <c r="K465" s="888"/>
      <c r="L465" s="888"/>
      <c r="M465" s="888"/>
      <c r="N465" s="888"/>
      <c r="O465" s="888"/>
      <c r="P465" s="888"/>
      <c r="Q465" s="888"/>
      <c r="R465" s="888"/>
    </row>
    <row r="466" spans="1:18" s="893" customFormat="1" x14ac:dyDescent="0.3">
      <c r="A466" s="888" t="s">
        <v>2062</v>
      </c>
      <c r="B466" s="888" t="s">
        <v>1094</v>
      </c>
      <c r="C466" s="925" t="s">
        <v>2334</v>
      </c>
      <c r="D466" s="888"/>
      <c r="E466" s="926" t="str">
        <f>$E$359</f>
        <v>Self-adhered barrier - AVERAGE</v>
      </c>
      <c r="I466" s="888"/>
      <c r="J466" s="888"/>
      <c r="K466" s="888"/>
      <c r="L466" s="888"/>
      <c r="M466" s="888"/>
      <c r="N466" s="888"/>
      <c r="O466" s="888"/>
      <c r="P466" s="888"/>
      <c r="Q466" s="888"/>
      <c r="R466" s="888"/>
    </row>
    <row r="467" spans="1:18" s="893" customFormat="1" x14ac:dyDescent="0.3">
      <c r="A467" s="888" t="s">
        <v>2062</v>
      </c>
      <c r="B467" s="888" t="s">
        <v>1094</v>
      </c>
      <c r="C467" s="888" t="s">
        <v>4583</v>
      </c>
      <c r="D467" s="888"/>
      <c r="E467" s="893" t="str">
        <f>$E$337</f>
        <v>CAVITY INSULATION</v>
      </c>
      <c r="I467" s="888"/>
      <c r="J467" s="888"/>
      <c r="K467" s="888"/>
      <c r="L467" s="888"/>
      <c r="M467" s="888"/>
      <c r="N467" s="888"/>
      <c r="O467" s="888"/>
      <c r="P467" s="888"/>
      <c r="Q467" s="888"/>
      <c r="R467" s="888"/>
    </row>
    <row r="468" spans="1:18" s="893" customFormat="1" x14ac:dyDescent="0.3">
      <c r="A468" s="888" t="s">
        <v>2062</v>
      </c>
      <c r="B468" s="888" t="s">
        <v>1094</v>
      </c>
      <c r="C468" s="888" t="s">
        <v>7432</v>
      </c>
      <c r="D468" s="888"/>
      <c r="E468" s="893" t="str">
        <f>$E$339</f>
        <v>FIBERGLASS BATT</v>
      </c>
      <c r="I468" s="888"/>
      <c r="J468" s="888"/>
      <c r="K468" s="888"/>
      <c r="L468" s="888"/>
      <c r="M468" s="888"/>
      <c r="N468" s="888"/>
      <c r="O468" s="888"/>
      <c r="P468" s="888"/>
      <c r="Q468" s="888"/>
      <c r="R468" s="888"/>
    </row>
    <row r="469" spans="1:18" s="893" customFormat="1" x14ac:dyDescent="0.3">
      <c r="A469" s="888" t="s">
        <v>2062</v>
      </c>
      <c r="B469" s="888" t="s">
        <v>1094</v>
      </c>
      <c r="C469" s="888" t="s">
        <v>7433</v>
      </c>
      <c r="D469" s="888"/>
      <c r="E469" s="893" t="s">
        <v>1360</v>
      </c>
      <c r="I469" s="888"/>
      <c r="J469" s="888"/>
      <c r="K469" s="888"/>
      <c r="L469" s="888"/>
      <c r="M469" s="888"/>
      <c r="N469" s="888"/>
      <c r="O469" s="888"/>
      <c r="P469" s="888"/>
      <c r="Q469" s="888"/>
      <c r="R469" s="888"/>
    </row>
    <row r="470" spans="1:18" s="893" customFormat="1" x14ac:dyDescent="0.3">
      <c r="A470" s="888" t="s">
        <v>2062</v>
      </c>
      <c r="B470" s="888" t="s">
        <v>1094</v>
      </c>
      <c r="C470" s="888" t="s">
        <v>2632</v>
      </c>
      <c r="D470" s="888"/>
      <c r="E470" s="917" t="str">
        <f>$E$347</f>
        <v>FIBERGLASS BLOWN-IN</v>
      </c>
      <c r="I470" s="888"/>
      <c r="J470" s="888"/>
      <c r="K470" s="888"/>
      <c r="L470" s="888"/>
      <c r="M470" s="888"/>
      <c r="N470" s="888"/>
      <c r="O470" s="888"/>
      <c r="P470" s="888"/>
      <c r="Q470" s="888"/>
      <c r="R470" s="888"/>
    </row>
    <row r="471" spans="1:18" s="893" customFormat="1" x14ac:dyDescent="0.3">
      <c r="A471" s="888" t="s">
        <v>2062</v>
      </c>
      <c r="B471" s="888" t="s">
        <v>1094</v>
      </c>
      <c r="C471" s="888" t="s">
        <v>2637</v>
      </c>
      <c r="D471" s="888"/>
      <c r="E471" s="917" t="str">
        <f>$E$348</f>
        <v>Fiberglass loose fill - AVERAGE</v>
      </c>
      <c r="I471" s="888"/>
      <c r="J471" s="888"/>
      <c r="K471" s="888"/>
      <c r="L471" s="888"/>
      <c r="M471" s="888"/>
      <c r="N471" s="888"/>
      <c r="O471" s="888"/>
      <c r="P471" s="888"/>
      <c r="Q471" s="888"/>
      <c r="R471" s="888"/>
    </row>
    <row r="472" spans="1:18" s="893" customFormat="1" x14ac:dyDescent="0.3">
      <c r="A472" s="888" t="s">
        <v>2062</v>
      </c>
      <c r="B472" s="888" t="s">
        <v>1094</v>
      </c>
      <c r="C472" s="888" t="s">
        <v>2646</v>
      </c>
      <c r="D472" s="888"/>
      <c r="E472" s="893" t="str">
        <f>$E$343</f>
        <v>MINERAL WOOL BATT</v>
      </c>
      <c r="I472" s="888"/>
      <c r="J472" s="888"/>
      <c r="K472" s="888"/>
      <c r="L472" s="888"/>
      <c r="M472" s="888"/>
      <c r="N472" s="888"/>
      <c r="O472" s="888"/>
      <c r="P472" s="888"/>
      <c r="Q472" s="888"/>
      <c r="R472" s="888"/>
    </row>
    <row r="473" spans="1:18" s="893" customFormat="1" x14ac:dyDescent="0.3">
      <c r="A473" s="888" t="s">
        <v>2062</v>
      </c>
      <c r="B473" s="888" t="s">
        <v>1094</v>
      </c>
      <c r="C473" s="925" t="s">
        <v>2657</v>
      </c>
      <c r="D473" s="888"/>
      <c r="E473" s="927" t="s">
        <v>3437</v>
      </c>
      <c r="F473" s="926"/>
      <c r="I473" s="888"/>
      <c r="J473" s="888"/>
      <c r="K473" s="888"/>
      <c r="L473" s="888"/>
      <c r="M473" s="888"/>
      <c r="N473" s="888"/>
      <c r="O473" s="888"/>
      <c r="P473" s="888"/>
      <c r="Q473" s="888"/>
      <c r="R473" s="888"/>
    </row>
    <row r="474" spans="1:18" s="893" customFormat="1" x14ac:dyDescent="0.3">
      <c r="A474" s="888" t="s">
        <v>2062</v>
      </c>
      <c r="B474" s="888" t="s">
        <v>1094</v>
      </c>
      <c r="C474" s="888" t="s">
        <v>2340</v>
      </c>
      <c r="D474" s="888"/>
      <c r="E474" s="893" t="str">
        <f>$E$341</f>
        <v>CELLULOSE INSULATION</v>
      </c>
      <c r="I474" s="888"/>
      <c r="J474" s="888"/>
      <c r="K474" s="888"/>
      <c r="L474" s="888"/>
      <c r="M474" s="888"/>
      <c r="N474" s="888"/>
      <c r="O474" s="888"/>
      <c r="P474" s="888"/>
      <c r="Q474" s="888"/>
      <c r="R474" s="888"/>
    </row>
    <row r="475" spans="1:18" s="893" customFormat="1" x14ac:dyDescent="0.3">
      <c r="A475" s="888" t="s">
        <v>2062</v>
      </c>
      <c r="B475" s="888" t="s">
        <v>1094</v>
      </c>
      <c r="C475" s="888" t="s">
        <v>7434</v>
      </c>
      <c r="D475" s="888"/>
      <c r="E475" s="893" t="s">
        <v>1362</v>
      </c>
      <c r="I475" s="888"/>
      <c r="J475" s="888"/>
      <c r="K475" s="888"/>
      <c r="L475" s="888"/>
      <c r="M475" s="888"/>
      <c r="N475" s="888"/>
      <c r="O475" s="888"/>
      <c r="P475" s="888"/>
      <c r="Q475" s="888"/>
      <c r="R475" s="888"/>
    </row>
    <row r="476" spans="1:18" s="893" customFormat="1" x14ac:dyDescent="0.3">
      <c r="A476" s="888" t="s">
        <v>2062</v>
      </c>
      <c r="B476" s="888" t="s">
        <v>1094</v>
      </c>
      <c r="C476" s="888" t="s">
        <v>2665</v>
      </c>
      <c r="D476" s="888"/>
      <c r="E476" s="893" t="str">
        <f>$E$345</f>
        <v>WOOD FIBER BATT</v>
      </c>
      <c r="I476" s="888"/>
      <c r="J476" s="888"/>
      <c r="K476" s="888"/>
      <c r="L476" s="888"/>
      <c r="M476" s="888"/>
      <c r="N476" s="888"/>
      <c r="O476" s="888"/>
      <c r="P476" s="888"/>
      <c r="Q476" s="888"/>
      <c r="R476" s="888"/>
    </row>
    <row r="477" spans="1:18" s="893" customFormat="1" x14ac:dyDescent="0.3">
      <c r="A477" s="888" t="s">
        <v>2062</v>
      </c>
      <c r="B477" s="888" t="s">
        <v>1094</v>
      </c>
      <c r="C477" s="888" t="s">
        <v>5059</v>
      </c>
      <c r="D477" s="888"/>
      <c r="E477" s="893" t="s">
        <v>1363</v>
      </c>
      <c r="I477" s="888"/>
      <c r="J477" s="888"/>
      <c r="K477" s="888"/>
      <c r="L477" s="888"/>
      <c r="M477" s="888"/>
      <c r="N477" s="888"/>
      <c r="O477" s="888"/>
      <c r="P477" s="888"/>
      <c r="Q477" s="888"/>
      <c r="R477" s="888"/>
    </row>
    <row r="478" spans="1:18" s="893" customFormat="1" x14ac:dyDescent="0.3">
      <c r="A478" s="888" t="s">
        <v>2062</v>
      </c>
      <c r="B478" s="888" t="s">
        <v>1094</v>
      </c>
      <c r="C478" s="888" t="s">
        <v>2666</v>
      </c>
      <c r="D478" s="888"/>
      <c r="E478" s="893" t="s">
        <v>56</v>
      </c>
      <c r="I478" s="888"/>
      <c r="J478" s="888"/>
      <c r="K478" s="888"/>
      <c r="L478" s="888"/>
      <c r="M478" s="888"/>
      <c r="N478" s="888"/>
      <c r="O478" s="888"/>
      <c r="P478" s="888"/>
      <c r="Q478" s="888"/>
      <c r="R478" s="888"/>
    </row>
    <row r="479" spans="1:18" s="893" customFormat="1" x14ac:dyDescent="0.3">
      <c r="A479" s="888" t="s">
        <v>2062</v>
      </c>
      <c r="B479" s="888" t="s">
        <v>1094</v>
      </c>
      <c r="C479" s="888" t="s">
        <v>2672</v>
      </c>
      <c r="D479" s="888"/>
      <c r="E479" s="913" t="s">
        <v>3428</v>
      </c>
      <c r="I479" s="888"/>
      <c r="J479" s="888"/>
      <c r="K479" s="888"/>
      <c r="L479" s="888"/>
      <c r="M479" s="888"/>
      <c r="N479" s="888"/>
      <c r="O479" s="888"/>
      <c r="P479" s="888"/>
      <c r="Q479" s="888"/>
      <c r="R479" s="888"/>
    </row>
    <row r="480" spans="1:18" s="893" customFormat="1" x14ac:dyDescent="0.3">
      <c r="A480" s="888" t="s">
        <v>2062</v>
      </c>
      <c r="B480" s="888" t="s">
        <v>1094</v>
      </c>
      <c r="C480" s="888" t="s">
        <v>7435</v>
      </c>
      <c r="D480" s="888"/>
      <c r="E480" s="913" t="s">
        <v>3429</v>
      </c>
      <c r="I480" s="888"/>
      <c r="J480" s="888"/>
      <c r="K480" s="888"/>
      <c r="L480" s="888"/>
      <c r="M480" s="888"/>
      <c r="N480" s="888"/>
      <c r="O480" s="888"/>
      <c r="P480" s="888"/>
      <c r="Q480" s="888"/>
      <c r="R480" s="888"/>
    </row>
    <row r="481" spans="1:18" s="893" customFormat="1" x14ac:dyDescent="0.3">
      <c r="A481" s="888" t="s">
        <v>2062</v>
      </c>
      <c r="B481" s="888" t="s">
        <v>1094</v>
      </c>
      <c r="C481" s="888" t="s">
        <v>2676</v>
      </c>
      <c r="D481" s="888"/>
      <c r="E481" s="893" t="s">
        <v>1042</v>
      </c>
      <c r="I481" s="888"/>
      <c r="J481" s="888"/>
      <c r="K481" s="888"/>
      <c r="L481" s="888"/>
      <c r="M481" s="888"/>
      <c r="N481" s="888"/>
      <c r="O481" s="888"/>
      <c r="P481" s="888"/>
      <c r="Q481" s="888"/>
      <c r="R481" s="888"/>
    </row>
    <row r="482" spans="1:18" s="893" customFormat="1" x14ac:dyDescent="0.3">
      <c r="A482" s="888" t="s">
        <v>2062</v>
      </c>
      <c r="B482" s="888" t="s">
        <v>1094</v>
      </c>
      <c r="C482" s="888" t="s">
        <v>2679</v>
      </c>
      <c r="D482" s="888"/>
      <c r="E482" s="893" t="s">
        <v>1364</v>
      </c>
      <c r="I482" s="888"/>
      <c r="J482" s="888"/>
      <c r="K482" s="888"/>
      <c r="L482" s="888"/>
      <c r="M482" s="888"/>
      <c r="N482" s="888"/>
      <c r="O482" s="888"/>
      <c r="P482" s="888"/>
      <c r="Q482" s="888"/>
      <c r="R482" s="888"/>
    </row>
    <row r="483" spans="1:18" s="893" customFormat="1" x14ac:dyDescent="0.3">
      <c r="A483" s="888" t="s">
        <v>2062</v>
      </c>
      <c r="B483" s="888" t="s">
        <v>1094</v>
      </c>
      <c r="C483" s="888" t="s">
        <v>4892</v>
      </c>
      <c r="D483" s="888"/>
      <c r="E483" s="893" t="s">
        <v>924</v>
      </c>
      <c r="I483" s="888"/>
      <c r="J483" s="888"/>
      <c r="K483" s="888"/>
      <c r="L483" s="888"/>
      <c r="M483" s="888"/>
      <c r="N483" s="888"/>
      <c r="O483" s="888"/>
      <c r="P483" s="888"/>
      <c r="Q483" s="888"/>
      <c r="R483" s="888"/>
    </row>
    <row r="484" spans="1:18" s="893" customFormat="1" x14ac:dyDescent="0.3">
      <c r="A484" s="888" t="s">
        <v>2062</v>
      </c>
      <c r="B484" s="888" t="s">
        <v>1094</v>
      </c>
      <c r="C484" s="888" t="s">
        <v>2686</v>
      </c>
      <c r="D484" s="888"/>
      <c r="E484" s="893" t="str">
        <f>$E$221</f>
        <v>EPS FOAM BOARD</v>
      </c>
      <c r="I484" s="888"/>
      <c r="J484" s="888"/>
      <c r="K484" s="888"/>
      <c r="L484" s="888"/>
      <c r="M484" s="888"/>
      <c r="N484" s="888"/>
      <c r="O484" s="888"/>
      <c r="P484" s="888"/>
      <c r="Q484" s="888"/>
      <c r="R484" s="888"/>
    </row>
    <row r="485" spans="1:18" s="893" customFormat="1" x14ac:dyDescent="0.3">
      <c r="A485" s="888" t="s">
        <v>2062</v>
      </c>
      <c r="B485" s="888" t="s">
        <v>1094</v>
      </c>
      <c r="C485" s="888" t="s">
        <v>2688</v>
      </c>
      <c r="D485" s="888"/>
      <c r="E485" s="893" t="str">
        <f>$E$222</f>
        <v>EPS foam board - AVERAGE</v>
      </c>
      <c r="I485" s="888"/>
      <c r="J485" s="888"/>
      <c r="K485" s="888"/>
      <c r="L485" s="888"/>
      <c r="M485" s="888"/>
      <c r="N485" s="888"/>
      <c r="O485" s="888"/>
      <c r="P485" s="888"/>
      <c r="Q485" s="888"/>
      <c r="R485" s="888"/>
    </row>
    <row r="486" spans="1:18" s="893" customFormat="1" x14ac:dyDescent="0.3">
      <c r="A486" s="888" t="s">
        <v>2062</v>
      </c>
      <c r="B486" s="888" t="s">
        <v>1094</v>
      </c>
      <c r="C486" s="888" t="s">
        <v>2699</v>
      </c>
      <c r="D486" s="888"/>
      <c r="E486" s="893" t="str">
        <f>$E$297</f>
        <v>WOOD FIBER BOARD</v>
      </c>
      <c r="I486" s="888"/>
      <c r="J486" s="888"/>
      <c r="K486" s="888"/>
      <c r="L486" s="888"/>
      <c r="M486" s="888"/>
      <c r="N486" s="888"/>
      <c r="O486" s="888"/>
      <c r="P486" s="888"/>
      <c r="Q486" s="888"/>
      <c r="R486" s="888"/>
    </row>
    <row r="487" spans="1:18" s="893" customFormat="1" x14ac:dyDescent="0.3">
      <c r="A487" s="888" t="s">
        <v>2062</v>
      </c>
      <c r="B487" s="888" t="s">
        <v>1094</v>
      </c>
      <c r="C487" s="888" t="s">
        <v>7423</v>
      </c>
      <c r="D487" s="888"/>
      <c r="E487" s="893" t="str">
        <f>$E$298</f>
        <v>Wood fiber board - AVERAGE</v>
      </c>
      <c r="I487" s="888"/>
      <c r="J487" s="888"/>
      <c r="K487" s="888"/>
      <c r="L487" s="888"/>
      <c r="M487" s="888"/>
      <c r="N487" s="888"/>
      <c r="O487" s="888"/>
      <c r="P487" s="888"/>
      <c r="Q487" s="888"/>
      <c r="R487" s="888"/>
    </row>
    <row r="488" spans="1:18" s="893" customFormat="1" x14ac:dyDescent="0.3">
      <c r="A488" s="888" t="s">
        <v>2062</v>
      </c>
      <c r="B488" s="888" t="s">
        <v>1094</v>
      </c>
      <c r="C488" s="888" t="s">
        <v>2354</v>
      </c>
      <c r="D488" s="888"/>
      <c r="E488" s="893" t="str">
        <f>$E$223</f>
        <v>XPS FOAM BOARD</v>
      </c>
      <c r="I488" s="888"/>
      <c r="J488" s="888"/>
      <c r="K488" s="888"/>
      <c r="L488" s="888"/>
      <c r="M488" s="888"/>
      <c r="N488" s="888"/>
      <c r="O488" s="888"/>
      <c r="P488" s="888"/>
      <c r="Q488" s="888"/>
      <c r="R488" s="888"/>
    </row>
    <row r="489" spans="1:18" s="893" customFormat="1" x14ac:dyDescent="0.3">
      <c r="A489" s="888" t="s">
        <v>2062</v>
      </c>
      <c r="B489" s="888" t="s">
        <v>1094</v>
      </c>
      <c r="C489" s="888" t="s">
        <v>7436</v>
      </c>
      <c r="D489" s="888"/>
      <c r="E489" s="918" t="str">
        <f>$E$224</f>
        <v>XPS foam board - AVERAGE</v>
      </c>
      <c r="I489" s="888"/>
      <c r="J489" s="888"/>
      <c r="K489" s="888"/>
      <c r="L489" s="888"/>
      <c r="M489" s="888"/>
      <c r="N489" s="888"/>
      <c r="O489" s="888"/>
      <c r="P489" s="888"/>
      <c r="Q489" s="888"/>
      <c r="R489" s="888"/>
    </row>
    <row r="490" spans="1:18" s="893" customFormat="1" x14ac:dyDescent="0.3">
      <c r="A490" s="888" t="s">
        <v>2062</v>
      </c>
      <c r="B490" s="888" t="s">
        <v>1094</v>
      </c>
      <c r="C490" s="888" t="s">
        <v>7437</v>
      </c>
      <c r="D490" s="888"/>
      <c r="E490" s="917" t="str">
        <f>$E$291</f>
        <v>POLYISOCYANURATE FOAM BOARD</v>
      </c>
      <c r="I490" s="888"/>
      <c r="J490" s="888"/>
      <c r="K490" s="888"/>
      <c r="L490" s="888"/>
      <c r="M490" s="888"/>
      <c r="N490" s="888"/>
      <c r="O490" s="888"/>
      <c r="P490" s="888"/>
      <c r="Q490" s="888"/>
      <c r="R490" s="888"/>
    </row>
    <row r="491" spans="1:18" s="893" customFormat="1" x14ac:dyDescent="0.3">
      <c r="A491" s="888" t="s">
        <v>2062</v>
      </c>
      <c r="B491" s="888" t="s">
        <v>1094</v>
      </c>
      <c r="C491" s="888" t="s">
        <v>7438</v>
      </c>
      <c r="D491" s="888"/>
      <c r="E491" s="917" t="str">
        <f>$E$292</f>
        <v>Polyisocyanurate - AVERAGE</v>
      </c>
      <c r="I491" s="888"/>
      <c r="J491" s="888"/>
      <c r="K491" s="888"/>
      <c r="L491" s="888"/>
      <c r="M491" s="888"/>
      <c r="N491" s="888"/>
      <c r="O491" s="888"/>
      <c r="P491" s="888"/>
      <c r="Q491" s="888"/>
      <c r="R491" s="888"/>
    </row>
    <row r="492" spans="1:18" s="893" customFormat="1" x14ac:dyDescent="0.3">
      <c r="A492" s="888" t="s">
        <v>2062</v>
      </c>
      <c r="B492" s="888" t="s">
        <v>1094</v>
      </c>
      <c r="C492" s="888" t="s">
        <v>2721</v>
      </c>
      <c r="D492" s="888"/>
      <c r="E492" s="893" t="str">
        <f>$E$225</f>
        <v>MINERAL WOOL BOARD</v>
      </c>
      <c r="I492" s="888"/>
      <c r="J492" s="888"/>
      <c r="K492" s="888"/>
      <c r="L492" s="888"/>
      <c r="M492" s="888"/>
      <c r="N492" s="888"/>
      <c r="O492" s="888"/>
      <c r="P492" s="888"/>
      <c r="Q492" s="888"/>
      <c r="R492" s="888"/>
    </row>
    <row r="493" spans="1:18" s="893" customFormat="1" x14ac:dyDescent="0.3">
      <c r="A493" s="888" t="s">
        <v>2062</v>
      </c>
      <c r="B493" s="888" t="s">
        <v>1094</v>
      </c>
      <c r="C493" s="888" t="s">
        <v>7439</v>
      </c>
      <c r="D493" s="888"/>
      <c r="E493" s="928" t="str">
        <f>$E$226</f>
        <v>Mineral wool board - AVERAGE</v>
      </c>
      <c r="I493" s="888"/>
      <c r="J493" s="888"/>
      <c r="K493" s="888"/>
      <c r="L493" s="888"/>
      <c r="M493" s="888"/>
      <c r="N493" s="888"/>
      <c r="O493" s="888"/>
      <c r="P493" s="888"/>
      <c r="Q493" s="888"/>
      <c r="R493" s="888"/>
    </row>
    <row r="494" spans="1:18" s="893" customFormat="1" x14ac:dyDescent="0.3">
      <c r="A494" s="888" t="s">
        <v>2062</v>
      </c>
      <c r="B494" s="923" t="s">
        <v>7387</v>
      </c>
      <c r="C494" s="888" t="s">
        <v>2712</v>
      </c>
      <c r="D494" s="888"/>
      <c r="E494" s="928" t="s">
        <v>4777</v>
      </c>
      <c r="I494" s="888"/>
      <c r="J494" s="888"/>
      <c r="K494" s="888"/>
      <c r="L494" s="888"/>
      <c r="M494" s="888"/>
      <c r="N494" s="888"/>
      <c r="O494" s="888"/>
      <c r="P494" s="888"/>
      <c r="Q494" s="888"/>
      <c r="R494" s="888"/>
    </row>
    <row r="495" spans="1:18" s="893" customFormat="1" x14ac:dyDescent="0.3">
      <c r="A495" s="888" t="s">
        <v>2062</v>
      </c>
      <c r="B495" s="888" t="s">
        <v>1094</v>
      </c>
      <c r="C495" s="925" t="s">
        <v>2731</v>
      </c>
      <c r="D495" s="888"/>
      <c r="E495" s="929" t="str">
        <f>$E$301</f>
        <v>FIBERGLASS BOARD</v>
      </c>
      <c r="I495" s="888"/>
      <c r="J495" s="888"/>
      <c r="K495" s="888"/>
      <c r="L495" s="888"/>
      <c r="M495" s="888"/>
      <c r="N495" s="888"/>
      <c r="O495" s="888"/>
      <c r="P495" s="888"/>
      <c r="Q495" s="888"/>
      <c r="R495" s="888"/>
    </row>
    <row r="496" spans="1:18" s="893" customFormat="1" x14ac:dyDescent="0.3">
      <c r="A496" s="888" t="s">
        <v>2062</v>
      </c>
      <c r="B496" s="888" t="s">
        <v>1094</v>
      </c>
      <c r="C496" s="925" t="s">
        <v>2736</v>
      </c>
      <c r="D496" s="888"/>
      <c r="E496" s="926" t="str">
        <f>$E$231</f>
        <v>CORK BOARD</v>
      </c>
      <c r="I496" s="888"/>
      <c r="J496" s="888"/>
      <c r="K496" s="888"/>
      <c r="L496" s="888"/>
      <c r="M496" s="888"/>
      <c r="N496" s="888"/>
      <c r="O496" s="888"/>
      <c r="P496" s="888"/>
      <c r="Q496" s="888"/>
      <c r="R496" s="888"/>
    </row>
    <row r="497" spans="1:19" s="893" customFormat="1" x14ac:dyDescent="0.3">
      <c r="A497" s="888" t="s">
        <v>2062</v>
      </c>
      <c r="B497" s="923" t="s">
        <v>7387</v>
      </c>
      <c r="C497" s="888" t="s">
        <v>2716</v>
      </c>
      <c r="D497" s="888"/>
      <c r="E497" s="928" t="s">
        <v>4779</v>
      </c>
      <c r="I497" s="888"/>
      <c r="J497" s="888"/>
      <c r="K497" s="888"/>
      <c r="L497" s="888"/>
      <c r="M497" s="888"/>
      <c r="N497" s="888"/>
      <c r="O497" s="888"/>
      <c r="P497" s="888"/>
      <c r="Q497" s="888"/>
      <c r="R497" s="888"/>
    </row>
    <row r="498" spans="1:19" s="893" customFormat="1" x14ac:dyDescent="0.3">
      <c r="A498" s="888" t="s">
        <v>2062</v>
      </c>
      <c r="B498" s="923" t="s">
        <v>7387</v>
      </c>
      <c r="C498" s="888" t="s">
        <v>5060</v>
      </c>
      <c r="D498" s="888"/>
      <c r="E498" s="893" t="s">
        <v>1606</v>
      </c>
      <c r="I498" s="888"/>
      <c r="J498" s="888"/>
      <c r="K498" s="888"/>
      <c r="L498" s="888"/>
      <c r="M498" s="888"/>
      <c r="N498" s="888"/>
      <c r="O498" s="888"/>
      <c r="P498" s="888"/>
      <c r="Q498" s="888"/>
      <c r="R498" s="888"/>
    </row>
    <row r="499" spans="1:19" s="893" customFormat="1" x14ac:dyDescent="0.3">
      <c r="A499" s="888" t="s">
        <v>2062</v>
      </c>
      <c r="B499" s="888" t="s">
        <v>1097</v>
      </c>
      <c r="C499" s="888" t="s">
        <v>2124</v>
      </c>
      <c r="D499" s="888"/>
      <c r="E499" s="893" t="s">
        <v>62</v>
      </c>
      <c r="I499" s="888"/>
      <c r="J499" s="888"/>
      <c r="K499" s="888"/>
      <c r="L499" s="888"/>
      <c r="M499" s="888"/>
      <c r="N499" s="888"/>
      <c r="O499" s="888"/>
      <c r="P499" s="888"/>
      <c r="Q499" s="888"/>
      <c r="R499" s="888"/>
    </row>
    <row r="500" spans="1:19" x14ac:dyDescent="0.3">
      <c r="A500" s="888" t="s">
        <v>2062</v>
      </c>
      <c r="B500" s="888" t="s">
        <v>1097</v>
      </c>
      <c r="C500" s="888" t="s">
        <v>2125</v>
      </c>
      <c r="E500" s="893" t="s">
        <v>59</v>
      </c>
    </row>
    <row r="501" spans="1:19" ht="194.25" customHeight="1" x14ac:dyDescent="0.3">
      <c r="A501" s="888" t="s">
        <v>2062</v>
      </c>
      <c r="B501" s="888" t="s">
        <v>1097</v>
      </c>
      <c r="C501" s="888" t="s">
        <v>2063</v>
      </c>
      <c r="D501" s="888" t="b">
        <v>1</v>
      </c>
      <c r="E501" s="1671"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501" s="1671"/>
      <c r="G501" s="1671"/>
      <c r="H501" s="1671"/>
      <c r="I501" s="1671"/>
      <c r="J501" s="1671"/>
      <c r="K501" s="1671"/>
      <c r="L501" s="1671"/>
      <c r="M501" s="1671"/>
      <c r="N501" s="1671"/>
      <c r="O501" s="1671"/>
      <c r="P501" s="1671"/>
      <c r="Q501" s="1671"/>
      <c r="R501" s="1671"/>
      <c r="S501" s="1671"/>
    </row>
    <row r="502" spans="1:19" x14ac:dyDescent="0.3">
      <c r="A502" s="888" t="s">
        <v>2062</v>
      </c>
      <c r="B502" s="888" t="s">
        <v>1097</v>
      </c>
      <c r="C502" s="888" t="s">
        <v>2064</v>
      </c>
      <c r="E502" s="888" t="str">
        <f>$E$170</f>
        <v>CATEGORY</v>
      </c>
    </row>
    <row r="503" spans="1:19" x14ac:dyDescent="0.3">
      <c r="A503" s="888" t="s">
        <v>2062</v>
      </c>
      <c r="B503" s="888" t="s">
        <v>1097</v>
      </c>
      <c r="C503" s="888" t="s">
        <v>2126</v>
      </c>
      <c r="E503" s="893" t="str">
        <f>$E$171</f>
        <v>MATERIAL</v>
      </c>
    </row>
    <row r="504" spans="1:19" x14ac:dyDescent="0.3">
      <c r="A504" s="888" t="s">
        <v>2062</v>
      </c>
      <c r="B504" s="888" t="s">
        <v>1097</v>
      </c>
      <c r="C504" s="888" t="s">
        <v>2127</v>
      </c>
      <c r="E504" s="893" t="str">
        <f>$E$127</f>
        <v>QUANTITY</v>
      </c>
    </row>
    <row r="505" spans="1:19" x14ac:dyDescent="0.3">
      <c r="A505" s="888" t="s">
        <v>2062</v>
      </c>
      <c r="B505" s="888" t="s">
        <v>1097</v>
      </c>
      <c r="C505" s="888" t="s">
        <v>2128</v>
      </c>
      <c r="E505" s="888" t="str">
        <f>$E$173</f>
        <v xml:space="preserve"> SELECT</v>
      </c>
    </row>
    <row r="506" spans="1:19" ht="15" customHeight="1" x14ac:dyDescent="0.3">
      <c r="A506" s="888" t="s">
        <v>2062</v>
      </c>
      <c r="B506" s="908" t="s">
        <v>7390</v>
      </c>
      <c r="C506" s="888" t="s">
        <v>2129</v>
      </c>
      <c r="D506" s="888" t="b">
        <v>1</v>
      </c>
      <c r="E506" s="1669" t="str">
        <f>$E$174</f>
        <v>NET kgCO2e EMISSIONS</v>
      </c>
    </row>
    <row r="507" spans="1:19" ht="15" customHeight="1" x14ac:dyDescent="0.3">
      <c r="A507" s="888" t="s">
        <v>2083</v>
      </c>
      <c r="E507" s="1670"/>
    </row>
    <row r="508" spans="1:19" ht="23.25" customHeight="1" x14ac:dyDescent="0.3">
      <c r="A508" s="888" t="s">
        <v>2062</v>
      </c>
      <c r="B508" s="908" t="s">
        <v>7390</v>
      </c>
      <c r="C508" s="888" t="s">
        <v>2130</v>
      </c>
      <c r="D508" s="888" t="b">
        <v>1</v>
      </c>
      <c r="E508" s="1669" t="str">
        <f>$E$176</f>
        <v>SELECTED MATERIAL kgCO2e CONTENT</v>
      </c>
    </row>
    <row r="509" spans="1:19" ht="15" customHeight="1" x14ac:dyDescent="0.3">
      <c r="A509" s="888" t="s">
        <v>2083</v>
      </c>
      <c r="E509" s="1670"/>
    </row>
    <row r="510" spans="1:19" ht="15" customHeight="1" x14ac:dyDescent="0.3">
      <c r="A510" s="888" t="s">
        <v>2062</v>
      </c>
      <c r="B510" s="888" t="s">
        <v>1097</v>
      </c>
      <c r="C510" s="888" t="s">
        <v>2131</v>
      </c>
      <c r="D510" s="888" t="b">
        <v>1</v>
      </c>
      <c r="E510" s="1669" t="str">
        <f>$E$178</f>
        <v>kgCO2e EMISSIONS</v>
      </c>
    </row>
    <row r="511" spans="1:19" ht="15" customHeight="1" x14ac:dyDescent="0.3">
      <c r="A511" s="888" t="s">
        <v>2083</v>
      </c>
      <c r="E511" s="1670"/>
    </row>
    <row r="512" spans="1:19" ht="15" customHeight="1" x14ac:dyDescent="0.3">
      <c r="A512" s="888" t="s">
        <v>2062</v>
      </c>
      <c r="B512" s="888" t="s">
        <v>1097</v>
      </c>
      <c r="C512" s="888" t="s">
        <v>2132</v>
      </c>
      <c r="D512" s="888" t="b">
        <v>1</v>
      </c>
      <c r="E512" s="1669" t="str">
        <f>$E$180</f>
        <v>kgCO2 STORAGE</v>
      </c>
    </row>
    <row r="513" spans="1:6" ht="15" customHeight="1" x14ac:dyDescent="0.3">
      <c r="A513" s="888" t="s">
        <v>2083</v>
      </c>
      <c r="E513" s="1670"/>
    </row>
    <row r="514" spans="1:6" ht="15" customHeight="1" x14ac:dyDescent="0.3">
      <c r="A514" s="888" t="s">
        <v>2062</v>
      </c>
      <c r="B514" s="888" t="s">
        <v>1097</v>
      </c>
      <c r="C514" s="909" t="s">
        <v>2070</v>
      </c>
      <c r="D514" s="888" t="b">
        <v>1</v>
      </c>
      <c r="E514" s="1520" t="str">
        <f>$E$182</f>
        <v xml:space="preserve">  Note</v>
      </c>
      <c r="F514" s="1520"/>
    </row>
    <row r="515" spans="1:6" ht="15" customHeight="1" x14ac:dyDescent="0.3">
      <c r="A515" s="888" t="s">
        <v>2083</v>
      </c>
      <c r="E515" s="1520"/>
      <c r="F515" s="1520"/>
    </row>
    <row r="516" spans="1:6" ht="15" customHeight="1" x14ac:dyDescent="0.3">
      <c r="A516" s="888" t="s">
        <v>2062</v>
      </c>
      <c r="B516" s="908" t="s">
        <v>7390</v>
      </c>
      <c r="C516" s="909" t="s">
        <v>3335</v>
      </c>
      <c r="D516" s="888" t="b">
        <v>1</v>
      </c>
      <c r="E516" s="1669" t="str">
        <f>$E$184</f>
        <v>Include Long Cycle</v>
      </c>
    </row>
    <row r="517" spans="1:6" ht="15" customHeight="1" x14ac:dyDescent="0.3">
      <c r="A517" s="888" t="s">
        <v>2083</v>
      </c>
      <c r="E517" s="1670"/>
    </row>
    <row r="518" spans="1:6" ht="21" x14ac:dyDescent="0.3">
      <c r="A518" s="888" t="s">
        <v>2062</v>
      </c>
      <c r="B518" s="888" t="s">
        <v>1097</v>
      </c>
      <c r="C518" s="909" t="s">
        <v>4961</v>
      </c>
      <c r="D518" s="888" t="b">
        <v>1</v>
      </c>
      <c r="E518" s="622" t="s">
        <v>7188</v>
      </c>
    </row>
    <row r="519" spans="1:6" ht="21" x14ac:dyDescent="0.3">
      <c r="A519" s="888" t="s">
        <v>2062</v>
      </c>
      <c r="B519" s="888" t="s">
        <v>1097</v>
      </c>
      <c r="C519" s="911" t="s">
        <v>5112</v>
      </c>
      <c r="D519" s="888" t="b">
        <v>1</v>
      </c>
      <c r="E519" s="622" t="s">
        <v>7205</v>
      </c>
    </row>
    <row r="520" spans="1:6" x14ac:dyDescent="0.3">
      <c r="A520" s="888" t="s">
        <v>2062</v>
      </c>
      <c r="B520" s="888" t="s">
        <v>1097</v>
      </c>
      <c r="C520" s="888" t="s">
        <v>2133</v>
      </c>
      <c r="E520" s="893" t="str">
        <f>$E$302</f>
        <v>INSULATED CONCRETE FORMS (ICF) - EPS FOAM</v>
      </c>
    </row>
    <row r="521" spans="1:6" x14ac:dyDescent="0.3">
      <c r="A521" s="888" t="s">
        <v>2062</v>
      </c>
      <c r="B521" s="888" t="s">
        <v>1097</v>
      </c>
      <c r="C521" s="888" t="s">
        <v>2232</v>
      </c>
      <c r="E521" s="893" t="str">
        <f>$E$303</f>
        <v>Step 1: Select ICF size</v>
      </c>
    </row>
    <row r="522" spans="1:6" x14ac:dyDescent="0.3">
      <c r="A522" s="888" t="s">
        <v>2062</v>
      </c>
      <c r="B522" s="888" t="s">
        <v>1097</v>
      </c>
      <c r="C522" s="930" t="s">
        <v>2312</v>
      </c>
      <c r="E522" s="893" t="str">
        <f>$E$193</f>
        <v>CONCRETE – 25 MPa or less</v>
      </c>
    </row>
    <row r="523" spans="1:6" x14ac:dyDescent="0.3">
      <c r="A523" s="888" t="s">
        <v>2062</v>
      </c>
      <c r="B523" s="888" t="s">
        <v>1097</v>
      </c>
      <c r="C523" s="930" t="s">
        <v>2313</v>
      </c>
      <c r="E523" s="893" t="str">
        <f>$E$305</f>
        <v>Step 2: Select concrete fill option.</v>
      </c>
    </row>
    <row r="524" spans="1:6" x14ac:dyDescent="0.3">
      <c r="A524" s="888" t="s">
        <v>2062</v>
      </c>
      <c r="B524" s="888" t="s">
        <v>1097</v>
      </c>
      <c r="C524" s="930" t="s">
        <v>2082</v>
      </c>
      <c r="E524" s="893" t="str">
        <f>$E$195</f>
        <v>CONCRETE – 26-30 MPa</v>
      </c>
    </row>
    <row r="525" spans="1:6" x14ac:dyDescent="0.3">
      <c r="A525" s="888" t="s">
        <v>2062</v>
      </c>
      <c r="B525" s="888" t="s">
        <v>1097</v>
      </c>
      <c r="C525" s="930" t="s">
        <v>2236</v>
      </c>
      <c r="E525" s="893" t="str">
        <f>$E$194</f>
        <v>Concrete mix specification makes a big difference in carbon footprint. The mix specifications here can be used to discuss low-carbon mix options with your supplier.</v>
      </c>
    </row>
    <row r="526" spans="1:6" x14ac:dyDescent="0.3">
      <c r="A526" s="888" t="s">
        <v>2062</v>
      </c>
      <c r="B526" s="888" t="s">
        <v>1097</v>
      </c>
      <c r="C526" s="930" t="s">
        <v>2092</v>
      </c>
      <c r="E526" s="893" t="str">
        <f>$E$197</f>
        <v>CONCRETE – 31-35 MPa</v>
      </c>
    </row>
    <row r="527" spans="1:6" x14ac:dyDescent="0.3">
      <c r="A527" s="888" t="s">
        <v>2062</v>
      </c>
      <c r="B527" s="888" t="s">
        <v>1097</v>
      </c>
      <c r="C527" s="930" t="s">
        <v>2234</v>
      </c>
      <c r="E527" s="893" t="str">
        <f>$E$194</f>
        <v>Concrete mix specification makes a big difference in carbon footprint. The mix specifications here can be used to discuss low-carbon mix options with your supplier.</v>
      </c>
    </row>
    <row r="528" spans="1:6" x14ac:dyDescent="0.3">
      <c r="A528" s="888" t="s">
        <v>2062</v>
      </c>
      <c r="B528" s="888" t="s">
        <v>1097</v>
      </c>
      <c r="C528" s="888" t="s">
        <v>2208</v>
      </c>
      <c r="E528" s="893" t="str">
        <f>$E$310</f>
        <v>INSULATED CONCRETE FORMS (ICF) - WOOD CHIP/CEMENT</v>
      </c>
    </row>
    <row r="529" spans="1:6" x14ac:dyDescent="0.3">
      <c r="A529" s="888" t="s">
        <v>2062</v>
      </c>
      <c r="B529" s="888" t="s">
        <v>1097</v>
      </c>
      <c r="C529" s="930" t="s">
        <v>2239</v>
      </c>
      <c r="E529" s="927" t="s">
        <v>1368</v>
      </c>
    </row>
    <row r="530" spans="1:6" x14ac:dyDescent="0.3">
      <c r="A530" s="888" t="s">
        <v>2062</v>
      </c>
      <c r="B530" s="888" t="s">
        <v>1097</v>
      </c>
      <c r="C530" s="930" t="s">
        <v>2279</v>
      </c>
      <c r="E530" s="893" t="str">
        <f>$E$193</f>
        <v>CONCRETE – 25 MPa or less</v>
      </c>
    </row>
    <row r="531" spans="1:6" x14ac:dyDescent="0.3">
      <c r="A531" s="888" t="s">
        <v>2062</v>
      </c>
      <c r="B531" s="888" t="s">
        <v>1097</v>
      </c>
      <c r="C531" s="888" t="s">
        <v>2209</v>
      </c>
      <c r="D531" s="888" t="b">
        <v>1</v>
      </c>
      <c r="E531" s="1682" t="s">
        <v>1714</v>
      </c>
      <c r="F531" s="1683"/>
    </row>
    <row r="532" spans="1:6" x14ac:dyDescent="0.3">
      <c r="A532" s="888" t="s">
        <v>2083</v>
      </c>
      <c r="E532" s="1682"/>
      <c r="F532" s="1683"/>
    </row>
    <row r="533" spans="1:6" x14ac:dyDescent="0.3">
      <c r="A533" s="888" t="s">
        <v>2083</v>
      </c>
      <c r="E533" s="1682"/>
      <c r="F533" s="1683"/>
    </row>
    <row r="534" spans="1:6" x14ac:dyDescent="0.3">
      <c r="A534" s="888" t="s">
        <v>2083</v>
      </c>
      <c r="E534" s="1682"/>
      <c r="F534" s="1683"/>
    </row>
    <row r="535" spans="1:6" x14ac:dyDescent="0.3">
      <c r="A535" s="888" t="s">
        <v>2083</v>
      </c>
      <c r="E535" s="1682"/>
      <c r="F535" s="1683"/>
    </row>
    <row r="536" spans="1:6" x14ac:dyDescent="0.3">
      <c r="A536" s="931" t="s">
        <v>2083</v>
      </c>
      <c r="E536" s="1682"/>
      <c r="F536" s="1683"/>
    </row>
    <row r="537" spans="1:6" x14ac:dyDescent="0.3">
      <c r="A537" s="888" t="s">
        <v>2083</v>
      </c>
      <c r="E537" s="1684"/>
      <c r="F537" s="1685"/>
    </row>
    <row r="538" spans="1:6" customFormat="1" ht="15.6" x14ac:dyDescent="0.3">
      <c r="A538" s="888" t="s">
        <v>2062</v>
      </c>
      <c r="B538" s="888" t="s">
        <v>1097</v>
      </c>
      <c r="C538" s="888" t="s">
        <v>2501</v>
      </c>
      <c r="D538" s="888"/>
      <c r="E538" s="893" t="str">
        <f>$E$195</f>
        <v>CONCRETE – 26-30 MPa</v>
      </c>
    </row>
    <row r="539" spans="1:6" customFormat="1" ht="15.6" x14ac:dyDescent="0.3">
      <c r="A539" s="888" t="s">
        <v>2062</v>
      </c>
      <c r="B539" s="888" t="s">
        <v>1097</v>
      </c>
      <c r="C539" s="888" t="s">
        <v>2266</v>
      </c>
      <c r="D539" s="888"/>
      <c r="E539" s="893" t="str">
        <f>$E$194</f>
        <v>Concrete mix specification makes a big difference in carbon footprint. The mix specifications here can be used to discuss low-carbon mix options with your supplier.</v>
      </c>
    </row>
    <row r="540" spans="1:6" customFormat="1" ht="15.6" x14ac:dyDescent="0.3">
      <c r="A540" s="888" t="s">
        <v>2062</v>
      </c>
      <c r="B540" s="888" t="s">
        <v>1097</v>
      </c>
      <c r="C540" s="888" t="s">
        <v>2145</v>
      </c>
      <c r="D540" s="888"/>
      <c r="E540" s="893" t="str">
        <f>$E$197</f>
        <v>CONCRETE – 31-35 MPa</v>
      </c>
    </row>
    <row r="541" spans="1:6" customFormat="1" ht="15.6" x14ac:dyDescent="0.3">
      <c r="A541" s="888" t="s">
        <v>2062</v>
      </c>
      <c r="B541" s="888" t="s">
        <v>1097</v>
      </c>
      <c r="C541" s="888" t="s">
        <v>2146</v>
      </c>
      <c r="D541" s="888"/>
      <c r="E541" s="893" t="str">
        <f>$E$194</f>
        <v>Concrete mix specification makes a big difference in carbon footprint. The mix specifications here can be used to discuss low-carbon mix options with your supplier.</v>
      </c>
    </row>
    <row r="542" spans="1:6" x14ac:dyDescent="0.3">
      <c r="A542" s="888" t="s">
        <v>2062</v>
      </c>
      <c r="B542" s="888" t="s">
        <v>1097</v>
      </c>
      <c r="C542" s="888" t="s">
        <v>2122</v>
      </c>
      <c r="E542" s="893" t="s">
        <v>1066</v>
      </c>
    </row>
    <row r="543" spans="1:6" x14ac:dyDescent="0.3">
      <c r="A543" s="888" t="s">
        <v>2062</v>
      </c>
      <c r="B543" s="888" t="s">
        <v>1097</v>
      </c>
      <c r="C543" s="888" t="s">
        <v>2295</v>
      </c>
      <c r="E543" s="893" t="s">
        <v>60</v>
      </c>
    </row>
    <row r="544" spans="1:6" x14ac:dyDescent="0.3">
      <c r="A544" s="888" t="s">
        <v>2062</v>
      </c>
      <c r="B544" s="888" t="s">
        <v>1097</v>
      </c>
      <c r="C544" s="888" t="s">
        <v>2271</v>
      </c>
      <c r="E544" s="893" t="s">
        <v>61</v>
      </c>
    </row>
    <row r="545" spans="1:19" x14ac:dyDescent="0.3">
      <c r="A545" s="888" t="s">
        <v>2062</v>
      </c>
      <c r="B545" s="888" t="s">
        <v>1696</v>
      </c>
      <c r="C545" s="888" t="s">
        <v>2124</v>
      </c>
      <c r="E545" s="893" t="s">
        <v>64</v>
      </c>
    </row>
    <row r="546" spans="1:19" x14ac:dyDescent="0.3">
      <c r="A546" s="888" t="s">
        <v>2062</v>
      </c>
      <c r="B546" s="888" t="s">
        <v>1696</v>
      </c>
      <c r="C546" s="888" t="s">
        <v>2125</v>
      </c>
      <c r="E546" s="893" t="s">
        <v>1642</v>
      </c>
    </row>
    <row r="547" spans="1:19" ht="180" customHeight="1" x14ac:dyDescent="0.3">
      <c r="A547" s="888" t="s">
        <v>2062</v>
      </c>
      <c r="B547" s="888" t="s">
        <v>1696</v>
      </c>
      <c r="C547" s="888" t="s">
        <v>2063</v>
      </c>
      <c r="D547" s="888" t="b">
        <v>1</v>
      </c>
      <c r="E547" s="1671"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547" s="1671"/>
      <c r="G547" s="1671"/>
      <c r="H547" s="1671"/>
      <c r="I547" s="1671"/>
      <c r="J547" s="1671"/>
      <c r="K547" s="1671"/>
      <c r="L547" s="1671"/>
      <c r="M547" s="1671"/>
      <c r="N547" s="1671"/>
      <c r="O547" s="1671"/>
      <c r="P547" s="1671"/>
      <c r="Q547" s="1671"/>
      <c r="R547" s="1671"/>
      <c r="S547" s="1671"/>
    </row>
    <row r="548" spans="1:19" x14ac:dyDescent="0.3">
      <c r="A548" s="888" t="s">
        <v>2062</v>
      </c>
      <c r="B548" s="888" t="s">
        <v>1696</v>
      </c>
      <c r="C548" s="888" t="s">
        <v>2064</v>
      </c>
      <c r="E548" s="888" t="str">
        <f>$E$170</f>
        <v>CATEGORY</v>
      </c>
    </row>
    <row r="549" spans="1:19" x14ac:dyDescent="0.3">
      <c r="A549" s="888" t="s">
        <v>2062</v>
      </c>
      <c r="B549" s="888" t="s">
        <v>1696</v>
      </c>
      <c r="C549" s="888" t="s">
        <v>2126</v>
      </c>
      <c r="E549" s="893" t="str">
        <f>$E$171</f>
        <v>MATERIAL</v>
      </c>
    </row>
    <row r="550" spans="1:19" x14ac:dyDescent="0.3">
      <c r="A550" s="888" t="s">
        <v>2062</v>
      </c>
      <c r="B550" s="888" t="s">
        <v>1696</v>
      </c>
      <c r="C550" s="888" t="s">
        <v>2127</v>
      </c>
      <c r="E550" s="893" t="str">
        <f>$E$127</f>
        <v>QUANTITY</v>
      </c>
    </row>
    <row r="551" spans="1:19" x14ac:dyDescent="0.3">
      <c r="A551" s="888" t="s">
        <v>2062</v>
      </c>
      <c r="B551" s="888" t="s">
        <v>1696</v>
      </c>
      <c r="C551" s="888" t="s">
        <v>2128</v>
      </c>
      <c r="E551" s="888" t="str">
        <f>$E$173</f>
        <v xml:space="preserve"> SELECT</v>
      </c>
    </row>
    <row r="552" spans="1:19" ht="15" customHeight="1" x14ac:dyDescent="0.3">
      <c r="A552" s="888" t="s">
        <v>2062</v>
      </c>
      <c r="B552" s="908" t="s">
        <v>5075</v>
      </c>
      <c r="C552" s="888" t="s">
        <v>2129</v>
      </c>
      <c r="D552" s="888" t="b">
        <v>1</v>
      </c>
      <c r="E552" s="1669" t="str">
        <f>$E$174</f>
        <v>NET kgCO2e EMISSIONS</v>
      </c>
    </row>
    <row r="553" spans="1:19" ht="15" customHeight="1" x14ac:dyDescent="0.3">
      <c r="A553" s="888" t="s">
        <v>2083</v>
      </c>
      <c r="E553" s="1670"/>
    </row>
    <row r="554" spans="1:19" ht="30.75" customHeight="1" x14ac:dyDescent="0.3">
      <c r="A554" s="888" t="s">
        <v>2062</v>
      </c>
      <c r="B554" s="908" t="s">
        <v>5075</v>
      </c>
      <c r="C554" s="888" t="s">
        <v>2130</v>
      </c>
      <c r="D554" s="888" t="b">
        <v>1</v>
      </c>
      <c r="E554" s="1669" t="str">
        <f>$E$176</f>
        <v>SELECTED MATERIAL kgCO2e CONTENT</v>
      </c>
    </row>
    <row r="555" spans="1:19" ht="15" customHeight="1" x14ac:dyDescent="0.3">
      <c r="A555" s="888" t="s">
        <v>2083</v>
      </c>
      <c r="E555" s="1670"/>
    </row>
    <row r="556" spans="1:19" ht="15" customHeight="1" x14ac:dyDescent="0.3">
      <c r="A556" s="888" t="s">
        <v>2062</v>
      </c>
      <c r="B556" s="888" t="s">
        <v>1696</v>
      </c>
      <c r="C556" s="888" t="s">
        <v>2131</v>
      </c>
      <c r="D556" s="888" t="b">
        <v>1</v>
      </c>
      <c r="E556" s="1669" t="str">
        <f>$E$178</f>
        <v>kgCO2e EMISSIONS</v>
      </c>
    </row>
    <row r="557" spans="1:19" ht="15" customHeight="1" x14ac:dyDescent="0.3">
      <c r="A557" s="888" t="s">
        <v>2083</v>
      </c>
      <c r="E557" s="1670"/>
    </row>
    <row r="558" spans="1:19" ht="15" customHeight="1" x14ac:dyDescent="0.3">
      <c r="A558" s="888" t="s">
        <v>2062</v>
      </c>
      <c r="B558" s="888" t="s">
        <v>1696</v>
      </c>
      <c r="C558" s="888" t="s">
        <v>2132</v>
      </c>
      <c r="D558" s="888" t="b">
        <v>1</v>
      </c>
      <c r="E558" s="1669" t="str">
        <f>$E$180</f>
        <v>kgCO2 STORAGE</v>
      </c>
    </row>
    <row r="559" spans="1:19" ht="15" customHeight="1" x14ac:dyDescent="0.3">
      <c r="A559" s="888" t="s">
        <v>2083</v>
      </c>
      <c r="E559" s="1670"/>
    </row>
    <row r="560" spans="1:19" ht="15" customHeight="1" x14ac:dyDescent="0.3">
      <c r="A560" s="888" t="s">
        <v>2062</v>
      </c>
      <c r="B560" s="888" t="s">
        <v>1696</v>
      </c>
      <c r="C560" s="909" t="s">
        <v>2070</v>
      </c>
      <c r="D560" s="888" t="b">
        <v>1</v>
      </c>
      <c r="E560" s="1520" t="str">
        <f>$E$182</f>
        <v xml:space="preserve">  Note</v>
      </c>
      <c r="F560" s="1520"/>
    </row>
    <row r="561" spans="1:18" ht="15" customHeight="1" x14ac:dyDescent="0.3">
      <c r="A561" s="888" t="s">
        <v>2083</v>
      </c>
      <c r="E561" s="1520"/>
      <c r="F561" s="1520"/>
    </row>
    <row r="562" spans="1:18" ht="15" customHeight="1" x14ac:dyDescent="0.3">
      <c r="A562" s="888" t="s">
        <v>2062</v>
      </c>
      <c r="B562" s="908" t="s">
        <v>5075</v>
      </c>
      <c r="C562" s="909" t="s">
        <v>3335</v>
      </c>
      <c r="D562" s="888" t="b">
        <v>1</v>
      </c>
      <c r="E562" s="1669" t="str">
        <f>$E$184</f>
        <v>Include Long Cycle</v>
      </c>
    </row>
    <row r="563" spans="1:18" ht="15" customHeight="1" x14ac:dyDescent="0.3">
      <c r="A563" s="888" t="s">
        <v>2083</v>
      </c>
      <c r="E563" s="1670"/>
    </row>
    <row r="564" spans="1:18" ht="21" x14ac:dyDescent="0.3">
      <c r="A564" s="888" t="s">
        <v>2062</v>
      </c>
      <c r="B564" s="888" t="s">
        <v>1696</v>
      </c>
      <c r="C564" s="909" t="s">
        <v>4961</v>
      </c>
      <c r="D564" s="888" t="b">
        <v>1</v>
      </c>
      <c r="E564" s="622" t="s">
        <v>7189</v>
      </c>
    </row>
    <row r="565" spans="1:18" ht="21" x14ac:dyDescent="0.3">
      <c r="A565" s="888" t="s">
        <v>2062</v>
      </c>
      <c r="B565" s="888" t="s">
        <v>1696</v>
      </c>
      <c r="C565" s="911" t="s">
        <v>5112</v>
      </c>
      <c r="D565" s="888" t="b">
        <v>1</v>
      </c>
      <c r="E565" s="622" t="s">
        <v>7203</v>
      </c>
    </row>
    <row r="566" spans="1:18" s="893" customFormat="1" ht="17.399999999999999" x14ac:dyDescent="0.3">
      <c r="A566" s="888" t="s">
        <v>2062</v>
      </c>
      <c r="B566" s="888" t="s">
        <v>1696</v>
      </c>
      <c r="C566" s="888" t="s">
        <v>2133</v>
      </c>
      <c r="D566" s="888" t="b">
        <v>1</v>
      </c>
      <c r="E566" s="932" t="s">
        <v>1656</v>
      </c>
      <c r="I566" s="888"/>
      <c r="J566" s="888"/>
      <c r="K566" s="888"/>
      <c r="L566" s="888"/>
      <c r="M566" s="888"/>
      <c r="N566" s="888"/>
      <c r="O566" s="888"/>
      <c r="P566" s="888"/>
      <c r="Q566" s="888"/>
      <c r="R566" s="888"/>
    </row>
    <row r="567" spans="1:18" s="893" customFormat="1" x14ac:dyDescent="0.3">
      <c r="A567" s="888" t="s">
        <v>2062</v>
      </c>
      <c r="B567" s="916" t="s">
        <v>5075</v>
      </c>
      <c r="C567" s="916" t="s">
        <v>2232</v>
      </c>
      <c r="D567" s="888"/>
      <c r="E567" s="893" t="s">
        <v>1734</v>
      </c>
      <c r="I567" s="888"/>
      <c r="J567" s="888"/>
      <c r="K567" s="888"/>
      <c r="L567" s="888"/>
      <c r="M567" s="888"/>
      <c r="N567" s="888"/>
      <c r="O567" s="888"/>
      <c r="P567" s="888"/>
      <c r="Q567" s="888"/>
      <c r="R567" s="888"/>
    </row>
    <row r="568" spans="1:18" s="893" customFormat="1" x14ac:dyDescent="0.3">
      <c r="A568" s="888" t="s">
        <v>2062</v>
      </c>
      <c r="B568" s="888" t="s">
        <v>1696</v>
      </c>
      <c r="C568" s="888" t="s">
        <v>2232</v>
      </c>
      <c r="D568" s="888"/>
      <c r="E568" s="893" t="str">
        <f>$E$417</f>
        <v>WOOD FRAME WALLS</v>
      </c>
      <c r="I568" s="888"/>
      <c r="J568" s="888"/>
      <c r="K568" s="888"/>
      <c r="L568" s="888"/>
      <c r="M568" s="888"/>
      <c r="N568" s="888"/>
      <c r="O568" s="888"/>
      <c r="P568" s="888"/>
      <c r="Q568" s="888"/>
      <c r="R568" s="888"/>
    </row>
    <row r="569" spans="1:18" s="893" customFormat="1" x14ac:dyDescent="0.3">
      <c r="A569" s="888" t="s">
        <v>2062</v>
      </c>
      <c r="B569" s="888" t="s">
        <v>1696</v>
      </c>
      <c r="C569" s="933" t="s">
        <v>2312</v>
      </c>
      <c r="D569" s="888"/>
      <c r="E569" s="924" t="str">
        <f>$E$328</f>
        <v>2x4 WOOD FRAME CONSTRUCTION</v>
      </c>
      <c r="I569" s="888"/>
      <c r="J569" s="888"/>
      <c r="K569" s="888"/>
      <c r="L569" s="888"/>
      <c r="M569" s="888"/>
      <c r="N569" s="888"/>
      <c r="O569" s="888"/>
      <c r="P569" s="888"/>
      <c r="Q569" s="888"/>
      <c r="R569" s="888"/>
    </row>
    <row r="570" spans="1:18" s="893" customFormat="1" x14ac:dyDescent="0.3">
      <c r="A570" s="888" t="s">
        <v>2062</v>
      </c>
      <c r="B570" s="888" t="s">
        <v>1696</v>
      </c>
      <c r="C570" s="933" t="s">
        <v>2081</v>
      </c>
      <c r="D570" s="888"/>
      <c r="E570" s="924" t="str">
        <f>$E$329</f>
        <v>2x6 WOOD FRAME CONSTRUCTION</v>
      </c>
      <c r="I570" s="888"/>
      <c r="J570" s="888"/>
      <c r="K570" s="888"/>
      <c r="L570" s="888"/>
      <c r="M570" s="888"/>
      <c r="N570" s="888"/>
      <c r="O570" s="888"/>
      <c r="P570" s="888"/>
      <c r="Q570" s="888"/>
      <c r="R570" s="888"/>
    </row>
    <row r="571" spans="1:18" s="893" customFormat="1" x14ac:dyDescent="0.3">
      <c r="A571" s="888" t="s">
        <v>2062</v>
      </c>
      <c r="B571" s="888" t="s">
        <v>1696</v>
      </c>
      <c r="C571" s="933" t="s">
        <v>2090</v>
      </c>
      <c r="D571" s="888"/>
      <c r="E571" s="924" t="str">
        <f>$E$330</f>
        <v>2x8 WOOD FRAME CONSTRUCTION</v>
      </c>
      <c r="I571" s="888"/>
      <c r="J571" s="888"/>
      <c r="K571" s="888"/>
      <c r="L571" s="888"/>
      <c r="M571" s="888"/>
      <c r="N571" s="888"/>
      <c r="O571" s="888"/>
      <c r="P571" s="888"/>
      <c r="Q571" s="888"/>
      <c r="R571" s="888"/>
    </row>
    <row r="572" spans="1:18" s="893" customFormat="1" x14ac:dyDescent="0.3">
      <c r="A572" s="888" t="s">
        <v>2062</v>
      </c>
      <c r="B572" s="888" t="s">
        <v>1696</v>
      </c>
      <c r="C572" s="933" t="s">
        <v>2096</v>
      </c>
      <c r="D572" s="888"/>
      <c r="E572" s="924" t="str">
        <f>$E$331</f>
        <v>Double 2x4 WOOD FRAME CONSTRUCTION</v>
      </c>
      <c r="I572" s="888"/>
      <c r="J572" s="888"/>
      <c r="K572" s="888"/>
      <c r="L572" s="888"/>
      <c r="M572" s="888"/>
      <c r="N572" s="888"/>
      <c r="O572" s="888"/>
      <c r="P572" s="888"/>
      <c r="Q572" s="888"/>
      <c r="R572" s="888"/>
    </row>
    <row r="573" spans="1:18" s="893" customFormat="1" x14ac:dyDescent="0.3">
      <c r="A573" s="888" t="s">
        <v>2062</v>
      </c>
      <c r="B573" s="888" t="s">
        <v>1696</v>
      </c>
      <c r="C573" s="888" t="s">
        <v>2311</v>
      </c>
      <c r="D573" s="888"/>
      <c r="E573" s="893" t="str">
        <f>$E$325</f>
        <v>FRAMING SPACING:</v>
      </c>
      <c r="I573" s="888"/>
      <c r="J573" s="888"/>
      <c r="K573" s="888"/>
      <c r="L573" s="888"/>
      <c r="M573" s="888"/>
      <c r="N573" s="888"/>
      <c r="O573" s="888"/>
      <c r="P573" s="888"/>
      <c r="Q573" s="888"/>
      <c r="R573" s="888"/>
    </row>
    <row r="574" spans="1:18" s="893" customFormat="1" x14ac:dyDescent="0.3">
      <c r="A574" s="888" t="s">
        <v>2062</v>
      </c>
      <c r="B574" s="934" t="s">
        <v>5075</v>
      </c>
      <c r="C574" s="888" t="s">
        <v>2312</v>
      </c>
      <c r="D574" s="888"/>
      <c r="E574" s="893" t="str">
        <f>$E$326</f>
        <v>WOOD FRAME CONSTRUCTION</v>
      </c>
      <c r="I574" s="888"/>
      <c r="J574" s="888"/>
      <c r="K574" s="888"/>
      <c r="L574" s="888"/>
      <c r="M574" s="888"/>
      <c r="N574" s="888"/>
      <c r="O574" s="888"/>
      <c r="P574" s="888"/>
      <c r="Q574" s="888"/>
      <c r="R574" s="888"/>
    </row>
    <row r="575" spans="1:18" s="893" customFormat="1" x14ac:dyDescent="0.3">
      <c r="A575" s="888" t="s">
        <v>2062</v>
      </c>
      <c r="B575" s="934" t="s">
        <v>5075</v>
      </c>
      <c r="C575" s="888" t="s">
        <v>2077</v>
      </c>
      <c r="D575" s="888"/>
      <c r="E575" s="893" t="str">
        <f>$E$327</f>
        <v>Double 2x4</v>
      </c>
      <c r="I575" s="888"/>
      <c r="J575" s="888"/>
      <c r="K575" s="888"/>
      <c r="L575" s="888"/>
      <c r="M575" s="888"/>
      <c r="N575" s="888"/>
      <c r="O575" s="888"/>
      <c r="P575" s="888"/>
      <c r="Q575" s="888"/>
      <c r="R575" s="888"/>
    </row>
    <row r="576" spans="1:18" s="893" customFormat="1" x14ac:dyDescent="0.3">
      <c r="A576" s="888" t="s">
        <v>2062</v>
      </c>
      <c r="B576" s="888" t="s">
        <v>1696</v>
      </c>
      <c r="C576" s="888" t="s">
        <v>2278</v>
      </c>
      <c r="D576" s="888"/>
      <c r="E576" s="893" t="str">
        <f>$E$426</f>
        <v>STEEL FRAME WALLS</v>
      </c>
      <c r="I576" s="888"/>
      <c r="J576" s="888"/>
      <c r="K576" s="888"/>
      <c r="L576" s="888"/>
      <c r="M576" s="888"/>
      <c r="N576" s="888"/>
      <c r="O576" s="888"/>
      <c r="P576" s="888"/>
      <c r="Q576" s="888"/>
      <c r="R576" s="888"/>
    </row>
    <row r="577" spans="1:18" s="893" customFormat="1" x14ac:dyDescent="0.3">
      <c r="A577" s="888" t="s">
        <v>2062</v>
      </c>
      <c r="B577" s="888" t="s">
        <v>1696</v>
      </c>
      <c r="C577" s="888" t="s">
        <v>2490</v>
      </c>
      <c r="D577" s="888"/>
      <c r="E577" s="893" t="str">
        <f>$E$325</f>
        <v>FRAMING SPACING:</v>
      </c>
      <c r="I577" s="888"/>
      <c r="J577" s="888"/>
      <c r="K577" s="888"/>
      <c r="L577" s="888"/>
      <c r="M577" s="888"/>
      <c r="N577" s="888"/>
      <c r="O577" s="888"/>
      <c r="P577" s="888"/>
      <c r="Q577" s="888"/>
      <c r="R577" s="888"/>
    </row>
    <row r="578" spans="1:18" s="893" customFormat="1" x14ac:dyDescent="0.3">
      <c r="A578" s="888" t="s">
        <v>2062</v>
      </c>
      <c r="B578" s="888" t="s">
        <v>1696</v>
      </c>
      <c r="C578" s="888" t="s">
        <v>2279</v>
      </c>
      <c r="D578" s="888"/>
      <c r="E578" s="893" t="str">
        <f>$E$334</f>
        <v>STEEL FRAMING, 2x4</v>
      </c>
      <c r="I578" s="888"/>
      <c r="J578" s="888"/>
      <c r="K578" s="888"/>
      <c r="L578" s="888"/>
      <c r="M578" s="888"/>
      <c r="N578" s="888"/>
      <c r="O578" s="888"/>
      <c r="P578" s="888"/>
      <c r="Q578" s="888"/>
      <c r="R578" s="888"/>
    </row>
    <row r="579" spans="1:18" s="893" customFormat="1" x14ac:dyDescent="0.3">
      <c r="A579" s="888" t="s">
        <v>2062</v>
      </c>
      <c r="B579" s="888" t="s">
        <v>1696</v>
      </c>
      <c r="C579" s="888" t="s">
        <v>2280</v>
      </c>
      <c r="D579" s="888"/>
      <c r="E579" s="893" t="s">
        <v>1070</v>
      </c>
      <c r="I579" s="888"/>
      <c r="J579" s="888"/>
      <c r="K579" s="888"/>
      <c r="L579" s="888"/>
      <c r="M579" s="888"/>
      <c r="N579" s="888"/>
      <c r="O579" s="888"/>
      <c r="P579" s="888"/>
      <c r="Q579" s="888"/>
      <c r="R579" s="888"/>
    </row>
    <row r="580" spans="1:18" s="893" customFormat="1" x14ac:dyDescent="0.3">
      <c r="A580" s="888" t="s">
        <v>2062</v>
      </c>
      <c r="B580" s="888" t="s">
        <v>1696</v>
      </c>
      <c r="C580" s="888" t="s">
        <v>2142</v>
      </c>
      <c r="D580" s="888"/>
      <c r="E580" s="893" t="s">
        <v>790</v>
      </c>
      <c r="I580" s="888"/>
      <c r="J580" s="888"/>
      <c r="K580" s="888"/>
      <c r="L580" s="888"/>
      <c r="M580" s="888"/>
      <c r="N580" s="888"/>
      <c r="O580" s="888"/>
      <c r="P580" s="888"/>
      <c r="Q580" s="888"/>
      <c r="R580" s="888"/>
    </row>
    <row r="581" spans="1:18" s="893" customFormat="1" x14ac:dyDescent="0.3">
      <c r="A581" s="888" t="s">
        <v>2062</v>
      </c>
      <c r="B581" s="888" t="s">
        <v>1696</v>
      </c>
      <c r="C581" s="888" t="s">
        <v>2108</v>
      </c>
      <c r="D581" s="888"/>
      <c r="E581" s="893" t="str">
        <f>$E$429</f>
        <v>STEEL FRAMING, 2x6</v>
      </c>
      <c r="I581" s="888"/>
      <c r="J581" s="888"/>
      <c r="K581" s="888"/>
      <c r="L581" s="888"/>
      <c r="M581" s="888"/>
      <c r="N581" s="888"/>
      <c r="O581" s="888"/>
      <c r="P581" s="888"/>
      <c r="Q581" s="888"/>
      <c r="R581" s="888"/>
    </row>
    <row r="582" spans="1:18" s="893" customFormat="1" x14ac:dyDescent="0.3">
      <c r="A582" s="888" t="s">
        <v>2062</v>
      </c>
      <c r="B582" s="888" t="s">
        <v>1696</v>
      </c>
      <c r="C582" s="888" t="s">
        <v>2143</v>
      </c>
      <c r="D582" s="888"/>
      <c r="E582" s="893" t="s">
        <v>787</v>
      </c>
      <c r="I582" s="888"/>
      <c r="J582" s="888"/>
      <c r="K582" s="888"/>
      <c r="L582" s="888"/>
      <c r="M582" s="888"/>
      <c r="N582" s="888"/>
      <c r="O582" s="888"/>
      <c r="P582" s="888"/>
      <c r="Q582" s="888"/>
      <c r="R582" s="888"/>
    </row>
    <row r="583" spans="1:18" s="893" customFormat="1" x14ac:dyDescent="0.3">
      <c r="A583" s="888" t="s">
        <v>2062</v>
      </c>
      <c r="B583" s="888" t="s">
        <v>1696</v>
      </c>
      <c r="C583" s="888" t="s">
        <v>2269</v>
      </c>
      <c r="D583" s="888"/>
      <c r="E583" s="893" t="str">
        <f>$E$431</f>
        <v>Steel Framing - Load bearing - AVERAGE</v>
      </c>
      <c r="I583" s="888"/>
      <c r="J583" s="888"/>
      <c r="K583" s="888"/>
      <c r="L583" s="888"/>
      <c r="M583" s="888"/>
      <c r="N583" s="888"/>
      <c r="O583" s="888"/>
      <c r="P583" s="888"/>
      <c r="Q583" s="888"/>
      <c r="R583" s="888"/>
    </row>
    <row r="584" spans="1:18" s="893" customFormat="1" x14ac:dyDescent="0.3">
      <c r="A584" s="888" t="s">
        <v>2062</v>
      </c>
      <c r="B584" s="935" t="s">
        <v>5075</v>
      </c>
      <c r="C584" s="888" t="s">
        <v>2140</v>
      </c>
      <c r="D584" s="888"/>
      <c r="E584" s="893" t="s">
        <v>1735</v>
      </c>
      <c r="I584" s="888"/>
      <c r="J584" s="888"/>
      <c r="K584" s="888"/>
      <c r="L584" s="888"/>
      <c r="M584" s="888"/>
      <c r="N584" s="888"/>
      <c r="O584" s="888"/>
      <c r="P584" s="888"/>
      <c r="Q584" s="888"/>
      <c r="R584" s="888"/>
    </row>
    <row r="585" spans="1:18" s="893" customFormat="1" x14ac:dyDescent="0.3">
      <c r="A585" s="888" t="s">
        <v>2062</v>
      </c>
      <c r="B585" s="888" t="s">
        <v>1696</v>
      </c>
      <c r="C585" s="888" t="s">
        <v>2266</v>
      </c>
      <c r="D585" s="888"/>
      <c r="E585" s="893" t="s">
        <v>1653</v>
      </c>
      <c r="I585" s="888"/>
      <c r="J585" s="888"/>
      <c r="K585" s="888"/>
      <c r="L585" s="888"/>
      <c r="M585" s="888"/>
      <c r="N585" s="888"/>
      <c r="O585" s="888"/>
      <c r="P585" s="888"/>
      <c r="Q585" s="888"/>
      <c r="R585" s="888"/>
    </row>
    <row r="586" spans="1:18" s="893" customFormat="1" x14ac:dyDescent="0.3">
      <c r="A586" s="888" t="s">
        <v>2062</v>
      </c>
      <c r="B586" s="888" t="s">
        <v>1696</v>
      </c>
      <c r="C586" s="888" t="s">
        <v>2113</v>
      </c>
      <c r="D586" s="888"/>
      <c r="E586" s="893" t="s">
        <v>1654</v>
      </c>
      <c r="I586" s="888"/>
      <c r="J586" s="888"/>
      <c r="K586" s="888"/>
      <c r="L586" s="888"/>
      <c r="M586" s="888"/>
      <c r="N586" s="888"/>
      <c r="O586" s="888"/>
      <c r="P586" s="888"/>
      <c r="Q586" s="888"/>
      <c r="R586" s="888"/>
    </row>
    <row r="587" spans="1:18" s="893" customFormat="1" x14ac:dyDescent="0.3">
      <c r="A587" s="888" t="s">
        <v>2062</v>
      </c>
      <c r="B587" s="888" t="s">
        <v>1696</v>
      </c>
      <c r="C587" s="888" t="s">
        <v>7440</v>
      </c>
      <c r="D587" s="888"/>
      <c r="E587" s="893" t="s">
        <v>1733</v>
      </c>
      <c r="I587" s="888"/>
      <c r="J587" s="888"/>
      <c r="K587" s="888"/>
      <c r="L587" s="888"/>
      <c r="M587" s="888"/>
      <c r="N587" s="888"/>
      <c r="O587" s="888"/>
      <c r="P587" s="888"/>
      <c r="Q587" s="888"/>
      <c r="R587" s="888"/>
    </row>
    <row r="588" spans="1:18" s="893" customFormat="1" x14ac:dyDescent="0.3">
      <c r="A588" s="888" t="s">
        <v>2062</v>
      </c>
      <c r="B588" s="888" t="s">
        <v>1696</v>
      </c>
      <c r="C588" s="888" t="s">
        <v>2317</v>
      </c>
      <c r="D588" s="888"/>
      <c r="E588" s="893" t="s">
        <v>789</v>
      </c>
      <c r="I588" s="888"/>
      <c r="J588" s="888"/>
      <c r="K588" s="888"/>
      <c r="L588" s="888"/>
      <c r="M588" s="888"/>
      <c r="N588" s="888"/>
      <c r="O588" s="888"/>
      <c r="P588" s="888"/>
      <c r="Q588" s="888"/>
      <c r="R588" s="888"/>
    </row>
    <row r="589" spans="1:18" s="893" customFormat="1" x14ac:dyDescent="0.3">
      <c r="A589" s="888" t="s">
        <v>2062</v>
      </c>
      <c r="B589" s="888" t="s">
        <v>1696</v>
      </c>
      <c r="C589" s="888" t="s">
        <v>2119</v>
      </c>
      <c r="D589" s="888"/>
      <c r="E589" s="893" t="s">
        <v>1650</v>
      </c>
      <c r="I589" s="888"/>
      <c r="J589" s="888"/>
      <c r="K589" s="888"/>
      <c r="L589" s="888"/>
      <c r="M589" s="888"/>
      <c r="N589" s="888"/>
      <c r="O589" s="888"/>
      <c r="P589" s="888"/>
      <c r="Q589" s="888"/>
      <c r="R589" s="888"/>
    </row>
    <row r="590" spans="1:18" s="893" customFormat="1" x14ac:dyDescent="0.3">
      <c r="A590" s="888" t="s">
        <v>2062</v>
      </c>
      <c r="B590" s="888" t="s">
        <v>1696</v>
      </c>
      <c r="C590" s="888" t="s">
        <v>2242</v>
      </c>
      <c r="D590" s="888"/>
      <c r="E590" s="893" t="s">
        <v>1676</v>
      </c>
      <c r="I590" s="888"/>
      <c r="J590" s="888"/>
      <c r="K590" s="888"/>
      <c r="L590" s="888"/>
      <c r="M590" s="888"/>
      <c r="N590" s="888"/>
      <c r="O590" s="888"/>
      <c r="P590" s="888"/>
      <c r="Q590" s="888"/>
      <c r="R590" s="888"/>
    </row>
    <row r="591" spans="1:18" s="893" customFormat="1" x14ac:dyDescent="0.3">
      <c r="A591" s="888" t="s">
        <v>2062</v>
      </c>
      <c r="B591" s="888" t="s">
        <v>1696</v>
      </c>
      <c r="C591" s="888" t="s">
        <v>2243</v>
      </c>
      <c r="D591" s="888"/>
      <c r="E591" s="893" t="str">
        <f>$E$193</f>
        <v>CONCRETE – 25 MPa or less</v>
      </c>
      <c r="I591" s="888"/>
      <c r="J591" s="888"/>
      <c r="K591" s="888"/>
      <c r="L591" s="888"/>
      <c r="M591" s="888"/>
      <c r="N591" s="888"/>
      <c r="O591" s="888"/>
      <c r="P591" s="888"/>
      <c r="Q591" s="888"/>
      <c r="R591" s="888"/>
    </row>
    <row r="592" spans="1:18" s="893" customFormat="1" x14ac:dyDescent="0.3">
      <c r="A592" s="888" t="s">
        <v>2062</v>
      </c>
      <c r="B592" s="888" t="s">
        <v>1696</v>
      </c>
      <c r="C592" s="888" t="s">
        <v>2320</v>
      </c>
      <c r="D592" s="888"/>
      <c r="E592" s="893" t="str">
        <f>$E$194</f>
        <v>Concrete mix specification makes a big difference in carbon footprint. The mix specifications here can be used to discuss low-carbon mix options with your supplier.</v>
      </c>
      <c r="I592" s="888"/>
      <c r="J592" s="888"/>
      <c r="K592" s="888"/>
      <c r="L592" s="888"/>
      <c r="M592" s="888"/>
      <c r="N592" s="888"/>
      <c r="O592" s="888"/>
      <c r="P592" s="888"/>
      <c r="Q592" s="888"/>
      <c r="R592" s="888"/>
    </row>
    <row r="593" spans="1:18" s="893" customFormat="1" x14ac:dyDescent="0.3">
      <c r="A593" s="888" t="s">
        <v>2062</v>
      </c>
      <c r="B593" s="888" t="s">
        <v>1696</v>
      </c>
      <c r="C593" s="888" t="s">
        <v>2123</v>
      </c>
      <c r="D593" s="888"/>
      <c r="E593" s="893" t="str">
        <f>$E$195</f>
        <v>CONCRETE – 26-30 MPa</v>
      </c>
      <c r="I593" s="888"/>
      <c r="J593" s="888"/>
      <c r="K593" s="888"/>
      <c r="L593" s="888"/>
      <c r="M593" s="888"/>
      <c r="N593" s="888"/>
      <c r="O593" s="888"/>
      <c r="P593" s="888"/>
      <c r="Q593" s="888"/>
      <c r="R593" s="888"/>
    </row>
    <row r="594" spans="1:18" s="893" customFormat="1" x14ac:dyDescent="0.3">
      <c r="A594" s="888" t="s">
        <v>2062</v>
      </c>
      <c r="B594" s="888" t="s">
        <v>1696</v>
      </c>
      <c r="C594" s="888" t="s">
        <v>2175</v>
      </c>
      <c r="D594" s="888"/>
      <c r="E594" s="893" t="str">
        <f>$E$194</f>
        <v>Concrete mix specification makes a big difference in carbon footprint. The mix specifications here can be used to discuss low-carbon mix options with your supplier.</v>
      </c>
      <c r="I594" s="888"/>
      <c r="J594" s="888"/>
      <c r="K594" s="888"/>
      <c r="L594" s="888"/>
      <c r="M594" s="888"/>
      <c r="N594" s="888"/>
      <c r="O594" s="888"/>
      <c r="P594" s="888"/>
      <c r="Q594" s="888"/>
      <c r="R594" s="888"/>
    </row>
    <row r="595" spans="1:18" s="893" customFormat="1" x14ac:dyDescent="0.3">
      <c r="A595" s="888" t="s">
        <v>2062</v>
      </c>
      <c r="B595" s="888" t="s">
        <v>1696</v>
      </c>
      <c r="C595" s="936" t="s">
        <v>2177</v>
      </c>
      <c r="D595" s="888"/>
      <c r="E595" s="937" t="str">
        <f>$E$232</f>
        <v>BARRIERS AND MEMBRANES</v>
      </c>
      <c r="I595" s="888"/>
      <c r="J595" s="888"/>
      <c r="K595" s="888"/>
      <c r="L595" s="888"/>
      <c r="M595" s="888"/>
      <c r="N595" s="888"/>
      <c r="O595" s="888"/>
      <c r="P595" s="888"/>
      <c r="Q595" s="888"/>
      <c r="R595" s="888"/>
    </row>
    <row r="596" spans="1:18" s="893" customFormat="1" x14ac:dyDescent="0.3">
      <c r="A596" s="888" t="s">
        <v>2062</v>
      </c>
      <c r="B596" s="888" t="s">
        <v>1696</v>
      </c>
      <c r="C596" s="936" t="s">
        <v>2272</v>
      </c>
      <c r="D596" s="888"/>
      <c r="E596" s="937" t="str">
        <f>$E$457</f>
        <v>SHEET BARRIER PERMEABLE</v>
      </c>
      <c r="I596" s="888"/>
      <c r="J596" s="888"/>
      <c r="K596" s="888"/>
      <c r="L596" s="888"/>
      <c r="M596" s="888"/>
      <c r="N596" s="888"/>
      <c r="O596" s="888"/>
      <c r="P596" s="888"/>
      <c r="Q596" s="888"/>
      <c r="R596" s="888"/>
    </row>
    <row r="597" spans="1:18" s="893" customFormat="1" x14ac:dyDescent="0.3">
      <c r="A597" s="888" t="s">
        <v>2062</v>
      </c>
      <c r="B597" s="888" t="s">
        <v>1696</v>
      </c>
      <c r="C597" s="936" t="s">
        <v>2284</v>
      </c>
      <c r="D597" s="888"/>
      <c r="E597" s="937" t="str">
        <f>$E$458</f>
        <v>Sheet barrier permeable - AVERAGE</v>
      </c>
      <c r="I597" s="888"/>
      <c r="J597" s="888"/>
      <c r="K597" s="888"/>
      <c r="L597" s="888"/>
      <c r="M597" s="888"/>
      <c r="N597" s="888"/>
      <c r="O597" s="888"/>
      <c r="P597" s="888"/>
      <c r="Q597" s="888"/>
      <c r="R597" s="888"/>
    </row>
    <row r="598" spans="1:18" s="893" customFormat="1" x14ac:dyDescent="0.3">
      <c r="A598" s="888" t="s">
        <v>2062</v>
      </c>
      <c r="B598" s="888" t="s">
        <v>1696</v>
      </c>
      <c r="C598" s="936" t="s">
        <v>2299</v>
      </c>
      <c r="D598" s="888"/>
      <c r="E598" s="937" t="str">
        <f>$E$459</f>
        <v>SHEET BARRIER MOISTURE-VARIABLE</v>
      </c>
      <c r="I598" s="888"/>
      <c r="J598" s="888"/>
      <c r="K598" s="888"/>
      <c r="L598" s="888"/>
      <c r="M598" s="888"/>
      <c r="N598" s="888"/>
      <c r="O598" s="888"/>
      <c r="P598" s="888"/>
      <c r="Q598" s="888"/>
      <c r="R598" s="888"/>
    </row>
    <row r="599" spans="1:18" s="893" customFormat="1" x14ac:dyDescent="0.3">
      <c r="A599" s="888" t="s">
        <v>2062</v>
      </c>
      <c r="B599" s="888" t="s">
        <v>1696</v>
      </c>
      <c r="C599" s="936" t="s">
        <v>2323</v>
      </c>
      <c r="D599" s="888"/>
      <c r="E599" s="937" t="str">
        <f>$E$460</f>
        <v>Sheet barrier moisture-variable - AVERAGE</v>
      </c>
      <c r="I599" s="888"/>
      <c r="J599" s="888"/>
      <c r="K599" s="888"/>
      <c r="L599" s="888"/>
      <c r="M599" s="888"/>
      <c r="N599" s="888"/>
      <c r="O599" s="888"/>
      <c r="P599" s="888"/>
      <c r="Q599" s="888"/>
      <c r="R599" s="888"/>
    </row>
    <row r="600" spans="1:18" s="893" customFormat="1" x14ac:dyDescent="0.3">
      <c r="A600" s="888" t="s">
        <v>2062</v>
      </c>
      <c r="B600" s="888" t="s">
        <v>1696</v>
      </c>
      <c r="C600" s="936" t="s">
        <v>2155</v>
      </c>
      <c r="D600" s="888"/>
      <c r="E600" s="937" t="str">
        <f>$E$461</f>
        <v>SHEET BARRIER NON-PERMEABLE</v>
      </c>
      <c r="I600" s="888"/>
      <c r="J600" s="888"/>
      <c r="K600" s="888"/>
      <c r="L600" s="888"/>
      <c r="M600" s="888"/>
      <c r="N600" s="888"/>
      <c r="O600" s="888"/>
      <c r="P600" s="888"/>
      <c r="Q600" s="888"/>
      <c r="R600" s="888"/>
    </row>
    <row r="601" spans="1:18" s="893" customFormat="1" x14ac:dyDescent="0.3">
      <c r="A601" s="888" t="s">
        <v>2062</v>
      </c>
      <c r="B601" s="888" t="s">
        <v>1696</v>
      </c>
      <c r="C601" s="936" t="s">
        <v>2156</v>
      </c>
      <c r="D601" s="888"/>
      <c r="E601" s="937" t="str">
        <f>$E$462</f>
        <v>Sheet barrier non-permeable - AVERAGE</v>
      </c>
      <c r="I601" s="888"/>
      <c r="J601" s="888"/>
      <c r="K601" s="888"/>
      <c r="L601" s="888"/>
      <c r="M601" s="888"/>
      <c r="N601" s="888"/>
      <c r="O601" s="888"/>
      <c r="P601" s="888"/>
      <c r="Q601" s="888"/>
      <c r="R601" s="888"/>
    </row>
    <row r="602" spans="1:18" s="893" customFormat="1" x14ac:dyDescent="0.3">
      <c r="A602" s="888" t="s">
        <v>2062</v>
      </c>
      <c r="B602" s="888" t="s">
        <v>1696</v>
      </c>
      <c r="C602" s="936" t="s">
        <v>2551</v>
      </c>
      <c r="D602" s="888"/>
      <c r="E602" s="937" t="str">
        <f>$E$234</f>
        <v>LIQUID APPLIED BARRIER</v>
      </c>
      <c r="I602" s="888"/>
      <c r="J602" s="888"/>
      <c r="K602" s="888"/>
      <c r="L602" s="888"/>
      <c r="M602" s="888"/>
      <c r="N602" s="888"/>
      <c r="O602" s="888"/>
      <c r="P602" s="888"/>
      <c r="Q602" s="888"/>
      <c r="R602" s="888"/>
    </row>
    <row r="603" spans="1:18" s="893" customFormat="1" x14ac:dyDescent="0.3">
      <c r="A603" s="888" t="s">
        <v>2062</v>
      </c>
      <c r="B603" s="888" t="s">
        <v>1696</v>
      </c>
      <c r="C603" s="936" t="s">
        <v>2552</v>
      </c>
      <c r="D603" s="888"/>
      <c r="E603" s="937" t="str">
        <f>$E$357</f>
        <v>Liquid applied barrier - AVERAGE</v>
      </c>
      <c r="I603" s="888"/>
      <c r="J603" s="888"/>
      <c r="K603" s="888"/>
      <c r="L603" s="888"/>
      <c r="M603" s="888"/>
      <c r="N603" s="888"/>
      <c r="O603" s="888"/>
      <c r="P603" s="888"/>
      <c r="Q603" s="888"/>
      <c r="R603" s="888"/>
    </row>
    <row r="604" spans="1:18" s="893" customFormat="1" x14ac:dyDescent="0.3">
      <c r="A604" s="888" t="s">
        <v>2062</v>
      </c>
      <c r="B604" s="888" t="s">
        <v>1696</v>
      </c>
      <c r="C604" s="936" t="s">
        <v>2162</v>
      </c>
      <c r="D604" s="888"/>
      <c r="E604" s="937" t="str">
        <f>$E$358</f>
        <v>SELF-ADHERED BARRIER</v>
      </c>
      <c r="I604" s="888"/>
      <c r="J604" s="888"/>
      <c r="K604" s="888"/>
      <c r="L604" s="888"/>
      <c r="M604" s="888"/>
      <c r="N604" s="888"/>
      <c r="O604" s="888"/>
      <c r="P604" s="888"/>
      <c r="Q604" s="888"/>
      <c r="R604" s="888"/>
    </row>
    <row r="605" spans="1:18" s="893" customFormat="1" x14ac:dyDescent="0.3">
      <c r="A605" s="888" t="s">
        <v>2062</v>
      </c>
      <c r="B605" s="888" t="s">
        <v>1696</v>
      </c>
      <c r="C605" s="936" t="s">
        <v>7441</v>
      </c>
      <c r="D605" s="888"/>
      <c r="E605" s="937" t="str">
        <f>$E$359</f>
        <v>Self-adhered barrier - AVERAGE</v>
      </c>
      <c r="I605" s="888"/>
      <c r="J605" s="888"/>
      <c r="K605" s="888"/>
      <c r="L605" s="888"/>
      <c r="M605" s="888"/>
      <c r="N605" s="888"/>
      <c r="O605" s="888"/>
      <c r="P605" s="888"/>
      <c r="Q605" s="888"/>
      <c r="R605" s="888"/>
    </row>
    <row r="606" spans="1:18" s="893" customFormat="1" x14ac:dyDescent="0.3">
      <c r="A606" s="888" t="s">
        <v>2062</v>
      </c>
      <c r="B606" s="935" t="s">
        <v>5075</v>
      </c>
      <c r="C606" s="936" t="s">
        <v>2550</v>
      </c>
      <c r="D606" s="888"/>
      <c r="E606" s="936" t="s">
        <v>3813</v>
      </c>
      <c r="I606" s="888"/>
      <c r="J606" s="888"/>
      <c r="K606" s="888"/>
      <c r="L606" s="888"/>
      <c r="M606" s="888"/>
      <c r="N606" s="888"/>
      <c r="O606" s="888"/>
      <c r="P606" s="888"/>
      <c r="Q606" s="888"/>
      <c r="R606" s="888"/>
    </row>
    <row r="607" spans="1:18" s="893" customFormat="1" x14ac:dyDescent="0.3">
      <c r="A607" s="888" t="s">
        <v>2062</v>
      </c>
      <c r="B607" s="935" t="s">
        <v>5075</v>
      </c>
      <c r="C607" s="888" t="s">
        <v>5071</v>
      </c>
      <c r="D607" s="888"/>
      <c r="E607" s="893" t="s">
        <v>1643</v>
      </c>
      <c r="I607" s="888"/>
      <c r="J607" s="888"/>
      <c r="K607" s="888"/>
      <c r="L607" s="888"/>
      <c r="M607" s="888"/>
      <c r="N607" s="888"/>
      <c r="O607" s="888"/>
      <c r="P607" s="888"/>
      <c r="Q607" s="888"/>
      <c r="R607" s="888"/>
    </row>
    <row r="608" spans="1:18" s="893" customFormat="1" x14ac:dyDescent="0.3">
      <c r="A608" s="888" t="s">
        <v>2062</v>
      </c>
      <c r="B608" s="888" t="s">
        <v>1696</v>
      </c>
      <c r="C608" s="888" t="s">
        <v>4506</v>
      </c>
      <c r="D608" s="888"/>
      <c r="E608" s="893" t="str">
        <f>$E$337</f>
        <v>CAVITY INSULATION</v>
      </c>
      <c r="I608" s="888"/>
      <c r="J608" s="888"/>
      <c r="K608" s="888"/>
      <c r="L608" s="888"/>
      <c r="M608" s="888"/>
      <c r="N608" s="888"/>
      <c r="O608" s="888"/>
      <c r="P608" s="888"/>
      <c r="Q608" s="888"/>
      <c r="R608" s="888"/>
    </row>
    <row r="609" spans="1:18" s="893" customFormat="1" x14ac:dyDescent="0.3">
      <c r="A609" s="888" t="s">
        <v>2062</v>
      </c>
      <c r="B609" s="888" t="s">
        <v>1696</v>
      </c>
      <c r="C609" s="888" t="s">
        <v>2223</v>
      </c>
      <c r="D609" s="888"/>
      <c r="E609" s="893" t="str">
        <f>$E$339</f>
        <v>FIBERGLASS BATT</v>
      </c>
      <c r="I609" s="888"/>
      <c r="J609" s="888"/>
      <c r="K609" s="888"/>
      <c r="L609" s="888"/>
      <c r="M609" s="888"/>
      <c r="N609" s="888"/>
      <c r="O609" s="888"/>
      <c r="P609" s="888"/>
      <c r="Q609" s="888"/>
      <c r="R609" s="888"/>
    </row>
    <row r="610" spans="1:18" s="893" customFormat="1" x14ac:dyDescent="0.3">
      <c r="A610" s="888" t="s">
        <v>2062</v>
      </c>
      <c r="B610" s="888" t="s">
        <v>1696</v>
      </c>
      <c r="C610" s="888" t="s">
        <v>2224</v>
      </c>
      <c r="D610" s="888"/>
      <c r="E610" s="893" t="str">
        <f>$E$469</f>
        <v>Fiberglass batt - AVERAGE</v>
      </c>
      <c r="I610" s="888"/>
      <c r="J610" s="888"/>
      <c r="K610" s="888"/>
      <c r="L610" s="888"/>
      <c r="M610" s="888"/>
      <c r="N610" s="888"/>
      <c r="O610" s="888"/>
      <c r="P610" s="888"/>
      <c r="Q610" s="888"/>
      <c r="R610" s="888"/>
    </row>
    <row r="611" spans="1:18" s="893" customFormat="1" x14ac:dyDescent="0.3">
      <c r="A611" s="888" t="s">
        <v>2062</v>
      </c>
      <c r="B611" s="888" t="s">
        <v>1696</v>
      </c>
      <c r="C611" s="888" t="s">
        <v>2580</v>
      </c>
      <c r="D611" s="888"/>
      <c r="E611" s="893" t="str">
        <f>$E$470</f>
        <v>FIBERGLASS BLOWN-IN</v>
      </c>
      <c r="I611" s="888"/>
      <c r="J611" s="888"/>
      <c r="K611" s="888"/>
      <c r="L611" s="888"/>
      <c r="M611" s="888"/>
      <c r="N611" s="888"/>
      <c r="O611" s="888"/>
      <c r="P611" s="888"/>
      <c r="Q611" s="888"/>
      <c r="R611" s="888"/>
    </row>
    <row r="612" spans="1:18" s="893" customFormat="1" x14ac:dyDescent="0.3">
      <c r="A612" s="888" t="s">
        <v>2062</v>
      </c>
      <c r="B612" s="935" t="s">
        <v>5075</v>
      </c>
      <c r="C612" s="936" t="s">
        <v>2554</v>
      </c>
      <c r="D612" s="888"/>
      <c r="E612" s="936" t="str">
        <f>$E$606</f>
        <v>R-VALUE:</v>
      </c>
      <c r="I612" s="888"/>
      <c r="J612" s="888"/>
      <c r="K612" s="888"/>
      <c r="L612" s="888"/>
      <c r="M612" s="888"/>
      <c r="N612" s="888"/>
      <c r="O612" s="888"/>
      <c r="P612" s="888"/>
      <c r="Q612" s="888"/>
      <c r="R612" s="888"/>
    </row>
    <row r="613" spans="1:18" s="893" customFormat="1" x14ac:dyDescent="0.3">
      <c r="A613" s="888" t="s">
        <v>2062</v>
      </c>
      <c r="B613" s="888" t="s">
        <v>1696</v>
      </c>
      <c r="C613" s="888" t="s">
        <v>2582</v>
      </c>
      <c r="D613" s="888"/>
      <c r="E613" s="893" t="str">
        <f>$E$471</f>
        <v>Fiberglass loose fill - AVERAGE</v>
      </c>
      <c r="I613" s="888"/>
      <c r="J613" s="888"/>
      <c r="K613" s="888"/>
      <c r="L613" s="888"/>
      <c r="M613" s="888"/>
      <c r="N613" s="888"/>
      <c r="O613" s="888"/>
      <c r="P613" s="888"/>
      <c r="Q613" s="888"/>
      <c r="R613" s="888"/>
    </row>
    <row r="614" spans="1:18" s="893" customFormat="1" x14ac:dyDescent="0.3">
      <c r="A614" s="888" t="s">
        <v>2062</v>
      </c>
      <c r="B614" s="888" t="s">
        <v>1696</v>
      </c>
      <c r="C614" s="888" t="s">
        <v>2226</v>
      </c>
      <c r="D614" s="888"/>
      <c r="E614" s="893" t="str">
        <f>$E$343</f>
        <v>MINERAL WOOL BATT</v>
      </c>
      <c r="I614" s="888"/>
      <c r="J614" s="888"/>
      <c r="K614" s="888"/>
      <c r="L614" s="888"/>
      <c r="M614" s="888"/>
      <c r="N614" s="888"/>
      <c r="O614" s="888"/>
      <c r="P614" s="888"/>
      <c r="Q614" s="888"/>
      <c r="R614" s="888"/>
    </row>
    <row r="615" spans="1:18" s="893" customFormat="1" x14ac:dyDescent="0.3">
      <c r="A615" s="888" t="s">
        <v>2062</v>
      </c>
      <c r="B615" s="935" t="s">
        <v>5075</v>
      </c>
      <c r="C615" s="936" t="s">
        <v>2561</v>
      </c>
      <c r="D615" s="888"/>
      <c r="E615" s="936" t="str">
        <f>$E$606</f>
        <v>R-VALUE:</v>
      </c>
      <c r="I615" s="888"/>
      <c r="J615" s="888"/>
      <c r="K615" s="888"/>
      <c r="L615" s="888"/>
      <c r="M615" s="888"/>
      <c r="N615" s="888"/>
      <c r="O615" s="888"/>
      <c r="P615" s="888"/>
      <c r="Q615" s="888"/>
      <c r="R615" s="888"/>
    </row>
    <row r="616" spans="1:18" s="893" customFormat="1" x14ac:dyDescent="0.3">
      <c r="A616" s="888" t="s">
        <v>2062</v>
      </c>
      <c r="B616" s="888" t="s">
        <v>1696</v>
      </c>
      <c r="C616" s="936" t="s">
        <v>2259</v>
      </c>
      <c r="D616" s="888"/>
      <c r="E616" s="937" t="str">
        <f>$E$473</f>
        <v>MINERAL WOOL LOOSE FILL</v>
      </c>
      <c r="I616" s="888"/>
      <c r="J616" s="888"/>
      <c r="K616" s="888"/>
      <c r="L616" s="888"/>
      <c r="M616" s="888"/>
      <c r="N616" s="888"/>
      <c r="O616" s="888"/>
      <c r="P616" s="888"/>
      <c r="Q616" s="888"/>
      <c r="R616" s="888"/>
    </row>
    <row r="617" spans="1:18" s="893" customFormat="1" x14ac:dyDescent="0.3">
      <c r="A617" s="888" t="s">
        <v>2062</v>
      </c>
      <c r="B617" s="888" t="s">
        <v>1696</v>
      </c>
      <c r="C617" s="888" t="s">
        <v>2228</v>
      </c>
      <c r="D617" s="888"/>
      <c r="E617" s="893" t="str">
        <f>$E$341</f>
        <v>CELLULOSE INSULATION</v>
      </c>
      <c r="I617" s="888"/>
      <c r="J617" s="888"/>
      <c r="K617" s="888"/>
      <c r="L617" s="888"/>
      <c r="M617" s="888"/>
      <c r="N617" s="888"/>
      <c r="O617" s="888"/>
      <c r="P617" s="888"/>
      <c r="Q617" s="888"/>
      <c r="R617" s="888"/>
    </row>
    <row r="618" spans="1:18" s="893" customFormat="1" x14ac:dyDescent="0.3">
      <c r="A618" s="888" t="s">
        <v>2062</v>
      </c>
      <c r="B618" s="935" t="s">
        <v>5075</v>
      </c>
      <c r="C618" s="938" t="s">
        <v>3819</v>
      </c>
      <c r="D618" s="888"/>
      <c r="E618" s="936" t="str">
        <f>$E$606</f>
        <v>R-VALUE:</v>
      </c>
      <c r="I618" s="888"/>
      <c r="J618" s="888"/>
      <c r="K618" s="888"/>
      <c r="L618" s="888"/>
      <c r="M618" s="888"/>
      <c r="N618" s="888"/>
      <c r="O618" s="888"/>
      <c r="P618" s="888"/>
      <c r="Q618" s="888"/>
      <c r="R618" s="888"/>
    </row>
    <row r="619" spans="1:18" s="893" customFormat="1" x14ac:dyDescent="0.3">
      <c r="A619" s="888" t="s">
        <v>2062</v>
      </c>
      <c r="B619" s="888" t="s">
        <v>1696</v>
      </c>
      <c r="C619" s="888" t="s">
        <v>2229</v>
      </c>
      <c r="D619" s="888"/>
      <c r="E619" s="893" t="str">
        <f>$E$475</f>
        <v>Cellulose - AVERAGE</v>
      </c>
      <c r="I619" s="888"/>
      <c r="J619" s="888"/>
      <c r="K619" s="888"/>
      <c r="L619" s="888"/>
      <c r="M619" s="888"/>
      <c r="N619" s="888"/>
      <c r="O619" s="888"/>
      <c r="P619" s="888"/>
      <c r="Q619" s="888"/>
      <c r="R619" s="888"/>
    </row>
    <row r="620" spans="1:18" s="893" customFormat="1" x14ac:dyDescent="0.3">
      <c r="A620" s="888" t="s">
        <v>2062</v>
      </c>
      <c r="B620" s="888" t="s">
        <v>1696</v>
      </c>
      <c r="C620" s="888" t="s">
        <v>2598</v>
      </c>
      <c r="D620" s="888"/>
      <c r="E620" s="893" t="str">
        <f>$E$345</f>
        <v>WOOD FIBER BATT</v>
      </c>
      <c r="I620" s="888"/>
      <c r="J620" s="888"/>
      <c r="K620" s="888"/>
      <c r="L620" s="888"/>
      <c r="M620" s="888"/>
      <c r="N620" s="888"/>
      <c r="O620" s="888"/>
      <c r="P620" s="888"/>
      <c r="Q620" s="888"/>
      <c r="R620" s="888"/>
    </row>
    <row r="621" spans="1:18" s="893" customFormat="1" x14ac:dyDescent="0.3">
      <c r="A621" s="888" t="s">
        <v>2062</v>
      </c>
      <c r="B621" s="935" t="s">
        <v>5075</v>
      </c>
      <c r="C621" s="938" t="s">
        <v>3820</v>
      </c>
      <c r="D621" s="888"/>
      <c r="E621" s="936" t="str">
        <f>$E$606</f>
        <v>R-VALUE:</v>
      </c>
      <c r="I621" s="888"/>
      <c r="J621" s="888"/>
      <c r="K621" s="888"/>
      <c r="L621" s="888"/>
      <c r="M621" s="888"/>
      <c r="N621" s="888"/>
      <c r="O621" s="888"/>
      <c r="P621" s="888"/>
      <c r="Q621" s="888"/>
      <c r="R621" s="888"/>
    </row>
    <row r="622" spans="1:18" s="893" customFormat="1" x14ac:dyDescent="0.3">
      <c r="A622" s="888" t="s">
        <v>2062</v>
      </c>
      <c r="B622" s="888" t="s">
        <v>1696</v>
      </c>
      <c r="C622" s="888" t="s">
        <v>2602</v>
      </c>
      <c r="D622" s="888"/>
      <c r="E622" s="893" t="str">
        <f>$E$477</f>
        <v>Wood fiber batt - AVERAGE</v>
      </c>
      <c r="I622" s="888"/>
      <c r="J622" s="888"/>
      <c r="K622" s="888"/>
      <c r="L622" s="888"/>
      <c r="M622" s="888"/>
      <c r="N622" s="888"/>
      <c r="O622" s="888"/>
      <c r="P622" s="888"/>
      <c r="Q622" s="888"/>
      <c r="R622" s="888"/>
    </row>
    <row r="623" spans="1:18" s="893" customFormat="1" x14ac:dyDescent="0.3">
      <c r="A623" s="888" t="s">
        <v>2062</v>
      </c>
      <c r="B623" s="888" t="s">
        <v>1696</v>
      </c>
      <c r="C623" s="888" t="s">
        <v>5058</v>
      </c>
      <c r="D623" s="888"/>
      <c r="E623" s="893" t="str">
        <f>$E$478</f>
        <v>OTHER NATURAL FIBER INSULATION</v>
      </c>
      <c r="I623" s="888"/>
      <c r="J623" s="888"/>
      <c r="K623" s="888"/>
      <c r="L623" s="888"/>
      <c r="M623" s="888"/>
      <c r="N623" s="888"/>
      <c r="O623" s="888"/>
      <c r="P623" s="888"/>
      <c r="Q623" s="888"/>
      <c r="R623" s="888"/>
    </row>
    <row r="624" spans="1:18" s="893" customFormat="1" x14ac:dyDescent="0.3">
      <c r="A624" s="888" t="s">
        <v>2062</v>
      </c>
      <c r="B624" s="935" t="s">
        <v>5075</v>
      </c>
      <c r="C624" s="938" t="s">
        <v>3822</v>
      </c>
      <c r="D624" s="888"/>
      <c r="E624" s="936" t="str">
        <f>$E$606</f>
        <v>R-VALUE:</v>
      </c>
      <c r="I624" s="888"/>
      <c r="J624" s="888"/>
      <c r="K624" s="888"/>
      <c r="L624" s="888"/>
      <c r="M624" s="888"/>
      <c r="N624" s="888"/>
      <c r="O624" s="888"/>
      <c r="P624" s="888"/>
      <c r="Q624" s="888"/>
      <c r="R624" s="888"/>
    </row>
    <row r="625" spans="1:18" s="893" customFormat="1" x14ac:dyDescent="0.3">
      <c r="A625" s="888" t="s">
        <v>2062</v>
      </c>
      <c r="B625" s="888" t="s">
        <v>1696</v>
      </c>
      <c r="C625" s="888" t="s">
        <v>2611</v>
      </c>
      <c r="D625" s="888"/>
      <c r="E625" s="893" t="str">
        <f>$E$479</f>
        <v>SPRAY FOAM, CLOSED CELL</v>
      </c>
      <c r="I625" s="888"/>
      <c r="J625" s="888"/>
      <c r="K625" s="888"/>
      <c r="L625" s="888"/>
      <c r="M625" s="888"/>
      <c r="N625" s="888"/>
      <c r="O625" s="888"/>
      <c r="P625" s="888"/>
      <c r="Q625" s="888"/>
      <c r="R625" s="888"/>
    </row>
    <row r="626" spans="1:18" s="893" customFormat="1" x14ac:dyDescent="0.3">
      <c r="A626" s="888" t="s">
        <v>2062</v>
      </c>
      <c r="B626" s="935" t="s">
        <v>5075</v>
      </c>
      <c r="C626" s="938" t="s">
        <v>5115</v>
      </c>
      <c r="D626" s="888"/>
      <c r="E626" s="936" t="str">
        <f>$E$606</f>
        <v>R-VALUE:</v>
      </c>
      <c r="I626" s="888"/>
      <c r="J626" s="888"/>
      <c r="K626" s="888"/>
      <c r="L626" s="888"/>
      <c r="M626" s="888"/>
      <c r="N626" s="888"/>
      <c r="O626" s="888"/>
      <c r="P626" s="888"/>
      <c r="Q626" s="888"/>
      <c r="R626" s="888"/>
    </row>
    <row r="627" spans="1:18" s="893" customFormat="1" x14ac:dyDescent="0.3">
      <c r="A627" s="888" t="s">
        <v>2062</v>
      </c>
      <c r="B627" s="888" t="s">
        <v>1696</v>
      </c>
      <c r="C627" s="888" t="s">
        <v>7442</v>
      </c>
      <c r="D627" s="888"/>
      <c r="E627" s="893" t="str">
        <f>$E$480</f>
        <v>SPRAY FOAM, OPEN CELL</v>
      </c>
      <c r="I627" s="888"/>
      <c r="J627" s="888"/>
      <c r="K627" s="888"/>
      <c r="L627" s="888"/>
      <c r="M627" s="888"/>
      <c r="N627" s="888"/>
      <c r="O627" s="888"/>
      <c r="P627" s="888"/>
      <c r="Q627" s="888"/>
      <c r="R627" s="888"/>
    </row>
    <row r="628" spans="1:18" s="893" customFormat="1" x14ac:dyDescent="0.3">
      <c r="A628" s="888" t="s">
        <v>2062</v>
      </c>
      <c r="B628" s="935" t="s">
        <v>5075</v>
      </c>
      <c r="C628" s="938" t="s">
        <v>2586</v>
      </c>
      <c r="D628" s="888"/>
      <c r="E628" s="936" t="str">
        <f>$E$606</f>
        <v>R-VALUE:</v>
      </c>
      <c r="I628" s="888"/>
      <c r="J628" s="888"/>
      <c r="K628" s="888"/>
      <c r="L628" s="888"/>
      <c r="M628" s="888"/>
      <c r="N628" s="888"/>
      <c r="O628" s="888"/>
      <c r="P628" s="888"/>
      <c r="Q628" s="888"/>
      <c r="R628" s="888"/>
    </row>
    <row r="629" spans="1:18" s="893" customFormat="1" x14ac:dyDescent="0.3">
      <c r="A629" s="888" t="s">
        <v>2062</v>
      </c>
      <c r="B629" s="888" t="s">
        <v>1696</v>
      </c>
      <c r="C629" s="888" t="s">
        <v>2623</v>
      </c>
      <c r="D629" s="888"/>
      <c r="E629" s="893" t="str">
        <f>$E$481</f>
        <v>HEMPCRETE</v>
      </c>
      <c r="I629" s="888"/>
      <c r="J629" s="888"/>
      <c r="K629" s="888"/>
      <c r="L629" s="888"/>
      <c r="M629" s="888"/>
      <c r="N629" s="888"/>
      <c r="O629" s="888"/>
      <c r="P629" s="888"/>
      <c r="Q629" s="888"/>
      <c r="R629" s="888"/>
    </row>
    <row r="630" spans="1:18" s="893" customFormat="1" x14ac:dyDescent="0.3">
      <c r="A630" s="888" t="s">
        <v>2062</v>
      </c>
      <c r="B630" s="935" t="s">
        <v>5075</v>
      </c>
      <c r="C630" s="938" t="s">
        <v>3826</v>
      </c>
      <c r="D630" s="888"/>
      <c r="E630" s="936" t="str">
        <f>$E$606</f>
        <v>R-VALUE:</v>
      </c>
      <c r="I630" s="888"/>
      <c r="J630" s="888"/>
      <c r="K630" s="888"/>
      <c r="L630" s="888"/>
      <c r="M630" s="888"/>
      <c r="N630" s="888"/>
      <c r="O630" s="888"/>
      <c r="P630" s="888"/>
      <c r="Q630" s="888"/>
      <c r="R630" s="888"/>
    </row>
    <row r="631" spans="1:18" s="893" customFormat="1" x14ac:dyDescent="0.3">
      <c r="A631" s="888" t="s">
        <v>2062</v>
      </c>
      <c r="B631" s="888" t="s">
        <v>1696</v>
      </c>
      <c r="C631" s="888" t="s">
        <v>2627</v>
      </c>
      <c r="D631" s="888"/>
      <c r="E631" s="893" t="str">
        <f>$E$482</f>
        <v>Hempcrete - AVERAGE</v>
      </c>
      <c r="I631" s="888"/>
      <c r="J631" s="888"/>
      <c r="K631" s="888"/>
      <c r="L631" s="888"/>
      <c r="M631" s="888"/>
      <c r="N631" s="888"/>
      <c r="O631" s="888"/>
      <c r="P631" s="888"/>
      <c r="Q631" s="888"/>
      <c r="R631" s="888"/>
    </row>
    <row r="632" spans="1:18" s="893" customFormat="1" x14ac:dyDescent="0.3">
      <c r="A632" s="888" t="s">
        <v>2062</v>
      </c>
      <c r="B632" s="936" t="s">
        <v>5075</v>
      </c>
      <c r="C632" s="888" t="s">
        <v>3967</v>
      </c>
      <c r="D632" s="888"/>
      <c r="E632" s="893" t="s">
        <v>1657</v>
      </c>
      <c r="I632" s="888"/>
      <c r="J632" s="888"/>
      <c r="K632" s="888"/>
      <c r="L632" s="888"/>
      <c r="M632" s="888"/>
      <c r="N632" s="888"/>
      <c r="O632" s="888"/>
      <c r="P632" s="888"/>
      <c r="Q632" s="888"/>
      <c r="R632" s="888"/>
    </row>
    <row r="633" spans="1:18" s="893" customFormat="1" x14ac:dyDescent="0.3">
      <c r="A633" s="888" t="s">
        <v>2062</v>
      </c>
      <c r="B633" s="888" t="s">
        <v>1696</v>
      </c>
      <c r="C633" s="888" t="s">
        <v>2262</v>
      </c>
      <c r="D633" s="888"/>
      <c r="E633" s="893" t="s">
        <v>4780</v>
      </c>
      <c r="I633" s="888"/>
      <c r="J633" s="888"/>
      <c r="K633" s="888"/>
      <c r="L633" s="888"/>
      <c r="M633" s="888"/>
      <c r="N633" s="888"/>
      <c r="O633" s="888"/>
      <c r="P633" s="888"/>
      <c r="Q633" s="888"/>
      <c r="R633" s="888"/>
    </row>
    <row r="634" spans="1:18" s="893" customFormat="1" x14ac:dyDescent="0.3">
      <c r="A634" s="888" t="s">
        <v>2062</v>
      </c>
      <c r="B634" s="888" t="s">
        <v>1696</v>
      </c>
      <c r="C634" s="888" t="s">
        <v>2640</v>
      </c>
      <c r="D634" s="888"/>
      <c r="E634" s="893" t="str">
        <f>$E$221</f>
        <v>EPS FOAM BOARD</v>
      </c>
      <c r="I634" s="888"/>
      <c r="J634" s="888"/>
      <c r="K634" s="888"/>
      <c r="L634" s="888"/>
      <c r="M634" s="888"/>
      <c r="N634" s="888"/>
      <c r="O634" s="888"/>
      <c r="P634" s="888"/>
      <c r="Q634" s="888"/>
      <c r="R634" s="888"/>
    </row>
    <row r="635" spans="1:18" s="893" customFormat="1" x14ac:dyDescent="0.3">
      <c r="A635" s="888" t="s">
        <v>2062</v>
      </c>
      <c r="B635" s="935" t="s">
        <v>5075</v>
      </c>
      <c r="C635" s="938" t="s">
        <v>2604</v>
      </c>
      <c r="D635" s="888"/>
      <c r="E635" s="936" t="str">
        <f>$E$606</f>
        <v>R-VALUE:</v>
      </c>
      <c r="I635" s="888"/>
      <c r="J635" s="888"/>
      <c r="K635" s="888"/>
      <c r="L635" s="888"/>
      <c r="M635" s="888"/>
      <c r="N635" s="888"/>
      <c r="O635" s="888"/>
      <c r="P635" s="888"/>
      <c r="Q635" s="888"/>
      <c r="R635" s="888"/>
    </row>
    <row r="636" spans="1:18" s="893" customFormat="1" x14ac:dyDescent="0.3">
      <c r="A636" s="888" t="s">
        <v>2062</v>
      </c>
      <c r="B636" s="888" t="s">
        <v>1696</v>
      </c>
      <c r="C636" s="888" t="s">
        <v>2643</v>
      </c>
      <c r="D636" s="888"/>
      <c r="E636" s="893" t="str">
        <f>$E$222</f>
        <v>EPS foam board - AVERAGE</v>
      </c>
      <c r="I636" s="888"/>
      <c r="J636" s="888"/>
      <c r="K636" s="888"/>
      <c r="L636" s="888"/>
      <c r="M636" s="888"/>
      <c r="N636" s="888"/>
      <c r="O636" s="888"/>
      <c r="P636" s="888"/>
      <c r="Q636" s="888"/>
      <c r="R636" s="888"/>
    </row>
    <row r="637" spans="1:18" s="893" customFormat="1" x14ac:dyDescent="0.3">
      <c r="A637" s="888" t="s">
        <v>2062</v>
      </c>
      <c r="B637" s="888" t="s">
        <v>1696</v>
      </c>
      <c r="C637" s="888" t="s">
        <v>2339</v>
      </c>
      <c r="D637" s="888"/>
      <c r="E637" s="893" t="str">
        <f>$E$297</f>
        <v>WOOD FIBER BOARD</v>
      </c>
      <c r="I637" s="888"/>
      <c r="J637" s="888"/>
      <c r="K637" s="888"/>
      <c r="L637" s="888"/>
      <c r="M637" s="888"/>
      <c r="N637" s="888"/>
      <c r="O637" s="888"/>
      <c r="P637" s="888"/>
      <c r="Q637" s="888"/>
      <c r="R637" s="888"/>
    </row>
    <row r="638" spans="1:18" s="893" customFormat="1" x14ac:dyDescent="0.3">
      <c r="A638" s="888" t="s">
        <v>2062</v>
      </c>
      <c r="B638" s="935" t="s">
        <v>5075</v>
      </c>
      <c r="C638" s="938" t="s">
        <v>2622</v>
      </c>
      <c r="D638" s="888"/>
      <c r="E638" s="936" t="str">
        <f>$E$606</f>
        <v>R-VALUE:</v>
      </c>
      <c r="I638" s="888"/>
      <c r="J638" s="888"/>
      <c r="K638" s="888"/>
      <c r="L638" s="888"/>
      <c r="M638" s="888"/>
      <c r="N638" s="888"/>
      <c r="O638" s="888"/>
      <c r="P638" s="888"/>
      <c r="Q638" s="888"/>
      <c r="R638" s="888"/>
    </row>
    <row r="639" spans="1:18" s="893" customFormat="1" x14ac:dyDescent="0.3">
      <c r="A639" s="888" t="s">
        <v>2062</v>
      </c>
      <c r="B639" s="888" t="s">
        <v>1696</v>
      </c>
      <c r="C639" s="888" t="s">
        <v>2658</v>
      </c>
      <c r="D639" s="888"/>
      <c r="E639" s="893" t="str">
        <f>$E$298</f>
        <v>Wood fiber board - AVERAGE</v>
      </c>
      <c r="I639" s="888"/>
      <c r="J639" s="888"/>
      <c r="K639" s="888"/>
      <c r="L639" s="888"/>
      <c r="M639" s="888"/>
      <c r="N639" s="888"/>
      <c r="O639" s="888"/>
      <c r="P639" s="888"/>
      <c r="Q639" s="888"/>
      <c r="R639" s="888"/>
    </row>
    <row r="640" spans="1:18" s="893" customFormat="1" x14ac:dyDescent="0.3">
      <c r="A640" s="888" t="s">
        <v>2062</v>
      </c>
      <c r="B640" s="888" t="s">
        <v>1696</v>
      </c>
      <c r="C640" s="888" t="s">
        <v>7443</v>
      </c>
      <c r="D640" s="888"/>
      <c r="E640" s="893" t="str">
        <f>$E$223</f>
        <v>XPS FOAM BOARD</v>
      </c>
      <c r="I640" s="888"/>
      <c r="J640" s="888"/>
      <c r="K640" s="888"/>
      <c r="L640" s="888"/>
      <c r="M640" s="888"/>
      <c r="N640" s="888"/>
      <c r="O640" s="888"/>
      <c r="P640" s="888"/>
      <c r="Q640" s="888"/>
      <c r="R640" s="888"/>
    </row>
    <row r="641" spans="1:18" s="893" customFormat="1" x14ac:dyDescent="0.3">
      <c r="A641" s="888" t="s">
        <v>2062</v>
      </c>
      <c r="B641" s="935" t="s">
        <v>5075</v>
      </c>
      <c r="C641" s="938" t="s">
        <v>5116</v>
      </c>
      <c r="D641" s="888"/>
      <c r="E641" s="936" t="str">
        <f>$E$606</f>
        <v>R-VALUE:</v>
      </c>
      <c r="I641" s="888"/>
      <c r="J641" s="888"/>
      <c r="K641" s="888"/>
      <c r="L641" s="888"/>
      <c r="M641" s="888"/>
      <c r="N641" s="888"/>
      <c r="O641" s="888"/>
      <c r="P641" s="888"/>
      <c r="Q641" s="888"/>
      <c r="R641" s="888"/>
    </row>
    <row r="642" spans="1:18" s="893" customFormat="1" x14ac:dyDescent="0.3">
      <c r="A642" s="888" t="s">
        <v>2062</v>
      </c>
      <c r="B642" s="888" t="s">
        <v>1696</v>
      </c>
      <c r="C642" s="888" t="s">
        <v>7444</v>
      </c>
      <c r="D642" s="888"/>
      <c r="E642" s="918" t="str">
        <f>$E$224</f>
        <v>XPS foam board - AVERAGE</v>
      </c>
      <c r="I642" s="888"/>
      <c r="J642" s="888"/>
      <c r="K642" s="888"/>
      <c r="L642" s="888"/>
      <c r="M642" s="888"/>
      <c r="N642" s="888"/>
      <c r="O642" s="888"/>
      <c r="P642" s="888"/>
      <c r="Q642" s="888"/>
      <c r="R642" s="888"/>
    </row>
    <row r="643" spans="1:18" s="893" customFormat="1" x14ac:dyDescent="0.3">
      <c r="A643" s="888" t="s">
        <v>2062</v>
      </c>
      <c r="B643" s="888" t="s">
        <v>1696</v>
      </c>
      <c r="C643" s="888" t="s">
        <v>2671</v>
      </c>
      <c r="D643" s="888"/>
      <c r="E643" s="893" t="str">
        <f>$E$490</f>
        <v>POLYISOCYANURATE FOAM BOARD</v>
      </c>
      <c r="I643" s="888"/>
      <c r="J643" s="888"/>
      <c r="K643" s="888"/>
      <c r="L643" s="888"/>
      <c r="M643" s="888"/>
      <c r="N643" s="888"/>
      <c r="O643" s="888"/>
      <c r="P643" s="888"/>
      <c r="Q643" s="888"/>
      <c r="R643" s="888"/>
    </row>
    <row r="644" spans="1:18" s="893" customFormat="1" x14ac:dyDescent="0.3">
      <c r="A644" s="888" t="s">
        <v>2062</v>
      </c>
      <c r="B644" s="935" t="s">
        <v>5075</v>
      </c>
      <c r="C644" s="938" t="s">
        <v>2651</v>
      </c>
      <c r="D644" s="888"/>
      <c r="E644" s="936" t="str">
        <f>$E$606</f>
        <v>R-VALUE:</v>
      </c>
      <c r="I644" s="888"/>
      <c r="J644" s="888"/>
      <c r="K644" s="888"/>
      <c r="L644" s="888"/>
      <c r="M644" s="888"/>
      <c r="N644" s="888"/>
      <c r="O644" s="888"/>
      <c r="P644" s="888"/>
      <c r="Q644" s="888"/>
      <c r="R644" s="888"/>
    </row>
    <row r="645" spans="1:18" s="893" customFormat="1" x14ac:dyDescent="0.3">
      <c r="A645" s="888" t="s">
        <v>2062</v>
      </c>
      <c r="B645" s="888" t="s">
        <v>1696</v>
      </c>
      <c r="C645" s="888" t="s">
        <v>5056</v>
      </c>
      <c r="D645" s="888"/>
      <c r="E645" s="893" t="str">
        <f>$E$491</f>
        <v>Polyisocyanurate - AVERAGE</v>
      </c>
      <c r="I645" s="888"/>
      <c r="J645" s="888"/>
      <c r="K645" s="888"/>
      <c r="L645" s="888"/>
      <c r="M645" s="888"/>
      <c r="N645" s="888"/>
      <c r="O645" s="888"/>
      <c r="P645" s="888"/>
      <c r="Q645" s="888"/>
      <c r="R645" s="888"/>
    </row>
    <row r="646" spans="1:18" s="893" customFormat="1" x14ac:dyDescent="0.3">
      <c r="A646" s="888" t="s">
        <v>2062</v>
      </c>
      <c r="B646" s="888" t="s">
        <v>1696</v>
      </c>
      <c r="C646" s="888" t="s">
        <v>7445</v>
      </c>
      <c r="D646" s="888"/>
      <c r="E646" s="893" t="str">
        <f>$E$225</f>
        <v>MINERAL WOOL BOARD</v>
      </c>
      <c r="I646" s="888"/>
      <c r="J646" s="888"/>
      <c r="K646" s="888"/>
      <c r="L646" s="888"/>
      <c r="M646" s="888"/>
      <c r="N646" s="888"/>
      <c r="O646" s="888"/>
      <c r="P646" s="888"/>
      <c r="Q646" s="888"/>
      <c r="R646" s="888"/>
    </row>
    <row r="647" spans="1:18" s="893" customFormat="1" x14ac:dyDescent="0.3">
      <c r="A647" s="888" t="s">
        <v>2062</v>
      </c>
      <c r="B647" s="935" t="s">
        <v>5075</v>
      </c>
      <c r="C647" s="938" t="s">
        <v>5117</v>
      </c>
      <c r="D647" s="888"/>
      <c r="E647" s="936" t="str">
        <f>$E$606</f>
        <v>R-VALUE:</v>
      </c>
      <c r="I647" s="888"/>
      <c r="J647" s="888"/>
      <c r="K647" s="888"/>
      <c r="L647" s="888"/>
      <c r="M647" s="888"/>
      <c r="N647" s="888"/>
      <c r="O647" s="888"/>
      <c r="P647" s="888"/>
      <c r="Q647" s="888"/>
      <c r="R647" s="888"/>
    </row>
    <row r="648" spans="1:18" s="893" customFormat="1" x14ac:dyDescent="0.3">
      <c r="A648" s="888" t="s">
        <v>2062</v>
      </c>
      <c r="B648" s="935" t="s">
        <v>5075</v>
      </c>
      <c r="C648" s="888" t="s">
        <v>3831</v>
      </c>
      <c r="D648" s="888"/>
      <c r="E648" s="893" t="str">
        <f>$E$493</f>
        <v>Mineral wool board - AVERAGE</v>
      </c>
      <c r="I648" s="888"/>
      <c r="J648" s="888"/>
      <c r="K648" s="888"/>
      <c r="L648" s="888"/>
      <c r="M648" s="888"/>
      <c r="N648" s="888"/>
      <c r="O648" s="888"/>
      <c r="P648" s="888"/>
      <c r="Q648" s="888"/>
      <c r="R648" s="888"/>
    </row>
    <row r="649" spans="1:18" s="893" customFormat="1" x14ac:dyDescent="0.3">
      <c r="A649" s="888" t="s">
        <v>2062</v>
      </c>
      <c r="B649" s="935" t="s">
        <v>5075</v>
      </c>
      <c r="C649" s="888" t="s">
        <v>2230</v>
      </c>
      <c r="D649" s="888"/>
      <c r="E649" s="893" t="s">
        <v>1649</v>
      </c>
      <c r="I649" s="888"/>
      <c r="J649" s="888"/>
      <c r="K649" s="888"/>
      <c r="L649" s="888"/>
      <c r="M649" s="888"/>
      <c r="N649" s="888"/>
      <c r="O649" s="888"/>
      <c r="P649" s="888"/>
      <c r="Q649" s="888"/>
      <c r="R649" s="888"/>
    </row>
    <row r="650" spans="1:18" s="893" customFormat="1" x14ac:dyDescent="0.3">
      <c r="A650" s="888" t="s">
        <v>2062</v>
      </c>
      <c r="B650" s="888" t="s">
        <v>1696</v>
      </c>
      <c r="C650" s="938" t="s">
        <v>2678</v>
      </c>
      <c r="D650" s="888"/>
      <c r="E650" s="939" t="str">
        <f>$E$231</f>
        <v>CORK BOARD</v>
      </c>
      <c r="I650" s="888"/>
      <c r="J650" s="888"/>
      <c r="K650" s="888"/>
      <c r="L650" s="888"/>
      <c r="M650" s="888"/>
      <c r="N650" s="888"/>
      <c r="O650" s="888"/>
      <c r="P650" s="888"/>
      <c r="Q650" s="888"/>
      <c r="R650" s="888"/>
    </row>
    <row r="651" spans="1:18" s="893" customFormat="1" x14ac:dyDescent="0.3">
      <c r="A651" s="888" t="s">
        <v>2062</v>
      </c>
      <c r="B651" s="935" t="s">
        <v>5075</v>
      </c>
      <c r="C651" s="938" t="s">
        <v>3835</v>
      </c>
      <c r="D651" s="888"/>
      <c r="E651" s="893" t="str">
        <f>$E$497</f>
        <v>Cork board - AVERAGE</v>
      </c>
      <c r="I651" s="888"/>
      <c r="J651" s="888"/>
      <c r="K651" s="888"/>
      <c r="L651" s="888"/>
      <c r="M651" s="888"/>
      <c r="N651" s="888"/>
      <c r="O651" s="888"/>
      <c r="P651" s="888"/>
      <c r="Q651" s="888"/>
      <c r="R651" s="888"/>
    </row>
    <row r="652" spans="1:18" s="893" customFormat="1" x14ac:dyDescent="0.3">
      <c r="A652" s="888" t="s">
        <v>2062</v>
      </c>
      <c r="B652" s="888" t="s">
        <v>1696</v>
      </c>
      <c r="C652" s="888" t="s">
        <v>4888</v>
      </c>
      <c r="D652" s="888"/>
      <c r="E652" s="893" t="s">
        <v>1644</v>
      </c>
      <c r="I652" s="888"/>
      <c r="J652" s="888"/>
      <c r="K652" s="888"/>
      <c r="L652" s="888"/>
      <c r="M652" s="888"/>
      <c r="N652" s="888"/>
      <c r="O652" s="888"/>
      <c r="P652" s="888"/>
      <c r="Q652" s="888"/>
      <c r="R652" s="888"/>
    </row>
    <row r="653" spans="1:18" s="893" customFormat="1" x14ac:dyDescent="0.3">
      <c r="A653" s="888" t="s">
        <v>2062</v>
      </c>
      <c r="B653" s="888" t="s">
        <v>1696</v>
      </c>
      <c r="C653" s="888" t="s">
        <v>2682</v>
      </c>
      <c r="D653" s="888"/>
      <c r="E653" s="893" t="str">
        <f>$E$361</f>
        <v>DRYWALL 1/2"</v>
      </c>
      <c r="I653" s="888"/>
      <c r="J653" s="888"/>
      <c r="K653" s="888"/>
      <c r="L653" s="888"/>
      <c r="M653" s="888"/>
      <c r="N653" s="888"/>
      <c r="O653" s="888"/>
      <c r="P653" s="888"/>
      <c r="Q653" s="888"/>
      <c r="R653" s="888"/>
    </row>
    <row r="654" spans="1:18" s="893" customFormat="1" x14ac:dyDescent="0.3">
      <c r="A654" s="888" t="s">
        <v>2062</v>
      </c>
      <c r="B654" s="888" t="s">
        <v>1696</v>
      </c>
      <c r="C654" s="888" t="s">
        <v>7446</v>
      </c>
      <c r="D654" s="888"/>
      <c r="E654" s="893" t="s">
        <v>1069</v>
      </c>
      <c r="I654" s="888"/>
      <c r="J654" s="888"/>
      <c r="K654" s="888"/>
      <c r="L654" s="888"/>
      <c r="M654" s="888"/>
      <c r="N654" s="888"/>
      <c r="O654" s="888"/>
      <c r="P654" s="888"/>
      <c r="Q654" s="888"/>
      <c r="R654" s="888"/>
    </row>
    <row r="655" spans="1:18" s="893" customFormat="1" x14ac:dyDescent="0.3">
      <c r="A655" s="888" t="s">
        <v>2062</v>
      </c>
      <c r="B655" s="888" t="s">
        <v>1696</v>
      </c>
      <c r="C655" s="888" t="s">
        <v>2685</v>
      </c>
      <c r="D655" s="888"/>
      <c r="E655" s="893" t="str">
        <f>$E$363</f>
        <v>DRYWALL 5/8"</v>
      </c>
      <c r="I655" s="888"/>
      <c r="J655" s="888"/>
      <c r="K655" s="888"/>
      <c r="L655" s="888"/>
      <c r="M655" s="888"/>
      <c r="N655" s="888"/>
      <c r="O655" s="888"/>
      <c r="P655" s="888"/>
      <c r="Q655" s="888"/>
      <c r="R655" s="888"/>
    </row>
    <row r="656" spans="1:18" s="893" customFormat="1" x14ac:dyDescent="0.3">
      <c r="A656" s="888" t="s">
        <v>2062</v>
      </c>
      <c r="B656" s="888" t="s">
        <v>1696</v>
      </c>
      <c r="C656" s="888" t="s">
        <v>7447</v>
      </c>
      <c r="D656" s="888"/>
      <c r="E656" s="893" t="s">
        <v>4937</v>
      </c>
      <c r="I656" s="888"/>
      <c r="J656" s="888"/>
      <c r="K656" s="888"/>
      <c r="L656" s="888"/>
      <c r="M656" s="888"/>
      <c r="N656" s="888"/>
      <c r="O656" s="888"/>
      <c r="P656" s="888"/>
      <c r="Q656" s="888"/>
      <c r="R656" s="888"/>
    </row>
    <row r="657" spans="1:18" s="893" customFormat="1" x14ac:dyDescent="0.3">
      <c r="A657" s="888" t="s">
        <v>2062</v>
      </c>
      <c r="B657" s="888" t="s">
        <v>1696</v>
      </c>
      <c r="C657" s="888" t="s">
        <v>2349</v>
      </c>
      <c r="D657" s="888"/>
      <c r="E657" s="893" t="str">
        <f>$E$365</f>
        <v>OTHER CLADDING MATERIALS</v>
      </c>
      <c r="I657" s="888"/>
      <c r="J657" s="888"/>
      <c r="K657" s="888"/>
      <c r="L657" s="888"/>
      <c r="M657" s="888"/>
      <c r="N657" s="888"/>
      <c r="O657" s="888"/>
      <c r="P657" s="888"/>
      <c r="Q657" s="888"/>
      <c r="R657" s="888"/>
    </row>
    <row r="658" spans="1:18" s="893" customFormat="1" x14ac:dyDescent="0.3">
      <c r="A658" s="888" t="s">
        <v>2062</v>
      </c>
      <c r="B658" s="888" t="s">
        <v>1696</v>
      </c>
      <c r="C658" s="888" t="s">
        <v>7448</v>
      </c>
      <c r="D658" s="888"/>
      <c r="E658" s="893" t="str">
        <f>$E$450</f>
        <v>STRUCTURAL SHEATHING</v>
      </c>
      <c r="I658" s="888"/>
      <c r="J658" s="888"/>
      <c r="K658" s="888"/>
      <c r="L658" s="888"/>
      <c r="M658" s="888"/>
      <c r="N658" s="888"/>
      <c r="O658" s="888"/>
      <c r="P658" s="888"/>
      <c r="Q658" s="888"/>
      <c r="R658" s="888"/>
    </row>
    <row r="659" spans="1:18" s="893" customFormat="1" x14ac:dyDescent="0.3">
      <c r="A659" s="888" t="s">
        <v>2062</v>
      </c>
      <c r="B659" s="888" t="s">
        <v>1696</v>
      </c>
      <c r="C659" s="888" t="s">
        <v>2709</v>
      </c>
      <c r="D659" s="888"/>
      <c r="E659" s="893" t="str">
        <f>$E$451</f>
        <v>ORIENTED STRAND BOARD</v>
      </c>
      <c r="I659" s="888"/>
      <c r="J659" s="888"/>
      <c r="K659" s="888"/>
      <c r="L659" s="888"/>
      <c r="M659" s="888"/>
      <c r="N659" s="888"/>
      <c r="O659" s="888"/>
      <c r="P659" s="888"/>
      <c r="Q659" s="888"/>
      <c r="R659" s="888"/>
    </row>
    <row r="660" spans="1:18" s="893" customFormat="1" x14ac:dyDescent="0.3">
      <c r="A660" s="888" t="s">
        <v>2062</v>
      </c>
      <c r="B660" s="888" t="s">
        <v>1696</v>
      </c>
      <c r="C660" s="938" t="s">
        <v>7449</v>
      </c>
      <c r="D660" s="888"/>
      <c r="E660" s="939" t="str">
        <f>$E$452</f>
        <v>OSB SHEATHING &amp; BARRIER SYSTEM</v>
      </c>
      <c r="I660" s="888"/>
      <c r="J660" s="888"/>
      <c r="K660" s="888"/>
      <c r="L660" s="888"/>
      <c r="M660" s="888"/>
      <c r="N660" s="888"/>
      <c r="O660" s="888"/>
      <c r="P660" s="888"/>
      <c r="Q660" s="888"/>
      <c r="R660" s="888"/>
    </row>
    <row r="661" spans="1:18" s="893" customFormat="1" x14ac:dyDescent="0.3">
      <c r="A661" s="888" t="s">
        <v>2062</v>
      </c>
      <c r="B661" s="888" t="s">
        <v>1696</v>
      </c>
      <c r="C661" s="888" t="s">
        <v>7450</v>
      </c>
      <c r="D661" s="888"/>
      <c r="E661" s="893" t="str">
        <f>$E$453</f>
        <v>PLYWOOD</v>
      </c>
      <c r="I661" s="888"/>
      <c r="J661" s="888"/>
      <c r="K661" s="888"/>
      <c r="L661" s="888"/>
      <c r="M661" s="888"/>
      <c r="N661" s="888"/>
      <c r="O661" s="888"/>
      <c r="P661" s="888"/>
      <c r="Q661" s="888"/>
      <c r="R661" s="888"/>
    </row>
    <row r="662" spans="1:18" s="893" customFormat="1" x14ac:dyDescent="0.3">
      <c r="A662" s="888" t="s">
        <v>2062</v>
      </c>
      <c r="B662" s="888" t="s">
        <v>1696</v>
      </c>
      <c r="C662" s="888" t="s">
        <v>2733</v>
      </c>
      <c r="D662" s="888"/>
      <c r="E662" s="893" t="str">
        <f>$E$454</f>
        <v>GYPSUM STRUCTURAL SHEATHING</v>
      </c>
      <c r="I662" s="888"/>
      <c r="J662" s="888"/>
      <c r="K662" s="888"/>
      <c r="L662" s="888"/>
      <c r="M662" s="888"/>
      <c r="N662" s="888"/>
      <c r="O662" s="888"/>
      <c r="P662" s="888"/>
      <c r="Q662" s="888"/>
      <c r="R662" s="888"/>
    </row>
    <row r="663" spans="1:18" x14ac:dyDescent="0.3">
      <c r="A663" s="888" t="s">
        <v>2062</v>
      </c>
      <c r="B663" s="888" t="s">
        <v>1696</v>
      </c>
      <c r="C663" s="888" t="s">
        <v>6858</v>
      </c>
      <c r="E663" s="893" t="str">
        <f>$E$455</f>
        <v>CEMENT BOARD</v>
      </c>
    </row>
    <row r="664" spans="1:18" x14ac:dyDescent="0.3">
      <c r="A664" s="888" t="s">
        <v>2062</v>
      </c>
      <c r="B664" s="935" t="s">
        <v>5075</v>
      </c>
      <c r="C664" s="888" t="s">
        <v>5073</v>
      </c>
      <c r="E664" s="893" t="s">
        <v>1648</v>
      </c>
    </row>
    <row r="665" spans="1:18" x14ac:dyDescent="0.3">
      <c r="A665" s="888" t="s">
        <v>2062</v>
      </c>
      <c r="B665" s="888" t="s">
        <v>1696</v>
      </c>
      <c r="C665" s="888" t="s">
        <v>7451</v>
      </c>
      <c r="E665" s="893" t="str">
        <f>$E$302</f>
        <v>INSULATED CONCRETE FORMS (ICF) - EPS FOAM</v>
      </c>
    </row>
    <row r="666" spans="1:18" x14ac:dyDescent="0.3">
      <c r="A666" s="888" t="s">
        <v>2062</v>
      </c>
      <c r="B666" s="888" t="s">
        <v>1696</v>
      </c>
      <c r="C666" s="888" t="s">
        <v>7452</v>
      </c>
      <c r="E666" s="893" t="str">
        <f>$E$303</f>
        <v>Step 1: Select ICF size</v>
      </c>
    </row>
    <row r="667" spans="1:18" x14ac:dyDescent="0.3">
      <c r="A667" s="888" t="s">
        <v>2062</v>
      </c>
      <c r="B667" s="888" t="s">
        <v>1696</v>
      </c>
      <c r="C667" s="940" t="s">
        <v>7453</v>
      </c>
      <c r="E667" s="893" t="str">
        <f>$E$193</f>
        <v>CONCRETE – 25 MPa or less</v>
      </c>
    </row>
    <row r="668" spans="1:18" x14ac:dyDescent="0.3">
      <c r="A668" s="888" t="s">
        <v>2062</v>
      </c>
      <c r="B668" s="888" t="s">
        <v>1696</v>
      </c>
      <c r="C668" s="888" t="s">
        <v>5074</v>
      </c>
      <c r="E668" s="893" t="str">
        <f>$E$305</f>
        <v>Step 2: Select concrete fill option.</v>
      </c>
    </row>
    <row r="669" spans="1:18" x14ac:dyDescent="0.3">
      <c r="A669" s="888" t="s">
        <v>2062</v>
      </c>
      <c r="B669" s="888" t="s">
        <v>1696</v>
      </c>
      <c r="C669" s="940" t="s">
        <v>6869</v>
      </c>
      <c r="E669" s="893" t="str">
        <f>$E$195</f>
        <v>CONCRETE – 26-30 MPa</v>
      </c>
    </row>
    <row r="670" spans="1:18" x14ac:dyDescent="0.3">
      <c r="A670" s="888" t="s">
        <v>2062</v>
      </c>
      <c r="B670" s="888" t="s">
        <v>1696</v>
      </c>
      <c r="C670" s="940" t="s">
        <v>7454</v>
      </c>
      <c r="E670" s="893" t="str">
        <f>$E$194</f>
        <v>Concrete mix specification makes a big difference in carbon footprint. The mix specifications here can be used to discuss low-carbon mix options with your supplier.</v>
      </c>
    </row>
    <row r="671" spans="1:18" x14ac:dyDescent="0.3">
      <c r="A671" s="888" t="s">
        <v>2062</v>
      </c>
      <c r="B671" s="888" t="s">
        <v>1696</v>
      </c>
      <c r="C671" s="940" t="s">
        <v>3864</v>
      </c>
      <c r="E671" s="893" t="str">
        <f>$E$197</f>
        <v>CONCRETE – 31-35 MPa</v>
      </c>
    </row>
    <row r="672" spans="1:18" x14ac:dyDescent="0.3">
      <c r="A672" s="888" t="s">
        <v>2062</v>
      </c>
      <c r="B672" s="888" t="s">
        <v>1696</v>
      </c>
      <c r="C672" s="940" t="s">
        <v>7455</v>
      </c>
      <c r="E672" s="893" t="str">
        <f>$E$194</f>
        <v>Concrete mix specification makes a big difference in carbon footprint. The mix specifications here can be used to discuss low-carbon mix options with your supplier.</v>
      </c>
    </row>
    <row r="673" spans="1:19" x14ac:dyDescent="0.3">
      <c r="A673" s="888" t="s">
        <v>2062</v>
      </c>
      <c r="B673" s="888" t="s">
        <v>1696</v>
      </c>
      <c r="C673" s="888" t="s">
        <v>7456</v>
      </c>
      <c r="E673" s="893" t="str">
        <f>$E$310</f>
        <v>INSULATED CONCRETE FORMS (ICF) - WOOD CHIP/CEMENT</v>
      </c>
    </row>
    <row r="674" spans="1:19" x14ac:dyDescent="0.3">
      <c r="A674" s="888" t="s">
        <v>2062</v>
      </c>
      <c r="B674" s="888" t="s">
        <v>1696</v>
      </c>
      <c r="C674" s="941" t="s">
        <v>7457</v>
      </c>
      <c r="E674" s="942" t="str">
        <f>$E$529</f>
        <v>Step 1: Select ICF size and insulation</v>
      </c>
    </row>
    <row r="675" spans="1:19" x14ac:dyDescent="0.3">
      <c r="A675" s="888" t="s">
        <v>2062</v>
      </c>
      <c r="B675" s="888" t="s">
        <v>1696</v>
      </c>
      <c r="C675" s="888" t="s">
        <v>3882</v>
      </c>
      <c r="E675" s="927" t="str">
        <f>$E$530</f>
        <v>CONCRETE – 25 MPa or less</v>
      </c>
    </row>
    <row r="676" spans="1:19" ht="15" customHeight="1" x14ac:dyDescent="0.3">
      <c r="A676" s="888" t="s">
        <v>2062</v>
      </c>
      <c r="B676" s="888" t="s">
        <v>1696</v>
      </c>
      <c r="C676" s="888" t="s">
        <v>7458</v>
      </c>
      <c r="D676" s="888" t="b">
        <v>1</v>
      </c>
      <c r="E676" s="1682" t="str">
        <f>$E$531</f>
        <v>Step 2: Select concrete fill option for the ICF wall system. The quantity of concrete adapts to the ICF selected.</v>
      </c>
      <c r="F676" s="1683"/>
    </row>
    <row r="677" spans="1:19" ht="15" customHeight="1" x14ac:dyDescent="0.3">
      <c r="A677" s="888" t="s">
        <v>2083</v>
      </c>
      <c r="E677" s="1682"/>
      <c r="F677" s="1683"/>
    </row>
    <row r="678" spans="1:19" ht="15" customHeight="1" x14ac:dyDescent="0.3">
      <c r="A678" s="888" t="s">
        <v>2083</v>
      </c>
      <c r="E678" s="1682"/>
      <c r="F678" s="1683"/>
    </row>
    <row r="679" spans="1:19" ht="15" customHeight="1" x14ac:dyDescent="0.3">
      <c r="A679" s="888" t="s">
        <v>2083</v>
      </c>
      <c r="E679" s="1682"/>
      <c r="F679" s="1683"/>
    </row>
    <row r="680" spans="1:19" ht="15" customHeight="1" x14ac:dyDescent="0.3">
      <c r="A680" s="888" t="s">
        <v>2083</v>
      </c>
      <c r="E680" s="1682"/>
      <c r="F680" s="1683"/>
    </row>
    <row r="681" spans="1:19" ht="15" customHeight="1" x14ac:dyDescent="0.3">
      <c r="A681" s="888" t="s">
        <v>2083</v>
      </c>
      <c r="E681" s="1684"/>
      <c r="F681" s="1685"/>
    </row>
    <row r="682" spans="1:19" x14ac:dyDescent="0.3">
      <c r="A682" s="888" t="s">
        <v>2062</v>
      </c>
      <c r="B682" s="888" t="s">
        <v>1696</v>
      </c>
      <c r="C682" s="940" t="s">
        <v>7459</v>
      </c>
      <c r="E682" s="893" t="str">
        <f>$E$195</f>
        <v>CONCRETE – 26-30 MPa</v>
      </c>
    </row>
    <row r="683" spans="1:19" x14ac:dyDescent="0.3">
      <c r="A683" s="888" t="s">
        <v>2062</v>
      </c>
      <c r="B683" s="888" t="s">
        <v>1696</v>
      </c>
      <c r="C683" s="940" t="s">
        <v>7460</v>
      </c>
      <c r="E683" s="893" t="str">
        <f>$E$194</f>
        <v>Concrete mix specification makes a big difference in carbon footprint. The mix specifications here can be used to discuss low-carbon mix options with your supplier.</v>
      </c>
    </row>
    <row r="684" spans="1:19" x14ac:dyDescent="0.3">
      <c r="A684" s="888" t="s">
        <v>2062</v>
      </c>
      <c r="B684" s="888" t="s">
        <v>1696</v>
      </c>
      <c r="C684" s="940" t="s">
        <v>7461</v>
      </c>
      <c r="E684" s="893" t="str">
        <f>$E$197</f>
        <v>CONCRETE – 31-35 MPa</v>
      </c>
    </row>
    <row r="685" spans="1:19" x14ac:dyDescent="0.3">
      <c r="A685" s="888" t="s">
        <v>2062</v>
      </c>
      <c r="B685" s="888" t="s">
        <v>1696</v>
      </c>
      <c r="C685" s="940" t="s">
        <v>7462</v>
      </c>
      <c r="E685" s="893" t="str">
        <f>$E$194</f>
        <v>Concrete mix specification makes a big difference in carbon footprint. The mix specifications here can be used to discuss low-carbon mix options with your supplier.</v>
      </c>
    </row>
    <row r="686" spans="1:19" x14ac:dyDescent="0.3">
      <c r="A686" s="888" t="s">
        <v>2062</v>
      </c>
      <c r="B686" s="888" t="s">
        <v>1098</v>
      </c>
      <c r="C686" s="888" t="s">
        <v>2124</v>
      </c>
      <c r="E686" s="893" t="s">
        <v>71</v>
      </c>
    </row>
    <row r="687" spans="1:19" x14ac:dyDescent="0.3">
      <c r="A687" s="888" t="s">
        <v>2062</v>
      </c>
      <c r="B687" s="888" t="s">
        <v>1098</v>
      </c>
      <c r="C687" s="888" t="s">
        <v>2125</v>
      </c>
      <c r="E687" s="893" t="s">
        <v>65</v>
      </c>
    </row>
    <row r="688" spans="1:19" ht="198" customHeight="1" x14ac:dyDescent="0.3">
      <c r="A688" s="888" t="s">
        <v>2062</v>
      </c>
      <c r="B688" s="888" t="s">
        <v>1098</v>
      </c>
      <c r="C688" s="888" t="s">
        <v>2063</v>
      </c>
      <c r="D688" s="888" t="b">
        <v>1</v>
      </c>
      <c r="E688" s="1671"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688" s="1671"/>
      <c r="G688" s="1671"/>
      <c r="H688" s="1671"/>
      <c r="I688" s="1671"/>
      <c r="J688" s="1671"/>
      <c r="K688" s="1671"/>
      <c r="L688" s="1671"/>
      <c r="M688" s="1671"/>
      <c r="N688" s="1671"/>
      <c r="O688" s="1671"/>
      <c r="P688" s="1671"/>
      <c r="Q688" s="1671"/>
      <c r="R688" s="1671"/>
      <c r="S688" s="1671"/>
    </row>
    <row r="689" spans="1:18" x14ac:dyDescent="0.3">
      <c r="A689" s="888" t="s">
        <v>2062</v>
      </c>
      <c r="B689" s="888" t="s">
        <v>1098</v>
      </c>
      <c r="C689" s="888" t="s">
        <v>2064</v>
      </c>
      <c r="E689" s="888" t="str">
        <f>$E$170</f>
        <v>CATEGORY</v>
      </c>
    </row>
    <row r="690" spans="1:18" x14ac:dyDescent="0.3">
      <c r="A690" s="888" t="s">
        <v>2062</v>
      </c>
      <c r="B690" s="888" t="s">
        <v>1098</v>
      </c>
      <c r="C690" s="888" t="s">
        <v>2126</v>
      </c>
      <c r="E690" s="893" t="str">
        <f>$E$171</f>
        <v>MATERIAL</v>
      </c>
    </row>
    <row r="691" spans="1:18" x14ac:dyDescent="0.3">
      <c r="A691" s="888" t="s">
        <v>2062</v>
      </c>
      <c r="B691" s="888" t="s">
        <v>1098</v>
      </c>
      <c r="C691" s="888" t="s">
        <v>2127</v>
      </c>
      <c r="E691" s="893" t="str">
        <f>$E$127</f>
        <v>QUANTITY</v>
      </c>
    </row>
    <row r="692" spans="1:18" x14ac:dyDescent="0.3">
      <c r="A692" s="888" t="s">
        <v>2062</v>
      </c>
      <c r="B692" s="888" t="s">
        <v>1098</v>
      </c>
      <c r="C692" s="888" t="s">
        <v>2128</v>
      </c>
      <c r="E692" s="888" t="str">
        <f>$E$173</f>
        <v xml:space="preserve"> SELECT</v>
      </c>
    </row>
    <row r="693" spans="1:18" ht="15" customHeight="1" x14ac:dyDescent="0.3">
      <c r="A693" s="888" t="s">
        <v>2062</v>
      </c>
      <c r="B693" s="908" t="s">
        <v>7395</v>
      </c>
      <c r="C693" s="888" t="s">
        <v>2129</v>
      </c>
      <c r="D693" s="888" t="b">
        <v>1</v>
      </c>
      <c r="E693" s="1669" t="str">
        <f>$E$174</f>
        <v>NET kgCO2e EMISSIONS</v>
      </c>
    </row>
    <row r="694" spans="1:18" ht="15" customHeight="1" x14ac:dyDescent="0.3">
      <c r="A694" s="888" t="s">
        <v>2083</v>
      </c>
      <c r="E694" s="1670"/>
    </row>
    <row r="695" spans="1:18" s="893" customFormat="1" ht="26.4" customHeight="1" x14ac:dyDescent="0.3">
      <c r="A695" s="888" t="s">
        <v>2062</v>
      </c>
      <c r="B695" s="908" t="s">
        <v>7395</v>
      </c>
      <c r="C695" s="888" t="s">
        <v>2130</v>
      </c>
      <c r="D695" s="888" t="b">
        <v>1</v>
      </c>
      <c r="E695" s="1669" t="str">
        <f>$E$176</f>
        <v>SELECTED MATERIAL kgCO2e CONTENT</v>
      </c>
      <c r="I695" s="888"/>
      <c r="J695" s="888"/>
      <c r="K695" s="888"/>
      <c r="L695" s="888"/>
      <c r="M695" s="888"/>
      <c r="N695" s="888"/>
      <c r="O695" s="888"/>
      <c r="P695" s="888"/>
      <c r="Q695" s="888"/>
      <c r="R695" s="888"/>
    </row>
    <row r="696" spans="1:18" s="893" customFormat="1" ht="15" customHeight="1" x14ac:dyDescent="0.3">
      <c r="A696" s="888" t="s">
        <v>2083</v>
      </c>
      <c r="B696" s="888"/>
      <c r="C696" s="888"/>
      <c r="D696" s="888"/>
      <c r="E696" s="1670"/>
      <c r="I696" s="888"/>
      <c r="J696" s="888"/>
      <c r="K696" s="888"/>
      <c r="L696" s="888"/>
      <c r="M696" s="888"/>
      <c r="N696" s="888"/>
      <c r="O696" s="888"/>
      <c r="P696" s="888"/>
      <c r="Q696" s="888"/>
      <c r="R696" s="888"/>
    </row>
    <row r="697" spans="1:18" s="893" customFormat="1" ht="15" customHeight="1" x14ac:dyDescent="0.3">
      <c r="A697" s="888" t="s">
        <v>2062</v>
      </c>
      <c r="B697" s="888" t="s">
        <v>1098</v>
      </c>
      <c r="C697" s="888" t="s">
        <v>2131</v>
      </c>
      <c r="D697" s="888" t="b">
        <v>1</v>
      </c>
      <c r="E697" s="1669" t="str">
        <f>$E$178</f>
        <v>kgCO2e EMISSIONS</v>
      </c>
      <c r="I697" s="888"/>
      <c r="J697" s="888"/>
      <c r="K697" s="888"/>
      <c r="L697" s="888"/>
      <c r="M697" s="888"/>
      <c r="N697" s="888"/>
      <c r="O697" s="888"/>
      <c r="P697" s="888"/>
      <c r="Q697" s="888"/>
      <c r="R697" s="888"/>
    </row>
    <row r="698" spans="1:18" s="893" customFormat="1" ht="15" customHeight="1" x14ac:dyDescent="0.3">
      <c r="A698" s="888" t="s">
        <v>2083</v>
      </c>
      <c r="B698" s="888"/>
      <c r="C698" s="888"/>
      <c r="D698" s="888"/>
      <c r="E698" s="1670"/>
      <c r="I698" s="888"/>
      <c r="J698" s="888"/>
      <c r="K698" s="888"/>
      <c r="L698" s="888"/>
      <c r="M698" s="888"/>
      <c r="N698" s="888"/>
      <c r="O698" s="888"/>
      <c r="P698" s="888"/>
      <c r="Q698" s="888"/>
      <c r="R698" s="888"/>
    </row>
    <row r="699" spans="1:18" s="893" customFormat="1" ht="15" customHeight="1" x14ac:dyDescent="0.3">
      <c r="A699" s="888" t="s">
        <v>2062</v>
      </c>
      <c r="B699" s="888" t="s">
        <v>1098</v>
      </c>
      <c r="C699" s="888" t="s">
        <v>2132</v>
      </c>
      <c r="D699" s="888" t="b">
        <v>1</v>
      </c>
      <c r="E699" s="1669" t="str">
        <f>$E$180</f>
        <v>kgCO2 STORAGE</v>
      </c>
      <c r="I699" s="888"/>
      <c r="J699" s="888"/>
      <c r="K699" s="888"/>
      <c r="L699" s="888"/>
      <c r="M699" s="888"/>
      <c r="N699" s="888"/>
      <c r="O699" s="888"/>
      <c r="P699" s="888"/>
      <c r="Q699" s="888"/>
      <c r="R699" s="888"/>
    </row>
    <row r="700" spans="1:18" s="893" customFormat="1" ht="15" customHeight="1" x14ac:dyDescent="0.3">
      <c r="A700" s="888" t="s">
        <v>2083</v>
      </c>
      <c r="B700" s="888"/>
      <c r="C700" s="888"/>
      <c r="D700" s="888"/>
      <c r="E700" s="1670"/>
      <c r="I700" s="888"/>
      <c r="J700" s="888"/>
      <c r="K700" s="888"/>
      <c r="L700" s="888"/>
      <c r="M700" s="888"/>
      <c r="N700" s="888"/>
      <c r="O700" s="888"/>
      <c r="P700" s="888"/>
      <c r="Q700" s="888"/>
      <c r="R700" s="888"/>
    </row>
    <row r="701" spans="1:18" s="893" customFormat="1" ht="15" customHeight="1" x14ac:dyDescent="0.3">
      <c r="A701" s="888" t="s">
        <v>2062</v>
      </c>
      <c r="B701" s="888" t="s">
        <v>1098</v>
      </c>
      <c r="C701" s="909" t="s">
        <v>2070</v>
      </c>
      <c r="D701" s="888" t="b">
        <v>1</v>
      </c>
      <c r="E701" s="1520" t="str">
        <f>$E$182</f>
        <v xml:space="preserve">  Note</v>
      </c>
      <c r="F701" s="1520"/>
      <c r="I701" s="888"/>
      <c r="J701" s="888"/>
      <c r="K701" s="888"/>
      <c r="L701" s="888"/>
      <c r="M701" s="888"/>
      <c r="N701" s="888"/>
      <c r="O701" s="888"/>
      <c r="P701" s="888"/>
      <c r="Q701" s="888"/>
      <c r="R701" s="888"/>
    </row>
    <row r="702" spans="1:18" s="893" customFormat="1" ht="15" customHeight="1" x14ac:dyDescent="0.3">
      <c r="A702" s="888" t="s">
        <v>2083</v>
      </c>
      <c r="B702" s="888"/>
      <c r="C702" s="888"/>
      <c r="D702" s="888"/>
      <c r="E702" s="1520"/>
      <c r="F702" s="1520"/>
      <c r="I702" s="888"/>
      <c r="J702" s="888"/>
      <c r="K702" s="888"/>
      <c r="L702" s="888"/>
      <c r="M702" s="888"/>
      <c r="N702" s="888"/>
      <c r="O702" s="888"/>
      <c r="P702" s="888"/>
      <c r="Q702" s="888"/>
      <c r="R702" s="888"/>
    </row>
    <row r="703" spans="1:18" s="893" customFormat="1" ht="15" customHeight="1" x14ac:dyDescent="0.3">
      <c r="A703" s="888" t="s">
        <v>2062</v>
      </c>
      <c r="B703" s="908" t="s">
        <v>7395</v>
      </c>
      <c r="C703" s="909" t="s">
        <v>3335</v>
      </c>
      <c r="D703" s="888" t="b">
        <v>1</v>
      </c>
      <c r="E703" s="1669" t="str">
        <f>$E$184</f>
        <v>Include Long Cycle</v>
      </c>
      <c r="I703" s="888"/>
      <c r="J703" s="888"/>
      <c r="K703" s="888"/>
      <c r="L703" s="888"/>
      <c r="M703" s="888"/>
      <c r="N703" s="888"/>
      <c r="O703" s="888"/>
      <c r="P703" s="888"/>
      <c r="Q703" s="888"/>
      <c r="R703" s="888"/>
    </row>
    <row r="704" spans="1:18" s="893" customFormat="1" ht="15" customHeight="1" x14ac:dyDescent="0.3">
      <c r="A704" s="888" t="s">
        <v>2083</v>
      </c>
      <c r="B704" s="888"/>
      <c r="C704" s="888"/>
      <c r="D704" s="888"/>
      <c r="E704" s="1670"/>
      <c r="I704" s="888"/>
      <c r="J704" s="888"/>
      <c r="K704" s="888"/>
      <c r="L704" s="888"/>
      <c r="M704" s="888"/>
      <c r="N704" s="888"/>
      <c r="O704" s="888"/>
      <c r="P704" s="888"/>
      <c r="Q704" s="888"/>
      <c r="R704" s="888"/>
    </row>
    <row r="705" spans="1:18" s="893" customFormat="1" ht="21" x14ac:dyDescent="0.3">
      <c r="A705" s="888" t="s">
        <v>2062</v>
      </c>
      <c r="B705" s="888" t="s">
        <v>1098</v>
      </c>
      <c r="C705" s="909" t="s">
        <v>4961</v>
      </c>
      <c r="D705" s="888" t="b">
        <v>1</v>
      </c>
      <c r="E705" s="622" t="s">
        <v>7190</v>
      </c>
      <c r="I705" s="888"/>
      <c r="J705" s="888"/>
      <c r="K705" s="888"/>
      <c r="L705" s="888"/>
      <c r="M705" s="888"/>
      <c r="N705" s="888"/>
      <c r="O705" s="888"/>
      <c r="P705" s="888"/>
      <c r="Q705" s="888"/>
      <c r="R705" s="888"/>
    </row>
    <row r="706" spans="1:18" s="893" customFormat="1" ht="21" x14ac:dyDescent="0.3">
      <c r="A706" s="888" t="s">
        <v>2062</v>
      </c>
      <c r="B706" s="888" t="s">
        <v>1098</v>
      </c>
      <c r="C706" s="911" t="s">
        <v>5112</v>
      </c>
      <c r="D706" s="888" t="b">
        <v>1</v>
      </c>
      <c r="E706" s="622" t="s">
        <v>7204</v>
      </c>
      <c r="I706" s="888"/>
      <c r="J706" s="888"/>
      <c r="K706" s="888"/>
      <c r="L706" s="888"/>
      <c r="M706" s="888"/>
      <c r="N706" s="888"/>
      <c r="O706" s="888"/>
      <c r="P706" s="888"/>
      <c r="Q706" s="888"/>
      <c r="R706" s="888"/>
    </row>
    <row r="707" spans="1:18" s="893" customFormat="1" x14ac:dyDescent="0.3">
      <c r="A707" s="888" t="s">
        <v>2062</v>
      </c>
      <c r="B707" s="888" t="s">
        <v>1098</v>
      </c>
      <c r="C707" s="888" t="s">
        <v>2133</v>
      </c>
      <c r="D707" s="888"/>
      <c r="E707" s="893" t="s">
        <v>66</v>
      </c>
      <c r="I707" s="888"/>
      <c r="J707" s="888"/>
      <c r="K707" s="888"/>
      <c r="L707" s="888"/>
      <c r="M707" s="888"/>
      <c r="N707" s="888"/>
      <c r="O707" s="888"/>
      <c r="P707" s="888"/>
      <c r="Q707" s="888"/>
      <c r="R707" s="888"/>
    </row>
    <row r="708" spans="1:18" s="893" customFormat="1" x14ac:dyDescent="0.3">
      <c r="A708" s="888" t="s">
        <v>2062</v>
      </c>
      <c r="B708" s="888" t="s">
        <v>1098</v>
      </c>
      <c r="C708" s="888" t="s">
        <v>2135</v>
      </c>
      <c r="D708" s="888"/>
      <c r="E708" s="893" t="s">
        <v>1045</v>
      </c>
      <c r="I708" s="888"/>
      <c r="J708" s="888"/>
      <c r="K708" s="888"/>
      <c r="L708" s="888"/>
      <c r="M708" s="888"/>
      <c r="N708" s="888"/>
      <c r="O708" s="888"/>
      <c r="P708" s="888"/>
      <c r="Q708" s="888"/>
      <c r="R708" s="888"/>
    </row>
    <row r="709" spans="1:18" s="893" customFormat="1" x14ac:dyDescent="0.3">
      <c r="A709" s="888" t="s">
        <v>2062</v>
      </c>
      <c r="B709" s="888" t="s">
        <v>1098</v>
      </c>
      <c r="C709" s="888" t="s">
        <v>2081</v>
      </c>
      <c r="D709" s="888"/>
      <c r="E709" s="893" t="s">
        <v>67</v>
      </c>
      <c r="I709" s="888"/>
      <c r="J709" s="888"/>
      <c r="K709" s="888"/>
      <c r="L709" s="888"/>
      <c r="M709" s="888"/>
      <c r="N709" s="888"/>
      <c r="O709" s="888"/>
      <c r="P709" s="888"/>
      <c r="Q709" s="888"/>
      <c r="R709" s="888"/>
    </row>
    <row r="710" spans="1:18" s="893" customFormat="1" x14ac:dyDescent="0.3">
      <c r="A710" s="888" t="s">
        <v>2062</v>
      </c>
      <c r="B710" s="888" t="s">
        <v>1098</v>
      </c>
      <c r="C710" s="888" t="s">
        <v>2401</v>
      </c>
      <c r="D710" s="888"/>
      <c r="E710" s="893" t="s">
        <v>1046</v>
      </c>
      <c r="I710" s="888"/>
      <c r="J710" s="888"/>
      <c r="K710" s="888"/>
      <c r="L710" s="888"/>
      <c r="M710" s="888"/>
      <c r="N710" s="888"/>
      <c r="O710" s="888"/>
      <c r="P710" s="888"/>
      <c r="Q710" s="888"/>
      <c r="R710" s="888"/>
    </row>
    <row r="711" spans="1:18" s="893" customFormat="1" x14ac:dyDescent="0.3">
      <c r="A711" s="888" t="s">
        <v>2062</v>
      </c>
      <c r="B711" s="888" t="s">
        <v>1098</v>
      </c>
      <c r="C711" s="888" t="s">
        <v>2474</v>
      </c>
      <c r="D711" s="888"/>
      <c r="E711" s="893" t="s">
        <v>1369</v>
      </c>
      <c r="I711" s="888"/>
      <c r="J711" s="888"/>
      <c r="K711" s="888"/>
      <c r="L711" s="888"/>
      <c r="M711" s="888"/>
      <c r="N711" s="888"/>
      <c r="O711" s="888"/>
      <c r="P711" s="888"/>
      <c r="Q711" s="888"/>
      <c r="R711" s="888"/>
    </row>
    <row r="712" spans="1:18" s="893" customFormat="1" x14ac:dyDescent="0.3">
      <c r="A712" s="888" t="s">
        <v>2062</v>
      </c>
      <c r="B712" s="888" t="s">
        <v>1098</v>
      </c>
      <c r="C712" s="888" t="s">
        <v>2098</v>
      </c>
      <c r="D712" s="888"/>
      <c r="E712" s="893" t="s">
        <v>796</v>
      </c>
      <c r="I712" s="888"/>
      <c r="J712" s="888"/>
      <c r="K712" s="888"/>
      <c r="L712" s="888"/>
      <c r="M712" s="888"/>
      <c r="N712" s="888"/>
      <c r="O712" s="888"/>
      <c r="P712" s="888"/>
      <c r="Q712" s="888"/>
      <c r="R712" s="888"/>
    </row>
    <row r="713" spans="1:18" s="893" customFormat="1" x14ac:dyDescent="0.3">
      <c r="A713" s="888" t="s">
        <v>2062</v>
      </c>
      <c r="B713" s="888" t="s">
        <v>1098</v>
      </c>
      <c r="C713" s="888" t="s">
        <v>2100</v>
      </c>
      <c r="D713" s="888"/>
      <c r="E713" s="893" t="s">
        <v>1047</v>
      </c>
      <c r="I713" s="888"/>
      <c r="J713" s="888"/>
      <c r="K713" s="888"/>
      <c r="L713" s="888"/>
      <c r="M713" s="888"/>
      <c r="N713" s="888"/>
      <c r="O713" s="888"/>
      <c r="P713" s="888"/>
      <c r="Q713" s="888"/>
      <c r="R713" s="888"/>
    </row>
    <row r="714" spans="1:18" s="893" customFormat="1" x14ac:dyDescent="0.3">
      <c r="A714" s="888" t="s">
        <v>2062</v>
      </c>
      <c r="B714" s="943" t="s">
        <v>7395</v>
      </c>
      <c r="C714" s="888" t="s">
        <v>2277</v>
      </c>
      <c r="D714" s="888"/>
      <c r="E714" s="893" t="s">
        <v>1370</v>
      </c>
      <c r="I714" s="888"/>
      <c r="J714" s="888"/>
      <c r="K714" s="888"/>
      <c r="L714" s="888"/>
      <c r="M714" s="888"/>
      <c r="N714" s="888"/>
      <c r="O714" s="888"/>
      <c r="P714" s="888"/>
      <c r="Q714" s="888"/>
      <c r="R714" s="888"/>
    </row>
    <row r="715" spans="1:18" s="893" customFormat="1" x14ac:dyDescent="0.3">
      <c r="A715" s="888" t="s">
        <v>2062</v>
      </c>
      <c r="B715" s="888" t="s">
        <v>1098</v>
      </c>
      <c r="C715" s="888" t="s">
        <v>2102</v>
      </c>
      <c r="D715" s="888"/>
      <c r="E715" s="893" t="s">
        <v>1067</v>
      </c>
      <c r="I715" s="888"/>
      <c r="J715" s="888"/>
      <c r="K715" s="888"/>
      <c r="L715" s="888"/>
      <c r="M715" s="888"/>
      <c r="N715" s="888"/>
      <c r="O715" s="888"/>
      <c r="P715" s="888"/>
      <c r="Q715" s="888"/>
      <c r="R715" s="888"/>
    </row>
    <row r="716" spans="1:18" s="893" customFormat="1" x14ac:dyDescent="0.3">
      <c r="A716" s="888" t="s">
        <v>2062</v>
      </c>
      <c r="B716" s="888" t="s">
        <v>1098</v>
      </c>
      <c r="C716" s="888" t="s">
        <v>5153</v>
      </c>
      <c r="D716" s="888"/>
      <c r="E716" s="893" t="s">
        <v>1371</v>
      </c>
      <c r="I716" s="888"/>
      <c r="J716" s="888"/>
      <c r="K716" s="888"/>
      <c r="L716" s="888"/>
      <c r="M716" s="888"/>
      <c r="N716" s="888"/>
      <c r="O716" s="888"/>
      <c r="P716" s="888"/>
      <c r="Q716" s="888"/>
      <c r="R716" s="888"/>
    </row>
    <row r="717" spans="1:18" s="893" customFormat="1" x14ac:dyDescent="0.3">
      <c r="A717" s="888" t="s">
        <v>2062</v>
      </c>
      <c r="B717" s="888" t="s">
        <v>1098</v>
      </c>
      <c r="C717" s="888" t="s">
        <v>2110</v>
      </c>
      <c r="D717" s="888"/>
      <c r="E717" s="893" t="s">
        <v>1068</v>
      </c>
      <c r="I717" s="888"/>
      <c r="J717" s="888"/>
      <c r="K717" s="888"/>
      <c r="L717" s="888"/>
      <c r="M717" s="888"/>
      <c r="N717" s="888"/>
      <c r="O717" s="888"/>
      <c r="P717" s="888"/>
      <c r="Q717" s="888"/>
      <c r="R717" s="888"/>
    </row>
    <row r="718" spans="1:18" s="893" customFormat="1" x14ac:dyDescent="0.3">
      <c r="A718" s="888" t="s">
        <v>2062</v>
      </c>
      <c r="B718" s="888" t="s">
        <v>1098</v>
      </c>
      <c r="C718" s="888" t="s">
        <v>2499</v>
      </c>
      <c r="D718" s="888"/>
      <c r="E718" s="893" t="s">
        <v>1372</v>
      </c>
      <c r="I718" s="888"/>
      <c r="J718" s="888"/>
      <c r="K718" s="888"/>
      <c r="L718" s="888"/>
      <c r="M718" s="888"/>
      <c r="N718" s="888"/>
      <c r="O718" s="888"/>
      <c r="P718" s="888"/>
      <c r="Q718" s="888"/>
      <c r="R718" s="888"/>
    </row>
    <row r="719" spans="1:18" x14ac:dyDescent="0.3">
      <c r="A719" s="888" t="s">
        <v>2062</v>
      </c>
      <c r="B719" s="888" t="s">
        <v>1098</v>
      </c>
      <c r="C719" s="888" t="s">
        <v>2113</v>
      </c>
      <c r="E719" s="927" t="s">
        <v>3433</v>
      </c>
    </row>
    <row r="720" spans="1:18" x14ac:dyDescent="0.3">
      <c r="A720" s="888" t="s">
        <v>2062</v>
      </c>
      <c r="B720" s="888" t="s">
        <v>1098</v>
      </c>
      <c r="C720" s="888" t="s">
        <v>2118</v>
      </c>
      <c r="E720" s="893" t="s">
        <v>3804</v>
      </c>
      <c r="I720" s="912"/>
    </row>
    <row r="721" spans="1:19" x14ac:dyDescent="0.3">
      <c r="A721" s="888" t="s">
        <v>2062</v>
      </c>
      <c r="B721" s="888" t="s">
        <v>1098</v>
      </c>
      <c r="C721" s="888" t="s">
        <v>3983</v>
      </c>
      <c r="E721" s="893" t="s">
        <v>68</v>
      </c>
    </row>
    <row r="722" spans="1:19" x14ac:dyDescent="0.3">
      <c r="A722" s="888" t="s">
        <v>2062</v>
      </c>
      <c r="B722" s="888" t="s">
        <v>1098</v>
      </c>
      <c r="C722" s="944" t="s">
        <v>2173</v>
      </c>
      <c r="E722" s="893" t="s">
        <v>6840</v>
      </c>
    </row>
    <row r="723" spans="1:19" x14ac:dyDescent="0.3">
      <c r="A723" s="888" t="s">
        <v>2062</v>
      </c>
      <c r="B723" s="888" t="s">
        <v>1098</v>
      </c>
      <c r="C723" s="944" t="s">
        <v>7463</v>
      </c>
      <c r="E723" s="893" t="s">
        <v>6841</v>
      </c>
    </row>
    <row r="724" spans="1:19" x14ac:dyDescent="0.3">
      <c r="A724" s="888" t="s">
        <v>2062</v>
      </c>
      <c r="B724" s="888" t="s">
        <v>1098</v>
      </c>
      <c r="C724" s="888" t="s">
        <v>2513</v>
      </c>
      <c r="E724" s="893" t="s">
        <v>69</v>
      </c>
    </row>
    <row r="725" spans="1:19" x14ac:dyDescent="0.3">
      <c r="A725" s="888" t="s">
        <v>2062</v>
      </c>
      <c r="B725" s="888" t="s">
        <v>1098</v>
      </c>
      <c r="C725" s="888" t="s">
        <v>4344</v>
      </c>
      <c r="E725" s="893" t="s">
        <v>70</v>
      </c>
    </row>
    <row r="726" spans="1:19" x14ac:dyDescent="0.3">
      <c r="A726" s="888" t="s">
        <v>2062</v>
      </c>
      <c r="B726" s="888" t="s">
        <v>1098</v>
      </c>
      <c r="C726" s="888" t="s">
        <v>2248</v>
      </c>
      <c r="E726" s="893" t="str">
        <f>$E$361</f>
        <v>DRYWALL 1/2"</v>
      </c>
    </row>
    <row r="727" spans="1:19" x14ac:dyDescent="0.3">
      <c r="A727" s="888" t="s">
        <v>2062</v>
      </c>
      <c r="B727" s="888" t="s">
        <v>1098</v>
      </c>
      <c r="C727" s="888" t="s">
        <v>2249</v>
      </c>
      <c r="E727" s="893" t="str">
        <f>$E$654</f>
        <v>Drywall 1/2" Typical - Interior Cladding for Exterior Walls - AVERAGE</v>
      </c>
    </row>
    <row r="728" spans="1:19" x14ac:dyDescent="0.3">
      <c r="A728" s="888" t="s">
        <v>2062</v>
      </c>
      <c r="B728" s="888" t="s">
        <v>1098</v>
      </c>
      <c r="C728" s="888" t="s">
        <v>2285</v>
      </c>
      <c r="E728" s="893" t="str">
        <f>$E$363</f>
        <v>DRYWALL 5/8"</v>
      </c>
    </row>
    <row r="729" spans="1:19" x14ac:dyDescent="0.3">
      <c r="A729" s="888" t="s">
        <v>2062</v>
      </c>
      <c r="B729" s="888" t="s">
        <v>1098</v>
      </c>
      <c r="C729" s="938" t="s">
        <v>2286</v>
      </c>
      <c r="E729" s="945" t="str">
        <f>$E$656</f>
        <v>Drywall 5/8" Typical - Interior Cladding for Exterior Walls - AVERAGE</v>
      </c>
    </row>
    <row r="730" spans="1:19" x14ac:dyDescent="0.3">
      <c r="A730" s="888" t="s">
        <v>2062</v>
      </c>
      <c r="B730" s="888" t="s">
        <v>1098</v>
      </c>
      <c r="C730" s="888" t="s">
        <v>2217</v>
      </c>
      <c r="E730" s="893" t="str">
        <f>$E$365</f>
        <v>OTHER CLADDING MATERIALS</v>
      </c>
    </row>
    <row r="731" spans="1:19" x14ac:dyDescent="0.3">
      <c r="A731" s="888" t="s">
        <v>2062</v>
      </c>
      <c r="B731" s="888" t="s">
        <v>9</v>
      </c>
      <c r="C731" s="888" t="s">
        <v>2124</v>
      </c>
      <c r="E731" s="893" t="s">
        <v>73</v>
      </c>
    </row>
    <row r="732" spans="1:19" x14ac:dyDescent="0.3">
      <c r="A732" s="888" t="s">
        <v>2062</v>
      </c>
      <c r="B732" s="888" t="s">
        <v>9</v>
      </c>
      <c r="C732" s="888" t="s">
        <v>2125</v>
      </c>
      <c r="E732" s="893" t="s">
        <v>1534</v>
      </c>
    </row>
    <row r="733" spans="1:19" ht="204.75" customHeight="1" x14ac:dyDescent="0.3">
      <c r="A733" s="888" t="s">
        <v>2062</v>
      </c>
      <c r="B733" s="888" t="s">
        <v>9</v>
      </c>
      <c r="C733" s="888" t="s">
        <v>2063</v>
      </c>
      <c r="D733" s="888" t="b">
        <v>1</v>
      </c>
      <c r="E733" s="1671"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733" s="1671"/>
      <c r="G733" s="1671"/>
      <c r="H733" s="1671"/>
      <c r="I733" s="1671"/>
      <c r="J733" s="1671"/>
      <c r="K733" s="1671"/>
      <c r="L733" s="1671"/>
      <c r="M733" s="1671"/>
      <c r="N733" s="1671"/>
      <c r="O733" s="1671"/>
      <c r="P733" s="1671"/>
      <c r="Q733" s="1671"/>
      <c r="R733" s="1671"/>
      <c r="S733" s="1671"/>
    </row>
    <row r="734" spans="1:19" x14ac:dyDescent="0.3">
      <c r="A734" s="888" t="s">
        <v>2062</v>
      </c>
      <c r="B734" s="888" t="s">
        <v>9</v>
      </c>
      <c r="C734" s="888" t="s">
        <v>2064</v>
      </c>
      <c r="E734" s="888" t="str">
        <f>$E$170</f>
        <v>CATEGORY</v>
      </c>
    </row>
    <row r="735" spans="1:19" x14ac:dyDescent="0.3">
      <c r="A735" s="888" t="s">
        <v>2062</v>
      </c>
      <c r="B735" s="888" t="s">
        <v>9</v>
      </c>
      <c r="C735" s="888" t="s">
        <v>2126</v>
      </c>
      <c r="E735" s="893" t="str">
        <f>$E$171</f>
        <v>MATERIAL</v>
      </c>
    </row>
    <row r="736" spans="1:19" x14ac:dyDescent="0.3">
      <c r="A736" s="888" t="s">
        <v>2062</v>
      </c>
      <c r="B736" s="888" t="s">
        <v>9</v>
      </c>
      <c r="C736" s="888" t="s">
        <v>2127</v>
      </c>
      <c r="E736" s="893" t="str">
        <f>$E$127</f>
        <v>QUANTITY</v>
      </c>
    </row>
    <row r="737" spans="1:18" x14ac:dyDescent="0.3">
      <c r="A737" s="888" t="s">
        <v>2062</v>
      </c>
      <c r="B737" s="888" t="s">
        <v>9</v>
      </c>
      <c r="C737" s="888" t="s">
        <v>2128</v>
      </c>
      <c r="E737" s="888" t="str">
        <f>$E$173</f>
        <v xml:space="preserve"> SELECT</v>
      </c>
    </row>
    <row r="738" spans="1:18" ht="15" customHeight="1" x14ac:dyDescent="0.3">
      <c r="A738" s="888" t="s">
        <v>2062</v>
      </c>
      <c r="B738" s="908" t="s">
        <v>7398</v>
      </c>
      <c r="C738" s="888" t="s">
        <v>2129</v>
      </c>
      <c r="D738" s="888" t="b">
        <v>1</v>
      </c>
      <c r="E738" s="1669" t="str">
        <f>$E$174</f>
        <v>NET kgCO2e EMISSIONS</v>
      </c>
    </row>
    <row r="739" spans="1:18" ht="15" customHeight="1" x14ac:dyDescent="0.3">
      <c r="A739" s="888" t="s">
        <v>2083</v>
      </c>
      <c r="E739" s="1670"/>
    </row>
    <row r="740" spans="1:18" s="893" customFormat="1" ht="26.4" customHeight="1" x14ac:dyDescent="0.3">
      <c r="A740" s="888" t="s">
        <v>2062</v>
      </c>
      <c r="B740" s="908" t="s">
        <v>7398</v>
      </c>
      <c r="C740" s="888" t="s">
        <v>2130</v>
      </c>
      <c r="D740" s="888" t="b">
        <v>1</v>
      </c>
      <c r="E740" s="1669" t="str">
        <f>$E$176</f>
        <v>SELECTED MATERIAL kgCO2e CONTENT</v>
      </c>
      <c r="I740" s="888"/>
      <c r="J740" s="888"/>
      <c r="K740" s="888"/>
      <c r="L740" s="888"/>
      <c r="M740" s="888"/>
      <c r="N740" s="888"/>
      <c r="O740" s="888"/>
      <c r="P740" s="888"/>
      <c r="Q740" s="888"/>
      <c r="R740" s="888"/>
    </row>
    <row r="741" spans="1:18" s="893" customFormat="1" ht="15" customHeight="1" x14ac:dyDescent="0.3">
      <c r="A741" s="888" t="s">
        <v>2083</v>
      </c>
      <c r="B741" s="888"/>
      <c r="C741" s="888"/>
      <c r="D741" s="888"/>
      <c r="E741" s="1670"/>
      <c r="I741" s="888"/>
      <c r="J741" s="888"/>
      <c r="K741" s="888"/>
      <c r="L741" s="888"/>
      <c r="M741" s="888"/>
      <c r="N741" s="888"/>
      <c r="O741" s="888"/>
      <c r="P741" s="888"/>
      <c r="Q741" s="888"/>
      <c r="R741" s="888"/>
    </row>
    <row r="742" spans="1:18" s="893" customFormat="1" ht="15" customHeight="1" x14ac:dyDescent="0.3">
      <c r="A742" s="888" t="s">
        <v>2062</v>
      </c>
      <c r="B742" s="888" t="s">
        <v>9</v>
      </c>
      <c r="C742" s="888" t="s">
        <v>2131</v>
      </c>
      <c r="D742" s="888" t="b">
        <v>1</v>
      </c>
      <c r="E742" s="1669" t="str">
        <f>$E$178</f>
        <v>kgCO2e EMISSIONS</v>
      </c>
      <c r="I742" s="888"/>
      <c r="J742" s="888"/>
      <c r="K742" s="888"/>
      <c r="L742" s="888"/>
      <c r="M742" s="888"/>
      <c r="N742" s="888"/>
      <c r="O742" s="888"/>
      <c r="P742" s="888"/>
      <c r="Q742" s="888"/>
      <c r="R742" s="888"/>
    </row>
    <row r="743" spans="1:18" s="893" customFormat="1" ht="15" customHeight="1" x14ac:dyDescent="0.3">
      <c r="A743" s="888" t="s">
        <v>2083</v>
      </c>
      <c r="B743" s="888"/>
      <c r="C743" s="888"/>
      <c r="D743" s="888"/>
      <c r="E743" s="1670"/>
      <c r="I743" s="888"/>
      <c r="J743" s="888"/>
      <c r="K743" s="888"/>
      <c r="L743" s="888"/>
      <c r="M743" s="888"/>
      <c r="N743" s="888"/>
      <c r="O743" s="888"/>
      <c r="P743" s="888"/>
      <c r="Q743" s="888"/>
      <c r="R743" s="888"/>
    </row>
    <row r="744" spans="1:18" s="893" customFormat="1" ht="15" customHeight="1" x14ac:dyDescent="0.3">
      <c r="A744" s="888" t="s">
        <v>2062</v>
      </c>
      <c r="B744" s="888" t="s">
        <v>9</v>
      </c>
      <c r="C744" s="888" t="s">
        <v>2132</v>
      </c>
      <c r="D744" s="888" t="b">
        <v>1</v>
      </c>
      <c r="E744" s="1669" t="str">
        <f>$E$180</f>
        <v>kgCO2 STORAGE</v>
      </c>
      <c r="I744" s="888"/>
      <c r="J744" s="888"/>
      <c r="K744" s="888"/>
      <c r="L744" s="888"/>
      <c r="M744" s="888"/>
      <c r="N744" s="888"/>
      <c r="O744" s="888"/>
      <c r="P744" s="888"/>
      <c r="Q744" s="888"/>
      <c r="R744" s="888"/>
    </row>
    <row r="745" spans="1:18" s="893" customFormat="1" ht="15" customHeight="1" x14ac:dyDescent="0.3">
      <c r="A745" s="888" t="s">
        <v>2083</v>
      </c>
      <c r="B745" s="888"/>
      <c r="C745" s="888"/>
      <c r="D745" s="888"/>
      <c r="E745" s="1670"/>
      <c r="I745" s="888"/>
      <c r="J745" s="888"/>
      <c r="K745" s="888"/>
      <c r="L745" s="888"/>
      <c r="M745" s="888"/>
      <c r="N745" s="888"/>
      <c r="O745" s="888"/>
      <c r="P745" s="888"/>
      <c r="Q745" s="888"/>
      <c r="R745" s="888"/>
    </row>
    <row r="746" spans="1:18" s="893" customFormat="1" ht="15" customHeight="1" x14ac:dyDescent="0.3">
      <c r="A746" s="888" t="s">
        <v>2062</v>
      </c>
      <c r="B746" s="888" t="s">
        <v>9</v>
      </c>
      <c r="C746" s="909" t="s">
        <v>2070</v>
      </c>
      <c r="D746" s="888" t="b">
        <v>1</v>
      </c>
      <c r="E746" s="1520" t="str">
        <f>$E$182</f>
        <v xml:space="preserve">  Note</v>
      </c>
      <c r="F746" s="1520"/>
      <c r="I746" s="888"/>
      <c r="J746" s="888"/>
      <c r="K746" s="888"/>
      <c r="L746" s="888"/>
      <c r="M746" s="888"/>
      <c r="N746" s="888"/>
      <c r="O746" s="888"/>
      <c r="P746" s="888"/>
      <c r="Q746" s="888"/>
      <c r="R746" s="888"/>
    </row>
    <row r="747" spans="1:18" s="893" customFormat="1" ht="15" customHeight="1" x14ac:dyDescent="0.3">
      <c r="A747" s="888" t="s">
        <v>2083</v>
      </c>
      <c r="B747" s="888"/>
      <c r="C747" s="888"/>
      <c r="D747" s="888"/>
      <c r="E747" s="1520"/>
      <c r="F747" s="1520"/>
      <c r="I747" s="888"/>
      <c r="J747" s="888"/>
      <c r="K747" s="888"/>
      <c r="L747" s="888"/>
      <c r="M747" s="888"/>
      <c r="N747" s="888"/>
      <c r="O747" s="888"/>
      <c r="P747" s="888"/>
      <c r="Q747" s="888"/>
      <c r="R747" s="888"/>
    </row>
    <row r="748" spans="1:18" s="893" customFormat="1" ht="15" customHeight="1" x14ac:dyDescent="0.3">
      <c r="A748" s="888" t="s">
        <v>2062</v>
      </c>
      <c r="B748" s="908" t="s">
        <v>7398</v>
      </c>
      <c r="C748" s="909" t="s">
        <v>3335</v>
      </c>
      <c r="D748" s="888" t="b">
        <v>1</v>
      </c>
      <c r="E748" s="1669" t="str">
        <f>$E$184</f>
        <v>Include Long Cycle</v>
      </c>
      <c r="I748" s="888"/>
      <c r="J748" s="888"/>
      <c r="K748" s="888"/>
      <c r="L748" s="888"/>
      <c r="M748" s="888"/>
      <c r="N748" s="888"/>
      <c r="O748" s="888"/>
      <c r="P748" s="888"/>
      <c r="Q748" s="888"/>
      <c r="R748" s="888"/>
    </row>
    <row r="749" spans="1:18" s="893" customFormat="1" ht="15" customHeight="1" x14ac:dyDescent="0.3">
      <c r="A749" s="888" t="s">
        <v>2083</v>
      </c>
      <c r="B749" s="888"/>
      <c r="C749" s="888"/>
      <c r="D749" s="888"/>
      <c r="E749" s="1670"/>
      <c r="I749" s="888"/>
      <c r="J749" s="888"/>
      <c r="K749" s="888"/>
      <c r="L749" s="888"/>
      <c r="M749" s="888"/>
      <c r="N749" s="888"/>
      <c r="O749" s="888"/>
      <c r="P749" s="888"/>
      <c r="Q749" s="888"/>
      <c r="R749" s="888"/>
    </row>
    <row r="750" spans="1:18" s="893" customFormat="1" ht="21" x14ac:dyDescent="0.3">
      <c r="A750" s="888" t="s">
        <v>2062</v>
      </c>
      <c r="B750" s="888" t="s">
        <v>9</v>
      </c>
      <c r="C750" s="909" t="s">
        <v>4961</v>
      </c>
      <c r="D750" s="888" t="b">
        <v>1</v>
      </c>
      <c r="E750" s="622" t="s">
        <v>7211</v>
      </c>
      <c r="I750" s="888"/>
      <c r="J750" s="888"/>
      <c r="K750" s="888"/>
      <c r="L750" s="888"/>
      <c r="M750" s="888"/>
      <c r="N750" s="888"/>
      <c r="O750" s="888"/>
      <c r="P750" s="888"/>
      <c r="Q750" s="888"/>
      <c r="R750" s="888"/>
    </row>
    <row r="751" spans="1:18" s="893" customFormat="1" ht="21" x14ac:dyDescent="0.3">
      <c r="A751" s="888" t="s">
        <v>2062</v>
      </c>
      <c r="B751" s="888" t="s">
        <v>9</v>
      </c>
      <c r="C751" s="911" t="s">
        <v>5112</v>
      </c>
      <c r="D751" s="888" t="b">
        <v>1</v>
      </c>
      <c r="E751" s="622" t="s">
        <v>7201</v>
      </c>
      <c r="I751" s="888"/>
      <c r="J751" s="888"/>
      <c r="K751" s="888"/>
      <c r="L751" s="888"/>
      <c r="M751" s="888"/>
      <c r="N751" s="888"/>
      <c r="O751" s="888"/>
      <c r="P751" s="888"/>
      <c r="Q751" s="888"/>
      <c r="R751" s="888"/>
    </row>
    <row r="752" spans="1:18" s="893" customFormat="1" x14ac:dyDescent="0.3">
      <c r="A752" s="888" t="s">
        <v>2062</v>
      </c>
      <c r="B752" s="888" t="s">
        <v>9</v>
      </c>
      <c r="C752" s="888" t="s">
        <v>2133</v>
      </c>
      <c r="D752" s="888"/>
      <c r="E752" s="893" t="s">
        <v>1373</v>
      </c>
      <c r="I752" s="888"/>
      <c r="J752" s="888"/>
      <c r="K752" s="888"/>
      <c r="L752" s="888"/>
      <c r="M752" s="888"/>
      <c r="N752" s="888"/>
      <c r="O752" s="888"/>
      <c r="P752" s="888"/>
      <c r="Q752" s="888"/>
      <c r="R752" s="888"/>
    </row>
    <row r="753" spans="1:19" s="893" customFormat="1" x14ac:dyDescent="0.3">
      <c r="A753" s="888" t="s">
        <v>2062</v>
      </c>
      <c r="B753" s="888" t="s">
        <v>9</v>
      </c>
      <c r="C753" s="888" t="s">
        <v>2075</v>
      </c>
      <c r="D753" s="888"/>
      <c r="E753" s="893" t="s">
        <v>1374</v>
      </c>
      <c r="I753" s="888"/>
      <c r="J753" s="888"/>
      <c r="K753" s="888"/>
      <c r="L753" s="888"/>
      <c r="M753" s="888"/>
      <c r="N753" s="888"/>
      <c r="O753" s="888"/>
      <c r="P753" s="888"/>
      <c r="Q753" s="888"/>
      <c r="R753" s="888"/>
    </row>
    <row r="754" spans="1:19" s="893" customFormat="1" x14ac:dyDescent="0.3">
      <c r="A754" s="888" t="s">
        <v>2062</v>
      </c>
      <c r="B754" s="888" t="s">
        <v>9</v>
      </c>
      <c r="C754" s="888" t="s">
        <v>2198</v>
      </c>
      <c r="D754" s="888"/>
      <c r="E754" s="893" t="s">
        <v>101</v>
      </c>
      <c r="I754" s="888"/>
      <c r="J754" s="888"/>
      <c r="K754" s="888"/>
      <c r="L754" s="888"/>
      <c r="M754" s="888"/>
      <c r="N754" s="888"/>
      <c r="O754" s="888"/>
      <c r="P754" s="888"/>
      <c r="Q754" s="888"/>
      <c r="R754" s="888"/>
    </row>
    <row r="755" spans="1:19" x14ac:dyDescent="0.3">
      <c r="A755" s="888" t="s">
        <v>2062</v>
      </c>
      <c r="B755" s="888" t="s">
        <v>1099</v>
      </c>
      <c r="C755" s="888" t="s">
        <v>2124</v>
      </c>
      <c r="E755" s="893" t="s">
        <v>85</v>
      </c>
    </row>
    <row r="756" spans="1:19" x14ac:dyDescent="0.3">
      <c r="A756" s="888" t="s">
        <v>2062</v>
      </c>
      <c r="B756" s="888" t="s">
        <v>1099</v>
      </c>
      <c r="C756" s="888" t="s">
        <v>2125</v>
      </c>
      <c r="E756" s="893" t="s">
        <v>1740</v>
      </c>
    </row>
    <row r="757" spans="1:19" ht="190.5" customHeight="1" x14ac:dyDescent="0.3">
      <c r="A757" s="888" t="s">
        <v>2062</v>
      </c>
      <c r="B757" s="888" t="s">
        <v>1099</v>
      </c>
      <c r="C757" s="888" t="s">
        <v>2063</v>
      </c>
      <c r="D757" s="888" t="b">
        <v>1</v>
      </c>
      <c r="E757" s="1671"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757" s="1671"/>
      <c r="G757" s="1671"/>
      <c r="H757" s="1671"/>
      <c r="I757" s="1671"/>
      <c r="J757" s="1671"/>
      <c r="K757" s="1671"/>
      <c r="L757" s="1671"/>
      <c r="M757" s="1671"/>
      <c r="N757" s="1671"/>
      <c r="O757" s="1671"/>
      <c r="P757" s="1671"/>
      <c r="Q757" s="1671"/>
      <c r="R757" s="1671"/>
      <c r="S757" s="1671"/>
    </row>
    <row r="758" spans="1:19" x14ac:dyDescent="0.3">
      <c r="A758" s="888" t="s">
        <v>2062</v>
      </c>
      <c r="B758" s="888" t="s">
        <v>1099</v>
      </c>
      <c r="C758" s="888" t="s">
        <v>2064</v>
      </c>
      <c r="E758" s="888" t="str">
        <f>$E$170</f>
        <v>CATEGORY</v>
      </c>
    </row>
    <row r="759" spans="1:19" x14ac:dyDescent="0.3">
      <c r="A759" s="888" t="s">
        <v>2062</v>
      </c>
      <c r="B759" s="888" t="s">
        <v>1099</v>
      </c>
      <c r="C759" s="888" t="s">
        <v>2126</v>
      </c>
      <c r="E759" s="893" t="str">
        <f>$E$171</f>
        <v>MATERIAL</v>
      </c>
    </row>
    <row r="760" spans="1:19" x14ac:dyDescent="0.3">
      <c r="A760" s="888" t="s">
        <v>2062</v>
      </c>
      <c r="B760" s="888" t="s">
        <v>1099</v>
      </c>
      <c r="C760" s="888" t="s">
        <v>2127</v>
      </c>
      <c r="E760" s="893" t="str">
        <f>$E$127</f>
        <v>QUANTITY</v>
      </c>
    </row>
    <row r="761" spans="1:19" x14ac:dyDescent="0.3">
      <c r="A761" s="888" t="s">
        <v>2062</v>
      </c>
      <c r="B761" s="888" t="s">
        <v>1099</v>
      </c>
      <c r="C761" s="888" t="s">
        <v>2128</v>
      </c>
      <c r="E761" s="888" t="str">
        <f>$E$173</f>
        <v xml:space="preserve"> SELECT</v>
      </c>
    </row>
    <row r="762" spans="1:19" ht="15" customHeight="1" x14ac:dyDescent="0.3">
      <c r="A762" s="888" t="s">
        <v>2062</v>
      </c>
      <c r="B762" s="908" t="s">
        <v>5123</v>
      </c>
      <c r="C762" s="888" t="s">
        <v>2129</v>
      </c>
      <c r="D762" s="888" t="b">
        <v>1</v>
      </c>
      <c r="E762" s="1669" t="str">
        <f>$E$174</f>
        <v>NET kgCO2e EMISSIONS</v>
      </c>
    </row>
    <row r="763" spans="1:19" ht="15" customHeight="1" x14ac:dyDescent="0.3">
      <c r="A763" s="888" t="s">
        <v>2083</v>
      </c>
      <c r="E763" s="1670"/>
    </row>
    <row r="764" spans="1:19" s="893" customFormat="1" ht="24.75" customHeight="1" x14ac:dyDescent="0.3">
      <c r="A764" s="888" t="s">
        <v>2062</v>
      </c>
      <c r="B764" s="908" t="s">
        <v>5123</v>
      </c>
      <c r="C764" s="888" t="s">
        <v>2130</v>
      </c>
      <c r="D764" s="888" t="b">
        <v>1</v>
      </c>
      <c r="E764" s="1669" t="str">
        <f>$E$176</f>
        <v>SELECTED MATERIAL kgCO2e CONTENT</v>
      </c>
      <c r="I764" s="888"/>
      <c r="J764" s="888"/>
      <c r="K764" s="888"/>
      <c r="L764" s="888"/>
      <c r="M764" s="888"/>
      <c r="N764" s="888"/>
      <c r="O764" s="888"/>
      <c r="P764" s="888"/>
      <c r="Q764" s="888"/>
      <c r="R764" s="888"/>
    </row>
    <row r="765" spans="1:19" s="893" customFormat="1" ht="15" customHeight="1" x14ac:dyDescent="0.3">
      <c r="A765" s="888" t="s">
        <v>2083</v>
      </c>
      <c r="B765" s="888"/>
      <c r="C765" s="888"/>
      <c r="D765" s="888"/>
      <c r="E765" s="1670"/>
      <c r="I765" s="888"/>
      <c r="J765" s="888"/>
      <c r="K765" s="888"/>
      <c r="L765" s="888"/>
      <c r="M765" s="888"/>
      <c r="N765" s="888"/>
      <c r="O765" s="888"/>
      <c r="P765" s="888"/>
      <c r="Q765" s="888"/>
      <c r="R765" s="888"/>
    </row>
    <row r="766" spans="1:19" s="893" customFormat="1" ht="15" customHeight="1" x14ac:dyDescent="0.3">
      <c r="A766" s="888" t="s">
        <v>2062</v>
      </c>
      <c r="B766" s="888" t="s">
        <v>1099</v>
      </c>
      <c r="C766" s="888" t="s">
        <v>2131</v>
      </c>
      <c r="D766" s="888" t="b">
        <v>1</v>
      </c>
      <c r="E766" s="1669" t="str">
        <f>$E$178</f>
        <v>kgCO2e EMISSIONS</v>
      </c>
      <c r="I766" s="888"/>
      <c r="J766" s="888"/>
      <c r="K766" s="888"/>
      <c r="L766" s="888"/>
      <c r="M766" s="888"/>
      <c r="N766" s="888"/>
      <c r="O766" s="888"/>
      <c r="P766" s="888"/>
      <c r="Q766" s="888"/>
      <c r="R766" s="888"/>
    </row>
    <row r="767" spans="1:19" s="893" customFormat="1" ht="15" customHeight="1" x14ac:dyDescent="0.3">
      <c r="A767" s="888" t="s">
        <v>2083</v>
      </c>
      <c r="B767" s="888"/>
      <c r="C767" s="888"/>
      <c r="D767" s="888"/>
      <c r="E767" s="1670"/>
      <c r="I767" s="888"/>
      <c r="J767" s="888"/>
      <c r="K767" s="888"/>
      <c r="L767" s="888"/>
      <c r="M767" s="888"/>
      <c r="N767" s="888"/>
      <c r="O767" s="888"/>
      <c r="P767" s="888"/>
      <c r="Q767" s="888"/>
      <c r="R767" s="888"/>
    </row>
    <row r="768" spans="1:19" s="893" customFormat="1" ht="15" customHeight="1" x14ac:dyDescent="0.3">
      <c r="A768" s="888" t="s">
        <v>2062</v>
      </c>
      <c r="B768" s="888" t="s">
        <v>1099</v>
      </c>
      <c r="C768" s="888" t="s">
        <v>2132</v>
      </c>
      <c r="D768" s="888" t="b">
        <v>1</v>
      </c>
      <c r="E768" s="1669" t="str">
        <f>$E$180</f>
        <v>kgCO2 STORAGE</v>
      </c>
      <c r="I768" s="888"/>
      <c r="J768" s="888"/>
      <c r="K768" s="888"/>
      <c r="L768" s="888"/>
      <c r="M768" s="888"/>
      <c r="N768" s="888"/>
      <c r="O768" s="888"/>
      <c r="P768" s="888"/>
      <c r="Q768" s="888"/>
      <c r="R768" s="888"/>
    </row>
    <row r="769" spans="1:18" s="893" customFormat="1" ht="15" customHeight="1" x14ac:dyDescent="0.3">
      <c r="A769" s="888" t="s">
        <v>2083</v>
      </c>
      <c r="B769" s="888"/>
      <c r="C769" s="888"/>
      <c r="D769" s="888"/>
      <c r="E769" s="1670"/>
      <c r="I769" s="888"/>
      <c r="J769" s="888"/>
      <c r="K769" s="888"/>
      <c r="L769" s="888"/>
      <c r="M769" s="888"/>
      <c r="N769" s="888"/>
      <c r="O769" s="888"/>
      <c r="P769" s="888"/>
      <c r="Q769" s="888"/>
      <c r="R769" s="888"/>
    </row>
    <row r="770" spans="1:18" s="893" customFormat="1" ht="15" customHeight="1" x14ac:dyDescent="0.3">
      <c r="A770" s="888" t="s">
        <v>2062</v>
      </c>
      <c r="B770" s="888" t="s">
        <v>1099</v>
      </c>
      <c r="C770" s="909" t="s">
        <v>2070</v>
      </c>
      <c r="D770" s="888" t="b">
        <v>1</v>
      </c>
      <c r="E770" s="1520" t="str">
        <f>$E$182</f>
        <v xml:space="preserve">  Note</v>
      </c>
      <c r="F770" s="1520"/>
      <c r="I770" s="888"/>
      <c r="J770" s="888"/>
      <c r="K770" s="888"/>
      <c r="L770" s="888"/>
      <c r="M770" s="888"/>
      <c r="N770" s="888"/>
      <c r="O770" s="888"/>
      <c r="P770" s="888"/>
      <c r="Q770" s="888"/>
      <c r="R770" s="888"/>
    </row>
    <row r="771" spans="1:18" s="893" customFormat="1" ht="15" customHeight="1" x14ac:dyDescent="0.3">
      <c r="A771" s="888" t="s">
        <v>2083</v>
      </c>
      <c r="B771" s="888"/>
      <c r="C771" s="888"/>
      <c r="D771" s="888"/>
      <c r="E771" s="1520"/>
      <c r="F771" s="1520"/>
      <c r="I771" s="888"/>
      <c r="J771" s="888"/>
      <c r="K771" s="888"/>
      <c r="L771" s="888"/>
      <c r="M771" s="888"/>
      <c r="N771" s="888"/>
      <c r="O771" s="888"/>
      <c r="P771" s="888"/>
      <c r="Q771" s="888"/>
      <c r="R771" s="888"/>
    </row>
    <row r="772" spans="1:18" s="893" customFormat="1" ht="15" customHeight="1" x14ac:dyDescent="0.3">
      <c r="A772" s="888" t="s">
        <v>2062</v>
      </c>
      <c r="B772" s="908" t="s">
        <v>5123</v>
      </c>
      <c r="C772" s="909" t="s">
        <v>3335</v>
      </c>
      <c r="D772" s="888" t="b">
        <v>1</v>
      </c>
      <c r="E772" s="1669" t="str">
        <f>$E$184</f>
        <v>Include Long Cycle</v>
      </c>
      <c r="I772" s="888"/>
      <c r="J772" s="888"/>
      <c r="K772" s="888"/>
      <c r="L772" s="888"/>
      <c r="M772" s="888"/>
      <c r="N772" s="888"/>
      <c r="O772" s="888"/>
      <c r="P772" s="888"/>
      <c r="Q772" s="888"/>
      <c r="R772" s="888"/>
    </row>
    <row r="773" spans="1:18" s="893" customFormat="1" ht="15" customHeight="1" x14ac:dyDescent="0.3">
      <c r="A773" s="888" t="s">
        <v>2083</v>
      </c>
      <c r="B773" s="888"/>
      <c r="C773" s="888"/>
      <c r="D773" s="888"/>
      <c r="E773" s="1670"/>
      <c r="I773" s="888"/>
      <c r="J773" s="888"/>
      <c r="K773" s="888"/>
      <c r="L773" s="888"/>
      <c r="M773" s="888"/>
      <c r="N773" s="888"/>
      <c r="O773" s="888"/>
      <c r="P773" s="888"/>
      <c r="Q773" s="888"/>
      <c r="R773" s="888"/>
    </row>
    <row r="774" spans="1:18" s="893" customFormat="1" ht="21" x14ac:dyDescent="0.3">
      <c r="A774" s="888" t="s">
        <v>2062</v>
      </c>
      <c r="B774" s="888" t="s">
        <v>1099</v>
      </c>
      <c r="C774" s="909" t="s">
        <v>4961</v>
      </c>
      <c r="D774" s="888" t="b">
        <v>1</v>
      </c>
      <c r="E774" s="622" t="s">
        <v>7192</v>
      </c>
      <c r="I774" s="888"/>
      <c r="J774" s="888"/>
      <c r="K774" s="888"/>
      <c r="L774" s="888"/>
      <c r="M774" s="888"/>
      <c r="N774" s="888"/>
      <c r="O774" s="888"/>
      <c r="P774" s="888"/>
      <c r="Q774" s="888"/>
      <c r="R774" s="888"/>
    </row>
    <row r="775" spans="1:18" s="893" customFormat="1" ht="21" x14ac:dyDescent="0.3">
      <c r="A775" s="888" t="s">
        <v>2062</v>
      </c>
      <c r="B775" s="888" t="s">
        <v>1099</v>
      </c>
      <c r="C775" s="911" t="s">
        <v>5112</v>
      </c>
      <c r="D775" s="888" t="b">
        <v>1</v>
      </c>
      <c r="E775" s="622" t="s">
        <v>7200</v>
      </c>
      <c r="I775" s="888"/>
      <c r="J775" s="888"/>
      <c r="K775" s="888"/>
      <c r="L775" s="888"/>
      <c r="M775" s="888"/>
      <c r="N775" s="888"/>
      <c r="O775" s="888"/>
      <c r="P775" s="888"/>
      <c r="Q775" s="888"/>
      <c r="R775" s="888"/>
    </row>
    <row r="776" spans="1:18" s="893" customFormat="1" x14ac:dyDescent="0.3">
      <c r="A776" s="888" t="s">
        <v>2062</v>
      </c>
      <c r="B776" s="888" t="s">
        <v>1099</v>
      </c>
      <c r="C776" s="888" t="s">
        <v>2133</v>
      </c>
      <c r="D776" s="888"/>
      <c r="E776" s="893" t="str">
        <f>$E$326</f>
        <v>WOOD FRAME CONSTRUCTION</v>
      </c>
      <c r="I776" s="888"/>
      <c r="J776" s="888"/>
      <c r="K776" s="888"/>
      <c r="L776" s="888"/>
      <c r="M776" s="888"/>
      <c r="N776" s="888"/>
      <c r="O776" s="888"/>
      <c r="P776" s="888"/>
      <c r="Q776" s="888"/>
      <c r="R776" s="888"/>
    </row>
    <row r="777" spans="1:18" s="893" customFormat="1" x14ac:dyDescent="0.3">
      <c r="A777" s="888" t="s">
        <v>2062</v>
      </c>
      <c r="B777" s="888" t="s">
        <v>1099</v>
      </c>
      <c r="C777" s="888" t="s">
        <v>2134</v>
      </c>
      <c r="D777" s="888"/>
      <c r="E777" s="893" t="str">
        <f>$E$325</f>
        <v>FRAMING SPACING:</v>
      </c>
      <c r="I777" s="888"/>
      <c r="J777" s="888"/>
      <c r="K777" s="888"/>
      <c r="L777" s="888"/>
      <c r="M777" s="888"/>
      <c r="N777" s="888"/>
      <c r="O777" s="888"/>
      <c r="P777" s="888"/>
      <c r="Q777" s="888"/>
      <c r="R777" s="888"/>
    </row>
    <row r="778" spans="1:18" s="893" customFormat="1" x14ac:dyDescent="0.3">
      <c r="A778" s="888" t="s">
        <v>2062</v>
      </c>
      <c r="B778" s="946" t="s">
        <v>5123</v>
      </c>
      <c r="C778" s="888" t="s">
        <v>2135</v>
      </c>
      <c r="D778" s="888"/>
      <c r="E778" s="893" t="str">
        <f>$E$326</f>
        <v>WOOD FRAME CONSTRUCTION</v>
      </c>
      <c r="I778" s="888"/>
      <c r="J778" s="888"/>
      <c r="K778" s="888"/>
      <c r="L778" s="888"/>
      <c r="M778" s="888"/>
      <c r="N778" s="888"/>
      <c r="O778" s="888"/>
      <c r="P778" s="888"/>
      <c r="Q778" s="888"/>
      <c r="R778" s="888"/>
    </row>
    <row r="779" spans="1:18" s="893" customFormat="1" x14ac:dyDescent="0.3">
      <c r="A779" s="888" t="s">
        <v>2062</v>
      </c>
      <c r="B779" s="888" t="s">
        <v>1099</v>
      </c>
      <c r="C779" s="946" t="s">
        <v>2135</v>
      </c>
      <c r="D779" s="888"/>
      <c r="E779" s="947" t="s">
        <v>6842</v>
      </c>
      <c r="I779" s="888"/>
      <c r="J779" s="888"/>
      <c r="K779" s="888"/>
      <c r="L779" s="888"/>
      <c r="M779" s="888"/>
      <c r="N779" s="888"/>
      <c r="O779" s="888"/>
      <c r="P779" s="888"/>
      <c r="Q779" s="888"/>
      <c r="R779" s="888"/>
    </row>
    <row r="780" spans="1:18" s="893" customFormat="1" x14ac:dyDescent="0.3">
      <c r="A780" s="888" t="s">
        <v>2062</v>
      </c>
      <c r="B780" s="888" t="s">
        <v>1099</v>
      </c>
      <c r="C780" s="946" t="s">
        <v>2080</v>
      </c>
      <c r="D780" s="888"/>
      <c r="E780" s="924" t="str">
        <f>$E$328</f>
        <v>2x4 WOOD FRAME CONSTRUCTION</v>
      </c>
      <c r="I780" s="888"/>
      <c r="J780" s="888"/>
      <c r="K780" s="888"/>
      <c r="L780" s="888"/>
      <c r="M780" s="888"/>
      <c r="N780" s="888"/>
      <c r="O780" s="888"/>
      <c r="P780" s="888"/>
      <c r="Q780" s="888"/>
      <c r="R780" s="888"/>
    </row>
    <row r="781" spans="1:18" s="893" customFormat="1" x14ac:dyDescent="0.3">
      <c r="A781" s="888" t="s">
        <v>2062</v>
      </c>
      <c r="B781" s="888" t="s">
        <v>1099</v>
      </c>
      <c r="C781" s="946" t="s">
        <v>2089</v>
      </c>
      <c r="D781" s="888"/>
      <c r="E781" s="924" t="str">
        <f>$E$329</f>
        <v>2x6 WOOD FRAME CONSTRUCTION</v>
      </c>
      <c r="I781" s="888"/>
      <c r="J781" s="888"/>
      <c r="K781" s="888"/>
      <c r="L781" s="888"/>
      <c r="M781" s="888"/>
      <c r="N781" s="888"/>
      <c r="O781" s="888"/>
      <c r="P781" s="888"/>
      <c r="Q781" s="888"/>
      <c r="R781" s="888"/>
    </row>
    <row r="782" spans="1:18" s="893" customFormat="1" x14ac:dyDescent="0.3">
      <c r="A782" s="888" t="s">
        <v>2062</v>
      </c>
      <c r="B782" s="888" t="s">
        <v>1099</v>
      </c>
      <c r="C782" s="888" t="s">
        <v>2167</v>
      </c>
      <c r="D782" s="888"/>
      <c r="E782" s="893" t="s">
        <v>53</v>
      </c>
      <c r="I782" s="888"/>
      <c r="J782" s="888"/>
      <c r="K782" s="888"/>
      <c r="L782" s="888"/>
      <c r="M782" s="888"/>
      <c r="N782" s="888"/>
      <c r="O782" s="888"/>
      <c r="P782" s="888"/>
      <c r="Q782" s="888"/>
      <c r="R782" s="888"/>
    </row>
    <row r="783" spans="1:18" s="893" customFormat="1" x14ac:dyDescent="0.3">
      <c r="A783" s="888" t="s">
        <v>2062</v>
      </c>
      <c r="B783" s="888" t="s">
        <v>1099</v>
      </c>
      <c r="C783" s="888" t="s">
        <v>2479</v>
      </c>
      <c r="D783" s="888"/>
      <c r="E783" s="893" t="str">
        <f>$E$325</f>
        <v>FRAMING SPACING:</v>
      </c>
      <c r="I783" s="888"/>
      <c r="J783" s="888"/>
      <c r="K783" s="888"/>
      <c r="L783" s="888"/>
      <c r="M783" s="888"/>
      <c r="N783" s="888"/>
      <c r="O783" s="888"/>
      <c r="P783" s="888"/>
      <c r="Q783" s="888"/>
      <c r="R783" s="888"/>
    </row>
    <row r="784" spans="1:18" s="893" customFormat="1" x14ac:dyDescent="0.3">
      <c r="A784" s="888" t="s">
        <v>2062</v>
      </c>
      <c r="B784" s="888" t="s">
        <v>1099</v>
      </c>
      <c r="C784" s="888" t="s">
        <v>2096</v>
      </c>
      <c r="D784" s="888"/>
      <c r="E784" s="893" t="str">
        <f>$E$334</f>
        <v>STEEL FRAMING, 2x4</v>
      </c>
      <c r="I784" s="888"/>
      <c r="J784" s="888"/>
      <c r="K784" s="888"/>
      <c r="L784" s="888"/>
      <c r="M784" s="888"/>
      <c r="N784" s="888"/>
      <c r="O784" s="888"/>
      <c r="P784" s="888"/>
      <c r="Q784" s="888"/>
      <c r="R784" s="888"/>
    </row>
    <row r="785" spans="1:18" s="893" customFormat="1" x14ac:dyDescent="0.3">
      <c r="A785" s="888" t="s">
        <v>2062</v>
      </c>
      <c r="B785" s="888" t="s">
        <v>1099</v>
      </c>
      <c r="C785" s="888" t="s">
        <v>2169</v>
      </c>
      <c r="D785" s="888"/>
      <c r="E785" s="893" t="str">
        <f>$E$579</f>
        <v>Steel Framing - Interior Walls - AVERAGE</v>
      </c>
      <c r="I785" s="888"/>
      <c r="J785" s="888"/>
      <c r="K785" s="888"/>
      <c r="L785" s="888"/>
      <c r="M785" s="888"/>
      <c r="N785" s="888"/>
      <c r="O785" s="888"/>
      <c r="P785" s="888"/>
      <c r="Q785" s="888"/>
      <c r="R785" s="888"/>
    </row>
    <row r="786" spans="1:18" s="893" customFormat="1" x14ac:dyDescent="0.3">
      <c r="A786" s="888" t="s">
        <v>2062</v>
      </c>
      <c r="B786" s="888" t="s">
        <v>1099</v>
      </c>
      <c r="C786" s="888" t="s">
        <v>3965</v>
      </c>
      <c r="D786" s="888"/>
      <c r="E786" s="893" t="str">
        <f>$E$580</f>
        <v>Use % function to adjust for different gauges of steel studs.</v>
      </c>
      <c r="I786" s="888"/>
      <c r="J786" s="888"/>
      <c r="K786" s="888"/>
      <c r="L786" s="888"/>
      <c r="M786" s="888"/>
      <c r="N786" s="888"/>
      <c r="O786" s="888"/>
      <c r="P786" s="888"/>
      <c r="Q786" s="888"/>
      <c r="R786" s="888"/>
    </row>
    <row r="787" spans="1:18" s="893" customFormat="1" x14ac:dyDescent="0.3">
      <c r="A787" s="888" t="s">
        <v>2062</v>
      </c>
      <c r="B787" s="888" t="s">
        <v>1099</v>
      </c>
      <c r="C787" s="888" t="s">
        <v>2239</v>
      </c>
      <c r="D787" s="888"/>
      <c r="E787" s="893" t="str">
        <f>$E$360</f>
        <v>INTERIOR WALL CLADDING</v>
      </c>
      <c r="I787" s="888"/>
      <c r="J787" s="888"/>
      <c r="K787" s="888"/>
      <c r="L787" s="888"/>
      <c r="M787" s="888"/>
      <c r="N787" s="888"/>
      <c r="O787" s="888"/>
      <c r="P787" s="888"/>
      <c r="Q787" s="888"/>
      <c r="R787" s="888"/>
    </row>
    <row r="788" spans="1:18" s="893" customFormat="1" x14ac:dyDescent="0.3">
      <c r="A788" s="888" t="s">
        <v>2062</v>
      </c>
      <c r="B788" s="888" t="s">
        <v>1099</v>
      </c>
      <c r="C788" s="888" t="s">
        <v>2101</v>
      </c>
      <c r="D788" s="888"/>
      <c r="E788" s="893" t="str">
        <f>$E$361</f>
        <v>DRYWALL 1/2"</v>
      </c>
      <c r="I788" s="888"/>
      <c r="J788" s="888"/>
      <c r="K788" s="888"/>
      <c r="L788" s="888"/>
      <c r="M788" s="888"/>
      <c r="N788" s="888"/>
      <c r="O788" s="888"/>
      <c r="P788" s="888"/>
      <c r="Q788" s="888"/>
      <c r="R788" s="888"/>
    </row>
    <row r="789" spans="1:18" s="893" customFormat="1" x14ac:dyDescent="0.3">
      <c r="A789" s="888" t="s">
        <v>2062</v>
      </c>
      <c r="B789" s="888" t="s">
        <v>1099</v>
      </c>
      <c r="C789" s="888" t="s">
        <v>5152</v>
      </c>
      <c r="D789" s="888"/>
      <c r="E789" s="893" t="s">
        <v>1071</v>
      </c>
      <c r="I789" s="888"/>
      <c r="J789" s="888"/>
      <c r="K789" s="888"/>
      <c r="L789" s="888"/>
      <c r="M789" s="888"/>
      <c r="N789" s="888"/>
      <c r="O789" s="888"/>
      <c r="P789" s="888"/>
      <c r="Q789" s="888"/>
      <c r="R789" s="888"/>
    </row>
    <row r="790" spans="1:18" s="893" customFormat="1" x14ac:dyDescent="0.3">
      <c r="A790" s="888" t="s">
        <v>2062</v>
      </c>
      <c r="B790" s="888" t="s">
        <v>1099</v>
      </c>
      <c r="C790" s="888" t="s">
        <v>2105</v>
      </c>
      <c r="D790" s="888"/>
      <c r="E790" s="893" t="str">
        <f>$E$363</f>
        <v>DRYWALL 5/8"</v>
      </c>
      <c r="I790" s="888"/>
      <c r="J790" s="888"/>
      <c r="K790" s="888"/>
      <c r="L790" s="888"/>
      <c r="M790" s="888"/>
      <c r="N790" s="888"/>
      <c r="O790" s="888"/>
      <c r="P790" s="888"/>
      <c r="Q790" s="888"/>
      <c r="R790" s="888"/>
    </row>
    <row r="791" spans="1:18" s="893" customFormat="1" x14ac:dyDescent="0.3">
      <c r="A791" s="888" t="s">
        <v>2062</v>
      </c>
      <c r="B791" s="888" t="s">
        <v>1099</v>
      </c>
      <c r="C791" s="888" t="s">
        <v>7464</v>
      </c>
      <c r="D791" s="888"/>
      <c r="E791" s="893" t="s">
        <v>4938</v>
      </c>
      <c r="I791" s="888"/>
      <c r="J791" s="888"/>
      <c r="K791" s="888"/>
      <c r="L791" s="888"/>
      <c r="M791" s="888"/>
      <c r="N791" s="888"/>
      <c r="O791" s="888"/>
      <c r="P791" s="888"/>
      <c r="Q791" s="888"/>
      <c r="R791" s="888"/>
    </row>
    <row r="792" spans="1:18" s="893" customFormat="1" x14ac:dyDescent="0.3">
      <c r="A792" s="888" t="s">
        <v>2062</v>
      </c>
      <c r="B792" s="888" t="s">
        <v>1099</v>
      </c>
      <c r="C792" s="888" t="s">
        <v>2110</v>
      </c>
      <c r="D792" s="888"/>
      <c r="E792" s="893" t="str">
        <f>$E$365</f>
        <v>OTHER CLADDING MATERIALS</v>
      </c>
      <c r="I792" s="888"/>
      <c r="J792" s="888"/>
      <c r="K792" s="888"/>
      <c r="L792" s="888"/>
      <c r="M792" s="888"/>
      <c r="N792" s="888"/>
      <c r="O792" s="888"/>
      <c r="P792" s="888"/>
      <c r="Q792" s="888"/>
      <c r="R792" s="888"/>
    </row>
    <row r="793" spans="1:18" s="893" customFormat="1" x14ac:dyDescent="0.3">
      <c r="A793" s="888" t="s">
        <v>2062</v>
      </c>
      <c r="B793" s="888" t="s">
        <v>1099</v>
      </c>
      <c r="C793" s="888" t="s">
        <v>2320</v>
      </c>
      <c r="D793" s="888"/>
      <c r="E793" s="893" t="str">
        <f>$E$337</f>
        <v>CAVITY INSULATION</v>
      </c>
      <c r="I793" s="888"/>
      <c r="J793" s="888"/>
      <c r="K793" s="888"/>
      <c r="L793" s="888"/>
      <c r="M793" s="888"/>
      <c r="N793" s="888"/>
      <c r="O793" s="888"/>
      <c r="P793" s="888"/>
      <c r="Q793" s="888"/>
      <c r="R793" s="888"/>
    </row>
    <row r="794" spans="1:18" s="893" customFormat="1" x14ac:dyDescent="0.3">
      <c r="A794" s="888" t="s">
        <v>2062</v>
      </c>
      <c r="B794" s="888" t="s">
        <v>1099</v>
      </c>
      <c r="C794" s="888" t="s">
        <v>2121</v>
      </c>
      <c r="D794" s="888"/>
      <c r="E794" s="893" t="str">
        <f>$E$339</f>
        <v>FIBERGLASS BATT</v>
      </c>
      <c r="I794" s="888"/>
      <c r="J794" s="888"/>
      <c r="K794" s="888"/>
      <c r="L794" s="888"/>
      <c r="M794" s="888"/>
      <c r="N794" s="888"/>
      <c r="O794" s="888"/>
      <c r="P794" s="888"/>
      <c r="Q794" s="888"/>
      <c r="R794" s="888"/>
    </row>
    <row r="795" spans="1:18" s="893" customFormat="1" x14ac:dyDescent="0.3">
      <c r="A795" s="888" t="s">
        <v>2062</v>
      </c>
      <c r="B795" s="935" t="s">
        <v>5123</v>
      </c>
      <c r="C795" s="935" t="s">
        <v>2493</v>
      </c>
      <c r="D795" s="888"/>
      <c r="E795" s="936" t="str">
        <f>$E$606</f>
        <v>R-VALUE:</v>
      </c>
      <c r="I795" s="888"/>
      <c r="J795" s="888"/>
      <c r="K795" s="888"/>
      <c r="L795" s="888"/>
      <c r="M795" s="888"/>
      <c r="N795" s="888"/>
      <c r="O795" s="888"/>
      <c r="P795" s="888"/>
      <c r="Q795" s="888"/>
      <c r="R795" s="888"/>
    </row>
    <row r="796" spans="1:18" s="893" customFormat="1" x14ac:dyDescent="0.3">
      <c r="A796" s="888" t="s">
        <v>2062</v>
      </c>
      <c r="B796" s="888" t="s">
        <v>1099</v>
      </c>
      <c r="C796" s="888" t="s">
        <v>2514</v>
      </c>
      <c r="D796" s="888"/>
      <c r="E796" s="893" t="str">
        <f>$E$469</f>
        <v>Fiberglass batt - AVERAGE</v>
      </c>
      <c r="I796" s="888"/>
      <c r="J796" s="888"/>
      <c r="K796" s="888"/>
      <c r="L796" s="888"/>
      <c r="M796" s="888"/>
      <c r="N796" s="888"/>
      <c r="O796" s="888"/>
      <c r="P796" s="888"/>
      <c r="Q796" s="888"/>
      <c r="R796" s="888"/>
    </row>
    <row r="797" spans="1:18" s="893" customFormat="1" x14ac:dyDescent="0.3">
      <c r="A797" s="888" t="s">
        <v>2062</v>
      </c>
      <c r="B797" s="888" t="s">
        <v>1099</v>
      </c>
      <c r="C797" s="888" t="s">
        <v>2214</v>
      </c>
      <c r="D797" s="888"/>
      <c r="E797" s="893" t="str">
        <f>$E$470</f>
        <v>FIBERGLASS BLOWN-IN</v>
      </c>
      <c r="I797" s="888"/>
      <c r="J797" s="888"/>
      <c r="K797" s="888"/>
      <c r="L797" s="888"/>
      <c r="M797" s="888"/>
      <c r="N797" s="888"/>
      <c r="O797" s="888"/>
      <c r="P797" s="888"/>
      <c r="Q797" s="888"/>
      <c r="R797" s="888"/>
    </row>
    <row r="798" spans="1:18" s="893" customFormat="1" x14ac:dyDescent="0.3">
      <c r="A798" s="888" t="s">
        <v>2062</v>
      </c>
      <c r="B798" s="935" t="s">
        <v>5123</v>
      </c>
      <c r="C798" s="935" t="s">
        <v>5118</v>
      </c>
      <c r="D798" s="888"/>
      <c r="E798" s="936" t="str">
        <f>$E$606</f>
        <v>R-VALUE:</v>
      </c>
      <c r="I798" s="888"/>
      <c r="J798" s="888"/>
      <c r="K798" s="888"/>
      <c r="L798" s="888"/>
      <c r="M798" s="888"/>
      <c r="N798" s="888"/>
      <c r="O798" s="888"/>
      <c r="P798" s="888"/>
      <c r="Q798" s="888"/>
      <c r="R798" s="888"/>
    </row>
    <row r="799" spans="1:18" s="893" customFormat="1" x14ac:dyDescent="0.3">
      <c r="A799" s="888" t="s">
        <v>2062</v>
      </c>
      <c r="B799" s="888" t="s">
        <v>1099</v>
      </c>
      <c r="C799" s="888" t="s">
        <v>2519</v>
      </c>
      <c r="D799" s="888"/>
      <c r="E799" s="893" t="str">
        <f>$E$471</f>
        <v>Fiberglass loose fill - AVERAGE</v>
      </c>
      <c r="I799" s="888"/>
      <c r="J799" s="888"/>
      <c r="K799" s="888"/>
      <c r="L799" s="888"/>
      <c r="M799" s="888"/>
      <c r="N799" s="888"/>
      <c r="O799" s="888"/>
      <c r="P799" s="888"/>
      <c r="Q799" s="888"/>
      <c r="R799" s="888"/>
    </row>
    <row r="800" spans="1:18" s="893" customFormat="1" x14ac:dyDescent="0.3">
      <c r="A800" s="888" t="s">
        <v>2062</v>
      </c>
      <c r="B800" s="888" t="s">
        <v>1099</v>
      </c>
      <c r="C800" s="888" t="s">
        <v>2283</v>
      </c>
      <c r="D800" s="888"/>
      <c r="E800" s="893" t="str">
        <f>$E$343</f>
        <v>MINERAL WOOL BATT</v>
      </c>
      <c r="I800" s="888"/>
      <c r="J800" s="888"/>
      <c r="K800" s="888"/>
      <c r="L800" s="888"/>
      <c r="M800" s="888"/>
      <c r="N800" s="888"/>
      <c r="O800" s="888"/>
      <c r="P800" s="888"/>
      <c r="Q800" s="888"/>
      <c r="R800" s="888"/>
    </row>
    <row r="801" spans="1:18" s="893" customFormat="1" x14ac:dyDescent="0.3">
      <c r="A801" s="888" t="s">
        <v>2062</v>
      </c>
      <c r="B801" s="935" t="s">
        <v>5123</v>
      </c>
      <c r="C801" s="935" t="s">
        <v>2316</v>
      </c>
      <c r="D801" s="888"/>
      <c r="E801" s="936" t="str">
        <f>$E$606</f>
        <v>R-VALUE:</v>
      </c>
      <c r="I801" s="888"/>
      <c r="J801" s="888"/>
      <c r="K801" s="888"/>
      <c r="L801" s="888"/>
      <c r="M801" s="888"/>
      <c r="N801" s="888"/>
      <c r="O801" s="888"/>
      <c r="P801" s="888"/>
      <c r="Q801" s="888"/>
      <c r="R801" s="888"/>
    </row>
    <row r="802" spans="1:18" s="893" customFormat="1" x14ac:dyDescent="0.3">
      <c r="A802" s="888" t="s">
        <v>2062</v>
      </c>
      <c r="B802" s="888" t="s">
        <v>1099</v>
      </c>
      <c r="C802" s="888" t="s">
        <v>2216</v>
      </c>
      <c r="D802" s="888"/>
      <c r="E802" s="893" t="str">
        <f>$E$341</f>
        <v>CELLULOSE INSULATION</v>
      </c>
      <c r="I802" s="888"/>
      <c r="J802" s="888"/>
      <c r="K802" s="888"/>
      <c r="L802" s="888"/>
      <c r="M802" s="888"/>
      <c r="N802" s="888"/>
      <c r="O802" s="888"/>
      <c r="P802" s="888"/>
      <c r="Q802" s="888"/>
      <c r="R802" s="888"/>
    </row>
    <row r="803" spans="1:18" s="893" customFormat="1" x14ac:dyDescent="0.3">
      <c r="A803" s="888" t="s">
        <v>2062</v>
      </c>
      <c r="B803" s="935" t="s">
        <v>5123</v>
      </c>
      <c r="C803" s="935" t="s">
        <v>2508</v>
      </c>
      <c r="D803" s="888"/>
      <c r="E803" s="936" t="str">
        <f>$E$606</f>
        <v>R-VALUE:</v>
      </c>
      <c r="I803" s="888"/>
      <c r="J803" s="888"/>
      <c r="K803" s="888"/>
      <c r="L803" s="888"/>
      <c r="M803" s="888"/>
      <c r="N803" s="888"/>
      <c r="O803" s="888"/>
      <c r="P803" s="888"/>
      <c r="Q803" s="888"/>
      <c r="R803" s="888"/>
    </row>
    <row r="804" spans="1:18" s="893" customFormat="1" x14ac:dyDescent="0.3">
      <c r="A804" s="888" t="s">
        <v>2062</v>
      </c>
      <c r="B804" s="888" t="s">
        <v>1099</v>
      </c>
      <c r="C804" s="888" t="s">
        <v>7420</v>
      </c>
      <c r="D804" s="888"/>
      <c r="E804" s="893" t="str">
        <f>$E$475</f>
        <v>Cellulose - AVERAGE</v>
      </c>
      <c r="I804" s="888"/>
      <c r="J804" s="888"/>
      <c r="K804" s="888"/>
      <c r="L804" s="888"/>
      <c r="M804" s="888"/>
      <c r="N804" s="888"/>
      <c r="O804" s="888"/>
      <c r="P804" s="888"/>
      <c r="Q804" s="888"/>
      <c r="R804" s="888"/>
    </row>
    <row r="805" spans="1:18" s="893" customFormat="1" x14ac:dyDescent="0.3">
      <c r="A805" s="888" t="s">
        <v>2062</v>
      </c>
      <c r="B805" s="888" t="s">
        <v>1099</v>
      </c>
      <c r="C805" s="888" t="s">
        <v>2150</v>
      </c>
      <c r="D805" s="888"/>
      <c r="E805" s="893" t="str">
        <f>$E$345</f>
        <v>WOOD FIBER BATT</v>
      </c>
      <c r="I805" s="888"/>
      <c r="J805" s="888"/>
      <c r="K805" s="888"/>
      <c r="L805" s="888"/>
      <c r="M805" s="888"/>
      <c r="N805" s="888"/>
      <c r="O805" s="888"/>
      <c r="P805" s="888"/>
      <c r="Q805" s="888"/>
      <c r="R805" s="888"/>
    </row>
    <row r="806" spans="1:18" s="893" customFormat="1" x14ac:dyDescent="0.3">
      <c r="A806" s="888" t="s">
        <v>2062</v>
      </c>
      <c r="B806" s="935" t="s">
        <v>5123</v>
      </c>
      <c r="C806" s="935" t="s">
        <v>2242</v>
      </c>
      <c r="D806" s="888"/>
      <c r="E806" s="936" t="str">
        <f>$E$606</f>
        <v>R-VALUE:</v>
      </c>
      <c r="I806" s="888"/>
      <c r="J806" s="888"/>
      <c r="K806" s="888"/>
      <c r="L806" s="888"/>
      <c r="M806" s="888"/>
      <c r="N806" s="888"/>
      <c r="O806" s="888"/>
      <c r="P806" s="888"/>
      <c r="Q806" s="888"/>
      <c r="R806" s="888"/>
    </row>
    <row r="807" spans="1:18" s="893" customFormat="1" x14ac:dyDescent="0.3">
      <c r="A807" s="888" t="s">
        <v>2062</v>
      </c>
      <c r="B807" s="888" t="s">
        <v>1099</v>
      </c>
      <c r="C807" s="888" t="s">
        <v>2151</v>
      </c>
      <c r="D807" s="888"/>
      <c r="E807" s="893" t="str">
        <f>$E$477</f>
        <v>Wood fiber batt - AVERAGE</v>
      </c>
      <c r="I807" s="888"/>
      <c r="J807" s="888"/>
      <c r="K807" s="888"/>
      <c r="L807" s="888"/>
      <c r="M807" s="888"/>
      <c r="N807" s="888"/>
      <c r="O807" s="888"/>
      <c r="P807" s="888"/>
      <c r="Q807" s="888"/>
      <c r="R807" s="888"/>
    </row>
    <row r="808" spans="1:18" s="893" customFormat="1" x14ac:dyDescent="0.3">
      <c r="A808" s="888" t="s">
        <v>2062</v>
      </c>
      <c r="B808" s="888" t="s">
        <v>1099</v>
      </c>
      <c r="C808" s="888" t="s">
        <v>2298</v>
      </c>
      <c r="D808" s="888"/>
      <c r="E808" s="893" t="str">
        <f>$E$478</f>
        <v>OTHER NATURAL FIBER INSULATION</v>
      </c>
      <c r="I808" s="888"/>
      <c r="J808" s="888"/>
      <c r="K808" s="888"/>
      <c r="L808" s="888"/>
      <c r="M808" s="888"/>
      <c r="N808" s="888"/>
      <c r="O808" s="888"/>
      <c r="P808" s="888"/>
      <c r="Q808" s="888"/>
      <c r="R808" s="888"/>
    </row>
    <row r="809" spans="1:18" s="893" customFormat="1" x14ac:dyDescent="0.3">
      <c r="A809" s="888" t="s">
        <v>2062</v>
      </c>
      <c r="B809" s="935" t="s">
        <v>5123</v>
      </c>
      <c r="C809" s="935" t="s">
        <v>2515</v>
      </c>
      <c r="D809" s="888"/>
      <c r="E809" s="936" t="str">
        <f>$E$606</f>
        <v>R-VALUE:</v>
      </c>
      <c r="I809" s="888"/>
      <c r="J809" s="888"/>
      <c r="K809" s="888"/>
      <c r="L809" s="888"/>
      <c r="M809" s="888"/>
      <c r="N809" s="888"/>
      <c r="O809" s="888"/>
      <c r="P809" s="888"/>
      <c r="Q809" s="888"/>
      <c r="R809" s="888"/>
    </row>
    <row r="810" spans="1:18" x14ac:dyDescent="0.3">
      <c r="A810" s="888" t="s">
        <v>2062</v>
      </c>
      <c r="B810" s="888" t="s">
        <v>1099</v>
      </c>
      <c r="C810" s="888" t="s">
        <v>2180</v>
      </c>
      <c r="E810" s="893" t="str">
        <f>$E$479</f>
        <v>SPRAY FOAM, CLOSED CELL</v>
      </c>
    </row>
    <row r="811" spans="1:18" x14ac:dyDescent="0.3">
      <c r="A811" s="888" t="s">
        <v>2062</v>
      </c>
      <c r="B811" s="935" t="s">
        <v>5123</v>
      </c>
      <c r="C811" s="935" t="s">
        <v>2296</v>
      </c>
      <c r="E811" s="936" t="str">
        <f>$E$606</f>
        <v>R-VALUE:</v>
      </c>
    </row>
    <row r="812" spans="1:18" x14ac:dyDescent="0.3">
      <c r="A812" s="888" t="s">
        <v>2062</v>
      </c>
      <c r="B812" s="888" t="s">
        <v>1099</v>
      </c>
      <c r="C812" s="888" t="s">
        <v>2155</v>
      </c>
      <c r="E812" s="893" t="str">
        <f>$E$480</f>
        <v>SPRAY FOAM, OPEN CELL</v>
      </c>
    </row>
    <row r="813" spans="1:18" x14ac:dyDescent="0.3">
      <c r="A813" s="888" t="s">
        <v>2062</v>
      </c>
      <c r="B813" s="935" t="s">
        <v>5123</v>
      </c>
      <c r="C813" s="935" t="s">
        <v>2522</v>
      </c>
      <c r="E813" s="936" t="str">
        <f>$E$606</f>
        <v>R-VALUE:</v>
      </c>
    </row>
    <row r="814" spans="1:18" x14ac:dyDescent="0.3">
      <c r="A814" s="888" t="s">
        <v>2062</v>
      </c>
      <c r="B814" s="888" t="s">
        <v>1099</v>
      </c>
      <c r="C814" s="888" t="s">
        <v>2287</v>
      </c>
      <c r="E814" s="893" t="str">
        <f>$E$481</f>
        <v>HEMPCRETE</v>
      </c>
    </row>
    <row r="815" spans="1:18" x14ac:dyDescent="0.3">
      <c r="A815" s="888" t="s">
        <v>2062</v>
      </c>
      <c r="B815" s="935" t="s">
        <v>5123</v>
      </c>
      <c r="C815" s="935" t="s">
        <v>2215</v>
      </c>
      <c r="E815" s="936" t="str">
        <f>$E$606</f>
        <v>R-VALUE:</v>
      </c>
    </row>
    <row r="816" spans="1:18" x14ac:dyDescent="0.3">
      <c r="A816" s="888" t="s">
        <v>2062</v>
      </c>
      <c r="B816" s="888" t="s">
        <v>1099</v>
      </c>
      <c r="C816" s="888" t="s">
        <v>2325</v>
      </c>
      <c r="E816" s="893" t="str">
        <f>$E$482</f>
        <v>Hempcrete - AVERAGE</v>
      </c>
    </row>
    <row r="817" spans="1:19" x14ac:dyDescent="0.3">
      <c r="A817" s="888" t="s">
        <v>2062</v>
      </c>
      <c r="B817" s="888" t="s">
        <v>1100</v>
      </c>
      <c r="C817" s="888" t="s">
        <v>2124</v>
      </c>
      <c r="E817" s="893" t="s">
        <v>87</v>
      </c>
    </row>
    <row r="818" spans="1:19" x14ac:dyDescent="0.3">
      <c r="A818" s="888" t="s">
        <v>2062</v>
      </c>
      <c r="B818" s="888" t="s">
        <v>1100</v>
      </c>
      <c r="C818" s="888" t="s">
        <v>2125</v>
      </c>
      <c r="E818" s="893" t="s">
        <v>1739</v>
      </c>
    </row>
    <row r="819" spans="1:19" ht="233.4" customHeight="1" x14ac:dyDescent="0.3">
      <c r="A819" s="888" t="s">
        <v>2062</v>
      </c>
      <c r="B819" s="888" t="s">
        <v>1100</v>
      </c>
      <c r="C819" s="888" t="s">
        <v>2063</v>
      </c>
      <c r="D819" s="888" t="b">
        <v>1</v>
      </c>
      <c r="E819" s="1671"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819" s="1671"/>
      <c r="G819" s="1671"/>
      <c r="H819" s="1671"/>
      <c r="I819" s="1671"/>
      <c r="J819" s="1671"/>
      <c r="K819" s="1671"/>
      <c r="L819" s="1671"/>
      <c r="M819" s="1671"/>
      <c r="N819" s="1671"/>
      <c r="O819" s="1671"/>
      <c r="P819" s="1671"/>
      <c r="Q819" s="1671"/>
      <c r="R819" s="1671"/>
      <c r="S819" s="1671"/>
    </row>
    <row r="820" spans="1:19" x14ac:dyDescent="0.3">
      <c r="A820" s="888" t="s">
        <v>2062</v>
      </c>
      <c r="B820" s="888" t="s">
        <v>1100</v>
      </c>
      <c r="C820" s="888" t="s">
        <v>2064</v>
      </c>
      <c r="E820" s="888" t="str">
        <f>$E$170</f>
        <v>CATEGORY</v>
      </c>
    </row>
    <row r="821" spans="1:19" x14ac:dyDescent="0.3">
      <c r="A821" s="888" t="s">
        <v>2062</v>
      </c>
      <c r="B821" s="888" t="s">
        <v>1100</v>
      </c>
      <c r="C821" s="888" t="s">
        <v>2126</v>
      </c>
      <c r="E821" s="893" t="str">
        <f>$E$171</f>
        <v>MATERIAL</v>
      </c>
    </row>
    <row r="822" spans="1:19" x14ac:dyDescent="0.3">
      <c r="A822" s="888" t="s">
        <v>2062</v>
      </c>
      <c r="B822" s="888" t="s">
        <v>1100</v>
      </c>
      <c r="C822" s="888" t="s">
        <v>2127</v>
      </c>
      <c r="E822" s="893" t="str">
        <f>$E$127</f>
        <v>QUANTITY</v>
      </c>
    </row>
    <row r="823" spans="1:19" x14ac:dyDescent="0.3">
      <c r="A823" s="888" t="s">
        <v>2062</v>
      </c>
      <c r="B823" s="888" t="s">
        <v>1100</v>
      </c>
      <c r="C823" s="888" t="s">
        <v>2128</v>
      </c>
      <c r="E823" s="888" t="str">
        <f>$E$173</f>
        <v xml:space="preserve"> SELECT</v>
      </c>
    </row>
    <row r="824" spans="1:19" ht="15" customHeight="1" x14ac:dyDescent="0.3">
      <c r="A824" s="888" t="s">
        <v>2062</v>
      </c>
      <c r="B824" s="908" t="s">
        <v>5079</v>
      </c>
      <c r="C824" s="888" t="s">
        <v>2129</v>
      </c>
      <c r="D824" s="888" t="b">
        <v>1</v>
      </c>
      <c r="E824" s="1669" t="str">
        <f>$E$174</f>
        <v>NET kgCO2e EMISSIONS</v>
      </c>
    </row>
    <row r="825" spans="1:19" ht="15" customHeight="1" x14ac:dyDescent="0.3">
      <c r="A825" s="888" t="s">
        <v>2083</v>
      </c>
      <c r="E825" s="1670"/>
    </row>
    <row r="826" spans="1:19" ht="26.4" customHeight="1" x14ac:dyDescent="0.3">
      <c r="A826" s="888" t="s">
        <v>2062</v>
      </c>
      <c r="B826" s="908" t="s">
        <v>5079</v>
      </c>
      <c r="C826" s="888" t="s">
        <v>2130</v>
      </c>
      <c r="D826" s="888" t="b">
        <v>1</v>
      </c>
      <c r="E826" s="1669" t="str">
        <f>$E$176</f>
        <v>SELECTED MATERIAL kgCO2e CONTENT</v>
      </c>
    </row>
    <row r="827" spans="1:19" ht="15" customHeight="1" x14ac:dyDescent="0.3">
      <c r="A827" s="888" t="s">
        <v>2083</v>
      </c>
      <c r="E827" s="1670"/>
    </row>
    <row r="828" spans="1:19" ht="15" customHeight="1" x14ac:dyDescent="0.3">
      <c r="A828" s="888" t="s">
        <v>2062</v>
      </c>
      <c r="B828" s="888" t="s">
        <v>1100</v>
      </c>
      <c r="C828" s="888" t="s">
        <v>2131</v>
      </c>
      <c r="D828" s="888" t="b">
        <v>1</v>
      </c>
      <c r="E828" s="1669" t="str">
        <f>$E$178</f>
        <v>kgCO2e EMISSIONS</v>
      </c>
    </row>
    <row r="829" spans="1:19" s="893" customFormat="1" ht="15" customHeight="1" x14ac:dyDescent="0.3">
      <c r="A829" s="888" t="s">
        <v>2083</v>
      </c>
      <c r="B829" s="888"/>
      <c r="C829" s="888"/>
      <c r="D829" s="888"/>
      <c r="E829" s="1670"/>
      <c r="I829" s="888"/>
      <c r="J829" s="888"/>
      <c r="K829" s="888"/>
      <c r="L829" s="888"/>
      <c r="M829" s="888"/>
      <c r="N829" s="888"/>
      <c r="O829" s="888"/>
      <c r="P829" s="888"/>
      <c r="Q829" s="888"/>
      <c r="R829" s="888"/>
    </row>
    <row r="830" spans="1:19" s="893" customFormat="1" ht="15" customHeight="1" x14ac:dyDescent="0.3">
      <c r="A830" s="888" t="s">
        <v>2062</v>
      </c>
      <c r="B830" s="888" t="s">
        <v>1100</v>
      </c>
      <c r="C830" s="888" t="s">
        <v>2132</v>
      </c>
      <c r="D830" s="888" t="b">
        <v>1</v>
      </c>
      <c r="E830" s="1669" t="str">
        <f>$E$180</f>
        <v>kgCO2 STORAGE</v>
      </c>
      <c r="I830" s="888"/>
      <c r="J830" s="888"/>
      <c r="K830" s="888"/>
      <c r="L830" s="888"/>
      <c r="M830" s="888"/>
      <c r="N830" s="888"/>
      <c r="O830" s="888"/>
      <c r="P830" s="888"/>
      <c r="Q830" s="888"/>
      <c r="R830" s="888"/>
    </row>
    <row r="831" spans="1:19" s="893" customFormat="1" ht="15" customHeight="1" x14ac:dyDescent="0.3">
      <c r="A831" s="888" t="s">
        <v>2083</v>
      </c>
      <c r="B831" s="888"/>
      <c r="C831" s="888"/>
      <c r="D831" s="888"/>
      <c r="E831" s="1670"/>
      <c r="I831" s="888"/>
      <c r="J831" s="888"/>
      <c r="K831" s="888"/>
      <c r="L831" s="888"/>
      <c r="M831" s="888"/>
      <c r="N831" s="888"/>
      <c r="O831" s="888"/>
      <c r="P831" s="888"/>
      <c r="Q831" s="888"/>
      <c r="R831" s="888"/>
    </row>
    <row r="832" spans="1:19" s="893" customFormat="1" ht="15" customHeight="1" x14ac:dyDescent="0.3">
      <c r="A832" s="888" t="s">
        <v>2062</v>
      </c>
      <c r="B832" s="888" t="s">
        <v>1100</v>
      </c>
      <c r="C832" s="909" t="s">
        <v>2070</v>
      </c>
      <c r="D832" s="888" t="b">
        <v>1</v>
      </c>
      <c r="E832" s="1520" t="str">
        <f>$E$182</f>
        <v xml:space="preserve">  Note</v>
      </c>
      <c r="F832" s="1520"/>
      <c r="I832" s="888"/>
      <c r="J832" s="888"/>
      <c r="K832" s="888"/>
      <c r="L832" s="888"/>
      <c r="M832" s="888"/>
      <c r="N832" s="888"/>
      <c r="O832" s="888"/>
      <c r="P832" s="888"/>
      <c r="Q832" s="888"/>
      <c r="R832" s="888"/>
    </row>
    <row r="833" spans="1:18" s="893" customFormat="1" ht="15" customHeight="1" x14ac:dyDescent="0.3">
      <c r="A833" s="888" t="s">
        <v>2083</v>
      </c>
      <c r="B833" s="888"/>
      <c r="C833" s="888"/>
      <c r="D833" s="888"/>
      <c r="E833" s="1520"/>
      <c r="F833" s="1520"/>
      <c r="I833" s="888"/>
      <c r="J833" s="888"/>
      <c r="K833" s="888"/>
      <c r="L833" s="888"/>
      <c r="M833" s="888"/>
      <c r="N833" s="888"/>
      <c r="O833" s="888"/>
      <c r="P833" s="888"/>
      <c r="Q833" s="888"/>
      <c r="R833" s="888"/>
    </row>
    <row r="834" spans="1:18" s="893" customFormat="1" ht="15" customHeight="1" x14ac:dyDescent="0.3">
      <c r="A834" s="888" t="s">
        <v>2062</v>
      </c>
      <c r="B834" s="908" t="s">
        <v>5079</v>
      </c>
      <c r="C834" s="909" t="s">
        <v>3335</v>
      </c>
      <c r="D834" s="888" t="b">
        <v>1</v>
      </c>
      <c r="E834" s="1669" t="str">
        <f>$E$184</f>
        <v>Include Long Cycle</v>
      </c>
      <c r="I834" s="888"/>
      <c r="J834" s="888"/>
      <c r="K834" s="888"/>
      <c r="L834" s="888"/>
      <c r="M834" s="888"/>
      <c r="N834" s="888"/>
      <c r="O834" s="888"/>
      <c r="P834" s="888"/>
      <c r="Q834" s="888"/>
      <c r="R834" s="888"/>
    </row>
    <row r="835" spans="1:18" s="893" customFormat="1" ht="15" customHeight="1" x14ac:dyDescent="0.3">
      <c r="A835" s="888" t="s">
        <v>2083</v>
      </c>
      <c r="B835" s="888"/>
      <c r="C835" s="888"/>
      <c r="D835" s="888"/>
      <c r="E835" s="1670"/>
      <c r="I835" s="888"/>
      <c r="J835" s="888"/>
      <c r="K835" s="888"/>
      <c r="L835" s="888"/>
      <c r="M835" s="888"/>
      <c r="N835" s="888"/>
      <c r="O835" s="888"/>
      <c r="P835" s="888"/>
      <c r="Q835" s="888"/>
      <c r="R835" s="888"/>
    </row>
    <row r="836" spans="1:18" s="893" customFormat="1" ht="21" x14ac:dyDescent="0.3">
      <c r="A836" s="888" t="s">
        <v>2062</v>
      </c>
      <c r="B836" s="888" t="s">
        <v>1100</v>
      </c>
      <c r="C836" s="909" t="s">
        <v>4961</v>
      </c>
      <c r="D836" s="888" t="b">
        <v>1</v>
      </c>
      <c r="E836" s="622" t="s">
        <v>7193</v>
      </c>
      <c r="I836" s="888"/>
      <c r="J836" s="888"/>
      <c r="K836" s="888"/>
      <c r="L836" s="888"/>
      <c r="M836" s="888"/>
      <c r="N836" s="888"/>
      <c r="O836" s="888"/>
      <c r="P836" s="888"/>
      <c r="Q836" s="888"/>
      <c r="R836" s="888"/>
    </row>
    <row r="837" spans="1:18" s="893" customFormat="1" ht="21" x14ac:dyDescent="0.3">
      <c r="A837" s="888" t="s">
        <v>2062</v>
      </c>
      <c r="B837" s="888" t="s">
        <v>1100</v>
      </c>
      <c r="C837" s="911" t="s">
        <v>5112</v>
      </c>
      <c r="D837" s="888" t="b">
        <v>1</v>
      </c>
      <c r="E837" s="622" t="s">
        <v>7199</v>
      </c>
      <c r="I837" s="888"/>
      <c r="J837" s="888"/>
      <c r="K837" s="888"/>
      <c r="L837" s="888"/>
      <c r="M837" s="888"/>
      <c r="N837" s="888"/>
      <c r="O837" s="888"/>
      <c r="P837" s="888"/>
      <c r="Q837" s="888"/>
      <c r="R837" s="888"/>
    </row>
    <row r="838" spans="1:18" s="893" customFormat="1" x14ac:dyDescent="0.3">
      <c r="A838" s="888" t="s">
        <v>2062</v>
      </c>
      <c r="B838" s="888" t="s">
        <v>1100</v>
      </c>
      <c r="C838" s="888" t="s">
        <v>2133</v>
      </c>
      <c r="D838" s="888"/>
      <c r="E838" s="893" t="s">
        <v>75</v>
      </c>
      <c r="I838" s="888"/>
      <c r="J838" s="888"/>
      <c r="K838" s="888"/>
      <c r="L838" s="888"/>
      <c r="M838" s="888"/>
      <c r="N838" s="888"/>
      <c r="O838" s="888"/>
      <c r="P838" s="888"/>
      <c r="Q838" s="888"/>
      <c r="R838" s="888"/>
    </row>
    <row r="839" spans="1:18" s="893" customFormat="1" x14ac:dyDescent="0.3">
      <c r="A839" s="888" t="s">
        <v>2062</v>
      </c>
      <c r="B839" s="888" t="s">
        <v>1100</v>
      </c>
      <c r="C839" s="888" t="s">
        <v>2134</v>
      </c>
      <c r="D839" s="888"/>
      <c r="E839" s="893" t="str">
        <f>$E$325</f>
        <v>FRAMING SPACING:</v>
      </c>
      <c r="I839" s="888"/>
      <c r="J839" s="888"/>
      <c r="K839" s="888"/>
      <c r="L839" s="888"/>
      <c r="M839" s="888"/>
      <c r="N839" s="888"/>
      <c r="O839" s="888"/>
      <c r="P839" s="888"/>
      <c r="Q839" s="888"/>
      <c r="R839" s="888"/>
    </row>
    <row r="840" spans="1:18" s="893" customFormat="1" x14ac:dyDescent="0.3">
      <c r="A840" s="888" t="s">
        <v>2062</v>
      </c>
      <c r="B840" s="948" t="s">
        <v>5079</v>
      </c>
      <c r="C840" s="888" t="s">
        <v>2135</v>
      </c>
      <c r="D840" s="888"/>
      <c r="E840" s="893" t="s">
        <v>1075</v>
      </c>
      <c r="I840" s="888"/>
      <c r="J840" s="888"/>
      <c r="K840" s="888"/>
      <c r="L840" s="888"/>
      <c r="M840" s="888"/>
      <c r="N840" s="888"/>
      <c r="O840" s="888"/>
      <c r="P840" s="888"/>
      <c r="Q840" s="888"/>
      <c r="R840" s="888"/>
    </row>
    <row r="841" spans="1:18" s="893" customFormat="1" ht="15.6" customHeight="1" x14ac:dyDescent="0.3">
      <c r="A841" s="888" t="s">
        <v>2062</v>
      </c>
      <c r="B841" s="888" t="s">
        <v>1100</v>
      </c>
      <c r="C841" s="948" t="s">
        <v>2135</v>
      </c>
      <c r="D841" s="888"/>
      <c r="E841" s="893" t="s">
        <v>6843</v>
      </c>
      <c r="I841" s="888"/>
      <c r="J841" s="888"/>
      <c r="K841" s="888"/>
      <c r="L841" s="888"/>
      <c r="M841" s="888"/>
      <c r="N841" s="888"/>
      <c r="O841" s="888"/>
      <c r="P841" s="888"/>
      <c r="Q841" s="888"/>
      <c r="R841" s="888"/>
    </row>
    <row r="842" spans="1:18" s="893" customFormat="1" x14ac:dyDescent="0.3">
      <c r="A842" s="888" t="s">
        <v>2062</v>
      </c>
      <c r="B842" s="888" t="s">
        <v>1100</v>
      </c>
      <c r="C842" s="948" t="s">
        <v>2080</v>
      </c>
      <c r="D842" s="888"/>
      <c r="E842" s="893" t="s">
        <v>6844</v>
      </c>
      <c r="I842" s="888"/>
      <c r="J842" s="888"/>
      <c r="K842" s="888"/>
      <c r="L842" s="888"/>
      <c r="M842" s="888"/>
      <c r="N842" s="888"/>
      <c r="O842" s="888"/>
      <c r="P842" s="888"/>
      <c r="Q842" s="888"/>
      <c r="R842" s="888"/>
    </row>
    <row r="843" spans="1:18" s="893" customFormat="1" x14ac:dyDescent="0.3">
      <c r="A843" s="888" t="s">
        <v>2062</v>
      </c>
      <c r="B843" s="888" t="s">
        <v>1100</v>
      </c>
      <c r="C843" s="948" t="s">
        <v>2089</v>
      </c>
      <c r="D843" s="888"/>
      <c r="E843" s="893" t="s">
        <v>6845</v>
      </c>
      <c r="I843" s="888"/>
      <c r="J843" s="888"/>
      <c r="K843" s="888"/>
      <c r="L843" s="888"/>
      <c r="M843" s="888"/>
      <c r="N843" s="888"/>
      <c r="O843" s="888"/>
      <c r="P843" s="888"/>
      <c r="Q843" s="888"/>
      <c r="R843" s="888"/>
    </row>
    <row r="844" spans="1:18" s="893" customFormat="1" x14ac:dyDescent="0.3">
      <c r="A844" s="888" t="s">
        <v>2062</v>
      </c>
      <c r="B844" s="888" t="s">
        <v>1100</v>
      </c>
      <c r="C844" s="888" t="s">
        <v>2095</v>
      </c>
      <c r="D844" s="888"/>
      <c r="E844" s="893" t="s">
        <v>76</v>
      </c>
      <c r="I844" s="888"/>
      <c r="J844" s="888"/>
      <c r="K844" s="888"/>
      <c r="L844" s="888"/>
      <c r="M844" s="888"/>
      <c r="N844" s="888"/>
      <c r="O844" s="888"/>
      <c r="P844" s="888"/>
      <c r="Q844" s="888"/>
      <c r="R844" s="888"/>
    </row>
    <row r="845" spans="1:18" s="893" customFormat="1" x14ac:dyDescent="0.3">
      <c r="A845" s="888" t="s">
        <v>2062</v>
      </c>
      <c r="B845" s="916" t="s">
        <v>5079</v>
      </c>
      <c r="C845" s="888" t="s">
        <v>2077</v>
      </c>
      <c r="D845" s="888"/>
      <c r="E845" s="927" t="s">
        <v>816</v>
      </c>
      <c r="I845" s="888"/>
      <c r="J845" s="888"/>
      <c r="K845" s="888"/>
      <c r="L845" s="888"/>
      <c r="M845" s="888"/>
      <c r="N845" s="888"/>
      <c r="O845" s="888"/>
      <c r="P845" s="888"/>
      <c r="Q845" s="888"/>
      <c r="R845" s="888"/>
    </row>
    <row r="846" spans="1:18" s="893" customFormat="1" x14ac:dyDescent="0.3">
      <c r="A846" s="888" t="s">
        <v>2062</v>
      </c>
      <c r="B846" s="888" t="s">
        <v>1100</v>
      </c>
      <c r="C846" s="888" t="s">
        <v>2105</v>
      </c>
      <c r="D846" s="888"/>
      <c r="E846" s="893" t="s">
        <v>79</v>
      </c>
      <c r="I846" s="888"/>
      <c r="J846" s="888"/>
      <c r="K846" s="888"/>
      <c r="L846" s="888"/>
      <c r="M846" s="888"/>
      <c r="N846" s="888"/>
      <c r="O846" s="888"/>
      <c r="P846" s="888"/>
      <c r="Q846" s="888"/>
      <c r="R846" s="888"/>
    </row>
    <row r="847" spans="1:18" s="893" customFormat="1" x14ac:dyDescent="0.3">
      <c r="A847" s="888" t="s">
        <v>2062</v>
      </c>
      <c r="B847" s="888" t="s">
        <v>1100</v>
      </c>
      <c r="C847" s="888" t="s">
        <v>2211</v>
      </c>
      <c r="D847" s="888"/>
      <c r="E847" s="893" t="s">
        <v>81</v>
      </c>
      <c r="I847" s="888"/>
      <c r="J847" s="888"/>
      <c r="K847" s="888"/>
      <c r="L847" s="888"/>
      <c r="M847" s="888"/>
      <c r="N847" s="888"/>
      <c r="O847" s="888"/>
      <c r="P847" s="888"/>
      <c r="Q847" s="888"/>
      <c r="R847" s="888"/>
    </row>
    <row r="848" spans="1:18" s="893" customFormat="1" x14ac:dyDescent="0.3">
      <c r="A848" s="888" t="s">
        <v>2062</v>
      </c>
      <c r="B848" s="888" t="s">
        <v>1100</v>
      </c>
      <c r="C848" s="888" t="s">
        <v>5154</v>
      </c>
      <c r="D848" s="888"/>
      <c r="E848" s="893" t="str">
        <f>$E$325</f>
        <v>FRAMING SPACING:</v>
      </c>
      <c r="I848" s="888"/>
      <c r="J848" s="888"/>
      <c r="K848" s="888"/>
      <c r="L848" s="888"/>
      <c r="M848" s="888"/>
      <c r="N848" s="888"/>
      <c r="O848" s="888"/>
      <c r="P848" s="888"/>
      <c r="Q848" s="888"/>
      <c r="R848" s="888"/>
    </row>
    <row r="849" spans="1:18" s="893" customFormat="1" x14ac:dyDescent="0.3">
      <c r="A849" s="888" t="s">
        <v>2062</v>
      </c>
      <c r="B849" s="888" t="s">
        <v>1100</v>
      </c>
      <c r="C849" s="888" t="s">
        <v>2108</v>
      </c>
      <c r="D849" s="888"/>
      <c r="E849" s="893" t="s">
        <v>82</v>
      </c>
      <c r="I849" s="888"/>
      <c r="J849" s="888"/>
      <c r="K849" s="888"/>
      <c r="L849" s="888"/>
      <c r="M849" s="888"/>
      <c r="N849" s="888"/>
      <c r="O849" s="888"/>
      <c r="P849" s="888"/>
      <c r="Q849" s="888"/>
      <c r="R849" s="888"/>
    </row>
    <row r="850" spans="1:18" s="893" customFormat="1" x14ac:dyDescent="0.3">
      <c r="A850" s="888" t="s">
        <v>2062</v>
      </c>
      <c r="B850" s="888" t="s">
        <v>1100</v>
      </c>
      <c r="C850" s="888" t="s">
        <v>4216</v>
      </c>
      <c r="D850" s="888"/>
      <c r="E850" s="893" t="s">
        <v>1738</v>
      </c>
      <c r="I850" s="888"/>
      <c r="J850" s="888"/>
      <c r="K850" s="888"/>
      <c r="L850" s="888"/>
      <c r="M850" s="888"/>
      <c r="N850" s="888"/>
      <c r="O850" s="888"/>
      <c r="P850" s="888"/>
      <c r="Q850" s="888"/>
      <c r="R850" s="888"/>
    </row>
    <row r="851" spans="1:18" s="893" customFormat="1" x14ac:dyDescent="0.3">
      <c r="A851" s="888" t="s">
        <v>2062</v>
      </c>
      <c r="B851" s="888" t="s">
        <v>1100</v>
      </c>
      <c r="C851" s="888" t="s">
        <v>3986</v>
      </c>
      <c r="D851" s="888"/>
      <c r="E851" s="893" t="s">
        <v>1376</v>
      </c>
      <c r="I851" s="888"/>
      <c r="J851" s="888"/>
      <c r="K851" s="888"/>
      <c r="L851" s="888"/>
      <c r="M851" s="888"/>
      <c r="N851" s="888"/>
      <c r="O851" s="888"/>
      <c r="P851" s="888"/>
      <c r="Q851" s="888"/>
      <c r="R851" s="888"/>
    </row>
    <row r="852" spans="1:18" s="893" customFormat="1" x14ac:dyDescent="0.3">
      <c r="A852" s="888" t="s">
        <v>2062</v>
      </c>
      <c r="B852" s="888" t="s">
        <v>1100</v>
      </c>
      <c r="C852" s="888" t="s">
        <v>2123</v>
      </c>
      <c r="D852" s="888"/>
      <c r="E852" s="893" t="s">
        <v>1048</v>
      </c>
      <c r="I852" s="888"/>
      <c r="J852" s="888"/>
      <c r="K852" s="888"/>
      <c r="L852" s="888"/>
      <c r="M852" s="888"/>
      <c r="N852" s="888"/>
      <c r="O852" s="888"/>
      <c r="P852" s="888"/>
      <c r="Q852" s="888"/>
      <c r="R852" s="888"/>
    </row>
    <row r="853" spans="1:18" s="893" customFormat="1" x14ac:dyDescent="0.3">
      <c r="A853" s="888" t="s">
        <v>2062</v>
      </c>
      <c r="B853" s="888" t="s">
        <v>1100</v>
      </c>
      <c r="C853" s="888" t="s">
        <v>2520</v>
      </c>
      <c r="D853" s="888"/>
      <c r="E853" s="893" t="s">
        <v>1375</v>
      </c>
      <c r="I853" s="888"/>
      <c r="J853" s="888"/>
      <c r="K853" s="888"/>
      <c r="L853" s="888"/>
      <c r="M853" s="888"/>
      <c r="N853" s="888"/>
      <c r="O853" s="888"/>
      <c r="P853" s="888"/>
      <c r="Q853" s="888"/>
      <c r="R853" s="888"/>
    </row>
    <row r="854" spans="1:18" s="893" customFormat="1" x14ac:dyDescent="0.3">
      <c r="A854" s="888" t="s">
        <v>2062</v>
      </c>
      <c r="B854" s="888" t="s">
        <v>1100</v>
      </c>
      <c r="C854" s="888" t="s">
        <v>4344</v>
      </c>
      <c r="D854" s="888"/>
      <c r="E854" s="893" t="s">
        <v>1625</v>
      </c>
      <c r="I854" s="888"/>
      <c r="J854" s="888"/>
      <c r="K854" s="888"/>
      <c r="L854" s="888"/>
      <c r="M854" s="888"/>
      <c r="N854" s="888"/>
      <c r="O854" s="888"/>
      <c r="P854" s="888"/>
      <c r="Q854" s="888"/>
      <c r="R854" s="888"/>
    </row>
    <row r="855" spans="1:18" s="893" customFormat="1" x14ac:dyDescent="0.3">
      <c r="A855" s="888" t="s">
        <v>2062</v>
      </c>
      <c r="B855" s="888" t="s">
        <v>1100</v>
      </c>
      <c r="C855" s="888" t="s">
        <v>2248</v>
      </c>
      <c r="D855" s="888"/>
      <c r="E855" s="893" t="str">
        <f>$E$219</f>
        <v>EARTHEN FLOOR</v>
      </c>
      <c r="I855" s="888"/>
      <c r="J855" s="888"/>
      <c r="K855" s="888"/>
      <c r="L855" s="888"/>
      <c r="M855" s="888"/>
      <c r="N855" s="888"/>
      <c r="O855" s="888"/>
      <c r="P855" s="888"/>
      <c r="Q855" s="888"/>
      <c r="R855" s="888"/>
    </row>
    <row r="856" spans="1:18" s="893" customFormat="1" x14ac:dyDescent="0.3">
      <c r="A856" s="888" t="s">
        <v>2062</v>
      </c>
      <c r="B856" s="888" t="s">
        <v>1100</v>
      </c>
      <c r="C856" s="888" t="s">
        <v>4377</v>
      </c>
      <c r="D856" s="888"/>
      <c r="E856" s="893" t="s">
        <v>83</v>
      </c>
      <c r="I856" s="888"/>
      <c r="J856" s="888"/>
      <c r="K856" s="888"/>
      <c r="L856" s="888"/>
      <c r="M856" s="888"/>
      <c r="N856" s="888"/>
      <c r="O856" s="888"/>
      <c r="P856" s="888"/>
      <c r="Q856" s="888"/>
      <c r="R856" s="888"/>
    </row>
    <row r="857" spans="1:18" s="893" customFormat="1" x14ac:dyDescent="0.3">
      <c r="A857" s="888" t="s">
        <v>2062</v>
      </c>
      <c r="B857" s="888" t="s">
        <v>1100</v>
      </c>
      <c r="C857" s="888" t="s">
        <v>2528</v>
      </c>
      <c r="D857" s="888"/>
      <c r="E857" s="893" t="s">
        <v>1049</v>
      </c>
      <c r="I857" s="888"/>
      <c r="J857" s="888"/>
      <c r="K857" s="888"/>
      <c r="L857" s="888"/>
      <c r="M857" s="888"/>
      <c r="N857" s="888"/>
      <c r="O857" s="888"/>
      <c r="P857" s="888"/>
      <c r="Q857" s="888"/>
      <c r="R857" s="888"/>
    </row>
    <row r="858" spans="1:18" s="893" customFormat="1" x14ac:dyDescent="0.3">
      <c r="A858" s="888" t="s">
        <v>2062</v>
      </c>
      <c r="B858" s="888" t="s">
        <v>1100</v>
      </c>
      <c r="C858" s="888" t="s">
        <v>2529</v>
      </c>
      <c r="D858" s="888"/>
      <c r="E858" s="893" t="str">
        <f>$E$237</f>
        <v>Hardwood flooring - AVERAGE</v>
      </c>
      <c r="I858" s="888"/>
      <c r="J858" s="888"/>
      <c r="K858" s="888"/>
      <c r="L858" s="888"/>
      <c r="M858" s="888"/>
      <c r="N858" s="888"/>
      <c r="O858" s="888"/>
      <c r="P858" s="888"/>
      <c r="Q858" s="888"/>
      <c r="R858" s="888"/>
    </row>
    <row r="859" spans="1:18" s="893" customFormat="1" x14ac:dyDescent="0.3">
      <c r="A859" s="888" t="s">
        <v>2062</v>
      </c>
      <c r="B859" s="888" t="s">
        <v>1100</v>
      </c>
      <c r="C859" s="888" t="s">
        <v>2153</v>
      </c>
      <c r="D859" s="888"/>
      <c r="E859" s="893" t="str">
        <f>$E$238</f>
        <v>LINOLEUM FLOORING</v>
      </c>
      <c r="I859" s="888"/>
      <c r="J859" s="888"/>
      <c r="K859" s="888"/>
      <c r="L859" s="888"/>
      <c r="M859" s="888"/>
      <c r="N859" s="888"/>
      <c r="O859" s="888"/>
      <c r="P859" s="888"/>
      <c r="Q859" s="888"/>
      <c r="R859" s="888"/>
    </row>
    <row r="860" spans="1:18" s="893" customFormat="1" x14ac:dyDescent="0.3">
      <c r="A860" s="888" t="s">
        <v>2062</v>
      </c>
      <c r="B860" s="888" t="s">
        <v>1100</v>
      </c>
      <c r="C860" s="916" t="s">
        <v>2218</v>
      </c>
      <c r="D860" s="888"/>
      <c r="E860" s="893" t="s">
        <v>1353</v>
      </c>
      <c r="I860" s="888"/>
      <c r="J860" s="888"/>
      <c r="K860" s="888"/>
      <c r="L860" s="888"/>
      <c r="M860" s="888"/>
      <c r="N860" s="888"/>
      <c r="O860" s="888"/>
      <c r="P860" s="888"/>
      <c r="Q860" s="888"/>
      <c r="R860" s="888"/>
    </row>
    <row r="861" spans="1:18" s="893" customFormat="1" x14ac:dyDescent="0.3">
      <c r="A861" s="888" t="s">
        <v>2062</v>
      </c>
      <c r="B861" s="888" t="s">
        <v>1100</v>
      </c>
      <c r="C861" s="935" t="s">
        <v>2156</v>
      </c>
      <c r="D861" s="888"/>
      <c r="E861" s="945" t="str">
        <f>$E$240</f>
        <v>Linoleum flooring - AVERAGE 4 mm</v>
      </c>
      <c r="I861" s="888"/>
      <c r="J861" s="888"/>
      <c r="K861" s="888"/>
      <c r="L861" s="888"/>
      <c r="M861" s="888"/>
      <c r="N861" s="888"/>
      <c r="O861" s="888"/>
      <c r="P861" s="888"/>
      <c r="Q861" s="888"/>
      <c r="R861" s="888"/>
    </row>
    <row r="862" spans="1:18" s="893" customFormat="1" x14ac:dyDescent="0.3">
      <c r="A862" s="888" t="s">
        <v>2062</v>
      </c>
      <c r="B862" s="888" t="s">
        <v>1100</v>
      </c>
      <c r="C862" s="888" t="s">
        <v>2157</v>
      </c>
      <c r="D862" s="888"/>
      <c r="E862" s="893" t="str">
        <f>$E$241</f>
        <v>TILE FLOORING</v>
      </c>
      <c r="I862" s="888"/>
      <c r="J862" s="888"/>
      <c r="K862" s="888"/>
      <c r="L862" s="888"/>
      <c r="M862" s="888"/>
      <c r="N862" s="888"/>
      <c r="O862" s="888"/>
      <c r="P862" s="888"/>
      <c r="Q862" s="888"/>
      <c r="R862" s="888"/>
    </row>
    <row r="863" spans="1:18" s="893" customFormat="1" x14ac:dyDescent="0.3">
      <c r="A863" s="888" t="s">
        <v>2062</v>
      </c>
      <c r="B863" s="949" t="s">
        <v>5079</v>
      </c>
      <c r="C863" s="888" t="s">
        <v>2247</v>
      </c>
      <c r="D863" s="888"/>
      <c r="E863" s="893" t="s">
        <v>1076</v>
      </c>
      <c r="I863" s="888"/>
      <c r="J863" s="888"/>
      <c r="K863" s="888"/>
      <c r="L863" s="888"/>
      <c r="M863" s="888"/>
      <c r="N863" s="888"/>
      <c r="O863" s="888"/>
      <c r="P863" s="888"/>
      <c r="Q863" s="888"/>
      <c r="R863" s="888"/>
    </row>
    <row r="864" spans="1:18" s="893" customFormat="1" x14ac:dyDescent="0.3">
      <c r="A864" s="888" t="s">
        <v>2062</v>
      </c>
      <c r="B864" s="888" t="s">
        <v>1100</v>
      </c>
      <c r="C864" s="888" t="s">
        <v>2300</v>
      </c>
      <c r="D864" s="888"/>
      <c r="E864" s="893" t="str">
        <f>$E$243</f>
        <v>VINYL FLOORING</v>
      </c>
      <c r="I864" s="888"/>
      <c r="J864" s="888"/>
      <c r="K864" s="888"/>
      <c r="L864" s="888"/>
      <c r="M864" s="888"/>
      <c r="N864" s="888"/>
      <c r="O864" s="888"/>
      <c r="P864" s="888"/>
      <c r="Q864" s="888"/>
      <c r="R864" s="888"/>
    </row>
    <row r="865" spans="1:18" s="893" customFormat="1" x14ac:dyDescent="0.3">
      <c r="A865" s="888" t="s">
        <v>2062</v>
      </c>
      <c r="B865" s="949" t="s">
        <v>5079</v>
      </c>
      <c r="C865" s="888" t="s">
        <v>2151</v>
      </c>
      <c r="D865" s="888"/>
      <c r="E865" s="893" t="str">
        <f>$E$244</f>
        <v>Vinyl flooring - AVERAGE</v>
      </c>
      <c r="I865" s="888"/>
      <c r="J865" s="888"/>
      <c r="K865" s="888"/>
      <c r="L865" s="888"/>
      <c r="M865" s="888"/>
      <c r="N865" s="888"/>
      <c r="O865" s="888"/>
      <c r="P865" s="888"/>
      <c r="Q865" s="888"/>
      <c r="R865" s="888"/>
    </row>
    <row r="866" spans="1:18" s="893" customFormat="1" x14ac:dyDescent="0.3">
      <c r="A866" s="888" t="s">
        <v>2062</v>
      </c>
      <c r="B866" s="888" t="s">
        <v>1100</v>
      </c>
      <c r="C866" s="888" t="s">
        <v>2289</v>
      </c>
      <c r="D866" s="888"/>
      <c r="E866" s="893" t="str">
        <f>$E$245</f>
        <v>LAMINATE FLOORING</v>
      </c>
      <c r="I866" s="888"/>
      <c r="J866" s="888"/>
      <c r="K866" s="888"/>
      <c r="L866" s="888"/>
      <c r="M866" s="888"/>
      <c r="N866" s="888"/>
      <c r="O866" s="888"/>
      <c r="P866" s="888"/>
      <c r="Q866" s="888"/>
      <c r="R866" s="888"/>
    </row>
    <row r="867" spans="1:18" s="893" customFormat="1" x14ac:dyDescent="0.3">
      <c r="A867" s="888" t="s">
        <v>2062</v>
      </c>
      <c r="B867" s="888" t="s">
        <v>1100</v>
      </c>
      <c r="C867" s="888" t="s">
        <v>2253</v>
      </c>
      <c r="D867" s="888"/>
      <c r="E867" s="893" t="str">
        <f>$E$247</f>
        <v>CORK FLOORING</v>
      </c>
      <c r="I867" s="888"/>
      <c r="J867" s="888"/>
      <c r="K867" s="888"/>
      <c r="L867" s="888"/>
      <c r="M867" s="888"/>
      <c r="N867" s="888"/>
      <c r="O867" s="888"/>
      <c r="P867" s="888"/>
      <c r="Q867" s="888"/>
      <c r="R867" s="888"/>
    </row>
    <row r="868" spans="1:18" s="893" customFormat="1" x14ac:dyDescent="0.3">
      <c r="A868" s="888" t="s">
        <v>2062</v>
      </c>
      <c r="B868" s="888" t="s">
        <v>1100</v>
      </c>
      <c r="C868" s="888" t="s">
        <v>2558</v>
      </c>
      <c r="D868" s="888"/>
      <c r="E868" s="893" t="str">
        <f>$E$248</f>
        <v>CARPET</v>
      </c>
      <c r="I868" s="888"/>
      <c r="J868" s="888"/>
      <c r="K868" s="888"/>
      <c r="L868" s="888"/>
      <c r="M868" s="888"/>
      <c r="N868" s="888"/>
      <c r="O868" s="888"/>
      <c r="P868" s="888"/>
      <c r="Q868" s="888"/>
      <c r="R868" s="888"/>
    </row>
    <row r="869" spans="1:18" s="893" customFormat="1" x14ac:dyDescent="0.3">
      <c r="A869" s="888" t="s">
        <v>2062</v>
      </c>
      <c r="B869" s="888" t="s">
        <v>1100</v>
      </c>
      <c r="C869" s="888" t="s">
        <v>2162</v>
      </c>
      <c r="D869" s="888"/>
      <c r="E869" s="893" t="s">
        <v>84</v>
      </c>
      <c r="I869" s="888"/>
      <c r="J869" s="888"/>
      <c r="K869" s="888"/>
      <c r="L869" s="888"/>
      <c r="M869" s="888"/>
      <c r="N869" s="888"/>
      <c r="O869" s="888"/>
      <c r="P869" s="888"/>
      <c r="Q869" s="888"/>
      <c r="R869" s="888"/>
    </row>
    <row r="870" spans="1:18" s="893" customFormat="1" x14ac:dyDescent="0.3">
      <c r="A870" s="888" t="s">
        <v>2062</v>
      </c>
      <c r="B870" s="888" t="s">
        <v>1100</v>
      </c>
      <c r="C870" s="888" t="s">
        <v>4502</v>
      </c>
      <c r="D870" s="888"/>
      <c r="E870" s="893" t="s">
        <v>1188</v>
      </c>
      <c r="I870" s="888"/>
      <c r="J870" s="888"/>
      <c r="K870" s="888"/>
      <c r="L870" s="888"/>
      <c r="M870" s="888"/>
      <c r="N870" s="888"/>
      <c r="O870" s="888"/>
      <c r="P870" s="888"/>
      <c r="Q870" s="888"/>
      <c r="R870" s="888"/>
    </row>
    <row r="871" spans="1:18" s="893" customFormat="1" x14ac:dyDescent="0.3">
      <c r="A871" s="888" t="s">
        <v>2062</v>
      </c>
      <c r="B871" s="950" t="s">
        <v>1100</v>
      </c>
      <c r="C871" s="950" t="s">
        <v>2566</v>
      </c>
      <c r="D871" s="888"/>
      <c r="E871" s="893" t="str">
        <f>$E$339</f>
        <v>FIBERGLASS BATT</v>
      </c>
      <c r="I871" s="888"/>
      <c r="J871" s="888"/>
      <c r="K871" s="888"/>
      <c r="L871" s="888"/>
      <c r="M871" s="888"/>
      <c r="N871" s="888"/>
      <c r="O871" s="888"/>
      <c r="P871" s="888"/>
      <c r="Q871" s="888"/>
      <c r="R871" s="888"/>
    </row>
    <row r="872" spans="1:18" s="893" customFormat="1" x14ac:dyDescent="0.3">
      <c r="A872" s="888" t="s">
        <v>2062</v>
      </c>
      <c r="B872" s="935" t="s">
        <v>5079</v>
      </c>
      <c r="C872" s="935" t="s">
        <v>5119</v>
      </c>
      <c r="D872" s="888"/>
      <c r="E872" s="936" t="str">
        <f>$E$606</f>
        <v>R-VALUE:</v>
      </c>
      <c r="I872" s="888"/>
      <c r="J872" s="888"/>
      <c r="K872" s="888"/>
      <c r="L872" s="888"/>
      <c r="M872" s="888"/>
      <c r="N872" s="888"/>
      <c r="O872" s="888"/>
      <c r="P872" s="888"/>
      <c r="Q872" s="888"/>
      <c r="R872" s="888"/>
    </row>
    <row r="873" spans="1:18" s="893" customFormat="1" x14ac:dyDescent="0.3">
      <c r="A873" s="888" t="s">
        <v>2062</v>
      </c>
      <c r="B873" s="950" t="s">
        <v>1100</v>
      </c>
      <c r="C873" s="950" t="s">
        <v>2569</v>
      </c>
      <c r="D873" s="888"/>
      <c r="E873" s="893" t="s">
        <v>1199</v>
      </c>
      <c r="I873" s="888"/>
      <c r="J873" s="888"/>
      <c r="K873" s="888"/>
      <c r="L873" s="888"/>
      <c r="M873" s="888"/>
      <c r="N873" s="888"/>
      <c r="O873" s="888"/>
      <c r="P873" s="888"/>
      <c r="Q873" s="888"/>
      <c r="R873" s="888"/>
    </row>
    <row r="874" spans="1:18" s="893" customFormat="1" x14ac:dyDescent="0.3">
      <c r="A874" s="888" t="s">
        <v>2062</v>
      </c>
      <c r="B874" s="888" t="s">
        <v>1100</v>
      </c>
      <c r="C874" s="888" t="s">
        <v>2188</v>
      </c>
      <c r="D874" s="888"/>
      <c r="E874" s="893" t="s">
        <v>967</v>
      </c>
      <c r="I874" s="888"/>
      <c r="J874" s="888"/>
      <c r="K874" s="888"/>
      <c r="L874" s="888"/>
      <c r="M874" s="888"/>
      <c r="N874" s="888"/>
      <c r="O874" s="888"/>
      <c r="P874" s="888"/>
      <c r="Q874" s="888"/>
      <c r="R874" s="888"/>
    </row>
    <row r="875" spans="1:18" s="893" customFormat="1" x14ac:dyDescent="0.3">
      <c r="A875" s="888" t="s">
        <v>2062</v>
      </c>
      <c r="B875" s="935" t="s">
        <v>5079</v>
      </c>
      <c r="C875" s="935" t="s">
        <v>2328</v>
      </c>
      <c r="D875" s="888"/>
      <c r="E875" s="936" t="str">
        <f>$E$606</f>
        <v>R-VALUE:</v>
      </c>
      <c r="I875" s="888"/>
      <c r="J875" s="888"/>
      <c r="K875" s="888"/>
      <c r="L875" s="888"/>
      <c r="M875" s="888"/>
      <c r="N875" s="888"/>
      <c r="O875" s="888"/>
      <c r="P875" s="888"/>
      <c r="Q875" s="888"/>
      <c r="R875" s="888"/>
    </row>
    <row r="876" spans="1:18" s="893" customFormat="1" x14ac:dyDescent="0.3">
      <c r="A876" s="888" t="s">
        <v>2062</v>
      </c>
      <c r="B876" s="888" t="s">
        <v>1100</v>
      </c>
      <c r="C876" s="888" t="s">
        <v>2189</v>
      </c>
      <c r="D876" s="888"/>
      <c r="E876" s="893" t="s">
        <v>1189</v>
      </c>
      <c r="I876" s="888"/>
      <c r="J876" s="888"/>
      <c r="K876" s="888"/>
      <c r="L876" s="888"/>
      <c r="M876" s="888"/>
      <c r="N876" s="888"/>
      <c r="O876" s="888"/>
      <c r="P876" s="888"/>
      <c r="Q876" s="888"/>
      <c r="R876" s="888"/>
    </row>
    <row r="877" spans="1:18" s="893" customFormat="1" x14ac:dyDescent="0.3">
      <c r="A877" s="888" t="s">
        <v>2062</v>
      </c>
      <c r="B877" s="888" t="s">
        <v>1100</v>
      </c>
      <c r="C877" s="888" t="s">
        <v>2580</v>
      </c>
      <c r="D877" s="888"/>
      <c r="E877" s="893" t="str">
        <f>$E$343</f>
        <v>MINERAL WOOL BATT</v>
      </c>
      <c r="I877" s="888"/>
      <c r="J877" s="888"/>
      <c r="K877" s="888"/>
      <c r="L877" s="888"/>
      <c r="M877" s="888"/>
      <c r="N877" s="888"/>
      <c r="O877" s="888"/>
      <c r="P877" s="888"/>
      <c r="Q877" s="888"/>
      <c r="R877" s="888"/>
    </row>
    <row r="878" spans="1:18" s="893" customFormat="1" x14ac:dyDescent="0.3">
      <c r="A878" s="888" t="s">
        <v>2062</v>
      </c>
      <c r="B878" s="935" t="s">
        <v>5079</v>
      </c>
      <c r="C878" s="935" t="s">
        <v>2562</v>
      </c>
      <c r="D878" s="888"/>
      <c r="E878" s="936" t="str">
        <f>$E$606</f>
        <v>R-VALUE:</v>
      </c>
      <c r="I878" s="888"/>
      <c r="J878" s="888"/>
      <c r="K878" s="888"/>
      <c r="L878" s="888"/>
      <c r="M878" s="888"/>
      <c r="N878" s="888"/>
      <c r="O878" s="888"/>
      <c r="P878" s="888"/>
      <c r="Q878" s="888"/>
      <c r="R878" s="888"/>
    </row>
    <row r="879" spans="1:18" s="893" customFormat="1" x14ac:dyDescent="0.3">
      <c r="A879" s="888" t="s">
        <v>2062</v>
      </c>
      <c r="B879" s="888" t="s">
        <v>1100</v>
      </c>
      <c r="C879" s="888" t="s">
        <v>2582</v>
      </c>
      <c r="D879" s="888"/>
      <c r="E879" s="893" t="s">
        <v>1190</v>
      </c>
      <c r="I879" s="888"/>
      <c r="J879" s="888"/>
      <c r="K879" s="888"/>
      <c r="L879" s="888"/>
      <c r="M879" s="888"/>
      <c r="N879" s="888"/>
      <c r="O879" s="888"/>
      <c r="P879" s="888"/>
      <c r="Q879" s="888"/>
      <c r="R879" s="888"/>
    </row>
    <row r="880" spans="1:18" s="893" customFormat="1" x14ac:dyDescent="0.3">
      <c r="A880" s="888" t="s">
        <v>2062</v>
      </c>
      <c r="B880" s="888" t="s">
        <v>1100</v>
      </c>
      <c r="C880" s="888" t="s">
        <v>2192</v>
      </c>
      <c r="D880" s="888"/>
      <c r="E880" s="926" t="str">
        <f>$E$473</f>
        <v>MINERAL WOOL LOOSE FILL</v>
      </c>
      <c r="F880" s="926"/>
      <c r="I880" s="888"/>
      <c r="J880" s="888"/>
      <c r="K880" s="888"/>
      <c r="L880" s="888"/>
      <c r="M880" s="888"/>
      <c r="N880" s="888"/>
      <c r="O880" s="888"/>
      <c r="P880" s="888"/>
      <c r="Q880" s="888"/>
      <c r="R880" s="888"/>
    </row>
    <row r="881" spans="1:18" s="893" customFormat="1" x14ac:dyDescent="0.3">
      <c r="A881" s="888" t="s">
        <v>2062</v>
      </c>
      <c r="B881" s="935" t="s">
        <v>5079</v>
      </c>
      <c r="C881" s="935" t="s">
        <v>2576</v>
      </c>
      <c r="D881" s="888"/>
      <c r="E881" s="936" t="str">
        <f>$E$606</f>
        <v>R-VALUE:</v>
      </c>
      <c r="F881" s="926"/>
      <c r="I881" s="888"/>
      <c r="J881" s="888"/>
      <c r="K881" s="888"/>
      <c r="L881" s="888"/>
      <c r="M881" s="888"/>
      <c r="N881" s="888"/>
      <c r="O881" s="888"/>
      <c r="P881" s="888"/>
      <c r="Q881" s="888"/>
      <c r="R881" s="888"/>
    </row>
    <row r="882" spans="1:18" s="893" customFormat="1" x14ac:dyDescent="0.3">
      <c r="A882" s="888" t="s">
        <v>2062</v>
      </c>
      <c r="B882" s="888" t="s">
        <v>1100</v>
      </c>
      <c r="C882" s="888" t="s">
        <v>2588</v>
      </c>
      <c r="D882" s="888"/>
      <c r="E882" s="893" t="str">
        <f>$E$479</f>
        <v>SPRAY FOAM, CLOSED CELL</v>
      </c>
      <c r="I882" s="888"/>
      <c r="J882" s="888"/>
      <c r="K882" s="888"/>
      <c r="L882" s="888"/>
      <c r="M882" s="888"/>
      <c r="N882" s="888"/>
      <c r="O882" s="888"/>
      <c r="P882" s="888"/>
      <c r="Q882" s="888"/>
      <c r="R882" s="888"/>
    </row>
    <row r="883" spans="1:18" s="893" customFormat="1" x14ac:dyDescent="0.3">
      <c r="A883" s="888" t="s">
        <v>2062</v>
      </c>
      <c r="B883" s="935" t="s">
        <v>5079</v>
      </c>
      <c r="C883" s="935" t="s">
        <v>2578</v>
      </c>
      <c r="D883" s="888"/>
      <c r="E883" s="936" t="str">
        <f>$E$606</f>
        <v>R-VALUE:</v>
      </c>
      <c r="I883" s="888"/>
      <c r="J883" s="888"/>
      <c r="K883" s="888"/>
      <c r="L883" s="888"/>
      <c r="M883" s="888"/>
      <c r="N883" s="888"/>
      <c r="O883" s="888"/>
      <c r="P883" s="888"/>
      <c r="Q883" s="888"/>
      <c r="R883" s="888"/>
    </row>
    <row r="884" spans="1:18" s="893" customFormat="1" x14ac:dyDescent="0.3">
      <c r="A884" s="888" t="s">
        <v>2062</v>
      </c>
      <c r="B884" s="888" t="s">
        <v>1100</v>
      </c>
      <c r="C884" s="888" t="s">
        <v>2589</v>
      </c>
      <c r="D884" s="888"/>
      <c r="E884" s="893" t="str">
        <f>$E$480</f>
        <v>SPRAY FOAM, OPEN CELL</v>
      </c>
      <c r="I884" s="888"/>
      <c r="J884" s="888"/>
      <c r="K884" s="888"/>
      <c r="L884" s="888"/>
      <c r="M884" s="888"/>
      <c r="N884" s="888"/>
      <c r="O884" s="888"/>
      <c r="P884" s="888"/>
      <c r="Q884" s="888"/>
      <c r="R884" s="888"/>
    </row>
    <row r="885" spans="1:18" s="893" customFormat="1" x14ac:dyDescent="0.3">
      <c r="A885" s="888" t="s">
        <v>2062</v>
      </c>
      <c r="B885" s="935" t="s">
        <v>5079</v>
      </c>
      <c r="C885" s="935" t="s">
        <v>3822</v>
      </c>
      <c r="D885" s="888"/>
      <c r="E885" s="936" t="str">
        <f>$E$606</f>
        <v>R-VALUE:</v>
      </c>
      <c r="I885" s="888"/>
      <c r="J885" s="888"/>
      <c r="K885" s="888"/>
      <c r="L885" s="888"/>
      <c r="M885" s="888"/>
      <c r="N885" s="888"/>
      <c r="O885" s="888"/>
      <c r="P885" s="888"/>
      <c r="Q885" s="888"/>
      <c r="R885" s="888"/>
    </row>
    <row r="886" spans="1:18" s="893" customFormat="1" x14ac:dyDescent="0.3">
      <c r="A886" s="888" t="s">
        <v>2062</v>
      </c>
      <c r="B886" s="888" t="s">
        <v>1100</v>
      </c>
      <c r="C886" s="888" t="s">
        <v>2595</v>
      </c>
      <c r="D886" s="888"/>
      <c r="E886" s="893" t="str">
        <f>$E$341</f>
        <v>CELLULOSE INSULATION</v>
      </c>
      <c r="I886" s="888"/>
      <c r="J886" s="888"/>
      <c r="K886" s="888"/>
      <c r="L886" s="888"/>
      <c r="M886" s="888"/>
      <c r="N886" s="888"/>
      <c r="O886" s="888"/>
      <c r="P886" s="888"/>
      <c r="Q886" s="888"/>
      <c r="R886" s="888"/>
    </row>
    <row r="887" spans="1:18" s="893" customFormat="1" x14ac:dyDescent="0.3">
      <c r="A887" s="888" t="s">
        <v>2062</v>
      </c>
      <c r="B887" s="935" t="s">
        <v>5079</v>
      </c>
      <c r="C887" s="935" t="s">
        <v>5120</v>
      </c>
      <c r="D887" s="888"/>
      <c r="E887" s="936" t="str">
        <f>$E$606</f>
        <v>R-VALUE:</v>
      </c>
      <c r="I887" s="888"/>
      <c r="J887" s="888"/>
      <c r="K887" s="888"/>
      <c r="L887" s="888"/>
      <c r="M887" s="888"/>
      <c r="N887" s="888"/>
      <c r="O887" s="888"/>
      <c r="P887" s="888"/>
      <c r="Q887" s="888"/>
      <c r="R887" s="888"/>
    </row>
    <row r="888" spans="1:18" s="893" customFormat="1" x14ac:dyDescent="0.3">
      <c r="A888" s="888" t="s">
        <v>2062</v>
      </c>
      <c r="B888" s="888" t="s">
        <v>1100</v>
      </c>
      <c r="C888" s="888" t="s">
        <v>2599</v>
      </c>
      <c r="D888" s="888"/>
      <c r="E888" s="893" t="s">
        <v>1191</v>
      </c>
      <c r="I888" s="888"/>
      <c r="J888" s="888"/>
      <c r="K888" s="888"/>
      <c r="L888" s="888"/>
      <c r="M888" s="888"/>
      <c r="N888" s="888"/>
      <c r="O888" s="888"/>
      <c r="P888" s="888"/>
      <c r="Q888" s="888"/>
      <c r="R888" s="888"/>
    </row>
    <row r="889" spans="1:18" s="893" customFormat="1" x14ac:dyDescent="0.3">
      <c r="A889" s="888" t="s">
        <v>2062</v>
      </c>
      <c r="B889" s="888" t="s">
        <v>1100</v>
      </c>
      <c r="C889" s="888" t="s">
        <v>2195</v>
      </c>
      <c r="D889" s="888"/>
      <c r="E889" s="893" t="str">
        <f>$E$345</f>
        <v>WOOD FIBER BATT</v>
      </c>
      <c r="I889" s="888"/>
      <c r="J889" s="888"/>
      <c r="K889" s="888"/>
      <c r="L889" s="888"/>
      <c r="M889" s="888"/>
      <c r="N889" s="888"/>
      <c r="O889" s="888"/>
      <c r="P889" s="888"/>
      <c r="Q889" s="888"/>
      <c r="R889" s="888"/>
    </row>
    <row r="890" spans="1:18" s="893" customFormat="1" x14ac:dyDescent="0.3">
      <c r="A890" s="888" t="s">
        <v>2062</v>
      </c>
      <c r="B890" s="935" t="s">
        <v>5079</v>
      </c>
      <c r="C890" s="935" t="s">
        <v>2586</v>
      </c>
      <c r="D890" s="888"/>
      <c r="E890" s="936" t="str">
        <f>$E$606</f>
        <v>R-VALUE:</v>
      </c>
      <c r="I890" s="888"/>
      <c r="J890" s="888"/>
      <c r="K890" s="888"/>
      <c r="L890" s="888"/>
      <c r="M890" s="888"/>
      <c r="N890" s="888"/>
      <c r="O890" s="888"/>
      <c r="P890" s="888"/>
      <c r="Q890" s="888"/>
      <c r="R890" s="888"/>
    </row>
    <row r="891" spans="1:18" s="893" customFormat="1" x14ac:dyDescent="0.3">
      <c r="A891" s="888" t="s">
        <v>2062</v>
      </c>
      <c r="B891" s="935" t="s">
        <v>5079</v>
      </c>
      <c r="C891" s="888" t="s">
        <v>2308</v>
      </c>
      <c r="D891" s="888"/>
      <c r="E891" s="893" t="s">
        <v>1192</v>
      </c>
      <c r="I891" s="888"/>
      <c r="J891" s="888"/>
      <c r="K891" s="888"/>
      <c r="L891" s="888"/>
      <c r="M891" s="888"/>
      <c r="N891" s="888"/>
      <c r="O891" s="888"/>
      <c r="P891" s="888"/>
      <c r="Q891" s="888"/>
      <c r="R891" s="888"/>
    </row>
    <row r="892" spans="1:18" s="893" customFormat="1" x14ac:dyDescent="0.3">
      <c r="A892" s="888" t="s">
        <v>2062</v>
      </c>
      <c r="B892" s="888" t="s">
        <v>1100</v>
      </c>
      <c r="C892" s="888" t="s">
        <v>7431</v>
      </c>
      <c r="D892" s="888"/>
      <c r="E892" s="893" t="str">
        <f>$E$478</f>
        <v>OTHER NATURAL FIBER INSULATION</v>
      </c>
      <c r="I892" s="888"/>
      <c r="J892" s="888"/>
      <c r="K892" s="888"/>
      <c r="L892" s="888"/>
      <c r="M892" s="888"/>
      <c r="N892" s="888"/>
      <c r="O892" s="888"/>
      <c r="P892" s="888"/>
      <c r="Q892" s="888"/>
      <c r="R892" s="888"/>
    </row>
    <row r="893" spans="1:18" s="893" customFormat="1" x14ac:dyDescent="0.3">
      <c r="A893" s="888" t="s">
        <v>2062</v>
      </c>
      <c r="B893" s="935" t="s">
        <v>5079</v>
      </c>
      <c r="C893" s="935" t="s">
        <v>5121</v>
      </c>
      <c r="D893" s="888"/>
      <c r="E893" s="936" t="str">
        <f>$E$606</f>
        <v>R-VALUE:</v>
      </c>
      <c r="I893" s="888"/>
      <c r="J893" s="888"/>
      <c r="K893" s="888"/>
      <c r="L893" s="888"/>
      <c r="M893" s="888"/>
      <c r="N893" s="888"/>
      <c r="O893" s="888"/>
      <c r="P893" s="888"/>
      <c r="Q893" s="888"/>
      <c r="R893" s="888"/>
    </row>
    <row r="894" spans="1:18" x14ac:dyDescent="0.3">
      <c r="A894" s="888" t="s">
        <v>2062</v>
      </c>
      <c r="B894" s="888" t="s">
        <v>1100</v>
      </c>
      <c r="C894" s="888" t="s">
        <v>7530</v>
      </c>
      <c r="E894" s="893" t="s">
        <v>970</v>
      </c>
    </row>
    <row r="895" spans="1:18" x14ac:dyDescent="0.3">
      <c r="A895" s="888" t="s">
        <v>2062</v>
      </c>
      <c r="B895" s="935" t="s">
        <v>5079</v>
      </c>
      <c r="C895" s="935" t="s">
        <v>2600</v>
      </c>
      <c r="E895" s="936" t="str">
        <f>$E$606</f>
        <v>R-VALUE:</v>
      </c>
    </row>
    <row r="896" spans="1:18" x14ac:dyDescent="0.3">
      <c r="A896" s="888" t="s">
        <v>2062</v>
      </c>
      <c r="B896" s="888" t="s">
        <v>1100</v>
      </c>
      <c r="C896" s="888" t="s">
        <v>2624</v>
      </c>
      <c r="E896" s="893" t="s">
        <v>1193</v>
      </c>
    </row>
    <row r="897" spans="1:19" x14ac:dyDescent="0.3">
      <c r="A897" s="888" t="s">
        <v>2062</v>
      </c>
      <c r="B897" s="888" t="s">
        <v>1101</v>
      </c>
      <c r="C897" s="888" t="s">
        <v>2124</v>
      </c>
      <c r="E897" s="893" t="s">
        <v>98</v>
      </c>
    </row>
    <row r="898" spans="1:19" x14ac:dyDescent="0.3">
      <c r="A898" s="888" t="s">
        <v>2062</v>
      </c>
      <c r="B898" s="888" t="s">
        <v>1101</v>
      </c>
      <c r="C898" s="888" t="s">
        <v>2125</v>
      </c>
      <c r="E898" s="893" t="s">
        <v>1743</v>
      </c>
    </row>
    <row r="899" spans="1:19" ht="243" customHeight="1" x14ac:dyDescent="0.3">
      <c r="A899" s="888" t="s">
        <v>2062</v>
      </c>
      <c r="B899" s="888" t="s">
        <v>1101</v>
      </c>
      <c r="C899" s="888" t="s">
        <v>2063</v>
      </c>
      <c r="D899" s="888" t="b">
        <v>1</v>
      </c>
      <c r="E899" s="1671"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899" s="1671"/>
      <c r="G899" s="1671"/>
      <c r="H899" s="1671"/>
      <c r="I899" s="1671"/>
      <c r="J899" s="1671"/>
      <c r="K899" s="1671"/>
      <c r="L899" s="1671"/>
      <c r="M899" s="1671"/>
      <c r="N899" s="1671"/>
      <c r="O899" s="1671"/>
      <c r="P899" s="1671"/>
      <c r="Q899" s="1671"/>
      <c r="R899" s="1671"/>
      <c r="S899" s="1671"/>
    </row>
    <row r="900" spans="1:19" x14ac:dyDescent="0.3">
      <c r="A900" s="888" t="s">
        <v>2062</v>
      </c>
      <c r="B900" s="888" t="s">
        <v>1101</v>
      </c>
      <c r="C900" s="888" t="s">
        <v>2064</v>
      </c>
      <c r="E900" s="888" t="str">
        <f>$E$170</f>
        <v>CATEGORY</v>
      </c>
    </row>
    <row r="901" spans="1:19" x14ac:dyDescent="0.3">
      <c r="A901" s="888" t="s">
        <v>2062</v>
      </c>
      <c r="B901" s="888" t="s">
        <v>1101</v>
      </c>
      <c r="C901" s="888" t="s">
        <v>2126</v>
      </c>
      <c r="E901" s="893" t="str">
        <f>$E$171</f>
        <v>MATERIAL</v>
      </c>
    </row>
    <row r="902" spans="1:19" x14ac:dyDescent="0.3">
      <c r="A902" s="888" t="s">
        <v>2062</v>
      </c>
      <c r="B902" s="888" t="s">
        <v>1101</v>
      </c>
      <c r="C902" s="888" t="s">
        <v>2127</v>
      </c>
      <c r="E902" s="893" t="str">
        <f>$E$127</f>
        <v>QUANTITY</v>
      </c>
    </row>
    <row r="903" spans="1:19" x14ac:dyDescent="0.3">
      <c r="A903" s="888" t="s">
        <v>2062</v>
      </c>
      <c r="B903" s="888" t="s">
        <v>1101</v>
      </c>
      <c r="C903" s="888" t="s">
        <v>2128</v>
      </c>
      <c r="E903" s="888" t="str">
        <f>$E$173</f>
        <v xml:space="preserve"> SELECT</v>
      </c>
    </row>
    <row r="904" spans="1:19" ht="15" customHeight="1" x14ac:dyDescent="0.3">
      <c r="A904" s="888" t="s">
        <v>2062</v>
      </c>
      <c r="B904" s="908" t="s">
        <v>7405</v>
      </c>
      <c r="C904" s="888" t="s">
        <v>2129</v>
      </c>
      <c r="D904" s="888" t="b">
        <v>1</v>
      </c>
      <c r="E904" s="1669" t="str">
        <f>$E$174</f>
        <v>NET kgCO2e EMISSIONS</v>
      </c>
    </row>
    <row r="905" spans="1:19" ht="15" customHeight="1" x14ac:dyDescent="0.3">
      <c r="A905" s="888" t="s">
        <v>2083</v>
      </c>
      <c r="E905" s="1670"/>
    </row>
    <row r="906" spans="1:19" ht="24" customHeight="1" x14ac:dyDescent="0.3">
      <c r="A906" s="888" t="s">
        <v>2062</v>
      </c>
      <c r="B906" s="908" t="s">
        <v>7405</v>
      </c>
      <c r="C906" s="888" t="s">
        <v>2130</v>
      </c>
      <c r="D906" s="888" t="b">
        <v>1</v>
      </c>
      <c r="E906" s="1669" t="str">
        <f>$E$176</f>
        <v>SELECTED MATERIAL kgCO2e CONTENT</v>
      </c>
    </row>
    <row r="907" spans="1:19" ht="15" customHeight="1" x14ac:dyDescent="0.3">
      <c r="A907" s="888" t="s">
        <v>2083</v>
      </c>
      <c r="E907" s="1670"/>
    </row>
    <row r="908" spans="1:19" ht="15" customHeight="1" x14ac:dyDescent="0.3">
      <c r="A908" s="888" t="s">
        <v>2062</v>
      </c>
      <c r="B908" s="888" t="s">
        <v>1101</v>
      </c>
      <c r="C908" s="888" t="s">
        <v>2131</v>
      </c>
      <c r="D908" s="888" t="b">
        <v>1</v>
      </c>
      <c r="E908" s="1669" t="str">
        <f>$E$178</f>
        <v>kgCO2e EMISSIONS</v>
      </c>
    </row>
    <row r="909" spans="1:19" ht="15" customHeight="1" x14ac:dyDescent="0.3">
      <c r="A909" s="888" t="s">
        <v>2083</v>
      </c>
      <c r="E909" s="1670"/>
    </row>
    <row r="910" spans="1:19" ht="15" customHeight="1" x14ac:dyDescent="0.3">
      <c r="A910" s="888" t="s">
        <v>2062</v>
      </c>
      <c r="B910" s="888" t="s">
        <v>1101</v>
      </c>
      <c r="C910" s="888" t="s">
        <v>2132</v>
      </c>
      <c r="D910" s="888" t="b">
        <v>1</v>
      </c>
      <c r="E910" s="1669" t="str">
        <f>$E$180</f>
        <v>kgCO2 STORAGE</v>
      </c>
    </row>
    <row r="911" spans="1:19" ht="15" customHeight="1" x14ac:dyDescent="0.3">
      <c r="A911" s="888" t="s">
        <v>2083</v>
      </c>
      <c r="E911" s="1670"/>
    </row>
    <row r="912" spans="1:19" ht="15" customHeight="1" x14ac:dyDescent="0.3">
      <c r="A912" s="888" t="s">
        <v>2062</v>
      </c>
      <c r="B912" s="888" t="s">
        <v>1101</v>
      </c>
      <c r="C912" s="909" t="s">
        <v>2070</v>
      </c>
      <c r="D912" s="888" t="b">
        <v>1</v>
      </c>
      <c r="E912" s="1520" t="str">
        <f>$E$182</f>
        <v xml:space="preserve">  Note</v>
      </c>
      <c r="F912" s="1520"/>
    </row>
    <row r="913" spans="1:6" ht="15" customHeight="1" x14ac:dyDescent="0.3">
      <c r="A913" s="888" t="s">
        <v>2083</v>
      </c>
      <c r="E913" s="1520"/>
      <c r="F913" s="1520"/>
    </row>
    <row r="914" spans="1:6" ht="15" customHeight="1" x14ac:dyDescent="0.3">
      <c r="A914" s="888" t="s">
        <v>2062</v>
      </c>
      <c r="B914" s="908" t="s">
        <v>7405</v>
      </c>
      <c r="C914" s="909" t="s">
        <v>3335</v>
      </c>
      <c r="D914" s="888" t="b">
        <v>1</v>
      </c>
      <c r="E914" s="1669" t="str">
        <f>$E$184</f>
        <v>Include Long Cycle</v>
      </c>
    </row>
    <row r="915" spans="1:6" ht="15" customHeight="1" x14ac:dyDescent="0.3">
      <c r="A915" s="888" t="s">
        <v>2083</v>
      </c>
      <c r="E915" s="1670"/>
    </row>
    <row r="916" spans="1:6" ht="21" x14ac:dyDescent="0.3">
      <c r="A916" s="888" t="s">
        <v>2062</v>
      </c>
      <c r="B916" s="888" t="s">
        <v>1101</v>
      </c>
      <c r="C916" s="909" t="s">
        <v>4961</v>
      </c>
      <c r="D916" s="888" t="b">
        <v>1</v>
      </c>
      <c r="E916" s="622" t="s">
        <v>7194</v>
      </c>
    </row>
    <row r="917" spans="1:6" ht="21" x14ac:dyDescent="0.3">
      <c r="A917" s="888" t="s">
        <v>2062</v>
      </c>
      <c r="B917" s="888" t="s">
        <v>1101</v>
      </c>
      <c r="C917" s="911" t="s">
        <v>5112</v>
      </c>
      <c r="D917" s="888" t="b">
        <v>1</v>
      </c>
      <c r="E917" s="622" t="s">
        <v>7198</v>
      </c>
    </row>
    <row r="918" spans="1:6" x14ac:dyDescent="0.3">
      <c r="A918" s="888" t="s">
        <v>2062</v>
      </c>
      <c r="B918" s="888" t="s">
        <v>1101</v>
      </c>
      <c r="C918" s="888" t="s">
        <v>2133</v>
      </c>
      <c r="E918" s="893" t="s">
        <v>1274</v>
      </c>
    </row>
    <row r="919" spans="1:6" x14ac:dyDescent="0.3">
      <c r="A919" s="888" t="s">
        <v>2062</v>
      </c>
      <c r="B919" s="888" t="s">
        <v>1101</v>
      </c>
      <c r="C919" s="888" t="s">
        <v>2135</v>
      </c>
      <c r="E919" s="893" t="str">
        <f>$E$361</f>
        <v>DRYWALL 1/2"</v>
      </c>
    </row>
    <row r="920" spans="1:6" x14ac:dyDescent="0.3">
      <c r="A920" s="888" t="s">
        <v>2062</v>
      </c>
      <c r="B920" s="888" t="s">
        <v>1101</v>
      </c>
      <c r="C920" s="888" t="s">
        <v>2196</v>
      </c>
      <c r="E920" s="893" t="s">
        <v>1077</v>
      </c>
    </row>
    <row r="921" spans="1:6" x14ac:dyDescent="0.3">
      <c r="A921" s="888" t="s">
        <v>2062</v>
      </c>
      <c r="B921" s="888" t="s">
        <v>1101</v>
      </c>
      <c r="C921" s="888" t="s">
        <v>2076</v>
      </c>
      <c r="E921" s="893" t="str">
        <f>$E$363</f>
        <v>DRYWALL 5/8"</v>
      </c>
    </row>
    <row r="922" spans="1:6" x14ac:dyDescent="0.3">
      <c r="A922" s="888" t="s">
        <v>2062</v>
      </c>
      <c r="B922" s="888" t="s">
        <v>1101</v>
      </c>
      <c r="C922" s="888" t="s">
        <v>2461</v>
      </c>
      <c r="E922" s="893" t="s">
        <v>1078</v>
      </c>
    </row>
    <row r="923" spans="1:6" x14ac:dyDescent="0.3">
      <c r="A923" s="888" t="s">
        <v>2062</v>
      </c>
      <c r="B923" s="888" t="s">
        <v>1101</v>
      </c>
      <c r="C923" s="888" t="s">
        <v>2082</v>
      </c>
      <c r="E923" s="893" t="s">
        <v>86</v>
      </c>
    </row>
    <row r="924" spans="1:6" x14ac:dyDescent="0.3">
      <c r="A924" s="888" t="s">
        <v>2062</v>
      </c>
      <c r="B924" s="888" t="s">
        <v>1101</v>
      </c>
      <c r="C924" s="935" t="s">
        <v>2140</v>
      </c>
      <c r="E924" s="945" t="str">
        <f>$E$232</f>
        <v>BARRIERS AND MEMBRANES</v>
      </c>
    </row>
    <row r="925" spans="1:6" x14ac:dyDescent="0.3">
      <c r="A925" s="888" t="s">
        <v>2062</v>
      </c>
      <c r="B925" s="888" t="s">
        <v>1101</v>
      </c>
      <c r="C925" s="888" t="s">
        <v>2097</v>
      </c>
      <c r="E925" s="893" t="s">
        <v>4774</v>
      </c>
    </row>
    <row r="926" spans="1:6" x14ac:dyDescent="0.3">
      <c r="A926" s="888" t="s">
        <v>2062</v>
      </c>
      <c r="B926" s="935" t="s">
        <v>1101</v>
      </c>
      <c r="C926" s="935" t="s">
        <v>6689</v>
      </c>
      <c r="E926" s="893" t="s">
        <v>4775</v>
      </c>
    </row>
    <row r="927" spans="1:6" x14ac:dyDescent="0.3">
      <c r="A927" s="888" t="s">
        <v>2062</v>
      </c>
      <c r="B927" s="888" t="s">
        <v>1102</v>
      </c>
      <c r="C927" s="888" t="s">
        <v>2124</v>
      </c>
      <c r="E927" s="893" t="s">
        <v>1558</v>
      </c>
    </row>
    <row r="928" spans="1:6" x14ac:dyDescent="0.3">
      <c r="A928" s="888" t="s">
        <v>2062</v>
      </c>
      <c r="B928" s="888" t="s">
        <v>1102</v>
      </c>
      <c r="C928" s="888" t="s">
        <v>2125</v>
      </c>
      <c r="E928" s="893" t="s">
        <v>1741</v>
      </c>
    </row>
    <row r="929" spans="1:19" ht="206.4" customHeight="1" x14ac:dyDescent="0.3">
      <c r="A929" s="888" t="s">
        <v>2062</v>
      </c>
      <c r="B929" s="888" t="s">
        <v>1102</v>
      </c>
      <c r="C929" s="888" t="s">
        <v>2063</v>
      </c>
      <c r="D929" s="888" t="b">
        <v>1</v>
      </c>
      <c r="E929" s="1671"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929" s="1671"/>
      <c r="G929" s="1671"/>
      <c r="H929" s="1671"/>
      <c r="I929" s="1671"/>
      <c r="J929" s="1671"/>
      <c r="K929" s="1671"/>
      <c r="L929" s="1671"/>
      <c r="M929" s="1671"/>
      <c r="N929" s="1671"/>
      <c r="O929" s="1671"/>
      <c r="P929" s="1671"/>
      <c r="Q929" s="1671"/>
      <c r="R929" s="1671"/>
      <c r="S929" s="1671"/>
    </row>
    <row r="930" spans="1:19" x14ac:dyDescent="0.3">
      <c r="A930" s="888" t="s">
        <v>2062</v>
      </c>
      <c r="B930" s="888" t="s">
        <v>1102</v>
      </c>
      <c r="C930" s="888" t="s">
        <v>2064</v>
      </c>
      <c r="E930" s="888" t="str">
        <f>$E$170</f>
        <v>CATEGORY</v>
      </c>
    </row>
    <row r="931" spans="1:19" x14ac:dyDescent="0.3">
      <c r="A931" s="888" t="s">
        <v>2062</v>
      </c>
      <c r="B931" s="888" t="s">
        <v>1102</v>
      </c>
      <c r="C931" s="888" t="s">
        <v>2126</v>
      </c>
      <c r="E931" s="893" t="str">
        <f>$E$171</f>
        <v>MATERIAL</v>
      </c>
    </row>
    <row r="932" spans="1:19" x14ac:dyDescent="0.3">
      <c r="A932" s="888" t="s">
        <v>2062</v>
      </c>
      <c r="B932" s="888" t="s">
        <v>1102</v>
      </c>
      <c r="C932" s="888" t="s">
        <v>2127</v>
      </c>
      <c r="E932" s="893" t="str">
        <f>$E$127</f>
        <v>QUANTITY</v>
      </c>
    </row>
    <row r="933" spans="1:19" x14ac:dyDescent="0.3">
      <c r="A933" s="888" t="s">
        <v>2062</v>
      </c>
      <c r="B933" s="888" t="s">
        <v>1102</v>
      </c>
      <c r="C933" s="888" t="s">
        <v>2128</v>
      </c>
      <c r="E933" s="888" t="str">
        <f>$E$173</f>
        <v xml:space="preserve"> SELECT</v>
      </c>
    </row>
    <row r="934" spans="1:19" ht="15" customHeight="1" x14ac:dyDescent="0.3">
      <c r="A934" s="888" t="s">
        <v>2062</v>
      </c>
      <c r="B934" s="908" t="s">
        <v>5086</v>
      </c>
      <c r="C934" s="888" t="s">
        <v>2129</v>
      </c>
      <c r="D934" s="888" t="b">
        <v>1</v>
      </c>
      <c r="E934" s="1669" t="str">
        <f>$E$174</f>
        <v>NET kgCO2e EMISSIONS</v>
      </c>
    </row>
    <row r="935" spans="1:19" s="893" customFormat="1" ht="15" customHeight="1" x14ac:dyDescent="0.3">
      <c r="A935" s="888" t="s">
        <v>2083</v>
      </c>
      <c r="B935" s="888"/>
      <c r="C935" s="888"/>
      <c r="D935" s="888"/>
      <c r="E935" s="1670"/>
      <c r="I935" s="888"/>
      <c r="J935" s="888"/>
      <c r="K935" s="888"/>
      <c r="L935" s="888"/>
      <c r="M935" s="888"/>
      <c r="N935" s="888"/>
      <c r="O935" s="888"/>
      <c r="P935" s="888"/>
      <c r="Q935" s="888"/>
      <c r="R935" s="888"/>
    </row>
    <row r="936" spans="1:19" s="893" customFormat="1" ht="27" customHeight="1" x14ac:dyDescent="0.3">
      <c r="A936" s="888" t="s">
        <v>2062</v>
      </c>
      <c r="B936" s="908" t="s">
        <v>5086</v>
      </c>
      <c r="C936" s="888" t="s">
        <v>2130</v>
      </c>
      <c r="D936" s="888" t="b">
        <v>1</v>
      </c>
      <c r="E936" s="1669" t="str">
        <f>$E$176</f>
        <v>SELECTED MATERIAL kgCO2e CONTENT</v>
      </c>
      <c r="I936" s="888"/>
      <c r="J936" s="888"/>
      <c r="K936" s="888"/>
      <c r="L936" s="888"/>
      <c r="M936" s="888"/>
      <c r="N936" s="888"/>
      <c r="O936" s="888"/>
      <c r="P936" s="888"/>
      <c r="Q936" s="888"/>
      <c r="R936" s="888"/>
    </row>
    <row r="937" spans="1:19" s="893" customFormat="1" ht="15" customHeight="1" x14ac:dyDescent="0.3">
      <c r="A937" s="888" t="s">
        <v>2083</v>
      </c>
      <c r="B937" s="888"/>
      <c r="C937" s="888"/>
      <c r="D937" s="888"/>
      <c r="E937" s="1670"/>
      <c r="I937" s="888"/>
      <c r="J937" s="888"/>
      <c r="K937" s="888"/>
      <c r="L937" s="888"/>
      <c r="M937" s="888"/>
      <c r="N937" s="888"/>
      <c r="O937" s="888"/>
      <c r="P937" s="888"/>
      <c r="Q937" s="888"/>
      <c r="R937" s="888"/>
    </row>
    <row r="938" spans="1:19" s="893" customFormat="1" ht="15" customHeight="1" x14ac:dyDescent="0.3">
      <c r="A938" s="888" t="s">
        <v>2062</v>
      </c>
      <c r="B938" s="888" t="s">
        <v>1102</v>
      </c>
      <c r="C938" s="888" t="s">
        <v>2131</v>
      </c>
      <c r="D938" s="888" t="b">
        <v>1</v>
      </c>
      <c r="E938" s="1669" t="str">
        <f>$E$178</f>
        <v>kgCO2e EMISSIONS</v>
      </c>
      <c r="I938" s="888"/>
      <c r="J938" s="888"/>
      <c r="K938" s="888"/>
      <c r="L938" s="888"/>
      <c r="M938" s="888"/>
      <c r="N938" s="888"/>
      <c r="O938" s="888"/>
      <c r="P938" s="888"/>
      <c r="Q938" s="888"/>
      <c r="R938" s="888"/>
    </row>
    <row r="939" spans="1:19" s="893" customFormat="1" ht="15" customHeight="1" x14ac:dyDescent="0.3">
      <c r="A939" s="888" t="s">
        <v>2083</v>
      </c>
      <c r="B939" s="888"/>
      <c r="C939" s="888"/>
      <c r="D939" s="888"/>
      <c r="E939" s="1670"/>
      <c r="I939" s="888"/>
      <c r="J939" s="888"/>
      <c r="K939" s="888"/>
      <c r="L939" s="888"/>
      <c r="M939" s="888"/>
      <c r="N939" s="888"/>
      <c r="O939" s="888"/>
      <c r="P939" s="888"/>
      <c r="Q939" s="888"/>
      <c r="R939" s="888"/>
    </row>
    <row r="940" spans="1:19" s="893" customFormat="1" ht="15" customHeight="1" x14ac:dyDescent="0.3">
      <c r="A940" s="888" t="s">
        <v>2062</v>
      </c>
      <c r="B940" s="888" t="s">
        <v>1102</v>
      </c>
      <c r="C940" s="888" t="s">
        <v>2132</v>
      </c>
      <c r="D940" s="888" t="b">
        <v>1</v>
      </c>
      <c r="E940" s="1669" t="str">
        <f>$E$180</f>
        <v>kgCO2 STORAGE</v>
      </c>
      <c r="I940" s="888"/>
      <c r="J940" s="888"/>
      <c r="K940" s="888"/>
      <c r="L940" s="888"/>
      <c r="M940" s="888"/>
      <c r="N940" s="888"/>
      <c r="O940" s="888"/>
      <c r="P940" s="888"/>
      <c r="Q940" s="888"/>
      <c r="R940" s="888"/>
    </row>
    <row r="941" spans="1:19" s="893" customFormat="1" ht="15" customHeight="1" x14ac:dyDescent="0.3">
      <c r="A941" s="888" t="s">
        <v>2083</v>
      </c>
      <c r="B941" s="888"/>
      <c r="C941" s="888"/>
      <c r="D941" s="888"/>
      <c r="E941" s="1670"/>
      <c r="I941" s="888"/>
      <c r="J941" s="888"/>
      <c r="K941" s="888"/>
      <c r="L941" s="888"/>
      <c r="M941" s="888"/>
      <c r="N941" s="888"/>
      <c r="O941" s="888"/>
      <c r="P941" s="888"/>
      <c r="Q941" s="888"/>
      <c r="R941" s="888"/>
    </row>
    <row r="942" spans="1:19" s="893" customFormat="1" ht="15" customHeight="1" x14ac:dyDescent="0.3">
      <c r="A942" s="888" t="s">
        <v>2062</v>
      </c>
      <c r="B942" s="888" t="s">
        <v>1102</v>
      </c>
      <c r="C942" s="909" t="s">
        <v>2070</v>
      </c>
      <c r="D942" s="888" t="b">
        <v>1</v>
      </c>
      <c r="E942" s="1520" t="str">
        <f>$E$182</f>
        <v xml:space="preserve">  Note</v>
      </c>
      <c r="F942" s="1520"/>
      <c r="I942" s="888"/>
      <c r="J942" s="888"/>
      <c r="K942" s="888"/>
      <c r="L942" s="888"/>
      <c r="M942" s="888"/>
      <c r="N942" s="888"/>
      <c r="O942" s="888"/>
      <c r="P942" s="888"/>
      <c r="Q942" s="888"/>
      <c r="R942" s="888"/>
    </row>
    <row r="943" spans="1:19" s="893" customFormat="1" ht="15" customHeight="1" x14ac:dyDescent="0.3">
      <c r="A943" s="888" t="s">
        <v>2083</v>
      </c>
      <c r="B943" s="888"/>
      <c r="C943" s="888"/>
      <c r="D943" s="888"/>
      <c r="E943" s="1520"/>
      <c r="F943" s="1520"/>
      <c r="I943" s="888"/>
      <c r="J943" s="888"/>
      <c r="K943" s="888"/>
      <c r="L943" s="888"/>
      <c r="M943" s="888"/>
      <c r="N943" s="888"/>
      <c r="O943" s="888"/>
      <c r="P943" s="888"/>
      <c r="Q943" s="888"/>
      <c r="R943" s="888"/>
    </row>
    <row r="944" spans="1:19" s="893" customFormat="1" ht="15" customHeight="1" x14ac:dyDescent="0.3">
      <c r="A944" s="888" t="s">
        <v>2062</v>
      </c>
      <c r="B944" s="908" t="s">
        <v>5086</v>
      </c>
      <c r="C944" s="909" t="s">
        <v>3335</v>
      </c>
      <c r="D944" s="888" t="b">
        <v>1</v>
      </c>
      <c r="E944" s="1669" t="str">
        <f>$E$184</f>
        <v>Include Long Cycle</v>
      </c>
      <c r="I944" s="888"/>
      <c r="J944" s="888"/>
      <c r="K944" s="888"/>
      <c r="L944" s="888"/>
      <c r="M944" s="888"/>
      <c r="N944" s="888"/>
      <c r="O944" s="888"/>
      <c r="P944" s="888"/>
      <c r="Q944" s="888"/>
      <c r="R944" s="888"/>
    </row>
    <row r="945" spans="1:18" s="893" customFormat="1" ht="15" customHeight="1" x14ac:dyDescent="0.3">
      <c r="A945" s="888" t="s">
        <v>2083</v>
      </c>
      <c r="B945" s="888"/>
      <c r="C945" s="888"/>
      <c r="D945" s="888"/>
      <c r="E945" s="1670"/>
      <c r="I945" s="888"/>
      <c r="J945" s="888"/>
      <c r="K945" s="888"/>
      <c r="L945" s="888"/>
      <c r="M945" s="888"/>
      <c r="N945" s="888"/>
      <c r="O945" s="888"/>
      <c r="P945" s="888"/>
      <c r="Q945" s="888"/>
      <c r="R945" s="888"/>
    </row>
    <row r="946" spans="1:18" s="893" customFormat="1" ht="21" x14ac:dyDescent="0.3">
      <c r="A946" s="888" t="s">
        <v>2062</v>
      </c>
      <c r="B946" s="888" t="s">
        <v>1102</v>
      </c>
      <c r="C946" s="909" t="s">
        <v>4961</v>
      </c>
      <c r="D946" s="888" t="b">
        <v>1</v>
      </c>
      <c r="E946" s="622" t="s">
        <v>7191</v>
      </c>
      <c r="I946" s="888"/>
      <c r="J946" s="888"/>
      <c r="K946" s="888"/>
      <c r="L946" s="888"/>
      <c r="M946" s="888"/>
      <c r="N946" s="888"/>
      <c r="O946" s="888"/>
      <c r="P946" s="888"/>
      <c r="Q946" s="888"/>
      <c r="R946" s="888"/>
    </row>
    <row r="947" spans="1:18" s="893" customFormat="1" ht="21" x14ac:dyDescent="0.3">
      <c r="A947" s="888" t="s">
        <v>2062</v>
      </c>
      <c r="B947" s="888" t="s">
        <v>1102</v>
      </c>
      <c r="C947" s="911" t="s">
        <v>5112</v>
      </c>
      <c r="D947" s="888" t="b">
        <v>1</v>
      </c>
      <c r="E947" s="622" t="s">
        <v>7202</v>
      </c>
      <c r="I947" s="888"/>
      <c r="J947" s="888"/>
      <c r="K947" s="888"/>
      <c r="L947" s="888"/>
      <c r="M947" s="888"/>
      <c r="N947" s="888"/>
      <c r="O947" s="888"/>
      <c r="P947" s="888"/>
      <c r="Q947" s="888"/>
      <c r="R947" s="888"/>
    </row>
    <row r="948" spans="1:18" s="893" customFormat="1" x14ac:dyDescent="0.3">
      <c r="A948" s="888" t="s">
        <v>2062</v>
      </c>
      <c r="B948" s="888" t="s">
        <v>1102</v>
      </c>
      <c r="C948" s="888" t="s">
        <v>2133</v>
      </c>
      <c r="D948" s="888"/>
      <c r="E948" s="893" t="s">
        <v>1607</v>
      </c>
      <c r="I948" s="888"/>
      <c r="J948" s="888"/>
      <c r="K948" s="888"/>
      <c r="L948" s="888"/>
      <c r="M948" s="888"/>
      <c r="N948" s="888"/>
      <c r="O948" s="888"/>
      <c r="P948" s="888"/>
      <c r="Q948" s="888"/>
      <c r="R948" s="888"/>
    </row>
    <row r="949" spans="1:18" s="893" customFormat="1" x14ac:dyDescent="0.3">
      <c r="A949" s="888" t="s">
        <v>2062</v>
      </c>
      <c r="B949" s="888" t="s">
        <v>1102</v>
      </c>
      <c r="C949" s="888" t="s">
        <v>2134</v>
      </c>
      <c r="D949" s="888"/>
      <c r="E949" s="893" t="str">
        <f>$E$325</f>
        <v>FRAMING SPACING:</v>
      </c>
      <c r="I949" s="888"/>
      <c r="J949" s="888"/>
      <c r="K949" s="888"/>
      <c r="L949" s="888"/>
      <c r="M949" s="888"/>
      <c r="N949" s="888"/>
      <c r="O949" s="888"/>
      <c r="P949" s="888"/>
      <c r="Q949" s="888"/>
      <c r="R949" s="888"/>
    </row>
    <row r="950" spans="1:18" s="893" customFormat="1" x14ac:dyDescent="0.3">
      <c r="A950" s="888" t="s">
        <v>2062</v>
      </c>
      <c r="B950" s="951" t="s">
        <v>5086</v>
      </c>
      <c r="C950" s="888" t="s">
        <v>2135</v>
      </c>
      <c r="D950" s="888"/>
      <c r="E950" s="893" t="s">
        <v>1080</v>
      </c>
      <c r="I950" s="888"/>
      <c r="J950" s="888"/>
      <c r="K950" s="888"/>
      <c r="L950" s="888"/>
      <c r="M950" s="888"/>
      <c r="N950" s="888"/>
      <c r="O950" s="888"/>
      <c r="P950" s="888"/>
      <c r="Q950" s="888"/>
      <c r="R950" s="888"/>
    </row>
    <row r="951" spans="1:18" s="893" customFormat="1" x14ac:dyDescent="0.3">
      <c r="A951" s="888" t="s">
        <v>2062</v>
      </c>
      <c r="B951" s="888" t="s">
        <v>1102</v>
      </c>
      <c r="C951" s="951" t="s">
        <v>2135</v>
      </c>
      <c r="D951" s="888"/>
      <c r="E951" s="924" t="s">
        <v>6850</v>
      </c>
      <c r="I951" s="888"/>
      <c r="J951" s="888"/>
      <c r="K951" s="888"/>
      <c r="L951" s="888"/>
      <c r="M951" s="888"/>
      <c r="N951" s="888"/>
      <c r="O951" s="888"/>
      <c r="P951" s="888"/>
      <c r="Q951" s="888"/>
      <c r="R951" s="888"/>
    </row>
    <row r="952" spans="1:18" s="893" customFormat="1" x14ac:dyDescent="0.3">
      <c r="A952" s="888" t="s">
        <v>2062</v>
      </c>
      <c r="B952" s="888" t="s">
        <v>1102</v>
      </c>
      <c r="C952" s="951" t="s">
        <v>2080</v>
      </c>
      <c r="D952" s="888"/>
      <c r="E952" s="924" t="s">
        <v>6849</v>
      </c>
      <c r="I952" s="888"/>
      <c r="J952" s="888"/>
      <c r="K952" s="888"/>
      <c r="L952" s="888"/>
      <c r="M952" s="888"/>
      <c r="N952" s="888"/>
      <c r="O952" s="888"/>
      <c r="P952" s="888"/>
      <c r="Q952" s="888"/>
      <c r="R952" s="888"/>
    </row>
    <row r="953" spans="1:18" s="893" customFormat="1" x14ac:dyDescent="0.3">
      <c r="A953" s="888" t="s">
        <v>2062</v>
      </c>
      <c r="B953" s="888" t="s">
        <v>1102</v>
      </c>
      <c r="C953" s="951" t="s">
        <v>2089</v>
      </c>
      <c r="D953" s="888"/>
      <c r="E953" s="924" t="s">
        <v>6848</v>
      </c>
      <c r="I953" s="888"/>
      <c r="J953" s="888"/>
      <c r="K953" s="888"/>
      <c r="L953" s="888"/>
      <c r="M953" s="888"/>
      <c r="N953" s="888"/>
      <c r="O953" s="888"/>
      <c r="P953" s="888"/>
      <c r="Q953" s="888"/>
      <c r="R953" s="888"/>
    </row>
    <row r="954" spans="1:18" s="893" customFormat="1" x14ac:dyDescent="0.3">
      <c r="A954" s="888" t="s">
        <v>2062</v>
      </c>
      <c r="B954" s="888" t="s">
        <v>1102</v>
      </c>
      <c r="C954" s="951" t="s">
        <v>2095</v>
      </c>
      <c r="D954" s="888"/>
      <c r="E954" s="952" t="s">
        <v>6847</v>
      </c>
      <c r="I954" s="888"/>
      <c r="J954" s="888"/>
      <c r="K954" s="888"/>
      <c r="L954" s="888"/>
      <c r="M954" s="888"/>
      <c r="N954" s="888"/>
      <c r="O954" s="888"/>
      <c r="P954" s="888"/>
      <c r="Q954" s="888"/>
      <c r="R954" s="888"/>
    </row>
    <row r="955" spans="1:18" s="893" customFormat="1" x14ac:dyDescent="0.3">
      <c r="A955" s="888" t="s">
        <v>2062</v>
      </c>
      <c r="B955" s="888" t="s">
        <v>1102</v>
      </c>
      <c r="C955" s="951" t="s">
        <v>2102</v>
      </c>
      <c r="D955" s="888"/>
      <c r="E955" s="893" t="s">
        <v>6846</v>
      </c>
      <c r="I955" s="888"/>
      <c r="J955" s="888"/>
      <c r="K955" s="888"/>
      <c r="L955" s="888"/>
      <c r="M955" s="888"/>
      <c r="N955" s="888"/>
      <c r="O955" s="888"/>
      <c r="P955" s="888"/>
      <c r="Q955" s="888"/>
      <c r="R955" s="888"/>
    </row>
    <row r="956" spans="1:18" s="893" customFormat="1" x14ac:dyDescent="0.3">
      <c r="A956" s="888" t="s">
        <v>2062</v>
      </c>
      <c r="B956" s="888" t="s">
        <v>1102</v>
      </c>
      <c r="C956" s="888" t="s">
        <v>2281</v>
      </c>
      <c r="D956" s="888"/>
      <c r="E956" s="893" t="str">
        <f>$E$846</f>
        <v>WOOD TRUSS FRAMING</v>
      </c>
      <c r="I956" s="888"/>
      <c r="J956" s="888"/>
      <c r="K956" s="888"/>
      <c r="L956" s="888"/>
      <c r="M956" s="888"/>
      <c r="N956" s="888"/>
      <c r="O956" s="888"/>
      <c r="P956" s="888"/>
      <c r="Q956" s="888"/>
      <c r="R956" s="888"/>
    </row>
    <row r="957" spans="1:18" s="893" customFormat="1" x14ac:dyDescent="0.3">
      <c r="A957" s="888" t="s">
        <v>2062</v>
      </c>
      <c r="B957" s="888" t="s">
        <v>1102</v>
      </c>
      <c r="C957" s="888" t="s">
        <v>4216</v>
      </c>
      <c r="D957" s="888"/>
      <c r="E957" s="893" t="s">
        <v>1744</v>
      </c>
      <c r="I957" s="888"/>
      <c r="J957" s="888"/>
      <c r="K957" s="888"/>
      <c r="L957" s="888"/>
      <c r="M957" s="888"/>
      <c r="N957" s="888"/>
      <c r="O957" s="888"/>
      <c r="P957" s="888"/>
      <c r="Q957" s="888"/>
      <c r="R957" s="888"/>
    </row>
    <row r="958" spans="1:18" s="893" customFormat="1" x14ac:dyDescent="0.3">
      <c r="A958" s="888" t="s">
        <v>2062</v>
      </c>
      <c r="B958" s="888" t="s">
        <v>1102</v>
      </c>
      <c r="C958" s="888" t="s">
        <v>2111</v>
      </c>
      <c r="D958" s="888"/>
      <c r="E958" s="893" t="str">
        <f>$E$844</f>
        <v>WOOD I-JOIST FRAMING</v>
      </c>
      <c r="I958" s="888"/>
      <c r="J958" s="888"/>
      <c r="K958" s="888"/>
      <c r="L958" s="888"/>
      <c r="M958" s="888"/>
      <c r="N958" s="888"/>
      <c r="O958" s="888"/>
      <c r="P958" s="888"/>
      <c r="Q958" s="888"/>
      <c r="R958" s="888"/>
    </row>
    <row r="959" spans="1:18" s="893" customFormat="1" x14ac:dyDescent="0.3">
      <c r="A959" s="888" t="s">
        <v>2062</v>
      </c>
      <c r="B959" s="888" t="s">
        <v>1102</v>
      </c>
      <c r="C959" s="888" t="s">
        <v>2119</v>
      </c>
      <c r="D959" s="888"/>
      <c r="E959" s="893" t="s">
        <v>90</v>
      </c>
      <c r="I959" s="888"/>
      <c r="J959" s="888"/>
      <c r="K959" s="888"/>
      <c r="L959" s="888"/>
      <c r="M959" s="888"/>
      <c r="N959" s="888"/>
      <c r="O959" s="888"/>
      <c r="P959" s="888"/>
      <c r="Q959" s="888"/>
      <c r="R959" s="888"/>
    </row>
    <row r="960" spans="1:18" s="893" customFormat="1" x14ac:dyDescent="0.3">
      <c r="A960" s="888" t="s">
        <v>2062</v>
      </c>
      <c r="B960" s="888" t="s">
        <v>1102</v>
      </c>
      <c r="C960" s="953" t="s">
        <v>2243</v>
      </c>
      <c r="D960" s="888"/>
      <c r="E960" s="954" t="s">
        <v>7284</v>
      </c>
      <c r="I960" s="888"/>
      <c r="J960" s="888"/>
      <c r="K960" s="888"/>
      <c r="L960" s="888"/>
      <c r="M960" s="888"/>
      <c r="N960" s="888"/>
      <c r="O960" s="888"/>
      <c r="P960" s="888"/>
      <c r="Q960" s="888"/>
      <c r="R960" s="888"/>
    </row>
    <row r="961" spans="1:18" s="893" customFormat="1" x14ac:dyDescent="0.3">
      <c r="A961" s="888" t="s">
        <v>2062</v>
      </c>
      <c r="B961" s="888" t="s">
        <v>1102</v>
      </c>
      <c r="C961" s="888" t="s">
        <v>2147</v>
      </c>
      <c r="D961" s="888"/>
      <c r="E961" s="893" t="s">
        <v>91</v>
      </c>
      <c r="I961" s="888"/>
      <c r="J961" s="888"/>
      <c r="K961" s="888"/>
      <c r="L961" s="888"/>
      <c r="M961" s="888"/>
      <c r="N961" s="888"/>
      <c r="O961" s="888"/>
      <c r="P961" s="888"/>
      <c r="Q961" s="888"/>
      <c r="R961" s="888"/>
    </row>
    <row r="962" spans="1:18" s="893" customFormat="1" x14ac:dyDescent="0.3">
      <c r="A962" s="888" t="s">
        <v>2062</v>
      </c>
      <c r="B962" s="888" t="s">
        <v>1102</v>
      </c>
      <c r="C962" s="935" t="s">
        <v>2123</v>
      </c>
      <c r="D962" s="888"/>
      <c r="E962" s="945" t="str">
        <f>$E$452</f>
        <v>OSB SHEATHING &amp; BARRIER SYSTEM</v>
      </c>
      <c r="I962" s="888"/>
      <c r="J962" s="888"/>
      <c r="K962" s="888"/>
      <c r="L962" s="888"/>
      <c r="M962" s="888"/>
      <c r="N962" s="888"/>
      <c r="O962" s="888"/>
      <c r="P962" s="888"/>
      <c r="Q962" s="888"/>
      <c r="R962" s="888"/>
    </row>
    <row r="963" spans="1:18" s="893" customFormat="1" x14ac:dyDescent="0.3">
      <c r="A963" s="888" t="s">
        <v>2062</v>
      </c>
      <c r="B963" s="888" t="s">
        <v>1102</v>
      </c>
      <c r="C963" s="888" t="s">
        <v>2246</v>
      </c>
      <c r="D963" s="888"/>
      <c r="E963" s="893" t="s">
        <v>965</v>
      </c>
      <c r="I963" s="888"/>
      <c r="J963" s="888"/>
      <c r="K963" s="888"/>
      <c r="L963" s="888"/>
      <c r="M963" s="888"/>
      <c r="N963" s="888"/>
      <c r="O963" s="888"/>
      <c r="P963" s="888"/>
      <c r="Q963" s="888"/>
      <c r="R963" s="888"/>
    </row>
    <row r="964" spans="1:18" s="893" customFormat="1" x14ac:dyDescent="0.3">
      <c r="A964" s="888" t="s">
        <v>2062</v>
      </c>
      <c r="B964" s="888" t="s">
        <v>1102</v>
      </c>
      <c r="C964" s="888" t="s">
        <v>4377</v>
      </c>
      <c r="D964" s="888"/>
      <c r="E964" s="893" t="s">
        <v>925</v>
      </c>
      <c r="I964" s="888"/>
      <c r="J964" s="888"/>
      <c r="K964" s="888"/>
      <c r="L964" s="888"/>
      <c r="M964" s="888"/>
      <c r="N964" s="888"/>
      <c r="O964" s="888"/>
      <c r="P964" s="888"/>
      <c r="Q964" s="888"/>
      <c r="R964" s="888"/>
    </row>
    <row r="965" spans="1:18" s="893" customFormat="1" x14ac:dyDescent="0.3">
      <c r="A965" s="888" t="s">
        <v>2062</v>
      </c>
      <c r="B965" s="888" t="s">
        <v>1102</v>
      </c>
      <c r="C965" s="955" t="s">
        <v>2528</v>
      </c>
      <c r="D965" s="888"/>
      <c r="E965" s="893" t="str">
        <f>$E$964</f>
        <v>ROOFING MEMBRANE</v>
      </c>
      <c r="I965" s="888"/>
      <c r="J965" s="888"/>
      <c r="K965" s="888"/>
      <c r="L965" s="888"/>
      <c r="M965" s="888"/>
      <c r="N965" s="888"/>
      <c r="O965" s="888"/>
      <c r="P965" s="888"/>
      <c r="Q965" s="888"/>
      <c r="R965" s="888"/>
    </row>
    <row r="966" spans="1:18" s="893" customFormat="1" x14ac:dyDescent="0.3">
      <c r="A966" s="888" t="s">
        <v>2062</v>
      </c>
      <c r="B966" s="888" t="s">
        <v>1102</v>
      </c>
      <c r="C966" s="935" t="s">
        <v>2180</v>
      </c>
      <c r="D966" s="888"/>
      <c r="E966" s="945" t="str">
        <f>$E$233</f>
        <v>SHEET BARRIER</v>
      </c>
      <c r="I966" s="888"/>
      <c r="J966" s="888"/>
      <c r="K966" s="888"/>
      <c r="L966" s="888"/>
      <c r="M966" s="888"/>
      <c r="N966" s="888"/>
      <c r="O966" s="888"/>
      <c r="P966" s="888"/>
      <c r="Q966" s="888"/>
      <c r="R966" s="888"/>
    </row>
    <row r="967" spans="1:18" s="893" customFormat="1" x14ac:dyDescent="0.3">
      <c r="A967" s="888" t="s">
        <v>2062</v>
      </c>
      <c r="B967" s="888" t="s">
        <v>1102</v>
      </c>
      <c r="C967" s="935" t="s">
        <v>2538</v>
      </c>
      <c r="D967" s="888"/>
      <c r="E967" s="945" t="str">
        <f>$E$355</f>
        <v>Sheet barrier - AVERAGE</v>
      </c>
      <c r="I967" s="888"/>
      <c r="J967" s="888"/>
      <c r="K967" s="888"/>
      <c r="L967" s="888"/>
      <c r="M967" s="888"/>
      <c r="N967" s="888"/>
      <c r="O967" s="888"/>
      <c r="P967" s="888"/>
      <c r="Q967" s="888"/>
      <c r="R967" s="888"/>
    </row>
    <row r="968" spans="1:18" s="893" customFormat="1" x14ac:dyDescent="0.3">
      <c r="A968" s="888" t="s">
        <v>2062</v>
      </c>
      <c r="B968" s="888" t="s">
        <v>1102</v>
      </c>
      <c r="C968" s="935" t="s">
        <v>2300</v>
      </c>
      <c r="D968" s="888"/>
      <c r="E968" s="945" t="str">
        <f>$E$234</f>
        <v>LIQUID APPLIED BARRIER</v>
      </c>
      <c r="I968" s="888"/>
      <c r="J968" s="888"/>
      <c r="K968" s="888"/>
      <c r="L968" s="888"/>
      <c r="M968" s="888"/>
      <c r="N968" s="888"/>
      <c r="O968" s="888"/>
      <c r="P968" s="888"/>
      <c r="Q968" s="888"/>
      <c r="R968" s="888"/>
    </row>
    <row r="969" spans="1:18" s="893" customFormat="1" x14ac:dyDescent="0.3">
      <c r="A969" s="888" t="s">
        <v>2062</v>
      </c>
      <c r="B969" s="888" t="s">
        <v>1102</v>
      </c>
      <c r="C969" s="935" t="s">
        <v>2301</v>
      </c>
      <c r="D969" s="888"/>
      <c r="E969" s="945" t="str">
        <f>$E$357</f>
        <v>Liquid applied barrier - AVERAGE</v>
      </c>
      <c r="I969" s="888"/>
      <c r="J969" s="888"/>
      <c r="K969" s="888"/>
      <c r="L969" s="888"/>
      <c r="M969" s="888"/>
      <c r="N969" s="888"/>
      <c r="O969" s="888"/>
      <c r="P969" s="888"/>
      <c r="Q969" s="888"/>
      <c r="R969" s="888"/>
    </row>
    <row r="970" spans="1:18" s="893" customFormat="1" x14ac:dyDescent="0.3">
      <c r="A970" s="888" t="s">
        <v>2062</v>
      </c>
      <c r="B970" s="888" t="s">
        <v>1102</v>
      </c>
      <c r="C970" s="888" t="s">
        <v>3971</v>
      </c>
      <c r="D970" s="888"/>
      <c r="E970" s="893" t="s">
        <v>92</v>
      </c>
      <c r="I970" s="888"/>
      <c r="J970" s="888"/>
      <c r="K970" s="888"/>
      <c r="L970" s="888"/>
      <c r="M970" s="888"/>
      <c r="N970" s="888"/>
      <c r="O970" s="888"/>
      <c r="P970" s="888"/>
      <c r="Q970" s="888"/>
      <c r="R970" s="888"/>
    </row>
    <row r="971" spans="1:18" s="893" customFormat="1" x14ac:dyDescent="0.3">
      <c r="A971" s="888" t="s">
        <v>2062</v>
      </c>
      <c r="B971" s="888" t="s">
        <v>1102</v>
      </c>
      <c r="C971" s="888" t="s">
        <v>5119</v>
      </c>
      <c r="D971" s="888"/>
      <c r="E971" s="893" t="str">
        <f>$E$724</f>
        <v>STRAPPING SPACING:</v>
      </c>
      <c r="I971" s="888"/>
      <c r="J971" s="888"/>
      <c r="K971" s="888"/>
      <c r="L971" s="888"/>
      <c r="M971" s="888"/>
      <c r="N971" s="888"/>
      <c r="O971" s="888"/>
      <c r="P971" s="888"/>
      <c r="Q971" s="888"/>
      <c r="R971" s="888"/>
    </row>
    <row r="972" spans="1:18" s="893" customFormat="1" x14ac:dyDescent="0.3">
      <c r="A972" s="888" t="s">
        <v>2062</v>
      </c>
      <c r="B972" s="951" t="s">
        <v>5086</v>
      </c>
      <c r="C972" s="888" t="s">
        <v>2123</v>
      </c>
      <c r="D972" s="888"/>
      <c r="E972" s="927" t="s">
        <v>3440</v>
      </c>
      <c r="I972" s="888"/>
      <c r="J972" s="888"/>
      <c r="K972" s="888"/>
      <c r="L972" s="888"/>
      <c r="M972" s="888"/>
      <c r="N972" s="888"/>
      <c r="O972" s="888"/>
      <c r="P972" s="888"/>
      <c r="Q972" s="888"/>
      <c r="R972" s="888"/>
    </row>
    <row r="973" spans="1:18" s="893" customFormat="1" x14ac:dyDescent="0.3">
      <c r="A973" s="888" t="s">
        <v>2062</v>
      </c>
      <c r="B973" s="888" t="s">
        <v>1102</v>
      </c>
      <c r="C973" s="951" t="s">
        <v>2302</v>
      </c>
      <c r="D973" s="888"/>
      <c r="E973" s="952" t="s">
        <v>6851</v>
      </c>
      <c r="I973" s="888"/>
      <c r="J973" s="888"/>
      <c r="K973" s="888"/>
      <c r="L973" s="888"/>
      <c r="M973" s="888"/>
      <c r="N973" s="888"/>
      <c r="O973" s="888"/>
      <c r="P973" s="888"/>
      <c r="Q973" s="888"/>
      <c r="R973" s="888"/>
    </row>
    <row r="974" spans="1:18" s="893" customFormat="1" ht="15.6" customHeight="1" x14ac:dyDescent="0.3">
      <c r="A974" s="888" t="s">
        <v>2062</v>
      </c>
      <c r="B974" s="888" t="s">
        <v>1102</v>
      </c>
      <c r="C974" s="951" t="s">
        <v>2162</v>
      </c>
      <c r="D974" s="888"/>
      <c r="E974" s="927" t="s">
        <v>6852</v>
      </c>
      <c r="I974" s="888"/>
      <c r="J974" s="888"/>
      <c r="K974" s="888"/>
      <c r="L974" s="888"/>
      <c r="M974" s="888"/>
      <c r="N974" s="888"/>
      <c r="O974" s="888"/>
      <c r="P974" s="888"/>
      <c r="Q974" s="888"/>
      <c r="R974" s="888"/>
    </row>
    <row r="975" spans="1:18" s="893" customFormat="1" x14ac:dyDescent="0.3">
      <c r="A975" s="888" t="s">
        <v>2062</v>
      </c>
      <c r="B975" s="888" t="s">
        <v>1102</v>
      </c>
      <c r="C975" s="951" t="s">
        <v>2256</v>
      </c>
      <c r="D975" s="888"/>
      <c r="E975" s="927" t="s">
        <v>6853</v>
      </c>
      <c r="I975" s="888"/>
      <c r="J975" s="888"/>
      <c r="K975" s="888"/>
      <c r="L975" s="888"/>
      <c r="M975" s="888"/>
      <c r="N975" s="888"/>
      <c r="O975" s="888"/>
      <c r="P975" s="888"/>
      <c r="Q975" s="888"/>
      <c r="R975" s="888"/>
    </row>
    <row r="976" spans="1:18" s="893" customFormat="1" x14ac:dyDescent="0.3">
      <c r="A976" s="888" t="s">
        <v>2062</v>
      </c>
      <c r="B976" s="888" t="s">
        <v>1102</v>
      </c>
      <c r="C976" s="888" t="s">
        <v>3968</v>
      </c>
      <c r="D976" s="888"/>
      <c r="E976" s="893" t="s">
        <v>93</v>
      </c>
      <c r="I976" s="888"/>
      <c r="J976" s="888"/>
      <c r="K976" s="888"/>
      <c r="L976" s="888"/>
      <c r="M976" s="888"/>
      <c r="N976" s="888"/>
      <c r="O976" s="888"/>
      <c r="P976" s="888"/>
      <c r="Q976" s="888"/>
      <c r="R976" s="888"/>
    </row>
    <row r="977" spans="1:18" s="893" customFormat="1" x14ac:dyDescent="0.3">
      <c r="A977" s="888" t="s">
        <v>2062</v>
      </c>
      <c r="B977" s="888" t="s">
        <v>1102</v>
      </c>
      <c r="C977" s="888" t="s">
        <v>2580</v>
      </c>
      <c r="D977" s="888"/>
      <c r="E977" s="893" t="s">
        <v>963</v>
      </c>
      <c r="I977" s="888"/>
      <c r="J977" s="888"/>
      <c r="K977" s="888"/>
      <c r="L977" s="888"/>
      <c r="M977" s="888"/>
      <c r="N977" s="888"/>
      <c r="O977" s="888"/>
      <c r="P977" s="888"/>
      <c r="Q977" s="888"/>
      <c r="R977" s="888"/>
    </row>
    <row r="978" spans="1:18" s="893" customFormat="1" x14ac:dyDescent="0.3">
      <c r="A978" s="888" t="s">
        <v>2062</v>
      </c>
      <c r="B978" s="888" t="s">
        <v>1102</v>
      </c>
      <c r="C978" s="888" t="s">
        <v>2582</v>
      </c>
      <c r="D978" s="888"/>
      <c r="E978" s="893" t="s">
        <v>1081</v>
      </c>
      <c r="I978" s="888"/>
      <c r="J978" s="888"/>
      <c r="K978" s="888"/>
      <c r="L978" s="888"/>
      <c r="M978" s="888"/>
      <c r="N978" s="888"/>
      <c r="O978" s="888"/>
      <c r="P978" s="888"/>
      <c r="Q978" s="888"/>
      <c r="R978" s="888"/>
    </row>
    <row r="979" spans="1:18" s="893" customFormat="1" x14ac:dyDescent="0.3">
      <c r="A979" s="888" t="s">
        <v>2062</v>
      </c>
      <c r="B979" s="888" t="s">
        <v>1102</v>
      </c>
      <c r="C979" s="888" t="s">
        <v>2595</v>
      </c>
      <c r="D979" s="888"/>
      <c r="E979" s="893" t="s">
        <v>1082</v>
      </c>
      <c r="I979" s="888"/>
      <c r="J979" s="888"/>
      <c r="K979" s="888"/>
      <c r="L979" s="888"/>
      <c r="M979" s="888"/>
      <c r="N979" s="888"/>
      <c r="O979" s="888"/>
      <c r="P979" s="888"/>
      <c r="Q979" s="888"/>
      <c r="R979" s="888"/>
    </row>
    <row r="980" spans="1:18" s="893" customFormat="1" x14ac:dyDescent="0.3">
      <c r="A980" s="888" t="s">
        <v>2062</v>
      </c>
      <c r="B980" s="956" t="s">
        <v>5086</v>
      </c>
      <c r="C980" s="888" t="s">
        <v>2538</v>
      </c>
      <c r="D980" s="888"/>
      <c r="E980" s="893" t="s">
        <v>1084</v>
      </c>
      <c r="I980" s="888"/>
      <c r="J980" s="888"/>
      <c r="K980" s="888"/>
      <c r="L980" s="888"/>
      <c r="M980" s="888"/>
      <c r="N980" s="888"/>
      <c r="O980" s="888"/>
      <c r="P980" s="888"/>
      <c r="Q980" s="888"/>
      <c r="R980" s="888"/>
    </row>
    <row r="981" spans="1:18" s="893" customFormat="1" x14ac:dyDescent="0.3">
      <c r="A981" s="888" t="s">
        <v>2062</v>
      </c>
      <c r="B981" s="888" t="s">
        <v>1102</v>
      </c>
      <c r="C981" s="888" t="s">
        <v>2310</v>
      </c>
      <c r="D981" s="888"/>
      <c r="E981" s="893" t="s">
        <v>1083</v>
      </c>
      <c r="I981" s="888"/>
      <c r="J981" s="888"/>
      <c r="K981" s="888"/>
      <c r="L981" s="888"/>
      <c r="M981" s="888"/>
      <c r="N981" s="888"/>
      <c r="O981" s="888"/>
      <c r="P981" s="888"/>
      <c r="Q981" s="888"/>
      <c r="R981" s="888"/>
    </row>
    <row r="982" spans="1:18" s="893" customFormat="1" x14ac:dyDescent="0.3">
      <c r="A982" s="888" t="s">
        <v>2062</v>
      </c>
      <c r="B982" s="956" t="s">
        <v>5086</v>
      </c>
      <c r="C982" s="888" t="s">
        <v>2156</v>
      </c>
      <c r="D982" s="888"/>
      <c r="E982" s="893" t="s">
        <v>1085</v>
      </c>
      <c r="I982" s="888"/>
      <c r="J982" s="888"/>
      <c r="K982" s="888"/>
      <c r="L982" s="888"/>
      <c r="M982" s="888"/>
      <c r="N982" s="888"/>
      <c r="O982" s="888"/>
      <c r="P982" s="888"/>
      <c r="Q982" s="888"/>
      <c r="R982" s="888"/>
    </row>
    <row r="983" spans="1:18" s="893" customFormat="1" x14ac:dyDescent="0.3">
      <c r="A983" s="888" t="s">
        <v>2062</v>
      </c>
      <c r="B983" s="888" t="s">
        <v>1102</v>
      </c>
      <c r="C983" s="888" t="s">
        <v>7465</v>
      </c>
      <c r="D983" s="888"/>
      <c r="E983" s="893" t="s">
        <v>964</v>
      </c>
      <c r="I983" s="888"/>
      <c r="J983" s="888"/>
      <c r="K983" s="888"/>
      <c r="L983" s="888"/>
      <c r="M983" s="888"/>
      <c r="N983" s="888"/>
      <c r="O983" s="888"/>
      <c r="P983" s="888"/>
      <c r="Q983" s="888"/>
      <c r="R983" s="888"/>
    </row>
    <row r="984" spans="1:18" s="893" customFormat="1" x14ac:dyDescent="0.3">
      <c r="A984" s="888" t="s">
        <v>2062</v>
      </c>
      <c r="B984" s="888" t="s">
        <v>1102</v>
      </c>
      <c r="C984" s="888" t="s">
        <v>7466</v>
      </c>
      <c r="D984" s="888"/>
      <c r="E984" s="893" t="s">
        <v>1086</v>
      </c>
      <c r="I984" s="888"/>
      <c r="J984" s="888"/>
      <c r="K984" s="888"/>
      <c r="L984" s="888"/>
      <c r="M984" s="888"/>
      <c r="N984" s="888"/>
      <c r="O984" s="888"/>
      <c r="P984" s="888"/>
      <c r="Q984" s="888"/>
      <c r="R984" s="888"/>
    </row>
    <row r="985" spans="1:18" s="893" customFormat="1" x14ac:dyDescent="0.3">
      <c r="A985" s="888" t="s">
        <v>2062</v>
      </c>
      <c r="B985" s="888" t="s">
        <v>1102</v>
      </c>
      <c r="C985" s="888" t="s">
        <v>7431</v>
      </c>
      <c r="D985" s="888"/>
      <c r="E985" s="893" t="s">
        <v>94</v>
      </c>
      <c r="I985" s="888"/>
      <c r="J985" s="888"/>
      <c r="K985" s="888"/>
      <c r="L985" s="888"/>
      <c r="M985" s="888"/>
      <c r="N985" s="888"/>
      <c r="O985" s="888"/>
      <c r="P985" s="888"/>
      <c r="Q985" s="888"/>
      <c r="R985" s="888"/>
    </row>
    <row r="986" spans="1:18" s="893" customFormat="1" x14ac:dyDescent="0.3">
      <c r="A986" s="888" t="s">
        <v>2062</v>
      </c>
      <c r="B986" s="888" t="s">
        <v>1102</v>
      </c>
      <c r="C986" s="888" t="s">
        <v>3995</v>
      </c>
      <c r="D986" s="888"/>
      <c r="E986" s="893" t="s">
        <v>1695</v>
      </c>
      <c r="I986" s="888"/>
      <c r="J986" s="888"/>
      <c r="K986" s="888"/>
      <c r="L986" s="888"/>
      <c r="M986" s="888"/>
      <c r="N986" s="888"/>
      <c r="O986" s="888"/>
      <c r="P986" s="888"/>
      <c r="Q986" s="888"/>
      <c r="R986" s="888"/>
    </row>
    <row r="987" spans="1:18" s="893" customFormat="1" x14ac:dyDescent="0.3">
      <c r="A987" s="888" t="s">
        <v>2062</v>
      </c>
      <c r="B987" s="888" t="s">
        <v>1102</v>
      </c>
      <c r="C987" s="888" t="s">
        <v>7467</v>
      </c>
      <c r="D987" s="888"/>
      <c r="E987" s="893" t="s">
        <v>1547</v>
      </c>
      <c r="I987" s="888"/>
      <c r="J987" s="888"/>
      <c r="K987" s="888"/>
      <c r="L987" s="888"/>
      <c r="M987" s="888"/>
      <c r="N987" s="888"/>
      <c r="O987" s="888"/>
      <c r="P987" s="888"/>
      <c r="Q987" s="888"/>
      <c r="R987" s="888"/>
    </row>
    <row r="988" spans="1:18" s="893" customFormat="1" x14ac:dyDescent="0.3">
      <c r="A988" s="888" t="s">
        <v>2062</v>
      </c>
      <c r="B988" s="935" t="s">
        <v>5086</v>
      </c>
      <c r="C988" s="935" t="s">
        <v>5083</v>
      </c>
      <c r="D988" s="888"/>
      <c r="E988" s="893" t="s">
        <v>1544</v>
      </c>
      <c r="I988" s="888"/>
      <c r="J988" s="888"/>
      <c r="K988" s="888"/>
      <c r="L988" s="888"/>
      <c r="M988" s="888"/>
      <c r="N988" s="888"/>
      <c r="O988" s="888"/>
      <c r="P988" s="888"/>
      <c r="Q988" s="888"/>
      <c r="R988" s="888"/>
    </row>
    <row r="989" spans="1:18" s="893" customFormat="1" x14ac:dyDescent="0.3">
      <c r="A989" s="888" t="s">
        <v>2062</v>
      </c>
      <c r="B989" s="950" t="s">
        <v>1102</v>
      </c>
      <c r="C989" s="950" t="s">
        <v>2614</v>
      </c>
      <c r="D989" s="888"/>
      <c r="E989" s="893" t="str">
        <f>$E$339</f>
        <v>FIBERGLASS BATT</v>
      </c>
      <c r="I989" s="888"/>
      <c r="J989" s="888"/>
      <c r="K989" s="888"/>
      <c r="L989" s="888"/>
      <c r="M989" s="888"/>
      <c r="N989" s="888"/>
      <c r="O989" s="888"/>
      <c r="P989" s="888"/>
      <c r="Q989" s="888"/>
      <c r="R989" s="888"/>
    </row>
    <row r="990" spans="1:18" s="893" customFormat="1" x14ac:dyDescent="0.3">
      <c r="A990" s="888" t="s">
        <v>2062</v>
      </c>
      <c r="B990" s="950" t="s">
        <v>1102</v>
      </c>
      <c r="C990" s="950" t="s">
        <v>2619</v>
      </c>
      <c r="D990" s="888"/>
      <c r="E990" s="893" t="s">
        <v>1087</v>
      </c>
      <c r="I990" s="888"/>
      <c r="J990" s="888"/>
      <c r="K990" s="888"/>
      <c r="L990" s="888"/>
      <c r="M990" s="888"/>
      <c r="N990" s="888"/>
      <c r="O990" s="888"/>
      <c r="P990" s="888"/>
      <c r="Q990" s="888"/>
      <c r="R990" s="888"/>
    </row>
    <row r="991" spans="1:18" s="893" customFormat="1" x14ac:dyDescent="0.3">
      <c r="A991" s="888" t="s">
        <v>2062</v>
      </c>
      <c r="B991" s="888" t="s">
        <v>1102</v>
      </c>
      <c r="C991" s="888" t="s">
        <v>2335</v>
      </c>
      <c r="D991" s="888"/>
      <c r="E991" s="893" t="str">
        <f>$E$874</f>
        <v>FIBERGLASS LOOSE FILL</v>
      </c>
      <c r="I991" s="888"/>
      <c r="J991" s="888"/>
      <c r="K991" s="888"/>
      <c r="L991" s="888"/>
      <c r="M991" s="888"/>
      <c r="N991" s="888"/>
      <c r="O991" s="888"/>
      <c r="P991" s="888"/>
      <c r="Q991" s="888"/>
      <c r="R991" s="888"/>
    </row>
    <row r="992" spans="1:18" s="893" customFormat="1" x14ac:dyDescent="0.3">
      <c r="A992" s="888" t="s">
        <v>2062</v>
      </c>
      <c r="B992" s="888" t="s">
        <v>1102</v>
      </c>
      <c r="C992" s="888" t="s">
        <v>2336</v>
      </c>
      <c r="D992" s="888"/>
      <c r="E992" s="893" t="s">
        <v>1088</v>
      </c>
      <c r="I992" s="888"/>
      <c r="J992" s="888"/>
      <c r="K992" s="888"/>
      <c r="L992" s="888"/>
      <c r="M992" s="888"/>
      <c r="N992" s="888"/>
      <c r="O992" s="888"/>
      <c r="P992" s="888"/>
      <c r="Q992" s="888"/>
      <c r="R992" s="888"/>
    </row>
    <row r="993" spans="1:18" s="893" customFormat="1" x14ac:dyDescent="0.3">
      <c r="A993" s="888" t="s">
        <v>2062</v>
      </c>
      <c r="B993" s="888" t="s">
        <v>1102</v>
      </c>
      <c r="C993" s="888" t="s">
        <v>7531</v>
      </c>
      <c r="D993" s="888"/>
      <c r="E993" s="893" t="str">
        <f>$E$343</f>
        <v>MINERAL WOOL BATT</v>
      </c>
      <c r="I993" s="888"/>
      <c r="J993" s="888"/>
      <c r="K993" s="888"/>
      <c r="L993" s="888"/>
      <c r="M993" s="888"/>
      <c r="N993" s="888"/>
      <c r="O993" s="888"/>
      <c r="P993" s="888"/>
      <c r="Q993" s="888"/>
      <c r="R993" s="888"/>
    </row>
    <row r="994" spans="1:18" s="893" customFormat="1" x14ac:dyDescent="0.3">
      <c r="A994" s="888" t="s">
        <v>2062</v>
      </c>
      <c r="B994" s="916" t="s">
        <v>5086</v>
      </c>
      <c r="C994" s="888" t="s">
        <v>2286</v>
      </c>
      <c r="D994" s="888"/>
      <c r="E994" s="893" t="s">
        <v>1089</v>
      </c>
      <c r="I994" s="888"/>
      <c r="J994" s="888"/>
      <c r="K994" s="888"/>
      <c r="L994" s="888"/>
      <c r="M994" s="888"/>
      <c r="N994" s="888"/>
      <c r="O994" s="888"/>
      <c r="P994" s="888"/>
      <c r="Q994" s="888"/>
      <c r="R994" s="888"/>
    </row>
    <row r="995" spans="1:18" s="893" customFormat="1" x14ac:dyDescent="0.3">
      <c r="A995" s="888" t="s">
        <v>2062</v>
      </c>
      <c r="B995" s="888" t="s">
        <v>1102</v>
      </c>
      <c r="C995" s="888" t="s">
        <v>2646</v>
      </c>
      <c r="D995" s="888"/>
      <c r="E995" s="893" t="str">
        <f>$E$880</f>
        <v>MINERAL WOOL LOOSE FILL</v>
      </c>
      <c r="I995" s="888"/>
      <c r="J995" s="888"/>
      <c r="K995" s="888"/>
      <c r="L995" s="888"/>
      <c r="M995" s="888"/>
      <c r="N995" s="888"/>
      <c r="O995" s="888"/>
      <c r="P995" s="888"/>
      <c r="Q995" s="888"/>
      <c r="R995" s="888"/>
    </row>
    <row r="996" spans="1:18" s="893" customFormat="1" x14ac:dyDescent="0.3">
      <c r="A996" s="888" t="s">
        <v>2062</v>
      </c>
      <c r="B996" s="888" t="s">
        <v>1102</v>
      </c>
      <c r="C996" s="888" t="s">
        <v>2649</v>
      </c>
      <c r="D996" s="888"/>
      <c r="E996" s="893" t="str">
        <f>$E$479</f>
        <v>SPRAY FOAM, CLOSED CELL</v>
      </c>
      <c r="I996" s="888"/>
      <c r="J996" s="888"/>
      <c r="K996" s="888"/>
      <c r="L996" s="888"/>
      <c r="M996" s="888"/>
      <c r="N996" s="888"/>
      <c r="O996" s="888"/>
      <c r="P996" s="888"/>
      <c r="Q996" s="888"/>
      <c r="R996" s="888"/>
    </row>
    <row r="997" spans="1:18" s="893" customFormat="1" x14ac:dyDescent="0.3">
      <c r="A997" s="888" t="s">
        <v>2062</v>
      </c>
      <c r="B997" s="888" t="s">
        <v>1102</v>
      </c>
      <c r="C997" s="888" t="s">
        <v>2654</v>
      </c>
      <c r="D997" s="888"/>
      <c r="E997" s="893" t="str">
        <f>$E$480</f>
        <v>SPRAY FOAM, OPEN CELL</v>
      </c>
      <c r="I997" s="888"/>
      <c r="J997" s="888"/>
      <c r="K997" s="888"/>
      <c r="L997" s="888"/>
      <c r="M997" s="888"/>
      <c r="N997" s="888"/>
      <c r="O997" s="888"/>
      <c r="P997" s="888"/>
      <c r="Q997" s="888"/>
      <c r="R997" s="888"/>
    </row>
    <row r="998" spans="1:18" s="893" customFormat="1" x14ac:dyDescent="0.3">
      <c r="A998" s="888" t="s">
        <v>2062</v>
      </c>
      <c r="B998" s="888" t="s">
        <v>1102</v>
      </c>
      <c r="C998" s="888" t="s">
        <v>2657</v>
      </c>
      <c r="D998" s="888"/>
      <c r="E998" s="893" t="str">
        <f>$E$341</f>
        <v>CELLULOSE INSULATION</v>
      </c>
      <c r="I998" s="888"/>
      <c r="J998" s="888"/>
      <c r="K998" s="888"/>
      <c r="L998" s="888"/>
      <c r="M998" s="888"/>
      <c r="N998" s="888"/>
      <c r="O998" s="888"/>
      <c r="P998" s="888"/>
      <c r="Q998" s="888"/>
      <c r="R998" s="888"/>
    </row>
    <row r="999" spans="1:18" s="893" customFormat="1" x14ac:dyDescent="0.3">
      <c r="A999" s="888" t="s">
        <v>2062</v>
      </c>
      <c r="B999" s="888" t="s">
        <v>1102</v>
      </c>
      <c r="C999" s="888" t="s">
        <v>7532</v>
      </c>
      <c r="D999" s="888"/>
      <c r="E999" s="893" t="s">
        <v>1090</v>
      </c>
      <c r="I999" s="888"/>
      <c r="J999" s="888"/>
      <c r="K999" s="888"/>
      <c r="L999" s="888"/>
      <c r="M999" s="888"/>
      <c r="N999" s="888"/>
      <c r="O999" s="888"/>
      <c r="P999" s="888"/>
      <c r="Q999" s="888"/>
      <c r="R999" s="888"/>
    </row>
    <row r="1000" spans="1:18" s="893" customFormat="1" x14ac:dyDescent="0.3">
      <c r="A1000" s="888" t="s">
        <v>2062</v>
      </c>
      <c r="B1000" s="888" t="s">
        <v>1102</v>
      </c>
      <c r="C1000" s="888" t="s">
        <v>2662</v>
      </c>
      <c r="D1000" s="888"/>
      <c r="E1000" s="893" t="str">
        <f>$E$345</f>
        <v>WOOD FIBER BATT</v>
      </c>
      <c r="I1000" s="888"/>
      <c r="J1000" s="888"/>
      <c r="K1000" s="888"/>
      <c r="L1000" s="888"/>
      <c r="M1000" s="888"/>
      <c r="N1000" s="888"/>
      <c r="O1000" s="888"/>
      <c r="P1000" s="888"/>
      <c r="Q1000" s="888"/>
      <c r="R1000" s="888"/>
    </row>
    <row r="1001" spans="1:18" s="893" customFormat="1" x14ac:dyDescent="0.3">
      <c r="A1001" s="888" t="s">
        <v>2062</v>
      </c>
      <c r="B1001" s="956" t="s">
        <v>5086</v>
      </c>
      <c r="C1001" s="888" t="s">
        <v>2584</v>
      </c>
      <c r="D1001" s="888"/>
      <c r="E1001" s="893" t="s">
        <v>1091</v>
      </c>
      <c r="I1001" s="888"/>
      <c r="J1001" s="888"/>
      <c r="K1001" s="888"/>
      <c r="L1001" s="888"/>
      <c r="M1001" s="888"/>
      <c r="N1001" s="888"/>
      <c r="O1001" s="888"/>
      <c r="P1001" s="888"/>
      <c r="Q1001" s="888"/>
      <c r="R1001" s="888"/>
    </row>
    <row r="1002" spans="1:18" s="893" customFormat="1" x14ac:dyDescent="0.3">
      <c r="A1002" s="888" t="s">
        <v>2062</v>
      </c>
      <c r="B1002" s="888" t="s">
        <v>1102</v>
      </c>
      <c r="C1002" s="888" t="s">
        <v>2665</v>
      </c>
      <c r="D1002" s="888"/>
      <c r="E1002" s="893" t="str">
        <f>$E$478</f>
        <v>OTHER NATURAL FIBER INSULATION</v>
      </c>
      <c r="I1002" s="888"/>
      <c r="J1002" s="888"/>
      <c r="K1002" s="888"/>
      <c r="L1002" s="888"/>
      <c r="M1002" s="888"/>
      <c r="N1002" s="888"/>
      <c r="O1002" s="888"/>
      <c r="P1002" s="888"/>
      <c r="Q1002" s="888"/>
      <c r="R1002" s="888"/>
    </row>
    <row r="1003" spans="1:18" s="893" customFormat="1" x14ac:dyDescent="0.3">
      <c r="A1003" s="888" t="s">
        <v>2062</v>
      </c>
      <c r="B1003" s="888" t="s">
        <v>1102</v>
      </c>
      <c r="C1003" s="888" t="s">
        <v>2667</v>
      </c>
      <c r="D1003" s="888"/>
      <c r="E1003" s="893" t="str">
        <f>$E$894</f>
        <v>HEMPCRETE LOOSE FILL</v>
      </c>
      <c r="I1003" s="888"/>
      <c r="J1003" s="888"/>
      <c r="K1003" s="888"/>
      <c r="L1003" s="888"/>
      <c r="M1003" s="888"/>
      <c r="N1003" s="888"/>
      <c r="O1003" s="888"/>
      <c r="P1003" s="888"/>
      <c r="Q1003" s="888"/>
      <c r="R1003" s="888"/>
    </row>
    <row r="1004" spans="1:18" s="893" customFormat="1" x14ac:dyDescent="0.3">
      <c r="A1004" s="888" t="s">
        <v>2062</v>
      </c>
      <c r="B1004" s="888" t="s">
        <v>1102</v>
      </c>
      <c r="C1004" s="888" t="s">
        <v>2669</v>
      </c>
      <c r="D1004" s="888"/>
      <c r="E1004" s="893" t="s">
        <v>1093</v>
      </c>
      <c r="I1004" s="888"/>
      <c r="J1004" s="888"/>
      <c r="K1004" s="888"/>
      <c r="L1004" s="888"/>
      <c r="M1004" s="888"/>
      <c r="N1004" s="888"/>
      <c r="O1004" s="888"/>
      <c r="P1004" s="888"/>
      <c r="Q1004" s="888"/>
      <c r="R1004" s="888"/>
    </row>
    <row r="1005" spans="1:18" s="893" customFormat="1" x14ac:dyDescent="0.3">
      <c r="A1005" s="888" t="s">
        <v>2062</v>
      </c>
      <c r="B1005" s="956" t="s">
        <v>5086</v>
      </c>
      <c r="C1005" s="888" t="s">
        <v>2195</v>
      </c>
      <c r="D1005" s="888"/>
      <c r="E1005" s="893" t="str">
        <f>$E$352</f>
        <v>HIGH R-VALUE INSULATION</v>
      </c>
      <c r="I1005" s="888"/>
      <c r="J1005" s="888"/>
      <c r="K1005" s="888"/>
      <c r="L1005" s="888"/>
      <c r="M1005" s="888"/>
      <c r="N1005" s="888"/>
      <c r="O1005" s="888"/>
      <c r="P1005" s="888"/>
      <c r="Q1005" s="888"/>
      <c r="R1005" s="888"/>
    </row>
    <row r="1006" spans="1:18" s="893" customFormat="1" x14ac:dyDescent="0.3">
      <c r="A1006" s="888" t="s">
        <v>2062</v>
      </c>
      <c r="B1006" s="888" t="s">
        <v>1102</v>
      </c>
      <c r="C1006" s="935" t="s">
        <v>4884</v>
      </c>
      <c r="D1006" s="888"/>
      <c r="E1006" s="945" t="s">
        <v>4781</v>
      </c>
      <c r="I1006" s="888"/>
      <c r="J1006" s="888"/>
      <c r="K1006" s="888"/>
      <c r="L1006" s="888"/>
      <c r="M1006" s="888"/>
      <c r="N1006" s="888"/>
      <c r="O1006" s="888"/>
      <c r="P1006" s="888"/>
      <c r="Q1006" s="888"/>
      <c r="R1006" s="888"/>
    </row>
    <row r="1007" spans="1:18" s="893" customFormat="1" x14ac:dyDescent="0.3">
      <c r="A1007" s="888" t="s">
        <v>2062</v>
      </c>
      <c r="B1007" s="916" t="s">
        <v>5086</v>
      </c>
      <c r="C1007" s="888" t="s">
        <v>5084</v>
      </c>
      <c r="D1007" s="888"/>
      <c r="E1007" s="893" t="s">
        <v>1545</v>
      </c>
      <c r="I1007" s="888"/>
      <c r="J1007" s="888"/>
      <c r="K1007" s="888"/>
      <c r="L1007" s="888"/>
      <c r="M1007" s="888"/>
      <c r="N1007" s="888"/>
      <c r="O1007" s="888"/>
      <c r="P1007" s="888"/>
      <c r="Q1007" s="888"/>
      <c r="R1007" s="888"/>
    </row>
    <row r="1008" spans="1:18" s="893" customFormat="1" x14ac:dyDescent="0.3">
      <c r="A1008" s="888" t="s">
        <v>2062</v>
      </c>
      <c r="B1008" s="888" t="s">
        <v>1102</v>
      </c>
      <c r="C1008" s="888" t="s">
        <v>7533</v>
      </c>
      <c r="D1008" s="888"/>
      <c r="E1008" s="893" t="str">
        <f>$E$987</f>
        <v>INSULATION PARALLEL TO:</v>
      </c>
      <c r="I1008" s="888"/>
      <c r="J1008" s="888"/>
      <c r="K1008" s="888"/>
      <c r="L1008" s="888"/>
      <c r="M1008" s="888"/>
      <c r="N1008" s="888"/>
      <c r="O1008" s="888"/>
      <c r="P1008" s="888"/>
      <c r="Q1008" s="888"/>
      <c r="R1008" s="888"/>
    </row>
    <row r="1009" spans="1:18" s="893" customFormat="1" x14ac:dyDescent="0.3">
      <c r="A1009" s="888" t="s">
        <v>2062</v>
      </c>
      <c r="B1009" s="935" t="s">
        <v>5086</v>
      </c>
      <c r="C1009" s="935" t="s">
        <v>5085</v>
      </c>
      <c r="D1009" s="888"/>
      <c r="E1009" s="893" t="s">
        <v>1543</v>
      </c>
      <c r="I1009" s="888"/>
      <c r="J1009" s="888"/>
      <c r="K1009" s="888"/>
      <c r="L1009" s="888"/>
      <c r="M1009" s="888"/>
      <c r="N1009" s="888"/>
      <c r="O1009" s="888"/>
      <c r="P1009" s="888"/>
      <c r="Q1009" s="888"/>
      <c r="R1009" s="888"/>
    </row>
    <row r="1010" spans="1:18" s="893" customFormat="1" x14ac:dyDescent="0.3">
      <c r="A1010" s="888" t="s">
        <v>2062</v>
      </c>
      <c r="B1010" s="888" t="s">
        <v>1102</v>
      </c>
      <c r="C1010" s="888" t="s">
        <v>2676</v>
      </c>
      <c r="D1010" s="888"/>
      <c r="E1010" s="893" t="str">
        <f>$E$221</f>
        <v>EPS FOAM BOARD</v>
      </c>
      <c r="I1010" s="888"/>
      <c r="J1010" s="888"/>
      <c r="K1010" s="888"/>
      <c r="L1010" s="888"/>
      <c r="M1010" s="888"/>
      <c r="N1010" s="888"/>
      <c r="O1010" s="888"/>
      <c r="P1010" s="888"/>
      <c r="Q1010" s="888"/>
      <c r="R1010" s="888"/>
    </row>
    <row r="1011" spans="1:18" s="893" customFormat="1" x14ac:dyDescent="0.3">
      <c r="A1011" s="888" t="s">
        <v>2062</v>
      </c>
      <c r="B1011" s="888" t="s">
        <v>1102</v>
      </c>
      <c r="C1011" s="888" t="s">
        <v>2679</v>
      </c>
      <c r="D1011" s="888"/>
      <c r="E1011" s="893" t="str">
        <f>$E$222</f>
        <v>EPS foam board - AVERAGE</v>
      </c>
      <c r="I1011" s="888"/>
      <c r="J1011" s="888"/>
      <c r="K1011" s="888"/>
      <c r="L1011" s="888"/>
      <c r="M1011" s="888"/>
      <c r="N1011" s="888"/>
      <c r="O1011" s="888"/>
      <c r="P1011" s="888"/>
      <c r="Q1011" s="888"/>
      <c r="R1011" s="888"/>
    </row>
    <row r="1012" spans="1:18" s="893" customFormat="1" x14ac:dyDescent="0.3">
      <c r="A1012" s="888" t="s">
        <v>2062</v>
      </c>
      <c r="B1012" s="888" t="s">
        <v>1102</v>
      </c>
      <c r="C1012" s="888" t="s">
        <v>2686</v>
      </c>
      <c r="D1012" s="888"/>
      <c r="E1012" s="893" t="str">
        <f>$E$297</f>
        <v>WOOD FIBER BOARD</v>
      </c>
      <c r="I1012" s="888"/>
      <c r="J1012" s="888"/>
      <c r="K1012" s="888"/>
      <c r="L1012" s="888"/>
      <c r="M1012" s="888"/>
      <c r="N1012" s="888"/>
      <c r="O1012" s="888"/>
      <c r="P1012" s="888"/>
      <c r="Q1012" s="888"/>
      <c r="R1012" s="888"/>
    </row>
    <row r="1013" spans="1:18" s="893" customFormat="1" x14ac:dyDescent="0.3">
      <c r="A1013" s="888" t="s">
        <v>2062</v>
      </c>
      <c r="B1013" s="888" t="s">
        <v>1102</v>
      </c>
      <c r="C1013" s="888" t="s">
        <v>2688</v>
      </c>
      <c r="D1013" s="888"/>
      <c r="E1013" s="893" t="str">
        <f>$E$298</f>
        <v>Wood fiber board - AVERAGE</v>
      </c>
      <c r="I1013" s="888"/>
      <c r="J1013" s="888"/>
      <c r="K1013" s="888"/>
      <c r="L1013" s="888"/>
      <c r="M1013" s="888"/>
      <c r="N1013" s="888"/>
      <c r="O1013" s="888"/>
      <c r="P1013" s="888"/>
      <c r="Q1013" s="888"/>
      <c r="R1013" s="888"/>
    </row>
    <row r="1014" spans="1:18" s="893" customFormat="1" x14ac:dyDescent="0.3">
      <c r="A1014" s="888" t="s">
        <v>2062</v>
      </c>
      <c r="B1014" s="888" t="s">
        <v>1102</v>
      </c>
      <c r="C1014" s="888" t="s">
        <v>7534</v>
      </c>
      <c r="D1014" s="888"/>
      <c r="E1014" s="893" t="str">
        <f>$E$223</f>
        <v>XPS FOAM BOARD</v>
      </c>
      <c r="I1014" s="888"/>
      <c r="J1014" s="888"/>
      <c r="K1014" s="888"/>
      <c r="L1014" s="888"/>
      <c r="M1014" s="888"/>
      <c r="N1014" s="888"/>
      <c r="O1014" s="888"/>
      <c r="P1014" s="888"/>
      <c r="Q1014" s="888"/>
      <c r="R1014" s="888"/>
    </row>
    <row r="1015" spans="1:18" s="893" customFormat="1" x14ac:dyDescent="0.3">
      <c r="A1015" s="888" t="s">
        <v>2062</v>
      </c>
      <c r="B1015" s="888" t="s">
        <v>1102</v>
      </c>
      <c r="C1015" s="888" t="s">
        <v>2703</v>
      </c>
      <c r="D1015" s="888"/>
      <c r="E1015" s="918" t="str">
        <f>$E$224</f>
        <v>XPS foam board - AVERAGE</v>
      </c>
      <c r="I1015" s="888"/>
      <c r="J1015" s="888"/>
      <c r="K1015" s="888"/>
      <c r="L1015" s="888"/>
      <c r="M1015" s="888"/>
      <c r="N1015" s="888"/>
      <c r="O1015" s="888"/>
      <c r="P1015" s="888"/>
      <c r="Q1015" s="888"/>
      <c r="R1015" s="888"/>
    </row>
    <row r="1016" spans="1:18" s="893" customFormat="1" x14ac:dyDescent="0.3">
      <c r="A1016" s="888" t="s">
        <v>2062</v>
      </c>
      <c r="B1016" s="888" t="s">
        <v>1102</v>
      </c>
      <c r="C1016" s="888" t="s">
        <v>2353</v>
      </c>
      <c r="D1016" s="888"/>
      <c r="E1016" s="893" t="str">
        <f>$E$490</f>
        <v>POLYISOCYANURATE FOAM BOARD</v>
      </c>
      <c r="I1016" s="888"/>
      <c r="J1016" s="888"/>
      <c r="K1016" s="888"/>
      <c r="L1016" s="888"/>
      <c r="M1016" s="888"/>
      <c r="N1016" s="888"/>
      <c r="O1016" s="888"/>
      <c r="P1016" s="888"/>
      <c r="Q1016" s="888"/>
      <c r="R1016" s="888"/>
    </row>
    <row r="1017" spans="1:18" x14ac:dyDescent="0.3">
      <c r="A1017" s="888" t="s">
        <v>2062</v>
      </c>
      <c r="B1017" s="888" t="s">
        <v>1102</v>
      </c>
      <c r="C1017" s="888" t="s">
        <v>7535</v>
      </c>
      <c r="E1017" s="893" t="str">
        <f>$E$491</f>
        <v>Polyisocyanurate - AVERAGE</v>
      </c>
    </row>
    <row r="1018" spans="1:18" x14ac:dyDescent="0.3">
      <c r="A1018" s="888" t="s">
        <v>2062</v>
      </c>
      <c r="B1018" s="888" t="s">
        <v>1102</v>
      </c>
      <c r="C1018" s="888" t="s">
        <v>7450</v>
      </c>
      <c r="E1018" s="893" t="str">
        <f>$E$225</f>
        <v>MINERAL WOOL BOARD</v>
      </c>
    </row>
    <row r="1019" spans="1:18" x14ac:dyDescent="0.3">
      <c r="A1019" s="888" t="s">
        <v>2062</v>
      </c>
      <c r="B1019" s="888" t="s">
        <v>1102</v>
      </c>
      <c r="C1019" s="888" t="s">
        <v>3855</v>
      </c>
      <c r="E1019" s="893" t="str">
        <f>$E$493</f>
        <v>Mineral wool board - AVERAGE</v>
      </c>
    </row>
    <row r="1020" spans="1:18" x14ac:dyDescent="0.3">
      <c r="A1020" s="888" t="s">
        <v>2062</v>
      </c>
      <c r="B1020" s="888" t="s">
        <v>1102</v>
      </c>
      <c r="C1020" s="957" t="s">
        <v>2727</v>
      </c>
      <c r="E1020" s="929" t="str">
        <f>$E$231</f>
        <v>CORK BOARD</v>
      </c>
    </row>
    <row r="1021" spans="1:18" x14ac:dyDescent="0.3">
      <c r="A1021" s="888" t="s">
        <v>2062</v>
      </c>
      <c r="B1021" s="956" t="s">
        <v>5086</v>
      </c>
      <c r="C1021" s="957" t="s">
        <v>2344</v>
      </c>
      <c r="E1021" s="929" t="str">
        <f>$E$497</f>
        <v>Cork board - AVERAGE</v>
      </c>
    </row>
    <row r="1022" spans="1:18" x14ac:dyDescent="0.3">
      <c r="A1022" s="888" t="s">
        <v>2062</v>
      </c>
      <c r="B1022" s="888" t="s">
        <v>1102</v>
      </c>
      <c r="C1022" s="888" t="s">
        <v>7536</v>
      </c>
      <c r="E1022" s="893" t="s">
        <v>96</v>
      </c>
    </row>
    <row r="1023" spans="1:18" x14ac:dyDescent="0.3">
      <c r="A1023" s="888" t="s">
        <v>2062</v>
      </c>
      <c r="B1023" s="888" t="s">
        <v>1102</v>
      </c>
      <c r="C1023" s="888" t="s">
        <v>2730</v>
      </c>
      <c r="E1023" s="893" t="s">
        <v>97</v>
      </c>
    </row>
    <row r="1024" spans="1:18" x14ac:dyDescent="0.3">
      <c r="A1024" s="888" t="s">
        <v>2062</v>
      </c>
      <c r="B1024" s="916" t="s">
        <v>5086</v>
      </c>
      <c r="C1024" s="888" t="s">
        <v>2336</v>
      </c>
      <c r="E1024" s="893" t="s">
        <v>1092</v>
      </c>
    </row>
    <row r="1025" spans="1:19" x14ac:dyDescent="0.3">
      <c r="A1025" s="888" t="s">
        <v>2062</v>
      </c>
      <c r="B1025" s="888" t="s">
        <v>1580</v>
      </c>
      <c r="C1025" s="888" t="s">
        <v>2124</v>
      </c>
      <c r="E1025" s="893" t="s">
        <v>1557</v>
      </c>
    </row>
    <row r="1026" spans="1:19" x14ac:dyDescent="0.3">
      <c r="A1026" s="888" t="s">
        <v>2062</v>
      </c>
      <c r="B1026" s="888" t="s">
        <v>1580</v>
      </c>
      <c r="C1026" s="888" t="s">
        <v>2125</v>
      </c>
      <c r="E1026" s="893" t="str">
        <f>$E$124</f>
        <v>GARAGE</v>
      </c>
    </row>
    <row r="1027" spans="1:19" ht="198.75" customHeight="1" x14ac:dyDescent="0.3">
      <c r="A1027" s="888" t="s">
        <v>2062</v>
      </c>
      <c r="B1027" s="888" t="s">
        <v>1580</v>
      </c>
      <c r="C1027" s="888" t="s">
        <v>2063</v>
      </c>
      <c r="D1027" s="888" t="b">
        <v>1</v>
      </c>
      <c r="E1027" s="1671"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1027" s="1671"/>
      <c r="G1027" s="1671"/>
      <c r="H1027" s="1671"/>
      <c r="I1027" s="1671"/>
      <c r="J1027" s="1671"/>
      <c r="K1027" s="1671"/>
      <c r="L1027" s="1671"/>
      <c r="M1027" s="1671"/>
      <c r="N1027" s="1671"/>
      <c r="O1027" s="1671"/>
      <c r="P1027" s="1671"/>
      <c r="Q1027" s="1671"/>
      <c r="R1027" s="1671"/>
      <c r="S1027" s="1671"/>
    </row>
    <row r="1028" spans="1:19" x14ac:dyDescent="0.3">
      <c r="A1028" s="888" t="s">
        <v>2062</v>
      </c>
      <c r="B1028" s="888" t="s">
        <v>1580</v>
      </c>
      <c r="C1028" s="888" t="s">
        <v>2064</v>
      </c>
      <c r="E1028" s="888" t="str">
        <f>$E$170</f>
        <v>CATEGORY</v>
      </c>
    </row>
    <row r="1029" spans="1:19" x14ac:dyDescent="0.3">
      <c r="A1029" s="888" t="s">
        <v>2062</v>
      </c>
      <c r="B1029" s="888" t="s">
        <v>1580</v>
      </c>
      <c r="C1029" s="888" t="s">
        <v>2126</v>
      </c>
      <c r="E1029" s="893" t="str">
        <f>$E$171</f>
        <v>MATERIAL</v>
      </c>
    </row>
    <row r="1030" spans="1:19" x14ac:dyDescent="0.3">
      <c r="A1030" s="888" t="s">
        <v>2062</v>
      </c>
      <c r="B1030" s="888" t="s">
        <v>1580</v>
      </c>
      <c r="C1030" s="888" t="s">
        <v>2127</v>
      </c>
      <c r="E1030" s="893" t="str">
        <f>$E$127</f>
        <v>QUANTITY</v>
      </c>
    </row>
    <row r="1031" spans="1:19" x14ac:dyDescent="0.3">
      <c r="A1031" s="888" t="s">
        <v>2062</v>
      </c>
      <c r="B1031" s="888" t="s">
        <v>1580</v>
      </c>
      <c r="C1031" s="888" t="s">
        <v>2128</v>
      </c>
      <c r="E1031" s="888" t="str">
        <f>$E$173</f>
        <v xml:space="preserve"> SELECT</v>
      </c>
    </row>
    <row r="1032" spans="1:19" ht="15" customHeight="1" x14ac:dyDescent="0.3">
      <c r="A1032" s="888" t="s">
        <v>2062</v>
      </c>
      <c r="B1032" s="908" t="s">
        <v>5111</v>
      </c>
      <c r="C1032" s="888" t="s">
        <v>2129</v>
      </c>
      <c r="D1032" s="888" t="b">
        <v>1</v>
      </c>
      <c r="E1032" s="1669" t="str">
        <f>$E$174</f>
        <v>NET kgCO2e EMISSIONS</v>
      </c>
    </row>
    <row r="1033" spans="1:19" ht="15" customHeight="1" x14ac:dyDescent="0.3">
      <c r="A1033" s="888" t="s">
        <v>2083</v>
      </c>
      <c r="E1033" s="1670"/>
    </row>
    <row r="1034" spans="1:19" ht="29.25" customHeight="1" x14ac:dyDescent="0.3">
      <c r="A1034" s="888" t="s">
        <v>2062</v>
      </c>
      <c r="B1034" s="908" t="s">
        <v>5111</v>
      </c>
      <c r="C1034" s="888" t="s">
        <v>2130</v>
      </c>
      <c r="D1034" s="888" t="b">
        <v>1</v>
      </c>
      <c r="E1034" s="1669" t="str">
        <f>$E$176</f>
        <v>SELECTED MATERIAL kgCO2e CONTENT</v>
      </c>
    </row>
    <row r="1035" spans="1:19" s="893" customFormat="1" ht="15" customHeight="1" x14ac:dyDescent="0.3">
      <c r="A1035" s="888" t="s">
        <v>2083</v>
      </c>
      <c r="B1035" s="888"/>
      <c r="C1035" s="888"/>
      <c r="D1035" s="888"/>
      <c r="E1035" s="1670"/>
      <c r="I1035" s="888"/>
      <c r="J1035" s="888"/>
      <c r="K1035" s="888"/>
      <c r="L1035" s="888"/>
      <c r="M1035" s="888"/>
      <c r="N1035" s="888"/>
      <c r="O1035" s="888"/>
      <c r="P1035" s="888"/>
      <c r="Q1035" s="888"/>
      <c r="R1035" s="888"/>
    </row>
    <row r="1036" spans="1:19" s="893" customFormat="1" ht="15" customHeight="1" x14ac:dyDescent="0.3">
      <c r="A1036" s="888" t="s">
        <v>2062</v>
      </c>
      <c r="B1036" s="888" t="s">
        <v>1580</v>
      </c>
      <c r="C1036" s="888" t="s">
        <v>2131</v>
      </c>
      <c r="D1036" s="888" t="b">
        <v>1</v>
      </c>
      <c r="E1036" s="1669" t="str">
        <f>$E$178</f>
        <v>kgCO2e EMISSIONS</v>
      </c>
      <c r="I1036" s="888"/>
      <c r="J1036" s="888"/>
      <c r="K1036" s="888"/>
      <c r="L1036" s="888"/>
      <c r="M1036" s="888"/>
      <c r="N1036" s="888"/>
      <c r="O1036" s="888"/>
      <c r="P1036" s="888"/>
      <c r="Q1036" s="888"/>
      <c r="R1036" s="888"/>
    </row>
    <row r="1037" spans="1:19" s="893" customFormat="1" ht="15" customHeight="1" x14ac:dyDescent="0.3">
      <c r="A1037" s="888" t="s">
        <v>2083</v>
      </c>
      <c r="B1037" s="888"/>
      <c r="C1037" s="888"/>
      <c r="D1037" s="888"/>
      <c r="E1037" s="1670"/>
      <c r="I1037" s="888"/>
      <c r="J1037" s="888"/>
      <c r="K1037" s="888"/>
      <c r="L1037" s="888"/>
      <c r="M1037" s="888"/>
      <c r="N1037" s="888"/>
      <c r="O1037" s="888"/>
      <c r="P1037" s="888"/>
      <c r="Q1037" s="888"/>
      <c r="R1037" s="888"/>
    </row>
    <row r="1038" spans="1:19" s="893" customFormat="1" ht="15" customHeight="1" x14ac:dyDescent="0.3">
      <c r="A1038" s="888" t="s">
        <v>2062</v>
      </c>
      <c r="B1038" s="888" t="s">
        <v>1580</v>
      </c>
      <c r="C1038" s="888" t="s">
        <v>2132</v>
      </c>
      <c r="D1038" s="888" t="b">
        <v>1</v>
      </c>
      <c r="E1038" s="1669" t="str">
        <f>$E$180</f>
        <v>kgCO2 STORAGE</v>
      </c>
      <c r="I1038" s="888"/>
      <c r="J1038" s="888"/>
      <c r="K1038" s="888"/>
      <c r="L1038" s="888"/>
      <c r="M1038" s="888"/>
      <c r="N1038" s="888"/>
      <c r="O1038" s="888"/>
      <c r="P1038" s="888"/>
      <c r="Q1038" s="888"/>
      <c r="R1038" s="888"/>
    </row>
    <row r="1039" spans="1:19" s="893" customFormat="1" ht="15" customHeight="1" x14ac:dyDescent="0.3">
      <c r="A1039" s="888" t="s">
        <v>2083</v>
      </c>
      <c r="B1039" s="888"/>
      <c r="C1039" s="888"/>
      <c r="D1039" s="888"/>
      <c r="E1039" s="1670"/>
      <c r="I1039" s="888"/>
      <c r="J1039" s="888"/>
      <c r="K1039" s="888"/>
      <c r="L1039" s="888"/>
      <c r="M1039" s="888"/>
      <c r="N1039" s="888"/>
      <c r="O1039" s="888"/>
      <c r="P1039" s="888"/>
      <c r="Q1039" s="888"/>
      <c r="R1039" s="888"/>
    </row>
    <row r="1040" spans="1:19" s="893" customFormat="1" ht="15" customHeight="1" x14ac:dyDescent="0.3">
      <c r="A1040" s="888" t="s">
        <v>2062</v>
      </c>
      <c r="B1040" s="888" t="s">
        <v>1580</v>
      </c>
      <c r="C1040" s="909" t="s">
        <v>2070</v>
      </c>
      <c r="D1040" s="888" t="b">
        <v>1</v>
      </c>
      <c r="E1040" s="1520" t="str">
        <f>$E$182</f>
        <v xml:space="preserve">  Note</v>
      </c>
      <c r="F1040" s="1520"/>
      <c r="I1040" s="888"/>
      <c r="J1040" s="888"/>
      <c r="K1040" s="888"/>
      <c r="L1040" s="888"/>
      <c r="M1040" s="888"/>
      <c r="N1040" s="888"/>
      <c r="O1040" s="888"/>
      <c r="P1040" s="888"/>
      <c r="Q1040" s="888"/>
      <c r="R1040" s="888"/>
    </row>
    <row r="1041" spans="1:18" s="893" customFormat="1" ht="15" customHeight="1" x14ac:dyDescent="0.3">
      <c r="A1041" s="888" t="s">
        <v>2083</v>
      </c>
      <c r="B1041" s="888"/>
      <c r="C1041" s="888"/>
      <c r="D1041" s="888"/>
      <c r="E1041" s="1520"/>
      <c r="F1041" s="1520"/>
      <c r="I1041" s="888"/>
      <c r="J1041" s="888"/>
      <c r="K1041" s="888"/>
      <c r="L1041" s="888"/>
      <c r="M1041" s="888"/>
      <c r="N1041" s="888"/>
      <c r="O1041" s="888"/>
      <c r="P1041" s="888"/>
      <c r="Q1041" s="888"/>
      <c r="R1041" s="888"/>
    </row>
    <row r="1042" spans="1:18" s="893" customFormat="1" ht="15" customHeight="1" x14ac:dyDescent="0.3">
      <c r="A1042" s="888" t="s">
        <v>2062</v>
      </c>
      <c r="B1042" s="908" t="s">
        <v>5111</v>
      </c>
      <c r="C1042" s="909" t="s">
        <v>3335</v>
      </c>
      <c r="D1042" s="888" t="b">
        <v>1</v>
      </c>
      <c r="E1042" s="1669" t="str">
        <f>$E$184</f>
        <v>Include Long Cycle</v>
      </c>
      <c r="I1042" s="888"/>
      <c r="J1042" s="888"/>
      <c r="K1042" s="888"/>
      <c r="L1042" s="888"/>
      <c r="M1042" s="888"/>
      <c r="N1042" s="888"/>
      <c r="O1042" s="888"/>
      <c r="P1042" s="888"/>
      <c r="Q1042" s="888"/>
      <c r="R1042" s="888"/>
    </row>
    <row r="1043" spans="1:18" s="893" customFormat="1" ht="15" customHeight="1" x14ac:dyDescent="0.3">
      <c r="A1043" s="888" t="s">
        <v>2083</v>
      </c>
      <c r="B1043" s="888"/>
      <c r="C1043" s="888"/>
      <c r="D1043" s="888"/>
      <c r="E1043" s="1670"/>
      <c r="I1043" s="888"/>
      <c r="J1043" s="888"/>
      <c r="K1043" s="888"/>
      <c r="L1043" s="888"/>
      <c r="M1043" s="888"/>
      <c r="N1043" s="888"/>
      <c r="O1043" s="888"/>
      <c r="P1043" s="888"/>
      <c r="Q1043" s="888"/>
      <c r="R1043" s="888"/>
    </row>
    <row r="1044" spans="1:18" s="893" customFormat="1" ht="21" x14ac:dyDescent="0.3">
      <c r="A1044" s="888" t="s">
        <v>2062</v>
      </c>
      <c r="B1044" s="888" t="s">
        <v>1580</v>
      </c>
      <c r="C1044" s="909" t="s">
        <v>4961</v>
      </c>
      <c r="D1044" s="888" t="b">
        <v>1</v>
      </c>
      <c r="E1044" s="622" t="s">
        <v>7195</v>
      </c>
      <c r="I1044" s="888"/>
      <c r="J1044" s="888"/>
      <c r="K1044" s="888"/>
      <c r="L1044" s="888"/>
      <c r="M1044" s="888"/>
      <c r="N1044" s="888"/>
      <c r="O1044" s="888"/>
      <c r="P1044" s="888"/>
      <c r="Q1044" s="888"/>
      <c r="R1044" s="888"/>
    </row>
    <row r="1045" spans="1:18" s="893" customFormat="1" ht="21" x14ac:dyDescent="0.3">
      <c r="A1045" s="888" t="s">
        <v>2062</v>
      </c>
      <c r="B1045" s="888" t="s">
        <v>1580</v>
      </c>
      <c r="C1045" s="911" t="s">
        <v>5112</v>
      </c>
      <c r="D1045" s="888" t="b">
        <v>1</v>
      </c>
      <c r="E1045" s="622" t="s">
        <v>7197</v>
      </c>
      <c r="I1045" s="888"/>
      <c r="J1045" s="888"/>
      <c r="K1045" s="888"/>
      <c r="L1045" s="888"/>
      <c r="M1045" s="888"/>
      <c r="N1045" s="888"/>
      <c r="O1045" s="888"/>
      <c r="P1045" s="888"/>
      <c r="Q1045" s="888"/>
      <c r="R1045" s="888"/>
    </row>
    <row r="1046" spans="1:18" s="893" customFormat="1" x14ac:dyDescent="0.3">
      <c r="A1046" s="888" t="s">
        <v>2062</v>
      </c>
      <c r="B1046" s="888" t="s">
        <v>1580</v>
      </c>
      <c r="C1046" s="888" t="s">
        <v>2133</v>
      </c>
      <c r="D1046" s="888"/>
      <c r="E1046" s="893" t="s">
        <v>1579</v>
      </c>
      <c r="I1046" s="888"/>
      <c r="J1046" s="888"/>
      <c r="K1046" s="888"/>
      <c r="L1046" s="888"/>
      <c r="M1046" s="888"/>
      <c r="N1046" s="888"/>
      <c r="O1046" s="888"/>
      <c r="P1046" s="888"/>
      <c r="Q1046" s="888"/>
      <c r="R1046" s="888"/>
    </row>
    <row r="1047" spans="1:18" s="893" customFormat="1" x14ac:dyDescent="0.3">
      <c r="A1047" s="888" t="s">
        <v>2062</v>
      </c>
      <c r="B1047" s="888" t="s">
        <v>1580</v>
      </c>
      <c r="C1047" s="888" t="s">
        <v>2232</v>
      </c>
      <c r="D1047" s="888"/>
      <c r="E1047" s="888" t="str">
        <f>$E$188</f>
        <v>CRUSHED STONE BASE</v>
      </c>
      <c r="I1047" s="888"/>
      <c r="J1047" s="888"/>
      <c r="K1047" s="888"/>
      <c r="L1047" s="888"/>
      <c r="M1047" s="888"/>
      <c r="N1047" s="888"/>
      <c r="O1047" s="888"/>
      <c r="P1047" s="888"/>
      <c r="Q1047" s="888"/>
      <c r="R1047" s="888"/>
    </row>
    <row r="1048" spans="1:18" s="893" customFormat="1" x14ac:dyDescent="0.3">
      <c r="A1048" s="888" t="s">
        <v>2062</v>
      </c>
      <c r="B1048" s="888" t="s">
        <v>1580</v>
      </c>
      <c r="C1048" s="888" t="s">
        <v>2311</v>
      </c>
      <c r="D1048" s="888"/>
      <c r="E1048" s="888" t="str">
        <f>$E$189</f>
        <v>THICKNESS:</v>
      </c>
      <c r="I1048" s="888"/>
      <c r="J1048" s="888"/>
      <c r="K1048" s="888"/>
      <c r="L1048" s="888"/>
      <c r="M1048" s="888"/>
      <c r="N1048" s="888"/>
      <c r="O1048" s="888"/>
      <c r="P1048" s="888"/>
      <c r="Q1048" s="888"/>
      <c r="R1048" s="888"/>
    </row>
    <row r="1049" spans="1:18" s="893" customFormat="1" x14ac:dyDescent="0.3">
      <c r="A1049" s="888" t="s">
        <v>2062</v>
      </c>
      <c r="B1049" s="888" t="s">
        <v>1580</v>
      </c>
      <c r="C1049" s="888" t="s">
        <v>2312</v>
      </c>
      <c r="D1049" s="888"/>
      <c r="E1049" s="888" t="str">
        <f>$E$190</f>
        <v>AGGREGATE</v>
      </c>
      <c r="I1049" s="888"/>
      <c r="J1049" s="888"/>
      <c r="K1049" s="888"/>
      <c r="L1049" s="888"/>
      <c r="M1049" s="888"/>
      <c r="N1049" s="888"/>
      <c r="O1049" s="888"/>
      <c r="P1049" s="888"/>
      <c r="Q1049" s="888"/>
      <c r="R1049" s="888"/>
    </row>
    <row r="1050" spans="1:18" s="893" customFormat="1" x14ac:dyDescent="0.3">
      <c r="A1050" s="888" t="s">
        <v>2062</v>
      </c>
      <c r="B1050" s="888" t="s">
        <v>1580</v>
      </c>
      <c r="C1050" s="888" t="s">
        <v>2313</v>
      </c>
      <c r="D1050" s="888"/>
      <c r="E1050" s="893" t="str">
        <f>$E$191</f>
        <v>If you do not know the specific carbon footprint of your aggregate, chose the "AVERAGE" value</v>
      </c>
      <c r="I1050" s="888"/>
      <c r="J1050" s="888"/>
      <c r="K1050" s="888"/>
      <c r="L1050" s="888"/>
      <c r="M1050" s="888"/>
      <c r="N1050" s="888"/>
      <c r="O1050" s="888"/>
      <c r="P1050" s="888"/>
      <c r="Q1050" s="888"/>
      <c r="R1050" s="888"/>
    </row>
    <row r="1051" spans="1:18" s="893" customFormat="1" x14ac:dyDescent="0.3">
      <c r="A1051" s="888" t="s">
        <v>2062</v>
      </c>
      <c r="B1051" s="888" t="s">
        <v>1580</v>
      </c>
      <c r="C1051" s="888" t="s">
        <v>2369</v>
      </c>
      <c r="D1051" s="888"/>
      <c r="E1051" s="893" t="s">
        <v>1571</v>
      </c>
      <c r="I1051" s="888"/>
      <c r="J1051" s="888"/>
      <c r="K1051" s="888"/>
      <c r="L1051" s="888"/>
      <c r="M1051" s="888"/>
      <c r="N1051" s="888"/>
      <c r="O1051" s="888"/>
      <c r="P1051" s="888"/>
      <c r="Q1051" s="888"/>
      <c r="R1051" s="888"/>
    </row>
    <row r="1052" spans="1:18" s="893" customFormat="1" x14ac:dyDescent="0.3">
      <c r="A1052" s="888" t="s">
        <v>2062</v>
      </c>
      <c r="B1052" s="888" t="s">
        <v>1580</v>
      </c>
      <c r="C1052" s="888" t="s">
        <v>5087</v>
      </c>
      <c r="D1052" s="888"/>
      <c r="E1052" s="888" t="str">
        <f>$E$189</f>
        <v>THICKNESS:</v>
      </c>
      <c r="I1052" s="888"/>
      <c r="J1052" s="888"/>
      <c r="K1052" s="888"/>
      <c r="L1052" s="888"/>
      <c r="M1052" s="888"/>
      <c r="N1052" s="888"/>
      <c r="O1052" s="888"/>
      <c r="P1052" s="888"/>
      <c r="Q1052" s="888"/>
      <c r="R1052" s="888"/>
    </row>
    <row r="1053" spans="1:18" s="893" customFormat="1" x14ac:dyDescent="0.3">
      <c r="A1053" s="888" t="s">
        <v>2062</v>
      </c>
      <c r="B1053" s="888" t="s">
        <v>1580</v>
      </c>
      <c r="C1053" s="888" t="s">
        <v>2076</v>
      </c>
      <c r="D1053" s="888"/>
      <c r="E1053" s="893" t="str">
        <f>$E$193</f>
        <v>CONCRETE – 25 MPa or less</v>
      </c>
      <c r="I1053" s="888"/>
      <c r="J1053" s="888"/>
      <c r="K1053" s="888"/>
      <c r="L1053" s="888"/>
      <c r="M1053" s="888"/>
      <c r="N1053" s="888"/>
      <c r="O1053" s="888"/>
      <c r="P1053" s="888"/>
      <c r="Q1053" s="888"/>
      <c r="R1053" s="888"/>
    </row>
    <row r="1054" spans="1:18" s="893" customFormat="1" x14ac:dyDescent="0.3">
      <c r="A1054" s="888" t="s">
        <v>2062</v>
      </c>
      <c r="B1054" s="888" t="s">
        <v>1580</v>
      </c>
      <c r="C1054" s="888" t="s">
        <v>2201</v>
      </c>
      <c r="D1054" s="888"/>
      <c r="E1054" s="893" t="str">
        <f>$E$194</f>
        <v>Concrete mix specification makes a big difference in carbon footprint. The mix specifications here can be used to discuss low-carbon mix options with your supplier.</v>
      </c>
      <c r="I1054" s="888"/>
      <c r="J1054" s="888"/>
      <c r="K1054" s="888"/>
      <c r="L1054" s="888"/>
      <c r="M1054" s="888"/>
      <c r="N1054" s="888"/>
      <c r="O1054" s="888"/>
      <c r="P1054" s="888"/>
      <c r="Q1054" s="888"/>
      <c r="R1054" s="888"/>
    </row>
    <row r="1055" spans="1:18" s="893" customFormat="1" x14ac:dyDescent="0.3">
      <c r="A1055" s="888" t="s">
        <v>2062</v>
      </c>
      <c r="B1055" s="888" t="s">
        <v>1580</v>
      </c>
      <c r="C1055" s="888" t="s">
        <v>2087</v>
      </c>
      <c r="D1055" s="888"/>
      <c r="E1055" s="893" t="str">
        <f>$E$195</f>
        <v>CONCRETE – 26-30 MPa</v>
      </c>
      <c r="I1055" s="888"/>
      <c r="J1055" s="888"/>
      <c r="K1055" s="888"/>
      <c r="L1055" s="888"/>
      <c r="M1055" s="888"/>
      <c r="N1055" s="888"/>
      <c r="O1055" s="888"/>
      <c r="P1055" s="888"/>
      <c r="Q1055" s="888"/>
      <c r="R1055" s="888"/>
    </row>
    <row r="1056" spans="1:18" s="893" customFormat="1" x14ac:dyDescent="0.3">
      <c r="A1056" s="888" t="s">
        <v>2062</v>
      </c>
      <c r="B1056" s="888" t="s">
        <v>1580</v>
      </c>
      <c r="C1056" s="888" t="s">
        <v>2203</v>
      </c>
      <c r="D1056" s="888"/>
      <c r="E1056" s="893" t="str">
        <f>$E$194</f>
        <v>Concrete mix specification makes a big difference in carbon footprint. The mix specifications here can be used to discuss low-carbon mix options with your supplier.</v>
      </c>
      <c r="I1056" s="888"/>
      <c r="J1056" s="888"/>
      <c r="K1056" s="888"/>
      <c r="L1056" s="888"/>
      <c r="M1056" s="888"/>
      <c r="N1056" s="888"/>
      <c r="O1056" s="888"/>
      <c r="P1056" s="888"/>
      <c r="Q1056" s="888"/>
      <c r="R1056" s="888"/>
    </row>
    <row r="1057" spans="1:18" s="893" customFormat="1" x14ac:dyDescent="0.3">
      <c r="A1057" s="888" t="s">
        <v>2062</v>
      </c>
      <c r="B1057" s="888" t="s">
        <v>1580</v>
      </c>
      <c r="C1057" s="888" t="s">
        <v>2276</v>
      </c>
      <c r="D1057" s="888"/>
      <c r="E1057" s="893" t="s">
        <v>1672</v>
      </c>
      <c r="I1057" s="888"/>
      <c r="J1057" s="888"/>
      <c r="K1057" s="888"/>
      <c r="L1057" s="888"/>
      <c r="M1057" s="888"/>
      <c r="N1057" s="888"/>
      <c r="O1057" s="888"/>
      <c r="P1057" s="888"/>
      <c r="Q1057" s="888"/>
      <c r="R1057" s="888"/>
    </row>
    <row r="1058" spans="1:18" s="893" customFormat="1" x14ac:dyDescent="0.3">
      <c r="A1058" s="888" t="s">
        <v>2062</v>
      </c>
      <c r="B1058" s="888" t="s">
        <v>1580</v>
      </c>
      <c r="C1058" s="888" t="s">
        <v>5088</v>
      </c>
      <c r="D1058" s="888"/>
      <c r="E1058" s="893" t="str">
        <f>$E$204</f>
        <v>CUSTOM AREA:</v>
      </c>
      <c r="I1058" s="888"/>
      <c r="J1058" s="888"/>
      <c r="K1058" s="888"/>
      <c r="L1058" s="888"/>
      <c r="M1058" s="888"/>
      <c r="N1058" s="888"/>
      <c r="O1058" s="888"/>
      <c r="P1058" s="888"/>
      <c r="Q1058" s="888"/>
      <c r="R1058" s="888"/>
    </row>
    <row r="1059" spans="1:18" s="893" customFormat="1" x14ac:dyDescent="0.3">
      <c r="A1059" s="888" t="s">
        <v>2062</v>
      </c>
      <c r="B1059" s="888" t="s">
        <v>1580</v>
      </c>
      <c r="C1059" s="888" t="s">
        <v>2095</v>
      </c>
      <c r="D1059" s="888"/>
      <c r="E1059" s="893" t="s">
        <v>1673</v>
      </c>
      <c r="I1059" s="888"/>
      <c r="J1059" s="888"/>
      <c r="K1059" s="888"/>
      <c r="L1059" s="888"/>
      <c r="M1059" s="888"/>
      <c r="N1059" s="888"/>
      <c r="O1059" s="888"/>
      <c r="P1059" s="888"/>
      <c r="Q1059" s="888"/>
      <c r="R1059" s="888"/>
    </row>
    <row r="1060" spans="1:18" s="893" customFormat="1" x14ac:dyDescent="0.3">
      <c r="A1060" s="888" t="s">
        <v>2062</v>
      </c>
      <c r="B1060" s="888" t="s">
        <v>1580</v>
      </c>
      <c r="C1060" s="888" t="s">
        <v>3965</v>
      </c>
      <c r="D1060" s="888"/>
      <c r="E1060" s="888" t="str">
        <f>$E$192</f>
        <v>FOOTINGS, PIERS &amp; PADS</v>
      </c>
      <c r="I1060" s="888"/>
      <c r="J1060" s="888"/>
      <c r="K1060" s="888"/>
      <c r="L1060" s="888"/>
      <c r="M1060" s="888"/>
      <c r="N1060" s="888"/>
      <c r="O1060" s="888"/>
      <c r="P1060" s="888"/>
      <c r="Q1060" s="888"/>
      <c r="R1060" s="888"/>
    </row>
    <row r="1061" spans="1:18" s="893" customFormat="1" x14ac:dyDescent="0.3">
      <c r="A1061" s="888" t="s">
        <v>2062</v>
      </c>
      <c r="B1061" s="888" t="s">
        <v>1580</v>
      </c>
      <c r="C1061" s="888" t="s">
        <v>2099</v>
      </c>
      <c r="D1061" s="888"/>
      <c r="E1061" s="893" t="str">
        <f>$E$193</f>
        <v>CONCRETE – 25 MPa or less</v>
      </c>
      <c r="I1061" s="888"/>
      <c r="J1061" s="888"/>
      <c r="K1061" s="888"/>
      <c r="L1061" s="888"/>
      <c r="M1061" s="888"/>
      <c r="N1061" s="888"/>
      <c r="O1061" s="888"/>
      <c r="P1061" s="888"/>
      <c r="Q1061" s="888"/>
      <c r="R1061" s="888"/>
    </row>
    <row r="1062" spans="1:18" s="893" customFormat="1" x14ac:dyDescent="0.3">
      <c r="A1062" s="888" t="s">
        <v>2062</v>
      </c>
      <c r="B1062" s="888" t="s">
        <v>1580</v>
      </c>
      <c r="C1062" s="888" t="s">
        <v>2239</v>
      </c>
      <c r="D1062" s="888"/>
      <c r="E1062" s="893" t="str">
        <f>$E$194</f>
        <v>Concrete mix specification makes a big difference in carbon footprint. The mix specifications here can be used to discuss low-carbon mix options with your supplier.</v>
      </c>
      <c r="I1062" s="888"/>
      <c r="J1062" s="888"/>
      <c r="K1062" s="888"/>
      <c r="L1062" s="888"/>
      <c r="M1062" s="888"/>
      <c r="N1062" s="888"/>
      <c r="O1062" s="888"/>
      <c r="P1062" s="888"/>
      <c r="Q1062" s="888"/>
      <c r="R1062" s="888"/>
    </row>
    <row r="1063" spans="1:18" s="893" customFormat="1" x14ac:dyDescent="0.3">
      <c r="A1063" s="888" t="s">
        <v>2062</v>
      </c>
      <c r="B1063" s="888" t="s">
        <v>1580</v>
      </c>
      <c r="C1063" s="888" t="s">
        <v>2107</v>
      </c>
      <c r="D1063" s="888"/>
      <c r="E1063" s="893" t="str">
        <f>$E$195</f>
        <v>CONCRETE – 26-30 MPa</v>
      </c>
      <c r="I1063" s="888"/>
      <c r="J1063" s="888"/>
      <c r="K1063" s="888"/>
      <c r="L1063" s="888"/>
      <c r="M1063" s="888"/>
      <c r="N1063" s="888"/>
      <c r="O1063" s="888"/>
      <c r="P1063" s="888"/>
      <c r="Q1063" s="888"/>
      <c r="R1063" s="888"/>
    </row>
    <row r="1064" spans="1:18" s="893" customFormat="1" x14ac:dyDescent="0.3">
      <c r="A1064" s="888" t="s">
        <v>2062</v>
      </c>
      <c r="B1064" s="888" t="s">
        <v>1580</v>
      </c>
      <c r="C1064" s="888" t="s">
        <v>2240</v>
      </c>
      <c r="D1064" s="888"/>
      <c r="E1064" s="893" t="str">
        <f>$E$194</f>
        <v>Concrete mix specification makes a big difference in carbon footprint. The mix specifications here can be used to discuss low-carbon mix options with your supplier.</v>
      </c>
      <c r="I1064" s="888"/>
      <c r="J1064" s="888"/>
      <c r="K1064" s="888"/>
      <c r="L1064" s="888"/>
      <c r="M1064" s="888"/>
      <c r="N1064" s="888"/>
      <c r="O1064" s="888"/>
      <c r="P1064" s="888"/>
      <c r="Q1064" s="888"/>
      <c r="R1064" s="888"/>
    </row>
    <row r="1065" spans="1:18" s="893" customFormat="1" x14ac:dyDescent="0.3">
      <c r="A1065" s="888" t="s">
        <v>2062</v>
      </c>
      <c r="B1065" s="888" t="s">
        <v>1580</v>
      </c>
      <c r="C1065" s="888" t="s">
        <v>2241</v>
      </c>
      <c r="D1065" s="888"/>
      <c r="E1065" s="893" t="str">
        <f>$E$199</f>
        <v>REBAR</v>
      </c>
      <c r="I1065" s="888"/>
      <c r="J1065" s="888"/>
      <c r="K1065" s="888"/>
      <c r="L1065" s="888"/>
      <c r="M1065" s="888"/>
      <c r="N1065" s="888"/>
      <c r="O1065" s="888"/>
      <c r="P1065" s="888"/>
      <c r="Q1065" s="888"/>
      <c r="R1065" s="888"/>
    </row>
    <row r="1066" spans="1:18" s="893" customFormat="1" x14ac:dyDescent="0.3">
      <c r="A1066" s="888" t="s">
        <v>2062</v>
      </c>
      <c r="B1066" s="888" t="s">
        <v>1580</v>
      </c>
      <c r="C1066" s="888" t="s">
        <v>2506</v>
      </c>
      <c r="D1066" s="888"/>
      <c r="E1066" s="893" t="s">
        <v>1674</v>
      </c>
      <c r="I1066" s="888"/>
      <c r="J1066" s="888"/>
      <c r="K1066" s="888"/>
      <c r="L1066" s="888"/>
      <c r="M1066" s="888"/>
      <c r="N1066" s="888"/>
      <c r="O1066" s="888"/>
      <c r="P1066" s="888"/>
      <c r="Q1066" s="888"/>
      <c r="R1066" s="888"/>
    </row>
    <row r="1067" spans="1:18" s="893" customFormat="1" x14ac:dyDescent="0.3">
      <c r="A1067" s="888" t="s">
        <v>2062</v>
      </c>
      <c r="B1067" s="888" t="s">
        <v>1580</v>
      </c>
      <c r="C1067" s="888" t="s">
        <v>2115</v>
      </c>
      <c r="D1067" s="888"/>
      <c r="E1067" s="893" t="str">
        <f>$E$201</f>
        <v>CONCRETE REINFORCING BAR</v>
      </c>
      <c r="I1067" s="888"/>
      <c r="J1067" s="888"/>
      <c r="K1067" s="888"/>
      <c r="L1067" s="888"/>
      <c r="M1067" s="888"/>
      <c r="N1067" s="888"/>
      <c r="O1067" s="888"/>
      <c r="P1067" s="888"/>
      <c r="Q1067" s="888"/>
      <c r="R1067" s="888"/>
    </row>
    <row r="1068" spans="1:18" s="893" customFormat="1" x14ac:dyDescent="0.3">
      <c r="A1068" s="888" t="s">
        <v>2062</v>
      </c>
      <c r="B1068" s="888" t="s">
        <v>1580</v>
      </c>
      <c r="C1068" s="888" t="s">
        <v>4296</v>
      </c>
      <c r="D1068" s="888"/>
      <c r="E1068" s="893" t="str">
        <f>$E$202</f>
        <v>Specify an overall rebar length.</v>
      </c>
      <c r="I1068" s="888"/>
      <c r="J1068" s="888"/>
      <c r="K1068" s="888"/>
      <c r="L1068" s="888"/>
      <c r="M1068" s="888"/>
      <c r="N1068" s="888"/>
      <c r="O1068" s="888"/>
      <c r="P1068" s="888"/>
      <c r="Q1068" s="888"/>
      <c r="R1068" s="888"/>
    </row>
    <row r="1069" spans="1:18" s="893" customFormat="1" x14ac:dyDescent="0.3">
      <c r="A1069" s="888" t="s">
        <v>2062</v>
      </c>
      <c r="B1069" s="888" t="s">
        <v>1580</v>
      </c>
      <c r="C1069" s="888" t="s">
        <v>2119</v>
      </c>
      <c r="D1069" s="888"/>
      <c r="E1069" s="893" t="str">
        <f>$E$206</f>
        <v>HELICAL PIERS</v>
      </c>
      <c r="I1069" s="888"/>
      <c r="J1069" s="888"/>
      <c r="K1069" s="888"/>
      <c r="L1069" s="888"/>
      <c r="M1069" s="888"/>
      <c r="N1069" s="888"/>
      <c r="O1069" s="888"/>
      <c r="P1069" s="888"/>
      <c r="Q1069" s="888"/>
      <c r="R1069" s="888"/>
    </row>
    <row r="1070" spans="1:18" s="893" customFormat="1" x14ac:dyDescent="0.3">
      <c r="A1070" s="888" t="s">
        <v>2062</v>
      </c>
      <c r="B1070" s="888" t="s">
        <v>1580</v>
      </c>
      <c r="C1070" s="888" t="s">
        <v>2242</v>
      </c>
      <c r="D1070" s="888"/>
      <c r="E1070" s="893" t="str">
        <f>$E$207</f>
        <v>TOTAL LENGTH OF ALL PIERS:</v>
      </c>
      <c r="I1070" s="888"/>
      <c r="J1070" s="888"/>
      <c r="K1070" s="888"/>
      <c r="L1070" s="888"/>
      <c r="M1070" s="888"/>
      <c r="N1070" s="888"/>
      <c r="O1070" s="888"/>
      <c r="P1070" s="888"/>
      <c r="Q1070" s="888"/>
      <c r="R1070" s="888"/>
    </row>
    <row r="1071" spans="1:18" s="893" customFormat="1" x14ac:dyDescent="0.3">
      <c r="A1071" s="888" t="s">
        <v>2062</v>
      </c>
      <c r="B1071" s="888" t="s">
        <v>1580</v>
      </c>
      <c r="C1071" s="888" t="s">
        <v>2243</v>
      </c>
      <c r="D1071" s="888"/>
      <c r="E1071" s="893" t="str">
        <f>$E$206</f>
        <v>HELICAL PIERS</v>
      </c>
      <c r="I1071" s="888"/>
      <c r="J1071" s="888"/>
      <c r="K1071" s="888"/>
      <c r="L1071" s="888"/>
      <c r="M1071" s="888"/>
      <c r="N1071" s="888"/>
      <c r="O1071" s="888"/>
      <c r="P1071" s="888"/>
      <c r="Q1071" s="888"/>
      <c r="R1071" s="888"/>
    </row>
    <row r="1072" spans="1:18" s="893" customFormat="1" x14ac:dyDescent="0.3">
      <c r="A1072" s="888" t="s">
        <v>2062</v>
      </c>
      <c r="B1072" s="888" t="s">
        <v>1580</v>
      </c>
      <c r="C1072" s="888" t="s">
        <v>2320</v>
      </c>
      <c r="D1072" s="888"/>
      <c r="E1072" s="893" t="str">
        <f>$E$209</f>
        <v>Specify the total length of all piers. Use % to adjust for different sized piers</v>
      </c>
      <c r="I1072" s="888"/>
      <c r="J1072" s="888"/>
      <c r="K1072" s="888"/>
      <c r="L1072" s="888"/>
      <c r="M1072" s="888"/>
      <c r="N1072" s="888"/>
      <c r="O1072" s="888"/>
      <c r="P1072" s="888"/>
      <c r="Q1072" s="888"/>
      <c r="R1072" s="888"/>
    </row>
    <row r="1073" spans="1:18" s="893" customFormat="1" x14ac:dyDescent="0.3">
      <c r="A1073" s="888" t="s">
        <v>2062</v>
      </c>
      <c r="B1073" s="888" t="s">
        <v>1580</v>
      </c>
      <c r="C1073" s="888" t="s">
        <v>3983</v>
      </c>
      <c r="D1073" s="888"/>
      <c r="E1073" s="893" t="s">
        <v>1578</v>
      </c>
      <c r="I1073" s="888"/>
      <c r="J1073" s="888"/>
      <c r="K1073" s="888"/>
      <c r="L1073" s="888"/>
      <c r="M1073" s="888"/>
      <c r="N1073" s="888"/>
      <c r="O1073" s="888"/>
      <c r="P1073" s="888"/>
      <c r="Q1073" s="888"/>
      <c r="R1073" s="888"/>
    </row>
    <row r="1074" spans="1:18" s="893" customFormat="1" x14ac:dyDescent="0.3">
      <c r="A1074" s="888" t="s">
        <v>2062</v>
      </c>
      <c r="B1074" s="888" t="s">
        <v>1580</v>
      </c>
      <c r="C1074" s="888" t="s">
        <v>3332</v>
      </c>
      <c r="D1074" s="888"/>
      <c r="E1074" s="893" t="s">
        <v>1570</v>
      </c>
      <c r="I1074" s="888"/>
      <c r="J1074" s="888"/>
      <c r="K1074" s="888"/>
      <c r="L1074" s="888"/>
      <c r="M1074" s="888"/>
      <c r="N1074" s="888"/>
      <c r="O1074" s="888"/>
      <c r="P1074" s="888"/>
      <c r="Q1074" s="888"/>
      <c r="R1074" s="888"/>
    </row>
    <row r="1075" spans="1:18" s="893" customFormat="1" x14ac:dyDescent="0.3">
      <c r="A1075" s="888" t="s">
        <v>2062</v>
      </c>
      <c r="B1075" s="888" t="s">
        <v>1580</v>
      </c>
      <c r="C1075" s="888" t="s">
        <v>2515</v>
      </c>
      <c r="D1075" s="888"/>
      <c r="E1075" s="888" t="str">
        <f>$E$189</f>
        <v>THICKNESS:</v>
      </c>
      <c r="I1075" s="888"/>
      <c r="J1075" s="888"/>
      <c r="K1075" s="888"/>
      <c r="L1075" s="888"/>
      <c r="M1075" s="888"/>
      <c r="N1075" s="888"/>
      <c r="O1075" s="888"/>
      <c r="P1075" s="888"/>
      <c r="Q1075" s="888"/>
      <c r="R1075" s="888"/>
    </row>
    <row r="1076" spans="1:18" s="893" customFormat="1" x14ac:dyDescent="0.3">
      <c r="A1076" s="888" t="s">
        <v>2062</v>
      </c>
      <c r="B1076" s="888" t="s">
        <v>1580</v>
      </c>
      <c r="C1076" s="888" t="s">
        <v>2147</v>
      </c>
      <c r="D1076" s="888"/>
      <c r="E1076" s="893" t="str">
        <f>$E$193</f>
        <v>CONCRETE – 25 MPa or less</v>
      </c>
      <c r="I1076" s="888"/>
      <c r="J1076" s="888"/>
      <c r="K1076" s="888"/>
      <c r="L1076" s="888"/>
      <c r="M1076" s="888"/>
      <c r="N1076" s="888"/>
      <c r="O1076" s="888"/>
      <c r="P1076" s="888"/>
      <c r="Q1076" s="888"/>
      <c r="R1076" s="888"/>
    </row>
    <row r="1077" spans="1:18" s="893" customFormat="1" x14ac:dyDescent="0.3">
      <c r="A1077" s="888" t="s">
        <v>2062</v>
      </c>
      <c r="B1077" s="888" t="s">
        <v>1580</v>
      </c>
      <c r="C1077" s="888" t="s">
        <v>2122</v>
      </c>
      <c r="D1077" s="888"/>
      <c r="E1077" s="893" t="str">
        <f>$E$194</f>
        <v>Concrete mix specification makes a big difference in carbon footprint. The mix specifications here can be used to discuss low-carbon mix options with your supplier.</v>
      </c>
      <c r="I1077" s="888"/>
      <c r="J1077" s="888"/>
      <c r="K1077" s="888"/>
      <c r="L1077" s="888"/>
      <c r="M1077" s="888"/>
      <c r="N1077" s="888"/>
      <c r="O1077" s="888"/>
      <c r="P1077" s="888"/>
      <c r="Q1077" s="888"/>
      <c r="R1077" s="888"/>
    </row>
    <row r="1078" spans="1:18" s="893" customFormat="1" x14ac:dyDescent="0.3">
      <c r="A1078" s="888" t="s">
        <v>2062</v>
      </c>
      <c r="B1078" s="888" t="s">
        <v>1580</v>
      </c>
      <c r="C1078" s="888" t="s">
        <v>7471</v>
      </c>
      <c r="D1078" s="888"/>
      <c r="E1078" s="893" t="str">
        <f>$E$195</f>
        <v>CONCRETE – 26-30 MPa</v>
      </c>
      <c r="I1078" s="888"/>
      <c r="J1078" s="888"/>
      <c r="K1078" s="888"/>
      <c r="L1078" s="888"/>
      <c r="M1078" s="888"/>
      <c r="N1078" s="888"/>
      <c r="O1078" s="888"/>
      <c r="P1078" s="888"/>
      <c r="Q1078" s="888"/>
      <c r="R1078" s="888"/>
    </row>
    <row r="1079" spans="1:18" s="893" customFormat="1" x14ac:dyDescent="0.3">
      <c r="A1079" s="888" t="s">
        <v>2062</v>
      </c>
      <c r="B1079" s="888" t="s">
        <v>1580</v>
      </c>
      <c r="C1079" s="888" t="s">
        <v>4342</v>
      </c>
      <c r="D1079" s="888"/>
      <c r="E1079" s="893" t="str">
        <f>$E$194</f>
        <v>Concrete mix specification makes a big difference in carbon footprint. The mix specifications here can be used to discuss low-carbon mix options with your supplier.</v>
      </c>
      <c r="I1079" s="888"/>
      <c r="J1079" s="888"/>
      <c r="K1079" s="888"/>
      <c r="L1079" s="888"/>
      <c r="M1079" s="888"/>
      <c r="N1079" s="888"/>
      <c r="O1079" s="888"/>
      <c r="P1079" s="888"/>
      <c r="Q1079" s="888"/>
      <c r="R1079" s="888"/>
    </row>
    <row r="1080" spans="1:18" s="893" customFormat="1" x14ac:dyDescent="0.3">
      <c r="A1080" s="888" t="s">
        <v>2062</v>
      </c>
      <c r="B1080" s="888" t="s">
        <v>1580</v>
      </c>
      <c r="C1080" s="888" t="s">
        <v>4377</v>
      </c>
      <c r="D1080" s="888"/>
      <c r="E1080" s="893" t="s">
        <v>1573</v>
      </c>
      <c r="I1080" s="888"/>
      <c r="J1080" s="888"/>
      <c r="K1080" s="888"/>
      <c r="L1080" s="888"/>
      <c r="M1080" s="888"/>
      <c r="N1080" s="888"/>
      <c r="O1080" s="888"/>
      <c r="P1080" s="888"/>
      <c r="Q1080" s="888"/>
      <c r="R1080" s="888"/>
    </row>
    <row r="1081" spans="1:18" s="893" customFormat="1" x14ac:dyDescent="0.3">
      <c r="A1081" s="888" t="s">
        <v>2062</v>
      </c>
      <c r="B1081" s="888" t="s">
        <v>1580</v>
      </c>
      <c r="C1081" s="888" t="s">
        <v>2528</v>
      </c>
      <c r="D1081" s="888"/>
      <c r="E1081" s="893" t="str">
        <f>$E$284</f>
        <v>CONCRETE MASONRY UNITS</v>
      </c>
      <c r="I1081" s="888"/>
      <c r="J1081" s="888"/>
      <c r="K1081" s="888"/>
      <c r="L1081" s="888"/>
      <c r="M1081" s="888"/>
      <c r="N1081" s="888"/>
      <c r="O1081" s="888"/>
      <c r="P1081" s="888"/>
      <c r="Q1081" s="888"/>
      <c r="R1081" s="888"/>
    </row>
    <row r="1082" spans="1:18" s="893" customFormat="1" x14ac:dyDescent="0.3">
      <c r="A1082" s="888" t="s">
        <v>2062</v>
      </c>
      <c r="B1082" s="888" t="s">
        <v>1580</v>
      </c>
      <c r="C1082" s="888" t="s">
        <v>4378</v>
      </c>
      <c r="D1082" s="888"/>
      <c r="E1082" s="893" t="s">
        <v>1746</v>
      </c>
      <c r="I1082" s="888"/>
      <c r="J1082" s="888"/>
      <c r="K1082" s="888"/>
      <c r="L1082" s="888"/>
      <c r="M1082" s="888"/>
      <c r="N1082" s="888"/>
      <c r="O1082" s="888"/>
      <c r="P1082" s="888"/>
      <c r="Q1082" s="888"/>
      <c r="R1082" s="888"/>
    </row>
    <row r="1083" spans="1:18" s="893" customFormat="1" x14ac:dyDescent="0.3">
      <c r="A1083" s="888" t="s">
        <v>2062</v>
      </c>
      <c r="B1083" s="888" t="s">
        <v>1580</v>
      </c>
      <c r="C1083" s="888" t="s">
        <v>2529</v>
      </c>
      <c r="D1083" s="888"/>
      <c r="E1083" s="893" t="s">
        <v>1745</v>
      </c>
      <c r="I1083" s="888"/>
      <c r="J1083" s="888"/>
      <c r="K1083" s="888"/>
      <c r="L1083" s="888"/>
      <c r="M1083" s="888"/>
      <c r="N1083" s="888"/>
      <c r="O1083" s="888"/>
      <c r="P1083" s="888"/>
      <c r="Q1083" s="888"/>
      <c r="R1083" s="888"/>
    </row>
    <row r="1084" spans="1:18" s="893" customFormat="1" x14ac:dyDescent="0.3">
      <c r="A1084" s="888" t="s">
        <v>2062</v>
      </c>
      <c r="B1084" s="888" t="s">
        <v>1580</v>
      </c>
      <c r="C1084" s="888" t="s">
        <v>4177</v>
      </c>
      <c r="D1084" s="888"/>
      <c r="E1084" s="893" t="s">
        <v>1750</v>
      </c>
      <c r="I1084" s="888"/>
      <c r="J1084" s="888"/>
      <c r="K1084" s="888"/>
      <c r="L1084" s="888"/>
      <c r="M1084" s="888"/>
      <c r="N1084" s="888"/>
      <c r="O1084" s="888"/>
      <c r="P1084" s="888"/>
      <c r="Q1084" s="888"/>
      <c r="R1084" s="888"/>
    </row>
    <row r="1085" spans="1:18" s="893" customFormat="1" x14ac:dyDescent="0.3">
      <c r="A1085" s="888" t="s">
        <v>2062</v>
      </c>
      <c r="B1085" s="888" t="s">
        <v>1580</v>
      </c>
      <c r="C1085" s="888" t="s">
        <v>4391</v>
      </c>
      <c r="D1085" s="888"/>
      <c r="E1085" s="893" t="s">
        <v>1747</v>
      </c>
      <c r="I1085" s="888"/>
      <c r="J1085" s="888"/>
      <c r="K1085" s="888"/>
      <c r="L1085" s="888"/>
      <c r="M1085" s="888"/>
      <c r="N1085" s="888"/>
      <c r="O1085" s="888"/>
      <c r="P1085" s="888"/>
      <c r="Q1085" s="888"/>
      <c r="R1085" s="888"/>
    </row>
    <row r="1086" spans="1:18" s="893" customFormat="1" x14ac:dyDescent="0.3">
      <c r="A1086" s="888" t="s">
        <v>2062</v>
      </c>
      <c r="B1086" s="888" t="s">
        <v>1580</v>
      </c>
      <c r="C1086" s="888" t="s">
        <v>2155</v>
      </c>
      <c r="D1086" s="888"/>
      <c r="E1086" s="893" t="str">
        <f>$E$388</f>
        <v>MASS TIMBER</v>
      </c>
      <c r="I1086" s="888"/>
      <c r="J1086" s="888"/>
      <c r="K1086" s="888"/>
      <c r="L1086" s="888"/>
      <c r="M1086" s="888"/>
      <c r="N1086" s="888"/>
      <c r="O1086" s="888"/>
      <c r="P1086" s="888"/>
      <c r="Q1086" s="888"/>
      <c r="R1086" s="888"/>
    </row>
    <row r="1087" spans="1:18" s="893" customFormat="1" x14ac:dyDescent="0.3">
      <c r="A1087" s="888" t="s">
        <v>2062</v>
      </c>
      <c r="B1087" s="888" t="s">
        <v>1580</v>
      </c>
      <c r="C1087" s="888" t="s">
        <v>4393</v>
      </c>
      <c r="D1087" s="888"/>
      <c r="E1087" s="893" t="str">
        <f>$E$389</f>
        <v>Use % function if multiple types of mass timber will be used.</v>
      </c>
      <c r="I1087" s="888"/>
      <c r="J1087" s="888"/>
      <c r="K1087" s="888"/>
      <c r="L1087" s="888"/>
      <c r="M1087" s="888"/>
      <c r="N1087" s="888"/>
      <c r="O1087" s="888"/>
      <c r="P1087" s="888"/>
      <c r="Q1087" s="888"/>
      <c r="R1087" s="888"/>
    </row>
    <row r="1088" spans="1:18" s="893" customFormat="1" x14ac:dyDescent="0.3">
      <c r="A1088" s="888" t="s">
        <v>2062</v>
      </c>
      <c r="B1088" s="888" t="s">
        <v>1580</v>
      </c>
      <c r="C1088" s="888" t="s">
        <v>2156</v>
      </c>
      <c r="D1088" s="888"/>
      <c r="E1088" s="893" t="str">
        <f>$E$390</f>
        <v>Heavy Timber Framing - AVERAGE</v>
      </c>
      <c r="I1088" s="888"/>
      <c r="J1088" s="888"/>
      <c r="K1088" s="888"/>
      <c r="L1088" s="888"/>
      <c r="M1088" s="888"/>
      <c r="N1088" s="888"/>
      <c r="O1088" s="888"/>
      <c r="P1088" s="888"/>
      <c r="Q1088" s="888"/>
      <c r="R1088" s="888"/>
    </row>
    <row r="1089" spans="1:18" s="893" customFormat="1" x14ac:dyDescent="0.3">
      <c r="A1089" s="888" t="s">
        <v>2062</v>
      </c>
      <c r="B1089" s="888" t="s">
        <v>1580</v>
      </c>
      <c r="C1089" s="888" t="s">
        <v>3991</v>
      </c>
      <c r="D1089" s="888"/>
      <c r="E1089" s="893" t="str">
        <f>$E$391</f>
        <v>HEAVY STEEL COMPONENTS</v>
      </c>
      <c r="I1089" s="888"/>
      <c r="J1089" s="888"/>
      <c r="K1089" s="888"/>
      <c r="L1089" s="888"/>
      <c r="M1089" s="888"/>
      <c r="N1089" s="888"/>
      <c r="O1089" s="888"/>
      <c r="P1089" s="888"/>
      <c r="Q1089" s="888"/>
      <c r="R1089" s="888"/>
    </row>
    <row r="1090" spans="1:18" s="893" customFormat="1" x14ac:dyDescent="0.3">
      <c r="A1090" s="888" t="s">
        <v>2062</v>
      </c>
      <c r="B1090" s="888" t="s">
        <v>1580</v>
      </c>
      <c r="C1090" s="888" t="s">
        <v>7472</v>
      </c>
      <c r="D1090" s="888"/>
      <c r="E1090" s="893" t="str">
        <f>$E$392</f>
        <v>STEEL POSTS &amp; BEAMS</v>
      </c>
      <c r="I1090" s="888"/>
      <c r="J1090" s="888"/>
      <c r="K1090" s="888"/>
      <c r="L1090" s="888"/>
      <c r="M1090" s="888"/>
      <c r="N1090" s="888"/>
      <c r="O1090" s="888"/>
      <c r="P1090" s="888"/>
      <c r="Q1090" s="888"/>
      <c r="R1090" s="888"/>
    </row>
    <row r="1091" spans="1:18" s="893" customFormat="1" x14ac:dyDescent="0.3">
      <c r="A1091" s="888" t="s">
        <v>2062</v>
      </c>
      <c r="B1091" s="888" t="s">
        <v>1580</v>
      </c>
      <c r="C1091" s="957" t="s">
        <v>4503</v>
      </c>
      <c r="D1091" s="888"/>
      <c r="E1091" s="929" t="str">
        <f>$E$395</f>
        <v>Choose steel beam section menu and input linear metres for each component type, as values do not come from User Input Sheet.</v>
      </c>
      <c r="I1091" s="888"/>
      <c r="J1091" s="888"/>
      <c r="K1091" s="888"/>
      <c r="L1091" s="888"/>
      <c r="M1091" s="888"/>
      <c r="N1091" s="888"/>
      <c r="O1091" s="888"/>
      <c r="P1091" s="888"/>
      <c r="Q1091" s="888"/>
      <c r="R1091" s="888"/>
    </row>
    <row r="1092" spans="1:18" s="893" customFormat="1" x14ac:dyDescent="0.3">
      <c r="A1092" s="888" t="s">
        <v>2062</v>
      </c>
      <c r="B1092" s="916" t="s">
        <v>5111</v>
      </c>
      <c r="C1092" s="888" t="s">
        <v>2559</v>
      </c>
      <c r="D1092" s="888"/>
      <c r="E1092" s="893" t="str">
        <f>$E$394</f>
        <v>Steel Beam W Section – AVERAGE</v>
      </c>
      <c r="I1092" s="888"/>
      <c r="J1092" s="888"/>
      <c r="K1092" s="888"/>
      <c r="L1092" s="888"/>
      <c r="M1092" s="888"/>
      <c r="N1092" s="888"/>
      <c r="O1092" s="888"/>
      <c r="P1092" s="888"/>
      <c r="Q1092" s="888"/>
      <c r="R1092" s="888"/>
    </row>
    <row r="1093" spans="1:18" s="893" customFormat="1" x14ac:dyDescent="0.3">
      <c r="A1093" s="888" t="s">
        <v>2062</v>
      </c>
      <c r="B1093" s="888" t="s">
        <v>1580</v>
      </c>
      <c r="C1093" s="888" t="s">
        <v>3968</v>
      </c>
      <c r="D1093" s="888"/>
      <c r="E1093" s="893" t="s">
        <v>1749</v>
      </c>
      <c r="I1093" s="888"/>
      <c r="J1093" s="888"/>
      <c r="K1093" s="888"/>
      <c r="L1093" s="888"/>
      <c r="M1093" s="888"/>
      <c r="N1093" s="888"/>
      <c r="O1093" s="888"/>
      <c r="P1093" s="888"/>
      <c r="Q1093" s="888"/>
      <c r="R1093" s="888"/>
    </row>
    <row r="1094" spans="1:18" s="893" customFormat="1" x14ac:dyDescent="0.3">
      <c r="A1094" s="888" t="s">
        <v>2062</v>
      </c>
      <c r="B1094" s="888" t="s">
        <v>1580</v>
      </c>
      <c r="C1094" s="888" t="s">
        <v>4510</v>
      </c>
      <c r="D1094" s="888"/>
      <c r="E1094" s="893" t="str">
        <f>$E$326</f>
        <v>WOOD FRAME CONSTRUCTION</v>
      </c>
      <c r="I1094" s="888"/>
      <c r="J1094" s="888"/>
      <c r="K1094" s="888"/>
      <c r="L1094" s="888"/>
      <c r="M1094" s="888"/>
      <c r="N1094" s="888"/>
      <c r="O1094" s="888"/>
      <c r="P1094" s="888"/>
      <c r="Q1094" s="888"/>
      <c r="R1094" s="888"/>
    </row>
    <row r="1095" spans="1:18" s="893" customFormat="1" x14ac:dyDescent="0.3">
      <c r="A1095" s="888" t="s">
        <v>2062</v>
      </c>
      <c r="B1095" s="888" t="s">
        <v>1580</v>
      </c>
      <c r="C1095" s="888" t="s">
        <v>2581</v>
      </c>
      <c r="D1095" s="888"/>
      <c r="E1095" s="893" t="str">
        <f>$E$325</f>
        <v>FRAMING SPACING:</v>
      </c>
      <c r="I1095" s="888"/>
      <c r="J1095" s="888"/>
      <c r="K1095" s="888"/>
      <c r="L1095" s="888"/>
      <c r="M1095" s="888"/>
      <c r="N1095" s="888"/>
      <c r="O1095" s="888"/>
      <c r="P1095" s="888"/>
      <c r="Q1095" s="888"/>
      <c r="R1095" s="888"/>
    </row>
    <row r="1096" spans="1:18" s="893" customFormat="1" x14ac:dyDescent="0.3">
      <c r="A1096" s="888" t="s">
        <v>2062</v>
      </c>
      <c r="B1096" s="958" t="s">
        <v>5111</v>
      </c>
      <c r="C1096" s="888" t="s">
        <v>2580</v>
      </c>
      <c r="D1096" s="888"/>
      <c r="E1096" s="893" t="str">
        <f>$E$326</f>
        <v>WOOD FRAME CONSTRUCTION</v>
      </c>
      <c r="I1096" s="888"/>
      <c r="J1096" s="888"/>
      <c r="K1096" s="888"/>
      <c r="L1096" s="888"/>
      <c r="M1096" s="888"/>
      <c r="N1096" s="888"/>
      <c r="O1096" s="888"/>
      <c r="P1096" s="888"/>
      <c r="Q1096" s="888"/>
      <c r="R1096" s="888"/>
    </row>
    <row r="1097" spans="1:18" s="893" customFormat="1" x14ac:dyDescent="0.3">
      <c r="A1097" s="888" t="s">
        <v>2062</v>
      </c>
      <c r="B1097" s="958" t="s">
        <v>5111</v>
      </c>
      <c r="C1097" s="888" t="s">
        <v>2166</v>
      </c>
      <c r="D1097" s="888"/>
      <c r="E1097" s="893" t="str">
        <f>$E$327</f>
        <v>Double 2x4</v>
      </c>
      <c r="I1097" s="888"/>
      <c r="J1097" s="888"/>
      <c r="K1097" s="888"/>
      <c r="L1097" s="888"/>
      <c r="M1097" s="888"/>
      <c r="N1097" s="888"/>
      <c r="O1097" s="888"/>
      <c r="P1097" s="888"/>
      <c r="Q1097" s="888"/>
      <c r="R1097" s="888"/>
    </row>
    <row r="1098" spans="1:18" s="893" customFormat="1" x14ac:dyDescent="0.3">
      <c r="A1098" s="888" t="s">
        <v>2062</v>
      </c>
      <c r="B1098" s="888" t="s">
        <v>1580</v>
      </c>
      <c r="C1098" s="888" t="s">
        <v>7470</v>
      </c>
      <c r="D1098" s="888"/>
      <c r="E1098" s="924" t="str">
        <f>$E$328</f>
        <v>2x4 WOOD FRAME CONSTRUCTION</v>
      </c>
      <c r="I1098" s="888"/>
      <c r="J1098" s="888"/>
      <c r="K1098" s="888"/>
      <c r="L1098" s="888"/>
      <c r="M1098" s="888"/>
      <c r="N1098" s="888"/>
      <c r="O1098" s="888"/>
      <c r="P1098" s="888"/>
      <c r="Q1098" s="888"/>
      <c r="R1098" s="888"/>
    </row>
    <row r="1099" spans="1:18" s="893" customFormat="1" x14ac:dyDescent="0.3">
      <c r="A1099" s="888" t="s">
        <v>2062</v>
      </c>
      <c r="B1099" s="888" t="s">
        <v>1580</v>
      </c>
      <c r="C1099" s="888" t="s">
        <v>2192</v>
      </c>
      <c r="D1099" s="888"/>
      <c r="E1099" s="924" t="str">
        <f>$E$329</f>
        <v>2x6 WOOD FRAME CONSTRUCTION</v>
      </c>
      <c r="I1099" s="888"/>
      <c r="J1099" s="888"/>
      <c r="K1099" s="888"/>
      <c r="L1099" s="888"/>
      <c r="M1099" s="888"/>
      <c r="N1099" s="888"/>
      <c r="O1099" s="888"/>
      <c r="P1099" s="888"/>
      <c r="Q1099" s="888"/>
      <c r="R1099" s="888"/>
    </row>
    <row r="1100" spans="1:18" s="893" customFormat="1" x14ac:dyDescent="0.3">
      <c r="A1100" s="888" t="s">
        <v>2062</v>
      </c>
      <c r="B1100" s="888" t="s">
        <v>1580</v>
      </c>
      <c r="C1100" s="888" t="s">
        <v>2595</v>
      </c>
      <c r="D1100" s="888"/>
      <c r="E1100" s="924" t="str">
        <f>$E$330</f>
        <v>2x8 WOOD FRAME CONSTRUCTION</v>
      </c>
      <c r="I1100" s="888"/>
      <c r="J1100" s="888"/>
      <c r="K1100" s="888"/>
      <c r="L1100" s="888"/>
      <c r="M1100" s="888"/>
      <c r="N1100" s="888"/>
      <c r="O1100" s="888"/>
      <c r="P1100" s="888"/>
      <c r="Q1100" s="888"/>
      <c r="R1100" s="888"/>
    </row>
    <row r="1101" spans="1:18" s="893" customFormat="1" x14ac:dyDescent="0.3">
      <c r="A1101" s="888" t="s">
        <v>2062</v>
      </c>
      <c r="B1101" s="888" t="s">
        <v>1580</v>
      </c>
      <c r="C1101" s="888" t="s">
        <v>7379</v>
      </c>
      <c r="D1101" s="888"/>
      <c r="E1101" s="924" t="str">
        <f>$E$331</f>
        <v>Double 2x4 WOOD FRAME CONSTRUCTION</v>
      </c>
      <c r="I1101" s="888"/>
      <c r="J1101" s="888"/>
      <c r="K1101" s="888"/>
      <c r="L1101" s="888"/>
      <c r="M1101" s="888"/>
      <c r="N1101" s="888"/>
      <c r="O1101" s="888"/>
      <c r="P1101" s="888"/>
      <c r="Q1101" s="888"/>
      <c r="R1101" s="888"/>
    </row>
    <row r="1102" spans="1:18" s="893" customFormat="1" x14ac:dyDescent="0.3">
      <c r="A1102" s="888" t="s">
        <v>2062</v>
      </c>
      <c r="B1102" s="888" t="s">
        <v>1580</v>
      </c>
      <c r="C1102" s="888" t="s">
        <v>4582</v>
      </c>
      <c r="D1102" s="888"/>
      <c r="E1102" s="893" t="str">
        <f>$E$782</f>
        <v>STEEL FRAME CONSTRUCTION</v>
      </c>
      <c r="I1102" s="888"/>
      <c r="J1102" s="888"/>
      <c r="K1102" s="888"/>
      <c r="L1102" s="888"/>
      <c r="M1102" s="888"/>
      <c r="N1102" s="888"/>
      <c r="O1102" s="888"/>
      <c r="P1102" s="888"/>
      <c r="Q1102" s="888"/>
      <c r="R1102" s="888"/>
    </row>
    <row r="1103" spans="1:18" s="893" customFormat="1" x14ac:dyDescent="0.3">
      <c r="A1103" s="888" t="s">
        <v>2062</v>
      </c>
      <c r="B1103" s="888" t="s">
        <v>1580</v>
      </c>
      <c r="C1103" s="888" t="s">
        <v>2622</v>
      </c>
      <c r="D1103" s="888"/>
      <c r="E1103" s="893" t="str">
        <f>$E$325</f>
        <v>FRAMING SPACING:</v>
      </c>
      <c r="I1103" s="888"/>
      <c r="J1103" s="888"/>
      <c r="K1103" s="888"/>
      <c r="L1103" s="888"/>
      <c r="M1103" s="888"/>
      <c r="N1103" s="888"/>
      <c r="O1103" s="888"/>
      <c r="P1103" s="888"/>
      <c r="Q1103" s="888"/>
      <c r="R1103" s="888"/>
    </row>
    <row r="1104" spans="1:18" s="893" customFormat="1" x14ac:dyDescent="0.3">
      <c r="A1104" s="888" t="s">
        <v>2062</v>
      </c>
      <c r="B1104" s="888" t="s">
        <v>1580</v>
      </c>
      <c r="C1104" s="888" t="s">
        <v>2623</v>
      </c>
      <c r="D1104" s="888"/>
      <c r="E1104" s="893" t="str">
        <f>$E$429</f>
        <v>STEEL FRAMING, 2x6</v>
      </c>
      <c r="I1104" s="888"/>
      <c r="J1104" s="888"/>
      <c r="K1104" s="888"/>
      <c r="L1104" s="888"/>
      <c r="M1104" s="888"/>
      <c r="N1104" s="888"/>
      <c r="O1104" s="888"/>
      <c r="P1104" s="888"/>
      <c r="Q1104" s="888"/>
      <c r="R1104" s="888"/>
    </row>
    <row r="1105" spans="1:18" s="893" customFormat="1" x14ac:dyDescent="0.3">
      <c r="A1105" s="888" t="s">
        <v>2062</v>
      </c>
      <c r="B1105" s="888" t="s">
        <v>1580</v>
      </c>
      <c r="C1105" s="888" t="s">
        <v>3996</v>
      </c>
      <c r="D1105" s="888"/>
      <c r="E1105" s="893" t="str">
        <f>$E$582</f>
        <v>Use % function to adjust for other gauges of steel studs.</v>
      </c>
      <c r="I1105" s="888"/>
      <c r="J1105" s="888"/>
      <c r="K1105" s="888"/>
      <c r="L1105" s="888"/>
      <c r="M1105" s="888"/>
      <c r="N1105" s="888"/>
      <c r="O1105" s="888"/>
      <c r="P1105" s="888"/>
      <c r="Q1105" s="888"/>
      <c r="R1105" s="888"/>
    </row>
    <row r="1106" spans="1:18" s="893" customFormat="1" x14ac:dyDescent="0.3">
      <c r="A1106" s="888" t="s">
        <v>2062</v>
      </c>
      <c r="B1106" s="888" t="s">
        <v>1580</v>
      </c>
      <c r="C1106" s="888" t="s">
        <v>2627</v>
      </c>
      <c r="D1106" s="888"/>
      <c r="E1106" s="893" t="str">
        <f>$E$431</f>
        <v>Steel Framing - Load bearing - AVERAGE</v>
      </c>
      <c r="I1106" s="888"/>
      <c r="J1106" s="888"/>
      <c r="K1106" s="888"/>
      <c r="L1106" s="888"/>
      <c r="M1106" s="888"/>
      <c r="N1106" s="888"/>
      <c r="O1106" s="888"/>
      <c r="P1106" s="888"/>
      <c r="Q1106" s="888"/>
      <c r="R1106" s="888"/>
    </row>
    <row r="1107" spans="1:18" s="893" customFormat="1" x14ac:dyDescent="0.3">
      <c r="A1107" s="888" t="s">
        <v>2062</v>
      </c>
      <c r="B1107" s="888" t="s">
        <v>1580</v>
      </c>
      <c r="C1107" s="888" t="s">
        <v>7473</v>
      </c>
      <c r="D1107" s="888"/>
      <c r="E1107" s="893" t="str">
        <f>$E$334</f>
        <v>STEEL FRAMING, 2x4</v>
      </c>
      <c r="I1107" s="888"/>
      <c r="J1107" s="888"/>
      <c r="K1107" s="888"/>
      <c r="L1107" s="888"/>
      <c r="M1107" s="888"/>
      <c r="N1107" s="888"/>
      <c r="O1107" s="888"/>
      <c r="P1107" s="888"/>
      <c r="Q1107" s="888"/>
      <c r="R1107" s="888"/>
    </row>
    <row r="1108" spans="1:18" s="893" customFormat="1" x14ac:dyDescent="0.3">
      <c r="A1108" s="888" t="s">
        <v>2062</v>
      </c>
      <c r="B1108" s="888" t="s">
        <v>1580</v>
      </c>
      <c r="C1108" s="888" t="s">
        <v>2631</v>
      </c>
      <c r="D1108" s="888"/>
      <c r="E1108" s="893" t="str">
        <f>$E$579</f>
        <v>Steel Framing - Interior Walls - AVERAGE</v>
      </c>
      <c r="I1108" s="888"/>
      <c r="J1108" s="888"/>
      <c r="K1108" s="888"/>
      <c r="L1108" s="888"/>
      <c r="M1108" s="888"/>
      <c r="N1108" s="888"/>
      <c r="O1108" s="888"/>
      <c r="P1108" s="888"/>
      <c r="Q1108" s="888"/>
      <c r="R1108" s="888"/>
    </row>
    <row r="1109" spans="1:18" s="893" customFormat="1" x14ac:dyDescent="0.3">
      <c r="A1109" s="888" t="s">
        <v>2062</v>
      </c>
      <c r="B1109" s="888" t="s">
        <v>1580</v>
      </c>
      <c r="C1109" s="888" t="s">
        <v>4588</v>
      </c>
      <c r="D1109" s="888"/>
      <c r="E1109" s="893" t="str">
        <f>$E$580</f>
        <v>Use % function to adjust for different gauges of steel studs.</v>
      </c>
      <c r="I1109" s="888"/>
      <c r="J1109" s="888"/>
      <c r="K1109" s="888"/>
      <c r="L1109" s="888"/>
      <c r="M1109" s="888"/>
      <c r="N1109" s="888"/>
      <c r="O1109" s="888"/>
      <c r="P1109" s="888"/>
      <c r="Q1109" s="888"/>
      <c r="R1109" s="888"/>
    </row>
    <row r="1110" spans="1:18" s="893" customFormat="1" x14ac:dyDescent="0.3">
      <c r="A1110" s="888" t="s">
        <v>2062</v>
      </c>
      <c r="B1110" s="888" t="s">
        <v>1580</v>
      </c>
      <c r="C1110" s="888" t="s">
        <v>2262</v>
      </c>
      <c r="D1110" s="888"/>
      <c r="E1110" s="893" t="str">
        <f>$E$450</f>
        <v>STRUCTURAL SHEATHING</v>
      </c>
      <c r="I1110" s="888"/>
      <c r="J1110" s="888"/>
      <c r="K1110" s="888"/>
      <c r="L1110" s="888"/>
      <c r="M1110" s="888"/>
      <c r="N1110" s="888"/>
      <c r="O1110" s="888"/>
      <c r="P1110" s="888"/>
      <c r="Q1110" s="888"/>
      <c r="R1110" s="888"/>
    </row>
    <row r="1111" spans="1:18" s="893" customFormat="1" x14ac:dyDescent="0.3">
      <c r="A1111" s="888" t="s">
        <v>2062</v>
      </c>
      <c r="B1111" s="888" t="s">
        <v>1580</v>
      </c>
      <c r="C1111" s="888" t="s">
        <v>2640</v>
      </c>
      <c r="D1111" s="888"/>
      <c r="E1111" s="893" t="str">
        <f>$E$451</f>
        <v>ORIENTED STRAND BOARD</v>
      </c>
      <c r="I1111" s="888"/>
      <c r="J1111" s="888"/>
      <c r="K1111" s="888"/>
      <c r="L1111" s="888"/>
      <c r="M1111" s="888"/>
      <c r="N1111" s="888"/>
      <c r="O1111" s="888"/>
      <c r="P1111" s="888"/>
      <c r="Q1111" s="888"/>
      <c r="R1111" s="888"/>
    </row>
    <row r="1112" spans="1:18" s="893" customFormat="1" x14ac:dyDescent="0.3">
      <c r="A1112" s="888" t="s">
        <v>2062</v>
      </c>
      <c r="B1112" s="888" t="s">
        <v>1580</v>
      </c>
      <c r="C1112" s="957" t="s">
        <v>2654</v>
      </c>
      <c r="D1112" s="888"/>
      <c r="E1112" s="929" t="str">
        <f>$E$452</f>
        <v>OSB SHEATHING &amp; BARRIER SYSTEM</v>
      </c>
      <c r="I1112" s="888"/>
      <c r="J1112" s="888"/>
      <c r="K1112" s="888"/>
      <c r="L1112" s="888"/>
      <c r="M1112" s="888"/>
      <c r="N1112" s="888"/>
      <c r="O1112" s="888"/>
      <c r="P1112" s="888"/>
      <c r="Q1112" s="888"/>
      <c r="R1112" s="888"/>
    </row>
    <row r="1113" spans="1:18" s="893" customFormat="1" x14ac:dyDescent="0.3">
      <c r="A1113" s="888" t="s">
        <v>2062</v>
      </c>
      <c r="B1113" s="888" t="s">
        <v>1580</v>
      </c>
      <c r="C1113" s="888" t="s">
        <v>7468</v>
      </c>
      <c r="D1113" s="888"/>
      <c r="E1113" s="893" t="str">
        <f>$E$453</f>
        <v>PLYWOOD</v>
      </c>
      <c r="I1113" s="888"/>
      <c r="J1113" s="888"/>
      <c r="K1113" s="888"/>
      <c r="L1113" s="888"/>
      <c r="M1113" s="888"/>
      <c r="N1113" s="888"/>
      <c r="O1113" s="888"/>
      <c r="P1113" s="888"/>
      <c r="Q1113" s="888"/>
      <c r="R1113" s="888"/>
    </row>
    <row r="1114" spans="1:18" s="893" customFormat="1" x14ac:dyDescent="0.3">
      <c r="A1114" s="888" t="s">
        <v>2062</v>
      </c>
      <c r="B1114" s="888" t="s">
        <v>1580</v>
      </c>
      <c r="C1114" s="888" t="s">
        <v>2667</v>
      </c>
      <c r="D1114" s="888"/>
      <c r="E1114" s="893" t="str">
        <f>$E$454</f>
        <v>GYPSUM STRUCTURAL SHEATHING</v>
      </c>
      <c r="I1114" s="888"/>
      <c r="J1114" s="888"/>
      <c r="K1114" s="888"/>
      <c r="L1114" s="888"/>
      <c r="M1114" s="888"/>
      <c r="N1114" s="888"/>
      <c r="O1114" s="888"/>
      <c r="P1114" s="888"/>
      <c r="Q1114" s="888"/>
      <c r="R1114" s="888"/>
    </row>
    <row r="1115" spans="1:18" s="893" customFormat="1" x14ac:dyDescent="0.3">
      <c r="A1115" s="888" t="s">
        <v>2062</v>
      </c>
      <c r="B1115" s="888" t="s">
        <v>1580</v>
      </c>
      <c r="C1115" s="888" t="s">
        <v>4884</v>
      </c>
      <c r="D1115" s="888"/>
      <c r="E1115" s="893" t="s">
        <v>1574</v>
      </c>
      <c r="I1115" s="888"/>
      <c r="J1115" s="888"/>
      <c r="K1115" s="888"/>
      <c r="L1115" s="888"/>
      <c r="M1115" s="888"/>
      <c r="N1115" s="888"/>
      <c r="O1115" s="888"/>
      <c r="P1115" s="888"/>
      <c r="Q1115" s="888"/>
      <c r="R1115" s="888"/>
    </row>
    <row r="1116" spans="1:18" s="893" customFormat="1" x14ac:dyDescent="0.3">
      <c r="A1116" s="888" t="s">
        <v>2062</v>
      </c>
      <c r="B1116" s="888" t="s">
        <v>1580</v>
      </c>
      <c r="C1116" s="888" t="s">
        <v>2676</v>
      </c>
      <c r="D1116" s="888"/>
      <c r="E1116" s="927" t="s">
        <v>3442</v>
      </c>
      <c r="I1116" s="888"/>
      <c r="J1116" s="888"/>
      <c r="K1116" s="888"/>
      <c r="L1116" s="888"/>
      <c r="M1116" s="888"/>
      <c r="N1116" s="888"/>
      <c r="O1116" s="888"/>
      <c r="P1116" s="888"/>
      <c r="Q1116" s="888"/>
      <c r="R1116" s="888"/>
    </row>
    <row r="1117" spans="1:18" s="893" customFormat="1" x14ac:dyDescent="0.3">
      <c r="A1117" s="888" t="s">
        <v>2062</v>
      </c>
      <c r="B1117" s="888" t="s">
        <v>1580</v>
      </c>
      <c r="C1117" s="888" t="s">
        <v>2679</v>
      </c>
      <c r="D1117" s="888"/>
      <c r="E1117" s="893" t="s">
        <v>1367</v>
      </c>
      <c r="I1117" s="888"/>
      <c r="J1117" s="888"/>
      <c r="K1117" s="888"/>
      <c r="L1117" s="888"/>
      <c r="M1117" s="888"/>
      <c r="N1117" s="888"/>
      <c r="O1117" s="888"/>
      <c r="P1117" s="888"/>
      <c r="Q1117" s="888"/>
      <c r="R1117" s="888"/>
    </row>
    <row r="1118" spans="1:18" s="893" customFormat="1" x14ac:dyDescent="0.3">
      <c r="A1118" s="888" t="s">
        <v>2062</v>
      </c>
      <c r="B1118" s="888" t="s">
        <v>1580</v>
      </c>
      <c r="C1118" s="888" t="s">
        <v>4887</v>
      </c>
      <c r="D1118" s="888"/>
      <c r="E1118" s="893" t="str">
        <f>$E$588</f>
        <v>Use % function to adjust for other thicknesses of CMU.</v>
      </c>
      <c r="I1118" s="888"/>
      <c r="J1118" s="888"/>
      <c r="K1118" s="888"/>
      <c r="L1118" s="888"/>
      <c r="M1118" s="888"/>
      <c r="N1118" s="888"/>
      <c r="O1118" s="888"/>
      <c r="P1118" s="888"/>
      <c r="Q1118" s="888"/>
      <c r="R1118" s="888"/>
    </row>
    <row r="1119" spans="1:18" s="893" customFormat="1" x14ac:dyDescent="0.3">
      <c r="A1119" s="888" t="s">
        <v>2062</v>
      </c>
      <c r="B1119" s="888" t="s">
        <v>1580</v>
      </c>
      <c r="C1119" s="888" t="s">
        <v>3997</v>
      </c>
      <c r="D1119" s="888"/>
      <c r="E1119" s="893" t="s">
        <v>1681</v>
      </c>
      <c r="I1119" s="888"/>
      <c r="J1119" s="888"/>
      <c r="K1119" s="888"/>
      <c r="L1119" s="888"/>
      <c r="M1119" s="888"/>
      <c r="N1119" s="888"/>
      <c r="O1119" s="888"/>
      <c r="P1119" s="888"/>
      <c r="Q1119" s="888"/>
      <c r="R1119" s="888"/>
    </row>
    <row r="1120" spans="1:18" s="893" customFormat="1" x14ac:dyDescent="0.3">
      <c r="A1120" s="888" t="s">
        <v>2062</v>
      </c>
      <c r="B1120" s="888" t="s">
        <v>1580</v>
      </c>
      <c r="C1120" s="888" t="s">
        <v>7474</v>
      </c>
      <c r="D1120" s="888"/>
      <c r="E1120" s="893" t="s">
        <v>1686</v>
      </c>
      <c r="I1120" s="888"/>
      <c r="J1120" s="888"/>
      <c r="K1120" s="888"/>
      <c r="L1120" s="888"/>
      <c r="M1120" s="888"/>
      <c r="N1120" s="888"/>
      <c r="O1120" s="888"/>
      <c r="P1120" s="888"/>
      <c r="Q1120" s="888"/>
      <c r="R1120" s="888"/>
    </row>
    <row r="1121" spans="1:18" s="893" customFormat="1" x14ac:dyDescent="0.3">
      <c r="A1121" s="888" t="s">
        <v>2062</v>
      </c>
      <c r="B1121" s="888" t="s">
        <v>1580</v>
      </c>
      <c r="C1121" s="888" t="s">
        <v>7475</v>
      </c>
      <c r="D1121" s="888"/>
      <c r="E1121" s="893" t="str">
        <f>$E$339</f>
        <v>FIBERGLASS BATT</v>
      </c>
      <c r="I1121" s="888"/>
      <c r="J1121" s="888"/>
      <c r="K1121" s="888"/>
      <c r="L1121" s="888"/>
      <c r="M1121" s="888"/>
      <c r="N1121" s="888"/>
      <c r="O1121" s="888"/>
      <c r="P1121" s="888"/>
      <c r="Q1121" s="888"/>
      <c r="R1121" s="888"/>
    </row>
    <row r="1122" spans="1:18" s="893" customFormat="1" x14ac:dyDescent="0.3">
      <c r="A1122" s="888" t="s">
        <v>2062</v>
      </c>
      <c r="B1122" s="888" t="s">
        <v>1580</v>
      </c>
      <c r="C1122" s="888" t="s">
        <v>7476</v>
      </c>
      <c r="D1122" s="888"/>
      <c r="E1122" s="893" t="str">
        <f>$E$469</f>
        <v>Fiberglass batt - AVERAGE</v>
      </c>
      <c r="I1122" s="888"/>
      <c r="J1122" s="888"/>
      <c r="K1122" s="888"/>
      <c r="L1122" s="888"/>
      <c r="M1122" s="888"/>
      <c r="N1122" s="888"/>
      <c r="O1122" s="888"/>
      <c r="P1122" s="888"/>
      <c r="Q1122" s="888"/>
      <c r="R1122" s="888"/>
    </row>
    <row r="1123" spans="1:18" s="893" customFormat="1" x14ac:dyDescent="0.3">
      <c r="A1123" s="888" t="s">
        <v>2062</v>
      </c>
      <c r="B1123" s="888" t="s">
        <v>1580</v>
      </c>
      <c r="C1123" s="888" t="s">
        <v>2692</v>
      </c>
      <c r="D1123" s="888"/>
      <c r="E1123" s="893" t="str">
        <f>$E$470</f>
        <v>FIBERGLASS BLOWN-IN</v>
      </c>
      <c r="I1123" s="888"/>
      <c r="J1123" s="888"/>
      <c r="K1123" s="888"/>
      <c r="L1123" s="888"/>
      <c r="M1123" s="888"/>
      <c r="N1123" s="888"/>
      <c r="O1123" s="888"/>
      <c r="P1123" s="888"/>
      <c r="Q1123" s="888"/>
      <c r="R1123" s="888"/>
    </row>
    <row r="1124" spans="1:18" s="893" customFormat="1" x14ac:dyDescent="0.3">
      <c r="A1124" s="888" t="s">
        <v>2062</v>
      </c>
      <c r="B1124" s="888" t="s">
        <v>1580</v>
      </c>
      <c r="C1124" s="888" t="s">
        <v>2695</v>
      </c>
      <c r="D1124" s="888"/>
      <c r="E1124" s="893" t="str">
        <f>$E$471</f>
        <v>Fiberglass loose fill - AVERAGE</v>
      </c>
      <c r="I1124" s="888"/>
      <c r="J1124" s="888"/>
      <c r="K1124" s="888"/>
      <c r="L1124" s="888"/>
      <c r="M1124" s="888"/>
      <c r="N1124" s="888"/>
      <c r="O1124" s="888"/>
      <c r="P1124" s="888"/>
      <c r="Q1124" s="888"/>
      <c r="R1124" s="888"/>
    </row>
    <row r="1125" spans="1:18" s="893" customFormat="1" x14ac:dyDescent="0.3">
      <c r="A1125" s="888" t="s">
        <v>2062</v>
      </c>
      <c r="B1125" s="888" t="s">
        <v>1580</v>
      </c>
      <c r="C1125" s="888" t="s">
        <v>2699</v>
      </c>
      <c r="D1125" s="888"/>
      <c r="E1125" s="893" t="str">
        <f>$E$343</f>
        <v>MINERAL WOOL BATT</v>
      </c>
      <c r="I1125" s="888"/>
      <c r="J1125" s="888"/>
      <c r="K1125" s="888"/>
      <c r="L1125" s="888"/>
      <c r="M1125" s="888"/>
      <c r="N1125" s="888"/>
      <c r="O1125" s="888"/>
      <c r="P1125" s="888"/>
      <c r="Q1125" s="888"/>
      <c r="R1125" s="888"/>
    </row>
    <row r="1126" spans="1:18" s="893" customFormat="1" x14ac:dyDescent="0.3">
      <c r="A1126" s="888" t="s">
        <v>2062</v>
      </c>
      <c r="B1126" s="888" t="s">
        <v>1580</v>
      </c>
      <c r="C1126" s="957" t="s">
        <v>7477</v>
      </c>
      <c r="D1126" s="888"/>
      <c r="E1126" s="929" t="str">
        <f>$E$473</f>
        <v>MINERAL WOOL LOOSE FILL</v>
      </c>
      <c r="I1126" s="888"/>
      <c r="J1126" s="888"/>
      <c r="K1126" s="888"/>
      <c r="L1126" s="888"/>
      <c r="M1126" s="888"/>
      <c r="N1126" s="888"/>
      <c r="O1126" s="888"/>
      <c r="P1126" s="888"/>
      <c r="Q1126" s="888"/>
      <c r="R1126" s="888"/>
    </row>
    <row r="1127" spans="1:18" s="893" customFormat="1" x14ac:dyDescent="0.3">
      <c r="A1127" s="888" t="s">
        <v>2062</v>
      </c>
      <c r="B1127" s="888" t="s">
        <v>1580</v>
      </c>
      <c r="C1127" s="888" t="s">
        <v>7478</v>
      </c>
      <c r="D1127" s="888"/>
      <c r="E1127" s="893" t="str">
        <f>$E$341</f>
        <v>CELLULOSE INSULATION</v>
      </c>
      <c r="I1127" s="888"/>
      <c r="J1127" s="888"/>
      <c r="K1127" s="888"/>
      <c r="L1127" s="888"/>
      <c r="M1127" s="888"/>
      <c r="N1127" s="888"/>
      <c r="O1127" s="888"/>
      <c r="P1127" s="888"/>
      <c r="Q1127" s="888"/>
      <c r="R1127" s="888"/>
    </row>
    <row r="1128" spans="1:18" s="893" customFormat="1" x14ac:dyDescent="0.3">
      <c r="A1128" s="888" t="s">
        <v>2062</v>
      </c>
      <c r="B1128" s="888" t="s">
        <v>1580</v>
      </c>
      <c r="C1128" s="888" t="s">
        <v>2712</v>
      </c>
      <c r="D1128" s="888"/>
      <c r="E1128" s="893" t="str">
        <f>$E$475</f>
        <v>Cellulose - AVERAGE</v>
      </c>
      <c r="I1128" s="888"/>
      <c r="J1128" s="888"/>
      <c r="K1128" s="888"/>
      <c r="L1128" s="888"/>
      <c r="M1128" s="888"/>
      <c r="N1128" s="888"/>
      <c r="O1128" s="888"/>
      <c r="P1128" s="888"/>
      <c r="Q1128" s="888"/>
      <c r="R1128" s="888"/>
    </row>
    <row r="1129" spans="1:18" s="893" customFormat="1" x14ac:dyDescent="0.3">
      <c r="A1129" s="888" t="s">
        <v>2062</v>
      </c>
      <c r="B1129" s="888" t="s">
        <v>1580</v>
      </c>
      <c r="C1129" s="888" t="s">
        <v>5091</v>
      </c>
      <c r="D1129" s="888"/>
      <c r="E1129" s="893" t="str">
        <f>$E$345</f>
        <v>WOOD FIBER BATT</v>
      </c>
      <c r="I1129" s="888"/>
      <c r="J1129" s="888"/>
      <c r="K1129" s="888"/>
      <c r="L1129" s="888"/>
      <c r="M1129" s="888"/>
      <c r="N1129" s="888"/>
      <c r="O1129" s="888"/>
      <c r="P1129" s="888"/>
      <c r="Q1129" s="888"/>
      <c r="R1129" s="888"/>
    </row>
    <row r="1130" spans="1:18" s="893" customFormat="1" x14ac:dyDescent="0.3">
      <c r="A1130" s="888" t="s">
        <v>2062</v>
      </c>
      <c r="B1130" s="888" t="s">
        <v>1580</v>
      </c>
      <c r="C1130" s="888" t="s">
        <v>3852</v>
      </c>
      <c r="D1130" s="888"/>
      <c r="E1130" s="893" t="str">
        <f>$E$477</f>
        <v>Wood fiber batt - AVERAGE</v>
      </c>
      <c r="I1130" s="888"/>
      <c r="J1130" s="888"/>
      <c r="K1130" s="888"/>
      <c r="L1130" s="888"/>
      <c r="M1130" s="888"/>
      <c r="N1130" s="888"/>
      <c r="O1130" s="888"/>
      <c r="P1130" s="888"/>
      <c r="Q1130" s="888"/>
      <c r="R1130" s="888"/>
    </row>
    <row r="1131" spans="1:18" s="893" customFormat="1" x14ac:dyDescent="0.3">
      <c r="A1131" s="888" t="s">
        <v>2062</v>
      </c>
      <c r="B1131" s="888" t="s">
        <v>1580</v>
      </c>
      <c r="C1131" s="888" t="s">
        <v>2719</v>
      </c>
      <c r="D1131" s="888"/>
      <c r="E1131" s="893" t="str">
        <f>$E$478</f>
        <v>OTHER NATURAL FIBER INSULATION</v>
      </c>
      <c r="I1131" s="888"/>
      <c r="J1131" s="888"/>
      <c r="K1131" s="888"/>
      <c r="L1131" s="888"/>
      <c r="M1131" s="888"/>
      <c r="N1131" s="888"/>
      <c r="O1131" s="888"/>
      <c r="P1131" s="888"/>
      <c r="Q1131" s="888"/>
      <c r="R1131" s="888"/>
    </row>
    <row r="1132" spans="1:18" s="893" customFormat="1" x14ac:dyDescent="0.3">
      <c r="A1132" s="888" t="s">
        <v>2062</v>
      </c>
      <c r="B1132" s="888" t="s">
        <v>1580</v>
      </c>
      <c r="C1132" s="888" t="s">
        <v>2723</v>
      </c>
      <c r="D1132" s="888"/>
      <c r="E1132" s="893" t="str">
        <f>$E$479</f>
        <v>SPRAY FOAM, CLOSED CELL</v>
      </c>
      <c r="I1132" s="888"/>
      <c r="J1132" s="888"/>
      <c r="K1132" s="888"/>
      <c r="L1132" s="888"/>
      <c r="M1132" s="888"/>
      <c r="N1132" s="888"/>
      <c r="O1132" s="888"/>
      <c r="P1132" s="888"/>
      <c r="Q1132" s="888"/>
      <c r="R1132" s="888"/>
    </row>
    <row r="1133" spans="1:18" s="893" customFormat="1" x14ac:dyDescent="0.3">
      <c r="A1133" s="888" t="s">
        <v>2062</v>
      </c>
      <c r="B1133" s="888" t="s">
        <v>1580</v>
      </c>
      <c r="C1133" s="888" t="s">
        <v>2725</v>
      </c>
      <c r="D1133" s="888"/>
      <c r="E1133" s="893" t="str">
        <f>$E$480</f>
        <v>SPRAY FOAM, OPEN CELL</v>
      </c>
      <c r="I1133" s="888"/>
      <c r="J1133" s="888"/>
      <c r="K1133" s="888"/>
      <c r="L1133" s="888"/>
      <c r="M1133" s="888"/>
      <c r="N1133" s="888"/>
      <c r="O1133" s="888"/>
      <c r="P1133" s="888"/>
      <c r="Q1133" s="888"/>
      <c r="R1133" s="888"/>
    </row>
    <row r="1134" spans="1:18" s="893" customFormat="1" x14ac:dyDescent="0.3">
      <c r="A1134" s="888" t="s">
        <v>2062</v>
      </c>
      <c r="B1134" s="888" t="s">
        <v>1580</v>
      </c>
      <c r="C1134" s="888" t="s">
        <v>7479</v>
      </c>
      <c r="D1134" s="888"/>
      <c r="E1134" s="893" t="str">
        <f>$E$481</f>
        <v>HEMPCRETE</v>
      </c>
      <c r="I1134" s="888"/>
      <c r="J1134" s="888"/>
      <c r="K1134" s="888"/>
      <c r="L1134" s="888"/>
      <c r="M1134" s="888"/>
      <c r="N1134" s="888"/>
      <c r="O1134" s="888"/>
      <c r="P1134" s="888"/>
      <c r="Q1134" s="888"/>
      <c r="R1134" s="888"/>
    </row>
    <row r="1135" spans="1:18" s="893" customFormat="1" x14ac:dyDescent="0.3">
      <c r="A1135" s="888" t="s">
        <v>2062</v>
      </c>
      <c r="B1135" s="888" t="s">
        <v>1580</v>
      </c>
      <c r="C1135" s="888" t="s">
        <v>2355</v>
      </c>
      <c r="D1135" s="888"/>
      <c r="E1135" s="893" t="str">
        <f>$E$482</f>
        <v>Hempcrete - AVERAGE</v>
      </c>
      <c r="I1135" s="888"/>
      <c r="J1135" s="888"/>
      <c r="K1135" s="888"/>
      <c r="L1135" s="888"/>
      <c r="M1135" s="888"/>
      <c r="N1135" s="888"/>
      <c r="O1135" s="888"/>
      <c r="P1135" s="888"/>
      <c r="Q1135" s="888"/>
      <c r="R1135" s="888"/>
    </row>
    <row r="1136" spans="1:18" s="893" customFormat="1" x14ac:dyDescent="0.3">
      <c r="A1136" s="888" t="s">
        <v>2062</v>
      </c>
      <c r="B1136" s="888" t="s">
        <v>1580</v>
      </c>
      <c r="C1136" s="888" t="s">
        <v>7480</v>
      </c>
      <c r="D1136" s="888"/>
      <c r="E1136" s="893" t="s">
        <v>1682</v>
      </c>
      <c r="I1136" s="888"/>
      <c r="J1136" s="888"/>
      <c r="K1136" s="888"/>
      <c r="L1136" s="888"/>
      <c r="M1136" s="888"/>
      <c r="N1136" s="888"/>
      <c r="O1136" s="888"/>
      <c r="P1136" s="888"/>
      <c r="Q1136" s="888"/>
      <c r="R1136" s="888"/>
    </row>
    <row r="1137" spans="1:18" s="893" customFormat="1" x14ac:dyDescent="0.3">
      <c r="A1137" s="888" t="s">
        <v>2062</v>
      </c>
      <c r="B1137" s="888" t="s">
        <v>1580</v>
      </c>
      <c r="C1137" s="888" t="s">
        <v>7481</v>
      </c>
      <c r="D1137" s="888"/>
      <c r="E1137" s="893" t="s">
        <v>1685</v>
      </c>
      <c r="I1137" s="888"/>
      <c r="J1137" s="888"/>
      <c r="K1137" s="888"/>
      <c r="L1137" s="888"/>
      <c r="M1137" s="888"/>
      <c r="N1137" s="888"/>
      <c r="O1137" s="888"/>
      <c r="P1137" s="888"/>
      <c r="Q1137" s="888"/>
      <c r="R1137" s="888"/>
    </row>
    <row r="1138" spans="1:18" s="893" customFormat="1" x14ac:dyDescent="0.3">
      <c r="A1138" s="888" t="s">
        <v>2062</v>
      </c>
      <c r="B1138" s="888" t="s">
        <v>1580</v>
      </c>
      <c r="C1138" s="888" t="s">
        <v>2739</v>
      </c>
      <c r="D1138" s="888"/>
      <c r="E1138" s="893" t="str">
        <f>$E$221</f>
        <v>EPS FOAM BOARD</v>
      </c>
      <c r="I1138" s="888"/>
      <c r="J1138" s="888"/>
      <c r="K1138" s="888"/>
      <c r="L1138" s="888"/>
      <c r="M1138" s="888"/>
      <c r="N1138" s="888"/>
      <c r="O1138" s="888"/>
      <c r="P1138" s="888"/>
      <c r="Q1138" s="888"/>
      <c r="R1138" s="888"/>
    </row>
    <row r="1139" spans="1:18" s="893" customFormat="1" x14ac:dyDescent="0.3">
      <c r="A1139" s="888" t="s">
        <v>2062</v>
      </c>
      <c r="B1139" s="888" t="s">
        <v>1580</v>
      </c>
      <c r="C1139" s="888" t="s">
        <v>6859</v>
      </c>
      <c r="D1139" s="888"/>
      <c r="E1139" s="893" t="str">
        <f>$E$222</f>
        <v>EPS foam board - AVERAGE</v>
      </c>
      <c r="I1139" s="888"/>
      <c r="J1139" s="888"/>
      <c r="K1139" s="888"/>
      <c r="L1139" s="888"/>
      <c r="M1139" s="888"/>
      <c r="N1139" s="888"/>
      <c r="O1139" s="888"/>
      <c r="P1139" s="888"/>
      <c r="Q1139" s="888"/>
      <c r="R1139" s="888"/>
    </row>
    <row r="1140" spans="1:18" s="893" customFormat="1" x14ac:dyDescent="0.3">
      <c r="A1140" s="888" t="s">
        <v>2062</v>
      </c>
      <c r="B1140" s="888" t="s">
        <v>1580</v>
      </c>
      <c r="C1140" s="888" t="s">
        <v>7482</v>
      </c>
      <c r="D1140" s="888"/>
      <c r="E1140" s="893" t="str">
        <f>$E$297</f>
        <v>WOOD FIBER BOARD</v>
      </c>
      <c r="I1140" s="888"/>
      <c r="J1140" s="888"/>
      <c r="K1140" s="888"/>
      <c r="L1140" s="888"/>
      <c r="M1140" s="888"/>
      <c r="N1140" s="888"/>
      <c r="O1140" s="888"/>
      <c r="P1140" s="888"/>
      <c r="Q1140" s="888"/>
      <c r="R1140" s="888"/>
    </row>
    <row r="1141" spans="1:18" s="893" customFormat="1" x14ac:dyDescent="0.3">
      <c r="A1141" s="888" t="s">
        <v>2062</v>
      </c>
      <c r="B1141" s="888" t="s">
        <v>1580</v>
      </c>
      <c r="C1141" s="888" t="s">
        <v>6865</v>
      </c>
      <c r="D1141" s="888"/>
      <c r="E1141" s="893" t="str">
        <f>$E$298</f>
        <v>Wood fiber board - AVERAGE</v>
      </c>
      <c r="I1141" s="888"/>
      <c r="J1141" s="888"/>
      <c r="K1141" s="888"/>
      <c r="L1141" s="888"/>
      <c r="M1141" s="888"/>
      <c r="N1141" s="888"/>
      <c r="O1141" s="888"/>
      <c r="P1141" s="888"/>
      <c r="Q1141" s="888"/>
      <c r="R1141" s="888"/>
    </row>
    <row r="1142" spans="1:18" s="893" customFormat="1" x14ac:dyDescent="0.3">
      <c r="A1142" s="888" t="s">
        <v>2062</v>
      </c>
      <c r="B1142" s="888" t="s">
        <v>1580</v>
      </c>
      <c r="C1142" s="888" t="s">
        <v>7483</v>
      </c>
      <c r="D1142" s="888"/>
      <c r="E1142" s="893" t="str">
        <f>$E$223</f>
        <v>XPS FOAM BOARD</v>
      </c>
      <c r="I1142" s="888"/>
      <c r="J1142" s="888"/>
      <c r="K1142" s="888"/>
      <c r="L1142" s="888"/>
      <c r="M1142" s="888"/>
      <c r="N1142" s="888"/>
      <c r="O1142" s="888"/>
      <c r="P1142" s="888"/>
      <c r="Q1142" s="888"/>
      <c r="R1142" s="888"/>
    </row>
    <row r="1143" spans="1:18" s="893" customFormat="1" x14ac:dyDescent="0.3">
      <c r="A1143" s="888" t="s">
        <v>2062</v>
      </c>
      <c r="B1143" s="888" t="s">
        <v>1580</v>
      </c>
      <c r="C1143" s="888" t="s">
        <v>3865</v>
      </c>
      <c r="D1143" s="888"/>
      <c r="E1143" s="918" t="str">
        <f>$E$224</f>
        <v>XPS foam board - AVERAGE</v>
      </c>
      <c r="I1143" s="888"/>
      <c r="J1143" s="888"/>
      <c r="K1143" s="888"/>
      <c r="L1143" s="888"/>
      <c r="M1143" s="888"/>
      <c r="N1143" s="888"/>
      <c r="O1143" s="888"/>
      <c r="P1143" s="888"/>
      <c r="Q1143" s="888"/>
      <c r="R1143" s="888"/>
    </row>
    <row r="1144" spans="1:18" s="893" customFormat="1" x14ac:dyDescent="0.3">
      <c r="A1144" s="888" t="s">
        <v>2062</v>
      </c>
      <c r="B1144" s="888" t="s">
        <v>1580</v>
      </c>
      <c r="C1144" s="888" t="s">
        <v>3870</v>
      </c>
      <c r="D1144" s="888"/>
      <c r="E1144" s="893" t="str">
        <f>$E$490</f>
        <v>POLYISOCYANURATE FOAM BOARD</v>
      </c>
      <c r="I1144" s="888"/>
      <c r="J1144" s="888"/>
      <c r="K1144" s="888"/>
      <c r="L1144" s="888"/>
      <c r="M1144" s="888"/>
      <c r="N1144" s="888"/>
      <c r="O1144" s="888"/>
      <c r="P1144" s="888"/>
      <c r="Q1144" s="888"/>
      <c r="R1144" s="888"/>
    </row>
    <row r="1145" spans="1:18" s="893" customFormat="1" x14ac:dyDescent="0.3">
      <c r="A1145" s="888" t="s">
        <v>2062</v>
      </c>
      <c r="B1145" s="888" t="s">
        <v>1580</v>
      </c>
      <c r="C1145" s="888" t="s">
        <v>3872</v>
      </c>
      <c r="D1145" s="888"/>
      <c r="E1145" s="893" t="str">
        <f>$E$491</f>
        <v>Polyisocyanurate - AVERAGE</v>
      </c>
      <c r="I1145" s="888"/>
      <c r="J1145" s="888"/>
      <c r="K1145" s="888"/>
      <c r="L1145" s="888"/>
      <c r="M1145" s="888"/>
      <c r="N1145" s="888"/>
      <c r="O1145" s="888"/>
      <c r="P1145" s="888"/>
      <c r="Q1145" s="888"/>
      <c r="R1145" s="888"/>
    </row>
    <row r="1146" spans="1:18" s="893" customFormat="1" x14ac:dyDescent="0.3">
      <c r="A1146" s="888" t="s">
        <v>2062</v>
      </c>
      <c r="B1146" s="888" t="s">
        <v>1580</v>
      </c>
      <c r="C1146" s="888" t="s">
        <v>3878</v>
      </c>
      <c r="D1146" s="888"/>
      <c r="E1146" s="893" t="str">
        <f>$E$225</f>
        <v>MINERAL WOOL BOARD</v>
      </c>
      <c r="I1146" s="888"/>
      <c r="J1146" s="888"/>
      <c r="K1146" s="888"/>
      <c r="L1146" s="888"/>
      <c r="M1146" s="888"/>
      <c r="N1146" s="888"/>
      <c r="O1146" s="888"/>
      <c r="P1146" s="888"/>
      <c r="Q1146" s="888"/>
      <c r="R1146" s="888"/>
    </row>
    <row r="1147" spans="1:18" s="893" customFormat="1" x14ac:dyDescent="0.3">
      <c r="A1147" s="888" t="s">
        <v>2062</v>
      </c>
      <c r="B1147" s="888" t="s">
        <v>1580</v>
      </c>
      <c r="C1147" s="888" t="s">
        <v>6886</v>
      </c>
      <c r="D1147" s="888"/>
      <c r="E1147" s="893" t="str">
        <f>$E$493</f>
        <v>Mineral wool board - AVERAGE</v>
      </c>
      <c r="I1147" s="888"/>
      <c r="J1147" s="888"/>
      <c r="K1147" s="888"/>
      <c r="L1147" s="888"/>
      <c r="M1147" s="888"/>
      <c r="N1147" s="888"/>
      <c r="O1147" s="888"/>
      <c r="P1147" s="888"/>
      <c r="Q1147" s="888"/>
      <c r="R1147" s="888"/>
    </row>
    <row r="1148" spans="1:18" s="893" customFormat="1" x14ac:dyDescent="0.3">
      <c r="A1148" s="888" t="s">
        <v>2062</v>
      </c>
      <c r="B1148" s="888" t="s">
        <v>1580</v>
      </c>
      <c r="C1148" s="957" t="s">
        <v>2362</v>
      </c>
      <c r="D1148" s="888"/>
      <c r="E1148" s="929" t="str">
        <f>$E$301</f>
        <v>FIBERGLASS BOARD</v>
      </c>
      <c r="I1148" s="888"/>
      <c r="J1148" s="888"/>
      <c r="K1148" s="888"/>
      <c r="L1148" s="888"/>
      <c r="M1148" s="888"/>
      <c r="N1148" s="888"/>
      <c r="O1148" s="888"/>
      <c r="P1148" s="888"/>
      <c r="Q1148" s="888"/>
      <c r="R1148" s="888"/>
    </row>
    <row r="1149" spans="1:18" s="893" customFormat="1" x14ac:dyDescent="0.3">
      <c r="A1149" s="888" t="s">
        <v>2062</v>
      </c>
      <c r="B1149" s="959" t="s">
        <v>5111</v>
      </c>
      <c r="C1149" s="957" t="s">
        <v>5124</v>
      </c>
      <c r="D1149" s="888"/>
      <c r="E1149" s="929" t="str">
        <f>$E$494</f>
        <v>Fiberglass board - AVERAGE</v>
      </c>
      <c r="I1149" s="888"/>
      <c r="J1149" s="888"/>
      <c r="K1149" s="888"/>
      <c r="L1149" s="888"/>
      <c r="M1149" s="888"/>
      <c r="N1149" s="888"/>
      <c r="O1149" s="888"/>
      <c r="P1149" s="888"/>
      <c r="Q1149" s="888"/>
      <c r="R1149" s="888"/>
    </row>
    <row r="1150" spans="1:18" s="893" customFormat="1" x14ac:dyDescent="0.3">
      <c r="A1150" s="888" t="s">
        <v>2062</v>
      </c>
      <c r="B1150" s="888" t="s">
        <v>1580</v>
      </c>
      <c r="C1150" s="957" t="s">
        <v>7484</v>
      </c>
      <c r="D1150" s="888"/>
      <c r="E1150" s="926" t="str">
        <f>$E$231</f>
        <v>CORK BOARD</v>
      </c>
      <c r="I1150" s="888"/>
      <c r="J1150" s="888"/>
      <c r="K1150" s="888"/>
      <c r="L1150" s="888"/>
      <c r="M1150" s="888"/>
      <c r="N1150" s="888"/>
      <c r="O1150" s="888"/>
      <c r="P1150" s="888"/>
      <c r="Q1150" s="888"/>
      <c r="R1150" s="888"/>
    </row>
    <row r="1151" spans="1:18" s="893" customFormat="1" x14ac:dyDescent="0.3">
      <c r="A1151" s="888" t="s">
        <v>2062</v>
      </c>
      <c r="B1151" s="959" t="s">
        <v>5111</v>
      </c>
      <c r="C1151" s="957" t="s">
        <v>3863</v>
      </c>
      <c r="D1151" s="888"/>
      <c r="E1151" s="929" t="str">
        <f>$E$497</f>
        <v>Cork board - AVERAGE</v>
      </c>
      <c r="I1151" s="888"/>
      <c r="J1151" s="888"/>
      <c r="K1151" s="888"/>
      <c r="L1151" s="888"/>
      <c r="M1151" s="888"/>
      <c r="N1151" s="888"/>
      <c r="O1151" s="888"/>
      <c r="P1151" s="888"/>
      <c r="Q1151" s="888"/>
      <c r="R1151" s="888"/>
    </row>
    <row r="1152" spans="1:18" s="893" customFormat="1" x14ac:dyDescent="0.3">
      <c r="A1152" s="888" t="s">
        <v>2062</v>
      </c>
      <c r="B1152" s="888" t="s">
        <v>1580</v>
      </c>
      <c r="C1152" s="888" t="s">
        <v>7485</v>
      </c>
      <c r="D1152" s="888"/>
      <c r="E1152" s="893" t="s">
        <v>1683</v>
      </c>
      <c r="I1152" s="888"/>
      <c r="J1152" s="888"/>
      <c r="K1152" s="888"/>
      <c r="L1152" s="888"/>
      <c r="M1152" s="888"/>
      <c r="N1152" s="888"/>
      <c r="O1152" s="888"/>
      <c r="P1152" s="888"/>
      <c r="Q1152" s="888"/>
      <c r="R1152" s="888"/>
    </row>
    <row r="1153" spans="1:18" s="893" customFormat="1" x14ac:dyDescent="0.3">
      <c r="A1153" s="888" t="s">
        <v>2062</v>
      </c>
      <c r="B1153" s="888" t="s">
        <v>1580</v>
      </c>
      <c r="C1153" s="888" t="s">
        <v>7486</v>
      </c>
      <c r="D1153" s="888"/>
      <c r="E1153" s="893" t="s">
        <v>1684</v>
      </c>
      <c r="I1153" s="888"/>
      <c r="J1153" s="888"/>
      <c r="K1153" s="888"/>
      <c r="L1153" s="888"/>
      <c r="M1153" s="888"/>
      <c r="N1153" s="888"/>
      <c r="O1153" s="888"/>
      <c r="P1153" s="888"/>
      <c r="Q1153" s="888"/>
      <c r="R1153" s="888"/>
    </row>
    <row r="1154" spans="1:18" s="893" customFormat="1" x14ac:dyDescent="0.3">
      <c r="A1154" s="888" t="s">
        <v>2062</v>
      </c>
      <c r="B1154" s="888" t="s">
        <v>1580</v>
      </c>
      <c r="C1154" s="950" t="s">
        <v>7459</v>
      </c>
      <c r="D1154" s="888"/>
      <c r="E1154" s="893" t="str">
        <f>$E$339</f>
        <v>FIBERGLASS BATT</v>
      </c>
      <c r="I1154" s="888"/>
      <c r="J1154" s="888"/>
      <c r="K1154" s="888"/>
      <c r="L1154" s="888"/>
      <c r="M1154" s="888"/>
      <c r="N1154" s="888"/>
      <c r="O1154" s="888"/>
      <c r="P1154" s="888"/>
      <c r="Q1154" s="888"/>
      <c r="R1154" s="888"/>
    </row>
    <row r="1155" spans="1:18" s="893" customFormat="1" x14ac:dyDescent="0.3">
      <c r="A1155" s="888" t="s">
        <v>2062</v>
      </c>
      <c r="B1155" s="888" t="s">
        <v>1580</v>
      </c>
      <c r="C1155" s="950" t="s">
        <v>7571</v>
      </c>
      <c r="D1155" s="888"/>
      <c r="E1155" s="893" t="str">
        <f>$E$469</f>
        <v>Fiberglass batt - AVERAGE</v>
      </c>
      <c r="I1155" s="888"/>
      <c r="J1155" s="888"/>
      <c r="K1155" s="888"/>
      <c r="L1155" s="888"/>
      <c r="M1155" s="888"/>
      <c r="N1155" s="888"/>
      <c r="O1155" s="888"/>
      <c r="P1155" s="888"/>
      <c r="Q1155" s="888"/>
      <c r="R1155" s="888"/>
    </row>
    <row r="1156" spans="1:18" s="893" customFormat="1" x14ac:dyDescent="0.3">
      <c r="A1156" s="888" t="s">
        <v>2062</v>
      </c>
      <c r="B1156" s="888" t="s">
        <v>1580</v>
      </c>
      <c r="C1156" s="888" t="s">
        <v>3889</v>
      </c>
      <c r="D1156" s="888"/>
      <c r="E1156" s="893" t="str">
        <f>$E$470</f>
        <v>FIBERGLASS BLOWN-IN</v>
      </c>
      <c r="I1156" s="888"/>
      <c r="J1156" s="888"/>
      <c r="K1156" s="888"/>
      <c r="L1156" s="888"/>
      <c r="M1156" s="888"/>
      <c r="N1156" s="888"/>
      <c r="O1156" s="888"/>
      <c r="P1156" s="888"/>
      <c r="Q1156" s="888"/>
      <c r="R1156" s="888"/>
    </row>
    <row r="1157" spans="1:18" s="893" customFormat="1" x14ac:dyDescent="0.3">
      <c r="A1157" s="888" t="s">
        <v>2062</v>
      </c>
      <c r="B1157" s="888" t="s">
        <v>1580</v>
      </c>
      <c r="C1157" s="888" t="s">
        <v>7537</v>
      </c>
      <c r="D1157" s="888"/>
      <c r="E1157" s="893" t="str">
        <f>$E$471</f>
        <v>Fiberglass loose fill - AVERAGE</v>
      </c>
      <c r="I1157" s="888"/>
      <c r="J1157" s="888"/>
      <c r="K1157" s="888"/>
      <c r="L1157" s="888"/>
      <c r="M1157" s="888"/>
      <c r="N1157" s="888"/>
      <c r="O1157" s="888"/>
      <c r="P1157" s="888"/>
      <c r="Q1157" s="888"/>
      <c r="R1157" s="888"/>
    </row>
    <row r="1158" spans="1:18" s="893" customFormat="1" x14ac:dyDescent="0.3">
      <c r="A1158" s="888" t="s">
        <v>2062</v>
      </c>
      <c r="B1158" s="888" t="s">
        <v>1580</v>
      </c>
      <c r="C1158" s="888" t="s">
        <v>3893</v>
      </c>
      <c r="D1158" s="888"/>
      <c r="E1158" s="893" t="str">
        <f>$E$343</f>
        <v>MINERAL WOOL BATT</v>
      </c>
      <c r="I1158" s="888"/>
      <c r="J1158" s="888"/>
      <c r="K1158" s="888"/>
      <c r="L1158" s="888"/>
      <c r="M1158" s="888"/>
      <c r="N1158" s="888"/>
      <c r="O1158" s="888"/>
      <c r="P1158" s="888"/>
      <c r="Q1158" s="888"/>
      <c r="R1158" s="888"/>
    </row>
    <row r="1159" spans="1:18" s="893" customFormat="1" x14ac:dyDescent="0.3">
      <c r="A1159" s="888" t="s">
        <v>2062</v>
      </c>
      <c r="B1159" s="888" t="s">
        <v>1580</v>
      </c>
      <c r="C1159" s="888" t="s">
        <v>6918</v>
      </c>
      <c r="D1159" s="888"/>
      <c r="E1159" s="893" t="str">
        <f>$E$341</f>
        <v>CELLULOSE INSULATION</v>
      </c>
      <c r="I1159" s="888"/>
      <c r="J1159" s="888"/>
      <c r="K1159" s="888"/>
      <c r="L1159" s="888"/>
      <c r="M1159" s="888"/>
      <c r="N1159" s="888"/>
      <c r="O1159" s="888"/>
      <c r="P1159" s="888"/>
      <c r="Q1159" s="888"/>
      <c r="R1159" s="888"/>
    </row>
    <row r="1160" spans="1:18" s="893" customFormat="1" x14ac:dyDescent="0.3">
      <c r="A1160" s="888" t="s">
        <v>2062</v>
      </c>
      <c r="B1160" s="888" t="s">
        <v>1580</v>
      </c>
      <c r="C1160" s="888" t="s">
        <v>7538</v>
      </c>
      <c r="D1160" s="888"/>
      <c r="E1160" s="893" t="str">
        <f>$E$475</f>
        <v>Cellulose - AVERAGE</v>
      </c>
      <c r="I1160" s="888"/>
      <c r="J1160" s="888"/>
      <c r="K1160" s="888"/>
      <c r="L1160" s="888"/>
      <c r="M1160" s="888"/>
      <c r="N1160" s="888"/>
      <c r="O1160" s="888"/>
      <c r="P1160" s="888"/>
      <c r="Q1160" s="888"/>
      <c r="R1160" s="888"/>
    </row>
    <row r="1161" spans="1:18" s="893" customFormat="1" x14ac:dyDescent="0.3">
      <c r="A1161" s="888" t="s">
        <v>2062</v>
      </c>
      <c r="B1161" s="888" t="s">
        <v>1580</v>
      </c>
      <c r="C1161" s="888" t="s">
        <v>7539</v>
      </c>
      <c r="D1161" s="888"/>
      <c r="E1161" s="893" t="str">
        <f>$E$345</f>
        <v>WOOD FIBER BATT</v>
      </c>
      <c r="I1161" s="888"/>
      <c r="J1161" s="888"/>
      <c r="K1161" s="888"/>
      <c r="L1161" s="888"/>
      <c r="M1161" s="888"/>
      <c r="N1161" s="888"/>
      <c r="O1161" s="888"/>
      <c r="P1161" s="888"/>
      <c r="Q1161" s="888"/>
      <c r="R1161" s="888"/>
    </row>
    <row r="1162" spans="1:18" s="893" customFormat="1" x14ac:dyDescent="0.3">
      <c r="A1162" s="888" t="s">
        <v>2062</v>
      </c>
      <c r="B1162" s="959" t="s">
        <v>5111</v>
      </c>
      <c r="C1162" s="888" t="s">
        <v>3998</v>
      </c>
      <c r="D1162" s="888"/>
      <c r="E1162" s="893" t="str">
        <f>$E$477</f>
        <v>Wood fiber batt - AVERAGE</v>
      </c>
      <c r="I1162" s="888"/>
      <c r="J1162" s="888"/>
      <c r="K1162" s="888"/>
      <c r="L1162" s="888"/>
      <c r="M1162" s="888"/>
      <c r="N1162" s="888"/>
      <c r="O1162" s="888"/>
      <c r="P1162" s="888"/>
      <c r="Q1162" s="888"/>
      <c r="R1162" s="888"/>
    </row>
    <row r="1163" spans="1:18" s="893" customFormat="1" x14ac:dyDescent="0.3">
      <c r="A1163" s="888" t="s">
        <v>2062</v>
      </c>
      <c r="B1163" s="888" t="s">
        <v>1580</v>
      </c>
      <c r="C1163" s="888" t="s">
        <v>7540</v>
      </c>
      <c r="D1163" s="888"/>
      <c r="E1163" s="893" t="str">
        <f>$E$478</f>
        <v>OTHER NATURAL FIBER INSULATION</v>
      </c>
      <c r="I1163" s="888"/>
      <c r="J1163" s="888"/>
      <c r="K1163" s="888"/>
      <c r="L1163" s="888"/>
      <c r="M1163" s="888"/>
      <c r="N1163" s="888"/>
      <c r="O1163" s="888"/>
      <c r="P1163" s="888"/>
      <c r="Q1163" s="888"/>
      <c r="R1163" s="888"/>
    </row>
    <row r="1164" spans="1:18" s="893" customFormat="1" x14ac:dyDescent="0.3">
      <c r="A1164" s="888" t="s">
        <v>2062</v>
      </c>
      <c r="B1164" s="888" t="s">
        <v>1580</v>
      </c>
      <c r="C1164" s="888" t="s">
        <v>7487</v>
      </c>
      <c r="D1164" s="888"/>
      <c r="E1164" s="893" t="str">
        <f>$E$479</f>
        <v>SPRAY FOAM, CLOSED CELL</v>
      </c>
      <c r="I1164" s="888"/>
      <c r="J1164" s="888"/>
      <c r="K1164" s="888"/>
      <c r="L1164" s="888"/>
      <c r="M1164" s="888"/>
      <c r="N1164" s="888"/>
      <c r="O1164" s="888"/>
      <c r="P1164" s="888"/>
      <c r="Q1164" s="888"/>
      <c r="R1164" s="888"/>
    </row>
    <row r="1165" spans="1:18" s="893" customFormat="1" x14ac:dyDescent="0.3">
      <c r="A1165" s="888" t="s">
        <v>2062</v>
      </c>
      <c r="B1165" s="888" t="s">
        <v>1580</v>
      </c>
      <c r="C1165" s="888" t="s">
        <v>7541</v>
      </c>
      <c r="D1165" s="888"/>
      <c r="E1165" s="893" t="str">
        <f>$E$480</f>
        <v>SPRAY FOAM, OPEN CELL</v>
      </c>
      <c r="I1165" s="888"/>
      <c r="J1165" s="888"/>
      <c r="K1165" s="888"/>
      <c r="L1165" s="888"/>
      <c r="M1165" s="888"/>
      <c r="N1165" s="888"/>
      <c r="O1165" s="888"/>
      <c r="P1165" s="888"/>
      <c r="Q1165" s="888"/>
      <c r="R1165" s="888"/>
    </row>
    <row r="1166" spans="1:18" s="893" customFormat="1" x14ac:dyDescent="0.3">
      <c r="A1166" s="888" t="s">
        <v>2062</v>
      </c>
      <c r="B1166" s="888" t="s">
        <v>1580</v>
      </c>
      <c r="C1166" s="888" t="s">
        <v>7542</v>
      </c>
      <c r="D1166" s="888"/>
      <c r="E1166" s="893" t="str">
        <f>$E$481</f>
        <v>HEMPCRETE</v>
      </c>
      <c r="I1166" s="888"/>
      <c r="J1166" s="888"/>
      <c r="K1166" s="888"/>
      <c r="L1166" s="888"/>
      <c r="M1166" s="888"/>
      <c r="N1166" s="888"/>
      <c r="O1166" s="888"/>
      <c r="P1166" s="888"/>
      <c r="Q1166" s="888"/>
      <c r="R1166" s="888"/>
    </row>
    <row r="1167" spans="1:18" s="893" customFormat="1" x14ac:dyDescent="0.3">
      <c r="A1167" s="888" t="s">
        <v>2062</v>
      </c>
      <c r="B1167" s="888" t="s">
        <v>1580</v>
      </c>
      <c r="C1167" s="888" t="s">
        <v>5240</v>
      </c>
      <c r="D1167" s="888"/>
      <c r="E1167" s="893" t="str">
        <f>$E$482</f>
        <v>Hempcrete - AVERAGE</v>
      </c>
      <c r="I1167" s="888"/>
      <c r="J1167" s="888"/>
      <c r="K1167" s="888"/>
      <c r="L1167" s="888"/>
      <c r="M1167" s="888"/>
      <c r="N1167" s="888"/>
      <c r="O1167" s="888"/>
      <c r="P1167" s="888"/>
      <c r="Q1167" s="888"/>
      <c r="R1167" s="888"/>
    </row>
    <row r="1168" spans="1:18" s="893" customFormat="1" x14ac:dyDescent="0.3">
      <c r="A1168" s="888" t="s">
        <v>2062</v>
      </c>
      <c r="B1168" s="888" t="s">
        <v>1580</v>
      </c>
      <c r="C1168" s="888" t="s">
        <v>7543</v>
      </c>
      <c r="D1168" s="888"/>
      <c r="E1168" s="893" t="s">
        <v>1577</v>
      </c>
      <c r="I1168" s="888"/>
      <c r="J1168" s="888"/>
      <c r="K1168" s="888"/>
      <c r="L1168" s="888"/>
      <c r="M1168" s="888"/>
      <c r="N1168" s="888"/>
      <c r="O1168" s="888"/>
      <c r="P1168" s="888"/>
      <c r="Q1168" s="888"/>
      <c r="R1168" s="888"/>
    </row>
    <row r="1169" spans="1:18" s="893" customFormat="1" x14ac:dyDescent="0.3">
      <c r="A1169" s="888" t="s">
        <v>2062</v>
      </c>
      <c r="B1169" s="888" t="s">
        <v>1580</v>
      </c>
      <c r="C1169" s="888" t="s">
        <v>7544</v>
      </c>
      <c r="D1169" s="888"/>
      <c r="E1169" s="893" t="str">
        <f>$E$707</f>
        <v>EXTERIOR CLADDING</v>
      </c>
      <c r="I1169" s="888"/>
      <c r="J1169" s="888"/>
      <c r="K1169" s="888"/>
      <c r="L1169" s="888"/>
      <c r="M1169" s="888"/>
      <c r="N1169" s="888"/>
      <c r="O1169" s="888"/>
      <c r="P1169" s="888"/>
      <c r="Q1169" s="888"/>
      <c r="R1169" s="888"/>
    </row>
    <row r="1170" spans="1:18" s="893" customFormat="1" x14ac:dyDescent="0.3">
      <c r="A1170" s="888" t="s">
        <v>2062</v>
      </c>
      <c r="B1170" s="888" t="s">
        <v>1580</v>
      </c>
      <c r="C1170" s="888" t="s">
        <v>3899</v>
      </c>
      <c r="D1170" s="888"/>
      <c r="E1170" s="893" t="str">
        <f>$E$708</f>
        <v>BRICK</v>
      </c>
      <c r="I1170" s="888"/>
      <c r="J1170" s="888"/>
      <c r="K1170" s="888"/>
      <c r="L1170" s="888"/>
      <c r="M1170" s="888"/>
      <c r="N1170" s="888"/>
      <c r="O1170" s="888"/>
      <c r="P1170" s="888"/>
      <c r="Q1170" s="888"/>
      <c r="R1170" s="888"/>
    </row>
    <row r="1171" spans="1:18" s="893" customFormat="1" x14ac:dyDescent="0.3">
      <c r="A1171" s="888" t="s">
        <v>2062</v>
      </c>
      <c r="B1171" s="888" t="s">
        <v>1580</v>
      </c>
      <c r="C1171" s="888" t="s">
        <v>7545</v>
      </c>
      <c r="D1171" s="888"/>
      <c r="E1171" s="893" t="str">
        <f>$E$709</f>
        <v>WOOD CLADDING</v>
      </c>
      <c r="I1171" s="888"/>
      <c r="J1171" s="888"/>
      <c r="K1171" s="888"/>
      <c r="L1171" s="888"/>
      <c r="M1171" s="888"/>
      <c r="N1171" s="888"/>
      <c r="O1171" s="888"/>
      <c r="P1171" s="888"/>
      <c r="Q1171" s="888"/>
      <c r="R1171" s="888"/>
    </row>
    <row r="1172" spans="1:18" s="893" customFormat="1" x14ac:dyDescent="0.3">
      <c r="A1172" s="888" t="s">
        <v>2062</v>
      </c>
      <c r="B1172" s="888" t="s">
        <v>1580</v>
      </c>
      <c r="C1172" s="888" t="s">
        <v>3906</v>
      </c>
      <c r="D1172" s="888"/>
      <c r="E1172" s="893" t="str">
        <f>$E$710</f>
        <v>FIBER CEMENT</v>
      </c>
      <c r="I1172" s="888"/>
      <c r="J1172" s="888"/>
      <c r="K1172" s="888"/>
      <c r="L1172" s="888"/>
      <c r="M1172" s="888"/>
      <c r="N1172" s="888"/>
      <c r="O1172" s="888"/>
      <c r="P1172" s="888"/>
      <c r="Q1172" s="888"/>
      <c r="R1172" s="888"/>
    </row>
    <row r="1173" spans="1:18" s="893" customFormat="1" x14ac:dyDescent="0.3">
      <c r="A1173" s="888" t="s">
        <v>2062</v>
      </c>
      <c r="B1173" s="888" t="s">
        <v>1580</v>
      </c>
      <c r="C1173" s="888" t="s">
        <v>7546</v>
      </c>
      <c r="D1173" s="888"/>
      <c r="E1173" s="893" t="str">
        <f>$E$711</f>
        <v>Fiber Cement siding - AVERAGE</v>
      </c>
      <c r="I1173" s="888"/>
      <c r="J1173" s="888"/>
      <c r="K1173" s="888"/>
      <c r="L1173" s="888"/>
      <c r="M1173" s="888"/>
      <c r="N1173" s="888"/>
      <c r="O1173" s="888"/>
      <c r="P1173" s="888"/>
      <c r="Q1173" s="888"/>
      <c r="R1173" s="888"/>
    </row>
    <row r="1174" spans="1:18" s="893" customFormat="1" x14ac:dyDescent="0.3">
      <c r="A1174" s="888" t="s">
        <v>2062</v>
      </c>
      <c r="B1174" s="888" t="s">
        <v>1580</v>
      </c>
      <c r="C1174" s="888" t="s">
        <v>7547</v>
      </c>
      <c r="D1174" s="888"/>
      <c r="E1174" s="893" t="str">
        <f>$E$712</f>
        <v>VINYL SIDING</v>
      </c>
      <c r="I1174" s="888"/>
      <c r="J1174" s="888"/>
      <c r="K1174" s="888"/>
      <c r="L1174" s="888"/>
      <c r="M1174" s="888"/>
      <c r="N1174" s="888"/>
      <c r="O1174" s="888"/>
      <c r="P1174" s="888"/>
      <c r="Q1174" s="888"/>
      <c r="R1174" s="888"/>
    </row>
    <row r="1175" spans="1:18" s="893" customFormat="1" x14ac:dyDescent="0.3">
      <c r="A1175" s="888" t="s">
        <v>2062</v>
      </c>
      <c r="B1175" s="888" t="s">
        <v>1580</v>
      </c>
      <c r="C1175" s="888" t="s">
        <v>3909</v>
      </c>
      <c r="D1175" s="888"/>
      <c r="E1175" s="893" t="str">
        <f>$E$713</f>
        <v>POLYPROPYLENE SIDING</v>
      </c>
      <c r="I1175" s="888"/>
      <c r="J1175" s="888"/>
      <c r="K1175" s="888"/>
      <c r="L1175" s="888"/>
      <c r="M1175" s="888"/>
      <c r="N1175" s="888"/>
      <c r="O1175" s="888"/>
      <c r="P1175" s="888"/>
      <c r="Q1175" s="888"/>
      <c r="R1175" s="888"/>
    </row>
    <row r="1176" spans="1:18" s="893" customFormat="1" x14ac:dyDescent="0.3">
      <c r="A1176" s="888" t="s">
        <v>2062</v>
      </c>
      <c r="B1176" s="959" t="s">
        <v>5111</v>
      </c>
      <c r="C1176" s="959" t="s">
        <v>5094</v>
      </c>
      <c r="D1176" s="888"/>
      <c r="E1176" s="893" t="str">
        <f>$E$714</f>
        <v>Polypropylene siding - AVERAGE</v>
      </c>
      <c r="I1176" s="888"/>
      <c r="J1176" s="888"/>
      <c r="K1176" s="888"/>
      <c r="L1176" s="888"/>
      <c r="M1176" s="888"/>
      <c r="N1176" s="888"/>
      <c r="O1176" s="888"/>
      <c r="P1176" s="888"/>
      <c r="Q1176" s="888"/>
      <c r="R1176" s="888"/>
    </row>
    <row r="1177" spans="1:18" s="893" customFormat="1" x14ac:dyDescent="0.3">
      <c r="A1177" s="888" t="s">
        <v>2062</v>
      </c>
      <c r="B1177" s="888" t="s">
        <v>1580</v>
      </c>
      <c r="C1177" s="888" t="s">
        <v>6949</v>
      </c>
      <c r="D1177" s="888"/>
      <c r="E1177" s="893" t="str">
        <f>$E$715</f>
        <v>STEEL PANEL SIDING</v>
      </c>
      <c r="I1177" s="888"/>
      <c r="J1177" s="888"/>
      <c r="K1177" s="888"/>
      <c r="L1177" s="888"/>
      <c r="M1177" s="888"/>
      <c r="N1177" s="888"/>
      <c r="O1177" s="888"/>
      <c r="P1177" s="888"/>
      <c r="Q1177" s="888"/>
      <c r="R1177" s="888"/>
    </row>
    <row r="1178" spans="1:18" s="893" customFormat="1" x14ac:dyDescent="0.3">
      <c r="A1178" s="888" t="s">
        <v>2062</v>
      </c>
      <c r="B1178" s="888" t="s">
        <v>1580</v>
      </c>
      <c r="C1178" s="888" t="s">
        <v>6954</v>
      </c>
      <c r="D1178" s="888"/>
      <c r="E1178" s="893" t="str">
        <f>$E$716</f>
        <v>Steel Panel Siding - AVERAGE</v>
      </c>
      <c r="I1178" s="888"/>
      <c r="J1178" s="888"/>
      <c r="K1178" s="888"/>
      <c r="L1178" s="888"/>
      <c r="M1178" s="888"/>
      <c r="N1178" s="888"/>
      <c r="O1178" s="888"/>
      <c r="P1178" s="888"/>
      <c r="Q1178" s="888"/>
      <c r="R1178" s="888"/>
    </row>
    <row r="1179" spans="1:18" s="893" customFormat="1" x14ac:dyDescent="0.3">
      <c r="A1179" s="888" t="s">
        <v>2062</v>
      </c>
      <c r="B1179" s="888" t="s">
        <v>1580</v>
      </c>
      <c r="C1179" s="888" t="s">
        <v>7548</v>
      </c>
      <c r="D1179" s="888"/>
      <c r="E1179" s="893" t="str">
        <f>$E$717</f>
        <v>ALUMINUM PANEL SIDING</v>
      </c>
      <c r="I1179" s="888"/>
      <c r="J1179" s="888"/>
      <c r="K1179" s="888"/>
      <c r="L1179" s="888"/>
      <c r="M1179" s="888"/>
      <c r="N1179" s="888"/>
      <c r="O1179" s="888"/>
      <c r="P1179" s="888"/>
      <c r="Q1179" s="888"/>
      <c r="R1179" s="888"/>
    </row>
    <row r="1180" spans="1:18" s="893" customFormat="1" x14ac:dyDescent="0.3">
      <c r="A1180" s="888" t="s">
        <v>2062</v>
      </c>
      <c r="B1180" s="888" t="s">
        <v>1580</v>
      </c>
      <c r="C1180" s="888" t="s">
        <v>7549</v>
      </c>
      <c r="D1180" s="888"/>
      <c r="E1180" s="893" t="str">
        <f>$E$718</f>
        <v>Aluminum Panel Siding - AVERAGE</v>
      </c>
      <c r="I1180" s="888"/>
      <c r="J1180" s="888"/>
      <c r="K1180" s="888"/>
      <c r="L1180" s="888"/>
      <c r="M1180" s="888"/>
      <c r="N1180" s="888"/>
      <c r="O1180" s="888"/>
      <c r="P1180" s="888"/>
      <c r="Q1180" s="888"/>
      <c r="R1180" s="888"/>
    </row>
    <row r="1181" spans="1:18" s="893" customFormat="1" x14ac:dyDescent="0.3">
      <c r="A1181" s="888" t="s">
        <v>2062</v>
      </c>
      <c r="B1181" s="888" t="s">
        <v>1580</v>
      </c>
      <c r="C1181" s="888" t="s">
        <v>3914</v>
      </c>
      <c r="D1181" s="888"/>
      <c r="E1181" s="893" t="str">
        <f>$E$719</f>
        <v>PLASTER FINISHES</v>
      </c>
      <c r="I1181" s="888"/>
      <c r="J1181" s="888"/>
      <c r="K1181" s="888"/>
      <c r="L1181" s="888"/>
      <c r="M1181" s="888"/>
      <c r="N1181" s="888"/>
      <c r="O1181" s="888"/>
      <c r="P1181" s="888"/>
      <c r="Q1181" s="888"/>
      <c r="R1181" s="888"/>
    </row>
    <row r="1182" spans="1:18" s="893" customFormat="1" x14ac:dyDescent="0.3">
      <c r="A1182" s="888" t="s">
        <v>2062</v>
      </c>
      <c r="B1182" s="888" t="s">
        <v>1580</v>
      </c>
      <c r="C1182" s="940" t="s">
        <v>7550</v>
      </c>
      <c r="D1182" s="888"/>
      <c r="E1182" s="960" t="str">
        <f>$E$720</f>
        <v>ENGINEERED WOOD SIDING</v>
      </c>
      <c r="I1182" s="888"/>
      <c r="J1182" s="888"/>
      <c r="K1182" s="888"/>
      <c r="L1182" s="888"/>
      <c r="M1182" s="888"/>
      <c r="N1182" s="888"/>
      <c r="O1182" s="888"/>
      <c r="P1182" s="888"/>
      <c r="Q1182" s="888"/>
      <c r="R1182" s="888"/>
    </row>
    <row r="1183" spans="1:18" s="893" customFormat="1" x14ac:dyDescent="0.3">
      <c r="A1183" s="888" t="s">
        <v>2062</v>
      </c>
      <c r="B1183" s="888" t="s">
        <v>1580</v>
      </c>
      <c r="C1183" s="888" t="s">
        <v>7551</v>
      </c>
      <c r="D1183" s="888"/>
      <c r="E1183" s="960" t="str">
        <f>$E$721</f>
        <v>STRAPPING for RAIN SCREEN</v>
      </c>
      <c r="I1183" s="888"/>
      <c r="J1183" s="888"/>
      <c r="K1183" s="888"/>
      <c r="L1183" s="888"/>
      <c r="M1183" s="888"/>
      <c r="N1183" s="888"/>
      <c r="O1183" s="888"/>
      <c r="P1183" s="888"/>
      <c r="Q1183" s="888"/>
      <c r="R1183" s="888"/>
    </row>
    <row r="1184" spans="1:18" s="893" customFormat="1" x14ac:dyDescent="0.3">
      <c r="A1184" s="888" t="s">
        <v>2062</v>
      </c>
      <c r="B1184" s="888" t="s">
        <v>1580</v>
      </c>
      <c r="C1184" s="888" t="s">
        <v>7552</v>
      </c>
      <c r="D1184" s="888"/>
      <c r="E1184" s="893" t="str">
        <f>$E$724</f>
        <v>STRAPPING SPACING:</v>
      </c>
      <c r="I1184" s="888"/>
      <c r="J1184" s="888"/>
      <c r="K1184" s="888"/>
      <c r="L1184" s="888"/>
      <c r="M1184" s="888"/>
      <c r="N1184" s="888"/>
      <c r="O1184" s="888"/>
      <c r="P1184" s="888"/>
      <c r="Q1184" s="888"/>
      <c r="R1184" s="888"/>
    </row>
    <row r="1185" spans="1:18" s="893" customFormat="1" x14ac:dyDescent="0.3">
      <c r="A1185" s="888" t="s">
        <v>2062</v>
      </c>
      <c r="B1185" s="888" t="s">
        <v>1580</v>
      </c>
      <c r="C1185" s="961" t="s">
        <v>6979</v>
      </c>
      <c r="D1185" s="888"/>
      <c r="E1185" s="962" t="str">
        <f>$E$722</f>
        <v>1x4 STRAPPING for RAIN SCREEN</v>
      </c>
      <c r="I1185" s="888"/>
      <c r="J1185" s="888"/>
      <c r="K1185" s="888"/>
      <c r="L1185" s="888"/>
      <c r="M1185" s="888"/>
      <c r="N1185" s="888"/>
      <c r="O1185" s="888"/>
      <c r="P1185" s="888"/>
      <c r="Q1185" s="888"/>
      <c r="R1185" s="888"/>
    </row>
    <row r="1186" spans="1:18" s="893" customFormat="1" x14ac:dyDescent="0.3">
      <c r="A1186" s="888" t="s">
        <v>2062</v>
      </c>
      <c r="B1186" s="888" t="s">
        <v>1580</v>
      </c>
      <c r="C1186" s="961" t="s">
        <v>7553</v>
      </c>
      <c r="D1186" s="888"/>
      <c r="E1186" s="962" t="str">
        <f>$E$723</f>
        <v>2x4 STRAPPING for RAIN SCREEN</v>
      </c>
      <c r="I1186" s="888"/>
      <c r="J1186" s="888"/>
      <c r="K1186" s="888"/>
      <c r="L1186" s="888"/>
      <c r="M1186" s="888"/>
      <c r="N1186" s="888"/>
      <c r="O1186" s="888"/>
      <c r="P1186" s="888"/>
      <c r="Q1186" s="888"/>
      <c r="R1186" s="888"/>
    </row>
    <row r="1187" spans="1:18" s="893" customFormat="1" x14ac:dyDescent="0.3">
      <c r="A1187" s="888" t="s">
        <v>2062</v>
      </c>
      <c r="B1187" s="888" t="s">
        <v>1580</v>
      </c>
      <c r="C1187" s="888" t="s">
        <v>7554</v>
      </c>
      <c r="D1187" s="888"/>
      <c r="E1187" s="893" t="s">
        <v>1572</v>
      </c>
      <c r="I1187" s="888"/>
      <c r="J1187" s="888"/>
      <c r="K1187" s="888"/>
      <c r="L1187" s="888"/>
      <c r="M1187" s="888"/>
      <c r="N1187" s="888"/>
      <c r="O1187" s="888"/>
      <c r="P1187" s="888"/>
      <c r="Q1187" s="888"/>
      <c r="R1187" s="888"/>
    </row>
    <row r="1188" spans="1:18" s="893" customFormat="1" x14ac:dyDescent="0.3">
      <c r="A1188" s="888" t="s">
        <v>2062</v>
      </c>
      <c r="B1188" s="888" t="s">
        <v>1580</v>
      </c>
      <c r="C1188" s="888" t="s">
        <v>6991</v>
      </c>
      <c r="D1188" s="888"/>
      <c r="E1188" s="893" t="str">
        <f>$E$361</f>
        <v>DRYWALL 1/2"</v>
      </c>
      <c r="I1188" s="888"/>
      <c r="J1188" s="888"/>
      <c r="K1188" s="888"/>
      <c r="L1188" s="888"/>
      <c r="M1188" s="888"/>
      <c r="N1188" s="888"/>
      <c r="O1188" s="888"/>
      <c r="P1188" s="888"/>
      <c r="Q1188" s="888"/>
      <c r="R1188" s="888"/>
    </row>
    <row r="1189" spans="1:18" s="893" customFormat="1" x14ac:dyDescent="0.3">
      <c r="A1189" s="888" t="s">
        <v>2062</v>
      </c>
      <c r="B1189" s="888" t="s">
        <v>1580</v>
      </c>
      <c r="C1189" s="888" t="s">
        <v>5275</v>
      </c>
      <c r="D1189" s="888"/>
      <c r="E1189" s="893" t="str">
        <f>$E$654</f>
        <v>Drywall 1/2" Typical - Interior Cladding for Exterior Walls - AVERAGE</v>
      </c>
      <c r="I1189" s="888"/>
      <c r="J1189" s="888"/>
      <c r="K1189" s="888"/>
      <c r="L1189" s="888"/>
      <c r="M1189" s="888"/>
      <c r="N1189" s="888"/>
      <c r="O1189" s="888"/>
      <c r="P1189" s="888"/>
      <c r="Q1189" s="888"/>
      <c r="R1189" s="888"/>
    </row>
    <row r="1190" spans="1:18" s="893" customFormat="1" x14ac:dyDescent="0.3">
      <c r="A1190" s="888" t="s">
        <v>2062</v>
      </c>
      <c r="B1190" s="888" t="s">
        <v>1580</v>
      </c>
      <c r="C1190" s="888" t="s">
        <v>6998</v>
      </c>
      <c r="D1190" s="888"/>
      <c r="E1190" s="893" t="str">
        <f>$E$363</f>
        <v>DRYWALL 5/8"</v>
      </c>
      <c r="I1190" s="888"/>
      <c r="J1190" s="888"/>
      <c r="K1190" s="888"/>
      <c r="L1190" s="888"/>
      <c r="M1190" s="888"/>
      <c r="N1190" s="888"/>
      <c r="O1190" s="888"/>
      <c r="P1190" s="888"/>
      <c r="Q1190" s="888"/>
      <c r="R1190" s="888"/>
    </row>
    <row r="1191" spans="1:18" s="893" customFormat="1" x14ac:dyDescent="0.3">
      <c r="A1191" s="888" t="s">
        <v>2062</v>
      </c>
      <c r="B1191" s="888" t="s">
        <v>1580</v>
      </c>
      <c r="C1191" s="957" t="s">
        <v>5277</v>
      </c>
      <c r="D1191" s="888"/>
      <c r="E1191" s="945" t="str">
        <f>$E$656</f>
        <v>Drywall 5/8" Typical - Interior Cladding for Exterior Walls - AVERAGE</v>
      </c>
      <c r="I1191" s="888"/>
      <c r="J1191" s="888"/>
      <c r="K1191" s="888"/>
      <c r="L1191" s="888"/>
      <c r="M1191" s="888"/>
      <c r="N1191" s="888"/>
      <c r="O1191" s="888"/>
      <c r="P1191" s="888"/>
      <c r="Q1191" s="888"/>
      <c r="R1191" s="888"/>
    </row>
    <row r="1192" spans="1:18" s="893" customFormat="1" x14ac:dyDescent="0.3">
      <c r="A1192" s="888" t="s">
        <v>2062</v>
      </c>
      <c r="B1192" s="888" t="s">
        <v>1580</v>
      </c>
      <c r="C1192" s="888" t="s">
        <v>7555</v>
      </c>
      <c r="D1192" s="888"/>
      <c r="E1192" s="893" t="str">
        <f>$E$365</f>
        <v>OTHER CLADDING MATERIALS</v>
      </c>
      <c r="I1192" s="888"/>
      <c r="J1192" s="888"/>
      <c r="K1192" s="888"/>
      <c r="L1192" s="888"/>
      <c r="M1192" s="888"/>
      <c r="N1192" s="888"/>
      <c r="O1192" s="888"/>
      <c r="P1192" s="888"/>
      <c r="Q1192" s="888"/>
      <c r="R1192" s="888"/>
    </row>
    <row r="1193" spans="1:18" s="893" customFormat="1" x14ac:dyDescent="0.3">
      <c r="A1193" s="888" t="s">
        <v>2062</v>
      </c>
      <c r="B1193" s="888" t="s">
        <v>1580</v>
      </c>
      <c r="C1193" s="888" t="s">
        <v>7556</v>
      </c>
      <c r="D1193" s="888"/>
      <c r="E1193" s="893" t="s">
        <v>1598</v>
      </c>
      <c r="I1193" s="888"/>
      <c r="J1193" s="888"/>
      <c r="K1193" s="888"/>
      <c r="L1193" s="888"/>
      <c r="M1193" s="888"/>
      <c r="N1193" s="888"/>
      <c r="O1193" s="888"/>
      <c r="P1193" s="888"/>
      <c r="Q1193" s="888"/>
      <c r="R1193" s="888"/>
    </row>
    <row r="1194" spans="1:18" s="893" customFormat="1" x14ac:dyDescent="0.3">
      <c r="A1194" s="888" t="s">
        <v>2062</v>
      </c>
      <c r="B1194" s="888" t="s">
        <v>1580</v>
      </c>
      <c r="C1194" s="888" t="s">
        <v>7488</v>
      </c>
      <c r="D1194" s="888"/>
      <c r="E1194" s="893" t="str">
        <f>$E$752</f>
        <v>DOUBLE PANE WINDOWS</v>
      </c>
      <c r="I1194" s="888"/>
      <c r="J1194" s="888"/>
      <c r="K1194" s="888"/>
      <c r="L1194" s="888"/>
      <c r="M1194" s="888"/>
      <c r="N1194" s="888"/>
      <c r="O1194" s="888"/>
      <c r="P1194" s="888"/>
      <c r="Q1194" s="888"/>
      <c r="R1194" s="888"/>
    </row>
    <row r="1195" spans="1:18" s="893" customFormat="1" x14ac:dyDescent="0.3">
      <c r="A1195" s="888" t="s">
        <v>2062</v>
      </c>
      <c r="B1195" s="888" t="s">
        <v>1580</v>
      </c>
      <c r="C1195" s="888" t="s">
        <v>7557</v>
      </c>
      <c r="D1195" s="888"/>
      <c r="E1195" s="893" t="str">
        <f>$E$754</f>
        <v>WINDOWS - SPECIFIC MANUFACTURERS</v>
      </c>
      <c r="I1195" s="888"/>
      <c r="J1195" s="888"/>
      <c r="K1195" s="888"/>
      <c r="L1195" s="888"/>
      <c r="M1195" s="888"/>
      <c r="N1195" s="888"/>
      <c r="O1195" s="888"/>
      <c r="P1195" s="888"/>
      <c r="Q1195" s="888"/>
      <c r="R1195" s="888"/>
    </row>
    <row r="1196" spans="1:18" s="893" customFormat="1" x14ac:dyDescent="0.3">
      <c r="A1196" s="888" t="s">
        <v>2062</v>
      </c>
      <c r="B1196" s="888" t="s">
        <v>1580</v>
      </c>
      <c r="C1196" s="888" t="s">
        <v>7558</v>
      </c>
      <c r="D1196" s="888"/>
      <c r="E1196" s="893" t="s">
        <v>1576</v>
      </c>
      <c r="I1196" s="888"/>
      <c r="J1196" s="888"/>
      <c r="K1196" s="888"/>
      <c r="L1196" s="888"/>
      <c r="M1196" s="888"/>
      <c r="N1196" s="888"/>
      <c r="O1196" s="888"/>
      <c r="P1196" s="888"/>
      <c r="Q1196" s="888"/>
      <c r="R1196" s="888"/>
    </row>
    <row r="1197" spans="1:18" s="893" customFormat="1" x14ac:dyDescent="0.3">
      <c r="A1197" s="888" t="s">
        <v>2062</v>
      </c>
      <c r="B1197" s="888" t="s">
        <v>1580</v>
      </c>
      <c r="C1197" s="888" t="s">
        <v>7559</v>
      </c>
      <c r="D1197" s="888"/>
      <c r="E1197" s="893" t="s">
        <v>1599</v>
      </c>
      <c r="I1197" s="888"/>
      <c r="J1197" s="888"/>
      <c r="K1197" s="888"/>
      <c r="L1197" s="888"/>
      <c r="M1197" s="888"/>
      <c r="N1197" s="888"/>
      <c r="O1197" s="888"/>
      <c r="P1197" s="888"/>
      <c r="Q1197" s="888"/>
      <c r="R1197" s="888"/>
    </row>
    <row r="1198" spans="1:18" s="893" customFormat="1" x14ac:dyDescent="0.3">
      <c r="A1198" s="888" t="s">
        <v>2062</v>
      </c>
      <c r="B1198" s="888" t="s">
        <v>1580</v>
      </c>
      <c r="C1198" s="888" t="s">
        <v>3961</v>
      </c>
      <c r="D1198" s="888"/>
      <c r="E1198" s="893" t="str">
        <f>$E$361</f>
        <v>DRYWALL 1/2"</v>
      </c>
      <c r="I1198" s="888"/>
      <c r="J1198" s="888"/>
      <c r="K1198" s="888"/>
      <c r="L1198" s="888"/>
      <c r="M1198" s="888"/>
      <c r="N1198" s="888"/>
      <c r="O1198" s="888"/>
      <c r="P1198" s="888"/>
      <c r="Q1198" s="888"/>
      <c r="R1198" s="888"/>
    </row>
    <row r="1199" spans="1:18" s="893" customFormat="1" x14ac:dyDescent="0.3">
      <c r="A1199" s="888" t="s">
        <v>2062</v>
      </c>
      <c r="B1199" s="888" t="s">
        <v>1580</v>
      </c>
      <c r="C1199" s="888" t="s">
        <v>7560</v>
      </c>
      <c r="D1199" s="888"/>
      <c r="E1199" s="893" t="str">
        <f>$E$920</f>
        <v>Drywall 1/2" - Ceilings - AVERAGE</v>
      </c>
      <c r="I1199" s="888"/>
      <c r="J1199" s="888"/>
      <c r="K1199" s="888"/>
      <c r="L1199" s="888"/>
      <c r="M1199" s="888"/>
      <c r="N1199" s="888"/>
      <c r="O1199" s="888"/>
      <c r="P1199" s="888"/>
      <c r="Q1199" s="888"/>
      <c r="R1199" s="888"/>
    </row>
    <row r="1200" spans="1:18" s="893" customFormat="1" x14ac:dyDescent="0.3">
      <c r="A1200" s="888" t="s">
        <v>2062</v>
      </c>
      <c r="B1200" s="888" t="s">
        <v>1580</v>
      </c>
      <c r="C1200" s="888" t="s">
        <v>5289</v>
      </c>
      <c r="D1200" s="888"/>
      <c r="E1200" s="893" t="str">
        <f>$E$363</f>
        <v>DRYWALL 5/8"</v>
      </c>
      <c r="I1200" s="888"/>
      <c r="J1200" s="888"/>
      <c r="K1200" s="888"/>
      <c r="L1200" s="888"/>
      <c r="M1200" s="888"/>
      <c r="N1200" s="888"/>
      <c r="O1200" s="888"/>
      <c r="P1200" s="888"/>
      <c r="Q1200" s="888"/>
      <c r="R1200" s="888"/>
    </row>
    <row r="1201" spans="1:18" s="893" customFormat="1" x14ac:dyDescent="0.3">
      <c r="A1201" s="888" t="s">
        <v>2062</v>
      </c>
      <c r="B1201" s="888" t="s">
        <v>1580</v>
      </c>
      <c r="C1201" s="888" t="s">
        <v>5291</v>
      </c>
      <c r="D1201" s="888"/>
      <c r="E1201" s="893" t="str">
        <f>$E$922</f>
        <v>Drywall 5/8" - Ceilings - AVERAGE</v>
      </c>
      <c r="I1201" s="888"/>
      <c r="J1201" s="888"/>
      <c r="K1201" s="888"/>
      <c r="L1201" s="888"/>
      <c r="M1201" s="888"/>
      <c r="N1201" s="888"/>
      <c r="O1201" s="888"/>
      <c r="P1201" s="888"/>
      <c r="Q1201" s="888"/>
      <c r="R1201" s="888"/>
    </row>
    <row r="1202" spans="1:18" s="893" customFormat="1" x14ac:dyDescent="0.3">
      <c r="A1202" s="888" t="s">
        <v>2062</v>
      </c>
      <c r="B1202" s="888" t="s">
        <v>1580</v>
      </c>
      <c r="C1202" s="888" t="s">
        <v>5298</v>
      </c>
      <c r="D1202" s="888"/>
      <c r="E1202" s="893" t="str">
        <f>$E$923</f>
        <v>OTHER CEILING FINISHES</v>
      </c>
      <c r="I1202" s="888"/>
      <c r="J1202" s="888"/>
      <c r="K1202" s="888"/>
      <c r="L1202" s="888"/>
      <c r="M1202" s="888"/>
      <c r="N1202" s="888"/>
      <c r="O1202" s="888"/>
      <c r="P1202" s="888"/>
      <c r="Q1202" s="888"/>
      <c r="R1202" s="888"/>
    </row>
    <row r="1203" spans="1:18" s="893" customFormat="1" x14ac:dyDescent="0.3">
      <c r="A1203" s="888" t="s">
        <v>2062</v>
      </c>
      <c r="B1203" s="888" t="s">
        <v>1580</v>
      </c>
      <c r="C1203" s="888" t="s">
        <v>7561</v>
      </c>
      <c r="D1203" s="888"/>
      <c r="E1203" s="893" t="s">
        <v>1575</v>
      </c>
      <c r="I1203" s="888"/>
      <c r="J1203" s="888"/>
      <c r="K1203" s="888"/>
      <c r="L1203" s="888"/>
      <c r="M1203" s="888"/>
      <c r="N1203" s="888"/>
      <c r="O1203" s="888"/>
      <c r="P1203" s="888"/>
      <c r="Q1203" s="888"/>
      <c r="R1203" s="888"/>
    </row>
    <row r="1204" spans="1:18" s="893" customFormat="1" x14ac:dyDescent="0.3">
      <c r="A1204" s="888" t="s">
        <v>2062</v>
      </c>
      <c r="B1204" s="888" t="s">
        <v>1580</v>
      </c>
      <c r="C1204" s="888" t="s">
        <v>7562</v>
      </c>
      <c r="D1204" s="888"/>
      <c r="E1204" s="893" t="str">
        <f>$E$326</f>
        <v>WOOD FRAME CONSTRUCTION</v>
      </c>
      <c r="I1204" s="888"/>
      <c r="J1204" s="888"/>
      <c r="K1204" s="888"/>
      <c r="L1204" s="888"/>
      <c r="M1204" s="888"/>
      <c r="N1204" s="888"/>
      <c r="O1204" s="888"/>
      <c r="P1204" s="888"/>
      <c r="Q1204" s="888"/>
      <c r="R1204" s="888"/>
    </row>
    <row r="1205" spans="1:18" s="893" customFormat="1" x14ac:dyDescent="0.3">
      <c r="A1205" s="888" t="s">
        <v>2062</v>
      </c>
      <c r="B1205" s="888" t="s">
        <v>1580</v>
      </c>
      <c r="C1205" s="888" t="s">
        <v>5335</v>
      </c>
      <c r="D1205" s="888"/>
      <c r="E1205" s="893" t="str">
        <f>$E$325</f>
        <v>FRAMING SPACING:</v>
      </c>
      <c r="I1205" s="888"/>
      <c r="J1205" s="888"/>
      <c r="K1205" s="888"/>
      <c r="L1205" s="888"/>
      <c r="M1205" s="888"/>
      <c r="N1205" s="888"/>
      <c r="O1205" s="888"/>
      <c r="P1205" s="888"/>
      <c r="Q1205" s="888"/>
      <c r="R1205" s="888"/>
    </row>
    <row r="1206" spans="1:18" s="893" customFormat="1" x14ac:dyDescent="0.3">
      <c r="A1206" s="888" t="s">
        <v>2062</v>
      </c>
      <c r="B1206" s="888" t="s">
        <v>1580</v>
      </c>
      <c r="C1206" s="961" t="s">
        <v>5336</v>
      </c>
      <c r="D1206" s="888"/>
      <c r="E1206" s="962" t="str">
        <f>$E$951</f>
        <v>2x4 WOOD FRAMING</v>
      </c>
      <c r="I1206" s="888"/>
      <c r="J1206" s="888"/>
      <c r="K1206" s="888"/>
      <c r="L1206" s="888"/>
      <c r="M1206" s="888"/>
      <c r="N1206" s="888"/>
      <c r="O1206" s="888"/>
      <c r="P1206" s="888"/>
      <c r="Q1206" s="888"/>
      <c r="R1206" s="888"/>
    </row>
    <row r="1207" spans="1:18" s="893" customFormat="1" x14ac:dyDescent="0.3">
      <c r="A1207" s="888" t="s">
        <v>2062</v>
      </c>
      <c r="B1207" s="888" t="s">
        <v>1580</v>
      </c>
      <c r="C1207" s="888" t="s">
        <v>5357</v>
      </c>
      <c r="D1207" s="888"/>
      <c r="E1207" s="962" t="str">
        <f>$E$952</f>
        <v>2x6 WOOD FRAMING</v>
      </c>
      <c r="I1207" s="888"/>
      <c r="J1207" s="888"/>
      <c r="K1207" s="888"/>
      <c r="L1207" s="888"/>
      <c r="M1207" s="888"/>
      <c r="N1207" s="888"/>
      <c r="O1207" s="888"/>
      <c r="P1207" s="888"/>
      <c r="Q1207" s="888"/>
      <c r="R1207" s="888"/>
    </row>
    <row r="1208" spans="1:18" s="893" customFormat="1" x14ac:dyDescent="0.3">
      <c r="A1208" s="888" t="s">
        <v>2062</v>
      </c>
      <c r="B1208" s="888" t="s">
        <v>1580</v>
      </c>
      <c r="C1208" s="888" t="s">
        <v>5376</v>
      </c>
      <c r="D1208" s="888"/>
      <c r="E1208" s="962" t="str">
        <f>$E$953</f>
        <v>2x8 WOOD FRAMING</v>
      </c>
      <c r="I1208" s="888"/>
      <c r="J1208" s="888"/>
      <c r="K1208" s="888"/>
      <c r="L1208" s="888"/>
      <c r="M1208" s="888"/>
      <c r="N1208" s="888"/>
      <c r="O1208" s="888"/>
      <c r="P1208" s="888"/>
      <c r="Q1208" s="888"/>
      <c r="R1208" s="888"/>
    </row>
    <row r="1209" spans="1:18" s="893" customFormat="1" x14ac:dyDescent="0.3">
      <c r="A1209" s="888" t="s">
        <v>2062</v>
      </c>
      <c r="B1209" s="888" t="s">
        <v>1580</v>
      </c>
      <c r="C1209" s="888" t="s">
        <v>5108</v>
      </c>
      <c r="D1209" s="888"/>
      <c r="E1209" s="962" t="str">
        <f>$E$954</f>
        <v>2x10 WOOD FRAMING</v>
      </c>
      <c r="I1209" s="888"/>
      <c r="J1209" s="888"/>
      <c r="K1209" s="888"/>
      <c r="L1209" s="888"/>
      <c r="M1209" s="888"/>
      <c r="N1209" s="888"/>
      <c r="O1209" s="888"/>
      <c r="P1209" s="888"/>
      <c r="Q1209" s="888"/>
      <c r="R1209" s="888"/>
    </row>
    <row r="1210" spans="1:18" s="893" customFormat="1" x14ac:dyDescent="0.3">
      <c r="A1210" s="888" t="s">
        <v>2062</v>
      </c>
      <c r="B1210" s="888" t="s">
        <v>1580</v>
      </c>
      <c r="C1210" s="888" t="s">
        <v>5413</v>
      </c>
      <c r="D1210" s="888"/>
      <c r="E1210" s="962" t="str">
        <f>$E$955</f>
        <v>2x12 WOOD FRAMING</v>
      </c>
      <c r="I1210" s="888"/>
      <c r="J1210" s="888"/>
      <c r="K1210" s="888"/>
      <c r="L1210" s="888"/>
      <c r="M1210" s="888"/>
      <c r="N1210" s="888"/>
      <c r="O1210" s="888"/>
      <c r="P1210" s="888"/>
      <c r="Q1210" s="888"/>
      <c r="R1210" s="888"/>
    </row>
    <row r="1211" spans="1:18" s="893" customFormat="1" x14ac:dyDescent="0.3">
      <c r="A1211" s="888" t="s">
        <v>2062</v>
      </c>
      <c r="B1211" s="959" t="s">
        <v>5111</v>
      </c>
      <c r="C1211" s="888" t="s">
        <v>3942</v>
      </c>
      <c r="D1211" s="888"/>
      <c r="E1211" s="893" t="str">
        <f>$E$950</f>
        <v>WOOD FRAMING</v>
      </c>
      <c r="I1211" s="888"/>
      <c r="J1211" s="888"/>
      <c r="K1211" s="888"/>
      <c r="L1211" s="888"/>
      <c r="M1211" s="888"/>
      <c r="N1211" s="888"/>
      <c r="O1211" s="888"/>
      <c r="P1211" s="888"/>
      <c r="Q1211" s="888"/>
      <c r="R1211" s="888"/>
    </row>
    <row r="1212" spans="1:18" s="893" customFormat="1" x14ac:dyDescent="0.3">
      <c r="A1212" s="888" t="s">
        <v>2062</v>
      </c>
      <c r="B1212" s="888" t="s">
        <v>1580</v>
      </c>
      <c r="C1212" s="888" t="s">
        <v>5434</v>
      </c>
      <c r="D1212" s="888"/>
      <c r="E1212" s="893" t="str">
        <f>$E$846</f>
        <v>WOOD TRUSS FRAMING</v>
      </c>
      <c r="I1212" s="888"/>
      <c r="J1212" s="888"/>
      <c r="K1212" s="888"/>
      <c r="L1212" s="888"/>
      <c r="M1212" s="888"/>
      <c r="N1212" s="888"/>
      <c r="O1212" s="888"/>
      <c r="P1212" s="888"/>
      <c r="Q1212" s="888"/>
      <c r="R1212" s="888"/>
    </row>
    <row r="1213" spans="1:18" s="893" customFormat="1" x14ac:dyDescent="0.3">
      <c r="A1213" s="888" t="s">
        <v>2062</v>
      </c>
      <c r="B1213" s="888" t="s">
        <v>1580</v>
      </c>
      <c r="C1213" s="888" t="s">
        <v>5440</v>
      </c>
      <c r="D1213" s="888"/>
      <c r="E1213" s="893" t="str">
        <f>$E$844</f>
        <v>WOOD I-JOIST FRAMING</v>
      </c>
      <c r="I1213" s="888"/>
      <c r="J1213" s="888"/>
      <c r="K1213" s="888"/>
      <c r="L1213" s="888"/>
      <c r="M1213" s="888"/>
      <c r="N1213" s="888"/>
      <c r="O1213" s="888"/>
      <c r="P1213" s="888"/>
      <c r="Q1213" s="888"/>
      <c r="R1213" s="888"/>
    </row>
    <row r="1214" spans="1:18" s="893" customFormat="1" x14ac:dyDescent="0.3">
      <c r="A1214" s="888" t="s">
        <v>2062</v>
      </c>
      <c r="B1214" s="888" t="s">
        <v>1580</v>
      </c>
      <c r="C1214" s="888" t="s">
        <v>7563</v>
      </c>
      <c r="D1214" s="888"/>
      <c r="E1214" s="893" t="str">
        <f>$E$959</f>
        <v>ROOF DECKING</v>
      </c>
      <c r="I1214" s="888"/>
      <c r="J1214" s="888"/>
      <c r="K1214" s="888"/>
      <c r="L1214" s="888"/>
      <c r="M1214" s="888"/>
      <c r="N1214" s="888"/>
      <c r="O1214" s="888"/>
      <c r="P1214" s="888"/>
      <c r="Q1214" s="888"/>
      <c r="R1214" s="888"/>
    </row>
    <row r="1215" spans="1:18" s="893" customFormat="1" x14ac:dyDescent="0.3">
      <c r="A1215" s="888" t="s">
        <v>2062</v>
      </c>
      <c r="B1215" s="888" t="s">
        <v>1580</v>
      </c>
      <c r="C1215" s="888" t="s">
        <v>5476</v>
      </c>
      <c r="D1215" s="888"/>
      <c r="E1215" s="893" t="str">
        <f>$E$961</f>
        <v>WOOD SHEET PRODUCTS - 5/8"</v>
      </c>
      <c r="I1215" s="888"/>
      <c r="J1215" s="888"/>
      <c r="K1215" s="888"/>
      <c r="L1215" s="888"/>
      <c r="M1215" s="888"/>
      <c r="N1215" s="888"/>
      <c r="O1215" s="888"/>
      <c r="P1215" s="888"/>
      <c r="Q1215" s="888"/>
      <c r="R1215" s="888"/>
    </row>
    <row r="1216" spans="1:18" s="893" customFormat="1" x14ac:dyDescent="0.3">
      <c r="A1216" s="888" t="s">
        <v>2062</v>
      </c>
      <c r="B1216" s="888" t="s">
        <v>1580</v>
      </c>
      <c r="C1216" s="888" t="s">
        <v>5488</v>
      </c>
      <c r="D1216" s="888"/>
      <c r="E1216" s="893" t="str">
        <f>$E$963</f>
        <v>GYPSUM PANELS 1/2"</v>
      </c>
      <c r="I1216" s="888"/>
      <c r="J1216" s="888"/>
      <c r="K1216" s="888"/>
      <c r="L1216" s="888"/>
      <c r="M1216" s="888"/>
      <c r="N1216" s="888"/>
      <c r="O1216" s="888"/>
      <c r="P1216" s="888"/>
      <c r="Q1216" s="888"/>
      <c r="R1216" s="888"/>
    </row>
    <row r="1217" spans="1:18" s="893" customFormat="1" x14ac:dyDescent="0.3">
      <c r="A1217" s="888" t="s">
        <v>2062</v>
      </c>
      <c r="B1217" s="888" t="s">
        <v>1580</v>
      </c>
      <c r="C1217" s="888" t="s">
        <v>7564</v>
      </c>
      <c r="D1217" s="888"/>
      <c r="E1217" s="893" t="str">
        <f>$E$964</f>
        <v>ROOFING MEMBRANE</v>
      </c>
      <c r="I1217" s="888"/>
      <c r="J1217" s="888"/>
      <c r="K1217" s="888"/>
      <c r="L1217" s="888"/>
      <c r="M1217" s="888"/>
      <c r="N1217" s="888"/>
      <c r="O1217" s="888"/>
      <c r="P1217" s="888"/>
      <c r="Q1217" s="888"/>
      <c r="R1217" s="888"/>
    </row>
    <row r="1218" spans="1:18" s="893" customFormat="1" x14ac:dyDescent="0.3">
      <c r="A1218" s="888" t="s">
        <v>2062</v>
      </c>
      <c r="B1218" s="888" t="s">
        <v>1580</v>
      </c>
      <c r="C1218" s="963" t="s">
        <v>5512</v>
      </c>
      <c r="D1218" s="888"/>
      <c r="E1218" s="893" t="str">
        <f>$E$964</f>
        <v>ROOFING MEMBRANE</v>
      </c>
      <c r="I1218" s="888"/>
      <c r="J1218" s="888"/>
      <c r="K1218" s="888"/>
      <c r="L1218" s="888"/>
      <c r="M1218" s="888"/>
      <c r="N1218" s="888"/>
      <c r="O1218" s="888"/>
      <c r="P1218" s="888"/>
      <c r="Q1218" s="888"/>
      <c r="R1218" s="888"/>
    </row>
    <row r="1219" spans="1:18" s="893" customFormat="1" x14ac:dyDescent="0.3">
      <c r="A1219" s="888" t="s">
        <v>2062</v>
      </c>
      <c r="B1219" s="888" t="s">
        <v>1580</v>
      </c>
      <c r="C1219" s="961" t="s">
        <v>5533</v>
      </c>
      <c r="D1219" s="888"/>
      <c r="E1219" s="962" t="str">
        <f>$E$233</f>
        <v>SHEET BARRIER</v>
      </c>
      <c r="I1219" s="888"/>
      <c r="J1219" s="888"/>
      <c r="K1219" s="888"/>
      <c r="L1219" s="888"/>
      <c r="M1219" s="888"/>
      <c r="N1219" s="888"/>
      <c r="O1219" s="888"/>
      <c r="P1219" s="888"/>
      <c r="Q1219" s="888"/>
      <c r="R1219" s="888"/>
    </row>
    <row r="1220" spans="1:18" s="893" customFormat="1" x14ac:dyDescent="0.3">
      <c r="A1220" s="888" t="s">
        <v>2062</v>
      </c>
      <c r="B1220" s="888" t="s">
        <v>1580</v>
      </c>
      <c r="C1220" s="961" t="s">
        <v>5537</v>
      </c>
      <c r="D1220" s="888"/>
      <c r="E1220" s="893" t="str">
        <f>$E$355</f>
        <v>Sheet barrier - AVERAGE</v>
      </c>
      <c r="I1220" s="888"/>
      <c r="J1220" s="888"/>
      <c r="K1220" s="888"/>
      <c r="L1220" s="888"/>
      <c r="M1220" s="888"/>
      <c r="N1220" s="888"/>
      <c r="O1220" s="888"/>
      <c r="P1220" s="888"/>
      <c r="Q1220" s="888"/>
      <c r="R1220" s="888"/>
    </row>
    <row r="1221" spans="1:18" s="893" customFormat="1" x14ac:dyDescent="0.3">
      <c r="A1221" s="888" t="s">
        <v>2062</v>
      </c>
      <c r="B1221" s="888" t="s">
        <v>1580</v>
      </c>
      <c r="C1221" s="961" t="s">
        <v>5560</v>
      </c>
      <c r="D1221" s="888"/>
      <c r="E1221" s="893" t="str">
        <f>$E$234</f>
        <v>LIQUID APPLIED BARRIER</v>
      </c>
      <c r="I1221" s="888"/>
      <c r="J1221" s="888"/>
      <c r="K1221" s="888"/>
      <c r="L1221" s="888"/>
      <c r="M1221" s="888"/>
      <c r="N1221" s="888"/>
      <c r="O1221" s="888"/>
      <c r="P1221" s="888"/>
      <c r="Q1221" s="888"/>
      <c r="R1221" s="888"/>
    </row>
    <row r="1222" spans="1:18" s="893" customFormat="1" x14ac:dyDescent="0.3">
      <c r="A1222" s="888" t="s">
        <v>2062</v>
      </c>
      <c r="B1222" s="888" t="s">
        <v>1580</v>
      </c>
      <c r="C1222" s="961" t="s">
        <v>5564</v>
      </c>
      <c r="D1222" s="888"/>
      <c r="E1222" s="962" t="str">
        <f>$E$357</f>
        <v>Liquid applied barrier - AVERAGE</v>
      </c>
      <c r="I1222" s="888"/>
      <c r="J1222" s="888"/>
      <c r="K1222" s="888"/>
      <c r="L1222" s="888"/>
      <c r="M1222" s="888"/>
      <c r="N1222" s="888"/>
      <c r="O1222" s="888"/>
      <c r="P1222" s="888"/>
      <c r="Q1222" s="888"/>
      <c r="R1222" s="888"/>
    </row>
    <row r="1223" spans="1:18" s="893" customFormat="1" x14ac:dyDescent="0.3">
      <c r="A1223" s="888" t="s">
        <v>2062</v>
      </c>
      <c r="B1223" s="888" t="s">
        <v>1580</v>
      </c>
      <c r="C1223" s="888" t="s">
        <v>7565</v>
      </c>
      <c r="D1223" s="888"/>
      <c r="E1223" s="893" t="str">
        <f>$E$970</f>
        <v>ROOF STRAPPING</v>
      </c>
      <c r="I1223" s="888"/>
      <c r="J1223" s="888"/>
      <c r="K1223" s="888"/>
      <c r="L1223" s="888"/>
      <c r="M1223" s="888"/>
      <c r="N1223" s="888"/>
      <c r="O1223" s="888"/>
      <c r="P1223" s="888"/>
      <c r="Q1223" s="888"/>
      <c r="R1223" s="888"/>
    </row>
    <row r="1224" spans="1:18" s="893" customFormat="1" x14ac:dyDescent="0.3">
      <c r="A1224" s="888" t="s">
        <v>2062</v>
      </c>
      <c r="B1224" s="888" t="s">
        <v>1580</v>
      </c>
      <c r="C1224" s="888" t="s">
        <v>5574</v>
      </c>
      <c r="D1224" s="888"/>
      <c r="E1224" s="893" t="str">
        <f>$E$724</f>
        <v>STRAPPING SPACING:</v>
      </c>
      <c r="I1224" s="888"/>
      <c r="J1224" s="888"/>
      <c r="K1224" s="888"/>
      <c r="L1224" s="888"/>
      <c r="M1224" s="888"/>
      <c r="N1224" s="888"/>
      <c r="O1224" s="888"/>
      <c r="P1224" s="888"/>
      <c r="Q1224" s="888"/>
      <c r="R1224" s="888"/>
    </row>
    <row r="1225" spans="1:18" s="893" customFormat="1" x14ac:dyDescent="0.3">
      <c r="A1225" s="888" t="s">
        <v>2062</v>
      </c>
      <c r="B1225" s="888" t="s">
        <v>1580</v>
      </c>
      <c r="C1225" s="961" t="s">
        <v>7035</v>
      </c>
      <c r="D1225" s="888"/>
      <c r="E1225" s="962" t="str">
        <f>$E$973</f>
        <v>1x3 WOOD STRAPPING</v>
      </c>
      <c r="I1225" s="888"/>
      <c r="J1225" s="888"/>
      <c r="K1225" s="888"/>
      <c r="L1225" s="888"/>
      <c r="M1225" s="888"/>
      <c r="N1225" s="888"/>
      <c r="O1225" s="888"/>
      <c r="P1225" s="888"/>
      <c r="Q1225" s="888"/>
      <c r="R1225" s="888"/>
    </row>
    <row r="1226" spans="1:18" s="893" customFormat="1" x14ac:dyDescent="0.3">
      <c r="A1226" s="888" t="s">
        <v>2062</v>
      </c>
      <c r="B1226" s="888" t="s">
        <v>1580</v>
      </c>
      <c r="C1226" s="961" t="s">
        <v>5592</v>
      </c>
      <c r="D1226" s="888"/>
      <c r="E1226" s="962" t="str">
        <f>$E$974</f>
        <v>1x4 WOOD STRAPPING</v>
      </c>
      <c r="I1226" s="888"/>
      <c r="J1226" s="888"/>
      <c r="K1226" s="888"/>
      <c r="L1226" s="888"/>
      <c r="M1226" s="888"/>
      <c r="N1226" s="888"/>
      <c r="O1226" s="888"/>
      <c r="P1226" s="888"/>
      <c r="Q1226" s="888"/>
      <c r="R1226" s="888"/>
    </row>
    <row r="1227" spans="1:18" s="893" customFormat="1" x14ac:dyDescent="0.3">
      <c r="A1227" s="888" t="s">
        <v>2062</v>
      </c>
      <c r="B1227" s="888" t="s">
        <v>1580</v>
      </c>
      <c r="C1227" s="961" t="s">
        <v>7050</v>
      </c>
      <c r="D1227" s="888"/>
      <c r="E1227" s="962" t="str">
        <f>$E$975</f>
        <v>2x4 WOOD STRAPPING</v>
      </c>
      <c r="I1227" s="888"/>
      <c r="J1227" s="888"/>
      <c r="K1227" s="888"/>
      <c r="L1227" s="888"/>
      <c r="M1227" s="888"/>
      <c r="N1227" s="888"/>
      <c r="O1227" s="888"/>
      <c r="P1227" s="888"/>
      <c r="Q1227" s="888"/>
      <c r="R1227" s="888"/>
    </row>
    <row r="1228" spans="1:18" s="893" customFormat="1" x14ac:dyDescent="0.3">
      <c r="A1228" s="888" t="s">
        <v>2062</v>
      </c>
      <c r="B1228" s="959" t="s">
        <v>5111</v>
      </c>
      <c r="C1228" s="888" t="s">
        <v>5101</v>
      </c>
      <c r="D1228" s="888"/>
      <c r="E1228" s="893" t="str">
        <f>$E$972</f>
        <v>WOOD STRAPPING</v>
      </c>
      <c r="I1228" s="888"/>
      <c r="J1228" s="888"/>
      <c r="K1228" s="888"/>
      <c r="L1228" s="888"/>
      <c r="M1228" s="888"/>
      <c r="N1228" s="888"/>
      <c r="O1228" s="888"/>
      <c r="P1228" s="888"/>
      <c r="Q1228" s="888"/>
      <c r="R1228" s="888"/>
    </row>
    <row r="1229" spans="1:18" s="893" customFormat="1" x14ac:dyDescent="0.3">
      <c r="A1229" s="888" t="s">
        <v>2062</v>
      </c>
      <c r="B1229" s="888" t="s">
        <v>1580</v>
      </c>
      <c r="C1229" s="888" t="s">
        <v>7566</v>
      </c>
      <c r="D1229" s="888"/>
      <c r="E1229" s="893" t="str">
        <f>$E$976</f>
        <v>ROOFING</v>
      </c>
      <c r="I1229" s="888"/>
      <c r="J1229" s="888"/>
      <c r="K1229" s="888"/>
      <c r="L1229" s="888"/>
      <c r="M1229" s="888"/>
      <c r="N1229" s="888"/>
      <c r="O1229" s="888"/>
      <c r="P1229" s="888"/>
      <c r="Q1229" s="888"/>
      <c r="R1229" s="888"/>
    </row>
    <row r="1230" spans="1:18" s="893" customFormat="1" x14ac:dyDescent="0.3">
      <c r="A1230" s="888" t="s">
        <v>2062</v>
      </c>
      <c r="B1230" s="888" t="s">
        <v>1580</v>
      </c>
      <c r="C1230" s="888" t="s">
        <v>5613</v>
      </c>
      <c r="D1230" s="888"/>
      <c r="E1230" s="893" t="str">
        <f>$E$977</f>
        <v>ASPHALT SHINGLES</v>
      </c>
      <c r="I1230" s="888"/>
      <c r="J1230" s="888"/>
      <c r="K1230" s="888"/>
      <c r="L1230" s="888"/>
      <c r="M1230" s="888"/>
      <c r="N1230" s="888"/>
      <c r="O1230" s="888"/>
      <c r="P1230" s="888"/>
      <c r="Q1230" s="888"/>
      <c r="R1230" s="888"/>
    </row>
    <row r="1231" spans="1:18" s="893" customFormat="1" x14ac:dyDescent="0.3">
      <c r="A1231" s="888" t="s">
        <v>2062</v>
      </c>
      <c r="B1231" s="888" t="s">
        <v>1580</v>
      </c>
      <c r="C1231" s="888" t="s">
        <v>5617</v>
      </c>
      <c r="D1231" s="888"/>
      <c r="E1231" s="893" t="str">
        <f>$E$978</f>
        <v>Asphalt Shingles - Roofing - AVERAGE</v>
      </c>
      <c r="I1231" s="888"/>
      <c r="J1231" s="888"/>
      <c r="K1231" s="888"/>
      <c r="L1231" s="888"/>
      <c r="M1231" s="888"/>
      <c r="N1231" s="888"/>
      <c r="O1231" s="888"/>
      <c r="P1231" s="888"/>
      <c r="Q1231" s="888"/>
      <c r="R1231" s="888"/>
    </row>
    <row r="1232" spans="1:18" s="893" customFormat="1" x14ac:dyDescent="0.3">
      <c r="A1232" s="888" t="s">
        <v>2062</v>
      </c>
      <c r="B1232" s="888" t="s">
        <v>1580</v>
      </c>
      <c r="C1232" s="888" t="s">
        <v>7567</v>
      </c>
      <c r="D1232" s="888"/>
      <c r="E1232" s="893" t="str">
        <f>$E$979</f>
        <v>STEEL PANELS</v>
      </c>
      <c r="I1232" s="888"/>
      <c r="J1232" s="888"/>
      <c r="K1232" s="888"/>
      <c r="L1232" s="888"/>
      <c r="M1232" s="888"/>
      <c r="N1232" s="888"/>
      <c r="O1232" s="888"/>
      <c r="P1232" s="888"/>
      <c r="Q1232" s="888"/>
      <c r="R1232" s="888"/>
    </row>
    <row r="1233" spans="1:18" s="893" customFormat="1" x14ac:dyDescent="0.3">
      <c r="A1233" s="888" t="s">
        <v>2062</v>
      </c>
      <c r="B1233" s="888" t="s">
        <v>1580</v>
      </c>
      <c r="C1233" s="888" t="s">
        <v>5638</v>
      </c>
      <c r="D1233" s="888"/>
      <c r="E1233" s="893" t="str">
        <f>$E$980</f>
        <v>Steel Panels - Roofing - AVERAGE</v>
      </c>
      <c r="I1233" s="888"/>
      <c r="J1233" s="888"/>
      <c r="K1233" s="888"/>
      <c r="L1233" s="888"/>
      <c r="M1233" s="888"/>
      <c r="N1233" s="888"/>
      <c r="O1233" s="888"/>
      <c r="P1233" s="888"/>
      <c r="Q1233" s="888"/>
      <c r="R1233" s="888"/>
    </row>
    <row r="1234" spans="1:18" s="893" customFormat="1" x14ac:dyDescent="0.3">
      <c r="A1234" s="888" t="s">
        <v>2062</v>
      </c>
      <c r="B1234" s="888" t="s">
        <v>1580</v>
      </c>
      <c r="C1234" s="888" t="s">
        <v>7568</v>
      </c>
      <c r="D1234" s="888"/>
      <c r="E1234" s="893" t="str">
        <f>$E$981</f>
        <v>ALUMINUM PANELS</v>
      </c>
      <c r="I1234" s="888"/>
      <c r="J1234" s="888"/>
      <c r="K1234" s="888"/>
      <c r="L1234" s="888"/>
      <c r="M1234" s="888"/>
      <c r="N1234" s="888"/>
      <c r="O1234" s="888"/>
      <c r="P1234" s="888"/>
      <c r="Q1234" s="888"/>
      <c r="R1234" s="888"/>
    </row>
    <row r="1235" spans="1:18" s="893" customFormat="1" x14ac:dyDescent="0.3">
      <c r="A1235" s="888" t="s">
        <v>2062</v>
      </c>
      <c r="B1235" s="888" t="s">
        <v>1580</v>
      </c>
      <c r="C1235" s="888" t="s">
        <v>7569</v>
      </c>
      <c r="D1235" s="888"/>
      <c r="E1235" s="893" t="str">
        <f>$E$982</f>
        <v>Aluminum l Panels - Roofing - AVERAGE</v>
      </c>
      <c r="I1235" s="888"/>
      <c r="J1235" s="888"/>
      <c r="K1235" s="888"/>
      <c r="L1235" s="888"/>
      <c r="M1235" s="888"/>
      <c r="N1235" s="888"/>
      <c r="O1235" s="888"/>
      <c r="P1235" s="888"/>
      <c r="Q1235" s="888"/>
      <c r="R1235" s="888"/>
    </row>
    <row r="1236" spans="1:18" s="893" customFormat="1" x14ac:dyDescent="0.3">
      <c r="A1236" s="888" t="s">
        <v>2062</v>
      </c>
      <c r="B1236" s="888" t="s">
        <v>1580</v>
      </c>
      <c r="C1236" s="888" t="s">
        <v>5657</v>
      </c>
      <c r="D1236" s="888"/>
      <c r="E1236" s="893" t="str">
        <f>$E$983</f>
        <v>FIBER CEMENT ROOFING</v>
      </c>
      <c r="I1236" s="888"/>
      <c r="J1236" s="888"/>
      <c r="K1236" s="888"/>
      <c r="L1236" s="888"/>
      <c r="M1236" s="888"/>
      <c r="N1236" s="888"/>
      <c r="O1236" s="888"/>
      <c r="P1236" s="888"/>
      <c r="Q1236" s="888"/>
      <c r="R1236" s="888"/>
    </row>
    <row r="1237" spans="1:18" s="893" customFormat="1" x14ac:dyDescent="0.3">
      <c r="A1237" s="888" t="s">
        <v>2062</v>
      </c>
      <c r="B1237" s="888" t="s">
        <v>1580</v>
      </c>
      <c r="C1237" s="888" t="s">
        <v>5662</v>
      </c>
      <c r="D1237" s="888"/>
      <c r="E1237" s="893" t="str">
        <f>$E$984</f>
        <v>Fiber Cement roofing - AVERAGE</v>
      </c>
      <c r="I1237" s="888"/>
      <c r="J1237" s="888"/>
      <c r="K1237" s="888"/>
      <c r="L1237" s="888"/>
      <c r="M1237" s="888"/>
      <c r="N1237" s="888"/>
      <c r="O1237" s="888"/>
      <c r="P1237" s="888"/>
      <c r="Q1237" s="888"/>
      <c r="R1237" s="888"/>
    </row>
    <row r="1238" spans="1:18" s="893" customFormat="1" x14ac:dyDescent="0.3">
      <c r="A1238" s="888" t="s">
        <v>2062</v>
      </c>
      <c r="B1238" s="888" t="s">
        <v>1580</v>
      </c>
      <c r="C1238" s="888" t="s">
        <v>7570</v>
      </c>
      <c r="D1238" s="888"/>
      <c r="E1238" s="893" t="str">
        <f>$E$985</f>
        <v>OTHER ROOFING OPTIONS</v>
      </c>
      <c r="I1238" s="888"/>
      <c r="J1238" s="888"/>
      <c r="K1238" s="888"/>
      <c r="L1238" s="888"/>
      <c r="M1238" s="888"/>
      <c r="N1238" s="888"/>
      <c r="O1238" s="888"/>
      <c r="P1238" s="888"/>
      <c r="Q1238" s="888"/>
      <c r="R1238" s="888"/>
    </row>
    <row r="1239" spans="1:18" x14ac:dyDescent="0.3">
      <c r="A1239" s="888" t="s">
        <v>2062</v>
      </c>
      <c r="B1239" s="888" t="s">
        <v>1429</v>
      </c>
      <c r="C1239" s="888" t="s">
        <v>2124</v>
      </c>
      <c r="E1239" s="893" t="s">
        <v>1742</v>
      </c>
    </row>
    <row r="1240" spans="1:18" x14ac:dyDescent="0.3">
      <c r="A1240" s="888" t="s">
        <v>2062</v>
      </c>
      <c r="B1240" s="888" t="s">
        <v>1429</v>
      </c>
      <c r="C1240" s="888" t="s">
        <v>2404</v>
      </c>
      <c r="E1240" s="893" t="s">
        <v>1704</v>
      </c>
    </row>
    <row r="1241" spans="1:18" ht="176.25" customHeight="1" x14ac:dyDescent="0.3">
      <c r="A1241" s="888" t="s">
        <v>2062</v>
      </c>
      <c r="B1241" s="888" t="s">
        <v>1429</v>
      </c>
      <c r="C1241" s="888" t="s">
        <v>2065</v>
      </c>
      <c r="D1241" s="888" t="b">
        <v>1</v>
      </c>
      <c r="E1241" s="1675" t="s">
        <v>4918</v>
      </c>
      <c r="F1241" s="1676"/>
      <c r="G1241" s="1676"/>
      <c r="H1241" s="1676"/>
    </row>
    <row r="1242" spans="1:18" ht="136.5" customHeight="1" x14ac:dyDescent="0.3">
      <c r="A1242" s="888" t="s">
        <v>2062</v>
      </c>
      <c r="B1242" s="888" t="s">
        <v>1429</v>
      </c>
      <c r="C1242" s="888" t="s">
        <v>2374</v>
      </c>
      <c r="D1242" s="888" t="b">
        <v>1</v>
      </c>
      <c r="E1242" s="1673" t="s">
        <v>7212</v>
      </c>
      <c r="F1242" s="1673"/>
      <c r="G1242" s="1673"/>
      <c r="H1242" s="1673"/>
      <c r="I1242" s="1673"/>
      <c r="J1242" s="1673"/>
      <c r="K1242" s="1673"/>
      <c r="L1242" s="1673"/>
    </row>
    <row r="1243" spans="1:18" ht="69.75" customHeight="1" x14ac:dyDescent="0.3">
      <c r="A1243" s="888" t="s">
        <v>2062</v>
      </c>
      <c r="B1243" s="888" t="s">
        <v>1429</v>
      </c>
      <c r="C1243" s="964" t="s">
        <v>5126</v>
      </c>
      <c r="D1243" s="888" t="b">
        <v>1</v>
      </c>
      <c r="E1243" s="1673" t="s">
        <v>1760</v>
      </c>
      <c r="F1243" s="1673"/>
    </row>
    <row r="1244" spans="1:18" x14ac:dyDescent="0.3">
      <c r="A1244" s="888" t="s">
        <v>2062</v>
      </c>
      <c r="B1244" s="888" t="s">
        <v>1429</v>
      </c>
      <c r="C1244" s="888" t="s">
        <v>2064</v>
      </c>
      <c r="E1244" s="888" t="str">
        <f>$E$170</f>
        <v>CATEGORY</v>
      </c>
    </row>
    <row r="1245" spans="1:18" x14ac:dyDescent="0.3">
      <c r="A1245" s="888" t="s">
        <v>2062</v>
      </c>
      <c r="B1245" s="888" t="s">
        <v>1429</v>
      </c>
      <c r="C1245" s="888" t="s">
        <v>2127</v>
      </c>
      <c r="E1245" s="893" t="str">
        <f>$E$171</f>
        <v>MATERIAL</v>
      </c>
    </row>
    <row r="1246" spans="1:18" x14ac:dyDescent="0.3">
      <c r="A1246" s="888" t="s">
        <v>2062</v>
      </c>
      <c r="B1246" s="888" t="s">
        <v>1429</v>
      </c>
      <c r="C1246" s="888" t="s">
        <v>2368</v>
      </c>
      <c r="E1246" s="893" t="str">
        <f>$E$127</f>
        <v>QUANTITY</v>
      </c>
    </row>
    <row r="1247" spans="1:18" x14ac:dyDescent="0.3">
      <c r="A1247" s="888" t="s">
        <v>2062</v>
      </c>
      <c r="B1247" s="888" t="s">
        <v>1429</v>
      </c>
      <c r="C1247" s="888" t="s">
        <v>3334</v>
      </c>
      <c r="E1247" s="893" t="str">
        <f>$E$77</f>
        <v>UNIT</v>
      </c>
    </row>
    <row r="1248" spans="1:18" x14ac:dyDescent="0.3">
      <c r="A1248" s="888" t="s">
        <v>2062</v>
      </c>
      <c r="B1248" s="888" t="s">
        <v>1429</v>
      </c>
      <c r="C1248" s="888" t="s">
        <v>2129</v>
      </c>
      <c r="E1248" s="888" t="str">
        <f>$E$173</f>
        <v xml:space="preserve"> SELECT</v>
      </c>
    </row>
    <row r="1249" spans="1:18" ht="15" customHeight="1" x14ac:dyDescent="0.3">
      <c r="A1249" s="888" t="s">
        <v>2062</v>
      </c>
      <c r="B1249" s="908" t="s">
        <v>3358</v>
      </c>
      <c r="C1249" s="888" t="s">
        <v>2130</v>
      </c>
      <c r="D1249" s="888" t="b">
        <v>1</v>
      </c>
      <c r="E1249" s="1669" t="str">
        <f>$E$174</f>
        <v>NET kgCO2e EMISSIONS</v>
      </c>
    </row>
    <row r="1250" spans="1:18" ht="15" customHeight="1" x14ac:dyDescent="0.3">
      <c r="A1250" s="888" t="s">
        <v>2083</v>
      </c>
      <c r="E1250" s="1670"/>
    </row>
    <row r="1251" spans="1:18" ht="23.25" customHeight="1" x14ac:dyDescent="0.3">
      <c r="A1251" s="888" t="s">
        <v>2062</v>
      </c>
      <c r="B1251" s="908" t="s">
        <v>3358</v>
      </c>
      <c r="C1251" s="888" t="s">
        <v>2131</v>
      </c>
      <c r="D1251" s="888" t="b">
        <v>1</v>
      </c>
      <c r="E1251" s="1669" t="str">
        <f>$E$176</f>
        <v>SELECTED MATERIAL kgCO2e CONTENT</v>
      </c>
    </row>
    <row r="1252" spans="1:18" ht="15" customHeight="1" x14ac:dyDescent="0.3">
      <c r="A1252" s="888" t="s">
        <v>2083</v>
      </c>
      <c r="E1252" s="1670"/>
    </row>
    <row r="1253" spans="1:18" ht="15" customHeight="1" x14ac:dyDescent="0.3">
      <c r="A1253" s="888" t="s">
        <v>2062</v>
      </c>
      <c r="B1253" s="888" t="s">
        <v>1429</v>
      </c>
      <c r="C1253" s="888" t="s">
        <v>2132</v>
      </c>
      <c r="D1253" s="888" t="b">
        <v>1</v>
      </c>
      <c r="E1253" s="1669" t="str">
        <f>$E$178</f>
        <v>kgCO2e EMISSIONS</v>
      </c>
    </row>
    <row r="1254" spans="1:18" ht="15" customHeight="1" x14ac:dyDescent="0.3">
      <c r="A1254" s="888" t="s">
        <v>2083</v>
      </c>
      <c r="E1254" s="1670"/>
    </row>
    <row r="1255" spans="1:18" s="893" customFormat="1" ht="15" customHeight="1" x14ac:dyDescent="0.3">
      <c r="A1255" s="888" t="s">
        <v>2062</v>
      </c>
      <c r="B1255" s="888" t="s">
        <v>1429</v>
      </c>
      <c r="C1255" s="888" t="s">
        <v>2070</v>
      </c>
      <c r="D1255" s="888" t="b">
        <v>1</v>
      </c>
      <c r="E1255" s="1669" t="str">
        <f>$E$180</f>
        <v>kgCO2 STORAGE</v>
      </c>
      <c r="I1255" s="888"/>
      <c r="J1255" s="888"/>
      <c r="K1255" s="888"/>
      <c r="L1255" s="888"/>
      <c r="M1255" s="888"/>
      <c r="N1255" s="888"/>
      <c r="O1255" s="888"/>
      <c r="P1255" s="888"/>
      <c r="Q1255" s="888"/>
      <c r="R1255" s="888"/>
    </row>
    <row r="1256" spans="1:18" s="893" customFormat="1" ht="15" customHeight="1" x14ac:dyDescent="0.3">
      <c r="A1256" s="888" t="s">
        <v>2083</v>
      </c>
      <c r="B1256" s="888"/>
      <c r="C1256" s="888"/>
      <c r="D1256" s="888"/>
      <c r="E1256" s="1670"/>
      <c r="I1256" s="888"/>
      <c r="J1256" s="888"/>
      <c r="K1256" s="888"/>
      <c r="L1256" s="888"/>
      <c r="M1256" s="888"/>
      <c r="N1256" s="888"/>
      <c r="O1256" s="888"/>
      <c r="P1256" s="888"/>
      <c r="Q1256" s="888"/>
      <c r="R1256" s="888"/>
    </row>
    <row r="1257" spans="1:18" s="893" customFormat="1" ht="15" customHeight="1" x14ac:dyDescent="0.3">
      <c r="A1257" s="888" t="s">
        <v>2062</v>
      </c>
      <c r="B1257" s="888" t="s">
        <v>1429</v>
      </c>
      <c r="C1257" s="916" t="s">
        <v>3335</v>
      </c>
      <c r="D1257" s="888" t="b">
        <v>1</v>
      </c>
      <c r="E1257" s="1520" t="str">
        <f>$E$182</f>
        <v xml:space="preserve">  Note</v>
      </c>
      <c r="F1257" s="1520"/>
      <c r="I1257" s="888"/>
      <c r="J1257" s="888"/>
      <c r="K1257" s="888"/>
      <c r="L1257" s="888"/>
      <c r="M1257" s="888"/>
      <c r="N1257" s="888"/>
      <c r="O1257" s="888"/>
      <c r="P1257" s="888"/>
      <c r="Q1257" s="888"/>
      <c r="R1257" s="888"/>
    </row>
    <row r="1258" spans="1:18" s="893" customFormat="1" ht="15" customHeight="1" x14ac:dyDescent="0.3">
      <c r="A1258" s="888" t="s">
        <v>2083</v>
      </c>
      <c r="B1258" s="888"/>
      <c r="C1258" s="888"/>
      <c r="D1258" s="888"/>
      <c r="E1258" s="1520"/>
      <c r="F1258" s="1520"/>
      <c r="I1258" s="888"/>
      <c r="J1258" s="888"/>
      <c r="K1258" s="888"/>
      <c r="L1258" s="888"/>
      <c r="M1258" s="888"/>
      <c r="N1258" s="888"/>
      <c r="O1258" s="888"/>
      <c r="P1258" s="888"/>
      <c r="Q1258" s="888"/>
      <c r="R1258" s="888"/>
    </row>
    <row r="1259" spans="1:18" s="893" customFormat="1" ht="15" customHeight="1" x14ac:dyDescent="0.3">
      <c r="A1259" s="888" t="s">
        <v>2062</v>
      </c>
      <c r="B1259" s="908" t="s">
        <v>3358</v>
      </c>
      <c r="C1259" s="916" t="s">
        <v>4961</v>
      </c>
      <c r="D1259" s="888" t="b">
        <v>1</v>
      </c>
      <c r="E1259" s="1669" t="str">
        <f>$E$184</f>
        <v>Include Long Cycle</v>
      </c>
      <c r="I1259" s="888"/>
      <c r="J1259" s="888"/>
      <c r="K1259" s="888"/>
      <c r="L1259" s="888"/>
      <c r="M1259" s="888"/>
      <c r="N1259" s="888"/>
      <c r="O1259" s="888"/>
      <c r="P1259" s="888"/>
      <c r="Q1259" s="888"/>
      <c r="R1259" s="888"/>
    </row>
    <row r="1260" spans="1:18" s="893" customFormat="1" ht="15" customHeight="1" x14ac:dyDescent="0.3">
      <c r="A1260" s="888" t="s">
        <v>2083</v>
      </c>
      <c r="B1260" s="888"/>
      <c r="C1260" s="888"/>
      <c r="D1260" s="888"/>
      <c r="E1260" s="1670"/>
      <c r="I1260" s="888"/>
      <c r="J1260" s="888"/>
      <c r="K1260" s="888"/>
      <c r="L1260" s="888"/>
      <c r="M1260" s="888"/>
      <c r="N1260" s="888"/>
      <c r="O1260" s="888"/>
      <c r="P1260" s="888"/>
      <c r="Q1260" s="888"/>
      <c r="R1260" s="888"/>
    </row>
    <row r="1261" spans="1:18" s="893" customFormat="1" ht="21" x14ac:dyDescent="0.3">
      <c r="A1261" s="888" t="s">
        <v>2062</v>
      </c>
      <c r="B1261" s="888" t="s">
        <v>1429</v>
      </c>
      <c r="C1261" s="916" t="s">
        <v>5112</v>
      </c>
      <c r="D1261" s="888" t="b">
        <v>1</v>
      </c>
      <c r="E1261" s="622" t="s">
        <v>7196</v>
      </c>
      <c r="I1261" s="888"/>
      <c r="J1261" s="888"/>
      <c r="K1261" s="888"/>
      <c r="L1261" s="888"/>
      <c r="M1261" s="888"/>
      <c r="N1261" s="888"/>
      <c r="O1261" s="888"/>
      <c r="P1261" s="888"/>
      <c r="Q1261" s="888"/>
      <c r="R1261" s="888"/>
    </row>
    <row r="1262" spans="1:18" s="893" customFormat="1" ht="21" x14ac:dyDescent="0.3">
      <c r="A1262" s="888" t="s">
        <v>2062</v>
      </c>
      <c r="B1262" s="888" t="s">
        <v>1429</v>
      </c>
      <c r="C1262" s="911" t="s">
        <v>3326</v>
      </c>
      <c r="D1262" s="888" t="b">
        <v>1</v>
      </c>
      <c r="E1262" s="622" t="s">
        <v>7186</v>
      </c>
      <c r="I1262" s="888"/>
      <c r="J1262" s="888"/>
      <c r="K1262" s="888"/>
      <c r="L1262" s="888"/>
      <c r="M1262" s="888"/>
      <c r="N1262" s="888"/>
      <c r="O1262" s="888"/>
      <c r="P1262" s="888"/>
      <c r="Q1262" s="888"/>
      <c r="R1262" s="888"/>
    </row>
    <row r="1263" spans="1:18" s="893" customFormat="1" x14ac:dyDescent="0.3">
      <c r="A1263" s="888" t="s">
        <v>2062</v>
      </c>
      <c r="B1263" s="888" t="s">
        <v>1429</v>
      </c>
      <c r="C1263" s="888" t="s">
        <v>2133</v>
      </c>
      <c r="D1263" s="888"/>
      <c r="E1263" s="893" t="s">
        <v>1721</v>
      </c>
      <c r="I1263" s="888"/>
      <c r="J1263" s="888"/>
      <c r="K1263" s="888"/>
      <c r="L1263" s="888"/>
      <c r="M1263" s="888"/>
      <c r="N1263" s="888"/>
      <c r="O1263" s="888"/>
      <c r="P1263" s="888"/>
      <c r="Q1263" s="888"/>
      <c r="R1263" s="888"/>
    </row>
    <row r="1264" spans="1:18" s="893" customFormat="1" x14ac:dyDescent="0.3">
      <c r="A1264" s="888" t="s">
        <v>2062</v>
      </c>
      <c r="B1264" s="888" t="s">
        <v>1429</v>
      </c>
      <c r="C1264" s="888" t="s">
        <v>2458</v>
      </c>
      <c r="D1264" s="888"/>
      <c r="E1264" s="893" t="s">
        <v>1724</v>
      </c>
      <c r="I1264" s="888"/>
      <c r="J1264" s="888"/>
      <c r="K1264" s="888"/>
      <c r="L1264" s="888"/>
      <c r="M1264" s="888"/>
      <c r="N1264" s="888"/>
      <c r="O1264" s="888"/>
      <c r="P1264" s="888"/>
      <c r="Q1264" s="888"/>
      <c r="R1264" s="888"/>
    </row>
    <row r="1265" spans="1:18" s="893" customFormat="1" x14ac:dyDescent="0.3">
      <c r="A1265" s="888" t="s">
        <v>2062</v>
      </c>
      <c r="B1265" s="888" t="s">
        <v>1429</v>
      </c>
      <c r="C1265" s="888" t="s">
        <v>2312</v>
      </c>
      <c r="D1265" s="888"/>
      <c r="E1265" s="893" t="s">
        <v>1396</v>
      </c>
      <c r="I1265" s="888"/>
      <c r="J1265" s="888"/>
      <c r="K1265" s="888"/>
      <c r="L1265" s="888"/>
      <c r="M1265" s="888"/>
      <c r="N1265" s="888"/>
      <c r="O1265" s="888"/>
      <c r="P1265" s="888"/>
      <c r="Q1265" s="888"/>
      <c r="R1265" s="888"/>
    </row>
    <row r="1266" spans="1:18" s="893" customFormat="1" x14ac:dyDescent="0.3">
      <c r="A1266" s="888" t="s">
        <v>2062</v>
      </c>
      <c r="B1266" s="888" t="s">
        <v>1429</v>
      </c>
      <c r="C1266" s="888" t="s">
        <v>2235</v>
      </c>
      <c r="D1266" s="888"/>
      <c r="E1266" s="893" t="str">
        <f>$E$1265</f>
        <v>VOLUME</v>
      </c>
      <c r="I1266" s="888"/>
      <c r="J1266" s="888"/>
      <c r="K1266" s="888"/>
      <c r="L1266" s="888"/>
      <c r="M1266" s="888"/>
      <c r="N1266" s="888"/>
      <c r="O1266" s="888"/>
      <c r="P1266" s="888"/>
      <c r="Q1266" s="888"/>
      <c r="R1266" s="888"/>
    </row>
    <row r="1267" spans="1:18" s="893" customFormat="1" x14ac:dyDescent="0.3">
      <c r="A1267" s="888" t="s">
        <v>2062</v>
      </c>
      <c r="B1267" s="888" t="s">
        <v>1429</v>
      </c>
      <c r="C1267" s="888" t="s">
        <v>2459</v>
      </c>
      <c r="D1267" s="888"/>
      <c r="E1267" s="893" t="str">
        <f>$E$1265</f>
        <v>VOLUME</v>
      </c>
      <c r="I1267" s="888"/>
      <c r="J1267" s="888"/>
      <c r="K1267" s="888"/>
      <c r="L1267" s="888"/>
      <c r="M1267" s="888"/>
      <c r="N1267" s="888"/>
      <c r="O1267" s="888"/>
      <c r="P1267" s="888"/>
      <c r="Q1267" s="888"/>
      <c r="R1267" s="888"/>
    </row>
    <row r="1268" spans="1:18" s="893" customFormat="1" x14ac:dyDescent="0.3">
      <c r="A1268" s="888" t="s">
        <v>2062</v>
      </c>
      <c r="B1268" s="888" t="s">
        <v>1429</v>
      </c>
      <c r="C1268" s="888" t="s">
        <v>2460</v>
      </c>
      <c r="D1268" s="888"/>
      <c r="E1268" s="893" t="s">
        <v>1725</v>
      </c>
      <c r="I1268" s="888"/>
      <c r="J1268" s="888"/>
      <c r="K1268" s="888"/>
      <c r="L1268" s="888"/>
      <c r="M1268" s="888"/>
      <c r="N1268" s="888"/>
      <c r="O1268" s="888"/>
      <c r="P1268" s="888"/>
      <c r="Q1268" s="888"/>
      <c r="R1268" s="888"/>
    </row>
    <row r="1269" spans="1:18" s="893" customFormat="1" x14ac:dyDescent="0.3">
      <c r="A1269" s="888" t="s">
        <v>2062</v>
      </c>
      <c r="B1269" s="888" t="s">
        <v>1429</v>
      </c>
      <c r="C1269" s="888" t="s">
        <v>2077</v>
      </c>
      <c r="D1269" s="888"/>
      <c r="E1269" s="893" t="s">
        <v>1398</v>
      </c>
      <c r="I1269" s="888"/>
      <c r="J1269" s="888"/>
      <c r="K1269" s="888"/>
      <c r="L1269" s="888"/>
      <c r="M1269" s="888"/>
      <c r="N1269" s="888"/>
      <c r="O1269" s="888"/>
      <c r="P1269" s="888"/>
      <c r="Q1269" s="888"/>
      <c r="R1269" s="888"/>
    </row>
    <row r="1270" spans="1:18" s="893" customFormat="1" x14ac:dyDescent="0.3">
      <c r="A1270" s="888" t="s">
        <v>2062</v>
      </c>
      <c r="B1270" s="888" t="s">
        <v>1429</v>
      </c>
      <c r="C1270" s="888" t="s">
        <v>2079</v>
      </c>
      <c r="D1270" s="888"/>
      <c r="E1270" s="893" t="str">
        <f>$E$1269</f>
        <v>AREA</v>
      </c>
      <c r="I1270" s="888"/>
      <c r="J1270" s="888"/>
      <c r="K1270" s="888"/>
      <c r="L1270" s="888"/>
      <c r="M1270" s="888"/>
      <c r="N1270" s="888"/>
      <c r="O1270" s="888"/>
      <c r="P1270" s="888"/>
      <c r="Q1270" s="888"/>
      <c r="R1270" s="888"/>
    </row>
    <row r="1271" spans="1:18" s="893" customFormat="1" x14ac:dyDescent="0.3">
      <c r="A1271" s="888" t="s">
        <v>2062</v>
      </c>
      <c r="B1271" s="888" t="s">
        <v>1429</v>
      </c>
      <c r="C1271" s="888" t="s">
        <v>2080</v>
      </c>
      <c r="D1271" s="888"/>
      <c r="E1271" s="893" t="str">
        <f>$E$1269</f>
        <v>AREA</v>
      </c>
      <c r="I1271" s="888"/>
      <c r="J1271" s="888"/>
      <c r="K1271" s="888"/>
      <c r="L1271" s="888"/>
      <c r="M1271" s="888"/>
      <c r="N1271" s="888"/>
      <c r="O1271" s="888"/>
      <c r="P1271" s="888"/>
      <c r="Q1271" s="888"/>
      <c r="R1271" s="888"/>
    </row>
    <row r="1272" spans="1:18" s="893" customFormat="1" x14ac:dyDescent="0.3">
      <c r="A1272" s="888" t="s">
        <v>2062</v>
      </c>
      <c r="B1272" s="888" t="s">
        <v>1429</v>
      </c>
      <c r="C1272" s="888" t="s">
        <v>2462</v>
      </c>
      <c r="D1272" s="888"/>
      <c r="E1272" s="893" t="s">
        <v>1726</v>
      </c>
      <c r="I1272" s="888"/>
      <c r="J1272" s="888"/>
      <c r="K1272" s="888"/>
      <c r="L1272" s="888"/>
      <c r="M1272" s="888"/>
      <c r="N1272" s="888"/>
      <c r="O1272" s="888"/>
      <c r="P1272" s="888"/>
      <c r="Q1272" s="888"/>
      <c r="R1272" s="888"/>
    </row>
    <row r="1273" spans="1:18" s="893" customFormat="1" x14ac:dyDescent="0.3">
      <c r="A1273" s="888" t="s">
        <v>2062</v>
      </c>
      <c r="B1273" s="888" t="s">
        <v>1429</v>
      </c>
      <c r="C1273" s="888" t="s">
        <v>2082</v>
      </c>
      <c r="D1273" s="888"/>
      <c r="E1273" s="893" t="s">
        <v>1397</v>
      </c>
      <c r="I1273" s="888"/>
      <c r="J1273" s="888"/>
      <c r="K1273" s="888"/>
      <c r="L1273" s="888"/>
      <c r="M1273" s="888"/>
      <c r="N1273" s="888"/>
      <c r="O1273" s="888"/>
      <c r="P1273" s="888"/>
      <c r="Q1273" s="888"/>
      <c r="R1273" s="888"/>
    </row>
    <row r="1274" spans="1:18" s="893" customFormat="1" x14ac:dyDescent="0.3">
      <c r="A1274" s="888" t="s">
        <v>2062</v>
      </c>
      <c r="B1274" s="888" t="s">
        <v>1429</v>
      </c>
      <c r="C1274" s="888" t="s">
        <v>2085</v>
      </c>
      <c r="D1274" s="888"/>
      <c r="E1274" s="893" t="str">
        <f>$E$1273</f>
        <v>LENGTH</v>
      </c>
      <c r="I1274" s="888"/>
      <c r="J1274" s="888"/>
      <c r="K1274" s="888"/>
      <c r="L1274" s="888"/>
      <c r="M1274" s="888"/>
      <c r="N1274" s="888"/>
      <c r="O1274" s="888"/>
      <c r="P1274" s="888"/>
      <c r="Q1274" s="888"/>
      <c r="R1274" s="888"/>
    </row>
    <row r="1275" spans="1:18" s="893" customFormat="1" x14ac:dyDescent="0.3">
      <c r="A1275" s="888" t="s">
        <v>2062</v>
      </c>
      <c r="B1275" s="888" t="s">
        <v>1429</v>
      </c>
      <c r="C1275" s="888" t="s">
        <v>2086</v>
      </c>
      <c r="D1275" s="888"/>
      <c r="E1275" s="893" t="str">
        <f>$E$1273</f>
        <v>LENGTH</v>
      </c>
      <c r="I1275" s="888"/>
      <c r="J1275" s="888"/>
      <c r="K1275" s="888"/>
      <c r="L1275" s="888"/>
      <c r="M1275" s="888"/>
      <c r="N1275" s="888"/>
      <c r="O1275" s="888"/>
      <c r="P1275" s="888"/>
      <c r="Q1275" s="888"/>
      <c r="R1275" s="888"/>
    </row>
    <row r="1276" spans="1:18" x14ac:dyDescent="0.3">
      <c r="A1276" s="888" t="s">
        <v>2062</v>
      </c>
      <c r="B1276" s="888" t="s">
        <v>1429</v>
      </c>
      <c r="C1276" s="888" t="s">
        <v>2467</v>
      </c>
      <c r="E1276" s="893" t="s">
        <v>3391</v>
      </c>
    </row>
    <row r="1277" spans="1:18" x14ac:dyDescent="0.3">
      <c r="A1277" s="888" t="s">
        <v>2062</v>
      </c>
      <c r="B1277" s="888" t="s">
        <v>1429</v>
      </c>
      <c r="C1277" s="888" t="s">
        <v>2205</v>
      </c>
      <c r="E1277" s="893" t="s">
        <v>1723</v>
      </c>
    </row>
    <row r="1278" spans="1:18" x14ac:dyDescent="0.3">
      <c r="A1278" s="888" t="s">
        <v>2083</v>
      </c>
      <c r="B1278" s="888" t="s">
        <v>3358</v>
      </c>
      <c r="C1278" s="888" t="s">
        <v>2092</v>
      </c>
      <c r="D1278" s="888" t="s">
        <v>3359</v>
      </c>
      <c r="E1278" s="893" t="s">
        <v>1098</v>
      </c>
    </row>
    <row r="1279" spans="1:18" x14ac:dyDescent="0.3">
      <c r="A1279" s="888" t="s">
        <v>2083</v>
      </c>
      <c r="B1279" s="888" t="s">
        <v>3358</v>
      </c>
      <c r="C1279" s="888" t="s">
        <v>2402</v>
      </c>
      <c r="D1279" s="888" t="s">
        <v>3359</v>
      </c>
      <c r="E1279" s="893" t="s">
        <v>1429</v>
      </c>
    </row>
    <row r="1280" spans="1:18" x14ac:dyDescent="0.3">
      <c r="A1280" s="888" t="s">
        <v>2083</v>
      </c>
      <c r="B1280" s="888" t="s">
        <v>3358</v>
      </c>
      <c r="C1280" s="888" t="s">
        <v>2093</v>
      </c>
      <c r="D1280" s="888" t="s">
        <v>3359</v>
      </c>
      <c r="E1280" s="893" t="str">
        <f>$E$1279</f>
        <v>User-Defined</v>
      </c>
    </row>
    <row r="1281" spans="1:18" x14ac:dyDescent="0.3">
      <c r="A1281" s="888" t="s">
        <v>2083</v>
      </c>
      <c r="B1281" s="888" t="s">
        <v>3358</v>
      </c>
      <c r="C1281" s="888" t="s">
        <v>2094</v>
      </c>
      <c r="D1281" s="888" t="s">
        <v>3359</v>
      </c>
      <c r="E1281" s="893" t="str">
        <f>$E$1279</f>
        <v>User-Defined</v>
      </c>
    </row>
    <row r="1282" spans="1:18" x14ac:dyDescent="0.3">
      <c r="A1282" s="888" t="s">
        <v>2083</v>
      </c>
      <c r="B1282" s="888" t="s">
        <v>3358</v>
      </c>
      <c r="C1282" s="888" t="s">
        <v>2095</v>
      </c>
      <c r="D1282" s="888" t="s">
        <v>3359</v>
      </c>
      <c r="E1282" s="893" t="str">
        <f>$E$1279</f>
        <v>User-Defined</v>
      </c>
    </row>
    <row r="1283" spans="1:18" ht="17.399999999999999" x14ac:dyDescent="0.3">
      <c r="A1283" s="888" t="s">
        <v>2062</v>
      </c>
      <c r="B1283" s="888" t="s">
        <v>1429</v>
      </c>
      <c r="C1283" s="888" t="s">
        <v>2096</v>
      </c>
      <c r="D1283" s="888" t="b">
        <v>1</v>
      </c>
      <c r="E1283" s="1674" t="s">
        <v>1727</v>
      </c>
      <c r="F1283" s="1674"/>
      <c r="G1283" s="1674"/>
      <c r="H1283" s="1674"/>
    </row>
    <row r="1284" spans="1:18" x14ac:dyDescent="0.3">
      <c r="A1284" s="888" t="s">
        <v>2062</v>
      </c>
      <c r="B1284" s="888" t="s">
        <v>1950</v>
      </c>
      <c r="C1284" s="888" t="s">
        <v>2124</v>
      </c>
      <c r="E1284" s="893" t="s">
        <v>1106</v>
      </c>
    </row>
    <row r="1285" spans="1:18" x14ac:dyDescent="0.3">
      <c r="A1285" s="888" t="s">
        <v>2062</v>
      </c>
      <c r="B1285" s="888" t="s">
        <v>1950</v>
      </c>
      <c r="C1285" s="888" t="s">
        <v>2371</v>
      </c>
      <c r="E1285" s="893" t="s">
        <v>1105</v>
      </c>
    </row>
    <row r="1286" spans="1:18" x14ac:dyDescent="0.3">
      <c r="A1286" s="888" t="s">
        <v>2062</v>
      </c>
      <c r="B1286" s="888" t="s">
        <v>1950</v>
      </c>
      <c r="C1286" s="888" t="s">
        <v>2063</v>
      </c>
      <c r="E1286" s="893" t="s">
        <v>1104</v>
      </c>
    </row>
    <row r="1287" spans="1:18" x14ac:dyDescent="0.3">
      <c r="A1287" s="888" t="s">
        <v>2062</v>
      </c>
      <c r="B1287" s="888" t="s">
        <v>1950</v>
      </c>
      <c r="C1287" s="888" t="s">
        <v>2065</v>
      </c>
      <c r="E1287" s="888" t="str">
        <f>$E$170</f>
        <v>CATEGORY</v>
      </c>
    </row>
    <row r="1288" spans="1:18" x14ac:dyDescent="0.3">
      <c r="A1288" s="888" t="s">
        <v>2062</v>
      </c>
      <c r="B1288" s="888" t="s">
        <v>1950</v>
      </c>
      <c r="C1288" s="888" t="s">
        <v>2372</v>
      </c>
      <c r="E1288" s="893" t="str">
        <f>$E$171</f>
        <v>MATERIAL</v>
      </c>
    </row>
    <row r="1289" spans="1:18" s="893" customFormat="1" ht="38.4" x14ac:dyDescent="0.3">
      <c r="A1289" s="888" t="s">
        <v>2062</v>
      </c>
      <c r="B1289" s="908" t="s">
        <v>7414</v>
      </c>
      <c r="C1289" s="888" t="s">
        <v>2373</v>
      </c>
      <c r="D1289" s="888" t="b">
        <v>1</v>
      </c>
      <c r="E1289" s="217" t="s">
        <v>1232</v>
      </c>
      <c r="I1289" s="888"/>
      <c r="J1289" s="888"/>
      <c r="K1289" s="888"/>
      <c r="L1289" s="888"/>
      <c r="M1289" s="888"/>
      <c r="N1289" s="888"/>
      <c r="O1289" s="888"/>
      <c r="P1289" s="888"/>
      <c r="Q1289" s="888"/>
      <c r="R1289" s="888"/>
    </row>
    <row r="1290" spans="1:18" s="893" customFormat="1" ht="38.4" x14ac:dyDescent="0.3">
      <c r="A1290" s="888" t="s">
        <v>2062</v>
      </c>
      <c r="B1290" s="888" t="s">
        <v>1950</v>
      </c>
      <c r="C1290" s="888" t="s">
        <v>2367</v>
      </c>
      <c r="D1290" s="888" t="b">
        <v>1</v>
      </c>
      <c r="E1290" s="217" t="s">
        <v>1233</v>
      </c>
      <c r="I1290" s="888"/>
      <c r="J1290" s="888"/>
      <c r="K1290" s="888"/>
      <c r="L1290" s="888"/>
      <c r="M1290" s="888"/>
      <c r="N1290" s="888"/>
      <c r="O1290" s="888"/>
      <c r="P1290" s="888"/>
      <c r="Q1290" s="888"/>
      <c r="R1290" s="888"/>
    </row>
    <row r="1291" spans="1:18" s="893" customFormat="1" ht="38.4" x14ac:dyDescent="0.3">
      <c r="A1291" s="888" t="s">
        <v>2062</v>
      </c>
      <c r="B1291" s="888" t="s">
        <v>1950</v>
      </c>
      <c r="C1291" s="888" t="s">
        <v>2374</v>
      </c>
      <c r="D1291" s="888" t="b">
        <v>1</v>
      </c>
      <c r="E1291" s="217" t="s">
        <v>7161</v>
      </c>
      <c r="F1291" s="965"/>
      <c r="I1291" s="888"/>
      <c r="J1291" s="888"/>
      <c r="K1291" s="888"/>
      <c r="L1291" s="888"/>
      <c r="M1291" s="888"/>
      <c r="N1291" s="888"/>
      <c r="O1291" s="888"/>
      <c r="P1291" s="888"/>
      <c r="Q1291" s="888"/>
      <c r="R1291" s="888"/>
    </row>
    <row r="1292" spans="1:18" s="893" customFormat="1" ht="38.4" x14ac:dyDescent="0.3">
      <c r="A1292" s="888" t="s">
        <v>2062</v>
      </c>
      <c r="B1292" s="908" t="s">
        <v>7414</v>
      </c>
      <c r="C1292" s="966" t="s">
        <v>5127</v>
      </c>
      <c r="D1292" s="888" t="b">
        <v>1</v>
      </c>
      <c r="E1292" s="217" t="s">
        <v>4082</v>
      </c>
      <c r="F1292" s="965"/>
      <c r="I1292" s="888"/>
      <c r="J1292" s="888"/>
      <c r="K1292" s="888"/>
      <c r="L1292" s="888"/>
      <c r="M1292" s="888"/>
      <c r="N1292" s="888"/>
      <c r="O1292" s="888"/>
      <c r="P1292" s="888"/>
      <c r="Q1292" s="888"/>
      <c r="R1292" s="888"/>
    </row>
    <row r="1293" spans="1:18" s="893" customFormat="1" x14ac:dyDescent="0.3">
      <c r="A1293" s="888" t="s">
        <v>2062</v>
      </c>
      <c r="B1293" s="888" t="s">
        <v>1950</v>
      </c>
      <c r="C1293" s="966" t="s">
        <v>5128</v>
      </c>
      <c r="D1293" s="888"/>
      <c r="E1293" s="888" t="s">
        <v>4049</v>
      </c>
      <c r="F1293" s="965"/>
      <c r="I1293" s="888"/>
      <c r="J1293" s="888"/>
      <c r="K1293" s="888"/>
      <c r="L1293" s="888"/>
      <c r="M1293" s="888"/>
      <c r="N1293" s="888"/>
      <c r="O1293" s="888"/>
      <c r="P1293" s="888"/>
      <c r="Q1293" s="888"/>
      <c r="R1293" s="888"/>
    </row>
    <row r="1294" spans="1:18" s="893" customFormat="1" x14ac:dyDescent="0.3">
      <c r="A1294" s="888" t="s">
        <v>2062</v>
      </c>
      <c r="B1294" s="888" t="s">
        <v>1951</v>
      </c>
      <c r="C1294" s="888" t="s">
        <v>2063</v>
      </c>
      <c r="D1294" s="888"/>
      <c r="E1294" s="888" t="s">
        <v>1794</v>
      </c>
      <c r="I1294" s="888"/>
      <c r="J1294" s="888"/>
      <c r="K1294" s="888"/>
      <c r="L1294" s="888"/>
      <c r="M1294" s="888"/>
      <c r="N1294" s="888"/>
      <c r="O1294" s="888"/>
      <c r="P1294" s="888"/>
      <c r="Q1294" s="888"/>
      <c r="R1294" s="888"/>
    </row>
    <row r="1295" spans="1:18" s="893" customFormat="1" x14ac:dyDescent="0.3">
      <c r="A1295" s="888" t="s">
        <v>2062</v>
      </c>
      <c r="B1295" s="888" t="s">
        <v>1951</v>
      </c>
      <c r="C1295" s="967" t="s">
        <v>6764</v>
      </c>
      <c r="D1295" s="888"/>
      <c r="E1295" s="893" t="s">
        <v>1754</v>
      </c>
      <c r="I1295" s="888"/>
      <c r="J1295" s="888"/>
      <c r="K1295" s="888"/>
      <c r="L1295" s="888"/>
      <c r="M1295" s="888"/>
      <c r="N1295" s="888"/>
      <c r="O1295" s="888"/>
      <c r="P1295" s="888"/>
      <c r="Q1295" s="888"/>
      <c r="R1295" s="888"/>
    </row>
    <row r="1296" spans="1:18" s="893" customFormat="1" x14ac:dyDescent="0.3">
      <c r="A1296" s="888" t="s">
        <v>2062</v>
      </c>
      <c r="B1296" s="888" t="s">
        <v>1951</v>
      </c>
      <c r="C1296" s="888" t="s">
        <v>2069</v>
      </c>
      <c r="D1296" s="888"/>
      <c r="E1296" s="893" t="s">
        <v>1629</v>
      </c>
      <c r="I1296" s="888"/>
      <c r="J1296" s="888"/>
      <c r="K1296" s="888"/>
      <c r="L1296" s="888"/>
      <c r="M1296" s="888"/>
      <c r="N1296" s="888"/>
      <c r="O1296" s="888"/>
      <c r="P1296" s="888"/>
      <c r="Q1296" s="888"/>
      <c r="R1296" s="888"/>
    </row>
    <row r="1297" spans="1:18" s="893" customFormat="1" x14ac:dyDescent="0.3">
      <c r="A1297" s="888" t="s">
        <v>2062</v>
      </c>
      <c r="B1297" s="888" t="s">
        <v>1951</v>
      </c>
      <c r="C1297" s="888" t="s">
        <v>2200</v>
      </c>
      <c r="D1297" s="888"/>
      <c r="E1297" s="893" t="s">
        <v>1619</v>
      </c>
      <c r="I1297" s="888"/>
      <c r="J1297" s="888"/>
      <c r="K1297" s="888"/>
      <c r="L1297" s="888"/>
      <c r="M1297" s="888"/>
      <c r="N1297" s="888"/>
      <c r="O1297" s="888"/>
      <c r="P1297" s="888"/>
      <c r="Q1297" s="888"/>
      <c r="R1297" s="888"/>
    </row>
    <row r="1298" spans="1:18" s="893" customFormat="1" x14ac:dyDescent="0.3">
      <c r="A1298" s="888" t="s">
        <v>2062</v>
      </c>
      <c r="B1298" s="888" t="s">
        <v>1951</v>
      </c>
      <c r="C1298" s="888" t="s">
        <v>4964</v>
      </c>
      <c r="D1298" s="888"/>
      <c r="E1298" s="893" t="s">
        <v>1630</v>
      </c>
      <c r="I1298" s="888"/>
      <c r="J1298" s="888"/>
      <c r="K1298" s="888"/>
      <c r="L1298" s="888"/>
      <c r="M1298" s="888"/>
      <c r="N1298" s="888"/>
      <c r="O1298" s="888"/>
      <c r="P1298" s="888"/>
      <c r="Q1298" s="888"/>
      <c r="R1298" s="888"/>
    </row>
    <row r="1299" spans="1:18" s="893" customFormat="1" x14ac:dyDescent="0.3">
      <c r="A1299" s="888" t="s">
        <v>2062</v>
      </c>
      <c r="B1299" s="888" t="s">
        <v>1951</v>
      </c>
      <c r="C1299" s="888" t="s">
        <v>4965</v>
      </c>
      <c r="D1299" s="888"/>
      <c r="E1299" s="893" t="s">
        <v>1550</v>
      </c>
      <c r="I1299" s="888"/>
      <c r="J1299" s="888"/>
      <c r="K1299" s="888"/>
      <c r="L1299" s="888"/>
      <c r="M1299" s="888"/>
      <c r="N1299" s="888"/>
      <c r="O1299" s="888"/>
      <c r="P1299" s="888"/>
      <c r="Q1299" s="888"/>
      <c r="R1299" s="888"/>
    </row>
    <row r="1300" spans="1:18" s="893" customFormat="1" x14ac:dyDescent="0.3">
      <c r="A1300" s="888" t="s">
        <v>2062</v>
      </c>
      <c r="B1300" s="888" t="s">
        <v>1951</v>
      </c>
      <c r="C1300" s="888" t="s">
        <v>4966</v>
      </c>
      <c r="D1300" s="888"/>
      <c r="E1300" s="893" t="s">
        <v>1753</v>
      </c>
      <c r="I1300" s="888"/>
      <c r="J1300" s="888"/>
      <c r="K1300" s="888"/>
      <c r="L1300" s="888"/>
      <c r="M1300" s="888"/>
      <c r="N1300" s="888"/>
      <c r="O1300" s="888"/>
      <c r="P1300" s="888"/>
      <c r="Q1300" s="888"/>
      <c r="R1300" s="888"/>
    </row>
    <row r="1301" spans="1:18" s="893" customFormat="1" x14ac:dyDescent="0.3">
      <c r="A1301" s="888" t="s">
        <v>2062</v>
      </c>
      <c r="B1301" s="888" t="s">
        <v>1951</v>
      </c>
      <c r="C1301" s="888" t="s">
        <v>4967</v>
      </c>
      <c r="D1301" s="888"/>
      <c r="E1301" s="893" t="s">
        <v>1620</v>
      </c>
      <c r="I1301" s="888"/>
      <c r="J1301" s="888"/>
      <c r="K1301" s="888"/>
      <c r="L1301" s="888"/>
      <c r="M1301" s="888"/>
      <c r="N1301" s="888"/>
      <c r="O1301" s="888"/>
      <c r="P1301" s="888"/>
      <c r="Q1301" s="888"/>
      <c r="R1301" s="888"/>
    </row>
    <row r="1302" spans="1:18" s="893" customFormat="1" x14ac:dyDescent="0.3">
      <c r="A1302" s="888" t="s">
        <v>2062</v>
      </c>
      <c r="B1302" s="888" t="s">
        <v>1951</v>
      </c>
      <c r="C1302" s="968" t="s">
        <v>4976</v>
      </c>
      <c r="D1302" s="888"/>
      <c r="E1302" s="969" t="s">
        <v>4073</v>
      </c>
      <c r="I1302" s="888"/>
      <c r="J1302" s="888"/>
      <c r="K1302" s="888"/>
      <c r="L1302" s="888"/>
      <c r="M1302" s="888"/>
      <c r="N1302" s="888"/>
      <c r="O1302" s="888"/>
      <c r="P1302" s="888"/>
      <c r="Q1302" s="888"/>
      <c r="R1302" s="888"/>
    </row>
    <row r="1303" spans="1:18" s="893" customFormat="1" ht="28.8" x14ac:dyDescent="0.3">
      <c r="A1303" s="888" t="s">
        <v>2072</v>
      </c>
      <c r="B1303" s="888" t="s">
        <v>1951</v>
      </c>
      <c r="C1303" s="893" t="s">
        <v>2376</v>
      </c>
      <c r="D1303" s="888"/>
      <c r="E1303" s="970" t="s">
        <v>2377</v>
      </c>
      <c r="I1303" s="888"/>
      <c r="J1303" s="888"/>
      <c r="K1303" s="888"/>
      <c r="L1303" s="888"/>
      <c r="M1303" s="888"/>
      <c r="N1303" s="888"/>
      <c r="O1303" s="888"/>
      <c r="P1303" s="888"/>
      <c r="Q1303" s="888"/>
      <c r="R1303" s="888"/>
    </row>
    <row r="1304" spans="1:18" s="893" customFormat="1" x14ac:dyDescent="0.3">
      <c r="A1304" s="888" t="s">
        <v>2062</v>
      </c>
      <c r="B1304" s="888" t="s">
        <v>1951</v>
      </c>
      <c r="C1304" s="888" t="s">
        <v>2378</v>
      </c>
      <c r="D1304" s="888"/>
      <c r="E1304" s="893" t="str">
        <f>$E$59</f>
        <v>Material Emissions</v>
      </c>
      <c r="I1304" s="888"/>
      <c r="J1304" s="888"/>
      <c r="K1304" s="888"/>
      <c r="L1304" s="888"/>
      <c r="M1304" s="888"/>
      <c r="N1304" s="888"/>
      <c r="O1304" s="888"/>
      <c r="P1304" s="888"/>
      <c r="Q1304" s="888"/>
      <c r="R1304" s="888"/>
    </row>
    <row r="1305" spans="1:18" s="893" customFormat="1" ht="15" thickBot="1" x14ac:dyDescent="0.35">
      <c r="A1305" s="888" t="s">
        <v>2062</v>
      </c>
      <c r="B1305" s="888" t="s">
        <v>1951</v>
      </c>
      <c r="C1305" s="888" t="s">
        <v>7489</v>
      </c>
      <c r="D1305" s="888"/>
      <c r="E1305" s="893" t="str">
        <f>$E$42</f>
        <v>Operational Emissions</v>
      </c>
      <c r="I1305" s="888"/>
      <c r="J1305" s="888"/>
      <c r="K1305" s="888"/>
      <c r="L1305" s="888"/>
      <c r="M1305" s="888"/>
      <c r="N1305" s="888"/>
      <c r="O1305" s="888"/>
      <c r="P1305" s="888"/>
      <c r="Q1305" s="888"/>
      <c r="R1305" s="888"/>
    </row>
    <row r="1306" spans="1:18" s="893" customFormat="1" ht="24.6" customHeight="1" thickBot="1" x14ac:dyDescent="0.35">
      <c r="A1306" s="888" t="s">
        <v>2062</v>
      </c>
      <c r="B1306" s="971" t="s">
        <v>5002</v>
      </c>
      <c r="C1306" s="968" t="s">
        <v>4972</v>
      </c>
      <c r="D1306" s="888" t="b">
        <v>1</v>
      </c>
      <c r="E1306" s="1679" t="s">
        <v>4974</v>
      </c>
      <c r="F1306" s="1680"/>
      <c r="G1306" s="888"/>
      <c r="I1306" s="888"/>
      <c r="J1306" s="888"/>
      <c r="K1306" s="888"/>
      <c r="L1306" s="888"/>
      <c r="M1306" s="888"/>
      <c r="N1306" s="888"/>
      <c r="O1306" s="888"/>
      <c r="P1306" s="888"/>
      <c r="Q1306" s="888"/>
      <c r="R1306" s="888"/>
    </row>
    <row r="1307" spans="1:18" s="893" customFormat="1" ht="21.6" thickBot="1" x14ac:dyDescent="0.35">
      <c r="A1307" s="888" t="s">
        <v>2062</v>
      </c>
      <c r="B1307" s="971" t="s">
        <v>1951</v>
      </c>
      <c r="C1307" s="971" t="s">
        <v>4972</v>
      </c>
      <c r="D1307" s="888" t="b">
        <v>1</v>
      </c>
      <c r="E1307" s="972" t="s">
        <v>4974</v>
      </c>
      <c r="G1307" s="888"/>
      <c r="I1307" s="888"/>
      <c r="J1307" s="888"/>
      <c r="K1307" s="888"/>
      <c r="L1307" s="888"/>
      <c r="M1307" s="888"/>
      <c r="N1307" s="888"/>
      <c r="O1307" s="888"/>
      <c r="P1307" s="888"/>
      <c r="Q1307" s="888"/>
      <c r="R1307" s="888"/>
    </row>
    <row r="1308" spans="1:18" s="893" customFormat="1" ht="22.2" customHeight="1" thickBot="1" x14ac:dyDescent="0.35">
      <c r="A1308" s="888" t="s">
        <v>2062</v>
      </c>
      <c r="B1308" s="971" t="s">
        <v>5002</v>
      </c>
      <c r="C1308" s="968" t="s">
        <v>4973</v>
      </c>
      <c r="D1308" s="888" t="b">
        <v>1</v>
      </c>
      <c r="E1308" s="1679" t="s">
        <v>7160</v>
      </c>
      <c r="F1308" s="1681"/>
      <c r="G1308" s="888"/>
      <c r="I1308" s="888"/>
      <c r="J1308" s="888"/>
      <c r="K1308" s="888"/>
      <c r="L1308" s="888"/>
      <c r="M1308" s="888"/>
      <c r="N1308" s="888"/>
      <c r="O1308" s="888"/>
      <c r="P1308" s="888"/>
      <c r="Q1308" s="888"/>
      <c r="R1308" s="888"/>
    </row>
    <row r="1309" spans="1:18" s="893" customFormat="1" ht="21.6" thickBot="1" x14ac:dyDescent="0.35">
      <c r="A1309" s="888" t="s">
        <v>2062</v>
      </c>
      <c r="B1309" s="971" t="s">
        <v>1951</v>
      </c>
      <c r="C1309" s="968" t="s">
        <v>4973</v>
      </c>
      <c r="D1309" s="888" t="b">
        <v>1</v>
      </c>
      <c r="E1309" s="973" t="s">
        <v>7160</v>
      </c>
      <c r="G1309" s="888"/>
      <c r="I1309" s="888"/>
      <c r="J1309" s="888"/>
      <c r="K1309" s="888"/>
      <c r="L1309" s="888"/>
      <c r="M1309" s="888"/>
      <c r="N1309" s="888"/>
      <c r="O1309" s="888"/>
      <c r="P1309" s="888"/>
      <c r="Q1309" s="888"/>
      <c r="R1309" s="888"/>
    </row>
    <row r="1310" spans="1:18" ht="15" thickBot="1" x14ac:dyDescent="0.35">
      <c r="A1310" s="888" t="s">
        <v>2062</v>
      </c>
      <c r="B1310" s="888" t="s">
        <v>1951</v>
      </c>
      <c r="C1310" s="968" t="s">
        <v>7490</v>
      </c>
      <c r="D1310" s="888" t="b">
        <v>1</v>
      </c>
      <c r="E1310" s="974" t="s">
        <v>4939</v>
      </c>
      <c r="G1310" s="888"/>
    </row>
    <row r="1311" spans="1:18" ht="15" thickBot="1" x14ac:dyDescent="0.35">
      <c r="A1311" s="888" t="s">
        <v>2062</v>
      </c>
      <c r="B1311" s="888" t="s">
        <v>1951</v>
      </c>
      <c r="C1311" s="968" t="s">
        <v>4971</v>
      </c>
      <c r="D1311" s="888" t="b">
        <v>1</v>
      </c>
      <c r="E1311" s="975" t="s">
        <v>4935</v>
      </c>
      <c r="G1311" s="888"/>
    </row>
    <row r="1312" spans="1:18" ht="21" thickBot="1" x14ac:dyDescent="0.35">
      <c r="A1312" s="888" t="s">
        <v>2062</v>
      </c>
      <c r="B1312" s="888" t="s">
        <v>1951</v>
      </c>
      <c r="C1312" s="968" t="s">
        <v>2081</v>
      </c>
      <c r="D1312" s="888" t="b">
        <v>1</v>
      </c>
      <c r="E1312" s="976" t="s">
        <v>4074</v>
      </c>
      <c r="G1312" s="888"/>
    </row>
    <row r="1313" spans="1:7" x14ac:dyDescent="0.3">
      <c r="A1313" s="888" t="s">
        <v>2062</v>
      </c>
      <c r="B1313" s="888" t="s">
        <v>1951</v>
      </c>
      <c r="C1313" s="968" t="s">
        <v>2463</v>
      </c>
      <c r="D1313" s="888" t="b">
        <v>1</v>
      </c>
      <c r="E1313" s="977" t="s">
        <v>5020</v>
      </c>
      <c r="G1313" s="888"/>
    </row>
    <row r="1314" spans="1:7" x14ac:dyDescent="0.3">
      <c r="A1314" s="888" t="s">
        <v>2062</v>
      </c>
      <c r="B1314" s="888" t="s">
        <v>1951</v>
      </c>
      <c r="C1314" s="968" t="s">
        <v>2082</v>
      </c>
      <c r="E1314" s="893" t="s">
        <v>4077</v>
      </c>
      <c r="G1314" s="888"/>
    </row>
    <row r="1315" spans="1:7" x14ac:dyDescent="0.3">
      <c r="A1315" s="888" t="s">
        <v>2062</v>
      </c>
      <c r="B1315" s="888" t="s">
        <v>1951</v>
      </c>
      <c r="C1315" s="968" t="s">
        <v>2464</v>
      </c>
      <c r="D1315" s="888" t="b">
        <v>1</v>
      </c>
      <c r="E1315" s="1677" t="s">
        <v>4968</v>
      </c>
      <c r="G1315" s="888"/>
    </row>
    <row r="1316" spans="1:7" ht="15" thickBot="1" x14ac:dyDescent="0.35">
      <c r="A1316" s="978" t="s">
        <v>2083</v>
      </c>
      <c r="E1316" s="1678"/>
    </row>
    <row r="1317" spans="1:7" x14ac:dyDescent="0.3">
      <c r="A1317" s="978" t="s">
        <v>2062</v>
      </c>
      <c r="B1317" s="888" t="s">
        <v>1951</v>
      </c>
      <c r="C1317" s="888" t="s">
        <v>7491</v>
      </c>
      <c r="E1317" s="888" t="s">
        <v>6782</v>
      </c>
    </row>
    <row r="1318" spans="1:7" x14ac:dyDescent="0.3">
      <c r="A1318" s="888" t="s">
        <v>2062</v>
      </c>
      <c r="B1318" s="888" t="s">
        <v>1951</v>
      </c>
      <c r="C1318" s="888" t="s">
        <v>2087</v>
      </c>
      <c r="E1318" s="893" t="s">
        <v>1638</v>
      </c>
    </row>
    <row r="1319" spans="1:7" x14ac:dyDescent="0.3">
      <c r="A1319" s="888" t="s">
        <v>2062</v>
      </c>
      <c r="B1319" s="888" t="s">
        <v>1951</v>
      </c>
      <c r="C1319" s="888" t="s">
        <v>2264</v>
      </c>
      <c r="E1319" s="893" t="s">
        <v>3486</v>
      </c>
    </row>
    <row r="1320" spans="1:7" x14ac:dyDescent="0.3">
      <c r="A1320" s="888" t="s">
        <v>2062</v>
      </c>
      <c r="B1320" s="888" t="s">
        <v>1951</v>
      </c>
      <c r="C1320" s="888" t="s">
        <v>2090</v>
      </c>
      <c r="E1320" s="893" t="s">
        <v>4072</v>
      </c>
    </row>
    <row r="1321" spans="1:7" x14ac:dyDescent="0.3">
      <c r="A1321" s="888" t="s">
        <v>2062</v>
      </c>
      <c r="B1321" s="888" t="s">
        <v>1951</v>
      </c>
      <c r="C1321" s="888" t="s">
        <v>2092</v>
      </c>
      <c r="E1321" s="893" t="s">
        <v>4085</v>
      </c>
    </row>
    <row r="1322" spans="1:7" x14ac:dyDescent="0.3">
      <c r="A1322" s="888" t="s">
        <v>2062</v>
      </c>
      <c r="B1322" s="888" t="s">
        <v>1951</v>
      </c>
      <c r="C1322" s="888" t="s">
        <v>2095</v>
      </c>
      <c r="E1322" s="893" t="s">
        <v>4086</v>
      </c>
    </row>
    <row r="1323" spans="1:7" x14ac:dyDescent="0.3">
      <c r="A1323" s="888" t="s">
        <v>2062</v>
      </c>
      <c r="B1323" s="888" t="s">
        <v>1951</v>
      </c>
      <c r="C1323" s="888" t="s">
        <v>2096</v>
      </c>
      <c r="E1323" s="893" t="s">
        <v>4087</v>
      </c>
    </row>
    <row r="1324" spans="1:7" x14ac:dyDescent="0.3">
      <c r="A1324" s="888" t="s">
        <v>2062</v>
      </c>
      <c r="B1324" s="888" t="s">
        <v>1951</v>
      </c>
      <c r="C1324" s="888" t="s">
        <v>2097</v>
      </c>
      <c r="E1324" s="893" t="s">
        <v>4088</v>
      </c>
    </row>
    <row r="1325" spans="1:7" x14ac:dyDescent="0.3">
      <c r="A1325" s="888" t="s">
        <v>2062</v>
      </c>
      <c r="B1325" s="888" t="s">
        <v>1951</v>
      </c>
      <c r="C1325" s="888" t="s">
        <v>2098</v>
      </c>
      <c r="E1325" s="893" t="s">
        <v>4089</v>
      </c>
    </row>
    <row r="1326" spans="1:7" x14ac:dyDescent="0.3">
      <c r="A1326" s="888" t="s">
        <v>2062</v>
      </c>
      <c r="B1326" s="888" t="s">
        <v>1951</v>
      </c>
      <c r="C1326" s="888" t="s">
        <v>2099</v>
      </c>
      <c r="E1326" s="893" t="s">
        <v>4090</v>
      </c>
    </row>
    <row r="1327" spans="1:7" x14ac:dyDescent="0.3">
      <c r="A1327" s="888" t="s">
        <v>2062</v>
      </c>
      <c r="B1327" s="888" t="s">
        <v>1951</v>
      </c>
      <c r="C1327" s="888" t="s">
        <v>2100</v>
      </c>
      <c r="E1327" s="893" t="s">
        <v>4091</v>
      </c>
    </row>
    <row r="1328" spans="1:7" x14ac:dyDescent="0.3">
      <c r="A1328" s="888" t="s">
        <v>2062</v>
      </c>
      <c r="B1328" s="888" t="s">
        <v>1951</v>
      </c>
      <c r="C1328" s="888" t="s">
        <v>2101</v>
      </c>
      <c r="E1328" s="893" t="s">
        <v>4092</v>
      </c>
    </row>
    <row r="1329" spans="1:12" x14ac:dyDescent="0.3">
      <c r="A1329" s="888" t="s">
        <v>2062</v>
      </c>
      <c r="B1329" s="888" t="s">
        <v>1951</v>
      </c>
      <c r="C1329" s="888" t="s">
        <v>2102</v>
      </c>
      <c r="E1329" s="893" t="s">
        <v>4093</v>
      </c>
    </row>
    <row r="1330" spans="1:12" x14ac:dyDescent="0.3">
      <c r="A1330" s="888" t="s">
        <v>2062</v>
      </c>
      <c r="B1330" s="888" t="s">
        <v>1951</v>
      </c>
      <c r="C1330" s="888" t="s">
        <v>2103</v>
      </c>
      <c r="E1330" s="893" t="s">
        <v>4982</v>
      </c>
    </row>
    <row r="1331" spans="1:12" x14ac:dyDescent="0.3">
      <c r="A1331" s="888" t="s">
        <v>2062</v>
      </c>
      <c r="B1331" s="888" t="s">
        <v>1951</v>
      </c>
      <c r="C1331" s="888" t="s">
        <v>2279</v>
      </c>
      <c r="E1331" s="965" t="s">
        <v>5131</v>
      </c>
    </row>
    <row r="1332" spans="1:12" x14ac:dyDescent="0.3">
      <c r="A1332" s="888" t="s">
        <v>2062</v>
      </c>
      <c r="B1332" s="888" t="s">
        <v>1951</v>
      </c>
      <c r="C1332" s="888" t="s">
        <v>2105</v>
      </c>
      <c r="E1332" s="893" t="s">
        <v>4983</v>
      </c>
    </row>
    <row r="1333" spans="1:12" x14ac:dyDescent="0.3">
      <c r="A1333" s="888" t="s">
        <v>2062</v>
      </c>
      <c r="B1333" s="888" t="s">
        <v>1951</v>
      </c>
      <c r="C1333" s="888" t="s">
        <v>2106</v>
      </c>
      <c r="E1333" s="893" t="s">
        <v>4984</v>
      </c>
    </row>
    <row r="1334" spans="1:12" x14ac:dyDescent="0.3">
      <c r="A1334" s="888" t="s">
        <v>2062</v>
      </c>
      <c r="B1334" s="888" t="s">
        <v>1951</v>
      </c>
      <c r="C1334" s="888" t="s">
        <v>2107</v>
      </c>
      <c r="E1334" s="893" t="s">
        <v>4985</v>
      </c>
    </row>
    <row r="1335" spans="1:12" x14ac:dyDescent="0.3">
      <c r="A1335" s="888" t="s">
        <v>2062</v>
      </c>
      <c r="B1335" s="888" t="s">
        <v>1951</v>
      </c>
      <c r="C1335" s="888" t="s">
        <v>2108</v>
      </c>
      <c r="E1335" s="893" t="s">
        <v>4986</v>
      </c>
    </row>
    <row r="1336" spans="1:12" x14ac:dyDescent="0.3">
      <c r="A1336" s="888" t="s">
        <v>2062</v>
      </c>
      <c r="B1336" s="968" t="s">
        <v>5002</v>
      </c>
      <c r="C1336" s="888" t="s">
        <v>2087</v>
      </c>
      <c r="D1336" s="968" t="s">
        <v>5003</v>
      </c>
      <c r="E1336" s="893" t="s">
        <v>1636</v>
      </c>
    </row>
    <row r="1337" spans="1:12" x14ac:dyDescent="0.3">
      <c r="A1337" s="888" t="s">
        <v>2062</v>
      </c>
      <c r="B1337" s="968" t="s">
        <v>5002</v>
      </c>
      <c r="C1337" s="888" t="s">
        <v>2096</v>
      </c>
      <c r="D1337" s="968" t="s">
        <v>5003</v>
      </c>
      <c r="E1337" s="893" t="s">
        <v>1621</v>
      </c>
    </row>
    <row r="1338" spans="1:12" ht="102.6" customHeight="1" x14ac:dyDescent="0.3">
      <c r="A1338" s="888" t="s">
        <v>2062</v>
      </c>
      <c r="B1338" s="968" t="s">
        <v>5002</v>
      </c>
      <c r="C1338" s="888" t="s">
        <v>2097</v>
      </c>
      <c r="D1338" s="968" t="s">
        <v>5004</v>
      </c>
      <c r="E1338" s="1672" t="s">
        <v>3495</v>
      </c>
      <c r="F1338" s="1672"/>
      <c r="G1338" s="1672"/>
      <c r="H1338" s="1672"/>
      <c r="I1338" s="1672"/>
      <c r="J1338" s="1672"/>
      <c r="K1338" s="1672"/>
      <c r="L1338" s="1672"/>
    </row>
    <row r="1339" spans="1:12" ht="14.4" customHeight="1" x14ac:dyDescent="0.3">
      <c r="A1339" s="888" t="s">
        <v>2062</v>
      </c>
      <c r="B1339" s="968" t="s">
        <v>1951</v>
      </c>
      <c r="C1339" s="888" t="s">
        <v>2273</v>
      </c>
      <c r="D1339" s="968"/>
      <c r="E1339" s="893" t="s">
        <v>4787</v>
      </c>
      <c r="F1339" s="979"/>
      <c r="G1339" s="979"/>
      <c r="H1339" s="979"/>
      <c r="I1339" s="979"/>
      <c r="J1339" s="979"/>
      <c r="K1339" s="979"/>
      <c r="L1339" s="979"/>
    </row>
    <row r="1340" spans="1:12" ht="14.4" customHeight="1" x14ac:dyDescent="0.3">
      <c r="A1340" s="888" t="s">
        <v>2062</v>
      </c>
      <c r="B1340" s="968" t="s">
        <v>1951</v>
      </c>
      <c r="C1340" s="888" t="s">
        <v>2528</v>
      </c>
      <c r="D1340" s="968"/>
      <c r="E1340" s="893" t="s">
        <v>4788</v>
      </c>
      <c r="F1340" s="979"/>
      <c r="G1340" s="979"/>
      <c r="H1340" s="979"/>
      <c r="I1340" s="979"/>
      <c r="J1340" s="979"/>
      <c r="K1340" s="979"/>
      <c r="L1340" s="979"/>
    </row>
    <row r="1341" spans="1:12" ht="14.4" customHeight="1" x14ac:dyDescent="0.3">
      <c r="A1341" s="888" t="s">
        <v>2062</v>
      </c>
      <c r="B1341" s="968" t="s">
        <v>1951</v>
      </c>
      <c r="C1341" s="888" t="s">
        <v>2285</v>
      </c>
      <c r="D1341" s="968"/>
      <c r="E1341" s="893" t="s">
        <v>4789</v>
      </c>
      <c r="F1341" s="979"/>
      <c r="G1341" s="979"/>
      <c r="H1341" s="979"/>
      <c r="I1341" s="979"/>
      <c r="J1341" s="979"/>
      <c r="K1341" s="979"/>
      <c r="L1341" s="979"/>
    </row>
    <row r="1342" spans="1:12" ht="14.4" customHeight="1" x14ac:dyDescent="0.3">
      <c r="A1342" s="888" t="s">
        <v>2062</v>
      </c>
      <c r="B1342" s="968" t="s">
        <v>1951</v>
      </c>
      <c r="C1342" s="888" t="s">
        <v>2298</v>
      </c>
      <c r="D1342" s="968"/>
      <c r="E1342" s="893" t="s">
        <v>4790</v>
      </c>
      <c r="F1342" s="979"/>
      <c r="G1342" s="979"/>
      <c r="H1342" s="979"/>
      <c r="I1342" s="979"/>
      <c r="J1342" s="979"/>
      <c r="K1342" s="979"/>
      <c r="L1342" s="979"/>
    </row>
    <row r="1343" spans="1:12" ht="14.4" customHeight="1" x14ac:dyDescent="0.3">
      <c r="A1343" s="888" t="s">
        <v>2062</v>
      </c>
      <c r="B1343" s="968" t="s">
        <v>1951</v>
      </c>
      <c r="C1343" s="888" t="s">
        <v>2152</v>
      </c>
      <c r="D1343" s="968"/>
      <c r="E1343" s="893" t="s">
        <v>4791</v>
      </c>
      <c r="F1343" s="979"/>
      <c r="G1343" s="979"/>
      <c r="H1343" s="979"/>
      <c r="I1343" s="979"/>
      <c r="J1343" s="979"/>
      <c r="K1343" s="979"/>
      <c r="L1343" s="979"/>
    </row>
    <row r="1344" spans="1:12" ht="14.4" customHeight="1" x14ac:dyDescent="0.3">
      <c r="A1344" s="888" t="s">
        <v>2062</v>
      </c>
      <c r="B1344" s="968" t="s">
        <v>1951</v>
      </c>
      <c r="C1344" s="888" t="s">
        <v>2299</v>
      </c>
      <c r="D1344" s="968"/>
      <c r="E1344" s="893" t="s">
        <v>5005</v>
      </c>
      <c r="F1344" s="979"/>
      <c r="G1344" s="979"/>
      <c r="H1344" s="979"/>
      <c r="I1344" s="979"/>
      <c r="J1344" s="979"/>
      <c r="K1344" s="979"/>
      <c r="L1344" s="979"/>
    </row>
    <row r="1345" spans="1:18" ht="14.4" customHeight="1" x14ac:dyDescent="0.3">
      <c r="A1345" s="888" t="s">
        <v>2062</v>
      </c>
      <c r="B1345" s="968" t="s">
        <v>1951</v>
      </c>
      <c r="C1345" s="888" t="s">
        <v>2153</v>
      </c>
      <c r="D1345" s="968"/>
      <c r="E1345" s="893" t="s">
        <v>4793</v>
      </c>
      <c r="F1345" s="979"/>
      <c r="G1345" s="979"/>
      <c r="H1345" s="979"/>
      <c r="I1345" s="979"/>
      <c r="J1345" s="979"/>
      <c r="K1345" s="979"/>
      <c r="L1345" s="979"/>
    </row>
    <row r="1346" spans="1:18" ht="14.4" customHeight="1" x14ac:dyDescent="0.3">
      <c r="A1346" s="888" t="s">
        <v>2062</v>
      </c>
      <c r="B1346" s="968" t="s">
        <v>1951</v>
      </c>
      <c r="C1346" s="888" t="s">
        <v>2217</v>
      </c>
      <c r="D1346" s="968"/>
      <c r="E1346" s="893" t="s">
        <v>4794</v>
      </c>
      <c r="F1346" s="979"/>
      <c r="G1346" s="979"/>
      <c r="H1346" s="979"/>
      <c r="I1346" s="979"/>
      <c r="J1346" s="979"/>
      <c r="K1346" s="979"/>
      <c r="L1346" s="979"/>
    </row>
    <row r="1347" spans="1:18" x14ac:dyDescent="0.3">
      <c r="A1347" s="888" t="s">
        <v>2062</v>
      </c>
      <c r="B1347" s="888" t="s">
        <v>1951</v>
      </c>
      <c r="C1347" s="980" t="s">
        <v>2181</v>
      </c>
      <c r="E1347" s="893" t="s">
        <v>1551</v>
      </c>
    </row>
    <row r="1348" spans="1:18" x14ac:dyDescent="0.3">
      <c r="A1348" s="888" t="s">
        <v>2062</v>
      </c>
      <c r="B1348" s="888" t="s">
        <v>1951</v>
      </c>
      <c r="C1348" s="980" t="s">
        <v>2287</v>
      </c>
      <c r="E1348" s="893" t="s">
        <v>1755</v>
      </c>
    </row>
    <row r="1349" spans="1:18" x14ac:dyDescent="0.3">
      <c r="A1349" s="888" t="s">
        <v>2062</v>
      </c>
      <c r="B1349" s="888" t="s">
        <v>1951</v>
      </c>
      <c r="C1349" s="980" t="s">
        <v>2255</v>
      </c>
      <c r="E1349" s="893" t="s">
        <v>4940</v>
      </c>
    </row>
    <row r="1350" spans="1:18" x14ac:dyDescent="0.3">
      <c r="A1350" s="888" t="s">
        <v>2062</v>
      </c>
      <c r="B1350" s="888" t="s">
        <v>1951</v>
      </c>
      <c r="C1350" s="980" t="s">
        <v>2566</v>
      </c>
      <c r="E1350" s="893" t="s">
        <v>1631</v>
      </c>
    </row>
    <row r="1351" spans="1:18" x14ac:dyDescent="0.3">
      <c r="A1351" s="888" t="s">
        <v>2062</v>
      </c>
      <c r="B1351" s="888" t="s">
        <v>1951</v>
      </c>
      <c r="C1351" s="980" t="s">
        <v>2329</v>
      </c>
      <c r="D1351" s="888" t="b">
        <v>1</v>
      </c>
      <c r="E1351" s="981" t="s">
        <v>1637</v>
      </c>
    </row>
    <row r="1352" spans="1:18" x14ac:dyDescent="0.3">
      <c r="A1352" s="888" t="s">
        <v>2062</v>
      </c>
      <c r="B1352" s="888" t="s">
        <v>1951</v>
      </c>
      <c r="C1352" s="980" t="s">
        <v>2568</v>
      </c>
      <c r="E1352" s="893" t="s">
        <v>1107</v>
      </c>
    </row>
    <row r="1353" spans="1:18" x14ac:dyDescent="0.3">
      <c r="A1353" s="888" t="s">
        <v>2062</v>
      </c>
      <c r="B1353" s="888" t="s">
        <v>1951</v>
      </c>
      <c r="C1353" s="980" t="s">
        <v>5015</v>
      </c>
      <c r="E1353" s="893" t="s">
        <v>103</v>
      </c>
    </row>
    <row r="1354" spans="1:18" x14ac:dyDescent="0.3">
      <c r="A1354" s="888" t="s">
        <v>2062</v>
      </c>
      <c r="B1354" s="888" t="s">
        <v>1951</v>
      </c>
      <c r="C1354" s="980" t="s">
        <v>2165</v>
      </c>
      <c r="E1354" s="893" t="s">
        <v>4084</v>
      </c>
    </row>
    <row r="1355" spans="1:18" x14ac:dyDescent="0.3">
      <c r="A1355" s="888" t="s">
        <v>2062</v>
      </c>
      <c r="B1355" s="888" t="s">
        <v>1951</v>
      </c>
      <c r="C1355" s="980" t="s">
        <v>2190</v>
      </c>
      <c r="E1355" s="982" t="str">
        <f>$E$1350</f>
        <v>Rank</v>
      </c>
    </row>
    <row r="1356" spans="1:18" x14ac:dyDescent="0.3">
      <c r="A1356" s="888" t="s">
        <v>2062</v>
      </c>
      <c r="B1356" s="888" t="s">
        <v>1951</v>
      </c>
      <c r="C1356" s="980" t="s">
        <v>2579</v>
      </c>
      <c r="D1356" s="888" t="b">
        <v>1</v>
      </c>
      <c r="E1356" s="983" t="str">
        <f>$E$1351</f>
        <v>kg CO2e</v>
      </c>
    </row>
    <row r="1357" spans="1:18" x14ac:dyDescent="0.3">
      <c r="A1357" s="888" t="s">
        <v>2062</v>
      </c>
      <c r="B1357" s="888" t="s">
        <v>1951</v>
      </c>
      <c r="C1357" s="980" t="s">
        <v>5016</v>
      </c>
      <c r="E1357" s="982" t="str">
        <f>$E$1352</f>
        <v>Section</v>
      </c>
    </row>
    <row r="1358" spans="1:18" x14ac:dyDescent="0.3">
      <c r="A1358" s="888" t="s">
        <v>2062</v>
      </c>
      <c r="B1358" s="888" t="s">
        <v>1951</v>
      </c>
      <c r="C1358" s="980" t="s">
        <v>5017</v>
      </c>
      <c r="E1358" s="982" t="str">
        <f>$E$1353</f>
        <v>Material</v>
      </c>
    </row>
    <row r="1359" spans="1:18" s="893" customFormat="1" x14ac:dyDescent="0.3">
      <c r="A1359" s="888" t="s">
        <v>2072</v>
      </c>
      <c r="B1359" s="888" t="s">
        <v>1951</v>
      </c>
      <c r="C1359" s="888" t="s">
        <v>2073</v>
      </c>
      <c r="D1359" s="888"/>
      <c r="E1359" s="893" t="s">
        <v>2381</v>
      </c>
      <c r="I1359" s="888"/>
      <c r="J1359" s="888"/>
      <c r="K1359" s="888"/>
      <c r="L1359" s="888"/>
      <c r="M1359" s="888"/>
      <c r="N1359" s="888"/>
      <c r="O1359" s="888"/>
      <c r="P1359" s="888"/>
      <c r="Q1359" s="888"/>
      <c r="R1359" s="888"/>
    </row>
    <row r="1360" spans="1:18" s="893" customFormat="1" x14ac:dyDescent="0.3">
      <c r="A1360" s="888" t="s">
        <v>2072</v>
      </c>
      <c r="B1360" s="984" t="s">
        <v>5002</v>
      </c>
      <c r="C1360" s="888" t="s">
        <v>2382</v>
      </c>
      <c r="D1360" s="888" t="s">
        <v>2383</v>
      </c>
      <c r="E1360" s="985" t="s">
        <v>2384</v>
      </c>
      <c r="I1360" s="888"/>
      <c r="J1360" s="888"/>
      <c r="K1360" s="888"/>
      <c r="L1360" s="888"/>
      <c r="M1360" s="888"/>
      <c r="N1360" s="888"/>
      <c r="O1360" s="888"/>
      <c r="P1360" s="888"/>
      <c r="Q1360" s="888"/>
      <c r="R1360" s="888"/>
    </row>
    <row r="1361" spans="1:18" s="893" customFormat="1" x14ac:dyDescent="0.3">
      <c r="A1361" s="888" t="s">
        <v>2385</v>
      </c>
      <c r="B1361" s="888" t="s">
        <v>1951</v>
      </c>
      <c r="C1361" s="984" t="s">
        <v>5021</v>
      </c>
      <c r="D1361" s="888" t="s">
        <v>2386</v>
      </c>
      <c r="E1361" s="893" t="s">
        <v>2387</v>
      </c>
      <c r="I1361" s="888"/>
      <c r="J1361" s="888"/>
      <c r="K1361" s="888"/>
      <c r="L1361" s="888"/>
      <c r="M1361" s="888"/>
      <c r="N1361" s="888"/>
      <c r="O1361" s="888"/>
      <c r="P1361" s="888"/>
      <c r="Q1361" s="888"/>
      <c r="R1361" s="888"/>
    </row>
    <row r="1362" spans="1:18" s="893" customFormat="1" x14ac:dyDescent="0.3">
      <c r="A1362" s="888" t="s">
        <v>2385</v>
      </c>
      <c r="B1362" s="888" t="s">
        <v>1951</v>
      </c>
      <c r="C1362" s="984" t="s">
        <v>5021</v>
      </c>
      <c r="D1362" s="888" t="s">
        <v>2388</v>
      </c>
      <c r="E1362" s="986" t="s">
        <v>2389</v>
      </c>
      <c r="I1362" s="888"/>
      <c r="J1362" s="888"/>
      <c r="K1362" s="888"/>
      <c r="L1362" s="888"/>
      <c r="M1362" s="888"/>
      <c r="N1362" s="888"/>
      <c r="O1362" s="888"/>
      <c r="P1362" s="888"/>
      <c r="Q1362" s="888"/>
      <c r="R1362" s="888"/>
    </row>
    <row r="1363" spans="1:18" s="893" customFormat="1" x14ac:dyDescent="0.3">
      <c r="A1363" s="888" t="s">
        <v>2385</v>
      </c>
      <c r="B1363" s="888" t="s">
        <v>1951</v>
      </c>
      <c r="C1363" s="984" t="s">
        <v>5021</v>
      </c>
      <c r="D1363" s="888" t="s">
        <v>2390</v>
      </c>
      <c r="E1363" s="893" t="s">
        <v>2391</v>
      </c>
      <c r="I1363" s="888"/>
      <c r="J1363" s="888"/>
      <c r="K1363" s="888"/>
      <c r="L1363" s="888"/>
      <c r="M1363" s="888"/>
      <c r="N1363" s="888"/>
      <c r="O1363" s="888"/>
      <c r="P1363" s="888"/>
      <c r="Q1363" s="888"/>
      <c r="R1363" s="888"/>
    </row>
    <row r="1364" spans="1:18" s="893" customFormat="1" ht="18.600000000000001" x14ac:dyDescent="0.3">
      <c r="A1364" s="888" t="s">
        <v>2385</v>
      </c>
      <c r="B1364" s="888" t="s">
        <v>1951</v>
      </c>
      <c r="C1364" s="984" t="s">
        <v>5022</v>
      </c>
      <c r="D1364" s="888" t="s">
        <v>2388</v>
      </c>
      <c r="E1364" s="987" t="s">
        <v>2392</v>
      </c>
      <c r="I1364" s="888"/>
      <c r="J1364" s="888"/>
      <c r="K1364" s="888"/>
      <c r="L1364" s="888"/>
      <c r="M1364" s="888"/>
      <c r="N1364" s="888"/>
      <c r="O1364" s="888"/>
      <c r="P1364" s="888"/>
      <c r="Q1364" s="888"/>
      <c r="R1364" s="888"/>
    </row>
    <row r="1365" spans="1:18" s="893" customFormat="1" ht="17.399999999999999" x14ac:dyDescent="0.35">
      <c r="A1365" s="888" t="s">
        <v>2072</v>
      </c>
      <c r="B1365" s="888" t="s">
        <v>1951</v>
      </c>
      <c r="C1365" s="968" t="s">
        <v>4970</v>
      </c>
      <c r="D1365" s="888" t="s">
        <v>2383</v>
      </c>
      <c r="E1365" s="988" t="s">
        <v>5019</v>
      </c>
      <c r="I1365" s="888"/>
      <c r="J1365" s="888"/>
      <c r="K1365" s="888"/>
      <c r="L1365" s="888"/>
      <c r="M1365" s="888"/>
      <c r="N1365" s="888"/>
      <c r="O1365" s="888"/>
      <c r="P1365" s="888"/>
      <c r="Q1365" s="888"/>
      <c r="R1365" s="888"/>
    </row>
    <row r="1366" spans="1:18" s="893" customFormat="1" x14ac:dyDescent="0.3">
      <c r="A1366" s="888" t="s">
        <v>2072</v>
      </c>
      <c r="B1366" s="888" t="s">
        <v>1951</v>
      </c>
      <c r="C1366" s="989" t="s">
        <v>6775</v>
      </c>
      <c r="D1366" s="888" t="s">
        <v>2383</v>
      </c>
      <c r="E1366" s="888" t="s">
        <v>5023</v>
      </c>
      <c r="I1366" s="888"/>
      <c r="J1366" s="888"/>
      <c r="K1366" s="888"/>
      <c r="L1366" s="888"/>
      <c r="M1366" s="888"/>
      <c r="N1366" s="888"/>
      <c r="O1366" s="888"/>
      <c r="P1366" s="888"/>
      <c r="Q1366" s="888"/>
      <c r="R1366" s="888"/>
    </row>
    <row r="1367" spans="1:18" s="893" customFormat="1" ht="15.6" x14ac:dyDescent="0.35">
      <c r="A1367" s="888" t="s">
        <v>2072</v>
      </c>
      <c r="B1367" s="888" t="s">
        <v>1951</v>
      </c>
      <c r="C1367" s="984" t="s">
        <v>5030</v>
      </c>
      <c r="D1367" s="888" t="s">
        <v>2383</v>
      </c>
      <c r="E1367" s="984" t="s">
        <v>5026</v>
      </c>
      <c r="I1367" s="888"/>
      <c r="J1367" s="888"/>
      <c r="K1367" s="888"/>
      <c r="L1367" s="888"/>
      <c r="M1367" s="888"/>
      <c r="N1367" s="888"/>
      <c r="O1367" s="888"/>
      <c r="P1367" s="888"/>
      <c r="Q1367" s="888"/>
      <c r="R1367" s="888"/>
    </row>
    <row r="1368" spans="1:18" s="893" customFormat="1" ht="16.8" x14ac:dyDescent="0.35">
      <c r="A1368" s="888" t="s">
        <v>2072</v>
      </c>
      <c r="B1368" s="888" t="s">
        <v>1951</v>
      </c>
      <c r="C1368" s="984" t="s">
        <v>5031</v>
      </c>
      <c r="D1368" s="888" t="s">
        <v>2383</v>
      </c>
      <c r="E1368" s="990" t="s">
        <v>7575</v>
      </c>
      <c r="I1368" s="888"/>
      <c r="J1368" s="888"/>
      <c r="K1368" s="888"/>
      <c r="L1368" s="888"/>
      <c r="M1368" s="888"/>
      <c r="N1368" s="888"/>
      <c r="O1368" s="888"/>
      <c r="P1368" s="888"/>
      <c r="Q1368" s="888"/>
      <c r="R1368" s="888"/>
    </row>
    <row r="1369" spans="1:18" s="893" customFormat="1" ht="15.6" x14ac:dyDescent="0.35">
      <c r="A1369" s="888" t="s">
        <v>2072</v>
      </c>
      <c r="B1369" s="888" t="s">
        <v>1951</v>
      </c>
      <c r="C1369" s="984" t="s">
        <v>5032</v>
      </c>
      <c r="D1369" s="888" t="s">
        <v>2383</v>
      </c>
      <c r="E1369" s="984" t="s">
        <v>5027</v>
      </c>
      <c r="I1369" s="888"/>
      <c r="J1369" s="888"/>
      <c r="K1369" s="888"/>
      <c r="L1369" s="888"/>
      <c r="M1369" s="888"/>
      <c r="N1369" s="888"/>
      <c r="O1369" s="888"/>
      <c r="P1369" s="888"/>
      <c r="Q1369" s="888"/>
      <c r="R1369" s="888"/>
    </row>
    <row r="1370" spans="1:18" s="893" customFormat="1" ht="15.6" x14ac:dyDescent="0.35">
      <c r="A1370" s="888" t="s">
        <v>2072</v>
      </c>
      <c r="B1370" s="888" t="s">
        <v>1951</v>
      </c>
      <c r="C1370" s="984" t="s">
        <v>5033</v>
      </c>
      <c r="D1370" s="888" t="s">
        <v>2383</v>
      </c>
      <c r="E1370" s="984" t="s">
        <v>5028</v>
      </c>
      <c r="I1370" s="888"/>
      <c r="J1370" s="888"/>
      <c r="K1370" s="888"/>
      <c r="L1370" s="888"/>
      <c r="M1370" s="888"/>
      <c r="N1370" s="888"/>
      <c r="O1370" s="888"/>
      <c r="P1370" s="888"/>
      <c r="Q1370" s="888"/>
      <c r="R1370" s="888"/>
    </row>
    <row r="1371" spans="1:18" s="893" customFormat="1" ht="15.6" x14ac:dyDescent="0.35">
      <c r="A1371" s="888" t="s">
        <v>2072</v>
      </c>
      <c r="B1371" s="888" t="s">
        <v>1951</v>
      </c>
      <c r="C1371" s="984" t="s">
        <v>5034</v>
      </c>
      <c r="D1371" s="888" t="s">
        <v>2383</v>
      </c>
      <c r="E1371" s="984" t="s">
        <v>5029</v>
      </c>
      <c r="I1371" s="888"/>
      <c r="J1371" s="888"/>
      <c r="K1371" s="888"/>
      <c r="L1371" s="888"/>
      <c r="M1371" s="888"/>
      <c r="N1371" s="888"/>
      <c r="O1371" s="888"/>
      <c r="P1371" s="888"/>
      <c r="Q1371" s="888"/>
      <c r="R1371" s="888"/>
    </row>
    <row r="1372" spans="1:18" s="893" customFormat="1" x14ac:dyDescent="0.3">
      <c r="A1372" s="888" t="s">
        <v>2072</v>
      </c>
      <c r="B1372" s="888" t="s">
        <v>1951</v>
      </c>
      <c r="C1372" s="989" t="s">
        <v>6776</v>
      </c>
      <c r="D1372" s="888" t="s">
        <v>2383</v>
      </c>
      <c r="E1372" s="888" t="s">
        <v>5024</v>
      </c>
      <c r="I1372" s="888"/>
      <c r="J1372" s="888"/>
      <c r="K1372" s="888"/>
      <c r="L1372" s="888"/>
      <c r="M1372" s="888"/>
      <c r="N1372" s="888"/>
      <c r="O1372" s="888"/>
      <c r="P1372" s="888"/>
      <c r="Q1372" s="888"/>
      <c r="R1372" s="888"/>
    </row>
    <row r="1373" spans="1:18" s="893" customFormat="1" x14ac:dyDescent="0.3">
      <c r="A1373" s="888" t="s">
        <v>2072</v>
      </c>
      <c r="B1373" s="888" t="s">
        <v>1951</v>
      </c>
      <c r="C1373" s="990" t="s">
        <v>7576</v>
      </c>
      <c r="D1373" s="888" t="s">
        <v>2383</v>
      </c>
      <c r="E1373" s="888" t="str">
        <f>$E$1367</f>
        <v>Electricity  (g CO2e/kWh)</v>
      </c>
      <c r="I1373" s="888"/>
      <c r="J1373" s="888"/>
      <c r="K1373" s="888"/>
      <c r="L1373" s="888"/>
      <c r="M1373" s="888"/>
      <c r="N1373" s="888"/>
      <c r="O1373" s="888"/>
      <c r="P1373" s="888"/>
      <c r="Q1373" s="888"/>
      <c r="R1373" s="888"/>
    </row>
    <row r="1374" spans="1:18" s="893" customFormat="1" x14ac:dyDescent="0.3">
      <c r="A1374" s="888" t="s">
        <v>2072</v>
      </c>
      <c r="B1374" s="888" t="s">
        <v>1951</v>
      </c>
      <c r="C1374" s="990" t="s">
        <v>7577</v>
      </c>
      <c r="D1374" s="888" t="s">
        <v>2383</v>
      </c>
      <c r="E1374" s="888" t="str">
        <f>$E$1368</f>
        <v>Natural Gas (g CO2e/M3)</v>
      </c>
      <c r="I1374" s="888"/>
      <c r="J1374" s="888"/>
      <c r="K1374" s="888"/>
      <c r="L1374" s="888"/>
      <c r="M1374" s="888"/>
      <c r="N1374" s="888"/>
      <c r="O1374" s="888"/>
      <c r="P1374" s="888"/>
      <c r="Q1374" s="888"/>
      <c r="R1374" s="888"/>
    </row>
    <row r="1375" spans="1:18" s="893" customFormat="1" x14ac:dyDescent="0.3">
      <c r="A1375" s="888" t="s">
        <v>2072</v>
      </c>
      <c r="B1375" s="888" t="s">
        <v>1951</v>
      </c>
      <c r="C1375" s="990" t="s">
        <v>7578</v>
      </c>
      <c r="D1375" s="888" t="s">
        <v>2383</v>
      </c>
      <c r="E1375" s="888" t="str">
        <f>$E$1369</f>
        <v>Oil (g CO2e/L)</v>
      </c>
      <c r="I1375" s="888"/>
      <c r="J1375" s="888"/>
      <c r="K1375" s="888"/>
      <c r="L1375" s="888"/>
      <c r="M1375" s="888"/>
      <c r="N1375" s="888"/>
      <c r="O1375" s="888"/>
      <c r="P1375" s="888"/>
      <c r="Q1375" s="888"/>
      <c r="R1375" s="888"/>
    </row>
    <row r="1376" spans="1:18" s="893" customFormat="1" x14ac:dyDescent="0.3">
      <c r="A1376" s="888" t="s">
        <v>2072</v>
      </c>
      <c r="B1376" s="888" t="s">
        <v>1951</v>
      </c>
      <c r="C1376" s="990" t="s">
        <v>7579</v>
      </c>
      <c r="D1376" s="888" t="s">
        <v>2383</v>
      </c>
      <c r="E1376" s="888" t="str">
        <f>$E$1370</f>
        <v>Propane (g CO2e/L)</v>
      </c>
      <c r="I1376" s="888"/>
      <c r="J1376" s="888"/>
      <c r="K1376" s="888"/>
      <c r="L1376" s="888"/>
      <c r="M1376" s="888"/>
      <c r="N1376" s="888"/>
      <c r="O1376" s="888"/>
      <c r="P1376" s="888"/>
      <c r="Q1376" s="888"/>
      <c r="R1376" s="888"/>
    </row>
    <row r="1377" spans="1:18" s="893" customFormat="1" x14ac:dyDescent="0.3">
      <c r="A1377" s="888" t="s">
        <v>2072</v>
      </c>
      <c r="B1377" s="888" t="s">
        <v>1951</v>
      </c>
      <c r="C1377" s="990" t="s">
        <v>7580</v>
      </c>
      <c r="D1377" s="888" t="s">
        <v>2383</v>
      </c>
      <c r="E1377" s="888" t="str">
        <f>$E$1371</f>
        <v>Wood (g CO2e/kg)</v>
      </c>
      <c r="I1377" s="888"/>
      <c r="J1377" s="888"/>
      <c r="K1377" s="888"/>
      <c r="L1377" s="888"/>
      <c r="M1377" s="888"/>
      <c r="N1377" s="888"/>
      <c r="O1377" s="888"/>
      <c r="P1377" s="888"/>
      <c r="Q1377" s="888"/>
      <c r="R1377" s="888"/>
    </row>
    <row r="1378" spans="1:18" s="893" customFormat="1" x14ac:dyDescent="0.3">
      <c r="A1378" s="888" t="s">
        <v>2072</v>
      </c>
      <c r="B1378" s="888" t="s">
        <v>1951</v>
      </c>
      <c r="C1378" s="989" t="s">
        <v>6777</v>
      </c>
      <c r="D1378" s="888" t="s">
        <v>2383</v>
      </c>
      <c r="E1378" s="888" t="s">
        <v>5025</v>
      </c>
      <c r="I1378" s="888"/>
      <c r="J1378" s="888"/>
      <c r="K1378" s="888"/>
      <c r="L1378" s="888"/>
      <c r="M1378" s="888"/>
      <c r="N1378" s="888"/>
      <c r="O1378" s="888"/>
      <c r="P1378" s="888"/>
      <c r="Q1378" s="888"/>
      <c r="R1378" s="888"/>
    </row>
    <row r="1379" spans="1:18" s="893" customFormat="1" x14ac:dyDescent="0.3">
      <c r="A1379" s="888" t="s">
        <v>2072</v>
      </c>
      <c r="B1379" s="888" t="s">
        <v>1951</v>
      </c>
      <c r="C1379" s="990" t="s">
        <v>7581</v>
      </c>
      <c r="D1379" s="888" t="s">
        <v>2383</v>
      </c>
      <c r="E1379" s="888" t="str">
        <f>$E$1367</f>
        <v>Electricity  (g CO2e/kWh)</v>
      </c>
      <c r="I1379" s="888"/>
      <c r="J1379" s="888"/>
      <c r="K1379" s="888"/>
      <c r="L1379" s="888"/>
      <c r="M1379" s="888"/>
      <c r="N1379" s="888"/>
      <c r="O1379" s="888"/>
      <c r="P1379" s="888"/>
      <c r="Q1379" s="888"/>
      <c r="R1379" s="888"/>
    </row>
    <row r="1380" spans="1:18" s="893" customFormat="1" x14ac:dyDescent="0.3">
      <c r="A1380" s="888" t="s">
        <v>2072</v>
      </c>
      <c r="B1380" s="888" t="s">
        <v>1951</v>
      </c>
      <c r="C1380" s="990" t="s">
        <v>7582</v>
      </c>
      <c r="D1380" s="888" t="s">
        <v>2383</v>
      </c>
      <c r="E1380" s="888" t="str">
        <f>$E$1368</f>
        <v>Natural Gas (g CO2e/M3)</v>
      </c>
      <c r="I1380" s="888"/>
      <c r="J1380" s="888"/>
      <c r="K1380" s="888"/>
      <c r="L1380" s="888"/>
      <c r="M1380" s="888"/>
      <c r="N1380" s="888"/>
      <c r="O1380" s="888"/>
      <c r="P1380" s="888"/>
      <c r="Q1380" s="888"/>
      <c r="R1380" s="888"/>
    </row>
    <row r="1381" spans="1:18" s="893" customFormat="1" x14ac:dyDescent="0.3">
      <c r="A1381" s="888" t="s">
        <v>2072</v>
      </c>
      <c r="B1381" s="888" t="s">
        <v>1951</v>
      </c>
      <c r="C1381" s="990" t="s">
        <v>7583</v>
      </c>
      <c r="D1381" s="888" t="s">
        <v>2383</v>
      </c>
      <c r="E1381" s="888" t="str">
        <f>$E$1369</f>
        <v>Oil (g CO2e/L)</v>
      </c>
      <c r="I1381" s="888"/>
      <c r="J1381" s="888"/>
      <c r="K1381" s="888"/>
      <c r="L1381" s="888"/>
      <c r="M1381" s="888"/>
      <c r="N1381" s="888"/>
      <c r="O1381" s="888"/>
      <c r="P1381" s="888"/>
      <c r="Q1381" s="888"/>
      <c r="R1381" s="888"/>
    </row>
    <row r="1382" spans="1:18" s="893" customFormat="1" x14ac:dyDescent="0.3">
      <c r="A1382" s="888" t="s">
        <v>2072</v>
      </c>
      <c r="B1382" s="888" t="s">
        <v>1951</v>
      </c>
      <c r="C1382" s="990" t="s">
        <v>7584</v>
      </c>
      <c r="D1382" s="888" t="s">
        <v>2383</v>
      </c>
      <c r="E1382" s="888" t="str">
        <f>$E$1370</f>
        <v>Propane (g CO2e/L)</v>
      </c>
      <c r="I1382" s="888"/>
      <c r="J1382" s="888"/>
      <c r="K1382" s="888"/>
      <c r="L1382" s="888"/>
      <c r="M1382" s="888"/>
      <c r="N1382" s="888"/>
      <c r="O1382" s="888"/>
      <c r="P1382" s="888"/>
      <c r="Q1382" s="888"/>
      <c r="R1382" s="888"/>
    </row>
    <row r="1383" spans="1:18" s="893" customFormat="1" x14ac:dyDescent="0.3">
      <c r="A1383" s="888" t="s">
        <v>2072</v>
      </c>
      <c r="B1383" s="888" t="s">
        <v>1951</v>
      </c>
      <c r="C1383" s="990" t="s">
        <v>7585</v>
      </c>
      <c r="D1383" s="888" t="s">
        <v>2383</v>
      </c>
      <c r="E1383" s="888" t="str">
        <f>$E$1371</f>
        <v>Wood (g CO2e/kg)</v>
      </c>
      <c r="I1383" s="888"/>
      <c r="J1383" s="888"/>
      <c r="K1383" s="888"/>
      <c r="L1383" s="888"/>
      <c r="M1383" s="888"/>
      <c r="N1383" s="888"/>
      <c r="O1383" s="888"/>
      <c r="P1383" s="888"/>
      <c r="Q1383" s="888"/>
      <c r="R1383" s="888"/>
    </row>
    <row r="1384" spans="1:18" s="893" customFormat="1" x14ac:dyDescent="0.3">
      <c r="A1384" s="888" t="s">
        <v>2072</v>
      </c>
      <c r="B1384" s="888" t="s">
        <v>1952</v>
      </c>
      <c r="C1384" s="888" t="s">
        <v>2393</v>
      </c>
      <c r="D1384" s="888"/>
      <c r="E1384" s="888" t="s">
        <v>2394</v>
      </c>
      <c r="I1384" s="888"/>
      <c r="J1384" s="888"/>
      <c r="K1384" s="888"/>
      <c r="L1384" s="888"/>
      <c r="M1384" s="888"/>
      <c r="N1384" s="888"/>
      <c r="O1384" s="888"/>
      <c r="P1384" s="888"/>
      <c r="Q1384" s="888"/>
      <c r="R1384" s="888"/>
    </row>
    <row r="1385" spans="1:18" s="893" customFormat="1" x14ac:dyDescent="0.3">
      <c r="A1385" s="888" t="s">
        <v>2072</v>
      </c>
      <c r="B1385" s="888" t="s">
        <v>1952</v>
      </c>
      <c r="C1385" s="888" t="s">
        <v>2395</v>
      </c>
      <c r="D1385" s="888"/>
      <c r="E1385" s="893" t="s">
        <v>2396</v>
      </c>
      <c r="I1385" s="888"/>
      <c r="J1385" s="888"/>
      <c r="K1385" s="888"/>
      <c r="L1385" s="888"/>
      <c r="M1385" s="888"/>
      <c r="N1385" s="888"/>
      <c r="O1385" s="888"/>
      <c r="P1385" s="888"/>
      <c r="Q1385" s="888"/>
      <c r="R1385" s="888"/>
    </row>
    <row r="1386" spans="1:18" s="893" customFormat="1" x14ac:dyDescent="0.3">
      <c r="A1386" s="888" t="s">
        <v>2072</v>
      </c>
      <c r="B1386" s="888" t="s">
        <v>1952</v>
      </c>
      <c r="C1386" s="888" t="s">
        <v>2397</v>
      </c>
      <c r="D1386" s="888"/>
      <c r="E1386" s="893" t="s">
        <v>2398</v>
      </c>
      <c r="I1386" s="888"/>
      <c r="J1386" s="888"/>
      <c r="K1386" s="888"/>
      <c r="L1386" s="888"/>
      <c r="M1386" s="888"/>
      <c r="N1386" s="888"/>
      <c r="O1386" s="888"/>
      <c r="P1386" s="888"/>
      <c r="Q1386" s="888"/>
      <c r="R1386" s="888"/>
    </row>
    <row r="1387" spans="1:18" s="893" customFormat="1" x14ac:dyDescent="0.3">
      <c r="A1387" s="888" t="s">
        <v>2062</v>
      </c>
      <c r="B1387" s="888" t="s">
        <v>1952</v>
      </c>
      <c r="C1387" s="888" t="s">
        <v>2372</v>
      </c>
      <c r="D1387" s="888"/>
      <c r="E1387" s="893" t="s">
        <v>1758</v>
      </c>
      <c r="I1387" s="888"/>
      <c r="J1387" s="888"/>
      <c r="K1387" s="888"/>
      <c r="L1387" s="888"/>
      <c r="M1387" s="888"/>
      <c r="N1387" s="888"/>
      <c r="O1387" s="888"/>
      <c r="P1387" s="888"/>
      <c r="Q1387" s="888"/>
      <c r="R1387" s="888"/>
    </row>
    <row r="1388" spans="1:18" s="893" customFormat="1" x14ac:dyDescent="0.3">
      <c r="A1388" s="888" t="s">
        <v>2062</v>
      </c>
      <c r="B1388" s="888" t="s">
        <v>1952</v>
      </c>
      <c r="C1388" s="888" t="s">
        <v>2126</v>
      </c>
      <c r="D1388" s="888"/>
      <c r="E1388" s="893" t="s">
        <v>1756</v>
      </c>
      <c r="I1388" s="888"/>
      <c r="J1388" s="888"/>
      <c r="K1388" s="888"/>
      <c r="L1388" s="888"/>
      <c r="M1388" s="888"/>
      <c r="N1388" s="888"/>
      <c r="O1388" s="888"/>
      <c r="P1388" s="888"/>
      <c r="Q1388" s="888"/>
      <c r="R1388" s="888"/>
    </row>
    <row r="1389" spans="1:18" s="893" customFormat="1" x14ac:dyDescent="0.3">
      <c r="A1389" s="888" t="s">
        <v>2062</v>
      </c>
      <c r="B1389" s="888" t="s">
        <v>1952</v>
      </c>
      <c r="C1389" s="991" t="s">
        <v>2368</v>
      </c>
      <c r="D1389" s="888"/>
      <c r="E1389" s="893" t="s">
        <v>1757</v>
      </c>
      <c r="I1389" s="888"/>
      <c r="J1389" s="888"/>
      <c r="K1389" s="888"/>
      <c r="L1389" s="888"/>
      <c r="M1389" s="888"/>
      <c r="N1389" s="888"/>
      <c r="O1389" s="888"/>
      <c r="P1389" s="888"/>
      <c r="Q1389" s="888"/>
      <c r="R1389" s="888"/>
    </row>
    <row r="1390" spans="1:18" s="893" customFormat="1" x14ac:dyDescent="0.3">
      <c r="A1390" s="888" t="s">
        <v>2062</v>
      </c>
      <c r="B1390" s="888" t="s">
        <v>1952</v>
      </c>
      <c r="C1390" s="991" t="s">
        <v>2456</v>
      </c>
      <c r="D1390" s="888"/>
      <c r="E1390" s="893" t="s">
        <v>1759</v>
      </c>
      <c r="I1390" s="888"/>
      <c r="J1390" s="888"/>
      <c r="K1390" s="888"/>
      <c r="L1390" s="888"/>
      <c r="M1390" s="888"/>
      <c r="N1390" s="888"/>
      <c r="O1390" s="888"/>
      <c r="P1390" s="888"/>
      <c r="Q1390" s="888"/>
      <c r="R1390" s="888"/>
    </row>
    <row r="1391" spans="1:18" s="893" customFormat="1" x14ac:dyDescent="0.3">
      <c r="A1391" s="888" t="s">
        <v>2062</v>
      </c>
      <c r="B1391" s="888" t="s">
        <v>1952</v>
      </c>
      <c r="C1391" s="991" t="s">
        <v>2375</v>
      </c>
      <c r="D1391" s="888"/>
      <c r="E1391" s="893" t="s">
        <v>3483</v>
      </c>
      <c r="I1391" s="888"/>
      <c r="J1391" s="888"/>
      <c r="K1391" s="888"/>
      <c r="L1391" s="888"/>
      <c r="M1391" s="888"/>
      <c r="N1391" s="888"/>
      <c r="O1391" s="888"/>
      <c r="P1391" s="888"/>
      <c r="Q1391" s="888"/>
      <c r="R1391" s="888"/>
    </row>
    <row r="1392" spans="1:18" s="893" customFormat="1" x14ac:dyDescent="0.3">
      <c r="A1392" s="888" t="s">
        <v>2062</v>
      </c>
      <c r="B1392" s="888" t="s">
        <v>1952</v>
      </c>
      <c r="C1392" s="991" t="s">
        <v>7492</v>
      </c>
      <c r="D1392" s="888"/>
      <c r="E1392" s="893" t="s">
        <v>1764</v>
      </c>
      <c r="I1392" s="888"/>
      <c r="J1392" s="888"/>
      <c r="K1392" s="888"/>
      <c r="L1392" s="888"/>
      <c r="M1392" s="888"/>
      <c r="N1392" s="888"/>
      <c r="O1392" s="888"/>
      <c r="P1392" s="888"/>
      <c r="Q1392" s="888"/>
      <c r="R1392" s="888"/>
    </row>
    <row r="1393" spans="1:18" s="893" customFormat="1" x14ac:dyDescent="0.3">
      <c r="A1393" s="888" t="s">
        <v>2062</v>
      </c>
      <c r="B1393" s="888" t="s">
        <v>1952</v>
      </c>
      <c r="C1393" s="991" t="s">
        <v>7493</v>
      </c>
      <c r="D1393" s="888"/>
      <c r="E1393" s="893" t="s">
        <v>1765</v>
      </c>
      <c r="I1393" s="888"/>
      <c r="J1393" s="888"/>
      <c r="K1393" s="888"/>
      <c r="L1393" s="888"/>
      <c r="M1393" s="888"/>
      <c r="N1393" s="888"/>
      <c r="O1393" s="888"/>
      <c r="P1393" s="888"/>
      <c r="Q1393" s="888"/>
      <c r="R1393" s="888"/>
    </row>
    <row r="1394" spans="1:18" s="893" customFormat="1" x14ac:dyDescent="0.3">
      <c r="A1394" s="888" t="s">
        <v>2062</v>
      </c>
      <c r="B1394" s="888" t="s">
        <v>1952</v>
      </c>
      <c r="C1394" s="888" t="s">
        <v>2076</v>
      </c>
      <c r="D1394" s="888"/>
      <c r="E1394" s="893" t="s">
        <v>108</v>
      </c>
      <c r="I1394" s="888"/>
      <c r="J1394" s="888"/>
      <c r="K1394" s="888"/>
      <c r="L1394" s="888"/>
      <c r="M1394" s="888"/>
      <c r="N1394" s="888"/>
      <c r="O1394" s="888"/>
      <c r="P1394" s="888"/>
      <c r="Q1394" s="888"/>
      <c r="R1394" s="888"/>
    </row>
    <row r="1395" spans="1:18" s="893" customFormat="1" ht="15.6" x14ac:dyDescent="0.3">
      <c r="A1395" s="888" t="s">
        <v>2062</v>
      </c>
      <c r="B1395" s="888" t="s">
        <v>1952</v>
      </c>
      <c r="C1395" s="888" t="s">
        <v>2077</v>
      </c>
      <c r="D1395" s="888" t="b">
        <v>1</v>
      </c>
      <c r="E1395" s="992" t="s">
        <v>2400</v>
      </c>
      <c r="I1395" s="888"/>
      <c r="J1395" s="888"/>
      <c r="K1395" s="888"/>
      <c r="L1395" s="888"/>
      <c r="M1395" s="888"/>
      <c r="N1395" s="888"/>
      <c r="O1395" s="888"/>
      <c r="P1395" s="888"/>
      <c r="Q1395" s="888"/>
      <c r="R1395" s="888"/>
    </row>
    <row r="1396" spans="1:18" s="893" customFormat="1" ht="17.399999999999999" thickBot="1" x14ac:dyDescent="0.35">
      <c r="A1396" s="888" t="s">
        <v>2062</v>
      </c>
      <c r="B1396" s="888" t="s">
        <v>1952</v>
      </c>
      <c r="C1396" s="888" t="s">
        <v>2079</v>
      </c>
      <c r="D1396" s="888" t="b">
        <v>1</v>
      </c>
      <c r="E1396" s="993" t="s">
        <v>7213</v>
      </c>
      <c r="I1396" s="888"/>
      <c r="J1396" s="888"/>
      <c r="K1396" s="888"/>
      <c r="L1396" s="888"/>
      <c r="M1396" s="888"/>
      <c r="N1396" s="888"/>
      <c r="O1396" s="888"/>
      <c r="P1396" s="888"/>
      <c r="Q1396" s="888"/>
      <c r="R1396" s="888"/>
    </row>
    <row r="1397" spans="1:18" s="893" customFormat="1" x14ac:dyDescent="0.3">
      <c r="A1397" s="888" t="s">
        <v>2062</v>
      </c>
      <c r="B1397" s="991" t="s">
        <v>7494</v>
      </c>
      <c r="C1397" s="994" t="s">
        <v>2080</v>
      </c>
      <c r="D1397" s="888"/>
      <c r="E1397" s="995" t="str">
        <f>$E$26</f>
        <v>Elec. kWh/yr</v>
      </c>
      <c r="F1397" s="995"/>
      <c r="I1397" s="888"/>
      <c r="J1397" s="888"/>
      <c r="K1397" s="888"/>
      <c r="L1397" s="888"/>
      <c r="M1397" s="888"/>
      <c r="N1397" s="888"/>
      <c r="O1397" s="888"/>
      <c r="P1397" s="888"/>
      <c r="Q1397" s="888"/>
      <c r="R1397" s="888"/>
    </row>
    <row r="1398" spans="1:18" s="893" customFormat="1" x14ac:dyDescent="0.3">
      <c r="A1398" s="888" t="s">
        <v>2062</v>
      </c>
      <c r="B1398" s="888" t="s">
        <v>1952</v>
      </c>
      <c r="C1398" s="991" t="s">
        <v>2080</v>
      </c>
      <c r="D1398" s="888"/>
      <c r="E1398" s="995" t="s">
        <v>7286</v>
      </c>
      <c r="F1398" s="995"/>
      <c r="I1398" s="888"/>
      <c r="J1398" s="888"/>
      <c r="K1398" s="888"/>
      <c r="L1398" s="888"/>
      <c r="M1398" s="888"/>
      <c r="N1398" s="888"/>
      <c r="O1398" s="888"/>
      <c r="P1398" s="888"/>
      <c r="Q1398" s="888"/>
      <c r="R1398" s="888"/>
    </row>
    <row r="1399" spans="1:18" s="893" customFormat="1" x14ac:dyDescent="0.3">
      <c r="A1399" s="888" t="s">
        <v>2062</v>
      </c>
      <c r="B1399" s="888" t="s">
        <v>1952</v>
      </c>
      <c r="C1399" s="991" t="s">
        <v>2081</v>
      </c>
      <c r="D1399" s="888"/>
      <c r="E1399" s="995" t="s">
        <v>7287</v>
      </c>
      <c r="F1399" s="995"/>
      <c r="I1399" s="888"/>
      <c r="J1399" s="888"/>
      <c r="K1399" s="888"/>
      <c r="L1399" s="888"/>
      <c r="M1399" s="888"/>
      <c r="N1399" s="888"/>
      <c r="O1399" s="888"/>
      <c r="P1399" s="888"/>
      <c r="Q1399" s="888"/>
      <c r="R1399" s="888"/>
    </row>
    <row r="1400" spans="1:18" s="893" customFormat="1" x14ac:dyDescent="0.3">
      <c r="A1400" s="888" t="s">
        <v>2062</v>
      </c>
      <c r="B1400" s="888" t="s">
        <v>1952</v>
      </c>
      <c r="C1400" s="991" t="s">
        <v>2082</v>
      </c>
      <c r="D1400" s="888"/>
      <c r="E1400" s="995" t="s">
        <v>7288</v>
      </c>
      <c r="F1400" s="995"/>
      <c r="I1400" s="888"/>
      <c r="J1400" s="888"/>
      <c r="K1400" s="888"/>
      <c r="L1400" s="888"/>
      <c r="M1400" s="888"/>
      <c r="N1400" s="888"/>
      <c r="O1400" s="888"/>
      <c r="P1400" s="888"/>
      <c r="Q1400" s="888"/>
      <c r="R1400" s="888"/>
    </row>
    <row r="1401" spans="1:18" s="893" customFormat="1" ht="15.6" x14ac:dyDescent="0.3">
      <c r="A1401" s="888" t="s">
        <v>2062</v>
      </c>
      <c r="B1401" s="888" t="s">
        <v>1952</v>
      </c>
      <c r="C1401" s="994" t="s">
        <v>2085</v>
      </c>
      <c r="D1401" s="888" t="b">
        <v>1</v>
      </c>
      <c r="E1401" s="996" t="s">
        <v>5146</v>
      </c>
      <c r="I1401" s="888"/>
      <c r="J1401" s="888"/>
      <c r="K1401" s="888"/>
      <c r="L1401" s="888"/>
      <c r="M1401" s="888"/>
      <c r="N1401" s="888"/>
      <c r="O1401" s="888"/>
      <c r="P1401" s="888"/>
      <c r="Q1401" s="888"/>
      <c r="R1401" s="888"/>
    </row>
    <row r="1402" spans="1:18" s="893" customFormat="1" x14ac:dyDescent="0.3">
      <c r="A1402" s="888" t="s">
        <v>2062</v>
      </c>
      <c r="B1402" s="991" t="s">
        <v>7494</v>
      </c>
      <c r="C1402" s="994" t="s">
        <v>2082</v>
      </c>
      <c r="D1402" s="888"/>
      <c r="E1402" s="995" t="str">
        <f>$E$26</f>
        <v>Elec. kWh/yr</v>
      </c>
      <c r="I1402" s="888"/>
      <c r="J1402" s="888"/>
      <c r="K1402" s="888"/>
      <c r="L1402" s="888"/>
      <c r="M1402" s="888"/>
      <c r="N1402" s="888"/>
      <c r="O1402" s="888"/>
      <c r="P1402" s="888"/>
      <c r="Q1402" s="888"/>
      <c r="R1402" s="888"/>
    </row>
    <row r="1403" spans="1:18" s="893" customFormat="1" x14ac:dyDescent="0.3">
      <c r="A1403" s="888" t="s">
        <v>2062</v>
      </c>
      <c r="B1403" s="888" t="s">
        <v>1952</v>
      </c>
      <c r="C1403" s="994" t="s">
        <v>2086</v>
      </c>
      <c r="D1403" s="888"/>
      <c r="E1403" s="893" t="str">
        <f>$E$33</f>
        <v>Propane L/yr</v>
      </c>
      <c r="I1403" s="888"/>
      <c r="J1403" s="888"/>
      <c r="K1403" s="888"/>
      <c r="L1403" s="888"/>
      <c r="M1403" s="888"/>
      <c r="N1403" s="888"/>
      <c r="O1403" s="888"/>
      <c r="P1403" s="888"/>
      <c r="Q1403" s="888"/>
      <c r="R1403" s="888"/>
    </row>
    <row r="1404" spans="1:18" s="893" customFormat="1" x14ac:dyDescent="0.3">
      <c r="A1404" s="888" t="s">
        <v>2062</v>
      </c>
      <c r="B1404" s="888" t="s">
        <v>1952</v>
      </c>
      <c r="C1404" s="994" t="s">
        <v>2087</v>
      </c>
      <c r="D1404" s="888"/>
      <c r="E1404" s="893" t="str">
        <f>$E$34</f>
        <v>Oil L/yr</v>
      </c>
      <c r="I1404" s="888"/>
      <c r="J1404" s="888"/>
      <c r="K1404" s="888"/>
      <c r="L1404" s="888"/>
      <c r="M1404" s="888"/>
      <c r="N1404" s="888"/>
      <c r="O1404" s="888"/>
      <c r="P1404" s="888"/>
      <c r="Q1404" s="888"/>
      <c r="R1404" s="888"/>
    </row>
    <row r="1405" spans="1:18" s="893" customFormat="1" x14ac:dyDescent="0.3">
      <c r="A1405" s="888" t="s">
        <v>2062</v>
      </c>
      <c r="B1405" s="888" t="s">
        <v>1952</v>
      </c>
      <c r="C1405" s="994" t="s">
        <v>2264</v>
      </c>
      <c r="D1405" s="888"/>
      <c r="E1405" s="893" t="str">
        <f>$E$35</f>
        <v>Wood kg/yr</v>
      </c>
      <c r="J1405" s="888"/>
      <c r="K1405" s="888"/>
      <c r="L1405" s="888"/>
      <c r="M1405" s="888"/>
      <c r="N1405" s="888"/>
      <c r="O1405" s="888"/>
      <c r="P1405" s="888"/>
      <c r="Q1405" s="888"/>
      <c r="R1405" s="888"/>
    </row>
    <row r="1406" spans="1:18" s="893" customFormat="1" x14ac:dyDescent="0.3">
      <c r="A1406" s="888" t="s">
        <v>2062</v>
      </c>
      <c r="B1406" s="888" t="s">
        <v>1952</v>
      </c>
      <c r="C1406" s="997" t="s">
        <v>2089</v>
      </c>
      <c r="D1406" s="888"/>
      <c r="E1406" s="998" t="s">
        <v>7289</v>
      </c>
      <c r="J1406" s="888"/>
      <c r="K1406" s="888"/>
      <c r="L1406" s="888"/>
      <c r="M1406" s="888"/>
      <c r="N1406" s="888"/>
      <c r="O1406" s="888"/>
      <c r="P1406" s="888"/>
      <c r="Q1406" s="888"/>
      <c r="R1406" s="888"/>
    </row>
    <row r="1407" spans="1:18" s="893" customFormat="1" x14ac:dyDescent="0.3">
      <c r="A1407" s="888" t="s">
        <v>2062</v>
      </c>
      <c r="B1407" s="888" t="s">
        <v>1952</v>
      </c>
      <c r="C1407" s="994" t="s">
        <v>2090</v>
      </c>
      <c r="D1407" s="888"/>
      <c r="E1407" s="888" t="s">
        <v>1226</v>
      </c>
      <c r="J1407" s="888"/>
      <c r="K1407" s="888"/>
      <c r="L1407" s="888"/>
      <c r="M1407" s="888"/>
      <c r="N1407" s="888"/>
      <c r="O1407" s="888"/>
      <c r="P1407" s="888"/>
      <c r="Q1407" s="888"/>
      <c r="R1407" s="888"/>
    </row>
    <row r="1408" spans="1:18" s="893" customFormat="1" ht="15.6" x14ac:dyDescent="0.3">
      <c r="A1408" s="888" t="s">
        <v>2062</v>
      </c>
      <c r="B1408" s="888" t="s">
        <v>1952</v>
      </c>
      <c r="C1408" s="888" t="s">
        <v>2402</v>
      </c>
      <c r="D1408" s="888" t="b">
        <v>1</v>
      </c>
      <c r="E1408" s="999" t="s">
        <v>7214</v>
      </c>
      <c r="J1408" s="888"/>
      <c r="K1408" s="888"/>
      <c r="L1408" s="888"/>
      <c r="M1408" s="888"/>
      <c r="N1408" s="888"/>
      <c r="O1408" s="888"/>
      <c r="P1408" s="888"/>
      <c r="Q1408" s="888"/>
      <c r="R1408" s="888"/>
    </row>
    <row r="1409" spans="1:18" s="893" customFormat="1" ht="15.6" x14ac:dyDescent="0.3">
      <c r="A1409" s="888" t="s">
        <v>2062</v>
      </c>
      <c r="B1409" s="888" t="s">
        <v>1952</v>
      </c>
      <c r="C1409" s="888" t="s">
        <v>2093</v>
      </c>
      <c r="D1409" s="888" t="b">
        <v>1</v>
      </c>
      <c r="E1409" s="1000" t="s">
        <v>7215</v>
      </c>
      <c r="J1409" s="888"/>
      <c r="K1409" s="888"/>
      <c r="L1409" s="888"/>
      <c r="M1409" s="888"/>
      <c r="N1409" s="888"/>
      <c r="O1409" s="888"/>
      <c r="P1409" s="888"/>
      <c r="Q1409" s="888"/>
      <c r="R1409" s="888"/>
    </row>
    <row r="1410" spans="1:18" s="893" customFormat="1" ht="15.6" x14ac:dyDescent="0.3">
      <c r="A1410" s="888" t="s">
        <v>2062</v>
      </c>
      <c r="B1410" s="888" t="s">
        <v>1952</v>
      </c>
      <c r="C1410" s="888" t="s">
        <v>2094</v>
      </c>
      <c r="D1410" s="888" t="b">
        <v>1</v>
      </c>
      <c r="E1410" s="1000" t="s">
        <v>7216</v>
      </c>
      <c r="J1410" s="888"/>
      <c r="K1410" s="888"/>
      <c r="L1410" s="888"/>
      <c r="M1410" s="888"/>
      <c r="N1410" s="888"/>
      <c r="O1410" s="888"/>
      <c r="P1410" s="888"/>
      <c r="Q1410" s="888"/>
      <c r="R1410" s="888"/>
    </row>
    <row r="1411" spans="1:18" s="893" customFormat="1" ht="15.6" x14ac:dyDescent="0.3">
      <c r="A1411" s="888" t="s">
        <v>2062</v>
      </c>
      <c r="B1411" s="888" t="s">
        <v>1952</v>
      </c>
      <c r="C1411" s="888" t="s">
        <v>2095</v>
      </c>
      <c r="D1411" s="888" t="b">
        <v>1</v>
      </c>
      <c r="E1411" s="1000" t="s">
        <v>7217</v>
      </c>
      <c r="J1411" s="888"/>
      <c r="K1411" s="888"/>
      <c r="L1411" s="888"/>
      <c r="M1411" s="888"/>
      <c r="N1411" s="888"/>
      <c r="O1411" s="888"/>
      <c r="P1411" s="888"/>
      <c r="Q1411" s="888"/>
      <c r="R1411" s="888"/>
    </row>
    <row r="1412" spans="1:18" s="893" customFormat="1" ht="15.6" x14ac:dyDescent="0.3">
      <c r="A1412" s="888" t="s">
        <v>2062</v>
      </c>
      <c r="B1412" s="888" t="s">
        <v>1952</v>
      </c>
      <c r="C1412" s="888" t="s">
        <v>2096</v>
      </c>
      <c r="D1412" s="888" t="b">
        <v>1</v>
      </c>
      <c r="E1412" s="1000" t="s">
        <v>7218</v>
      </c>
      <c r="J1412" s="888"/>
      <c r="K1412" s="888"/>
      <c r="L1412" s="888"/>
      <c r="M1412" s="888"/>
      <c r="N1412" s="888"/>
      <c r="O1412" s="888"/>
      <c r="P1412" s="888"/>
      <c r="Q1412" s="888"/>
      <c r="R1412" s="888"/>
    </row>
    <row r="1413" spans="1:18" s="893" customFormat="1" ht="15.6" x14ac:dyDescent="0.3">
      <c r="A1413" s="888" t="s">
        <v>2062</v>
      </c>
      <c r="B1413" s="888" t="s">
        <v>1952</v>
      </c>
      <c r="C1413" s="888" t="s">
        <v>2097</v>
      </c>
      <c r="D1413" s="888" t="b">
        <v>1</v>
      </c>
      <c r="E1413" s="1000" t="s">
        <v>7227</v>
      </c>
      <c r="J1413" s="888"/>
      <c r="K1413" s="888"/>
      <c r="L1413" s="888"/>
      <c r="M1413" s="888"/>
      <c r="N1413" s="888"/>
      <c r="O1413" s="888"/>
      <c r="P1413" s="888"/>
      <c r="Q1413" s="888"/>
      <c r="R1413" s="888"/>
    </row>
    <row r="1414" spans="1:18" s="893" customFormat="1" ht="15.6" x14ac:dyDescent="0.3">
      <c r="A1414" s="888" t="s">
        <v>2062</v>
      </c>
      <c r="B1414" s="888" t="s">
        <v>1952</v>
      </c>
      <c r="C1414" s="888" t="s">
        <v>2098</v>
      </c>
      <c r="D1414" s="888" t="b">
        <v>1</v>
      </c>
      <c r="E1414" s="1000" t="s">
        <v>7226</v>
      </c>
      <c r="J1414" s="888"/>
      <c r="K1414" s="888"/>
      <c r="L1414" s="888"/>
      <c r="M1414" s="888"/>
      <c r="N1414" s="888"/>
      <c r="O1414" s="888"/>
      <c r="P1414" s="888"/>
      <c r="Q1414" s="888"/>
      <c r="R1414" s="888"/>
    </row>
    <row r="1415" spans="1:18" s="893" customFormat="1" ht="15.6" x14ac:dyDescent="0.3">
      <c r="A1415" s="888" t="s">
        <v>2062</v>
      </c>
      <c r="B1415" s="888" t="s">
        <v>1952</v>
      </c>
      <c r="C1415" s="888" t="s">
        <v>2099</v>
      </c>
      <c r="D1415" s="888" t="b">
        <v>1</v>
      </c>
      <c r="E1415" s="1000" t="s">
        <v>7225</v>
      </c>
      <c r="J1415" s="888"/>
      <c r="K1415" s="888"/>
      <c r="L1415" s="888"/>
      <c r="M1415" s="888"/>
      <c r="N1415" s="888"/>
      <c r="O1415" s="888"/>
      <c r="P1415" s="888"/>
      <c r="Q1415" s="888"/>
      <c r="R1415" s="888"/>
    </row>
    <row r="1416" spans="1:18" s="893" customFormat="1" ht="15.6" x14ac:dyDescent="0.3">
      <c r="A1416" s="888" t="s">
        <v>2062</v>
      </c>
      <c r="B1416" s="888" t="s">
        <v>1952</v>
      </c>
      <c r="C1416" s="888" t="s">
        <v>2100</v>
      </c>
      <c r="D1416" s="888" t="b">
        <v>1</v>
      </c>
      <c r="E1416" s="1000" t="s">
        <v>7224</v>
      </c>
      <c r="J1416" s="888"/>
      <c r="K1416" s="888"/>
      <c r="L1416" s="888"/>
      <c r="M1416" s="888"/>
      <c r="N1416" s="888"/>
      <c r="O1416" s="888"/>
      <c r="P1416" s="888"/>
      <c r="Q1416" s="888"/>
      <c r="R1416" s="888"/>
    </row>
    <row r="1417" spans="1:18" s="893" customFormat="1" ht="15.6" x14ac:dyDescent="0.3">
      <c r="A1417" s="888" t="s">
        <v>2062</v>
      </c>
      <c r="B1417" s="888" t="s">
        <v>1952</v>
      </c>
      <c r="C1417" s="888" t="s">
        <v>2101</v>
      </c>
      <c r="D1417" s="888" t="b">
        <v>1</v>
      </c>
      <c r="E1417" s="1000" t="s">
        <v>7223</v>
      </c>
      <c r="J1417" s="888"/>
      <c r="K1417" s="888"/>
      <c r="L1417" s="888"/>
      <c r="M1417" s="888"/>
      <c r="N1417" s="888"/>
      <c r="O1417" s="888"/>
      <c r="P1417" s="888"/>
      <c r="Q1417" s="888"/>
      <c r="R1417" s="888"/>
    </row>
    <row r="1418" spans="1:18" s="893" customFormat="1" ht="15.6" x14ac:dyDescent="0.3">
      <c r="A1418" s="888" t="s">
        <v>2062</v>
      </c>
      <c r="B1418" s="888" t="s">
        <v>1952</v>
      </c>
      <c r="C1418" s="888" t="s">
        <v>2102</v>
      </c>
      <c r="D1418" s="888" t="b">
        <v>1</v>
      </c>
      <c r="E1418" s="1000" t="s">
        <v>7222</v>
      </c>
      <c r="J1418" s="888"/>
      <c r="K1418" s="888"/>
      <c r="L1418" s="888"/>
      <c r="M1418" s="888"/>
      <c r="N1418" s="888"/>
      <c r="O1418" s="888"/>
      <c r="P1418" s="888"/>
      <c r="Q1418" s="888"/>
      <c r="R1418" s="888"/>
    </row>
    <row r="1419" spans="1:18" s="893" customFormat="1" ht="15.6" x14ac:dyDescent="0.3">
      <c r="A1419" s="888" t="s">
        <v>2062</v>
      </c>
      <c r="B1419" s="888" t="s">
        <v>1952</v>
      </c>
      <c r="C1419" s="888" t="s">
        <v>2103</v>
      </c>
      <c r="D1419" s="888" t="b">
        <v>1</v>
      </c>
      <c r="E1419" s="1000" t="s">
        <v>7221</v>
      </c>
      <c r="J1419" s="888"/>
      <c r="K1419" s="888"/>
      <c r="L1419" s="888"/>
      <c r="M1419" s="888"/>
      <c r="N1419" s="888"/>
      <c r="O1419" s="888"/>
      <c r="P1419" s="888"/>
      <c r="Q1419" s="888"/>
      <c r="R1419" s="888"/>
    </row>
    <row r="1420" spans="1:18" s="893" customFormat="1" ht="15.6" x14ac:dyDescent="0.3">
      <c r="A1420" s="888" t="s">
        <v>2062</v>
      </c>
      <c r="B1420" s="888" t="s">
        <v>1952</v>
      </c>
      <c r="C1420" s="888" t="s">
        <v>2279</v>
      </c>
      <c r="D1420" s="888" t="b">
        <v>1</v>
      </c>
      <c r="E1420" s="1000" t="s">
        <v>7220</v>
      </c>
      <c r="J1420" s="888"/>
      <c r="K1420" s="888"/>
      <c r="L1420" s="888"/>
      <c r="M1420" s="888"/>
      <c r="N1420" s="888"/>
      <c r="O1420" s="888"/>
      <c r="P1420" s="888"/>
      <c r="Q1420" s="888"/>
      <c r="R1420" s="888"/>
    </row>
    <row r="1421" spans="1:18" s="893" customFormat="1" ht="15.6" x14ac:dyDescent="0.3">
      <c r="A1421" s="888" t="s">
        <v>2062</v>
      </c>
      <c r="B1421" s="888" t="s">
        <v>1952</v>
      </c>
      <c r="C1421" s="888" t="s">
        <v>2105</v>
      </c>
      <c r="D1421" s="888" t="b">
        <v>1</v>
      </c>
      <c r="E1421" s="1000" t="s">
        <v>7219</v>
      </c>
      <c r="J1421" s="888"/>
      <c r="K1421" s="888"/>
      <c r="L1421" s="888"/>
      <c r="M1421" s="888"/>
      <c r="N1421" s="888"/>
      <c r="O1421" s="888"/>
      <c r="P1421" s="888"/>
      <c r="Q1421" s="888"/>
      <c r="R1421" s="888"/>
    </row>
    <row r="1422" spans="1:18" s="893" customFormat="1" x14ac:dyDescent="0.3">
      <c r="A1422" s="888" t="s">
        <v>2062</v>
      </c>
      <c r="B1422" s="888" t="s">
        <v>1981</v>
      </c>
      <c r="C1422" s="888" t="s">
        <v>2124</v>
      </c>
      <c r="D1422" s="888"/>
      <c r="E1422" s="893" t="s">
        <v>749</v>
      </c>
      <c r="J1422" s="888"/>
      <c r="K1422" s="888"/>
      <c r="L1422" s="888"/>
      <c r="M1422" s="888"/>
      <c r="N1422" s="888"/>
      <c r="O1422" s="888"/>
      <c r="P1422" s="888"/>
      <c r="Q1422" s="888"/>
      <c r="R1422" s="888"/>
    </row>
    <row r="1423" spans="1:18" s="893" customFormat="1" x14ac:dyDescent="0.3">
      <c r="A1423" s="888" t="s">
        <v>2062</v>
      </c>
      <c r="B1423" s="888" t="s">
        <v>1981</v>
      </c>
      <c r="C1423" s="888" t="s">
        <v>2403</v>
      </c>
      <c r="D1423" s="888"/>
      <c r="E1423" s="893" t="s">
        <v>750</v>
      </c>
      <c r="J1423" s="888"/>
      <c r="K1423" s="888"/>
      <c r="L1423" s="888"/>
      <c r="M1423" s="888"/>
      <c r="N1423" s="888"/>
      <c r="O1423" s="888"/>
      <c r="P1423" s="888"/>
      <c r="Q1423" s="888"/>
      <c r="R1423" s="888"/>
    </row>
    <row r="1424" spans="1:18" s="893" customFormat="1" x14ac:dyDescent="0.3">
      <c r="A1424" s="888" t="s">
        <v>2062</v>
      </c>
      <c r="B1424" s="888" t="s">
        <v>1981</v>
      </c>
      <c r="C1424" s="888" t="s">
        <v>2371</v>
      </c>
      <c r="D1424" s="888"/>
      <c r="E1424" s="893" t="s">
        <v>872</v>
      </c>
      <c r="I1424" s="888"/>
      <c r="J1424" s="888"/>
      <c r="K1424" s="888"/>
      <c r="L1424" s="888"/>
      <c r="M1424" s="888"/>
      <c r="N1424" s="888"/>
      <c r="O1424" s="888"/>
      <c r="P1424" s="888"/>
      <c r="Q1424" s="888"/>
      <c r="R1424" s="888"/>
    </row>
    <row r="1425" spans="1:18" s="893" customFormat="1" x14ac:dyDescent="0.3">
      <c r="A1425" s="888" t="s">
        <v>2062</v>
      </c>
      <c r="B1425" s="888" t="s">
        <v>1981</v>
      </c>
      <c r="C1425" s="888" t="s">
        <v>2125</v>
      </c>
      <c r="D1425" s="888"/>
      <c r="E1425" s="893" t="s">
        <v>1542</v>
      </c>
      <c r="I1425" s="888"/>
      <c r="J1425" s="888"/>
      <c r="K1425" s="888"/>
      <c r="L1425" s="888"/>
      <c r="M1425" s="888"/>
      <c r="N1425" s="888"/>
      <c r="O1425" s="888"/>
      <c r="P1425" s="888"/>
      <c r="Q1425" s="888"/>
      <c r="R1425" s="888"/>
    </row>
    <row r="1426" spans="1:18" s="893" customFormat="1" x14ac:dyDescent="0.3">
      <c r="A1426" s="888" t="s">
        <v>2062</v>
      </c>
      <c r="B1426" s="888" t="s">
        <v>1981</v>
      </c>
      <c r="C1426" s="888" t="s">
        <v>2404</v>
      </c>
      <c r="D1426" s="888"/>
      <c r="E1426" s="893" t="s">
        <v>4931</v>
      </c>
      <c r="I1426" s="888"/>
      <c r="J1426" s="888"/>
      <c r="K1426" s="888"/>
      <c r="L1426" s="888"/>
      <c r="M1426" s="888"/>
      <c r="N1426" s="888"/>
      <c r="O1426" s="888"/>
      <c r="P1426" s="888"/>
      <c r="Q1426" s="888"/>
      <c r="R1426" s="888"/>
    </row>
    <row r="1427" spans="1:18" s="893" customFormat="1" x14ac:dyDescent="0.3">
      <c r="A1427" s="888" t="s">
        <v>2062</v>
      </c>
      <c r="B1427" s="888" t="s">
        <v>1981</v>
      </c>
      <c r="C1427" s="888" t="s">
        <v>2405</v>
      </c>
      <c r="D1427" s="888"/>
      <c r="E1427" s="893" t="s">
        <v>4932</v>
      </c>
      <c r="I1427" s="888"/>
      <c r="J1427" s="888"/>
      <c r="K1427" s="888"/>
      <c r="L1427" s="888"/>
      <c r="M1427" s="888"/>
      <c r="N1427" s="888"/>
      <c r="O1427" s="888"/>
      <c r="P1427" s="888"/>
      <c r="Q1427" s="888"/>
      <c r="R1427" s="888"/>
    </row>
    <row r="1428" spans="1:18" s="893" customFormat="1" x14ac:dyDescent="0.3">
      <c r="A1428" s="888" t="s">
        <v>2062</v>
      </c>
      <c r="B1428" s="888" t="s">
        <v>1981</v>
      </c>
      <c r="C1428" s="888" t="s">
        <v>2406</v>
      </c>
      <c r="D1428" s="888"/>
      <c r="E1428" s="893" t="s">
        <v>4933</v>
      </c>
      <c r="I1428" s="888"/>
      <c r="J1428" s="888"/>
      <c r="K1428" s="888"/>
      <c r="L1428" s="888"/>
      <c r="M1428" s="888"/>
      <c r="N1428" s="888"/>
      <c r="O1428" s="888"/>
      <c r="P1428" s="888"/>
      <c r="Q1428" s="888"/>
      <c r="R1428" s="888"/>
    </row>
    <row r="1429" spans="1:18" s="893" customFormat="1" x14ac:dyDescent="0.3">
      <c r="A1429" s="888" t="s">
        <v>2062</v>
      </c>
      <c r="B1429" s="888" t="s">
        <v>1981</v>
      </c>
      <c r="C1429" s="888" t="s">
        <v>2407</v>
      </c>
      <c r="D1429" s="888"/>
      <c r="E1429" s="893" t="s">
        <v>4934</v>
      </c>
      <c r="I1429" s="888"/>
      <c r="J1429" s="888"/>
      <c r="K1429" s="888"/>
      <c r="L1429" s="888"/>
      <c r="M1429" s="888"/>
      <c r="N1429" s="888"/>
      <c r="O1429" s="888"/>
      <c r="P1429" s="888"/>
      <c r="Q1429" s="888"/>
      <c r="R1429" s="888"/>
    </row>
    <row r="1430" spans="1:18" s="893" customFormat="1" x14ac:dyDescent="0.3">
      <c r="A1430" s="888" t="s">
        <v>2062</v>
      </c>
      <c r="B1430" s="888" t="s">
        <v>1981</v>
      </c>
      <c r="C1430" s="888" t="s">
        <v>2408</v>
      </c>
      <c r="D1430" s="888"/>
      <c r="E1430" s="893" t="s">
        <v>1559</v>
      </c>
      <c r="I1430" s="888"/>
      <c r="J1430" s="888"/>
      <c r="K1430" s="888"/>
      <c r="L1430" s="888"/>
      <c r="M1430" s="888"/>
      <c r="N1430" s="888"/>
      <c r="O1430" s="888"/>
      <c r="P1430" s="888"/>
      <c r="Q1430" s="888"/>
      <c r="R1430" s="888"/>
    </row>
    <row r="1431" spans="1:18" s="893" customFormat="1" x14ac:dyDescent="0.3">
      <c r="A1431" s="888" t="s">
        <v>2062</v>
      </c>
      <c r="B1431" s="888" t="s">
        <v>1981</v>
      </c>
      <c r="C1431" s="1001" t="s">
        <v>2063</v>
      </c>
      <c r="D1431" s="888"/>
      <c r="E1431" s="1002" t="s">
        <v>20</v>
      </c>
      <c r="I1431" s="888"/>
      <c r="J1431" s="888"/>
      <c r="K1431" s="888"/>
      <c r="L1431" s="888"/>
      <c r="M1431" s="888"/>
      <c r="N1431" s="888"/>
      <c r="O1431" s="888"/>
      <c r="P1431" s="888"/>
      <c r="Q1431" s="888"/>
      <c r="R1431" s="888"/>
    </row>
    <row r="1432" spans="1:18" s="893" customFormat="1" x14ac:dyDescent="0.3">
      <c r="A1432" s="888" t="s">
        <v>2062</v>
      </c>
      <c r="B1432" s="888" t="s">
        <v>1981</v>
      </c>
      <c r="C1432" s="888" t="s">
        <v>2373</v>
      </c>
      <c r="D1432" s="888"/>
      <c r="E1432" s="893" t="str">
        <f>$E$1009</f>
        <v>Roof surface</v>
      </c>
      <c r="I1432" s="888"/>
      <c r="J1432" s="888"/>
      <c r="K1432" s="888"/>
      <c r="L1432" s="888"/>
      <c r="M1432" s="888"/>
      <c r="N1432" s="888"/>
      <c r="O1432" s="888"/>
      <c r="P1432" s="888"/>
      <c r="Q1432" s="888"/>
      <c r="R1432" s="888"/>
    </row>
    <row r="1433" spans="1:18" s="893" customFormat="1" x14ac:dyDescent="0.3">
      <c r="A1433" s="888" t="s">
        <v>2062</v>
      </c>
      <c r="B1433" s="888" t="s">
        <v>1981</v>
      </c>
      <c r="C1433" s="888" t="s">
        <v>2409</v>
      </c>
      <c r="D1433" s="888"/>
      <c r="E1433" s="893" t="s">
        <v>1560</v>
      </c>
      <c r="I1433" s="888"/>
      <c r="J1433" s="888"/>
      <c r="K1433" s="888"/>
      <c r="L1433" s="888"/>
      <c r="M1433" s="888"/>
      <c r="N1433" s="888"/>
      <c r="O1433" s="888"/>
      <c r="P1433" s="888"/>
      <c r="Q1433" s="888"/>
      <c r="R1433" s="888"/>
    </row>
    <row r="1434" spans="1:18" s="893" customFormat="1" x14ac:dyDescent="0.3">
      <c r="A1434" s="888" t="s">
        <v>2062</v>
      </c>
      <c r="B1434" s="888" t="s">
        <v>1981</v>
      </c>
      <c r="C1434" s="888" t="s">
        <v>2127</v>
      </c>
      <c r="D1434" s="888"/>
      <c r="E1434" s="893" t="str">
        <f>$E$988</f>
        <v>Ceiling surface</v>
      </c>
      <c r="I1434" s="888"/>
      <c r="J1434" s="888"/>
      <c r="K1434" s="888"/>
      <c r="L1434" s="888"/>
      <c r="M1434" s="888"/>
      <c r="N1434" s="888"/>
      <c r="O1434" s="888"/>
      <c r="P1434" s="888"/>
      <c r="Q1434" s="888"/>
      <c r="R1434" s="888"/>
    </row>
    <row r="1435" spans="1:18" s="893" customFormat="1" x14ac:dyDescent="0.3">
      <c r="A1435" s="888" t="s">
        <v>2062</v>
      </c>
      <c r="B1435" s="888" t="s">
        <v>1981</v>
      </c>
      <c r="C1435" s="888" t="s">
        <v>2130</v>
      </c>
      <c r="D1435" s="888"/>
      <c r="E1435" s="893" t="s">
        <v>1561</v>
      </c>
      <c r="I1435" s="888"/>
      <c r="J1435" s="888"/>
      <c r="K1435" s="888"/>
      <c r="L1435" s="888"/>
      <c r="M1435" s="888"/>
      <c r="N1435" s="888"/>
      <c r="O1435" s="888"/>
      <c r="P1435" s="888"/>
      <c r="Q1435" s="888"/>
      <c r="R1435" s="888"/>
    </row>
    <row r="1436" spans="1:18" s="893" customFormat="1" x14ac:dyDescent="0.3">
      <c r="A1436" s="888" t="s">
        <v>2062</v>
      </c>
      <c r="B1436" s="888" t="s">
        <v>1977</v>
      </c>
      <c r="C1436" s="888" t="s">
        <v>2124</v>
      </c>
      <c r="D1436" s="888"/>
      <c r="E1436" s="893" t="str">
        <f>$E$1286</f>
        <v>SECTION</v>
      </c>
      <c r="I1436" s="888"/>
      <c r="J1436" s="888"/>
      <c r="K1436" s="888"/>
      <c r="L1436" s="888"/>
      <c r="M1436" s="888"/>
      <c r="N1436" s="888"/>
      <c r="O1436" s="888"/>
      <c r="P1436" s="888"/>
      <c r="Q1436" s="888"/>
      <c r="R1436" s="888"/>
    </row>
    <row r="1437" spans="1:18" s="893" customFormat="1" x14ac:dyDescent="0.3">
      <c r="A1437" s="888" t="s">
        <v>2062</v>
      </c>
      <c r="B1437" s="888" t="s">
        <v>1977</v>
      </c>
      <c r="C1437" s="888" t="s">
        <v>2403</v>
      </c>
      <c r="D1437" s="888"/>
      <c r="E1437" s="965" t="s">
        <v>3409</v>
      </c>
      <c r="I1437" s="888"/>
      <c r="J1437" s="888"/>
      <c r="K1437" s="888"/>
      <c r="L1437" s="888"/>
      <c r="M1437" s="888"/>
      <c r="N1437" s="888"/>
      <c r="O1437" s="888"/>
      <c r="P1437" s="888"/>
      <c r="Q1437" s="888"/>
      <c r="R1437" s="888"/>
    </row>
    <row r="1438" spans="1:18" s="893" customFormat="1" x14ac:dyDescent="0.3">
      <c r="A1438" s="888" t="s">
        <v>2062</v>
      </c>
      <c r="B1438" s="888" t="s">
        <v>1977</v>
      </c>
      <c r="C1438" s="888" t="s">
        <v>2371</v>
      </c>
      <c r="D1438" s="888"/>
      <c r="E1438" s="893" t="str">
        <f>$E$171</f>
        <v>MATERIAL</v>
      </c>
      <c r="I1438" s="888"/>
      <c r="J1438" s="888"/>
      <c r="K1438" s="888"/>
      <c r="L1438" s="888"/>
      <c r="M1438" s="888"/>
      <c r="N1438" s="888"/>
      <c r="O1438" s="888"/>
      <c r="P1438" s="888"/>
      <c r="Q1438" s="888"/>
      <c r="R1438" s="888"/>
    </row>
    <row r="1439" spans="1:18" s="893" customFormat="1" x14ac:dyDescent="0.3">
      <c r="A1439" s="888" t="s">
        <v>2062</v>
      </c>
      <c r="B1439" s="888" t="s">
        <v>1977</v>
      </c>
      <c r="C1439" s="1003" t="s">
        <v>2407</v>
      </c>
      <c r="D1439" s="888"/>
      <c r="E1439" s="893" t="s">
        <v>4898</v>
      </c>
      <c r="I1439" s="888"/>
      <c r="J1439" s="888"/>
      <c r="K1439" s="888"/>
      <c r="L1439" s="888"/>
      <c r="M1439" s="888"/>
      <c r="N1439" s="888"/>
      <c r="O1439" s="888"/>
      <c r="P1439" s="888"/>
      <c r="Q1439" s="888"/>
      <c r="R1439" s="888"/>
    </row>
    <row r="1440" spans="1:18" s="893" customFormat="1" x14ac:dyDescent="0.3">
      <c r="A1440" s="888" t="s">
        <v>2062</v>
      </c>
      <c r="B1440" s="888" t="s">
        <v>1977</v>
      </c>
      <c r="C1440" s="888" t="s">
        <v>2411</v>
      </c>
      <c r="D1440" s="888"/>
      <c r="E1440" s="893" t="s">
        <v>1273</v>
      </c>
      <c r="I1440" s="888"/>
      <c r="J1440" s="888"/>
      <c r="K1440" s="888"/>
      <c r="L1440" s="888"/>
      <c r="M1440" s="888"/>
      <c r="N1440" s="888"/>
      <c r="O1440" s="888"/>
      <c r="P1440" s="888"/>
      <c r="Q1440" s="888"/>
      <c r="R1440" s="888"/>
    </row>
    <row r="1441" spans="1:18" s="893" customFormat="1" x14ac:dyDescent="0.3">
      <c r="A1441" s="888" t="s">
        <v>2062</v>
      </c>
      <c r="B1441" s="888" t="s">
        <v>1977</v>
      </c>
      <c r="C1441" s="888" t="s">
        <v>2412</v>
      </c>
      <c r="D1441" s="888"/>
      <c r="E1441" s="893" t="s">
        <v>1627</v>
      </c>
      <c r="I1441" s="888"/>
      <c r="J1441" s="888"/>
      <c r="K1441" s="888"/>
      <c r="L1441" s="888"/>
      <c r="M1441" s="888"/>
      <c r="N1441" s="888"/>
      <c r="O1441" s="888"/>
      <c r="P1441" s="888"/>
      <c r="Q1441" s="888"/>
      <c r="R1441" s="888"/>
    </row>
    <row r="1442" spans="1:18" s="893" customFormat="1" x14ac:dyDescent="0.3">
      <c r="A1442" s="888" t="s">
        <v>2062</v>
      </c>
      <c r="B1442" s="888" t="s">
        <v>1977</v>
      </c>
      <c r="C1442" s="888" t="s">
        <v>2413</v>
      </c>
      <c r="D1442" s="888"/>
      <c r="E1442" s="893" t="s">
        <v>1626</v>
      </c>
      <c r="I1442" s="888"/>
      <c r="J1442" s="888"/>
      <c r="K1442" s="888"/>
      <c r="L1442" s="888"/>
      <c r="M1442" s="888"/>
      <c r="N1442" s="888"/>
      <c r="O1442" s="888"/>
      <c r="P1442" s="888"/>
      <c r="Q1442" s="888"/>
      <c r="R1442" s="888"/>
    </row>
    <row r="1443" spans="1:18" s="893" customFormat="1" x14ac:dyDescent="0.3">
      <c r="A1443" s="888" t="s">
        <v>2062</v>
      </c>
      <c r="B1443" s="888" t="s">
        <v>1977</v>
      </c>
      <c r="C1443" s="888" t="s">
        <v>2434</v>
      </c>
      <c r="D1443" s="888"/>
      <c r="E1443" s="893" t="s">
        <v>1103</v>
      </c>
      <c r="I1443" s="888"/>
      <c r="J1443" s="888"/>
      <c r="K1443" s="888"/>
      <c r="L1443" s="888"/>
      <c r="M1443" s="888"/>
      <c r="N1443" s="888"/>
      <c r="O1443" s="888"/>
      <c r="P1443" s="888"/>
      <c r="Q1443" s="888"/>
      <c r="R1443" s="888"/>
    </row>
    <row r="1444" spans="1:18" s="893" customFormat="1" x14ac:dyDescent="0.3">
      <c r="A1444" s="888" t="s">
        <v>2062</v>
      </c>
      <c r="B1444" s="888" t="s">
        <v>1977</v>
      </c>
      <c r="C1444" s="888" t="s">
        <v>2414</v>
      </c>
      <c r="D1444" s="888"/>
      <c r="E1444" s="893" t="str">
        <f>$E$1286</f>
        <v>SECTION</v>
      </c>
      <c r="I1444" s="888"/>
      <c r="J1444" s="888"/>
      <c r="K1444" s="888"/>
      <c r="L1444" s="888"/>
      <c r="M1444" s="888"/>
      <c r="N1444" s="888"/>
      <c r="O1444" s="888"/>
      <c r="P1444" s="888"/>
      <c r="Q1444" s="888"/>
      <c r="R1444" s="888"/>
    </row>
    <row r="1445" spans="1:18" s="893" customFormat="1" x14ac:dyDescent="0.3">
      <c r="A1445" s="888" t="s">
        <v>2062</v>
      </c>
      <c r="B1445" s="888" t="s">
        <v>1977</v>
      </c>
      <c r="C1445" s="888" t="s">
        <v>2415</v>
      </c>
      <c r="D1445" s="888"/>
      <c r="E1445" s="893" t="str">
        <f>$E$171</f>
        <v>MATERIAL</v>
      </c>
      <c r="I1445" s="888"/>
      <c r="J1445" s="888"/>
      <c r="K1445" s="888"/>
      <c r="L1445" s="888"/>
      <c r="M1445" s="888"/>
      <c r="N1445" s="888"/>
      <c r="O1445" s="888"/>
      <c r="P1445" s="888"/>
      <c r="Q1445" s="888"/>
      <c r="R1445" s="888"/>
    </row>
    <row r="1446" spans="1:18" s="893" customFormat="1" x14ac:dyDescent="0.3">
      <c r="A1446" s="888" t="s">
        <v>2062</v>
      </c>
      <c r="B1446" s="888" t="s">
        <v>1977</v>
      </c>
      <c r="C1446" s="888" t="s">
        <v>2417</v>
      </c>
      <c r="D1446" s="888"/>
      <c r="E1446" s="893" t="s">
        <v>1196</v>
      </c>
      <c r="I1446" s="888"/>
      <c r="J1446" s="888"/>
      <c r="K1446" s="888"/>
      <c r="L1446" s="888"/>
      <c r="M1446" s="888"/>
      <c r="N1446" s="888"/>
      <c r="O1446" s="888"/>
      <c r="P1446" s="888"/>
      <c r="Q1446" s="888"/>
      <c r="R1446" s="888"/>
    </row>
    <row r="1447" spans="1:18" s="893" customFormat="1" x14ac:dyDescent="0.3">
      <c r="A1447" s="888" t="s">
        <v>2062</v>
      </c>
      <c r="B1447" s="888" t="s">
        <v>1977</v>
      </c>
      <c r="C1447" s="888" t="s">
        <v>2435</v>
      </c>
      <c r="D1447" s="888"/>
      <c r="E1447" s="893" t="s">
        <v>1705</v>
      </c>
      <c r="I1447" s="888"/>
      <c r="J1447" s="888"/>
      <c r="K1447" s="888"/>
      <c r="L1447" s="888"/>
      <c r="M1447" s="888"/>
      <c r="N1447" s="888"/>
      <c r="O1447" s="888"/>
      <c r="P1447" s="888"/>
      <c r="Q1447" s="888"/>
      <c r="R1447" s="888"/>
    </row>
    <row r="1448" spans="1:18" s="893" customFormat="1" x14ac:dyDescent="0.3">
      <c r="A1448" s="888" t="s">
        <v>2062</v>
      </c>
      <c r="B1448" s="888" t="s">
        <v>1977</v>
      </c>
      <c r="C1448" s="888" t="s">
        <v>2436</v>
      </c>
      <c r="D1448" s="888"/>
      <c r="E1448" s="893" t="s">
        <v>1706</v>
      </c>
      <c r="I1448" s="888"/>
      <c r="J1448" s="888"/>
      <c r="K1448" s="888"/>
      <c r="L1448" s="888"/>
      <c r="M1448" s="888"/>
      <c r="N1448" s="888"/>
      <c r="O1448" s="888"/>
      <c r="P1448" s="888"/>
      <c r="Q1448" s="888"/>
      <c r="R1448" s="888"/>
    </row>
    <row r="1449" spans="1:18" s="893" customFormat="1" x14ac:dyDescent="0.3">
      <c r="A1449" s="888" t="s">
        <v>2062</v>
      </c>
      <c r="B1449" s="888" t="s">
        <v>1977</v>
      </c>
      <c r="C1449" s="888" t="s">
        <v>2437</v>
      </c>
      <c r="D1449" s="888"/>
      <c r="E1449" s="893" t="s">
        <v>1220</v>
      </c>
      <c r="I1449" s="888"/>
      <c r="J1449" s="888"/>
      <c r="K1449" s="888"/>
      <c r="L1449" s="888"/>
      <c r="M1449" s="888"/>
      <c r="N1449" s="888"/>
      <c r="O1449" s="888"/>
      <c r="P1449" s="888"/>
      <c r="Q1449" s="888"/>
      <c r="R1449" s="888"/>
    </row>
    <row r="1450" spans="1:18" s="893" customFormat="1" x14ac:dyDescent="0.3">
      <c r="A1450" s="888" t="s">
        <v>2062</v>
      </c>
      <c r="B1450" s="888" t="s">
        <v>1977</v>
      </c>
      <c r="C1450" s="888" t="s">
        <v>2418</v>
      </c>
      <c r="D1450" s="888"/>
      <c r="E1450" s="893" t="s">
        <v>1613</v>
      </c>
      <c r="I1450" s="888"/>
      <c r="J1450" s="888"/>
      <c r="K1450" s="888"/>
      <c r="L1450" s="888"/>
      <c r="M1450" s="888"/>
      <c r="N1450" s="888"/>
      <c r="O1450" s="888"/>
      <c r="P1450" s="888"/>
      <c r="Q1450" s="888"/>
      <c r="R1450" s="888"/>
    </row>
    <row r="1451" spans="1:18" s="893" customFormat="1" x14ac:dyDescent="0.3">
      <c r="A1451" s="888" t="s">
        <v>2062</v>
      </c>
      <c r="B1451" s="888" t="s">
        <v>1977</v>
      </c>
      <c r="C1451" s="888" t="s">
        <v>2419</v>
      </c>
      <c r="D1451" s="888"/>
      <c r="E1451" s="893" t="s">
        <v>1614</v>
      </c>
      <c r="I1451" s="888"/>
      <c r="J1451" s="888"/>
      <c r="K1451" s="888"/>
      <c r="L1451" s="888"/>
      <c r="M1451" s="888"/>
      <c r="N1451" s="888"/>
      <c r="O1451" s="888"/>
      <c r="P1451" s="888"/>
      <c r="Q1451" s="888"/>
      <c r="R1451" s="888"/>
    </row>
    <row r="1452" spans="1:18" s="893" customFormat="1" x14ac:dyDescent="0.3">
      <c r="A1452" s="888" t="s">
        <v>2062</v>
      </c>
      <c r="B1452" s="888" t="s">
        <v>1977</v>
      </c>
      <c r="C1452" s="888" t="s">
        <v>5132</v>
      </c>
      <c r="D1452" s="888"/>
      <c r="E1452" s="893" t="s">
        <v>1612</v>
      </c>
      <c r="I1452" s="888"/>
      <c r="J1452" s="888"/>
      <c r="K1452" s="888"/>
      <c r="L1452" s="888"/>
      <c r="M1452" s="888"/>
      <c r="N1452" s="888"/>
      <c r="O1452" s="888"/>
      <c r="P1452" s="888"/>
      <c r="Q1452" s="888"/>
      <c r="R1452" s="888"/>
    </row>
    <row r="1453" spans="1:18" s="893" customFormat="1" x14ac:dyDescent="0.3">
      <c r="A1453" s="888" t="s">
        <v>2062</v>
      </c>
      <c r="B1453" s="888" t="s">
        <v>1977</v>
      </c>
      <c r="C1453" s="888" t="s">
        <v>5133</v>
      </c>
      <c r="D1453" s="888"/>
      <c r="E1453" s="893" t="s">
        <v>1548</v>
      </c>
      <c r="I1453" s="888"/>
      <c r="J1453" s="888"/>
      <c r="K1453" s="888"/>
      <c r="L1453" s="888"/>
      <c r="M1453" s="888"/>
      <c r="N1453" s="888"/>
      <c r="O1453" s="888"/>
      <c r="P1453" s="888"/>
      <c r="Q1453" s="888"/>
      <c r="R1453" s="888"/>
    </row>
    <row r="1454" spans="1:18" s="893" customFormat="1" x14ac:dyDescent="0.3">
      <c r="A1454" s="888" t="s">
        <v>2062</v>
      </c>
      <c r="B1454" s="888" t="s">
        <v>1977</v>
      </c>
      <c r="C1454" s="1003" t="s">
        <v>2445</v>
      </c>
      <c r="D1454" s="888"/>
      <c r="E1454" s="1004" t="str">
        <f>$E$1446</f>
        <v>Year</v>
      </c>
      <c r="I1454" s="888"/>
      <c r="J1454" s="888"/>
      <c r="K1454" s="888"/>
      <c r="L1454" s="888"/>
      <c r="M1454" s="888"/>
      <c r="N1454" s="888"/>
      <c r="O1454" s="888"/>
      <c r="P1454" s="888"/>
      <c r="Q1454" s="888"/>
      <c r="R1454" s="888"/>
    </row>
    <row r="1455" spans="1:18" s="893" customFormat="1" x14ac:dyDescent="0.3">
      <c r="A1455" s="888" t="s">
        <v>2062</v>
      </c>
      <c r="B1455" s="888" t="s">
        <v>1977</v>
      </c>
      <c r="C1455" s="1003" t="s">
        <v>2446</v>
      </c>
      <c r="D1455" s="888"/>
      <c r="E1455" s="1004" t="str">
        <f>$E$1447</f>
        <v>Materials</v>
      </c>
      <c r="I1455" s="888"/>
      <c r="J1455" s="888"/>
      <c r="K1455" s="888"/>
      <c r="L1455" s="888"/>
      <c r="M1455" s="888"/>
      <c r="N1455" s="888"/>
      <c r="O1455" s="888"/>
      <c r="P1455" s="888"/>
      <c r="Q1455" s="888"/>
      <c r="R1455" s="888"/>
    </row>
    <row r="1456" spans="1:18" s="893" customFormat="1" x14ac:dyDescent="0.3">
      <c r="A1456" s="888" t="s">
        <v>2062</v>
      </c>
      <c r="B1456" s="888" t="s">
        <v>1977</v>
      </c>
      <c r="C1456" s="1003" t="s">
        <v>2447</v>
      </c>
      <c r="D1456" s="888"/>
      <c r="E1456" s="893" t="s">
        <v>1225</v>
      </c>
      <c r="F1456" s="1004"/>
      <c r="I1456" s="888"/>
      <c r="J1456" s="888"/>
      <c r="K1456" s="888"/>
      <c r="L1456" s="888"/>
      <c r="M1456" s="888"/>
      <c r="N1456" s="888"/>
      <c r="O1456" s="888"/>
      <c r="P1456" s="888"/>
      <c r="Q1456" s="888"/>
      <c r="R1456" s="888"/>
    </row>
    <row r="1457" spans="1:18" s="893" customFormat="1" x14ac:dyDescent="0.3">
      <c r="A1457" s="888" t="s">
        <v>2062</v>
      </c>
      <c r="B1457" s="888" t="s">
        <v>1977</v>
      </c>
      <c r="C1457" s="1003" t="s">
        <v>2448</v>
      </c>
      <c r="D1457" s="888"/>
      <c r="E1457" s="888" t="s">
        <v>1224</v>
      </c>
      <c r="I1457" s="888"/>
      <c r="J1457" s="888"/>
      <c r="K1457" s="888"/>
      <c r="L1457" s="888"/>
      <c r="M1457" s="888"/>
      <c r="N1457" s="888"/>
      <c r="O1457" s="888"/>
      <c r="P1457" s="888"/>
      <c r="Q1457" s="888"/>
      <c r="R1457" s="888"/>
    </row>
    <row r="1458" spans="1:18" s="893" customFormat="1" x14ac:dyDescent="0.3">
      <c r="A1458" s="888" t="s">
        <v>2062</v>
      </c>
      <c r="B1458" s="888" t="s">
        <v>1977</v>
      </c>
      <c r="C1458" s="1003" t="s">
        <v>2449</v>
      </c>
      <c r="D1458" s="888"/>
      <c r="E1458" s="888" t="s">
        <v>1223</v>
      </c>
      <c r="I1458" s="888"/>
      <c r="J1458" s="888"/>
      <c r="K1458" s="888"/>
      <c r="L1458" s="888"/>
      <c r="M1458" s="888"/>
      <c r="N1458" s="888"/>
      <c r="O1458" s="888"/>
      <c r="P1458" s="888"/>
      <c r="Q1458" s="888"/>
      <c r="R1458" s="888"/>
    </row>
    <row r="1459" spans="1:18" s="893" customFormat="1" x14ac:dyDescent="0.3">
      <c r="A1459" s="888" t="s">
        <v>2062</v>
      </c>
      <c r="B1459" s="888" t="s">
        <v>1977</v>
      </c>
      <c r="C1459" s="1003" t="s">
        <v>2450</v>
      </c>
      <c r="D1459" s="888"/>
      <c r="E1459" s="888" t="s">
        <v>1222</v>
      </c>
      <c r="I1459" s="888"/>
      <c r="J1459" s="888"/>
      <c r="K1459" s="888"/>
      <c r="L1459" s="888"/>
      <c r="M1459" s="888"/>
      <c r="N1459" s="888"/>
      <c r="O1459" s="888"/>
      <c r="P1459" s="888"/>
      <c r="Q1459" s="888"/>
      <c r="R1459" s="888"/>
    </row>
    <row r="1460" spans="1:18" s="893" customFormat="1" x14ac:dyDescent="0.3">
      <c r="A1460" s="888" t="s">
        <v>2062</v>
      </c>
      <c r="B1460" s="888" t="s">
        <v>1977</v>
      </c>
      <c r="C1460" s="1003" t="s">
        <v>2451</v>
      </c>
      <c r="D1460" s="888"/>
      <c r="E1460" s="888" t="s">
        <v>1221</v>
      </c>
      <c r="I1460" s="888"/>
      <c r="J1460" s="888"/>
      <c r="K1460" s="888"/>
      <c r="L1460" s="888"/>
      <c r="M1460" s="888"/>
      <c r="N1460" s="888"/>
      <c r="O1460" s="888"/>
      <c r="P1460" s="888"/>
      <c r="Q1460" s="888"/>
      <c r="R1460" s="888"/>
    </row>
    <row r="1461" spans="1:18" s="893" customFormat="1" x14ac:dyDescent="0.3">
      <c r="A1461" s="888" t="s">
        <v>2062</v>
      </c>
      <c r="B1461" s="888" t="s">
        <v>1977</v>
      </c>
      <c r="C1461" s="888" t="s">
        <v>5134</v>
      </c>
      <c r="D1461" s="888"/>
      <c r="E1461" s="893" t="s">
        <v>1549</v>
      </c>
      <c r="I1461" s="888"/>
      <c r="J1461" s="888"/>
      <c r="K1461" s="888"/>
      <c r="L1461" s="888"/>
      <c r="M1461" s="888"/>
      <c r="N1461" s="888"/>
      <c r="O1461" s="888"/>
      <c r="P1461" s="888"/>
      <c r="Q1461" s="888"/>
      <c r="R1461" s="888"/>
    </row>
    <row r="1462" spans="1:18" s="893" customFormat="1" x14ac:dyDescent="0.3">
      <c r="A1462" s="888" t="s">
        <v>2062</v>
      </c>
      <c r="B1462" s="888" t="s">
        <v>1977</v>
      </c>
      <c r="C1462" s="1003" t="s">
        <v>5139</v>
      </c>
      <c r="D1462" s="888"/>
      <c r="E1462" s="893" t="s">
        <v>4917</v>
      </c>
      <c r="I1462" s="888"/>
      <c r="J1462" s="888"/>
      <c r="K1462" s="888"/>
      <c r="L1462" s="888"/>
      <c r="M1462" s="888"/>
      <c r="N1462" s="888"/>
      <c r="O1462" s="888"/>
      <c r="P1462" s="888"/>
      <c r="Q1462" s="888"/>
      <c r="R1462" s="888"/>
    </row>
    <row r="1463" spans="1:18" s="893" customFormat="1" x14ac:dyDescent="0.3">
      <c r="A1463" s="888" t="s">
        <v>2062</v>
      </c>
      <c r="B1463" s="888" t="s">
        <v>1977</v>
      </c>
      <c r="C1463" s="888" t="s">
        <v>2084</v>
      </c>
      <c r="D1463" s="888"/>
      <c r="E1463" s="893" t="str">
        <f>$E$1352</f>
        <v>Section</v>
      </c>
      <c r="I1463" s="888"/>
      <c r="J1463" s="888"/>
      <c r="K1463" s="888"/>
      <c r="L1463" s="888"/>
      <c r="M1463" s="888"/>
      <c r="N1463" s="888"/>
      <c r="O1463" s="888"/>
      <c r="P1463" s="888"/>
      <c r="Q1463" s="888"/>
      <c r="R1463" s="888"/>
    </row>
    <row r="1464" spans="1:18" s="893" customFormat="1" ht="28.8" x14ac:dyDescent="0.3">
      <c r="A1464" s="888" t="s">
        <v>2062</v>
      </c>
      <c r="B1464" s="888" t="s">
        <v>1977</v>
      </c>
      <c r="C1464" s="888" t="s">
        <v>5135</v>
      </c>
      <c r="D1464" s="888" t="b">
        <v>1</v>
      </c>
      <c r="E1464" s="1005" t="s">
        <v>1628</v>
      </c>
      <c r="I1464" s="888"/>
      <c r="J1464" s="888"/>
      <c r="K1464" s="888"/>
      <c r="L1464" s="888"/>
      <c r="M1464" s="888"/>
      <c r="N1464" s="888"/>
      <c r="O1464" s="888"/>
      <c r="P1464" s="888"/>
      <c r="Q1464" s="888"/>
      <c r="R1464" s="888"/>
    </row>
    <row r="1465" spans="1:18" s="893" customFormat="1" x14ac:dyDescent="0.3">
      <c r="A1465" s="888" t="s">
        <v>2083</v>
      </c>
      <c r="B1465" s="888" t="s">
        <v>3375</v>
      </c>
      <c r="C1465" s="888" t="s">
        <v>2420</v>
      </c>
      <c r="D1465" s="888" t="s">
        <v>3374</v>
      </c>
      <c r="E1465" s="893" t="s">
        <v>1022</v>
      </c>
      <c r="I1465" s="888"/>
      <c r="J1465" s="888"/>
      <c r="K1465" s="888"/>
      <c r="L1465" s="888"/>
      <c r="M1465" s="888"/>
      <c r="N1465" s="888"/>
      <c r="O1465" s="888"/>
      <c r="P1465" s="888"/>
      <c r="Q1465" s="888"/>
      <c r="R1465" s="888"/>
    </row>
    <row r="1466" spans="1:18" s="893" customFormat="1" x14ac:dyDescent="0.3">
      <c r="A1466" s="888" t="s">
        <v>2083</v>
      </c>
      <c r="B1466" s="888" t="s">
        <v>3375</v>
      </c>
      <c r="C1466" s="888" t="s">
        <v>2421</v>
      </c>
      <c r="D1466" s="888" t="s">
        <v>3374</v>
      </c>
      <c r="E1466" s="893" t="s">
        <v>1096</v>
      </c>
      <c r="I1466" s="888"/>
      <c r="J1466" s="888"/>
      <c r="K1466" s="888"/>
      <c r="L1466" s="888"/>
      <c r="M1466" s="888"/>
      <c r="N1466" s="888"/>
      <c r="O1466" s="888"/>
      <c r="P1466" s="888"/>
      <c r="Q1466" s="888"/>
      <c r="R1466" s="888"/>
    </row>
    <row r="1467" spans="1:18" s="893" customFormat="1" x14ac:dyDescent="0.3">
      <c r="A1467" s="888" t="s">
        <v>2083</v>
      </c>
      <c r="B1467" s="888" t="s">
        <v>3375</v>
      </c>
      <c r="C1467" s="888" t="s">
        <v>2422</v>
      </c>
      <c r="D1467" s="888" t="s">
        <v>3374</v>
      </c>
      <c r="E1467" s="893" t="s">
        <v>1095</v>
      </c>
      <c r="I1467" s="888"/>
      <c r="J1467" s="888"/>
      <c r="K1467" s="888"/>
      <c r="L1467" s="888"/>
      <c r="M1467" s="888"/>
      <c r="N1467" s="888"/>
      <c r="O1467" s="888"/>
      <c r="P1467" s="888"/>
      <c r="Q1467" s="888"/>
      <c r="R1467" s="888"/>
    </row>
    <row r="1468" spans="1:18" s="893" customFormat="1" x14ac:dyDescent="0.3">
      <c r="A1468" s="888" t="s">
        <v>2083</v>
      </c>
      <c r="B1468" s="888" t="s">
        <v>3375</v>
      </c>
      <c r="C1468" s="888" t="s">
        <v>2423</v>
      </c>
      <c r="D1468" s="888" t="s">
        <v>3374</v>
      </c>
      <c r="E1468" s="893" t="s">
        <v>1633</v>
      </c>
      <c r="I1468" s="888"/>
      <c r="J1468" s="888"/>
      <c r="K1468" s="888"/>
      <c r="L1468" s="888"/>
      <c r="M1468" s="888"/>
      <c r="N1468" s="888"/>
      <c r="O1468" s="888"/>
      <c r="P1468" s="888"/>
      <c r="Q1468" s="888"/>
      <c r="R1468" s="888"/>
    </row>
    <row r="1469" spans="1:18" s="893" customFormat="1" x14ac:dyDescent="0.3">
      <c r="A1469" s="888" t="s">
        <v>2083</v>
      </c>
      <c r="B1469" s="888" t="s">
        <v>3375</v>
      </c>
      <c r="C1469" s="888" t="s">
        <v>2424</v>
      </c>
      <c r="D1469" s="888" t="s">
        <v>3374</v>
      </c>
      <c r="E1469" s="893" t="s">
        <v>1634</v>
      </c>
      <c r="I1469" s="888"/>
      <c r="J1469" s="888"/>
      <c r="K1469" s="888"/>
      <c r="L1469" s="888"/>
      <c r="M1469" s="888"/>
      <c r="N1469" s="888"/>
      <c r="O1469" s="888"/>
      <c r="P1469" s="888"/>
      <c r="Q1469" s="888"/>
      <c r="R1469" s="888"/>
    </row>
    <row r="1470" spans="1:18" s="893" customFormat="1" x14ac:dyDescent="0.3">
      <c r="A1470" s="888" t="s">
        <v>2083</v>
      </c>
      <c r="B1470" s="888" t="s">
        <v>3375</v>
      </c>
      <c r="C1470" s="888" t="s">
        <v>2425</v>
      </c>
      <c r="D1470" s="888" t="s">
        <v>3374</v>
      </c>
      <c r="E1470" s="893" t="s">
        <v>1696</v>
      </c>
      <c r="I1470" s="888"/>
      <c r="J1470" s="888"/>
      <c r="K1470" s="888"/>
      <c r="L1470" s="888"/>
      <c r="M1470" s="888"/>
      <c r="N1470" s="888"/>
      <c r="O1470" s="888"/>
      <c r="P1470" s="888"/>
      <c r="Q1470" s="888"/>
      <c r="R1470" s="888"/>
    </row>
    <row r="1471" spans="1:18" s="893" customFormat="1" x14ac:dyDescent="0.3">
      <c r="A1471" s="888" t="s">
        <v>2083</v>
      </c>
      <c r="B1471" s="888" t="s">
        <v>3375</v>
      </c>
      <c r="C1471" s="888" t="s">
        <v>2426</v>
      </c>
      <c r="D1471" s="888" t="s">
        <v>3374</v>
      </c>
      <c r="E1471" s="893" t="str">
        <f>$E$1278</f>
        <v>Cladding</v>
      </c>
      <c r="I1471" s="888"/>
      <c r="J1471" s="888"/>
      <c r="K1471" s="888"/>
      <c r="L1471" s="888"/>
      <c r="M1471" s="888"/>
      <c r="N1471" s="888"/>
      <c r="O1471" s="888"/>
      <c r="P1471" s="888"/>
      <c r="Q1471" s="888"/>
      <c r="R1471" s="888"/>
    </row>
    <row r="1472" spans="1:18" s="893" customFormat="1" x14ac:dyDescent="0.3">
      <c r="A1472" s="888" t="s">
        <v>2083</v>
      </c>
      <c r="B1472" s="888" t="s">
        <v>3375</v>
      </c>
      <c r="C1472" s="888" t="s">
        <v>2427</v>
      </c>
      <c r="D1472" s="888" t="s">
        <v>3374</v>
      </c>
      <c r="E1472" s="893" t="str">
        <f>$E$98</f>
        <v>Windows</v>
      </c>
      <c r="I1472" s="888"/>
      <c r="J1472" s="888"/>
      <c r="K1472" s="888"/>
      <c r="L1472" s="888"/>
      <c r="M1472" s="888"/>
      <c r="N1472" s="888"/>
      <c r="O1472" s="888"/>
      <c r="P1472" s="888"/>
      <c r="Q1472" s="888"/>
      <c r="R1472" s="888"/>
    </row>
    <row r="1473" spans="1:18" s="893" customFormat="1" x14ac:dyDescent="0.3">
      <c r="A1473" s="888" t="s">
        <v>2083</v>
      </c>
      <c r="B1473" s="888" t="s">
        <v>3375</v>
      </c>
      <c r="C1473" s="888" t="s">
        <v>2428</v>
      </c>
      <c r="D1473" s="888" t="s">
        <v>3374</v>
      </c>
      <c r="E1473" s="893" t="s">
        <v>1635</v>
      </c>
      <c r="I1473" s="888"/>
      <c r="J1473" s="888"/>
      <c r="K1473" s="888"/>
      <c r="L1473" s="888"/>
      <c r="M1473" s="888"/>
      <c r="N1473" s="888"/>
      <c r="O1473" s="888"/>
      <c r="P1473" s="888"/>
      <c r="Q1473" s="888"/>
      <c r="R1473" s="888"/>
    </row>
    <row r="1474" spans="1:18" s="893" customFormat="1" x14ac:dyDescent="0.3">
      <c r="A1474" s="888" t="s">
        <v>2083</v>
      </c>
      <c r="B1474" s="888" t="s">
        <v>3375</v>
      </c>
      <c r="C1474" s="888" t="s">
        <v>2429</v>
      </c>
      <c r="D1474" s="888" t="s">
        <v>3374</v>
      </c>
      <c r="E1474" s="893" t="s">
        <v>1100</v>
      </c>
      <c r="I1474" s="888"/>
      <c r="J1474" s="888"/>
      <c r="K1474" s="888"/>
      <c r="L1474" s="888"/>
      <c r="M1474" s="888"/>
      <c r="N1474" s="888"/>
      <c r="O1474" s="888"/>
      <c r="P1474" s="888"/>
      <c r="Q1474" s="888"/>
      <c r="R1474" s="888"/>
    </row>
    <row r="1475" spans="1:18" s="893" customFormat="1" x14ac:dyDescent="0.3">
      <c r="A1475" s="888" t="s">
        <v>2083</v>
      </c>
      <c r="B1475" s="888" t="s">
        <v>3375</v>
      </c>
      <c r="C1475" s="888" t="s">
        <v>2430</v>
      </c>
      <c r="D1475" s="888" t="s">
        <v>3374</v>
      </c>
      <c r="E1475" s="893" t="s">
        <v>1101</v>
      </c>
      <c r="I1475" s="888"/>
      <c r="J1475" s="888"/>
      <c r="K1475" s="888"/>
      <c r="L1475" s="888"/>
      <c r="M1475" s="888"/>
      <c r="N1475" s="888"/>
      <c r="O1475" s="888"/>
      <c r="P1475" s="888"/>
      <c r="Q1475" s="888"/>
      <c r="R1475" s="888"/>
    </row>
    <row r="1476" spans="1:18" s="893" customFormat="1" x14ac:dyDescent="0.3">
      <c r="A1476" s="888" t="s">
        <v>2083</v>
      </c>
      <c r="B1476" s="888" t="s">
        <v>3375</v>
      </c>
      <c r="C1476" s="888" t="s">
        <v>2431</v>
      </c>
      <c r="D1476" s="888" t="s">
        <v>3374</v>
      </c>
      <c r="E1476" s="893" t="s">
        <v>1102</v>
      </c>
      <c r="I1476" s="888"/>
      <c r="J1476" s="888"/>
      <c r="K1476" s="888"/>
      <c r="L1476" s="888"/>
      <c r="M1476" s="888"/>
      <c r="N1476" s="888"/>
      <c r="O1476" s="888"/>
      <c r="P1476" s="888"/>
      <c r="Q1476" s="888"/>
      <c r="R1476" s="888"/>
    </row>
    <row r="1477" spans="1:18" s="893" customFormat="1" x14ac:dyDescent="0.3">
      <c r="A1477" s="888" t="s">
        <v>2083</v>
      </c>
      <c r="B1477" s="888" t="s">
        <v>3375</v>
      </c>
      <c r="C1477" s="888" t="s">
        <v>2432</v>
      </c>
      <c r="D1477" s="888" t="s">
        <v>3374</v>
      </c>
      <c r="E1477" s="893" t="s">
        <v>1580</v>
      </c>
      <c r="I1477" s="888"/>
      <c r="J1477" s="888"/>
      <c r="K1477" s="888"/>
      <c r="L1477" s="888"/>
      <c r="M1477" s="888"/>
      <c r="N1477" s="888"/>
      <c r="O1477" s="888"/>
      <c r="P1477" s="888"/>
      <c r="Q1477" s="888"/>
      <c r="R1477" s="888"/>
    </row>
    <row r="1478" spans="1:18" s="893" customFormat="1" x14ac:dyDescent="0.3">
      <c r="A1478" s="888" t="s">
        <v>2083</v>
      </c>
      <c r="B1478" s="888" t="s">
        <v>3375</v>
      </c>
      <c r="C1478" s="888" t="s">
        <v>2433</v>
      </c>
      <c r="D1478" s="888" t="s">
        <v>3374</v>
      </c>
      <c r="E1478" s="893" t="str">
        <f>$E$1279</f>
        <v>User-Defined</v>
      </c>
      <c r="I1478" s="888"/>
      <c r="J1478" s="888"/>
      <c r="K1478" s="888"/>
      <c r="L1478" s="888"/>
      <c r="M1478" s="888"/>
      <c r="N1478" s="888"/>
      <c r="O1478" s="888"/>
      <c r="P1478" s="888"/>
      <c r="Q1478" s="888"/>
      <c r="R1478" s="888"/>
    </row>
    <row r="1479" spans="1:18" s="893" customFormat="1" x14ac:dyDescent="0.3">
      <c r="A1479" s="888" t="s">
        <v>2062</v>
      </c>
      <c r="B1479" s="888" t="s">
        <v>1977</v>
      </c>
      <c r="C1479" s="888" t="s">
        <v>5136</v>
      </c>
      <c r="D1479" s="888"/>
      <c r="E1479" s="893" t="s">
        <v>1632</v>
      </c>
      <c r="I1479" s="888"/>
      <c r="J1479" s="888"/>
      <c r="K1479" s="888"/>
      <c r="L1479" s="888"/>
      <c r="M1479" s="888"/>
      <c r="N1479" s="888"/>
      <c r="O1479" s="888"/>
      <c r="P1479" s="888"/>
      <c r="Q1479" s="888"/>
      <c r="R1479" s="888"/>
    </row>
    <row r="1480" spans="1:18" s="893" customFormat="1" x14ac:dyDescent="0.3">
      <c r="A1480" s="888" t="s">
        <v>2062</v>
      </c>
      <c r="B1480" s="888" t="s">
        <v>1975</v>
      </c>
      <c r="C1480" s="888" t="s">
        <v>2124</v>
      </c>
      <c r="D1480" s="888"/>
      <c r="E1480" s="893" t="s">
        <v>743</v>
      </c>
      <c r="I1480" s="888"/>
      <c r="J1480" s="888"/>
      <c r="K1480" s="888"/>
      <c r="L1480" s="888"/>
      <c r="M1480" s="888"/>
      <c r="N1480" s="888"/>
      <c r="O1480" s="888"/>
      <c r="P1480" s="888"/>
      <c r="Q1480" s="888"/>
      <c r="R1480" s="888"/>
    </row>
    <row r="1481" spans="1:18" s="893" customFormat="1" x14ac:dyDescent="0.3">
      <c r="A1481" s="888" t="s">
        <v>2062</v>
      </c>
      <c r="B1481" s="888" t="s">
        <v>1975</v>
      </c>
      <c r="C1481" s="888" t="s">
        <v>2403</v>
      </c>
      <c r="D1481" s="888"/>
      <c r="E1481" s="888" t="s">
        <v>985</v>
      </c>
      <c r="I1481" s="888"/>
      <c r="J1481" s="888"/>
      <c r="K1481" s="888"/>
      <c r="L1481" s="888"/>
      <c r="M1481" s="888"/>
      <c r="N1481" s="888"/>
      <c r="O1481" s="888"/>
      <c r="P1481" s="888"/>
      <c r="Q1481" s="888"/>
      <c r="R1481" s="888"/>
    </row>
    <row r="1482" spans="1:18" s="893" customFormat="1" x14ac:dyDescent="0.3">
      <c r="A1482" s="888" t="s">
        <v>2062</v>
      </c>
      <c r="B1482" s="888" t="s">
        <v>1975</v>
      </c>
      <c r="C1482" s="888" t="s">
        <v>2371</v>
      </c>
      <c r="D1482" s="888"/>
      <c r="E1482" s="888" t="s">
        <v>984</v>
      </c>
      <c r="I1482" s="888"/>
      <c r="J1482" s="888"/>
      <c r="K1482" s="888"/>
      <c r="L1482" s="888"/>
      <c r="M1482" s="888"/>
      <c r="N1482" s="888"/>
      <c r="O1482" s="888"/>
      <c r="P1482" s="888"/>
      <c r="Q1482" s="888"/>
      <c r="R1482" s="888"/>
    </row>
    <row r="1483" spans="1:18" s="893" customFormat="1" x14ac:dyDescent="0.3">
      <c r="A1483" s="888" t="s">
        <v>2062</v>
      </c>
      <c r="B1483" s="888" t="s">
        <v>1975</v>
      </c>
      <c r="C1483" s="888" t="s">
        <v>2125</v>
      </c>
      <c r="D1483" s="888"/>
      <c r="E1483" s="888" t="s">
        <v>913</v>
      </c>
      <c r="I1483" s="888"/>
      <c r="J1483" s="888"/>
      <c r="K1483" s="888"/>
      <c r="L1483" s="888"/>
      <c r="M1483" s="888"/>
      <c r="N1483" s="888"/>
      <c r="O1483" s="888"/>
      <c r="P1483" s="888"/>
      <c r="Q1483" s="888"/>
      <c r="R1483" s="888"/>
    </row>
    <row r="1484" spans="1:18" s="893" customFormat="1" x14ac:dyDescent="0.3">
      <c r="A1484" s="888" t="s">
        <v>2062</v>
      </c>
      <c r="B1484" s="888" t="s">
        <v>1975</v>
      </c>
      <c r="C1484" s="888" t="s">
        <v>2404</v>
      </c>
      <c r="D1484" s="888"/>
      <c r="E1484" s="888" t="s">
        <v>744</v>
      </c>
      <c r="I1484" s="888"/>
      <c r="J1484" s="888"/>
      <c r="K1484" s="888"/>
      <c r="L1484" s="888"/>
      <c r="M1484" s="888"/>
      <c r="N1484" s="888"/>
      <c r="O1484" s="888"/>
      <c r="P1484" s="888"/>
      <c r="Q1484" s="888"/>
      <c r="R1484" s="888"/>
    </row>
    <row r="1485" spans="1:18" s="893" customFormat="1" x14ac:dyDescent="0.3">
      <c r="A1485" s="888" t="s">
        <v>2062</v>
      </c>
      <c r="B1485" s="888" t="s">
        <v>1975</v>
      </c>
      <c r="C1485" s="888" t="s">
        <v>2405</v>
      </c>
      <c r="D1485" s="888"/>
      <c r="E1485" s="888" t="s">
        <v>930</v>
      </c>
      <c r="I1485" s="888"/>
      <c r="J1485" s="888"/>
      <c r="K1485" s="888"/>
      <c r="L1485" s="888"/>
      <c r="M1485" s="888"/>
      <c r="N1485" s="888"/>
      <c r="O1485" s="888"/>
      <c r="P1485" s="888"/>
      <c r="Q1485" s="888"/>
      <c r="R1485" s="888"/>
    </row>
    <row r="1486" spans="1:18" s="893" customFormat="1" x14ac:dyDescent="0.3">
      <c r="A1486" s="888" t="s">
        <v>2062</v>
      </c>
      <c r="B1486" s="888" t="s">
        <v>1975</v>
      </c>
      <c r="C1486" s="888" t="s">
        <v>2406</v>
      </c>
      <c r="D1486" s="888"/>
      <c r="E1486" s="888" t="s">
        <v>882</v>
      </c>
      <c r="I1486" s="888"/>
      <c r="J1486" s="888"/>
      <c r="K1486" s="888"/>
      <c r="L1486" s="888"/>
      <c r="M1486" s="888"/>
      <c r="N1486" s="888"/>
      <c r="O1486" s="888"/>
      <c r="P1486" s="888"/>
      <c r="Q1486" s="888"/>
      <c r="R1486" s="888"/>
    </row>
    <row r="1487" spans="1:18" s="893" customFormat="1" x14ac:dyDescent="0.3">
      <c r="A1487" s="888" t="s">
        <v>2062</v>
      </c>
      <c r="B1487" s="888" t="s">
        <v>1975</v>
      </c>
      <c r="C1487" s="888" t="s">
        <v>2407</v>
      </c>
      <c r="D1487" s="888"/>
      <c r="E1487" s="888" t="s">
        <v>883</v>
      </c>
      <c r="I1487" s="888"/>
      <c r="J1487" s="888"/>
      <c r="K1487" s="888"/>
      <c r="L1487" s="888"/>
      <c r="M1487" s="888"/>
      <c r="N1487" s="888"/>
      <c r="O1487" s="888"/>
      <c r="P1487" s="888"/>
      <c r="Q1487" s="888"/>
      <c r="R1487" s="888"/>
    </row>
    <row r="1488" spans="1:18" s="893" customFormat="1" x14ac:dyDescent="0.3">
      <c r="A1488" s="888" t="s">
        <v>2062</v>
      </c>
      <c r="B1488" s="888" t="s">
        <v>1975</v>
      </c>
      <c r="C1488" s="888" t="s">
        <v>2410</v>
      </c>
      <c r="D1488" s="888"/>
      <c r="E1488" s="888" t="s">
        <v>745</v>
      </c>
      <c r="I1488" s="888"/>
      <c r="J1488" s="888"/>
      <c r="K1488" s="888"/>
      <c r="L1488" s="888"/>
      <c r="M1488" s="888"/>
      <c r="N1488" s="888"/>
      <c r="O1488" s="888"/>
      <c r="P1488" s="888"/>
      <c r="Q1488" s="888"/>
      <c r="R1488" s="888"/>
    </row>
    <row r="1489" spans="1:18" s="893" customFormat="1" x14ac:dyDescent="0.3">
      <c r="A1489" s="888" t="s">
        <v>2062</v>
      </c>
      <c r="B1489" s="888" t="s">
        <v>1975</v>
      </c>
      <c r="C1489" s="888" t="s">
        <v>2408</v>
      </c>
      <c r="D1489" s="888"/>
      <c r="E1489" s="888" t="str">
        <f>$E$1485</f>
        <v>Incoming Unit</v>
      </c>
      <c r="I1489" s="888"/>
      <c r="J1489" s="888"/>
      <c r="K1489" s="888"/>
      <c r="L1489" s="888"/>
      <c r="M1489" s="888"/>
      <c r="N1489" s="888"/>
      <c r="O1489" s="888"/>
      <c r="P1489" s="888"/>
      <c r="Q1489" s="888"/>
      <c r="R1489" s="888"/>
    </row>
    <row r="1490" spans="1:18" s="893" customFormat="1" x14ac:dyDescent="0.3">
      <c r="A1490" s="888" t="s">
        <v>2062</v>
      </c>
      <c r="B1490" s="888" t="s">
        <v>1975</v>
      </c>
      <c r="C1490" s="888" t="s">
        <v>2411</v>
      </c>
      <c r="D1490" s="888"/>
      <c r="E1490" s="888" t="s">
        <v>881</v>
      </c>
      <c r="I1490" s="888"/>
      <c r="J1490" s="888"/>
      <c r="K1490" s="888"/>
      <c r="L1490" s="888"/>
      <c r="M1490" s="888"/>
      <c r="N1490" s="888"/>
      <c r="O1490" s="888"/>
      <c r="P1490" s="888"/>
      <c r="Q1490" s="888"/>
      <c r="R1490" s="888"/>
    </row>
    <row r="1491" spans="1:18" s="893" customFormat="1" x14ac:dyDescent="0.3">
      <c r="A1491" s="888" t="s">
        <v>2062</v>
      </c>
      <c r="B1491" s="888" t="s">
        <v>1975</v>
      </c>
      <c r="C1491" s="888" t="s">
        <v>2412</v>
      </c>
      <c r="D1491" s="888"/>
      <c r="E1491" s="888" t="s">
        <v>884</v>
      </c>
      <c r="I1491" s="888"/>
      <c r="J1491" s="888"/>
      <c r="K1491" s="888"/>
      <c r="L1491" s="888"/>
      <c r="M1491" s="888"/>
      <c r="N1491" s="888"/>
      <c r="O1491" s="888"/>
      <c r="P1491" s="888"/>
      <c r="Q1491" s="888"/>
      <c r="R1491" s="888"/>
    </row>
    <row r="1492" spans="1:18" s="893" customFormat="1" x14ac:dyDescent="0.3">
      <c r="A1492" s="888" t="s">
        <v>2062</v>
      </c>
      <c r="B1492" s="888" t="s">
        <v>1975</v>
      </c>
      <c r="C1492" s="888" t="s">
        <v>2413</v>
      </c>
      <c r="D1492" s="888"/>
      <c r="E1492" s="888" t="s">
        <v>746</v>
      </c>
      <c r="I1492" s="888"/>
      <c r="J1492" s="888"/>
      <c r="K1492" s="888"/>
      <c r="L1492" s="888"/>
      <c r="M1492" s="888"/>
      <c r="N1492" s="888"/>
      <c r="O1492" s="888"/>
      <c r="P1492" s="888"/>
      <c r="Q1492" s="888"/>
      <c r="R1492" s="888"/>
    </row>
    <row r="1493" spans="1:18" s="893" customFormat="1" x14ac:dyDescent="0.3">
      <c r="A1493" s="888" t="s">
        <v>2062</v>
      </c>
      <c r="B1493" s="888" t="s">
        <v>1975</v>
      </c>
      <c r="C1493" s="888" t="s">
        <v>2434</v>
      </c>
      <c r="D1493" s="888"/>
      <c r="E1493" s="888" t="str">
        <f>$E$1485</f>
        <v>Incoming Unit</v>
      </c>
      <c r="I1493" s="888"/>
      <c r="J1493" s="888"/>
      <c r="K1493" s="888"/>
      <c r="L1493" s="888"/>
      <c r="M1493" s="888"/>
      <c r="N1493" s="888"/>
      <c r="O1493" s="888"/>
      <c r="P1493" s="888"/>
      <c r="Q1493" s="888"/>
      <c r="R1493" s="888"/>
    </row>
    <row r="1494" spans="1:18" s="893" customFormat="1" x14ac:dyDescent="0.3">
      <c r="A1494" s="888" t="s">
        <v>2062</v>
      </c>
      <c r="B1494" s="888" t="s">
        <v>1975</v>
      </c>
      <c r="C1494" s="888" t="s">
        <v>2414</v>
      </c>
      <c r="D1494" s="888"/>
      <c r="E1494" s="888" t="s">
        <v>885</v>
      </c>
      <c r="I1494" s="888"/>
      <c r="J1494" s="888"/>
      <c r="K1494" s="888"/>
      <c r="L1494" s="888"/>
      <c r="M1494" s="888"/>
      <c r="N1494" s="888"/>
      <c r="O1494" s="888"/>
      <c r="P1494" s="888"/>
      <c r="Q1494" s="888"/>
      <c r="R1494" s="888"/>
    </row>
    <row r="1495" spans="1:18" s="893" customFormat="1" x14ac:dyDescent="0.3">
      <c r="A1495" s="888" t="s">
        <v>2062</v>
      </c>
      <c r="B1495" s="888" t="s">
        <v>1975</v>
      </c>
      <c r="C1495" s="888" t="s">
        <v>2415</v>
      </c>
      <c r="D1495" s="888"/>
      <c r="E1495" s="888" t="s">
        <v>886</v>
      </c>
      <c r="I1495" s="888"/>
      <c r="J1495" s="888"/>
      <c r="K1495" s="888"/>
      <c r="L1495" s="888"/>
      <c r="M1495" s="888"/>
      <c r="N1495" s="888"/>
      <c r="O1495" s="888"/>
      <c r="P1495" s="888"/>
      <c r="Q1495" s="888"/>
      <c r="R1495" s="888"/>
    </row>
    <row r="1496" spans="1:18" s="893" customFormat="1" x14ac:dyDescent="0.3">
      <c r="A1496" s="888" t="s">
        <v>2062</v>
      </c>
      <c r="B1496" s="888" t="s">
        <v>1975</v>
      </c>
      <c r="C1496" s="888" t="s">
        <v>2416</v>
      </c>
      <c r="D1496" s="888"/>
      <c r="E1496" s="888" t="s">
        <v>747</v>
      </c>
      <c r="I1496" s="888"/>
      <c r="J1496" s="888"/>
      <c r="K1496" s="888"/>
      <c r="L1496" s="888"/>
      <c r="M1496" s="888"/>
      <c r="N1496" s="888"/>
      <c r="O1496" s="888"/>
      <c r="P1496" s="888"/>
      <c r="Q1496" s="888"/>
      <c r="R1496" s="888"/>
    </row>
    <row r="1497" spans="1:18" s="893" customFormat="1" x14ac:dyDescent="0.3">
      <c r="A1497" s="888" t="s">
        <v>2062</v>
      </c>
      <c r="B1497" s="888" t="s">
        <v>1975</v>
      </c>
      <c r="C1497" s="888" t="s">
        <v>2417</v>
      </c>
      <c r="D1497" s="888"/>
      <c r="E1497" s="888" t="str">
        <f>$E$1485</f>
        <v>Incoming Unit</v>
      </c>
      <c r="I1497" s="888"/>
      <c r="J1497" s="888"/>
      <c r="K1497" s="888"/>
      <c r="L1497" s="888"/>
      <c r="M1497" s="888"/>
      <c r="N1497" s="888"/>
      <c r="O1497" s="888"/>
      <c r="P1497" s="888"/>
      <c r="Q1497" s="888"/>
      <c r="R1497" s="888"/>
    </row>
    <row r="1498" spans="1:18" s="893" customFormat="1" x14ac:dyDescent="0.3">
      <c r="A1498" s="888" t="s">
        <v>2062</v>
      </c>
      <c r="B1498" s="888" t="s">
        <v>1975</v>
      </c>
      <c r="C1498" s="888" t="s">
        <v>2435</v>
      </c>
      <c r="D1498" s="888"/>
      <c r="E1498" s="888" t="s">
        <v>887</v>
      </c>
      <c r="I1498" s="888"/>
      <c r="J1498" s="888"/>
      <c r="K1498" s="888"/>
      <c r="L1498" s="888"/>
      <c r="M1498" s="888"/>
      <c r="N1498" s="888"/>
      <c r="O1498" s="888"/>
      <c r="P1498" s="888"/>
      <c r="Q1498" s="888"/>
      <c r="R1498" s="888"/>
    </row>
    <row r="1499" spans="1:18" s="893" customFormat="1" x14ac:dyDescent="0.3">
      <c r="A1499" s="888" t="s">
        <v>2062</v>
      </c>
      <c r="B1499" s="888" t="s">
        <v>1975</v>
      </c>
      <c r="C1499" s="888" t="s">
        <v>2436</v>
      </c>
      <c r="D1499" s="888"/>
      <c r="E1499" s="888" t="s">
        <v>888</v>
      </c>
      <c r="I1499" s="888"/>
      <c r="J1499" s="888"/>
      <c r="K1499" s="888"/>
      <c r="L1499" s="888"/>
      <c r="M1499" s="888"/>
      <c r="N1499" s="888"/>
      <c r="O1499" s="888"/>
      <c r="P1499" s="888"/>
      <c r="Q1499" s="888"/>
      <c r="R1499" s="888"/>
    </row>
    <row r="1500" spans="1:18" s="893" customFormat="1" x14ac:dyDescent="0.3">
      <c r="A1500" s="888" t="s">
        <v>2062</v>
      </c>
      <c r="B1500" s="888" t="s">
        <v>1975</v>
      </c>
      <c r="C1500" s="888" t="s">
        <v>2437</v>
      </c>
      <c r="D1500" s="888"/>
      <c r="E1500" s="888" t="s">
        <v>748</v>
      </c>
      <c r="I1500" s="888"/>
      <c r="J1500" s="888"/>
      <c r="K1500" s="888"/>
      <c r="L1500" s="888"/>
      <c r="M1500" s="888"/>
      <c r="N1500" s="888"/>
      <c r="O1500" s="888"/>
      <c r="P1500" s="888"/>
      <c r="Q1500" s="888"/>
      <c r="R1500" s="888"/>
    </row>
    <row r="1501" spans="1:18" s="893" customFormat="1" x14ac:dyDescent="0.3">
      <c r="A1501" s="888" t="s">
        <v>2062</v>
      </c>
      <c r="B1501" s="888" t="s">
        <v>1975</v>
      </c>
      <c r="C1501" s="888" t="s">
        <v>2438</v>
      </c>
      <c r="D1501" s="888"/>
      <c r="E1501" s="888" t="str">
        <f>$E$1485</f>
        <v>Incoming Unit</v>
      </c>
      <c r="I1501" s="888"/>
      <c r="J1501" s="888"/>
      <c r="K1501" s="888"/>
      <c r="L1501" s="888"/>
      <c r="M1501" s="888"/>
      <c r="N1501" s="888"/>
      <c r="O1501" s="888"/>
      <c r="P1501" s="888"/>
      <c r="Q1501" s="888"/>
      <c r="R1501" s="888"/>
    </row>
    <row r="1502" spans="1:18" s="893" customFormat="1" x14ac:dyDescent="0.3">
      <c r="A1502" s="888" t="s">
        <v>2062</v>
      </c>
      <c r="B1502" s="888" t="s">
        <v>1975</v>
      </c>
      <c r="C1502" s="888" t="s">
        <v>2439</v>
      </c>
      <c r="D1502" s="888"/>
      <c r="E1502" s="888" t="s">
        <v>889</v>
      </c>
      <c r="I1502" s="888"/>
      <c r="J1502" s="888"/>
      <c r="K1502" s="888"/>
      <c r="L1502" s="888"/>
      <c r="M1502" s="888"/>
      <c r="N1502" s="888"/>
      <c r="O1502" s="888"/>
      <c r="P1502" s="888"/>
      <c r="Q1502" s="888"/>
      <c r="R1502" s="888"/>
    </row>
    <row r="1503" spans="1:18" s="893" customFormat="1" x14ac:dyDescent="0.3">
      <c r="A1503" s="888" t="s">
        <v>2062</v>
      </c>
      <c r="B1503" s="888" t="s">
        <v>1975</v>
      </c>
      <c r="C1503" s="888" t="s">
        <v>2440</v>
      </c>
      <c r="D1503" s="888"/>
      <c r="E1503" s="888" t="s">
        <v>890</v>
      </c>
      <c r="I1503" s="888"/>
      <c r="J1503" s="888"/>
      <c r="K1503" s="888"/>
      <c r="L1503" s="888"/>
      <c r="M1503" s="888"/>
      <c r="N1503" s="888"/>
      <c r="O1503" s="888"/>
      <c r="P1503" s="888"/>
      <c r="Q1503" s="888"/>
      <c r="R1503" s="888"/>
    </row>
    <row r="1504" spans="1:18" s="893" customFormat="1" x14ac:dyDescent="0.3">
      <c r="A1504" s="888" t="s">
        <v>2062</v>
      </c>
      <c r="B1504" s="888" t="s">
        <v>1975</v>
      </c>
      <c r="C1504" s="888" t="s">
        <v>2441</v>
      </c>
      <c r="D1504" s="888"/>
      <c r="E1504" s="893" t="str">
        <f>$E$1394</f>
        <v>Notes</v>
      </c>
      <c r="I1504" s="888"/>
      <c r="J1504" s="888"/>
      <c r="K1504" s="888"/>
      <c r="L1504" s="888"/>
      <c r="M1504" s="888"/>
      <c r="N1504" s="888"/>
      <c r="O1504" s="888"/>
      <c r="P1504" s="888"/>
      <c r="Q1504" s="888"/>
      <c r="R1504" s="888"/>
    </row>
    <row r="1505" spans="1:18" s="893" customFormat="1" x14ac:dyDescent="0.3">
      <c r="A1505" s="888" t="s">
        <v>2062</v>
      </c>
      <c r="B1505" s="888" t="s">
        <v>1975</v>
      </c>
      <c r="C1505" s="888" t="s">
        <v>2442</v>
      </c>
      <c r="D1505" s="888"/>
      <c r="E1505" s="888" t="s">
        <v>1767</v>
      </c>
      <c r="I1505" s="888"/>
      <c r="J1505" s="888"/>
      <c r="K1505" s="888"/>
      <c r="L1505" s="888"/>
      <c r="M1505" s="888"/>
      <c r="N1505" s="888"/>
      <c r="O1505" s="888"/>
      <c r="P1505" s="888"/>
      <c r="Q1505" s="888"/>
      <c r="R1505" s="888"/>
    </row>
    <row r="1506" spans="1:18" s="893" customFormat="1" x14ac:dyDescent="0.3">
      <c r="A1506" s="888" t="s">
        <v>2062</v>
      </c>
      <c r="B1506" s="888" t="s">
        <v>1975</v>
      </c>
      <c r="C1506" s="888" t="s">
        <v>2443</v>
      </c>
      <c r="D1506" s="888"/>
      <c r="E1506" s="888" t="s">
        <v>1768</v>
      </c>
      <c r="I1506" s="888"/>
      <c r="J1506" s="888"/>
      <c r="K1506" s="888"/>
      <c r="L1506" s="888"/>
      <c r="M1506" s="888"/>
      <c r="N1506" s="888"/>
      <c r="O1506" s="888"/>
      <c r="P1506" s="888"/>
      <c r="Q1506" s="888"/>
      <c r="R1506" s="888"/>
    </row>
    <row r="1507" spans="1:18" s="893" customFormat="1" x14ac:dyDescent="0.3">
      <c r="A1507" s="888" t="s">
        <v>2062</v>
      </c>
      <c r="B1507" s="888" t="s">
        <v>1975</v>
      </c>
      <c r="C1507" s="888" t="s">
        <v>2444</v>
      </c>
      <c r="D1507" s="888"/>
      <c r="E1507" s="888" t="s">
        <v>1769</v>
      </c>
      <c r="I1507" s="888"/>
      <c r="J1507" s="888"/>
      <c r="K1507" s="888"/>
      <c r="L1507" s="888"/>
      <c r="M1507" s="888"/>
      <c r="N1507" s="888"/>
      <c r="O1507" s="888"/>
      <c r="P1507" s="888"/>
      <c r="Q1507" s="888"/>
      <c r="R1507" s="888"/>
    </row>
    <row r="1508" spans="1:18" s="893" customFormat="1" x14ac:dyDescent="0.3">
      <c r="A1508" s="888" t="s">
        <v>2062</v>
      </c>
      <c r="B1508" s="888" t="s">
        <v>1975</v>
      </c>
      <c r="C1508" s="888" t="s">
        <v>2445</v>
      </c>
      <c r="D1508" s="888"/>
      <c r="E1508" s="888" t="s">
        <v>1770</v>
      </c>
      <c r="I1508" s="888"/>
      <c r="J1508" s="888"/>
      <c r="K1508" s="888"/>
      <c r="L1508" s="888"/>
      <c r="M1508" s="888"/>
      <c r="N1508" s="888"/>
      <c r="O1508" s="888"/>
      <c r="P1508" s="888"/>
      <c r="Q1508" s="888"/>
      <c r="R1508" s="888"/>
    </row>
    <row r="1509" spans="1:18" s="893" customFormat="1" x14ac:dyDescent="0.3">
      <c r="A1509" s="888" t="s">
        <v>2062</v>
      </c>
      <c r="B1509" s="888" t="s">
        <v>1975</v>
      </c>
      <c r="C1509" s="888" t="s">
        <v>2446</v>
      </c>
      <c r="D1509" s="888"/>
      <c r="E1509" s="888" t="s">
        <v>1771</v>
      </c>
      <c r="I1509" s="888"/>
      <c r="J1509" s="888"/>
      <c r="K1509" s="888"/>
      <c r="L1509" s="888"/>
      <c r="M1509" s="888"/>
      <c r="N1509" s="888"/>
      <c r="O1509" s="888"/>
      <c r="P1509" s="888"/>
      <c r="Q1509" s="888"/>
      <c r="R1509" s="888"/>
    </row>
    <row r="1510" spans="1:18" s="893" customFormat="1" x14ac:dyDescent="0.3">
      <c r="A1510" s="888" t="s">
        <v>2062</v>
      </c>
      <c r="B1510" s="888" t="s">
        <v>1975</v>
      </c>
      <c r="C1510" s="888" t="s">
        <v>2063</v>
      </c>
      <c r="D1510" s="888"/>
      <c r="E1510" s="893" t="s">
        <v>1352</v>
      </c>
      <c r="I1510" s="888"/>
      <c r="J1510" s="888"/>
      <c r="K1510" s="888"/>
      <c r="L1510" s="888"/>
      <c r="M1510" s="888"/>
      <c r="N1510" s="888"/>
      <c r="O1510" s="888"/>
      <c r="P1510" s="888"/>
      <c r="Q1510" s="888"/>
      <c r="R1510" s="888"/>
    </row>
    <row r="1511" spans="1:18" s="893" customFormat="1" x14ac:dyDescent="0.3">
      <c r="A1511" s="888" t="s">
        <v>2062</v>
      </c>
      <c r="B1511" s="1006" t="s">
        <v>5149</v>
      </c>
      <c r="C1511" s="888" t="s">
        <v>2064</v>
      </c>
      <c r="D1511" s="1006" t="s">
        <v>5150</v>
      </c>
      <c r="E1511" s="893" t="s">
        <v>988</v>
      </c>
      <c r="I1511" s="888"/>
      <c r="J1511" s="888"/>
      <c r="K1511" s="888"/>
      <c r="L1511" s="888"/>
      <c r="M1511" s="888"/>
      <c r="N1511" s="888"/>
      <c r="O1511" s="888"/>
      <c r="P1511" s="888"/>
      <c r="Q1511" s="888"/>
      <c r="R1511" s="888"/>
    </row>
    <row r="1512" spans="1:18" s="893" customFormat="1" x14ac:dyDescent="0.3">
      <c r="A1512" s="888" t="s">
        <v>2062</v>
      </c>
      <c r="B1512" s="1006" t="s">
        <v>5149</v>
      </c>
      <c r="C1512" s="888" t="s">
        <v>2067</v>
      </c>
      <c r="D1512" s="1006" t="s">
        <v>5150</v>
      </c>
      <c r="E1512" s="893" t="s">
        <v>989</v>
      </c>
      <c r="I1512" s="888"/>
      <c r="J1512" s="888"/>
      <c r="K1512" s="888"/>
      <c r="L1512" s="888"/>
      <c r="M1512" s="888"/>
      <c r="N1512" s="888"/>
      <c r="O1512" s="888"/>
      <c r="P1512" s="888"/>
      <c r="Q1512" s="888"/>
      <c r="R1512" s="888"/>
    </row>
    <row r="1513" spans="1:18" s="893" customFormat="1" x14ac:dyDescent="0.3">
      <c r="A1513" s="888" t="s">
        <v>2062</v>
      </c>
      <c r="B1513" s="1006" t="s">
        <v>5149</v>
      </c>
      <c r="C1513" s="888" t="s">
        <v>2133</v>
      </c>
      <c r="D1513" s="1006" t="s">
        <v>5150</v>
      </c>
      <c r="E1513" s="893" t="s">
        <v>986</v>
      </c>
      <c r="I1513" s="888"/>
      <c r="J1513" s="888"/>
      <c r="K1513" s="888"/>
      <c r="L1513" s="888"/>
      <c r="M1513" s="888"/>
      <c r="N1513" s="888"/>
      <c r="O1513" s="888"/>
      <c r="P1513" s="888"/>
      <c r="Q1513" s="888"/>
      <c r="R1513" s="888"/>
    </row>
    <row r="1514" spans="1:18" s="893" customFormat="1" x14ac:dyDescent="0.3">
      <c r="A1514" s="888" t="s">
        <v>2062</v>
      </c>
      <c r="B1514" s="1006" t="s">
        <v>5149</v>
      </c>
      <c r="C1514" s="888" t="s">
        <v>2232</v>
      </c>
      <c r="D1514" s="1006" t="s">
        <v>5150</v>
      </c>
      <c r="E1514" s="893" t="s">
        <v>987</v>
      </c>
      <c r="I1514" s="888"/>
      <c r="J1514" s="888"/>
      <c r="K1514" s="888"/>
      <c r="L1514" s="888"/>
      <c r="M1514" s="888"/>
      <c r="N1514" s="888"/>
      <c r="O1514" s="888"/>
      <c r="P1514" s="888"/>
      <c r="Q1514" s="888"/>
      <c r="R1514" s="888"/>
    </row>
    <row r="1515" spans="1:18" s="893" customFormat="1" x14ac:dyDescent="0.3">
      <c r="A1515" s="888" t="s">
        <v>2062</v>
      </c>
      <c r="B1515" s="888" t="s">
        <v>1975</v>
      </c>
      <c r="C1515" s="888" t="s">
        <v>2136</v>
      </c>
      <c r="D1515" s="888"/>
      <c r="E1515" s="893" t="s">
        <v>916</v>
      </c>
      <c r="I1515" s="888"/>
      <c r="J1515" s="888"/>
      <c r="K1515" s="888"/>
      <c r="L1515" s="888"/>
      <c r="M1515" s="888"/>
      <c r="N1515" s="888"/>
      <c r="O1515" s="888"/>
      <c r="P1515" s="888"/>
      <c r="Q1515" s="888"/>
      <c r="R1515" s="888"/>
    </row>
    <row r="1516" spans="1:18" s="893" customFormat="1" x14ac:dyDescent="0.3">
      <c r="A1516" s="888" t="s">
        <v>2062</v>
      </c>
      <c r="B1516" s="888" t="s">
        <v>1975</v>
      </c>
      <c r="C1516" s="888" t="s">
        <v>2313</v>
      </c>
      <c r="D1516" s="888"/>
      <c r="E1516" s="893" t="s">
        <v>915</v>
      </c>
      <c r="I1516" s="888"/>
      <c r="J1516" s="888"/>
      <c r="K1516" s="888"/>
      <c r="L1516" s="888"/>
      <c r="M1516" s="888"/>
      <c r="N1516" s="888"/>
      <c r="O1516" s="888"/>
      <c r="P1516" s="888"/>
      <c r="Q1516" s="888"/>
      <c r="R1516" s="888"/>
    </row>
    <row r="1517" spans="1:18" s="893" customFormat="1" x14ac:dyDescent="0.3">
      <c r="A1517" s="888" t="s">
        <v>2062</v>
      </c>
      <c r="B1517" s="888" t="s">
        <v>1975</v>
      </c>
      <c r="C1517" s="888" t="s">
        <v>2369</v>
      </c>
      <c r="D1517" s="888"/>
      <c r="E1517" s="893" t="s">
        <v>1261</v>
      </c>
      <c r="I1517" s="888"/>
      <c r="J1517" s="888"/>
      <c r="K1517" s="888"/>
      <c r="L1517" s="888"/>
      <c r="M1517" s="888"/>
      <c r="N1517" s="888"/>
      <c r="O1517" s="888"/>
      <c r="P1517" s="888"/>
      <c r="Q1517" s="888"/>
      <c r="R1517" s="888"/>
    </row>
    <row r="1518" spans="1:18" s="893" customFormat="1" x14ac:dyDescent="0.3">
      <c r="A1518" s="888" t="s">
        <v>2062</v>
      </c>
      <c r="B1518" s="888" t="s">
        <v>1975</v>
      </c>
      <c r="C1518" s="888" t="s">
        <v>2075</v>
      </c>
      <c r="D1518" s="888"/>
      <c r="E1518" s="893" t="s">
        <v>1260</v>
      </c>
      <c r="I1518" s="888"/>
      <c r="J1518" s="888"/>
      <c r="K1518" s="888"/>
      <c r="L1518" s="888"/>
      <c r="M1518" s="888"/>
      <c r="N1518" s="888"/>
      <c r="O1518" s="888"/>
      <c r="P1518" s="888"/>
      <c r="Q1518" s="888"/>
      <c r="R1518" s="888"/>
    </row>
    <row r="1519" spans="1:18" s="893" customFormat="1" x14ac:dyDescent="0.3">
      <c r="A1519" s="888" t="s">
        <v>2062</v>
      </c>
      <c r="B1519" s="888" t="s">
        <v>1975</v>
      </c>
      <c r="C1519" s="888" t="s">
        <v>2201</v>
      </c>
      <c r="D1519" s="888"/>
      <c r="E1519" s="893" t="s">
        <v>990</v>
      </c>
      <c r="I1519" s="888"/>
      <c r="J1519" s="888"/>
      <c r="K1519" s="888"/>
      <c r="L1519" s="888"/>
      <c r="M1519" s="888"/>
      <c r="N1519" s="888"/>
      <c r="O1519" s="888"/>
      <c r="P1519" s="888"/>
      <c r="Q1519" s="888"/>
      <c r="R1519" s="888"/>
    </row>
    <row r="1520" spans="1:18" s="893" customFormat="1" x14ac:dyDescent="0.3">
      <c r="A1520" s="888" t="s">
        <v>2062</v>
      </c>
      <c r="B1520" s="888" t="s">
        <v>1975</v>
      </c>
      <c r="C1520" s="888" t="s">
        <v>2137</v>
      </c>
      <c r="D1520" s="888"/>
      <c r="E1520" s="893" t="s">
        <v>992</v>
      </c>
      <c r="I1520" s="888"/>
      <c r="J1520" s="888"/>
      <c r="K1520" s="888"/>
      <c r="L1520" s="888"/>
      <c r="M1520" s="888"/>
      <c r="N1520" s="888"/>
      <c r="O1520" s="888"/>
      <c r="P1520" s="888"/>
      <c r="Q1520" s="888"/>
      <c r="R1520" s="888"/>
    </row>
    <row r="1521" spans="1:18" s="893" customFormat="1" x14ac:dyDescent="0.3">
      <c r="A1521" s="888" t="s">
        <v>2062</v>
      </c>
      <c r="B1521" s="888" t="s">
        <v>1954</v>
      </c>
      <c r="C1521" s="888" t="s">
        <v>2124</v>
      </c>
      <c r="D1521" s="888"/>
      <c r="E1521" s="893" t="s">
        <v>102</v>
      </c>
      <c r="I1521" s="888"/>
      <c r="J1521" s="888"/>
      <c r="K1521" s="888"/>
      <c r="L1521" s="888"/>
      <c r="M1521" s="888"/>
      <c r="N1521" s="888"/>
      <c r="O1521" s="888"/>
      <c r="P1521" s="888"/>
      <c r="Q1521" s="888"/>
      <c r="R1521" s="888"/>
    </row>
    <row r="1522" spans="1:18" s="893" customFormat="1" x14ac:dyDescent="0.3">
      <c r="A1522" s="888" t="s">
        <v>2062</v>
      </c>
      <c r="B1522" s="888" t="s">
        <v>1954</v>
      </c>
      <c r="C1522" s="888" t="s">
        <v>2403</v>
      </c>
      <c r="D1522" s="888"/>
      <c r="E1522" s="893" t="str">
        <f>$E$1353</f>
        <v>Material</v>
      </c>
      <c r="I1522" s="888"/>
      <c r="J1522" s="888"/>
      <c r="K1522" s="888"/>
      <c r="L1522" s="888"/>
      <c r="M1522" s="888"/>
      <c r="N1522" s="888"/>
      <c r="O1522" s="888"/>
      <c r="P1522" s="888"/>
      <c r="Q1522" s="888"/>
      <c r="R1522" s="888"/>
    </row>
    <row r="1523" spans="1:18" s="893" customFormat="1" x14ac:dyDescent="0.3">
      <c r="A1523" s="888" t="s">
        <v>2062</v>
      </c>
      <c r="B1523" s="888" t="s">
        <v>1954</v>
      </c>
      <c r="C1523" s="888" t="s">
        <v>2371</v>
      </c>
      <c r="D1523" s="888"/>
      <c r="E1523" s="893" t="s">
        <v>932</v>
      </c>
      <c r="I1523" s="888"/>
      <c r="J1523" s="888"/>
      <c r="K1523" s="888"/>
      <c r="L1523" s="888"/>
      <c r="M1523" s="888"/>
      <c r="N1523" s="888"/>
      <c r="O1523" s="888"/>
      <c r="P1523" s="888"/>
      <c r="Q1523" s="888"/>
      <c r="R1523" s="888"/>
    </row>
    <row r="1524" spans="1:18" s="893" customFormat="1" x14ac:dyDescent="0.3">
      <c r="A1524" s="888" t="s">
        <v>2062</v>
      </c>
      <c r="B1524" s="888" t="s">
        <v>1954</v>
      </c>
      <c r="C1524" s="888" t="s">
        <v>2125</v>
      </c>
      <c r="D1524" s="888"/>
      <c r="E1524" s="893" t="s">
        <v>104</v>
      </c>
      <c r="I1524" s="888"/>
      <c r="J1524" s="888"/>
      <c r="K1524" s="888"/>
      <c r="L1524" s="888"/>
      <c r="M1524" s="888"/>
      <c r="N1524" s="888"/>
      <c r="O1524" s="888"/>
      <c r="P1524" s="888"/>
      <c r="Q1524" s="888"/>
      <c r="R1524" s="888"/>
    </row>
    <row r="1525" spans="1:18" s="893" customFormat="1" x14ac:dyDescent="0.3">
      <c r="A1525" s="888" t="s">
        <v>2062</v>
      </c>
      <c r="B1525" s="888" t="s">
        <v>1954</v>
      </c>
      <c r="C1525" s="888" t="s">
        <v>2404</v>
      </c>
      <c r="D1525" s="888"/>
      <c r="E1525" s="893" t="s">
        <v>105</v>
      </c>
      <c r="I1525" s="888"/>
      <c r="J1525" s="888"/>
      <c r="K1525" s="888"/>
      <c r="L1525" s="888"/>
      <c r="M1525" s="888"/>
      <c r="N1525" s="888"/>
      <c r="O1525" s="888"/>
      <c r="P1525" s="888"/>
      <c r="Q1525" s="888"/>
      <c r="R1525" s="888"/>
    </row>
    <row r="1526" spans="1:18" s="893" customFormat="1" x14ac:dyDescent="0.3">
      <c r="A1526" s="888" t="s">
        <v>2062</v>
      </c>
      <c r="B1526" s="888" t="s">
        <v>1954</v>
      </c>
      <c r="C1526" s="888" t="s">
        <v>2405</v>
      </c>
      <c r="D1526" s="888"/>
      <c r="E1526" s="893" t="s">
        <v>106</v>
      </c>
      <c r="I1526" s="888"/>
      <c r="J1526" s="888"/>
      <c r="K1526" s="888"/>
      <c r="L1526" s="888"/>
      <c r="M1526" s="888"/>
      <c r="N1526" s="888"/>
      <c r="O1526" s="888"/>
      <c r="P1526" s="888"/>
      <c r="Q1526" s="888"/>
      <c r="R1526" s="888"/>
    </row>
    <row r="1527" spans="1:18" s="893" customFormat="1" x14ac:dyDescent="0.3">
      <c r="A1527" s="888" t="s">
        <v>2062</v>
      </c>
      <c r="B1527" s="888" t="s">
        <v>1954</v>
      </c>
      <c r="C1527" s="888" t="s">
        <v>2406</v>
      </c>
      <c r="D1527" s="888"/>
      <c r="E1527" s="893" t="s">
        <v>107</v>
      </c>
      <c r="I1527" s="888"/>
      <c r="J1527" s="888"/>
      <c r="K1527" s="888"/>
      <c r="L1527" s="888"/>
      <c r="M1527" s="888"/>
      <c r="N1527" s="888"/>
      <c r="O1527" s="888"/>
      <c r="P1527" s="888"/>
      <c r="Q1527" s="888"/>
      <c r="R1527" s="888"/>
    </row>
    <row r="1528" spans="1:18" s="893" customFormat="1" x14ac:dyDescent="0.3">
      <c r="A1528" s="888" t="s">
        <v>2062</v>
      </c>
      <c r="B1528" s="888" t="s">
        <v>1954</v>
      </c>
      <c r="C1528" s="888" t="s">
        <v>2407</v>
      </c>
      <c r="D1528" s="888"/>
      <c r="E1528" s="893" t="str">
        <f>$E$1394</f>
        <v>Notes</v>
      </c>
      <c r="I1528" s="888"/>
      <c r="J1528" s="888"/>
      <c r="K1528" s="888"/>
      <c r="L1528" s="888"/>
      <c r="M1528" s="888"/>
      <c r="N1528" s="888"/>
      <c r="O1528" s="888"/>
      <c r="P1528" s="888"/>
      <c r="Q1528" s="888"/>
      <c r="R1528" s="888"/>
    </row>
    <row r="1529" spans="1:18" s="893" customFormat="1" x14ac:dyDescent="0.3">
      <c r="A1529" s="888" t="s">
        <v>2062</v>
      </c>
      <c r="B1529" s="888" t="s">
        <v>1954</v>
      </c>
      <c r="C1529" s="888" t="s">
        <v>2410</v>
      </c>
      <c r="D1529" s="888"/>
      <c r="E1529" s="893" t="s">
        <v>109</v>
      </c>
      <c r="I1529" s="888"/>
      <c r="J1529" s="888"/>
      <c r="K1529" s="888"/>
      <c r="L1529" s="888"/>
      <c r="M1529" s="888"/>
      <c r="N1529" s="888"/>
      <c r="O1529" s="888"/>
      <c r="P1529" s="888"/>
      <c r="Q1529" s="888"/>
      <c r="R1529" s="888"/>
    </row>
    <row r="1530" spans="1:18" s="893" customFormat="1" x14ac:dyDescent="0.3">
      <c r="A1530" s="888" t="s">
        <v>2062</v>
      </c>
      <c r="B1530" s="888" t="s">
        <v>1954</v>
      </c>
      <c r="C1530" s="888" t="s">
        <v>2408</v>
      </c>
      <c r="D1530" s="888"/>
      <c r="E1530" s="893" t="s">
        <v>822</v>
      </c>
      <c r="I1530" s="888"/>
      <c r="J1530" s="888"/>
      <c r="K1530" s="888"/>
      <c r="L1530" s="888"/>
      <c r="M1530" s="888"/>
      <c r="N1530" s="888"/>
      <c r="O1530" s="888"/>
      <c r="P1530" s="888"/>
      <c r="Q1530" s="888"/>
      <c r="R1530" s="888"/>
    </row>
    <row r="1531" spans="1:18" s="893" customFormat="1" x14ac:dyDescent="0.3">
      <c r="A1531" s="888" t="s">
        <v>2062</v>
      </c>
      <c r="B1531" s="888" t="s">
        <v>1954</v>
      </c>
      <c r="C1531" s="888" t="s">
        <v>2411</v>
      </c>
      <c r="D1531" s="888"/>
      <c r="E1531" s="893" t="s">
        <v>875</v>
      </c>
      <c r="I1531" s="888"/>
      <c r="J1531" s="888"/>
      <c r="K1531" s="888"/>
      <c r="L1531" s="888"/>
      <c r="M1531" s="888"/>
      <c r="N1531" s="888"/>
      <c r="O1531" s="888"/>
      <c r="P1531" s="888"/>
      <c r="Q1531" s="888"/>
      <c r="R1531" s="888"/>
    </row>
    <row r="1532" spans="1:18" s="893" customFormat="1" x14ac:dyDescent="0.3">
      <c r="A1532" s="888" t="s">
        <v>2062</v>
      </c>
      <c r="B1532" s="888" t="s">
        <v>1954</v>
      </c>
      <c r="C1532" s="888" t="s">
        <v>2412</v>
      </c>
      <c r="D1532" s="888"/>
      <c r="E1532" s="893" t="s">
        <v>856</v>
      </c>
      <c r="I1532" s="888"/>
      <c r="J1532" s="888"/>
      <c r="K1532" s="888"/>
      <c r="L1532" s="888"/>
      <c r="M1532" s="888"/>
      <c r="N1532" s="888"/>
      <c r="O1532" s="888"/>
      <c r="P1532" s="888"/>
      <c r="Q1532" s="888"/>
      <c r="R1532" s="888"/>
    </row>
    <row r="1533" spans="1:18" s="893" customFormat="1" x14ac:dyDescent="0.3">
      <c r="A1533" s="888" t="s">
        <v>2062</v>
      </c>
      <c r="B1533" s="888" t="s">
        <v>1954</v>
      </c>
      <c r="C1533" s="888" t="s">
        <v>2413</v>
      </c>
      <c r="D1533" s="888"/>
      <c r="E1533" s="893" t="s">
        <v>876</v>
      </c>
      <c r="I1533" s="888"/>
      <c r="J1533" s="888"/>
      <c r="K1533" s="888"/>
      <c r="L1533" s="888"/>
      <c r="M1533" s="888"/>
      <c r="N1533" s="888"/>
      <c r="O1533" s="888"/>
      <c r="P1533" s="888"/>
      <c r="Q1533" s="888"/>
      <c r="R1533" s="888"/>
    </row>
    <row r="1534" spans="1:18" s="893" customFormat="1" x14ac:dyDescent="0.3">
      <c r="A1534" s="888" t="s">
        <v>2062</v>
      </c>
      <c r="B1534" s="888" t="s">
        <v>1954</v>
      </c>
      <c r="C1534" s="888" t="s">
        <v>2434</v>
      </c>
      <c r="D1534" s="888"/>
      <c r="E1534" s="893" t="s">
        <v>110</v>
      </c>
      <c r="I1534" s="888"/>
      <c r="J1534" s="888"/>
      <c r="K1534" s="888"/>
      <c r="L1534" s="888"/>
      <c r="M1534" s="888"/>
      <c r="N1534" s="888"/>
      <c r="O1534" s="888"/>
      <c r="P1534" s="888"/>
      <c r="Q1534" s="888"/>
      <c r="R1534" s="888"/>
    </row>
    <row r="1535" spans="1:18" s="893" customFormat="1" x14ac:dyDescent="0.3">
      <c r="A1535" s="888" t="s">
        <v>2062</v>
      </c>
      <c r="B1535" s="888" t="s">
        <v>1954</v>
      </c>
      <c r="C1535" s="888" t="s">
        <v>2414</v>
      </c>
      <c r="D1535" s="888"/>
      <c r="E1535" s="893" t="s">
        <v>111</v>
      </c>
      <c r="I1535" s="888"/>
      <c r="J1535" s="888"/>
      <c r="K1535" s="888"/>
      <c r="L1535" s="888"/>
      <c r="M1535" s="888"/>
      <c r="N1535" s="888"/>
      <c r="O1535" s="888"/>
      <c r="P1535" s="888"/>
      <c r="Q1535" s="888"/>
      <c r="R1535" s="888"/>
    </row>
    <row r="1536" spans="1:18" s="893" customFormat="1" x14ac:dyDescent="0.3">
      <c r="A1536" s="888" t="s">
        <v>2062</v>
      </c>
      <c r="B1536" s="888" t="s">
        <v>1954</v>
      </c>
      <c r="C1536" s="888" t="s">
        <v>2415</v>
      </c>
      <c r="D1536" s="888"/>
      <c r="E1536" s="893" t="s">
        <v>112</v>
      </c>
      <c r="I1536" s="888"/>
      <c r="J1536" s="888"/>
      <c r="K1536" s="888"/>
      <c r="L1536" s="888"/>
      <c r="M1536" s="888"/>
      <c r="N1536" s="888"/>
      <c r="O1536" s="888"/>
      <c r="P1536" s="888"/>
      <c r="Q1536" s="888"/>
      <c r="R1536" s="888"/>
    </row>
    <row r="1537" spans="1:18" s="893" customFormat="1" x14ac:dyDescent="0.3">
      <c r="A1537" s="888" t="s">
        <v>2062</v>
      </c>
      <c r="B1537" s="888" t="s">
        <v>1954</v>
      </c>
      <c r="C1537" s="888" t="s">
        <v>2416</v>
      </c>
      <c r="D1537" s="888"/>
      <c r="E1537" s="893" t="s">
        <v>113</v>
      </c>
      <c r="I1537" s="888"/>
      <c r="J1537" s="888"/>
      <c r="K1537" s="888"/>
      <c r="L1537" s="888"/>
      <c r="M1537" s="888"/>
      <c r="N1537" s="888"/>
      <c r="O1537" s="888"/>
      <c r="P1537" s="888"/>
      <c r="Q1537" s="888"/>
      <c r="R1537" s="888"/>
    </row>
    <row r="1538" spans="1:18" s="893" customFormat="1" x14ac:dyDescent="0.3">
      <c r="A1538" s="888" t="s">
        <v>2062</v>
      </c>
      <c r="B1538" s="888" t="s">
        <v>1954</v>
      </c>
      <c r="C1538" s="888" t="s">
        <v>2417</v>
      </c>
      <c r="D1538" s="888"/>
      <c r="E1538" s="893" t="s">
        <v>114</v>
      </c>
      <c r="I1538" s="888"/>
      <c r="J1538" s="888"/>
      <c r="K1538" s="888"/>
      <c r="L1538" s="888"/>
      <c r="M1538" s="888"/>
      <c r="N1538" s="888"/>
      <c r="O1538" s="888"/>
      <c r="P1538" s="888"/>
      <c r="Q1538" s="888"/>
      <c r="R1538" s="888"/>
    </row>
    <row r="1539" spans="1:18" s="893" customFormat="1" x14ac:dyDescent="0.3">
      <c r="A1539" s="888" t="s">
        <v>2062</v>
      </c>
      <c r="B1539" s="888" t="s">
        <v>1954</v>
      </c>
      <c r="C1539" s="888" t="s">
        <v>2435</v>
      </c>
      <c r="D1539" s="888"/>
      <c r="E1539" s="893" t="s">
        <v>855</v>
      </c>
      <c r="I1539" s="888"/>
      <c r="J1539" s="888"/>
      <c r="K1539" s="888"/>
      <c r="L1539" s="888"/>
      <c r="M1539" s="888"/>
      <c r="N1539" s="888"/>
      <c r="O1539" s="888"/>
      <c r="P1539" s="888"/>
      <c r="Q1539" s="888"/>
      <c r="R1539" s="888"/>
    </row>
    <row r="1540" spans="1:18" s="893" customFormat="1" x14ac:dyDescent="0.3">
      <c r="A1540" s="888" t="s">
        <v>2062</v>
      </c>
      <c r="B1540" s="888" t="s">
        <v>1954</v>
      </c>
      <c r="C1540" s="888" t="s">
        <v>2436</v>
      </c>
      <c r="D1540" s="888"/>
      <c r="E1540" s="893" t="s">
        <v>115</v>
      </c>
      <c r="I1540" s="888"/>
      <c r="J1540" s="888"/>
      <c r="K1540" s="888"/>
      <c r="L1540" s="888"/>
      <c r="M1540" s="888"/>
      <c r="N1540" s="888"/>
      <c r="O1540" s="888"/>
      <c r="P1540" s="888"/>
      <c r="Q1540" s="888"/>
      <c r="R1540" s="888"/>
    </row>
    <row r="1541" spans="1:18" s="893" customFormat="1" x14ac:dyDescent="0.3">
      <c r="A1541" s="888" t="s">
        <v>2062</v>
      </c>
      <c r="B1541" s="888" t="s">
        <v>1954</v>
      </c>
      <c r="C1541" s="888" t="s">
        <v>2437</v>
      </c>
      <c r="D1541" s="888"/>
      <c r="E1541" s="893" t="str">
        <f>$E$1539</f>
        <v>Units</v>
      </c>
      <c r="I1541" s="888"/>
      <c r="J1541" s="888"/>
      <c r="K1541" s="888"/>
      <c r="L1541" s="888"/>
      <c r="M1541" s="888"/>
      <c r="N1541" s="888"/>
      <c r="O1541" s="888"/>
      <c r="P1541" s="888"/>
      <c r="Q1541" s="888"/>
      <c r="R1541" s="888"/>
    </row>
    <row r="1542" spans="1:18" s="893" customFormat="1" x14ac:dyDescent="0.3">
      <c r="A1542" s="888" t="s">
        <v>2062</v>
      </c>
      <c r="B1542" s="888" t="s">
        <v>1954</v>
      </c>
      <c r="C1542" s="888" t="s">
        <v>2438</v>
      </c>
      <c r="D1542" s="888"/>
      <c r="E1542" s="893" t="s">
        <v>1443</v>
      </c>
      <c r="I1542" s="888"/>
      <c r="J1542" s="888"/>
      <c r="K1542" s="888"/>
      <c r="L1542" s="888"/>
      <c r="M1542" s="888"/>
      <c r="N1542" s="888"/>
      <c r="O1542" s="888"/>
      <c r="P1542" s="888"/>
      <c r="Q1542" s="888"/>
      <c r="R1542" s="888"/>
    </row>
    <row r="1543" spans="1:18" s="893" customFormat="1" x14ac:dyDescent="0.3">
      <c r="A1543" s="888" t="s">
        <v>2062</v>
      </c>
      <c r="B1543" s="888" t="s">
        <v>1954</v>
      </c>
      <c r="C1543" s="888" t="s">
        <v>2439</v>
      </c>
      <c r="D1543" s="888"/>
      <c r="E1543" s="893" t="s">
        <v>867</v>
      </c>
      <c r="I1543" s="888"/>
      <c r="J1543" s="888"/>
      <c r="K1543" s="888"/>
      <c r="L1543" s="888"/>
      <c r="M1543" s="888"/>
      <c r="N1543" s="888"/>
      <c r="O1543" s="888"/>
      <c r="P1543" s="888"/>
      <c r="Q1543" s="888"/>
      <c r="R1543" s="888"/>
    </row>
    <row r="1544" spans="1:18" s="893" customFormat="1" x14ac:dyDescent="0.3">
      <c r="A1544" s="888" t="s">
        <v>2062</v>
      </c>
      <c r="B1544" s="888" t="s">
        <v>1954</v>
      </c>
      <c r="C1544" s="888" t="s">
        <v>2440</v>
      </c>
      <c r="D1544" s="888"/>
      <c r="E1544" s="893" t="str">
        <f>$E$1539</f>
        <v>Units</v>
      </c>
      <c r="I1544" s="888"/>
      <c r="J1544" s="888"/>
      <c r="K1544" s="888"/>
      <c r="L1544" s="888"/>
      <c r="M1544" s="888"/>
      <c r="N1544" s="888"/>
      <c r="O1544" s="888"/>
      <c r="P1544" s="888"/>
      <c r="Q1544" s="888"/>
      <c r="R1544" s="888"/>
    </row>
    <row r="1545" spans="1:18" s="893" customFormat="1" x14ac:dyDescent="0.3">
      <c r="A1545" s="888" t="s">
        <v>2062</v>
      </c>
      <c r="B1545" s="888" t="s">
        <v>1954</v>
      </c>
      <c r="C1545" s="888" t="s">
        <v>2441</v>
      </c>
      <c r="D1545" s="888"/>
      <c r="E1545" s="893" t="s">
        <v>116</v>
      </c>
      <c r="I1545" s="888"/>
      <c r="J1545" s="888"/>
      <c r="K1545" s="888"/>
      <c r="L1545" s="888"/>
      <c r="M1545" s="888"/>
      <c r="N1545" s="888"/>
      <c r="O1545" s="888"/>
      <c r="P1545" s="888"/>
      <c r="Q1545" s="888"/>
      <c r="R1545" s="888"/>
    </row>
    <row r="1546" spans="1:18" s="893" customFormat="1" x14ac:dyDescent="0.3">
      <c r="A1546" s="888" t="s">
        <v>2062</v>
      </c>
      <c r="B1546" s="888" t="s">
        <v>1954</v>
      </c>
      <c r="C1546" s="888" t="s">
        <v>2442</v>
      </c>
      <c r="D1546" s="888"/>
      <c r="E1546" s="893" t="s">
        <v>819</v>
      </c>
      <c r="I1546" s="888"/>
      <c r="J1546" s="888"/>
      <c r="K1546" s="888"/>
      <c r="L1546" s="888"/>
      <c r="M1546" s="888"/>
      <c r="N1546" s="888"/>
      <c r="O1546" s="888"/>
      <c r="P1546" s="888"/>
      <c r="Q1546" s="888"/>
      <c r="R1546" s="888"/>
    </row>
    <row r="1547" spans="1:18" s="893" customFormat="1" x14ac:dyDescent="0.3">
      <c r="A1547" s="888" t="s">
        <v>2062</v>
      </c>
      <c r="B1547" s="888" t="s">
        <v>1954</v>
      </c>
      <c r="C1547" s="888" t="s">
        <v>2443</v>
      </c>
      <c r="D1547" s="888"/>
      <c r="E1547" s="893" t="s">
        <v>854</v>
      </c>
      <c r="I1547" s="888"/>
      <c r="J1547" s="888"/>
      <c r="K1547" s="888"/>
      <c r="L1547" s="888"/>
      <c r="M1547" s="888"/>
      <c r="N1547" s="888"/>
      <c r="O1547" s="888"/>
      <c r="P1547" s="888"/>
      <c r="Q1547" s="888"/>
      <c r="R1547" s="888"/>
    </row>
    <row r="1548" spans="1:18" s="893" customFormat="1" x14ac:dyDescent="0.3">
      <c r="A1548" s="888" t="s">
        <v>2062</v>
      </c>
      <c r="B1548" s="888" t="s">
        <v>1954</v>
      </c>
      <c r="C1548" s="888" t="s">
        <v>2444</v>
      </c>
      <c r="D1548" s="888"/>
      <c r="E1548" s="893" t="str">
        <f>$E$1534</f>
        <v>Units: kgCO2e per</v>
      </c>
      <c r="I1548" s="888"/>
      <c r="J1548" s="888"/>
      <c r="K1548" s="888"/>
      <c r="L1548" s="888"/>
      <c r="M1548" s="888"/>
      <c r="N1548" s="888"/>
      <c r="O1548" s="888"/>
      <c r="P1548" s="888"/>
      <c r="Q1548" s="888"/>
      <c r="R1548" s="888"/>
    </row>
    <row r="1549" spans="1:18" s="893" customFormat="1" x14ac:dyDescent="0.3">
      <c r="A1549" s="888" t="s">
        <v>2062</v>
      </c>
      <c r="B1549" s="888" t="s">
        <v>1954</v>
      </c>
      <c r="C1549" s="888" t="s">
        <v>2445</v>
      </c>
      <c r="D1549" s="888"/>
      <c r="E1549" s="893" t="s">
        <v>820</v>
      </c>
      <c r="I1549" s="888"/>
      <c r="J1549" s="888"/>
      <c r="K1549" s="888"/>
      <c r="L1549" s="888"/>
      <c r="M1549" s="888"/>
      <c r="N1549" s="888"/>
      <c r="O1549" s="888"/>
      <c r="P1549" s="888"/>
      <c r="Q1549" s="888"/>
      <c r="R1549" s="888"/>
    </row>
    <row r="1550" spans="1:18" s="893" customFormat="1" x14ac:dyDescent="0.3">
      <c r="A1550" s="888" t="s">
        <v>2062</v>
      </c>
      <c r="B1550" s="888" t="s">
        <v>1954</v>
      </c>
      <c r="C1550" s="888" t="s">
        <v>2446</v>
      </c>
      <c r="D1550" s="888"/>
      <c r="E1550" s="893" t="s">
        <v>817</v>
      </c>
      <c r="I1550" s="888"/>
      <c r="J1550" s="888"/>
      <c r="K1550" s="888"/>
      <c r="L1550" s="888"/>
      <c r="M1550" s="888"/>
      <c r="N1550" s="888"/>
      <c r="O1550" s="888"/>
      <c r="P1550" s="888"/>
      <c r="Q1550" s="888"/>
      <c r="R1550" s="888"/>
    </row>
    <row r="1551" spans="1:18" s="893" customFormat="1" x14ac:dyDescent="0.3">
      <c r="A1551" s="888" t="s">
        <v>2062</v>
      </c>
      <c r="B1551" s="888" t="s">
        <v>1954</v>
      </c>
      <c r="C1551" s="888" t="s">
        <v>2447</v>
      </c>
      <c r="D1551" s="888"/>
      <c r="E1551" s="893" t="str">
        <f>$E$1539</f>
        <v>Units</v>
      </c>
      <c r="I1551" s="888"/>
      <c r="J1551" s="888"/>
      <c r="K1551" s="888"/>
      <c r="L1551" s="888"/>
      <c r="M1551" s="888"/>
      <c r="N1551" s="888"/>
      <c r="O1551" s="888"/>
      <c r="P1551" s="888"/>
      <c r="Q1551" s="888"/>
      <c r="R1551" s="888"/>
    </row>
    <row r="1552" spans="1:18" s="893" customFormat="1" x14ac:dyDescent="0.3">
      <c r="A1552" s="888" t="s">
        <v>2062</v>
      </c>
      <c r="B1552" s="888" t="s">
        <v>1954</v>
      </c>
      <c r="C1552" s="888" t="s">
        <v>2448</v>
      </c>
      <c r="D1552" s="888"/>
      <c r="E1552" s="893" t="s">
        <v>806</v>
      </c>
      <c r="I1552" s="888"/>
      <c r="J1552" s="888"/>
      <c r="K1552" s="888"/>
      <c r="L1552" s="888"/>
      <c r="M1552" s="888"/>
      <c r="N1552" s="888"/>
      <c r="O1552" s="888"/>
      <c r="P1552" s="888"/>
      <c r="Q1552" s="888"/>
      <c r="R1552" s="888"/>
    </row>
    <row r="1553" spans="1:18" s="893" customFormat="1" x14ac:dyDescent="0.3">
      <c r="A1553" s="888" t="s">
        <v>2062</v>
      </c>
      <c r="B1553" s="888" t="s">
        <v>1954</v>
      </c>
      <c r="C1553" s="888" t="s">
        <v>2449</v>
      </c>
      <c r="D1553" s="888"/>
      <c r="E1553" s="893" t="s">
        <v>1007</v>
      </c>
      <c r="I1553" s="888"/>
      <c r="J1553" s="888"/>
      <c r="K1553" s="888"/>
      <c r="L1553" s="888"/>
      <c r="M1553" s="888"/>
      <c r="N1553" s="888"/>
      <c r="O1553" s="888"/>
      <c r="P1553" s="888"/>
      <c r="Q1553" s="888"/>
      <c r="R1553" s="888"/>
    </row>
    <row r="1554" spans="1:18" s="893" customFormat="1" x14ac:dyDescent="0.3">
      <c r="A1554" s="888" t="s">
        <v>2062</v>
      </c>
      <c r="B1554" s="888" t="s">
        <v>1954</v>
      </c>
      <c r="C1554" s="888" t="s">
        <v>2450</v>
      </c>
      <c r="D1554" s="888"/>
      <c r="E1554" s="893" t="s">
        <v>117</v>
      </c>
      <c r="I1554" s="888"/>
      <c r="J1554" s="888"/>
      <c r="K1554" s="888"/>
      <c r="L1554" s="888"/>
      <c r="M1554" s="888"/>
      <c r="N1554" s="888"/>
      <c r="O1554" s="888"/>
      <c r="P1554" s="888"/>
      <c r="Q1554" s="888"/>
      <c r="R1554" s="888"/>
    </row>
    <row r="1555" spans="1:18" s="893" customFormat="1" x14ac:dyDescent="0.3">
      <c r="A1555" s="888" t="s">
        <v>2062</v>
      </c>
      <c r="B1555" s="888" t="s">
        <v>1954</v>
      </c>
      <c r="C1555" s="888" t="s">
        <v>2451</v>
      </c>
      <c r="D1555" s="888"/>
      <c r="E1555" s="893" t="s">
        <v>870</v>
      </c>
      <c r="I1555" s="888"/>
      <c r="J1555" s="888"/>
      <c r="K1555" s="888"/>
      <c r="L1555" s="888"/>
      <c r="M1555" s="888"/>
      <c r="N1555" s="888"/>
      <c r="O1555" s="888"/>
      <c r="P1555" s="888"/>
      <c r="Q1555" s="888"/>
      <c r="R1555" s="888"/>
    </row>
    <row r="1556" spans="1:18" s="893" customFormat="1" x14ac:dyDescent="0.3">
      <c r="A1556" s="888" t="s">
        <v>2062</v>
      </c>
      <c r="B1556" s="888" t="s">
        <v>1954</v>
      </c>
      <c r="C1556" s="888" t="s">
        <v>2452</v>
      </c>
      <c r="D1556" s="888"/>
      <c r="E1556" s="893" t="s">
        <v>118</v>
      </c>
      <c r="I1556" s="888"/>
      <c r="J1556" s="888"/>
      <c r="K1556" s="888"/>
      <c r="L1556" s="888"/>
      <c r="M1556" s="888"/>
      <c r="N1556" s="888"/>
      <c r="O1556" s="888"/>
      <c r="P1556" s="888"/>
      <c r="Q1556" s="888"/>
      <c r="R1556" s="888"/>
    </row>
    <row r="1557" spans="1:18" s="893" customFormat="1" x14ac:dyDescent="0.3">
      <c r="A1557" s="888" t="s">
        <v>2062</v>
      </c>
      <c r="B1557" s="888" t="s">
        <v>1954</v>
      </c>
      <c r="C1557" s="888" t="s">
        <v>2453</v>
      </c>
      <c r="D1557" s="888"/>
      <c r="E1557" s="893" t="s">
        <v>914</v>
      </c>
      <c r="I1557" s="888"/>
      <c r="J1557" s="888"/>
      <c r="K1557" s="888"/>
      <c r="L1557" s="888"/>
      <c r="M1557" s="888"/>
      <c r="N1557" s="888"/>
      <c r="O1557" s="888"/>
      <c r="P1557" s="888"/>
      <c r="Q1557" s="888"/>
      <c r="R1557" s="888"/>
    </row>
    <row r="1558" spans="1:18" s="893" customFormat="1" x14ac:dyDescent="0.3">
      <c r="A1558" s="888" t="s">
        <v>2062</v>
      </c>
      <c r="B1558" s="888" t="s">
        <v>1954</v>
      </c>
      <c r="C1558" s="888" t="s">
        <v>2454</v>
      </c>
      <c r="D1558" s="888"/>
      <c r="E1558" s="893" t="s">
        <v>1766</v>
      </c>
      <c r="I1558" s="888"/>
      <c r="J1558" s="888"/>
      <c r="K1558" s="888"/>
      <c r="L1558" s="888"/>
      <c r="M1558" s="888"/>
      <c r="N1558" s="888"/>
      <c r="O1558" s="888"/>
      <c r="P1558" s="888"/>
      <c r="Q1558" s="888"/>
      <c r="R1558" s="888"/>
    </row>
    <row r="1559" spans="1:18" s="893" customFormat="1" x14ac:dyDescent="0.3">
      <c r="A1559" s="888" t="s">
        <v>2062</v>
      </c>
      <c r="B1559" s="888" t="s">
        <v>1954</v>
      </c>
      <c r="C1559" s="888" t="s">
        <v>2455</v>
      </c>
      <c r="D1559" s="1007" t="s">
        <v>5151</v>
      </c>
      <c r="E1559" s="893" t="s">
        <v>1194</v>
      </c>
      <c r="I1559" s="888"/>
      <c r="J1559" s="888"/>
      <c r="K1559" s="888"/>
      <c r="L1559" s="888"/>
      <c r="M1559" s="888"/>
      <c r="N1559" s="888"/>
      <c r="O1559" s="888"/>
      <c r="P1559" s="888"/>
      <c r="Q1559" s="888"/>
      <c r="R1559" s="888"/>
    </row>
    <row r="1560" spans="1:18" s="893" customFormat="1" x14ac:dyDescent="0.3">
      <c r="A1560" s="888" t="s">
        <v>2062</v>
      </c>
      <c r="B1560" s="888" t="s">
        <v>1954</v>
      </c>
      <c r="C1560" s="888" t="s">
        <v>2065</v>
      </c>
      <c r="D1560" s="888"/>
      <c r="E1560" s="893" t="s">
        <v>123</v>
      </c>
      <c r="I1560" s="888"/>
      <c r="J1560" s="888"/>
      <c r="K1560" s="888"/>
      <c r="L1560" s="888"/>
      <c r="M1560" s="888"/>
      <c r="N1560" s="888"/>
      <c r="O1560" s="888"/>
      <c r="P1560" s="888"/>
      <c r="Q1560" s="888"/>
      <c r="R1560" s="888"/>
    </row>
    <row r="1561" spans="1:18" s="893" customFormat="1" x14ac:dyDescent="0.3">
      <c r="A1561" s="888" t="s">
        <v>2062</v>
      </c>
      <c r="B1561" s="888" t="s">
        <v>1954</v>
      </c>
      <c r="C1561" s="888" t="s">
        <v>2069</v>
      </c>
      <c r="D1561" s="888"/>
      <c r="E1561" s="893" t="s">
        <v>126</v>
      </c>
      <c r="I1561" s="888"/>
      <c r="J1561" s="888"/>
      <c r="K1561" s="888"/>
      <c r="L1561" s="888"/>
      <c r="M1561" s="888"/>
      <c r="N1561" s="888"/>
      <c r="O1561" s="888"/>
      <c r="P1561" s="888"/>
      <c r="Q1561" s="888"/>
      <c r="R1561" s="888"/>
    </row>
    <row r="1562" spans="1:18" s="893" customFormat="1" x14ac:dyDescent="0.3">
      <c r="A1562" s="888" t="s">
        <v>2062</v>
      </c>
      <c r="B1562" s="888" t="s">
        <v>1954</v>
      </c>
      <c r="C1562" s="888" t="s">
        <v>2127</v>
      </c>
      <c r="D1562" s="888"/>
      <c r="E1562" s="893" t="s">
        <v>1426</v>
      </c>
      <c r="I1562" s="888"/>
      <c r="J1562" s="888"/>
      <c r="K1562" s="888"/>
      <c r="L1562" s="888"/>
      <c r="M1562" s="888"/>
      <c r="N1562" s="888"/>
      <c r="O1562" s="888"/>
      <c r="P1562" s="888"/>
      <c r="Q1562" s="888"/>
      <c r="R1562" s="888"/>
    </row>
    <row r="1563" spans="1:18" s="893" customFormat="1" x14ac:dyDescent="0.3">
      <c r="A1563" s="888" t="s">
        <v>2062</v>
      </c>
      <c r="B1563" s="888" t="s">
        <v>1954</v>
      </c>
      <c r="C1563" s="888" t="s">
        <v>2368</v>
      </c>
      <c r="D1563" s="888"/>
      <c r="E1563" s="893" t="s">
        <v>1427</v>
      </c>
      <c r="I1563" s="888"/>
      <c r="J1563" s="888"/>
      <c r="K1563" s="888"/>
      <c r="L1563" s="888"/>
      <c r="M1563" s="888"/>
      <c r="N1563" s="888"/>
      <c r="O1563" s="888"/>
      <c r="P1563" s="888"/>
      <c r="Q1563" s="888"/>
      <c r="R1563" s="888"/>
    </row>
    <row r="1564" spans="1:18" s="893" customFormat="1" x14ac:dyDescent="0.3">
      <c r="A1564" s="888" t="s">
        <v>2062</v>
      </c>
      <c r="B1564" s="888" t="s">
        <v>1954</v>
      </c>
      <c r="C1564" s="888" t="s">
        <v>2068</v>
      </c>
      <c r="D1564" s="888"/>
      <c r="E1564" s="893" t="s">
        <v>131</v>
      </c>
      <c r="I1564" s="888"/>
      <c r="J1564" s="888"/>
      <c r="K1564" s="888"/>
      <c r="L1564" s="888"/>
      <c r="M1564" s="888"/>
      <c r="N1564" s="888"/>
      <c r="O1564" s="888"/>
      <c r="P1564" s="888"/>
      <c r="Q1564" s="888"/>
      <c r="R1564" s="888"/>
    </row>
    <row r="1565" spans="1:18" s="893" customFormat="1" x14ac:dyDescent="0.3">
      <c r="A1565" s="888" t="s">
        <v>2062</v>
      </c>
      <c r="B1565" s="888" t="s">
        <v>1954</v>
      </c>
      <c r="C1565" s="888" t="s">
        <v>2071</v>
      </c>
      <c r="D1565" s="888"/>
      <c r="E1565" s="893" t="s">
        <v>132</v>
      </c>
      <c r="I1565" s="888"/>
      <c r="J1565" s="888"/>
      <c r="K1565" s="888"/>
      <c r="L1565" s="888"/>
      <c r="M1565" s="888"/>
      <c r="N1565" s="888"/>
      <c r="O1565" s="888"/>
      <c r="P1565" s="888"/>
      <c r="Q1565" s="888"/>
      <c r="R1565" s="888"/>
    </row>
    <row r="1566" spans="1:18" s="893" customFormat="1" x14ac:dyDescent="0.3">
      <c r="A1566" s="888" t="s">
        <v>2062</v>
      </c>
      <c r="B1566" s="888" t="s">
        <v>1954</v>
      </c>
      <c r="C1566" s="888" t="s">
        <v>2456</v>
      </c>
      <c r="D1566" s="888"/>
      <c r="E1566" s="893" t="s">
        <v>1123</v>
      </c>
      <c r="I1566" s="888"/>
      <c r="J1566" s="888"/>
      <c r="K1566" s="888"/>
      <c r="L1566" s="888"/>
      <c r="M1566" s="888"/>
      <c r="N1566" s="888"/>
      <c r="O1566" s="888"/>
      <c r="P1566" s="888"/>
      <c r="Q1566" s="888"/>
      <c r="R1566" s="888"/>
    </row>
    <row r="1567" spans="1:18" s="893" customFormat="1" x14ac:dyDescent="0.3">
      <c r="A1567" s="888" t="s">
        <v>2062</v>
      </c>
      <c r="B1567" s="888" t="s">
        <v>1954</v>
      </c>
      <c r="C1567" s="888" t="s">
        <v>2457</v>
      </c>
      <c r="D1567" s="888"/>
      <c r="E1567" s="893" t="s">
        <v>946</v>
      </c>
      <c r="I1567" s="888"/>
      <c r="J1567" s="888"/>
      <c r="K1567" s="888"/>
      <c r="L1567" s="888"/>
      <c r="M1567" s="888"/>
      <c r="N1567" s="888"/>
      <c r="O1567" s="888"/>
      <c r="P1567" s="888"/>
      <c r="Q1567" s="888"/>
      <c r="R1567" s="888"/>
    </row>
    <row r="1568" spans="1:18" s="893" customFormat="1" x14ac:dyDescent="0.3">
      <c r="A1568" s="888" t="s">
        <v>2062</v>
      </c>
      <c r="B1568" s="888" t="s">
        <v>1954</v>
      </c>
      <c r="C1568" s="888" t="s">
        <v>2375</v>
      </c>
      <c r="D1568" s="888"/>
      <c r="E1568" s="893" t="s">
        <v>947</v>
      </c>
      <c r="I1568" s="888"/>
      <c r="J1568" s="888"/>
      <c r="K1568" s="888"/>
      <c r="L1568" s="888"/>
      <c r="M1568" s="888"/>
      <c r="N1568" s="888"/>
      <c r="O1568" s="888"/>
      <c r="P1568" s="888"/>
      <c r="Q1568" s="888"/>
      <c r="R1568" s="888"/>
    </row>
    <row r="1569" spans="1:18" s="893" customFormat="1" x14ac:dyDescent="0.3">
      <c r="A1569" s="888" t="s">
        <v>2062</v>
      </c>
      <c r="B1569" s="888" t="s">
        <v>1954</v>
      </c>
      <c r="C1569" s="888" t="s">
        <v>2081</v>
      </c>
      <c r="D1569" s="888"/>
      <c r="E1569" s="893" t="s">
        <v>150</v>
      </c>
      <c r="I1569" s="888"/>
      <c r="J1569" s="888"/>
      <c r="K1569" s="888"/>
      <c r="L1569" s="888"/>
      <c r="M1569" s="888"/>
      <c r="N1569" s="888"/>
      <c r="O1569" s="888"/>
      <c r="P1569" s="888"/>
      <c r="Q1569" s="888"/>
      <c r="R1569" s="888"/>
    </row>
    <row r="1570" spans="1:18" s="893" customFormat="1" x14ac:dyDescent="0.3">
      <c r="A1570" s="888" t="s">
        <v>2062</v>
      </c>
      <c r="B1570" s="888" t="s">
        <v>1954</v>
      </c>
      <c r="C1570" s="888" t="s">
        <v>2462</v>
      </c>
      <c r="D1570" s="888"/>
      <c r="E1570" s="893" t="s">
        <v>4103</v>
      </c>
      <c r="I1570" s="888"/>
      <c r="J1570" s="888"/>
      <c r="K1570" s="888"/>
      <c r="L1570" s="888"/>
      <c r="M1570" s="888"/>
      <c r="N1570" s="888"/>
      <c r="O1570" s="888"/>
      <c r="P1570" s="888"/>
      <c r="Q1570" s="888"/>
      <c r="R1570" s="888"/>
    </row>
    <row r="1571" spans="1:18" s="893" customFormat="1" x14ac:dyDescent="0.3">
      <c r="A1571" s="888" t="s">
        <v>2062</v>
      </c>
      <c r="B1571" s="888" t="s">
        <v>1954</v>
      </c>
      <c r="C1571" s="888" t="s">
        <v>2463</v>
      </c>
      <c r="D1571" s="888"/>
      <c r="E1571" s="893" t="s">
        <v>4104</v>
      </c>
      <c r="I1571" s="888"/>
      <c r="J1571" s="888"/>
      <c r="K1571" s="888"/>
      <c r="L1571" s="888"/>
      <c r="M1571" s="888"/>
      <c r="N1571" s="888"/>
      <c r="O1571" s="888"/>
      <c r="P1571" s="888"/>
      <c r="Q1571" s="888"/>
      <c r="R1571" s="888"/>
    </row>
    <row r="1572" spans="1:18" s="893" customFormat="1" x14ac:dyDescent="0.3">
      <c r="A1572" s="888" t="s">
        <v>2062</v>
      </c>
      <c r="B1572" s="888" t="s">
        <v>1954</v>
      </c>
      <c r="C1572" s="888" t="s">
        <v>2082</v>
      </c>
      <c r="D1572" s="888"/>
      <c r="E1572" s="893" t="str">
        <f>$E$1569</f>
        <v>Asphalt Shingles</v>
      </c>
      <c r="I1572" s="888"/>
      <c r="J1572" s="888"/>
      <c r="K1572" s="888"/>
      <c r="L1572" s="888"/>
      <c r="M1572" s="888"/>
      <c r="N1572" s="888"/>
      <c r="O1572" s="888"/>
      <c r="P1572" s="888"/>
      <c r="Q1572" s="888"/>
      <c r="R1572" s="888"/>
    </row>
    <row r="1573" spans="1:18" s="893" customFormat="1" x14ac:dyDescent="0.3">
      <c r="A1573" s="888" t="s">
        <v>2062</v>
      </c>
      <c r="B1573" s="888" t="s">
        <v>1954</v>
      </c>
      <c r="C1573" s="888" t="s">
        <v>2199</v>
      </c>
      <c r="D1573" s="888"/>
      <c r="E1573" s="893" t="s">
        <v>4107</v>
      </c>
      <c r="I1573" s="888"/>
      <c r="J1573" s="888"/>
      <c r="K1573" s="888"/>
      <c r="L1573" s="888"/>
      <c r="M1573" s="888"/>
      <c r="N1573" s="888"/>
      <c r="O1573" s="888"/>
      <c r="P1573" s="888"/>
      <c r="Q1573" s="888"/>
      <c r="R1573" s="888"/>
    </row>
    <row r="1574" spans="1:18" s="893" customFormat="1" x14ac:dyDescent="0.3">
      <c r="A1574" s="888" t="s">
        <v>2062</v>
      </c>
      <c r="B1574" s="888" t="s">
        <v>1954</v>
      </c>
      <c r="C1574" s="888" t="s">
        <v>2464</v>
      </c>
      <c r="D1574" s="888"/>
      <c r="E1574" s="893" t="s">
        <v>4108</v>
      </c>
      <c r="I1574" s="888"/>
      <c r="J1574" s="888"/>
      <c r="K1574" s="888"/>
      <c r="L1574" s="888"/>
      <c r="M1574" s="888"/>
      <c r="N1574" s="888"/>
      <c r="O1574" s="888"/>
      <c r="P1574" s="888"/>
      <c r="Q1574" s="888"/>
      <c r="R1574" s="888"/>
    </row>
    <row r="1575" spans="1:18" s="893" customFormat="1" x14ac:dyDescent="0.3">
      <c r="A1575" s="888" t="s">
        <v>2062</v>
      </c>
      <c r="B1575" s="888" t="s">
        <v>1954</v>
      </c>
      <c r="C1575" s="888" t="s">
        <v>2085</v>
      </c>
      <c r="D1575" s="888"/>
      <c r="E1575" s="893" t="str">
        <f>$E$1569</f>
        <v>Asphalt Shingles</v>
      </c>
      <c r="I1575" s="888"/>
      <c r="J1575" s="888"/>
      <c r="K1575" s="888"/>
      <c r="L1575" s="888"/>
      <c r="M1575" s="888"/>
      <c r="N1575" s="888"/>
      <c r="O1575" s="888"/>
      <c r="P1575" s="888"/>
      <c r="Q1575" s="888"/>
      <c r="R1575" s="888"/>
    </row>
    <row r="1576" spans="1:18" s="893" customFormat="1" x14ac:dyDescent="0.3">
      <c r="A1576" s="888" t="s">
        <v>2062</v>
      </c>
      <c r="B1576" s="888" t="s">
        <v>1954</v>
      </c>
      <c r="C1576" s="888" t="s">
        <v>2263</v>
      </c>
      <c r="D1576" s="888"/>
      <c r="E1576" s="893" t="str">
        <f>$E$1573</f>
        <v>Malarkey Roofing</v>
      </c>
      <c r="I1576" s="888"/>
      <c r="J1576" s="888"/>
      <c r="K1576" s="888"/>
      <c r="L1576" s="888"/>
      <c r="M1576" s="888"/>
      <c r="N1576" s="888"/>
      <c r="O1576" s="888"/>
      <c r="P1576" s="888"/>
      <c r="Q1576" s="888"/>
      <c r="R1576" s="888"/>
    </row>
    <row r="1577" spans="1:18" s="893" customFormat="1" x14ac:dyDescent="0.3">
      <c r="A1577" s="888" t="s">
        <v>2062</v>
      </c>
      <c r="B1577" s="888" t="s">
        <v>1954</v>
      </c>
      <c r="C1577" s="888" t="s">
        <v>2275</v>
      </c>
      <c r="D1577" s="888"/>
      <c r="E1577" s="893" t="s">
        <v>4110</v>
      </c>
      <c r="I1577" s="888"/>
      <c r="J1577" s="888"/>
      <c r="K1577" s="888"/>
      <c r="L1577" s="888"/>
      <c r="M1577" s="888"/>
      <c r="N1577" s="888"/>
      <c r="O1577" s="888"/>
      <c r="P1577" s="888"/>
      <c r="Q1577" s="888"/>
      <c r="R1577" s="888"/>
    </row>
    <row r="1578" spans="1:18" s="893" customFormat="1" x14ac:dyDescent="0.3">
      <c r="A1578" s="888" t="s">
        <v>2062</v>
      </c>
      <c r="B1578" s="888" t="s">
        <v>1954</v>
      </c>
      <c r="C1578" s="888" t="s">
        <v>2086</v>
      </c>
      <c r="D1578" s="888"/>
      <c r="E1578" s="893" t="str">
        <f>$E$1569</f>
        <v>Asphalt Shingles</v>
      </c>
      <c r="I1578" s="888"/>
      <c r="J1578" s="888"/>
      <c r="K1578" s="888"/>
      <c r="L1578" s="888"/>
      <c r="M1578" s="888"/>
      <c r="N1578" s="888"/>
      <c r="O1578" s="888"/>
      <c r="P1578" s="888"/>
      <c r="Q1578" s="888"/>
      <c r="R1578" s="888"/>
    </row>
    <row r="1579" spans="1:18" s="893" customFormat="1" x14ac:dyDescent="0.3">
      <c r="A1579" s="888" t="s">
        <v>2062</v>
      </c>
      <c r="B1579" s="888" t="s">
        <v>1954</v>
      </c>
      <c r="C1579" s="888" t="s">
        <v>2465</v>
      </c>
      <c r="D1579" s="888"/>
      <c r="E1579" s="893" t="str">
        <f>$E$1573</f>
        <v>Malarkey Roofing</v>
      </c>
      <c r="I1579" s="888"/>
      <c r="J1579" s="888"/>
      <c r="K1579" s="888"/>
      <c r="L1579" s="888"/>
      <c r="M1579" s="888"/>
      <c r="N1579" s="888"/>
      <c r="O1579" s="888"/>
      <c r="P1579" s="888"/>
      <c r="Q1579" s="888"/>
      <c r="R1579" s="888"/>
    </row>
    <row r="1580" spans="1:18" s="893" customFormat="1" x14ac:dyDescent="0.3">
      <c r="A1580" s="888" t="s">
        <v>2062</v>
      </c>
      <c r="B1580" s="888" t="s">
        <v>1954</v>
      </c>
      <c r="C1580" s="888" t="s">
        <v>2466</v>
      </c>
      <c r="D1580" s="888"/>
      <c r="E1580" s="893" t="s">
        <v>4111</v>
      </c>
      <c r="I1580" s="888"/>
      <c r="J1580" s="888"/>
      <c r="K1580" s="888"/>
      <c r="L1580" s="888"/>
      <c r="M1580" s="888"/>
      <c r="N1580" s="888"/>
      <c r="O1580" s="888"/>
      <c r="P1580" s="888"/>
      <c r="Q1580" s="888"/>
      <c r="R1580" s="888"/>
    </row>
    <row r="1581" spans="1:18" s="893" customFormat="1" x14ac:dyDescent="0.3">
      <c r="A1581" s="888" t="s">
        <v>2062</v>
      </c>
      <c r="B1581" s="888" t="s">
        <v>1954</v>
      </c>
      <c r="C1581" s="888" t="s">
        <v>2087</v>
      </c>
      <c r="D1581" s="888"/>
      <c r="E1581" s="893" t="str">
        <f>$E$1569</f>
        <v>Asphalt Shingles</v>
      </c>
      <c r="I1581" s="888"/>
      <c r="J1581" s="888"/>
      <c r="K1581" s="888"/>
      <c r="L1581" s="888"/>
      <c r="M1581" s="888"/>
      <c r="N1581" s="888"/>
      <c r="O1581" s="888"/>
      <c r="P1581" s="888"/>
      <c r="Q1581" s="888"/>
      <c r="R1581" s="888"/>
    </row>
    <row r="1582" spans="1:18" s="893" customFormat="1" x14ac:dyDescent="0.3">
      <c r="A1582" s="888" t="s">
        <v>2062</v>
      </c>
      <c r="B1582" s="888" t="s">
        <v>1954</v>
      </c>
      <c r="C1582" s="888" t="s">
        <v>2467</v>
      </c>
      <c r="D1582" s="888"/>
      <c r="E1582" s="893" t="str">
        <f>$E$1573</f>
        <v>Malarkey Roofing</v>
      </c>
      <c r="I1582" s="888"/>
      <c r="J1582" s="888"/>
      <c r="K1582" s="888"/>
      <c r="L1582" s="888"/>
      <c r="M1582" s="888"/>
      <c r="N1582" s="888"/>
      <c r="O1582" s="888"/>
      <c r="P1582" s="888"/>
      <c r="Q1582" s="888"/>
      <c r="R1582" s="888"/>
    </row>
    <row r="1583" spans="1:18" s="893" customFormat="1" x14ac:dyDescent="0.3">
      <c r="A1583" s="888" t="s">
        <v>2062</v>
      </c>
      <c r="B1583" s="888" t="s">
        <v>1954</v>
      </c>
      <c r="C1583" s="888" t="s">
        <v>2468</v>
      </c>
      <c r="D1583" s="888"/>
      <c r="E1583" s="893" t="s">
        <v>4113</v>
      </c>
      <c r="I1583" s="888"/>
      <c r="J1583" s="888"/>
      <c r="K1583" s="888"/>
      <c r="L1583" s="888"/>
      <c r="M1583" s="888"/>
      <c r="N1583" s="888"/>
      <c r="O1583" s="888"/>
      <c r="P1583" s="888"/>
      <c r="Q1583" s="888"/>
      <c r="R1583" s="888"/>
    </row>
    <row r="1584" spans="1:18" s="893" customFormat="1" x14ac:dyDescent="0.3">
      <c r="A1584" s="888" t="s">
        <v>2062</v>
      </c>
      <c r="B1584" s="888" t="s">
        <v>1954</v>
      </c>
      <c r="C1584" s="888" t="s">
        <v>2264</v>
      </c>
      <c r="D1584" s="888"/>
      <c r="E1584" s="893" t="str">
        <f>$E$1569</f>
        <v>Asphalt Shingles</v>
      </c>
      <c r="I1584" s="888"/>
      <c r="J1584" s="888"/>
      <c r="K1584" s="888"/>
      <c r="L1584" s="888"/>
      <c r="M1584" s="888"/>
      <c r="N1584" s="888"/>
      <c r="O1584" s="888"/>
      <c r="P1584" s="888"/>
      <c r="Q1584" s="888"/>
      <c r="R1584" s="888"/>
    </row>
    <row r="1585" spans="1:18" s="893" customFormat="1" x14ac:dyDescent="0.3">
      <c r="A1585" s="888" t="s">
        <v>2062</v>
      </c>
      <c r="B1585" s="888" t="s">
        <v>1954</v>
      </c>
      <c r="C1585" s="888" t="s">
        <v>2469</v>
      </c>
      <c r="D1585" s="888"/>
      <c r="E1585" s="893" t="str">
        <f>$E$1573</f>
        <v>Malarkey Roofing</v>
      </c>
      <c r="I1585" s="888"/>
      <c r="J1585" s="888"/>
      <c r="K1585" s="888"/>
      <c r="L1585" s="888"/>
      <c r="M1585" s="888"/>
      <c r="N1585" s="888"/>
      <c r="O1585" s="888"/>
      <c r="P1585" s="888"/>
      <c r="Q1585" s="888"/>
      <c r="R1585" s="888"/>
    </row>
    <row r="1586" spans="1:18" s="893" customFormat="1" x14ac:dyDescent="0.3">
      <c r="A1586" s="888" t="s">
        <v>2062</v>
      </c>
      <c r="B1586" s="888" t="s">
        <v>1954</v>
      </c>
      <c r="C1586" s="888" t="s">
        <v>2204</v>
      </c>
      <c r="D1586" s="888"/>
      <c r="E1586" s="893" t="s">
        <v>4115</v>
      </c>
      <c r="I1586" s="888"/>
      <c r="J1586" s="888"/>
      <c r="K1586" s="888"/>
      <c r="L1586" s="888"/>
      <c r="M1586" s="888"/>
      <c r="N1586" s="888"/>
      <c r="O1586" s="888"/>
      <c r="P1586" s="888"/>
      <c r="Q1586" s="888"/>
      <c r="R1586" s="888"/>
    </row>
    <row r="1587" spans="1:18" s="893" customFormat="1" x14ac:dyDescent="0.3">
      <c r="A1587" s="888" t="s">
        <v>2062</v>
      </c>
      <c r="B1587" s="888" t="s">
        <v>1954</v>
      </c>
      <c r="C1587" s="888" t="s">
        <v>2089</v>
      </c>
      <c r="D1587" s="888"/>
      <c r="E1587" s="893" t="str">
        <f>$E$1569</f>
        <v>Asphalt Shingles</v>
      </c>
      <c r="I1587" s="888"/>
      <c r="J1587" s="888"/>
      <c r="K1587" s="888"/>
      <c r="L1587" s="888"/>
      <c r="M1587" s="888"/>
      <c r="N1587" s="888"/>
      <c r="O1587" s="888"/>
      <c r="P1587" s="888"/>
      <c r="Q1587" s="888"/>
      <c r="R1587" s="888"/>
    </row>
    <row r="1588" spans="1:18" s="893" customFormat="1" x14ac:dyDescent="0.3">
      <c r="A1588" s="888" t="s">
        <v>2062</v>
      </c>
      <c r="B1588" s="888" t="s">
        <v>1954</v>
      </c>
      <c r="C1588" s="888" t="s">
        <v>2268</v>
      </c>
      <c r="D1588" s="888"/>
      <c r="E1588" s="893" t="str">
        <f>$E$1573</f>
        <v>Malarkey Roofing</v>
      </c>
      <c r="I1588" s="888"/>
      <c r="J1588" s="888"/>
      <c r="K1588" s="888"/>
      <c r="L1588" s="888"/>
      <c r="M1588" s="888"/>
      <c r="N1588" s="888"/>
      <c r="O1588" s="888"/>
      <c r="P1588" s="888"/>
      <c r="Q1588" s="888"/>
      <c r="R1588" s="888"/>
    </row>
    <row r="1589" spans="1:18" s="893" customFormat="1" x14ac:dyDescent="0.3">
      <c r="A1589" s="888" t="s">
        <v>2062</v>
      </c>
      <c r="B1589" s="888" t="s">
        <v>1954</v>
      </c>
      <c r="C1589" s="888" t="s">
        <v>2470</v>
      </c>
      <c r="D1589" s="888"/>
      <c r="E1589" s="893" t="s">
        <v>4117</v>
      </c>
      <c r="I1589" s="888"/>
      <c r="J1589" s="888"/>
      <c r="K1589" s="888"/>
      <c r="L1589" s="888"/>
      <c r="M1589" s="888"/>
      <c r="N1589" s="888"/>
      <c r="O1589" s="888"/>
      <c r="P1589" s="888"/>
      <c r="Q1589" s="888"/>
      <c r="R1589" s="888"/>
    </row>
    <row r="1590" spans="1:18" s="893" customFormat="1" x14ac:dyDescent="0.3">
      <c r="A1590" s="888" t="s">
        <v>2062</v>
      </c>
      <c r="B1590" s="888" t="s">
        <v>1954</v>
      </c>
      <c r="C1590" s="888" t="s">
        <v>2090</v>
      </c>
      <c r="D1590" s="888"/>
      <c r="E1590" s="893" t="str">
        <f>$E$1569</f>
        <v>Asphalt Shingles</v>
      </c>
      <c r="I1590" s="888"/>
      <c r="J1590" s="888"/>
      <c r="K1590" s="888"/>
      <c r="L1590" s="888"/>
      <c r="M1590" s="888"/>
      <c r="N1590" s="888"/>
      <c r="O1590" s="888"/>
      <c r="P1590" s="888"/>
      <c r="Q1590" s="888"/>
      <c r="R1590" s="888"/>
    </row>
    <row r="1591" spans="1:18" s="893" customFormat="1" x14ac:dyDescent="0.3">
      <c r="A1591" s="888" t="s">
        <v>2062</v>
      </c>
      <c r="B1591" s="888" t="s">
        <v>1954</v>
      </c>
      <c r="C1591" s="888" t="s">
        <v>2091</v>
      </c>
      <c r="D1591" s="888"/>
      <c r="E1591" s="893" t="str">
        <f>$E$1573</f>
        <v>Malarkey Roofing</v>
      </c>
      <c r="I1591" s="888"/>
      <c r="J1591" s="888"/>
      <c r="K1591" s="888"/>
      <c r="L1591" s="888"/>
      <c r="M1591" s="888"/>
      <c r="N1591" s="888"/>
      <c r="O1591" s="888"/>
      <c r="P1591" s="888"/>
      <c r="Q1591" s="888"/>
      <c r="R1591" s="888"/>
    </row>
    <row r="1592" spans="1:18" s="893" customFormat="1" x14ac:dyDescent="0.3">
      <c r="A1592" s="888" t="s">
        <v>2062</v>
      </c>
      <c r="B1592" s="888" t="s">
        <v>1954</v>
      </c>
      <c r="C1592" s="888" t="s">
        <v>2471</v>
      </c>
      <c r="D1592" s="888"/>
      <c r="E1592" s="893" t="s">
        <v>4119</v>
      </c>
      <c r="I1592" s="888"/>
      <c r="J1592" s="888"/>
      <c r="K1592" s="888"/>
      <c r="L1592" s="888"/>
      <c r="M1592" s="888"/>
      <c r="N1592" s="888"/>
      <c r="O1592" s="888"/>
      <c r="P1592" s="888"/>
      <c r="Q1592" s="888"/>
      <c r="R1592" s="888"/>
    </row>
    <row r="1593" spans="1:18" s="893" customFormat="1" x14ac:dyDescent="0.3">
      <c r="A1593" s="888" t="s">
        <v>2062</v>
      </c>
      <c r="B1593" s="888" t="s">
        <v>1954</v>
      </c>
      <c r="C1593" s="888" t="s">
        <v>2401</v>
      </c>
      <c r="D1593" s="888"/>
      <c r="E1593" s="893" t="str">
        <f>$E$1569</f>
        <v>Asphalt Shingles</v>
      </c>
      <c r="I1593" s="888"/>
      <c r="J1593" s="888"/>
      <c r="K1593" s="888"/>
      <c r="L1593" s="888"/>
      <c r="M1593" s="888"/>
      <c r="N1593" s="888"/>
      <c r="O1593" s="888"/>
      <c r="P1593" s="888"/>
      <c r="Q1593" s="888"/>
      <c r="R1593" s="888"/>
    </row>
    <row r="1594" spans="1:18" s="893" customFormat="1" x14ac:dyDescent="0.3">
      <c r="A1594" s="888" t="s">
        <v>2062</v>
      </c>
      <c r="B1594" s="888" t="s">
        <v>1954</v>
      </c>
      <c r="C1594" s="888" t="s">
        <v>2237</v>
      </c>
      <c r="D1594" s="888"/>
      <c r="E1594" s="893" t="s">
        <v>154</v>
      </c>
      <c r="I1594" s="888"/>
      <c r="J1594" s="888"/>
      <c r="K1594" s="888"/>
      <c r="L1594" s="888"/>
      <c r="M1594" s="888"/>
      <c r="N1594" s="888"/>
      <c r="O1594" s="888"/>
      <c r="P1594" s="888"/>
      <c r="Q1594" s="888"/>
      <c r="R1594" s="888"/>
    </row>
    <row r="1595" spans="1:18" s="893" customFormat="1" x14ac:dyDescent="0.3">
      <c r="A1595" s="888" t="s">
        <v>2062</v>
      </c>
      <c r="B1595" s="888" t="s">
        <v>1954</v>
      </c>
      <c r="C1595" s="888" t="s">
        <v>2472</v>
      </c>
      <c r="D1595" s="888"/>
      <c r="E1595" s="893" t="s">
        <v>155</v>
      </c>
      <c r="I1595" s="888"/>
      <c r="J1595" s="888"/>
      <c r="K1595" s="888"/>
      <c r="L1595" s="888"/>
      <c r="M1595" s="888"/>
      <c r="N1595" s="888"/>
      <c r="O1595" s="888"/>
      <c r="P1595" s="888"/>
      <c r="Q1595" s="888"/>
      <c r="R1595" s="888"/>
    </row>
    <row r="1596" spans="1:18" s="893" customFormat="1" x14ac:dyDescent="0.3">
      <c r="A1596" s="888" t="s">
        <v>2062</v>
      </c>
      <c r="B1596" s="888" t="s">
        <v>1954</v>
      </c>
      <c r="C1596" s="888" t="s">
        <v>2473</v>
      </c>
      <c r="D1596" s="888"/>
      <c r="E1596" s="893" t="str">
        <f>$E$1595</f>
        <v>Timberline</v>
      </c>
      <c r="I1596" s="888"/>
      <c r="J1596" s="888"/>
      <c r="K1596" s="888"/>
      <c r="L1596" s="888"/>
      <c r="M1596" s="888"/>
      <c r="N1596" s="888"/>
      <c r="O1596" s="888"/>
      <c r="P1596" s="888"/>
      <c r="Q1596" s="888"/>
      <c r="R1596" s="888"/>
    </row>
    <row r="1597" spans="1:18" s="893" customFormat="1" x14ac:dyDescent="0.3">
      <c r="A1597" s="888" t="s">
        <v>2062</v>
      </c>
      <c r="B1597" s="888" t="s">
        <v>1954</v>
      </c>
      <c r="C1597" s="888" t="s">
        <v>2092</v>
      </c>
      <c r="D1597" s="888"/>
      <c r="E1597" s="893" t="str">
        <f>$E$1569</f>
        <v>Asphalt Shingles</v>
      </c>
      <c r="I1597" s="888"/>
      <c r="J1597" s="888"/>
      <c r="K1597" s="888"/>
      <c r="L1597" s="888"/>
      <c r="M1597" s="888"/>
      <c r="N1597" s="888"/>
      <c r="O1597" s="888"/>
      <c r="P1597" s="888"/>
      <c r="Q1597" s="888"/>
      <c r="R1597" s="888"/>
    </row>
    <row r="1598" spans="1:18" s="893" customFormat="1" x14ac:dyDescent="0.3">
      <c r="A1598" s="888" t="s">
        <v>2062</v>
      </c>
      <c r="B1598" s="888" t="s">
        <v>1954</v>
      </c>
      <c r="C1598" s="888" t="s">
        <v>2474</v>
      </c>
      <c r="D1598" s="888"/>
      <c r="E1598" s="893" t="s">
        <v>159</v>
      </c>
      <c r="I1598" s="888"/>
      <c r="J1598" s="888"/>
      <c r="K1598" s="888"/>
      <c r="L1598" s="888"/>
      <c r="M1598" s="888"/>
      <c r="N1598" s="888"/>
      <c r="O1598" s="888"/>
      <c r="P1598" s="888"/>
      <c r="Q1598" s="888"/>
      <c r="R1598" s="888"/>
    </row>
    <row r="1599" spans="1:18" s="893" customFormat="1" x14ac:dyDescent="0.3">
      <c r="A1599" s="888" t="s">
        <v>2062</v>
      </c>
      <c r="B1599" s="888" t="s">
        <v>1954</v>
      </c>
      <c r="C1599" s="888" t="s">
        <v>2475</v>
      </c>
      <c r="D1599" s="888"/>
      <c r="E1599" s="893" t="s">
        <v>160</v>
      </c>
      <c r="I1599" s="888"/>
      <c r="J1599" s="888"/>
      <c r="K1599" s="888"/>
      <c r="L1599" s="888"/>
      <c r="M1599" s="888"/>
      <c r="N1599" s="888"/>
      <c r="O1599" s="888"/>
      <c r="P1599" s="888"/>
      <c r="Q1599" s="888"/>
      <c r="R1599" s="888"/>
    </row>
    <row r="1600" spans="1:18" s="893" customFormat="1" x14ac:dyDescent="0.3">
      <c r="A1600" s="888" t="s">
        <v>2062</v>
      </c>
      <c r="B1600" s="888" t="s">
        <v>1954</v>
      </c>
      <c r="C1600" s="888" t="s">
        <v>2402</v>
      </c>
      <c r="D1600" s="888"/>
      <c r="E1600" s="893" t="str">
        <f>$E$1569</f>
        <v>Asphalt Shingles</v>
      </c>
      <c r="I1600" s="888"/>
      <c r="J1600" s="888"/>
      <c r="K1600" s="888"/>
      <c r="L1600" s="888"/>
      <c r="M1600" s="888"/>
      <c r="N1600" s="888"/>
      <c r="O1600" s="888"/>
      <c r="P1600" s="888"/>
      <c r="Q1600" s="888"/>
      <c r="R1600" s="888"/>
    </row>
    <row r="1601" spans="1:18" s="893" customFormat="1" x14ac:dyDescent="0.3">
      <c r="A1601" s="888" t="s">
        <v>2062</v>
      </c>
      <c r="B1601" s="888" t="s">
        <v>1954</v>
      </c>
      <c r="C1601" s="888" t="s">
        <v>2206</v>
      </c>
      <c r="D1601" s="888"/>
      <c r="E1601" s="893" t="str">
        <f>$E$1598</f>
        <v>Owens Corning</v>
      </c>
      <c r="I1601" s="888"/>
      <c r="J1601" s="888"/>
      <c r="K1601" s="888"/>
      <c r="L1601" s="888"/>
      <c r="M1601" s="888"/>
      <c r="N1601" s="888"/>
      <c r="O1601" s="888"/>
      <c r="P1601" s="888"/>
      <c r="Q1601" s="888"/>
      <c r="R1601" s="888"/>
    </row>
    <row r="1602" spans="1:18" s="893" customFormat="1" x14ac:dyDescent="0.3">
      <c r="A1602" s="888" t="s">
        <v>2062</v>
      </c>
      <c r="B1602" s="888" t="s">
        <v>1954</v>
      </c>
      <c r="C1602" s="888" t="s">
        <v>2476</v>
      </c>
      <c r="D1602" s="888"/>
      <c r="E1602" s="893" t="s">
        <v>162</v>
      </c>
      <c r="I1602" s="888"/>
      <c r="J1602" s="888"/>
      <c r="K1602" s="888"/>
      <c r="L1602" s="888"/>
      <c r="M1602" s="888"/>
      <c r="N1602" s="888"/>
      <c r="O1602" s="888"/>
      <c r="P1602" s="888"/>
      <c r="Q1602" s="888"/>
      <c r="R1602" s="888"/>
    </row>
    <row r="1603" spans="1:18" s="893" customFormat="1" x14ac:dyDescent="0.3">
      <c r="A1603" s="888" t="s">
        <v>2062</v>
      </c>
      <c r="B1603" s="888" t="s">
        <v>1954</v>
      </c>
      <c r="C1603" s="888" t="s">
        <v>2093</v>
      </c>
      <c r="D1603" s="888"/>
      <c r="E1603" s="893" t="str">
        <f>$E$1569</f>
        <v>Asphalt Shingles</v>
      </c>
      <c r="I1603" s="888"/>
      <c r="J1603" s="888"/>
      <c r="K1603" s="888"/>
      <c r="L1603" s="888"/>
      <c r="M1603" s="888"/>
      <c r="N1603" s="888"/>
      <c r="O1603" s="888"/>
      <c r="P1603" s="888"/>
      <c r="Q1603" s="888"/>
      <c r="R1603" s="888"/>
    </row>
    <row r="1604" spans="1:18" s="893" customFormat="1" x14ac:dyDescent="0.3">
      <c r="A1604" s="888" t="s">
        <v>2062</v>
      </c>
      <c r="B1604" s="888" t="s">
        <v>1954</v>
      </c>
      <c r="C1604" s="888" t="s">
        <v>2477</v>
      </c>
      <c r="D1604" s="888"/>
      <c r="E1604" s="893" t="str">
        <f>$E$1598</f>
        <v>Owens Corning</v>
      </c>
      <c r="I1604" s="888"/>
      <c r="J1604" s="888"/>
      <c r="K1604" s="888"/>
      <c r="L1604" s="888"/>
      <c r="M1604" s="888"/>
      <c r="N1604" s="888"/>
      <c r="O1604" s="888"/>
      <c r="P1604" s="888"/>
      <c r="Q1604" s="888"/>
      <c r="R1604" s="888"/>
    </row>
    <row r="1605" spans="1:18" s="893" customFormat="1" x14ac:dyDescent="0.3">
      <c r="A1605" s="888" t="s">
        <v>2062</v>
      </c>
      <c r="B1605" s="888" t="s">
        <v>1954</v>
      </c>
      <c r="C1605" s="888" t="s">
        <v>2478</v>
      </c>
      <c r="D1605" s="888"/>
      <c r="E1605" s="893" t="s">
        <v>164</v>
      </c>
      <c r="I1605" s="888"/>
      <c r="J1605" s="888"/>
      <c r="K1605" s="888"/>
      <c r="L1605" s="888"/>
      <c r="M1605" s="888"/>
      <c r="N1605" s="888"/>
      <c r="O1605" s="888"/>
      <c r="P1605" s="888"/>
      <c r="Q1605" s="888"/>
      <c r="R1605" s="888"/>
    </row>
    <row r="1606" spans="1:18" s="893" customFormat="1" x14ac:dyDescent="0.3">
      <c r="A1606" s="888" t="s">
        <v>2062</v>
      </c>
      <c r="B1606" s="888" t="s">
        <v>1954</v>
      </c>
      <c r="C1606" s="888" t="s">
        <v>2095</v>
      </c>
      <c r="D1606" s="888"/>
      <c r="E1606" s="893" t="s">
        <v>166</v>
      </c>
      <c r="I1606" s="888"/>
      <c r="J1606" s="888"/>
      <c r="K1606" s="888"/>
      <c r="L1606" s="888"/>
      <c r="M1606" s="888"/>
      <c r="N1606" s="888"/>
      <c r="O1606" s="888"/>
      <c r="P1606" s="888"/>
      <c r="Q1606" s="888"/>
      <c r="R1606" s="888"/>
    </row>
    <row r="1607" spans="1:18" s="893" customFormat="1" x14ac:dyDescent="0.3">
      <c r="A1607" s="888" t="s">
        <v>2062</v>
      </c>
      <c r="B1607" s="888" t="s">
        <v>1954</v>
      </c>
      <c r="C1607" s="888" t="s">
        <v>2747</v>
      </c>
      <c r="D1607" s="888"/>
      <c r="E1607" s="893" t="s">
        <v>167</v>
      </c>
      <c r="I1607" s="888"/>
      <c r="J1607" s="888"/>
      <c r="K1607" s="888"/>
      <c r="L1607" s="888"/>
      <c r="M1607" s="888"/>
      <c r="N1607" s="888"/>
      <c r="O1607" s="888"/>
      <c r="P1607" s="888"/>
      <c r="Q1607" s="888"/>
      <c r="R1607" s="888"/>
    </row>
    <row r="1608" spans="1:18" s="893" customFormat="1" x14ac:dyDescent="0.3">
      <c r="A1608" s="888" t="s">
        <v>2062</v>
      </c>
      <c r="B1608" s="888" t="s">
        <v>1954</v>
      </c>
      <c r="C1608" s="888" t="s">
        <v>2479</v>
      </c>
      <c r="D1608" s="888"/>
      <c r="E1608" s="893" t="s">
        <v>168</v>
      </c>
      <c r="I1608" s="888"/>
      <c r="J1608" s="888"/>
      <c r="K1608" s="888"/>
      <c r="L1608" s="888"/>
      <c r="M1608" s="888"/>
      <c r="N1608" s="888"/>
      <c r="O1608" s="888"/>
      <c r="P1608" s="888"/>
      <c r="Q1608" s="888"/>
      <c r="R1608" s="888"/>
    </row>
    <row r="1609" spans="1:18" s="893" customFormat="1" x14ac:dyDescent="0.3">
      <c r="A1609" s="888" t="s">
        <v>2062</v>
      </c>
      <c r="B1609" s="888" t="s">
        <v>1954</v>
      </c>
      <c r="C1609" s="888" t="s">
        <v>2096</v>
      </c>
      <c r="D1609" s="888"/>
      <c r="E1609" s="893" t="str">
        <f>$E$1606</f>
        <v>Bamboo plywood</v>
      </c>
      <c r="I1609" s="888"/>
      <c r="J1609" s="888"/>
      <c r="K1609" s="888"/>
      <c r="L1609" s="888"/>
      <c r="M1609" s="888"/>
      <c r="N1609" s="888"/>
      <c r="O1609" s="888"/>
      <c r="P1609" s="888"/>
      <c r="Q1609" s="888"/>
      <c r="R1609" s="888"/>
    </row>
    <row r="1610" spans="1:18" s="893" customFormat="1" x14ac:dyDescent="0.3">
      <c r="A1610" s="888" t="s">
        <v>2062</v>
      </c>
      <c r="B1610" s="888" t="s">
        <v>1954</v>
      </c>
      <c r="C1610" s="888" t="s">
        <v>2277</v>
      </c>
      <c r="D1610" s="888"/>
      <c r="E1610" s="893" t="str">
        <f>$E$1607</f>
        <v>Smith &amp; Fong</v>
      </c>
      <c r="I1610" s="888"/>
      <c r="J1610" s="888"/>
      <c r="K1610" s="888"/>
      <c r="L1610" s="888"/>
      <c r="M1610" s="888"/>
      <c r="N1610" s="888"/>
      <c r="O1610" s="888"/>
      <c r="P1610" s="888"/>
      <c r="Q1610" s="888"/>
      <c r="R1610" s="888"/>
    </row>
    <row r="1611" spans="1:18" s="893" customFormat="1" x14ac:dyDescent="0.3">
      <c r="A1611" s="888" t="s">
        <v>2062</v>
      </c>
      <c r="B1611" s="888" t="s">
        <v>1954</v>
      </c>
      <c r="C1611" s="888" t="s">
        <v>2314</v>
      </c>
      <c r="D1611" s="888"/>
      <c r="E1611" s="893" t="str">
        <f>$E$1608</f>
        <v>Plyboo</v>
      </c>
      <c r="I1611" s="888"/>
      <c r="J1611" s="888"/>
      <c r="K1611" s="888"/>
      <c r="L1611" s="888"/>
      <c r="M1611" s="888"/>
      <c r="N1611" s="888"/>
      <c r="O1611" s="888"/>
      <c r="P1611" s="888"/>
      <c r="Q1611" s="888"/>
      <c r="R1611" s="888"/>
    </row>
    <row r="1612" spans="1:18" s="893" customFormat="1" x14ac:dyDescent="0.3">
      <c r="A1612" s="888" t="s">
        <v>2062</v>
      </c>
      <c r="B1612" s="888" t="s">
        <v>1954</v>
      </c>
      <c r="C1612" s="888" t="s">
        <v>2480</v>
      </c>
      <c r="D1612" s="888"/>
      <c r="E1612" s="893" t="s">
        <v>4126</v>
      </c>
      <c r="I1612" s="888"/>
      <c r="J1612" s="888"/>
      <c r="K1612" s="888"/>
      <c r="L1612" s="888"/>
      <c r="M1612" s="888"/>
      <c r="N1612" s="888"/>
      <c r="O1612" s="888"/>
      <c r="P1612" s="888"/>
      <c r="Q1612" s="888"/>
      <c r="R1612" s="888"/>
    </row>
    <row r="1613" spans="1:18" s="893" customFormat="1" x14ac:dyDescent="0.3">
      <c r="A1613" s="888" t="s">
        <v>2062</v>
      </c>
      <c r="B1613" s="888" t="s">
        <v>1954</v>
      </c>
      <c r="C1613" s="888" t="s">
        <v>2097</v>
      </c>
      <c r="D1613" s="888"/>
      <c r="E1613" s="893" t="s">
        <v>172</v>
      </c>
      <c r="I1613" s="888"/>
      <c r="J1613" s="888"/>
      <c r="K1613" s="888"/>
      <c r="L1613" s="888"/>
      <c r="M1613" s="888"/>
      <c r="N1613" s="888"/>
      <c r="O1613" s="888"/>
      <c r="P1613" s="888"/>
      <c r="Q1613" s="888"/>
      <c r="R1613" s="888"/>
    </row>
    <row r="1614" spans="1:18" s="893" customFormat="1" x14ac:dyDescent="0.3">
      <c r="A1614" s="888" t="s">
        <v>2062</v>
      </c>
      <c r="B1614" s="888" t="s">
        <v>1954</v>
      </c>
      <c r="C1614" s="888" t="s">
        <v>2169</v>
      </c>
      <c r="D1614" s="888"/>
      <c r="E1614" s="893" t="s">
        <v>173</v>
      </c>
      <c r="I1614" s="888"/>
      <c r="J1614" s="888"/>
      <c r="K1614" s="888"/>
      <c r="L1614" s="888"/>
      <c r="M1614" s="888"/>
      <c r="N1614" s="888"/>
      <c r="O1614" s="888"/>
      <c r="P1614" s="888"/>
      <c r="Q1614" s="888"/>
      <c r="R1614" s="888"/>
    </row>
    <row r="1615" spans="1:18" s="893" customFormat="1" x14ac:dyDescent="0.3">
      <c r="A1615" s="888" t="s">
        <v>2062</v>
      </c>
      <c r="B1615" s="888" t="s">
        <v>1954</v>
      </c>
      <c r="C1615" s="888" t="s">
        <v>2481</v>
      </c>
      <c r="D1615" s="888"/>
      <c r="E1615" s="893" t="str">
        <f>$E$1613</f>
        <v>BioBased Tile</v>
      </c>
      <c r="I1615" s="888"/>
      <c r="J1615" s="888"/>
      <c r="K1615" s="888"/>
      <c r="L1615" s="888"/>
      <c r="M1615" s="888"/>
      <c r="N1615" s="888"/>
      <c r="O1615" s="888"/>
      <c r="P1615" s="888"/>
      <c r="Q1615" s="888"/>
      <c r="R1615" s="888"/>
    </row>
    <row r="1616" spans="1:18" s="893" customFormat="1" x14ac:dyDescent="0.3">
      <c r="A1616" s="888" t="s">
        <v>2062</v>
      </c>
      <c r="B1616" s="888" t="s">
        <v>1954</v>
      </c>
      <c r="C1616" s="888" t="s">
        <v>2482</v>
      </c>
      <c r="D1616" s="888"/>
      <c r="E1616" s="893" t="s">
        <v>174</v>
      </c>
      <c r="I1616" s="888"/>
      <c r="J1616" s="888"/>
      <c r="K1616" s="888"/>
      <c r="L1616" s="888"/>
      <c r="M1616" s="888"/>
      <c r="N1616" s="888"/>
      <c r="O1616" s="888"/>
      <c r="P1616" s="888"/>
      <c r="Q1616" s="888"/>
      <c r="R1616" s="888"/>
    </row>
    <row r="1617" spans="1:18" s="893" customFormat="1" x14ac:dyDescent="0.3">
      <c r="A1617" s="888" t="s">
        <v>2062</v>
      </c>
      <c r="B1617" s="888" t="s">
        <v>1954</v>
      </c>
      <c r="C1617" s="888" t="s">
        <v>2100</v>
      </c>
      <c r="D1617" s="888"/>
      <c r="E1617" s="893" t="s">
        <v>180</v>
      </c>
      <c r="I1617" s="888"/>
      <c r="J1617" s="888"/>
      <c r="K1617" s="888"/>
      <c r="L1617" s="888"/>
      <c r="M1617" s="888"/>
      <c r="N1617" s="888"/>
      <c r="O1617" s="888"/>
      <c r="P1617" s="888"/>
      <c r="Q1617" s="888"/>
      <c r="R1617" s="888"/>
    </row>
    <row r="1618" spans="1:18" s="893" customFormat="1" x14ac:dyDescent="0.3">
      <c r="A1618" s="888" t="s">
        <v>2062</v>
      </c>
      <c r="B1618" s="888" t="s">
        <v>1954</v>
      </c>
      <c r="C1618" s="888" t="s">
        <v>2484</v>
      </c>
      <c r="D1618" s="888"/>
      <c r="E1618" s="893" t="s">
        <v>4129</v>
      </c>
      <c r="I1618" s="888"/>
      <c r="J1618" s="888"/>
      <c r="K1618" s="888"/>
      <c r="L1618" s="888"/>
      <c r="M1618" s="888"/>
      <c r="N1618" s="888"/>
      <c r="O1618" s="888"/>
      <c r="P1618" s="888"/>
      <c r="Q1618" s="888"/>
      <c r="R1618" s="888"/>
    </row>
    <row r="1619" spans="1:18" s="893" customFormat="1" x14ac:dyDescent="0.3">
      <c r="A1619" s="888" t="s">
        <v>2062</v>
      </c>
      <c r="B1619" s="888" t="s">
        <v>1954</v>
      </c>
      <c r="C1619" s="888" t="s">
        <v>5070</v>
      </c>
      <c r="D1619" s="888"/>
      <c r="E1619" s="893" t="s">
        <v>4130</v>
      </c>
      <c r="I1619" s="888"/>
      <c r="J1619" s="888"/>
      <c r="K1619" s="888"/>
      <c r="L1619" s="888"/>
      <c r="M1619" s="888"/>
      <c r="N1619" s="888"/>
      <c r="O1619" s="888"/>
      <c r="P1619" s="888"/>
      <c r="Q1619" s="888"/>
      <c r="R1619" s="888"/>
    </row>
    <row r="1620" spans="1:18" s="893" customFormat="1" x14ac:dyDescent="0.3">
      <c r="A1620" s="888" t="s">
        <v>2062</v>
      </c>
      <c r="B1620" s="888" t="s">
        <v>1954</v>
      </c>
      <c r="C1620" s="888" t="s">
        <v>2485</v>
      </c>
      <c r="D1620" s="888"/>
      <c r="E1620" s="893" t="s">
        <v>1017</v>
      </c>
      <c r="I1620" s="888"/>
      <c r="J1620" s="888"/>
      <c r="K1620" s="888"/>
      <c r="L1620" s="888"/>
      <c r="M1620" s="888"/>
      <c r="N1620" s="888"/>
      <c r="O1620" s="888"/>
      <c r="P1620" s="888"/>
      <c r="Q1620" s="888"/>
      <c r="R1620" s="888"/>
    </row>
    <row r="1621" spans="1:18" s="893" customFormat="1" x14ac:dyDescent="0.3">
      <c r="A1621" s="888" t="s">
        <v>2062</v>
      </c>
      <c r="B1621" s="888" t="s">
        <v>1954</v>
      </c>
      <c r="C1621" s="888" t="s">
        <v>2101</v>
      </c>
      <c r="D1621" s="888"/>
      <c r="E1621" s="893" t="str">
        <f>$E$1617</f>
        <v>Brick, Clay</v>
      </c>
      <c r="I1621" s="888"/>
      <c r="J1621" s="888"/>
      <c r="K1621" s="888"/>
      <c r="L1621" s="888"/>
      <c r="M1621" s="888"/>
      <c r="N1621" s="888"/>
      <c r="O1621" s="888"/>
      <c r="P1621" s="888"/>
      <c r="Q1621" s="888"/>
      <c r="R1621" s="888"/>
    </row>
    <row r="1622" spans="1:18" s="893" customFormat="1" x14ac:dyDescent="0.3">
      <c r="A1622" s="888" t="s">
        <v>2062</v>
      </c>
      <c r="B1622" s="888" t="s">
        <v>1954</v>
      </c>
      <c r="C1622" s="888" t="s">
        <v>2486</v>
      </c>
      <c r="D1622" s="888"/>
      <c r="E1622" s="893" t="str">
        <f>$E$1618</f>
        <v>Mutual Materials</v>
      </c>
      <c r="I1622" s="888"/>
      <c r="J1622" s="888"/>
      <c r="K1622" s="888"/>
      <c r="L1622" s="888"/>
      <c r="M1622" s="888"/>
      <c r="N1622" s="888"/>
      <c r="O1622" s="888"/>
      <c r="P1622" s="888"/>
      <c r="Q1622" s="888"/>
      <c r="R1622" s="888"/>
    </row>
    <row r="1623" spans="1:18" s="893" customFormat="1" x14ac:dyDescent="0.3">
      <c r="A1623" s="888" t="s">
        <v>2062</v>
      </c>
      <c r="B1623" s="888" t="s">
        <v>1954</v>
      </c>
      <c r="C1623" s="888" t="s">
        <v>2487</v>
      </c>
      <c r="D1623" s="888"/>
      <c r="E1623" s="893" t="s">
        <v>4132</v>
      </c>
      <c r="I1623" s="888"/>
      <c r="J1623" s="888"/>
      <c r="K1623" s="888"/>
      <c r="L1623" s="888"/>
      <c r="M1623" s="888"/>
      <c r="N1623" s="888"/>
      <c r="O1623" s="888"/>
      <c r="P1623" s="888"/>
      <c r="Q1623" s="888"/>
      <c r="R1623" s="888"/>
    </row>
    <row r="1624" spans="1:18" s="893" customFormat="1" x14ac:dyDescent="0.3">
      <c r="A1624" s="888" t="s">
        <v>2062</v>
      </c>
      <c r="B1624" s="888" t="s">
        <v>1954</v>
      </c>
      <c r="C1624" s="888" t="s">
        <v>2488</v>
      </c>
      <c r="D1624" s="888"/>
      <c r="E1624" s="893" t="s">
        <v>4133</v>
      </c>
      <c r="I1624" s="888"/>
      <c r="J1624" s="888"/>
      <c r="K1624" s="888"/>
      <c r="L1624" s="888"/>
      <c r="M1624" s="888"/>
      <c r="N1624" s="888"/>
      <c r="O1624" s="888"/>
      <c r="P1624" s="888"/>
      <c r="Q1624" s="888"/>
      <c r="R1624" s="888"/>
    </row>
    <row r="1625" spans="1:18" s="893" customFormat="1" x14ac:dyDescent="0.3">
      <c r="A1625" s="888" t="s">
        <v>2062</v>
      </c>
      <c r="B1625" s="888" t="s">
        <v>1954</v>
      </c>
      <c r="C1625" s="888" t="s">
        <v>2102</v>
      </c>
      <c r="D1625" s="888"/>
      <c r="E1625" s="893" t="str">
        <f>$E$1617</f>
        <v>Brick, Clay</v>
      </c>
      <c r="I1625" s="888"/>
      <c r="J1625" s="888"/>
      <c r="K1625" s="888"/>
      <c r="L1625" s="888"/>
      <c r="M1625" s="888"/>
      <c r="N1625" s="888"/>
      <c r="O1625" s="888"/>
      <c r="P1625" s="888"/>
      <c r="Q1625" s="888"/>
      <c r="R1625" s="888"/>
    </row>
    <row r="1626" spans="1:18" s="893" customFormat="1" x14ac:dyDescent="0.3">
      <c r="A1626" s="888" t="s">
        <v>2062</v>
      </c>
      <c r="B1626" s="888" t="s">
        <v>1954</v>
      </c>
      <c r="C1626" s="888" t="s">
        <v>5152</v>
      </c>
      <c r="D1626" s="888"/>
      <c r="E1626" s="893" t="s">
        <v>1001</v>
      </c>
      <c r="I1626" s="888"/>
      <c r="J1626" s="888"/>
      <c r="K1626" s="888"/>
      <c r="L1626" s="888"/>
      <c r="M1626" s="888"/>
      <c r="N1626" s="888"/>
      <c r="O1626" s="888"/>
      <c r="P1626" s="888"/>
      <c r="Q1626" s="888"/>
      <c r="R1626" s="888"/>
    </row>
    <row r="1627" spans="1:18" s="893" customFormat="1" x14ac:dyDescent="0.3">
      <c r="A1627" s="888" t="s">
        <v>2062</v>
      </c>
      <c r="B1627" s="888" t="s">
        <v>1954</v>
      </c>
      <c r="C1627" s="888" t="s">
        <v>2141</v>
      </c>
      <c r="D1627" s="888"/>
      <c r="E1627" s="893" t="s">
        <v>1015</v>
      </c>
      <c r="I1627" s="888"/>
      <c r="J1627" s="888"/>
      <c r="K1627" s="888"/>
      <c r="L1627" s="888"/>
      <c r="M1627" s="888"/>
      <c r="N1627" s="888"/>
      <c r="O1627" s="888"/>
      <c r="P1627" s="888"/>
      <c r="Q1627" s="888"/>
      <c r="R1627" s="888"/>
    </row>
    <row r="1628" spans="1:18" s="893" customFormat="1" x14ac:dyDescent="0.3">
      <c r="A1628" s="888" t="s">
        <v>2062</v>
      </c>
      <c r="B1628" s="888" t="s">
        <v>1954</v>
      </c>
      <c r="C1628" s="888" t="s">
        <v>2489</v>
      </c>
      <c r="D1628" s="888"/>
      <c r="E1628" s="893" t="str">
        <f>$E$1620</f>
        <v>3-5/8" x 2-3/4" x 7-5/8" (92 x 70 x 194 mm) incl. 3/8" mortar</v>
      </c>
      <c r="I1628" s="888"/>
      <c r="J1628" s="888"/>
      <c r="K1628" s="888"/>
      <c r="L1628" s="888"/>
      <c r="M1628" s="888"/>
      <c r="N1628" s="888"/>
      <c r="O1628" s="888"/>
      <c r="P1628" s="888"/>
      <c r="Q1628" s="888"/>
      <c r="R1628" s="888"/>
    </row>
    <row r="1629" spans="1:18" s="893" customFormat="1" x14ac:dyDescent="0.3">
      <c r="A1629" s="888" t="s">
        <v>2062</v>
      </c>
      <c r="B1629" s="888" t="s">
        <v>1954</v>
      </c>
      <c r="C1629" s="888" t="s">
        <v>2103</v>
      </c>
      <c r="D1629" s="888"/>
      <c r="E1629" s="893" t="str">
        <f>$E$1617</f>
        <v>Brick, Clay</v>
      </c>
      <c r="I1629" s="888"/>
      <c r="J1629" s="888"/>
      <c r="K1629" s="888"/>
      <c r="L1629" s="888"/>
      <c r="M1629" s="888"/>
      <c r="N1629" s="888"/>
      <c r="O1629" s="888"/>
      <c r="P1629" s="888"/>
      <c r="Q1629" s="888"/>
      <c r="R1629" s="888"/>
    </row>
    <row r="1630" spans="1:18" s="893" customFormat="1" x14ac:dyDescent="0.3">
      <c r="A1630" s="888" t="s">
        <v>2062</v>
      </c>
      <c r="B1630" s="888" t="s">
        <v>1954</v>
      </c>
      <c r="C1630" s="888" t="s">
        <v>5153</v>
      </c>
      <c r="D1630" s="888"/>
      <c r="E1630" s="893" t="str">
        <f>$E$1626</f>
        <v>Interstate</v>
      </c>
      <c r="I1630" s="888"/>
      <c r="J1630" s="888"/>
      <c r="K1630" s="888"/>
      <c r="L1630" s="888"/>
      <c r="M1630" s="888"/>
      <c r="N1630" s="888"/>
      <c r="O1630" s="888"/>
      <c r="P1630" s="888"/>
      <c r="Q1630" s="888"/>
      <c r="R1630" s="888"/>
    </row>
    <row r="1631" spans="1:18" s="893" customFormat="1" x14ac:dyDescent="0.3">
      <c r="A1631" s="888" t="s">
        <v>2062</v>
      </c>
      <c r="B1631" s="888" t="s">
        <v>1954</v>
      </c>
      <c r="C1631" s="888" t="s">
        <v>2490</v>
      </c>
      <c r="D1631" s="888"/>
      <c r="E1631" s="893" t="s">
        <v>1016</v>
      </c>
      <c r="I1631" s="888"/>
      <c r="J1631" s="888"/>
      <c r="K1631" s="888"/>
      <c r="L1631" s="888"/>
      <c r="M1631" s="888"/>
      <c r="N1631" s="888"/>
      <c r="O1631" s="888"/>
      <c r="P1631" s="888"/>
      <c r="Q1631" s="888"/>
      <c r="R1631" s="888"/>
    </row>
    <row r="1632" spans="1:18" s="893" customFormat="1" x14ac:dyDescent="0.3">
      <c r="A1632" s="888" t="s">
        <v>2062</v>
      </c>
      <c r="B1632" s="888" t="s">
        <v>1954</v>
      </c>
      <c r="C1632" s="888" t="s">
        <v>2491</v>
      </c>
      <c r="D1632" s="888"/>
      <c r="E1632" s="893" t="s">
        <v>1018</v>
      </c>
      <c r="I1632" s="888"/>
      <c r="J1632" s="888"/>
      <c r="K1632" s="888"/>
      <c r="L1632" s="888"/>
      <c r="M1632" s="888"/>
      <c r="N1632" s="888"/>
      <c r="O1632" s="888"/>
      <c r="P1632" s="888"/>
      <c r="Q1632" s="888"/>
      <c r="R1632" s="888"/>
    </row>
    <row r="1633" spans="1:18" s="893" customFormat="1" x14ac:dyDescent="0.3">
      <c r="A1633" s="888" t="s">
        <v>2062</v>
      </c>
      <c r="B1633" s="888" t="s">
        <v>1954</v>
      </c>
      <c r="C1633" s="888" t="s">
        <v>2279</v>
      </c>
      <c r="D1633" s="888"/>
      <c r="E1633" s="893" t="s">
        <v>1009</v>
      </c>
      <c r="I1633" s="888"/>
      <c r="J1633" s="888"/>
      <c r="K1633" s="888"/>
      <c r="L1633" s="888"/>
      <c r="M1633" s="888"/>
      <c r="N1633" s="888"/>
      <c r="O1633" s="888"/>
      <c r="P1633" s="888"/>
      <c r="Q1633" s="888"/>
      <c r="R1633" s="888"/>
    </row>
    <row r="1634" spans="1:18" s="893" customFormat="1" x14ac:dyDescent="0.3">
      <c r="A1634" s="888" t="s">
        <v>2062</v>
      </c>
      <c r="B1634" s="888" t="s">
        <v>1954</v>
      </c>
      <c r="C1634" s="888" t="s">
        <v>2492</v>
      </c>
      <c r="D1634" s="888"/>
      <c r="E1634" s="893" t="s">
        <v>1003</v>
      </c>
      <c r="I1634" s="888"/>
      <c r="J1634" s="888"/>
      <c r="K1634" s="888"/>
      <c r="L1634" s="888"/>
      <c r="M1634" s="888"/>
      <c r="N1634" s="888"/>
      <c r="O1634" s="888"/>
      <c r="P1634" s="888"/>
      <c r="Q1634" s="888"/>
      <c r="R1634" s="888"/>
    </row>
    <row r="1635" spans="1:18" s="893" customFormat="1" x14ac:dyDescent="0.3">
      <c r="A1635" s="888" t="s">
        <v>2062</v>
      </c>
      <c r="B1635" s="888" t="s">
        <v>1954</v>
      </c>
      <c r="C1635" s="888" t="s">
        <v>2493</v>
      </c>
      <c r="D1635" s="888"/>
      <c r="E1635" s="893" t="s">
        <v>1020</v>
      </c>
      <c r="I1635" s="888"/>
      <c r="J1635" s="888"/>
      <c r="K1635" s="888"/>
      <c r="L1635" s="888"/>
      <c r="M1635" s="888"/>
      <c r="N1635" s="888"/>
      <c r="O1635" s="888"/>
      <c r="P1635" s="888"/>
      <c r="Q1635" s="888"/>
      <c r="R1635" s="888"/>
    </row>
    <row r="1636" spans="1:18" s="893" customFormat="1" x14ac:dyDescent="0.3">
      <c r="A1636" s="888" t="s">
        <v>2062</v>
      </c>
      <c r="B1636" s="888" t="s">
        <v>1954</v>
      </c>
      <c r="C1636" s="888" t="s">
        <v>2494</v>
      </c>
      <c r="D1636" s="888"/>
      <c r="E1636" s="893" t="s">
        <v>1021</v>
      </c>
      <c r="I1636" s="888"/>
      <c r="J1636" s="888"/>
      <c r="K1636" s="888"/>
      <c r="L1636" s="888"/>
      <c r="M1636" s="888"/>
      <c r="N1636" s="888"/>
      <c r="O1636" s="888"/>
      <c r="P1636" s="888"/>
      <c r="Q1636" s="888"/>
      <c r="R1636" s="888"/>
    </row>
    <row r="1637" spans="1:18" s="893" customFormat="1" x14ac:dyDescent="0.3">
      <c r="A1637" s="888" t="s">
        <v>2062</v>
      </c>
      <c r="B1637" s="888" t="s">
        <v>1954</v>
      </c>
      <c r="C1637" s="888" t="s">
        <v>2105</v>
      </c>
      <c r="D1637" s="888"/>
      <c r="E1637" s="893" t="str">
        <f>$E$1617</f>
        <v>Brick, Clay</v>
      </c>
      <c r="I1637" s="888"/>
      <c r="J1637" s="888"/>
      <c r="K1637" s="888"/>
      <c r="L1637" s="888"/>
      <c r="M1637" s="888"/>
      <c r="N1637" s="888"/>
      <c r="O1637" s="888"/>
      <c r="P1637" s="888"/>
      <c r="Q1637" s="888"/>
      <c r="R1637" s="888"/>
    </row>
    <row r="1638" spans="1:18" s="893" customFormat="1" x14ac:dyDescent="0.3">
      <c r="A1638" s="888" t="s">
        <v>2062</v>
      </c>
      <c r="B1638" s="888" t="s">
        <v>1954</v>
      </c>
      <c r="C1638" s="888" t="s">
        <v>2280</v>
      </c>
      <c r="D1638" s="888"/>
      <c r="E1638" s="893" t="str">
        <f>$E$1634</f>
        <v>Brick Industry Association</v>
      </c>
      <c r="I1638" s="888"/>
      <c r="J1638" s="888"/>
      <c r="K1638" s="888"/>
      <c r="L1638" s="888"/>
      <c r="M1638" s="888"/>
      <c r="N1638" s="888"/>
      <c r="O1638" s="888"/>
      <c r="P1638" s="888"/>
      <c r="Q1638" s="888"/>
      <c r="R1638" s="888"/>
    </row>
    <row r="1639" spans="1:18" s="893" customFormat="1" x14ac:dyDescent="0.3">
      <c r="A1639" s="888" t="s">
        <v>2062</v>
      </c>
      <c r="B1639" s="888" t="s">
        <v>1954</v>
      </c>
      <c r="C1639" s="888" t="s">
        <v>2210</v>
      </c>
      <c r="D1639" s="888"/>
      <c r="E1639" s="893" t="s">
        <v>1004</v>
      </c>
      <c r="I1639" s="888"/>
      <c r="J1639" s="888"/>
      <c r="K1639" s="888"/>
      <c r="L1639" s="888"/>
      <c r="M1639" s="888"/>
      <c r="N1639" s="888"/>
      <c r="O1639" s="888"/>
      <c r="P1639" s="888"/>
      <c r="Q1639" s="888"/>
      <c r="R1639" s="888"/>
    </row>
    <row r="1640" spans="1:18" s="893" customFormat="1" x14ac:dyDescent="0.3">
      <c r="A1640" s="888" t="s">
        <v>2062</v>
      </c>
      <c r="B1640" s="888" t="s">
        <v>1954</v>
      </c>
      <c r="C1640" s="888" t="s">
        <v>2106</v>
      </c>
      <c r="D1640" s="888"/>
      <c r="E1640" s="893" t="s">
        <v>184</v>
      </c>
      <c r="I1640" s="888"/>
      <c r="J1640" s="888"/>
      <c r="K1640" s="888"/>
      <c r="L1640" s="888"/>
      <c r="M1640" s="888"/>
      <c r="N1640" s="888"/>
      <c r="O1640" s="888"/>
      <c r="P1640" s="888"/>
      <c r="Q1640" s="888"/>
      <c r="R1640" s="888"/>
    </row>
    <row r="1641" spans="1:18" s="893" customFormat="1" x14ac:dyDescent="0.3">
      <c r="A1641" s="888" t="s">
        <v>2062</v>
      </c>
      <c r="B1641" s="888" t="s">
        <v>1954</v>
      </c>
      <c r="C1641" s="888" t="s">
        <v>2495</v>
      </c>
      <c r="D1641" s="888"/>
      <c r="E1641" s="893" t="s">
        <v>188</v>
      </c>
      <c r="I1641" s="888"/>
      <c r="J1641" s="888"/>
      <c r="K1641" s="888"/>
      <c r="L1641" s="888"/>
      <c r="M1641" s="888"/>
      <c r="N1641" s="888"/>
      <c r="O1641" s="888"/>
      <c r="P1641" s="888"/>
      <c r="Q1641" s="888"/>
      <c r="R1641" s="888"/>
    </row>
    <row r="1642" spans="1:18" s="893" customFormat="1" x14ac:dyDescent="0.3">
      <c r="A1642" s="888" t="s">
        <v>2062</v>
      </c>
      <c r="B1642" s="888" t="s">
        <v>1954</v>
      </c>
      <c r="C1642" s="888" t="s">
        <v>2107</v>
      </c>
      <c r="D1642" s="888"/>
      <c r="E1642" s="893" t="str">
        <f>$E$1640</f>
        <v>Carpet</v>
      </c>
      <c r="I1642" s="888"/>
      <c r="J1642" s="888"/>
      <c r="K1642" s="888"/>
      <c r="L1642" s="888"/>
      <c r="M1642" s="888"/>
      <c r="N1642" s="888"/>
      <c r="O1642" s="888"/>
      <c r="P1642" s="888"/>
      <c r="Q1642" s="888"/>
      <c r="R1642" s="888"/>
    </row>
    <row r="1643" spans="1:18" s="893" customFormat="1" x14ac:dyDescent="0.3">
      <c r="A1643" s="888" t="s">
        <v>2062</v>
      </c>
      <c r="B1643" s="888" t="s">
        <v>1954</v>
      </c>
      <c r="C1643" s="888" t="s">
        <v>5154</v>
      </c>
      <c r="D1643" s="888"/>
      <c r="E1643" s="893" t="s">
        <v>185</v>
      </c>
      <c r="I1643" s="888"/>
      <c r="J1643" s="888"/>
      <c r="K1643" s="888"/>
      <c r="L1643" s="888"/>
      <c r="M1643" s="888"/>
      <c r="N1643" s="888"/>
      <c r="O1643" s="888"/>
      <c r="P1643" s="888"/>
      <c r="Q1643" s="888"/>
      <c r="R1643" s="888"/>
    </row>
    <row r="1644" spans="1:18" s="893" customFormat="1" x14ac:dyDescent="0.3">
      <c r="A1644" s="888" t="s">
        <v>2062</v>
      </c>
      <c r="B1644" s="888" t="s">
        <v>1954</v>
      </c>
      <c r="C1644" s="888" t="s">
        <v>2496</v>
      </c>
      <c r="D1644" s="888"/>
      <c r="E1644" s="893" t="s">
        <v>186</v>
      </c>
      <c r="I1644" s="888"/>
      <c r="J1644" s="888"/>
      <c r="K1644" s="888"/>
      <c r="L1644" s="888"/>
      <c r="M1644" s="888"/>
      <c r="N1644" s="888"/>
      <c r="O1644" s="888"/>
      <c r="P1644" s="888"/>
      <c r="Q1644" s="888"/>
      <c r="R1644" s="888"/>
    </row>
    <row r="1645" spans="1:18" s="893" customFormat="1" x14ac:dyDescent="0.3">
      <c r="A1645" s="888" t="s">
        <v>2062</v>
      </c>
      <c r="B1645" s="888" t="s">
        <v>1954</v>
      </c>
      <c r="C1645" s="888" t="s">
        <v>2108</v>
      </c>
      <c r="D1645" s="888"/>
      <c r="E1645" s="893" t="str">
        <f>$E$1640</f>
        <v>Carpet</v>
      </c>
      <c r="I1645" s="888"/>
      <c r="J1645" s="888"/>
      <c r="K1645" s="888"/>
      <c r="L1645" s="888"/>
      <c r="M1645" s="888"/>
      <c r="N1645" s="888"/>
      <c r="O1645" s="888"/>
      <c r="P1645" s="888"/>
      <c r="Q1645" s="888"/>
      <c r="R1645" s="888"/>
    </row>
    <row r="1646" spans="1:18" s="893" customFormat="1" x14ac:dyDescent="0.3">
      <c r="A1646" s="888" t="s">
        <v>2062</v>
      </c>
      <c r="B1646" s="888" t="s">
        <v>1954</v>
      </c>
      <c r="C1646" s="888" t="s">
        <v>2497</v>
      </c>
      <c r="D1646" s="888"/>
      <c r="E1646" s="893" t="s">
        <v>189</v>
      </c>
      <c r="I1646" s="888"/>
      <c r="J1646" s="888"/>
      <c r="K1646" s="888"/>
      <c r="L1646" s="888"/>
      <c r="M1646" s="888"/>
      <c r="N1646" s="888"/>
      <c r="O1646" s="888"/>
      <c r="P1646" s="888"/>
      <c r="Q1646" s="888"/>
      <c r="R1646" s="888"/>
    </row>
    <row r="1647" spans="1:18" s="893" customFormat="1" x14ac:dyDescent="0.3">
      <c r="A1647" s="888" t="s">
        <v>2062</v>
      </c>
      <c r="B1647" s="888" t="s">
        <v>1954</v>
      </c>
      <c r="C1647" s="888" t="s">
        <v>2109</v>
      </c>
      <c r="D1647" s="888"/>
      <c r="E1647" s="893" t="s">
        <v>190</v>
      </c>
      <c r="I1647" s="888"/>
      <c r="J1647" s="888"/>
      <c r="K1647" s="888"/>
      <c r="L1647" s="888"/>
      <c r="M1647" s="888"/>
      <c r="N1647" s="888"/>
      <c r="O1647" s="888"/>
      <c r="P1647" s="888"/>
      <c r="Q1647" s="888"/>
      <c r="R1647" s="888"/>
    </row>
    <row r="1648" spans="1:18" s="893" customFormat="1" x14ac:dyDescent="0.3">
      <c r="A1648" s="888" t="s">
        <v>2062</v>
      </c>
      <c r="B1648" s="888" t="s">
        <v>1954</v>
      </c>
      <c r="C1648" s="888" t="s">
        <v>2110</v>
      </c>
      <c r="D1648" s="888"/>
      <c r="E1648" s="893" t="str">
        <f>$E$1640</f>
        <v>Carpet</v>
      </c>
      <c r="I1648" s="888"/>
      <c r="J1648" s="888"/>
      <c r="K1648" s="888"/>
      <c r="L1648" s="888"/>
      <c r="M1648" s="888"/>
      <c r="N1648" s="888"/>
      <c r="O1648" s="888"/>
      <c r="P1648" s="888"/>
      <c r="Q1648" s="888"/>
      <c r="R1648" s="888"/>
    </row>
    <row r="1649" spans="1:18" s="893" customFormat="1" x14ac:dyDescent="0.3">
      <c r="A1649" s="888" t="s">
        <v>2062</v>
      </c>
      <c r="B1649" s="888" t="s">
        <v>1954</v>
      </c>
      <c r="C1649" s="888" t="s">
        <v>2282</v>
      </c>
      <c r="D1649" s="888"/>
      <c r="E1649" s="893" t="s">
        <v>191</v>
      </c>
      <c r="I1649" s="888"/>
      <c r="J1649" s="888"/>
      <c r="K1649" s="888"/>
      <c r="L1649" s="888"/>
      <c r="M1649" s="888"/>
      <c r="N1649" s="888"/>
      <c r="O1649" s="888"/>
      <c r="P1649" s="888"/>
      <c r="Q1649" s="888"/>
      <c r="R1649" s="888"/>
    </row>
    <row r="1650" spans="1:18" s="893" customFormat="1" x14ac:dyDescent="0.3">
      <c r="A1650" s="888" t="s">
        <v>2062</v>
      </c>
      <c r="B1650" s="888" t="s">
        <v>1954</v>
      </c>
      <c r="C1650" s="888" t="s">
        <v>5118</v>
      </c>
      <c r="D1650" s="888"/>
      <c r="E1650" s="893" t="s">
        <v>192</v>
      </c>
      <c r="I1650" s="888"/>
      <c r="J1650" s="888"/>
      <c r="K1650" s="888"/>
      <c r="L1650" s="888"/>
      <c r="M1650" s="888"/>
      <c r="N1650" s="888"/>
      <c r="O1650" s="888"/>
      <c r="P1650" s="888"/>
      <c r="Q1650" s="888"/>
      <c r="R1650" s="888"/>
    </row>
    <row r="1651" spans="1:18" s="893" customFormat="1" x14ac:dyDescent="0.3">
      <c r="A1651" s="888" t="s">
        <v>2062</v>
      </c>
      <c r="B1651" s="888" t="s">
        <v>1954</v>
      </c>
      <c r="C1651" s="888" t="s">
        <v>2498</v>
      </c>
      <c r="D1651" s="888"/>
      <c r="E1651" s="893" t="s">
        <v>193</v>
      </c>
      <c r="I1651" s="888"/>
      <c r="J1651" s="888"/>
      <c r="K1651" s="888"/>
      <c r="L1651" s="888"/>
      <c r="M1651" s="888"/>
      <c r="N1651" s="888"/>
      <c r="O1651" s="888"/>
      <c r="P1651" s="888"/>
      <c r="Q1651" s="888"/>
      <c r="R1651" s="888"/>
    </row>
    <row r="1652" spans="1:18" s="893" customFormat="1" x14ac:dyDescent="0.3">
      <c r="A1652" s="888" t="s">
        <v>2062</v>
      </c>
      <c r="B1652" s="888" t="s">
        <v>1954</v>
      </c>
      <c r="C1652" s="888" t="s">
        <v>2111</v>
      </c>
      <c r="D1652" s="888"/>
      <c r="E1652" s="893" t="s">
        <v>791</v>
      </c>
      <c r="I1652" s="888"/>
      <c r="J1652" s="888"/>
      <c r="K1652" s="888"/>
      <c r="L1652" s="888"/>
      <c r="M1652" s="888"/>
      <c r="N1652" s="888"/>
      <c r="O1652" s="888"/>
      <c r="P1652" s="888"/>
      <c r="Q1652" s="888"/>
      <c r="R1652" s="888"/>
    </row>
    <row r="1653" spans="1:18" s="893" customFormat="1" x14ac:dyDescent="0.3">
      <c r="A1653" s="888" t="s">
        <v>2062</v>
      </c>
      <c r="B1653" s="888" t="s">
        <v>1954</v>
      </c>
      <c r="C1653" s="888" t="s">
        <v>2500</v>
      </c>
      <c r="D1653" s="888"/>
      <c r="E1653" s="893" t="s">
        <v>194</v>
      </c>
      <c r="I1653" s="888"/>
      <c r="J1653" s="888"/>
      <c r="K1653" s="888"/>
      <c r="L1653" s="888"/>
      <c r="M1653" s="888"/>
      <c r="N1653" s="888"/>
      <c r="O1653" s="888"/>
      <c r="P1653" s="888"/>
      <c r="Q1653" s="888"/>
      <c r="R1653" s="888"/>
    </row>
    <row r="1654" spans="1:18" s="893" customFormat="1" x14ac:dyDescent="0.3">
      <c r="A1654" s="888" t="s">
        <v>2062</v>
      </c>
      <c r="B1654" s="888" t="s">
        <v>1954</v>
      </c>
      <c r="C1654" s="888" t="s">
        <v>2501</v>
      </c>
      <c r="D1654" s="888"/>
      <c r="E1654" s="893" t="s">
        <v>199</v>
      </c>
      <c r="I1654" s="888"/>
      <c r="J1654" s="888"/>
      <c r="K1654" s="888"/>
      <c r="L1654" s="888"/>
      <c r="M1654" s="888"/>
      <c r="N1654" s="888"/>
      <c r="O1654" s="888"/>
      <c r="P1654" s="888"/>
      <c r="Q1654" s="888"/>
      <c r="R1654" s="888"/>
    </row>
    <row r="1655" spans="1:18" s="893" customFormat="1" x14ac:dyDescent="0.3">
      <c r="A1655" s="888" t="s">
        <v>2062</v>
      </c>
      <c r="B1655" s="888" t="s">
        <v>1954</v>
      </c>
      <c r="C1655" s="888" t="s">
        <v>2170</v>
      </c>
      <c r="D1655" s="888"/>
      <c r="E1655" s="893" t="s">
        <v>200</v>
      </c>
      <c r="I1655" s="888"/>
      <c r="J1655" s="888"/>
      <c r="K1655" s="888"/>
      <c r="L1655" s="888"/>
      <c r="M1655" s="888"/>
      <c r="N1655" s="888"/>
      <c r="O1655" s="888"/>
      <c r="P1655" s="888"/>
      <c r="Q1655" s="888"/>
      <c r="R1655" s="888"/>
    </row>
    <row r="1656" spans="1:18" s="893" customFormat="1" x14ac:dyDescent="0.3">
      <c r="A1656" s="888" t="s">
        <v>2062</v>
      </c>
      <c r="B1656" s="888" t="s">
        <v>1954</v>
      </c>
      <c r="C1656" s="888" t="s">
        <v>5155</v>
      </c>
      <c r="D1656" s="888"/>
      <c r="E1656" s="893" t="s">
        <v>934</v>
      </c>
      <c r="I1656" s="888"/>
      <c r="J1656" s="888"/>
      <c r="K1656" s="888"/>
      <c r="L1656" s="888"/>
      <c r="M1656" s="888"/>
      <c r="N1656" s="888"/>
      <c r="O1656" s="888"/>
      <c r="P1656" s="888"/>
      <c r="Q1656" s="888"/>
      <c r="R1656" s="888"/>
    </row>
    <row r="1657" spans="1:18" s="893" customFormat="1" x14ac:dyDescent="0.3">
      <c r="A1657" s="888" t="s">
        <v>2062</v>
      </c>
      <c r="B1657" s="888" t="s">
        <v>1954</v>
      </c>
      <c r="C1657" s="888" t="s">
        <v>2112</v>
      </c>
      <c r="D1657" s="888"/>
      <c r="E1657" s="893" t="s">
        <v>201</v>
      </c>
      <c r="I1657" s="888"/>
      <c r="J1657" s="888"/>
      <c r="K1657" s="888"/>
      <c r="L1657" s="888"/>
      <c r="M1657" s="888"/>
      <c r="N1657" s="888"/>
      <c r="O1657" s="888"/>
      <c r="P1657" s="888"/>
      <c r="Q1657" s="888"/>
      <c r="R1657" s="888"/>
    </row>
    <row r="1658" spans="1:18" s="893" customFormat="1" x14ac:dyDescent="0.3">
      <c r="A1658" s="888" t="s">
        <v>2062</v>
      </c>
      <c r="B1658" s="888" t="s">
        <v>1954</v>
      </c>
      <c r="C1658" s="888" t="s">
        <v>2502</v>
      </c>
      <c r="D1658" s="888"/>
      <c r="E1658" s="893" t="s">
        <v>202</v>
      </c>
      <c r="I1658" s="888"/>
      <c r="J1658" s="888"/>
      <c r="K1658" s="888"/>
      <c r="L1658" s="888"/>
      <c r="M1658" s="888"/>
      <c r="N1658" s="888"/>
      <c r="O1658" s="888"/>
      <c r="P1658" s="888"/>
      <c r="Q1658" s="888"/>
      <c r="R1658" s="888"/>
    </row>
    <row r="1659" spans="1:18" s="893" customFormat="1" x14ac:dyDescent="0.3">
      <c r="A1659" s="888" t="s">
        <v>2062</v>
      </c>
      <c r="B1659" s="888" t="s">
        <v>1954</v>
      </c>
      <c r="C1659" s="888" t="s">
        <v>2503</v>
      </c>
      <c r="D1659" s="888"/>
      <c r="E1659" s="893" t="s">
        <v>203</v>
      </c>
      <c r="I1659" s="888"/>
      <c r="J1659" s="888"/>
      <c r="K1659" s="888"/>
      <c r="L1659" s="888"/>
      <c r="M1659" s="888"/>
      <c r="N1659" s="888"/>
      <c r="O1659" s="888"/>
      <c r="P1659" s="888"/>
      <c r="Q1659" s="888"/>
      <c r="R1659" s="888"/>
    </row>
    <row r="1660" spans="1:18" s="893" customFormat="1" x14ac:dyDescent="0.3">
      <c r="A1660" s="888" t="s">
        <v>2062</v>
      </c>
      <c r="B1660" s="888" t="s">
        <v>1954</v>
      </c>
      <c r="C1660" s="888" t="s">
        <v>2504</v>
      </c>
      <c r="D1660" s="888"/>
      <c r="E1660" s="893" t="s">
        <v>204</v>
      </c>
      <c r="I1660" s="888"/>
      <c r="J1660" s="888"/>
      <c r="K1660" s="888"/>
      <c r="L1660" s="888"/>
      <c r="M1660" s="888"/>
      <c r="N1660" s="888"/>
      <c r="O1660" s="888"/>
      <c r="P1660" s="888"/>
      <c r="Q1660" s="888"/>
      <c r="R1660" s="888"/>
    </row>
    <row r="1661" spans="1:18" s="893" customFormat="1" x14ac:dyDescent="0.3">
      <c r="A1661" s="888" t="s">
        <v>2062</v>
      </c>
      <c r="B1661" s="888" t="s">
        <v>1954</v>
      </c>
      <c r="C1661" s="888" t="s">
        <v>2113</v>
      </c>
      <c r="D1661" s="888"/>
      <c r="E1661" s="893" t="s">
        <v>208</v>
      </c>
      <c r="I1661" s="888"/>
      <c r="J1661" s="888"/>
      <c r="K1661" s="888"/>
      <c r="L1661" s="888"/>
      <c r="M1661" s="888"/>
      <c r="N1661" s="888"/>
      <c r="O1661" s="888"/>
      <c r="P1661" s="888"/>
      <c r="Q1661" s="888"/>
      <c r="R1661" s="888"/>
    </row>
    <row r="1662" spans="1:18" s="893" customFormat="1" x14ac:dyDescent="0.3">
      <c r="A1662" s="888" t="s">
        <v>2062</v>
      </c>
      <c r="B1662" s="888" t="s">
        <v>1954</v>
      </c>
      <c r="C1662" s="888" t="s">
        <v>2316</v>
      </c>
      <c r="D1662" s="888"/>
      <c r="E1662" s="893" t="s">
        <v>209</v>
      </c>
      <c r="I1662" s="888"/>
      <c r="J1662" s="888"/>
      <c r="K1662" s="888"/>
      <c r="L1662" s="888"/>
      <c r="M1662" s="888"/>
      <c r="N1662" s="888"/>
      <c r="O1662" s="888"/>
      <c r="P1662" s="888"/>
      <c r="Q1662" s="888"/>
      <c r="R1662" s="888"/>
    </row>
    <row r="1663" spans="1:18" s="893" customFormat="1" x14ac:dyDescent="0.3">
      <c r="A1663" s="888" t="s">
        <v>2062</v>
      </c>
      <c r="B1663" s="888" t="s">
        <v>1954</v>
      </c>
      <c r="C1663" s="888" t="s">
        <v>2505</v>
      </c>
      <c r="D1663" s="888"/>
      <c r="E1663" s="893" t="s">
        <v>210</v>
      </c>
      <c r="I1663" s="888"/>
      <c r="J1663" s="888"/>
      <c r="K1663" s="888"/>
      <c r="L1663" s="888"/>
      <c r="M1663" s="888"/>
      <c r="N1663" s="888"/>
      <c r="O1663" s="888"/>
      <c r="P1663" s="888"/>
      <c r="Q1663" s="888"/>
      <c r="R1663" s="888"/>
    </row>
    <row r="1664" spans="1:18" s="893" customFormat="1" x14ac:dyDescent="0.3">
      <c r="A1664" s="888" t="s">
        <v>2062</v>
      </c>
      <c r="B1664" s="888" t="s">
        <v>1954</v>
      </c>
      <c r="C1664" s="888" t="s">
        <v>2114</v>
      </c>
      <c r="D1664" s="888"/>
      <c r="E1664" s="893" t="s">
        <v>212</v>
      </c>
      <c r="I1664" s="888"/>
      <c r="J1664" s="888"/>
      <c r="K1664" s="888"/>
      <c r="L1664" s="888"/>
      <c r="M1664" s="888"/>
      <c r="N1664" s="888"/>
      <c r="O1664" s="888"/>
      <c r="P1664" s="888"/>
      <c r="Q1664" s="888"/>
      <c r="R1664" s="888"/>
    </row>
    <row r="1665" spans="1:18" s="893" customFormat="1" x14ac:dyDescent="0.3">
      <c r="A1665" s="888" t="s">
        <v>2062</v>
      </c>
      <c r="B1665" s="888" t="s">
        <v>1954</v>
      </c>
      <c r="C1665" s="888" t="s">
        <v>2506</v>
      </c>
      <c r="D1665" s="888"/>
      <c r="E1665" s="893" t="s">
        <v>213</v>
      </c>
      <c r="I1665" s="888"/>
      <c r="J1665" s="888"/>
      <c r="K1665" s="888"/>
      <c r="L1665" s="888"/>
      <c r="M1665" s="888"/>
      <c r="N1665" s="888"/>
      <c r="O1665" s="888"/>
      <c r="P1665" s="888"/>
      <c r="Q1665" s="888"/>
      <c r="R1665" s="888"/>
    </row>
    <row r="1666" spans="1:18" s="893" customFormat="1" x14ac:dyDescent="0.3">
      <c r="A1666" s="888" t="s">
        <v>2062</v>
      </c>
      <c r="B1666" s="888" t="s">
        <v>1954</v>
      </c>
      <c r="C1666" s="888" t="s">
        <v>2507</v>
      </c>
      <c r="D1666" s="888"/>
      <c r="E1666" s="893" t="str">
        <f>$E$1663</f>
        <v>R 3.7/inch</v>
      </c>
      <c r="I1666" s="888"/>
      <c r="J1666" s="888"/>
      <c r="K1666" s="888"/>
      <c r="L1666" s="888"/>
      <c r="M1666" s="888"/>
      <c r="N1666" s="888"/>
      <c r="O1666" s="888"/>
      <c r="P1666" s="888"/>
      <c r="Q1666" s="888"/>
      <c r="R1666" s="888"/>
    </row>
    <row r="1667" spans="1:18" s="893" customFormat="1" x14ac:dyDescent="0.3">
      <c r="A1667" s="888" t="s">
        <v>2062</v>
      </c>
      <c r="B1667" s="888" t="s">
        <v>1954</v>
      </c>
      <c r="C1667" s="888" t="s">
        <v>2115</v>
      </c>
      <c r="D1667" s="888"/>
      <c r="E1667" s="893" t="s">
        <v>216</v>
      </c>
      <c r="I1667" s="888"/>
      <c r="J1667" s="888"/>
      <c r="K1667" s="888"/>
      <c r="L1667" s="888"/>
      <c r="M1667" s="888"/>
      <c r="N1667" s="888"/>
      <c r="O1667" s="888"/>
      <c r="P1667" s="888"/>
      <c r="Q1667" s="888"/>
      <c r="R1667" s="888"/>
    </row>
    <row r="1668" spans="1:18" s="893" customFormat="1" x14ac:dyDescent="0.3">
      <c r="A1668" s="888" t="s">
        <v>2062</v>
      </c>
      <c r="B1668" s="888" t="s">
        <v>1954</v>
      </c>
      <c r="C1668" s="888" t="s">
        <v>5156</v>
      </c>
      <c r="D1668" s="888"/>
      <c r="E1668" s="893" t="s">
        <v>217</v>
      </c>
      <c r="I1668" s="888"/>
      <c r="J1668" s="888"/>
      <c r="K1668" s="888"/>
      <c r="L1668" s="888"/>
      <c r="M1668" s="888"/>
      <c r="N1668" s="888"/>
      <c r="O1668" s="888"/>
      <c r="P1668" s="888"/>
      <c r="Q1668" s="888"/>
      <c r="R1668" s="888"/>
    </row>
    <row r="1669" spans="1:18" s="893" customFormat="1" x14ac:dyDescent="0.3">
      <c r="A1669" s="888" t="s">
        <v>2062</v>
      </c>
      <c r="B1669" s="888" t="s">
        <v>1954</v>
      </c>
      <c r="C1669" s="888" t="s">
        <v>5157</v>
      </c>
      <c r="D1669" s="888"/>
      <c r="E1669" s="893" t="s">
        <v>218</v>
      </c>
      <c r="I1669" s="888"/>
      <c r="J1669" s="888"/>
      <c r="K1669" s="888"/>
      <c r="L1669" s="888"/>
      <c r="M1669" s="888"/>
      <c r="N1669" s="888"/>
      <c r="O1669" s="888"/>
      <c r="P1669" s="888"/>
      <c r="Q1669" s="888"/>
      <c r="R1669" s="888"/>
    </row>
    <row r="1670" spans="1:18" s="893" customFormat="1" x14ac:dyDescent="0.3">
      <c r="A1670" s="888" t="s">
        <v>2062</v>
      </c>
      <c r="B1670" s="888" t="s">
        <v>1954</v>
      </c>
      <c r="C1670" s="888" t="s">
        <v>5158</v>
      </c>
      <c r="D1670" s="888"/>
      <c r="E1670" s="893" t="s">
        <v>219</v>
      </c>
      <c r="I1670" s="888"/>
      <c r="J1670" s="888"/>
      <c r="K1670" s="888"/>
      <c r="L1670" s="888"/>
      <c r="M1670" s="888"/>
      <c r="N1670" s="888"/>
      <c r="O1670" s="888"/>
      <c r="P1670" s="888"/>
      <c r="Q1670" s="888"/>
      <c r="R1670" s="888"/>
    </row>
    <row r="1671" spans="1:18" s="893" customFormat="1" x14ac:dyDescent="0.3">
      <c r="A1671" s="888" t="s">
        <v>2062</v>
      </c>
      <c r="B1671" s="888" t="s">
        <v>1954</v>
      </c>
      <c r="C1671" s="888" t="s">
        <v>2116</v>
      </c>
      <c r="D1671" s="888"/>
      <c r="E1671" s="893" t="s">
        <v>222</v>
      </c>
      <c r="I1671" s="888"/>
      <c r="J1671" s="888"/>
      <c r="K1671" s="888"/>
      <c r="L1671" s="888"/>
      <c r="M1671" s="888"/>
      <c r="N1671" s="888"/>
      <c r="O1671" s="888"/>
      <c r="P1671" s="888"/>
      <c r="Q1671" s="888"/>
      <c r="R1671" s="888"/>
    </row>
    <row r="1672" spans="1:18" s="893" customFormat="1" x14ac:dyDescent="0.3">
      <c r="A1672" s="888" t="s">
        <v>2062</v>
      </c>
      <c r="B1672" s="888" t="s">
        <v>1954</v>
      </c>
      <c r="C1672" s="888" t="s">
        <v>2171</v>
      </c>
      <c r="D1672" s="888"/>
      <c r="E1672" s="893" t="s">
        <v>223</v>
      </c>
      <c r="I1672" s="888"/>
      <c r="J1672" s="888"/>
      <c r="K1672" s="888"/>
      <c r="L1672" s="888"/>
      <c r="M1672" s="888"/>
      <c r="N1672" s="888"/>
      <c r="O1672" s="888"/>
      <c r="P1672" s="888"/>
      <c r="Q1672" s="888"/>
      <c r="R1672" s="888"/>
    </row>
    <row r="1673" spans="1:18" s="893" customFormat="1" x14ac:dyDescent="0.3">
      <c r="A1673" s="888" t="s">
        <v>2062</v>
      </c>
      <c r="B1673" s="888" t="s">
        <v>1954</v>
      </c>
      <c r="C1673" s="888" t="s">
        <v>2508</v>
      </c>
      <c r="D1673" s="888"/>
      <c r="E1673" s="893" t="s">
        <v>224</v>
      </c>
      <c r="I1673" s="888"/>
      <c r="J1673" s="888"/>
      <c r="K1673" s="888"/>
      <c r="L1673" s="888"/>
      <c r="M1673" s="888"/>
      <c r="N1673" s="888"/>
      <c r="O1673" s="888"/>
      <c r="P1673" s="888"/>
      <c r="Q1673" s="888"/>
      <c r="R1673" s="888"/>
    </row>
    <row r="1674" spans="1:18" s="893" customFormat="1" x14ac:dyDescent="0.3">
      <c r="A1674" s="888" t="s">
        <v>2062</v>
      </c>
      <c r="B1674" s="888" t="s">
        <v>1954</v>
      </c>
      <c r="C1674" s="888" t="s">
        <v>2117</v>
      </c>
      <c r="D1674" s="888"/>
      <c r="E1674" s="893" t="str">
        <f>$E$1671</f>
        <v>Cement board 1/2"</v>
      </c>
      <c r="I1674" s="888"/>
      <c r="J1674" s="888"/>
      <c r="K1674" s="888"/>
      <c r="L1674" s="888"/>
      <c r="M1674" s="888"/>
      <c r="N1674" s="888"/>
      <c r="O1674" s="888"/>
      <c r="P1674" s="888"/>
      <c r="Q1674" s="888"/>
      <c r="R1674" s="888"/>
    </row>
    <row r="1675" spans="1:18" s="893" customFormat="1" x14ac:dyDescent="0.3">
      <c r="A1675" s="888" t="s">
        <v>2062</v>
      </c>
      <c r="B1675" s="888" t="s">
        <v>1954</v>
      </c>
      <c r="C1675" s="888" t="s">
        <v>2509</v>
      </c>
      <c r="D1675" s="888"/>
      <c r="E1675" s="893" t="str">
        <f>$E$1672</f>
        <v>USG</v>
      </c>
      <c r="I1675" s="888"/>
      <c r="J1675" s="888"/>
      <c r="K1675" s="888"/>
      <c r="L1675" s="888"/>
      <c r="M1675" s="888"/>
      <c r="N1675" s="888"/>
      <c r="O1675" s="888"/>
      <c r="P1675" s="888"/>
      <c r="Q1675" s="888"/>
      <c r="R1675" s="888"/>
    </row>
    <row r="1676" spans="1:18" s="893" customFormat="1" x14ac:dyDescent="0.3">
      <c r="A1676" s="888" t="s">
        <v>2062</v>
      </c>
      <c r="B1676" s="888" t="s">
        <v>1954</v>
      </c>
      <c r="C1676" s="888" t="s">
        <v>2319</v>
      </c>
      <c r="D1676" s="888"/>
      <c r="E1676" s="893" t="s">
        <v>225</v>
      </c>
      <c r="I1676" s="888"/>
      <c r="J1676" s="888"/>
      <c r="K1676" s="888"/>
      <c r="L1676" s="888"/>
      <c r="M1676" s="888"/>
      <c r="N1676" s="888"/>
      <c r="O1676" s="888"/>
      <c r="P1676" s="888"/>
      <c r="Q1676" s="888"/>
      <c r="R1676" s="888"/>
    </row>
    <row r="1677" spans="1:18" s="893" customFormat="1" x14ac:dyDescent="0.3">
      <c r="A1677" s="888" t="s">
        <v>2062</v>
      </c>
      <c r="B1677" s="888" t="s">
        <v>1954</v>
      </c>
      <c r="C1677" s="888" t="s">
        <v>2145</v>
      </c>
      <c r="D1677" s="888"/>
      <c r="E1677" s="893" t="s">
        <v>994</v>
      </c>
      <c r="I1677" s="888"/>
      <c r="J1677" s="888"/>
      <c r="K1677" s="888"/>
      <c r="L1677" s="888"/>
      <c r="M1677" s="888"/>
      <c r="N1677" s="888"/>
      <c r="O1677" s="888"/>
      <c r="P1677" s="888"/>
      <c r="Q1677" s="888"/>
      <c r="R1677" s="888"/>
    </row>
    <row r="1678" spans="1:18" s="893" customFormat="1" x14ac:dyDescent="0.3">
      <c r="A1678" s="888" t="s">
        <v>2062</v>
      </c>
      <c r="B1678" s="888" t="s">
        <v>1954</v>
      </c>
      <c r="C1678" s="888" t="s">
        <v>2510</v>
      </c>
      <c r="D1678" s="888"/>
      <c r="E1678" s="893" t="s">
        <v>227</v>
      </c>
      <c r="I1678" s="888"/>
      <c r="J1678" s="888"/>
      <c r="K1678" s="888"/>
      <c r="L1678" s="888"/>
      <c r="M1678" s="888"/>
      <c r="N1678" s="888"/>
      <c r="O1678" s="888"/>
      <c r="P1678" s="888"/>
      <c r="Q1678" s="888"/>
      <c r="R1678" s="888"/>
    </row>
    <row r="1679" spans="1:18" s="893" customFormat="1" x14ac:dyDescent="0.3">
      <c r="A1679" s="888" t="s">
        <v>2062</v>
      </c>
      <c r="B1679" s="888" t="s">
        <v>1954</v>
      </c>
      <c r="C1679" s="888" t="s">
        <v>2511</v>
      </c>
      <c r="D1679" s="888"/>
      <c r="E1679" s="893" t="s">
        <v>4136</v>
      </c>
      <c r="I1679" s="888"/>
      <c r="J1679" s="888"/>
      <c r="K1679" s="888"/>
      <c r="L1679" s="888"/>
      <c r="M1679" s="888"/>
      <c r="N1679" s="888"/>
      <c r="O1679" s="888"/>
      <c r="P1679" s="888"/>
      <c r="Q1679" s="888"/>
      <c r="R1679" s="888"/>
    </row>
    <row r="1680" spans="1:18" s="893" customFormat="1" x14ac:dyDescent="0.3">
      <c r="A1680" s="888" t="s">
        <v>2062</v>
      </c>
      <c r="B1680" s="888" t="s">
        <v>1954</v>
      </c>
      <c r="C1680" s="888" t="s">
        <v>3815</v>
      </c>
      <c r="D1680" s="888"/>
      <c r="E1680" s="893" t="s">
        <v>228</v>
      </c>
      <c r="I1680" s="888"/>
      <c r="J1680" s="888"/>
      <c r="K1680" s="888"/>
      <c r="L1680" s="888"/>
      <c r="M1680" s="888"/>
      <c r="N1680" s="888"/>
      <c r="O1680" s="888"/>
      <c r="P1680" s="888"/>
      <c r="Q1680" s="888"/>
      <c r="R1680" s="888"/>
    </row>
    <row r="1681" spans="1:18" s="893" customFormat="1" x14ac:dyDescent="0.3">
      <c r="A1681" s="888" t="s">
        <v>2062</v>
      </c>
      <c r="B1681" s="888" t="s">
        <v>1954</v>
      </c>
      <c r="C1681" s="888" t="s">
        <v>2213</v>
      </c>
      <c r="D1681" s="888"/>
      <c r="E1681" s="893" t="s">
        <v>229</v>
      </c>
      <c r="I1681" s="888"/>
      <c r="J1681" s="888"/>
      <c r="K1681" s="888"/>
      <c r="L1681" s="888"/>
      <c r="M1681" s="888"/>
      <c r="N1681" s="888"/>
      <c r="O1681" s="888"/>
      <c r="P1681" s="888"/>
      <c r="Q1681" s="888"/>
      <c r="R1681" s="888"/>
    </row>
    <row r="1682" spans="1:18" s="893" customFormat="1" x14ac:dyDescent="0.3">
      <c r="A1682" s="888" t="s">
        <v>2062</v>
      </c>
      <c r="B1682" s="888" t="s">
        <v>1954</v>
      </c>
      <c r="C1682" s="888" t="s">
        <v>2172</v>
      </c>
      <c r="D1682" s="888"/>
      <c r="E1682" s="893" t="s">
        <v>230</v>
      </c>
      <c r="I1682" s="888"/>
      <c r="J1682" s="888"/>
      <c r="K1682" s="888"/>
      <c r="L1682" s="888"/>
      <c r="M1682" s="888"/>
      <c r="N1682" s="888"/>
      <c r="O1682" s="888"/>
      <c r="P1682" s="888"/>
      <c r="Q1682" s="888"/>
      <c r="R1682" s="888"/>
    </row>
    <row r="1683" spans="1:18" s="893" customFormat="1" x14ac:dyDescent="0.3">
      <c r="A1683" s="888" t="s">
        <v>2062</v>
      </c>
      <c r="B1683" s="888" t="s">
        <v>1954</v>
      </c>
      <c r="C1683" s="888" t="s">
        <v>3816</v>
      </c>
      <c r="D1683" s="888"/>
      <c r="E1683" s="893" t="s">
        <v>231</v>
      </c>
      <c r="I1683" s="888"/>
      <c r="J1683" s="888"/>
      <c r="K1683" s="888"/>
      <c r="L1683" s="888"/>
      <c r="M1683" s="888"/>
      <c r="N1683" s="888"/>
      <c r="O1683" s="888"/>
      <c r="P1683" s="888"/>
      <c r="Q1683" s="888"/>
      <c r="R1683" s="888"/>
    </row>
    <row r="1684" spans="1:18" s="893" customFormat="1" x14ac:dyDescent="0.3">
      <c r="A1684" s="888" t="s">
        <v>2062</v>
      </c>
      <c r="B1684" s="888" t="s">
        <v>1954</v>
      </c>
      <c r="C1684" s="888" t="s">
        <v>5159</v>
      </c>
      <c r="D1684" s="888"/>
      <c r="E1684" s="893" t="s">
        <v>232</v>
      </c>
      <c r="I1684" s="888"/>
      <c r="J1684" s="888"/>
      <c r="K1684" s="888"/>
      <c r="L1684" s="888"/>
      <c r="M1684" s="888"/>
      <c r="N1684" s="888"/>
      <c r="O1684" s="888"/>
      <c r="P1684" s="888"/>
      <c r="Q1684" s="888"/>
      <c r="R1684" s="888"/>
    </row>
    <row r="1685" spans="1:18" s="893" customFormat="1" x14ac:dyDescent="0.3">
      <c r="A1685" s="888" t="s">
        <v>2062</v>
      </c>
      <c r="B1685" s="888" t="s">
        <v>1954</v>
      </c>
      <c r="C1685" s="888" t="s">
        <v>2293</v>
      </c>
      <c r="D1685" s="888"/>
      <c r="E1685" s="893" t="str">
        <f>$E$1681</f>
        <v>Ceramic tile</v>
      </c>
      <c r="I1685" s="888"/>
      <c r="J1685" s="888"/>
      <c r="K1685" s="888"/>
      <c r="L1685" s="888"/>
      <c r="M1685" s="888"/>
      <c r="N1685" s="888"/>
      <c r="O1685" s="888"/>
      <c r="P1685" s="888"/>
      <c r="Q1685" s="888"/>
      <c r="R1685" s="888"/>
    </row>
    <row r="1686" spans="1:18" s="893" customFormat="1" x14ac:dyDescent="0.3">
      <c r="A1686" s="888" t="s">
        <v>2062</v>
      </c>
      <c r="B1686" s="888" t="s">
        <v>1954</v>
      </c>
      <c r="C1686" s="888" t="s">
        <v>2244</v>
      </c>
      <c r="D1686" s="888"/>
      <c r="E1686" s="893" t="str">
        <f>$E$1678</f>
        <v>Tile Council of North America</v>
      </c>
      <c r="I1686" s="888"/>
      <c r="J1686" s="888"/>
      <c r="K1686" s="888"/>
      <c r="L1686" s="888"/>
      <c r="M1686" s="888"/>
      <c r="N1686" s="888"/>
      <c r="O1686" s="888"/>
      <c r="P1686" s="888"/>
      <c r="Q1686" s="888"/>
      <c r="R1686" s="888"/>
    </row>
    <row r="1687" spans="1:18" s="893" customFormat="1" x14ac:dyDescent="0.3">
      <c r="A1687" s="888" t="s">
        <v>2062</v>
      </c>
      <c r="B1687" s="888" t="s">
        <v>1954</v>
      </c>
      <c r="C1687" s="888" t="s">
        <v>5160</v>
      </c>
      <c r="D1687" s="888"/>
      <c r="E1687" s="893" t="s">
        <v>236</v>
      </c>
      <c r="I1687" s="888"/>
      <c r="J1687" s="888"/>
      <c r="K1687" s="888"/>
      <c r="L1687" s="888"/>
      <c r="M1687" s="888"/>
      <c r="N1687" s="888"/>
      <c r="O1687" s="888"/>
      <c r="P1687" s="888"/>
      <c r="Q1687" s="888"/>
      <c r="R1687" s="888"/>
    </row>
    <row r="1688" spans="1:18" s="893" customFormat="1" x14ac:dyDescent="0.3">
      <c r="A1688" s="888" t="s">
        <v>2062</v>
      </c>
      <c r="B1688" s="888" t="s">
        <v>1954</v>
      </c>
      <c r="C1688" s="888" t="s">
        <v>2512</v>
      </c>
      <c r="D1688" s="888"/>
      <c r="E1688" s="893" t="s">
        <v>4141</v>
      </c>
      <c r="I1688" s="888"/>
      <c r="J1688" s="888"/>
      <c r="K1688" s="888"/>
      <c r="L1688" s="888"/>
      <c r="M1688" s="888"/>
      <c r="N1688" s="888"/>
      <c r="O1688" s="888"/>
      <c r="P1688" s="888"/>
      <c r="Q1688" s="888"/>
      <c r="R1688" s="888"/>
    </row>
    <row r="1689" spans="1:18" s="893" customFormat="1" x14ac:dyDescent="0.3">
      <c r="A1689" s="888" t="s">
        <v>2062</v>
      </c>
      <c r="B1689" s="888" t="s">
        <v>1954</v>
      </c>
      <c r="C1689" s="888" t="s">
        <v>2121</v>
      </c>
      <c r="D1689" s="888"/>
      <c r="E1689" s="893" t="s">
        <v>238</v>
      </c>
      <c r="I1689" s="888"/>
      <c r="J1689" s="888"/>
      <c r="K1689" s="888"/>
      <c r="L1689" s="888"/>
      <c r="M1689" s="888"/>
      <c r="N1689" s="888"/>
      <c r="O1689" s="888"/>
      <c r="P1689" s="888"/>
      <c r="Q1689" s="888"/>
      <c r="R1689" s="888"/>
    </row>
    <row r="1690" spans="1:18" s="893" customFormat="1" x14ac:dyDescent="0.3">
      <c r="A1690" s="888" t="s">
        <v>2062</v>
      </c>
      <c r="B1690" s="888" t="s">
        <v>1954</v>
      </c>
      <c r="C1690" s="888" t="s">
        <v>2294</v>
      </c>
      <c r="D1690" s="888"/>
      <c r="E1690" s="893" t="s">
        <v>239</v>
      </c>
      <c r="I1690" s="888"/>
      <c r="J1690" s="888"/>
      <c r="K1690" s="888"/>
      <c r="L1690" s="888"/>
      <c r="M1690" s="888"/>
      <c r="N1690" s="888"/>
      <c r="O1690" s="888"/>
      <c r="P1690" s="888"/>
      <c r="Q1690" s="888"/>
      <c r="R1690" s="888"/>
    </row>
    <row r="1691" spans="1:18" s="893" customFormat="1" x14ac:dyDescent="0.3">
      <c r="A1691" s="888" t="s">
        <v>2062</v>
      </c>
      <c r="B1691" s="888" t="s">
        <v>1954</v>
      </c>
      <c r="C1691" s="888" t="s">
        <v>3817</v>
      </c>
      <c r="D1691" s="888"/>
      <c r="E1691" s="893" t="s">
        <v>240</v>
      </c>
      <c r="I1691" s="888"/>
      <c r="J1691" s="888"/>
      <c r="K1691" s="888"/>
      <c r="L1691" s="888"/>
      <c r="M1691" s="888"/>
      <c r="N1691" s="888"/>
      <c r="O1691" s="888"/>
      <c r="P1691" s="888"/>
      <c r="Q1691" s="888"/>
      <c r="R1691" s="888"/>
    </row>
    <row r="1692" spans="1:18" s="893" customFormat="1" x14ac:dyDescent="0.3">
      <c r="A1692" s="888" t="s">
        <v>2062</v>
      </c>
      <c r="B1692" s="888" t="s">
        <v>1954</v>
      </c>
      <c r="C1692" s="888" t="s">
        <v>2173</v>
      </c>
      <c r="D1692" s="888"/>
      <c r="E1692" s="893" t="s">
        <v>242</v>
      </c>
      <c r="I1692" s="888"/>
      <c r="J1692" s="888"/>
      <c r="K1692" s="888"/>
      <c r="L1692" s="888"/>
      <c r="M1692" s="888"/>
      <c r="N1692" s="888"/>
      <c r="O1692" s="888"/>
      <c r="P1692" s="888"/>
      <c r="Q1692" s="888"/>
      <c r="R1692" s="888"/>
    </row>
    <row r="1693" spans="1:18" s="893" customFormat="1" x14ac:dyDescent="0.3">
      <c r="A1693" s="888" t="s">
        <v>2062</v>
      </c>
      <c r="B1693" s="888" t="s">
        <v>1954</v>
      </c>
      <c r="C1693" s="888" t="s">
        <v>2514</v>
      </c>
      <c r="D1693" s="888"/>
      <c r="E1693" s="893" t="s">
        <v>243</v>
      </c>
      <c r="I1693" s="888"/>
      <c r="J1693" s="888"/>
      <c r="K1693" s="888"/>
      <c r="L1693" s="888"/>
      <c r="M1693" s="888"/>
      <c r="N1693" s="888"/>
      <c r="O1693" s="888"/>
      <c r="P1693" s="888"/>
      <c r="Q1693" s="888"/>
      <c r="R1693" s="888"/>
    </row>
    <row r="1694" spans="1:18" s="893" customFormat="1" x14ac:dyDescent="0.3">
      <c r="A1694" s="888" t="s">
        <v>2062</v>
      </c>
      <c r="B1694" s="888" t="s">
        <v>1954</v>
      </c>
      <c r="C1694" s="888" t="s">
        <v>2295</v>
      </c>
      <c r="D1694" s="888"/>
      <c r="E1694" s="893" t="s">
        <v>246</v>
      </c>
      <c r="I1694" s="888"/>
      <c r="J1694" s="888"/>
      <c r="K1694" s="888"/>
      <c r="L1694" s="888"/>
      <c r="M1694" s="888"/>
      <c r="N1694" s="888"/>
      <c r="O1694" s="888"/>
      <c r="P1694" s="888"/>
      <c r="Q1694" s="888"/>
      <c r="R1694" s="888"/>
    </row>
    <row r="1695" spans="1:18" s="893" customFormat="1" x14ac:dyDescent="0.3">
      <c r="A1695" s="888" t="s">
        <v>2062</v>
      </c>
      <c r="B1695" s="888" t="s">
        <v>1954</v>
      </c>
      <c r="C1695" s="888" t="s">
        <v>2245</v>
      </c>
      <c r="D1695" s="888"/>
      <c r="E1695" s="893" t="s">
        <v>4145</v>
      </c>
      <c r="I1695" s="888"/>
      <c r="J1695" s="888"/>
      <c r="K1695" s="888"/>
      <c r="L1695" s="888"/>
      <c r="M1695" s="888"/>
      <c r="N1695" s="888"/>
      <c r="O1695" s="888"/>
      <c r="P1695" s="888"/>
      <c r="Q1695" s="888"/>
      <c r="R1695" s="888"/>
    </row>
    <row r="1696" spans="1:18" s="893" customFormat="1" x14ac:dyDescent="0.3">
      <c r="A1696" s="888" t="s">
        <v>2062</v>
      </c>
      <c r="B1696" s="888" t="s">
        <v>1954</v>
      </c>
      <c r="C1696" s="888" t="s">
        <v>2517</v>
      </c>
      <c r="D1696" s="888"/>
      <c r="E1696" s="893" t="s">
        <v>4146</v>
      </c>
      <c r="I1696" s="888"/>
      <c r="J1696" s="888"/>
      <c r="K1696" s="888"/>
      <c r="L1696" s="888"/>
      <c r="M1696" s="888"/>
      <c r="N1696" s="888"/>
      <c r="O1696" s="888"/>
      <c r="P1696" s="888"/>
      <c r="Q1696" s="888"/>
      <c r="R1696" s="888"/>
    </row>
    <row r="1697" spans="1:18" s="893" customFormat="1" x14ac:dyDescent="0.3">
      <c r="A1697" s="888" t="s">
        <v>2062</v>
      </c>
      <c r="B1697" s="888" t="s">
        <v>1954</v>
      </c>
      <c r="C1697" s="888" t="s">
        <v>5161</v>
      </c>
      <c r="D1697" s="888"/>
      <c r="E1697" s="893" t="s">
        <v>4147</v>
      </c>
      <c r="I1697" s="888"/>
      <c r="J1697" s="888"/>
      <c r="K1697" s="888"/>
      <c r="L1697" s="888"/>
      <c r="M1697" s="888"/>
      <c r="N1697" s="888"/>
      <c r="O1697" s="888"/>
      <c r="P1697" s="888"/>
      <c r="Q1697" s="888"/>
      <c r="R1697" s="888"/>
    </row>
    <row r="1698" spans="1:18" s="893" customFormat="1" x14ac:dyDescent="0.3">
      <c r="A1698" s="888" t="s">
        <v>2062</v>
      </c>
      <c r="B1698" s="888" t="s">
        <v>1954</v>
      </c>
      <c r="C1698" s="888" t="s">
        <v>2123</v>
      </c>
      <c r="D1698" s="888"/>
      <c r="E1698" s="893" t="str">
        <f>$E$1694</f>
        <v>CMU - Light weight</v>
      </c>
      <c r="I1698" s="888"/>
      <c r="J1698" s="888"/>
      <c r="K1698" s="888"/>
      <c r="L1698" s="888"/>
      <c r="M1698" s="888"/>
      <c r="N1698" s="888"/>
      <c r="O1698" s="888"/>
      <c r="P1698" s="888"/>
      <c r="Q1698" s="888"/>
      <c r="R1698" s="888"/>
    </row>
    <row r="1699" spans="1:18" s="893" customFormat="1" x14ac:dyDescent="0.3">
      <c r="A1699" s="888" t="s">
        <v>2062</v>
      </c>
      <c r="B1699" s="888" t="s">
        <v>1954</v>
      </c>
      <c r="C1699" s="888" t="s">
        <v>2519</v>
      </c>
      <c r="D1699" s="888"/>
      <c r="E1699" s="893" t="s">
        <v>4149</v>
      </c>
      <c r="I1699" s="888"/>
      <c r="J1699" s="888"/>
      <c r="K1699" s="888"/>
      <c r="L1699" s="888"/>
      <c r="M1699" s="888"/>
      <c r="N1699" s="888"/>
      <c r="O1699" s="888"/>
      <c r="P1699" s="888"/>
      <c r="Q1699" s="888"/>
      <c r="R1699" s="888"/>
    </row>
    <row r="1700" spans="1:18" s="893" customFormat="1" x14ac:dyDescent="0.3">
      <c r="A1700" s="888" t="s">
        <v>2062</v>
      </c>
      <c r="B1700" s="888" t="s">
        <v>1954</v>
      </c>
      <c r="C1700" s="888" t="s">
        <v>2296</v>
      </c>
      <c r="D1700" s="888"/>
      <c r="E1700" s="893" t="s">
        <v>248</v>
      </c>
      <c r="I1700" s="888"/>
      <c r="J1700" s="888"/>
      <c r="K1700" s="888"/>
      <c r="L1700" s="888"/>
      <c r="M1700" s="888"/>
      <c r="N1700" s="888"/>
      <c r="O1700" s="888"/>
      <c r="P1700" s="888"/>
      <c r="Q1700" s="888"/>
      <c r="R1700" s="888"/>
    </row>
    <row r="1701" spans="1:18" s="893" customFormat="1" x14ac:dyDescent="0.3">
      <c r="A1701" s="888" t="s">
        <v>2062</v>
      </c>
      <c r="B1701" s="888" t="s">
        <v>1954</v>
      </c>
      <c r="C1701" s="888" t="s">
        <v>5162</v>
      </c>
      <c r="D1701" s="888"/>
      <c r="E1701" s="893" t="s">
        <v>4150</v>
      </c>
      <c r="I1701" s="888"/>
      <c r="J1701" s="888"/>
      <c r="K1701" s="888"/>
      <c r="L1701" s="888"/>
      <c r="M1701" s="888"/>
      <c r="N1701" s="888"/>
      <c r="O1701" s="888"/>
      <c r="P1701" s="888"/>
      <c r="Q1701" s="888"/>
      <c r="R1701" s="888"/>
    </row>
    <row r="1702" spans="1:18" s="893" customFormat="1" x14ac:dyDescent="0.3">
      <c r="A1702" s="888" t="s">
        <v>2062</v>
      </c>
      <c r="B1702" s="888" t="s">
        <v>1954</v>
      </c>
      <c r="C1702" s="888" t="s">
        <v>2271</v>
      </c>
      <c r="D1702" s="888"/>
      <c r="E1702" s="893" t="str">
        <f>$E$1694</f>
        <v>CMU - Light weight</v>
      </c>
      <c r="I1702" s="888"/>
      <c r="J1702" s="888"/>
      <c r="K1702" s="888"/>
      <c r="L1702" s="888"/>
      <c r="M1702" s="888"/>
      <c r="N1702" s="888"/>
      <c r="O1702" s="888"/>
      <c r="P1702" s="888"/>
      <c r="Q1702" s="888"/>
      <c r="R1702" s="888"/>
    </row>
    <row r="1703" spans="1:18" s="893" customFormat="1" x14ac:dyDescent="0.3">
      <c r="A1703" s="888" t="s">
        <v>2062</v>
      </c>
      <c r="B1703" s="888" t="s">
        <v>1954</v>
      </c>
      <c r="C1703" s="888" t="s">
        <v>2520</v>
      </c>
      <c r="D1703" s="888"/>
      <c r="E1703" s="893" t="s">
        <v>4153</v>
      </c>
      <c r="I1703" s="888"/>
      <c r="J1703" s="888"/>
      <c r="K1703" s="888"/>
      <c r="L1703" s="888"/>
      <c r="M1703" s="888"/>
      <c r="N1703" s="888"/>
      <c r="O1703" s="888"/>
      <c r="P1703" s="888"/>
      <c r="Q1703" s="888"/>
      <c r="R1703" s="888"/>
    </row>
    <row r="1704" spans="1:18" s="893" customFormat="1" x14ac:dyDescent="0.3">
      <c r="A1704" s="888" t="s">
        <v>2062</v>
      </c>
      <c r="B1704" s="888" t="s">
        <v>1954</v>
      </c>
      <c r="C1704" s="888" t="s">
        <v>2521</v>
      </c>
      <c r="D1704" s="888"/>
      <c r="E1704" s="893" t="str">
        <f>$E$1700</f>
        <v>8" Light weight blocks</v>
      </c>
      <c r="I1704" s="888"/>
      <c r="J1704" s="888"/>
      <c r="K1704" s="888"/>
      <c r="L1704" s="888"/>
      <c r="M1704" s="888"/>
      <c r="N1704" s="888"/>
      <c r="O1704" s="888"/>
      <c r="P1704" s="888"/>
      <c r="Q1704" s="888"/>
      <c r="R1704" s="888"/>
    </row>
    <row r="1705" spans="1:18" s="893" customFormat="1" x14ac:dyDescent="0.3">
      <c r="A1705" s="888" t="s">
        <v>2062</v>
      </c>
      <c r="B1705" s="888" t="s">
        <v>1954</v>
      </c>
      <c r="C1705" s="888" t="s">
        <v>5163</v>
      </c>
      <c r="D1705" s="888"/>
      <c r="E1705" s="893" t="str">
        <f>$E$1701</f>
        <v xml:space="preserve">15 MPa, 390 x 190 x 190 mm </v>
      </c>
      <c r="I1705" s="888"/>
      <c r="J1705" s="888"/>
      <c r="K1705" s="888"/>
      <c r="L1705" s="888"/>
      <c r="M1705" s="888"/>
      <c r="N1705" s="888"/>
      <c r="O1705" s="888"/>
      <c r="P1705" s="888"/>
      <c r="Q1705" s="888"/>
      <c r="R1705" s="888"/>
    </row>
    <row r="1706" spans="1:18" s="893" customFormat="1" x14ac:dyDescent="0.3">
      <c r="A1706" s="888" t="s">
        <v>2062</v>
      </c>
      <c r="B1706" s="888" t="s">
        <v>1954</v>
      </c>
      <c r="C1706" s="888" t="s">
        <v>2246</v>
      </c>
      <c r="D1706" s="888"/>
      <c r="E1706" s="893" t="s">
        <v>259</v>
      </c>
      <c r="I1706" s="888"/>
      <c r="J1706" s="888"/>
      <c r="K1706" s="888"/>
      <c r="L1706" s="888"/>
      <c r="M1706" s="888"/>
      <c r="N1706" s="888"/>
      <c r="O1706" s="888"/>
      <c r="P1706" s="888"/>
      <c r="Q1706" s="888"/>
      <c r="R1706" s="888"/>
    </row>
    <row r="1707" spans="1:18" s="893" customFormat="1" x14ac:dyDescent="0.3">
      <c r="A1707" s="888" t="s">
        <v>2062</v>
      </c>
      <c r="B1707" s="888" t="s">
        <v>1954</v>
      </c>
      <c r="C1707" s="888" t="s">
        <v>2523</v>
      </c>
      <c r="D1707" s="888"/>
      <c r="E1707" s="893" t="str">
        <f>$E$1699</f>
        <v>Canadian Concrete Masonry Producers Assn, East Region</v>
      </c>
      <c r="I1707" s="888"/>
      <c r="J1707" s="888"/>
      <c r="K1707" s="888"/>
      <c r="L1707" s="888"/>
      <c r="M1707" s="888"/>
      <c r="N1707" s="888"/>
      <c r="O1707" s="888"/>
      <c r="P1707" s="888"/>
      <c r="Q1707" s="888"/>
      <c r="R1707" s="888"/>
    </row>
    <row r="1708" spans="1:18" s="893" customFormat="1" x14ac:dyDescent="0.3">
      <c r="A1708" s="888" t="s">
        <v>2062</v>
      </c>
      <c r="B1708" s="888" t="s">
        <v>1954</v>
      </c>
      <c r="C1708" s="888" t="s">
        <v>2215</v>
      </c>
      <c r="D1708" s="888"/>
      <c r="E1708" s="893" t="s">
        <v>260</v>
      </c>
      <c r="I1708" s="888"/>
      <c r="J1708" s="888"/>
      <c r="K1708" s="888"/>
      <c r="L1708" s="888"/>
      <c r="M1708" s="888"/>
      <c r="N1708" s="888"/>
      <c r="O1708" s="888"/>
      <c r="P1708" s="888"/>
      <c r="Q1708" s="888"/>
      <c r="R1708" s="888"/>
    </row>
    <row r="1709" spans="1:18" s="893" customFormat="1" x14ac:dyDescent="0.3">
      <c r="A1709" s="888" t="s">
        <v>2062</v>
      </c>
      <c r="B1709" s="888" t="s">
        <v>1954</v>
      </c>
      <c r="C1709" s="888" t="s">
        <v>5164</v>
      </c>
      <c r="D1709" s="888"/>
      <c r="E1709" s="893" t="str">
        <f>$E$1701</f>
        <v xml:space="preserve">15 MPa, 390 x 190 x 190 mm </v>
      </c>
      <c r="I1709" s="888"/>
      <c r="J1709" s="888"/>
      <c r="K1709" s="888"/>
      <c r="L1709" s="888"/>
      <c r="M1709" s="888"/>
      <c r="N1709" s="888"/>
      <c r="O1709" s="888"/>
      <c r="P1709" s="888"/>
      <c r="Q1709" s="888"/>
      <c r="R1709" s="888"/>
    </row>
    <row r="1710" spans="1:18" s="893" customFormat="1" x14ac:dyDescent="0.3">
      <c r="A1710" s="888" t="s">
        <v>2062</v>
      </c>
      <c r="B1710" s="888" t="s">
        <v>1954</v>
      </c>
      <c r="C1710" s="888" t="s">
        <v>2216</v>
      </c>
      <c r="D1710" s="888"/>
      <c r="E1710" s="893" t="str">
        <f>$E$1706</f>
        <v>CMU - Normal weight</v>
      </c>
      <c r="I1710" s="888"/>
      <c r="J1710" s="888"/>
      <c r="K1710" s="888"/>
      <c r="L1710" s="888"/>
      <c r="M1710" s="888"/>
      <c r="N1710" s="888"/>
      <c r="O1710" s="888"/>
      <c r="P1710" s="888"/>
      <c r="Q1710" s="888"/>
      <c r="R1710" s="888"/>
    </row>
    <row r="1711" spans="1:18" s="893" customFormat="1" x14ac:dyDescent="0.3">
      <c r="A1711" s="888" t="s">
        <v>2062</v>
      </c>
      <c r="B1711" s="888" t="s">
        <v>1954</v>
      </c>
      <c r="C1711" s="888" t="s">
        <v>2247</v>
      </c>
      <c r="D1711" s="888"/>
      <c r="E1711" s="893" t="str">
        <f>$E$1703</f>
        <v>Canadian Concrete Masonry Producers Assn, West Region</v>
      </c>
      <c r="I1711" s="888"/>
      <c r="J1711" s="888"/>
      <c r="K1711" s="888"/>
      <c r="L1711" s="888"/>
      <c r="M1711" s="888"/>
      <c r="N1711" s="888"/>
      <c r="O1711" s="888"/>
      <c r="P1711" s="888"/>
      <c r="Q1711" s="888"/>
      <c r="R1711" s="888"/>
    </row>
    <row r="1712" spans="1:18" s="893" customFormat="1" x14ac:dyDescent="0.3">
      <c r="A1712" s="888" t="s">
        <v>2062</v>
      </c>
      <c r="B1712" s="888" t="s">
        <v>1954</v>
      </c>
      <c r="C1712" s="888" t="s">
        <v>2149</v>
      </c>
      <c r="D1712" s="888"/>
      <c r="E1712" s="893" t="str">
        <f>$E$1708</f>
        <v>8" Normal weight blocks</v>
      </c>
      <c r="I1712" s="888"/>
      <c r="J1712" s="888"/>
      <c r="K1712" s="888"/>
      <c r="L1712" s="888"/>
      <c r="M1712" s="888"/>
      <c r="N1712" s="888"/>
      <c r="O1712" s="888"/>
      <c r="P1712" s="888"/>
      <c r="Q1712" s="888"/>
      <c r="R1712" s="888"/>
    </row>
    <row r="1713" spans="1:18" s="893" customFormat="1" x14ac:dyDescent="0.3">
      <c r="A1713" s="888" t="s">
        <v>2062</v>
      </c>
      <c r="B1713" s="888" t="s">
        <v>1954</v>
      </c>
      <c r="C1713" s="888" t="s">
        <v>5165</v>
      </c>
      <c r="D1713" s="888"/>
      <c r="E1713" s="893" t="str">
        <f>$E$1701</f>
        <v xml:space="preserve">15 MPa, 390 x 190 x 190 mm </v>
      </c>
      <c r="I1713" s="888"/>
      <c r="J1713" s="888"/>
      <c r="K1713" s="888"/>
      <c r="L1713" s="888"/>
      <c r="M1713" s="888"/>
      <c r="N1713" s="888"/>
      <c r="O1713" s="888"/>
      <c r="P1713" s="888"/>
      <c r="Q1713" s="888"/>
      <c r="R1713" s="888"/>
    </row>
    <row r="1714" spans="1:18" s="893" customFormat="1" x14ac:dyDescent="0.3">
      <c r="A1714" s="888" t="s">
        <v>2062</v>
      </c>
      <c r="B1714" s="888" t="s">
        <v>1954</v>
      </c>
      <c r="C1714" s="888" t="s">
        <v>2272</v>
      </c>
      <c r="D1714" s="888"/>
      <c r="E1714" s="893" t="str">
        <f>$E$1706</f>
        <v>CMU - Normal weight</v>
      </c>
      <c r="I1714" s="888"/>
      <c r="J1714" s="888"/>
      <c r="K1714" s="888"/>
      <c r="L1714" s="888"/>
      <c r="M1714" s="888"/>
      <c r="N1714" s="888"/>
      <c r="O1714" s="888"/>
      <c r="P1714" s="888"/>
      <c r="Q1714" s="888"/>
      <c r="R1714" s="888"/>
    </row>
    <row r="1715" spans="1:18" s="893" customFormat="1" x14ac:dyDescent="0.3">
      <c r="A1715" s="888" t="s">
        <v>2062</v>
      </c>
      <c r="B1715" s="888" t="s">
        <v>1954</v>
      </c>
      <c r="C1715" s="888" t="s">
        <v>2524</v>
      </c>
      <c r="D1715" s="888"/>
      <c r="E1715" s="893" t="str">
        <f>$E$1695</f>
        <v>Brampton Brick (Boehmers)</v>
      </c>
      <c r="I1715" s="888"/>
      <c r="J1715" s="888"/>
      <c r="K1715" s="888"/>
      <c r="L1715" s="888"/>
      <c r="M1715" s="888"/>
      <c r="N1715" s="888"/>
      <c r="O1715" s="888"/>
      <c r="P1715" s="888"/>
      <c r="Q1715" s="888"/>
      <c r="R1715" s="888"/>
    </row>
    <row r="1716" spans="1:18" s="893" customFormat="1" x14ac:dyDescent="0.3">
      <c r="A1716" s="888" t="s">
        <v>2062</v>
      </c>
      <c r="B1716" s="888" t="s">
        <v>1954</v>
      </c>
      <c r="C1716" s="888" t="s">
        <v>2525</v>
      </c>
      <c r="D1716" s="888"/>
      <c r="E1716" s="893" t="str">
        <f>$E$1696</f>
        <v>8" CarboClave Block</v>
      </c>
      <c r="I1716" s="888"/>
      <c r="J1716" s="888"/>
      <c r="K1716" s="888"/>
      <c r="L1716" s="888"/>
      <c r="M1716" s="888"/>
      <c r="N1716" s="888"/>
      <c r="O1716" s="888"/>
      <c r="P1716" s="888"/>
      <c r="Q1716" s="888"/>
      <c r="R1716" s="888"/>
    </row>
    <row r="1717" spans="1:18" s="893" customFormat="1" x14ac:dyDescent="0.3">
      <c r="A1717" s="888" t="s">
        <v>2062</v>
      </c>
      <c r="B1717" s="888" t="s">
        <v>1954</v>
      </c>
      <c r="C1717" s="888" t="s">
        <v>5166</v>
      </c>
      <c r="D1717" s="888"/>
      <c r="E1717" s="893" t="str">
        <f>$E$1697</f>
        <v xml:space="preserve">8 x 8 x 16 </v>
      </c>
      <c r="I1717" s="888"/>
      <c r="J1717" s="888"/>
      <c r="K1717" s="888"/>
      <c r="L1717" s="888"/>
      <c r="M1717" s="888"/>
      <c r="N1717" s="888"/>
      <c r="O1717" s="888"/>
      <c r="P1717" s="888"/>
      <c r="Q1717" s="888"/>
      <c r="R1717" s="888"/>
    </row>
    <row r="1718" spans="1:18" s="893" customFormat="1" x14ac:dyDescent="0.3">
      <c r="A1718" s="888" t="s">
        <v>2062</v>
      </c>
      <c r="B1718" s="888" t="s">
        <v>1954</v>
      </c>
      <c r="C1718" s="888" t="s">
        <v>2248</v>
      </c>
      <c r="D1718" s="888"/>
      <c r="E1718" s="893" t="s">
        <v>269</v>
      </c>
      <c r="I1718" s="888"/>
      <c r="J1718" s="888"/>
      <c r="K1718" s="888"/>
      <c r="L1718" s="888"/>
      <c r="M1718" s="888"/>
      <c r="N1718" s="888"/>
      <c r="O1718" s="888"/>
      <c r="P1718" s="888"/>
      <c r="Q1718" s="888"/>
      <c r="R1718" s="888"/>
    </row>
    <row r="1719" spans="1:18" s="893" customFormat="1" x14ac:dyDescent="0.3">
      <c r="A1719" s="888" t="s">
        <v>2062</v>
      </c>
      <c r="B1719" s="888" t="s">
        <v>1954</v>
      </c>
      <c r="C1719" s="888" t="s">
        <v>2284</v>
      </c>
      <c r="D1719" s="888"/>
      <c r="E1719" s="893" t="s">
        <v>270</v>
      </c>
      <c r="I1719" s="888"/>
      <c r="J1719" s="888"/>
      <c r="K1719" s="888"/>
      <c r="L1719" s="888"/>
      <c r="M1719" s="888"/>
      <c r="N1719" s="888"/>
      <c r="O1719" s="888"/>
      <c r="P1719" s="888"/>
      <c r="Q1719" s="888"/>
      <c r="R1719" s="888"/>
    </row>
    <row r="1720" spans="1:18" s="893" customFormat="1" x14ac:dyDescent="0.3">
      <c r="A1720" s="888" t="s">
        <v>2062</v>
      </c>
      <c r="B1720" s="888" t="s">
        <v>1954</v>
      </c>
      <c r="C1720" s="888" t="s">
        <v>2526</v>
      </c>
      <c r="D1720" s="888"/>
      <c r="E1720" s="893" t="s">
        <v>271</v>
      </c>
      <c r="I1720" s="888"/>
      <c r="J1720" s="888"/>
      <c r="K1720" s="888"/>
      <c r="L1720" s="888"/>
      <c r="M1720" s="888"/>
      <c r="N1720" s="888"/>
      <c r="O1720" s="888"/>
      <c r="P1720" s="888"/>
      <c r="Q1720" s="888"/>
      <c r="R1720" s="888"/>
    </row>
    <row r="1721" spans="1:18" s="893" customFormat="1" x14ac:dyDescent="0.3">
      <c r="A1721" s="888" t="s">
        <v>2062</v>
      </c>
      <c r="B1721" s="888" t="s">
        <v>1954</v>
      </c>
      <c r="C1721" s="888" t="s">
        <v>2150</v>
      </c>
      <c r="D1721" s="888"/>
      <c r="E1721" s="893" t="str">
        <f>$E$1718</f>
        <v>CMU - Rammed earth</v>
      </c>
      <c r="I1721" s="888"/>
      <c r="J1721" s="888"/>
      <c r="K1721" s="888"/>
      <c r="L1721" s="888"/>
      <c r="M1721" s="888"/>
      <c r="N1721" s="888"/>
      <c r="O1721" s="888"/>
      <c r="P1721" s="888"/>
      <c r="Q1721" s="888"/>
      <c r="R1721" s="888"/>
    </row>
    <row r="1722" spans="1:18" s="893" customFormat="1" x14ac:dyDescent="0.3">
      <c r="A1722" s="888" t="s">
        <v>2062</v>
      </c>
      <c r="B1722" s="888" t="s">
        <v>1954</v>
      </c>
      <c r="C1722" s="888" t="s">
        <v>2249</v>
      </c>
      <c r="D1722" s="888"/>
      <c r="E1722" s="893" t="str">
        <f>$E$1719</f>
        <v>Watershed Materials</v>
      </c>
      <c r="I1722" s="888"/>
      <c r="J1722" s="888"/>
      <c r="K1722" s="888"/>
      <c r="L1722" s="888"/>
      <c r="M1722" s="888"/>
      <c r="N1722" s="888"/>
      <c r="O1722" s="888"/>
      <c r="P1722" s="888"/>
      <c r="Q1722" s="888"/>
      <c r="R1722" s="888"/>
    </row>
    <row r="1723" spans="1:18" s="893" customFormat="1" x14ac:dyDescent="0.3">
      <c r="A1723" s="888" t="s">
        <v>2062</v>
      </c>
      <c r="B1723" s="888" t="s">
        <v>1954</v>
      </c>
      <c r="C1723" s="888" t="s">
        <v>2527</v>
      </c>
      <c r="D1723" s="888"/>
      <c r="E1723" s="893" t="s">
        <v>275</v>
      </c>
      <c r="I1723" s="888"/>
      <c r="J1723" s="888"/>
      <c r="K1723" s="888"/>
      <c r="L1723" s="888"/>
      <c r="M1723" s="888"/>
      <c r="N1723" s="888"/>
      <c r="O1723" s="888"/>
      <c r="P1723" s="888"/>
      <c r="Q1723" s="888"/>
      <c r="R1723" s="888"/>
    </row>
    <row r="1724" spans="1:18" s="893" customFormat="1" x14ac:dyDescent="0.3">
      <c r="A1724" s="888" t="s">
        <v>2062</v>
      </c>
      <c r="B1724" s="888" t="s">
        <v>1954</v>
      </c>
      <c r="C1724" s="888" t="s">
        <v>2273</v>
      </c>
      <c r="D1724" s="888"/>
      <c r="E1724" s="893" t="s">
        <v>1624</v>
      </c>
      <c r="I1724" s="888"/>
      <c r="J1724" s="888"/>
      <c r="K1724" s="888"/>
      <c r="L1724" s="888"/>
      <c r="M1724" s="888"/>
      <c r="N1724" s="888"/>
      <c r="O1724" s="888"/>
      <c r="P1724" s="888"/>
      <c r="Q1724" s="888"/>
      <c r="R1724" s="888"/>
    </row>
    <row r="1725" spans="1:18" s="893" customFormat="1" x14ac:dyDescent="0.3">
      <c r="A1725" s="888" t="s">
        <v>2062</v>
      </c>
      <c r="B1725" s="888" t="s">
        <v>1954</v>
      </c>
      <c r="C1725" s="888" t="s">
        <v>2151</v>
      </c>
      <c r="D1725" s="888"/>
      <c r="E1725" s="893" t="s">
        <v>1419</v>
      </c>
      <c r="I1725" s="888"/>
      <c r="J1725" s="888"/>
      <c r="K1725" s="888"/>
      <c r="L1725" s="888"/>
      <c r="M1725" s="888"/>
      <c r="N1725" s="888"/>
      <c r="O1725" s="888"/>
      <c r="P1725" s="888"/>
      <c r="Q1725" s="888"/>
      <c r="R1725" s="888"/>
    </row>
    <row r="1726" spans="1:18" s="893" customFormat="1" x14ac:dyDescent="0.3">
      <c r="A1726" s="888" t="s">
        <v>2062</v>
      </c>
      <c r="B1726" s="888" t="s">
        <v>1954</v>
      </c>
      <c r="C1726" s="888" t="s">
        <v>5167</v>
      </c>
      <c r="D1726" s="888"/>
      <c r="E1726" s="893" t="s">
        <v>1623</v>
      </c>
      <c r="I1726" s="888"/>
      <c r="J1726" s="888"/>
      <c r="K1726" s="888"/>
      <c r="L1726" s="888"/>
      <c r="M1726" s="888"/>
      <c r="N1726" s="888"/>
      <c r="O1726" s="888"/>
      <c r="P1726" s="888"/>
      <c r="Q1726" s="888"/>
      <c r="R1726" s="888"/>
    </row>
    <row r="1727" spans="1:18" s="893" customFormat="1" x14ac:dyDescent="0.3">
      <c r="A1727" s="888" t="s">
        <v>2062</v>
      </c>
      <c r="B1727" s="888" t="s">
        <v>1954</v>
      </c>
      <c r="C1727" s="888" t="s">
        <v>2528</v>
      </c>
      <c r="D1727" s="888"/>
      <c r="E1727" s="893" t="s">
        <v>277</v>
      </c>
      <c r="I1727" s="888"/>
      <c r="J1727" s="888"/>
      <c r="K1727" s="888"/>
      <c r="L1727" s="888"/>
      <c r="M1727" s="888"/>
      <c r="N1727" s="888"/>
      <c r="O1727" s="888"/>
      <c r="P1727" s="888"/>
      <c r="Q1727" s="888"/>
      <c r="R1727" s="888"/>
    </row>
    <row r="1728" spans="1:18" s="893" customFormat="1" x14ac:dyDescent="0.3">
      <c r="A1728" s="888" t="s">
        <v>2062</v>
      </c>
      <c r="B1728" s="888" t="s">
        <v>1954</v>
      </c>
      <c r="C1728" s="888" t="s">
        <v>2274</v>
      </c>
      <c r="D1728" s="888"/>
      <c r="E1728" s="893" t="str">
        <f>$E$1690</f>
        <v>Site mixed</v>
      </c>
      <c r="I1728" s="888"/>
      <c r="J1728" s="888"/>
      <c r="K1728" s="888"/>
      <c r="L1728" s="888"/>
      <c r="M1728" s="888"/>
      <c r="N1728" s="888"/>
      <c r="O1728" s="888"/>
      <c r="P1728" s="888"/>
      <c r="Q1728" s="888"/>
      <c r="R1728" s="888"/>
    </row>
    <row r="1729" spans="1:18" s="893" customFormat="1" x14ac:dyDescent="0.3">
      <c r="A1729" s="888" t="s">
        <v>2062</v>
      </c>
      <c r="B1729" s="888" t="s">
        <v>1954</v>
      </c>
      <c r="C1729" s="888" t="s">
        <v>5168</v>
      </c>
      <c r="D1729" s="888"/>
      <c r="E1729" s="893" t="s">
        <v>278</v>
      </c>
      <c r="I1729" s="888"/>
      <c r="J1729" s="888"/>
      <c r="K1729" s="888"/>
      <c r="L1729" s="888"/>
      <c r="M1729" s="888"/>
      <c r="N1729" s="888"/>
      <c r="O1729" s="888"/>
      <c r="P1729" s="888"/>
      <c r="Q1729" s="888"/>
      <c r="R1729" s="888"/>
    </row>
    <row r="1730" spans="1:18" s="893" customFormat="1" x14ac:dyDescent="0.3">
      <c r="A1730" s="888" t="s">
        <v>2062</v>
      </c>
      <c r="B1730" s="888" t="s">
        <v>1954</v>
      </c>
      <c r="C1730" s="888" t="s">
        <v>2285</v>
      </c>
      <c r="D1730" s="888"/>
      <c r="E1730" s="893" t="s">
        <v>280</v>
      </c>
      <c r="I1730" s="888"/>
      <c r="J1730" s="888"/>
      <c r="K1730" s="888"/>
      <c r="L1730" s="888"/>
      <c r="M1730" s="888"/>
      <c r="N1730" s="888"/>
      <c r="O1730" s="888"/>
      <c r="P1730" s="888"/>
      <c r="Q1730" s="888"/>
      <c r="R1730" s="888"/>
    </row>
    <row r="1731" spans="1:18" s="893" customFormat="1" x14ac:dyDescent="0.3">
      <c r="A1731" s="888" t="s">
        <v>2062</v>
      </c>
      <c r="B1731" s="888" t="s">
        <v>1954</v>
      </c>
      <c r="C1731" s="888" t="s">
        <v>2529</v>
      </c>
      <c r="D1731" s="888"/>
      <c r="E1731" s="893" t="s">
        <v>127</v>
      </c>
      <c r="I1731" s="888"/>
      <c r="J1731" s="888"/>
      <c r="K1731" s="888"/>
      <c r="L1731" s="888"/>
      <c r="M1731" s="888"/>
      <c r="N1731" s="888"/>
      <c r="O1731" s="888"/>
      <c r="P1731" s="888"/>
      <c r="Q1731" s="888"/>
      <c r="R1731" s="888"/>
    </row>
    <row r="1732" spans="1:18" s="893" customFormat="1" x14ac:dyDescent="0.3">
      <c r="A1732" s="888" t="s">
        <v>2062</v>
      </c>
      <c r="B1732" s="888" t="s">
        <v>1954</v>
      </c>
      <c r="C1732" s="888" t="s">
        <v>2530</v>
      </c>
      <c r="D1732" s="888"/>
      <c r="E1732" s="893" t="s">
        <v>281</v>
      </c>
      <c r="I1732" s="888"/>
      <c r="J1732" s="888"/>
      <c r="K1732" s="888"/>
      <c r="L1732" s="888"/>
      <c r="M1732" s="888"/>
      <c r="N1732" s="888"/>
      <c r="O1732" s="888"/>
      <c r="P1732" s="888"/>
      <c r="Q1732" s="888"/>
      <c r="R1732" s="888"/>
    </row>
    <row r="1733" spans="1:18" s="893" customFormat="1" x14ac:dyDescent="0.3">
      <c r="A1733" s="888" t="s">
        <v>2062</v>
      </c>
      <c r="B1733" s="888" t="s">
        <v>1954</v>
      </c>
      <c r="C1733" s="888" t="s">
        <v>5169</v>
      </c>
      <c r="D1733" s="888"/>
      <c r="E1733" s="893" t="s">
        <v>282</v>
      </c>
      <c r="I1733" s="888"/>
      <c r="J1733" s="888"/>
      <c r="K1733" s="888"/>
      <c r="L1733" s="888"/>
      <c r="M1733" s="888"/>
      <c r="N1733" s="888"/>
      <c r="O1733" s="888"/>
      <c r="P1733" s="888"/>
      <c r="Q1733" s="888"/>
      <c r="R1733" s="888"/>
    </row>
    <row r="1734" spans="1:18" s="893" customFormat="1" x14ac:dyDescent="0.3">
      <c r="A1734" s="888" t="s">
        <v>2062</v>
      </c>
      <c r="B1734" s="888" t="s">
        <v>1954</v>
      </c>
      <c r="C1734" s="888" t="s">
        <v>2298</v>
      </c>
      <c r="D1734" s="888"/>
      <c r="E1734" s="893" t="s">
        <v>284</v>
      </c>
      <c r="I1734" s="888"/>
      <c r="J1734" s="888"/>
      <c r="K1734" s="888"/>
      <c r="L1734" s="888"/>
      <c r="M1734" s="888"/>
      <c r="N1734" s="888"/>
      <c r="O1734" s="888"/>
      <c r="P1734" s="888"/>
      <c r="Q1734" s="888"/>
      <c r="R1734" s="888"/>
    </row>
    <row r="1735" spans="1:18" s="893" customFormat="1" x14ac:dyDescent="0.3">
      <c r="A1735" s="888" t="s">
        <v>2062</v>
      </c>
      <c r="B1735" s="888" t="s">
        <v>1954</v>
      </c>
      <c r="C1735" s="888" t="s">
        <v>2286</v>
      </c>
      <c r="D1735" s="888"/>
      <c r="E1735" s="893" t="s">
        <v>285</v>
      </c>
      <c r="I1735" s="888"/>
      <c r="J1735" s="888"/>
      <c r="K1735" s="888"/>
      <c r="L1735" s="888"/>
      <c r="M1735" s="888"/>
      <c r="N1735" s="888"/>
      <c r="O1735" s="888"/>
      <c r="P1735" s="888"/>
      <c r="Q1735" s="888"/>
      <c r="R1735" s="888"/>
    </row>
    <row r="1736" spans="1:18" s="893" customFormat="1" x14ac:dyDescent="0.3">
      <c r="A1736" s="888" t="s">
        <v>2062</v>
      </c>
      <c r="B1736" s="888" t="s">
        <v>1954</v>
      </c>
      <c r="C1736" s="888" t="s">
        <v>2531</v>
      </c>
      <c r="D1736" s="888"/>
      <c r="E1736" s="893" t="s">
        <v>286</v>
      </c>
      <c r="I1736" s="888"/>
      <c r="J1736" s="888"/>
      <c r="K1736" s="888"/>
      <c r="L1736" s="888"/>
      <c r="M1736" s="888"/>
      <c r="N1736" s="888"/>
      <c r="O1736" s="888"/>
      <c r="P1736" s="888"/>
      <c r="Q1736" s="888"/>
      <c r="R1736" s="888"/>
    </row>
    <row r="1737" spans="1:18" s="893" customFormat="1" x14ac:dyDescent="0.3">
      <c r="A1737" s="888" t="s">
        <v>2062</v>
      </c>
      <c r="B1737" s="888" t="s">
        <v>1954</v>
      </c>
      <c r="C1737" s="888" t="s">
        <v>5170</v>
      </c>
      <c r="D1737" s="888"/>
      <c r="E1737" s="893" t="s">
        <v>287</v>
      </c>
      <c r="I1737" s="888"/>
      <c r="J1737" s="888"/>
      <c r="K1737" s="888"/>
      <c r="L1737" s="888"/>
      <c r="M1737" s="888"/>
      <c r="N1737" s="888"/>
      <c r="O1737" s="888"/>
      <c r="P1737" s="888"/>
      <c r="Q1737" s="888"/>
      <c r="R1737" s="888"/>
    </row>
    <row r="1738" spans="1:18" s="893" customFormat="1" x14ac:dyDescent="0.3">
      <c r="A1738" s="888" t="s">
        <v>2062</v>
      </c>
      <c r="B1738" s="888" t="s">
        <v>1954</v>
      </c>
      <c r="C1738" s="888" t="s">
        <v>2152</v>
      </c>
      <c r="D1738" s="888"/>
      <c r="E1738" s="893" t="s">
        <v>3451</v>
      </c>
      <c r="I1738" s="888"/>
      <c r="J1738" s="888"/>
      <c r="K1738" s="888"/>
      <c r="L1738" s="888"/>
      <c r="M1738" s="888"/>
      <c r="N1738" s="888"/>
      <c r="O1738" s="888"/>
      <c r="P1738" s="888"/>
      <c r="Q1738" s="888"/>
      <c r="R1738" s="888"/>
    </row>
    <row r="1739" spans="1:18" s="893" customFormat="1" x14ac:dyDescent="0.3">
      <c r="A1739" s="888" t="s">
        <v>2062</v>
      </c>
      <c r="B1739" s="888" t="s">
        <v>1954</v>
      </c>
      <c r="C1739" s="888" t="s">
        <v>2532</v>
      </c>
      <c r="D1739" s="888"/>
      <c r="E1739" s="893" t="s">
        <v>294</v>
      </c>
      <c r="I1739" s="888"/>
      <c r="J1739" s="888"/>
      <c r="K1739" s="888"/>
      <c r="L1739" s="888"/>
      <c r="M1739" s="888"/>
      <c r="N1739" s="888"/>
      <c r="O1739" s="888"/>
      <c r="P1739" s="888"/>
      <c r="Q1739" s="888"/>
      <c r="R1739" s="888"/>
    </row>
    <row r="1740" spans="1:18" s="893" customFormat="1" x14ac:dyDescent="0.3">
      <c r="A1740" s="888" t="s">
        <v>2062</v>
      </c>
      <c r="B1740" s="888" t="s">
        <v>1954</v>
      </c>
      <c r="C1740" s="888" t="s">
        <v>2533</v>
      </c>
      <c r="D1740" s="888"/>
      <c r="E1740" s="893" t="s">
        <v>295</v>
      </c>
      <c r="I1740" s="888"/>
      <c r="J1740" s="888"/>
      <c r="K1740" s="888"/>
      <c r="L1740" s="888"/>
      <c r="M1740" s="888"/>
      <c r="N1740" s="888"/>
      <c r="O1740" s="888"/>
      <c r="P1740" s="888"/>
      <c r="Q1740" s="888"/>
      <c r="R1740" s="888"/>
    </row>
    <row r="1741" spans="1:18" s="893" customFormat="1" x14ac:dyDescent="0.3">
      <c r="A1741" s="888" t="s">
        <v>2062</v>
      </c>
      <c r="B1741" s="888" t="s">
        <v>1954</v>
      </c>
      <c r="C1741" s="888" t="s">
        <v>2299</v>
      </c>
      <c r="D1741" s="888"/>
      <c r="E1741" s="893" t="s">
        <v>1299</v>
      </c>
      <c r="I1741" s="888"/>
      <c r="J1741" s="888"/>
      <c r="K1741" s="888"/>
      <c r="L1741" s="888"/>
      <c r="M1741" s="888"/>
      <c r="N1741" s="888"/>
      <c r="O1741" s="888"/>
      <c r="P1741" s="888"/>
      <c r="Q1741" s="888"/>
      <c r="R1741" s="888"/>
    </row>
    <row r="1742" spans="1:18" s="893" customFormat="1" x14ac:dyDescent="0.3">
      <c r="A1742" s="888" t="s">
        <v>2062</v>
      </c>
      <c r="B1742" s="888" t="s">
        <v>1954</v>
      </c>
      <c r="C1742" s="888" t="s">
        <v>2534</v>
      </c>
      <c r="D1742" s="888"/>
      <c r="E1742" s="893" t="s">
        <v>1300</v>
      </c>
      <c r="I1742" s="888"/>
      <c r="J1742" s="888"/>
      <c r="K1742" s="888"/>
      <c r="L1742" s="888"/>
      <c r="M1742" s="888"/>
      <c r="N1742" s="888"/>
      <c r="O1742" s="888"/>
      <c r="P1742" s="888"/>
      <c r="Q1742" s="888"/>
      <c r="R1742" s="888"/>
    </row>
    <row r="1743" spans="1:18" s="893" customFormat="1" x14ac:dyDescent="0.3">
      <c r="A1743" s="888" t="s">
        <v>2062</v>
      </c>
      <c r="B1743" s="888" t="s">
        <v>1954</v>
      </c>
      <c r="C1743" s="888" t="s">
        <v>2535</v>
      </c>
      <c r="D1743" s="888"/>
      <c r="E1743" s="893" t="s">
        <v>1301</v>
      </c>
      <c r="I1743" s="888"/>
      <c r="J1743" s="888"/>
      <c r="K1743" s="888"/>
      <c r="L1743" s="888"/>
      <c r="M1743" s="888"/>
      <c r="N1743" s="888"/>
      <c r="O1743" s="888"/>
      <c r="P1743" s="888"/>
      <c r="Q1743" s="888"/>
      <c r="R1743" s="888"/>
    </row>
    <row r="1744" spans="1:18" s="893" customFormat="1" x14ac:dyDescent="0.3">
      <c r="A1744" s="888" t="s">
        <v>2062</v>
      </c>
      <c r="B1744" s="888" t="s">
        <v>1954</v>
      </c>
      <c r="C1744" s="888" t="s">
        <v>2153</v>
      </c>
      <c r="D1744" s="888"/>
      <c r="E1744" s="893" t="s">
        <v>1303</v>
      </c>
      <c r="I1744" s="888"/>
      <c r="J1744" s="888"/>
      <c r="K1744" s="888"/>
      <c r="L1744" s="888"/>
      <c r="M1744" s="888"/>
      <c r="N1744" s="888"/>
      <c r="O1744" s="888"/>
      <c r="P1744" s="888"/>
      <c r="Q1744" s="888"/>
      <c r="R1744" s="888"/>
    </row>
    <row r="1745" spans="1:18" s="893" customFormat="1" x14ac:dyDescent="0.3">
      <c r="A1745" s="888" t="s">
        <v>2062</v>
      </c>
      <c r="B1745" s="888" t="s">
        <v>1954</v>
      </c>
      <c r="C1745" s="888" t="s">
        <v>2323</v>
      </c>
      <c r="D1745" s="888"/>
      <c r="E1745" s="893" t="str">
        <f>$E$1742</f>
        <v>CRMCA</v>
      </c>
      <c r="I1745" s="888"/>
      <c r="J1745" s="888"/>
      <c r="K1745" s="888"/>
      <c r="L1745" s="888"/>
      <c r="M1745" s="888"/>
      <c r="N1745" s="888"/>
      <c r="O1745" s="888"/>
      <c r="P1745" s="888"/>
      <c r="Q1745" s="888"/>
      <c r="R1745" s="888"/>
    </row>
    <row r="1746" spans="1:18" s="893" customFormat="1" x14ac:dyDescent="0.3">
      <c r="A1746" s="888" t="s">
        <v>2062</v>
      </c>
      <c r="B1746" s="888" t="s">
        <v>1954</v>
      </c>
      <c r="C1746" s="888" t="s">
        <v>2536</v>
      </c>
      <c r="D1746" s="888"/>
      <c r="E1746" s="893" t="str">
        <f>$E$1743</f>
        <v>Can. Avg.</v>
      </c>
      <c r="I1746" s="888"/>
      <c r="J1746" s="888"/>
      <c r="K1746" s="888"/>
      <c r="L1746" s="888"/>
      <c r="M1746" s="888"/>
      <c r="N1746" s="888"/>
      <c r="O1746" s="888"/>
      <c r="P1746" s="888"/>
      <c r="Q1746" s="888"/>
      <c r="R1746" s="888"/>
    </row>
    <row r="1747" spans="1:18" s="893" customFormat="1" x14ac:dyDescent="0.3">
      <c r="A1747" s="888" t="s">
        <v>2062</v>
      </c>
      <c r="B1747" s="888" t="s">
        <v>1954</v>
      </c>
      <c r="C1747" s="888" t="s">
        <v>2217</v>
      </c>
      <c r="D1747" s="888"/>
      <c r="E1747" s="893" t="s">
        <v>1305</v>
      </c>
      <c r="I1747" s="888"/>
      <c r="J1747" s="888"/>
      <c r="K1747" s="888"/>
      <c r="L1747" s="888"/>
      <c r="M1747" s="888"/>
      <c r="N1747" s="888"/>
      <c r="O1747" s="888"/>
      <c r="P1747" s="888"/>
      <c r="Q1747" s="888"/>
      <c r="R1747" s="888"/>
    </row>
    <row r="1748" spans="1:18" s="893" customFormat="1" x14ac:dyDescent="0.3">
      <c r="A1748" s="888" t="s">
        <v>2062</v>
      </c>
      <c r="B1748" s="888" t="s">
        <v>1954</v>
      </c>
      <c r="C1748" s="888" t="s">
        <v>2154</v>
      </c>
      <c r="D1748" s="888"/>
      <c r="E1748" s="893" t="str">
        <f>$E$1742</f>
        <v>CRMCA</v>
      </c>
      <c r="I1748" s="888"/>
      <c r="J1748" s="888"/>
      <c r="K1748" s="888"/>
      <c r="L1748" s="888"/>
      <c r="M1748" s="888"/>
      <c r="N1748" s="888"/>
      <c r="O1748" s="888"/>
      <c r="P1748" s="888"/>
      <c r="Q1748" s="888"/>
      <c r="R1748" s="888"/>
    </row>
    <row r="1749" spans="1:18" s="893" customFormat="1" ht="15.6" x14ac:dyDescent="0.3">
      <c r="A1749" s="888" t="s">
        <v>2062</v>
      </c>
      <c r="B1749" s="888" t="s">
        <v>1954</v>
      </c>
      <c r="C1749" s="888" t="s">
        <v>2179</v>
      </c>
      <c r="D1749" s="888"/>
      <c r="E1749" s="402" t="str">
        <f>$E$1743</f>
        <v>Can. Avg.</v>
      </c>
      <c r="I1749" s="888"/>
      <c r="J1749" s="888"/>
      <c r="K1749" s="888"/>
      <c r="L1749" s="888"/>
      <c r="M1749" s="888"/>
      <c r="N1749" s="888"/>
      <c r="O1749" s="888"/>
      <c r="P1749" s="888"/>
      <c r="Q1749" s="888"/>
      <c r="R1749" s="888"/>
    </row>
    <row r="1750" spans="1:18" s="893" customFormat="1" x14ac:dyDescent="0.3">
      <c r="A1750" s="888" t="s">
        <v>2062</v>
      </c>
      <c r="B1750" s="888" t="s">
        <v>1954</v>
      </c>
      <c r="C1750" s="888" t="s">
        <v>2180</v>
      </c>
      <c r="D1750" s="888"/>
      <c r="E1750" s="893" t="s">
        <v>1307</v>
      </c>
      <c r="I1750" s="888"/>
      <c r="J1750" s="888"/>
      <c r="K1750" s="888"/>
      <c r="L1750" s="888"/>
      <c r="M1750" s="888"/>
      <c r="N1750" s="888"/>
      <c r="O1750" s="888"/>
      <c r="P1750" s="888"/>
      <c r="Q1750" s="888"/>
      <c r="R1750" s="888"/>
    </row>
    <row r="1751" spans="1:18" s="893" customFormat="1" x14ac:dyDescent="0.3">
      <c r="A1751" s="888" t="s">
        <v>2062</v>
      </c>
      <c r="B1751" s="888" t="s">
        <v>1954</v>
      </c>
      <c r="C1751" s="888" t="s">
        <v>2218</v>
      </c>
      <c r="D1751" s="888"/>
      <c r="E1751" s="893" t="str">
        <f>$E$1742</f>
        <v>CRMCA</v>
      </c>
      <c r="I1751" s="888"/>
      <c r="J1751" s="888"/>
      <c r="K1751" s="888"/>
      <c r="L1751" s="888"/>
      <c r="M1751" s="888"/>
      <c r="N1751" s="888"/>
      <c r="O1751" s="888"/>
      <c r="P1751" s="888"/>
      <c r="Q1751" s="888"/>
      <c r="R1751" s="888"/>
    </row>
    <row r="1752" spans="1:18" s="893" customFormat="1" x14ac:dyDescent="0.3">
      <c r="A1752" s="888" t="s">
        <v>2062</v>
      </c>
      <c r="B1752" s="888" t="s">
        <v>1954</v>
      </c>
      <c r="C1752" s="888" t="s">
        <v>2537</v>
      </c>
      <c r="D1752" s="888"/>
      <c r="E1752" s="893" t="str">
        <f>$E$1743</f>
        <v>Can. Avg.</v>
      </c>
      <c r="I1752" s="888"/>
      <c r="J1752" s="888"/>
      <c r="K1752" s="888"/>
      <c r="L1752" s="888"/>
      <c r="M1752" s="888"/>
      <c r="N1752" s="888"/>
      <c r="O1752" s="888"/>
      <c r="P1752" s="888"/>
      <c r="Q1752" s="888"/>
      <c r="R1752" s="888"/>
    </row>
    <row r="1753" spans="1:18" s="893" customFormat="1" x14ac:dyDescent="0.3">
      <c r="A1753" s="888" t="s">
        <v>2062</v>
      </c>
      <c r="B1753" s="888" t="s">
        <v>1954</v>
      </c>
      <c r="C1753" s="888" t="s">
        <v>2250</v>
      </c>
      <c r="D1753" s="888"/>
      <c r="E1753" s="893" t="s">
        <v>1309</v>
      </c>
      <c r="I1753" s="888"/>
      <c r="J1753" s="888"/>
      <c r="K1753" s="888"/>
      <c r="L1753" s="888"/>
      <c r="M1753" s="888"/>
      <c r="N1753" s="888"/>
      <c r="O1753" s="888"/>
      <c r="P1753" s="888"/>
      <c r="Q1753" s="888"/>
      <c r="R1753" s="888"/>
    </row>
    <row r="1754" spans="1:18" s="893" customFormat="1" x14ac:dyDescent="0.3">
      <c r="A1754" s="888" t="s">
        <v>2062</v>
      </c>
      <c r="B1754" s="888" t="s">
        <v>1954</v>
      </c>
      <c r="C1754" s="888" t="s">
        <v>2538</v>
      </c>
      <c r="D1754" s="888"/>
      <c r="E1754" s="893" t="str">
        <f>$E$1742</f>
        <v>CRMCA</v>
      </c>
      <c r="I1754" s="888"/>
      <c r="J1754" s="888"/>
      <c r="K1754" s="888"/>
      <c r="L1754" s="888"/>
      <c r="M1754" s="888"/>
      <c r="N1754" s="888"/>
      <c r="O1754" s="888"/>
      <c r="P1754" s="888"/>
      <c r="Q1754" s="888"/>
      <c r="R1754" s="888"/>
    </row>
    <row r="1755" spans="1:18" s="893" customFormat="1" x14ac:dyDescent="0.3">
      <c r="A1755" s="888" t="s">
        <v>2062</v>
      </c>
      <c r="B1755" s="888" t="s">
        <v>1954</v>
      </c>
      <c r="C1755" s="888" t="s">
        <v>2539</v>
      </c>
      <c r="D1755" s="888"/>
      <c r="E1755" s="893" t="str">
        <f>$E$1743</f>
        <v>Can. Avg.</v>
      </c>
      <c r="I1755" s="888"/>
      <c r="J1755" s="888"/>
      <c r="K1755" s="888"/>
      <c r="L1755" s="888"/>
      <c r="M1755" s="888"/>
      <c r="N1755" s="888"/>
      <c r="O1755" s="888"/>
      <c r="P1755" s="888"/>
      <c r="Q1755" s="888"/>
      <c r="R1755" s="888"/>
    </row>
    <row r="1756" spans="1:18" s="893" customFormat="1" x14ac:dyDescent="0.3">
      <c r="A1756" s="888" t="s">
        <v>2062</v>
      </c>
      <c r="B1756" s="888" t="s">
        <v>1954</v>
      </c>
      <c r="C1756" s="888" t="s">
        <v>2540</v>
      </c>
      <c r="D1756" s="888"/>
      <c r="E1756" s="893" t="s">
        <v>1311</v>
      </c>
      <c r="I1756" s="888"/>
      <c r="J1756" s="888"/>
      <c r="K1756" s="888"/>
      <c r="L1756" s="888"/>
      <c r="M1756" s="888"/>
      <c r="N1756" s="888"/>
      <c r="O1756" s="888"/>
      <c r="P1756" s="888"/>
      <c r="Q1756" s="888"/>
      <c r="R1756" s="888"/>
    </row>
    <row r="1757" spans="1:18" s="893" customFormat="1" x14ac:dyDescent="0.3">
      <c r="A1757" s="888" t="s">
        <v>2062</v>
      </c>
      <c r="B1757" s="888" t="s">
        <v>1954</v>
      </c>
      <c r="C1757" s="888" t="s">
        <v>2541</v>
      </c>
      <c r="D1757" s="888"/>
      <c r="E1757" s="893" t="str">
        <f>$E$1742</f>
        <v>CRMCA</v>
      </c>
      <c r="I1757" s="888"/>
      <c r="J1757" s="888"/>
      <c r="K1757" s="888"/>
      <c r="L1757" s="888"/>
      <c r="M1757" s="888"/>
      <c r="N1757" s="888"/>
      <c r="O1757" s="888"/>
      <c r="P1757" s="888"/>
      <c r="Q1757" s="888"/>
      <c r="R1757" s="888"/>
    </row>
    <row r="1758" spans="1:18" s="893" customFormat="1" x14ac:dyDescent="0.3">
      <c r="A1758" s="888" t="s">
        <v>2062</v>
      </c>
      <c r="B1758" s="888" t="s">
        <v>1954</v>
      </c>
      <c r="C1758" s="888" t="s">
        <v>2542</v>
      </c>
      <c r="D1758" s="888"/>
      <c r="E1758" s="893" t="str">
        <f>$E$1743</f>
        <v>Can. Avg.</v>
      </c>
      <c r="I1758" s="888"/>
      <c r="J1758" s="888"/>
      <c r="K1758" s="888"/>
      <c r="L1758" s="888"/>
      <c r="M1758" s="888"/>
      <c r="N1758" s="888"/>
      <c r="O1758" s="888"/>
      <c r="P1758" s="888"/>
      <c r="Q1758" s="888"/>
      <c r="R1758" s="888"/>
    </row>
    <row r="1759" spans="1:18" s="893" customFormat="1" x14ac:dyDescent="0.3">
      <c r="A1759" s="888" t="s">
        <v>2062</v>
      </c>
      <c r="B1759" s="888" t="s">
        <v>1954</v>
      </c>
      <c r="C1759" s="888" t="s">
        <v>2155</v>
      </c>
      <c r="D1759" s="888"/>
      <c r="E1759" s="893" t="s">
        <v>1313</v>
      </c>
      <c r="I1759" s="888"/>
      <c r="J1759" s="888"/>
      <c r="K1759" s="888"/>
      <c r="L1759" s="888"/>
      <c r="M1759" s="888"/>
      <c r="N1759" s="888"/>
      <c r="O1759" s="888"/>
      <c r="P1759" s="888"/>
      <c r="Q1759" s="888"/>
      <c r="R1759" s="888"/>
    </row>
    <row r="1760" spans="1:18" s="893" customFormat="1" x14ac:dyDescent="0.3">
      <c r="A1760" s="888" t="s">
        <v>2062</v>
      </c>
      <c r="B1760" s="888" t="s">
        <v>1954</v>
      </c>
      <c r="C1760" s="888" t="s">
        <v>2543</v>
      </c>
      <c r="D1760" s="888"/>
      <c r="E1760" s="893" t="str">
        <f>$E$1742</f>
        <v>CRMCA</v>
      </c>
      <c r="I1760" s="888"/>
      <c r="J1760" s="888"/>
      <c r="K1760" s="888"/>
      <c r="L1760" s="888"/>
      <c r="M1760" s="888"/>
      <c r="N1760" s="888"/>
      <c r="O1760" s="888"/>
      <c r="P1760" s="888"/>
      <c r="Q1760" s="888"/>
      <c r="R1760" s="888"/>
    </row>
    <row r="1761" spans="1:18" s="893" customFormat="1" x14ac:dyDescent="0.3">
      <c r="A1761" s="888" t="s">
        <v>2062</v>
      </c>
      <c r="B1761" s="888" t="s">
        <v>1954</v>
      </c>
      <c r="C1761" s="888" t="s">
        <v>2544</v>
      </c>
      <c r="D1761" s="888"/>
      <c r="E1761" s="893" t="str">
        <f>$E$1743</f>
        <v>Can. Avg.</v>
      </c>
      <c r="I1761" s="888"/>
      <c r="J1761" s="888"/>
      <c r="K1761" s="888"/>
      <c r="L1761" s="888"/>
      <c r="M1761" s="888"/>
      <c r="N1761" s="888"/>
      <c r="O1761" s="888"/>
      <c r="P1761" s="888"/>
      <c r="Q1761" s="888"/>
      <c r="R1761" s="888"/>
    </row>
    <row r="1762" spans="1:18" s="893" customFormat="1" x14ac:dyDescent="0.3">
      <c r="A1762" s="888" t="s">
        <v>2062</v>
      </c>
      <c r="B1762" s="888" t="s">
        <v>1954</v>
      </c>
      <c r="C1762" s="888" t="s">
        <v>2181</v>
      </c>
      <c r="D1762" s="888"/>
      <c r="E1762" s="893" t="s">
        <v>1315</v>
      </c>
      <c r="I1762" s="888"/>
      <c r="J1762" s="888"/>
      <c r="K1762" s="888"/>
      <c r="L1762" s="888"/>
      <c r="M1762" s="888"/>
      <c r="N1762" s="888"/>
      <c r="O1762" s="888"/>
      <c r="P1762" s="888"/>
      <c r="Q1762" s="888"/>
      <c r="R1762" s="888"/>
    </row>
    <row r="1763" spans="1:18" s="893" customFormat="1" x14ac:dyDescent="0.3">
      <c r="A1763" s="888" t="s">
        <v>2062</v>
      </c>
      <c r="B1763" s="888" t="s">
        <v>1954</v>
      </c>
      <c r="C1763" s="888" t="s">
        <v>2156</v>
      </c>
      <c r="D1763" s="888"/>
      <c r="E1763" s="893" t="str">
        <f>$E$1742</f>
        <v>CRMCA</v>
      </c>
      <c r="I1763" s="888"/>
      <c r="J1763" s="888"/>
      <c r="K1763" s="888"/>
      <c r="L1763" s="888"/>
      <c r="M1763" s="888"/>
      <c r="N1763" s="888"/>
      <c r="O1763" s="888"/>
      <c r="P1763" s="888"/>
      <c r="Q1763" s="888"/>
      <c r="R1763" s="888"/>
    </row>
    <row r="1764" spans="1:18" s="893" customFormat="1" x14ac:dyDescent="0.3">
      <c r="A1764" s="888" t="s">
        <v>2062</v>
      </c>
      <c r="B1764" s="888" t="s">
        <v>1954</v>
      </c>
      <c r="C1764" s="888" t="s">
        <v>2545</v>
      </c>
      <c r="D1764" s="888"/>
      <c r="E1764" s="893" t="str">
        <f>$E$1743</f>
        <v>Can. Avg.</v>
      </c>
      <c r="I1764" s="888"/>
      <c r="J1764" s="888"/>
      <c r="K1764" s="888"/>
      <c r="L1764" s="888"/>
      <c r="M1764" s="888"/>
      <c r="N1764" s="888"/>
      <c r="O1764" s="888"/>
      <c r="P1764" s="888"/>
      <c r="Q1764" s="888"/>
      <c r="R1764" s="888"/>
    </row>
    <row r="1765" spans="1:18" s="893" customFormat="1" x14ac:dyDescent="0.3">
      <c r="A1765" s="888" t="s">
        <v>2062</v>
      </c>
      <c r="B1765" s="888" t="s">
        <v>1954</v>
      </c>
      <c r="C1765" s="888" t="s">
        <v>2287</v>
      </c>
      <c r="D1765" s="888"/>
      <c r="E1765" s="893" t="s">
        <v>1317</v>
      </c>
      <c r="I1765" s="888"/>
      <c r="J1765" s="888"/>
      <c r="K1765" s="888"/>
      <c r="L1765" s="888"/>
      <c r="M1765" s="888"/>
      <c r="N1765" s="888"/>
      <c r="O1765" s="888"/>
      <c r="P1765" s="888"/>
      <c r="Q1765" s="888"/>
      <c r="R1765" s="888"/>
    </row>
    <row r="1766" spans="1:18" s="893" customFormat="1" x14ac:dyDescent="0.3">
      <c r="A1766" s="888" t="s">
        <v>2062</v>
      </c>
      <c r="B1766" s="888" t="s">
        <v>1954</v>
      </c>
      <c r="C1766" s="888" t="s">
        <v>2219</v>
      </c>
      <c r="D1766" s="888"/>
      <c r="E1766" s="893" t="str">
        <f>$E$1742</f>
        <v>CRMCA</v>
      </c>
      <c r="I1766" s="888"/>
      <c r="J1766" s="888"/>
      <c r="K1766" s="888"/>
      <c r="L1766" s="888"/>
      <c r="M1766" s="888"/>
      <c r="N1766" s="888"/>
      <c r="O1766" s="888"/>
      <c r="P1766" s="888"/>
      <c r="Q1766" s="888"/>
      <c r="R1766" s="888"/>
    </row>
    <row r="1767" spans="1:18" s="893" customFormat="1" x14ac:dyDescent="0.3">
      <c r="A1767" s="888" t="s">
        <v>2062</v>
      </c>
      <c r="B1767" s="888" t="s">
        <v>1954</v>
      </c>
      <c r="C1767" s="888" t="s">
        <v>2182</v>
      </c>
      <c r="D1767" s="888"/>
      <c r="E1767" s="893" t="str">
        <f>$E$1743</f>
        <v>Can. Avg.</v>
      </c>
      <c r="I1767" s="888"/>
      <c r="J1767" s="888"/>
      <c r="K1767" s="888"/>
      <c r="L1767" s="888"/>
      <c r="M1767" s="888"/>
      <c r="N1767" s="888"/>
      <c r="O1767" s="888"/>
      <c r="P1767" s="888"/>
      <c r="Q1767" s="888"/>
      <c r="R1767" s="888"/>
    </row>
    <row r="1768" spans="1:18" s="893" customFormat="1" x14ac:dyDescent="0.3">
      <c r="A1768" s="888" t="s">
        <v>2062</v>
      </c>
      <c r="B1768" s="888" t="s">
        <v>1954</v>
      </c>
      <c r="C1768" s="888" t="s">
        <v>2183</v>
      </c>
      <c r="D1768" s="888"/>
      <c r="E1768" s="893" t="s">
        <v>1319</v>
      </c>
      <c r="I1768" s="888"/>
      <c r="J1768" s="888"/>
      <c r="K1768" s="888"/>
      <c r="L1768" s="888"/>
      <c r="M1768" s="888"/>
      <c r="N1768" s="888"/>
      <c r="O1768" s="888"/>
      <c r="P1768" s="888"/>
      <c r="Q1768" s="888"/>
      <c r="R1768" s="888"/>
    </row>
    <row r="1769" spans="1:18" s="893" customFormat="1" x14ac:dyDescent="0.3">
      <c r="A1769" s="888" t="s">
        <v>2062</v>
      </c>
      <c r="B1769" s="888" t="s">
        <v>1954</v>
      </c>
      <c r="C1769" s="888" t="s">
        <v>2325</v>
      </c>
      <c r="D1769" s="888"/>
      <c r="E1769" s="893" t="str">
        <f>$E$1742</f>
        <v>CRMCA</v>
      </c>
      <c r="I1769" s="888"/>
      <c r="J1769" s="888"/>
      <c r="K1769" s="888"/>
      <c r="L1769" s="888"/>
      <c r="M1769" s="888"/>
      <c r="N1769" s="888"/>
      <c r="O1769" s="888"/>
      <c r="P1769" s="888"/>
      <c r="Q1769" s="888"/>
      <c r="R1769" s="888"/>
    </row>
    <row r="1770" spans="1:18" s="893" customFormat="1" x14ac:dyDescent="0.3">
      <c r="A1770" s="888" t="s">
        <v>2062</v>
      </c>
      <c r="B1770" s="888" t="s">
        <v>1954</v>
      </c>
      <c r="C1770" s="888" t="s">
        <v>2546</v>
      </c>
      <c r="D1770" s="888"/>
      <c r="E1770" s="893" t="str">
        <f>$E$1743</f>
        <v>Can. Avg.</v>
      </c>
      <c r="I1770" s="888"/>
      <c r="J1770" s="888"/>
      <c r="K1770" s="888"/>
      <c r="L1770" s="888"/>
      <c r="M1770" s="888"/>
      <c r="N1770" s="888"/>
      <c r="O1770" s="888"/>
      <c r="P1770" s="888"/>
      <c r="Q1770" s="888"/>
      <c r="R1770" s="888"/>
    </row>
    <row r="1771" spans="1:18" s="893" customFormat="1" x14ac:dyDescent="0.3">
      <c r="A1771" s="888" t="s">
        <v>2062</v>
      </c>
      <c r="B1771" s="888" t="s">
        <v>1954</v>
      </c>
      <c r="C1771" s="888" t="s">
        <v>2157</v>
      </c>
      <c r="D1771" s="888"/>
      <c r="E1771" s="893" t="s">
        <v>1321</v>
      </c>
      <c r="I1771" s="888"/>
      <c r="J1771" s="888"/>
      <c r="K1771" s="888"/>
      <c r="L1771" s="888"/>
      <c r="M1771" s="888"/>
      <c r="N1771" s="888"/>
      <c r="O1771" s="888"/>
      <c r="P1771" s="888"/>
      <c r="Q1771" s="888"/>
      <c r="R1771" s="888"/>
    </row>
    <row r="1772" spans="1:18" s="893" customFormat="1" x14ac:dyDescent="0.3">
      <c r="A1772" s="888" t="s">
        <v>2062</v>
      </c>
      <c r="B1772" s="888" t="s">
        <v>1954</v>
      </c>
      <c r="C1772" s="888" t="s">
        <v>2185</v>
      </c>
      <c r="D1772" s="888"/>
      <c r="E1772" s="893" t="str">
        <f>$E$1742</f>
        <v>CRMCA</v>
      </c>
      <c r="I1772" s="888"/>
      <c r="J1772" s="888"/>
      <c r="K1772" s="888"/>
      <c r="L1772" s="888"/>
      <c r="M1772" s="888"/>
      <c r="N1772" s="888"/>
      <c r="O1772" s="888"/>
      <c r="P1772" s="888"/>
      <c r="Q1772" s="888"/>
      <c r="R1772" s="888"/>
    </row>
    <row r="1773" spans="1:18" s="893" customFormat="1" x14ac:dyDescent="0.3">
      <c r="A1773" s="888" t="s">
        <v>2062</v>
      </c>
      <c r="B1773" s="888" t="s">
        <v>1954</v>
      </c>
      <c r="C1773" s="888" t="s">
        <v>2547</v>
      </c>
      <c r="D1773" s="888"/>
      <c r="E1773" s="893" t="str">
        <f>$E$1743</f>
        <v>Can. Avg.</v>
      </c>
      <c r="I1773" s="888"/>
      <c r="J1773" s="888"/>
      <c r="K1773" s="888"/>
      <c r="L1773" s="888"/>
      <c r="M1773" s="888"/>
      <c r="N1773" s="888"/>
      <c r="O1773" s="888"/>
      <c r="P1773" s="888"/>
      <c r="Q1773" s="888"/>
      <c r="R1773" s="888"/>
    </row>
    <row r="1774" spans="1:18" s="893" customFormat="1" x14ac:dyDescent="0.3">
      <c r="A1774" s="888" t="s">
        <v>2062</v>
      </c>
      <c r="B1774" s="888" t="s">
        <v>1954</v>
      </c>
      <c r="C1774" s="888" t="s">
        <v>2288</v>
      </c>
      <c r="D1774" s="888"/>
      <c r="E1774" s="893" t="s">
        <v>1323</v>
      </c>
      <c r="I1774" s="888"/>
      <c r="J1774" s="888"/>
      <c r="K1774" s="888"/>
      <c r="L1774" s="888"/>
      <c r="M1774" s="888"/>
      <c r="N1774" s="888"/>
      <c r="O1774" s="888"/>
      <c r="P1774" s="888"/>
      <c r="Q1774" s="888"/>
      <c r="R1774" s="888"/>
    </row>
    <row r="1775" spans="1:18" s="893" customFormat="1" x14ac:dyDescent="0.3">
      <c r="A1775" s="888" t="s">
        <v>2062</v>
      </c>
      <c r="B1775" s="888" t="s">
        <v>1954</v>
      </c>
      <c r="C1775" s="888" t="s">
        <v>2251</v>
      </c>
      <c r="D1775" s="888"/>
      <c r="E1775" s="893" t="str">
        <f>$E$1742</f>
        <v>CRMCA</v>
      </c>
      <c r="I1775" s="888"/>
      <c r="J1775" s="888"/>
      <c r="K1775" s="888"/>
      <c r="L1775" s="888"/>
      <c r="M1775" s="888"/>
      <c r="N1775" s="888"/>
      <c r="O1775" s="888"/>
      <c r="P1775" s="888"/>
      <c r="Q1775" s="888"/>
      <c r="R1775" s="888"/>
    </row>
    <row r="1776" spans="1:18" s="893" customFormat="1" x14ac:dyDescent="0.3">
      <c r="A1776" s="888" t="s">
        <v>2062</v>
      </c>
      <c r="B1776" s="888" t="s">
        <v>1954</v>
      </c>
      <c r="C1776" s="888" t="s">
        <v>2548</v>
      </c>
      <c r="D1776" s="888"/>
      <c r="E1776" s="893" t="str">
        <f>$E$1743</f>
        <v>Can. Avg.</v>
      </c>
      <c r="I1776" s="888"/>
      <c r="J1776" s="888"/>
      <c r="K1776" s="888"/>
      <c r="L1776" s="888"/>
      <c r="M1776" s="888"/>
      <c r="N1776" s="888"/>
      <c r="O1776" s="888"/>
      <c r="P1776" s="888"/>
      <c r="Q1776" s="888"/>
      <c r="R1776" s="888"/>
    </row>
    <row r="1777" spans="1:18" s="893" customFormat="1" x14ac:dyDescent="0.3">
      <c r="A1777" s="888" t="s">
        <v>2062</v>
      </c>
      <c r="B1777" s="888" t="s">
        <v>1954</v>
      </c>
      <c r="C1777" s="888" t="s">
        <v>2300</v>
      </c>
      <c r="D1777" s="888"/>
      <c r="E1777" s="893" t="s">
        <v>1325</v>
      </c>
      <c r="I1777" s="888"/>
      <c r="J1777" s="888"/>
      <c r="K1777" s="888"/>
      <c r="L1777" s="888"/>
      <c r="M1777" s="888"/>
      <c r="N1777" s="888"/>
      <c r="O1777" s="888"/>
      <c r="P1777" s="888"/>
      <c r="Q1777" s="888"/>
      <c r="R1777" s="888"/>
    </row>
    <row r="1778" spans="1:18" s="893" customFormat="1" x14ac:dyDescent="0.3">
      <c r="A1778" s="888" t="s">
        <v>2062</v>
      </c>
      <c r="B1778" s="888" t="s">
        <v>1954</v>
      </c>
      <c r="C1778" s="888" t="s">
        <v>2549</v>
      </c>
      <c r="D1778" s="888"/>
      <c r="E1778" s="893" t="str">
        <f>$E$1742</f>
        <v>CRMCA</v>
      </c>
      <c r="I1778" s="888"/>
      <c r="J1778" s="888"/>
      <c r="K1778" s="888"/>
      <c r="L1778" s="888"/>
      <c r="M1778" s="888"/>
      <c r="N1778" s="888"/>
      <c r="O1778" s="888"/>
      <c r="P1778" s="888"/>
      <c r="Q1778" s="888"/>
      <c r="R1778" s="888"/>
    </row>
    <row r="1779" spans="1:18" s="893" customFormat="1" x14ac:dyDescent="0.3">
      <c r="A1779" s="888" t="s">
        <v>2062</v>
      </c>
      <c r="B1779" s="888" t="s">
        <v>1954</v>
      </c>
      <c r="C1779" s="888" t="s">
        <v>2550</v>
      </c>
      <c r="D1779" s="888"/>
      <c r="E1779" s="893" t="str">
        <f>$E$1743</f>
        <v>Can. Avg.</v>
      </c>
      <c r="I1779" s="888"/>
      <c r="J1779" s="888"/>
      <c r="K1779" s="888"/>
      <c r="L1779" s="888"/>
      <c r="M1779" s="888"/>
      <c r="N1779" s="888"/>
      <c r="O1779" s="888"/>
      <c r="P1779" s="888"/>
      <c r="Q1779" s="888"/>
      <c r="R1779" s="888"/>
    </row>
    <row r="1780" spans="1:18" s="893" customFormat="1" x14ac:dyDescent="0.3">
      <c r="A1780" s="888" t="s">
        <v>2062</v>
      </c>
      <c r="B1780" s="888" t="s">
        <v>1954</v>
      </c>
      <c r="C1780" s="888" t="s">
        <v>2158</v>
      </c>
      <c r="D1780" s="888"/>
      <c r="E1780" s="893" t="s">
        <v>1327</v>
      </c>
      <c r="I1780" s="888"/>
      <c r="J1780" s="888"/>
      <c r="K1780" s="888"/>
      <c r="L1780" s="888"/>
      <c r="M1780" s="888"/>
      <c r="N1780" s="888"/>
      <c r="O1780" s="888"/>
      <c r="P1780" s="888"/>
      <c r="Q1780" s="888"/>
      <c r="R1780" s="888"/>
    </row>
    <row r="1781" spans="1:18" s="893" customFormat="1" x14ac:dyDescent="0.3">
      <c r="A1781" s="888" t="s">
        <v>2062</v>
      </c>
      <c r="B1781" s="888" t="s">
        <v>1954</v>
      </c>
      <c r="C1781" s="888" t="s">
        <v>2301</v>
      </c>
      <c r="D1781" s="888"/>
      <c r="E1781" s="893" t="str">
        <f>$E$1742</f>
        <v>CRMCA</v>
      </c>
      <c r="I1781" s="888"/>
      <c r="J1781" s="888"/>
      <c r="K1781" s="888"/>
      <c r="L1781" s="888"/>
      <c r="M1781" s="888"/>
      <c r="N1781" s="888"/>
      <c r="O1781" s="888"/>
      <c r="P1781" s="888"/>
      <c r="Q1781" s="888"/>
      <c r="R1781" s="888"/>
    </row>
    <row r="1782" spans="1:18" s="893" customFormat="1" x14ac:dyDescent="0.3">
      <c r="A1782" s="888" t="s">
        <v>2062</v>
      </c>
      <c r="B1782" s="888" t="s">
        <v>1954</v>
      </c>
      <c r="C1782" s="888" t="s">
        <v>2327</v>
      </c>
      <c r="D1782" s="888"/>
      <c r="E1782" s="893" t="str">
        <f>$E$1743</f>
        <v>Can. Avg.</v>
      </c>
      <c r="I1782" s="888"/>
      <c r="J1782" s="888"/>
      <c r="K1782" s="888"/>
      <c r="L1782" s="888"/>
      <c r="M1782" s="888"/>
      <c r="N1782" s="888"/>
      <c r="O1782" s="888"/>
      <c r="P1782" s="888"/>
      <c r="Q1782" s="888"/>
      <c r="R1782" s="888"/>
    </row>
    <row r="1783" spans="1:18" s="893" customFormat="1" x14ac:dyDescent="0.3">
      <c r="A1783" s="888" t="s">
        <v>2062</v>
      </c>
      <c r="B1783" s="888" t="s">
        <v>1954</v>
      </c>
      <c r="C1783" s="888" t="s">
        <v>2289</v>
      </c>
      <c r="D1783" s="888"/>
      <c r="E1783" s="893" t="s">
        <v>1329</v>
      </c>
      <c r="I1783" s="888"/>
      <c r="J1783" s="888"/>
      <c r="K1783" s="888"/>
      <c r="L1783" s="888"/>
      <c r="M1783" s="888"/>
      <c r="N1783" s="888"/>
      <c r="O1783" s="888"/>
      <c r="P1783" s="888"/>
      <c r="Q1783" s="888"/>
      <c r="R1783" s="888"/>
    </row>
    <row r="1784" spans="1:18" s="893" customFormat="1" x14ac:dyDescent="0.3">
      <c r="A1784" s="888" t="s">
        <v>2062</v>
      </c>
      <c r="B1784" s="888" t="s">
        <v>1954</v>
      </c>
      <c r="C1784" s="888" t="s">
        <v>2159</v>
      </c>
      <c r="D1784" s="888"/>
      <c r="E1784" s="893" t="str">
        <f>$E$1742</f>
        <v>CRMCA</v>
      </c>
      <c r="I1784" s="888"/>
      <c r="J1784" s="888"/>
      <c r="K1784" s="888"/>
      <c r="L1784" s="888"/>
      <c r="M1784" s="888"/>
      <c r="N1784" s="888"/>
      <c r="O1784" s="888"/>
      <c r="P1784" s="888"/>
      <c r="Q1784" s="888"/>
      <c r="R1784" s="888"/>
    </row>
    <row r="1785" spans="1:18" s="893" customFormat="1" x14ac:dyDescent="0.3">
      <c r="A1785" s="888" t="s">
        <v>2062</v>
      </c>
      <c r="B1785" s="888" t="s">
        <v>1954</v>
      </c>
      <c r="C1785" s="888" t="s">
        <v>3818</v>
      </c>
      <c r="D1785" s="888"/>
      <c r="E1785" s="893" t="str">
        <f>$E$1743</f>
        <v>Can. Avg.</v>
      </c>
      <c r="I1785" s="888"/>
      <c r="J1785" s="888"/>
      <c r="K1785" s="888"/>
      <c r="L1785" s="888"/>
      <c r="M1785" s="888"/>
      <c r="N1785" s="888"/>
      <c r="O1785" s="888"/>
      <c r="P1785" s="888"/>
      <c r="Q1785" s="888"/>
      <c r="R1785" s="888"/>
    </row>
    <row r="1786" spans="1:18" s="893" customFormat="1" x14ac:dyDescent="0.3">
      <c r="A1786" s="888" t="s">
        <v>2062</v>
      </c>
      <c r="B1786" s="888" t="s">
        <v>1954</v>
      </c>
      <c r="C1786" s="888" t="s">
        <v>2551</v>
      </c>
      <c r="D1786" s="888"/>
      <c r="E1786" s="893" t="s">
        <v>1331</v>
      </c>
      <c r="I1786" s="888"/>
      <c r="J1786" s="888"/>
      <c r="K1786" s="888"/>
      <c r="L1786" s="888"/>
      <c r="M1786" s="888"/>
      <c r="N1786" s="888"/>
      <c r="O1786" s="888"/>
      <c r="P1786" s="888"/>
      <c r="Q1786" s="888"/>
      <c r="R1786" s="888"/>
    </row>
    <row r="1787" spans="1:18" s="893" customFormat="1" x14ac:dyDescent="0.3">
      <c r="A1787" s="888" t="s">
        <v>2062</v>
      </c>
      <c r="B1787" s="888" t="s">
        <v>1954</v>
      </c>
      <c r="C1787" s="888" t="s">
        <v>2290</v>
      </c>
      <c r="D1787" s="888"/>
      <c r="E1787" s="893" t="str">
        <f>$E$1742</f>
        <v>CRMCA</v>
      </c>
      <c r="I1787" s="888"/>
      <c r="J1787" s="888"/>
      <c r="K1787" s="888"/>
      <c r="L1787" s="888"/>
      <c r="M1787" s="888"/>
      <c r="N1787" s="888"/>
      <c r="O1787" s="888"/>
      <c r="P1787" s="888"/>
      <c r="Q1787" s="888"/>
      <c r="R1787" s="888"/>
    </row>
    <row r="1788" spans="1:18" s="893" customFormat="1" x14ac:dyDescent="0.3">
      <c r="A1788" s="888" t="s">
        <v>2062</v>
      </c>
      <c r="B1788" s="888" t="s">
        <v>1954</v>
      </c>
      <c r="C1788" s="888" t="s">
        <v>5171</v>
      </c>
      <c r="D1788" s="888"/>
      <c r="E1788" s="893" t="str">
        <f>$E$1743</f>
        <v>Can. Avg.</v>
      </c>
      <c r="I1788" s="888"/>
      <c r="J1788" s="888"/>
      <c r="K1788" s="888"/>
      <c r="L1788" s="888"/>
      <c r="M1788" s="888"/>
      <c r="N1788" s="888"/>
      <c r="O1788" s="888"/>
      <c r="P1788" s="888"/>
      <c r="Q1788" s="888"/>
      <c r="R1788" s="888"/>
    </row>
    <row r="1789" spans="1:18" s="893" customFormat="1" x14ac:dyDescent="0.3">
      <c r="A1789" s="888" t="s">
        <v>2062</v>
      </c>
      <c r="B1789" s="888" t="s">
        <v>1954</v>
      </c>
      <c r="C1789" s="888" t="s">
        <v>2186</v>
      </c>
      <c r="D1789" s="888"/>
      <c r="E1789" s="893" t="s">
        <v>1333</v>
      </c>
      <c r="I1789" s="888"/>
      <c r="J1789" s="888"/>
      <c r="K1789" s="888"/>
      <c r="L1789" s="888"/>
      <c r="M1789" s="888"/>
      <c r="N1789" s="888"/>
      <c r="O1789" s="888"/>
      <c r="P1789" s="888"/>
      <c r="Q1789" s="888"/>
      <c r="R1789" s="888"/>
    </row>
    <row r="1790" spans="1:18" s="893" customFormat="1" x14ac:dyDescent="0.3">
      <c r="A1790" s="888" t="s">
        <v>2062</v>
      </c>
      <c r="B1790" s="888" t="s">
        <v>1954</v>
      </c>
      <c r="C1790" s="888" t="s">
        <v>2552</v>
      </c>
      <c r="D1790" s="888"/>
      <c r="E1790" s="893" t="str">
        <f>$E$1742</f>
        <v>CRMCA</v>
      </c>
      <c r="I1790" s="888"/>
      <c r="J1790" s="888"/>
      <c r="K1790" s="888"/>
      <c r="L1790" s="888"/>
      <c r="M1790" s="888"/>
      <c r="N1790" s="888"/>
      <c r="O1790" s="888"/>
      <c r="P1790" s="888"/>
      <c r="Q1790" s="888"/>
      <c r="R1790" s="888"/>
    </row>
    <row r="1791" spans="1:18" s="893" customFormat="1" x14ac:dyDescent="0.3">
      <c r="A1791" s="888" t="s">
        <v>2062</v>
      </c>
      <c r="B1791" s="888" t="s">
        <v>1954</v>
      </c>
      <c r="C1791" s="888" t="s">
        <v>5119</v>
      </c>
      <c r="D1791" s="888"/>
      <c r="E1791" s="893" t="str">
        <f>$E$1743</f>
        <v>Can. Avg.</v>
      </c>
      <c r="I1791" s="888"/>
      <c r="J1791" s="888"/>
      <c r="K1791" s="888"/>
      <c r="L1791" s="888"/>
      <c r="M1791" s="888"/>
      <c r="N1791" s="888"/>
      <c r="O1791" s="888"/>
      <c r="P1791" s="888"/>
      <c r="Q1791" s="888"/>
      <c r="R1791" s="888"/>
    </row>
    <row r="1792" spans="1:18" s="893" customFormat="1" x14ac:dyDescent="0.3">
      <c r="A1792" s="888" t="s">
        <v>2062</v>
      </c>
      <c r="B1792" s="888" t="s">
        <v>1954</v>
      </c>
      <c r="C1792" s="888" t="s">
        <v>2302</v>
      </c>
      <c r="D1792" s="888"/>
      <c r="E1792" s="893" t="s">
        <v>1335</v>
      </c>
      <c r="I1792" s="888"/>
      <c r="J1792" s="888"/>
      <c r="K1792" s="888"/>
      <c r="L1792" s="888"/>
      <c r="M1792" s="888"/>
      <c r="N1792" s="888"/>
      <c r="O1792" s="888"/>
      <c r="P1792" s="888"/>
      <c r="Q1792" s="888"/>
      <c r="R1792" s="888"/>
    </row>
    <row r="1793" spans="1:18" s="893" customFormat="1" x14ac:dyDescent="0.3">
      <c r="A1793" s="888" t="s">
        <v>2062</v>
      </c>
      <c r="B1793" s="888" t="s">
        <v>1954</v>
      </c>
      <c r="C1793" s="888" t="s">
        <v>2252</v>
      </c>
      <c r="D1793" s="888"/>
      <c r="E1793" s="893" t="str">
        <f>$E$1742</f>
        <v>CRMCA</v>
      </c>
      <c r="I1793" s="888"/>
      <c r="J1793" s="888"/>
      <c r="K1793" s="888"/>
      <c r="L1793" s="888"/>
      <c r="M1793" s="888"/>
      <c r="N1793" s="888"/>
      <c r="O1793" s="888"/>
      <c r="P1793" s="888"/>
      <c r="Q1793" s="888"/>
      <c r="R1793" s="888"/>
    </row>
    <row r="1794" spans="1:18" s="893" customFormat="1" x14ac:dyDescent="0.3">
      <c r="A1794" s="888" t="s">
        <v>2062</v>
      </c>
      <c r="B1794" s="888" t="s">
        <v>1954</v>
      </c>
      <c r="C1794" s="888" t="s">
        <v>5172</v>
      </c>
      <c r="D1794" s="888"/>
      <c r="E1794" s="893" t="str">
        <f>$E$1743</f>
        <v>Can. Avg.</v>
      </c>
      <c r="I1794" s="888"/>
      <c r="J1794" s="888"/>
      <c r="K1794" s="888"/>
      <c r="L1794" s="888"/>
      <c r="M1794" s="888"/>
      <c r="N1794" s="888"/>
      <c r="O1794" s="888"/>
      <c r="P1794" s="888"/>
      <c r="Q1794" s="888"/>
      <c r="R1794" s="888"/>
    </row>
    <row r="1795" spans="1:18" s="893" customFormat="1" x14ac:dyDescent="0.3">
      <c r="A1795" s="888" t="s">
        <v>2062</v>
      </c>
      <c r="B1795" s="888" t="s">
        <v>1954</v>
      </c>
      <c r="C1795" s="888" t="s">
        <v>2160</v>
      </c>
      <c r="D1795" s="888"/>
      <c r="E1795" s="893" t="s">
        <v>1337</v>
      </c>
      <c r="I1795" s="888"/>
      <c r="J1795" s="888"/>
      <c r="K1795" s="888"/>
      <c r="L1795" s="888"/>
      <c r="M1795" s="888"/>
      <c r="N1795" s="888"/>
      <c r="O1795" s="888"/>
      <c r="P1795" s="888"/>
      <c r="Q1795" s="888"/>
      <c r="R1795" s="888"/>
    </row>
    <row r="1796" spans="1:18" s="893" customFormat="1" x14ac:dyDescent="0.3">
      <c r="A1796" s="888" t="s">
        <v>2062</v>
      </c>
      <c r="B1796" s="888" t="s">
        <v>1954</v>
      </c>
      <c r="C1796" s="888" t="s">
        <v>2553</v>
      </c>
      <c r="D1796" s="888"/>
      <c r="E1796" s="893" t="s">
        <v>1338</v>
      </c>
      <c r="I1796" s="888"/>
      <c r="J1796" s="888"/>
      <c r="K1796" s="888"/>
      <c r="L1796" s="888"/>
      <c r="M1796" s="888"/>
      <c r="N1796" s="888"/>
      <c r="O1796" s="888"/>
      <c r="P1796" s="888"/>
      <c r="Q1796" s="888"/>
      <c r="R1796" s="888"/>
    </row>
    <row r="1797" spans="1:18" s="893" customFormat="1" x14ac:dyDescent="0.3">
      <c r="A1797" s="888" t="s">
        <v>2062</v>
      </c>
      <c r="B1797" s="888" t="s">
        <v>1954</v>
      </c>
      <c r="C1797" s="888" t="s">
        <v>2554</v>
      </c>
      <c r="D1797" s="888"/>
      <c r="E1797" s="888" t="s">
        <v>1348</v>
      </c>
      <c r="I1797" s="888"/>
      <c r="J1797" s="888"/>
      <c r="K1797" s="888"/>
      <c r="L1797" s="888"/>
      <c r="M1797" s="888"/>
      <c r="N1797" s="888"/>
      <c r="O1797" s="888"/>
      <c r="P1797" s="888"/>
      <c r="Q1797" s="888"/>
      <c r="R1797" s="888"/>
    </row>
    <row r="1798" spans="1:18" s="893" customFormat="1" x14ac:dyDescent="0.3">
      <c r="A1798" s="888" t="s">
        <v>2062</v>
      </c>
      <c r="B1798" s="888" t="s">
        <v>1954</v>
      </c>
      <c r="C1798" s="888" t="s">
        <v>2187</v>
      </c>
      <c r="D1798" s="888"/>
      <c r="E1798" s="893" t="s">
        <v>1340</v>
      </c>
      <c r="I1798" s="888"/>
      <c r="J1798" s="888"/>
      <c r="K1798" s="888"/>
      <c r="L1798" s="888"/>
      <c r="M1798" s="888"/>
      <c r="N1798" s="888"/>
      <c r="O1798" s="888"/>
      <c r="P1798" s="888"/>
      <c r="Q1798" s="888"/>
      <c r="R1798" s="888"/>
    </row>
    <row r="1799" spans="1:18" s="893" customFormat="1" x14ac:dyDescent="0.3">
      <c r="A1799" s="888" t="s">
        <v>2062</v>
      </c>
      <c r="B1799" s="888" t="s">
        <v>1954</v>
      </c>
      <c r="C1799" s="888" t="s">
        <v>2555</v>
      </c>
      <c r="D1799" s="888"/>
      <c r="E1799" s="893" t="str">
        <f>$E$1796</f>
        <v>NRMCA</v>
      </c>
      <c r="I1799" s="888"/>
      <c r="J1799" s="888"/>
      <c r="K1799" s="888"/>
      <c r="L1799" s="888"/>
      <c r="M1799" s="888"/>
      <c r="N1799" s="888"/>
      <c r="O1799" s="888"/>
      <c r="P1799" s="888"/>
      <c r="Q1799" s="888"/>
      <c r="R1799" s="888"/>
    </row>
    <row r="1800" spans="1:18" s="893" customFormat="1" x14ac:dyDescent="0.3">
      <c r="A1800" s="888" t="s">
        <v>2062</v>
      </c>
      <c r="B1800" s="888" t="s">
        <v>1954</v>
      </c>
      <c r="C1800" s="888" t="s">
        <v>2328</v>
      </c>
      <c r="D1800" s="888"/>
      <c r="E1800" s="888" t="str">
        <f>$E$1797</f>
        <v>US Avg</v>
      </c>
      <c r="I1800" s="888"/>
      <c r="J1800" s="888"/>
      <c r="K1800" s="888"/>
      <c r="L1800" s="888"/>
      <c r="M1800" s="888"/>
      <c r="N1800" s="888"/>
      <c r="O1800" s="888"/>
      <c r="P1800" s="888"/>
      <c r="Q1800" s="888"/>
      <c r="R1800" s="888"/>
    </row>
    <row r="1801" spans="1:18" s="893" customFormat="1" x14ac:dyDescent="0.3">
      <c r="A1801" s="888" t="s">
        <v>2062</v>
      </c>
      <c r="B1801" s="888" t="s">
        <v>1954</v>
      </c>
      <c r="C1801" s="888" t="s">
        <v>2253</v>
      </c>
      <c r="D1801" s="888"/>
      <c r="E1801" s="893" t="s">
        <v>1342</v>
      </c>
      <c r="I1801" s="888"/>
      <c r="J1801" s="888"/>
      <c r="K1801" s="888"/>
      <c r="L1801" s="888"/>
      <c r="M1801" s="888"/>
      <c r="N1801" s="888"/>
      <c r="O1801" s="888"/>
      <c r="P1801" s="888"/>
      <c r="Q1801" s="888"/>
      <c r="R1801" s="888"/>
    </row>
    <row r="1802" spans="1:18" s="893" customFormat="1" x14ac:dyDescent="0.3">
      <c r="A1802" s="888" t="s">
        <v>2062</v>
      </c>
      <c r="B1802" s="888" t="s">
        <v>1954</v>
      </c>
      <c r="C1802" s="888" t="s">
        <v>2161</v>
      </c>
      <c r="D1802" s="888"/>
      <c r="E1802" s="893" t="str">
        <f>$E$1796</f>
        <v>NRMCA</v>
      </c>
      <c r="I1802" s="888"/>
      <c r="J1802" s="888"/>
      <c r="K1802" s="888"/>
      <c r="L1802" s="888"/>
      <c r="M1802" s="888"/>
      <c r="N1802" s="888"/>
      <c r="O1802" s="888"/>
      <c r="P1802" s="888"/>
      <c r="Q1802" s="888"/>
      <c r="R1802" s="888"/>
    </row>
    <row r="1803" spans="1:18" s="893" customFormat="1" ht="15.6" x14ac:dyDescent="0.3">
      <c r="A1803" s="888" t="s">
        <v>2062</v>
      </c>
      <c r="B1803" s="888" t="s">
        <v>1954</v>
      </c>
      <c r="C1803" s="888" t="s">
        <v>2556</v>
      </c>
      <c r="D1803" s="888"/>
      <c r="E1803" s="371" t="str">
        <f>$E$1797</f>
        <v>US Avg</v>
      </c>
      <c r="I1803" s="888"/>
      <c r="J1803" s="888"/>
      <c r="K1803" s="888"/>
      <c r="L1803" s="888"/>
      <c r="M1803" s="888"/>
      <c r="N1803" s="888"/>
      <c r="O1803" s="888"/>
      <c r="P1803" s="888"/>
      <c r="Q1803" s="888"/>
      <c r="R1803" s="888"/>
    </row>
    <row r="1804" spans="1:18" s="893" customFormat="1" x14ac:dyDescent="0.3">
      <c r="A1804" s="888" t="s">
        <v>2062</v>
      </c>
      <c r="B1804" s="888" t="s">
        <v>1954</v>
      </c>
      <c r="C1804" s="888" t="s">
        <v>2220</v>
      </c>
      <c r="D1804" s="888"/>
      <c r="E1804" s="893" t="s">
        <v>1344</v>
      </c>
      <c r="I1804" s="888"/>
      <c r="J1804" s="888"/>
      <c r="K1804" s="888"/>
      <c r="L1804" s="888"/>
      <c r="M1804" s="888"/>
      <c r="N1804" s="888"/>
      <c r="O1804" s="888"/>
      <c r="P1804" s="888"/>
      <c r="Q1804" s="888"/>
      <c r="R1804" s="888"/>
    </row>
    <row r="1805" spans="1:18" s="893" customFormat="1" x14ac:dyDescent="0.3">
      <c r="A1805" s="888" t="s">
        <v>2062</v>
      </c>
      <c r="B1805" s="888" t="s">
        <v>1954</v>
      </c>
      <c r="C1805" s="888" t="s">
        <v>2254</v>
      </c>
      <c r="D1805" s="888"/>
      <c r="E1805" s="893" t="str">
        <f>$E$1796</f>
        <v>NRMCA</v>
      </c>
      <c r="I1805" s="888"/>
      <c r="J1805" s="888"/>
      <c r="K1805" s="888"/>
      <c r="L1805" s="888"/>
      <c r="M1805" s="888"/>
      <c r="N1805" s="888"/>
      <c r="O1805" s="888"/>
      <c r="P1805" s="888"/>
      <c r="Q1805" s="888"/>
      <c r="R1805" s="888"/>
    </row>
    <row r="1806" spans="1:18" s="893" customFormat="1" x14ac:dyDescent="0.3">
      <c r="A1806" s="888" t="s">
        <v>2062</v>
      </c>
      <c r="B1806" s="888" t="s">
        <v>1954</v>
      </c>
      <c r="C1806" s="888" t="s">
        <v>2557</v>
      </c>
      <c r="D1806" s="888"/>
      <c r="E1806" s="888" t="str">
        <f>$E$1797</f>
        <v>US Avg</v>
      </c>
      <c r="I1806" s="888"/>
      <c r="J1806" s="888"/>
      <c r="K1806" s="888"/>
      <c r="L1806" s="888"/>
      <c r="M1806" s="888"/>
      <c r="N1806" s="888"/>
      <c r="O1806" s="888"/>
      <c r="P1806" s="888"/>
      <c r="Q1806" s="888"/>
      <c r="R1806" s="888"/>
    </row>
    <row r="1807" spans="1:18" s="893" customFormat="1" x14ac:dyDescent="0.3">
      <c r="A1807" s="888" t="s">
        <v>2062</v>
      </c>
      <c r="B1807" s="888" t="s">
        <v>1954</v>
      </c>
      <c r="C1807" s="888" t="s">
        <v>2558</v>
      </c>
      <c r="D1807" s="888"/>
      <c r="E1807" s="893" t="s">
        <v>1346</v>
      </c>
      <c r="I1807" s="888"/>
      <c r="J1807" s="888"/>
      <c r="K1807" s="888"/>
      <c r="L1807" s="888"/>
      <c r="M1807" s="888"/>
      <c r="N1807" s="888"/>
      <c r="O1807" s="888"/>
      <c r="P1807" s="888"/>
      <c r="Q1807" s="888"/>
      <c r="R1807" s="888"/>
    </row>
    <row r="1808" spans="1:18" s="893" customFormat="1" x14ac:dyDescent="0.3">
      <c r="A1808" s="888" t="s">
        <v>2062</v>
      </c>
      <c r="B1808" s="888" t="s">
        <v>1954</v>
      </c>
      <c r="C1808" s="888" t="s">
        <v>2559</v>
      </c>
      <c r="D1808" s="888"/>
      <c r="E1808" s="893" t="str">
        <f>$E$1796</f>
        <v>NRMCA</v>
      </c>
      <c r="I1808" s="888"/>
      <c r="J1808" s="888"/>
      <c r="K1808" s="888"/>
      <c r="L1808" s="888"/>
      <c r="M1808" s="888"/>
      <c r="N1808" s="888"/>
      <c r="O1808" s="888"/>
      <c r="P1808" s="888"/>
      <c r="Q1808" s="888"/>
      <c r="R1808" s="888"/>
    </row>
    <row r="1809" spans="1:18" s="893" customFormat="1" x14ac:dyDescent="0.3">
      <c r="A1809" s="888" t="s">
        <v>2062</v>
      </c>
      <c r="B1809" s="888" t="s">
        <v>1954</v>
      </c>
      <c r="C1809" s="888" t="s">
        <v>2560</v>
      </c>
      <c r="D1809" s="888"/>
      <c r="E1809" s="888" t="str">
        <f>$E$1797</f>
        <v>US Avg</v>
      </c>
      <c r="I1809" s="888"/>
      <c r="J1809" s="888"/>
      <c r="K1809" s="888"/>
      <c r="L1809" s="888"/>
      <c r="M1809" s="888"/>
      <c r="N1809" s="888"/>
      <c r="O1809" s="888"/>
      <c r="P1809" s="888"/>
      <c r="Q1809" s="888"/>
      <c r="R1809" s="888"/>
    </row>
    <row r="1810" spans="1:18" s="893" customFormat="1" x14ac:dyDescent="0.3">
      <c r="A1810" s="888" t="s">
        <v>2062</v>
      </c>
      <c r="B1810" s="888" t="s">
        <v>1954</v>
      </c>
      <c r="C1810" s="888" t="s">
        <v>2162</v>
      </c>
      <c r="D1810" s="888"/>
      <c r="E1810" s="893" t="s">
        <v>1271</v>
      </c>
      <c r="I1810" s="888"/>
      <c r="J1810" s="888"/>
      <c r="K1810" s="888"/>
      <c r="L1810" s="888"/>
      <c r="M1810" s="888"/>
      <c r="N1810" s="888"/>
      <c r="O1810" s="888"/>
      <c r="P1810" s="888"/>
      <c r="Q1810" s="888"/>
      <c r="R1810" s="888"/>
    </row>
    <row r="1811" spans="1:18" s="893" customFormat="1" x14ac:dyDescent="0.3">
      <c r="A1811" s="888" t="s">
        <v>2062</v>
      </c>
      <c r="B1811" s="888" t="s">
        <v>1954</v>
      </c>
      <c r="C1811" s="888" t="s">
        <v>2303</v>
      </c>
      <c r="D1811" s="888"/>
      <c r="E1811" s="893" t="s">
        <v>298</v>
      </c>
      <c r="I1811" s="888"/>
      <c r="J1811" s="888"/>
      <c r="K1811" s="888"/>
      <c r="L1811" s="888"/>
      <c r="M1811" s="888"/>
      <c r="N1811" s="888"/>
      <c r="O1811" s="888"/>
      <c r="P1811" s="888"/>
      <c r="Q1811" s="888"/>
      <c r="R1811" s="888"/>
    </row>
    <row r="1812" spans="1:18" s="893" customFormat="1" x14ac:dyDescent="0.3">
      <c r="A1812" s="888" t="s">
        <v>2062</v>
      </c>
      <c r="B1812" s="888" t="s">
        <v>1954</v>
      </c>
      <c r="C1812" s="888" t="s">
        <v>2561</v>
      </c>
      <c r="D1812" s="888"/>
      <c r="E1812" s="888" t="s">
        <v>4157</v>
      </c>
      <c r="I1812" s="888"/>
      <c r="J1812" s="888"/>
      <c r="K1812" s="888"/>
      <c r="L1812" s="888"/>
      <c r="M1812" s="888"/>
      <c r="N1812" s="888"/>
      <c r="O1812" s="888"/>
      <c r="P1812" s="888"/>
      <c r="Q1812" s="888"/>
      <c r="R1812" s="888"/>
    </row>
    <row r="1813" spans="1:18" s="893" customFormat="1" x14ac:dyDescent="0.3">
      <c r="A1813" s="888" t="s">
        <v>2062</v>
      </c>
      <c r="B1813" s="888" t="s">
        <v>1954</v>
      </c>
      <c r="C1813" s="888" t="s">
        <v>5173</v>
      </c>
      <c r="D1813" s="888"/>
      <c r="E1813" s="893" t="s">
        <v>4158</v>
      </c>
      <c r="I1813" s="888"/>
      <c r="J1813" s="888"/>
      <c r="K1813" s="888"/>
      <c r="L1813" s="888"/>
      <c r="M1813" s="888"/>
      <c r="N1813" s="888"/>
      <c r="O1813" s="888"/>
      <c r="P1813" s="888"/>
      <c r="Q1813" s="888"/>
      <c r="R1813" s="888"/>
    </row>
    <row r="1814" spans="1:18" s="893" customFormat="1" x14ac:dyDescent="0.3">
      <c r="A1814" s="888" t="s">
        <v>2062</v>
      </c>
      <c r="B1814" s="888" t="s">
        <v>1954</v>
      </c>
      <c r="C1814" s="888" t="s">
        <v>2255</v>
      </c>
      <c r="D1814" s="888"/>
      <c r="E1814" s="893" t="s">
        <v>304</v>
      </c>
      <c r="I1814" s="888"/>
      <c r="J1814" s="888"/>
      <c r="K1814" s="888"/>
      <c r="L1814" s="888"/>
      <c r="M1814" s="888"/>
      <c r="N1814" s="888"/>
      <c r="O1814" s="888"/>
      <c r="P1814" s="888"/>
      <c r="Q1814" s="888"/>
      <c r="R1814" s="888"/>
    </row>
    <row r="1815" spans="1:18" s="893" customFormat="1" x14ac:dyDescent="0.3">
      <c r="A1815" s="888" t="s">
        <v>2062</v>
      </c>
      <c r="B1815" s="888" t="s">
        <v>1954</v>
      </c>
      <c r="C1815" s="888" t="s">
        <v>2563</v>
      </c>
      <c r="D1815" s="888"/>
      <c r="E1815" s="888" t="s">
        <v>308</v>
      </c>
      <c r="I1815" s="888"/>
      <c r="J1815" s="888"/>
      <c r="K1815" s="888"/>
      <c r="L1815" s="888"/>
      <c r="M1815" s="888"/>
      <c r="N1815" s="888"/>
      <c r="O1815" s="888"/>
      <c r="P1815" s="888"/>
      <c r="Q1815" s="888"/>
      <c r="R1815" s="888"/>
    </row>
    <row r="1816" spans="1:18" s="893" customFormat="1" x14ac:dyDescent="0.3">
      <c r="A1816" s="888" t="s">
        <v>2062</v>
      </c>
      <c r="B1816" s="888" t="s">
        <v>1954</v>
      </c>
      <c r="C1816" s="888" t="s">
        <v>2564</v>
      </c>
      <c r="D1816" s="888"/>
      <c r="E1816" s="893" t="s">
        <v>309</v>
      </c>
      <c r="I1816" s="888"/>
      <c r="J1816" s="888"/>
      <c r="K1816" s="888"/>
      <c r="L1816" s="888"/>
      <c r="M1816" s="888"/>
      <c r="N1816" s="888"/>
      <c r="O1816" s="888"/>
      <c r="P1816" s="888"/>
      <c r="Q1816" s="888"/>
      <c r="R1816" s="888"/>
    </row>
    <row r="1817" spans="1:18" s="893" customFormat="1" x14ac:dyDescent="0.3">
      <c r="A1817" s="888" t="s">
        <v>2062</v>
      </c>
      <c r="B1817" s="888" t="s">
        <v>1954</v>
      </c>
      <c r="C1817" s="888" t="s">
        <v>2565</v>
      </c>
      <c r="D1817" s="888"/>
      <c r="E1817" s="893" t="s">
        <v>310</v>
      </c>
      <c r="I1817" s="888"/>
      <c r="J1817" s="888"/>
      <c r="K1817" s="888"/>
      <c r="L1817" s="888"/>
      <c r="M1817" s="888"/>
      <c r="N1817" s="888"/>
      <c r="O1817" s="888"/>
      <c r="P1817" s="888"/>
      <c r="Q1817" s="888"/>
      <c r="R1817" s="888"/>
    </row>
    <row r="1818" spans="1:18" s="893" customFormat="1" x14ac:dyDescent="0.3">
      <c r="A1818" s="888" t="s">
        <v>2062</v>
      </c>
      <c r="B1818" s="888" t="s">
        <v>1954</v>
      </c>
      <c r="C1818" s="888" t="s">
        <v>2566</v>
      </c>
      <c r="D1818" s="888"/>
      <c r="E1818" s="893" t="s">
        <v>4165</v>
      </c>
      <c r="I1818" s="888"/>
      <c r="J1818" s="888"/>
      <c r="K1818" s="888"/>
      <c r="L1818" s="888"/>
      <c r="M1818" s="888"/>
      <c r="N1818" s="888"/>
      <c r="O1818" s="888"/>
      <c r="P1818" s="888"/>
      <c r="Q1818" s="888"/>
      <c r="R1818" s="888"/>
    </row>
    <row r="1819" spans="1:18" s="893" customFormat="1" x14ac:dyDescent="0.3">
      <c r="A1819" s="888" t="s">
        <v>2062</v>
      </c>
      <c r="B1819" s="888" t="s">
        <v>1954</v>
      </c>
      <c r="C1819" s="888" t="s">
        <v>2329</v>
      </c>
      <c r="D1819" s="888"/>
      <c r="E1819" s="893" t="s">
        <v>312</v>
      </c>
      <c r="I1819" s="888"/>
      <c r="J1819" s="888"/>
      <c r="K1819" s="888"/>
      <c r="L1819" s="888"/>
      <c r="M1819" s="888"/>
      <c r="N1819" s="888"/>
      <c r="O1819" s="888"/>
      <c r="P1819" s="888"/>
      <c r="Q1819" s="888"/>
      <c r="R1819" s="888"/>
    </row>
    <row r="1820" spans="1:18" s="893" customFormat="1" x14ac:dyDescent="0.3">
      <c r="A1820" s="888" t="s">
        <v>2062</v>
      </c>
      <c r="B1820" s="888" t="s">
        <v>1954</v>
      </c>
      <c r="C1820" s="888" t="s">
        <v>2567</v>
      </c>
      <c r="D1820" s="888"/>
      <c r="E1820" s="893" t="s">
        <v>313</v>
      </c>
      <c r="I1820" s="888"/>
      <c r="J1820" s="888"/>
      <c r="K1820" s="888"/>
      <c r="L1820" s="888"/>
      <c r="M1820" s="888"/>
      <c r="N1820" s="888"/>
      <c r="O1820" s="888"/>
      <c r="P1820" s="888"/>
      <c r="Q1820" s="888"/>
      <c r="R1820" s="888"/>
    </row>
    <row r="1821" spans="1:18" s="893" customFormat="1" x14ac:dyDescent="0.3">
      <c r="A1821" s="888" t="s">
        <v>2062</v>
      </c>
      <c r="B1821" s="888" t="s">
        <v>1954</v>
      </c>
      <c r="C1821" s="888" t="s">
        <v>2568</v>
      </c>
      <c r="D1821" s="888"/>
      <c r="E1821" s="893" t="s">
        <v>314</v>
      </c>
      <c r="I1821" s="888"/>
      <c r="J1821" s="888"/>
      <c r="K1821" s="888"/>
      <c r="L1821" s="888"/>
      <c r="M1821" s="888"/>
      <c r="N1821" s="888"/>
      <c r="O1821" s="888"/>
      <c r="P1821" s="888"/>
      <c r="Q1821" s="888"/>
      <c r="R1821" s="888"/>
    </row>
    <row r="1822" spans="1:18" s="893" customFormat="1" x14ac:dyDescent="0.3">
      <c r="A1822" s="888" t="s">
        <v>2062</v>
      </c>
      <c r="B1822" s="888" t="s">
        <v>1954</v>
      </c>
      <c r="C1822" s="888" t="s">
        <v>2163</v>
      </c>
      <c r="D1822" s="888"/>
      <c r="E1822" s="893" t="str">
        <f>$E$1818</f>
        <v>Cross Laminated Timber (CLT)</v>
      </c>
      <c r="I1822" s="888"/>
      <c r="J1822" s="888"/>
      <c r="K1822" s="888"/>
      <c r="L1822" s="888"/>
      <c r="M1822" s="888"/>
      <c r="N1822" s="888"/>
      <c r="O1822" s="888"/>
      <c r="P1822" s="888"/>
      <c r="Q1822" s="888"/>
      <c r="R1822" s="888"/>
    </row>
    <row r="1823" spans="1:18" s="893" customFormat="1" x14ac:dyDescent="0.3">
      <c r="A1823" s="888" t="s">
        <v>2062</v>
      </c>
      <c r="B1823" s="888" t="s">
        <v>1954</v>
      </c>
      <c r="C1823" s="888" t="s">
        <v>2569</v>
      </c>
      <c r="D1823" s="888"/>
      <c r="E1823" s="893" t="s">
        <v>4168</v>
      </c>
      <c r="I1823" s="888"/>
      <c r="J1823" s="888"/>
      <c r="K1823" s="888"/>
      <c r="L1823" s="888"/>
      <c r="M1823" s="888"/>
      <c r="N1823" s="888"/>
      <c r="O1823" s="888"/>
      <c r="P1823" s="888"/>
      <c r="Q1823" s="888"/>
      <c r="R1823" s="888"/>
    </row>
    <row r="1824" spans="1:18" s="893" customFormat="1" x14ac:dyDescent="0.3">
      <c r="A1824" s="888" t="s">
        <v>2062</v>
      </c>
      <c r="B1824" s="888" t="s">
        <v>1954</v>
      </c>
      <c r="C1824" s="888" t="s">
        <v>3819</v>
      </c>
      <c r="D1824" s="888"/>
      <c r="E1824" s="893" t="s">
        <v>4169</v>
      </c>
      <c r="I1824" s="888"/>
      <c r="J1824" s="888"/>
      <c r="K1824" s="888"/>
      <c r="L1824" s="888"/>
      <c r="M1824" s="888"/>
      <c r="N1824" s="888"/>
      <c r="O1824" s="888"/>
      <c r="P1824" s="888"/>
      <c r="Q1824" s="888"/>
      <c r="R1824" s="888"/>
    </row>
    <row r="1825" spans="1:18" s="893" customFormat="1" x14ac:dyDescent="0.3">
      <c r="A1825" s="888" t="s">
        <v>2062</v>
      </c>
      <c r="B1825" s="888" t="s">
        <v>1954</v>
      </c>
      <c r="C1825" s="888" t="s">
        <v>2570</v>
      </c>
      <c r="D1825" s="888"/>
      <c r="E1825" s="893" t="str">
        <f>$E$1821</f>
        <v>3-1/2" (90mm) thick</v>
      </c>
      <c r="I1825" s="888"/>
      <c r="J1825" s="888"/>
      <c r="K1825" s="888"/>
      <c r="L1825" s="888"/>
      <c r="M1825" s="888"/>
      <c r="N1825" s="888"/>
      <c r="O1825" s="888"/>
      <c r="P1825" s="888"/>
      <c r="Q1825" s="888"/>
      <c r="R1825" s="888"/>
    </row>
    <row r="1826" spans="1:18" s="893" customFormat="1" x14ac:dyDescent="0.3">
      <c r="A1826" s="888" t="s">
        <v>2062</v>
      </c>
      <c r="B1826" s="888" t="s">
        <v>1954</v>
      </c>
      <c r="C1826" s="888" t="s">
        <v>2221</v>
      </c>
      <c r="D1826" s="888"/>
      <c r="E1826" s="893" t="str">
        <f>$E$1818</f>
        <v>Cross Laminated Timber (CLT)</v>
      </c>
      <c r="I1826" s="888"/>
      <c r="J1826" s="888"/>
      <c r="K1826" s="888"/>
      <c r="L1826" s="888"/>
      <c r="M1826" s="888"/>
      <c r="N1826" s="888"/>
      <c r="O1826" s="888"/>
      <c r="P1826" s="888"/>
      <c r="Q1826" s="888"/>
      <c r="R1826" s="888"/>
    </row>
    <row r="1827" spans="1:18" s="893" customFormat="1" x14ac:dyDescent="0.3">
      <c r="A1827" s="888" t="s">
        <v>2062</v>
      </c>
      <c r="B1827" s="888" t="s">
        <v>1954</v>
      </c>
      <c r="C1827" s="888" t="s">
        <v>2164</v>
      </c>
      <c r="D1827" s="888"/>
      <c r="E1827" s="893" t="s">
        <v>4171</v>
      </c>
      <c r="I1827" s="888"/>
      <c r="J1827" s="888"/>
      <c r="K1827" s="888"/>
      <c r="L1827" s="888"/>
      <c r="M1827" s="888"/>
      <c r="N1827" s="888"/>
      <c r="O1827" s="888"/>
      <c r="P1827" s="888"/>
      <c r="Q1827" s="888"/>
      <c r="R1827" s="888"/>
    </row>
    <row r="1828" spans="1:18" s="893" customFormat="1" x14ac:dyDescent="0.3">
      <c r="A1828" s="888" t="s">
        <v>2062</v>
      </c>
      <c r="B1828" s="888" t="s">
        <v>1954</v>
      </c>
      <c r="C1828" s="888" t="s">
        <v>2571</v>
      </c>
      <c r="D1828" s="888"/>
      <c r="E1828" s="893" t="str">
        <f>$E$1821</f>
        <v>3-1/2" (90mm) thick</v>
      </c>
      <c r="I1828" s="888"/>
      <c r="J1828" s="888"/>
      <c r="K1828" s="888"/>
      <c r="L1828" s="888"/>
      <c r="M1828" s="888"/>
      <c r="N1828" s="888"/>
      <c r="O1828" s="888"/>
      <c r="P1828" s="888"/>
      <c r="Q1828" s="888"/>
      <c r="R1828" s="888"/>
    </row>
    <row r="1829" spans="1:18" s="893" customFormat="1" x14ac:dyDescent="0.3">
      <c r="A1829" s="888" t="s">
        <v>2062</v>
      </c>
      <c r="B1829" s="888" t="s">
        <v>1954</v>
      </c>
      <c r="C1829" s="888" t="s">
        <v>2256</v>
      </c>
      <c r="D1829" s="888"/>
      <c r="E1829" s="893" t="str">
        <f>$E$1818</f>
        <v>Cross Laminated Timber (CLT)</v>
      </c>
      <c r="I1829" s="888"/>
      <c r="J1829" s="888"/>
      <c r="K1829" s="888"/>
      <c r="L1829" s="888"/>
      <c r="M1829" s="888"/>
      <c r="N1829" s="888"/>
      <c r="O1829" s="888"/>
      <c r="P1829" s="888"/>
      <c r="Q1829" s="888"/>
      <c r="R1829" s="888"/>
    </row>
    <row r="1830" spans="1:18" s="893" customFormat="1" x14ac:dyDescent="0.3">
      <c r="A1830" s="888" t="s">
        <v>2062</v>
      </c>
      <c r="B1830" s="888" t="s">
        <v>1954</v>
      </c>
      <c r="C1830" s="888" t="s">
        <v>2222</v>
      </c>
      <c r="D1830" s="888"/>
      <c r="E1830" s="893" t="str">
        <f>$E$1819</f>
        <v xml:space="preserve">Nordic </v>
      </c>
      <c r="I1830" s="888"/>
      <c r="J1830" s="888"/>
      <c r="K1830" s="888"/>
      <c r="L1830" s="888"/>
      <c r="M1830" s="888"/>
      <c r="N1830" s="888"/>
      <c r="O1830" s="888"/>
      <c r="P1830" s="888"/>
      <c r="Q1830" s="888"/>
      <c r="R1830" s="888"/>
    </row>
    <row r="1831" spans="1:18" s="893" customFormat="1" x14ac:dyDescent="0.3">
      <c r="A1831" s="888" t="s">
        <v>2062</v>
      </c>
      <c r="B1831" s="888" t="s">
        <v>1954</v>
      </c>
      <c r="C1831" s="888" t="s">
        <v>5174</v>
      </c>
      <c r="D1831" s="888"/>
      <c r="E1831" s="893" t="s">
        <v>4173</v>
      </c>
      <c r="I1831" s="888"/>
      <c r="J1831" s="888"/>
      <c r="K1831" s="888"/>
      <c r="L1831" s="888"/>
      <c r="M1831" s="888"/>
      <c r="N1831" s="888"/>
      <c r="O1831" s="888"/>
      <c r="P1831" s="888"/>
      <c r="Q1831" s="888"/>
      <c r="R1831" s="888"/>
    </row>
    <row r="1832" spans="1:18" s="893" customFormat="1" x14ac:dyDescent="0.3">
      <c r="A1832" s="888" t="s">
        <v>2062</v>
      </c>
      <c r="B1832" s="888" t="s">
        <v>1954</v>
      </c>
      <c r="C1832" s="888" t="s">
        <v>2572</v>
      </c>
      <c r="D1832" s="888"/>
      <c r="E1832" s="893" t="str">
        <f>$E$1821</f>
        <v>3-1/2" (90mm) thick</v>
      </c>
      <c r="I1832" s="888"/>
      <c r="J1832" s="888"/>
      <c r="K1832" s="888"/>
      <c r="L1832" s="888"/>
      <c r="M1832" s="888"/>
      <c r="N1832" s="888"/>
      <c r="O1832" s="888"/>
      <c r="P1832" s="888"/>
      <c r="Q1832" s="888"/>
      <c r="R1832" s="888"/>
    </row>
    <row r="1833" spans="1:18" s="893" customFormat="1" x14ac:dyDescent="0.3">
      <c r="A1833" s="888" t="s">
        <v>2062</v>
      </c>
      <c r="B1833" s="888" t="s">
        <v>1954</v>
      </c>
      <c r="C1833" s="888" t="s">
        <v>2573</v>
      </c>
      <c r="D1833" s="888"/>
      <c r="E1833" s="893" t="str">
        <f>$E$1818</f>
        <v>Cross Laminated Timber (CLT)</v>
      </c>
      <c r="I1833" s="888"/>
      <c r="J1833" s="888"/>
      <c r="K1833" s="888"/>
      <c r="L1833" s="888"/>
      <c r="M1833" s="888"/>
      <c r="N1833" s="888"/>
      <c r="O1833" s="888"/>
      <c r="P1833" s="888"/>
      <c r="Q1833" s="888"/>
      <c r="R1833" s="888"/>
    </row>
    <row r="1834" spans="1:18" s="893" customFormat="1" x14ac:dyDescent="0.3">
      <c r="A1834" s="888" t="s">
        <v>2062</v>
      </c>
      <c r="B1834" s="888" t="s">
        <v>1954</v>
      </c>
      <c r="C1834" s="888" t="s">
        <v>2257</v>
      </c>
      <c r="D1834" s="888"/>
      <c r="E1834" s="893" t="s">
        <v>4175</v>
      </c>
      <c r="I1834" s="888"/>
      <c r="J1834" s="888"/>
      <c r="K1834" s="888"/>
      <c r="L1834" s="888"/>
      <c r="M1834" s="888"/>
      <c r="N1834" s="888"/>
      <c r="O1834" s="888"/>
      <c r="P1834" s="888"/>
      <c r="Q1834" s="888"/>
      <c r="R1834" s="888"/>
    </row>
    <row r="1835" spans="1:18" s="893" customFormat="1" x14ac:dyDescent="0.3">
      <c r="A1835" s="888" t="s">
        <v>2062</v>
      </c>
      <c r="B1835" s="888" t="s">
        <v>1954</v>
      </c>
      <c r="C1835" s="888" t="s">
        <v>5175</v>
      </c>
      <c r="D1835" s="888"/>
      <c r="E1835" s="893" t="str">
        <f>$E$1824</f>
        <v>Crosslam CLT</v>
      </c>
      <c r="I1835" s="888"/>
      <c r="J1835" s="888"/>
      <c r="K1835" s="888"/>
      <c r="L1835" s="888"/>
      <c r="M1835" s="888"/>
      <c r="N1835" s="888"/>
      <c r="O1835" s="888"/>
      <c r="P1835" s="888"/>
      <c r="Q1835" s="888"/>
      <c r="R1835" s="888"/>
    </row>
    <row r="1836" spans="1:18" s="893" customFormat="1" x14ac:dyDescent="0.3">
      <c r="A1836" s="888" t="s">
        <v>2062</v>
      </c>
      <c r="B1836" s="888" t="s">
        <v>1954</v>
      </c>
      <c r="C1836" s="888" t="s">
        <v>2574</v>
      </c>
      <c r="D1836" s="888"/>
      <c r="E1836" s="893" t="str">
        <f>$E$1821</f>
        <v>3-1/2" (90mm) thick</v>
      </c>
      <c r="I1836" s="888"/>
      <c r="J1836" s="888"/>
      <c r="K1836" s="888"/>
      <c r="L1836" s="888"/>
      <c r="M1836" s="888"/>
      <c r="N1836" s="888"/>
      <c r="O1836" s="888"/>
      <c r="P1836" s="888"/>
      <c r="Q1836" s="888"/>
      <c r="R1836" s="888"/>
    </row>
    <row r="1837" spans="1:18" s="893" customFormat="1" x14ac:dyDescent="0.3">
      <c r="A1837" s="888" t="s">
        <v>2062</v>
      </c>
      <c r="B1837" s="888" t="s">
        <v>1954</v>
      </c>
      <c r="C1837" s="888" t="s">
        <v>2188</v>
      </c>
      <c r="D1837" s="888"/>
      <c r="E1837" s="893" t="str">
        <f>$E$1818</f>
        <v>Cross Laminated Timber (CLT)</v>
      </c>
      <c r="I1837" s="888"/>
      <c r="J1837" s="888"/>
      <c r="K1837" s="888"/>
      <c r="L1837" s="888"/>
      <c r="M1837" s="888"/>
      <c r="N1837" s="888"/>
      <c r="O1837" s="888"/>
      <c r="P1837" s="888"/>
      <c r="Q1837" s="888"/>
      <c r="R1837" s="888"/>
    </row>
    <row r="1838" spans="1:18" s="893" customFormat="1" x14ac:dyDescent="0.3">
      <c r="A1838" s="888" t="s">
        <v>2062</v>
      </c>
      <c r="B1838" s="888" t="s">
        <v>1954</v>
      </c>
      <c r="C1838" s="888" t="s">
        <v>2575</v>
      </c>
      <c r="D1838" s="888"/>
      <c r="E1838" s="893" t="s">
        <v>317</v>
      </c>
      <c r="I1838" s="888"/>
      <c r="J1838" s="888"/>
      <c r="K1838" s="888"/>
      <c r="L1838" s="888"/>
      <c r="M1838" s="888"/>
      <c r="N1838" s="888"/>
      <c r="O1838" s="888"/>
      <c r="P1838" s="888"/>
      <c r="Q1838" s="888"/>
      <c r="R1838" s="888"/>
    </row>
    <row r="1839" spans="1:18" s="893" customFormat="1" x14ac:dyDescent="0.3">
      <c r="A1839" s="888" t="s">
        <v>2062</v>
      </c>
      <c r="B1839" s="888" t="s">
        <v>1954</v>
      </c>
      <c r="C1839" s="888" t="s">
        <v>2576</v>
      </c>
      <c r="D1839" s="888"/>
      <c r="E1839" s="893" t="s">
        <v>318</v>
      </c>
      <c r="I1839" s="888"/>
      <c r="J1839" s="888"/>
      <c r="K1839" s="888"/>
      <c r="L1839" s="888"/>
      <c r="M1839" s="888"/>
      <c r="N1839" s="888"/>
      <c r="O1839" s="888"/>
      <c r="P1839" s="888"/>
      <c r="Q1839" s="888"/>
      <c r="R1839" s="888"/>
    </row>
    <row r="1840" spans="1:18" s="893" customFormat="1" x14ac:dyDescent="0.3">
      <c r="A1840" s="888" t="s">
        <v>2062</v>
      </c>
      <c r="B1840" s="888" t="s">
        <v>1954</v>
      </c>
      <c r="C1840" s="888" t="s">
        <v>2577</v>
      </c>
      <c r="D1840" s="888"/>
      <c r="E1840" s="893" t="str">
        <f>$E$1821</f>
        <v>3-1/2" (90mm) thick</v>
      </c>
      <c r="I1840" s="888"/>
      <c r="J1840" s="888"/>
      <c r="K1840" s="888"/>
      <c r="L1840" s="888"/>
      <c r="M1840" s="888"/>
      <c r="N1840" s="888"/>
      <c r="O1840" s="888"/>
      <c r="P1840" s="888"/>
      <c r="Q1840" s="888"/>
      <c r="R1840" s="888"/>
    </row>
    <row r="1841" spans="1:18" s="893" customFormat="1" x14ac:dyDescent="0.3">
      <c r="A1841" s="888" t="s">
        <v>2062</v>
      </c>
      <c r="B1841" s="888" t="s">
        <v>1954</v>
      </c>
      <c r="C1841" s="888" t="s">
        <v>2223</v>
      </c>
      <c r="D1841" s="888"/>
      <c r="E1841" s="893" t="s">
        <v>320</v>
      </c>
      <c r="I1841" s="888"/>
      <c r="J1841" s="888"/>
      <c r="K1841" s="888"/>
      <c r="L1841" s="888"/>
      <c r="M1841" s="888"/>
      <c r="N1841" s="888"/>
      <c r="O1841" s="888"/>
      <c r="P1841" s="888"/>
      <c r="Q1841" s="888"/>
      <c r="R1841" s="888"/>
    </row>
    <row r="1842" spans="1:18" s="893" customFormat="1" x14ac:dyDescent="0.3">
      <c r="A1842" s="888" t="s">
        <v>2062</v>
      </c>
      <c r="B1842" s="888" t="s">
        <v>1954</v>
      </c>
      <c r="C1842" s="888" t="s">
        <v>2189</v>
      </c>
      <c r="D1842" s="888"/>
      <c r="E1842" s="893" t="s">
        <v>321</v>
      </c>
      <c r="I1842" s="888"/>
      <c r="J1842" s="888"/>
      <c r="K1842" s="888"/>
      <c r="L1842" s="888"/>
      <c r="M1842" s="888"/>
      <c r="N1842" s="888"/>
      <c r="O1842" s="888"/>
      <c r="P1842" s="888"/>
      <c r="Q1842" s="888"/>
      <c r="R1842" s="888"/>
    </row>
    <row r="1843" spans="1:18" s="893" customFormat="1" x14ac:dyDescent="0.3">
      <c r="A1843" s="888" t="s">
        <v>2062</v>
      </c>
      <c r="B1843" s="888" t="s">
        <v>1954</v>
      </c>
      <c r="C1843" s="888" t="s">
        <v>3820</v>
      </c>
      <c r="D1843" s="888"/>
      <c r="E1843" s="893" t="s">
        <v>322</v>
      </c>
      <c r="I1843" s="888"/>
      <c r="J1843" s="888"/>
      <c r="K1843" s="888"/>
      <c r="L1843" s="888"/>
      <c r="M1843" s="888"/>
      <c r="N1843" s="888"/>
      <c r="O1843" s="888"/>
      <c r="P1843" s="888"/>
      <c r="Q1843" s="888"/>
      <c r="R1843" s="888"/>
    </row>
    <row r="1844" spans="1:18" s="893" customFormat="1" x14ac:dyDescent="0.3">
      <c r="A1844" s="888" t="s">
        <v>2062</v>
      </c>
      <c r="B1844" s="888" t="s">
        <v>1954</v>
      </c>
      <c r="C1844" s="888" t="s">
        <v>3821</v>
      </c>
      <c r="D1844" s="888"/>
      <c r="E1844" s="893" t="str">
        <f>$E$1821</f>
        <v>3-1/2" (90mm) thick</v>
      </c>
      <c r="I1844" s="888"/>
      <c r="J1844" s="888"/>
      <c r="K1844" s="888"/>
      <c r="L1844" s="888"/>
      <c r="M1844" s="888"/>
      <c r="N1844" s="888"/>
      <c r="O1844" s="888"/>
      <c r="P1844" s="888"/>
      <c r="Q1844" s="888"/>
      <c r="R1844" s="888"/>
    </row>
    <row r="1845" spans="1:18" s="893" customFormat="1" x14ac:dyDescent="0.3">
      <c r="A1845" s="888" t="s">
        <v>2062</v>
      </c>
      <c r="B1845" s="888" t="s">
        <v>1954</v>
      </c>
      <c r="C1845" s="888" t="s">
        <v>2190</v>
      </c>
      <c r="D1845" s="888"/>
      <c r="E1845" s="893" t="s">
        <v>324</v>
      </c>
      <c r="I1845" s="888"/>
      <c r="J1845" s="888"/>
      <c r="K1845" s="888"/>
      <c r="L1845" s="888"/>
      <c r="M1845" s="888"/>
      <c r="N1845" s="888"/>
      <c r="O1845" s="888"/>
      <c r="P1845" s="888"/>
      <c r="Q1845" s="888"/>
      <c r="R1845" s="888"/>
    </row>
    <row r="1846" spans="1:18" s="893" customFormat="1" x14ac:dyDescent="0.3">
      <c r="A1846" s="888" t="s">
        <v>2062</v>
      </c>
      <c r="B1846" s="888" t="s">
        <v>1954</v>
      </c>
      <c r="C1846" s="888" t="s">
        <v>2579</v>
      </c>
      <c r="D1846" s="888"/>
      <c r="E1846" s="893" t="s">
        <v>332</v>
      </c>
      <c r="I1846" s="888"/>
      <c r="J1846" s="888"/>
      <c r="K1846" s="888"/>
      <c r="L1846" s="888"/>
      <c r="M1846" s="888"/>
      <c r="N1846" s="888"/>
      <c r="O1846" s="888"/>
      <c r="P1846" s="888"/>
      <c r="Q1846" s="888"/>
      <c r="R1846" s="888"/>
    </row>
    <row r="1847" spans="1:18" s="893" customFormat="1" x14ac:dyDescent="0.3">
      <c r="A1847" s="888" t="s">
        <v>2062</v>
      </c>
      <c r="B1847" s="888" t="s">
        <v>1954</v>
      </c>
      <c r="C1847" s="888" t="s">
        <v>3822</v>
      </c>
      <c r="D1847" s="888"/>
      <c r="E1847" s="893" t="s">
        <v>333</v>
      </c>
      <c r="I1847" s="888"/>
      <c r="J1847" s="888"/>
      <c r="K1847" s="888"/>
      <c r="L1847" s="888"/>
      <c r="M1847" s="888"/>
      <c r="N1847" s="888"/>
      <c r="O1847" s="888"/>
      <c r="P1847" s="888"/>
      <c r="Q1847" s="888"/>
      <c r="R1847" s="888"/>
    </row>
    <row r="1848" spans="1:18" s="893" customFormat="1" x14ac:dyDescent="0.3">
      <c r="A1848" s="888" t="s">
        <v>2062</v>
      </c>
      <c r="B1848" s="888" t="s">
        <v>1954</v>
      </c>
      <c r="C1848" s="888" t="s">
        <v>5016</v>
      </c>
      <c r="D1848" s="888"/>
      <c r="E1848" s="893" t="s">
        <v>334</v>
      </c>
      <c r="I1848" s="888"/>
      <c r="J1848" s="888"/>
      <c r="K1848" s="888"/>
      <c r="L1848" s="888"/>
      <c r="M1848" s="888"/>
      <c r="N1848" s="888"/>
      <c r="O1848" s="888"/>
      <c r="P1848" s="888"/>
      <c r="Q1848" s="888"/>
      <c r="R1848" s="888"/>
    </row>
    <row r="1849" spans="1:18" s="893" customFormat="1" x14ac:dyDescent="0.3">
      <c r="A1849" s="888" t="s">
        <v>2062</v>
      </c>
      <c r="B1849" s="888" t="s">
        <v>1954</v>
      </c>
      <c r="C1849" s="888" t="s">
        <v>2580</v>
      </c>
      <c r="D1849" s="888"/>
      <c r="E1849" s="893" t="s">
        <v>336</v>
      </c>
      <c r="I1849" s="888"/>
      <c r="J1849" s="888"/>
      <c r="K1849" s="888"/>
      <c r="L1849" s="888"/>
      <c r="M1849" s="888"/>
      <c r="N1849" s="888"/>
      <c r="O1849" s="888"/>
      <c r="P1849" s="888"/>
      <c r="Q1849" s="888"/>
      <c r="R1849" s="888"/>
    </row>
    <row r="1850" spans="1:18" s="893" customFormat="1" x14ac:dyDescent="0.3">
      <c r="A1850" s="888" t="s">
        <v>2062</v>
      </c>
      <c r="B1850" s="888" t="s">
        <v>1954</v>
      </c>
      <c r="C1850" s="888" t="s">
        <v>2581</v>
      </c>
      <c r="D1850" s="888"/>
      <c r="E1850" s="893" t="s">
        <v>337</v>
      </c>
      <c r="I1850" s="888"/>
      <c r="J1850" s="888"/>
      <c r="K1850" s="888"/>
      <c r="L1850" s="888"/>
      <c r="M1850" s="888"/>
      <c r="N1850" s="888"/>
      <c r="O1850" s="888"/>
      <c r="P1850" s="888"/>
      <c r="Q1850" s="888"/>
      <c r="R1850" s="888"/>
    </row>
    <row r="1851" spans="1:18" s="893" customFormat="1" x14ac:dyDescent="0.3">
      <c r="A1851" s="888" t="s">
        <v>2062</v>
      </c>
      <c r="B1851" s="888" t="s">
        <v>1954</v>
      </c>
      <c r="C1851" s="888" t="s">
        <v>2305</v>
      </c>
      <c r="D1851" s="888"/>
      <c r="E1851" s="893" t="str">
        <f>$E$1849</f>
        <v>Drywall 5/8"</v>
      </c>
      <c r="I1851" s="888"/>
      <c r="J1851" s="888"/>
      <c r="K1851" s="888"/>
      <c r="L1851" s="888"/>
      <c r="M1851" s="888"/>
      <c r="N1851" s="888"/>
      <c r="O1851" s="888"/>
      <c r="P1851" s="888"/>
      <c r="Q1851" s="888"/>
      <c r="R1851" s="888"/>
    </row>
    <row r="1852" spans="1:18" s="893" customFormat="1" x14ac:dyDescent="0.3">
      <c r="A1852" s="888" t="s">
        <v>2062</v>
      </c>
      <c r="B1852" s="888" t="s">
        <v>1954</v>
      </c>
      <c r="C1852" s="888" t="s">
        <v>2225</v>
      </c>
      <c r="D1852" s="888"/>
      <c r="E1852" s="893" t="str">
        <f>$E$1672</f>
        <v>USG</v>
      </c>
      <c r="I1852" s="888"/>
      <c r="J1852" s="888"/>
      <c r="K1852" s="888"/>
      <c r="L1852" s="888"/>
      <c r="M1852" s="888"/>
      <c r="N1852" s="888"/>
      <c r="O1852" s="888"/>
      <c r="P1852" s="888"/>
      <c r="Q1852" s="888"/>
      <c r="R1852" s="888"/>
    </row>
    <row r="1853" spans="1:18" s="893" customFormat="1" x14ac:dyDescent="0.3">
      <c r="A1853" s="888" t="s">
        <v>2062</v>
      </c>
      <c r="B1853" s="888" t="s">
        <v>1954</v>
      </c>
      <c r="C1853" s="888" t="s">
        <v>3823</v>
      </c>
      <c r="D1853" s="888"/>
      <c r="E1853" s="893" t="s">
        <v>4181</v>
      </c>
      <c r="I1853" s="888"/>
      <c r="J1853" s="888"/>
      <c r="K1853" s="888"/>
      <c r="L1853" s="888"/>
      <c r="M1853" s="888"/>
      <c r="N1853" s="888"/>
      <c r="O1853" s="888"/>
      <c r="P1853" s="888"/>
      <c r="Q1853" s="888"/>
      <c r="R1853" s="888"/>
    </row>
    <row r="1854" spans="1:18" s="893" customFormat="1" x14ac:dyDescent="0.3">
      <c r="A1854" s="888" t="s">
        <v>2062</v>
      </c>
      <c r="B1854" s="888" t="s">
        <v>1954</v>
      </c>
      <c r="C1854" s="888" t="s">
        <v>2583</v>
      </c>
      <c r="D1854" s="888"/>
      <c r="E1854" s="893" t="s">
        <v>3633</v>
      </c>
      <c r="I1854" s="888"/>
      <c r="J1854" s="888"/>
      <c r="K1854" s="888"/>
      <c r="L1854" s="888"/>
      <c r="M1854" s="888"/>
      <c r="N1854" s="888"/>
      <c r="O1854" s="888"/>
      <c r="P1854" s="888"/>
      <c r="Q1854" s="888"/>
      <c r="R1854" s="888"/>
    </row>
    <row r="1855" spans="1:18" s="893" customFormat="1" x14ac:dyDescent="0.3">
      <c r="A1855" s="888" t="s">
        <v>2062</v>
      </c>
      <c r="B1855" s="888" t="s">
        <v>1954</v>
      </c>
      <c r="C1855" s="888" t="s">
        <v>2191</v>
      </c>
      <c r="D1855" s="888"/>
      <c r="E1855" s="893" t="s">
        <v>341</v>
      </c>
      <c r="I1855" s="888"/>
      <c r="J1855" s="888"/>
      <c r="K1855" s="888"/>
      <c r="L1855" s="888"/>
      <c r="M1855" s="888"/>
      <c r="N1855" s="888"/>
      <c r="O1855" s="888"/>
      <c r="P1855" s="888"/>
      <c r="Q1855" s="888"/>
      <c r="R1855" s="888"/>
    </row>
    <row r="1856" spans="1:18" s="893" customFormat="1" x14ac:dyDescent="0.3">
      <c r="A1856" s="888" t="s">
        <v>2062</v>
      </c>
      <c r="B1856" s="888" t="s">
        <v>1954</v>
      </c>
      <c r="C1856" s="888" t="s">
        <v>2306</v>
      </c>
      <c r="D1856" s="888"/>
      <c r="E1856" s="893" t="s">
        <v>3264</v>
      </c>
      <c r="I1856" s="888"/>
      <c r="J1856" s="888"/>
      <c r="K1856" s="888"/>
      <c r="L1856" s="888"/>
      <c r="M1856" s="888"/>
      <c r="N1856" s="888"/>
      <c r="O1856" s="888"/>
      <c r="P1856" s="888"/>
      <c r="Q1856" s="888"/>
      <c r="R1856" s="888"/>
    </row>
    <row r="1857" spans="1:18" s="893" customFormat="1" x14ac:dyDescent="0.3">
      <c r="A1857" s="888" t="s">
        <v>2062</v>
      </c>
      <c r="B1857" s="888" t="s">
        <v>1954</v>
      </c>
      <c r="C1857" s="888" t="s">
        <v>2226</v>
      </c>
      <c r="D1857" s="888"/>
      <c r="E1857" s="893" t="s">
        <v>344</v>
      </c>
      <c r="I1857" s="888"/>
      <c r="J1857" s="888"/>
      <c r="K1857" s="888"/>
      <c r="L1857" s="888"/>
      <c r="M1857" s="888"/>
      <c r="N1857" s="888"/>
      <c r="O1857" s="888"/>
      <c r="P1857" s="888"/>
      <c r="Q1857" s="888"/>
      <c r="R1857" s="888"/>
    </row>
    <row r="1858" spans="1:18" s="893" customFormat="1" x14ac:dyDescent="0.3">
      <c r="A1858" s="888" t="s">
        <v>2062</v>
      </c>
      <c r="B1858" s="888" t="s">
        <v>1954</v>
      </c>
      <c r="C1858" s="888" t="s">
        <v>2584</v>
      </c>
      <c r="D1858" s="888"/>
      <c r="E1858" s="893" t="s">
        <v>345</v>
      </c>
      <c r="I1858" s="888"/>
      <c r="J1858" s="888"/>
      <c r="K1858" s="888"/>
      <c r="L1858" s="888"/>
      <c r="M1858" s="888"/>
      <c r="N1858" s="888"/>
      <c r="O1858" s="888"/>
      <c r="P1858" s="888"/>
      <c r="Q1858" s="888"/>
      <c r="R1858" s="888"/>
    </row>
    <row r="1859" spans="1:18" s="893" customFormat="1" x14ac:dyDescent="0.3">
      <c r="A1859" s="888" t="s">
        <v>2062</v>
      </c>
      <c r="B1859" s="888" t="s">
        <v>1954</v>
      </c>
      <c r="C1859" s="888" t="s">
        <v>2585</v>
      </c>
      <c r="D1859" s="888"/>
      <c r="E1859" s="893" t="s">
        <v>4187</v>
      </c>
      <c r="I1859" s="888"/>
      <c r="J1859" s="888"/>
      <c r="K1859" s="888"/>
      <c r="L1859" s="888"/>
      <c r="M1859" s="888"/>
      <c r="N1859" s="888"/>
      <c r="O1859" s="888"/>
      <c r="P1859" s="888"/>
      <c r="Q1859" s="888"/>
      <c r="R1859" s="888"/>
    </row>
    <row r="1860" spans="1:18" s="893" customFormat="1" x14ac:dyDescent="0.3">
      <c r="A1860" s="888" t="s">
        <v>2062</v>
      </c>
      <c r="B1860" s="888" t="s">
        <v>1954</v>
      </c>
      <c r="C1860" s="888" t="s">
        <v>2307</v>
      </c>
      <c r="D1860" s="888"/>
      <c r="E1860" s="893" t="str">
        <f>$E$1857</f>
        <v>EPS foam board</v>
      </c>
      <c r="I1860" s="888"/>
      <c r="J1860" s="888"/>
      <c r="K1860" s="888"/>
      <c r="L1860" s="888"/>
      <c r="M1860" s="888"/>
      <c r="N1860" s="888"/>
      <c r="O1860" s="888"/>
      <c r="P1860" s="888"/>
      <c r="Q1860" s="888"/>
      <c r="R1860" s="888"/>
    </row>
    <row r="1861" spans="1:18" s="893" customFormat="1" x14ac:dyDescent="0.3">
      <c r="A1861" s="888" t="s">
        <v>2062</v>
      </c>
      <c r="B1861" s="888" t="s">
        <v>1954</v>
      </c>
      <c r="C1861" s="888" t="s">
        <v>2227</v>
      </c>
      <c r="D1861" s="888"/>
      <c r="E1861" s="893" t="str">
        <f>$E$1858</f>
        <v>EPS Industry Alliance</v>
      </c>
      <c r="I1861" s="888"/>
      <c r="J1861" s="888"/>
      <c r="K1861" s="888"/>
      <c r="L1861" s="888"/>
      <c r="M1861" s="888"/>
      <c r="N1861" s="888"/>
      <c r="O1861" s="888"/>
      <c r="P1861" s="888"/>
      <c r="Q1861" s="888"/>
      <c r="R1861" s="888"/>
    </row>
    <row r="1862" spans="1:18" s="893" customFormat="1" x14ac:dyDescent="0.3">
      <c r="A1862" s="888" t="s">
        <v>2062</v>
      </c>
      <c r="B1862" s="888" t="s">
        <v>1954</v>
      </c>
      <c r="C1862" s="888" t="s">
        <v>3824</v>
      </c>
      <c r="D1862" s="888"/>
      <c r="E1862" s="893" t="s">
        <v>4190</v>
      </c>
      <c r="I1862" s="888"/>
      <c r="J1862" s="888"/>
      <c r="K1862" s="888"/>
      <c r="L1862" s="888"/>
      <c r="M1862" s="888"/>
      <c r="N1862" s="888"/>
      <c r="O1862" s="888"/>
      <c r="P1862" s="888"/>
      <c r="Q1862" s="888"/>
      <c r="R1862" s="888"/>
    </row>
    <row r="1863" spans="1:18" s="893" customFormat="1" x14ac:dyDescent="0.3">
      <c r="A1863" s="888" t="s">
        <v>2062</v>
      </c>
      <c r="B1863" s="888" t="s">
        <v>1954</v>
      </c>
      <c r="C1863" s="888" t="s">
        <v>2192</v>
      </c>
      <c r="D1863" s="888"/>
      <c r="E1863" s="893" t="str">
        <f>$E$1857</f>
        <v>EPS foam board</v>
      </c>
      <c r="I1863" s="888"/>
      <c r="J1863" s="888"/>
      <c r="K1863" s="888"/>
      <c r="L1863" s="888"/>
      <c r="M1863" s="888"/>
      <c r="N1863" s="888"/>
      <c r="O1863" s="888"/>
      <c r="P1863" s="888"/>
      <c r="Q1863" s="888"/>
      <c r="R1863" s="888"/>
    </row>
    <row r="1864" spans="1:18" s="893" customFormat="1" x14ac:dyDescent="0.3">
      <c r="A1864" s="888" t="s">
        <v>2062</v>
      </c>
      <c r="B1864" s="888" t="s">
        <v>1954</v>
      </c>
      <c r="C1864" s="888" t="s">
        <v>2308</v>
      </c>
      <c r="D1864" s="888"/>
      <c r="E1864" s="893" t="str">
        <f>$E$1858</f>
        <v>EPS Industry Alliance</v>
      </c>
      <c r="I1864" s="888"/>
      <c r="J1864" s="888"/>
      <c r="K1864" s="888"/>
      <c r="L1864" s="888"/>
      <c r="M1864" s="888"/>
      <c r="N1864" s="888"/>
      <c r="O1864" s="888"/>
      <c r="P1864" s="888"/>
      <c r="Q1864" s="888"/>
      <c r="R1864" s="888"/>
    </row>
    <row r="1865" spans="1:18" s="893" customFormat="1" x14ac:dyDescent="0.3">
      <c r="A1865" s="888" t="s">
        <v>2062</v>
      </c>
      <c r="B1865" s="888" t="s">
        <v>1954</v>
      </c>
      <c r="C1865" s="888" t="s">
        <v>3825</v>
      </c>
      <c r="D1865" s="888"/>
      <c r="E1865" s="893" t="s">
        <v>4192</v>
      </c>
      <c r="I1865" s="888"/>
      <c r="J1865" s="888"/>
      <c r="K1865" s="888"/>
      <c r="L1865" s="888"/>
      <c r="M1865" s="888"/>
      <c r="N1865" s="888"/>
      <c r="O1865" s="888"/>
      <c r="P1865" s="888"/>
      <c r="Q1865" s="888"/>
      <c r="R1865" s="888"/>
    </row>
    <row r="1866" spans="1:18" s="893" customFormat="1" x14ac:dyDescent="0.3">
      <c r="A1866" s="888" t="s">
        <v>2062</v>
      </c>
      <c r="B1866" s="888" t="s">
        <v>1954</v>
      </c>
      <c r="C1866" s="888" t="s">
        <v>2259</v>
      </c>
      <c r="D1866" s="888"/>
      <c r="E1866" s="893" t="str">
        <f>$E$1857</f>
        <v>EPS foam board</v>
      </c>
      <c r="I1866" s="888"/>
      <c r="J1866" s="888"/>
      <c r="K1866" s="888"/>
      <c r="L1866" s="888"/>
      <c r="M1866" s="888"/>
      <c r="N1866" s="888"/>
      <c r="O1866" s="888"/>
      <c r="P1866" s="888"/>
      <c r="Q1866" s="888"/>
      <c r="R1866" s="888"/>
    </row>
    <row r="1867" spans="1:18" s="893" customFormat="1" x14ac:dyDescent="0.3">
      <c r="A1867" s="888" t="s">
        <v>2062</v>
      </c>
      <c r="B1867" s="888" t="s">
        <v>1954</v>
      </c>
      <c r="C1867" s="888" t="s">
        <v>2587</v>
      </c>
      <c r="D1867" s="888"/>
      <c r="E1867" s="893" t="str">
        <f>$E$1858</f>
        <v>EPS Industry Alliance</v>
      </c>
      <c r="I1867" s="888"/>
      <c r="J1867" s="888"/>
      <c r="K1867" s="888"/>
      <c r="L1867" s="888"/>
      <c r="M1867" s="888"/>
      <c r="N1867" s="888"/>
      <c r="O1867" s="888"/>
      <c r="P1867" s="888"/>
      <c r="Q1867" s="888"/>
      <c r="R1867" s="888"/>
    </row>
    <row r="1868" spans="1:18" s="893" customFormat="1" x14ac:dyDescent="0.3">
      <c r="A1868" s="888" t="s">
        <v>2062</v>
      </c>
      <c r="B1868" s="888" t="s">
        <v>1954</v>
      </c>
      <c r="C1868" s="888" t="s">
        <v>5176</v>
      </c>
      <c r="D1868" s="888"/>
      <c r="E1868" s="893" t="s">
        <v>4193</v>
      </c>
      <c r="I1868" s="888"/>
      <c r="J1868" s="888"/>
      <c r="K1868" s="888"/>
      <c r="L1868" s="888"/>
      <c r="M1868" s="888"/>
      <c r="N1868" s="888"/>
      <c r="O1868" s="888"/>
      <c r="P1868" s="888"/>
      <c r="Q1868" s="888"/>
      <c r="R1868" s="888"/>
    </row>
    <row r="1869" spans="1:18" s="893" customFormat="1" x14ac:dyDescent="0.3">
      <c r="A1869" s="888" t="s">
        <v>2062</v>
      </c>
      <c r="B1869" s="888" t="s">
        <v>1954</v>
      </c>
      <c r="C1869" s="888" t="s">
        <v>2193</v>
      </c>
      <c r="D1869" s="888"/>
      <c r="E1869" s="893" t="s">
        <v>348</v>
      </c>
      <c r="I1869" s="888"/>
      <c r="J1869" s="888"/>
      <c r="K1869" s="888"/>
      <c r="L1869" s="888"/>
      <c r="M1869" s="888"/>
      <c r="N1869" s="888"/>
      <c r="O1869" s="888"/>
      <c r="P1869" s="888"/>
      <c r="Q1869" s="888"/>
      <c r="R1869" s="888"/>
    </row>
    <row r="1870" spans="1:18" s="893" customFormat="1" x14ac:dyDescent="0.3">
      <c r="A1870" s="888" t="s">
        <v>2062</v>
      </c>
      <c r="B1870" s="888" t="s">
        <v>1954</v>
      </c>
      <c r="C1870" s="888" t="s">
        <v>2229</v>
      </c>
      <c r="D1870" s="888"/>
      <c r="E1870" s="893" t="s">
        <v>349</v>
      </c>
      <c r="I1870" s="888"/>
      <c r="J1870" s="888"/>
      <c r="K1870" s="888"/>
      <c r="L1870" s="888"/>
      <c r="M1870" s="888"/>
      <c r="N1870" s="888"/>
      <c r="O1870" s="888"/>
      <c r="P1870" s="888"/>
      <c r="Q1870" s="888"/>
      <c r="R1870" s="888"/>
    </row>
    <row r="1871" spans="1:18" s="893" customFormat="1" x14ac:dyDescent="0.3">
      <c r="A1871" s="888" t="s">
        <v>2062</v>
      </c>
      <c r="B1871" s="888" t="s">
        <v>1954</v>
      </c>
      <c r="C1871" s="888" t="s">
        <v>5177</v>
      </c>
      <c r="D1871" s="888"/>
      <c r="E1871" s="893" t="s">
        <v>4194</v>
      </c>
      <c r="I1871" s="888"/>
      <c r="J1871" s="888"/>
      <c r="K1871" s="888"/>
      <c r="L1871" s="888"/>
      <c r="M1871" s="888"/>
      <c r="N1871" s="888"/>
      <c r="O1871" s="888"/>
      <c r="P1871" s="888"/>
      <c r="Q1871" s="888"/>
      <c r="R1871" s="888"/>
    </row>
    <row r="1872" spans="1:18" s="893" customFormat="1" x14ac:dyDescent="0.3">
      <c r="A1872" s="888" t="s">
        <v>2062</v>
      </c>
      <c r="B1872" s="888" t="s">
        <v>1954</v>
      </c>
      <c r="C1872" s="888" t="s">
        <v>5178</v>
      </c>
      <c r="D1872" s="888"/>
      <c r="E1872" s="893" t="s">
        <v>4195</v>
      </c>
      <c r="I1872" s="888"/>
      <c r="J1872" s="888"/>
      <c r="K1872" s="888"/>
      <c r="L1872" s="888"/>
      <c r="M1872" s="888"/>
      <c r="N1872" s="888"/>
      <c r="O1872" s="888"/>
      <c r="P1872" s="888"/>
      <c r="Q1872" s="888"/>
      <c r="R1872" s="888"/>
    </row>
    <row r="1873" spans="1:18" s="893" customFormat="1" x14ac:dyDescent="0.3">
      <c r="A1873" s="888" t="s">
        <v>2062</v>
      </c>
      <c r="B1873" s="888" t="s">
        <v>1954</v>
      </c>
      <c r="C1873" s="888" t="s">
        <v>2589</v>
      </c>
      <c r="D1873" s="888"/>
      <c r="E1873" s="893" t="str">
        <f>$E$1869</f>
        <v>EPS foam board with graphite</v>
      </c>
      <c r="I1873" s="888"/>
      <c r="J1873" s="888"/>
      <c r="K1873" s="888"/>
      <c r="L1873" s="888"/>
      <c r="M1873" s="888"/>
      <c r="N1873" s="888"/>
      <c r="O1873" s="888"/>
      <c r="P1873" s="888"/>
      <c r="Q1873" s="888"/>
      <c r="R1873" s="888"/>
    </row>
    <row r="1874" spans="1:18" s="893" customFormat="1" x14ac:dyDescent="0.3">
      <c r="A1874" s="888" t="s">
        <v>2062</v>
      </c>
      <c r="B1874" s="888" t="s">
        <v>1954</v>
      </c>
      <c r="C1874" s="888" t="s">
        <v>2194</v>
      </c>
      <c r="D1874" s="888"/>
      <c r="E1874" s="893" t="str">
        <f>$E$1870</f>
        <v xml:space="preserve">BASF </v>
      </c>
      <c r="I1874" s="888"/>
      <c r="J1874" s="888"/>
      <c r="K1874" s="888"/>
      <c r="L1874" s="888"/>
      <c r="M1874" s="888"/>
      <c r="N1874" s="888"/>
      <c r="O1874" s="888"/>
      <c r="P1874" s="888"/>
      <c r="Q1874" s="888"/>
      <c r="R1874" s="888"/>
    </row>
    <row r="1875" spans="1:18" s="893" customFormat="1" x14ac:dyDescent="0.3">
      <c r="A1875" s="888" t="s">
        <v>2062</v>
      </c>
      <c r="B1875" s="888" t="s">
        <v>1954</v>
      </c>
      <c r="C1875" s="888" t="s">
        <v>2590</v>
      </c>
      <c r="D1875" s="888"/>
      <c r="E1875" s="893" t="s">
        <v>4198</v>
      </c>
      <c r="I1875" s="888"/>
      <c r="J1875" s="888"/>
      <c r="K1875" s="888"/>
      <c r="L1875" s="888"/>
      <c r="M1875" s="888"/>
      <c r="N1875" s="888"/>
      <c r="O1875" s="888"/>
      <c r="P1875" s="888"/>
      <c r="Q1875" s="888"/>
      <c r="R1875" s="888"/>
    </row>
    <row r="1876" spans="1:18" s="893" customFormat="1" x14ac:dyDescent="0.3">
      <c r="A1876" s="888" t="s">
        <v>2062</v>
      </c>
      <c r="B1876" s="888" t="s">
        <v>1954</v>
      </c>
      <c r="C1876" s="888" t="s">
        <v>5179</v>
      </c>
      <c r="D1876" s="888"/>
      <c r="E1876" s="893" t="s">
        <v>1127</v>
      </c>
      <c r="I1876" s="888"/>
      <c r="J1876" s="888"/>
      <c r="K1876" s="888"/>
      <c r="L1876" s="888"/>
      <c r="M1876" s="888"/>
      <c r="N1876" s="888"/>
      <c r="O1876" s="888"/>
      <c r="P1876" s="888"/>
      <c r="Q1876" s="888"/>
      <c r="R1876" s="888"/>
    </row>
    <row r="1877" spans="1:18" s="893" customFormat="1" x14ac:dyDescent="0.3">
      <c r="A1877" s="888" t="s">
        <v>2062</v>
      </c>
      <c r="B1877" s="888" t="s">
        <v>1954</v>
      </c>
      <c r="C1877" s="888" t="s">
        <v>2591</v>
      </c>
      <c r="D1877" s="888"/>
      <c r="E1877" s="893" t="str">
        <f>$E$1869</f>
        <v>EPS foam board with graphite</v>
      </c>
      <c r="I1877" s="888"/>
      <c r="J1877" s="888"/>
      <c r="K1877" s="888"/>
      <c r="L1877" s="888"/>
      <c r="M1877" s="888"/>
      <c r="N1877" s="888"/>
      <c r="O1877" s="888"/>
      <c r="P1877" s="888"/>
      <c r="Q1877" s="888"/>
      <c r="R1877" s="888"/>
    </row>
    <row r="1878" spans="1:18" s="893" customFormat="1" x14ac:dyDescent="0.3">
      <c r="A1878" s="888" t="s">
        <v>2062</v>
      </c>
      <c r="B1878" s="888" t="s">
        <v>1954</v>
      </c>
      <c r="C1878" s="888" t="s">
        <v>2592</v>
      </c>
      <c r="D1878" s="888"/>
      <c r="E1878" s="893" t="str">
        <f>$E$1870</f>
        <v xml:space="preserve">BASF </v>
      </c>
      <c r="I1878" s="888"/>
      <c r="J1878" s="888"/>
      <c r="K1878" s="888"/>
      <c r="L1878" s="888"/>
      <c r="M1878" s="888"/>
      <c r="N1878" s="888"/>
      <c r="O1878" s="888"/>
      <c r="P1878" s="888"/>
      <c r="Q1878" s="888"/>
      <c r="R1878" s="888"/>
    </row>
    <row r="1879" spans="1:18" s="893" customFormat="1" x14ac:dyDescent="0.3">
      <c r="A1879" s="888" t="s">
        <v>2062</v>
      </c>
      <c r="B1879" s="888" t="s">
        <v>1954</v>
      </c>
      <c r="C1879" s="888" t="s">
        <v>2593</v>
      </c>
      <c r="D1879" s="888"/>
      <c r="E1879" s="893" t="str">
        <f>$E$1875</f>
        <v>Neopor F 5200 &amp; F 5300 Plus BMB</v>
      </c>
      <c r="I1879" s="888"/>
      <c r="J1879" s="888"/>
      <c r="K1879" s="888"/>
      <c r="L1879" s="888"/>
      <c r="M1879" s="888"/>
      <c r="N1879" s="888"/>
      <c r="O1879" s="888"/>
      <c r="P1879" s="888"/>
      <c r="Q1879" s="888"/>
      <c r="R1879" s="888"/>
    </row>
    <row r="1880" spans="1:18" s="893" customFormat="1" x14ac:dyDescent="0.3">
      <c r="A1880" s="888" t="s">
        <v>2062</v>
      </c>
      <c r="B1880" s="888" t="s">
        <v>1954</v>
      </c>
      <c r="C1880" s="888" t="s">
        <v>2594</v>
      </c>
      <c r="D1880" s="888"/>
      <c r="E1880" s="893" t="s">
        <v>4201</v>
      </c>
      <c r="I1880" s="888"/>
      <c r="J1880" s="888"/>
      <c r="K1880" s="888"/>
      <c r="L1880" s="888"/>
      <c r="M1880" s="888"/>
      <c r="N1880" s="888"/>
      <c r="O1880" s="888"/>
      <c r="P1880" s="888"/>
      <c r="Q1880" s="888"/>
      <c r="R1880" s="888"/>
    </row>
    <row r="1881" spans="1:18" s="893" customFormat="1" x14ac:dyDescent="0.3">
      <c r="A1881" s="888" t="s">
        <v>2062</v>
      </c>
      <c r="B1881" s="888" t="s">
        <v>1954</v>
      </c>
      <c r="C1881" s="888" t="s">
        <v>2595</v>
      </c>
      <c r="D1881" s="888"/>
      <c r="E1881" s="893" t="str">
        <f>$E$1869</f>
        <v>EPS foam board with graphite</v>
      </c>
      <c r="I1881" s="888"/>
      <c r="J1881" s="888"/>
      <c r="K1881" s="888"/>
      <c r="L1881" s="888"/>
      <c r="M1881" s="888"/>
      <c r="N1881" s="888"/>
      <c r="O1881" s="888"/>
      <c r="P1881" s="888"/>
      <c r="Q1881" s="888"/>
      <c r="R1881" s="888"/>
    </row>
    <row r="1882" spans="1:18" s="893" customFormat="1" x14ac:dyDescent="0.3">
      <c r="A1882" s="888" t="s">
        <v>2062</v>
      </c>
      <c r="B1882" s="888" t="s">
        <v>1954</v>
      </c>
      <c r="C1882" s="888" t="s">
        <v>2596</v>
      </c>
      <c r="D1882" s="888"/>
      <c r="E1882" s="893" t="str">
        <f>$E$1870</f>
        <v xml:space="preserve">BASF </v>
      </c>
      <c r="I1882" s="888"/>
      <c r="J1882" s="888"/>
      <c r="K1882" s="888"/>
      <c r="L1882" s="888"/>
      <c r="M1882" s="888"/>
      <c r="N1882" s="888"/>
      <c r="O1882" s="888"/>
      <c r="P1882" s="888"/>
      <c r="Q1882" s="888"/>
      <c r="R1882" s="888"/>
    </row>
    <row r="1883" spans="1:18" s="893" customFormat="1" x14ac:dyDescent="0.3">
      <c r="A1883" s="888" t="s">
        <v>2062</v>
      </c>
      <c r="B1883" s="888" t="s">
        <v>1954</v>
      </c>
      <c r="C1883" s="888" t="s">
        <v>2231</v>
      </c>
      <c r="D1883" s="888"/>
      <c r="E1883" s="893" t="str">
        <f>$E$1871</f>
        <v>Neopor F 5200 Plus</v>
      </c>
      <c r="I1883" s="888"/>
      <c r="J1883" s="888"/>
      <c r="K1883" s="888"/>
      <c r="L1883" s="888"/>
      <c r="M1883" s="888"/>
      <c r="N1883" s="888"/>
      <c r="O1883" s="888"/>
      <c r="P1883" s="888"/>
      <c r="Q1883" s="888"/>
      <c r="R1883" s="888"/>
    </row>
    <row r="1884" spans="1:18" s="893" customFormat="1" x14ac:dyDescent="0.3">
      <c r="A1884" s="888" t="s">
        <v>2062</v>
      </c>
      <c r="B1884" s="888" t="s">
        <v>1954</v>
      </c>
      <c r="C1884" s="888" t="s">
        <v>2597</v>
      </c>
      <c r="D1884" s="888"/>
      <c r="E1884" s="893" t="str">
        <f>$E$1876</f>
        <v>R 4.7/inch, Type II, 15 psi (Type 2, 110 kPa)</v>
      </c>
      <c r="I1884" s="888"/>
      <c r="J1884" s="888"/>
      <c r="K1884" s="888"/>
      <c r="L1884" s="888"/>
      <c r="M1884" s="888"/>
      <c r="N1884" s="888"/>
      <c r="O1884" s="888"/>
      <c r="P1884" s="888"/>
      <c r="Q1884" s="888"/>
      <c r="R1884" s="888"/>
    </row>
    <row r="1885" spans="1:18" s="893" customFormat="1" x14ac:dyDescent="0.3">
      <c r="A1885" s="888" t="s">
        <v>2062</v>
      </c>
      <c r="B1885" s="888" t="s">
        <v>1954</v>
      </c>
      <c r="C1885" s="888" t="s">
        <v>2598</v>
      </c>
      <c r="D1885" s="888"/>
      <c r="E1885" s="893" t="s">
        <v>354</v>
      </c>
      <c r="I1885" s="888"/>
      <c r="J1885" s="888"/>
      <c r="K1885" s="888"/>
      <c r="L1885" s="888"/>
      <c r="M1885" s="888"/>
      <c r="N1885" s="888"/>
      <c r="O1885" s="888"/>
      <c r="P1885" s="888"/>
      <c r="Q1885" s="888"/>
      <c r="R1885" s="888"/>
    </row>
    <row r="1886" spans="1:18" s="893" customFormat="1" x14ac:dyDescent="0.3">
      <c r="A1886" s="888" t="s">
        <v>2062</v>
      </c>
      <c r="B1886" s="888" t="s">
        <v>1954</v>
      </c>
      <c r="C1886" s="888" t="s">
        <v>2599</v>
      </c>
      <c r="D1886" s="888"/>
      <c r="E1886" s="893" t="s">
        <v>355</v>
      </c>
      <c r="I1886" s="888"/>
      <c r="J1886" s="888"/>
      <c r="K1886" s="888"/>
      <c r="L1886" s="888"/>
      <c r="M1886" s="888"/>
      <c r="N1886" s="888"/>
      <c r="O1886" s="888"/>
      <c r="P1886" s="888"/>
      <c r="Q1886" s="888"/>
      <c r="R1886" s="888"/>
    </row>
    <row r="1887" spans="1:18" s="893" customFormat="1" x14ac:dyDescent="0.3">
      <c r="A1887" s="888" t="s">
        <v>2062</v>
      </c>
      <c r="B1887" s="888" t="s">
        <v>1954</v>
      </c>
      <c r="C1887" s="888" t="s">
        <v>2600</v>
      </c>
      <c r="D1887" s="888"/>
      <c r="E1887" s="893" t="s">
        <v>356</v>
      </c>
      <c r="I1887" s="888"/>
      <c r="J1887" s="888"/>
      <c r="K1887" s="888"/>
      <c r="L1887" s="888"/>
      <c r="M1887" s="888"/>
      <c r="N1887" s="888"/>
      <c r="O1887" s="888"/>
      <c r="P1887" s="888"/>
      <c r="Q1887" s="888"/>
      <c r="R1887" s="888"/>
    </row>
    <row r="1888" spans="1:18" s="893" customFormat="1" x14ac:dyDescent="0.3">
      <c r="A1888" s="888" t="s">
        <v>2062</v>
      </c>
      <c r="B1888" s="888" t="s">
        <v>1954</v>
      </c>
      <c r="C1888" s="888" t="s">
        <v>2601</v>
      </c>
      <c r="D1888" s="888"/>
      <c r="E1888" s="893" t="s">
        <v>865</v>
      </c>
      <c r="I1888" s="888"/>
      <c r="J1888" s="888"/>
      <c r="K1888" s="888"/>
      <c r="L1888" s="888"/>
      <c r="M1888" s="888"/>
      <c r="N1888" s="888"/>
      <c r="O1888" s="888"/>
      <c r="P1888" s="888"/>
      <c r="Q1888" s="888"/>
      <c r="R1888" s="888"/>
    </row>
    <row r="1889" spans="1:18" s="893" customFormat="1" x14ac:dyDescent="0.3">
      <c r="A1889" s="888" t="s">
        <v>2062</v>
      </c>
      <c r="B1889" s="888" t="s">
        <v>1954</v>
      </c>
      <c r="C1889" s="888" t="s">
        <v>2310</v>
      </c>
      <c r="D1889" s="888"/>
      <c r="E1889" s="893" t="str">
        <f>$E$1885</f>
        <v>Fiber Cement roofing</v>
      </c>
      <c r="I1889" s="888"/>
      <c r="J1889" s="888"/>
      <c r="K1889" s="888"/>
      <c r="L1889" s="888"/>
      <c r="M1889" s="888"/>
      <c r="N1889" s="888"/>
      <c r="O1889" s="888"/>
      <c r="P1889" s="888"/>
      <c r="Q1889" s="888"/>
      <c r="R1889" s="888"/>
    </row>
    <row r="1890" spans="1:18" s="893" customFormat="1" x14ac:dyDescent="0.3">
      <c r="A1890" s="888" t="s">
        <v>2062</v>
      </c>
      <c r="B1890" s="888" t="s">
        <v>1954</v>
      </c>
      <c r="C1890" s="888" t="s">
        <v>2602</v>
      </c>
      <c r="D1890" s="888"/>
      <c r="E1890" s="893" t="str">
        <f>$E$1886</f>
        <v>Cembrit</v>
      </c>
      <c r="I1890" s="888"/>
      <c r="J1890" s="888"/>
      <c r="K1890" s="888"/>
      <c r="L1890" s="888"/>
      <c r="M1890" s="888"/>
      <c r="N1890" s="888"/>
      <c r="O1890" s="888"/>
      <c r="P1890" s="888"/>
      <c r="Q1890" s="888"/>
      <c r="R1890" s="888"/>
    </row>
    <row r="1891" spans="1:18" s="893" customFormat="1" x14ac:dyDescent="0.3">
      <c r="A1891" s="888" t="s">
        <v>2062</v>
      </c>
      <c r="B1891" s="888" t="s">
        <v>1954</v>
      </c>
      <c r="C1891" s="888" t="s">
        <v>2333</v>
      </c>
      <c r="D1891" s="888"/>
      <c r="E1891" s="893" t="s">
        <v>358</v>
      </c>
      <c r="I1891" s="888"/>
      <c r="J1891" s="888"/>
      <c r="K1891" s="888"/>
      <c r="L1891" s="888"/>
      <c r="M1891" s="888"/>
      <c r="N1891" s="888"/>
      <c r="O1891" s="888"/>
      <c r="P1891" s="888"/>
      <c r="Q1891" s="888"/>
      <c r="R1891" s="888"/>
    </row>
    <row r="1892" spans="1:18" s="893" customFormat="1" x14ac:dyDescent="0.3">
      <c r="A1892" s="888" t="s">
        <v>2062</v>
      </c>
      <c r="B1892" s="888" t="s">
        <v>1954</v>
      </c>
      <c r="C1892" s="888" t="s">
        <v>2603</v>
      </c>
      <c r="D1892" s="888"/>
      <c r="E1892" s="893" t="s">
        <v>863</v>
      </c>
      <c r="I1892" s="888"/>
      <c r="J1892" s="888"/>
      <c r="K1892" s="888"/>
      <c r="L1892" s="888"/>
      <c r="M1892" s="888"/>
      <c r="N1892" s="888"/>
      <c r="O1892" s="888"/>
      <c r="P1892" s="888"/>
      <c r="Q1892" s="888"/>
      <c r="R1892" s="888"/>
    </row>
    <row r="1893" spans="1:18" s="893" customFormat="1" x14ac:dyDescent="0.3">
      <c r="A1893" s="888" t="s">
        <v>2062</v>
      </c>
      <c r="B1893" s="888" t="s">
        <v>1954</v>
      </c>
      <c r="C1893" s="888" t="s">
        <v>2195</v>
      </c>
      <c r="D1893" s="888"/>
      <c r="E1893" s="893" t="s">
        <v>369</v>
      </c>
      <c r="I1893" s="888"/>
      <c r="J1893" s="888"/>
      <c r="K1893" s="888"/>
      <c r="L1893" s="888"/>
      <c r="M1893" s="888"/>
      <c r="N1893" s="888"/>
      <c r="O1893" s="888"/>
      <c r="P1893" s="888"/>
      <c r="Q1893" s="888"/>
      <c r="R1893" s="888"/>
    </row>
    <row r="1894" spans="1:18" s="893" customFormat="1" x14ac:dyDescent="0.3">
      <c r="A1894" s="888" t="s">
        <v>2062</v>
      </c>
      <c r="B1894" s="888" t="s">
        <v>1954</v>
      </c>
      <c r="C1894" s="888" t="s">
        <v>2605</v>
      </c>
      <c r="D1894" s="888"/>
      <c r="E1894" s="893" t="s">
        <v>325</v>
      </c>
      <c r="I1894" s="888"/>
      <c r="J1894" s="888"/>
      <c r="K1894" s="888"/>
      <c r="L1894" s="888"/>
      <c r="M1894" s="888"/>
      <c r="N1894" s="888"/>
      <c r="O1894" s="888"/>
      <c r="P1894" s="888"/>
      <c r="Q1894" s="888"/>
      <c r="R1894" s="888"/>
    </row>
    <row r="1895" spans="1:18" s="893" customFormat="1" x14ac:dyDescent="0.3">
      <c r="A1895" s="888" t="s">
        <v>2062</v>
      </c>
      <c r="B1895" s="888" t="s">
        <v>1954</v>
      </c>
      <c r="C1895" s="888" t="s">
        <v>2606</v>
      </c>
      <c r="D1895" s="888"/>
      <c r="E1895" s="893" t="s">
        <v>370</v>
      </c>
      <c r="I1895" s="888"/>
      <c r="J1895" s="888"/>
      <c r="K1895" s="888"/>
      <c r="L1895" s="888"/>
      <c r="M1895" s="888"/>
      <c r="N1895" s="888"/>
      <c r="O1895" s="888"/>
      <c r="P1895" s="888"/>
      <c r="Q1895" s="888"/>
      <c r="R1895" s="888"/>
    </row>
    <row r="1896" spans="1:18" s="893" customFormat="1" x14ac:dyDescent="0.3">
      <c r="A1896" s="888" t="s">
        <v>2062</v>
      </c>
      <c r="B1896" s="888" t="s">
        <v>1954</v>
      </c>
      <c r="C1896" s="888" t="s">
        <v>2607</v>
      </c>
      <c r="D1896" s="888"/>
      <c r="E1896" s="893" t="str">
        <f>$E$1660</f>
        <v>R 3.6/inch</v>
      </c>
      <c r="I1896" s="888"/>
      <c r="J1896" s="888"/>
      <c r="K1896" s="888"/>
      <c r="L1896" s="888"/>
      <c r="M1896" s="888"/>
      <c r="N1896" s="888"/>
      <c r="O1896" s="888"/>
      <c r="P1896" s="888"/>
      <c r="Q1896" s="888"/>
      <c r="R1896" s="888"/>
    </row>
    <row r="1897" spans="1:18" s="893" customFormat="1" x14ac:dyDescent="0.3">
      <c r="A1897" s="888" t="s">
        <v>2062</v>
      </c>
      <c r="B1897" s="888" t="s">
        <v>1954</v>
      </c>
      <c r="C1897" s="888" t="s">
        <v>2260</v>
      </c>
      <c r="D1897" s="888"/>
      <c r="E1897" s="893" t="str">
        <f>$E$1893</f>
        <v>Fiberglass batt</v>
      </c>
      <c r="I1897" s="888"/>
      <c r="J1897" s="888"/>
      <c r="K1897" s="888"/>
      <c r="L1897" s="888"/>
      <c r="M1897" s="888"/>
      <c r="N1897" s="888"/>
      <c r="O1897" s="888"/>
      <c r="P1897" s="888"/>
      <c r="Q1897" s="888"/>
      <c r="R1897" s="888"/>
    </row>
    <row r="1898" spans="1:18" s="893" customFormat="1" x14ac:dyDescent="0.3">
      <c r="A1898" s="888" t="s">
        <v>2062</v>
      </c>
      <c r="B1898" s="888" t="s">
        <v>1954</v>
      </c>
      <c r="C1898" s="888" t="s">
        <v>2334</v>
      </c>
      <c r="D1898" s="888"/>
      <c r="E1898" s="893" t="s">
        <v>3621</v>
      </c>
      <c r="I1898" s="888"/>
      <c r="J1898" s="888"/>
      <c r="K1898" s="888"/>
      <c r="L1898" s="888"/>
      <c r="M1898" s="888"/>
      <c r="N1898" s="888"/>
      <c r="O1898" s="888"/>
      <c r="P1898" s="888"/>
      <c r="Q1898" s="888"/>
      <c r="R1898" s="888"/>
    </row>
    <row r="1899" spans="1:18" s="893" customFormat="1" x14ac:dyDescent="0.3">
      <c r="A1899" s="888" t="s">
        <v>2062</v>
      </c>
      <c r="B1899" s="888" t="s">
        <v>1954</v>
      </c>
      <c r="C1899" s="888" t="s">
        <v>2609</v>
      </c>
      <c r="D1899" s="888"/>
      <c r="E1899" s="893" t="s">
        <v>4206</v>
      </c>
      <c r="I1899" s="888"/>
      <c r="J1899" s="888"/>
      <c r="K1899" s="888"/>
      <c r="L1899" s="888"/>
      <c r="M1899" s="888"/>
      <c r="N1899" s="888"/>
      <c r="O1899" s="888"/>
      <c r="P1899" s="888"/>
      <c r="Q1899" s="888"/>
      <c r="R1899" s="888"/>
    </row>
    <row r="1900" spans="1:18" s="893" customFormat="1" x14ac:dyDescent="0.3">
      <c r="A1900" s="888" t="s">
        <v>2062</v>
      </c>
      <c r="B1900" s="888" t="s">
        <v>1954</v>
      </c>
      <c r="C1900" s="888" t="s">
        <v>2610</v>
      </c>
      <c r="D1900" s="888"/>
      <c r="E1900" s="893" t="s">
        <v>721</v>
      </c>
      <c r="I1900" s="888"/>
      <c r="J1900" s="888"/>
      <c r="K1900" s="888"/>
      <c r="L1900" s="888"/>
      <c r="M1900" s="888"/>
      <c r="N1900" s="888"/>
      <c r="O1900" s="888"/>
      <c r="P1900" s="888"/>
      <c r="Q1900" s="888"/>
      <c r="R1900" s="888"/>
    </row>
    <row r="1901" spans="1:18" s="893" customFormat="1" x14ac:dyDescent="0.3">
      <c r="A1901" s="888" t="s">
        <v>2062</v>
      </c>
      <c r="B1901" s="888" t="s">
        <v>1954</v>
      </c>
      <c r="C1901" s="888" t="s">
        <v>2611</v>
      </c>
      <c r="D1901" s="888"/>
      <c r="E1901" s="893" t="str">
        <f>$E$1893</f>
        <v>Fiberglass batt</v>
      </c>
      <c r="I1901" s="888"/>
      <c r="J1901" s="888"/>
      <c r="K1901" s="888"/>
      <c r="L1901" s="888"/>
      <c r="M1901" s="888"/>
      <c r="N1901" s="888"/>
      <c r="O1901" s="888"/>
      <c r="P1901" s="888"/>
      <c r="Q1901" s="888"/>
      <c r="R1901" s="888"/>
    </row>
    <row r="1902" spans="1:18" s="893" customFormat="1" x14ac:dyDescent="0.3">
      <c r="A1902" s="888" t="s">
        <v>2062</v>
      </c>
      <c r="B1902" s="888" t="s">
        <v>1954</v>
      </c>
      <c r="C1902" s="888" t="s">
        <v>2612</v>
      </c>
      <c r="D1902" s="888"/>
      <c r="E1902" s="893" t="s">
        <v>509</v>
      </c>
      <c r="I1902" s="888"/>
      <c r="J1902" s="888"/>
      <c r="K1902" s="888"/>
      <c r="L1902" s="888"/>
      <c r="M1902" s="888"/>
      <c r="N1902" s="888"/>
      <c r="O1902" s="888"/>
      <c r="P1902" s="888"/>
      <c r="Q1902" s="888"/>
      <c r="R1902" s="888"/>
    </row>
    <row r="1903" spans="1:18" s="893" customFormat="1" x14ac:dyDescent="0.3">
      <c r="A1903" s="888" t="s">
        <v>2062</v>
      </c>
      <c r="B1903" s="888" t="s">
        <v>1954</v>
      </c>
      <c r="C1903" s="888" t="s">
        <v>2613</v>
      </c>
      <c r="D1903" s="888"/>
      <c r="E1903" s="893" t="s">
        <v>738</v>
      </c>
      <c r="I1903" s="888"/>
      <c r="J1903" s="888"/>
      <c r="K1903" s="888"/>
      <c r="L1903" s="888"/>
      <c r="M1903" s="888"/>
      <c r="N1903" s="888"/>
      <c r="O1903" s="888"/>
      <c r="P1903" s="888"/>
      <c r="Q1903" s="888"/>
      <c r="R1903" s="888"/>
    </row>
    <row r="1904" spans="1:18" s="893" customFormat="1" x14ac:dyDescent="0.3">
      <c r="A1904" s="888" t="s">
        <v>2062</v>
      </c>
      <c r="B1904" s="888" t="s">
        <v>1954</v>
      </c>
      <c r="C1904" s="888" t="s">
        <v>2614</v>
      </c>
      <c r="D1904" s="888"/>
      <c r="E1904" s="893" t="s">
        <v>4210</v>
      </c>
      <c r="I1904" s="888"/>
      <c r="J1904" s="888"/>
      <c r="K1904" s="888"/>
      <c r="L1904" s="888"/>
      <c r="M1904" s="888"/>
      <c r="N1904" s="888"/>
      <c r="O1904" s="888"/>
      <c r="P1904" s="888"/>
      <c r="Q1904" s="888"/>
      <c r="R1904" s="888"/>
    </row>
    <row r="1905" spans="1:18" s="893" customFormat="1" x14ac:dyDescent="0.3">
      <c r="A1905" s="888" t="s">
        <v>2062</v>
      </c>
      <c r="B1905" s="888" t="s">
        <v>1954</v>
      </c>
      <c r="C1905" s="888" t="s">
        <v>2615</v>
      </c>
      <c r="D1905" s="888"/>
      <c r="E1905" s="893" t="str">
        <f>$E$1598</f>
        <v>Owens Corning</v>
      </c>
      <c r="I1905" s="888"/>
      <c r="J1905" s="888"/>
      <c r="K1905" s="888"/>
      <c r="L1905" s="888"/>
      <c r="M1905" s="888"/>
      <c r="N1905" s="888"/>
      <c r="O1905" s="888"/>
      <c r="P1905" s="888"/>
      <c r="Q1905" s="888"/>
      <c r="R1905" s="888"/>
    </row>
    <row r="1906" spans="1:18" s="893" customFormat="1" x14ac:dyDescent="0.3">
      <c r="A1906" s="888" t="s">
        <v>2062</v>
      </c>
      <c r="B1906" s="888" t="s">
        <v>1954</v>
      </c>
      <c r="C1906" s="888" t="s">
        <v>2616</v>
      </c>
      <c r="D1906" s="888"/>
      <c r="E1906" s="893" t="s">
        <v>4211</v>
      </c>
      <c r="I1906" s="888"/>
      <c r="J1906" s="888"/>
      <c r="K1906" s="888"/>
      <c r="L1906" s="888"/>
      <c r="M1906" s="888"/>
      <c r="N1906" s="888"/>
      <c r="O1906" s="888"/>
      <c r="P1906" s="888"/>
      <c r="Q1906" s="888"/>
      <c r="R1906" s="888"/>
    </row>
    <row r="1907" spans="1:18" s="893" customFormat="1" x14ac:dyDescent="0.3">
      <c r="A1907" s="888" t="s">
        <v>2062</v>
      </c>
      <c r="B1907" s="888" t="s">
        <v>1954</v>
      </c>
      <c r="C1907" s="888" t="s">
        <v>2617</v>
      </c>
      <c r="D1907" s="888"/>
      <c r="E1907" s="893" t="s">
        <v>4212</v>
      </c>
      <c r="I1907" s="888"/>
      <c r="J1907" s="888"/>
      <c r="K1907" s="888"/>
      <c r="L1907" s="888"/>
      <c r="M1907" s="888"/>
      <c r="N1907" s="888"/>
      <c r="O1907" s="888"/>
      <c r="P1907" s="888"/>
      <c r="Q1907" s="888"/>
      <c r="R1907" s="888"/>
    </row>
    <row r="1908" spans="1:18" s="893" customFormat="1" x14ac:dyDescent="0.3">
      <c r="A1908" s="888" t="s">
        <v>2062</v>
      </c>
      <c r="B1908" s="888" t="s">
        <v>1954</v>
      </c>
      <c r="C1908" s="888" t="s">
        <v>2618</v>
      </c>
      <c r="D1908" s="888"/>
      <c r="E1908" s="893" t="s">
        <v>378</v>
      </c>
      <c r="I1908" s="888"/>
      <c r="J1908" s="888"/>
      <c r="K1908" s="888"/>
      <c r="L1908" s="888"/>
      <c r="M1908" s="888"/>
      <c r="N1908" s="888"/>
      <c r="O1908" s="888"/>
      <c r="P1908" s="888"/>
      <c r="Q1908" s="888"/>
      <c r="R1908" s="888"/>
    </row>
    <row r="1909" spans="1:18" s="893" customFormat="1" x14ac:dyDescent="0.3">
      <c r="A1909" s="888" t="s">
        <v>2062</v>
      </c>
      <c r="B1909" s="888" t="s">
        <v>1954</v>
      </c>
      <c r="C1909" s="888" t="s">
        <v>2619</v>
      </c>
      <c r="D1909" s="888"/>
      <c r="E1909" s="893" t="str">
        <f>$E$1894</f>
        <v>CertainTeed</v>
      </c>
      <c r="I1909" s="888"/>
      <c r="J1909" s="888"/>
      <c r="K1909" s="888"/>
      <c r="L1909" s="888"/>
      <c r="M1909" s="888"/>
      <c r="N1909" s="888"/>
      <c r="O1909" s="888"/>
      <c r="P1909" s="888"/>
      <c r="Q1909" s="888"/>
      <c r="R1909" s="888"/>
    </row>
    <row r="1910" spans="1:18" s="893" customFormat="1" x14ac:dyDescent="0.3">
      <c r="A1910" s="888" t="s">
        <v>2062</v>
      </c>
      <c r="B1910" s="888" t="s">
        <v>1954</v>
      </c>
      <c r="C1910" s="888" t="s">
        <v>2620</v>
      </c>
      <c r="D1910" s="888"/>
      <c r="E1910" s="893" t="s">
        <v>379</v>
      </c>
      <c r="I1910" s="888"/>
      <c r="J1910" s="888"/>
      <c r="K1910" s="888"/>
      <c r="L1910" s="888"/>
      <c r="M1910" s="888"/>
      <c r="N1910" s="888"/>
      <c r="O1910" s="888"/>
      <c r="P1910" s="888"/>
      <c r="Q1910" s="888"/>
      <c r="R1910" s="888"/>
    </row>
    <row r="1911" spans="1:18" s="893" customFormat="1" x14ac:dyDescent="0.3">
      <c r="A1911" s="888" t="s">
        <v>2062</v>
      </c>
      <c r="B1911" s="888" t="s">
        <v>1954</v>
      </c>
      <c r="C1911" s="888" t="s">
        <v>2621</v>
      </c>
      <c r="D1911" s="888"/>
      <c r="E1911" s="893" t="s">
        <v>380</v>
      </c>
      <c r="I1911" s="888"/>
      <c r="J1911" s="888"/>
      <c r="K1911" s="888"/>
      <c r="L1911" s="888"/>
      <c r="M1911" s="888"/>
      <c r="N1911" s="888"/>
      <c r="O1911" s="888"/>
      <c r="P1911" s="888"/>
      <c r="Q1911" s="888"/>
      <c r="R1911" s="888"/>
    </row>
    <row r="1912" spans="1:18" s="893" customFormat="1" x14ac:dyDescent="0.3">
      <c r="A1912" s="888" t="s">
        <v>2062</v>
      </c>
      <c r="B1912" s="888" t="s">
        <v>1954</v>
      </c>
      <c r="C1912" s="888" t="s">
        <v>2623</v>
      </c>
      <c r="D1912" s="888"/>
      <c r="E1912" s="893" t="str">
        <f>$E$1908</f>
        <v>Fiberglass loose fill</v>
      </c>
      <c r="I1912" s="888"/>
      <c r="J1912" s="888"/>
      <c r="K1912" s="888"/>
      <c r="L1912" s="888"/>
      <c r="M1912" s="888"/>
      <c r="N1912" s="888"/>
      <c r="O1912" s="888"/>
      <c r="P1912" s="888"/>
      <c r="Q1912" s="888"/>
      <c r="R1912" s="888"/>
    </row>
    <row r="1913" spans="1:18" s="893" customFormat="1" x14ac:dyDescent="0.3">
      <c r="A1913" s="888" t="s">
        <v>2062</v>
      </c>
      <c r="B1913" s="888" t="s">
        <v>1954</v>
      </c>
      <c r="C1913" s="888" t="s">
        <v>2624</v>
      </c>
      <c r="D1913" s="888"/>
      <c r="E1913" s="893" t="str">
        <f>$E$1598</f>
        <v>Owens Corning</v>
      </c>
      <c r="I1913" s="888"/>
      <c r="J1913" s="888"/>
      <c r="K1913" s="888"/>
      <c r="L1913" s="888"/>
      <c r="M1913" s="888"/>
      <c r="N1913" s="888"/>
      <c r="O1913" s="888"/>
      <c r="P1913" s="888"/>
      <c r="Q1913" s="888"/>
      <c r="R1913" s="888"/>
    </row>
    <row r="1914" spans="1:18" s="893" customFormat="1" x14ac:dyDescent="0.3">
      <c r="A1914" s="888" t="s">
        <v>2062</v>
      </c>
      <c r="B1914" s="888" t="s">
        <v>1954</v>
      </c>
      <c r="C1914" s="888" t="s">
        <v>2625</v>
      </c>
      <c r="D1914" s="888"/>
      <c r="E1914" s="893" t="s">
        <v>384</v>
      </c>
      <c r="I1914" s="888"/>
      <c r="J1914" s="888"/>
      <c r="K1914" s="888"/>
      <c r="L1914" s="888"/>
      <c r="M1914" s="888"/>
      <c r="N1914" s="888"/>
      <c r="O1914" s="888"/>
      <c r="P1914" s="888"/>
      <c r="Q1914" s="888"/>
      <c r="R1914" s="888"/>
    </row>
    <row r="1915" spans="1:18" s="893" customFormat="1" x14ac:dyDescent="0.3">
      <c r="A1915" s="888" t="s">
        <v>2062</v>
      </c>
      <c r="B1915" s="888" t="s">
        <v>1954</v>
      </c>
      <c r="C1915" s="888" t="s">
        <v>2626</v>
      </c>
      <c r="D1915" s="888"/>
      <c r="E1915" s="893" t="s">
        <v>4220</v>
      </c>
      <c r="I1915" s="888"/>
      <c r="J1915" s="888"/>
      <c r="K1915" s="888"/>
      <c r="L1915" s="888"/>
      <c r="M1915" s="888"/>
      <c r="N1915" s="888"/>
      <c r="O1915" s="888"/>
      <c r="P1915" s="888"/>
      <c r="Q1915" s="888"/>
      <c r="R1915" s="888"/>
    </row>
    <row r="1916" spans="1:18" s="893" customFormat="1" x14ac:dyDescent="0.3">
      <c r="A1916" s="888" t="s">
        <v>2062</v>
      </c>
      <c r="B1916" s="888" t="s">
        <v>1954</v>
      </c>
      <c r="C1916" s="888" t="s">
        <v>2335</v>
      </c>
      <c r="D1916" s="888"/>
      <c r="E1916" s="893" t="str">
        <f>$E$1908</f>
        <v>Fiberglass loose fill</v>
      </c>
      <c r="I1916" s="888"/>
      <c r="J1916" s="888"/>
      <c r="K1916" s="888"/>
      <c r="L1916" s="888"/>
      <c r="M1916" s="888"/>
      <c r="N1916" s="888"/>
      <c r="O1916" s="888"/>
      <c r="P1916" s="888"/>
      <c r="Q1916" s="888"/>
      <c r="R1916" s="888"/>
    </row>
    <row r="1917" spans="1:18" s="893" customFormat="1" x14ac:dyDescent="0.3">
      <c r="A1917" s="888" t="s">
        <v>2062</v>
      </c>
      <c r="B1917" s="888" t="s">
        <v>1954</v>
      </c>
      <c r="C1917" s="888" t="s">
        <v>2627</v>
      </c>
      <c r="D1917" s="888"/>
      <c r="E1917" s="893" t="str">
        <f>$E$1902</f>
        <v xml:space="preserve">NAIMA </v>
      </c>
      <c r="I1917" s="888"/>
      <c r="J1917" s="888"/>
      <c r="K1917" s="888"/>
      <c r="L1917" s="888"/>
      <c r="M1917" s="888"/>
      <c r="N1917" s="888"/>
      <c r="O1917" s="888"/>
      <c r="P1917" s="888"/>
      <c r="Q1917" s="888"/>
      <c r="R1917" s="888"/>
    </row>
    <row r="1918" spans="1:18" s="893" customFormat="1" x14ac:dyDescent="0.3">
      <c r="A1918" s="888" t="s">
        <v>2062</v>
      </c>
      <c r="B1918" s="888" t="s">
        <v>1954</v>
      </c>
      <c r="C1918" s="888" t="s">
        <v>2628</v>
      </c>
      <c r="D1918" s="888"/>
      <c r="E1918" s="893" t="s">
        <v>4208</v>
      </c>
      <c r="I1918" s="888"/>
      <c r="J1918" s="888"/>
      <c r="K1918" s="888"/>
      <c r="L1918" s="888"/>
      <c r="M1918" s="888"/>
      <c r="N1918" s="888"/>
      <c r="O1918" s="888"/>
      <c r="P1918" s="888"/>
      <c r="Q1918" s="888"/>
      <c r="R1918" s="888"/>
    </row>
    <row r="1919" spans="1:18" s="893" customFormat="1" x14ac:dyDescent="0.3">
      <c r="A1919" s="888" t="s">
        <v>2062</v>
      </c>
      <c r="B1919" s="888" t="s">
        <v>1954</v>
      </c>
      <c r="C1919" s="888" t="s">
        <v>2629</v>
      </c>
      <c r="D1919" s="888"/>
      <c r="E1919" s="893" t="s">
        <v>382</v>
      </c>
      <c r="I1919" s="888"/>
      <c r="J1919" s="888"/>
      <c r="K1919" s="888"/>
      <c r="L1919" s="888"/>
      <c r="M1919" s="888"/>
      <c r="N1919" s="888"/>
      <c r="O1919" s="888"/>
      <c r="P1919" s="888"/>
      <c r="Q1919" s="888"/>
      <c r="R1919" s="888"/>
    </row>
    <row r="1920" spans="1:18" s="893" customFormat="1" x14ac:dyDescent="0.3">
      <c r="A1920" s="888" t="s">
        <v>2062</v>
      </c>
      <c r="B1920" s="888" t="s">
        <v>1954</v>
      </c>
      <c r="C1920" s="888" t="s">
        <v>2261</v>
      </c>
      <c r="D1920" s="888"/>
      <c r="E1920" s="893" t="s">
        <v>395</v>
      </c>
      <c r="I1920" s="888"/>
      <c r="J1920" s="888"/>
      <c r="K1920" s="888"/>
      <c r="L1920" s="888"/>
      <c r="M1920" s="888"/>
      <c r="N1920" s="888"/>
      <c r="O1920" s="888"/>
      <c r="P1920" s="888"/>
      <c r="Q1920" s="888"/>
      <c r="R1920" s="888"/>
    </row>
    <row r="1921" spans="1:18" s="893" customFormat="1" x14ac:dyDescent="0.3">
      <c r="A1921" s="888" t="s">
        <v>2062</v>
      </c>
      <c r="B1921" s="888" t="s">
        <v>1954</v>
      </c>
      <c r="C1921" s="888" t="s">
        <v>2631</v>
      </c>
      <c r="D1921" s="888"/>
      <c r="E1921" s="893" t="s">
        <v>396</v>
      </c>
      <c r="I1921" s="888"/>
      <c r="J1921" s="888"/>
      <c r="K1921" s="888"/>
      <c r="L1921" s="888"/>
      <c r="M1921" s="888"/>
      <c r="N1921" s="888"/>
      <c r="O1921" s="888"/>
      <c r="P1921" s="888"/>
      <c r="Q1921" s="888"/>
      <c r="R1921" s="888"/>
    </row>
    <row r="1922" spans="1:18" s="893" customFormat="1" x14ac:dyDescent="0.3">
      <c r="A1922" s="888" t="s">
        <v>2062</v>
      </c>
      <c r="B1922" s="888" t="s">
        <v>1954</v>
      </c>
      <c r="C1922" s="888" t="s">
        <v>3827</v>
      </c>
      <c r="D1922" s="888"/>
      <c r="E1922" s="893" t="s">
        <v>4226</v>
      </c>
      <c r="I1922" s="888"/>
      <c r="J1922" s="888"/>
      <c r="K1922" s="888"/>
      <c r="L1922" s="888"/>
      <c r="M1922" s="888"/>
      <c r="N1922" s="888"/>
      <c r="O1922" s="888"/>
      <c r="P1922" s="888"/>
      <c r="Q1922" s="888"/>
      <c r="R1922" s="888"/>
    </row>
    <row r="1923" spans="1:18" s="893" customFormat="1" x14ac:dyDescent="0.3">
      <c r="A1923" s="888" t="s">
        <v>2062</v>
      </c>
      <c r="B1923" s="888" t="s">
        <v>1954</v>
      </c>
      <c r="C1923" s="888" t="s">
        <v>3828</v>
      </c>
      <c r="D1923" s="888"/>
      <c r="E1923" s="893" t="s">
        <v>4227</v>
      </c>
      <c r="I1923" s="888"/>
      <c r="J1923" s="888"/>
      <c r="K1923" s="888"/>
      <c r="L1923" s="888"/>
      <c r="M1923" s="888"/>
      <c r="N1923" s="888"/>
      <c r="O1923" s="888"/>
      <c r="P1923" s="888"/>
      <c r="Q1923" s="888"/>
      <c r="R1923" s="888"/>
    </row>
    <row r="1924" spans="1:18" s="893" customFormat="1" x14ac:dyDescent="0.3">
      <c r="A1924" s="888" t="s">
        <v>2062</v>
      </c>
      <c r="B1924" s="888" t="s">
        <v>1954</v>
      </c>
      <c r="C1924" s="888" t="s">
        <v>2632</v>
      </c>
      <c r="D1924" s="888"/>
      <c r="E1924" s="893" t="str">
        <f>$E$1920</f>
        <v>Foam glass board</v>
      </c>
      <c r="I1924" s="888"/>
      <c r="J1924" s="888"/>
      <c r="K1924" s="888"/>
      <c r="L1924" s="888"/>
      <c r="M1924" s="888"/>
      <c r="N1924" s="888"/>
      <c r="O1924" s="888"/>
      <c r="P1924" s="888"/>
      <c r="Q1924" s="888"/>
      <c r="R1924" s="888"/>
    </row>
    <row r="1925" spans="1:18" s="893" customFormat="1" x14ac:dyDescent="0.3">
      <c r="A1925" s="888" t="s">
        <v>2062</v>
      </c>
      <c r="B1925" s="888" t="s">
        <v>1954</v>
      </c>
      <c r="C1925" s="888" t="s">
        <v>2633</v>
      </c>
      <c r="D1925" s="888"/>
      <c r="E1925" s="893" t="str">
        <f>$E$1921</f>
        <v>Pittsburgh Corning Europe</v>
      </c>
      <c r="I1925" s="888"/>
      <c r="J1925" s="888"/>
      <c r="K1925" s="888"/>
      <c r="L1925" s="888"/>
      <c r="M1925" s="888"/>
      <c r="N1925" s="888"/>
      <c r="O1925" s="888"/>
      <c r="P1925" s="888"/>
      <c r="Q1925" s="888"/>
      <c r="R1925" s="888"/>
    </row>
    <row r="1926" spans="1:18" s="893" customFormat="1" x14ac:dyDescent="0.3">
      <c r="A1926" s="888" t="s">
        <v>2062</v>
      </c>
      <c r="B1926" s="888" t="s">
        <v>1954</v>
      </c>
      <c r="C1926" s="888" t="s">
        <v>2634</v>
      </c>
      <c r="D1926" s="888"/>
      <c r="E1926" s="893" t="s">
        <v>4231</v>
      </c>
      <c r="I1926" s="888"/>
      <c r="J1926" s="888"/>
      <c r="K1926" s="888"/>
      <c r="L1926" s="888"/>
      <c r="M1926" s="888"/>
      <c r="N1926" s="888"/>
      <c r="O1926" s="888"/>
      <c r="P1926" s="888"/>
      <c r="Q1926" s="888"/>
      <c r="R1926" s="888"/>
    </row>
    <row r="1927" spans="1:18" s="893" customFormat="1" x14ac:dyDescent="0.3">
      <c r="A1927" s="888" t="s">
        <v>2062</v>
      </c>
      <c r="B1927" s="888" t="s">
        <v>1954</v>
      </c>
      <c r="C1927" s="888" t="s">
        <v>2635</v>
      </c>
      <c r="D1927" s="888"/>
      <c r="E1927" s="893" t="s">
        <v>646</v>
      </c>
      <c r="I1927" s="888"/>
      <c r="J1927" s="888"/>
      <c r="K1927" s="888"/>
      <c r="L1927" s="888"/>
      <c r="M1927" s="888"/>
      <c r="N1927" s="888"/>
      <c r="O1927" s="888"/>
      <c r="P1927" s="888"/>
      <c r="Q1927" s="888"/>
      <c r="R1927" s="888"/>
    </row>
    <row r="1928" spans="1:18" s="893" customFormat="1" x14ac:dyDescent="0.3">
      <c r="A1928" s="888" t="s">
        <v>2062</v>
      </c>
      <c r="B1928" s="888" t="s">
        <v>1954</v>
      </c>
      <c r="C1928" s="888" t="s">
        <v>2636</v>
      </c>
      <c r="D1928" s="888"/>
      <c r="E1928" s="893" t="str">
        <f>$E$1920</f>
        <v>Foam glass board</v>
      </c>
      <c r="I1928" s="888"/>
      <c r="J1928" s="888"/>
      <c r="K1928" s="888"/>
      <c r="L1928" s="888"/>
      <c r="M1928" s="888"/>
      <c r="N1928" s="888"/>
      <c r="O1928" s="888"/>
      <c r="P1928" s="888"/>
      <c r="Q1928" s="888"/>
      <c r="R1928" s="888"/>
    </row>
    <row r="1929" spans="1:18" s="893" customFormat="1" x14ac:dyDescent="0.3">
      <c r="A1929" s="888" t="s">
        <v>2062</v>
      </c>
      <c r="B1929" s="888" t="s">
        <v>1954</v>
      </c>
      <c r="C1929" s="888" t="s">
        <v>2637</v>
      </c>
      <c r="D1929" s="888"/>
      <c r="E1929" s="893" t="str">
        <f>$E$1921</f>
        <v>Pittsburgh Corning Europe</v>
      </c>
      <c r="I1929" s="888"/>
      <c r="J1929" s="888"/>
      <c r="K1929" s="888"/>
      <c r="L1929" s="888"/>
      <c r="M1929" s="888"/>
      <c r="N1929" s="888"/>
      <c r="O1929" s="888"/>
      <c r="P1929" s="888"/>
      <c r="Q1929" s="888"/>
      <c r="R1929" s="888"/>
    </row>
    <row r="1930" spans="1:18" s="893" customFormat="1" x14ac:dyDescent="0.3">
      <c r="A1930" s="888" t="s">
        <v>2062</v>
      </c>
      <c r="B1930" s="888" t="s">
        <v>1954</v>
      </c>
      <c r="C1930" s="888" t="s">
        <v>2638</v>
      </c>
      <c r="D1930" s="888"/>
      <c r="E1930" s="893" t="s">
        <v>4233</v>
      </c>
      <c r="I1930" s="888"/>
      <c r="J1930" s="888"/>
      <c r="K1930" s="888"/>
      <c r="L1930" s="888"/>
      <c r="M1930" s="888"/>
      <c r="N1930" s="888"/>
      <c r="O1930" s="888"/>
      <c r="P1930" s="888"/>
      <c r="Q1930" s="888"/>
      <c r="R1930" s="888"/>
    </row>
    <row r="1931" spans="1:18" s="893" customFormat="1" x14ac:dyDescent="0.3">
      <c r="A1931" s="888" t="s">
        <v>2062</v>
      </c>
      <c r="B1931" s="888" t="s">
        <v>1954</v>
      </c>
      <c r="C1931" s="888" t="s">
        <v>2639</v>
      </c>
      <c r="D1931" s="888"/>
      <c r="E1931" s="893" t="s">
        <v>4234</v>
      </c>
      <c r="I1931" s="888"/>
      <c r="J1931" s="888"/>
      <c r="K1931" s="888"/>
      <c r="L1931" s="888"/>
      <c r="M1931" s="888"/>
      <c r="N1931" s="888"/>
      <c r="O1931" s="888"/>
      <c r="P1931" s="888"/>
      <c r="Q1931" s="888"/>
      <c r="R1931" s="888"/>
    </row>
    <row r="1932" spans="1:18" s="893" customFormat="1" x14ac:dyDescent="0.3">
      <c r="A1932" s="888" t="s">
        <v>2062</v>
      </c>
      <c r="B1932" s="888" t="s">
        <v>1954</v>
      </c>
      <c r="C1932" s="888" t="s">
        <v>2640</v>
      </c>
      <c r="D1932" s="888"/>
      <c r="E1932" s="893" t="str">
        <f>$E$1920</f>
        <v>Foam glass board</v>
      </c>
      <c r="I1932" s="888"/>
      <c r="J1932" s="888"/>
      <c r="K1932" s="888"/>
      <c r="L1932" s="888"/>
      <c r="M1932" s="888"/>
      <c r="N1932" s="888"/>
      <c r="O1932" s="888"/>
      <c r="P1932" s="888"/>
      <c r="Q1932" s="888"/>
      <c r="R1932" s="888"/>
    </row>
    <row r="1933" spans="1:18" s="893" customFormat="1" x14ac:dyDescent="0.3">
      <c r="A1933" s="888" t="s">
        <v>2062</v>
      </c>
      <c r="B1933" s="888" t="s">
        <v>1954</v>
      </c>
      <c r="C1933" s="888" t="s">
        <v>2641</v>
      </c>
      <c r="D1933" s="888"/>
      <c r="E1933" s="893" t="str">
        <f>$E$1921</f>
        <v>Pittsburgh Corning Europe</v>
      </c>
      <c r="I1933" s="888"/>
      <c r="J1933" s="888"/>
      <c r="K1933" s="888"/>
      <c r="L1933" s="888"/>
      <c r="M1933" s="888"/>
      <c r="N1933" s="888"/>
      <c r="O1933" s="888"/>
      <c r="P1933" s="888"/>
      <c r="Q1933" s="888"/>
      <c r="R1933" s="888"/>
    </row>
    <row r="1934" spans="1:18" s="893" customFormat="1" x14ac:dyDescent="0.3">
      <c r="A1934" s="888" t="s">
        <v>2062</v>
      </c>
      <c r="B1934" s="888" t="s">
        <v>1954</v>
      </c>
      <c r="C1934" s="888" t="s">
        <v>5116</v>
      </c>
      <c r="D1934" s="888"/>
      <c r="E1934" s="893" t="s">
        <v>4236</v>
      </c>
      <c r="I1934" s="888"/>
      <c r="J1934" s="888"/>
      <c r="K1934" s="888"/>
      <c r="L1934" s="888"/>
      <c r="M1934" s="888"/>
      <c r="N1934" s="888"/>
      <c r="O1934" s="888"/>
      <c r="P1934" s="888"/>
      <c r="Q1934" s="888"/>
      <c r="R1934" s="888"/>
    </row>
    <row r="1935" spans="1:18" s="893" customFormat="1" x14ac:dyDescent="0.3">
      <c r="A1935" s="888" t="s">
        <v>2062</v>
      </c>
      <c r="B1935" s="888" t="s">
        <v>1954</v>
      </c>
      <c r="C1935" s="888" t="s">
        <v>5180</v>
      </c>
      <c r="D1935" s="888"/>
      <c r="E1935" s="893" t="s">
        <v>4237</v>
      </c>
      <c r="I1935" s="888"/>
      <c r="J1935" s="888"/>
      <c r="K1935" s="888"/>
      <c r="L1935" s="888"/>
      <c r="M1935" s="888"/>
      <c r="N1935" s="888"/>
      <c r="O1935" s="888"/>
      <c r="P1935" s="888"/>
      <c r="Q1935" s="888"/>
      <c r="R1935" s="888"/>
    </row>
    <row r="1936" spans="1:18" s="893" customFormat="1" x14ac:dyDescent="0.3">
      <c r="A1936" s="888" t="s">
        <v>2062</v>
      </c>
      <c r="B1936" s="888" t="s">
        <v>1954</v>
      </c>
      <c r="C1936" s="888" t="s">
        <v>2642</v>
      </c>
      <c r="D1936" s="888"/>
      <c r="E1936" s="893" t="s">
        <v>401</v>
      </c>
      <c r="I1936" s="888"/>
      <c r="J1936" s="888"/>
      <c r="K1936" s="888"/>
      <c r="L1936" s="888"/>
      <c r="M1936" s="888"/>
      <c r="N1936" s="888"/>
      <c r="O1936" s="888"/>
      <c r="P1936" s="888"/>
      <c r="Q1936" s="888"/>
      <c r="R1936" s="888"/>
    </row>
    <row r="1937" spans="1:18" s="893" customFormat="1" x14ac:dyDescent="0.3">
      <c r="A1937" s="888" t="s">
        <v>2062</v>
      </c>
      <c r="B1937" s="888" t="s">
        <v>1954</v>
      </c>
      <c r="C1937" s="888" t="s">
        <v>2643</v>
      </c>
      <c r="D1937" s="888"/>
      <c r="E1937" s="893" t="s">
        <v>402</v>
      </c>
      <c r="I1937" s="888"/>
      <c r="J1937" s="888"/>
      <c r="K1937" s="888"/>
      <c r="L1937" s="888"/>
      <c r="M1937" s="888"/>
      <c r="N1937" s="888"/>
      <c r="O1937" s="888"/>
      <c r="P1937" s="888"/>
      <c r="Q1937" s="888"/>
      <c r="R1937" s="888"/>
    </row>
    <row r="1938" spans="1:18" s="893" customFormat="1" x14ac:dyDescent="0.3">
      <c r="A1938" s="888" t="s">
        <v>2062</v>
      </c>
      <c r="B1938" s="888" t="s">
        <v>1954</v>
      </c>
      <c r="C1938" s="888" t="s">
        <v>2338</v>
      </c>
      <c r="D1938" s="888"/>
      <c r="E1938" s="893" t="str">
        <f>$E$1936</f>
        <v>Glued laminated timber</v>
      </c>
      <c r="I1938" s="888"/>
      <c r="J1938" s="888"/>
      <c r="K1938" s="888"/>
      <c r="L1938" s="888"/>
      <c r="M1938" s="888"/>
      <c r="N1938" s="888"/>
      <c r="O1938" s="888"/>
      <c r="P1938" s="888"/>
      <c r="Q1938" s="888"/>
      <c r="R1938" s="888"/>
    </row>
    <row r="1939" spans="1:18" s="893" customFormat="1" x14ac:dyDescent="0.3">
      <c r="A1939" s="888" t="s">
        <v>2062</v>
      </c>
      <c r="B1939" s="888" t="s">
        <v>1954</v>
      </c>
      <c r="C1939" s="888" t="s">
        <v>2644</v>
      </c>
      <c r="D1939" s="888"/>
      <c r="E1939" s="893" t="str">
        <f>$E$1838</f>
        <v>Structurlam</v>
      </c>
      <c r="I1939" s="888"/>
      <c r="J1939" s="888"/>
      <c r="K1939" s="888"/>
      <c r="L1939" s="888"/>
      <c r="M1939" s="888"/>
      <c r="N1939" s="888"/>
      <c r="O1939" s="888"/>
      <c r="P1939" s="888"/>
      <c r="Q1939" s="888"/>
      <c r="R1939" s="888"/>
    </row>
    <row r="1940" spans="1:18" s="893" customFormat="1" x14ac:dyDescent="0.3">
      <c r="A1940" s="888" t="s">
        <v>2062</v>
      </c>
      <c r="B1940" s="888" t="s">
        <v>1954</v>
      </c>
      <c r="C1940" s="888" t="s">
        <v>3829</v>
      </c>
      <c r="D1940" s="888"/>
      <c r="E1940" s="893" t="s">
        <v>404</v>
      </c>
      <c r="I1940" s="888"/>
      <c r="J1940" s="888"/>
      <c r="K1940" s="888"/>
      <c r="L1940" s="888"/>
      <c r="M1940" s="888"/>
      <c r="N1940" s="888"/>
      <c r="O1940" s="888"/>
      <c r="P1940" s="888"/>
      <c r="Q1940" s="888"/>
      <c r="R1940" s="888"/>
    </row>
    <row r="1941" spans="1:18" s="893" customFormat="1" x14ac:dyDescent="0.3">
      <c r="A1941" s="888" t="s">
        <v>2062</v>
      </c>
      <c r="B1941" s="888" t="s">
        <v>1954</v>
      </c>
      <c r="C1941" s="888" t="s">
        <v>3830</v>
      </c>
      <c r="D1941" s="888"/>
      <c r="E1941" s="893" t="str">
        <f>$E$1821</f>
        <v>3-1/2" (90mm) thick</v>
      </c>
      <c r="I1941" s="888"/>
      <c r="J1941" s="888"/>
      <c r="K1941" s="888"/>
      <c r="L1941" s="888"/>
      <c r="M1941" s="888"/>
      <c r="N1941" s="888"/>
      <c r="O1941" s="888"/>
      <c r="P1941" s="888"/>
      <c r="Q1941" s="888"/>
      <c r="R1941" s="888"/>
    </row>
    <row r="1942" spans="1:18" s="893" customFormat="1" x14ac:dyDescent="0.3">
      <c r="A1942" s="888" t="s">
        <v>2062</v>
      </c>
      <c r="B1942" s="888" t="s">
        <v>1954</v>
      </c>
      <c r="C1942" s="888" t="s">
        <v>2645</v>
      </c>
      <c r="D1942" s="888"/>
      <c r="E1942" s="893" t="s">
        <v>4239</v>
      </c>
      <c r="I1942" s="888"/>
      <c r="J1942" s="888"/>
      <c r="K1942" s="888"/>
      <c r="L1942" s="888"/>
      <c r="M1942" s="888"/>
      <c r="N1942" s="888"/>
      <c r="O1942" s="888"/>
      <c r="P1942" s="888"/>
      <c r="Q1942" s="888"/>
      <c r="R1942" s="888"/>
    </row>
    <row r="1943" spans="1:18" s="893" customFormat="1" x14ac:dyDescent="0.3">
      <c r="A1943" s="888" t="s">
        <v>2062</v>
      </c>
      <c r="B1943" s="888" t="s">
        <v>1954</v>
      </c>
      <c r="C1943" s="888" t="s">
        <v>5181</v>
      </c>
      <c r="D1943" s="888"/>
      <c r="E1943" s="893" t="str">
        <f>$E$1834</f>
        <v>Vaagen Timbers</v>
      </c>
      <c r="I1943" s="888"/>
      <c r="J1943" s="888"/>
      <c r="K1943" s="888"/>
      <c r="L1943" s="888"/>
      <c r="M1943" s="888"/>
      <c r="N1943" s="888"/>
      <c r="O1943" s="888"/>
      <c r="P1943" s="888"/>
      <c r="Q1943" s="888"/>
      <c r="R1943" s="888"/>
    </row>
    <row r="1944" spans="1:18" s="893" customFormat="1" x14ac:dyDescent="0.3">
      <c r="A1944" s="888" t="s">
        <v>2062</v>
      </c>
      <c r="B1944" s="888" t="s">
        <v>1954</v>
      </c>
      <c r="C1944" s="888" t="s">
        <v>5182</v>
      </c>
      <c r="D1944" s="888"/>
      <c r="E1944" s="893" t="s">
        <v>4240</v>
      </c>
      <c r="I1944" s="888"/>
      <c r="J1944" s="888"/>
      <c r="K1944" s="888"/>
      <c r="L1944" s="888"/>
      <c r="M1944" s="888"/>
      <c r="N1944" s="888"/>
      <c r="O1944" s="888"/>
      <c r="P1944" s="888"/>
      <c r="Q1944" s="888"/>
      <c r="R1944" s="888"/>
    </row>
    <row r="1945" spans="1:18" s="893" customFormat="1" x14ac:dyDescent="0.3">
      <c r="A1945" s="888" t="s">
        <v>2062</v>
      </c>
      <c r="B1945" s="888" t="s">
        <v>1954</v>
      </c>
      <c r="C1945" s="888" t="s">
        <v>2646</v>
      </c>
      <c r="D1945" s="888"/>
      <c r="E1945" s="893" t="str">
        <f>$E$1942</f>
        <v>Glued Laminated Timber (Glulam)</v>
      </c>
      <c r="I1945" s="888"/>
      <c r="J1945" s="888"/>
      <c r="K1945" s="888"/>
      <c r="L1945" s="888"/>
      <c r="M1945" s="888"/>
      <c r="N1945" s="888"/>
      <c r="O1945" s="888"/>
      <c r="P1945" s="888"/>
      <c r="Q1945" s="888"/>
      <c r="R1945" s="888"/>
    </row>
    <row r="1946" spans="1:18" s="893" customFormat="1" x14ac:dyDescent="0.3">
      <c r="A1946" s="888" t="s">
        <v>2062</v>
      </c>
      <c r="B1946" s="888" t="s">
        <v>1954</v>
      </c>
      <c r="C1946" s="888" t="s">
        <v>2647</v>
      </c>
      <c r="D1946" s="888"/>
      <c r="E1946" s="893" t="str">
        <f>$E$1827</f>
        <v>Kalesnikoff Lumber Co.</v>
      </c>
      <c r="I1946" s="888"/>
      <c r="J1946" s="888"/>
      <c r="K1946" s="888"/>
      <c r="L1946" s="888"/>
      <c r="M1946" s="888"/>
      <c r="N1946" s="888"/>
      <c r="O1946" s="888"/>
      <c r="P1946" s="888"/>
      <c r="Q1946" s="888"/>
      <c r="R1946" s="888"/>
    </row>
    <row r="1947" spans="1:18" s="893" customFormat="1" x14ac:dyDescent="0.3">
      <c r="A1947" s="888" t="s">
        <v>2062</v>
      </c>
      <c r="B1947" s="888" t="s">
        <v>1954</v>
      </c>
      <c r="C1947" s="888" t="s">
        <v>2648</v>
      </c>
      <c r="D1947" s="888"/>
      <c r="E1947" s="893" t="s">
        <v>4241</v>
      </c>
      <c r="I1947" s="888"/>
      <c r="J1947" s="888"/>
      <c r="K1947" s="888"/>
      <c r="L1947" s="888"/>
      <c r="M1947" s="888"/>
      <c r="N1947" s="888"/>
      <c r="O1947" s="888"/>
      <c r="P1947" s="888"/>
      <c r="Q1947" s="888"/>
      <c r="R1947" s="888"/>
    </row>
    <row r="1948" spans="1:18" s="893" customFormat="1" x14ac:dyDescent="0.3">
      <c r="A1948" s="888" t="s">
        <v>2062</v>
      </c>
      <c r="B1948" s="888" t="s">
        <v>1954</v>
      </c>
      <c r="C1948" s="888" t="s">
        <v>5183</v>
      </c>
      <c r="D1948" s="888"/>
      <c r="E1948" s="893" t="str">
        <f>$E$1942</f>
        <v>Glued Laminated Timber (Glulam)</v>
      </c>
      <c r="I1948" s="888"/>
      <c r="J1948" s="888"/>
      <c r="K1948" s="888"/>
      <c r="L1948" s="888"/>
      <c r="M1948" s="888"/>
      <c r="N1948" s="888"/>
      <c r="O1948" s="888"/>
      <c r="P1948" s="888"/>
      <c r="Q1948" s="888"/>
      <c r="R1948" s="888"/>
    </row>
    <row r="1949" spans="1:18" s="893" customFormat="1" x14ac:dyDescent="0.3">
      <c r="A1949" s="888" t="s">
        <v>2062</v>
      </c>
      <c r="B1949" s="888" t="s">
        <v>1954</v>
      </c>
      <c r="C1949" s="888" t="s">
        <v>5045</v>
      </c>
      <c r="D1949" s="888"/>
      <c r="E1949" s="893" t="s">
        <v>4244</v>
      </c>
      <c r="I1949" s="888"/>
      <c r="J1949" s="888"/>
      <c r="K1949" s="888"/>
      <c r="L1949" s="888"/>
      <c r="M1949" s="888"/>
      <c r="N1949" s="888"/>
      <c r="O1949" s="888"/>
      <c r="P1949" s="888"/>
      <c r="Q1949" s="888"/>
      <c r="R1949" s="888"/>
    </row>
    <row r="1950" spans="1:18" s="893" customFormat="1" x14ac:dyDescent="0.3">
      <c r="A1950" s="888" t="s">
        <v>2062</v>
      </c>
      <c r="B1950" s="888" t="s">
        <v>1954</v>
      </c>
      <c r="C1950" s="888" t="s">
        <v>5184</v>
      </c>
      <c r="D1950" s="888"/>
      <c r="E1950" s="893" t="s">
        <v>1209</v>
      </c>
      <c r="I1950" s="888"/>
      <c r="J1950" s="888"/>
      <c r="K1950" s="888"/>
      <c r="L1950" s="888"/>
      <c r="M1950" s="888"/>
      <c r="N1950" s="888"/>
      <c r="O1950" s="888"/>
      <c r="P1950" s="888"/>
      <c r="Q1950" s="888"/>
      <c r="R1950" s="888"/>
    </row>
    <row r="1951" spans="1:18" s="893" customFormat="1" x14ac:dyDescent="0.3">
      <c r="A1951" s="888" t="s">
        <v>2062</v>
      </c>
      <c r="B1951" s="888" t="s">
        <v>1954</v>
      </c>
      <c r="C1951" s="888" t="s">
        <v>2649</v>
      </c>
      <c r="D1951" s="888"/>
      <c r="E1951" s="893" t="str">
        <f>$E$1942</f>
        <v>Glued Laminated Timber (Glulam)</v>
      </c>
      <c r="I1951" s="888"/>
      <c r="J1951" s="888"/>
      <c r="K1951" s="888"/>
      <c r="L1951" s="888"/>
      <c r="M1951" s="888"/>
      <c r="N1951" s="888"/>
      <c r="O1951" s="888"/>
      <c r="P1951" s="888"/>
      <c r="Q1951" s="888"/>
      <c r="R1951" s="888"/>
    </row>
    <row r="1952" spans="1:18" s="893" customFormat="1" x14ac:dyDescent="0.3">
      <c r="A1952" s="888" t="s">
        <v>2062</v>
      </c>
      <c r="B1952" s="888" t="s">
        <v>1954</v>
      </c>
      <c r="C1952" s="888" t="s">
        <v>2650</v>
      </c>
      <c r="D1952" s="888"/>
      <c r="E1952" s="893" t="str">
        <f>$E$1949</f>
        <v>Western Archrib</v>
      </c>
      <c r="I1952" s="888"/>
      <c r="J1952" s="888"/>
      <c r="K1952" s="888"/>
      <c r="L1952" s="888"/>
      <c r="M1952" s="888"/>
      <c r="N1952" s="888"/>
      <c r="O1952" s="888"/>
      <c r="P1952" s="888"/>
      <c r="Q1952" s="888"/>
      <c r="R1952" s="888"/>
    </row>
    <row r="1953" spans="1:18" s="893" customFormat="1" x14ac:dyDescent="0.3">
      <c r="A1953" s="888" t="s">
        <v>2062</v>
      </c>
      <c r="B1953" s="888" t="s">
        <v>1954</v>
      </c>
      <c r="C1953" s="888" t="s">
        <v>2652</v>
      </c>
      <c r="D1953" s="888"/>
      <c r="E1953" s="893" t="s">
        <v>1207</v>
      </c>
      <c r="I1953" s="888"/>
      <c r="J1953" s="888"/>
      <c r="K1953" s="888"/>
      <c r="L1953" s="888"/>
      <c r="M1953" s="888"/>
      <c r="N1953" s="888"/>
      <c r="O1953" s="888"/>
      <c r="P1953" s="888"/>
      <c r="Q1953" s="888"/>
      <c r="R1953" s="888"/>
    </row>
    <row r="1954" spans="1:18" s="893" customFormat="1" x14ac:dyDescent="0.3">
      <c r="A1954" s="888" t="s">
        <v>2062</v>
      </c>
      <c r="B1954" s="888" t="s">
        <v>1954</v>
      </c>
      <c r="C1954" s="888" t="s">
        <v>5089</v>
      </c>
      <c r="D1954" s="888"/>
      <c r="E1954" s="893" t="str">
        <f>$E$1942</f>
        <v>Glued Laminated Timber (Glulam)</v>
      </c>
      <c r="I1954" s="888"/>
      <c r="J1954" s="888"/>
      <c r="K1954" s="888"/>
      <c r="L1954" s="888"/>
      <c r="M1954" s="888"/>
      <c r="N1954" s="888"/>
      <c r="O1954" s="888"/>
      <c r="P1954" s="888"/>
      <c r="Q1954" s="888"/>
      <c r="R1954" s="888"/>
    </row>
    <row r="1955" spans="1:18" s="893" customFormat="1" x14ac:dyDescent="0.3">
      <c r="A1955" s="888" t="s">
        <v>2062</v>
      </c>
      <c r="B1955" s="888" t="s">
        <v>1954</v>
      </c>
      <c r="C1955" s="888" t="s">
        <v>5072</v>
      </c>
      <c r="D1955" s="888"/>
      <c r="E1955" s="893" t="str">
        <f>$E$1823</f>
        <v>Element5</v>
      </c>
      <c r="I1955" s="888"/>
      <c r="J1955" s="888"/>
      <c r="K1955" s="888"/>
      <c r="L1955" s="888"/>
      <c r="M1955" s="888"/>
      <c r="N1955" s="888"/>
      <c r="O1955" s="888"/>
      <c r="P1955" s="888"/>
      <c r="Q1955" s="888"/>
      <c r="R1955" s="888"/>
    </row>
    <row r="1956" spans="1:18" s="893" customFormat="1" x14ac:dyDescent="0.3">
      <c r="A1956" s="888" t="s">
        <v>2062</v>
      </c>
      <c r="B1956" s="888" t="s">
        <v>1954</v>
      </c>
      <c r="C1956" s="888" t="s">
        <v>5185</v>
      </c>
      <c r="D1956" s="888"/>
      <c r="E1956" s="893" t="s">
        <v>1110</v>
      </c>
      <c r="I1956" s="888"/>
      <c r="J1956" s="888"/>
      <c r="K1956" s="888"/>
      <c r="L1956" s="888"/>
      <c r="M1956" s="888"/>
      <c r="N1956" s="888"/>
      <c r="O1956" s="888"/>
      <c r="P1956" s="888"/>
      <c r="Q1956" s="888"/>
      <c r="R1956" s="888"/>
    </row>
    <row r="1957" spans="1:18" s="893" customFormat="1" x14ac:dyDescent="0.3">
      <c r="A1957" s="888" t="s">
        <v>2062</v>
      </c>
      <c r="B1957" s="888" t="s">
        <v>1954</v>
      </c>
      <c r="C1957" s="888" t="s">
        <v>2654</v>
      </c>
      <c r="D1957" s="888"/>
      <c r="E1957" s="893" t="s">
        <v>406</v>
      </c>
      <c r="I1957" s="888"/>
      <c r="J1957" s="888"/>
      <c r="K1957" s="888"/>
      <c r="L1957" s="888"/>
      <c r="M1957" s="888"/>
      <c r="N1957" s="888"/>
      <c r="O1957" s="888"/>
      <c r="P1957" s="888"/>
      <c r="Q1957" s="888"/>
      <c r="R1957" s="888"/>
    </row>
    <row r="1958" spans="1:18" s="893" customFormat="1" x14ac:dyDescent="0.3">
      <c r="A1958" s="888" t="s">
        <v>2062</v>
      </c>
      <c r="B1958" s="888" t="s">
        <v>1954</v>
      </c>
      <c r="C1958" s="888" t="s">
        <v>2655</v>
      </c>
      <c r="D1958" s="888"/>
      <c r="E1958" s="893" t="s">
        <v>4248</v>
      </c>
      <c r="I1958" s="888"/>
      <c r="J1958" s="888"/>
      <c r="K1958" s="888"/>
      <c r="L1958" s="888"/>
      <c r="M1958" s="888"/>
      <c r="N1958" s="888"/>
      <c r="O1958" s="888"/>
      <c r="P1958" s="888"/>
      <c r="Q1958" s="888"/>
      <c r="R1958" s="888"/>
    </row>
    <row r="1959" spans="1:18" s="893" customFormat="1" x14ac:dyDescent="0.3">
      <c r="A1959" s="888" t="s">
        <v>2062</v>
      </c>
      <c r="B1959" s="888" t="s">
        <v>1954</v>
      </c>
      <c r="C1959" s="888" t="s">
        <v>5186</v>
      </c>
      <c r="D1959" s="888"/>
      <c r="E1959" s="893" t="s">
        <v>4249</v>
      </c>
      <c r="I1959" s="888"/>
      <c r="J1959" s="888"/>
      <c r="K1959" s="888"/>
      <c r="L1959" s="888"/>
      <c r="M1959" s="888"/>
      <c r="N1959" s="888"/>
      <c r="O1959" s="888"/>
      <c r="P1959" s="888"/>
      <c r="Q1959" s="888"/>
      <c r="R1959" s="888"/>
    </row>
    <row r="1960" spans="1:18" s="893" customFormat="1" x14ac:dyDescent="0.3">
      <c r="A1960" s="888" t="s">
        <v>2062</v>
      </c>
      <c r="B1960" s="888" t="s">
        <v>1954</v>
      </c>
      <c r="C1960" s="888" t="s">
        <v>2339</v>
      </c>
      <c r="D1960" s="888"/>
      <c r="E1960" s="893" t="str">
        <f>$E$1957</f>
        <v>Gypsum panels - glass mat</v>
      </c>
      <c r="I1960" s="888"/>
      <c r="J1960" s="888"/>
      <c r="K1960" s="888"/>
      <c r="L1960" s="888"/>
      <c r="M1960" s="888"/>
      <c r="N1960" s="888"/>
      <c r="O1960" s="888"/>
      <c r="P1960" s="888"/>
      <c r="Q1960" s="888"/>
      <c r="R1960" s="888"/>
    </row>
    <row r="1961" spans="1:18" s="893" customFormat="1" x14ac:dyDescent="0.3">
      <c r="A1961" s="888" t="s">
        <v>2062</v>
      </c>
      <c r="B1961" s="888" t="s">
        <v>1954</v>
      </c>
      <c r="C1961" s="888" t="s">
        <v>2656</v>
      </c>
      <c r="D1961" s="888"/>
      <c r="E1961" s="893" t="s">
        <v>4251</v>
      </c>
      <c r="I1961" s="888"/>
      <c r="J1961" s="888"/>
      <c r="K1961" s="888"/>
      <c r="L1961" s="888"/>
      <c r="M1961" s="888"/>
      <c r="N1961" s="888"/>
      <c r="O1961" s="888"/>
      <c r="P1961" s="888"/>
      <c r="Q1961" s="888"/>
      <c r="R1961" s="888"/>
    </row>
    <row r="1962" spans="1:18" s="893" customFormat="1" x14ac:dyDescent="0.3">
      <c r="A1962" s="888" t="s">
        <v>2062</v>
      </c>
      <c r="B1962" s="888" t="s">
        <v>1954</v>
      </c>
      <c r="C1962" s="888" t="s">
        <v>5187</v>
      </c>
      <c r="D1962" s="888"/>
      <c r="E1962" s="893" t="s">
        <v>4252</v>
      </c>
      <c r="I1962" s="888"/>
      <c r="J1962" s="888"/>
      <c r="K1962" s="888"/>
      <c r="L1962" s="888"/>
      <c r="M1962" s="888"/>
      <c r="N1962" s="888"/>
      <c r="O1962" s="888"/>
      <c r="P1962" s="888"/>
      <c r="Q1962" s="888"/>
      <c r="R1962" s="888"/>
    </row>
    <row r="1963" spans="1:18" s="893" customFormat="1" x14ac:dyDescent="0.3">
      <c r="A1963" s="888" t="s">
        <v>2062</v>
      </c>
      <c r="B1963" s="888" t="s">
        <v>1954</v>
      </c>
      <c r="C1963" s="888" t="s">
        <v>2657</v>
      </c>
      <c r="D1963" s="888"/>
      <c r="E1963" s="893" t="str">
        <f>$E$1957</f>
        <v>Gypsum panels - glass mat</v>
      </c>
      <c r="I1963" s="888"/>
      <c r="J1963" s="888"/>
      <c r="K1963" s="888"/>
      <c r="L1963" s="888"/>
      <c r="M1963" s="888"/>
      <c r="N1963" s="888"/>
      <c r="O1963" s="888"/>
      <c r="P1963" s="888"/>
      <c r="Q1963" s="888"/>
      <c r="R1963" s="888"/>
    </row>
    <row r="1964" spans="1:18" s="893" customFormat="1" x14ac:dyDescent="0.3">
      <c r="A1964" s="888" t="s">
        <v>2062</v>
      </c>
      <c r="B1964" s="888" t="s">
        <v>1954</v>
      </c>
      <c r="C1964" s="888" t="s">
        <v>2658</v>
      </c>
      <c r="D1964" s="888"/>
      <c r="E1964" s="893" t="str">
        <f>$E$1672</f>
        <v>USG</v>
      </c>
      <c r="I1964" s="888"/>
      <c r="J1964" s="888"/>
      <c r="K1964" s="888"/>
      <c r="L1964" s="888"/>
      <c r="M1964" s="888"/>
      <c r="N1964" s="888"/>
      <c r="O1964" s="888"/>
      <c r="P1964" s="888"/>
      <c r="Q1964" s="888"/>
      <c r="R1964" s="888"/>
    </row>
    <row r="1965" spans="1:18" s="893" customFormat="1" x14ac:dyDescent="0.3">
      <c r="A1965" s="888" t="s">
        <v>2062</v>
      </c>
      <c r="B1965" s="888" t="s">
        <v>1954</v>
      </c>
      <c r="C1965" s="888" t="s">
        <v>2659</v>
      </c>
      <c r="D1965" s="888"/>
      <c r="E1965" s="893" t="s">
        <v>409</v>
      </c>
      <c r="I1965" s="888"/>
      <c r="J1965" s="888"/>
      <c r="K1965" s="888"/>
      <c r="L1965" s="888"/>
      <c r="M1965" s="888"/>
      <c r="N1965" s="888"/>
      <c r="O1965" s="888"/>
      <c r="P1965" s="888"/>
      <c r="Q1965" s="888"/>
      <c r="R1965" s="888"/>
    </row>
    <row r="1966" spans="1:18" s="893" customFormat="1" x14ac:dyDescent="0.3">
      <c r="A1966" s="888" t="s">
        <v>2062</v>
      </c>
      <c r="B1966" s="888" t="s">
        <v>1954</v>
      </c>
      <c r="C1966" s="888" t="s">
        <v>2340</v>
      </c>
      <c r="D1966" s="888"/>
      <c r="E1966" s="893" t="s">
        <v>411</v>
      </c>
      <c r="I1966" s="888"/>
      <c r="J1966" s="888"/>
      <c r="K1966" s="888"/>
      <c r="L1966" s="888"/>
      <c r="M1966" s="888"/>
      <c r="N1966" s="888"/>
      <c r="O1966" s="888"/>
      <c r="P1966" s="888"/>
      <c r="Q1966" s="888"/>
      <c r="R1966" s="888"/>
    </row>
    <row r="1967" spans="1:18" s="893" customFormat="1" x14ac:dyDescent="0.3">
      <c r="A1967" s="888" t="s">
        <v>2062</v>
      </c>
      <c r="B1967" s="888" t="s">
        <v>1954</v>
      </c>
      <c r="C1967" s="888" t="s">
        <v>3831</v>
      </c>
      <c r="D1967" s="888"/>
      <c r="E1967" s="893" t="s">
        <v>416</v>
      </c>
      <c r="I1967" s="888"/>
      <c r="J1967" s="888"/>
      <c r="K1967" s="888"/>
      <c r="L1967" s="888"/>
      <c r="M1967" s="888"/>
      <c r="N1967" s="888"/>
      <c r="O1967" s="888"/>
      <c r="P1967" s="888"/>
      <c r="Q1967" s="888"/>
      <c r="R1967" s="888"/>
    </row>
    <row r="1968" spans="1:18" s="893" customFormat="1" x14ac:dyDescent="0.3">
      <c r="A1968" s="888" t="s">
        <v>2062</v>
      </c>
      <c r="B1968" s="888" t="s">
        <v>1954</v>
      </c>
      <c r="C1968" s="888" t="s">
        <v>3832</v>
      </c>
      <c r="D1968" s="888"/>
      <c r="E1968" s="893" t="s">
        <v>417</v>
      </c>
      <c r="I1968" s="888"/>
      <c r="J1968" s="888"/>
      <c r="K1968" s="888"/>
      <c r="L1968" s="888"/>
      <c r="M1968" s="888"/>
      <c r="N1968" s="888"/>
      <c r="O1968" s="888"/>
      <c r="P1968" s="888"/>
      <c r="Q1968" s="888"/>
      <c r="R1968" s="888"/>
    </row>
    <row r="1969" spans="1:18" s="893" customFormat="1" x14ac:dyDescent="0.3">
      <c r="A1969" s="888" t="s">
        <v>2062</v>
      </c>
      <c r="B1969" s="888" t="s">
        <v>1954</v>
      </c>
      <c r="C1969" s="888" t="s">
        <v>3833</v>
      </c>
      <c r="D1969" s="888"/>
      <c r="E1969" s="893" t="s">
        <v>869</v>
      </c>
      <c r="I1969" s="888"/>
      <c r="J1969" s="888"/>
      <c r="K1969" s="888"/>
      <c r="L1969" s="888"/>
      <c r="M1969" s="888"/>
      <c r="N1969" s="888"/>
      <c r="O1969" s="888"/>
      <c r="P1969" s="888"/>
      <c r="Q1969" s="888"/>
      <c r="R1969" s="888"/>
    </row>
    <row r="1970" spans="1:18" s="893" customFormat="1" x14ac:dyDescent="0.3">
      <c r="A1970" s="888" t="s">
        <v>2062</v>
      </c>
      <c r="B1970" s="888" t="s">
        <v>1954</v>
      </c>
      <c r="C1970" s="888" t="s">
        <v>2660</v>
      </c>
      <c r="D1970" s="888"/>
      <c r="E1970" s="893" t="str">
        <f>$E$1966</f>
        <v>Hardwood flooring</v>
      </c>
      <c r="I1970" s="888"/>
      <c r="J1970" s="888"/>
      <c r="K1970" s="888"/>
      <c r="L1970" s="888"/>
      <c r="M1970" s="888"/>
      <c r="N1970" s="888"/>
      <c r="O1970" s="888"/>
      <c r="P1970" s="888"/>
      <c r="Q1970" s="888"/>
      <c r="R1970" s="888"/>
    </row>
    <row r="1971" spans="1:18" s="893" customFormat="1" x14ac:dyDescent="0.3">
      <c r="A1971" s="888" t="s">
        <v>2062</v>
      </c>
      <c r="B1971" s="888" t="s">
        <v>1954</v>
      </c>
      <c r="C1971" s="888" t="s">
        <v>3834</v>
      </c>
      <c r="D1971" s="888"/>
      <c r="E1971" s="893" t="s">
        <v>4255</v>
      </c>
      <c r="I1971" s="888"/>
      <c r="J1971" s="888"/>
      <c r="K1971" s="888"/>
      <c r="L1971" s="888"/>
      <c r="M1971" s="888"/>
      <c r="N1971" s="888"/>
      <c r="O1971" s="888"/>
      <c r="P1971" s="888"/>
      <c r="Q1971" s="888"/>
      <c r="R1971" s="888"/>
    </row>
    <row r="1972" spans="1:18" s="893" customFormat="1" x14ac:dyDescent="0.3">
      <c r="A1972" s="888" t="s">
        <v>2062</v>
      </c>
      <c r="B1972" s="888" t="s">
        <v>1954</v>
      </c>
      <c r="C1972" s="888" t="s">
        <v>2661</v>
      </c>
      <c r="D1972" s="888"/>
      <c r="E1972" s="893" t="s">
        <v>4256</v>
      </c>
      <c r="I1972" s="888"/>
      <c r="J1972" s="888"/>
      <c r="K1972" s="888"/>
      <c r="L1972" s="888"/>
      <c r="M1972" s="888"/>
      <c r="N1972" s="888"/>
      <c r="O1972" s="888"/>
      <c r="P1972" s="888"/>
      <c r="Q1972" s="888"/>
      <c r="R1972" s="888"/>
    </row>
    <row r="1973" spans="1:18" s="893" customFormat="1" x14ac:dyDescent="0.3">
      <c r="A1973" s="888" t="s">
        <v>2062</v>
      </c>
      <c r="B1973" s="888" t="s">
        <v>1954</v>
      </c>
      <c r="C1973" s="888" t="s">
        <v>2662</v>
      </c>
      <c r="D1973" s="888"/>
      <c r="E1973" s="893" t="str">
        <f>$E$1966</f>
        <v>Hardwood flooring</v>
      </c>
      <c r="I1973" s="888"/>
      <c r="J1973" s="888"/>
      <c r="K1973" s="888"/>
      <c r="L1973" s="888"/>
      <c r="M1973" s="888"/>
      <c r="N1973" s="888"/>
      <c r="O1973" s="888"/>
      <c r="P1973" s="888"/>
      <c r="Q1973" s="888"/>
      <c r="R1973" s="888"/>
    </row>
    <row r="1974" spans="1:18" s="893" customFormat="1" x14ac:dyDescent="0.3">
      <c r="A1974" s="888" t="s">
        <v>2062</v>
      </c>
      <c r="B1974" s="888" t="s">
        <v>1954</v>
      </c>
      <c r="C1974" s="888" t="s">
        <v>3835</v>
      </c>
      <c r="D1974" s="888"/>
      <c r="E1974" s="893" t="s">
        <v>4259</v>
      </c>
      <c r="I1974" s="888"/>
      <c r="J1974" s="888"/>
      <c r="K1974" s="888"/>
      <c r="L1974" s="888"/>
      <c r="M1974" s="888"/>
      <c r="N1974" s="888"/>
      <c r="O1974" s="888"/>
      <c r="P1974" s="888"/>
      <c r="Q1974" s="888"/>
      <c r="R1974" s="888"/>
    </row>
    <row r="1975" spans="1:18" s="893" customFormat="1" x14ac:dyDescent="0.3">
      <c r="A1975" s="888" t="s">
        <v>2062</v>
      </c>
      <c r="B1975" s="888" t="s">
        <v>1954</v>
      </c>
      <c r="C1975" s="888" t="s">
        <v>2663</v>
      </c>
      <c r="D1975" s="888"/>
      <c r="E1975" s="893" t="s">
        <v>4260</v>
      </c>
      <c r="I1975" s="888"/>
      <c r="J1975" s="888"/>
      <c r="K1975" s="888"/>
      <c r="L1975" s="888"/>
      <c r="M1975" s="888"/>
      <c r="N1975" s="888"/>
      <c r="O1975" s="888"/>
      <c r="P1975" s="888"/>
      <c r="Q1975" s="888"/>
      <c r="R1975" s="888"/>
    </row>
    <row r="1976" spans="1:18" s="893" customFormat="1" x14ac:dyDescent="0.3">
      <c r="A1976" s="888" t="s">
        <v>2062</v>
      </c>
      <c r="B1976" s="888" t="s">
        <v>1954</v>
      </c>
      <c r="C1976" s="888" t="s">
        <v>2664</v>
      </c>
      <c r="D1976" s="888"/>
      <c r="E1976" s="893" t="s">
        <v>420</v>
      </c>
      <c r="I1976" s="888"/>
      <c r="J1976" s="888"/>
      <c r="K1976" s="888"/>
      <c r="L1976" s="888"/>
      <c r="M1976" s="888"/>
      <c r="N1976" s="888"/>
      <c r="O1976" s="888"/>
      <c r="P1976" s="888"/>
      <c r="Q1976" s="888"/>
      <c r="R1976" s="888"/>
    </row>
    <row r="1977" spans="1:18" s="893" customFormat="1" x14ac:dyDescent="0.3">
      <c r="A1977" s="888" t="s">
        <v>2062</v>
      </c>
      <c r="B1977" s="888" t="s">
        <v>1954</v>
      </c>
      <c r="C1977" s="888" t="s">
        <v>3836</v>
      </c>
      <c r="D1977" s="888"/>
      <c r="E1977" s="893" t="s">
        <v>421</v>
      </c>
      <c r="I1977" s="888"/>
      <c r="J1977" s="888"/>
      <c r="K1977" s="888"/>
      <c r="L1977" s="888"/>
      <c r="M1977" s="888"/>
      <c r="N1977" s="888"/>
      <c r="O1977" s="888"/>
      <c r="P1977" s="888"/>
      <c r="Q1977" s="888"/>
      <c r="R1977" s="888"/>
    </row>
    <row r="1978" spans="1:18" s="893" customFormat="1" x14ac:dyDescent="0.3">
      <c r="A1978" s="888" t="s">
        <v>2062</v>
      </c>
      <c r="B1978" s="888" t="s">
        <v>1954</v>
      </c>
      <c r="C1978" s="888" t="s">
        <v>3837</v>
      </c>
      <c r="D1978" s="888"/>
      <c r="E1978" s="893" t="s">
        <v>894</v>
      </c>
      <c r="I1978" s="888"/>
      <c r="J1978" s="888"/>
      <c r="K1978" s="888"/>
      <c r="L1978" s="888"/>
      <c r="M1978" s="888"/>
      <c r="N1978" s="888"/>
      <c r="O1978" s="888"/>
      <c r="P1978" s="888"/>
      <c r="Q1978" s="888"/>
      <c r="R1978" s="888"/>
    </row>
    <row r="1979" spans="1:18" s="893" customFormat="1" x14ac:dyDescent="0.3">
      <c r="A1979" s="888" t="s">
        <v>2062</v>
      </c>
      <c r="B1979" s="888" t="s">
        <v>1954</v>
      </c>
      <c r="C1979" s="888" t="s">
        <v>2342</v>
      </c>
      <c r="D1979" s="888"/>
      <c r="E1979" s="893" t="s">
        <v>424</v>
      </c>
      <c r="I1979" s="888"/>
      <c r="J1979" s="888"/>
      <c r="K1979" s="888"/>
      <c r="L1979" s="888"/>
      <c r="M1979" s="888"/>
      <c r="N1979" s="888"/>
      <c r="O1979" s="888"/>
      <c r="P1979" s="888"/>
      <c r="Q1979" s="888"/>
      <c r="R1979" s="888"/>
    </row>
    <row r="1980" spans="1:18" s="893" customFormat="1" x14ac:dyDescent="0.3">
      <c r="A1980" s="888" t="s">
        <v>2062</v>
      </c>
      <c r="B1980" s="888" t="s">
        <v>1954</v>
      </c>
      <c r="C1980" s="888" t="s">
        <v>5059</v>
      </c>
      <c r="D1980" s="888"/>
      <c r="E1980" s="893" t="s">
        <v>425</v>
      </c>
      <c r="I1980" s="888"/>
      <c r="J1980" s="888"/>
      <c r="K1980" s="888"/>
      <c r="L1980" s="888"/>
      <c r="M1980" s="888"/>
      <c r="N1980" s="888"/>
      <c r="O1980" s="888"/>
      <c r="P1980" s="888"/>
      <c r="Q1980" s="888"/>
      <c r="R1980" s="888"/>
    </row>
    <row r="1981" spans="1:18" s="893" customFormat="1" x14ac:dyDescent="0.3">
      <c r="A1981" s="888" t="s">
        <v>2062</v>
      </c>
      <c r="B1981" s="888" t="s">
        <v>1954</v>
      </c>
      <c r="C1981" s="888" t="s">
        <v>5188</v>
      </c>
      <c r="D1981" s="888"/>
      <c r="E1981" s="893" t="s">
        <v>426</v>
      </c>
      <c r="I1981" s="888"/>
      <c r="J1981" s="888"/>
      <c r="K1981" s="888"/>
      <c r="L1981" s="888"/>
      <c r="M1981" s="888"/>
      <c r="N1981" s="888"/>
      <c r="O1981" s="888"/>
      <c r="P1981" s="888"/>
      <c r="Q1981" s="888"/>
      <c r="R1981" s="888"/>
    </row>
    <row r="1982" spans="1:18" s="893" customFormat="1" x14ac:dyDescent="0.3">
      <c r="A1982" s="888" t="s">
        <v>2062</v>
      </c>
      <c r="B1982" s="888" t="s">
        <v>1954</v>
      </c>
      <c r="C1982" s="888" t="s">
        <v>5189</v>
      </c>
      <c r="D1982" s="888"/>
      <c r="E1982" s="893" t="str">
        <f>$E$1663</f>
        <v>R 3.7/inch</v>
      </c>
      <c r="I1982" s="888"/>
      <c r="J1982" s="888"/>
      <c r="K1982" s="888"/>
      <c r="L1982" s="888"/>
      <c r="M1982" s="888"/>
      <c r="N1982" s="888"/>
      <c r="O1982" s="888"/>
      <c r="P1982" s="888"/>
      <c r="Q1982" s="888"/>
      <c r="R1982" s="888"/>
    </row>
    <row r="1983" spans="1:18" s="893" customFormat="1" x14ac:dyDescent="0.3">
      <c r="A1983" s="888" t="s">
        <v>2062</v>
      </c>
      <c r="B1983" s="888" t="s">
        <v>1954</v>
      </c>
      <c r="C1983" s="888" t="s">
        <v>5046</v>
      </c>
      <c r="D1983" s="888"/>
      <c r="E1983" s="893" t="s">
        <v>4273</v>
      </c>
      <c r="I1983" s="888"/>
      <c r="J1983" s="888"/>
      <c r="K1983" s="888"/>
      <c r="L1983" s="888"/>
      <c r="M1983" s="888"/>
      <c r="N1983" s="888"/>
      <c r="O1983" s="888"/>
      <c r="P1983" s="888"/>
      <c r="Q1983" s="888"/>
      <c r="R1983" s="888"/>
    </row>
    <row r="1984" spans="1:18" s="893" customFormat="1" x14ac:dyDescent="0.3">
      <c r="A1984" s="888" t="s">
        <v>2062</v>
      </c>
      <c r="B1984" s="888" t="s">
        <v>1954</v>
      </c>
      <c r="C1984" s="888" t="s">
        <v>5090</v>
      </c>
      <c r="D1984" s="888"/>
      <c r="E1984" s="893" t="s">
        <v>429</v>
      </c>
      <c r="I1984" s="888"/>
      <c r="J1984" s="888"/>
      <c r="K1984" s="888"/>
      <c r="L1984" s="888"/>
      <c r="M1984" s="888"/>
      <c r="N1984" s="888"/>
      <c r="O1984" s="888"/>
      <c r="P1984" s="888"/>
      <c r="Q1984" s="888"/>
      <c r="R1984" s="888"/>
    </row>
    <row r="1985" spans="1:18" s="893" customFormat="1" x14ac:dyDescent="0.3">
      <c r="A1985" s="888" t="s">
        <v>2062</v>
      </c>
      <c r="B1985" s="888" t="s">
        <v>1954</v>
      </c>
      <c r="C1985" s="888" t="s">
        <v>5190</v>
      </c>
      <c r="D1985" s="888"/>
      <c r="E1985" s="893" t="s">
        <v>430</v>
      </c>
      <c r="I1985" s="888"/>
      <c r="J1985" s="888"/>
      <c r="K1985" s="888"/>
      <c r="L1985" s="888"/>
      <c r="M1985" s="888"/>
      <c r="N1985" s="888"/>
      <c r="O1985" s="888"/>
      <c r="P1985" s="888"/>
      <c r="Q1985" s="888"/>
      <c r="R1985" s="888"/>
    </row>
    <row r="1986" spans="1:18" s="893" customFormat="1" x14ac:dyDescent="0.3">
      <c r="A1986" s="888" t="s">
        <v>2062</v>
      </c>
      <c r="B1986" s="888" t="s">
        <v>1954</v>
      </c>
      <c r="C1986" s="888" t="s">
        <v>5191</v>
      </c>
      <c r="D1986" s="888"/>
      <c r="E1986" s="893" t="s">
        <v>431</v>
      </c>
      <c r="I1986" s="888"/>
      <c r="J1986" s="888"/>
      <c r="K1986" s="888"/>
      <c r="L1986" s="888"/>
      <c r="M1986" s="888"/>
      <c r="N1986" s="888"/>
      <c r="O1986" s="888"/>
      <c r="P1986" s="888"/>
      <c r="Q1986" s="888"/>
      <c r="R1986" s="888"/>
    </row>
    <row r="1987" spans="1:18" s="893" customFormat="1" x14ac:dyDescent="0.3">
      <c r="A1987" s="888" t="s">
        <v>2062</v>
      </c>
      <c r="B1987" s="888" t="s">
        <v>1954</v>
      </c>
      <c r="C1987" s="888" t="s">
        <v>2667</v>
      </c>
      <c r="D1987" s="888"/>
      <c r="E1987" s="893" t="s">
        <v>4274</v>
      </c>
      <c r="I1987" s="888"/>
      <c r="J1987" s="888"/>
      <c r="K1987" s="888"/>
      <c r="L1987" s="888"/>
      <c r="M1987" s="888"/>
      <c r="N1987" s="888"/>
      <c r="O1987" s="888"/>
      <c r="P1987" s="888"/>
      <c r="Q1987" s="888"/>
      <c r="R1987" s="888"/>
    </row>
    <row r="1988" spans="1:18" s="893" customFormat="1" x14ac:dyDescent="0.3">
      <c r="A1988" s="888" t="s">
        <v>2062</v>
      </c>
      <c r="B1988" s="888" t="s">
        <v>1954</v>
      </c>
      <c r="C1988" s="888" t="s">
        <v>5047</v>
      </c>
      <c r="D1988" s="888"/>
      <c r="E1988" s="893" t="s">
        <v>4275</v>
      </c>
      <c r="I1988" s="888"/>
      <c r="J1988" s="888"/>
      <c r="K1988" s="888"/>
      <c r="L1988" s="888"/>
      <c r="M1988" s="888"/>
      <c r="N1988" s="888"/>
      <c r="O1988" s="888"/>
      <c r="P1988" s="888"/>
      <c r="Q1988" s="888"/>
      <c r="R1988" s="888"/>
    </row>
    <row r="1989" spans="1:18" s="893" customFormat="1" x14ac:dyDescent="0.3">
      <c r="A1989" s="888" t="s">
        <v>2062</v>
      </c>
      <c r="B1989" s="888" t="s">
        <v>1954</v>
      </c>
      <c r="C1989" s="888" t="s">
        <v>5192</v>
      </c>
      <c r="D1989" s="888"/>
      <c r="E1989" s="893" t="s">
        <v>4276</v>
      </c>
      <c r="I1989" s="888"/>
      <c r="J1989" s="888"/>
      <c r="K1989" s="888"/>
      <c r="L1989" s="888"/>
      <c r="M1989" s="888"/>
      <c r="N1989" s="888"/>
      <c r="O1989" s="888"/>
      <c r="P1989" s="888"/>
      <c r="Q1989" s="888"/>
      <c r="R1989" s="888"/>
    </row>
    <row r="1990" spans="1:18" s="893" customFormat="1" x14ac:dyDescent="0.3">
      <c r="A1990" s="888" t="s">
        <v>2062</v>
      </c>
      <c r="B1990" s="888" t="s">
        <v>1954</v>
      </c>
      <c r="C1990" s="888" t="s">
        <v>5193</v>
      </c>
      <c r="D1990" s="888"/>
      <c r="E1990" s="893" t="s">
        <v>4277</v>
      </c>
      <c r="I1990" s="888"/>
      <c r="J1990" s="888"/>
      <c r="K1990" s="888"/>
      <c r="L1990" s="888"/>
      <c r="M1990" s="888"/>
      <c r="N1990" s="888"/>
      <c r="O1990" s="888"/>
      <c r="P1990" s="888"/>
      <c r="Q1990" s="888"/>
      <c r="R1990" s="888"/>
    </row>
    <row r="1991" spans="1:18" s="893" customFormat="1" x14ac:dyDescent="0.3">
      <c r="A1991" s="888" t="s">
        <v>2062</v>
      </c>
      <c r="B1991" s="888" t="s">
        <v>1954</v>
      </c>
      <c r="C1991" s="888" t="s">
        <v>2668</v>
      </c>
      <c r="D1991" s="888"/>
      <c r="E1991" s="893" t="str">
        <f>$E$1987</f>
        <v>Hempcrete block</v>
      </c>
      <c r="I1991" s="888"/>
      <c r="J1991" s="888"/>
      <c r="K1991" s="888"/>
      <c r="L1991" s="888"/>
      <c r="M1991" s="888"/>
      <c r="N1991" s="888"/>
      <c r="O1991" s="888"/>
      <c r="P1991" s="888"/>
      <c r="Q1991" s="888"/>
      <c r="R1991" s="888"/>
    </row>
    <row r="1992" spans="1:18" s="893" customFormat="1" x14ac:dyDescent="0.3">
      <c r="A1992" s="888" t="s">
        <v>2062</v>
      </c>
      <c r="B1992" s="888" t="s">
        <v>1954</v>
      </c>
      <c r="C1992" s="888" t="s">
        <v>2669</v>
      </c>
      <c r="D1992" s="888"/>
      <c r="E1992" s="893" t="s">
        <v>4283</v>
      </c>
      <c r="I1992" s="888"/>
      <c r="J1992" s="888"/>
      <c r="K1992" s="888"/>
      <c r="L1992" s="888"/>
      <c r="M1992" s="888"/>
      <c r="N1992" s="888"/>
      <c r="O1992" s="888"/>
      <c r="P1992" s="888"/>
      <c r="Q1992" s="888"/>
      <c r="R1992" s="888"/>
    </row>
    <row r="1993" spans="1:18" s="893" customFormat="1" x14ac:dyDescent="0.3">
      <c r="A1993" s="888" t="s">
        <v>2062</v>
      </c>
      <c r="B1993" s="888" t="s">
        <v>1954</v>
      </c>
      <c r="C1993" s="888" t="s">
        <v>3838</v>
      </c>
      <c r="D1993" s="888"/>
      <c r="E1993" s="893" t="s">
        <v>4284</v>
      </c>
      <c r="I1993" s="888"/>
      <c r="J1993" s="888"/>
      <c r="K1993" s="888"/>
      <c r="L1993" s="888"/>
      <c r="M1993" s="888"/>
      <c r="N1993" s="888"/>
      <c r="O1993" s="888"/>
      <c r="P1993" s="888"/>
      <c r="Q1993" s="888"/>
      <c r="R1993" s="888"/>
    </row>
    <row r="1994" spans="1:18" s="893" customFormat="1" x14ac:dyDescent="0.3">
      <c r="A1994" s="888" t="s">
        <v>2062</v>
      </c>
      <c r="B1994" s="888" t="s">
        <v>1954</v>
      </c>
      <c r="C1994" s="888" t="s">
        <v>2670</v>
      </c>
      <c r="D1994" s="888"/>
      <c r="E1994" s="893" t="str">
        <f>$E$1986</f>
        <v>R 2.1/inch</v>
      </c>
      <c r="I1994" s="888"/>
      <c r="J1994" s="888"/>
      <c r="K1994" s="888"/>
      <c r="L1994" s="888"/>
      <c r="M1994" s="888"/>
      <c r="N1994" s="888"/>
      <c r="O1994" s="888"/>
      <c r="P1994" s="888"/>
      <c r="Q1994" s="888"/>
      <c r="R1994" s="888"/>
    </row>
    <row r="1995" spans="1:18" s="893" customFormat="1" x14ac:dyDescent="0.3">
      <c r="A1995" s="888" t="s">
        <v>2062</v>
      </c>
      <c r="B1995" s="888" t="s">
        <v>1954</v>
      </c>
      <c r="C1995" s="888" t="s">
        <v>2671</v>
      </c>
      <c r="D1995" s="888"/>
      <c r="E1995" s="893" t="str">
        <f>$E$1983</f>
        <v>Hempcrete / Cast in-situ</v>
      </c>
      <c r="I1995" s="888"/>
      <c r="J1995" s="888"/>
      <c r="K1995" s="888"/>
      <c r="L1995" s="888"/>
      <c r="M1995" s="888"/>
      <c r="N1995" s="888"/>
      <c r="O1995" s="888"/>
      <c r="P1995" s="888"/>
      <c r="Q1995" s="888"/>
      <c r="R1995" s="888"/>
    </row>
    <row r="1996" spans="1:18" s="893" customFormat="1" x14ac:dyDescent="0.3">
      <c r="A1996" s="888" t="s">
        <v>2062</v>
      </c>
      <c r="B1996" s="888" t="s">
        <v>1954</v>
      </c>
      <c r="C1996" s="888" t="s">
        <v>5194</v>
      </c>
      <c r="D1996" s="888"/>
      <c r="E1996" s="893" t="str">
        <f>$E$1992</f>
        <v>Senini</v>
      </c>
      <c r="I1996" s="888"/>
      <c r="J1996" s="888"/>
      <c r="K1996" s="888"/>
      <c r="L1996" s="888"/>
      <c r="M1996" s="888"/>
      <c r="N1996" s="888"/>
      <c r="O1996" s="888"/>
      <c r="P1996" s="888"/>
      <c r="Q1996" s="888"/>
      <c r="R1996" s="888"/>
    </row>
    <row r="1997" spans="1:18" s="893" customFormat="1" x14ac:dyDescent="0.3">
      <c r="A1997" s="888" t="s">
        <v>2062</v>
      </c>
      <c r="B1997" s="888" t="s">
        <v>1954</v>
      </c>
      <c r="C1997" s="888" t="s">
        <v>3839</v>
      </c>
      <c r="D1997" s="888"/>
      <c r="E1997" s="893" t="s">
        <v>4289</v>
      </c>
      <c r="I1997" s="888"/>
      <c r="J1997" s="888"/>
      <c r="K1997" s="888"/>
      <c r="L1997" s="888"/>
      <c r="M1997" s="888"/>
      <c r="N1997" s="888"/>
      <c r="O1997" s="888"/>
      <c r="P1997" s="888"/>
      <c r="Q1997" s="888"/>
      <c r="R1997" s="888"/>
    </row>
    <row r="1998" spans="1:18" s="893" customFormat="1" x14ac:dyDescent="0.3">
      <c r="A1998" s="888" t="s">
        <v>2062</v>
      </c>
      <c r="B1998" s="888" t="s">
        <v>1954</v>
      </c>
      <c r="C1998" s="888" t="s">
        <v>5195</v>
      </c>
      <c r="D1998" s="888"/>
      <c r="E1998" s="893" t="s">
        <v>4290</v>
      </c>
      <c r="I1998" s="888"/>
      <c r="J1998" s="888"/>
      <c r="K1998" s="888"/>
      <c r="L1998" s="888"/>
      <c r="M1998" s="888"/>
      <c r="N1998" s="888"/>
      <c r="O1998" s="888"/>
      <c r="P1998" s="888"/>
      <c r="Q1998" s="888"/>
      <c r="R1998" s="888"/>
    </row>
    <row r="1999" spans="1:18" s="893" customFormat="1" x14ac:dyDescent="0.3">
      <c r="A1999" s="888" t="s">
        <v>2062</v>
      </c>
      <c r="B1999" s="888" t="s">
        <v>1954</v>
      </c>
      <c r="C1999" s="888" t="s">
        <v>2672</v>
      </c>
      <c r="D1999" s="888"/>
      <c r="E1999" s="893" t="s">
        <v>4292</v>
      </c>
      <c r="I1999" s="888"/>
      <c r="J1999" s="888"/>
      <c r="K1999" s="888"/>
      <c r="L1999" s="888"/>
      <c r="M1999" s="888"/>
      <c r="N1999" s="888"/>
      <c r="O1999" s="888"/>
      <c r="P1999" s="888"/>
      <c r="Q1999" s="888"/>
      <c r="R1999" s="888"/>
    </row>
    <row r="2000" spans="1:18" s="893" customFormat="1" x14ac:dyDescent="0.3">
      <c r="A2000" s="888" t="s">
        <v>2062</v>
      </c>
      <c r="B2000" s="888" t="s">
        <v>1954</v>
      </c>
      <c r="C2000" s="888" t="s">
        <v>5056</v>
      </c>
      <c r="D2000" s="888"/>
      <c r="E2000" s="893" t="str">
        <f>$E$1992</f>
        <v>Senini</v>
      </c>
      <c r="I2000" s="888"/>
      <c r="J2000" s="888"/>
      <c r="K2000" s="888"/>
      <c r="L2000" s="888"/>
      <c r="M2000" s="888"/>
      <c r="N2000" s="888"/>
      <c r="O2000" s="888"/>
      <c r="P2000" s="888"/>
      <c r="Q2000" s="888"/>
      <c r="R2000" s="888"/>
    </row>
    <row r="2001" spans="1:18" s="893" customFormat="1" x14ac:dyDescent="0.3">
      <c r="A2001" s="888" t="s">
        <v>2062</v>
      </c>
      <c r="B2001" s="888" t="s">
        <v>1954</v>
      </c>
      <c r="C2001" s="888" t="s">
        <v>3840</v>
      </c>
      <c r="D2001" s="888"/>
      <c r="E2001" s="893" t="s">
        <v>4293</v>
      </c>
      <c r="I2001" s="888"/>
      <c r="J2001" s="888"/>
      <c r="K2001" s="888"/>
      <c r="L2001" s="888"/>
      <c r="M2001" s="888"/>
      <c r="N2001" s="888"/>
      <c r="O2001" s="888"/>
      <c r="P2001" s="888"/>
      <c r="Q2001" s="888"/>
      <c r="R2001" s="888"/>
    </row>
    <row r="2002" spans="1:18" s="893" customFormat="1" x14ac:dyDescent="0.3">
      <c r="A2002" s="888" t="s">
        <v>2062</v>
      </c>
      <c r="B2002" s="888" t="s">
        <v>1954</v>
      </c>
      <c r="C2002" s="888" t="s">
        <v>5196</v>
      </c>
      <c r="D2002" s="888"/>
      <c r="E2002" s="893" t="str">
        <f>$E$1998</f>
        <v xml:space="preserve">R 2.7/inch </v>
      </c>
      <c r="I2002" s="888"/>
      <c r="J2002" s="888"/>
      <c r="K2002" s="888"/>
      <c r="L2002" s="888"/>
      <c r="M2002" s="888"/>
      <c r="N2002" s="888"/>
      <c r="O2002" s="888"/>
      <c r="P2002" s="888"/>
      <c r="Q2002" s="888"/>
      <c r="R2002" s="888"/>
    </row>
    <row r="2003" spans="1:18" s="893" customFormat="1" x14ac:dyDescent="0.3">
      <c r="A2003" s="888" t="s">
        <v>2062</v>
      </c>
      <c r="B2003" s="888" t="s">
        <v>1954</v>
      </c>
      <c r="C2003" s="888" t="s">
        <v>2673</v>
      </c>
      <c r="D2003" s="888"/>
      <c r="E2003" s="893" t="str">
        <f>$E$1983</f>
        <v>Hempcrete / Cast in-situ</v>
      </c>
      <c r="I2003" s="888"/>
      <c r="J2003" s="888"/>
      <c r="K2003" s="888"/>
      <c r="L2003" s="888"/>
      <c r="M2003" s="888"/>
      <c r="N2003" s="888"/>
      <c r="O2003" s="888"/>
      <c r="P2003" s="888"/>
      <c r="Q2003" s="888"/>
      <c r="R2003" s="888"/>
    </row>
    <row r="2004" spans="1:18" s="893" customFormat="1" x14ac:dyDescent="0.3">
      <c r="A2004" s="888" t="s">
        <v>2062</v>
      </c>
      <c r="B2004" s="888" t="s">
        <v>1954</v>
      </c>
      <c r="C2004" s="888" t="s">
        <v>5197</v>
      </c>
      <c r="D2004" s="888"/>
      <c r="E2004" s="893" t="str">
        <f>$E$1690</f>
        <v>Site mixed</v>
      </c>
      <c r="I2004" s="888"/>
      <c r="J2004" s="888"/>
      <c r="K2004" s="888"/>
      <c r="L2004" s="888"/>
      <c r="M2004" s="888"/>
      <c r="N2004" s="888"/>
      <c r="O2004" s="888"/>
      <c r="P2004" s="888"/>
      <c r="Q2004" s="888"/>
      <c r="R2004" s="888"/>
    </row>
    <row r="2005" spans="1:18" s="893" customFormat="1" x14ac:dyDescent="0.3">
      <c r="A2005" s="888" t="s">
        <v>2062</v>
      </c>
      <c r="B2005" s="888" t="s">
        <v>1954</v>
      </c>
      <c r="C2005" s="888" t="s">
        <v>3841</v>
      </c>
      <c r="D2005" s="888"/>
      <c r="E2005" s="893" t="str">
        <f>$E$1985</f>
        <v>Europe</v>
      </c>
      <c r="I2005" s="888"/>
      <c r="J2005" s="888"/>
      <c r="K2005" s="888"/>
      <c r="L2005" s="888"/>
      <c r="M2005" s="888"/>
      <c r="N2005" s="888"/>
      <c r="O2005" s="888"/>
      <c r="P2005" s="888"/>
      <c r="Q2005" s="888"/>
      <c r="R2005" s="888"/>
    </row>
    <row r="2006" spans="1:18" s="893" customFormat="1" x14ac:dyDescent="0.3">
      <c r="A2006" s="888" t="s">
        <v>2062</v>
      </c>
      <c r="B2006" s="888" t="s">
        <v>1954</v>
      </c>
      <c r="C2006" s="888" t="s">
        <v>5198</v>
      </c>
      <c r="D2006" s="888"/>
      <c r="E2006" s="893" t="s">
        <v>1129</v>
      </c>
      <c r="I2006" s="888"/>
      <c r="J2006" s="888"/>
      <c r="K2006" s="888"/>
      <c r="L2006" s="888"/>
      <c r="M2006" s="888"/>
      <c r="N2006" s="888"/>
      <c r="O2006" s="888"/>
      <c r="P2006" s="888"/>
      <c r="Q2006" s="888"/>
      <c r="R2006" s="888"/>
    </row>
    <row r="2007" spans="1:18" s="893" customFormat="1" x14ac:dyDescent="0.3">
      <c r="A2007" s="888" t="s">
        <v>2062</v>
      </c>
      <c r="B2007" s="888" t="s">
        <v>1954</v>
      </c>
      <c r="C2007" s="888" t="s">
        <v>2343</v>
      </c>
      <c r="D2007" s="888"/>
      <c r="E2007" s="893" t="str">
        <f>$E$1983</f>
        <v>Hempcrete / Cast in-situ</v>
      </c>
      <c r="I2007" s="888"/>
      <c r="J2007" s="888"/>
      <c r="K2007" s="888"/>
      <c r="L2007" s="888"/>
      <c r="M2007" s="888"/>
      <c r="N2007" s="888"/>
      <c r="O2007" s="888"/>
      <c r="P2007" s="888"/>
      <c r="Q2007" s="888"/>
      <c r="R2007" s="888"/>
    </row>
    <row r="2008" spans="1:18" s="893" customFormat="1" x14ac:dyDescent="0.3">
      <c r="A2008" s="888" t="s">
        <v>2062</v>
      </c>
      <c r="B2008" s="888" t="s">
        <v>1954</v>
      </c>
      <c r="C2008" s="888" t="s">
        <v>2674</v>
      </c>
      <c r="D2008" s="888"/>
      <c r="E2008" s="893" t="str">
        <f>$E$1690</f>
        <v>Site mixed</v>
      </c>
      <c r="I2008" s="888"/>
      <c r="J2008" s="888"/>
      <c r="K2008" s="888"/>
      <c r="L2008" s="888"/>
      <c r="M2008" s="888"/>
      <c r="N2008" s="888"/>
      <c r="O2008" s="888"/>
      <c r="P2008" s="888"/>
      <c r="Q2008" s="888"/>
      <c r="R2008" s="888"/>
    </row>
    <row r="2009" spans="1:18" s="893" customFormat="1" x14ac:dyDescent="0.3">
      <c r="A2009" s="888" t="s">
        <v>2062</v>
      </c>
      <c r="B2009" s="888" t="s">
        <v>1954</v>
      </c>
      <c r="C2009" s="888" t="s">
        <v>5199</v>
      </c>
      <c r="D2009" s="888"/>
      <c r="E2009" s="893" t="s">
        <v>129</v>
      </c>
      <c r="I2009" s="888"/>
      <c r="J2009" s="888"/>
      <c r="K2009" s="888"/>
      <c r="L2009" s="888"/>
      <c r="M2009" s="888"/>
      <c r="N2009" s="888"/>
      <c r="O2009" s="888"/>
      <c r="P2009" s="888"/>
      <c r="Q2009" s="888"/>
      <c r="R2009" s="888"/>
    </row>
    <row r="2010" spans="1:18" s="893" customFormat="1" x14ac:dyDescent="0.3">
      <c r="A2010" s="888" t="s">
        <v>2062</v>
      </c>
      <c r="B2010" s="888" t="s">
        <v>1954</v>
      </c>
      <c r="C2010" s="888" t="s">
        <v>2675</v>
      </c>
      <c r="D2010" s="888"/>
      <c r="E2010" s="893" t="s">
        <v>1130</v>
      </c>
      <c r="I2010" s="888"/>
      <c r="J2010" s="888"/>
      <c r="K2010" s="888"/>
      <c r="L2010" s="888"/>
      <c r="M2010" s="888"/>
      <c r="N2010" s="888"/>
      <c r="O2010" s="888"/>
      <c r="P2010" s="888"/>
      <c r="Q2010" s="888"/>
      <c r="R2010" s="888"/>
    </row>
    <row r="2011" spans="1:18" s="893" customFormat="1" x14ac:dyDescent="0.3">
      <c r="A2011" s="888" t="s">
        <v>2062</v>
      </c>
      <c r="B2011" s="888" t="s">
        <v>1954</v>
      </c>
      <c r="C2011" s="888" t="s">
        <v>2676</v>
      </c>
      <c r="D2011" s="888"/>
      <c r="E2011" s="893" t="s">
        <v>3776</v>
      </c>
      <c r="I2011" s="888"/>
      <c r="J2011" s="888"/>
      <c r="K2011" s="888"/>
      <c r="L2011" s="888"/>
      <c r="M2011" s="888"/>
      <c r="N2011" s="888"/>
      <c r="O2011" s="888"/>
      <c r="P2011" s="888"/>
      <c r="Q2011" s="888"/>
      <c r="R2011" s="888"/>
    </row>
    <row r="2012" spans="1:18" s="893" customFormat="1" x14ac:dyDescent="0.3">
      <c r="A2012" s="888" t="s">
        <v>2062</v>
      </c>
      <c r="B2012" s="888" t="s">
        <v>1954</v>
      </c>
      <c r="C2012" s="888" t="s">
        <v>2677</v>
      </c>
      <c r="D2012" s="888"/>
      <c r="E2012" s="893" t="str">
        <f>$E$1937</f>
        <v>American Wood Council &amp; Canadian Wood Council</v>
      </c>
      <c r="I2012" s="888"/>
      <c r="J2012" s="888"/>
      <c r="K2012" s="888"/>
      <c r="L2012" s="888"/>
      <c r="M2012" s="888"/>
      <c r="N2012" s="888"/>
      <c r="O2012" s="888"/>
      <c r="P2012" s="888"/>
      <c r="Q2012" s="888"/>
      <c r="R2012" s="888"/>
    </row>
    <row r="2013" spans="1:18" s="893" customFormat="1" x14ac:dyDescent="0.3">
      <c r="A2013" s="888" t="s">
        <v>2062</v>
      </c>
      <c r="B2013" s="888" t="s">
        <v>1954</v>
      </c>
      <c r="C2013" s="888" t="s">
        <v>2678</v>
      </c>
      <c r="D2013" s="888"/>
      <c r="E2013" s="893" t="s">
        <v>3779</v>
      </c>
      <c r="I2013" s="888"/>
      <c r="J2013" s="888"/>
      <c r="K2013" s="888"/>
      <c r="L2013" s="888"/>
      <c r="M2013" s="888"/>
      <c r="N2013" s="888"/>
      <c r="O2013" s="888"/>
      <c r="P2013" s="888"/>
      <c r="Q2013" s="888"/>
      <c r="R2013" s="888"/>
    </row>
    <row r="2014" spans="1:18" s="893" customFormat="1" x14ac:dyDescent="0.3">
      <c r="A2014" s="888" t="s">
        <v>2062</v>
      </c>
      <c r="B2014" s="888" t="s">
        <v>1954</v>
      </c>
      <c r="C2014" s="888" t="s">
        <v>2679</v>
      </c>
      <c r="D2014" s="888"/>
      <c r="E2014" s="893" t="str">
        <f>$E$1937</f>
        <v>American Wood Council &amp; Canadian Wood Council</v>
      </c>
      <c r="I2014" s="888"/>
      <c r="J2014" s="888"/>
      <c r="K2014" s="888"/>
      <c r="L2014" s="888"/>
      <c r="M2014" s="888"/>
      <c r="N2014" s="888"/>
      <c r="O2014" s="888"/>
      <c r="P2014" s="888"/>
      <c r="Q2014" s="888"/>
      <c r="R2014" s="888"/>
    </row>
    <row r="2015" spans="1:18" s="893" customFormat="1" x14ac:dyDescent="0.3">
      <c r="A2015" s="888" t="s">
        <v>2062</v>
      </c>
      <c r="B2015" s="888" t="s">
        <v>1954</v>
      </c>
      <c r="C2015" s="888" t="s">
        <v>2680</v>
      </c>
      <c r="D2015" s="888"/>
      <c r="E2015" s="893" t="str">
        <f>$E$2013</f>
        <v>Laminated veneer lumber (LVL)</v>
      </c>
      <c r="I2015" s="888"/>
      <c r="J2015" s="888"/>
      <c r="K2015" s="888"/>
      <c r="L2015" s="888"/>
      <c r="M2015" s="888"/>
      <c r="N2015" s="888"/>
      <c r="O2015" s="888"/>
      <c r="P2015" s="888"/>
      <c r="Q2015" s="888"/>
      <c r="R2015" s="888"/>
    </row>
    <row r="2016" spans="1:18" s="893" customFormat="1" x14ac:dyDescent="0.3">
      <c r="A2016" s="888" t="s">
        <v>2062</v>
      </c>
      <c r="B2016" s="888" t="s">
        <v>1954</v>
      </c>
      <c r="C2016" s="888" t="s">
        <v>2344</v>
      </c>
      <c r="D2016" s="888"/>
      <c r="E2016" s="893" t="s">
        <v>441</v>
      </c>
      <c r="I2016" s="888"/>
      <c r="J2016" s="888"/>
      <c r="K2016" s="888"/>
      <c r="L2016" s="888"/>
      <c r="M2016" s="888"/>
      <c r="N2016" s="888"/>
      <c r="O2016" s="888"/>
      <c r="P2016" s="888"/>
      <c r="Q2016" s="888"/>
      <c r="R2016" s="888"/>
    </row>
    <row r="2017" spans="1:18" s="893" customFormat="1" x14ac:dyDescent="0.3">
      <c r="A2017" s="888" t="s">
        <v>2062</v>
      </c>
      <c r="B2017" s="888" t="s">
        <v>1954</v>
      </c>
      <c r="C2017" s="888" t="s">
        <v>2681</v>
      </c>
      <c r="D2017" s="888"/>
      <c r="E2017" s="893" t="s">
        <v>4308</v>
      </c>
      <c r="I2017" s="888"/>
      <c r="J2017" s="888"/>
      <c r="K2017" s="888"/>
      <c r="L2017" s="888"/>
      <c r="M2017" s="888"/>
      <c r="N2017" s="888"/>
      <c r="O2017" s="888"/>
      <c r="P2017" s="888"/>
      <c r="Q2017" s="888"/>
      <c r="R2017" s="888"/>
    </row>
    <row r="2018" spans="1:18" s="893" customFormat="1" x14ac:dyDescent="0.3">
      <c r="A2018" s="888" t="s">
        <v>2062</v>
      </c>
      <c r="B2018" s="888" t="s">
        <v>1954</v>
      </c>
      <c r="C2018" s="888" t="s">
        <v>2682</v>
      </c>
      <c r="D2018" s="888"/>
      <c r="E2018" s="893" t="str">
        <f>$E$2013</f>
        <v>Laminated veneer lumber (LVL)</v>
      </c>
      <c r="I2018" s="888"/>
      <c r="J2018" s="888"/>
      <c r="K2018" s="888"/>
      <c r="L2018" s="888"/>
      <c r="M2018" s="888"/>
      <c r="N2018" s="888"/>
      <c r="O2018" s="888"/>
      <c r="P2018" s="888"/>
      <c r="Q2018" s="888"/>
      <c r="R2018" s="888"/>
    </row>
    <row r="2019" spans="1:18" s="893" customFormat="1" x14ac:dyDescent="0.3">
      <c r="A2019" s="888" t="s">
        <v>2062</v>
      </c>
      <c r="B2019" s="888" t="s">
        <v>1954</v>
      </c>
      <c r="C2019" s="888" t="s">
        <v>2683</v>
      </c>
      <c r="D2019" s="888"/>
      <c r="E2019" s="893" t="s">
        <v>4310</v>
      </c>
      <c r="I2019" s="888"/>
      <c r="J2019" s="888"/>
      <c r="K2019" s="888"/>
      <c r="L2019" s="888"/>
      <c r="M2019" s="888"/>
      <c r="N2019" s="888"/>
      <c r="O2019" s="888"/>
      <c r="P2019" s="888"/>
      <c r="Q2019" s="888"/>
      <c r="R2019" s="888"/>
    </row>
    <row r="2020" spans="1:18" s="893" customFormat="1" x14ac:dyDescent="0.3">
      <c r="A2020" s="888" t="s">
        <v>2062</v>
      </c>
      <c r="B2020" s="888" t="s">
        <v>1954</v>
      </c>
      <c r="C2020" s="888" t="s">
        <v>5200</v>
      </c>
      <c r="D2020" s="888"/>
      <c r="E2020" s="893" t="s">
        <v>4311</v>
      </c>
      <c r="I2020" s="888"/>
      <c r="J2020" s="888"/>
      <c r="K2020" s="888"/>
      <c r="L2020" s="888"/>
      <c r="M2020" s="888"/>
      <c r="N2020" s="888"/>
      <c r="O2020" s="888"/>
      <c r="P2020" s="888"/>
      <c r="Q2020" s="888"/>
      <c r="R2020" s="888"/>
    </row>
    <row r="2021" spans="1:18" s="893" customFormat="1" x14ac:dyDescent="0.3">
      <c r="A2021" s="888" t="s">
        <v>2062</v>
      </c>
      <c r="B2021" s="888" t="s">
        <v>1954</v>
      </c>
      <c r="C2021" s="888" t="s">
        <v>2345</v>
      </c>
      <c r="D2021" s="888"/>
      <c r="E2021" s="893" t="s">
        <v>4313</v>
      </c>
      <c r="I2021" s="888"/>
      <c r="J2021" s="888"/>
      <c r="K2021" s="888"/>
      <c r="L2021" s="888"/>
      <c r="M2021" s="888"/>
      <c r="N2021" s="888"/>
      <c r="O2021" s="888"/>
      <c r="P2021" s="888"/>
      <c r="Q2021" s="888"/>
      <c r="R2021" s="888"/>
    </row>
    <row r="2022" spans="1:18" s="893" customFormat="1" x14ac:dyDescent="0.3">
      <c r="A2022" s="888" t="s">
        <v>2062</v>
      </c>
      <c r="B2022" s="888" t="s">
        <v>1954</v>
      </c>
      <c r="C2022" s="888" t="s">
        <v>2684</v>
      </c>
      <c r="D2022" s="888"/>
      <c r="E2022" s="893" t="s">
        <v>3266</v>
      </c>
      <c r="I2022" s="888"/>
      <c r="J2022" s="888"/>
      <c r="K2022" s="888"/>
      <c r="L2022" s="888"/>
      <c r="M2022" s="888"/>
      <c r="N2022" s="888"/>
      <c r="O2022" s="888"/>
      <c r="P2022" s="888"/>
      <c r="Q2022" s="888"/>
      <c r="R2022" s="888"/>
    </row>
    <row r="2023" spans="1:18" s="893" customFormat="1" x14ac:dyDescent="0.3">
      <c r="A2023" s="888" t="s">
        <v>2062</v>
      </c>
      <c r="B2023" s="888" t="s">
        <v>1954</v>
      </c>
      <c r="C2023" s="888" t="s">
        <v>5201</v>
      </c>
      <c r="D2023" s="888"/>
      <c r="E2023" s="893" t="s">
        <v>4314</v>
      </c>
      <c r="I2023" s="888"/>
      <c r="J2023" s="888"/>
      <c r="K2023" s="888"/>
      <c r="L2023" s="888"/>
      <c r="M2023" s="888"/>
      <c r="N2023" s="888"/>
      <c r="O2023" s="888"/>
      <c r="P2023" s="888"/>
      <c r="Q2023" s="888"/>
      <c r="R2023" s="888"/>
    </row>
    <row r="2024" spans="1:18" s="893" customFormat="1" x14ac:dyDescent="0.3">
      <c r="A2024" s="888" t="s">
        <v>2062</v>
      </c>
      <c r="B2024" s="888" t="s">
        <v>1954</v>
      </c>
      <c r="C2024" s="888" t="s">
        <v>2685</v>
      </c>
      <c r="D2024" s="888"/>
      <c r="E2024" s="893" t="str">
        <f>$E$2021</f>
        <v>Lime/Cork Plaster (Ext. &amp; Int.)</v>
      </c>
      <c r="I2024" s="888"/>
      <c r="J2024" s="888"/>
      <c r="K2024" s="888"/>
      <c r="L2024" s="888"/>
      <c r="M2024" s="888"/>
      <c r="N2024" s="888"/>
      <c r="O2024" s="888"/>
      <c r="P2024" s="888"/>
      <c r="Q2024" s="888"/>
      <c r="R2024" s="888"/>
    </row>
    <row r="2025" spans="1:18" s="893" customFormat="1" x14ac:dyDescent="0.3">
      <c r="A2025" s="888" t="s">
        <v>2062</v>
      </c>
      <c r="B2025" s="888" t="s">
        <v>1954</v>
      </c>
      <c r="C2025" s="888" t="s">
        <v>2346</v>
      </c>
      <c r="D2025" s="888"/>
      <c r="E2025" s="893" t="str">
        <f>$E$2022</f>
        <v>Diasen</v>
      </c>
      <c r="I2025" s="888"/>
      <c r="J2025" s="888"/>
      <c r="K2025" s="888"/>
      <c r="L2025" s="888"/>
      <c r="M2025" s="888"/>
      <c r="N2025" s="888"/>
      <c r="O2025" s="888"/>
      <c r="P2025" s="888"/>
      <c r="Q2025" s="888"/>
      <c r="R2025" s="888"/>
    </row>
    <row r="2026" spans="1:18" s="893" customFormat="1" x14ac:dyDescent="0.3">
      <c r="A2026" s="888" t="s">
        <v>2062</v>
      </c>
      <c r="B2026" s="888" t="s">
        <v>1954</v>
      </c>
      <c r="C2026" s="888" t="s">
        <v>5202</v>
      </c>
      <c r="D2026" s="888"/>
      <c r="E2026" s="893" t="s">
        <v>4318</v>
      </c>
      <c r="I2026" s="888"/>
      <c r="J2026" s="888"/>
      <c r="K2026" s="888"/>
      <c r="L2026" s="888"/>
      <c r="M2026" s="888"/>
      <c r="N2026" s="888"/>
      <c r="O2026" s="888"/>
      <c r="P2026" s="888"/>
      <c r="Q2026" s="888"/>
      <c r="R2026" s="888"/>
    </row>
    <row r="2027" spans="1:18" s="893" customFormat="1" x14ac:dyDescent="0.3">
      <c r="A2027" s="888" t="s">
        <v>2062</v>
      </c>
      <c r="B2027" s="888" t="s">
        <v>1954</v>
      </c>
      <c r="C2027" s="888" t="s">
        <v>2687</v>
      </c>
      <c r="D2027" s="888"/>
      <c r="E2027" s="893" t="s">
        <v>452</v>
      </c>
      <c r="I2027" s="888"/>
      <c r="J2027" s="888"/>
      <c r="K2027" s="888"/>
      <c r="L2027" s="888"/>
      <c r="M2027" s="888"/>
      <c r="N2027" s="888"/>
      <c r="O2027" s="888"/>
      <c r="P2027" s="888"/>
      <c r="Q2027" s="888"/>
      <c r="R2027" s="888"/>
    </row>
    <row r="2028" spans="1:18" s="893" customFormat="1" x14ac:dyDescent="0.3">
      <c r="A2028" s="888" t="s">
        <v>2062</v>
      </c>
      <c r="B2028" s="888" t="s">
        <v>1954</v>
      </c>
      <c r="C2028" s="888" t="s">
        <v>2688</v>
      </c>
      <c r="D2028" s="888"/>
      <c r="E2028" s="893" t="s">
        <v>4319</v>
      </c>
      <c r="I2028" s="888"/>
      <c r="J2028" s="888"/>
      <c r="K2028" s="888"/>
      <c r="L2028" s="888"/>
      <c r="M2028" s="888"/>
      <c r="N2028" s="888"/>
      <c r="O2028" s="888"/>
      <c r="P2028" s="888"/>
      <c r="Q2028" s="888"/>
      <c r="R2028" s="888"/>
    </row>
    <row r="2029" spans="1:18" s="893" customFormat="1" x14ac:dyDescent="0.3">
      <c r="A2029" s="888" t="s">
        <v>2062</v>
      </c>
      <c r="B2029" s="888" t="s">
        <v>1954</v>
      </c>
      <c r="C2029" s="888" t="s">
        <v>5203</v>
      </c>
      <c r="D2029" s="888"/>
      <c r="E2029" s="893" t="s">
        <v>4320</v>
      </c>
      <c r="I2029" s="888"/>
      <c r="J2029" s="888"/>
      <c r="K2029" s="888"/>
      <c r="L2029" s="888"/>
      <c r="M2029" s="888"/>
      <c r="N2029" s="888"/>
      <c r="O2029" s="888"/>
      <c r="P2029" s="888"/>
      <c r="Q2029" s="888"/>
      <c r="R2029" s="888"/>
    </row>
    <row r="2030" spans="1:18" s="893" customFormat="1" x14ac:dyDescent="0.3">
      <c r="A2030" s="888" t="s">
        <v>2062</v>
      </c>
      <c r="B2030" s="888" t="s">
        <v>1954</v>
      </c>
      <c r="C2030" s="888" t="s">
        <v>2689</v>
      </c>
      <c r="D2030" s="888"/>
      <c r="E2030" s="893" t="s">
        <v>4321</v>
      </c>
      <c r="I2030" s="888"/>
      <c r="J2030" s="888"/>
      <c r="K2030" s="888"/>
      <c r="L2030" s="888"/>
      <c r="M2030" s="888"/>
      <c r="N2030" s="888"/>
      <c r="O2030" s="888"/>
      <c r="P2030" s="888"/>
      <c r="Q2030" s="888"/>
      <c r="R2030" s="888"/>
    </row>
    <row r="2031" spans="1:18" s="893" customFormat="1" x14ac:dyDescent="0.3">
      <c r="A2031" s="888" t="s">
        <v>2062</v>
      </c>
      <c r="B2031" s="888" t="s">
        <v>1954</v>
      </c>
      <c r="C2031" s="888" t="s">
        <v>5204</v>
      </c>
      <c r="D2031" s="888"/>
      <c r="E2031" s="893" t="str">
        <f>$E$2027</f>
        <v>Linoleum flooring</v>
      </c>
      <c r="I2031" s="888"/>
      <c r="J2031" s="888"/>
      <c r="K2031" s="888"/>
      <c r="L2031" s="888"/>
      <c r="M2031" s="888"/>
      <c r="N2031" s="888"/>
      <c r="O2031" s="888"/>
      <c r="P2031" s="888"/>
      <c r="Q2031" s="888"/>
      <c r="R2031" s="888"/>
    </row>
    <row r="2032" spans="1:18" s="893" customFormat="1" x14ac:dyDescent="0.3">
      <c r="A2032" s="888" t="s">
        <v>2062</v>
      </c>
      <c r="B2032" s="888" t="s">
        <v>1954</v>
      </c>
      <c r="C2032" s="888" t="s">
        <v>5205</v>
      </c>
      <c r="D2032" s="888"/>
      <c r="E2032" s="893" t="str">
        <f>$E$2028</f>
        <v>Tarkett</v>
      </c>
      <c r="I2032" s="888"/>
      <c r="J2032" s="888"/>
      <c r="K2032" s="888"/>
      <c r="L2032" s="888"/>
      <c r="M2032" s="888"/>
      <c r="N2032" s="888"/>
      <c r="O2032" s="888"/>
      <c r="P2032" s="888"/>
      <c r="Q2032" s="888"/>
      <c r="R2032" s="888"/>
    </row>
    <row r="2033" spans="1:18" s="893" customFormat="1" x14ac:dyDescent="0.3">
      <c r="A2033" s="888" t="s">
        <v>2062</v>
      </c>
      <c r="B2033" s="888" t="s">
        <v>1954</v>
      </c>
      <c r="C2033" s="888" t="s">
        <v>5206</v>
      </c>
      <c r="D2033" s="888"/>
      <c r="E2033" s="893" t="s">
        <v>4324</v>
      </c>
      <c r="I2033" s="888"/>
      <c r="J2033" s="888"/>
      <c r="K2033" s="888"/>
      <c r="L2033" s="888"/>
      <c r="M2033" s="888"/>
      <c r="N2033" s="888"/>
      <c r="O2033" s="888"/>
      <c r="P2033" s="888"/>
      <c r="Q2033" s="888"/>
      <c r="R2033" s="888"/>
    </row>
    <row r="2034" spans="1:18" s="893" customFormat="1" x14ac:dyDescent="0.3">
      <c r="A2034" s="888" t="s">
        <v>2062</v>
      </c>
      <c r="B2034" s="888" t="s">
        <v>1954</v>
      </c>
      <c r="C2034" s="888" t="s">
        <v>5207</v>
      </c>
      <c r="D2034" s="888"/>
      <c r="E2034" s="893" t="s">
        <v>453</v>
      </c>
      <c r="I2034" s="888"/>
      <c r="J2034" s="888"/>
      <c r="K2034" s="888"/>
      <c r="L2034" s="888"/>
      <c r="M2034" s="888"/>
      <c r="N2034" s="888"/>
      <c r="O2034" s="888"/>
      <c r="P2034" s="888"/>
      <c r="Q2034" s="888"/>
      <c r="R2034" s="888"/>
    </row>
    <row r="2035" spans="1:18" s="893" customFormat="1" x14ac:dyDescent="0.3">
      <c r="A2035" s="888" t="s">
        <v>2062</v>
      </c>
      <c r="B2035" s="888" t="s">
        <v>1954</v>
      </c>
      <c r="C2035" s="888" t="s">
        <v>2349</v>
      </c>
      <c r="D2035" s="888"/>
      <c r="E2035" s="893" t="str">
        <f>$E$2027</f>
        <v>Linoleum flooring</v>
      </c>
      <c r="I2035" s="888"/>
      <c r="J2035" s="888"/>
      <c r="K2035" s="888"/>
      <c r="L2035" s="888"/>
      <c r="M2035" s="888"/>
      <c r="N2035" s="888"/>
      <c r="O2035" s="888"/>
      <c r="P2035" s="888"/>
      <c r="Q2035" s="888"/>
      <c r="R2035" s="888"/>
    </row>
    <row r="2036" spans="1:18" s="893" customFormat="1" x14ac:dyDescent="0.3">
      <c r="A2036" s="888" t="s">
        <v>2062</v>
      </c>
      <c r="B2036" s="888" t="s">
        <v>1954</v>
      </c>
      <c r="C2036" s="888" t="s">
        <v>2690</v>
      </c>
      <c r="D2036" s="888"/>
      <c r="E2036" s="893" t="str">
        <f>$E$2028</f>
        <v>Tarkett</v>
      </c>
      <c r="I2036" s="888"/>
      <c r="J2036" s="888"/>
      <c r="K2036" s="888"/>
      <c r="L2036" s="888"/>
      <c r="M2036" s="888"/>
      <c r="N2036" s="888"/>
      <c r="O2036" s="888"/>
      <c r="P2036" s="888"/>
      <c r="Q2036" s="888"/>
      <c r="R2036" s="888"/>
    </row>
    <row r="2037" spans="1:18" s="893" customFormat="1" x14ac:dyDescent="0.3">
      <c r="A2037" s="888" t="s">
        <v>2062</v>
      </c>
      <c r="B2037" s="888" t="s">
        <v>1954</v>
      </c>
      <c r="C2037" s="888" t="s">
        <v>3842</v>
      </c>
      <c r="D2037" s="888"/>
      <c r="E2037" s="893" t="s">
        <v>4326</v>
      </c>
      <c r="I2037" s="888"/>
      <c r="J2037" s="888"/>
      <c r="K2037" s="888"/>
      <c r="L2037" s="888"/>
      <c r="M2037" s="888"/>
      <c r="N2037" s="888"/>
      <c r="O2037" s="888"/>
      <c r="P2037" s="888"/>
      <c r="Q2037" s="888"/>
      <c r="R2037" s="888"/>
    </row>
    <row r="2038" spans="1:18" s="893" customFormat="1" x14ac:dyDescent="0.3">
      <c r="A2038" s="888" t="s">
        <v>2062</v>
      </c>
      <c r="B2038" s="888" t="s">
        <v>1954</v>
      </c>
      <c r="C2038" s="888" t="s">
        <v>2691</v>
      </c>
      <c r="D2038" s="888"/>
      <c r="E2038" s="893" t="s">
        <v>4327</v>
      </c>
      <c r="I2038" s="888"/>
      <c r="J2038" s="888"/>
      <c r="K2038" s="888"/>
      <c r="L2038" s="888"/>
      <c r="M2038" s="888"/>
      <c r="N2038" s="888"/>
      <c r="O2038" s="888"/>
      <c r="P2038" s="888"/>
      <c r="Q2038" s="888"/>
      <c r="R2038" s="888"/>
    </row>
    <row r="2039" spans="1:18" s="893" customFormat="1" x14ac:dyDescent="0.3">
      <c r="A2039" s="888" t="s">
        <v>2062</v>
      </c>
      <c r="B2039" s="888" t="s">
        <v>1954</v>
      </c>
      <c r="C2039" s="888" t="s">
        <v>2692</v>
      </c>
      <c r="D2039" s="888"/>
      <c r="E2039" s="893" t="str">
        <f>$E$2027</f>
        <v>Linoleum flooring</v>
      </c>
      <c r="I2039" s="888"/>
      <c r="J2039" s="888"/>
      <c r="K2039" s="888"/>
      <c r="L2039" s="888"/>
      <c r="M2039" s="888"/>
      <c r="N2039" s="888"/>
      <c r="O2039" s="888"/>
      <c r="P2039" s="888"/>
      <c r="Q2039" s="888"/>
      <c r="R2039" s="888"/>
    </row>
    <row r="2040" spans="1:18" s="893" customFormat="1" x14ac:dyDescent="0.3">
      <c r="A2040" s="888" t="s">
        <v>2062</v>
      </c>
      <c r="B2040" s="888" t="s">
        <v>1954</v>
      </c>
      <c r="C2040" s="888" t="s">
        <v>2350</v>
      </c>
      <c r="D2040" s="888"/>
      <c r="E2040" s="893" t="s">
        <v>3303</v>
      </c>
      <c r="I2040" s="888"/>
      <c r="J2040" s="888"/>
      <c r="K2040" s="888"/>
      <c r="L2040" s="888"/>
      <c r="M2040" s="888"/>
      <c r="N2040" s="888"/>
      <c r="O2040" s="888"/>
      <c r="P2040" s="888"/>
      <c r="Q2040" s="888"/>
      <c r="R2040" s="888"/>
    </row>
    <row r="2041" spans="1:18" s="893" customFormat="1" x14ac:dyDescent="0.3">
      <c r="A2041" s="888" t="s">
        <v>2062</v>
      </c>
      <c r="B2041" s="888" t="s">
        <v>1954</v>
      </c>
      <c r="C2041" s="888" t="s">
        <v>3843</v>
      </c>
      <c r="D2041" s="888"/>
      <c r="E2041" s="893" t="s">
        <v>457</v>
      </c>
      <c r="I2041" s="888"/>
      <c r="J2041" s="888"/>
      <c r="K2041" s="888"/>
      <c r="L2041" s="888"/>
      <c r="M2041" s="888"/>
      <c r="N2041" s="888"/>
      <c r="O2041" s="888"/>
      <c r="P2041" s="888"/>
      <c r="Q2041" s="888"/>
      <c r="R2041" s="888"/>
    </row>
    <row r="2042" spans="1:18" s="893" customFormat="1" x14ac:dyDescent="0.3">
      <c r="A2042" s="888" t="s">
        <v>2062</v>
      </c>
      <c r="B2042" s="888" t="s">
        <v>1954</v>
      </c>
      <c r="C2042" s="888" t="s">
        <v>2693</v>
      </c>
      <c r="D2042" s="888"/>
      <c r="E2042" s="893" t="str">
        <f>$E$2034</f>
        <v>2.5 mm sheet style linoleum</v>
      </c>
      <c r="I2042" s="888"/>
      <c r="J2042" s="888"/>
      <c r="K2042" s="888"/>
      <c r="L2042" s="888"/>
      <c r="M2042" s="888"/>
      <c r="N2042" s="888"/>
      <c r="O2042" s="888"/>
      <c r="P2042" s="888"/>
      <c r="Q2042" s="888"/>
      <c r="R2042" s="888"/>
    </row>
    <row r="2043" spans="1:18" s="893" customFormat="1" x14ac:dyDescent="0.3">
      <c r="A2043" s="888" t="s">
        <v>2062</v>
      </c>
      <c r="B2043" s="888" t="s">
        <v>1954</v>
      </c>
      <c r="C2043" s="888" t="s">
        <v>2694</v>
      </c>
      <c r="D2043" s="888"/>
      <c r="E2043" s="893" t="str">
        <f>$E$2027</f>
        <v>Linoleum flooring</v>
      </c>
      <c r="I2043" s="888"/>
      <c r="J2043" s="888"/>
      <c r="K2043" s="888"/>
      <c r="L2043" s="888"/>
      <c r="M2043" s="888"/>
      <c r="N2043" s="888"/>
      <c r="O2043" s="888"/>
      <c r="P2043" s="888"/>
      <c r="Q2043" s="888"/>
      <c r="R2043" s="888"/>
    </row>
    <row r="2044" spans="1:18" s="893" customFormat="1" x14ac:dyDescent="0.3">
      <c r="A2044" s="888" t="s">
        <v>2062</v>
      </c>
      <c r="B2044" s="888" t="s">
        <v>1954</v>
      </c>
      <c r="C2044" s="888" t="s">
        <v>2695</v>
      </c>
      <c r="D2044" s="888"/>
      <c r="E2044" s="893" t="s">
        <v>459</v>
      </c>
      <c r="I2044" s="888"/>
      <c r="J2044" s="888"/>
      <c r="K2044" s="888"/>
      <c r="L2044" s="888"/>
      <c r="M2044" s="888"/>
      <c r="N2044" s="888"/>
      <c r="O2044" s="888"/>
      <c r="P2044" s="888"/>
      <c r="Q2044" s="888"/>
      <c r="R2044" s="888"/>
    </row>
    <row r="2045" spans="1:18" s="893" customFormat="1" x14ac:dyDescent="0.3">
      <c r="A2045" s="888" t="s">
        <v>2062</v>
      </c>
      <c r="B2045" s="888" t="s">
        <v>1954</v>
      </c>
      <c r="C2045" s="888" t="s">
        <v>3844</v>
      </c>
      <c r="D2045" s="888"/>
      <c r="E2045" s="893" t="s">
        <v>3499</v>
      </c>
      <c r="I2045" s="888"/>
      <c r="J2045" s="888"/>
      <c r="K2045" s="888"/>
      <c r="L2045" s="888"/>
      <c r="M2045" s="888"/>
      <c r="N2045" s="888"/>
      <c r="O2045" s="888"/>
      <c r="P2045" s="888"/>
      <c r="Q2045" s="888"/>
      <c r="R2045" s="888"/>
    </row>
    <row r="2046" spans="1:18" s="893" customFormat="1" x14ac:dyDescent="0.3">
      <c r="A2046" s="888" t="s">
        <v>2062</v>
      </c>
      <c r="B2046" s="888" t="s">
        <v>1954</v>
      </c>
      <c r="C2046" s="888" t="s">
        <v>2696</v>
      </c>
      <c r="D2046" s="888"/>
      <c r="E2046" s="893" t="s">
        <v>461</v>
      </c>
      <c r="I2046" s="888"/>
      <c r="J2046" s="888"/>
      <c r="K2046" s="888"/>
      <c r="L2046" s="888"/>
      <c r="M2046" s="888"/>
      <c r="N2046" s="888"/>
      <c r="O2046" s="888"/>
      <c r="P2046" s="888"/>
      <c r="Q2046" s="888"/>
      <c r="R2046" s="888"/>
    </row>
    <row r="2047" spans="1:18" s="893" customFormat="1" x14ac:dyDescent="0.3">
      <c r="A2047" s="888" t="s">
        <v>2062</v>
      </c>
      <c r="B2047" s="888" t="s">
        <v>1954</v>
      </c>
      <c r="C2047" s="888" t="s">
        <v>2351</v>
      </c>
      <c r="D2047" s="888"/>
      <c r="E2047" s="893" t="s">
        <v>468</v>
      </c>
      <c r="I2047" s="888"/>
      <c r="J2047" s="888"/>
      <c r="K2047" s="888"/>
      <c r="L2047" s="888"/>
      <c r="M2047" s="888"/>
      <c r="N2047" s="888"/>
      <c r="O2047" s="888"/>
      <c r="P2047" s="888"/>
      <c r="Q2047" s="888"/>
      <c r="R2047" s="888"/>
    </row>
    <row r="2048" spans="1:18" s="893" customFormat="1" x14ac:dyDescent="0.3">
      <c r="A2048" s="888" t="s">
        <v>2062</v>
      </c>
      <c r="B2048" s="888" t="s">
        <v>1954</v>
      </c>
      <c r="C2048" s="888" t="s">
        <v>2697</v>
      </c>
      <c r="D2048" s="888"/>
      <c r="E2048" s="893" t="s">
        <v>469</v>
      </c>
      <c r="I2048" s="888"/>
      <c r="J2048" s="888"/>
      <c r="K2048" s="888"/>
      <c r="L2048" s="888"/>
      <c r="M2048" s="888"/>
      <c r="N2048" s="888"/>
      <c r="O2048" s="888"/>
      <c r="P2048" s="888"/>
      <c r="Q2048" s="888"/>
      <c r="R2048" s="888"/>
    </row>
    <row r="2049" spans="1:18" s="893" customFormat="1" x14ac:dyDescent="0.3">
      <c r="A2049" s="888" t="s">
        <v>2062</v>
      </c>
      <c r="B2049" s="888" t="s">
        <v>1954</v>
      </c>
      <c r="C2049" s="888" t="s">
        <v>3845</v>
      </c>
      <c r="D2049" s="888"/>
      <c r="E2049" s="893" t="s">
        <v>470</v>
      </c>
      <c r="I2049" s="888"/>
      <c r="J2049" s="888"/>
      <c r="K2049" s="888"/>
      <c r="L2049" s="888"/>
      <c r="M2049" s="888"/>
      <c r="N2049" s="888"/>
      <c r="O2049" s="888"/>
      <c r="P2049" s="888"/>
      <c r="Q2049" s="888"/>
      <c r="R2049" s="888"/>
    </row>
    <row r="2050" spans="1:18" s="893" customFormat="1" x14ac:dyDescent="0.3">
      <c r="A2050" s="888" t="s">
        <v>2062</v>
      </c>
      <c r="B2050" s="888" t="s">
        <v>1954</v>
      </c>
      <c r="C2050" s="888" t="s">
        <v>2698</v>
      </c>
      <c r="D2050" s="888"/>
      <c r="E2050" s="893" t="s">
        <v>997</v>
      </c>
      <c r="I2050" s="888"/>
      <c r="J2050" s="888"/>
      <c r="K2050" s="888"/>
      <c r="L2050" s="888"/>
      <c r="M2050" s="888"/>
      <c r="N2050" s="888"/>
      <c r="O2050" s="888"/>
      <c r="P2050" s="888"/>
      <c r="Q2050" s="888"/>
      <c r="R2050" s="888"/>
    </row>
    <row r="2051" spans="1:18" s="893" customFormat="1" x14ac:dyDescent="0.3">
      <c r="A2051" s="888" t="s">
        <v>2062</v>
      </c>
      <c r="B2051" s="888" t="s">
        <v>1954</v>
      </c>
      <c r="C2051" s="888" t="s">
        <v>2352</v>
      </c>
      <c r="D2051" s="888"/>
      <c r="E2051" s="893" t="s">
        <v>999</v>
      </c>
      <c r="I2051" s="888"/>
      <c r="J2051" s="888"/>
      <c r="K2051" s="888"/>
      <c r="L2051" s="888"/>
      <c r="M2051" s="888"/>
      <c r="N2051" s="888"/>
      <c r="O2051" s="888"/>
      <c r="P2051" s="888"/>
      <c r="Q2051" s="888"/>
      <c r="R2051" s="888"/>
    </row>
    <row r="2052" spans="1:18" s="893" customFormat="1" x14ac:dyDescent="0.3">
      <c r="A2052" s="888" t="s">
        <v>2062</v>
      </c>
      <c r="B2052" s="888" t="s">
        <v>1954</v>
      </c>
      <c r="C2052" s="888" t="s">
        <v>3846</v>
      </c>
      <c r="D2052" s="888"/>
      <c r="E2052" s="893" t="s">
        <v>998</v>
      </c>
      <c r="I2052" s="888"/>
      <c r="J2052" s="888"/>
      <c r="K2052" s="888"/>
      <c r="L2052" s="888"/>
      <c r="M2052" s="888"/>
      <c r="N2052" s="888"/>
      <c r="O2052" s="888"/>
      <c r="P2052" s="888"/>
      <c r="Q2052" s="888"/>
      <c r="R2052" s="888"/>
    </row>
    <row r="2053" spans="1:18" s="893" customFormat="1" x14ac:dyDescent="0.3">
      <c r="A2053" s="888" t="s">
        <v>2062</v>
      </c>
      <c r="B2053" s="888" t="s">
        <v>1954</v>
      </c>
      <c r="C2053" s="888" t="s">
        <v>2699</v>
      </c>
      <c r="D2053" s="888"/>
      <c r="E2053" s="893" t="s">
        <v>472</v>
      </c>
      <c r="I2053" s="888"/>
      <c r="J2053" s="888"/>
      <c r="K2053" s="888"/>
      <c r="L2053" s="888"/>
      <c r="M2053" s="888"/>
      <c r="N2053" s="888"/>
      <c r="O2053" s="888"/>
      <c r="P2053" s="888"/>
      <c r="Q2053" s="888"/>
      <c r="R2053" s="888"/>
    </row>
    <row r="2054" spans="1:18" s="893" customFormat="1" x14ac:dyDescent="0.3">
      <c r="A2054" s="888" t="s">
        <v>2062</v>
      </c>
      <c r="B2054" s="888" t="s">
        <v>1954</v>
      </c>
      <c r="C2054" s="888" t="s">
        <v>3847</v>
      </c>
      <c r="D2054" s="888"/>
      <c r="E2054" s="893" t="s">
        <v>3308</v>
      </c>
      <c r="I2054" s="888"/>
      <c r="J2054" s="888"/>
      <c r="K2054" s="888"/>
      <c r="L2054" s="888"/>
      <c r="M2054" s="888"/>
      <c r="N2054" s="888"/>
      <c r="O2054" s="888"/>
      <c r="P2054" s="888"/>
      <c r="Q2054" s="888"/>
      <c r="R2054" s="888"/>
    </row>
    <row r="2055" spans="1:18" s="893" customFormat="1" x14ac:dyDescent="0.3">
      <c r="A2055" s="888" t="s">
        <v>2062</v>
      </c>
      <c r="B2055" s="888" t="s">
        <v>1954</v>
      </c>
      <c r="C2055" s="888" t="s">
        <v>2700</v>
      </c>
      <c r="D2055" s="888"/>
      <c r="E2055" s="893" t="s">
        <v>473</v>
      </c>
      <c r="I2055" s="888"/>
      <c r="J2055" s="888"/>
      <c r="K2055" s="888"/>
      <c r="L2055" s="888"/>
      <c r="M2055" s="888"/>
      <c r="N2055" s="888"/>
      <c r="O2055" s="888"/>
      <c r="P2055" s="888"/>
      <c r="Q2055" s="888"/>
      <c r="R2055" s="888"/>
    </row>
    <row r="2056" spans="1:18" s="893" customFormat="1" x14ac:dyDescent="0.3">
      <c r="A2056" s="888" t="s">
        <v>2062</v>
      </c>
      <c r="B2056" s="888" t="s">
        <v>1954</v>
      </c>
      <c r="C2056" s="888" t="s">
        <v>2701</v>
      </c>
      <c r="D2056" s="888"/>
      <c r="E2056" s="893" t="s">
        <v>474</v>
      </c>
      <c r="I2056" s="888"/>
      <c r="J2056" s="888"/>
      <c r="K2056" s="888"/>
      <c r="L2056" s="888"/>
      <c r="M2056" s="888"/>
      <c r="N2056" s="888"/>
      <c r="O2056" s="888"/>
      <c r="P2056" s="888"/>
      <c r="Q2056" s="888"/>
      <c r="R2056" s="888"/>
    </row>
    <row r="2057" spans="1:18" s="893" customFormat="1" x14ac:dyDescent="0.3">
      <c r="A2057" s="888" t="s">
        <v>2062</v>
      </c>
      <c r="B2057" s="888" t="s">
        <v>1954</v>
      </c>
      <c r="C2057" s="888" t="s">
        <v>2702</v>
      </c>
      <c r="D2057" s="888"/>
      <c r="E2057" s="893" t="str">
        <f>$E$2053</f>
        <v>Metal Panels - Aluminum</v>
      </c>
      <c r="I2057" s="888"/>
      <c r="J2057" s="888"/>
      <c r="K2057" s="888"/>
      <c r="L2057" s="888"/>
      <c r="M2057" s="888"/>
      <c r="N2057" s="888"/>
      <c r="O2057" s="888"/>
      <c r="P2057" s="888"/>
      <c r="Q2057" s="888"/>
      <c r="R2057" s="888"/>
    </row>
    <row r="2058" spans="1:18" s="893" customFormat="1" x14ac:dyDescent="0.3">
      <c r="A2058" s="888" t="s">
        <v>2062</v>
      </c>
      <c r="B2058" s="888" t="s">
        <v>1954</v>
      </c>
      <c r="C2058" s="888" t="s">
        <v>2703</v>
      </c>
      <c r="D2058" s="888"/>
      <c r="E2058" s="893" t="s">
        <v>476</v>
      </c>
      <c r="I2058" s="888"/>
      <c r="J2058" s="888"/>
      <c r="K2058" s="888"/>
      <c r="L2058" s="888"/>
      <c r="M2058" s="888"/>
      <c r="N2058" s="888"/>
      <c r="O2058" s="888"/>
      <c r="P2058" s="888"/>
      <c r="Q2058" s="888"/>
      <c r="R2058" s="888"/>
    </row>
    <row r="2059" spans="1:18" s="893" customFormat="1" x14ac:dyDescent="0.3">
      <c r="A2059" s="888" t="s">
        <v>2062</v>
      </c>
      <c r="B2059" s="888" t="s">
        <v>1954</v>
      </c>
      <c r="C2059" s="888" t="s">
        <v>5208</v>
      </c>
      <c r="D2059" s="888"/>
      <c r="E2059" s="893" t="s">
        <v>4329</v>
      </c>
      <c r="I2059" s="888"/>
      <c r="J2059" s="888"/>
      <c r="K2059" s="888"/>
      <c r="L2059" s="888"/>
      <c r="M2059" s="888"/>
      <c r="N2059" s="888"/>
      <c r="O2059" s="888"/>
      <c r="P2059" s="888"/>
      <c r="Q2059" s="888"/>
      <c r="R2059" s="888"/>
    </row>
    <row r="2060" spans="1:18" s="893" customFormat="1" x14ac:dyDescent="0.3">
      <c r="A2060" s="888" t="s">
        <v>2062</v>
      </c>
      <c r="B2060" s="888" t="s">
        <v>1954</v>
      </c>
      <c r="C2060" s="888" t="s">
        <v>3848</v>
      </c>
      <c r="D2060" s="888"/>
      <c r="E2060" s="893" t="s">
        <v>4330</v>
      </c>
      <c r="I2060" s="888"/>
      <c r="J2060" s="888"/>
      <c r="K2060" s="888"/>
      <c r="L2060" s="888"/>
      <c r="M2060" s="888"/>
      <c r="N2060" s="888"/>
      <c r="O2060" s="888"/>
      <c r="P2060" s="888"/>
      <c r="Q2060" s="888"/>
      <c r="R2060" s="888"/>
    </row>
    <row r="2061" spans="1:18" s="893" customFormat="1" x14ac:dyDescent="0.3">
      <c r="A2061" s="888" t="s">
        <v>2062</v>
      </c>
      <c r="B2061" s="888" t="s">
        <v>1954</v>
      </c>
      <c r="C2061" s="888" t="s">
        <v>2704</v>
      </c>
      <c r="D2061" s="888"/>
      <c r="E2061" s="893" t="s">
        <v>479</v>
      </c>
      <c r="I2061" s="888"/>
      <c r="J2061" s="888"/>
      <c r="K2061" s="888"/>
      <c r="L2061" s="888"/>
      <c r="M2061" s="888"/>
      <c r="N2061" s="888"/>
      <c r="O2061" s="888"/>
      <c r="P2061" s="888"/>
      <c r="Q2061" s="888"/>
      <c r="R2061" s="888"/>
    </row>
    <row r="2062" spans="1:18" s="893" customFormat="1" x14ac:dyDescent="0.3">
      <c r="A2062" s="888" t="s">
        <v>2062</v>
      </c>
      <c r="B2062" s="888" t="s">
        <v>1954</v>
      </c>
      <c r="C2062" s="888" t="s">
        <v>2705</v>
      </c>
      <c r="D2062" s="888"/>
      <c r="E2062" s="893" t="s">
        <v>480</v>
      </c>
      <c r="I2062" s="888"/>
      <c r="J2062" s="888"/>
      <c r="K2062" s="888"/>
      <c r="L2062" s="888"/>
      <c r="M2062" s="888"/>
      <c r="N2062" s="888"/>
      <c r="O2062" s="888"/>
      <c r="P2062" s="888"/>
      <c r="Q2062" s="888"/>
      <c r="R2062" s="888"/>
    </row>
    <row r="2063" spans="1:18" s="893" customFormat="1" x14ac:dyDescent="0.3">
      <c r="A2063" s="888" t="s">
        <v>2062</v>
      </c>
      <c r="B2063" s="888" t="s">
        <v>1954</v>
      </c>
      <c r="C2063" s="888" t="s">
        <v>5209</v>
      </c>
      <c r="D2063" s="888"/>
      <c r="E2063" s="893" t="s">
        <v>4333</v>
      </c>
      <c r="I2063" s="888"/>
      <c r="J2063" s="888"/>
      <c r="K2063" s="888"/>
      <c r="L2063" s="888"/>
      <c r="M2063" s="888"/>
      <c r="N2063" s="888"/>
      <c r="O2063" s="888"/>
      <c r="P2063" s="888"/>
      <c r="Q2063" s="888"/>
      <c r="R2063" s="888"/>
    </row>
    <row r="2064" spans="1:18" s="893" customFormat="1" x14ac:dyDescent="0.3">
      <c r="A2064" s="888" t="s">
        <v>2062</v>
      </c>
      <c r="B2064" s="888" t="s">
        <v>1954</v>
      </c>
      <c r="C2064" s="888" t="s">
        <v>2706</v>
      </c>
      <c r="D2064" s="888"/>
      <c r="E2064" s="893" t="s">
        <v>482</v>
      </c>
      <c r="I2064" s="888"/>
      <c r="J2064" s="888"/>
      <c r="K2064" s="888"/>
      <c r="L2064" s="888"/>
      <c r="M2064" s="888"/>
      <c r="N2064" s="888"/>
      <c r="O2064" s="888"/>
      <c r="P2064" s="888"/>
      <c r="Q2064" s="888"/>
      <c r="R2064" s="888"/>
    </row>
    <row r="2065" spans="1:18" s="893" customFormat="1" x14ac:dyDescent="0.3">
      <c r="A2065" s="888" t="s">
        <v>2062</v>
      </c>
      <c r="B2065" s="888" t="s">
        <v>1954</v>
      </c>
      <c r="C2065" s="888" t="s">
        <v>2353</v>
      </c>
      <c r="D2065" s="888"/>
      <c r="E2065" s="893" t="str">
        <f>$E$2061</f>
        <v>Metal Panels - Steel</v>
      </c>
      <c r="I2065" s="888"/>
      <c r="J2065" s="888"/>
      <c r="K2065" s="888"/>
      <c r="L2065" s="888"/>
      <c r="M2065" s="888"/>
      <c r="N2065" s="888"/>
      <c r="O2065" s="888"/>
      <c r="P2065" s="888"/>
      <c r="Q2065" s="888"/>
      <c r="R2065" s="888"/>
    </row>
    <row r="2066" spans="1:18" s="893" customFormat="1" x14ac:dyDescent="0.3">
      <c r="A2066" s="888" t="s">
        <v>2062</v>
      </c>
      <c r="B2066" s="888" t="s">
        <v>1954</v>
      </c>
      <c r="C2066" s="888" t="s">
        <v>2707</v>
      </c>
      <c r="D2066" s="888"/>
      <c r="E2066" s="893" t="s">
        <v>484</v>
      </c>
      <c r="I2066" s="888"/>
      <c r="J2066" s="888"/>
      <c r="K2066" s="888"/>
      <c r="L2066" s="888"/>
      <c r="M2066" s="888"/>
      <c r="N2066" s="888"/>
      <c r="O2066" s="888"/>
      <c r="P2066" s="888"/>
      <c r="Q2066" s="888"/>
      <c r="R2066" s="888"/>
    </row>
    <row r="2067" spans="1:18" s="893" customFormat="1" x14ac:dyDescent="0.3">
      <c r="A2067" s="888" t="s">
        <v>2062</v>
      </c>
      <c r="B2067" s="888" t="s">
        <v>1954</v>
      </c>
      <c r="C2067" s="888" t="s">
        <v>2708</v>
      </c>
      <c r="D2067" s="888"/>
      <c r="E2067" s="893" t="s">
        <v>4336</v>
      </c>
      <c r="I2067" s="888"/>
      <c r="J2067" s="888"/>
      <c r="K2067" s="888"/>
      <c r="L2067" s="888"/>
      <c r="M2067" s="888"/>
      <c r="N2067" s="888"/>
      <c r="O2067" s="888"/>
      <c r="P2067" s="888"/>
      <c r="Q2067" s="888"/>
      <c r="R2067" s="888"/>
    </row>
    <row r="2068" spans="1:18" s="893" customFormat="1" x14ac:dyDescent="0.3">
      <c r="A2068" s="888" t="s">
        <v>2062</v>
      </c>
      <c r="B2068" s="888" t="s">
        <v>1954</v>
      </c>
      <c r="C2068" s="888" t="s">
        <v>3849</v>
      </c>
      <c r="D2068" s="888"/>
      <c r="E2068" s="893" t="str">
        <f>$E$2064</f>
        <v>24 gauge</v>
      </c>
      <c r="I2068" s="888"/>
      <c r="J2068" s="888"/>
      <c r="K2068" s="888"/>
      <c r="L2068" s="888"/>
      <c r="M2068" s="888"/>
      <c r="N2068" s="888"/>
      <c r="O2068" s="888"/>
      <c r="P2068" s="888"/>
      <c r="Q2068" s="888"/>
      <c r="R2068" s="888"/>
    </row>
    <row r="2069" spans="1:18" s="893" customFormat="1" x14ac:dyDescent="0.3">
      <c r="A2069" s="888" t="s">
        <v>2062</v>
      </c>
      <c r="B2069" s="888" t="s">
        <v>1954</v>
      </c>
      <c r="C2069" s="888" t="s">
        <v>2709</v>
      </c>
      <c r="D2069" s="888"/>
      <c r="E2069" s="893" t="str">
        <f>$E$2061</f>
        <v>Metal Panels - Steel</v>
      </c>
      <c r="I2069" s="888"/>
      <c r="J2069" s="888"/>
      <c r="K2069" s="888"/>
      <c r="L2069" s="888"/>
      <c r="M2069" s="888"/>
      <c r="N2069" s="888"/>
      <c r="O2069" s="888"/>
      <c r="P2069" s="888"/>
      <c r="Q2069" s="888"/>
      <c r="R2069" s="888"/>
    </row>
    <row r="2070" spans="1:18" s="893" customFormat="1" x14ac:dyDescent="0.3">
      <c r="A2070" s="888" t="s">
        <v>2062</v>
      </c>
      <c r="B2070" s="888" t="s">
        <v>1954</v>
      </c>
      <c r="C2070" s="888" t="s">
        <v>2710</v>
      </c>
      <c r="D2070" s="888"/>
      <c r="E2070" s="893" t="s">
        <v>486</v>
      </c>
      <c r="I2070" s="888"/>
      <c r="J2070" s="888"/>
      <c r="K2070" s="888"/>
      <c r="L2070" s="888"/>
      <c r="M2070" s="888"/>
      <c r="N2070" s="888"/>
      <c r="O2070" s="888"/>
      <c r="P2070" s="888"/>
      <c r="Q2070" s="888"/>
      <c r="R2070" s="888"/>
    </row>
    <row r="2071" spans="1:18" s="893" customFormat="1" x14ac:dyDescent="0.3">
      <c r="A2071" s="888" t="s">
        <v>2062</v>
      </c>
      <c r="B2071" s="888" t="s">
        <v>1954</v>
      </c>
      <c r="C2071" s="888" t="s">
        <v>5210</v>
      </c>
      <c r="D2071" s="888"/>
      <c r="E2071" s="893" t="s">
        <v>487</v>
      </c>
      <c r="I2071" s="888"/>
      <c r="J2071" s="888"/>
      <c r="K2071" s="888"/>
      <c r="L2071" s="888"/>
      <c r="M2071" s="888"/>
      <c r="N2071" s="888"/>
      <c r="O2071" s="888"/>
      <c r="P2071" s="888"/>
      <c r="Q2071" s="888"/>
      <c r="R2071" s="888"/>
    </row>
    <row r="2072" spans="1:18" s="893" customFormat="1" x14ac:dyDescent="0.3">
      <c r="A2072" s="888" t="s">
        <v>2062</v>
      </c>
      <c r="B2072" s="888" t="s">
        <v>1954</v>
      </c>
      <c r="C2072" s="888" t="s">
        <v>3850</v>
      </c>
      <c r="D2072" s="888"/>
      <c r="E2072" s="893" t="str">
        <f>$E$2064</f>
        <v>24 gauge</v>
      </c>
      <c r="I2072" s="888"/>
      <c r="J2072" s="888"/>
      <c r="K2072" s="888"/>
      <c r="L2072" s="888"/>
      <c r="M2072" s="888"/>
      <c r="N2072" s="888"/>
      <c r="O2072" s="888"/>
      <c r="P2072" s="888"/>
      <c r="Q2072" s="888"/>
      <c r="R2072" s="888"/>
    </row>
    <row r="2073" spans="1:18" s="893" customFormat="1" x14ac:dyDescent="0.3">
      <c r="A2073" s="888" t="s">
        <v>2062</v>
      </c>
      <c r="B2073" s="888" t="s">
        <v>1954</v>
      </c>
      <c r="C2073" s="888" t="s">
        <v>2711</v>
      </c>
      <c r="D2073" s="888"/>
      <c r="E2073" s="893" t="str">
        <f>$E$2061</f>
        <v>Metal Panels - Steel</v>
      </c>
      <c r="I2073" s="888"/>
      <c r="J2073" s="888"/>
      <c r="K2073" s="888"/>
      <c r="L2073" s="888"/>
      <c r="M2073" s="888"/>
      <c r="N2073" s="888"/>
      <c r="O2073" s="888"/>
      <c r="P2073" s="888"/>
      <c r="Q2073" s="888"/>
      <c r="R2073" s="888"/>
    </row>
    <row r="2074" spans="1:18" s="893" customFormat="1" x14ac:dyDescent="0.3">
      <c r="A2074" s="888" t="s">
        <v>2062</v>
      </c>
      <c r="B2074" s="888" t="s">
        <v>1954</v>
      </c>
      <c r="C2074" s="888" t="s">
        <v>2712</v>
      </c>
      <c r="D2074" s="888"/>
      <c r="E2074" s="893" t="s">
        <v>490</v>
      </c>
      <c r="I2074" s="888"/>
      <c r="J2074" s="888"/>
      <c r="K2074" s="888"/>
      <c r="L2074" s="888"/>
      <c r="M2074" s="888"/>
      <c r="N2074" s="888"/>
      <c r="O2074" s="888"/>
      <c r="P2074" s="888"/>
      <c r="Q2074" s="888"/>
      <c r="R2074" s="888"/>
    </row>
    <row r="2075" spans="1:18" s="893" customFormat="1" x14ac:dyDescent="0.3">
      <c r="A2075" s="888" t="s">
        <v>2062</v>
      </c>
      <c r="B2075" s="888" t="s">
        <v>1954</v>
      </c>
      <c r="C2075" s="888" t="s">
        <v>5211</v>
      </c>
      <c r="D2075" s="888"/>
      <c r="E2075" s="893" t="s">
        <v>4339</v>
      </c>
      <c r="I2075" s="888"/>
      <c r="J2075" s="888"/>
      <c r="K2075" s="888"/>
      <c r="L2075" s="888"/>
      <c r="M2075" s="888"/>
      <c r="N2075" s="888"/>
      <c r="O2075" s="888"/>
      <c r="P2075" s="888"/>
      <c r="Q2075" s="888"/>
      <c r="R2075" s="888"/>
    </row>
    <row r="2076" spans="1:18" s="893" customFormat="1" x14ac:dyDescent="0.3">
      <c r="A2076" s="888" t="s">
        <v>2062</v>
      </c>
      <c r="B2076" s="888" t="s">
        <v>1954</v>
      </c>
      <c r="C2076" s="888" t="s">
        <v>3851</v>
      </c>
      <c r="D2076" s="888"/>
      <c r="E2076" s="893" t="str">
        <f>$E$2064</f>
        <v>24 gauge</v>
      </c>
      <c r="I2076" s="888"/>
      <c r="J2076" s="888"/>
      <c r="K2076" s="888"/>
      <c r="L2076" s="888"/>
      <c r="M2076" s="888"/>
      <c r="N2076" s="888"/>
      <c r="O2076" s="888"/>
      <c r="P2076" s="888"/>
      <c r="Q2076" s="888"/>
      <c r="R2076" s="888"/>
    </row>
    <row r="2077" spans="1:18" s="893" customFormat="1" x14ac:dyDescent="0.3">
      <c r="A2077" s="888" t="s">
        <v>2062</v>
      </c>
      <c r="B2077" s="888" t="s">
        <v>1954</v>
      </c>
      <c r="C2077" s="888" t="s">
        <v>2354</v>
      </c>
      <c r="D2077" s="888"/>
      <c r="E2077" s="893" t="str">
        <f>$E$2061</f>
        <v>Metal Panels - Steel</v>
      </c>
      <c r="I2077" s="888"/>
      <c r="J2077" s="888"/>
      <c r="K2077" s="888"/>
      <c r="L2077" s="888"/>
      <c r="M2077" s="888"/>
      <c r="N2077" s="888"/>
      <c r="O2077" s="888"/>
      <c r="P2077" s="888"/>
      <c r="Q2077" s="888"/>
      <c r="R2077" s="888"/>
    </row>
    <row r="2078" spans="1:18" s="893" customFormat="1" x14ac:dyDescent="0.3">
      <c r="A2078" s="888" t="s">
        <v>2062</v>
      </c>
      <c r="B2078" s="888" t="s">
        <v>1954</v>
      </c>
      <c r="C2078" s="888" t="s">
        <v>2713</v>
      </c>
      <c r="D2078" s="888"/>
      <c r="E2078" s="893" t="str">
        <f>$E$2054</f>
        <v>Metal Construction Assn.</v>
      </c>
      <c r="I2078" s="888"/>
      <c r="J2078" s="888"/>
      <c r="K2078" s="888"/>
      <c r="L2078" s="888"/>
      <c r="M2078" s="888"/>
      <c r="N2078" s="888"/>
      <c r="O2078" s="888"/>
      <c r="P2078" s="888"/>
      <c r="Q2078" s="888"/>
      <c r="R2078" s="888"/>
    </row>
    <row r="2079" spans="1:18" s="893" customFormat="1" x14ac:dyDescent="0.3">
      <c r="A2079" s="888" t="s">
        <v>2062</v>
      </c>
      <c r="B2079" s="888" t="s">
        <v>1954</v>
      </c>
      <c r="C2079" s="888" t="s">
        <v>5212</v>
      </c>
      <c r="D2079" s="888"/>
      <c r="E2079" s="893" t="str">
        <f>$E$2055</f>
        <v>Includes: ATAS, DMI, Englert, Fabral,McElroy, Pac-Clad</v>
      </c>
      <c r="I2079" s="888"/>
      <c r="J2079" s="888"/>
      <c r="K2079" s="888"/>
      <c r="L2079" s="888"/>
      <c r="M2079" s="888"/>
      <c r="N2079" s="888"/>
      <c r="O2079" s="888"/>
      <c r="P2079" s="888"/>
      <c r="Q2079" s="888"/>
      <c r="R2079" s="888"/>
    </row>
    <row r="2080" spans="1:18" s="893" customFormat="1" x14ac:dyDescent="0.3">
      <c r="A2080" s="888" t="s">
        <v>2062</v>
      </c>
      <c r="B2080" s="888" t="s">
        <v>1954</v>
      </c>
      <c r="C2080" s="888" t="s">
        <v>2714</v>
      </c>
      <c r="D2080" s="888"/>
      <c r="E2080" s="893" t="str">
        <f>$E$2064</f>
        <v>24 gauge</v>
      </c>
      <c r="I2080" s="888"/>
      <c r="J2080" s="888"/>
      <c r="K2080" s="888"/>
      <c r="L2080" s="888"/>
      <c r="M2080" s="888"/>
      <c r="N2080" s="888"/>
      <c r="O2080" s="888"/>
      <c r="P2080" s="888"/>
      <c r="Q2080" s="888"/>
      <c r="R2080" s="888"/>
    </row>
    <row r="2081" spans="1:18" s="893" customFormat="1" x14ac:dyDescent="0.3">
      <c r="A2081" s="888" t="s">
        <v>2062</v>
      </c>
      <c r="B2081" s="888" t="s">
        <v>1954</v>
      </c>
      <c r="C2081" s="888" t="s">
        <v>2715</v>
      </c>
      <c r="D2081" s="888"/>
      <c r="E2081" s="893" t="str">
        <f>$E$2061</f>
        <v>Metal Panels - Steel</v>
      </c>
      <c r="I2081" s="888"/>
      <c r="J2081" s="888"/>
      <c r="K2081" s="888"/>
      <c r="L2081" s="888"/>
      <c r="M2081" s="888"/>
      <c r="N2081" s="888"/>
      <c r="O2081" s="888"/>
      <c r="P2081" s="888"/>
      <c r="Q2081" s="888"/>
      <c r="R2081" s="888"/>
    </row>
    <row r="2082" spans="1:18" s="893" customFormat="1" x14ac:dyDescent="0.3">
      <c r="A2082" s="888" t="s">
        <v>2062</v>
      </c>
      <c r="B2082" s="888" t="s">
        <v>1954</v>
      </c>
      <c r="C2082" s="888" t="s">
        <v>2716</v>
      </c>
      <c r="D2082" s="888"/>
      <c r="E2082" s="893" t="str">
        <f>$E$2058</f>
        <v>Petersen Aluminum Corp</v>
      </c>
      <c r="I2082" s="888"/>
      <c r="J2082" s="888"/>
      <c r="K2082" s="888"/>
      <c r="L2082" s="888"/>
      <c r="M2082" s="888"/>
      <c r="N2082" s="888"/>
      <c r="O2082" s="888"/>
      <c r="P2082" s="888"/>
      <c r="Q2082" s="888"/>
      <c r="R2082" s="888"/>
    </row>
    <row r="2083" spans="1:18" s="893" customFormat="1" x14ac:dyDescent="0.3">
      <c r="A2083" s="888" t="s">
        <v>2062</v>
      </c>
      <c r="B2083" s="888" t="s">
        <v>1954</v>
      </c>
      <c r="C2083" s="888" t="s">
        <v>2717</v>
      </c>
      <c r="D2083" s="888"/>
      <c r="E2083" s="893" t="str">
        <f>$E$2059</f>
        <v>Pac-Clad, all profiles</v>
      </c>
      <c r="I2083" s="888"/>
      <c r="J2083" s="888"/>
      <c r="K2083" s="888"/>
      <c r="L2083" s="888"/>
      <c r="M2083" s="888"/>
      <c r="N2083" s="888"/>
      <c r="O2083" s="888"/>
      <c r="P2083" s="888"/>
      <c r="Q2083" s="888"/>
      <c r="R2083" s="888"/>
    </row>
    <row r="2084" spans="1:18" s="893" customFormat="1" x14ac:dyDescent="0.3">
      <c r="A2084" s="888" t="s">
        <v>2062</v>
      </c>
      <c r="B2084" s="888" t="s">
        <v>1954</v>
      </c>
      <c r="C2084" s="888" t="s">
        <v>2718</v>
      </c>
      <c r="D2084" s="888"/>
      <c r="E2084" s="893" t="str">
        <f>$E$2064</f>
        <v>24 gauge</v>
      </c>
      <c r="I2084" s="888"/>
      <c r="J2084" s="888"/>
      <c r="K2084" s="888"/>
      <c r="L2084" s="888"/>
      <c r="M2084" s="888"/>
      <c r="N2084" s="888"/>
      <c r="O2084" s="888"/>
      <c r="P2084" s="888"/>
      <c r="Q2084" s="888"/>
      <c r="R2084" s="888"/>
    </row>
    <row r="2085" spans="1:18" s="893" customFormat="1" x14ac:dyDescent="0.3">
      <c r="A2085" s="888" t="s">
        <v>2062</v>
      </c>
      <c r="B2085" s="888" t="s">
        <v>1954</v>
      </c>
      <c r="C2085" s="888" t="s">
        <v>5091</v>
      </c>
      <c r="D2085" s="888"/>
      <c r="E2085" s="893" t="s">
        <v>496</v>
      </c>
      <c r="I2085" s="888"/>
      <c r="J2085" s="888"/>
      <c r="K2085" s="888"/>
      <c r="L2085" s="888"/>
      <c r="M2085" s="888"/>
      <c r="N2085" s="888"/>
      <c r="O2085" s="888"/>
      <c r="P2085" s="888"/>
      <c r="Q2085" s="888"/>
      <c r="R2085" s="888"/>
    </row>
    <row r="2086" spans="1:18" s="893" customFormat="1" x14ac:dyDescent="0.3">
      <c r="A2086" s="888" t="s">
        <v>2062</v>
      </c>
      <c r="B2086" s="888" t="s">
        <v>1954</v>
      </c>
      <c r="C2086" s="888" t="s">
        <v>5213</v>
      </c>
      <c r="D2086" s="888"/>
      <c r="E2086" s="893" t="s">
        <v>497</v>
      </c>
      <c r="I2086" s="888"/>
      <c r="J2086" s="888"/>
      <c r="K2086" s="888"/>
      <c r="L2086" s="888"/>
      <c r="M2086" s="888"/>
      <c r="N2086" s="888"/>
      <c r="O2086" s="888"/>
      <c r="P2086" s="888"/>
      <c r="Q2086" s="888"/>
      <c r="R2086" s="888"/>
    </row>
    <row r="2087" spans="1:18" s="893" customFormat="1" x14ac:dyDescent="0.3">
      <c r="A2087" s="888" t="s">
        <v>2062</v>
      </c>
      <c r="B2087" s="888" t="s">
        <v>1954</v>
      </c>
      <c r="C2087" s="888" t="s">
        <v>5214</v>
      </c>
      <c r="D2087" s="888"/>
      <c r="E2087" s="893" t="s">
        <v>498</v>
      </c>
      <c r="I2087" s="888"/>
      <c r="J2087" s="888"/>
      <c r="K2087" s="888"/>
      <c r="L2087" s="888"/>
      <c r="M2087" s="888"/>
      <c r="N2087" s="888"/>
      <c r="O2087" s="888"/>
      <c r="P2087" s="888"/>
      <c r="Q2087" s="888"/>
      <c r="R2087" s="888"/>
    </row>
    <row r="2088" spans="1:18" s="893" customFormat="1" x14ac:dyDescent="0.3">
      <c r="A2088" s="888" t="s">
        <v>2062</v>
      </c>
      <c r="B2088" s="888" t="s">
        <v>1954</v>
      </c>
      <c r="C2088" s="888" t="s">
        <v>2719</v>
      </c>
      <c r="D2088" s="888"/>
      <c r="E2088" s="893" t="s">
        <v>508</v>
      </c>
      <c r="I2088" s="888"/>
      <c r="J2088" s="888"/>
      <c r="K2088" s="888"/>
      <c r="L2088" s="888"/>
      <c r="M2088" s="888"/>
      <c r="N2088" s="888"/>
      <c r="O2088" s="888"/>
      <c r="P2088" s="888"/>
      <c r="Q2088" s="888"/>
      <c r="R2088" s="888"/>
    </row>
    <row r="2089" spans="1:18" s="893" customFormat="1" x14ac:dyDescent="0.3">
      <c r="A2089" s="888" t="s">
        <v>2062</v>
      </c>
      <c r="B2089" s="888" t="s">
        <v>1954</v>
      </c>
      <c r="C2089" s="888" t="s">
        <v>5215</v>
      </c>
      <c r="D2089" s="888"/>
      <c r="E2089" s="893" t="str">
        <f>$E$1902</f>
        <v xml:space="preserve">NAIMA </v>
      </c>
      <c r="I2089" s="888"/>
      <c r="J2089" s="888"/>
      <c r="K2089" s="888"/>
      <c r="L2089" s="888"/>
      <c r="M2089" s="888"/>
      <c r="N2089" s="888"/>
      <c r="O2089" s="888"/>
      <c r="P2089" s="888"/>
      <c r="Q2089" s="888"/>
      <c r="R2089" s="888"/>
    </row>
    <row r="2090" spans="1:18" s="893" customFormat="1" x14ac:dyDescent="0.3">
      <c r="A2090" s="888" t="s">
        <v>2062</v>
      </c>
      <c r="B2090" s="888" t="s">
        <v>1954</v>
      </c>
      <c r="C2090" s="888" t="s">
        <v>3853</v>
      </c>
      <c r="D2090" s="888"/>
      <c r="E2090" s="893" t="s">
        <v>4350</v>
      </c>
      <c r="I2090" s="888"/>
      <c r="J2090" s="888"/>
      <c r="K2090" s="888"/>
      <c r="L2090" s="888"/>
      <c r="M2090" s="888"/>
      <c r="N2090" s="888"/>
      <c r="O2090" s="888"/>
      <c r="P2090" s="888"/>
      <c r="Q2090" s="888"/>
      <c r="R2090" s="888"/>
    </row>
    <row r="2091" spans="1:18" s="893" customFormat="1" x14ac:dyDescent="0.3">
      <c r="A2091" s="888" t="s">
        <v>2062</v>
      </c>
      <c r="B2091" s="888" t="s">
        <v>1954</v>
      </c>
      <c r="C2091" s="888" t="s">
        <v>2720</v>
      </c>
      <c r="D2091" s="888"/>
      <c r="E2091" s="893" t="str">
        <f>$E$1903</f>
        <v>R 4.4/inch</v>
      </c>
      <c r="I2091" s="888"/>
      <c r="J2091" s="888"/>
      <c r="K2091" s="888"/>
      <c r="L2091" s="888"/>
      <c r="M2091" s="888"/>
      <c r="N2091" s="888"/>
      <c r="O2091" s="888"/>
      <c r="P2091" s="888"/>
      <c r="Q2091" s="888"/>
      <c r="R2091" s="888"/>
    </row>
    <row r="2092" spans="1:18" s="893" customFormat="1" x14ac:dyDescent="0.3">
      <c r="A2092" s="888" t="s">
        <v>2062</v>
      </c>
      <c r="B2092" s="888" t="s">
        <v>1954</v>
      </c>
      <c r="C2092" s="888" t="s">
        <v>2721</v>
      </c>
      <c r="D2092" s="888"/>
      <c r="E2092" s="893" t="s">
        <v>515</v>
      </c>
      <c r="I2092" s="888"/>
      <c r="J2092" s="888"/>
      <c r="K2092" s="888"/>
      <c r="L2092" s="888"/>
      <c r="M2092" s="888"/>
      <c r="N2092" s="888"/>
      <c r="O2092" s="888"/>
      <c r="P2092" s="888"/>
      <c r="Q2092" s="888"/>
      <c r="R2092" s="888"/>
    </row>
    <row r="2093" spans="1:18" s="893" customFormat="1" x14ac:dyDescent="0.3">
      <c r="A2093" s="888" t="s">
        <v>2062</v>
      </c>
      <c r="B2093" s="888" t="s">
        <v>1954</v>
      </c>
      <c r="C2093" s="888" t="s">
        <v>3854</v>
      </c>
      <c r="D2093" s="888"/>
      <c r="E2093" s="893" t="str">
        <f>$E$1902</f>
        <v xml:space="preserve">NAIMA </v>
      </c>
      <c r="I2093" s="888"/>
      <c r="J2093" s="888"/>
      <c r="K2093" s="888"/>
      <c r="L2093" s="888"/>
      <c r="M2093" s="888"/>
      <c r="N2093" s="888"/>
      <c r="O2093" s="888"/>
      <c r="P2093" s="888"/>
      <c r="Q2093" s="888"/>
      <c r="R2093" s="888"/>
    </row>
    <row r="2094" spans="1:18" s="893" customFormat="1" x14ac:dyDescent="0.3">
      <c r="A2094" s="888" t="s">
        <v>2062</v>
      </c>
      <c r="B2094" s="888" t="s">
        <v>1954</v>
      </c>
      <c r="C2094" s="888" t="s">
        <v>5216</v>
      </c>
      <c r="D2094" s="888"/>
      <c r="E2094" s="893" t="str">
        <f>$E$2090</f>
        <v>Owens Corning, Johns Manville, Rolan</v>
      </c>
      <c r="I2094" s="888"/>
      <c r="J2094" s="888"/>
      <c r="K2094" s="888"/>
      <c r="L2094" s="888"/>
      <c r="M2094" s="888"/>
      <c r="N2094" s="888"/>
      <c r="O2094" s="888"/>
      <c r="P2094" s="888"/>
      <c r="Q2094" s="888"/>
      <c r="R2094" s="888"/>
    </row>
    <row r="2095" spans="1:18" s="893" customFormat="1" x14ac:dyDescent="0.3">
      <c r="A2095" s="888" t="s">
        <v>2062</v>
      </c>
      <c r="B2095" s="888" t="s">
        <v>1954</v>
      </c>
      <c r="C2095" s="888" t="s">
        <v>2722</v>
      </c>
      <c r="D2095" s="888"/>
      <c r="E2095" s="893" t="str">
        <f>$E$1737</f>
        <v>R 3.9/inch</v>
      </c>
      <c r="I2095" s="888"/>
      <c r="J2095" s="888"/>
      <c r="K2095" s="888"/>
      <c r="L2095" s="888"/>
      <c r="M2095" s="888"/>
      <c r="N2095" s="888"/>
      <c r="O2095" s="888"/>
      <c r="P2095" s="888"/>
      <c r="Q2095" s="888"/>
      <c r="R2095" s="888"/>
    </row>
    <row r="2096" spans="1:18" s="893" customFormat="1" x14ac:dyDescent="0.3">
      <c r="A2096" s="888" t="s">
        <v>2062</v>
      </c>
      <c r="B2096" s="888" t="s">
        <v>1954</v>
      </c>
      <c r="C2096" s="888" t="s">
        <v>2723</v>
      </c>
      <c r="D2096" s="888"/>
      <c r="E2096" s="893" t="s">
        <v>517</v>
      </c>
      <c r="I2096" s="888"/>
      <c r="J2096" s="888"/>
      <c r="K2096" s="888"/>
      <c r="L2096" s="888"/>
      <c r="M2096" s="888"/>
      <c r="N2096" s="888"/>
      <c r="O2096" s="888"/>
      <c r="P2096" s="888"/>
      <c r="Q2096" s="888"/>
      <c r="R2096" s="888"/>
    </row>
    <row r="2097" spans="1:18" s="893" customFormat="1" x14ac:dyDescent="0.3">
      <c r="A2097" s="888" t="s">
        <v>2062</v>
      </c>
      <c r="B2097" s="888" t="s">
        <v>1954</v>
      </c>
      <c r="C2097" s="888" t="s">
        <v>3855</v>
      </c>
      <c r="D2097" s="888"/>
      <c r="E2097" s="893" t="str">
        <f>$E$1902</f>
        <v xml:space="preserve">NAIMA </v>
      </c>
      <c r="I2097" s="888"/>
      <c r="J2097" s="888"/>
      <c r="K2097" s="888"/>
      <c r="L2097" s="888"/>
      <c r="M2097" s="888"/>
      <c r="N2097" s="888"/>
      <c r="O2097" s="888"/>
      <c r="P2097" s="888"/>
      <c r="Q2097" s="888"/>
      <c r="R2097" s="888"/>
    </row>
    <row r="2098" spans="1:18" s="893" customFormat="1" x14ac:dyDescent="0.3">
      <c r="A2098" s="888" t="s">
        <v>2062</v>
      </c>
      <c r="B2098" s="888" t="s">
        <v>1954</v>
      </c>
      <c r="C2098" s="888" t="s">
        <v>3856</v>
      </c>
      <c r="D2098" s="888"/>
      <c r="E2098" s="893" t="s">
        <v>4356</v>
      </c>
      <c r="I2098" s="888"/>
      <c r="J2098" s="888"/>
      <c r="K2098" s="888"/>
      <c r="L2098" s="888"/>
      <c r="M2098" s="888"/>
      <c r="N2098" s="888"/>
      <c r="O2098" s="888"/>
      <c r="P2098" s="888"/>
      <c r="Q2098" s="888"/>
      <c r="R2098" s="888"/>
    </row>
    <row r="2099" spans="1:18" s="893" customFormat="1" x14ac:dyDescent="0.3">
      <c r="A2099" s="888" t="s">
        <v>2062</v>
      </c>
      <c r="B2099" s="888" t="s">
        <v>1954</v>
      </c>
      <c r="C2099" s="888" t="s">
        <v>5217</v>
      </c>
      <c r="D2099" s="888"/>
      <c r="E2099" s="893" t="s">
        <v>518</v>
      </c>
      <c r="I2099" s="888"/>
      <c r="J2099" s="888"/>
      <c r="K2099" s="888"/>
      <c r="L2099" s="888"/>
      <c r="M2099" s="888"/>
      <c r="N2099" s="888"/>
      <c r="O2099" s="888"/>
      <c r="P2099" s="888"/>
      <c r="Q2099" s="888"/>
      <c r="R2099" s="888"/>
    </row>
    <row r="2100" spans="1:18" s="893" customFormat="1" x14ac:dyDescent="0.3">
      <c r="A2100" s="888" t="s">
        <v>2062</v>
      </c>
      <c r="B2100" s="888" t="s">
        <v>1954</v>
      </c>
      <c r="C2100" s="888" t="s">
        <v>2724</v>
      </c>
      <c r="D2100" s="888"/>
      <c r="E2100" s="893" t="s">
        <v>520</v>
      </c>
      <c r="I2100" s="888"/>
      <c r="J2100" s="888"/>
      <c r="K2100" s="888"/>
      <c r="L2100" s="888"/>
      <c r="M2100" s="888"/>
      <c r="N2100" s="888"/>
      <c r="O2100" s="888"/>
      <c r="P2100" s="888"/>
      <c r="Q2100" s="888"/>
      <c r="R2100" s="888"/>
    </row>
    <row r="2101" spans="1:18" s="893" customFormat="1" x14ac:dyDescent="0.3">
      <c r="A2101" s="888" t="s">
        <v>2062</v>
      </c>
      <c r="B2101" s="888" t="s">
        <v>1954</v>
      </c>
      <c r="C2101" s="888" t="s">
        <v>3857</v>
      </c>
      <c r="D2101" s="888"/>
      <c r="E2101" s="893" t="s">
        <v>3267</v>
      </c>
      <c r="I2101" s="888"/>
      <c r="J2101" s="888"/>
      <c r="K2101" s="888"/>
      <c r="L2101" s="888"/>
      <c r="M2101" s="888"/>
      <c r="N2101" s="888"/>
      <c r="O2101" s="888"/>
      <c r="P2101" s="888"/>
      <c r="Q2101" s="888"/>
      <c r="R2101" s="888"/>
    </row>
    <row r="2102" spans="1:18" s="893" customFormat="1" x14ac:dyDescent="0.3">
      <c r="A2102" s="888" t="s">
        <v>2062</v>
      </c>
      <c r="B2102" s="888" t="s">
        <v>1954</v>
      </c>
      <c r="C2102" s="888" t="s">
        <v>3858</v>
      </c>
      <c r="D2102" s="888"/>
      <c r="E2102" s="893" t="s">
        <v>521</v>
      </c>
      <c r="I2102" s="888"/>
      <c r="J2102" s="888"/>
      <c r="K2102" s="888"/>
      <c r="L2102" s="888"/>
      <c r="M2102" s="888"/>
      <c r="N2102" s="888"/>
      <c r="O2102" s="888"/>
      <c r="P2102" s="888"/>
      <c r="Q2102" s="888"/>
      <c r="R2102" s="888"/>
    </row>
    <row r="2103" spans="1:18" s="893" customFormat="1" x14ac:dyDescent="0.3">
      <c r="A2103" s="888" t="s">
        <v>2062</v>
      </c>
      <c r="B2103" s="888" t="s">
        <v>1954</v>
      </c>
      <c r="C2103" s="888" t="s">
        <v>5218</v>
      </c>
      <c r="D2103" s="888"/>
      <c r="E2103" s="893" t="str">
        <f>$E$1663</f>
        <v>R 3.7/inch</v>
      </c>
      <c r="I2103" s="888"/>
      <c r="J2103" s="888"/>
      <c r="K2103" s="888"/>
      <c r="L2103" s="888"/>
      <c r="M2103" s="888"/>
      <c r="N2103" s="888"/>
      <c r="O2103" s="888"/>
      <c r="P2103" s="888"/>
      <c r="Q2103" s="888"/>
      <c r="R2103" s="888"/>
    </row>
    <row r="2104" spans="1:18" s="893" customFormat="1" x14ac:dyDescent="0.3">
      <c r="A2104" s="888" t="s">
        <v>2062</v>
      </c>
      <c r="B2104" s="888" t="s">
        <v>1954</v>
      </c>
      <c r="C2104" s="1008" t="s">
        <v>2725</v>
      </c>
      <c r="D2104" s="888"/>
      <c r="E2104" s="893" t="s">
        <v>523</v>
      </c>
      <c r="I2104" s="888"/>
      <c r="J2104" s="888"/>
      <c r="K2104" s="888"/>
      <c r="L2104" s="888"/>
      <c r="M2104" s="888"/>
      <c r="N2104" s="888"/>
      <c r="O2104" s="888"/>
      <c r="P2104" s="888"/>
      <c r="Q2104" s="888"/>
      <c r="R2104" s="888"/>
    </row>
    <row r="2105" spans="1:18" s="893" customFormat="1" x14ac:dyDescent="0.3">
      <c r="A2105" s="888" t="s">
        <v>2062</v>
      </c>
      <c r="B2105" s="888" t="s">
        <v>1954</v>
      </c>
      <c r="C2105" s="1009" t="s">
        <v>2726</v>
      </c>
      <c r="D2105" s="888"/>
      <c r="E2105" s="893" t="s">
        <v>6797</v>
      </c>
      <c r="I2105" s="888"/>
      <c r="J2105" s="888"/>
      <c r="K2105" s="888"/>
      <c r="L2105" s="888"/>
      <c r="M2105" s="888"/>
      <c r="N2105" s="888"/>
      <c r="O2105" s="888"/>
      <c r="P2105" s="888"/>
      <c r="Q2105" s="888"/>
      <c r="R2105" s="888"/>
    </row>
    <row r="2106" spans="1:18" s="893" customFormat="1" x14ac:dyDescent="0.3">
      <c r="A2106" s="888" t="s">
        <v>2062</v>
      </c>
      <c r="B2106" s="888" t="s">
        <v>1954</v>
      </c>
      <c r="C2106" s="1010" t="s">
        <v>2727</v>
      </c>
      <c r="D2106" s="888"/>
      <c r="E2106" s="1011" t="str">
        <f>$E$2104</f>
        <v>OSB sheathing</v>
      </c>
      <c r="I2106" s="888"/>
      <c r="J2106" s="888"/>
      <c r="K2106" s="888"/>
      <c r="L2106" s="888"/>
      <c r="M2106" s="888"/>
      <c r="N2106" s="888"/>
      <c r="O2106" s="888"/>
      <c r="P2106" s="888"/>
      <c r="Q2106" s="888"/>
      <c r="R2106" s="888"/>
    </row>
    <row r="2107" spans="1:18" s="893" customFormat="1" x14ac:dyDescent="0.3">
      <c r="A2107" s="888" t="s">
        <v>2062</v>
      </c>
      <c r="B2107" s="888" t="s">
        <v>1954</v>
      </c>
      <c r="C2107" s="1010" t="s">
        <v>2728</v>
      </c>
      <c r="D2107" s="888"/>
      <c r="E2107" s="1011" t="s">
        <v>6799</v>
      </c>
      <c r="I2107" s="888"/>
      <c r="J2107" s="888"/>
      <c r="K2107" s="888"/>
      <c r="L2107" s="888"/>
      <c r="M2107" s="888"/>
      <c r="N2107" s="888"/>
      <c r="O2107" s="888"/>
      <c r="P2107" s="888"/>
      <c r="Q2107" s="888"/>
      <c r="R2107" s="888"/>
    </row>
    <row r="2108" spans="1:18" s="893" customFormat="1" x14ac:dyDescent="0.3">
      <c r="A2108" s="888" t="s">
        <v>2062</v>
      </c>
      <c r="B2108" s="888" t="s">
        <v>1954</v>
      </c>
      <c r="C2108" s="1008" t="s">
        <v>2729</v>
      </c>
      <c r="D2108" s="888"/>
      <c r="E2108" s="893" t="str">
        <f>$E$2104</f>
        <v>OSB sheathing</v>
      </c>
      <c r="I2108" s="888"/>
      <c r="J2108" s="888"/>
      <c r="K2108" s="888"/>
      <c r="L2108" s="888"/>
      <c r="M2108" s="888"/>
      <c r="N2108" s="888"/>
      <c r="O2108" s="888"/>
      <c r="P2108" s="888"/>
      <c r="Q2108" s="888"/>
      <c r="R2108" s="888"/>
    </row>
    <row r="2109" spans="1:18" s="893" customFormat="1" x14ac:dyDescent="0.3">
      <c r="A2109" s="888" t="s">
        <v>2062</v>
      </c>
      <c r="B2109" s="888" t="s">
        <v>1954</v>
      </c>
      <c r="C2109" s="1010" t="s">
        <v>2355</v>
      </c>
      <c r="D2109" s="888"/>
      <c r="E2109" s="1011" t="str">
        <f>$E$2105</f>
        <v>Canadian Wood Council -Eastern</v>
      </c>
      <c r="I2109" s="888"/>
      <c r="J2109" s="888"/>
      <c r="K2109" s="888"/>
      <c r="L2109" s="888"/>
      <c r="M2109" s="888"/>
      <c r="N2109" s="888"/>
      <c r="O2109" s="888"/>
      <c r="P2109" s="888"/>
      <c r="Q2109" s="888"/>
      <c r="R2109" s="888"/>
    </row>
    <row r="2110" spans="1:18" s="893" customFormat="1" x14ac:dyDescent="0.3">
      <c r="A2110" s="888" t="s">
        <v>2062</v>
      </c>
      <c r="B2110" s="888" t="s">
        <v>1954</v>
      </c>
      <c r="C2110" s="1010" t="s">
        <v>2730</v>
      </c>
      <c r="D2110" s="888"/>
      <c r="E2110" s="888" t="str">
        <f>$E$2104</f>
        <v>OSB sheathing</v>
      </c>
      <c r="I2110" s="888"/>
      <c r="J2110" s="888"/>
      <c r="K2110" s="888"/>
      <c r="L2110" s="888"/>
      <c r="M2110" s="888"/>
      <c r="N2110" s="888"/>
      <c r="O2110" s="888"/>
      <c r="P2110" s="888"/>
      <c r="Q2110" s="888"/>
      <c r="R2110" s="888"/>
    </row>
    <row r="2111" spans="1:18" s="893" customFormat="1" x14ac:dyDescent="0.3">
      <c r="A2111" s="888" t="s">
        <v>2062</v>
      </c>
      <c r="B2111" s="888" t="s">
        <v>1954</v>
      </c>
      <c r="C2111" s="1010" t="s">
        <v>6854</v>
      </c>
      <c r="D2111" s="888"/>
      <c r="E2111" s="1011" t="str">
        <f>$E$2107</f>
        <v>Canadian Wood Council -Western</v>
      </c>
      <c r="I2111" s="888"/>
      <c r="J2111" s="888"/>
      <c r="K2111" s="888"/>
      <c r="L2111" s="888"/>
      <c r="M2111" s="888"/>
      <c r="N2111" s="888"/>
      <c r="O2111" s="888"/>
      <c r="P2111" s="888"/>
      <c r="Q2111" s="888"/>
      <c r="R2111" s="888"/>
    </row>
    <row r="2112" spans="1:18" s="893" customFormat="1" x14ac:dyDescent="0.3">
      <c r="A2112" s="888" t="s">
        <v>2062</v>
      </c>
      <c r="B2112" s="888" t="s">
        <v>1954</v>
      </c>
      <c r="C2112" s="1010" t="s">
        <v>2731</v>
      </c>
      <c r="D2112" s="888"/>
      <c r="E2112" s="893" t="str">
        <f>$E$2104</f>
        <v>OSB sheathing</v>
      </c>
      <c r="I2112" s="888"/>
      <c r="J2112" s="888"/>
      <c r="K2112" s="888"/>
      <c r="L2112" s="888"/>
      <c r="M2112" s="888"/>
      <c r="N2112" s="888"/>
      <c r="O2112" s="888"/>
      <c r="P2112" s="888"/>
      <c r="Q2112" s="888"/>
      <c r="R2112" s="888"/>
    </row>
    <row r="2113" spans="1:18" s="893" customFormat="1" x14ac:dyDescent="0.3">
      <c r="A2113" s="888" t="s">
        <v>2062</v>
      </c>
      <c r="B2113" s="888" t="s">
        <v>1954</v>
      </c>
      <c r="C2113" s="1008" t="s">
        <v>5219</v>
      </c>
      <c r="D2113" s="888"/>
      <c r="E2113" s="893" t="s">
        <v>526</v>
      </c>
      <c r="I2113" s="888"/>
      <c r="J2113" s="888"/>
      <c r="K2113" s="888"/>
      <c r="L2113" s="888"/>
      <c r="M2113" s="888"/>
      <c r="N2113" s="888"/>
      <c r="O2113" s="888"/>
      <c r="P2113" s="888"/>
      <c r="Q2113" s="888"/>
      <c r="R2113" s="888"/>
    </row>
    <row r="2114" spans="1:18" s="893" customFormat="1" x14ac:dyDescent="0.3">
      <c r="A2114" s="888" t="s">
        <v>2062</v>
      </c>
      <c r="B2114" s="888" t="s">
        <v>1954</v>
      </c>
      <c r="C2114" s="1008" t="s">
        <v>5220</v>
      </c>
      <c r="D2114" s="888"/>
      <c r="E2114" s="893" t="s">
        <v>527</v>
      </c>
      <c r="I2114" s="888"/>
      <c r="J2114" s="888"/>
      <c r="K2114" s="888"/>
      <c r="L2114" s="888"/>
      <c r="M2114" s="888"/>
      <c r="N2114" s="888"/>
      <c r="O2114" s="888"/>
      <c r="P2114" s="888"/>
      <c r="Q2114" s="888"/>
      <c r="R2114" s="888"/>
    </row>
    <row r="2115" spans="1:18" s="893" customFormat="1" x14ac:dyDescent="0.3">
      <c r="A2115" s="888" t="s">
        <v>2062</v>
      </c>
      <c r="B2115" s="888" t="s">
        <v>1954</v>
      </c>
      <c r="C2115" s="1008" t="s">
        <v>2732</v>
      </c>
      <c r="D2115" s="888"/>
      <c r="E2115" s="893" t="s">
        <v>528</v>
      </c>
      <c r="I2115" s="888"/>
      <c r="J2115" s="888"/>
      <c r="K2115" s="888"/>
      <c r="L2115" s="888"/>
      <c r="M2115" s="888"/>
      <c r="N2115" s="888"/>
      <c r="O2115" s="888"/>
      <c r="P2115" s="888"/>
      <c r="Q2115" s="888"/>
      <c r="R2115" s="888"/>
    </row>
    <row r="2116" spans="1:18" s="893" customFormat="1" x14ac:dyDescent="0.3">
      <c r="A2116" s="888" t="s">
        <v>2062</v>
      </c>
      <c r="B2116" s="888" t="s">
        <v>1954</v>
      </c>
      <c r="C2116" s="1010" t="s">
        <v>2733</v>
      </c>
      <c r="D2116" s="888"/>
      <c r="E2116" s="893" t="str">
        <f>$E$2104</f>
        <v>OSB sheathing</v>
      </c>
      <c r="I2116" s="888"/>
      <c r="J2116" s="888"/>
      <c r="K2116" s="888"/>
      <c r="L2116" s="888"/>
      <c r="M2116" s="888"/>
      <c r="N2116" s="888"/>
      <c r="O2116" s="888"/>
      <c r="P2116" s="888"/>
      <c r="Q2116" s="888"/>
      <c r="R2116" s="888"/>
    </row>
    <row r="2117" spans="1:18" s="893" customFormat="1" x14ac:dyDescent="0.3">
      <c r="A2117" s="888" t="s">
        <v>2062</v>
      </c>
      <c r="B2117" s="888" t="s">
        <v>1954</v>
      </c>
      <c r="C2117" s="1008" t="s">
        <v>2734</v>
      </c>
      <c r="D2117" s="888"/>
      <c r="E2117" s="893" t="s">
        <v>3725</v>
      </c>
      <c r="I2117" s="888"/>
      <c r="J2117" s="888"/>
      <c r="K2117" s="888"/>
      <c r="L2117" s="888"/>
      <c r="M2117" s="888"/>
      <c r="N2117" s="888"/>
      <c r="O2117" s="888"/>
      <c r="P2117" s="888"/>
      <c r="Q2117" s="888"/>
      <c r="R2117" s="888"/>
    </row>
    <row r="2118" spans="1:18" s="893" customFormat="1" x14ac:dyDescent="0.3">
      <c r="A2118" s="888" t="s">
        <v>2062</v>
      </c>
      <c r="B2118" s="888" t="s">
        <v>1954</v>
      </c>
      <c r="C2118" s="1008" t="s">
        <v>2735</v>
      </c>
      <c r="D2118" s="888"/>
      <c r="E2118" s="893" t="s">
        <v>4359</v>
      </c>
      <c r="I2118" s="888"/>
      <c r="J2118" s="888"/>
      <c r="K2118" s="888"/>
      <c r="L2118" s="888"/>
      <c r="M2118" s="888"/>
      <c r="N2118" s="888"/>
      <c r="O2118" s="888"/>
      <c r="P2118" s="888"/>
      <c r="Q2118" s="888"/>
      <c r="R2118" s="888"/>
    </row>
    <row r="2119" spans="1:18" s="893" customFormat="1" x14ac:dyDescent="0.3">
      <c r="A2119" s="888" t="s">
        <v>2062</v>
      </c>
      <c r="B2119" s="888" t="s">
        <v>1954</v>
      </c>
      <c r="C2119" s="1008" t="s">
        <v>6855</v>
      </c>
      <c r="D2119" s="888"/>
      <c r="E2119" s="893" t="s">
        <v>4360</v>
      </c>
      <c r="I2119" s="888"/>
      <c r="J2119" s="888"/>
      <c r="K2119" s="888"/>
      <c r="L2119" s="888"/>
      <c r="M2119" s="888"/>
      <c r="N2119" s="888"/>
      <c r="O2119" s="888"/>
      <c r="P2119" s="888"/>
      <c r="Q2119" s="888"/>
      <c r="R2119" s="888"/>
    </row>
    <row r="2120" spans="1:18" s="893" customFormat="1" x14ac:dyDescent="0.3">
      <c r="A2120" s="888" t="s">
        <v>2062</v>
      </c>
      <c r="B2120" s="888" t="s">
        <v>1954</v>
      </c>
      <c r="C2120" s="1010" t="s">
        <v>2736</v>
      </c>
      <c r="D2120" s="888"/>
      <c r="E2120" s="893" t="str">
        <f>$E$2104</f>
        <v>OSB sheathing</v>
      </c>
      <c r="I2120" s="888"/>
      <c r="J2120" s="888"/>
      <c r="K2120" s="888"/>
      <c r="L2120" s="888"/>
      <c r="M2120" s="888"/>
      <c r="N2120" s="888"/>
      <c r="O2120" s="888"/>
      <c r="P2120" s="888"/>
      <c r="Q2120" s="888"/>
      <c r="R2120" s="888"/>
    </row>
    <row r="2121" spans="1:18" s="893" customFormat="1" x14ac:dyDescent="0.3">
      <c r="A2121" s="888" t="s">
        <v>2062</v>
      </c>
      <c r="B2121" s="888" t="s">
        <v>1954</v>
      </c>
      <c r="C2121" s="1008" t="s">
        <v>5221</v>
      </c>
      <c r="D2121" s="888"/>
      <c r="E2121" s="893" t="str">
        <f>$E$2117</f>
        <v>LP</v>
      </c>
      <c r="I2121" s="888"/>
      <c r="J2121" s="888"/>
      <c r="K2121" s="888"/>
      <c r="L2121" s="888"/>
      <c r="M2121" s="888"/>
      <c r="N2121" s="888"/>
      <c r="O2121" s="888"/>
      <c r="P2121" s="888"/>
      <c r="Q2121" s="888"/>
      <c r="R2121" s="888"/>
    </row>
    <row r="2122" spans="1:18" s="893" customFormat="1" x14ac:dyDescent="0.3">
      <c r="A2122" s="888" t="s">
        <v>2062</v>
      </c>
      <c r="B2122" s="888" t="s">
        <v>1954</v>
      </c>
      <c r="C2122" s="1008" t="s">
        <v>5222</v>
      </c>
      <c r="D2122" s="888"/>
      <c r="E2122" s="893" t="s">
        <v>4364</v>
      </c>
      <c r="I2122" s="888"/>
      <c r="J2122" s="888"/>
      <c r="K2122" s="888"/>
      <c r="L2122" s="888"/>
      <c r="M2122" s="888"/>
      <c r="N2122" s="888"/>
      <c r="O2122" s="888"/>
      <c r="P2122" s="888"/>
      <c r="Q2122" s="888"/>
      <c r="R2122" s="888"/>
    </row>
    <row r="2123" spans="1:18" s="893" customFormat="1" x14ac:dyDescent="0.3">
      <c r="A2123" s="888" t="s">
        <v>2062</v>
      </c>
      <c r="B2123" s="888" t="s">
        <v>1954</v>
      </c>
      <c r="C2123" s="1008" t="s">
        <v>6856</v>
      </c>
      <c r="D2123" s="888"/>
      <c r="E2123" s="893" t="s">
        <v>922</v>
      </c>
      <c r="I2123" s="888"/>
      <c r="J2123" s="888"/>
      <c r="K2123" s="888"/>
      <c r="L2123" s="888"/>
      <c r="M2123" s="888"/>
      <c r="N2123" s="888"/>
      <c r="O2123" s="888"/>
      <c r="P2123" s="888"/>
      <c r="Q2123" s="888"/>
      <c r="R2123" s="888"/>
    </row>
    <row r="2124" spans="1:18" s="893" customFormat="1" x14ac:dyDescent="0.3">
      <c r="A2124" s="888" t="s">
        <v>2062</v>
      </c>
      <c r="B2124" s="888" t="s">
        <v>1954</v>
      </c>
      <c r="C2124" s="1008" t="s">
        <v>2356</v>
      </c>
      <c r="D2124" s="888"/>
      <c r="E2124" s="893" t="s">
        <v>4366</v>
      </c>
      <c r="I2124" s="888"/>
      <c r="J2124" s="888"/>
      <c r="K2124" s="888"/>
      <c r="L2124" s="888"/>
      <c r="M2124" s="888"/>
      <c r="N2124" s="888"/>
      <c r="O2124" s="888"/>
      <c r="P2124" s="888"/>
      <c r="Q2124" s="888"/>
      <c r="R2124" s="888"/>
    </row>
    <row r="2125" spans="1:18" s="893" customFormat="1" x14ac:dyDescent="0.3">
      <c r="A2125" s="888" t="s">
        <v>2062</v>
      </c>
      <c r="B2125" s="888" t="s">
        <v>1954</v>
      </c>
      <c r="C2125" s="1008" t="s">
        <v>5223</v>
      </c>
      <c r="D2125" s="888"/>
      <c r="E2125" s="893" t="str">
        <f>$E$2113</f>
        <v xml:space="preserve">Huber </v>
      </c>
      <c r="I2125" s="888"/>
      <c r="J2125" s="888"/>
      <c r="K2125" s="888"/>
      <c r="L2125" s="888"/>
      <c r="M2125" s="888"/>
      <c r="N2125" s="888"/>
      <c r="O2125" s="888"/>
      <c r="P2125" s="888"/>
      <c r="Q2125" s="888"/>
      <c r="R2125" s="888"/>
    </row>
    <row r="2126" spans="1:18" s="893" customFormat="1" x14ac:dyDescent="0.3">
      <c r="A2126" s="888" t="s">
        <v>2062</v>
      </c>
      <c r="B2126" s="888" t="s">
        <v>1954</v>
      </c>
      <c r="C2126" s="1008" t="s">
        <v>5224</v>
      </c>
      <c r="D2126" s="888"/>
      <c r="E2126" s="893" t="s">
        <v>4367</v>
      </c>
      <c r="I2126" s="888"/>
      <c r="J2126" s="888"/>
      <c r="K2126" s="888"/>
      <c r="L2126" s="888"/>
      <c r="M2126" s="888"/>
      <c r="N2126" s="888"/>
      <c r="O2126" s="888"/>
      <c r="P2126" s="888"/>
      <c r="Q2126" s="888"/>
      <c r="R2126" s="888"/>
    </row>
    <row r="2127" spans="1:18" s="893" customFormat="1" x14ac:dyDescent="0.3">
      <c r="A2127" s="888" t="s">
        <v>2062</v>
      </c>
      <c r="B2127" s="888" t="s">
        <v>1954</v>
      </c>
      <c r="C2127" s="1008" t="s">
        <v>2737</v>
      </c>
      <c r="D2127" s="888"/>
      <c r="E2127" s="893" t="str">
        <f>$E$2124</f>
        <v>OSB sheathing &amp; barrier</v>
      </c>
      <c r="I2127" s="888"/>
      <c r="J2127" s="888"/>
      <c r="K2127" s="888"/>
      <c r="L2127" s="888"/>
      <c r="M2127" s="888"/>
      <c r="N2127" s="888"/>
      <c r="O2127" s="888"/>
      <c r="P2127" s="888"/>
      <c r="Q2127" s="888"/>
      <c r="R2127" s="888"/>
    </row>
    <row r="2128" spans="1:18" s="893" customFormat="1" x14ac:dyDescent="0.3">
      <c r="A2128" s="888" t="s">
        <v>2062</v>
      </c>
      <c r="B2128" s="888" t="s">
        <v>1954</v>
      </c>
      <c r="C2128" s="1008" t="s">
        <v>5092</v>
      </c>
      <c r="D2128" s="888"/>
      <c r="E2128" s="893" t="str">
        <f>$E$2113</f>
        <v xml:space="preserve">Huber </v>
      </c>
      <c r="I2128" s="888"/>
      <c r="J2128" s="888"/>
      <c r="K2128" s="888"/>
      <c r="L2128" s="888"/>
      <c r="M2128" s="888"/>
      <c r="N2128" s="888"/>
      <c r="O2128" s="888"/>
      <c r="P2128" s="888"/>
      <c r="Q2128" s="888"/>
      <c r="R2128" s="888"/>
    </row>
    <row r="2129" spans="1:18" s="893" customFormat="1" x14ac:dyDescent="0.3">
      <c r="A2129" s="888" t="s">
        <v>2062</v>
      </c>
      <c r="B2129" s="888" t="s">
        <v>1954</v>
      </c>
      <c r="C2129" s="1008" t="s">
        <v>6857</v>
      </c>
      <c r="D2129" s="888"/>
      <c r="E2129" s="893" t="str">
        <f>$E$2126</f>
        <v>ZIP System - Wall and Roof Sheathing</v>
      </c>
      <c r="I2129" s="888"/>
      <c r="J2129" s="888"/>
      <c r="K2129" s="888"/>
      <c r="L2129" s="888"/>
      <c r="M2129" s="888"/>
      <c r="N2129" s="888"/>
      <c r="O2129" s="888"/>
      <c r="P2129" s="888"/>
      <c r="Q2129" s="888"/>
      <c r="R2129" s="888"/>
    </row>
    <row r="2130" spans="1:18" s="893" customFormat="1" x14ac:dyDescent="0.3">
      <c r="A2130" s="888" t="s">
        <v>2062</v>
      </c>
      <c r="B2130" s="888" t="s">
        <v>1954</v>
      </c>
      <c r="C2130" s="1008" t="s">
        <v>2738</v>
      </c>
      <c r="D2130" s="888"/>
      <c r="E2130" s="893" t="str">
        <f>$E$2124</f>
        <v>OSB sheathing &amp; barrier</v>
      </c>
      <c r="I2130" s="888"/>
      <c r="J2130" s="888"/>
      <c r="K2130" s="888"/>
      <c r="L2130" s="888"/>
      <c r="M2130" s="888"/>
      <c r="N2130" s="888"/>
      <c r="O2130" s="888"/>
      <c r="P2130" s="888"/>
      <c r="Q2130" s="888"/>
      <c r="R2130" s="888"/>
    </row>
    <row r="2131" spans="1:18" s="893" customFormat="1" x14ac:dyDescent="0.3">
      <c r="A2131" s="888" t="s">
        <v>2062</v>
      </c>
      <c r="B2131" s="888" t="s">
        <v>1954</v>
      </c>
      <c r="C2131" s="1008" t="s">
        <v>5225</v>
      </c>
      <c r="D2131" s="888"/>
      <c r="E2131" s="893" t="str">
        <f>$E$2113</f>
        <v xml:space="preserve">Huber </v>
      </c>
      <c r="I2131" s="888"/>
      <c r="J2131" s="888"/>
      <c r="K2131" s="888"/>
      <c r="L2131" s="888"/>
      <c r="M2131" s="888"/>
      <c r="N2131" s="888"/>
      <c r="O2131" s="888"/>
      <c r="P2131" s="888"/>
      <c r="Q2131" s="888"/>
      <c r="R2131" s="888"/>
    </row>
    <row r="2132" spans="1:18" s="893" customFormat="1" x14ac:dyDescent="0.3">
      <c r="A2132" s="888" t="s">
        <v>2062</v>
      </c>
      <c r="B2132" s="888" t="s">
        <v>1954</v>
      </c>
      <c r="C2132" s="1008" t="s">
        <v>5226</v>
      </c>
      <c r="D2132" s="888"/>
      <c r="E2132" s="893" t="str">
        <f>$E$2126</f>
        <v>ZIP System - Wall and Roof Sheathing</v>
      </c>
      <c r="I2132" s="888"/>
      <c r="J2132" s="888"/>
      <c r="K2132" s="888"/>
      <c r="L2132" s="888"/>
      <c r="M2132" s="888"/>
      <c r="N2132" s="888"/>
      <c r="O2132" s="888"/>
      <c r="P2132" s="888"/>
      <c r="Q2132" s="888"/>
      <c r="R2132" s="888"/>
    </row>
    <row r="2133" spans="1:18" s="893" customFormat="1" x14ac:dyDescent="0.3">
      <c r="A2133" s="888" t="s">
        <v>2062</v>
      </c>
      <c r="B2133" s="888" t="s">
        <v>1954</v>
      </c>
      <c r="C2133" s="1008" t="s">
        <v>2739</v>
      </c>
      <c r="D2133" s="888"/>
      <c r="E2133" s="893" t="str">
        <f>$E$2124</f>
        <v>OSB sheathing &amp; barrier</v>
      </c>
      <c r="I2133" s="888"/>
      <c r="J2133" s="888"/>
      <c r="K2133" s="888"/>
      <c r="L2133" s="888"/>
      <c r="M2133" s="888"/>
      <c r="N2133" s="888"/>
      <c r="O2133" s="888"/>
      <c r="P2133" s="888"/>
      <c r="Q2133" s="888"/>
      <c r="R2133" s="888"/>
    </row>
    <row r="2134" spans="1:18" s="893" customFormat="1" x14ac:dyDescent="0.3">
      <c r="A2134" s="888" t="s">
        <v>2062</v>
      </c>
      <c r="B2134" s="888" t="s">
        <v>1954</v>
      </c>
      <c r="C2134" s="1008" t="s">
        <v>5227</v>
      </c>
      <c r="D2134" s="888"/>
      <c r="E2134" s="893" t="str">
        <f>$E$2117</f>
        <v>LP</v>
      </c>
      <c r="I2134" s="888"/>
      <c r="J2134" s="888"/>
      <c r="K2134" s="888"/>
      <c r="L2134" s="888"/>
      <c r="M2134" s="888"/>
      <c r="N2134" s="888"/>
      <c r="O2134" s="888"/>
      <c r="P2134" s="888"/>
      <c r="Q2134" s="888"/>
      <c r="R2134" s="888"/>
    </row>
    <row r="2135" spans="1:18" s="893" customFormat="1" x14ac:dyDescent="0.3">
      <c r="A2135" s="888" t="s">
        <v>2062</v>
      </c>
      <c r="B2135" s="888" t="s">
        <v>1954</v>
      </c>
      <c r="C2135" s="1008" t="s">
        <v>5228</v>
      </c>
      <c r="D2135" s="888"/>
      <c r="E2135" s="893" t="s">
        <v>4370</v>
      </c>
      <c r="I2135" s="888"/>
      <c r="J2135" s="888"/>
      <c r="K2135" s="888"/>
      <c r="L2135" s="888"/>
      <c r="M2135" s="888"/>
      <c r="N2135" s="888"/>
      <c r="O2135" s="888"/>
      <c r="P2135" s="888"/>
      <c r="Q2135" s="888"/>
      <c r="R2135" s="888"/>
    </row>
    <row r="2136" spans="1:18" s="893" customFormat="1" x14ac:dyDescent="0.3">
      <c r="A2136" s="888" t="s">
        <v>2062</v>
      </c>
      <c r="B2136" s="888" t="s">
        <v>1954</v>
      </c>
      <c r="C2136" s="1008" t="s">
        <v>6858</v>
      </c>
      <c r="D2136" s="888"/>
      <c r="E2136" s="893" t="str">
        <f>$E$2124</f>
        <v>OSB sheathing &amp; barrier</v>
      </c>
      <c r="I2136" s="888"/>
      <c r="J2136" s="888"/>
      <c r="K2136" s="888"/>
      <c r="L2136" s="888"/>
      <c r="M2136" s="888"/>
      <c r="N2136" s="888"/>
      <c r="O2136" s="888"/>
      <c r="P2136" s="888"/>
      <c r="Q2136" s="888"/>
      <c r="R2136" s="888"/>
    </row>
    <row r="2137" spans="1:18" s="893" customFormat="1" x14ac:dyDescent="0.3">
      <c r="A2137" s="888" t="s">
        <v>2062</v>
      </c>
      <c r="B2137" s="888" t="s">
        <v>1954</v>
      </c>
      <c r="C2137" s="1008" t="s">
        <v>6859</v>
      </c>
      <c r="D2137" s="888"/>
      <c r="E2137" s="893" t="str">
        <f>$E$2117</f>
        <v>LP</v>
      </c>
      <c r="I2137" s="888"/>
      <c r="J2137" s="888"/>
      <c r="K2137" s="888"/>
      <c r="L2137" s="888"/>
      <c r="M2137" s="888"/>
      <c r="N2137" s="888"/>
      <c r="O2137" s="888"/>
      <c r="P2137" s="888"/>
      <c r="Q2137" s="888"/>
      <c r="R2137" s="888"/>
    </row>
    <row r="2138" spans="1:18" s="893" customFormat="1" x14ac:dyDescent="0.3">
      <c r="A2138" s="888" t="s">
        <v>2062</v>
      </c>
      <c r="B2138" s="888" t="s">
        <v>1954</v>
      </c>
      <c r="C2138" s="1008" t="s">
        <v>6860</v>
      </c>
      <c r="D2138" s="888"/>
      <c r="E2138" s="893" t="str">
        <f>$E$2135</f>
        <v>WeatherLogic® Air &amp; Water Barrier</v>
      </c>
      <c r="I2138" s="888"/>
      <c r="J2138" s="888"/>
      <c r="K2138" s="888"/>
      <c r="L2138" s="888"/>
      <c r="M2138" s="888"/>
      <c r="N2138" s="888"/>
      <c r="O2138" s="888"/>
      <c r="P2138" s="888"/>
      <c r="Q2138" s="888"/>
      <c r="R2138" s="888"/>
    </row>
    <row r="2139" spans="1:18" s="893" customFormat="1" x14ac:dyDescent="0.3">
      <c r="A2139" s="888" t="s">
        <v>2062</v>
      </c>
      <c r="B2139" s="888" t="s">
        <v>1954</v>
      </c>
      <c r="C2139" s="1008" t="s">
        <v>6861</v>
      </c>
      <c r="D2139" s="888"/>
      <c r="E2139" s="893" t="str">
        <f>$E$2123</f>
        <v>7/16"</v>
      </c>
      <c r="I2139" s="888"/>
      <c r="J2139" s="888"/>
      <c r="K2139" s="888"/>
      <c r="L2139" s="888"/>
      <c r="M2139" s="888"/>
      <c r="N2139" s="888"/>
      <c r="O2139" s="888"/>
      <c r="P2139" s="888"/>
      <c r="Q2139" s="888"/>
      <c r="R2139" s="888"/>
    </row>
    <row r="2140" spans="1:18" s="893" customFormat="1" x14ac:dyDescent="0.3">
      <c r="A2140" s="888" t="s">
        <v>2062</v>
      </c>
      <c r="B2140" s="888" t="s">
        <v>1954</v>
      </c>
      <c r="C2140" s="1008" t="s">
        <v>2357</v>
      </c>
      <c r="D2140" s="888"/>
      <c r="E2140" s="893" t="s">
        <v>533</v>
      </c>
      <c r="I2140" s="888"/>
      <c r="J2140" s="888"/>
      <c r="K2140" s="888"/>
      <c r="L2140" s="888"/>
      <c r="M2140" s="888"/>
      <c r="N2140" s="888"/>
      <c r="O2140" s="888"/>
      <c r="P2140" s="888"/>
      <c r="Q2140" s="888"/>
      <c r="R2140" s="888"/>
    </row>
    <row r="2141" spans="1:18" s="893" customFormat="1" x14ac:dyDescent="0.3">
      <c r="A2141" s="888" t="s">
        <v>2062</v>
      </c>
      <c r="B2141" s="888" t="s">
        <v>1954</v>
      </c>
      <c r="C2141" s="1008" t="s">
        <v>5229</v>
      </c>
      <c r="D2141" s="888"/>
      <c r="E2141" s="893" t="str">
        <f>$E$2113</f>
        <v xml:space="preserve">Huber </v>
      </c>
      <c r="I2141" s="888"/>
      <c r="J2141" s="888"/>
      <c r="K2141" s="888"/>
      <c r="L2141" s="888"/>
      <c r="M2141" s="888"/>
      <c r="N2141" s="888"/>
      <c r="O2141" s="888"/>
      <c r="P2141" s="888"/>
      <c r="Q2141" s="888"/>
      <c r="R2141" s="888"/>
    </row>
    <row r="2142" spans="1:18" s="893" customFormat="1" x14ac:dyDescent="0.3">
      <c r="A2142" s="888" t="s">
        <v>2062</v>
      </c>
      <c r="B2142" s="888" t="s">
        <v>1954</v>
      </c>
      <c r="C2142" s="1008" t="s">
        <v>6862</v>
      </c>
      <c r="D2142" s="888"/>
      <c r="E2142" s="893" t="str">
        <f>$E$2114</f>
        <v>AdvanTech</v>
      </c>
      <c r="I2142" s="888"/>
      <c r="J2142" s="888"/>
      <c r="K2142" s="888"/>
      <c r="L2142" s="888"/>
      <c r="M2142" s="888"/>
      <c r="N2142" s="888"/>
      <c r="O2142" s="888"/>
      <c r="P2142" s="888"/>
      <c r="Q2142" s="888"/>
      <c r="R2142" s="888"/>
    </row>
    <row r="2143" spans="1:18" s="893" customFormat="1" x14ac:dyDescent="0.3">
      <c r="A2143" s="888" t="s">
        <v>2062</v>
      </c>
      <c r="B2143" s="888" t="s">
        <v>1954</v>
      </c>
      <c r="C2143" s="1008" t="s">
        <v>6863</v>
      </c>
      <c r="D2143" s="888"/>
      <c r="E2143" s="893" t="s">
        <v>534</v>
      </c>
      <c r="I2143" s="888"/>
      <c r="J2143" s="888"/>
      <c r="K2143" s="888"/>
      <c r="L2143" s="888"/>
      <c r="M2143" s="888"/>
      <c r="N2143" s="888"/>
      <c r="O2143" s="888"/>
      <c r="P2143" s="888"/>
      <c r="Q2143" s="888"/>
      <c r="R2143" s="888"/>
    </row>
    <row r="2144" spans="1:18" s="893" customFormat="1" x14ac:dyDescent="0.3">
      <c r="A2144" s="888" t="s">
        <v>2062</v>
      </c>
      <c r="B2144" s="888" t="s">
        <v>1954</v>
      </c>
      <c r="C2144" s="1008" t="s">
        <v>2740</v>
      </c>
      <c r="D2144" s="888"/>
      <c r="E2144" s="893" t="str">
        <f>$E$2140</f>
        <v>OSB subflooring</v>
      </c>
      <c r="I2144" s="888"/>
      <c r="J2144" s="888"/>
      <c r="K2144" s="888"/>
      <c r="L2144" s="888"/>
      <c r="M2144" s="888"/>
      <c r="N2144" s="888"/>
      <c r="O2144" s="888"/>
      <c r="P2144" s="888"/>
      <c r="Q2144" s="888"/>
      <c r="R2144" s="888"/>
    </row>
    <row r="2145" spans="1:18" s="893" customFormat="1" x14ac:dyDescent="0.3">
      <c r="A2145" s="888" t="s">
        <v>2062</v>
      </c>
      <c r="B2145" s="888" t="s">
        <v>1954</v>
      </c>
      <c r="C2145" s="1008" t="s">
        <v>5093</v>
      </c>
      <c r="D2145" s="888"/>
      <c r="E2145" s="893" t="str">
        <f>$E$2117</f>
        <v>LP</v>
      </c>
      <c r="I2145" s="888"/>
      <c r="J2145" s="888"/>
      <c r="K2145" s="888"/>
      <c r="L2145" s="888"/>
      <c r="M2145" s="888"/>
      <c r="N2145" s="888"/>
      <c r="O2145" s="888"/>
      <c r="P2145" s="888"/>
      <c r="Q2145" s="888"/>
      <c r="R2145" s="888"/>
    </row>
    <row r="2146" spans="1:18" s="893" customFormat="1" x14ac:dyDescent="0.3">
      <c r="A2146" s="888" t="s">
        <v>2062</v>
      </c>
      <c r="B2146" s="888" t="s">
        <v>1954</v>
      </c>
      <c r="C2146" s="1008" t="s">
        <v>6864</v>
      </c>
      <c r="D2146" s="888"/>
      <c r="E2146" s="893" t="s">
        <v>4373</v>
      </c>
      <c r="I2146" s="888"/>
      <c r="J2146" s="888"/>
      <c r="K2146" s="888"/>
      <c r="L2146" s="888"/>
      <c r="M2146" s="888"/>
      <c r="N2146" s="888"/>
      <c r="O2146" s="888"/>
      <c r="P2146" s="888"/>
      <c r="Q2146" s="888"/>
      <c r="R2146" s="888"/>
    </row>
    <row r="2147" spans="1:18" s="893" customFormat="1" x14ac:dyDescent="0.3">
      <c r="A2147" s="888" t="s">
        <v>2062</v>
      </c>
      <c r="B2147" s="888" t="s">
        <v>1954</v>
      </c>
      <c r="C2147" s="1008" t="s">
        <v>2741</v>
      </c>
      <c r="D2147" s="888"/>
      <c r="E2147" s="893" t="s">
        <v>536</v>
      </c>
      <c r="I2147" s="888"/>
      <c r="J2147" s="888"/>
      <c r="K2147" s="888"/>
      <c r="L2147" s="888"/>
      <c r="M2147" s="888"/>
      <c r="N2147" s="888"/>
      <c r="O2147" s="888"/>
      <c r="P2147" s="888"/>
      <c r="Q2147" s="888"/>
      <c r="R2147" s="888"/>
    </row>
    <row r="2148" spans="1:18" s="893" customFormat="1" x14ac:dyDescent="0.3">
      <c r="A2148" s="888" t="s">
        <v>2062</v>
      </c>
      <c r="B2148" s="888" t="s">
        <v>1954</v>
      </c>
      <c r="C2148" s="1008" t="s">
        <v>2358</v>
      </c>
      <c r="D2148" s="888"/>
      <c r="E2148" s="1011" t="s">
        <v>6806</v>
      </c>
      <c r="I2148" s="888"/>
      <c r="J2148" s="888"/>
      <c r="K2148" s="888"/>
      <c r="L2148" s="888"/>
      <c r="M2148" s="888"/>
      <c r="N2148" s="888"/>
      <c r="O2148" s="888"/>
      <c r="P2148" s="888"/>
      <c r="Q2148" s="888"/>
      <c r="R2148" s="888"/>
    </row>
    <row r="2149" spans="1:18" s="893" customFormat="1" x14ac:dyDescent="0.3">
      <c r="A2149" s="888" t="s">
        <v>2062</v>
      </c>
      <c r="B2149" s="888" t="s">
        <v>1954</v>
      </c>
      <c r="C2149" s="1008" t="s">
        <v>2742</v>
      </c>
      <c r="D2149" s="888"/>
      <c r="E2149" s="893" t="str">
        <f>$E$2147</f>
        <v>Plywood</v>
      </c>
      <c r="I2149" s="888"/>
      <c r="J2149" s="888"/>
      <c r="K2149" s="888"/>
      <c r="L2149" s="888"/>
      <c r="M2149" s="888"/>
      <c r="N2149" s="888"/>
      <c r="O2149" s="888"/>
      <c r="P2149" s="888"/>
      <c r="Q2149" s="888"/>
      <c r="R2149" s="888"/>
    </row>
    <row r="2150" spans="1:18" s="893" customFormat="1" x14ac:dyDescent="0.3">
      <c r="A2150" s="888" t="s">
        <v>2062</v>
      </c>
      <c r="B2150" s="888" t="s">
        <v>1954</v>
      </c>
      <c r="C2150" s="1010" t="s">
        <v>2743</v>
      </c>
      <c r="D2150" s="888"/>
      <c r="E2150" s="1011" t="str">
        <f>$E$2148</f>
        <v>Canadian Wood Council</v>
      </c>
      <c r="I2150" s="888"/>
      <c r="J2150" s="888"/>
      <c r="K2150" s="888"/>
      <c r="L2150" s="888"/>
      <c r="M2150" s="888"/>
      <c r="N2150" s="888"/>
      <c r="O2150" s="888"/>
      <c r="P2150" s="888"/>
      <c r="Q2150" s="888"/>
      <c r="R2150" s="888"/>
    </row>
    <row r="2151" spans="1:18" s="893" customFormat="1" x14ac:dyDescent="0.3">
      <c r="A2151" s="888" t="s">
        <v>2062</v>
      </c>
      <c r="B2151" s="888" t="s">
        <v>1954</v>
      </c>
      <c r="C2151" s="1008" t="s">
        <v>2744</v>
      </c>
      <c r="D2151" s="888"/>
      <c r="E2151" s="893" t="str">
        <f>$E$2147</f>
        <v>Plywood</v>
      </c>
      <c r="I2151" s="888"/>
      <c r="J2151" s="888"/>
      <c r="K2151" s="888"/>
      <c r="L2151" s="888"/>
      <c r="M2151" s="888"/>
      <c r="N2151" s="888"/>
      <c r="O2151" s="888"/>
      <c r="P2151" s="888"/>
      <c r="Q2151" s="888"/>
      <c r="R2151" s="888"/>
    </row>
    <row r="2152" spans="1:18" s="893" customFormat="1" x14ac:dyDescent="0.3">
      <c r="A2152" s="888" t="s">
        <v>2062</v>
      </c>
      <c r="B2152" s="888" t="s">
        <v>1954</v>
      </c>
      <c r="C2152" s="1010" t="s">
        <v>6865</v>
      </c>
      <c r="D2152" s="888"/>
      <c r="E2152" s="1011" t="str">
        <f>$E$2148</f>
        <v>Canadian Wood Council</v>
      </c>
      <c r="I2152" s="888"/>
      <c r="J2152" s="888"/>
      <c r="K2152" s="888"/>
      <c r="L2152" s="888"/>
      <c r="M2152" s="888"/>
      <c r="N2152" s="888"/>
      <c r="O2152" s="888"/>
      <c r="P2152" s="888"/>
      <c r="Q2152" s="888"/>
      <c r="R2152" s="888"/>
    </row>
    <row r="2153" spans="1:18" s="893" customFormat="1" x14ac:dyDescent="0.3">
      <c r="A2153" s="888" t="s">
        <v>2062</v>
      </c>
      <c r="B2153" s="888" t="s">
        <v>1954</v>
      </c>
      <c r="C2153" s="1008" t="s">
        <v>2359</v>
      </c>
      <c r="D2153" s="888"/>
      <c r="E2153" s="893" t="str">
        <f>$E$2147</f>
        <v>Plywood</v>
      </c>
      <c r="I2153" s="888"/>
      <c r="J2153" s="888"/>
      <c r="K2153" s="888"/>
      <c r="L2153" s="888"/>
      <c r="M2153" s="888"/>
      <c r="N2153" s="888"/>
      <c r="O2153" s="888"/>
      <c r="P2153" s="888"/>
      <c r="Q2153" s="888"/>
      <c r="R2153" s="888"/>
    </row>
    <row r="2154" spans="1:18" s="893" customFormat="1" x14ac:dyDescent="0.3">
      <c r="A2154" s="888" t="s">
        <v>2062</v>
      </c>
      <c r="B2154" s="888" t="s">
        <v>1954</v>
      </c>
      <c r="C2154" s="1008" t="s">
        <v>3859</v>
      </c>
      <c r="D2154" s="888"/>
      <c r="E2154" s="893" t="s">
        <v>4382</v>
      </c>
      <c r="I2154" s="888"/>
      <c r="J2154" s="888"/>
      <c r="K2154" s="888"/>
      <c r="L2154" s="888"/>
      <c r="M2154" s="888"/>
      <c r="N2154" s="888"/>
      <c r="O2154" s="888"/>
      <c r="P2154" s="888"/>
      <c r="Q2154" s="888"/>
      <c r="R2154" s="888"/>
    </row>
    <row r="2155" spans="1:18" s="893" customFormat="1" x14ac:dyDescent="0.3">
      <c r="A2155" s="888" t="s">
        <v>2062</v>
      </c>
      <c r="B2155" s="888" t="s">
        <v>1954</v>
      </c>
      <c r="C2155" s="1008" t="s">
        <v>3860</v>
      </c>
      <c r="D2155" s="888"/>
      <c r="E2155" s="893" t="s">
        <v>4383</v>
      </c>
      <c r="I2155" s="888"/>
      <c r="J2155" s="888"/>
      <c r="K2155" s="888"/>
      <c r="L2155" s="888"/>
      <c r="M2155" s="888"/>
      <c r="N2155" s="888"/>
      <c r="O2155" s="888"/>
      <c r="P2155" s="888"/>
      <c r="Q2155" s="888"/>
      <c r="R2155" s="888"/>
    </row>
    <row r="2156" spans="1:18" s="893" customFormat="1" x14ac:dyDescent="0.3">
      <c r="A2156" s="888" t="s">
        <v>2062</v>
      </c>
      <c r="B2156" s="888" t="s">
        <v>1954</v>
      </c>
      <c r="C2156" s="1008" t="s">
        <v>6866</v>
      </c>
      <c r="D2156" s="888"/>
      <c r="E2156" s="893" t="str">
        <f>$E$2147</f>
        <v>Plywood</v>
      </c>
      <c r="I2156" s="888"/>
      <c r="J2156" s="888"/>
      <c r="K2156" s="888"/>
      <c r="L2156" s="888"/>
      <c r="M2156" s="888"/>
      <c r="N2156" s="888"/>
      <c r="O2156" s="888"/>
      <c r="P2156" s="888"/>
      <c r="Q2156" s="888"/>
      <c r="R2156" s="888"/>
    </row>
    <row r="2157" spans="1:18" s="893" customFormat="1" x14ac:dyDescent="0.3">
      <c r="A2157" s="888" t="s">
        <v>2062</v>
      </c>
      <c r="B2157" s="888" t="s">
        <v>1954</v>
      </c>
      <c r="C2157" s="1008" t="s">
        <v>6867</v>
      </c>
      <c r="D2157" s="888"/>
      <c r="E2157" s="893" t="str">
        <f>$E$2154</f>
        <v>British Columbia Average</v>
      </c>
      <c r="I2157" s="888"/>
      <c r="J2157" s="888"/>
      <c r="K2157" s="888"/>
      <c r="L2157" s="888"/>
      <c r="M2157" s="888"/>
      <c r="N2157" s="888"/>
      <c r="O2157" s="888"/>
      <c r="P2157" s="888"/>
      <c r="Q2157" s="888"/>
      <c r="R2157" s="888"/>
    </row>
    <row r="2158" spans="1:18" s="893" customFormat="1" x14ac:dyDescent="0.3">
      <c r="A2158" s="888" t="s">
        <v>2062</v>
      </c>
      <c r="B2158" s="888" t="s">
        <v>1954</v>
      </c>
      <c r="C2158" s="1008" t="s">
        <v>6868</v>
      </c>
      <c r="D2158" s="888"/>
      <c r="E2158" s="893" t="str">
        <f>$E$2155</f>
        <v>Includes : West Fraser Mills, Thompson River Veneer Products</v>
      </c>
      <c r="I2158" s="888"/>
      <c r="J2158" s="888"/>
      <c r="K2158" s="888"/>
      <c r="L2158" s="888"/>
      <c r="M2158" s="888"/>
      <c r="N2158" s="888"/>
      <c r="O2158" s="888"/>
      <c r="P2158" s="888"/>
      <c r="Q2158" s="888"/>
      <c r="R2158" s="888"/>
    </row>
    <row r="2159" spans="1:18" s="893" customFormat="1" x14ac:dyDescent="0.3">
      <c r="A2159" s="888" t="s">
        <v>2062</v>
      </c>
      <c r="B2159" s="888" t="s">
        <v>1954</v>
      </c>
      <c r="C2159" s="1008" t="s">
        <v>6869</v>
      </c>
      <c r="D2159" s="888"/>
      <c r="E2159" s="893" t="str">
        <f>$E$2147</f>
        <v>Plywood</v>
      </c>
      <c r="I2159" s="888"/>
      <c r="J2159" s="888"/>
      <c r="K2159" s="888"/>
      <c r="L2159" s="888"/>
      <c r="M2159" s="888"/>
      <c r="N2159" s="888"/>
      <c r="O2159" s="888"/>
      <c r="P2159" s="888"/>
      <c r="Q2159" s="888"/>
      <c r="R2159" s="888"/>
    </row>
    <row r="2160" spans="1:18" s="893" customFormat="1" x14ac:dyDescent="0.3">
      <c r="A2160" s="888" t="s">
        <v>2062</v>
      </c>
      <c r="B2160" s="888" t="s">
        <v>1954</v>
      </c>
      <c r="C2160" s="1008" t="s">
        <v>6870</v>
      </c>
      <c r="D2160" s="888"/>
      <c r="E2160" s="893" t="str">
        <f>$E$2154</f>
        <v>British Columbia Average</v>
      </c>
      <c r="I2160" s="888"/>
      <c r="J2160" s="888"/>
      <c r="K2160" s="888"/>
      <c r="L2160" s="888"/>
      <c r="M2160" s="888"/>
      <c r="N2160" s="888"/>
      <c r="O2160" s="888"/>
      <c r="P2160" s="888"/>
      <c r="Q2160" s="888"/>
      <c r="R2160" s="888"/>
    </row>
    <row r="2161" spans="1:18" s="893" customFormat="1" x14ac:dyDescent="0.3">
      <c r="A2161" s="888" t="s">
        <v>2062</v>
      </c>
      <c r="B2161" s="888" t="s">
        <v>1954</v>
      </c>
      <c r="C2161" s="1008" t="s">
        <v>6871</v>
      </c>
      <c r="D2161" s="888"/>
      <c r="E2161" s="893" t="str">
        <f>$E$2155</f>
        <v>Includes : West Fraser Mills, Thompson River Veneer Products</v>
      </c>
      <c r="I2161" s="888"/>
      <c r="J2161" s="888"/>
      <c r="K2161" s="888"/>
      <c r="L2161" s="888"/>
      <c r="M2161" s="888"/>
      <c r="N2161" s="888"/>
      <c r="O2161" s="888"/>
      <c r="P2161" s="888"/>
      <c r="Q2161" s="888"/>
      <c r="R2161" s="888"/>
    </row>
    <row r="2162" spans="1:18" s="893" customFormat="1" x14ac:dyDescent="0.3">
      <c r="A2162" s="888" t="s">
        <v>2062</v>
      </c>
      <c r="B2162" s="888" t="s">
        <v>1954</v>
      </c>
      <c r="C2162" s="1008" t="s">
        <v>2745</v>
      </c>
      <c r="D2162" s="888"/>
      <c r="E2162" s="893" t="str">
        <f>$E$2147</f>
        <v>Plywood</v>
      </c>
      <c r="I2162" s="888"/>
      <c r="J2162" s="888"/>
      <c r="K2162" s="888"/>
      <c r="L2162" s="888"/>
      <c r="M2162" s="888"/>
      <c r="N2162" s="888"/>
      <c r="O2162" s="888"/>
      <c r="P2162" s="888"/>
      <c r="Q2162" s="888"/>
      <c r="R2162" s="888"/>
    </row>
    <row r="2163" spans="1:18" s="893" customFormat="1" x14ac:dyDescent="0.3">
      <c r="A2163" s="888" t="s">
        <v>2062</v>
      </c>
      <c r="B2163" s="888" t="s">
        <v>1954</v>
      </c>
      <c r="C2163" s="1008" t="s">
        <v>3861</v>
      </c>
      <c r="D2163" s="888"/>
      <c r="E2163" s="893" t="s">
        <v>726</v>
      </c>
      <c r="I2163" s="888"/>
      <c r="J2163" s="888"/>
      <c r="K2163" s="888"/>
      <c r="L2163" s="888"/>
      <c r="M2163" s="888"/>
      <c r="N2163" s="888"/>
      <c r="O2163" s="888"/>
      <c r="P2163" s="888"/>
      <c r="Q2163" s="888"/>
      <c r="R2163" s="888"/>
    </row>
    <row r="2164" spans="1:18" s="893" customFormat="1" x14ac:dyDescent="0.3">
      <c r="A2164" s="888" t="s">
        <v>2062</v>
      </c>
      <c r="B2164" s="888" t="s">
        <v>1954</v>
      </c>
      <c r="C2164" s="1008" t="s">
        <v>3862</v>
      </c>
      <c r="D2164" s="888"/>
      <c r="E2164" s="893" t="s">
        <v>4385</v>
      </c>
      <c r="I2164" s="888"/>
      <c r="J2164" s="888"/>
      <c r="K2164" s="888"/>
      <c r="L2164" s="888"/>
      <c r="M2164" s="888"/>
      <c r="N2164" s="888"/>
      <c r="O2164" s="888"/>
      <c r="P2164" s="888"/>
      <c r="Q2164" s="888"/>
      <c r="R2164" s="888"/>
    </row>
    <row r="2165" spans="1:18" s="893" customFormat="1" x14ac:dyDescent="0.3">
      <c r="A2165" s="888" t="s">
        <v>2062</v>
      </c>
      <c r="B2165" s="888" t="s">
        <v>1954</v>
      </c>
      <c r="C2165" s="1008" t="s">
        <v>6872</v>
      </c>
      <c r="D2165" s="888"/>
      <c r="E2165" s="893" t="str">
        <f>$E$2147</f>
        <v>Plywood</v>
      </c>
      <c r="I2165" s="888"/>
      <c r="J2165" s="888"/>
      <c r="K2165" s="888"/>
      <c r="L2165" s="888"/>
      <c r="M2165" s="888"/>
      <c r="N2165" s="888"/>
      <c r="O2165" s="888"/>
      <c r="P2165" s="888"/>
      <c r="Q2165" s="888"/>
      <c r="R2165" s="888"/>
    </row>
    <row r="2166" spans="1:18" s="893" customFormat="1" x14ac:dyDescent="0.3">
      <c r="A2166" s="888" t="s">
        <v>2062</v>
      </c>
      <c r="B2166" s="888" t="s">
        <v>1954</v>
      </c>
      <c r="C2166" s="1008" t="s">
        <v>5124</v>
      </c>
      <c r="D2166" s="888"/>
      <c r="E2166" s="893" t="str">
        <f>$E$2163</f>
        <v>Roseburg</v>
      </c>
      <c r="I2166" s="888"/>
      <c r="J2166" s="888"/>
      <c r="K2166" s="888"/>
      <c r="L2166" s="888"/>
      <c r="M2166" s="888"/>
      <c r="N2166" s="888"/>
      <c r="O2166" s="888"/>
      <c r="P2166" s="888"/>
      <c r="Q2166" s="888"/>
      <c r="R2166" s="888"/>
    </row>
    <row r="2167" spans="1:18" s="893" customFormat="1" x14ac:dyDescent="0.3">
      <c r="A2167" s="888" t="s">
        <v>2062</v>
      </c>
      <c r="B2167" s="888" t="s">
        <v>1954</v>
      </c>
      <c r="C2167" s="1008" t="s">
        <v>6873</v>
      </c>
      <c r="D2167" s="888"/>
      <c r="E2167" s="893" t="s">
        <v>4387</v>
      </c>
      <c r="I2167" s="888"/>
      <c r="J2167" s="888"/>
      <c r="K2167" s="888"/>
      <c r="L2167" s="888"/>
      <c r="M2167" s="888"/>
      <c r="N2167" s="888"/>
      <c r="O2167" s="888"/>
      <c r="P2167" s="888"/>
      <c r="Q2167" s="888"/>
      <c r="R2167" s="888"/>
    </row>
    <row r="2168" spans="1:18" s="893" customFormat="1" x14ac:dyDescent="0.3">
      <c r="A2168" s="888" t="s">
        <v>2062</v>
      </c>
      <c r="B2168" s="888" t="s">
        <v>1954</v>
      </c>
      <c r="C2168" s="1008" t="s">
        <v>6874</v>
      </c>
      <c r="D2168" s="888"/>
      <c r="E2168" s="893" t="str">
        <f>$E$2147</f>
        <v>Plywood</v>
      </c>
      <c r="I2168" s="888"/>
      <c r="J2168" s="888"/>
      <c r="K2168" s="888"/>
      <c r="L2168" s="888"/>
      <c r="M2168" s="888"/>
      <c r="N2168" s="888"/>
      <c r="O2168" s="888"/>
      <c r="P2168" s="888"/>
      <c r="Q2168" s="888"/>
      <c r="R2168" s="888"/>
    </row>
    <row r="2169" spans="1:18" s="893" customFormat="1" x14ac:dyDescent="0.3">
      <c r="A2169" s="888" t="s">
        <v>2062</v>
      </c>
      <c r="B2169" s="888" t="s">
        <v>1954</v>
      </c>
      <c r="C2169" s="1008" t="s">
        <v>6875</v>
      </c>
      <c r="D2169" s="888"/>
      <c r="E2169" s="893" t="str">
        <f>$E$2163</f>
        <v>Roseburg</v>
      </c>
      <c r="I2169" s="888"/>
      <c r="J2169" s="888"/>
      <c r="K2169" s="888"/>
      <c r="L2169" s="888"/>
      <c r="M2169" s="888"/>
      <c r="N2169" s="888"/>
      <c r="O2169" s="888"/>
      <c r="P2169" s="888"/>
      <c r="Q2169" s="888"/>
      <c r="R2169" s="888"/>
    </row>
    <row r="2170" spans="1:18" s="893" customFormat="1" x14ac:dyDescent="0.3">
      <c r="A2170" s="888" t="s">
        <v>2062</v>
      </c>
      <c r="B2170" s="888" t="s">
        <v>1954</v>
      </c>
      <c r="C2170" s="1008" t="s">
        <v>6876</v>
      </c>
      <c r="D2170" s="888"/>
      <c r="E2170" s="893" t="str">
        <f>$E$2167</f>
        <v>softwood plywood</v>
      </c>
      <c r="I2170" s="888"/>
      <c r="J2170" s="888"/>
      <c r="K2170" s="888"/>
      <c r="L2170" s="888"/>
      <c r="M2170" s="888"/>
      <c r="N2170" s="888"/>
      <c r="O2170" s="888"/>
      <c r="P2170" s="888"/>
      <c r="Q2170" s="888"/>
      <c r="R2170" s="888"/>
    </row>
    <row r="2171" spans="1:18" s="893" customFormat="1" x14ac:dyDescent="0.3">
      <c r="A2171" s="888" t="s">
        <v>2062</v>
      </c>
      <c r="B2171" s="888" t="s">
        <v>1954</v>
      </c>
      <c r="C2171" s="1008" t="s">
        <v>2746</v>
      </c>
      <c r="D2171" s="888"/>
      <c r="E2171" s="893" t="s">
        <v>538</v>
      </c>
      <c r="I2171" s="888"/>
      <c r="J2171" s="888"/>
      <c r="K2171" s="888"/>
      <c r="L2171" s="888"/>
      <c r="M2171" s="888"/>
      <c r="N2171" s="888"/>
      <c r="O2171" s="888"/>
      <c r="P2171" s="888"/>
      <c r="Q2171" s="888"/>
      <c r="R2171" s="888"/>
    </row>
    <row r="2172" spans="1:18" s="893" customFormat="1" x14ac:dyDescent="0.3">
      <c r="A2172" s="888" t="s">
        <v>2062</v>
      </c>
      <c r="B2172" s="888" t="s">
        <v>1954</v>
      </c>
      <c r="C2172" s="1008" t="s">
        <v>3863</v>
      </c>
      <c r="D2172" s="888"/>
      <c r="E2172" s="893" t="s">
        <v>539</v>
      </c>
      <c r="I2172" s="888"/>
      <c r="J2172" s="888"/>
      <c r="K2172" s="888"/>
      <c r="L2172" s="888"/>
      <c r="M2172" s="888"/>
      <c r="N2172" s="888"/>
      <c r="O2172" s="888"/>
      <c r="P2172" s="888"/>
      <c r="Q2172" s="888"/>
      <c r="R2172" s="888"/>
    </row>
    <row r="2173" spans="1:18" s="893" customFormat="1" x14ac:dyDescent="0.3">
      <c r="A2173" s="888" t="s">
        <v>2062</v>
      </c>
      <c r="B2173" s="888" t="s">
        <v>1954</v>
      </c>
      <c r="C2173" s="1008" t="s">
        <v>6877</v>
      </c>
      <c r="D2173" s="888"/>
      <c r="E2173" s="893" t="s">
        <v>3514</v>
      </c>
      <c r="I2173" s="888"/>
      <c r="J2173" s="888"/>
      <c r="K2173" s="888"/>
      <c r="L2173" s="888"/>
      <c r="M2173" s="888"/>
      <c r="N2173" s="888"/>
      <c r="O2173" s="888"/>
      <c r="P2173" s="888"/>
      <c r="Q2173" s="888"/>
      <c r="R2173" s="888"/>
    </row>
    <row r="2174" spans="1:18" s="893" customFormat="1" x14ac:dyDescent="0.3">
      <c r="A2174" s="888" t="s">
        <v>2062</v>
      </c>
      <c r="B2174" s="888" t="s">
        <v>1954</v>
      </c>
      <c r="C2174" s="1008" t="s">
        <v>6878</v>
      </c>
      <c r="D2174" s="888"/>
      <c r="E2174" s="893" t="s">
        <v>4398</v>
      </c>
      <c r="I2174" s="888"/>
      <c r="J2174" s="888"/>
      <c r="K2174" s="888"/>
      <c r="L2174" s="888"/>
      <c r="M2174" s="888"/>
      <c r="N2174" s="888"/>
      <c r="O2174" s="888"/>
      <c r="P2174" s="888"/>
      <c r="Q2174" s="888"/>
      <c r="R2174" s="888"/>
    </row>
    <row r="2175" spans="1:18" s="893" customFormat="1" x14ac:dyDescent="0.3">
      <c r="A2175" s="888" t="s">
        <v>2062</v>
      </c>
      <c r="B2175" s="888" t="s">
        <v>1954</v>
      </c>
      <c r="C2175" s="1008" t="s">
        <v>3864</v>
      </c>
      <c r="D2175" s="888"/>
      <c r="E2175" s="893" t="str">
        <f>$E$2171</f>
        <v>Polyiso - roof boards</v>
      </c>
      <c r="I2175" s="888"/>
      <c r="J2175" s="888"/>
      <c r="K2175" s="888"/>
      <c r="L2175" s="888"/>
      <c r="M2175" s="888"/>
      <c r="N2175" s="888"/>
      <c r="O2175" s="888"/>
      <c r="P2175" s="888"/>
      <c r="Q2175" s="888"/>
      <c r="R2175" s="888"/>
    </row>
    <row r="2176" spans="1:18" s="893" customFormat="1" x14ac:dyDescent="0.3">
      <c r="A2176" s="888" t="s">
        <v>2062</v>
      </c>
      <c r="B2176" s="888" t="s">
        <v>1954</v>
      </c>
      <c r="C2176" s="1008" t="s">
        <v>3865</v>
      </c>
      <c r="D2176" s="888"/>
      <c r="E2176" s="893" t="s">
        <v>542</v>
      </c>
      <c r="I2176" s="888"/>
      <c r="J2176" s="888"/>
      <c r="K2176" s="888"/>
      <c r="L2176" s="888"/>
      <c r="M2176" s="888"/>
      <c r="N2176" s="888"/>
      <c r="O2176" s="888"/>
      <c r="P2176" s="888"/>
      <c r="Q2176" s="888"/>
      <c r="R2176" s="888"/>
    </row>
    <row r="2177" spans="1:18" s="893" customFormat="1" x14ac:dyDescent="0.3">
      <c r="A2177" s="888" t="s">
        <v>2062</v>
      </c>
      <c r="B2177" s="888" t="s">
        <v>1954</v>
      </c>
      <c r="C2177" s="1008" t="s">
        <v>5230</v>
      </c>
      <c r="D2177" s="888"/>
      <c r="E2177" s="893" t="s">
        <v>4399</v>
      </c>
      <c r="I2177" s="888"/>
      <c r="J2177" s="888"/>
      <c r="K2177" s="888"/>
      <c r="L2177" s="888"/>
      <c r="M2177" s="888"/>
      <c r="N2177" s="888"/>
      <c r="O2177" s="888"/>
      <c r="P2177" s="888"/>
      <c r="Q2177" s="888"/>
      <c r="R2177" s="888"/>
    </row>
    <row r="2178" spans="1:18" s="893" customFormat="1" x14ac:dyDescent="0.3">
      <c r="A2178" s="888" t="s">
        <v>2062</v>
      </c>
      <c r="B2178" s="888" t="s">
        <v>1954</v>
      </c>
      <c r="C2178" s="1008" t="s">
        <v>3866</v>
      </c>
      <c r="D2178" s="888"/>
      <c r="E2178" s="893" t="str">
        <f>$E$2174</f>
        <v>GRF facer / Type II R 5.6-inch, 16 psi</v>
      </c>
      <c r="I2178" s="888"/>
      <c r="J2178" s="888"/>
      <c r="K2178" s="888"/>
      <c r="L2178" s="888"/>
      <c r="M2178" s="888"/>
      <c r="N2178" s="888"/>
      <c r="O2178" s="888"/>
      <c r="P2178" s="888"/>
      <c r="Q2178" s="888"/>
      <c r="R2178" s="888"/>
    </row>
    <row r="2179" spans="1:18" s="893" customFormat="1" x14ac:dyDescent="0.3">
      <c r="A2179" s="888" t="s">
        <v>2062</v>
      </c>
      <c r="B2179" s="888" t="s">
        <v>1954</v>
      </c>
      <c r="C2179" s="1008" t="s">
        <v>3867</v>
      </c>
      <c r="D2179" s="888"/>
      <c r="E2179" s="893" t="str">
        <f>$E$2171</f>
        <v>Polyiso - roof boards</v>
      </c>
      <c r="I2179" s="888"/>
      <c r="J2179" s="888"/>
      <c r="K2179" s="888"/>
      <c r="L2179" s="888"/>
      <c r="M2179" s="888"/>
      <c r="N2179" s="888"/>
      <c r="O2179" s="888"/>
      <c r="P2179" s="888"/>
      <c r="Q2179" s="888"/>
      <c r="R2179" s="888"/>
    </row>
    <row r="2180" spans="1:18" s="893" customFormat="1" x14ac:dyDescent="0.3">
      <c r="A2180" s="888" t="s">
        <v>2062</v>
      </c>
      <c r="B2180" s="888" t="s">
        <v>1954</v>
      </c>
      <c r="C2180" s="1008" t="s">
        <v>2360</v>
      </c>
      <c r="D2180" s="888"/>
      <c r="E2180" s="893" t="s">
        <v>545</v>
      </c>
      <c r="I2180" s="888"/>
      <c r="J2180" s="888"/>
      <c r="K2180" s="888"/>
      <c r="L2180" s="888"/>
      <c r="M2180" s="888"/>
      <c r="N2180" s="888"/>
      <c r="O2180" s="888"/>
      <c r="P2180" s="888"/>
      <c r="Q2180" s="888"/>
      <c r="R2180" s="888"/>
    </row>
    <row r="2181" spans="1:18" s="893" customFormat="1" x14ac:dyDescent="0.3">
      <c r="A2181" s="888" t="s">
        <v>2062</v>
      </c>
      <c r="B2181" s="888" t="s">
        <v>1954</v>
      </c>
      <c r="C2181" s="1008" t="s">
        <v>3868</v>
      </c>
      <c r="D2181" s="888"/>
      <c r="E2181" s="893" t="s">
        <v>3720</v>
      </c>
      <c r="I2181" s="888"/>
      <c r="J2181" s="888"/>
      <c r="K2181" s="888"/>
      <c r="L2181" s="888"/>
      <c r="M2181" s="888"/>
      <c r="N2181" s="888"/>
      <c r="O2181" s="888"/>
      <c r="P2181" s="888"/>
      <c r="Q2181" s="888"/>
      <c r="R2181" s="888"/>
    </row>
    <row r="2182" spans="1:18" s="893" customFormat="1" x14ac:dyDescent="0.3">
      <c r="A2182" s="888" t="s">
        <v>2062</v>
      </c>
      <c r="B2182" s="888" t="s">
        <v>1954</v>
      </c>
      <c r="C2182" s="1008" t="s">
        <v>3869</v>
      </c>
      <c r="D2182" s="888"/>
      <c r="E2182" s="893" t="s">
        <v>4400</v>
      </c>
      <c r="I2182" s="888"/>
      <c r="J2182" s="888"/>
      <c r="K2182" s="888"/>
      <c r="L2182" s="888"/>
      <c r="M2182" s="888"/>
      <c r="N2182" s="888"/>
      <c r="O2182" s="888"/>
      <c r="P2182" s="888"/>
      <c r="Q2182" s="888"/>
      <c r="R2182" s="888"/>
    </row>
    <row r="2183" spans="1:18" s="893" customFormat="1" x14ac:dyDescent="0.3">
      <c r="A2183" s="888" t="s">
        <v>2062</v>
      </c>
      <c r="B2183" s="888" t="s">
        <v>1954</v>
      </c>
      <c r="C2183" s="1008" t="s">
        <v>3871</v>
      </c>
      <c r="D2183" s="888"/>
      <c r="E2183" s="893" t="str">
        <f>$E$2171</f>
        <v>Polyiso - roof boards</v>
      </c>
      <c r="I2183" s="888"/>
      <c r="J2183" s="888"/>
      <c r="K2183" s="888"/>
      <c r="L2183" s="888"/>
      <c r="M2183" s="888"/>
      <c r="N2183" s="888"/>
      <c r="O2183" s="888"/>
      <c r="P2183" s="888"/>
      <c r="Q2183" s="888"/>
      <c r="R2183" s="888"/>
    </row>
    <row r="2184" spans="1:18" s="893" customFormat="1" x14ac:dyDescent="0.3">
      <c r="A2184" s="888" t="s">
        <v>2062</v>
      </c>
      <c r="B2184" s="888" t="s">
        <v>1954</v>
      </c>
      <c r="C2184" s="1008" t="s">
        <v>3872</v>
      </c>
      <c r="D2184" s="888"/>
      <c r="E2184" s="893" t="s">
        <v>548</v>
      </c>
      <c r="I2184" s="888"/>
      <c r="J2184" s="888"/>
      <c r="K2184" s="888"/>
      <c r="L2184" s="888"/>
      <c r="M2184" s="888"/>
      <c r="N2184" s="888"/>
      <c r="O2184" s="888"/>
      <c r="P2184" s="888"/>
      <c r="Q2184" s="888"/>
      <c r="R2184" s="888"/>
    </row>
    <row r="2185" spans="1:18" s="893" customFormat="1" x14ac:dyDescent="0.3">
      <c r="A2185" s="888" t="s">
        <v>2062</v>
      </c>
      <c r="B2185" s="888" t="s">
        <v>1954</v>
      </c>
      <c r="C2185" s="1008" t="s">
        <v>5231</v>
      </c>
      <c r="D2185" s="888"/>
      <c r="E2185" s="893" t="s">
        <v>549</v>
      </c>
      <c r="I2185" s="888"/>
      <c r="J2185" s="888"/>
      <c r="K2185" s="888"/>
      <c r="L2185" s="888"/>
      <c r="M2185" s="888"/>
      <c r="N2185" s="888"/>
      <c r="O2185" s="888"/>
      <c r="P2185" s="888"/>
      <c r="Q2185" s="888"/>
      <c r="R2185" s="888"/>
    </row>
    <row r="2186" spans="1:18" s="893" customFormat="1" x14ac:dyDescent="0.3">
      <c r="A2186" s="888" t="s">
        <v>2062</v>
      </c>
      <c r="B2186" s="888" t="s">
        <v>1954</v>
      </c>
      <c r="C2186" s="1008" t="s">
        <v>6879</v>
      </c>
      <c r="D2186" s="888"/>
      <c r="E2186" s="893" t="str">
        <f>$E$2174</f>
        <v>GRF facer / Type II R 5.6-inch, 16 psi</v>
      </c>
      <c r="I2186" s="888"/>
      <c r="J2186" s="888"/>
      <c r="K2186" s="888"/>
      <c r="L2186" s="888"/>
      <c r="M2186" s="888"/>
      <c r="N2186" s="888"/>
      <c r="O2186" s="888"/>
      <c r="P2186" s="888"/>
      <c r="Q2186" s="888"/>
      <c r="R2186" s="888"/>
    </row>
    <row r="2187" spans="1:18" s="893" customFormat="1" x14ac:dyDescent="0.3">
      <c r="A2187" s="888" t="s">
        <v>2062</v>
      </c>
      <c r="B2187" s="888" t="s">
        <v>1954</v>
      </c>
      <c r="C2187" s="1008" t="s">
        <v>2361</v>
      </c>
      <c r="D2187" s="888"/>
      <c r="E2187" s="893" t="s">
        <v>4403</v>
      </c>
      <c r="I2187" s="888"/>
      <c r="J2187" s="888"/>
      <c r="K2187" s="888"/>
      <c r="L2187" s="888"/>
      <c r="M2187" s="888"/>
      <c r="N2187" s="888"/>
      <c r="O2187" s="888"/>
      <c r="P2187" s="888"/>
      <c r="Q2187" s="888"/>
      <c r="R2187" s="888"/>
    </row>
    <row r="2188" spans="1:18" s="893" customFormat="1" x14ac:dyDescent="0.3">
      <c r="A2188" s="888" t="s">
        <v>2062</v>
      </c>
      <c r="B2188" s="888" t="s">
        <v>1954</v>
      </c>
      <c r="C2188" s="1008" t="s">
        <v>3873</v>
      </c>
      <c r="D2188" s="888"/>
      <c r="E2188" s="893" t="str">
        <f>$E$2172</f>
        <v>Carlisle</v>
      </c>
      <c r="I2188" s="888"/>
      <c r="J2188" s="888"/>
      <c r="K2188" s="888"/>
      <c r="L2188" s="888"/>
      <c r="M2188" s="888"/>
      <c r="N2188" s="888"/>
      <c r="O2188" s="888"/>
      <c r="P2188" s="888"/>
      <c r="Q2188" s="888"/>
      <c r="R2188" s="888"/>
    </row>
    <row r="2189" spans="1:18" s="893" customFormat="1" x14ac:dyDescent="0.3">
      <c r="A2189" s="888" t="s">
        <v>2062</v>
      </c>
      <c r="B2189" s="888" t="s">
        <v>1954</v>
      </c>
      <c r="C2189" s="1008" t="s">
        <v>5232</v>
      </c>
      <c r="D2189" s="888"/>
      <c r="E2189" s="893" t="s">
        <v>4404</v>
      </c>
      <c r="I2189" s="888"/>
      <c r="J2189" s="888"/>
      <c r="K2189" s="888"/>
      <c r="L2189" s="888"/>
      <c r="M2189" s="888"/>
      <c r="N2189" s="888"/>
      <c r="O2189" s="888"/>
      <c r="P2189" s="888"/>
      <c r="Q2189" s="888"/>
      <c r="R2189" s="888"/>
    </row>
    <row r="2190" spans="1:18" s="893" customFormat="1" x14ac:dyDescent="0.3">
      <c r="A2190" s="888" t="s">
        <v>2062</v>
      </c>
      <c r="B2190" s="888" t="s">
        <v>1954</v>
      </c>
      <c r="C2190" s="1008" t="s">
        <v>3874</v>
      </c>
      <c r="D2190" s="888"/>
      <c r="E2190" s="893" t="s">
        <v>4405</v>
      </c>
      <c r="I2190" s="888"/>
      <c r="J2190" s="888"/>
      <c r="K2190" s="888"/>
      <c r="L2190" s="888"/>
      <c r="M2190" s="888"/>
      <c r="N2190" s="888"/>
      <c r="O2190" s="888"/>
      <c r="P2190" s="888"/>
      <c r="Q2190" s="888"/>
      <c r="R2190" s="888"/>
    </row>
    <row r="2191" spans="1:18" s="893" customFormat="1" x14ac:dyDescent="0.3">
      <c r="A2191" s="888" t="s">
        <v>2062</v>
      </c>
      <c r="B2191" s="888" t="s">
        <v>1954</v>
      </c>
      <c r="C2191" s="1008" t="s">
        <v>6880</v>
      </c>
      <c r="D2191" s="888"/>
      <c r="E2191" s="893" t="str">
        <f>$E$2187</f>
        <v>Polyisocyanurate - roof boards</v>
      </c>
      <c r="I2191" s="888"/>
      <c r="J2191" s="888"/>
      <c r="K2191" s="888"/>
      <c r="L2191" s="888"/>
      <c r="M2191" s="888"/>
      <c r="N2191" s="888"/>
      <c r="O2191" s="888"/>
      <c r="P2191" s="888"/>
      <c r="Q2191" s="888"/>
      <c r="R2191" s="888"/>
    </row>
    <row r="2192" spans="1:18" s="893" customFormat="1" x14ac:dyDescent="0.3">
      <c r="A2192" s="888" t="s">
        <v>2062</v>
      </c>
      <c r="B2192" s="888" t="s">
        <v>1954</v>
      </c>
      <c r="C2192" s="1008" t="s">
        <v>6881</v>
      </c>
      <c r="D2192" s="888"/>
      <c r="E2192" s="893" t="str">
        <f>$E$2176</f>
        <v>Hunter</v>
      </c>
      <c r="I2192" s="888"/>
      <c r="J2192" s="888"/>
      <c r="K2192" s="888"/>
      <c r="L2192" s="888"/>
      <c r="M2192" s="888"/>
      <c r="N2192" s="888"/>
      <c r="O2192" s="888"/>
      <c r="P2192" s="888"/>
      <c r="Q2192" s="888"/>
      <c r="R2192" s="888"/>
    </row>
    <row r="2193" spans="1:18" s="893" customFormat="1" x14ac:dyDescent="0.3">
      <c r="A2193" s="888" t="s">
        <v>2062</v>
      </c>
      <c r="B2193" s="888" t="s">
        <v>1954</v>
      </c>
      <c r="C2193" s="1008" t="s">
        <v>6882</v>
      </c>
      <c r="D2193" s="888"/>
      <c r="E2193" s="893" t="s">
        <v>4407</v>
      </c>
      <c r="I2193" s="888"/>
      <c r="J2193" s="888"/>
      <c r="K2193" s="888"/>
      <c r="L2193" s="888"/>
      <c r="M2193" s="888"/>
      <c r="N2193" s="888"/>
      <c r="O2193" s="888"/>
      <c r="P2193" s="888"/>
      <c r="Q2193" s="888"/>
      <c r="R2193" s="888"/>
    </row>
    <row r="2194" spans="1:18" s="893" customFormat="1" x14ac:dyDescent="0.3">
      <c r="A2194" s="888" t="s">
        <v>2062</v>
      </c>
      <c r="B2194" s="888" t="s">
        <v>1954</v>
      </c>
      <c r="C2194" s="1008" t="s">
        <v>6883</v>
      </c>
      <c r="D2194" s="888"/>
      <c r="E2194" s="893" t="str">
        <f>$E$2190</f>
        <v>CGF facer / Type II R 5.6/inch, 16 psi</v>
      </c>
      <c r="I2194" s="888"/>
      <c r="J2194" s="888"/>
      <c r="K2194" s="888"/>
      <c r="L2194" s="888"/>
      <c r="M2194" s="888"/>
      <c r="N2194" s="888"/>
      <c r="O2194" s="888"/>
      <c r="P2194" s="888"/>
      <c r="Q2194" s="888"/>
      <c r="R2194" s="888"/>
    </row>
    <row r="2195" spans="1:18" s="893" customFormat="1" x14ac:dyDescent="0.3">
      <c r="A2195" s="888" t="s">
        <v>2062</v>
      </c>
      <c r="B2195" s="888" t="s">
        <v>1954</v>
      </c>
      <c r="C2195" s="1008" t="s">
        <v>3875</v>
      </c>
      <c r="D2195" s="888"/>
      <c r="E2195" s="893" t="str">
        <f>$E$2187</f>
        <v>Polyisocyanurate - roof boards</v>
      </c>
      <c r="I2195" s="888"/>
      <c r="J2195" s="888"/>
      <c r="K2195" s="888"/>
      <c r="L2195" s="888"/>
      <c r="M2195" s="888"/>
      <c r="N2195" s="888"/>
      <c r="O2195" s="888"/>
      <c r="P2195" s="888"/>
      <c r="Q2195" s="888"/>
      <c r="R2195" s="888"/>
    </row>
    <row r="2196" spans="1:18" s="893" customFormat="1" x14ac:dyDescent="0.3">
      <c r="A2196" s="888" t="s">
        <v>2062</v>
      </c>
      <c r="B2196" s="888" t="s">
        <v>1954</v>
      </c>
      <c r="C2196" s="1008" t="s">
        <v>3876</v>
      </c>
      <c r="D2196" s="888"/>
      <c r="E2196" s="893" t="str">
        <f>$E$2180</f>
        <v>PIMA</v>
      </c>
      <c r="I2196" s="888"/>
      <c r="J2196" s="888"/>
      <c r="K2196" s="888"/>
      <c r="L2196" s="888"/>
      <c r="M2196" s="888"/>
      <c r="N2196" s="888"/>
      <c r="O2196" s="888"/>
      <c r="P2196" s="888"/>
      <c r="Q2196" s="888"/>
      <c r="R2196" s="888"/>
    </row>
    <row r="2197" spans="1:18" s="893" customFormat="1" x14ac:dyDescent="0.3">
      <c r="A2197" s="888" t="s">
        <v>2062</v>
      </c>
      <c r="B2197" s="888" t="s">
        <v>1954</v>
      </c>
      <c r="C2197" s="1008" t="s">
        <v>3877</v>
      </c>
      <c r="D2197" s="888"/>
      <c r="E2197" s="893" t="str">
        <f>$E$2181</f>
        <v>Includes: Atlas, Firestone, GAF, Johns Manville, Rmax, Carlisle, Iko, Soprema</v>
      </c>
      <c r="I2197" s="888"/>
      <c r="J2197" s="888"/>
      <c r="K2197" s="888"/>
      <c r="L2197" s="888"/>
      <c r="M2197" s="888"/>
      <c r="N2197" s="888"/>
      <c r="O2197" s="888"/>
      <c r="P2197" s="888"/>
      <c r="Q2197" s="888"/>
      <c r="R2197" s="888"/>
    </row>
    <row r="2198" spans="1:18" s="893" customFormat="1" x14ac:dyDescent="0.3">
      <c r="A2198" s="888" t="s">
        <v>2062</v>
      </c>
      <c r="B2198" s="888" t="s">
        <v>1954</v>
      </c>
      <c r="C2198" s="1008" t="s">
        <v>6884</v>
      </c>
      <c r="D2198" s="888"/>
      <c r="E2198" s="893" t="s">
        <v>4408</v>
      </c>
      <c r="I2198" s="888"/>
      <c r="J2198" s="888"/>
      <c r="K2198" s="888"/>
      <c r="L2198" s="888"/>
      <c r="M2198" s="888"/>
      <c r="N2198" s="888"/>
      <c r="O2198" s="888"/>
      <c r="P2198" s="888"/>
      <c r="Q2198" s="888"/>
      <c r="R2198" s="888"/>
    </row>
    <row r="2199" spans="1:18" s="893" customFormat="1" x14ac:dyDescent="0.3">
      <c r="A2199" s="888" t="s">
        <v>2062</v>
      </c>
      <c r="B2199" s="888" t="s">
        <v>1954</v>
      </c>
      <c r="C2199" s="1008" t="s">
        <v>3878</v>
      </c>
      <c r="D2199" s="888"/>
      <c r="E2199" s="893" t="str">
        <f>$E$2187</f>
        <v>Polyisocyanurate - roof boards</v>
      </c>
      <c r="I2199" s="888"/>
      <c r="J2199" s="888"/>
      <c r="K2199" s="888"/>
      <c r="L2199" s="888"/>
      <c r="M2199" s="888"/>
      <c r="N2199" s="888"/>
      <c r="O2199" s="888"/>
      <c r="P2199" s="888"/>
      <c r="Q2199" s="888"/>
      <c r="R2199" s="888"/>
    </row>
    <row r="2200" spans="1:18" s="893" customFormat="1" x14ac:dyDescent="0.3">
      <c r="A2200" s="888" t="s">
        <v>2062</v>
      </c>
      <c r="B2200" s="888" t="s">
        <v>1954</v>
      </c>
      <c r="C2200" s="1008" t="s">
        <v>3879</v>
      </c>
      <c r="D2200" s="888"/>
      <c r="E2200" s="893" t="str">
        <f>$E$2184</f>
        <v>Versico</v>
      </c>
      <c r="I2200" s="888"/>
      <c r="J2200" s="888"/>
      <c r="K2200" s="888"/>
      <c r="L2200" s="888"/>
      <c r="M2200" s="888"/>
      <c r="N2200" s="888"/>
      <c r="O2200" s="888"/>
      <c r="P2200" s="888"/>
      <c r="Q2200" s="888"/>
      <c r="R2200" s="888"/>
    </row>
    <row r="2201" spans="1:18" s="893" customFormat="1" x14ac:dyDescent="0.3">
      <c r="A2201" s="888" t="s">
        <v>2062</v>
      </c>
      <c r="B2201" s="888" t="s">
        <v>1954</v>
      </c>
      <c r="C2201" s="1008" t="s">
        <v>3880</v>
      </c>
      <c r="D2201" s="888"/>
      <c r="E2201" s="893" t="str">
        <f>$E$2185</f>
        <v>VersiCore, SecurShield, DuraFaceR</v>
      </c>
      <c r="I2201" s="888"/>
      <c r="J2201" s="888"/>
      <c r="K2201" s="888"/>
      <c r="L2201" s="888"/>
      <c r="M2201" s="888"/>
      <c r="N2201" s="888"/>
      <c r="O2201" s="888"/>
      <c r="P2201" s="888"/>
      <c r="Q2201" s="888"/>
      <c r="R2201" s="888"/>
    </row>
    <row r="2202" spans="1:18" s="893" customFormat="1" x14ac:dyDescent="0.3">
      <c r="A2202" s="888" t="s">
        <v>2062</v>
      </c>
      <c r="B2202" s="888" t="s">
        <v>1954</v>
      </c>
      <c r="C2202" s="1008" t="s">
        <v>3881</v>
      </c>
      <c r="D2202" s="888"/>
      <c r="E2202" s="893" t="s">
        <v>4409</v>
      </c>
      <c r="I2202" s="888"/>
      <c r="J2202" s="888"/>
      <c r="K2202" s="888"/>
      <c r="L2202" s="888"/>
      <c r="M2202" s="888"/>
      <c r="N2202" s="888"/>
      <c r="O2202" s="888"/>
      <c r="P2202" s="888"/>
      <c r="Q2202" s="888"/>
      <c r="R2202" s="888"/>
    </row>
    <row r="2203" spans="1:18" s="893" customFormat="1" x14ac:dyDescent="0.3">
      <c r="A2203" s="888" t="s">
        <v>2062</v>
      </c>
      <c r="B2203" s="888" t="s">
        <v>1954</v>
      </c>
      <c r="C2203" s="1008" t="s">
        <v>6885</v>
      </c>
      <c r="D2203" s="888"/>
      <c r="E2203" s="893" t="str">
        <f>$E$2187</f>
        <v>Polyisocyanurate - roof boards</v>
      </c>
      <c r="I2203" s="888"/>
      <c r="J2203" s="888"/>
      <c r="K2203" s="888"/>
      <c r="L2203" s="888"/>
      <c r="M2203" s="888"/>
      <c r="N2203" s="888"/>
      <c r="O2203" s="888"/>
      <c r="P2203" s="888"/>
      <c r="Q2203" s="888"/>
      <c r="R2203" s="888"/>
    </row>
    <row r="2204" spans="1:18" s="893" customFormat="1" x14ac:dyDescent="0.3">
      <c r="A2204" s="888" t="s">
        <v>2062</v>
      </c>
      <c r="B2204" s="888" t="s">
        <v>1954</v>
      </c>
      <c r="C2204" s="1008" t="s">
        <v>6886</v>
      </c>
      <c r="D2204" s="888"/>
      <c r="E2204" s="893" t="str">
        <f>$E$2172</f>
        <v>Carlisle</v>
      </c>
      <c r="I2204" s="888"/>
      <c r="J2204" s="888"/>
      <c r="K2204" s="888"/>
      <c r="L2204" s="888"/>
      <c r="M2204" s="888"/>
      <c r="N2204" s="888"/>
      <c r="O2204" s="888"/>
      <c r="P2204" s="888"/>
      <c r="Q2204" s="888"/>
      <c r="R2204" s="888"/>
    </row>
    <row r="2205" spans="1:18" s="893" customFormat="1" x14ac:dyDescent="0.3">
      <c r="A2205" s="888" t="s">
        <v>2062</v>
      </c>
      <c r="B2205" s="888" t="s">
        <v>1954</v>
      </c>
      <c r="C2205" s="1008" t="s">
        <v>6887</v>
      </c>
      <c r="D2205" s="888"/>
      <c r="E2205" s="893" t="s">
        <v>4410</v>
      </c>
      <c r="I2205" s="888"/>
      <c r="J2205" s="888"/>
      <c r="K2205" s="888"/>
      <c r="L2205" s="888"/>
      <c r="M2205" s="888"/>
      <c r="N2205" s="888"/>
      <c r="O2205" s="888"/>
      <c r="P2205" s="888"/>
      <c r="Q2205" s="888"/>
      <c r="R2205" s="888"/>
    </row>
    <row r="2206" spans="1:18" s="893" customFormat="1" x14ac:dyDescent="0.3">
      <c r="A2206" s="888" t="s">
        <v>2062</v>
      </c>
      <c r="B2206" s="888" t="s">
        <v>1954</v>
      </c>
      <c r="C2206" s="1008" t="s">
        <v>6888</v>
      </c>
      <c r="D2206" s="888"/>
      <c r="E2206" s="893" t="s">
        <v>4411</v>
      </c>
      <c r="I2206" s="888"/>
      <c r="J2206" s="888"/>
      <c r="K2206" s="888"/>
      <c r="L2206" s="888"/>
      <c r="M2206" s="888"/>
      <c r="N2206" s="888"/>
      <c r="O2206" s="888"/>
      <c r="P2206" s="888"/>
      <c r="Q2206" s="888"/>
      <c r="R2206" s="888"/>
    </row>
    <row r="2207" spans="1:18" s="893" customFormat="1" x14ac:dyDescent="0.3">
      <c r="A2207" s="888" t="s">
        <v>2062</v>
      </c>
      <c r="B2207" s="888" t="s">
        <v>1954</v>
      </c>
      <c r="C2207" s="1008" t="s">
        <v>6889</v>
      </c>
      <c r="D2207" s="888"/>
      <c r="E2207" s="893" t="str">
        <f>$E$2187</f>
        <v>Polyisocyanurate - roof boards</v>
      </c>
      <c r="I2207" s="888"/>
      <c r="J2207" s="888"/>
      <c r="K2207" s="888"/>
      <c r="L2207" s="888"/>
      <c r="M2207" s="888"/>
      <c r="N2207" s="888"/>
      <c r="O2207" s="888"/>
      <c r="P2207" s="888"/>
      <c r="Q2207" s="888"/>
      <c r="R2207" s="888"/>
    </row>
    <row r="2208" spans="1:18" s="893" customFormat="1" x14ac:dyDescent="0.3">
      <c r="A2208" s="888" t="s">
        <v>2062</v>
      </c>
      <c r="B2208" s="888" t="s">
        <v>1954</v>
      </c>
      <c r="C2208" s="1008" t="s">
        <v>6890</v>
      </c>
      <c r="D2208" s="888"/>
      <c r="E2208" s="893" t="str">
        <f>$E$2176</f>
        <v>Hunter</v>
      </c>
      <c r="I2208" s="888"/>
      <c r="J2208" s="888"/>
      <c r="K2208" s="888"/>
      <c r="L2208" s="888"/>
      <c r="M2208" s="888"/>
      <c r="N2208" s="888"/>
      <c r="O2208" s="888"/>
      <c r="P2208" s="888"/>
      <c r="Q2208" s="888"/>
      <c r="R2208" s="888"/>
    </row>
    <row r="2209" spans="1:18" s="893" customFormat="1" x14ac:dyDescent="0.3">
      <c r="A2209" s="888" t="s">
        <v>2062</v>
      </c>
      <c r="B2209" s="888" t="s">
        <v>1954</v>
      </c>
      <c r="C2209" s="1008" t="s">
        <v>6891</v>
      </c>
      <c r="D2209" s="888"/>
      <c r="E2209" s="893" t="str">
        <f>$E$2205</f>
        <v>High density cover boards</v>
      </c>
      <c r="I2209" s="888"/>
      <c r="J2209" s="888"/>
      <c r="K2209" s="888"/>
      <c r="L2209" s="888"/>
      <c r="M2209" s="888"/>
      <c r="N2209" s="888"/>
      <c r="O2209" s="888"/>
      <c r="P2209" s="888"/>
      <c r="Q2209" s="888"/>
      <c r="R2209" s="888"/>
    </row>
    <row r="2210" spans="1:18" s="893" customFormat="1" x14ac:dyDescent="0.3">
      <c r="A2210" s="888" t="s">
        <v>2062</v>
      </c>
      <c r="B2210" s="888" t="s">
        <v>1954</v>
      </c>
      <c r="C2210" s="1008" t="s">
        <v>6892</v>
      </c>
      <c r="D2210" s="888"/>
      <c r="E2210" s="893" t="str">
        <f>$E$2206</f>
        <v>Type II, R 5.0-inch, 80 psi</v>
      </c>
      <c r="I2210" s="888"/>
      <c r="J2210" s="888"/>
      <c r="K2210" s="888"/>
      <c r="L2210" s="888"/>
      <c r="M2210" s="888"/>
      <c r="N2210" s="888"/>
      <c r="O2210" s="888"/>
      <c r="P2210" s="888"/>
      <c r="Q2210" s="888"/>
      <c r="R2210" s="888"/>
    </row>
    <row r="2211" spans="1:18" s="893" customFormat="1" x14ac:dyDescent="0.3">
      <c r="A2211" s="888" t="s">
        <v>2062</v>
      </c>
      <c r="B2211" s="888" t="s">
        <v>1954</v>
      </c>
      <c r="C2211" s="1008" t="s">
        <v>6893</v>
      </c>
      <c r="D2211" s="888"/>
      <c r="E2211" s="893" t="str">
        <f>$E$2187</f>
        <v>Polyisocyanurate - roof boards</v>
      </c>
      <c r="I2211" s="888"/>
      <c r="J2211" s="888"/>
      <c r="K2211" s="888"/>
      <c r="L2211" s="888"/>
      <c r="M2211" s="888"/>
      <c r="N2211" s="888"/>
      <c r="O2211" s="888"/>
      <c r="P2211" s="888"/>
      <c r="Q2211" s="888"/>
      <c r="R2211" s="888"/>
    </row>
    <row r="2212" spans="1:18" s="893" customFormat="1" x14ac:dyDescent="0.3">
      <c r="A2212" s="888" t="s">
        <v>2062</v>
      </c>
      <c r="B2212" s="888" t="s">
        <v>1954</v>
      </c>
      <c r="C2212" s="1008" t="s">
        <v>6894</v>
      </c>
      <c r="D2212" s="888"/>
      <c r="E2212" s="893" t="str">
        <f>$E$2180</f>
        <v>PIMA</v>
      </c>
      <c r="I2212" s="888"/>
      <c r="J2212" s="888"/>
      <c r="K2212" s="888"/>
      <c r="L2212" s="888"/>
      <c r="M2212" s="888"/>
      <c r="N2212" s="888"/>
      <c r="O2212" s="888"/>
      <c r="P2212" s="888"/>
      <c r="Q2212" s="888"/>
      <c r="R2212" s="888"/>
    </row>
    <row r="2213" spans="1:18" s="893" customFormat="1" x14ac:dyDescent="0.3">
      <c r="A2213" s="888" t="s">
        <v>2062</v>
      </c>
      <c r="B2213" s="888" t="s">
        <v>1954</v>
      </c>
      <c r="C2213" s="1008" t="s">
        <v>6895</v>
      </c>
      <c r="D2213" s="888"/>
      <c r="E2213" s="893" t="s">
        <v>4414</v>
      </c>
      <c r="I2213" s="888"/>
      <c r="J2213" s="888"/>
      <c r="K2213" s="888"/>
      <c r="L2213" s="888"/>
      <c r="M2213" s="888"/>
      <c r="N2213" s="888"/>
      <c r="O2213" s="888"/>
      <c r="P2213" s="888"/>
      <c r="Q2213" s="888"/>
      <c r="R2213" s="888"/>
    </row>
    <row r="2214" spans="1:18" s="893" customFormat="1" x14ac:dyDescent="0.3">
      <c r="A2214" s="888" t="s">
        <v>2062</v>
      </c>
      <c r="B2214" s="888" t="s">
        <v>1954</v>
      </c>
      <c r="C2214" s="1008" t="s">
        <v>3882</v>
      </c>
      <c r="D2214" s="888"/>
      <c r="E2214" s="893" t="str">
        <f>$E$2187</f>
        <v>Polyisocyanurate - roof boards</v>
      </c>
      <c r="I2214" s="888"/>
      <c r="J2214" s="888"/>
      <c r="K2214" s="888"/>
      <c r="L2214" s="888"/>
      <c r="M2214" s="888"/>
      <c r="N2214" s="888"/>
      <c r="O2214" s="888"/>
      <c r="P2214" s="888"/>
      <c r="Q2214" s="888"/>
      <c r="R2214" s="888"/>
    </row>
    <row r="2215" spans="1:18" s="893" customFormat="1" x14ac:dyDescent="0.3">
      <c r="A2215" s="888" t="s">
        <v>2062</v>
      </c>
      <c r="B2215" s="888" t="s">
        <v>1954</v>
      </c>
      <c r="C2215" s="1008" t="s">
        <v>5233</v>
      </c>
      <c r="D2215" s="888"/>
      <c r="E2215" s="893" t="str">
        <f>$E$2184</f>
        <v>Versico</v>
      </c>
      <c r="I2215" s="888"/>
      <c r="J2215" s="888"/>
      <c r="K2215" s="888"/>
      <c r="L2215" s="888"/>
      <c r="M2215" s="888"/>
      <c r="N2215" s="888"/>
      <c r="O2215" s="888"/>
      <c r="P2215" s="888"/>
      <c r="Q2215" s="888"/>
      <c r="R2215" s="888"/>
    </row>
    <row r="2216" spans="1:18" s="893" customFormat="1" x14ac:dyDescent="0.3">
      <c r="A2216" s="888" t="s">
        <v>2062</v>
      </c>
      <c r="B2216" s="888" t="s">
        <v>1954</v>
      </c>
      <c r="C2216" s="1008" t="s">
        <v>6896</v>
      </c>
      <c r="D2216" s="888"/>
      <c r="E2216" s="893" t="str">
        <f>$E$2205</f>
        <v>High density cover boards</v>
      </c>
      <c r="I2216" s="888"/>
      <c r="J2216" s="888"/>
      <c r="K2216" s="888"/>
      <c r="L2216" s="888"/>
      <c r="M2216" s="888"/>
      <c r="N2216" s="888"/>
      <c r="O2216" s="888"/>
      <c r="P2216" s="888"/>
      <c r="Q2216" s="888"/>
      <c r="R2216" s="888"/>
    </row>
    <row r="2217" spans="1:18" s="893" customFormat="1" x14ac:dyDescent="0.3">
      <c r="A2217" s="888" t="s">
        <v>2062</v>
      </c>
      <c r="B2217" s="888" t="s">
        <v>1954</v>
      </c>
      <c r="C2217" s="1008" t="s">
        <v>5234</v>
      </c>
      <c r="D2217" s="888"/>
      <c r="E2217" s="893" t="str">
        <f>$E$2206</f>
        <v>Type II, R 5.0-inch, 80 psi</v>
      </c>
      <c r="I2217" s="888"/>
      <c r="J2217" s="888"/>
      <c r="K2217" s="888"/>
      <c r="L2217" s="888"/>
      <c r="M2217" s="888"/>
      <c r="N2217" s="888"/>
      <c r="O2217" s="888"/>
      <c r="P2217" s="888"/>
      <c r="Q2217" s="888"/>
      <c r="R2217" s="888"/>
    </row>
    <row r="2218" spans="1:18" s="893" customFormat="1" x14ac:dyDescent="0.3">
      <c r="A2218" s="888" t="s">
        <v>2062</v>
      </c>
      <c r="B2218" s="888" t="s">
        <v>1954</v>
      </c>
      <c r="C2218" s="1008" t="s">
        <v>2362</v>
      </c>
      <c r="D2218" s="888"/>
      <c r="E2218" s="893" t="s">
        <v>551</v>
      </c>
      <c r="I2218" s="888"/>
      <c r="J2218" s="888"/>
      <c r="K2218" s="888"/>
      <c r="L2218" s="888"/>
      <c r="M2218" s="888"/>
      <c r="N2218" s="888"/>
      <c r="O2218" s="888"/>
      <c r="P2218" s="888"/>
      <c r="Q2218" s="888"/>
      <c r="R2218" s="888"/>
    </row>
    <row r="2219" spans="1:18" s="893" customFormat="1" x14ac:dyDescent="0.3">
      <c r="A2219" s="888" t="s">
        <v>2062</v>
      </c>
      <c r="B2219" s="888" t="s">
        <v>1954</v>
      </c>
      <c r="C2219" s="1008" t="s">
        <v>6897</v>
      </c>
      <c r="D2219" s="888"/>
      <c r="E2219" s="893" t="str">
        <f>$E$2176</f>
        <v>Hunter</v>
      </c>
      <c r="I2219" s="888"/>
      <c r="J2219" s="888"/>
      <c r="K2219" s="888"/>
      <c r="L2219" s="888"/>
      <c r="M2219" s="888"/>
      <c r="N2219" s="888"/>
      <c r="O2219" s="888"/>
      <c r="P2219" s="888"/>
      <c r="Q2219" s="888"/>
      <c r="R2219" s="888"/>
    </row>
    <row r="2220" spans="1:18" s="893" customFormat="1" x14ac:dyDescent="0.3">
      <c r="A2220" s="888" t="s">
        <v>2062</v>
      </c>
      <c r="B2220" s="888" t="s">
        <v>1954</v>
      </c>
      <c r="C2220" s="1008" t="s">
        <v>6898</v>
      </c>
      <c r="D2220" s="888"/>
      <c r="E2220" s="893" t="s">
        <v>3521</v>
      </c>
      <c r="I2220" s="888"/>
      <c r="J2220" s="888"/>
      <c r="K2220" s="888"/>
      <c r="L2220" s="888"/>
      <c r="M2220" s="888"/>
      <c r="N2220" s="888"/>
      <c r="O2220" s="888"/>
      <c r="P2220" s="888"/>
      <c r="Q2220" s="888"/>
      <c r="R2220" s="888"/>
    </row>
    <row r="2221" spans="1:18" s="893" customFormat="1" x14ac:dyDescent="0.3">
      <c r="A2221" s="888" t="s">
        <v>2062</v>
      </c>
      <c r="B2221" s="888" t="s">
        <v>1954</v>
      </c>
      <c r="C2221" s="1008" t="s">
        <v>3883</v>
      </c>
      <c r="D2221" s="888"/>
      <c r="E2221" s="893" t="str">
        <f>$E$2218</f>
        <v>Polyiso - wall boards</v>
      </c>
      <c r="I2221" s="888"/>
      <c r="J2221" s="888"/>
      <c r="K2221" s="888"/>
      <c r="L2221" s="888"/>
      <c r="M2221" s="888"/>
      <c r="N2221" s="888"/>
      <c r="O2221" s="888"/>
      <c r="P2221" s="888"/>
      <c r="Q2221" s="888"/>
      <c r="R2221" s="888"/>
    </row>
    <row r="2222" spans="1:18" s="893" customFormat="1" x14ac:dyDescent="0.3">
      <c r="A2222" s="888" t="s">
        <v>2062</v>
      </c>
      <c r="B2222" s="888" t="s">
        <v>1954</v>
      </c>
      <c r="C2222" s="1008" t="s">
        <v>5235</v>
      </c>
      <c r="D2222" s="888"/>
      <c r="E2222" s="893" t="s">
        <v>4418</v>
      </c>
      <c r="I2222" s="888"/>
      <c r="J2222" s="888"/>
      <c r="K2222" s="888"/>
      <c r="L2222" s="888"/>
      <c r="M2222" s="888"/>
      <c r="N2222" s="888"/>
      <c r="O2222" s="888"/>
      <c r="P2222" s="888"/>
      <c r="Q2222" s="888"/>
      <c r="R2222" s="888"/>
    </row>
    <row r="2223" spans="1:18" s="893" customFormat="1" x14ac:dyDescent="0.3">
      <c r="A2223" s="888" t="s">
        <v>2062</v>
      </c>
      <c r="B2223" s="888" t="s">
        <v>1954</v>
      </c>
      <c r="C2223" s="1008" t="s">
        <v>5236</v>
      </c>
      <c r="D2223" s="888"/>
      <c r="E2223" s="893" t="s">
        <v>4419</v>
      </c>
      <c r="I2223" s="888"/>
      <c r="J2223" s="888"/>
      <c r="K2223" s="888"/>
      <c r="L2223" s="888"/>
      <c r="M2223" s="888"/>
      <c r="N2223" s="888"/>
      <c r="O2223" s="888"/>
      <c r="P2223" s="888"/>
      <c r="Q2223" s="888"/>
      <c r="R2223" s="888"/>
    </row>
    <row r="2224" spans="1:18" s="893" customFormat="1" x14ac:dyDescent="0.3">
      <c r="A2224" s="888" t="s">
        <v>2062</v>
      </c>
      <c r="B2224" s="888" t="s">
        <v>1954</v>
      </c>
      <c r="C2224" s="1008" t="s">
        <v>3884</v>
      </c>
      <c r="D2224" s="888"/>
      <c r="E2224" s="893" t="s">
        <v>559</v>
      </c>
      <c r="I2224" s="888"/>
      <c r="J2224" s="888"/>
      <c r="K2224" s="888"/>
      <c r="L2224" s="888"/>
      <c r="M2224" s="888"/>
      <c r="N2224" s="888"/>
      <c r="O2224" s="888"/>
      <c r="P2224" s="888"/>
      <c r="Q2224" s="888"/>
      <c r="R2224" s="888"/>
    </row>
    <row r="2225" spans="1:18" s="893" customFormat="1" x14ac:dyDescent="0.3">
      <c r="A2225" s="888" t="s">
        <v>2062</v>
      </c>
      <c r="B2225" s="888" t="s">
        <v>1954</v>
      </c>
      <c r="C2225" s="1008" t="s">
        <v>6899</v>
      </c>
      <c r="D2225" s="888"/>
      <c r="E2225" s="893" t="s">
        <v>564</v>
      </c>
      <c r="I2225" s="888"/>
      <c r="J2225" s="888"/>
      <c r="K2225" s="888"/>
      <c r="L2225" s="888"/>
      <c r="M2225" s="888"/>
      <c r="N2225" s="888"/>
      <c r="O2225" s="888"/>
      <c r="P2225" s="888"/>
      <c r="Q2225" s="888"/>
      <c r="R2225" s="888"/>
    </row>
    <row r="2226" spans="1:18" s="893" customFormat="1" x14ac:dyDescent="0.3">
      <c r="A2226" s="888" t="s">
        <v>2062</v>
      </c>
      <c r="B2226" s="888" t="s">
        <v>1954</v>
      </c>
      <c r="C2226" s="1008" t="s">
        <v>6900</v>
      </c>
      <c r="D2226" s="888"/>
      <c r="E2226" s="893" t="s">
        <v>3523</v>
      </c>
      <c r="I2226" s="888"/>
      <c r="J2226" s="888"/>
      <c r="K2226" s="888"/>
      <c r="L2226" s="888"/>
      <c r="M2226" s="888"/>
      <c r="N2226" s="888"/>
      <c r="O2226" s="888"/>
      <c r="P2226" s="888"/>
      <c r="Q2226" s="888"/>
      <c r="R2226" s="888"/>
    </row>
    <row r="2227" spans="1:18" s="893" customFormat="1" x14ac:dyDescent="0.3">
      <c r="A2227" s="888" t="s">
        <v>2062</v>
      </c>
      <c r="B2227" s="888" t="s">
        <v>1954</v>
      </c>
      <c r="C2227" s="1008" t="s">
        <v>6901</v>
      </c>
      <c r="D2227" s="888"/>
      <c r="E2227" s="893" t="s">
        <v>893</v>
      </c>
      <c r="I2227" s="888"/>
      <c r="J2227" s="888"/>
      <c r="K2227" s="888"/>
      <c r="L2227" s="888"/>
      <c r="M2227" s="888"/>
      <c r="N2227" s="888"/>
      <c r="O2227" s="888"/>
      <c r="P2227" s="888"/>
      <c r="Q2227" s="888"/>
      <c r="R2227" s="888"/>
    </row>
    <row r="2228" spans="1:18" s="893" customFormat="1" x14ac:dyDescent="0.3">
      <c r="A2228" s="888" t="s">
        <v>2062</v>
      </c>
      <c r="B2228" s="888" t="s">
        <v>1954</v>
      </c>
      <c r="C2228" s="1008" t="s">
        <v>3885</v>
      </c>
      <c r="D2228" s="888"/>
      <c r="E2228" s="893" t="s">
        <v>569</v>
      </c>
      <c r="I2228" s="888"/>
      <c r="J2228" s="888"/>
      <c r="K2228" s="888"/>
      <c r="L2228" s="888"/>
      <c r="M2228" s="888"/>
      <c r="N2228" s="888"/>
      <c r="O2228" s="888"/>
      <c r="P2228" s="888"/>
      <c r="Q2228" s="888"/>
      <c r="R2228" s="888"/>
    </row>
    <row r="2229" spans="1:18" s="893" customFormat="1" x14ac:dyDescent="0.3">
      <c r="A2229" s="888" t="s">
        <v>2062</v>
      </c>
      <c r="B2229" s="888" t="s">
        <v>1954</v>
      </c>
      <c r="C2229" s="1008" t="s">
        <v>5237</v>
      </c>
      <c r="D2229" s="888"/>
      <c r="E2229" s="893" t="s">
        <v>570</v>
      </c>
      <c r="I2229" s="888"/>
      <c r="J2229" s="888"/>
      <c r="K2229" s="888"/>
      <c r="L2229" s="888"/>
      <c r="M2229" s="888"/>
      <c r="N2229" s="888"/>
      <c r="O2229" s="888"/>
      <c r="P2229" s="888"/>
      <c r="Q2229" s="888"/>
      <c r="R2229" s="888"/>
    </row>
    <row r="2230" spans="1:18" s="893" customFormat="1" x14ac:dyDescent="0.3">
      <c r="A2230" s="888" t="s">
        <v>2062</v>
      </c>
      <c r="B2230" s="888" t="s">
        <v>1954</v>
      </c>
      <c r="C2230" s="1008" t="s">
        <v>3886</v>
      </c>
      <c r="D2230" s="888"/>
      <c r="E2230" s="893" t="s">
        <v>571</v>
      </c>
      <c r="I2230" s="888"/>
      <c r="J2230" s="888"/>
      <c r="K2230" s="888"/>
      <c r="L2230" s="888"/>
      <c r="M2230" s="888"/>
      <c r="N2230" s="888"/>
      <c r="O2230" s="888"/>
      <c r="P2230" s="888"/>
      <c r="Q2230" s="888"/>
      <c r="R2230" s="888"/>
    </row>
    <row r="2231" spans="1:18" s="893" customFormat="1" x14ac:dyDescent="0.3">
      <c r="A2231" s="888" t="s">
        <v>2062</v>
      </c>
      <c r="B2231" s="888" t="s">
        <v>1954</v>
      </c>
      <c r="C2231" s="1008" t="s">
        <v>6903</v>
      </c>
      <c r="D2231" s="888"/>
      <c r="E2231" s="893" t="s">
        <v>572</v>
      </c>
      <c r="I2231" s="888"/>
      <c r="J2231" s="888"/>
      <c r="K2231" s="888"/>
      <c r="L2231" s="888"/>
      <c r="M2231" s="888"/>
      <c r="N2231" s="888"/>
      <c r="O2231" s="888"/>
      <c r="P2231" s="888"/>
      <c r="Q2231" s="888"/>
      <c r="R2231" s="888"/>
    </row>
    <row r="2232" spans="1:18" s="893" customFormat="1" x14ac:dyDescent="0.3">
      <c r="A2232" s="888" t="s">
        <v>2062</v>
      </c>
      <c r="B2232" s="888" t="s">
        <v>1954</v>
      </c>
      <c r="C2232" s="1008" t="s">
        <v>6904</v>
      </c>
      <c r="D2232" s="888"/>
      <c r="E2232" s="893" t="s">
        <v>574</v>
      </c>
      <c r="I2232" s="888"/>
      <c r="J2232" s="888"/>
      <c r="K2232" s="888"/>
      <c r="L2232" s="888"/>
      <c r="M2232" s="888"/>
      <c r="N2232" s="888"/>
      <c r="O2232" s="888"/>
      <c r="P2232" s="888"/>
      <c r="Q2232" s="888"/>
      <c r="R2232" s="888"/>
    </row>
    <row r="2233" spans="1:18" s="893" customFormat="1" x14ac:dyDescent="0.3">
      <c r="A2233" s="888" t="s">
        <v>2062</v>
      </c>
      <c r="B2233" s="888" t="s">
        <v>1954</v>
      </c>
      <c r="C2233" s="1008" t="s">
        <v>6905</v>
      </c>
      <c r="D2233" s="888"/>
      <c r="E2233" s="893" t="s">
        <v>575</v>
      </c>
      <c r="I2233" s="888"/>
      <c r="J2233" s="888"/>
      <c r="K2233" s="888"/>
      <c r="L2233" s="888"/>
      <c r="M2233" s="888"/>
      <c r="N2233" s="888"/>
      <c r="O2233" s="888"/>
      <c r="P2233" s="888"/>
      <c r="Q2233" s="888"/>
      <c r="R2233" s="888"/>
    </row>
    <row r="2234" spans="1:18" s="893" customFormat="1" x14ac:dyDescent="0.3">
      <c r="A2234" s="888" t="s">
        <v>2062</v>
      </c>
      <c r="B2234" s="888" t="s">
        <v>1954</v>
      </c>
      <c r="C2234" s="1008" t="s">
        <v>3887</v>
      </c>
      <c r="D2234" s="888"/>
      <c r="E2234" s="893" t="str">
        <f>$E$2232</f>
        <v>Rammed earth</v>
      </c>
      <c r="I2234" s="888"/>
      <c r="J2234" s="888"/>
      <c r="K2234" s="888"/>
      <c r="L2234" s="888"/>
      <c r="M2234" s="888"/>
      <c r="N2234" s="888"/>
      <c r="O2234" s="888"/>
      <c r="P2234" s="888"/>
      <c r="Q2234" s="888"/>
      <c r="R2234" s="888"/>
    </row>
    <row r="2235" spans="1:18" s="893" customFormat="1" x14ac:dyDescent="0.3">
      <c r="A2235" s="888" t="s">
        <v>2062</v>
      </c>
      <c r="B2235" s="888" t="s">
        <v>1954</v>
      </c>
      <c r="C2235" s="1008" t="s">
        <v>3888</v>
      </c>
      <c r="D2235" s="888"/>
      <c r="E2235" s="893" t="s">
        <v>579</v>
      </c>
      <c r="I2235" s="888"/>
      <c r="J2235" s="888"/>
      <c r="K2235" s="888"/>
      <c r="L2235" s="888"/>
      <c r="M2235" s="888"/>
      <c r="N2235" s="888"/>
      <c r="O2235" s="888"/>
      <c r="P2235" s="888"/>
      <c r="Q2235" s="888"/>
      <c r="R2235" s="888"/>
    </row>
    <row r="2236" spans="1:18" s="893" customFormat="1" x14ac:dyDescent="0.3">
      <c r="A2236" s="888" t="s">
        <v>2062</v>
      </c>
      <c r="B2236" s="888" t="s">
        <v>1954</v>
      </c>
      <c r="C2236" s="1008" t="s">
        <v>3889</v>
      </c>
      <c r="D2236" s="888"/>
      <c r="E2236" s="893" t="str">
        <f>$E$2232</f>
        <v>Rammed earth</v>
      </c>
      <c r="I2236" s="888"/>
      <c r="J2236" s="888"/>
      <c r="K2236" s="888"/>
      <c r="L2236" s="888"/>
      <c r="M2236" s="888"/>
      <c r="N2236" s="888"/>
      <c r="O2236" s="888"/>
      <c r="P2236" s="888"/>
      <c r="Q2236" s="888"/>
      <c r="R2236" s="888"/>
    </row>
    <row r="2237" spans="1:18" s="893" customFormat="1" x14ac:dyDescent="0.3">
      <c r="A2237" s="888" t="s">
        <v>2062</v>
      </c>
      <c r="B2237" s="888" t="s">
        <v>1954</v>
      </c>
      <c r="C2237" s="1008" t="s">
        <v>3890</v>
      </c>
      <c r="D2237" s="888"/>
      <c r="E2237" s="893" t="s">
        <v>581</v>
      </c>
      <c r="I2237" s="888"/>
      <c r="J2237" s="888"/>
      <c r="K2237" s="888"/>
      <c r="L2237" s="888"/>
      <c r="M2237" s="888"/>
      <c r="N2237" s="888"/>
      <c r="O2237" s="888"/>
      <c r="P2237" s="888"/>
      <c r="Q2237" s="888"/>
      <c r="R2237" s="888"/>
    </row>
    <row r="2238" spans="1:18" s="893" customFormat="1" x14ac:dyDescent="0.3">
      <c r="A2238" s="888" t="s">
        <v>2062</v>
      </c>
      <c r="B2238" s="888" t="s">
        <v>1954</v>
      </c>
      <c r="C2238" s="1008" t="s">
        <v>3891</v>
      </c>
      <c r="D2238" s="888"/>
      <c r="E2238" s="893" t="s">
        <v>583</v>
      </c>
      <c r="I2238" s="888"/>
      <c r="J2238" s="888"/>
      <c r="K2238" s="888"/>
      <c r="L2238" s="888"/>
      <c r="M2238" s="888"/>
      <c r="N2238" s="888"/>
      <c r="O2238" s="888"/>
      <c r="P2238" s="888"/>
      <c r="Q2238" s="888"/>
      <c r="R2238" s="888"/>
    </row>
    <row r="2239" spans="1:18" s="893" customFormat="1" x14ac:dyDescent="0.3">
      <c r="A2239" s="888" t="s">
        <v>2062</v>
      </c>
      <c r="B2239" s="888" t="s">
        <v>1954</v>
      </c>
      <c r="C2239" s="1008" t="s">
        <v>5238</v>
      </c>
      <c r="D2239" s="888"/>
      <c r="E2239" s="893" t="s">
        <v>584</v>
      </c>
      <c r="I2239" s="888"/>
      <c r="J2239" s="888"/>
      <c r="K2239" s="888"/>
      <c r="L2239" s="888"/>
      <c r="M2239" s="888"/>
      <c r="N2239" s="888"/>
      <c r="O2239" s="888"/>
      <c r="P2239" s="888"/>
      <c r="Q2239" s="888"/>
      <c r="R2239" s="888"/>
    </row>
    <row r="2240" spans="1:18" s="893" customFormat="1" x14ac:dyDescent="0.3">
      <c r="A2240" s="888" t="s">
        <v>2062</v>
      </c>
      <c r="B2240" s="888" t="s">
        <v>1954</v>
      </c>
      <c r="C2240" s="1008" t="s">
        <v>3892</v>
      </c>
      <c r="D2240" s="888"/>
      <c r="E2240" s="893" t="s">
        <v>4423</v>
      </c>
      <c r="I2240" s="888"/>
      <c r="J2240" s="888"/>
      <c r="K2240" s="888"/>
      <c r="L2240" s="888"/>
      <c r="M2240" s="888"/>
      <c r="N2240" s="888"/>
      <c r="O2240" s="888"/>
      <c r="P2240" s="888"/>
      <c r="Q2240" s="888"/>
      <c r="R2240" s="888"/>
    </row>
    <row r="2241" spans="1:18" s="893" customFormat="1" x14ac:dyDescent="0.3">
      <c r="A2241" s="888" t="s">
        <v>2062</v>
      </c>
      <c r="B2241" s="888" t="s">
        <v>1954</v>
      </c>
      <c r="C2241" s="1008" t="s">
        <v>3893</v>
      </c>
      <c r="D2241" s="888"/>
      <c r="E2241" s="893" t="str">
        <f>$E$2238</f>
        <v>Rebar</v>
      </c>
      <c r="I2241" s="888"/>
      <c r="J2241" s="888"/>
      <c r="K2241" s="888"/>
      <c r="L2241" s="888"/>
      <c r="M2241" s="888"/>
      <c r="N2241" s="888"/>
      <c r="O2241" s="888"/>
      <c r="P2241" s="888"/>
      <c r="Q2241" s="888"/>
      <c r="R2241" s="888"/>
    </row>
    <row r="2242" spans="1:18" s="893" customFormat="1" x14ac:dyDescent="0.3">
      <c r="A2242" s="888" t="s">
        <v>2062</v>
      </c>
      <c r="B2242" s="888" t="s">
        <v>1954</v>
      </c>
      <c r="C2242" s="1008" t="s">
        <v>5239</v>
      </c>
      <c r="D2242" s="888"/>
      <c r="E2242" s="893" t="str">
        <f>$E$2239</f>
        <v>Concrete Reinforcing Steel Institute</v>
      </c>
      <c r="I2242" s="888"/>
      <c r="J2242" s="888"/>
      <c r="K2242" s="888"/>
      <c r="L2242" s="888"/>
      <c r="M2242" s="888"/>
      <c r="N2242" s="888"/>
      <c r="O2242" s="888"/>
      <c r="P2242" s="888"/>
      <c r="Q2242" s="888"/>
      <c r="R2242" s="888"/>
    </row>
    <row r="2243" spans="1:18" s="893" customFormat="1" x14ac:dyDescent="0.3">
      <c r="A2243" s="888" t="s">
        <v>2062</v>
      </c>
      <c r="B2243" s="888" t="s">
        <v>1954</v>
      </c>
      <c r="C2243" s="1008" t="s">
        <v>6907</v>
      </c>
      <c r="D2243" s="888"/>
      <c r="E2243" s="893" t="str">
        <f>$E$2240</f>
        <v>Canadian sizes -98% recycled, EAF</v>
      </c>
      <c r="I2243" s="888"/>
      <c r="J2243" s="888"/>
      <c r="K2243" s="888"/>
      <c r="L2243" s="888"/>
      <c r="M2243" s="888"/>
      <c r="N2243" s="888"/>
      <c r="O2243" s="888"/>
      <c r="P2243" s="888"/>
      <c r="Q2243" s="888"/>
      <c r="R2243" s="888"/>
    </row>
    <row r="2244" spans="1:18" s="893" customFormat="1" x14ac:dyDescent="0.3">
      <c r="A2244" s="888" t="s">
        <v>2062</v>
      </c>
      <c r="B2244" s="888" t="s">
        <v>1954</v>
      </c>
      <c r="C2244" s="1008" t="s">
        <v>3894</v>
      </c>
      <c r="D2244" s="888"/>
      <c r="E2244" s="893" t="s">
        <v>589</v>
      </c>
      <c r="I2244" s="888"/>
      <c r="J2244" s="888"/>
      <c r="K2244" s="888"/>
      <c r="L2244" s="888"/>
      <c r="M2244" s="888"/>
      <c r="N2244" s="888"/>
      <c r="O2244" s="888"/>
      <c r="P2244" s="888"/>
      <c r="Q2244" s="888"/>
      <c r="R2244" s="888"/>
    </row>
    <row r="2245" spans="1:18" s="893" customFormat="1" x14ac:dyDescent="0.3">
      <c r="A2245" s="888" t="s">
        <v>2062</v>
      </c>
      <c r="B2245" s="888" t="s">
        <v>1954</v>
      </c>
      <c r="C2245" s="1008" t="s">
        <v>6908</v>
      </c>
      <c r="D2245" s="888"/>
      <c r="E2245" s="893" t="s">
        <v>592</v>
      </c>
      <c r="I2245" s="888"/>
      <c r="J2245" s="888"/>
      <c r="K2245" s="888"/>
      <c r="L2245" s="888"/>
      <c r="M2245" s="888"/>
      <c r="N2245" s="888"/>
      <c r="O2245" s="888"/>
      <c r="P2245" s="888"/>
      <c r="Q2245" s="888"/>
      <c r="R2245" s="888"/>
    </row>
    <row r="2246" spans="1:18" s="893" customFormat="1" x14ac:dyDescent="0.3">
      <c r="A2246" s="888" t="s">
        <v>2062</v>
      </c>
      <c r="B2246" s="888" t="s">
        <v>1954</v>
      </c>
      <c r="C2246" s="1008" t="s">
        <v>6909</v>
      </c>
      <c r="D2246" s="888"/>
      <c r="E2246" s="893" t="s">
        <v>593</v>
      </c>
      <c r="I2246" s="888"/>
      <c r="J2246" s="888"/>
      <c r="K2246" s="888"/>
      <c r="L2246" s="888"/>
      <c r="M2246" s="888"/>
      <c r="N2246" s="888"/>
      <c r="O2246" s="888"/>
      <c r="P2246" s="888"/>
      <c r="Q2246" s="888"/>
      <c r="R2246" s="888"/>
    </row>
    <row r="2247" spans="1:18" s="893" customFormat="1" x14ac:dyDescent="0.3">
      <c r="A2247" s="888" t="s">
        <v>2062</v>
      </c>
      <c r="B2247" s="888" t="s">
        <v>1954</v>
      </c>
      <c r="C2247" s="1008" t="s">
        <v>3895</v>
      </c>
      <c r="D2247" s="888"/>
      <c r="E2247" s="893" t="s">
        <v>595</v>
      </c>
      <c r="I2247" s="888"/>
      <c r="J2247" s="888"/>
      <c r="K2247" s="888"/>
      <c r="L2247" s="888"/>
      <c r="M2247" s="888"/>
      <c r="N2247" s="888"/>
      <c r="O2247" s="888"/>
      <c r="P2247" s="888"/>
      <c r="Q2247" s="888"/>
      <c r="R2247" s="888"/>
    </row>
    <row r="2248" spans="1:18" s="893" customFormat="1" x14ac:dyDescent="0.3">
      <c r="A2248" s="888" t="s">
        <v>2062</v>
      </c>
      <c r="B2248" s="888" t="s">
        <v>1954</v>
      </c>
      <c r="C2248" s="1008" t="s">
        <v>3999</v>
      </c>
      <c r="D2248" s="888"/>
      <c r="E2248" s="893" t="s">
        <v>596</v>
      </c>
      <c r="I2248" s="888"/>
      <c r="J2248" s="888"/>
      <c r="K2248" s="888"/>
      <c r="L2248" s="888"/>
      <c r="M2248" s="888"/>
      <c r="N2248" s="888"/>
      <c r="O2248" s="888"/>
      <c r="P2248" s="888"/>
      <c r="Q2248" s="888"/>
      <c r="R2248" s="888"/>
    </row>
    <row r="2249" spans="1:18" s="893" customFormat="1" x14ac:dyDescent="0.3">
      <c r="A2249" s="888" t="s">
        <v>2062</v>
      </c>
      <c r="B2249" s="888" t="s">
        <v>1954</v>
      </c>
      <c r="C2249" s="1008" t="s">
        <v>6910</v>
      </c>
      <c r="D2249" s="888"/>
      <c r="E2249" s="893" t="s">
        <v>597</v>
      </c>
      <c r="I2249" s="888"/>
      <c r="J2249" s="888"/>
      <c r="K2249" s="888"/>
      <c r="L2249" s="888"/>
      <c r="M2249" s="888"/>
      <c r="N2249" s="888"/>
      <c r="O2249" s="888"/>
      <c r="P2249" s="888"/>
      <c r="Q2249" s="888"/>
      <c r="R2249" s="888"/>
    </row>
    <row r="2250" spans="1:18" s="893" customFormat="1" x14ac:dyDescent="0.3">
      <c r="A2250" s="888" t="s">
        <v>2062</v>
      </c>
      <c r="B2250" s="888" t="s">
        <v>1954</v>
      </c>
      <c r="C2250" s="1008" t="s">
        <v>6911</v>
      </c>
      <c r="D2250" s="888"/>
      <c r="E2250" s="893" t="s">
        <v>599</v>
      </c>
      <c r="I2250" s="888"/>
      <c r="J2250" s="888"/>
      <c r="K2250" s="888"/>
      <c r="L2250" s="888"/>
      <c r="M2250" s="888"/>
      <c r="N2250" s="888"/>
      <c r="O2250" s="888"/>
      <c r="P2250" s="888"/>
      <c r="Q2250" s="888"/>
      <c r="R2250" s="888"/>
    </row>
    <row r="2251" spans="1:18" s="893" customFormat="1" x14ac:dyDescent="0.3">
      <c r="A2251" s="888" t="s">
        <v>2062</v>
      </c>
      <c r="B2251" s="888" t="s">
        <v>1954</v>
      </c>
      <c r="C2251" s="1008" t="s">
        <v>6912</v>
      </c>
      <c r="D2251" s="888"/>
      <c r="E2251" s="893" t="s">
        <v>600</v>
      </c>
      <c r="I2251" s="888"/>
      <c r="J2251" s="888"/>
      <c r="K2251" s="888"/>
      <c r="L2251" s="888"/>
      <c r="M2251" s="888"/>
      <c r="N2251" s="888"/>
      <c r="O2251" s="888"/>
      <c r="P2251" s="888"/>
      <c r="Q2251" s="888"/>
      <c r="R2251" s="888"/>
    </row>
    <row r="2252" spans="1:18" s="893" customFormat="1" x14ac:dyDescent="0.3">
      <c r="A2252" s="888" t="s">
        <v>2062</v>
      </c>
      <c r="B2252" s="888" t="s">
        <v>1954</v>
      </c>
      <c r="C2252" s="1008" t="s">
        <v>6913</v>
      </c>
      <c r="D2252" s="888"/>
      <c r="E2252" s="893" t="s">
        <v>601</v>
      </c>
      <c r="I2252" s="888"/>
      <c r="J2252" s="888"/>
      <c r="K2252" s="888"/>
      <c r="L2252" s="888"/>
      <c r="M2252" s="888"/>
      <c r="N2252" s="888"/>
      <c r="O2252" s="888"/>
      <c r="P2252" s="888"/>
      <c r="Q2252" s="888"/>
      <c r="R2252" s="888"/>
    </row>
    <row r="2253" spans="1:18" s="893" customFormat="1" x14ac:dyDescent="0.3">
      <c r="A2253" s="888" t="s">
        <v>2062</v>
      </c>
      <c r="B2253" s="888" t="s">
        <v>1954</v>
      </c>
      <c r="C2253" s="1008" t="s">
        <v>6914</v>
      </c>
      <c r="D2253" s="888"/>
      <c r="E2253" s="893" t="s">
        <v>602</v>
      </c>
      <c r="I2253" s="888"/>
      <c r="J2253" s="888"/>
      <c r="K2253" s="888"/>
      <c r="L2253" s="888"/>
      <c r="M2253" s="888"/>
      <c r="N2253" s="888"/>
      <c r="O2253" s="888"/>
      <c r="P2253" s="888"/>
      <c r="Q2253" s="888"/>
      <c r="R2253" s="888"/>
    </row>
    <row r="2254" spans="1:18" s="893" customFormat="1" x14ac:dyDescent="0.3">
      <c r="A2254" s="888" t="s">
        <v>2062</v>
      </c>
      <c r="B2254" s="888" t="s">
        <v>1954</v>
      </c>
      <c r="C2254" s="1008" t="s">
        <v>6915</v>
      </c>
      <c r="D2254" s="888"/>
      <c r="E2254" s="893" t="s">
        <v>603</v>
      </c>
      <c r="I2254" s="888"/>
      <c r="J2254" s="888"/>
      <c r="K2254" s="888"/>
      <c r="L2254" s="888"/>
      <c r="M2254" s="888"/>
      <c r="N2254" s="888"/>
      <c r="O2254" s="888"/>
      <c r="P2254" s="888"/>
      <c r="Q2254" s="888"/>
      <c r="R2254" s="888"/>
    </row>
    <row r="2255" spans="1:18" s="893" customFormat="1" x14ac:dyDescent="0.3">
      <c r="A2255" s="888" t="s">
        <v>2062</v>
      </c>
      <c r="B2255" s="888" t="s">
        <v>1954</v>
      </c>
      <c r="C2255" s="1008" t="s">
        <v>6916</v>
      </c>
      <c r="D2255" s="888"/>
      <c r="E2255" s="893" t="s">
        <v>119</v>
      </c>
      <c r="I2255" s="888"/>
      <c r="J2255" s="888"/>
      <c r="K2255" s="888"/>
      <c r="L2255" s="888"/>
      <c r="M2255" s="888"/>
      <c r="N2255" s="888"/>
      <c r="O2255" s="888"/>
      <c r="P2255" s="888"/>
      <c r="Q2255" s="888"/>
      <c r="R2255" s="888"/>
    </row>
    <row r="2256" spans="1:18" s="893" customFormat="1" x14ac:dyDescent="0.3">
      <c r="A2256" s="888" t="s">
        <v>2062</v>
      </c>
      <c r="B2256" s="888" t="s">
        <v>1954</v>
      </c>
      <c r="C2256" s="1008" t="s">
        <v>6918</v>
      </c>
      <c r="D2256" s="888"/>
      <c r="E2256" s="893" t="s">
        <v>3525</v>
      </c>
      <c r="I2256" s="888"/>
      <c r="J2256" s="888"/>
      <c r="K2256" s="888"/>
      <c r="L2256" s="888"/>
      <c r="M2256" s="888"/>
      <c r="N2256" s="888"/>
      <c r="O2256" s="888"/>
      <c r="P2256" s="888"/>
      <c r="Q2256" s="888"/>
      <c r="R2256" s="888"/>
    </row>
    <row r="2257" spans="1:18" s="893" customFormat="1" x14ac:dyDescent="0.3">
      <c r="A2257" s="888" t="s">
        <v>2062</v>
      </c>
      <c r="B2257" s="888" t="s">
        <v>1954</v>
      </c>
      <c r="C2257" s="1008" t="s">
        <v>6919</v>
      </c>
      <c r="D2257" s="888"/>
      <c r="E2257" s="893" t="s">
        <v>605</v>
      </c>
      <c r="I2257" s="888"/>
      <c r="J2257" s="888"/>
      <c r="K2257" s="888"/>
      <c r="L2257" s="888"/>
      <c r="M2257" s="888"/>
      <c r="N2257" s="888"/>
      <c r="O2257" s="888"/>
      <c r="P2257" s="888"/>
      <c r="Q2257" s="888"/>
      <c r="R2257" s="888"/>
    </row>
    <row r="2258" spans="1:18" s="893" customFormat="1" x14ac:dyDescent="0.3">
      <c r="A2258" s="888" t="s">
        <v>2062</v>
      </c>
      <c r="B2258" s="888" t="s">
        <v>1954</v>
      </c>
      <c r="C2258" s="1008" t="s">
        <v>6920</v>
      </c>
      <c r="D2258" s="888"/>
      <c r="E2258" s="1012" t="s">
        <v>607</v>
      </c>
      <c r="I2258" s="888"/>
      <c r="J2258" s="888"/>
      <c r="K2258" s="888"/>
      <c r="L2258" s="888"/>
      <c r="M2258" s="888"/>
      <c r="N2258" s="888"/>
      <c r="O2258" s="888"/>
      <c r="P2258" s="888"/>
      <c r="Q2258" s="888"/>
      <c r="R2258" s="888"/>
    </row>
    <row r="2259" spans="1:18" s="893" customFormat="1" x14ac:dyDescent="0.3">
      <c r="A2259" s="888" t="s">
        <v>2062</v>
      </c>
      <c r="B2259" s="888" t="s">
        <v>1954</v>
      </c>
      <c r="C2259" s="1008" t="s">
        <v>6921</v>
      </c>
      <c r="D2259" s="888"/>
      <c r="E2259" s="893" t="s">
        <v>3527</v>
      </c>
      <c r="I2259" s="888"/>
      <c r="J2259" s="888"/>
      <c r="K2259" s="888"/>
      <c r="L2259" s="888"/>
      <c r="M2259" s="888"/>
      <c r="N2259" s="888"/>
      <c r="O2259" s="888"/>
      <c r="P2259" s="888"/>
      <c r="Q2259" s="888"/>
      <c r="R2259" s="888"/>
    </row>
    <row r="2260" spans="1:18" s="893" customFormat="1" x14ac:dyDescent="0.3">
      <c r="A2260" s="888" t="s">
        <v>2062</v>
      </c>
      <c r="B2260" s="888" t="s">
        <v>1954</v>
      </c>
      <c r="C2260" s="1008" t="s">
        <v>6922</v>
      </c>
      <c r="D2260" s="888"/>
      <c r="E2260" s="893" t="str">
        <f>$E$2257</f>
        <v>SPFA</v>
      </c>
      <c r="I2260" s="888"/>
      <c r="J2260" s="888"/>
      <c r="K2260" s="888"/>
      <c r="L2260" s="888"/>
      <c r="M2260" s="888"/>
      <c r="N2260" s="888"/>
      <c r="O2260" s="888"/>
      <c r="P2260" s="888"/>
      <c r="Q2260" s="888"/>
      <c r="R2260" s="888"/>
    </row>
    <row r="2261" spans="1:18" s="893" customFormat="1" x14ac:dyDescent="0.3">
      <c r="A2261" s="888" t="s">
        <v>2062</v>
      </c>
      <c r="B2261" s="888" t="s">
        <v>1954</v>
      </c>
      <c r="C2261" s="1008" t="s">
        <v>6923</v>
      </c>
      <c r="D2261" s="888"/>
      <c r="E2261" s="893" t="s">
        <v>3528</v>
      </c>
      <c r="I2261" s="888"/>
      <c r="J2261" s="888"/>
      <c r="K2261" s="888"/>
      <c r="L2261" s="888"/>
      <c r="M2261" s="888"/>
      <c r="N2261" s="888"/>
      <c r="O2261" s="888"/>
      <c r="P2261" s="888"/>
      <c r="Q2261" s="888"/>
      <c r="R2261" s="888"/>
    </row>
    <row r="2262" spans="1:18" s="893" customFormat="1" x14ac:dyDescent="0.3">
      <c r="A2262" s="888" t="s">
        <v>2062</v>
      </c>
      <c r="B2262" s="888" t="s">
        <v>1954</v>
      </c>
      <c r="C2262" s="1008" t="s">
        <v>6924</v>
      </c>
      <c r="D2262" s="888"/>
      <c r="E2262" s="893" t="str">
        <f>$E$2257</f>
        <v>SPFA</v>
      </c>
      <c r="I2262" s="888"/>
      <c r="J2262" s="888"/>
      <c r="K2262" s="888"/>
      <c r="L2262" s="888"/>
      <c r="M2262" s="888"/>
      <c r="N2262" s="888"/>
      <c r="O2262" s="888"/>
      <c r="P2262" s="888"/>
      <c r="Q2262" s="888"/>
      <c r="R2262" s="888"/>
    </row>
    <row r="2263" spans="1:18" s="893" customFormat="1" x14ac:dyDescent="0.3">
      <c r="A2263" s="888" t="s">
        <v>2062</v>
      </c>
      <c r="B2263" s="888" t="s">
        <v>1954</v>
      </c>
      <c r="C2263" s="1008" t="s">
        <v>6925</v>
      </c>
      <c r="D2263" s="888"/>
      <c r="E2263" s="893" t="s">
        <v>612</v>
      </c>
      <c r="I2263" s="888"/>
      <c r="J2263" s="888"/>
      <c r="K2263" s="888"/>
      <c r="L2263" s="888"/>
      <c r="M2263" s="888"/>
      <c r="N2263" s="888"/>
      <c r="O2263" s="888"/>
      <c r="P2263" s="888"/>
      <c r="Q2263" s="888"/>
      <c r="R2263" s="888"/>
    </row>
    <row r="2264" spans="1:18" s="893" customFormat="1" x14ac:dyDescent="0.3">
      <c r="A2264" s="888" t="s">
        <v>2062</v>
      </c>
      <c r="B2264" s="888" t="s">
        <v>1954</v>
      </c>
      <c r="C2264" s="1008" t="s">
        <v>3896</v>
      </c>
      <c r="D2264" s="888"/>
      <c r="E2264" s="893" t="s">
        <v>613</v>
      </c>
      <c r="I2264" s="888"/>
      <c r="J2264" s="888"/>
      <c r="K2264" s="888"/>
      <c r="L2264" s="888"/>
      <c r="M2264" s="888"/>
      <c r="N2264" s="888"/>
      <c r="O2264" s="888"/>
      <c r="P2264" s="888"/>
      <c r="Q2264" s="888"/>
      <c r="R2264" s="888"/>
    </row>
    <row r="2265" spans="1:18" s="893" customFormat="1" x14ac:dyDescent="0.3">
      <c r="A2265" s="888" t="s">
        <v>2062</v>
      </c>
      <c r="B2265" s="888" t="s">
        <v>1954</v>
      </c>
      <c r="C2265" s="1008" t="s">
        <v>5240</v>
      </c>
      <c r="D2265" s="888"/>
      <c r="E2265" s="893" t="s">
        <v>614</v>
      </c>
      <c r="I2265" s="888"/>
      <c r="J2265" s="888"/>
      <c r="K2265" s="888"/>
      <c r="L2265" s="888"/>
      <c r="M2265" s="888"/>
      <c r="N2265" s="888"/>
      <c r="O2265" s="888"/>
      <c r="P2265" s="888"/>
      <c r="Q2265" s="888"/>
      <c r="R2265" s="888"/>
    </row>
    <row r="2266" spans="1:18" s="893" customFormat="1" x14ac:dyDescent="0.3">
      <c r="A2266" s="888" t="s">
        <v>2062</v>
      </c>
      <c r="B2266" s="888" t="s">
        <v>1954</v>
      </c>
      <c r="C2266" s="1008" t="s">
        <v>5241</v>
      </c>
      <c r="D2266" s="888"/>
      <c r="E2266" s="893" t="s">
        <v>1386</v>
      </c>
      <c r="I2266" s="888"/>
      <c r="J2266" s="888"/>
      <c r="K2266" s="888"/>
      <c r="L2266" s="888"/>
      <c r="M2266" s="888"/>
      <c r="N2266" s="888"/>
      <c r="O2266" s="888"/>
      <c r="P2266" s="888"/>
      <c r="Q2266" s="888"/>
      <c r="R2266" s="888"/>
    </row>
    <row r="2267" spans="1:18" s="893" customFormat="1" x14ac:dyDescent="0.3">
      <c r="A2267" s="888" t="s">
        <v>2062</v>
      </c>
      <c r="B2267" s="888" t="s">
        <v>1954</v>
      </c>
      <c r="C2267" s="1008" t="s">
        <v>3897</v>
      </c>
      <c r="D2267" s="888"/>
      <c r="E2267" s="893" t="str">
        <f>$E$2264</f>
        <v>Steel beam</v>
      </c>
      <c r="I2267" s="888"/>
      <c r="J2267" s="888"/>
      <c r="K2267" s="888"/>
      <c r="L2267" s="888"/>
      <c r="M2267" s="888"/>
      <c r="N2267" s="888"/>
      <c r="O2267" s="888"/>
      <c r="P2267" s="888"/>
      <c r="Q2267" s="888"/>
      <c r="R2267" s="888"/>
    </row>
    <row r="2268" spans="1:18" s="893" customFormat="1" x14ac:dyDescent="0.3">
      <c r="A2268" s="888" t="s">
        <v>2062</v>
      </c>
      <c r="B2268" s="888" t="s">
        <v>1954</v>
      </c>
      <c r="C2268" s="1008" t="s">
        <v>5242</v>
      </c>
      <c r="D2268" s="888"/>
      <c r="E2268" s="893" t="str">
        <f>$E$2265</f>
        <v>American Institute of Steel Construction</v>
      </c>
      <c r="I2268" s="888"/>
      <c r="J2268" s="888"/>
      <c r="K2268" s="888"/>
      <c r="L2268" s="888"/>
      <c r="M2268" s="888"/>
      <c r="N2268" s="888"/>
      <c r="O2268" s="888"/>
      <c r="P2268" s="888"/>
      <c r="Q2268" s="888"/>
      <c r="R2268" s="888"/>
    </row>
    <row r="2269" spans="1:18" s="893" customFormat="1" x14ac:dyDescent="0.3">
      <c r="A2269" s="888" t="s">
        <v>2062</v>
      </c>
      <c r="B2269" s="888" t="s">
        <v>1954</v>
      </c>
      <c r="C2269" s="1008" t="s">
        <v>5243</v>
      </c>
      <c r="D2269" s="888"/>
      <c r="E2269" s="893" t="s">
        <v>1387</v>
      </c>
      <c r="I2269" s="888"/>
      <c r="J2269" s="888"/>
      <c r="K2269" s="888"/>
      <c r="L2269" s="888"/>
      <c r="M2269" s="888"/>
      <c r="N2269" s="888"/>
      <c r="O2269" s="888"/>
      <c r="P2269" s="888"/>
      <c r="Q2269" s="888"/>
      <c r="R2269" s="888"/>
    </row>
    <row r="2270" spans="1:18" s="893" customFormat="1" x14ac:dyDescent="0.3">
      <c r="A2270" s="888" t="s">
        <v>2062</v>
      </c>
      <c r="B2270" s="888" t="s">
        <v>1954</v>
      </c>
      <c r="C2270" s="1008" t="s">
        <v>6926</v>
      </c>
      <c r="D2270" s="888"/>
      <c r="E2270" s="893" t="str">
        <f>$E$2264</f>
        <v>Steel beam</v>
      </c>
      <c r="I2270" s="888"/>
      <c r="J2270" s="888"/>
      <c r="K2270" s="888"/>
      <c r="L2270" s="888"/>
      <c r="M2270" s="888"/>
      <c r="N2270" s="888"/>
      <c r="O2270" s="888"/>
      <c r="P2270" s="888"/>
      <c r="Q2270" s="888"/>
      <c r="R2270" s="888"/>
    </row>
    <row r="2271" spans="1:18" s="893" customFormat="1" x14ac:dyDescent="0.3">
      <c r="A2271" s="888" t="s">
        <v>2062</v>
      </c>
      <c r="B2271" s="888" t="s">
        <v>1954</v>
      </c>
      <c r="C2271" s="1008" t="s">
        <v>6927</v>
      </c>
      <c r="D2271" s="888"/>
      <c r="E2271" s="893" t="str">
        <f>$E$2265</f>
        <v>American Institute of Steel Construction</v>
      </c>
      <c r="I2271" s="888"/>
      <c r="J2271" s="888"/>
      <c r="K2271" s="888"/>
      <c r="L2271" s="888"/>
      <c r="M2271" s="888"/>
      <c r="N2271" s="888"/>
      <c r="O2271" s="888"/>
      <c r="P2271" s="888"/>
      <c r="Q2271" s="888"/>
      <c r="R2271" s="888"/>
    </row>
    <row r="2272" spans="1:18" s="893" customFormat="1" x14ac:dyDescent="0.3">
      <c r="A2272" s="888" t="s">
        <v>2062</v>
      </c>
      <c r="B2272" s="888" t="s">
        <v>1954</v>
      </c>
      <c r="C2272" s="1008" t="s">
        <v>6928</v>
      </c>
      <c r="D2272" s="888"/>
      <c r="E2272" s="893" t="s">
        <v>1388</v>
      </c>
      <c r="I2272" s="888"/>
      <c r="J2272" s="888"/>
      <c r="K2272" s="888"/>
      <c r="L2272" s="888"/>
      <c r="M2272" s="888"/>
      <c r="N2272" s="888"/>
      <c r="O2272" s="888"/>
      <c r="P2272" s="888"/>
      <c r="Q2272" s="888"/>
      <c r="R2272" s="888"/>
    </row>
    <row r="2273" spans="1:18" s="893" customFormat="1" x14ac:dyDescent="0.3">
      <c r="A2273" s="888" t="s">
        <v>2062</v>
      </c>
      <c r="B2273" s="888" t="s">
        <v>1954</v>
      </c>
      <c r="C2273" s="1008" t="s">
        <v>2363</v>
      </c>
      <c r="D2273" s="888"/>
      <c r="E2273" s="893" t="str">
        <f>$E$2264</f>
        <v>Steel beam</v>
      </c>
      <c r="I2273" s="888"/>
      <c r="J2273" s="888"/>
      <c r="K2273" s="888"/>
      <c r="L2273" s="888"/>
      <c r="M2273" s="888"/>
      <c r="N2273" s="888"/>
      <c r="O2273" s="888"/>
      <c r="P2273" s="888"/>
      <c r="Q2273" s="888"/>
      <c r="R2273" s="888"/>
    </row>
    <row r="2274" spans="1:18" s="893" customFormat="1" x14ac:dyDescent="0.3">
      <c r="A2274" s="888" t="s">
        <v>2062</v>
      </c>
      <c r="B2274" s="888" t="s">
        <v>1954</v>
      </c>
      <c r="C2274" s="1008" t="s">
        <v>5244</v>
      </c>
      <c r="D2274" s="888"/>
      <c r="E2274" s="893" t="str">
        <f>$E$2265</f>
        <v>American Institute of Steel Construction</v>
      </c>
      <c r="I2274" s="888"/>
      <c r="J2274" s="888"/>
      <c r="K2274" s="888"/>
      <c r="L2274" s="888"/>
      <c r="M2274" s="888"/>
      <c r="N2274" s="888"/>
      <c r="O2274" s="888"/>
      <c r="P2274" s="888"/>
      <c r="Q2274" s="888"/>
      <c r="R2274" s="888"/>
    </row>
    <row r="2275" spans="1:18" s="893" customFormat="1" x14ac:dyDescent="0.3">
      <c r="A2275" s="888" t="s">
        <v>2062</v>
      </c>
      <c r="B2275" s="888" t="s">
        <v>1954</v>
      </c>
      <c r="C2275" s="1008" t="s">
        <v>5245</v>
      </c>
      <c r="D2275" s="888"/>
      <c r="E2275" s="893" t="s">
        <v>1385</v>
      </c>
      <c r="I2275" s="888"/>
      <c r="J2275" s="888"/>
      <c r="K2275" s="888"/>
      <c r="L2275" s="888"/>
      <c r="M2275" s="888"/>
      <c r="N2275" s="888"/>
      <c r="O2275" s="888"/>
      <c r="P2275" s="888"/>
      <c r="Q2275" s="888"/>
      <c r="R2275" s="888"/>
    </row>
    <row r="2276" spans="1:18" s="893" customFormat="1" x14ac:dyDescent="0.3">
      <c r="A2276" s="888" t="s">
        <v>2062</v>
      </c>
      <c r="B2276" s="888" t="s">
        <v>1954</v>
      </c>
      <c r="C2276" s="1008" t="s">
        <v>3898</v>
      </c>
      <c r="D2276" s="888"/>
      <c r="E2276" s="893" t="str">
        <f>$E$2264</f>
        <v>Steel beam</v>
      </c>
      <c r="I2276" s="888"/>
      <c r="J2276" s="888"/>
      <c r="K2276" s="888"/>
      <c r="L2276" s="888"/>
      <c r="M2276" s="888"/>
      <c r="N2276" s="888"/>
      <c r="O2276" s="888"/>
      <c r="P2276" s="888"/>
      <c r="Q2276" s="888"/>
      <c r="R2276" s="888"/>
    </row>
    <row r="2277" spans="1:18" s="893" customFormat="1" x14ac:dyDescent="0.3">
      <c r="A2277" s="888" t="s">
        <v>2062</v>
      </c>
      <c r="B2277" s="888" t="s">
        <v>1954</v>
      </c>
      <c r="C2277" s="1008" t="s">
        <v>5246</v>
      </c>
      <c r="D2277" s="888"/>
      <c r="E2277" s="893" t="str">
        <f>$E$2265</f>
        <v>American Institute of Steel Construction</v>
      </c>
      <c r="I2277" s="888"/>
      <c r="J2277" s="888"/>
      <c r="K2277" s="888"/>
      <c r="L2277" s="888"/>
      <c r="M2277" s="888"/>
      <c r="N2277" s="888"/>
      <c r="O2277" s="888"/>
      <c r="P2277" s="888"/>
      <c r="Q2277" s="888"/>
      <c r="R2277" s="888"/>
    </row>
    <row r="2278" spans="1:18" s="893" customFormat="1" x14ac:dyDescent="0.3">
      <c r="A2278" s="888" t="s">
        <v>2062</v>
      </c>
      <c r="B2278" s="888" t="s">
        <v>1954</v>
      </c>
      <c r="C2278" s="1008" t="s">
        <v>5247</v>
      </c>
      <c r="D2278" s="888"/>
      <c r="E2278" s="893" t="s">
        <v>1389</v>
      </c>
      <c r="I2278" s="888"/>
      <c r="J2278" s="888"/>
      <c r="K2278" s="888"/>
      <c r="L2278" s="888"/>
      <c r="M2278" s="888"/>
      <c r="N2278" s="888"/>
      <c r="O2278" s="888"/>
      <c r="P2278" s="888"/>
      <c r="Q2278" s="888"/>
      <c r="R2278" s="888"/>
    </row>
    <row r="2279" spans="1:18" s="893" customFormat="1" x14ac:dyDescent="0.3">
      <c r="A2279" s="888" t="s">
        <v>2062</v>
      </c>
      <c r="B2279" s="888" t="s">
        <v>1954</v>
      </c>
      <c r="C2279" s="1008" t="s">
        <v>3899</v>
      </c>
      <c r="D2279" s="888"/>
      <c r="E2279" s="893" t="str">
        <f>$E$2264</f>
        <v>Steel beam</v>
      </c>
      <c r="I2279" s="888"/>
      <c r="J2279" s="888"/>
      <c r="K2279" s="888"/>
      <c r="L2279" s="888"/>
      <c r="M2279" s="888"/>
      <c r="N2279" s="888"/>
      <c r="O2279" s="888"/>
      <c r="P2279" s="888"/>
      <c r="Q2279" s="888"/>
      <c r="R2279" s="888"/>
    </row>
    <row r="2280" spans="1:18" s="893" customFormat="1" x14ac:dyDescent="0.3">
      <c r="A2280" s="888" t="s">
        <v>2062</v>
      </c>
      <c r="B2280" s="888" t="s">
        <v>1954</v>
      </c>
      <c r="C2280" s="1008" t="s">
        <v>5248</v>
      </c>
      <c r="D2280" s="888"/>
      <c r="E2280" s="893" t="str">
        <f>$E$2265</f>
        <v>American Institute of Steel Construction</v>
      </c>
      <c r="I2280" s="888"/>
      <c r="J2280" s="888"/>
      <c r="K2280" s="888"/>
      <c r="L2280" s="888"/>
      <c r="M2280" s="888"/>
      <c r="N2280" s="888"/>
      <c r="O2280" s="888"/>
      <c r="P2280" s="888"/>
      <c r="Q2280" s="888"/>
      <c r="R2280" s="888"/>
    </row>
    <row r="2281" spans="1:18" s="893" customFormat="1" x14ac:dyDescent="0.3">
      <c r="A2281" s="888" t="s">
        <v>2062</v>
      </c>
      <c r="B2281" s="888" t="s">
        <v>1954</v>
      </c>
      <c r="C2281" s="1008" t="s">
        <v>5249</v>
      </c>
      <c r="D2281" s="888"/>
      <c r="E2281" s="893" t="s">
        <v>1390</v>
      </c>
      <c r="I2281" s="888"/>
      <c r="J2281" s="888"/>
      <c r="K2281" s="888"/>
      <c r="L2281" s="888"/>
      <c r="M2281" s="888"/>
      <c r="N2281" s="888"/>
      <c r="O2281" s="888"/>
      <c r="P2281" s="888"/>
      <c r="Q2281" s="888"/>
      <c r="R2281" s="888"/>
    </row>
    <row r="2282" spans="1:18" s="893" customFormat="1" x14ac:dyDescent="0.3">
      <c r="A2282" s="888" t="s">
        <v>2062</v>
      </c>
      <c r="B2282" s="888" t="s">
        <v>1954</v>
      </c>
      <c r="C2282" s="1008" t="s">
        <v>6929</v>
      </c>
      <c r="D2282" s="888"/>
      <c r="E2282" s="893" t="str">
        <f>$E$2264</f>
        <v>Steel beam</v>
      </c>
      <c r="I2282" s="888"/>
      <c r="J2282" s="888"/>
      <c r="K2282" s="888"/>
      <c r="L2282" s="888"/>
      <c r="M2282" s="888"/>
      <c r="N2282" s="888"/>
      <c r="O2282" s="888"/>
      <c r="P2282" s="888"/>
      <c r="Q2282" s="888"/>
      <c r="R2282" s="888"/>
    </row>
    <row r="2283" spans="1:18" s="893" customFormat="1" x14ac:dyDescent="0.3">
      <c r="A2283" s="888" t="s">
        <v>2062</v>
      </c>
      <c r="B2283" s="888" t="s">
        <v>1954</v>
      </c>
      <c r="C2283" s="1008" t="s">
        <v>5094</v>
      </c>
      <c r="D2283" s="888"/>
      <c r="E2283" s="893" t="str">
        <f>$E$2265</f>
        <v>American Institute of Steel Construction</v>
      </c>
      <c r="I2283" s="888"/>
      <c r="J2283" s="888"/>
      <c r="K2283" s="888"/>
      <c r="L2283" s="888"/>
      <c r="M2283" s="888"/>
      <c r="N2283" s="888"/>
      <c r="O2283" s="888"/>
      <c r="P2283" s="888"/>
      <c r="Q2283" s="888"/>
      <c r="R2283" s="888"/>
    </row>
    <row r="2284" spans="1:18" s="893" customFormat="1" x14ac:dyDescent="0.3">
      <c r="A2284" s="888" t="s">
        <v>2062</v>
      </c>
      <c r="B2284" s="888" t="s">
        <v>1954</v>
      </c>
      <c r="C2284" s="1008" t="s">
        <v>6930</v>
      </c>
      <c r="D2284" s="888"/>
      <c r="E2284" s="893" t="s">
        <v>1391</v>
      </c>
      <c r="I2284" s="888"/>
      <c r="J2284" s="888"/>
      <c r="K2284" s="888"/>
      <c r="L2284" s="888"/>
      <c r="M2284" s="888"/>
      <c r="N2284" s="888"/>
      <c r="O2284" s="888"/>
      <c r="P2284" s="888"/>
      <c r="Q2284" s="888"/>
      <c r="R2284" s="888"/>
    </row>
    <row r="2285" spans="1:18" s="893" customFormat="1" x14ac:dyDescent="0.3">
      <c r="A2285" s="888" t="s">
        <v>2062</v>
      </c>
      <c r="B2285" s="888" t="s">
        <v>1954</v>
      </c>
      <c r="C2285" s="1008" t="s">
        <v>3900</v>
      </c>
      <c r="D2285" s="888"/>
      <c r="E2285" s="893" t="str">
        <f>$E$2264</f>
        <v>Steel beam</v>
      </c>
      <c r="I2285" s="888"/>
      <c r="J2285" s="888"/>
      <c r="K2285" s="888"/>
      <c r="L2285" s="888"/>
      <c r="M2285" s="888"/>
      <c r="N2285" s="888"/>
      <c r="O2285" s="888"/>
      <c r="P2285" s="888"/>
      <c r="Q2285" s="888"/>
      <c r="R2285" s="888"/>
    </row>
    <row r="2286" spans="1:18" s="893" customFormat="1" x14ac:dyDescent="0.3">
      <c r="A2286" s="888" t="s">
        <v>2062</v>
      </c>
      <c r="B2286" s="888" t="s">
        <v>1954</v>
      </c>
      <c r="C2286" s="1008" t="s">
        <v>5250</v>
      </c>
      <c r="D2286" s="888"/>
      <c r="E2286" s="893" t="str">
        <f>$E$2265</f>
        <v>American Institute of Steel Construction</v>
      </c>
      <c r="I2286" s="888"/>
      <c r="J2286" s="888"/>
      <c r="K2286" s="888"/>
      <c r="L2286" s="888"/>
      <c r="M2286" s="888"/>
      <c r="N2286" s="888"/>
      <c r="O2286" s="888"/>
      <c r="P2286" s="888"/>
      <c r="Q2286" s="888"/>
      <c r="R2286" s="888"/>
    </row>
    <row r="2287" spans="1:18" s="893" customFormat="1" x14ac:dyDescent="0.3">
      <c r="A2287" s="888" t="s">
        <v>2062</v>
      </c>
      <c r="B2287" s="888" t="s">
        <v>1954</v>
      </c>
      <c r="C2287" s="1008" t="s">
        <v>5251</v>
      </c>
      <c r="D2287" s="888"/>
      <c r="E2287" s="893" t="s">
        <v>1392</v>
      </c>
      <c r="I2287" s="888"/>
      <c r="J2287" s="888"/>
      <c r="K2287" s="888"/>
      <c r="L2287" s="888"/>
      <c r="M2287" s="888"/>
      <c r="N2287" s="888"/>
      <c r="O2287" s="888"/>
      <c r="P2287" s="888"/>
      <c r="Q2287" s="888"/>
      <c r="R2287" s="888"/>
    </row>
    <row r="2288" spans="1:18" s="893" customFormat="1" x14ac:dyDescent="0.3">
      <c r="A2288" s="888" t="s">
        <v>2062</v>
      </c>
      <c r="B2288" s="888" t="s">
        <v>1954</v>
      </c>
      <c r="C2288" s="1008" t="s">
        <v>3901</v>
      </c>
      <c r="D2288" s="888"/>
      <c r="E2288" s="893" t="str">
        <f>$E$2264</f>
        <v>Steel beam</v>
      </c>
      <c r="I2288" s="888"/>
      <c r="J2288" s="888"/>
      <c r="K2288" s="888"/>
      <c r="L2288" s="888"/>
      <c r="M2288" s="888"/>
      <c r="N2288" s="888"/>
      <c r="O2288" s="888"/>
      <c r="P2288" s="888"/>
      <c r="Q2288" s="888"/>
      <c r="R2288" s="888"/>
    </row>
    <row r="2289" spans="1:18" s="893" customFormat="1" x14ac:dyDescent="0.3">
      <c r="A2289" s="888" t="s">
        <v>2062</v>
      </c>
      <c r="B2289" s="888" t="s">
        <v>1954</v>
      </c>
      <c r="C2289" s="1008" t="s">
        <v>6931</v>
      </c>
      <c r="D2289" s="888"/>
      <c r="E2289" s="893" t="str">
        <f>$E$2265</f>
        <v>American Institute of Steel Construction</v>
      </c>
      <c r="I2289" s="888"/>
      <c r="J2289" s="888"/>
      <c r="K2289" s="888"/>
      <c r="L2289" s="888"/>
      <c r="M2289" s="888"/>
      <c r="N2289" s="888"/>
      <c r="O2289" s="888"/>
      <c r="P2289" s="888"/>
      <c r="Q2289" s="888"/>
      <c r="R2289" s="888"/>
    </row>
    <row r="2290" spans="1:18" s="893" customFormat="1" x14ac:dyDescent="0.3">
      <c r="A2290" s="888" t="s">
        <v>2062</v>
      </c>
      <c r="B2290" s="888" t="s">
        <v>1954</v>
      </c>
      <c r="C2290" s="1008" t="s">
        <v>6932</v>
      </c>
      <c r="D2290" s="888"/>
      <c r="E2290" s="893" t="s">
        <v>1393</v>
      </c>
      <c r="I2290" s="888"/>
      <c r="J2290" s="888"/>
      <c r="K2290" s="888"/>
      <c r="L2290" s="888"/>
      <c r="M2290" s="888"/>
      <c r="N2290" s="888"/>
      <c r="O2290" s="888"/>
      <c r="P2290" s="888"/>
      <c r="Q2290" s="888"/>
      <c r="R2290" s="888"/>
    </row>
    <row r="2291" spans="1:18" s="893" customFormat="1" x14ac:dyDescent="0.3">
      <c r="A2291" s="888" t="s">
        <v>2062</v>
      </c>
      <c r="B2291" s="888" t="s">
        <v>1954</v>
      </c>
      <c r="C2291" s="1008" t="s">
        <v>3902</v>
      </c>
      <c r="D2291" s="888"/>
      <c r="E2291" s="893" t="s">
        <v>616</v>
      </c>
      <c r="I2291" s="888"/>
      <c r="J2291" s="888"/>
      <c r="K2291" s="888"/>
      <c r="L2291" s="888"/>
      <c r="M2291" s="888"/>
      <c r="N2291" s="888"/>
      <c r="O2291" s="888"/>
      <c r="P2291" s="888"/>
      <c r="Q2291" s="888"/>
      <c r="R2291" s="888"/>
    </row>
    <row r="2292" spans="1:18" s="893" customFormat="1" x14ac:dyDescent="0.3">
      <c r="A2292" s="888" t="s">
        <v>2062</v>
      </c>
      <c r="B2292" s="888" t="s">
        <v>1954</v>
      </c>
      <c r="C2292" s="1008" t="s">
        <v>5252</v>
      </c>
      <c r="D2292" s="888"/>
      <c r="E2292" s="893" t="s">
        <v>617</v>
      </c>
      <c r="I2292" s="888"/>
      <c r="J2292" s="888"/>
      <c r="K2292" s="888"/>
      <c r="L2292" s="888"/>
      <c r="M2292" s="888"/>
      <c r="N2292" s="888"/>
      <c r="O2292" s="888"/>
      <c r="P2292" s="888"/>
      <c r="Q2292" s="888"/>
      <c r="R2292" s="888"/>
    </row>
    <row r="2293" spans="1:18" s="893" customFormat="1" x14ac:dyDescent="0.3">
      <c r="A2293" s="888" t="s">
        <v>2062</v>
      </c>
      <c r="B2293" s="888" t="s">
        <v>1954</v>
      </c>
      <c r="C2293" s="1008" t="s">
        <v>6933</v>
      </c>
      <c r="D2293" s="888"/>
      <c r="E2293" s="893" t="s">
        <v>4440</v>
      </c>
      <c r="I2293" s="888"/>
      <c r="J2293" s="888"/>
      <c r="K2293" s="888"/>
      <c r="L2293" s="888"/>
      <c r="M2293" s="888"/>
      <c r="N2293" s="888"/>
      <c r="O2293" s="888"/>
      <c r="P2293" s="888"/>
      <c r="Q2293" s="888"/>
      <c r="R2293" s="888"/>
    </row>
    <row r="2294" spans="1:18" s="893" customFormat="1" x14ac:dyDescent="0.3">
      <c r="A2294" s="888" t="s">
        <v>2062</v>
      </c>
      <c r="B2294" s="888" t="s">
        <v>1954</v>
      </c>
      <c r="C2294" s="1008" t="s">
        <v>5253</v>
      </c>
      <c r="D2294" s="888"/>
      <c r="E2294" s="893" t="s">
        <v>874</v>
      </c>
      <c r="I2294" s="888"/>
      <c r="J2294" s="888"/>
      <c r="K2294" s="888"/>
      <c r="L2294" s="888"/>
      <c r="M2294" s="888"/>
      <c r="N2294" s="888"/>
      <c r="O2294" s="888"/>
      <c r="P2294" s="888"/>
      <c r="Q2294" s="888"/>
      <c r="R2294" s="888"/>
    </row>
    <row r="2295" spans="1:18" s="893" customFormat="1" x14ac:dyDescent="0.3">
      <c r="A2295" s="888" t="s">
        <v>2062</v>
      </c>
      <c r="B2295" s="888" t="s">
        <v>1954</v>
      </c>
      <c r="C2295" s="1008" t="s">
        <v>6934</v>
      </c>
      <c r="D2295" s="888"/>
      <c r="E2295" s="893" t="s">
        <v>619</v>
      </c>
      <c r="I2295" s="888"/>
      <c r="J2295" s="888"/>
      <c r="K2295" s="888"/>
      <c r="L2295" s="888"/>
      <c r="M2295" s="888"/>
      <c r="N2295" s="888"/>
      <c r="O2295" s="888"/>
      <c r="P2295" s="888"/>
      <c r="Q2295" s="888"/>
      <c r="R2295" s="888"/>
    </row>
    <row r="2296" spans="1:18" s="893" customFormat="1" x14ac:dyDescent="0.3">
      <c r="A2296" s="888" t="s">
        <v>2062</v>
      </c>
      <c r="B2296" s="888" t="s">
        <v>1954</v>
      </c>
      <c r="C2296" s="1008" t="s">
        <v>6935</v>
      </c>
      <c r="D2296" s="888"/>
      <c r="E2296" s="893" t="str">
        <f>$E$1977</f>
        <v>Generic</v>
      </c>
      <c r="I2296" s="888"/>
      <c r="J2296" s="888"/>
      <c r="K2296" s="888"/>
      <c r="L2296" s="888"/>
      <c r="M2296" s="888"/>
      <c r="N2296" s="888"/>
      <c r="O2296" s="888"/>
      <c r="P2296" s="888"/>
      <c r="Q2296" s="888"/>
      <c r="R2296" s="888"/>
    </row>
    <row r="2297" spans="1:18" s="893" customFormat="1" x14ac:dyDescent="0.3">
      <c r="A2297" s="888" t="s">
        <v>2062</v>
      </c>
      <c r="B2297" s="888" t="s">
        <v>1954</v>
      </c>
      <c r="C2297" s="1008" t="s">
        <v>6936</v>
      </c>
      <c r="D2297" s="888"/>
      <c r="E2297" s="893" t="s">
        <v>892</v>
      </c>
      <c r="I2297" s="888"/>
      <c r="J2297" s="888"/>
      <c r="K2297" s="888"/>
      <c r="L2297" s="888"/>
      <c r="M2297" s="888"/>
      <c r="N2297" s="888"/>
      <c r="O2297" s="888"/>
      <c r="P2297" s="888"/>
      <c r="Q2297" s="888"/>
      <c r="R2297" s="888"/>
    </row>
    <row r="2298" spans="1:18" s="893" customFormat="1" x14ac:dyDescent="0.3">
      <c r="A2298" s="888" t="s">
        <v>2062</v>
      </c>
      <c r="B2298" s="888" t="s">
        <v>1954</v>
      </c>
      <c r="C2298" s="1008" t="s">
        <v>2364</v>
      </c>
      <c r="D2298" s="888"/>
      <c r="E2298" s="893" t="s">
        <v>3529</v>
      </c>
      <c r="I2298" s="888"/>
      <c r="J2298" s="888"/>
      <c r="K2298" s="888"/>
      <c r="L2298" s="888"/>
      <c r="M2298" s="888"/>
      <c r="N2298" s="888"/>
      <c r="O2298" s="888"/>
      <c r="P2298" s="888"/>
      <c r="Q2298" s="888"/>
      <c r="R2298" s="888"/>
    </row>
    <row r="2299" spans="1:18" s="893" customFormat="1" x14ac:dyDescent="0.3">
      <c r="A2299" s="888" t="s">
        <v>2062</v>
      </c>
      <c r="B2299" s="888" t="s">
        <v>1954</v>
      </c>
      <c r="C2299" s="1008" t="s">
        <v>5254</v>
      </c>
      <c r="D2299" s="888"/>
      <c r="E2299" s="893" t="s">
        <v>622</v>
      </c>
      <c r="I2299" s="888"/>
      <c r="J2299" s="888"/>
      <c r="K2299" s="888"/>
      <c r="L2299" s="888"/>
      <c r="M2299" s="888"/>
      <c r="N2299" s="888"/>
      <c r="O2299" s="888"/>
      <c r="P2299" s="888"/>
      <c r="Q2299" s="888"/>
      <c r="R2299" s="888"/>
    </row>
    <row r="2300" spans="1:18" s="893" customFormat="1" x14ac:dyDescent="0.3">
      <c r="A2300" s="888" t="s">
        <v>2062</v>
      </c>
      <c r="B2300" s="888" t="s">
        <v>1954</v>
      </c>
      <c r="C2300" s="1008" t="s">
        <v>5255</v>
      </c>
      <c r="D2300" s="888"/>
      <c r="E2300" s="893" t="s">
        <v>623</v>
      </c>
      <c r="I2300" s="888"/>
      <c r="J2300" s="888"/>
      <c r="K2300" s="888"/>
      <c r="L2300" s="888"/>
      <c r="M2300" s="888"/>
      <c r="N2300" s="888"/>
      <c r="O2300" s="888"/>
      <c r="P2300" s="888"/>
      <c r="Q2300" s="888"/>
      <c r="R2300" s="888"/>
    </row>
    <row r="2301" spans="1:18" s="893" customFormat="1" x14ac:dyDescent="0.3">
      <c r="A2301" s="888" t="s">
        <v>2062</v>
      </c>
      <c r="B2301" s="888" t="s">
        <v>1954</v>
      </c>
      <c r="C2301" s="1010" t="s">
        <v>3903</v>
      </c>
      <c r="D2301" s="888"/>
      <c r="E2301" s="1011" t="str">
        <f>$E$2298</f>
        <v xml:space="preserve">Steel studs - Load bearing </v>
      </c>
      <c r="I2301" s="888"/>
      <c r="J2301" s="888"/>
      <c r="K2301" s="888"/>
      <c r="L2301" s="888"/>
      <c r="M2301" s="888"/>
      <c r="N2301" s="888"/>
      <c r="O2301" s="888"/>
      <c r="P2301" s="888"/>
      <c r="Q2301" s="888"/>
      <c r="R2301" s="888"/>
    </row>
    <row r="2302" spans="1:18" s="893" customFormat="1" x14ac:dyDescent="0.3">
      <c r="A2302" s="888" t="s">
        <v>2062</v>
      </c>
      <c r="B2302" s="888" t="s">
        <v>1954</v>
      </c>
      <c r="C2302" s="1008" t="s">
        <v>5256</v>
      </c>
      <c r="D2302" s="888"/>
      <c r="E2302" s="893" t="s">
        <v>625</v>
      </c>
      <c r="I2302" s="888"/>
      <c r="J2302" s="888"/>
      <c r="K2302" s="888"/>
      <c r="L2302" s="888"/>
      <c r="M2302" s="888"/>
      <c r="N2302" s="888"/>
      <c r="O2302" s="888"/>
      <c r="P2302" s="888"/>
      <c r="Q2302" s="888"/>
      <c r="R2302" s="888"/>
    </row>
    <row r="2303" spans="1:18" s="893" customFormat="1" x14ac:dyDescent="0.3">
      <c r="A2303" s="888" t="s">
        <v>2062</v>
      </c>
      <c r="B2303" s="888" t="s">
        <v>1954</v>
      </c>
      <c r="C2303" s="1008" t="s">
        <v>3904</v>
      </c>
      <c r="D2303" s="888"/>
      <c r="E2303" s="893" t="s">
        <v>626</v>
      </c>
      <c r="I2303" s="888"/>
      <c r="J2303" s="888"/>
      <c r="K2303" s="888"/>
      <c r="L2303" s="888"/>
      <c r="M2303" s="888"/>
      <c r="N2303" s="888"/>
      <c r="O2303" s="888"/>
      <c r="P2303" s="888"/>
      <c r="Q2303" s="888"/>
      <c r="R2303" s="888"/>
    </row>
    <row r="2304" spans="1:18" s="893" customFormat="1" x14ac:dyDescent="0.3">
      <c r="A2304" s="888" t="s">
        <v>2062</v>
      </c>
      <c r="B2304" s="888" t="s">
        <v>1954</v>
      </c>
      <c r="C2304" s="1008" t="s">
        <v>5257</v>
      </c>
      <c r="D2304" s="888"/>
      <c r="E2304" s="893" t="s">
        <v>3532</v>
      </c>
      <c r="I2304" s="888"/>
      <c r="J2304" s="888"/>
      <c r="K2304" s="888"/>
      <c r="L2304" s="888"/>
      <c r="M2304" s="888"/>
      <c r="N2304" s="888"/>
      <c r="O2304" s="888"/>
      <c r="P2304" s="888"/>
      <c r="Q2304" s="888"/>
      <c r="R2304" s="888"/>
    </row>
    <row r="2305" spans="1:18" s="893" customFormat="1" x14ac:dyDescent="0.3">
      <c r="A2305" s="888" t="s">
        <v>2062</v>
      </c>
      <c r="B2305" s="888" t="s">
        <v>1954</v>
      </c>
      <c r="C2305" s="1008" t="s">
        <v>3905</v>
      </c>
      <c r="D2305" s="888"/>
      <c r="E2305" s="893" t="str">
        <f>$E$2298</f>
        <v xml:space="preserve">Steel studs - Load bearing </v>
      </c>
      <c r="I2305" s="888"/>
      <c r="J2305" s="888"/>
      <c r="K2305" s="888"/>
      <c r="L2305" s="888"/>
      <c r="M2305" s="888"/>
      <c r="N2305" s="888"/>
      <c r="O2305" s="888"/>
      <c r="P2305" s="888"/>
      <c r="Q2305" s="888"/>
      <c r="R2305" s="888"/>
    </row>
    <row r="2306" spans="1:18" s="893" customFormat="1" x14ac:dyDescent="0.3">
      <c r="A2306" s="888" t="s">
        <v>2062</v>
      </c>
      <c r="B2306" s="888" t="s">
        <v>1954</v>
      </c>
      <c r="C2306" s="1008" t="s">
        <v>5095</v>
      </c>
      <c r="D2306" s="888"/>
      <c r="E2306" s="893" t="s">
        <v>630</v>
      </c>
      <c r="I2306" s="888"/>
      <c r="J2306" s="888"/>
      <c r="K2306" s="888"/>
      <c r="L2306" s="888"/>
      <c r="M2306" s="888"/>
      <c r="N2306" s="888"/>
      <c r="O2306" s="888"/>
      <c r="P2306" s="888"/>
      <c r="Q2306" s="888"/>
      <c r="R2306" s="888"/>
    </row>
    <row r="2307" spans="1:18" s="893" customFormat="1" x14ac:dyDescent="0.3">
      <c r="A2307" s="888" t="s">
        <v>2062</v>
      </c>
      <c r="B2307" s="888" t="s">
        <v>1954</v>
      </c>
      <c r="C2307" s="1008" t="s">
        <v>5258</v>
      </c>
      <c r="D2307" s="888"/>
      <c r="E2307" s="893" t="str">
        <f>$E$2300</f>
        <v>600-S-137-54, 16 gauge</v>
      </c>
      <c r="I2307" s="888"/>
      <c r="J2307" s="888"/>
      <c r="K2307" s="888"/>
      <c r="L2307" s="888"/>
      <c r="M2307" s="888"/>
      <c r="N2307" s="888"/>
      <c r="O2307" s="888"/>
      <c r="P2307" s="888"/>
      <c r="Q2307" s="888"/>
      <c r="R2307" s="888"/>
    </row>
    <row r="2308" spans="1:18" s="893" customFormat="1" x14ac:dyDescent="0.3">
      <c r="A2308" s="888" t="s">
        <v>2062</v>
      </c>
      <c r="B2308" s="888" t="s">
        <v>1954</v>
      </c>
      <c r="C2308" s="1008" t="s">
        <v>6937</v>
      </c>
      <c r="D2308" s="888"/>
      <c r="E2308" s="893" t="s">
        <v>634</v>
      </c>
      <c r="I2308" s="888"/>
      <c r="J2308" s="888"/>
      <c r="K2308" s="888"/>
      <c r="L2308" s="888"/>
      <c r="M2308" s="888"/>
      <c r="N2308" s="888"/>
      <c r="O2308" s="888"/>
      <c r="P2308" s="888"/>
      <c r="Q2308" s="888"/>
      <c r="R2308" s="888"/>
    </row>
    <row r="2309" spans="1:18" s="893" customFormat="1" x14ac:dyDescent="0.3">
      <c r="A2309" s="888" t="s">
        <v>2062</v>
      </c>
      <c r="B2309" s="888" t="s">
        <v>1954</v>
      </c>
      <c r="C2309" s="1008" t="s">
        <v>6938</v>
      </c>
      <c r="D2309" s="888"/>
      <c r="E2309" s="893" t="str">
        <f>$E$2299</f>
        <v>ClarkDietrich</v>
      </c>
      <c r="I2309" s="888"/>
      <c r="J2309" s="888"/>
      <c r="K2309" s="888"/>
      <c r="L2309" s="888"/>
      <c r="M2309" s="888"/>
      <c r="N2309" s="888"/>
      <c r="O2309" s="888"/>
      <c r="P2309" s="888"/>
      <c r="Q2309" s="888"/>
      <c r="R2309" s="888"/>
    </row>
    <row r="2310" spans="1:18" s="893" customFormat="1" x14ac:dyDescent="0.3">
      <c r="A2310" s="888" t="s">
        <v>2062</v>
      </c>
      <c r="B2310" s="888" t="s">
        <v>1954</v>
      </c>
      <c r="C2310" s="1008" t="s">
        <v>6939</v>
      </c>
      <c r="D2310" s="888"/>
      <c r="E2310" s="893" t="s">
        <v>3534</v>
      </c>
      <c r="I2310" s="888"/>
      <c r="J2310" s="888"/>
      <c r="K2310" s="888"/>
      <c r="L2310" s="888"/>
      <c r="M2310" s="888"/>
      <c r="N2310" s="888"/>
      <c r="O2310" s="888"/>
      <c r="P2310" s="888"/>
      <c r="Q2310" s="888"/>
      <c r="R2310" s="888"/>
    </row>
    <row r="2311" spans="1:18" s="893" customFormat="1" x14ac:dyDescent="0.3">
      <c r="A2311" s="888" t="s">
        <v>2062</v>
      </c>
      <c r="B2311" s="888" t="s">
        <v>1954</v>
      </c>
      <c r="C2311" s="1008" t="s">
        <v>3906</v>
      </c>
      <c r="D2311" s="888"/>
      <c r="E2311" s="893" t="str">
        <f>$E$2308</f>
        <v>Steel studs - Non-loadbearing</v>
      </c>
      <c r="I2311" s="888"/>
      <c r="J2311" s="888"/>
      <c r="K2311" s="888"/>
      <c r="L2311" s="888"/>
      <c r="M2311" s="888"/>
      <c r="N2311" s="888"/>
      <c r="O2311" s="888"/>
      <c r="P2311" s="888"/>
      <c r="Q2311" s="888"/>
      <c r="R2311" s="888"/>
    </row>
    <row r="2312" spans="1:18" s="893" customFormat="1" x14ac:dyDescent="0.3">
      <c r="A2312" s="888" t="s">
        <v>2062</v>
      </c>
      <c r="B2312" s="888" t="s">
        <v>1954</v>
      </c>
      <c r="C2312" s="1008" t="s">
        <v>5259</v>
      </c>
      <c r="D2312" s="888"/>
      <c r="E2312" s="893" t="str">
        <f>$E$2302</f>
        <v>MarinoWARE</v>
      </c>
      <c r="I2312" s="888"/>
      <c r="J2312" s="888"/>
      <c r="K2312" s="888"/>
      <c r="L2312" s="888"/>
      <c r="M2312" s="888"/>
      <c r="N2312" s="888"/>
      <c r="O2312" s="888"/>
      <c r="P2312" s="888"/>
      <c r="Q2312" s="888"/>
      <c r="R2312" s="888"/>
    </row>
    <row r="2313" spans="1:18" s="893" customFormat="1" x14ac:dyDescent="0.3">
      <c r="A2313" s="888" t="s">
        <v>2062</v>
      </c>
      <c r="B2313" s="888" t="s">
        <v>1954</v>
      </c>
      <c r="C2313" s="1008" t="s">
        <v>3907</v>
      </c>
      <c r="D2313" s="888"/>
      <c r="E2313" s="893" t="s">
        <v>639</v>
      </c>
      <c r="I2313" s="888"/>
      <c r="J2313" s="888"/>
      <c r="K2313" s="888"/>
      <c r="L2313" s="888"/>
      <c r="M2313" s="888"/>
      <c r="N2313" s="888"/>
      <c r="O2313" s="888"/>
      <c r="P2313" s="888"/>
      <c r="Q2313" s="888"/>
      <c r="R2313" s="888"/>
    </row>
    <row r="2314" spans="1:18" s="893" customFormat="1" x14ac:dyDescent="0.3">
      <c r="A2314" s="888" t="s">
        <v>2062</v>
      </c>
      <c r="B2314" s="888" t="s">
        <v>1954</v>
      </c>
      <c r="C2314" s="1008" t="s">
        <v>6940</v>
      </c>
      <c r="D2314" s="888"/>
      <c r="E2314" s="893" t="str">
        <f>$E$2310</f>
        <v>362-S-125-18, 20EQ gauge, "2x4"</v>
      </c>
      <c r="I2314" s="888"/>
      <c r="J2314" s="888"/>
      <c r="K2314" s="888"/>
      <c r="L2314" s="888"/>
      <c r="M2314" s="888"/>
      <c r="N2314" s="888"/>
      <c r="O2314" s="888"/>
      <c r="P2314" s="888"/>
      <c r="Q2314" s="888"/>
      <c r="R2314" s="888"/>
    </row>
    <row r="2315" spans="1:18" s="893" customFormat="1" x14ac:dyDescent="0.3">
      <c r="A2315" s="888" t="s">
        <v>2062</v>
      </c>
      <c r="B2315" s="888" t="s">
        <v>1954</v>
      </c>
      <c r="C2315" s="1008" t="s">
        <v>3908</v>
      </c>
      <c r="D2315" s="888"/>
      <c r="E2315" s="893" t="str">
        <f>$E$2308</f>
        <v>Steel studs - Non-loadbearing</v>
      </c>
      <c r="I2315" s="888"/>
      <c r="J2315" s="888"/>
      <c r="K2315" s="888"/>
      <c r="L2315" s="888"/>
      <c r="M2315" s="888"/>
      <c r="N2315" s="888"/>
      <c r="O2315" s="888"/>
      <c r="P2315" s="888"/>
      <c r="Q2315" s="888"/>
      <c r="R2315" s="888"/>
    </row>
    <row r="2316" spans="1:18" s="893" customFormat="1" x14ac:dyDescent="0.3">
      <c r="A2316" s="888" t="s">
        <v>2062</v>
      </c>
      <c r="B2316" s="888" t="s">
        <v>1954</v>
      </c>
      <c r="C2316" s="1008" t="s">
        <v>5260</v>
      </c>
      <c r="D2316" s="888"/>
      <c r="E2316" s="893" t="str">
        <f>$E$2306</f>
        <v>Scafco</v>
      </c>
      <c r="I2316" s="888"/>
      <c r="J2316" s="888"/>
      <c r="K2316" s="888"/>
      <c r="L2316" s="888"/>
      <c r="M2316" s="888"/>
      <c r="N2316" s="888"/>
      <c r="O2316" s="888"/>
      <c r="P2316" s="888"/>
      <c r="Q2316" s="888"/>
      <c r="R2316" s="888"/>
    </row>
    <row r="2317" spans="1:18" s="893" customFormat="1" x14ac:dyDescent="0.3">
      <c r="A2317" s="888" t="s">
        <v>2062</v>
      </c>
      <c r="B2317" s="888" t="s">
        <v>1954</v>
      </c>
      <c r="C2317" s="1008" t="s">
        <v>5261</v>
      </c>
      <c r="D2317" s="888"/>
      <c r="E2317" s="893" t="s">
        <v>861</v>
      </c>
      <c r="I2317" s="888"/>
      <c r="J2317" s="888"/>
      <c r="K2317" s="888"/>
      <c r="L2317" s="888"/>
      <c r="M2317" s="888"/>
      <c r="N2317" s="888"/>
      <c r="O2317" s="888"/>
      <c r="P2317" s="888"/>
      <c r="Q2317" s="888"/>
      <c r="R2317" s="888"/>
    </row>
    <row r="2318" spans="1:18" s="893" customFormat="1" x14ac:dyDescent="0.3">
      <c r="A2318" s="888" t="s">
        <v>2062</v>
      </c>
      <c r="B2318" s="888" t="s">
        <v>1954</v>
      </c>
      <c r="C2318" s="1008" t="s">
        <v>6941</v>
      </c>
      <c r="D2318" s="888"/>
      <c r="E2318" s="893" t="s">
        <v>1298</v>
      </c>
      <c r="I2318" s="888"/>
      <c r="J2318" s="888"/>
      <c r="K2318" s="888"/>
      <c r="L2318" s="888"/>
      <c r="M2318" s="888"/>
      <c r="N2318" s="888"/>
      <c r="O2318" s="888"/>
      <c r="P2318" s="888"/>
      <c r="Q2318" s="888"/>
      <c r="R2318" s="888"/>
    </row>
    <row r="2319" spans="1:18" s="893" customFormat="1" x14ac:dyDescent="0.3">
      <c r="A2319" s="888" t="s">
        <v>2062</v>
      </c>
      <c r="B2319" s="888" t="s">
        <v>1954</v>
      </c>
      <c r="C2319" s="1008" t="s">
        <v>6942</v>
      </c>
      <c r="D2319" s="888"/>
      <c r="E2319" s="893" t="s">
        <v>654</v>
      </c>
      <c r="I2319" s="888"/>
      <c r="J2319" s="888"/>
      <c r="K2319" s="888"/>
      <c r="L2319" s="888"/>
      <c r="M2319" s="888"/>
      <c r="N2319" s="888"/>
      <c r="O2319" s="888"/>
      <c r="P2319" s="888"/>
      <c r="Q2319" s="888"/>
      <c r="R2319" s="888"/>
    </row>
    <row r="2320" spans="1:18" s="893" customFormat="1" x14ac:dyDescent="0.3">
      <c r="A2320" s="888" t="s">
        <v>2062</v>
      </c>
      <c r="B2320" s="888" t="s">
        <v>1954</v>
      </c>
      <c r="C2320" s="1008" t="s">
        <v>6943</v>
      </c>
      <c r="D2320" s="888"/>
      <c r="E2320" s="893" t="s">
        <v>1297</v>
      </c>
      <c r="I2320" s="888"/>
      <c r="J2320" s="888"/>
      <c r="K2320" s="888"/>
      <c r="L2320" s="888"/>
      <c r="M2320" s="888"/>
      <c r="N2320" s="888"/>
      <c r="O2320" s="888"/>
      <c r="P2320" s="888"/>
      <c r="Q2320" s="888"/>
      <c r="R2320" s="888"/>
    </row>
    <row r="2321" spans="1:18" s="893" customFormat="1" x14ac:dyDescent="0.3">
      <c r="A2321" s="888" t="s">
        <v>2062</v>
      </c>
      <c r="B2321" s="888" t="s">
        <v>1954</v>
      </c>
      <c r="C2321" s="1008" t="s">
        <v>6944</v>
      </c>
      <c r="D2321" s="888"/>
      <c r="E2321" s="893" t="s">
        <v>658</v>
      </c>
      <c r="I2321" s="888"/>
      <c r="J2321" s="888"/>
      <c r="K2321" s="888"/>
      <c r="L2321" s="888"/>
      <c r="M2321" s="888"/>
      <c r="N2321" s="888"/>
      <c r="O2321" s="888"/>
      <c r="P2321" s="888"/>
      <c r="Q2321" s="888"/>
      <c r="R2321" s="888"/>
    </row>
    <row r="2322" spans="1:18" s="893" customFormat="1" x14ac:dyDescent="0.3">
      <c r="A2322" s="888" t="s">
        <v>2062</v>
      </c>
      <c r="B2322" s="888" t="s">
        <v>1954</v>
      </c>
      <c r="C2322" s="1010" t="s">
        <v>6945</v>
      </c>
      <c r="D2322" s="888"/>
      <c r="E2322" s="893" t="str">
        <f>$E$2172</f>
        <v>Carlisle</v>
      </c>
      <c r="I2322" s="888"/>
      <c r="J2322" s="888"/>
      <c r="K2322" s="888"/>
      <c r="L2322" s="888"/>
      <c r="M2322" s="888"/>
      <c r="N2322" s="888"/>
      <c r="O2322" s="888"/>
      <c r="P2322" s="888"/>
      <c r="Q2322" s="888"/>
      <c r="R2322" s="888"/>
    </row>
    <row r="2323" spans="1:18" s="893" customFormat="1" x14ac:dyDescent="0.3">
      <c r="A2323" s="888" t="s">
        <v>2062</v>
      </c>
      <c r="B2323" s="888" t="s">
        <v>1954</v>
      </c>
      <c r="C2323" s="1008" t="s">
        <v>6946</v>
      </c>
      <c r="D2323" s="888"/>
      <c r="E2323" s="893" t="s">
        <v>4447</v>
      </c>
      <c r="I2323" s="888"/>
      <c r="J2323" s="888"/>
      <c r="K2323" s="888"/>
      <c r="L2323" s="888"/>
      <c r="M2323" s="888"/>
      <c r="N2323" s="888"/>
      <c r="O2323" s="888"/>
      <c r="P2323" s="888"/>
      <c r="Q2323" s="888"/>
      <c r="R2323" s="888"/>
    </row>
    <row r="2324" spans="1:18" s="893" customFormat="1" x14ac:dyDescent="0.3">
      <c r="A2324" s="888" t="s">
        <v>2062</v>
      </c>
      <c r="B2324" s="888" t="s">
        <v>1954</v>
      </c>
      <c r="C2324" s="1008" t="s">
        <v>6947</v>
      </c>
      <c r="D2324" s="888"/>
      <c r="E2324" s="893" t="s">
        <v>659</v>
      </c>
      <c r="I2324" s="888"/>
      <c r="J2324" s="888"/>
      <c r="K2324" s="888"/>
      <c r="L2324" s="888"/>
      <c r="M2324" s="888"/>
      <c r="N2324" s="888"/>
      <c r="O2324" s="888"/>
      <c r="P2324" s="888"/>
      <c r="Q2324" s="888"/>
      <c r="R2324" s="888"/>
    </row>
    <row r="2325" spans="1:18" s="893" customFormat="1" x14ac:dyDescent="0.3">
      <c r="A2325" s="888" t="s">
        <v>2062</v>
      </c>
      <c r="B2325" s="888" t="s">
        <v>1954</v>
      </c>
      <c r="C2325" s="1008" t="s">
        <v>3909</v>
      </c>
      <c r="D2325" s="888"/>
      <c r="E2325" s="893" t="s">
        <v>4449</v>
      </c>
      <c r="I2325" s="888"/>
      <c r="J2325" s="888"/>
      <c r="K2325" s="888"/>
      <c r="L2325" s="888"/>
      <c r="M2325" s="888"/>
      <c r="N2325" s="888"/>
      <c r="O2325" s="888"/>
      <c r="P2325" s="888"/>
      <c r="Q2325" s="888"/>
      <c r="R2325" s="888"/>
    </row>
    <row r="2326" spans="1:18" s="893" customFormat="1" x14ac:dyDescent="0.3">
      <c r="A2326" s="888" t="s">
        <v>2062</v>
      </c>
      <c r="B2326" s="888" t="s">
        <v>1954</v>
      </c>
      <c r="C2326" s="1008" t="s">
        <v>5262</v>
      </c>
      <c r="D2326" s="888"/>
      <c r="E2326" s="893" t="s">
        <v>4450</v>
      </c>
      <c r="I2326" s="888"/>
      <c r="J2326" s="888"/>
      <c r="K2326" s="888"/>
      <c r="L2326" s="888"/>
      <c r="M2326" s="888"/>
      <c r="N2326" s="888"/>
      <c r="O2326" s="888"/>
      <c r="P2326" s="888"/>
      <c r="Q2326" s="888"/>
      <c r="R2326" s="888"/>
    </row>
    <row r="2327" spans="1:18" s="893" customFormat="1" x14ac:dyDescent="0.3">
      <c r="A2327" s="888" t="s">
        <v>2062</v>
      </c>
      <c r="B2327" s="888" t="s">
        <v>1954</v>
      </c>
      <c r="C2327" s="1008" t="s">
        <v>6948</v>
      </c>
      <c r="D2327" s="888"/>
      <c r="E2327" s="893" t="s">
        <v>4451</v>
      </c>
      <c r="I2327" s="888"/>
      <c r="J2327" s="888"/>
      <c r="K2327" s="888"/>
      <c r="L2327" s="888"/>
      <c r="M2327" s="888"/>
      <c r="N2327" s="888"/>
      <c r="O2327" s="888"/>
      <c r="P2327" s="888"/>
      <c r="Q2327" s="888"/>
      <c r="R2327" s="888"/>
    </row>
    <row r="2328" spans="1:18" s="893" customFormat="1" x14ac:dyDescent="0.3">
      <c r="A2328" s="888" t="s">
        <v>2062</v>
      </c>
      <c r="B2328" s="888" t="s">
        <v>1954</v>
      </c>
      <c r="C2328" s="1008" t="s">
        <v>3910</v>
      </c>
      <c r="D2328" s="888"/>
      <c r="E2328" s="893" t="str">
        <f>$E$2325</f>
        <v>TPO roofing membrane</v>
      </c>
      <c r="I2328" s="888"/>
      <c r="J2328" s="888"/>
      <c r="K2328" s="888"/>
      <c r="L2328" s="888"/>
      <c r="M2328" s="888"/>
      <c r="N2328" s="888"/>
      <c r="O2328" s="888"/>
      <c r="P2328" s="888"/>
      <c r="Q2328" s="888"/>
      <c r="R2328" s="888"/>
    </row>
    <row r="2329" spans="1:18" s="893" customFormat="1" x14ac:dyDescent="0.3">
      <c r="A2329" s="888" t="s">
        <v>2062</v>
      </c>
      <c r="B2329" s="888" t="s">
        <v>1954</v>
      </c>
      <c r="C2329" s="1008" t="s">
        <v>5263</v>
      </c>
      <c r="D2329" s="888"/>
      <c r="E2329" s="893" t="str">
        <f>$E$2326</f>
        <v>Single Ply Roofing Industry</v>
      </c>
      <c r="I2329" s="888"/>
      <c r="J2329" s="888"/>
      <c r="K2329" s="888"/>
      <c r="L2329" s="888"/>
      <c r="M2329" s="888"/>
      <c r="N2329" s="888"/>
      <c r="O2329" s="888"/>
      <c r="P2329" s="888"/>
      <c r="Q2329" s="888"/>
      <c r="R2329" s="888"/>
    </row>
    <row r="2330" spans="1:18" s="893" customFormat="1" x14ac:dyDescent="0.3">
      <c r="A2330" s="888" t="s">
        <v>2062</v>
      </c>
      <c r="B2330" s="888" t="s">
        <v>1954</v>
      </c>
      <c r="C2330" s="1008" t="s">
        <v>5264</v>
      </c>
      <c r="D2330" s="888"/>
      <c r="E2330" s="893" t="str">
        <f>$E$2324</f>
        <v>60 mils</v>
      </c>
      <c r="I2330" s="888"/>
      <c r="J2330" s="888"/>
      <c r="K2330" s="888"/>
      <c r="L2330" s="888"/>
      <c r="M2330" s="888"/>
      <c r="N2330" s="888"/>
      <c r="O2330" s="888"/>
      <c r="P2330" s="888"/>
      <c r="Q2330" s="888"/>
      <c r="R2330" s="888"/>
    </row>
    <row r="2331" spans="1:18" s="893" customFormat="1" x14ac:dyDescent="0.3">
      <c r="A2331" s="888" t="s">
        <v>2062</v>
      </c>
      <c r="B2331" s="888" t="s">
        <v>1954</v>
      </c>
      <c r="C2331" s="1008" t="s">
        <v>6949</v>
      </c>
      <c r="D2331" s="888"/>
      <c r="E2331" s="893" t="s">
        <v>661</v>
      </c>
      <c r="I2331" s="888"/>
      <c r="J2331" s="888"/>
      <c r="K2331" s="888"/>
      <c r="L2331" s="888"/>
      <c r="M2331" s="888"/>
      <c r="N2331" s="888"/>
      <c r="O2331" s="888"/>
      <c r="P2331" s="888"/>
      <c r="Q2331" s="888"/>
      <c r="R2331" s="888"/>
    </row>
    <row r="2332" spans="1:18" s="893" customFormat="1" x14ac:dyDescent="0.3">
      <c r="A2332" s="888" t="s">
        <v>2062</v>
      </c>
      <c r="B2332" s="888" t="s">
        <v>1954</v>
      </c>
      <c r="C2332" s="1008" t="s">
        <v>6950</v>
      </c>
      <c r="D2332" s="888"/>
      <c r="E2332" s="893" t="s">
        <v>3268</v>
      </c>
      <c r="I2332" s="888"/>
      <c r="J2332" s="888"/>
      <c r="K2332" s="888"/>
      <c r="L2332" s="888"/>
      <c r="M2332" s="888"/>
      <c r="N2332" s="888"/>
      <c r="O2332" s="888"/>
      <c r="P2332" s="888"/>
      <c r="Q2332" s="888"/>
      <c r="R2332" s="888"/>
    </row>
    <row r="2333" spans="1:18" s="893" customFormat="1" x14ac:dyDescent="0.3">
      <c r="A2333" s="888" t="s">
        <v>2062</v>
      </c>
      <c r="B2333" s="888" t="s">
        <v>1954</v>
      </c>
      <c r="C2333" s="1008" t="s">
        <v>6951</v>
      </c>
      <c r="D2333" s="888"/>
      <c r="E2333" s="893" t="s">
        <v>662</v>
      </c>
      <c r="I2333" s="888"/>
      <c r="J2333" s="888"/>
      <c r="K2333" s="888"/>
      <c r="L2333" s="888"/>
      <c r="M2333" s="888"/>
      <c r="N2333" s="888"/>
      <c r="O2333" s="888"/>
      <c r="P2333" s="888"/>
      <c r="Q2333" s="888"/>
      <c r="R2333" s="888"/>
    </row>
    <row r="2334" spans="1:18" s="893" customFormat="1" x14ac:dyDescent="0.3">
      <c r="A2334" s="888" t="s">
        <v>2062</v>
      </c>
      <c r="B2334" s="888" t="s">
        <v>1954</v>
      </c>
      <c r="C2334" s="1008" t="s">
        <v>6952</v>
      </c>
      <c r="D2334" s="888"/>
      <c r="E2334" s="893" t="s">
        <v>663</v>
      </c>
      <c r="I2334" s="888"/>
      <c r="J2334" s="888"/>
      <c r="K2334" s="888"/>
      <c r="L2334" s="888"/>
      <c r="M2334" s="888"/>
      <c r="N2334" s="888"/>
      <c r="O2334" s="888"/>
      <c r="P2334" s="888"/>
      <c r="Q2334" s="888"/>
      <c r="R2334" s="888"/>
    </row>
    <row r="2335" spans="1:18" s="893" customFormat="1" x14ac:dyDescent="0.3">
      <c r="A2335" s="888" t="s">
        <v>2062</v>
      </c>
      <c r="B2335" s="888" t="s">
        <v>1954</v>
      </c>
      <c r="C2335" s="1008" t="s">
        <v>6953</v>
      </c>
      <c r="D2335" s="888"/>
      <c r="E2335" s="893" t="s">
        <v>665</v>
      </c>
      <c r="I2335" s="888"/>
      <c r="J2335" s="888"/>
      <c r="K2335" s="888"/>
      <c r="L2335" s="888"/>
      <c r="M2335" s="888"/>
      <c r="N2335" s="888"/>
      <c r="O2335" s="888"/>
      <c r="P2335" s="888"/>
      <c r="Q2335" s="888"/>
      <c r="R2335" s="888"/>
    </row>
    <row r="2336" spans="1:18" s="893" customFormat="1" x14ac:dyDescent="0.3">
      <c r="A2336" s="888" t="s">
        <v>2062</v>
      </c>
      <c r="B2336" s="888" t="s">
        <v>1954</v>
      </c>
      <c r="C2336" s="1008" t="s">
        <v>6954</v>
      </c>
      <c r="D2336" s="888"/>
      <c r="E2336" s="893" t="s">
        <v>666</v>
      </c>
      <c r="I2336" s="888"/>
      <c r="J2336" s="888"/>
      <c r="K2336" s="888"/>
      <c r="L2336" s="888"/>
      <c r="M2336" s="888"/>
      <c r="N2336" s="888"/>
      <c r="O2336" s="888"/>
      <c r="P2336" s="888"/>
      <c r="Q2336" s="888"/>
      <c r="R2336" s="888"/>
    </row>
    <row r="2337" spans="1:18" s="893" customFormat="1" x14ac:dyDescent="0.3">
      <c r="A2337" s="888" t="s">
        <v>2062</v>
      </c>
      <c r="B2337" s="888" t="s">
        <v>1954</v>
      </c>
      <c r="C2337" s="1008" t="s">
        <v>6955</v>
      </c>
      <c r="D2337" s="888"/>
      <c r="E2337" s="893" t="s">
        <v>667</v>
      </c>
      <c r="I2337" s="888"/>
      <c r="J2337" s="888"/>
      <c r="K2337" s="888"/>
      <c r="L2337" s="888"/>
      <c r="M2337" s="888"/>
      <c r="N2337" s="888"/>
      <c r="O2337" s="888"/>
      <c r="P2337" s="888"/>
      <c r="Q2337" s="888"/>
      <c r="R2337" s="888"/>
    </row>
    <row r="2338" spans="1:18" s="893" customFormat="1" x14ac:dyDescent="0.3">
      <c r="A2338" s="888" t="s">
        <v>2062</v>
      </c>
      <c r="B2338" s="888" t="s">
        <v>1954</v>
      </c>
      <c r="C2338" s="1008" t="s">
        <v>3911</v>
      </c>
      <c r="D2338" s="888"/>
      <c r="E2338" s="893" t="str">
        <f>$E$2335</f>
        <v>Vinyl flooring</v>
      </c>
      <c r="I2338" s="888"/>
      <c r="J2338" s="888"/>
      <c r="K2338" s="888"/>
      <c r="L2338" s="888"/>
      <c r="M2338" s="888"/>
      <c r="N2338" s="888"/>
      <c r="O2338" s="888"/>
      <c r="P2338" s="888"/>
      <c r="Q2338" s="888"/>
      <c r="R2338" s="888"/>
    </row>
    <row r="2339" spans="1:18" s="893" customFormat="1" x14ac:dyDescent="0.3">
      <c r="A2339" s="888" t="s">
        <v>2062</v>
      </c>
      <c r="B2339" s="888" t="s">
        <v>1954</v>
      </c>
      <c r="C2339" s="1008" t="s">
        <v>5096</v>
      </c>
      <c r="D2339" s="888"/>
      <c r="E2339" s="893" t="str">
        <f>$E$2336</f>
        <v>Altro</v>
      </c>
      <c r="I2339" s="888"/>
      <c r="J2339" s="888"/>
      <c r="K2339" s="888"/>
      <c r="L2339" s="888"/>
      <c r="M2339" s="888"/>
      <c r="N2339" s="888"/>
      <c r="O2339" s="888"/>
      <c r="P2339" s="888"/>
      <c r="Q2339" s="888"/>
      <c r="R2339" s="888"/>
    </row>
    <row r="2340" spans="1:18" s="893" customFormat="1" x14ac:dyDescent="0.3">
      <c r="A2340" s="888" t="s">
        <v>2062</v>
      </c>
      <c r="B2340" s="888" t="s">
        <v>1954</v>
      </c>
      <c r="C2340" s="1008" t="s">
        <v>3912</v>
      </c>
      <c r="D2340" s="888"/>
      <c r="E2340" s="893" t="s">
        <v>4455</v>
      </c>
      <c r="I2340" s="888"/>
      <c r="J2340" s="888"/>
      <c r="K2340" s="888"/>
      <c r="L2340" s="888"/>
      <c r="M2340" s="888"/>
      <c r="N2340" s="888"/>
      <c r="O2340" s="888"/>
      <c r="P2340" s="888"/>
      <c r="Q2340" s="888"/>
      <c r="R2340" s="888"/>
    </row>
    <row r="2341" spans="1:18" s="893" customFormat="1" x14ac:dyDescent="0.3">
      <c r="A2341" s="888" t="s">
        <v>2062</v>
      </c>
      <c r="B2341" s="888" t="s">
        <v>1954</v>
      </c>
      <c r="C2341" s="1008" t="s">
        <v>6956</v>
      </c>
      <c r="D2341" s="888"/>
      <c r="E2341" s="893" t="s">
        <v>4456</v>
      </c>
      <c r="I2341" s="888"/>
      <c r="J2341" s="888"/>
      <c r="K2341" s="888"/>
      <c r="L2341" s="888"/>
      <c r="M2341" s="888"/>
      <c r="N2341" s="888"/>
      <c r="O2341" s="888"/>
      <c r="P2341" s="888"/>
      <c r="Q2341" s="888"/>
      <c r="R2341" s="888"/>
    </row>
    <row r="2342" spans="1:18" s="893" customFormat="1" x14ac:dyDescent="0.3">
      <c r="A2342" s="888" t="s">
        <v>2062</v>
      </c>
      <c r="B2342" s="888" t="s">
        <v>1954</v>
      </c>
      <c r="C2342" s="1008" t="s">
        <v>3913</v>
      </c>
      <c r="D2342" s="888"/>
      <c r="E2342" s="893" t="str">
        <f>$E$2335</f>
        <v>Vinyl flooring</v>
      </c>
      <c r="I2342" s="888"/>
      <c r="J2342" s="888"/>
      <c r="K2342" s="888"/>
      <c r="L2342" s="888"/>
      <c r="M2342" s="888"/>
      <c r="N2342" s="888"/>
      <c r="O2342" s="888"/>
      <c r="P2342" s="888"/>
      <c r="Q2342" s="888"/>
      <c r="R2342" s="888"/>
    </row>
    <row r="2343" spans="1:18" s="893" customFormat="1" x14ac:dyDescent="0.3">
      <c r="A2343" s="888" t="s">
        <v>2062</v>
      </c>
      <c r="B2343" s="888" t="s">
        <v>1954</v>
      </c>
      <c r="C2343" s="1008" t="s">
        <v>6957</v>
      </c>
      <c r="D2343" s="888"/>
      <c r="E2343" s="893" t="str">
        <f>$E$2245</f>
        <v>Resilient Floor Covering Institute</v>
      </c>
      <c r="I2343" s="888"/>
      <c r="J2343" s="888"/>
      <c r="K2343" s="888"/>
      <c r="L2343" s="888"/>
      <c r="M2343" s="888"/>
      <c r="N2343" s="888"/>
      <c r="O2343" s="888"/>
      <c r="P2343" s="888"/>
      <c r="Q2343" s="888"/>
      <c r="R2343" s="888"/>
    </row>
    <row r="2344" spans="1:18" s="893" customFormat="1" x14ac:dyDescent="0.3">
      <c r="A2344" s="888" t="s">
        <v>2062</v>
      </c>
      <c r="B2344" s="888" t="s">
        <v>1954</v>
      </c>
      <c r="C2344" s="1008" t="s">
        <v>6958</v>
      </c>
      <c r="D2344" s="888"/>
      <c r="E2344" s="893" t="s">
        <v>673</v>
      </c>
      <c r="I2344" s="888"/>
      <c r="J2344" s="888"/>
      <c r="K2344" s="888"/>
      <c r="L2344" s="888"/>
      <c r="M2344" s="888"/>
      <c r="N2344" s="888"/>
      <c r="O2344" s="888"/>
      <c r="P2344" s="888"/>
      <c r="Q2344" s="888"/>
      <c r="R2344" s="888"/>
    </row>
    <row r="2345" spans="1:18" s="893" customFormat="1" x14ac:dyDescent="0.3">
      <c r="A2345" s="888" t="s">
        <v>2062</v>
      </c>
      <c r="B2345" s="888" t="s">
        <v>1954</v>
      </c>
      <c r="C2345" s="1008" t="s">
        <v>2365</v>
      </c>
      <c r="D2345" s="888"/>
      <c r="E2345" s="893" t="s">
        <v>675</v>
      </c>
      <c r="I2345" s="888"/>
      <c r="J2345" s="888"/>
      <c r="K2345" s="888"/>
      <c r="L2345" s="888"/>
      <c r="M2345" s="888"/>
      <c r="N2345" s="888"/>
      <c r="O2345" s="888"/>
      <c r="P2345" s="888"/>
      <c r="Q2345" s="888"/>
      <c r="R2345" s="888"/>
    </row>
    <row r="2346" spans="1:18" s="893" customFormat="1" x14ac:dyDescent="0.3">
      <c r="A2346" s="888" t="s">
        <v>2062</v>
      </c>
      <c r="B2346" s="888" t="s">
        <v>1954</v>
      </c>
      <c r="C2346" s="1008" t="s">
        <v>6959</v>
      </c>
      <c r="D2346" s="888"/>
      <c r="E2346" s="893" t="str">
        <f>$E$2225</f>
        <v xml:space="preserve">Vinyl Siding Institute </v>
      </c>
      <c r="I2346" s="888"/>
      <c r="J2346" s="888"/>
      <c r="K2346" s="888"/>
      <c r="L2346" s="888"/>
      <c r="M2346" s="888"/>
      <c r="N2346" s="888"/>
      <c r="O2346" s="888"/>
      <c r="P2346" s="888"/>
      <c r="Q2346" s="888"/>
      <c r="R2346" s="888"/>
    </row>
    <row r="2347" spans="1:18" s="893" customFormat="1" x14ac:dyDescent="0.3">
      <c r="A2347" s="888" t="s">
        <v>2062</v>
      </c>
      <c r="B2347" s="888" t="s">
        <v>1954</v>
      </c>
      <c r="C2347" s="1008" t="s">
        <v>6960</v>
      </c>
      <c r="D2347" s="888"/>
      <c r="E2347" s="893" t="s">
        <v>677</v>
      </c>
      <c r="I2347" s="888"/>
      <c r="J2347" s="888"/>
      <c r="K2347" s="888"/>
      <c r="L2347" s="888"/>
      <c r="M2347" s="888"/>
      <c r="N2347" s="888"/>
      <c r="O2347" s="888"/>
      <c r="P2347" s="888"/>
      <c r="Q2347" s="888"/>
      <c r="R2347" s="888"/>
    </row>
    <row r="2348" spans="1:18" s="893" customFormat="1" x14ac:dyDescent="0.3">
      <c r="A2348" s="888" t="s">
        <v>2062</v>
      </c>
      <c r="B2348" s="888" t="s">
        <v>1954</v>
      </c>
      <c r="C2348" s="1008" t="s">
        <v>6961</v>
      </c>
      <c r="D2348" s="888"/>
      <c r="E2348" s="893" t="s">
        <v>678</v>
      </c>
      <c r="I2348" s="888"/>
      <c r="J2348" s="888"/>
      <c r="K2348" s="888"/>
      <c r="L2348" s="888"/>
      <c r="M2348" s="888"/>
      <c r="N2348" s="888"/>
      <c r="O2348" s="888"/>
      <c r="P2348" s="888"/>
      <c r="Q2348" s="888"/>
      <c r="R2348" s="888"/>
    </row>
    <row r="2349" spans="1:18" s="893" customFormat="1" x14ac:dyDescent="0.3">
      <c r="A2349" s="888" t="s">
        <v>2062</v>
      </c>
      <c r="B2349" s="888" t="s">
        <v>1954</v>
      </c>
      <c r="C2349" s="1008" t="s">
        <v>6962</v>
      </c>
      <c r="D2349" s="888"/>
      <c r="E2349" s="893" t="s">
        <v>4461</v>
      </c>
      <c r="I2349" s="888"/>
      <c r="J2349" s="888"/>
      <c r="K2349" s="888"/>
      <c r="L2349" s="888"/>
      <c r="M2349" s="888"/>
      <c r="N2349" s="888"/>
      <c r="O2349" s="888"/>
      <c r="P2349" s="888"/>
      <c r="Q2349" s="888"/>
      <c r="R2349" s="888"/>
    </row>
    <row r="2350" spans="1:18" s="893" customFormat="1" x14ac:dyDescent="0.3">
      <c r="A2350" s="888" t="s">
        <v>2062</v>
      </c>
      <c r="B2350" s="888" t="s">
        <v>1954</v>
      </c>
      <c r="C2350" s="1008" t="s">
        <v>6963</v>
      </c>
      <c r="D2350" s="888"/>
      <c r="E2350" s="893" t="s">
        <v>4462</v>
      </c>
      <c r="I2350" s="888"/>
      <c r="J2350" s="888"/>
      <c r="K2350" s="888"/>
      <c r="L2350" s="888"/>
      <c r="M2350" s="888"/>
      <c r="N2350" s="888"/>
      <c r="O2350" s="888"/>
      <c r="P2350" s="888"/>
      <c r="Q2350" s="888"/>
      <c r="R2350" s="888"/>
    </row>
    <row r="2351" spans="1:18" s="893" customFormat="1" x14ac:dyDescent="0.3">
      <c r="A2351" s="888" t="s">
        <v>2062</v>
      </c>
      <c r="B2351" s="888" t="s">
        <v>1954</v>
      </c>
      <c r="C2351" s="1008" t="s">
        <v>6964</v>
      </c>
      <c r="D2351" s="888"/>
      <c r="E2351" s="893" t="s">
        <v>1292</v>
      </c>
      <c r="I2351" s="888"/>
      <c r="J2351" s="888"/>
      <c r="K2351" s="888"/>
      <c r="L2351" s="888"/>
      <c r="M2351" s="888"/>
      <c r="N2351" s="888"/>
      <c r="O2351" s="888"/>
      <c r="P2351" s="888"/>
      <c r="Q2351" s="888"/>
      <c r="R2351" s="888"/>
    </row>
    <row r="2352" spans="1:18" s="893" customFormat="1" x14ac:dyDescent="0.3">
      <c r="A2352" s="888" t="s">
        <v>2062</v>
      </c>
      <c r="B2352" s="888" t="s">
        <v>1954</v>
      </c>
      <c r="C2352" s="1008" t="s">
        <v>2366</v>
      </c>
      <c r="D2352" s="888"/>
      <c r="E2352" s="893" t="str">
        <f>$E$2349</f>
        <v>Welded wire reinforcement</v>
      </c>
      <c r="I2352" s="888"/>
      <c r="J2352" s="888"/>
      <c r="K2352" s="888"/>
      <c r="L2352" s="888"/>
      <c r="M2352" s="888"/>
      <c r="N2352" s="888"/>
      <c r="O2352" s="888"/>
      <c r="P2352" s="888"/>
      <c r="Q2352" s="888"/>
      <c r="R2352" s="888"/>
    </row>
    <row r="2353" spans="1:18" s="893" customFormat="1" x14ac:dyDescent="0.3">
      <c r="A2353" s="888" t="s">
        <v>2062</v>
      </c>
      <c r="B2353" s="888" t="s">
        <v>1954</v>
      </c>
      <c r="C2353" s="1008" t="s">
        <v>6965</v>
      </c>
      <c r="D2353" s="888"/>
      <c r="E2353" s="893" t="str">
        <f>$E$2350</f>
        <v>Insteel Industries</v>
      </c>
      <c r="I2353" s="888"/>
      <c r="J2353" s="888"/>
      <c r="K2353" s="888"/>
      <c r="L2353" s="888"/>
      <c r="M2353" s="888"/>
      <c r="N2353" s="888"/>
      <c r="O2353" s="888"/>
      <c r="P2353" s="888"/>
      <c r="Q2353" s="888"/>
      <c r="R2353" s="888"/>
    </row>
    <row r="2354" spans="1:18" s="893" customFormat="1" x14ac:dyDescent="0.3">
      <c r="A2354" s="888" t="s">
        <v>2062</v>
      </c>
      <c r="B2354" s="888" t="s">
        <v>1954</v>
      </c>
      <c r="C2354" s="1008" t="s">
        <v>6966</v>
      </c>
      <c r="D2354" s="888"/>
      <c r="E2354" s="893" t="s">
        <v>4465</v>
      </c>
      <c r="I2354" s="888"/>
      <c r="J2354" s="888"/>
      <c r="K2354" s="888"/>
      <c r="L2354" s="888"/>
      <c r="M2354" s="888"/>
      <c r="N2354" s="888"/>
      <c r="O2354" s="888"/>
      <c r="P2354" s="888"/>
      <c r="Q2354" s="888"/>
      <c r="R2354" s="888"/>
    </row>
    <row r="2355" spans="1:18" s="893" customFormat="1" x14ac:dyDescent="0.3">
      <c r="A2355" s="888" t="s">
        <v>2062</v>
      </c>
      <c r="B2355" s="888" t="s">
        <v>1954</v>
      </c>
      <c r="C2355" s="1008" t="s">
        <v>3914</v>
      </c>
      <c r="D2355" s="888"/>
      <c r="E2355" s="893" t="s">
        <v>682</v>
      </c>
      <c r="I2355" s="888"/>
      <c r="J2355" s="888"/>
      <c r="K2355" s="888"/>
      <c r="L2355" s="888"/>
      <c r="M2355" s="888"/>
      <c r="N2355" s="888"/>
      <c r="O2355" s="888"/>
      <c r="P2355" s="888"/>
      <c r="Q2355" s="888"/>
      <c r="R2355" s="888"/>
    </row>
    <row r="2356" spans="1:18" s="893" customFormat="1" x14ac:dyDescent="0.3">
      <c r="A2356" s="888" t="s">
        <v>2062</v>
      </c>
      <c r="B2356" s="888" t="s">
        <v>1954</v>
      </c>
      <c r="C2356" s="1008" t="s">
        <v>5265</v>
      </c>
      <c r="D2356" s="888"/>
      <c r="E2356" s="893" t="s">
        <v>683</v>
      </c>
      <c r="I2356" s="888"/>
      <c r="J2356" s="888"/>
      <c r="K2356" s="888"/>
      <c r="L2356" s="888"/>
      <c r="M2356" s="888"/>
      <c r="N2356" s="888"/>
      <c r="O2356" s="888"/>
      <c r="P2356" s="888"/>
      <c r="Q2356" s="888"/>
      <c r="R2356" s="888"/>
    </row>
    <row r="2357" spans="1:18" s="893" customFormat="1" x14ac:dyDescent="0.3">
      <c r="A2357" s="888" t="s">
        <v>2062</v>
      </c>
      <c r="B2357" s="888" t="s">
        <v>1954</v>
      </c>
      <c r="C2357" s="1008" t="s">
        <v>6967</v>
      </c>
      <c r="D2357" s="888"/>
      <c r="E2357" s="893" t="str">
        <f>$E$2355</f>
        <v>Window - double pane</v>
      </c>
      <c r="I2357" s="888"/>
      <c r="J2357" s="888"/>
      <c r="K2357" s="888"/>
      <c r="L2357" s="888"/>
      <c r="M2357" s="888"/>
      <c r="N2357" s="888"/>
      <c r="O2357" s="888"/>
      <c r="P2357" s="888"/>
      <c r="Q2357" s="888"/>
      <c r="R2357" s="888"/>
    </row>
    <row r="2358" spans="1:18" s="893" customFormat="1" x14ac:dyDescent="0.3">
      <c r="A2358" s="888" t="s">
        <v>2062</v>
      </c>
      <c r="B2358" s="888" t="s">
        <v>1954</v>
      </c>
      <c r="C2358" s="1008" t="s">
        <v>6968</v>
      </c>
      <c r="D2358" s="888"/>
      <c r="E2358" s="893" t="s">
        <v>684</v>
      </c>
      <c r="I2358" s="888"/>
      <c r="J2358" s="888"/>
      <c r="K2358" s="888"/>
      <c r="L2358" s="888"/>
      <c r="M2358" s="888"/>
      <c r="N2358" s="888"/>
      <c r="O2358" s="888"/>
      <c r="P2358" s="888"/>
      <c r="Q2358" s="888"/>
      <c r="R2358" s="888"/>
    </row>
    <row r="2359" spans="1:18" s="893" customFormat="1" x14ac:dyDescent="0.3">
      <c r="A2359" s="888" t="s">
        <v>2062</v>
      </c>
      <c r="B2359" s="888" t="s">
        <v>1954</v>
      </c>
      <c r="C2359" s="1008" t="s">
        <v>6970</v>
      </c>
      <c r="D2359" s="888"/>
      <c r="E2359" s="893" t="str">
        <f>$E$2355</f>
        <v>Window - double pane</v>
      </c>
      <c r="I2359" s="888"/>
      <c r="J2359" s="888"/>
      <c r="K2359" s="888"/>
      <c r="L2359" s="888"/>
      <c r="M2359" s="888"/>
      <c r="N2359" s="888"/>
      <c r="O2359" s="888"/>
      <c r="P2359" s="888"/>
      <c r="Q2359" s="888"/>
      <c r="R2359" s="888"/>
    </row>
    <row r="2360" spans="1:18" s="893" customFormat="1" x14ac:dyDescent="0.3">
      <c r="A2360" s="888" t="s">
        <v>2062</v>
      </c>
      <c r="B2360" s="888" t="s">
        <v>1954</v>
      </c>
      <c r="C2360" s="1008" t="s">
        <v>6971</v>
      </c>
      <c r="D2360" s="888"/>
      <c r="E2360" s="893" t="s">
        <v>685</v>
      </c>
      <c r="I2360" s="888"/>
      <c r="J2360" s="888"/>
      <c r="K2360" s="888"/>
      <c r="L2360" s="888"/>
      <c r="M2360" s="888"/>
      <c r="N2360" s="888"/>
      <c r="O2360" s="888"/>
      <c r="P2360" s="888"/>
      <c r="Q2360" s="888"/>
      <c r="R2360" s="888"/>
    </row>
    <row r="2361" spans="1:18" s="893" customFormat="1" x14ac:dyDescent="0.3">
      <c r="A2361" s="888" t="s">
        <v>2062</v>
      </c>
      <c r="B2361" s="888" t="s">
        <v>1954</v>
      </c>
      <c r="C2361" s="1008" t="s">
        <v>6973</v>
      </c>
      <c r="D2361" s="888"/>
      <c r="E2361" s="893" t="str">
        <f>$E$2355</f>
        <v>Window - double pane</v>
      </c>
      <c r="I2361" s="888"/>
      <c r="J2361" s="888"/>
      <c r="K2361" s="888"/>
      <c r="L2361" s="888"/>
      <c r="M2361" s="888"/>
      <c r="N2361" s="888"/>
      <c r="O2361" s="888"/>
      <c r="P2361" s="888"/>
      <c r="Q2361" s="888"/>
      <c r="R2361" s="888"/>
    </row>
    <row r="2362" spans="1:18" s="893" customFormat="1" x14ac:dyDescent="0.3">
      <c r="A2362" s="888" t="s">
        <v>2062</v>
      </c>
      <c r="B2362" s="888" t="s">
        <v>1954</v>
      </c>
      <c r="C2362" s="1008" t="s">
        <v>6974</v>
      </c>
      <c r="D2362" s="888"/>
      <c r="E2362" s="893" t="s">
        <v>686</v>
      </c>
      <c r="I2362" s="888"/>
      <c r="J2362" s="888"/>
      <c r="K2362" s="888"/>
      <c r="L2362" s="888"/>
      <c r="M2362" s="888"/>
      <c r="N2362" s="888"/>
      <c r="O2362" s="888"/>
      <c r="P2362" s="888"/>
      <c r="Q2362" s="888"/>
      <c r="R2362" s="888"/>
    </row>
    <row r="2363" spans="1:18" s="893" customFormat="1" x14ac:dyDescent="0.3">
      <c r="A2363" s="888" t="s">
        <v>2062</v>
      </c>
      <c r="B2363" s="888" t="s">
        <v>1954</v>
      </c>
      <c r="C2363" s="1008" t="s">
        <v>3915</v>
      </c>
      <c r="D2363" s="888"/>
      <c r="E2363" s="893" t="s">
        <v>690</v>
      </c>
      <c r="I2363" s="888"/>
      <c r="J2363" s="888"/>
      <c r="K2363" s="888"/>
      <c r="L2363" s="888"/>
      <c r="M2363" s="888"/>
      <c r="N2363" s="888"/>
      <c r="O2363" s="888"/>
      <c r="P2363" s="888"/>
      <c r="Q2363" s="888"/>
      <c r="R2363" s="888"/>
    </row>
    <row r="2364" spans="1:18" s="893" customFormat="1" x14ac:dyDescent="0.3">
      <c r="A2364" s="888" t="s">
        <v>2062</v>
      </c>
      <c r="B2364" s="888" t="s">
        <v>1954</v>
      </c>
      <c r="C2364" s="1008" t="s">
        <v>5266</v>
      </c>
      <c r="D2364" s="888"/>
      <c r="E2364" s="893" t="str">
        <f>$E$2356</f>
        <v>Fiberglass frame</v>
      </c>
      <c r="I2364" s="888"/>
      <c r="J2364" s="888"/>
      <c r="K2364" s="888"/>
      <c r="L2364" s="888"/>
      <c r="M2364" s="888"/>
      <c r="N2364" s="888"/>
      <c r="O2364" s="888"/>
      <c r="P2364" s="888"/>
      <c r="Q2364" s="888"/>
      <c r="R2364" s="888"/>
    </row>
    <row r="2365" spans="1:18" s="893" customFormat="1" x14ac:dyDescent="0.3">
      <c r="A2365" s="888" t="s">
        <v>2062</v>
      </c>
      <c r="B2365" s="888" t="s">
        <v>1954</v>
      </c>
      <c r="C2365" s="1008" t="s">
        <v>3916</v>
      </c>
      <c r="D2365" s="888"/>
      <c r="E2365" s="893" t="str">
        <f>$E$2363</f>
        <v>Window - triple pane</v>
      </c>
      <c r="I2365" s="888"/>
      <c r="J2365" s="888"/>
      <c r="K2365" s="888"/>
      <c r="L2365" s="888"/>
      <c r="M2365" s="888"/>
      <c r="N2365" s="888"/>
      <c r="O2365" s="888"/>
      <c r="P2365" s="888"/>
      <c r="Q2365" s="888"/>
      <c r="R2365" s="888"/>
    </row>
    <row r="2366" spans="1:18" s="893" customFormat="1" x14ac:dyDescent="0.3">
      <c r="A2366" s="888" t="s">
        <v>2062</v>
      </c>
      <c r="B2366" s="888" t="s">
        <v>1954</v>
      </c>
      <c r="C2366" s="1008" t="s">
        <v>5267</v>
      </c>
      <c r="D2366" s="888"/>
      <c r="E2366" s="893" t="str">
        <f>$E$2358</f>
        <v>Vinyl frame</v>
      </c>
      <c r="I2366" s="888"/>
      <c r="J2366" s="888"/>
      <c r="K2366" s="888"/>
      <c r="L2366" s="888"/>
      <c r="M2366" s="888"/>
      <c r="N2366" s="888"/>
      <c r="O2366" s="888"/>
      <c r="P2366" s="888"/>
      <c r="Q2366" s="888"/>
      <c r="R2366" s="888"/>
    </row>
    <row r="2367" spans="1:18" s="893" customFormat="1" x14ac:dyDescent="0.3">
      <c r="A2367" s="888" t="s">
        <v>2062</v>
      </c>
      <c r="B2367" s="888" t="s">
        <v>1954</v>
      </c>
      <c r="C2367" s="1008" t="s">
        <v>6976</v>
      </c>
      <c r="D2367" s="888"/>
      <c r="E2367" s="893" t="str">
        <f>$E$2363</f>
        <v>Window - triple pane</v>
      </c>
      <c r="I2367" s="888"/>
      <c r="J2367" s="888"/>
      <c r="K2367" s="888"/>
      <c r="L2367" s="888"/>
      <c r="M2367" s="888"/>
      <c r="N2367" s="888"/>
      <c r="O2367" s="888"/>
      <c r="P2367" s="888"/>
      <c r="Q2367" s="888"/>
      <c r="R2367" s="888"/>
    </row>
    <row r="2368" spans="1:18" s="893" customFormat="1" x14ac:dyDescent="0.3">
      <c r="A2368" s="888" t="s">
        <v>2062</v>
      </c>
      <c r="B2368" s="888" t="s">
        <v>1954</v>
      </c>
      <c r="C2368" s="1008" t="s">
        <v>6977</v>
      </c>
      <c r="D2368" s="888"/>
      <c r="E2368" s="893" t="str">
        <f>$E$2360</f>
        <v>Wood frame</v>
      </c>
      <c r="I2368" s="888"/>
      <c r="J2368" s="888"/>
      <c r="K2368" s="888"/>
      <c r="L2368" s="888"/>
      <c r="M2368" s="888"/>
      <c r="N2368" s="888"/>
      <c r="O2368" s="888"/>
      <c r="P2368" s="888"/>
      <c r="Q2368" s="888"/>
      <c r="R2368" s="888"/>
    </row>
    <row r="2369" spans="1:18" s="893" customFormat="1" x14ac:dyDescent="0.3">
      <c r="A2369" s="888" t="s">
        <v>2062</v>
      </c>
      <c r="B2369" s="888" t="s">
        <v>1954</v>
      </c>
      <c r="C2369" s="1008" t="s">
        <v>6979</v>
      </c>
      <c r="D2369" s="888"/>
      <c r="E2369" s="893" t="str">
        <f>$E$2363</f>
        <v>Window - triple pane</v>
      </c>
      <c r="I2369" s="888"/>
      <c r="J2369" s="888"/>
      <c r="K2369" s="888"/>
      <c r="L2369" s="888"/>
      <c r="M2369" s="888"/>
      <c r="N2369" s="888"/>
      <c r="O2369" s="888"/>
      <c r="P2369" s="888"/>
      <c r="Q2369" s="888"/>
      <c r="R2369" s="888"/>
    </row>
    <row r="2370" spans="1:18" s="893" customFormat="1" x14ac:dyDescent="0.3">
      <c r="A2370" s="888" t="s">
        <v>2062</v>
      </c>
      <c r="B2370" s="888" t="s">
        <v>1954</v>
      </c>
      <c r="C2370" s="1008" t="s">
        <v>6980</v>
      </c>
      <c r="D2370" s="888"/>
      <c r="E2370" s="893" t="str">
        <f>$E$2362</f>
        <v>Wood frame, aluminum cladding</v>
      </c>
      <c r="I2370" s="888"/>
      <c r="J2370" s="888"/>
      <c r="K2370" s="888"/>
      <c r="L2370" s="888"/>
      <c r="M2370" s="888"/>
      <c r="N2370" s="888"/>
      <c r="O2370" s="888"/>
      <c r="P2370" s="888"/>
      <c r="Q2370" s="888"/>
      <c r="R2370" s="888"/>
    </row>
    <row r="2371" spans="1:18" s="893" customFormat="1" x14ac:dyDescent="0.3">
      <c r="A2371" s="888" t="s">
        <v>2062</v>
      </c>
      <c r="B2371" s="888" t="s">
        <v>1954</v>
      </c>
      <c r="C2371" s="1008" t="s">
        <v>3917</v>
      </c>
      <c r="D2371" s="888"/>
      <c r="E2371" s="893" t="s">
        <v>691</v>
      </c>
      <c r="I2371" s="888"/>
      <c r="J2371" s="888"/>
      <c r="K2371" s="888"/>
      <c r="L2371" s="888"/>
      <c r="M2371" s="888"/>
      <c r="N2371" s="888"/>
      <c r="O2371" s="888"/>
      <c r="P2371" s="888"/>
      <c r="Q2371" s="888"/>
      <c r="R2371" s="888"/>
    </row>
    <row r="2372" spans="1:18" s="893" customFormat="1" x14ac:dyDescent="0.3">
      <c r="A2372" s="888" t="s">
        <v>2062</v>
      </c>
      <c r="B2372" s="888" t="s">
        <v>1954</v>
      </c>
      <c r="C2372" s="1008" t="s">
        <v>5268</v>
      </c>
      <c r="D2372" s="888"/>
      <c r="E2372" s="893" t="s">
        <v>697</v>
      </c>
      <c r="I2372" s="888"/>
      <c r="J2372" s="888"/>
      <c r="K2372" s="888"/>
      <c r="L2372" s="888"/>
      <c r="M2372" s="888"/>
      <c r="N2372" s="888"/>
      <c r="O2372" s="888"/>
      <c r="P2372" s="888"/>
      <c r="Q2372" s="888"/>
      <c r="R2372" s="888"/>
    </row>
    <row r="2373" spans="1:18" s="893" customFormat="1" x14ac:dyDescent="0.3">
      <c r="A2373" s="888" t="s">
        <v>2062</v>
      </c>
      <c r="B2373" s="888" t="s">
        <v>1954</v>
      </c>
      <c r="C2373" s="1008" t="s">
        <v>5269</v>
      </c>
      <c r="D2373" s="888"/>
      <c r="E2373" s="893" t="s">
        <v>698</v>
      </c>
      <c r="I2373" s="888"/>
      <c r="J2373" s="888"/>
      <c r="K2373" s="888"/>
      <c r="L2373" s="888"/>
      <c r="M2373" s="888"/>
      <c r="N2373" s="888"/>
      <c r="O2373" s="888"/>
      <c r="P2373" s="888"/>
      <c r="Q2373" s="888"/>
      <c r="R2373" s="888"/>
    </row>
    <row r="2374" spans="1:18" s="893" customFormat="1" x14ac:dyDescent="0.3">
      <c r="A2374" s="888" t="s">
        <v>2062</v>
      </c>
      <c r="B2374" s="888" t="s">
        <v>1954</v>
      </c>
      <c r="C2374" s="1008" t="s">
        <v>6983</v>
      </c>
      <c r="D2374" s="888"/>
      <c r="E2374" s="893" t="str">
        <f>$E$2371</f>
        <v>Wood chip cement ICF</v>
      </c>
      <c r="I2374" s="888"/>
      <c r="J2374" s="888"/>
      <c r="K2374" s="888"/>
      <c r="L2374" s="888"/>
      <c r="M2374" s="888"/>
      <c r="N2374" s="888"/>
      <c r="O2374" s="888"/>
      <c r="P2374" s="888"/>
      <c r="Q2374" s="888"/>
      <c r="R2374" s="888"/>
    </row>
    <row r="2375" spans="1:18" s="893" customFormat="1" x14ac:dyDescent="0.3">
      <c r="A2375" s="888" t="s">
        <v>2062</v>
      </c>
      <c r="B2375" s="888" t="s">
        <v>1954</v>
      </c>
      <c r="C2375" s="1008" t="s">
        <v>6984</v>
      </c>
      <c r="D2375" s="888"/>
      <c r="E2375" s="893" t="str">
        <f>$E$2372</f>
        <v>Nexcem, Faswall</v>
      </c>
      <c r="I2375" s="888"/>
      <c r="J2375" s="888"/>
      <c r="K2375" s="888"/>
      <c r="L2375" s="888"/>
      <c r="M2375" s="888"/>
      <c r="N2375" s="888"/>
      <c r="O2375" s="888"/>
      <c r="P2375" s="888"/>
      <c r="Q2375" s="888"/>
      <c r="R2375" s="888"/>
    </row>
    <row r="2376" spans="1:18" s="893" customFormat="1" x14ac:dyDescent="0.3">
      <c r="A2376" s="888" t="s">
        <v>2062</v>
      </c>
      <c r="B2376" s="888" t="s">
        <v>1954</v>
      </c>
      <c r="C2376" s="1008" t="s">
        <v>6985</v>
      </c>
      <c r="D2376" s="888"/>
      <c r="E2376" s="893" t="s">
        <v>701</v>
      </c>
      <c r="I2376" s="888"/>
      <c r="J2376" s="888"/>
      <c r="K2376" s="888"/>
      <c r="L2376" s="888"/>
      <c r="M2376" s="888"/>
      <c r="N2376" s="888"/>
      <c r="O2376" s="888"/>
      <c r="P2376" s="888"/>
      <c r="Q2376" s="888"/>
      <c r="R2376" s="888"/>
    </row>
    <row r="2377" spans="1:18" s="893" customFormat="1" x14ac:dyDescent="0.3">
      <c r="A2377" s="888" t="s">
        <v>2062</v>
      </c>
      <c r="B2377" s="888" t="s">
        <v>1954</v>
      </c>
      <c r="C2377" s="1008" t="s">
        <v>3918</v>
      </c>
      <c r="D2377" s="888"/>
      <c r="E2377" s="893" t="s">
        <v>1378</v>
      </c>
      <c r="I2377" s="888"/>
      <c r="J2377" s="888"/>
      <c r="K2377" s="888"/>
      <c r="L2377" s="888"/>
      <c r="M2377" s="888"/>
      <c r="N2377" s="888"/>
      <c r="O2377" s="888"/>
      <c r="P2377" s="888"/>
      <c r="Q2377" s="888"/>
      <c r="R2377" s="888"/>
    </row>
    <row r="2378" spans="1:18" s="893" customFormat="1" x14ac:dyDescent="0.3">
      <c r="A2378" s="888" t="s">
        <v>2062</v>
      </c>
      <c r="B2378" s="888" t="s">
        <v>1954</v>
      </c>
      <c r="C2378" s="1008" t="s">
        <v>5270</v>
      </c>
      <c r="D2378" s="888"/>
      <c r="E2378" s="893" t="s">
        <v>703</v>
      </c>
      <c r="I2378" s="888"/>
      <c r="J2378" s="888"/>
      <c r="K2378" s="888"/>
      <c r="L2378" s="888"/>
      <c r="M2378" s="888"/>
      <c r="N2378" s="888"/>
      <c r="O2378" s="888"/>
      <c r="P2378" s="888"/>
      <c r="Q2378" s="888"/>
      <c r="R2378" s="888"/>
    </row>
    <row r="2379" spans="1:18" s="893" customFormat="1" x14ac:dyDescent="0.3">
      <c r="A2379" s="888" t="s">
        <v>2062</v>
      </c>
      <c r="B2379" s="888" t="s">
        <v>1954</v>
      </c>
      <c r="C2379" s="1008" t="s">
        <v>3919</v>
      </c>
      <c r="D2379" s="888"/>
      <c r="E2379" s="893" t="s">
        <v>704</v>
      </c>
      <c r="I2379" s="888"/>
      <c r="J2379" s="888"/>
      <c r="K2379" s="888"/>
      <c r="L2379" s="888"/>
      <c r="M2379" s="888"/>
      <c r="N2379" s="888"/>
      <c r="O2379" s="888"/>
      <c r="P2379" s="888"/>
      <c r="Q2379" s="888"/>
      <c r="R2379" s="888"/>
    </row>
    <row r="2380" spans="1:18" s="893" customFormat="1" x14ac:dyDescent="0.3">
      <c r="A2380" s="888" t="s">
        <v>2062</v>
      </c>
      <c r="B2380" s="888" t="s">
        <v>1954</v>
      </c>
      <c r="C2380" s="1008" t="s">
        <v>5271</v>
      </c>
      <c r="D2380" s="888"/>
      <c r="E2380" s="893" t="str">
        <f>$E$1660</f>
        <v>R 3.6/inch</v>
      </c>
      <c r="I2380" s="888"/>
      <c r="J2380" s="888"/>
      <c r="K2380" s="888"/>
      <c r="L2380" s="888"/>
      <c r="M2380" s="888"/>
      <c r="N2380" s="888"/>
      <c r="O2380" s="888"/>
      <c r="P2380" s="888"/>
      <c r="Q2380" s="888"/>
      <c r="R2380" s="888"/>
    </row>
    <row r="2381" spans="1:18" s="893" customFormat="1" x14ac:dyDescent="0.3">
      <c r="A2381" s="888" t="s">
        <v>2062</v>
      </c>
      <c r="B2381" s="888" t="s">
        <v>1954</v>
      </c>
      <c r="C2381" s="1008" t="s">
        <v>3920</v>
      </c>
      <c r="D2381" s="888"/>
      <c r="E2381" s="893" t="s">
        <v>706</v>
      </c>
      <c r="I2381" s="888"/>
      <c r="J2381" s="888"/>
      <c r="K2381" s="888"/>
      <c r="L2381" s="888"/>
      <c r="M2381" s="888"/>
      <c r="N2381" s="888"/>
      <c r="O2381" s="888"/>
      <c r="P2381" s="888"/>
      <c r="Q2381" s="888"/>
      <c r="R2381" s="888"/>
    </row>
    <row r="2382" spans="1:18" s="893" customFormat="1" x14ac:dyDescent="0.3">
      <c r="A2382" s="888" t="s">
        <v>2062</v>
      </c>
      <c r="B2382" s="888" t="s">
        <v>1954</v>
      </c>
      <c r="C2382" s="1008" t="s">
        <v>5272</v>
      </c>
      <c r="D2382" s="888"/>
      <c r="E2382" s="893" t="s">
        <v>712</v>
      </c>
      <c r="I2382" s="888"/>
      <c r="J2382" s="888"/>
      <c r="K2382" s="888"/>
      <c r="L2382" s="888"/>
      <c r="M2382" s="888"/>
      <c r="N2382" s="888"/>
      <c r="O2382" s="888"/>
      <c r="P2382" s="888"/>
      <c r="Q2382" s="888"/>
      <c r="R2382" s="888"/>
    </row>
    <row r="2383" spans="1:18" s="893" customFormat="1" x14ac:dyDescent="0.3">
      <c r="A2383" s="888" t="s">
        <v>2062</v>
      </c>
      <c r="B2383" s="888" t="s">
        <v>1954</v>
      </c>
      <c r="C2383" s="1008" t="s">
        <v>3921</v>
      </c>
      <c r="D2383" s="888"/>
      <c r="E2383" s="893" t="s">
        <v>713</v>
      </c>
      <c r="I2383" s="888"/>
      <c r="J2383" s="888"/>
      <c r="K2383" s="888"/>
      <c r="L2383" s="888"/>
      <c r="M2383" s="888"/>
      <c r="N2383" s="888"/>
      <c r="O2383" s="888"/>
      <c r="P2383" s="888"/>
      <c r="Q2383" s="888"/>
      <c r="R2383" s="888"/>
    </row>
    <row r="2384" spans="1:18" s="893" customFormat="1" x14ac:dyDescent="0.3">
      <c r="A2384" s="888" t="s">
        <v>2062</v>
      </c>
      <c r="B2384" s="888" t="s">
        <v>1954</v>
      </c>
      <c r="C2384" s="1008" t="s">
        <v>5273</v>
      </c>
      <c r="D2384" s="888"/>
      <c r="E2384" s="893" t="s">
        <v>506</v>
      </c>
      <c r="I2384" s="888"/>
      <c r="J2384" s="888"/>
      <c r="K2384" s="888"/>
      <c r="L2384" s="888"/>
      <c r="M2384" s="888"/>
      <c r="N2384" s="888"/>
      <c r="O2384" s="888"/>
      <c r="P2384" s="888"/>
      <c r="Q2384" s="888"/>
      <c r="R2384" s="888"/>
    </row>
    <row r="2385" spans="1:18" s="893" customFormat="1" x14ac:dyDescent="0.3">
      <c r="A2385" s="888" t="s">
        <v>2062</v>
      </c>
      <c r="B2385" s="888" t="s">
        <v>1954</v>
      </c>
      <c r="C2385" s="1008" t="s">
        <v>6987</v>
      </c>
      <c r="D2385" s="888"/>
      <c r="E2385" s="893" t="s">
        <v>715</v>
      </c>
      <c r="I2385" s="888"/>
      <c r="J2385" s="888"/>
      <c r="K2385" s="888"/>
      <c r="L2385" s="888"/>
      <c r="M2385" s="888"/>
      <c r="N2385" s="888"/>
      <c r="O2385" s="888"/>
      <c r="P2385" s="888"/>
      <c r="Q2385" s="888"/>
      <c r="R2385" s="888"/>
    </row>
    <row r="2386" spans="1:18" s="893" customFormat="1" x14ac:dyDescent="0.3">
      <c r="A2386" s="888" t="s">
        <v>2062</v>
      </c>
      <c r="B2386" s="888" t="s">
        <v>1954</v>
      </c>
      <c r="C2386" s="1008" t="s">
        <v>6988</v>
      </c>
      <c r="D2386" s="888"/>
      <c r="E2386" s="893" t="str">
        <f>$E$2378</f>
        <v>GUTEX</v>
      </c>
      <c r="I2386" s="888"/>
      <c r="J2386" s="888"/>
      <c r="K2386" s="888"/>
      <c r="L2386" s="888"/>
      <c r="M2386" s="888"/>
      <c r="N2386" s="888"/>
      <c r="O2386" s="888"/>
      <c r="P2386" s="888"/>
      <c r="Q2386" s="888"/>
      <c r="R2386" s="888"/>
    </row>
    <row r="2387" spans="1:18" s="893" customFormat="1" x14ac:dyDescent="0.3">
      <c r="A2387" s="888" t="s">
        <v>2062</v>
      </c>
      <c r="B2387" s="888" t="s">
        <v>1954</v>
      </c>
      <c r="C2387" s="1008" t="s">
        <v>6989</v>
      </c>
      <c r="D2387" s="888"/>
      <c r="E2387" s="893" t="s">
        <v>719</v>
      </c>
      <c r="I2387" s="888"/>
      <c r="J2387" s="888"/>
      <c r="K2387" s="888"/>
      <c r="L2387" s="888"/>
      <c r="M2387" s="888"/>
      <c r="N2387" s="888"/>
      <c r="O2387" s="888"/>
      <c r="P2387" s="888"/>
      <c r="Q2387" s="888"/>
      <c r="R2387" s="888"/>
    </row>
    <row r="2388" spans="1:18" s="893" customFormat="1" x14ac:dyDescent="0.3">
      <c r="A2388" s="888" t="s">
        <v>2062</v>
      </c>
      <c r="B2388" s="888" t="s">
        <v>1954</v>
      </c>
      <c r="C2388" s="1008" t="s">
        <v>6990</v>
      </c>
      <c r="D2388" s="888"/>
      <c r="E2388" s="893" t="s">
        <v>4590</v>
      </c>
      <c r="I2388" s="888"/>
      <c r="J2388" s="888"/>
      <c r="K2388" s="888"/>
      <c r="L2388" s="888"/>
      <c r="M2388" s="888"/>
      <c r="N2388" s="888"/>
      <c r="O2388" s="888"/>
      <c r="P2388" s="888"/>
      <c r="Q2388" s="888"/>
      <c r="R2388" s="888"/>
    </row>
    <row r="2389" spans="1:18" s="893" customFormat="1" x14ac:dyDescent="0.3">
      <c r="A2389" s="888" t="s">
        <v>2062</v>
      </c>
      <c r="B2389" s="888" t="s">
        <v>1954</v>
      </c>
      <c r="C2389" s="1008" t="s">
        <v>3922</v>
      </c>
      <c r="D2389" s="888"/>
      <c r="E2389" s="893" t="str">
        <f>$E$2385</f>
        <v>Wood fiber board</v>
      </c>
      <c r="I2389" s="888"/>
      <c r="J2389" s="888"/>
      <c r="K2389" s="888"/>
      <c r="L2389" s="888"/>
      <c r="M2389" s="888"/>
      <c r="N2389" s="888"/>
      <c r="O2389" s="888"/>
      <c r="P2389" s="888"/>
      <c r="Q2389" s="888"/>
      <c r="R2389" s="888"/>
    </row>
    <row r="2390" spans="1:18" s="893" customFormat="1" x14ac:dyDescent="0.3">
      <c r="A2390" s="888" t="s">
        <v>2062</v>
      </c>
      <c r="B2390" s="888" t="s">
        <v>1954</v>
      </c>
      <c r="C2390" s="1008" t="s">
        <v>5274</v>
      </c>
      <c r="D2390" s="888"/>
      <c r="E2390" s="893" t="s">
        <v>709</v>
      </c>
      <c r="I2390" s="888"/>
      <c r="J2390" s="888"/>
      <c r="K2390" s="888"/>
      <c r="L2390" s="888"/>
      <c r="M2390" s="888"/>
      <c r="N2390" s="888"/>
      <c r="O2390" s="888"/>
      <c r="P2390" s="888"/>
      <c r="Q2390" s="888"/>
      <c r="R2390" s="888"/>
    </row>
    <row r="2391" spans="1:18" s="893" customFormat="1" x14ac:dyDescent="0.3">
      <c r="A2391" s="888" t="s">
        <v>2062</v>
      </c>
      <c r="B2391" s="888" t="s">
        <v>1954</v>
      </c>
      <c r="C2391" s="1008" t="s">
        <v>3923</v>
      </c>
      <c r="D2391" s="888"/>
      <c r="E2391" s="893" t="s">
        <v>4471</v>
      </c>
      <c r="I2391" s="888"/>
      <c r="J2391" s="888"/>
      <c r="K2391" s="888"/>
      <c r="L2391" s="888"/>
      <c r="M2391" s="888"/>
      <c r="N2391" s="888"/>
      <c r="O2391" s="888"/>
      <c r="P2391" s="888"/>
      <c r="Q2391" s="888"/>
      <c r="R2391" s="888"/>
    </row>
    <row r="2392" spans="1:18" s="893" customFormat="1" x14ac:dyDescent="0.3">
      <c r="A2392" s="888" t="s">
        <v>2062</v>
      </c>
      <c r="B2392" s="888" t="s">
        <v>1954</v>
      </c>
      <c r="C2392" s="1008" t="s">
        <v>3924</v>
      </c>
      <c r="D2392" s="888"/>
      <c r="E2392" s="893" t="s">
        <v>4472</v>
      </c>
      <c r="I2392" s="888"/>
      <c r="J2392" s="888"/>
      <c r="K2392" s="888"/>
      <c r="L2392" s="888"/>
      <c r="M2392" s="888"/>
      <c r="N2392" s="888"/>
      <c r="O2392" s="888"/>
      <c r="P2392" s="888"/>
      <c r="Q2392" s="888"/>
      <c r="R2392" s="888"/>
    </row>
    <row r="2393" spans="1:18" s="893" customFormat="1" x14ac:dyDescent="0.3">
      <c r="A2393" s="888" t="s">
        <v>2062</v>
      </c>
      <c r="B2393" s="888" t="s">
        <v>1954</v>
      </c>
      <c r="C2393" s="1008" t="s">
        <v>6991</v>
      </c>
      <c r="D2393" s="888"/>
      <c r="E2393" s="893" t="str">
        <f>$E$2385</f>
        <v>Wood fiber board</v>
      </c>
      <c r="I2393" s="888"/>
      <c r="J2393" s="888"/>
      <c r="K2393" s="888"/>
      <c r="L2393" s="888"/>
      <c r="M2393" s="888"/>
      <c r="N2393" s="888"/>
      <c r="O2393" s="888"/>
      <c r="P2393" s="888"/>
      <c r="Q2393" s="888"/>
      <c r="R2393" s="888"/>
    </row>
    <row r="2394" spans="1:18" s="893" customFormat="1" x14ac:dyDescent="0.3">
      <c r="A2394" s="888" t="s">
        <v>2062</v>
      </c>
      <c r="B2394" s="888" t="s">
        <v>1954</v>
      </c>
      <c r="C2394" s="1008" t="s">
        <v>5097</v>
      </c>
      <c r="D2394" s="888"/>
      <c r="E2394" s="893" t="str">
        <f>$E$2390</f>
        <v>Pavatex</v>
      </c>
      <c r="I2394" s="888"/>
      <c r="J2394" s="888"/>
      <c r="K2394" s="888"/>
      <c r="L2394" s="888"/>
      <c r="M2394" s="888"/>
      <c r="N2394" s="888"/>
      <c r="O2394" s="888"/>
      <c r="P2394" s="888"/>
      <c r="Q2394" s="888"/>
      <c r="R2394" s="888"/>
    </row>
    <row r="2395" spans="1:18" s="893" customFormat="1" x14ac:dyDescent="0.3">
      <c r="A2395" s="888" t="s">
        <v>2062</v>
      </c>
      <c r="B2395" s="888" t="s">
        <v>1954</v>
      </c>
      <c r="C2395" s="1008" t="s">
        <v>6992</v>
      </c>
      <c r="D2395" s="888"/>
      <c r="E2395" s="893" t="s">
        <v>720</v>
      </c>
      <c r="I2395" s="888"/>
      <c r="J2395" s="888"/>
      <c r="K2395" s="888"/>
      <c r="L2395" s="888"/>
      <c r="M2395" s="888"/>
      <c r="N2395" s="888"/>
      <c r="O2395" s="888"/>
      <c r="P2395" s="888"/>
      <c r="Q2395" s="888"/>
      <c r="R2395" s="888"/>
    </row>
    <row r="2396" spans="1:18" s="893" customFormat="1" x14ac:dyDescent="0.3">
      <c r="A2396" s="888" t="s">
        <v>2062</v>
      </c>
      <c r="B2396" s="888" t="s">
        <v>1954</v>
      </c>
      <c r="C2396" s="1008" t="s">
        <v>6993</v>
      </c>
      <c r="D2396" s="888"/>
      <c r="E2396" s="893" t="s">
        <v>4475</v>
      </c>
      <c r="I2396" s="888"/>
      <c r="J2396" s="888"/>
      <c r="K2396" s="888"/>
      <c r="L2396" s="888"/>
      <c r="M2396" s="888"/>
      <c r="N2396" s="888"/>
      <c r="O2396" s="888"/>
      <c r="P2396" s="888"/>
      <c r="Q2396" s="888"/>
      <c r="R2396" s="888"/>
    </row>
    <row r="2397" spans="1:18" s="893" customFormat="1" x14ac:dyDescent="0.3">
      <c r="A2397" s="888" t="s">
        <v>2062</v>
      </c>
      <c r="B2397" s="888" t="s">
        <v>1954</v>
      </c>
      <c r="C2397" s="1008" t="s">
        <v>3925</v>
      </c>
      <c r="D2397" s="888"/>
      <c r="E2397" s="893" t="str">
        <f>$E$2385</f>
        <v>Wood fiber board</v>
      </c>
      <c r="I2397" s="888"/>
      <c r="J2397" s="888"/>
      <c r="K2397" s="888"/>
      <c r="L2397" s="888"/>
      <c r="M2397" s="888"/>
      <c r="N2397" s="888"/>
      <c r="O2397" s="888"/>
      <c r="P2397" s="888"/>
      <c r="Q2397" s="888"/>
      <c r="R2397" s="888"/>
    </row>
    <row r="2398" spans="1:18" s="893" customFormat="1" x14ac:dyDescent="0.3">
      <c r="A2398" s="888" t="s">
        <v>2062</v>
      </c>
      <c r="B2398" s="888" t="s">
        <v>1954</v>
      </c>
      <c r="C2398" s="1008" t="s">
        <v>5275</v>
      </c>
      <c r="D2398" s="888"/>
      <c r="E2398" s="893" t="str">
        <f>$E$2390</f>
        <v>Pavatex</v>
      </c>
      <c r="I2398" s="888"/>
      <c r="J2398" s="888"/>
      <c r="K2398" s="888"/>
      <c r="L2398" s="888"/>
      <c r="M2398" s="888"/>
      <c r="N2398" s="888"/>
      <c r="O2398" s="888"/>
      <c r="P2398" s="888"/>
      <c r="Q2398" s="888"/>
      <c r="R2398" s="888"/>
    </row>
    <row r="2399" spans="1:18" s="893" customFormat="1" x14ac:dyDescent="0.3">
      <c r="A2399" s="888" t="s">
        <v>2062</v>
      </c>
      <c r="B2399" s="888" t="s">
        <v>1954</v>
      </c>
      <c r="C2399" s="1008" t="s">
        <v>6994</v>
      </c>
      <c r="D2399" s="888"/>
      <c r="E2399" s="893" t="s">
        <v>4477</v>
      </c>
      <c r="I2399" s="888"/>
      <c r="J2399" s="888"/>
      <c r="K2399" s="888"/>
      <c r="L2399" s="888"/>
      <c r="M2399" s="888"/>
      <c r="N2399" s="888"/>
      <c r="O2399" s="888"/>
      <c r="P2399" s="888"/>
      <c r="Q2399" s="888"/>
      <c r="R2399" s="888"/>
    </row>
    <row r="2400" spans="1:18" s="893" customFormat="1" x14ac:dyDescent="0.3">
      <c r="A2400" s="888" t="s">
        <v>2062</v>
      </c>
      <c r="B2400" s="888" t="s">
        <v>1954</v>
      </c>
      <c r="C2400" s="1008" t="s">
        <v>6995</v>
      </c>
      <c r="D2400" s="888"/>
      <c r="E2400" s="893" t="s">
        <v>4478</v>
      </c>
      <c r="I2400" s="888"/>
      <c r="J2400" s="888"/>
      <c r="K2400" s="888"/>
      <c r="L2400" s="888"/>
      <c r="M2400" s="888"/>
      <c r="N2400" s="888"/>
      <c r="O2400" s="888"/>
      <c r="P2400" s="888"/>
      <c r="Q2400" s="888"/>
      <c r="R2400" s="888"/>
    </row>
    <row r="2401" spans="1:18" s="893" customFormat="1" x14ac:dyDescent="0.3">
      <c r="A2401" s="888" t="s">
        <v>2062</v>
      </c>
      <c r="B2401" s="888" t="s">
        <v>1954</v>
      </c>
      <c r="C2401" s="1008" t="s">
        <v>3926</v>
      </c>
      <c r="D2401" s="888"/>
      <c r="E2401" s="893" t="str">
        <f>$E$2385</f>
        <v>Wood fiber board</v>
      </c>
      <c r="I2401" s="888"/>
      <c r="J2401" s="888"/>
      <c r="K2401" s="888"/>
      <c r="L2401" s="888"/>
      <c r="M2401" s="888"/>
      <c r="N2401" s="888"/>
      <c r="O2401" s="888"/>
      <c r="P2401" s="888"/>
      <c r="Q2401" s="888"/>
      <c r="R2401" s="888"/>
    </row>
    <row r="2402" spans="1:18" s="893" customFormat="1" x14ac:dyDescent="0.3">
      <c r="A2402" s="888" t="s">
        <v>2062</v>
      </c>
      <c r="B2402" s="888" t="s">
        <v>1954</v>
      </c>
      <c r="C2402" s="1008" t="s">
        <v>5276</v>
      </c>
      <c r="D2402" s="888"/>
      <c r="E2402" s="893" t="str">
        <f>$E$2390</f>
        <v>Pavatex</v>
      </c>
      <c r="I2402" s="888"/>
      <c r="J2402" s="888"/>
      <c r="K2402" s="888"/>
      <c r="L2402" s="888"/>
      <c r="M2402" s="888"/>
      <c r="N2402" s="888"/>
      <c r="O2402" s="888"/>
      <c r="P2402" s="888"/>
      <c r="Q2402" s="888"/>
      <c r="R2402" s="888"/>
    </row>
    <row r="2403" spans="1:18" s="893" customFormat="1" x14ac:dyDescent="0.3">
      <c r="A2403" s="888" t="s">
        <v>2062</v>
      </c>
      <c r="B2403" s="888" t="s">
        <v>1954</v>
      </c>
      <c r="C2403" s="1008" t="s">
        <v>6996</v>
      </c>
      <c r="D2403" s="888"/>
      <c r="E2403" s="893" t="s">
        <v>4479</v>
      </c>
      <c r="I2403" s="888"/>
      <c r="J2403" s="888"/>
      <c r="K2403" s="888"/>
      <c r="L2403" s="888"/>
      <c r="M2403" s="888"/>
      <c r="N2403" s="888"/>
      <c r="O2403" s="888"/>
      <c r="P2403" s="888"/>
      <c r="Q2403" s="888"/>
      <c r="R2403" s="888"/>
    </row>
    <row r="2404" spans="1:18" s="893" customFormat="1" x14ac:dyDescent="0.3">
      <c r="A2404" s="888" t="s">
        <v>2062</v>
      </c>
      <c r="B2404" s="888" t="s">
        <v>1954</v>
      </c>
      <c r="C2404" s="1008" t="s">
        <v>6997</v>
      </c>
      <c r="D2404" s="888"/>
      <c r="E2404" s="893" t="s">
        <v>4480</v>
      </c>
      <c r="I2404" s="888"/>
      <c r="J2404" s="888"/>
      <c r="K2404" s="888"/>
      <c r="L2404" s="888"/>
      <c r="M2404" s="888"/>
      <c r="N2404" s="888"/>
      <c r="O2404" s="888"/>
      <c r="P2404" s="888"/>
      <c r="Q2404" s="888"/>
      <c r="R2404" s="888"/>
    </row>
    <row r="2405" spans="1:18" s="893" customFormat="1" x14ac:dyDescent="0.3">
      <c r="A2405" s="888" t="s">
        <v>2062</v>
      </c>
      <c r="B2405" s="888" t="s">
        <v>1954</v>
      </c>
      <c r="C2405" s="1008" t="s">
        <v>6998</v>
      </c>
      <c r="D2405" s="888"/>
      <c r="E2405" s="893" t="str">
        <f>$E$2385</f>
        <v>Wood fiber board</v>
      </c>
      <c r="I2405" s="888"/>
      <c r="J2405" s="888"/>
      <c r="K2405" s="888"/>
      <c r="L2405" s="888"/>
      <c r="M2405" s="888"/>
      <c r="N2405" s="888"/>
      <c r="O2405" s="888"/>
      <c r="P2405" s="888"/>
      <c r="Q2405" s="888"/>
      <c r="R2405" s="888"/>
    </row>
    <row r="2406" spans="1:18" s="893" customFormat="1" x14ac:dyDescent="0.3">
      <c r="A2406" s="888" t="s">
        <v>2062</v>
      </c>
      <c r="B2406" s="888" t="s">
        <v>1954</v>
      </c>
      <c r="C2406" s="1008" t="s">
        <v>5098</v>
      </c>
      <c r="D2406" s="888"/>
      <c r="E2406" s="893" t="str">
        <f>$E$2382</f>
        <v>Steico</v>
      </c>
      <c r="I2406" s="888"/>
      <c r="J2406" s="888"/>
      <c r="K2406" s="888"/>
      <c r="L2406" s="888"/>
      <c r="M2406" s="888"/>
      <c r="N2406" s="888"/>
      <c r="O2406" s="888"/>
      <c r="P2406" s="888"/>
      <c r="Q2406" s="888"/>
      <c r="R2406" s="888"/>
    </row>
    <row r="2407" spans="1:18" s="893" customFormat="1" x14ac:dyDescent="0.3">
      <c r="A2407" s="888" t="s">
        <v>2062</v>
      </c>
      <c r="B2407" s="888" t="s">
        <v>1954</v>
      </c>
      <c r="C2407" s="1008" t="s">
        <v>6999</v>
      </c>
      <c r="D2407" s="888"/>
      <c r="E2407" s="893" t="s">
        <v>4483</v>
      </c>
      <c r="I2407" s="888"/>
      <c r="J2407" s="888"/>
      <c r="K2407" s="888"/>
      <c r="L2407" s="888"/>
      <c r="M2407" s="888"/>
      <c r="N2407" s="888"/>
      <c r="O2407" s="888"/>
      <c r="P2407" s="888"/>
      <c r="Q2407" s="888"/>
      <c r="R2407" s="888"/>
    </row>
    <row r="2408" spans="1:18" s="893" customFormat="1" x14ac:dyDescent="0.3">
      <c r="A2408" s="888" t="s">
        <v>2062</v>
      </c>
      <c r="B2408" s="888" t="s">
        <v>1954</v>
      </c>
      <c r="C2408" s="1008" t="s">
        <v>7000</v>
      </c>
      <c r="D2408" s="888"/>
      <c r="E2408" s="893" t="s">
        <v>4484</v>
      </c>
      <c r="I2408" s="888"/>
      <c r="J2408" s="888"/>
      <c r="K2408" s="888"/>
      <c r="L2408" s="888"/>
      <c r="M2408" s="888"/>
      <c r="N2408" s="888"/>
      <c r="O2408" s="888"/>
      <c r="P2408" s="888"/>
      <c r="Q2408" s="888"/>
      <c r="R2408" s="888"/>
    </row>
    <row r="2409" spans="1:18" s="893" customFormat="1" x14ac:dyDescent="0.3">
      <c r="A2409" s="888" t="s">
        <v>2062</v>
      </c>
      <c r="B2409" s="888" t="s">
        <v>1954</v>
      </c>
      <c r="C2409" s="1008" t="s">
        <v>3927</v>
      </c>
      <c r="D2409" s="888"/>
      <c r="E2409" s="893" t="str">
        <f>$E$2385</f>
        <v>Wood fiber board</v>
      </c>
      <c r="I2409" s="888"/>
      <c r="J2409" s="888"/>
      <c r="K2409" s="888"/>
      <c r="L2409" s="888"/>
      <c r="M2409" s="888"/>
      <c r="N2409" s="888"/>
      <c r="O2409" s="888"/>
      <c r="P2409" s="888"/>
      <c r="Q2409" s="888"/>
      <c r="R2409" s="888"/>
    </row>
    <row r="2410" spans="1:18" s="893" customFormat="1" x14ac:dyDescent="0.3">
      <c r="A2410" s="888" t="s">
        <v>2062</v>
      </c>
      <c r="B2410" s="888" t="s">
        <v>1954</v>
      </c>
      <c r="C2410" s="1008" t="s">
        <v>5277</v>
      </c>
      <c r="D2410" s="888"/>
      <c r="E2410" s="893" t="str">
        <f>$E$2382</f>
        <v>Steico</v>
      </c>
      <c r="I2410" s="888"/>
      <c r="J2410" s="888"/>
      <c r="K2410" s="888"/>
      <c r="L2410" s="888"/>
      <c r="M2410" s="888"/>
      <c r="N2410" s="888"/>
      <c r="O2410" s="888"/>
      <c r="P2410" s="888"/>
      <c r="Q2410" s="888"/>
      <c r="R2410" s="888"/>
    </row>
    <row r="2411" spans="1:18" s="893" customFormat="1" x14ac:dyDescent="0.3">
      <c r="A2411" s="888" t="s">
        <v>2062</v>
      </c>
      <c r="B2411" s="888" t="s">
        <v>1954</v>
      </c>
      <c r="C2411" s="1008" t="s">
        <v>3928</v>
      </c>
      <c r="D2411" s="888"/>
      <c r="E2411" s="893" t="s">
        <v>4485</v>
      </c>
      <c r="I2411" s="888"/>
      <c r="J2411" s="888"/>
      <c r="K2411" s="888"/>
      <c r="L2411" s="888"/>
      <c r="M2411" s="888"/>
      <c r="N2411" s="888"/>
      <c r="O2411" s="888"/>
      <c r="P2411" s="888"/>
      <c r="Q2411" s="888"/>
      <c r="R2411" s="888"/>
    </row>
    <row r="2412" spans="1:18" s="893" customFormat="1" x14ac:dyDescent="0.3">
      <c r="A2412" s="888" t="s">
        <v>2062</v>
      </c>
      <c r="B2412" s="888" t="s">
        <v>1954</v>
      </c>
      <c r="C2412" s="1008" t="s">
        <v>5278</v>
      </c>
      <c r="D2412" s="888"/>
      <c r="E2412" s="893" t="s">
        <v>4486</v>
      </c>
      <c r="I2412" s="888"/>
      <c r="J2412" s="888"/>
      <c r="K2412" s="888"/>
      <c r="L2412" s="888"/>
      <c r="M2412" s="888"/>
      <c r="N2412" s="888"/>
      <c r="O2412" s="888"/>
      <c r="P2412" s="888"/>
      <c r="Q2412" s="888"/>
      <c r="R2412" s="888"/>
    </row>
    <row r="2413" spans="1:18" s="893" customFormat="1" x14ac:dyDescent="0.3">
      <c r="A2413" s="888" t="s">
        <v>2062</v>
      </c>
      <c r="B2413" s="888" t="s">
        <v>1954</v>
      </c>
      <c r="C2413" s="1008" t="s">
        <v>3929</v>
      </c>
      <c r="D2413" s="888"/>
      <c r="E2413" s="893" t="str">
        <f>$E$2385</f>
        <v>Wood fiber board</v>
      </c>
      <c r="I2413" s="888"/>
      <c r="J2413" s="888"/>
      <c r="K2413" s="888"/>
      <c r="L2413" s="888"/>
      <c r="M2413" s="888"/>
      <c r="N2413" s="888"/>
      <c r="O2413" s="888"/>
      <c r="P2413" s="888"/>
      <c r="Q2413" s="888"/>
      <c r="R2413" s="888"/>
    </row>
    <row r="2414" spans="1:18" s="893" customFormat="1" x14ac:dyDescent="0.3">
      <c r="A2414" s="888" t="s">
        <v>2062</v>
      </c>
      <c r="B2414" s="888" t="s">
        <v>1954</v>
      </c>
      <c r="C2414" s="1008" t="s">
        <v>5279</v>
      </c>
      <c r="D2414" s="888"/>
      <c r="E2414" s="893" t="str">
        <f>$E$2382</f>
        <v>Steico</v>
      </c>
      <c r="I2414" s="888"/>
      <c r="J2414" s="888"/>
      <c r="K2414" s="888"/>
      <c r="L2414" s="888"/>
      <c r="M2414" s="888"/>
      <c r="N2414" s="888"/>
      <c r="O2414" s="888"/>
      <c r="P2414" s="888"/>
      <c r="Q2414" s="888"/>
      <c r="R2414" s="888"/>
    </row>
    <row r="2415" spans="1:18" s="893" customFormat="1" x14ac:dyDescent="0.3">
      <c r="A2415" s="888" t="s">
        <v>2062</v>
      </c>
      <c r="B2415" s="888" t="s">
        <v>1954</v>
      </c>
      <c r="C2415" s="1008" t="s">
        <v>3930</v>
      </c>
      <c r="D2415" s="888"/>
      <c r="E2415" s="893" t="s">
        <v>4487</v>
      </c>
      <c r="I2415" s="888"/>
      <c r="J2415" s="888"/>
      <c r="K2415" s="888"/>
      <c r="L2415" s="888"/>
      <c r="M2415" s="888"/>
      <c r="N2415" s="888"/>
      <c r="O2415" s="888"/>
      <c r="P2415" s="888"/>
      <c r="Q2415" s="888"/>
      <c r="R2415" s="888"/>
    </row>
    <row r="2416" spans="1:18" s="893" customFormat="1" x14ac:dyDescent="0.3">
      <c r="A2416" s="888" t="s">
        <v>2062</v>
      </c>
      <c r="B2416" s="888" t="s">
        <v>1954</v>
      </c>
      <c r="C2416" s="1008" t="s">
        <v>3931</v>
      </c>
      <c r="D2416" s="888"/>
      <c r="E2416" s="893" t="s">
        <v>4488</v>
      </c>
      <c r="I2416" s="888"/>
      <c r="J2416" s="888"/>
      <c r="K2416" s="888"/>
      <c r="L2416" s="888"/>
      <c r="M2416" s="888"/>
      <c r="N2416" s="888"/>
      <c r="O2416" s="888"/>
      <c r="P2416" s="888"/>
      <c r="Q2416" s="888"/>
      <c r="R2416" s="888"/>
    </row>
    <row r="2417" spans="1:18" s="893" customFormat="1" x14ac:dyDescent="0.3">
      <c r="A2417" s="888" t="s">
        <v>2062</v>
      </c>
      <c r="B2417" s="888" t="s">
        <v>1954</v>
      </c>
      <c r="C2417" s="1008" t="s">
        <v>3932</v>
      </c>
      <c r="D2417" s="888"/>
      <c r="E2417" s="893" t="s">
        <v>794</v>
      </c>
      <c r="I2417" s="888"/>
      <c r="J2417" s="888"/>
      <c r="K2417" s="888"/>
      <c r="L2417" s="888"/>
      <c r="M2417" s="888"/>
      <c r="N2417" s="888"/>
      <c r="O2417" s="888"/>
      <c r="P2417" s="888"/>
      <c r="Q2417" s="888"/>
      <c r="R2417" s="888"/>
    </row>
    <row r="2418" spans="1:18" s="893" customFormat="1" x14ac:dyDescent="0.3">
      <c r="A2418" s="888" t="s">
        <v>2062</v>
      </c>
      <c r="B2418" s="888" t="s">
        <v>1954</v>
      </c>
      <c r="C2418" s="1008" t="s">
        <v>5280</v>
      </c>
      <c r="D2418" s="888"/>
      <c r="E2418" s="893" t="str">
        <f>$E$1937</f>
        <v>American Wood Council &amp; Canadian Wood Council</v>
      </c>
      <c r="I2418" s="888"/>
      <c r="J2418" s="888"/>
      <c r="K2418" s="888"/>
      <c r="L2418" s="888"/>
      <c r="M2418" s="888"/>
      <c r="N2418" s="888"/>
      <c r="O2418" s="888"/>
      <c r="P2418" s="888"/>
      <c r="Q2418" s="888"/>
      <c r="R2418" s="888"/>
    </row>
    <row r="2419" spans="1:18" s="893" customFormat="1" x14ac:dyDescent="0.3">
      <c r="A2419" s="888" t="s">
        <v>2062</v>
      </c>
      <c r="B2419" s="888" t="s">
        <v>1954</v>
      </c>
      <c r="C2419" s="1008" t="s">
        <v>3933</v>
      </c>
      <c r="D2419" s="1013"/>
      <c r="E2419" s="893" t="s">
        <v>6827</v>
      </c>
      <c r="I2419" s="888"/>
      <c r="J2419" s="888"/>
      <c r="K2419" s="888"/>
      <c r="L2419" s="888"/>
      <c r="M2419" s="888"/>
      <c r="N2419" s="888"/>
      <c r="O2419" s="888"/>
      <c r="P2419" s="888"/>
      <c r="Q2419" s="888"/>
      <c r="R2419" s="888"/>
    </row>
    <row r="2420" spans="1:18" s="893" customFormat="1" x14ac:dyDescent="0.3">
      <c r="A2420" s="888" t="s">
        <v>2062</v>
      </c>
      <c r="B2420" s="888" t="s">
        <v>1954</v>
      </c>
      <c r="C2420" s="1008" t="s">
        <v>5281</v>
      </c>
      <c r="D2420" s="888"/>
      <c r="E2420" s="1011" t="str">
        <f>$E$2148</f>
        <v>Canadian Wood Council</v>
      </c>
      <c r="I2420" s="888"/>
      <c r="J2420" s="888"/>
      <c r="K2420" s="888"/>
      <c r="L2420" s="888"/>
      <c r="M2420" s="888"/>
      <c r="N2420" s="888"/>
      <c r="O2420" s="888"/>
      <c r="P2420" s="888"/>
      <c r="Q2420" s="888"/>
      <c r="R2420" s="888"/>
    </row>
    <row r="2421" spans="1:18" s="893" customFormat="1" x14ac:dyDescent="0.3">
      <c r="A2421" s="888" t="s">
        <v>2062</v>
      </c>
      <c r="B2421" s="888" t="s">
        <v>1954</v>
      </c>
      <c r="C2421" s="1008" t="s">
        <v>3934</v>
      </c>
      <c r="D2421" s="888"/>
      <c r="E2421" s="893" t="s">
        <v>1206</v>
      </c>
      <c r="I2421" s="888"/>
      <c r="J2421" s="888"/>
      <c r="K2421" s="888"/>
      <c r="L2421" s="888"/>
      <c r="M2421" s="888"/>
      <c r="N2421" s="888"/>
      <c r="O2421" s="888"/>
      <c r="P2421" s="888"/>
      <c r="Q2421" s="888"/>
      <c r="R2421" s="888"/>
    </row>
    <row r="2422" spans="1:18" s="893" customFormat="1" x14ac:dyDescent="0.3">
      <c r="A2422" s="888" t="s">
        <v>2062</v>
      </c>
      <c r="B2422" s="888" t="s">
        <v>1954</v>
      </c>
      <c r="C2422" s="1008" t="s">
        <v>3935</v>
      </c>
      <c r="D2422" s="888"/>
      <c r="E2422" s="1011" t="str">
        <f>$E$2419</f>
        <v>Wood - SPF</v>
      </c>
      <c r="I2422" s="888"/>
      <c r="J2422" s="888"/>
      <c r="K2422" s="888"/>
      <c r="L2422" s="888"/>
      <c r="M2422" s="888"/>
      <c r="N2422" s="888"/>
      <c r="O2422" s="888"/>
      <c r="P2422" s="888"/>
      <c r="Q2422" s="888"/>
      <c r="R2422" s="888"/>
    </row>
    <row r="2423" spans="1:18" s="893" customFormat="1" x14ac:dyDescent="0.3">
      <c r="A2423" s="888" t="s">
        <v>2062</v>
      </c>
      <c r="B2423" s="888" t="s">
        <v>1954</v>
      </c>
      <c r="C2423" s="1008" t="s">
        <v>5282</v>
      </c>
      <c r="D2423" s="888"/>
      <c r="E2423" s="1011" t="str">
        <f>$E$2148</f>
        <v>Canadian Wood Council</v>
      </c>
      <c r="I2423" s="888"/>
      <c r="J2423" s="888"/>
      <c r="K2423" s="888"/>
      <c r="L2423" s="888"/>
      <c r="M2423" s="888"/>
      <c r="N2423" s="888"/>
      <c r="O2423" s="888"/>
      <c r="P2423" s="888"/>
      <c r="Q2423" s="888"/>
      <c r="R2423" s="888"/>
    </row>
    <row r="2424" spans="1:18" s="893" customFormat="1" x14ac:dyDescent="0.3">
      <c r="A2424" s="888" t="s">
        <v>2062</v>
      </c>
      <c r="B2424" s="888" t="s">
        <v>1954</v>
      </c>
      <c r="C2424" s="1008" t="s">
        <v>3936</v>
      </c>
      <c r="D2424" s="888"/>
      <c r="E2424" s="1011" t="str">
        <f>$E$1953</f>
        <v>Alberta</v>
      </c>
      <c r="I2424" s="888"/>
      <c r="J2424" s="888"/>
      <c r="K2424" s="888"/>
      <c r="L2424" s="888"/>
      <c r="M2424" s="888"/>
      <c r="N2424" s="888"/>
      <c r="O2424" s="888"/>
      <c r="P2424" s="888"/>
      <c r="Q2424" s="888"/>
      <c r="R2424" s="888"/>
    </row>
    <row r="2425" spans="1:18" s="893" customFormat="1" x14ac:dyDescent="0.3">
      <c r="A2425" s="888" t="s">
        <v>2062</v>
      </c>
      <c r="B2425" s="888" t="s">
        <v>1954</v>
      </c>
      <c r="C2425" s="1008" t="s">
        <v>3937</v>
      </c>
      <c r="D2425" s="888"/>
      <c r="E2425" s="1011" t="str">
        <f>$E$2419</f>
        <v>Wood - SPF</v>
      </c>
      <c r="I2425" s="888"/>
      <c r="J2425" s="888"/>
      <c r="K2425" s="888"/>
      <c r="L2425" s="888"/>
      <c r="M2425" s="888"/>
      <c r="N2425" s="888"/>
      <c r="O2425" s="888"/>
      <c r="P2425" s="888"/>
      <c r="Q2425" s="888"/>
      <c r="R2425" s="888"/>
    </row>
    <row r="2426" spans="1:18" s="893" customFormat="1" x14ac:dyDescent="0.3">
      <c r="A2426" s="888" t="s">
        <v>2062</v>
      </c>
      <c r="B2426" s="888" t="s">
        <v>1954</v>
      </c>
      <c r="C2426" s="1008" t="s">
        <v>5283</v>
      </c>
      <c r="D2426" s="888"/>
      <c r="E2426" s="1011" t="str">
        <f>$E$2148</f>
        <v>Canadian Wood Council</v>
      </c>
      <c r="I2426" s="888"/>
      <c r="J2426" s="888"/>
      <c r="K2426" s="888"/>
      <c r="L2426" s="888"/>
      <c r="M2426" s="888"/>
      <c r="N2426" s="888"/>
      <c r="O2426" s="888"/>
      <c r="P2426" s="888"/>
      <c r="Q2426" s="888"/>
      <c r="R2426" s="888"/>
    </row>
    <row r="2427" spans="1:18" s="893" customFormat="1" x14ac:dyDescent="0.3">
      <c r="A2427" s="888" t="s">
        <v>2062</v>
      </c>
      <c r="B2427" s="888" t="s">
        <v>1954</v>
      </c>
      <c r="C2427" s="1008" t="s">
        <v>3938</v>
      </c>
      <c r="D2427" s="888"/>
      <c r="E2427" s="1011" t="str">
        <f>$E$1956</f>
        <v>Ontario</v>
      </c>
      <c r="I2427" s="888"/>
      <c r="J2427" s="888"/>
      <c r="K2427" s="888"/>
      <c r="L2427" s="888"/>
      <c r="M2427" s="888"/>
      <c r="N2427" s="888"/>
      <c r="O2427" s="888"/>
      <c r="P2427" s="888"/>
      <c r="Q2427" s="888"/>
      <c r="R2427" s="888"/>
    </row>
    <row r="2428" spans="1:18" s="893" customFormat="1" x14ac:dyDescent="0.3">
      <c r="A2428" s="888" t="s">
        <v>2062</v>
      </c>
      <c r="B2428" s="888" t="s">
        <v>1954</v>
      </c>
      <c r="C2428" s="1008" t="s">
        <v>7001</v>
      </c>
      <c r="D2428" s="888"/>
      <c r="E2428" s="1011" t="str">
        <f>$E$2419</f>
        <v>Wood - SPF</v>
      </c>
      <c r="I2428" s="888"/>
      <c r="J2428" s="888"/>
      <c r="K2428" s="888"/>
      <c r="L2428" s="888"/>
      <c r="M2428" s="888"/>
      <c r="N2428" s="888"/>
      <c r="O2428" s="888"/>
      <c r="P2428" s="888"/>
      <c r="Q2428" s="888"/>
      <c r="R2428" s="888"/>
    </row>
    <row r="2429" spans="1:18" s="893" customFormat="1" x14ac:dyDescent="0.3">
      <c r="A2429" s="888" t="s">
        <v>2062</v>
      </c>
      <c r="B2429" s="888" t="s">
        <v>1954</v>
      </c>
      <c r="C2429" s="1008" t="s">
        <v>7002</v>
      </c>
      <c r="D2429" s="888"/>
      <c r="E2429" s="1011" t="str">
        <f>$E$2148</f>
        <v>Canadian Wood Council</v>
      </c>
      <c r="I2429" s="888"/>
      <c r="J2429" s="888"/>
      <c r="K2429" s="888"/>
      <c r="L2429" s="888"/>
      <c r="M2429" s="888"/>
      <c r="N2429" s="888"/>
      <c r="O2429" s="888"/>
      <c r="P2429" s="888"/>
      <c r="Q2429" s="888"/>
      <c r="R2429" s="888"/>
    </row>
    <row r="2430" spans="1:18" s="893" customFormat="1" x14ac:dyDescent="0.3">
      <c r="A2430" s="888" t="s">
        <v>2062</v>
      </c>
      <c r="B2430" s="888" t="s">
        <v>1954</v>
      </c>
      <c r="C2430" s="1008" t="s">
        <v>7003</v>
      </c>
      <c r="D2430" s="888"/>
      <c r="E2430" s="893" t="s">
        <v>1210</v>
      </c>
      <c r="I2430" s="888"/>
      <c r="J2430" s="888"/>
      <c r="K2430" s="888"/>
      <c r="L2430" s="888"/>
      <c r="M2430" s="888"/>
      <c r="N2430" s="888"/>
      <c r="O2430" s="888"/>
      <c r="P2430" s="888"/>
      <c r="Q2430" s="888"/>
      <c r="R2430" s="888"/>
    </row>
    <row r="2431" spans="1:18" s="893" customFormat="1" x14ac:dyDescent="0.3">
      <c r="A2431" s="888" t="s">
        <v>2062</v>
      </c>
      <c r="B2431" s="888" t="s">
        <v>1954</v>
      </c>
      <c r="C2431" s="1008" t="s">
        <v>3939</v>
      </c>
      <c r="D2431" s="888"/>
      <c r="E2431" s="1011" t="str">
        <f>$E$2419</f>
        <v>Wood - SPF</v>
      </c>
      <c r="I2431" s="888"/>
      <c r="J2431" s="888"/>
      <c r="K2431" s="888"/>
      <c r="L2431" s="888"/>
      <c r="M2431" s="888"/>
      <c r="N2431" s="888"/>
      <c r="O2431" s="888"/>
      <c r="P2431" s="888"/>
      <c r="Q2431" s="888"/>
      <c r="R2431" s="888"/>
    </row>
    <row r="2432" spans="1:18" s="893" customFormat="1" x14ac:dyDescent="0.3">
      <c r="A2432" s="888" t="s">
        <v>2062</v>
      </c>
      <c r="B2432" s="888" t="s">
        <v>1954</v>
      </c>
      <c r="C2432" s="1008" t="s">
        <v>5284</v>
      </c>
      <c r="D2432" s="888"/>
      <c r="E2432" s="1011" t="str">
        <f>$E$2148</f>
        <v>Canadian Wood Council</v>
      </c>
      <c r="I2432" s="888"/>
      <c r="J2432" s="888"/>
      <c r="K2432" s="888"/>
      <c r="L2432" s="888"/>
      <c r="M2432" s="888"/>
      <c r="N2432" s="888"/>
      <c r="O2432" s="888"/>
      <c r="P2432" s="888"/>
      <c r="Q2432" s="888"/>
      <c r="R2432" s="888"/>
    </row>
    <row r="2433" spans="1:18" s="893" customFormat="1" x14ac:dyDescent="0.3">
      <c r="A2433" s="888" t="s">
        <v>2062</v>
      </c>
      <c r="B2433" s="888" t="s">
        <v>1954</v>
      </c>
      <c r="C2433" s="1008" t="s">
        <v>7004</v>
      </c>
      <c r="D2433" s="888"/>
      <c r="E2433" s="893" t="s">
        <v>1212</v>
      </c>
      <c r="I2433" s="888"/>
      <c r="J2433" s="888"/>
      <c r="K2433" s="888"/>
      <c r="L2433" s="888"/>
      <c r="M2433" s="888"/>
      <c r="N2433" s="888"/>
      <c r="O2433" s="888"/>
      <c r="P2433" s="888"/>
      <c r="Q2433" s="888"/>
      <c r="R2433" s="888"/>
    </row>
    <row r="2434" spans="1:18" s="893" customFormat="1" x14ac:dyDescent="0.3">
      <c r="A2434" s="888" t="s">
        <v>2062</v>
      </c>
      <c r="B2434" s="888" t="s">
        <v>1954</v>
      </c>
      <c r="C2434" s="1008" t="s">
        <v>3940</v>
      </c>
      <c r="D2434" s="888"/>
      <c r="E2434" s="1011" t="str">
        <f>$E$2419</f>
        <v>Wood - SPF</v>
      </c>
      <c r="I2434" s="888"/>
      <c r="J2434" s="888"/>
      <c r="K2434" s="888"/>
      <c r="L2434" s="888"/>
      <c r="M2434" s="888"/>
      <c r="N2434" s="888"/>
      <c r="O2434" s="888"/>
      <c r="P2434" s="888"/>
      <c r="Q2434" s="888"/>
      <c r="R2434" s="888"/>
    </row>
    <row r="2435" spans="1:18" s="893" customFormat="1" x14ac:dyDescent="0.3">
      <c r="A2435" s="888" t="s">
        <v>2062</v>
      </c>
      <c r="B2435" s="888" t="s">
        <v>1954</v>
      </c>
      <c r="C2435" s="1008" t="s">
        <v>5285</v>
      </c>
      <c r="D2435" s="888"/>
      <c r="E2435" s="1011" t="str">
        <f>$E$2148</f>
        <v>Canadian Wood Council</v>
      </c>
      <c r="I2435" s="888"/>
      <c r="J2435" s="888"/>
      <c r="K2435" s="888"/>
      <c r="L2435" s="888"/>
      <c r="M2435" s="888"/>
      <c r="N2435" s="888"/>
      <c r="O2435" s="888"/>
      <c r="P2435" s="888"/>
      <c r="Q2435" s="888"/>
      <c r="R2435" s="888"/>
    </row>
    <row r="2436" spans="1:18" s="893" customFormat="1" x14ac:dyDescent="0.3">
      <c r="A2436" s="888" t="s">
        <v>2062</v>
      </c>
      <c r="B2436" s="888" t="s">
        <v>1954</v>
      </c>
      <c r="C2436" s="1008" t="s">
        <v>3941</v>
      </c>
      <c r="D2436" s="888"/>
      <c r="E2436" s="893" t="s">
        <v>6829</v>
      </c>
      <c r="I2436" s="888"/>
      <c r="J2436" s="888"/>
      <c r="K2436" s="888"/>
      <c r="L2436" s="888"/>
      <c r="M2436" s="888"/>
      <c r="N2436" s="888"/>
      <c r="O2436" s="888"/>
      <c r="P2436" s="888"/>
      <c r="Q2436" s="888"/>
      <c r="R2436" s="888"/>
    </row>
    <row r="2437" spans="1:18" s="893" customFormat="1" x14ac:dyDescent="0.3">
      <c r="A2437" s="888" t="s">
        <v>2062</v>
      </c>
      <c r="B2437" s="888" t="s">
        <v>1954</v>
      </c>
      <c r="C2437" s="1008" t="s">
        <v>7005</v>
      </c>
      <c r="D2437" s="888"/>
      <c r="E2437" s="893" t="s">
        <v>727</v>
      </c>
      <c r="I2437" s="888"/>
      <c r="J2437" s="888"/>
      <c r="K2437" s="888"/>
      <c r="L2437" s="888"/>
      <c r="M2437" s="888"/>
      <c r="N2437" s="888"/>
      <c r="O2437" s="888"/>
      <c r="P2437" s="888"/>
      <c r="Q2437" s="888"/>
      <c r="R2437" s="888"/>
    </row>
    <row r="2438" spans="1:18" s="893" customFormat="1" x14ac:dyDescent="0.3">
      <c r="A2438" s="888" t="s">
        <v>2062</v>
      </c>
      <c r="B2438" s="888" t="s">
        <v>1954</v>
      </c>
      <c r="C2438" s="1008" t="s">
        <v>7006</v>
      </c>
      <c r="D2438" s="888"/>
      <c r="E2438" s="1011" t="str">
        <f>$E$2148</f>
        <v>Canadian Wood Council</v>
      </c>
      <c r="I2438" s="888"/>
      <c r="J2438" s="888"/>
      <c r="K2438" s="888"/>
      <c r="L2438" s="888"/>
      <c r="M2438" s="888"/>
      <c r="N2438" s="888"/>
      <c r="O2438" s="888"/>
      <c r="P2438" s="888"/>
      <c r="Q2438" s="888"/>
      <c r="R2438" s="888"/>
    </row>
    <row r="2439" spans="1:18" s="893" customFormat="1" x14ac:dyDescent="0.3">
      <c r="A2439" s="888" t="s">
        <v>2062</v>
      </c>
      <c r="B2439" s="888" t="s">
        <v>1954</v>
      </c>
      <c r="C2439" s="1008" t="s">
        <v>7007</v>
      </c>
      <c r="D2439" s="888"/>
      <c r="E2439" s="893" t="s">
        <v>821</v>
      </c>
      <c r="I2439" s="888"/>
      <c r="J2439" s="888"/>
      <c r="K2439" s="888"/>
      <c r="L2439" s="888"/>
      <c r="M2439" s="888"/>
      <c r="N2439" s="888"/>
      <c r="O2439" s="888"/>
      <c r="P2439" s="888"/>
      <c r="Q2439" s="888"/>
      <c r="R2439" s="888"/>
    </row>
    <row r="2440" spans="1:18" s="893" customFormat="1" x14ac:dyDescent="0.3">
      <c r="A2440" s="888" t="s">
        <v>2062</v>
      </c>
      <c r="B2440" s="888" t="s">
        <v>1954</v>
      </c>
      <c r="C2440" s="1008" t="s">
        <v>3943</v>
      </c>
      <c r="D2440" s="888"/>
      <c r="E2440" s="893" t="s">
        <v>4490</v>
      </c>
      <c r="I2440" s="888"/>
      <c r="J2440" s="888"/>
      <c r="K2440" s="888"/>
      <c r="L2440" s="888"/>
      <c r="M2440" s="888"/>
      <c r="N2440" s="888"/>
      <c r="O2440" s="888"/>
      <c r="P2440" s="888"/>
      <c r="Q2440" s="888"/>
      <c r="R2440" s="888"/>
    </row>
    <row r="2441" spans="1:18" s="893" customFormat="1" x14ac:dyDescent="0.3">
      <c r="A2441" s="888" t="s">
        <v>2062</v>
      </c>
      <c r="B2441" s="888" t="s">
        <v>1954</v>
      </c>
      <c r="C2441" s="1008" t="s">
        <v>7008</v>
      </c>
      <c r="D2441" s="888"/>
      <c r="E2441" s="893" t="str">
        <f>$E$2016</f>
        <v>RedBuilt</v>
      </c>
      <c r="I2441" s="888"/>
      <c r="J2441" s="888"/>
      <c r="K2441" s="888"/>
      <c r="L2441" s="888"/>
      <c r="M2441" s="888"/>
      <c r="N2441" s="888"/>
      <c r="O2441" s="888"/>
      <c r="P2441" s="888"/>
      <c r="Q2441" s="888"/>
      <c r="R2441" s="888"/>
    </row>
    <row r="2442" spans="1:18" s="893" customFormat="1" x14ac:dyDescent="0.3">
      <c r="A2442" s="888" t="s">
        <v>2062</v>
      </c>
      <c r="B2442" s="888" t="s">
        <v>1954</v>
      </c>
      <c r="C2442" s="1008" t="s">
        <v>7009</v>
      </c>
      <c r="D2442" s="888"/>
      <c r="E2442" s="893" t="s">
        <v>4491</v>
      </c>
      <c r="I2442" s="888"/>
      <c r="J2442" s="888"/>
      <c r="K2442" s="888"/>
      <c r="L2442" s="888"/>
      <c r="M2442" s="888"/>
      <c r="N2442" s="888"/>
      <c r="O2442" s="888"/>
      <c r="P2442" s="888"/>
      <c r="Q2442" s="888"/>
      <c r="R2442" s="888"/>
    </row>
    <row r="2443" spans="1:18" s="893" customFormat="1" x14ac:dyDescent="0.3">
      <c r="A2443" s="888" t="s">
        <v>2062</v>
      </c>
      <c r="B2443" s="888" t="s">
        <v>1954</v>
      </c>
      <c r="C2443" s="1008" t="s">
        <v>7010</v>
      </c>
      <c r="D2443" s="888"/>
      <c r="E2443" s="893" t="s">
        <v>4492</v>
      </c>
      <c r="I2443" s="888"/>
      <c r="J2443" s="888"/>
      <c r="K2443" s="888"/>
      <c r="L2443" s="888"/>
      <c r="M2443" s="888"/>
      <c r="N2443" s="888"/>
      <c r="O2443" s="888"/>
      <c r="P2443" s="888"/>
      <c r="Q2443" s="888"/>
      <c r="R2443" s="888"/>
    </row>
    <row r="2444" spans="1:18" s="893" customFormat="1" x14ac:dyDescent="0.3">
      <c r="A2444" s="888" t="s">
        <v>2062</v>
      </c>
      <c r="B2444" s="888" t="s">
        <v>1954</v>
      </c>
      <c r="C2444" s="1008" t="s">
        <v>3944</v>
      </c>
      <c r="D2444" s="888"/>
      <c r="E2444" s="893" t="str">
        <f>$E$2440</f>
        <v>Wood I-joist</v>
      </c>
      <c r="I2444" s="888"/>
      <c r="J2444" s="888"/>
      <c r="K2444" s="888"/>
      <c r="L2444" s="888"/>
      <c r="M2444" s="888"/>
      <c r="N2444" s="888"/>
      <c r="O2444" s="888"/>
      <c r="P2444" s="888"/>
      <c r="Q2444" s="888"/>
      <c r="R2444" s="888"/>
    </row>
    <row r="2445" spans="1:18" s="893" customFormat="1" x14ac:dyDescent="0.3">
      <c r="A2445" s="888" t="s">
        <v>2062</v>
      </c>
      <c r="B2445" s="888" t="s">
        <v>1954</v>
      </c>
      <c r="C2445" s="1008" t="s">
        <v>7011</v>
      </c>
      <c r="D2445" s="888"/>
      <c r="E2445" s="893" t="str">
        <f>$E$2016</f>
        <v>RedBuilt</v>
      </c>
      <c r="I2445" s="888"/>
      <c r="J2445" s="888"/>
      <c r="K2445" s="888"/>
      <c r="L2445" s="888"/>
      <c r="M2445" s="888"/>
      <c r="N2445" s="888"/>
      <c r="O2445" s="888"/>
      <c r="P2445" s="888"/>
      <c r="Q2445" s="888"/>
      <c r="R2445" s="888"/>
    </row>
    <row r="2446" spans="1:18" s="893" customFormat="1" x14ac:dyDescent="0.3">
      <c r="A2446" s="888" t="s">
        <v>2062</v>
      </c>
      <c r="B2446" s="888" t="s">
        <v>1954</v>
      </c>
      <c r="C2446" s="1008" t="s">
        <v>7012</v>
      </c>
      <c r="D2446" s="888"/>
      <c r="E2446" s="893" t="str">
        <f>$E$2442</f>
        <v>Red I-45</v>
      </c>
      <c r="I2446" s="888"/>
      <c r="J2446" s="888"/>
      <c r="K2446" s="888"/>
      <c r="L2446" s="888"/>
      <c r="M2446" s="888"/>
      <c r="N2446" s="888"/>
      <c r="O2446" s="888"/>
      <c r="P2446" s="888"/>
      <c r="Q2446" s="888"/>
      <c r="R2446" s="888"/>
    </row>
    <row r="2447" spans="1:18" s="893" customFormat="1" x14ac:dyDescent="0.3">
      <c r="A2447" s="888" t="s">
        <v>2062</v>
      </c>
      <c r="B2447" s="888" t="s">
        <v>1954</v>
      </c>
      <c r="C2447" s="1008" t="s">
        <v>7013</v>
      </c>
      <c r="D2447" s="888"/>
      <c r="E2447" s="893" t="s">
        <v>4495</v>
      </c>
      <c r="I2447" s="888"/>
      <c r="J2447" s="888"/>
      <c r="K2447" s="888"/>
      <c r="L2447" s="888"/>
      <c r="M2447" s="888"/>
      <c r="N2447" s="888"/>
      <c r="O2447" s="888"/>
      <c r="P2447" s="888"/>
      <c r="Q2447" s="888"/>
      <c r="R2447" s="888"/>
    </row>
    <row r="2448" spans="1:18" s="893" customFormat="1" x14ac:dyDescent="0.3">
      <c r="A2448" s="888" t="s">
        <v>2062</v>
      </c>
      <c r="B2448" s="888" t="s">
        <v>1954</v>
      </c>
      <c r="C2448" s="1008" t="s">
        <v>3945</v>
      </c>
      <c r="D2448" s="888"/>
      <c r="E2448" s="893" t="str">
        <f>$E$2440</f>
        <v>Wood I-joist</v>
      </c>
      <c r="I2448" s="888"/>
      <c r="J2448" s="888"/>
      <c r="K2448" s="888"/>
      <c r="L2448" s="888"/>
      <c r="M2448" s="888"/>
      <c r="N2448" s="888"/>
      <c r="O2448" s="888"/>
      <c r="P2448" s="888"/>
      <c r="Q2448" s="888"/>
      <c r="R2448" s="888"/>
    </row>
    <row r="2449" spans="1:18" s="893" customFormat="1" x14ac:dyDescent="0.3">
      <c r="A2449" s="888" t="s">
        <v>2062</v>
      </c>
      <c r="B2449" s="888" t="s">
        <v>1954</v>
      </c>
      <c r="C2449" s="1008" t="s">
        <v>7014</v>
      </c>
      <c r="D2449" s="888"/>
      <c r="E2449" s="893" t="str">
        <f>$E$2016</f>
        <v>RedBuilt</v>
      </c>
      <c r="I2449" s="888"/>
      <c r="J2449" s="888"/>
      <c r="K2449" s="888"/>
      <c r="L2449" s="888"/>
      <c r="M2449" s="888"/>
      <c r="N2449" s="888"/>
      <c r="O2449" s="888"/>
      <c r="P2449" s="888"/>
      <c r="Q2449" s="888"/>
      <c r="R2449" s="888"/>
    </row>
    <row r="2450" spans="1:18" s="893" customFormat="1" x14ac:dyDescent="0.3">
      <c r="A2450" s="888" t="s">
        <v>2062</v>
      </c>
      <c r="B2450" s="888" t="s">
        <v>1954</v>
      </c>
      <c r="C2450" s="1008" t="s">
        <v>7015</v>
      </c>
      <c r="D2450" s="888"/>
      <c r="E2450" s="893" t="str">
        <f>$E$2442</f>
        <v>Red I-45</v>
      </c>
      <c r="I2450" s="888"/>
      <c r="J2450" s="888"/>
      <c r="K2450" s="888"/>
      <c r="L2450" s="888"/>
      <c r="M2450" s="888"/>
      <c r="N2450" s="888"/>
      <c r="O2450" s="888"/>
      <c r="P2450" s="888"/>
      <c r="Q2450" s="888"/>
      <c r="R2450" s="888"/>
    </row>
    <row r="2451" spans="1:18" s="893" customFormat="1" x14ac:dyDescent="0.3">
      <c r="A2451" s="888" t="s">
        <v>2062</v>
      </c>
      <c r="B2451" s="888" t="s">
        <v>1954</v>
      </c>
      <c r="C2451" s="1008" t="s">
        <v>7016</v>
      </c>
      <c r="D2451" s="888"/>
      <c r="E2451" s="893" t="s">
        <v>4496</v>
      </c>
      <c r="I2451" s="888"/>
      <c r="J2451" s="888"/>
      <c r="K2451" s="888"/>
      <c r="L2451" s="888"/>
      <c r="M2451" s="888"/>
      <c r="N2451" s="888"/>
      <c r="O2451" s="888"/>
      <c r="P2451" s="888"/>
      <c r="Q2451" s="888"/>
      <c r="R2451" s="888"/>
    </row>
    <row r="2452" spans="1:18" s="893" customFormat="1" x14ac:dyDescent="0.3">
      <c r="A2452" s="888" t="s">
        <v>2062</v>
      </c>
      <c r="B2452" s="888" t="s">
        <v>1954</v>
      </c>
      <c r="C2452" s="1008" t="s">
        <v>3946</v>
      </c>
      <c r="D2452" s="888"/>
      <c r="E2452" s="893" t="str">
        <f>$E$2440</f>
        <v>Wood I-joist</v>
      </c>
      <c r="I2452" s="888"/>
      <c r="J2452" s="888"/>
      <c r="K2452" s="888"/>
      <c r="L2452" s="888"/>
      <c r="M2452" s="888"/>
      <c r="N2452" s="888"/>
      <c r="O2452" s="888"/>
      <c r="P2452" s="888"/>
      <c r="Q2452" s="888"/>
      <c r="R2452" s="888"/>
    </row>
    <row r="2453" spans="1:18" s="893" customFormat="1" x14ac:dyDescent="0.3">
      <c r="A2453" s="888" t="s">
        <v>2062</v>
      </c>
      <c r="B2453" s="888" t="s">
        <v>1954</v>
      </c>
      <c r="C2453" s="1008" t="s">
        <v>7017</v>
      </c>
      <c r="D2453" s="888"/>
      <c r="E2453" s="893" t="str">
        <f>$E$2016</f>
        <v>RedBuilt</v>
      </c>
      <c r="I2453" s="888"/>
      <c r="J2453" s="888"/>
      <c r="K2453" s="888"/>
      <c r="L2453" s="888"/>
      <c r="M2453" s="888"/>
      <c r="N2453" s="888"/>
      <c r="O2453" s="888"/>
      <c r="P2453" s="888"/>
      <c r="Q2453" s="888"/>
      <c r="R2453" s="888"/>
    </row>
    <row r="2454" spans="1:18" s="893" customFormat="1" x14ac:dyDescent="0.3">
      <c r="A2454" s="888" t="s">
        <v>2062</v>
      </c>
      <c r="B2454" s="888" t="s">
        <v>1954</v>
      </c>
      <c r="C2454" s="1008" t="s">
        <v>7018</v>
      </c>
      <c r="D2454" s="888"/>
      <c r="E2454" s="893" t="s">
        <v>4497</v>
      </c>
      <c r="I2454" s="888"/>
      <c r="J2454" s="888"/>
      <c r="K2454" s="888"/>
      <c r="L2454" s="888"/>
      <c r="M2454" s="888"/>
      <c r="N2454" s="888"/>
      <c r="O2454" s="888"/>
      <c r="P2454" s="888"/>
      <c r="Q2454" s="888"/>
      <c r="R2454" s="888"/>
    </row>
    <row r="2455" spans="1:18" s="893" customFormat="1" x14ac:dyDescent="0.3">
      <c r="A2455" s="888" t="s">
        <v>2062</v>
      </c>
      <c r="B2455" s="888" t="s">
        <v>1954</v>
      </c>
      <c r="C2455" s="1008" t="s">
        <v>7019</v>
      </c>
      <c r="D2455" s="888"/>
      <c r="E2455" s="893" t="s">
        <v>4498</v>
      </c>
      <c r="I2455" s="888"/>
      <c r="J2455" s="888"/>
      <c r="K2455" s="888"/>
      <c r="L2455" s="888"/>
      <c r="M2455" s="888"/>
      <c r="N2455" s="888"/>
      <c r="O2455" s="888"/>
      <c r="P2455" s="888"/>
      <c r="Q2455" s="888"/>
      <c r="R2455" s="888"/>
    </row>
    <row r="2456" spans="1:18" s="893" customFormat="1" x14ac:dyDescent="0.3">
      <c r="A2456" s="888" t="s">
        <v>2062</v>
      </c>
      <c r="B2456" s="888" t="s">
        <v>1954</v>
      </c>
      <c r="C2456" s="1008" t="s">
        <v>3947</v>
      </c>
      <c r="D2456" s="888"/>
      <c r="E2456" s="893" t="str">
        <f>$E$2440</f>
        <v>Wood I-joist</v>
      </c>
      <c r="I2456" s="888"/>
      <c r="J2456" s="888"/>
      <c r="K2456" s="888"/>
      <c r="L2456" s="888"/>
      <c r="M2456" s="888"/>
      <c r="N2456" s="888"/>
      <c r="O2456" s="888"/>
      <c r="P2456" s="888"/>
      <c r="Q2456" s="888"/>
      <c r="R2456" s="888"/>
    </row>
    <row r="2457" spans="1:18" s="893" customFormat="1" x14ac:dyDescent="0.3">
      <c r="A2457" s="888" t="s">
        <v>2062</v>
      </c>
      <c r="B2457" s="888" t="s">
        <v>1954</v>
      </c>
      <c r="C2457" s="1008" t="s">
        <v>7020</v>
      </c>
      <c r="D2457" s="888"/>
      <c r="E2457" s="893" t="str">
        <f>$E$2016</f>
        <v>RedBuilt</v>
      </c>
      <c r="I2457" s="888"/>
      <c r="J2457" s="888"/>
      <c r="K2457" s="888"/>
      <c r="L2457" s="888"/>
      <c r="M2457" s="888"/>
      <c r="N2457" s="888"/>
      <c r="O2457" s="888"/>
      <c r="P2457" s="888"/>
      <c r="Q2457" s="888"/>
      <c r="R2457" s="888"/>
    </row>
    <row r="2458" spans="1:18" s="893" customFormat="1" x14ac:dyDescent="0.3">
      <c r="A2458" s="888" t="s">
        <v>2062</v>
      </c>
      <c r="B2458" s="888" t="s">
        <v>1954</v>
      </c>
      <c r="C2458" s="1008" t="s">
        <v>7021</v>
      </c>
      <c r="D2458" s="888"/>
      <c r="E2458" s="893" t="str">
        <f>$E$2454</f>
        <v>Red I-65</v>
      </c>
      <c r="I2458" s="888"/>
      <c r="J2458" s="888"/>
      <c r="K2458" s="888"/>
      <c r="L2458" s="888"/>
      <c r="M2458" s="888"/>
      <c r="N2458" s="888"/>
      <c r="O2458" s="888"/>
      <c r="P2458" s="888"/>
      <c r="Q2458" s="888"/>
      <c r="R2458" s="888"/>
    </row>
    <row r="2459" spans="1:18" s="893" customFormat="1" x14ac:dyDescent="0.3">
      <c r="A2459" s="888" t="s">
        <v>2062</v>
      </c>
      <c r="B2459" s="888" t="s">
        <v>1954</v>
      </c>
      <c r="C2459" s="1008" t="s">
        <v>7022</v>
      </c>
      <c r="D2459" s="888"/>
      <c r="E2459" s="893" t="s">
        <v>4499</v>
      </c>
      <c r="I2459" s="888"/>
      <c r="J2459" s="888"/>
      <c r="K2459" s="888"/>
      <c r="L2459" s="888"/>
      <c r="M2459" s="888"/>
      <c r="N2459" s="888"/>
      <c r="O2459" s="888"/>
      <c r="P2459" s="888"/>
      <c r="Q2459" s="888"/>
      <c r="R2459" s="888"/>
    </row>
    <row r="2460" spans="1:18" s="893" customFormat="1" x14ac:dyDescent="0.3">
      <c r="A2460" s="888" t="s">
        <v>2062</v>
      </c>
      <c r="B2460" s="888" t="s">
        <v>1954</v>
      </c>
      <c r="C2460" s="1008" t="s">
        <v>3948</v>
      </c>
      <c r="D2460" s="888"/>
      <c r="E2460" s="893" t="str">
        <f>$E$2440</f>
        <v>Wood I-joist</v>
      </c>
      <c r="I2460" s="888"/>
      <c r="J2460" s="888"/>
      <c r="K2460" s="888"/>
      <c r="L2460" s="888"/>
      <c r="M2460" s="888"/>
      <c r="N2460" s="888"/>
      <c r="O2460" s="888"/>
      <c r="P2460" s="888"/>
      <c r="Q2460" s="888"/>
      <c r="R2460" s="888"/>
    </row>
    <row r="2461" spans="1:18" s="893" customFormat="1" x14ac:dyDescent="0.3">
      <c r="A2461" s="888" t="s">
        <v>2062</v>
      </c>
      <c r="B2461" s="888" t="s">
        <v>1954</v>
      </c>
      <c r="C2461" s="1008" t="s">
        <v>7023</v>
      </c>
      <c r="D2461" s="888"/>
      <c r="E2461" s="893" t="str">
        <f>$E$2016</f>
        <v>RedBuilt</v>
      </c>
      <c r="I2461" s="888"/>
      <c r="J2461" s="888"/>
      <c r="K2461" s="888"/>
      <c r="L2461" s="888"/>
      <c r="M2461" s="888"/>
      <c r="N2461" s="888"/>
      <c r="O2461" s="888"/>
      <c r="P2461" s="888"/>
      <c r="Q2461" s="888"/>
      <c r="R2461" s="888"/>
    </row>
    <row r="2462" spans="1:18" s="893" customFormat="1" x14ac:dyDescent="0.3">
      <c r="A2462" s="888" t="s">
        <v>2062</v>
      </c>
      <c r="B2462" s="888" t="s">
        <v>1954</v>
      </c>
      <c r="C2462" s="1008" t="s">
        <v>7024</v>
      </c>
      <c r="D2462" s="888"/>
      <c r="E2462" s="893" t="str">
        <f>$E$2454</f>
        <v>Red I-65</v>
      </c>
      <c r="I2462" s="888"/>
      <c r="J2462" s="888"/>
      <c r="K2462" s="888"/>
      <c r="L2462" s="888"/>
      <c r="M2462" s="888"/>
      <c r="N2462" s="888"/>
      <c r="O2462" s="888"/>
      <c r="P2462" s="888"/>
      <c r="Q2462" s="888"/>
      <c r="R2462" s="888"/>
    </row>
    <row r="2463" spans="1:18" s="893" customFormat="1" x14ac:dyDescent="0.3">
      <c r="A2463" s="888" t="s">
        <v>2062</v>
      </c>
      <c r="B2463" s="888" t="s">
        <v>1954</v>
      </c>
      <c r="C2463" s="1008" t="s">
        <v>7025</v>
      </c>
      <c r="D2463" s="888"/>
      <c r="E2463" s="893" t="s">
        <v>4500</v>
      </c>
      <c r="I2463" s="888"/>
      <c r="J2463" s="888"/>
      <c r="K2463" s="888"/>
      <c r="L2463" s="888"/>
      <c r="M2463" s="888"/>
      <c r="N2463" s="888"/>
      <c r="O2463" s="888"/>
      <c r="P2463" s="888"/>
      <c r="Q2463" s="888"/>
      <c r="R2463" s="888"/>
    </row>
    <row r="2464" spans="1:18" s="893" customFormat="1" x14ac:dyDescent="0.3">
      <c r="A2464" s="888" t="s">
        <v>2062</v>
      </c>
      <c r="B2464" s="888" t="s">
        <v>1954</v>
      </c>
      <c r="C2464" s="1008" t="s">
        <v>3949</v>
      </c>
      <c r="D2464" s="888"/>
      <c r="E2464" s="893" t="s">
        <v>1264</v>
      </c>
      <c r="I2464" s="888"/>
      <c r="J2464" s="888"/>
      <c r="K2464" s="888"/>
      <c r="L2464" s="888"/>
      <c r="M2464" s="888"/>
      <c r="N2464" s="888"/>
      <c r="O2464" s="888"/>
      <c r="P2464" s="888"/>
      <c r="Q2464" s="888"/>
      <c r="R2464" s="888"/>
    </row>
    <row r="2465" spans="1:18" s="893" customFormat="1" x14ac:dyDescent="0.3">
      <c r="A2465" s="888" t="s">
        <v>2062</v>
      </c>
      <c r="B2465" s="888" t="s">
        <v>1954</v>
      </c>
      <c r="C2465" s="1008" t="s">
        <v>7026</v>
      </c>
      <c r="D2465" s="888"/>
      <c r="E2465" s="1011" t="str">
        <f>$E$2148</f>
        <v>Canadian Wood Council</v>
      </c>
      <c r="I2465" s="888"/>
      <c r="J2465" s="888"/>
      <c r="K2465" s="888"/>
      <c r="L2465" s="888"/>
      <c r="M2465" s="888"/>
      <c r="N2465" s="888"/>
      <c r="O2465" s="888"/>
      <c r="P2465" s="888"/>
      <c r="Q2465" s="888"/>
      <c r="R2465" s="888"/>
    </row>
    <row r="2466" spans="1:18" s="893" customFormat="1" x14ac:dyDescent="0.3">
      <c r="A2466" s="888" t="s">
        <v>2062</v>
      </c>
      <c r="B2466" s="888" t="s">
        <v>1954</v>
      </c>
      <c r="C2466" s="1008" t="s">
        <v>7027</v>
      </c>
      <c r="D2466" s="888"/>
      <c r="E2466" s="893" t="s">
        <v>1265</v>
      </c>
      <c r="I2466" s="888"/>
      <c r="J2466" s="888"/>
      <c r="K2466" s="888"/>
      <c r="L2466" s="888"/>
      <c r="M2466" s="888"/>
      <c r="N2466" s="888"/>
      <c r="O2466" s="888"/>
      <c r="P2466" s="888"/>
      <c r="Q2466" s="888"/>
      <c r="R2466" s="888"/>
    </row>
    <row r="2467" spans="1:18" s="893" customFormat="1" x14ac:dyDescent="0.3">
      <c r="A2467" s="888" t="s">
        <v>2062</v>
      </c>
      <c r="B2467" s="888" t="s">
        <v>1954</v>
      </c>
      <c r="C2467" s="1008" t="s">
        <v>7028</v>
      </c>
      <c r="D2467" s="888"/>
      <c r="E2467" s="893" t="s">
        <v>1266</v>
      </c>
      <c r="I2467" s="888"/>
      <c r="J2467" s="888"/>
      <c r="K2467" s="888"/>
      <c r="L2467" s="888"/>
      <c r="M2467" s="888"/>
      <c r="N2467" s="888"/>
      <c r="O2467" s="888"/>
      <c r="P2467" s="888"/>
      <c r="Q2467" s="888"/>
      <c r="R2467" s="888"/>
    </row>
    <row r="2468" spans="1:18" s="893" customFormat="1" x14ac:dyDescent="0.3">
      <c r="A2468" s="888" t="s">
        <v>2062</v>
      </c>
      <c r="B2468" s="888" t="s">
        <v>1954</v>
      </c>
      <c r="C2468" s="1008" t="s">
        <v>3950</v>
      </c>
      <c r="D2468" s="888"/>
      <c r="E2468" s="893" t="s">
        <v>1263</v>
      </c>
      <c r="I2468" s="888"/>
      <c r="J2468" s="888"/>
      <c r="K2468" s="888"/>
      <c r="L2468" s="888"/>
      <c r="M2468" s="888"/>
      <c r="N2468" s="888"/>
      <c r="O2468" s="888"/>
      <c r="P2468" s="888"/>
      <c r="Q2468" s="888"/>
      <c r="R2468" s="888"/>
    </row>
    <row r="2469" spans="1:18" s="893" customFormat="1" x14ac:dyDescent="0.3">
      <c r="A2469" s="888" t="s">
        <v>2062</v>
      </c>
      <c r="B2469" s="888" t="s">
        <v>1954</v>
      </c>
      <c r="C2469" s="1008" t="s">
        <v>7029</v>
      </c>
      <c r="D2469" s="888"/>
      <c r="E2469" s="1011" t="str">
        <f>$E$2148</f>
        <v>Canadian Wood Council</v>
      </c>
      <c r="I2469" s="888"/>
      <c r="J2469" s="888"/>
      <c r="K2469" s="888"/>
      <c r="L2469" s="888"/>
      <c r="M2469" s="888"/>
      <c r="N2469" s="888"/>
      <c r="O2469" s="888"/>
      <c r="P2469" s="888"/>
      <c r="Q2469" s="888"/>
      <c r="R2469" s="888"/>
    </row>
    <row r="2470" spans="1:18" s="893" customFormat="1" x14ac:dyDescent="0.3">
      <c r="A2470" s="888" t="s">
        <v>2062</v>
      </c>
      <c r="B2470" s="888" t="s">
        <v>1954</v>
      </c>
      <c r="C2470" s="1010" t="s">
        <v>7030</v>
      </c>
      <c r="D2470" s="888"/>
      <c r="E2470" s="1014" t="s">
        <v>6823</v>
      </c>
      <c r="I2470" s="888"/>
      <c r="J2470" s="888"/>
      <c r="K2470" s="888"/>
      <c r="L2470" s="888"/>
      <c r="M2470" s="888"/>
      <c r="N2470" s="888"/>
      <c r="O2470" s="888"/>
      <c r="P2470" s="888"/>
      <c r="Q2470" s="888"/>
      <c r="R2470" s="888"/>
    </row>
    <row r="2471" spans="1:18" s="893" customFormat="1" x14ac:dyDescent="0.3">
      <c r="A2471" s="888" t="s">
        <v>2062</v>
      </c>
      <c r="B2471" s="888" t="s">
        <v>1954</v>
      </c>
      <c r="C2471" s="1008" t="s">
        <v>7031</v>
      </c>
      <c r="D2471" s="888"/>
      <c r="E2471" s="893" t="s">
        <v>1270</v>
      </c>
      <c r="I2471" s="888"/>
      <c r="J2471" s="888"/>
      <c r="K2471" s="888"/>
      <c r="L2471" s="888"/>
      <c r="M2471" s="888"/>
      <c r="N2471" s="888"/>
      <c r="O2471" s="888"/>
      <c r="P2471" s="888"/>
      <c r="Q2471" s="888"/>
      <c r="R2471" s="888"/>
    </row>
    <row r="2472" spans="1:18" s="893" customFormat="1" x14ac:dyDescent="0.3">
      <c r="A2472" s="888" t="s">
        <v>2062</v>
      </c>
      <c r="B2472" s="888" t="s">
        <v>1954</v>
      </c>
      <c r="C2472" s="1008" t="s">
        <v>3951</v>
      </c>
      <c r="D2472" s="888"/>
      <c r="E2472" s="893" t="s">
        <v>734</v>
      </c>
      <c r="I2472" s="888"/>
      <c r="J2472" s="888"/>
      <c r="K2472" s="888"/>
      <c r="L2472" s="888"/>
      <c r="M2472" s="888"/>
      <c r="N2472" s="888"/>
      <c r="O2472" s="888"/>
      <c r="P2472" s="888"/>
      <c r="Q2472" s="888"/>
      <c r="R2472" s="888"/>
    </row>
    <row r="2473" spans="1:18" s="893" customFormat="1" x14ac:dyDescent="0.3">
      <c r="A2473" s="888" t="s">
        <v>2062</v>
      </c>
      <c r="B2473" s="888" t="s">
        <v>1954</v>
      </c>
      <c r="C2473" s="1008" t="s">
        <v>5286</v>
      </c>
      <c r="D2473" s="888"/>
      <c r="E2473" s="893" t="s">
        <v>735</v>
      </c>
      <c r="I2473" s="888"/>
      <c r="J2473" s="888"/>
      <c r="K2473" s="888"/>
      <c r="L2473" s="888"/>
      <c r="M2473" s="888"/>
      <c r="N2473" s="888"/>
      <c r="O2473" s="888"/>
      <c r="P2473" s="888"/>
      <c r="Q2473" s="888"/>
      <c r="R2473" s="888"/>
    </row>
    <row r="2474" spans="1:18" s="893" customFormat="1" x14ac:dyDescent="0.3">
      <c r="A2474" s="888" t="s">
        <v>2062</v>
      </c>
      <c r="B2474" s="888" t="s">
        <v>1954</v>
      </c>
      <c r="C2474" s="1008" t="s">
        <v>7032</v>
      </c>
      <c r="D2474" s="888"/>
      <c r="E2474" s="893" t="str">
        <f>$E$1660</f>
        <v>R 3.6/inch</v>
      </c>
      <c r="I2474" s="888"/>
      <c r="J2474" s="888"/>
      <c r="K2474" s="888"/>
      <c r="L2474" s="888"/>
      <c r="M2474" s="888"/>
      <c r="N2474" s="888"/>
      <c r="O2474" s="888"/>
      <c r="P2474" s="888"/>
      <c r="Q2474" s="888"/>
      <c r="R2474" s="888"/>
    </row>
    <row r="2475" spans="1:18" s="893" customFormat="1" x14ac:dyDescent="0.3">
      <c r="A2475" s="888" t="s">
        <v>2062</v>
      </c>
      <c r="B2475" s="888" t="s">
        <v>1954</v>
      </c>
      <c r="C2475" s="1008" t="s">
        <v>3952</v>
      </c>
      <c r="D2475" s="888"/>
      <c r="E2475" s="893" t="s">
        <v>737</v>
      </c>
      <c r="I2475" s="888"/>
      <c r="J2475" s="888"/>
      <c r="K2475" s="888"/>
      <c r="L2475" s="888"/>
      <c r="M2475" s="888"/>
      <c r="N2475" s="888"/>
      <c r="O2475" s="888"/>
      <c r="P2475" s="888"/>
      <c r="Q2475" s="888"/>
      <c r="R2475" s="888"/>
    </row>
    <row r="2476" spans="1:18" s="893" customFormat="1" x14ac:dyDescent="0.3">
      <c r="A2476" s="888" t="s">
        <v>2062</v>
      </c>
      <c r="B2476" s="888" t="s">
        <v>1954</v>
      </c>
      <c r="C2476" s="1008" t="s">
        <v>5287</v>
      </c>
      <c r="D2476" s="888"/>
      <c r="E2476" s="893" t="str">
        <f>$E$2473</f>
        <v>Havelock Wool</v>
      </c>
      <c r="I2476" s="888"/>
      <c r="J2476" s="888"/>
      <c r="K2476" s="888"/>
      <c r="L2476" s="888"/>
      <c r="M2476" s="888"/>
      <c r="N2476" s="888"/>
      <c r="O2476" s="888"/>
      <c r="P2476" s="888"/>
      <c r="Q2476" s="888"/>
      <c r="R2476" s="888"/>
    </row>
    <row r="2477" spans="1:18" s="893" customFormat="1" x14ac:dyDescent="0.3">
      <c r="A2477" s="888" t="s">
        <v>2062</v>
      </c>
      <c r="B2477" s="888" t="s">
        <v>1954</v>
      </c>
      <c r="C2477" s="1008" t="s">
        <v>7033</v>
      </c>
      <c r="D2477" s="888"/>
      <c r="E2477" s="893" t="str">
        <f>$E$1903</f>
        <v>R 4.4/inch</v>
      </c>
      <c r="I2477" s="888"/>
      <c r="J2477" s="888"/>
      <c r="K2477" s="888"/>
      <c r="L2477" s="888"/>
      <c r="M2477" s="888"/>
      <c r="N2477" s="888"/>
      <c r="O2477" s="888"/>
      <c r="P2477" s="888"/>
      <c r="Q2477" s="888"/>
      <c r="R2477" s="888"/>
    </row>
    <row r="2478" spans="1:18" s="893" customFormat="1" x14ac:dyDescent="0.3">
      <c r="A2478" s="888" t="s">
        <v>2062</v>
      </c>
      <c r="B2478" s="888" t="s">
        <v>1954</v>
      </c>
      <c r="C2478" s="1008" t="s">
        <v>3953</v>
      </c>
      <c r="D2478" s="888"/>
      <c r="E2478" s="893" t="s">
        <v>740</v>
      </c>
      <c r="I2478" s="888"/>
      <c r="J2478" s="888"/>
      <c r="K2478" s="888"/>
      <c r="L2478" s="888"/>
      <c r="M2478" s="888"/>
      <c r="N2478" s="888"/>
      <c r="O2478" s="888"/>
      <c r="P2478" s="888"/>
      <c r="Q2478" s="888"/>
      <c r="R2478" s="888"/>
    </row>
    <row r="2479" spans="1:18" s="893" customFormat="1" x14ac:dyDescent="0.3">
      <c r="A2479" s="888" t="s">
        <v>2062</v>
      </c>
      <c r="B2479" s="888" t="s">
        <v>1954</v>
      </c>
      <c r="C2479" s="1008" t="s">
        <v>5288</v>
      </c>
      <c r="D2479" s="888"/>
      <c r="E2479" s="893" t="str">
        <f>$E$1598</f>
        <v>Owens Corning</v>
      </c>
      <c r="I2479" s="888"/>
      <c r="J2479" s="888"/>
      <c r="K2479" s="888"/>
      <c r="L2479" s="888"/>
      <c r="M2479" s="888"/>
      <c r="N2479" s="888"/>
      <c r="O2479" s="888"/>
      <c r="P2479" s="888"/>
      <c r="Q2479" s="888"/>
      <c r="R2479" s="888"/>
    </row>
    <row r="2480" spans="1:18" s="893" customFormat="1" x14ac:dyDescent="0.3">
      <c r="A2480" s="888" t="s">
        <v>2062</v>
      </c>
      <c r="B2480" s="888" t="s">
        <v>1954</v>
      </c>
      <c r="C2480" s="1008" t="s">
        <v>3954</v>
      </c>
      <c r="D2480" s="888"/>
      <c r="E2480" s="893" t="s">
        <v>3778</v>
      </c>
      <c r="I2480" s="888"/>
      <c r="J2480" s="888"/>
      <c r="K2480" s="888"/>
      <c r="L2480" s="888"/>
      <c r="M2480" s="888"/>
      <c r="N2480" s="888"/>
      <c r="O2480" s="888"/>
      <c r="P2480" s="888"/>
      <c r="Q2480" s="888"/>
      <c r="R2480" s="888"/>
    </row>
    <row r="2481" spans="1:18" s="893" customFormat="1" x14ac:dyDescent="0.3">
      <c r="A2481" s="888" t="s">
        <v>2062</v>
      </c>
      <c r="B2481" s="888" t="s">
        <v>1954</v>
      </c>
      <c r="C2481" s="1008" t="s">
        <v>7034</v>
      </c>
      <c r="D2481" s="888"/>
      <c r="E2481" s="893" t="s">
        <v>741</v>
      </c>
      <c r="I2481" s="888"/>
      <c r="J2481" s="888"/>
      <c r="K2481" s="888"/>
      <c r="L2481" s="888"/>
      <c r="M2481" s="888"/>
      <c r="N2481" s="888"/>
      <c r="O2481" s="888"/>
      <c r="P2481" s="888"/>
      <c r="Q2481" s="888"/>
      <c r="R2481" s="888"/>
    </row>
    <row r="2482" spans="1:18" s="893" customFormat="1" x14ac:dyDescent="0.3">
      <c r="A2482" s="888" t="s">
        <v>2062</v>
      </c>
      <c r="B2482" s="888" t="s">
        <v>1954</v>
      </c>
      <c r="C2482" s="1008" t="s">
        <v>3955</v>
      </c>
      <c r="D2482" s="888"/>
      <c r="E2482" s="893" t="s">
        <v>929</v>
      </c>
      <c r="I2482" s="888"/>
      <c r="J2482" s="888"/>
      <c r="K2482" s="888"/>
      <c r="L2482" s="888"/>
      <c r="M2482" s="888"/>
      <c r="N2482" s="888"/>
      <c r="O2482" s="888"/>
      <c r="P2482" s="888"/>
      <c r="Q2482" s="888"/>
      <c r="R2482" s="888"/>
    </row>
    <row r="2483" spans="1:18" s="893" customFormat="1" x14ac:dyDescent="0.3">
      <c r="A2483" s="888" t="s">
        <v>2062</v>
      </c>
      <c r="B2483" s="888" t="s">
        <v>1954</v>
      </c>
      <c r="C2483" s="1008" t="s">
        <v>3956</v>
      </c>
      <c r="D2483" s="888"/>
      <c r="E2483" s="893" t="str">
        <f t="shared" ref="E2483:E2492" si="0">$E$2482</f>
        <v>from Composite Master Sheet</v>
      </c>
      <c r="I2483" s="888"/>
      <c r="J2483" s="888"/>
      <c r="K2483" s="888"/>
      <c r="L2483" s="888"/>
      <c r="M2483" s="888"/>
      <c r="N2483" s="888"/>
      <c r="O2483" s="888"/>
      <c r="P2483" s="888"/>
      <c r="Q2483" s="888"/>
      <c r="R2483" s="888"/>
    </row>
    <row r="2484" spans="1:18" s="893" customFormat="1" x14ac:dyDescent="0.3">
      <c r="A2484" s="888" t="s">
        <v>2062</v>
      </c>
      <c r="B2484" s="888" t="s">
        <v>1954</v>
      </c>
      <c r="C2484" s="1008" t="s">
        <v>3957</v>
      </c>
      <c r="D2484" s="888"/>
      <c r="E2484" s="893" t="str">
        <f t="shared" si="0"/>
        <v>from Composite Master Sheet</v>
      </c>
      <c r="I2484" s="888"/>
      <c r="J2484" s="888"/>
      <c r="K2484" s="888"/>
      <c r="L2484" s="888"/>
      <c r="M2484" s="888"/>
      <c r="N2484" s="888"/>
      <c r="O2484" s="888"/>
      <c r="P2484" s="888"/>
      <c r="Q2484" s="888"/>
      <c r="R2484" s="888"/>
    </row>
    <row r="2485" spans="1:18" s="893" customFormat="1" x14ac:dyDescent="0.3">
      <c r="A2485" s="888" t="s">
        <v>2062</v>
      </c>
      <c r="B2485" s="888" t="s">
        <v>1954</v>
      </c>
      <c r="C2485" s="1008" t="s">
        <v>3958</v>
      </c>
      <c r="D2485" s="888"/>
      <c r="E2485" s="893" t="str">
        <f t="shared" si="0"/>
        <v>from Composite Master Sheet</v>
      </c>
      <c r="I2485" s="888"/>
      <c r="J2485" s="888"/>
      <c r="K2485" s="888"/>
      <c r="L2485" s="888"/>
      <c r="M2485" s="888"/>
      <c r="N2485" s="888"/>
      <c r="O2485" s="888"/>
      <c r="P2485" s="888"/>
      <c r="Q2485" s="888"/>
      <c r="R2485" s="888"/>
    </row>
    <row r="2486" spans="1:18" s="893" customFormat="1" x14ac:dyDescent="0.3">
      <c r="A2486" s="888" t="s">
        <v>2062</v>
      </c>
      <c r="B2486" s="888" t="s">
        <v>1954</v>
      </c>
      <c r="C2486" s="1008" t="s">
        <v>3959</v>
      </c>
      <c r="D2486" s="888"/>
      <c r="E2486" s="893" t="str">
        <f t="shared" si="0"/>
        <v>from Composite Master Sheet</v>
      </c>
      <c r="I2486" s="888"/>
      <c r="J2486" s="888"/>
      <c r="K2486" s="888"/>
      <c r="L2486" s="888"/>
      <c r="M2486" s="888"/>
      <c r="N2486" s="888"/>
      <c r="O2486" s="888"/>
      <c r="P2486" s="888"/>
      <c r="Q2486" s="888"/>
      <c r="R2486" s="888"/>
    </row>
    <row r="2487" spans="1:18" s="893" customFormat="1" x14ac:dyDescent="0.3">
      <c r="A2487" s="888" t="s">
        <v>2062</v>
      </c>
      <c r="B2487" s="888" t="s">
        <v>1954</v>
      </c>
      <c r="C2487" s="1008" t="s">
        <v>3960</v>
      </c>
      <c r="D2487" s="888"/>
      <c r="E2487" s="893" t="str">
        <f t="shared" si="0"/>
        <v>from Composite Master Sheet</v>
      </c>
      <c r="I2487" s="888"/>
      <c r="J2487" s="888"/>
      <c r="K2487" s="888"/>
      <c r="L2487" s="888"/>
      <c r="M2487" s="888"/>
      <c r="N2487" s="888"/>
      <c r="O2487" s="888"/>
      <c r="P2487" s="888"/>
      <c r="Q2487" s="888"/>
      <c r="R2487" s="888"/>
    </row>
    <row r="2488" spans="1:18" s="893" customFormat="1" x14ac:dyDescent="0.3">
      <c r="A2488" s="888" t="s">
        <v>2062</v>
      </c>
      <c r="B2488" s="888" t="s">
        <v>1954</v>
      </c>
      <c r="C2488" s="1008" t="s">
        <v>3961</v>
      </c>
      <c r="D2488" s="888"/>
      <c r="E2488" s="893" t="str">
        <f t="shared" si="0"/>
        <v>from Composite Master Sheet</v>
      </c>
      <c r="I2488" s="888"/>
      <c r="J2488" s="888"/>
      <c r="K2488" s="888"/>
      <c r="L2488" s="888"/>
      <c r="M2488" s="888"/>
      <c r="N2488" s="888"/>
      <c r="O2488" s="888"/>
      <c r="P2488" s="888"/>
      <c r="Q2488" s="888"/>
      <c r="R2488" s="888"/>
    </row>
    <row r="2489" spans="1:18" s="893" customFormat="1" x14ac:dyDescent="0.3">
      <c r="A2489" s="888" t="s">
        <v>2062</v>
      </c>
      <c r="B2489" s="888" t="s">
        <v>1954</v>
      </c>
      <c r="C2489" s="1008" t="s">
        <v>3962</v>
      </c>
      <c r="D2489" s="888"/>
      <c r="E2489" s="893" t="str">
        <f t="shared" si="0"/>
        <v>from Composite Master Sheet</v>
      </c>
      <c r="I2489" s="888"/>
      <c r="J2489" s="888"/>
      <c r="K2489" s="888"/>
      <c r="L2489" s="888"/>
      <c r="M2489" s="888"/>
      <c r="N2489" s="888"/>
      <c r="O2489" s="888"/>
      <c r="P2489" s="888"/>
      <c r="Q2489" s="888"/>
      <c r="R2489" s="888"/>
    </row>
    <row r="2490" spans="1:18" s="893" customFormat="1" x14ac:dyDescent="0.3">
      <c r="A2490" s="888" t="s">
        <v>2062</v>
      </c>
      <c r="B2490" s="888" t="s">
        <v>1954</v>
      </c>
      <c r="C2490" s="1008" t="s">
        <v>3963</v>
      </c>
      <c r="D2490" s="888"/>
      <c r="E2490" s="893" t="str">
        <f t="shared" si="0"/>
        <v>from Composite Master Sheet</v>
      </c>
      <c r="I2490" s="888"/>
      <c r="J2490" s="888"/>
      <c r="K2490" s="888"/>
      <c r="L2490" s="888"/>
      <c r="M2490" s="888"/>
      <c r="N2490" s="888"/>
      <c r="O2490" s="888"/>
      <c r="P2490" s="888"/>
      <c r="Q2490" s="888"/>
      <c r="R2490" s="888"/>
    </row>
    <row r="2491" spans="1:18" s="893" customFormat="1" x14ac:dyDescent="0.3">
      <c r="A2491" s="888" t="s">
        <v>2062</v>
      </c>
      <c r="B2491" s="888" t="s">
        <v>1954</v>
      </c>
      <c r="C2491" s="1008" t="s">
        <v>3964</v>
      </c>
      <c r="D2491" s="888"/>
      <c r="E2491" s="893" t="str">
        <f t="shared" si="0"/>
        <v>from Composite Master Sheet</v>
      </c>
      <c r="I2491" s="888"/>
      <c r="J2491" s="888"/>
      <c r="K2491" s="888"/>
      <c r="L2491" s="888"/>
      <c r="M2491" s="888"/>
      <c r="N2491" s="888"/>
      <c r="O2491" s="888"/>
      <c r="P2491" s="888"/>
      <c r="Q2491" s="888"/>
      <c r="R2491" s="888"/>
    </row>
    <row r="2492" spans="1:18" s="893" customFormat="1" x14ac:dyDescent="0.3">
      <c r="A2492" s="888" t="s">
        <v>2062</v>
      </c>
      <c r="B2492" s="888" t="s">
        <v>1954</v>
      </c>
      <c r="C2492" s="1008" t="s">
        <v>5289</v>
      </c>
      <c r="D2492" s="888"/>
      <c r="E2492" s="893" t="str">
        <f t="shared" si="0"/>
        <v>from Composite Master Sheet</v>
      </c>
      <c r="I2492" s="888"/>
      <c r="J2492" s="888"/>
      <c r="K2492" s="888"/>
      <c r="L2492" s="888"/>
      <c r="M2492" s="888"/>
      <c r="N2492" s="888"/>
      <c r="O2492" s="888"/>
      <c r="P2492" s="888"/>
      <c r="Q2492" s="888"/>
      <c r="R2492" s="888"/>
    </row>
    <row r="2493" spans="1:18" s="893" customFormat="1" x14ac:dyDescent="0.3">
      <c r="A2493" s="888" t="s">
        <v>2062</v>
      </c>
      <c r="B2493" s="888" t="s">
        <v>1954</v>
      </c>
      <c r="C2493" s="1008" t="s">
        <v>5290</v>
      </c>
      <c r="D2493" s="888"/>
      <c r="E2493" s="893" t="s">
        <v>3541</v>
      </c>
      <c r="I2493" s="888"/>
      <c r="J2493" s="888"/>
      <c r="K2493" s="888"/>
      <c r="L2493" s="888"/>
      <c r="M2493" s="888"/>
      <c r="N2493" s="888"/>
      <c r="O2493" s="888"/>
      <c r="P2493" s="888"/>
      <c r="Q2493" s="888"/>
      <c r="R2493" s="888"/>
    </row>
    <row r="2494" spans="1:18" s="893" customFormat="1" x14ac:dyDescent="0.3">
      <c r="A2494" s="888" t="s">
        <v>2062</v>
      </c>
      <c r="B2494" s="888" t="s">
        <v>1954</v>
      </c>
      <c r="C2494" s="1008" t="s">
        <v>5291</v>
      </c>
      <c r="D2494" s="888"/>
      <c r="E2494" s="893" t="s">
        <v>3542</v>
      </c>
      <c r="I2494" s="888"/>
      <c r="J2494" s="888"/>
      <c r="K2494" s="888"/>
      <c r="L2494" s="888"/>
      <c r="M2494" s="888"/>
      <c r="N2494" s="888"/>
      <c r="O2494" s="888"/>
      <c r="P2494" s="888"/>
      <c r="Q2494" s="888"/>
      <c r="R2494" s="888"/>
    </row>
    <row r="2495" spans="1:18" s="893" customFormat="1" x14ac:dyDescent="0.3">
      <c r="A2495" s="888" t="s">
        <v>2062</v>
      </c>
      <c r="B2495" s="888" t="s">
        <v>1954</v>
      </c>
      <c r="C2495" s="1008" t="s">
        <v>5292</v>
      </c>
      <c r="D2495" s="888"/>
      <c r="E2495" s="893" t="s">
        <v>3543</v>
      </c>
      <c r="I2495" s="888"/>
      <c r="J2495" s="888"/>
      <c r="K2495" s="888"/>
      <c r="L2495" s="888"/>
      <c r="M2495" s="888"/>
      <c r="N2495" s="888"/>
      <c r="O2495" s="888"/>
      <c r="P2495" s="888"/>
      <c r="Q2495" s="888"/>
      <c r="R2495" s="888"/>
    </row>
    <row r="2496" spans="1:18" s="893" customFormat="1" x14ac:dyDescent="0.3">
      <c r="A2496" s="888" t="s">
        <v>2062</v>
      </c>
      <c r="B2496" s="888" t="s">
        <v>1954</v>
      </c>
      <c r="C2496" s="1008" t="s">
        <v>5099</v>
      </c>
      <c r="D2496" s="888"/>
      <c r="E2496" s="893" t="s">
        <v>3547</v>
      </c>
      <c r="I2496" s="888"/>
      <c r="J2496" s="888"/>
      <c r="K2496" s="888"/>
      <c r="L2496" s="888"/>
      <c r="M2496" s="888"/>
      <c r="N2496" s="888"/>
      <c r="O2496" s="888"/>
      <c r="P2496" s="888"/>
      <c r="Q2496" s="888"/>
      <c r="R2496" s="888"/>
    </row>
    <row r="2497" spans="1:18" s="893" customFormat="1" x14ac:dyDescent="0.3">
      <c r="A2497" s="888" t="s">
        <v>2062</v>
      </c>
      <c r="B2497" s="888" t="s">
        <v>1954</v>
      </c>
      <c r="C2497" s="1008" t="s">
        <v>5293</v>
      </c>
      <c r="D2497" s="888"/>
      <c r="E2497" s="893" t="str">
        <f>$E$2494</f>
        <v>ABQ</v>
      </c>
      <c r="I2497" s="888"/>
      <c r="J2497" s="888"/>
      <c r="K2497" s="888"/>
      <c r="L2497" s="888"/>
      <c r="M2497" s="888"/>
      <c r="N2497" s="888"/>
      <c r="O2497" s="888"/>
      <c r="P2497" s="888"/>
      <c r="Q2497" s="888"/>
      <c r="R2497" s="888"/>
    </row>
    <row r="2498" spans="1:18" s="893" customFormat="1" x14ac:dyDescent="0.3">
      <c r="A2498" s="888" t="s">
        <v>2062</v>
      </c>
      <c r="B2498" s="888" t="s">
        <v>1954</v>
      </c>
      <c r="C2498" s="1008" t="s">
        <v>5294</v>
      </c>
      <c r="D2498" s="888"/>
      <c r="E2498" s="893" t="str">
        <f>$E$2495</f>
        <v>Can. Quebec Avg.</v>
      </c>
      <c r="I2498" s="888"/>
      <c r="J2498" s="888"/>
      <c r="K2498" s="888"/>
      <c r="L2498" s="888"/>
      <c r="M2498" s="888"/>
      <c r="N2498" s="888"/>
      <c r="O2498" s="888"/>
      <c r="P2498" s="888"/>
      <c r="Q2498" s="888"/>
      <c r="R2498" s="888"/>
    </row>
    <row r="2499" spans="1:18" s="893" customFormat="1" x14ac:dyDescent="0.3">
      <c r="A2499" s="888" t="s">
        <v>2062</v>
      </c>
      <c r="B2499" s="888" t="s">
        <v>1954</v>
      </c>
      <c r="C2499" s="1008" t="s">
        <v>5295</v>
      </c>
      <c r="D2499" s="888"/>
      <c r="E2499" s="893" t="s">
        <v>3549</v>
      </c>
      <c r="I2499" s="888"/>
      <c r="J2499" s="888"/>
      <c r="K2499" s="888"/>
      <c r="L2499" s="888"/>
      <c r="M2499" s="888"/>
      <c r="N2499" s="888"/>
      <c r="O2499" s="888"/>
      <c r="P2499" s="888"/>
      <c r="Q2499" s="888"/>
      <c r="R2499" s="888"/>
    </row>
    <row r="2500" spans="1:18" s="893" customFormat="1" x14ac:dyDescent="0.3">
      <c r="A2500" s="888" t="s">
        <v>2062</v>
      </c>
      <c r="B2500" s="888" t="s">
        <v>1954</v>
      </c>
      <c r="C2500" s="1008" t="s">
        <v>5296</v>
      </c>
      <c r="D2500" s="888"/>
      <c r="E2500" s="893" t="str">
        <f>$E$2494</f>
        <v>ABQ</v>
      </c>
      <c r="I2500" s="888"/>
      <c r="J2500" s="888"/>
      <c r="K2500" s="888"/>
      <c r="L2500" s="888"/>
      <c r="M2500" s="888"/>
      <c r="N2500" s="888"/>
      <c r="O2500" s="888"/>
      <c r="P2500" s="888"/>
      <c r="Q2500" s="888"/>
      <c r="R2500" s="888"/>
    </row>
    <row r="2501" spans="1:18" s="893" customFormat="1" x14ac:dyDescent="0.3">
      <c r="A2501" s="888" t="s">
        <v>2062</v>
      </c>
      <c r="B2501" s="888" t="s">
        <v>1954</v>
      </c>
      <c r="C2501" s="1008" t="s">
        <v>5297</v>
      </c>
      <c r="D2501" s="888"/>
      <c r="E2501" s="893" t="str">
        <f>$E$2495</f>
        <v>Can. Quebec Avg.</v>
      </c>
      <c r="I2501" s="888"/>
      <c r="J2501" s="888"/>
      <c r="K2501" s="888"/>
      <c r="L2501" s="888"/>
      <c r="M2501" s="888"/>
      <c r="N2501" s="888"/>
      <c r="O2501" s="888"/>
      <c r="P2501" s="888"/>
      <c r="Q2501" s="888"/>
      <c r="R2501" s="888"/>
    </row>
    <row r="2502" spans="1:18" s="893" customFormat="1" x14ac:dyDescent="0.3">
      <c r="A2502" s="888" t="s">
        <v>2062</v>
      </c>
      <c r="B2502" s="888" t="s">
        <v>1954</v>
      </c>
      <c r="C2502" s="1008" t="s">
        <v>5298</v>
      </c>
      <c r="D2502" s="888"/>
      <c r="E2502" s="893" t="s">
        <v>3550</v>
      </c>
      <c r="I2502" s="888"/>
      <c r="J2502" s="888"/>
      <c r="K2502" s="888"/>
      <c r="L2502" s="888"/>
      <c r="M2502" s="888"/>
      <c r="N2502" s="888"/>
      <c r="O2502" s="888"/>
      <c r="P2502" s="888"/>
      <c r="Q2502" s="888"/>
      <c r="R2502" s="888"/>
    </row>
    <row r="2503" spans="1:18" s="893" customFormat="1" x14ac:dyDescent="0.3">
      <c r="A2503" s="888" t="s">
        <v>2062</v>
      </c>
      <c r="B2503" s="888" t="s">
        <v>1954</v>
      </c>
      <c r="C2503" s="1008" t="s">
        <v>5299</v>
      </c>
      <c r="D2503" s="888"/>
      <c r="E2503" s="893" t="str">
        <f>$E$2494</f>
        <v>ABQ</v>
      </c>
      <c r="I2503" s="888"/>
      <c r="J2503" s="888"/>
      <c r="K2503" s="888"/>
      <c r="L2503" s="888"/>
      <c r="M2503" s="888"/>
      <c r="N2503" s="888"/>
      <c r="O2503" s="888"/>
      <c r="P2503" s="888"/>
      <c r="Q2503" s="888"/>
      <c r="R2503" s="888"/>
    </row>
    <row r="2504" spans="1:18" s="893" customFormat="1" x14ac:dyDescent="0.3">
      <c r="A2504" s="888" t="s">
        <v>2062</v>
      </c>
      <c r="B2504" s="888" t="s">
        <v>1954</v>
      </c>
      <c r="C2504" s="1008" t="s">
        <v>5300</v>
      </c>
      <c r="D2504" s="888"/>
      <c r="E2504" s="893" t="str">
        <f>$E$2495</f>
        <v>Can. Quebec Avg.</v>
      </c>
      <c r="I2504" s="888"/>
      <c r="J2504" s="888"/>
      <c r="K2504" s="888"/>
      <c r="L2504" s="888"/>
      <c r="M2504" s="888"/>
      <c r="N2504" s="888"/>
      <c r="O2504" s="888"/>
      <c r="P2504" s="888"/>
      <c r="Q2504" s="888"/>
      <c r="R2504" s="888"/>
    </row>
    <row r="2505" spans="1:18" s="893" customFormat="1" x14ac:dyDescent="0.3">
      <c r="A2505" s="888" t="s">
        <v>2062</v>
      </c>
      <c r="B2505" s="888" t="s">
        <v>1954</v>
      </c>
      <c r="C2505" s="1008" t="s">
        <v>5301</v>
      </c>
      <c r="D2505" s="888"/>
      <c r="E2505" s="893" t="s">
        <v>3551</v>
      </c>
      <c r="I2505" s="888"/>
      <c r="J2505" s="888"/>
      <c r="K2505" s="888"/>
      <c r="L2505" s="888"/>
      <c r="M2505" s="888"/>
      <c r="N2505" s="888"/>
      <c r="O2505" s="888"/>
      <c r="P2505" s="888"/>
      <c r="Q2505" s="888"/>
      <c r="R2505" s="888"/>
    </row>
    <row r="2506" spans="1:18" s="893" customFormat="1" x14ac:dyDescent="0.3">
      <c r="A2506" s="888" t="s">
        <v>2062</v>
      </c>
      <c r="B2506" s="888" t="s">
        <v>1954</v>
      </c>
      <c r="C2506" s="1008" t="s">
        <v>5302</v>
      </c>
      <c r="D2506" s="888"/>
      <c r="E2506" s="893" t="str">
        <f>$E$2494</f>
        <v>ABQ</v>
      </c>
      <c r="I2506" s="888"/>
      <c r="J2506" s="888"/>
      <c r="K2506" s="888"/>
      <c r="L2506" s="888"/>
      <c r="M2506" s="888"/>
      <c r="N2506" s="888"/>
      <c r="O2506" s="888"/>
      <c r="P2506" s="888"/>
      <c r="Q2506" s="888"/>
      <c r="R2506" s="888"/>
    </row>
    <row r="2507" spans="1:18" s="893" customFormat="1" x14ac:dyDescent="0.3">
      <c r="A2507" s="888" t="s">
        <v>2062</v>
      </c>
      <c r="B2507" s="888" t="s">
        <v>1954</v>
      </c>
      <c r="C2507" s="1008" t="s">
        <v>5303</v>
      </c>
      <c r="D2507" s="888"/>
      <c r="E2507" s="893" t="str">
        <f>$E$2495</f>
        <v>Can. Quebec Avg.</v>
      </c>
      <c r="I2507" s="888"/>
      <c r="J2507" s="888"/>
      <c r="K2507" s="888"/>
      <c r="L2507" s="888"/>
      <c r="M2507" s="888"/>
      <c r="N2507" s="888"/>
      <c r="O2507" s="888"/>
      <c r="P2507" s="888"/>
      <c r="Q2507" s="888"/>
      <c r="R2507" s="888"/>
    </row>
    <row r="2508" spans="1:18" s="893" customFormat="1" x14ac:dyDescent="0.3">
      <c r="A2508" s="888" t="s">
        <v>2062</v>
      </c>
      <c r="B2508" s="888" t="s">
        <v>1954</v>
      </c>
      <c r="C2508" s="1008" t="s">
        <v>5304</v>
      </c>
      <c r="D2508" s="888"/>
      <c r="E2508" s="893" t="s">
        <v>3552</v>
      </c>
      <c r="I2508" s="888"/>
      <c r="J2508" s="888"/>
      <c r="K2508" s="888"/>
      <c r="L2508" s="888"/>
      <c r="M2508" s="888"/>
      <c r="N2508" s="888"/>
      <c r="O2508" s="888"/>
      <c r="P2508" s="888"/>
      <c r="Q2508" s="888"/>
      <c r="R2508" s="888"/>
    </row>
    <row r="2509" spans="1:18" s="893" customFormat="1" x14ac:dyDescent="0.3">
      <c r="A2509" s="888" t="s">
        <v>2062</v>
      </c>
      <c r="B2509" s="888" t="s">
        <v>1954</v>
      </c>
      <c r="C2509" s="1008" t="s">
        <v>5305</v>
      </c>
      <c r="D2509" s="888"/>
      <c r="E2509" s="893" t="str">
        <f>$E$2494</f>
        <v>ABQ</v>
      </c>
      <c r="I2509" s="888"/>
      <c r="J2509" s="888"/>
      <c r="K2509" s="888"/>
      <c r="L2509" s="888"/>
      <c r="M2509" s="888"/>
      <c r="N2509" s="888"/>
      <c r="O2509" s="888"/>
      <c r="P2509" s="888"/>
      <c r="Q2509" s="888"/>
      <c r="R2509" s="888"/>
    </row>
    <row r="2510" spans="1:18" s="893" customFormat="1" x14ac:dyDescent="0.3">
      <c r="A2510" s="888" t="s">
        <v>2062</v>
      </c>
      <c r="B2510" s="888" t="s">
        <v>1954</v>
      </c>
      <c r="C2510" s="1008" t="s">
        <v>5100</v>
      </c>
      <c r="D2510" s="888"/>
      <c r="E2510" s="893" t="str">
        <f>$E$2495</f>
        <v>Can. Quebec Avg.</v>
      </c>
      <c r="I2510" s="888"/>
      <c r="J2510" s="888"/>
      <c r="K2510" s="888"/>
      <c r="L2510" s="888"/>
      <c r="M2510" s="888"/>
      <c r="N2510" s="888"/>
      <c r="O2510" s="888"/>
      <c r="P2510" s="888"/>
      <c r="Q2510" s="888"/>
      <c r="R2510" s="888"/>
    </row>
    <row r="2511" spans="1:18" s="893" customFormat="1" x14ac:dyDescent="0.3">
      <c r="A2511" s="888" t="s">
        <v>2062</v>
      </c>
      <c r="B2511" s="888" t="s">
        <v>1954</v>
      </c>
      <c r="C2511" s="1008" t="s">
        <v>5101</v>
      </c>
      <c r="D2511" s="888"/>
      <c r="E2511" s="893" t="s">
        <v>3553</v>
      </c>
      <c r="I2511" s="888"/>
      <c r="J2511" s="888"/>
      <c r="K2511" s="888"/>
      <c r="L2511" s="888"/>
      <c r="M2511" s="888"/>
      <c r="N2511" s="888"/>
      <c r="O2511" s="888"/>
      <c r="P2511" s="888"/>
      <c r="Q2511" s="888"/>
      <c r="R2511" s="888"/>
    </row>
    <row r="2512" spans="1:18" s="893" customFormat="1" x14ac:dyDescent="0.3">
      <c r="A2512" s="888" t="s">
        <v>2062</v>
      </c>
      <c r="B2512" s="888" t="s">
        <v>1954</v>
      </c>
      <c r="C2512" s="1008" t="s">
        <v>5306</v>
      </c>
      <c r="D2512" s="888"/>
      <c r="E2512" s="893" t="str">
        <f>$E$2494</f>
        <v>ABQ</v>
      </c>
      <c r="I2512" s="888"/>
      <c r="J2512" s="888"/>
      <c r="K2512" s="888"/>
      <c r="L2512" s="888"/>
      <c r="M2512" s="888"/>
      <c r="N2512" s="888"/>
      <c r="O2512" s="888"/>
      <c r="P2512" s="888"/>
      <c r="Q2512" s="888"/>
      <c r="R2512" s="888"/>
    </row>
    <row r="2513" spans="1:18" s="893" customFormat="1" x14ac:dyDescent="0.3">
      <c r="A2513" s="888" t="s">
        <v>2062</v>
      </c>
      <c r="B2513" s="888" t="s">
        <v>1954</v>
      </c>
      <c r="C2513" s="1008" t="s">
        <v>5307</v>
      </c>
      <c r="D2513" s="888"/>
      <c r="E2513" s="893" t="str">
        <f>$E$2495</f>
        <v>Can. Quebec Avg.</v>
      </c>
      <c r="I2513" s="888"/>
      <c r="J2513" s="888"/>
      <c r="K2513" s="888"/>
      <c r="L2513" s="888"/>
      <c r="M2513" s="888"/>
      <c r="N2513" s="888"/>
      <c r="O2513" s="888"/>
      <c r="P2513" s="888"/>
      <c r="Q2513" s="888"/>
      <c r="R2513" s="888"/>
    </row>
    <row r="2514" spans="1:18" s="893" customFormat="1" x14ac:dyDescent="0.3">
      <c r="A2514" s="888" t="s">
        <v>2062</v>
      </c>
      <c r="B2514" s="888" t="s">
        <v>1954</v>
      </c>
      <c r="C2514" s="1008" t="s">
        <v>5308</v>
      </c>
      <c r="D2514" s="888"/>
      <c r="E2514" s="893" t="s">
        <v>3554</v>
      </c>
      <c r="I2514" s="888"/>
      <c r="J2514" s="888"/>
      <c r="K2514" s="888"/>
      <c r="L2514" s="888"/>
      <c r="M2514" s="888"/>
      <c r="N2514" s="888"/>
      <c r="O2514" s="888"/>
      <c r="P2514" s="888"/>
      <c r="Q2514" s="888"/>
      <c r="R2514" s="888"/>
    </row>
    <row r="2515" spans="1:18" s="893" customFormat="1" x14ac:dyDescent="0.3">
      <c r="A2515" s="888" t="s">
        <v>2062</v>
      </c>
      <c r="B2515" s="888" t="s">
        <v>1954</v>
      </c>
      <c r="C2515" s="1008" t="s">
        <v>5309</v>
      </c>
      <c r="D2515" s="888"/>
      <c r="E2515" s="893" t="str">
        <f>$E$2494</f>
        <v>ABQ</v>
      </c>
      <c r="I2515" s="888"/>
      <c r="J2515" s="888"/>
      <c r="K2515" s="888"/>
      <c r="L2515" s="888"/>
      <c r="M2515" s="888"/>
      <c r="N2515" s="888"/>
      <c r="O2515" s="888"/>
      <c r="P2515" s="888"/>
      <c r="Q2515" s="888"/>
      <c r="R2515" s="888"/>
    </row>
    <row r="2516" spans="1:18" s="893" customFormat="1" x14ac:dyDescent="0.3">
      <c r="A2516" s="888" t="s">
        <v>2062</v>
      </c>
      <c r="B2516" s="888" t="s">
        <v>1954</v>
      </c>
      <c r="C2516" s="1008" t="s">
        <v>5310</v>
      </c>
      <c r="D2516" s="888"/>
      <c r="E2516" s="893" t="str">
        <f>$E$2495</f>
        <v>Can. Quebec Avg.</v>
      </c>
      <c r="I2516" s="888"/>
      <c r="J2516" s="888"/>
      <c r="K2516" s="888"/>
      <c r="L2516" s="888"/>
      <c r="M2516" s="888"/>
      <c r="N2516" s="888"/>
      <c r="O2516" s="888"/>
      <c r="P2516" s="888"/>
      <c r="Q2516" s="888"/>
      <c r="R2516" s="888"/>
    </row>
    <row r="2517" spans="1:18" s="893" customFormat="1" x14ac:dyDescent="0.3">
      <c r="A2517" s="888" t="s">
        <v>2062</v>
      </c>
      <c r="B2517" s="888" t="s">
        <v>1954</v>
      </c>
      <c r="C2517" s="1008" t="s">
        <v>5311</v>
      </c>
      <c r="D2517" s="888"/>
      <c r="E2517" s="893" t="s">
        <v>3555</v>
      </c>
      <c r="I2517" s="888"/>
      <c r="J2517" s="888"/>
      <c r="K2517" s="888"/>
      <c r="L2517" s="888"/>
      <c r="M2517" s="888"/>
      <c r="N2517" s="888"/>
      <c r="O2517" s="888"/>
      <c r="P2517" s="888"/>
      <c r="Q2517" s="888"/>
      <c r="R2517" s="888"/>
    </row>
    <row r="2518" spans="1:18" s="893" customFormat="1" x14ac:dyDescent="0.3">
      <c r="A2518" s="888" t="s">
        <v>2062</v>
      </c>
      <c r="B2518" s="888" t="s">
        <v>1954</v>
      </c>
      <c r="C2518" s="1008" t="s">
        <v>5312</v>
      </c>
      <c r="D2518" s="888"/>
      <c r="E2518" s="893" t="str">
        <f>$E$2494</f>
        <v>ABQ</v>
      </c>
      <c r="I2518" s="888"/>
      <c r="J2518" s="888"/>
      <c r="K2518" s="888"/>
      <c r="L2518" s="888"/>
      <c r="M2518" s="888"/>
      <c r="N2518" s="888"/>
      <c r="O2518" s="888"/>
      <c r="P2518" s="888"/>
      <c r="Q2518" s="888"/>
      <c r="R2518" s="888"/>
    </row>
    <row r="2519" spans="1:18" s="893" customFormat="1" x14ac:dyDescent="0.3">
      <c r="A2519" s="888" t="s">
        <v>2062</v>
      </c>
      <c r="B2519" s="888" t="s">
        <v>1954</v>
      </c>
      <c r="C2519" s="1008" t="s">
        <v>5313</v>
      </c>
      <c r="D2519" s="888"/>
      <c r="E2519" s="893" t="str">
        <f>$E$2495</f>
        <v>Can. Quebec Avg.</v>
      </c>
      <c r="I2519" s="888"/>
      <c r="J2519" s="888"/>
      <c r="K2519" s="888"/>
      <c r="L2519" s="888"/>
      <c r="M2519" s="888"/>
      <c r="N2519" s="888"/>
      <c r="O2519" s="888"/>
      <c r="P2519" s="888"/>
      <c r="Q2519" s="888"/>
      <c r="R2519" s="888"/>
    </row>
    <row r="2520" spans="1:18" s="893" customFormat="1" x14ac:dyDescent="0.3">
      <c r="A2520" s="888" t="s">
        <v>2062</v>
      </c>
      <c r="B2520" s="888" t="s">
        <v>1954</v>
      </c>
      <c r="C2520" s="1008" t="s">
        <v>5314</v>
      </c>
      <c r="D2520" s="888"/>
      <c r="E2520" s="893" t="s">
        <v>3556</v>
      </c>
      <c r="I2520" s="888"/>
      <c r="J2520" s="888"/>
      <c r="K2520" s="888"/>
      <c r="L2520" s="888"/>
      <c r="M2520" s="888"/>
      <c r="N2520" s="888"/>
      <c r="O2520" s="888"/>
      <c r="P2520" s="888"/>
      <c r="Q2520" s="888"/>
      <c r="R2520" s="888"/>
    </row>
    <row r="2521" spans="1:18" s="893" customFormat="1" x14ac:dyDescent="0.3">
      <c r="A2521" s="888" t="s">
        <v>2062</v>
      </c>
      <c r="B2521" s="888" t="s">
        <v>1954</v>
      </c>
      <c r="C2521" s="1008" t="s">
        <v>5315</v>
      </c>
      <c r="D2521" s="888"/>
      <c r="E2521" s="893" t="str">
        <f>$E$2494</f>
        <v>ABQ</v>
      </c>
      <c r="I2521" s="888"/>
      <c r="J2521" s="888"/>
      <c r="K2521" s="888"/>
      <c r="L2521" s="888"/>
      <c r="M2521" s="888"/>
      <c r="N2521" s="888"/>
      <c r="O2521" s="888"/>
      <c r="P2521" s="888"/>
      <c r="Q2521" s="888"/>
      <c r="R2521" s="888"/>
    </row>
    <row r="2522" spans="1:18" s="893" customFormat="1" x14ac:dyDescent="0.3">
      <c r="A2522" s="888" t="s">
        <v>2062</v>
      </c>
      <c r="B2522" s="888" t="s">
        <v>1954</v>
      </c>
      <c r="C2522" s="1008" t="s">
        <v>5316</v>
      </c>
      <c r="D2522" s="888"/>
      <c r="E2522" s="893" t="str">
        <f>$E$2495</f>
        <v>Can. Quebec Avg.</v>
      </c>
      <c r="I2522" s="888"/>
      <c r="J2522" s="888"/>
      <c r="K2522" s="888"/>
      <c r="L2522" s="888"/>
      <c r="M2522" s="888"/>
      <c r="N2522" s="888"/>
      <c r="O2522" s="888"/>
      <c r="P2522" s="888"/>
      <c r="Q2522" s="888"/>
      <c r="R2522" s="888"/>
    </row>
    <row r="2523" spans="1:18" s="893" customFormat="1" x14ac:dyDescent="0.3">
      <c r="A2523" s="888" t="s">
        <v>2062</v>
      </c>
      <c r="B2523" s="888" t="s">
        <v>1954</v>
      </c>
      <c r="C2523" s="1008" t="s">
        <v>5317</v>
      </c>
      <c r="D2523" s="888"/>
      <c r="E2523" s="893" t="s">
        <v>3557</v>
      </c>
      <c r="I2523" s="888"/>
      <c r="J2523" s="888"/>
      <c r="K2523" s="888"/>
      <c r="L2523" s="888"/>
      <c r="M2523" s="888"/>
      <c r="N2523" s="888"/>
      <c r="O2523" s="888"/>
      <c r="P2523" s="888"/>
      <c r="Q2523" s="888"/>
      <c r="R2523" s="888"/>
    </row>
    <row r="2524" spans="1:18" s="893" customFormat="1" x14ac:dyDescent="0.3">
      <c r="A2524" s="888" t="s">
        <v>2062</v>
      </c>
      <c r="B2524" s="888" t="s">
        <v>1954</v>
      </c>
      <c r="C2524" s="1008" t="s">
        <v>5318</v>
      </c>
      <c r="D2524" s="888"/>
      <c r="E2524" s="893" t="str">
        <f>$E$2494</f>
        <v>ABQ</v>
      </c>
      <c r="I2524" s="888"/>
      <c r="J2524" s="888"/>
      <c r="K2524" s="888"/>
      <c r="L2524" s="888"/>
      <c r="M2524" s="888"/>
      <c r="N2524" s="888"/>
      <c r="O2524" s="888"/>
      <c r="P2524" s="888"/>
      <c r="Q2524" s="888"/>
      <c r="R2524" s="888"/>
    </row>
    <row r="2525" spans="1:18" s="893" customFormat="1" x14ac:dyDescent="0.3">
      <c r="A2525" s="888" t="s">
        <v>2062</v>
      </c>
      <c r="B2525" s="888" t="s">
        <v>1954</v>
      </c>
      <c r="C2525" s="1008" t="s">
        <v>5319</v>
      </c>
      <c r="D2525" s="888"/>
      <c r="E2525" s="893" t="str">
        <f>$E$2495</f>
        <v>Can. Quebec Avg.</v>
      </c>
      <c r="I2525" s="888"/>
      <c r="J2525" s="888"/>
      <c r="K2525" s="888"/>
      <c r="L2525" s="888"/>
      <c r="M2525" s="888"/>
      <c r="N2525" s="888"/>
      <c r="O2525" s="888"/>
      <c r="P2525" s="888"/>
      <c r="Q2525" s="888"/>
      <c r="R2525" s="888"/>
    </row>
    <row r="2526" spans="1:18" s="893" customFormat="1" x14ac:dyDescent="0.3">
      <c r="A2526" s="888" t="s">
        <v>2062</v>
      </c>
      <c r="B2526" s="888" t="s">
        <v>1954</v>
      </c>
      <c r="C2526" s="1008" t="s">
        <v>5102</v>
      </c>
      <c r="D2526" s="888"/>
      <c r="E2526" s="893" t="s">
        <v>3558</v>
      </c>
      <c r="I2526" s="888"/>
      <c r="J2526" s="888"/>
      <c r="K2526" s="888"/>
      <c r="L2526" s="888"/>
      <c r="M2526" s="888"/>
      <c r="N2526" s="888"/>
      <c r="O2526" s="888"/>
      <c r="P2526" s="888"/>
      <c r="Q2526" s="888"/>
      <c r="R2526" s="888"/>
    </row>
    <row r="2527" spans="1:18" s="893" customFormat="1" x14ac:dyDescent="0.3">
      <c r="A2527" s="888" t="s">
        <v>2062</v>
      </c>
      <c r="B2527" s="888" t="s">
        <v>1954</v>
      </c>
      <c r="C2527" s="1008" t="s">
        <v>5320</v>
      </c>
      <c r="D2527" s="888"/>
      <c r="E2527" s="893" t="str">
        <f>$E$2494</f>
        <v>ABQ</v>
      </c>
      <c r="I2527" s="888"/>
      <c r="J2527" s="888"/>
      <c r="K2527" s="888"/>
      <c r="L2527" s="888"/>
      <c r="M2527" s="888"/>
      <c r="N2527" s="888"/>
      <c r="O2527" s="888"/>
      <c r="P2527" s="888"/>
      <c r="Q2527" s="888"/>
      <c r="R2527" s="888"/>
    </row>
    <row r="2528" spans="1:18" s="893" customFormat="1" x14ac:dyDescent="0.3">
      <c r="A2528" s="888" t="s">
        <v>2062</v>
      </c>
      <c r="B2528" s="888" t="s">
        <v>1954</v>
      </c>
      <c r="C2528" s="1008" t="s">
        <v>5321</v>
      </c>
      <c r="D2528" s="888"/>
      <c r="E2528" s="893" t="str">
        <f>$E$2495</f>
        <v>Can. Quebec Avg.</v>
      </c>
      <c r="I2528" s="888"/>
      <c r="J2528" s="888"/>
      <c r="K2528" s="888"/>
      <c r="L2528" s="888"/>
      <c r="M2528" s="888"/>
      <c r="N2528" s="888"/>
      <c r="O2528" s="888"/>
      <c r="P2528" s="888"/>
      <c r="Q2528" s="888"/>
      <c r="R2528" s="888"/>
    </row>
    <row r="2529" spans="1:18" s="893" customFormat="1" x14ac:dyDescent="0.3">
      <c r="A2529" s="888" t="s">
        <v>2062</v>
      </c>
      <c r="B2529" s="888" t="s">
        <v>1954</v>
      </c>
      <c r="C2529" s="1008" t="s">
        <v>5322</v>
      </c>
      <c r="D2529" s="888"/>
      <c r="E2529" s="893" t="s">
        <v>3559</v>
      </c>
      <c r="I2529" s="888"/>
      <c r="J2529" s="888"/>
      <c r="K2529" s="888"/>
      <c r="L2529" s="888"/>
      <c r="M2529" s="888"/>
      <c r="N2529" s="888"/>
      <c r="O2529" s="888"/>
      <c r="P2529" s="888"/>
      <c r="Q2529" s="888"/>
      <c r="R2529" s="888"/>
    </row>
    <row r="2530" spans="1:18" s="893" customFormat="1" x14ac:dyDescent="0.3">
      <c r="A2530" s="888" t="s">
        <v>2062</v>
      </c>
      <c r="B2530" s="888" t="s">
        <v>1954</v>
      </c>
      <c r="C2530" s="1008" t="s">
        <v>5103</v>
      </c>
      <c r="D2530" s="888"/>
      <c r="E2530" s="893" t="str">
        <f>$E$2494</f>
        <v>ABQ</v>
      </c>
      <c r="I2530" s="888"/>
      <c r="J2530" s="888"/>
      <c r="K2530" s="888"/>
      <c r="L2530" s="888"/>
      <c r="M2530" s="888"/>
      <c r="N2530" s="888"/>
      <c r="O2530" s="888"/>
      <c r="P2530" s="888"/>
      <c r="Q2530" s="888"/>
      <c r="R2530" s="888"/>
    </row>
    <row r="2531" spans="1:18" s="893" customFormat="1" x14ac:dyDescent="0.3">
      <c r="A2531" s="888" t="s">
        <v>2062</v>
      </c>
      <c r="B2531" s="888" t="s">
        <v>1954</v>
      </c>
      <c r="C2531" s="1008" t="s">
        <v>5323</v>
      </c>
      <c r="D2531" s="888"/>
      <c r="E2531" s="893" t="str">
        <f>$E$2495</f>
        <v>Can. Quebec Avg.</v>
      </c>
      <c r="I2531" s="888"/>
      <c r="J2531" s="888"/>
      <c r="K2531" s="888"/>
      <c r="L2531" s="888"/>
      <c r="M2531" s="888"/>
      <c r="N2531" s="888"/>
      <c r="O2531" s="888"/>
      <c r="P2531" s="888"/>
      <c r="Q2531" s="888"/>
      <c r="R2531" s="888"/>
    </row>
    <row r="2532" spans="1:18" s="893" customFormat="1" x14ac:dyDescent="0.3">
      <c r="A2532" s="888" t="s">
        <v>2062</v>
      </c>
      <c r="B2532" s="888" t="s">
        <v>1954</v>
      </c>
      <c r="C2532" s="1008" t="s">
        <v>5324</v>
      </c>
      <c r="D2532" s="888"/>
      <c r="E2532" s="893" t="s">
        <v>3560</v>
      </c>
      <c r="I2532" s="888"/>
      <c r="J2532" s="888"/>
      <c r="K2532" s="888"/>
      <c r="L2532" s="888"/>
      <c r="M2532" s="888"/>
      <c r="N2532" s="888"/>
      <c r="O2532" s="888"/>
      <c r="P2532" s="888"/>
      <c r="Q2532" s="888"/>
      <c r="R2532" s="888"/>
    </row>
    <row r="2533" spans="1:18" s="893" customFormat="1" x14ac:dyDescent="0.3">
      <c r="A2533" s="888" t="s">
        <v>2062</v>
      </c>
      <c r="B2533" s="888" t="s">
        <v>1954</v>
      </c>
      <c r="C2533" s="1008" t="s">
        <v>5325</v>
      </c>
      <c r="D2533" s="888"/>
      <c r="E2533" s="893" t="str">
        <f>$E$2494</f>
        <v>ABQ</v>
      </c>
      <c r="I2533" s="888"/>
      <c r="J2533" s="888"/>
      <c r="K2533" s="888"/>
      <c r="L2533" s="888"/>
      <c r="M2533" s="888"/>
      <c r="N2533" s="888"/>
      <c r="O2533" s="888"/>
      <c r="P2533" s="888"/>
      <c r="Q2533" s="888"/>
      <c r="R2533" s="888"/>
    </row>
    <row r="2534" spans="1:18" s="893" customFormat="1" x14ac:dyDescent="0.3">
      <c r="A2534" s="888" t="s">
        <v>2062</v>
      </c>
      <c r="B2534" s="888" t="s">
        <v>1954</v>
      </c>
      <c r="C2534" s="1008" t="s">
        <v>5326</v>
      </c>
      <c r="D2534" s="888"/>
      <c r="E2534" s="893" t="str">
        <f>$E$2495</f>
        <v>Can. Quebec Avg.</v>
      </c>
      <c r="I2534" s="888"/>
      <c r="J2534" s="888"/>
      <c r="K2534" s="888"/>
      <c r="L2534" s="888"/>
      <c r="M2534" s="888"/>
      <c r="N2534" s="888"/>
      <c r="O2534" s="888"/>
      <c r="P2534" s="888"/>
      <c r="Q2534" s="888"/>
      <c r="R2534" s="888"/>
    </row>
    <row r="2535" spans="1:18" s="893" customFormat="1" x14ac:dyDescent="0.3">
      <c r="A2535" s="888" t="s">
        <v>2062</v>
      </c>
      <c r="B2535" s="888" t="s">
        <v>1954</v>
      </c>
      <c r="C2535" s="1008" t="s">
        <v>5327</v>
      </c>
      <c r="D2535" s="888"/>
      <c r="E2535" s="893" t="s">
        <v>3561</v>
      </c>
      <c r="I2535" s="888"/>
      <c r="J2535" s="888"/>
      <c r="K2535" s="888"/>
      <c r="L2535" s="888"/>
      <c r="M2535" s="888"/>
      <c r="N2535" s="888"/>
      <c r="O2535" s="888"/>
      <c r="P2535" s="888"/>
      <c r="Q2535" s="888"/>
      <c r="R2535" s="888"/>
    </row>
    <row r="2536" spans="1:18" s="893" customFormat="1" x14ac:dyDescent="0.3">
      <c r="A2536" s="888" t="s">
        <v>2062</v>
      </c>
      <c r="B2536" s="888" t="s">
        <v>1954</v>
      </c>
      <c r="C2536" s="1008" t="s">
        <v>5328</v>
      </c>
      <c r="D2536" s="888"/>
      <c r="E2536" s="893" t="str">
        <f>$E$2494</f>
        <v>ABQ</v>
      </c>
      <c r="I2536" s="888"/>
      <c r="J2536" s="888"/>
      <c r="K2536" s="888"/>
      <c r="L2536" s="888"/>
      <c r="M2536" s="888"/>
      <c r="N2536" s="888"/>
      <c r="O2536" s="888"/>
      <c r="P2536" s="888"/>
      <c r="Q2536" s="888"/>
      <c r="R2536" s="888"/>
    </row>
    <row r="2537" spans="1:18" s="893" customFormat="1" x14ac:dyDescent="0.3">
      <c r="A2537" s="888" t="s">
        <v>2062</v>
      </c>
      <c r="B2537" s="888" t="s">
        <v>1954</v>
      </c>
      <c r="C2537" s="1008" t="s">
        <v>5329</v>
      </c>
      <c r="D2537" s="888"/>
      <c r="E2537" s="893" t="str">
        <f>$E$2495</f>
        <v>Can. Quebec Avg.</v>
      </c>
      <c r="I2537" s="888"/>
      <c r="J2537" s="888"/>
      <c r="K2537" s="888"/>
      <c r="L2537" s="888"/>
      <c r="M2537" s="888"/>
      <c r="N2537" s="888"/>
      <c r="O2537" s="888"/>
      <c r="P2537" s="888"/>
      <c r="Q2537" s="888"/>
      <c r="R2537" s="888"/>
    </row>
    <row r="2538" spans="1:18" s="893" customFormat="1" x14ac:dyDescent="0.3">
      <c r="A2538" s="888" t="s">
        <v>2062</v>
      </c>
      <c r="B2538" s="888" t="s">
        <v>1954</v>
      </c>
      <c r="C2538" s="1008" t="s">
        <v>5330</v>
      </c>
      <c r="D2538" s="888"/>
      <c r="E2538" s="893" t="s">
        <v>3562</v>
      </c>
      <c r="I2538" s="888"/>
      <c r="J2538" s="888"/>
      <c r="K2538" s="888"/>
      <c r="L2538" s="888"/>
      <c r="M2538" s="888"/>
      <c r="N2538" s="888"/>
      <c r="O2538" s="888"/>
      <c r="P2538" s="888"/>
      <c r="Q2538" s="888"/>
      <c r="R2538" s="888"/>
    </row>
    <row r="2539" spans="1:18" s="893" customFormat="1" x14ac:dyDescent="0.3">
      <c r="A2539" s="888" t="s">
        <v>2062</v>
      </c>
      <c r="B2539" s="888" t="s">
        <v>1954</v>
      </c>
      <c r="C2539" s="1008" t="s">
        <v>5331</v>
      </c>
      <c r="D2539" s="888"/>
      <c r="E2539" s="893" t="str">
        <f>$E$2494</f>
        <v>ABQ</v>
      </c>
      <c r="I2539" s="888"/>
      <c r="J2539" s="888"/>
      <c r="K2539" s="888"/>
      <c r="L2539" s="888"/>
      <c r="M2539" s="888"/>
      <c r="N2539" s="888"/>
      <c r="O2539" s="888"/>
      <c r="P2539" s="888"/>
      <c r="Q2539" s="888"/>
      <c r="R2539" s="888"/>
    </row>
    <row r="2540" spans="1:18" s="893" customFormat="1" x14ac:dyDescent="0.3">
      <c r="A2540" s="888" t="s">
        <v>2062</v>
      </c>
      <c r="B2540" s="888" t="s">
        <v>1954</v>
      </c>
      <c r="C2540" s="1008" t="s">
        <v>5332</v>
      </c>
      <c r="D2540" s="888"/>
      <c r="E2540" s="893" t="str">
        <f>$E$2495</f>
        <v>Can. Quebec Avg.</v>
      </c>
      <c r="I2540" s="888"/>
      <c r="J2540" s="888"/>
      <c r="K2540" s="888"/>
      <c r="L2540" s="888"/>
      <c r="M2540" s="888"/>
      <c r="N2540" s="888"/>
      <c r="O2540" s="888"/>
      <c r="P2540" s="888"/>
      <c r="Q2540" s="888"/>
      <c r="R2540" s="888"/>
    </row>
    <row r="2541" spans="1:18" s="893" customFormat="1" x14ac:dyDescent="0.3">
      <c r="A2541" s="888" t="s">
        <v>2062</v>
      </c>
      <c r="B2541" s="888" t="s">
        <v>1954</v>
      </c>
      <c r="C2541" s="1008" t="s">
        <v>5333</v>
      </c>
      <c r="D2541" s="888"/>
      <c r="E2541" s="893" t="s">
        <v>3563</v>
      </c>
      <c r="I2541" s="888"/>
      <c r="J2541" s="888"/>
      <c r="K2541" s="888"/>
      <c r="L2541" s="888"/>
      <c r="M2541" s="888"/>
      <c r="N2541" s="888"/>
      <c r="O2541" s="888"/>
      <c r="P2541" s="888"/>
      <c r="Q2541" s="888"/>
      <c r="R2541" s="888"/>
    </row>
    <row r="2542" spans="1:18" s="893" customFormat="1" x14ac:dyDescent="0.3">
      <c r="A2542" s="888" t="s">
        <v>2062</v>
      </c>
      <c r="B2542" s="888" t="s">
        <v>1954</v>
      </c>
      <c r="C2542" s="1008" t="s">
        <v>5334</v>
      </c>
      <c r="D2542" s="888"/>
      <c r="E2542" s="893" t="str">
        <f>$E$2494</f>
        <v>ABQ</v>
      </c>
      <c r="I2542" s="888"/>
      <c r="J2542" s="888"/>
      <c r="K2542" s="888"/>
      <c r="L2542" s="888"/>
      <c r="M2542" s="888"/>
      <c r="N2542" s="888"/>
      <c r="O2542" s="888"/>
      <c r="P2542" s="888"/>
      <c r="Q2542" s="888"/>
      <c r="R2542" s="888"/>
    </row>
    <row r="2543" spans="1:18" s="893" customFormat="1" x14ac:dyDescent="0.3">
      <c r="A2543" s="888" t="s">
        <v>2062</v>
      </c>
      <c r="B2543" s="888" t="s">
        <v>1954</v>
      </c>
      <c r="C2543" s="1008" t="s">
        <v>5335</v>
      </c>
      <c r="D2543" s="888"/>
      <c r="E2543" s="893" t="str">
        <f>$E$2495</f>
        <v>Can. Quebec Avg.</v>
      </c>
      <c r="I2543" s="888"/>
      <c r="J2543" s="888"/>
      <c r="K2543" s="888"/>
      <c r="L2543" s="888"/>
      <c r="M2543" s="888"/>
      <c r="N2543" s="888"/>
      <c r="O2543" s="888"/>
      <c r="P2543" s="888"/>
      <c r="Q2543" s="888"/>
      <c r="R2543" s="888"/>
    </row>
    <row r="2544" spans="1:18" s="893" customFormat="1" x14ac:dyDescent="0.3">
      <c r="A2544" s="888" t="s">
        <v>2062</v>
      </c>
      <c r="B2544" s="888" t="s">
        <v>1954</v>
      </c>
      <c r="C2544" s="1008" t="s">
        <v>5336</v>
      </c>
      <c r="D2544" s="888"/>
      <c r="E2544" s="893" t="s">
        <v>3564</v>
      </c>
      <c r="I2544" s="888"/>
      <c r="J2544" s="888"/>
      <c r="K2544" s="888"/>
      <c r="L2544" s="888"/>
      <c r="M2544" s="888"/>
      <c r="N2544" s="888"/>
      <c r="O2544" s="888"/>
      <c r="P2544" s="888"/>
      <c r="Q2544" s="888"/>
      <c r="R2544" s="888"/>
    </row>
    <row r="2545" spans="1:18" s="893" customFormat="1" x14ac:dyDescent="0.3">
      <c r="A2545" s="888" t="s">
        <v>2062</v>
      </c>
      <c r="B2545" s="888" t="s">
        <v>1954</v>
      </c>
      <c r="C2545" s="1008" t="s">
        <v>5337</v>
      </c>
      <c r="D2545" s="888"/>
      <c r="E2545" s="893" t="str">
        <f>$E$2494</f>
        <v>ABQ</v>
      </c>
      <c r="I2545" s="888"/>
      <c r="J2545" s="888"/>
      <c r="K2545" s="888"/>
      <c r="L2545" s="888"/>
      <c r="M2545" s="888"/>
      <c r="N2545" s="888"/>
      <c r="O2545" s="888"/>
      <c r="P2545" s="888"/>
      <c r="Q2545" s="888"/>
      <c r="R2545" s="888"/>
    </row>
    <row r="2546" spans="1:18" s="893" customFormat="1" x14ac:dyDescent="0.3">
      <c r="A2546" s="888" t="s">
        <v>2062</v>
      </c>
      <c r="B2546" s="888" t="s">
        <v>1954</v>
      </c>
      <c r="C2546" s="1008" t="s">
        <v>5338</v>
      </c>
      <c r="D2546" s="888"/>
      <c r="E2546" s="893" t="str">
        <f>$E$2495</f>
        <v>Can. Quebec Avg.</v>
      </c>
      <c r="I2546" s="888"/>
      <c r="J2546" s="888"/>
      <c r="K2546" s="888"/>
      <c r="L2546" s="888"/>
      <c r="M2546" s="888"/>
      <c r="N2546" s="888"/>
      <c r="O2546" s="888"/>
      <c r="P2546" s="888"/>
      <c r="Q2546" s="888"/>
      <c r="R2546" s="888"/>
    </row>
    <row r="2547" spans="1:18" s="893" customFormat="1" x14ac:dyDescent="0.3">
      <c r="A2547" s="888" t="s">
        <v>2062</v>
      </c>
      <c r="B2547" s="888" t="s">
        <v>1954</v>
      </c>
      <c r="C2547" s="1008" t="s">
        <v>5339</v>
      </c>
      <c r="D2547" s="888"/>
      <c r="E2547" s="893" t="s">
        <v>3565</v>
      </c>
      <c r="I2547" s="888"/>
      <c r="J2547" s="888"/>
      <c r="K2547" s="888"/>
      <c r="L2547" s="888"/>
      <c r="M2547" s="888"/>
      <c r="N2547" s="888"/>
      <c r="O2547" s="888"/>
      <c r="P2547" s="888"/>
      <c r="Q2547" s="888"/>
      <c r="R2547" s="888"/>
    </row>
    <row r="2548" spans="1:18" s="893" customFormat="1" x14ac:dyDescent="0.3">
      <c r="A2548" s="888" t="s">
        <v>2062</v>
      </c>
      <c r="B2548" s="888" t="s">
        <v>1954</v>
      </c>
      <c r="C2548" s="1008" t="s">
        <v>5340</v>
      </c>
      <c r="D2548" s="888"/>
      <c r="E2548" s="893" t="str">
        <f>$E$2494</f>
        <v>ABQ</v>
      </c>
      <c r="I2548" s="888"/>
      <c r="J2548" s="888"/>
      <c r="K2548" s="888"/>
      <c r="L2548" s="888"/>
      <c r="M2548" s="888"/>
      <c r="N2548" s="888"/>
      <c r="O2548" s="888"/>
      <c r="P2548" s="888"/>
      <c r="Q2548" s="888"/>
      <c r="R2548" s="888"/>
    </row>
    <row r="2549" spans="1:18" s="893" customFormat="1" x14ac:dyDescent="0.3">
      <c r="A2549" s="888" t="s">
        <v>2062</v>
      </c>
      <c r="B2549" s="888" t="s">
        <v>1954</v>
      </c>
      <c r="C2549" s="1008" t="s">
        <v>5341</v>
      </c>
      <c r="D2549" s="888"/>
      <c r="E2549" s="893" t="str">
        <f>$E$2495</f>
        <v>Can. Quebec Avg.</v>
      </c>
      <c r="I2549" s="888"/>
      <c r="J2549" s="888"/>
      <c r="K2549" s="888"/>
      <c r="L2549" s="888"/>
      <c r="M2549" s="888"/>
      <c r="N2549" s="888"/>
      <c r="O2549" s="888"/>
      <c r="P2549" s="888"/>
      <c r="Q2549" s="888"/>
      <c r="R2549" s="888"/>
    </row>
    <row r="2550" spans="1:18" s="893" customFormat="1" x14ac:dyDescent="0.3">
      <c r="A2550" s="888" t="s">
        <v>2062</v>
      </c>
      <c r="B2550" s="888" t="s">
        <v>1954</v>
      </c>
      <c r="C2550" s="1008" t="s">
        <v>5342</v>
      </c>
      <c r="D2550" s="888"/>
      <c r="E2550" s="893" t="s">
        <v>3566</v>
      </c>
      <c r="I2550" s="888"/>
      <c r="J2550" s="888"/>
      <c r="K2550" s="888"/>
      <c r="L2550" s="888"/>
      <c r="M2550" s="888"/>
      <c r="N2550" s="888"/>
      <c r="O2550" s="888"/>
      <c r="P2550" s="888"/>
      <c r="Q2550" s="888"/>
      <c r="R2550" s="888"/>
    </row>
    <row r="2551" spans="1:18" s="893" customFormat="1" x14ac:dyDescent="0.3">
      <c r="A2551" s="888" t="s">
        <v>2062</v>
      </c>
      <c r="B2551" s="888" t="s">
        <v>1954</v>
      </c>
      <c r="C2551" s="1008" t="s">
        <v>5343</v>
      </c>
      <c r="D2551" s="888"/>
      <c r="E2551" s="893" t="str">
        <f>$E$2494</f>
        <v>ABQ</v>
      </c>
      <c r="I2551" s="888"/>
      <c r="J2551" s="888"/>
      <c r="K2551" s="888"/>
      <c r="L2551" s="888"/>
      <c r="M2551" s="888"/>
      <c r="N2551" s="888"/>
      <c r="O2551" s="888"/>
      <c r="P2551" s="888"/>
      <c r="Q2551" s="888"/>
      <c r="R2551" s="888"/>
    </row>
    <row r="2552" spans="1:18" s="893" customFormat="1" x14ac:dyDescent="0.3">
      <c r="A2552" s="888" t="s">
        <v>2062</v>
      </c>
      <c r="B2552" s="888" t="s">
        <v>1954</v>
      </c>
      <c r="C2552" s="1008" t="s">
        <v>5344</v>
      </c>
      <c r="D2552" s="888"/>
      <c r="E2552" s="893" t="str">
        <f>$E$2495</f>
        <v>Can. Quebec Avg.</v>
      </c>
      <c r="I2552" s="888"/>
      <c r="J2552" s="888"/>
      <c r="K2552" s="888"/>
      <c r="L2552" s="888"/>
      <c r="M2552" s="888"/>
      <c r="N2552" s="888"/>
      <c r="O2552" s="888"/>
      <c r="P2552" s="888"/>
      <c r="Q2552" s="888"/>
      <c r="R2552" s="888"/>
    </row>
    <row r="2553" spans="1:18" s="893" customFormat="1" x14ac:dyDescent="0.3">
      <c r="A2553" s="888" t="s">
        <v>2062</v>
      </c>
      <c r="B2553" s="888" t="s">
        <v>1954</v>
      </c>
      <c r="C2553" s="1008" t="s">
        <v>5345</v>
      </c>
      <c r="D2553" s="888"/>
      <c r="E2553" s="893" t="s">
        <v>3567</v>
      </c>
      <c r="I2553" s="888"/>
      <c r="J2553" s="888"/>
      <c r="K2553" s="888"/>
      <c r="L2553" s="888"/>
      <c r="M2553" s="888"/>
      <c r="N2553" s="888"/>
      <c r="O2553" s="888"/>
      <c r="P2553" s="888"/>
      <c r="Q2553" s="888"/>
      <c r="R2553" s="888"/>
    </row>
    <row r="2554" spans="1:18" s="893" customFormat="1" x14ac:dyDescent="0.3">
      <c r="A2554" s="888" t="s">
        <v>2062</v>
      </c>
      <c r="B2554" s="888" t="s">
        <v>1954</v>
      </c>
      <c r="C2554" s="1008" t="s">
        <v>5346</v>
      </c>
      <c r="D2554" s="888"/>
      <c r="E2554" s="893" t="str">
        <f>$E$2494</f>
        <v>ABQ</v>
      </c>
      <c r="I2554" s="888"/>
      <c r="J2554" s="888"/>
      <c r="K2554" s="888"/>
      <c r="L2554" s="888"/>
      <c r="M2554" s="888"/>
      <c r="N2554" s="888"/>
      <c r="O2554" s="888"/>
      <c r="P2554" s="888"/>
      <c r="Q2554" s="888"/>
      <c r="R2554" s="888"/>
    </row>
    <row r="2555" spans="1:18" s="893" customFormat="1" x14ac:dyDescent="0.3">
      <c r="A2555" s="888" t="s">
        <v>2062</v>
      </c>
      <c r="B2555" s="888" t="s">
        <v>1954</v>
      </c>
      <c r="C2555" s="1008" t="s">
        <v>5347</v>
      </c>
      <c r="D2555" s="888"/>
      <c r="E2555" s="893" t="str">
        <f>$E$2495</f>
        <v>Can. Quebec Avg.</v>
      </c>
      <c r="I2555" s="888"/>
      <c r="J2555" s="888"/>
      <c r="K2555" s="888"/>
      <c r="L2555" s="888"/>
      <c r="M2555" s="888"/>
      <c r="N2555" s="888"/>
      <c r="O2555" s="888"/>
      <c r="P2555" s="888"/>
      <c r="Q2555" s="888"/>
      <c r="R2555" s="888"/>
    </row>
    <row r="2556" spans="1:18" s="893" customFormat="1" x14ac:dyDescent="0.3">
      <c r="A2556" s="888" t="s">
        <v>2062</v>
      </c>
      <c r="B2556" s="888" t="s">
        <v>1954</v>
      </c>
      <c r="C2556" s="1008" t="s">
        <v>5348</v>
      </c>
      <c r="D2556" s="888"/>
      <c r="E2556" s="893" t="s">
        <v>3568</v>
      </c>
      <c r="I2556" s="888"/>
      <c r="J2556" s="888"/>
      <c r="K2556" s="888"/>
      <c r="L2556" s="888"/>
      <c r="M2556" s="888"/>
      <c r="N2556" s="888"/>
      <c r="O2556" s="888"/>
      <c r="P2556" s="888"/>
      <c r="Q2556" s="888"/>
      <c r="R2556" s="888"/>
    </row>
    <row r="2557" spans="1:18" s="893" customFormat="1" x14ac:dyDescent="0.3">
      <c r="A2557" s="888" t="s">
        <v>2062</v>
      </c>
      <c r="B2557" s="888" t="s">
        <v>1954</v>
      </c>
      <c r="C2557" s="1008" t="s">
        <v>5349</v>
      </c>
      <c r="D2557" s="888"/>
      <c r="E2557" s="893" t="s">
        <v>3569</v>
      </c>
      <c r="I2557" s="888"/>
      <c r="J2557" s="888"/>
      <c r="K2557" s="888"/>
      <c r="L2557" s="888"/>
      <c r="M2557" s="888"/>
      <c r="N2557" s="888"/>
      <c r="O2557" s="888"/>
      <c r="P2557" s="888"/>
      <c r="Q2557" s="888"/>
      <c r="R2557" s="888"/>
    </row>
    <row r="2558" spans="1:18" s="893" customFormat="1" x14ac:dyDescent="0.3">
      <c r="A2558" s="888" t="s">
        <v>2062</v>
      </c>
      <c r="B2558" s="888" t="s">
        <v>1954</v>
      </c>
      <c r="C2558" s="1008" t="s">
        <v>5350</v>
      </c>
      <c r="D2558" s="888"/>
      <c r="E2558" s="893" t="s">
        <v>3570</v>
      </c>
      <c r="I2558" s="888"/>
      <c r="J2558" s="888"/>
      <c r="K2558" s="888"/>
      <c r="L2558" s="888"/>
      <c r="M2558" s="888"/>
      <c r="N2558" s="888"/>
      <c r="O2558" s="888"/>
      <c r="P2558" s="888"/>
      <c r="Q2558" s="888"/>
      <c r="R2558" s="888"/>
    </row>
    <row r="2559" spans="1:18" s="893" customFormat="1" x14ac:dyDescent="0.3">
      <c r="A2559" s="888" t="s">
        <v>2062</v>
      </c>
      <c r="B2559" s="888" t="s">
        <v>1954</v>
      </c>
      <c r="C2559" s="1008" t="s">
        <v>5351</v>
      </c>
      <c r="D2559" s="888"/>
      <c r="E2559" s="893" t="s">
        <v>3573</v>
      </c>
      <c r="I2559" s="888"/>
      <c r="J2559" s="888"/>
      <c r="K2559" s="888"/>
      <c r="L2559" s="888"/>
      <c r="M2559" s="888"/>
      <c r="N2559" s="888"/>
      <c r="O2559" s="888"/>
      <c r="P2559" s="888"/>
      <c r="Q2559" s="888"/>
      <c r="R2559" s="888"/>
    </row>
    <row r="2560" spans="1:18" s="893" customFormat="1" x14ac:dyDescent="0.3">
      <c r="A2560" s="888" t="s">
        <v>2062</v>
      </c>
      <c r="B2560" s="888" t="s">
        <v>1954</v>
      </c>
      <c r="C2560" s="1008" t="s">
        <v>5352</v>
      </c>
      <c r="D2560" s="888"/>
      <c r="E2560" s="893" t="str">
        <f>$E$2557</f>
        <v>RMCAO</v>
      </c>
      <c r="I2560" s="888"/>
      <c r="J2560" s="888"/>
      <c r="K2560" s="888"/>
      <c r="L2560" s="888"/>
      <c r="M2560" s="888"/>
      <c r="N2560" s="888"/>
      <c r="O2560" s="888"/>
      <c r="P2560" s="888"/>
      <c r="Q2560" s="888"/>
      <c r="R2560" s="888"/>
    </row>
    <row r="2561" spans="1:18" s="893" customFormat="1" x14ac:dyDescent="0.3">
      <c r="A2561" s="888" t="s">
        <v>2062</v>
      </c>
      <c r="B2561" s="888" t="s">
        <v>1954</v>
      </c>
      <c r="C2561" s="1008" t="s">
        <v>5353</v>
      </c>
      <c r="D2561" s="888"/>
      <c r="E2561" s="893" t="str">
        <f>$E$2558</f>
        <v>Can. Ontario Avg.</v>
      </c>
      <c r="I2561" s="888"/>
      <c r="J2561" s="888"/>
      <c r="K2561" s="888"/>
      <c r="L2561" s="888"/>
      <c r="M2561" s="888"/>
      <c r="N2561" s="888"/>
      <c r="O2561" s="888"/>
      <c r="P2561" s="888"/>
      <c r="Q2561" s="888"/>
      <c r="R2561" s="888"/>
    </row>
    <row r="2562" spans="1:18" s="893" customFormat="1" x14ac:dyDescent="0.3">
      <c r="A2562" s="888" t="s">
        <v>2062</v>
      </c>
      <c r="B2562" s="888" t="s">
        <v>1954</v>
      </c>
      <c r="C2562" s="1008" t="s">
        <v>5354</v>
      </c>
      <c r="D2562" s="888"/>
      <c r="E2562" s="893" t="s">
        <v>3574</v>
      </c>
      <c r="I2562" s="888"/>
      <c r="J2562" s="888"/>
      <c r="K2562" s="888"/>
      <c r="L2562" s="888"/>
      <c r="M2562" s="888"/>
      <c r="N2562" s="888"/>
      <c r="O2562" s="888"/>
      <c r="P2562" s="888"/>
      <c r="Q2562" s="888"/>
      <c r="R2562" s="888"/>
    </row>
    <row r="2563" spans="1:18" s="893" customFormat="1" x14ac:dyDescent="0.3">
      <c r="A2563" s="888" t="s">
        <v>2062</v>
      </c>
      <c r="B2563" s="888" t="s">
        <v>1954</v>
      </c>
      <c r="C2563" s="1008" t="s">
        <v>5355</v>
      </c>
      <c r="D2563" s="888"/>
      <c r="E2563" s="893" t="str">
        <f>$E$2557</f>
        <v>RMCAO</v>
      </c>
      <c r="I2563" s="888"/>
      <c r="J2563" s="888"/>
      <c r="K2563" s="888"/>
      <c r="L2563" s="888"/>
      <c r="M2563" s="888"/>
      <c r="N2563" s="888"/>
      <c r="O2563" s="888"/>
      <c r="P2563" s="888"/>
      <c r="Q2563" s="888"/>
      <c r="R2563" s="888"/>
    </row>
    <row r="2564" spans="1:18" s="893" customFormat="1" x14ac:dyDescent="0.3">
      <c r="A2564" s="888" t="s">
        <v>2062</v>
      </c>
      <c r="B2564" s="888" t="s">
        <v>1954</v>
      </c>
      <c r="C2564" s="1008" t="s">
        <v>5356</v>
      </c>
      <c r="D2564" s="888"/>
      <c r="E2564" s="893" t="str">
        <f>$E$2558</f>
        <v>Can. Ontario Avg.</v>
      </c>
      <c r="I2564" s="888"/>
      <c r="J2564" s="888"/>
      <c r="K2564" s="888"/>
      <c r="L2564" s="888"/>
      <c r="M2564" s="888"/>
      <c r="N2564" s="888"/>
      <c r="O2564" s="888"/>
      <c r="P2564" s="888"/>
      <c r="Q2564" s="888"/>
      <c r="R2564" s="888"/>
    </row>
    <row r="2565" spans="1:18" s="893" customFormat="1" x14ac:dyDescent="0.3">
      <c r="A2565" s="888" t="s">
        <v>2062</v>
      </c>
      <c r="B2565" s="888" t="s">
        <v>1954</v>
      </c>
      <c r="C2565" s="1008" t="s">
        <v>5357</v>
      </c>
      <c r="D2565" s="888"/>
      <c r="E2565" s="893" t="s">
        <v>3575</v>
      </c>
      <c r="I2565" s="888"/>
      <c r="J2565" s="888"/>
      <c r="K2565" s="888"/>
      <c r="L2565" s="888"/>
      <c r="M2565" s="888"/>
      <c r="N2565" s="888"/>
      <c r="O2565" s="888"/>
      <c r="P2565" s="888"/>
      <c r="Q2565" s="888"/>
      <c r="R2565" s="888"/>
    </row>
    <row r="2566" spans="1:18" s="893" customFormat="1" x14ac:dyDescent="0.3">
      <c r="A2566" s="888" t="s">
        <v>2062</v>
      </c>
      <c r="B2566" s="888" t="s">
        <v>1954</v>
      </c>
      <c r="C2566" s="1008" t="s">
        <v>5358</v>
      </c>
      <c r="D2566" s="888"/>
      <c r="E2566" s="893" t="str">
        <f>$E$2557</f>
        <v>RMCAO</v>
      </c>
      <c r="I2566" s="888"/>
      <c r="J2566" s="888"/>
      <c r="K2566" s="888"/>
      <c r="L2566" s="888"/>
      <c r="M2566" s="888"/>
      <c r="N2566" s="888"/>
      <c r="O2566" s="888"/>
      <c r="P2566" s="888"/>
      <c r="Q2566" s="888"/>
      <c r="R2566" s="888"/>
    </row>
    <row r="2567" spans="1:18" s="893" customFormat="1" x14ac:dyDescent="0.3">
      <c r="A2567" s="888" t="s">
        <v>2062</v>
      </c>
      <c r="B2567" s="888" t="s">
        <v>1954</v>
      </c>
      <c r="C2567" s="1008" t="s">
        <v>5359</v>
      </c>
      <c r="D2567" s="888"/>
      <c r="E2567" s="893" t="str">
        <f>$E$2558</f>
        <v>Can. Ontario Avg.</v>
      </c>
      <c r="I2567" s="888"/>
      <c r="J2567" s="888"/>
      <c r="K2567" s="888"/>
      <c r="L2567" s="888"/>
      <c r="M2567" s="888"/>
      <c r="N2567" s="888"/>
      <c r="O2567" s="888"/>
      <c r="P2567" s="888"/>
      <c r="Q2567" s="888"/>
      <c r="R2567" s="888"/>
    </row>
    <row r="2568" spans="1:18" s="893" customFormat="1" x14ac:dyDescent="0.3">
      <c r="A2568" s="888" t="s">
        <v>2062</v>
      </c>
      <c r="B2568" s="888" t="s">
        <v>1954</v>
      </c>
      <c r="C2568" s="1008" t="s">
        <v>5360</v>
      </c>
      <c r="D2568" s="888"/>
      <c r="E2568" s="893" t="s">
        <v>3576</v>
      </c>
      <c r="I2568" s="888"/>
      <c r="J2568" s="888"/>
      <c r="K2568" s="888"/>
      <c r="L2568" s="888"/>
      <c r="M2568" s="888"/>
      <c r="N2568" s="888"/>
      <c r="O2568" s="888"/>
      <c r="P2568" s="888"/>
      <c r="Q2568" s="888"/>
      <c r="R2568" s="888"/>
    </row>
    <row r="2569" spans="1:18" s="893" customFormat="1" x14ac:dyDescent="0.3">
      <c r="A2569" s="888" t="s">
        <v>2062</v>
      </c>
      <c r="B2569" s="888" t="s">
        <v>1954</v>
      </c>
      <c r="C2569" s="1008" t="s">
        <v>5361</v>
      </c>
      <c r="D2569" s="888"/>
      <c r="E2569" s="893" t="str">
        <f>$E$2557</f>
        <v>RMCAO</v>
      </c>
      <c r="I2569" s="888"/>
      <c r="J2569" s="888"/>
      <c r="K2569" s="888"/>
      <c r="L2569" s="888"/>
      <c r="M2569" s="888"/>
      <c r="N2569" s="888"/>
      <c r="O2569" s="888"/>
      <c r="P2569" s="888"/>
      <c r="Q2569" s="888"/>
      <c r="R2569" s="888"/>
    </row>
    <row r="2570" spans="1:18" s="893" customFormat="1" x14ac:dyDescent="0.3">
      <c r="A2570" s="888" t="s">
        <v>2062</v>
      </c>
      <c r="B2570" s="888" t="s">
        <v>1954</v>
      </c>
      <c r="C2570" s="1008" t="s">
        <v>5362</v>
      </c>
      <c r="D2570" s="888"/>
      <c r="E2570" s="893" t="str">
        <f>$E$2558</f>
        <v>Can. Ontario Avg.</v>
      </c>
      <c r="I2570" s="888"/>
      <c r="J2570" s="888"/>
      <c r="K2570" s="888"/>
      <c r="L2570" s="888"/>
      <c r="M2570" s="888"/>
      <c r="N2570" s="888"/>
      <c r="O2570" s="888"/>
      <c r="P2570" s="888"/>
      <c r="Q2570" s="888"/>
      <c r="R2570" s="888"/>
    </row>
    <row r="2571" spans="1:18" s="893" customFormat="1" x14ac:dyDescent="0.3">
      <c r="A2571" s="888" t="s">
        <v>2062</v>
      </c>
      <c r="B2571" s="888" t="s">
        <v>1954</v>
      </c>
      <c r="C2571" s="1008" t="s">
        <v>5104</v>
      </c>
      <c r="D2571" s="888"/>
      <c r="E2571" s="893" t="s">
        <v>3577</v>
      </c>
      <c r="I2571" s="888"/>
      <c r="J2571" s="888"/>
      <c r="K2571" s="888"/>
      <c r="L2571" s="888"/>
      <c r="M2571" s="888"/>
      <c r="N2571" s="888"/>
      <c r="O2571" s="888"/>
      <c r="P2571" s="888"/>
      <c r="Q2571" s="888"/>
      <c r="R2571" s="888"/>
    </row>
    <row r="2572" spans="1:18" s="893" customFormat="1" x14ac:dyDescent="0.3">
      <c r="A2572" s="888" t="s">
        <v>2062</v>
      </c>
      <c r="B2572" s="888" t="s">
        <v>1954</v>
      </c>
      <c r="C2572" s="1008" t="s">
        <v>5363</v>
      </c>
      <c r="D2572" s="888"/>
      <c r="E2572" s="893" t="str">
        <f>$E$2557</f>
        <v>RMCAO</v>
      </c>
      <c r="I2572" s="888"/>
      <c r="J2572" s="888"/>
      <c r="K2572" s="888"/>
      <c r="L2572" s="888"/>
      <c r="M2572" s="888"/>
      <c r="N2572" s="888"/>
      <c r="O2572" s="888"/>
      <c r="P2572" s="888"/>
      <c r="Q2572" s="888"/>
      <c r="R2572" s="888"/>
    </row>
    <row r="2573" spans="1:18" s="893" customFormat="1" x14ac:dyDescent="0.3">
      <c r="A2573" s="888" t="s">
        <v>2062</v>
      </c>
      <c r="B2573" s="888" t="s">
        <v>1954</v>
      </c>
      <c r="C2573" s="1008" t="s">
        <v>5364</v>
      </c>
      <c r="D2573" s="888"/>
      <c r="E2573" s="893" t="str">
        <f>$E$2558</f>
        <v>Can. Ontario Avg.</v>
      </c>
      <c r="I2573" s="888"/>
      <c r="J2573" s="888"/>
      <c r="K2573" s="888"/>
      <c r="L2573" s="888"/>
      <c r="M2573" s="888"/>
      <c r="N2573" s="888"/>
      <c r="O2573" s="888"/>
      <c r="P2573" s="888"/>
      <c r="Q2573" s="888"/>
      <c r="R2573" s="888"/>
    </row>
    <row r="2574" spans="1:18" s="893" customFormat="1" x14ac:dyDescent="0.3">
      <c r="A2574" s="888" t="s">
        <v>2062</v>
      </c>
      <c r="B2574" s="888" t="s">
        <v>1954</v>
      </c>
      <c r="C2574" s="1008" t="s">
        <v>5365</v>
      </c>
      <c r="D2574" s="888"/>
      <c r="E2574" s="893" t="s">
        <v>3578</v>
      </c>
      <c r="I2574" s="888"/>
      <c r="J2574" s="888"/>
      <c r="K2574" s="888"/>
      <c r="L2574" s="888"/>
      <c r="M2574" s="888"/>
      <c r="N2574" s="888"/>
      <c r="O2574" s="888"/>
      <c r="P2574" s="888"/>
      <c r="Q2574" s="888"/>
      <c r="R2574" s="888"/>
    </row>
    <row r="2575" spans="1:18" s="893" customFormat="1" x14ac:dyDescent="0.3">
      <c r="A2575" s="888" t="s">
        <v>2062</v>
      </c>
      <c r="B2575" s="888" t="s">
        <v>1954</v>
      </c>
      <c r="C2575" s="1008" t="s">
        <v>5105</v>
      </c>
      <c r="D2575" s="888"/>
      <c r="E2575" s="893" t="str">
        <f>$E$2557</f>
        <v>RMCAO</v>
      </c>
      <c r="I2575" s="888"/>
      <c r="J2575" s="888"/>
      <c r="K2575" s="888"/>
      <c r="L2575" s="888"/>
      <c r="M2575" s="888"/>
      <c r="N2575" s="888"/>
      <c r="O2575" s="888"/>
      <c r="P2575" s="888"/>
      <c r="Q2575" s="888"/>
      <c r="R2575" s="888"/>
    </row>
    <row r="2576" spans="1:18" s="893" customFormat="1" x14ac:dyDescent="0.3">
      <c r="A2576" s="888" t="s">
        <v>2062</v>
      </c>
      <c r="B2576" s="888" t="s">
        <v>1954</v>
      </c>
      <c r="C2576" s="1008" t="s">
        <v>5366</v>
      </c>
      <c r="D2576" s="888"/>
      <c r="E2576" s="893" t="str">
        <f>$E$2558</f>
        <v>Can. Ontario Avg.</v>
      </c>
      <c r="I2576" s="888"/>
      <c r="J2576" s="888"/>
      <c r="K2576" s="888"/>
      <c r="L2576" s="888"/>
      <c r="M2576" s="888"/>
      <c r="N2576" s="888"/>
      <c r="O2576" s="888"/>
      <c r="P2576" s="888"/>
      <c r="Q2576" s="888"/>
      <c r="R2576" s="888"/>
    </row>
    <row r="2577" spans="1:18" s="893" customFormat="1" x14ac:dyDescent="0.3">
      <c r="A2577" s="888" t="s">
        <v>2062</v>
      </c>
      <c r="B2577" s="888" t="s">
        <v>1954</v>
      </c>
      <c r="C2577" s="1008" t="s">
        <v>5367</v>
      </c>
      <c r="D2577" s="888"/>
      <c r="E2577" s="893" t="s">
        <v>3579</v>
      </c>
      <c r="I2577" s="888"/>
      <c r="J2577" s="888"/>
      <c r="K2577" s="888"/>
      <c r="L2577" s="888"/>
      <c r="M2577" s="888"/>
      <c r="N2577" s="888"/>
      <c r="O2577" s="888"/>
      <c r="P2577" s="888"/>
      <c r="Q2577" s="888"/>
      <c r="R2577" s="888"/>
    </row>
    <row r="2578" spans="1:18" s="893" customFormat="1" x14ac:dyDescent="0.3">
      <c r="A2578" s="888" t="s">
        <v>2062</v>
      </c>
      <c r="B2578" s="888" t="s">
        <v>1954</v>
      </c>
      <c r="C2578" s="1008" t="s">
        <v>5368</v>
      </c>
      <c r="D2578" s="888"/>
      <c r="E2578" s="893" t="str">
        <f>$E$2557</f>
        <v>RMCAO</v>
      </c>
      <c r="I2578" s="888"/>
      <c r="J2578" s="888"/>
      <c r="K2578" s="888"/>
      <c r="L2578" s="888"/>
      <c r="M2578" s="888"/>
      <c r="N2578" s="888"/>
      <c r="O2578" s="888"/>
      <c r="P2578" s="888"/>
      <c r="Q2578" s="888"/>
      <c r="R2578" s="888"/>
    </row>
    <row r="2579" spans="1:18" s="893" customFormat="1" x14ac:dyDescent="0.3">
      <c r="A2579" s="888" t="s">
        <v>2062</v>
      </c>
      <c r="B2579" s="888" t="s">
        <v>1954</v>
      </c>
      <c r="C2579" s="1008" t="s">
        <v>5369</v>
      </c>
      <c r="D2579" s="888"/>
      <c r="E2579" s="893" t="str">
        <f>$E$2558</f>
        <v>Can. Ontario Avg.</v>
      </c>
      <c r="I2579" s="888"/>
      <c r="J2579" s="888"/>
      <c r="K2579" s="888"/>
      <c r="L2579" s="888"/>
      <c r="M2579" s="888"/>
      <c r="N2579" s="888"/>
      <c r="O2579" s="888"/>
      <c r="P2579" s="888"/>
      <c r="Q2579" s="888"/>
      <c r="R2579" s="888"/>
    </row>
    <row r="2580" spans="1:18" s="893" customFormat="1" x14ac:dyDescent="0.3">
      <c r="A2580" s="888" t="s">
        <v>2062</v>
      </c>
      <c r="B2580" s="888" t="s">
        <v>1954</v>
      </c>
      <c r="C2580" s="1008" t="s">
        <v>5370</v>
      </c>
      <c r="D2580" s="888"/>
      <c r="E2580" s="893" t="s">
        <v>3580</v>
      </c>
      <c r="I2580" s="888"/>
      <c r="J2580" s="888"/>
      <c r="K2580" s="888"/>
      <c r="L2580" s="888"/>
      <c r="M2580" s="888"/>
      <c r="N2580" s="888"/>
      <c r="O2580" s="888"/>
      <c r="P2580" s="888"/>
      <c r="Q2580" s="888"/>
      <c r="R2580" s="888"/>
    </row>
    <row r="2581" spans="1:18" s="893" customFormat="1" x14ac:dyDescent="0.3">
      <c r="A2581" s="888" t="s">
        <v>2062</v>
      </c>
      <c r="B2581" s="888" t="s">
        <v>1954</v>
      </c>
      <c r="C2581" s="1008" t="s">
        <v>5371</v>
      </c>
      <c r="D2581" s="888"/>
      <c r="E2581" s="893" t="str">
        <f>$E$2557</f>
        <v>RMCAO</v>
      </c>
      <c r="I2581" s="888"/>
      <c r="J2581" s="888"/>
      <c r="K2581" s="888"/>
      <c r="L2581" s="888"/>
      <c r="M2581" s="888"/>
      <c r="N2581" s="888"/>
      <c r="O2581" s="888"/>
      <c r="P2581" s="888"/>
      <c r="Q2581" s="888"/>
      <c r="R2581" s="888"/>
    </row>
    <row r="2582" spans="1:18" s="893" customFormat="1" x14ac:dyDescent="0.3">
      <c r="A2582" s="888" t="s">
        <v>2062</v>
      </c>
      <c r="B2582" s="888" t="s">
        <v>1954</v>
      </c>
      <c r="C2582" s="1008" t="s">
        <v>5372</v>
      </c>
      <c r="D2582" s="888"/>
      <c r="E2582" s="893" t="str">
        <f>$E$2558</f>
        <v>Can. Ontario Avg.</v>
      </c>
      <c r="I2582" s="888"/>
      <c r="J2582" s="888"/>
      <c r="K2582" s="888"/>
      <c r="L2582" s="888"/>
      <c r="M2582" s="888"/>
      <c r="N2582" s="888"/>
      <c r="O2582" s="888"/>
      <c r="P2582" s="888"/>
      <c r="Q2582" s="888"/>
      <c r="R2582" s="888"/>
    </row>
    <row r="2583" spans="1:18" s="893" customFormat="1" x14ac:dyDescent="0.3">
      <c r="A2583" s="888" t="s">
        <v>2062</v>
      </c>
      <c r="B2583" s="888" t="s">
        <v>1954</v>
      </c>
      <c r="C2583" s="1008" t="s">
        <v>5373</v>
      </c>
      <c r="D2583" s="888"/>
      <c r="E2583" s="893" t="s">
        <v>3581</v>
      </c>
      <c r="I2583" s="888"/>
      <c r="J2583" s="888"/>
      <c r="K2583" s="888"/>
      <c r="L2583" s="888"/>
      <c r="M2583" s="888"/>
      <c r="N2583" s="888"/>
      <c r="O2583" s="888"/>
      <c r="P2583" s="888"/>
      <c r="Q2583" s="888"/>
      <c r="R2583" s="888"/>
    </row>
    <row r="2584" spans="1:18" s="893" customFormat="1" x14ac:dyDescent="0.3">
      <c r="A2584" s="888" t="s">
        <v>2062</v>
      </c>
      <c r="B2584" s="888" t="s">
        <v>1954</v>
      </c>
      <c r="C2584" s="1008" t="s">
        <v>5374</v>
      </c>
      <c r="D2584" s="888"/>
      <c r="E2584" s="893" t="str">
        <f>$E$2557</f>
        <v>RMCAO</v>
      </c>
      <c r="I2584" s="888"/>
      <c r="J2584" s="888"/>
      <c r="K2584" s="888"/>
      <c r="L2584" s="888"/>
      <c r="M2584" s="888"/>
      <c r="N2584" s="888"/>
      <c r="O2584" s="888"/>
      <c r="P2584" s="888"/>
      <c r="Q2584" s="888"/>
      <c r="R2584" s="888"/>
    </row>
    <row r="2585" spans="1:18" s="893" customFormat="1" x14ac:dyDescent="0.3">
      <c r="A2585" s="888" t="s">
        <v>2062</v>
      </c>
      <c r="B2585" s="888" t="s">
        <v>1954</v>
      </c>
      <c r="C2585" s="1008" t="s">
        <v>5375</v>
      </c>
      <c r="D2585" s="888"/>
      <c r="E2585" s="893" t="str">
        <f>$E$2558</f>
        <v>Can. Ontario Avg.</v>
      </c>
      <c r="I2585" s="888"/>
      <c r="J2585" s="888"/>
      <c r="K2585" s="888"/>
      <c r="L2585" s="888"/>
      <c r="M2585" s="888"/>
      <c r="N2585" s="888"/>
      <c r="O2585" s="888"/>
      <c r="P2585" s="888"/>
      <c r="Q2585" s="888"/>
      <c r="R2585" s="888"/>
    </row>
    <row r="2586" spans="1:18" s="893" customFormat="1" x14ac:dyDescent="0.3">
      <c r="A2586" s="888" t="s">
        <v>2062</v>
      </c>
      <c r="B2586" s="888" t="s">
        <v>1954</v>
      </c>
      <c r="C2586" s="1008" t="s">
        <v>5376</v>
      </c>
      <c r="D2586" s="888"/>
      <c r="E2586" s="893" t="s">
        <v>3582</v>
      </c>
      <c r="I2586" s="888"/>
      <c r="J2586" s="888"/>
      <c r="K2586" s="888"/>
      <c r="L2586" s="888"/>
      <c r="M2586" s="888"/>
      <c r="N2586" s="888"/>
      <c r="O2586" s="888"/>
      <c r="P2586" s="888"/>
      <c r="Q2586" s="888"/>
      <c r="R2586" s="888"/>
    </row>
    <row r="2587" spans="1:18" s="893" customFormat="1" x14ac:dyDescent="0.3">
      <c r="A2587" s="888" t="s">
        <v>2062</v>
      </c>
      <c r="B2587" s="888" t="s">
        <v>1954</v>
      </c>
      <c r="C2587" s="1008" t="s">
        <v>5377</v>
      </c>
      <c r="D2587" s="888"/>
      <c r="E2587" s="893" t="str">
        <f>$E$2557</f>
        <v>RMCAO</v>
      </c>
      <c r="I2587" s="888"/>
      <c r="J2587" s="888"/>
      <c r="K2587" s="888"/>
      <c r="L2587" s="888"/>
      <c r="M2587" s="888"/>
      <c r="N2587" s="888"/>
      <c r="O2587" s="888"/>
      <c r="P2587" s="888"/>
      <c r="Q2587" s="888"/>
      <c r="R2587" s="888"/>
    </row>
    <row r="2588" spans="1:18" s="893" customFormat="1" x14ac:dyDescent="0.3">
      <c r="A2588" s="888" t="s">
        <v>2062</v>
      </c>
      <c r="B2588" s="888" t="s">
        <v>1954</v>
      </c>
      <c r="C2588" s="1008" t="s">
        <v>5378</v>
      </c>
      <c r="D2588" s="888"/>
      <c r="E2588" s="893" t="str">
        <f>$E$2558</f>
        <v>Can. Ontario Avg.</v>
      </c>
      <c r="I2588" s="888"/>
      <c r="J2588" s="888"/>
      <c r="K2588" s="888"/>
      <c r="L2588" s="888"/>
      <c r="M2588" s="888"/>
      <c r="N2588" s="888"/>
      <c r="O2588" s="888"/>
      <c r="P2588" s="888"/>
      <c r="Q2588" s="888"/>
      <c r="R2588" s="888"/>
    </row>
    <row r="2589" spans="1:18" s="893" customFormat="1" x14ac:dyDescent="0.3">
      <c r="A2589" s="888" t="s">
        <v>2062</v>
      </c>
      <c r="B2589" s="888" t="s">
        <v>1954</v>
      </c>
      <c r="C2589" s="1008" t="s">
        <v>5379</v>
      </c>
      <c r="D2589" s="888"/>
      <c r="E2589" s="893" t="s">
        <v>3583</v>
      </c>
      <c r="I2589" s="888"/>
      <c r="J2589" s="888"/>
      <c r="K2589" s="888"/>
      <c r="L2589" s="888"/>
      <c r="M2589" s="888"/>
      <c r="N2589" s="888"/>
      <c r="O2589" s="888"/>
      <c r="P2589" s="888"/>
      <c r="Q2589" s="888"/>
      <c r="R2589" s="888"/>
    </row>
    <row r="2590" spans="1:18" s="893" customFormat="1" x14ac:dyDescent="0.3">
      <c r="A2590" s="888" t="s">
        <v>2062</v>
      </c>
      <c r="B2590" s="888" t="s">
        <v>1954</v>
      </c>
      <c r="C2590" s="1008" t="s">
        <v>5380</v>
      </c>
      <c r="D2590" s="888"/>
      <c r="E2590" s="893" t="str">
        <f>$E$2557</f>
        <v>RMCAO</v>
      </c>
      <c r="I2590" s="888"/>
      <c r="J2590" s="888"/>
      <c r="K2590" s="888"/>
      <c r="L2590" s="888"/>
      <c r="M2590" s="888"/>
      <c r="N2590" s="888"/>
      <c r="O2590" s="888"/>
      <c r="P2590" s="888"/>
      <c r="Q2590" s="888"/>
      <c r="R2590" s="888"/>
    </row>
    <row r="2591" spans="1:18" s="893" customFormat="1" x14ac:dyDescent="0.3">
      <c r="A2591" s="888" t="s">
        <v>2062</v>
      </c>
      <c r="B2591" s="888" t="s">
        <v>1954</v>
      </c>
      <c r="C2591" s="1008" t="s">
        <v>5381</v>
      </c>
      <c r="D2591" s="888"/>
      <c r="E2591" s="893" t="str">
        <f>$E$2558</f>
        <v>Can. Ontario Avg.</v>
      </c>
      <c r="I2591" s="888"/>
      <c r="J2591" s="888"/>
      <c r="K2591" s="888"/>
      <c r="L2591" s="888"/>
      <c r="M2591" s="888"/>
      <c r="N2591" s="888"/>
      <c r="O2591" s="888"/>
      <c r="P2591" s="888"/>
      <c r="Q2591" s="888"/>
      <c r="R2591" s="888"/>
    </row>
    <row r="2592" spans="1:18" s="893" customFormat="1" x14ac:dyDescent="0.3">
      <c r="A2592" s="888" t="s">
        <v>2062</v>
      </c>
      <c r="B2592" s="888" t="s">
        <v>1954</v>
      </c>
      <c r="C2592" s="1008" t="s">
        <v>5382</v>
      </c>
      <c r="D2592" s="888"/>
      <c r="E2592" s="893" t="s">
        <v>3584</v>
      </c>
      <c r="I2592" s="888"/>
      <c r="J2592" s="888"/>
      <c r="K2592" s="888"/>
      <c r="L2592" s="888"/>
      <c r="M2592" s="888"/>
      <c r="N2592" s="888"/>
      <c r="O2592" s="888"/>
      <c r="P2592" s="888"/>
      <c r="Q2592" s="888"/>
      <c r="R2592" s="888"/>
    </row>
    <row r="2593" spans="1:18" s="893" customFormat="1" x14ac:dyDescent="0.3">
      <c r="A2593" s="888" t="s">
        <v>2062</v>
      </c>
      <c r="B2593" s="888" t="s">
        <v>1954</v>
      </c>
      <c r="C2593" s="1008" t="s">
        <v>5383</v>
      </c>
      <c r="D2593" s="888"/>
      <c r="E2593" s="893" t="str">
        <f>$E$2557</f>
        <v>RMCAO</v>
      </c>
      <c r="I2593" s="888"/>
      <c r="J2593" s="888"/>
      <c r="K2593" s="888"/>
      <c r="L2593" s="888"/>
      <c r="M2593" s="888"/>
      <c r="N2593" s="888"/>
      <c r="O2593" s="888"/>
      <c r="P2593" s="888"/>
      <c r="Q2593" s="888"/>
      <c r="R2593" s="888"/>
    </row>
    <row r="2594" spans="1:18" s="893" customFormat="1" x14ac:dyDescent="0.3">
      <c r="A2594" s="888" t="s">
        <v>2062</v>
      </c>
      <c r="B2594" s="888" t="s">
        <v>1954</v>
      </c>
      <c r="C2594" s="1008" t="s">
        <v>5384</v>
      </c>
      <c r="D2594" s="888"/>
      <c r="E2594" s="893" t="str">
        <f>$E$2558</f>
        <v>Can. Ontario Avg.</v>
      </c>
      <c r="I2594" s="888"/>
      <c r="J2594" s="888"/>
      <c r="K2594" s="888"/>
      <c r="L2594" s="888"/>
      <c r="M2594" s="888"/>
      <c r="N2594" s="888"/>
      <c r="O2594" s="888"/>
      <c r="P2594" s="888"/>
      <c r="Q2594" s="888"/>
      <c r="R2594" s="888"/>
    </row>
    <row r="2595" spans="1:18" s="893" customFormat="1" x14ac:dyDescent="0.3">
      <c r="A2595" s="888" t="s">
        <v>2062</v>
      </c>
      <c r="B2595" s="888" t="s">
        <v>1954</v>
      </c>
      <c r="C2595" s="1008" t="s">
        <v>5106</v>
      </c>
      <c r="D2595" s="888"/>
      <c r="E2595" s="893" t="s">
        <v>3585</v>
      </c>
      <c r="I2595" s="888"/>
      <c r="J2595" s="888"/>
      <c r="K2595" s="888"/>
      <c r="L2595" s="888"/>
      <c r="M2595" s="888"/>
      <c r="N2595" s="888"/>
      <c r="O2595" s="888"/>
      <c r="P2595" s="888"/>
      <c r="Q2595" s="888"/>
      <c r="R2595" s="888"/>
    </row>
    <row r="2596" spans="1:18" s="893" customFormat="1" x14ac:dyDescent="0.3">
      <c r="A2596" s="888" t="s">
        <v>2062</v>
      </c>
      <c r="B2596" s="888" t="s">
        <v>1954</v>
      </c>
      <c r="C2596" s="1008" t="s">
        <v>5385</v>
      </c>
      <c r="D2596" s="888"/>
      <c r="E2596" s="893" t="str">
        <f>$E$2557</f>
        <v>RMCAO</v>
      </c>
      <c r="I2596" s="888"/>
      <c r="J2596" s="888"/>
      <c r="K2596" s="888"/>
      <c r="L2596" s="888"/>
      <c r="M2596" s="888"/>
      <c r="N2596" s="888"/>
      <c r="O2596" s="888"/>
      <c r="P2596" s="888"/>
      <c r="Q2596" s="888"/>
      <c r="R2596" s="888"/>
    </row>
    <row r="2597" spans="1:18" s="893" customFormat="1" x14ac:dyDescent="0.3">
      <c r="A2597" s="888" t="s">
        <v>2062</v>
      </c>
      <c r="B2597" s="888" t="s">
        <v>1954</v>
      </c>
      <c r="C2597" s="1008" t="s">
        <v>5386</v>
      </c>
      <c r="D2597" s="888"/>
      <c r="E2597" s="893" t="str">
        <f>$E$2558</f>
        <v>Can. Ontario Avg.</v>
      </c>
      <c r="I2597" s="888"/>
      <c r="J2597" s="888"/>
      <c r="K2597" s="888"/>
      <c r="L2597" s="888"/>
      <c r="M2597" s="888"/>
      <c r="N2597" s="888"/>
      <c r="O2597" s="888"/>
      <c r="P2597" s="888"/>
      <c r="Q2597" s="888"/>
      <c r="R2597" s="888"/>
    </row>
    <row r="2598" spans="1:18" s="893" customFormat="1" x14ac:dyDescent="0.3">
      <c r="A2598" s="888" t="s">
        <v>2062</v>
      </c>
      <c r="B2598" s="888" t="s">
        <v>1954</v>
      </c>
      <c r="C2598" s="1008" t="s">
        <v>5387</v>
      </c>
      <c r="D2598" s="888"/>
      <c r="E2598" s="893" t="s">
        <v>3586</v>
      </c>
      <c r="I2598" s="888"/>
      <c r="J2598" s="888"/>
      <c r="K2598" s="888"/>
      <c r="L2598" s="888"/>
      <c r="M2598" s="888"/>
      <c r="N2598" s="888"/>
      <c r="O2598" s="888"/>
      <c r="P2598" s="888"/>
      <c r="Q2598" s="888"/>
      <c r="R2598" s="888"/>
    </row>
    <row r="2599" spans="1:18" s="893" customFormat="1" x14ac:dyDescent="0.3">
      <c r="A2599" s="888" t="s">
        <v>2062</v>
      </c>
      <c r="B2599" s="888" t="s">
        <v>1954</v>
      </c>
      <c r="C2599" s="1008" t="s">
        <v>5107</v>
      </c>
      <c r="D2599" s="888"/>
      <c r="E2599" s="893" t="str">
        <f>$E$2557</f>
        <v>RMCAO</v>
      </c>
      <c r="I2599" s="888"/>
      <c r="J2599" s="888"/>
      <c r="K2599" s="888"/>
      <c r="L2599" s="888"/>
      <c r="M2599" s="888"/>
      <c r="N2599" s="888"/>
      <c r="O2599" s="888"/>
      <c r="P2599" s="888"/>
      <c r="Q2599" s="888"/>
      <c r="R2599" s="888"/>
    </row>
    <row r="2600" spans="1:18" s="893" customFormat="1" x14ac:dyDescent="0.3">
      <c r="A2600" s="888" t="s">
        <v>2062</v>
      </c>
      <c r="B2600" s="888" t="s">
        <v>1954</v>
      </c>
      <c r="C2600" s="1008" t="s">
        <v>5388</v>
      </c>
      <c r="D2600" s="888"/>
      <c r="E2600" s="893" t="str">
        <f>$E$2558</f>
        <v>Can. Ontario Avg.</v>
      </c>
      <c r="I2600" s="888"/>
      <c r="J2600" s="888"/>
      <c r="K2600" s="888"/>
      <c r="L2600" s="888"/>
      <c r="M2600" s="888"/>
      <c r="N2600" s="888"/>
      <c r="O2600" s="888"/>
      <c r="P2600" s="888"/>
      <c r="Q2600" s="888"/>
      <c r="R2600" s="888"/>
    </row>
    <row r="2601" spans="1:18" s="893" customFormat="1" x14ac:dyDescent="0.3">
      <c r="A2601" s="888" t="s">
        <v>2062</v>
      </c>
      <c r="B2601" s="888" t="s">
        <v>1954</v>
      </c>
      <c r="C2601" s="1008" t="s">
        <v>5389</v>
      </c>
      <c r="D2601" s="888"/>
      <c r="E2601" s="893" t="str">
        <f>$E$2556</f>
        <v>Concrete - 25 MPa, GU</v>
      </c>
      <c r="I2601" s="888"/>
      <c r="J2601" s="888"/>
      <c r="K2601" s="888"/>
      <c r="L2601" s="888"/>
      <c r="M2601" s="888"/>
      <c r="N2601" s="888"/>
      <c r="O2601" s="888"/>
      <c r="P2601" s="888"/>
      <c r="Q2601" s="888"/>
      <c r="R2601" s="888"/>
    </row>
    <row r="2602" spans="1:18" s="893" customFormat="1" x14ac:dyDescent="0.3">
      <c r="A2602" s="888" t="s">
        <v>2062</v>
      </c>
      <c r="B2602" s="888" t="s">
        <v>1954</v>
      </c>
      <c r="C2602" s="1008" t="s">
        <v>5390</v>
      </c>
      <c r="D2602" s="888"/>
      <c r="E2602" s="893" t="s">
        <v>3587</v>
      </c>
      <c r="I2602" s="888"/>
      <c r="J2602" s="888"/>
      <c r="K2602" s="888"/>
      <c r="L2602" s="888"/>
      <c r="M2602" s="888"/>
      <c r="N2602" s="888"/>
      <c r="O2602" s="888"/>
      <c r="P2602" s="888"/>
      <c r="Q2602" s="888"/>
      <c r="R2602" s="888"/>
    </row>
    <row r="2603" spans="1:18" s="893" customFormat="1" x14ac:dyDescent="0.3">
      <c r="A2603" s="888" t="s">
        <v>2062</v>
      </c>
      <c r="B2603" s="888" t="s">
        <v>1954</v>
      </c>
      <c r="C2603" s="1008" t="s">
        <v>5391</v>
      </c>
      <c r="D2603" s="888"/>
      <c r="E2603" s="893" t="s">
        <v>3588</v>
      </c>
      <c r="I2603" s="888"/>
      <c r="J2603" s="888"/>
      <c r="K2603" s="888"/>
      <c r="L2603" s="888"/>
      <c r="M2603" s="888"/>
      <c r="N2603" s="888"/>
      <c r="O2603" s="888"/>
      <c r="P2603" s="888"/>
      <c r="Q2603" s="888"/>
      <c r="R2603" s="888"/>
    </row>
    <row r="2604" spans="1:18" s="893" customFormat="1" x14ac:dyDescent="0.3">
      <c r="A2604" s="888" t="s">
        <v>2062</v>
      </c>
      <c r="B2604" s="888" t="s">
        <v>1954</v>
      </c>
      <c r="C2604" s="1008" t="s">
        <v>5392</v>
      </c>
      <c r="D2604" s="888"/>
      <c r="E2604" s="893" t="str">
        <f>$E$2499</f>
        <v>Concrete - 25 MPa, 10% FA, GU</v>
      </c>
      <c r="I2604" s="888"/>
      <c r="J2604" s="888"/>
      <c r="K2604" s="888"/>
      <c r="L2604" s="888"/>
      <c r="M2604" s="888"/>
      <c r="N2604" s="888"/>
      <c r="O2604" s="888"/>
      <c r="P2604" s="888"/>
      <c r="Q2604" s="888"/>
      <c r="R2604" s="888"/>
    </row>
    <row r="2605" spans="1:18" s="893" customFormat="1" x14ac:dyDescent="0.3">
      <c r="A2605" s="888" t="s">
        <v>2062</v>
      </c>
      <c r="B2605" s="888" t="s">
        <v>1954</v>
      </c>
      <c r="C2605" s="1008" t="s">
        <v>5393</v>
      </c>
      <c r="D2605" s="888"/>
      <c r="E2605" s="893" t="str">
        <f>$E$2602</f>
        <v>SRMCA</v>
      </c>
      <c r="I2605" s="888"/>
      <c r="J2605" s="888"/>
      <c r="K2605" s="888"/>
      <c r="L2605" s="888"/>
      <c r="M2605" s="888"/>
      <c r="N2605" s="888"/>
      <c r="O2605" s="888"/>
      <c r="P2605" s="888"/>
      <c r="Q2605" s="888"/>
      <c r="R2605" s="888"/>
    </row>
    <row r="2606" spans="1:18" s="893" customFormat="1" x14ac:dyDescent="0.3">
      <c r="A2606" s="888" t="s">
        <v>2062</v>
      </c>
      <c r="B2606" s="888" t="s">
        <v>1954</v>
      </c>
      <c r="C2606" s="1008" t="s">
        <v>5394</v>
      </c>
      <c r="D2606" s="888"/>
      <c r="E2606" s="893" t="str">
        <f>$E$2603</f>
        <v>Can. Sask Avg.</v>
      </c>
      <c r="I2606" s="888"/>
      <c r="J2606" s="888"/>
      <c r="K2606" s="888"/>
      <c r="L2606" s="888"/>
      <c r="M2606" s="888"/>
      <c r="N2606" s="888"/>
      <c r="O2606" s="888"/>
      <c r="P2606" s="888"/>
      <c r="Q2606" s="888"/>
      <c r="R2606" s="888"/>
    </row>
    <row r="2607" spans="1:18" s="893" customFormat="1" x14ac:dyDescent="0.3">
      <c r="A2607" s="888" t="s">
        <v>2062</v>
      </c>
      <c r="B2607" s="888" t="s">
        <v>1954</v>
      </c>
      <c r="C2607" s="1008" t="s">
        <v>5108</v>
      </c>
      <c r="D2607" s="888"/>
      <c r="E2607" s="893" t="str">
        <f>$E$2505</f>
        <v>Concrete - 25 MPa, 20% FA, GU</v>
      </c>
      <c r="I2607" s="888"/>
      <c r="J2607" s="888"/>
      <c r="K2607" s="888"/>
      <c r="L2607" s="888"/>
      <c r="M2607" s="888"/>
      <c r="N2607" s="888"/>
      <c r="O2607" s="888"/>
      <c r="P2607" s="888"/>
      <c r="Q2607" s="888"/>
      <c r="R2607" s="888"/>
    </row>
    <row r="2608" spans="1:18" s="893" customFormat="1" x14ac:dyDescent="0.3">
      <c r="A2608" s="888" t="s">
        <v>2062</v>
      </c>
      <c r="B2608" s="888" t="s">
        <v>1954</v>
      </c>
      <c r="C2608" s="1008" t="s">
        <v>5395</v>
      </c>
      <c r="D2608" s="888"/>
      <c r="E2608" s="893" t="str">
        <f>$E$2602</f>
        <v>SRMCA</v>
      </c>
      <c r="I2608" s="888"/>
      <c r="J2608" s="888"/>
      <c r="K2608" s="888"/>
      <c r="L2608" s="888"/>
      <c r="M2608" s="888"/>
      <c r="N2608" s="888"/>
      <c r="O2608" s="888"/>
      <c r="P2608" s="888"/>
      <c r="Q2608" s="888"/>
      <c r="R2608" s="888"/>
    </row>
    <row r="2609" spans="1:18" s="893" customFormat="1" x14ac:dyDescent="0.3">
      <c r="A2609" s="888" t="s">
        <v>2062</v>
      </c>
      <c r="B2609" s="888" t="s">
        <v>1954</v>
      </c>
      <c r="C2609" s="1008" t="s">
        <v>5396</v>
      </c>
      <c r="D2609" s="888"/>
      <c r="E2609" s="893" t="str">
        <f>$E$2603</f>
        <v>Can. Sask Avg.</v>
      </c>
      <c r="I2609" s="888"/>
      <c r="J2609" s="888"/>
      <c r="K2609" s="888"/>
      <c r="L2609" s="888"/>
      <c r="M2609" s="888"/>
      <c r="N2609" s="888"/>
      <c r="O2609" s="888"/>
      <c r="P2609" s="888"/>
      <c r="Q2609" s="888"/>
      <c r="R2609" s="888"/>
    </row>
    <row r="2610" spans="1:18" s="893" customFormat="1" x14ac:dyDescent="0.3">
      <c r="A2610" s="888" t="s">
        <v>2062</v>
      </c>
      <c r="B2610" s="888" t="s">
        <v>1954</v>
      </c>
      <c r="C2610" s="1008" t="s">
        <v>5397</v>
      </c>
      <c r="D2610" s="888"/>
      <c r="E2610" s="893" t="str">
        <f>$E$2511</f>
        <v>Concrete - 25 MPa, 30% FA, GU</v>
      </c>
      <c r="I2610" s="888"/>
      <c r="J2610" s="888"/>
      <c r="K2610" s="888"/>
      <c r="L2610" s="888"/>
      <c r="M2610" s="888"/>
      <c r="N2610" s="888"/>
      <c r="O2610" s="888"/>
      <c r="P2610" s="888"/>
      <c r="Q2610" s="888"/>
      <c r="R2610" s="888"/>
    </row>
    <row r="2611" spans="1:18" s="893" customFormat="1" x14ac:dyDescent="0.3">
      <c r="A2611" s="888" t="s">
        <v>2062</v>
      </c>
      <c r="B2611" s="888" t="s">
        <v>1954</v>
      </c>
      <c r="C2611" s="1008" t="s">
        <v>5109</v>
      </c>
      <c r="D2611" s="888"/>
      <c r="E2611" s="893" t="str">
        <f>$E$2602</f>
        <v>SRMCA</v>
      </c>
      <c r="I2611" s="888"/>
      <c r="J2611" s="888"/>
      <c r="K2611" s="888"/>
      <c r="L2611" s="888"/>
      <c r="M2611" s="888"/>
      <c r="N2611" s="888"/>
      <c r="O2611" s="888"/>
      <c r="P2611" s="888"/>
      <c r="Q2611" s="888"/>
      <c r="R2611" s="888"/>
    </row>
    <row r="2612" spans="1:18" s="893" customFormat="1" x14ac:dyDescent="0.3">
      <c r="A2612" s="888" t="s">
        <v>2062</v>
      </c>
      <c r="B2612" s="888" t="s">
        <v>1954</v>
      </c>
      <c r="C2612" s="1008" t="s">
        <v>5398</v>
      </c>
      <c r="D2612" s="888"/>
      <c r="E2612" s="893" t="str">
        <f>$E$2603</f>
        <v>Can. Sask Avg.</v>
      </c>
      <c r="I2612" s="888"/>
      <c r="J2612" s="888"/>
      <c r="K2612" s="888"/>
      <c r="L2612" s="888"/>
      <c r="M2612" s="888"/>
      <c r="N2612" s="888"/>
      <c r="O2612" s="888"/>
      <c r="P2612" s="888"/>
      <c r="Q2612" s="888"/>
      <c r="R2612" s="888"/>
    </row>
    <row r="2613" spans="1:18" s="893" customFormat="1" x14ac:dyDescent="0.3">
      <c r="A2613" s="888" t="s">
        <v>2062</v>
      </c>
      <c r="B2613" s="888" t="s">
        <v>1954</v>
      </c>
      <c r="C2613" s="1008" t="s">
        <v>5399</v>
      </c>
      <c r="D2613" s="888"/>
      <c r="E2613" s="893" t="s">
        <v>3590</v>
      </c>
      <c r="I2613" s="888"/>
      <c r="J2613" s="888"/>
      <c r="K2613" s="888"/>
      <c r="L2613" s="888"/>
      <c r="M2613" s="888"/>
      <c r="N2613" s="888"/>
      <c r="O2613" s="888"/>
      <c r="P2613" s="888"/>
      <c r="Q2613" s="888"/>
      <c r="R2613" s="888"/>
    </row>
    <row r="2614" spans="1:18" s="893" customFormat="1" x14ac:dyDescent="0.3">
      <c r="A2614" s="888" t="s">
        <v>2062</v>
      </c>
      <c r="B2614" s="888" t="s">
        <v>1954</v>
      </c>
      <c r="C2614" s="1008" t="s">
        <v>5400</v>
      </c>
      <c r="D2614" s="888"/>
      <c r="E2614" s="893" t="str">
        <f>$E$2602</f>
        <v>SRMCA</v>
      </c>
      <c r="I2614" s="888"/>
      <c r="J2614" s="888"/>
      <c r="K2614" s="888"/>
      <c r="L2614" s="888"/>
      <c r="M2614" s="888"/>
      <c r="N2614" s="888"/>
      <c r="O2614" s="888"/>
      <c r="P2614" s="888"/>
      <c r="Q2614" s="888"/>
      <c r="R2614" s="888"/>
    </row>
    <row r="2615" spans="1:18" s="893" customFormat="1" x14ac:dyDescent="0.3">
      <c r="A2615" s="888" t="s">
        <v>2062</v>
      </c>
      <c r="B2615" s="888" t="s">
        <v>1954</v>
      </c>
      <c r="C2615" s="1008" t="s">
        <v>5401</v>
      </c>
      <c r="D2615" s="888"/>
      <c r="E2615" s="893" t="str">
        <f>$E$2603</f>
        <v>Can. Sask Avg.</v>
      </c>
      <c r="I2615" s="888"/>
      <c r="J2615" s="888"/>
      <c r="K2615" s="888"/>
      <c r="L2615" s="888"/>
      <c r="M2615" s="888"/>
      <c r="N2615" s="888"/>
      <c r="O2615" s="888"/>
      <c r="P2615" s="888"/>
      <c r="Q2615" s="888"/>
      <c r="R2615" s="888"/>
    </row>
    <row r="2616" spans="1:18" s="893" customFormat="1" x14ac:dyDescent="0.3">
      <c r="A2616" s="888" t="s">
        <v>2062</v>
      </c>
      <c r="B2616" s="888" t="s">
        <v>1954</v>
      </c>
      <c r="C2616" s="1008" t="s">
        <v>5402</v>
      </c>
      <c r="D2616" s="888"/>
      <c r="E2616" s="893" t="str">
        <f>$E$2571</f>
        <v>Concrete - 30 MPa, GU</v>
      </c>
      <c r="I2616" s="888"/>
      <c r="J2616" s="888"/>
      <c r="K2616" s="888"/>
      <c r="L2616" s="888"/>
      <c r="M2616" s="888"/>
      <c r="N2616" s="888"/>
      <c r="O2616" s="888"/>
      <c r="P2616" s="888"/>
      <c r="Q2616" s="888"/>
      <c r="R2616" s="888"/>
    </row>
    <row r="2617" spans="1:18" s="893" customFormat="1" x14ac:dyDescent="0.3">
      <c r="A2617" s="888" t="s">
        <v>2062</v>
      </c>
      <c r="B2617" s="888" t="s">
        <v>1954</v>
      </c>
      <c r="C2617" s="1008" t="s">
        <v>5403</v>
      </c>
      <c r="D2617" s="888"/>
      <c r="E2617" s="893" t="str">
        <f>$E$2602</f>
        <v>SRMCA</v>
      </c>
      <c r="I2617" s="888"/>
      <c r="J2617" s="888"/>
      <c r="K2617" s="888"/>
      <c r="L2617" s="888"/>
      <c r="M2617" s="888"/>
      <c r="N2617" s="888"/>
      <c r="O2617" s="888"/>
      <c r="P2617" s="888"/>
      <c r="Q2617" s="888"/>
      <c r="R2617" s="888"/>
    </row>
    <row r="2618" spans="1:18" s="893" customFormat="1" x14ac:dyDescent="0.3">
      <c r="A2618" s="888" t="s">
        <v>2062</v>
      </c>
      <c r="B2618" s="888" t="s">
        <v>1954</v>
      </c>
      <c r="C2618" s="1008" t="s">
        <v>5404</v>
      </c>
      <c r="D2618" s="888"/>
      <c r="E2618" s="893" t="str">
        <f>$E$2603</f>
        <v>Can. Sask Avg.</v>
      </c>
      <c r="I2618" s="888"/>
      <c r="J2618" s="888"/>
      <c r="K2618" s="888"/>
      <c r="L2618" s="888"/>
      <c r="M2618" s="888"/>
      <c r="N2618" s="888"/>
      <c r="O2618" s="888"/>
      <c r="P2618" s="888"/>
      <c r="Q2618" s="888"/>
      <c r="R2618" s="888"/>
    </row>
    <row r="2619" spans="1:18" s="893" customFormat="1" x14ac:dyDescent="0.3">
      <c r="A2619" s="888" t="s">
        <v>2062</v>
      </c>
      <c r="B2619" s="888" t="s">
        <v>1954</v>
      </c>
      <c r="C2619" s="1008" t="s">
        <v>5110</v>
      </c>
      <c r="D2619" s="888"/>
      <c r="E2619" s="893" t="str">
        <f>$E$2520</f>
        <v>Concrete - 30 MPa, 10% FA, GU</v>
      </c>
      <c r="I2619" s="888"/>
      <c r="J2619" s="888"/>
      <c r="K2619" s="888"/>
      <c r="L2619" s="888"/>
      <c r="M2619" s="888"/>
      <c r="N2619" s="888"/>
      <c r="O2619" s="888"/>
      <c r="P2619" s="888"/>
      <c r="Q2619" s="888"/>
      <c r="R2619" s="888"/>
    </row>
    <row r="2620" spans="1:18" s="893" customFormat="1" x14ac:dyDescent="0.3">
      <c r="A2620" s="888" t="s">
        <v>2062</v>
      </c>
      <c r="B2620" s="888" t="s">
        <v>1954</v>
      </c>
      <c r="C2620" s="1008" t="s">
        <v>5405</v>
      </c>
      <c r="D2620" s="888"/>
      <c r="E2620" s="893" t="str">
        <f>$E$2602</f>
        <v>SRMCA</v>
      </c>
      <c r="I2620" s="888"/>
      <c r="J2620" s="888"/>
      <c r="K2620" s="888"/>
      <c r="L2620" s="888"/>
      <c r="M2620" s="888"/>
      <c r="N2620" s="888"/>
      <c r="O2620" s="888"/>
      <c r="P2620" s="888"/>
      <c r="Q2620" s="888"/>
      <c r="R2620" s="888"/>
    </row>
    <row r="2621" spans="1:18" s="893" customFormat="1" x14ac:dyDescent="0.3">
      <c r="A2621" s="888" t="s">
        <v>2062</v>
      </c>
      <c r="B2621" s="888" t="s">
        <v>1954</v>
      </c>
      <c r="C2621" s="1008" t="s">
        <v>5406</v>
      </c>
      <c r="D2621" s="888"/>
      <c r="E2621" s="893" t="str">
        <f>$E$2603</f>
        <v>Can. Sask Avg.</v>
      </c>
      <c r="I2621" s="888"/>
      <c r="J2621" s="888"/>
      <c r="K2621" s="888"/>
      <c r="L2621" s="888"/>
      <c r="M2621" s="888"/>
      <c r="N2621" s="888"/>
      <c r="O2621" s="888"/>
      <c r="P2621" s="888"/>
      <c r="Q2621" s="888"/>
      <c r="R2621" s="888"/>
    </row>
    <row r="2622" spans="1:18" s="893" customFormat="1" x14ac:dyDescent="0.3">
      <c r="A2622" s="888" t="s">
        <v>2062</v>
      </c>
      <c r="B2622" s="888" t="s">
        <v>1954</v>
      </c>
      <c r="C2622" s="1008" t="s">
        <v>5407</v>
      </c>
      <c r="D2622" s="888"/>
      <c r="E2622" s="893" t="str">
        <f>$E$2526</f>
        <v>Concrete - 30 MPa, 20% FA, GU</v>
      </c>
      <c r="I2622" s="888"/>
      <c r="J2622" s="888"/>
      <c r="K2622" s="888"/>
      <c r="L2622" s="888"/>
      <c r="M2622" s="888"/>
      <c r="N2622" s="888"/>
      <c r="O2622" s="888"/>
      <c r="P2622" s="888"/>
      <c r="Q2622" s="888"/>
      <c r="R2622" s="888"/>
    </row>
    <row r="2623" spans="1:18" s="893" customFormat="1" x14ac:dyDescent="0.3">
      <c r="A2623" s="888" t="s">
        <v>2062</v>
      </c>
      <c r="B2623" s="888" t="s">
        <v>1954</v>
      </c>
      <c r="C2623" s="1008" t="s">
        <v>5408</v>
      </c>
      <c r="D2623" s="888"/>
      <c r="E2623" s="893" t="str">
        <f>$E$2602</f>
        <v>SRMCA</v>
      </c>
      <c r="I2623" s="888"/>
      <c r="J2623" s="888"/>
      <c r="K2623" s="888"/>
      <c r="L2623" s="888"/>
      <c r="M2623" s="888"/>
      <c r="N2623" s="888"/>
      <c r="O2623" s="888"/>
      <c r="P2623" s="888"/>
      <c r="Q2623" s="888"/>
      <c r="R2623" s="888"/>
    </row>
    <row r="2624" spans="1:18" s="893" customFormat="1" x14ac:dyDescent="0.3">
      <c r="A2624" s="888" t="s">
        <v>2062</v>
      </c>
      <c r="B2624" s="888" t="s">
        <v>1954</v>
      </c>
      <c r="C2624" s="1008" t="s">
        <v>5409</v>
      </c>
      <c r="D2624" s="888"/>
      <c r="E2624" s="893" t="str">
        <f>$E$2603</f>
        <v>Can. Sask Avg.</v>
      </c>
      <c r="I2624" s="888"/>
      <c r="J2624" s="888"/>
      <c r="K2624" s="888"/>
      <c r="L2624" s="888"/>
      <c r="M2624" s="888"/>
      <c r="N2624" s="888"/>
      <c r="O2624" s="888"/>
      <c r="P2624" s="888"/>
      <c r="Q2624" s="888"/>
      <c r="R2624" s="888"/>
    </row>
    <row r="2625" spans="1:18" s="893" customFormat="1" x14ac:dyDescent="0.3">
      <c r="A2625" s="888" t="s">
        <v>2062</v>
      </c>
      <c r="B2625" s="888" t="s">
        <v>1954</v>
      </c>
      <c r="C2625" s="1008" t="s">
        <v>5410</v>
      </c>
      <c r="D2625" s="888"/>
      <c r="E2625" s="893" t="str">
        <f>$E$2532</f>
        <v>Concrete - 30 MPa, 30% FA, GU</v>
      </c>
      <c r="I2625" s="888"/>
      <c r="J2625" s="888"/>
      <c r="K2625" s="888"/>
      <c r="L2625" s="888"/>
      <c r="M2625" s="888"/>
      <c r="N2625" s="888"/>
      <c r="O2625" s="888"/>
      <c r="P2625" s="888"/>
      <c r="Q2625" s="888"/>
      <c r="R2625" s="888"/>
    </row>
    <row r="2626" spans="1:18" s="893" customFormat="1" x14ac:dyDescent="0.3">
      <c r="A2626" s="888" t="s">
        <v>2062</v>
      </c>
      <c r="B2626" s="888" t="s">
        <v>1954</v>
      </c>
      <c r="C2626" s="1008" t="s">
        <v>5411</v>
      </c>
      <c r="D2626" s="888"/>
      <c r="E2626" s="893" t="str">
        <f>$E$2602</f>
        <v>SRMCA</v>
      </c>
      <c r="I2626" s="888"/>
      <c r="J2626" s="888"/>
      <c r="K2626" s="888"/>
      <c r="L2626" s="888"/>
      <c r="M2626" s="888"/>
      <c r="N2626" s="888"/>
      <c r="O2626" s="888"/>
      <c r="P2626" s="888"/>
      <c r="Q2626" s="888"/>
      <c r="R2626" s="888"/>
    </row>
    <row r="2627" spans="1:18" s="893" customFormat="1" x14ac:dyDescent="0.3">
      <c r="A2627" s="888" t="s">
        <v>2062</v>
      </c>
      <c r="B2627" s="888" t="s">
        <v>1954</v>
      </c>
      <c r="C2627" s="1008" t="s">
        <v>5412</v>
      </c>
      <c r="D2627" s="888"/>
      <c r="E2627" s="893" t="str">
        <f>$E$2603</f>
        <v>Can. Sask Avg.</v>
      </c>
      <c r="I2627" s="888"/>
      <c r="J2627" s="888"/>
      <c r="K2627" s="888"/>
      <c r="L2627" s="888"/>
      <c r="M2627" s="888"/>
      <c r="N2627" s="888"/>
      <c r="O2627" s="888"/>
      <c r="P2627" s="888"/>
      <c r="Q2627" s="888"/>
      <c r="R2627" s="888"/>
    </row>
    <row r="2628" spans="1:18" s="893" customFormat="1" x14ac:dyDescent="0.3">
      <c r="A2628" s="888" t="s">
        <v>2062</v>
      </c>
      <c r="B2628" s="888" t="s">
        <v>1954</v>
      </c>
      <c r="C2628" s="1008" t="s">
        <v>5413</v>
      </c>
      <c r="D2628" s="888"/>
      <c r="E2628" s="893" t="s">
        <v>3591</v>
      </c>
      <c r="I2628" s="888"/>
      <c r="J2628" s="888"/>
      <c r="K2628" s="888"/>
      <c r="L2628" s="888"/>
      <c r="M2628" s="888"/>
      <c r="N2628" s="888"/>
      <c r="O2628" s="888"/>
      <c r="P2628" s="888"/>
      <c r="Q2628" s="888"/>
      <c r="R2628" s="888"/>
    </row>
    <row r="2629" spans="1:18" s="893" customFormat="1" x14ac:dyDescent="0.3">
      <c r="A2629" s="888" t="s">
        <v>2062</v>
      </c>
      <c r="B2629" s="888" t="s">
        <v>1954</v>
      </c>
      <c r="C2629" s="1008" t="s">
        <v>5414</v>
      </c>
      <c r="D2629" s="888"/>
      <c r="E2629" s="893" t="str">
        <f>$E$2602</f>
        <v>SRMCA</v>
      </c>
      <c r="I2629" s="888"/>
      <c r="J2629" s="888"/>
      <c r="K2629" s="888"/>
      <c r="L2629" s="888"/>
      <c r="M2629" s="888"/>
      <c r="N2629" s="888"/>
      <c r="O2629" s="888"/>
      <c r="P2629" s="888"/>
      <c r="Q2629" s="888"/>
      <c r="R2629" s="888"/>
    </row>
    <row r="2630" spans="1:18" s="893" customFormat="1" x14ac:dyDescent="0.3">
      <c r="A2630" s="888" t="s">
        <v>2062</v>
      </c>
      <c r="B2630" s="888" t="s">
        <v>1954</v>
      </c>
      <c r="C2630" s="1008" t="s">
        <v>5415</v>
      </c>
      <c r="D2630" s="888"/>
      <c r="E2630" s="893" t="str">
        <f>$E$2603</f>
        <v>Can. Sask Avg.</v>
      </c>
      <c r="I2630" s="888"/>
      <c r="J2630" s="888"/>
      <c r="K2630" s="888"/>
      <c r="L2630" s="888"/>
      <c r="M2630" s="888"/>
      <c r="N2630" s="888"/>
      <c r="O2630" s="888"/>
      <c r="P2630" s="888"/>
      <c r="Q2630" s="888"/>
      <c r="R2630" s="888"/>
    </row>
    <row r="2631" spans="1:18" s="893" customFormat="1" x14ac:dyDescent="0.3">
      <c r="A2631" s="888" t="s">
        <v>2062</v>
      </c>
      <c r="B2631" s="888" t="s">
        <v>1954</v>
      </c>
      <c r="C2631" s="1008" t="s">
        <v>5416</v>
      </c>
      <c r="D2631" s="888"/>
      <c r="E2631" s="893" t="str">
        <f>$E$2586</f>
        <v>Concrete - 35 MPa, GU</v>
      </c>
      <c r="I2631" s="888"/>
      <c r="J2631" s="888"/>
      <c r="K2631" s="888"/>
      <c r="L2631" s="888"/>
      <c r="M2631" s="888"/>
      <c r="N2631" s="888"/>
      <c r="O2631" s="888"/>
      <c r="P2631" s="888"/>
      <c r="Q2631" s="888"/>
      <c r="R2631" s="888"/>
    </row>
    <row r="2632" spans="1:18" s="893" customFormat="1" x14ac:dyDescent="0.3">
      <c r="A2632" s="888" t="s">
        <v>2062</v>
      </c>
      <c r="B2632" s="888" t="s">
        <v>1954</v>
      </c>
      <c r="C2632" s="1008" t="s">
        <v>5417</v>
      </c>
      <c r="D2632" s="888"/>
      <c r="E2632" s="893" t="str">
        <f>$E$2602</f>
        <v>SRMCA</v>
      </c>
      <c r="I2632" s="888"/>
      <c r="J2632" s="888"/>
      <c r="K2632" s="888"/>
      <c r="L2632" s="888"/>
      <c r="M2632" s="888"/>
      <c r="N2632" s="888"/>
      <c r="O2632" s="888"/>
      <c r="P2632" s="888"/>
      <c r="Q2632" s="888"/>
      <c r="R2632" s="888"/>
    </row>
    <row r="2633" spans="1:18" s="893" customFormat="1" x14ac:dyDescent="0.3">
      <c r="A2633" s="888" t="s">
        <v>2062</v>
      </c>
      <c r="B2633" s="888" t="s">
        <v>1954</v>
      </c>
      <c r="C2633" s="1008" t="s">
        <v>5418</v>
      </c>
      <c r="D2633" s="888"/>
      <c r="E2633" s="893" t="str">
        <f>$E$2603</f>
        <v>Can. Sask Avg.</v>
      </c>
      <c r="I2633" s="888"/>
      <c r="J2633" s="888"/>
      <c r="K2633" s="888"/>
      <c r="L2633" s="888"/>
      <c r="M2633" s="888"/>
      <c r="N2633" s="888"/>
      <c r="O2633" s="888"/>
      <c r="P2633" s="888"/>
      <c r="Q2633" s="888"/>
      <c r="R2633" s="888"/>
    </row>
    <row r="2634" spans="1:18" s="893" customFormat="1" x14ac:dyDescent="0.3">
      <c r="A2634" s="888" t="s">
        <v>2062</v>
      </c>
      <c r="B2634" s="888" t="s">
        <v>1954</v>
      </c>
      <c r="C2634" s="1008" t="s">
        <v>5419</v>
      </c>
      <c r="D2634" s="888"/>
      <c r="E2634" s="893" t="str">
        <f>$E$2541</f>
        <v>Concrete - 35 MPa, 10% FA, GU</v>
      </c>
      <c r="I2634" s="888"/>
      <c r="J2634" s="888"/>
      <c r="K2634" s="888"/>
      <c r="L2634" s="888"/>
      <c r="M2634" s="888"/>
      <c r="N2634" s="888"/>
      <c r="O2634" s="888"/>
      <c r="P2634" s="888"/>
      <c r="Q2634" s="888"/>
      <c r="R2634" s="888"/>
    </row>
    <row r="2635" spans="1:18" s="893" customFormat="1" x14ac:dyDescent="0.3">
      <c r="A2635" s="888" t="s">
        <v>2062</v>
      </c>
      <c r="B2635" s="888" t="s">
        <v>1954</v>
      </c>
      <c r="C2635" s="1008" t="s">
        <v>5420</v>
      </c>
      <c r="D2635" s="888"/>
      <c r="E2635" s="893" t="str">
        <f>$E$2602</f>
        <v>SRMCA</v>
      </c>
      <c r="I2635" s="888"/>
      <c r="J2635" s="888"/>
      <c r="K2635" s="888"/>
      <c r="L2635" s="888"/>
      <c r="M2635" s="888"/>
      <c r="N2635" s="888"/>
      <c r="O2635" s="888"/>
      <c r="P2635" s="888"/>
      <c r="Q2635" s="888"/>
      <c r="R2635" s="888"/>
    </row>
    <row r="2636" spans="1:18" s="893" customFormat="1" x14ac:dyDescent="0.3">
      <c r="A2636" s="888" t="s">
        <v>2062</v>
      </c>
      <c r="B2636" s="888" t="s">
        <v>1954</v>
      </c>
      <c r="C2636" s="1008" t="s">
        <v>5421</v>
      </c>
      <c r="D2636" s="888"/>
      <c r="E2636" s="893" t="str">
        <f>$E$2603</f>
        <v>Can. Sask Avg.</v>
      </c>
      <c r="I2636" s="888"/>
      <c r="J2636" s="888"/>
      <c r="K2636" s="888"/>
      <c r="L2636" s="888"/>
      <c r="M2636" s="888"/>
      <c r="N2636" s="888"/>
      <c r="O2636" s="888"/>
      <c r="P2636" s="888"/>
      <c r="Q2636" s="888"/>
      <c r="R2636" s="888"/>
    </row>
    <row r="2637" spans="1:18" s="893" customFormat="1" x14ac:dyDescent="0.3">
      <c r="A2637" s="888" t="s">
        <v>2062</v>
      </c>
      <c r="B2637" s="888" t="s">
        <v>1954</v>
      </c>
      <c r="C2637" s="1008" t="s">
        <v>5422</v>
      </c>
      <c r="D2637" s="888"/>
      <c r="E2637" s="893" t="str">
        <f>$E$2547</f>
        <v>Concrete - 35 MPa, 20% FA, GU</v>
      </c>
      <c r="I2637" s="888"/>
      <c r="J2637" s="888"/>
      <c r="K2637" s="888"/>
      <c r="L2637" s="888"/>
      <c r="M2637" s="888"/>
      <c r="N2637" s="888"/>
      <c r="O2637" s="888"/>
      <c r="P2637" s="888"/>
      <c r="Q2637" s="888"/>
      <c r="R2637" s="888"/>
    </row>
    <row r="2638" spans="1:18" s="893" customFormat="1" x14ac:dyDescent="0.3">
      <c r="A2638" s="888" t="s">
        <v>2062</v>
      </c>
      <c r="B2638" s="888" t="s">
        <v>1954</v>
      </c>
      <c r="C2638" s="1008" t="s">
        <v>5423</v>
      </c>
      <c r="D2638" s="888"/>
      <c r="E2638" s="893" t="str">
        <f>$E$2602</f>
        <v>SRMCA</v>
      </c>
      <c r="I2638" s="888"/>
      <c r="J2638" s="888"/>
      <c r="K2638" s="888"/>
      <c r="L2638" s="888"/>
      <c r="M2638" s="888"/>
      <c r="N2638" s="888"/>
      <c r="O2638" s="888"/>
      <c r="P2638" s="888"/>
      <c r="Q2638" s="888"/>
      <c r="R2638" s="888"/>
    </row>
    <row r="2639" spans="1:18" s="893" customFormat="1" x14ac:dyDescent="0.3">
      <c r="A2639" s="888" t="s">
        <v>2062</v>
      </c>
      <c r="B2639" s="888" t="s">
        <v>1954</v>
      </c>
      <c r="C2639" s="1008" t="s">
        <v>5424</v>
      </c>
      <c r="D2639" s="888"/>
      <c r="E2639" s="893" t="str">
        <f>$E$2603</f>
        <v>Can. Sask Avg.</v>
      </c>
      <c r="I2639" s="888"/>
      <c r="J2639" s="888"/>
      <c r="K2639" s="888"/>
      <c r="L2639" s="888"/>
      <c r="M2639" s="888"/>
      <c r="N2639" s="888"/>
      <c r="O2639" s="888"/>
      <c r="P2639" s="888"/>
      <c r="Q2639" s="888"/>
      <c r="R2639" s="888"/>
    </row>
    <row r="2640" spans="1:18" s="893" customFormat="1" x14ac:dyDescent="0.3">
      <c r="A2640" s="888" t="s">
        <v>2062</v>
      </c>
      <c r="B2640" s="888" t="s">
        <v>1954</v>
      </c>
      <c r="C2640" s="1008" t="s">
        <v>5425</v>
      </c>
      <c r="D2640" s="888"/>
      <c r="E2640" s="893" t="str">
        <f>$E$2553</f>
        <v>Concrete - 35 MPa, 30% FA, GU</v>
      </c>
      <c r="I2640" s="888"/>
      <c r="J2640" s="888"/>
      <c r="K2640" s="888"/>
      <c r="L2640" s="888"/>
      <c r="M2640" s="888"/>
      <c r="N2640" s="888"/>
      <c r="O2640" s="888"/>
      <c r="P2640" s="888"/>
      <c r="Q2640" s="888"/>
      <c r="R2640" s="888"/>
    </row>
    <row r="2641" spans="1:18" s="893" customFormat="1" x14ac:dyDescent="0.3">
      <c r="A2641" s="888" t="s">
        <v>2062</v>
      </c>
      <c r="B2641" s="888" t="s">
        <v>1954</v>
      </c>
      <c r="C2641" s="1008" t="s">
        <v>5426</v>
      </c>
      <c r="D2641" s="888"/>
      <c r="E2641" s="893" t="str">
        <f>$E$2602</f>
        <v>SRMCA</v>
      </c>
      <c r="I2641" s="888"/>
      <c r="J2641" s="888"/>
      <c r="K2641" s="888"/>
      <c r="L2641" s="888"/>
      <c r="M2641" s="888"/>
      <c r="N2641" s="888"/>
      <c r="O2641" s="888"/>
      <c r="P2641" s="888"/>
      <c r="Q2641" s="888"/>
      <c r="R2641" s="888"/>
    </row>
    <row r="2642" spans="1:18" s="893" customFormat="1" x14ac:dyDescent="0.3">
      <c r="A2642" s="888" t="s">
        <v>2062</v>
      </c>
      <c r="B2642" s="888" t="s">
        <v>1954</v>
      </c>
      <c r="C2642" s="1008" t="s">
        <v>5427</v>
      </c>
      <c r="D2642" s="888"/>
      <c r="E2642" s="893" t="str">
        <f>$E$2603</f>
        <v>Can. Sask Avg.</v>
      </c>
      <c r="I2642" s="888"/>
      <c r="J2642" s="888"/>
      <c r="K2642" s="888"/>
      <c r="L2642" s="888"/>
      <c r="M2642" s="888"/>
      <c r="N2642" s="888"/>
      <c r="O2642" s="888"/>
      <c r="P2642" s="888"/>
      <c r="Q2642" s="888"/>
      <c r="R2642" s="888"/>
    </row>
    <row r="2643" spans="1:18" s="893" customFormat="1" x14ac:dyDescent="0.3">
      <c r="A2643" s="888" t="s">
        <v>2062</v>
      </c>
      <c r="B2643" s="888" t="s">
        <v>1954</v>
      </c>
      <c r="C2643" s="1008" t="s">
        <v>5428</v>
      </c>
      <c r="D2643" s="888"/>
      <c r="E2643" s="893" t="s">
        <v>3592</v>
      </c>
      <c r="I2643" s="888"/>
      <c r="J2643" s="888"/>
      <c r="K2643" s="888"/>
      <c r="L2643" s="888"/>
      <c r="M2643" s="888"/>
      <c r="N2643" s="888"/>
      <c r="O2643" s="888"/>
      <c r="P2643" s="888"/>
      <c r="Q2643" s="888"/>
      <c r="R2643" s="888"/>
    </row>
    <row r="2644" spans="1:18" s="893" customFormat="1" x14ac:dyDescent="0.3">
      <c r="A2644" s="888" t="s">
        <v>2062</v>
      </c>
      <c r="B2644" s="888" t="s">
        <v>1954</v>
      </c>
      <c r="C2644" s="1008" t="s">
        <v>5429</v>
      </c>
      <c r="D2644" s="888"/>
      <c r="E2644" s="893" t="str">
        <f>$E$2602</f>
        <v>SRMCA</v>
      </c>
      <c r="I2644" s="888"/>
      <c r="J2644" s="888"/>
      <c r="K2644" s="888"/>
      <c r="L2644" s="888"/>
      <c r="M2644" s="888"/>
      <c r="N2644" s="888"/>
      <c r="O2644" s="888"/>
      <c r="P2644" s="888"/>
      <c r="Q2644" s="888"/>
      <c r="R2644" s="888"/>
    </row>
    <row r="2645" spans="1:18" s="893" customFormat="1" x14ac:dyDescent="0.3">
      <c r="A2645" s="888" t="s">
        <v>2062</v>
      </c>
      <c r="B2645" s="888" t="s">
        <v>1954</v>
      </c>
      <c r="C2645" s="1008" t="s">
        <v>5430</v>
      </c>
      <c r="D2645" s="888"/>
      <c r="E2645" s="893" t="str">
        <f>$E$2603</f>
        <v>Can. Sask Avg.</v>
      </c>
      <c r="I2645" s="888"/>
      <c r="J2645" s="888"/>
      <c r="K2645" s="888"/>
      <c r="L2645" s="888"/>
      <c r="M2645" s="888"/>
      <c r="N2645" s="888"/>
      <c r="O2645" s="888"/>
      <c r="P2645" s="888"/>
      <c r="Q2645" s="888"/>
      <c r="R2645" s="888"/>
    </row>
    <row r="2646" spans="1:18" s="893" customFormat="1" x14ac:dyDescent="0.3">
      <c r="A2646" s="888" t="s">
        <v>2062</v>
      </c>
      <c r="B2646" s="888" t="s">
        <v>1954</v>
      </c>
      <c r="C2646" s="1008" t="s">
        <v>5431</v>
      </c>
      <c r="D2646" s="888"/>
      <c r="E2646" s="893" t="str">
        <f>$E$2556</f>
        <v>Concrete - 25 MPa, GU</v>
      </c>
      <c r="I2646" s="888"/>
      <c r="J2646" s="888"/>
      <c r="K2646" s="888"/>
      <c r="L2646" s="888"/>
      <c r="M2646" s="888"/>
      <c r="N2646" s="888"/>
      <c r="O2646" s="888"/>
      <c r="P2646" s="888"/>
      <c r="Q2646" s="888"/>
      <c r="R2646" s="888"/>
    </row>
    <row r="2647" spans="1:18" s="893" customFormat="1" x14ac:dyDescent="0.3">
      <c r="A2647" s="888" t="s">
        <v>2062</v>
      </c>
      <c r="B2647" s="888" t="s">
        <v>1954</v>
      </c>
      <c r="C2647" s="1008" t="s">
        <v>5432</v>
      </c>
      <c r="D2647" s="888"/>
      <c r="E2647" s="893" t="s">
        <v>3593</v>
      </c>
      <c r="I2647" s="888"/>
      <c r="J2647" s="888"/>
      <c r="K2647" s="888"/>
      <c r="L2647" s="888"/>
      <c r="M2647" s="888"/>
      <c r="N2647" s="888"/>
      <c r="O2647" s="888"/>
      <c r="P2647" s="888"/>
      <c r="Q2647" s="888"/>
      <c r="R2647" s="888"/>
    </row>
    <row r="2648" spans="1:18" s="893" customFormat="1" x14ac:dyDescent="0.3">
      <c r="A2648" s="888" t="s">
        <v>2062</v>
      </c>
      <c r="B2648" s="888" t="s">
        <v>1954</v>
      </c>
      <c r="C2648" s="1008" t="s">
        <v>5433</v>
      </c>
      <c r="D2648" s="888"/>
      <c r="E2648" s="893" t="s">
        <v>3594</v>
      </c>
      <c r="I2648" s="888"/>
      <c r="J2648" s="888"/>
      <c r="K2648" s="888"/>
      <c r="L2648" s="888"/>
      <c r="M2648" s="888"/>
      <c r="N2648" s="888"/>
      <c r="O2648" s="888"/>
      <c r="P2648" s="888"/>
      <c r="Q2648" s="888"/>
      <c r="R2648" s="888"/>
    </row>
    <row r="2649" spans="1:18" s="893" customFormat="1" x14ac:dyDescent="0.3">
      <c r="A2649" s="888" t="s">
        <v>2062</v>
      </c>
      <c r="B2649" s="888" t="s">
        <v>1954</v>
      </c>
      <c r="C2649" s="1008" t="s">
        <v>5434</v>
      </c>
      <c r="D2649" s="888"/>
      <c r="E2649" s="893" t="str">
        <f>$E$2499</f>
        <v>Concrete - 25 MPa, 10% FA, GU</v>
      </c>
      <c r="I2649" s="888"/>
      <c r="J2649" s="888"/>
      <c r="K2649" s="888"/>
      <c r="L2649" s="888"/>
      <c r="M2649" s="888"/>
      <c r="N2649" s="888"/>
      <c r="O2649" s="888"/>
      <c r="P2649" s="888"/>
      <c r="Q2649" s="888"/>
      <c r="R2649" s="888"/>
    </row>
    <row r="2650" spans="1:18" s="893" customFormat="1" x14ac:dyDescent="0.3">
      <c r="A2650" s="888" t="s">
        <v>2062</v>
      </c>
      <c r="B2650" s="888" t="s">
        <v>1954</v>
      </c>
      <c r="C2650" s="1008" t="s">
        <v>5435</v>
      </c>
      <c r="D2650" s="888"/>
      <c r="E2650" s="893" t="str">
        <f>$E$2647</f>
        <v>MRMCA</v>
      </c>
      <c r="I2650" s="888"/>
      <c r="J2650" s="888"/>
      <c r="K2650" s="888"/>
      <c r="L2650" s="888"/>
      <c r="M2650" s="888"/>
      <c r="N2650" s="888"/>
      <c r="O2650" s="888"/>
      <c r="P2650" s="888"/>
      <c r="Q2650" s="888"/>
      <c r="R2650" s="888"/>
    </row>
    <row r="2651" spans="1:18" s="893" customFormat="1" x14ac:dyDescent="0.3">
      <c r="A2651" s="888" t="s">
        <v>2062</v>
      </c>
      <c r="B2651" s="888" t="s">
        <v>1954</v>
      </c>
      <c r="C2651" s="1008" t="s">
        <v>5436</v>
      </c>
      <c r="D2651" s="888"/>
      <c r="E2651" s="893" t="str">
        <f>$E$2648</f>
        <v>Can. Manitoba Avg.</v>
      </c>
      <c r="I2651" s="888"/>
      <c r="J2651" s="888"/>
      <c r="K2651" s="888"/>
      <c r="L2651" s="888"/>
      <c r="M2651" s="888"/>
      <c r="N2651" s="888"/>
      <c r="O2651" s="888"/>
      <c r="P2651" s="888"/>
      <c r="Q2651" s="888"/>
      <c r="R2651" s="888"/>
    </row>
    <row r="2652" spans="1:18" s="893" customFormat="1" x14ac:dyDescent="0.3">
      <c r="A2652" s="888" t="s">
        <v>2062</v>
      </c>
      <c r="B2652" s="888" t="s">
        <v>1954</v>
      </c>
      <c r="C2652" s="1008" t="s">
        <v>5437</v>
      </c>
      <c r="D2652" s="888"/>
      <c r="E2652" s="893" t="str">
        <f>$E$2505</f>
        <v>Concrete - 25 MPa, 20% FA, GU</v>
      </c>
      <c r="I2652" s="888"/>
      <c r="J2652" s="888"/>
      <c r="K2652" s="888"/>
      <c r="L2652" s="888"/>
      <c r="M2652" s="888"/>
      <c r="N2652" s="888"/>
      <c r="O2652" s="888"/>
      <c r="P2652" s="888"/>
      <c r="Q2652" s="888"/>
      <c r="R2652" s="888"/>
    </row>
    <row r="2653" spans="1:18" s="893" customFormat="1" x14ac:dyDescent="0.3">
      <c r="A2653" s="888" t="s">
        <v>2062</v>
      </c>
      <c r="B2653" s="888" t="s">
        <v>1954</v>
      </c>
      <c r="C2653" s="1008" t="s">
        <v>5438</v>
      </c>
      <c r="D2653" s="888"/>
      <c r="E2653" s="893" t="str">
        <f>$E$2647</f>
        <v>MRMCA</v>
      </c>
      <c r="I2653" s="888"/>
      <c r="J2653" s="888"/>
      <c r="K2653" s="888"/>
      <c r="L2653" s="888"/>
      <c r="M2653" s="888"/>
      <c r="N2653" s="888"/>
      <c r="O2653" s="888"/>
      <c r="P2653" s="888"/>
      <c r="Q2653" s="888"/>
      <c r="R2653" s="888"/>
    </row>
    <row r="2654" spans="1:18" s="893" customFormat="1" x14ac:dyDescent="0.3">
      <c r="A2654" s="888" t="s">
        <v>2062</v>
      </c>
      <c r="B2654" s="888" t="s">
        <v>1954</v>
      </c>
      <c r="C2654" s="1008" t="s">
        <v>5439</v>
      </c>
      <c r="D2654" s="888"/>
      <c r="E2654" s="893" t="str">
        <f>$E$2648</f>
        <v>Can. Manitoba Avg.</v>
      </c>
      <c r="I2654" s="888"/>
      <c r="J2654" s="888"/>
      <c r="K2654" s="888"/>
      <c r="L2654" s="888"/>
      <c r="M2654" s="888"/>
      <c r="N2654" s="888"/>
      <c r="O2654" s="888"/>
      <c r="P2654" s="888"/>
      <c r="Q2654" s="888"/>
      <c r="R2654" s="888"/>
    </row>
    <row r="2655" spans="1:18" s="893" customFormat="1" x14ac:dyDescent="0.3">
      <c r="A2655" s="888" t="s">
        <v>2062</v>
      </c>
      <c r="B2655" s="888" t="s">
        <v>1954</v>
      </c>
      <c r="C2655" s="1008" t="s">
        <v>5440</v>
      </c>
      <c r="D2655" s="888"/>
      <c r="E2655" s="893" t="str">
        <f>$E$2511</f>
        <v>Concrete - 25 MPa, 30% FA, GU</v>
      </c>
      <c r="I2655" s="888"/>
      <c r="J2655" s="888"/>
      <c r="K2655" s="888"/>
      <c r="L2655" s="888"/>
      <c r="M2655" s="888"/>
      <c r="N2655" s="888"/>
      <c r="O2655" s="888"/>
      <c r="P2655" s="888"/>
      <c r="Q2655" s="888"/>
      <c r="R2655" s="888"/>
    </row>
    <row r="2656" spans="1:18" s="893" customFormat="1" x14ac:dyDescent="0.3">
      <c r="A2656" s="888" t="s">
        <v>2062</v>
      </c>
      <c r="B2656" s="888" t="s">
        <v>1954</v>
      </c>
      <c r="C2656" s="1008" t="s">
        <v>5441</v>
      </c>
      <c r="D2656" s="888"/>
      <c r="E2656" s="893" t="str">
        <f>$E$2647</f>
        <v>MRMCA</v>
      </c>
      <c r="I2656" s="888"/>
      <c r="J2656" s="888"/>
      <c r="K2656" s="888"/>
      <c r="L2656" s="888"/>
      <c r="M2656" s="888"/>
      <c r="N2656" s="888"/>
      <c r="O2656" s="888"/>
      <c r="P2656" s="888"/>
      <c r="Q2656" s="888"/>
      <c r="R2656" s="888"/>
    </row>
    <row r="2657" spans="1:18" s="893" customFormat="1" x14ac:dyDescent="0.3">
      <c r="A2657" s="888" t="s">
        <v>2062</v>
      </c>
      <c r="B2657" s="888" t="s">
        <v>1954</v>
      </c>
      <c r="C2657" s="1008" t="s">
        <v>5442</v>
      </c>
      <c r="D2657" s="888"/>
      <c r="E2657" s="893" t="str">
        <f>$E$2648</f>
        <v>Can. Manitoba Avg.</v>
      </c>
      <c r="I2657" s="888"/>
      <c r="J2657" s="888"/>
      <c r="K2657" s="888"/>
      <c r="L2657" s="888"/>
      <c r="M2657" s="888"/>
      <c r="N2657" s="888"/>
      <c r="O2657" s="888"/>
      <c r="P2657" s="888"/>
      <c r="Q2657" s="888"/>
      <c r="R2657" s="888"/>
    </row>
    <row r="2658" spans="1:18" s="893" customFormat="1" x14ac:dyDescent="0.3">
      <c r="A2658" s="888" t="s">
        <v>2062</v>
      </c>
      <c r="B2658" s="888" t="s">
        <v>1954</v>
      </c>
      <c r="C2658" s="1008" t="s">
        <v>5443</v>
      </c>
      <c r="D2658" s="888"/>
      <c r="E2658" s="893" t="str">
        <f>$E$2613</f>
        <v>Concrete - 25 MPa, 40% FA, GU</v>
      </c>
      <c r="I2658" s="888"/>
      <c r="J2658" s="888"/>
      <c r="K2658" s="888"/>
      <c r="L2658" s="888"/>
      <c r="M2658" s="888"/>
      <c r="N2658" s="888"/>
      <c r="O2658" s="888"/>
      <c r="P2658" s="888"/>
      <c r="Q2658" s="888"/>
      <c r="R2658" s="888"/>
    </row>
    <row r="2659" spans="1:18" s="893" customFormat="1" x14ac:dyDescent="0.3">
      <c r="A2659" s="888" t="s">
        <v>2062</v>
      </c>
      <c r="B2659" s="888" t="s">
        <v>1954</v>
      </c>
      <c r="C2659" s="1008" t="s">
        <v>5444</v>
      </c>
      <c r="D2659" s="888"/>
      <c r="E2659" s="893" t="str">
        <f>$E$2647</f>
        <v>MRMCA</v>
      </c>
      <c r="I2659" s="888"/>
      <c r="J2659" s="888"/>
      <c r="K2659" s="888"/>
      <c r="L2659" s="888"/>
      <c r="M2659" s="888"/>
      <c r="N2659" s="888"/>
      <c r="O2659" s="888"/>
      <c r="P2659" s="888"/>
      <c r="Q2659" s="888"/>
      <c r="R2659" s="888"/>
    </row>
    <row r="2660" spans="1:18" s="893" customFormat="1" x14ac:dyDescent="0.3">
      <c r="A2660" s="888" t="s">
        <v>2062</v>
      </c>
      <c r="B2660" s="888" t="s">
        <v>1954</v>
      </c>
      <c r="C2660" s="1008" t="s">
        <v>5445</v>
      </c>
      <c r="D2660" s="888"/>
      <c r="E2660" s="893" t="str">
        <f>$E$2648</f>
        <v>Can. Manitoba Avg.</v>
      </c>
      <c r="I2660" s="888"/>
      <c r="J2660" s="888"/>
      <c r="K2660" s="888"/>
      <c r="L2660" s="888"/>
      <c r="M2660" s="888"/>
      <c r="N2660" s="888"/>
      <c r="O2660" s="888"/>
      <c r="P2660" s="888"/>
      <c r="Q2660" s="888"/>
      <c r="R2660" s="888"/>
    </row>
    <row r="2661" spans="1:18" s="893" customFormat="1" x14ac:dyDescent="0.3">
      <c r="A2661" s="888" t="s">
        <v>2062</v>
      </c>
      <c r="B2661" s="888" t="s">
        <v>1954</v>
      </c>
      <c r="C2661" s="1008" t="s">
        <v>5446</v>
      </c>
      <c r="D2661" s="888"/>
      <c r="E2661" s="893" t="str">
        <f>$E$2571</f>
        <v>Concrete - 30 MPa, GU</v>
      </c>
      <c r="I2661" s="888"/>
      <c r="J2661" s="888"/>
      <c r="K2661" s="888"/>
      <c r="L2661" s="888"/>
      <c r="M2661" s="888"/>
      <c r="N2661" s="888"/>
      <c r="O2661" s="888"/>
      <c r="P2661" s="888"/>
      <c r="Q2661" s="888"/>
      <c r="R2661" s="888"/>
    </row>
    <row r="2662" spans="1:18" s="893" customFormat="1" x14ac:dyDescent="0.3">
      <c r="A2662" s="888" t="s">
        <v>2062</v>
      </c>
      <c r="B2662" s="888" t="s">
        <v>1954</v>
      </c>
      <c r="C2662" s="1008" t="s">
        <v>5447</v>
      </c>
      <c r="D2662" s="888"/>
      <c r="E2662" s="893" t="str">
        <f>$E$2647</f>
        <v>MRMCA</v>
      </c>
      <c r="I2662" s="888"/>
      <c r="J2662" s="888"/>
      <c r="K2662" s="888"/>
      <c r="L2662" s="888"/>
      <c r="M2662" s="888"/>
      <c r="N2662" s="888"/>
      <c r="O2662" s="888"/>
      <c r="P2662" s="888"/>
      <c r="Q2662" s="888"/>
      <c r="R2662" s="888"/>
    </row>
    <row r="2663" spans="1:18" s="893" customFormat="1" x14ac:dyDescent="0.3">
      <c r="A2663" s="888" t="s">
        <v>2062</v>
      </c>
      <c r="B2663" s="888" t="s">
        <v>1954</v>
      </c>
      <c r="C2663" s="1008" t="s">
        <v>5448</v>
      </c>
      <c r="D2663" s="888"/>
      <c r="E2663" s="893" t="str">
        <f>$E$2648</f>
        <v>Can. Manitoba Avg.</v>
      </c>
      <c r="I2663" s="888"/>
      <c r="J2663" s="888"/>
      <c r="K2663" s="888"/>
      <c r="L2663" s="888"/>
      <c r="M2663" s="888"/>
      <c r="N2663" s="888"/>
      <c r="O2663" s="888"/>
      <c r="P2663" s="888"/>
      <c r="Q2663" s="888"/>
      <c r="R2663" s="888"/>
    </row>
    <row r="2664" spans="1:18" s="893" customFormat="1" x14ac:dyDescent="0.3">
      <c r="A2664" s="888" t="s">
        <v>2062</v>
      </c>
      <c r="B2664" s="888" t="s">
        <v>1954</v>
      </c>
      <c r="C2664" s="1008" t="s">
        <v>5449</v>
      </c>
      <c r="D2664" s="888"/>
      <c r="E2664" s="893" t="str">
        <f>$E$2520</f>
        <v>Concrete - 30 MPa, 10% FA, GU</v>
      </c>
      <c r="I2664" s="888"/>
      <c r="J2664" s="888"/>
      <c r="K2664" s="888"/>
      <c r="L2664" s="888"/>
      <c r="M2664" s="888"/>
      <c r="N2664" s="888"/>
      <c r="O2664" s="888"/>
      <c r="P2664" s="888"/>
      <c r="Q2664" s="888"/>
      <c r="R2664" s="888"/>
    </row>
    <row r="2665" spans="1:18" s="893" customFormat="1" x14ac:dyDescent="0.3">
      <c r="A2665" s="888" t="s">
        <v>2062</v>
      </c>
      <c r="B2665" s="888" t="s">
        <v>1954</v>
      </c>
      <c r="C2665" s="1008" t="s">
        <v>5450</v>
      </c>
      <c r="D2665" s="888"/>
      <c r="E2665" s="893" t="str">
        <f>$E$2647</f>
        <v>MRMCA</v>
      </c>
      <c r="I2665" s="888"/>
      <c r="J2665" s="888"/>
      <c r="K2665" s="888"/>
      <c r="L2665" s="888"/>
      <c r="M2665" s="888"/>
      <c r="N2665" s="888"/>
      <c r="O2665" s="888"/>
      <c r="P2665" s="888"/>
      <c r="Q2665" s="888"/>
      <c r="R2665" s="888"/>
    </row>
    <row r="2666" spans="1:18" s="893" customFormat="1" x14ac:dyDescent="0.3">
      <c r="A2666" s="888" t="s">
        <v>2062</v>
      </c>
      <c r="B2666" s="888" t="s">
        <v>1954</v>
      </c>
      <c r="C2666" s="1008" t="s">
        <v>5451</v>
      </c>
      <c r="D2666" s="888"/>
      <c r="E2666" s="893" t="str">
        <f>$E$2648</f>
        <v>Can. Manitoba Avg.</v>
      </c>
      <c r="I2666" s="888"/>
      <c r="J2666" s="888"/>
      <c r="K2666" s="888"/>
      <c r="L2666" s="888"/>
      <c r="M2666" s="888"/>
      <c r="N2666" s="888"/>
      <c r="O2666" s="888"/>
      <c r="P2666" s="888"/>
      <c r="Q2666" s="888"/>
      <c r="R2666" s="888"/>
    </row>
    <row r="2667" spans="1:18" s="893" customFormat="1" x14ac:dyDescent="0.3">
      <c r="A2667" s="888" t="s">
        <v>2062</v>
      </c>
      <c r="B2667" s="888" t="s">
        <v>1954</v>
      </c>
      <c r="C2667" s="1008" t="s">
        <v>5452</v>
      </c>
      <c r="D2667" s="888"/>
      <c r="E2667" s="893" t="str">
        <f>$E$2526</f>
        <v>Concrete - 30 MPa, 20% FA, GU</v>
      </c>
      <c r="I2667" s="888"/>
      <c r="J2667" s="888"/>
      <c r="K2667" s="888"/>
      <c r="L2667" s="888"/>
      <c r="M2667" s="888"/>
      <c r="N2667" s="888"/>
      <c r="O2667" s="888"/>
      <c r="P2667" s="888"/>
      <c r="Q2667" s="888"/>
      <c r="R2667" s="888"/>
    </row>
    <row r="2668" spans="1:18" s="893" customFormat="1" x14ac:dyDescent="0.3">
      <c r="A2668" s="888" t="s">
        <v>2062</v>
      </c>
      <c r="B2668" s="888" t="s">
        <v>1954</v>
      </c>
      <c r="C2668" s="1008" t="s">
        <v>5453</v>
      </c>
      <c r="D2668" s="888"/>
      <c r="E2668" s="893" t="str">
        <f>$E$2647</f>
        <v>MRMCA</v>
      </c>
      <c r="I2668" s="888"/>
      <c r="J2668" s="888"/>
      <c r="K2668" s="888"/>
      <c r="L2668" s="888"/>
      <c r="M2668" s="888"/>
      <c r="N2668" s="888"/>
      <c r="O2668" s="888"/>
      <c r="P2668" s="888"/>
      <c r="Q2668" s="888"/>
      <c r="R2668" s="888"/>
    </row>
    <row r="2669" spans="1:18" s="893" customFormat="1" x14ac:dyDescent="0.3">
      <c r="A2669" s="888" t="s">
        <v>2062</v>
      </c>
      <c r="B2669" s="888" t="s">
        <v>1954</v>
      </c>
      <c r="C2669" s="1008" t="s">
        <v>5454</v>
      </c>
      <c r="D2669" s="888"/>
      <c r="E2669" s="893" t="str">
        <f>$E$2648</f>
        <v>Can. Manitoba Avg.</v>
      </c>
      <c r="I2669" s="888"/>
      <c r="J2669" s="888"/>
      <c r="K2669" s="888"/>
      <c r="L2669" s="888"/>
      <c r="M2669" s="888"/>
      <c r="N2669" s="888"/>
      <c r="O2669" s="888"/>
      <c r="P2669" s="888"/>
      <c r="Q2669" s="888"/>
      <c r="R2669" s="888"/>
    </row>
    <row r="2670" spans="1:18" s="893" customFormat="1" x14ac:dyDescent="0.3">
      <c r="A2670" s="888" t="s">
        <v>2062</v>
      </c>
      <c r="B2670" s="888" t="s">
        <v>1954</v>
      </c>
      <c r="C2670" s="1008" t="s">
        <v>5455</v>
      </c>
      <c r="D2670" s="888"/>
      <c r="E2670" s="893" t="str">
        <f>$E$2532</f>
        <v>Concrete - 30 MPa, 30% FA, GU</v>
      </c>
      <c r="I2670" s="888"/>
      <c r="J2670" s="888"/>
      <c r="K2670" s="888"/>
      <c r="L2670" s="888"/>
      <c r="M2670" s="888"/>
      <c r="N2670" s="888"/>
      <c r="O2670" s="888"/>
      <c r="P2670" s="888"/>
      <c r="Q2670" s="888"/>
      <c r="R2670" s="888"/>
    </row>
    <row r="2671" spans="1:18" s="893" customFormat="1" x14ac:dyDescent="0.3">
      <c r="A2671" s="888" t="s">
        <v>2062</v>
      </c>
      <c r="B2671" s="888" t="s">
        <v>1954</v>
      </c>
      <c r="C2671" s="1008" t="s">
        <v>5456</v>
      </c>
      <c r="D2671" s="888"/>
      <c r="E2671" s="893" t="str">
        <f>$E$2647</f>
        <v>MRMCA</v>
      </c>
      <c r="I2671" s="888"/>
      <c r="J2671" s="888"/>
      <c r="K2671" s="888"/>
      <c r="L2671" s="888"/>
      <c r="M2671" s="888"/>
      <c r="N2671" s="888"/>
      <c r="O2671" s="888"/>
      <c r="P2671" s="888"/>
      <c r="Q2671" s="888"/>
      <c r="R2671" s="888"/>
    </row>
    <row r="2672" spans="1:18" s="893" customFormat="1" x14ac:dyDescent="0.3">
      <c r="A2672" s="888" t="s">
        <v>2062</v>
      </c>
      <c r="B2672" s="888" t="s">
        <v>1954</v>
      </c>
      <c r="C2672" s="1008" t="s">
        <v>5457</v>
      </c>
      <c r="D2672" s="888"/>
      <c r="E2672" s="893" t="str">
        <f>$E$2648</f>
        <v>Can. Manitoba Avg.</v>
      </c>
      <c r="I2672" s="888"/>
      <c r="J2672" s="888"/>
      <c r="K2672" s="888"/>
      <c r="L2672" s="888"/>
      <c r="M2672" s="888"/>
      <c r="N2672" s="888"/>
      <c r="O2672" s="888"/>
      <c r="P2672" s="888"/>
      <c r="Q2672" s="888"/>
      <c r="R2672" s="888"/>
    </row>
    <row r="2673" spans="1:18" s="893" customFormat="1" x14ac:dyDescent="0.3">
      <c r="A2673" s="888" t="s">
        <v>2062</v>
      </c>
      <c r="B2673" s="888" t="s">
        <v>1954</v>
      </c>
      <c r="C2673" s="1008" t="s">
        <v>5458</v>
      </c>
      <c r="D2673" s="888"/>
      <c r="E2673" s="893" t="str">
        <f>$E$2628</f>
        <v>Concrete - 30 MPa, 40% FA, GU</v>
      </c>
      <c r="I2673" s="888"/>
      <c r="J2673" s="888"/>
      <c r="K2673" s="888"/>
      <c r="L2673" s="888"/>
      <c r="M2673" s="888"/>
      <c r="N2673" s="888"/>
      <c r="O2673" s="888"/>
      <c r="P2673" s="888"/>
      <c r="Q2673" s="888"/>
      <c r="R2673" s="888"/>
    </row>
    <row r="2674" spans="1:18" s="893" customFormat="1" x14ac:dyDescent="0.3">
      <c r="A2674" s="888" t="s">
        <v>2062</v>
      </c>
      <c r="B2674" s="888" t="s">
        <v>1954</v>
      </c>
      <c r="C2674" s="1008" t="s">
        <v>5459</v>
      </c>
      <c r="D2674" s="888"/>
      <c r="E2674" s="893" t="str">
        <f>$E$2647</f>
        <v>MRMCA</v>
      </c>
      <c r="I2674" s="888"/>
      <c r="J2674" s="888"/>
      <c r="K2674" s="888"/>
      <c r="L2674" s="888"/>
      <c r="M2674" s="888"/>
      <c r="N2674" s="888"/>
      <c r="O2674" s="888"/>
      <c r="P2674" s="888"/>
      <c r="Q2674" s="888"/>
      <c r="R2674" s="888"/>
    </row>
    <row r="2675" spans="1:18" s="893" customFormat="1" x14ac:dyDescent="0.3">
      <c r="A2675" s="888" t="s">
        <v>2062</v>
      </c>
      <c r="B2675" s="888" t="s">
        <v>1954</v>
      </c>
      <c r="C2675" s="1008" t="s">
        <v>5460</v>
      </c>
      <c r="D2675" s="888"/>
      <c r="E2675" s="893" t="str">
        <f>$E$2648</f>
        <v>Can. Manitoba Avg.</v>
      </c>
      <c r="I2675" s="888"/>
      <c r="J2675" s="888"/>
      <c r="K2675" s="888"/>
      <c r="L2675" s="888"/>
      <c r="M2675" s="888"/>
      <c r="N2675" s="888"/>
      <c r="O2675" s="888"/>
      <c r="P2675" s="888"/>
      <c r="Q2675" s="888"/>
      <c r="R2675" s="888"/>
    </row>
    <row r="2676" spans="1:18" s="893" customFormat="1" x14ac:dyDescent="0.3">
      <c r="A2676" s="888" t="s">
        <v>2062</v>
      </c>
      <c r="B2676" s="888" t="s">
        <v>1954</v>
      </c>
      <c r="C2676" s="1008" t="s">
        <v>5461</v>
      </c>
      <c r="D2676" s="888"/>
      <c r="E2676" s="893" t="str">
        <f>$E$2586</f>
        <v>Concrete - 35 MPa, GU</v>
      </c>
      <c r="I2676" s="888"/>
      <c r="J2676" s="888"/>
      <c r="K2676" s="888"/>
      <c r="L2676" s="888"/>
      <c r="M2676" s="888"/>
      <c r="N2676" s="888"/>
      <c r="O2676" s="888"/>
      <c r="P2676" s="888"/>
      <c r="Q2676" s="888"/>
      <c r="R2676" s="888"/>
    </row>
    <row r="2677" spans="1:18" s="893" customFormat="1" x14ac:dyDescent="0.3">
      <c r="A2677" s="888" t="s">
        <v>2062</v>
      </c>
      <c r="B2677" s="888" t="s">
        <v>1954</v>
      </c>
      <c r="C2677" s="1008" t="s">
        <v>5462</v>
      </c>
      <c r="D2677" s="888"/>
      <c r="E2677" s="893" t="str">
        <f>$E$2647</f>
        <v>MRMCA</v>
      </c>
      <c r="I2677" s="888"/>
      <c r="J2677" s="888"/>
      <c r="K2677" s="888"/>
      <c r="L2677" s="888"/>
      <c r="M2677" s="888"/>
      <c r="N2677" s="888"/>
      <c r="O2677" s="888"/>
      <c r="P2677" s="888"/>
      <c r="Q2677" s="888"/>
      <c r="R2677" s="888"/>
    </row>
    <row r="2678" spans="1:18" s="893" customFormat="1" x14ac:dyDescent="0.3">
      <c r="A2678" s="888" t="s">
        <v>2062</v>
      </c>
      <c r="B2678" s="888" t="s">
        <v>1954</v>
      </c>
      <c r="C2678" s="1008" t="s">
        <v>5463</v>
      </c>
      <c r="D2678" s="888"/>
      <c r="E2678" s="893" t="str">
        <f>$E$2648</f>
        <v>Can. Manitoba Avg.</v>
      </c>
      <c r="I2678" s="888"/>
      <c r="J2678" s="888"/>
      <c r="K2678" s="888"/>
      <c r="L2678" s="888"/>
      <c r="M2678" s="888"/>
      <c r="N2678" s="888"/>
      <c r="O2678" s="888"/>
      <c r="P2678" s="888"/>
      <c r="Q2678" s="888"/>
      <c r="R2678" s="888"/>
    </row>
    <row r="2679" spans="1:18" s="893" customFormat="1" x14ac:dyDescent="0.3">
      <c r="A2679" s="888" t="s">
        <v>2062</v>
      </c>
      <c r="B2679" s="888" t="s">
        <v>1954</v>
      </c>
      <c r="C2679" s="1008" t="s">
        <v>5464</v>
      </c>
      <c r="D2679" s="888"/>
      <c r="E2679" s="893" t="str">
        <f>$E$2541</f>
        <v>Concrete - 35 MPa, 10% FA, GU</v>
      </c>
      <c r="I2679" s="888"/>
      <c r="J2679" s="888"/>
      <c r="K2679" s="888"/>
      <c r="L2679" s="888"/>
      <c r="M2679" s="888"/>
      <c r="N2679" s="888"/>
      <c r="O2679" s="888"/>
      <c r="P2679" s="888"/>
      <c r="Q2679" s="888"/>
      <c r="R2679" s="888"/>
    </row>
    <row r="2680" spans="1:18" s="893" customFormat="1" x14ac:dyDescent="0.3">
      <c r="A2680" s="888" t="s">
        <v>2062</v>
      </c>
      <c r="B2680" s="888" t="s">
        <v>1954</v>
      </c>
      <c r="C2680" s="1008" t="s">
        <v>5465</v>
      </c>
      <c r="D2680" s="888"/>
      <c r="E2680" s="893" t="str">
        <f>$E$2647</f>
        <v>MRMCA</v>
      </c>
      <c r="I2680" s="888"/>
      <c r="J2680" s="888"/>
      <c r="K2680" s="888"/>
      <c r="L2680" s="888"/>
      <c r="M2680" s="888"/>
      <c r="N2680" s="888"/>
      <c r="O2680" s="888"/>
      <c r="P2680" s="888"/>
      <c r="Q2680" s="888"/>
      <c r="R2680" s="888"/>
    </row>
    <row r="2681" spans="1:18" s="893" customFormat="1" x14ac:dyDescent="0.3">
      <c r="A2681" s="888" t="s">
        <v>2062</v>
      </c>
      <c r="B2681" s="888" t="s">
        <v>1954</v>
      </c>
      <c r="C2681" s="1008" t="s">
        <v>5466</v>
      </c>
      <c r="D2681" s="888"/>
      <c r="E2681" s="893" t="str">
        <f>$E$2648</f>
        <v>Can. Manitoba Avg.</v>
      </c>
      <c r="I2681" s="888"/>
      <c r="J2681" s="888"/>
      <c r="K2681" s="888"/>
      <c r="L2681" s="888"/>
      <c r="M2681" s="888"/>
      <c r="N2681" s="888"/>
      <c r="O2681" s="888"/>
      <c r="P2681" s="888"/>
      <c r="Q2681" s="888"/>
      <c r="R2681" s="888"/>
    </row>
    <row r="2682" spans="1:18" s="893" customFormat="1" x14ac:dyDescent="0.3">
      <c r="A2682" s="888" t="s">
        <v>2062</v>
      </c>
      <c r="B2682" s="888" t="s">
        <v>1954</v>
      </c>
      <c r="C2682" s="1008" t="s">
        <v>5467</v>
      </c>
      <c r="D2682" s="888"/>
      <c r="E2682" s="893" t="str">
        <f>$E$2547</f>
        <v>Concrete - 35 MPa, 20% FA, GU</v>
      </c>
      <c r="I2682" s="888"/>
      <c r="J2682" s="888"/>
      <c r="K2682" s="888"/>
      <c r="L2682" s="888"/>
      <c r="M2682" s="888"/>
      <c r="N2682" s="888"/>
      <c r="O2682" s="888"/>
      <c r="P2682" s="888"/>
      <c r="Q2682" s="888"/>
      <c r="R2682" s="888"/>
    </row>
    <row r="2683" spans="1:18" s="893" customFormat="1" x14ac:dyDescent="0.3">
      <c r="A2683" s="888" t="s">
        <v>2062</v>
      </c>
      <c r="B2683" s="888" t="s">
        <v>1954</v>
      </c>
      <c r="C2683" s="1008" t="s">
        <v>5468</v>
      </c>
      <c r="D2683" s="888"/>
      <c r="E2683" s="893" t="str">
        <f>$E$2647</f>
        <v>MRMCA</v>
      </c>
      <c r="I2683" s="888"/>
      <c r="J2683" s="888"/>
      <c r="K2683" s="888"/>
      <c r="L2683" s="888"/>
      <c r="M2683" s="888"/>
      <c r="N2683" s="888"/>
      <c r="O2683" s="888"/>
      <c r="P2683" s="888"/>
      <c r="Q2683" s="888"/>
      <c r="R2683" s="888"/>
    </row>
    <row r="2684" spans="1:18" s="893" customFormat="1" x14ac:dyDescent="0.3">
      <c r="A2684" s="888" t="s">
        <v>2062</v>
      </c>
      <c r="B2684" s="888" t="s">
        <v>1954</v>
      </c>
      <c r="C2684" s="1008" t="s">
        <v>5469</v>
      </c>
      <c r="D2684" s="888"/>
      <c r="E2684" s="893" t="str">
        <f>$E$2648</f>
        <v>Can. Manitoba Avg.</v>
      </c>
      <c r="I2684" s="888"/>
      <c r="J2684" s="888"/>
      <c r="K2684" s="888"/>
      <c r="L2684" s="888"/>
      <c r="M2684" s="888"/>
      <c r="N2684" s="888"/>
      <c r="O2684" s="888"/>
      <c r="P2684" s="888"/>
      <c r="Q2684" s="888"/>
      <c r="R2684" s="888"/>
    </row>
    <row r="2685" spans="1:18" s="893" customFormat="1" x14ac:dyDescent="0.3">
      <c r="A2685" s="888" t="s">
        <v>2062</v>
      </c>
      <c r="B2685" s="888" t="s">
        <v>1954</v>
      </c>
      <c r="C2685" s="1008" t="s">
        <v>5470</v>
      </c>
      <c r="D2685" s="888"/>
      <c r="E2685" s="893" t="str">
        <f>$E$2553</f>
        <v>Concrete - 35 MPa, 30% FA, GU</v>
      </c>
      <c r="I2685" s="888"/>
      <c r="J2685" s="888"/>
      <c r="K2685" s="888"/>
      <c r="L2685" s="888"/>
      <c r="M2685" s="888"/>
      <c r="N2685" s="888"/>
      <c r="O2685" s="888"/>
      <c r="P2685" s="888"/>
      <c r="Q2685" s="888"/>
      <c r="R2685" s="888"/>
    </row>
    <row r="2686" spans="1:18" s="893" customFormat="1" x14ac:dyDescent="0.3">
      <c r="A2686" s="888" t="s">
        <v>2062</v>
      </c>
      <c r="B2686" s="888" t="s">
        <v>1954</v>
      </c>
      <c r="C2686" s="1008" t="s">
        <v>5471</v>
      </c>
      <c r="D2686" s="888"/>
      <c r="E2686" s="893" t="str">
        <f>$E$2647</f>
        <v>MRMCA</v>
      </c>
      <c r="I2686" s="888"/>
      <c r="J2686" s="888"/>
      <c r="K2686" s="888"/>
      <c r="L2686" s="888"/>
      <c r="M2686" s="888"/>
      <c r="N2686" s="888"/>
      <c r="O2686" s="888"/>
      <c r="P2686" s="888"/>
      <c r="Q2686" s="888"/>
      <c r="R2686" s="888"/>
    </row>
    <row r="2687" spans="1:18" s="893" customFormat="1" x14ac:dyDescent="0.3">
      <c r="A2687" s="888" t="s">
        <v>2062</v>
      </c>
      <c r="B2687" s="888" t="s">
        <v>1954</v>
      </c>
      <c r="C2687" s="1008" t="s">
        <v>5472</v>
      </c>
      <c r="D2687" s="888"/>
      <c r="E2687" s="893" t="str">
        <f>$E$2648</f>
        <v>Can. Manitoba Avg.</v>
      </c>
      <c r="I2687" s="888"/>
      <c r="J2687" s="888"/>
      <c r="K2687" s="888"/>
      <c r="L2687" s="888"/>
      <c r="M2687" s="888"/>
      <c r="N2687" s="888"/>
      <c r="O2687" s="888"/>
      <c r="P2687" s="888"/>
      <c r="Q2687" s="888"/>
      <c r="R2687" s="888"/>
    </row>
    <row r="2688" spans="1:18" s="893" customFormat="1" x14ac:dyDescent="0.3">
      <c r="A2688" s="888" t="s">
        <v>2062</v>
      </c>
      <c r="B2688" s="888" t="s">
        <v>1954</v>
      </c>
      <c r="C2688" s="1008" t="s">
        <v>5473</v>
      </c>
      <c r="D2688" s="888"/>
      <c r="E2688" s="893" t="str">
        <f>$E$2643</f>
        <v>Concrete - 35 MPa, 40% FA, GU</v>
      </c>
      <c r="I2688" s="888"/>
      <c r="J2688" s="888"/>
      <c r="K2688" s="888"/>
      <c r="L2688" s="888"/>
      <c r="M2688" s="888"/>
      <c r="N2688" s="888"/>
      <c r="O2688" s="888"/>
      <c r="P2688" s="888"/>
      <c r="Q2688" s="888"/>
      <c r="R2688" s="888"/>
    </row>
    <row r="2689" spans="1:18" s="893" customFormat="1" x14ac:dyDescent="0.3">
      <c r="A2689" s="888" t="s">
        <v>2062</v>
      </c>
      <c r="B2689" s="888" t="s">
        <v>1954</v>
      </c>
      <c r="C2689" s="1008" t="s">
        <v>5474</v>
      </c>
      <c r="D2689" s="888"/>
      <c r="E2689" s="893" t="str">
        <f>$E$2647</f>
        <v>MRMCA</v>
      </c>
      <c r="I2689" s="888"/>
      <c r="J2689" s="888"/>
      <c r="K2689" s="888"/>
      <c r="L2689" s="888"/>
      <c r="M2689" s="888"/>
      <c r="N2689" s="888"/>
      <c r="O2689" s="888"/>
      <c r="P2689" s="888"/>
      <c r="Q2689" s="888"/>
      <c r="R2689" s="888"/>
    </row>
    <row r="2690" spans="1:18" s="893" customFormat="1" x14ac:dyDescent="0.3">
      <c r="A2690" s="888" t="s">
        <v>2062</v>
      </c>
      <c r="B2690" s="888" t="s">
        <v>1954</v>
      </c>
      <c r="C2690" s="1008" t="s">
        <v>5475</v>
      </c>
      <c r="D2690" s="888"/>
      <c r="E2690" s="893" t="str">
        <f>$E$2648</f>
        <v>Can. Manitoba Avg.</v>
      </c>
      <c r="I2690" s="888"/>
      <c r="J2690" s="888"/>
      <c r="K2690" s="888"/>
      <c r="L2690" s="888"/>
      <c r="M2690" s="888"/>
      <c r="N2690" s="888"/>
      <c r="O2690" s="888"/>
      <c r="P2690" s="888"/>
      <c r="Q2690" s="888"/>
      <c r="R2690" s="888"/>
    </row>
    <row r="2691" spans="1:18" s="893" customFormat="1" x14ac:dyDescent="0.3">
      <c r="A2691" s="888" t="s">
        <v>2062</v>
      </c>
      <c r="B2691" s="888" t="s">
        <v>1954</v>
      </c>
      <c r="C2691" s="1008" t="s">
        <v>5476</v>
      </c>
      <c r="D2691" s="888"/>
      <c r="E2691" s="893" t="str">
        <f>$E$2556</f>
        <v>Concrete - 25 MPa, GU</v>
      </c>
      <c r="I2691" s="888"/>
      <c r="J2691" s="888"/>
      <c r="K2691" s="888"/>
      <c r="L2691" s="888"/>
      <c r="M2691" s="888"/>
      <c r="N2691" s="888"/>
      <c r="O2691" s="888"/>
      <c r="P2691" s="888"/>
      <c r="Q2691" s="888"/>
      <c r="R2691" s="888"/>
    </row>
    <row r="2692" spans="1:18" s="893" customFormat="1" x14ac:dyDescent="0.3">
      <c r="A2692" s="888" t="s">
        <v>2062</v>
      </c>
      <c r="B2692" s="888" t="s">
        <v>1954</v>
      </c>
      <c r="C2692" s="1008" t="s">
        <v>5477</v>
      </c>
      <c r="D2692" s="888"/>
      <c r="E2692" s="893" t="s">
        <v>3596</v>
      </c>
      <c r="I2692" s="888"/>
      <c r="J2692" s="888"/>
      <c r="K2692" s="888"/>
      <c r="L2692" s="888"/>
      <c r="M2692" s="888"/>
      <c r="N2692" s="888"/>
      <c r="O2692" s="888"/>
      <c r="P2692" s="888"/>
      <c r="Q2692" s="888"/>
      <c r="R2692" s="888"/>
    </row>
    <row r="2693" spans="1:18" s="893" customFormat="1" x14ac:dyDescent="0.3">
      <c r="A2693" s="888" t="s">
        <v>2062</v>
      </c>
      <c r="B2693" s="888" t="s">
        <v>1954</v>
      </c>
      <c r="C2693" s="1008" t="s">
        <v>5478</v>
      </c>
      <c r="D2693" s="888"/>
      <c r="E2693" s="893" t="s">
        <v>3597</v>
      </c>
      <c r="I2693" s="888"/>
      <c r="J2693" s="888"/>
      <c r="K2693" s="888"/>
      <c r="L2693" s="888"/>
      <c r="M2693" s="888"/>
      <c r="N2693" s="888"/>
      <c r="O2693" s="888"/>
      <c r="P2693" s="888"/>
      <c r="Q2693" s="888"/>
      <c r="R2693" s="888"/>
    </row>
    <row r="2694" spans="1:18" s="893" customFormat="1" x14ac:dyDescent="0.3">
      <c r="A2694" s="888" t="s">
        <v>2062</v>
      </c>
      <c r="B2694" s="888" t="s">
        <v>1954</v>
      </c>
      <c r="C2694" s="1008" t="s">
        <v>5479</v>
      </c>
      <c r="D2694" s="888"/>
      <c r="E2694" s="893" t="s">
        <v>3599</v>
      </c>
      <c r="I2694" s="888"/>
      <c r="J2694" s="888"/>
      <c r="K2694" s="888"/>
      <c r="L2694" s="888"/>
      <c r="M2694" s="888"/>
      <c r="N2694" s="888"/>
      <c r="O2694" s="888"/>
      <c r="P2694" s="888"/>
      <c r="Q2694" s="888"/>
      <c r="R2694" s="888"/>
    </row>
    <row r="2695" spans="1:18" s="893" customFormat="1" x14ac:dyDescent="0.3">
      <c r="A2695" s="888" t="s">
        <v>2062</v>
      </c>
      <c r="B2695" s="888" t="s">
        <v>1954</v>
      </c>
      <c r="C2695" s="1008" t="s">
        <v>5480</v>
      </c>
      <c r="D2695" s="888"/>
      <c r="E2695" s="893" t="str">
        <f>$E$2692</f>
        <v>BCRMCA</v>
      </c>
      <c r="I2695" s="888"/>
      <c r="J2695" s="888"/>
      <c r="K2695" s="888"/>
      <c r="L2695" s="888"/>
      <c r="M2695" s="888"/>
      <c r="N2695" s="888"/>
      <c r="O2695" s="888"/>
      <c r="P2695" s="888"/>
      <c r="Q2695" s="888"/>
      <c r="R2695" s="888"/>
    </row>
    <row r="2696" spans="1:18" s="893" customFormat="1" x14ac:dyDescent="0.3">
      <c r="A2696" s="888" t="s">
        <v>2062</v>
      </c>
      <c r="B2696" s="888" t="s">
        <v>1954</v>
      </c>
      <c r="C2696" s="1008" t="s">
        <v>5481</v>
      </c>
      <c r="D2696" s="888"/>
      <c r="E2696" s="893" t="str">
        <f>$E$2693</f>
        <v>Can. BC Avg.</v>
      </c>
      <c r="I2696" s="888"/>
      <c r="J2696" s="888"/>
      <c r="K2696" s="888"/>
      <c r="L2696" s="888"/>
      <c r="M2696" s="888"/>
      <c r="N2696" s="888"/>
      <c r="O2696" s="888"/>
      <c r="P2696" s="888"/>
      <c r="Q2696" s="888"/>
      <c r="R2696" s="888"/>
    </row>
    <row r="2697" spans="1:18" s="893" customFormat="1" x14ac:dyDescent="0.3">
      <c r="A2697" s="888" t="s">
        <v>2062</v>
      </c>
      <c r="B2697" s="888" t="s">
        <v>1954</v>
      </c>
      <c r="C2697" s="1008" t="s">
        <v>5482</v>
      </c>
      <c r="D2697" s="888"/>
      <c r="E2697" s="893" t="s">
        <v>3600</v>
      </c>
      <c r="I2697" s="888"/>
      <c r="J2697" s="888"/>
      <c r="K2697" s="888"/>
      <c r="L2697" s="888"/>
      <c r="M2697" s="888"/>
      <c r="N2697" s="888"/>
      <c r="O2697" s="888"/>
      <c r="P2697" s="888"/>
      <c r="Q2697" s="888"/>
      <c r="R2697" s="888"/>
    </row>
    <row r="2698" spans="1:18" s="893" customFormat="1" x14ac:dyDescent="0.3">
      <c r="A2698" s="888" t="s">
        <v>2062</v>
      </c>
      <c r="B2698" s="888" t="s">
        <v>1954</v>
      </c>
      <c r="C2698" s="1008" t="s">
        <v>5483</v>
      </c>
      <c r="D2698" s="888"/>
      <c r="E2698" s="893" t="str">
        <f>$E$2692</f>
        <v>BCRMCA</v>
      </c>
      <c r="I2698" s="888"/>
      <c r="J2698" s="888"/>
      <c r="K2698" s="888"/>
      <c r="L2698" s="888"/>
      <c r="M2698" s="888"/>
      <c r="N2698" s="888"/>
      <c r="O2698" s="888"/>
      <c r="P2698" s="888"/>
      <c r="Q2698" s="888"/>
      <c r="R2698" s="888"/>
    </row>
    <row r="2699" spans="1:18" s="893" customFormat="1" x14ac:dyDescent="0.3">
      <c r="A2699" s="888" t="s">
        <v>2062</v>
      </c>
      <c r="B2699" s="888" t="s">
        <v>1954</v>
      </c>
      <c r="C2699" s="1008" t="s">
        <v>5484</v>
      </c>
      <c r="D2699" s="888"/>
      <c r="E2699" s="893" t="str">
        <f>$E$2693</f>
        <v>Can. BC Avg.</v>
      </c>
      <c r="I2699" s="888"/>
      <c r="J2699" s="888"/>
      <c r="K2699" s="888"/>
      <c r="L2699" s="888"/>
      <c r="M2699" s="888"/>
      <c r="N2699" s="888"/>
      <c r="O2699" s="888"/>
      <c r="P2699" s="888"/>
      <c r="Q2699" s="888"/>
      <c r="R2699" s="888"/>
    </row>
    <row r="2700" spans="1:18" s="893" customFormat="1" x14ac:dyDescent="0.3">
      <c r="A2700" s="888" t="s">
        <v>2062</v>
      </c>
      <c r="B2700" s="888" t="s">
        <v>1954</v>
      </c>
      <c r="C2700" s="1008" t="s">
        <v>5485</v>
      </c>
      <c r="D2700" s="888"/>
      <c r="E2700" s="893" t="s">
        <v>3601</v>
      </c>
      <c r="I2700" s="888"/>
      <c r="J2700" s="888"/>
      <c r="K2700" s="888"/>
      <c r="L2700" s="888"/>
      <c r="M2700" s="888"/>
      <c r="N2700" s="888"/>
      <c r="O2700" s="888"/>
      <c r="P2700" s="888"/>
      <c r="Q2700" s="888"/>
      <c r="R2700" s="888"/>
    </row>
    <row r="2701" spans="1:18" s="893" customFormat="1" x14ac:dyDescent="0.3">
      <c r="A2701" s="888" t="s">
        <v>2062</v>
      </c>
      <c r="B2701" s="888" t="s">
        <v>1954</v>
      </c>
      <c r="C2701" s="1008" t="s">
        <v>5486</v>
      </c>
      <c r="D2701" s="888"/>
      <c r="E2701" s="893" t="str">
        <f>$E$2692</f>
        <v>BCRMCA</v>
      </c>
      <c r="I2701" s="888"/>
      <c r="J2701" s="888"/>
      <c r="K2701" s="888"/>
      <c r="L2701" s="888"/>
      <c r="M2701" s="888"/>
      <c r="N2701" s="888"/>
      <c r="O2701" s="888"/>
      <c r="P2701" s="888"/>
      <c r="Q2701" s="888"/>
      <c r="R2701" s="888"/>
    </row>
    <row r="2702" spans="1:18" s="893" customFormat="1" x14ac:dyDescent="0.3">
      <c r="A2702" s="888" t="s">
        <v>2062</v>
      </c>
      <c r="B2702" s="888" t="s">
        <v>1954</v>
      </c>
      <c r="C2702" s="1008" t="s">
        <v>5487</v>
      </c>
      <c r="D2702" s="888"/>
      <c r="E2702" s="893" t="str">
        <f>$E$2693</f>
        <v>Can. BC Avg.</v>
      </c>
      <c r="I2702" s="888"/>
      <c r="J2702" s="888"/>
      <c r="K2702" s="888"/>
      <c r="L2702" s="888"/>
      <c r="M2702" s="888"/>
      <c r="N2702" s="888"/>
      <c r="O2702" s="888"/>
      <c r="P2702" s="888"/>
      <c r="Q2702" s="888"/>
      <c r="R2702" s="888"/>
    </row>
    <row r="2703" spans="1:18" s="893" customFormat="1" x14ac:dyDescent="0.3">
      <c r="A2703" s="888" t="s">
        <v>2062</v>
      </c>
      <c r="B2703" s="888" t="s">
        <v>1954</v>
      </c>
      <c r="C2703" s="1008" t="s">
        <v>5488</v>
      </c>
      <c r="D2703" s="888"/>
      <c r="E2703" s="893" t="str">
        <f>$E$2571</f>
        <v>Concrete - 30 MPa, GU</v>
      </c>
      <c r="I2703" s="888"/>
      <c r="J2703" s="888"/>
      <c r="K2703" s="888"/>
      <c r="L2703" s="888"/>
      <c r="M2703" s="888"/>
      <c r="N2703" s="888"/>
      <c r="O2703" s="888"/>
      <c r="P2703" s="888"/>
      <c r="Q2703" s="888"/>
      <c r="R2703" s="888"/>
    </row>
    <row r="2704" spans="1:18" s="893" customFormat="1" x14ac:dyDescent="0.3">
      <c r="A2704" s="888" t="s">
        <v>2062</v>
      </c>
      <c r="B2704" s="888" t="s">
        <v>1954</v>
      </c>
      <c r="C2704" s="1008" t="s">
        <v>5489</v>
      </c>
      <c r="D2704" s="888"/>
      <c r="E2704" s="893" t="str">
        <f>$E$2692</f>
        <v>BCRMCA</v>
      </c>
      <c r="I2704" s="888"/>
      <c r="J2704" s="888"/>
      <c r="K2704" s="888"/>
      <c r="L2704" s="888"/>
      <c r="M2704" s="888"/>
      <c r="N2704" s="888"/>
      <c r="O2704" s="888"/>
      <c r="P2704" s="888"/>
      <c r="Q2704" s="888"/>
      <c r="R2704" s="888"/>
    </row>
    <row r="2705" spans="1:18" s="893" customFormat="1" x14ac:dyDescent="0.3">
      <c r="A2705" s="888" t="s">
        <v>2062</v>
      </c>
      <c r="B2705" s="888" t="s">
        <v>1954</v>
      </c>
      <c r="C2705" s="1008" t="s">
        <v>5490</v>
      </c>
      <c r="D2705" s="888"/>
      <c r="E2705" s="893" t="str">
        <f>$E$2693</f>
        <v>Can. BC Avg.</v>
      </c>
      <c r="I2705" s="888"/>
      <c r="J2705" s="888"/>
      <c r="K2705" s="888"/>
      <c r="L2705" s="888"/>
      <c r="M2705" s="888"/>
      <c r="N2705" s="888"/>
      <c r="O2705" s="888"/>
      <c r="P2705" s="888"/>
      <c r="Q2705" s="888"/>
      <c r="R2705" s="888"/>
    </row>
    <row r="2706" spans="1:18" s="893" customFormat="1" x14ac:dyDescent="0.3">
      <c r="A2706" s="888" t="s">
        <v>2062</v>
      </c>
      <c r="B2706" s="888" t="s">
        <v>1954</v>
      </c>
      <c r="C2706" s="1008" t="s">
        <v>5491</v>
      </c>
      <c r="D2706" s="888"/>
      <c r="E2706" s="893" t="s">
        <v>3602</v>
      </c>
      <c r="I2706" s="888"/>
      <c r="J2706" s="888"/>
      <c r="K2706" s="888"/>
      <c r="L2706" s="888"/>
      <c r="M2706" s="888"/>
      <c r="N2706" s="888"/>
      <c r="O2706" s="888"/>
      <c r="P2706" s="888"/>
      <c r="Q2706" s="888"/>
      <c r="R2706" s="888"/>
    </row>
    <row r="2707" spans="1:18" s="893" customFormat="1" x14ac:dyDescent="0.3">
      <c r="A2707" s="888" t="s">
        <v>2062</v>
      </c>
      <c r="B2707" s="888" t="s">
        <v>1954</v>
      </c>
      <c r="C2707" s="1008" t="s">
        <v>5492</v>
      </c>
      <c r="D2707" s="888"/>
      <c r="E2707" s="893" t="str">
        <f>$E$2692</f>
        <v>BCRMCA</v>
      </c>
      <c r="I2707" s="888"/>
      <c r="J2707" s="888"/>
      <c r="K2707" s="888"/>
      <c r="L2707" s="888"/>
      <c r="M2707" s="888"/>
      <c r="N2707" s="888"/>
      <c r="O2707" s="888"/>
      <c r="P2707" s="888"/>
      <c r="Q2707" s="888"/>
      <c r="R2707" s="888"/>
    </row>
    <row r="2708" spans="1:18" s="893" customFormat="1" x14ac:dyDescent="0.3">
      <c r="A2708" s="888" t="s">
        <v>2062</v>
      </c>
      <c r="B2708" s="888" t="s">
        <v>1954</v>
      </c>
      <c r="C2708" s="1008" t="s">
        <v>5493</v>
      </c>
      <c r="D2708" s="888"/>
      <c r="E2708" s="893" t="str">
        <f>$E$2693</f>
        <v>Can. BC Avg.</v>
      </c>
      <c r="I2708" s="888"/>
      <c r="J2708" s="888"/>
      <c r="K2708" s="888"/>
      <c r="L2708" s="888"/>
      <c r="M2708" s="888"/>
      <c r="N2708" s="888"/>
      <c r="O2708" s="888"/>
      <c r="P2708" s="888"/>
      <c r="Q2708" s="888"/>
      <c r="R2708" s="888"/>
    </row>
    <row r="2709" spans="1:18" s="893" customFormat="1" x14ac:dyDescent="0.3">
      <c r="A2709" s="888" t="s">
        <v>2062</v>
      </c>
      <c r="B2709" s="888" t="s">
        <v>1954</v>
      </c>
      <c r="C2709" s="1008" t="s">
        <v>5494</v>
      </c>
      <c r="D2709" s="888"/>
      <c r="E2709" s="893" t="s">
        <v>3603</v>
      </c>
      <c r="I2709" s="888"/>
      <c r="J2709" s="888"/>
      <c r="K2709" s="888"/>
      <c r="L2709" s="888"/>
      <c r="M2709" s="888"/>
      <c r="N2709" s="888"/>
      <c r="O2709" s="888"/>
      <c r="P2709" s="888"/>
      <c r="Q2709" s="888"/>
      <c r="R2709" s="888"/>
    </row>
    <row r="2710" spans="1:18" s="893" customFormat="1" x14ac:dyDescent="0.3">
      <c r="A2710" s="888" t="s">
        <v>2062</v>
      </c>
      <c r="B2710" s="888" t="s">
        <v>1954</v>
      </c>
      <c r="C2710" s="1008" t="s">
        <v>5495</v>
      </c>
      <c r="D2710" s="888"/>
      <c r="E2710" s="893" t="str">
        <f>$E$2692</f>
        <v>BCRMCA</v>
      </c>
      <c r="I2710" s="888"/>
      <c r="J2710" s="888"/>
      <c r="K2710" s="888"/>
      <c r="L2710" s="888"/>
      <c r="M2710" s="888"/>
      <c r="N2710" s="888"/>
      <c r="O2710" s="888"/>
      <c r="P2710" s="888"/>
      <c r="Q2710" s="888"/>
      <c r="R2710" s="888"/>
    </row>
    <row r="2711" spans="1:18" s="893" customFormat="1" x14ac:dyDescent="0.3">
      <c r="A2711" s="888" t="s">
        <v>2062</v>
      </c>
      <c r="B2711" s="888" t="s">
        <v>1954</v>
      </c>
      <c r="C2711" s="1008" t="s">
        <v>5496</v>
      </c>
      <c r="D2711" s="888"/>
      <c r="E2711" s="893" t="str">
        <f>$E$2693</f>
        <v>Can. BC Avg.</v>
      </c>
      <c r="I2711" s="888"/>
      <c r="J2711" s="888"/>
      <c r="K2711" s="888"/>
      <c r="L2711" s="888"/>
      <c r="M2711" s="888"/>
      <c r="N2711" s="888"/>
      <c r="O2711" s="888"/>
      <c r="P2711" s="888"/>
      <c r="Q2711" s="888"/>
      <c r="R2711" s="888"/>
    </row>
    <row r="2712" spans="1:18" s="893" customFormat="1" x14ac:dyDescent="0.3">
      <c r="A2712" s="888" t="s">
        <v>2062</v>
      </c>
      <c r="B2712" s="888" t="s">
        <v>1954</v>
      </c>
      <c r="C2712" s="1008" t="s">
        <v>5497</v>
      </c>
      <c r="D2712" s="888"/>
      <c r="E2712" s="893" t="s">
        <v>3604</v>
      </c>
      <c r="I2712" s="888"/>
      <c r="J2712" s="888"/>
      <c r="K2712" s="888"/>
      <c r="L2712" s="888"/>
      <c r="M2712" s="888"/>
      <c r="N2712" s="888"/>
      <c r="O2712" s="888"/>
      <c r="P2712" s="888"/>
      <c r="Q2712" s="888"/>
      <c r="R2712" s="888"/>
    </row>
    <row r="2713" spans="1:18" s="893" customFormat="1" x14ac:dyDescent="0.3">
      <c r="A2713" s="888" t="s">
        <v>2062</v>
      </c>
      <c r="B2713" s="888" t="s">
        <v>1954</v>
      </c>
      <c r="C2713" s="1008" t="s">
        <v>5498</v>
      </c>
      <c r="D2713" s="888"/>
      <c r="E2713" s="893" t="str">
        <f>$E$2692</f>
        <v>BCRMCA</v>
      </c>
      <c r="I2713" s="888"/>
      <c r="J2713" s="888"/>
      <c r="K2713" s="888"/>
      <c r="L2713" s="888"/>
      <c r="M2713" s="888"/>
      <c r="N2713" s="888"/>
      <c r="O2713" s="888"/>
      <c r="P2713" s="888"/>
      <c r="Q2713" s="888"/>
      <c r="R2713" s="888"/>
    </row>
    <row r="2714" spans="1:18" s="893" customFormat="1" x14ac:dyDescent="0.3">
      <c r="A2714" s="888" t="s">
        <v>2062</v>
      </c>
      <c r="B2714" s="888" t="s">
        <v>1954</v>
      </c>
      <c r="C2714" s="1008" t="s">
        <v>5499</v>
      </c>
      <c r="D2714" s="888"/>
      <c r="E2714" s="893" t="str">
        <f>$E$2693</f>
        <v>Can. BC Avg.</v>
      </c>
      <c r="I2714" s="888"/>
      <c r="J2714" s="888"/>
      <c r="K2714" s="888"/>
      <c r="L2714" s="888"/>
      <c r="M2714" s="888"/>
      <c r="N2714" s="888"/>
      <c r="O2714" s="888"/>
      <c r="P2714" s="888"/>
      <c r="Q2714" s="888"/>
      <c r="R2714" s="888"/>
    </row>
    <row r="2715" spans="1:18" s="893" customFormat="1" x14ac:dyDescent="0.3">
      <c r="A2715" s="888" t="s">
        <v>2062</v>
      </c>
      <c r="B2715" s="888" t="s">
        <v>1954</v>
      </c>
      <c r="C2715" s="1008" t="s">
        <v>5500</v>
      </c>
      <c r="D2715" s="888"/>
      <c r="E2715" s="893" t="str">
        <f>$E$2586</f>
        <v>Concrete - 35 MPa, GU</v>
      </c>
      <c r="I2715" s="888"/>
      <c r="J2715" s="888"/>
      <c r="K2715" s="888"/>
      <c r="L2715" s="888"/>
      <c r="M2715" s="888"/>
      <c r="N2715" s="888"/>
      <c r="O2715" s="888"/>
      <c r="P2715" s="888"/>
      <c r="Q2715" s="888"/>
      <c r="R2715" s="888"/>
    </row>
    <row r="2716" spans="1:18" s="893" customFormat="1" x14ac:dyDescent="0.3">
      <c r="A2716" s="888" t="s">
        <v>2062</v>
      </c>
      <c r="B2716" s="888" t="s">
        <v>1954</v>
      </c>
      <c r="C2716" s="1008" t="s">
        <v>5501</v>
      </c>
      <c r="D2716" s="888"/>
      <c r="E2716" s="893" t="str">
        <f>$E$2692</f>
        <v>BCRMCA</v>
      </c>
      <c r="I2716" s="888"/>
      <c r="J2716" s="888"/>
      <c r="K2716" s="888"/>
      <c r="L2716" s="888"/>
      <c r="M2716" s="888"/>
      <c r="N2716" s="888"/>
      <c r="O2716" s="888"/>
      <c r="P2716" s="888"/>
      <c r="Q2716" s="888"/>
      <c r="R2716" s="888"/>
    </row>
    <row r="2717" spans="1:18" s="893" customFormat="1" x14ac:dyDescent="0.3">
      <c r="A2717" s="888" t="s">
        <v>2062</v>
      </c>
      <c r="B2717" s="888" t="s">
        <v>1954</v>
      </c>
      <c r="C2717" s="1008" t="s">
        <v>5502</v>
      </c>
      <c r="D2717" s="888"/>
      <c r="E2717" s="893" t="str">
        <f>$E$2693</f>
        <v>Can. BC Avg.</v>
      </c>
      <c r="I2717" s="888"/>
      <c r="J2717" s="888"/>
      <c r="K2717" s="888"/>
      <c r="L2717" s="888"/>
      <c r="M2717" s="888"/>
      <c r="N2717" s="888"/>
      <c r="O2717" s="888"/>
      <c r="P2717" s="888"/>
      <c r="Q2717" s="888"/>
      <c r="R2717" s="888"/>
    </row>
    <row r="2718" spans="1:18" s="893" customFormat="1" x14ac:dyDescent="0.3">
      <c r="A2718" s="888" t="s">
        <v>2062</v>
      </c>
      <c r="B2718" s="888" t="s">
        <v>1954</v>
      </c>
      <c r="C2718" s="1008" t="s">
        <v>5503</v>
      </c>
      <c r="D2718" s="888"/>
      <c r="E2718" s="1015" t="s">
        <v>3605</v>
      </c>
      <c r="I2718" s="888"/>
      <c r="J2718" s="888"/>
      <c r="K2718" s="888"/>
      <c r="L2718" s="888"/>
      <c r="M2718" s="888"/>
      <c r="N2718" s="888"/>
      <c r="O2718" s="888"/>
      <c r="P2718" s="888"/>
      <c r="Q2718" s="888"/>
      <c r="R2718" s="888"/>
    </row>
    <row r="2719" spans="1:18" s="893" customFormat="1" x14ac:dyDescent="0.3">
      <c r="A2719" s="888" t="s">
        <v>2062</v>
      </c>
      <c r="B2719" s="888" t="s">
        <v>1954</v>
      </c>
      <c r="C2719" s="1008" t="s">
        <v>5504</v>
      </c>
      <c r="D2719" s="888"/>
      <c r="E2719" s="893" t="str">
        <f>$E$2692</f>
        <v>BCRMCA</v>
      </c>
      <c r="I2719" s="888"/>
      <c r="J2719" s="888"/>
      <c r="K2719" s="888"/>
      <c r="L2719" s="888"/>
      <c r="M2719" s="888"/>
      <c r="N2719" s="888"/>
      <c r="O2719" s="888"/>
      <c r="P2719" s="888"/>
      <c r="Q2719" s="888"/>
      <c r="R2719" s="888"/>
    </row>
    <row r="2720" spans="1:18" s="893" customFormat="1" x14ac:dyDescent="0.3">
      <c r="A2720" s="888" t="s">
        <v>2062</v>
      </c>
      <c r="B2720" s="888" t="s">
        <v>1954</v>
      </c>
      <c r="C2720" s="1008" t="s">
        <v>5505</v>
      </c>
      <c r="D2720" s="888"/>
      <c r="E2720" s="893" t="str">
        <f>$E$2693</f>
        <v>Can. BC Avg.</v>
      </c>
      <c r="I2720" s="888"/>
      <c r="J2720" s="888"/>
      <c r="K2720" s="888"/>
      <c r="L2720" s="888"/>
      <c r="M2720" s="888"/>
      <c r="N2720" s="888"/>
      <c r="O2720" s="888"/>
      <c r="P2720" s="888"/>
      <c r="Q2720" s="888"/>
      <c r="R2720" s="888"/>
    </row>
    <row r="2721" spans="1:18" s="893" customFormat="1" x14ac:dyDescent="0.3">
      <c r="A2721" s="888" t="s">
        <v>2062</v>
      </c>
      <c r="B2721" s="888" t="s">
        <v>1954</v>
      </c>
      <c r="C2721" s="1008" t="s">
        <v>5506</v>
      </c>
      <c r="D2721" s="888"/>
      <c r="E2721" s="893" t="s">
        <v>3606</v>
      </c>
      <c r="I2721" s="888"/>
      <c r="J2721" s="888"/>
      <c r="K2721" s="888"/>
      <c r="L2721" s="888"/>
      <c r="M2721" s="888"/>
      <c r="N2721" s="888"/>
      <c r="O2721" s="888"/>
      <c r="P2721" s="888"/>
      <c r="Q2721" s="888"/>
      <c r="R2721" s="888"/>
    </row>
    <row r="2722" spans="1:18" s="893" customFormat="1" x14ac:dyDescent="0.3">
      <c r="A2722" s="888" t="s">
        <v>2062</v>
      </c>
      <c r="B2722" s="888" t="s">
        <v>1954</v>
      </c>
      <c r="C2722" s="1008" t="s">
        <v>5507</v>
      </c>
      <c r="D2722" s="888"/>
      <c r="E2722" s="893" t="str">
        <f>$E$2692</f>
        <v>BCRMCA</v>
      </c>
      <c r="I2722" s="888"/>
      <c r="J2722" s="888"/>
      <c r="K2722" s="888"/>
      <c r="L2722" s="888"/>
      <c r="M2722" s="888"/>
      <c r="N2722" s="888"/>
      <c r="O2722" s="888"/>
      <c r="P2722" s="888"/>
      <c r="Q2722" s="888"/>
      <c r="R2722" s="888"/>
    </row>
    <row r="2723" spans="1:18" s="893" customFormat="1" x14ac:dyDescent="0.3">
      <c r="A2723" s="888" t="s">
        <v>2062</v>
      </c>
      <c r="B2723" s="888" t="s">
        <v>1954</v>
      </c>
      <c r="C2723" s="1008" t="s">
        <v>5508</v>
      </c>
      <c r="D2723" s="888"/>
      <c r="E2723" s="893" t="str">
        <f>$E$2693</f>
        <v>Can. BC Avg.</v>
      </c>
      <c r="I2723" s="888"/>
      <c r="J2723" s="888"/>
      <c r="K2723" s="888"/>
      <c r="L2723" s="888"/>
      <c r="M2723" s="888"/>
      <c r="N2723" s="888"/>
      <c r="O2723" s="888"/>
      <c r="P2723" s="888"/>
      <c r="Q2723" s="888"/>
      <c r="R2723" s="888"/>
    </row>
    <row r="2724" spans="1:18" s="893" customFormat="1" x14ac:dyDescent="0.3">
      <c r="A2724" s="888" t="s">
        <v>2062</v>
      </c>
      <c r="B2724" s="888" t="s">
        <v>1954</v>
      </c>
      <c r="C2724" s="1008" t="s">
        <v>5509</v>
      </c>
      <c r="D2724" s="888"/>
      <c r="E2724" s="893" t="s">
        <v>3607</v>
      </c>
      <c r="I2724" s="888"/>
      <c r="J2724" s="888"/>
      <c r="K2724" s="888"/>
      <c r="L2724" s="888"/>
      <c r="M2724" s="888"/>
      <c r="N2724" s="888"/>
      <c r="O2724" s="888"/>
      <c r="P2724" s="888"/>
      <c r="Q2724" s="888"/>
      <c r="R2724" s="888"/>
    </row>
    <row r="2725" spans="1:18" s="893" customFormat="1" x14ac:dyDescent="0.3">
      <c r="A2725" s="888" t="s">
        <v>2062</v>
      </c>
      <c r="B2725" s="888" t="s">
        <v>1954</v>
      </c>
      <c r="C2725" s="1008" t="s">
        <v>5510</v>
      </c>
      <c r="D2725" s="888"/>
      <c r="E2725" s="893" t="str">
        <f>$E$2692</f>
        <v>BCRMCA</v>
      </c>
      <c r="I2725" s="888"/>
      <c r="J2725" s="888"/>
      <c r="K2725" s="888"/>
      <c r="L2725" s="888"/>
      <c r="M2725" s="888"/>
      <c r="N2725" s="888"/>
      <c r="O2725" s="888"/>
      <c r="P2725" s="888"/>
      <c r="Q2725" s="888"/>
      <c r="R2725" s="888"/>
    </row>
    <row r="2726" spans="1:18" s="893" customFormat="1" x14ac:dyDescent="0.3">
      <c r="A2726" s="888" t="s">
        <v>2062</v>
      </c>
      <c r="B2726" s="888" t="s">
        <v>1954</v>
      </c>
      <c r="C2726" s="1008" t="s">
        <v>5511</v>
      </c>
      <c r="D2726" s="888"/>
      <c r="E2726" s="893" t="str">
        <f>$E$2693</f>
        <v>Can. BC Avg.</v>
      </c>
      <c r="I2726" s="888"/>
      <c r="J2726" s="888"/>
      <c r="K2726" s="888"/>
      <c r="L2726" s="888"/>
      <c r="M2726" s="888"/>
      <c r="N2726" s="888"/>
      <c r="O2726" s="888"/>
      <c r="P2726" s="888"/>
      <c r="Q2726" s="888"/>
      <c r="R2726" s="888"/>
    </row>
    <row r="2727" spans="1:18" s="893" customFormat="1" x14ac:dyDescent="0.3">
      <c r="A2727" s="888" t="s">
        <v>2062</v>
      </c>
      <c r="B2727" s="888" t="s">
        <v>1954</v>
      </c>
      <c r="C2727" s="1008" t="s">
        <v>5512</v>
      </c>
      <c r="D2727" s="888"/>
      <c r="E2727" s="893" t="str">
        <f>$E$2556</f>
        <v>Concrete - 25 MPa, GU</v>
      </c>
      <c r="I2727" s="888"/>
      <c r="J2727" s="888"/>
      <c r="K2727" s="888"/>
      <c r="L2727" s="888"/>
      <c r="M2727" s="888"/>
      <c r="N2727" s="888"/>
      <c r="O2727" s="888"/>
      <c r="P2727" s="888"/>
      <c r="Q2727" s="888"/>
      <c r="R2727" s="888"/>
    </row>
    <row r="2728" spans="1:18" s="893" customFormat="1" x14ac:dyDescent="0.3">
      <c r="A2728" s="888" t="s">
        <v>2062</v>
      </c>
      <c r="B2728" s="888" t="s">
        <v>1954</v>
      </c>
      <c r="C2728" s="1008" t="s">
        <v>5513</v>
      </c>
      <c r="D2728" s="888"/>
      <c r="E2728" s="893" t="s">
        <v>3608</v>
      </c>
      <c r="I2728" s="888"/>
      <c r="J2728" s="888"/>
      <c r="K2728" s="888"/>
      <c r="L2728" s="888"/>
      <c r="M2728" s="888"/>
      <c r="N2728" s="888"/>
      <c r="O2728" s="888"/>
      <c r="P2728" s="888"/>
      <c r="Q2728" s="888"/>
      <c r="R2728" s="888"/>
    </row>
    <row r="2729" spans="1:18" s="893" customFormat="1" x14ac:dyDescent="0.3">
      <c r="A2729" s="888" t="s">
        <v>2062</v>
      </c>
      <c r="B2729" s="888" t="s">
        <v>1954</v>
      </c>
      <c r="C2729" s="1008" t="s">
        <v>5514</v>
      </c>
      <c r="D2729" s="888"/>
      <c r="E2729" s="893" t="s">
        <v>3609</v>
      </c>
      <c r="I2729" s="888"/>
      <c r="J2729" s="888"/>
      <c r="K2729" s="888"/>
      <c r="L2729" s="888"/>
      <c r="M2729" s="888"/>
      <c r="N2729" s="888"/>
      <c r="O2729" s="888"/>
      <c r="P2729" s="888"/>
      <c r="Q2729" s="888"/>
      <c r="R2729" s="888"/>
    </row>
    <row r="2730" spans="1:18" s="893" customFormat="1" x14ac:dyDescent="0.3">
      <c r="A2730" s="888" t="s">
        <v>2062</v>
      </c>
      <c r="B2730" s="888" t="s">
        <v>1954</v>
      </c>
      <c r="C2730" s="1008" t="s">
        <v>5515</v>
      </c>
      <c r="D2730" s="888"/>
      <c r="E2730" s="893" t="str">
        <f>$E$2499</f>
        <v>Concrete - 25 MPa, 10% FA, GU</v>
      </c>
      <c r="I2730" s="888"/>
      <c r="J2730" s="888"/>
      <c r="K2730" s="888"/>
      <c r="L2730" s="888"/>
      <c r="M2730" s="888"/>
      <c r="N2730" s="888"/>
      <c r="O2730" s="888"/>
      <c r="P2730" s="888"/>
      <c r="Q2730" s="888"/>
      <c r="R2730" s="888"/>
    </row>
    <row r="2731" spans="1:18" s="893" customFormat="1" x14ac:dyDescent="0.3">
      <c r="A2731" s="888" t="s">
        <v>2062</v>
      </c>
      <c r="B2731" s="888" t="s">
        <v>1954</v>
      </c>
      <c r="C2731" s="1008" t="s">
        <v>5516</v>
      </c>
      <c r="D2731" s="888"/>
      <c r="E2731" s="893" t="str">
        <f>$E$2728</f>
        <v>ACA</v>
      </c>
      <c r="I2731" s="888"/>
      <c r="J2731" s="888"/>
      <c r="K2731" s="888"/>
      <c r="L2731" s="888"/>
      <c r="M2731" s="888"/>
      <c r="N2731" s="888"/>
      <c r="O2731" s="888"/>
      <c r="P2731" s="888"/>
      <c r="Q2731" s="888"/>
      <c r="R2731" s="888"/>
    </row>
    <row r="2732" spans="1:18" s="893" customFormat="1" x14ac:dyDescent="0.3">
      <c r="A2732" s="888" t="s">
        <v>2062</v>
      </c>
      <c r="B2732" s="888" t="s">
        <v>1954</v>
      </c>
      <c r="C2732" s="1008" t="s">
        <v>5517</v>
      </c>
      <c r="D2732" s="888"/>
      <c r="E2732" s="893" t="str">
        <f>$E$2729</f>
        <v>Can. Atlantic Avg.</v>
      </c>
      <c r="I2732" s="888"/>
      <c r="J2732" s="888"/>
      <c r="K2732" s="888"/>
      <c r="L2732" s="888"/>
      <c r="M2732" s="888"/>
      <c r="N2732" s="888"/>
      <c r="O2732" s="888"/>
      <c r="P2732" s="888"/>
      <c r="Q2732" s="888"/>
      <c r="R2732" s="888"/>
    </row>
    <row r="2733" spans="1:18" s="893" customFormat="1" x14ac:dyDescent="0.3">
      <c r="A2733" s="888" t="s">
        <v>2062</v>
      </c>
      <c r="B2733" s="888" t="s">
        <v>1954</v>
      </c>
      <c r="C2733" s="1008" t="s">
        <v>5518</v>
      </c>
      <c r="D2733" s="888"/>
      <c r="E2733" s="893" t="str">
        <f>$E$2505</f>
        <v>Concrete - 25 MPa, 20% FA, GU</v>
      </c>
      <c r="I2733" s="888"/>
      <c r="J2733" s="888"/>
      <c r="K2733" s="888"/>
      <c r="L2733" s="888"/>
      <c r="M2733" s="888"/>
      <c r="N2733" s="888"/>
      <c r="O2733" s="888"/>
      <c r="P2733" s="888"/>
      <c r="Q2733" s="888"/>
      <c r="R2733" s="888"/>
    </row>
    <row r="2734" spans="1:18" s="893" customFormat="1" x14ac:dyDescent="0.3">
      <c r="A2734" s="888" t="s">
        <v>2062</v>
      </c>
      <c r="B2734" s="888" t="s">
        <v>1954</v>
      </c>
      <c r="C2734" s="1008" t="s">
        <v>5519</v>
      </c>
      <c r="D2734" s="888"/>
      <c r="E2734" s="893" t="str">
        <f>$E$2728</f>
        <v>ACA</v>
      </c>
      <c r="I2734" s="888"/>
      <c r="J2734" s="888"/>
      <c r="K2734" s="888"/>
      <c r="L2734" s="888"/>
      <c r="M2734" s="888"/>
      <c r="N2734" s="888"/>
      <c r="O2734" s="888"/>
      <c r="P2734" s="888"/>
      <c r="Q2734" s="888"/>
      <c r="R2734" s="888"/>
    </row>
    <row r="2735" spans="1:18" s="893" customFormat="1" x14ac:dyDescent="0.3">
      <c r="A2735" s="888" t="s">
        <v>2062</v>
      </c>
      <c r="B2735" s="888" t="s">
        <v>1954</v>
      </c>
      <c r="C2735" s="1008" t="s">
        <v>5520</v>
      </c>
      <c r="D2735" s="888"/>
      <c r="E2735" s="893" t="str">
        <f>$E$2729</f>
        <v>Can. Atlantic Avg.</v>
      </c>
      <c r="I2735" s="888"/>
      <c r="J2735" s="888"/>
      <c r="K2735" s="888"/>
      <c r="L2735" s="888"/>
      <c r="M2735" s="888"/>
      <c r="N2735" s="888"/>
      <c r="O2735" s="888"/>
      <c r="P2735" s="888"/>
      <c r="Q2735" s="888"/>
      <c r="R2735" s="888"/>
    </row>
    <row r="2736" spans="1:18" s="893" customFormat="1" x14ac:dyDescent="0.3">
      <c r="A2736" s="888" t="s">
        <v>2062</v>
      </c>
      <c r="B2736" s="888" t="s">
        <v>1954</v>
      </c>
      <c r="C2736" s="1008" t="s">
        <v>5521</v>
      </c>
      <c r="D2736" s="888"/>
      <c r="E2736" s="893" t="str">
        <f>$E$2511</f>
        <v>Concrete - 25 MPa, 30% FA, GU</v>
      </c>
      <c r="I2736" s="888"/>
      <c r="J2736" s="888"/>
      <c r="K2736" s="888"/>
      <c r="L2736" s="888"/>
      <c r="M2736" s="888"/>
      <c r="N2736" s="888"/>
      <c r="O2736" s="888"/>
      <c r="P2736" s="888"/>
      <c r="Q2736" s="888"/>
      <c r="R2736" s="888"/>
    </row>
    <row r="2737" spans="1:18" s="893" customFormat="1" x14ac:dyDescent="0.3">
      <c r="A2737" s="888" t="s">
        <v>2062</v>
      </c>
      <c r="B2737" s="888" t="s">
        <v>1954</v>
      </c>
      <c r="C2737" s="1008" t="s">
        <v>5522</v>
      </c>
      <c r="D2737" s="888"/>
      <c r="E2737" s="893" t="str">
        <f>$E$2728</f>
        <v>ACA</v>
      </c>
      <c r="I2737" s="888"/>
      <c r="J2737" s="888"/>
      <c r="K2737" s="888"/>
      <c r="L2737" s="888"/>
      <c r="M2737" s="888"/>
      <c r="N2737" s="888"/>
      <c r="O2737" s="888"/>
      <c r="P2737" s="888"/>
      <c r="Q2737" s="888"/>
      <c r="R2737" s="888"/>
    </row>
    <row r="2738" spans="1:18" s="893" customFormat="1" x14ac:dyDescent="0.3">
      <c r="A2738" s="888" t="s">
        <v>2062</v>
      </c>
      <c r="B2738" s="888" t="s">
        <v>1954</v>
      </c>
      <c r="C2738" s="1008" t="s">
        <v>5523</v>
      </c>
      <c r="D2738" s="888"/>
      <c r="E2738" s="893" t="str">
        <f>$E$2729</f>
        <v>Can. Atlantic Avg.</v>
      </c>
      <c r="I2738" s="888"/>
      <c r="J2738" s="888"/>
      <c r="K2738" s="888"/>
      <c r="L2738" s="888"/>
      <c r="M2738" s="888"/>
      <c r="N2738" s="888"/>
      <c r="O2738" s="888"/>
      <c r="P2738" s="888"/>
      <c r="Q2738" s="888"/>
      <c r="R2738" s="888"/>
    </row>
    <row r="2739" spans="1:18" s="893" customFormat="1" x14ac:dyDescent="0.3">
      <c r="A2739" s="888" t="s">
        <v>2062</v>
      </c>
      <c r="B2739" s="888" t="s">
        <v>1954</v>
      </c>
      <c r="C2739" s="1008" t="s">
        <v>5524</v>
      </c>
      <c r="D2739" s="888"/>
      <c r="E2739" s="893" t="str">
        <f>$E$2613</f>
        <v>Concrete - 25 MPa, 40% FA, GU</v>
      </c>
      <c r="I2739" s="888"/>
      <c r="J2739" s="888"/>
      <c r="K2739" s="888"/>
      <c r="L2739" s="888"/>
      <c r="M2739" s="888"/>
      <c r="N2739" s="888"/>
      <c r="O2739" s="888"/>
      <c r="P2739" s="888"/>
      <c r="Q2739" s="888"/>
      <c r="R2739" s="888"/>
    </row>
    <row r="2740" spans="1:18" s="893" customFormat="1" x14ac:dyDescent="0.3">
      <c r="A2740" s="888" t="s">
        <v>2062</v>
      </c>
      <c r="B2740" s="888" t="s">
        <v>1954</v>
      </c>
      <c r="C2740" s="1008" t="s">
        <v>5525</v>
      </c>
      <c r="D2740" s="888"/>
      <c r="E2740" s="893" t="str">
        <f>$E$2728</f>
        <v>ACA</v>
      </c>
      <c r="I2740" s="888"/>
      <c r="J2740" s="888"/>
      <c r="K2740" s="888"/>
      <c r="L2740" s="888"/>
      <c r="M2740" s="888"/>
      <c r="N2740" s="888"/>
      <c r="O2740" s="888"/>
      <c r="P2740" s="888"/>
      <c r="Q2740" s="888"/>
      <c r="R2740" s="888"/>
    </row>
    <row r="2741" spans="1:18" s="893" customFormat="1" x14ac:dyDescent="0.3">
      <c r="A2741" s="888" t="s">
        <v>2062</v>
      </c>
      <c r="B2741" s="888" t="s">
        <v>1954</v>
      </c>
      <c r="C2741" s="1008" t="s">
        <v>5526</v>
      </c>
      <c r="D2741" s="888"/>
      <c r="E2741" s="893" t="str">
        <f>$E$2729</f>
        <v>Can. Atlantic Avg.</v>
      </c>
      <c r="I2741" s="888"/>
      <c r="J2741" s="888"/>
      <c r="K2741" s="888"/>
      <c r="L2741" s="888"/>
      <c r="M2741" s="888"/>
      <c r="N2741" s="888"/>
      <c r="O2741" s="888"/>
      <c r="P2741" s="888"/>
      <c r="Q2741" s="888"/>
      <c r="R2741" s="888"/>
    </row>
    <row r="2742" spans="1:18" s="893" customFormat="1" x14ac:dyDescent="0.3">
      <c r="A2742" s="888" t="s">
        <v>2062</v>
      </c>
      <c r="B2742" s="888" t="s">
        <v>1954</v>
      </c>
      <c r="C2742" s="1008" t="s">
        <v>5527</v>
      </c>
      <c r="D2742" s="888"/>
      <c r="E2742" s="893" t="str">
        <f>$E$2571</f>
        <v>Concrete - 30 MPa, GU</v>
      </c>
      <c r="I2742" s="888"/>
      <c r="J2742" s="888"/>
      <c r="K2742" s="888"/>
      <c r="L2742" s="888"/>
      <c r="M2742" s="888"/>
      <c r="N2742" s="888"/>
      <c r="O2742" s="888"/>
      <c r="P2742" s="888"/>
      <c r="Q2742" s="888"/>
      <c r="R2742" s="888"/>
    </row>
    <row r="2743" spans="1:18" s="893" customFormat="1" x14ac:dyDescent="0.3">
      <c r="A2743" s="888" t="s">
        <v>2062</v>
      </c>
      <c r="B2743" s="888" t="s">
        <v>1954</v>
      </c>
      <c r="C2743" s="1008" t="s">
        <v>5528</v>
      </c>
      <c r="D2743" s="888"/>
      <c r="E2743" s="893" t="str">
        <f>$E$2728</f>
        <v>ACA</v>
      </c>
      <c r="I2743" s="888"/>
      <c r="J2743" s="888"/>
      <c r="K2743" s="888"/>
      <c r="L2743" s="888"/>
      <c r="M2743" s="888"/>
      <c r="N2743" s="888"/>
      <c r="O2743" s="888"/>
      <c r="P2743" s="888"/>
      <c r="Q2743" s="888"/>
      <c r="R2743" s="888"/>
    </row>
    <row r="2744" spans="1:18" s="893" customFormat="1" x14ac:dyDescent="0.3">
      <c r="A2744" s="888" t="s">
        <v>2062</v>
      </c>
      <c r="B2744" s="888" t="s">
        <v>1954</v>
      </c>
      <c r="C2744" s="1008" t="s">
        <v>5529</v>
      </c>
      <c r="D2744" s="888"/>
      <c r="E2744" s="893" t="str">
        <f>$E$2729</f>
        <v>Can. Atlantic Avg.</v>
      </c>
      <c r="I2744" s="888"/>
      <c r="J2744" s="888"/>
      <c r="K2744" s="888"/>
      <c r="L2744" s="888"/>
      <c r="M2744" s="888"/>
      <c r="N2744" s="888"/>
      <c r="O2744" s="888"/>
      <c r="P2744" s="888"/>
      <c r="Q2744" s="888"/>
      <c r="R2744" s="888"/>
    </row>
    <row r="2745" spans="1:18" s="893" customFormat="1" x14ac:dyDescent="0.3">
      <c r="A2745" s="888" t="s">
        <v>2062</v>
      </c>
      <c r="B2745" s="888" t="s">
        <v>1954</v>
      </c>
      <c r="C2745" s="1008" t="s">
        <v>5530</v>
      </c>
      <c r="D2745" s="888"/>
      <c r="E2745" s="893" t="str">
        <f>$E$2520</f>
        <v>Concrete - 30 MPa, 10% FA, GU</v>
      </c>
      <c r="I2745" s="888"/>
      <c r="J2745" s="888"/>
      <c r="K2745" s="888"/>
      <c r="L2745" s="888"/>
      <c r="M2745" s="888"/>
      <c r="N2745" s="888"/>
      <c r="O2745" s="888"/>
      <c r="P2745" s="888"/>
      <c r="Q2745" s="888"/>
      <c r="R2745" s="888"/>
    </row>
    <row r="2746" spans="1:18" s="893" customFormat="1" x14ac:dyDescent="0.3">
      <c r="A2746" s="888" t="s">
        <v>2062</v>
      </c>
      <c r="B2746" s="888" t="s">
        <v>1954</v>
      </c>
      <c r="C2746" s="1008" t="s">
        <v>5531</v>
      </c>
      <c r="D2746" s="888"/>
      <c r="E2746" s="893" t="str">
        <f>$E$2728</f>
        <v>ACA</v>
      </c>
      <c r="I2746" s="888"/>
      <c r="J2746" s="888"/>
      <c r="K2746" s="888"/>
      <c r="L2746" s="888"/>
      <c r="M2746" s="888"/>
      <c r="N2746" s="888"/>
      <c r="O2746" s="888"/>
      <c r="P2746" s="888"/>
      <c r="Q2746" s="888"/>
      <c r="R2746" s="888"/>
    </row>
    <row r="2747" spans="1:18" s="893" customFormat="1" x14ac:dyDescent="0.3">
      <c r="A2747" s="888" t="s">
        <v>2062</v>
      </c>
      <c r="B2747" s="888" t="s">
        <v>1954</v>
      </c>
      <c r="C2747" s="1008" t="s">
        <v>5532</v>
      </c>
      <c r="D2747" s="888"/>
      <c r="E2747" s="893" t="str">
        <f>$E$2729</f>
        <v>Can. Atlantic Avg.</v>
      </c>
      <c r="I2747" s="888"/>
      <c r="J2747" s="888"/>
      <c r="K2747" s="888"/>
      <c r="L2747" s="888"/>
      <c r="M2747" s="888"/>
      <c r="N2747" s="888"/>
      <c r="O2747" s="888"/>
      <c r="P2747" s="888"/>
      <c r="Q2747" s="888"/>
      <c r="R2747" s="888"/>
    </row>
    <row r="2748" spans="1:18" s="893" customFormat="1" x14ac:dyDescent="0.3">
      <c r="A2748" s="888" t="s">
        <v>2062</v>
      </c>
      <c r="B2748" s="888" t="s">
        <v>1954</v>
      </c>
      <c r="C2748" s="1008" t="s">
        <v>5533</v>
      </c>
      <c r="D2748" s="888"/>
      <c r="E2748" s="893" t="str">
        <f>$E$2526</f>
        <v>Concrete - 30 MPa, 20% FA, GU</v>
      </c>
      <c r="I2748" s="888"/>
      <c r="J2748" s="888"/>
      <c r="K2748" s="888"/>
      <c r="L2748" s="888"/>
      <c r="M2748" s="888"/>
      <c r="N2748" s="888"/>
      <c r="O2748" s="888"/>
      <c r="P2748" s="888"/>
      <c r="Q2748" s="888"/>
      <c r="R2748" s="888"/>
    </row>
    <row r="2749" spans="1:18" s="893" customFormat="1" x14ac:dyDescent="0.3">
      <c r="A2749" s="888" t="s">
        <v>2062</v>
      </c>
      <c r="B2749" s="888" t="s">
        <v>1954</v>
      </c>
      <c r="C2749" s="1008" t="s">
        <v>5534</v>
      </c>
      <c r="D2749" s="888"/>
      <c r="E2749" s="893" t="str">
        <f>$E$2728</f>
        <v>ACA</v>
      </c>
      <c r="I2749" s="888"/>
      <c r="J2749" s="888"/>
      <c r="K2749" s="888"/>
      <c r="L2749" s="888"/>
      <c r="M2749" s="888"/>
      <c r="N2749" s="888"/>
      <c r="O2749" s="888"/>
      <c r="P2749" s="888"/>
      <c r="Q2749" s="888"/>
      <c r="R2749" s="888"/>
    </row>
    <row r="2750" spans="1:18" s="893" customFormat="1" x14ac:dyDescent="0.3">
      <c r="A2750" s="888" t="s">
        <v>2062</v>
      </c>
      <c r="B2750" s="888" t="s">
        <v>1954</v>
      </c>
      <c r="C2750" s="1008" t="s">
        <v>5535</v>
      </c>
      <c r="D2750" s="888"/>
      <c r="E2750" s="893" t="str">
        <f>$E$2729</f>
        <v>Can. Atlantic Avg.</v>
      </c>
      <c r="I2750" s="888"/>
      <c r="J2750" s="888"/>
      <c r="K2750" s="888"/>
      <c r="L2750" s="888"/>
      <c r="M2750" s="888"/>
      <c r="N2750" s="888"/>
      <c r="O2750" s="888"/>
      <c r="P2750" s="888"/>
      <c r="Q2750" s="888"/>
      <c r="R2750" s="888"/>
    </row>
    <row r="2751" spans="1:18" s="893" customFormat="1" x14ac:dyDescent="0.3">
      <c r="A2751" s="888" t="s">
        <v>2062</v>
      </c>
      <c r="B2751" s="888" t="s">
        <v>1954</v>
      </c>
      <c r="C2751" s="1008" t="s">
        <v>5536</v>
      </c>
      <c r="D2751" s="888"/>
      <c r="E2751" s="893" t="str">
        <f>$E$2532</f>
        <v>Concrete - 30 MPa, 30% FA, GU</v>
      </c>
      <c r="I2751" s="888"/>
      <c r="J2751" s="888"/>
      <c r="K2751" s="888"/>
      <c r="L2751" s="888"/>
      <c r="M2751" s="888"/>
      <c r="N2751" s="888"/>
      <c r="O2751" s="888"/>
      <c r="P2751" s="888"/>
      <c r="Q2751" s="888"/>
      <c r="R2751" s="888"/>
    </row>
    <row r="2752" spans="1:18" s="893" customFormat="1" x14ac:dyDescent="0.3">
      <c r="A2752" s="888" t="s">
        <v>2062</v>
      </c>
      <c r="B2752" s="888" t="s">
        <v>1954</v>
      </c>
      <c r="C2752" s="1008" t="s">
        <v>5537</v>
      </c>
      <c r="D2752" s="888"/>
      <c r="E2752" s="893" t="str">
        <f>$E$2728</f>
        <v>ACA</v>
      </c>
      <c r="I2752" s="888"/>
      <c r="J2752" s="888"/>
      <c r="K2752" s="888"/>
      <c r="L2752" s="888"/>
      <c r="M2752" s="888"/>
      <c r="N2752" s="888"/>
      <c r="O2752" s="888"/>
      <c r="P2752" s="888"/>
      <c r="Q2752" s="888"/>
      <c r="R2752" s="888"/>
    </row>
    <row r="2753" spans="1:18" s="893" customFormat="1" x14ac:dyDescent="0.3">
      <c r="A2753" s="888" t="s">
        <v>2062</v>
      </c>
      <c r="B2753" s="888" t="s">
        <v>1954</v>
      </c>
      <c r="C2753" s="1008" t="s">
        <v>5538</v>
      </c>
      <c r="D2753" s="888"/>
      <c r="E2753" s="893" t="str">
        <f>$E$2729</f>
        <v>Can. Atlantic Avg.</v>
      </c>
      <c r="I2753" s="888"/>
      <c r="J2753" s="888"/>
      <c r="K2753" s="888"/>
      <c r="L2753" s="888"/>
      <c r="M2753" s="888"/>
      <c r="N2753" s="888"/>
      <c r="O2753" s="888"/>
      <c r="P2753" s="888"/>
      <c r="Q2753" s="888"/>
      <c r="R2753" s="888"/>
    </row>
    <row r="2754" spans="1:18" s="893" customFormat="1" x14ac:dyDescent="0.3">
      <c r="A2754" s="888" t="s">
        <v>2062</v>
      </c>
      <c r="B2754" s="888" t="s">
        <v>1954</v>
      </c>
      <c r="C2754" s="1008" t="s">
        <v>5539</v>
      </c>
      <c r="D2754" s="888"/>
      <c r="E2754" s="893" t="str">
        <f>$E$2628</f>
        <v>Concrete - 30 MPa, 40% FA, GU</v>
      </c>
      <c r="I2754" s="888"/>
      <c r="J2754" s="888"/>
      <c r="K2754" s="888"/>
      <c r="L2754" s="888"/>
      <c r="M2754" s="888"/>
      <c r="N2754" s="888"/>
      <c r="O2754" s="888"/>
      <c r="P2754" s="888"/>
      <c r="Q2754" s="888"/>
      <c r="R2754" s="888"/>
    </row>
    <row r="2755" spans="1:18" s="893" customFormat="1" x14ac:dyDescent="0.3">
      <c r="A2755" s="888" t="s">
        <v>2062</v>
      </c>
      <c r="B2755" s="888" t="s">
        <v>1954</v>
      </c>
      <c r="C2755" s="1008" t="s">
        <v>5540</v>
      </c>
      <c r="D2755" s="888"/>
      <c r="E2755" s="893" t="str">
        <f>$E$2728</f>
        <v>ACA</v>
      </c>
      <c r="I2755" s="888"/>
      <c r="J2755" s="888"/>
      <c r="K2755" s="888"/>
      <c r="L2755" s="888"/>
      <c r="M2755" s="888"/>
      <c r="N2755" s="888"/>
      <c r="O2755" s="888"/>
      <c r="P2755" s="888"/>
      <c r="Q2755" s="888"/>
      <c r="R2755" s="888"/>
    </row>
    <row r="2756" spans="1:18" s="893" customFormat="1" x14ac:dyDescent="0.3">
      <c r="A2756" s="888" t="s">
        <v>2062</v>
      </c>
      <c r="B2756" s="888" t="s">
        <v>1954</v>
      </c>
      <c r="C2756" s="1008" t="s">
        <v>5541</v>
      </c>
      <c r="D2756" s="888"/>
      <c r="E2756" s="893" t="str">
        <f>$E$2729</f>
        <v>Can. Atlantic Avg.</v>
      </c>
      <c r="I2756" s="888"/>
      <c r="J2756" s="888"/>
      <c r="K2756" s="888"/>
      <c r="L2756" s="888"/>
      <c r="M2756" s="888"/>
      <c r="N2756" s="888"/>
      <c r="O2756" s="888"/>
      <c r="P2756" s="888"/>
      <c r="Q2756" s="888"/>
      <c r="R2756" s="888"/>
    </row>
    <row r="2757" spans="1:18" s="893" customFormat="1" x14ac:dyDescent="0.3">
      <c r="A2757" s="888" t="s">
        <v>2062</v>
      </c>
      <c r="B2757" s="888" t="s">
        <v>1954</v>
      </c>
      <c r="C2757" s="1008" t="s">
        <v>5542</v>
      </c>
      <c r="D2757" s="888"/>
      <c r="E2757" s="893" t="str">
        <f>$E$2586</f>
        <v>Concrete - 35 MPa, GU</v>
      </c>
      <c r="I2757" s="888"/>
      <c r="J2757" s="888"/>
      <c r="K2757" s="888"/>
      <c r="L2757" s="888"/>
      <c r="M2757" s="888"/>
      <c r="N2757" s="888"/>
      <c r="O2757" s="888"/>
      <c r="P2757" s="888"/>
      <c r="Q2757" s="888"/>
      <c r="R2757" s="888"/>
    </row>
    <row r="2758" spans="1:18" s="893" customFormat="1" x14ac:dyDescent="0.3">
      <c r="A2758" s="888" t="s">
        <v>2062</v>
      </c>
      <c r="B2758" s="888" t="s">
        <v>1954</v>
      </c>
      <c r="C2758" s="1008" t="s">
        <v>5543</v>
      </c>
      <c r="D2758" s="888"/>
      <c r="E2758" s="893" t="str">
        <f>$E$2728</f>
        <v>ACA</v>
      </c>
      <c r="I2758" s="888"/>
      <c r="J2758" s="888"/>
      <c r="K2758" s="888"/>
      <c r="L2758" s="888"/>
      <c r="M2758" s="888"/>
      <c r="N2758" s="888"/>
      <c r="O2758" s="888"/>
      <c r="P2758" s="888"/>
      <c r="Q2758" s="888"/>
      <c r="R2758" s="888"/>
    </row>
    <row r="2759" spans="1:18" s="893" customFormat="1" x14ac:dyDescent="0.3">
      <c r="A2759" s="888" t="s">
        <v>2062</v>
      </c>
      <c r="B2759" s="888" t="s">
        <v>1954</v>
      </c>
      <c r="C2759" s="1008" t="s">
        <v>5544</v>
      </c>
      <c r="D2759" s="888"/>
      <c r="E2759" s="893" t="str">
        <f>$E$2729</f>
        <v>Can. Atlantic Avg.</v>
      </c>
      <c r="I2759" s="888"/>
      <c r="J2759" s="888"/>
      <c r="K2759" s="888"/>
      <c r="L2759" s="888"/>
      <c r="M2759" s="888"/>
      <c r="N2759" s="888"/>
      <c r="O2759" s="888"/>
      <c r="P2759" s="888"/>
      <c r="Q2759" s="888"/>
      <c r="R2759" s="888"/>
    </row>
    <row r="2760" spans="1:18" s="893" customFormat="1" x14ac:dyDescent="0.3">
      <c r="A2760" s="888" t="s">
        <v>2062</v>
      </c>
      <c r="B2760" s="888" t="s">
        <v>1954</v>
      </c>
      <c r="C2760" s="1008" t="s">
        <v>5545</v>
      </c>
      <c r="D2760" s="888"/>
      <c r="E2760" s="893" t="str">
        <f>$E$2541</f>
        <v>Concrete - 35 MPa, 10% FA, GU</v>
      </c>
      <c r="I2760" s="888"/>
      <c r="J2760" s="888"/>
      <c r="K2760" s="888"/>
      <c r="L2760" s="888"/>
      <c r="M2760" s="888"/>
      <c r="N2760" s="888"/>
      <c r="O2760" s="888"/>
      <c r="P2760" s="888"/>
      <c r="Q2760" s="888"/>
      <c r="R2760" s="888"/>
    </row>
    <row r="2761" spans="1:18" s="893" customFormat="1" x14ac:dyDescent="0.3">
      <c r="A2761" s="888" t="s">
        <v>2062</v>
      </c>
      <c r="B2761" s="888" t="s">
        <v>1954</v>
      </c>
      <c r="C2761" s="1008" t="s">
        <v>5546</v>
      </c>
      <c r="D2761" s="1007"/>
      <c r="E2761" s="995" t="str">
        <f>$E$2728</f>
        <v>ACA</v>
      </c>
      <c r="F2761" s="995"/>
      <c r="I2761" s="888"/>
      <c r="J2761" s="888"/>
      <c r="K2761" s="888"/>
      <c r="L2761" s="888"/>
      <c r="M2761" s="888"/>
      <c r="N2761" s="888"/>
      <c r="O2761" s="888"/>
      <c r="P2761" s="888"/>
      <c r="Q2761" s="888"/>
      <c r="R2761" s="888"/>
    </row>
    <row r="2762" spans="1:18" s="893" customFormat="1" x14ac:dyDescent="0.3">
      <c r="A2762" s="888" t="s">
        <v>2062</v>
      </c>
      <c r="B2762" s="888" t="s">
        <v>1954</v>
      </c>
      <c r="C2762" s="1008" t="s">
        <v>5547</v>
      </c>
      <c r="D2762" s="888"/>
      <c r="E2762" s="893" t="str">
        <f>$E$2729</f>
        <v>Can. Atlantic Avg.</v>
      </c>
      <c r="I2762" s="888"/>
      <c r="J2762" s="888"/>
      <c r="K2762" s="888"/>
      <c r="L2762" s="888"/>
      <c r="M2762" s="888"/>
      <c r="N2762" s="888"/>
      <c r="O2762" s="888"/>
      <c r="P2762" s="888"/>
      <c r="Q2762" s="888"/>
      <c r="R2762" s="888"/>
    </row>
    <row r="2763" spans="1:18" s="893" customFormat="1" x14ac:dyDescent="0.3">
      <c r="A2763" s="888" t="s">
        <v>2062</v>
      </c>
      <c r="B2763" s="888" t="s">
        <v>1954</v>
      </c>
      <c r="C2763" s="1008" t="s">
        <v>5548</v>
      </c>
      <c r="D2763" s="888"/>
      <c r="E2763" s="893" t="str">
        <f>$E$2547</f>
        <v>Concrete - 35 MPa, 20% FA, GU</v>
      </c>
      <c r="I2763" s="888"/>
      <c r="J2763" s="888"/>
      <c r="K2763" s="888"/>
      <c r="L2763" s="888"/>
      <c r="M2763" s="888"/>
      <c r="N2763" s="888"/>
      <c r="O2763" s="888"/>
      <c r="P2763" s="888"/>
      <c r="Q2763" s="888"/>
      <c r="R2763" s="888"/>
    </row>
    <row r="2764" spans="1:18" s="893" customFormat="1" x14ac:dyDescent="0.3">
      <c r="A2764" s="888" t="s">
        <v>2062</v>
      </c>
      <c r="B2764" s="888" t="s">
        <v>1954</v>
      </c>
      <c r="C2764" s="1008" t="s">
        <v>5549</v>
      </c>
      <c r="D2764" s="888"/>
      <c r="E2764" s="893" t="str">
        <f>$E$2728</f>
        <v>ACA</v>
      </c>
      <c r="I2764" s="888"/>
      <c r="J2764" s="888"/>
      <c r="K2764" s="888"/>
      <c r="L2764" s="888"/>
      <c r="M2764" s="888"/>
      <c r="N2764" s="888"/>
      <c r="O2764" s="888"/>
      <c r="P2764" s="888"/>
      <c r="Q2764" s="888"/>
      <c r="R2764" s="888"/>
    </row>
    <row r="2765" spans="1:18" s="893" customFormat="1" x14ac:dyDescent="0.3">
      <c r="A2765" s="888" t="s">
        <v>2062</v>
      </c>
      <c r="B2765" s="888" t="s">
        <v>1954</v>
      </c>
      <c r="C2765" s="1008" t="s">
        <v>5550</v>
      </c>
      <c r="D2765" s="888"/>
      <c r="E2765" s="893" t="str">
        <f>$E$2729</f>
        <v>Can. Atlantic Avg.</v>
      </c>
      <c r="I2765" s="888"/>
      <c r="J2765" s="888"/>
      <c r="K2765" s="888"/>
      <c r="L2765" s="888"/>
      <c r="M2765" s="888"/>
      <c r="N2765" s="888"/>
      <c r="O2765" s="888"/>
      <c r="P2765" s="888"/>
      <c r="Q2765" s="888"/>
      <c r="R2765" s="888"/>
    </row>
    <row r="2766" spans="1:18" s="893" customFormat="1" x14ac:dyDescent="0.3">
      <c r="A2766" s="888" t="s">
        <v>2062</v>
      </c>
      <c r="B2766" s="888" t="s">
        <v>1954</v>
      </c>
      <c r="C2766" s="1008" t="s">
        <v>5551</v>
      </c>
      <c r="D2766" s="888"/>
      <c r="E2766" s="893" t="str">
        <f>$E$2553</f>
        <v>Concrete - 35 MPa, 30% FA, GU</v>
      </c>
      <c r="I2766" s="888"/>
      <c r="J2766" s="888"/>
      <c r="K2766" s="888"/>
      <c r="L2766" s="888"/>
      <c r="M2766" s="888"/>
      <c r="N2766" s="888"/>
      <c r="O2766" s="888"/>
      <c r="P2766" s="888"/>
      <c r="Q2766" s="888"/>
      <c r="R2766" s="888"/>
    </row>
    <row r="2767" spans="1:18" s="893" customFormat="1" x14ac:dyDescent="0.3">
      <c r="A2767" s="888" t="s">
        <v>2062</v>
      </c>
      <c r="B2767" s="888" t="s">
        <v>1954</v>
      </c>
      <c r="C2767" s="1008" t="s">
        <v>5552</v>
      </c>
      <c r="D2767" s="888"/>
      <c r="E2767" s="893" t="str">
        <f>$E$2728</f>
        <v>ACA</v>
      </c>
      <c r="I2767" s="888"/>
      <c r="J2767" s="888"/>
      <c r="K2767" s="888"/>
      <c r="L2767" s="888"/>
      <c r="M2767" s="888"/>
      <c r="N2767" s="888"/>
      <c r="O2767" s="888"/>
      <c r="P2767" s="888"/>
      <c r="Q2767" s="888"/>
      <c r="R2767" s="888"/>
    </row>
    <row r="2768" spans="1:18" s="893" customFormat="1" x14ac:dyDescent="0.3">
      <c r="A2768" s="888" t="s">
        <v>2062</v>
      </c>
      <c r="B2768" s="888" t="s">
        <v>1954</v>
      </c>
      <c r="C2768" s="1008" t="s">
        <v>5553</v>
      </c>
      <c r="D2768" s="888"/>
      <c r="E2768" s="893" t="str">
        <f>$E$2729</f>
        <v>Can. Atlantic Avg.</v>
      </c>
      <c r="I2768" s="888"/>
      <c r="J2768" s="888"/>
      <c r="K2768" s="888"/>
      <c r="L2768" s="888"/>
      <c r="M2768" s="888"/>
      <c r="N2768" s="888"/>
      <c r="O2768" s="888"/>
      <c r="P2768" s="888"/>
      <c r="Q2768" s="888"/>
      <c r="R2768" s="888"/>
    </row>
    <row r="2769" spans="1:18" s="893" customFormat="1" x14ac:dyDescent="0.3">
      <c r="A2769" s="888" t="s">
        <v>2062</v>
      </c>
      <c r="B2769" s="888" t="s">
        <v>1954</v>
      </c>
      <c r="C2769" s="1008" t="s">
        <v>5554</v>
      </c>
      <c r="D2769" s="888"/>
      <c r="E2769" s="893" t="str">
        <f>$E$2643</f>
        <v>Concrete - 35 MPa, 40% FA, GU</v>
      </c>
      <c r="I2769" s="888"/>
      <c r="J2769" s="888"/>
      <c r="K2769" s="888"/>
      <c r="L2769" s="888"/>
      <c r="M2769" s="888"/>
      <c r="N2769" s="888"/>
      <c r="O2769" s="888"/>
      <c r="P2769" s="888"/>
      <c r="Q2769" s="888"/>
      <c r="R2769" s="888"/>
    </row>
    <row r="2770" spans="1:18" s="893" customFormat="1" x14ac:dyDescent="0.3">
      <c r="A2770" s="888" t="s">
        <v>2062</v>
      </c>
      <c r="B2770" s="888" t="s">
        <v>1954</v>
      </c>
      <c r="C2770" s="1008" t="s">
        <v>5555</v>
      </c>
      <c r="D2770" s="888"/>
      <c r="E2770" s="893" t="str">
        <f>$E$2728</f>
        <v>ACA</v>
      </c>
      <c r="I2770" s="888"/>
      <c r="J2770" s="888"/>
      <c r="K2770" s="888"/>
      <c r="L2770" s="888"/>
      <c r="M2770" s="888"/>
      <c r="N2770" s="888"/>
      <c r="O2770" s="888"/>
      <c r="P2770" s="888"/>
      <c r="Q2770" s="888"/>
      <c r="R2770" s="888"/>
    </row>
    <row r="2771" spans="1:18" s="893" customFormat="1" x14ac:dyDescent="0.3">
      <c r="A2771" s="888" t="s">
        <v>2062</v>
      </c>
      <c r="B2771" s="888" t="s">
        <v>1954</v>
      </c>
      <c r="C2771" s="1008" t="s">
        <v>5556</v>
      </c>
      <c r="D2771" s="888"/>
      <c r="E2771" s="893" t="str">
        <f>$E$2729</f>
        <v>Can. Atlantic Avg.</v>
      </c>
      <c r="I2771" s="888"/>
      <c r="J2771" s="888"/>
      <c r="K2771" s="888"/>
      <c r="L2771" s="888"/>
      <c r="M2771" s="888"/>
      <c r="N2771" s="888"/>
      <c r="O2771" s="888"/>
      <c r="P2771" s="888"/>
      <c r="Q2771" s="888"/>
      <c r="R2771" s="888"/>
    </row>
    <row r="2772" spans="1:18" s="893" customFormat="1" x14ac:dyDescent="0.3">
      <c r="A2772" s="888" t="s">
        <v>2062</v>
      </c>
      <c r="B2772" s="888" t="s">
        <v>1954</v>
      </c>
      <c r="C2772" s="1008" t="s">
        <v>5557</v>
      </c>
      <c r="D2772" s="888"/>
      <c r="E2772" s="893" t="str">
        <f>$E$2556</f>
        <v>Concrete - 25 MPa, GU</v>
      </c>
      <c r="I2772" s="888"/>
      <c r="J2772" s="888"/>
      <c r="K2772" s="888"/>
      <c r="L2772" s="888"/>
      <c r="M2772" s="888"/>
      <c r="N2772" s="888"/>
      <c r="O2772" s="888"/>
      <c r="P2772" s="888"/>
      <c r="Q2772" s="888"/>
      <c r="R2772" s="888"/>
    </row>
    <row r="2773" spans="1:18" s="893" customFormat="1" x14ac:dyDescent="0.3">
      <c r="A2773" s="888" t="s">
        <v>2062</v>
      </c>
      <c r="B2773" s="888" t="s">
        <v>1954</v>
      </c>
      <c r="C2773" s="1008" t="s">
        <v>5558</v>
      </c>
      <c r="D2773" s="888"/>
      <c r="E2773" s="893" t="s">
        <v>3611</v>
      </c>
      <c r="I2773" s="888"/>
      <c r="J2773" s="888"/>
      <c r="K2773" s="888"/>
      <c r="L2773" s="888"/>
      <c r="M2773" s="888"/>
      <c r="N2773" s="888"/>
      <c r="O2773" s="888"/>
      <c r="P2773" s="888"/>
      <c r="Q2773" s="888"/>
      <c r="R2773" s="888"/>
    </row>
    <row r="2774" spans="1:18" s="893" customFormat="1" x14ac:dyDescent="0.3">
      <c r="A2774" s="888" t="s">
        <v>2062</v>
      </c>
      <c r="B2774" s="888" t="s">
        <v>1954</v>
      </c>
      <c r="C2774" s="1008" t="s">
        <v>5559</v>
      </c>
      <c r="D2774" s="888"/>
      <c r="E2774" s="893" t="s">
        <v>3612</v>
      </c>
      <c r="I2774" s="888"/>
      <c r="J2774" s="888"/>
      <c r="K2774" s="888"/>
      <c r="L2774" s="888"/>
      <c r="M2774" s="888"/>
      <c r="N2774" s="888"/>
      <c r="O2774" s="888"/>
      <c r="P2774" s="888"/>
      <c r="Q2774" s="888"/>
      <c r="R2774" s="888"/>
    </row>
    <row r="2775" spans="1:18" s="893" customFormat="1" x14ac:dyDescent="0.3">
      <c r="A2775" s="888" t="s">
        <v>2062</v>
      </c>
      <c r="B2775" s="888" t="s">
        <v>1954</v>
      </c>
      <c r="C2775" s="1008" t="s">
        <v>5560</v>
      </c>
      <c r="D2775" s="888"/>
      <c r="E2775" s="893" t="str">
        <f>$E$2499</f>
        <v>Concrete - 25 MPa, 10% FA, GU</v>
      </c>
      <c r="I2775" s="888"/>
      <c r="J2775" s="888"/>
      <c r="K2775" s="888"/>
      <c r="L2775" s="888"/>
      <c r="M2775" s="888"/>
      <c r="N2775" s="888"/>
      <c r="O2775" s="888"/>
      <c r="P2775" s="888"/>
      <c r="Q2775" s="888"/>
      <c r="R2775" s="888"/>
    </row>
    <row r="2776" spans="1:18" s="893" customFormat="1" x14ac:dyDescent="0.3">
      <c r="A2776" s="888" t="s">
        <v>2062</v>
      </c>
      <c r="B2776" s="888" t="s">
        <v>1954</v>
      </c>
      <c r="C2776" s="1008" t="s">
        <v>5561</v>
      </c>
      <c r="D2776" s="888"/>
      <c r="E2776" s="893" t="str">
        <f>$E$2773</f>
        <v>ARMCA</v>
      </c>
      <c r="I2776" s="888"/>
      <c r="J2776" s="888"/>
      <c r="K2776" s="888"/>
      <c r="L2776" s="888"/>
      <c r="M2776" s="888"/>
      <c r="N2776" s="888"/>
      <c r="O2776" s="888"/>
      <c r="P2776" s="888"/>
      <c r="Q2776" s="888"/>
      <c r="R2776" s="888"/>
    </row>
    <row r="2777" spans="1:18" s="893" customFormat="1" x14ac:dyDescent="0.3">
      <c r="A2777" s="888" t="s">
        <v>2062</v>
      </c>
      <c r="B2777" s="888" t="s">
        <v>1954</v>
      </c>
      <c r="C2777" s="1008" t="s">
        <v>5562</v>
      </c>
      <c r="D2777" s="888"/>
      <c r="E2777" s="893" t="str">
        <f>$E$2774</f>
        <v>Can. Alberta Avg.</v>
      </c>
      <c r="I2777" s="888"/>
      <c r="J2777" s="888"/>
      <c r="K2777" s="888"/>
      <c r="L2777" s="888"/>
      <c r="M2777" s="888"/>
      <c r="N2777" s="888"/>
      <c r="O2777" s="888"/>
      <c r="P2777" s="888"/>
      <c r="Q2777" s="888"/>
      <c r="R2777" s="888"/>
    </row>
    <row r="2778" spans="1:18" s="893" customFormat="1" x14ac:dyDescent="0.3">
      <c r="A2778" s="888" t="s">
        <v>2062</v>
      </c>
      <c r="B2778" s="888" t="s">
        <v>1954</v>
      </c>
      <c r="C2778" s="1008" t="s">
        <v>5563</v>
      </c>
      <c r="D2778" s="888"/>
      <c r="E2778" s="893" t="str">
        <f>$E$2505</f>
        <v>Concrete - 25 MPa, 20% FA, GU</v>
      </c>
      <c r="I2778" s="888"/>
      <c r="J2778" s="888"/>
      <c r="K2778" s="888"/>
      <c r="L2778" s="888"/>
      <c r="M2778" s="888"/>
      <c r="N2778" s="888"/>
      <c r="O2778" s="888"/>
      <c r="P2778" s="888"/>
      <c r="Q2778" s="888"/>
      <c r="R2778" s="888"/>
    </row>
    <row r="2779" spans="1:18" s="893" customFormat="1" x14ac:dyDescent="0.3">
      <c r="A2779" s="888" t="s">
        <v>2062</v>
      </c>
      <c r="B2779" s="888" t="s">
        <v>1954</v>
      </c>
      <c r="C2779" s="1008" t="s">
        <v>5564</v>
      </c>
      <c r="D2779" s="888"/>
      <c r="E2779" s="893" t="str">
        <f>$E$2773</f>
        <v>ARMCA</v>
      </c>
      <c r="I2779" s="888"/>
      <c r="J2779" s="888"/>
      <c r="K2779" s="888"/>
      <c r="L2779" s="888"/>
      <c r="M2779" s="888"/>
      <c r="N2779" s="888"/>
      <c r="O2779" s="888"/>
      <c r="P2779" s="888"/>
      <c r="Q2779" s="888"/>
      <c r="R2779" s="888"/>
    </row>
    <row r="2780" spans="1:18" s="893" customFormat="1" x14ac:dyDescent="0.3">
      <c r="A2780" s="888" t="s">
        <v>2062</v>
      </c>
      <c r="B2780" s="888" t="s">
        <v>1954</v>
      </c>
      <c r="C2780" s="1008" t="s">
        <v>5565</v>
      </c>
      <c r="D2780" s="888"/>
      <c r="E2780" s="893" t="str">
        <f>$E$2774</f>
        <v>Can. Alberta Avg.</v>
      </c>
      <c r="I2780" s="888"/>
      <c r="J2780" s="888"/>
      <c r="K2780" s="888"/>
      <c r="L2780" s="888"/>
      <c r="M2780" s="888"/>
      <c r="N2780" s="888"/>
      <c r="O2780" s="888"/>
      <c r="P2780" s="888"/>
      <c r="Q2780" s="888"/>
      <c r="R2780" s="888"/>
    </row>
    <row r="2781" spans="1:18" s="893" customFormat="1" x14ac:dyDescent="0.3">
      <c r="A2781" s="888" t="s">
        <v>2062</v>
      </c>
      <c r="B2781" s="888" t="s">
        <v>1954</v>
      </c>
      <c r="C2781" s="1008" t="s">
        <v>5566</v>
      </c>
      <c r="D2781" s="888"/>
      <c r="E2781" s="893" t="str">
        <f>$E$2571</f>
        <v>Concrete - 30 MPa, GU</v>
      </c>
      <c r="I2781" s="888"/>
      <c r="J2781" s="888"/>
      <c r="K2781" s="888"/>
      <c r="L2781" s="888"/>
      <c r="M2781" s="888"/>
      <c r="N2781" s="888"/>
      <c r="O2781" s="888"/>
      <c r="P2781" s="888"/>
      <c r="Q2781" s="888"/>
      <c r="R2781" s="888"/>
    </row>
    <row r="2782" spans="1:18" s="893" customFormat="1" x14ac:dyDescent="0.3">
      <c r="A2782" s="888" t="s">
        <v>2062</v>
      </c>
      <c r="B2782" s="888" t="s">
        <v>1954</v>
      </c>
      <c r="C2782" s="1008" t="s">
        <v>5567</v>
      </c>
      <c r="D2782" s="888"/>
      <c r="E2782" s="893" t="str">
        <f>$E$2773</f>
        <v>ARMCA</v>
      </c>
      <c r="I2782" s="888"/>
      <c r="J2782" s="888"/>
      <c r="K2782" s="888"/>
      <c r="L2782" s="888"/>
      <c r="M2782" s="888"/>
      <c r="N2782" s="888"/>
      <c r="O2782" s="888"/>
      <c r="P2782" s="888"/>
      <c r="Q2782" s="888"/>
      <c r="R2782" s="888"/>
    </row>
    <row r="2783" spans="1:18" s="893" customFormat="1" x14ac:dyDescent="0.3">
      <c r="A2783" s="888" t="s">
        <v>2062</v>
      </c>
      <c r="B2783" s="888" t="s">
        <v>1954</v>
      </c>
      <c r="C2783" s="1008" t="s">
        <v>5568</v>
      </c>
      <c r="D2783" s="888"/>
      <c r="E2783" s="893" t="str">
        <f>$E$2774</f>
        <v>Can. Alberta Avg.</v>
      </c>
      <c r="I2783" s="888"/>
      <c r="J2783" s="888"/>
      <c r="K2783" s="888"/>
      <c r="L2783" s="888"/>
      <c r="M2783" s="888"/>
      <c r="N2783" s="888"/>
      <c r="O2783" s="888"/>
      <c r="P2783" s="888"/>
      <c r="Q2783" s="888"/>
      <c r="R2783" s="888"/>
    </row>
    <row r="2784" spans="1:18" s="893" customFormat="1" x14ac:dyDescent="0.3">
      <c r="A2784" s="888" t="s">
        <v>2062</v>
      </c>
      <c r="B2784" s="888" t="s">
        <v>1954</v>
      </c>
      <c r="C2784" s="1008" t="s">
        <v>5569</v>
      </c>
      <c r="D2784" s="888"/>
      <c r="E2784" s="893" t="str">
        <f>$E$2520</f>
        <v>Concrete - 30 MPa, 10% FA, GU</v>
      </c>
      <c r="I2784" s="888"/>
      <c r="J2784" s="888"/>
      <c r="K2784" s="888"/>
      <c r="L2784" s="888"/>
      <c r="M2784" s="888"/>
      <c r="N2784" s="888"/>
      <c r="O2784" s="888"/>
      <c r="P2784" s="888"/>
      <c r="Q2784" s="888"/>
      <c r="R2784" s="888"/>
    </row>
    <row r="2785" spans="1:18" s="893" customFormat="1" x14ac:dyDescent="0.3">
      <c r="A2785" s="888" t="s">
        <v>2062</v>
      </c>
      <c r="B2785" s="888" t="s">
        <v>1954</v>
      </c>
      <c r="C2785" s="1008" t="s">
        <v>5570</v>
      </c>
      <c r="D2785" s="888"/>
      <c r="E2785" s="893" t="str">
        <f>$E$2773</f>
        <v>ARMCA</v>
      </c>
      <c r="I2785" s="888"/>
      <c r="J2785" s="888"/>
      <c r="K2785" s="888"/>
      <c r="L2785" s="888"/>
      <c r="M2785" s="888"/>
      <c r="N2785" s="888"/>
      <c r="O2785" s="888"/>
      <c r="P2785" s="888"/>
      <c r="Q2785" s="888"/>
      <c r="R2785" s="888"/>
    </row>
    <row r="2786" spans="1:18" s="893" customFormat="1" x14ac:dyDescent="0.3">
      <c r="A2786" s="888" t="s">
        <v>2062</v>
      </c>
      <c r="B2786" s="888" t="s">
        <v>1954</v>
      </c>
      <c r="C2786" s="1008" t="s">
        <v>5571</v>
      </c>
      <c r="D2786" s="888"/>
      <c r="E2786" s="1004" t="str">
        <f>$E$2774</f>
        <v>Can. Alberta Avg.</v>
      </c>
      <c r="I2786" s="888"/>
      <c r="J2786" s="888"/>
      <c r="K2786" s="888"/>
      <c r="L2786" s="888"/>
      <c r="M2786" s="888"/>
      <c r="N2786" s="888"/>
      <c r="O2786" s="888"/>
      <c r="P2786" s="888"/>
      <c r="Q2786" s="888"/>
      <c r="R2786" s="888"/>
    </row>
    <row r="2787" spans="1:18" s="893" customFormat="1" x14ac:dyDescent="0.3">
      <c r="A2787" s="888" t="s">
        <v>2062</v>
      </c>
      <c r="B2787" s="888" t="s">
        <v>1954</v>
      </c>
      <c r="C2787" s="1008" t="s">
        <v>5572</v>
      </c>
      <c r="D2787" s="888"/>
      <c r="E2787" s="1004" t="str">
        <f>$E$2526</f>
        <v>Concrete - 30 MPa, 20% FA, GU</v>
      </c>
      <c r="I2787" s="888"/>
      <c r="J2787" s="888"/>
      <c r="K2787" s="888"/>
      <c r="L2787" s="888"/>
      <c r="M2787" s="888"/>
      <c r="N2787" s="888"/>
      <c r="O2787" s="888"/>
      <c r="P2787" s="888"/>
      <c r="Q2787" s="888"/>
      <c r="R2787" s="888"/>
    </row>
    <row r="2788" spans="1:18" s="893" customFormat="1" x14ac:dyDescent="0.3">
      <c r="A2788" s="888" t="s">
        <v>2062</v>
      </c>
      <c r="B2788" s="888" t="s">
        <v>1954</v>
      </c>
      <c r="C2788" s="1008" t="s">
        <v>5573</v>
      </c>
      <c r="D2788" s="888"/>
      <c r="E2788" s="1004" t="str">
        <f>$E$2773</f>
        <v>ARMCA</v>
      </c>
      <c r="I2788" s="888"/>
      <c r="J2788" s="888"/>
      <c r="K2788" s="888"/>
      <c r="L2788" s="888"/>
      <c r="M2788" s="888"/>
      <c r="N2788" s="888"/>
      <c r="O2788" s="888"/>
      <c r="P2788" s="888"/>
      <c r="Q2788" s="888"/>
      <c r="R2788" s="888"/>
    </row>
    <row r="2789" spans="1:18" s="893" customFormat="1" x14ac:dyDescent="0.3">
      <c r="A2789" s="888" t="s">
        <v>2062</v>
      </c>
      <c r="B2789" s="888" t="s">
        <v>1954</v>
      </c>
      <c r="C2789" s="1008" t="s">
        <v>5574</v>
      </c>
      <c r="D2789" s="888"/>
      <c r="E2789" s="1004" t="str">
        <f>$E$2774</f>
        <v>Can. Alberta Avg.</v>
      </c>
      <c r="I2789" s="888"/>
      <c r="J2789" s="888"/>
      <c r="K2789" s="888"/>
      <c r="L2789" s="888"/>
      <c r="M2789" s="888"/>
      <c r="N2789" s="888"/>
      <c r="O2789" s="888"/>
      <c r="P2789" s="888"/>
      <c r="Q2789" s="888"/>
      <c r="R2789" s="888"/>
    </row>
    <row r="2790" spans="1:18" s="893" customFormat="1" x14ac:dyDescent="0.3">
      <c r="A2790" s="888" t="s">
        <v>2062</v>
      </c>
      <c r="B2790" s="888" t="s">
        <v>1954</v>
      </c>
      <c r="C2790" s="1008" t="s">
        <v>7035</v>
      </c>
      <c r="D2790" s="888"/>
      <c r="E2790" s="1004" t="str">
        <f>$E$2586</f>
        <v>Concrete - 35 MPa, GU</v>
      </c>
      <c r="I2790" s="888"/>
      <c r="J2790" s="888"/>
      <c r="K2790" s="888"/>
      <c r="L2790" s="888"/>
      <c r="M2790" s="888"/>
      <c r="N2790" s="888"/>
      <c r="O2790" s="888"/>
      <c r="P2790" s="888"/>
      <c r="Q2790" s="888"/>
      <c r="R2790" s="888"/>
    </row>
    <row r="2791" spans="1:18" s="893" customFormat="1" x14ac:dyDescent="0.3">
      <c r="A2791" s="888" t="s">
        <v>2062</v>
      </c>
      <c r="B2791" s="888" t="s">
        <v>1954</v>
      </c>
      <c r="C2791" s="1008" t="s">
        <v>7036</v>
      </c>
      <c r="D2791" s="888"/>
      <c r="E2791" s="893" t="str">
        <f>$E$2773</f>
        <v>ARMCA</v>
      </c>
      <c r="I2791" s="888"/>
      <c r="J2791" s="888"/>
      <c r="K2791" s="888"/>
      <c r="L2791" s="888"/>
      <c r="M2791" s="888"/>
      <c r="N2791" s="888"/>
      <c r="O2791" s="888"/>
      <c r="P2791" s="888"/>
      <c r="Q2791" s="888"/>
      <c r="R2791" s="888"/>
    </row>
    <row r="2792" spans="1:18" s="893" customFormat="1" x14ac:dyDescent="0.3">
      <c r="A2792" s="888" t="s">
        <v>2062</v>
      </c>
      <c r="B2792" s="888" t="s">
        <v>1954</v>
      </c>
      <c r="C2792" s="1008" t="s">
        <v>7037</v>
      </c>
      <c r="D2792" s="888"/>
      <c r="E2792" s="893" t="str">
        <f>$E$2774</f>
        <v>Can. Alberta Avg.</v>
      </c>
      <c r="I2792" s="888"/>
      <c r="J2792" s="888"/>
      <c r="K2792" s="888"/>
      <c r="L2792" s="888"/>
      <c r="M2792" s="888"/>
      <c r="N2792" s="888"/>
      <c r="O2792" s="888"/>
      <c r="P2792" s="888"/>
      <c r="Q2792" s="888"/>
      <c r="R2792" s="888"/>
    </row>
    <row r="2793" spans="1:18" s="893" customFormat="1" x14ac:dyDescent="0.3">
      <c r="A2793" s="888" t="s">
        <v>2062</v>
      </c>
      <c r="B2793" s="888" t="s">
        <v>1954</v>
      </c>
      <c r="C2793" s="1008" t="s">
        <v>7038</v>
      </c>
      <c r="D2793" s="888"/>
      <c r="E2793" s="893" t="str">
        <f>$E$2541</f>
        <v>Concrete - 35 MPa, 10% FA, GU</v>
      </c>
      <c r="I2793" s="888"/>
      <c r="J2793" s="888"/>
      <c r="K2793" s="888"/>
      <c r="L2793" s="888"/>
      <c r="M2793" s="888"/>
      <c r="N2793" s="888"/>
      <c r="O2793" s="888"/>
      <c r="P2793" s="888"/>
      <c r="Q2793" s="888"/>
      <c r="R2793" s="888"/>
    </row>
    <row r="2794" spans="1:18" s="893" customFormat="1" x14ac:dyDescent="0.3">
      <c r="A2794" s="888" t="s">
        <v>2062</v>
      </c>
      <c r="B2794" s="888" t="s">
        <v>1954</v>
      </c>
      <c r="C2794" s="1008" t="s">
        <v>7039</v>
      </c>
      <c r="D2794" s="888"/>
      <c r="E2794" s="893" t="str">
        <f>$E$2773</f>
        <v>ARMCA</v>
      </c>
      <c r="I2794" s="888"/>
      <c r="J2794" s="888"/>
      <c r="K2794" s="888"/>
      <c r="L2794" s="888"/>
      <c r="M2794" s="888"/>
      <c r="N2794" s="888"/>
      <c r="O2794" s="888"/>
      <c r="P2794" s="888"/>
      <c r="Q2794" s="888"/>
      <c r="R2794" s="888"/>
    </row>
    <row r="2795" spans="1:18" s="893" customFormat="1" x14ac:dyDescent="0.3">
      <c r="A2795" s="888" t="s">
        <v>2062</v>
      </c>
      <c r="B2795" s="888" t="s">
        <v>1954</v>
      </c>
      <c r="C2795" s="1008" t="s">
        <v>7040</v>
      </c>
      <c r="D2795" s="888"/>
      <c r="E2795" s="893" t="str">
        <f>$E$2774</f>
        <v>Can. Alberta Avg.</v>
      </c>
      <c r="I2795" s="888"/>
      <c r="J2795" s="888"/>
      <c r="K2795" s="888"/>
      <c r="L2795" s="888"/>
      <c r="M2795" s="888"/>
      <c r="N2795" s="888"/>
      <c r="O2795" s="888"/>
      <c r="P2795" s="888"/>
      <c r="Q2795" s="888"/>
      <c r="R2795" s="888"/>
    </row>
    <row r="2796" spans="1:18" s="893" customFormat="1" x14ac:dyDescent="0.3">
      <c r="A2796" s="888" t="s">
        <v>2062</v>
      </c>
      <c r="B2796" s="888" t="s">
        <v>1954</v>
      </c>
      <c r="C2796" s="1008" t="s">
        <v>5575</v>
      </c>
      <c r="D2796" s="888"/>
      <c r="E2796" s="893" t="str">
        <f>$E$2547</f>
        <v>Concrete - 35 MPa, 20% FA, GU</v>
      </c>
      <c r="I2796" s="888"/>
      <c r="J2796" s="888"/>
      <c r="K2796" s="888"/>
      <c r="L2796" s="888"/>
      <c r="M2796" s="888"/>
      <c r="N2796" s="888"/>
      <c r="O2796" s="888"/>
      <c r="P2796" s="888"/>
      <c r="Q2796" s="888"/>
      <c r="R2796" s="888"/>
    </row>
    <row r="2797" spans="1:18" s="893" customFormat="1" x14ac:dyDescent="0.3">
      <c r="A2797" s="888" t="s">
        <v>2062</v>
      </c>
      <c r="B2797" s="888" t="s">
        <v>1954</v>
      </c>
      <c r="C2797" s="1008" t="s">
        <v>5576</v>
      </c>
      <c r="D2797" s="888"/>
      <c r="E2797" s="893" t="str">
        <f>$E$2773</f>
        <v>ARMCA</v>
      </c>
      <c r="I2797" s="888"/>
      <c r="J2797" s="888"/>
      <c r="K2797" s="888"/>
      <c r="L2797" s="888"/>
      <c r="M2797" s="888"/>
      <c r="N2797" s="888"/>
      <c r="O2797" s="888"/>
      <c r="P2797" s="888"/>
      <c r="Q2797" s="888"/>
      <c r="R2797" s="888"/>
    </row>
    <row r="2798" spans="1:18" s="893" customFormat="1" x14ac:dyDescent="0.3">
      <c r="A2798" s="888" t="s">
        <v>2062</v>
      </c>
      <c r="B2798" s="888" t="s">
        <v>1954</v>
      </c>
      <c r="C2798" s="1008" t="s">
        <v>5577</v>
      </c>
      <c r="D2798" s="888"/>
      <c r="E2798" s="893" t="str">
        <f>$E$2774</f>
        <v>Can. Alberta Avg.</v>
      </c>
      <c r="I2798" s="888"/>
      <c r="J2798" s="888"/>
      <c r="K2798" s="888"/>
      <c r="L2798" s="888"/>
      <c r="M2798" s="888"/>
      <c r="N2798" s="888"/>
      <c r="O2798" s="888"/>
      <c r="P2798" s="888"/>
      <c r="Q2798" s="888"/>
      <c r="R2798" s="888"/>
    </row>
    <row r="2799" spans="1:18" s="893" customFormat="1" x14ac:dyDescent="0.3">
      <c r="A2799" s="888" t="s">
        <v>2062</v>
      </c>
      <c r="B2799" s="888" t="s">
        <v>1954</v>
      </c>
      <c r="C2799" s="1008" t="s">
        <v>5578</v>
      </c>
      <c r="D2799" s="888"/>
      <c r="E2799" s="893" t="str">
        <f>$E$2335</f>
        <v>Vinyl flooring</v>
      </c>
      <c r="I2799" s="888"/>
      <c r="J2799" s="888"/>
      <c r="K2799" s="888"/>
      <c r="L2799" s="888"/>
      <c r="M2799" s="888"/>
      <c r="N2799" s="888"/>
      <c r="O2799" s="888"/>
      <c r="P2799" s="888"/>
      <c r="Q2799" s="888"/>
      <c r="R2799" s="888"/>
    </row>
    <row r="2800" spans="1:18" s="893" customFormat="1" x14ac:dyDescent="0.3">
      <c r="A2800" s="888" t="s">
        <v>2062</v>
      </c>
      <c r="B2800" s="888" t="s">
        <v>1954</v>
      </c>
      <c r="C2800" s="1008" t="s">
        <v>5579</v>
      </c>
      <c r="D2800" s="888"/>
      <c r="E2800" s="893" t="s">
        <v>3614</v>
      </c>
      <c r="I2800" s="888"/>
      <c r="J2800" s="888"/>
      <c r="K2800" s="888"/>
      <c r="L2800" s="888"/>
      <c r="M2800" s="888"/>
      <c r="N2800" s="888"/>
      <c r="O2800" s="888"/>
      <c r="P2800" s="888"/>
      <c r="Q2800" s="888"/>
      <c r="R2800" s="888"/>
    </row>
    <row r="2801" spans="1:18" s="893" customFormat="1" x14ac:dyDescent="0.3">
      <c r="A2801" s="888" t="s">
        <v>2062</v>
      </c>
      <c r="B2801" s="888" t="s">
        <v>1954</v>
      </c>
      <c r="C2801" s="1008" t="s">
        <v>5580</v>
      </c>
      <c r="D2801" s="888"/>
      <c r="E2801" s="893" t="s">
        <v>3615</v>
      </c>
      <c r="I2801" s="888"/>
      <c r="J2801" s="888"/>
      <c r="K2801" s="888"/>
      <c r="L2801" s="888"/>
      <c r="M2801" s="888"/>
      <c r="N2801" s="888"/>
      <c r="O2801" s="888"/>
      <c r="P2801" s="888"/>
      <c r="Q2801" s="888"/>
      <c r="R2801" s="888"/>
    </row>
    <row r="2802" spans="1:18" s="893" customFormat="1" x14ac:dyDescent="0.3">
      <c r="A2802" s="888" t="s">
        <v>2062</v>
      </c>
      <c r="B2802" s="888" t="s">
        <v>1954</v>
      </c>
      <c r="C2802" s="1008" t="s">
        <v>5581</v>
      </c>
      <c r="D2802" s="888"/>
      <c r="E2802" s="893" t="str">
        <f>$E$2027</f>
        <v>Linoleum flooring</v>
      </c>
      <c r="I2802" s="888"/>
      <c r="J2802" s="888"/>
      <c r="K2802" s="888"/>
      <c r="L2802" s="888"/>
      <c r="M2802" s="888"/>
      <c r="N2802" s="888"/>
      <c r="O2802" s="888"/>
      <c r="P2802" s="888"/>
      <c r="Q2802" s="888"/>
      <c r="R2802" s="888"/>
    </row>
    <row r="2803" spans="1:18" s="893" customFormat="1" x14ac:dyDescent="0.3">
      <c r="A2803" s="888" t="s">
        <v>2062</v>
      </c>
      <c r="B2803" s="888" t="s">
        <v>1954</v>
      </c>
      <c r="C2803" s="1008" t="s">
        <v>5582</v>
      </c>
      <c r="D2803" s="888"/>
      <c r="E2803" s="893" t="str">
        <f>$E$2044</f>
        <v xml:space="preserve">Gerflor </v>
      </c>
      <c r="I2803" s="888"/>
      <c r="J2803" s="888"/>
      <c r="K2803" s="888"/>
      <c r="L2803" s="888"/>
      <c r="M2803" s="888"/>
      <c r="N2803" s="888"/>
      <c r="O2803" s="888"/>
      <c r="P2803" s="888"/>
      <c r="Q2803" s="888"/>
      <c r="R2803" s="888"/>
    </row>
    <row r="2804" spans="1:18" s="893" customFormat="1" x14ac:dyDescent="0.3">
      <c r="A2804" s="888" t="s">
        <v>2062</v>
      </c>
      <c r="B2804" s="888" t="s">
        <v>1954</v>
      </c>
      <c r="C2804" s="1008" t="s">
        <v>5583</v>
      </c>
      <c r="D2804" s="888"/>
      <c r="E2804" s="893" t="s">
        <v>3619</v>
      </c>
      <c r="I2804" s="888"/>
      <c r="J2804" s="888"/>
      <c r="K2804" s="888"/>
      <c r="L2804" s="888"/>
      <c r="M2804" s="888"/>
      <c r="N2804" s="888"/>
      <c r="O2804" s="888"/>
      <c r="P2804" s="888"/>
      <c r="Q2804" s="888"/>
      <c r="R2804" s="888"/>
    </row>
    <row r="2805" spans="1:18" s="893" customFormat="1" x14ac:dyDescent="0.3">
      <c r="A2805" s="888" t="s">
        <v>2062</v>
      </c>
      <c r="B2805" s="888" t="s">
        <v>1954</v>
      </c>
      <c r="C2805" s="1008" t="s">
        <v>5584</v>
      </c>
      <c r="D2805" s="888"/>
      <c r="E2805" s="893" t="str">
        <f>$E$2034</f>
        <v>2.5 mm sheet style linoleum</v>
      </c>
      <c r="I2805" s="888"/>
      <c r="J2805" s="888"/>
      <c r="K2805" s="888"/>
      <c r="L2805" s="888"/>
      <c r="M2805" s="888"/>
      <c r="N2805" s="888"/>
      <c r="O2805" s="888"/>
      <c r="P2805" s="888"/>
      <c r="Q2805" s="888"/>
      <c r="R2805" s="888"/>
    </row>
    <row r="2806" spans="1:18" s="893" customFormat="1" x14ac:dyDescent="0.3">
      <c r="A2806" s="888" t="s">
        <v>2062</v>
      </c>
      <c r="B2806" s="888" t="s">
        <v>1954</v>
      </c>
      <c r="C2806" s="1008" t="s">
        <v>5585</v>
      </c>
      <c r="D2806" s="888"/>
      <c r="E2806" s="893" t="str">
        <f>$E$1908</f>
        <v>Fiberglass loose fill</v>
      </c>
      <c r="I2806" s="888"/>
      <c r="J2806" s="888"/>
      <c r="K2806" s="888"/>
      <c r="L2806" s="888"/>
      <c r="M2806" s="888"/>
      <c r="N2806" s="888"/>
      <c r="O2806" s="888"/>
      <c r="P2806" s="888"/>
      <c r="Q2806" s="888"/>
      <c r="R2806" s="888"/>
    </row>
    <row r="2807" spans="1:18" s="893" customFormat="1" x14ac:dyDescent="0.3">
      <c r="A2807" s="888" t="s">
        <v>2062</v>
      </c>
      <c r="B2807" s="888" t="s">
        <v>1954</v>
      </c>
      <c r="C2807" s="1008" t="s">
        <v>5586</v>
      </c>
      <c r="D2807" s="888"/>
      <c r="E2807" s="893" t="str">
        <f>$E$1898</f>
        <v>Johns Manville</v>
      </c>
      <c r="I2807" s="888"/>
      <c r="J2807" s="888"/>
      <c r="K2807" s="888"/>
      <c r="L2807" s="888"/>
      <c r="M2807" s="888"/>
      <c r="N2807" s="888"/>
      <c r="O2807" s="888"/>
      <c r="P2807" s="888"/>
      <c r="Q2807" s="888"/>
      <c r="R2807" s="888"/>
    </row>
    <row r="2808" spans="1:18" s="893" customFormat="1" x14ac:dyDescent="0.3">
      <c r="A2808" s="888" t="s">
        <v>2062</v>
      </c>
      <c r="B2808" s="888" t="s">
        <v>1954</v>
      </c>
      <c r="C2808" s="1008" t="s">
        <v>5587</v>
      </c>
      <c r="D2808" s="888"/>
      <c r="E2808" s="893" t="s">
        <v>3622</v>
      </c>
      <c r="I2808" s="888"/>
      <c r="J2808" s="888"/>
      <c r="K2808" s="888"/>
      <c r="L2808" s="888"/>
      <c r="M2808" s="888"/>
      <c r="N2808" s="888"/>
      <c r="O2808" s="888"/>
      <c r="P2808" s="888"/>
      <c r="Q2808" s="888"/>
      <c r="R2808" s="888"/>
    </row>
    <row r="2809" spans="1:18" s="893" customFormat="1" x14ac:dyDescent="0.3">
      <c r="A2809" s="888" t="s">
        <v>2062</v>
      </c>
      <c r="B2809" s="888" t="s">
        <v>1954</v>
      </c>
      <c r="C2809" s="1008" t="s">
        <v>5588</v>
      </c>
      <c r="D2809" s="888"/>
      <c r="E2809" s="893" t="s">
        <v>3623</v>
      </c>
      <c r="I2809" s="888"/>
      <c r="J2809" s="888"/>
      <c r="K2809" s="888"/>
      <c r="L2809" s="888"/>
      <c r="M2809" s="888"/>
      <c r="N2809" s="888"/>
      <c r="O2809" s="888"/>
      <c r="P2809" s="888"/>
      <c r="Q2809" s="888"/>
      <c r="R2809" s="888"/>
    </row>
    <row r="2810" spans="1:18" s="893" customFormat="1" x14ac:dyDescent="0.3">
      <c r="A2810" s="888" t="s">
        <v>2062</v>
      </c>
      <c r="B2810" s="888" t="s">
        <v>1954</v>
      </c>
      <c r="C2810" s="1008" t="s">
        <v>5589</v>
      </c>
      <c r="D2810" s="888"/>
      <c r="E2810" s="893" t="str">
        <f>$E$2355</f>
        <v>Window - double pane</v>
      </c>
      <c r="I2810" s="888"/>
      <c r="J2810" s="888"/>
      <c r="K2810" s="888"/>
      <c r="L2810" s="888"/>
      <c r="M2810" s="888"/>
      <c r="N2810" s="888"/>
      <c r="O2810" s="888"/>
      <c r="P2810" s="888"/>
      <c r="Q2810" s="888"/>
      <c r="R2810" s="888"/>
    </row>
    <row r="2811" spans="1:18" s="893" customFormat="1" x14ac:dyDescent="0.3">
      <c r="A2811" s="888" t="s">
        <v>2062</v>
      </c>
      <c r="B2811" s="888" t="s">
        <v>1954</v>
      </c>
      <c r="C2811" s="1008" t="s">
        <v>5590</v>
      </c>
      <c r="D2811" s="888"/>
      <c r="E2811" s="893" t="s">
        <v>687</v>
      </c>
      <c r="I2811" s="888"/>
      <c r="J2811" s="888"/>
      <c r="K2811" s="888"/>
      <c r="L2811" s="888"/>
      <c r="M2811" s="888"/>
      <c r="N2811" s="888"/>
      <c r="O2811" s="888"/>
      <c r="P2811" s="888"/>
      <c r="Q2811" s="888"/>
      <c r="R2811" s="888"/>
    </row>
    <row r="2812" spans="1:18" ht="15" customHeight="1" x14ac:dyDescent="0.3">
      <c r="A2812" s="888" t="s">
        <v>2062</v>
      </c>
      <c r="B2812" s="888" t="s">
        <v>1954</v>
      </c>
      <c r="C2812" s="1008" t="s">
        <v>5591</v>
      </c>
      <c r="E2812" s="893" t="s">
        <v>3625</v>
      </c>
    </row>
    <row r="2813" spans="1:18" x14ac:dyDescent="0.3">
      <c r="A2813" s="888" t="s">
        <v>2062</v>
      </c>
      <c r="B2813" s="888" t="s">
        <v>1954</v>
      </c>
      <c r="C2813" s="1008" t="s">
        <v>7041</v>
      </c>
      <c r="E2813" s="893" t="str">
        <f>$E$2362</f>
        <v>Wood frame, aluminum cladding</v>
      </c>
    </row>
    <row r="2814" spans="1:18" x14ac:dyDescent="0.3">
      <c r="A2814" s="888" t="s">
        <v>2062</v>
      </c>
      <c r="B2814" s="888" t="s">
        <v>1954</v>
      </c>
      <c r="C2814" s="1008" t="s">
        <v>5592</v>
      </c>
      <c r="E2814" s="893" t="str">
        <f>$E$1845</f>
        <v>Drywall 1/2"</v>
      </c>
    </row>
    <row r="2815" spans="1:18" x14ac:dyDescent="0.3">
      <c r="A2815" s="888" t="s">
        <v>2062</v>
      </c>
      <c r="B2815" s="888" t="s">
        <v>1954</v>
      </c>
      <c r="C2815" s="1008" t="s">
        <v>5593</v>
      </c>
      <c r="E2815" s="893" t="s">
        <v>3628</v>
      </c>
    </row>
    <row r="2816" spans="1:18" x14ac:dyDescent="0.3">
      <c r="A2816" s="888" t="s">
        <v>2062</v>
      </c>
      <c r="B2816" s="888" t="s">
        <v>1954</v>
      </c>
      <c r="C2816" s="1008" t="s">
        <v>5594</v>
      </c>
      <c r="E2816" s="893" t="s">
        <v>3629</v>
      </c>
    </row>
    <row r="2817" spans="1:6" x14ac:dyDescent="0.3">
      <c r="A2817" s="888" t="s">
        <v>2062</v>
      </c>
      <c r="B2817" s="888" t="s">
        <v>1954</v>
      </c>
      <c r="C2817" s="1008" t="s">
        <v>5595</v>
      </c>
      <c r="E2817" s="893" t="s">
        <v>3777</v>
      </c>
      <c r="F2817" s="893" t="s">
        <v>2748</v>
      </c>
    </row>
    <row r="2818" spans="1:6" x14ac:dyDescent="0.3">
      <c r="A2818" s="888" t="s">
        <v>2062</v>
      </c>
      <c r="B2818" s="888" t="s">
        <v>1954</v>
      </c>
      <c r="C2818" s="1008" t="s">
        <v>5596</v>
      </c>
      <c r="E2818" s="893" t="str">
        <f>$E$2815</f>
        <v>National Gypsum</v>
      </c>
    </row>
    <row r="2819" spans="1:6" x14ac:dyDescent="0.3">
      <c r="A2819" s="888" t="s">
        <v>2062</v>
      </c>
      <c r="B2819" s="888" t="s">
        <v>1954</v>
      </c>
      <c r="C2819" s="1008" t="s">
        <v>5597</v>
      </c>
      <c r="E2819" s="893" t="s">
        <v>3632</v>
      </c>
      <c r="F2819" s="893" t="s">
        <v>2900</v>
      </c>
    </row>
    <row r="2820" spans="1:6" x14ac:dyDescent="0.3">
      <c r="A2820" s="888" t="s">
        <v>2062</v>
      </c>
      <c r="B2820" s="888" t="s">
        <v>1954</v>
      </c>
      <c r="C2820" s="1008" t="s">
        <v>7042</v>
      </c>
      <c r="E2820" s="893" t="str">
        <f>$E$1854</f>
        <v>5/8'' type X</v>
      </c>
    </row>
    <row r="2821" spans="1:6" x14ac:dyDescent="0.3">
      <c r="A2821" s="888" t="s">
        <v>2062</v>
      </c>
      <c r="B2821" s="888" t="s">
        <v>1954</v>
      </c>
      <c r="C2821" s="1008" t="s">
        <v>5598</v>
      </c>
      <c r="E2821" s="893" t="str">
        <f>$E$1640</f>
        <v>Carpet</v>
      </c>
      <c r="F2821" s="893" t="s">
        <v>2749</v>
      </c>
    </row>
    <row r="2822" spans="1:6" x14ac:dyDescent="0.3">
      <c r="A2822" s="888" t="s">
        <v>2062</v>
      </c>
      <c r="B2822" s="888" t="s">
        <v>1954</v>
      </c>
      <c r="C2822" s="1008" t="s">
        <v>5599</v>
      </c>
      <c r="E2822" s="893" t="s">
        <v>3635</v>
      </c>
    </row>
    <row r="2823" spans="1:6" x14ac:dyDescent="0.3">
      <c r="A2823" s="888" t="s">
        <v>2062</v>
      </c>
      <c r="B2823" s="888" t="s">
        <v>1954</v>
      </c>
      <c r="C2823" s="1008" t="s">
        <v>5600</v>
      </c>
      <c r="E2823" s="893" t="s">
        <v>3636</v>
      </c>
      <c r="F2823" s="893" t="s">
        <v>3403</v>
      </c>
    </row>
    <row r="2824" spans="1:6" x14ac:dyDescent="0.3">
      <c r="A2824" s="888" t="s">
        <v>2062</v>
      </c>
      <c r="B2824" s="888" t="s">
        <v>1954</v>
      </c>
      <c r="C2824" s="1016" t="s">
        <v>7043</v>
      </c>
      <c r="E2824" s="1017" t="s">
        <v>3637</v>
      </c>
    </row>
    <row r="2825" spans="1:6" x14ac:dyDescent="0.3">
      <c r="A2825" s="888" t="s">
        <v>2062</v>
      </c>
      <c r="B2825" s="888" t="s">
        <v>1954</v>
      </c>
      <c r="C2825" s="1016" t="s">
        <v>5601</v>
      </c>
      <c r="E2825" s="1017" t="str">
        <f>$E$2335</f>
        <v>Vinyl flooring</v>
      </c>
    </row>
    <row r="2826" spans="1:6" x14ac:dyDescent="0.3">
      <c r="A2826" s="888" t="s">
        <v>2062</v>
      </c>
      <c r="B2826" s="888" t="s">
        <v>1954</v>
      </c>
      <c r="C2826" s="1008" t="s">
        <v>5602</v>
      </c>
      <c r="E2826" s="893" t="s">
        <v>3639</v>
      </c>
    </row>
    <row r="2827" spans="1:6" x14ac:dyDescent="0.3">
      <c r="A2827" s="888" t="s">
        <v>2062</v>
      </c>
      <c r="B2827" s="888" t="s">
        <v>1954</v>
      </c>
      <c r="C2827" s="1008" t="s">
        <v>5603</v>
      </c>
      <c r="E2827" s="893" t="str">
        <f>$E$2801</f>
        <v>Luxury Vinyl Tile</v>
      </c>
    </row>
    <row r="2828" spans="1:6" x14ac:dyDescent="0.3">
      <c r="A2828" s="888" t="s">
        <v>2062</v>
      </c>
      <c r="B2828" s="888" t="s">
        <v>1954</v>
      </c>
      <c r="C2828" s="1008" t="s">
        <v>7044</v>
      </c>
      <c r="E2828" s="893" t="s">
        <v>3640</v>
      </c>
    </row>
    <row r="2829" spans="1:6" x14ac:dyDescent="0.3">
      <c r="A2829" s="888" t="s">
        <v>2062</v>
      </c>
      <c r="B2829" s="888" t="s">
        <v>1954</v>
      </c>
      <c r="C2829" s="1008" t="s">
        <v>5604</v>
      </c>
      <c r="E2829" s="893" t="str">
        <f>$E$1569</f>
        <v>Asphalt Shingles</v>
      </c>
    </row>
    <row r="2830" spans="1:6" x14ac:dyDescent="0.3">
      <c r="A2830" s="888" t="s">
        <v>2062</v>
      </c>
      <c r="B2830" s="888" t="s">
        <v>1954</v>
      </c>
      <c r="C2830" s="1008" t="s">
        <v>5605</v>
      </c>
      <c r="E2830" s="893" t="str">
        <f>$E$1594</f>
        <v>GAF</v>
      </c>
    </row>
    <row r="2831" spans="1:6" x14ac:dyDescent="0.3">
      <c r="A2831" s="888" t="s">
        <v>2062</v>
      </c>
      <c r="B2831" s="888" t="s">
        <v>1954</v>
      </c>
      <c r="C2831" s="1008" t="s">
        <v>5606</v>
      </c>
      <c r="E2831" s="893" t="s">
        <v>3642</v>
      </c>
    </row>
    <row r="2832" spans="1:6" x14ac:dyDescent="0.3">
      <c r="A2832" s="888" t="s">
        <v>2062</v>
      </c>
      <c r="B2832" s="888" t="s">
        <v>1954</v>
      </c>
      <c r="C2832" s="1008" t="s">
        <v>5607</v>
      </c>
      <c r="E2832" s="893" t="str">
        <f>$E$2027</f>
        <v>Linoleum flooring</v>
      </c>
    </row>
    <row r="2833" spans="1:5" x14ac:dyDescent="0.3">
      <c r="A2833" s="888" t="s">
        <v>2062</v>
      </c>
      <c r="B2833" s="888" t="s">
        <v>1954</v>
      </c>
      <c r="C2833" s="1008" t="s">
        <v>5608</v>
      </c>
      <c r="E2833" s="893" t="str">
        <f>$E$2826</f>
        <v>Mannington</v>
      </c>
    </row>
    <row r="2834" spans="1:5" x14ac:dyDescent="0.3">
      <c r="A2834" s="888" t="s">
        <v>2062</v>
      </c>
      <c r="B2834" s="888" t="s">
        <v>1954</v>
      </c>
      <c r="C2834" s="1008" t="s">
        <v>5609</v>
      </c>
      <c r="E2834" s="893" t="s">
        <v>3645</v>
      </c>
    </row>
    <row r="2835" spans="1:5" x14ac:dyDescent="0.3">
      <c r="A2835" s="888" t="s">
        <v>2062</v>
      </c>
      <c r="B2835" s="888" t="s">
        <v>1954</v>
      </c>
      <c r="C2835" s="1008" t="s">
        <v>7045</v>
      </c>
      <c r="E2835" s="901" t="s">
        <v>3646</v>
      </c>
    </row>
    <row r="2836" spans="1:5" x14ac:dyDescent="0.3">
      <c r="A2836" s="888" t="s">
        <v>2062</v>
      </c>
      <c r="B2836" s="888" t="s">
        <v>1954</v>
      </c>
      <c r="C2836" s="1008" t="s">
        <v>7046</v>
      </c>
      <c r="E2836" s="901" t="str">
        <f>$E$1681</f>
        <v>Ceramic tile</v>
      </c>
    </row>
    <row r="2837" spans="1:5" x14ac:dyDescent="0.3">
      <c r="A2837" s="888" t="s">
        <v>2062</v>
      </c>
      <c r="B2837" s="888" t="s">
        <v>1954</v>
      </c>
      <c r="C2837" s="1008" t="s">
        <v>7047</v>
      </c>
      <c r="E2837" s="901" t="s">
        <v>3649</v>
      </c>
    </row>
    <row r="2838" spans="1:5" x14ac:dyDescent="0.3">
      <c r="A2838" s="888" t="s">
        <v>2062</v>
      </c>
      <c r="B2838" s="888" t="s">
        <v>1954</v>
      </c>
      <c r="C2838" s="1008" t="s">
        <v>7048</v>
      </c>
      <c r="E2838" s="901" t="s">
        <v>3650</v>
      </c>
    </row>
    <row r="2839" spans="1:5" x14ac:dyDescent="0.3">
      <c r="A2839" s="888" t="s">
        <v>2062</v>
      </c>
      <c r="B2839" s="888" t="s">
        <v>1954</v>
      </c>
      <c r="C2839" s="1008" t="s">
        <v>7049</v>
      </c>
      <c r="E2839" s="901" t="s">
        <v>3651</v>
      </c>
    </row>
    <row r="2840" spans="1:5" x14ac:dyDescent="0.3">
      <c r="A2840" s="888" t="s">
        <v>2062</v>
      </c>
      <c r="B2840" s="888" t="s">
        <v>1954</v>
      </c>
      <c r="C2840" s="1008" t="s">
        <v>7050</v>
      </c>
      <c r="E2840" s="893" t="str">
        <f>$E$1681</f>
        <v>Ceramic tile</v>
      </c>
    </row>
    <row r="2841" spans="1:5" x14ac:dyDescent="0.3">
      <c r="A2841" s="888" t="s">
        <v>2062</v>
      </c>
      <c r="B2841" s="888" t="s">
        <v>1954</v>
      </c>
      <c r="C2841" s="1008" t="s">
        <v>7051</v>
      </c>
      <c r="E2841" s="893" t="s">
        <v>3654</v>
      </c>
    </row>
    <row r="2842" spans="1:5" x14ac:dyDescent="0.3">
      <c r="A2842" s="888" t="s">
        <v>2062</v>
      </c>
      <c r="B2842" s="888" t="s">
        <v>1954</v>
      </c>
      <c r="C2842" s="1008" t="s">
        <v>7052</v>
      </c>
      <c r="E2842" s="893" t="s">
        <v>3655</v>
      </c>
    </row>
    <row r="2843" spans="1:5" x14ac:dyDescent="0.3">
      <c r="A2843" s="888" t="s">
        <v>2062</v>
      </c>
      <c r="B2843" s="888" t="s">
        <v>1954</v>
      </c>
      <c r="C2843" s="1008" t="s">
        <v>7053</v>
      </c>
      <c r="E2843" s="893" t="str">
        <f>$E$2839</f>
        <v>Standard and Second grade</v>
      </c>
    </row>
    <row r="2844" spans="1:5" x14ac:dyDescent="0.3">
      <c r="A2844" s="888" t="s">
        <v>2062</v>
      </c>
      <c r="B2844" s="888" t="s">
        <v>1954</v>
      </c>
      <c r="C2844" s="1008" t="s">
        <v>5610</v>
      </c>
      <c r="E2844" s="893" t="s">
        <v>363</v>
      </c>
    </row>
    <row r="2845" spans="1:5" x14ac:dyDescent="0.3">
      <c r="A2845" s="888" t="s">
        <v>2062</v>
      </c>
      <c r="B2845" s="888" t="s">
        <v>1954</v>
      </c>
      <c r="C2845" s="1008" t="s">
        <v>5611</v>
      </c>
      <c r="E2845" s="893" t="s">
        <v>3657</v>
      </c>
    </row>
    <row r="2846" spans="1:5" x14ac:dyDescent="0.3">
      <c r="A2846" s="888" t="s">
        <v>2062</v>
      </c>
      <c r="B2846" s="888" t="s">
        <v>1954</v>
      </c>
      <c r="C2846" s="1008" t="s">
        <v>5612</v>
      </c>
      <c r="E2846" s="893" t="s">
        <v>3658</v>
      </c>
    </row>
    <row r="2847" spans="1:5" x14ac:dyDescent="0.3">
      <c r="A2847" s="888" t="s">
        <v>2062</v>
      </c>
      <c r="B2847" s="888" t="s">
        <v>1954</v>
      </c>
      <c r="C2847" s="1008" t="s">
        <v>7054</v>
      </c>
      <c r="E2847" s="893" t="str">
        <f>$E$2844</f>
        <v>Fiber Cement siding</v>
      </c>
    </row>
    <row r="2848" spans="1:5" x14ac:dyDescent="0.3">
      <c r="A2848" s="888" t="s">
        <v>2062</v>
      </c>
      <c r="B2848" s="888" t="s">
        <v>1954</v>
      </c>
      <c r="C2848" s="1008" t="s">
        <v>7055</v>
      </c>
      <c r="E2848" s="893" t="str">
        <f>$E$2845</f>
        <v>Equitone</v>
      </c>
    </row>
    <row r="2849" spans="1:5" x14ac:dyDescent="0.3">
      <c r="A2849" s="888" t="s">
        <v>2062</v>
      </c>
      <c r="B2849" s="888" t="s">
        <v>1954</v>
      </c>
      <c r="C2849" s="1008" t="s">
        <v>7056</v>
      </c>
      <c r="E2849" s="893" t="s">
        <v>4519</v>
      </c>
    </row>
    <row r="2850" spans="1:5" x14ac:dyDescent="0.3">
      <c r="A2850" s="888" t="s">
        <v>2062</v>
      </c>
      <c r="B2850" s="888" t="s">
        <v>1954</v>
      </c>
      <c r="C2850" s="1008" t="s">
        <v>7057</v>
      </c>
      <c r="E2850" s="893" t="s">
        <v>4520</v>
      </c>
    </row>
    <row r="2851" spans="1:5" x14ac:dyDescent="0.3">
      <c r="A2851" s="888" t="s">
        <v>2062</v>
      </c>
      <c r="B2851" s="888" t="s">
        <v>1954</v>
      </c>
      <c r="C2851" s="1008" t="s">
        <v>7058</v>
      </c>
      <c r="E2851" s="893" t="s">
        <v>650</v>
      </c>
    </row>
    <row r="2852" spans="1:5" x14ac:dyDescent="0.3">
      <c r="A2852" s="888" t="s">
        <v>2062</v>
      </c>
      <c r="B2852" s="888" t="s">
        <v>1954</v>
      </c>
      <c r="C2852" s="1008" t="s">
        <v>7059</v>
      </c>
      <c r="E2852" s="893" t="s">
        <v>3666</v>
      </c>
    </row>
    <row r="2853" spans="1:5" x14ac:dyDescent="0.3">
      <c r="A2853" s="888" t="s">
        <v>2062</v>
      </c>
      <c r="B2853" s="888" t="s">
        <v>1954</v>
      </c>
      <c r="C2853" s="1008" t="s">
        <v>7060</v>
      </c>
      <c r="E2853" s="893" t="s">
        <v>3667</v>
      </c>
    </row>
    <row r="2854" spans="1:5" x14ac:dyDescent="0.3">
      <c r="A2854" s="888" t="s">
        <v>2062</v>
      </c>
      <c r="B2854" s="888" t="s">
        <v>1954</v>
      </c>
      <c r="C2854" s="1008" t="s">
        <v>7061</v>
      </c>
      <c r="E2854" s="893" t="s">
        <v>3668</v>
      </c>
    </row>
    <row r="2855" spans="1:5" x14ac:dyDescent="0.3">
      <c r="A2855" s="888" t="s">
        <v>2062</v>
      </c>
      <c r="B2855" s="888" t="s">
        <v>1954</v>
      </c>
      <c r="C2855" s="1008" t="s">
        <v>7062</v>
      </c>
      <c r="E2855" s="893" t="str">
        <f>$E$1617</f>
        <v>Brick, Clay</v>
      </c>
    </row>
    <row r="2856" spans="1:5" x14ac:dyDescent="0.3">
      <c r="A2856" s="888" t="s">
        <v>2062</v>
      </c>
      <c r="B2856" s="888" t="s">
        <v>1954</v>
      </c>
      <c r="C2856" s="1008" t="s">
        <v>7063</v>
      </c>
      <c r="E2856" s="893" t="s">
        <v>3673</v>
      </c>
    </row>
    <row r="2857" spans="1:5" x14ac:dyDescent="0.3">
      <c r="A2857" s="888" t="s">
        <v>2062</v>
      </c>
      <c r="B2857" s="888" t="s">
        <v>1954</v>
      </c>
      <c r="C2857" s="1008" t="s">
        <v>7064</v>
      </c>
      <c r="E2857" s="893" t="s">
        <v>3674</v>
      </c>
    </row>
    <row r="2858" spans="1:5" x14ac:dyDescent="0.3">
      <c r="A2858" s="888" t="s">
        <v>2062</v>
      </c>
      <c r="B2858" s="888" t="s">
        <v>1954</v>
      </c>
      <c r="C2858" s="1008" t="s">
        <v>7065</v>
      </c>
      <c r="E2858" s="893" t="s">
        <v>3675</v>
      </c>
    </row>
    <row r="2859" spans="1:5" x14ac:dyDescent="0.3">
      <c r="A2859" s="888" t="s">
        <v>2062</v>
      </c>
      <c r="B2859" s="888" t="s">
        <v>1954</v>
      </c>
      <c r="C2859" s="1008" t="s">
        <v>7066</v>
      </c>
      <c r="E2859" s="893" t="str">
        <f>$E$1617</f>
        <v>Brick, Clay</v>
      </c>
    </row>
    <row r="2860" spans="1:5" x14ac:dyDescent="0.3">
      <c r="A2860" s="888" t="s">
        <v>2062</v>
      </c>
      <c r="B2860" s="888" t="s">
        <v>1954</v>
      </c>
      <c r="C2860" s="1008" t="s">
        <v>7067</v>
      </c>
      <c r="E2860" s="893" t="str">
        <f>$E$2856</f>
        <v>SHAW</v>
      </c>
    </row>
    <row r="2861" spans="1:5" x14ac:dyDescent="0.3">
      <c r="A2861" s="888" t="s">
        <v>2062</v>
      </c>
      <c r="B2861" s="888" t="s">
        <v>1954</v>
      </c>
      <c r="C2861" s="1008" t="s">
        <v>7068</v>
      </c>
      <c r="E2861" s="893" t="str">
        <f>$E$1627</f>
        <v>Avg Face Brick</v>
      </c>
    </row>
    <row r="2862" spans="1:5" x14ac:dyDescent="0.3">
      <c r="A2862" s="888" t="s">
        <v>2062</v>
      </c>
      <c r="B2862" s="888" t="s">
        <v>1954</v>
      </c>
      <c r="C2862" s="1008" t="s">
        <v>7069</v>
      </c>
      <c r="E2862" s="893" t="str">
        <f>$E$1620</f>
        <v>3-5/8" x 2-3/4" x 7-5/8" (92 x 70 x 194 mm) incl. 3/8" mortar</v>
      </c>
    </row>
    <row r="2863" spans="1:5" x14ac:dyDescent="0.3">
      <c r="A2863" s="888" t="s">
        <v>2062</v>
      </c>
      <c r="B2863" s="888" t="s">
        <v>1954</v>
      </c>
      <c r="C2863" s="1008" t="s">
        <v>5613</v>
      </c>
      <c r="E2863" s="893" t="str">
        <f>$E$2238</f>
        <v>Rebar</v>
      </c>
    </row>
    <row r="2864" spans="1:5" x14ac:dyDescent="0.3">
      <c r="A2864" s="888" t="s">
        <v>2062</v>
      </c>
      <c r="B2864" s="888" t="s">
        <v>1954</v>
      </c>
      <c r="C2864" s="1008" t="s">
        <v>5614</v>
      </c>
      <c r="E2864" s="893" t="s">
        <v>3677</v>
      </c>
    </row>
    <row r="2865" spans="1:5" x14ac:dyDescent="0.3">
      <c r="A2865" s="888" t="s">
        <v>2062</v>
      </c>
      <c r="B2865" s="888" t="s">
        <v>1954</v>
      </c>
      <c r="C2865" s="1008" t="s">
        <v>5615</v>
      </c>
      <c r="E2865" s="893" t="s">
        <v>3678</v>
      </c>
    </row>
    <row r="2866" spans="1:5" x14ac:dyDescent="0.3">
      <c r="A2866" s="888" t="s">
        <v>2062</v>
      </c>
      <c r="B2866" s="888" t="s">
        <v>1954</v>
      </c>
      <c r="C2866" s="1008" t="s">
        <v>5616</v>
      </c>
      <c r="E2866" s="893" t="str">
        <f>$E$2238</f>
        <v>Rebar</v>
      </c>
    </row>
    <row r="2867" spans="1:5" x14ac:dyDescent="0.3">
      <c r="A2867" s="888" t="s">
        <v>2062</v>
      </c>
      <c r="B2867" s="888" t="s">
        <v>1954</v>
      </c>
      <c r="C2867" s="1008" t="s">
        <v>5617</v>
      </c>
      <c r="E2867" s="893" t="str">
        <f>$E$2864</f>
        <v>Nucor Corporation</v>
      </c>
    </row>
    <row r="2868" spans="1:5" x14ac:dyDescent="0.3">
      <c r="A2868" s="888" t="s">
        <v>2062</v>
      </c>
      <c r="B2868" s="888" t="s">
        <v>1954</v>
      </c>
      <c r="C2868" s="1008" t="s">
        <v>5618</v>
      </c>
      <c r="E2868" s="893" t="str">
        <f>$E$2865</f>
        <v>Canadian sizes</v>
      </c>
    </row>
    <row r="2869" spans="1:5" x14ac:dyDescent="0.3">
      <c r="A2869" s="888" t="s">
        <v>2062</v>
      </c>
      <c r="B2869" s="888" t="s">
        <v>1954</v>
      </c>
      <c r="C2869" s="1008" t="s">
        <v>5619</v>
      </c>
      <c r="E2869" s="893" t="str">
        <f>$E$2238</f>
        <v>Rebar</v>
      </c>
    </row>
    <row r="2870" spans="1:5" x14ac:dyDescent="0.3">
      <c r="A2870" s="888" t="s">
        <v>2062</v>
      </c>
      <c r="B2870" s="888" t="s">
        <v>1954</v>
      </c>
      <c r="C2870" s="1008" t="s">
        <v>5620</v>
      </c>
      <c r="E2870" s="893" t="str">
        <f>$E$2864</f>
        <v>Nucor Corporation</v>
      </c>
    </row>
    <row r="2871" spans="1:5" x14ac:dyDescent="0.3">
      <c r="A2871" s="888" t="s">
        <v>2062</v>
      </c>
      <c r="B2871" s="888" t="s">
        <v>1954</v>
      </c>
      <c r="C2871" s="1008" t="s">
        <v>5621</v>
      </c>
      <c r="E2871" s="893" t="str">
        <f>$E$2865</f>
        <v>Canadian sizes</v>
      </c>
    </row>
    <row r="2872" spans="1:5" x14ac:dyDescent="0.3">
      <c r="A2872" s="888" t="s">
        <v>2062</v>
      </c>
      <c r="B2872" s="888" t="s">
        <v>1954</v>
      </c>
      <c r="C2872" s="1008" t="s">
        <v>5622</v>
      </c>
      <c r="E2872" s="1018" t="str">
        <f>$E$2238</f>
        <v>Rebar</v>
      </c>
    </row>
    <row r="2873" spans="1:5" x14ac:dyDescent="0.3">
      <c r="A2873" s="888" t="s">
        <v>2062</v>
      </c>
      <c r="B2873" s="888" t="s">
        <v>1954</v>
      </c>
      <c r="C2873" s="1008" t="s">
        <v>5623</v>
      </c>
      <c r="E2873" s="893" t="s">
        <v>3682</v>
      </c>
    </row>
    <row r="2874" spans="1:5" x14ac:dyDescent="0.3">
      <c r="A2874" s="888" t="s">
        <v>2062</v>
      </c>
      <c r="B2874" s="888" t="s">
        <v>1954</v>
      </c>
      <c r="C2874" s="1008" t="s">
        <v>5624</v>
      </c>
      <c r="E2874" s="893" t="str">
        <f>$E$2865</f>
        <v>Canadian sizes</v>
      </c>
    </row>
    <row r="2875" spans="1:5" x14ac:dyDescent="0.3">
      <c r="A2875" s="888" t="s">
        <v>2062</v>
      </c>
      <c r="B2875" s="888" t="s">
        <v>1954</v>
      </c>
      <c r="C2875" s="1008" t="s">
        <v>5625</v>
      </c>
      <c r="E2875" s="1018" t="str">
        <f>$E$2238</f>
        <v>Rebar</v>
      </c>
    </row>
    <row r="2876" spans="1:5" x14ac:dyDescent="0.3">
      <c r="A2876" s="888" t="s">
        <v>2062</v>
      </c>
      <c r="B2876" s="888" t="s">
        <v>1954</v>
      </c>
      <c r="C2876" s="1008" t="s">
        <v>5626</v>
      </c>
      <c r="E2876" s="893" t="str">
        <f>$E$2873</f>
        <v>ArcelorMittal Long Products Canada</v>
      </c>
    </row>
    <row r="2877" spans="1:5" x14ac:dyDescent="0.3">
      <c r="A2877" s="888" t="s">
        <v>2062</v>
      </c>
      <c r="B2877" s="888" t="s">
        <v>1954</v>
      </c>
      <c r="C2877" s="1008" t="s">
        <v>5627</v>
      </c>
      <c r="E2877" s="1018" t="str">
        <f>$E$2865</f>
        <v>Canadian sizes</v>
      </c>
    </row>
    <row r="2878" spans="1:5" x14ac:dyDescent="0.3">
      <c r="A2878" s="888" t="s">
        <v>2062</v>
      </c>
      <c r="B2878" s="888" t="s">
        <v>1954</v>
      </c>
      <c r="C2878" s="1008" t="s">
        <v>5628</v>
      </c>
      <c r="E2878" s="893" t="str">
        <f>$E$2238</f>
        <v>Rebar</v>
      </c>
    </row>
    <row r="2879" spans="1:5" x14ac:dyDescent="0.3">
      <c r="A2879" s="888" t="s">
        <v>2062</v>
      </c>
      <c r="B2879" s="888" t="s">
        <v>1954</v>
      </c>
      <c r="C2879" s="1008" t="s">
        <v>5629</v>
      </c>
      <c r="E2879" s="893" t="str">
        <f>$E$2873</f>
        <v>ArcelorMittal Long Products Canada</v>
      </c>
    </row>
    <row r="2880" spans="1:5" x14ac:dyDescent="0.3">
      <c r="A2880" s="888" t="s">
        <v>2062</v>
      </c>
      <c r="B2880" s="888" t="s">
        <v>1954</v>
      </c>
      <c r="C2880" s="1008" t="s">
        <v>5630</v>
      </c>
      <c r="E2880" s="893" t="str">
        <f>$E$2865</f>
        <v>Canadian sizes</v>
      </c>
    </row>
    <row r="2881" spans="1:5" x14ac:dyDescent="0.3">
      <c r="A2881" s="888" t="s">
        <v>2062</v>
      </c>
      <c r="B2881" s="888" t="s">
        <v>1954</v>
      </c>
      <c r="C2881" s="1008" t="s">
        <v>7070</v>
      </c>
      <c r="E2881" s="1018" t="str">
        <f>$E$2385</f>
        <v>Wood fiber board</v>
      </c>
    </row>
    <row r="2882" spans="1:5" x14ac:dyDescent="0.3">
      <c r="A2882" s="888" t="s">
        <v>2062</v>
      </c>
      <c r="B2882" s="888" t="s">
        <v>1954</v>
      </c>
      <c r="C2882" s="1008" t="s">
        <v>7071</v>
      </c>
      <c r="E2882" s="893" t="s">
        <v>3687</v>
      </c>
    </row>
    <row r="2883" spans="1:5" x14ac:dyDescent="0.3">
      <c r="A2883" s="888" t="s">
        <v>2062</v>
      </c>
      <c r="B2883" s="888" t="s">
        <v>1954</v>
      </c>
      <c r="C2883" s="1008" t="s">
        <v>7072</v>
      </c>
      <c r="E2883" s="893" t="s">
        <v>4022</v>
      </c>
    </row>
    <row r="2884" spans="1:5" x14ac:dyDescent="0.3">
      <c r="A2884" s="888" t="s">
        <v>2062</v>
      </c>
      <c r="B2884" s="888" t="s">
        <v>1954</v>
      </c>
      <c r="C2884" s="1008" t="s">
        <v>5631</v>
      </c>
      <c r="E2884" s="893" t="str">
        <f>$E$2478</f>
        <v>XPS foam board</v>
      </c>
    </row>
    <row r="2885" spans="1:5" x14ac:dyDescent="0.3">
      <c r="A2885" s="888" t="s">
        <v>2062</v>
      </c>
      <c r="B2885" s="888" t="s">
        <v>1954</v>
      </c>
      <c r="C2885" s="1008" t="s">
        <v>5632</v>
      </c>
      <c r="E2885" s="893" t="s">
        <v>3689</v>
      </c>
    </row>
    <row r="2886" spans="1:5" x14ac:dyDescent="0.3">
      <c r="A2886" s="888" t="s">
        <v>2062</v>
      </c>
      <c r="B2886" s="888" t="s">
        <v>1954</v>
      </c>
      <c r="C2886" s="1008" t="s">
        <v>5633</v>
      </c>
      <c r="E2886" s="893" t="s">
        <v>4025</v>
      </c>
    </row>
    <row r="2887" spans="1:5" x14ac:dyDescent="0.3">
      <c r="A2887" s="888" t="s">
        <v>2062</v>
      </c>
      <c r="B2887" s="888" t="s">
        <v>1954</v>
      </c>
      <c r="C2887" s="1008" t="s">
        <v>5634</v>
      </c>
      <c r="E2887" s="893" t="str">
        <f>$E$2478</f>
        <v>XPS foam board</v>
      </c>
    </row>
    <row r="2888" spans="1:5" x14ac:dyDescent="0.3">
      <c r="A2888" s="888" t="s">
        <v>2062</v>
      </c>
      <c r="B2888" s="888" t="s">
        <v>1954</v>
      </c>
      <c r="C2888" s="1008" t="s">
        <v>5635</v>
      </c>
      <c r="E2888" s="893" t="s">
        <v>3697</v>
      </c>
    </row>
    <row r="2889" spans="1:5" x14ac:dyDescent="0.3">
      <c r="A2889" s="888" t="s">
        <v>2062</v>
      </c>
      <c r="B2889" s="888" t="s">
        <v>1954</v>
      </c>
      <c r="C2889" s="1008" t="s">
        <v>5636</v>
      </c>
      <c r="E2889" s="893" t="s">
        <v>3775</v>
      </c>
    </row>
    <row r="2890" spans="1:5" x14ac:dyDescent="0.3">
      <c r="A2890" s="888" t="s">
        <v>2062</v>
      </c>
      <c r="B2890" s="888" t="s">
        <v>1954</v>
      </c>
      <c r="C2890" s="1008" t="s">
        <v>5637</v>
      </c>
      <c r="E2890" s="893" t="s">
        <v>793</v>
      </c>
    </row>
    <row r="2891" spans="1:5" x14ac:dyDescent="0.3">
      <c r="A2891" s="888" t="s">
        <v>2062</v>
      </c>
      <c r="B2891" s="888" t="s">
        <v>1954</v>
      </c>
      <c r="C2891" s="1008" t="s">
        <v>5638</v>
      </c>
      <c r="E2891" s="893" t="s">
        <v>504</v>
      </c>
    </row>
    <row r="2892" spans="1:5" x14ac:dyDescent="0.3">
      <c r="A2892" s="888" t="s">
        <v>2062</v>
      </c>
      <c r="B2892" s="888" t="s">
        <v>1954</v>
      </c>
      <c r="C2892" s="1008" t="s">
        <v>5639</v>
      </c>
      <c r="E2892" s="1018" t="s">
        <v>3710</v>
      </c>
    </row>
    <row r="2893" spans="1:5" x14ac:dyDescent="0.3">
      <c r="A2893" s="888" t="s">
        <v>2062</v>
      </c>
      <c r="B2893" s="888" t="s">
        <v>1954</v>
      </c>
      <c r="C2893" s="1008" t="s">
        <v>5640</v>
      </c>
      <c r="E2893" s="893" t="str">
        <f>$E$2218</f>
        <v>Polyiso - wall boards</v>
      </c>
    </row>
    <row r="2894" spans="1:5" x14ac:dyDescent="0.3">
      <c r="A2894" s="888" t="s">
        <v>2062</v>
      </c>
      <c r="B2894" s="888" t="s">
        <v>1954</v>
      </c>
      <c r="C2894" s="1008" t="s">
        <v>5641</v>
      </c>
      <c r="E2894" s="893" t="str">
        <f>$E$2885</f>
        <v>DuPont</v>
      </c>
    </row>
    <row r="2895" spans="1:5" x14ac:dyDescent="0.3">
      <c r="A2895" s="888" t="s">
        <v>2062</v>
      </c>
      <c r="B2895" s="888" t="s">
        <v>1954</v>
      </c>
      <c r="C2895" s="1008" t="s">
        <v>5642</v>
      </c>
      <c r="E2895" s="893" t="s">
        <v>3712</v>
      </c>
    </row>
    <row r="2896" spans="1:5" x14ac:dyDescent="0.3">
      <c r="A2896" s="888" t="s">
        <v>2062</v>
      </c>
      <c r="B2896" s="888" t="s">
        <v>1954</v>
      </c>
      <c r="C2896" s="1008" t="s">
        <v>5643</v>
      </c>
      <c r="E2896" s="893" t="s">
        <v>439</v>
      </c>
    </row>
    <row r="2897" spans="1:5" x14ac:dyDescent="0.3">
      <c r="A2897" s="888" t="s">
        <v>2062</v>
      </c>
      <c r="B2897" s="888" t="s">
        <v>1954</v>
      </c>
      <c r="C2897" s="1008" t="s">
        <v>5644</v>
      </c>
      <c r="E2897" s="893" t="s">
        <v>3714</v>
      </c>
    </row>
    <row r="2898" spans="1:5" x14ac:dyDescent="0.3">
      <c r="A2898" s="888" t="s">
        <v>2062</v>
      </c>
      <c r="B2898" s="888" t="s">
        <v>1954</v>
      </c>
      <c r="C2898" s="1008" t="s">
        <v>5645</v>
      </c>
      <c r="E2898" s="893" t="s">
        <v>3715</v>
      </c>
    </row>
    <row r="2899" spans="1:5" x14ac:dyDescent="0.3">
      <c r="A2899" s="888" t="s">
        <v>2062</v>
      </c>
      <c r="B2899" s="888" t="s">
        <v>1954</v>
      </c>
      <c r="C2899" s="1008" t="s">
        <v>7075</v>
      </c>
      <c r="E2899" s="893" t="s">
        <v>608</v>
      </c>
    </row>
    <row r="2900" spans="1:5" x14ac:dyDescent="0.3">
      <c r="A2900" s="888" t="s">
        <v>2062</v>
      </c>
      <c r="B2900" s="888" t="s">
        <v>1954</v>
      </c>
      <c r="C2900" s="1008" t="s">
        <v>7076</v>
      </c>
      <c r="E2900" s="893" t="s">
        <v>3717</v>
      </c>
    </row>
    <row r="2901" spans="1:5" x14ac:dyDescent="0.3">
      <c r="A2901" s="888" t="s">
        <v>2062</v>
      </c>
      <c r="B2901" s="888" t="s">
        <v>1954</v>
      </c>
      <c r="C2901" s="1008" t="s">
        <v>7077</v>
      </c>
      <c r="E2901" s="893" t="s">
        <v>3718</v>
      </c>
    </row>
    <row r="2902" spans="1:5" x14ac:dyDescent="0.3">
      <c r="A2902" s="888" t="s">
        <v>2062</v>
      </c>
      <c r="B2902" s="888" t="s">
        <v>1954</v>
      </c>
      <c r="C2902" s="1008" t="s">
        <v>7079</v>
      </c>
      <c r="E2902" s="893" t="str">
        <f>$E$2218</f>
        <v>Polyiso - wall boards</v>
      </c>
    </row>
    <row r="2903" spans="1:5" x14ac:dyDescent="0.3">
      <c r="A2903" s="888" t="s">
        <v>2062</v>
      </c>
      <c r="B2903" s="888" t="s">
        <v>1954</v>
      </c>
      <c r="C2903" s="1008" t="s">
        <v>7080</v>
      </c>
      <c r="E2903" s="1018" t="str">
        <f>$E$2180</f>
        <v>PIMA</v>
      </c>
    </row>
    <row r="2904" spans="1:5" x14ac:dyDescent="0.3">
      <c r="A2904" s="888" t="s">
        <v>2062</v>
      </c>
      <c r="B2904" s="888" t="s">
        <v>1954</v>
      </c>
      <c r="C2904" s="1008" t="s">
        <v>7081</v>
      </c>
      <c r="E2904" s="893" t="str">
        <f>$E$2181</f>
        <v>Includes: Atlas, Firestone, GAF, Johns Manville, Rmax, Carlisle, Iko, Soprema</v>
      </c>
    </row>
    <row r="2905" spans="1:5" x14ac:dyDescent="0.3">
      <c r="A2905" s="888" t="s">
        <v>2062</v>
      </c>
      <c r="B2905" s="888" t="s">
        <v>1954</v>
      </c>
      <c r="C2905" s="1008" t="s">
        <v>5646</v>
      </c>
      <c r="E2905" s="893" t="s">
        <v>644</v>
      </c>
    </row>
    <row r="2906" spans="1:5" x14ac:dyDescent="0.3">
      <c r="A2906" s="888" t="s">
        <v>2062</v>
      </c>
      <c r="B2906" s="888" t="s">
        <v>1954</v>
      </c>
      <c r="C2906" s="1008" t="s">
        <v>5647</v>
      </c>
      <c r="E2906" s="893" t="s">
        <v>3780</v>
      </c>
    </row>
    <row r="2907" spans="1:5" x14ac:dyDescent="0.3">
      <c r="A2907" s="888" t="s">
        <v>2062</v>
      </c>
      <c r="B2907" s="888" t="s">
        <v>1954</v>
      </c>
      <c r="C2907" s="1008" t="s">
        <v>5648</v>
      </c>
      <c r="E2907" s="1018" t="s">
        <v>3722</v>
      </c>
    </row>
    <row r="2908" spans="1:5" x14ac:dyDescent="0.3">
      <c r="A2908" s="888" t="s">
        <v>2062</v>
      </c>
      <c r="B2908" s="888" t="s">
        <v>1954</v>
      </c>
      <c r="C2908" s="1008" t="s">
        <v>5649</v>
      </c>
      <c r="E2908" s="893" t="s">
        <v>3724</v>
      </c>
    </row>
    <row r="2909" spans="1:5" x14ac:dyDescent="0.3">
      <c r="A2909" s="888" t="s">
        <v>2062</v>
      </c>
      <c r="B2909" s="888" t="s">
        <v>1954</v>
      </c>
      <c r="C2909" s="1008" t="s">
        <v>5650</v>
      </c>
      <c r="E2909" s="893" t="str">
        <f>$E$2117</f>
        <v>LP</v>
      </c>
    </row>
    <row r="2910" spans="1:5" x14ac:dyDescent="0.3">
      <c r="A2910" s="888" t="s">
        <v>2062</v>
      </c>
      <c r="B2910" s="888" t="s">
        <v>1954</v>
      </c>
      <c r="C2910" s="1008" t="s">
        <v>5651</v>
      </c>
      <c r="E2910" s="893" t="s">
        <v>3726</v>
      </c>
    </row>
    <row r="2911" spans="1:5" x14ac:dyDescent="0.3">
      <c r="A2911" s="888" t="s">
        <v>2062</v>
      </c>
      <c r="B2911" s="888" t="s">
        <v>1954</v>
      </c>
      <c r="C2911" s="1008" t="s">
        <v>5652</v>
      </c>
      <c r="E2911" s="893" t="s">
        <v>4524</v>
      </c>
    </row>
    <row r="2912" spans="1:5" x14ac:dyDescent="0.3">
      <c r="A2912" s="888" t="s">
        <v>2062</v>
      </c>
      <c r="B2912" s="888" t="s">
        <v>1954</v>
      </c>
      <c r="C2912" s="1008" t="s">
        <v>5653</v>
      </c>
      <c r="E2912" s="893" t="str">
        <f>$E$2908</f>
        <v>Engineered Wood Siding &amp; Trim</v>
      </c>
    </row>
    <row r="2913" spans="1:5" x14ac:dyDescent="0.3">
      <c r="A2913" s="888" t="s">
        <v>2062</v>
      </c>
      <c r="B2913" s="888" t="s">
        <v>1954</v>
      </c>
      <c r="C2913" s="1008" t="s">
        <v>5654</v>
      </c>
      <c r="E2913" s="893" t="str">
        <f>$E$2117</f>
        <v>LP</v>
      </c>
    </row>
    <row r="2914" spans="1:5" x14ac:dyDescent="0.3">
      <c r="A2914" s="888" t="s">
        <v>2062</v>
      </c>
      <c r="B2914" s="888" t="s">
        <v>1954</v>
      </c>
      <c r="C2914" s="1008" t="s">
        <v>5655</v>
      </c>
      <c r="E2914" s="893" t="str">
        <f>$E$2910</f>
        <v>SmartSide</v>
      </c>
    </row>
    <row r="2915" spans="1:5" x14ac:dyDescent="0.3">
      <c r="A2915" s="888" t="s">
        <v>2062</v>
      </c>
      <c r="B2915" s="888" t="s">
        <v>1954</v>
      </c>
      <c r="C2915" s="1008" t="s">
        <v>5656</v>
      </c>
      <c r="E2915" s="893" t="s">
        <v>4527</v>
      </c>
    </row>
    <row r="2916" spans="1:5" x14ac:dyDescent="0.3">
      <c r="A2916" s="888" t="s">
        <v>2062</v>
      </c>
      <c r="B2916" s="888" t="s">
        <v>1954</v>
      </c>
      <c r="C2916" s="1008" t="s">
        <v>5657</v>
      </c>
      <c r="E2916" s="893" t="str">
        <f>$E$2908</f>
        <v>Engineered Wood Siding &amp; Trim</v>
      </c>
    </row>
    <row r="2917" spans="1:5" x14ac:dyDescent="0.3">
      <c r="A2917" s="888" t="s">
        <v>2062</v>
      </c>
      <c r="B2917" s="888" t="s">
        <v>1954</v>
      </c>
      <c r="C2917" s="1008" t="s">
        <v>5658</v>
      </c>
      <c r="E2917" s="893" t="str">
        <f>$E$2117</f>
        <v>LP</v>
      </c>
    </row>
    <row r="2918" spans="1:5" x14ac:dyDescent="0.3">
      <c r="A2918" s="888" t="s">
        <v>2062</v>
      </c>
      <c r="B2918" s="888" t="s">
        <v>1954</v>
      </c>
      <c r="C2918" s="1008" t="s">
        <v>5659</v>
      </c>
      <c r="E2918" s="893" t="str">
        <f>$E$2910</f>
        <v>SmartSide</v>
      </c>
    </row>
    <row r="2919" spans="1:5" x14ac:dyDescent="0.3">
      <c r="A2919" s="888" t="s">
        <v>2062</v>
      </c>
      <c r="B2919" s="888" t="s">
        <v>1954</v>
      </c>
      <c r="C2919" s="1008" t="s">
        <v>5660</v>
      </c>
      <c r="E2919" s="893" t="s">
        <v>4529</v>
      </c>
    </row>
    <row r="2920" spans="1:5" x14ac:dyDescent="0.3">
      <c r="A2920" s="888" t="s">
        <v>2062</v>
      </c>
      <c r="B2920" s="888" t="s">
        <v>1954</v>
      </c>
      <c r="C2920" s="1008" t="s">
        <v>5661</v>
      </c>
      <c r="E2920" s="893" t="str">
        <f>$E$2908</f>
        <v>Engineered Wood Siding &amp; Trim</v>
      </c>
    </row>
    <row r="2921" spans="1:5" x14ac:dyDescent="0.3">
      <c r="A2921" s="888" t="s">
        <v>2062</v>
      </c>
      <c r="B2921" s="888" t="s">
        <v>1954</v>
      </c>
      <c r="C2921" s="1008" t="s">
        <v>5662</v>
      </c>
      <c r="E2921" s="893" t="str">
        <f>$E$2117</f>
        <v>LP</v>
      </c>
    </row>
    <row r="2922" spans="1:5" x14ac:dyDescent="0.3">
      <c r="A2922" s="888" t="s">
        <v>2062</v>
      </c>
      <c r="B2922" s="888" t="s">
        <v>1954</v>
      </c>
      <c r="C2922" s="1008" t="s">
        <v>5663</v>
      </c>
      <c r="E2922" s="893" t="s">
        <v>4531</v>
      </c>
    </row>
    <row r="2923" spans="1:5" x14ac:dyDescent="0.3">
      <c r="A2923" s="888" t="s">
        <v>2062</v>
      </c>
      <c r="B2923" s="888" t="s">
        <v>1954</v>
      </c>
      <c r="C2923" s="1008" t="s">
        <v>5664</v>
      </c>
      <c r="E2923" s="893" t="s">
        <v>4532</v>
      </c>
    </row>
    <row r="2924" spans="1:5" x14ac:dyDescent="0.3">
      <c r="A2924" s="888" t="s">
        <v>2062</v>
      </c>
      <c r="B2924" s="888" t="s">
        <v>1954</v>
      </c>
      <c r="C2924" s="1008" t="s">
        <v>5665</v>
      </c>
      <c r="E2924" s="893" t="str">
        <f>$E$2908</f>
        <v>Engineered Wood Siding &amp; Trim</v>
      </c>
    </row>
    <row r="2925" spans="1:5" x14ac:dyDescent="0.3">
      <c r="A2925" s="888" t="s">
        <v>2062</v>
      </c>
      <c r="B2925" s="888" t="s">
        <v>1954</v>
      </c>
      <c r="C2925" s="1008" t="s">
        <v>5666</v>
      </c>
      <c r="E2925" s="893" t="str">
        <f>$E$2117</f>
        <v>LP</v>
      </c>
    </row>
    <row r="2926" spans="1:5" x14ac:dyDescent="0.3">
      <c r="A2926" s="888" t="s">
        <v>2062</v>
      </c>
      <c r="B2926" s="888" t="s">
        <v>1954</v>
      </c>
      <c r="C2926" s="1008" t="s">
        <v>5667</v>
      </c>
      <c r="E2926" s="893" t="s">
        <v>4536</v>
      </c>
    </row>
    <row r="2927" spans="1:5" x14ac:dyDescent="0.3">
      <c r="A2927" s="888" t="s">
        <v>2062</v>
      </c>
      <c r="B2927" s="888" t="s">
        <v>1954</v>
      </c>
      <c r="C2927" s="1008" t="s">
        <v>5668</v>
      </c>
      <c r="E2927" s="893" t="s">
        <v>4537</v>
      </c>
    </row>
    <row r="2928" spans="1:5" x14ac:dyDescent="0.3">
      <c r="A2928" s="888" t="s">
        <v>2062</v>
      </c>
      <c r="B2928" s="888" t="s">
        <v>1954</v>
      </c>
      <c r="C2928" s="1008" t="s">
        <v>5669</v>
      </c>
      <c r="E2928" s="893" t="str">
        <f>$E$2355</f>
        <v>Window - double pane</v>
      </c>
    </row>
    <row r="2929" spans="1:5" x14ac:dyDescent="0.3">
      <c r="A2929" s="888" t="s">
        <v>2062</v>
      </c>
      <c r="B2929" s="888" t="s">
        <v>1954</v>
      </c>
      <c r="C2929" s="1008" t="s">
        <v>5670</v>
      </c>
      <c r="E2929" s="893" t="s">
        <v>3736</v>
      </c>
    </row>
    <row r="2930" spans="1:5" x14ac:dyDescent="0.3">
      <c r="A2930" s="888" t="s">
        <v>2062</v>
      </c>
      <c r="B2930" s="888" t="s">
        <v>1954</v>
      </c>
      <c r="C2930" s="1008" t="s">
        <v>5671</v>
      </c>
      <c r="E2930" s="893" t="s">
        <v>3737</v>
      </c>
    </row>
    <row r="2931" spans="1:5" x14ac:dyDescent="0.3">
      <c r="A2931" s="888" t="s">
        <v>2062</v>
      </c>
      <c r="B2931" s="888" t="s">
        <v>1954</v>
      </c>
      <c r="C2931" s="1008" t="s">
        <v>5672</v>
      </c>
      <c r="E2931" s="893" t="str">
        <f>$E$2356</f>
        <v>Fiberglass frame</v>
      </c>
    </row>
    <row r="2932" spans="1:5" x14ac:dyDescent="0.3">
      <c r="A2932" s="888" t="s">
        <v>2062</v>
      </c>
      <c r="B2932" s="888" t="s">
        <v>1954</v>
      </c>
      <c r="C2932" s="1008" t="s">
        <v>5673</v>
      </c>
      <c r="E2932" s="893" t="str">
        <f>$E$1957</f>
        <v>Gypsum panels - glass mat</v>
      </c>
    </row>
    <row r="2933" spans="1:5" x14ac:dyDescent="0.3">
      <c r="A2933" s="888" t="s">
        <v>2062</v>
      </c>
      <c r="B2933" s="888" t="s">
        <v>1954</v>
      </c>
      <c r="C2933" s="1008" t="s">
        <v>5674</v>
      </c>
      <c r="E2933" s="893" t="str">
        <f>$E$1894</f>
        <v>CertainTeed</v>
      </c>
    </row>
    <row r="2934" spans="1:5" x14ac:dyDescent="0.3">
      <c r="A2934" s="888" t="s">
        <v>2062</v>
      </c>
      <c r="B2934" s="888" t="s">
        <v>1954</v>
      </c>
      <c r="C2934" s="1008" t="s">
        <v>5675</v>
      </c>
      <c r="E2934" s="893" t="s">
        <v>3746</v>
      </c>
    </row>
    <row r="2935" spans="1:5" x14ac:dyDescent="0.3">
      <c r="A2935" s="888" t="s">
        <v>2062</v>
      </c>
      <c r="B2935" s="888" t="s">
        <v>1954</v>
      </c>
      <c r="C2935" s="1008" t="s">
        <v>5676</v>
      </c>
      <c r="E2935" s="893" t="str">
        <f>$E$1957</f>
        <v>Gypsum panels - glass mat</v>
      </c>
    </row>
    <row r="2936" spans="1:5" x14ac:dyDescent="0.3">
      <c r="A2936" s="888" t="s">
        <v>2062</v>
      </c>
      <c r="B2936" s="888" t="s">
        <v>1954</v>
      </c>
      <c r="C2936" s="1008" t="s">
        <v>5677</v>
      </c>
      <c r="E2936" s="893" t="str">
        <f>$E$1961</f>
        <v>Georgia-Pacific</v>
      </c>
    </row>
    <row r="2937" spans="1:5" x14ac:dyDescent="0.3">
      <c r="A2937" s="888" t="s">
        <v>2062</v>
      </c>
      <c r="B2937" s="888" t="s">
        <v>1954</v>
      </c>
      <c r="C2937" s="1008" t="s">
        <v>5678</v>
      </c>
      <c r="E2937" s="893" t="str">
        <f>$E$1962</f>
        <v xml:space="preserve">DensGlass Sheathing </v>
      </c>
    </row>
    <row r="2938" spans="1:5" x14ac:dyDescent="0.3">
      <c r="A2938" s="888" t="s">
        <v>2062</v>
      </c>
      <c r="B2938" s="888" t="s">
        <v>1954</v>
      </c>
      <c r="C2938" s="1008" t="s">
        <v>5679</v>
      </c>
      <c r="E2938" s="893" t="str">
        <f>$E$1957</f>
        <v>Gypsum panels - glass mat</v>
      </c>
    </row>
    <row r="2939" spans="1:5" x14ac:dyDescent="0.3">
      <c r="A2939" s="888" t="s">
        <v>2062</v>
      </c>
      <c r="B2939" s="888" t="s">
        <v>1954</v>
      </c>
      <c r="C2939" s="1008" t="s">
        <v>5680</v>
      </c>
      <c r="E2939" s="893" t="str">
        <f>$E$1958</f>
        <v>Gypsum Association</v>
      </c>
    </row>
    <row r="2940" spans="1:5" x14ac:dyDescent="0.3">
      <c r="A2940" s="888" t="s">
        <v>2062</v>
      </c>
      <c r="B2940" s="888" t="s">
        <v>1954</v>
      </c>
      <c r="C2940" s="1008" t="s">
        <v>5681</v>
      </c>
      <c r="E2940" s="893" t="str">
        <f>$E$1959</f>
        <v>North American Industry Average</v>
      </c>
    </row>
    <row r="2941" spans="1:5" x14ac:dyDescent="0.3">
      <c r="A2941" s="888" t="s">
        <v>2062</v>
      </c>
      <c r="B2941" s="888" t="s">
        <v>1954</v>
      </c>
      <c r="C2941" s="1008" t="s">
        <v>5682</v>
      </c>
      <c r="E2941" s="893" t="s">
        <v>4542</v>
      </c>
    </row>
    <row r="2942" spans="1:5" x14ac:dyDescent="0.3">
      <c r="A2942" s="888" t="s">
        <v>2062</v>
      </c>
      <c r="B2942" s="888" t="s">
        <v>1954</v>
      </c>
      <c r="C2942" s="1008" t="s">
        <v>5683</v>
      </c>
      <c r="E2942" s="893" t="str">
        <f>$E$2844</f>
        <v>Fiber Cement siding</v>
      </c>
    </row>
    <row r="2943" spans="1:5" x14ac:dyDescent="0.3">
      <c r="A2943" s="888" t="s">
        <v>2062</v>
      </c>
      <c r="B2943" s="888" t="s">
        <v>1954</v>
      </c>
      <c r="C2943" s="1008" t="s">
        <v>5684</v>
      </c>
      <c r="E2943" s="893" t="s">
        <v>3742</v>
      </c>
    </row>
    <row r="2944" spans="1:5" x14ac:dyDescent="0.3">
      <c r="A2944" s="888" t="s">
        <v>2062</v>
      </c>
      <c r="B2944" s="888" t="s">
        <v>1954</v>
      </c>
      <c r="C2944" s="1008" t="s">
        <v>5685</v>
      </c>
      <c r="E2944" s="893" t="s">
        <v>4543</v>
      </c>
    </row>
    <row r="2945" spans="1:5" x14ac:dyDescent="0.3">
      <c r="A2945" s="888" t="s">
        <v>2062</v>
      </c>
      <c r="B2945" s="888" t="s">
        <v>1954</v>
      </c>
      <c r="C2945" s="1008" t="s">
        <v>5686</v>
      </c>
      <c r="E2945" s="893" t="str">
        <f>$E$2844</f>
        <v>Fiber Cement siding</v>
      </c>
    </row>
    <row r="2946" spans="1:5" x14ac:dyDescent="0.3">
      <c r="A2946" s="888" t="s">
        <v>2062</v>
      </c>
      <c r="B2946" s="888" t="s">
        <v>1954</v>
      </c>
      <c r="C2946" s="1008" t="s">
        <v>5687</v>
      </c>
      <c r="E2946" s="893" t="str">
        <f>$E$2943</f>
        <v>James Hardie</v>
      </c>
    </row>
    <row r="2947" spans="1:5" x14ac:dyDescent="0.3">
      <c r="A2947" s="888" t="s">
        <v>2062</v>
      </c>
      <c r="B2947" s="888" t="s">
        <v>1954</v>
      </c>
      <c r="C2947" s="1008" t="s">
        <v>5688</v>
      </c>
      <c r="E2947" s="893" t="s">
        <v>4546</v>
      </c>
    </row>
    <row r="2948" spans="1:5" x14ac:dyDescent="0.3">
      <c r="A2948" s="888" t="s">
        <v>2062</v>
      </c>
      <c r="B2948" s="888" t="s">
        <v>1954</v>
      </c>
      <c r="C2948" s="1008" t="s">
        <v>5689</v>
      </c>
      <c r="E2948" s="893" t="str">
        <f>$E$2844</f>
        <v>Fiber Cement siding</v>
      </c>
    </row>
    <row r="2949" spans="1:5" x14ac:dyDescent="0.3">
      <c r="A2949" s="888" t="s">
        <v>2062</v>
      </c>
      <c r="B2949" s="888" t="s">
        <v>1954</v>
      </c>
      <c r="C2949" s="1008" t="s">
        <v>5690</v>
      </c>
      <c r="E2949" s="893" t="str">
        <f>$E$2943</f>
        <v>James Hardie</v>
      </c>
    </row>
    <row r="2950" spans="1:5" x14ac:dyDescent="0.3">
      <c r="A2950" s="888" t="s">
        <v>2062</v>
      </c>
      <c r="B2950" s="888" t="s">
        <v>1954</v>
      </c>
      <c r="C2950" s="1008" t="s">
        <v>5691</v>
      </c>
      <c r="E2950" s="893" t="s">
        <v>4547</v>
      </c>
    </row>
    <row r="2951" spans="1:5" x14ac:dyDescent="0.3">
      <c r="A2951" s="888" t="s">
        <v>2062</v>
      </c>
      <c r="B2951" s="888" t="s">
        <v>1954</v>
      </c>
      <c r="C2951" s="1008" t="s">
        <v>5692</v>
      </c>
      <c r="E2951" s="893" t="s">
        <v>4548</v>
      </c>
    </row>
    <row r="2952" spans="1:5" x14ac:dyDescent="0.3">
      <c r="A2952" s="888" t="s">
        <v>2062</v>
      </c>
      <c r="B2952" s="888" t="s">
        <v>1954</v>
      </c>
      <c r="C2952" s="1008" t="s">
        <v>5693</v>
      </c>
      <c r="E2952" s="893" t="str">
        <f>$E$2844</f>
        <v>Fiber Cement siding</v>
      </c>
    </row>
    <row r="2953" spans="1:5" x14ac:dyDescent="0.3">
      <c r="A2953" s="888" t="s">
        <v>2062</v>
      </c>
      <c r="B2953" s="888" t="s">
        <v>1954</v>
      </c>
      <c r="C2953" s="1008" t="s">
        <v>5694</v>
      </c>
      <c r="E2953" s="893" t="str">
        <f>$E$2943</f>
        <v>James Hardie</v>
      </c>
    </row>
    <row r="2954" spans="1:5" x14ac:dyDescent="0.3">
      <c r="A2954" s="888" t="s">
        <v>2062</v>
      </c>
      <c r="B2954" s="888" t="s">
        <v>1954</v>
      </c>
      <c r="C2954" s="1008" t="s">
        <v>5695</v>
      </c>
      <c r="E2954" s="893" t="s">
        <v>4549</v>
      </c>
    </row>
    <row r="2955" spans="1:5" x14ac:dyDescent="0.3">
      <c r="A2955" s="888" t="s">
        <v>2062</v>
      </c>
      <c r="B2955" s="888" t="s">
        <v>1954</v>
      </c>
      <c r="C2955" s="1008" t="s">
        <v>5696</v>
      </c>
      <c r="E2955" s="893" t="str">
        <f>$E$2951</f>
        <v>6.3mm</v>
      </c>
    </row>
    <row r="2956" spans="1:5" x14ac:dyDescent="0.3">
      <c r="A2956" s="888" t="s">
        <v>2062</v>
      </c>
      <c r="B2956" s="888" t="s">
        <v>1954</v>
      </c>
      <c r="C2956" s="1008" t="s">
        <v>5697</v>
      </c>
      <c r="E2956" s="893" t="s">
        <v>4550</v>
      </c>
    </row>
    <row r="2957" spans="1:5" x14ac:dyDescent="0.3">
      <c r="A2957" s="888" t="s">
        <v>2062</v>
      </c>
      <c r="B2957" s="888" t="s">
        <v>1954</v>
      </c>
      <c r="C2957" s="1008" t="s">
        <v>5698</v>
      </c>
      <c r="E2957" s="893" t="str">
        <f>$E$1902</f>
        <v xml:space="preserve">NAIMA </v>
      </c>
    </row>
    <row r="2958" spans="1:5" x14ac:dyDescent="0.3">
      <c r="A2958" s="888" t="s">
        <v>2062</v>
      </c>
      <c r="B2958" s="888" t="s">
        <v>1954</v>
      </c>
      <c r="C2958" s="1008" t="s">
        <v>5699</v>
      </c>
      <c r="E2958" s="893" t="s">
        <v>4551</v>
      </c>
    </row>
    <row r="2959" spans="1:5" x14ac:dyDescent="0.3">
      <c r="A2959" s="888" t="s">
        <v>2062</v>
      </c>
      <c r="B2959" s="888" t="s">
        <v>1954</v>
      </c>
      <c r="C2959" s="1008" t="s">
        <v>7082</v>
      </c>
      <c r="E2959" s="893" t="s">
        <v>4552</v>
      </c>
    </row>
    <row r="2960" spans="1:5" x14ac:dyDescent="0.3">
      <c r="A2960" s="888" t="s">
        <v>2062</v>
      </c>
      <c r="B2960" s="888" t="s">
        <v>1954</v>
      </c>
      <c r="C2960" s="1008" t="s">
        <v>5700</v>
      </c>
      <c r="E2960" s="893" t="s">
        <v>4554</v>
      </c>
    </row>
    <row r="2961" spans="1:5" x14ac:dyDescent="0.3">
      <c r="A2961" s="888" t="s">
        <v>2062</v>
      </c>
      <c r="B2961" s="888" t="s">
        <v>1954</v>
      </c>
      <c r="C2961" s="1008" t="s">
        <v>5701</v>
      </c>
      <c r="E2961" s="893" t="s">
        <v>4555</v>
      </c>
    </row>
    <row r="2962" spans="1:5" x14ac:dyDescent="0.3">
      <c r="A2962" s="888" t="s">
        <v>2062</v>
      </c>
      <c r="B2962" s="888" t="s">
        <v>1954</v>
      </c>
      <c r="C2962" s="1008" t="s">
        <v>5702</v>
      </c>
      <c r="E2962" s="893" t="s">
        <v>4556</v>
      </c>
    </row>
    <row r="2963" spans="1:5" x14ac:dyDescent="0.3">
      <c r="A2963" s="888" t="s">
        <v>2062</v>
      </c>
      <c r="B2963" s="888" t="s">
        <v>1954</v>
      </c>
      <c r="C2963" s="1008" t="s">
        <v>5703</v>
      </c>
      <c r="E2963" s="893" t="s">
        <v>4557</v>
      </c>
    </row>
    <row r="2964" spans="1:5" x14ac:dyDescent="0.3">
      <c r="A2964" s="888" t="s">
        <v>2062</v>
      </c>
      <c r="B2964" s="888" t="s">
        <v>1954</v>
      </c>
      <c r="C2964" s="1008" t="s">
        <v>5704</v>
      </c>
      <c r="E2964" s="893" t="str">
        <f>$E$2960</f>
        <v xml:space="preserve">Window - double-glazed </v>
      </c>
    </row>
    <row r="2965" spans="1:5" x14ac:dyDescent="0.3">
      <c r="A2965" s="888" t="s">
        <v>2062</v>
      </c>
      <c r="B2965" s="888" t="s">
        <v>1954</v>
      </c>
      <c r="C2965" s="1008" t="s">
        <v>5705</v>
      </c>
      <c r="E2965" s="893" t="s">
        <v>4559</v>
      </c>
    </row>
    <row r="2966" spans="1:5" x14ac:dyDescent="0.3">
      <c r="A2966" s="888" t="s">
        <v>2062</v>
      </c>
      <c r="B2966" s="888" t="s">
        <v>1954</v>
      </c>
      <c r="C2966" s="1008" t="s">
        <v>5706</v>
      </c>
      <c r="E2966" s="893" t="s">
        <v>4560</v>
      </c>
    </row>
    <row r="2967" spans="1:5" x14ac:dyDescent="0.3">
      <c r="A2967" s="888" t="s">
        <v>2062</v>
      </c>
      <c r="B2967" s="888" t="s">
        <v>1954</v>
      </c>
      <c r="C2967" s="1008" t="s">
        <v>7083</v>
      </c>
      <c r="E2967" s="893" t="str">
        <f>$E$2963</f>
        <v>Aluminum frame</v>
      </c>
    </row>
    <row r="2968" spans="1:5" x14ac:dyDescent="0.3">
      <c r="A2968" s="888" t="s">
        <v>2062</v>
      </c>
      <c r="B2968" s="888" t="s">
        <v>1954</v>
      </c>
      <c r="C2968" s="1008" t="s">
        <v>5707</v>
      </c>
      <c r="E2968" s="893" t="str">
        <f>$E$2960</f>
        <v xml:space="preserve">Window - double-glazed </v>
      </c>
    </row>
    <row r="2969" spans="1:5" x14ac:dyDescent="0.3">
      <c r="A2969" s="888" t="s">
        <v>2062</v>
      </c>
      <c r="B2969" s="888" t="s">
        <v>1954</v>
      </c>
      <c r="C2969" s="1008" t="s">
        <v>5708</v>
      </c>
      <c r="E2969" s="893" t="s">
        <v>4561</v>
      </c>
    </row>
    <row r="2970" spans="1:5" x14ac:dyDescent="0.3">
      <c r="A2970" s="888" t="s">
        <v>2062</v>
      </c>
      <c r="B2970" s="888" t="s">
        <v>1954</v>
      </c>
      <c r="C2970" s="1008" t="s">
        <v>5709</v>
      </c>
      <c r="E2970" s="893" t="s">
        <v>4562</v>
      </c>
    </row>
    <row r="2971" spans="1:5" x14ac:dyDescent="0.3">
      <c r="A2971" s="888" t="s">
        <v>2062</v>
      </c>
      <c r="B2971" s="888" t="s">
        <v>1954</v>
      </c>
      <c r="C2971" s="1008" t="s">
        <v>7084</v>
      </c>
      <c r="E2971" s="893" t="str">
        <f>$E$2963</f>
        <v>Aluminum frame</v>
      </c>
    </row>
    <row r="2972" spans="1:5" x14ac:dyDescent="0.3">
      <c r="A2972" s="888" t="s">
        <v>2062</v>
      </c>
      <c r="B2972" s="888" t="s">
        <v>1954</v>
      </c>
      <c r="C2972" s="1008" t="s">
        <v>5710</v>
      </c>
      <c r="E2972" s="893" t="str">
        <f>$E$2960</f>
        <v xml:space="preserve">Window - double-glazed </v>
      </c>
    </row>
    <row r="2973" spans="1:5" x14ac:dyDescent="0.3">
      <c r="A2973" s="888" t="s">
        <v>2062</v>
      </c>
      <c r="B2973" s="888" t="s">
        <v>1954</v>
      </c>
      <c r="C2973" s="1008" t="s">
        <v>5711</v>
      </c>
      <c r="E2973" s="893" t="str">
        <f>$E$2969</f>
        <v>EFCO</v>
      </c>
    </row>
    <row r="2974" spans="1:5" x14ac:dyDescent="0.3">
      <c r="A2974" s="888" t="s">
        <v>2062</v>
      </c>
      <c r="B2974" s="888" t="s">
        <v>1954</v>
      </c>
      <c r="C2974" s="1008" t="s">
        <v>5712</v>
      </c>
      <c r="E2974" s="893" t="s">
        <v>4563</v>
      </c>
    </row>
    <row r="2975" spans="1:5" x14ac:dyDescent="0.3">
      <c r="A2975" s="888" t="s">
        <v>2062</v>
      </c>
      <c r="B2975" s="888" t="s">
        <v>1954</v>
      </c>
      <c r="C2975" s="1008" t="s">
        <v>5713</v>
      </c>
      <c r="E2975" s="893" t="str">
        <f>$E$2963</f>
        <v>Aluminum frame</v>
      </c>
    </row>
    <row r="2976" spans="1:5" x14ac:dyDescent="0.3">
      <c r="A2976" s="888" t="s">
        <v>2062</v>
      </c>
      <c r="B2976" s="888" t="s">
        <v>1954</v>
      </c>
      <c r="C2976" s="1008" t="s">
        <v>5714</v>
      </c>
      <c r="E2976" s="893" t="str">
        <f>$E$2960</f>
        <v xml:space="preserve">Window - double-glazed </v>
      </c>
    </row>
    <row r="2977" spans="1:5" x14ac:dyDescent="0.3">
      <c r="A2977" s="888" t="s">
        <v>2062</v>
      </c>
      <c r="B2977" s="888" t="s">
        <v>1954</v>
      </c>
      <c r="C2977" s="1008" t="s">
        <v>5715</v>
      </c>
      <c r="E2977" s="893" t="s">
        <v>4564</v>
      </c>
    </row>
    <row r="2978" spans="1:5" x14ac:dyDescent="0.3">
      <c r="A2978" s="888" t="s">
        <v>2062</v>
      </c>
      <c r="B2978" s="888" t="s">
        <v>1954</v>
      </c>
      <c r="C2978" s="1008" t="s">
        <v>5716</v>
      </c>
      <c r="E2978" s="893" t="s">
        <v>4565</v>
      </c>
    </row>
    <row r="2979" spans="1:5" x14ac:dyDescent="0.3">
      <c r="A2979" s="888" t="s">
        <v>2062</v>
      </c>
      <c r="B2979" s="888" t="s">
        <v>1954</v>
      </c>
      <c r="C2979" s="1008" t="s">
        <v>5717</v>
      </c>
      <c r="E2979" s="893" t="str">
        <f>$E$2963</f>
        <v>Aluminum frame</v>
      </c>
    </row>
    <row r="2980" spans="1:5" x14ac:dyDescent="0.3">
      <c r="A2980" s="888" t="s">
        <v>2062</v>
      </c>
      <c r="B2980" s="888" t="s">
        <v>1954</v>
      </c>
      <c r="C2980" s="1008" t="s">
        <v>5718</v>
      </c>
      <c r="E2980" s="893" t="str">
        <f>$E$2960</f>
        <v xml:space="preserve">Window - double-glazed </v>
      </c>
    </row>
    <row r="2981" spans="1:5" x14ac:dyDescent="0.3">
      <c r="A2981" s="888" t="s">
        <v>2062</v>
      </c>
      <c r="B2981" s="888" t="s">
        <v>1954</v>
      </c>
      <c r="C2981" s="1008" t="s">
        <v>5719</v>
      </c>
      <c r="E2981" s="893" t="str">
        <f>$E$2977</f>
        <v>Kawneer</v>
      </c>
    </row>
    <row r="2982" spans="1:5" x14ac:dyDescent="0.3">
      <c r="A2982" s="888" t="s">
        <v>2062</v>
      </c>
      <c r="B2982" s="888" t="s">
        <v>1954</v>
      </c>
      <c r="C2982" s="1008" t="s">
        <v>5720</v>
      </c>
      <c r="E2982" s="893" t="s">
        <v>4567</v>
      </c>
    </row>
    <row r="2983" spans="1:5" x14ac:dyDescent="0.3">
      <c r="A2983" s="888" t="s">
        <v>2062</v>
      </c>
      <c r="B2983" s="888" t="s">
        <v>1954</v>
      </c>
      <c r="C2983" s="1008" t="s">
        <v>5721</v>
      </c>
      <c r="E2983" s="893" t="str">
        <f>$E$2963</f>
        <v>Aluminum frame</v>
      </c>
    </row>
    <row r="2984" spans="1:5" x14ac:dyDescent="0.3">
      <c r="A2984" s="888" t="s">
        <v>2062</v>
      </c>
      <c r="B2984" s="888" t="s">
        <v>1954</v>
      </c>
      <c r="C2984" s="1008" t="s">
        <v>5722</v>
      </c>
      <c r="E2984" s="893" t="str">
        <f>$E$2960</f>
        <v xml:space="preserve">Window - double-glazed </v>
      </c>
    </row>
    <row r="2985" spans="1:5" x14ac:dyDescent="0.3">
      <c r="A2985" s="888" t="s">
        <v>2062</v>
      </c>
      <c r="B2985" s="888" t="s">
        <v>1954</v>
      </c>
      <c r="C2985" s="1008" t="s">
        <v>5723</v>
      </c>
      <c r="E2985" s="893" t="s">
        <v>4569</v>
      </c>
    </row>
    <row r="2986" spans="1:5" x14ac:dyDescent="0.3">
      <c r="A2986" s="888" t="s">
        <v>2062</v>
      </c>
      <c r="B2986" s="888" t="s">
        <v>1954</v>
      </c>
      <c r="C2986" s="1008" t="s">
        <v>5724</v>
      </c>
      <c r="E2986" s="893" t="s">
        <v>4570</v>
      </c>
    </row>
    <row r="2987" spans="1:5" x14ac:dyDescent="0.3">
      <c r="A2987" s="888" t="s">
        <v>2062</v>
      </c>
      <c r="B2987" s="888" t="s">
        <v>1954</v>
      </c>
      <c r="C2987" s="1008" t="s">
        <v>5725</v>
      </c>
      <c r="E2987" s="893" t="str">
        <f>$E$2963</f>
        <v>Aluminum frame</v>
      </c>
    </row>
    <row r="2988" spans="1:5" x14ac:dyDescent="0.3">
      <c r="A2988" s="888" t="s">
        <v>2062</v>
      </c>
      <c r="B2988" s="888" t="s">
        <v>1954</v>
      </c>
      <c r="C2988" s="1008" t="s">
        <v>5726</v>
      </c>
      <c r="E2988" s="893" t="str">
        <f>$E$2960</f>
        <v xml:space="preserve">Window - double-glazed </v>
      </c>
    </row>
    <row r="2989" spans="1:5" x14ac:dyDescent="0.3">
      <c r="A2989" s="888" t="s">
        <v>2062</v>
      </c>
      <c r="B2989" s="888" t="s">
        <v>1954</v>
      </c>
      <c r="C2989" s="1008" t="s">
        <v>5727</v>
      </c>
      <c r="E2989" s="893" t="str">
        <f>$E$2985</f>
        <v>Wasau</v>
      </c>
    </row>
    <row r="2990" spans="1:5" x14ac:dyDescent="0.3">
      <c r="A2990" s="888" t="s">
        <v>2062</v>
      </c>
      <c r="B2990" s="888" t="s">
        <v>1954</v>
      </c>
      <c r="C2990" s="1008" t="s">
        <v>5728</v>
      </c>
      <c r="E2990" s="893" t="s">
        <v>4572</v>
      </c>
    </row>
    <row r="2991" spans="1:5" x14ac:dyDescent="0.3">
      <c r="A2991" s="888" t="s">
        <v>2062</v>
      </c>
      <c r="B2991" s="888" t="s">
        <v>1954</v>
      </c>
      <c r="C2991" s="1008" t="s">
        <v>5729</v>
      </c>
      <c r="E2991" s="893" t="str">
        <f>$E$2963</f>
        <v>Aluminum frame</v>
      </c>
    </row>
    <row r="2992" spans="1:5" x14ac:dyDescent="0.3">
      <c r="A2992" s="888" t="s">
        <v>2062</v>
      </c>
      <c r="B2992" s="888" t="s">
        <v>1954</v>
      </c>
      <c r="C2992" s="1008" t="s">
        <v>5730</v>
      </c>
      <c r="E2992" s="893" t="s">
        <v>4594</v>
      </c>
    </row>
    <row r="2993" spans="1:5" x14ac:dyDescent="0.3">
      <c r="A2993" s="888" t="s">
        <v>2062</v>
      </c>
      <c r="B2993" s="888" t="s">
        <v>1954</v>
      </c>
      <c r="C2993" s="1008" t="s">
        <v>5731</v>
      </c>
      <c r="E2993" s="893" t="s">
        <v>4595</v>
      </c>
    </row>
    <row r="2994" spans="1:5" x14ac:dyDescent="0.3">
      <c r="A2994" s="888" t="s">
        <v>2062</v>
      </c>
      <c r="B2994" s="888" t="s">
        <v>1954</v>
      </c>
      <c r="C2994" s="1008" t="s">
        <v>5732</v>
      </c>
      <c r="E2994" s="893" t="s">
        <v>4596</v>
      </c>
    </row>
    <row r="2995" spans="1:5" x14ac:dyDescent="0.3">
      <c r="A2995" s="888" t="s">
        <v>2062</v>
      </c>
      <c r="B2995" s="888" t="s">
        <v>1954</v>
      </c>
      <c r="C2995" s="1008" t="s">
        <v>5733</v>
      </c>
      <c r="E2995" s="893" t="s">
        <v>4597</v>
      </c>
    </row>
    <row r="2996" spans="1:5" x14ac:dyDescent="0.3">
      <c r="A2996" s="888" t="s">
        <v>2062</v>
      </c>
      <c r="B2996" s="888" t="s">
        <v>1954</v>
      </c>
      <c r="C2996" s="1008" t="s">
        <v>5734</v>
      </c>
      <c r="E2996" s="893" t="s">
        <v>4602</v>
      </c>
    </row>
    <row r="2997" spans="1:5" x14ac:dyDescent="0.3">
      <c r="A2997" s="888" t="s">
        <v>2062</v>
      </c>
      <c r="B2997" s="888" t="s">
        <v>1954</v>
      </c>
      <c r="C2997" s="1008" t="s">
        <v>5735</v>
      </c>
      <c r="E2997" s="893" t="str">
        <f>$E$2993</f>
        <v>Rothoblaas</v>
      </c>
    </row>
    <row r="2998" spans="1:5" x14ac:dyDescent="0.3">
      <c r="A2998" s="888" t="s">
        <v>2062</v>
      </c>
      <c r="B2998" s="888" t="s">
        <v>1954</v>
      </c>
      <c r="C2998" s="1008" t="s">
        <v>5736</v>
      </c>
      <c r="E2998" s="893" t="s">
        <v>4603</v>
      </c>
    </row>
    <row r="2999" spans="1:5" x14ac:dyDescent="0.3">
      <c r="A2999" s="888" t="s">
        <v>2062</v>
      </c>
      <c r="B2999" s="888" t="s">
        <v>1954</v>
      </c>
      <c r="C2999" s="1008" t="s">
        <v>5737</v>
      </c>
      <c r="E2999" s="893" t="s">
        <v>4604</v>
      </c>
    </row>
    <row r="3000" spans="1:5" x14ac:dyDescent="0.3">
      <c r="A3000" s="888" t="s">
        <v>2062</v>
      </c>
      <c r="B3000" s="888" t="s">
        <v>1954</v>
      </c>
      <c r="C3000" s="1008" t="s">
        <v>5738</v>
      </c>
      <c r="E3000" s="893" t="str">
        <f>$E$2996</f>
        <v>Ext. &amp; Int. Wall &amp; Roof Barrier, sheet</v>
      </c>
    </row>
    <row r="3001" spans="1:5" x14ac:dyDescent="0.3">
      <c r="A3001" s="888" t="s">
        <v>2062</v>
      </c>
      <c r="B3001" s="888" t="s">
        <v>1954</v>
      </c>
      <c r="C3001" s="1008" t="s">
        <v>5739</v>
      </c>
      <c r="E3001" s="893" t="str">
        <f>$E$2993</f>
        <v>Rothoblaas</v>
      </c>
    </row>
    <row r="3002" spans="1:5" x14ac:dyDescent="0.3">
      <c r="A3002" s="888" t="s">
        <v>2062</v>
      </c>
      <c r="B3002" s="888" t="s">
        <v>1954</v>
      </c>
      <c r="C3002" s="1008" t="s">
        <v>5740</v>
      </c>
      <c r="E3002" s="893" t="s">
        <v>4607</v>
      </c>
    </row>
    <row r="3003" spans="1:5" x14ac:dyDescent="0.3">
      <c r="A3003" s="888" t="s">
        <v>2062</v>
      </c>
      <c r="B3003" s="888" t="s">
        <v>1954</v>
      </c>
      <c r="C3003" s="1008" t="s">
        <v>5741</v>
      </c>
      <c r="E3003" s="893" t="str">
        <f>$E$2999</f>
        <v>0.5 mm</v>
      </c>
    </row>
    <row r="3004" spans="1:5" x14ac:dyDescent="0.3">
      <c r="A3004" s="888" t="s">
        <v>2062</v>
      </c>
      <c r="B3004" s="888" t="s">
        <v>1954</v>
      </c>
      <c r="C3004" s="1008" t="s">
        <v>5742</v>
      </c>
      <c r="E3004" s="893" t="str">
        <f>$E$2996</f>
        <v>Ext. &amp; Int. Wall &amp; Roof Barrier, sheet</v>
      </c>
    </row>
    <row r="3005" spans="1:5" x14ac:dyDescent="0.3">
      <c r="A3005" s="888" t="s">
        <v>2062</v>
      </c>
      <c r="B3005" s="888" t="s">
        <v>1954</v>
      </c>
      <c r="C3005" s="1008" t="s">
        <v>5743</v>
      </c>
      <c r="E3005" s="893" t="str">
        <f>$E$2993</f>
        <v>Rothoblaas</v>
      </c>
    </row>
    <row r="3006" spans="1:5" x14ac:dyDescent="0.3">
      <c r="A3006" s="888" t="s">
        <v>2062</v>
      </c>
      <c r="B3006" s="888" t="s">
        <v>1954</v>
      </c>
      <c r="C3006" s="1008" t="s">
        <v>5744</v>
      </c>
      <c r="E3006" s="893" t="s">
        <v>4610</v>
      </c>
    </row>
    <row r="3007" spans="1:5" x14ac:dyDescent="0.3">
      <c r="A3007" s="888" t="s">
        <v>2062</v>
      </c>
      <c r="B3007" s="888" t="s">
        <v>1954</v>
      </c>
      <c r="C3007" s="1008" t="s">
        <v>5745</v>
      </c>
      <c r="E3007" s="893" t="s">
        <v>4611</v>
      </c>
    </row>
    <row r="3008" spans="1:5" x14ac:dyDescent="0.3">
      <c r="A3008" s="888" t="s">
        <v>2062</v>
      </c>
      <c r="B3008" s="888" t="s">
        <v>1954</v>
      </c>
      <c r="C3008" s="1008" t="s">
        <v>5746</v>
      </c>
      <c r="E3008" s="893" t="s">
        <v>4614</v>
      </c>
    </row>
    <row r="3009" spans="1:5" x14ac:dyDescent="0.3">
      <c r="A3009" s="888" t="s">
        <v>2062</v>
      </c>
      <c r="B3009" s="888" t="s">
        <v>1954</v>
      </c>
      <c r="C3009" s="1008" t="s">
        <v>5747</v>
      </c>
      <c r="E3009" s="893" t="str">
        <f>$E$2993</f>
        <v>Rothoblaas</v>
      </c>
    </row>
    <row r="3010" spans="1:5" x14ac:dyDescent="0.3">
      <c r="A3010" s="888" t="s">
        <v>2062</v>
      </c>
      <c r="B3010" s="888" t="s">
        <v>1954</v>
      </c>
      <c r="C3010" s="1008" t="s">
        <v>5748</v>
      </c>
      <c r="E3010" s="893" t="s">
        <v>4615</v>
      </c>
    </row>
    <row r="3011" spans="1:5" x14ac:dyDescent="0.3">
      <c r="A3011" s="888" t="s">
        <v>2062</v>
      </c>
      <c r="B3011" s="888" t="s">
        <v>1954</v>
      </c>
      <c r="C3011" s="1008" t="s">
        <v>7085</v>
      </c>
      <c r="E3011" s="893" t="s">
        <v>4616</v>
      </c>
    </row>
    <row r="3012" spans="1:5" x14ac:dyDescent="0.3">
      <c r="A3012" s="888" t="s">
        <v>2062</v>
      </c>
      <c r="B3012" s="888" t="s">
        <v>1954</v>
      </c>
      <c r="C3012" s="1008" t="s">
        <v>5749</v>
      </c>
      <c r="E3012" s="893" t="str">
        <f>$E$3008</f>
        <v>Ext. &amp; Int. Wall Barrier, sheet</v>
      </c>
    </row>
    <row r="3013" spans="1:5" x14ac:dyDescent="0.3">
      <c r="A3013" s="888" t="s">
        <v>2062</v>
      </c>
      <c r="B3013" s="888" t="s">
        <v>1954</v>
      </c>
      <c r="C3013" s="1008" t="s">
        <v>5750</v>
      </c>
      <c r="E3013" s="893" t="str">
        <f>$E$2993</f>
        <v>Rothoblaas</v>
      </c>
    </row>
    <row r="3014" spans="1:5" x14ac:dyDescent="0.3">
      <c r="A3014" s="888" t="s">
        <v>2062</v>
      </c>
      <c r="B3014" s="888" t="s">
        <v>1954</v>
      </c>
      <c r="C3014" s="1008" t="s">
        <v>5751</v>
      </c>
      <c r="E3014" s="893" t="s">
        <v>4619</v>
      </c>
    </row>
    <row r="3015" spans="1:5" x14ac:dyDescent="0.3">
      <c r="A3015" s="888" t="s">
        <v>2062</v>
      </c>
      <c r="B3015" s="888" t="s">
        <v>1954</v>
      </c>
      <c r="C3015" s="1008" t="s">
        <v>5752</v>
      </c>
      <c r="E3015" s="893" t="s">
        <v>4620</v>
      </c>
    </row>
    <row r="3016" spans="1:5" x14ac:dyDescent="0.3">
      <c r="A3016" s="888" t="s">
        <v>2062</v>
      </c>
      <c r="B3016" s="888" t="s">
        <v>1954</v>
      </c>
      <c r="C3016" s="1008" t="s">
        <v>5753</v>
      </c>
      <c r="E3016" s="893" t="s">
        <v>4623</v>
      </c>
    </row>
    <row r="3017" spans="1:5" x14ac:dyDescent="0.3">
      <c r="A3017" s="888" t="s">
        <v>2062</v>
      </c>
      <c r="B3017" s="888" t="s">
        <v>1954</v>
      </c>
      <c r="C3017" s="1008" t="s">
        <v>5754</v>
      </c>
      <c r="E3017" s="893" t="str">
        <f>$E$2993</f>
        <v>Rothoblaas</v>
      </c>
    </row>
    <row r="3018" spans="1:5" x14ac:dyDescent="0.3">
      <c r="A3018" s="888" t="s">
        <v>2062</v>
      </c>
      <c r="B3018" s="888" t="s">
        <v>1954</v>
      </c>
      <c r="C3018" s="1008" t="s">
        <v>5755</v>
      </c>
      <c r="E3018" s="893" t="s">
        <v>4624</v>
      </c>
    </row>
    <row r="3019" spans="1:5" x14ac:dyDescent="0.3">
      <c r="A3019" s="888" t="s">
        <v>2062</v>
      </c>
      <c r="B3019" s="888" t="s">
        <v>1954</v>
      </c>
      <c r="C3019" s="1008" t="s">
        <v>7086</v>
      </c>
      <c r="E3019" s="893" t="s">
        <v>4625</v>
      </c>
    </row>
    <row r="3020" spans="1:5" x14ac:dyDescent="0.3">
      <c r="A3020" s="888" t="s">
        <v>2062</v>
      </c>
      <c r="B3020" s="888" t="s">
        <v>1954</v>
      </c>
      <c r="C3020" s="1008" t="s">
        <v>5756</v>
      </c>
      <c r="E3020" s="893" t="s">
        <v>4628</v>
      </c>
    </row>
    <row r="3021" spans="1:5" x14ac:dyDescent="0.3">
      <c r="A3021" s="888" t="s">
        <v>2062</v>
      </c>
      <c r="B3021" s="888" t="s">
        <v>1954</v>
      </c>
      <c r="C3021" s="1008" t="s">
        <v>5757</v>
      </c>
      <c r="E3021" s="893" t="s">
        <v>4629</v>
      </c>
    </row>
    <row r="3022" spans="1:5" x14ac:dyDescent="0.3">
      <c r="A3022" s="888" t="s">
        <v>2062</v>
      </c>
      <c r="B3022" s="888" t="s">
        <v>1954</v>
      </c>
      <c r="C3022" s="1008" t="s">
        <v>5758</v>
      </c>
      <c r="E3022" s="893" t="s">
        <v>4630</v>
      </c>
    </row>
    <row r="3023" spans="1:5" x14ac:dyDescent="0.3">
      <c r="A3023" s="888" t="s">
        <v>2062</v>
      </c>
      <c r="B3023" s="888" t="s">
        <v>1954</v>
      </c>
      <c r="C3023" s="1008" t="s">
        <v>5759</v>
      </c>
      <c r="E3023" s="893" t="s">
        <v>4635</v>
      </c>
    </row>
    <row r="3024" spans="1:5" x14ac:dyDescent="0.3">
      <c r="A3024" s="888" t="s">
        <v>2062</v>
      </c>
      <c r="B3024" s="888" t="s">
        <v>1954</v>
      </c>
      <c r="C3024" s="1010" t="s">
        <v>5760</v>
      </c>
      <c r="E3024" s="893" t="str">
        <f>$E$2172</f>
        <v>Carlisle</v>
      </c>
    </row>
    <row r="3025" spans="1:5" x14ac:dyDescent="0.3">
      <c r="A3025" s="888" t="s">
        <v>2062</v>
      </c>
      <c r="B3025" s="888" t="s">
        <v>1954</v>
      </c>
      <c r="C3025" s="1008" t="s">
        <v>5761</v>
      </c>
      <c r="E3025" s="893" t="s">
        <v>4636</v>
      </c>
    </row>
    <row r="3026" spans="1:5" x14ac:dyDescent="0.3">
      <c r="A3026" s="888" t="s">
        <v>2062</v>
      </c>
      <c r="B3026" s="888" t="s">
        <v>1954</v>
      </c>
      <c r="C3026" s="1008" t="s">
        <v>7087</v>
      </c>
      <c r="E3026" s="893" t="s">
        <v>4637</v>
      </c>
    </row>
    <row r="3027" spans="1:5" x14ac:dyDescent="0.3">
      <c r="A3027" s="888" t="s">
        <v>2062</v>
      </c>
      <c r="B3027" s="888" t="s">
        <v>1954</v>
      </c>
      <c r="C3027" s="1008" t="s">
        <v>5762</v>
      </c>
      <c r="E3027" s="893" t="s">
        <v>4643</v>
      </c>
    </row>
    <row r="3028" spans="1:5" x14ac:dyDescent="0.3">
      <c r="A3028" s="888" t="s">
        <v>2062</v>
      </c>
      <c r="B3028" s="888" t="s">
        <v>1954</v>
      </c>
      <c r="C3028" s="1008" t="s">
        <v>5763</v>
      </c>
      <c r="E3028" s="893" t="s">
        <v>139</v>
      </c>
    </row>
    <row r="3029" spans="1:5" x14ac:dyDescent="0.3">
      <c r="A3029" s="888" t="s">
        <v>2062</v>
      </c>
      <c r="B3029" s="888" t="s">
        <v>1954</v>
      </c>
      <c r="C3029" s="1008" t="s">
        <v>5764</v>
      </c>
      <c r="E3029" s="893" t="s">
        <v>4644</v>
      </c>
    </row>
    <row r="3030" spans="1:5" x14ac:dyDescent="0.3">
      <c r="A3030" s="888" t="s">
        <v>2062</v>
      </c>
      <c r="B3030" s="888" t="s">
        <v>1954</v>
      </c>
      <c r="C3030" s="1008" t="s">
        <v>5765</v>
      </c>
      <c r="E3030" s="893" t="str">
        <f>$E$3027</f>
        <v>Ext. Wall &amp; Roof Barrier, sheet</v>
      </c>
    </row>
    <row r="3031" spans="1:5" x14ac:dyDescent="0.3">
      <c r="A3031" s="888" t="s">
        <v>2062</v>
      </c>
      <c r="B3031" s="888" t="s">
        <v>1954</v>
      </c>
      <c r="C3031" s="1008" t="s">
        <v>5766</v>
      </c>
      <c r="E3031" s="893" t="str">
        <f>$E$3021</f>
        <v>Partel</v>
      </c>
    </row>
    <row r="3032" spans="1:5" x14ac:dyDescent="0.3">
      <c r="A3032" s="888" t="s">
        <v>2062</v>
      </c>
      <c r="B3032" s="888" t="s">
        <v>1954</v>
      </c>
      <c r="C3032" s="1008" t="s">
        <v>5767</v>
      </c>
      <c r="E3032" s="893" t="s">
        <v>4648</v>
      </c>
    </row>
    <row r="3033" spans="1:5" x14ac:dyDescent="0.3">
      <c r="A3033" s="888" t="s">
        <v>2062</v>
      </c>
      <c r="B3033" s="888" t="s">
        <v>1954</v>
      </c>
      <c r="C3033" s="1008" t="s">
        <v>5768</v>
      </c>
      <c r="E3033" s="893" t="s">
        <v>4651</v>
      </c>
    </row>
    <row r="3034" spans="1:5" x14ac:dyDescent="0.3">
      <c r="A3034" s="888" t="s">
        <v>2062</v>
      </c>
      <c r="B3034" s="888" t="s">
        <v>1954</v>
      </c>
      <c r="C3034" s="1008" t="s">
        <v>5769</v>
      </c>
      <c r="E3034" s="893" t="s">
        <v>146</v>
      </c>
    </row>
    <row r="3035" spans="1:5" x14ac:dyDescent="0.3">
      <c r="A3035" s="888" t="s">
        <v>2062</v>
      </c>
      <c r="B3035" s="888" t="s">
        <v>1954</v>
      </c>
      <c r="C3035" s="1008" t="s">
        <v>5770</v>
      </c>
      <c r="E3035" s="893" t="s">
        <v>4652</v>
      </c>
    </row>
    <row r="3036" spans="1:5" x14ac:dyDescent="0.3">
      <c r="A3036" s="888" t="s">
        <v>2062</v>
      </c>
      <c r="B3036" s="888" t="s">
        <v>1954</v>
      </c>
      <c r="C3036" s="1008" t="s">
        <v>5771</v>
      </c>
      <c r="E3036" s="893" t="s">
        <v>4653</v>
      </c>
    </row>
    <row r="3037" spans="1:5" x14ac:dyDescent="0.3">
      <c r="A3037" s="888" t="s">
        <v>2062</v>
      </c>
      <c r="B3037" s="888" t="s">
        <v>1954</v>
      </c>
      <c r="C3037" s="1008" t="s">
        <v>5772</v>
      </c>
      <c r="E3037" s="893" t="s">
        <v>4656</v>
      </c>
    </row>
    <row r="3038" spans="1:5" x14ac:dyDescent="0.3">
      <c r="A3038" s="888" t="s">
        <v>2062</v>
      </c>
      <c r="B3038" s="888" t="s">
        <v>1954</v>
      </c>
      <c r="C3038" s="1008" t="s">
        <v>5773</v>
      </c>
      <c r="E3038" s="893" t="str">
        <f>$E$2888</f>
        <v>Soprema</v>
      </c>
    </row>
    <row r="3039" spans="1:5" x14ac:dyDescent="0.3">
      <c r="A3039" s="888" t="s">
        <v>2062</v>
      </c>
      <c r="B3039" s="888" t="s">
        <v>1954</v>
      </c>
      <c r="C3039" s="1008" t="s">
        <v>5774</v>
      </c>
      <c r="E3039" s="893" t="s">
        <v>4657</v>
      </c>
    </row>
    <row r="3040" spans="1:5" x14ac:dyDescent="0.3">
      <c r="A3040" s="888" t="s">
        <v>2062</v>
      </c>
      <c r="B3040" s="888" t="s">
        <v>1954</v>
      </c>
      <c r="C3040" s="1008" t="s">
        <v>7088</v>
      </c>
      <c r="E3040" s="893" t="str">
        <f>$E$3019</f>
        <v>1.0 mm</v>
      </c>
    </row>
    <row r="3041" spans="1:5" x14ac:dyDescent="0.3">
      <c r="A3041" s="888" t="s">
        <v>2062</v>
      </c>
      <c r="B3041" s="888" t="s">
        <v>1954</v>
      </c>
      <c r="C3041" s="1008" t="s">
        <v>5775</v>
      </c>
      <c r="E3041" s="893" t="str">
        <f>$E$3037</f>
        <v>Ext. Wall Barrier, adhesive</v>
      </c>
    </row>
    <row r="3042" spans="1:5" x14ac:dyDescent="0.3">
      <c r="A3042" s="888" t="s">
        <v>2062</v>
      </c>
      <c r="B3042" s="888" t="s">
        <v>1954</v>
      </c>
      <c r="C3042" s="1008" t="s">
        <v>7089</v>
      </c>
      <c r="E3042" s="893" t="str">
        <f>$E$2888</f>
        <v>Soprema</v>
      </c>
    </row>
    <row r="3043" spans="1:5" x14ac:dyDescent="0.3">
      <c r="A3043" s="888" t="s">
        <v>2062</v>
      </c>
      <c r="B3043" s="888" t="s">
        <v>1954</v>
      </c>
      <c r="C3043" s="1008" t="s">
        <v>5776</v>
      </c>
      <c r="E3043" s="893" t="s">
        <v>4662</v>
      </c>
    </row>
    <row r="3044" spans="1:5" x14ac:dyDescent="0.3">
      <c r="A3044" s="888" t="s">
        <v>2062</v>
      </c>
      <c r="B3044" s="888" t="s">
        <v>1954</v>
      </c>
      <c r="C3044" s="1008" t="s">
        <v>5777</v>
      </c>
      <c r="E3044" s="893" t="s">
        <v>4663</v>
      </c>
    </row>
    <row r="3045" spans="1:5" x14ac:dyDescent="0.3">
      <c r="A3045" s="888" t="s">
        <v>2062</v>
      </c>
      <c r="B3045" s="888" t="s">
        <v>1954</v>
      </c>
      <c r="C3045" s="1008" t="s">
        <v>5778</v>
      </c>
      <c r="E3045" s="893" t="str">
        <f>$E$3037</f>
        <v>Ext. Wall Barrier, adhesive</v>
      </c>
    </row>
    <row r="3046" spans="1:5" x14ac:dyDescent="0.3">
      <c r="A3046" s="888" t="s">
        <v>2062</v>
      </c>
      <c r="B3046" s="888" t="s">
        <v>1954</v>
      </c>
      <c r="C3046" s="1008" t="s">
        <v>7090</v>
      </c>
      <c r="E3046" s="893" t="str">
        <f>$E$2888</f>
        <v>Soprema</v>
      </c>
    </row>
    <row r="3047" spans="1:5" x14ac:dyDescent="0.3">
      <c r="A3047" s="888" t="s">
        <v>2062</v>
      </c>
      <c r="B3047" s="888" t="s">
        <v>1954</v>
      </c>
      <c r="C3047" s="1008" t="s">
        <v>5779</v>
      </c>
      <c r="E3047" s="893" t="s">
        <v>4668</v>
      </c>
    </row>
    <row r="3048" spans="1:5" x14ac:dyDescent="0.3">
      <c r="A3048" s="888" t="s">
        <v>2062</v>
      </c>
      <c r="B3048" s="888" t="s">
        <v>1954</v>
      </c>
      <c r="C3048" s="1008" t="s">
        <v>5780</v>
      </c>
      <c r="E3048" s="893" t="str">
        <f>$E$3019</f>
        <v>1.0 mm</v>
      </c>
    </row>
    <row r="3049" spans="1:5" x14ac:dyDescent="0.3">
      <c r="A3049" s="888" t="s">
        <v>2062</v>
      </c>
      <c r="B3049" s="888" t="s">
        <v>1954</v>
      </c>
      <c r="C3049" s="1008" t="s">
        <v>5781</v>
      </c>
      <c r="E3049" s="893" t="str">
        <f>$E$3037</f>
        <v>Ext. Wall Barrier, adhesive</v>
      </c>
    </row>
    <row r="3050" spans="1:5" x14ac:dyDescent="0.3">
      <c r="A3050" s="888" t="s">
        <v>2062</v>
      </c>
      <c r="B3050" s="888" t="s">
        <v>1954</v>
      </c>
      <c r="C3050" s="1008" t="s">
        <v>5782</v>
      </c>
      <c r="E3050" s="893" t="str">
        <f>$E$2888</f>
        <v>Soprema</v>
      </c>
    </row>
    <row r="3051" spans="1:5" x14ac:dyDescent="0.3">
      <c r="A3051" s="888" t="s">
        <v>2062</v>
      </c>
      <c r="B3051" s="888" t="s">
        <v>1954</v>
      </c>
      <c r="C3051" s="1008" t="s">
        <v>5783</v>
      </c>
      <c r="E3051" s="893" t="s">
        <v>4671</v>
      </c>
    </row>
    <row r="3052" spans="1:5" x14ac:dyDescent="0.3">
      <c r="A3052" s="888" t="s">
        <v>2062</v>
      </c>
      <c r="B3052" s="888" t="s">
        <v>1954</v>
      </c>
      <c r="C3052" s="1008" t="s">
        <v>5784</v>
      </c>
      <c r="E3052" s="893" t="str">
        <f>$E$3007</f>
        <v>0.8 mm</v>
      </c>
    </row>
    <row r="3053" spans="1:5" x14ac:dyDescent="0.3">
      <c r="A3053" s="888" t="s">
        <v>2062</v>
      </c>
      <c r="B3053" s="888" t="s">
        <v>1954</v>
      </c>
      <c r="C3053" s="1008" t="s">
        <v>5785</v>
      </c>
      <c r="E3053" s="893" t="s">
        <v>4675</v>
      </c>
    </row>
    <row r="3054" spans="1:5" x14ac:dyDescent="0.3">
      <c r="A3054" s="888" t="s">
        <v>2062</v>
      </c>
      <c r="B3054" s="888" t="s">
        <v>1954</v>
      </c>
      <c r="C3054" s="1008" t="s">
        <v>5786</v>
      </c>
      <c r="E3054" s="893" t="str">
        <f>$E$3034</f>
        <v>GCP</v>
      </c>
    </row>
    <row r="3055" spans="1:5" x14ac:dyDescent="0.3">
      <c r="A3055" s="888" t="s">
        <v>2062</v>
      </c>
      <c r="B3055" s="888" t="s">
        <v>1954</v>
      </c>
      <c r="C3055" s="1008" t="s">
        <v>5787</v>
      </c>
      <c r="E3055" s="893" t="s">
        <v>4676</v>
      </c>
    </row>
    <row r="3056" spans="1:5" x14ac:dyDescent="0.3">
      <c r="A3056" s="888" t="s">
        <v>2062</v>
      </c>
      <c r="B3056" s="888" t="s">
        <v>1954</v>
      </c>
      <c r="C3056" s="1008" t="s">
        <v>5788</v>
      </c>
      <c r="E3056" s="893" t="str">
        <f>$E$3036</f>
        <v>1 mm</v>
      </c>
    </row>
    <row r="3057" spans="1:5" x14ac:dyDescent="0.3">
      <c r="A3057" s="888" t="s">
        <v>2062</v>
      </c>
      <c r="B3057" s="888" t="s">
        <v>1954</v>
      </c>
      <c r="C3057" s="1008" t="s">
        <v>5789</v>
      </c>
      <c r="E3057" s="893" t="str">
        <f>$E$3053</f>
        <v>Ext. Wall barrier, liquid applied</v>
      </c>
    </row>
    <row r="3058" spans="1:5" x14ac:dyDescent="0.3">
      <c r="A3058" s="888" t="s">
        <v>2062</v>
      </c>
      <c r="B3058" s="888" t="s">
        <v>1954</v>
      </c>
      <c r="C3058" s="1008" t="s">
        <v>5790</v>
      </c>
      <c r="E3058" s="893" t="str">
        <f>$E$3034</f>
        <v>GCP</v>
      </c>
    </row>
    <row r="3059" spans="1:5" x14ac:dyDescent="0.3">
      <c r="A3059" s="888" t="s">
        <v>2062</v>
      </c>
      <c r="B3059" s="888" t="s">
        <v>1954</v>
      </c>
      <c r="C3059" s="1008" t="s">
        <v>5791</v>
      </c>
      <c r="E3059" s="893" t="s">
        <v>4682</v>
      </c>
    </row>
    <row r="3060" spans="1:5" x14ac:dyDescent="0.3">
      <c r="A3060" s="888" t="s">
        <v>2062</v>
      </c>
      <c r="B3060" s="888" t="s">
        <v>1954</v>
      </c>
      <c r="C3060" s="1008" t="s">
        <v>5792</v>
      </c>
      <c r="E3060" s="893" t="s">
        <v>4683</v>
      </c>
    </row>
    <row r="3061" spans="1:5" x14ac:dyDescent="0.3">
      <c r="A3061" s="888" t="s">
        <v>2062</v>
      </c>
      <c r="B3061" s="888" t="s">
        <v>1954</v>
      </c>
      <c r="C3061" s="1008" t="s">
        <v>5793</v>
      </c>
      <c r="E3061" s="893" t="str">
        <f>$E$3053</f>
        <v>Ext. Wall barrier, liquid applied</v>
      </c>
    </row>
    <row r="3062" spans="1:5" x14ac:dyDescent="0.3">
      <c r="A3062" s="888" t="s">
        <v>2062</v>
      </c>
      <c r="B3062" s="888" t="s">
        <v>1954</v>
      </c>
      <c r="C3062" s="1008" t="s">
        <v>5794</v>
      </c>
      <c r="E3062" s="893" t="str">
        <f>$E$3034</f>
        <v>GCP</v>
      </c>
    </row>
    <row r="3063" spans="1:5" x14ac:dyDescent="0.3">
      <c r="A3063" s="888" t="s">
        <v>2062</v>
      </c>
      <c r="B3063" s="888" t="s">
        <v>1954</v>
      </c>
      <c r="C3063" s="1008" t="s">
        <v>5795</v>
      </c>
      <c r="E3063" s="893" t="s">
        <v>4685</v>
      </c>
    </row>
    <row r="3064" spans="1:5" x14ac:dyDescent="0.3">
      <c r="A3064" s="888" t="s">
        <v>2062</v>
      </c>
      <c r="B3064" s="888" t="s">
        <v>1954</v>
      </c>
      <c r="C3064" s="1008" t="s">
        <v>5796</v>
      </c>
      <c r="E3064" s="893" t="s">
        <v>4686</v>
      </c>
    </row>
    <row r="3065" spans="1:5" x14ac:dyDescent="0.3">
      <c r="A3065" s="888" t="s">
        <v>2062</v>
      </c>
      <c r="B3065" s="888" t="s">
        <v>1954</v>
      </c>
      <c r="C3065" s="1008" t="s">
        <v>5797</v>
      </c>
      <c r="E3065" s="893" t="s">
        <v>4688</v>
      </c>
    </row>
    <row r="3066" spans="1:5" x14ac:dyDescent="0.3">
      <c r="A3066" s="888" t="s">
        <v>2062</v>
      </c>
      <c r="B3066" s="888" t="s">
        <v>1954</v>
      </c>
      <c r="C3066" s="1008" t="s">
        <v>5798</v>
      </c>
      <c r="E3066" s="893" t="str">
        <f>$E$3034</f>
        <v>GCP</v>
      </c>
    </row>
    <row r="3067" spans="1:5" x14ac:dyDescent="0.3">
      <c r="A3067" s="888" t="s">
        <v>2062</v>
      </c>
      <c r="B3067" s="888" t="s">
        <v>1954</v>
      </c>
      <c r="C3067" s="1008" t="s">
        <v>5799</v>
      </c>
      <c r="E3067" s="893" t="s">
        <v>4689</v>
      </c>
    </row>
    <row r="3068" spans="1:5" x14ac:dyDescent="0.3">
      <c r="A3068" s="888" t="s">
        <v>2062</v>
      </c>
      <c r="B3068" s="888" t="s">
        <v>1954</v>
      </c>
      <c r="C3068" s="1008" t="s">
        <v>5800</v>
      </c>
      <c r="E3068" s="893" t="s">
        <v>4690</v>
      </c>
    </row>
    <row r="3069" spans="1:5" x14ac:dyDescent="0.3">
      <c r="A3069" s="888" t="s">
        <v>2062</v>
      </c>
      <c r="B3069" s="888" t="s">
        <v>1954</v>
      </c>
      <c r="C3069" s="1008" t="s">
        <v>5801</v>
      </c>
      <c r="E3069" s="893" t="s">
        <v>4692</v>
      </c>
    </row>
    <row r="3070" spans="1:5" x14ac:dyDescent="0.3">
      <c r="A3070" s="888" t="s">
        <v>2062</v>
      </c>
      <c r="B3070" s="888" t="s">
        <v>1954</v>
      </c>
      <c r="C3070" s="1008" t="s">
        <v>5802</v>
      </c>
      <c r="E3070" s="893" t="str">
        <f>$E$2888</f>
        <v>Soprema</v>
      </c>
    </row>
    <row r="3071" spans="1:5" x14ac:dyDescent="0.3">
      <c r="A3071" s="888" t="s">
        <v>2062</v>
      </c>
      <c r="B3071" s="888" t="s">
        <v>1954</v>
      </c>
      <c r="C3071" s="1008" t="s">
        <v>5803</v>
      </c>
      <c r="E3071" s="893" t="s">
        <v>4693</v>
      </c>
    </row>
    <row r="3072" spans="1:5" x14ac:dyDescent="0.3">
      <c r="A3072" s="888" t="s">
        <v>2062</v>
      </c>
      <c r="B3072" s="888" t="s">
        <v>1954</v>
      </c>
      <c r="C3072" s="1008" t="s">
        <v>5804</v>
      </c>
      <c r="E3072" s="893" t="str">
        <f>$E$3069</f>
        <v>Ext. Wall Barrier, liquid applied</v>
      </c>
    </row>
    <row r="3073" spans="1:5" x14ac:dyDescent="0.3">
      <c r="A3073" s="888" t="s">
        <v>2062</v>
      </c>
      <c r="B3073" s="888" t="s">
        <v>1954</v>
      </c>
      <c r="C3073" s="1008" t="s">
        <v>5805</v>
      </c>
      <c r="E3073" s="893" t="str">
        <f>$E$2888</f>
        <v>Soprema</v>
      </c>
    </row>
    <row r="3074" spans="1:5" x14ac:dyDescent="0.3">
      <c r="A3074" s="888" t="s">
        <v>2062</v>
      </c>
      <c r="B3074" s="888" t="s">
        <v>1954</v>
      </c>
      <c r="C3074" s="1008" t="s">
        <v>5806</v>
      </c>
      <c r="E3074" s="893" t="s">
        <v>4698</v>
      </c>
    </row>
    <row r="3075" spans="1:5" x14ac:dyDescent="0.3">
      <c r="A3075" s="888" t="s">
        <v>2062</v>
      </c>
      <c r="B3075" s="888" t="s">
        <v>1954</v>
      </c>
      <c r="C3075" s="1008" t="s">
        <v>5807</v>
      </c>
      <c r="E3075" s="893" t="str">
        <f>$E$3044</f>
        <v>0.6 mm</v>
      </c>
    </row>
    <row r="3076" spans="1:5" x14ac:dyDescent="0.3">
      <c r="A3076" s="888" t="s">
        <v>2062</v>
      </c>
      <c r="B3076" s="888" t="s">
        <v>1954</v>
      </c>
      <c r="C3076" s="1008" t="s">
        <v>5808</v>
      </c>
      <c r="E3076" s="893" t="s">
        <v>4703</v>
      </c>
    </row>
    <row r="3077" spans="1:5" x14ac:dyDescent="0.3">
      <c r="A3077" s="888" t="s">
        <v>2062</v>
      </c>
      <c r="B3077" s="888" t="s">
        <v>1954</v>
      </c>
      <c r="C3077" s="1010" t="s">
        <v>5809</v>
      </c>
      <c r="E3077" s="893" t="str">
        <f>$E$2172</f>
        <v>Carlisle</v>
      </c>
    </row>
    <row r="3078" spans="1:5" x14ac:dyDescent="0.3">
      <c r="A3078" s="888" t="s">
        <v>2062</v>
      </c>
      <c r="B3078" s="888" t="s">
        <v>1954</v>
      </c>
      <c r="C3078" s="1008" t="s">
        <v>5810</v>
      </c>
      <c r="E3078" s="893" t="s">
        <v>4704</v>
      </c>
    </row>
    <row r="3079" spans="1:5" x14ac:dyDescent="0.3">
      <c r="A3079" s="888" t="s">
        <v>2062</v>
      </c>
      <c r="B3079" s="888" t="s">
        <v>1954</v>
      </c>
      <c r="C3079" s="1008" t="s">
        <v>5811</v>
      </c>
      <c r="E3079" s="893" t="s">
        <v>4709</v>
      </c>
    </row>
    <row r="3080" spans="1:5" x14ac:dyDescent="0.3">
      <c r="A3080" s="888" t="s">
        <v>2062</v>
      </c>
      <c r="B3080" s="888" t="s">
        <v>1954</v>
      </c>
      <c r="C3080" s="1008" t="s">
        <v>5812</v>
      </c>
      <c r="E3080" s="893" t="str">
        <f>$E$2172</f>
        <v>Carlisle</v>
      </c>
    </row>
    <row r="3081" spans="1:5" x14ac:dyDescent="0.3">
      <c r="A3081" s="888" t="s">
        <v>2062</v>
      </c>
      <c r="B3081" s="888" t="s">
        <v>1954</v>
      </c>
      <c r="C3081" s="1008" t="s">
        <v>5813</v>
      </c>
      <c r="E3081" s="893" t="s">
        <v>4710</v>
      </c>
    </row>
    <row r="3082" spans="1:5" x14ac:dyDescent="0.3">
      <c r="A3082" s="888" t="s">
        <v>2062</v>
      </c>
      <c r="B3082" s="888" t="s">
        <v>1954</v>
      </c>
      <c r="C3082" s="1008" t="s">
        <v>5814</v>
      </c>
      <c r="E3082" s="893" t="str">
        <f>$E$2992</f>
        <v>Int. Wall &amp; Ceiling Barrier, sheet</v>
      </c>
    </row>
    <row r="3083" spans="1:5" x14ac:dyDescent="0.3">
      <c r="A3083" s="888" t="s">
        <v>2062</v>
      </c>
      <c r="B3083" s="888" t="s">
        <v>1954</v>
      </c>
      <c r="C3083" s="1008" t="s">
        <v>5815</v>
      </c>
      <c r="E3083" s="893" t="str">
        <f>$E$3021</f>
        <v>Partel</v>
      </c>
    </row>
    <row r="3084" spans="1:5" x14ac:dyDescent="0.3">
      <c r="A3084" s="888" t="s">
        <v>2062</v>
      </c>
      <c r="B3084" s="888" t="s">
        <v>1954</v>
      </c>
      <c r="C3084" s="1008" t="s">
        <v>5816</v>
      </c>
      <c r="E3084" s="893" t="s">
        <v>4714</v>
      </c>
    </row>
    <row r="3085" spans="1:5" x14ac:dyDescent="0.3">
      <c r="A3085" s="888" t="s">
        <v>2062</v>
      </c>
      <c r="B3085" s="888" t="s">
        <v>1954</v>
      </c>
      <c r="C3085" s="1008" t="s">
        <v>5817</v>
      </c>
      <c r="E3085" s="893" t="str">
        <f>$E$2992</f>
        <v>Int. Wall &amp; Ceiling Barrier, sheet</v>
      </c>
    </row>
    <row r="3086" spans="1:5" x14ac:dyDescent="0.3">
      <c r="A3086" s="888" t="s">
        <v>2062</v>
      </c>
      <c r="B3086" s="888" t="s">
        <v>1954</v>
      </c>
      <c r="C3086" s="1008" t="s">
        <v>5818</v>
      </c>
      <c r="E3086" s="893" t="str">
        <f>$E$3021</f>
        <v>Partel</v>
      </c>
    </row>
    <row r="3087" spans="1:5" x14ac:dyDescent="0.3">
      <c r="A3087" s="888" t="s">
        <v>2062</v>
      </c>
      <c r="B3087" s="888" t="s">
        <v>1954</v>
      </c>
      <c r="C3087" s="1008" t="s">
        <v>5819</v>
      </c>
      <c r="E3087" s="893" t="s">
        <v>4716</v>
      </c>
    </row>
    <row r="3088" spans="1:5" x14ac:dyDescent="0.3">
      <c r="A3088" s="888" t="s">
        <v>2062</v>
      </c>
      <c r="B3088" s="888" t="s">
        <v>1954</v>
      </c>
      <c r="C3088" s="1008" t="s">
        <v>5820</v>
      </c>
      <c r="E3088" s="893" t="str">
        <f>$E$2992</f>
        <v>Int. Wall &amp; Ceiling Barrier, sheet</v>
      </c>
    </row>
    <row r="3089" spans="1:5" x14ac:dyDescent="0.3">
      <c r="A3089" s="888" t="s">
        <v>2062</v>
      </c>
      <c r="B3089" s="888" t="s">
        <v>1954</v>
      </c>
      <c r="C3089" s="1008" t="s">
        <v>5821</v>
      </c>
      <c r="E3089" s="893" t="str">
        <f>$E$2993</f>
        <v>Rothoblaas</v>
      </c>
    </row>
    <row r="3090" spans="1:5" x14ac:dyDescent="0.3">
      <c r="A3090" s="888" t="s">
        <v>2062</v>
      </c>
      <c r="B3090" s="888" t="s">
        <v>1954</v>
      </c>
      <c r="C3090" s="1008" t="s">
        <v>5822</v>
      </c>
      <c r="E3090" s="893" t="s">
        <v>4718</v>
      </c>
    </row>
    <row r="3091" spans="1:5" x14ac:dyDescent="0.3">
      <c r="A3091" s="888" t="s">
        <v>2062</v>
      </c>
      <c r="B3091" s="888" t="s">
        <v>1954</v>
      </c>
      <c r="C3091" s="1008" t="s">
        <v>5823</v>
      </c>
      <c r="E3091" s="893" t="s">
        <v>4719</v>
      </c>
    </row>
    <row r="3092" spans="1:5" x14ac:dyDescent="0.3">
      <c r="A3092" s="888" t="s">
        <v>2062</v>
      </c>
      <c r="B3092" s="888" t="s">
        <v>1954</v>
      </c>
      <c r="C3092" s="1008" t="s">
        <v>5824</v>
      </c>
      <c r="E3092" s="893" t="str">
        <f>$E$2992</f>
        <v>Int. Wall &amp; Ceiling Barrier, sheet</v>
      </c>
    </row>
    <row r="3093" spans="1:5" x14ac:dyDescent="0.3">
      <c r="A3093" s="888" t="s">
        <v>2062</v>
      </c>
      <c r="B3093" s="888" t="s">
        <v>1954</v>
      </c>
      <c r="C3093" s="1008" t="s">
        <v>5825</v>
      </c>
      <c r="E3093" s="893" t="str">
        <f>$E$2993</f>
        <v>Rothoblaas</v>
      </c>
    </row>
    <row r="3094" spans="1:5" x14ac:dyDescent="0.3">
      <c r="A3094" s="888" t="s">
        <v>2062</v>
      </c>
      <c r="B3094" s="888" t="s">
        <v>1954</v>
      </c>
      <c r="C3094" s="1008" t="s">
        <v>5826</v>
      </c>
      <c r="E3094" s="893" t="s">
        <v>4721</v>
      </c>
    </row>
    <row r="3095" spans="1:5" x14ac:dyDescent="0.3">
      <c r="A3095" s="888" t="s">
        <v>2062</v>
      </c>
      <c r="B3095" s="888" t="s">
        <v>1954</v>
      </c>
      <c r="C3095" s="1008" t="s">
        <v>5827</v>
      </c>
      <c r="E3095" s="893" t="s">
        <v>4722</v>
      </c>
    </row>
    <row r="3096" spans="1:5" x14ac:dyDescent="0.3">
      <c r="A3096" s="888" t="s">
        <v>2062</v>
      </c>
      <c r="B3096" s="888" t="s">
        <v>1954</v>
      </c>
      <c r="C3096" s="1008" t="s">
        <v>5828</v>
      </c>
      <c r="E3096" s="893" t="str">
        <f>$E$2992</f>
        <v>Int. Wall &amp; Ceiling Barrier, sheet</v>
      </c>
    </row>
    <row r="3097" spans="1:5" x14ac:dyDescent="0.3">
      <c r="A3097" s="888" t="s">
        <v>2062</v>
      </c>
      <c r="B3097" s="888" t="s">
        <v>1954</v>
      </c>
      <c r="C3097" s="1008" t="s">
        <v>5829</v>
      </c>
      <c r="E3097" s="893" t="s">
        <v>4724</v>
      </c>
    </row>
    <row r="3098" spans="1:5" x14ac:dyDescent="0.3">
      <c r="A3098" s="888" t="s">
        <v>2062</v>
      </c>
      <c r="B3098" s="888" t="s">
        <v>1954</v>
      </c>
      <c r="C3098" s="1008" t="s">
        <v>5830</v>
      </c>
      <c r="E3098" s="893" t="s">
        <v>4725</v>
      </c>
    </row>
    <row r="3099" spans="1:5" x14ac:dyDescent="0.3">
      <c r="A3099" s="888" t="s">
        <v>2062</v>
      </c>
      <c r="B3099" s="888" t="s">
        <v>1954</v>
      </c>
      <c r="C3099" s="1008" t="s">
        <v>5831</v>
      </c>
      <c r="E3099" s="893" t="s">
        <v>4729</v>
      </c>
    </row>
    <row r="3100" spans="1:5" x14ac:dyDescent="0.3">
      <c r="A3100" s="888" t="s">
        <v>2062</v>
      </c>
      <c r="B3100" s="888" t="s">
        <v>1954</v>
      </c>
      <c r="C3100" s="1008" t="s">
        <v>5832</v>
      </c>
      <c r="E3100" s="893" t="s">
        <v>4730</v>
      </c>
    </row>
    <row r="3101" spans="1:5" x14ac:dyDescent="0.3">
      <c r="A3101" s="888" t="s">
        <v>2062</v>
      </c>
      <c r="B3101" s="888" t="s">
        <v>1954</v>
      </c>
      <c r="C3101" s="1008" t="s">
        <v>5833</v>
      </c>
      <c r="E3101" s="893" t="s">
        <v>4731</v>
      </c>
    </row>
    <row r="3102" spans="1:5" x14ac:dyDescent="0.3">
      <c r="A3102" s="888" t="s">
        <v>2062</v>
      </c>
      <c r="B3102" s="888" t="s">
        <v>1954</v>
      </c>
      <c r="C3102" s="1008" t="s">
        <v>5834</v>
      </c>
      <c r="E3102" s="893" t="str">
        <f>$E$3099</f>
        <v>Barrier, sheet</v>
      </c>
    </row>
    <row r="3103" spans="1:5" x14ac:dyDescent="0.3">
      <c r="A3103" s="888" t="s">
        <v>2062</v>
      </c>
      <c r="B3103" s="888" t="s">
        <v>1954</v>
      </c>
      <c r="C3103" s="1008" t="s">
        <v>7091</v>
      </c>
      <c r="E3103" s="893" t="str">
        <f>$E$3100</f>
        <v>Polyethylene sheet</v>
      </c>
    </row>
    <row r="3104" spans="1:5" x14ac:dyDescent="0.3">
      <c r="A3104" s="888" t="s">
        <v>2062</v>
      </c>
      <c r="B3104" s="888" t="s">
        <v>1954</v>
      </c>
      <c r="C3104" s="1008" t="s">
        <v>5835</v>
      </c>
      <c r="E3104" s="893" t="s">
        <v>4736</v>
      </c>
    </row>
    <row r="3105" spans="1:5" x14ac:dyDescent="0.3">
      <c r="A3105" s="888" t="s">
        <v>2062</v>
      </c>
      <c r="B3105" s="888" t="s">
        <v>1954</v>
      </c>
      <c r="C3105" s="1008" t="s">
        <v>5836</v>
      </c>
      <c r="E3105" s="893" t="s">
        <v>500</v>
      </c>
    </row>
    <row r="3106" spans="1:5" x14ac:dyDescent="0.3">
      <c r="A3106" s="888" t="s">
        <v>2062</v>
      </c>
      <c r="B3106" s="888" t="s">
        <v>1954</v>
      </c>
      <c r="C3106" s="1008" t="s">
        <v>5837</v>
      </c>
      <c r="E3106" s="893" t="str">
        <f>$E$1598</f>
        <v>Owens Corning</v>
      </c>
    </row>
    <row r="3107" spans="1:5" x14ac:dyDescent="0.3">
      <c r="A3107" s="888" t="s">
        <v>2062</v>
      </c>
      <c r="B3107" s="888" t="s">
        <v>1954</v>
      </c>
      <c r="C3107" s="1008" t="s">
        <v>5838</v>
      </c>
      <c r="E3107" s="893" t="s">
        <v>4808</v>
      </c>
    </row>
    <row r="3108" spans="1:5" x14ac:dyDescent="0.3">
      <c r="A3108" s="888" t="s">
        <v>2062</v>
      </c>
      <c r="B3108" s="888" t="s">
        <v>1954</v>
      </c>
      <c r="C3108" s="1008" t="s">
        <v>5839</v>
      </c>
      <c r="E3108" s="893" t="s">
        <v>4809</v>
      </c>
    </row>
    <row r="3109" spans="1:5" x14ac:dyDescent="0.3">
      <c r="A3109" s="888" t="s">
        <v>2062</v>
      </c>
      <c r="B3109" s="888" t="s">
        <v>1954</v>
      </c>
      <c r="C3109" s="1008" t="s">
        <v>5840</v>
      </c>
      <c r="E3109" s="893" t="str">
        <f>$E$3105</f>
        <v>Mineral wool batt</v>
      </c>
    </row>
    <row r="3110" spans="1:5" x14ac:dyDescent="0.3">
      <c r="A3110" s="888" t="s">
        <v>2062</v>
      </c>
      <c r="B3110" s="888" t="s">
        <v>1954</v>
      </c>
      <c r="C3110" s="1008" t="s">
        <v>5841</v>
      </c>
      <c r="E3110" s="893" t="str">
        <f>$E$1598</f>
        <v>Owens Corning</v>
      </c>
    </row>
    <row r="3111" spans="1:5" x14ac:dyDescent="0.3">
      <c r="A3111" s="888" t="s">
        <v>2062</v>
      </c>
      <c r="B3111" s="888" t="s">
        <v>1954</v>
      </c>
      <c r="C3111" s="1008" t="s">
        <v>5842</v>
      </c>
      <c r="E3111" s="893" t="s">
        <v>4816</v>
      </c>
    </row>
    <row r="3112" spans="1:5" x14ac:dyDescent="0.3">
      <c r="A3112" s="888" t="s">
        <v>2062</v>
      </c>
      <c r="B3112" s="888" t="s">
        <v>1954</v>
      </c>
      <c r="C3112" s="1008" t="s">
        <v>5843</v>
      </c>
      <c r="E3112" s="893" t="s">
        <v>4817</v>
      </c>
    </row>
    <row r="3113" spans="1:5" x14ac:dyDescent="0.3">
      <c r="A3113" s="888" t="s">
        <v>2062</v>
      </c>
      <c r="B3113" s="888" t="s">
        <v>1954</v>
      </c>
      <c r="C3113" s="1008" t="s">
        <v>5844</v>
      </c>
      <c r="E3113" s="893" t="str">
        <f>$E$3105</f>
        <v>Mineral wool batt</v>
      </c>
    </row>
    <row r="3114" spans="1:5" x14ac:dyDescent="0.3">
      <c r="A3114" s="888" t="s">
        <v>2062</v>
      </c>
      <c r="B3114" s="888" t="s">
        <v>1954</v>
      </c>
      <c r="C3114" s="1008" t="s">
        <v>5845</v>
      </c>
      <c r="E3114" s="893" t="str">
        <f>$E$1598</f>
        <v>Owens Corning</v>
      </c>
    </row>
    <row r="3115" spans="1:5" x14ac:dyDescent="0.3">
      <c r="A3115" s="888" t="s">
        <v>2062</v>
      </c>
      <c r="B3115" s="888" t="s">
        <v>1954</v>
      </c>
      <c r="C3115" s="1008" t="s">
        <v>5846</v>
      </c>
      <c r="E3115" s="893" t="s">
        <v>4820</v>
      </c>
    </row>
    <row r="3116" spans="1:5" x14ac:dyDescent="0.3">
      <c r="A3116" s="888" t="s">
        <v>2062</v>
      </c>
      <c r="B3116" s="888" t="s">
        <v>1954</v>
      </c>
      <c r="C3116" s="1008" t="s">
        <v>5847</v>
      </c>
      <c r="E3116" s="893" t="str">
        <f>$E$3112</f>
        <v>R 4.2-inch</v>
      </c>
    </row>
    <row r="3117" spans="1:5" x14ac:dyDescent="0.3">
      <c r="A3117" s="888" t="s">
        <v>2062</v>
      </c>
      <c r="B3117" s="888" t="s">
        <v>1954</v>
      </c>
      <c r="C3117" s="1008" t="s">
        <v>5848</v>
      </c>
      <c r="E3117" s="893" t="str">
        <f>$E$3105</f>
        <v>Mineral wool batt</v>
      </c>
    </row>
    <row r="3118" spans="1:5" x14ac:dyDescent="0.3">
      <c r="A3118" s="888" t="s">
        <v>2062</v>
      </c>
      <c r="B3118" s="888" t="s">
        <v>1954</v>
      </c>
      <c r="C3118" s="1008" t="s">
        <v>5849</v>
      </c>
      <c r="E3118" s="893" t="str">
        <f>$E$1598</f>
        <v>Owens Corning</v>
      </c>
    </row>
    <row r="3119" spans="1:5" x14ac:dyDescent="0.3">
      <c r="A3119" s="888" t="s">
        <v>2062</v>
      </c>
      <c r="B3119" s="888" t="s">
        <v>1954</v>
      </c>
      <c r="C3119" s="1008" t="s">
        <v>5850</v>
      </c>
      <c r="E3119" s="893" t="s">
        <v>4824</v>
      </c>
    </row>
    <row r="3120" spans="1:5" x14ac:dyDescent="0.3">
      <c r="A3120" s="888" t="s">
        <v>2062</v>
      </c>
      <c r="B3120" s="888" t="s">
        <v>1954</v>
      </c>
      <c r="C3120" s="1008" t="s">
        <v>5851</v>
      </c>
      <c r="E3120" s="893" t="s">
        <v>4825</v>
      </c>
    </row>
    <row r="3121" spans="1:5" x14ac:dyDescent="0.3">
      <c r="A3121" s="888" t="s">
        <v>2062</v>
      </c>
      <c r="B3121" s="888" t="s">
        <v>1954</v>
      </c>
      <c r="C3121" s="1008" t="s">
        <v>5852</v>
      </c>
      <c r="E3121" s="893" t="str">
        <f>$E$2890</f>
        <v xml:space="preserve">Mineral wool board </v>
      </c>
    </row>
    <row r="3122" spans="1:5" x14ac:dyDescent="0.3">
      <c r="A3122" s="888" t="s">
        <v>2062</v>
      </c>
      <c r="B3122" s="888" t="s">
        <v>1954</v>
      </c>
      <c r="C3122" s="1008" t="s">
        <v>5853</v>
      </c>
      <c r="E3122" s="893" t="str">
        <f>$E$1598</f>
        <v>Owens Corning</v>
      </c>
    </row>
    <row r="3123" spans="1:5" x14ac:dyDescent="0.3">
      <c r="A3123" s="888" t="s">
        <v>2062</v>
      </c>
      <c r="B3123" s="888" t="s">
        <v>1954</v>
      </c>
      <c r="C3123" s="1008" t="s">
        <v>5854</v>
      </c>
      <c r="E3123" s="893" t="s">
        <v>4830</v>
      </c>
    </row>
    <row r="3124" spans="1:5" x14ac:dyDescent="0.3">
      <c r="A3124" s="888" t="s">
        <v>2062</v>
      </c>
      <c r="B3124" s="888" t="s">
        <v>1954</v>
      </c>
      <c r="C3124" s="1008" t="s">
        <v>5855</v>
      </c>
      <c r="E3124" s="893" t="str">
        <f>$E$3112</f>
        <v>R 4.2-inch</v>
      </c>
    </row>
    <row r="3125" spans="1:5" x14ac:dyDescent="0.3">
      <c r="A3125" s="888" t="s">
        <v>2062</v>
      </c>
      <c r="B3125" s="888" t="s">
        <v>1954</v>
      </c>
      <c r="C3125" s="1008" t="s">
        <v>5856</v>
      </c>
      <c r="E3125" s="893" t="str">
        <f>$E$2890</f>
        <v xml:space="preserve">Mineral wool board </v>
      </c>
    </row>
    <row r="3126" spans="1:5" x14ac:dyDescent="0.3">
      <c r="A3126" s="888" t="s">
        <v>2062</v>
      </c>
      <c r="B3126" s="888" t="s">
        <v>1954</v>
      </c>
      <c r="C3126" s="1008" t="s">
        <v>5857</v>
      </c>
      <c r="E3126" s="893" t="str">
        <f>$E$1598</f>
        <v>Owens Corning</v>
      </c>
    </row>
    <row r="3127" spans="1:5" x14ac:dyDescent="0.3">
      <c r="A3127" s="888" t="s">
        <v>2062</v>
      </c>
      <c r="B3127" s="888" t="s">
        <v>1954</v>
      </c>
      <c r="C3127" s="1008" t="s">
        <v>5858</v>
      </c>
      <c r="E3127" s="893" t="s">
        <v>4834</v>
      </c>
    </row>
    <row r="3128" spans="1:5" x14ac:dyDescent="0.3">
      <c r="A3128" s="888" t="s">
        <v>2062</v>
      </c>
      <c r="B3128" s="888" t="s">
        <v>1954</v>
      </c>
      <c r="C3128" s="1008" t="s">
        <v>5859</v>
      </c>
      <c r="E3128" s="893" t="str">
        <f>$E$3112</f>
        <v>R 4.2-inch</v>
      </c>
    </row>
    <row r="3129" spans="1:5" x14ac:dyDescent="0.3">
      <c r="A3129" s="888" t="s">
        <v>2062</v>
      </c>
      <c r="B3129" s="888" t="s">
        <v>1954</v>
      </c>
      <c r="C3129" s="1008" t="s">
        <v>5860</v>
      </c>
      <c r="E3129" s="893" t="str">
        <f>$E$2890</f>
        <v xml:space="preserve">Mineral wool board </v>
      </c>
    </row>
    <row r="3130" spans="1:5" x14ac:dyDescent="0.3">
      <c r="A3130" s="888" t="s">
        <v>2062</v>
      </c>
      <c r="B3130" s="888" t="s">
        <v>1954</v>
      </c>
      <c r="C3130" s="1008" t="s">
        <v>5861</v>
      </c>
      <c r="E3130" s="893" t="str">
        <f>$E$1598</f>
        <v>Owens Corning</v>
      </c>
    </row>
    <row r="3131" spans="1:5" x14ac:dyDescent="0.3">
      <c r="A3131" s="888" t="s">
        <v>2062</v>
      </c>
      <c r="B3131" s="888" t="s">
        <v>1954</v>
      </c>
      <c r="C3131" s="1008" t="s">
        <v>5862</v>
      </c>
      <c r="E3131" s="893" t="s">
        <v>4836</v>
      </c>
    </row>
    <row r="3132" spans="1:5" x14ac:dyDescent="0.3">
      <c r="A3132" s="888" t="s">
        <v>2062</v>
      </c>
      <c r="B3132" s="888" t="s">
        <v>1954</v>
      </c>
      <c r="C3132" s="1008" t="s">
        <v>5863</v>
      </c>
      <c r="E3132" s="893" t="s">
        <v>4837</v>
      </c>
    </row>
    <row r="3133" spans="1:5" x14ac:dyDescent="0.3">
      <c r="A3133" s="888" t="s">
        <v>2062</v>
      </c>
      <c r="B3133" s="888" t="s">
        <v>1954</v>
      </c>
      <c r="C3133" s="1008" t="s">
        <v>5864</v>
      </c>
      <c r="E3133" s="893" t="str">
        <f>$E$3105</f>
        <v>Mineral wool batt</v>
      </c>
    </row>
    <row r="3134" spans="1:5" x14ac:dyDescent="0.3">
      <c r="A3134" s="888" t="s">
        <v>2062</v>
      </c>
      <c r="B3134" s="888" t="s">
        <v>1954</v>
      </c>
      <c r="C3134" s="1008" t="s">
        <v>5865</v>
      </c>
      <c r="E3134" s="893" t="str">
        <f>$E$2891</f>
        <v>Rockwool</v>
      </c>
    </row>
    <row r="3135" spans="1:5" x14ac:dyDescent="0.3">
      <c r="A3135" s="888" t="s">
        <v>2062</v>
      </c>
      <c r="B3135" s="888" t="s">
        <v>1954</v>
      </c>
      <c r="C3135" s="1008" t="s">
        <v>5866</v>
      </c>
      <c r="E3135" s="893" t="s">
        <v>4841</v>
      </c>
    </row>
    <row r="3136" spans="1:5" x14ac:dyDescent="0.3">
      <c r="A3136" s="888" t="s">
        <v>2062</v>
      </c>
      <c r="B3136" s="888" t="s">
        <v>1954</v>
      </c>
      <c r="C3136" s="1008" t="s">
        <v>5867</v>
      </c>
      <c r="E3136" s="893" t="str">
        <f>$E$3112</f>
        <v>R 4.2-inch</v>
      </c>
    </row>
    <row r="3137" spans="1:5" x14ac:dyDescent="0.3">
      <c r="A3137" s="888" t="s">
        <v>2062</v>
      </c>
      <c r="B3137" s="888" t="s">
        <v>1954</v>
      </c>
      <c r="C3137" s="1008" t="s">
        <v>7092</v>
      </c>
      <c r="E3137" s="893" t="str">
        <f>$E$3105</f>
        <v>Mineral wool batt</v>
      </c>
    </row>
    <row r="3138" spans="1:5" x14ac:dyDescent="0.3">
      <c r="A3138" s="888" t="s">
        <v>2062</v>
      </c>
      <c r="B3138" s="888" t="s">
        <v>1954</v>
      </c>
      <c r="C3138" s="1008" t="s">
        <v>7093</v>
      </c>
      <c r="E3138" s="893" t="str">
        <f>$E$2891</f>
        <v>Rockwool</v>
      </c>
    </row>
    <row r="3139" spans="1:5" x14ac:dyDescent="0.3">
      <c r="A3139" s="888" t="s">
        <v>2062</v>
      </c>
      <c r="B3139" s="888" t="s">
        <v>1954</v>
      </c>
      <c r="C3139" s="1008" t="s">
        <v>7094</v>
      </c>
      <c r="E3139" s="893" t="s">
        <v>4844</v>
      </c>
    </row>
    <row r="3140" spans="1:5" x14ac:dyDescent="0.3">
      <c r="A3140" s="888" t="s">
        <v>2062</v>
      </c>
      <c r="B3140" s="888" t="s">
        <v>1954</v>
      </c>
      <c r="C3140" s="1008" t="s">
        <v>7095</v>
      </c>
      <c r="E3140" s="893" t="str">
        <f>$E$3120</f>
        <v>R 4.0-inch</v>
      </c>
    </row>
    <row r="3141" spans="1:5" x14ac:dyDescent="0.3">
      <c r="A3141" s="888" t="s">
        <v>2062</v>
      </c>
      <c r="B3141" s="888" t="s">
        <v>1954</v>
      </c>
      <c r="C3141" s="1008" t="s">
        <v>7096</v>
      </c>
      <c r="E3141" s="893" t="str">
        <f>$E$3105</f>
        <v>Mineral wool batt</v>
      </c>
    </row>
    <row r="3142" spans="1:5" x14ac:dyDescent="0.3">
      <c r="A3142" s="888" t="s">
        <v>2062</v>
      </c>
      <c r="B3142" s="888" t="s">
        <v>1954</v>
      </c>
      <c r="C3142" s="1008" t="s">
        <v>7097</v>
      </c>
      <c r="E3142" s="893" t="str">
        <f>$E$2891</f>
        <v>Rockwool</v>
      </c>
    </row>
    <row r="3143" spans="1:5" x14ac:dyDescent="0.3">
      <c r="A3143" s="888" t="s">
        <v>2062</v>
      </c>
      <c r="B3143" s="888" t="s">
        <v>1954</v>
      </c>
      <c r="C3143" s="1008" t="s">
        <v>7098</v>
      </c>
      <c r="E3143" s="893" t="s">
        <v>4847</v>
      </c>
    </row>
    <row r="3144" spans="1:5" x14ac:dyDescent="0.3">
      <c r="A3144" s="888" t="s">
        <v>2062</v>
      </c>
      <c r="B3144" s="888" t="s">
        <v>1954</v>
      </c>
      <c r="C3144" s="1008" t="s">
        <v>7099</v>
      </c>
      <c r="E3144" s="893" t="s">
        <v>4848</v>
      </c>
    </row>
    <row r="3145" spans="1:5" x14ac:dyDescent="0.3">
      <c r="A3145" s="888" t="s">
        <v>2062</v>
      </c>
      <c r="B3145" s="888" t="s">
        <v>1954</v>
      </c>
      <c r="C3145" s="1008" t="s">
        <v>7100</v>
      </c>
      <c r="E3145" s="893" t="str">
        <f>$E$2890</f>
        <v xml:space="preserve">Mineral wool board </v>
      </c>
    </row>
    <row r="3146" spans="1:5" x14ac:dyDescent="0.3">
      <c r="A3146" s="888" t="s">
        <v>2062</v>
      </c>
      <c r="B3146" s="888" t="s">
        <v>1954</v>
      </c>
      <c r="C3146" s="1008" t="s">
        <v>7101</v>
      </c>
      <c r="E3146" s="893" t="str">
        <f>$E$2891</f>
        <v>Rockwool</v>
      </c>
    </row>
    <row r="3147" spans="1:5" x14ac:dyDescent="0.3">
      <c r="A3147" s="888" t="s">
        <v>2062</v>
      </c>
      <c r="B3147" s="888" t="s">
        <v>1954</v>
      </c>
      <c r="C3147" s="1008" t="s">
        <v>7102</v>
      </c>
      <c r="E3147" s="893" t="s">
        <v>4852</v>
      </c>
    </row>
    <row r="3148" spans="1:5" x14ac:dyDescent="0.3">
      <c r="A3148" s="888" t="s">
        <v>2062</v>
      </c>
      <c r="B3148" s="888" t="s">
        <v>1954</v>
      </c>
      <c r="C3148" s="1008" t="s">
        <v>7103</v>
      </c>
      <c r="E3148" s="893" t="str">
        <f>$E$3132</f>
        <v>R 4.3-inch</v>
      </c>
    </row>
    <row r="3149" spans="1:5" x14ac:dyDescent="0.3">
      <c r="A3149" s="888" t="s">
        <v>2062</v>
      </c>
      <c r="B3149" s="888" t="s">
        <v>1954</v>
      </c>
      <c r="C3149" s="1008" t="s">
        <v>7104</v>
      </c>
      <c r="E3149" s="893" t="str">
        <f>$E$2890</f>
        <v xml:space="preserve">Mineral wool board </v>
      </c>
    </row>
    <row r="3150" spans="1:5" x14ac:dyDescent="0.3">
      <c r="A3150" s="888" t="s">
        <v>2062</v>
      </c>
      <c r="B3150" s="888" t="s">
        <v>1954</v>
      </c>
      <c r="C3150" s="1008" t="s">
        <v>7105</v>
      </c>
      <c r="E3150" s="893" t="str">
        <f>$E$2891</f>
        <v>Rockwool</v>
      </c>
    </row>
    <row r="3151" spans="1:5" x14ac:dyDescent="0.3">
      <c r="A3151" s="888" t="s">
        <v>2062</v>
      </c>
      <c r="B3151" s="888" t="s">
        <v>1954</v>
      </c>
      <c r="C3151" s="1008" t="s">
        <v>7106</v>
      </c>
      <c r="E3151" s="893" t="s">
        <v>4855</v>
      </c>
    </row>
    <row r="3152" spans="1:5" x14ac:dyDescent="0.3">
      <c r="A3152" s="888" t="s">
        <v>2062</v>
      </c>
      <c r="B3152" s="888" t="s">
        <v>1954</v>
      </c>
      <c r="C3152" s="1008" t="s">
        <v>7107</v>
      </c>
      <c r="E3152" s="893" t="str">
        <f>$E$3120</f>
        <v>R 4.0-inch</v>
      </c>
    </row>
    <row r="3153" spans="1:5" x14ac:dyDescent="0.3">
      <c r="A3153" s="888" t="s">
        <v>2062</v>
      </c>
      <c r="B3153" s="888" t="s">
        <v>1954</v>
      </c>
      <c r="C3153" s="1008" t="s">
        <v>7108</v>
      </c>
      <c r="E3153" s="893" t="str">
        <f>$E$2890</f>
        <v xml:space="preserve">Mineral wool board </v>
      </c>
    </row>
    <row r="3154" spans="1:5" x14ac:dyDescent="0.3">
      <c r="A3154" s="888" t="s">
        <v>2062</v>
      </c>
      <c r="B3154" s="888" t="s">
        <v>1954</v>
      </c>
      <c r="C3154" s="1008" t="s">
        <v>7109</v>
      </c>
      <c r="E3154" s="893" t="str">
        <f>$E$2891</f>
        <v>Rockwool</v>
      </c>
    </row>
    <row r="3155" spans="1:5" x14ac:dyDescent="0.3">
      <c r="A3155" s="888" t="s">
        <v>2062</v>
      </c>
      <c r="B3155" s="888" t="s">
        <v>1954</v>
      </c>
      <c r="C3155" s="1008" t="s">
        <v>7110</v>
      </c>
      <c r="E3155" s="893" t="str">
        <f>$E$2892</f>
        <v>Comfortboard 80</v>
      </c>
    </row>
    <row r="3156" spans="1:5" x14ac:dyDescent="0.3">
      <c r="A3156" s="888" t="s">
        <v>2062</v>
      </c>
      <c r="B3156" s="888" t="s">
        <v>1954</v>
      </c>
      <c r="C3156" s="1008" t="s">
        <v>7111</v>
      </c>
      <c r="E3156" s="893" t="str">
        <f>$E$3112</f>
        <v>R 4.2-inch</v>
      </c>
    </row>
    <row r="3157" spans="1:5" x14ac:dyDescent="0.3">
      <c r="A3157" s="888" t="s">
        <v>2062</v>
      </c>
      <c r="B3157" s="888" t="s">
        <v>1954</v>
      </c>
      <c r="C3157" s="1008" t="s">
        <v>7112</v>
      </c>
      <c r="E3157" s="893" t="str">
        <f>$E$2890</f>
        <v xml:space="preserve">Mineral wool board </v>
      </c>
    </row>
    <row r="3158" spans="1:5" x14ac:dyDescent="0.3">
      <c r="A3158" s="888" t="s">
        <v>2062</v>
      </c>
      <c r="B3158" s="888" t="s">
        <v>1954</v>
      </c>
      <c r="C3158" s="1008" t="s">
        <v>7113</v>
      </c>
      <c r="E3158" s="893" t="str">
        <f>$E$2891</f>
        <v>Rockwool</v>
      </c>
    </row>
    <row r="3159" spans="1:5" x14ac:dyDescent="0.3">
      <c r="A3159" s="888" t="s">
        <v>2062</v>
      </c>
      <c r="B3159" s="888" t="s">
        <v>1954</v>
      </c>
      <c r="C3159" s="1008" t="s">
        <v>7114</v>
      </c>
      <c r="E3159" s="893" t="s">
        <v>4859</v>
      </c>
    </row>
    <row r="3160" spans="1:5" x14ac:dyDescent="0.3">
      <c r="A3160" s="888" t="s">
        <v>2062</v>
      </c>
      <c r="B3160" s="888" t="s">
        <v>1954</v>
      </c>
      <c r="C3160" s="1008" t="s">
        <v>7115</v>
      </c>
      <c r="E3160" s="893" t="str">
        <f>$E$3132</f>
        <v>R 4.3-inch</v>
      </c>
    </row>
    <row r="3161" spans="1:5" x14ac:dyDescent="0.3">
      <c r="A3161" s="888" t="s">
        <v>2062</v>
      </c>
      <c r="B3161" s="888" t="s">
        <v>1954</v>
      </c>
      <c r="C3161" s="1008" t="s">
        <v>7116</v>
      </c>
      <c r="E3161" s="893" t="str">
        <f>$E$3105</f>
        <v>Mineral wool batt</v>
      </c>
    </row>
    <row r="3162" spans="1:5" x14ac:dyDescent="0.3">
      <c r="A3162" s="888" t="s">
        <v>2062</v>
      </c>
      <c r="B3162" s="888" t="s">
        <v>1954</v>
      </c>
      <c r="C3162" s="1008" t="s">
        <v>7117</v>
      </c>
      <c r="E3162" s="893" t="str">
        <f>$E$2891</f>
        <v>Rockwool</v>
      </c>
    </row>
    <row r="3163" spans="1:5" x14ac:dyDescent="0.3">
      <c r="A3163" s="888" t="s">
        <v>2062</v>
      </c>
      <c r="B3163" s="888" t="s">
        <v>1954</v>
      </c>
      <c r="C3163" s="1008" t="s">
        <v>7118</v>
      </c>
      <c r="E3163" s="893" t="s">
        <v>4861</v>
      </c>
    </row>
    <row r="3164" spans="1:5" x14ac:dyDescent="0.3">
      <c r="A3164" s="888" t="s">
        <v>2062</v>
      </c>
      <c r="B3164" s="888" t="s">
        <v>1954</v>
      </c>
      <c r="C3164" s="1008" t="s">
        <v>7119</v>
      </c>
      <c r="E3164" s="893" t="str">
        <f>$E$3120</f>
        <v>R 4.0-inch</v>
      </c>
    </row>
    <row r="3165" spans="1:5" x14ac:dyDescent="0.3">
      <c r="A3165" s="888" t="s">
        <v>2062</v>
      </c>
      <c r="B3165" s="888" t="s">
        <v>1954</v>
      </c>
      <c r="C3165" s="1008" t="s">
        <v>7120</v>
      </c>
      <c r="E3165" s="893" t="s">
        <v>386</v>
      </c>
    </row>
    <row r="3166" spans="1:5" x14ac:dyDescent="0.3">
      <c r="A3166" s="888" t="s">
        <v>2062</v>
      </c>
      <c r="B3166" s="888" t="s">
        <v>1954</v>
      </c>
      <c r="C3166" s="1008" t="s">
        <v>7121</v>
      </c>
      <c r="E3166" s="893" t="s">
        <v>4865</v>
      </c>
    </row>
    <row r="3167" spans="1:5" x14ac:dyDescent="0.3">
      <c r="A3167" s="888" t="s">
        <v>2062</v>
      </c>
      <c r="B3167" s="888" t="s">
        <v>1954</v>
      </c>
      <c r="C3167" s="1008" t="s">
        <v>7122</v>
      </c>
      <c r="E3167" s="893" t="s">
        <v>4866</v>
      </c>
    </row>
    <row r="3168" spans="1:5" x14ac:dyDescent="0.3">
      <c r="A3168" s="888" t="s">
        <v>2062</v>
      </c>
      <c r="B3168" s="888" t="s">
        <v>1954</v>
      </c>
      <c r="C3168" s="1008" t="s">
        <v>7123</v>
      </c>
      <c r="E3168" s="893" t="s">
        <v>4869</v>
      </c>
    </row>
    <row r="3169" spans="1:5" x14ac:dyDescent="0.3">
      <c r="A3169" s="888" t="s">
        <v>2062</v>
      </c>
      <c r="B3169" s="888" t="s">
        <v>1954</v>
      </c>
      <c r="C3169" s="1008" t="s">
        <v>7124</v>
      </c>
      <c r="E3169" s="893" t="str">
        <f>$E$2245</f>
        <v>Resilient Floor Covering Institute</v>
      </c>
    </row>
    <row r="3170" spans="1:5" x14ac:dyDescent="0.3">
      <c r="A3170" s="888" t="s">
        <v>2062</v>
      </c>
      <c r="B3170" s="888" t="s">
        <v>1954</v>
      </c>
      <c r="C3170" s="1008" t="s">
        <v>7125</v>
      </c>
      <c r="E3170" s="893" t="s">
        <v>4870</v>
      </c>
    </row>
    <row r="3171" spans="1:5" x14ac:dyDescent="0.3">
      <c r="A3171" s="888" t="s">
        <v>2062</v>
      </c>
      <c r="B3171" s="888" t="s">
        <v>1954</v>
      </c>
      <c r="C3171" s="1008" t="s">
        <v>7126</v>
      </c>
      <c r="E3171" s="893" t="s">
        <v>4871</v>
      </c>
    </row>
    <row r="3172" spans="1:5" x14ac:dyDescent="0.3">
      <c r="A3172" s="888" t="s">
        <v>2062</v>
      </c>
      <c r="B3172" s="888" t="s">
        <v>1954</v>
      </c>
      <c r="C3172" s="1008" t="s">
        <v>7127</v>
      </c>
      <c r="E3172" s="893" t="str">
        <f>$E$3168</f>
        <v>Luxury vinyl tile</v>
      </c>
    </row>
    <row r="3173" spans="1:5" x14ac:dyDescent="0.3">
      <c r="A3173" s="888" t="s">
        <v>2062</v>
      </c>
      <c r="B3173" s="888" t="s">
        <v>1954</v>
      </c>
      <c r="C3173" s="1008" t="s">
        <v>7128</v>
      </c>
      <c r="E3173" s="893" t="str">
        <f>$E$2245</f>
        <v>Resilient Floor Covering Institute</v>
      </c>
    </row>
    <row r="3174" spans="1:5" x14ac:dyDescent="0.3">
      <c r="A3174" s="888" t="s">
        <v>2062</v>
      </c>
      <c r="B3174" s="888" t="s">
        <v>1954</v>
      </c>
      <c r="C3174" s="1008" t="s">
        <v>7129</v>
      </c>
      <c r="E3174" s="893" t="s">
        <v>4874</v>
      </c>
    </row>
    <row r="3175" spans="1:5" x14ac:dyDescent="0.3">
      <c r="A3175" s="888" t="s">
        <v>2062</v>
      </c>
      <c r="B3175" s="888" t="s">
        <v>1954</v>
      </c>
      <c r="C3175" s="1008" t="s">
        <v>7130</v>
      </c>
      <c r="E3175" s="893" t="s">
        <v>4875</v>
      </c>
    </row>
    <row r="3176" spans="1:5" x14ac:dyDescent="0.3">
      <c r="A3176" s="888" t="s">
        <v>2062</v>
      </c>
      <c r="B3176" s="888" t="s">
        <v>1954</v>
      </c>
      <c r="C3176" s="1008" t="s">
        <v>7131</v>
      </c>
      <c r="E3176" s="893" t="str">
        <f>$E$2335</f>
        <v>Vinyl flooring</v>
      </c>
    </row>
    <row r="3177" spans="1:5" x14ac:dyDescent="0.3">
      <c r="A3177" s="888" t="s">
        <v>2062</v>
      </c>
      <c r="B3177" s="888" t="s">
        <v>1954</v>
      </c>
      <c r="C3177" s="1008" t="s">
        <v>7132</v>
      </c>
      <c r="E3177" s="893" t="str">
        <f>$E$2245</f>
        <v>Resilient Floor Covering Institute</v>
      </c>
    </row>
    <row r="3178" spans="1:5" x14ac:dyDescent="0.3">
      <c r="A3178" s="888" t="s">
        <v>2062</v>
      </c>
      <c r="B3178" s="888" t="s">
        <v>1954</v>
      </c>
      <c r="C3178" s="1008" t="s">
        <v>7133</v>
      </c>
      <c r="E3178" s="893" t="s">
        <v>4878</v>
      </c>
    </row>
    <row r="3179" spans="1:5" x14ac:dyDescent="0.3">
      <c r="A3179" s="888" t="s">
        <v>2062</v>
      </c>
      <c r="B3179" s="888" t="s">
        <v>1954</v>
      </c>
      <c r="C3179" s="1008" t="s">
        <v>7134</v>
      </c>
      <c r="E3179" s="893" t="s">
        <v>4879</v>
      </c>
    </row>
    <row r="3180" spans="1:5" x14ac:dyDescent="0.3">
      <c r="A3180" s="888" t="s">
        <v>2062</v>
      </c>
      <c r="B3180" s="888" t="s">
        <v>1954</v>
      </c>
      <c r="C3180" s="1008" t="s">
        <v>7135</v>
      </c>
      <c r="E3180" s="893" t="s">
        <v>4902</v>
      </c>
    </row>
    <row r="3181" spans="1:5" x14ac:dyDescent="0.3">
      <c r="A3181" s="888" t="s">
        <v>2062</v>
      </c>
      <c r="B3181" s="888" t="s">
        <v>1954</v>
      </c>
      <c r="C3181" s="1008" t="s">
        <v>7136</v>
      </c>
      <c r="E3181" s="893" t="s">
        <v>4903</v>
      </c>
    </row>
    <row r="3182" spans="1:5" x14ac:dyDescent="0.3">
      <c r="A3182" s="888" t="s">
        <v>2062</v>
      </c>
      <c r="B3182" s="888" t="s">
        <v>1954</v>
      </c>
      <c r="C3182" s="1008" t="s">
        <v>7137</v>
      </c>
      <c r="E3182" s="893" t="s">
        <v>4904</v>
      </c>
    </row>
    <row r="3183" spans="1:5" x14ac:dyDescent="0.3">
      <c r="A3183" s="888" t="s">
        <v>2062</v>
      </c>
      <c r="B3183" s="888" t="s">
        <v>1954</v>
      </c>
      <c r="C3183" s="1008" t="s">
        <v>7138</v>
      </c>
      <c r="E3183" s="893" t="s">
        <v>4905</v>
      </c>
    </row>
    <row r="3184" spans="1:5" x14ac:dyDescent="0.3">
      <c r="A3184" s="888" t="s">
        <v>2062</v>
      </c>
      <c r="B3184" s="888" t="s">
        <v>1954</v>
      </c>
      <c r="C3184" s="1008" t="s">
        <v>7139</v>
      </c>
      <c r="E3184" s="893" t="str">
        <f>$E$3180</f>
        <v>SIP panels - EPS foam &amp; OSB</v>
      </c>
    </row>
    <row r="3185" spans="1:5" x14ac:dyDescent="0.3">
      <c r="A3185" s="888" t="s">
        <v>2062</v>
      </c>
      <c r="B3185" s="888" t="s">
        <v>1954</v>
      </c>
      <c r="C3185" s="1008" t="s">
        <v>7140</v>
      </c>
      <c r="E3185" s="893" t="str">
        <f>$E$3181</f>
        <v>SIPA</v>
      </c>
    </row>
    <row r="3186" spans="1:5" x14ac:dyDescent="0.3">
      <c r="A3186" s="888" t="s">
        <v>2062</v>
      </c>
      <c r="B3186" s="888" t="s">
        <v>1954</v>
      </c>
      <c r="C3186" s="1008" t="s">
        <v>7141</v>
      </c>
      <c r="E3186" s="893" t="str">
        <f>$E$3182</f>
        <v>Includes: ACME Panel, Enercept, Extreme Panel Technologies, FischerSIPS, Insulspan, Lamit, PorterCorp, Preflex, Premier Building Systems, Thermafoam R-Control, Urban Industries</v>
      </c>
    </row>
    <row r="3187" spans="1:5" x14ac:dyDescent="0.3">
      <c r="A3187" s="888" t="s">
        <v>2062</v>
      </c>
      <c r="B3187" s="888" t="s">
        <v>1954</v>
      </c>
      <c r="C3187" s="1008" t="s">
        <v>7142</v>
      </c>
      <c r="E3187" s="893" t="s">
        <v>4909</v>
      </c>
    </row>
    <row r="3188" spans="1:5" x14ac:dyDescent="0.3">
      <c r="A3188" s="888" t="s">
        <v>2062</v>
      </c>
      <c r="B3188" s="888" t="s">
        <v>1954</v>
      </c>
      <c r="C3188" s="1008" t="s">
        <v>7143</v>
      </c>
      <c r="E3188" s="893" t="str">
        <f>$E$3180</f>
        <v>SIP panels - EPS foam &amp; OSB</v>
      </c>
    </row>
    <row r="3189" spans="1:5" x14ac:dyDescent="0.3">
      <c r="A3189" s="888" t="s">
        <v>2062</v>
      </c>
      <c r="B3189" s="888" t="s">
        <v>1954</v>
      </c>
      <c r="C3189" s="1008" t="s">
        <v>7144</v>
      </c>
      <c r="E3189" s="893" t="str">
        <f>$E$3181</f>
        <v>SIPA</v>
      </c>
    </row>
    <row r="3190" spans="1:5" x14ac:dyDescent="0.3">
      <c r="A3190" s="888" t="s">
        <v>2062</v>
      </c>
      <c r="B3190" s="888" t="s">
        <v>1954</v>
      </c>
      <c r="C3190" s="1008" t="s">
        <v>7145</v>
      </c>
      <c r="E3190" s="893" t="str">
        <f>$E$3182</f>
        <v>Includes: ACME Panel, Enercept, Extreme Panel Technologies, FischerSIPS, Insulspan, Lamit, PorterCorp, Preflex, Premier Building Systems, Thermafoam R-Control, Urban Industries</v>
      </c>
    </row>
    <row r="3191" spans="1:5" x14ac:dyDescent="0.3">
      <c r="A3191" s="888" t="s">
        <v>2062</v>
      </c>
      <c r="B3191" s="888" t="s">
        <v>1954</v>
      </c>
      <c r="C3191" s="1008" t="s">
        <v>7146</v>
      </c>
      <c r="E3191" s="893" t="s">
        <v>4910</v>
      </c>
    </row>
    <row r="3192" spans="1:5" x14ac:dyDescent="0.3">
      <c r="A3192" s="888" t="s">
        <v>2062</v>
      </c>
      <c r="B3192" s="888" t="s">
        <v>1954</v>
      </c>
      <c r="C3192" s="1008" t="s">
        <v>7147</v>
      </c>
      <c r="E3192" s="893" t="str">
        <f>$E$3180</f>
        <v>SIP panels - EPS foam &amp; OSB</v>
      </c>
    </row>
    <row r="3193" spans="1:5" x14ac:dyDescent="0.3">
      <c r="A3193" s="888" t="s">
        <v>2062</v>
      </c>
      <c r="B3193" s="888" t="s">
        <v>1954</v>
      </c>
      <c r="C3193" s="1008" t="s">
        <v>7148</v>
      </c>
      <c r="E3193" s="893" t="str">
        <f>$E$3181</f>
        <v>SIPA</v>
      </c>
    </row>
    <row r="3194" spans="1:5" x14ac:dyDescent="0.3">
      <c r="A3194" s="888" t="s">
        <v>2062</v>
      </c>
      <c r="B3194" s="888" t="s">
        <v>1954</v>
      </c>
      <c r="C3194" s="1008" t="s">
        <v>7149</v>
      </c>
      <c r="E3194" s="893" t="str">
        <f>$E$3182</f>
        <v>Includes: ACME Panel, Enercept, Extreme Panel Technologies, FischerSIPS, Insulspan, Lamit, PorterCorp, Preflex, Premier Building Systems, Thermafoam R-Control, Urban Industries</v>
      </c>
    </row>
    <row r="3195" spans="1:5" x14ac:dyDescent="0.3">
      <c r="A3195" s="888" t="s">
        <v>2062</v>
      </c>
      <c r="B3195" s="888" t="s">
        <v>1954</v>
      </c>
      <c r="C3195" s="1008" t="s">
        <v>7150</v>
      </c>
      <c r="E3195" s="893" t="s">
        <v>4911</v>
      </c>
    </row>
    <row r="3196" spans="1:5" x14ac:dyDescent="0.3">
      <c r="A3196" s="888" t="s">
        <v>2062</v>
      </c>
      <c r="B3196" s="888" t="s">
        <v>1954</v>
      </c>
      <c r="C3196" s="1008" t="s">
        <v>7151</v>
      </c>
      <c r="E3196" s="893" t="str">
        <f>$E$3180</f>
        <v>SIP panels - EPS foam &amp; OSB</v>
      </c>
    </row>
    <row r="3197" spans="1:5" x14ac:dyDescent="0.3">
      <c r="A3197" s="888" t="s">
        <v>2062</v>
      </c>
      <c r="B3197" s="888" t="s">
        <v>1954</v>
      </c>
      <c r="C3197" s="1008" t="s">
        <v>7152</v>
      </c>
      <c r="E3197" s="893" t="str">
        <f>$E$3181</f>
        <v>SIPA</v>
      </c>
    </row>
    <row r="3198" spans="1:5" x14ac:dyDescent="0.3">
      <c r="A3198" s="888" t="s">
        <v>2062</v>
      </c>
      <c r="B3198" s="888" t="s">
        <v>1954</v>
      </c>
      <c r="C3198" s="1008" t="s">
        <v>7153</v>
      </c>
      <c r="E3198" s="893" t="str">
        <f>$E$3182</f>
        <v>Includes: ACME Panel, Enercept, Extreme Panel Technologies, FischerSIPS, Insulspan, Lamit, PorterCorp, Preflex, Premier Building Systems, Thermafoam R-Control, Urban Industries</v>
      </c>
    </row>
    <row r="3199" spans="1:5" x14ac:dyDescent="0.3">
      <c r="A3199" s="888" t="s">
        <v>2062</v>
      </c>
      <c r="B3199" s="888" t="s">
        <v>1954</v>
      </c>
      <c r="C3199" s="1008" t="s">
        <v>7154</v>
      </c>
      <c r="E3199" s="893" t="s">
        <v>4912</v>
      </c>
    </row>
    <row r="3200" spans="1:5" x14ac:dyDescent="0.3">
      <c r="A3200" s="888" t="s">
        <v>2062</v>
      </c>
      <c r="B3200" s="888" t="s">
        <v>1954</v>
      </c>
      <c r="C3200" s="888" t="s">
        <v>5868</v>
      </c>
      <c r="E3200" s="893" t="s">
        <v>1402</v>
      </c>
    </row>
    <row r="3201" spans="1:5" x14ac:dyDescent="0.3">
      <c r="A3201" s="888" t="s">
        <v>2062</v>
      </c>
      <c r="B3201" s="888" t="s">
        <v>1954</v>
      </c>
      <c r="C3201" s="888" t="s">
        <v>5869</v>
      </c>
      <c r="E3201" s="893" t="s">
        <v>1403</v>
      </c>
    </row>
    <row r="3202" spans="1:5" x14ac:dyDescent="0.3">
      <c r="A3202" s="888" t="s">
        <v>5870</v>
      </c>
      <c r="B3202" s="1019" t="s">
        <v>6763</v>
      </c>
      <c r="C3202" s="888" t="s">
        <v>5871</v>
      </c>
      <c r="D3202" s="888">
        <v>1</v>
      </c>
      <c r="E3202" s="893" t="s">
        <v>5872</v>
      </c>
    </row>
    <row r="3203" spans="1:5" x14ac:dyDescent="0.3">
      <c r="A3203" s="888" t="s">
        <v>5870</v>
      </c>
      <c r="B3203" s="1019" t="s">
        <v>6763</v>
      </c>
      <c r="C3203" s="888" t="s">
        <v>5873</v>
      </c>
      <c r="D3203" s="888">
        <v>1</v>
      </c>
      <c r="E3203" s="893" t="str">
        <f t="shared" ref="E3203:E3212" si="1">$E$3202</f>
        <v xml:space="preserve">Expired </v>
      </c>
    </row>
    <row r="3204" spans="1:5" x14ac:dyDescent="0.3">
      <c r="A3204" s="888" t="s">
        <v>5870</v>
      </c>
      <c r="B3204" s="1019" t="s">
        <v>6763</v>
      </c>
      <c r="C3204" s="888" t="s">
        <v>5874</v>
      </c>
      <c r="D3204" s="888">
        <v>1</v>
      </c>
      <c r="E3204" s="893" t="str">
        <f t="shared" si="1"/>
        <v xml:space="preserve">Expired </v>
      </c>
    </row>
    <row r="3205" spans="1:5" x14ac:dyDescent="0.3">
      <c r="A3205" s="888" t="s">
        <v>5870</v>
      </c>
      <c r="B3205" s="1019" t="s">
        <v>6763</v>
      </c>
      <c r="C3205" s="888" t="s">
        <v>5875</v>
      </c>
      <c r="D3205" s="888">
        <v>1</v>
      </c>
      <c r="E3205" s="893" t="str">
        <f t="shared" si="1"/>
        <v xml:space="preserve">Expired </v>
      </c>
    </row>
    <row r="3206" spans="1:5" x14ac:dyDescent="0.3">
      <c r="A3206" s="888" t="s">
        <v>5870</v>
      </c>
      <c r="B3206" s="1019" t="s">
        <v>6763</v>
      </c>
      <c r="C3206" s="888" t="s">
        <v>5876</v>
      </c>
      <c r="D3206" s="888">
        <v>1</v>
      </c>
      <c r="E3206" s="893" t="str">
        <f t="shared" si="1"/>
        <v xml:space="preserve">Expired </v>
      </c>
    </row>
    <row r="3207" spans="1:5" x14ac:dyDescent="0.3">
      <c r="A3207" s="888" t="s">
        <v>5870</v>
      </c>
      <c r="B3207" s="1019" t="s">
        <v>6763</v>
      </c>
      <c r="C3207" s="888" t="s">
        <v>5877</v>
      </c>
      <c r="D3207" s="888">
        <v>1</v>
      </c>
      <c r="E3207" s="893" t="str">
        <f t="shared" si="1"/>
        <v xml:space="preserve">Expired </v>
      </c>
    </row>
    <row r="3208" spans="1:5" x14ac:dyDescent="0.3">
      <c r="A3208" s="888" t="s">
        <v>5870</v>
      </c>
      <c r="B3208" s="1019" t="s">
        <v>6763</v>
      </c>
      <c r="C3208" s="888" t="s">
        <v>5878</v>
      </c>
      <c r="D3208" s="888">
        <v>1</v>
      </c>
      <c r="E3208" s="893" t="str">
        <f t="shared" si="1"/>
        <v xml:space="preserve">Expired </v>
      </c>
    </row>
    <row r="3209" spans="1:5" x14ac:dyDescent="0.3">
      <c r="A3209" s="888" t="s">
        <v>5870</v>
      </c>
      <c r="B3209" s="1019" t="s">
        <v>6763</v>
      </c>
      <c r="C3209" s="888" t="s">
        <v>5879</v>
      </c>
      <c r="D3209" s="888">
        <v>1</v>
      </c>
      <c r="E3209" s="893" t="str">
        <f t="shared" si="1"/>
        <v xml:space="preserve">Expired </v>
      </c>
    </row>
    <row r="3210" spans="1:5" x14ac:dyDescent="0.3">
      <c r="A3210" s="888" t="s">
        <v>5870</v>
      </c>
      <c r="B3210" s="1019" t="s">
        <v>6763</v>
      </c>
      <c r="C3210" s="888" t="s">
        <v>5880</v>
      </c>
      <c r="D3210" s="888">
        <v>1</v>
      </c>
      <c r="E3210" s="893" t="str">
        <f t="shared" si="1"/>
        <v xml:space="preserve">Expired </v>
      </c>
    </row>
    <row r="3211" spans="1:5" x14ac:dyDescent="0.3">
      <c r="A3211" s="888" t="s">
        <v>5870</v>
      </c>
      <c r="B3211" s="1019" t="s">
        <v>6763</v>
      </c>
      <c r="C3211" s="888" t="s">
        <v>5881</v>
      </c>
      <c r="D3211" s="888">
        <v>1</v>
      </c>
      <c r="E3211" s="893" t="str">
        <f t="shared" si="1"/>
        <v xml:space="preserve">Expired </v>
      </c>
    </row>
    <row r="3212" spans="1:5" x14ac:dyDescent="0.3">
      <c r="A3212" s="888" t="s">
        <v>5870</v>
      </c>
      <c r="B3212" s="1019" t="s">
        <v>6763</v>
      </c>
      <c r="C3212" s="888" t="s">
        <v>5882</v>
      </c>
      <c r="D3212" s="888">
        <v>1</v>
      </c>
      <c r="E3212" s="893" t="str">
        <f t="shared" si="1"/>
        <v xml:space="preserve">Expired </v>
      </c>
    </row>
    <row r="3213" spans="1:5" x14ac:dyDescent="0.3">
      <c r="A3213" s="888" t="s">
        <v>2062</v>
      </c>
      <c r="B3213" s="888" t="s">
        <v>1954</v>
      </c>
      <c r="C3213" s="888" t="s">
        <v>5883</v>
      </c>
      <c r="E3213" s="893" t="s">
        <v>1412</v>
      </c>
    </row>
    <row r="3214" spans="1:5" x14ac:dyDescent="0.3">
      <c r="A3214" s="888" t="s">
        <v>2062</v>
      </c>
      <c r="B3214" s="888" t="s">
        <v>1954</v>
      </c>
      <c r="C3214" s="888" t="s">
        <v>5884</v>
      </c>
      <c r="E3214" s="893" t="str">
        <f>$E$3213</f>
        <v>Multi-EPD average from EC3 Tool</v>
      </c>
    </row>
    <row r="3215" spans="1:5" x14ac:dyDescent="0.3">
      <c r="A3215" s="888" t="s">
        <v>2062</v>
      </c>
      <c r="B3215" s="888" t="s">
        <v>1954</v>
      </c>
      <c r="C3215" s="888" t="s">
        <v>5885</v>
      </c>
      <c r="E3215" s="893" t="str">
        <f>$E$3213</f>
        <v>Multi-EPD average from EC3 Tool</v>
      </c>
    </row>
    <row r="3216" spans="1:5" x14ac:dyDescent="0.3">
      <c r="A3216" s="888" t="s">
        <v>5870</v>
      </c>
      <c r="B3216" s="1019" t="s">
        <v>6763</v>
      </c>
      <c r="C3216" s="888" t="s">
        <v>5886</v>
      </c>
      <c r="D3216" s="888">
        <v>1</v>
      </c>
      <c r="E3216" s="893" t="str">
        <f t="shared" ref="E3216:E3225" si="2">$E$3202</f>
        <v xml:space="preserve">Expired </v>
      </c>
    </row>
    <row r="3217" spans="1:5" x14ac:dyDescent="0.3">
      <c r="A3217" s="888" t="s">
        <v>5870</v>
      </c>
      <c r="B3217" s="1019" t="s">
        <v>6763</v>
      </c>
      <c r="C3217" s="888" t="s">
        <v>5887</v>
      </c>
      <c r="D3217" s="888">
        <v>1</v>
      </c>
      <c r="E3217" s="893" t="str">
        <f t="shared" si="2"/>
        <v xml:space="preserve">Expired </v>
      </c>
    </row>
    <row r="3218" spans="1:5" x14ac:dyDescent="0.3">
      <c r="A3218" s="888" t="s">
        <v>5870</v>
      </c>
      <c r="B3218" s="1019" t="s">
        <v>6763</v>
      </c>
      <c r="C3218" s="888" t="s">
        <v>5888</v>
      </c>
      <c r="D3218" s="888">
        <v>1</v>
      </c>
      <c r="E3218" s="893" t="str">
        <f t="shared" si="2"/>
        <v xml:space="preserve">Expired </v>
      </c>
    </row>
    <row r="3219" spans="1:5" x14ac:dyDescent="0.3">
      <c r="A3219" s="888" t="s">
        <v>5870</v>
      </c>
      <c r="B3219" s="1019" t="s">
        <v>6763</v>
      </c>
      <c r="C3219" s="888" t="s">
        <v>5889</v>
      </c>
      <c r="D3219" s="888">
        <v>1</v>
      </c>
      <c r="E3219" s="893" t="str">
        <f t="shared" si="2"/>
        <v xml:space="preserve">Expired </v>
      </c>
    </row>
    <row r="3220" spans="1:5" x14ac:dyDescent="0.3">
      <c r="A3220" s="888" t="s">
        <v>5870</v>
      </c>
      <c r="B3220" s="1019" t="s">
        <v>6763</v>
      </c>
      <c r="C3220" s="888" t="s">
        <v>5890</v>
      </c>
      <c r="D3220" s="888">
        <v>1</v>
      </c>
      <c r="E3220" s="893" t="str">
        <f t="shared" si="2"/>
        <v xml:space="preserve">Expired </v>
      </c>
    </row>
    <row r="3221" spans="1:5" x14ac:dyDescent="0.3">
      <c r="A3221" s="888" t="s">
        <v>5870</v>
      </c>
      <c r="B3221" s="1019" t="s">
        <v>6763</v>
      </c>
      <c r="C3221" s="888" t="s">
        <v>5891</v>
      </c>
      <c r="D3221" s="888">
        <v>1</v>
      </c>
      <c r="E3221" s="893" t="str">
        <f t="shared" si="2"/>
        <v xml:space="preserve">Expired </v>
      </c>
    </row>
    <row r="3222" spans="1:5" x14ac:dyDescent="0.3">
      <c r="A3222" s="888" t="s">
        <v>5870</v>
      </c>
      <c r="B3222" s="1019" t="s">
        <v>6763</v>
      </c>
      <c r="C3222" s="888" t="s">
        <v>5892</v>
      </c>
      <c r="D3222" s="888">
        <v>1</v>
      </c>
      <c r="E3222" s="893" t="str">
        <f t="shared" si="2"/>
        <v xml:space="preserve">Expired </v>
      </c>
    </row>
    <row r="3223" spans="1:5" x14ac:dyDescent="0.3">
      <c r="A3223" s="888" t="s">
        <v>5870</v>
      </c>
      <c r="B3223" s="1019" t="s">
        <v>6763</v>
      </c>
      <c r="C3223" s="888" t="s">
        <v>5893</v>
      </c>
      <c r="D3223" s="888">
        <v>1</v>
      </c>
      <c r="E3223" s="893" t="str">
        <f t="shared" si="2"/>
        <v xml:space="preserve">Expired </v>
      </c>
    </row>
    <row r="3224" spans="1:5" x14ac:dyDescent="0.3">
      <c r="A3224" s="888" t="s">
        <v>5870</v>
      </c>
      <c r="B3224" s="1019" t="s">
        <v>6763</v>
      </c>
      <c r="C3224" s="888" t="s">
        <v>5894</v>
      </c>
      <c r="D3224" s="888">
        <v>1</v>
      </c>
      <c r="E3224" s="893" t="str">
        <f t="shared" si="2"/>
        <v xml:space="preserve">Expired </v>
      </c>
    </row>
    <row r="3225" spans="1:5" x14ac:dyDescent="0.3">
      <c r="A3225" s="888" t="s">
        <v>5870</v>
      </c>
      <c r="B3225" s="1019" t="s">
        <v>6763</v>
      </c>
      <c r="C3225" s="888" t="s">
        <v>5895</v>
      </c>
      <c r="D3225" s="888">
        <v>1</v>
      </c>
      <c r="E3225" s="893" t="str">
        <f t="shared" si="2"/>
        <v xml:space="preserve">Expired </v>
      </c>
    </row>
    <row r="3226" spans="1:5" x14ac:dyDescent="0.3">
      <c r="A3226" s="888" t="s">
        <v>2062</v>
      </c>
      <c r="B3226" s="888" t="s">
        <v>1954</v>
      </c>
      <c r="C3226" s="888" t="s">
        <v>5896</v>
      </c>
      <c r="E3226" s="893" t="s">
        <v>1411</v>
      </c>
    </row>
    <row r="3227" spans="1:5" x14ac:dyDescent="0.3">
      <c r="A3227" s="888" t="s">
        <v>5870</v>
      </c>
      <c r="B3227" s="1019" t="s">
        <v>6763</v>
      </c>
      <c r="C3227" s="888" t="s">
        <v>5897</v>
      </c>
      <c r="D3227" s="888">
        <v>1</v>
      </c>
      <c r="E3227" s="893" t="str">
        <f>$E$3202</f>
        <v xml:space="preserve">Expired </v>
      </c>
    </row>
    <row r="3228" spans="1:5" x14ac:dyDescent="0.3">
      <c r="A3228" s="888" t="s">
        <v>2062</v>
      </c>
      <c r="B3228" s="888" t="s">
        <v>1954</v>
      </c>
      <c r="C3228" s="888" t="s">
        <v>5898</v>
      </c>
      <c r="E3228" s="893" t="s">
        <v>1399</v>
      </c>
    </row>
    <row r="3229" spans="1:5" x14ac:dyDescent="0.3">
      <c r="A3229" s="888" t="s">
        <v>2062</v>
      </c>
      <c r="B3229" s="888" t="s">
        <v>1954</v>
      </c>
      <c r="C3229" s="888" t="s">
        <v>5899</v>
      </c>
      <c r="E3229" s="893" t="str">
        <f>$E$3228</f>
        <v>Peer-reviewed LCA</v>
      </c>
    </row>
    <row r="3230" spans="1:5" x14ac:dyDescent="0.3">
      <c r="A3230" s="888" t="s">
        <v>2062</v>
      </c>
      <c r="B3230" s="888" t="s">
        <v>1954</v>
      </c>
      <c r="C3230" s="888" t="s">
        <v>5900</v>
      </c>
      <c r="E3230" s="893" t="s">
        <v>1420</v>
      </c>
    </row>
    <row r="3231" spans="1:5" x14ac:dyDescent="0.3">
      <c r="A3231" s="888" t="s">
        <v>2062</v>
      </c>
      <c r="B3231" s="888" t="s">
        <v>1954</v>
      </c>
      <c r="C3231" s="888" t="s">
        <v>5901</v>
      </c>
      <c r="E3231" s="893" t="s">
        <v>1410</v>
      </c>
    </row>
    <row r="3232" spans="1:5" x14ac:dyDescent="0.3">
      <c r="A3232" s="888" t="s">
        <v>2062</v>
      </c>
      <c r="B3232" s="888" t="s">
        <v>1954</v>
      </c>
      <c r="C3232" s="888" t="s">
        <v>5902</v>
      </c>
      <c r="E3232" s="893" t="str">
        <f>$E$3231</f>
        <v>Peer-reviewed LCA, 2019</v>
      </c>
    </row>
    <row r="3233" spans="1:5" x14ac:dyDescent="0.3">
      <c r="A3233" s="888" t="s">
        <v>2062</v>
      </c>
      <c r="B3233" s="888" t="s">
        <v>1954</v>
      </c>
      <c r="C3233" s="888" t="s">
        <v>5903</v>
      </c>
      <c r="E3233" s="893" t="str">
        <f>$E$3231</f>
        <v>Peer-reviewed LCA, 2019</v>
      </c>
    </row>
    <row r="3234" spans="1:5" x14ac:dyDescent="0.3">
      <c r="A3234" s="888" t="s">
        <v>5870</v>
      </c>
      <c r="B3234" s="1019" t="s">
        <v>6763</v>
      </c>
      <c r="C3234" s="888" t="s">
        <v>5904</v>
      </c>
      <c r="D3234" s="888">
        <v>1</v>
      </c>
      <c r="E3234" s="893" t="str">
        <f t="shared" ref="E3234:E3272" si="3">$E$3202</f>
        <v xml:space="preserve">Expired </v>
      </c>
    </row>
    <row r="3235" spans="1:5" x14ac:dyDescent="0.3">
      <c r="A3235" s="888" t="s">
        <v>5870</v>
      </c>
      <c r="B3235" s="1019" t="s">
        <v>6763</v>
      </c>
      <c r="C3235" s="888" t="s">
        <v>5905</v>
      </c>
      <c r="D3235" s="888">
        <v>1</v>
      </c>
      <c r="E3235" s="893" t="str">
        <f t="shared" si="3"/>
        <v xml:space="preserve">Expired </v>
      </c>
    </row>
    <row r="3236" spans="1:5" x14ac:dyDescent="0.3">
      <c r="A3236" s="888" t="s">
        <v>5870</v>
      </c>
      <c r="B3236" s="1019" t="s">
        <v>6763</v>
      </c>
      <c r="C3236" s="888" t="s">
        <v>5906</v>
      </c>
      <c r="D3236" s="888">
        <v>1</v>
      </c>
      <c r="E3236" s="893" t="str">
        <f t="shared" si="3"/>
        <v xml:space="preserve">Expired </v>
      </c>
    </row>
    <row r="3237" spans="1:5" x14ac:dyDescent="0.3">
      <c r="A3237" s="888" t="s">
        <v>5870</v>
      </c>
      <c r="B3237" s="1019" t="s">
        <v>6763</v>
      </c>
      <c r="C3237" s="888" t="s">
        <v>5907</v>
      </c>
      <c r="D3237" s="888">
        <v>1</v>
      </c>
      <c r="E3237" s="893" t="str">
        <f t="shared" si="3"/>
        <v xml:space="preserve">Expired </v>
      </c>
    </row>
    <row r="3238" spans="1:5" x14ac:dyDescent="0.3">
      <c r="A3238" s="888" t="s">
        <v>5870</v>
      </c>
      <c r="B3238" s="1019" t="s">
        <v>6763</v>
      </c>
      <c r="C3238" s="888" t="s">
        <v>5908</v>
      </c>
      <c r="D3238" s="888">
        <v>1</v>
      </c>
      <c r="E3238" s="893" t="str">
        <f t="shared" si="3"/>
        <v xml:space="preserve">Expired </v>
      </c>
    </row>
    <row r="3239" spans="1:5" x14ac:dyDescent="0.3">
      <c r="A3239" s="888" t="s">
        <v>5870</v>
      </c>
      <c r="B3239" s="1019" t="s">
        <v>6763</v>
      </c>
      <c r="C3239" s="888" t="s">
        <v>5909</v>
      </c>
      <c r="D3239" s="888">
        <v>1</v>
      </c>
      <c r="E3239" s="893" t="str">
        <f t="shared" si="3"/>
        <v xml:space="preserve">Expired </v>
      </c>
    </row>
    <row r="3240" spans="1:5" x14ac:dyDescent="0.3">
      <c r="A3240" s="888" t="s">
        <v>5870</v>
      </c>
      <c r="B3240" s="1019" t="s">
        <v>6763</v>
      </c>
      <c r="C3240" s="888" t="s">
        <v>5910</v>
      </c>
      <c r="D3240" s="888">
        <v>1</v>
      </c>
      <c r="E3240" s="893" t="str">
        <f t="shared" si="3"/>
        <v xml:space="preserve">Expired </v>
      </c>
    </row>
    <row r="3241" spans="1:5" x14ac:dyDescent="0.3">
      <c r="A3241" s="888" t="s">
        <v>5870</v>
      </c>
      <c r="B3241" s="1019" t="s">
        <v>6763</v>
      </c>
      <c r="C3241" s="888" t="s">
        <v>5911</v>
      </c>
      <c r="D3241" s="888">
        <v>1</v>
      </c>
      <c r="E3241" s="893" t="str">
        <f t="shared" si="3"/>
        <v xml:space="preserve">Expired </v>
      </c>
    </row>
    <row r="3242" spans="1:5" x14ac:dyDescent="0.3">
      <c r="A3242" s="888" t="s">
        <v>5870</v>
      </c>
      <c r="B3242" s="1019" t="s">
        <v>6763</v>
      </c>
      <c r="C3242" s="888" t="s">
        <v>5912</v>
      </c>
      <c r="D3242" s="888">
        <v>1</v>
      </c>
      <c r="E3242" s="893" t="str">
        <f t="shared" si="3"/>
        <v xml:space="preserve">Expired </v>
      </c>
    </row>
    <row r="3243" spans="1:5" x14ac:dyDescent="0.3">
      <c r="A3243" s="888" t="s">
        <v>5870</v>
      </c>
      <c r="B3243" s="1019" t="s">
        <v>6763</v>
      </c>
      <c r="C3243" s="888" t="s">
        <v>5913</v>
      </c>
      <c r="D3243" s="888">
        <v>1</v>
      </c>
      <c r="E3243" s="893" t="str">
        <f t="shared" si="3"/>
        <v xml:space="preserve">Expired </v>
      </c>
    </row>
    <row r="3244" spans="1:5" x14ac:dyDescent="0.3">
      <c r="A3244" s="888" t="s">
        <v>5870</v>
      </c>
      <c r="B3244" s="1019" t="s">
        <v>6763</v>
      </c>
      <c r="C3244" s="888" t="s">
        <v>5914</v>
      </c>
      <c r="D3244" s="888">
        <v>1</v>
      </c>
      <c r="E3244" s="893" t="str">
        <f t="shared" si="3"/>
        <v xml:space="preserve">Expired </v>
      </c>
    </row>
    <row r="3245" spans="1:5" x14ac:dyDescent="0.3">
      <c r="A3245" s="888" t="s">
        <v>5870</v>
      </c>
      <c r="B3245" s="1019" t="s">
        <v>6763</v>
      </c>
      <c r="C3245" s="888" t="s">
        <v>5915</v>
      </c>
      <c r="D3245" s="888">
        <v>1</v>
      </c>
      <c r="E3245" s="893" t="str">
        <f t="shared" si="3"/>
        <v xml:space="preserve">Expired </v>
      </c>
    </row>
    <row r="3246" spans="1:5" x14ac:dyDescent="0.3">
      <c r="A3246" s="888" t="s">
        <v>5870</v>
      </c>
      <c r="B3246" s="1019" t="s">
        <v>6763</v>
      </c>
      <c r="C3246" s="888" t="s">
        <v>5916</v>
      </c>
      <c r="D3246" s="888">
        <v>1</v>
      </c>
      <c r="E3246" s="893" t="str">
        <f t="shared" si="3"/>
        <v xml:space="preserve">Expired </v>
      </c>
    </row>
    <row r="3247" spans="1:5" x14ac:dyDescent="0.3">
      <c r="A3247" s="888" t="s">
        <v>5870</v>
      </c>
      <c r="B3247" s="1019" t="s">
        <v>6763</v>
      </c>
      <c r="C3247" s="888" t="s">
        <v>5917</v>
      </c>
      <c r="D3247" s="888">
        <v>1</v>
      </c>
      <c r="E3247" s="893" t="str">
        <f t="shared" si="3"/>
        <v xml:space="preserve">Expired </v>
      </c>
    </row>
    <row r="3248" spans="1:5" x14ac:dyDescent="0.3">
      <c r="A3248" s="888" t="s">
        <v>5870</v>
      </c>
      <c r="B3248" s="1019" t="s">
        <v>6763</v>
      </c>
      <c r="C3248" s="888" t="s">
        <v>5918</v>
      </c>
      <c r="D3248" s="888">
        <v>1</v>
      </c>
      <c r="E3248" s="893" t="str">
        <f t="shared" si="3"/>
        <v xml:space="preserve">Expired </v>
      </c>
    </row>
    <row r="3249" spans="1:5" x14ac:dyDescent="0.3">
      <c r="A3249" s="888" t="s">
        <v>5870</v>
      </c>
      <c r="B3249" s="1019" t="s">
        <v>6763</v>
      </c>
      <c r="C3249" s="888" t="s">
        <v>5919</v>
      </c>
      <c r="D3249" s="888">
        <v>1</v>
      </c>
      <c r="E3249" s="893" t="str">
        <f t="shared" si="3"/>
        <v xml:space="preserve">Expired </v>
      </c>
    </row>
    <row r="3250" spans="1:5" x14ac:dyDescent="0.3">
      <c r="A3250" s="888" t="s">
        <v>5870</v>
      </c>
      <c r="B3250" s="1019" t="s">
        <v>6763</v>
      </c>
      <c r="C3250" s="888" t="s">
        <v>5920</v>
      </c>
      <c r="D3250" s="888">
        <v>1</v>
      </c>
      <c r="E3250" s="893" t="str">
        <f t="shared" si="3"/>
        <v xml:space="preserve">Expired </v>
      </c>
    </row>
    <row r="3251" spans="1:5" x14ac:dyDescent="0.3">
      <c r="A3251" s="888" t="s">
        <v>5870</v>
      </c>
      <c r="B3251" s="1019" t="s">
        <v>6763</v>
      </c>
      <c r="C3251" s="888" t="s">
        <v>5921</v>
      </c>
      <c r="D3251" s="888">
        <v>1</v>
      </c>
      <c r="E3251" s="893" t="str">
        <f t="shared" si="3"/>
        <v xml:space="preserve">Expired </v>
      </c>
    </row>
    <row r="3252" spans="1:5" x14ac:dyDescent="0.3">
      <c r="A3252" s="888" t="s">
        <v>5870</v>
      </c>
      <c r="B3252" s="1019" t="s">
        <v>6763</v>
      </c>
      <c r="C3252" s="888" t="s">
        <v>5922</v>
      </c>
      <c r="D3252" s="888">
        <v>1</v>
      </c>
      <c r="E3252" s="893" t="str">
        <f t="shared" si="3"/>
        <v xml:space="preserve">Expired </v>
      </c>
    </row>
    <row r="3253" spans="1:5" x14ac:dyDescent="0.3">
      <c r="A3253" s="888" t="s">
        <v>5870</v>
      </c>
      <c r="B3253" s="1019" t="s">
        <v>6763</v>
      </c>
      <c r="C3253" s="888" t="s">
        <v>5923</v>
      </c>
      <c r="D3253" s="888">
        <v>1</v>
      </c>
      <c r="E3253" s="893" t="str">
        <f t="shared" si="3"/>
        <v xml:space="preserve">Expired </v>
      </c>
    </row>
    <row r="3254" spans="1:5" x14ac:dyDescent="0.3">
      <c r="A3254" s="888" t="s">
        <v>5870</v>
      </c>
      <c r="B3254" s="1019" t="s">
        <v>6763</v>
      </c>
      <c r="C3254" s="888" t="s">
        <v>5924</v>
      </c>
      <c r="D3254" s="888">
        <v>1</v>
      </c>
      <c r="E3254" s="893" t="str">
        <f t="shared" si="3"/>
        <v xml:space="preserve">Expired </v>
      </c>
    </row>
    <row r="3255" spans="1:5" x14ac:dyDescent="0.3">
      <c r="A3255" s="888" t="s">
        <v>5870</v>
      </c>
      <c r="B3255" s="1019" t="s">
        <v>6763</v>
      </c>
      <c r="C3255" s="888" t="s">
        <v>5925</v>
      </c>
      <c r="D3255" s="888">
        <v>1</v>
      </c>
      <c r="E3255" s="893" t="str">
        <f t="shared" si="3"/>
        <v xml:space="preserve">Expired </v>
      </c>
    </row>
    <row r="3256" spans="1:5" x14ac:dyDescent="0.3">
      <c r="A3256" s="888" t="s">
        <v>5870</v>
      </c>
      <c r="B3256" s="1019" t="s">
        <v>6763</v>
      </c>
      <c r="C3256" s="888" t="s">
        <v>5926</v>
      </c>
      <c r="D3256" s="888">
        <v>1</v>
      </c>
      <c r="E3256" s="893" t="str">
        <f t="shared" si="3"/>
        <v xml:space="preserve">Expired </v>
      </c>
    </row>
    <row r="3257" spans="1:5" x14ac:dyDescent="0.3">
      <c r="A3257" s="888" t="s">
        <v>5870</v>
      </c>
      <c r="B3257" s="1019" t="s">
        <v>6763</v>
      </c>
      <c r="C3257" s="888" t="s">
        <v>5927</v>
      </c>
      <c r="D3257" s="888">
        <v>1</v>
      </c>
      <c r="E3257" s="893" t="str">
        <f t="shared" si="3"/>
        <v xml:space="preserve">Expired </v>
      </c>
    </row>
    <row r="3258" spans="1:5" x14ac:dyDescent="0.3">
      <c r="A3258" s="888" t="s">
        <v>5870</v>
      </c>
      <c r="B3258" s="1019" t="s">
        <v>6763</v>
      </c>
      <c r="C3258" s="888" t="s">
        <v>5928</v>
      </c>
      <c r="D3258" s="888">
        <v>1</v>
      </c>
      <c r="E3258" s="893" t="str">
        <f t="shared" si="3"/>
        <v xml:space="preserve">Expired </v>
      </c>
    </row>
    <row r="3259" spans="1:5" x14ac:dyDescent="0.3">
      <c r="A3259" s="888" t="s">
        <v>5870</v>
      </c>
      <c r="B3259" s="1019" t="s">
        <v>6763</v>
      </c>
      <c r="C3259" s="888" t="s">
        <v>5929</v>
      </c>
      <c r="D3259" s="888">
        <v>1</v>
      </c>
      <c r="E3259" s="893" t="str">
        <f t="shared" si="3"/>
        <v xml:space="preserve">Expired </v>
      </c>
    </row>
    <row r="3260" spans="1:5" x14ac:dyDescent="0.3">
      <c r="A3260" s="888" t="s">
        <v>5870</v>
      </c>
      <c r="B3260" s="1019" t="s">
        <v>6763</v>
      </c>
      <c r="C3260" s="888" t="s">
        <v>5930</v>
      </c>
      <c r="D3260" s="888">
        <v>1</v>
      </c>
      <c r="E3260" s="893" t="str">
        <f t="shared" si="3"/>
        <v xml:space="preserve">Expired </v>
      </c>
    </row>
    <row r="3261" spans="1:5" x14ac:dyDescent="0.3">
      <c r="A3261" s="888" t="s">
        <v>5870</v>
      </c>
      <c r="B3261" s="1019" t="s">
        <v>6763</v>
      </c>
      <c r="C3261" s="888" t="s">
        <v>5931</v>
      </c>
      <c r="D3261" s="888">
        <v>1</v>
      </c>
      <c r="E3261" s="893" t="str">
        <f t="shared" si="3"/>
        <v xml:space="preserve">Expired </v>
      </c>
    </row>
    <row r="3262" spans="1:5" x14ac:dyDescent="0.3">
      <c r="A3262" s="888" t="s">
        <v>5870</v>
      </c>
      <c r="B3262" s="1019" t="s">
        <v>6763</v>
      </c>
      <c r="C3262" s="888" t="s">
        <v>5932</v>
      </c>
      <c r="D3262" s="888">
        <v>1</v>
      </c>
      <c r="E3262" s="893" t="str">
        <f t="shared" si="3"/>
        <v xml:space="preserve">Expired </v>
      </c>
    </row>
    <row r="3263" spans="1:5" x14ac:dyDescent="0.3">
      <c r="A3263" s="888" t="s">
        <v>5870</v>
      </c>
      <c r="B3263" s="1019" t="s">
        <v>6763</v>
      </c>
      <c r="C3263" s="888" t="s">
        <v>5933</v>
      </c>
      <c r="D3263" s="888">
        <v>1</v>
      </c>
      <c r="E3263" s="893" t="str">
        <f t="shared" si="3"/>
        <v xml:space="preserve">Expired </v>
      </c>
    </row>
    <row r="3264" spans="1:5" x14ac:dyDescent="0.3">
      <c r="A3264" s="888" t="s">
        <v>5870</v>
      </c>
      <c r="B3264" s="1019" t="s">
        <v>6763</v>
      </c>
      <c r="C3264" s="888" t="s">
        <v>5934</v>
      </c>
      <c r="D3264" s="888">
        <v>1</v>
      </c>
      <c r="E3264" s="893" t="str">
        <f t="shared" si="3"/>
        <v xml:space="preserve">Expired </v>
      </c>
    </row>
    <row r="3265" spans="1:5" x14ac:dyDescent="0.3">
      <c r="A3265" s="888" t="s">
        <v>5870</v>
      </c>
      <c r="B3265" s="1019" t="s">
        <v>6763</v>
      </c>
      <c r="C3265" s="888" t="s">
        <v>5935</v>
      </c>
      <c r="D3265" s="888">
        <v>1</v>
      </c>
      <c r="E3265" s="893" t="str">
        <f t="shared" si="3"/>
        <v xml:space="preserve">Expired </v>
      </c>
    </row>
    <row r="3266" spans="1:5" x14ac:dyDescent="0.3">
      <c r="A3266" s="888" t="s">
        <v>5870</v>
      </c>
      <c r="B3266" s="1019" t="s">
        <v>6763</v>
      </c>
      <c r="C3266" s="888" t="s">
        <v>5936</v>
      </c>
      <c r="D3266" s="888">
        <v>1</v>
      </c>
      <c r="E3266" s="893" t="str">
        <f t="shared" si="3"/>
        <v xml:space="preserve">Expired </v>
      </c>
    </row>
    <row r="3267" spans="1:5" x14ac:dyDescent="0.3">
      <c r="A3267" s="888" t="s">
        <v>5870</v>
      </c>
      <c r="B3267" s="1019" t="s">
        <v>6763</v>
      </c>
      <c r="C3267" s="888" t="s">
        <v>5937</v>
      </c>
      <c r="D3267" s="888">
        <v>1</v>
      </c>
      <c r="E3267" s="893" t="str">
        <f t="shared" si="3"/>
        <v xml:space="preserve">Expired </v>
      </c>
    </row>
    <row r="3268" spans="1:5" x14ac:dyDescent="0.3">
      <c r="A3268" s="888" t="s">
        <v>5870</v>
      </c>
      <c r="B3268" s="1019" t="s">
        <v>6763</v>
      </c>
      <c r="C3268" s="888" t="s">
        <v>5938</v>
      </c>
      <c r="D3268" s="888">
        <v>1</v>
      </c>
      <c r="E3268" s="893" t="str">
        <f t="shared" si="3"/>
        <v xml:space="preserve">Expired </v>
      </c>
    </row>
    <row r="3269" spans="1:5" x14ac:dyDescent="0.3">
      <c r="A3269" s="888" t="s">
        <v>5870</v>
      </c>
      <c r="B3269" s="1019" t="s">
        <v>6763</v>
      </c>
      <c r="C3269" s="888" t="s">
        <v>5939</v>
      </c>
      <c r="D3269" s="888">
        <v>1</v>
      </c>
      <c r="E3269" s="893" t="str">
        <f t="shared" si="3"/>
        <v xml:space="preserve">Expired </v>
      </c>
    </row>
    <row r="3270" spans="1:5" x14ac:dyDescent="0.3">
      <c r="A3270" s="888" t="s">
        <v>5870</v>
      </c>
      <c r="B3270" s="1019" t="s">
        <v>6763</v>
      </c>
      <c r="C3270" s="888" t="s">
        <v>5940</v>
      </c>
      <c r="D3270" s="888">
        <v>1</v>
      </c>
      <c r="E3270" s="893" t="str">
        <f t="shared" si="3"/>
        <v xml:space="preserve">Expired </v>
      </c>
    </row>
    <row r="3271" spans="1:5" x14ac:dyDescent="0.3">
      <c r="A3271" s="888" t="s">
        <v>5870</v>
      </c>
      <c r="B3271" s="1019" t="s">
        <v>6763</v>
      </c>
      <c r="C3271" s="888" t="s">
        <v>5941</v>
      </c>
      <c r="D3271" s="888">
        <v>1</v>
      </c>
      <c r="E3271" s="893" t="str">
        <f t="shared" si="3"/>
        <v xml:space="preserve">Expired </v>
      </c>
    </row>
    <row r="3272" spans="1:5" x14ac:dyDescent="0.3">
      <c r="A3272" s="888" t="s">
        <v>5870</v>
      </c>
      <c r="B3272" s="1019" t="s">
        <v>6763</v>
      </c>
      <c r="C3272" s="888" t="s">
        <v>5942</v>
      </c>
      <c r="D3272" s="888">
        <v>1</v>
      </c>
      <c r="E3272" s="893" t="str">
        <f t="shared" si="3"/>
        <v xml:space="preserve">Expired </v>
      </c>
    </row>
    <row r="3273" spans="1:5" x14ac:dyDescent="0.3">
      <c r="A3273" s="888" t="s">
        <v>2062</v>
      </c>
      <c r="B3273" s="888" t="s">
        <v>1954</v>
      </c>
      <c r="C3273" s="888" t="s">
        <v>5943</v>
      </c>
      <c r="E3273" s="893" t="s">
        <v>1408</v>
      </c>
    </row>
    <row r="3274" spans="1:5" x14ac:dyDescent="0.3">
      <c r="A3274" s="888" t="s">
        <v>2062</v>
      </c>
      <c r="B3274" s="888" t="s">
        <v>1954</v>
      </c>
      <c r="C3274" s="888" t="s">
        <v>5944</v>
      </c>
      <c r="E3274" s="893" t="s">
        <v>1409</v>
      </c>
    </row>
    <row r="3275" spans="1:5" x14ac:dyDescent="0.3">
      <c r="A3275" s="888" t="s">
        <v>5870</v>
      </c>
      <c r="B3275" s="1019" t="s">
        <v>6763</v>
      </c>
      <c r="C3275" s="888" t="s">
        <v>5945</v>
      </c>
      <c r="D3275" s="888">
        <v>1</v>
      </c>
      <c r="E3275" s="893" t="str">
        <f t="shared" ref="E3275:E3281" si="4">$E$3202</f>
        <v xml:space="preserve">Expired </v>
      </c>
    </row>
    <row r="3276" spans="1:5" x14ac:dyDescent="0.3">
      <c r="A3276" s="888" t="s">
        <v>5870</v>
      </c>
      <c r="B3276" s="1019" t="s">
        <v>6763</v>
      </c>
      <c r="C3276" s="888" t="s">
        <v>5946</v>
      </c>
      <c r="D3276" s="888">
        <v>1</v>
      </c>
      <c r="E3276" s="893" t="str">
        <f t="shared" si="4"/>
        <v xml:space="preserve">Expired </v>
      </c>
    </row>
    <row r="3277" spans="1:5" x14ac:dyDescent="0.3">
      <c r="A3277" s="888" t="s">
        <v>5870</v>
      </c>
      <c r="B3277" s="1019" t="s">
        <v>6763</v>
      </c>
      <c r="C3277" s="888" t="s">
        <v>5947</v>
      </c>
      <c r="D3277" s="888">
        <v>1</v>
      </c>
      <c r="E3277" s="893" t="str">
        <f t="shared" si="4"/>
        <v xml:space="preserve">Expired </v>
      </c>
    </row>
    <row r="3278" spans="1:5" x14ac:dyDescent="0.3">
      <c r="A3278" s="888" t="s">
        <v>5870</v>
      </c>
      <c r="B3278" s="1019" t="s">
        <v>6763</v>
      </c>
      <c r="C3278" s="888" t="s">
        <v>5948</v>
      </c>
      <c r="D3278" s="888">
        <v>1</v>
      </c>
      <c r="E3278" s="893" t="str">
        <f t="shared" si="4"/>
        <v xml:space="preserve">Expired </v>
      </c>
    </row>
    <row r="3279" spans="1:5" x14ac:dyDescent="0.3">
      <c r="A3279" s="888" t="s">
        <v>5870</v>
      </c>
      <c r="B3279" s="1019" t="s">
        <v>6763</v>
      </c>
      <c r="C3279" s="888" t="s">
        <v>5949</v>
      </c>
      <c r="D3279" s="888">
        <v>1</v>
      </c>
      <c r="E3279" s="893" t="str">
        <f t="shared" si="4"/>
        <v xml:space="preserve">Expired </v>
      </c>
    </row>
    <row r="3280" spans="1:5" x14ac:dyDescent="0.3">
      <c r="A3280" s="888" t="s">
        <v>5870</v>
      </c>
      <c r="B3280" s="1019" t="s">
        <v>6763</v>
      </c>
      <c r="C3280" s="888" t="s">
        <v>5950</v>
      </c>
      <c r="D3280" s="888">
        <v>1</v>
      </c>
      <c r="E3280" s="893" t="str">
        <f t="shared" si="4"/>
        <v xml:space="preserve">Expired </v>
      </c>
    </row>
    <row r="3281" spans="1:5" x14ac:dyDescent="0.3">
      <c r="A3281" s="888" t="s">
        <v>5870</v>
      </c>
      <c r="B3281" s="1019" t="s">
        <v>6763</v>
      </c>
      <c r="C3281" s="888" t="s">
        <v>5951</v>
      </c>
      <c r="D3281" s="888">
        <v>1</v>
      </c>
      <c r="E3281" s="893" t="str">
        <f t="shared" si="4"/>
        <v xml:space="preserve">Expired </v>
      </c>
    </row>
    <row r="3282" spans="1:5" x14ac:dyDescent="0.3">
      <c r="A3282" s="888" t="s">
        <v>2062</v>
      </c>
      <c r="B3282" s="888" t="s">
        <v>1954</v>
      </c>
      <c r="C3282" s="888" t="s">
        <v>5952</v>
      </c>
      <c r="E3282" s="893" t="s">
        <v>4785</v>
      </c>
    </row>
    <row r="3283" spans="1:5" x14ac:dyDescent="0.3">
      <c r="A3283" s="888" t="s">
        <v>5870</v>
      </c>
      <c r="B3283" s="1019" t="s">
        <v>6763</v>
      </c>
      <c r="C3283" s="888" t="s">
        <v>5953</v>
      </c>
      <c r="D3283" s="888">
        <v>1</v>
      </c>
      <c r="E3283" s="893" t="str">
        <f>$E$3202</f>
        <v xml:space="preserve">Expired </v>
      </c>
    </row>
    <row r="3284" spans="1:5" x14ac:dyDescent="0.3">
      <c r="A3284" s="888" t="s">
        <v>5870</v>
      </c>
      <c r="B3284" s="1019" t="s">
        <v>6763</v>
      </c>
      <c r="C3284" s="888" t="s">
        <v>5954</v>
      </c>
      <c r="D3284" s="888">
        <v>1</v>
      </c>
      <c r="E3284" s="893" t="str">
        <f>$E$3202</f>
        <v xml:space="preserve">Expired </v>
      </c>
    </row>
    <row r="3285" spans="1:5" x14ac:dyDescent="0.3">
      <c r="A3285" s="888" t="s">
        <v>2062</v>
      </c>
      <c r="B3285" s="888" t="s">
        <v>1954</v>
      </c>
      <c r="C3285" s="888" t="s">
        <v>5955</v>
      </c>
      <c r="E3285" s="893" t="s">
        <v>1407</v>
      </c>
    </row>
    <row r="3286" spans="1:5" x14ac:dyDescent="0.3">
      <c r="A3286" s="888" t="s">
        <v>5870</v>
      </c>
      <c r="B3286" s="1019" t="s">
        <v>6763</v>
      </c>
      <c r="C3286" s="888" t="s">
        <v>5956</v>
      </c>
      <c r="D3286" s="888">
        <v>1</v>
      </c>
      <c r="E3286" s="893" t="str">
        <f t="shared" ref="E3286:E3295" si="5">$E$3202</f>
        <v xml:space="preserve">Expired </v>
      </c>
    </row>
    <row r="3287" spans="1:5" x14ac:dyDescent="0.3">
      <c r="A3287" s="888" t="s">
        <v>5870</v>
      </c>
      <c r="B3287" s="1019" t="s">
        <v>6763</v>
      </c>
      <c r="C3287" s="888" t="s">
        <v>5957</v>
      </c>
      <c r="D3287" s="888">
        <v>1</v>
      </c>
      <c r="E3287" s="893" t="str">
        <f t="shared" si="5"/>
        <v xml:space="preserve">Expired </v>
      </c>
    </row>
    <row r="3288" spans="1:5" x14ac:dyDescent="0.3">
      <c r="A3288" s="888" t="s">
        <v>5870</v>
      </c>
      <c r="B3288" s="1019" t="s">
        <v>6763</v>
      </c>
      <c r="C3288" s="888" t="s">
        <v>5958</v>
      </c>
      <c r="D3288" s="888">
        <v>1</v>
      </c>
      <c r="E3288" s="893" t="str">
        <f t="shared" si="5"/>
        <v xml:space="preserve">Expired </v>
      </c>
    </row>
    <row r="3289" spans="1:5" x14ac:dyDescent="0.3">
      <c r="A3289" s="888" t="s">
        <v>5870</v>
      </c>
      <c r="B3289" s="1019" t="s">
        <v>6763</v>
      </c>
      <c r="C3289" s="888" t="s">
        <v>5959</v>
      </c>
      <c r="D3289" s="888">
        <v>1</v>
      </c>
      <c r="E3289" s="893" t="str">
        <f t="shared" si="5"/>
        <v xml:space="preserve">Expired </v>
      </c>
    </row>
    <row r="3290" spans="1:5" x14ac:dyDescent="0.3">
      <c r="A3290" s="888" t="s">
        <v>5870</v>
      </c>
      <c r="B3290" s="1019" t="s">
        <v>6763</v>
      </c>
      <c r="C3290" s="888" t="s">
        <v>5960</v>
      </c>
      <c r="D3290" s="888">
        <v>1</v>
      </c>
      <c r="E3290" s="893" t="str">
        <f t="shared" si="5"/>
        <v xml:space="preserve">Expired </v>
      </c>
    </row>
    <row r="3291" spans="1:5" x14ac:dyDescent="0.3">
      <c r="A3291" s="888" t="s">
        <v>5870</v>
      </c>
      <c r="B3291" s="1019" t="s">
        <v>6763</v>
      </c>
      <c r="C3291" s="888" t="s">
        <v>5961</v>
      </c>
      <c r="D3291" s="888">
        <v>1</v>
      </c>
      <c r="E3291" s="893" t="str">
        <f t="shared" si="5"/>
        <v xml:space="preserve">Expired </v>
      </c>
    </row>
    <row r="3292" spans="1:5" x14ac:dyDescent="0.3">
      <c r="A3292" s="888" t="s">
        <v>5870</v>
      </c>
      <c r="B3292" s="1019" t="s">
        <v>6763</v>
      </c>
      <c r="C3292" s="888" t="s">
        <v>5962</v>
      </c>
      <c r="D3292" s="888">
        <v>1</v>
      </c>
      <c r="E3292" s="893" t="str">
        <f t="shared" si="5"/>
        <v xml:space="preserve">Expired </v>
      </c>
    </row>
    <row r="3293" spans="1:5" x14ac:dyDescent="0.3">
      <c r="A3293" s="888" t="s">
        <v>5870</v>
      </c>
      <c r="B3293" s="1019" t="s">
        <v>6763</v>
      </c>
      <c r="C3293" s="888" t="s">
        <v>5963</v>
      </c>
      <c r="D3293" s="888">
        <v>1</v>
      </c>
      <c r="E3293" s="893" t="str">
        <f t="shared" si="5"/>
        <v xml:space="preserve">Expired </v>
      </c>
    </row>
    <row r="3294" spans="1:5" x14ac:dyDescent="0.3">
      <c r="A3294" s="888" t="s">
        <v>5870</v>
      </c>
      <c r="B3294" s="1019" t="s">
        <v>6763</v>
      </c>
      <c r="C3294" s="888" t="s">
        <v>5964</v>
      </c>
      <c r="D3294" s="888">
        <v>1</v>
      </c>
      <c r="E3294" s="893" t="str">
        <f t="shared" si="5"/>
        <v xml:space="preserve">Expired </v>
      </c>
    </row>
    <row r="3295" spans="1:5" x14ac:dyDescent="0.3">
      <c r="A3295" s="888" t="s">
        <v>5870</v>
      </c>
      <c r="B3295" s="1019" t="s">
        <v>6763</v>
      </c>
      <c r="C3295" s="888" t="s">
        <v>5965</v>
      </c>
      <c r="D3295" s="888">
        <v>1</v>
      </c>
      <c r="E3295" s="893" t="str">
        <f t="shared" si="5"/>
        <v xml:space="preserve">Expired </v>
      </c>
    </row>
    <row r="3296" spans="1:5" x14ac:dyDescent="0.3">
      <c r="A3296" s="888" t="s">
        <v>2062</v>
      </c>
      <c r="B3296" s="888" t="s">
        <v>1954</v>
      </c>
      <c r="C3296" s="1008" t="s">
        <v>6902</v>
      </c>
      <c r="E3296" s="893" t="s">
        <v>1406</v>
      </c>
    </row>
    <row r="3297" spans="1:5" x14ac:dyDescent="0.3">
      <c r="A3297" s="888" t="s">
        <v>5870</v>
      </c>
      <c r="B3297" s="1019" t="s">
        <v>6763</v>
      </c>
      <c r="C3297" s="888" t="s">
        <v>5966</v>
      </c>
      <c r="D3297" s="888">
        <v>1</v>
      </c>
      <c r="E3297" s="893" t="str">
        <f>$E$3202</f>
        <v xml:space="preserve">Expired </v>
      </c>
    </row>
    <row r="3298" spans="1:5" x14ac:dyDescent="0.3">
      <c r="A3298" s="888" t="s">
        <v>2062</v>
      </c>
      <c r="B3298" s="888" t="s">
        <v>1954</v>
      </c>
      <c r="C3298" s="1008" t="s">
        <v>6906</v>
      </c>
      <c r="E3298" s="893" t="str">
        <f>$E$3228</f>
        <v>Peer-reviewed LCA</v>
      </c>
    </row>
    <row r="3299" spans="1:5" x14ac:dyDescent="0.3">
      <c r="A3299" s="888" t="s">
        <v>2062</v>
      </c>
      <c r="B3299" s="888" t="s">
        <v>1954</v>
      </c>
      <c r="C3299" s="1008" t="s">
        <v>5967</v>
      </c>
      <c r="E3299" s="893" t="str">
        <f>$E$3296</f>
        <v>ICE Database (UK)</v>
      </c>
    </row>
    <row r="3300" spans="1:5" x14ac:dyDescent="0.3">
      <c r="A3300" s="888" t="s">
        <v>2062</v>
      </c>
      <c r="B3300" s="888" t="s">
        <v>1954</v>
      </c>
      <c r="C3300" s="1008" t="s">
        <v>5968</v>
      </c>
      <c r="E3300" s="893" t="str">
        <f>$E$3296</f>
        <v>ICE Database (UK)</v>
      </c>
    </row>
    <row r="3301" spans="1:5" x14ac:dyDescent="0.3">
      <c r="A3301" s="888" t="s">
        <v>5870</v>
      </c>
      <c r="B3301" s="1019" t="s">
        <v>6763</v>
      </c>
      <c r="C3301" s="888" t="s">
        <v>5967</v>
      </c>
      <c r="D3301" s="888">
        <v>1</v>
      </c>
      <c r="E3301" s="893" t="str">
        <f>$E$3202</f>
        <v xml:space="preserve">Expired </v>
      </c>
    </row>
    <row r="3302" spans="1:5" x14ac:dyDescent="0.3">
      <c r="A3302" s="888" t="s">
        <v>5870</v>
      </c>
      <c r="B3302" s="1019" t="s">
        <v>6763</v>
      </c>
      <c r="C3302" s="888" t="s">
        <v>5968</v>
      </c>
      <c r="D3302" s="888">
        <v>1</v>
      </c>
      <c r="E3302" s="893" t="str">
        <f>$E$3202</f>
        <v xml:space="preserve">Expired </v>
      </c>
    </row>
    <row r="3303" spans="1:5" x14ac:dyDescent="0.3">
      <c r="A3303" s="888" t="s">
        <v>5870</v>
      </c>
      <c r="B3303" s="1019" t="s">
        <v>6763</v>
      </c>
      <c r="C3303" s="888" t="s">
        <v>5969</v>
      </c>
      <c r="D3303" s="888">
        <v>1</v>
      </c>
      <c r="E3303" s="893" t="str">
        <f>$E$3202</f>
        <v xml:space="preserve">Expired </v>
      </c>
    </row>
    <row r="3304" spans="1:5" x14ac:dyDescent="0.3">
      <c r="A3304" s="888" t="s">
        <v>2062</v>
      </c>
      <c r="B3304" s="888" t="s">
        <v>1954</v>
      </c>
      <c r="C3304" s="1008" t="s">
        <v>6917</v>
      </c>
      <c r="E3304" s="893" t="s">
        <v>1200</v>
      </c>
    </row>
    <row r="3305" spans="1:5" x14ac:dyDescent="0.3">
      <c r="A3305" s="888" t="s">
        <v>5870</v>
      </c>
      <c r="B3305" s="1019" t="s">
        <v>6763</v>
      </c>
      <c r="C3305" s="888" t="s">
        <v>5970</v>
      </c>
      <c r="D3305" s="888">
        <v>1</v>
      </c>
      <c r="E3305" s="893" t="str">
        <f t="shared" ref="E3305:E3319" si="6">$E$3202</f>
        <v xml:space="preserve">Expired </v>
      </c>
    </row>
    <row r="3306" spans="1:5" x14ac:dyDescent="0.3">
      <c r="A3306" s="888" t="s">
        <v>5870</v>
      </c>
      <c r="B3306" s="1019" t="s">
        <v>6763</v>
      </c>
      <c r="C3306" s="888" t="s">
        <v>5971</v>
      </c>
      <c r="D3306" s="888">
        <v>1</v>
      </c>
      <c r="E3306" s="893" t="str">
        <f t="shared" si="6"/>
        <v xml:space="preserve">Expired </v>
      </c>
    </row>
    <row r="3307" spans="1:5" x14ac:dyDescent="0.3">
      <c r="A3307" s="888" t="s">
        <v>5870</v>
      </c>
      <c r="B3307" s="1019" t="s">
        <v>6763</v>
      </c>
      <c r="C3307" s="888" t="s">
        <v>5972</v>
      </c>
      <c r="D3307" s="888">
        <v>1</v>
      </c>
      <c r="E3307" s="893" t="str">
        <f t="shared" si="6"/>
        <v xml:space="preserve">Expired </v>
      </c>
    </row>
    <row r="3308" spans="1:5" x14ac:dyDescent="0.3">
      <c r="A3308" s="888" t="s">
        <v>5870</v>
      </c>
      <c r="B3308" s="1019" t="s">
        <v>6763</v>
      </c>
      <c r="C3308" s="888" t="s">
        <v>5973</v>
      </c>
      <c r="D3308" s="888">
        <v>1</v>
      </c>
      <c r="E3308" s="893" t="str">
        <f t="shared" si="6"/>
        <v xml:space="preserve">Expired </v>
      </c>
    </row>
    <row r="3309" spans="1:5" x14ac:dyDescent="0.3">
      <c r="A3309" s="888" t="s">
        <v>5870</v>
      </c>
      <c r="B3309" s="1019" t="s">
        <v>6763</v>
      </c>
      <c r="C3309" s="888" t="s">
        <v>5974</v>
      </c>
      <c r="D3309" s="888">
        <v>1</v>
      </c>
      <c r="E3309" s="893" t="str">
        <f t="shared" si="6"/>
        <v xml:space="preserve">Expired </v>
      </c>
    </row>
    <row r="3310" spans="1:5" x14ac:dyDescent="0.3">
      <c r="A3310" s="888" t="s">
        <v>5870</v>
      </c>
      <c r="B3310" s="1019" t="s">
        <v>6763</v>
      </c>
      <c r="C3310" s="888" t="s">
        <v>5975</v>
      </c>
      <c r="D3310" s="888">
        <v>1</v>
      </c>
      <c r="E3310" s="893" t="str">
        <f t="shared" si="6"/>
        <v xml:space="preserve">Expired </v>
      </c>
    </row>
    <row r="3311" spans="1:5" x14ac:dyDescent="0.3">
      <c r="A3311" s="888" t="s">
        <v>5870</v>
      </c>
      <c r="B3311" s="1019" t="s">
        <v>6763</v>
      </c>
      <c r="C3311" s="888" t="s">
        <v>5976</v>
      </c>
      <c r="D3311" s="888">
        <v>1</v>
      </c>
      <c r="E3311" s="893" t="str">
        <f t="shared" si="6"/>
        <v xml:space="preserve">Expired </v>
      </c>
    </row>
    <row r="3312" spans="1:5" x14ac:dyDescent="0.3">
      <c r="A3312" s="888" t="s">
        <v>5870</v>
      </c>
      <c r="B3312" s="1019" t="s">
        <v>6763</v>
      </c>
      <c r="C3312" s="888" t="s">
        <v>5977</v>
      </c>
      <c r="D3312" s="888">
        <v>1</v>
      </c>
      <c r="E3312" s="893" t="str">
        <f t="shared" si="6"/>
        <v xml:space="preserve">Expired </v>
      </c>
    </row>
    <row r="3313" spans="1:5" x14ac:dyDescent="0.3">
      <c r="A3313" s="888" t="s">
        <v>5870</v>
      </c>
      <c r="B3313" s="1019" t="s">
        <v>6763</v>
      </c>
      <c r="C3313" s="888" t="s">
        <v>5978</v>
      </c>
      <c r="D3313" s="888">
        <v>1</v>
      </c>
      <c r="E3313" s="893" t="str">
        <f t="shared" si="6"/>
        <v xml:space="preserve">Expired </v>
      </c>
    </row>
    <row r="3314" spans="1:5" x14ac:dyDescent="0.3">
      <c r="A3314" s="888" t="s">
        <v>5870</v>
      </c>
      <c r="B3314" s="1019" t="s">
        <v>6763</v>
      </c>
      <c r="C3314" s="888" t="s">
        <v>5979</v>
      </c>
      <c r="D3314" s="888">
        <v>1</v>
      </c>
      <c r="E3314" s="893" t="str">
        <f t="shared" si="6"/>
        <v xml:space="preserve">Expired </v>
      </c>
    </row>
    <row r="3315" spans="1:5" x14ac:dyDescent="0.3">
      <c r="A3315" s="888" t="s">
        <v>5870</v>
      </c>
      <c r="B3315" s="1019" t="s">
        <v>6763</v>
      </c>
      <c r="C3315" s="888" t="s">
        <v>5980</v>
      </c>
      <c r="D3315" s="888">
        <v>1</v>
      </c>
      <c r="E3315" s="893" t="str">
        <f t="shared" si="6"/>
        <v xml:space="preserve">Expired </v>
      </c>
    </row>
    <row r="3316" spans="1:5" x14ac:dyDescent="0.3">
      <c r="A3316" s="888" t="s">
        <v>5870</v>
      </c>
      <c r="B3316" s="1019" t="s">
        <v>6763</v>
      </c>
      <c r="C3316" s="888" t="s">
        <v>5981</v>
      </c>
      <c r="D3316" s="888">
        <v>1</v>
      </c>
      <c r="E3316" s="893" t="str">
        <f t="shared" si="6"/>
        <v xml:space="preserve">Expired </v>
      </c>
    </row>
    <row r="3317" spans="1:5" x14ac:dyDescent="0.3">
      <c r="A3317" s="888" t="s">
        <v>5870</v>
      </c>
      <c r="B3317" s="1019" t="s">
        <v>6763</v>
      </c>
      <c r="C3317" s="888" t="s">
        <v>5982</v>
      </c>
      <c r="D3317" s="888">
        <v>1</v>
      </c>
      <c r="E3317" s="893" t="str">
        <f t="shared" si="6"/>
        <v xml:space="preserve">Expired </v>
      </c>
    </row>
    <row r="3318" spans="1:5" x14ac:dyDescent="0.3">
      <c r="A3318" s="888" t="s">
        <v>5870</v>
      </c>
      <c r="B3318" s="1019" t="s">
        <v>6763</v>
      </c>
      <c r="C3318" s="888" t="s">
        <v>5983</v>
      </c>
      <c r="D3318" s="888">
        <v>1</v>
      </c>
      <c r="E3318" s="893" t="str">
        <f t="shared" si="6"/>
        <v xml:space="preserve">Expired </v>
      </c>
    </row>
    <row r="3319" spans="1:5" x14ac:dyDescent="0.3">
      <c r="A3319" s="888" t="s">
        <v>5870</v>
      </c>
      <c r="B3319" s="1019" t="s">
        <v>6763</v>
      </c>
      <c r="C3319" s="888" t="s">
        <v>5984</v>
      </c>
      <c r="D3319" s="888">
        <v>1</v>
      </c>
      <c r="E3319" s="893" t="str">
        <f t="shared" si="6"/>
        <v xml:space="preserve">Expired </v>
      </c>
    </row>
    <row r="3320" spans="1:5" x14ac:dyDescent="0.3">
      <c r="A3320" s="888" t="s">
        <v>2062</v>
      </c>
      <c r="B3320" s="888" t="s">
        <v>1954</v>
      </c>
      <c r="C3320" s="1008" t="s">
        <v>5985</v>
      </c>
      <c r="E3320" s="893" t="s">
        <v>1134</v>
      </c>
    </row>
    <row r="3321" spans="1:5" x14ac:dyDescent="0.3">
      <c r="A3321" s="888" t="s">
        <v>2062</v>
      </c>
      <c r="B3321" s="888" t="s">
        <v>1954</v>
      </c>
      <c r="C3321" s="1008" t="s">
        <v>6969</v>
      </c>
      <c r="E3321" s="893" t="str">
        <f t="shared" ref="E3321:E3327" si="7">$E$3320</f>
        <v>BfCA Study (Tally)</v>
      </c>
    </row>
    <row r="3322" spans="1:5" x14ac:dyDescent="0.3">
      <c r="A3322" s="888" t="s">
        <v>2062</v>
      </c>
      <c r="B3322" s="888" t="s">
        <v>1954</v>
      </c>
      <c r="C3322" s="1008" t="s">
        <v>6972</v>
      </c>
      <c r="E3322" s="893" t="str">
        <f t="shared" si="7"/>
        <v>BfCA Study (Tally)</v>
      </c>
    </row>
    <row r="3323" spans="1:5" x14ac:dyDescent="0.3">
      <c r="A3323" s="888" t="s">
        <v>2062</v>
      </c>
      <c r="B3323" s="888" t="s">
        <v>1954</v>
      </c>
      <c r="C3323" s="1008" t="s">
        <v>6975</v>
      </c>
      <c r="E3323" s="893" t="str">
        <f t="shared" si="7"/>
        <v>BfCA Study (Tally)</v>
      </c>
    </row>
    <row r="3324" spans="1:5" x14ac:dyDescent="0.3">
      <c r="A3324" s="888" t="s">
        <v>2062</v>
      </c>
      <c r="B3324" s="888" t="s">
        <v>1954</v>
      </c>
      <c r="C3324" s="1008" t="s">
        <v>5986</v>
      </c>
      <c r="E3324" s="893" t="str">
        <f t="shared" si="7"/>
        <v>BfCA Study (Tally)</v>
      </c>
    </row>
    <row r="3325" spans="1:5" x14ac:dyDescent="0.3">
      <c r="A3325" s="888" t="s">
        <v>2062</v>
      </c>
      <c r="B3325" s="888" t="s">
        <v>1954</v>
      </c>
      <c r="C3325" s="1008" t="s">
        <v>5987</v>
      </c>
      <c r="E3325" s="893" t="str">
        <f t="shared" si="7"/>
        <v>BfCA Study (Tally)</v>
      </c>
    </row>
    <row r="3326" spans="1:5" x14ac:dyDescent="0.3">
      <c r="A3326" s="888" t="s">
        <v>2062</v>
      </c>
      <c r="B3326" s="888" t="s">
        <v>1954</v>
      </c>
      <c r="C3326" s="1008" t="s">
        <v>6978</v>
      </c>
      <c r="E3326" s="893" t="str">
        <f t="shared" si="7"/>
        <v>BfCA Study (Tally)</v>
      </c>
    </row>
    <row r="3327" spans="1:5" x14ac:dyDescent="0.3">
      <c r="A3327" s="888" t="s">
        <v>2062</v>
      </c>
      <c r="B3327" s="888" t="s">
        <v>1954</v>
      </c>
      <c r="C3327" s="1008" t="s">
        <v>6981</v>
      </c>
      <c r="E3327" s="893" t="str">
        <f t="shared" si="7"/>
        <v>BfCA Study (Tally)</v>
      </c>
    </row>
    <row r="3328" spans="1:5" x14ac:dyDescent="0.3">
      <c r="A3328" s="888" t="s">
        <v>2062</v>
      </c>
      <c r="B3328" s="888" t="s">
        <v>1954</v>
      </c>
      <c r="C3328" s="1008" t="s">
        <v>6982</v>
      </c>
      <c r="E3328" s="893" t="s">
        <v>1405</v>
      </c>
    </row>
    <row r="3329" spans="1:5" x14ac:dyDescent="0.3">
      <c r="A3329" s="888" t="s">
        <v>2062</v>
      </c>
      <c r="B3329" s="888" t="s">
        <v>1954</v>
      </c>
      <c r="C3329" s="1008" t="s">
        <v>6986</v>
      </c>
      <c r="E3329" s="893" t="str">
        <f>$E$3328</f>
        <v>Indedpendent LCA</v>
      </c>
    </row>
    <row r="3330" spans="1:5" x14ac:dyDescent="0.3">
      <c r="A3330" s="888" t="s">
        <v>5870</v>
      </c>
      <c r="B3330" s="1019" t="s">
        <v>6763</v>
      </c>
      <c r="C3330" s="888" t="s">
        <v>5988</v>
      </c>
      <c r="D3330" s="888">
        <v>1</v>
      </c>
      <c r="E3330" s="893" t="str">
        <f t="shared" ref="E3330:E3338" si="8">$E$3202</f>
        <v xml:space="preserve">Expired </v>
      </c>
    </row>
    <row r="3331" spans="1:5" x14ac:dyDescent="0.3">
      <c r="A3331" s="888" t="s">
        <v>5870</v>
      </c>
      <c r="B3331" s="1019" t="s">
        <v>6763</v>
      </c>
      <c r="C3331" s="888" t="s">
        <v>5989</v>
      </c>
      <c r="D3331" s="888">
        <v>1</v>
      </c>
      <c r="E3331" s="893" t="str">
        <f t="shared" si="8"/>
        <v xml:space="preserve">Expired </v>
      </c>
    </row>
    <row r="3332" spans="1:5" x14ac:dyDescent="0.3">
      <c r="A3332" s="888" t="s">
        <v>5870</v>
      </c>
      <c r="B3332" s="1019" t="s">
        <v>6763</v>
      </c>
      <c r="C3332" s="888" t="s">
        <v>5990</v>
      </c>
      <c r="D3332" s="888">
        <v>1</v>
      </c>
      <c r="E3332" s="893" t="str">
        <f t="shared" si="8"/>
        <v xml:space="preserve">Expired </v>
      </c>
    </row>
    <row r="3333" spans="1:5" x14ac:dyDescent="0.3">
      <c r="A3333" s="888" t="s">
        <v>5870</v>
      </c>
      <c r="B3333" s="1019" t="s">
        <v>6763</v>
      </c>
      <c r="C3333" s="888" t="s">
        <v>5991</v>
      </c>
      <c r="D3333" s="888">
        <v>1</v>
      </c>
      <c r="E3333" s="893" t="str">
        <f t="shared" si="8"/>
        <v xml:space="preserve">Expired </v>
      </c>
    </row>
    <row r="3334" spans="1:5" x14ac:dyDescent="0.3">
      <c r="A3334" s="888" t="s">
        <v>5870</v>
      </c>
      <c r="B3334" s="1019" t="s">
        <v>6763</v>
      </c>
      <c r="C3334" s="888" t="s">
        <v>5992</v>
      </c>
      <c r="D3334" s="888">
        <v>1</v>
      </c>
      <c r="E3334" s="893" t="str">
        <f t="shared" si="8"/>
        <v xml:space="preserve">Expired </v>
      </c>
    </row>
    <row r="3335" spans="1:5" x14ac:dyDescent="0.3">
      <c r="A3335" s="888" t="s">
        <v>5870</v>
      </c>
      <c r="B3335" s="1019" t="s">
        <v>6763</v>
      </c>
      <c r="C3335" s="888" t="s">
        <v>5993</v>
      </c>
      <c r="D3335" s="888">
        <v>1</v>
      </c>
      <c r="E3335" s="893" t="str">
        <f t="shared" si="8"/>
        <v xml:space="preserve">Expired </v>
      </c>
    </row>
    <row r="3336" spans="1:5" x14ac:dyDescent="0.3">
      <c r="A3336" s="888" t="s">
        <v>5870</v>
      </c>
      <c r="B3336" s="1019" t="s">
        <v>6763</v>
      </c>
      <c r="C3336" s="888" t="s">
        <v>5994</v>
      </c>
      <c r="D3336" s="888">
        <v>1</v>
      </c>
      <c r="E3336" s="893" t="str">
        <f t="shared" si="8"/>
        <v xml:space="preserve">Expired </v>
      </c>
    </row>
    <row r="3337" spans="1:5" x14ac:dyDescent="0.3">
      <c r="A3337" s="888" t="s">
        <v>5870</v>
      </c>
      <c r="B3337" s="1019" t="s">
        <v>6763</v>
      </c>
      <c r="C3337" s="888" t="s">
        <v>5995</v>
      </c>
      <c r="D3337" s="888">
        <v>1</v>
      </c>
      <c r="E3337" s="893" t="str">
        <f t="shared" si="8"/>
        <v xml:space="preserve">Expired </v>
      </c>
    </row>
    <row r="3338" spans="1:5" x14ac:dyDescent="0.3">
      <c r="A3338" s="888" t="s">
        <v>5870</v>
      </c>
      <c r="B3338" s="1019" t="s">
        <v>6763</v>
      </c>
      <c r="C3338" s="888" t="s">
        <v>5996</v>
      </c>
      <c r="D3338" s="888">
        <v>1</v>
      </c>
      <c r="E3338" s="893" t="str">
        <f t="shared" si="8"/>
        <v xml:space="preserve">Expired </v>
      </c>
    </row>
    <row r="3339" spans="1:5" x14ac:dyDescent="0.3">
      <c r="A3339" s="888" t="s">
        <v>2062</v>
      </c>
      <c r="B3339" s="888" t="s">
        <v>1954</v>
      </c>
      <c r="C3339" s="1008" t="s">
        <v>6007</v>
      </c>
      <c r="E3339" s="893" t="str">
        <f>$E$3304</f>
        <v>A1-B1</v>
      </c>
    </row>
    <row r="3340" spans="1:5" x14ac:dyDescent="0.3">
      <c r="A3340" s="888" t="s">
        <v>5870</v>
      </c>
      <c r="B3340" s="1019" t="s">
        <v>6763</v>
      </c>
      <c r="C3340" s="888" t="s">
        <v>5997</v>
      </c>
      <c r="D3340" s="888">
        <v>1</v>
      </c>
      <c r="E3340" s="893" t="str">
        <f>$E$3202</f>
        <v xml:space="preserve">Expired </v>
      </c>
    </row>
    <row r="3341" spans="1:5" x14ac:dyDescent="0.3">
      <c r="A3341" s="888" t="s">
        <v>5870</v>
      </c>
      <c r="B3341" s="1019" t="s">
        <v>6763</v>
      </c>
      <c r="C3341" s="888" t="s">
        <v>5998</v>
      </c>
      <c r="D3341" s="888">
        <v>1</v>
      </c>
      <c r="E3341" s="893" t="str">
        <f>$E$3202</f>
        <v xml:space="preserve">Expired </v>
      </c>
    </row>
    <row r="3342" spans="1:5" x14ac:dyDescent="0.3">
      <c r="A3342" s="888" t="s">
        <v>5870</v>
      </c>
      <c r="B3342" s="1019" t="s">
        <v>6763</v>
      </c>
      <c r="C3342" s="888" t="s">
        <v>5999</v>
      </c>
      <c r="D3342" s="888">
        <v>1</v>
      </c>
      <c r="E3342" s="893" t="str">
        <f>$E$3202</f>
        <v xml:space="preserve">Expired </v>
      </c>
    </row>
    <row r="3343" spans="1:5" x14ac:dyDescent="0.3">
      <c r="A3343" s="888" t="s">
        <v>5870</v>
      </c>
      <c r="B3343" s="1019" t="s">
        <v>6763</v>
      </c>
      <c r="C3343" s="888" t="s">
        <v>6000</v>
      </c>
      <c r="D3343" s="888">
        <v>1</v>
      </c>
      <c r="E3343" s="893" t="str">
        <f>$E$3202</f>
        <v xml:space="preserve">Expired </v>
      </c>
    </row>
    <row r="3344" spans="1:5" x14ac:dyDescent="0.3">
      <c r="A3344" s="888" t="s">
        <v>5870</v>
      </c>
      <c r="B3344" s="1019" t="s">
        <v>6763</v>
      </c>
      <c r="C3344" s="888" t="s">
        <v>6001</v>
      </c>
      <c r="D3344" s="888">
        <v>1</v>
      </c>
      <c r="E3344" s="893" t="str">
        <f>$E$3202</f>
        <v xml:space="preserve">Expired </v>
      </c>
    </row>
    <row r="3345" spans="1:5" x14ac:dyDescent="0.3">
      <c r="A3345" s="888" t="s">
        <v>2062</v>
      </c>
      <c r="B3345" s="888" t="s">
        <v>1954</v>
      </c>
      <c r="C3345" s="1008" t="s">
        <v>6013</v>
      </c>
      <c r="E3345" s="893" t="s">
        <v>1201</v>
      </c>
    </row>
    <row r="3346" spans="1:5" x14ac:dyDescent="0.3">
      <c r="A3346" s="888" t="s">
        <v>2062</v>
      </c>
      <c r="B3346" s="888" t="s">
        <v>1954</v>
      </c>
      <c r="C3346" s="1008" t="s">
        <v>6014</v>
      </c>
      <c r="E3346" s="893" t="str">
        <f>$E$3345</f>
        <v>LCA in Composite</v>
      </c>
    </row>
    <row r="3347" spans="1:5" x14ac:dyDescent="0.3">
      <c r="A3347" s="888" t="s">
        <v>2062</v>
      </c>
      <c r="B3347" s="888" t="s">
        <v>1954</v>
      </c>
      <c r="C3347" s="1008" t="s">
        <v>6015</v>
      </c>
      <c r="E3347" s="893" t="str">
        <f>$E$3345</f>
        <v>LCA in Composite</v>
      </c>
    </row>
    <row r="3348" spans="1:5" x14ac:dyDescent="0.3">
      <c r="A3348" s="888" t="s">
        <v>2062</v>
      </c>
      <c r="B3348" s="888" t="s">
        <v>1954</v>
      </c>
      <c r="C3348" s="1008" t="s">
        <v>6016</v>
      </c>
      <c r="E3348" s="893" t="str">
        <f>$E$3345</f>
        <v>LCA in Composite</v>
      </c>
    </row>
    <row r="3349" spans="1:5" x14ac:dyDescent="0.3">
      <c r="A3349" s="888" t="s">
        <v>5870</v>
      </c>
      <c r="B3349" s="1019" t="s">
        <v>6763</v>
      </c>
      <c r="C3349" s="888" t="s">
        <v>6002</v>
      </c>
      <c r="D3349" s="888">
        <v>1</v>
      </c>
      <c r="E3349" s="893" t="str">
        <f>$E$3202</f>
        <v xml:space="preserve">Expired </v>
      </c>
    </row>
    <row r="3350" spans="1:5" x14ac:dyDescent="0.3">
      <c r="A3350" s="888" t="s">
        <v>2062</v>
      </c>
      <c r="B3350" s="888" t="s">
        <v>1954</v>
      </c>
      <c r="C3350" s="1008" t="s">
        <v>6018</v>
      </c>
      <c r="E3350" s="893" t="str">
        <f>$E$3345</f>
        <v>LCA in Composite</v>
      </c>
    </row>
    <row r="3351" spans="1:5" x14ac:dyDescent="0.3">
      <c r="A3351" s="888" t="s">
        <v>5870</v>
      </c>
      <c r="B3351" s="1019" t="s">
        <v>6763</v>
      </c>
      <c r="C3351" s="888" t="s">
        <v>6003</v>
      </c>
      <c r="D3351" s="888">
        <v>1</v>
      </c>
      <c r="E3351" s="893" t="str">
        <f t="shared" ref="E3351:E3414" si="9">$E$3202</f>
        <v xml:space="preserve">Expired </v>
      </c>
    </row>
    <row r="3352" spans="1:5" x14ac:dyDescent="0.3">
      <c r="A3352" s="888" t="s">
        <v>5870</v>
      </c>
      <c r="B3352" s="1019" t="s">
        <v>6763</v>
      </c>
      <c r="C3352" s="888" t="s">
        <v>6004</v>
      </c>
      <c r="D3352" s="888">
        <v>1</v>
      </c>
      <c r="E3352" s="893" t="str">
        <f t="shared" si="9"/>
        <v xml:space="preserve">Expired </v>
      </c>
    </row>
    <row r="3353" spans="1:5" x14ac:dyDescent="0.3">
      <c r="A3353" s="888" t="s">
        <v>5870</v>
      </c>
      <c r="B3353" s="1019" t="s">
        <v>6763</v>
      </c>
      <c r="C3353" s="888" t="s">
        <v>6005</v>
      </c>
      <c r="D3353" s="888">
        <v>1</v>
      </c>
      <c r="E3353" s="893" t="str">
        <f t="shared" si="9"/>
        <v xml:space="preserve">Expired </v>
      </c>
    </row>
    <row r="3354" spans="1:5" x14ac:dyDescent="0.3">
      <c r="A3354" s="888" t="s">
        <v>5870</v>
      </c>
      <c r="B3354" s="1019" t="s">
        <v>6763</v>
      </c>
      <c r="C3354" s="888" t="s">
        <v>6006</v>
      </c>
      <c r="D3354" s="888">
        <v>1</v>
      </c>
      <c r="E3354" s="893" t="str">
        <f t="shared" si="9"/>
        <v xml:space="preserve">Expired </v>
      </c>
    </row>
    <row r="3355" spans="1:5" x14ac:dyDescent="0.3">
      <c r="A3355" s="888" t="s">
        <v>5870</v>
      </c>
      <c r="B3355" s="1019" t="s">
        <v>6763</v>
      </c>
      <c r="C3355" s="888" t="s">
        <v>6007</v>
      </c>
      <c r="D3355" s="888">
        <v>1</v>
      </c>
      <c r="E3355" s="893" t="str">
        <f t="shared" si="9"/>
        <v xml:space="preserve">Expired </v>
      </c>
    </row>
    <row r="3356" spans="1:5" x14ac:dyDescent="0.3">
      <c r="A3356" s="888" t="s">
        <v>5870</v>
      </c>
      <c r="B3356" s="1019" t="s">
        <v>6763</v>
      </c>
      <c r="C3356" s="888" t="s">
        <v>6008</v>
      </c>
      <c r="D3356" s="888">
        <v>1</v>
      </c>
      <c r="E3356" s="893" t="str">
        <f t="shared" si="9"/>
        <v xml:space="preserve">Expired </v>
      </c>
    </row>
    <row r="3357" spans="1:5" x14ac:dyDescent="0.3">
      <c r="A3357" s="888" t="s">
        <v>5870</v>
      </c>
      <c r="B3357" s="1019" t="s">
        <v>6763</v>
      </c>
      <c r="C3357" s="888" t="s">
        <v>6009</v>
      </c>
      <c r="D3357" s="888">
        <v>1</v>
      </c>
      <c r="E3357" s="893" t="str">
        <f t="shared" si="9"/>
        <v xml:space="preserve">Expired </v>
      </c>
    </row>
    <row r="3358" spans="1:5" x14ac:dyDescent="0.3">
      <c r="A3358" s="888" t="s">
        <v>5870</v>
      </c>
      <c r="B3358" s="1019" t="s">
        <v>6763</v>
      </c>
      <c r="C3358" s="888" t="s">
        <v>6010</v>
      </c>
      <c r="D3358" s="888">
        <v>1</v>
      </c>
      <c r="E3358" s="893" t="str">
        <f t="shared" si="9"/>
        <v xml:space="preserve">Expired </v>
      </c>
    </row>
    <row r="3359" spans="1:5" x14ac:dyDescent="0.3">
      <c r="A3359" s="888" t="s">
        <v>5870</v>
      </c>
      <c r="B3359" s="1019" t="s">
        <v>6763</v>
      </c>
      <c r="C3359" s="888" t="s">
        <v>6011</v>
      </c>
      <c r="D3359" s="888">
        <v>1</v>
      </c>
      <c r="E3359" s="893" t="str">
        <f t="shared" si="9"/>
        <v xml:space="preserve">Expired </v>
      </c>
    </row>
    <row r="3360" spans="1:5" x14ac:dyDescent="0.3">
      <c r="A3360" s="888" t="s">
        <v>5870</v>
      </c>
      <c r="B3360" s="1019" t="s">
        <v>6763</v>
      </c>
      <c r="C3360" s="888" t="s">
        <v>6012</v>
      </c>
      <c r="D3360" s="888">
        <v>1</v>
      </c>
      <c r="E3360" s="893" t="str">
        <f t="shared" si="9"/>
        <v xml:space="preserve">Expired </v>
      </c>
    </row>
    <row r="3361" spans="1:5" x14ac:dyDescent="0.3">
      <c r="A3361" s="888" t="s">
        <v>5870</v>
      </c>
      <c r="B3361" s="1019" t="s">
        <v>6763</v>
      </c>
      <c r="C3361" s="888" t="s">
        <v>6013</v>
      </c>
      <c r="D3361" s="888">
        <v>1</v>
      </c>
      <c r="E3361" s="893" t="str">
        <f t="shared" si="9"/>
        <v xml:space="preserve">Expired </v>
      </c>
    </row>
    <row r="3362" spans="1:5" x14ac:dyDescent="0.3">
      <c r="A3362" s="888" t="s">
        <v>5870</v>
      </c>
      <c r="B3362" s="1019" t="s">
        <v>6763</v>
      </c>
      <c r="C3362" s="888" t="s">
        <v>6014</v>
      </c>
      <c r="D3362" s="888">
        <v>1</v>
      </c>
      <c r="E3362" s="893" t="str">
        <f t="shared" si="9"/>
        <v xml:space="preserve">Expired </v>
      </c>
    </row>
    <row r="3363" spans="1:5" x14ac:dyDescent="0.3">
      <c r="A3363" s="888" t="s">
        <v>5870</v>
      </c>
      <c r="B3363" s="1019" t="s">
        <v>6763</v>
      </c>
      <c r="C3363" s="888" t="s">
        <v>6015</v>
      </c>
      <c r="D3363" s="888">
        <v>1</v>
      </c>
      <c r="E3363" s="893" t="str">
        <f t="shared" si="9"/>
        <v xml:space="preserve">Expired </v>
      </c>
    </row>
    <row r="3364" spans="1:5" x14ac:dyDescent="0.3">
      <c r="A3364" s="888" t="s">
        <v>5870</v>
      </c>
      <c r="B3364" s="1019" t="s">
        <v>6763</v>
      </c>
      <c r="C3364" s="888" t="s">
        <v>6016</v>
      </c>
      <c r="D3364" s="888">
        <v>1</v>
      </c>
      <c r="E3364" s="893" t="str">
        <f t="shared" si="9"/>
        <v xml:space="preserve">Expired </v>
      </c>
    </row>
    <row r="3365" spans="1:5" x14ac:dyDescent="0.3">
      <c r="A3365" s="888" t="s">
        <v>5870</v>
      </c>
      <c r="B3365" s="1019" t="s">
        <v>6763</v>
      </c>
      <c r="C3365" s="888" t="s">
        <v>6017</v>
      </c>
      <c r="D3365" s="888">
        <v>1</v>
      </c>
      <c r="E3365" s="893" t="str">
        <f t="shared" si="9"/>
        <v xml:space="preserve">Expired </v>
      </c>
    </row>
    <row r="3366" spans="1:5" x14ac:dyDescent="0.3">
      <c r="A3366" s="888" t="s">
        <v>5870</v>
      </c>
      <c r="B3366" s="1019" t="s">
        <v>6763</v>
      </c>
      <c r="C3366" s="888" t="s">
        <v>6018</v>
      </c>
      <c r="D3366" s="888">
        <v>1</v>
      </c>
      <c r="E3366" s="893" t="str">
        <f t="shared" si="9"/>
        <v xml:space="preserve">Expired </v>
      </c>
    </row>
    <row r="3367" spans="1:5" x14ac:dyDescent="0.3">
      <c r="A3367" s="888" t="s">
        <v>5870</v>
      </c>
      <c r="B3367" s="1019" t="s">
        <v>6763</v>
      </c>
      <c r="C3367" s="888" t="s">
        <v>6019</v>
      </c>
      <c r="D3367" s="888">
        <v>1</v>
      </c>
      <c r="E3367" s="893" t="str">
        <f t="shared" si="9"/>
        <v xml:space="preserve">Expired </v>
      </c>
    </row>
    <row r="3368" spans="1:5" x14ac:dyDescent="0.3">
      <c r="A3368" s="888" t="s">
        <v>5870</v>
      </c>
      <c r="B3368" s="1019" t="s">
        <v>6763</v>
      </c>
      <c r="C3368" s="888" t="s">
        <v>6020</v>
      </c>
      <c r="D3368" s="888">
        <v>1</v>
      </c>
      <c r="E3368" s="893" t="str">
        <f t="shared" si="9"/>
        <v xml:space="preserve">Expired </v>
      </c>
    </row>
    <row r="3369" spans="1:5" x14ac:dyDescent="0.3">
      <c r="A3369" s="888" t="s">
        <v>5870</v>
      </c>
      <c r="B3369" s="1019" t="s">
        <v>6763</v>
      </c>
      <c r="C3369" s="888" t="s">
        <v>6021</v>
      </c>
      <c r="D3369" s="888">
        <v>1</v>
      </c>
      <c r="E3369" s="893" t="str">
        <f t="shared" si="9"/>
        <v xml:space="preserve">Expired </v>
      </c>
    </row>
    <row r="3370" spans="1:5" x14ac:dyDescent="0.3">
      <c r="A3370" s="888" t="s">
        <v>5870</v>
      </c>
      <c r="B3370" s="1019" t="s">
        <v>6763</v>
      </c>
      <c r="C3370" s="888" t="s">
        <v>6022</v>
      </c>
      <c r="D3370" s="888">
        <v>1</v>
      </c>
      <c r="E3370" s="893" t="str">
        <f t="shared" si="9"/>
        <v xml:space="preserve">Expired </v>
      </c>
    </row>
    <row r="3371" spans="1:5" x14ac:dyDescent="0.3">
      <c r="A3371" s="888" t="s">
        <v>5870</v>
      </c>
      <c r="B3371" s="1019" t="s">
        <v>6763</v>
      </c>
      <c r="C3371" s="888" t="s">
        <v>6023</v>
      </c>
      <c r="D3371" s="888">
        <v>1</v>
      </c>
      <c r="E3371" s="893" t="str">
        <f t="shared" si="9"/>
        <v xml:space="preserve">Expired </v>
      </c>
    </row>
    <row r="3372" spans="1:5" x14ac:dyDescent="0.3">
      <c r="A3372" s="888" t="s">
        <v>5870</v>
      </c>
      <c r="B3372" s="1019" t="s">
        <v>6763</v>
      </c>
      <c r="C3372" s="888" t="s">
        <v>6024</v>
      </c>
      <c r="D3372" s="888">
        <v>1</v>
      </c>
      <c r="E3372" s="893" t="str">
        <f t="shared" si="9"/>
        <v xml:space="preserve">Expired </v>
      </c>
    </row>
    <row r="3373" spans="1:5" x14ac:dyDescent="0.3">
      <c r="A3373" s="888" t="s">
        <v>5870</v>
      </c>
      <c r="B3373" s="1019" t="s">
        <v>6763</v>
      </c>
      <c r="C3373" s="888" t="s">
        <v>6025</v>
      </c>
      <c r="D3373" s="888">
        <v>1</v>
      </c>
      <c r="E3373" s="893" t="str">
        <f t="shared" si="9"/>
        <v xml:space="preserve">Expired </v>
      </c>
    </row>
    <row r="3374" spans="1:5" x14ac:dyDescent="0.3">
      <c r="A3374" s="888" t="s">
        <v>5870</v>
      </c>
      <c r="B3374" s="1019" t="s">
        <v>6763</v>
      </c>
      <c r="C3374" s="888" t="s">
        <v>6026</v>
      </c>
      <c r="D3374" s="888">
        <v>1</v>
      </c>
      <c r="E3374" s="893" t="str">
        <f t="shared" si="9"/>
        <v xml:space="preserve">Expired </v>
      </c>
    </row>
    <row r="3375" spans="1:5" x14ac:dyDescent="0.3">
      <c r="A3375" s="888" t="s">
        <v>5870</v>
      </c>
      <c r="B3375" s="1019" t="s">
        <v>6763</v>
      </c>
      <c r="C3375" s="888" t="s">
        <v>6027</v>
      </c>
      <c r="D3375" s="888">
        <v>1</v>
      </c>
      <c r="E3375" s="893" t="str">
        <f t="shared" si="9"/>
        <v xml:space="preserve">Expired </v>
      </c>
    </row>
    <row r="3376" spans="1:5" x14ac:dyDescent="0.3">
      <c r="A3376" s="888" t="s">
        <v>5870</v>
      </c>
      <c r="B3376" s="1019" t="s">
        <v>6763</v>
      </c>
      <c r="C3376" s="888" t="s">
        <v>6028</v>
      </c>
      <c r="D3376" s="888">
        <v>1</v>
      </c>
      <c r="E3376" s="893" t="str">
        <f t="shared" si="9"/>
        <v xml:space="preserve">Expired </v>
      </c>
    </row>
    <row r="3377" spans="1:5" x14ac:dyDescent="0.3">
      <c r="A3377" s="888" t="s">
        <v>5870</v>
      </c>
      <c r="B3377" s="1019" t="s">
        <v>6763</v>
      </c>
      <c r="C3377" s="888" t="s">
        <v>6029</v>
      </c>
      <c r="D3377" s="888">
        <v>1</v>
      </c>
      <c r="E3377" s="893" t="str">
        <f t="shared" si="9"/>
        <v xml:space="preserve">Expired </v>
      </c>
    </row>
    <row r="3378" spans="1:5" x14ac:dyDescent="0.3">
      <c r="A3378" s="888" t="s">
        <v>5870</v>
      </c>
      <c r="B3378" s="1019" t="s">
        <v>6763</v>
      </c>
      <c r="C3378" s="888" t="s">
        <v>6030</v>
      </c>
      <c r="D3378" s="888">
        <v>1</v>
      </c>
      <c r="E3378" s="893" t="str">
        <f t="shared" si="9"/>
        <v xml:space="preserve">Expired </v>
      </c>
    </row>
    <row r="3379" spans="1:5" x14ac:dyDescent="0.3">
      <c r="A3379" s="888" t="s">
        <v>5870</v>
      </c>
      <c r="B3379" s="1019" t="s">
        <v>6763</v>
      </c>
      <c r="C3379" s="888" t="s">
        <v>6031</v>
      </c>
      <c r="D3379" s="888">
        <v>1</v>
      </c>
      <c r="E3379" s="893" t="str">
        <f t="shared" si="9"/>
        <v xml:space="preserve">Expired </v>
      </c>
    </row>
    <row r="3380" spans="1:5" x14ac:dyDescent="0.3">
      <c r="A3380" s="888" t="s">
        <v>5870</v>
      </c>
      <c r="B3380" s="1019" t="s">
        <v>6763</v>
      </c>
      <c r="C3380" s="888" t="s">
        <v>6032</v>
      </c>
      <c r="D3380" s="888">
        <v>1</v>
      </c>
      <c r="E3380" s="893" t="str">
        <f t="shared" si="9"/>
        <v xml:space="preserve">Expired </v>
      </c>
    </row>
    <row r="3381" spans="1:5" x14ac:dyDescent="0.3">
      <c r="A3381" s="888" t="s">
        <v>5870</v>
      </c>
      <c r="B3381" s="1019" t="s">
        <v>6763</v>
      </c>
      <c r="C3381" s="888" t="s">
        <v>6033</v>
      </c>
      <c r="D3381" s="888">
        <v>1</v>
      </c>
      <c r="E3381" s="893" t="str">
        <f t="shared" si="9"/>
        <v xml:space="preserve">Expired </v>
      </c>
    </row>
    <row r="3382" spans="1:5" x14ac:dyDescent="0.3">
      <c r="A3382" s="888" t="s">
        <v>5870</v>
      </c>
      <c r="B3382" s="1019" t="s">
        <v>6763</v>
      </c>
      <c r="C3382" s="888" t="s">
        <v>6034</v>
      </c>
      <c r="D3382" s="888">
        <v>1</v>
      </c>
      <c r="E3382" s="893" t="str">
        <f t="shared" si="9"/>
        <v xml:space="preserve">Expired </v>
      </c>
    </row>
    <row r="3383" spans="1:5" x14ac:dyDescent="0.3">
      <c r="A3383" s="888" t="s">
        <v>5870</v>
      </c>
      <c r="B3383" s="1019" t="s">
        <v>6763</v>
      </c>
      <c r="C3383" s="888" t="s">
        <v>6035</v>
      </c>
      <c r="D3383" s="888">
        <v>1</v>
      </c>
      <c r="E3383" s="893" t="str">
        <f t="shared" si="9"/>
        <v xml:space="preserve">Expired </v>
      </c>
    </row>
    <row r="3384" spans="1:5" x14ac:dyDescent="0.3">
      <c r="A3384" s="888" t="s">
        <v>5870</v>
      </c>
      <c r="B3384" s="1019" t="s">
        <v>6763</v>
      </c>
      <c r="C3384" s="888" t="s">
        <v>6036</v>
      </c>
      <c r="D3384" s="888">
        <v>1</v>
      </c>
      <c r="E3384" s="893" t="str">
        <f t="shared" si="9"/>
        <v xml:space="preserve">Expired </v>
      </c>
    </row>
    <row r="3385" spans="1:5" x14ac:dyDescent="0.3">
      <c r="A3385" s="888" t="s">
        <v>5870</v>
      </c>
      <c r="B3385" s="1019" t="s">
        <v>6763</v>
      </c>
      <c r="C3385" s="888" t="s">
        <v>6037</v>
      </c>
      <c r="D3385" s="888">
        <v>1</v>
      </c>
      <c r="E3385" s="893" t="str">
        <f t="shared" si="9"/>
        <v xml:space="preserve">Expired </v>
      </c>
    </row>
    <row r="3386" spans="1:5" x14ac:dyDescent="0.3">
      <c r="A3386" s="888" t="s">
        <v>5870</v>
      </c>
      <c r="B3386" s="1019" t="s">
        <v>6763</v>
      </c>
      <c r="C3386" s="888" t="s">
        <v>6038</v>
      </c>
      <c r="D3386" s="888">
        <v>1</v>
      </c>
      <c r="E3386" s="893" t="str">
        <f t="shared" si="9"/>
        <v xml:space="preserve">Expired </v>
      </c>
    </row>
    <row r="3387" spans="1:5" x14ac:dyDescent="0.3">
      <c r="A3387" s="888" t="s">
        <v>5870</v>
      </c>
      <c r="B3387" s="1019" t="s">
        <v>6763</v>
      </c>
      <c r="C3387" s="888" t="s">
        <v>6039</v>
      </c>
      <c r="D3387" s="888">
        <v>1</v>
      </c>
      <c r="E3387" s="893" t="str">
        <f t="shared" si="9"/>
        <v xml:space="preserve">Expired </v>
      </c>
    </row>
    <row r="3388" spans="1:5" x14ac:dyDescent="0.3">
      <c r="A3388" s="888" t="s">
        <v>5870</v>
      </c>
      <c r="B3388" s="1019" t="s">
        <v>6763</v>
      </c>
      <c r="C3388" s="888" t="s">
        <v>6040</v>
      </c>
      <c r="D3388" s="888">
        <v>1</v>
      </c>
      <c r="E3388" s="893" t="str">
        <f t="shared" si="9"/>
        <v xml:space="preserve">Expired </v>
      </c>
    </row>
    <row r="3389" spans="1:5" x14ac:dyDescent="0.3">
      <c r="A3389" s="888" t="s">
        <v>5870</v>
      </c>
      <c r="B3389" s="1019" t="s">
        <v>6763</v>
      </c>
      <c r="C3389" s="888" t="s">
        <v>6041</v>
      </c>
      <c r="D3389" s="888">
        <v>1</v>
      </c>
      <c r="E3389" s="893" t="str">
        <f t="shared" si="9"/>
        <v xml:space="preserve">Expired </v>
      </c>
    </row>
    <row r="3390" spans="1:5" x14ac:dyDescent="0.3">
      <c r="A3390" s="888" t="s">
        <v>5870</v>
      </c>
      <c r="B3390" s="1019" t="s">
        <v>6763</v>
      </c>
      <c r="C3390" s="888" t="s">
        <v>6042</v>
      </c>
      <c r="D3390" s="888">
        <v>1</v>
      </c>
      <c r="E3390" s="893" t="str">
        <f t="shared" si="9"/>
        <v xml:space="preserve">Expired </v>
      </c>
    </row>
    <row r="3391" spans="1:5" x14ac:dyDescent="0.3">
      <c r="A3391" s="888" t="s">
        <v>5870</v>
      </c>
      <c r="B3391" s="1019" t="s">
        <v>6763</v>
      </c>
      <c r="C3391" s="888" t="s">
        <v>6043</v>
      </c>
      <c r="D3391" s="888">
        <v>1</v>
      </c>
      <c r="E3391" s="893" t="str">
        <f t="shared" si="9"/>
        <v xml:space="preserve">Expired </v>
      </c>
    </row>
    <row r="3392" spans="1:5" x14ac:dyDescent="0.3">
      <c r="A3392" s="888" t="s">
        <v>5870</v>
      </c>
      <c r="B3392" s="1019" t="s">
        <v>6763</v>
      </c>
      <c r="C3392" s="888" t="s">
        <v>6044</v>
      </c>
      <c r="D3392" s="888">
        <v>1</v>
      </c>
      <c r="E3392" s="893" t="str">
        <f t="shared" si="9"/>
        <v xml:space="preserve">Expired </v>
      </c>
    </row>
    <row r="3393" spans="1:5" x14ac:dyDescent="0.3">
      <c r="A3393" s="888" t="s">
        <v>5870</v>
      </c>
      <c r="B3393" s="1019" t="s">
        <v>6763</v>
      </c>
      <c r="C3393" s="888" t="s">
        <v>6045</v>
      </c>
      <c r="D3393" s="888">
        <v>1</v>
      </c>
      <c r="E3393" s="893" t="str">
        <f t="shared" si="9"/>
        <v xml:space="preserve">Expired </v>
      </c>
    </row>
    <row r="3394" spans="1:5" x14ac:dyDescent="0.3">
      <c r="A3394" s="888" t="s">
        <v>5870</v>
      </c>
      <c r="B3394" s="1019" t="s">
        <v>6763</v>
      </c>
      <c r="C3394" s="888" t="s">
        <v>6046</v>
      </c>
      <c r="D3394" s="888">
        <v>1</v>
      </c>
      <c r="E3394" s="893" t="str">
        <f t="shared" si="9"/>
        <v xml:space="preserve">Expired </v>
      </c>
    </row>
    <row r="3395" spans="1:5" x14ac:dyDescent="0.3">
      <c r="A3395" s="888" t="s">
        <v>5870</v>
      </c>
      <c r="B3395" s="1019" t="s">
        <v>6763</v>
      </c>
      <c r="C3395" s="888" t="s">
        <v>6047</v>
      </c>
      <c r="D3395" s="888">
        <v>1</v>
      </c>
      <c r="E3395" s="893" t="str">
        <f t="shared" si="9"/>
        <v xml:space="preserve">Expired </v>
      </c>
    </row>
    <row r="3396" spans="1:5" x14ac:dyDescent="0.3">
      <c r="A3396" s="888" t="s">
        <v>5870</v>
      </c>
      <c r="B3396" s="1019" t="s">
        <v>6763</v>
      </c>
      <c r="C3396" s="888" t="s">
        <v>6048</v>
      </c>
      <c r="D3396" s="888">
        <v>1</v>
      </c>
      <c r="E3396" s="893" t="str">
        <f t="shared" si="9"/>
        <v xml:space="preserve">Expired </v>
      </c>
    </row>
    <row r="3397" spans="1:5" x14ac:dyDescent="0.3">
      <c r="A3397" s="888" t="s">
        <v>5870</v>
      </c>
      <c r="B3397" s="1019" t="s">
        <v>6763</v>
      </c>
      <c r="C3397" s="888" t="s">
        <v>6049</v>
      </c>
      <c r="D3397" s="888">
        <v>1</v>
      </c>
      <c r="E3397" s="893" t="str">
        <f t="shared" si="9"/>
        <v xml:space="preserve">Expired </v>
      </c>
    </row>
    <row r="3398" spans="1:5" x14ac:dyDescent="0.3">
      <c r="A3398" s="888" t="s">
        <v>5870</v>
      </c>
      <c r="B3398" s="1019" t="s">
        <v>6763</v>
      </c>
      <c r="C3398" s="888" t="s">
        <v>6050</v>
      </c>
      <c r="D3398" s="888">
        <v>1</v>
      </c>
      <c r="E3398" s="893" t="str">
        <f t="shared" si="9"/>
        <v xml:space="preserve">Expired </v>
      </c>
    </row>
    <row r="3399" spans="1:5" x14ac:dyDescent="0.3">
      <c r="A3399" s="888" t="s">
        <v>5870</v>
      </c>
      <c r="B3399" s="1019" t="s">
        <v>6763</v>
      </c>
      <c r="C3399" s="888" t="s">
        <v>6051</v>
      </c>
      <c r="D3399" s="888">
        <v>1</v>
      </c>
      <c r="E3399" s="893" t="str">
        <f t="shared" si="9"/>
        <v xml:space="preserve">Expired </v>
      </c>
    </row>
    <row r="3400" spans="1:5" x14ac:dyDescent="0.3">
      <c r="A3400" s="888" t="s">
        <v>5870</v>
      </c>
      <c r="B3400" s="1019" t="s">
        <v>6763</v>
      </c>
      <c r="C3400" s="888" t="s">
        <v>6052</v>
      </c>
      <c r="D3400" s="888">
        <v>1</v>
      </c>
      <c r="E3400" s="893" t="str">
        <f t="shared" si="9"/>
        <v xml:space="preserve">Expired </v>
      </c>
    </row>
    <row r="3401" spans="1:5" x14ac:dyDescent="0.3">
      <c r="A3401" s="888" t="s">
        <v>5870</v>
      </c>
      <c r="B3401" s="1019" t="s">
        <v>6763</v>
      </c>
      <c r="C3401" s="888" t="s">
        <v>6053</v>
      </c>
      <c r="D3401" s="888">
        <v>1</v>
      </c>
      <c r="E3401" s="893" t="str">
        <f t="shared" si="9"/>
        <v xml:space="preserve">Expired </v>
      </c>
    </row>
    <row r="3402" spans="1:5" x14ac:dyDescent="0.3">
      <c r="A3402" s="888" t="s">
        <v>5870</v>
      </c>
      <c r="B3402" s="1019" t="s">
        <v>6763</v>
      </c>
      <c r="C3402" s="888" t="s">
        <v>6054</v>
      </c>
      <c r="D3402" s="888">
        <v>1</v>
      </c>
      <c r="E3402" s="893" t="str">
        <f t="shared" si="9"/>
        <v xml:space="preserve">Expired </v>
      </c>
    </row>
    <row r="3403" spans="1:5" x14ac:dyDescent="0.3">
      <c r="A3403" s="888" t="s">
        <v>5870</v>
      </c>
      <c r="B3403" s="1019" t="s">
        <v>6763</v>
      </c>
      <c r="C3403" s="888" t="s">
        <v>6055</v>
      </c>
      <c r="D3403" s="888">
        <v>1</v>
      </c>
      <c r="E3403" s="893" t="str">
        <f t="shared" si="9"/>
        <v xml:space="preserve">Expired </v>
      </c>
    </row>
    <row r="3404" spans="1:5" x14ac:dyDescent="0.3">
      <c r="A3404" s="888" t="s">
        <v>5870</v>
      </c>
      <c r="B3404" s="1019" t="s">
        <v>6763</v>
      </c>
      <c r="C3404" s="888" t="s">
        <v>6056</v>
      </c>
      <c r="D3404" s="888">
        <v>1</v>
      </c>
      <c r="E3404" s="893" t="str">
        <f t="shared" si="9"/>
        <v xml:space="preserve">Expired </v>
      </c>
    </row>
    <row r="3405" spans="1:5" x14ac:dyDescent="0.3">
      <c r="A3405" s="888" t="s">
        <v>5870</v>
      </c>
      <c r="B3405" s="1019" t="s">
        <v>6763</v>
      </c>
      <c r="C3405" s="888" t="s">
        <v>6057</v>
      </c>
      <c r="D3405" s="888">
        <v>1</v>
      </c>
      <c r="E3405" s="893" t="str">
        <f t="shared" si="9"/>
        <v xml:space="preserve">Expired </v>
      </c>
    </row>
    <row r="3406" spans="1:5" x14ac:dyDescent="0.3">
      <c r="A3406" s="888" t="s">
        <v>5870</v>
      </c>
      <c r="B3406" s="1019" t="s">
        <v>6763</v>
      </c>
      <c r="C3406" s="888" t="s">
        <v>6058</v>
      </c>
      <c r="D3406" s="888">
        <v>1</v>
      </c>
      <c r="E3406" s="893" t="str">
        <f t="shared" si="9"/>
        <v xml:space="preserve">Expired </v>
      </c>
    </row>
    <row r="3407" spans="1:5" x14ac:dyDescent="0.3">
      <c r="A3407" s="888" t="s">
        <v>5870</v>
      </c>
      <c r="B3407" s="1019" t="s">
        <v>6763</v>
      </c>
      <c r="C3407" s="888" t="s">
        <v>6059</v>
      </c>
      <c r="D3407" s="888">
        <v>1</v>
      </c>
      <c r="E3407" s="893" t="str">
        <f t="shared" si="9"/>
        <v xml:space="preserve">Expired </v>
      </c>
    </row>
    <row r="3408" spans="1:5" x14ac:dyDescent="0.3">
      <c r="A3408" s="888" t="s">
        <v>5870</v>
      </c>
      <c r="B3408" s="1019" t="s">
        <v>6763</v>
      </c>
      <c r="C3408" s="888" t="s">
        <v>6060</v>
      </c>
      <c r="D3408" s="888">
        <v>1</v>
      </c>
      <c r="E3408" s="893" t="str">
        <f t="shared" si="9"/>
        <v xml:space="preserve">Expired </v>
      </c>
    </row>
    <row r="3409" spans="1:5" x14ac:dyDescent="0.3">
      <c r="A3409" s="888" t="s">
        <v>5870</v>
      </c>
      <c r="B3409" s="1019" t="s">
        <v>6763</v>
      </c>
      <c r="C3409" s="888" t="s">
        <v>6061</v>
      </c>
      <c r="D3409" s="888">
        <v>1</v>
      </c>
      <c r="E3409" s="893" t="str">
        <f t="shared" si="9"/>
        <v xml:space="preserve">Expired </v>
      </c>
    </row>
    <row r="3410" spans="1:5" x14ac:dyDescent="0.3">
      <c r="A3410" s="888" t="s">
        <v>5870</v>
      </c>
      <c r="B3410" s="1019" t="s">
        <v>6763</v>
      </c>
      <c r="C3410" s="888" t="s">
        <v>6062</v>
      </c>
      <c r="D3410" s="888">
        <v>1</v>
      </c>
      <c r="E3410" s="893" t="str">
        <f t="shared" si="9"/>
        <v xml:space="preserve">Expired </v>
      </c>
    </row>
    <row r="3411" spans="1:5" x14ac:dyDescent="0.3">
      <c r="A3411" s="888" t="s">
        <v>5870</v>
      </c>
      <c r="B3411" s="1019" t="s">
        <v>6763</v>
      </c>
      <c r="C3411" s="888" t="s">
        <v>6063</v>
      </c>
      <c r="D3411" s="888">
        <v>1</v>
      </c>
      <c r="E3411" s="893" t="str">
        <f t="shared" si="9"/>
        <v xml:space="preserve">Expired </v>
      </c>
    </row>
    <row r="3412" spans="1:5" x14ac:dyDescent="0.3">
      <c r="A3412" s="888" t="s">
        <v>5870</v>
      </c>
      <c r="B3412" s="1019" t="s">
        <v>6763</v>
      </c>
      <c r="C3412" s="888" t="s">
        <v>6064</v>
      </c>
      <c r="D3412" s="888">
        <v>1</v>
      </c>
      <c r="E3412" s="893" t="str">
        <f t="shared" si="9"/>
        <v xml:space="preserve">Expired </v>
      </c>
    </row>
    <row r="3413" spans="1:5" x14ac:dyDescent="0.3">
      <c r="A3413" s="888" t="s">
        <v>5870</v>
      </c>
      <c r="B3413" s="1019" t="s">
        <v>6763</v>
      </c>
      <c r="C3413" s="888" t="s">
        <v>6065</v>
      </c>
      <c r="D3413" s="888">
        <v>1</v>
      </c>
      <c r="E3413" s="893" t="str">
        <f t="shared" si="9"/>
        <v xml:space="preserve">Expired </v>
      </c>
    </row>
    <row r="3414" spans="1:5" x14ac:dyDescent="0.3">
      <c r="A3414" s="888" t="s">
        <v>5870</v>
      </c>
      <c r="B3414" s="1019" t="s">
        <v>6763</v>
      </c>
      <c r="C3414" s="888" t="s">
        <v>6066</v>
      </c>
      <c r="D3414" s="888">
        <v>1</v>
      </c>
      <c r="E3414" s="893" t="str">
        <f t="shared" si="9"/>
        <v xml:space="preserve">Expired </v>
      </c>
    </row>
    <row r="3415" spans="1:5" x14ac:dyDescent="0.3">
      <c r="A3415" s="888" t="s">
        <v>5870</v>
      </c>
      <c r="B3415" s="1019" t="s">
        <v>6763</v>
      </c>
      <c r="C3415" s="888" t="s">
        <v>6067</v>
      </c>
      <c r="D3415" s="888">
        <v>1</v>
      </c>
      <c r="E3415" s="893" t="str">
        <f t="shared" ref="E3415:E3475" si="10">$E$3202</f>
        <v xml:space="preserve">Expired </v>
      </c>
    </row>
    <row r="3416" spans="1:5" x14ac:dyDescent="0.3">
      <c r="A3416" s="888" t="s">
        <v>5870</v>
      </c>
      <c r="B3416" s="1019" t="s">
        <v>6763</v>
      </c>
      <c r="C3416" s="888" t="s">
        <v>6068</v>
      </c>
      <c r="D3416" s="888">
        <v>1</v>
      </c>
      <c r="E3416" s="893" t="str">
        <f t="shared" si="10"/>
        <v xml:space="preserve">Expired </v>
      </c>
    </row>
    <row r="3417" spans="1:5" x14ac:dyDescent="0.3">
      <c r="A3417" s="888" t="s">
        <v>5870</v>
      </c>
      <c r="B3417" s="1019" t="s">
        <v>6763</v>
      </c>
      <c r="C3417" s="888" t="s">
        <v>6069</v>
      </c>
      <c r="D3417" s="888">
        <v>1</v>
      </c>
      <c r="E3417" s="893" t="str">
        <f t="shared" si="10"/>
        <v xml:space="preserve">Expired </v>
      </c>
    </row>
    <row r="3418" spans="1:5" x14ac:dyDescent="0.3">
      <c r="A3418" s="888" t="s">
        <v>5870</v>
      </c>
      <c r="B3418" s="1019" t="s">
        <v>6763</v>
      </c>
      <c r="C3418" s="888" t="s">
        <v>6070</v>
      </c>
      <c r="D3418" s="888">
        <v>1</v>
      </c>
      <c r="E3418" s="893" t="str">
        <f t="shared" si="10"/>
        <v xml:space="preserve">Expired </v>
      </c>
    </row>
    <row r="3419" spans="1:5" x14ac:dyDescent="0.3">
      <c r="A3419" s="888" t="s">
        <v>5870</v>
      </c>
      <c r="B3419" s="1019" t="s">
        <v>6763</v>
      </c>
      <c r="C3419" s="888" t="s">
        <v>6071</v>
      </c>
      <c r="D3419" s="888">
        <v>1</v>
      </c>
      <c r="E3419" s="893" t="str">
        <f t="shared" si="10"/>
        <v xml:space="preserve">Expired </v>
      </c>
    </row>
    <row r="3420" spans="1:5" x14ac:dyDescent="0.3">
      <c r="A3420" s="888" t="s">
        <v>5870</v>
      </c>
      <c r="B3420" s="1019" t="s">
        <v>6763</v>
      </c>
      <c r="C3420" s="888" t="s">
        <v>6072</v>
      </c>
      <c r="D3420" s="888">
        <v>1</v>
      </c>
      <c r="E3420" s="893" t="str">
        <f t="shared" si="10"/>
        <v xml:space="preserve">Expired </v>
      </c>
    </row>
    <row r="3421" spans="1:5" x14ac:dyDescent="0.3">
      <c r="A3421" s="888" t="s">
        <v>5870</v>
      </c>
      <c r="B3421" s="1019" t="s">
        <v>6763</v>
      </c>
      <c r="C3421" s="888" t="s">
        <v>6073</v>
      </c>
      <c r="D3421" s="888">
        <v>1</v>
      </c>
      <c r="E3421" s="893" t="str">
        <f t="shared" si="10"/>
        <v xml:space="preserve">Expired </v>
      </c>
    </row>
    <row r="3422" spans="1:5" x14ac:dyDescent="0.3">
      <c r="A3422" s="888" t="s">
        <v>5870</v>
      </c>
      <c r="B3422" s="1019" t="s">
        <v>6763</v>
      </c>
      <c r="C3422" s="888" t="s">
        <v>6074</v>
      </c>
      <c r="D3422" s="888">
        <v>1</v>
      </c>
      <c r="E3422" s="893" t="str">
        <f t="shared" si="10"/>
        <v xml:space="preserve">Expired </v>
      </c>
    </row>
    <row r="3423" spans="1:5" x14ac:dyDescent="0.3">
      <c r="A3423" s="888" t="s">
        <v>5870</v>
      </c>
      <c r="B3423" s="1019" t="s">
        <v>6763</v>
      </c>
      <c r="C3423" s="888" t="s">
        <v>6075</v>
      </c>
      <c r="D3423" s="888">
        <v>1</v>
      </c>
      <c r="E3423" s="893" t="str">
        <f t="shared" si="10"/>
        <v xml:space="preserve">Expired </v>
      </c>
    </row>
    <row r="3424" spans="1:5" x14ac:dyDescent="0.3">
      <c r="A3424" s="888" t="s">
        <v>5870</v>
      </c>
      <c r="B3424" s="1019" t="s">
        <v>6763</v>
      </c>
      <c r="C3424" s="888" t="s">
        <v>6076</v>
      </c>
      <c r="D3424" s="888">
        <v>1</v>
      </c>
      <c r="E3424" s="893" t="str">
        <f t="shared" si="10"/>
        <v xml:space="preserve">Expired </v>
      </c>
    </row>
    <row r="3425" spans="1:5" x14ac:dyDescent="0.3">
      <c r="A3425" s="888" t="s">
        <v>5870</v>
      </c>
      <c r="B3425" s="1019" t="s">
        <v>6763</v>
      </c>
      <c r="C3425" s="888" t="s">
        <v>6077</v>
      </c>
      <c r="D3425" s="888">
        <v>1</v>
      </c>
      <c r="E3425" s="893" t="str">
        <f t="shared" si="10"/>
        <v xml:space="preserve">Expired </v>
      </c>
    </row>
    <row r="3426" spans="1:5" x14ac:dyDescent="0.3">
      <c r="A3426" s="888" t="s">
        <v>5870</v>
      </c>
      <c r="B3426" s="1019" t="s">
        <v>6763</v>
      </c>
      <c r="C3426" s="888" t="s">
        <v>6078</v>
      </c>
      <c r="D3426" s="888">
        <v>1</v>
      </c>
      <c r="E3426" s="893" t="str">
        <f t="shared" si="10"/>
        <v xml:space="preserve">Expired </v>
      </c>
    </row>
    <row r="3427" spans="1:5" x14ac:dyDescent="0.3">
      <c r="A3427" s="888" t="s">
        <v>5870</v>
      </c>
      <c r="B3427" s="1019" t="s">
        <v>6763</v>
      </c>
      <c r="C3427" s="888" t="s">
        <v>6079</v>
      </c>
      <c r="D3427" s="888">
        <v>1</v>
      </c>
      <c r="E3427" s="893" t="str">
        <f t="shared" si="10"/>
        <v xml:space="preserve">Expired </v>
      </c>
    </row>
    <row r="3428" spans="1:5" x14ac:dyDescent="0.3">
      <c r="A3428" s="888" t="s">
        <v>5870</v>
      </c>
      <c r="B3428" s="1019" t="s">
        <v>6763</v>
      </c>
      <c r="C3428" s="888" t="s">
        <v>6080</v>
      </c>
      <c r="D3428" s="888">
        <v>1</v>
      </c>
      <c r="E3428" s="893" t="str">
        <f t="shared" si="10"/>
        <v xml:space="preserve">Expired </v>
      </c>
    </row>
    <row r="3429" spans="1:5" x14ac:dyDescent="0.3">
      <c r="A3429" s="888" t="s">
        <v>5870</v>
      </c>
      <c r="B3429" s="1019" t="s">
        <v>6763</v>
      </c>
      <c r="C3429" s="888" t="s">
        <v>6081</v>
      </c>
      <c r="D3429" s="888">
        <v>1</v>
      </c>
      <c r="E3429" s="893" t="str">
        <f t="shared" si="10"/>
        <v xml:space="preserve">Expired </v>
      </c>
    </row>
    <row r="3430" spans="1:5" x14ac:dyDescent="0.3">
      <c r="A3430" s="888" t="s">
        <v>5870</v>
      </c>
      <c r="B3430" s="1019" t="s">
        <v>6763</v>
      </c>
      <c r="C3430" s="888" t="s">
        <v>6082</v>
      </c>
      <c r="D3430" s="888">
        <v>1</v>
      </c>
      <c r="E3430" s="893" t="str">
        <f t="shared" si="10"/>
        <v xml:space="preserve">Expired </v>
      </c>
    </row>
    <row r="3431" spans="1:5" x14ac:dyDescent="0.3">
      <c r="A3431" s="888" t="s">
        <v>5870</v>
      </c>
      <c r="B3431" s="1019" t="s">
        <v>6763</v>
      </c>
      <c r="C3431" s="888" t="s">
        <v>6083</v>
      </c>
      <c r="D3431" s="888">
        <v>1</v>
      </c>
      <c r="E3431" s="893" t="str">
        <f t="shared" si="10"/>
        <v xml:space="preserve">Expired </v>
      </c>
    </row>
    <row r="3432" spans="1:5" x14ac:dyDescent="0.3">
      <c r="A3432" s="888" t="s">
        <v>5870</v>
      </c>
      <c r="B3432" s="1019" t="s">
        <v>6763</v>
      </c>
      <c r="C3432" s="888" t="s">
        <v>6084</v>
      </c>
      <c r="D3432" s="888">
        <v>1</v>
      </c>
      <c r="E3432" s="893" t="str">
        <f t="shared" si="10"/>
        <v xml:space="preserve">Expired </v>
      </c>
    </row>
    <row r="3433" spans="1:5" x14ac:dyDescent="0.3">
      <c r="A3433" s="888" t="s">
        <v>5870</v>
      </c>
      <c r="B3433" s="1019" t="s">
        <v>6763</v>
      </c>
      <c r="C3433" s="888" t="s">
        <v>6085</v>
      </c>
      <c r="D3433" s="888">
        <v>1</v>
      </c>
      <c r="E3433" s="893" t="str">
        <f t="shared" si="10"/>
        <v xml:space="preserve">Expired </v>
      </c>
    </row>
    <row r="3434" spans="1:5" x14ac:dyDescent="0.3">
      <c r="A3434" s="888" t="s">
        <v>5870</v>
      </c>
      <c r="B3434" s="1019" t="s">
        <v>6763</v>
      </c>
      <c r="C3434" s="888" t="s">
        <v>6086</v>
      </c>
      <c r="D3434" s="888">
        <v>1</v>
      </c>
      <c r="E3434" s="893" t="str">
        <f t="shared" si="10"/>
        <v xml:space="preserve">Expired </v>
      </c>
    </row>
    <row r="3435" spans="1:5" x14ac:dyDescent="0.3">
      <c r="A3435" s="888" t="s">
        <v>5870</v>
      </c>
      <c r="B3435" s="1019" t="s">
        <v>6763</v>
      </c>
      <c r="C3435" s="888" t="s">
        <v>6087</v>
      </c>
      <c r="D3435" s="888">
        <v>1</v>
      </c>
      <c r="E3435" s="893" t="str">
        <f t="shared" si="10"/>
        <v xml:space="preserve">Expired </v>
      </c>
    </row>
    <row r="3436" spans="1:5" x14ac:dyDescent="0.3">
      <c r="A3436" s="888" t="s">
        <v>5870</v>
      </c>
      <c r="B3436" s="1019" t="s">
        <v>6763</v>
      </c>
      <c r="C3436" s="888" t="s">
        <v>6088</v>
      </c>
      <c r="D3436" s="888">
        <v>1</v>
      </c>
      <c r="E3436" s="893" t="str">
        <f t="shared" si="10"/>
        <v xml:space="preserve">Expired </v>
      </c>
    </row>
    <row r="3437" spans="1:5" x14ac:dyDescent="0.3">
      <c r="A3437" s="888" t="s">
        <v>5870</v>
      </c>
      <c r="B3437" s="1019" t="s">
        <v>6763</v>
      </c>
      <c r="C3437" s="888" t="s">
        <v>6089</v>
      </c>
      <c r="D3437" s="888">
        <v>1</v>
      </c>
      <c r="E3437" s="893" t="str">
        <f t="shared" si="10"/>
        <v xml:space="preserve">Expired </v>
      </c>
    </row>
    <row r="3438" spans="1:5" x14ac:dyDescent="0.3">
      <c r="A3438" s="888" t="s">
        <v>5870</v>
      </c>
      <c r="B3438" s="1019" t="s">
        <v>6763</v>
      </c>
      <c r="C3438" s="888" t="s">
        <v>6090</v>
      </c>
      <c r="D3438" s="888">
        <v>1</v>
      </c>
      <c r="E3438" s="893" t="str">
        <f t="shared" si="10"/>
        <v xml:space="preserve">Expired </v>
      </c>
    </row>
    <row r="3439" spans="1:5" x14ac:dyDescent="0.3">
      <c r="A3439" s="888" t="s">
        <v>5870</v>
      </c>
      <c r="B3439" s="1019" t="s">
        <v>6763</v>
      </c>
      <c r="C3439" s="888" t="s">
        <v>6091</v>
      </c>
      <c r="D3439" s="888">
        <v>1</v>
      </c>
      <c r="E3439" s="893" t="str">
        <f t="shared" si="10"/>
        <v xml:space="preserve">Expired </v>
      </c>
    </row>
    <row r="3440" spans="1:5" x14ac:dyDescent="0.3">
      <c r="A3440" s="888" t="s">
        <v>5870</v>
      </c>
      <c r="B3440" s="1019" t="s">
        <v>6763</v>
      </c>
      <c r="C3440" s="888" t="s">
        <v>6092</v>
      </c>
      <c r="D3440" s="888">
        <v>1</v>
      </c>
      <c r="E3440" s="893" t="str">
        <f t="shared" si="10"/>
        <v xml:space="preserve">Expired </v>
      </c>
    </row>
    <row r="3441" spans="1:5" x14ac:dyDescent="0.3">
      <c r="A3441" s="888" t="s">
        <v>5870</v>
      </c>
      <c r="B3441" s="1019" t="s">
        <v>6763</v>
      </c>
      <c r="C3441" s="888" t="s">
        <v>6093</v>
      </c>
      <c r="D3441" s="888">
        <v>1</v>
      </c>
      <c r="E3441" s="893" t="str">
        <f t="shared" si="10"/>
        <v xml:space="preserve">Expired </v>
      </c>
    </row>
    <row r="3442" spans="1:5" x14ac:dyDescent="0.3">
      <c r="A3442" s="888" t="s">
        <v>5870</v>
      </c>
      <c r="B3442" s="1019" t="s">
        <v>6763</v>
      </c>
      <c r="C3442" s="888" t="s">
        <v>6094</v>
      </c>
      <c r="D3442" s="888">
        <v>1</v>
      </c>
      <c r="E3442" s="893" t="str">
        <f t="shared" si="10"/>
        <v xml:space="preserve">Expired </v>
      </c>
    </row>
    <row r="3443" spans="1:5" x14ac:dyDescent="0.3">
      <c r="A3443" s="888" t="s">
        <v>5870</v>
      </c>
      <c r="B3443" s="1019" t="s">
        <v>6763</v>
      </c>
      <c r="C3443" s="888" t="s">
        <v>6095</v>
      </c>
      <c r="D3443" s="888">
        <v>1</v>
      </c>
      <c r="E3443" s="893" t="str">
        <f t="shared" si="10"/>
        <v xml:space="preserve">Expired </v>
      </c>
    </row>
    <row r="3444" spans="1:5" x14ac:dyDescent="0.3">
      <c r="A3444" s="888" t="s">
        <v>5870</v>
      </c>
      <c r="B3444" s="1019" t="s">
        <v>6763</v>
      </c>
      <c r="C3444" s="888" t="s">
        <v>6096</v>
      </c>
      <c r="D3444" s="888">
        <v>1</v>
      </c>
      <c r="E3444" s="893" t="str">
        <f t="shared" si="10"/>
        <v xml:space="preserve">Expired </v>
      </c>
    </row>
    <row r="3445" spans="1:5" x14ac:dyDescent="0.3">
      <c r="A3445" s="888" t="s">
        <v>5870</v>
      </c>
      <c r="B3445" s="1019" t="s">
        <v>6763</v>
      </c>
      <c r="C3445" s="888" t="s">
        <v>6097</v>
      </c>
      <c r="D3445" s="888">
        <v>1</v>
      </c>
      <c r="E3445" s="893" t="str">
        <f t="shared" si="10"/>
        <v xml:space="preserve">Expired </v>
      </c>
    </row>
    <row r="3446" spans="1:5" x14ac:dyDescent="0.3">
      <c r="A3446" s="888" t="s">
        <v>5870</v>
      </c>
      <c r="B3446" s="1019" t="s">
        <v>6763</v>
      </c>
      <c r="C3446" s="888" t="s">
        <v>6098</v>
      </c>
      <c r="D3446" s="888">
        <v>1</v>
      </c>
      <c r="E3446" s="893" t="str">
        <f t="shared" si="10"/>
        <v xml:space="preserve">Expired </v>
      </c>
    </row>
    <row r="3447" spans="1:5" x14ac:dyDescent="0.3">
      <c r="A3447" s="888" t="s">
        <v>5870</v>
      </c>
      <c r="B3447" s="1019" t="s">
        <v>6763</v>
      </c>
      <c r="C3447" s="888" t="s">
        <v>6099</v>
      </c>
      <c r="D3447" s="888">
        <v>1</v>
      </c>
      <c r="E3447" s="893" t="str">
        <f t="shared" si="10"/>
        <v xml:space="preserve">Expired </v>
      </c>
    </row>
    <row r="3448" spans="1:5" x14ac:dyDescent="0.3">
      <c r="A3448" s="888" t="s">
        <v>5870</v>
      </c>
      <c r="B3448" s="1019" t="s">
        <v>6763</v>
      </c>
      <c r="C3448" s="888" t="s">
        <v>6100</v>
      </c>
      <c r="D3448" s="888">
        <v>1</v>
      </c>
      <c r="E3448" s="893" t="str">
        <f t="shared" si="10"/>
        <v xml:space="preserve">Expired </v>
      </c>
    </row>
    <row r="3449" spans="1:5" x14ac:dyDescent="0.3">
      <c r="A3449" s="888" t="s">
        <v>5870</v>
      </c>
      <c r="B3449" s="1019" t="s">
        <v>6763</v>
      </c>
      <c r="C3449" s="888" t="s">
        <v>6101</v>
      </c>
      <c r="D3449" s="888">
        <v>1</v>
      </c>
      <c r="E3449" s="893" t="str">
        <f t="shared" si="10"/>
        <v xml:space="preserve">Expired </v>
      </c>
    </row>
    <row r="3450" spans="1:5" x14ac:dyDescent="0.3">
      <c r="A3450" s="888" t="s">
        <v>5870</v>
      </c>
      <c r="B3450" s="1019" t="s">
        <v>6763</v>
      </c>
      <c r="C3450" s="888" t="s">
        <v>6102</v>
      </c>
      <c r="D3450" s="888">
        <v>1</v>
      </c>
      <c r="E3450" s="893" t="str">
        <f t="shared" si="10"/>
        <v xml:space="preserve">Expired </v>
      </c>
    </row>
    <row r="3451" spans="1:5" x14ac:dyDescent="0.3">
      <c r="A3451" s="888" t="s">
        <v>5870</v>
      </c>
      <c r="B3451" s="1019" t="s">
        <v>6763</v>
      </c>
      <c r="C3451" s="888" t="s">
        <v>6103</v>
      </c>
      <c r="D3451" s="888">
        <v>1</v>
      </c>
      <c r="E3451" s="893" t="str">
        <f t="shared" si="10"/>
        <v xml:space="preserve">Expired </v>
      </c>
    </row>
    <row r="3452" spans="1:5" x14ac:dyDescent="0.3">
      <c r="A3452" s="888" t="s">
        <v>5870</v>
      </c>
      <c r="B3452" s="1019" t="s">
        <v>6763</v>
      </c>
      <c r="C3452" s="888" t="s">
        <v>6104</v>
      </c>
      <c r="D3452" s="888">
        <v>1</v>
      </c>
      <c r="E3452" s="893" t="str">
        <f t="shared" si="10"/>
        <v xml:space="preserve">Expired </v>
      </c>
    </row>
    <row r="3453" spans="1:5" x14ac:dyDescent="0.3">
      <c r="A3453" s="888" t="s">
        <v>5870</v>
      </c>
      <c r="B3453" s="1019" t="s">
        <v>6763</v>
      </c>
      <c r="C3453" s="888" t="s">
        <v>6105</v>
      </c>
      <c r="D3453" s="888">
        <v>1</v>
      </c>
      <c r="E3453" s="893" t="str">
        <f t="shared" si="10"/>
        <v xml:space="preserve">Expired </v>
      </c>
    </row>
    <row r="3454" spans="1:5" x14ac:dyDescent="0.3">
      <c r="A3454" s="888" t="s">
        <v>5870</v>
      </c>
      <c r="B3454" s="1019" t="s">
        <v>6763</v>
      </c>
      <c r="C3454" s="888" t="s">
        <v>6106</v>
      </c>
      <c r="D3454" s="888">
        <v>1</v>
      </c>
      <c r="E3454" s="893" t="str">
        <f t="shared" si="10"/>
        <v xml:space="preserve">Expired </v>
      </c>
    </row>
    <row r="3455" spans="1:5" x14ac:dyDescent="0.3">
      <c r="A3455" s="888" t="s">
        <v>5870</v>
      </c>
      <c r="B3455" s="1019" t="s">
        <v>6763</v>
      </c>
      <c r="C3455" s="888" t="s">
        <v>6107</v>
      </c>
      <c r="D3455" s="888">
        <v>1</v>
      </c>
      <c r="E3455" s="893" t="str">
        <f t="shared" si="10"/>
        <v xml:space="preserve">Expired </v>
      </c>
    </row>
    <row r="3456" spans="1:5" x14ac:dyDescent="0.3">
      <c r="A3456" s="888" t="s">
        <v>5870</v>
      </c>
      <c r="B3456" s="1019" t="s">
        <v>6763</v>
      </c>
      <c r="C3456" s="888" t="s">
        <v>6108</v>
      </c>
      <c r="D3456" s="888">
        <v>1</v>
      </c>
      <c r="E3456" s="893" t="str">
        <f t="shared" si="10"/>
        <v xml:space="preserve">Expired </v>
      </c>
    </row>
    <row r="3457" spans="1:5" x14ac:dyDescent="0.3">
      <c r="A3457" s="888" t="s">
        <v>5870</v>
      </c>
      <c r="B3457" s="1019" t="s">
        <v>6763</v>
      </c>
      <c r="C3457" s="888" t="s">
        <v>6109</v>
      </c>
      <c r="D3457" s="888">
        <v>1</v>
      </c>
      <c r="E3457" s="893" t="str">
        <f t="shared" si="10"/>
        <v xml:space="preserve">Expired </v>
      </c>
    </row>
    <row r="3458" spans="1:5" x14ac:dyDescent="0.3">
      <c r="A3458" s="888" t="s">
        <v>5870</v>
      </c>
      <c r="B3458" s="1019" t="s">
        <v>6763</v>
      </c>
      <c r="C3458" s="888" t="s">
        <v>6110</v>
      </c>
      <c r="D3458" s="888">
        <v>1</v>
      </c>
      <c r="E3458" s="893" t="str">
        <f t="shared" si="10"/>
        <v xml:space="preserve">Expired </v>
      </c>
    </row>
    <row r="3459" spans="1:5" x14ac:dyDescent="0.3">
      <c r="A3459" s="888" t="s">
        <v>5870</v>
      </c>
      <c r="B3459" s="1019" t="s">
        <v>6763</v>
      </c>
      <c r="C3459" s="888" t="s">
        <v>6111</v>
      </c>
      <c r="D3459" s="888">
        <v>1</v>
      </c>
      <c r="E3459" s="893" t="str">
        <f t="shared" si="10"/>
        <v xml:space="preserve">Expired </v>
      </c>
    </row>
    <row r="3460" spans="1:5" x14ac:dyDescent="0.3">
      <c r="A3460" s="888" t="s">
        <v>5870</v>
      </c>
      <c r="B3460" s="1019" t="s">
        <v>6763</v>
      </c>
      <c r="C3460" s="888" t="s">
        <v>6112</v>
      </c>
      <c r="D3460" s="888">
        <v>1</v>
      </c>
      <c r="E3460" s="893" t="str">
        <f t="shared" si="10"/>
        <v xml:space="preserve">Expired </v>
      </c>
    </row>
    <row r="3461" spans="1:5" x14ac:dyDescent="0.3">
      <c r="A3461" s="888" t="s">
        <v>5870</v>
      </c>
      <c r="B3461" s="1019" t="s">
        <v>6763</v>
      </c>
      <c r="C3461" s="888" t="s">
        <v>6113</v>
      </c>
      <c r="D3461" s="888">
        <v>1</v>
      </c>
      <c r="E3461" s="893" t="str">
        <f t="shared" si="10"/>
        <v xml:space="preserve">Expired </v>
      </c>
    </row>
    <row r="3462" spans="1:5" x14ac:dyDescent="0.3">
      <c r="A3462" s="888" t="s">
        <v>5870</v>
      </c>
      <c r="B3462" s="1019" t="s">
        <v>6763</v>
      </c>
      <c r="C3462" s="888" t="s">
        <v>6114</v>
      </c>
      <c r="D3462" s="888">
        <v>1</v>
      </c>
      <c r="E3462" s="893" t="str">
        <f t="shared" si="10"/>
        <v xml:space="preserve">Expired </v>
      </c>
    </row>
    <row r="3463" spans="1:5" x14ac:dyDescent="0.3">
      <c r="A3463" s="888" t="s">
        <v>5870</v>
      </c>
      <c r="B3463" s="1019" t="s">
        <v>6763</v>
      </c>
      <c r="C3463" s="888" t="s">
        <v>6115</v>
      </c>
      <c r="D3463" s="888">
        <v>1</v>
      </c>
      <c r="E3463" s="893" t="str">
        <f t="shared" si="10"/>
        <v xml:space="preserve">Expired </v>
      </c>
    </row>
    <row r="3464" spans="1:5" x14ac:dyDescent="0.3">
      <c r="A3464" s="888" t="s">
        <v>5870</v>
      </c>
      <c r="B3464" s="1019" t="s">
        <v>6763</v>
      </c>
      <c r="C3464" s="888" t="s">
        <v>6116</v>
      </c>
      <c r="D3464" s="888">
        <v>1</v>
      </c>
      <c r="E3464" s="893" t="str">
        <f t="shared" si="10"/>
        <v xml:space="preserve">Expired </v>
      </c>
    </row>
    <row r="3465" spans="1:5" x14ac:dyDescent="0.3">
      <c r="A3465" s="888" t="s">
        <v>5870</v>
      </c>
      <c r="B3465" s="1019" t="s">
        <v>6763</v>
      </c>
      <c r="C3465" s="888" t="s">
        <v>6117</v>
      </c>
      <c r="D3465" s="888">
        <v>1</v>
      </c>
      <c r="E3465" s="893" t="str">
        <f t="shared" si="10"/>
        <v xml:space="preserve">Expired </v>
      </c>
    </row>
    <row r="3466" spans="1:5" x14ac:dyDescent="0.3">
      <c r="A3466" s="888" t="s">
        <v>5870</v>
      </c>
      <c r="B3466" s="1019" t="s">
        <v>6763</v>
      </c>
      <c r="C3466" s="888" t="s">
        <v>6118</v>
      </c>
      <c r="D3466" s="888">
        <v>1</v>
      </c>
      <c r="E3466" s="893" t="str">
        <f t="shared" si="10"/>
        <v xml:space="preserve">Expired </v>
      </c>
    </row>
    <row r="3467" spans="1:5" x14ac:dyDescent="0.3">
      <c r="A3467" s="888" t="s">
        <v>5870</v>
      </c>
      <c r="B3467" s="1019" t="s">
        <v>6763</v>
      </c>
      <c r="C3467" s="888" t="s">
        <v>6119</v>
      </c>
      <c r="D3467" s="888">
        <v>1</v>
      </c>
      <c r="E3467" s="893" t="str">
        <f t="shared" si="10"/>
        <v xml:space="preserve">Expired </v>
      </c>
    </row>
    <row r="3468" spans="1:5" x14ac:dyDescent="0.3">
      <c r="A3468" s="888" t="s">
        <v>5870</v>
      </c>
      <c r="B3468" s="1019" t="s">
        <v>6763</v>
      </c>
      <c r="C3468" s="888" t="s">
        <v>6120</v>
      </c>
      <c r="D3468" s="888">
        <v>1</v>
      </c>
      <c r="E3468" s="893" t="str">
        <f t="shared" si="10"/>
        <v xml:space="preserve">Expired </v>
      </c>
    </row>
    <row r="3469" spans="1:5" x14ac:dyDescent="0.3">
      <c r="A3469" s="888" t="s">
        <v>5870</v>
      </c>
      <c r="B3469" s="1019" t="s">
        <v>6763</v>
      </c>
      <c r="C3469" s="888" t="s">
        <v>6121</v>
      </c>
      <c r="D3469" s="888">
        <v>1</v>
      </c>
      <c r="E3469" s="893" t="str">
        <f t="shared" si="10"/>
        <v xml:space="preserve">Expired </v>
      </c>
    </row>
    <row r="3470" spans="1:5" x14ac:dyDescent="0.3">
      <c r="A3470" s="888" t="s">
        <v>5870</v>
      </c>
      <c r="B3470" s="1019" t="s">
        <v>6763</v>
      </c>
      <c r="C3470" s="888" t="s">
        <v>6122</v>
      </c>
      <c r="D3470" s="888">
        <v>1</v>
      </c>
      <c r="E3470" s="893" t="str">
        <f t="shared" si="10"/>
        <v xml:space="preserve">Expired </v>
      </c>
    </row>
    <row r="3471" spans="1:5" x14ac:dyDescent="0.3">
      <c r="A3471" s="888" t="s">
        <v>5870</v>
      </c>
      <c r="B3471" s="1019" t="s">
        <v>6763</v>
      </c>
      <c r="C3471" s="888" t="s">
        <v>6123</v>
      </c>
      <c r="D3471" s="888">
        <v>1</v>
      </c>
      <c r="E3471" s="893" t="str">
        <f t="shared" si="10"/>
        <v xml:space="preserve">Expired </v>
      </c>
    </row>
    <row r="3472" spans="1:5" x14ac:dyDescent="0.3">
      <c r="A3472" s="888" t="s">
        <v>5870</v>
      </c>
      <c r="B3472" s="1019" t="s">
        <v>6763</v>
      </c>
      <c r="C3472" s="888" t="s">
        <v>6124</v>
      </c>
      <c r="D3472" s="888">
        <v>1</v>
      </c>
      <c r="E3472" s="893" t="str">
        <f t="shared" si="10"/>
        <v xml:space="preserve">Expired </v>
      </c>
    </row>
    <row r="3473" spans="1:5" x14ac:dyDescent="0.3">
      <c r="A3473" s="888" t="s">
        <v>5870</v>
      </c>
      <c r="B3473" s="1019" t="s">
        <v>6763</v>
      </c>
      <c r="C3473" s="888" t="s">
        <v>6125</v>
      </c>
      <c r="D3473" s="888">
        <v>1</v>
      </c>
      <c r="E3473" s="893" t="str">
        <f t="shared" si="10"/>
        <v xml:space="preserve">Expired </v>
      </c>
    </row>
    <row r="3474" spans="1:5" x14ac:dyDescent="0.3">
      <c r="A3474" s="888" t="s">
        <v>5870</v>
      </c>
      <c r="B3474" s="1019" t="s">
        <v>6763</v>
      </c>
      <c r="C3474" s="888" t="s">
        <v>6126</v>
      </c>
      <c r="D3474" s="888">
        <v>1</v>
      </c>
      <c r="E3474" s="893" t="str">
        <f t="shared" si="10"/>
        <v xml:space="preserve">Expired </v>
      </c>
    </row>
    <row r="3475" spans="1:5" x14ac:dyDescent="0.3">
      <c r="A3475" s="888" t="s">
        <v>5870</v>
      </c>
      <c r="B3475" s="1019" t="s">
        <v>6763</v>
      </c>
      <c r="C3475" s="888" t="s">
        <v>6127</v>
      </c>
      <c r="D3475" s="888">
        <v>1</v>
      </c>
      <c r="E3475" s="893" t="str">
        <f t="shared" si="10"/>
        <v xml:space="preserve">Expired </v>
      </c>
    </row>
    <row r="3476" spans="1:5" x14ac:dyDescent="0.3">
      <c r="A3476" s="888" t="s">
        <v>2062</v>
      </c>
      <c r="B3476" s="888" t="s">
        <v>1954</v>
      </c>
      <c r="C3476" s="1008" t="s">
        <v>7073</v>
      </c>
      <c r="E3476" s="893" t="str">
        <f>$E$3304</f>
        <v>A1-B1</v>
      </c>
    </row>
    <row r="3477" spans="1:5" x14ac:dyDescent="0.3">
      <c r="A3477" s="888" t="s">
        <v>2062</v>
      </c>
      <c r="B3477" s="888" t="s">
        <v>1954</v>
      </c>
      <c r="C3477" s="1008" t="s">
        <v>7074</v>
      </c>
      <c r="E3477" s="893" t="str">
        <f>$E$3304</f>
        <v>A1-B1</v>
      </c>
    </row>
    <row r="3478" spans="1:5" x14ac:dyDescent="0.3">
      <c r="A3478" s="888" t="s">
        <v>5870</v>
      </c>
      <c r="B3478" s="1019" t="s">
        <v>6763</v>
      </c>
      <c r="C3478" s="888" t="s">
        <v>6128</v>
      </c>
      <c r="D3478" s="888">
        <v>1</v>
      </c>
      <c r="E3478" s="893" t="str">
        <f>$E$3202</f>
        <v xml:space="preserve">Expired </v>
      </c>
    </row>
    <row r="3479" spans="1:5" x14ac:dyDescent="0.3">
      <c r="A3479" s="888" t="s">
        <v>5870</v>
      </c>
      <c r="B3479" s="1019" t="s">
        <v>6763</v>
      </c>
      <c r="C3479" s="888" t="s">
        <v>6129</v>
      </c>
      <c r="D3479" s="888">
        <v>1</v>
      </c>
      <c r="E3479" s="893" t="str">
        <f>$E$3202</f>
        <v xml:space="preserve">Expired </v>
      </c>
    </row>
    <row r="3480" spans="1:5" x14ac:dyDescent="0.3">
      <c r="A3480" s="888" t="s">
        <v>5870</v>
      </c>
      <c r="B3480" s="1019" t="s">
        <v>6763</v>
      </c>
      <c r="C3480" s="888" t="s">
        <v>6130</v>
      </c>
      <c r="D3480" s="888">
        <v>1</v>
      </c>
      <c r="E3480" s="893" t="str">
        <f>$E$3202</f>
        <v xml:space="preserve">Expired </v>
      </c>
    </row>
    <row r="3481" spans="1:5" x14ac:dyDescent="0.3">
      <c r="A3481" s="888" t="s">
        <v>2062</v>
      </c>
      <c r="B3481" s="888" t="s">
        <v>1954</v>
      </c>
      <c r="C3481" s="1008" t="s">
        <v>7078</v>
      </c>
      <c r="E3481" s="893" t="str">
        <f>$E$3304</f>
        <v>A1-B1</v>
      </c>
    </row>
    <row r="3482" spans="1:5" x14ac:dyDescent="0.3">
      <c r="A3482" s="888" t="s">
        <v>5870</v>
      </c>
      <c r="B3482" s="1019" t="s">
        <v>6763</v>
      </c>
      <c r="C3482" s="888" t="s">
        <v>6131</v>
      </c>
      <c r="D3482" s="888">
        <v>1</v>
      </c>
      <c r="E3482" s="893" t="str">
        <f>$E$3202</f>
        <v xml:space="preserve">Expired </v>
      </c>
    </row>
    <row r="3483" spans="1:5" x14ac:dyDescent="0.3">
      <c r="A3483" s="888" t="s">
        <v>5870</v>
      </c>
      <c r="B3483" s="1019" t="s">
        <v>6763</v>
      </c>
      <c r="C3483" s="888" t="s">
        <v>6132</v>
      </c>
      <c r="D3483" s="888">
        <v>1</v>
      </c>
      <c r="E3483" s="893" t="str">
        <f>$E$3202</f>
        <v xml:space="preserve">Expired </v>
      </c>
    </row>
    <row r="3484" spans="1:5" x14ac:dyDescent="0.3">
      <c r="A3484" s="888" t="s">
        <v>5870</v>
      </c>
      <c r="B3484" s="1019" t="s">
        <v>6763</v>
      </c>
      <c r="C3484" s="888" t="s">
        <v>6133</v>
      </c>
      <c r="D3484" s="888">
        <v>1</v>
      </c>
      <c r="E3484" s="893" t="str">
        <f>$E$3202</f>
        <v xml:space="preserve">Expired </v>
      </c>
    </row>
    <row r="3485" spans="1:5" x14ac:dyDescent="0.3">
      <c r="A3485" s="888" t="s">
        <v>5870</v>
      </c>
      <c r="B3485" s="1019" t="s">
        <v>6763</v>
      </c>
      <c r="C3485" s="888" t="s">
        <v>6134</v>
      </c>
      <c r="D3485" s="888">
        <v>1</v>
      </c>
      <c r="E3485" s="893" t="str">
        <f>$E$3202</f>
        <v xml:space="preserve">Expired </v>
      </c>
    </row>
    <row r="3486" spans="1:5" x14ac:dyDescent="0.3">
      <c r="A3486" s="888" t="s">
        <v>2062</v>
      </c>
      <c r="B3486" s="888" t="s">
        <v>1953</v>
      </c>
      <c r="C3486" s="888" t="s">
        <v>2371</v>
      </c>
      <c r="E3486" s="893" t="str">
        <f>$E$1407</f>
        <v>Province</v>
      </c>
    </row>
    <row r="3487" spans="1:5" x14ac:dyDescent="0.3">
      <c r="A3487" s="888" t="s">
        <v>2062</v>
      </c>
      <c r="B3487" s="888" t="s">
        <v>1953</v>
      </c>
      <c r="C3487" s="888" t="s">
        <v>2125</v>
      </c>
      <c r="E3487" s="893" t="s">
        <v>1231</v>
      </c>
    </row>
    <row r="3488" spans="1:5" x14ac:dyDescent="0.3">
      <c r="A3488" s="888" t="s">
        <v>2062</v>
      </c>
      <c r="B3488" s="888" t="s">
        <v>1953</v>
      </c>
      <c r="C3488" s="888" t="s">
        <v>2404</v>
      </c>
      <c r="E3488" s="893" t="s">
        <v>1230</v>
      </c>
    </row>
    <row r="3489" spans="1:5" x14ac:dyDescent="0.3">
      <c r="A3489" s="888" t="s">
        <v>2062</v>
      </c>
      <c r="B3489" s="888" t="s">
        <v>1953</v>
      </c>
      <c r="C3489" s="888" t="s">
        <v>2405</v>
      </c>
      <c r="E3489" s="893" t="s">
        <v>1229</v>
      </c>
    </row>
    <row r="3490" spans="1:5" x14ac:dyDescent="0.3">
      <c r="A3490" s="888" t="s">
        <v>2062</v>
      </c>
      <c r="B3490" s="888" t="s">
        <v>1953</v>
      </c>
      <c r="C3490" s="888" t="s">
        <v>2406</v>
      </c>
      <c r="E3490" s="893" t="s">
        <v>1228</v>
      </c>
    </row>
    <row r="3491" spans="1:5" x14ac:dyDescent="0.3">
      <c r="A3491" s="888" t="s">
        <v>2062</v>
      </c>
      <c r="B3491" s="888" t="s">
        <v>1953</v>
      </c>
      <c r="C3491" s="888" t="s">
        <v>2407</v>
      </c>
      <c r="E3491" s="893" t="s">
        <v>6690</v>
      </c>
    </row>
    <row r="3492" spans="1:5" x14ac:dyDescent="0.3">
      <c r="A3492" s="888" t="s">
        <v>2062</v>
      </c>
      <c r="B3492" s="888" t="s">
        <v>1953</v>
      </c>
      <c r="C3492" s="888" t="s">
        <v>2372</v>
      </c>
      <c r="E3492" s="893" t="s">
        <v>1218</v>
      </c>
    </row>
    <row r="3493" spans="1:5" x14ac:dyDescent="0.3">
      <c r="A3493" s="888" t="s">
        <v>2062</v>
      </c>
      <c r="B3493" s="888" t="s">
        <v>1953</v>
      </c>
      <c r="C3493" s="888" t="s">
        <v>2126</v>
      </c>
      <c r="E3493" s="893" t="s">
        <v>1216</v>
      </c>
    </row>
    <row r="3494" spans="1:5" x14ac:dyDescent="0.3">
      <c r="A3494" s="888" t="s">
        <v>2062</v>
      </c>
      <c r="B3494" s="888" t="s">
        <v>1953</v>
      </c>
      <c r="C3494" s="888" t="s">
        <v>2071</v>
      </c>
      <c r="E3494" s="893" t="s">
        <v>1214</v>
      </c>
    </row>
    <row r="3495" spans="1:5" x14ac:dyDescent="0.3">
      <c r="A3495" s="888" t="s">
        <v>2062</v>
      </c>
      <c r="B3495" s="888" t="s">
        <v>1953</v>
      </c>
      <c r="C3495" s="888" t="s">
        <v>6691</v>
      </c>
      <c r="E3495" s="1011" t="str">
        <f>$E$2433</f>
        <v>New Brunswick</v>
      </c>
    </row>
    <row r="3496" spans="1:5" x14ac:dyDescent="0.3">
      <c r="A3496" s="888" t="s">
        <v>2062</v>
      </c>
      <c r="B3496" s="888" t="s">
        <v>1953</v>
      </c>
      <c r="C3496" s="888" t="s">
        <v>2458</v>
      </c>
      <c r="E3496" s="1011" t="str">
        <f>$E$2430</f>
        <v>Quebec</v>
      </c>
    </row>
    <row r="3497" spans="1:5" x14ac:dyDescent="0.3">
      <c r="A3497" s="888" t="s">
        <v>2062</v>
      </c>
      <c r="B3497" s="888" t="s">
        <v>1953</v>
      </c>
      <c r="C3497" s="888" t="s">
        <v>2196</v>
      </c>
      <c r="E3497" s="1011" t="str">
        <f>$E$1956</f>
        <v>Ontario</v>
      </c>
    </row>
    <row r="3498" spans="1:5" x14ac:dyDescent="0.3">
      <c r="A3498" s="888" t="s">
        <v>2062</v>
      </c>
      <c r="B3498" s="888" t="s">
        <v>1953</v>
      </c>
      <c r="C3498" s="888" t="s">
        <v>6686</v>
      </c>
      <c r="E3498" s="893" t="s">
        <v>1209</v>
      </c>
    </row>
    <row r="3499" spans="1:5" x14ac:dyDescent="0.3">
      <c r="A3499" s="888" t="s">
        <v>2062</v>
      </c>
      <c r="B3499" s="888" t="s">
        <v>1953</v>
      </c>
      <c r="C3499" s="888" t="s">
        <v>6687</v>
      </c>
      <c r="E3499" s="893" t="s">
        <v>1208</v>
      </c>
    </row>
    <row r="3500" spans="1:5" x14ac:dyDescent="0.3">
      <c r="A3500" s="888" t="s">
        <v>2062</v>
      </c>
      <c r="B3500" s="888" t="s">
        <v>1953</v>
      </c>
      <c r="C3500" s="888" t="s">
        <v>2460</v>
      </c>
      <c r="E3500" s="1011" t="str">
        <f>$E$1953</f>
        <v>Alberta</v>
      </c>
    </row>
    <row r="3501" spans="1:5" x14ac:dyDescent="0.3">
      <c r="A3501" s="888" t="s">
        <v>2062</v>
      </c>
      <c r="B3501" s="888" t="s">
        <v>1953</v>
      </c>
      <c r="C3501" s="888" t="s">
        <v>2461</v>
      </c>
      <c r="E3501" s="1011" t="str">
        <f>$E$2421</f>
        <v>British Columbia</v>
      </c>
    </row>
    <row r="3502" spans="1:5" x14ac:dyDescent="0.3">
      <c r="A3502" s="888" t="s">
        <v>2062</v>
      </c>
      <c r="B3502" s="888" t="s">
        <v>1953</v>
      </c>
      <c r="C3502" s="888" t="s">
        <v>2267</v>
      </c>
      <c r="E3502" s="893" t="s">
        <v>1205</v>
      </c>
    </row>
    <row r="3503" spans="1:5" x14ac:dyDescent="0.3">
      <c r="A3503" s="888" t="s">
        <v>2062</v>
      </c>
      <c r="B3503" s="888" t="s">
        <v>1953</v>
      </c>
      <c r="C3503" s="888" t="s">
        <v>2202</v>
      </c>
      <c r="E3503" s="893" t="s">
        <v>1203</v>
      </c>
    </row>
    <row r="3504" spans="1:5" x14ac:dyDescent="0.3">
      <c r="A3504" s="888" t="s">
        <v>2062</v>
      </c>
      <c r="B3504" s="888" t="s">
        <v>1953</v>
      </c>
      <c r="C3504" s="888" t="s">
        <v>2462</v>
      </c>
      <c r="E3504" s="893" t="s">
        <v>1202</v>
      </c>
    </row>
    <row r="3505" spans="1:5" x14ac:dyDescent="0.3">
      <c r="A3505" s="888" t="s">
        <v>2062</v>
      </c>
      <c r="B3505" s="888" t="s">
        <v>1953</v>
      </c>
      <c r="C3505" s="888" t="s">
        <v>2199</v>
      </c>
      <c r="E3505" s="893" t="s">
        <v>1430</v>
      </c>
    </row>
    <row r="3506" spans="1:5" x14ac:dyDescent="0.3">
      <c r="A3506" s="888" t="s">
        <v>2062</v>
      </c>
      <c r="B3506" s="888" t="s">
        <v>1953</v>
      </c>
      <c r="C3506" s="888" t="s">
        <v>2263</v>
      </c>
      <c r="E3506" s="893" t="s">
        <v>1431</v>
      </c>
    </row>
    <row r="3507" spans="1:5" x14ac:dyDescent="0.3">
      <c r="A3507" s="888" t="s">
        <v>2062</v>
      </c>
      <c r="B3507" s="888" t="s">
        <v>1953</v>
      </c>
      <c r="C3507" s="888" t="s">
        <v>2465</v>
      </c>
      <c r="E3507" s="893" t="s">
        <v>1432</v>
      </c>
    </row>
    <row r="3508" spans="1:5" x14ac:dyDescent="0.3">
      <c r="A3508" s="888" t="s">
        <v>2062</v>
      </c>
      <c r="B3508" s="888" t="s">
        <v>1953</v>
      </c>
      <c r="C3508" s="888" t="s">
        <v>2469</v>
      </c>
      <c r="E3508" s="893" t="s">
        <v>1227</v>
      </c>
    </row>
    <row r="3509" spans="1:5" x14ac:dyDescent="0.3">
      <c r="A3509" s="888" t="s">
        <v>2062</v>
      </c>
      <c r="B3509" s="888" t="s">
        <v>1953</v>
      </c>
      <c r="C3509" s="888" t="s">
        <v>2088</v>
      </c>
      <c r="E3509" s="893" t="s">
        <v>6692</v>
      </c>
    </row>
    <row r="3510" spans="1:5" x14ac:dyDescent="0.3">
      <c r="A3510" s="888" t="s">
        <v>2062</v>
      </c>
      <c r="B3510" s="888" t="s">
        <v>1953</v>
      </c>
      <c r="C3510" s="888" t="s">
        <v>2268</v>
      </c>
      <c r="E3510" s="893" t="str">
        <f>$E$3486</f>
        <v>Province</v>
      </c>
    </row>
    <row r="3511" spans="1:5" x14ac:dyDescent="0.3">
      <c r="A3511" s="888" t="s">
        <v>2062</v>
      </c>
      <c r="B3511" s="888" t="s">
        <v>1953</v>
      </c>
      <c r="C3511" s="888" t="s">
        <v>2470</v>
      </c>
      <c r="E3511" s="893" t="str">
        <f>$E$1456</f>
        <v>Electricity</v>
      </c>
    </row>
    <row r="3512" spans="1:5" x14ac:dyDescent="0.3">
      <c r="A3512" s="888" t="s">
        <v>2062</v>
      </c>
      <c r="B3512" s="888" t="s">
        <v>1953</v>
      </c>
      <c r="C3512" s="888" t="s">
        <v>6688</v>
      </c>
      <c r="E3512" s="893" t="str">
        <f>$E$1457</f>
        <v>Natural Gas</v>
      </c>
    </row>
    <row r="3513" spans="1:5" x14ac:dyDescent="0.3">
      <c r="A3513" s="888" t="s">
        <v>2062</v>
      </c>
      <c r="B3513" s="888" t="s">
        <v>1953</v>
      </c>
      <c r="C3513" s="888" t="s">
        <v>6693</v>
      </c>
      <c r="E3513" s="893" t="str">
        <f>$E$1458</f>
        <v>Oil</v>
      </c>
    </row>
    <row r="3514" spans="1:5" x14ac:dyDescent="0.3">
      <c r="A3514" s="888" t="s">
        <v>2062</v>
      </c>
      <c r="B3514" s="888" t="s">
        <v>1953</v>
      </c>
      <c r="C3514" s="888" t="s">
        <v>6694</v>
      </c>
      <c r="E3514" s="893" t="str">
        <f>$E$1459</f>
        <v>Propane</v>
      </c>
    </row>
    <row r="3515" spans="1:5" x14ac:dyDescent="0.3">
      <c r="A3515" s="888" t="s">
        <v>2062</v>
      </c>
      <c r="B3515" s="888" t="s">
        <v>1953</v>
      </c>
      <c r="C3515" s="888" t="s">
        <v>6695</v>
      </c>
      <c r="E3515" s="893" t="str">
        <f>$E$1460</f>
        <v>Wood</v>
      </c>
    </row>
    <row r="3516" spans="1:5" x14ac:dyDescent="0.3">
      <c r="A3516" s="888" t="s">
        <v>2062</v>
      </c>
      <c r="B3516" s="888" t="s">
        <v>1953</v>
      </c>
      <c r="C3516" s="888" t="s">
        <v>6696</v>
      </c>
      <c r="E3516" s="893" t="str">
        <f>$E$1449</f>
        <v>Total</v>
      </c>
    </row>
    <row r="3517" spans="1:5" x14ac:dyDescent="0.3">
      <c r="A3517" s="888" t="s">
        <v>2062</v>
      </c>
      <c r="B3517" s="888" t="s">
        <v>1953</v>
      </c>
      <c r="C3517" s="888" t="s">
        <v>2139</v>
      </c>
      <c r="E3517" s="893" t="s">
        <v>1219</v>
      </c>
    </row>
    <row r="3518" spans="1:5" x14ac:dyDescent="0.3">
      <c r="A3518" s="888" t="s">
        <v>2062</v>
      </c>
      <c r="B3518" s="888" t="s">
        <v>1953</v>
      </c>
      <c r="C3518" s="888" t="s">
        <v>2091</v>
      </c>
      <c r="E3518" s="893" t="str">
        <f>$E$3492</f>
        <v>Newfoundland and Labrador</v>
      </c>
    </row>
    <row r="3519" spans="1:5" x14ac:dyDescent="0.3">
      <c r="A3519" s="888" t="s">
        <v>2062</v>
      </c>
      <c r="B3519" s="888" t="s">
        <v>1953</v>
      </c>
      <c r="C3519" s="888" t="s">
        <v>2205</v>
      </c>
      <c r="E3519" s="893" t="s">
        <v>1217</v>
      </c>
    </row>
    <row r="3520" spans="1:5" x14ac:dyDescent="0.3">
      <c r="A3520" s="888" t="s">
        <v>2062</v>
      </c>
      <c r="B3520" s="888" t="s">
        <v>1953</v>
      </c>
      <c r="C3520" s="888" t="s">
        <v>2237</v>
      </c>
      <c r="E3520" s="893" t="str">
        <f>$E$3493</f>
        <v>Prince Edward Island</v>
      </c>
    </row>
    <row r="3521" spans="1:6" x14ac:dyDescent="0.3">
      <c r="A3521" s="888" t="s">
        <v>2062</v>
      </c>
      <c r="B3521" s="888" t="s">
        <v>1953</v>
      </c>
      <c r="C3521" s="888" t="s">
        <v>2370</v>
      </c>
      <c r="E3521" s="893" t="s">
        <v>1215</v>
      </c>
    </row>
    <row r="3522" spans="1:6" x14ac:dyDescent="0.3">
      <c r="A3522" s="888" t="s">
        <v>2062</v>
      </c>
      <c r="B3522" s="888" t="s">
        <v>1953</v>
      </c>
      <c r="C3522" s="888" t="s">
        <v>2474</v>
      </c>
      <c r="E3522" s="893" t="str">
        <f>$E$3494</f>
        <v>Nova Scotia</v>
      </c>
    </row>
    <row r="3523" spans="1:6" x14ac:dyDescent="0.3">
      <c r="A3523" s="888" t="s">
        <v>2062</v>
      </c>
      <c r="B3523" s="888" t="s">
        <v>1953</v>
      </c>
      <c r="C3523" s="888" t="s">
        <v>2234</v>
      </c>
      <c r="E3523" s="893" t="s">
        <v>1213</v>
      </c>
    </row>
    <row r="3524" spans="1:6" x14ac:dyDescent="0.3">
      <c r="A3524" s="888" t="s">
        <v>2062</v>
      </c>
      <c r="B3524" s="888" t="s">
        <v>1953</v>
      </c>
      <c r="C3524" s="888" t="s">
        <v>2206</v>
      </c>
      <c r="E3524" s="1011" t="str">
        <f>$E$2433</f>
        <v>New Brunswick</v>
      </c>
    </row>
    <row r="3525" spans="1:6" x14ac:dyDescent="0.3">
      <c r="A3525" s="888" t="s">
        <v>2062</v>
      </c>
      <c r="B3525" s="888" t="s">
        <v>1953</v>
      </c>
      <c r="C3525" s="888" t="s">
        <v>2207</v>
      </c>
      <c r="E3525" s="893" t="s">
        <v>1211</v>
      </c>
    </row>
    <row r="3526" spans="1:6" x14ac:dyDescent="0.3">
      <c r="A3526" s="888" t="s">
        <v>2062</v>
      </c>
      <c r="B3526" s="888" t="s">
        <v>1953</v>
      </c>
      <c r="C3526" s="888" t="s">
        <v>2477</v>
      </c>
      <c r="E3526" s="1011" t="str">
        <f>$E$2430</f>
        <v>Quebec</v>
      </c>
    </row>
    <row r="3527" spans="1:6" x14ac:dyDescent="0.3">
      <c r="A3527" s="888" t="s">
        <v>2062</v>
      </c>
      <c r="B3527" s="888" t="s">
        <v>1953</v>
      </c>
      <c r="C3527" s="888" t="s">
        <v>2265</v>
      </c>
      <c r="E3527" s="1011" t="str">
        <f>$E$1956</f>
        <v>Ontario</v>
      </c>
    </row>
    <row r="3528" spans="1:6" x14ac:dyDescent="0.3">
      <c r="A3528" s="888" t="s">
        <v>2062</v>
      </c>
      <c r="B3528" s="888" t="s">
        <v>1953</v>
      </c>
      <c r="C3528" s="888" t="s">
        <v>2747</v>
      </c>
      <c r="E3528" s="893" t="str">
        <f>$E$3498</f>
        <v>Manitoba</v>
      </c>
    </row>
    <row r="3529" spans="1:6" x14ac:dyDescent="0.3">
      <c r="A3529" s="888" t="s">
        <v>2062</v>
      </c>
      <c r="B3529" s="888" t="s">
        <v>1953</v>
      </c>
      <c r="C3529" s="1020" t="s">
        <v>2140</v>
      </c>
      <c r="E3529" s="1021" t="str">
        <f>$E$59</f>
        <v>Material Emissions</v>
      </c>
      <c r="F3529" s="1021"/>
    </row>
    <row r="3530" spans="1:6" x14ac:dyDescent="0.3">
      <c r="A3530" s="888" t="s">
        <v>2062</v>
      </c>
      <c r="B3530" s="888" t="s">
        <v>1953</v>
      </c>
      <c r="C3530" s="888" t="s">
        <v>2277</v>
      </c>
      <c r="E3530" s="893" t="str">
        <f>$E$3499</f>
        <v>Saskatchewan</v>
      </c>
    </row>
    <row r="3531" spans="1:6" x14ac:dyDescent="0.3">
      <c r="A3531" s="888" t="s">
        <v>2062</v>
      </c>
      <c r="B3531" s="888" t="s">
        <v>1953</v>
      </c>
      <c r="C3531" s="888" t="s">
        <v>2169</v>
      </c>
      <c r="E3531" s="1011" t="str">
        <f>$E$1953</f>
        <v>Alberta</v>
      </c>
    </row>
    <row r="3532" spans="1:6" x14ac:dyDescent="0.3">
      <c r="A3532" s="888" t="s">
        <v>2062</v>
      </c>
      <c r="B3532" s="888" t="s">
        <v>1953</v>
      </c>
      <c r="C3532" s="888" t="s">
        <v>6689</v>
      </c>
      <c r="E3532" s="1011" t="str">
        <f>$E$2421</f>
        <v>British Columbia</v>
      </c>
    </row>
    <row r="3533" spans="1:6" x14ac:dyDescent="0.3">
      <c r="A3533" s="888" t="s">
        <v>2062</v>
      </c>
      <c r="B3533" s="888" t="s">
        <v>1953</v>
      </c>
      <c r="C3533" s="888" t="s">
        <v>2238</v>
      </c>
      <c r="E3533" s="893" t="str">
        <f>$E$3502</f>
        <v>Yukon</v>
      </c>
    </row>
    <row r="3534" spans="1:6" x14ac:dyDescent="0.3">
      <c r="A3534" s="888" t="s">
        <v>2062</v>
      </c>
      <c r="B3534" s="888" t="s">
        <v>1953</v>
      </c>
      <c r="C3534" s="888" t="s">
        <v>2239</v>
      </c>
      <c r="E3534" s="893" t="s">
        <v>1204</v>
      </c>
    </row>
    <row r="3535" spans="1:6" x14ac:dyDescent="0.3">
      <c r="A3535" s="888" t="s">
        <v>2062</v>
      </c>
      <c r="B3535" s="888" t="s">
        <v>1953</v>
      </c>
      <c r="C3535" s="888" t="s">
        <v>2484</v>
      </c>
      <c r="E3535" s="893" t="str">
        <f>$E$3503</f>
        <v>Northwest Territories</v>
      </c>
    </row>
    <row r="3536" spans="1:6" x14ac:dyDescent="0.3">
      <c r="A3536" s="888" t="s">
        <v>2062</v>
      </c>
      <c r="B3536" s="888" t="s">
        <v>1953</v>
      </c>
      <c r="C3536" s="888" t="s">
        <v>2486</v>
      </c>
      <c r="E3536" s="893" t="str">
        <f>$E$3504</f>
        <v>Nunavut</v>
      </c>
    </row>
    <row r="3537" spans="1:6" x14ac:dyDescent="0.3">
      <c r="A3537" s="888" t="s">
        <v>2072</v>
      </c>
      <c r="B3537" s="888" t="s">
        <v>6697</v>
      </c>
      <c r="C3537" s="888" t="s">
        <v>6698</v>
      </c>
      <c r="D3537" s="888" t="b">
        <v>1</v>
      </c>
      <c r="E3537" s="893" t="s">
        <v>6699</v>
      </c>
    </row>
    <row r="3538" spans="1:6" x14ac:dyDescent="0.3">
      <c r="A3538" s="888" t="s">
        <v>6700</v>
      </c>
      <c r="C3538" s="888" t="s">
        <v>6701</v>
      </c>
      <c r="E3538" s="893" t="s">
        <v>6702</v>
      </c>
    </row>
    <row r="3539" spans="1:6" x14ac:dyDescent="0.3">
      <c r="A3539" s="888" t="s">
        <v>6700</v>
      </c>
      <c r="C3539" s="888" t="s">
        <v>6703</v>
      </c>
      <c r="E3539" s="893" t="s">
        <v>6704</v>
      </c>
    </row>
    <row r="3540" spans="1:6" x14ac:dyDescent="0.3">
      <c r="A3540" s="888" t="s">
        <v>6700</v>
      </c>
      <c r="C3540" s="888" t="s">
        <v>6705</v>
      </c>
      <c r="E3540" s="893" t="s">
        <v>6706</v>
      </c>
    </row>
    <row r="3541" spans="1:6" x14ac:dyDescent="0.3">
      <c r="A3541" s="888" t="s">
        <v>6700</v>
      </c>
      <c r="C3541" s="888" t="s">
        <v>6707</v>
      </c>
      <c r="E3541" s="893" t="s">
        <v>6708</v>
      </c>
    </row>
    <row r="3542" spans="1:6" x14ac:dyDescent="0.3">
      <c r="A3542" s="888" t="s">
        <v>6700</v>
      </c>
      <c r="C3542" s="888" t="s">
        <v>6709</v>
      </c>
      <c r="E3542" s="893" t="s">
        <v>6710</v>
      </c>
    </row>
    <row r="3543" spans="1:6" x14ac:dyDescent="0.3">
      <c r="A3543" s="888" t="s">
        <v>6700</v>
      </c>
      <c r="C3543" s="888" t="s">
        <v>6711</v>
      </c>
      <c r="E3543" s="893" t="s">
        <v>6712</v>
      </c>
      <c r="F3543" s="893" t="s">
        <v>2748</v>
      </c>
    </row>
    <row r="3544" spans="1:6" x14ac:dyDescent="0.3">
      <c r="A3544" s="888" t="s">
        <v>6700</v>
      </c>
      <c r="C3544" s="888" t="s">
        <v>6713</v>
      </c>
      <c r="E3544" s="893" t="s">
        <v>6714</v>
      </c>
    </row>
    <row r="3545" spans="1:6" x14ac:dyDescent="0.3">
      <c r="A3545" s="888" t="s">
        <v>6700</v>
      </c>
      <c r="C3545" s="888" t="s">
        <v>6715</v>
      </c>
      <c r="E3545" s="893" t="s">
        <v>6716</v>
      </c>
      <c r="F3545" s="893" t="s">
        <v>2900</v>
      </c>
    </row>
    <row r="3546" spans="1:6" x14ac:dyDescent="0.3">
      <c r="A3546" s="888" t="s">
        <v>6700</v>
      </c>
      <c r="C3546" s="888" t="s">
        <v>6717</v>
      </c>
      <c r="E3546" s="893" t="s">
        <v>6718</v>
      </c>
    </row>
    <row r="3547" spans="1:6" x14ac:dyDescent="0.3">
      <c r="A3547" s="888" t="s">
        <v>6700</v>
      </c>
      <c r="C3547" s="888" t="s">
        <v>6719</v>
      </c>
      <c r="E3547" s="893" t="s">
        <v>6720</v>
      </c>
      <c r="F3547" s="893" t="s">
        <v>2749</v>
      </c>
    </row>
    <row r="3548" spans="1:6" x14ac:dyDescent="0.3">
      <c r="A3548" s="888" t="s">
        <v>6700</v>
      </c>
      <c r="C3548" s="888" t="s">
        <v>6721</v>
      </c>
      <c r="E3548" s="893" t="s">
        <v>6722</v>
      </c>
    </row>
    <row r="3549" spans="1:6" x14ac:dyDescent="0.3">
      <c r="A3549" s="888" t="s">
        <v>6700</v>
      </c>
      <c r="C3549" s="888" t="s">
        <v>6723</v>
      </c>
      <c r="E3549" s="1022" t="s">
        <v>7178</v>
      </c>
      <c r="F3549" s="893" t="s">
        <v>3403</v>
      </c>
    </row>
    <row r="3550" spans="1:6" x14ac:dyDescent="0.3">
      <c r="A3550" s="888" t="s">
        <v>6700</v>
      </c>
      <c r="C3550" s="888" t="s">
        <v>6724</v>
      </c>
      <c r="E3550" s="893" t="s">
        <v>6725</v>
      </c>
    </row>
    <row r="3551" spans="1:6" x14ac:dyDescent="0.3">
      <c r="A3551" s="888" t="s">
        <v>6700</v>
      </c>
      <c r="C3551" s="888" t="s">
        <v>6726</v>
      </c>
      <c r="E3551" s="893" t="s">
        <v>6727</v>
      </c>
    </row>
    <row r="3552" spans="1:6" x14ac:dyDescent="0.3">
      <c r="A3552" s="888" t="s">
        <v>6700</v>
      </c>
      <c r="C3552" s="1023" t="s">
        <v>7176</v>
      </c>
      <c r="E3552" s="1024" t="s">
        <v>7179</v>
      </c>
      <c r="F3552" s="893" t="s">
        <v>3403</v>
      </c>
    </row>
    <row r="3553" spans="1:6" x14ac:dyDescent="0.3">
      <c r="A3553" s="888" t="s">
        <v>6700</v>
      </c>
      <c r="C3553" s="1023" t="s">
        <v>7177</v>
      </c>
      <c r="E3553" s="1024" t="s">
        <v>7180</v>
      </c>
      <c r="F3553" s="893" t="s">
        <v>3403</v>
      </c>
    </row>
    <row r="3554" spans="1:6" x14ac:dyDescent="0.3">
      <c r="A3554" s="888" t="s">
        <v>6728</v>
      </c>
      <c r="C3554" s="888" t="s">
        <v>6729</v>
      </c>
      <c r="E3554" s="893" t="s">
        <v>6730</v>
      </c>
    </row>
    <row r="3555" spans="1:6" x14ac:dyDescent="0.3">
      <c r="A3555" s="888" t="s">
        <v>6728</v>
      </c>
      <c r="C3555" s="888" t="s">
        <v>6731</v>
      </c>
      <c r="D3555" s="888" t="s">
        <v>6732</v>
      </c>
      <c r="E3555" s="893" t="s">
        <v>6733</v>
      </c>
    </row>
    <row r="3556" spans="1:6" x14ac:dyDescent="0.3">
      <c r="A3556" s="888" t="s">
        <v>6728</v>
      </c>
      <c r="C3556" s="888" t="s">
        <v>6731</v>
      </c>
      <c r="D3556" s="888" t="s">
        <v>6734</v>
      </c>
      <c r="E3556" s="893" t="s">
        <v>6735</v>
      </c>
    </row>
    <row r="3557" spans="1:6" x14ac:dyDescent="0.3">
      <c r="A3557" s="888" t="s">
        <v>6728</v>
      </c>
      <c r="C3557" s="888" t="s">
        <v>6736</v>
      </c>
      <c r="E3557" s="893" t="s">
        <v>6737</v>
      </c>
    </row>
    <row r="3558" spans="1:6" x14ac:dyDescent="0.3">
      <c r="A3558" s="888" t="s">
        <v>6728</v>
      </c>
      <c r="C3558" s="888" t="s">
        <v>6738</v>
      </c>
      <c r="E3558" s="893" t="s">
        <v>6739</v>
      </c>
    </row>
    <row r="3559" spans="1:6" x14ac:dyDescent="0.3">
      <c r="A3559" s="888" t="s">
        <v>6728</v>
      </c>
      <c r="C3559" s="888" t="s">
        <v>6740</v>
      </c>
      <c r="E3559" s="893" t="s">
        <v>6741</v>
      </c>
    </row>
    <row r="3560" spans="1:6" x14ac:dyDescent="0.3">
      <c r="A3560" s="888" t="s">
        <v>6742</v>
      </c>
      <c r="B3560" s="888" t="s">
        <v>1429</v>
      </c>
      <c r="C3560" s="888" t="s">
        <v>2204</v>
      </c>
      <c r="E3560" s="893" t="s">
        <v>6743</v>
      </c>
    </row>
    <row r="3561" spans="1:6" x14ac:dyDescent="0.3">
      <c r="A3561" s="888" t="s">
        <v>6742</v>
      </c>
      <c r="B3561" s="888" t="s">
        <v>1429</v>
      </c>
      <c r="C3561" s="888" t="s">
        <v>2470</v>
      </c>
      <c r="E3561" s="893" t="str">
        <f>$E$3560</f>
        <v>Select insulation from dropdown, enter R-value (left,imperial units) and surface area (right, square metres)</v>
      </c>
    </row>
    <row r="3562" spans="1:6" x14ac:dyDescent="0.3">
      <c r="A3562" s="888" t="s">
        <v>6742</v>
      </c>
      <c r="B3562" s="888" t="s">
        <v>1429</v>
      </c>
      <c r="C3562" s="888" t="s">
        <v>2471</v>
      </c>
      <c r="E3562" s="893" t="str">
        <f>$E$3560</f>
        <v>Select insulation from dropdown, enter R-value (left,imperial units) and surface area (right, square metres)</v>
      </c>
    </row>
    <row r="3563" spans="1:6" x14ac:dyDescent="0.3">
      <c r="A3563" s="888" t="s">
        <v>6742</v>
      </c>
      <c r="B3563" s="888" t="s">
        <v>1953</v>
      </c>
      <c r="C3563" s="888" t="s">
        <v>2464</v>
      </c>
      <c r="E3563" s="893" t="s">
        <v>6744</v>
      </c>
    </row>
    <row r="3564" spans="1:6" x14ac:dyDescent="0.3">
      <c r="A3564" s="888" t="s">
        <v>6742</v>
      </c>
      <c r="B3564" s="888" t="s">
        <v>1953</v>
      </c>
      <c r="C3564" s="888" t="s">
        <v>3295</v>
      </c>
      <c r="E3564" s="893" t="str">
        <f>$E$3563</f>
        <v>Select a province's GHG factor to override then enter the new GHG intensity value in the correstponding cell below.
 Note: only one province's fuel type can be overridden at a time.</v>
      </c>
    </row>
    <row r="3565" spans="1:6" x14ac:dyDescent="0.3">
      <c r="A3565" s="888" t="s">
        <v>6742</v>
      </c>
      <c r="B3565" s="888" t="s">
        <v>1953</v>
      </c>
      <c r="C3565" s="888" t="s">
        <v>6745</v>
      </c>
      <c r="E3565" s="893" t="str">
        <f>$E$3563</f>
        <v>Select a province's GHG factor to override then enter the new GHG intensity value in the correstponding cell below.
 Note: only one province's fuel type can be overridden at a time.</v>
      </c>
    </row>
    <row r="3566" spans="1:6" x14ac:dyDescent="0.3">
      <c r="A3566" s="888" t="s">
        <v>6742</v>
      </c>
      <c r="B3566" s="888" t="s">
        <v>1953</v>
      </c>
      <c r="C3566" s="888" t="s">
        <v>6746</v>
      </c>
      <c r="E3566" s="893" t="str">
        <f>$E$3563</f>
        <v>Select a province's GHG factor to override then enter the new GHG intensity value in the correstponding cell below.
 Note: only one province's fuel type can be overridden at a time.</v>
      </c>
    </row>
    <row r="3567" spans="1:6" x14ac:dyDescent="0.3">
      <c r="A3567" s="888" t="s">
        <v>6742</v>
      </c>
      <c r="B3567" s="888" t="s">
        <v>1953</v>
      </c>
      <c r="C3567" s="888" t="s">
        <v>6747</v>
      </c>
      <c r="E3567" s="893" t="str">
        <f>$E$3563</f>
        <v>Select a province's GHG factor to override then enter the new GHG intensity value in the correstponding cell below.
 Note: only one province's fuel type can be overridden at a time.</v>
      </c>
    </row>
    <row r="3568" spans="1:6" x14ac:dyDescent="0.3">
      <c r="A3568" s="888" t="s">
        <v>6742</v>
      </c>
      <c r="B3568" s="888" t="s">
        <v>1953</v>
      </c>
      <c r="C3568" s="888" t="s">
        <v>2466</v>
      </c>
      <c r="E3568" s="893" t="s">
        <v>6748</v>
      </c>
    </row>
    <row r="3569" spans="1:5" x14ac:dyDescent="0.3">
      <c r="A3569" s="888" t="s">
        <v>6742</v>
      </c>
      <c r="B3569" s="888" t="s">
        <v>1953</v>
      </c>
      <c r="C3569" s="888" t="s">
        <v>3296</v>
      </c>
      <c r="E3569" s="893" t="str">
        <f>$E$3568</f>
        <v>Enter source of information used for override value. Web link preferrable, if available.</v>
      </c>
    </row>
    <row r="3570" spans="1:5" x14ac:dyDescent="0.3">
      <c r="A3570" s="888" t="s">
        <v>6742</v>
      </c>
      <c r="B3570" s="888" t="s">
        <v>1953</v>
      </c>
      <c r="C3570" s="888" t="s">
        <v>3297</v>
      </c>
      <c r="E3570" s="893" t="str">
        <f>$E$3568</f>
        <v>Enter source of information used for override value. Web link preferrable, if available.</v>
      </c>
    </row>
    <row r="3571" spans="1:5" x14ac:dyDescent="0.3">
      <c r="A3571" s="888" t="s">
        <v>6742</v>
      </c>
      <c r="B3571" s="888" t="s">
        <v>1953</v>
      </c>
      <c r="C3571" s="888" t="s">
        <v>6749</v>
      </c>
      <c r="E3571" s="893" t="str">
        <f>$E$3568</f>
        <v>Enter source of information used for override value. Web link preferrable, if available.</v>
      </c>
    </row>
    <row r="3572" spans="1:5" x14ac:dyDescent="0.3">
      <c r="A3572" s="888" t="s">
        <v>6742</v>
      </c>
      <c r="B3572" s="888" t="s">
        <v>1953</v>
      </c>
      <c r="C3572" s="888" t="s">
        <v>6750</v>
      </c>
      <c r="E3572" s="893" t="str">
        <f>$E$3568</f>
        <v>Enter source of information used for override value. Web link preferrable, if available.</v>
      </c>
    </row>
    <row r="3573" spans="1:5" x14ac:dyDescent="0.3">
      <c r="A3573" s="888" t="s">
        <v>2072</v>
      </c>
      <c r="B3573" s="888" t="s">
        <v>1022</v>
      </c>
      <c r="C3573" s="888" t="s">
        <v>3400</v>
      </c>
      <c r="E3573" s="893" t="s">
        <v>6751</v>
      </c>
    </row>
    <row r="3574" spans="1:5" x14ac:dyDescent="0.3">
      <c r="A3574" s="888" t="s">
        <v>2072</v>
      </c>
      <c r="B3574" s="888" t="s">
        <v>1096</v>
      </c>
      <c r="C3574" s="888" t="s">
        <v>3397</v>
      </c>
      <c r="E3574" s="893" t="str">
        <f>$E$3573</f>
        <v>Clear This Sheet Only</v>
      </c>
    </row>
    <row r="3575" spans="1:5" x14ac:dyDescent="0.3">
      <c r="A3575" s="888" t="s">
        <v>2072</v>
      </c>
      <c r="B3575" s="888" t="s">
        <v>1095</v>
      </c>
      <c r="C3575" s="888" t="s">
        <v>3397</v>
      </c>
      <c r="E3575" s="893" t="str">
        <f t="shared" ref="E3575:E3586" si="11">$E$3573</f>
        <v>Clear This Sheet Only</v>
      </c>
    </row>
    <row r="3576" spans="1:5" x14ac:dyDescent="0.3">
      <c r="A3576" s="888" t="s">
        <v>2072</v>
      </c>
      <c r="B3576" s="888" t="s">
        <v>1094</v>
      </c>
      <c r="C3576" s="888" t="s">
        <v>3397</v>
      </c>
      <c r="E3576" s="893" t="str">
        <f t="shared" si="11"/>
        <v>Clear This Sheet Only</v>
      </c>
    </row>
    <row r="3577" spans="1:5" x14ac:dyDescent="0.3">
      <c r="A3577" s="888" t="s">
        <v>2072</v>
      </c>
      <c r="B3577" s="888" t="s">
        <v>1097</v>
      </c>
      <c r="C3577" s="888" t="s">
        <v>3397</v>
      </c>
      <c r="E3577" s="893" t="str">
        <f t="shared" si="11"/>
        <v>Clear This Sheet Only</v>
      </c>
    </row>
    <row r="3578" spans="1:5" x14ac:dyDescent="0.3">
      <c r="A3578" s="888" t="s">
        <v>2072</v>
      </c>
      <c r="B3578" s="888" t="s">
        <v>1696</v>
      </c>
      <c r="C3578" s="888" t="s">
        <v>3397</v>
      </c>
      <c r="E3578" s="893" t="str">
        <f t="shared" si="11"/>
        <v>Clear This Sheet Only</v>
      </c>
    </row>
    <row r="3579" spans="1:5" x14ac:dyDescent="0.3">
      <c r="A3579" s="888" t="s">
        <v>2072</v>
      </c>
      <c r="B3579" s="888" t="s">
        <v>1098</v>
      </c>
      <c r="C3579" s="888" t="s">
        <v>3397</v>
      </c>
      <c r="E3579" s="893" t="str">
        <f t="shared" si="11"/>
        <v>Clear This Sheet Only</v>
      </c>
    </row>
    <row r="3580" spans="1:5" x14ac:dyDescent="0.3">
      <c r="A3580" s="888" t="s">
        <v>2072</v>
      </c>
      <c r="B3580" s="888" t="s">
        <v>9</v>
      </c>
      <c r="C3580" s="888" t="s">
        <v>3397</v>
      </c>
      <c r="E3580" s="893" t="str">
        <f t="shared" si="11"/>
        <v>Clear This Sheet Only</v>
      </c>
    </row>
    <row r="3581" spans="1:5" x14ac:dyDescent="0.3">
      <c r="A3581" s="888" t="s">
        <v>2072</v>
      </c>
      <c r="B3581" s="888" t="s">
        <v>1099</v>
      </c>
      <c r="C3581" s="888" t="s">
        <v>3397</v>
      </c>
      <c r="E3581" s="893" t="str">
        <f t="shared" si="11"/>
        <v>Clear This Sheet Only</v>
      </c>
    </row>
    <row r="3582" spans="1:5" x14ac:dyDescent="0.3">
      <c r="A3582" s="888" t="s">
        <v>2072</v>
      </c>
      <c r="B3582" s="888" t="s">
        <v>1100</v>
      </c>
      <c r="C3582" s="888" t="s">
        <v>3397</v>
      </c>
      <c r="E3582" s="893" t="str">
        <f t="shared" si="11"/>
        <v>Clear This Sheet Only</v>
      </c>
    </row>
    <row r="3583" spans="1:5" x14ac:dyDescent="0.3">
      <c r="A3583" s="888" t="s">
        <v>2072</v>
      </c>
      <c r="B3583" s="888" t="s">
        <v>1101</v>
      </c>
      <c r="C3583" s="888" t="s">
        <v>3397</v>
      </c>
      <c r="E3583" s="893" t="str">
        <f t="shared" si="11"/>
        <v>Clear This Sheet Only</v>
      </c>
    </row>
    <row r="3584" spans="1:5" x14ac:dyDescent="0.3">
      <c r="A3584" s="888" t="s">
        <v>2072</v>
      </c>
      <c r="B3584" s="888" t="s">
        <v>1102</v>
      </c>
      <c r="C3584" s="888" t="s">
        <v>3397</v>
      </c>
      <c r="E3584" s="893" t="str">
        <f t="shared" si="11"/>
        <v>Clear This Sheet Only</v>
      </c>
    </row>
    <row r="3585" spans="1:5" x14ac:dyDescent="0.3">
      <c r="A3585" s="888" t="s">
        <v>2072</v>
      </c>
      <c r="B3585" s="888" t="s">
        <v>1580</v>
      </c>
      <c r="C3585" s="888" t="s">
        <v>3397</v>
      </c>
      <c r="E3585" s="893" t="str">
        <f t="shared" si="11"/>
        <v>Clear This Sheet Only</v>
      </c>
    </row>
    <row r="3586" spans="1:5" x14ac:dyDescent="0.3">
      <c r="A3586" s="888" t="s">
        <v>2072</v>
      </c>
      <c r="B3586" s="888" t="s">
        <v>1429</v>
      </c>
      <c r="C3586" s="888" t="s">
        <v>3397</v>
      </c>
      <c r="E3586" s="893" t="str">
        <f t="shared" si="11"/>
        <v>Clear This Sheet Only</v>
      </c>
    </row>
    <row r="3587" spans="1:5" x14ac:dyDescent="0.3">
      <c r="A3587" s="888" t="s">
        <v>6700</v>
      </c>
      <c r="C3587" s="888" t="s">
        <v>6752</v>
      </c>
      <c r="E3587" s="893" t="s">
        <v>6753</v>
      </c>
    </row>
    <row r="3588" spans="1:5" x14ac:dyDescent="0.3">
      <c r="A3588" s="888" t="s">
        <v>6700</v>
      </c>
      <c r="C3588" s="888" t="s">
        <v>6754</v>
      </c>
      <c r="E3588" s="893" t="s">
        <v>6755</v>
      </c>
    </row>
    <row r="3589" spans="1:5" x14ac:dyDescent="0.3">
      <c r="A3589" s="888" t="s">
        <v>6700</v>
      </c>
      <c r="C3589" s="888" t="s">
        <v>6756</v>
      </c>
      <c r="E3589" s="893" t="s">
        <v>6757</v>
      </c>
    </row>
    <row r="3590" spans="1:5" x14ac:dyDescent="0.3">
      <c r="A3590" s="888" t="s">
        <v>6700</v>
      </c>
      <c r="C3590" s="888" t="s">
        <v>6758</v>
      </c>
      <c r="E3590" s="893" t="s">
        <v>6759</v>
      </c>
    </row>
    <row r="3591" spans="1:5" x14ac:dyDescent="0.3">
      <c r="A3591" s="888" t="s">
        <v>2062</v>
      </c>
      <c r="B3591" s="888" t="s">
        <v>4949</v>
      </c>
      <c r="C3591" s="888" t="s">
        <v>2124</v>
      </c>
      <c r="E3591" s="893" t="s">
        <v>4795</v>
      </c>
    </row>
    <row r="3592" spans="1:5" x14ac:dyDescent="0.3">
      <c r="A3592" s="888" t="s">
        <v>2062</v>
      </c>
      <c r="B3592" s="888" t="s">
        <v>4949</v>
      </c>
      <c r="C3592" s="888" t="s">
        <v>2063</v>
      </c>
      <c r="E3592" s="893" t="s">
        <v>4796</v>
      </c>
    </row>
    <row r="3593" spans="1:5" x14ac:dyDescent="0.3">
      <c r="A3593" s="888" t="s">
        <v>2062</v>
      </c>
      <c r="B3593" s="888" t="s">
        <v>4949</v>
      </c>
      <c r="C3593" s="888" t="s">
        <v>2065</v>
      </c>
      <c r="E3593" s="893" t="s">
        <v>4797</v>
      </c>
    </row>
    <row r="3594" spans="1:5" x14ac:dyDescent="0.3">
      <c r="A3594" s="888" t="s">
        <v>2062</v>
      </c>
      <c r="B3594" s="888" t="s">
        <v>4949</v>
      </c>
      <c r="C3594" s="888" t="s">
        <v>2069</v>
      </c>
      <c r="E3594" s="893" t="s">
        <v>1225</v>
      </c>
    </row>
    <row r="3595" spans="1:5" x14ac:dyDescent="0.3">
      <c r="A3595" s="888" t="s">
        <v>2062</v>
      </c>
      <c r="B3595" s="888" t="s">
        <v>4949</v>
      </c>
      <c r="C3595" s="888" t="s">
        <v>2126</v>
      </c>
      <c r="E3595" s="893" t="s">
        <v>4798</v>
      </c>
    </row>
    <row r="3596" spans="1:5" x14ac:dyDescent="0.3">
      <c r="A3596" s="888" t="s">
        <v>2062</v>
      </c>
      <c r="B3596" s="888" t="s">
        <v>4949</v>
      </c>
      <c r="C3596" s="888" t="s">
        <v>2368</v>
      </c>
      <c r="E3596" s="893" t="s">
        <v>4799</v>
      </c>
    </row>
    <row r="3597" spans="1:5" x14ac:dyDescent="0.3">
      <c r="A3597" s="888" t="s">
        <v>2062</v>
      </c>
      <c r="B3597" s="888" t="s">
        <v>4949</v>
      </c>
      <c r="C3597" s="888" t="s">
        <v>3334</v>
      </c>
      <c r="E3597" s="893" t="s">
        <v>1222</v>
      </c>
    </row>
    <row r="3598" spans="1:5" x14ac:dyDescent="0.3">
      <c r="A3598" s="888" t="s">
        <v>2062</v>
      </c>
      <c r="B3598" s="888" t="s">
        <v>4949</v>
      </c>
      <c r="C3598" s="888" t="s">
        <v>6760</v>
      </c>
      <c r="E3598" s="893" t="s">
        <v>4800</v>
      </c>
    </row>
    <row r="3599" spans="1:5" ht="15.6" x14ac:dyDescent="0.35">
      <c r="A3599" s="888" t="s">
        <v>2062</v>
      </c>
      <c r="B3599" s="888" t="s">
        <v>4949</v>
      </c>
      <c r="C3599" s="888" t="s">
        <v>2068</v>
      </c>
      <c r="D3599" s="888" t="b">
        <v>1</v>
      </c>
      <c r="E3599" s="1025" t="s">
        <v>7522</v>
      </c>
    </row>
    <row r="3600" spans="1:5" x14ac:dyDescent="0.3">
      <c r="A3600" s="888" t="s">
        <v>2062</v>
      </c>
      <c r="B3600" s="888" t="s">
        <v>4949</v>
      </c>
      <c r="C3600" s="888" t="s">
        <v>2071</v>
      </c>
      <c r="D3600" s="888" t="b">
        <v>1</v>
      </c>
      <c r="E3600" s="893" t="str">
        <f>$E$3599</f>
        <v>(g CO2e/kWh)</v>
      </c>
    </row>
    <row r="3601" spans="1:5" ht="15.6" x14ac:dyDescent="0.35">
      <c r="A3601" s="888" t="s">
        <v>2062</v>
      </c>
      <c r="B3601" s="888" t="s">
        <v>4949</v>
      </c>
      <c r="C3601" s="888" t="s">
        <v>2399</v>
      </c>
      <c r="D3601" s="888" t="b">
        <v>1</v>
      </c>
      <c r="E3601" s="1025" t="s">
        <v>7523</v>
      </c>
    </row>
    <row r="3602" spans="1:5" ht="15.6" x14ac:dyDescent="0.35">
      <c r="A3602" s="888" t="s">
        <v>2062</v>
      </c>
      <c r="B3602" s="888" t="s">
        <v>4949</v>
      </c>
      <c r="C3602" s="888" t="s">
        <v>2456</v>
      </c>
      <c r="D3602" s="888" t="b">
        <v>1</v>
      </c>
      <c r="E3602" s="1025" t="s">
        <v>7524</v>
      </c>
    </row>
    <row r="3603" spans="1:5" x14ac:dyDescent="0.3">
      <c r="A3603" s="888" t="s">
        <v>2062</v>
      </c>
      <c r="B3603" s="888" t="s">
        <v>4949</v>
      </c>
      <c r="C3603" s="888" t="s">
        <v>6761</v>
      </c>
      <c r="D3603" s="888" t="b">
        <v>1</v>
      </c>
      <c r="E3603" s="893" t="str">
        <f>$E$3602</f>
        <v>(g CO2e/L)</v>
      </c>
    </row>
    <row r="3604" spans="1:5" ht="15.6" x14ac:dyDescent="0.35">
      <c r="A3604" s="888" t="s">
        <v>2062</v>
      </c>
      <c r="B3604" s="888" t="s">
        <v>4949</v>
      </c>
      <c r="C3604" s="888" t="s">
        <v>6762</v>
      </c>
      <c r="D3604" s="888" t="b">
        <v>1</v>
      </c>
      <c r="E3604" s="1025" t="s">
        <v>7525</v>
      </c>
    </row>
    <row r="3605" spans="1:5" x14ac:dyDescent="0.3">
      <c r="A3605" s="888" t="s">
        <v>2062</v>
      </c>
      <c r="B3605" s="888" t="s">
        <v>4949</v>
      </c>
      <c r="C3605" s="888" t="s">
        <v>2133</v>
      </c>
      <c r="E3605" s="1011" t="str">
        <f>$E$1953</f>
        <v>Alberta</v>
      </c>
    </row>
    <row r="3606" spans="1:5" x14ac:dyDescent="0.3">
      <c r="A3606" s="888" t="s">
        <v>2062</v>
      </c>
      <c r="B3606" s="888" t="s">
        <v>4949</v>
      </c>
      <c r="C3606" s="888" t="s">
        <v>2232</v>
      </c>
      <c r="E3606" s="1011" t="str">
        <f>$E$2421</f>
        <v>British Columbia</v>
      </c>
    </row>
    <row r="3607" spans="1:5" x14ac:dyDescent="0.3">
      <c r="A3607" s="888" t="s">
        <v>2062</v>
      </c>
      <c r="B3607" s="888" t="s">
        <v>4949</v>
      </c>
      <c r="C3607" s="888" t="s">
        <v>2136</v>
      </c>
      <c r="E3607" s="893" t="str">
        <f>$E$3498</f>
        <v>Manitoba</v>
      </c>
    </row>
    <row r="3608" spans="1:5" x14ac:dyDescent="0.3">
      <c r="A3608" s="888" t="s">
        <v>2062</v>
      </c>
      <c r="B3608" s="888" t="s">
        <v>4949</v>
      </c>
      <c r="C3608" s="888" t="s">
        <v>2313</v>
      </c>
      <c r="E3608" s="1011" t="str">
        <f>$E$2433</f>
        <v>New Brunswick</v>
      </c>
    </row>
    <row r="3609" spans="1:5" x14ac:dyDescent="0.3">
      <c r="A3609" s="888" t="s">
        <v>2062</v>
      </c>
      <c r="B3609" s="888" t="s">
        <v>4949</v>
      </c>
      <c r="C3609" s="888" t="s">
        <v>2369</v>
      </c>
      <c r="E3609" s="893" t="str">
        <f>$E$3492</f>
        <v>Newfoundland and Labrador</v>
      </c>
    </row>
    <row r="3610" spans="1:5" x14ac:dyDescent="0.3">
      <c r="A3610" s="888" t="s">
        <v>2062</v>
      </c>
      <c r="B3610" s="888" t="s">
        <v>4949</v>
      </c>
      <c r="C3610" s="888" t="s">
        <v>2075</v>
      </c>
      <c r="E3610" s="893" t="str">
        <f>$E$3503</f>
        <v>Northwest Territories</v>
      </c>
    </row>
    <row r="3611" spans="1:5" x14ac:dyDescent="0.3">
      <c r="A3611" s="888" t="s">
        <v>2062</v>
      </c>
      <c r="B3611" s="888" t="s">
        <v>4949</v>
      </c>
      <c r="C3611" s="888" t="s">
        <v>2201</v>
      </c>
      <c r="E3611" s="893" t="str">
        <f>$E$3494</f>
        <v>Nova Scotia</v>
      </c>
    </row>
    <row r="3612" spans="1:5" x14ac:dyDescent="0.3">
      <c r="A3612" s="888" t="s">
        <v>2062</v>
      </c>
      <c r="B3612" s="888" t="s">
        <v>4949</v>
      </c>
      <c r="C3612" s="888" t="s">
        <v>2137</v>
      </c>
      <c r="E3612" s="893" t="str">
        <f>$E$3504</f>
        <v>Nunavut</v>
      </c>
    </row>
    <row r="3613" spans="1:5" x14ac:dyDescent="0.3">
      <c r="A3613" s="888" t="s">
        <v>2062</v>
      </c>
      <c r="B3613" s="888" t="s">
        <v>4949</v>
      </c>
      <c r="C3613" s="888" t="s">
        <v>2197</v>
      </c>
      <c r="E3613" s="1011" t="str">
        <f>$E$1956</f>
        <v>Ontario</v>
      </c>
    </row>
    <row r="3614" spans="1:5" x14ac:dyDescent="0.3">
      <c r="A3614" s="888" t="s">
        <v>2062</v>
      </c>
      <c r="B3614" s="888" t="s">
        <v>4949</v>
      </c>
      <c r="C3614" s="888" t="s">
        <v>2138</v>
      </c>
      <c r="E3614" s="893" t="str">
        <f>$E$3493</f>
        <v>Prince Edward Island</v>
      </c>
    </row>
    <row r="3615" spans="1:5" x14ac:dyDescent="0.3">
      <c r="A3615" s="888" t="s">
        <v>2062</v>
      </c>
      <c r="B3615" s="888" t="s">
        <v>4949</v>
      </c>
      <c r="C3615" s="888" t="s">
        <v>2198</v>
      </c>
      <c r="E3615" s="1011" t="str">
        <f>$E$2430</f>
        <v>Quebec</v>
      </c>
    </row>
    <row r="3616" spans="1:5" x14ac:dyDescent="0.3">
      <c r="A3616" s="888" t="s">
        <v>2062</v>
      </c>
      <c r="B3616" s="888" t="s">
        <v>4949</v>
      </c>
      <c r="C3616" s="888" t="s">
        <v>2236</v>
      </c>
      <c r="E3616" s="893" t="str">
        <f>$E$3499</f>
        <v>Saskatchewan</v>
      </c>
    </row>
    <row r="3617" spans="1:5" x14ac:dyDescent="0.3">
      <c r="A3617" s="888" t="s">
        <v>2062</v>
      </c>
      <c r="B3617" s="888" t="s">
        <v>4949</v>
      </c>
      <c r="C3617" s="888" t="s">
        <v>4154</v>
      </c>
      <c r="E3617" s="893" t="str">
        <f>$E$3502</f>
        <v>Yukon</v>
      </c>
    </row>
    <row r="3618" spans="1:5" x14ac:dyDescent="0.3">
      <c r="A3618" s="888" t="s">
        <v>2062</v>
      </c>
      <c r="B3618" s="888" t="s">
        <v>4950</v>
      </c>
      <c r="C3618" s="888" t="s">
        <v>2124</v>
      </c>
      <c r="E3618" s="893" t="s">
        <v>4805</v>
      </c>
    </row>
    <row r="3619" spans="1:5" x14ac:dyDescent="0.3">
      <c r="A3619" s="888" t="s">
        <v>2062</v>
      </c>
      <c r="B3619" s="888" t="s">
        <v>4950</v>
      </c>
      <c r="C3619" s="888" t="s">
        <v>2063</v>
      </c>
      <c r="E3619" s="893" t="str">
        <f>$E$3592</f>
        <v>Province/ Territory</v>
      </c>
    </row>
    <row r="3620" spans="1:5" x14ac:dyDescent="0.3">
      <c r="A3620" s="888" t="s">
        <v>2062</v>
      </c>
      <c r="B3620" s="888" t="s">
        <v>4950</v>
      </c>
      <c r="C3620" s="888" t="s">
        <v>2065</v>
      </c>
      <c r="E3620" s="893" t="str">
        <f>$E$3593</f>
        <v>GHG Emissions Factors</v>
      </c>
    </row>
    <row r="3621" spans="1:5" x14ac:dyDescent="0.3">
      <c r="A3621" s="888" t="s">
        <v>2062</v>
      </c>
      <c r="B3621" s="888" t="s">
        <v>4950</v>
      </c>
      <c r="C3621" s="888" t="s">
        <v>2069</v>
      </c>
      <c r="E3621" s="893" t="str">
        <f>$E$3594</f>
        <v>Electricity</v>
      </c>
    </row>
    <row r="3622" spans="1:5" x14ac:dyDescent="0.3">
      <c r="A3622" s="888" t="s">
        <v>2062</v>
      </c>
      <c r="B3622" s="888" t="s">
        <v>4950</v>
      </c>
      <c r="C3622" s="888" t="s">
        <v>2127</v>
      </c>
      <c r="E3622" s="893" t="str">
        <f>$E$3595</f>
        <v>Utility Gas (Natural Gas)</v>
      </c>
    </row>
    <row r="3623" spans="1:5" x14ac:dyDescent="0.3">
      <c r="A3623" s="888" t="s">
        <v>2062</v>
      </c>
      <c r="B3623" s="888" t="s">
        <v>4950</v>
      </c>
      <c r="C3623" s="888" t="s">
        <v>2368</v>
      </c>
      <c r="E3623" s="893" t="str">
        <f>$E$3596</f>
        <v xml:space="preserve">Heating Oil </v>
      </c>
    </row>
    <row r="3624" spans="1:5" x14ac:dyDescent="0.3">
      <c r="A3624" s="888" t="s">
        <v>2062</v>
      </c>
      <c r="B3624" s="888" t="s">
        <v>4950</v>
      </c>
      <c r="C3624" s="888" t="s">
        <v>3334</v>
      </c>
      <c r="E3624" s="893" t="str">
        <f>$E$3597</f>
        <v>Propane</v>
      </c>
    </row>
    <row r="3625" spans="1:5" x14ac:dyDescent="0.3">
      <c r="A3625" s="888" t="s">
        <v>2062</v>
      </c>
      <c r="B3625" s="888" t="s">
        <v>4950</v>
      </c>
      <c r="C3625" s="888" t="s">
        <v>6760</v>
      </c>
      <c r="E3625" s="893" t="str">
        <f>$E$3515</f>
        <v>Wood</v>
      </c>
    </row>
    <row r="3626" spans="1:5" x14ac:dyDescent="0.3">
      <c r="A3626" s="888" t="s">
        <v>2062</v>
      </c>
      <c r="B3626" s="888" t="s">
        <v>4950</v>
      </c>
      <c r="C3626" s="888" t="s">
        <v>2068</v>
      </c>
      <c r="D3626" s="888" t="b">
        <v>1</v>
      </c>
      <c r="E3626" s="893" t="str">
        <f>$E$3599</f>
        <v>(g CO2e/kWh)</v>
      </c>
    </row>
    <row r="3627" spans="1:5" x14ac:dyDescent="0.3">
      <c r="A3627" s="888" t="s">
        <v>2062</v>
      </c>
      <c r="B3627" s="888" t="s">
        <v>4950</v>
      </c>
      <c r="C3627" s="888" t="s">
        <v>2399</v>
      </c>
      <c r="D3627" s="888" t="b">
        <v>1</v>
      </c>
      <c r="E3627" s="893" t="str">
        <f>$E$3601</f>
        <v>(g CO2e/M3)</v>
      </c>
    </row>
    <row r="3628" spans="1:5" x14ac:dyDescent="0.3">
      <c r="A3628" s="888" t="s">
        <v>2062</v>
      </c>
      <c r="B3628" s="888" t="s">
        <v>4950</v>
      </c>
      <c r="C3628" s="888" t="s">
        <v>2456</v>
      </c>
      <c r="D3628" s="888" t="b">
        <v>1</v>
      </c>
      <c r="E3628" s="893" t="str">
        <f>$E$3602</f>
        <v>(g CO2e/L)</v>
      </c>
    </row>
    <row r="3629" spans="1:5" x14ac:dyDescent="0.3">
      <c r="A3629" s="888" t="s">
        <v>2062</v>
      </c>
      <c r="B3629" s="888" t="s">
        <v>4950</v>
      </c>
      <c r="C3629" s="888" t="s">
        <v>6761</v>
      </c>
      <c r="D3629" s="888" t="b">
        <v>1</v>
      </c>
      <c r="E3629" s="893" t="str">
        <f>$E$3602</f>
        <v>(g CO2e/L)</v>
      </c>
    </row>
    <row r="3630" spans="1:5" ht="15.6" x14ac:dyDescent="0.35">
      <c r="A3630" s="888" t="s">
        <v>2062</v>
      </c>
      <c r="B3630" s="888" t="s">
        <v>4950</v>
      </c>
      <c r="C3630" s="888" t="s">
        <v>6762</v>
      </c>
      <c r="D3630" s="888" t="b">
        <v>1</v>
      </c>
      <c r="E3630" s="1025" t="s">
        <v>7526</v>
      </c>
    </row>
    <row r="3631" spans="1:5" x14ac:dyDescent="0.3">
      <c r="A3631" s="888" t="s">
        <v>2062</v>
      </c>
      <c r="B3631" s="888" t="s">
        <v>4950</v>
      </c>
      <c r="C3631" s="888" t="s">
        <v>2133</v>
      </c>
      <c r="E3631" s="1011" t="str">
        <f>$E$1953</f>
        <v>Alberta</v>
      </c>
    </row>
    <row r="3632" spans="1:5" x14ac:dyDescent="0.3">
      <c r="A3632" s="888" t="s">
        <v>2062</v>
      </c>
      <c r="B3632" s="888" t="s">
        <v>4950</v>
      </c>
      <c r="C3632" s="888" t="s">
        <v>2232</v>
      </c>
      <c r="E3632" s="1011" t="str">
        <f>$E$2421</f>
        <v>British Columbia</v>
      </c>
    </row>
    <row r="3633" spans="1:5" x14ac:dyDescent="0.3">
      <c r="A3633" s="888" t="s">
        <v>2062</v>
      </c>
      <c r="B3633" s="888" t="s">
        <v>4950</v>
      </c>
      <c r="C3633" s="888" t="s">
        <v>2136</v>
      </c>
      <c r="E3633" s="893" t="str">
        <f>$E$3498</f>
        <v>Manitoba</v>
      </c>
    </row>
    <row r="3634" spans="1:5" x14ac:dyDescent="0.3">
      <c r="A3634" s="888" t="s">
        <v>2062</v>
      </c>
      <c r="B3634" s="888" t="s">
        <v>4950</v>
      </c>
      <c r="C3634" s="888" t="s">
        <v>2313</v>
      </c>
      <c r="E3634" s="1011" t="str">
        <f>$E$2433</f>
        <v>New Brunswick</v>
      </c>
    </row>
    <row r="3635" spans="1:5" x14ac:dyDescent="0.3">
      <c r="A3635" s="888" t="s">
        <v>2062</v>
      </c>
      <c r="B3635" s="888" t="s">
        <v>4950</v>
      </c>
      <c r="C3635" s="888" t="s">
        <v>2369</v>
      </c>
      <c r="E3635" s="893" t="str">
        <f>$E$3492</f>
        <v>Newfoundland and Labrador</v>
      </c>
    </row>
    <row r="3636" spans="1:5" x14ac:dyDescent="0.3">
      <c r="A3636" s="888" t="s">
        <v>2062</v>
      </c>
      <c r="B3636" s="888" t="s">
        <v>4950</v>
      </c>
      <c r="C3636" s="888" t="s">
        <v>2075</v>
      </c>
      <c r="E3636" s="893" t="str">
        <f>$E$3503</f>
        <v>Northwest Territories</v>
      </c>
    </row>
    <row r="3637" spans="1:5" x14ac:dyDescent="0.3">
      <c r="A3637" s="888" t="s">
        <v>2062</v>
      </c>
      <c r="B3637" s="888" t="s">
        <v>4950</v>
      </c>
      <c r="C3637" s="888" t="s">
        <v>2201</v>
      </c>
      <c r="E3637" s="893" t="str">
        <f>$E$3494</f>
        <v>Nova Scotia</v>
      </c>
    </row>
    <row r="3638" spans="1:5" x14ac:dyDescent="0.3">
      <c r="A3638" s="888" t="s">
        <v>2062</v>
      </c>
      <c r="B3638" s="888" t="s">
        <v>4950</v>
      </c>
      <c r="C3638" s="888" t="s">
        <v>2137</v>
      </c>
      <c r="E3638" s="893" t="str">
        <f>$E$3504</f>
        <v>Nunavut</v>
      </c>
    </row>
    <row r="3639" spans="1:5" x14ac:dyDescent="0.3">
      <c r="A3639" s="888" t="s">
        <v>2062</v>
      </c>
      <c r="B3639" s="888" t="s">
        <v>4950</v>
      </c>
      <c r="C3639" s="888" t="s">
        <v>2197</v>
      </c>
      <c r="E3639" s="1011" t="str">
        <f>$E$1956</f>
        <v>Ontario</v>
      </c>
    </row>
    <row r="3640" spans="1:5" x14ac:dyDescent="0.3">
      <c r="A3640" s="888" t="s">
        <v>2062</v>
      </c>
      <c r="B3640" s="888" t="s">
        <v>4950</v>
      </c>
      <c r="C3640" s="888" t="s">
        <v>2138</v>
      </c>
      <c r="E3640" s="893" t="str">
        <f>$E$3493</f>
        <v>Prince Edward Island</v>
      </c>
    </row>
    <row r="3641" spans="1:5" x14ac:dyDescent="0.3">
      <c r="A3641" s="888" t="s">
        <v>2062</v>
      </c>
      <c r="B3641" s="888" t="s">
        <v>4950</v>
      </c>
      <c r="C3641" s="888" t="s">
        <v>2198</v>
      </c>
      <c r="E3641" s="1011" t="str">
        <f>$E$2430</f>
        <v>Quebec</v>
      </c>
    </row>
    <row r="3642" spans="1:5" x14ac:dyDescent="0.3">
      <c r="A3642" s="888" t="s">
        <v>2062</v>
      </c>
      <c r="B3642" s="888" t="s">
        <v>4950</v>
      </c>
      <c r="C3642" s="888" t="s">
        <v>2236</v>
      </c>
      <c r="E3642" s="893" t="str">
        <f>$E$3499</f>
        <v>Saskatchewan</v>
      </c>
    </row>
    <row r="3643" spans="1:5" x14ac:dyDescent="0.3">
      <c r="A3643" s="888" t="s">
        <v>2062</v>
      </c>
      <c r="B3643" s="888" t="s">
        <v>4950</v>
      </c>
      <c r="C3643" s="888" t="s">
        <v>4154</v>
      </c>
      <c r="E3643" s="893" t="str">
        <f>$E$3502</f>
        <v>Yukon</v>
      </c>
    </row>
  </sheetData>
  <sheetProtection algorithmName="SHA-512" hashValue="YFKGEVSbXJ00Qu2mDsUUPQyegeKzSA7AjJTJ8uTpqt9J7IXDq111XhehWRIHdx6k23VZVwxx2P4QziAQmkEtnQ==" saltValue="Yc8XtJ7luT0F6Z/QV7+Gug==" spinCount="100000" sheet="1" objects="1" scenarios="1"/>
  <autoFilter ref="A2:H2811" xr:uid="{00000000-0009-0000-0000-000000000000}"/>
  <mergeCells count="133">
    <mergeCell ref="E155:G155"/>
    <mergeCell ref="E166:P166"/>
    <mergeCell ref="E16:F16"/>
    <mergeCell ref="E1:F1"/>
    <mergeCell ref="G1:H1"/>
    <mergeCell ref="E5:M9"/>
    <mergeCell ref="E14:F14"/>
    <mergeCell ref="E15:F15"/>
    <mergeCell ref="E149:J149"/>
    <mergeCell ref="E30:L31"/>
    <mergeCell ref="E32:G32"/>
    <mergeCell ref="E36:L38"/>
    <mergeCell ref="E43:L46"/>
    <mergeCell ref="E62:E63"/>
    <mergeCell ref="E64:E65"/>
    <mergeCell ref="E72:L72"/>
    <mergeCell ref="E73:G73"/>
    <mergeCell ref="E140:J140"/>
    <mergeCell ref="E123:S123"/>
    <mergeCell ref="E125:P125"/>
    <mergeCell ref="E41:F41"/>
    <mergeCell ref="E87:F87"/>
    <mergeCell ref="E66:F66"/>
    <mergeCell ref="E67:F67"/>
    <mergeCell ref="E169:S169"/>
    <mergeCell ref="E252:S252"/>
    <mergeCell ref="E313:F319"/>
    <mergeCell ref="E373:E374"/>
    <mergeCell ref="E375:E376"/>
    <mergeCell ref="E377:E378"/>
    <mergeCell ref="E379:E380"/>
    <mergeCell ref="E403:E404"/>
    <mergeCell ref="E405:E406"/>
    <mergeCell ref="E174:E175"/>
    <mergeCell ref="E176:E177"/>
    <mergeCell ref="E178:E179"/>
    <mergeCell ref="E180:E181"/>
    <mergeCell ref="E257:E258"/>
    <mergeCell ref="E259:E260"/>
    <mergeCell ref="E261:E262"/>
    <mergeCell ref="E184:E185"/>
    <mergeCell ref="E182:F183"/>
    <mergeCell ref="E265:F266"/>
    <mergeCell ref="E263:E264"/>
    <mergeCell ref="E267:E268"/>
    <mergeCell ref="E368:S368"/>
    <mergeCell ref="E398:S398"/>
    <mergeCell ref="E501:S501"/>
    <mergeCell ref="E506:E507"/>
    <mergeCell ref="E508:E509"/>
    <mergeCell ref="E510:E511"/>
    <mergeCell ref="E381:F382"/>
    <mergeCell ref="E411:F412"/>
    <mergeCell ref="E383:E384"/>
    <mergeCell ref="E824:E825"/>
    <mergeCell ref="E826:E827"/>
    <mergeCell ref="E746:F747"/>
    <mergeCell ref="E770:F771"/>
    <mergeCell ref="E693:E694"/>
    <mergeCell ref="E695:E696"/>
    <mergeCell ref="E766:E767"/>
    <mergeCell ref="E768:E769"/>
    <mergeCell ref="E828:E829"/>
    <mergeCell ref="E830:E831"/>
    <mergeCell ref="E772:E773"/>
    <mergeCell ref="E703:E704"/>
    <mergeCell ref="E748:E749"/>
    <mergeCell ref="E733:S733"/>
    <mergeCell ref="E407:E408"/>
    <mergeCell ref="E409:E410"/>
    <mergeCell ref="E413:E414"/>
    <mergeCell ref="E512:E513"/>
    <mergeCell ref="E531:F537"/>
    <mergeCell ref="E552:E553"/>
    <mergeCell ref="E554:E555"/>
    <mergeCell ref="E556:E557"/>
    <mergeCell ref="E558:E559"/>
    <mergeCell ref="E676:F681"/>
    <mergeCell ref="E516:E517"/>
    <mergeCell ref="E562:E563"/>
    <mergeCell ref="E547:S547"/>
    <mergeCell ref="E514:F515"/>
    <mergeCell ref="E560:F561"/>
    <mergeCell ref="E757:S757"/>
    <mergeCell ref="E819:S819"/>
    <mergeCell ref="E701:F702"/>
    <mergeCell ref="E1338:L1338"/>
    <mergeCell ref="E1243:F1243"/>
    <mergeCell ref="E1249:E1250"/>
    <mergeCell ref="E1251:E1252"/>
    <mergeCell ref="E1253:E1254"/>
    <mergeCell ref="E1255:E1256"/>
    <mergeCell ref="E1283:H1283"/>
    <mergeCell ref="E1242:L1242"/>
    <mergeCell ref="E934:E935"/>
    <mergeCell ref="E936:E937"/>
    <mergeCell ref="E938:E939"/>
    <mergeCell ref="E940:E941"/>
    <mergeCell ref="E1032:E1033"/>
    <mergeCell ref="E1034:E1035"/>
    <mergeCell ref="E1036:E1037"/>
    <mergeCell ref="E1038:E1039"/>
    <mergeCell ref="E1241:H1241"/>
    <mergeCell ref="E1042:E1043"/>
    <mergeCell ref="E1315:E1316"/>
    <mergeCell ref="E1259:E1260"/>
    <mergeCell ref="E1027:S1027"/>
    <mergeCell ref="E1306:F1306"/>
    <mergeCell ref="E1308:F1308"/>
    <mergeCell ref="E71:F71"/>
    <mergeCell ref="E912:F913"/>
    <mergeCell ref="E942:F943"/>
    <mergeCell ref="E1040:F1041"/>
    <mergeCell ref="E1257:F1258"/>
    <mergeCell ref="E914:E915"/>
    <mergeCell ref="E944:E945"/>
    <mergeCell ref="E832:F833"/>
    <mergeCell ref="E697:E698"/>
    <mergeCell ref="E699:E700"/>
    <mergeCell ref="E738:E739"/>
    <mergeCell ref="E740:E741"/>
    <mergeCell ref="E742:E743"/>
    <mergeCell ref="E744:E745"/>
    <mergeCell ref="E762:E763"/>
    <mergeCell ref="E899:S899"/>
    <mergeCell ref="E929:S929"/>
    <mergeCell ref="E910:E911"/>
    <mergeCell ref="E904:E905"/>
    <mergeCell ref="E906:E907"/>
    <mergeCell ref="E908:E909"/>
    <mergeCell ref="E688:S688"/>
    <mergeCell ref="E834:E835"/>
    <mergeCell ref="E764:E765"/>
  </mergeCells>
  <dataValidations count="3">
    <dataValidation type="list" allowBlank="1" showInputMessage="1" showErrorMessage="1" sqref="N4:N25" xr:uid="{82D92252-7C25-4552-994B-1F89D218349A}">
      <formula1>"Button,CheckBox,MsgBox,Range,Range-List"</formula1>
    </dataValidation>
    <dataValidation type="list" allowBlank="1" showInputMessage="1" showErrorMessage="1" sqref="A2811 A47:A62 A64 A2845:A2858 A1359:A1360 A3:A5 A32:A36 A39:A43 A66:A166 A10:A30 A1365:A1386" xr:uid="{6496C4F1-208F-4F70-8497-C3C64F1BE402}">
      <formula1>"Button,CheckBox,MsgBox,Range,Range-List,Shape"</formula1>
    </dataValidation>
    <dataValidation type="list" allowBlank="1" showInputMessage="1" showErrorMessage="1" sqref="A1361:A1364" xr:uid="{10325A36-9946-4B65-9EDA-CC4645C53A0D}">
      <formula1>"Button,Chart,CheckBox,MsgBox,Range,Range-List,Shape"</formula1>
    </dataValidation>
  </dataValidations>
  <pageMargins left="0.7" right="0.7" top="0.75" bottom="0.75" header="0.3" footer="0.3"/>
  <pageSetup orientation="portrait" r:id="rId1"/>
  <headerFooter>
    <oddHeader>&amp;R&amp;"Aptos"&amp;12&amp;K000000 UNCLASSIFIED - NON CLASSIFIÉ&amp;1#_x000D_</oddHeader>
  </headerFooter>
  <legacy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A72202-73E8-450E-8A04-D71D618C08CA}">
  <sheetPr codeName="Sheet38"/>
  <dimension ref="A1:S3647"/>
  <sheetViews>
    <sheetView topLeftCell="A1301" zoomScaleNormal="100" workbookViewId="0">
      <selection activeCell="G1309" sqref="G1309"/>
    </sheetView>
  </sheetViews>
  <sheetFormatPr defaultColWidth="7.08984375" defaultRowHeight="14.4" x14ac:dyDescent="0.3"/>
  <cols>
    <col min="1" max="1" width="10.90625" style="888" customWidth="1"/>
    <col min="2" max="2" width="13.453125" style="888" bestFit="1" customWidth="1"/>
    <col min="3" max="3" width="15.453125" style="888" bestFit="1" customWidth="1"/>
    <col min="4" max="4" width="15.453125" style="888" customWidth="1"/>
    <col min="5" max="5" width="64.81640625" style="893" customWidth="1"/>
    <col min="6" max="6" width="11.453125" style="893" bestFit="1" customWidth="1"/>
    <col min="7" max="7" width="7.08984375" style="893"/>
    <col min="8" max="8" width="11.453125" style="893" bestFit="1" customWidth="1"/>
    <col min="9" max="16384" width="7.08984375" style="888"/>
  </cols>
  <sheetData>
    <row r="1" spans="1:13" x14ac:dyDescent="0.3">
      <c r="A1" s="887"/>
      <c r="B1" s="887"/>
      <c r="C1" s="887"/>
      <c r="D1" s="887"/>
      <c r="E1" s="1690"/>
      <c r="F1" s="1690"/>
      <c r="G1" s="1691"/>
      <c r="H1" s="1691"/>
    </row>
    <row r="2" spans="1:13" x14ac:dyDescent="0.3">
      <c r="A2" s="889" t="s">
        <v>2056</v>
      </c>
      <c r="B2" s="889" t="s">
        <v>2057</v>
      </c>
      <c r="C2" s="889" t="s">
        <v>2058</v>
      </c>
      <c r="D2" s="889" t="s">
        <v>2059</v>
      </c>
      <c r="E2" s="890" t="s">
        <v>2750</v>
      </c>
      <c r="F2" s="890"/>
      <c r="G2" s="891"/>
      <c r="H2" s="891"/>
    </row>
    <row r="3" spans="1:13" x14ac:dyDescent="0.3">
      <c r="A3" s="888" t="str">
        <f>IF(LEN('Translation-EN'!A3)&gt;0,'Translation-EN'!A3,"")</f>
        <v>Range</v>
      </c>
      <c r="B3" s="888" t="str">
        <f>IF(LEN('Translation-EN'!B3)&gt;0,'Translation-EN'!B3,"")</f>
        <v>USER INPUT SHEET</v>
      </c>
      <c r="C3" s="888" t="str">
        <f>IF(LEN('Translation-EN'!C3)&gt;0,'Translation-EN'!C3,"")</f>
        <v>R1</v>
      </c>
      <c r="D3" s="888" t="str">
        <f>IF(LEN('Translation-EN'!D3)&gt;0,'Translation-EN'!D3,"")</f>
        <v/>
      </c>
      <c r="E3" s="893" t="s">
        <v>3336</v>
      </c>
      <c r="F3" s="888"/>
      <c r="G3" s="894" t="s">
        <v>4899</v>
      </c>
      <c r="H3" s="888"/>
    </row>
    <row r="4" spans="1:13" x14ac:dyDescent="0.3">
      <c r="A4" s="888" t="str">
        <f>IF(LEN('Translation-EN'!A4)&gt;0,'Translation-EN'!A4,"")</f>
        <v>Range</v>
      </c>
      <c r="B4" s="888" t="str">
        <f>IF(LEN('Translation-EN'!B4)&gt;0,'Translation-EN'!B4,"")</f>
        <v>_USER INPUT SHEET</v>
      </c>
      <c r="C4" s="888" t="str">
        <f>IF(LEN('Translation-EN'!C4)&gt;0,'Translation-EN'!C4,"")</f>
        <v>A2</v>
      </c>
      <c r="D4" s="888" t="str">
        <f>IF(LEN('Translation-EN'!D4)&gt;0,'Translation-EN'!D4,"")</f>
        <v/>
      </c>
      <c r="E4" s="896" t="s">
        <v>4036</v>
      </c>
      <c r="G4" s="894" t="s">
        <v>4900</v>
      </c>
    </row>
    <row r="5" spans="1:13" ht="31.65" customHeight="1" x14ac:dyDescent="0.3">
      <c r="A5" s="888" t="str">
        <f>IF(LEN('Translation-EN'!A5)&gt;0,'Translation-EN'!A5,"")</f>
        <v>Range</v>
      </c>
      <c r="B5" s="888" t="str">
        <f>IF(LEN('Translation-EN'!B5)&gt;0,'Translation-EN'!B5,"")</f>
        <v>USER INPUT SHEET</v>
      </c>
      <c r="C5" s="888" t="str">
        <f>IF(LEN('Translation-EN'!C5)&gt;0,'Translation-EN'!C5,"")</f>
        <v>C2</v>
      </c>
      <c r="D5" s="888" t="b">
        <f>IF(LEN('Translation-EN'!D5)&gt;0,'Translation-EN'!D5,"")</f>
        <v>1</v>
      </c>
      <c r="E5" s="1508" t="s">
        <v>3463</v>
      </c>
      <c r="F5" s="1508"/>
      <c r="G5" s="1508"/>
      <c r="H5" s="1508"/>
      <c r="I5" s="1508"/>
      <c r="J5" s="1508"/>
      <c r="K5" s="1508"/>
      <c r="L5" s="1508"/>
      <c r="M5" s="1508"/>
    </row>
    <row r="6" spans="1:13" s="499" customFormat="1" ht="15.6" x14ac:dyDescent="0.3">
      <c r="A6" s="888" t="str">
        <f>IF(LEN('Translation-EN'!A6)&gt;0,'Translation-EN'!A6,"")</f>
        <v>-</v>
      </c>
      <c r="B6" s="888" t="str">
        <f>IF(LEN('Translation-EN'!B6)&gt;0,'Translation-EN'!B6,"")</f>
        <v/>
      </c>
      <c r="C6" s="888" t="str">
        <f>IF(LEN('Translation-EN'!C6)&gt;0,'Translation-EN'!C6,"")</f>
        <v/>
      </c>
      <c r="D6" s="888" t="str">
        <f>IF(LEN('Translation-EN'!D6)&gt;0,'Translation-EN'!D6,"")</f>
        <v/>
      </c>
      <c r="E6" s="1508"/>
      <c r="F6" s="1508"/>
      <c r="G6" s="1508"/>
      <c r="H6" s="1508"/>
      <c r="I6" s="1508"/>
      <c r="J6" s="1508"/>
      <c r="K6" s="1508"/>
      <c r="L6" s="1508"/>
      <c r="M6" s="1508"/>
    </row>
    <row r="7" spans="1:13" s="499" customFormat="1" ht="15.6" x14ac:dyDescent="0.3">
      <c r="A7" s="888" t="str">
        <f>IF(LEN('Translation-EN'!A7)&gt;0,'Translation-EN'!A7,"")</f>
        <v>-</v>
      </c>
      <c r="B7" s="888" t="str">
        <f>IF(LEN('Translation-EN'!B7)&gt;0,'Translation-EN'!B7,"")</f>
        <v/>
      </c>
      <c r="C7" s="888" t="str">
        <f>IF(LEN('Translation-EN'!C7)&gt;0,'Translation-EN'!C7,"")</f>
        <v/>
      </c>
      <c r="D7" s="888" t="str">
        <f>IF(LEN('Translation-EN'!D7)&gt;0,'Translation-EN'!D7,"")</f>
        <v/>
      </c>
      <c r="E7" s="1508"/>
      <c r="F7" s="1508"/>
      <c r="G7" s="1508"/>
      <c r="H7" s="1508"/>
      <c r="I7" s="1508"/>
      <c r="J7" s="1508"/>
      <c r="K7" s="1508"/>
      <c r="L7" s="1508"/>
      <c r="M7" s="1508"/>
    </row>
    <row r="8" spans="1:13" s="499" customFormat="1" ht="15.6" x14ac:dyDescent="0.3">
      <c r="A8" s="888" t="str">
        <f>IF(LEN('Translation-EN'!A8)&gt;0,'Translation-EN'!A8,"")</f>
        <v>-</v>
      </c>
      <c r="B8" s="888" t="str">
        <f>IF(LEN('Translation-EN'!B8)&gt;0,'Translation-EN'!B8,"")</f>
        <v/>
      </c>
      <c r="C8" s="888" t="str">
        <f>IF(LEN('Translation-EN'!C8)&gt;0,'Translation-EN'!C8,"")</f>
        <v/>
      </c>
      <c r="D8" s="888" t="str">
        <f>IF(LEN('Translation-EN'!D8)&gt;0,'Translation-EN'!D8,"")</f>
        <v/>
      </c>
      <c r="E8" s="1508"/>
      <c r="F8" s="1508"/>
      <c r="G8" s="1508"/>
      <c r="H8" s="1508"/>
      <c r="I8" s="1508"/>
      <c r="J8" s="1508"/>
      <c r="K8" s="1508"/>
      <c r="L8" s="1508"/>
      <c r="M8" s="1508"/>
    </row>
    <row r="9" spans="1:13" s="499" customFormat="1" ht="15.6" x14ac:dyDescent="0.3">
      <c r="A9" s="888" t="str">
        <f>IF(LEN('Translation-EN'!A9)&gt;0,'Translation-EN'!A9,"")</f>
        <v>-</v>
      </c>
      <c r="B9" s="888" t="str">
        <f>IF(LEN('Translation-EN'!B9)&gt;0,'Translation-EN'!B9,"")</f>
        <v/>
      </c>
      <c r="C9" s="888" t="str">
        <f>IF(LEN('Translation-EN'!C9)&gt;0,'Translation-EN'!C9,"")</f>
        <v/>
      </c>
      <c r="D9" s="888" t="str">
        <f>IF(LEN('Translation-EN'!D9)&gt;0,'Translation-EN'!D9,"")</f>
        <v/>
      </c>
      <c r="E9" s="1508"/>
      <c r="F9" s="1508"/>
      <c r="G9" s="1508"/>
      <c r="H9" s="1508"/>
      <c r="I9" s="1508"/>
      <c r="J9" s="1508"/>
      <c r="K9" s="1508"/>
      <c r="L9" s="1508"/>
      <c r="M9" s="1508"/>
    </row>
    <row r="10" spans="1:13" x14ac:dyDescent="0.3">
      <c r="A10" s="888" t="str">
        <f>IF(LEN('Translation-EN'!A10)&gt;0,'Translation-EN'!A10,"")</f>
        <v>Range</v>
      </c>
      <c r="B10" s="888" t="str">
        <f>IF(LEN('Translation-EN'!B10)&gt;0,'Translation-EN'!B10,"")</f>
        <v>USER INPUT SHEET</v>
      </c>
      <c r="C10" s="888" t="str">
        <f>IF(LEN('Translation-EN'!C10)&gt;0,'Translation-EN'!C10,"")</f>
        <v>L2</v>
      </c>
      <c r="D10" s="888" t="str">
        <f>IF(LEN('Translation-EN'!D10)&gt;0,'Translation-EN'!D10,"")</f>
        <v/>
      </c>
      <c r="E10" s="893" t="s">
        <v>2751</v>
      </c>
    </row>
    <row r="11" spans="1:13" x14ac:dyDescent="0.3">
      <c r="A11" s="888" t="str">
        <f>IF(LEN('Translation-EN'!A11)&gt;0,'Translation-EN'!A11,"")</f>
        <v>Range</v>
      </c>
      <c r="B11" s="888" t="str">
        <f>IF(LEN('Translation-EN'!B11)&gt;0,'Translation-EN'!B11,"")</f>
        <v>USER INPUT SHEET</v>
      </c>
      <c r="C11" s="888" t="str">
        <f>IF(LEN('Translation-EN'!C11)&gt;0,'Translation-EN'!C11,"")</f>
        <v>R3</v>
      </c>
      <c r="D11" s="888" t="str">
        <f>IF(LEN('Translation-EN'!D11)&gt;0,'Translation-EN'!D11,"")</f>
        <v/>
      </c>
      <c r="E11" s="893" t="s">
        <v>3312</v>
      </c>
    </row>
    <row r="12" spans="1:13" x14ac:dyDescent="0.3">
      <c r="A12" s="888" t="str">
        <f>IF(LEN('Translation-EN'!A12)&gt;0,'Translation-EN'!A12,"")</f>
        <v>Range</v>
      </c>
      <c r="B12" s="888" t="str">
        <f>IF(LEN('Translation-EN'!B12)&gt;0,'Translation-EN'!B12,"")</f>
        <v>USER INPUT SHEET</v>
      </c>
      <c r="C12" s="888" t="str">
        <f>IF(LEN('Translation-EN'!C12)&gt;0,'Translation-EN'!C12,"")</f>
        <v>X3</v>
      </c>
      <c r="D12" s="888" t="str">
        <f>IF(LEN('Translation-EN'!D12)&gt;0,'Translation-EN'!D12,"")</f>
        <v/>
      </c>
      <c r="E12" s="893" t="s">
        <v>3362</v>
      </c>
    </row>
    <row r="13" spans="1:13" ht="15" thickBot="1" x14ac:dyDescent="0.35">
      <c r="A13" s="888" t="str">
        <f>IF(LEN('Translation-EN'!A13)&gt;0,'Translation-EN'!A13,"")</f>
        <v>Range</v>
      </c>
      <c r="B13" s="888" t="str">
        <f>IF(LEN('Translation-EN'!B13)&gt;0,'Translation-EN'!B13,"")</f>
        <v>USER INPUT SHEET</v>
      </c>
      <c r="C13" s="888" t="str">
        <f>IF(LEN('Translation-EN'!C13)&gt;0,'Translation-EN'!C13,"")</f>
        <v>AC3</v>
      </c>
      <c r="D13" s="888" t="str">
        <f>IF(LEN('Translation-EN'!D13)&gt;0,'Translation-EN'!D13,"")</f>
        <v/>
      </c>
      <c r="E13" s="893" t="s">
        <v>3363</v>
      </c>
    </row>
    <row r="14" spans="1:13" ht="18.600000000000001" thickBot="1" x14ac:dyDescent="0.35">
      <c r="A14" s="888" t="str">
        <f>IF(LEN('Translation-EN'!A14)&gt;0,'Translation-EN'!A14,"")</f>
        <v>Range</v>
      </c>
      <c r="B14" s="888" t="str">
        <f>IF(LEN('Translation-EN'!B14)&gt;0,'Translation-EN'!B14,"")</f>
        <v>USER INPUT SHEET</v>
      </c>
      <c r="C14" s="888" t="str">
        <f>IF(LEN('Translation-EN'!C14)&gt;0,'Translation-EN'!C14,"")</f>
        <v>S5</v>
      </c>
      <c r="D14" s="888" t="b">
        <f>IF(LEN('Translation-EN'!D14)&gt;0,'Translation-EN'!D14,"")</f>
        <v>1</v>
      </c>
      <c r="E14" s="1445" t="s">
        <v>3481</v>
      </c>
      <c r="F14" s="1446"/>
    </row>
    <row r="15" spans="1:13" ht="18.600000000000001" thickBot="1" x14ac:dyDescent="0.35">
      <c r="A15" s="888" t="str">
        <f>IF(LEN('Translation-EN'!A15)&gt;0,'Translation-EN'!A15,"")</f>
        <v>Range</v>
      </c>
      <c r="B15" s="888" t="str">
        <f>IF(LEN('Translation-EN'!B15)&gt;0,'Translation-EN'!B15,"")</f>
        <v>USER INPUT SHEET</v>
      </c>
      <c r="C15" s="888" t="str">
        <f>IF(LEN('Translation-EN'!C15)&gt;0,'Translation-EN'!C15,"")</f>
        <v>Y5</v>
      </c>
      <c r="D15" s="888" t="b">
        <f>IF(LEN('Translation-EN'!D15)&gt;0,'Translation-EN'!D15,"")</f>
        <v>1</v>
      </c>
      <c r="E15" s="1445" t="s">
        <v>3479</v>
      </c>
      <c r="F15" s="1446"/>
    </row>
    <row r="16" spans="1:13" ht="16.2" thickBot="1" x14ac:dyDescent="0.35">
      <c r="A16" s="888" t="str">
        <f>IF(LEN('Translation-EN'!A16)&gt;0,'Translation-EN'!A16,"")</f>
        <v>Range</v>
      </c>
      <c r="B16" s="888" t="str">
        <f>IF(LEN('Translation-EN'!B16)&gt;0,'Translation-EN'!B16,"")</f>
        <v>USER INPUT SHEET</v>
      </c>
      <c r="C16" s="888" t="str">
        <f>IF(LEN('Translation-EN'!C16)&gt;0,'Translation-EN'!C16,"")</f>
        <v>AD5</v>
      </c>
      <c r="D16" s="888" t="b">
        <f>IF(LEN('Translation-EN'!D16)&gt;0,'Translation-EN'!D16,"")</f>
        <v>1</v>
      </c>
      <c r="E16" s="1445" t="s">
        <v>3480</v>
      </c>
      <c r="F16" s="1446"/>
    </row>
    <row r="17" spans="1:12" x14ac:dyDescent="0.3">
      <c r="A17" s="888" t="str">
        <f>IF(LEN('Translation-EN'!A17)&gt;0,'Translation-EN'!A17,"")</f>
        <v>Range</v>
      </c>
      <c r="B17" s="888" t="str">
        <f>IF(LEN('Translation-EN'!B17)&gt;0,'Translation-EN'!B17,"")</f>
        <v>USER INPUT SHEET</v>
      </c>
      <c r="C17" s="888" t="str">
        <f>IF(LEN('Translation-EN'!C17)&gt;0,'Translation-EN'!C17,"")</f>
        <v>A7</v>
      </c>
      <c r="D17" s="888" t="str">
        <f>IF(LEN('Translation-EN'!D17)&gt;0,'Translation-EN'!D17,"")</f>
        <v/>
      </c>
      <c r="E17" s="897" t="s">
        <v>5142</v>
      </c>
    </row>
    <row r="18" spans="1:12" ht="17.399999999999999" x14ac:dyDescent="0.3">
      <c r="A18" s="888" t="str">
        <f>IF(LEN('Translation-EN'!A18)&gt;0,'Translation-EN'!A18,"")</f>
        <v>Range</v>
      </c>
      <c r="B18" s="888" t="str">
        <f>IF(LEN('Translation-EN'!B18)&gt;0,'Translation-EN'!B18,"")</f>
        <v>USER INPUT SHEET</v>
      </c>
      <c r="C18" s="888" t="str">
        <f>IF(LEN('Translation-EN'!C18)&gt;0,'Translation-EN'!C18,"")</f>
        <v>B7</v>
      </c>
      <c r="D18" s="888" t="b">
        <f>IF(LEN('Translation-EN'!D18)&gt;0,'Translation-EN'!D18,"")</f>
        <v>1</v>
      </c>
      <c r="E18" s="1026" t="s">
        <v>6786</v>
      </c>
    </row>
    <row r="19" spans="1:12" x14ac:dyDescent="0.3">
      <c r="A19" s="888" t="str">
        <f>IF(LEN('Translation-EN'!A19)&gt;0,'Translation-EN'!A19,"")</f>
        <v>Range</v>
      </c>
      <c r="B19" s="888" t="str">
        <f>IF(LEN('Translation-EN'!B19)&gt;0,'Translation-EN'!B19,"")</f>
        <v>USER INPUT SHEET</v>
      </c>
      <c r="C19" s="888" t="str">
        <f>IF(LEN('Translation-EN'!C19)&gt;0,'Translation-EN'!C19,"")</f>
        <v>N7</v>
      </c>
      <c r="D19" s="888" t="str">
        <f>IF(LEN('Translation-EN'!D19)&gt;0,'Translation-EN'!D19,"")</f>
        <v/>
      </c>
      <c r="E19" s="893" t="s">
        <v>1832</v>
      </c>
    </row>
    <row r="20" spans="1:12" x14ac:dyDescent="0.3">
      <c r="A20" s="888" t="str">
        <f>IF(LEN('Translation-EN'!A20)&gt;0,'Translation-EN'!A20,"")</f>
        <v>Range</v>
      </c>
      <c r="B20" s="888" t="str">
        <f>IF(LEN('Translation-EN'!B20)&gt;0,'Translation-EN'!B20,"")</f>
        <v>USER INPUT SHEET</v>
      </c>
      <c r="C20" s="888" t="str">
        <f>IF(LEN('Translation-EN'!C20)&gt;0,'Translation-EN'!C20,"")</f>
        <v>P7</v>
      </c>
      <c r="D20" s="888" t="str">
        <f>IF(LEN('Translation-EN'!D20)&gt;0,'Translation-EN'!D20,"")</f>
        <v/>
      </c>
      <c r="E20" s="893" t="s">
        <v>3487</v>
      </c>
    </row>
    <row r="21" spans="1:12" x14ac:dyDescent="0.3">
      <c r="A21" s="888" t="str">
        <f>IF(LEN('Translation-EN'!A21)&gt;0,'Translation-EN'!A21,"")</f>
        <v>Range</v>
      </c>
      <c r="B21" s="888" t="str">
        <f>IF(LEN('Translation-EN'!B21)&gt;0,'Translation-EN'!B21,"")</f>
        <v>USER INPUT SHEET</v>
      </c>
      <c r="C21" s="888" t="str">
        <f>IF(LEN('Translation-EN'!C21)&gt;0,'Translation-EN'!C21,"")</f>
        <v>Q7</v>
      </c>
      <c r="D21" s="888" t="str">
        <f>IF(LEN('Translation-EN'!D21)&gt;0,'Translation-EN'!D21,"")</f>
        <v/>
      </c>
      <c r="E21" s="893" t="s">
        <v>6789</v>
      </c>
    </row>
    <row r="22" spans="1:12" x14ac:dyDescent="0.3">
      <c r="A22" s="888" t="str">
        <f>IF(LEN('Translation-EN'!A22)&gt;0,'Translation-EN'!A22,"")</f>
        <v>Range</v>
      </c>
      <c r="B22" s="888" t="str">
        <f>IF(LEN('Translation-EN'!B22)&gt;0,'Translation-EN'!B22,"")</f>
        <v>USER INPUT SHEET</v>
      </c>
      <c r="C22" s="888" t="str">
        <f>IF(LEN('Translation-EN'!C22)&gt;0,'Translation-EN'!C22,"")</f>
        <v>S7</v>
      </c>
      <c r="D22" s="888" t="str">
        <f>IF(LEN('Translation-EN'!D22)&gt;0,'Translation-EN'!D22,"")</f>
        <v/>
      </c>
      <c r="E22" s="893" t="s">
        <v>3491</v>
      </c>
    </row>
    <row r="23" spans="1:12" x14ac:dyDescent="0.3">
      <c r="A23" s="888" t="str">
        <f>IF(LEN('Translation-EN'!A23)&gt;0,'Translation-EN'!A23,"")</f>
        <v>Shape</v>
      </c>
      <c r="B23" s="888" t="str">
        <f>IF(LEN('Translation-EN'!B23)&gt;0,'Translation-EN'!B23,"")</f>
        <v>USER INPUT SHEET</v>
      </c>
      <c r="C23" s="888" t="str">
        <f>IF(LEN('Translation-EN'!C23)&gt;0,'Translation-EN'!C23,"")</f>
        <v>Rounded Rectangle 1||Rectangle: Rounded Corners 1</v>
      </c>
      <c r="D23" s="888" t="str">
        <f>IF(LEN('Translation-EN'!D23)&gt;0,'Translation-EN'!D23,"")</f>
        <v/>
      </c>
      <c r="E23" s="893" t="s">
        <v>2752</v>
      </c>
    </row>
    <row r="24" spans="1:12" x14ac:dyDescent="0.3">
      <c r="A24" s="888" t="str">
        <f>IF(LEN('Translation-EN'!A24)&gt;0,'Translation-EN'!A24,"")</f>
        <v>Shape</v>
      </c>
      <c r="B24" s="888" t="str">
        <f>IF(LEN('Translation-EN'!B24)&gt;0,'Translation-EN'!B24,"")</f>
        <v>USER INPUT SHEET</v>
      </c>
      <c r="C24" s="888" t="str">
        <f>IF(LEN('Translation-EN'!C24)&gt;0,'Translation-EN'!C24,"")</f>
        <v>Rounded Rectangle 16||Rectangle: Rounded Corners 16</v>
      </c>
      <c r="D24" s="888" t="str">
        <f>IF(LEN('Translation-EN'!D24)&gt;0,'Translation-EN'!D24,"")</f>
        <v/>
      </c>
      <c r="E24" s="893" t="s">
        <v>3364</v>
      </c>
    </row>
    <row r="25" spans="1:12" x14ac:dyDescent="0.3">
      <c r="A25" s="888" t="str">
        <f>IF(LEN('Translation-EN'!A25)&gt;0,'Translation-EN'!A25,"")</f>
        <v>Shape</v>
      </c>
      <c r="B25" s="888" t="str">
        <f>IF(LEN('Translation-EN'!B25)&gt;0,'Translation-EN'!B25,"")</f>
        <v>USER INPUT SHEET</v>
      </c>
      <c r="C25" s="888" t="str">
        <f>IF(LEN('Translation-EN'!C25)&gt;0,'Translation-EN'!C25,"")</f>
        <v>Rounded Rectangle 15||Rectangle: Rounded Corners 15</v>
      </c>
      <c r="D25" s="888" t="str">
        <f>IF(LEN('Translation-EN'!D25)&gt;0,'Translation-EN'!D25,"")</f>
        <v/>
      </c>
      <c r="E25" s="893" t="s">
        <v>3365</v>
      </c>
    </row>
    <row r="26" spans="1:12" x14ac:dyDescent="0.3">
      <c r="A26" s="888" t="str">
        <f>IF(LEN('Translation-EN'!A26)&gt;0,'Translation-EN'!A26,"")</f>
        <v>Range</v>
      </c>
      <c r="B26" s="888" t="str">
        <f>IF(LEN('Translation-EN'!B26)&gt;0,'Translation-EN'!B26,"")</f>
        <v>USER INPUT SHEET</v>
      </c>
      <c r="C26" s="888" t="str">
        <f>IF(LEN('Translation-EN'!C26)&gt;0,'Translation-EN'!C26,"")</f>
        <v>N8</v>
      </c>
      <c r="D26" s="888" t="str">
        <f>IF(LEN('Translation-EN'!D26)&gt;0,'Translation-EN'!D26,"")</f>
        <v/>
      </c>
      <c r="E26" s="893" t="s">
        <v>2753</v>
      </c>
    </row>
    <row r="27" spans="1:12" ht="18" x14ac:dyDescent="0.3">
      <c r="A27" s="888" t="str">
        <f>IF(LEN('Translation-EN'!A27)&gt;0,'Translation-EN'!A27,"")</f>
        <v>Range</v>
      </c>
      <c r="B27" s="888" t="str">
        <f>IF(LEN('Translation-EN'!B27)&gt;0,'Translation-EN'!B27,"")</f>
        <v>USER INPUT SHEET</v>
      </c>
      <c r="C27" s="888" t="str">
        <f>IF(LEN('Translation-EN'!C27)&gt;0,'Translation-EN'!C27,"")</f>
        <v>O8</v>
      </c>
      <c r="D27" s="888" t="b">
        <f>IF(LEN('Translation-EN'!D27)&gt;0,'Translation-EN'!D27,"")</f>
        <v>1</v>
      </c>
      <c r="E27" s="525" t="s">
        <v>5147</v>
      </c>
    </row>
    <row r="28" spans="1:12" x14ac:dyDescent="0.3">
      <c r="A28" s="888" t="str">
        <f>IF(LEN('Translation-EN'!A28)&gt;0,'Translation-EN'!A28,"")</f>
        <v>Range</v>
      </c>
      <c r="B28" s="888" t="str">
        <f>IF(LEN('Translation-EN'!B28)&gt;0,'Translation-EN'!B28,"")</f>
        <v>USER INPUT SHEET</v>
      </c>
      <c r="C28" s="888" t="str">
        <f>IF(LEN('Translation-EN'!C28)&gt;0,'Translation-EN'!C28,"")</f>
        <v>P8</v>
      </c>
      <c r="D28" s="888" t="str">
        <f>IF(LEN('Translation-EN'!D28)&gt;0,'Translation-EN'!D28,"")</f>
        <v/>
      </c>
      <c r="E28" s="1027" t="str">
        <f>E26</f>
        <v>Élec. kWh/an</v>
      </c>
    </row>
    <row r="29" spans="1:12" x14ac:dyDescent="0.3">
      <c r="A29" s="888" t="str">
        <f>IF(LEN('Translation-EN'!A29)&gt;0,'Translation-EN'!A29,"")</f>
        <v>Range</v>
      </c>
      <c r="B29" s="888" t="str">
        <f>IF(LEN('Translation-EN'!B29)&gt;0,'Translation-EN'!B29,"")</f>
        <v>USER INPUT SHEET</v>
      </c>
      <c r="C29" s="888" t="str">
        <f>IF(LEN('Translation-EN'!C29)&gt;0,'Translation-EN'!C29,"")</f>
        <v>Q8</v>
      </c>
      <c r="D29" s="888" t="str">
        <f>IF(LEN('Translation-EN'!D29)&gt;0,'Translation-EN'!D29,"")</f>
        <v/>
      </c>
      <c r="E29" s="902" t="str">
        <f>$E$28</f>
        <v>Élec. kWh/an</v>
      </c>
    </row>
    <row r="30" spans="1:12" s="499" customFormat="1" ht="15.6" x14ac:dyDescent="0.3">
      <c r="A30" s="888" t="str">
        <f>IF(LEN('Translation-EN'!A30)&gt;0,'Translation-EN'!A30,"")</f>
        <v>Range</v>
      </c>
      <c r="B30" s="888" t="str">
        <f>IF(LEN('Translation-EN'!B30)&gt;0,'Translation-EN'!B30,"")</f>
        <v>USER INPUT SHEET</v>
      </c>
      <c r="C30" s="888" t="str">
        <f>IF(LEN('Translation-EN'!C30)&gt;0,'Translation-EN'!C30,"")</f>
        <v>S8</v>
      </c>
      <c r="D30" s="888" t="b">
        <f>IF(LEN('Translation-EN'!D30)&gt;0,'Translation-EN'!D30,"")</f>
        <v>1</v>
      </c>
      <c r="E30" s="1516" t="s">
        <v>3484</v>
      </c>
      <c r="F30" s="1517"/>
      <c r="G30" s="1517"/>
      <c r="H30" s="1517"/>
      <c r="I30" s="1517"/>
      <c r="J30" s="1517"/>
      <c r="K30" s="1517"/>
      <c r="L30" s="1518"/>
    </row>
    <row r="31" spans="1:12" s="499" customFormat="1" ht="15.6" x14ac:dyDescent="0.3">
      <c r="A31" s="888" t="str">
        <f>IF(LEN('Translation-EN'!A31)&gt;0,'Translation-EN'!A31,"")</f>
        <v>-</v>
      </c>
      <c r="B31" s="888" t="str">
        <f>IF(LEN('Translation-EN'!B31)&gt;0,'Translation-EN'!B31,"")</f>
        <v/>
      </c>
      <c r="C31" s="888" t="str">
        <f>IF(LEN('Translation-EN'!C31)&gt;0,'Translation-EN'!C31,"")</f>
        <v/>
      </c>
      <c r="D31" s="888" t="str">
        <f>IF(LEN('Translation-EN'!D31)&gt;0,'Translation-EN'!D31,"")</f>
        <v/>
      </c>
      <c r="E31" s="1500"/>
      <c r="F31" s="1501"/>
      <c r="G31" s="1501"/>
      <c r="H31" s="1501"/>
      <c r="I31" s="1501"/>
      <c r="J31" s="1501"/>
      <c r="K31" s="1501"/>
      <c r="L31" s="1502"/>
    </row>
    <row r="32" spans="1:12" ht="15.75" customHeight="1" x14ac:dyDescent="0.3">
      <c r="A32" s="888" t="str">
        <f>IF(LEN('Translation-EN'!A32)&gt;0,'Translation-EN'!A32,"")</f>
        <v>Range</v>
      </c>
      <c r="B32" s="888" t="str">
        <f>IF(LEN('Translation-EN'!B32)&gt;0,'Translation-EN'!B32,"")</f>
        <v>_USER INPUT SHEET</v>
      </c>
      <c r="C32" s="888" t="str">
        <f>IF(LEN('Translation-EN'!C32)&gt;0,'Translation-EN'!C32,"")</f>
        <v>P10</v>
      </c>
      <c r="D32" s="888" t="b">
        <f>IF(LEN('Translation-EN'!D32)&gt;0,'Translation-EN'!D32,"")</f>
        <v>1</v>
      </c>
      <c r="E32" s="1693" t="s">
        <v>2754</v>
      </c>
      <c r="F32" s="1694"/>
      <c r="G32" s="1694"/>
    </row>
    <row r="33" spans="1:12" x14ac:dyDescent="0.3">
      <c r="A33" s="888" t="str">
        <f>IF(LEN('Translation-EN'!A33)&gt;0,'Translation-EN'!A33,"")</f>
        <v>Range</v>
      </c>
      <c r="B33" s="888" t="str">
        <f>IF(LEN('Translation-EN'!B33)&gt;0,'Translation-EN'!B33,"")</f>
        <v>USER INPUT SHEET</v>
      </c>
      <c r="C33" s="888" t="str">
        <f>IF(LEN('Translation-EN'!C33)&gt;0,'Translation-EN'!C33,"")</f>
        <v>N11</v>
      </c>
      <c r="D33" s="888" t="str">
        <f>IF(LEN('Translation-EN'!D33)&gt;0,'Translation-EN'!D33,"")</f>
        <v/>
      </c>
      <c r="E33" s="893" t="s">
        <v>2755</v>
      </c>
    </row>
    <row r="34" spans="1:12" x14ac:dyDescent="0.3">
      <c r="A34" s="888" t="str">
        <f>IF(LEN('Translation-EN'!A34)&gt;0,'Translation-EN'!A34,"")</f>
        <v>Range</v>
      </c>
      <c r="B34" s="888" t="str">
        <f>IF(LEN('Translation-EN'!B34)&gt;0,'Translation-EN'!B34,"")</f>
        <v>USER INPUT SHEET</v>
      </c>
      <c r="C34" s="888" t="str">
        <f>IF(LEN('Translation-EN'!C34)&gt;0,'Translation-EN'!C34,"")</f>
        <v>O11</v>
      </c>
      <c r="D34" s="888" t="str">
        <f>IF(LEN('Translation-EN'!D34)&gt;0,'Translation-EN'!D34,"")</f>
        <v/>
      </c>
      <c r="E34" s="893" t="s">
        <v>2756</v>
      </c>
    </row>
    <row r="35" spans="1:12" x14ac:dyDescent="0.3">
      <c r="A35" s="888" t="str">
        <f>IF(LEN('Translation-EN'!A35)&gt;0,'Translation-EN'!A35,"")</f>
        <v>Range</v>
      </c>
      <c r="B35" s="888" t="str">
        <f>IF(LEN('Translation-EN'!B35)&gt;0,'Translation-EN'!B35,"")</f>
        <v>USER INPUT SHEET</v>
      </c>
      <c r="C35" s="888" t="str">
        <f>IF(LEN('Translation-EN'!C35)&gt;0,'Translation-EN'!C35,"")</f>
        <v>P11</v>
      </c>
      <c r="D35" s="888" t="str">
        <f>IF(LEN('Translation-EN'!D35)&gt;0,'Translation-EN'!D35,"")</f>
        <v/>
      </c>
      <c r="E35" s="893" t="s">
        <v>2757</v>
      </c>
    </row>
    <row r="36" spans="1:12" s="499" customFormat="1" ht="15.75" customHeight="1" x14ac:dyDescent="0.3">
      <c r="A36" s="888" t="str">
        <f>IF(LEN('Translation-EN'!A36)&gt;0,'Translation-EN'!A36,"")</f>
        <v>Range</v>
      </c>
      <c r="B36" s="888" t="str">
        <f>IF(LEN('Translation-EN'!B36)&gt;0,'Translation-EN'!B36,"")</f>
        <v>USER INPUT SHEET</v>
      </c>
      <c r="C36" s="888" t="str">
        <f>IF(LEN('Translation-EN'!C36)&gt;0,'Translation-EN'!C36,"")</f>
        <v>S11</v>
      </c>
      <c r="D36" s="888" t="b">
        <f>IF(LEN('Translation-EN'!D36)&gt;0,'Translation-EN'!D36,"")</f>
        <v>1</v>
      </c>
      <c r="E36" s="1500" t="s">
        <v>3489</v>
      </c>
      <c r="F36" s="1501"/>
      <c r="G36" s="1501"/>
      <c r="H36" s="1501"/>
      <c r="I36" s="1501"/>
      <c r="J36" s="1501"/>
      <c r="K36" s="1501"/>
      <c r="L36" s="1502"/>
    </row>
    <row r="37" spans="1:12" s="499" customFormat="1" ht="15.6" x14ac:dyDescent="0.3">
      <c r="A37" s="888" t="str">
        <f>IF(LEN('Translation-EN'!A37)&gt;0,'Translation-EN'!A37,"")</f>
        <v>-</v>
      </c>
      <c r="B37" s="888" t="str">
        <f>IF(LEN('Translation-EN'!B37)&gt;0,'Translation-EN'!B37,"")</f>
        <v/>
      </c>
      <c r="C37" s="888" t="str">
        <f>IF(LEN('Translation-EN'!C37)&gt;0,'Translation-EN'!C37,"")</f>
        <v/>
      </c>
      <c r="D37" s="888" t="str">
        <f>IF(LEN('Translation-EN'!D37)&gt;0,'Translation-EN'!D37,"")</f>
        <v/>
      </c>
      <c r="E37" s="1500"/>
      <c r="F37" s="1501"/>
      <c r="G37" s="1501"/>
      <c r="H37" s="1501"/>
      <c r="I37" s="1501"/>
      <c r="J37" s="1501"/>
      <c r="K37" s="1501"/>
      <c r="L37" s="1502"/>
    </row>
    <row r="38" spans="1:12" s="499" customFormat="1" ht="15.6" x14ac:dyDescent="0.3">
      <c r="A38" s="888" t="str">
        <f>IF(LEN('Translation-EN'!A38)&gt;0,'Translation-EN'!A38,"")</f>
        <v>-</v>
      </c>
      <c r="B38" s="888" t="str">
        <f>IF(LEN('Translation-EN'!B38)&gt;0,'Translation-EN'!B38,"")</f>
        <v/>
      </c>
      <c r="C38" s="888" t="str">
        <f>IF(LEN('Translation-EN'!C38)&gt;0,'Translation-EN'!C38,"")</f>
        <v/>
      </c>
      <c r="D38" s="888" t="str">
        <f>IF(LEN('Translation-EN'!D38)&gt;0,'Translation-EN'!D38,"")</f>
        <v/>
      </c>
      <c r="E38" s="1500"/>
      <c r="F38" s="1501"/>
      <c r="G38" s="1501"/>
      <c r="H38" s="1501"/>
      <c r="I38" s="1501"/>
      <c r="J38" s="1501"/>
      <c r="K38" s="1501"/>
      <c r="L38" s="1502"/>
    </row>
    <row r="39" spans="1:12" x14ac:dyDescent="0.3">
      <c r="A39" s="888" t="str">
        <f>IF(LEN('Translation-EN'!A39)&gt;0,'Translation-EN'!A39,"")</f>
        <v>Range</v>
      </c>
      <c r="B39" s="888" t="str">
        <f>IF(LEN('Translation-EN'!B39)&gt;0,'Translation-EN'!B39,"")</f>
        <v>USER INPUT SHEET</v>
      </c>
      <c r="C39" s="888" t="str">
        <f>IF(LEN('Translation-EN'!C39)&gt;0,'Translation-EN'!C39,"")</f>
        <v>N13</v>
      </c>
      <c r="D39" s="888" t="str">
        <f>IF(LEN('Translation-EN'!D39)&gt;0,'Translation-EN'!D39,"")</f>
        <v/>
      </c>
      <c r="E39" s="893" t="s">
        <v>2758</v>
      </c>
    </row>
    <row r="40" spans="1:12" x14ac:dyDescent="0.3">
      <c r="A40" s="888" t="str">
        <f>IF(LEN('Translation-EN'!A40)&gt;0,'Translation-EN'!A40,"")</f>
        <v>Range</v>
      </c>
      <c r="B40" s="888" t="str">
        <f>IF(LEN('Translation-EN'!B40)&gt;0,'Translation-EN'!B40,"")</f>
        <v>USER INPUT SHEET</v>
      </c>
      <c r="C40" s="888" t="str">
        <f>IF(LEN('Translation-EN'!C40)&gt;0,'Translation-EN'!C40,"")</f>
        <v>A14</v>
      </c>
      <c r="D40" s="888" t="str">
        <f>IF(LEN('Translation-EN'!D40)&gt;0,'Translation-EN'!D40,"")</f>
        <v/>
      </c>
      <c r="E40" s="893" t="str">
        <f>$E$17</f>
        <v>Étape</v>
      </c>
    </row>
    <row r="41" spans="1:12" ht="17.399999999999999" x14ac:dyDescent="0.3">
      <c r="A41" s="888" t="str">
        <f>IF(LEN('Translation-EN'!A41)&gt;0,'Translation-EN'!A41,"")</f>
        <v>Range</v>
      </c>
      <c r="B41" s="888" t="str">
        <f>IF(LEN('Translation-EN'!B41)&gt;0,'Translation-EN'!B41,"")</f>
        <v>USER INPUT SHEET</v>
      </c>
      <c r="C41" s="888" t="str">
        <f>IF(LEN('Translation-EN'!C41)&gt;0,'Translation-EN'!C41,"")</f>
        <v>B14</v>
      </c>
      <c r="D41" s="888" t="b">
        <f>IF(LEN('Translation-EN'!D41)&gt;0,'Translation-EN'!D41,"")</f>
        <v>1</v>
      </c>
      <c r="E41" s="1702" t="s">
        <v>7508</v>
      </c>
      <c r="F41" s="1702"/>
    </row>
    <row r="42" spans="1:12" x14ac:dyDescent="0.3">
      <c r="A42" s="888" t="str">
        <f>IF(LEN('Translation-EN'!A42)&gt;0,'Translation-EN'!A42,"")</f>
        <v>Range</v>
      </c>
      <c r="B42" s="888" t="str">
        <f>IF(LEN('Translation-EN'!B42)&gt;0,'Translation-EN'!B42,"")</f>
        <v>USER INPUT SHEET</v>
      </c>
      <c r="C42" s="888" t="str">
        <f>IF(LEN('Translation-EN'!C42)&gt;0,'Translation-EN'!C42,"")</f>
        <v>N14</v>
      </c>
      <c r="D42" s="888" t="str">
        <f>IF(LEN('Translation-EN'!D42)&gt;0,'Translation-EN'!D42,"")</f>
        <v/>
      </c>
      <c r="E42" s="893" t="s">
        <v>2759</v>
      </c>
    </row>
    <row r="43" spans="1:12" s="499" customFormat="1" ht="15.6" x14ac:dyDescent="0.3">
      <c r="A43" s="888" t="str">
        <f>IF(LEN('Translation-EN'!A43)&gt;0,'Translation-EN'!A43,"")</f>
        <v>Range</v>
      </c>
      <c r="B43" s="888" t="str">
        <f>IF(LEN('Translation-EN'!B43)&gt;0,'Translation-EN'!B43,"")</f>
        <v>USER INPUT SHEET</v>
      </c>
      <c r="C43" s="888" t="str">
        <f>IF(LEN('Translation-EN'!C43)&gt;0,'Translation-EN'!C43,"")</f>
        <v>S14</v>
      </c>
      <c r="D43" s="888" t="str">
        <f>IF(LEN('Translation-EN'!D43)&gt;0,'Translation-EN'!D43,"")</f>
        <v/>
      </c>
      <c r="E43" s="1500" t="s">
        <v>3485</v>
      </c>
      <c r="F43" s="1501"/>
      <c r="G43" s="1501"/>
      <c r="H43" s="1501"/>
      <c r="I43" s="1501"/>
      <c r="J43" s="1501"/>
      <c r="K43" s="1501"/>
      <c r="L43" s="1502"/>
    </row>
    <row r="44" spans="1:12" s="499" customFormat="1" ht="15.6" x14ac:dyDescent="0.3">
      <c r="A44" s="888" t="str">
        <f>IF(LEN('Translation-EN'!A44)&gt;0,'Translation-EN'!A44,"")</f>
        <v>-</v>
      </c>
      <c r="B44" s="888" t="str">
        <f>IF(LEN('Translation-EN'!B44)&gt;0,'Translation-EN'!B44,"")</f>
        <v/>
      </c>
      <c r="C44" s="888" t="str">
        <f>IF(LEN('Translation-EN'!C44)&gt;0,'Translation-EN'!C44,"")</f>
        <v/>
      </c>
      <c r="D44" s="888" t="str">
        <f>IF(LEN('Translation-EN'!D44)&gt;0,'Translation-EN'!D44,"")</f>
        <v/>
      </c>
      <c r="E44" s="1500"/>
      <c r="F44" s="1501"/>
      <c r="G44" s="1501"/>
      <c r="H44" s="1501"/>
      <c r="I44" s="1501"/>
      <c r="J44" s="1501"/>
      <c r="K44" s="1501"/>
      <c r="L44" s="1502"/>
    </row>
    <row r="45" spans="1:12" s="499" customFormat="1" ht="15.6" x14ac:dyDescent="0.3">
      <c r="A45" s="888" t="str">
        <f>IF(LEN('Translation-EN'!A45)&gt;0,'Translation-EN'!A45,"")</f>
        <v>-</v>
      </c>
      <c r="B45" s="888" t="str">
        <f>IF(LEN('Translation-EN'!B45)&gt;0,'Translation-EN'!B45,"")</f>
        <v/>
      </c>
      <c r="C45" s="888" t="str">
        <f>IF(LEN('Translation-EN'!C45)&gt;0,'Translation-EN'!C45,"")</f>
        <v/>
      </c>
      <c r="D45" s="888" t="str">
        <f>IF(LEN('Translation-EN'!D45)&gt;0,'Translation-EN'!D45,"")</f>
        <v/>
      </c>
      <c r="E45" s="1500"/>
      <c r="F45" s="1501"/>
      <c r="G45" s="1501"/>
      <c r="H45" s="1501"/>
      <c r="I45" s="1501"/>
      <c r="J45" s="1501"/>
      <c r="K45" s="1501"/>
      <c r="L45" s="1502"/>
    </row>
    <row r="46" spans="1:12" s="499" customFormat="1" ht="15.6" x14ac:dyDescent="0.3">
      <c r="A46" s="888" t="str">
        <f>IF(LEN('Translation-EN'!A46)&gt;0,'Translation-EN'!A46,"")</f>
        <v>-</v>
      </c>
      <c r="B46" s="888" t="str">
        <f>IF(LEN('Translation-EN'!B46)&gt;0,'Translation-EN'!B46,"")</f>
        <v/>
      </c>
      <c r="C46" s="888" t="str">
        <f>IF(LEN('Translation-EN'!C46)&gt;0,'Translation-EN'!C46,"")</f>
        <v/>
      </c>
      <c r="D46" s="888" t="str">
        <f>IF(LEN('Translation-EN'!D46)&gt;0,'Translation-EN'!D46,"")</f>
        <v/>
      </c>
      <c r="E46" s="1503"/>
      <c r="F46" s="1504"/>
      <c r="G46" s="1504"/>
      <c r="H46" s="1504"/>
      <c r="I46" s="1504"/>
      <c r="J46" s="1504"/>
      <c r="K46" s="1504"/>
      <c r="L46" s="1505"/>
    </row>
    <row r="47" spans="1:12" x14ac:dyDescent="0.3">
      <c r="A47" s="888" t="str">
        <f>IF(LEN('Translation-EN'!A47)&gt;0,'Translation-EN'!A47,"")</f>
        <v>Range</v>
      </c>
      <c r="B47" s="888" t="str">
        <f>IF(LEN('Translation-EN'!B47)&gt;0,'Translation-EN'!B47,"")</f>
        <v>USER INPUT SHEET</v>
      </c>
      <c r="C47" s="888" t="str">
        <f>IF(LEN('Translation-EN'!C47)&gt;0,'Translation-EN'!C47,"")</f>
        <v>B15</v>
      </c>
      <c r="D47" s="888" t="str">
        <f>IF(LEN('Translation-EN'!D47)&gt;0,'Translation-EN'!D47,"")</f>
        <v/>
      </c>
      <c r="E47" s="893" t="s">
        <v>2760</v>
      </c>
    </row>
    <row r="48" spans="1:12" x14ac:dyDescent="0.3">
      <c r="A48" s="888" t="str">
        <f>IF(LEN('Translation-EN'!A48)&gt;0,'Translation-EN'!A48,"")</f>
        <v>Range</v>
      </c>
      <c r="B48" s="888" t="str">
        <f>IF(LEN('Translation-EN'!B48)&gt;0,'Translation-EN'!B48,"")</f>
        <v>USER INPUT SHEET</v>
      </c>
      <c r="C48" s="888" t="str">
        <f>IF(LEN('Translation-EN'!C48)&gt;0,'Translation-EN'!C48,"")</f>
        <v>F15</v>
      </c>
      <c r="D48" s="888" t="str">
        <f>IF(LEN('Translation-EN'!D48)&gt;0,'Translation-EN'!D48,"")</f>
        <v/>
      </c>
      <c r="E48" s="893" t="s">
        <v>2761</v>
      </c>
    </row>
    <row r="49" spans="1:18" ht="18" x14ac:dyDescent="0.3">
      <c r="A49" s="888" t="str">
        <f>IF(LEN('Translation-EN'!A49)&gt;0,'Translation-EN'!A49,"")</f>
        <v>Range</v>
      </c>
      <c r="B49" s="888" t="str">
        <f>IF(LEN('Translation-EN'!B49)&gt;0,'Translation-EN'!B49,"")</f>
        <v>USER INPUT SHEET</v>
      </c>
      <c r="C49" s="888" t="str">
        <f>IF(LEN('Translation-EN'!C49)&gt;0,'Translation-EN'!C49,"")</f>
        <v>N15</v>
      </c>
      <c r="D49" s="888" t="b">
        <f>IF(LEN('Translation-EN'!D49)&gt;0,'Translation-EN'!D49,"")</f>
        <v>1</v>
      </c>
      <c r="E49" s="1028" t="s">
        <v>7515</v>
      </c>
    </row>
    <row r="50" spans="1:18" ht="18" x14ac:dyDescent="0.3">
      <c r="A50" s="888" t="str">
        <f>IF(LEN('Translation-EN'!A50)&gt;0,'Translation-EN'!A50,"")</f>
        <v>Range</v>
      </c>
      <c r="B50" s="888" t="str">
        <f>IF(LEN('Translation-EN'!B50)&gt;0,'Translation-EN'!B50,"")</f>
        <v>USER INPUT SHEET</v>
      </c>
      <c r="C50" s="888" t="str">
        <f>IF(LEN('Translation-EN'!C50)&gt;0,'Translation-EN'!C50,"")</f>
        <v>O15</v>
      </c>
      <c r="D50" s="888" t="b">
        <f>IF(LEN('Translation-EN'!D50)&gt;0,'Translation-EN'!D50,"")</f>
        <v>1</v>
      </c>
      <c r="E50" s="1029" t="s">
        <v>7516</v>
      </c>
    </row>
    <row r="51" spans="1:18" x14ac:dyDescent="0.3">
      <c r="A51" s="888" t="str">
        <f>IF(LEN('Translation-EN'!A51)&gt;0,'Translation-EN'!A51,"")</f>
        <v>Range</v>
      </c>
      <c r="B51" s="888" t="str">
        <f>IF(LEN('Translation-EN'!B51)&gt;0,'Translation-EN'!B51,"")</f>
        <v>USER INPUT SHEET</v>
      </c>
      <c r="C51" s="888" t="str">
        <f>IF(LEN('Translation-EN'!C51)&gt;0,'Translation-EN'!C51,"")</f>
        <v>B16</v>
      </c>
      <c r="D51" s="888" t="str">
        <f>IF(LEN('Translation-EN'!D51)&gt;0,'Translation-EN'!D51,"")</f>
        <v/>
      </c>
      <c r="E51" s="893" t="s">
        <v>2762</v>
      </c>
    </row>
    <row r="52" spans="1:18" x14ac:dyDescent="0.3">
      <c r="A52" s="888" t="str">
        <f>IF(LEN('Translation-EN'!A52)&gt;0,'Translation-EN'!A52,"")</f>
        <v>Range</v>
      </c>
      <c r="B52" s="888" t="str">
        <f>IF(LEN('Translation-EN'!B52)&gt;0,'Translation-EN'!B52,"")</f>
        <v>USER INPUT SHEET</v>
      </c>
      <c r="C52" s="888" t="str">
        <f>IF(LEN('Translation-EN'!C52)&gt;0,'Translation-EN'!C52,"")</f>
        <v>F16</v>
      </c>
      <c r="D52" s="888" t="str">
        <f>IF(LEN('Translation-EN'!D52)&gt;0,'Translation-EN'!D52,"")</f>
        <v/>
      </c>
      <c r="E52" s="893" t="s">
        <v>2763</v>
      </c>
    </row>
    <row r="53" spans="1:18" x14ac:dyDescent="0.3">
      <c r="A53" s="888" t="str">
        <f>IF(LEN('Translation-EN'!A53)&gt;0,'Translation-EN'!A53,"")</f>
        <v>Range</v>
      </c>
      <c r="B53" s="888" t="str">
        <f>IF(LEN('Translation-EN'!B53)&gt;0,'Translation-EN'!B53,"")</f>
        <v>USER INPUT SHEET</v>
      </c>
      <c r="C53" s="888" t="str">
        <f>IF(LEN('Translation-EN'!C53)&gt;0,'Translation-EN'!C53,"")</f>
        <v>B17</v>
      </c>
      <c r="D53" s="888" t="str">
        <f>IF(LEN('Translation-EN'!D53)&gt;0,'Translation-EN'!D53,"")</f>
        <v/>
      </c>
      <c r="E53" s="893" t="s">
        <v>2764</v>
      </c>
    </row>
    <row r="54" spans="1:18" x14ac:dyDescent="0.3">
      <c r="A54" s="888" t="str">
        <f>IF(LEN('Translation-EN'!A54)&gt;0,'Translation-EN'!A54,"")</f>
        <v>Range</v>
      </c>
      <c r="B54" s="888" t="str">
        <f>IF(LEN('Translation-EN'!B54)&gt;0,'Translation-EN'!B54,"")</f>
        <v>USER INPUT SHEET</v>
      </c>
      <c r="C54" s="888" t="str">
        <f>IF(LEN('Translation-EN'!C54)&gt;0,'Translation-EN'!C54,"")</f>
        <v>F17</v>
      </c>
      <c r="D54" s="888" t="str">
        <f>IF(LEN('Translation-EN'!D54)&gt;0,'Translation-EN'!D54,"")</f>
        <v/>
      </c>
      <c r="E54" s="893" t="s">
        <v>2765</v>
      </c>
    </row>
    <row r="55" spans="1:18" x14ac:dyDescent="0.3">
      <c r="A55" s="888" t="str">
        <f>IF(LEN('Translation-EN'!A55)&gt;0,'Translation-EN'!A55,"")</f>
        <v>Range</v>
      </c>
      <c r="B55" s="888" t="str">
        <f>IF(LEN('Translation-EN'!B55)&gt;0,'Translation-EN'!B55,"")</f>
        <v>USER INPUT SHEET</v>
      </c>
      <c r="C55" s="888" t="str">
        <f>IF(LEN('Translation-EN'!C55)&gt;0,'Translation-EN'!C55,"")</f>
        <v>P15</v>
      </c>
      <c r="D55" s="888" t="str">
        <f>IF(LEN('Translation-EN'!D55)&gt;0,'Translation-EN'!D55,"")</f>
        <v/>
      </c>
      <c r="E55" s="902" t="s">
        <v>6791</v>
      </c>
    </row>
    <row r="56" spans="1:18" x14ac:dyDescent="0.3">
      <c r="A56" s="888" t="str">
        <f>IF(LEN('Translation-EN'!A56)&gt;0,'Translation-EN'!A56,"")</f>
        <v>Range</v>
      </c>
      <c r="B56" s="888" t="str">
        <f>IF(LEN('Translation-EN'!B56)&gt;0,'Translation-EN'!B56,"")</f>
        <v>_USER INPUT SHEET</v>
      </c>
      <c r="C56" s="888" t="str">
        <f>IF(LEN('Translation-EN'!C56)&gt;0,'Translation-EN'!C56,"")</f>
        <v>P17</v>
      </c>
      <c r="D56" s="888" t="str">
        <f>IF(LEN('Translation-EN'!D56)&gt;0,'Translation-EN'!D56,"")</f>
        <v/>
      </c>
      <c r="E56" s="1030" t="s">
        <v>3176</v>
      </c>
    </row>
    <row r="57" spans="1:18" x14ac:dyDescent="0.3">
      <c r="A57" s="888" t="str">
        <f>IF(LEN('Translation-EN'!A57)&gt;0,'Translation-EN'!A57,"")</f>
        <v>Range</v>
      </c>
      <c r="B57" s="888" t="str">
        <f>IF(LEN('Translation-EN'!B57)&gt;0,'Translation-EN'!B57,"")</f>
        <v>USER INPUT SHEET</v>
      </c>
      <c r="C57" s="888" t="str">
        <f>IF(LEN('Translation-EN'!C57)&gt;0,'Translation-EN'!C57,"")</f>
        <v>B18</v>
      </c>
      <c r="D57" s="888" t="str">
        <f>IF(LEN('Translation-EN'!D57)&gt;0,'Translation-EN'!D57,"")</f>
        <v/>
      </c>
      <c r="E57" s="893" t="s">
        <v>2766</v>
      </c>
    </row>
    <row r="58" spans="1:18" x14ac:dyDescent="0.3">
      <c r="A58" s="888" t="str">
        <f>IF(LEN('Translation-EN'!A58)&gt;0,'Translation-EN'!A58,"")</f>
        <v>Range</v>
      </c>
      <c r="B58" s="888" t="str">
        <f>IF(LEN('Translation-EN'!B58)&gt;0,'Translation-EN'!B58,"")</f>
        <v>USER INPUT SHEET</v>
      </c>
      <c r="C58" s="888" t="str">
        <f>IF(LEN('Translation-EN'!C58)&gt;0,'Translation-EN'!C58,"")</f>
        <v>F18</v>
      </c>
      <c r="D58" s="888" t="str">
        <f>IF(LEN('Translation-EN'!D58)&gt;0,'Translation-EN'!D58,"")</f>
        <v/>
      </c>
      <c r="E58" s="893" t="s">
        <v>2767</v>
      </c>
    </row>
    <row r="59" spans="1:18" x14ac:dyDescent="0.3">
      <c r="A59" s="888" t="str">
        <f>IF(LEN('Translation-EN'!A59)&gt;0,'Translation-EN'!A59,"")</f>
        <v>Range</v>
      </c>
      <c r="B59" s="888" t="str">
        <f>IF(LEN('Translation-EN'!B59)&gt;0,'Translation-EN'!B59,"")</f>
        <v>USER INPUT SHEET</v>
      </c>
      <c r="C59" s="888" t="str">
        <f>IF(LEN('Translation-EN'!C59)&gt;0,'Translation-EN'!C59,"")</f>
        <v>N18</v>
      </c>
      <c r="D59" s="888" t="str">
        <f>IF(LEN('Translation-EN'!D59)&gt;0,'Translation-EN'!D59,"")</f>
        <v/>
      </c>
      <c r="E59" s="893" t="s">
        <v>2768</v>
      </c>
    </row>
    <row r="60" spans="1:18" x14ac:dyDescent="0.3">
      <c r="A60" s="888" t="str">
        <f>IF(LEN('Translation-EN'!A60)&gt;0,'Translation-EN'!A60,"")</f>
        <v>Range</v>
      </c>
      <c r="B60" s="888" t="str">
        <f>IF(LEN('Translation-EN'!B60)&gt;0,'Translation-EN'!B60,"")</f>
        <v>USER INPUT SHEET</v>
      </c>
      <c r="C60" s="888" t="str">
        <f>IF(LEN('Translation-EN'!C60)&gt;0,'Translation-EN'!C60,"")</f>
        <v>B19</v>
      </c>
      <c r="D60" s="888" t="str">
        <f>IF(LEN('Translation-EN'!D60)&gt;0,'Translation-EN'!D60,"")</f>
        <v/>
      </c>
      <c r="E60" s="893" t="s">
        <v>2769</v>
      </c>
    </row>
    <row r="61" spans="1:18" s="499" customFormat="1" ht="15.6" x14ac:dyDescent="0.3">
      <c r="A61" s="888" t="str">
        <f>IF(LEN('Translation-EN'!A61)&gt;0,'Translation-EN'!A61,"")</f>
        <v>Range</v>
      </c>
      <c r="B61" s="888" t="str">
        <f>IF(LEN('Translation-EN'!B61)&gt;0,'Translation-EN'!B61,"")</f>
        <v>USER INPUT SHEET</v>
      </c>
      <c r="C61" s="888" t="str">
        <f>IF(LEN('Translation-EN'!C61)&gt;0,'Translation-EN'!C61,"")</f>
        <v>F19</v>
      </c>
      <c r="D61" s="888" t="str">
        <f>IF(LEN('Translation-EN'!D61)&gt;0,'Translation-EN'!D61,"")</f>
        <v/>
      </c>
      <c r="E61" s="893" t="s">
        <v>2767</v>
      </c>
    </row>
    <row r="62" spans="1:18" s="893" customFormat="1" ht="15" customHeight="1" x14ac:dyDescent="0.3">
      <c r="A62" s="888" t="str">
        <f>IF(LEN('Translation-EN'!A62)&gt;0,'Translation-EN'!A62,"")</f>
        <v>Range</v>
      </c>
      <c r="B62" s="888" t="str">
        <f>IF(LEN('Translation-EN'!B62)&gt;0,'Translation-EN'!B62,"")</f>
        <v>USER INPUT SHEET</v>
      </c>
      <c r="C62" s="888" t="str">
        <f>IF(LEN('Translation-EN'!C62)&gt;0,'Translation-EN'!C62,"")</f>
        <v>N19</v>
      </c>
      <c r="D62" s="888" t="b">
        <f>IF(LEN('Translation-EN'!D62)&gt;0,'Translation-EN'!D62,"")</f>
        <v>1</v>
      </c>
      <c r="E62" s="1700" t="s">
        <v>2770</v>
      </c>
      <c r="I62" s="888"/>
      <c r="J62" s="888"/>
      <c r="K62" s="888"/>
      <c r="L62" s="888"/>
      <c r="M62" s="888"/>
      <c r="N62" s="888"/>
      <c r="O62" s="888"/>
      <c r="P62" s="888"/>
      <c r="Q62" s="888"/>
      <c r="R62" s="888"/>
    </row>
    <row r="63" spans="1:18" s="893" customFormat="1" ht="15" customHeight="1" x14ac:dyDescent="0.3">
      <c r="A63" s="888" t="str">
        <f>IF(LEN('Translation-EN'!A63)&gt;0,'Translation-EN'!A63,"")</f>
        <v>-</v>
      </c>
      <c r="B63" s="888" t="str">
        <f>IF(LEN('Translation-EN'!B63)&gt;0,'Translation-EN'!B63,"")</f>
        <v/>
      </c>
      <c r="C63" s="888" t="str">
        <f>IF(LEN('Translation-EN'!C63)&gt;0,'Translation-EN'!C63,"")</f>
        <v/>
      </c>
      <c r="D63" s="888" t="str">
        <f>IF(LEN('Translation-EN'!D63)&gt;0,'Translation-EN'!D63,"")</f>
        <v/>
      </c>
      <c r="E63" s="1456"/>
      <c r="I63" s="888"/>
      <c r="J63" s="888"/>
      <c r="K63" s="888"/>
      <c r="L63" s="888"/>
      <c r="M63" s="888"/>
      <c r="N63" s="888"/>
      <c r="O63" s="888"/>
      <c r="P63" s="888"/>
      <c r="Q63" s="888"/>
      <c r="R63" s="888"/>
    </row>
    <row r="64" spans="1:18" ht="15" customHeight="1" x14ac:dyDescent="0.3">
      <c r="A64" s="888" t="str">
        <f>IF(LEN('Translation-EN'!A64)&gt;0,'Translation-EN'!A64,"")</f>
        <v>Range</v>
      </c>
      <c r="B64" s="888" t="str">
        <f>IF(LEN('Translation-EN'!B64)&gt;0,'Translation-EN'!B64,"")</f>
        <v>USER INPUT SHEET</v>
      </c>
      <c r="C64" s="888" t="str">
        <f>IF(LEN('Translation-EN'!C64)&gt;0,'Translation-EN'!C64,"")</f>
        <v>O19</v>
      </c>
      <c r="D64" s="888" t="b">
        <f>IF(LEN('Translation-EN'!D64)&gt;0,'Translation-EN'!D64,"")</f>
        <v>1</v>
      </c>
      <c r="E64" s="1701" t="s">
        <v>2771</v>
      </c>
    </row>
    <row r="65" spans="1:12" ht="15" customHeight="1" x14ac:dyDescent="0.3">
      <c r="A65" s="888" t="str">
        <f>IF(LEN('Translation-EN'!A65)&gt;0,'Translation-EN'!A65,"")</f>
        <v>-</v>
      </c>
      <c r="B65" s="888" t="str">
        <f>IF(LEN('Translation-EN'!B65)&gt;0,'Translation-EN'!B65,"")</f>
        <v/>
      </c>
      <c r="C65" s="888" t="str">
        <f>IF(LEN('Translation-EN'!C65)&gt;0,'Translation-EN'!C65,"")</f>
        <v/>
      </c>
      <c r="D65" s="888" t="str">
        <f>IF(LEN('Translation-EN'!D65)&gt;0,'Translation-EN'!D65,"")</f>
        <v/>
      </c>
      <c r="E65" s="1457"/>
    </row>
    <row r="66" spans="1:12" ht="15.6" x14ac:dyDescent="0.3">
      <c r="A66" s="888" t="str">
        <f>IF(LEN('Translation-EN'!A66)&gt;0,'Translation-EN'!A66,"")</f>
        <v>Range</v>
      </c>
      <c r="B66" s="888" t="str">
        <f>IF(LEN('Translation-EN'!B66)&gt;0,'Translation-EN'!B66,"")</f>
        <v>USER INPUT SHEET</v>
      </c>
      <c r="C66" s="888" t="str">
        <f>IF(LEN('Translation-EN'!C66)&gt;0,'Translation-EN'!C66,"")</f>
        <v>B20</v>
      </c>
      <c r="D66" s="888" t="b">
        <f>IF(LEN('Translation-EN'!D66)&gt;0,'Translation-EN'!D66,"")</f>
        <v>1</v>
      </c>
      <c r="E66" s="1488" t="s">
        <v>7527</v>
      </c>
      <c r="F66" s="1488"/>
    </row>
    <row r="67" spans="1:12" ht="15.6" x14ac:dyDescent="0.3">
      <c r="A67" s="888" t="str">
        <f>IF(LEN('Translation-EN'!A67)&gt;0,'Translation-EN'!A67,"")</f>
        <v>Range</v>
      </c>
      <c r="B67" s="888" t="str">
        <f>IF(LEN('Translation-EN'!B67)&gt;0,'Translation-EN'!B67,"")</f>
        <v>USER INPUT SHEET</v>
      </c>
      <c r="C67" s="888" t="str">
        <f>IF(LEN('Translation-EN'!C67)&gt;0,'Translation-EN'!C67,"")</f>
        <v>B21</v>
      </c>
      <c r="D67" s="888" t="b">
        <f>IF(LEN('Translation-EN'!D67)&gt;0,'Translation-EN'!D67,"")</f>
        <v>1</v>
      </c>
      <c r="E67" s="1488" t="s">
        <v>7528</v>
      </c>
      <c r="F67" s="1488"/>
    </row>
    <row r="68" spans="1:12" x14ac:dyDescent="0.3">
      <c r="A68" s="888" t="str">
        <f>IF(LEN('Translation-EN'!A68)&gt;0,'Translation-EN'!A68,"")</f>
        <v>Range</v>
      </c>
      <c r="B68" s="888" t="str">
        <f>IF(LEN('Translation-EN'!B68)&gt;0,'Translation-EN'!B68,"")</f>
        <v>USER INPUT SHEET</v>
      </c>
      <c r="C68" s="888" t="str">
        <f>IF(LEN('Translation-EN'!C68)&gt;0,'Translation-EN'!C68,"")</f>
        <v>B22</v>
      </c>
      <c r="D68" s="888" t="str">
        <f>IF(LEN('Translation-EN'!D68)&gt;0,'Translation-EN'!D68,"")</f>
        <v/>
      </c>
      <c r="E68" s="893" t="s">
        <v>2772</v>
      </c>
    </row>
    <row r="69" spans="1:12" x14ac:dyDescent="0.3">
      <c r="A69" s="888" t="str">
        <f>IF(LEN('Translation-EN'!A69)&gt;0,'Translation-EN'!A69,"")</f>
        <v>Range</v>
      </c>
      <c r="B69" s="888" t="str">
        <f>IF(LEN('Translation-EN'!B69)&gt;0,'Translation-EN'!B69,"")</f>
        <v>USER INPUT SHEET</v>
      </c>
      <c r="C69" s="888" t="str">
        <f>IF(LEN('Translation-EN'!C69)&gt;0,'Translation-EN'!C69,"")</f>
        <v>B23</v>
      </c>
      <c r="D69" s="888" t="str">
        <f>IF(LEN('Translation-EN'!D69)&gt;0,'Translation-EN'!D69,"")</f>
        <v/>
      </c>
      <c r="E69" s="897" t="s">
        <v>5145</v>
      </c>
    </row>
    <row r="70" spans="1:12" x14ac:dyDescent="0.3">
      <c r="A70" s="888" t="str">
        <f>IF(LEN('Translation-EN'!A70)&gt;0,'Translation-EN'!A70,"")</f>
        <v>Range</v>
      </c>
      <c r="B70" s="888" t="str">
        <f>IF(LEN('Translation-EN'!B70)&gt;0,'Translation-EN'!B70,"")</f>
        <v>USER INPUT SHEET</v>
      </c>
      <c r="C70" s="888" t="str">
        <f>IF(LEN('Translation-EN'!C70)&gt;0,'Translation-EN'!C70,"")</f>
        <v>A25</v>
      </c>
      <c r="D70" s="888" t="str">
        <f>IF(LEN('Translation-EN'!D70)&gt;0,'Translation-EN'!D70,"")</f>
        <v/>
      </c>
      <c r="E70" s="893" t="str">
        <f>$E$17</f>
        <v>Étape</v>
      </c>
    </row>
    <row r="71" spans="1:12" ht="17.399999999999999" x14ac:dyDescent="0.3">
      <c r="A71" s="888" t="str">
        <f>IF(LEN('Translation-EN'!A71)&gt;0,'Translation-EN'!A71,"")</f>
        <v>Range</v>
      </c>
      <c r="B71" s="888" t="str">
        <f>IF(LEN('Translation-EN'!B71)&gt;0,'Translation-EN'!B71,"")</f>
        <v>USER INPUT SHEET</v>
      </c>
      <c r="C71" s="888" t="str">
        <f>IF(LEN('Translation-EN'!C71)&gt;0,'Translation-EN'!C71,"")</f>
        <v>C25</v>
      </c>
      <c r="D71" s="888" t="b">
        <f>IF(LEN('Translation-EN'!D71)&gt;0,'Translation-EN'!D71,"")</f>
        <v>1</v>
      </c>
      <c r="E71" s="1441" t="s">
        <v>7529</v>
      </c>
      <c r="F71" s="1441"/>
    </row>
    <row r="72" spans="1:12" ht="32.25" customHeight="1" x14ac:dyDescent="0.3">
      <c r="A72" s="888" t="str">
        <f>IF(LEN('Translation-EN'!A72)&gt;0,'Translation-EN'!A72,"")</f>
        <v>Range</v>
      </c>
      <c r="B72" s="888" t="str">
        <f>IF(LEN('Translation-EN'!B72)&gt;0,'Translation-EN'!B72,"")</f>
        <v>USER INPUT SHEET</v>
      </c>
      <c r="C72" s="888" t="str">
        <f>IF(LEN('Translation-EN'!C72)&gt;0,'Translation-EN'!C72,"")</f>
        <v>F25</v>
      </c>
      <c r="D72" s="888" t="b">
        <f>IF(LEN('Translation-EN'!D72)&gt;0,'Translation-EN'!D72,"")</f>
        <v>1</v>
      </c>
      <c r="E72" s="1511" t="s">
        <v>2773</v>
      </c>
      <c r="F72" s="1511"/>
      <c r="G72" s="1511"/>
      <c r="H72" s="1511"/>
      <c r="I72" s="1511"/>
      <c r="J72" s="1511"/>
      <c r="K72" s="1511"/>
      <c r="L72" s="1511"/>
    </row>
    <row r="73" spans="1:12" ht="48.15" customHeight="1" x14ac:dyDescent="0.3">
      <c r="A73" s="888" t="str">
        <f>IF(LEN('Translation-EN'!A73)&gt;0,'Translation-EN'!A73,"")</f>
        <v>Range</v>
      </c>
      <c r="B73" s="888" t="str">
        <f>IF(LEN('Translation-EN'!B73)&gt;0,'Translation-EN'!B73,"")</f>
        <v>USER INPUT SHEET</v>
      </c>
      <c r="C73" s="888" t="str">
        <f>IF(LEN('Translation-EN'!C73)&gt;0,'Translation-EN'!C73,"")</f>
        <v>N25</v>
      </c>
      <c r="D73" s="888" t="b">
        <f>IF(LEN('Translation-EN'!D73)&gt;0,'Translation-EN'!D73,"")</f>
        <v>1</v>
      </c>
      <c r="E73" s="1512" t="s">
        <v>3337</v>
      </c>
      <c r="F73" s="1512"/>
      <c r="G73" s="1512"/>
    </row>
    <row r="74" spans="1:12" x14ac:dyDescent="0.3">
      <c r="A74" s="888" t="str">
        <f>IF(LEN('Translation-EN'!A74)&gt;0,'Translation-EN'!A74,"")</f>
        <v>Range</v>
      </c>
      <c r="B74" s="888" t="str">
        <f>IF(LEN('Translation-EN'!B74)&gt;0,'Translation-EN'!B74,"")</f>
        <v>USER INPUT SHEET</v>
      </c>
      <c r="C74" s="888" t="str">
        <f>IF(LEN('Translation-EN'!C74)&gt;0,'Translation-EN'!C74,"")</f>
        <v>Q25</v>
      </c>
      <c r="D74" s="888" t="str">
        <f>IF(LEN('Translation-EN'!D74)&gt;0,'Translation-EN'!D74,"")</f>
        <v/>
      </c>
      <c r="E74" s="893" t="s">
        <v>2774</v>
      </c>
    </row>
    <row r="75" spans="1:12" x14ac:dyDescent="0.3">
      <c r="A75" s="888" t="str">
        <f>IF(LEN('Translation-EN'!A75)&gt;0,'Translation-EN'!A75,"")</f>
        <v>Range</v>
      </c>
      <c r="B75" s="888" t="str">
        <f>IF(LEN('Translation-EN'!B75)&gt;0,'Translation-EN'!B75,"")</f>
        <v>USER INPUT SHEET</v>
      </c>
      <c r="C75" s="888" t="str">
        <f>IF(LEN('Translation-EN'!C75)&gt;0,'Translation-EN'!C75,"")</f>
        <v>B26</v>
      </c>
      <c r="D75" s="888" t="str">
        <f>IF(LEN('Translation-EN'!D75)&gt;0,'Translation-EN'!D75,"")</f>
        <v/>
      </c>
      <c r="E75" s="897" t="s">
        <v>5137</v>
      </c>
    </row>
    <row r="76" spans="1:12" x14ac:dyDescent="0.3">
      <c r="A76" s="888" t="str">
        <f>IF(LEN('Translation-EN'!A76)&gt;0,'Translation-EN'!A76,"")</f>
        <v>Range</v>
      </c>
      <c r="B76" s="888" t="str">
        <f>IF(LEN('Translation-EN'!B76)&gt;0,'Translation-EN'!B76,"")</f>
        <v>USER INPUT SHEET</v>
      </c>
      <c r="C76" s="888" t="str">
        <f>IF(LEN('Translation-EN'!C76)&gt;0,'Translation-EN'!C76,"")</f>
        <v>D26</v>
      </c>
      <c r="D76" s="888" t="str">
        <f>IF(LEN('Translation-EN'!D76)&gt;0,'Translation-EN'!D76,"")</f>
        <v/>
      </c>
      <c r="E76" s="893" t="s">
        <v>2775</v>
      </c>
    </row>
    <row r="77" spans="1:12" x14ac:dyDescent="0.3">
      <c r="A77" s="888" t="str">
        <f>IF(LEN('Translation-EN'!A77)&gt;0,'Translation-EN'!A77,"")</f>
        <v>Range</v>
      </c>
      <c r="B77" s="888" t="str">
        <f>IF(LEN('Translation-EN'!B77)&gt;0,'Translation-EN'!B77,"")</f>
        <v>USER INPUT SHEET</v>
      </c>
      <c r="C77" s="888" t="str">
        <f>IF(LEN('Translation-EN'!C77)&gt;0,'Translation-EN'!C77,"")</f>
        <v>E26</v>
      </c>
      <c r="D77" s="888" t="str">
        <f>IF(LEN('Translation-EN'!D77)&gt;0,'Translation-EN'!D77,"")</f>
        <v/>
      </c>
      <c r="E77" s="888" t="s">
        <v>2776</v>
      </c>
    </row>
    <row r="78" spans="1:12" x14ac:dyDescent="0.3">
      <c r="A78" s="888" t="str">
        <f>IF(LEN('Translation-EN'!A78)&gt;0,'Translation-EN'!A78,"")</f>
        <v>Range</v>
      </c>
      <c r="B78" s="888" t="str">
        <f>IF(LEN('Translation-EN'!B78)&gt;0,'Translation-EN'!B78,"")</f>
        <v>USER INPUT SHEET</v>
      </c>
      <c r="C78" s="888" t="str">
        <f>IF(LEN('Translation-EN'!C78)&gt;0,'Translation-EN'!C78,"")</f>
        <v>G26</v>
      </c>
      <c r="D78" s="888" t="str">
        <f>IF(LEN('Translation-EN'!D78)&gt;0,'Translation-EN'!D78,"")</f>
        <v/>
      </c>
      <c r="E78" s="897" t="s">
        <v>5143</v>
      </c>
    </row>
    <row r="79" spans="1:12" x14ac:dyDescent="0.3">
      <c r="A79" s="888" t="str">
        <f>IF(LEN('Translation-EN'!A79)&gt;0,'Translation-EN'!A79,"")</f>
        <v>Range</v>
      </c>
      <c r="B79" s="888" t="str">
        <f>IF(LEN('Translation-EN'!B79)&gt;0,'Translation-EN'!B79,"")</f>
        <v>USER INPUT SHEET</v>
      </c>
      <c r="C79" s="888" t="str">
        <f>IF(LEN('Translation-EN'!C79)&gt;0,'Translation-EN'!C79,"")</f>
        <v>N26</v>
      </c>
      <c r="D79" s="888" t="str">
        <f>IF(LEN('Translation-EN'!D79)&gt;0,'Translation-EN'!D79,"")</f>
        <v/>
      </c>
      <c r="E79" s="897" t="s">
        <v>5144</v>
      </c>
    </row>
    <row r="80" spans="1:12" x14ac:dyDescent="0.3">
      <c r="A80" s="888" t="str">
        <f>IF(LEN('Translation-EN'!A80)&gt;0,'Translation-EN'!A80,"")</f>
        <v>Range</v>
      </c>
      <c r="B80" s="888" t="str">
        <f>IF(LEN('Translation-EN'!B80)&gt;0,'Translation-EN'!B80,"")</f>
        <v>USER INPUT SHEET</v>
      </c>
      <c r="C80" s="888" t="str">
        <f>IF(LEN('Translation-EN'!C80)&gt;0,'Translation-EN'!C80,"")</f>
        <v>B28</v>
      </c>
      <c r="D80" s="888" t="str">
        <f>IF(LEN('Translation-EN'!D80)&gt;0,'Translation-EN'!D80,"")</f>
        <v/>
      </c>
      <c r="E80" s="893" t="s">
        <v>2777</v>
      </c>
    </row>
    <row r="81" spans="1:18" x14ac:dyDescent="0.3">
      <c r="A81" s="888" t="str">
        <f>IF(LEN('Translation-EN'!A81)&gt;0,'Translation-EN'!A81,"")</f>
        <v>Range</v>
      </c>
      <c r="B81" s="888" t="str">
        <f>IF(LEN('Translation-EN'!B81)&gt;0,'Translation-EN'!B81,"")</f>
        <v>USER INPUT SHEET</v>
      </c>
      <c r="C81" s="888" t="str">
        <f>IF(LEN('Translation-EN'!C81)&gt;0,'Translation-EN'!C81,"")</f>
        <v>B30</v>
      </c>
      <c r="D81" s="888" t="str">
        <f>IF(LEN('Translation-EN'!D81)&gt;0,'Translation-EN'!D81,"")</f>
        <v/>
      </c>
      <c r="E81" s="893" t="s">
        <v>2778</v>
      </c>
    </row>
    <row r="82" spans="1:18" s="893" customFormat="1" x14ac:dyDescent="0.3">
      <c r="A82" s="888" t="str">
        <f>IF(LEN('Translation-EN'!A82)&gt;0,'Translation-EN'!A82,"")</f>
        <v>Range</v>
      </c>
      <c r="B82" s="888" t="str">
        <f>IF(LEN('Translation-EN'!B82)&gt;0,'Translation-EN'!B82,"")</f>
        <v>USER INPUT SHEET</v>
      </c>
      <c r="C82" s="888" t="str">
        <f>IF(LEN('Translation-EN'!C82)&gt;0,'Translation-EN'!C82,"")</f>
        <v>B31</v>
      </c>
      <c r="D82" s="888" t="str">
        <f>IF(LEN('Translation-EN'!D82)&gt;0,'Translation-EN'!D82,"")</f>
        <v/>
      </c>
      <c r="E82" s="893" t="s">
        <v>2779</v>
      </c>
      <c r="I82" s="888"/>
      <c r="J82" s="888"/>
      <c r="K82" s="888"/>
      <c r="L82" s="888"/>
      <c r="M82" s="888"/>
      <c r="N82" s="888"/>
      <c r="O82" s="888"/>
      <c r="P82" s="888"/>
      <c r="Q82" s="888"/>
      <c r="R82" s="888"/>
    </row>
    <row r="83" spans="1:18" s="893" customFormat="1" x14ac:dyDescent="0.3">
      <c r="A83" s="888" t="str">
        <f>IF(LEN('Translation-EN'!A83)&gt;0,'Translation-EN'!A83,"")</f>
        <v>Range</v>
      </c>
      <c r="B83" s="888" t="str">
        <f>IF(LEN('Translation-EN'!B83)&gt;0,'Translation-EN'!B83,"")</f>
        <v>USER INPUT SHEET</v>
      </c>
      <c r="C83" s="888" t="str">
        <f>IF(LEN('Translation-EN'!C83)&gt;0,'Translation-EN'!C83,"")</f>
        <v>B32</v>
      </c>
      <c r="D83" s="888" t="str">
        <f>IF(LEN('Translation-EN'!D83)&gt;0,'Translation-EN'!D83,"")</f>
        <v/>
      </c>
      <c r="E83" s="893" t="s">
        <v>2780</v>
      </c>
      <c r="I83" s="888"/>
      <c r="J83" s="888"/>
      <c r="K83" s="888"/>
      <c r="L83" s="888"/>
      <c r="M83" s="888"/>
      <c r="N83" s="888"/>
      <c r="O83" s="888"/>
      <c r="P83" s="888"/>
      <c r="Q83" s="888"/>
      <c r="R83" s="888"/>
    </row>
    <row r="84" spans="1:18" s="893" customFormat="1" x14ac:dyDescent="0.3">
      <c r="A84" s="888" t="str">
        <f>IF(LEN('Translation-EN'!A84)&gt;0,'Translation-EN'!A84,"")</f>
        <v>Range</v>
      </c>
      <c r="B84" s="888" t="str">
        <f>IF(LEN('Translation-EN'!B84)&gt;0,'Translation-EN'!B84,"")</f>
        <v>USER INPUT SHEET</v>
      </c>
      <c r="C84" s="888" t="str">
        <f>IF(LEN('Translation-EN'!C84)&gt;0,'Translation-EN'!C84,"")</f>
        <v>B33</v>
      </c>
      <c r="D84" s="888" t="str">
        <f>IF(LEN('Translation-EN'!D84)&gt;0,'Translation-EN'!D84,"")</f>
        <v/>
      </c>
      <c r="E84" s="893" t="s">
        <v>2781</v>
      </c>
      <c r="I84" s="888"/>
      <c r="J84" s="888"/>
      <c r="K84" s="888"/>
      <c r="L84" s="888"/>
      <c r="M84" s="888"/>
      <c r="N84" s="888"/>
      <c r="O84" s="888"/>
      <c r="P84" s="888"/>
      <c r="Q84" s="888"/>
      <c r="R84" s="888"/>
    </row>
    <row r="85" spans="1:18" s="893" customFormat="1" x14ac:dyDescent="0.3">
      <c r="A85" s="888" t="str">
        <f>IF(LEN('Translation-EN'!A85)&gt;0,'Translation-EN'!A85,"")</f>
        <v>Range</v>
      </c>
      <c r="B85" s="888" t="str">
        <f>IF(LEN('Translation-EN'!B85)&gt;0,'Translation-EN'!B85,"")</f>
        <v>USER INPUT SHEET</v>
      </c>
      <c r="C85" s="888" t="str">
        <f>IF(LEN('Translation-EN'!C85)&gt;0,'Translation-EN'!C85,"")</f>
        <v>B34</v>
      </c>
      <c r="D85" s="888" t="str">
        <f>IF(LEN('Translation-EN'!D85)&gt;0,'Translation-EN'!D85,"")</f>
        <v/>
      </c>
      <c r="E85" s="893" t="s">
        <v>2782</v>
      </c>
      <c r="I85" s="888"/>
      <c r="J85" s="888"/>
      <c r="K85" s="888"/>
      <c r="L85" s="888"/>
      <c r="M85" s="888"/>
      <c r="N85" s="888"/>
      <c r="O85" s="888"/>
      <c r="P85" s="888"/>
      <c r="Q85" s="888"/>
      <c r="R85" s="888"/>
    </row>
    <row r="86" spans="1:18" s="893" customFormat="1" x14ac:dyDescent="0.3">
      <c r="A86" s="888" t="str">
        <f>IF(LEN('Translation-EN'!A86)&gt;0,'Translation-EN'!A86,"")</f>
        <v>Range</v>
      </c>
      <c r="B86" s="888" t="str">
        <f>IF(LEN('Translation-EN'!B86)&gt;0,'Translation-EN'!B86,"")</f>
        <v>USER INPUT SHEET</v>
      </c>
      <c r="C86" s="888" t="str">
        <f>IF(LEN('Translation-EN'!C86)&gt;0,'Translation-EN'!C86,"")</f>
        <v>B35</v>
      </c>
      <c r="D86" s="888" t="str">
        <f>IF(LEN('Translation-EN'!D86)&gt;0,'Translation-EN'!D86,"")</f>
        <v/>
      </c>
      <c r="E86" s="893" t="s">
        <v>2783</v>
      </c>
      <c r="I86" s="888"/>
      <c r="J86" s="888"/>
      <c r="K86" s="888"/>
      <c r="L86" s="888"/>
      <c r="M86" s="888"/>
      <c r="N86" s="888"/>
      <c r="O86" s="888"/>
      <c r="P86" s="888"/>
      <c r="Q86" s="888"/>
      <c r="R86" s="888"/>
    </row>
    <row r="87" spans="1:18" s="893" customFormat="1" ht="15.6" x14ac:dyDescent="0.3">
      <c r="A87" s="888" t="str">
        <f>IF(LEN('Translation-EN'!A87)&gt;0,'Translation-EN'!A87,"")</f>
        <v>Range</v>
      </c>
      <c r="B87" s="888" t="str">
        <f>IF(LEN('Translation-EN'!B87)&gt;0,'Translation-EN'!B87,"")</f>
        <v>USER INPUT SHEET</v>
      </c>
      <c r="C87" s="888" t="str">
        <f>IF(LEN('Translation-EN'!C87)&gt;0,'Translation-EN'!C87,"")</f>
        <v>B36</v>
      </c>
      <c r="D87" s="888" t="b">
        <f>IF(LEN('Translation-EN'!D87)&gt;0,'Translation-EN'!D87,"")</f>
        <v>1</v>
      </c>
      <c r="E87" s="1472" t="s">
        <v>7499</v>
      </c>
      <c r="F87" s="1473"/>
      <c r="I87" s="888"/>
      <c r="J87" s="888"/>
      <c r="K87" s="888"/>
      <c r="L87" s="888"/>
      <c r="M87" s="888"/>
      <c r="N87" s="888"/>
      <c r="O87" s="888"/>
      <c r="P87" s="888"/>
      <c r="Q87" s="888"/>
      <c r="R87" s="888"/>
    </row>
    <row r="88" spans="1:18" s="893" customFormat="1" x14ac:dyDescent="0.3">
      <c r="A88" s="888" t="str">
        <f>IF(LEN('Translation-EN'!A88)&gt;0,'Translation-EN'!A88,"")</f>
        <v>Range</v>
      </c>
      <c r="B88" s="888" t="str">
        <f>IF(LEN('Translation-EN'!B88)&gt;0,'Translation-EN'!B88,"")</f>
        <v>USER INPUT SHEET</v>
      </c>
      <c r="C88" s="888" t="str">
        <f>IF(LEN('Translation-EN'!C88)&gt;0,'Translation-EN'!C88,"")</f>
        <v>B37</v>
      </c>
      <c r="D88" s="888" t="str">
        <f>IF(LEN('Translation-EN'!D88)&gt;0,'Translation-EN'!D88,"")</f>
        <v/>
      </c>
      <c r="E88" s="893" t="s">
        <v>2784</v>
      </c>
      <c r="I88" s="888"/>
      <c r="J88" s="888"/>
      <c r="K88" s="888"/>
      <c r="L88" s="888"/>
      <c r="M88" s="888"/>
      <c r="N88" s="888"/>
      <c r="O88" s="888"/>
      <c r="P88" s="888"/>
      <c r="Q88" s="888"/>
      <c r="R88" s="888"/>
    </row>
    <row r="89" spans="1:18" s="893" customFormat="1" x14ac:dyDescent="0.3">
      <c r="A89" s="888" t="str">
        <f>IF(LEN('Translation-EN'!A89)&gt;0,'Translation-EN'!A89,"")</f>
        <v>Range</v>
      </c>
      <c r="B89" s="888" t="str">
        <f>IF(LEN('Translation-EN'!B89)&gt;0,'Translation-EN'!B89,"")</f>
        <v>USER INPUT SHEET</v>
      </c>
      <c r="C89" s="888" t="str">
        <f>IF(LEN('Translation-EN'!C89)&gt;0,'Translation-EN'!C89,"")</f>
        <v>B38</v>
      </c>
      <c r="D89" s="888" t="str">
        <f>IF(LEN('Translation-EN'!D89)&gt;0,'Translation-EN'!D89,"")</f>
        <v/>
      </c>
      <c r="E89" s="893" t="s">
        <v>2785</v>
      </c>
      <c r="I89" s="888"/>
      <c r="J89" s="888"/>
      <c r="K89" s="888"/>
      <c r="L89" s="888"/>
      <c r="M89" s="888"/>
      <c r="N89" s="888"/>
      <c r="O89" s="888"/>
      <c r="P89" s="888"/>
      <c r="Q89" s="888"/>
      <c r="R89" s="888"/>
    </row>
    <row r="90" spans="1:18" s="893" customFormat="1" x14ac:dyDescent="0.3">
      <c r="A90" s="888" t="str">
        <f>IF(LEN('Translation-EN'!A90)&gt;0,'Translation-EN'!A90,"")</f>
        <v>Range</v>
      </c>
      <c r="B90" s="888" t="str">
        <f>IF(LEN('Translation-EN'!B90)&gt;0,'Translation-EN'!B90,"")</f>
        <v>USER INPUT SHEET</v>
      </c>
      <c r="C90" s="888" t="str">
        <f>IF(LEN('Translation-EN'!C90)&gt;0,'Translation-EN'!C90,"")</f>
        <v>B39</v>
      </c>
      <c r="D90" s="888" t="str">
        <f>IF(LEN('Translation-EN'!D90)&gt;0,'Translation-EN'!D90,"")</f>
        <v/>
      </c>
      <c r="E90" s="893" t="s">
        <v>2786</v>
      </c>
      <c r="I90" s="888"/>
      <c r="J90" s="888"/>
      <c r="K90" s="888"/>
      <c r="L90" s="888"/>
      <c r="M90" s="888"/>
      <c r="N90" s="888"/>
      <c r="O90" s="888"/>
      <c r="P90" s="888"/>
      <c r="Q90" s="888"/>
      <c r="R90" s="888"/>
    </row>
    <row r="91" spans="1:18" s="893" customFormat="1" x14ac:dyDescent="0.3">
      <c r="A91" s="888" t="str">
        <f>IF(LEN('Translation-EN'!A91)&gt;0,'Translation-EN'!A91,"")</f>
        <v>Range</v>
      </c>
      <c r="B91" s="888" t="str">
        <f>IF(LEN('Translation-EN'!B91)&gt;0,'Translation-EN'!B91,"")</f>
        <v>USER INPUT SHEET</v>
      </c>
      <c r="C91" s="888" t="str">
        <f>IF(LEN('Translation-EN'!C91)&gt;0,'Translation-EN'!C91,"")</f>
        <v>B40</v>
      </c>
      <c r="D91" s="888" t="str">
        <f>IF(LEN('Translation-EN'!D91)&gt;0,'Translation-EN'!D91,"")</f>
        <v/>
      </c>
      <c r="E91" s="893" t="s">
        <v>2787</v>
      </c>
      <c r="I91" s="888"/>
      <c r="J91" s="888"/>
      <c r="K91" s="888"/>
      <c r="L91" s="888"/>
      <c r="M91" s="888"/>
      <c r="N91" s="888"/>
      <c r="O91" s="888"/>
      <c r="P91" s="888"/>
      <c r="Q91" s="888"/>
      <c r="R91" s="888"/>
    </row>
    <row r="92" spans="1:18" s="893" customFormat="1" x14ac:dyDescent="0.3">
      <c r="A92" s="888" t="str">
        <f>IF(LEN('Translation-EN'!A92)&gt;0,'Translation-EN'!A92,"")</f>
        <v>Range</v>
      </c>
      <c r="B92" s="888" t="str">
        <f>IF(LEN('Translation-EN'!B92)&gt;0,'Translation-EN'!B92,"")</f>
        <v>USER INPUT SHEET</v>
      </c>
      <c r="C92" s="888" t="str">
        <f>IF(LEN('Translation-EN'!C92)&gt;0,'Translation-EN'!C92,"")</f>
        <v>G28</v>
      </c>
      <c r="D92" s="888" t="str">
        <f>IF(LEN('Translation-EN'!D92)&gt;0,'Translation-EN'!D92,"")</f>
        <v/>
      </c>
      <c r="E92" s="893" t="s">
        <v>2788</v>
      </c>
      <c r="I92" s="888"/>
      <c r="J92" s="888"/>
      <c r="K92" s="888"/>
      <c r="L92" s="888"/>
      <c r="M92" s="888"/>
      <c r="N92" s="888"/>
      <c r="O92" s="888"/>
      <c r="P92" s="888"/>
      <c r="Q92" s="888"/>
      <c r="R92" s="888"/>
    </row>
    <row r="93" spans="1:18" s="893" customFormat="1" x14ac:dyDescent="0.3">
      <c r="A93" s="888" t="str">
        <f>IF(LEN('Translation-EN'!A93)&gt;0,'Translation-EN'!A93,"")</f>
        <v>Range</v>
      </c>
      <c r="B93" s="888" t="str">
        <f>IF(LEN('Translation-EN'!B93)&gt;0,'Translation-EN'!B93,"")</f>
        <v>USER INPUT SHEET</v>
      </c>
      <c r="C93" s="888" t="str">
        <f>IF(LEN('Translation-EN'!C93)&gt;0,'Translation-EN'!C93,"")</f>
        <v>I28</v>
      </c>
      <c r="D93" s="888" t="str">
        <f>IF(LEN('Translation-EN'!D93)&gt;0,'Translation-EN'!D93,"")</f>
        <v/>
      </c>
      <c r="E93" s="888" t="s">
        <v>2789</v>
      </c>
      <c r="I93" s="888"/>
      <c r="J93" s="888"/>
      <c r="K93" s="888"/>
      <c r="L93" s="888"/>
      <c r="M93" s="888"/>
      <c r="N93" s="888"/>
      <c r="O93" s="888"/>
      <c r="P93" s="888"/>
      <c r="Q93" s="888"/>
      <c r="R93" s="888"/>
    </row>
    <row r="94" spans="1:18" s="893" customFormat="1" x14ac:dyDescent="0.3">
      <c r="A94" s="888" t="str">
        <f>IF(LEN('Translation-EN'!A94)&gt;0,'Translation-EN'!A94,"")</f>
        <v>Range</v>
      </c>
      <c r="B94" s="888" t="str">
        <f>IF(LEN('Translation-EN'!B94)&gt;0,'Translation-EN'!B94,"")</f>
        <v>USER INPUT SHEET</v>
      </c>
      <c r="C94" s="888" t="str">
        <f>IF(LEN('Translation-EN'!C94)&gt;0,'Translation-EN'!C94,"")</f>
        <v>K28</v>
      </c>
      <c r="D94" s="888" t="str">
        <f>IF(LEN('Translation-EN'!D94)&gt;0,'Translation-EN'!D94,"")</f>
        <v/>
      </c>
      <c r="E94" s="893" t="s">
        <v>2790</v>
      </c>
      <c r="I94" s="888"/>
      <c r="J94" s="888"/>
      <c r="K94" s="888"/>
      <c r="L94" s="888"/>
      <c r="M94" s="888"/>
      <c r="N94" s="888"/>
      <c r="O94" s="888"/>
      <c r="P94" s="888"/>
      <c r="Q94" s="888"/>
      <c r="R94" s="888"/>
    </row>
    <row r="95" spans="1:18" s="893" customFormat="1" x14ac:dyDescent="0.3">
      <c r="A95" s="888" t="str">
        <f>IF(LEN('Translation-EN'!A95)&gt;0,'Translation-EN'!A95,"")</f>
        <v>Range</v>
      </c>
      <c r="B95" s="888" t="str">
        <f>IF(LEN('Translation-EN'!B95)&gt;0,'Translation-EN'!B95,"")</f>
        <v>USER INPUT SHEET</v>
      </c>
      <c r="C95" s="888" t="str">
        <f>IF(LEN('Translation-EN'!C95)&gt;0,'Translation-EN'!C95,"")</f>
        <v>G30</v>
      </c>
      <c r="D95" s="888" t="str">
        <f>IF(LEN('Translation-EN'!D95)&gt;0,'Translation-EN'!D95,"")</f>
        <v/>
      </c>
      <c r="E95" s="893" t="s">
        <v>2791</v>
      </c>
      <c r="I95" s="888"/>
      <c r="J95" s="888"/>
      <c r="K95" s="888"/>
      <c r="L95" s="888"/>
      <c r="M95" s="888"/>
      <c r="N95" s="888"/>
      <c r="O95" s="888"/>
      <c r="P95" s="888"/>
      <c r="Q95" s="888"/>
      <c r="R95" s="888"/>
    </row>
    <row r="96" spans="1:18" s="893" customFormat="1" x14ac:dyDescent="0.3">
      <c r="A96" s="888" t="str">
        <f>IF(LEN('Translation-EN'!A96)&gt;0,'Translation-EN'!A96,"")</f>
        <v>Range</v>
      </c>
      <c r="B96" s="888" t="str">
        <f>IF(LEN('Translation-EN'!B96)&gt;0,'Translation-EN'!B96,"")</f>
        <v>USER INPUT SHEET</v>
      </c>
      <c r="C96" s="888" t="str">
        <f>IF(LEN('Translation-EN'!C96)&gt;0,'Translation-EN'!C96,"")</f>
        <v>G31</v>
      </c>
      <c r="D96" s="888" t="str">
        <f>IF(LEN('Translation-EN'!D96)&gt;0,'Translation-EN'!D96,"")</f>
        <v/>
      </c>
      <c r="E96" s="893" t="s">
        <v>2792</v>
      </c>
      <c r="I96" s="888"/>
      <c r="J96" s="888"/>
      <c r="K96" s="888"/>
      <c r="L96" s="888"/>
      <c r="M96" s="888"/>
      <c r="N96" s="888"/>
      <c r="O96" s="888"/>
      <c r="P96" s="888"/>
      <c r="Q96" s="888"/>
      <c r="R96" s="888"/>
    </row>
    <row r="97" spans="1:18" s="893" customFormat="1" x14ac:dyDescent="0.3">
      <c r="A97" s="888" t="str">
        <f>IF(LEN('Translation-EN'!A97)&gt;0,'Translation-EN'!A97,"")</f>
        <v>Range</v>
      </c>
      <c r="B97" s="888" t="str">
        <f>IF(LEN('Translation-EN'!B97)&gt;0,'Translation-EN'!B97,"")</f>
        <v>USER INPUT SHEET</v>
      </c>
      <c r="C97" s="888" t="str">
        <f>IF(LEN('Translation-EN'!C97)&gt;0,'Translation-EN'!C97,"")</f>
        <v>G32</v>
      </c>
      <c r="D97" s="888" t="str">
        <f>IF(LEN('Translation-EN'!D97)&gt;0,'Translation-EN'!D97,"")</f>
        <v/>
      </c>
      <c r="E97" s="893" t="s">
        <v>2793</v>
      </c>
      <c r="I97" s="888"/>
      <c r="J97" s="888"/>
      <c r="K97" s="888"/>
      <c r="L97" s="888"/>
      <c r="M97" s="888"/>
      <c r="N97" s="888"/>
      <c r="O97" s="888"/>
      <c r="P97" s="888"/>
      <c r="Q97" s="888"/>
      <c r="R97" s="888"/>
    </row>
    <row r="98" spans="1:18" s="893" customFormat="1" x14ac:dyDescent="0.3">
      <c r="A98" s="888" t="str">
        <f>IF(LEN('Translation-EN'!A98)&gt;0,'Translation-EN'!A98,"")</f>
        <v>Range</v>
      </c>
      <c r="B98" s="888" t="str">
        <f>IF(LEN('Translation-EN'!B98)&gt;0,'Translation-EN'!B98,"")</f>
        <v>USER INPUT SHEET</v>
      </c>
      <c r="C98" s="888" t="str">
        <f>IF(LEN('Translation-EN'!C98)&gt;0,'Translation-EN'!C98,"")</f>
        <v>G33</v>
      </c>
      <c r="D98" s="888" t="str">
        <f>IF(LEN('Translation-EN'!D98)&gt;0,'Translation-EN'!D98,"")</f>
        <v/>
      </c>
      <c r="E98" s="893" t="s">
        <v>1962</v>
      </c>
      <c r="I98" s="888"/>
      <c r="J98" s="888"/>
      <c r="K98" s="888"/>
      <c r="L98" s="888"/>
      <c r="M98" s="888"/>
      <c r="N98" s="888"/>
      <c r="O98" s="888"/>
      <c r="P98" s="888"/>
      <c r="Q98" s="888"/>
      <c r="R98" s="888"/>
    </row>
    <row r="99" spans="1:18" s="893" customFormat="1" x14ac:dyDescent="0.3">
      <c r="A99" s="888" t="str">
        <f>IF(LEN('Translation-EN'!A99)&gt;0,'Translation-EN'!A99,"")</f>
        <v>Range</v>
      </c>
      <c r="B99" s="888" t="str">
        <f>IF(LEN('Translation-EN'!B99)&gt;0,'Translation-EN'!B99,"")</f>
        <v>USER INPUT SHEET</v>
      </c>
      <c r="C99" s="888" t="str">
        <f>IF(LEN('Translation-EN'!C99)&gt;0,'Translation-EN'!C99,"")</f>
        <v>G34</v>
      </c>
      <c r="D99" s="888" t="str">
        <f>IF(LEN('Translation-EN'!D99)&gt;0,'Translation-EN'!D99,"")</f>
        <v/>
      </c>
      <c r="E99" s="893" t="s">
        <v>2794</v>
      </c>
      <c r="I99" s="888"/>
      <c r="J99" s="888"/>
      <c r="K99" s="888"/>
      <c r="L99" s="888"/>
      <c r="M99" s="888"/>
      <c r="N99" s="888"/>
      <c r="O99" s="888"/>
      <c r="P99" s="888"/>
      <c r="Q99" s="888"/>
      <c r="R99" s="888"/>
    </row>
    <row r="100" spans="1:18" s="893" customFormat="1" x14ac:dyDescent="0.3">
      <c r="A100" s="888" t="str">
        <f>IF(LEN('Translation-EN'!A100)&gt;0,'Translation-EN'!A100,"")</f>
        <v>Range</v>
      </c>
      <c r="B100" s="888" t="str">
        <f>IF(LEN('Translation-EN'!B100)&gt;0,'Translation-EN'!B100,"")</f>
        <v>USER INPUT SHEET</v>
      </c>
      <c r="C100" s="888" t="str">
        <f>IF(LEN('Translation-EN'!C100)&gt;0,'Translation-EN'!C100,"")</f>
        <v>G35</v>
      </c>
      <c r="D100" s="888" t="str">
        <f>IF(LEN('Translation-EN'!D100)&gt;0,'Translation-EN'!D100,"")</f>
        <v/>
      </c>
      <c r="E100" s="893" t="s">
        <v>2795</v>
      </c>
      <c r="I100" s="888"/>
      <c r="J100" s="888"/>
      <c r="K100" s="888"/>
      <c r="L100" s="888"/>
      <c r="M100" s="888"/>
      <c r="N100" s="888"/>
      <c r="O100" s="888"/>
      <c r="P100" s="888"/>
      <c r="Q100" s="888"/>
      <c r="R100" s="888"/>
    </row>
    <row r="101" spans="1:18" s="893" customFormat="1" x14ac:dyDescent="0.3">
      <c r="A101" s="888" t="str">
        <f>IF(LEN('Translation-EN'!A101)&gt;0,'Translation-EN'!A101,"")</f>
        <v>Range</v>
      </c>
      <c r="B101" s="888" t="str">
        <f>IF(LEN('Translation-EN'!B101)&gt;0,'Translation-EN'!B101,"")</f>
        <v>USER INPUT SHEET</v>
      </c>
      <c r="C101" s="888" t="str">
        <f>IF(LEN('Translation-EN'!C101)&gt;0,'Translation-EN'!C101,"")</f>
        <v>G36</v>
      </c>
      <c r="D101" s="888" t="str">
        <f>IF(LEN('Translation-EN'!D101)&gt;0,'Translation-EN'!D101,"")</f>
        <v/>
      </c>
      <c r="E101" s="893" t="s">
        <v>2796</v>
      </c>
      <c r="I101" s="888"/>
      <c r="J101" s="888"/>
      <c r="K101" s="888"/>
      <c r="L101" s="888"/>
      <c r="M101" s="888"/>
      <c r="N101" s="888"/>
      <c r="O101" s="888"/>
      <c r="P101" s="888"/>
      <c r="Q101" s="888"/>
      <c r="R101" s="888"/>
    </row>
    <row r="102" spans="1:18" s="893" customFormat="1" x14ac:dyDescent="0.3">
      <c r="A102" s="888" t="str">
        <f>IF(LEN('Translation-EN'!A102)&gt;0,'Translation-EN'!A102,"")</f>
        <v>Range</v>
      </c>
      <c r="B102" s="888" t="str">
        <f>IF(LEN('Translation-EN'!B102)&gt;0,'Translation-EN'!B102,"")</f>
        <v>USER INPUT SHEET</v>
      </c>
      <c r="C102" s="888" t="str">
        <f>IF(LEN('Translation-EN'!C102)&gt;0,'Translation-EN'!C102,"")</f>
        <v>G37</v>
      </c>
      <c r="D102" s="888" t="str">
        <f>IF(LEN('Translation-EN'!D102)&gt;0,'Translation-EN'!D102,"")</f>
        <v/>
      </c>
      <c r="E102" s="893" t="s">
        <v>2797</v>
      </c>
      <c r="I102" s="888"/>
      <c r="J102" s="888"/>
      <c r="K102" s="888"/>
      <c r="L102" s="888"/>
      <c r="M102" s="888"/>
      <c r="N102" s="888"/>
      <c r="O102" s="888"/>
      <c r="P102" s="888"/>
      <c r="Q102" s="888"/>
      <c r="R102" s="888"/>
    </row>
    <row r="103" spans="1:18" s="893" customFormat="1" x14ac:dyDescent="0.3">
      <c r="A103" s="888" t="str">
        <f>IF(LEN('Translation-EN'!A103)&gt;0,'Translation-EN'!A103,"")</f>
        <v>Range</v>
      </c>
      <c r="B103" s="888" t="str">
        <f>IF(LEN('Translation-EN'!B103)&gt;0,'Translation-EN'!B103,"")</f>
        <v>USER INPUT SHEET</v>
      </c>
      <c r="C103" s="888" t="str">
        <f>IF(LEN('Translation-EN'!C103)&gt;0,'Translation-EN'!C103,"")</f>
        <v>G38</v>
      </c>
      <c r="D103" s="888" t="str">
        <f>IF(LEN('Translation-EN'!D103)&gt;0,'Translation-EN'!D103,"")</f>
        <v/>
      </c>
      <c r="E103" s="893" t="s">
        <v>2798</v>
      </c>
      <c r="I103" s="888"/>
      <c r="J103" s="888"/>
      <c r="K103" s="888"/>
      <c r="L103" s="888"/>
      <c r="M103" s="888"/>
      <c r="N103" s="888"/>
      <c r="O103" s="888"/>
      <c r="P103" s="888"/>
      <c r="Q103" s="888"/>
      <c r="R103" s="888"/>
    </row>
    <row r="104" spans="1:18" s="893" customFormat="1" x14ac:dyDescent="0.3">
      <c r="A104" s="888" t="str">
        <f>IF(LEN('Translation-EN'!A104)&gt;0,'Translation-EN'!A104,"")</f>
        <v>Range</v>
      </c>
      <c r="B104" s="888" t="str">
        <f>IF(LEN('Translation-EN'!B104)&gt;0,'Translation-EN'!B104,"")</f>
        <v>USER INPUT SHEET</v>
      </c>
      <c r="C104" s="888" t="str">
        <f>IF(LEN('Translation-EN'!C104)&gt;0,'Translation-EN'!C104,"")</f>
        <v>G39</v>
      </c>
      <c r="D104" s="888" t="str">
        <f>IF(LEN('Translation-EN'!D104)&gt;0,'Translation-EN'!D104,"")</f>
        <v/>
      </c>
      <c r="E104" s="893" t="s">
        <v>2799</v>
      </c>
      <c r="I104" s="888"/>
      <c r="J104" s="888"/>
      <c r="K104" s="888"/>
      <c r="L104" s="888"/>
      <c r="M104" s="888"/>
      <c r="N104" s="888"/>
      <c r="O104" s="888"/>
      <c r="P104" s="888"/>
      <c r="Q104" s="888"/>
      <c r="R104" s="888"/>
    </row>
    <row r="105" spans="1:18" s="893" customFormat="1" x14ac:dyDescent="0.3">
      <c r="A105" s="888" t="str">
        <f>IF(LEN('Translation-EN'!A105)&gt;0,'Translation-EN'!A105,"")</f>
        <v>Range</v>
      </c>
      <c r="B105" s="888" t="str">
        <f>IF(LEN('Translation-EN'!B105)&gt;0,'Translation-EN'!B105,"")</f>
        <v>USER INPUT SHEET</v>
      </c>
      <c r="C105" s="888" t="str">
        <f>IF(LEN('Translation-EN'!C105)&gt;0,'Translation-EN'!C105,"")</f>
        <v>G40</v>
      </c>
      <c r="D105" s="888" t="str">
        <f>IF(LEN('Translation-EN'!D105)&gt;0,'Translation-EN'!D105,"")</f>
        <v/>
      </c>
      <c r="E105" s="893" t="s">
        <v>2800</v>
      </c>
      <c r="I105" s="888"/>
      <c r="J105" s="888"/>
      <c r="K105" s="888"/>
      <c r="L105" s="888"/>
      <c r="M105" s="888"/>
      <c r="N105" s="888"/>
      <c r="O105" s="888"/>
      <c r="P105" s="888"/>
      <c r="Q105" s="888"/>
      <c r="R105" s="888"/>
    </row>
    <row r="106" spans="1:18" s="893" customFormat="1" x14ac:dyDescent="0.3">
      <c r="A106" s="888" t="str">
        <f>IF(LEN('Translation-EN'!A106)&gt;0,'Translation-EN'!A106,"")</f>
        <v>Range</v>
      </c>
      <c r="B106" s="888" t="str">
        <f>IF(LEN('Translation-EN'!B106)&gt;0,'Translation-EN'!B106,"")</f>
        <v>USER INPUT SHEET</v>
      </c>
      <c r="C106" s="888" t="str">
        <f>IF(LEN('Translation-EN'!C106)&gt;0,'Translation-EN'!C106,"")</f>
        <v>N28</v>
      </c>
      <c r="D106" s="888" t="str">
        <f>IF(LEN('Translation-EN'!D106)&gt;0,'Translation-EN'!D106,"")</f>
        <v/>
      </c>
      <c r="E106" s="893" t="s">
        <v>2801</v>
      </c>
      <c r="I106" s="888"/>
      <c r="J106" s="888"/>
      <c r="K106" s="888"/>
      <c r="L106" s="888"/>
      <c r="M106" s="888"/>
      <c r="N106" s="888"/>
      <c r="O106" s="888"/>
      <c r="P106" s="888"/>
      <c r="Q106" s="888"/>
      <c r="R106" s="888"/>
    </row>
    <row r="107" spans="1:18" s="893" customFormat="1" x14ac:dyDescent="0.3">
      <c r="A107" s="888" t="str">
        <f>IF(LEN('Translation-EN'!A107)&gt;0,'Translation-EN'!A107,"")</f>
        <v>Range</v>
      </c>
      <c r="B107" s="888" t="str">
        <f>IF(LEN('Translation-EN'!B107)&gt;0,'Translation-EN'!B107,"")</f>
        <v>USER INPUT SHEET</v>
      </c>
      <c r="C107" s="888" t="str">
        <f>IF(LEN('Translation-EN'!C107)&gt;0,'Translation-EN'!C107,"")</f>
        <v>N30</v>
      </c>
      <c r="D107" s="888" t="str">
        <f>IF(LEN('Translation-EN'!D107)&gt;0,'Translation-EN'!D107,"")</f>
        <v/>
      </c>
      <c r="E107" s="893" t="s">
        <v>2802</v>
      </c>
      <c r="I107" s="888"/>
      <c r="J107" s="888"/>
      <c r="K107" s="888"/>
      <c r="L107" s="888"/>
      <c r="M107" s="888"/>
      <c r="N107" s="888"/>
      <c r="O107" s="888"/>
      <c r="P107" s="888"/>
      <c r="Q107" s="888"/>
      <c r="R107" s="888"/>
    </row>
    <row r="108" spans="1:18" s="893" customFormat="1" x14ac:dyDescent="0.3">
      <c r="A108" s="888" t="str">
        <f>IF(LEN('Translation-EN'!A108)&gt;0,'Translation-EN'!A108,"")</f>
        <v>Range</v>
      </c>
      <c r="B108" s="888" t="str">
        <f>IF(LEN('Translation-EN'!B108)&gt;0,'Translation-EN'!B108,"")</f>
        <v>USER INPUT SHEET</v>
      </c>
      <c r="C108" s="888" t="str">
        <f>IF(LEN('Translation-EN'!C108)&gt;0,'Translation-EN'!C108,"")</f>
        <v>N31</v>
      </c>
      <c r="D108" s="888" t="str">
        <f>IF(LEN('Translation-EN'!D108)&gt;0,'Translation-EN'!D108,"")</f>
        <v/>
      </c>
      <c r="E108" s="893" t="s">
        <v>2803</v>
      </c>
      <c r="I108" s="888"/>
      <c r="J108" s="888"/>
      <c r="K108" s="888"/>
      <c r="L108" s="888"/>
      <c r="M108" s="888"/>
      <c r="N108" s="888"/>
      <c r="O108" s="888"/>
      <c r="P108" s="888"/>
      <c r="Q108" s="888"/>
      <c r="R108" s="888"/>
    </row>
    <row r="109" spans="1:18" s="893" customFormat="1" x14ac:dyDescent="0.3">
      <c r="A109" s="888" t="str">
        <f>IF(LEN('Translation-EN'!A109)&gt;0,'Translation-EN'!A109,"")</f>
        <v>Range</v>
      </c>
      <c r="B109" s="888" t="str">
        <f>IF(LEN('Translation-EN'!B109)&gt;0,'Translation-EN'!B109,"")</f>
        <v>USER INPUT SHEET</v>
      </c>
      <c r="C109" s="888" t="str">
        <f>IF(LEN('Translation-EN'!C109)&gt;0,'Translation-EN'!C109,"")</f>
        <v>N32</v>
      </c>
      <c r="D109" s="888" t="str">
        <f>IF(LEN('Translation-EN'!D109)&gt;0,'Translation-EN'!D109,"")</f>
        <v/>
      </c>
      <c r="E109" s="893" t="s">
        <v>2804</v>
      </c>
      <c r="I109" s="888"/>
      <c r="J109" s="888"/>
      <c r="K109" s="888"/>
      <c r="L109" s="888"/>
      <c r="M109" s="888"/>
      <c r="N109" s="888"/>
      <c r="O109" s="888"/>
      <c r="P109" s="888"/>
      <c r="Q109" s="888"/>
      <c r="R109" s="888"/>
    </row>
    <row r="110" spans="1:18" s="893" customFormat="1" x14ac:dyDescent="0.3">
      <c r="A110" s="888" t="str">
        <f>IF(LEN('Translation-EN'!A110)&gt;0,'Translation-EN'!A110,"")</f>
        <v>Range</v>
      </c>
      <c r="B110" s="888" t="str">
        <f>IF(LEN('Translation-EN'!B110)&gt;0,'Translation-EN'!B110,"")</f>
        <v>USER INPUT SHEET</v>
      </c>
      <c r="C110" s="888" t="str">
        <f>IF(LEN('Translation-EN'!C110)&gt;0,'Translation-EN'!C110,"")</f>
        <v>N33</v>
      </c>
      <c r="D110" s="888" t="str">
        <f>IF(LEN('Translation-EN'!D110)&gt;0,'Translation-EN'!D110,"")</f>
        <v/>
      </c>
      <c r="E110" s="893" t="s">
        <v>2805</v>
      </c>
      <c r="I110" s="888"/>
      <c r="J110" s="888"/>
      <c r="K110" s="888"/>
      <c r="L110" s="888"/>
      <c r="M110" s="888"/>
      <c r="N110" s="888"/>
      <c r="O110" s="888"/>
      <c r="P110" s="888"/>
      <c r="Q110" s="888"/>
      <c r="R110" s="888"/>
    </row>
    <row r="111" spans="1:18" s="893" customFormat="1" x14ac:dyDescent="0.3">
      <c r="A111" s="888" t="str">
        <f>IF(LEN('Translation-EN'!A111)&gt;0,'Translation-EN'!A111,"")</f>
        <v>Range</v>
      </c>
      <c r="B111" s="888" t="str">
        <f>IF(LEN('Translation-EN'!B111)&gt;0,'Translation-EN'!B111,"")</f>
        <v>USER INPUT SHEET</v>
      </c>
      <c r="C111" s="888" t="str">
        <f>IF(LEN('Translation-EN'!C111)&gt;0,'Translation-EN'!C111,"")</f>
        <v>N34</v>
      </c>
      <c r="D111" s="888" t="str">
        <f>IF(LEN('Translation-EN'!D111)&gt;0,'Translation-EN'!D111,"")</f>
        <v/>
      </c>
      <c r="E111" s="893" t="s">
        <v>2806</v>
      </c>
      <c r="I111" s="888"/>
      <c r="J111" s="888"/>
      <c r="K111" s="888"/>
      <c r="L111" s="888"/>
      <c r="M111" s="888"/>
      <c r="N111" s="888"/>
      <c r="O111" s="888"/>
      <c r="P111" s="888"/>
      <c r="Q111" s="888"/>
      <c r="R111" s="888"/>
    </row>
    <row r="112" spans="1:18" s="893" customFormat="1" x14ac:dyDescent="0.3">
      <c r="A112" s="888" t="str">
        <f>IF(LEN('Translation-EN'!A112)&gt;0,'Translation-EN'!A112,"")</f>
        <v>Range</v>
      </c>
      <c r="B112" s="888" t="str">
        <f>IF(LEN('Translation-EN'!B112)&gt;0,'Translation-EN'!B112,"")</f>
        <v>USER INPUT SHEET</v>
      </c>
      <c r="C112" s="888" t="str">
        <f>IF(LEN('Translation-EN'!C112)&gt;0,'Translation-EN'!C112,"")</f>
        <v>N35</v>
      </c>
      <c r="D112" s="888" t="str">
        <f>IF(LEN('Translation-EN'!D112)&gt;0,'Translation-EN'!D112,"")</f>
        <v/>
      </c>
      <c r="E112" s="893" t="s">
        <v>2807</v>
      </c>
      <c r="I112" s="888"/>
      <c r="J112" s="888"/>
      <c r="K112" s="888"/>
      <c r="L112" s="888"/>
      <c r="M112" s="888"/>
      <c r="N112" s="888"/>
      <c r="O112" s="888"/>
      <c r="P112" s="888"/>
      <c r="Q112" s="888"/>
      <c r="R112" s="888"/>
    </row>
    <row r="113" spans="1:19" s="893" customFormat="1" x14ac:dyDescent="0.3">
      <c r="A113" s="888" t="str">
        <f>IF(LEN('Translation-EN'!A113)&gt;0,'Translation-EN'!A113,"")</f>
        <v>Range</v>
      </c>
      <c r="B113" s="888" t="str">
        <f>IF(LEN('Translation-EN'!B113)&gt;0,'Translation-EN'!B113,"")</f>
        <v>USER INPUT SHEET</v>
      </c>
      <c r="C113" s="888" t="str">
        <f>IF(LEN('Translation-EN'!C113)&gt;0,'Translation-EN'!C113,"")</f>
        <v>N36</v>
      </c>
      <c r="D113" s="888" t="str">
        <f>IF(LEN('Translation-EN'!D113)&gt;0,'Translation-EN'!D113,"")</f>
        <v/>
      </c>
      <c r="E113" s="893" t="s">
        <v>2808</v>
      </c>
      <c r="I113" s="888"/>
      <c r="J113" s="888"/>
      <c r="K113" s="888"/>
      <c r="L113" s="888"/>
      <c r="M113" s="888"/>
      <c r="N113" s="888"/>
      <c r="O113" s="888"/>
      <c r="P113" s="888"/>
      <c r="Q113" s="888"/>
      <c r="R113" s="888"/>
    </row>
    <row r="114" spans="1:19" x14ac:dyDescent="0.3">
      <c r="A114" s="888" t="str">
        <f>IF(LEN('Translation-EN'!A114)&gt;0,'Translation-EN'!A114,"")</f>
        <v>Range</v>
      </c>
      <c r="B114" s="888" t="str">
        <f>IF(LEN('Translation-EN'!B114)&gt;0,'Translation-EN'!B114,"")</f>
        <v>USER INPUT SHEET</v>
      </c>
      <c r="C114" s="888" t="str">
        <f>IF(LEN('Translation-EN'!C114)&gt;0,'Translation-EN'!C114,"")</f>
        <v>N37</v>
      </c>
      <c r="D114" s="888" t="str">
        <f>IF(LEN('Translation-EN'!D114)&gt;0,'Translation-EN'!D114,"")</f>
        <v/>
      </c>
      <c r="E114" s="893" t="s">
        <v>2809</v>
      </c>
    </row>
    <row r="115" spans="1:19" x14ac:dyDescent="0.3">
      <c r="A115" s="888" t="str">
        <f>IF(LEN('Translation-EN'!A115)&gt;0,'Translation-EN'!A115,"")</f>
        <v>Range</v>
      </c>
      <c r="B115" s="888" t="str">
        <f>IF(LEN('Translation-EN'!B115)&gt;0,'Translation-EN'!B115,"")</f>
        <v>USER INPUT SHEET</v>
      </c>
      <c r="C115" s="888" t="str">
        <f>IF(LEN('Translation-EN'!C115)&gt;0,'Translation-EN'!C115,"")</f>
        <v>N38</v>
      </c>
      <c r="D115" s="888" t="str">
        <f>IF(LEN('Translation-EN'!D115)&gt;0,'Translation-EN'!D115,"")</f>
        <v/>
      </c>
      <c r="E115" s="893" t="s">
        <v>2810</v>
      </c>
    </row>
    <row r="116" spans="1:19" x14ac:dyDescent="0.3">
      <c r="A116" s="888" t="str">
        <f>IF(LEN('Translation-EN'!A116)&gt;0,'Translation-EN'!A116,"")</f>
        <v>Range</v>
      </c>
      <c r="B116" s="888" t="str">
        <f>IF(LEN('Translation-EN'!B116)&gt;0,'Translation-EN'!B116,"")</f>
        <v>USER INPUT SHEET</v>
      </c>
      <c r="C116" s="888" t="str">
        <f>IF(LEN('Translation-EN'!C116)&gt;0,'Translation-EN'!C116,"")</f>
        <v>N39</v>
      </c>
      <c r="D116" s="888" t="str">
        <f>IF(LEN('Translation-EN'!D116)&gt;0,'Translation-EN'!D116,"")</f>
        <v/>
      </c>
      <c r="E116" s="893" t="s">
        <v>2811</v>
      </c>
    </row>
    <row r="117" spans="1:19" x14ac:dyDescent="0.3">
      <c r="A117" s="888" t="str">
        <f>IF(LEN('Translation-EN'!A117)&gt;0,'Translation-EN'!A117,"")</f>
        <v>Range</v>
      </c>
      <c r="B117" s="888" t="str">
        <f>IF(LEN('Translation-EN'!B117)&gt;0,'Translation-EN'!B117,"")</f>
        <v>USER INPUT SHEET</v>
      </c>
      <c r="C117" s="888" t="str">
        <f>IF(LEN('Translation-EN'!C117)&gt;0,'Translation-EN'!C117,"")</f>
        <v>N40</v>
      </c>
      <c r="D117" s="888" t="str">
        <f>IF(LEN('Translation-EN'!D117)&gt;0,'Translation-EN'!D117,"")</f>
        <v/>
      </c>
      <c r="E117" s="893" t="s">
        <v>2812</v>
      </c>
    </row>
    <row r="118" spans="1:19" x14ac:dyDescent="0.3">
      <c r="A118" s="888" t="str">
        <f>IF(LEN('Translation-EN'!A118)&gt;0,'Translation-EN'!A118,"")</f>
        <v>Range</v>
      </c>
      <c r="B118" s="888" t="str">
        <f>IF(LEN('Translation-EN'!B118)&gt;0,'Translation-EN'!B118,"")</f>
        <v>USER INPUT SHEET</v>
      </c>
      <c r="C118" s="888" t="str">
        <f>IF(LEN('Translation-EN'!C118)&gt;0,'Translation-EN'!C118,"")</f>
        <v>R37</v>
      </c>
      <c r="D118" s="888" t="str">
        <f>IF(LEN('Translation-EN'!D118)&gt;0,'Translation-EN'!D118,"")</f>
        <v/>
      </c>
      <c r="E118" s="893" t="s">
        <v>3338</v>
      </c>
    </row>
    <row r="119" spans="1:19" x14ac:dyDescent="0.3">
      <c r="A119" s="888" t="str">
        <f>IF(LEN('Translation-EN'!A119)&gt;0,'Translation-EN'!A119,"")</f>
        <v>Range</v>
      </c>
      <c r="B119" s="888" t="str">
        <f>IF(LEN('Translation-EN'!B119)&gt;0,'Translation-EN'!B119,"")</f>
        <v>USER INPUT SHEET</v>
      </c>
      <c r="C119" s="888" t="str">
        <f>IF(LEN('Translation-EN'!C119)&gt;0,'Translation-EN'!C119,"")</f>
        <v>R38</v>
      </c>
      <c r="D119" s="888" t="str">
        <f>IF(LEN('Translation-EN'!D119)&gt;0,'Translation-EN'!D119,"")</f>
        <v/>
      </c>
      <c r="E119" s="1031" t="s">
        <v>3368</v>
      </c>
    </row>
    <row r="120" spans="1:19" x14ac:dyDescent="0.3">
      <c r="A120" s="888" t="str">
        <f>IF(LEN('Translation-EN'!A120)&gt;0,'Translation-EN'!A120,"")</f>
        <v>Range</v>
      </c>
      <c r="B120" s="888" t="str">
        <f>IF(LEN('Translation-EN'!B120)&gt;0,'Translation-EN'!B120,"")</f>
        <v>USER INPUT SHEET</v>
      </c>
      <c r="C120" s="888" t="str">
        <f>IF(LEN('Translation-EN'!C120)&gt;0,'Translation-EN'!C120,"")</f>
        <v>T38</v>
      </c>
      <c r="D120" s="888" t="str">
        <f>IF(LEN('Translation-EN'!D120)&gt;0,'Translation-EN'!D120,"")</f>
        <v/>
      </c>
      <c r="E120" s="1031" t="s">
        <v>3369</v>
      </c>
    </row>
    <row r="121" spans="1:19" x14ac:dyDescent="0.3">
      <c r="A121" s="888" t="str">
        <f>IF(LEN('Translation-EN'!A121)&gt;0,'Translation-EN'!A121,"")</f>
        <v>Range</v>
      </c>
      <c r="B121" s="888" t="str">
        <f>IF(LEN('Translation-EN'!B121)&gt;0,'Translation-EN'!B121,"")</f>
        <v>USER INPUT SHEET</v>
      </c>
      <c r="C121" s="888" t="str">
        <f>IF(LEN('Translation-EN'!C121)&gt;0,'Translation-EN'!C121,"")</f>
        <v>V38</v>
      </c>
      <c r="D121" s="888" t="str">
        <f>IF(LEN('Translation-EN'!D121)&gt;0,'Translation-EN'!D121,"")</f>
        <v/>
      </c>
      <c r="E121" s="1031" t="s">
        <v>3370</v>
      </c>
    </row>
    <row r="122" spans="1:19" x14ac:dyDescent="0.3">
      <c r="A122" s="888" t="str">
        <f>IF(LEN('Translation-EN'!A122)&gt;0,'Translation-EN'!A122,"")</f>
        <v>Range</v>
      </c>
      <c r="B122" s="888" t="str">
        <f>IF(LEN('Translation-EN'!B122)&gt;0,'Translation-EN'!B122,"")</f>
        <v>USER INPUT SHEET</v>
      </c>
      <c r="C122" s="888" t="str">
        <f>IF(LEN('Translation-EN'!C122)&gt;0,'Translation-EN'!C122,"")</f>
        <v>X38</v>
      </c>
      <c r="D122" s="888" t="str">
        <f>IF(LEN('Translation-EN'!D122)&gt;0,'Translation-EN'!D122,"")</f>
        <v/>
      </c>
      <c r="E122" s="1031" t="s">
        <v>3371</v>
      </c>
      <c r="F122" s="888"/>
      <c r="G122" s="888"/>
      <c r="H122" s="888"/>
    </row>
    <row r="123" spans="1:19" ht="14.4" customHeight="1" x14ac:dyDescent="0.3">
      <c r="A123" s="888" t="str">
        <f>IF(LEN('Translation-EN'!A123)&gt;0,'Translation-EN'!A123,"")</f>
        <v>Range</v>
      </c>
      <c r="B123" s="888" t="str">
        <f>IF(LEN('Translation-EN'!B123)&gt;0,'Translation-EN'!B123,"")</f>
        <v>USER INPUT SHEET</v>
      </c>
      <c r="C123" s="888" t="str">
        <f>IF(LEN('Translation-EN'!C123)&gt;0,'Translation-EN'!C123,"")</f>
        <v>B42</v>
      </c>
      <c r="D123" s="888" t="b">
        <f>IF(LEN('Translation-EN'!D123)&gt;0,'Translation-EN'!D123,"")</f>
        <v>1</v>
      </c>
      <c r="E123" s="1476" t="s">
        <v>2813</v>
      </c>
      <c r="F123" s="1476"/>
      <c r="G123" s="1476"/>
      <c r="H123" s="1476"/>
      <c r="I123" s="1476"/>
      <c r="J123" s="1476"/>
      <c r="K123" s="1476"/>
      <c r="L123" s="1476"/>
      <c r="M123" s="1476"/>
      <c r="N123" s="1476"/>
      <c r="O123" s="1476"/>
      <c r="P123" s="1476"/>
      <c r="Q123" s="1476"/>
      <c r="R123" s="1476"/>
      <c r="S123" s="1476"/>
    </row>
    <row r="124" spans="1:19" x14ac:dyDescent="0.3">
      <c r="A124" s="888" t="str">
        <f>IF(LEN('Translation-EN'!A124)&gt;0,'Translation-EN'!A124,"")</f>
        <v>Range</v>
      </c>
      <c r="B124" s="888" t="str">
        <f>IF(LEN('Translation-EN'!B124)&gt;0,'Translation-EN'!B124,"")</f>
        <v>USER INPUT SHEET</v>
      </c>
      <c r="C124" s="888" t="str">
        <f>IF(LEN('Translation-EN'!C124)&gt;0,'Translation-EN'!C124,"")</f>
        <v>B43</v>
      </c>
      <c r="D124" s="888" t="str">
        <f>IF(LEN('Translation-EN'!D124)&gt;0,'Translation-EN'!D124,"")</f>
        <v/>
      </c>
      <c r="E124" s="893" t="s">
        <v>1556</v>
      </c>
    </row>
    <row r="125" spans="1:19" ht="15" customHeight="1" x14ac:dyDescent="0.3">
      <c r="A125" s="888" t="str">
        <f>IF(LEN('Translation-EN'!A125)&gt;0,'Translation-EN'!A125,"")</f>
        <v>Range</v>
      </c>
      <c r="B125" s="888" t="str">
        <f>IF(LEN('Translation-EN'!B125)&gt;0,'Translation-EN'!B125,"")</f>
        <v>USER INPUT SHEET</v>
      </c>
      <c r="C125" s="888" t="str">
        <f>IF(LEN('Translation-EN'!C125)&gt;0,'Translation-EN'!C125,"")</f>
        <v>B44</v>
      </c>
      <c r="D125" s="888" t="b">
        <f>IF(LEN('Translation-EN'!D125)&gt;0,'Translation-EN'!D125,"")</f>
        <v>1</v>
      </c>
      <c r="E125" s="1478" t="s">
        <v>7496</v>
      </c>
      <c r="F125" s="1478"/>
      <c r="G125" s="1478"/>
      <c r="H125" s="1478"/>
      <c r="I125" s="1478"/>
      <c r="J125" s="1478"/>
      <c r="K125" s="1478"/>
      <c r="L125" s="1478"/>
      <c r="M125" s="1478"/>
      <c r="N125" s="1478"/>
      <c r="O125" s="1478"/>
      <c r="P125" s="1478"/>
    </row>
    <row r="126" spans="1:19" x14ac:dyDescent="0.3">
      <c r="A126" s="888" t="str">
        <f>IF(LEN('Translation-EN'!A126)&gt;0,'Translation-EN'!A126,"")</f>
        <v>Range</v>
      </c>
      <c r="B126" s="888" t="str">
        <f>IF(LEN('Translation-EN'!B126)&gt;0,'Translation-EN'!B126,"")</f>
        <v>USER INPUT SHEET</v>
      </c>
      <c r="C126" s="888" t="str">
        <f>IF(LEN('Translation-EN'!C126)&gt;0,'Translation-EN'!C126,"")</f>
        <v>B45</v>
      </c>
      <c r="D126" s="888" t="str">
        <f>IF(LEN('Translation-EN'!D126)&gt;0,'Translation-EN'!D126,"")</f>
        <v/>
      </c>
      <c r="E126" s="893" t="str">
        <f>$E$75</f>
        <v>COMPOSANT</v>
      </c>
    </row>
    <row r="127" spans="1:19" x14ac:dyDescent="0.3">
      <c r="A127" s="888" t="str">
        <f>IF(LEN('Translation-EN'!A127)&gt;0,'Translation-EN'!A127,"")</f>
        <v>Range</v>
      </c>
      <c r="B127" s="888" t="str">
        <f>IF(LEN('Translation-EN'!B127)&gt;0,'Translation-EN'!B127,"")</f>
        <v>USER INPUT SHEET</v>
      </c>
      <c r="C127" s="888" t="str">
        <f>IF(LEN('Translation-EN'!C127)&gt;0,'Translation-EN'!C127,"")</f>
        <v>D45</v>
      </c>
      <c r="D127" s="888" t="str">
        <f>IF(LEN('Translation-EN'!D127)&gt;0,'Translation-EN'!D127,"")</f>
        <v/>
      </c>
      <c r="E127" s="893" t="s">
        <v>2814</v>
      </c>
    </row>
    <row r="128" spans="1:19" x14ac:dyDescent="0.3">
      <c r="A128" s="888" t="str">
        <f>IF(LEN('Translation-EN'!A128)&gt;0,'Translation-EN'!A128,"")</f>
        <v>Range</v>
      </c>
      <c r="B128" s="888" t="str">
        <f>IF(LEN('Translation-EN'!B128)&gt;0,'Translation-EN'!B128,"")</f>
        <v>USER INPUT SHEET</v>
      </c>
      <c r="C128" s="888" t="str">
        <f>IF(LEN('Translation-EN'!C128)&gt;0,'Translation-EN'!C128,"")</f>
        <v>E45</v>
      </c>
      <c r="D128" s="888" t="str">
        <f>IF(LEN('Translation-EN'!D128)&gt;0,'Translation-EN'!D128,"")</f>
        <v/>
      </c>
      <c r="E128" s="893" t="str">
        <f>$E$77</f>
        <v>UNITÉ</v>
      </c>
    </row>
    <row r="129" spans="1:10" x14ac:dyDescent="0.3">
      <c r="A129" s="888" t="str">
        <f>IF(LEN('Translation-EN'!A129)&gt;0,'Translation-EN'!A129,"")</f>
        <v>Range</v>
      </c>
      <c r="B129" s="888" t="str">
        <f>IF(LEN('Translation-EN'!B129)&gt;0,'Translation-EN'!B129,"")</f>
        <v>USER INPUT SHEET</v>
      </c>
      <c r="C129" s="888" t="str">
        <f>IF(LEN('Translation-EN'!C129)&gt;0,'Translation-EN'!C129,"")</f>
        <v>G45</v>
      </c>
      <c r="D129" s="888" t="str">
        <f>IF(LEN('Translation-EN'!D129)&gt;0,'Translation-EN'!D129,"")</f>
        <v/>
      </c>
      <c r="E129" s="888" t="str">
        <f>$E$78</f>
        <v>APPLICATION DE LA VALEUR D’ENTRÉE</v>
      </c>
    </row>
    <row r="130" spans="1:10" x14ac:dyDescent="0.3">
      <c r="A130" s="888" t="str">
        <f>IF(LEN('Translation-EN'!A130)&gt;0,'Translation-EN'!A130,"")</f>
        <v>Range</v>
      </c>
      <c r="B130" s="888" t="str">
        <f>IF(LEN('Translation-EN'!B130)&gt;0,'Translation-EN'!B130,"")</f>
        <v>USER INPUT SHEET</v>
      </c>
      <c r="C130" s="888" t="str">
        <f>IF(LEN('Translation-EN'!C130)&gt;0,'Translation-EN'!C130,"")</f>
        <v>N45</v>
      </c>
      <c r="D130" s="888" t="str">
        <f>IF(LEN('Translation-EN'!D130)&gt;0,'Translation-EN'!D130,"")</f>
        <v/>
      </c>
      <c r="E130" s="888" t="str">
        <f>$E$79</f>
        <v>DESCRIPTION DES UNITÉS REQUISES</v>
      </c>
    </row>
    <row r="131" spans="1:10" x14ac:dyDescent="0.3">
      <c r="A131" s="888" t="str">
        <f>IF(LEN('Translation-EN'!A131)&gt;0,'Translation-EN'!A131,"")</f>
        <v>Range</v>
      </c>
      <c r="B131" s="888" t="str">
        <f>IF(LEN('Translation-EN'!B131)&gt;0,'Translation-EN'!B131,"")</f>
        <v>USER INPUT SHEET</v>
      </c>
      <c r="C131" s="888" t="str">
        <f>IF(LEN('Translation-EN'!C131)&gt;0,'Translation-EN'!C131,"")</f>
        <v>B47</v>
      </c>
      <c r="D131" s="888" t="str">
        <f>IF(LEN('Translation-EN'!D131)&gt;0,'Translation-EN'!D131,"")</f>
        <v/>
      </c>
      <c r="E131" s="893" t="s">
        <v>2815</v>
      </c>
    </row>
    <row r="132" spans="1:10" x14ac:dyDescent="0.3">
      <c r="A132" s="888" t="str">
        <f>IF(LEN('Translation-EN'!A132)&gt;0,'Translation-EN'!A132,"")</f>
        <v>Range</v>
      </c>
      <c r="B132" s="888" t="str">
        <f>IF(LEN('Translation-EN'!B132)&gt;0,'Translation-EN'!B132,"")</f>
        <v>USER INPUT SHEET</v>
      </c>
      <c r="C132" s="888" t="str">
        <f>IF(LEN('Translation-EN'!C132)&gt;0,'Translation-EN'!C132,"")</f>
        <v>B48</v>
      </c>
      <c r="D132" s="888" t="str">
        <f>IF(LEN('Translation-EN'!D132)&gt;0,'Translation-EN'!D132,"")</f>
        <v/>
      </c>
      <c r="E132" s="893" t="s">
        <v>2816</v>
      </c>
    </row>
    <row r="133" spans="1:10" x14ac:dyDescent="0.3">
      <c r="A133" s="888" t="str">
        <f>IF(LEN('Translation-EN'!A133)&gt;0,'Translation-EN'!A133,"")</f>
        <v>Range</v>
      </c>
      <c r="B133" s="888" t="str">
        <f>IF(LEN('Translation-EN'!B133)&gt;0,'Translation-EN'!B133,"")</f>
        <v>USER INPUT SHEET</v>
      </c>
      <c r="C133" s="888" t="str">
        <f>IF(LEN('Translation-EN'!C133)&gt;0,'Translation-EN'!C133,"")</f>
        <v>B50</v>
      </c>
      <c r="D133" s="888" t="str">
        <f>IF(LEN('Translation-EN'!D133)&gt;0,'Translation-EN'!D133,"")</f>
        <v/>
      </c>
      <c r="E133" s="893" t="s">
        <v>2817</v>
      </c>
    </row>
    <row r="134" spans="1:10" x14ac:dyDescent="0.3">
      <c r="A134" s="888" t="str">
        <f>IF(LEN('Translation-EN'!A134)&gt;0,'Translation-EN'!A134,"")</f>
        <v>Range</v>
      </c>
      <c r="B134" s="888" t="str">
        <f>IF(LEN('Translation-EN'!B134)&gt;0,'Translation-EN'!B134,"")</f>
        <v>USER INPUT SHEET</v>
      </c>
      <c r="C134" s="888" t="str">
        <f>IF(LEN('Translation-EN'!C134)&gt;0,'Translation-EN'!C134,"")</f>
        <v>B51</v>
      </c>
      <c r="D134" s="888" t="str">
        <f>IF(LEN('Translation-EN'!D134)&gt;0,'Translation-EN'!D134,"")</f>
        <v/>
      </c>
      <c r="E134" s="893" t="s">
        <v>2818</v>
      </c>
    </row>
    <row r="135" spans="1:10" x14ac:dyDescent="0.3">
      <c r="A135" s="888" t="str">
        <f>IF(LEN('Translation-EN'!A135)&gt;0,'Translation-EN'!A135,"")</f>
        <v>Range</v>
      </c>
      <c r="B135" s="888" t="str">
        <f>IF(LEN('Translation-EN'!B135)&gt;0,'Translation-EN'!B135,"")</f>
        <v>USER INPUT SHEET</v>
      </c>
      <c r="C135" s="888" t="str">
        <f>IF(LEN('Translation-EN'!C135)&gt;0,'Translation-EN'!C135,"")</f>
        <v>B52</v>
      </c>
      <c r="D135" s="888" t="str">
        <f>IF(LEN('Translation-EN'!D135)&gt;0,'Translation-EN'!D135,"")</f>
        <v/>
      </c>
      <c r="E135" s="893" t="s">
        <v>2819</v>
      </c>
    </row>
    <row r="136" spans="1:10" x14ac:dyDescent="0.3">
      <c r="A136" s="888" t="str">
        <f>IF(LEN('Translation-EN'!A136)&gt;0,'Translation-EN'!A136,"")</f>
        <v>Range</v>
      </c>
      <c r="B136" s="888" t="str">
        <f>IF(LEN('Translation-EN'!B136)&gt;0,'Translation-EN'!B136,"")</f>
        <v>USER INPUT SHEET</v>
      </c>
      <c r="C136" s="888" t="str">
        <f>IF(LEN('Translation-EN'!C136)&gt;0,'Translation-EN'!C136,"")</f>
        <v>B53</v>
      </c>
      <c r="D136" s="888" t="str">
        <f>IF(LEN('Translation-EN'!D136)&gt;0,'Translation-EN'!D136,"")</f>
        <v/>
      </c>
      <c r="E136" s="893" t="s">
        <v>2820</v>
      </c>
    </row>
    <row r="137" spans="1:10" x14ac:dyDescent="0.3">
      <c r="A137" s="888" t="str">
        <f>IF(LEN('Translation-EN'!A137)&gt;0,'Translation-EN'!A137,"")</f>
        <v>Range</v>
      </c>
      <c r="B137" s="888" t="str">
        <f>IF(LEN('Translation-EN'!B137)&gt;0,'Translation-EN'!B137,"")</f>
        <v>USER INPUT SHEET</v>
      </c>
      <c r="C137" s="888" t="str">
        <f>IF(LEN('Translation-EN'!C137)&gt;0,'Translation-EN'!C137,"")</f>
        <v>B54</v>
      </c>
      <c r="D137" s="888" t="str">
        <f>IF(LEN('Translation-EN'!D137)&gt;0,'Translation-EN'!D137,"")</f>
        <v/>
      </c>
      <c r="E137" s="893" t="s">
        <v>2821</v>
      </c>
    </row>
    <row r="138" spans="1:10" x14ac:dyDescent="0.3">
      <c r="A138" s="888" t="str">
        <f>IF(LEN('Translation-EN'!A138)&gt;0,'Translation-EN'!A138,"")</f>
        <v>Range</v>
      </c>
      <c r="B138" s="888" t="str">
        <f>IF(LEN('Translation-EN'!B138)&gt;0,'Translation-EN'!B138,"")</f>
        <v>USER INPUT SHEET</v>
      </c>
      <c r="C138" s="888" t="str">
        <f>IF(LEN('Translation-EN'!C138)&gt;0,'Translation-EN'!C138,"")</f>
        <v>B55</v>
      </c>
      <c r="D138" s="888" t="str">
        <f>IF(LEN('Translation-EN'!D138)&gt;0,'Translation-EN'!D138,"")</f>
        <v/>
      </c>
      <c r="E138" s="893" t="s">
        <v>2822</v>
      </c>
    </row>
    <row r="139" spans="1:10" x14ac:dyDescent="0.3">
      <c r="A139" s="888" t="str">
        <f>IF(LEN('Translation-EN'!A139)&gt;0,'Translation-EN'!A139,"")</f>
        <v>Range</v>
      </c>
      <c r="B139" s="888" t="str">
        <f>IF(LEN('Translation-EN'!B139)&gt;0,'Translation-EN'!B139,"")</f>
        <v>USER INPUT SHEET</v>
      </c>
      <c r="C139" s="888" t="str">
        <f>IF(LEN('Translation-EN'!C139)&gt;0,'Translation-EN'!C139,"")</f>
        <v>B56</v>
      </c>
      <c r="D139" s="888" t="str">
        <f>IF(LEN('Translation-EN'!D139)&gt;0,'Translation-EN'!D139,"")</f>
        <v/>
      </c>
      <c r="E139" s="893" t="s">
        <v>2823</v>
      </c>
    </row>
    <row r="140" spans="1:10" x14ac:dyDescent="0.3">
      <c r="A140" s="888" t="str">
        <f>IF(LEN('Translation-EN'!A140)&gt;0,'Translation-EN'!A140,"")</f>
        <v>Range</v>
      </c>
      <c r="B140" s="888" t="str">
        <f>IF(LEN('Translation-EN'!B140)&gt;0,'Translation-EN'!B140,"")</f>
        <v>USER INPUT SHEET</v>
      </c>
      <c r="C140" s="888" t="str">
        <f>IF(LEN('Translation-EN'!C140)&gt;0,'Translation-EN'!C140,"")</f>
        <v>G47</v>
      </c>
      <c r="D140" s="888" t="b">
        <f>IF(LEN('Translation-EN'!D140)&gt;0,'Translation-EN'!D140,"")</f>
        <v>1</v>
      </c>
      <c r="E140" s="1466" t="s">
        <v>2824</v>
      </c>
      <c r="F140" s="1466"/>
      <c r="G140" s="1466"/>
      <c r="H140" s="1466"/>
      <c r="I140" s="1466"/>
      <c r="J140" s="1466"/>
    </row>
    <row r="141" spans="1:10" x14ac:dyDescent="0.3">
      <c r="A141" s="888" t="str">
        <f>IF(LEN('Translation-EN'!A141)&gt;0,'Translation-EN'!A141,"")</f>
        <v>Range</v>
      </c>
      <c r="B141" s="888" t="str">
        <f>IF(LEN('Translation-EN'!B141)&gt;0,'Translation-EN'!B141,"")</f>
        <v>USER INPUT SHEET</v>
      </c>
      <c r="C141" s="888" t="str">
        <f>IF(LEN('Translation-EN'!C141)&gt;0,'Translation-EN'!C141,"")</f>
        <v>G48</v>
      </c>
      <c r="D141" s="888" t="str">
        <f>IF(LEN('Translation-EN'!D141)&gt;0,'Translation-EN'!D141,"")</f>
        <v/>
      </c>
      <c r="E141" s="893" t="str">
        <f>$E$92</f>
        <v>Longueur de la semelle</v>
      </c>
    </row>
    <row r="142" spans="1:10" x14ac:dyDescent="0.3">
      <c r="A142" s="888" t="str">
        <f>IF(LEN('Translation-EN'!A142)&gt;0,'Translation-EN'!A142,"")</f>
        <v>Range</v>
      </c>
      <c r="B142" s="888" t="str">
        <f>IF(LEN('Translation-EN'!B142)&gt;0,'Translation-EN'!B142,"")</f>
        <v>USER INPUT SHEET</v>
      </c>
      <c r="C142" s="888" t="str">
        <f>IF(LEN('Translation-EN'!C142)&gt;0,'Translation-EN'!C142,"")</f>
        <v>I48</v>
      </c>
      <c r="D142" s="888" t="str">
        <f>IF(LEN('Translation-EN'!D142)&gt;0,'Translation-EN'!D142,"")</f>
        <v/>
      </c>
      <c r="E142" s="888" t="str">
        <f>$E$93</f>
        <v>Profondeur de la semelle</v>
      </c>
    </row>
    <row r="143" spans="1:10" x14ac:dyDescent="0.3">
      <c r="A143" s="888" t="str">
        <f>IF(LEN('Translation-EN'!A143)&gt;0,'Translation-EN'!A143,"")</f>
        <v>Range</v>
      </c>
      <c r="B143" s="888" t="str">
        <f>IF(LEN('Translation-EN'!B143)&gt;0,'Translation-EN'!B143,"")</f>
        <v>USER INPUT SHEET</v>
      </c>
      <c r="C143" s="888" t="str">
        <f>IF(LEN('Translation-EN'!C143)&gt;0,'Translation-EN'!C143,"")</f>
        <v>K48</v>
      </c>
      <c r="D143" s="888" t="str">
        <f>IF(LEN('Translation-EN'!D143)&gt;0,'Translation-EN'!D143,"")</f>
        <v/>
      </c>
      <c r="E143" s="893" t="str">
        <f>$E$94</f>
        <v>Largeur de la semelle</v>
      </c>
    </row>
    <row r="144" spans="1:10" x14ac:dyDescent="0.3">
      <c r="A144" s="888" t="str">
        <f>IF(LEN('Translation-EN'!A144)&gt;0,'Translation-EN'!A144,"")</f>
        <v>Range</v>
      </c>
      <c r="B144" s="888" t="str">
        <f>IF(LEN('Translation-EN'!B144)&gt;0,'Translation-EN'!B144,"")</f>
        <v>USER INPUT SHEET</v>
      </c>
      <c r="C144" s="888" t="str">
        <f>IF(LEN('Translation-EN'!C144)&gt;0,'Translation-EN'!C144,"")</f>
        <v>G50</v>
      </c>
      <c r="D144" s="888" t="str">
        <f>IF(LEN('Translation-EN'!D144)&gt;0,'Translation-EN'!D144,"")</f>
        <v/>
      </c>
      <c r="E144" s="893" t="s">
        <v>2825</v>
      </c>
    </row>
    <row r="145" spans="1:10" x14ac:dyDescent="0.3">
      <c r="A145" s="888" t="str">
        <f>IF(LEN('Translation-EN'!A145)&gt;0,'Translation-EN'!A145,"")</f>
        <v>Range</v>
      </c>
      <c r="B145" s="888" t="str">
        <f>IF(LEN('Translation-EN'!B145)&gt;0,'Translation-EN'!B145,"")</f>
        <v>USER INPUT SHEET</v>
      </c>
      <c r="C145" s="888" t="str">
        <f>IF(LEN('Translation-EN'!C145)&gt;0,'Translation-EN'!C145,"")</f>
        <v>G51</v>
      </c>
      <c r="D145" s="888" t="str">
        <f>IF(LEN('Translation-EN'!D145)&gt;0,'Translation-EN'!D145,"")</f>
        <v/>
      </c>
      <c r="E145" s="893" t="s">
        <v>2826</v>
      </c>
    </row>
    <row r="146" spans="1:10" x14ac:dyDescent="0.3">
      <c r="A146" s="888" t="str">
        <f>IF(LEN('Translation-EN'!A146)&gt;0,'Translation-EN'!A146,"")</f>
        <v>Range</v>
      </c>
      <c r="B146" s="888" t="str">
        <f>IF(LEN('Translation-EN'!B146)&gt;0,'Translation-EN'!B146,"")</f>
        <v>USER INPUT SHEET</v>
      </c>
      <c r="C146" s="888" t="str">
        <f>IF(LEN('Translation-EN'!C146)&gt;0,'Translation-EN'!C146,"")</f>
        <v>G52</v>
      </c>
      <c r="D146" s="888" t="str">
        <f>IF(LEN('Translation-EN'!D146)&gt;0,'Translation-EN'!D146,"")</f>
        <v/>
      </c>
      <c r="E146" s="893" t="s">
        <v>2827</v>
      </c>
    </row>
    <row r="147" spans="1:10" x14ac:dyDescent="0.3">
      <c r="A147" s="888" t="str">
        <f>IF(LEN('Translation-EN'!A147)&gt;0,'Translation-EN'!A147,"")</f>
        <v>Range</v>
      </c>
      <c r="B147" s="888" t="str">
        <f>IF(LEN('Translation-EN'!B147)&gt;0,'Translation-EN'!B147,"")</f>
        <v>USER INPUT SHEET</v>
      </c>
      <c r="C147" s="888" t="str">
        <f>IF(LEN('Translation-EN'!C147)&gt;0,'Translation-EN'!C147,"")</f>
        <v>G53</v>
      </c>
      <c r="D147" s="888" t="str">
        <f>IF(LEN('Translation-EN'!D147)&gt;0,'Translation-EN'!D147,"")</f>
        <v/>
      </c>
      <c r="E147" s="893" t="str">
        <f>$E$98</f>
        <v>Fenêtres</v>
      </c>
    </row>
    <row r="148" spans="1:10" x14ac:dyDescent="0.3">
      <c r="A148" s="888" t="str">
        <f>IF(LEN('Translation-EN'!A148)&gt;0,'Translation-EN'!A148,"")</f>
        <v>Range</v>
      </c>
      <c r="B148" s="888" t="str">
        <f>IF(LEN('Translation-EN'!B148)&gt;0,'Translation-EN'!B148,"")</f>
        <v>USER INPUT SHEET</v>
      </c>
      <c r="C148" s="888" t="str">
        <f>IF(LEN('Translation-EN'!C148)&gt;0,'Translation-EN'!C148,"")</f>
        <v>G54</v>
      </c>
      <c r="D148" s="888" t="str">
        <f>IF(LEN('Translation-EN'!D148)&gt;0,'Translation-EN'!D148,"")</f>
        <v/>
      </c>
      <c r="E148" s="893" t="str">
        <f>$E$101</f>
        <v>Revêtement de plafond</v>
      </c>
    </row>
    <row r="149" spans="1:10" x14ac:dyDescent="0.3">
      <c r="A149" s="888" t="str">
        <f>IF(LEN('Translation-EN'!A149)&gt;0,'Translation-EN'!A149,"")</f>
        <v>Range</v>
      </c>
      <c r="B149" s="888" t="str">
        <f>IF(LEN('Translation-EN'!B149)&gt;0,'Translation-EN'!B149,"")</f>
        <v>USER INPUT SHEET</v>
      </c>
      <c r="C149" s="888" t="str">
        <f>IF(LEN('Translation-EN'!C149)&gt;0,'Translation-EN'!C149,"")</f>
        <v>G55</v>
      </c>
      <c r="D149" s="888" t="b">
        <f>IF(LEN('Translation-EN'!D149)&gt;0,'Translation-EN'!D149,"")</f>
        <v>1</v>
      </c>
      <c r="E149" s="1491" t="s">
        <v>2828</v>
      </c>
      <c r="F149" s="1491"/>
      <c r="G149" s="1491"/>
      <c r="H149" s="1491"/>
      <c r="I149" s="1491"/>
      <c r="J149" s="1491"/>
    </row>
    <row r="150" spans="1:10" x14ac:dyDescent="0.3">
      <c r="A150" s="888" t="str">
        <f>IF(LEN('Translation-EN'!A150)&gt;0,'Translation-EN'!A150,"")</f>
        <v>Range</v>
      </c>
      <c r="B150" s="888" t="str">
        <f>IF(LEN('Translation-EN'!B150)&gt;0,'Translation-EN'!B150,"")</f>
        <v>USER INPUT SHEET</v>
      </c>
      <c r="C150" s="888" t="str">
        <f>IF(LEN('Translation-EN'!C150)&gt;0,'Translation-EN'!C150,"")</f>
        <v>G56</v>
      </c>
      <c r="D150" s="888" t="str">
        <f>IF(LEN('Translation-EN'!D150)&gt;0,'Translation-EN'!D150,"")</f>
        <v/>
      </c>
      <c r="E150" s="893" t="str">
        <f>$E$104</f>
        <v>Éléments de charpente en bois lourd (poteaux, poutres, etc.)</v>
      </c>
    </row>
    <row r="151" spans="1:10" ht="43.2" x14ac:dyDescent="0.3">
      <c r="A151" s="888" t="str">
        <f>IF(LEN('Translation-EN'!A151)&gt;0,'Translation-EN'!A151,"")</f>
        <v>Range</v>
      </c>
      <c r="B151" s="888" t="str">
        <f>IF(LEN('Translation-EN'!B151)&gt;0,'Translation-EN'!B151,"")</f>
        <v>USER INPUT SHEET</v>
      </c>
      <c r="C151" s="888" t="str">
        <f>IF(LEN('Translation-EN'!C151)&gt;0,'Translation-EN'!C151,"")</f>
        <v>N47</v>
      </c>
      <c r="D151" s="888" t="str">
        <f>IF(LEN('Translation-EN'!D151)&gt;0,'Translation-EN'!D151,"")</f>
        <v/>
      </c>
      <c r="E151" s="901" t="s">
        <v>3372</v>
      </c>
    </row>
    <row r="152" spans="1:10" x14ac:dyDescent="0.3">
      <c r="A152" s="888" t="str">
        <f>IF(LEN('Translation-EN'!A152)&gt;0,'Translation-EN'!A152,"")</f>
        <v>Range</v>
      </c>
      <c r="B152" s="888" t="str">
        <f>IF(LEN('Translation-EN'!B152)&gt;0,'Translation-EN'!B152,"")</f>
        <v>USER INPUT SHEET</v>
      </c>
      <c r="C152" s="888" t="str">
        <f>IF(LEN('Translation-EN'!C152)&gt;0,'Translation-EN'!C152,"")</f>
        <v>N48</v>
      </c>
      <c r="D152" s="888" t="str">
        <f>IF(LEN('Translation-EN'!D152)&gt;0,'Translation-EN'!D152,"")</f>
        <v/>
      </c>
      <c r="E152" s="893" t="s">
        <v>2829</v>
      </c>
    </row>
    <row r="153" spans="1:10" x14ac:dyDescent="0.3">
      <c r="A153" s="888" t="str">
        <f>IF(LEN('Translation-EN'!A153)&gt;0,'Translation-EN'!A153,"")</f>
        <v>Range</v>
      </c>
      <c r="B153" s="888" t="str">
        <f>IF(LEN('Translation-EN'!B153)&gt;0,'Translation-EN'!B153,"")</f>
        <v>USER INPUT SHEET</v>
      </c>
      <c r="C153" s="888" t="str">
        <f>IF(LEN('Translation-EN'!C153)&gt;0,'Translation-EN'!C153,"")</f>
        <v>N50</v>
      </c>
      <c r="D153" s="888" t="str">
        <f>IF(LEN('Translation-EN'!D153)&gt;0,'Translation-EN'!D153,"")</f>
        <v/>
      </c>
      <c r="E153" s="893" t="s">
        <v>2830</v>
      </c>
    </row>
    <row r="154" spans="1:10" x14ac:dyDescent="0.3">
      <c r="A154" s="888" t="str">
        <f>IF(LEN('Translation-EN'!A154)&gt;0,'Translation-EN'!A154,"")</f>
        <v>Range</v>
      </c>
      <c r="B154" s="888" t="str">
        <f>IF(LEN('Translation-EN'!B154)&gt;0,'Translation-EN'!B154,"")</f>
        <v>USER INPUT SHEET</v>
      </c>
      <c r="C154" s="888" t="str">
        <f>IF(LEN('Translation-EN'!C154)&gt;0,'Translation-EN'!C154,"")</f>
        <v>N51</v>
      </c>
      <c r="D154" s="888" t="str">
        <f>IF(LEN('Translation-EN'!D154)&gt;0,'Translation-EN'!D154,"")</f>
        <v/>
      </c>
      <c r="E154" s="893" t="str">
        <f>$E$108</f>
        <v>Mètres carrés</v>
      </c>
    </row>
    <row r="155" spans="1:10" ht="37.5" customHeight="1" x14ac:dyDescent="0.3">
      <c r="A155" s="888" t="str">
        <f>IF(LEN('Translation-EN'!A155)&gt;0,'Translation-EN'!A155,"")</f>
        <v>Range</v>
      </c>
      <c r="B155" s="888" t="str">
        <f>IF(LEN('Translation-EN'!B155)&gt;0,'Translation-EN'!B155,"")</f>
        <v>USER INPUT SHEET</v>
      </c>
      <c r="C155" s="888" t="str">
        <f>IF(LEN('Translation-EN'!C155)&gt;0,'Translation-EN'!C155,"")</f>
        <v>N52</v>
      </c>
      <c r="D155" s="888" t="b">
        <f>IF(LEN('Translation-EN'!D155)&gt;0,'Translation-EN'!D155,"")</f>
        <v>1</v>
      </c>
      <c r="E155" s="1491" t="s">
        <v>2831</v>
      </c>
      <c r="F155" s="1491"/>
      <c r="G155" s="1491"/>
    </row>
    <row r="156" spans="1:10" x14ac:dyDescent="0.3">
      <c r="A156" s="888" t="str">
        <f>IF(LEN('Translation-EN'!A156)&gt;0,'Translation-EN'!A156,"")</f>
        <v>Range</v>
      </c>
      <c r="B156" s="888" t="str">
        <f>IF(LEN('Translation-EN'!B156)&gt;0,'Translation-EN'!B156,"")</f>
        <v>USER INPUT SHEET</v>
      </c>
      <c r="C156" s="888" t="str">
        <f>IF(LEN('Translation-EN'!C156)&gt;0,'Translation-EN'!C156,"")</f>
        <v>N53</v>
      </c>
      <c r="D156" s="888" t="str">
        <f>IF(LEN('Translation-EN'!D156)&gt;0,'Translation-EN'!D156,"")</f>
        <v/>
      </c>
      <c r="E156" s="893" t="s">
        <v>2832</v>
      </c>
    </row>
    <row r="157" spans="1:10" x14ac:dyDescent="0.3">
      <c r="A157" s="888" t="str">
        <f>IF(LEN('Translation-EN'!A157)&gt;0,'Translation-EN'!A157,"")</f>
        <v>Range</v>
      </c>
      <c r="B157" s="888" t="str">
        <f>IF(LEN('Translation-EN'!B157)&gt;0,'Translation-EN'!B157,"")</f>
        <v>USER INPUT SHEET</v>
      </c>
      <c r="C157" s="888" t="str">
        <f>IF(LEN('Translation-EN'!C157)&gt;0,'Translation-EN'!C157,"")</f>
        <v>N54</v>
      </c>
      <c r="D157" s="888" t="str">
        <f>IF(LEN('Translation-EN'!D157)&gt;0,'Translation-EN'!D157,"")</f>
        <v/>
      </c>
      <c r="E157" s="893" t="s">
        <v>2833</v>
      </c>
    </row>
    <row r="158" spans="1:10" x14ac:dyDescent="0.3">
      <c r="A158" s="888" t="str">
        <f>IF(LEN('Translation-EN'!A158)&gt;0,'Translation-EN'!A158,"")</f>
        <v>Range</v>
      </c>
      <c r="B158" s="888" t="str">
        <f>IF(LEN('Translation-EN'!B158)&gt;0,'Translation-EN'!B158,"")</f>
        <v>USER INPUT SHEET</v>
      </c>
      <c r="C158" s="888" t="str">
        <f>IF(LEN('Translation-EN'!C158)&gt;0,'Translation-EN'!C158,"")</f>
        <v>N55</v>
      </c>
      <c r="D158" s="888" t="str">
        <f>IF(LEN('Translation-EN'!D158)&gt;0,'Translation-EN'!D158,"")</f>
        <v/>
      </c>
      <c r="E158" s="893" t="s">
        <v>2834</v>
      </c>
    </row>
    <row r="159" spans="1:10" x14ac:dyDescent="0.3">
      <c r="A159" s="888" t="str">
        <f>IF(LEN('Translation-EN'!A159)&gt;0,'Translation-EN'!A159,"")</f>
        <v>Range</v>
      </c>
      <c r="B159" s="888" t="str">
        <f>IF(LEN('Translation-EN'!B159)&gt;0,'Translation-EN'!B159,"")</f>
        <v>USER INPUT SHEET</v>
      </c>
      <c r="C159" s="888" t="str">
        <f>IF(LEN('Translation-EN'!C159)&gt;0,'Translation-EN'!C159,"")</f>
        <v>N56</v>
      </c>
      <c r="D159" s="888" t="str">
        <f>IF(LEN('Translation-EN'!D159)&gt;0,'Translation-EN'!D159,"")</f>
        <v/>
      </c>
      <c r="E159" s="893" t="str">
        <f>$E$116</f>
        <v>Mètres cubes du volume total de bois dans les poteaux et les poutres. (saisie des éléments en acier lourd dans l’onglet Éléments de structure)</v>
      </c>
    </row>
    <row r="160" spans="1:10" x14ac:dyDescent="0.3">
      <c r="A160" s="888" t="str">
        <f>IF(LEN('Translation-EN'!A160)&gt;0,'Translation-EN'!A160,"")</f>
        <v>Range</v>
      </c>
      <c r="B160" s="888" t="str">
        <f>IF(LEN('Translation-EN'!B160)&gt;0,'Translation-EN'!B160,"")</f>
        <v>USER INPUT SHEET</v>
      </c>
      <c r="C160" s="888" t="str">
        <f>IF(LEN('Translation-EN'!C160)&gt;0,'Translation-EN'!C160,"")</f>
        <v>A59</v>
      </c>
      <c r="D160" s="888" t="str">
        <f>IF(LEN('Translation-EN'!D160)&gt;0,'Translation-EN'!D160,"")</f>
        <v/>
      </c>
      <c r="E160" s="893" t="str">
        <f>$E$17</f>
        <v>Étape</v>
      </c>
    </row>
    <row r="161" spans="1:19" ht="17.399999999999999" x14ac:dyDescent="0.3">
      <c r="A161" s="888" t="str">
        <f>IF(LEN('Translation-EN'!A161)&gt;0,'Translation-EN'!A161,"")</f>
        <v>Range</v>
      </c>
      <c r="B161" s="888" t="str">
        <f>IF(LEN('Translation-EN'!B161)&gt;0,'Translation-EN'!B161,"")</f>
        <v>USER INPUT SHEET</v>
      </c>
      <c r="C161" s="888" t="str">
        <f>IF(LEN('Translation-EN'!C161)&gt;0,'Translation-EN'!C161,"")</f>
        <v>C59</v>
      </c>
      <c r="D161" s="888" t="b">
        <f>IF(LEN('Translation-EN'!D161)&gt;0,'Translation-EN'!D161,"")</f>
        <v>1</v>
      </c>
      <c r="E161" s="609" t="s">
        <v>2835</v>
      </c>
    </row>
    <row r="162" spans="1:19" x14ac:dyDescent="0.3">
      <c r="A162" s="888" t="str">
        <f>IF(LEN('Translation-EN'!A162)&gt;0,'Translation-EN'!A162,"")</f>
        <v>Range</v>
      </c>
      <c r="B162" s="888" t="str">
        <f>IF(LEN('Translation-EN'!B162)&gt;0,'Translation-EN'!B162,"")</f>
        <v>USER INPUT SHEET</v>
      </c>
      <c r="C162" s="888" t="str">
        <f>IF(LEN('Translation-EN'!C162)&gt;0,'Translation-EN'!C162,"")</f>
        <v>A62</v>
      </c>
      <c r="D162" s="888" t="str">
        <f>IF(LEN('Translation-EN'!D162)&gt;0,'Translation-EN'!D162,"")</f>
        <v/>
      </c>
      <c r="E162" s="893" t="str">
        <f>$E$17</f>
        <v>Étape</v>
      </c>
    </row>
    <row r="163" spans="1:19" ht="17.399999999999999" x14ac:dyDescent="0.3">
      <c r="A163" s="888" t="str">
        <f>IF(LEN('Translation-EN'!A163)&gt;0,'Translation-EN'!A163,"")</f>
        <v>Range</v>
      </c>
      <c r="B163" s="888" t="str">
        <f>IF(LEN('Translation-EN'!B163)&gt;0,'Translation-EN'!B163,"")</f>
        <v>USER INPUT SHEET</v>
      </c>
      <c r="C163" s="888" t="str">
        <f>IF(LEN('Translation-EN'!C163)&gt;0,'Translation-EN'!C163,"")</f>
        <v>C62</v>
      </c>
      <c r="D163" s="888" t="b">
        <f>IF(LEN('Translation-EN'!D163)&gt;0,'Translation-EN'!D163,"")</f>
        <v>1</v>
      </c>
      <c r="E163" s="1032" t="s">
        <v>2836</v>
      </c>
    </row>
    <row r="164" spans="1:19" x14ac:dyDescent="0.3">
      <c r="A164" s="888" t="str">
        <f>IF(LEN('Translation-EN'!A164)&gt;0,'Translation-EN'!A164,"")</f>
        <v>Range</v>
      </c>
      <c r="B164" s="888" t="str">
        <f>IF(LEN('Translation-EN'!B164)&gt;0,'Translation-EN'!B164,"")</f>
        <v>USER INPUT SHEET</v>
      </c>
      <c r="C164" s="888" t="str">
        <f>IF(LEN('Translation-EN'!C164)&gt;0,'Translation-EN'!C164,"")</f>
        <v>A65</v>
      </c>
      <c r="D164" s="888" t="str">
        <f>IF(LEN('Translation-EN'!D164)&gt;0,'Translation-EN'!D164,"")</f>
        <v/>
      </c>
      <c r="E164" s="893" t="str">
        <f>$E$17</f>
        <v>Étape</v>
      </c>
    </row>
    <row r="165" spans="1:19" ht="17.399999999999999" x14ac:dyDescent="0.3">
      <c r="A165" s="888" t="str">
        <f>IF(LEN('Translation-EN'!A165)&gt;0,'Translation-EN'!A165,"")</f>
        <v>Range</v>
      </c>
      <c r="B165" s="888" t="str">
        <f>IF(LEN('Translation-EN'!B165)&gt;0,'Translation-EN'!B165,"")</f>
        <v>USER INPUT SHEET</v>
      </c>
      <c r="C165" s="888" t="str">
        <f>IF(LEN('Translation-EN'!C165)&gt;0,'Translation-EN'!C165,"")</f>
        <v>C65</v>
      </c>
      <c r="D165" s="888" t="b">
        <f>IF(LEN('Translation-EN'!D165)&gt;0,'Translation-EN'!D165,"")</f>
        <v>1</v>
      </c>
      <c r="E165" s="609" t="s">
        <v>2837</v>
      </c>
    </row>
    <row r="166" spans="1:19" ht="97.5" customHeight="1" x14ac:dyDescent="0.3">
      <c r="A166" s="888" t="str">
        <f>IF(LEN('Translation-EN'!A166)&gt;0,'Translation-EN'!A166,"")</f>
        <v>Range</v>
      </c>
      <c r="B166" s="888" t="str">
        <f>IF(LEN('Translation-EN'!B166)&gt;0,'Translation-EN'!B166,"")</f>
        <v>USER INPUT SHEET</v>
      </c>
      <c r="C166" s="888" t="str">
        <f>IF(LEN('Translation-EN'!C166)&gt;0,'Translation-EN'!C166,"")</f>
        <v>C68</v>
      </c>
      <c r="D166" s="888" t="b">
        <f>IF(LEN('Translation-EN'!D166)&gt;0,'Translation-EN'!D166,"")</f>
        <v>1</v>
      </c>
      <c r="E166" s="1450" t="s">
        <v>2838</v>
      </c>
      <c r="F166" s="1450"/>
      <c r="G166" s="1450"/>
      <c r="H166" s="1450"/>
      <c r="I166" s="1450"/>
      <c r="J166" s="1450"/>
      <c r="K166" s="1450"/>
      <c r="L166" s="1450"/>
      <c r="M166" s="1450"/>
      <c r="N166" s="1450"/>
      <c r="O166" s="1450"/>
      <c r="P166" s="1450"/>
    </row>
    <row r="167" spans="1:19" x14ac:dyDescent="0.3">
      <c r="A167" s="888" t="str">
        <f>IF(LEN('Translation-EN'!A167)&gt;0,'Translation-EN'!A167,"")</f>
        <v>Range</v>
      </c>
      <c r="B167" s="888" t="str">
        <f>IF(LEN('Translation-EN'!B167)&gt;0,'Translation-EN'!B167,"")</f>
        <v>Footings &amp; Slabs</v>
      </c>
      <c r="C167" s="888" t="str">
        <f>IF(LEN('Translation-EN'!C167)&gt;0,'Translation-EN'!C167,"")</f>
        <v>A1</v>
      </c>
      <c r="D167" s="888" t="str">
        <f>IF(LEN('Translation-EN'!D167)&gt;0,'Translation-EN'!D167,"")</f>
        <v/>
      </c>
      <c r="E167" s="893" t="s">
        <v>2839</v>
      </c>
    </row>
    <row r="168" spans="1:19" x14ac:dyDescent="0.3">
      <c r="A168" s="888" t="str">
        <f>IF(LEN('Translation-EN'!A168)&gt;0,'Translation-EN'!A168,"")</f>
        <v>Range</v>
      </c>
      <c r="B168" s="888" t="str">
        <f>IF(LEN('Translation-EN'!B168)&gt;0,'Translation-EN'!B168,"")</f>
        <v>Footings &amp; Slabs</v>
      </c>
      <c r="C168" s="888" t="str">
        <f>IF(LEN('Translation-EN'!C168)&gt;0,'Translation-EN'!C168,"")</f>
        <v>D1</v>
      </c>
      <c r="D168" s="888" t="str">
        <f>IF(LEN('Translation-EN'!D168)&gt;0,'Translation-EN'!D168,"")</f>
        <v/>
      </c>
      <c r="E168" s="893" t="s">
        <v>2840</v>
      </c>
    </row>
    <row r="169" spans="1:19" ht="214.5" customHeight="1" x14ac:dyDescent="0.3">
      <c r="A169" s="888" t="str">
        <f>IF(LEN('Translation-EN'!A169)&gt;0,'Translation-EN'!A169,"")</f>
        <v>Range</v>
      </c>
      <c r="B169" s="888" t="str">
        <f>IF(LEN('Translation-EN'!B169)&gt;0,'Translation-EN'!B169,"")</f>
        <v>Footings &amp; Slabs</v>
      </c>
      <c r="C169" s="888" t="str">
        <f>IF(LEN('Translation-EN'!C169)&gt;0,'Translation-EN'!C169,"")</f>
        <v>A2</v>
      </c>
      <c r="D169" s="888" t="b">
        <f>IF(LEN('Translation-EN'!D169)&gt;0,'Translation-EN'!D169,"")</f>
        <v>1</v>
      </c>
      <c r="E169" s="1696" t="s">
        <v>7210</v>
      </c>
      <c r="F169" s="1696"/>
      <c r="G169" s="1696"/>
      <c r="H169" s="1696"/>
      <c r="I169" s="1696"/>
      <c r="J169" s="1696"/>
      <c r="K169" s="1696"/>
      <c r="L169" s="1696"/>
      <c r="M169" s="1696"/>
      <c r="N169" s="1696"/>
      <c r="O169" s="1696"/>
      <c r="P169" s="1696"/>
      <c r="Q169" s="1696"/>
      <c r="R169" s="1696"/>
      <c r="S169" s="1696"/>
    </row>
    <row r="170" spans="1:19" x14ac:dyDescent="0.3">
      <c r="A170" s="888" t="str">
        <f>IF(LEN('Translation-EN'!A170)&gt;0,'Translation-EN'!A170,"")</f>
        <v>Range</v>
      </c>
      <c r="B170" s="888" t="str">
        <f>IF(LEN('Translation-EN'!B170)&gt;0,'Translation-EN'!B170,"")</f>
        <v>Footings &amp; Slabs</v>
      </c>
      <c r="C170" s="888" t="str">
        <f>IF(LEN('Translation-EN'!C170)&gt;0,'Translation-EN'!C170,"")</f>
        <v>A3</v>
      </c>
      <c r="D170" s="888" t="str">
        <f>IF(LEN('Translation-EN'!D170)&gt;0,'Translation-EN'!D170,"")</f>
        <v/>
      </c>
      <c r="E170" s="888" t="s">
        <v>2841</v>
      </c>
    </row>
    <row r="171" spans="1:19" x14ac:dyDescent="0.3">
      <c r="A171" s="888" t="str">
        <f>IF(LEN('Translation-EN'!A171)&gt;0,'Translation-EN'!A171,"")</f>
        <v>Range</v>
      </c>
      <c r="B171" s="888" t="str">
        <f>IF(LEN('Translation-EN'!B171)&gt;0,'Translation-EN'!B171,"")</f>
        <v>Footings &amp; Slabs</v>
      </c>
      <c r="C171" s="888" t="str">
        <f>IF(LEN('Translation-EN'!C171)&gt;0,'Translation-EN'!C171,"")</f>
        <v>C3</v>
      </c>
      <c r="D171" s="888" t="str">
        <f>IF(LEN('Translation-EN'!D171)&gt;0,'Translation-EN'!D171,"")</f>
        <v/>
      </c>
      <c r="E171" s="893" t="s">
        <v>2842</v>
      </c>
    </row>
    <row r="172" spans="1:19" x14ac:dyDescent="0.3">
      <c r="A172" s="888" t="str">
        <f>IF(LEN('Translation-EN'!A172)&gt;0,'Translation-EN'!A172,"")</f>
        <v>Range</v>
      </c>
      <c r="B172" s="888" t="str">
        <f>IF(LEN('Translation-EN'!B172)&gt;0,'Translation-EN'!B172,"")</f>
        <v>Footings &amp; Slabs</v>
      </c>
      <c r="C172" s="888" t="str">
        <f>IF(LEN('Translation-EN'!C172)&gt;0,'Translation-EN'!C172,"")</f>
        <v>D3</v>
      </c>
      <c r="D172" s="888" t="str">
        <f>IF(LEN('Translation-EN'!D172)&gt;0,'Translation-EN'!D172,"")</f>
        <v/>
      </c>
      <c r="E172" s="893" t="str">
        <f>$E$127</f>
        <v>QUANTITÉ</v>
      </c>
    </row>
    <row r="173" spans="1:19" x14ac:dyDescent="0.3">
      <c r="A173" s="888" t="str">
        <f>IF(LEN('Translation-EN'!A173)&gt;0,'Translation-EN'!A173,"")</f>
        <v>Range</v>
      </c>
      <c r="B173" s="888" t="str">
        <f>IF(LEN('Translation-EN'!B173)&gt;0,'Translation-EN'!B173,"")</f>
        <v>Footings &amp; Slabs</v>
      </c>
      <c r="C173" s="888" t="str">
        <f>IF(LEN('Translation-EN'!C173)&gt;0,'Translation-EN'!C173,"")</f>
        <v>H3</v>
      </c>
      <c r="D173" s="888" t="str">
        <f>IF(LEN('Translation-EN'!D173)&gt;0,'Translation-EN'!D173,"")</f>
        <v/>
      </c>
      <c r="E173" s="888" t="s">
        <v>2843</v>
      </c>
    </row>
    <row r="174" spans="1:19" ht="15" customHeight="1" x14ac:dyDescent="0.3">
      <c r="A174" s="888" t="str">
        <f>IF(LEN('Translation-EN'!A174)&gt;0,'Translation-EN'!A174,"")</f>
        <v>Range</v>
      </c>
      <c r="B174" s="888" t="str">
        <f>IF(LEN('Translation-EN'!B174)&gt;0,'Translation-EN'!B174,"")</f>
        <v>_Footings &amp; Slabs</v>
      </c>
      <c r="C174" s="888" t="str">
        <f>IF(LEN('Translation-EN'!C174)&gt;0,'Translation-EN'!C174,"")</f>
        <v>I3</v>
      </c>
      <c r="D174" s="888" t="b">
        <f>IF(LEN('Translation-EN'!D174)&gt;0,'Translation-EN'!D174,"")</f>
        <v>1</v>
      </c>
      <c r="E174" s="1669" t="s">
        <v>2844</v>
      </c>
      <c r="G174" s="888"/>
    </row>
    <row r="175" spans="1:19" ht="15" customHeight="1" x14ac:dyDescent="0.3">
      <c r="A175" s="888" t="str">
        <f>IF(LEN('Translation-EN'!A175)&gt;0,'Translation-EN'!A175,"")</f>
        <v>-</v>
      </c>
      <c r="B175" s="888" t="str">
        <f>IF(LEN('Translation-EN'!B175)&gt;0,'Translation-EN'!B175,"")</f>
        <v/>
      </c>
      <c r="C175" s="888" t="str">
        <f>IF(LEN('Translation-EN'!C175)&gt;0,'Translation-EN'!C175,"")</f>
        <v/>
      </c>
      <c r="D175" s="888" t="str">
        <f>IF(LEN('Translation-EN'!D175)&gt;0,'Translation-EN'!D175,"")</f>
        <v/>
      </c>
      <c r="E175" s="1669"/>
      <c r="G175" s="888"/>
    </row>
    <row r="176" spans="1:19" ht="24.75" customHeight="1" x14ac:dyDescent="0.3">
      <c r="A176" s="888" t="str">
        <f>IF(LEN('Translation-EN'!A176)&gt;0,'Translation-EN'!A176,"")</f>
        <v>Range</v>
      </c>
      <c r="B176" s="888" t="str">
        <f>IF(LEN('Translation-EN'!B176)&gt;0,'Translation-EN'!B176,"")</f>
        <v>_Footings &amp; Slabs</v>
      </c>
      <c r="C176" s="888" t="str">
        <f>IF(LEN('Translation-EN'!C176)&gt;0,'Translation-EN'!C176,"")</f>
        <v>J3</v>
      </c>
      <c r="D176" s="888" t="b">
        <f>IF(LEN('Translation-EN'!D176)&gt;0,'Translation-EN'!D176,"")</f>
        <v>1</v>
      </c>
      <c r="E176" s="1669" t="s">
        <v>2845</v>
      </c>
    </row>
    <row r="177" spans="1:18" ht="15" customHeight="1" x14ac:dyDescent="0.3">
      <c r="A177" s="888" t="str">
        <f>IF(LEN('Translation-EN'!A177)&gt;0,'Translation-EN'!A177,"")</f>
        <v>-</v>
      </c>
      <c r="B177" s="888" t="str">
        <f>IF(LEN('Translation-EN'!B177)&gt;0,'Translation-EN'!B177,"")</f>
        <v/>
      </c>
      <c r="C177" s="888" t="str">
        <f>IF(LEN('Translation-EN'!C177)&gt;0,'Translation-EN'!C177,"")</f>
        <v/>
      </c>
      <c r="D177" s="888" t="str">
        <f>IF(LEN('Translation-EN'!D177)&gt;0,'Translation-EN'!D177,"")</f>
        <v/>
      </c>
      <c r="E177" s="1670"/>
    </row>
    <row r="178" spans="1:18" ht="15" customHeight="1" x14ac:dyDescent="0.3">
      <c r="A178" s="888" t="str">
        <f>IF(LEN('Translation-EN'!A178)&gt;0,'Translation-EN'!A178,"")</f>
        <v>Range</v>
      </c>
      <c r="B178" s="888" t="str">
        <f>IF(LEN('Translation-EN'!B178)&gt;0,'Translation-EN'!B178,"")</f>
        <v>Footings &amp; Slabs</v>
      </c>
      <c r="C178" s="888" t="str">
        <f>IF(LEN('Translation-EN'!C178)&gt;0,'Translation-EN'!C178,"")</f>
        <v>K3</v>
      </c>
      <c r="D178" s="888" t="b">
        <f>IF(LEN('Translation-EN'!D178)&gt;0,'Translation-EN'!D178,"")</f>
        <v>1</v>
      </c>
      <c r="E178" s="1669" t="s">
        <v>2846</v>
      </c>
    </row>
    <row r="179" spans="1:18" ht="15" customHeight="1" x14ac:dyDescent="0.3">
      <c r="A179" s="888" t="str">
        <f>IF(LEN('Translation-EN'!A179)&gt;0,'Translation-EN'!A179,"")</f>
        <v>-</v>
      </c>
      <c r="B179" s="888" t="str">
        <f>IF(LEN('Translation-EN'!B179)&gt;0,'Translation-EN'!B179,"")</f>
        <v/>
      </c>
      <c r="C179" s="888" t="str">
        <f>IF(LEN('Translation-EN'!C179)&gt;0,'Translation-EN'!C179,"")</f>
        <v/>
      </c>
      <c r="D179" s="888" t="str">
        <f>IF(LEN('Translation-EN'!D179)&gt;0,'Translation-EN'!D179,"")</f>
        <v/>
      </c>
      <c r="E179" s="1670"/>
    </row>
    <row r="180" spans="1:18" ht="15" customHeight="1" x14ac:dyDescent="0.3">
      <c r="A180" s="888" t="str">
        <f>IF(LEN('Translation-EN'!A180)&gt;0,'Translation-EN'!A180,"")</f>
        <v>Range</v>
      </c>
      <c r="B180" s="888" t="str">
        <f>IF(LEN('Translation-EN'!B180)&gt;0,'Translation-EN'!B180,"")</f>
        <v>Footings &amp; Slabs</v>
      </c>
      <c r="C180" s="888" t="str">
        <f>IF(LEN('Translation-EN'!C180)&gt;0,'Translation-EN'!C180,"")</f>
        <v>L3</v>
      </c>
      <c r="D180" s="888" t="b">
        <f>IF(LEN('Translation-EN'!D180)&gt;0,'Translation-EN'!D180,"")</f>
        <v>1</v>
      </c>
      <c r="E180" s="1669" t="s">
        <v>7297</v>
      </c>
    </row>
    <row r="181" spans="1:18" ht="15" customHeight="1" x14ac:dyDescent="0.3">
      <c r="A181" s="888" t="str">
        <f>IF(LEN('Translation-EN'!A181)&gt;0,'Translation-EN'!A181,"")</f>
        <v>-</v>
      </c>
      <c r="B181" s="888" t="str">
        <f>IF(LEN('Translation-EN'!B181)&gt;0,'Translation-EN'!B181,"")</f>
        <v/>
      </c>
      <c r="C181" s="888" t="str">
        <f>IF(LEN('Translation-EN'!C181)&gt;0,'Translation-EN'!C181,"")</f>
        <v/>
      </c>
      <c r="D181" s="888" t="str">
        <f>IF(LEN('Translation-EN'!D181)&gt;0,'Translation-EN'!D181,"")</f>
        <v/>
      </c>
      <c r="E181" s="1670"/>
    </row>
    <row r="182" spans="1:18" ht="15" customHeight="1" x14ac:dyDescent="0.3">
      <c r="A182" s="888" t="str">
        <f>IF(LEN('Translation-EN'!A182)&gt;0,'Translation-EN'!A182,"")</f>
        <v>Range</v>
      </c>
      <c r="B182" s="888" t="str">
        <f>IF(LEN('Translation-EN'!B182)&gt;0,'Translation-EN'!B182,"")</f>
        <v>Footings &amp; Slabs</v>
      </c>
      <c r="C182" s="888" t="str">
        <f>IF(LEN('Translation-EN'!C182)&gt;0,'Translation-EN'!C182,"")</f>
        <v>M3</v>
      </c>
      <c r="D182" s="888" t="b">
        <f>IF(LEN('Translation-EN'!D182)&gt;0,'Translation-EN'!D182,"")</f>
        <v>1</v>
      </c>
      <c r="E182" s="1520" t="s">
        <v>7165</v>
      </c>
      <c r="F182" s="1520"/>
    </row>
    <row r="183" spans="1:18" ht="15" customHeight="1" x14ac:dyDescent="0.3">
      <c r="A183" s="888" t="str">
        <f>IF(LEN('Translation-EN'!A183)&gt;0,'Translation-EN'!A183,"")</f>
        <v>-</v>
      </c>
      <c r="B183" s="888" t="str">
        <f>IF(LEN('Translation-EN'!B183)&gt;0,'Translation-EN'!B183,"")</f>
        <v/>
      </c>
      <c r="C183" s="888" t="str">
        <f>IF(LEN('Translation-EN'!C183)&gt;0,'Translation-EN'!C183,"")</f>
        <v/>
      </c>
      <c r="D183" s="888" t="str">
        <f>IF(LEN('Translation-EN'!D183)&gt;0,'Translation-EN'!D183,"")</f>
        <v/>
      </c>
      <c r="E183" s="1520"/>
      <c r="F183" s="1520"/>
    </row>
    <row r="184" spans="1:18" ht="15" customHeight="1" x14ac:dyDescent="0.3">
      <c r="A184" s="888" t="str">
        <f>IF(LEN('Translation-EN'!A184)&gt;0,'Translation-EN'!A184,"")</f>
        <v>Range</v>
      </c>
      <c r="B184" s="888" t="str">
        <f>IF(LEN('Translation-EN'!B184)&gt;0,'Translation-EN'!B184,"")</f>
        <v>_Footings &amp; Slabs</v>
      </c>
      <c r="C184" s="888" t="str">
        <f>IF(LEN('Translation-EN'!C184)&gt;0,'Translation-EN'!C184,"")</f>
        <v>N3</v>
      </c>
      <c r="D184" s="888" t="b">
        <f>IF(LEN('Translation-EN'!D184)&gt;0,'Translation-EN'!D184,"")</f>
        <v>1</v>
      </c>
      <c r="E184" s="1669" t="s">
        <v>4962</v>
      </c>
    </row>
    <row r="185" spans="1:18" ht="15" customHeight="1" x14ac:dyDescent="0.3">
      <c r="A185" s="888" t="str">
        <f>IF(LEN('Translation-EN'!A185)&gt;0,'Translation-EN'!A185,"")</f>
        <v>-</v>
      </c>
      <c r="B185" s="888" t="str">
        <f>IF(LEN('Translation-EN'!B185)&gt;0,'Translation-EN'!B185,"")</f>
        <v/>
      </c>
      <c r="C185" s="888" t="str">
        <f>IF(LEN('Translation-EN'!C185)&gt;0,'Translation-EN'!C185,"")</f>
        <v/>
      </c>
      <c r="D185" s="888" t="str">
        <f>IF(LEN('Translation-EN'!D185)&gt;0,'Translation-EN'!D185,"")</f>
        <v/>
      </c>
      <c r="E185" s="1669"/>
    </row>
    <row r="186" spans="1:18" ht="34.799999999999997" x14ac:dyDescent="0.3">
      <c r="A186" s="888" t="str">
        <f>IF(LEN('Translation-EN'!A186)&gt;0,'Translation-EN'!A186,"")</f>
        <v>Range</v>
      </c>
      <c r="B186" s="888" t="str">
        <f>IF(LEN('Translation-EN'!B186)&gt;0,'Translation-EN'!B186,"")</f>
        <v>Footings &amp; Slabs</v>
      </c>
      <c r="C186" s="888" t="str">
        <f>IF(LEN('Translation-EN'!C186)&gt;0,'Translation-EN'!C186,"")</f>
        <v>O3</v>
      </c>
      <c r="D186" s="888" t="b">
        <f>IF(LEN('Translation-EN'!D186)&gt;0,'Translation-EN'!D186,"")</f>
        <v>1</v>
      </c>
      <c r="E186" s="1033" t="s">
        <v>7380</v>
      </c>
    </row>
    <row r="187" spans="1:18" ht="34.799999999999997" x14ac:dyDescent="0.3">
      <c r="A187" s="888" t="str">
        <f>IF(LEN('Translation-EN'!A187)&gt;0,'Translation-EN'!A187,"")</f>
        <v>Range</v>
      </c>
      <c r="B187" s="888" t="str">
        <f>IF(LEN('Translation-EN'!B187)&gt;0,'Translation-EN'!B187,"")</f>
        <v>Footings &amp; Slabs</v>
      </c>
      <c r="C187" s="888" t="str">
        <f>IF(LEN('Translation-EN'!C187)&gt;0,'Translation-EN'!C187,"")</f>
        <v>P3</v>
      </c>
      <c r="D187" s="888" t="b">
        <f>IF(LEN('Translation-EN'!D187)&gt;0,'Translation-EN'!D187,"")</f>
        <v>1</v>
      </c>
      <c r="E187" s="1033" t="s">
        <v>7381</v>
      </c>
    </row>
    <row r="188" spans="1:18" x14ac:dyDescent="0.3">
      <c r="A188" s="888" t="str">
        <f>IF(LEN('Translation-EN'!A188)&gt;0,'Translation-EN'!A188,"")</f>
        <v>Range</v>
      </c>
      <c r="B188" s="888" t="str">
        <f>IF(LEN('Translation-EN'!B188)&gt;0,'Translation-EN'!B188,"")</f>
        <v>Footings &amp; Slabs</v>
      </c>
      <c r="C188" s="888" t="str">
        <f>IF(LEN('Translation-EN'!C188)&gt;0,'Translation-EN'!C188,"")</f>
        <v>A5</v>
      </c>
      <c r="D188" s="888" t="str">
        <f>IF(LEN('Translation-EN'!D188)&gt;0,'Translation-EN'!D188,"")</f>
        <v/>
      </c>
      <c r="E188" s="888" t="s">
        <v>2847</v>
      </c>
    </row>
    <row r="189" spans="1:18" x14ac:dyDescent="0.3">
      <c r="A189" s="888" t="str">
        <f>IF(LEN('Translation-EN'!A189)&gt;0,'Translation-EN'!A189,"")</f>
        <v>Range</v>
      </c>
      <c r="B189" s="888" t="str">
        <f>IF(LEN('Translation-EN'!B189)&gt;0,'Translation-EN'!B189,"")</f>
        <v>Footings &amp; Slabs</v>
      </c>
      <c r="C189" s="888" t="str">
        <f>IF(LEN('Translation-EN'!C189)&gt;0,'Translation-EN'!C189,"")</f>
        <v>D5</v>
      </c>
      <c r="D189" s="888" t="str">
        <f>IF(LEN('Translation-EN'!D189)&gt;0,'Translation-EN'!D189,"")</f>
        <v/>
      </c>
      <c r="E189" s="893" t="s">
        <v>2848</v>
      </c>
    </row>
    <row r="190" spans="1:18" x14ac:dyDescent="0.3">
      <c r="A190" s="888" t="str">
        <f>IF(LEN('Translation-EN'!A190)&gt;0,'Translation-EN'!A190,"")</f>
        <v>Range</v>
      </c>
      <c r="B190" s="888" t="str">
        <f>IF(LEN('Translation-EN'!B190)&gt;0,'Translation-EN'!B190,"")</f>
        <v>Footings &amp; Slabs</v>
      </c>
      <c r="C190" s="888" t="str">
        <f>IF(LEN('Translation-EN'!C190)&gt;0,'Translation-EN'!C190,"")</f>
        <v>B6</v>
      </c>
      <c r="D190" s="888" t="str">
        <f>IF(LEN('Translation-EN'!D190)&gt;0,'Translation-EN'!D190,"")</f>
        <v/>
      </c>
      <c r="E190" s="888" t="s">
        <v>2849</v>
      </c>
    </row>
    <row r="191" spans="1:18" x14ac:dyDescent="0.3">
      <c r="A191" s="888" t="str">
        <f>IF(LEN('Translation-EN'!A191)&gt;0,'Translation-EN'!A191,"")</f>
        <v>Range</v>
      </c>
      <c r="B191" s="888" t="str">
        <f>IF(LEN('Translation-EN'!B191)&gt;0,'Translation-EN'!B191,"")</f>
        <v>Footings &amp; Slabs</v>
      </c>
      <c r="C191" s="888" t="str">
        <f>IF(LEN('Translation-EN'!C191)&gt;0,'Translation-EN'!C191,"")</f>
        <v>A7</v>
      </c>
      <c r="D191" s="888" t="str">
        <f>IF(LEN('Translation-EN'!D191)&gt;0,'Translation-EN'!D191,"")</f>
        <v/>
      </c>
      <c r="E191" s="893" t="s">
        <v>2850</v>
      </c>
    </row>
    <row r="192" spans="1:18" s="893" customFormat="1" x14ac:dyDescent="0.3">
      <c r="A192" s="888" t="str">
        <f>IF(LEN('Translation-EN'!A192)&gt;0,'Translation-EN'!A192,"")</f>
        <v>Range</v>
      </c>
      <c r="B192" s="888" t="str">
        <f>IF(LEN('Translation-EN'!B192)&gt;0,'Translation-EN'!B192,"")</f>
        <v>Footings &amp; Slabs</v>
      </c>
      <c r="C192" s="888" t="str">
        <f>IF(LEN('Translation-EN'!C192)&gt;0,'Translation-EN'!C192,"")</f>
        <v>A8</v>
      </c>
      <c r="D192" s="888" t="str">
        <f>IF(LEN('Translation-EN'!D192)&gt;0,'Translation-EN'!D192,"")</f>
        <v/>
      </c>
      <c r="E192" s="888" t="s">
        <v>2851</v>
      </c>
      <c r="I192" s="888"/>
      <c r="J192" s="888"/>
      <c r="K192" s="888"/>
      <c r="L192" s="888"/>
      <c r="M192" s="888"/>
      <c r="N192" s="888"/>
      <c r="O192" s="888"/>
      <c r="P192" s="888"/>
      <c r="Q192" s="888"/>
      <c r="R192" s="888"/>
    </row>
    <row r="193" spans="1:18" s="893" customFormat="1" x14ac:dyDescent="0.3">
      <c r="A193" s="888" t="str">
        <f>IF(LEN('Translation-EN'!A193)&gt;0,'Translation-EN'!A193,"")</f>
        <v>Range</v>
      </c>
      <c r="B193" s="888" t="str">
        <f>IF(LEN('Translation-EN'!B193)&gt;0,'Translation-EN'!B193,"")</f>
        <v>Footings &amp; Slabs</v>
      </c>
      <c r="C193" s="888" t="str">
        <f>IF(LEN('Translation-EN'!C193)&gt;0,'Translation-EN'!C193,"")</f>
        <v>B9</v>
      </c>
      <c r="D193" s="888" t="str">
        <f>IF(LEN('Translation-EN'!D193)&gt;0,'Translation-EN'!D193,"")</f>
        <v/>
      </c>
      <c r="E193" s="893" t="s">
        <v>2852</v>
      </c>
      <c r="I193" s="888"/>
      <c r="J193" s="888"/>
      <c r="K193" s="888"/>
      <c r="L193" s="888"/>
      <c r="M193" s="888"/>
      <c r="N193" s="888"/>
      <c r="O193" s="888"/>
      <c r="P193" s="888"/>
      <c r="Q193" s="888"/>
      <c r="R193" s="888"/>
    </row>
    <row r="194" spans="1:18" s="893" customFormat="1" x14ac:dyDescent="0.3">
      <c r="A194" s="888" t="str">
        <f>IF(LEN('Translation-EN'!A194)&gt;0,'Translation-EN'!A194,"")</f>
        <v>Range</v>
      </c>
      <c r="B194" s="888" t="str">
        <f>IF(LEN('Translation-EN'!B194)&gt;0,'Translation-EN'!B194,"")</f>
        <v>Footings &amp; Slabs</v>
      </c>
      <c r="C194" s="888" t="str">
        <f>IF(LEN('Translation-EN'!C194)&gt;0,'Translation-EN'!C194,"")</f>
        <v>A10</v>
      </c>
      <c r="D194" s="888" t="str">
        <f>IF(LEN('Translation-EN'!D194)&gt;0,'Translation-EN'!D194,"")</f>
        <v/>
      </c>
      <c r="E194" s="893" t="s">
        <v>2853</v>
      </c>
      <c r="I194" s="888"/>
      <c r="J194" s="888"/>
      <c r="K194" s="888"/>
      <c r="L194" s="888"/>
      <c r="M194" s="888"/>
      <c r="N194" s="888"/>
      <c r="O194" s="888"/>
      <c r="P194" s="888"/>
      <c r="Q194" s="888"/>
      <c r="R194" s="888"/>
    </row>
    <row r="195" spans="1:18" s="893" customFormat="1" x14ac:dyDescent="0.3">
      <c r="A195" s="888" t="str">
        <f>IF(LEN('Translation-EN'!A195)&gt;0,'Translation-EN'!A195,"")</f>
        <v>Range</v>
      </c>
      <c r="B195" s="888" t="str">
        <f>IF(LEN('Translation-EN'!B195)&gt;0,'Translation-EN'!B195,"")</f>
        <v>Footings &amp; Slabs</v>
      </c>
      <c r="C195" s="888" t="str">
        <f>IF(LEN('Translation-EN'!C195)&gt;0,'Translation-EN'!C195,"")</f>
        <v>B17</v>
      </c>
      <c r="D195" s="888" t="str">
        <f>IF(LEN('Translation-EN'!D195)&gt;0,'Translation-EN'!D195,"")</f>
        <v/>
      </c>
      <c r="E195" s="893" t="s">
        <v>2854</v>
      </c>
      <c r="I195" s="888"/>
      <c r="J195" s="888"/>
      <c r="K195" s="888"/>
      <c r="L195" s="888"/>
      <c r="M195" s="888"/>
      <c r="N195" s="888"/>
      <c r="O195" s="888"/>
      <c r="P195" s="888"/>
      <c r="Q195" s="888"/>
      <c r="R195" s="888"/>
    </row>
    <row r="196" spans="1:18" s="893" customFormat="1" x14ac:dyDescent="0.3">
      <c r="A196" s="888" t="str">
        <f>IF(LEN('Translation-EN'!A196)&gt;0,'Translation-EN'!A196,"")</f>
        <v>Range</v>
      </c>
      <c r="B196" s="888" t="str">
        <f>IF(LEN('Translation-EN'!B196)&gt;0,'Translation-EN'!B196,"")</f>
        <v>Footings &amp; Slabs</v>
      </c>
      <c r="C196" s="888" t="str">
        <f>IF(LEN('Translation-EN'!C196)&gt;0,'Translation-EN'!C196,"")</f>
        <v>A18</v>
      </c>
      <c r="D196" s="888" t="str">
        <f>IF(LEN('Translation-EN'!D196)&gt;0,'Translation-EN'!D196,"")</f>
        <v/>
      </c>
      <c r="E196" s="893" t="str">
        <f>$E$194</f>
        <v>Les spécifications du mélange de béton font une grande différence dans l’empreinte carbone. Les spécifications du mélange présentées ici peuvent être utilisées pour discuter des options de mélange à faible teneur en carbone avec votre fournisseur.</v>
      </c>
      <c r="I196" s="888"/>
      <c r="J196" s="888"/>
      <c r="K196" s="888"/>
      <c r="L196" s="888"/>
      <c r="M196" s="888"/>
      <c r="N196" s="888"/>
      <c r="O196" s="888"/>
      <c r="P196" s="888"/>
      <c r="Q196" s="888"/>
      <c r="R196" s="888"/>
    </row>
    <row r="197" spans="1:18" s="893" customFormat="1" x14ac:dyDescent="0.3">
      <c r="A197" s="888" t="str">
        <f>IF(LEN('Translation-EN'!A197)&gt;0,'Translation-EN'!A197,"")</f>
        <v>Range</v>
      </c>
      <c r="B197" s="888" t="str">
        <f>IF(LEN('Translation-EN'!B197)&gt;0,'Translation-EN'!B197,"")</f>
        <v>Footings &amp; Slabs</v>
      </c>
      <c r="C197" s="888" t="str">
        <f>IF(LEN('Translation-EN'!C197)&gt;0,'Translation-EN'!C197,"")</f>
        <v>B25</v>
      </c>
      <c r="D197" s="888" t="str">
        <f>IF(LEN('Translation-EN'!D197)&gt;0,'Translation-EN'!D197,"")</f>
        <v/>
      </c>
      <c r="E197" s="893" t="s">
        <v>2855</v>
      </c>
      <c r="I197" s="888"/>
      <c r="J197" s="888"/>
      <c r="K197" s="888"/>
      <c r="L197" s="888"/>
      <c r="M197" s="888"/>
      <c r="N197" s="888"/>
      <c r="O197" s="888"/>
      <c r="P197" s="888"/>
      <c r="Q197" s="888"/>
      <c r="R197" s="888"/>
    </row>
    <row r="198" spans="1:18" s="893" customFormat="1" x14ac:dyDescent="0.3">
      <c r="A198" s="888" t="str">
        <f>IF(LEN('Translation-EN'!A198)&gt;0,'Translation-EN'!A198,"")</f>
        <v>Range</v>
      </c>
      <c r="B198" s="888" t="str">
        <f>IF(LEN('Translation-EN'!B198)&gt;0,'Translation-EN'!B198,"")</f>
        <v>Footings &amp; Slabs</v>
      </c>
      <c r="C198" s="888" t="str">
        <f>IF(LEN('Translation-EN'!C198)&gt;0,'Translation-EN'!C198,"")</f>
        <v>A26</v>
      </c>
      <c r="D198" s="888" t="str">
        <f>IF(LEN('Translation-EN'!D198)&gt;0,'Translation-EN'!D198,"")</f>
        <v/>
      </c>
      <c r="E198" s="893" t="str">
        <f>$E$194</f>
        <v>Les spécifications du mélange de béton font une grande différence dans l’empreinte carbone. Les spécifications du mélange présentées ici peuvent être utilisées pour discuter des options de mélange à faible teneur en carbone avec votre fournisseur.</v>
      </c>
      <c r="I198" s="888"/>
      <c r="J198" s="888"/>
      <c r="K198" s="888"/>
      <c r="L198" s="888"/>
      <c r="M198" s="888"/>
      <c r="N198" s="888"/>
      <c r="O198" s="888"/>
      <c r="P198" s="888"/>
      <c r="Q198" s="888"/>
      <c r="R198" s="888"/>
    </row>
    <row r="199" spans="1:18" s="893" customFormat="1" x14ac:dyDescent="0.3">
      <c r="A199" s="888" t="str">
        <f>IF(LEN('Translation-EN'!A199)&gt;0,'Translation-EN'!A199,"")</f>
        <v>Range</v>
      </c>
      <c r="B199" s="888" t="str">
        <f>IF(LEN('Translation-EN'!B199)&gt;0,'Translation-EN'!B199,"")</f>
        <v>Footings &amp; Slabs</v>
      </c>
      <c r="C199" s="888" t="str">
        <f>IF(LEN('Translation-EN'!C199)&gt;0,'Translation-EN'!C199,"")</f>
        <v>A33</v>
      </c>
      <c r="D199" s="888" t="str">
        <f>IF(LEN('Translation-EN'!D199)&gt;0,'Translation-EN'!D199,"")</f>
        <v/>
      </c>
      <c r="E199" s="893" t="s">
        <v>2856</v>
      </c>
      <c r="I199" s="888"/>
      <c r="J199" s="888"/>
      <c r="K199" s="888"/>
      <c r="L199" s="888"/>
      <c r="M199" s="888"/>
      <c r="N199" s="888"/>
      <c r="O199" s="888"/>
      <c r="P199" s="888"/>
      <c r="Q199" s="888"/>
      <c r="R199" s="888"/>
    </row>
    <row r="200" spans="1:18" s="893" customFormat="1" x14ac:dyDescent="0.3">
      <c r="A200" s="888" t="str">
        <f>IF(LEN('Translation-EN'!A200)&gt;0,'Translation-EN'!A200,"")</f>
        <v>Range</v>
      </c>
      <c r="B200" s="888" t="str">
        <f>IF(LEN('Translation-EN'!B200)&gt;0,'Translation-EN'!B200,"")</f>
        <v>Footings &amp; Slabs</v>
      </c>
      <c r="C200" s="888" t="str">
        <f>IF(LEN('Translation-EN'!C200)&gt;0,'Translation-EN'!C200,"")</f>
        <v>D33</v>
      </c>
      <c r="D200" s="888" t="str">
        <f>IF(LEN('Translation-EN'!D200)&gt;0,'Translation-EN'!D200,"")</f>
        <v/>
      </c>
      <c r="E200" s="893" t="s">
        <v>2857</v>
      </c>
      <c r="I200" s="888"/>
      <c r="J200" s="888"/>
      <c r="K200" s="888"/>
      <c r="L200" s="888"/>
      <c r="M200" s="888"/>
      <c r="N200" s="888"/>
      <c r="O200" s="888"/>
      <c r="P200" s="888"/>
      <c r="Q200" s="888"/>
      <c r="R200" s="888"/>
    </row>
    <row r="201" spans="1:18" s="893" customFormat="1" x14ac:dyDescent="0.3">
      <c r="A201" s="888" t="str">
        <f>IF(LEN('Translation-EN'!A201)&gt;0,'Translation-EN'!A201,"")</f>
        <v>Range</v>
      </c>
      <c r="B201" s="888" t="str">
        <f>IF(LEN('Translation-EN'!B201)&gt;0,'Translation-EN'!B201,"")</f>
        <v>Footings &amp; Slabs</v>
      </c>
      <c r="C201" s="888" t="str">
        <f>IF(LEN('Translation-EN'!C201)&gt;0,'Translation-EN'!C201,"")</f>
        <v>B34</v>
      </c>
      <c r="D201" s="888" t="str">
        <f>IF(LEN('Translation-EN'!D201)&gt;0,'Translation-EN'!D201,"")</f>
        <v/>
      </c>
      <c r="E201" s="893" t="s">
        <v>2858</v>
      </c>
      <c r="I201" s="888"/>
      <c r="J201" s="888"/>
      <c r="K201" s="888"/>
      <c r="L201" s="888"/>
      <c r="M201" s="888"/>
      <c r="N201" s="888"/>
      <c r="O201" s="888"/>
      <c r="P201" s="888"/>
      <c r="Q201" s="888"/>
      <c r="R201" s="888"/>
    </row>
    <row r="202" spans="1:18" s="893" customFormat="1" x14ac:dyDescent="0.3">
      <c r="A202" s="888" t="str">
        <f>IF(LEN('Translation-EN'!A202)&gt;0,'Translation-EN'!A202,"")</f>
        <v>Range</v>
      </c>
      <c r="B202" s="888" t="str">
        <f>IF(LEN('Translation-EN'!B202)&gt;0,'Translation-EN'!B202,"")</f>
        <v>Footings &amp; Slabs</v>
      </c>
      <c r="C202" s="888" t="str">
        <f>IF(LEN('Translation-EN'!C202)&gt;0,'Translation-EN'!C202,"")</f>
        <v>A35</v>
      </c>
      <c r="D202" s="888" t="str">
        <f>IF(LEN('Translation-EN'!D202)&gt;0,'Translation-EN'!D202,"")</f>
        <v/>
      </c>
      <c r="E202" s="893" t="s">
        <v>2859</v>
      </c>
      <c r="I202" s="888"/>
      <c r="J202" s="888"/>
      <c r="K202" s="888"/>
      <c r="L202" s="888"/>
      <c r="M202" s="888"/>
      <c r="N202" s="888"/>
      <c r="O202" s="888"/>
      <c r="P202" s="888"/>
      <c r="Q202" s="888"/>
      <c r="R202" s="888"/>
    </row>
    <row r="203" spans="1:18" s="893" customFormat="1" x14ac:dyDescent="0.3">
      <c r="A203" s="888" t="str">
        <f>IF(LEN('Translation-EN'!A203)&gt;0,'Translation-EN'!A203,"")</f>
        <v>Range</v>
      </c>
      <c r="B203" s="888" t="str">
        <f>IF(LEN('Translation-EN'!B203)&gt;0,'Translation-EN'!B203,"")</f>
        <v>Footings &amp; Slabs</v>
      </c>
      <c r="C203" s="888" t="str">
        <f>IF(LEN('Translation-EN'!C203)&gt;0,'Translation-EN'!C203,"")</f>
        <v>A40</v>
      </c>
      <c r="D203" s="888" t="str">
        <f>IF(LEN('Translation-EN'!D203)&gt;0,'Translation-EN'!D203,"")</f>
        <v/>
      </c>
      <c r="E203" s="893" t="s">
        <v>2860</v>
      </c>
      <c r="I203" s="888"/>
      <c r="J203" s="888"/>
      <c r="K203" s="888"/>
      <c r="L203" s="888"/>
      <c r="M203" s="888"/>
      <c r="N203" s="888"/>
      <c r="O203" s="888"/>
      <c r="P203" s="888"/>
      <c r="Q203" s="888"/>
      <c r="R203" s="888"/>
    </row>
    <row r="204" spans="1:18" s="893" customFormat="1" x14ac:dyDescent="0.3">
      <c r="A204" s="888" t="str">
        <f>IF(LEN('Translation-EN'!A204)&gt;0,'Translation-EN'!A204,"")</f>
        <v>Range</v>
      </c>
      <c r="B204" s="888" t="str">
        <f>IF(LEN('Translation-EN'!B204)&gt;0,'Translation-EN'!B204,"")</f>
        <v>Footings &amp; Slabs</v>
      </c>
      <c r="C204" s="888" t="str">
        <f>IF(LEN('Translation-EN'!C204)&gt;0,'Translation-EN'!C204,"")</f>
        <v>D40</v>
      </c>
      <c r="D204" s="888" t="str">
        <f>IF(LEN('Translation-EN'!D204)&gt;0,'Translation-EN'!D204,"")</f>
        <v/>
      </c>
      <c r="E204" s="893" t="s">
        <v>2861</v>
      </c>
      <c r="I204" s="888"/>
      <c r="J204" s="888"/>
      <c r="K204" s="888"/>
      <c r="L204" s="888"/>
      <c r="M204" s="888"/>
      <c r="N204" s="888"/>
      <c r="O204" s="888"/>
      <c r="P204" s="888"/>
      <c r="Q204" s="888"/>
      <c r="R204" s="888"/>
    </row>
    <row r="205" spans="1:18" s="893" customFormat="1" x14ac:dyDescent="0.3">
      <c r="A205" s="888" t="str">
        <f>IF(LEN('Translation-EN'!A205)&gt;0,'Translation-EN'!A205,"")</f>
        <v>Range</v>
      </c>
      <c r="B205" s="888" t="str">
        <f>IF(LEN('Translation-EN'!B205)&gt;0,'Translation-EN'!B205,"")</f>
        <v>Footings &amp; Slabs</v>
      </c>
      <c r="C205" s="888" t="str">
        <f>IF(LEN('Translation-EN'!C205)&gt;0,'Translation-EN'!C205,"")</f>
        <v>B41</v>
      </c>
      <c r="D205" s="888" t="str">
        <f>IF(LEN('Translation-EN'!D205)&gt;0,'Translation-EN'!D205,"")</f>
        <v/>
      </c>
      <c r="E205" s="893" t="s">
        <v>2862</v>
      </c>
      <c r="I205" s="888"/>
      <c r="J205" s="888"/>
      <c r="K205" s="888"/>
      <c r="L205" s="888"/>
      <c r="M205" s="888"/>
      <c r="N205" s="888"/>
      <c r="O205" s="888"/>
      <c r="P205" s="888"/>
      <c r="Q205" s="888"/>
      <c r="R205" s="888"/>
    </row>
    <row r="206" spans="1:18" s="893" customFormat="1" x14ac:dyDescent="0.3">
      <c r="A206" s="888" t="str">
        <f>IF(LEN('Translation-EN'!A206)&gt;0,'Translation-EN'!A206,"")</f>
        <v>Range</v>
      </c>
      <c r="B206" s="888" t="str">
        <f>IF(LEN('Translation-EN'!B206)&gt;0,'Translation-EN'!B206,"")</f>
        <v>Footings &amp; Slabs</v>
      </c>
      <c r="C206" s="888" t="str">
        <f>IF(LEN('Translation-EN'!C206)&gt;0,'Translation-EN'!C206,"")</f>
        <v>A44</v>
      </c>
      <c r="D206" s="888" t="str">
        <f>IF(LEN('Translation-EN'!D206)&gt;0,'Translation-EN'!D206,"")</f>
        <v/>
      </c>
      <c r="E206" s="893" t="s">
        <v>2863</v>
      </c>
      <c r="I206" s="888"/>
      <c r="J206" s="888"/>
      <c r="K206" s="888"/>
      <c r="L206" s="888"/>
      <c r="M206" s="888"/>
      <c r="N206" s="888"/>
      <c r="O206" s="888"/>
      <c r="P206" s="888"/>
      <c r="Q206" s="888"/>
      <c r="R206" s="888"/>
    </row>
    <row r="207" spans="1:18" s="893" customFormat="1" x14ac:dyDescent="0.3">
      <c r="A207" s="888" t="str">
        <f>IF(LEN('Translation-EN'!A207)&gt;0,'Translation-EN'!A207,"")</f>
        <v>Range</v>
      </c>
      <c r="B207" s="888" t="str">
        <f>IF(LEN('Translation-EN'!B207)&gt;0,'Translation-EN'!B207,"")</f>
        <v>Footings &amp; Slabs</v>
      </c>
      <c r="C207" s="888" t="str">
        <f>IF(LEN('Translation-EN'!C207)&gt;0,'Translation-EN'!C207,"")</f>
        <v>D44</v>
      </c>
      <c r="D207" s="888" t="str">
        <f>IF(LEN('Translation-EN'!D207)&gt;0,'Translation-EN'!D207,"")</f>
        <v/>
      </c>
      <c r="E207" s="893" t="s">
        <v>2864</v>
      </c>
      <c r="I207" s="888"/>
      <c r="J207" s="888"/>
      <c r="K207" s="888"/>
      <c r="L207" s="888"/>
      <c r="M207" s="888"/>
      <c r="N207" s="888"/>
      <c r="O207" s="888"/>
      <c r="P207" s="888"/>
      <c r="Q207" s="888"/>
      <c r="R207" s="888"/>
    </row>
    <row r="208" spans="1:18" s="893" customFormat="1" x14ac:dyDescent="0.3">
      <c r="A208" s="888" t="str">
        <f>IF(LEN('Translation-EN'!A208)&gt;0,'Translation-EN'!A208,"")</f>
        <v>Range</v>
      </c>
      <c r="B208" s="888" t="str">
        <f>IF(LEN('Translation-EN'!B208)&gt;0,'Translation-EN'!B208,"")</f>
        <v>Footings &amp; Slabs</v>
      </c>
      <c r="C208" s="888" t="str">
        <f>IF(LEN('Translation-EN'!C208)&gt;0,'Translation-EN'!C208,"")</f>
        <v>B45</v>
      </c>
      <c r="D208" s="888" t="str">
        <f>IF(LEN('Translation-EN'!D208)&gt;0,'Translation-EN'!D208,"")</f>
        <v/>
      </c>
      <c r="E208" s="893" t="str">
        <f>$E$206</f>
        <v>PILIERS HÉLIQUES</v>
      </c>
      <c r="I208" s="888"/>
      <c r="J208" s="888"/>
      <c r="K208" s="888"/>
      <c r="L208" s="888"/>
      <c r="M208" s="888"/>
      <c r="N208" s="888"/>
      <c r="O208" s="888"/>
      <c r="P208" s="888"/>
      <c r="Q208" s="888"/>
      <c r="R208" s="888"/>
    </row>
    <row r="209" spans="1:18" s="893" customFormat="1" x14ac:dyDescent="0.3">
      <c r="A209" s="888" t="str">
        <f>IF(LEN('Translation-EN'!A209)&gt;0,'Translation-EN'!A209,"")</f>
        <v>Range</v>
      </c>
      <c r="B209" s="888" t="str">
        <f>IF(LEN('Translation-EN'!B209)&gt;0,'Translation-EN'!B209,"")</f>
        <v>Footings &amp; Slabs</v>
      </c>
      <c r="C209" s="888" t="str">
        <f>IF(LEN('Translation-EN'!C209)&gt;0,'Translation-EN'!C209,"")</f>
        <v>A46</v>
      </c>
      <c r="D209" s="888" t="str">
        <f>IF(LEN('Translation-EN'!D209)&gt;0,'Translation-EN'!D209,"")</f>
        <v/>
      </c>
      <c r="E209" s="893" t="s">
        <v>2865</v>
      </c>
      <c r="I209" s="888"/>
      <c r="J209" s="888"/>
      <c r="K209" s="888"/>
      <c r="L209" s="888"/>
      <c r="M209" s="888"/>
      <c r="N209" s="888"/>
      <c r="O209" s="888"/>
      <c r="P209" s="888"/>
      <c r="Q209" s="888"/>
      <c r="R209" s="888"/>
    </row>
    <row r="210" spans="1:18" s="893" customFormat="1" x14ac:dyDescent="0.3">
      <c r="A210" s="888" t="str">
        <f>IF(LEN('Translation-EN'!A210)&gt;0,'Translation-EN'!A210,"")</f>
        <v>Range</v>
      </c>
      <c r="B210" s="888" t="str">
        <f>IF(LEN('Translation-EN'!B210)&gt;0,'Translation-EN'!B210,"")</f>
        <v>Footings &amp; Slabs</v>
      </c>
      <c r="C210" s="888" t="str">
        <f>IF(LEN('Translation-EN'!C210)&gt;0,'Translation-EN'!C210,"")</f>
        <v>A47</v>
      </c>
      <c r="D210" s="888" t="str">
        <f>IF(LEN('Translation-EN'!D210)&gt;0,'Translation-EN'!D210,"")</f>
        <v/>
      </c>
      <c r="E210" s="893" t="s">
        <v>2866</v>
      </c>
      <c r="I210" s="888"/>
      <c r="J210" s="888"/>
      <c r="K210" s="888"/>
      <c r="L210" s="888"/>
      <c r="M210" s="888"/>
      <c r="N210" s="888"/>
      <c r="O210" s="888"/>
      <c r="P210" s="888"/>
      <c r="Q210" s="888"/>
      <c r="R210" s="888"/>
    </row>
    <row r="211" spans="1:18" s="893" customFormat="1" x14ac:dyDescent="0.3">
      <c r="A211" s="888" t="str">
        <f>IF(LEN('Translation-EN'!A211)&gt;0,'Translation-EN'!A211,"")</f>
        <v>Range</v>
      </c>
      <c r="B211" s="888" t="str">
        <f>IF(LEN('Translation-EN'!B211)&gt;0,'Translation-EN'!B211,"")</f>
        <v>Footings &amp; Slabs</v>
      </c>
      <c r="C211" s="888" t="str">
        <f>IF(LEN('Translation-EN'!C211)&gt;0,'Translation-EN'!C211,"")</f>
        <v>D47</v>
      </c>
      <c r="D211" s="888" t="str">
        <f>IF(LEN('Translation-EN'!D211)&gt;0,'Translation-EN'!D211,"")</f>
        <v/>
      </c>
      <c r="E211" s="888" t="str">
        <f>$E$189</f>
        <v>ÉPAISSEUR :</v>
      </c>
      <c r="I211" s="888"/>
      <c r="J211" s="888"/>
      <c r="K211" s="888"/>
      <c r="L211" s="888"/>
      <c r="M211" s="888"/>
      <c r="N211" s="888"/>
      <c r="O211" s="888"/>
      <c r="P211" s="888"/>
      <c r="Q211" s="888"/>
      <c r="R211" s="888"/>
    </row>
    <row r="212" spans="1:18" s="893" customFormat="1" x14ac:dyDescent="0.3">
      <c r="A212" s="888" t="str">
        <f>IF(LEN('Translation-EN'!A212)&gt;0,'Translation-EN'!A212,"")</f>
        <v>Range</v>
      </c>
      <c r="B212" s="888" t="str">
        <f>IF(LEN('Translation-EN'!B212)&gt;0,'Translation-EN'!B212,"")</f>
        <v>Footings &amp; Slabs</v>
      </c>
      <c r="C212" s="888" t="str">
        <f>IF(LEN('Translation-EN'!C212)&gt;0,'Translation-EN'!C212,"")</f>
        <v>B48</v>
      </c>
      <c r="D212" s="888" t="str">
        <f>IF(LEN('Translation-EN'!D212)&gt;0,'Translation-EN'!D212,"")</f>
        <v/>
      </c>
      <c r="E212" s="893" t="str">
        <f>$E$193</f>
        <v>BÉTON –25 MPa ou moins</v>
      </c>
      <c r="I212" s="888"/>
      <c r="J212" s="888"/>
      <c r="K212" s="888"/>
      <c r="L212" s="888"/>
      <c r="M212" s="888"/>
      <c r="N212" s="888"/>
      <c r="O212" s="888"/>
      <c r="P212" s="888"/>
      <c r="Q212" s="888"/>
      <c r="R212" s="888"/>
    </row>
    <row r="213" spans="1:18" s="893" customFormat="1" x14ac:dyDescent="0.3">
      <c r="A213" s="888" t="str">
        <f>IF(LEN('Translation-EN'!A213)&gt;0,'Translation-EN'!A213,"")</f>
        <v>Range</v>
      </c>
      <c r="B213" s="888" t="str">
        <f>IF(LEN('Translation-EN'!B213)&gt;0,'Translation-EN'!B213,"")</f>
        <v>Footings &amp; Slabs</v>
      </c>
      <c r="C213" s="888" t="str">
        <f>IF(LEN('Translation-EN'!C213)&gt;0,'Translation-EN'!C213,"")</f>
        <v>A49</v>
      </c>
      <c r="D213" s="888" t="str">
        <f>IF(LEN('Translation-EN'!D213)&gt;0,'Translation-EN'!D213,"")</f>
        <v/>
      </c>
      <c r="E213" s="893" t="str">
        <f>$E$194</f>
        <v>Les spécifications du mélange de béton font une grande différence dans l’empreinte carbone. Les spécifications du mélange présentées ici peuvent être utilisées pour discuter des options de mélange à faible teneur en carbone avec votre fournisseur.</v>
      </c>
      <c r="I213" s="888"/>
      <c r="J213" s="888"/>
      <c r="K213" s="888"/>
      <c r="L213" s="888"/>
      <c r="M213" s="888"/>
      <c r="N213" s="888"/>
      <c r="O213" s="888"/>
      <c r="P213" s="888"/>
      <c r="Q213" s="888"/>
      <c r="R213" s="888"/>
    </row>
    <row r="214" spans="1:18" s="893" customFormat="1" x14ac:dyDescent="0.3">
      <c r="A214" s="888" t="str">
        <f>IF(LEN('Translation-EN'!A214)&gt;0,'Translation-EN'!A214,"")</f>
        <v>Range</v>
      </c>
      <c r="B214" s="888" t="str">
        <f>IF(LEN('Translation-EN'!B214)&gt;0,'Translation-EN'!B214,"")</f>
        <v>Footings &amp; Slabs</v>
      </c>
      <c r="C214" s="888" t="str">
        <f>IF(LEN('Translation-EN'!C214)&gt;0,'Translation-EN'!C214,"")</f>
        <v>B56</v>
      </c>
      <c r="D214" s="888" t="str">
        <f>IF(LEN('Translation-EN'!D214)&gt;0,'Translation-EN'!D214,"")</f>
        <v/>
      </c>
      <c r="E214" s="893" t="str">
        <f>$E$195</f>
        <v>BÉTON –26-30 MPa</v>
      </c>
      <c r="I214" s="888"/>
      <c r="J214" s="888"/>
      <c r="K214" s="888"/>
      <c r="L214" s="888"/>
      <c r="M214" s="888"/>
      <c r="N214" s="888"/>
      <c r="O214" s="888"/>
      <c r="P214" s="888"/>
      <c r="Q214" s="888"/>
      <c r="R214" s="888"/>
    </row>
    <row r="215" spans="1:18" s="893" customFormat="1" x14ac:dyDescent="0.3">
      <c r="A215" s="888" t="str">
        <f>IF(LEN('Translation-EN'!A215)&gt;0,'Translation-EN'!A215,"")</f>
        <v>Range</v>
      </c>
      <c r="B215" s="888" t="str">
        <f>IF(LEN('Translation-EN'!B215)&gt;0,'Translation-EN'!B215,"")</f>
        <v>Footings &amp; Slabs</v>
      </c>
      <c r="C215" s="888" t="str">
        <f>IF(LEN('Translation-EN'!C215)&gt;0,'Translation-EN'!C215,"")</f>
        <v>A57</v>
      </c>
      <c r="D215" s="888" t="str">
        <f>IF(LEN('Translation-EN'!D215)&gt;0,'Translation-EN'!D215,"")</f>
        <v/>
      </c>
      <c r="E215" s="893" t="str">
        <f>$E$194</f>
        <v>Les spécifications du mélange de béton font une grande différence dans l’empreinte carbone. Les spécifications du mélange présentées ici peuvent être utilisées pour discuter des options de mélange à faible teneur en carbone avec votre fournisseur.</v>
      </c>
      <c r="I215" s="888"/>
      <c r="J215" s="888"/>
      <c r="K215" s="888"/>
      <c r="L215" s="888"/>
      <c r="M215" s="888"/>
      <c r="N215" s="888"/>
      <c r="O215" s="888"/>
      <c r="P215" s="888"/>
      <c r="Q215" s="888"/>
      <c r="R215" s="888"/>
    </row>
    <row r="216" spans="1:18" s="893" customFormat="1" x14ac:dyDescent="0.3">
      <c r="A216" s="888" t="str">
        <f>IF(LEN('Translation-EN'!A216)&gt;0,'Translation-EN'!A216,"")</f>
        <v>Range</v>
      </c>
      <c r="B216" s="888" t="str">
        <f>IF(LEN('Translation-EN'!B216)&gt;0,'Translation-EN'!B216,"")</f>
        <v>Footings &amp; Slabs</v>
      </c>
      <c r="C216" s="888" t="str">
        <f>IF(LEN('Translation-EN'!C216)&gt;0,'Translation-EN'!C216,"")</f>
        <v>B64</v>
      </c>
      <c r="D216" s="888" t="str">
        <f>IF(LEN('Translation-EN'!D216)&gt;0,'Translation-EN'!D216,"")</f>
        <v/>
      </c>
      <c r="E216" s="893" t="str">
        <f>$E$197</f>
        <v>BÉTON –31-35 MPa</v>
      </c>
      <c r="I216" s="888"/>
      <c r="J216" s="888"/>
      <c r="K216" s="888"/>
      <c r="L216" s="888"/>
      <c r="M216" s="888"/>
      <c r="N216" s="888"/>
      <c r="O216" s="888"/>
      <c r="P216" s="888"/>
      <c r="Q216" s="888"/>
      <c r="R216" s="888"/>
    </row>
    <row r="217" spans="1:18" s="893" customFormat="1" x14ac:dyDescent="0.3">
      <c r="A217" s="888" t="str">
        <f>IF(LEN('Translation-EN'!A217)&gt;0,'Translation-EN'!A217,"")</f>
        <v>Range</v>
      </c>
      <c r="B217" s="888" t="str">
        <f>IF(LEN('Translation-EN'!B217)&gt;0,'Translation-EN'!B217,"")</f>
        <v>Footings &amp; Slabs</v>
      </c>
      <c r="C217" s="888" t="str">
        <f>IF(LEN('Translation-EN'!C217)&gt;0,'Translation-EN'!C217,"")</f>
        <v>A65</v>
      </c>
      <c r="D217" s="888" t="str">
        <f>IF(LEN('Translation-EN'!D217)&gt;0,'Translation-EN'!D217,"")</f>
        <v/>
      </c>
      <c r="E217" s="893" t="str">
        <f>$E$194</f>
        <v>Les spécifications du mélange de béton font une grande différence dans l’empreinte carbone. Les spécifications du mélange présentées ici peuvent être utilisées pour discuter des options de mélange à faible teneur en carbone avec votre fournisseur.</v>
      </c>
      <c r="I217" s="888"/>
      <c r="J217" s="888"/>
      <c r="K217" s="888"/>
      <c r="L217" s="888"/>
      <c r="M217" s="888"/>
      <c r="N217" s="888"/>
      <c r="O217" s="888"/>
      <c r="P217" s="888"/>
      <c r="Q217" s="888"/>
      <c r="R217" s="888"/>
    </row>
    <row r="218" spans="1:18" s="893" customFormat="1" x14ac:dyDescent="0.3">
      <c r="A218" s="888" t="str">
        <f>IF(LEN('Translation-EN'!A218)&gt;0,'Translation-EN'!A218,"")</f>
        <v>Range</v>
      </c>
      <c r="B218" s="888" t="str">
        <f>IF(LEN('Translation-EN'!B218)&gt;0,'Translation-EN'!B218,"")</f>
        <v>Footings &amp; Slabs</v>
      </c>
      <c r="C218" s="888" t="str">
        <f>IF(LEN('Translation-EN'!C218)&gt;0,'Translation-EN'!C218,"")</f>
        <v>A72</v>
      </c>
      <c r="D218" s="888" t="str">
        <f>IF(LEN('Translation-EN'!D218)&gt;0,'Translation-EN'!D218,"")</f>
        <v/>
      </c>
      <c r="E218" s="893" t="s">
        <v>2867</v>
      </c>
      <c r="I218" s="888"/>
      <c r="J218" s="888"/>
      <c r="K218" s="888"/>
      <c r="L218" s="888"/>
      <c r="M218" s="888"/>
      <c r="N218" s="888"/>
      <c r="O218" s="888"/>
      <c r="P218" s="888"/>
      <c r="Q218" s="888"/>
      <c r="R218" s="888"/>
    </row>
    <row r="219" spans="1:18" s="893" customFormat="1" x14ac:dyDescent="0.3">
      <c r="A219" s="888" t="str">
        <f>IF(LEN('Translation-EN'!A219)&gt;0,'Translation-EN'!A219,"")</f>
        <v>Range</v>
      </c>
      <c r="B219" s="888" t="str">
        <f>IF(LEN('Translation-EN'!B219)&gt;0,'Translation-EN'!B219,"")</f>
        <v>Footings &amp; Slabs</v>
      </c>
      <c r="C219" s="888" t="str">
        <f>IF(LEN('Translation-EN'!C219)&gt;0,'Translation-EN'!C219,"")</f>
        <v>B73</v>
      </c>
      <c r="D219" s="888" t="str">
        <f>IF(LEN('Translation-EN'!D219)&gt;0,'Translation-EN'!D219,"")</f>
        <v/>
      </c>
      <c r="E219" s="893" t="s">
        <v>2868</v>
      </c>
      <c r="I219" s="888"/>
      <c r="J219" s="888"/>
      <c r="K219" s="888"/>
      <c r="L219" s="888"/>
      <c r="M219" s="888"/>
      <c r="N219" s="888"/>
      <c r="O219" s="888"/>
      <c r="P219" s="888"/>
      <c r="Q219" s="888"/>
      <c r="R219" s="888"/>
    </row>
    <row r="220" spans="1:18" s="893" customFormat="1" x14ac:dyDescent="0.3">
      <c r="A220" s="888" t="str">
        <f>IF(LEN('Translation-EN'!A220)&gt;0,'Translation-EN'!A220,"")</f>
        <v>Range</v>
      </c>
      <c r="B220" s="888" t="str">
        <f>IF(LEN('Translation-EN'!B220)&gt;0,'Translation-EN'!B220,"")</f>
        <v>Footings &amp; Slabs</v>
      </c>
      <c r="C220" s="888" t="str">
        <f>IF(LEN('Translation-EN'!C220)&gt;0,'Translation-EN'!C220,"")</f>
        <v>A75</v>
      </c>
      <c r="D220" s="888" t="str">
        <f>IF(LEN('Translation-EN'!D220)&gt;0,'Translation-EN'!D220,"")</f>
        <v/>
      </c>
      <c r="E220" s="893" t="s">
        <v>2869</v>
      </c>
      <c r="I220" s="888"/>
      <c r="J220" s="888"/>
      <c r="K220" s="888"/>
      <c r="L220" s="888"/>
      <c r="M220" s="888"/>
      <c r="N220" s="888"/>
      <c r="O220" s="888"/>
      <c r="P220" s="888"/>
      <c r="Q220" s="888"/>
      <c r="R220" s="888"/>
    </row>
    <row r="221" spans="1:18" s="893" customFormat="1" x14ac:dyDescent="0.3">
      <c r="A221" s="888" t="str">
        <f>IF(LEN('Translation-EN'!A221)&gt;0,'Translation-EN'!A221,"")</f>
        <v>Range</v>
      </c>
      <c r="B221" s="888" t="str">
        <f>IF(LEN('Translation-EN'!B221)&gt;0,'Translation-EN'!B221,"")</f>
        <v>Footings &amp; Slabs</v>
      </c>
      <c r="C221" s="888" t="str">
        <f>IF(LEN('Translation-EN'!C221)&gt;0,'Translation-EN'!C221,"")</f>
        <v>B76</v>
      </c>
      <c r="D221" s="888" t="str">
        <f>IF(LEN('Translation-EN'!D221)&gt;0,'Translation-EN'!D221,"")</f>
        <v/>
      </c>
      <c r="E221" s="893" t="s">
        <v>2870</v>
      </c>
      <c r="I221" s="888"/>
      <c r="J221" s="888"/>
      <c r="K221" s="888"/>
      <c r="L221" s="888"/>
      <c r="M221" s="888"/>
      <c r="N221" s="888"/>
      <c r="O221" s="888"/>
      <c r="P221" s="888"/>
      <c r="Q221" s="888"/>
      <c r="R221" s="888"/>
    </row>
    <row r="222" spans="1:18" s="893" customFormat="1" x14ac:dyDescent="0.3">
      <c r="A222" s="888" t="str">
        <f>IF(LEN('Translation-EN'!A222)&gt;0,'Translation-EN'!A222,"")</f>
        <v>Range</v>
      </c>
      <c r="B222" s="888" t="str">
        <f>IF(LEN('Translation-EN'!B222)&gt;0,'Translation-EN'!B222,"")</f>
        <v>Footings &amp; Slabs</v>
      </c>
      <c r="C222" s="888" t="str">
        <f>IF(LEN('Translation-EN'!C222)&gt;0,'Translation-EN'!C222,"")</f>
        <v>C77</v>
      </c>
      <c r="D222" s="888" t="str">
        <f>IF(LEN('Translation-EN'!D222)&gt;0,'Translation-EN'!D222,"")</f>
        <v/>
      </c>
      <c r="E222" s="893" t="s">
        <v>2871</v>
      </c>
      <c r="I222" s="888"/>
      <c r="J222" s="888"/>
      <c r="K222" s="888"/>
      <c r="L222" s="888"/>
      <c r="M222" s="888"/>
      <c r="N222" s="888"/>
      <c r="O222" s="888"/>
      <c r="P222" s="888"/>
      <c r="Q222" s="888"/>
      <c r="R222" s="888"/>
    </row>
    <row r="223" spans="1:18" s="893" customFormat="1" x14ac:dyDescent="0.3">
      <c r="A223" s="888" t="str">
        <f>IF(LEN('Translation-EN'!A223)&gt;0,'Translation-EN'!A223,"")</f>
        <v>Range</v>
      </c>
      <c r="B223" s="888" t="str">
        <f>IF(LEN('Translation-EN'!B223)&gt;0,'Translation-EN'!B223,"")</f>
        <v>Footings &amp; Slabs</v>
      </c>
      <c r="C223" s="888" t="str">
        <f>IF(LEN('Translation-EN'!C223)&gt;0,'Translation-EN'!C223,"")</f>
        <v>B86</v>
      </c>
      <c r="D223" s="888" t="str">
        <f>IF(LEN('Translation-EN'!D223)&gt;0,'Translation-EN'!D223,"")</f>
        <v/>
      </c>
      <c r="E223" s="893" t="s">
        <v>2872</v>
      </c>
      <c r="I223" s="888"/>
      <c r="J223" s="888"/>
      <c r="K223" s="888"/>
      <c r="L223" s="888"/>
      <c r="M223" s="888"/>
      <c r="N223" s="888"/>
      <c r="O223" s="888"/>
      <c r="P223" s="888"/>
      <c r="Q223" s="888"/>
      <c r="R223" s="888"/>
    </row>
    <row r="224" spans="1:18" s="893" customFormat="1" x14ac:dyDescent="0.3">
      <c r="A224" s="888" t="str">
        <f>IF(LEN('Translation-EN'!A224)&gt;0,'Translation-EN'!A224,"")</f>
        <v>Range</v>
      </c>
      <c r="B224" s="888" t="str">
        <f>IF(LEN('Translation-EN'!B224)&gt;0,'Translation-EN'!B224,"")</f>
        <v>Footings &amp; Slabs</v>
      </c>
      <c r="C224" s="888" t="str">
        <f>IF(LEN('Translation-EN'!C224)&gt;0,'Translation-EN'!C224,"")</f>
        <v>C87</v>
      </c>
      <c r="D224" s="888" t="str">
        <f>IF(LEN('Translation-EN'!D224)&gt;0,'Translation-EN'!D224,"")</f>
        <v/>
      </c>
      <c r="E224" s="1015" t="s">
        <v>4024</v>
      </c>
      <c r="I224" s="888"/>
      <c r="J224" s="888"/>
      <c r="K224" s="888"/>
      <c r="L224" s="888"/>
      <c r="M224" s="888"/>
      <c r="N224" s="888"/>
      <c r="O224" s="888"/>
      <c r="P224" s="888"/>
      <c r="Q224" s="888"/>
      <c r="R224" s="888"/>
    </row>
    <row r="225" spans="1:18" s="893" customFormat="1" x14ac:dyDescent="0.3">
      <c r="A225" s="888" t="str">
        <f>IF(LEN('Translation-EN'!A225)&gt;0,'Translation-EN'!A225,"")</f>
        <v>Range</v>
      </c>
      <c r="B225" s="888" t="str">
        <f>IF(LEN('Translation-EN'!B225)&gt;0,'Translation-EN'!B225,"")</f>
        <v>Footings &amp; Slabs</v>
      </c>
      <c r="C225" s="888" t="str">
        <f>IF(LEN('Translation-EN'!C225)&gt;0,'Translation-EN'!C225,"")</f>
        <v>B91</v>
      </c>
      <c r="D225" s="888" t="str">
        <f>IF(LEN('Translation-EN'!D225)&gt;0,'Translation-EN'!D225,"")</f>
        <v/>
      </c>
      <c r="E225" s="893" t="s">
        <v>2873</v>
      </c>
      <c r="I225" s="888"/>
      <c r="J225" s="888"/>
      <c r="K225" s="888"/>
      <c r="L225" s="888"/>
      <c r="M225" s="888"/>
      <c r="N225" s="888"/>
      <c r="O225" s="888"/>
      <c r="P225" s="888"/>
      <c r="Q225" s="888"/>
      <c r="R225" s="888"/>
    </row>
    <row r="226" spans="1:18" s="893" customFormat="1" x14ac:dyDescent="0.3">
      <c r="A226" s="888" t="str">
        <f>IF(LEN('Translation-EN'!A226)&gt;0,'Translation-EN'!A226,"")</f>
        <v>Range</v>
      </c>
      <c r="B226" s="888" t="str">
        <f>IF(LEN('Translation-EN'!B226)&gt;0,'Translation-EN'!B226,"")</f>
        <v>Footings &amp; Slabs</v>
      </c>
      <c r="C226" s="888" t="str">
        <f>IF(LEN('Translation-EN'!C226)&gt;0,'Translation-EN'!C226,"")</f>
        <v>C92</v>
      </c>
      <c r="D226" s="888" t="str">
        <f>IF(LEN('Translation-EN'!D226)&gt;0,'Translation-EN'!D226,"")</f>
        <v/>
      </c>
      <c r="E226" s="893" t="s">
        <v>2981</v>
      </c>
      <c r="I226" s="888"/>
      <c r="J226" s="888"/>
      <c r="K226" s="888"/>
      <c r="L226" s="888"/>
      <c r="M226" s="888"/>
      <c r="N226" s="888"/>
      <c r="O226" s="888"/>
      <c r="P226" s="888"/>
      <c r="Q226" s="888"/>
      <c r="R226" s="888"/>
    </row>
    <row r="227" spans="1:18" s="893" customFormat="1" x14ac:dyDescent="0.3">
      <c r="A227" s="888" t="str">
        <f>IF(LEN('Translation-EN'!A227)&gt;0,'Translation-EN'!A227,"")</f>
        <v>Range</v>
      </c>
      <c r="B227" s="888" t="str">
        <f>IF(LEN('Translation-EN'!B227)&gt;0,'Translation-EN'!B227,"")</f>
        <v>Footings &amp; Slabs</v>
      </c>
      <c r="C227" s="888" t="str">
        <f>IF(LEN('Translation-EN'!C227)&gt;0,'Translation-EN'!C227,"")</f>
        <v>B97</v>
      </c>
      <c r="D227" s="888" t="str">
        <f>IF(LEN('Translation-EN'!D227)&gt;0,'Translation-EN'!D227,"")</f>
        <v/>
      </c>
      <c r="E227" s="893" t="s">
        <v>2874</v>
      </c>
      <c r="I227" s="888"/>
      <c r="J227" s="888"/>
      <c r="K227" s="888"/>
      <c r="L227" s="888"/>
      <c r="M227" s="888"/>
      <c r="N227" s="888"/>
      <c r="O227" s="888"/>
      <c r="P227" s="888"/>
      <c r="Q227" s="888"/>
      <c r="R227" s="888"/>
    </row>
    <row r="228" spans="1:18" s="893" customFormat="1" x14ac:dyDescent="0.3">
      <c r="A228" s="888" t="str">
        <f>IF(LEN('Translation-EN'!A228)&gt;0,'Translation-EN'!A228,"")</f>
        <v>Range</v>
      </c>
      <c r="B228" s="888" t="str">
        <f>IF(LEN('Translation-EN'!B228)&gt;0,'Translation-EN'!B228,"")</f>
        <v>_Footings &amp; Slabs</v>
      </c>
      <c r="C228" s="888" t="str">
        <f>IF(LEN('Translation-EN'!C228)&gt;0,'Translation-EN'!C228,"")</f>
        <v>C102</v>
      </c>
      <c r="D228" s="888" t="str">
        <f>IF(LEN('Translation-EN'!D228)&gt;0,'Translation-EN'!D228,"")</f>
        <v/>
      </c>
      <c r="E228" s="893" t="s">
        <v>2875</v>
      </c>
      <c r="I228" s="888"/>
      <c r="J228" s="888"/>
      <c r="K228" s="888"/>
      <c r="L228" s="888"/>
      <c r="M228" s="888"/>
      <c r="N228" s="888"/>
      <c r="O228" s="888"/>
      <c r="P228" s="888"/>
      <c r="Q228" s="888"/>
      <c r="R228" s="888"/>
    </row>
    <row r="229" spans="1:18" s="893" customFormat="1" x14ac:dyDescent="0.3">
      <c r="A229" s="888" t="str">
        <f>IF(LEN('Translation-EN'!A229)&gt;0,'Translation-EN'!A229,"")</f>
        <v>Range</v>
      </c>
      <c r="B229" s="888" t="str">
        <f>IF(LEN('Translation-EN'!B229)&gt;0,'Translation-EN'!B229,"")</f>
        <v>Footings &amp; Slabs</v>
      </c>
      <c r="C229" s="888" t="str">
        <f>IF(LEN('Translation-EN'!C229)&gt;0,'Translation-EN'!C229,"")</f>
        <v>B99</v>
      </c>
      <c r="D229" s="888" t="str">
        <f>IF(LEN('Translation-EN'!D229)&gt;0,'Translation-EN'!D229,"")</f>
        <v/>
      </c>
      <c r="E229" s="893" t="s">
        <v>2876</v>
      </c>
      <c r="I229" s="888"/>
      <c r="J229" s="888"/>
      <c r="K229" s="888"/>
      <c r="L229" s="888"/>
      <c r="M229" s="888"/>
      <c r="N229" s="888"/>
      <c r="O229" s="888"/>
      <c r="P229" s="888"/>
      <c r="Q229" s="888"/>
      <c r="R229" s="888"/>
    </row>
    <row r="230" spans="1:18" s="893" customFormat="1" x14ac:dyDescent="0.3">
      <c r="A230" s="888" t="str">
        <f>IF(LEN('Translation-EN'!A230)&gt;0,'Translation-EN'!A230,"")</f>
        <v>Range</v>
      </c>
      <c r="B230" s="888" t="str">
        <f>IF(LEN('Translation-EN'!B230)&gt;0,'Translation-EN'!B230,"")</f>
        <v>Footings &amp; Slabs</v>
      </c>
      <c r="C230" s="888" t="str">
        <f>IF(LEN('Translation-EN'!C230)&gt;0,'Translation-EN'!C230,"")</f>
        <v>C100</v>
      </c>
      <c r="D230" s="888" t="str">
        <f>IF(LEN('Translation-EN'!D230)&gt;0,'Translation-EN'!D230,"")</f>
        <v/>
      </c>
      <c r="E230" s="893" t="s">
        <v>2877</v>
      </c>
      <c r="I230" s="888"/>
      <c r="J230" s="888"/>
      <c r="K230" s="888"/>
      <c r="L230" s="888"/>
      <c r="M230" s="888"/>
      <c r="N230" s="888"/>
      <c r="O230" s="888"/>
      <c r="P230" s="888"/>
      <c r="Q230" s="888"/>
      <c r="R230" s="888"/>
    </row>
    <row r="231" spans="1:18" s="893" customFormat="1" x14ac:dyDescent="0.3">
      <c r="A231" s="888" t="str">
        <f>IF(LEN('Translation-EN'!A231)&gt;0,'Translation-EN'!A231,"")</f>
        <v>Range</v>
      </c>
      <c r="B231" s="888" t="str">
        <f>IF(LEN('Translation-EN'!B231)&gt;0,'Translation-EN'!B231,"")</f>
        <v>Footings &amp; Slabs</v>
      </c>
      <c r="C231" s="888" t="str">
        <f>IF(LEN('Translation-EN'!C231)&gt;0,'Translation-EN'!C231,"")</f>
        <v>B105</v>
      </c>
      <c r="D231" s="888" t="str">
        <f>IF(LEN('Translation-EN'!D231)&gt;0,'Translation-EN'!D231,"")</f>
        <v/>
      </c>
      <c r="E231" s="893" t="s">
        <v>2878</v>
      </c>
      <c r="I231" s="888"/>
      <c r="J231" s="888"/>
      <c r="K231" s="888"/>
      <c r="L231" s="888"/>
      <c r="M231" s="888"/>
      <c r="N231" s="888"/>
      <c r="O231" s="888"/>
      <c r="P231" s="888"/>
      <c r="Q231" s="888"/>
      <c r="R231" s="888"/>
    </row>
    <row r="232" spans="1:18" s="893" customFormat="1" x14ac:dyDescent="0.3">
      <c r="A232" s="888" t="str">
        <f>IF(LEN('Translation-EN'!A232)&gt;0,'Translation-EN'!A232,"")</f>
        <v>Range</v>
      </c>
      <c r="B232" s="888" t="str">
        <f>IF(LEN('Translation-EN'!B232)&gt;0,'Translation-EN'!B232,"")</f>
        <v>Footings &amp; Slabs</v>
      </c>
      <c r="C232" s="888" t="str">
        <f>IF(LEN('Translation-EN'!C232)&gt;0,'Translation-EN'!C232,"")</f>
        <v>A107</v>
      </c>
      <c r="D232" s="888" t="str">
        <f>IF(LEN('Translation-EN'!D232)&gt;0,'Translation-EN'!D232,"")</f>
        <v/>
      </c>
      <c r="E232" s="893" t="s">
        <v>5040</v>
      </c>
      <c r="I232" s="888"/>
      <c r="J232" s="888"/>
      <c r="K232" s="888"/>
      <c r="L232" s="888"/>
      <c r="M232" s="888"/>
      <c r="N232" s="888"/>
      <c r="O232" s="888"/>
      <c r="P232" s="888"/>
      <c r="Q232" s="888"/>
      <c r="R232" s="888"/>
    </row>
    <row r="233" spans="1:18" s="893" customFormat="1" x14ac:dyDescent="0.3">
      <c r="A233" s="888" t="str">
        <f>IF(LEN('Translation-EN'!A233)&gt;0,'Translation-EN'!A233,"")</f>
        <v>Range</v>
      </c>
      <c r="B233" s="888" t="str">
        <f>IF(LEN('Translation-EN'!B233)&gt;0,'Translation-EN'!B233,"")</f>
        <v>Footings &amp; Slabs</v>
      </c>
      <c r="C233" s="888" t="str">
        <f>IF(LEN('Translation-EN'!C233)&gt;0,'Translation-EN'!C233,"")</f>
        <v>B108</v>
      </c>
      <c r="D233" s="888" t="str">
        <f>IF(LEN('Translation-EN'!D233)&gt;0,'Translation-EN'!D233,"")</f>
        <v/>
      </c>
      <c r="E233" s="893" t="s">
        <v>5041</v>
      </c>
      <c r="I233" s="888"/>
      <c r="J233" s="888"/>
      <c r="K233" s="888"/>
      <c r="L233" s="888"/>
      <c r="M233" s="888"/>
      <c r="N233" s="888"/>
      <c r="O233" s="888"/>
      <c r="P233" s="888"/>
      <c r="Q233" s="888"/>
      <c r="R233" s="888"/>
    </row>
    <row r="234" spans="1:18" s="893" customFormat="1" x14ac:dyDescent="0.3">
      <c r="A234" s="888" t="str">
        <f>IF(LEN('Translation-EN'!A234)&gt;0,'Translation-EN'!A234,"")</f>
        <v>Range</v>
      </c>
      <c r="B234" s="888" t="str">
        <f>IF(LEN('Translation-EN'!B234)&gt;0,'Translation-EN'!B234,"")</f>
        <v>Footings &amp; Slabs</v>
      </c>
      <c r="C234" s="888" t="str">
        <f>IF(LEN('Translation-EN'!C234)&gt;0,'Translation-EN'!C234,"")</f>
        <v>B111</v>
      </c>
      <c r="D234" s="888" t="str">
        <f>IF(LEN('Translation-EN'!D234)&gt;0,'Translation-EN'!D234,"")</f>
        <v/>
      </c>
      <c r="E234" s="893" t="s">
        <v>5042</v>
      </c>
      <c r="I234" s="888"/>
      <c r="J234" s="888"/>
      <c r="K234" s="888"/>
      <c r="L234" s="888"/>
      <c r="M234" s="888"/>
      <c r="N234" s="888"/>
      <c r="O234" s="888"/>
      <c r="P234" s="888"/>
      <c r="Q234" s="888"/>
      <c r="R234" s="888"/>
    </row>
    <row r="235" spans="1:18" s="893" customFormat="1" x14ac:dyDescent="0.3">
      <c r="A235" s="888" t="str">
        <f>IF(LEN('Translation-EN'!A235)&gt;0,'Translation-EN'!A235,"")</f>
        <v>Range</v>
      </c>
      <c r="B235" s="888" t="str">
        <f>IF(LEN('Translation-EN'!B235)&gt;0,'Translation-EN'!B235,"")</f>
        <v>Footings &amp; Slabs</v>
      </c>
      <c r="C235" s="888" t="str">
        <f>IF(LEN('Translation-EN'!C235)&gt;0,'Translation-EN'!C235,"")</f>
        <v>A113</v>
      </c>
      <c r="D235" s="888" t="str">
        <f>IF(LEN('Translation-EN'!D235)&gt;0,'Translation-EN'!D235,"")</f>
        <v/>
      </c>
      <c r="E235" s="893" t="s">
        <v>2879</v>
      </c>
      <c r="I235" s="888"/>
      <c r="J235" s="888"/>
      <c r="K235" s="888"/>
      <c r="L235" s="888"/>
      <c r="M235" s="888"/>
      <c r="N235" s="888"/>
      <c r="O235" s="888"/>
      <c r="P235" s="888"/>
      <c r="Q235" s="888"/>
      <c r="R235" s="888"/>
    </row>
    <row r="236" spans="1:18" s="893" customFormat="1" x14ac:dyDescent="0.3">
      <c r="A236" s="888" t="str">
        <f>IF(LEN('Translation-EN'!A236)&gt;0,'Translation-EN'!A236,"")</f>
        <v>Range</v>
      </c>
      <c r="B236" s="888" t="str">
        <f>IF(LEN('Translation-EN'!B236)&gt;0,'Translation-EN'!B236,"")</f>
        <v>Footings &amp; Slabs</v>
      </c>
      <c r="C236" s="888" t="str">
        <f>IF(LEN('Translation-EN'!C236)&gt;0,'Translation-EN'!C236,"")</f>
        <v>B114</v>
      </c>
      <c r="D236" s="888" t="str">
        <f>IF(LEN('Translation-EN'!D236)&gt;0,'Translation-EN'!D236,"")</f>
        <v/>
      </c>
      <c r="E236" s="893" t="s">
        <v>2880</v>
      </c>
      <c r="I236" s="888"/>
      <c r="J236" s="888"/>
      <c r="K236" s="888"/>
      <c r="L236" s="888"/>
      <c r="M236" s="888"/>
      <c r="N236" s="888"/>
      <c r="O236" s="888"/>
      <c r="P236" s="888"/>
      <c r="Q236" s="888"/>
      <c r="R236" s="888"/>
    </row>
    <row r="237" spans="1:18" s="893" customFormat="1" x14ac:dyDescent="0.3">
      <c r="A237" s="888" t="str">
        <f>IF(LEN('Translation-EN'!A237)&gt;0,'Translation-EN'!A237,"")</f>
        <v>Range</v>
      </c>
      <c r="B237" s="888" t="str">
        <f>IF(LEN('Translation-EN'!B237)&gt;0,'Translation-EN'!B237,"")</f>
        <v>Footings &amp; Slabs</v>
      </c>
      <c r="C237" s="888" t="str">
        <f>IF(LEN('Translation-EN'!C237)&gt;0,'Translation-EN'!C237,"")</f>
        <v>C115</v>
      </c>
      <c r="D237" s="888" t="str">
        <f>IF(LEN('Translation-EN'!D237)&gt;0,'Translation-EN'!D237,"")</f>
        <v/>
      </c>
      <c r="E237" s="893" t="s">
        <v>2881</v>
      </c>
      <c r="I237" s="888"/>
      <c r="J237" s="888"/>
      <c r="K237" s="888"/>
      <c r="L237" s="888"/>
      <c r="M237" s="888"/>
      <c r="N237" s="888"/>
      <c r="O237" s="888"/>
      <c r="P237" s="888"/>
      <c r="Q237" s="888"/>
      <c r="R237" s="888"/>
    </row>
    <row r="238" spans="1:18" s="893" customFormat="1" x14ac:dyDescent="0.3">
      <c r="A238" s="888" t="str">
        <f>IF(LEN('Translation-EN'!A238)&gt;0,'Translation-EN'!A238,"")</f>
        <v>Range</v>
      </c>
      <c r="B238" s="888" t="str">
        <f>IF(LEN('Translation-EN'!B238)&gt;0,'Translation-EN'!B238,"")</f>
        <v>Footings &amp; Slabs</v>
      </c>
      <c r="C238" s="888" t="str">
        <f>IF(LEN('Translation-EN'!C238)&gt;0,'Translation-EN'!C238,"")</f>
        <v>B119</v>
      </c>
      <c r="D238" s="888" t="str">
        <f>IF(LEN('Translation-EN'!D238)&gt;0,'Translation-EN'!D238,"")</f>
        <v/>
      </c>
      <c r="E238" s="893" t="s">
        <v>2882</v>
      </c>
      <c r="I238" s="888"/>
      <c r="J238" s="888"/>
      <c r="K238" s="888"/>
      <c r="L238" s="888"/>
      <c r="M238" s="888"/>
      <c r="N238" s="888"/>
      <c r="O238" s="888"/>
      <c r="P238" s="888"/>
      <c r="Q238" s="888"/>
      <c r="R238" s="888"/>
    </row>
    <row r="239" spans="1:18" s="893" customFormat="1" x14ac:dyDescent="0.3">
      <c r="A239" s="888" t="str">
        <f>IF(LEN('Translation-EN'!A239)&gt;0,'Translation-EN'!A239,"")</f>
        <v>Range</v>
      </c>
      <c r="B239" s="888" t="str">
        <f>IF(LEN('Translation-EN'!B239)&gt;0,'Translation-EN'!B239,"")</f>
        <v>Footings &amp; Slabs</v>
      </c>
      <c r="C239" s="888" t="str">
        <f>IF(LEN('Translation-EN'!C239)&gt;0,'Translation-EN'!C239,"")</f>
        <v>C121</v>
      </c>
      <c r="D239" s="888" t="str">
        <f>IF(LEN('Translation-EN'!D239)&gt;0,'Translation-EN'!D239,"")</f>
        <v/>
      </c>
      <c r="E239" s="893" t="s">
        <v>2883</v>
      </c>
      <c r="I239" s="888"/>
      <c r="J239" s="888"/>
      <c r="K239" s="888"/>
      <c r="L239" s="888"/>
      <c r="M239" s="888"/>
      <c r="N239" s="888"/>
      <c r="O239" s="888"/>
      <c r="P239" s="888"/>
      <c r="Q239" s="888"/>
      <c r="R239" s="888"/>
    </row>
    <row r="240" spans="1:18" s="893" customFormat="1" x14ac:dyDescent="0.3">
      <c r="A240" s="888" t="str">
        <f>IF(LEN('Translation-EN'!A240)&gt;0,'Translation-EN'!A240,"")</f>
        <v>Range</v>
      </c>
      <c r="B240" s="888" t="str">
        <f>IF(LEN('Translation-EN'!B240)&gt;0,'Translation-EN'!B240,"")</f>
        <v>Footings &amp; Slabs</v>
      </c>
      <c r="C240" s="888" t="str">
        <f>IF(LEN('Translation-EN'!C240)&gt;0,'Translation-EN'!C240,"")</f>
        <v>C125</v>
      </c>
      <c r="D240" s="888" t="str">
        <f>IF(LEN('Translation-EN'!D240)&gt;0,'Translation-EN'!D240,"")</f>
        <v/>
      </c>
      <c r="E240" s="893" t="s">
        <v>5043</v>
      </c>
      <c r="I240" s="888"/>
      <c r="J240" s="888"/>
      <c r="K240" s="888"/>
      <c r="L240" s="888"/>
      <c r="M240" s="888"/>
      <c r="N240" s="888"/>
      <c r="O240" s="888"/>
      <c r="P240" s="888"/>
      <c r="Q240" s="888"/>
      <c r="R240" s="888"/>
    </row>
    <row r="241" spans="1:19" s="893" customFormat="1" x14ac:dyDescent="0.3">
      <c r="A241" s="888" t="str">
        <f>IF(LEN('Translation-EN'!A241)&gt;0,'Translation-EN'!A241,"")</f>
        <v>Range</v>
      </c>
      <c r="B241" s="888" t="str">
        <f>IF(LEN('Translation-EN'!B241)&gt;0,'Translation-EN'!B241,"")</f>
        <v>Footings &amp; Slabs</v>
      </c>
      <c r="C241" s="888" t="str">
        <f>IF(LEN('Translation-EN'!C241)&gt;0,'Translation-EN'!C241,"")</f>
        <v>B128</v>
      </c>
      <c r="D241" s="888" t="str">
        <f>IF(LEN('Translation-EN'!D241)&gt;0,'Translation-EN'!D241,"")</f>
        <v/>
      </c>
      <c r="E241" s="893" t="s">
        <v>2884</v>
      </c>
      <c r="I241" s="888"/>
      <c r="J241" s="888"/>
      <c r="K241" s="888"/>
      <c r="L241" s="888"/>
      <c r="M241" s="888"/>
      <c r="N241" s="888"/>
      <c r="O241" s="888"/>
      <c r="P241" s="888"/>
      <c r="Q241" s="888"/>
      <c r="R241" s="888"/>
    </row>
    <row r="242" spans="1:19" s="893" customFormat="1" x14ac:dyDescent="0.3">
      <c r="A242" s="888" t="str">
        <f>IF(LEN('Translation-EN'!A242)&gt;0,'Translation-EN'!A242,"")</f>
        <v>Range</v>
      </c>
      <c r="B242" s="888" t="str">
        <f>IF(LEN('Translation-EN'!B242)&gt;0,'Translation-EN'!B242,"")</f>
        <v>_Footings &amp; Slabs</v>
      </c>
      <c r="C242" s="888" t="str">
        <f>IF(LEN('Translation-EN'!C242)&gt;0,'Translation-EN'!C242,"")</f>
        <v>C135</v>
      </c>
      <c r="D242" s="888" t="str">
        <f>IF(LEN('Translation-EN'!D242)&gt;0,'Translation-EN'!D242,"")</f>
        <v/>
      </c>
      <c r="E242" s="893" t="s">
        <v>2885</v>
      </c>
      <c r="I242" s="888"/>
      <c r="J242" s="888"/>
      <c r="K242" s="888"/>
      <c r="L242" s="888"/>
      <c r="M242" s="888"/>
      <c r="N242" s="888"/>
      <c r="O242" s="888"/>
      <c r="P242" s="888"/>
      <c r="Q242" s="888"/>
      <c r="R242" s="888"/>
    </row>
    <row r="243" spans="1:19" s="893" customFormat="1" x14ac:dyDescent="0.3">
      <c r="A243" s="888" t="str">
        <f>IF(LEN('Translation-EN'!A243)&gt;0,'Translation-EN'!A243,"")</f>
        <v>Range</v>
      </c>
      <c r="B243" s="888" t="str">
        <f>IF(LEN('Translation-EN'!B243)&gt;0,'Translation-EN'!B243,"")</f>
        <v>Footings &amp; Slabs</v>
      </c>
      <c r="C243" s="888" t="str">
        <f>IF(LEN('Translation-EN'!C243)&gt;0,'Translation-EN'!C243,"")</f>
        <v>B130</v>
      </c>
      <c r="D243" s="888" t="str">
        <f>IF(LEN('Translation-EN'!D243)&gt;0,'Translation-EN'!D243,"")</f>
        <v/>
      </c>
      <c r="E243" s="893" t="s">
        <v>2886</v>
      </c>
      <c r="I243" s="888"/>
      <c r="J243" s="888"/>
      <c r="K243" s="888"/>
      <c r="L243" s="888"/>
      <c r="M243" s="888"/>
      <c r="N243" s="888"/>
      <c r="O243" s="888"/>
      <c r="P243" s="888"/>
      <c r="Q243" s="888"/>
      <c r="R243" s="888"/>
    </row>
    <row r="244" spans="1:19" x14ac:dyDescent="0.3">
      <c r="A244" s="888" t="str">
        <f>IF(LEN('Translation-EN'!A244)&gt;0,'Translation-EN'!A244,"")</f>
        <v>Range</v>
      </c>
      <c r="B244" s="888" t="str">
        <f>IF(LEN('Translation-EN'!B244)&gt;0,'Translation-EN'!B244,"")</f>
        <v>_Footings &amp; Slabs</v>
      </c>
      <c r="C244" s="888" t="str">
        <f>IF(LEN('Translation-EN'!C244)&gt;0,'Translation-EN'!C244,"")</f>
        <v>C141</v>
      </c>
      <c r="D244" s="888" t="str">
        <f>IF(LEN('Translation-EN'!D244)&gt;0,'Translation-EN'!D244,"")</f>
        <v/>
      </c>
      <c r="E244" s="893" t="s">
        <v>2887</v>
      </c>
    </row>
    <row r="245" spans="1:19" x14ac:dyDescent="0.3">
      <c r="A245" s="888" t="str">
        <f>IF(LEN('Translation-EN'!A245)&gt;0,'Translation-EN'!A245,"")</f>
        <v>Range</v>
      </c>
      <c r="B245" s="888" t="str">
        <f>IF(LEN('Translation-EN'!B245)&gt;0,'Translation-EN'!B245,"")</f>
        <v>Footings &amp; Slabs</v>
      </c>
      <c r="C245" s="888" t="str">
        <f>IF(LEN('Translation-EN'!C245)&gt;0,'Translation-EN'!C245,"")</f>
        <v>B132</v>
      </c>
      <c r="D245" s="888" t="str">
        <f>IF(LEN('Translation-EN'!D245)&gt;0,'Translation-EN'!D245,"")</f>
        <v/>
      </c>
      <c r="E245" s="893" t="s">
        <v>2888</v>
      </c>
    </row>
    <row r="246" spans="1:19" x14ac:dyDescent="0.3">
      <c r="A246" s="888" t="str">
        <f>IF(LEN('Translation-EN'!A246)&gt;0,'Translation-EN'!A246,"")</f>
        <v>Range</v>
      </c>
      <c r="B246" s="888" t="str">
        <f>IF(LEN('Translation-EN'!B246)&gt;0,'Translation-EN'!B246,"")</f>
        <v>Footings &amp; Slabs</v>
      </c>
      <c r="C246" s="888" t="str">
        <f>IF(LEN('Translation-EN'!C246)&gt;0,'Translation-EN'!C246,"")</f>
        <v>C133</v>
      </c>
      <c r="D246" s="888" t="str">
        <f>IF(LEN('Translation-EN'!D246)&gt;0,'Translation-EN'!D246,"")</f>
        <v/>
      </c>
      <c r="E246" s="893" t="s">
        <v>5044</v>
      </c>
    </row>
    <row r="247" spans="1:19" x14ac:dyDescent="0.3">
      <c r="A247" s="888" t="str">
        <f>IF(LEN('Translation-EN'!A247)&gt;0,'Translation-EN'!A247,"")</f>
        <v>Range</v>
      </c>
      <c r="B247" s="888" t="str">
        <f>IF(LEN('Translation-EN'!B247)&gt;0,'Translation-EN'!B247,"")</f>
        <v>Footings &amp; Slabs</v>
      </c>
      <c r="C247" s="888" t="str">
        <f>IF(LEN('Translation-EN'!C247)&gt;0,'Translation-EN'!C247,"")</f>
        <v>B139</v>
      </c>
      <c r="D247" s="888" t="str">
        <f>IF(LEN('Translation-EN'!D247)&gt;0,'Translation-EN'!D247,"")</f>
        <v/>
      </c>
      <c r="E247" s="893" t="s">
        <v>2889</v>
      </c>
    </row>
    <row r="248" spans="1:19" x14ac:dyDescent="0.3">
      <c r="A248" s="888" t="str">
        <f>IF(LEN('Translation-EN'!A248)&gt;0,'Translation-EN'!A248,"")</f>
        <v>Range</v>
      </c>
      <c r="B248" s="888" t="str">
        <f>IF(LEN('Translation-EN'!B248)&gt;0,'Translation-EN'!B248,"")</f>
        <v>Footings &amp; Slabs</v>
      </c>
      <c r="C248" s="888" t="str">
        <f>IF(LEN('Translation-EN'!C248)&gt;0,'Translation-EN'!C248,"")</f>
        <v>B141</v>
      </c>
      <c r="D248" s="888" t="str">
        <f>IF(LEN('Translation-EN'!D248)&gt;0,'Translation-EN'!D248,"")</f>
        <v/>
      </c>
      <c r="E248" s="893" t="s">
        <v>2890</v>
      </c>
    </row>
    <row r="249" spans="1:19" x14ac:dyDescent="0.3">
      <c r="A249" s="888" t="str">
        <f>IF(LEN('Translation-EN'!A249)&gt;0,'Translation-EN'!A249,"")</f>
        <v>Range</v>
      </c>
      <c r="B249" s="888" t="str">
        <f>IF(LEN('Translation-EN'!B249)&gt;0,'Translation-EN'!B249,"")</f>
        <v>_Footings &amp; Slabs</v>
      </c>
      <c r="C249" s="888" t="str">
        <f>IF(LEN('Translation-EN'!C249)&gt;0,'Translation-EN'!C249,"")</f>
        <v>B158</v>
      </c>
      <c r="D249" s="888" t="str">
        <f>IF(LEN('Translation-EN'!D249)&gt;0,'Translation-EN'!D249,"")</f>
        <v/>
      </c>
      <c r="E249" s="893" t="s">
        <v>2891</v>
      </c>
    </row>
    <row r="250" spans="1:19" x14ac:dyDescent="0.3">
      <c r="A250" s="888" t="str">
        <f>IF(LEN('Translation-EN'!A250)&gt;0,'Translation-EN'!A250,"")</f>
        <v>Range</v>
      </c>
      <c r="B250" s="888" t="str">
        <f>IF(LEN('Translation-EN'!B250)&gt;0,'Translation-EN'!B250,"")</f>
        <v>Foundation Walls</v>
      </c>
      <c r="C250" s="888" t="str">
        <f>IF(LEN('Translation-EN'!C250)&gt;0,'Translation-EN'!C250,"")</f>
        <v>A1</v>
      </c>
      <c r="D250" s="888" t="str">
        <f>IF(LEN('Translation-EN'!D250)&gt;0,'Translation-EN'!D250,"")</f>
        <v/>
      </c>
      <c r="E250" s="893" t="s">
        <v>2892</v>
      </c>
    </row>
    <row r="251" spans="1:19" x14ac:dyDescent="0.3">
      <c r="A251" s="888" t="str">
        <f>IF(LEN('Translation-EN'!A251)&gt;0,'Translation-EN'!A251,"")</f>
        <v>Range</v>
      </c>
      <c r="B251" s="888" t="str">
        <f>IF(LEN('Translation-EN'!B251)&gt;0,'Translation-EN'!B251,"")</f>
        <v>Foundation Walls</v>
      </c>
      <c r="C251" s="888" t="str">
        <f>IF(LEN('Translation-EN'!C251)&gt;0,'Translation-EN'!C251,"")</f>
        <v>D1</v>
      </c>
      <c r="D251" s="888" t="str">
        <f>IF(LEN('Translation-EN'!D251)&gt;0,'Translation-EN'!D251,"")</f>
        <v/>
      </c>
      <c r="E251" s="893" t="s">
        <v>2893</v>
      </c>
    </row>
    <row r="252" spans="1:19" ht="227.25" customHeight="1" x14ac:dyDescent="0.3">
      <c r="A252" s="888" t="str">
        <f>IF(LEN('Translation-EN'!A252)&gt;0,'Translation-EN'!A252,"")</f>
        <v>Range</v>
      </c>
      <c r="B252" s="888" t="str">
        <f>IF(LEN('Translation-EN'!B252)&gt;0,'Translation-EN'!B252,"")</f>
        <v>Foundation Walls</v>
      </c>
      <c r="C252" s="888" t="str">
        <f>IF(LEN('Translation-EN'!C252)&gt;0,'Translation-EN'!C252,"")</f>
        <v>A2</v>
      </c>
      <c r="D252" s="888" t="b">
        <f>IF(LEN('Translation-EN'!D252)&gt;0,'Translation-EN'!D252,"")</f>
        <v>1</v>
      </c>
      <c r="E252" s="1696"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252" s="1696"/>
      <c r="G252" s="1696"/>
      <c r="H252" s="1696"/>
      <c r="I252" s="1696"/>
      <c r="J252" s="1696"/>
      <c r="K252" s="1696"/>
      <c r="L252" s="1696"/>
      <c r="M252" s="1696"/>
      <c r="N252" s="1696"/>
      <c r="O252" s="1696"/>
      <c r="P252" s="1696"/>
      <c r="Q252" s="1696"/>
      <c r="R252" s="1696"/>
      <c r="S252" s="1696"/>
    </row>
    <row r="253" spans="1:19" x14ac:dyDescent="0.3">
      <c r="A253" s="888" t="str">
        <f>IF(LEN('Translation-EN'!A253)&gt;0,'Translation-EN'!A253,"")</f>
        <v>Range</v>
      </c>
      <c r="B253" s="888" t="str">
        <f>IF(LEN('Translation-EN'!B253)&gt;0,'Translation-EN'!B253,"")</f>
        <v>Foundation Walls</v>
      </c>
      <c r="C253" s="888" t="str">
        <f>IF(LEN('Translation-EN'!C253)&gt;0,'Translation-EN'!C253,"")</f>
        <v>A3</v>
      </c>
      <c r="D253" s="888" t="str">
        <f>IF(LEN('Translation-EN'!D253)&gt;0,'Translation-EN'!D253,"")</f>
        <v/>
      </c>
      <c r="E253" s="888" t="str">
        <f>$E$170</f>
        <v>CATÉGORIE</v>
      </c>
    </row>
    <row r="254" spans="1:19" x14ac:dyDescent="0.3">
      <c r="A254" s="888" t="str">
        <f>IF(LEN('Translation-EN'!A254)&gt;0,'Translation-EN'!A254,"")</f>
        <v>Range</v>
      </c>
      <c r="B254" s="888" t="str">
        <f>IF(LEN('Translation-EN'!B254)&gt;0,'Translation-EN'!B254,"")</f>
        <v>Foundation Walls</v>
      </c>
      <c r="C254" s="888" t="str">
        <f>IF(LEN('Translation-EN'!C254)&gt;0,'Translation-EN'!C254,"")</f>
        <v>C3</v>
      </c>
      <c r="D254" s="888" t="str">
        <f>IF(LEN('Translation-EN'!D254)&gt;0,'Translation-EN'!D254,"")</f>
        <v/>
      </c>
      <c r="E254" s="893" t="str">
        <f>$E$171</f>
        <v>MATÉRIAU</v>
      </c>
    </row>
    <row r="255" spans="1:19" x14ac:dyDescent="0.3">
      <c r="A255" s="888" t="str">
        <f>IF(LEN('Translation-EN'!A255)&gt;0,'Translation-EN'!A255,"")</f>
        <v>Range</v>
      </c>
      <c r="B255" s="888" t="str">
        <f>IF(LEN('Translation-EN'!B255)&gt;0,'Translation-EN'!B255,"")</f>
        <v>Foundation Walls</v>
      </c>
      <c r="C255" s="888" t="str">
        <f>IF(LEN('Translation-EN'!C255)&gt;0,'Translation-EN'!C255,"")</f>
        <v>D3</v>
      </c>
      <c r="D255" s="888" t="str">
        <f>IF(LEN('Translation-EN'!D255)&gt;0,'Translation-EN'!D255,"")</f>
        <v/>
      </c>
      <c r="E255" s="893" t="str">
        <f>$E$127</f>
        <v>QUANTITÉ</v>
      </c>
    </row>
    <row r="256" spans="1:19" x14ac:dyDescent="0.3">
      <c r="A256" s="888" t="str">
        <f>IF(LEN('Translation-EN'!A256)&gt;0,'Translation-EN'!A256,"")</f>
        <v>Range</v>
      </c>
      <c r="B256" s="888" t="str">
        <f>IF(LEN('Translation-EN'!B256)&gt;0,'Translation-EN'!B256,"")</f>
        <v>Foundation Walls</v>
      </c>
      <c r="C256" s="888" t="str">
        <f>IF(LEN('Translation-EN'!C256)&gt;0,'Translation-EN'!C256,"")</f>
        <v>H3</v>
      </c>
      <c r="D256" s="888" t="str">
        <f>IF(LEN('Translation-EN'!D256)&gt;0,'Translation-EN'!D256,"")</f>
        <v/>
      </c>
      <c r="E256" s="888" t="str">
        <f>$E$173</f>
        <v xml:space="preserve"> SÉLECTIONNER</v>
      </c>
    </row>
    <row r="257" spans="1:18" ht="15" customHeight="1" x14ac:dyDescent="0.3">
      <c r="A257" s="888" t="str">
        <f>IF(LEN('Translation-EN'!A257)&gt;0,'Translation-EN'!A257,"")</f>
        <v>Range</v>
      </c>
      <c r="B257" s="888" t="str">
        <f>IF(LEN('Translation-EN'!B257)&gt;0,'Translation-EN'!B257,"")</f>
        <v>_Foundation Walls</v>
      </c>
      <c r="C257" s="888" t="str">
        <f>IF(LEN('Translation-EN'!C257)&gt;0,'Translation-EN'!C257,"")</f>
        <v>I3</v>
      </c>
      <c r="D257" s="888" t="b">
        <f>IF(LEN('Translation-EN'!D257)&gt;0,'Translation-EN'!D257,"")</f>
        <v>1</v>
      </c>
      <c r="E257" s="1669" t="str">
        <f>$E$174</f>
        <v>ÉMISSIONS NETTES kgCO2e</v>
      </c>
    </row>
    <row r="258" spans="1:18" ht="15" customHeight="1" x14ac:dyDescent="0.3">
      <c r="A258" s="888" t="str">
        <f>IF(LEN('Translation-EN'!A258)&gt;0,'Translation-EN'!A258,"")</f>
        <v>-</v>
      </c>
      <c r="B258" s="888" t="str">
        <f>IF(LEN('Translation-EN'!B258)&gt;0,'Translation-EN'!B258,"")</f>
        <v/>
      </c>
      <c r="C258" s="888" t="str">
        <f>IF(LEN('Translation-EN'!C258)&gt;0,'Translation-EN'!C258,"")</f>
        <v/>
      </c>
      <c r="D258" s="888" t="str">
        <f>IF(LEN('Translation-EN'!D258)&gt;0,'Translation-EN'!D258,"")</f>
        <v/>
      </c>
      <c r="E258" s="1669"/>
    </row>
    <row r="259" spans="1:18" ht="21.75" customHeight="1" x14ac:dyDescent="0.3">
      <c r="A259" s="888" t="str">
        <f>IF(LEN('Translation-EN'!A259)&gt;0,'Translation-EN'!A259,"")</f>
        <v>Range</v>
      </c>
      <c r="B259" s="888" t="str">
        <f>IF(LEN('Translation-EN'!B259)&gt;0,'Translation-EN'!B259,"")</f>
        <v>_Foundation Walls</v>
      </c>
      <c r="C259" s="888" t="str">
        <f>IF(LEN('Translation-EN'!C259)&gt;0,'Translation-EN'!C259,"")</f>
        <v>J3</v>
      </c>
      <c r="D259" s="888" t="b">
        <f>IF(LEN('Translation-EN'!D259)&gt;0,'Translation-EN'!D259,"")</f>
        <v>1</v>
      </c>
      <c r="E259" s="1669" t="str">
        <f>$E$176</f>
        <v>CONTENU DE kgCO2e DANS LE MATÉRIAU SÉLECTIONNÉ</v>
      </c>
    </row>
    <row r="260" spans="1:18" ht="15" customHeight="1" x14ac:dyDescent="0.3">
      <c r="A260" s="888" t="str">
        <f>IF(LEN('Translation-EN'!A260)&gt;0,'Translation-EN'!A260,"")</f>
        <v>-</v>
      </c>
      <c r="B260" s="888" t="str">
        <f>IF(LEN('Translation-EN'!B260)&gt;0,'Translation-EN'!B260,"")</f>
        <v/>
      </c>
      <c r="C260" s="888" t="str">
        <f>IF(LEN('Translation-EN'!C260)&gt;0,'Translation-EN'!C260,"")</f>
        <v/>
      </c>
      <c r="D260" s="888" t="str">
        <f>IF(LEN('Translation-EN'!D260)&gt;0,'Translation-EN'!D260,"")</f>
        <v/>
      </c>
      <c r="E260" s="1670"/>
    </row>
    <row r="261" spans="1:18" ht="15" customHeight="1" x14ac:dyDescent="0.3">
      <c r="A261" s="888" t="str">
        <f>IF(LEN('Translation-EN'!A261)&gt;0,'Translation-EN'!A261,"")</f>
        <v>Range</v>
      </c>
      <c r="B261" s="888" t="str">
        <f>IF(LEN('Translation-EN'!B261)&gt;0,'Translation-EN'!B261,"")</f>
        <v>Foundation Walls</v>
      </c>
      <c r="C261" s="888" t="str">
        <f>IF(LEN('Translation-EN'!C261)&gt;0,'Translation-EN'!C261,"")</f>
        <v>K3</v>
      </c>
      <c r="D261" s="888" t="b">
        <f>IF(LEN('Translation-EN'!D261)&gt;0,'Translation-EN'!D261,"")</f>
        <v>1</v>
      </c>
      <c r="E261" s="1669" t="str">
        <f>$E$178</f>
        <v xml:space="preserve">ÉMISSIONS EN kgCO2e </v>
      </c>
    </row>
    <row r="262" spans="1:18" ht="15" customHeight="1" x14ac:dyDescent="0.3">
      <c r="A262" s="888" t="str">
        <f>IF(LEN('Translation-EN'!A262)&gt;0,'Translation-EN'!A262,"")</f>
        <v>-</v>
      </c>
      <c r="B262" s="888" t="str">
        <f>IF(LEN('Translation-EN'!B262)&gt;0,'Translation-EN'!B262,"")</f>
        <v/>
      </c>
      <c r="C262" s="888" t="str">
        <f>IF(LEN('Translation-EN'!C262)&gt;0,'Translation-EN'!C262,"")</f>
        <v/>
      </c>
      <c r="D262" s="888" t="str">
        <f>IF(LEN('Translation-EN'!D262)&gt;0,'Translation-EN'!D262,"")</f>
        <v/>
      </c>
      <c r="E262" s="1670"/>
    </row>
    <row r="263" spans="1:18" ht="15" customHeight="1" x14ac:dyDescent="0.3">
      <c r="A263" s="888" t="str">
        <f>IF(LEN('Translation-EN'!A263)&gt;0,'Translation-EN'!A263,"")</f>
        <v>Range</v>
      </c>
      <c r="B263" s="888" t="str">
        <f>IF(LEN('Translation-EN'!B263)&gt;0,'Translation-EN'!B263,"")</f>
        <v>Foundation Walls</v>
      </c>
      <c r="C263" s="888" t="str">
        <f>IF(LEN('Translation-EN'!C263)&gt;0,'Translation-EN'!C263,"")</f>
        <v>L3</v>
      </c>
      <c r="D263" s="888" t="b">
        <f>IF(LEN('Translation-EN'!D263)&gt;0,'Translation-EN'!D263,"")</f>
        <v>1</v>
      </c>
      <c r="E263" s="1669" t="str">
        <f>$E$180</f>
        <v>STOCKAGE kgCO₂</v>
      </c>
    </row>
    <row r="264" spans="1:18" ht="15" customHeight="1" x14ac:dyDescent="0.3">
      <c r="A264" s="888" t="str">
        <f>IF(LEN('Translation-EN'!A264)&gt;0,'Translation-EN'!A264,"")</f>
        <v>-</v>
      </c>
      <c r="B264" s="888" t="str">
        <f>IF(LEN('Translation-EN'!B264)&gt;0,'Translation-EN'!B264,"")</f>
        <v/>
      </c>
      <c r="C264" s="888" t="str">
        <f>IF(LEN('Translation-EN'!C264)&gt;0,'Translation-EN'!C264,"")</f>
        <v/>
      </c>
      <c r="D264" s="888" t="str">
        <f>IF(LEN('Translation-EN'!D264)&gt;0,'Translation-EN'!D264,"")</f>
        <v/>
      </c>
      <c r="E264" s="1670"/>
    </row>
    <row r="265" spans="1:18" ht="15" customHeight="1" x14ac:dyDescent="0.3">
      <c r="A265" s="888" t="str">
        <f>IF(LEN('Translation-EN'!A265)&gt;0,'Translation-EN'!A265,"")</f>
        <v>Range</v>
      </c>
      <c r="B265" s="888" t="str">
        <f>IF(LEN('Translation-EN'!B265)&gt;0,'Translation-EN'!B265,"")</f>
        <v>Foundation Walls</v>
      </c>
      <c r="C265" s="888" t="str">
        <f>IF(LEN('Translation-EN'!C265)&gt;0,'Translation-EN'!C265,"")</f>
        <v>M3</v>
      </c>
      <c r="D265" s="888" t="b">
        <f>IF(LEN('Translation-EN'!D265)&gt;0,'Translation-EN'!D265,"")</f>
        <v>1</v>
      </c>
      <c r="E265" s="1520" t="str">
        <f>$E$182</f>
        <v xml:space="preserve">  Note</v>
      </c>
      <c r="F265" s="1520"/>
    </row>
    <row r="266" spans="1:18" ht="15" customHeight="1" x14ac:dyDescent="0.3">
      <c r="A266" s="888" t="str">
        <f>IF(LEN('Translation-EN'!A266)&gt;0,'Translation-EN'!A266,"")</f>
        <v>-</v>
      </c>
      <c r="B266" s="888" t="str">
        <f>IF(LEN('Translation-EN'!B266)&gt;0,'Translation-EN'!B266,"")</f>
        <v/>
      </c>
      <c r="C266" s="888" t="str">
        <f>IF(LEN('Translation-EN'!C266)&gt;0,'Translation-EN'!C266,"")</f>
        <v/>
      </c>
      <c r="D266" s="888" t="str">
        <f>IF(LEN('Translation-EN'!D266)&gt;0,'Translation-EN'!D266,"")</f>
        <v/>
      </c>
      <c r="E266" s="1520"/>
      <c r="F266" s="1520"/>
    </row>
    <row r="267" spans="1:18" ht="15" customHeight="1" x14ac:dyDescent="0.3">
      <c r="A267" s="888" t="str">
        <f>IF(LEN('Translation-EN'!A267)&gt;0,'Translation-EN'!A267,"")</f>
        <v>Range</v>
      </c>
      <c r="B267" s="888" t="str">
        <f>IF(LEN('Translation-EN'!B267)&gt;0,'Translation-EN'!B267,"")</f>
        <v>_Foundation Walls</v>
      </c>
      <c r="C267" s="888" t="str">
        <f>IF(LEN('Translation-EN'!C267)&gt;0,'Translation-EN'!C267,"")</f>
        <v>N3</v>
      </c>
      <c r="D267" s="888" t="b">
        <f>IF(LEN('Translation-EN'!D267)&gt;0,'Translation-EN'!D267,"")</f>
        <v>1</v>
      </c>
      <c r="E267" s="1669" t="str">
        <f>$E$184</f>
        <v>Inclure le cycle long</v>
      </c>
    </row>
    <row r="268" spans="1:18" ht="15" customHeight="1" x14ac:dyDescent="0.3">
      <c r="A268" s="888" t="str">
        <f>IF(LEN('Translation-EN'!A268)&gt;0,'Translation-EN'!A268,"")</f>
        <v>-</v>
      </c>
      <c r="B268" s="888" t="str">
        <f>IF(LEN('Translation-EN'!B268)&gt;0,'Translation-EN'!B268,"")</f>
        <v/>
      </c>
      <c r="C268" s="888" t="str">
        <f>IF(LEN('Translation-EN'!C268)&gt;0,'Translation-EN'!C268,"")</f>
        <v/>
      </c>
      <c r="D268" s="888" t="str">
        <f>IF(LEN('Translation-EN'!D268)&gt;0,'Translation-EN'!D268,"")</f>
        <v/>
      </c>
      <c r="E268" s="1670"/>
    </row>
    <row r="269" spans="1:18" s="893" customFormat="1" ht="17.399999999999999" x14ac:dyDescent="0.3">
      <c r="A269" s="888" t="str">
        <f>IF(LEN('Translation-EN'!A269)&gt;0,'Translation-EN'!A269,"")</f>
        <v>Range</v>
      </c>
      <c r="B269" s="888" t="str">
        <f>IF(LEN('Translation-EN'!B269)&gt;0,'Translation-EN'!B269,"")</f>
        <v>Foundation Walls</v>
      </c>
      <c r="C269" s="888" t="str">
        <f>IF(LEN('Translation-EN'!C269)&gt;0,'Translation-EN'!C269,"")</f>
        <v>O3</v>
      </c>
      <c r="D269" s="888" t="b">
        <f>IF(LEN('Translation-EN'!D269)&gt;0,'Translation-EN'!D269,"")</f>
        <v>1</v>
      </c>
      <c r="E269" s="1033" t="s">
        <v>7383</v>
      </c>
      <c r="I269" s="888"/>
      <c r="J269" s="888"/>
      <c r="K269" s="888"/>
      <c r="L269" s="888"/>
      <c r="M269" s="888"/>
      <c r="N269" s="888"/>
      <c r="O269" s="888"/>
      <c r="P269" s="888"/>
      <c r="Q269" s="888"/>
      <c r="R269" s="888"/>
    </row>
    <row r="270" spans="1:18" s="893" customFormat="1" ht="17.399999999999999" x14ac:dyDescent="0.3">
      <c r="A270" s="888" t="str">
        <f>IF(LEN('Translation-EN'!A270)&gt;0,'Translation-EN'!A270,"")</f>
        <v>Range</v>
      </c>
      <c r="B270" s="888" t="str">
        <f>IF(LEN('Translation-EN'!B270)&gt;0,'Translation-EN'!B270,"")</f>
        <v>Foundation Walls</v>
      </c>
      <c r="C270" s="888" t="str">
        <f>IF(LEN('Translation-EN'!C270)&gt;0,'Translation-EN'!C270,"")</f>
        <v>P3</v>
      </c>
      <c r="D270" s="888" t="b">
        <f>IF(LEN('Translation-EN'!D270)&gt;0,'Translation-EN'!D270,"")</f>
        <v>1</v>
      </c>
      <c r="E270" s="1033" t="s">
        <v>7384</v>
      </c>
      <c r="I270" s="888"/>
      <c r="J270" s="888"/>
      <c r="K270" s="888"/>
      <c r="L270" s="888"/>
      <c r="M270" s="888"/>
      <c r="N270" s="888"/>
      <c r="O270" s="888"/>
      <c r="P270" s="888"/>
      <c r="Q270" s="888"/>
      <c r="R270" s="888"/>
    </row>
    <row r="271" spans="1:18" s="893" customFormat="1" x14ac:dyDescent="0.3">
      <c r="A271" s="888" t="str">
        <f>IF(LEN('Translation-EN'!A271)&gt;0,'Translation-EN'!A271,"")</f>
        <v>Range</v>
      </c>
      <c r="B271" s="888" t="str">
        <f>IF(LEN('Translation-EN'!B271)&gt;0,'Translation-EN'!B271,"")</f>
        <v>Foundation Walls</v>
      </c>
      <c r="C271" s="888" t="str">
        <f>IF(LEN('Translation-EN'!C271)&gt;0,'Translation-EN'!C271,"")</f>
        <v>A5</v>
      </c>
      <c r="D271" s="888" t="str">
        <f>IF(LEN('Translation-EN'!D271)&gt;0,'Translation-EN'!D271,"")</f>
        <v/>
      </c>
      <c r="E271" s="893" t="s">
        <v>2894</v>
      </c>
      <c r="I271" s="888"/>
      <c r="J271" s="888"/>
      <c r="K271" s="888"/>
      <c r="L271" s="888"/>
      <c r="M271" s="888"/>
      <c r="N271" s="888"/>
      <c r="O271" s="888"/>
      <c r="P271" s="888"/>
      <c r="Q271" s="888"/>
      <c r="R271" s="888"/>
    </row>
    <row r="272" spans="1:18" s="893" customFormat="1" x14ac:dyDescent="0.3">
      <c r="A272" s="888" t="str">
        <f>IF(LEN('Translation-EN'!A272)&gt;0,'Translation-EN'!A272,"")</f>
        <v>Range</v>
      </c>
      <c r="B272" s="888" t="str">
        <f>IF(LEN('Translation-EN'!B272)&gt;0,'Translation-EN'!B272,"")</f>
        <v>Foundation Walls</v>
      </c>
      <c r="C272" s="888" t="str">
        <f>IF(LEN('Translation-EN'!C272)&gt;0,'Translation-EN'!C272,"")</f>
        <v>D5</v>
      </c>
      <c r="D272" s="888" t="str">
        <f>IF(LEN('Translation-EN'!D272)&gt;0,'Translation-EN'!D272,"")</f>
        <v/>
      </c>
      <c r="E272" s="888" t="str">
        <f>$E$189</f>
        <v>ÉPAISSEUR :</v>
      </c>
      <c r="I272" s="888"/>
      <c r="J272" s="888"/>
      <c r="K272" s="888"/>
      <c r="L272" s="888"/>
      <c r="M272" s="888"/>
      <c r="N272" s="888"/>
      <c r="O272" s="888"/>
      <c r="P272" s="888"/>
      <c r="Q272" s="888"/>
      <c r="R272" s="888"/>
    </row>
    <row r="273" spans="1:18" s="893" customFormat="1" x14ac:dyDescent="0.3">
      <c r="A273" s="888" t="str">
        <f>IF(LEN('Translation-EN'!A273)&gt;0,'Translation-EN'!A273,"")</f>
        <v>Range</v>
      </c>
      <c r="B273" s="888" t="str">
        <f>IF(LEN('Translation-EN'!B273)&gt;0,'Translation-EN'!B273,"")</f>
        <v>Foundation Walls</v>
      </c>
      <c r="C273" s="888" t="str">
        <f>IF(LEN('Translation-EN'!C273)&gt;0,'Translation-EN'!C273,"")</f>
        <v>B6</v>
      </c>
      <c r="D273" s="888" t="str">
        <f>IF(LEN('Translation-EN'!D273)&gt;0,'Translation-EN'!D273,"")</f>
        <v/>
      </c>
      <c r="E273" s="893" t="str">
        <f>$E$193</f>
        <v>BÉTON –25 MPa ou moins</v>
      </c>
      <c r="I273" s="888"/>
      <c r="J273" s="888"/>
      <c r="K273" s="888"/>
      <c r="L273" s="888"/>
      <c r="M273" s="888"/>
      <c r="N273" s="888"/>
      <c r="O273" s="888"/>
      <c r="P273" s="888"/>
      <c r="Q273" s="888"/>
      <c r="R273" s="888"/>
    </row>
    <row r="274" spans="1:18" s="893" customFormat="1" x14ac:dyDescent="0.3">
      <c r="A274" s="888" t="str">
        <f>IF(LEN('Translation-EN'!A274)&gt;0,'Translation-EN'!A274,"")</f>
        <v>Range</v>
      </c>
      <c r="B274" s="888" t="str">
        <f>IF(LEN('Translation-EN'!B274)&gt;0,'Translation-EN'!B274,"")</f>
        <v>Foundation Walls</v>
      </c>
      <c r="C274" s="888" t="str">
        <f>IF(LEN('Translation-EN'!C274)&gt;0,'Translation-EN'!C274,"")</f>
        <v>A7</v>
      </c>
      <c r="D274" s="888" t="str">
        <f>IF(LEN('Translation-EN'!D274)&gt;0,'Translation-EN'!D274,"")</f>
        <v/>
      </c>
      <c r="E274" s="893" t="str">
        <f>$E$194</f>
        <v>Les spécifications du mélange de béton font une grande différence dans l’empreinte carbone. Les spécifications du mélange présentées ici peuvent être utilisées pour discuter des options de mélange à faible teneur en carbone avec votre fournisseur.</v>
      </c>
      <c r="I274" s="888"/>
      <c r="J274" s="888"/>
      <c r="K274" s="888"/>
      <c r="L274" s="888"/>
      <c r="M274" s="888"/>
      <c r="N274" s="888"/>
      <c r="O274" s="888"/>
      <c r="P274" s="888"/>
      <c r="Q274" s="888"/>
      <c r="R274" s="888"/>
    </row>
    <row r="275" spans="1:18" s="893" customFormat="1" x14ac:dyDescent="0.3">
      <c r="A275" s="888" t="str">
        <f>IF(LEN('Translation-EN'!A275)&gt;0,'Translation-EN'!A275,"")</f>
        <v>Range</v>
      </c>
      <c r="B275" s="888" t="str">
        <f>IF(LEN('Translation-EN'!B275)&gt;0,'Translation-EN'!B275,"")</f>
        <v>Foundation Walls</v>
      </c>
      <c r="C275" s="888" t="str">
        <f>IF(LEN('Translation-EN'!C275)&gt;0,'Translation-EN'!C275,"")</f>
        <v>B14</v>
      </c>
      <c r="D275" s="888" t="str">
        <f>IF(LEN('Translation-EN'!D275)&gt;0,'Translation-EN'!D275,"")</f>
        <v/>
      </c>
      <c r="E275" s="893" t="str">
        <f>$E$195</f>
        <v>BÉTON –26-30 MPa</v>
      </c>
      <c r="I275" s="888"/>
      <c r="J275" s="888"/>
      <c r="K275" s="888"/>
      <c r="L275" s="888"/>
      <c r="M275" s="888"/>
      <c r="N275" s="888"/>
      <c r="O275" s="888"/>
      <c r="P275" s="888"/>
      <c r="Q275" s="888"/>
      <c r="R275" s="888"/>
    </row>
    <row r="276" spans="1:18" s="893" customFormat="1" x14ac:dyDescent="0.3">
      <c r="A276" s="888" t="str">
        <f>IF(LEN('Translation-EN'!A276)&gt;0,'Translation-EN'!A276,"")</f>
        <v>Range</v>
      </c>
      <c r="B276" s="888" t="str">
        <f>IF(LEN('Translation-EN'!B276)&gt;0,'Translation-EN'!B276,"")</f>
        <v>Foundation Walls</v>
      </c>
      <c r="C276" s="888" t="str">
        <f>IF(LEN('Translation-EN'!C276)&gt;0,'Translation-EN'!C276,"")</f>
        <v>A15</v>
      </c>
      <c r="D276" s="888" t="str">
        <f>IF(LEN('Translation-EN'!D276)&gt;0,'Translation-EN'!D276,"")</f>
        <v/>
      </c>
      <c r="E276" s="893" t="str">
        <f>$E$194</f>
        <v>Les spécifications du mélange de béton font une grande différence dans l’empreinte carbone. Les spécifications du mélange présentées ici peuvent être utilisées pour discuter des options de mélange à faible teneur en carbone avec votre fournisseur.</v>
      </c>
      <c r="I276" s="888"/>
      <c r="J276" s="888"/>
      <c r="K276" s="888"/>
      <c r="L276" s="888"/>
      <c r="M276" s="888"/>
      <c r="N276" s="888"/>
      <c r="O276" s="888"/>
      <c r="P276" s="888"/>
      <c r="Q276" s="888"/>
      <c r="R276" s="888"/>
    </row>
    <row r="277" spans="1:18" s="893" customFormat="1" x14ac:dyDescent="0.3">
      <c r="A277" s="888" t="str">
        <f>IF(LEN('Translation-EN'!A277)&gt;0,'Translation-EN'!A277,"")</f>
        <v>Range</v>
      </c>
      <c r="B277" s="888" t="str">
        <f>IF(LEN('Translation-EN'!B277)&gt;0,'Translation-EN'!B277,"")</f>
        <v>Foundation Walls</v>
      </c>
      <c r="C277" s="888" t="str">
        <f>IF(LEN('Translation-EN'!C277)&gt;0,'Translation-EN'!C277,"")</f>
        <v>B22</v>
      </c>
      <c r="D277" s="888" t="str">
        <f>IF(LEN('Translation-EN'!D277)&gt;0,'Translation-EN'!D277,"")</f>
        <v/>
      </c>
      <c r="E277" s="893" t="str">
        <f>$E$197</f>
        <v>BÉTON –31-35 MPa</v>
      </c>
      <c r="I277" s="888"/>
      <c r="J277" s="888"/>
      <c r="K277" s="888"/>
      <c r="L277" s="888"/>
      <c r="M277" s="888"/>
      <c r="N277" s="888"/>
      <c r="O277" s="888"/>
      <c r="P277" s="888"/>
      <c r="Q277" s="888"/>
      <c r="R277" s="888"/>
    </row>
    <row r="278" spans="1:18" s="893" customFormat="1" x14ac:dyDescent="0.3">
      <c r="A278" s="888" t="str">
        <f>IF(LEN('Translation-EN'!A278)&gt;0,'Translation-EN'!A278,"")</f>
        <v>Range</v>
      </c>
      <c r="B278" s="888" t="str">
        <f>IF(LEN('Translation-EN'!B278)&gt;0,'Translation-EN'!B278,"")</f>
        <v>Foundation Walls</v>
      </c>
      <c r="C278" s="888" t="str">
        <f>IF(LEN('Translation-EN'!C278)&gt;0,'Translation-EN'!C278,"")</f>
        <v>A23</v>
      </c>
      <c r="D278" s="888" t="str">
        <f>IF(LEN('Translation-EN'!D278)&gt;0,'Translation-EN'!D278,"")</f>
        <v/>
      </c>
      <c r="E278" s="893" t="str">
        <f>$E$194</f>
        <v>Les spécifications du mélange de béton font une grande différence dans l’empreinte carbone. Les spécifications du mélange présentées ici peuvent être utilisées pour discuter des options de mélange à faible teneur en carbone avec votre fournisseur.</v>
      </c>
      <c r="I278" s="888"/>
      <c r="J278" s="888"/>
      <c r="K278" s="888"/>
      <c r="L278" s="888"/>
      <c r="M278" s="888"/>
      <c r="N278" s="888"/>
      <c r="O278" s="888"/>
      <c r="P278" s="888"/>
      <c r="Q278" s="888"/>
      <c r="R278" s="888"/>
    </row>
    <row r="279" spans="1:18" s="893" customFormat="1" x14ac:dyDescent="0.3">
      <c r="A279" s="888" t="str">
        <f>IF(LEN('Translation-EN'!A279)&gt;0,'Translation-EN'!A279,"")</f>
        <v>Range</v>
      </c>
      <c r="B279" s="888" t="str">
        <f>IF(LEN('Translation-EN'!B279)&gt;0,'Translation-EN'!B279,"")</f>
        <v>Foundation Walls</v>
      </c>
      <c r="C279" s="888" t="str">
        <f>IF(LEN('Translation-EN'!C279)&gt;0,'Translation-EN'!C279,"")</f>
        <v>A30</v>
      </c>
      <c r="D279" s="888" t="str">
        <f>IF(LEN('Translation-EN'!D279)&gt;0,'Translation-EN'!D279,"")</f>
        <v/>
      </c>
      <c r="E279" s="917" t="str">
        <f>$E$199</f>
        <v>BARRE D’ARMATURE</v>
      </c>
      <c r="I279" s="888"/>
      <c r="J279" s="888"/>
      <c r="K279" s="888"/>
      <c r="L279" s="888"/>
      <c r="M279" s="888"/>
      <c r="N279" s="888"/>
      <c r="O279" s="888"/>
      <c r="P279" s="888"/>
      <c r="Q279" s="888"/>
      <c r="R279" s="888"/>
    </row>
    <row r="280" spans="1:18" s="893" customFormat="1" x14ac:dyDescent="0.3">
      <c r="A280" s="888" t="str">
        <f>IF(LEN('Translation-EN'!A280)&gt;0,'Translation-EN'!A280,"")</f>
        <v>Range</v>
      </c>
      <c r="B280" s="888" t="str">
        <f>IF(LEN('Translation-EN'!B280)&gt;0,'Translation-EN'!B280,"")</f>
        <v>Foundation Walls</v>
      </c>
      <c r="C280" s="888" t="str">
        <f>IF(LEN('Translation-EN'!C280)&gt;0,'Translation-EN'!C280,"")</f>
        <v>D30</v>
      </c>
      <c r="D280" s="888" t="str">
        <f>IF(LEN('Translation-EN'!D280)&gt;0,'Translation-EN'!D280,"")</f>
        <v/>
      </c>
      <c r="E280" s="917" t="str">
        <f>$E$200</f>
        <v>LONGUEUR ADAPTÉE</v>
      </c>
      <c r="I280" s="888"/>
      <c r="J280" s="888"/>
      <c r="K280" s="888"/>
      <c r="L280" s="888"/>
      <c r="M280" s="888"/>
      <c r="N280" s="888"/>
      <c r="O280" s="888"/>
      <c r="P280" s="888"/>
      <c r="Q280" s="888"/>
      <c r="R280" s="888"/>
    </row>
    <row r="281" spans="1:18" s="893" customFormat="1" x14ac:dyDescent="0.3">
      <c r="A281" s="888" t="str">
        <f>IF(LEN('Translation-EN'!A281)&gt;0,'Translation-EN'!A281,"")</f>
        <v>Range</v>
      </c>
      <c r="B281" s="888" t="str">
        <f>IF(LEN('Translation-EN'!B281)&gt;0,'Translation-EN'!B281,"")</f>
        <v>Foundation Walls</v>
      </c>
      <c r="C281" s="888" t="str">
        <f>IF(LEN('Translation-EN'!C281)&gt;0,'Translation-EN'!C281,"")</f>
        <v>B31</v>
      </c>
      <c r="D281" s="888" t="str">
        <f>IF(LEN('Translation-EN'!D281)&gt;0,'Translation-EN'!D281,"")</f>
        <v/>
      </c>
      <c r="E281" s="893" t="str">
        <f>$E$201</f>
        <v>BARRE D’ARMATURE DE BÉTON</v>
      </c>
      <c r="I281" s="888"/>
      <c r="J281" s="888"/>
      <c r="K281" s="888"/>
      <c r="L281" s="888"/>
      <c r="M281" s="888"/>
      <c r="N281" s="888"/>
      <c r="O281" s="888"/>
      <c r="P281" s="888"/>
      <c r="Q281" s="888"/>
      <c r="R281" s="888"/>
    </row>
    <row r="282" spans="1:18" s="893" customFormat="1" x14ac:dyDescent="0.3">
      <c r="A282" s="888" t="str">
        <f>IF(LEN('Translation-EN'!A282)&gt;0,'Translation-EN'!A282,"")</f>
        <v>Range</v>
      </c>
      <c r="B282" s="888" t="str">
        <f>IF(LEN('Translation-EN'!B282)&gt;0,'Translation-EN'!B282,"")</f>
        <v>Foundation Walls</v>
      </c>
      <c r="C282" s="888" t="str">
        <f>IF(LEN('Translation-EN'!C282)&gt;0,'Translation-EN'!C282,"")</f>
        <v>A32</v>
      </c>
      <c r="D282" s="888" t="str">
        <f>IF(LEN('Translation-EN'!D282)&gt;0,'Translation-EN'!D282,"")</f>
        <v/>
      </c>
      <c r="E282" s="893" t="str">
        <f>$E$202</f>
        <v>Indiquez une longueur totale de barres d’armature.</v>
      </c>
      <c r="I282" s="888"/>
      <c r="J282" s="888"/>
      <c r="K282" s="888"/>
      <c r="L282" s="888"/>
      <c r="M282" s="888"/>
      <c r="N282" s="888"/>
      <c r="O282" s="888"/>
      <c r="P282" s="888"/>
      <c r="Q282" s="888"/>
      <c r="R282" s="888"/>
    </row>
    <row r="283" spans="1:18" s="893" customFormat="1" x14ac:dyDescent="0.3">
      <c r="A283" s="888" t="str">
        <f>IF(LEN('Translation-EN'!A283)&gt;0,'Translation-EN'!A283,"")</f>
        <v>Range</v>
      </c>
      <c r="B283" s="888" t="str">
        <f>IF(LEN('Translation-EN'!B283)&gt;0,'Translation-EN'!B283,"")</f>
        <v>Foundation Walls</v>
      </c>
      <c r="C283" s="888" t="str">
        <f>IF(LEN('Translation-EN'!C283)&gt;0,'Translation-EN'!C283,"")</f>
        <v>A37</v>
      </c>
      <c r="D283" s="888" t="str">
        <f>IF(LEN('Translation-EN'!D283)&gt;0,'Translation-EN'!D283,"")</f>
        <v/>
      </c>
      <c r="E283" s="893" t="s">
        <v>2895</v>
      </c>
      <c r="I283" s="888"/>
      <c r="J283" s="888"/>
      <c r="K283" s="888"/>
      <c r="L283" s="888"/>
      <c r="M283" s="888"/>
      <c r="N283" s="888"/>
      <c r="O283" s="888"/>
      <c r="P283" s="888"/>
      <c r="Q283" s="888"/>
      <c r="R283" s="888"/>
    </row>
    <row r="284" spans="1:18" s="893" customFormat="1" x14ac:dyDescent="0.3">
      <c r="A284" s="888" t="str">
        <f>IF(LEN('Translation-EN'!A284)&gt;0,'Translation-EN'!A284,"")</f>
        <v>Range</v>
      </c>
      <c r="B284" s="888" t="str">
        <f>IF(LEN('Translation-EN'!B284)&gt;0,'Translation-EN'!B284,"")</f>
        <v>Foundation Walls</v>
      </c>
      <c r="C284" s="888" t="str">
        <f>IF(LEN('Translation-EN'!C284)&gt;0,'Translation-EN'!C284,"")</f>
        <v>B38</v>
      </c>
      <c r="D284" s="888" t="str">
        <f>IF(LEN('Translation-EN'!D284)&gt;0,'Translation-EN'!D284,"")</f>
        <v/>
      </c>
      <c r="E284" s="893" t="s">
        <v>2896</v>
      </c>
      <c r="I284" s="888"/>
      <c r="J284" s="888"/>
      <c r="K284" s="888"/>
      <c r="L284" s="888"/>
      <c r="M284" s="888"/>
      <c r="N284" s="888"/>
      <c r="O284" s="888"/>
      <c r="P284" s="888"/>
      <c r="Q284" s="888"/>
      <c r="R284" s="888"/>
    </row>
    <row r="285" spans="1:18" s="893" customFormat="1" x14ac:dyDescent="0.3">
      <c r="A285" s="888" t="str">
        <f>IF(LEN('Translation-EN'!A285)&gt;0,'Translation-EN'!A285,"")</f>
        <v>Range</v>
      </c>
      <c r="B285" s="888" t="str">
        <f>IF(LEN('Translation-EN'!B285)&gt;0,'Translation-EN'!B285,"")</f>
        <v>Foundation Walls</v>
      </c>
      <c r="C285" s="888" t="str">
        <f>IF(LEN('Translation-EN'!C285)&gt;0,'Translation-EN'!C285,"")</f>
        <v>A39</v>
      </c>
      <c r="D285" s="888" t="str">
        <f>IF(LEN('Translation-EN'!D285)&gt;0,'Translation-EN'!D285,"")</f>
        <v/>
      </c>
      <c r="E285" s="893" t="s">
        <v>2897</v>
      </c>
      <c r="I285" s="888"/>
      <c r="J285" s="888"/>
      <c r="K285" s="888"/>
      <c r="L285" s="888"/>
      <c r="M285" s="888"/>
      <c r="N285" s="888"/>
      <c r="O285" s="888"/>
      <c r="P285" s="888"/>
      <c r="Q285" s="888"/>
      <c r="R285" s="888"/>
    </row>
    <row r="286" spans="1:18" s="893" customFormat="1" x14ac:dyDescent="0.3">
      <c r="A286" s="888" t="str">
        <f>IF(LEN('Translation-EN'!A286)&gt;0,'Translation-EN'!A286,"")</f>
        <v>Range</v>
      </c>
      <c r="B286" s="888" t="str">
        <f>IF(LEN('Translation-EN'!B286)&gt;0,'Translation-EN'!B286,"")</f>
        <v>Foundation Walls</v>
      </c>
      <c r="C286" s="888" t="str">
        <f>IF(LEN('Translation-EN'!C286)&gt;0,'Translation-EN'!C286,"")</f>
        <v>C39</v>
      </c>
      <c r="D286" s="888" t="str">
        <f>IF(LEN('Translation-EN'!D286)&gt;0,'Translation-EN'!D286,"")</f>
        <v/>
      </c>
      <c r="E286" s="893" t="s">
        <v>2898</v>
      </c>
      <c r="I286" s="888"/>
      <c r="J286" s="888"/>
      <c r="K286" s="888"/>
      <c r="L286" s="888"/>
      <c r="M286" s="888"/>
      <c r="N286" s="888"/>
      <c r="O286" s="888"/>
      <c r="P286" s="888"/>
      <c r="Q286" s="888"/>
      <c r="R286" s="888"/>
    </row>
    <row r="287" spans="1:18" s="893" customFormat="1" x14ac:dyDescent="0.3">
      <c r="A287" s="888" t="str">
        <f>IF(LEN('Translation-EN'!A287)&gt;0,'Translation-EN'!A287,"")</f>
        <v>Range</v>
      </c>
      <c r="B287" s="888" t="str">
        <f>IF(LEN('Translation-EN'!B287)&gt;0,'Translation-EN'!B287,"")</f>
        <v>Foundation Walls</v>
      </c>
      <c r="C287" s="888" t="str">
        <f>IF(LEN('Translation-EN'!C287)&gt;0,'Translation-EN'!C287,"")</f>
        <v>A46</v>
      </c>
      <c r="D287" s="888" t="str">
        <f>IF(LEN('Translation-EN'!D287)&gt;0,'Translation-EN'!D287,"")</f>
        <v/>
      </c>
      <c r="E287" s="893" t="s">
        <v>2899</v>
      </c>
      <c r="I287" s="888" t="s">
        <v>2900</v>
      </c>
      <c r="J287" s="888"/>
      <c r="K287" s="888"/>
      <c r="L287" s="888"/>
      <c r="M287" s="888"/>
      <c r="N287" s="888"/>
      <c r="O287" s="888"/>
      <c r="P287" s="888"/>
      <c r="Q287" s="888"/>
      <c r="R287" s="888"/>
    </row>
    <row r="288" spans="1:18" s="893" customFormat="1" x14ac:dyDescent="0.3">
      <c r="A288" s="888" t="str">
        <f>IF(LEN('Translation-EN'!A288)&gt;0,'Translation-EN'!A288,"")</f>
        <v>Range</v>
      </c>
      <c r="B288" s="888" t="str">
        <f>IF(LEN('Translation-EN'!B288)&gt;0,'Translation-EN'!B288,"")</f>
        <v>Foundation Walls</v>
      </c>
      <c r="C288" s="888" t="str">
        <f>IF(LEN('Translation-EN'!C288)&gt;0,'Translation-EN'!C288,"")</f>
        <v>A48</v>
      </c>
      <c r="D288" s="888" t="str">
        <f>IF(LEN('Translation-EN'!D288)&gt;0,'Translation-EN'!D288,"")</f>
        <v/>
      </c>
      <c r="E288" s="893" t="s">
        <v>2901</v>
      </c>
      <c r="I288" s="888"/>
      <c r="J288" s="888"/>
      <c r="K288" s="888"/>
      <c r="L288" s="888"/>
      <c r="M288" s="888"/>
      <c r="N288" s="888"/>
      <c r="O288" s="888"/>
      <c r="P288" s="888"/>
      <c r="Q288" s="888"/>
      <c r="R288" s="888"/>
    </row>
    <row r="289" spans="1:18" s="893" customFormat="1" x14ac:dyDescent="0.3">
      <c r="A289" s="888" t="str">
        <f>IF(LEN('Translation-EN'!A289)&gt;0,'Translation-EN'!A289,"")</f>
        <v>Range</v>
      </c>
      <c r="B289" s="888" t="str">
        <f>IF(LEN('Translation-EN'!B289)&gt;0,'Translation-EN'!B289,"")</f>
        <v>Foundation Walls</v>
      </c>
      <c r="C289" s="888" t="str">
        <f>IF(LEN('Translation-EN'!C289)&gt;0,'Translation-EN'!C289,"")</f>
        <v>B49</v>
      </c>
      <c r="D289" s="888" t="str">
        <f>IF(LEN('Translation-EN'!D289)&gt;0,'Translation-EN'!D289,"")</f>
        <v/>
      </c>
      <c r="E289" s="893" t="s">
        <v>2902</v>
      </c>
      <c r="I289" s="888"/>
      <c r="J289" s="888"/>
      <c r="K289" s="888"/>
      <c r="L289" s="888"/>
      <c r="M289" s="888"/>
      <c r="N289" s="888"/>
      <c r="O289" s="888"/>
      <c r="P289" s="888"/>
      <c r="Q289" s="888"/>
      <c r="R289" s="888"/>
    </row>
    <row r="290" spans="1:18" s="893" customFormat="1" x14ac:dyDescent="0.3">
      <c r="A290" s="888" t="str">
        <f>IF(LEN('Translation-EN'!A290)&gt;0,'Translation-EN'!A290,"")</f>
        <v>Range</v>
      </c>
      <c r="B290" s="888" t="str">
        <f>IF(LEN('Translation-EN'!B290)&gt;0,'Translation-EN'!B290,"")</f>
        <v>Foundation Walls</v>
      </c>
      <c r="C290" s="888" t="str">
        <f>IF(LEN('Translation-EN'!C290)&gt;0,'Translation-EN'!C290,"")</f>
        <v>C50</v>
      </c>
      <c r="D290" s="888" t="str">
        <f>IF(LEN('Translation-EN'!D290)&gt;0,'Translation-EN'!D290,"")</f>
        <v/>
      </c>
      <c r="E290" s="893" t="str">
        <f>$E$222</f>
        <v>Panneau de mousse EPS – MOYENNE</v>
      </c>
      <c r="I290" s="888"/>
      <c r="J290" s="888"/>
      <c r="K290" s="888"/>
      <c r="L290" s="888"/>
      <c r="M290" s="888"/>
      <c r="N290" s="888"/>
      <c r="O290" s="888"/>
      <c r="P290" s="888"/>
      <c r="Q290" s="888"/>
      <c r="R290" s="888"/>
    </row>
    <row r="291" spans="1:18" s="893" customFormat="1" x14ac:dyDescent="0.3">
      <c r="A291" s="888" t="str">
        <f>IF(LEN('Translation-EN'!A291)&gt;0,'Translation-EN'!A291,"")</f>
        <v>Range</v>
      </c>
      <c r="B291" s="888" t="str">
        <f>IF(LEN('Translation-EN'!B291)&gt;0,'Translation-EN'!B291,"")</f>
        <v>Foundation Walls</v>
      </c>
      <c r="C291" s="888" t="str">
        <f>IF(LEN('Translation-EN'!C291)&gt;0,'Translation-EN'!C291,"")</f>
        <v>B59</v>
      </c>
      <c r="D291" s="888" t="str">
        <f>IF(LEN('Translation-EN'!D291)&gt;0,'Translation-EN'!D291,"")</f>
        <v/>
      </c>
      <c r="E291" s="893" t="s">
        <v>2979</v>
      </c>
      <c r="I291" s="888"/>
      <c r="J291" s="888"/>
      <c r="K291" s="888"/>
      <c r="L291" s="888"/>
      <c r="M291" s="888"/>
      <c r="N291" s="888"/>
      <c r="O291" s="888"/>
      <c r="P291" s="888"/>
      <c r="Q291" s="888"/>
      <c r="R291" s="888"/>
    </row>
    <row r="292" spans="1:18" s="893" customFormat="1" x14ac:dyDescent="0.3">
      <c r="A292" s="888" t="str">
        <f>IF(LEN('Translation-EN'!A292)&gt;0,'Translation-EN'!A292,"")</f>
        <v>Range</v>
      </c>
      <c r="B292" s="888" t="str">
        <f>IF(LEN('Translation-EN'!B292)&gt;0,'Translation-EN'!B292,"")</f>
        <v>Foundation Walls</v>
      </c>
      <c r="C292" s="888" t="str">
        <f>IF(LEN('Translation-EN'!C292)&gt;0,'Translation-EN'!C292,"")</f>
        <v>C60</v>
      </c>
      <c r="D292" s="888" t="str">
        <f>IF(LEN('Translation-EN'!D292)&gt;0,'Translation-EN'!D292,"")</f>
        <v/>
      </c>
      <c r="E292" s="893" t="s">
        <v>2980</v>
      </c>
      <c r="I292" s="888"/>
      <c r="J292" s="888"/>
      <c r="K292" s="888"/>
      <c r="L292" s="888"/>
      <c r="M292" s="888"/>
      <c r="N292" s="888"/>
      <c r="O292" s="888"/>
      <c r="P292" s="888"/>
      <c r="Q292" s="888"/>
      <c r="R292" s="888"/>
    </row>
    <row r="293" spans="1:18" s="893" customFormat="1" x14ac:dyDescent="0.3">
      <c r="A293" s="888" t="str">
        <f>IF(LEN('Translation-EN'!A293)&gt;0,'Translation-EN'!A293,"")</f>
        <v>Range</v>
      </c>
      <c r="B293" s="888" t="str">
        <f>IF(LEN('Translation-EN'!B293)&gt;0,'Translation-EN'!B293,"")</f>
        <v>Foundation Walls</v>
      </c>
      <c r="C293" s="888" t="str">
        <f>IF(LEN('Translation-EN'!C293)&gt;0,'Translation-EN'!C293,"")</f>
        <v>B64</v>
      </c>
      <c r="D293" s="888" t="str">
        <f>IF(LEN('Translation-EN'!D293)&gt;0,'Translation-EN'!D293,"")</f>
        <v/>
      </c>
      <c r="E293" s="893" t="s">
        <v>2903</v>
      </c>
      <c r="I293" s="888"/>
      <c r="J293" s="888"/>
      <c r="K293" s="888"/>
      <c r="L293" s="888"/>
      <c r="M293" s="888"/>
      <c r="N293" s="888"/>
      <c r="O293" s="888"/>
      <c r="P293" s="888"/>
      <c r="Q293" s="888"/>
      <c r="R293" s="888"/>
    </row>
    <row r="294" spans="1:18" s="893" customFormat="1" x14ac:dyDescent="0.3">
      <c r="A294" s="888" t="str">
        <f>IF(LEN('Translation-EN'!A294)&gt;0,'Translation-EN'!A294,"")</f>
        <v>Range</v>
      </c>
      <c r="B294" s="888" t="str">
        <f>IF(LEN('Translation-EN'!B294)&gt;0,'Translation-EN'!B294,"")</f>
        <v>Foundation Walls</v>
      </c>
      <c r="C294" s="888" t="str">
        <f>IF(LEN('Translation-EN'!C294)&gt;0,'Translation-EN'!C294,"")</f>
        <v>C65</v>
      </c>
      <c r="D294" s="888" t="str">
        <f>IF(LEN('Translation-EN'!D294)&gt;0,'Translation-EN'!D294,"")</f>
        <v/>
      </c>
      <c r="E294" s="1034" t="str">
        <f>$E$224</f>
        <v>Panneau de mousse XPS – MOYENNE</v>
      </c>
      <c r="I294" s="888"/>
      <c r="J294" s="888"/>
      <c r="K294" s="888"/>
      <c r="L294" s="888"/>
      <c r="M294" s="888"/>
      <c r="N294" s="888"/>
      <c r="O294" s="888"/>
      <c r="P294" s="888"/>
      <c r="Q294" s="888"/>
      <c r="R294" s="888"/>
    </row>
    <row r="295" spans="1:18" s="893" customFormat="1" x14ac:dyDescent="0.3">
      <c r="A295" s="888" t="str">
        <f>IF(LEN('Translation-EN'!A295)&gt;0,'Translation-EN'!A295,"")</f>
        <v>Range</v>
      </c>
      <c r="B295" s="888" t="str">
        <f>IF(LEN('Translation-EN'!B295)&gt;0,'Translation-EN'!B295,"")</f>
        <v>Foundation Walls</v>
      </c>
      <c r="C295" s="888" t="str">
        <f>IF(LEN('Translation-EN'!C295)&gt;0,'Translation-EN'!C295,"")</f>
        <v>B69</v>
      </c>
      <c r="D295" s="888" t="str">
        <f>IF(LEN('Translation-EN'!D295)&gt;0,'Translation-EN'!D295,"")</f>
        <v/>
      </c>
      <c r="E295" s="893" t="str">
        <f>$E$225</f>
        <v>PANNEAU DE LAINE MINÉRALE</v>
      </c>
      <c r="I295" s="888"/>
      <c r="J295" s="888"/>
      <c r="K295" s="888"/>
      <c r="L295" s="888"/>
      <c r="M295" s="888"/>
      <c r="N295" s="888"/>
      <c r="O295" s="888"/>
      <c r="P295" s="888"/>
      <c r="Q295" s="888"/>
      <c r="R295" s="888"/>
    </row>
    <row r="296" spans="1:18" s="893" customFormat="1" x14ac:dyDescent="0.3">
      <c r="A296" s="888" t="str">
        <f>IF(LEN('Translation-EN'!A296)&gt;0,'Translation-EN'!A296,"")</f>
        <v>Range</v>
      </c>
      <c r="B296" s="888" t="str">
        <f>IF(LEN('Translation-EN'!B296)&gt;0,'Translation-EN'!B296,"")</f>
        <v>Foundation Walls</v>
      </c>
      <c r="C296" s="888" t="str">
        <f>IF(LEN('Translation-EN'!C296)&gt;0,'Translation-EN'!C296,"")</f>
        <v>C70</v>
      </c>
      <c r="D296" s="888" t="str">
        <f>IF(LEN('Translation-EN'!D296)&gt;0,'Translation-EN'!D296,"")</f>
        <v/>
      </c>
      <c r="E296" s="893" t="s">
        <v>2904</v>
      </c>
      <c r="I296" s="888"/>
      <c r="J296" s="888"/>
      <c r="K296" s="888"/>
      <c r="L296" s="888"/>
      <c r="M296" s="888"/>
      <c r="N296" s="888"/>
      <c r="O296" s="888"/>
      <c r="P296" s="888"/>
      <c r="Q296" s="888"/>
      <c r="R296" s="888"/>
    </row>
    <row r="297" spans="1:18" s="893" customFormat="1" x14ac:dyDescent="0.3">
      <c r="A297" s="888" t="str">
        <f>IF(LEN('Translation-EN'!A297)&gt;0,'Translation-EN'!A297,"")</f>
        <v>Range</v>
      </c>
      <c r="B297" s="888" t="str">
        <f>IF(LEN('Translation-EN'!B297)&gt;0,'Translation-EN'!B297,"")</f>
        <v>Foundation Walls</v>
      </c>
      <c r="C297" s="888" t="str">
        <f>IF(LEN('Translation-EN'!C297)&gt;0,'Translation-EN'!C297,"")</f>
        <v>B79</v>
      </c>
      <c r="D297" s="888" t="str">
        <f>IF(LEN('Translation-EN'!D297)&gt;0,'Translation-EN'!D297,"")</f>
        <v/>
      </c>
      <c r="E297" s="893" t="s">
        <v>2905</v>
      </c>
      <c r="I297" s="888"/>
      <c r="J297" s="888"/>
      <c r="K297" s="888"/>
      <c r="L297" s="888"/>
      <c r="M297" s="888"/>
      <c r="N297" s="888"/>
      <c r="O297" s="888"/>
      <c r="P297" s="888"/>
      <c r="Q297" s="888"/>
      <c r="R297" s="888"/>
    </row>
    <row r="298" spans="1:18" s="893" customFormat="1" x14ac:dyDescent="0.3">
      <c r="A298" s="888" t="str">
        <f>IF(LEN('Translation-EN'!A298)&gt;0,'Translation-EN'!A298,"")</f>
        <v>Range</v>
      </c>
      <c r="B298" s="888" t="str">
        <f>IF(LEN('Translation-EN'!B298)&gt;0,'Translation-EN'!B298,"")</f>
        <v>Foundation Walls</v>
      </c>
      <c r="C298" s="888" t="str">
        <f>IF(LEN('Translation-EN'!C298)&gt;0,'Translation-EN'!C298,"")</f>
        <v>C80</v>
      </c>
      <c r="D298" s="888" t="str">
        <f>IF(LEN('Translation-EN'!D298)&gt;0,'Translation-EN'!D298,"")</f>
        <v/>
      </c>
      <c r="E298" s="893" t="s">
        <v>2906</v>
      </c>
      <c r="I298" s="888"/>
      <c r="J298" s="888"/>
      <c r="K298" s="888"/>
      <c r="L298" s="888"/>
      <c r="M298" s="888"/>
      <c r="N298" s="888"/>
      <c r="O298" s="888"/>
      <c r="P298" s="888"/>
      <c r="Q298" s="888"/>
      <c r="R298" s="888"/>
    </row>
    <row r="299" spans="1:18" s="893" customFormat="1" x14ac:dyDescent="0.3">
      <c r="A299" s="888" t="str">
        <f>IF(LEN('Translation-EN'!A299)&gt;0,'Translation-EN'!A299,"")</f>
        <v>Range</v>
      </c>
      <c r="B299" s="888" t="str">
        <f>IF(LEN('Translation-EN'!B299)&gt;0,'Translation-EN'!B299,"")</f>
        <v>Foundation Walls</v>
      </c>
      <c r="C299" s="888" t="str">
        <f>IF(LEN('Translation-EN'!C299)&gt;0,'Translation-EN'!C299,"")</f>
        <v>B83</v>
      </c>
      <c r="D299" s="888" t="str">
        <f>IF(LEN('Translation-EN'!D299)&gt;0,'Translation-EN'!D299,"")</f>
        <v/>
      </c>
      <c r="E299" s="893" t="str">
        <f>$E$231</f>
        <v>PANNEAU EN LIÈGE</v>
      </c>
      <c r="I299" s="888"/>
      <c r="J299" s="888"/>
      <c r="K299" s="888"/>
      <c r="L299" s="888"/>
      <c r="M299" s="888"/>
      <c r="N299" s="888"/>
      <c r="O299" s="888"/>
      <c r="P299" s="888"/>
      <c r="Q299" s="888"/>
      <c r="R299" s="888"/>
    </row>
    <row r="300" spans="1:18" s="893" customFormat="1" x14ac:dyDescent="0.3">
      <c r="A300" s="888" t="str">
        <f>IF(LEN('Translation-EN'!A300)&gt;0,'Translation-EN'!A300,"")</f>
        <v>Range</v>
      </c>
      <c r="B300" s="888" t="str">
        <f>IF(LEN('Translation-EN'!B300)&gt;0,'Translation-EN'!B300,"")</f>
        <v>Foundation Walls</v>
      </c>
      <c r="C300" s="888" t="str">
        <f>IF(LEN('Translation-EN'!C300)&gt;0,'Translation-EN'!C300,"")</f>
        <v>B85</v>
      </c>
      <c r="D300" s="888" t="str">
        <f>IF(LEN('Translation-EN'!D300)&gt;0,'Translation-EN'!D300,"")</f>
        <v/>
      </c>
      <c r="E300" s="893" t="s">
        <v>2907</v>
      </c>
      <c r="I300" s="888"/>
      <c r="J300" s="888"/>
      <c r="K300" s="888"/>
      <c r="L300" s="888"/>
      <c r="M300" s="888"/>
      <c r="N300" s="888"/>
      <c r="O300" s="888"/>
      <c r="P300" s="888"/>
      <c r="Q300" s="888"/>
      <c r="R300" s="888"/>
    </row>
    <row r="301" spans="1:18" s="893" customFormat="1" x14ac:dyDescent="0.3">
      <c r="A301" s="888" t="str">
        <f>IF(LEN('Translation-EN'!A301)&gt;0,'Translation-EN'!A301,"")</f>
        <v>Range</v>
      </c>
      <c r="B301" s="888" t="str">
        <f>IF(LEN('Translation-EN'!B301)&gt;0,'Translation-EN'!B301,"")</f>
        <v>Foundation Walls</v>
      </c>
      <c r="C301" s="888" t="str">
        <f>IF(LEN('Translation-EN'!C301)&gt;0,'Translation-EN'!C301,"")</f>
        <v>B88</v>
      </c>
      <c r="D301" s="888" t="str">
        <f>IF(LEN('Translation-EN'!D301)&gt;0,'Translation-EN'!D301,"")</f>
        <v/>
      </c>
      <c r="E301" s="893" t="s">
        <v>5048</v>
      </c>
      <c r="I301" s="888"/>
      <c r="J301" s="888"/>
      <c r="K301" s="888"/>
      <c r="L301" s="888"/>
      <c r="M301" s="888"/>
      <c r="N301" s="888"/>
      <c r="O301" s="888"/>
      <c r="P301" s="888"/>
      <c r="Q301" s="888"/>
      <c r="R301" s="888"/>
    </row>
    <row r="302" spans="1:18" s="893" customFormat="1" x14ac:dyDescent="0.3">
      <c r="A302" s="888" t="str">
        <f>IF(LEN('Translation-EN'!A302)&gt;0,'Translation-EN'!A302,"")</f>
        <v>Range</v>
      </c>
      <c r="B302" s="888" t="str">
        <f>IF(LEN('Translation-EN'!B302)&gt;0,'Translation-EN'!B302,"")</f>
        <v>Foundation Walls</v>
      </c>
      <c r="C302" s="888" t="str">
        <f>IF(LEN('Translation-EN'!C302)&gt;0,'Translation-EN'!C302,"")</f>
        <v>A90</v>
      </c>
      <c r="D302" s="888" t="str">
        <f>IF(LEN('Translation-EN'!D302)&gt;0,'Translation-EN'!D302,"")</f>
        <v/>
      </c>
      <c r="E302" s="893" t="s">
        <v>2908</v>
      </c>
      <c r="I302" s="888"/>
      <c r="J302" s="888"/>
      <c r="K302" s="888"/>
      <c r="L302" s="888"/>
      <c r="M302" s="888"/>
      <c r="N302" s="888"/>
      <c r="O302" s="888"/>
      <c r="P302" s="888"/>
      <c r="Q302" s="888"/>
      <c r="R302" s="888"/>
    </row>
    <row r="303" spans="1:18" s="893" customFormat="1" x14ac:dyDescent="0.3">
      <c r="A303" s="888" t="str">
        <f>IF(LEN('Translation-EN'!A303)&gt;0,'Translation-EN'!A303,"")</f>
        <v>Range</v>
      </c>
      <c r="B303" s="888" t="str">
        <f>IF(LEN('Translation-EN'!B303)&gt;0,'Translation-EN'!B303,"")</f>
        <v>Foundation Walls</v>
      </c>
      <c r="C303" s="888" t="str">
        <f>IF(LEN('Translation-EN'!C303)&gt;0,'Translation-EN'!C303,"")</f>
        <v>A91</v>
      </c>
      <c r="D303" s="888" t="str">
        <f>IF(LEN('Translation-EN'!D303)&gt;0,'Translation-EN'!D303,"")</f>
        <v/>
      </c>
      <c r="E303" s="893" t="s">
        <v>2909</v>
      </c>
      <c r="I303" s="888"/>
      <c r="J303" s="888"/>
      <c r="K303" s="888"/>
      <c r="L303" s="888"/>
      <c r="M303" s="888"/>
      <c r="N303" s="888"/>
      <c r="O303" s="888"/>
      <c r="P303" s="888"/>
      <c r="Q303" s="888"/>
      <c r="R303" s="888"/>
    </row>
    <row r="304" spans="1:18" s="893" customFormat="1" x14ac:dyDescent="0.3">
      <c r="A304" s="888" t="str">
        <f>IF(LEN('Translation-EN'!A304)&gt;0,'Translation-EN'!A304,"")</f>
        <v>Range</v>
      </c>
      <c r="B304" s="888" t="str">
        <f>IF(LEN('Translation-EN'!B304)&gt;0,'Translation-EN'!B304,"")</f>
        <v>Foundation Walls</v>
      </c>
      <c r="C304" s="888" t="str">
        <f>IF(LEN('Translation-EN'!C304)&gt;0,'Translation-EN'!C304,"")</f>
        <v>B92</v>
      </c>
      <c r="D304" s="888" t="str">
        <f>IF(LEN('Translation-EN'!D304)&gt;0,'Translation-EN'!D304,"")</f>
        <v/>
      </c>
      <c r="E304" s="893" t="str">
        <f>$E$193</f>
        <v>BÉTON –25 MPa ou moins</v>
      </c>
      <c r="I304" s="888"/>
      <c r="J304" s="888"/>
      <c r="K304" s="888"/>
      <c r="L304" s="888"/>
      <c r="M304" s="888"/>
      <c r="N304" s="888"/>
      <c r="O304" s="888"/>
      <c r="P304" s="888"/>
      <c r="Q304" s="888"/>
      <c r="R304" s="888"/>
    </row>
    <row r="305" spans="1:18" s="893" customFormat="1" x14ac:dyDescent="0.3">
      <c r="A305" s="888" t="str">
        <f>IF(LEN('Translation-EN'!A305)&gt;0,'Translation-EN'!A305,"")</f>
        <v>Range</v>
      </c>
      <c r="B305" s="888" t="str">
        <f>IF(LEN('Translation-EN'!B305)&gt;0,'Translation-EN'!B305,"")</f>
        <v>Foundation Walls</v>
      </c>
      <c r="C305" s="888" t="str">
        <f>IF(LEN('Translation-EN'!C305)&gt;0,'Translation-EN'!C305,"")</f>
        <v>A93</v>
      </c>
      <c r="D305" s="888" t="str">
        <f>IF(LEN('Translation-EN'!D305)&gt;0,'Translation-EN'!D305,"")</f>
        <v/>
      </c>
      <c r="E305" s="893" t="s">
        <v>2910</v>
      </c>
      <c r="I305" s="888"/>
      <c r="J305" s="888"/>
      <c r="K305" s="888"/>
      <c r="L305" s="888"/>
      <c r="M305" s="888"/>
      <c r="N305" s="888"/>
      <c r="O305" s="888"/>
      <c r="P305" s="888"/>
      <c r="Q305" s="888"/>
      <c r="R305" s="888"/>
    </row>
    <row r="306" spans="1:18" s="893" customFormat="1" x14ac:dyDescent="0.3">
      <c r="A306" s="888" t="str">
        <f>IF(LEN('Translation-EN'!A306)&gt;0,'Translation-EN'!A306,"")</f>
        <v>Range</v>
      </c>
      <c r="B306" s="888" t="str">
        <f>IF(LEN('Translation-EN'!B306)&gt;0,'Translation-EN'!B306,"")</f>
        <v>Foundation Walls</v>
      </c>
      <c r="C306" s="888" t="str">
        <f>IF(LEN('Translation-EN'!C306)&gt;0,'Translation-EN'!C306,"")</f>
        <v>B100</v>
      </c>
      <c r="D306" s="888" t="str">
        <f>IF(LEN('Translation-EN'!D306)&gt;0,'Translation-EN'!D306,"")</f>
        <v/>
      </c>
      <c r="E306" s="913" t="str">
        <f>$E$195</f>
        <v>BÉTON –26-30 MPa</v>
      </c>
      <c r="I306" s="888"/>
      <c r="J306" s="888"/>
      <c r="K306" s="888"/>
      <c r="L306" s="888"/>
      <c r="M306" s="888"/>
      <c r="N306" s="888"/>
      <c r="O306" s="888"/>
      <c r="P306" s="888"/>
      <c r="Q306" s="888"/>
      <c r="R306" s="888"/>
    </row>
    <row r="307" spans="1:18" s="893" customFormat="1" x14ac:dyDescent="0.3">
      <c r="A307" s="888" t="str">
        <f>IF(LEN('Translation-EN'!A307)&gt;0,'Translation-EN'!A307,"")</f>
        <v>Range</v>
      </c>
      <c r="B307" s="888" t="str">
        <f>IF(LEN('Translation-EN'!B307)&gt;0,'Translation-EN'!B307,"")</f>
        <v>Foundation Walls</v>
      </c>
      <c r="C307" s="888" t="str">
        <f>IF(LEN('Translation-EN'!C307)&gt;0,'Translation-EN'!C307,"")</f>
        <v>A101</v>
      </c>
      <c r="D307" s="888" t="str">
        <f>IF(LEN('Translation-EN'!D307)&gt;0,'Translation-EN'!D307,"")</f>
        <v/>
      </c>
      <c r="E307" s="913" t="str">
        <f>$E$194</f>
        <v>Les spécifications du mélange de béton font une grande différence dans l’empreinte carbone. Les spécifications du mélange présentées ici peuvent être utilisées pour discuter des options de mélange à faible teneur en carbone avec votre fournisseur.</v>
      </c>
      <c r="I307" s="888"/>
      <c r="J307" s="888"/>
      <c r="K307" s="888"/>
      <c r="L307" s="888"/>
      <c r="M307" s="888"/>
      <c r="N307" s="888"/>
      <c r="O307" s="888"/>
      <c r="P307" s="888"/>
      <c r="Q307" s="888"/>
      <c r="R307" s="888"/>
    </row>
    <row r="308" spans="1:18" s="893" customFormat="1" x14ac:dyDescent="0.3">
      <c r="A308" s="888" t="str">
        <f>IF(LEN('Translation-EN'!A308)&gt;0,'Translation-EN'!A308,"")</f>
        <v>Range</v>
      </c>
      <c r="B308" s="888" t="str">
        <f>IF(LEN('Translation-EN'!B308)&gt;0,'Translation-EN'!B308,"")</f>
        <v>Foundation Walls</v>
      </c>
      <c r="C308" s="888" t="str">
        <f>IF(LEN('Translation-EN'!C308)&gt;0,'Translation-EN'!C308,"")</f>
        <v>B108</v>
      </c>
      <c r="D308" s="888" t="str">
        <f>IF(LEN('Translation-EN'!D308)&gt;0,'Translation-EN'!D308,"")</f>
        <v/>
      </c>
      <c r="E308" s="913" t="str">
        <f>$E$197</f>
        <v>BÉTON –31-35 MPa</v>
      </c>
      <c r="I308" s="888"/>
      <c r="J308" s="888"/>
      <c r="K308" s="888"/>
      <c r="L308" s="888"/>
      <c r="M308" s="888"/>
      <c r="N308" s="888"/>
      <c r="O308" s="888"/>
      <c r="P308" s="888"/>
      <c r="Q308" s="888"/>
      <c r="R308" s="888"/>
    </row>
    <row r="309" spans="1:18" s="893" customFormat="1" x14ac:dyDescent="0.3">
      <c r="A309" s="888" t="str">
        <f>IF(LEN('Translation-EN'!A309)&gt;0,'Translation-EN'!A309,"")</f>
        <v>Range</v>
      </c>
      <c r="B309" s="888" t="str">
        <f>IF(LEN('Translation-EN'!B309)&gt;0,'Translation-EN'!B309,"")</f>
        <v>Foundation Walls</v>
      </c>
      <c r="C309" s="888" t="str">
        <f>IF(LEN('Translation-EN'!C309)&gt;0,'Translation-EN'!C309,"")</f>
        <v>A109</v>
      </c>
      <c r="D309" s="888" t="str">
        <f>IF(LEN('Translation-EN'!D309)&gt;0,'Translation-EN'!D309,"")</f>
        <v/>
      </c>
      <c r="E309" s="913" t="str">
        <f>$E$194</f>
        <v>Les spécifications du mélange de béton font une grande différence dans l’empreinte carbone. Les spécifications du mélange présentées ici peuvent être utilisées pour discuter des options de mélange à faible teneur en carbone avec votre fournisseur.</v>
      </c>
      <c r="I309" s="888"/>
      <c r="J309" s="888"/>
      <c r="K309" s="888"/>
      <c r="L309" s="888"/>
      <c r="M309" s="888"/>
      <c r="N309" s="888"/>
      <c r="O309" s="888"/>
      <c r="P309" s="888"/>
      <c r="Q309" s="888"/>
      <c r="R309" s="888"/>
    </row>
    <row r="310" spans="1:18" s="893" customFormat="1" x14ac:dyDescent="0.3">
      <c r="A310" s="888" t="str">
        <f>IF(LEN('Translation-EN'!A310)&gt;0,'Translation-EN'!A310,"")</f>
        <v>Range</v>
      </c>
      <c r="B310" s="888" t="str">
        <f>IF(LEN('Translation-EN'!B310)&gt;0,'Translation-EN'!B310,"")</f>
        <v>Foundation Walls</v>
      </c>
      <c r="C310" s="888" t="str">
        <f>IF(LEN('Translation-EN'!C310)&gt;0,'Translation-EN'!C310,"")</f>
        <v>A116</v>
      </c>
      <c r="D310" s="888" t="str">
        <f>IF(LEN('Translation-EN'!D310)&gt;0,'Translation-EN'!D310,"")</f>
        <v/>
      </c>
      <c r="E310" s="893" t="s">
        <v>2911</v>
      </c>
      <c r="I310" s="888"/>
      <c r="J310" s="888"/>
      <c r="K310" s="888"/>
      <c r="L310" s="888"/>
      <c r="M310" s="888"/>
      <c r="N310" s="888"/>
      <c r="O310" s="888"/>
      <c r="P310" s="888"/>
      <c r="Q310" s="888"/>
      <c r="R310" s="888"/>
    </row>
    <row r="311" spans="1:18" s="893" customFormat="1" x14ac:dyDescent="0.3">
      <c r="A311" s="888" t="str">
        <f>IF(LEN('Translation-EN'!A311)&gt;0,'Translation-EN'!A311,"")</f>
        <v>Range</v>
      </c>
      <c r="B311" s="888" t="str">
        <f>IF(LEN('Translation-EN'!B311)&gt;0,'Translation-EN'!B311,"")</f>
        <v>Foundation Walls</v>
      </c>
      <c r="C311" s="888" t="str">
        <f>IF(LEN('Translation-EN'!C311)&gt;0,'Translation-EN'!C311,"")</f>
        <v>A117</v>
      </c>
      <c r="D311" s="888" t="str">
        <f>IF(LEN('Translation-EN'!D311)&gt;0,'Translation-EN'!D311,"")</f>
        <v/>
      </c>
      <c r="E311" s="893" t="str">
        <f>$E$303</f>
        <v>Étape 1 : Sélectionnez la taille du CIB</v>
      </c>
      <c r="I311" s="888"/>
      <c r="J311" s="888"/>
      <c r="K311" s="888"/>
      <c r="L311" s="888"/>
      <c r="M311" s="888"/>
      <c r="N311" s="888"/>
      <c r="O311" s="888"/>
      <c r="P311" s="888"/>
      <c r="Q311" s="888"/>
      <c r="R311" s="888"/>
    </row>
    <row r="312" spans="1:18" s="893" customFormat="1" ht="15" thickBot="1" x14ac:dyDescent="0.35">
      <c r="A312" s="888" t="str">
        <f>IF(LEN('Translation-EN'!A312)&gt;0,'Translation-EN'!A312,"")</f>
        <v>Range</v>
      </c>
      <c r="B312" s="888" t="str">
        <f>IF(LEN('Translation-EN'!B312)&gt;0,'Translation-EN'!B312,"")</f>
        <v>Foundation Walls</v>
      </c>
      <c r="C312" s="888" t="str">
        <f>IF(LEN('Translation-EN'!C312)&gt;0,'Translation-EN'!C312,"")</f>
        <v>B121</v>
      </c>
      <c r="D312" s="888" t="str">
        <f>IF(LEN('Translation-EN'!D312)&gt;0,'Translation-EN'!D312,"")</f>
        <v/>
      </c>
      <c r="E312" s="913" t="str">
        <f>$E$193</f>
        <v>BÉTON –25 MPa ou moins</v>
      </c>
      <c r="I312" s="888"/>
      <c r="J312" s="888"/>
      <c r="K312" s="888"/>
      <c r="L312" s="888"/>
      <c r="M312" s="888"/>
      <c r="N312" s="888"/>
      <c r="O312" s="888"/>
      <c r="P312" s="888"/>
      <c r="Q312" s="888"/>
      <c r="R312" s="888"/>
    </row>
    <row r="313" spans="1:18" s="893" customFormat="1" x14ac:dyDescent="0.3">
      <c r="A313" s="888" t="str">
        <f>IF(LEN('Translation-EN'!A313)&gt;0,'Translation-EN'!A313,"")</f>
        <v>Range</v>
      </c>
      <c r="B313" s="888" t="str">
        <f>IF(LEN('Translation-EN'!B313)&gt;0,'Translation-EN'!B313,"")</f>
        <v>Foundation Walls</v>
      </c>
      <c r="C313" s="888" t="str">
        <f>IF(LEN('Translation-EN'!C313)&gt;0,'Translation-EN'!C313,"")</f>
        <v>A122</v>
      </c>
      <c r="D313" s="888" t="b">
        <f>IF(LEN('Translation-EN'!D313)&gt;0,'Translation-EN'!D313,"")</f>
        <v>1</v>
      </c>
      <c r="E313" s="1686" t="s">
        <v>2912</v>
      </c>
      <c r="F313" s="1687"/>
      <c r="I313" s="888"/>
      <c r="J313" s="888"/>
      <c r="K313" s="888"/>
      <c r="L313" s="888"/>
      <c r="M313" s="888"/>
      <c r="N313" s="888"/>
      <c r="O313" s="888"/>
      <c r="P313" s="888"/>
      <c r="Q313" s="888"/>
      <c r="R313" s="888"/>
    </row>
    <row r="314" spans="1:18" s="893" customFormat="1" x14ac:dyDescent="0.3">
      <c r="A314" s="888" t="str">
        <f>IF(LEN('Translation-EN'!A314)&gt;0,'Translation-EN'!A314,"")</f>
        <v>-</v>
      </c>
      <c r="B314" s="888" t="str">
        <f>IF(LEN('Translation-EN'!B314)&gt;0,'Translation-EN'!B314,"")</f>
        <v/>
      </c>
      <c r="C314" s="888" t="str">
        <f>IF(LEN('Translation-EN'!C314)&gt;0,'Translation-EN'!C314,"")</f>
        <v/>
      </c>
      <c r="D314" s="888" t="str">
        <f>IF(LEN('Translation-EN'!D314)&gt;0,'Translation-EN'!D314,"")</f>
        <v/>
      </c>
      <c r="E314" s="1682"/>
      <c r="F314" s="1688"/>
      <c r="I314" s="888"/>
      <c r="J314" s="888"/>
      <c r="K314" s="888"/>
      <c r="L314" s="888"/>
      <c r="M314" s="888"/>
      <c r="N314" s="888"/>
      <c r="O314" s="888"/>
      <c r="P314" s="888"/>
      <c r="Q314" s="888"/>
      <c r="R314" s="888"/>
    </row>
    <row r="315" spans="1:18" s="893" customFormat="1" x14ac:dyDescent="0.3">
      <c r="A315" s="888" t="str">
        <f>IF(LEN('Translation-EN'!A315)&gt;0,'Translation-EN'!A315,"")</f>
        <v>-</v>
      </c>
      <c r="B315" s="888" t="str">
        <f>IF(LEN('Translation-EN'!B315)&gt;0,'Translation-EN'!B315,"")</f>
        <v/>
      </c>
      <c r="C315" s="888" t="str">
        <f>IF(LEN('Translation-EN'!C315)&gt;0,'Translation-EN'!C315,"")</f>
        <v/>
      </c>
      <c r="D315" s="888" t="str">
        <f>IF(LEN('Translation-EN'!D315)&gt;0,'Translation-EN'!D315,"")</f>
        <v/>
      </c>
      <c r="E315" s="1682"/>
      <c r="F315" s="1688"/>
      <c r="I315" s="888"/>
      <c r="J315" s="888"/>
      <c r="K315" s="888"/>
      <c r="L315" s="888"/>
      <c r="M315" s="888"/>
      <c r="N315" s="888"/>
      <c r="O315" s="888"/>
      <c r="P315" s="888"/>
      <c r="Q315" s="888"/>
      <c r="R315" s="888"/>
    </row>
    <row r="316" spans="1:18" s="893" customFormat="1" x14ac:dyDescent="0.3">
      <c r="A316" s="888" t="str">
        <f>IF(LEN('Translation-EN'!A316)&gt;0,'Translation-EN'!A316,"")</f>
        <v>-</v>
      </c>
      <c r="B316" s="888" t="str">
        <f>IF(LEN('Translation-EN'!B316)&gt;0,'Translation-EN'!B316,"")</f>
        <v/>
      </c>
      <c r="C316" s="888" t="str">
        <f>IF(LEN('Translation-EN'!C316)&gt;0,'Translation-EN'!C316,"")</f>
        <v/>
      </c>
      <c r="D316" s="888" t="str">
        <f>IF(LEN('Translation-EN'!D316)&gt;0,'Translation-EN'!D316,"")</f>
        <v/>
      </c>
      <c r="E316" s="1682"/>
      <c r="F316" s="1688"/>
      <c r="I316" s="888"/>
      <c r="J316" s="888"/>
      <c r="K316" s="888"/>
      <c r="L316" s="888"/>
      <c r="M316" s="888"/>
      <c r="N316" s="888"/>
      <c r="O316" s="888"/>
      <c r="P316" s="888"/>
      <c r="Q316" s="888"/>
      <c r="R316" s="888"/>
    </row>
    <row r="317" spans="1:18" s="893" customFormat="1" x14ac:dyDescent="0.3">
      <c r="A317" s="888" t="str">
        <f>IF(LEN('Translation-EN'!A317)&gt;0,'Translation-EN'!A317,"")</f>
        <v>-</v>
      </c>
      <c r="B317" s="888" t="str">
        <f>IF(LEN('Translation-EN'!B317)&gt;0,'Translation-EN'!B317,"")</f>
        <v/>
      </c>
      <c r="C317" s="888" t="str">
        <f>IF(LEN('Translation-EN'!C317)&gt;0,'Translation-EN'!C317,"")</f>
        <v/>
      </c>
      <c r="D317" s="888" t="str">
        <f>IF(LEN('Translation-EN'!D317)&gt;0,'Translation-EN'!D317,"")</f>
        <v/>
      </c>
      <c r="E317" s="1682"/>
      <c r="F317" s="1688"/>
      <c r="I317" s="888"/>
      <c r="J317" s="888"/>
      <c r="K317" s="888"/>
      <c r="L317" s="888"/>
      <c r="M317" s="888"/>
      <c r="N317" s="888"/>
      <c r="O317" s="888"/>
      <c r="P317" s="888"/>
      <c r="Q317" s="888"/>
      <c r="R317" s="888"/>
    </row>
    <row r="318" spans="1:18" s="893" customFormat="1" x14ac:dyDescent="0.3">
      <c r="A318" s="888" t="str">
        <f>IF(LEN('Translation-EN'!A318)&gt;0,'Translation-EN'!A318,"")</f>
        <v>-</v>
      </c>
      <c r="B318" s="888" t="str">
        <f>IF(LEN('Translation-EN'!B318)&gt;0,'Translation-EN'!B318,"")</f>
        <v/>
      </c>
      <c r="C318" s="888" t="str">
        <f>IF(LEN('Translation-EN'!C318)&gt;0,'Translation-EN'!C318,"")</f>
        <v/>
      </c>
      <c r="D318" s="888" t="str">
        <f>IF(LEN('Translation-EN'!D318)&gt;0,'Translation-EN'!D318,"")</f>
        <v/>
      </c>
      <c r="E318" s="1682"/>
      <c r="F318" s="1688"/>
      <c r="I318" s="888"/>
      <c r="J318" s="888"/>
      <c r="K318" s="888"/>
      <c r="L318" s="888"/>
      <c r="M318" s="888"/>
      <c r="N318" s="888"/>
      <c r="O318" s="888"/>
      <c r="P318" s="888"/>
      <c r="Q318" s="888"/>
      <c r="R318" s="888"/>
    </row>
    <row r="319" spans="1:18" s="893" customFormat="1" x14ac:dyDescent="0.3">
      <c r="A319" s="888" t="str">
        <f>IF(LEN('Translation-EN'!A319)&gt;0,'Translation-EN'!A319,"")</f>
        <v>-</v>
      </c>
      <c r="B319" s="888" t="str">
        <f>IF(LEN('Translation-EN'!B319)&gt;0,'Translation-EN'!B319,"")</f>
        <v/>
      </c>
      <c r="C319" s="888" t="str">
        <f>IF(LEN('Translation-EN'!C319)&gt;0,'Translation-EN'!C319,"")</f>
        <v/>
      </c>
      <c r="D319" s="888" t="str">
        <f>IF(LEN('Translation-EN'!D319)&gt;0,'Translation-EN'!D319,"")</f>
        <v/>
      </c>
      <c r="E319" s="1684"/>
      <c r="F319" s="1689"/>
      <c r="I319" s="888"/>
      <c r="J319" s="888"/>
      <c r="K319" s="888"/>
      <c r="L319" s="888"/>
      <c r="M319" s="888"/>
      <c r="N319" s="888"/>
      <c r="O319" s="888"/>
      <c r="P319" s="888"/>
      <c r="Q319" s="888"/>
      <c r="R319" s="888"/>
    </row>
    <row r="320" spans="1:18" customFormat="1" ht="15.6" x14ac:dyDescent="0.3">
      <c r="A320" s="888" t="str">
        <f>IF(LEN('Translation-EN'!A320)&gt;0,'Translation-EN'!A320,"")</f>
        <v>Range</v>
      </c>
      <c r="B320" s="888" t="str">
        <f>IF(LEN('Translation-EN'!B320)&gt;0,'Translation-EN'!B320,"")</f>
        <v>Foundation Walls</v>
      </c>
      <c r="C320" s="888" t="str">
        <f>IF(LEN('Translation-EN'!C320)&gt;0,'Translation-EN'!C320,"")</f>
        <v>B129</v>
      </c>
      <c r="D320" s="888" t="str">
        <f>IF(LEN('Translation-EN'!D320)&gt;0,'Translation-EN'!D320,"")</f>
        <v/>
      </c>
      <c r="E320" s="893" t="str">
        <f>$E$195</f>
        <v>BÉTON –26-30 MPa</v>
      </c>
    </row>
    <row r="321" spans="1:18" customFormat="1" ht="15.6" x14ac:dyDescent="0.3">
      <c r="A321" s="888" t="str">
        <f>IF(LEN('Translation-EN'!A321)&gt;0,'Translation-EN'!A321,"")</f>
        <v>Range</v>
      </c>
      <c r="B321" s="888" t="str">
        <f>IF(LEN('Translation-EN'!B321)&gt;0,'Translation-EN'!B321,"")</f>
        <v>Foundation Walls</v>
      </c>
      <c r="C321" s="888" t="str">
        <f>IF(LEN('Translation-EN'!C321)&gt;0,'Translation-EN'!C321,"")</f>
        <v>A130</v>
      </c>
      <c r="D321" s="888" t="str">
        <f>IF(LEN('Translation-EN'!D321)&gt;0,'Translation-EN'!D321,"")</f>
        <v/>
      </c>
      <c r="E321" s="913"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322" spans="1:18" customFormat="1" ht="15.6" x14ac:dyDescent="0.3">
      <c r="A322" s="888" t="str">
        <f>IF(LEN('Translation-EN'!A322)&gt;0,'Translation-EN'!A322,"")</f>
        <v>Range</v>
      </c>
      <c r="B322" s="888" t="str">
        <f>IF(LEN('Translation-EN'!B322)&gt;0,'Translation-EN'!B322,"")</f>
        <v>Foundation Walls</v>
      </c>
      <c r="C322" s="888" t="str">
        <f>IF(LEN('Translation-EN'!C322)&gt;0,'Translation-EN'!C322,"")</f>
        <v>B137</v>
      </c>
      <c r="D322" s="888" t="str">
        <f>IF(LEN('Translation-EN'!D322)&gt;0,'Translation-EN'!D322,"")</f>
        <v/>
      </c>
      <c r="E322" s="913" t="str">
        <f>$E$197</f>
        <v>BÉTON –31-35 MPa</v>
      </c>
    </row>
    <row r="323" spans="1:18" customFormat="1" ht="15.6" x14ac:dyDescent="0.3">
      <c r="A323" s="888" t="str">
        <f>IF(LEN('Translation-EN'!A323)&gt;0,'Translation-EN'!A323,"")</f>
        <v>Range</v>
      </c>
      <c r="B323" s="888" t="str">
        <f>IF(LEN('Translation-EN'!B323)&gt;0,'Translation-EN'!B323,"")</f>
        <v>Foundation Walls</v>
      </c>
      <c r="C323" s="888" t="str">
        <f>IF(LEN('Translation-EN'!C323)&gt;0,'Translation-EN'!C323,"")</f>
        <v>A138</v>
      </c>
      <c r="D323" s="888" t="str">
        <f>IF(LEN('Translation-EN'!D323)&gt;0,'Translation-EN'!D323,"")</f>
        <v/>
      </c>
      <c r="E323" s="913"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324" spans="1:18" s="893" customFormat="1" x14ac:dyDescent="0.3">
      <c r="A324" s="888" t="str">
        <f>IF(LEN('Translation-EN'!A324)&gt;0,'Translation-EN'!A324,"")</f>
        <v>Range</v>
      </c>
      <c r="B324" s="888" t="str">
        <f>IF(LEN('Translation-EN'!B324)&gt;0,'Translation-EN'!B324,"")</f>
        <v>Foundation Walls</v>
      </c>
      <c r="C324" s="888" t="str">
        <f>IF(LEN('Translation-EN'!C324)&gt;0,'Translation-EN'!C324,"")</f>
        <v>A145</v>
      </c>
      <c r="D324" s="888" t="str">
        <f>IF(LEN('Translation-EN'!D324)&gt;0,'Translation-EN'!D324,"")</f>
        <v/>
      </c>
      <c r="E324" s="893" t="s">
        <v>2913</v>
      </c>
      <c r="I324" s="888"/>
      <c r="J324" s="888"/>
      <c r="K324" s="888"/>
      <c r="L324" s="888"/>
      <c r="M324" s="888"/>
      <c r="N324" s="888"/>
      <c r="O324" s="888"/>
      <c r="P324" s="888"/>
      <c r="Q324" s="888"/>
      <c r="R324" s="888"/>
    </row>
    <row r="325" spans="1:18" s="893" customFormat="1" x14ac:dyDescent="0.3">
      <c r="A325" s="888" t="str">
        <f>IF(LEN('Translation-EN'!A325)&gt;0,'Translation-EN'!A325,"")</f>
        <v>Range</v>
      </c>
      <c r="B325" s="888" t="str">
        <f>IF(LEN('Translation-EN'!B325)&gt;0,'Translation-EN'!B325,"")</f>
        <v>Foundation Walls</v>
      </c>
      <c r="C325" s="888" t="str">
        <f>IF(LEN('Translation-EN'!C325)&gt;0,'Translation-EN'!C325,"")</f>
        <v>D145</v>
      </c>
      <c r="D325" s="888" t="str">
        <f>IF(LEN('Translation-EN'!D325)&gt;0,'Translation-EN'!D325,"")</f>
        <v/>
      </c>
      <c r="E325" s="893" t="s">
        <v>2914</v>
      </c>
      <c r="I325" s="888"/>
      <c r="J325" s="888"/>
      <c r="K325" s="888"/>
      <c r="L325" s="888"/>
      <c r="M325" s="888"/>
      <c r="N325" s="888"/>
      <c r="O325" s="888"/>
      <c r="P325" s="888"/>
      <c r="Q325" s="888"/>
      <c r="R325" s="888"/>
    </row>
    <row r="326" spans="1:18" s="893" customFormat="1" x14ac:dyDescent="0.3">
      <c r="A326" s="888" t="str">
        <f>IF(LEN('Translation-EN'!A326)&gt;0,'Translation-EN'!A326,"")</f>
        <v>Range</v>
      </c>
      <c r="B326" s="888" t="str">
        <f>IF(LEN('Translation-EN'!B326)&gt;0,'Translation-EN'!B326,"")</f>
        <v>_Foundation Walls</v>
      </c>
      <c r="C326" s="888" t="str">
        <f>IF(LEN('Translation-EN'!C326)&gt;0,'Translation-EN'!C326,"")</f>
        <v>B149</v>
      </c>
      <c r="D326" s="888" t="str">
        <f>IF(LEN('Translation-EN'!D326)&gt;0,'Translation-EN'!D326,"")</f>
        <v/>
      </c>
      <c r="E326" s="893" t="s">
        <v>2915</v>
      </c>
      <c r="I326" s="888"/>
      <c r="J326" s="888"/>
      <c r="K326" s="888"/>
      <c r="L326" s="888"/>
      <c r="M326" s="888"/>
      <c r="N326" s="888"/>
      <c r="O326" s="888"/>
      <c r="P326" s="888"/>
      <c r="Q326" s="888"/>
      <c r="R326" s="888"/>
    </row>
    <row r="327" spans="1:18" s="893" customFormat="1" x14ac:dyDescent="0.3">
      <c r="A327" s="888" t="str">
        <f>IF(LEN('Translation-EN'!A327)&gt;0,'Translation-EN'!A327,"")</f>
        <v>Range</v>
      </c>
      <c r="B327" s="888" t="str">
        <f>IF(LEN('Translation-EN'!B327)&gt;0,'Translation-EN'!B327,"")</f>
        <v>_Foundation Walls</v>
      </c>
      <c r="C327" s="888" t="str">
        <f>IF(LEN('Translation-EN'!C327)&gt;0,'Translation-EN'!C327,"")</f>
        <v>B153</v>
      </c>
      <c r="D327" s="888" t="str">
        <f>IF(LEN('Translation-EN'!D327)&gt;0,'Translation-EN'!D327,"")</f>
        <v/>
      </c>
      <c r="E327" s="893" t="s">
        <v>2916</v>
      </c>
      <c r="I327" s="888"/>
      <c r="J327" s="888"/>
      <c r="K327" s="888"/>
      <c r="L327" s="888"/>
      <c r="M327" s="888"/>
      <c r="N327" s="888"/>
      <c r="O327" s="888"/>
      <c r="P327" s="888"/>
      <c r="Q327" s="888"/>
      <c r="R327" s="888"/>
    </row>
    <row r="328" spans="1:18" s="893" customFormat="1" x14ac:dyDescent="0.3">
      <c r="A328" s="888" t="str">
        <f>IF(LEN('Translation-EN'!A328)&gt;0,'Translation-EN'!A328,"")</f>
        <v>Range</v>
      </c>
      <c r="B328" s="888" t="str">
        <f>IF(LEN('Translation-EN'!B328)&gt;0,'Translation-EN'!B328,"")</f>
        <v>Foundation Walls</v>
      </c>
      <c r="C328" s="888" t="str">
        <f>IF(LEN('Translation-EN'!C328)&gt;0,'Translation-EN'!C328,"")</f>
        <v>B146</v>
      </c>
      <c r="D328" s="888" t="str">
        <f>IF(LEN('Translation-EN'!D328)&gt;0,'Translation-EN'!D328,"")</f>
        <v/>
      </c>
      <c r="E328" s="947" t="s">
        <v>7587</v>
      </c>
      <c r="I328" s="888"/>
      <c r="J328" s="888"/>
      <c r="K328" s="888"/>
      <c r="L328" s="888"/>
      <c r="M328" s="888"/>
      <c r="N328" s="888"/>
      <c r="O328" s="888"/>
      <c r="P328" s="888"/>
      <c r="Q328" s="888"/>
      <c r="R328" s="888"/>
    </row>
    <row r="329" spans="1:18" s="893" customFormat="1" x14ac:dyDescent="0.3">
      <c r="A329" s="888" t="str">
        <f>IF(LEN('Translation-EN'!A329)&gt;0,'Translation-EN'!A329,"")</f>
        <v>Range</v>
      </c>
      <c r="B329" s="888" t="str">
        <f>IF(LEN('Translation-EN'!B329)&gt;0,'Translation-EN'!B329,"")</f>
        <v>Foundation Walls</v>
      </c>
      <c r="C329" s="888" t="str">
        <f>IF(LEN('Translation-EN'!C329)&gt;0,'Translation-EN'!C329,"")</f>
        <v>B153</v>
      </c>
      <c r="D329" s="888" t="str">
        <f>IF(LEN('Translation-EN'!D329)&gt;0,'Translation-EN'!D329,"")</f>
        <v/>
      </c>
      <c r="E329" s="947" t="s">
        <v>7588</v>
      </c>
      <c r="I329" s="888"/>
      <c r="J329" s="888"/>
      <c r="K329" s="888"/>
      <c r="L329" s="888"/>
      <c r="M329" s="888"/>
      <c r="N329" s="888"/>
      <c r="O329" s="888"/>
      <c r="P329" s="888"/>
      <c r="Q329" s="888"/>
      <c r="R329" s="888"/>
    </row>
    <row r="330" spans="1:18" s="893" customFormat="1" x14ac:dyDescent="0.3">
      <c r="A330" s="888" t="str">
        <f>IF(LEN('Translation-EN'!A330)&gt;0,'Translation-EN'!A330,"")</f>
        <v>Range</v>
      </c>
      <c r="B330" s="888" t="str">
        <f>IF(LEN('Translation-EN'!B330)&gt;0,'Translation-EN'!B330,"")</f>
        <v>Foundation Walls</v>
      </c>
      <c r="C330" s="888" t="str">
        <f>IF(LEN('Translation-EN'!C330)&gt;0,'Translation-EN'!C330,"")</f>
        <v>B160</v>
      </c>
      <c r="D330" s="888" t="str">
        <f>IF(LEN('Translation-EN'!D330)&gt;0,'Translation-EN'!D330,"")</f>
        <v/>
      </c>
      <c r="E330" s="947" t="s">
        <v>7589</v>
      </c>
      <c r="I330" s="888"/>
      <c r="J330" s="888"/>
      <c r="K330" s="888"/>
      <c r="L330" s="888"/>
      <c r="M330" s="888"/>
      <c r="N330" s="888"/>
      <c r="O330" s="888"/>
      <c r="P330" s="888"/>
      <c r="Q330" s="888"/>
      <c r="R330" s="888"/>
    </row>
    <row r="331" spans="1:18" s="893" customFormat="1" x14ac:dyDescent="0.3">
      <c r="A331" s="888" t="str">
        <f>IF(LEN('Translation-EN'!A331)&gt;0,'Translation-EN'!A331,"")</f>
        <v>Range</v>
      </c>
      <c r="B331" s="888" t="str">
        <f>IF(LEN('Translation-EN'!B331)&gt;0,'Translation-EN'!B331,"")</f>
        <v>Foundation Walls</v>
      </c>
      <c r="C331" s="888" t="str">
        <f>IF(LEN('Translation-EN'!C331)&gt;0,'Translation-EN'!C331,"")</f>
        <v>B167</v>
      </c>
      <c r="D331" s="888" t="str">
        <f>IF(LEN('Translation-EN'!D331)&gt;0,'Translation-EN'!D331,"")</f>
        <v/>
      </c>
      <c r="E331" s="947" t="s">
        <v>7590</v>
      </c>
      <c r="I331" s="888"/>
      <c r="J331" s="888"/>
      <c r="K331" s="888"/>
      <c r="L331" s="888"/>
      <c r="M331" s="888"/>
      <c r="N331" s="888"/>
      <c r="O331" s="888"/>
      <c r="P331" s="888"/>
      <c r="Q331" s="888"/>
      <c r="R331" s="888"/>
    </row>
    <row r="332" spans="1:18" s="893" customFormat="1" x14ac:dyDescent="0.3">
      <c r="A332" s="888" t="str">
        <f>IF(LEN('Translation-EN'!A332)&gt;0,'Translation-EN'!A332,"")</f>
        <v>Range</v>
      </c>
      <c r="B332" s="888" t="str">
        <f>IF(LEN('Translation-EN'!B332)&gt;0,'Translation-EN'!B332,"")</f>
        <v>Foundation Walls</v>
      </c>
      <c r="C332" s="888" t="str">
        <f>IF(LEN('Translation-EN'!C332)&gt;0,'Translation-EN'!C332,"")</f>
        <v>A174</v>
      </c>
      <c r="D332" s="888" t="str">
        <f>IF(LEN('Translation-EN'!D332)&gt;0,'Translation-EN'!D332,"")</f>
        <v/>
      </c>
      <c r="E332" s="893" t="s">
        <v>2917</v>
      </c>
      <c r="I332" s="888"/>
      <c r="J332" s="888"/>
      <c r="K332" s="888"/>
      <c r="L332" s="888"/>
      <c r="M332" s="888"/>
      <c r="N332" s="888"/>
      <c r="O332" s="888"/>
      <c r="P332" s="888"/>
      <c r="Q332" s="888"/>
      <c r="R332" s="888"/>
    </row>
    <row r="333" spans="1:18" s="893" customFormat="1" x14ac:dyDescent="0.3">
      <c r="A333" s="888" t="str">
        <f>IF(LEN('Translation-EN'!A333)&gt;0,'Translation-EN'!A333,"")</f>
        <v>Range</v>
      </c>
      <c r="B333" s="888" t="str">
        <f>IF(LEN('Translation-EN'!B333)&gt;0,'Translation-EN'!B333,"")</f>
        <v>Foundation Walls</v>
      </c>
      <c r="C333" s="888" t="str">
        <f>IF(LEN('Translation-EN'!C333)&gt;0,'Translation-EN'!C333,"")</f>
        <v>D174</v>
      </c>
      <c r="D333" s="888" t="str">
        <f>IF(LEN('Translation-EN'!D333)&gt;0,'Translation-EN'!D333,"")</f>
        <v/>
      </c>
      <c r="E333" s="893" t="str">
        <f>$E$325</f>
        <v>L’ESPACEMENT DES CHARPENTES :</v>
      </c>
      <c r="I333" s="888"/>
      <c r="J333" s="888"/>
      <c r="K333" s="888"/>
      <c r="L333" s="888"/>
      <c r="M333" s="888"/>
      <c r="N333" s="888"/>
      <c r="O333" s="888"/>
      <c r="P333" s="888"/>
      <c r="Q333" s="888"/>
      <c r="R333" s="888"/>
    </row>
    <row r="334" spans="1:18" s="893" customFormat="1" x14ac:dyDescent="0.3">
      <c r="A334" s="888" t="str">
        <f>IF(LEN('Translation-EN'!A334)&gt;0,'Translation-EN'!A334,"")</f>
        <v>Range</v>
      </c>
      <c r="B334" s="888" t="str">
        <f>IF(LEN('Translation-EN'!B334)&gt;0,'Translation-EN'!B334,"")</f>
        <v>Foundation Walls</v>
      </c>
      <c r="C334" s="888" t="str">
        <f>IF(LEN('Translation-EN'!C334)&gt;0,'Translation-EN'!C334,"")</f>
        <v>B175</v>
      </c>
      <c r="D334" s="888" t="str">
        <f>IF(LEN('Translation-EN'!D334)&gt;0,'Translation-EN'!D334,"")</f>
        <v/>
      </c>
      <c r="E334" s="893" t="s">
        <v>2918</v>
      </c>
      <c r="I334" s="888"/>
      <c r="J334" s="888"/>
      <c r="K334" s="888"/>
      <c r="L334" s="888"/>
      <c r="M334" s="888"/>
      <c r="N334" s="888"/>
      <c r="O334" s="888"/>
      <c r="P334" s="888"/>
      <c r="Q334" s="888"/>
      <c r="R334" s="888"/>
    </row>
    <row r="335" spans="1:18" s="893" customFormat="1" x14ac:dyDescent="0.3">
      <c r="A335" s="888" t="str">
        <f>IF(LEN('Translation-EN'!A335)&gt;0,'Translation-EN'!A335,"")</f>
        <v>Range</v>
      </c>
      <c r="B335" s="888" t="str">
        <f>IF(LEN('Translation-EN'!B335)&gt;0,'Translation-EN'!B335,"")</f>
        <v>Foundation Walls</v>
      </c>
      <c r="C335" s="888" t="str">
        <f>IF(LEN('Translation-EN'!C335)&gt;0,'Translation-EN'!C335,"")</f>
        <v>A176</v>
      </c>
      <c r="D335" s="888" t="str">
        <f>IF(LEN('Translation-EN'!D335)&gt;0,'Translation-EN'!D335,"")</f>
        <v/>
      </c>
      <c r="E335" s="893" t="s">
        <v>2919</v>
      </c>
      <c r="I335" s="888"/>
      <c r="J335" s="888"/>
      <c r="K335" s="888"/>
      <c r="L335" s="888"/>
      <c r="M335" s="888"/>
      <c r="N335" s="888"/>
      <c r="O335" s="888"/>
      <c r="P335" s="888"/>
      <c r="Q335" s="888"/>
      <c r="R335" s="888"/>
    </row>
    <row r="336" spans="1:18" s="893" customFormat="1" x14ac:dyDescent="0.3">
      <c r="A336" s="888" t="str">
        <f>IF(LEN('Translation-EN'!A336)&gt;0,'Translation-EN'!A336,"")</f>
        <v>Range</v>
      </c>
      <c r="B336" s="888" t="str">
        <f>IF(LEN('Translation-EN'!B336)&gt;0,'Translation-EN'!B336,"")</f>
        <v>_Foundation Walls</v>
      </c>
      <c r="C336" s="888" t="str">
        <f>IF(LEN('Translation-EN'!C336)&gt;0,'Translation-EN'!C336,"")</f>
        <v>C156</v>
      </c>
      <c r="D336" s="888" t="str">
        <f>IF(LEN('Translation-EN'!D336)&gt;0,'Translation-EN'!D336,"")</f>
        <v/>
      </c>
      <c r="E336" s="893" t="s">
        <v>2920</v>
      </c>
      <c r="I336" s="888"/>
      <c r="J336" s="888"/>
      <c r="K336" s="888"/>
      <c r="L336" s="888"/>
      <c r="M336" s="888"/>
      <c r="N336" s="888"/>
      <c r="O336" s="888"/>
      <c r="P336" s="888"/>
      <c r="Q336" s="888"/>
      <c r="R336" s="888"/>
    </row>
    <row r="337" spans="1:18" s="893" customFormat="1" x14ac:dyDescent="0.3">
      <c r="A337" s="888" t="str">
        <f>IF(LEN('Translation-EN'!A337)&gt;0,'Translation-EN'!A337,"")</f>
        <v>Range</v>
      </c>
      <c r="B337" s="888" t="str">
        <f>IF(LEN('Translation-EN'!B337)&gt;0,'Translation-EN'!B337,"")</f>
        <v>Foundation Walls</v>
      </c>
      <c r="C337" s="888" t="str">
        <f>IF(LEN('Translation-EN'!C337)&gt;0,'Translation-EN'!C337,"")</f>
        <v>A177</v>
      </c>
      <c r="D337" s="888" t="str">
        <f>IF(LEN('Translation-EN'!D337)&gt;0,'Translation-EN'!D337,"")</f>
        <v/>
      </c>
      <c r="E337" s="893" t="s">
        <v>2921</v>
      </c>
      <c r="I337" s="888"/>
      <c r="J337" s="888"/>
      <c r="K337" s="888"/>
      <c r="L337" s="888"/>
      <c r="M337" s="888"/>
      <c r="N337" s="888"/>
      <c r="O337" s="888"/>
      <c r="P337" s="888"/>
      <c r="Q337" s="888"/>
      <c r="R337" s="888"/>
    </row>
    <row r="338" spans="1:18" s="893" customFormat="1" x14ac:dyDescent="0.3">
      <c r="A338" s="888" t="str">
        <f>IF(LEN('Translation-EN'!A338)&gt;0,'Translation-EN'!A338,"")</f>
        <v>Range</v>
      </c>
      <c r="B338" s="888" t="str">
        <f>IF(LEN('Translation-EN'!B338)&gt;0,'Translation-EN'!B338,"")</f>
        <v>Foundation Walls</v>
      </c>
      <c r="C338" s="888" t="str">
        <f>IF(LEN('Translation-EN'!C338)&gt;0,'Translation-EN'!C338,"")</f>
        <v>B178</v>
      </c>
      <c r="D338" s="888" t="str">
        <f>IF(LEN('Translation-EN'!D338)&gt;0,'Translation-EN'!D338,"")</f>
        <v/>
      </c>
      <c r="E338" s="893" t="str">
        <f>$E$300</f>
        <v>MOUSSE À PULVÉRISER – CELLULE FERMÉE</v>
      </c>
      <c r="I338" s="888"/>
      <c r="J338" s="888"/>
      <c r="K338" s="888"/>
      <c r="L338" s="888"/>
      <c r="M338" s="888"/>
      <c r="N338" s="888"/>
      <c r="O338" s="888"/>
      <c r="P338" s="888"/>
      <c r="Q338" s="888"/>
      <c r="R338" s="888"/>
    </row>
    <row r="339" spans="1:18" s="893" customFormat="1" x14ac:dyDescent="0.3">
      <c r="A339" s="888" t="str">
        <f>IF(LEN('Translation-EN'!A339)&gt;0,'Translation-EN'!A339,"")</f>
        <v>Range</v>
      </c>
      <c r="B339" s="888" t="str">
        <f>IF(LEN('Translation-EN'!B339)&gt;0,'Translation-EN'!B339,"")</f>
        <v>Foundation Walls</v>
      </c>
      <c r="C339" s="888" t="str">
        <f>IF(LEN('Translation-EN'!C339)&gt;0,'Translation-EN'!C339,"")</f>
        <v>B181</v>
      </c>
      <c r="D339" s="888" t="str">
        <f>IF(LEN('Translation-EN'!D339)&gt;0,'Translation-EN'!D339,"")</f>
        <v/>
      </c>
      <c r="E339" s="893" t="s">
        <v>2922</v>
      </c>
      <c r="I339" s="888"/>
      <c r="J339" s="888"/>
      <c r="K339" s="888"/>
      <c r="L339" s="888"/>
      <c r="M339" s="888"/>
      <c r="N339" s="888"/>
      <c r="O339" s="888"/>
      <c r="P339" s="888"/>
      <c r="Q339" s="888"/>
      <c r="R339" s="888"/>
    </row>
    <row r="340" spans="1:18" s="893" customFormat="1" x14ac:dyDescent="0.3">
      <c r="A340" s="888" t="str">
        <f>IF(LEN('Translation-EN'!A340)&gt;0,'Translation-EN'!A340,"")</f>
        <v>Range</v>
      </c>
      <c r="B340" s="888" t="str">
        <f>IF(LEN('Translation-EN'!B340)&gt;0,'Translation-EN'!B340,"")</f>
        <v>Foundation Walls</v>
      </c>
      <c r="C340" s="888" t="str">
        <f>IF(LEN('Translation-EN'!C340)&gt;0,'Translation-EN'!C340,"")</f>
        <v>C182</v>
      </c>
      <c r="D340" s="888" t="str">
        <f>IF(LEN('Translation-EN'!D340)&gt;0,'Translation-EN'!D340,"")</f>
        <v/>
      </c>
      <c r="E340" s="893" t="s">
        <v>4001</v>
      </c>
      <c r="I340" s="888"/>
      <c r="J340" s="888"/>
      <c r="K340" s="888"/>
      <c r="L340" s="888"/>
      <c r="M340" s="888"/>
      <c r="N340" s="888"/>
      <c r="O340" s="888"/>
      <c r="P340" s="888"/>
      <c r="Q340" s="888"/>
      <c r="R340" s="888"/>
    </row>
    <row r="341" spans="1:18" s="893" customFormat="1" x14ac:dyDescent="0.3">
      <c r="A341" s="888" t="str">
        <f>IF(LEN('Translation-EN'!A341)&gt;0,'Translation-EN'!A341,"")</f>
        <v>Range</v>
      </c>
      <c r="B341" s="888" t="str">
        <f>IF(LEN('Translation-EN'!B341)&gt;0,'Translation-EN'!B341,"")</f>
        <v>Foundation Walls</v>
      </c>
      <c r="C341" s="888" t="str">
        <f>IF(LEN('Translation-EN'!C341)&gt;0,'Translation-EN'!C341,"")</f>
        <v>B186</v>
      </c>
      <c r="D341" s="888" t="str">
        <f>IF(LEN('Translation-EN'!D341)&gt;0,'Translation-EN'!D341,"")</f>
        <v/>
      </c>
      <c r="E341" s="893" t="s">
        <v>2923</v>
      </c>
      <c r="I341" s="888"/>
      <c r="J341" s="888"/>
      <c r="K341" s="888"/>
      <c r="L341" s="888"/>
      <c r="M341" s="888"/>
      <c r="N341" s="888"/>
      <c r="O341" s="888"/>
      <c r="P341" s="888"/>
      <c r="Q341" s="888"/>
      <c r="R341" s="888"/>
    </row>
    <row r="342" spans="1:18" s="893" customFormat="1" x14ac:dyDescent="0.3">
      <c r="A342" s="888" t="str">
        <f>IF(LEN('Translation-EN'!A342)&gt;0,'Translation-EN'!A342,"")</f>
        <v>Range</v>
      </c>
      <c r="B342" s="888" t="str">
        <f>IF(LEN('Translation-EN'!B342)&gt;0,'Translation-EN'!B342,"")</f>
        <v>Foundation Walls</v>
      </c>
      <c r="C342" s="888" t="str">
        <f>IF(LEN('Translation-EN'!C342)&gt;0,'Translation-EN'!C342,"")</f>
        <v>C187</v>
      </c>
      <c r="D342" s="888" t="str">
        <f>IF(LEN('Translation-EN'!D342)&gt;0,'Translation-EN'!D342,"")</f>
        <v/>
      </c>
      <c r="E342" s="893" t="s">
        <v>2924</v>
      </c>
      <c r="I342" s="888"/>
      <c r="J342" s="888"/>
      <c r="K342" s="888"/>
      <c r="L342" s="888"/>
      <c r="M342" s="888"/>
      <c r="N342" s="888"/>
      <c r="O342" s="888"/>
      <c r="P342" s="888"/>
      <c r="Q342" s="888"/>
      <c r="R342" s="888"/>
    </row>
    <row r="343" spans="1:18" x14ac:dyDescent="0.3">
      <c r="A343" s="888" t="str">
        <f>IF(LEN('Translation-EN'!A343)&gt;0,'Translation-EN'!A343,"")</f>
        <v>Range</v>
      </c>
      <c r="B343" s="888" t="str">
        <f>IF(LEN('Translation-EN'!B343)&gt;0,'Translation-EN'!B343,"")</f>
        <v>Foundation Walls</v>
      </c>
      <c r="C343" s="888" t="str">
        <f>IF(LEN('Translation-EN'!C343)&gt;0,'Translation-EN'!C343,"")</f>
        <v>B191</v>
      </c>
      <c r="D343" s="888" t="str">
        <f>IF(LEN('Translation-EN'!D343)&gt;0,'Translation-EN'!D343,"")</f>
        <v/>
      </c>
      <c r="E343" s="893" t="s">
        <v>2925</v>
      </c>
    </row>
    <row r="344" spans="1:18" x14ac:dyDescent="0.3">
      <c r="A344" s="888" t="str">
        <f>IF(LEN('Translation-EN'!A344)&gt;0,'Translation-EN'!A344,"")</f>
        <v>Range</v>
      </c>
      <c r="B344" s="888" t="str">
        <f>IF(LEN('Translation-EN'!B344)&gt;0,'Translation-EN'!B344,"")</f>
        <v>Foundation Walls</v>
      </c>
      <c r="C344" s="888" t="str">
        <f>IF(LEN('Translation-EN'!C344)&gt;0,'Translation-EN'!C344,"")</f>
        <v>C192</v>
      </c>
      <c r="D344" s="888" t="str">
        <f>IF(LEN('Translation-EN'!D344)&gt;0,'Translation-EN'!D344,"")</f>
        <v/>
      </c>
      <c r="E344" s="893" t="s">
        <v>4002</v>
      </c>
    </row>
    <row r="345" spans="1:18" x14ac:dyDescent="0.3">
      <c r="A345" s="888" t="str">
        <f>IF(LEN('Translation-EN'!A345)&gt;0,'Translation-EN'!A345,"")</f>
        <v>Range</v>
      </c>
      <c r="B345" s="888" t="str">
        <f>IF(LEN('Translation-EN'!B345)&gt;0,'Translation-EN'!B345,"")</f>
        <v>Foundation Walls</v>
      </c>
      <c r="C345" s="888" t="str">
        <f>IF(LEN('Translation-EN'!C345)&gt;0,'Translation-EN'!C345,"")</f>
        <v>B199</v>
      </c>
      <c r="D345" s="888" t="str">
        <f>IF(LEN('Translation-EN'!D345)&gt;0,'Translation-EN'!D345,"")</f>
        <v/>
      </c>
      <c r="E345" s="893" t="s">
        <v>2926</v>
      </c>
    </row>
    <row r="346" spans="1:18" x14ac:dyDescent="0.3">
      <c r="A346" s="888" t="str">
        <f>IF(LEN('Translation-EN'!A346)&gt;0,'Translation-EN'!A346,"")</f>
        <v>Range</v>
      </c>
      <c r="B346" s="888" t="str">
        <f>IF(LEN('Translation-EN'!B346)&gt;0,'Translation-EN'!B346,"")</f>
        <v>_Foundation Walls</v>
      </c>
      <c r="C346" s="888" t="str">
        <f>IF(LEN('Translation-EN'!C346)&gt;0,'Translation-EN'!C346,"")</f>
        <v>C183</v>
      </c>
      <c r="D346" s="888" t="str">
        <f>IF(LEN('Translation-EN'!D346)&gt;0,'Translation-EN'!D346,"")</f>
        <v/>
      </c>
      <c r="E346" s="893" t="s">
        <v>4003</v>
      </c>
    </row>
    <row r="347" spans="1:18" x14ac:dyDescent="0.3">
      <c r="A347" s="888" t="str">
        <f>IF(LEN('Translation-EN'!A347)&gt;0,'Translation-EN'!A347,"")</f>
        <v>Range</v>
      </c>
      <c r="B347" s="888" t="str">
        <f>IF(LEN('Translation-EN'!B347)&gt;0,'Translation-EN'!B347,"")</f>
        <v>Foundation Walls</v>
      </c>
      <c r="C347" s="888" t="str">
        <f>IF(LEN('Translation-EN'!C347)&gt;0,'Translation-EN'!C347,"")</f>
        <v>B201</v>
      </c>
      <c r="D347" s="888" t="str">
        <f>IF(LEN('Translation-EN'!D347)&gt;0,'Translation-EN'!D347,"")</f>
        <v/>
      </c>
      <c r="E347" s="893" t="s">
        <v>2971</v>
      </c>
    </row>
    <row r="348" spans="1:18" x14ac:dyDescent="0.3">
      <c r="A348" s="888" t="str">
        <f>IF(LEN('Translation-EN'!A348)&gt;0,'Translation-EN'!A348,"")</f>
        <v>Range</v>
      </c>
      <c r="B348" s="888" t="str">
        <f>IF(LEN('Translation-EN'!B348)&gt;0,'Translation-EN'!B348,"")</f>
        <v>Foundation Walls</v>
      </c>
      <c r="C348" s="888" t="str">
        <f>IF(LEN('Translation-EN'!C348)&gt;0,'Translation-EN'!C348,"")</f>
        <v>C202</v>
      </c>
      <c r="D348" s="888" t="str">
        <f>IF(LEN('Translation-EN'!D348)&gt;0,'Translation-EN'!D348,"")</f>
        <v/>
      </c>
      <c r="E348" s="893" t="s">
        <v>2972</v>
      </c>
    </row>
    <row r="349" spans="1:18" x14ac:dyDescent="0.3">
      <c r="A349" s="888" t="str">
        <f>IF(LEN('Translation-EN'!A349)&gt;0,'Translation-EN'!A349,"")</f>
        <v>Range</v>
      </c>
      <c r="B349" s="888" t="str">
        <f>IF(LEN('Translation-EN'!B349)&gt;0,'Translation-EN'!B349,"")</f>
        <v>Foundation Walls</v>
      </c>
      <c r="C349" s="888" t="str">
        <f>IF(LEN('Translation-EN'!C349)&gt;0,'Translation-EN'!C349,"")</f>
        <v>B207</v>
      </c>
      <c r="D349" s="888" t="str">
        <f>IF(LEN('Translation-EN'!D349)&gt;0,'Translation-EN'!D349,"")</f>
        <v/>
      </c>
      <c r="E349" s="893" t="s">
        <v>2927</v>
      </c>
    </row>
    <row r="350" spans="1:18" x14ac:dyDescent="0.3">
      <c r="A350" s="888" t="str">
        <f>IF(LEN('Translation-EN'!A350)&gt;0,'Translation-EN'!A350,"")</f>
        <v>Range</v>
      </c>
      <c r="B350" s="888" t="str">
        <f>IF(LEN('Translation-EN'!B350)&gt;0,'Translation-EN'!B350,"")</f>
        <v>Foundation Walls</v>
      </c>
      <c r="C350" s="888" t="str">
        <f>IF(LEN('Translation-EN'!C350)&gt;0,'Translation-EN'!C350,"")</f>
        <v>B211</v>
      </c>
      <c r="D350" s="888" t="str">
        <f>IF(LEN('Translation-EN'!D350)&gt;0,'Translation-EN'!D350,"")</f>
        <v/>
      </c>
      <c r="E350" s="893" t="s">
        <v>2928</v>
      </c>
    </row>
    <row r="351" spans="1:18" x14ac:dyDescent="0.3">
      <c r="A351" s="888" t="str">
        <f>IF(LEN('Translation-EN'!A351)&gt;0,'Translation-EN'!A351,"")</f>
        <v>Range</v>
      </c>
      <c r="B351" s="888" t="str">
        <f>IF(LEN('Translation-EN'!B351)&gt;0,'Translation-EN'!B351,"")</f>
        <v>Foundation Walls</v>
      </c>
      <c r="C351" s="888" t="str">
        <f>IF(LEN('Translation-EN'!C351)&gt;0,'Translation-EN'!C351,"")</f>
        <v>C212</v>
      </c>
      <c r="D351" s="888" t="str">
        <f>IF(LEN('Translation-EN'!D351)&gt;0,'Translation-EN'!D351,"")</f>
        <v/>
      </c>
      <c r="E351" s="893" t="s">
        <v>4004</v>
      </c>
    </row>
    <row r="352" spans="1:18" x14ac:dyDescent="0.3">
      <c r="A352" s="888" t="str">
        <f>IF(LEN('Translation-EN'!A352)&gt;0,'Translation-EN'!A352,"")</f>
        <v>Range</v>
      </c>
      <c r="B352" s="888" t="str">
        <f>IF(LEN('Translation-EN'!B352)&gt;0,'Translation-EN'!B352,"")</f>
        <v>_Foundation Walls</v>
      </c>
      <c r="C352" s="888" t="str">
        <f>IF(LEN('Translation-EN'!C352)&gt;0,'Translation-EN'!C352,"")</f>
        <v>B204</v>
      </c>
      <c r="D352" s="888" t="str">
        <f>IF(LEN('Translation-EN'!D352)&gt;0,'Translation-EN'!D352,"")</f>
        <v/>
      </c>
      <c r="E352" s="893" t="s">
        <v>2929</v>
      </c>
    </row>
    <row r="353" spans="1:19" x14ac:dyDescent="0.3">
      <c r="A353" s="888" t="str">
        <f>IF(LEN('Translation-EN'!A353)&gt;0,'Translation-EN'!A353,"")</f>
        <v>Range</v>
      </c>
      <c r="B353" s="888" t="str">
        <f>IF(LEN('Translation-EN'!B353)&gt;0,'Translation-EN'!B353,"")</f>
        <v>Foundation Walls</v>
      </c>
      <c r="C353" s="888" t="str">
        <f>IF(LEN('Translation-EN'!C353)&gt;0,'Translation-EN'!C353,"")</f>
        <v>A220</v>
      </c>
      <c r="D353" s="888" t="str">
        <f>IF(LEN('Translation-EN'!D353)&gt;0,'Translation-EN'!D353,"")</f>
        <v/>
      </c>
      <c r="E353" s="893" t="str">
        <f>$E$232</f>
        <v>BARRIÈRES ET MEMBRANES</v>
      </c>
    </row>
    <row r="354" spans="1:19" x14ac:dyDescent="0.3">
      <c r="A354" s="888" t="str">
        <f>IF(LEN('Translation-EN'!A354)&gt;0,'Translation-EN'!A354,"")</f>
        <v>Range</v>
      </c>
      <c r="B354" s="888" t="str">
        <f>IF(LEN('Translation-EN'!B354)&gt;0,'Translation-EN'!B354,"")</f>
        <v>Foundation Walls</v>
      </c>
      <c r="C354" s="888" t="str">
        <f>IF(LEN('Translation-EN'!C354)&gt;0,'Translation-EN'!C354,"")</f>
        <v>B221</v>
      </c>
      <c r="D354" s="888" t="str">
        <f>IF(LEN('Translation-EN'!D354)&gt;0,'Translation-EN'!D354,"")</f>
        <v/>
      </c>
      <c r="E354" s="893" t="str">
        <f>$E$233</f>
        <v>BARRIÈRE EN FEUILLE</v>
      </c>
    </row>
    <row r="355" spans="1:19" x14ac:dyDescent="0.3">
      <c r="A355" s="888" t="str">
        <f>IF(LEN('Translation-EN'!A355)&gt;0,'Translation-EN'!A355,"")</f>
        <v>Range</v>
      </c>
      <c r="B355" s="888" t="str">
        <f>IF(LEN('Translation-EN'!B355)&gt;0,'Translation-EN'!B355,"")</f>
        <v>Foundation Walls</v>
      </c>
      <c r="C355" s="888" t="str">
        <f>IF(LEN('Translation-EN'!C355)&gt;0,'Translation-EN'!C355,"")</f>
        <v>C222</v>
      </c>
      <c r="D355" s="888" t="str">
        <f>IF(LEN('Translation-EN'!D355)&gt;0,'Translation-EN'!D355,"")</f>
        <v/>
      </c>
      <c r="E355" s="893" t="s">
        <v>5049</v>
      </c>
    </row>
    <row r="356" spans="1:19" x14ac:dyDescent="0.3">
      <c r="A356" s="888" t="str">
        <f>IF(LEN('Translation-EN'!A356)&gt;0,'Translation-EN'!A356,"")</f>
        <v>Range</v>
      </c>
      <c r="B356" s="888" t="str">
        <f>IF(LEN('Translation-EN'!B356)&gt;0,'Translation-EN'!B356,"")</f>
        <v>Foundation Walls</v>
      </c>
      <c r="C356" s="888" t="str">
        <f>IF(LEN('Translation-EN'!C356)&gt;0,'Translation-EN'!C356,"")</f>
        <v>B234</v>
      </c>
      <c r="D356" s="888" t="str">
        <f>IF(LEN('Translation-EN'!D356)&gt;0,'Translation-EN'!D356,"")</f>
        <v/>
      </c>
      <c r="E356" s="917" t="str">
        <f>$E$234</f>
        <v>BARRIÈRE APPLIQUÉE LIQUIDE</v>
      </c>
    </row>
    <row r="357" spans="1:19" x14ac:dyDescent="0.3">
      <c r="A357" s="888" t="str">
        <f>IF(LEN('Translation-EN'!A357)&gt;0,'Translation-EN'!A357,"")</f>
        <v>Range</v>
      </c>
      <c r="B357" s="888" t="str">
        <f>IF(LEN('Translation-EN'!B357)&gt;0,'Translation-EN'!B357,"")</f>
        <v>Foundation Walls</v>
      </c>
      <c r="C357" s="888" t="str">
        <f>IF(LEN('Translation-EN'!C357)&gt;0,'Translation-EN'!C357,"")</f>
        <v>C235</v>
      </c>
      <c r="D357" s="888" t="str">
        <f>IF(LEN('Translation-EN'!D357)&gt;0,'Translation-EN'!D357,"")</f>
        <v/>
      </c>
      <c r="E357" s="893" t="s">
        <v>5050</v>
      </c>
    </row>
    <row r="358" spans="1:19" x14ac:dyDescent="0.3">
      <c r="A358" s="888" t="str">
        <f>IF(LEN('Translation-EN'!A358)&gt;0,'Translation-EN'!A358,"")</f>
        <v>Range</v>
      </c>
      <c r="B358" s="888" t="str">
        <f>IF(LEN('Translation-EN'!B358)&gt;0,'Translation-EN'!B358,"")</f>
        <v>Foundation Walls</v>
      </c>
      <c r="C358" s="888" t="str">
        <f>IF(LEN('Translation-EN'!C358)&gt;0,'Translation-EN'!C358,"")</f>
        <v>B240</v>
      </c>
      <c r="D358" s="888" t="str">
        <f>IF(LEN('Translation-EN'!D358)&gt;0,'Translation-EN'!D358,"")</f>
        <v/>
      </c>
      <c r="E358" s="893" t="s">
        <v>5051</v>
      </c>
    </row>
    <row r="359" spans="1:19" x14ac:dyDescent="0.3">
      <c r="A359" s="888" t="str">
        <f>IF(LEN('Translation-EN'!A359)&gt;0,'Translation-EN'!A359,"")</f>
        <v>Range</v>
      </c>
      <c r="B359" s="888" t="str">
        <f>IF(LEN('Translation-EN'!B359)&gt;0,'Translation-EN'!B359,"")</f>
        <v>Foundation Walls</v>
      </c>
      <c r="C359" s="888" t="str">
        <f>IF(LEN('Translation-EN'!C359)&gt;0,'Translation-EN'!C359,"")</f>
        <v>C241</v>
      </c>
      <c r="D359" s="888" t="str">
        <f>IF(LEN('Translation-EN'!D359)&gt;0,'Translation-EN'!D359,"")</f>
        <v/>
      </c>
      <c r="E359" s="893" t="s">
        <v>5052</v>
      </c>
    </row>
    <row r="360" spans="1:19" x14ac:dyDescent="0.3">
      <c r="A360" s="888" t="str">
        <f>IF(LEN('Translation-EN'!A360)&gt;0,'Translation-EN'!A360,"")</f>
        <v>Range</v>
      </c>
      <c r="B360" s="888" t="str">
        <f>IF(LEN('Translation-EN'!B360)&gt;0,'Translation-EN'!B360,"")</f>
        <v>Foundation Walls</v>
      </c>
      <c r="C360" s="888" t="str">
        <f>IF(LEN('Translation-EN'!C360)&gt;0,'Translation-EN'!C360,"")</f>
        <v>A244</v>
      </c>
      <c r="D360" s="888" t="str">
        <f>IF(LEN('Translation-EN'!D360)&gt;0,'Translation-EN'!D360,"")</f>
        <v/>
      </c>
      <c r="E360" s="893" t="s">
        <v>2930</v>
      </c>
    </row>
    <row r="361" spans="1:19" x14ac:dyDescent="0.3">
      <c r="A361" s="888" t="str">
        <f>IF(LEN('Translation-EN'!A361)&gt;0,'Translation-EN'!A361,"")</f>
        <v>Range</v>
      </c>
      <c r="B361" s="888" t="str">
        <f>IF(LEN('Translation-EN'!B361)&gt;0,'Translation-EN'!B361,"")</f>
        <v>Foundation Walls</v>
      </c>
      <c r="C361" s="888" t="str">
        <f>IF(LEN('Translation-EN'!C361)&gt;0,'Translation-EN'!C361,"")</f>
        <v>B245</v>
      </c>
      <c r="D361" s="888" t="str">
        <f>IF(LEN('Translation-EN'!D361)&gt;0,'Translation-EN'!D361,"")</f>
        <v/>
      </c>
      <c r="E361" s="893" t="s">
        <v>2931</v>
      </c>
    </row>
    <row r="362" spans="1:19" x14ac:dyDescent="0.3">
      <c r="A362" s="888" t="str">
        <f>IF(LEN('Translation-EN'!A362)&gt;0,'Translation-EN'!A362,"")</f>
        <v>Range</v>
      </c>
      <c r="B362" s="888" t="str">
        <f>IF(LEN('Translation-EN'!B362)&gt;0,'Translation-EN'!B362,"")</f>
        <v>Foundation Walls</v>
      </c>
      <c r="C362" s="888" t="str">
        <f>IF(LEN('Translation-EN'!C362)&gt;0,'Translation-EN'!C362,"")</f>
        <v>C246</v>
      </c>
      <c r="D362" s="888" t="str">
        <f>IF(LEN('Translation-EN'!D362)&gt;0,'Translation-EN'!D362,"")</f>
        <v/>
      </c>
      <c r="E362" s="893" t="s">
        <v>2932</v>
      </c>
    </row>
    <row r="363" spans="1:19" x14ac:dyDescent="0.3">
      <c r="A363" s="888" t="str">
        <f>IF(LEN('Translation-EN'!A363)&gt;0,'Translation-EN'!A363,"")</f>
        <v>Range</v>
      </c>
      <c r="B363" s="888" t="str">
        <f>IF(LEN('Translation-EN'!B363)&gt;0,'Translation-EN'!B363,"")</f>
        <v>Foundation Walls</v>
      </c>
      <c r="C363" s="888" t="str">
        <f>IF(LEN('Translation-EN'!C363)&gt;0,'Translation-EN'!C363,"")</f>
        <v>B249</v>
      </c>
      <c r="D363" s="888" t="str">
        <f>IF(LEN('Translation-EN'!D363)&gt;0,'Translation-EN'!D363,"")</f>
        <v/>
      </c>
      <c r="E363" s="893" t="s">
        <v>2933</v>
      </c>
    </row>
    <row r="364" spans="1:19" x14ac:dyDescent="0.3">
      <c r="A364" s="888" t="str">
        <f>IF(LEN('Translation-EN'!A364)&gt;0,'Translation-EN'!A364,"")</f>
        <v>Range</v>
      </c>
      <c r="B364" s="888" t="str">
        <f>IF(LEN('Translation-EN'!B364)&gt;0,'Translation-EN'!B364,"")</f>
        <v>Foundation Walls</v>
      </c>
      <c r="C364" s="888" t="str">
        <f>IF(LEN('Translation-EN'!C364)&gt;0,'Translation-EN'!C364,"")</f>
        <v>C250</v>
      </c>
      <c r="D364" s="888" t="str">
        <f>IF(LEN('Translation-EN'!D364)&gt;0,'Translation-EN'!D364,"")</f>
        <v/>
      </c>
      <c r="E364" s="893" t="s">
        <v>5057</v>
      </c>
    </row>
    <row r="365" spans="1:19" x14ac:dyDescent="0.3">
      <c r="A365" s="888" t="str">
        <f>IF(LEN('Translation-EN'!A365)&gt;0,'Translation-EN'!A365,"")</f>
        <v>Range</v>
      </c>
      <c r="B365" s="888" t="str">
        <f>IF(LEN('Translation-EN'!B365)&gt;0,'Translation-EN'!B365,"")</f>
        <v>Foundation Walls</v>
      </c>
      <c r="C365" s="888" t="str">
        <f>IF(LEN('Translation-EN'!C365)&gt;0,'Translation-EN'!C365,"")</f>
        <v>B254</v>
      </c>
      <c r="D365" s="888" t="str">
        <f>IF(LEN('Translation-EN'!D365)&gt;0,'Translation-EN'!D365,"")</f>
        <v/>
      </c>
      <c r="E365" s="893" t="s">
        <v>2934</v>
      </c>
    </row>
    <row r="366" spans="1:19" x14ac:dyDescent="0.3">
      <c r="A366" s="888" t="str">
        <f>IF(LEN('Translation-EN'!A366)&gt;0,'Translation-EN'!A366,"")</f>
        <v>Range</v>
      </c>
      <c r="B366" s="888" t="str">
        <f>IF(LEN('Translation-EN'!B366)&gt;0,'Translation-EN'!B366,"")</f>
        <v>Structural Elements</v>
      </c>
      <c r="C366" s="888" t="str">
        <f>IF(LEN('Translation-EN'!C366)&gt;0,'Translation-EN'!C366,"")</f>
        <v>A1</v>
      </c>
      <c r="D366" s="888" t="str">
        <f>IF(LEN('Translation-EN'!D366)&gt;0,'Translation-EN'!D366,"")</f>
        <v/>
      </c>
      <c r="E366" s="893" t="s">
        <v>2935</v>
      </c>
    </row>
    <row r="367" spans="1:19" x14ac:dyDescent="0.3">
      <c r="A367" s="888" t="str">
        <f>IF(LEN('Translation-EN'!A367)&gt;0,'Translation-EN'!A367,"")</f>
        <v>Range</v>
      </c>
      <c r="B367" s="888" t="str">
        <f>IF(LEN('Translation-EN'!B367)&gt;0,'Translation-EN'!B367,"")</f>
        <v>Structural Elements</v>
      </c>
      <c r="C367" s="888" t="str">
        <f>IF(LEN('Translation-EN'!C367)&gt;0,'Translation-EN'!C367,"")</f>
        <v>D1</v>
      </c>
      <c r="D367" s="888" t="str">
        <f>IF(LEN('Translation-EN'!D367)&gt;0,'Translation-EN'!D367,"")</f>
        <v/>
      </c>
      <c r="E367" s="893" t="s">
        <v>2936</v>
      </c>
    </row>
    <row r="368" spans="1:19" ht="202.65" customHeight="1" x14ac:dyDescent="0.3">
      <c r="A368" s="888" t="str">
        <f>IF(LEN('Translation-EN'!A368)&gt;0,'Translation-EN'!A368,"")</f>
        <v>Range</v>
      </c>
      <c r="B368" s="888" t="str">
        <f>IF(LEN('Translation-EN'!B368)&gt;0,'Translation-EN'!B368,"")</f>
        <v>Structural Elements</v>
      </c>
      <c r="C368" s="888" t="str">
        <f>IF(LEN('Translation-EN'!C368)&gt;0,'Translation-EN'!C368,"")</f>
        <v>A2</v>
      </c>
      <c r="D368" s="888" t="b">
        <f>IF(LEN('Translation-EN'!D368)&gt;0,'Translation-EN'!D368,"")</f>
        <v>1</v>
      </c>
      <c r="E368" s="1696"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368" s="1696"/>
      <c r="G368" s="1696"/>
      <c r="H368" s="1696"/>
      <c r="I368" s="1696"/>
      <c r="J368" s="1696"/>
      <c r="K368" s="1696"/>
      <c r="L368" s="1696"/>
      <c r="M368" s="1696"/>
      <c r="N368" s="1696"/>
      <c r="O368" s="1696"/>
      <c r="P368" s="1696"/>
      <c r="Q368" s="1696"/>
      <c r="R368" s="1696"/>
      <c r="S368" s="1696"/>
    </row>
    <row r="369" spans="1:18" s="893" customFormat="1" x14ac:dyDescent="0.3">
      <c r="A369" s="888" t="str">
        <f>IF(LEN('Translation-EN'!A369)&gt;0,'Translation-EN'!A369,"")</f>
        <v>Range</v>
      </c>
      <c r="B369" s="888" t="str">
        <f>IF(LEN('Translation-EN'!B369)&gt;0,'Translation-EN'!B369,"")</f>
        <v>Structural Elements</v>
      </c>
      <c r="C369" s="888" t="str">
        <f>IF(LEN('Translation-EN'!C369)&gt;0,'Translation-EN'!C369,"")</f>
        <v>A3</v>
      </c>
      <c r="D369" s="888" t="str">
        <f>IF(LEN('Translation-EN'!D369)&gt;0,'Translation-EN'!D369,"")</f>
        <v/>
      </c>
      <c r="E369" s="888" t="str">
        <f>$E$170</f>
        <v>CATÉGORIE</v>
      </c>
      <c r="I369" s="888"/>
      <c r="J369" s="888"/>
      <c r="K369" s="888"/>
      <c r="L369" s="888"/>
      <c r="M369" s="888"/>
      <c r="N369" s="888"/>
      <c r="O369" s="888"/>
      <c r="P369" s="888"/>
      <c r="Q369" s="888"/>
      <c r="R369" s="888"/>
    </row>
    <row r="370" spans="1:18" s="893" customFormat="1" x14ac:dyDescent="0.3">
      <c r="A370" s="888" t="str">
        <f>IF(LEN('Translation-EN'!A370)&gt;0,'Translation-EN'!A370,"")</f>
        <v>Range</v>
      </c>
      <c r="B370" s="888" t="str">
        <f>IF(LEN('Translation-EN'!B370)&gt;0,'Translation-EN'!B370,"")</f>
        <v>Structural Elements</v>
      </c>
      <c r="C370" s="888" t="str">
        <f>IF(LEN('Translation-EN'!C370)&gt;0,'Translation-EN'!C370,"")</f>
        <v>C3</v>
      </c>
      <c r="D370" s="888" t="str">
        <f>IF(LEN('Translation-EN'!D370)&gt;0,'Translation-EN'!D370,"")</f>
        <v/>
      </c>
      <c r="E370" s="893" t="str">
        <f>$E$171</f>
        <v>MATÉRIAU</v>
      </c>
      <c r="I370" s="888"/>
      <c r="J370" s="888"/>
      <c r="K370" s="888"/>
      <c r="L370" s="888"/>
      <c r="M370" s="888"/>
      <c r="N370" s="888"/>
      <c r="O370" s="888"/>
      <c r="P370" s="888"/>
      <c r="Q370" s="888"/>
      <c r="R370" s="888"/>
    </row>
    <row r="371" spans="1:18" s="893" customFormat="1" x14ac:dyDescent="0.3">
      <c r="A371" s="888" t="str">
        <f>IF(LEN('Translation-EN'!A371)&gt;0,'Translation-EN'!A371,"")</f>
        <v>Range</v>
      </c>
      <c r="B371" s="888" t="str">
        <f>IF(LEN('Translation-EN'!B371)&gt;0,'Translation-EN'!B371,"")</f>
        <v>Structural Elements</v>
      </c>
      <c r="C371" s="888" t="str">
        <f>IF(LEN('Translation-EN'!C371)&gt;0,'Translation-EN'!C371,"")</f>
        <v>D3</v>
      </c>
      <c r="D371" s="888" t="str">
        <f>IF(LEN('Translation-EN'!D371)&gt;0,'Translation-EN'!D371,"")</f>
        <v/>
      </c>
      <c r="E371" s="893" t="str">
        <f>$E$127</f>
        <v>QUANTITÉ</v>
      </c>
      <c r="I371" s="888"/>
      <c r="J371" s="888"/>
      <c r="K371" s="888"/>
      <c r="L371" s="888"/>
      <c r="M371" s="888"/>
      <c r="N371" s="888"/>
      <c r="O371" s="888"/>
      <c r="P371" s="888"/>
      <c r="Q371" s="888"/>
      <c r="R371" s="888"/>
    </row>
    <row r="372" spans="1:18" s="893" customFormat="1" x14ac:dyDescent="0.3">
      <c r="A372" s="888" t="str">
        <f>IF(LEN('Translation-EN'!A372)&gt;0,'Translation-EN'!A372,"")</f>
        <v>Range</v>
      </c>
      <c r="B372" s="888" t="str">
        <f>IF(LEN('Translation-EN'!B372)&gt;0,'Translation-EN'!B372,"")</f>
        <v>Structural Elements</v>
      </c>
      <c r="C372" s="888" t="str">
        <f>IF(LEN('Translation-EN'!C372)&gt;0,'Translation-EN'!C372,"")</f>
        <v>H3</v>
      </c>
      <c r="D372" s="888" t="str">
        <f>IF(LEN('Translation-EN'!D372)&gt;0,'Translation-EN'!D372,"")</f>
        <v/>
      </c>
      <c r="E372" s="888" t="str">
        <f>$E$173</f>
        <v xml:space="preserve"> SÉLECTIONNER</v>
      </c>
      <c r="I372" s="888"/>
      <c r="J372" s="888"/>
      <c r="K372" s="888"/>
      <c r="L372" s="888"/>
      <c r="M372" s="888"/>
      <c r="N372" s="888"/>
      <c r="O372" s="888"/>
      <c r="P372" s="888"/>
      <c r="Q372" s="888"/>
      <c r="R372" s="888"/>
    </row>
    <row r="373" spans="1:18" s="893" customFormat="1" ht="15" customHeight="1" x14ac:dyDescent="0.3">
      <c r="A373" s="888" t="str">
        <f>IF(LEN('Translation-EN'!A373)&gt;0,'Translation-EN'!A373,"")</f>
        <v>Range</v>
      </c>
      <c r="B373" s="888" t="str">
        <f>IF(LEN('Translation-EN'!B373)&gt;0,'Translation-EN'!B373,"")</f>
        <v>_Structural Elements</v>
      </c>
      <c r="C373" s="888" t="str">
        <f>IF(LEN('Translation-EN'!C373)&gt;0,'Translation-EN'!C373,"")</f>
        <v>I3</v>
      </c>
      <c r="D373" s="888" t="b">
        <f>IF(LEN('Translation-EN'!D373)&gt;0,'Translation-EN'!D373,"")</f>
        <v>1</v>
      </c>
      <c r="E373" s="1669" t="str">
        <f>$E$174</f>
        <v>ÉMISSIONS NETTES kgCO2e</v>
      </c>
      <c r="I373" s="888"/>
      <c r="J373" s="888"/>
      <c r="K373" s="888"/>
      <c r="L373" s="888"/>
      <c r="M373" s="888"/>
      <c r="N373" s="888"/>
      <c r="O373" s="888"/>
      <c r="P373" s="888"/>
      <c r="Q373" s="888"/>
      <c r="R373" s="888"/>
    </row>
    <row r="374" spans="1:18" s="893" customFormat="1" ht="15" customHeight="1" x14ac:dyDescent="0.3">
      <c r="A374" s="888" t="str">
        <f>IF(LEN('Translation-EN'!A374)&gt;0,'Translation-EN'!A374,"")</f>
        <v>-</v>
      </c>
      <c r="B374" s="888" t="str">
        <f>IF(LEN('Translation-EN'!B374)&gt;0,'Translation-EN'!B374,"")</f>
        <v/>
      </c>
      <c r="C374" s="888" t="str">
        <f>IF(LEN('Translation-EN'!C374)&gt;0,'Translation-EN'!C374,"")</f>
        <v/>
      </c>
      <c r="D374" s="888" t="str">
        <f>IF(LEN('Translation-EN'!D374)&gt;0,'Translation-EN'!D374,"")</f>
        <v/>
      </c>
      <c r="E374" s="1669"/>
      <c r="I374" s="888"/>
      <c r="J374" s="888"/>
      <c r="K374" s="888"/>
      <c r="L374" s="888"/>
      <c r="M374" s="888"/>
      <c r="N374" s="888"/>
      <c r="O374" s="888"/>
      <c r="P374" s="888"/>
      <c r="Q374" s="888"/>
      <c r="R374" s="888"/>
    </row>
    <row r="375" spans="1:18" s="893" customFormat="1" ht="27.75" customHeight="1" x14ac:dyDescent="0.3">
      <c r="A375" s="888" t="str">
        <f>IF(LEN('Translation-EN'!A375)&gt;0,'Translation-EN'!A375,"")</f>
        <v>Range</v>
      </c>
      <c r="B375" s="888" t="str">
        <f>IF(LEN('Translation-EN'!B375)&gt;0,'Translation-EN'!B375,"")</f>
        <v>_Structural Elements</v>
      </c>
      <c r="C375" s="888" t="str">
        <f>IF(LEN('Translation-EN'!C375)&gt;0,'Translation-EN'!C375,"")</f>
        <v>J3</v>
      </c>
      <c r="D375" s="888" t="b">
        <f>IF(LEN('Translation-EN'!D375)&gt;0,'Translation-EN'!D375,"")</f>
        <v>1</v>
      </c>
      <c r="E375" s="1669" t="str">
        <f>$E$176</f>
        <v>CONTENU DE kgCO2e DANS LE MATÉRIAU SÉLECTIONNÉ</v>
      </c>
      <c r="I375" s="888"/>
      <c r="J375" s="888"/>
      <c r="K375" s="888"/>
      <c r="L375" s="888"/>
      <c r="M375" s="888"/>
      <c r="N375" s="888"/>
      <c r="O375" s="888"/>
      <c r="P375" s="888"/>
      <c r="Q375" s="888"/>
      <c r="R375" s="888"/>
    </row>
    <row r="376" spans="1:18" s="893" customFormat="1" ht="15" customHeight="1" x14ac:dyDescent="0.3">
      <c r="A376" s="888" t="str">
        <f>IF(LEN('Translation-EN'!A376)&gt;0,'Translation-EN'!A376,"")</f>
        <v>-</v>
      </c>
      <c r="B376" s="888" t="str">
        <f>IF(LEN('Translation-EN'!B376)&gt;0,'Translation-EN'!B376,"")</f>
        <v/>
      </c>
      <c r="C376" s="888" t="str">
        <f>IF(LEN('Translation-EN'!C376)&gt;0,'Translation-EN'!C376,"")</f>
        <v/>
      </c>
      <c r="D376" s="888" t="str">
        <f>IF(LEN('Translation-EN'!D376)&gt;0,'Translation-EN'!D376,"")</f>
        <v/>
      </c>
      <c r="E376" s="1670"/>
      <c r="I376" s="888"/>
      <c r="J376" s="888"/>
      <c r="K376" s="888"/>
      <c r="L376" s="888"/>
      <c r="M376" s="888"/>
      <c r="N376" s="888"/>
      <c r="O376" s="888"/>
      <c r="P376" s="888"/>
      <c r="Q376" s="888"/>
      <c r="R376" s="888"/>
    </row>
    <row r="377" spans="1:18" s="893" customFormat="1" ht="15" customHeight="1" x14ac:dyDescent="0.3">
      <c r="A377" s="888" t="str">
        <f>IF(LEN('Translation-EN'!A377)&gt;0,'Translation-EN'!A377,"")</f>
        <v>Range</v>
      </c>
      <c r="B377" s="888" t="str">
        <f>IF(LEN('Translation-EN'!B377)&gt;0,'Translation-EN'!B377,"")</f>
        <v>Structural Elements</v>
      </c>
      <c r="C377" s="888" t="str">
        <f>IF(LEN('Translation-EN'!C377)&gt;0,'Translation-EN'!C377,"")</f>
        <v>K3</v>
      </c>
      <c r="D377" s="888" t="b">
        <f>IF(LEN('Translation-EN'!D377)&gt;0,'Translation-EN'!D377,"")</f>
        <v>1</v>
      </c>
      <c r="E377" s="1669" t="str">
        <f>$E$178</f>
        <v xml:space="preserve">ÉMISSIONS EN kgCO2e </v>
      </c>
      <c r="I377" s="888"/>
      <c r="J377" s="888"/>
      <c r="K377" s="888"/>
      <c r="L377" s="888"/>
      <c r="M377" s="888"/>
      <c r="N377" s="888"/>
      <c r="O377" s="888"/>
      <c r="P377" s="888"/>
      <c r="Q377" s="888"/>
      <c r="R377" s="888"/>
    </row>
    <row r="378" spans="1:18" s="893" customFormat="1" ht="15" customHeight="1" x14ac:dyDescent="0.3">
      <c r="A378" s="888" t="str">
        <f>IF(LEN('Translation-EN'!A378)&gt;0,'Translation-EN'!A378,"")</f>
        <v>-</v>
      </c>
      <c r="B378" s="888" t="str">
        <f>IF(LEN('Translation-EN'!B378)&gt;0,'Translation-EN'!B378,"")</f>
        <v/>
      </c>
      <c r="C378" s="888" t="str">
        <f>IF(LEN('Translation-EN'!C378)&gt;0,'Translation-EN'!C378,"")</f>
        <v/>
      </c>
      <c r="D378" s="888" t="str">
        <f>IF(LEN('Translation-EN'!D378)&gt;0,'Translation-EN'!D378,"")</f>
        <v/>
      </c>
      <c r="E378" s="1670"/>
      <c r="I378" s="888"/>
      <c r="J378" s="888"/>
      <c r="K378" s="888"/>
      <c r="L378" s="888"/>
      <c r="M378" s="888"/>
      <c r="N378" s="888"/>
      <c r="O378" s="888"/>
      <c r="P378" s="888"/>
      <c r="Q378" s="888"/>
      <c r="R378" s="888"/>
    </row>
    <row r="379" spans="1:18" s="893" customFormat="1" ht="15" customHeight="1" x14ac:dyDescent="0.3">
      <c r="A379" s="888" t="str">
        <f>IF(LEN('Translation-EN'!A379)&gt;0,'Translation-EN'!A379,"")</f>
        <v>Range</v>
      </c>
      <c r="B379" s="888" t="str">
        <f>IF(LEN('Translation-EN'!B379)&gt;0,'Translation-EN'!B379,"")</f>
        <v>Structural Elements</v>
      </c>
      <c r="C379" s="888" t="str">
        <f>IF(LEN('Translation-EN'!C379)&gt;0,'Translation-EN'!C379,"")</f>
        <v>L3</v>
      </c>
      <c r="D379" s="888" t="b">
        <f>IF(LEN('Translation-EN'!D379)&gt;0,'Translation-EN'!D379,"")</f>
        <v>1</v>
      </c>
      <c r="E379" s="1669" t="str">
        <f>$E$180</f>
        <v>STOCKAGE kgCO₂</v>
      </c>
      <c r="I379" s="888"/>
      <c r="J379" s="888"/>
      <c r="K379" s="888"/>
      <c r="L379" s="888"/>
      <c r="M379" s="888"/>
      <c r="N379" s="888"/>
      <c r="O379" s="888"/>
      <c r="P379" s="888"/>
      <c r="Q379" s="888"/>
      <c r="R379" s="888"/>
    </row>
    <row r="380" spans="1:18" s="893" customFormat="1" ht="15" customHeight="1" x14ac:dyDescent="0.3">
      <c r="A380" s="888" t="str">
        <f>IF(LEN('Translation-EN'!A380)&gt;0,'Translation-EN'!A380,"")</f>
        <v>-</v>
      </c>
      <c r="B380" s="888" t="str">
        <f>IF(LEN('Translation-EN'!B380)&gt;0,'Translation-EN'!B380,"")</f>
        <v/>
      </c>
      <c r="C380" s="888" t="str">
        <f>IF(LEN('Translation-EN'!C380)&gt;0,'Translation-EN'!C380,"")</f>
        <v/>
      </c>
      <c r="D380" s="888" t="str">
        <f>IF(LEN('Translation-EN'!D380)&gt;0,'Translation-EN'!D380,"")</f>
        <v/>
      </c>
      <c r="E380" s="1670"/>
      <c r="I380" s="888"/>
      <c r="J380" s="888"/>
      <c r="K380" s="888"/>
      <c r="L380" s="888"/>
      <c r="M380" s="888"/>
      <c r="N380" s="888"/>
      <c r="O380" s="888"/>
      <c r="P380" s="888"/>
      <c r="Q380" s="888"/>
      <c r="R380" s="888"/>
    </row>
    <row r="381" spans="1:18" s="893" customFormat="1" ht="15" customHeight="1" x14ac:dyDescent="0.3">
      <c r="A381" s="888" t="str">
        <f>IF(LEN('Translation-EN'!A381)&gt;0,'Translation-EN'!A381,"")</f>
        <v>Range</v>
      </c>
      <c r="B381" s="888" t="str">
        <f>IF(LEN('Translation-EN'!B381)&gt;0,'Translation-EN'!B381,"")</f>
        <v>Structural Elements</v>
      </c>
      <c r="C381" s="888" t="str">
        <f>IF(LEN('Translation-EN'!C381)&gt;0,'Translation-EN'!C381,"")</f>
        <v>M3</v>
      </c>
      <c r="D381" s="888" t="b">
        <f>IF(LEN('Translation-EN'!D381)&gt;0,'Translation-EN'!D381,"")</f>
        <v>1</v>
      </c>
      <c r="E381" s="1520" t="str">
        <f>$E$182</f>
        <v xml:space="preserve">  Note</v>
      </c>
      <c r="F381" s="1520"/>
      <c r="I381" s="888"/>
      <c r="J381" s="888"/>
      <c r="K381" s="888"/>
      <c r="L381" s="888"/>
      <c r="M381" s="888"/>
      <c r="N381" s="888"/>
      <c r="O381" s="888"/>
      <c r="P381" s="888"/>
      <c r="Q381" s="888"/>
      <c r="R381" s="888"/>
    </row>
    <row r="382" spans="1:18" s="893" customFormat="1" ht="15" customHeight="1" x14ac:dyDescent="0.3">
      <c r="A382" s="888" t="str">
        <f>IF(LEN('Translation-EN'!A382)&gt;0,'Translation-EN'!A382,"")</f>
        <v>-</v>
      </c>
      <c r="B382" s="888" t="str">
        <f>IF(LEN('Translation-EN'!B382)&gt;0,'Translation-EN'!B382,"")</f>
        <v/>
      </c>
      <c r="C382" s="888" t="str">
        <f>IF(LEN('Translation-EN'!C382)&gt;0,'Translation-EN'!C382,"")</f>
        <v/>
      </c>
      <c r="D382" s="888" t="str">
        <f>IF(LEN('Translation-EN'!D382)&gt;0,'Translation-EN'!D382,"")</f>
        <v/>
      </c>
      <c r="E382" s="1520"/>
      <c r="F382" s="1520"/>
      <c r="I382" s="888"/>
      <c r="J382" s="888"/>
      <c r="K382" s="888"/>
      <c r="L382" s="888"/>
      <c r="M382" s="888"/>
      <c r="N382" s="888"/>
      <c r="O382" s="888"/>
      <c r="P382" s="888"/>
      <c r="Q382" s="888"/>
      <c r="R382" s="888"/>
    </row>
    <row r="383" spans="1:18" s="893" customFormat="1" ht="15" customHeight="1" x14ac:dyDescent="0.3">
      <c r="A383" s="888" t="str">
        <f>IF(LEN('Translation-EN'!A383)&gt;0,'Translation-EN'!A383,"")</f>
        <v>Range</v>
      </c>
      <c r="B383" s="888" t="str">
        <f>IF(LEN('Translation-EN'!B383)&gt;0,'Translation-EN'!B383,"")</f>
        <v>_Structural Elements</v>
      </c>
      <c r="C383" s="888" t="str">
        <f>IF(LEN('Translation-EN'!C383)&gt;0,'Translation-EN'!C383,"")</f>
        <v>N3</v>
      </c>
      <c r="D383" s="888" t="b">
        <f>IF(LEN('Translation-EN'!D383)&gt;0,'Translation-EN'!D383,"")</f>
        <v>1</v>
      </c>
      <c r="E383" s="1669" t="str">
        <f>$E$184</f>
        <v>Inclure le cycle long</v>
      </c>
      <c r="I383" s="888"/>
      <c r="J383" s="888"/>
      <c r="K383" s="888"/>
      <c r="L383" s="888"/>
      <c r="M383" s="888"/>
      <c r="N383" s="888"/>
      <c r="O383" s="888"/>
      <c r="P383" s="888"/>
      <c r="Q383" s="888"/>
      <c r="R383" s="888"/>
    </row>
    <row r="384" spans="1:18" s="893" customFormat="1" ht="15" customHeight="1" x14ac:dyDescent="0.3">
      <c r="A384" s="888" t="str">
        <f>IF(LEN('Translation-EN'!A384)&gt;0,'Translation-EN'!A384,"")</f>
        <v>-</v>
      </c>
      <c r="B384" s="888" t="str">
        <f>IF(LEN('Translation-EN'!B384)&gt;0,'Translation-EN'!B384,"")</f>
        <v/>
      </c>
      <c r="C384" s="888" t="str">
        <f>IF(LEN('Translation-EN'!C384)&gt;0,'Translation-EN'!C384,"")</f>
        <v/>
      </c>
      <c r="D384" s="888" t="str">
        <f>IF(LEN('Translation-EN'!D384)&gt;0,'Translation-EN'!D384,"")</f>
        <v/>
      </c>
      <c r="E384" s="1670"/>
      <c r="I384" s="888"/>
      <c r="J384" s="888"/>
      <c r="K384" s="888"/>
      <c r="L384" s="888"/>
      <c r="M384" s="888"/>
      <c r="N384" s="888"/>
      <c r="O384" s="888"/>
      <c r="P384" s="888"/>
      <c r="Q384" s="888"/>
      <c r="R384" s="888"/>
    </row>
    <row r="385" spans="1:19" s="893" customFormat="1" ht="34.799999999999997" x14ac:dyDescent="0.3">
      <c r="A385" s="888" t="str">
        <f>IF(LEN('Translation-EN'!A385)&gt;0,'Translation-EN'!A385,"")</f>
        <v>Range</v>
      </c>
      <c r="B385" s="888" t="str">
        <f>IF(LEN('Translation-EN'!B385)&gt;0,'Translation-EN'!B385,"")</f>
        <v>Structural Elements</v>
      </c>
      <c r="C385" s="888" t="str">
        <f>IF(LEN('Translation-EN'!C385)&gt;0,'Translation-EN'!C385,"")</f>
        <v>O3</v>
      </c>
      <c r="D385" s="888" t="b">
        <f>IF(LEN('Translation-EN'!D385)&gt;0,'Translation-EN'!D385,"")</f>
        <v>1</v>
      </c>
      <c r="E385" s="1033" t="s">
        <v>7385</v>
      </c>
      <c r="I385" s="888"/>
      <c r="J385" s="888"/>
      <c r="K385" s="888"/>
      <c r="L385" s="888"/>
      <c r="M385" s="888"/>
      <c r="N385" s="888"/>
      <c r="O385" s="888"/>
      <c r="P385" s="888"/>
      <c r="Q385" s="888"/>
      <c r="R385" s="888"/>
    </row>
    <row r="386" spans="1:19" s="893" customFormat="1" ht="34.799999999999997" x14ac:dyDescent="0.3">
      <c r="A386" s="888" t="str">
        <f>IF(LEN('Translation-EN'!A386)&gt;0,'Translation-EN'!A386,"")</f>
        <v>Range</v>
      </c>
      <c r="B386" s="888" t="str">
        <f>IF(LEN('Translation-EN'!B386)&gt;0,'Translation-EN'!B386,"")</f>
        <v>Structural Elements</v>
      </c>
      <c r="C386" s="888" t="str">
        <f>IF(LEN('Translation-EN'!C386)&gt;0,'Translation-EN'!C386,"")</f>
        <v>P3</v>
      </c>
      <c r="D386" s="888" t="b">
        <f>IF(LEN('Translation-EN'!D386)&gt;0,'Translation-EN'!D386,"")</f>
        <v>1</v>
      </c>
      <c r="E386" s="1033" t="s">
        <v>7386</v>
      </c>
      <c r="I386" s="888"/>
      <c r="J386" s="888"/>
      <c r="K386" s="888"/>
      <c r="L386" s="888"/>
      <c r="M386" s="888"/>
      <c r="N386" s="888"/>
      <c r="O386" s="888"/>
      <c r="P386" s="888"/>
      <c r="Q386" s="888"/>
      <c r="R386" s="888"/>
    </row>
    <row r="387" spans="1:19" s="893" customFormat="1" x14ac:dyDescent="0.3">
      <c r="A387" s="888" t="str">
        <f>IF(LEN('Translation-EN'!A387)&gt;0,'Translation-EN'!A387,"")</f>
        <v>Range</v>
      </c>
      <c r="B387" s="888" t="str">
        <f>IF(LEN('Translation-EN'!B387)&gt;0,'Translation-EN'!B387,"")</f>
        <v>Structural Elements</v>
      </c>
      <c r="C387" s="888" t="str">
        <f>IF(LEN('Translation-EN'!C387)&gt;0,'Translation-EN'!C387,"")</f>
        <v>A5</v>
      </c>
      <c r="D387" s="888" t="str">
        <f>IF(LEN('Translation-EN'!D387)&gt;0,'Translation-EN'!D387,"")</f>
        <v/>
      </c>
      <c r="E387" s="893" t="s">
        <v>2937</v>
      </c>
      <c r="I387" s="888"/>
      <c r="J387" s="888"/>
      <c r="K387" s="888"/>
      <c r="L387" s="888"/>
      <c r="M387" s="888"/>
      <c r="N387" s="888"/>
      <c r="O387" s="888"/>
      <c r="P387" s="888"/>
      <c r="Q387" s="888"/>
      <c r="R387" s="888"/>
    </row>
    <row r="388" spans="1:19" s="893" customFormat="1" x14ac:dyDescent="0.3">
      <c r="A388" s="888" t="str">
        <f>IF(LEN('Translation-EN'!A388)&gt;0,'Translation-EN'!A388,"")</f>
        <v>Range</v>
      </c>
      <c r="B388" s="888" t="str">
        <f>IF(LEN('Translation-EN'!B388)&gt;0,'Translation-EN'!B388,"")</f>
        <v>Structural Elements</v>
      </c>
      <c r="C388" s="888" t="str">
        <f>IF(LEN('Translation-EN'!C388)&gt;0,'Translation-EN'!C388,"")</f>
        <v>B6</v>
      </c>
      <c r="D388" s="888" t="str">
        <f>IF(LEN('Translation-EN'!D388)&gt;0,'Translation-EN'!D388,"")</f>
        <v/>
      </c>
      <c r="E388" s="893" t="s">
        <v>2938</v>
      </c>
      <c r="I388" s="888"/>
      <c r="J388" s="888"/>
      <c r="K388" s="888"/>
      <c r="L388" s="888"/>
      <c r="M388" s="888"/>
      <c r="N388" s="888"/>
      <c r="O388" s="888"/>
      <c r="P388" s="888"/>
      <c r="Q388" s="888"/>
      <c r="R388" s="888"/>
    </row>
    <row r="389" spans="1:19" s="893" customFormat="1" x14ac:dyDescent="0.3">
      <c r="A389" s="888" t="str">
        <f>IF(LEN('Translation-EN'!A389)&gt;0,'Translation-EN'!A389,"")</f>
        <v>Range</v>
      </c>
      <c r="B389" s="888" t="str">
        <f>IF(LEN('Translation-EN'!B389)&gt;0,'Translation-EN'!B389,"")</f>
        <v>Structural Elements</v>
      </c>
      <c r="C389" s="888" t="str">
        <f>IF(LEN('Translation-EN'!C389)&gt;0,'Translation-EN'!C389,"")</f>
        <v>A7</v>
      </c>
      <c r="D389" s="888" t="str">
        <f>IF(LEN('Translation-EN'!D389)&gt;0,'Translation-EN'!D389,"")</f>
        <v/>
      </c>
      <c r="E389" s="893" t="s">
        <v>2939</v>
      </c>
      <c r="I389" s="888"/>
      <c r="J389" s="888"/>
      <c r="K389" s="888"/>
      <c r="L389" s="888"/>
      <c r="M389" s="888"/>
      <c r="N389" s="888"/>
      <c r="O389" s="888"/>
      <c r="P389" s="888"/>
      <c r="Q389" s="888"/>
      <c r="R389" s="888"/>
    </row>
    <row r="390" spans="1:19" s="893" customFormat="1" x14ac:dyDescent="0.3">
      <c r="A390" s="888" t="str">
        <f>IF(LEN('Translation-EN'!A390)&gt;0,'Translation-EN'!A390,"")</f>
        <v>Range</v>
      </c>
      <c r="B390" s="888" t="str">
        <f>IF(LEN('Translation-EN'!B390)&gt;0,'Translation-EN'!B390,"")</f>
        <v>Structural Elements</v>
      </c>
      <c r="C390" s="888" t="str">
        <f>IF(LEN('Translation-EN'!C390)&gt;0,'Translation-EN'!C390,"")</f>
        <v>C7</v>
      </c>
      <c r="D390" s="888" t="str">
        <f>IF(LEN('Translation-EN'!D390)&gt;0,'Translation-EN'!D390,"")</f>
        <v/>
      </c>
      <c r="E390" s="893" t="s">
        <v>2940</v>
      </c>
      <c r="I390" s="888"/>
      <c r="J390" s="888"/>
      <c r="K390" s="888"/>
      <c r="L390" s="888"/>
      <c r="M390" s="888"/>
      <c r="N390" s="888"/>
      <c r="O390" s="888"/>
      <c r="P390" s="888"/>
      <c r="Q390" s="888"/>
      <c r="R390" s="888"/>
    </row>
    <row r="391" spans="1:19" s="893" customFormat="1" x14ac:dyDescent="0.3">
      <c r="A391" s="888" t="str">
        <f>IF(LEN('Translation-EN'!A391)&gt;0,'Translation-EN'!A391,"")</f>
        <v>Range</v>
      </c>
      <c r="B391" s="888" t="str">
        <f>IF(LEN('Translation-EN'!B391)&gt;0,'Translation-EN'!B391,"")</f>
        <v>Structural Elements</v>
      </c>
      <c r="C391" s="888" t="str">
        <f>IF(LEN('Translation-EN'!C391)&gt;0,'Translation-EN'!C391,"")</f>
        <v>A26</v>
      </c>
      <c r="D391" s="888" t="str">
        <f>IF(LEN('Translation-EN'!D391)&gt;0,'Translation-EN'!D391,"")</f>
        <v/>
      </c>
      <c r="E391" s="893" t="s">
        <v>2941</v>
      </c>
      <c r="I391" s="888"/>
      <c r="J391" s="888"/>
      <c r="K391" s="888"/>
      <c r="L391" s="888"/>
      <c r="M391" s="888"/>
      <c r="N391" s="888"/>
      <c r="O391" s="888"/>
      <c r="P391" s="888"/>
      <c r="Q391" s="888"/>
      <c r="R391" s="888"/>
    </row>
    <row r="392" spans="1:19" s="893" customFormat="1" x14ac:dyDescent="0.3">
      <c r="A392" s="888" t="str">
        <f>IF(LEN('Translation-EN'!A392)&gt;0,'Translation-EN'!A392,"")</f>
        <v>Range</v>
      </c>
      <c r="B392" s="888" t="str">
        <f>IF(LEN('Translation-EN'!B392)&gt;0,'Translation-EN'!B392,"")</f>
        <v>Structural Elements</v>
      </c>
      <c r="C392" s="888" t="str">
        <f>IF(LEN('Translation-EN'!C392)&gt;0,'Translation-EN'!C392,"")</f>
        <v>B27</v>
      </c>
      <c r="D392" s="888" t="str">
        <f>IF(LEN('Translation-EN'!D392)&gt;0,'Translation-EN'!D392,"")</f>
        <v/>
      </c>
      <c r="E392" s="893" t="s">
        <v>2942</v>
      </c>
      <c r="I392" s="888"/>
      <c r="J392" s="888"/>
      <c r="K392" s="888"/>
      <c r="L392" s="888"/>
      <c r="M392" s="888"/>
      <c r="N392" s="888"/>
      <c r="O392" s="888"/>
      <c r="P392" s="888"/>
      <c r="Q392" s="888"/>
      <c r="R392" s="888"/>
    </row>
    <row r="393" spans="1:19" s="893" customFormat="1" x14ac:dyDescent="0.3">
      <c r="A393" s="888" t="str">
        <f>IF(LEN('Translation-EN'!A393)&gt;0,'Translation-EN'!A393,"")</f>
        <v>Range</v>
      </c>
      <c r="B393" s="888" t="str">
        <f>IF(LEN('Translation-EN'!B393)&gt;0,'Translation-EN'!B393,"")</f>
        <v>_Structural Elements</v>
      </c>
      <c r="C393" s="888" t="str">
        <f>IF(LEN('Translation-EN'!C393)&gt;0,'Translation-EN'!C393,"")</f>
        <v>A16</v>
      </c>
      <c r="D393" s="888" t="str">
        <f>IF(LEN('Translation-EN'!D393)&gt;0,'Translation-EN'!D393,"")</f>
        <v>Ignore this row, which is removed from the new version of the file</v>
      </c>
      <c r="E393" s="893" t="s">
        <v>2943</v>
      </c>
      <c r="I393" s="888"/>
      <c r="J393" s="888"/>
      <c r="K393" s="888"/>
      <c r="L393" s="888"/>
      <c r="M393" s="888"/>
      <c r="N393" s="888"/>
      <c r="O393" s="888"/>
      <c r="P393" s="888"/>
      <c r="Q393" s="888"/>
      <c r="R393" s="888"/>
    </row>
    <row r="394" spans="1:19" x14ac:dyDescent="0.3">
      <c r="A394" s="888" t="str">
        <f>IF(LEN('Translation-EN'!A394)&gt;0,'Translation-EN'!A394,"")</f>
        <v>Range</v>
      </c>
      <c r="B394" s="888" t="str">
        <f>IF(LEN('Translation-EN'!B394)&gt;0,'Translation-EN'!B394,"")</f>
        <v>_Structural Elements</v>
      </c>
      <c r="C394" s="888" t="str">
        <f>IF(LEN('Translation-EN'!C394)&gt;0,'Translation-EN'!C394,"")</f>
        <v>C16</v>
      </c>
      <c r="D394" s="888" t="str">
        <f>IF(LEN('Translation-EN'!D394)&gt;0,'Translation-EN'!D394,"")</f>
        <v>Ignore this row, which is removed from the new version of the file</v>
      </c>
      <c r="E394" s="893" t="s">
        <v>2944</v>
      </c>
    </row>
    <row r="395" spans="1:19" x14ac:dyDescent="0.3">
      <c r="A395" s="888" t="str">
        <f>IF(LEN('Translation-EN'!A395)&gt;0,'Translation-EN'!A395,"")</f>
        <v>Range</v>
      </c>
      <c r="B395" s="888" t="str">
        <f>IF(LEN('Translation-EN'!B395)&gt;0,'Translation-EN'!B395,"")</f>
        <v>Structural Elements</v>
      </c>
      <c r="C395" s="888" t="str">
        <f>IF(LEN('Translation-EN'!C395)&gt;0,'Translation-EN'!C395,"")</f>
        <v>A28</v>
      </c>
      <c r="D395" s="888" t="str">
        <f>IF(LEN('Translation-EN'!D395)&gt;0,'Translation-EN'!D395,"")</f>
        <v/>
      </c>
      <c r="E395" s="893" t="s">
        <v>5053</v>
      </c>
    </row>
    <row r="396" spans="1:19" x14ac:dyDescent="0.3">
      <c r="A396" s="888" t="str">
        <f>IF(LEN('Translation-EN'!A396)&gt;0,'Translation-EN'!A396,"")</f>
        <v>Range</v>
      </c>
      <c r="B396" s="888" t="str">
        <f>IF(LEN('Translation-EN'!B396)&gt;0,'Translation-EN'!B396,"")</f>
        <v>Ext. Walls</v>
      </c>
      <c r="C396" s="888" t="str">
        <f>IF(LEN('Translation-EN'!C396)&gt;0,'Translation-EN'!C396,"")</f>
        <v>A1</v>
      </c>
      <c r="D396" s="888" t="str">
        <f>IF(LEN('Translation-EN'!D396)&gt;0,'Translation-EN'!D396,"")</f>
        <v/>
      </c>
      <c r="E396" s="893" t="s">
        <v>2945</v>
      </c>
    </row>
    <row r="397" spans="1:19" x14ac:dyDescent="0.3">
      <c r="A397" s="888" t="str">
        <f>IF(LEN('Translation-EN'!A397)&gt;0,'Translation-EN'!A397,"")</f>
        <v>Range</v>
      </c>
      <c r="B397" s="888" t="str">
        <f>IF(LEN('Translation-EN'!B397)&gt;0,'Translation-EN'!B397,"")</f>
        <v>Ext. Walls</v>
      </c>
      <c r="C397" s="888" t="str">
        <f>IF(LEN('Translation-EN'!C397)&gt;0,'Translation-EN'!C397,"")</f>
        <v>D1</v>
      </c>
      <c r="D397" s="888" t="str">
        <f>IF(LEN('Translation-EN'!D397)&gt;0,'Translation-EN'!D397,"")</f>
        <v/>
      </c>
      <c r="E397" s="893" t="s">
        <v>3367</v>
      </c>
    </row>
    <row r="398" spans="1:19" ht="194.25" customHeight="1" x14ac:dyDescent="0.3">
      <c r="A398" s="888" t="str">
        <f>IF(LEN('Translation-EN'!A398)&gt;0,'Translation-EN'!A398,"")</f>
        <v>Range</v>
      </c>
      <c r="B398" s="888" t="str">
        <f>IF(LEN('Translation-EN'!B398)&gt;0,'Translation-EN'!B398,"")</f>
        <v>Ext. Walls</v>
      </c>
      <c r="C398" s="888" t="str">
        <f>IF(LEN('Translation-EN'!C398)&gt;0,'Translation-EN'!C398,"")</f>
        <v>A2</v>
      </c>
      <c r="D398" s="888" t="b">
        <f>IF(LEN('Translation-EN'!D398)&gt;0,'Translation-EN'!D398,"")</f>
        <v>1</v>
      </c>
      <c r="E398" s="1696"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398" s="1696"/>
      <c r="G398" s="1696"/>
      <c r="H398" s="1696"/>
      <c r="I398" s="1696"/>
      <c r="J398" s="1696"/>
      <c r="K398" s="1696"/>
      <c r="L398" s="1696"/>
      <c r="M398" s="1696"/>
      <c r="N398" s="1696"/>
      <c r="O398" s="1696"/>
      <c r="P398" s="1696"/>
      <c r="Q398" s="1696"/>
      <c r="R398" s="1696"/>
      <c r="S398" s="1696"/>
    </row>
    <row r="399" spans="1:19" x14ac:dyDescent="0.3">
      <c r="A399" s="888" t="str">
        <f>IF(LEN('Translation-EN'!A399)&gt;0,'Translation-EN'!A399,"")</f>
        <v>Range</v>
      </c>
      <c r="B399" s="888" t="str">
        <f>IF(LEN('Translation-EN'!B399)&gt;0,'Translation-EN'!B399,"")</f>
        <v>Ext. Walls</v>
      </c>
      <c r="C399" s="888" t="str">
        <f>IF(LEN('Translation-EN'!C399)&gt;0,'Translation-EN'!C399,"")</f>
        <v>A3</v>
      </c>
      <c r="D399" s="888" t="str">
        <f>IF(LEN('Translation-EN'!D399)&gt;0,'Translation-EN'!D399,"")</f>
        <v/>
      </c>
      <c r="E399" s="888" t="str">
        <f>$E$170</f>
        <v>CATÉGORIE</v>
      </c>
    </row>
    <row r="400" spans="1:19" x14ac:dyDescent="0.3">
      <c r="A400" s="888" t="str">
        <f>IF(LEN('Translation-EN'!A400)&gt;0,'Translation-EN'!A400,"")</f>
        <v>Range</v>
      </c>
      <c r="B400" s="888" t="str">
        <f>IF(LEN('Translation-EN'!B400)&gt;0,'Translation-EN'!B400,"")</f>
        <v>Ext. Walls</v>
      </c>
      <c r="C400" s="888" t="str">
        <f>IF(LEN('Translation-EN'!C400)&gt;0,'Translation-EN'!C400,"")</f>
        <v>C3</v>
      </c>
      <c r="D400" s="888" t="str">
        <f>IF(LEN('Translation-EN'!D400)&gt;0,'Translation-EN'!D400,"")</f>
        <v/>
      </c>
      <c r="E400" s="893" t="str">
        <f>$E$171</f>
        <v>MATÉRIAU</v>
      </c>
    </row>
    <row r="401" spans="1:6" x14ac:dyDescent="0.3">
      <c r="A401" s="888" t="str">
        <f>IF(LEN('Translation-EN'!A401)&gt;0,'Translation-EN'!A401,"")</f>
        <v>Range</v>
      </c>
      <c r="B401" s="888" t="str">
        <f>IF(LEN('Translation-EN'!B401)&gt;0,'Translation-EN'!B401,"")</f>
        <v>Ext. Walls</v>
      </c>
      <c r="C401" s="888" t="str">
        <f>IF(LEN('Translation-EN'!C401)&gt;0,'Translation-EN'!C401,"")</f>
        <v>D3</v>
      </c>
      <c r="D401" s="888" t="str">
        <f>IF(LEN('Translation-EN'!D401)&gt;0,'Translation-EN'!D401,"")</f>
        <v/>
      </c>
      <c r="E401" s="893" t="str">
        <f>$E$127</f>
        <v>QUANTITÉ</v>
      </c>
    </row>
    <row r="402" spans="1:6" x14ac:dyDescent="0.3">
      <c r="A402" s="888" t="str">
        <f>IF(LEN('Translation-EN'!A402)&gt;0,'Translation-EN'!A402,"")</f>
        <v>Range</v>
      </c>
      <c r="B402" s="888" t="str">
        <f>IF(LEN('Translation-EN'!B402)&gt;0,'Translation-EN'!B402,"")</f>
        <v>Ext. Walls</v>
      </c>
      <c r="C402" s="888" t="str">
        <f>IF(LEN('Translation-EN'!C402)&gt;0,'Translation-EN'!C402,"")</f>
        <v>H3</v>
      </c>
      <c r="D402" s="888" t="str">
        <f>IF(LEN('Translation-EN'!D402)&gt;0,'Translation-EN'!D402,"")</f>
        <v/>
      </c>
      <c r="E402" s="888" t="str">
        <f>$E$173</f>
        <v xml:space="preserve"> SÉLECTIONNER</v>
      </c>
    </row>
    <row r="403" spans="1:6" ht="15" customHeight="1" x14ac:dyDescent="0.3">
      <c r="A403" s="888" t="str">
        <f>IF(LEN('Translation-EN'!A403)&gt;0,'Translation-EN'!A403,"")</f>
        <v>Range</v>
      </c>
      <c r="B403" s="888" t="str">
        <f>IF(LEN('Translation-EN'!B403)&gt;0,'Translation-EN'!B403,"")</f>
        <v>_Ext. Walls</v>
      </c>
      <c r="C403" s="888" t="str">
        <f>IF(LEN('Translation-EN'!C403)&gt;0,'Translation-EN'!C403,"")</f>
        <v>I3</v>
      </c>
      <c r="D403" s="888" t="b">
        <f>IF(LEN('Translation-EN'!D403)&gt;0,'Translation-EN'!D403,"")</f>
        <v>1</v>
      </c>
      <c r="E403" s="1669" t="str">
        <f>$E$174</f>
        <v>ÉMISSIONS NETTES kgCO2e</v>
      </c>
    </row>
    <row r="404" spans="1:6" ht="15" customHeight="1" x14ac:dyDescent="0.3">
      <c r="A404" s="888" t="str">
        <f>IF(LEN('Translation-EN'!A404)&gt;0,'Translation-EN'!A404,"")</f>
        <v>-</v>
      </c>
      <c r="B404" s="888" t="str">
        <f>IF(LEN('Translation-EN'!B404)&gt;0,'Translation-EN'!B404,"")</f>
        <v/>
      </c>
      <c r="C404" s="888" t="str">
        <f>IF(LEN('Translation-EN'!C404)&gt;0,'Translation-EN'!C404,"")</f>
        <v/>
      </c>
      <c r="D404" s="888" t="str">
        <f>IF(LEN('Translation-EN'!D404)&gt;0,'Translation-EN'!D404,"")</f>
        <v/>
      </c>
      <c r="E404" s="1669"/>
    </row>
    <row r="405" spans="1:6" ht="22.65" customHeight="1" x14ac:dyDescent="0.3">
      <c r="A405" s="888" t="str">
        <f>IF(LEN('Translation-EN'!A405)&gt;0,'Translation-EN'!A405,"")</f>
        <v>Range</v>
      </c>
      <c r="B405" s="888" t="str">
        <f>IF(LEN('Translation-EN'!B405)&gt;0,'Translation-EN'!B405,"")</f>
        <v>_Ext. Walls</v>
      </c>
      <c r="C405" s="888" t="str">
        <f>IF(LEN('Translation-EN'!C405)&gt;0,'Translation-EN'!C405,"")</f>
        <v>J3</v>
      </c>
      <c r="D405" s="888" t="b">
        <f>IF(LEN('Translation-EN'!D405)&gt;0,'Translation-EN'!D405,"")</f>
        <v>1</v>
      </c>
      <c r="E405" s="1669" t="str">
        <f>$E$176</f>
        <v>CONTENU DE kgCO2e DANS LE MATÉRIAU SÉLECTIONNÉ</v>
      </c>
    </row>
    <row r="406" spans="1:6" ht="15" customHeight="1" x14ac:dyDescent="0.3">
      <c r="A406" s="888" t="str">
        <f>IF(LEN('Translation-EN'!A406)&gt;0,'Translation-EN'!A406,"")</f>
        <v>-</v>
      </c>
      <c r="B406" s="888" t="str">
        <f>IF(LEN('Translation-EN'!B406)&gt;0,'Translation-EN'!B406,"")</f>
        <v/>
      </c>
      <c r="C406" s="888" t="str">
        <f>IF(LEN('Translation-EN'!C406)&gt;0,'Translation-EN'!C406,"")</f>
        <v/>
      </c>
      <c r="D406" s="888" t="str">
        <f>IF(LEN('Translation-EN'!D406)&gt;0,'Translation-EN'!D406,"")</f>
        <v/>
      </c>
      <c r="E406" s="1670"/>
    </row>
    <row r="407" spans="1:6" ht="15" customHeight="1" x14ac:dyDescent="0.3">
      <c r="A407" s="888" t="str">
        <f>IF(LEN('Translation-EN'!A407)&gt;0,'Translation-EN'!A407,"")</f>
        <v>Range</v>
      </c>
      <c r="B407" s="888" t="str">
        <f>IF(LEN('Translation-EN'!B407)&gt;0,'Translation-EN'!B407,"")</f>
        <v>Ext. Walls</v>
      </c>
      <c r="C407" s="888" t="str">
        <f>IF(LEN('Translation-EN'!C407)&gt;0,'Translation-EN'!C407,"")</f>
        <v>K3</v>
      </c>
      <c r="D407" s="888" t="b">
        <f>IF(LEN('Translation-EN'!D407)&gt;0,'Translation-EN'!D407,"")</f>
        <v>1</v>
      </c>
      <c r="E407" s="1669" t="str">
        <f>$E$178</f>
        <v xml:space="preserve">ÉMISSIONS EN kgCO2e </v>
      </c>
    </row>
    <row r="408" spans="1:6" ht="15" customHeight="1" x14ac:dyDescent="0.3">
      <c r="A408" s="888" t="str">
        <f>IF(LEN('Translation-EN'!A408)&gt;0,'Translation-EN'!A408,"")</f>
        <v>-</v>
      </c>
      <c r="B408" s="888" t="str">
        <f>IF(LEN('Translation-EN'!B408)&gt;0,'Translation-EN'!B408,"")</f>
        <v/>
      </c>
      <c r="C408" s="888" t="str">
        <f>IF(LEN('Translation-EN'!C408)&gt;0,'Translation-EN'!C408,"")</f>
        <v/>
      </c>
      <c r="D408" s="888" t="str">
        <f>IF(LEN('Translation-EN'!D408)&gt;0,'Translation-EN'!D408,"")</f>
        <v/>
      </c>
      <c r="E408" s="1670"/>
    </row>
    <row r="409" spans="1:6" ht="15" customHeight="1" x14ac:dyDescent="0.3">
      <c r="A409" s="888" t="str">
        <f>IF(LEN('Translation-EN'!A409)&gt;0,'Translation-EN'!A409,"")</f>
        <v>Range</v>
      </c>
      <c r="B409" s="888" t="str">
        <f>IF(LEN('Translation-EN'!B409)&gt;0,'Translation-EN'!B409,"")</f>
        <v>Ext. Walls</v>
      </c>
      <c r="C409" s="888" t="str">
        <f>IF(LEN('Translation-EN'!C409)&gt;0,'Translation-EN'!C409,"")</f>
        <v>L3</v>
      </c>
      <c r="D409" s="888" t="b">
        <f>IF(LEN('Translation-EN'!D409)&gt;0,'Translation-EN'!D409,"")</f>
        <v>1</v>
      </c>
      <c r="E409" s="1669" t="str">
        <f>$E$180</f>
        <v>STOCKAGE kgCO₂</v>
      </c>
    </row>
    <row r="410" spans="1:6" ht="15" customHeight="1" x14ac:dyDescent="0.3">
      <c r="A410" s="888" t="str">
        <f>IF(LEN('Translation-EN'!A410)&gt;0,'Translation-EN'!A410,"")</f>
        <v>-</v>
      </c>
      <c r="B410" s="888" t="str">
        <f>IF(LEN('Translation-EN'!B410)&gt;0,'Translation-EN'!B410,"")</f>
        <v/>
      </c>
      <c r="C410" s="888" t="str">
        <f>IF(LEN('Translation-EN'!C410)&gt;0,'Translation-EN'!C410,"")</f>
        <v/>
      </c>
      <c r="D410" s="888" t="str">
        <f>IF(LEN('Translation-EN'!D410)&gt;0,'Translation-EN'!D410,"")</f>
        <v/>
      </c>
      <c r="E410" s="1670"/>
    </row>
    <row r="411" spans="1:6" ht="15" customHeight="1" x14ac:dyDescent="0.3">
      <c r="A411" s="888" t="str">
        <f>IF(LEN('Translation-EN'!A411)&gt;0,'Translation-EN'!A411,"")</f>
        <v>Range</v>
      </c>
      <c r="B411" s="888" t="str">
        <f>IF(LEN('Translation-EN'!B411)&gt;0,'Translation-EN'!B411,"")</f>
        <v>Ext. Walls</v>
      </c>
      <c r="C411" s="888" t="str">
        <f>IF(LEN('Translation-EN'!C411)&gt;0,'Translation-EN'!C411,"")</f>
        <v>M3</v>
      </c>
      <c r="D411" s="888" t="b">
        <f>IF(LEN('Translation-EN'!D411)&gt;0,'Translation-EN'!D411,"")</f>
        <v>1</v>
      </c>
      <c r="E411" s="1520" t="str">
        <f>$E$182</f>
        <v xml:space="preserve">  Note</v>
      </c>
      <c r="F411" s="1520"/>
    </row>
    <row r="412" spans="1:6" ht="15" customHeight="1" x14ac:dyDescent="0.3">
      <c r="A412" s="888" t="str">
        <f>IF(LEN('Translation-EN'!A412)&gt;0,'Translation-EN'!A412,"")</f>
        <v>-</v>
      </c>
      <c r="B412" s="888" t="str">
        <f>IF(LEN('Translation-EN'!B412)&gt;0,'Translation-EN'!B412,"")</f>
        <v/>
      </c>
      <c r="C412" s="888" t="str">
        <f>IF(LEN('Translation-EN'!C412)&gt;0,'Translation-EN'!C412,"")</f>
        <v/>
      </c>
      <c r="D412" s="888" t="str">
        <f>IF(LEN('Translation-EN'!D412)&gt;0,'Translation-EN'!D412,"")</f>
        <v/>
      </c>
      <c r="E412" s="1520"/>
      <c r="F412" s="1520"/>
    </row>
    <row r="413" spans="1:6" ht="15" customHeight="1" x14ac:dyDescent="0.3">
      <c r="A413" s="888" t="str">
        <f>IF(LEN('Translation-EN'!A413)&gt;0,'Translation-EN'!A413,"")</f>
        <v>Range</v>
      </c>
      <c r="B413" s="888" t="str">
        <f>IF(LEN('Translation-EN'!B413)&gt;0,'Translation-EN'!B413,"")</f>
        <v>_Ext. Walls</v>
      </c>
      <c r="C413" s="888" t="str">
        <f>IF(LEN('Translation-EN'!C413)&gt;0,'Translation-EN'!C413,"")</f>
        <v>N3</v>
      </c>
      <c r="D413" s="888" t="b">
        <f>IF(LEN('Translation-EN'!D413)&gt;0,'Translation-EN'!D413,"")</f>
        <v>1</v>
      </c>
      <c r="E413" s="1669" t="str">
        <f>$E$184</f>
        <v>Inclure le cycle long</v>
      </c>
    </row>
    <row r="414" spans="1:6" ht="15" customHeight="1" x14ac:dyDescent="0.3">
      <c r="A414" s="888" t="str">
        <f>IF(LEN('Translation-EN'!A414)&gt;0,'Translation-EN'!A414,"")</f>
        <v>-</v>
      </c>
      <c r="B414" s="888" t="str">
        <f>IF(LEN('Translation-EN'!B414)&gt;0,'Translation-EN'!B414,"")</f>
        <v/>
      </c>
      <c r="C414" s="888" t="str">
        <f>IF(LEN('Translation-EN'!C414)&gt;0,'Translation-EN'!C414,"")</f>
        <v/>
      </c>
      <c r="D414" s="888" t="str">
        <f>IF(LEN('Translation-EN'!D414)&gt;0,'Translation-EN'!D414,"")</f>
        <v/>
      </c>
      <c r="E414" s="1670"/>
    </row>
    <row r="415" spans="1:6" ht="17.399999999999999" x14ac:dyDescent="0.3">
      <c r="A415" s="888" t="str">
        <f>IF(LEN('Translation-EN'!A415)&gt;0,'Translation-EN'!A415,"")</f>
        <v>Range</v>
      </c>
      <c r="B415" s="888" t="str">
        <f>IF(LEN('Translation-EN'!B415)&gt;0,'Translation-EN'!B415,"")</f>
        <v>Ext. Walls</v>
      </c>
      <c r="C415" s="888" t="str">
        <f>IF(LEN('Translation-EN'!C415)&gt;0,'Translation-EN'!C415,"")</f>
        <v>O3</v>
      </c>
      <c r="D415" s="888" t="b">
        <f>IF(LEN('Translation-EN'!D415)&gt;0,'Translation-EN'!D415,"")</f>
        <v>1</v>
      </c>
      <c r="E415" s="1035" t="s">
        <v>7388</v>
      </c>
    </row>
    <row r="416" spans="1:6" ht="17.399999999999999" x14ac:dyDescent="0.3">
      <c r="A416" s="888" t="str">
        <f>IF(LEN('Translation-EN'!A416)&gt;0,'Translation-EN'!A416,"")</f>
        <v>Range</v>
      </c>
      <c r="B416" s="888" t="str">
        <f>IF(LEN('Translation-EN'!B416)&gt;0,'Translation-EN'!B416,"")</f>
        <v>Ext. Walls</v>
      </c>
      <c r="C416" s="888" t="str">
        <f>IF(LEN('Translation-EN'!C416)&gt;0,'Translation-EN'!C416,"")</f>
        <v>P3</v>
      </c>
      <c r="D416" s="888" t="b">
        <f>IF(LEN('Translation-EN'!D416)&gt;0,'Translation-EN'!D416,"")</f>
        <v>1</v>
      </c>
      <c r="E416" s="1035" t="s">
        <v>7389</v>
      </c>
    </row>
    <row r="417" spans="1:18" x14ac:dyDescent="0.3">
      <c r="A417" s="888" t="str">
        <f>IF(LEN('Translation-EN'!A417)&gt;0,'Translation-EN'!A417,"")</f>
        <v>Range</v>
      </c>
      <c r="B417" s="888" t="str">
        <f>IF(LEN('Translation-EN'!B417)&gt;0,'Translation-EN'!B417,"")</f>
        <v>Ext. Walls</v>
      </c>
      <c r="C417" s="888" t="str">
        <f>IF(LEN('Translation-EN'!C417)&gt;0,'Translation-EN'!C417,"")</f>
        <v>A5</v>
      </c>
      <c r="D417" s="888" t="str">
        <f>IF(LEN('Translation-EN'!D417)&gt;0,'Translation-EN'!D417,"")</f>
        <v/>
      </c>
      <c r="E417" s="893" t="s">
        <v>2946</v>
      </c>
    </row>
    <row r="418" spans="1:18" x14ac:dyDescent="0.3">
      <c r="A418" s="888" t="str">
        <f>IF(LEN('Translation-EN'!A418)&gt;0,'Translation-EN'!A418,"")</f>
        <v>Range</v>
      </c>
      <c r="B418" s="888" t="str">
        <f>IF(LEN('Translation-EN'!B418)&gt;0,'Translation-EN'!B418,"")</f>
        <v>Ext. Walls</v>
      </c>
      <c r="C418" s="888" t="str">
        <f>IF(LEN('Translation-EN'!C418)&gt;0,'Translation-EN'!C418,"")</f>
        <v>D5</v>
      </c>
      <c r="D418" s="888" t="str">
        <f>IF(LEN('Translation-EN'!D418)&gt;0,'Translation-EN'!D418,"")</f>
        <v/>
      </c>
      <c r="E418" s="893" t="str">
        <f>$E$325</f>
        <v>L’ESPACEMENT DES CHARPENTES :</v>
      </c>
    </row>
    <row r="419" spans="1:18" x14ac:dyDescent="0.3">
      <c r="A419" s="888" t="str">
        <f>IF(LEN('Translation-EN'!A419)&gt;0,'Translation-EN'!A419,"")</f>
        <v>Range</v>
      </c>
      <c r="B419" s="888" t="str">
        <f>IF(LEN('Translation-EN'!B419)&gt;0,'Translation-EN'!B419,"")</f>
        <v>Ext. Walls</v>
      </c>
      <c r="C419" s="888" t="str">
        <f>IF(LEN('Translation-EN'!C419)&gt;0,'Translation-EN'!C419,"")</f>
        <v>F5</v>
      </c>
      <c r="D419" s="888" t="str">
        <f>IF(LEN('Translation-EN'!D419)&gt;0,'Translation-EN'!D419,"")</f>
        <v/>
      </c>
      <c r="E419" s="893" t="s">
        <v>2947</v>
      </c>
    </row>
    <row r="420" spans="1:18" s="893" customFormat="1" x14ac:dyDescent="0.3">
      <c r="A420" s="888" t="str">
        <f>IF(LEN('Translation-EN'!A420)&gt;0,'Translation-EN'!A420,"")</f>
        <v>Range</v>
      </c>
      <c r="B420" s="888" t="str">
        <f>IF(LEN('Translation-EN'!B420)&gt;0,'Translation-EN'!B420,"")</f>
        <v>_Ext. Walls</v>
      </c>
      <c r="C420" s="888" t="str">
        <f>IF(LEN('Translation-EN'!C420)&gt;0,'Translation-EN'!C420,"")</f>
        <v>B6</v>
      </c>
      <c r="D420" s="888" t="str">
        <f>IF(LEN('Translation-EN'!D420)&gt;0,'Translation-EN'!D420,"")</f>
        <v/>
      </c>
      <c r="E420" s="893" t="str">
        <f>$E$326</f>
        <v>CONSTRUCTION EN BOIS</v>
      </c>
      <c r="I420" s="888"/>
      <c r="J420" s="888"/>
      <c r="K420" s="888"/>
      <c r="L420" s="888"/>
      <c r="M420" s="888"/>
      <c r="N420" s="888"/>
      <c r="O420" s="888"/>
      <c r="P420" s="888"/>
      <c r="Q420" s="888"/>
      <c r="R420" s="888"/>
    </row>
    <row r="421" spans="1:18" s="893" customFormat="1" x14ac:dyDescent="0.3">
      <c r="A421" s="888" t="str">
        <f>IF(LEN('Translation-EN'!A421)&gt;0,'Translation-EN'!A421,"")</f>
        <v>Range</v>
      </c>
      <c r="B421" s="888" t="str">
        <f>IF(LEN('Translation-EN'!B421)&gt;0,'Translation-EN'!B421,"")</f>
        <v>_Ext. Walls</v>
      </c>
      <c r="C421" s="888" t="str">
        <f>IF(LEN('Translation-EN'!C421)&gt;0,'Translation-EN'!C421,"")</f>
        <v>B10</v>
      </c>
      <c r="D421" s="888" t="str">
        <f>IF(LEN('Translation-EN'!D421)&gt;0,'Translation-EN'!D421,"")</f>
        <v/>
      </c>
      <c r="E421" s="893" t="str">
        <f>$E$327</f>
        <v>2x4 double</v>
      </c>
      <c r="I421" s="888"/>
      <c r="J421" s="888"/>
      <c r="K421" s="888"/>
      <c r="L421" s="888"/>
      <c r="M421" s="888"/>
      <c r="N421" s="888"/>
      <c r="O421" s="888"/>
      <c r="P421" s="888"/>
      <c r="Q421" s="888"/>
      <c r="R421" s="888"/>
    </row>
    <row r="422" spans="1:18" s="893" customFormat="1" x14ac:dyDescent="0.3">
      <c r="A422" s="888" t="str">
        <f>IF(LEN('Translation-EN'!A422)&gt;0,'Translation-EN'!A422,"")</f>
        <v>Range</v>
      </c>
      <c r="B422" s="888" t="str">
        <f>IF(LEN('Translation-EN'!B422)&gt;0,'Translation-EN'!B422,"")</f>
        <v>Ext. Walls</v>
      </c>
      <c r="C422" s="888" t="str">
        <f>IF(LEN('Translation-EN'!C422)&gt;0,'Translation-EN'!C422,"")</f>
        <v>B6</v>
      </c>
      <c r="D422" s="888" t="str">
        <f>IF(LEN('Translation-EN'!D422)&gt;0,'Translation-EN'!D422,"")</f>
        <v/>
      </c>
      <c r="E422" s="924" t="str">
        <f>$E$328</f>
        <v>2x4 CONSTRUCTION EN BOIS</v>
      </c>
      <c r="I422" s="888"/>
      <c r="J422" s="888"/>
      <c r="K422" s="888"/>
      <c r="L422" s="888"/>
      <c r="M422" s="888"/>
      <c r="N422" s="888"/>
      <c r="O422" s="888"/>
      <c r="P422" s="888"/>
      <c r="Q422" s="888"/>
      <c r="R422" s="888"/>
    </row>
    <row r="423" spans="1:18" s="893" customFormat="1" x14ac:dyDescent="0.3">
      <c r="A423" s="888" t="str">
        <f>IF(LEN('Translation-EN'!A423)&gt;0,'Translation-EN'!A423,"")</f>
        <v>Range</v>
      </c>
      <c r="B423" s="888" t="str">
        <f>IF(LEN('Translation-EN'!B423)&gt;0,'Translation-EN'!B423,"")</f>
        <v>Ext. Walls</v>
      </c>
      <c r="C423" s="888" t="str">
        <f>IF(LEN('Translation-EN'!C423)&gt;0,'Translation-EN'!C423,"")</f>
        <v>B13</v>
      </c>
      <c r="D423" s="888" t="str">
        <f>IF(LEN('Translation-EN'!D423)&gt;0,'Translation-EN'!D423,"")</f>
        <v/>
      </c>
      <c r="E423" s="924" t="str">
        <f>$E$329</f>
        <v>2x6 CONSTRUCTION EN BOIS</v>
      </c>
      <c r="I423" s="888"/>
      <c r="J423" s="888"/>
      <c r="K423" s="888"/>
      <c r="L423" s="888"/>
      <c r="M423" s="888"/>
      <c r="N423" s="888"/>
      <c r="O423" s="888"/>
      <c r="P423" s="888"/>
      <c r="Q423" s="888"/>
      <c r="R423" s="888"/>
    </row>
    <row r="424" spans="1:18" s="893" customFormat="1" x14ac:dyDescent="0.3">
      <c r="A424" s="888" t="str">
        <f>IF(LEN('Translation-EN'!A424)&gt;0,'Translation-EN'!A424,"")</f>
        <v>Range</v>
      </c>
      <c r="B424" s="888" t="str">
        <f>IF(LEN('Translation-EN'!B424)&gt;0,'Translation-EN'!B424,"")</f>
        <v>Ext. Walls</v>
      </c>
      <c r="C424" s="888" t="str">
        <f>IF(LEN('Translation-EN'!C424)&gt;0,'Translation-EN'!C424,"")</f>
        <v>B20</v>
      </c>
      <c r="D424" s="888" t="str">
        <f>IF(LEN('Translation-EN'!D424)&gt;0,'Translation-EN'!D424,"")</f>
        <v/>
      </c>
      <c r="E424" s="924" t="str">
        <f>$E$330</f>
        <v>2x8 CONSTRUCTION EN BOIS</v>
      </c>
      <c r="I424" s="888"/>
      <c r="J424" s="888"/>
      <c r="K424" s="888"/>
      <c r="L424" s="888"/>
      <c r="M424" s="888"/>
      <c r="N424" s="888"/>
      <c r="O424" s="888"/>
      <c r="P424" s="888"/>
      <c r="Q424" s="888"/>
      <c r="R424" s="888"/>
    </row>
    <row r="425" spans="1:18" s="893" customFormat="1" x14ac:dyDescent="0.3">
      <c r="A425" s="888" t="str">
        <f>IF(LEN('Translation-EN'!A425)&gt;0,'Translation-EN'!A425,"")</f>
        <v>Range</v>
      </c>
      <c r="B425" s="888" t="str">
        <f>IF(LEN('Translation-EN'!B425)&gt;0,'Translation-EN'!B425,"")</f>
        <v>Ext. Walls</v>
      </c>
      <c r="C425" s="888" t="str">
        <f>IF(LEN('Translation-EN'!C425)&gt;0,'Translation-EN'!C425,"")</f>
        <v>B27</v>
      </c>
      <c r="D425" s="888" t="str">
        <f>IF(LEN('Translation-EN'!D425)&gt;0,'Translation-EN'!D425,"")</f>
        <v/>
      </c>
      <c r="E425" s="924" t="str">
        <f>$E$331</f>
        <v>2x4 DOUBLE CONSTRUCTION EN BOIS</v>
      </c>
      <c r="I425" s="888"/>
      <c r="J425" s="888"/>
      <c r="K425" s="888"/>
      <c r="L425" s="888"/>
      <c r="M425" s="888"/>
      <c r="N425" s="888"/>
      <c r="O425" s="888"/>
      <c r="P425" s="888"/>
      <c r="Q425" s="888"/>
      <c r="R425" s="888"/>
    </row>
    <row r="426" spans="1:18" s="893" customFormat="1" x14ac:dyDescent="0.3">
      <c r="A426" s="888" t="str">
        <f>IF(LEN('Translation-EN'!A426)&gt;0,'Translation-EN'!A426,"")</f>
        <v>Range</v>
      </c>
      <c r="B426" s="888" t="str">
        <f>IF(LEN('Translation-EN'!B426)&gt;0,'Translation-EN'!B426,"")</f>
        <v>Ext. Walls</v>
      </c>
      <c r="C426" s="888" t="str">
        <f>IF(LEN('Translation-EN'!C426)&gt;0,'Translation-EN'!C426,"")</f>
        <v>A34</v>
      </c>
      <c r="D426" s="888" t="str">
        <f>IF(LEN('Translation-EN'!D426)&gt;0,'Translation-EN'!D426,"")</f>
        <v/>
      </c>
      <c r="E426" s="893" t="s">
        <v>2948</v>
      </c>
      <c r="I426" s="888"/>
      <c r="J426" s="888"/>
      <c r="K426" s="888"/>
      <c r="L426" s="888"/>
      <c r="M426" s="888"/>
      <c r="N426" s="888"/>
      <c r="O426" s="888"/>
      <c r="P426" s="888"/>
      <c r="Q426" s="888"/>
      <c r="R426" s="888"/>
    </row>
    <row r="427" spans="1:18" s="893" customFormat="1" x14ac:dyDescent="0.3">
      <c r="A427" s="888" t="str">
        <f>IF(LEN('Translation-EN'!A427)&gt;0,'Translation-EN'!A427,"")</f>
        <v>Range</v>
      </c>
      <c r="B427" s="888" t="str">
        <f>IF(LEN('Translation-EN'!B427)&gt;0,'Translation-EN'!B427,"")</f>
        <v>Ext. Walls</v>
      </c>
      <c r="C427" s="888" t="str">
        <f>IF(LEN('Translation-EN'!C427)&gt;0,'Translation-EN'!C427,"")</f>
        <v>D34</v>
      </c>
      <c r="D427" s="888" t="str">
        <f>IF(LEN('Translation-EN'!D427)&gt;0,'Translation-EN'!D427,"")</f>
        <v/>
      </c>
      <c r="E427" s="893" t="str">
        <f>$E$325</f>
        <v>L’ESPACEMENT DES CHARPENTES :</v>
      </c>
      <c r="I427" s="888"/>
      <c r="J427" s="888"/>
      <c r="K427" s="888"/>
      <c r="L427" s="888"/>
      <c r="M427" s="888"/>
      <c r="N427" s="888"/>
      <c r="O427" s="888"/>
      <c r="P427" s="888"/>
      <c r="Q427" s="888"/>
      <c r="R427" s="888"/>
    </row>
    <row r="428" spans="1:18" s="893" customFormat="1" x14ac:dyDescent="0.3">
      <c r="A428" s="888" t="str">
        <f>IF(LEN('Translation-EN'!A428)&gt;0,'Translation-EN'!A428,"")</f>
        <v>Range</v>
      </c>
      <c r="B428" s="888" t="str">
        <f>IF(LEN('Translation-EN'!B428)&gt;0,'Translation-EN'!B428,"")</f>
        <v>Ext. Walls</v>
      </c>
      <c r="C428" s="888" t="str">
        <f>IF(LEN('Translation-EN'!C428)&gt;0,'Translation-EN'!C428,"")</f>
        <v>F34</v>
      </c>
      <c r="D428" s="888" t="str">
        <f>IF(LEN('Translation-EN'!D428)&gt;0,'Translation-EN'!D428,"")</f>
        <v/>
      </c>
      <c r="E428" s="893" t="str">
        <f>$E$419</f>
        <v>po. o/ c</v>
      </c>
      <c r="I428" s="888"/>
      <c r="J428" s="888"/>
      <c r="K428" s="888"/>
      <c r="L428" s="888"/>
      <c r="M428" s="888"/>
      <c r="N428" s="888"/>
      <c r="O428" s="888"/>
      <c r="P428" s="888"/>
      <c r="Q428" s="888"/>
      <c r="R428" s="888"/>
    </row>
    <row r="429" spans="1:18" s="893" customFormat="1" x14ac:dyDescent="0.3">
      <c r="A429" s="888" t="str">
        <f>IF(LEN('Translation-EN'!A429)&gt;0,'Translation-EN'!A429,"")</f>
        <v>Range</v>
      </c>
      <c r="B429" s="888" t="str">
        <f>IF(LEN('Translation-EN'!B429)&gt;0,'Translation-EN'!B429,"")</f>
        <v>Ext. Walls</v>
      </c>
      <c r="C429" s="888" t="str">
        <f>IF(LEN('Translation-EN'!C429)&gt;0,'Translation-EN'!C429,"")</f>
        <v>B35</v>
      </c>
      <c r="D429" s="888" t="str">
        <f>IF(LEN('Translation-EN'!D429)&gt;0,'Translation-EN'!D429,"")</f>
        <v/>
      </c>
      <c r="E429" s="893" t="s">
        <v>2949</v>
      </c>
      <c r="I429" s="888"/>
      <c r="J429" s="888"/>
      <c r="K429" s="888"/>
      <c r="L429" s="888"/>
      <c r="M429" s="888"/>
      <c r="N429" s="888"/>
      <c r="O429" s="888"/>
      <c r="P429" s="888"/>
      <c r="Q429" s="888"/>
      <c r="R429" s="888"/>
    </row>
    <row r="430" spans="1:18" s="893" customFormat="1" x14ac:dyDescent="0.3">
      <c r="A430" s="888" t="str">
        <f>IF(LEN('Translation-EN'!A430)&gt;0,'Translation-EN'!A430,"")</f>
        <v>Range</v>
      </c>
      <c r="B430" s="888" t="str">
        <f>IF(LEN('Translation-EN'!B430)&gt;0,'Translation-EN'!B430,"")</f>
        <v>Ext. Walls</v>
      </c>
      <c r="C430" s="888" t="str">
        <f>IF(LEN('Translation-EN'!C430)&gt;0,'Translation-EN'!C430,"")</f>
        <v>A36</v>
      </c>
      <c r="D430" s="888" t="str">
        <f>IF(LEN('Translation-EN'!D430)&gt;0,'Translation-EN'!D430,"")</f>
        <v/>
      </c>
      <c r="E430" s="893" t="s">
        <v>2950</v>
      </c>
      <c r="I430" s="888"/>
      <c r="J430" s="888"/>
      <c r="K430" s="888"/>
      <c r="L430" s="888"/>
      <c r="M430" s="888"/>
      <c r="N430" s="888"/>
      <c r="O430" s="888"/>
      <c r="P430" s="888"/>
      <c r="Q430" s="888"/>
      <c r="R430" s="888"/>
    </row>
    <row r="431" spans="1:18" s="893" customFormat="1" x14ac:dyDescent="0.3">
      <c r="A431" s="888" t="str">
        <f>IF(LEN('Translation-EN'!A431)&gt;0,'Translation-EN'!A431,"")</f>
        <v>Range</v>
      </c>
      <c r="B431" s="888" t="str">
        <f>IF(LEN('Translation-EN'!B431)&gt;0,'Translation-EN'!B431,"")</f>
        <v>Ext. Walls</v>
      </c>
      <c r="C431" s="888" t="str">
        <f>IF(LEN('Translation-EN'!C431)&gt;0,'Translation-EN'!C431,"")</f>
        <v>C36</v>
      </c>
      <c r="D431" s="888" t="str">
        <f>IF(LEN('Translation-EN'!D431)&gt;0,'Translation-EN'!D431,"")</f>
        <v/>
      </c>
      <c r="E431" s="893" t="s">
        <v>2951</v>
      </c>
      <c r="I431" s="888"/>
      <c r="J431" s="888"/>
      <c r="K431" s="888"/>
      <c r="L431" s="888"/>
      <c r="M431" s="888"/>
      <c r="N431" s="888"/>
      <c r="O431" s="888"/>
      <c r="P431" s="888"/>
      <c r="Q431" s="888"/>
      <c r="R431" s="888"/>
    </row>
    <row r="432" spans="1:18" s="893" customFormat="1" x14ac:dyDescent="0.3">
      <c r="A432" s="888" t="str">
        <f>IF(LEN('Translation-EN'!A432)&gt;0,'Translation-EN'!A432,"")</f>
        <v>Range</v>
      </c>
      <c r="B432" s="888" t="str">
        <f>IF(LEN('Translation-EN'!B432)&gt;0,'Translation-EN'!B432,"")</f>
        <v>Ext. Walls</v>
      </c>
      <c r="C432" s="888" t="str">
        <f>IF(LEN('Translation-EN'!C432)&gt;0,'Translation-EN'!C432,"")</f>
        <v>A40</v>
      </c>
      <c r="D432" s="888" t="str">
        <f>IF(LEN('Translation-EN'!D432)&gt;0,'Translation-EN'!D432,"")</f>
        <v/>
      </c>
      <c r="E432" s="893" t="s">
        <v>2952</v>
      </c>
      <c r="I432" s="888"/>
      <c r="J432" s="888"/>
      <c r="K432" s="888"/>
      <c r="L432" s="888"/>
      <c r="M432" s="888"/>
      <c r="N432" s="888"/>
      <c r="O432" s="888"/>
      <c r="P432" s="888"/>
      <c r="Q432" s="888"/>
      <c r="R432" s="888"/>
    </row>
    <row r="433" spans="1:18" s="893" customFormat="1" x14ac:dyDescent="0.3">
      <c r="A433" s="888" t="str">
        <f>IF(LEN('Translation-EN'!A433)&gt;0,'Translation-EN'!A433,"")</f>
        <v>Range</v>
      </c>
      <c r="B433" s="888" t="str">
        <f>IF(LEN('Translation-EN'!B433)&gt;0,'Translation-EN'!B433,"")</f>
        <v>Ext. Walls</v>
      </c>
      <c r="C433" s="888" t="str">
        <f>IF(LEN('Translation-EN'!C433)&gt;0,'Translation-EN'!C433,"")</f>
        <v>D40</v>
      </c>
      <c r="D433" s="888" t="str">
        <f>IF(LEN('Translation-EN'!D433)&gt;0,'Translation-EN'!D433,"")</f>
        <v/>
      </c>
      <c r="E433" s="893" t="str">
        <f>$E$325</f>
        <v>L’ESPACEMENT DES CHARPENTES :</v>
      </c>
      <c r="I433" s="888"/>
      <c r="J433" s="888"/>
      <c r="K433" s="888"/>
      <c r="L433" s="888"/>
      <c r="M433" s="888"/>
      <c r="N433" s="888"/>
      <c r="O433" s="888"/>
      <c r="P433" s="888"/>
      <c r="Q433" s="888"/>
      <c r="R433" s="888"/>
    </row>
    <row r="434" spans="1:18" s="893" customFormat="1" x14ac:dyDescent="0.3">
      <c r="A434" s="888" t="str">
        <f>IF(LEN('Translation-EN'!A434)&gt;0,'Translation-EN'!A434,"")</f>
        <v>Range</v>
      </c>
      <c r="B434" s="888" t="str">
        <f>IF(LEN('Translation-EN'!B434)&gt;0,'Translation-EN'!B434,"")</f>
        <v>Ext. Walls</v>
      </c>
      <c r="C434" s="888" t="str">
        <f>IF(LEN('Translation-EN'!C434)&gt;0,'Translation-EN'!C434,"")</f>
        <v>F40</v>
      </c>
      <c r="D434" s="888" t="str">
        <f>IF(LEN('Translation-EN'!D434)&gt;0,'Translation-EN'!D434,"")</f>
        <v/>
      </c>
      <c r="E434" s="893" t="str">
        <f>$E$419</f>
        <v>po. o/ c</v>
      </c>
      <c r="I434" s="888"/>
      <c r="J434" s="888"/>
      <c r="K434" s="888"/>
      <c r="L434" s="888"/>
      <c r="M434" s="888"/>
      <c r="N434" s="888"/>
      <c r="O434" s="888"/>
      <c r="P434" s="888"/>
      <c r="Q434" s="888"/>
      <c r="R434" s="888"/>
    </row>
    <row r="435" spans="1:18" s="893" customFormat="1" x14ac:dyDescent="0.3">
      <c r="A435" s="888" t="str">
        <f>IF(LEN('Translation-EN'!A435)&gt;0,'Translation-EN'!A435,"")</f>
        <v>Range</v>
      </c>
      <c r="B435" s="888" t="str">
        <f>IF(LEN('Translation-EN'!B435)&gt;0,'Translation-EN'!B435,"")</f>
        <v>Ext. Walls</v>
      </c>
      <c r="C435" s="888" t="str">
        <f>IF(LEN('Translation-EN'!C435)&gt;0,'Translation-EN'!C435,"")</f>
        <v>A41</v>
      </c>
      <c r="D435" s="888" t="str">
        <f>IF(LEN('Translation-EN'!D435)&gt;0,'Translation-EN'!D435,"")</f>
        <v/>
      </c>
      <c r="E435" s="893" t="s">
        <v>2953</v>
      </c>
      <c r="I435" s="888"/>
      <c r="J435" s="888"/>
      <c r="K435" s="888"/>
      <c r="L435" s="888"/>
      <c r="M435" s="888"/>
      <c r="N435" s="888"/>
      <c r="O435" s="888"/>
      <c r="P435" s="888"/>
      <c r="Q435" s="888"/>
      <c r="R435" s="888"/>
    </row>
    <row r="436" spans="1:18" s="893" customFormat="1" x14ac:dyDescent="0.3">
      <c r="A436" s="888" t="str">
        <f>IF(LEN('Translation-EN'!A436)&gt;0,'Translation-EN'!A436,"")</f>
        <v>Range</v>
      </c>
      <c r="B436" s="888" t="str">
        <f>IF(LEN('Translation-EN'!B436)&gt;0,'Translation-EN'!B436,"")</f>
        <v>Ext. Walls</v>
      </c>
      <c r="C436" s="888" t="str">
        <f>IF(LEN('Translation-EN'!C436)&gt;0,'Translation-EN'!C436,"")</f>
        <v>A43</v>
      </c>
      <c r="D436" s="888" t="str">
        <f>IF(LEN('Translation-EN'!D436)&gt;0,'Translation-EN'!D436,"")</f>
        <v/>
      </c>
      <c r="E436" s="893" t="s">
        <v>2954</v>
      </c>
      <c r="I436" s="888"/>
      <c r="J436" s="888"/>
      <c r="K436" s="888"/>
      <c r="L436" s="888"/>
      <c r="M436" s="888"/>
      <c r="N436" s="888"/>
      <c r="O436" s="888"/>
      <c r="P436" s="888"/>
      <c r="Q436" s="888"/>
      <c r="R436" s="888"/>
    </row>
    <row r="437" spans="1:18" s="893" customFormat="1" x14ac:dyDescent="0.3">
      <c r="A437" s="888" t="str">
        <f>IF(LEN('Translation-EN'!A437)&gt;0,'Translation-EN'!A437,"")</f>
        <v>Range</v>
      </c>
      <c r="B437" s="888" t="str">
        <f>IF(LEN('Translation-EN'!B437)&gt;0,'Translation-EN'!B437,"")</f>
        <v>Ext. Walls</v>
      </c>
      <c r="C437" s="888" t="str">
        <f>IF(LEN('Translation-EN'!C437)&gt;0,'Translation-EN'!C437,"")</f>
        <v>B44</v>
      </c>
      <c r="D437" s="888" t="str">
        <f>IF(LEN('Translation-EN'!D437)&gt;0,'Translation-EN'!D437,"")</f>
        <v/>
      </c>
      <c r="E437" s="893" t="s">
        <v>2955</v>
      </c>
      <c r="I437" s="888"/>
      <c r="J437" s="888"/>
      <c r="K437" s="888"/>
      <c r="L437" s="888"/>
      <c r="M437" s="888"/>
      <c r="N437" s="888"/>
      <c r="O437" s="888"/>
      <c r="P437" s="888"/>
      <c r="Q437" s="888"/>
      <c r="R437" s="888"/>
    </row>
    <row r="438" spans="1:18" s="893" customFormat="1" x14ac:dyDescent="0.3">
      <c r="A438" s="888" t="str">
        <f>IF(LEN('Translation-EN'!A438)&gt;0,'Translation-EN'!A438,"")</f>
        <v>Range</v>
      </c>
      <c r="B438" s="888" t="str">
        <f>IF(LEN('Translation-EN'!B438)&gt;0,'Translation-EN'!B438,"")</f>
        <v>Ext. Walls</v>
      </c>
      <c r="C438" s="888" t="str">
        <f>IF(LEN('Translation-EN'!C438)&gt;0,'Translation-EN'!C438,"")</f>
        <v>C45</v>
      </c>
      <c r="D438" s="888" t="str">
        <f>IF(LEN('Translation-EN'!D438)&gt;0,'Translation-EN'!D438,"")</f>
        <v/>
      </c>
      <c r="E438" s="893" t="s">
        <v>2956</v>
      </c>
      <c r="I438" s="888"/>
      <c r="J438" s="888"/>
      <c r="K438" s="888"/>
      <c r="L438" s="888"/>
      <c r="M438" s="888"/>
      <c r="N438" s="888"/>
      <c r="O438" s="888"/>
      <c r="P438" s="888"/>
      <c r="Q438" s="888"/>
      <c r="R438" s="888"/>
    </row>
    <row r="439" spans="1:18" s="893" customFormat="1" x14ac:dyDescent="0.3">
      <c r="A439" s="888" t="str">
        <f>IF(LEN('Translation-EN'!A439)&gt;0,'Translation-EN'!A439,"")</f>
        <v>Range</v>
      </c>
      <c r="B439" s="888" t="str">
        <f>IF(LEN('Translation-EN'!B439)&gt;0,'Translation-EN'!B439,"")</f>
        <v>Ext. Walls</v>
      </c>
      <c r="C439" s="888" t="str">
        <f>IF(LEN('Translation-EN'!C439)&gt;0,'Translation-EN'!C439,"")</f>
        <v>A46</v>
      </c>
      <c r="D439" s="888" t="str">
        <f>IF(LEN('Translation-EN'!D439)&gt;0,'Translation-EN'!D439,"")</f>
        <v/>
      </c>
      <c r="E439" s="893" t="s">
        <v>2957</v>
      </c>
      <c r="I439" s="888"/>
      <c r="J439" s="888"/>
      <c r="K439" s="888"/>
      <c r="L439" s="888"/>
      <c r="M439" s="888"/>
      <c r="N439" s="888"/>
      <c r="O439" s="888"/>
      <c r="P439" s="888"/>
      <c r="Q439" s="888"/>
      <c r="R439" s="888"/>
    </row>
    <row r="440" spans="1:18" s="893" customFormat="1" x14ac:dyDescent="0.3">
      <c r="A440" s="888" t="str">
        <f>IF(LEN('Translation-EN'!A440)&gt;0,'Translation-EN'!A440,"")</f>
        <v>Range</v>
      </c>
      <c r="B440" s="888" t="str">
        <f>IF(LEN('Translation-EN'!B440)&gt;0,'Translation-EN'!B440,"")</f>
        <v>Ext. Walls</v>
      </c>
      <c r="C440" s="888" t="str">
        <f>IF(LEN('Translation-EN'!C440)&gt;0,'Translation-EN'!C440,"")</f>
        <v>A48</v>
      </c>
      <c r="D440" s="888" t="str">
        <f>IF(LEN('Translation-EN'!D440)&gt;0,'Translation-EN'!D440,"")</f>
        <v/>
      </c>
      <c r="E440" s="893" t="s">
        <v>2958</v>
      </c>
      <c r="I440" s="888"/>
      <c r="J440" s="888"/>
      <c r="K440" s="888"/>
      <c r="L440" s="888"/>
      <c r="M440" s="888"/>
      <c r="N440" s="888"/>
      <c r="O440" s="888"/>
      <c r="P440" s="888"/>
      <c r="Q440" s="888"/>
      <c r="R440" s="888"/>
    </row>
    <row r="441" spans="1:18" s="893" customFormat="1" x14ac:dyDescent="0.3">
      <c r="A441" s="888" t="str">
        <f>IF(LEN('Translation-EN'!A441)&gt;0,'Translation-EN'!A441,"")</f>
        <v>Range</v>
      </c>
      <c r="B441" s="888" t="str">
        <f>IF(LEN('Translation-EN'!B441)&gt;0,'Translation-EN'!B441,"")</f>
        <v>Ext. Walls</v>
      </c>
      <c r="C441" s="888" t="str">
        <f>IF(LEN('Translation-EN'!C441)&gt;0,'Translation-EN'!C441,"")</f>
        <v>B49</v>
      </c>
      <c r="D441" s="888" t="str">
        <f>IF(LEN('Translation-EN'!D441)&gt;0,'Translation-EN'!D441,"")</f>
        <v/>
      </c>
      <c r="E441" s="893" t="s">
        <v>2959</v>
      </c>
      <c r="I441" s="888"/>
      <c r="J441" s="888"/>
      <c r="K441" s="888"/>
      <c r="L441" s="888"/>
      <c r="M441" s="888"/>
      <c r="N441" s="888"/>
      <c r="O441" s="888"/>
      <c r="P441" s="888"/>
      <c r="Q441" s="888"/>
      <c r="R441" s="888"/>
    </row>
    <row r="442" spans="1:18" s="893" customFormat="1" x14ac:dyDescent="0.3">
      <c r="A442" s="888" t="str">
        <f>IF(LEN('Translation-EN'!A442)&gt;0,'Translation-EN'!A442,"")</f>
        <v>Range</v>
      </c>
      <c r="B442" s="888" t="str">
        <f>IF(LEN('Translation-EN'!B442)&gt;0,'Translation-EN'!B442,"")</f>
        <v>Ext. Walls</v>
      </c>
      <c r="C442" s="888" t="str">
        <f>IF(LEN('Translation-EN'!C442)&gt;0,'Translation-EN'!C442,"")</f>
        <v>C50</v>
      </c>
      <c r="D442" s="888" t="str">
        <f>IF(LEN('Translation-EN'!D442)&gt;0,'Translation-EN'!D442,"")</f>
        <v/>
      </c>
      <c r="E442" s="893" t="s">
        <v>2960</v>
      </c>
      <c r="I442" s="888"/>
      <c r="J442" s="888"/>
      <c r="K442" s="888"/>
      <c r="L442" s="888"/>
      <c r="M442" s="888"/>
      <c r="N442" s="888"/>
      <c r="O442" s="888"/>
      <c r="P442" s="888"/>
      <c r="Q442" s="888"/>
      <c r="R442" s="888"/>
    </row>
    <row r="443" spans="1:18" s="893" customFormat="1" x14ac:dyDescent="0.3">
      <c r="A443" s="888" t="str">
        <f>IF(LEN('Translation-EN'!A443)&gt;0,'Translation-EN'!A443,"")</f>
        <v>Range</v>
      </c>
      <c r="B443" s="888" t="str">
        <f>IF(LEN('Translation-EN'!B443)&gt;0,'Translation-EN'!B443,"")</f>
        <v>Ext. Walls</v>
      </c>
      <c r="C443" s="888" t="str">
        <f>IF(LEN('Translation-EN'!C443)&gt;0,'Translation-EN'!C443,"")</f>
        <v>A51</v>
      </c>
      <c r="D443" s="888" t="str">
        <f>IF(LEN('Translation-EN'!D443)&gt;0,'Translation-EN'!D443,"")</f>
        <v/>
      </c>
      <c r="E443" s="893" t="s">
        <v>2961</v>
      </c>
      <c r="I443" s="888"/>
      <c r="J443" s="888"/>
      <c r="K443" s="888"/>
      <c r="L443" s="888"/>
      <c r="M443" s="888"/>
      <c r="N443" s="888"/>
      <c r="O443" s="888"/>
      <c r="P443" s="888"/>
      <c r="Q443" s="888"/>
      <c r="R443" s="888"/>
    </row>
    <row r="444" spans="1:18" s="893" customFormat="1" x14ac:dyDescent="0.3">
      <c r="A444" s="888" t="str">
        <f>IF(LEN('Translation-EN'!A444)&gt;0,'Translation-EN'!A444,"")</f>
        <v>Range</v>
      </c>
      <c r="B444" s="888" t="str">
        <f>IF(LEN('Translation-EN'!B444)&gt;0,'Translation-EN'!B444,"")</f>
        <v>Ext. Walls</v>
      </c>
      <c r="C444" s="888" t="str">
        <f>IF(LEN('Translation-EN'!C444)&gt;0,'Translation-EN'!C444,"")</f>
        <v>A57</v>
      </c>
      <c r="D444" s="888" t="str">
        <f>IF(LEN('Translation-EN'!D444)&gt;0,'Translation-EN'!D444,"")</f>
        <v/>
      </c>
      <c r="E444" s="893" t="s">
        <v>2962</v>
      </c>
      <c r="I444" s="888"/>
      <c r="J444" s="888"/>
      <c r="K444" s="888"/>
      <c r="L444" s="888"/>
      <c r="M444" s="888"/>
      <c r="N444" s="888"/>
      <c r="O444" s="888"/>
      <c r="P444" s="888"/>
      <c r="Q444" s="888"/>
      <c r="R444" s="888"/>
    </row>
    <row r="445" spans="1:18" s="893" customFormat="1" x14ac:dyDescent="0.3">
      <c r="A445" s="888" t="str">
        <f>IF(LEN('Translation-EN'!A445)&gt;0,'Translation-EN'!A445,"")</f>
        <v>Range</v>
      </c>
      <c r="B445" s="888" t="str">
        <f>IF(LEN('Translation-EN'!B445)&gt;0,'Translation-EN'!B445,"")</f>
        <v>Ext. Walls</v>
      </c>
      <c r="C445" s="888" t="str">
        <f>IF(LEN('Translation-EN'!C445)&gt;0,'Translation-EN'!C445,"")</f>
        <v>D57</v>
      </c>
      <c r="D445" s="888" t="str">
        <f>IF(LEN('Translation-EN'!D445)&gt;0,'Translation-EN'!D445,"")</f>
        <v/>
      </c>
      <c r="E445" s="893" t="s">
        <v>2963</v>
      </c>
      <c r="I445" s="888"/>
      <c r="J445" s="888"/>
      <c r="K445" s="888"/>
      <c r="L445" s="888"/>
      <c r="M445" s="888"/>
      <c r="N445" s="888"/>
      <c r="O445" s="888"/>
      <c r="P445" s="888"/>
      <c r="Q445" s="888"/>
      <c r="R445" s="888"/>
    </row>
    <row r="446" spans="1:18" s="893" customFormat="1" x14ac:dyDescent="0.3">
      <c r="A446" s="888" t="str">
        <f>IF(LEN('Translation-EN'!A446)&gt;0,'Translation-EN'!A446,"")</f>
        <v>Range</v>
      </c>
      <c r="B446" s="888" t="str">
        <f>IF(LEN('Translation-EN'!B446)&gt;0,'Translation-EN'!B446,"")</f>
        <v>Ext. Walls</v>
      </c>
      <c r="C446" s="888" t="str">
        <f>IF(LEN('Translation-EN'!C446)&gt;0,'Translation-EN'!C446,"")</f>
        <v>B58</v>
      </c>
      <c r="D446" s="888" t="str">
        <f>IF(LEN('Translation-EN'!D446)&gt;0,'Translation-EN'!D446,"")</f>
        <v/>
      </c>
      <c r="E446" s="893" t="str">
        <f>$E$193</f>
        <v>BÉTON –25 MPa ou moins</v>
      </c>
      <c r="I446" s="888"/>
      <c r="J446" s="888"/>
      <c r="K446" s="888"/>
      <c r="L446" s="888"/>
      <c r="M446" s="888"/>
      <c r="N446" s="888"/>
      <c r="O446" s="888"/>
      <c r="P446" s="888"/>
      <c r="Q446" s="888"/>
      <c r="R446" s="888"/>
    </row>
    <row r="447" spans="1:18" s="893" customFormat="1" x14ac:dyDescent="0.3">
      <c r="A447" s="888" t="str">
        <f>IF(LEN('Translation-EN'!A447)&gt;0,'Translation-EN'!A447,"")</f>
        <v>Range</v>
      </c>
      <c r="B447" s="888" t="str">
        <f>IF(LEN('Translation-EN'!B447)&gt;0,'Translation-EN'!B447,"")</f>
        <v>Ext. Walls</v>
      </c>
      <c r="C447" s="888" t="str">
        <f>IF(LEN('Translation-EN'!C447)&gt;0,'Translation-EN'!C447,"")</f>
        <v>A59</v>
      </c>
      <c r="D447" s="888" t="str">
        <f>IF(LEN('Translation-EN'!D447)&gt;0,'Translation-EN'!D447,"")</f>
        <v/>
      </c>
      <c r="E447" s="893" t="s">
        <v>2964</v>
      </c>
      <c r="I447" s="888"/>
      <c r="J447" s="888"/>
      <c r="K447" s="888"/>
      <c r="L447" s="888"/>
      <c r="M447" s="888"/>
      <c r="N447" s="888"/>
      <c r="O447" s="888"/>
      <c r="P447" s="888"/>
      <c r="Q447" s="888"/>
      <c r="R447" s="888"/>
    </row>
    <row r="448" spans="1:18" s="893" customFormat="1" x14ac:dyDescent="0.3">
      <c r="A448" s="888" t="str">
        <f>IF(LEN('Translation-EN'!A448)&gt;0,'Translation-EN'!A448,"")</f>
        <v>Range</v>
      </c>
      <c r="B448" s="888" t="str">
        <f>IF(LEN('Translation-EN'!B448)&gt;0,'Translation-EN'!B448,"")</f>
        <v>Ext. Walls</v>
      </c>
      <c r="C448" s="888" t="str">
        <f>IF(LEN('Translation-EN'!C448)&gt;0,'Translation-EN'!C448,"")</f>
        <v>B66</v>
      </c>
      <c r="D448" s="888" t="str">
        <f>IF(LEN('Translation-EN'!D448)&gt;0,'Translation-EN'!D448,"")</f>
        <v/>
      </c>
      <c r="E448" s="893" t="str">
        <f>$E$195</f>
        <v>BÉTON –26-30 MPa</v>
      </c>
      <c r="I448" s="888"/>
      <c r="J448" s="888"/>
      <c r="K448" s="888"/>
      <c r="L448" s="888"/>
      <c r="M448" s="888"/>
      <c r="N448" s="888"/>
      <c r="O448" s="888"/>
      <c r="P448" s="888"/>
      <c r="Q448" s="888"/>
      <c r="R448" s="888"/>
    </row>
    <row r="449" spans="1:18" s="893" customFormat="1" x14ac:dyDescent="0.3">
      <c r="A449" s="888" t="str">
        <f>IF(LEN('Translation-EN'!A449)&gt;0,'Translation-EN'!A449,"")</f>
        <v>Range</v>
      </c>
      <c r="B449" s="888" t="str">
        <f>IF(LEN('Translation-EN'!B449)&gt;0,'Translation-EN'!B449,"")</f>
        <v>Ext. Walls</v>
      </c>
      <c r="C449" s="888" t="str">
        <f>IF(LEN('Translation-EN'!C449)&gt;0,'Translation-EN'!C449,"")</f>
        <v>A67</v>
      </c>
      <c r="D449" s="888" t="str">
        <f>IF(LEN('Translation-EN'!D449)&gt;0,'Translation-EN'!D449,"")</f>
        <v/>
      </c>
      <c r="E449" s="893" t="str">
        <f>$E$447</f>
        <v>Calculez le volume total de béton de remplissage nécessaire pour la surface du mur en EMB saisie ci-dessus.</v>
      </c>
      <c r="I449" s="888"/>
      <c r="J449" s="888"/>
      <c r="K449" s="888"/>
      <c r="L449" s="888"/>
      <c r="M449" s="888"/>
      <c r="N449" s="888"/>
      <c r="O449" s="888"/>
      <c r="P449" s="888"/>
      <c r="Q449" s="888"/>
      <c r="R449" s="888"/>
    </row>
    <row r="450" spans="1:18" s="893" customFormat="1" x14ac:dyDescent="0.3">
      <c r="A450" s="888" t="str">
        <f>IF(LEN('Translation-EN'!A450)&gt;0,'Translation-EN'!A450,"")</f>
        <v>Range</v>
      </c>
      <c r="B450" s="888" t="str">
        <f>IF(LEN('Translation-EN'!B450)&gt;0,'Translation-EN'!B450,"")</f>
        <v>Ext. Walls</v>
      </c>
      <c r="C450" s="888" t="str">
        <f>IF(LEN('Translation-EN'!C450)&gt;0,'Translation-EN'!C450,"")</f>
        <v>A74</v>
      </c>
      <c r="D450" s="888" t="str">
        <f>IF(LEN('Translation-EN'!D450)&gt;0,'Translation-EN'!D450,"")</f>
        <v/>
      </c>
      <c r="E450" s="893" t="s">
        <v>2965</v>
      </c>
      <c r="I450" s="888"/>
      <c r="J450" s="888"/>
      <c r="K450" s="888"/>
      <c r="L450" s="888"/>
      <c r="M450" s="888"/>
      <c r="N450" s="888"/>
      <c r="O450" s="888"/>
      <c r="P450" s="888"/>
      <c r="Q450" s="888"/>
      <c r="R450" s="888"/>
    </row>
    <row r="451" spans="1:18" s="893" customFormat="1" x14ac:dyDescent="0.3">
      <c r="A451" s="888" t="str">
        <f>IF(LEN('Translation-EN'!A451)&gt;0,'Translation-EN'!A451,"")</f>
        <v>Range</v>
      </c>
      <c r="B451" s="888" t="str">
        <f>IF(LEN('Translation-EN'!B451)&gt;0,'Translation-EN'!B451,"")</f>
        <v>Ext. Walls</v>
      </c>
      <c r="C451" s="888" t="str">
        <f>IF(LEN('Translation-EN'!C451)&gt;0,'Translation-EN'!C451,"")</f>
        <v>B75</v>
      </c>
      <c r="D451" s="888" t="str">
        <f>IF(LEN('Translation-EN'!D451)&gt;0,'Translation-EN'!D451,"")</f>
        <v/>
      </c>
      <c r="E451" s="893" t="s">
        <v>2966</v>
      </c>
      <c r="I451" s="888"/>
      <c r="J451" s="888"/>
      <c r="K451" s="888"/>
      <c r="L451" s="888"/>
      <c r="M451" s="888"/>
      <c r="N451" s="888"/>
      <c r="O451" s="888"/>
      <c r="P451" s="888"/>
      <c r="Q451" s="888"/>
      <c r="R451" s="888"/>
    </row>
    <row r="452" spans="1:18" s="893" customFormat="1" x14ac:dyDescent="0.3">
      <c r="A452" s="888" t="str">
        <f>IF(LEN('Translation-EN'!A452)&gt;0,'Translation-EN'!A452,"")</f>
        <v>Range</v>
      </c>
      <c r="B452" s="888" t="str">
        <f>IF(LEN('Translation-EN'!B452)&gt;0,'Translation-EN'!B452,"")</f>
        <v>Ext. Walls</v>
      </c>
      <c r="C452" s="888" t="str">
        <f>IF(LEN('Translation-EN'!C452)&gt;0,'Translation-EN'!C452,"")</f>
        <v>B84</v>
      </c>
      <c r="D452" s="888" t="str">
        <f>IF(LEN('Translation-EN'!D452)&gt;0,'Translation-EN'!D452,"")</f>
        <v/>
      </c>
      <c r="E452" s="893" t="s">
        <v>5061</v>
      </c>
      <c r="I452" s="888"/>
      <c r="J452" s="888"/>
      <c r="K452" s="888"/>
      <c r="L452" s="888"/>
      <c r="M452" s="888"/>
      <c r="N452" s="888"/>
      <c r="O452" s="888"/>
      <c r="P452" s="888"/>
      <c r="Q452" s="888"/>
      <c r="R452" s="888"/>
    </row>
    <row r="453" spans="1:18" s="893" customFormat="1" x14ac:dyDescent="0.3">
      <c r="A453" s="888" t="str">
        <f>IF(LEN('Translation-EN'!A453)&gt;0,'Translation-EN'!A453,"")</f>
        <v>Range</v>
      </c>
      <c r="B453" s="888" t="str">
        <f>IF(LEN('Translation-EN'!B453)&gt;0,'Translation-EN'!B453,"")</f>
        <v>Ext. Walls</v>
      </c>
      <c r="C453" s="888" t="str">
        <f>IF(LEN('Translation-EN'!C453)&gt;0,'Translation-EN'!C453,"")</f>
        <v>B89</v>
      </c>
      <c r="D453" s="888" t="str">
        <f>IF(LEN('Translation-EN'!D453)&gt;0,'Translation-EN'!D453,"")</f>
        <v/>
      </c>
      <c r="E453" s="893" t="s">
        <v>2967</v>
      </c>
      <c r="I453" s="888"/>
      <c r="J453" s="888"/>
      <c r="K453" s="888"/>
      <c r="L453" s="888"/>
      <c r="M453" s="888"/>
      <c r="N453" s="888"/>
      <c r="O453" s="888"/>
      <c r="P453" s="888"/>
      <c r="Q453" s="888"/>
      <c r="R453" s="888"/>
    </row>
    <row r="454" spans="1:18" s="893" customFormat="1" x14ac:dyDescent="0.3">
      <c r="A454" s="888" t="str">
        <f>IF(LEN('Translation-EN'!A454)&gt;0,'Translation-EN'!A454,"")</f>
        <v>Range</v>
      </c>
      <c r="B454" s="888" t="str">
        <f>IF(LEN('Translation-EN'!B454)&gt;0,'Translation-EN'!B454,"")</f>
        <v>Ext. Walls</v>
      </c>
      <c r="C454" s="888" t="str">
        <f>IF(LEN('Translation-EN'!C454)&gt;0,'Translation-EN'!C454,"")</f>
        <v>B99</v>
      </c>
      <c r="D454" s="888" t="str">
        <f>IF(LEN('Translation-EN'!D454)&gt;0,'Translation-EN'!D454,"")</f>
        <v/>
      </c>
      <c r="E454" s="893" t="s">
        <v>2968</v>
      </c>
      <c r="I454" s="888"/>
      <c r="J454" s="888"/>
      <c r="K454" s="888"/>
      <c r="L454" s="888"/>
      <c r="M454" s="888"/>
      <c r="N454" s="888"/>
      <c r="O454" s="888"/>
      <c r="P454" s="888"/>
      <c r="Q454" s="888"/>
      <c r="R454" s="888"/>
    </row>
    <row r="455" spans="1:18" s="893" customFormat="1" x14ac:dyDescent="0.3">
      <c r="A455" s="888" t="str">
        <f>IF(LEN('Translation-EN'!A455)&gt;0,'Translation-EN'!A455,"")</f>
        <v>Range</v>
      </c>
      <c r="B455" s="888" t="str">
        <f>IF(LEN('Translation-EN'!B455)&gt;0,'Translation-EN'!B455,"")</f>
        <v>Ext. Walls</v>
      </c>
      <c r="C455" s="888" t="str">
        <f>IF(LEN('Translation-EN'!C455)&gt;0,'Translation-EN'!C455,"")</f>
        <v>B106</v>
      </c>
      <c r="D455" s="888" t="str">
        <f>IF(LEN('Translation-EN'!D455)&gt;0,'Translation-EN'!D455,"")</f>
        <v/>
      </c>
      <c r="E455" s="893" t="s">
        <v>2969</v>
      </c>
      <c r="I455" s="888"/>
      <c r="J455" s="888"/>
      <c r="K455" s="888"/>
      <c r="L455" s="888"/>
      <c r="M455" s="888"/>
      <c r="N455" s="888"/>
      <c r="O455" s="888"/>
      <c r="P455" s="888"/>
      <c r="Q455" s="888"/>
      <c r="R455" s="888"/>
    </row>
    <row r="456" spans="1:18" s="893" customFormat="1" x14ac:dyDescent="0.3">
      <c r="A456" s="888" t="str">
        <f>IF(LEN('Translation-EN'!A456)&gt;0,'Translation-EN'!A456,"")</f>
        <v>Range</v>
      </c>
      <c r="B456" s="888" t="str">
        <f>IF(LEN('Translation-EN'!B456)&gt;0,'Translation-EN'!B456,"")</f>
        <v>Ext. Walls</v>
      </c>
      <c r="C456" s="888" t="str">
        <f>IF(LEN('Translation-EN'!C456)&gt;0,'Translation-EN'!C456,"")</f>
        <v>A109</v>
      </c>
      <c r="D456" s="888" t="str">
        <f>IF(LEN('Translation-EN'!D456)&gt;0,'Translation-EN'!D456,"")</f>
        <v/>
      </c>
      <c r="E456" s="893" t="s">
        <v>5040</v>
      </c>
      <c r="I456" s="888"/>
      <c r="J456" s="888"/>
      <c r="K456" s="888"/>
      <c r="L456" s="888"/>
      <c r="M456" s="888"/>
      <c r="N456" s="888"/>
      <c r="O456" s="888"/>
      <c r="P456" s="888"/>
      <c r="Q456" s="888"/>
      <c r="R456" s="888"/>
    </row>
    <row r="457" spans="1:18" s="893" customFormat="1" x14ac:dyDescent="0.3">
      <c r="A457" s="888" t="str">
        <f>IF(LEN('Translation-EN'!A457)&gt;0,'Translation-EN'!A457,"")</f>
        <v>Range</v>
      </c>
      <c r="B457" s="888" t="str">
        <f>IF(LEN('Translation-EN'!B457)&gt;0,'Translation-EN'!B457,"")</f>
        <v>Ext. Walls</v>
      </c>
      <c r="C457" s="888" t="str">
        <f>IF(LEN('Translation-EN'!C457)&gt;0,'Translation-EN'!C457,"")</f>
        <v>B110</v>
      </c>
      <c r="D457" s="888" t="str">
        <f>IF(LEN('Translation-EN'!D457)&gt;0,'Translation-EN'!D457,"")</f>
        <v/>
      </c>
      <c r="E457" s="893" t="s">
        <v>5062</v>
      </c>
      <c r="I457" s="888"/>
      <c r="J457" s="888"/>
      <c r="K457" s="888"/>
      <c r="L457" s="888"/>
      <c r="M457" s="888"/>
      <c r="N457" s="888"/>
      <c r="O457" s="888"/>
      <c r="P457" s="888"/>
      <c r="Q457" s="888"/>
      <c r="R457" s="888"/>
    </row>
    <row r="458" spans="1:18" s="893" customFormat="1" x14ac:dyDescent="0.3">
      <c r="A458" s="888" t="str">
        <f>IF(LEN('Translation-EN'!A458)&gt;0,'Translation-EN'!A458,"")</f>
        <v>Range</v>
      </c>
      <c r="B458" s="888" t="str">
        <f>IF(LEN('Translation-EN'!B458)&gt;0,'Translation-EN'!B458,"")</f>
        <v>Ext. Walls</v>
      </c>
      <c r="C458" s="888" t="str">
        <f>IF(LEN('Translation-EN'!C458)&gt;0,'Translation-EN'!C458,"")</f>
        <v>C111</v>
      </c>
      <c r="D458" s="888" t="str">
        <f>IF(LEN('Translation-EN'!D458)&gt;0,'Translation-EN'!D458,"")</f>
        <v/>
      </c>
      <c r="E458" s="893" t="s">
        <v>5063</v>
      </c>
      <c r="I458" s="888"/>
      <c r="J458" s="888"/>
      <c r="K458" s="888"/>
      <c r="L458" s="888"/>
      <c r="M458" s="888"/>
      <c r="N458" s="888"/>
      <c r="O458" s="888"/>
      <c r="P458" s="888"/>
      <c r="Q458" s="888"/>
      <c r="R458" s="888"/>
    </row>
    <row r="459" spans="1:18" s="893" customFormat="1" x14ac:dyDescent="0.3">
      <c r="A459" s="888" t="str">
        <f>IF(LEN('Translation-EN'!A459)&gt;0,'Translation-EN'!A459,"")</f>
        <v>Range</v>
      </c>
      <c r="B459" s="888" t="str">
        <f>IF(LEN('Translation-EN'!B459)&gt;0,'Translation-EN'!B459,"")</f>
        <v>Ext. Walls</v>
      </c>
      <c r="C459" s="888" t="str">
        <f>IF(LEN('Translation-EN'!C459)&gt;0,'Translation-EN'!C459,"")</f>
        <v>B118</v>
      </c>
      <c r="D459" s="888" t="str">
        <f>IF(LEN('Translation-EN'!D459)&gt;0,'Translation-EN'!D459,"")</f>
        <v/>
      </c>
      <c r="E459" s="893" t="s">
        <v>5064</v>
      </c>
      <c r="I459" s="888"/>
      <c r="J459" s="888"/>
      <c r="K459" s="888"/>
      <c r="L459" s="888"/>
      <c r="M459" s="888"/>
      <c r="N459" s="888"/>
      <c r="O459" s="888"/>
      <c r="P459" s="888"/>
      <c r="Q459" s="888"/>
      <c r="R459" s="888"/>
    </row>
    <row r="460" spans="1:18" s="893" customFormat="1" x14ac:dyDescent="0.3">
      <c r="A460" s="888" t="str">
        <f>IF(LEN('Translation-EN'!A460)&gt;0,'Translation-EN'!A460,"")</f>
        <v>Range</v>
      </c>
      <c r="B460" s="888" t="str">
        <f>IF(LEN('Translation-EN'!B460)&gt;0,'Translation-EN'!B460,"")</f>
        <v>Ext. Walls</v>
      </c>
      <c r="C460" s="888" t="str">
        <f>IF(LEN('Translation-EN'!C460)&gt;0,'Translation-EN'!C460,"")</f>
        <v>C119</v>
      </c>
      <c r="D460" s="888" t="str">
        <f>IF(LEN('Translation-EN'!D460)&gt;0,'Translation-EN'!D460,"")</f>
        <v/>
      </c>
      <c r="E460" s="893" t="s">
        <v>5065</v>
      </c>
      <c r="I460" s="888"/>
      <c r="J460" s="888"/>
      <c r="K460" s="888"/>
      <c r="L460" s="888"/>
      <c r="M460" s="888"/>
      <c r="N460" s="888"/>
      <c r="O460" s="888"/>
      <c r="P460" s="888"/>
      <c r="Q460" s="888"/>
      <c r="R460" s="888"/>
    </row>
    <row r="461" spans="1:18" s="893" customFormat="1" x14ac:dyDescent="0.3">
      <c r="A461" s="888" t="str">
        <f>IF(LEN('Translation-EN'!A461)&gt;0,'Translation-EN'!A461,"")</f>
        <v>Range</v>
      </c>
      <c r="B461" s="888" t="str">
        <f>IF(LEN('Translation-EN'!B461)&gt;0,'Translation-EN'!B461,"")</f>
        <v>Ext. Walls</v>
      </c>
      <c r="C461" s="888" t="str">
        <f>IF(LEN('Translation-EN'!C461)&gt;0,'Translation-EN'!C461,"")</f>
        <v>B124</v>
      </c>
      <c r="D461" s="888" t="str">
        <f>IF(LEN('Translation-EN'!D461)&gt;0,'Translation-EN'!D461,"")</f>
        <v/>
      </c>
      <c r="E461" s="893" t="s">
        <v>5066</v>
      </c>
      <c r="I461" s="888"/>
      <c r="J461" s="888"/>
      <c r="K461" s="888"/>
      <c r="L461" s="888"/>
      <c r="M461" s="888"/>
      <c r="N461" s="888"/>
      <c r="O461" s="888"/>
      <c r="P461" s="888"/>
      <c r="Q461" s="888"/>
      <c r="R461" s="888"/>
    </row>
    <row r="462" spans="1:18" s="893" customFormat="1" x14ac:dyDescent="0.3">
      <c r="A462" s="888" t="str">
        <f>IF(LEN('Translation-EN'!A462)&gt;0,'Translation-EN'!A462,"")</f>
        <v>Range</v>
      </c>
      <c r="B462" s="888" t="str">
        <f>IF(LEN('Translation-EN'!B462)&gt;0,'Translation-EN'!B462,"")</f>
        <v>Ext. Walls</v>
      </c>
      <c r="C462" s="888" t="str">
        <f>IF(LEN('Translation-EN'!C462)&gt;0,'Translation-EN'!C462,"")</f>
        <v>C125</v>
      </c>
      <c r="D462" s="888" t="str">
        <f>IF(LEN('Translation-EN'!D462)&gt;0,'Translation-EN'!D462,"")</f>
        <v/>
      </c>
      <c r="E462" s="893" t="s">
        <v>5067</v>
      </c>
      <c r="I462" s="888"/>
      <c r="J462" s="888"/>
      <c r="K462" s="888"/>
      <c r="L462" s="888"/>
      <c r="M462" s="888"/>
      <c r="N462" s="888"/>
      <c r="O462" s="888"/>
      <c r="P462" s="888"/>
      <c r="Q462" s="888"/>
      <c r="R462" s="888"/>
    </row>
    <row r="463" spans="1:18" s="893" customFormat="1" x14ac:dyDescent="0.3">
      <c r="A463" s="888" t="str">
        <f>IF(LEN('Translation-EN'!A463)&gt;0,'Translation-EN'!A463,"")</f>
        <v>Range</v>
      </c>
      <c r="B463" s="888" t="str">
        <f>IF(LEN('Translation-EN'!B463)&gt;0,'Translation-EN'!B463,"")</f>
        <v>Ext. Walls</v>
      </c>
      <c r="C463" s="888" t="str">
        <f>IF(LEN('Translation-EN'!C463)&gt;0,'Translation-EN'!C463,"")</f>
        <v>B133</v>
      </c>
      <c r="D463" s="888" t="str">
        <f>IF(LEN('Translation-EN'!D463)&gt;0,'Translation-EN'!D463,"")</f>
        <v/>
      </c>
      <c r="E463" s="926" t="str">
        <f>$E$234</f>
        <v>BARRIÈRE APPLIQUÉE LIQUIDE</v>
      </c>
      <c r="I463" s="888"/>
      <c r="J463" s="888"/>
      <c r="K463" s="888"/>
      <c r="L463" s="888"/>
      <c r="M463" s="888"/>
      <c r="N463" s="888"/>
      <c r="O463" s="888"/>
      <c r="P463" s="888"/>
      <c r="Q463" s="888"/>
      <c r="R463" s="888"/>
    </row>
    <row r="464" spans="1:18" s="893" customFormat="1" x14ac:dyDescent="0.3">
      <c r="A464" s="888" t="str">
        <f>IF(LEN('Translation-EN'!A464)&gt;0,'Translation-EN'!A464,"")</f>
        <v>Range</v>
      </c>
      <c r="B464" s="888" t="str">
        <f>IF(LEN('Translation-EN'!B464)&gt;0,'Translation-EN'!B464,"")</f>
        <v>Ext. Walls</v>
      </c>
      <c r="C464" s="888" t="str">
        <f>IF(LEN('Translation-EN'!C464)&gt;0,'Translation-EN'!C464,"")</f>
        <v>C134</v>
      </c>
      <c r="D464" s="888" t="str">
        <f>IF(LEN('Translation-EN'!D464)&gt;0,'Translation-EN'!D464,"")</f>
        <v/>
      </c>
      <c r="E464" s="926" t="str">
        <f>$E$357</f>
        <v>Barrière appliquée liquide – MOYENNE</v>
      </c>
      <c r="I464" s="888"/>
      <c r="J464" s="888"/>
      <c r="K464" s="888"/>
      <c r="L464" s="888"/>
      <c r="M464" s="888"/>
      <c r="N464" s="888"/>
      <c r="O464" s="888"/>
      <c r="P464" s="888"/>
      <c r="Q464" s="888"/>
      <c r="R464" s="888"/>
    </row>
    <row r="465" spans="1:18" s="893" customFormat="1" x14ac:dyDescent="0.3">
      <c r="A465" s="888" t="str">
        <f>IF(LEN('Translation-EN'!A465)&gt;0,'Translation-EN'!A465,"")</f>
        <v>Range</v>
      </c>
      <c r="B465" s="888" t="str">
        <f>IF(LEN('Translation-EN'!B465)&gt;0,'Translation-EN'!B465,"")</f>
        <v>Ext. Walls</v>
      </c>
      <c r="C465" s="888" t="str">
        <f>IF(LEN('Translation-EN'!C465)&gt;0,'Translation-EN'!C465,"")</f>
        <v>B142</v>
      </c>
      <c r="D465" s="888" t="str">
        <f>IF(LEN('Translation-EN'!D465)&gt;0,'Translation-EN'!D465,"")</f>
        <v/>
      </c>
      <c r="E465" s="926" t="str">
        <f>$E$358</f>
        <v>BARRIÈRE AUTO-ADHÉSIVE</v>
      </c>
      <c r="I465" s="888"/>
      <c r="J465" s="888"/>
      <c r="K465" s="888"/>
      <c r="L465" s="888"/>
      <c r="M465" s="888"/>
      <c r="N465" s="888"/>
      <c r="O465" s="888"/>
      <c r="P465" s="888"/>
      <c r="Q465" s="888"/>
      <c r="R465" s="888"/>
    </row>
    <row r="466" spans="1:18" s="893" customFormat="1" x14ac:dyDescent="0.3">
      <c r="A466" s="888" t="str">
        <f>IF(LEN('Translation-EN'!A466)&gt;0,'Translation-EN'!A466,"")</f>
        <v>Range</v>
      </c>
      <c r="B466" s="888" t="str">
        <f>IF(LEN('Translation-EN'!B466)&gt;0,'Translation-EN'!B466,"")</f>
        <v>Ext. Walls</v>
      </c>
      <c r="C466" s="888" t="str">
        <f>IF(LEN('Translation-EN'!C466)&gt;0,'Translation-EN'!C466,"")</f>
        <v>C143</v>
      </c>
      <c r="D466" s="888" t="str">
        <f>IF(LEN('Translation-EN'!D466)&gt;0,'Translation-EN'!D466,"")</f>
        <v/>
      </c>
      <c r="E466" s="926" t="str">
        <f>$E$359</f>
        <v>Barrière auto-adhésive – MOYENNE</v>
      </c>
      <c r="I466" s="888"/>
      <c r="J466" s="888"/>
      <c r="K466" s="888"/>
      <c r="L466" s="888"/>
      <c r="M466" s="888"/>
      <c r="N466" s="888"/>
      <c r="O466" s="888"/>
      <c r="P466" s="888"/>
      <c r="Q466" s="888"/>
      <c r="R466" s="888"/>
    </row>
    <row r="467" spans="1:18" s="893" customFormat="1" x14ac:dyDescent="0.3">
      <c r="A467" s="888" t="str">
        <f>IF(LEN('Translation-EN'!A467)&gt;0,'Translation-EN'!A467,"")</f>
        <v>Range</v>
      </c>
      <c r="B467" s="888" t="str">
        <f>IF(LEN('Translation-EN'!B467)&gt;0,'Translation-EN'!B467,"")</f>
        <v>Ext. Walls</v>
      </c>
      <c r="C467" s="888" t="str">
        <f>IF(LEN('Translation-EN'!C467)&gt;0,'Translation-EN'!C467,"")</f>
        <v>A151</v>
      </c>
      <c r="D467" s="888" t="str">
        <f>IF(LEN('Translation-EN'!D467)&gt;0,'Translation-EN'!D467,"")</f>
        <v/>
      </c>
      <c r="E467" s="893" t="str">
        <f>$E$337</f>
        <v>ISOLATION DE LA CAVITÉ</v>
      </c>
      <c r="I467" s="888"/>
      <c r="J467" s="888"/>
      <c r="K467" s="888"/>
      <c r="L467" s="888"/>
      <c r="M467" s="888"/>
      <c r="N467" s="888"/>
      <c r="O467" s="888"/>
      <c r="P467" s="888"/>
      <c r="Q467" s="888"/>
      <c r="R467" s="888"/>
    </row>
    <row r="468" spans="1:18" s="893" customFormat="1" x14ac:dyDescent="0.3">
      <c r="A468" s="888" t="str">
        <f>IF(LEN('Translation-EN'!A468)&gt;0,'Translation-EN'!A468,"")</f>
        <v>Range</v>
      </c>
      <c r="B468" s="888" t="str">
        <f>IF(LEN('Translation-EN'!B468)&gt;0,'Translation-EN'!B468,"")</f>
        <v>Ext. Walls</v>
      </c>
      <c r="C468" s="888" t="str">
        <f>IF(LEN('Translation-EN'!C468)&gt;0,'Translation-EN'!C468,"")</f>
        <v>B152</v>
      </c>
      <c r="D468" s="888" t="str">
        <f>IF(LEN('Translation-EN'!D468)&gt;0,'Translation-EN'!D468,"")</f>
        <v/>
      </c>
      <c r="E468" s="893" t="str">
        <f>$E$339</f>
        <v>NATTE DE FIBRE DE VERRE</v>
      </c>
      <c r="I468" s="888"/>
      <c r="J468" s="888"/>
      <c r="K468" s="888"/>
      <c r="L468" s="888"/>
      <c r="M468" s="888"/>
      <c r="N468" s="888"/>
      <c r="O468" s="888"/>
      <c r="P468" s="888"/>
      <c r="Q468" s="888"/>
      <c r="R468" s="888"/>
    </row>
    <row r="469" spans="1:18" s="893" customFormat="1" x14ac:dyDescent="0.3">
      <c r="A469" s="888" t="str">
        <f>IF(LEN('Translation-EN'!A469)&gt;0,'Translation-EN'!A469,"")</f>
        <v>Range</v>
      </c>
      <c r="B469" s="888" t="str">
        <f>IF(LEN('Translation-EN'!B469)&gt;0,'Translation-EN'!B469,"")</f>
        <v>Ext. Walls</v>
      </c>
      <c r="C469" s="888" t="str">
        <f>IF(LEN('Translation-EN'!C469)&gt;0,'Translation-EN'!C469,"")</f>
        <v>C153</v>
      </c>
      <c r="D469" s="888" t="str">
        <f>IF(LEN('Translation-EN'!D469)&gt;0,'Translation-EN'!D469,"")</f>
        <v/>
      </c>
      <c r="E469" s="893" t="s">
        <v>2970</v>
      </c>
      <c r="I469" s="888"/>
      <c r="J469" s="888"/>
      <c r="K469" s="888"/>
      <c r="L469" s="888"/>
      <c r="M469" s="888"/>
      <c r="N469" s="888"/>
      <c r="O469" s="888"/>
      <c r="P469" s="888"/>
      <c r="Q469" s="888"/>
      <c r="R469" s="888"/>
    </row>
    <row r="470" spans="1:18" s="893" customFormat="1" x14ac:dyDescent="0.3">
      <c r="A470" s="888" t="str">
        <f>IF(LEN('Translation-EN'!A470)&gt;0,'Translation-EN'!A470,"")</f>
        <v>Range</v>
      </c>
      <c r="B470" s="888" t="str">
        <f>IF(LEN('Translation-EN'!B470)&gt;0,'Translation-EN'!B470,"")</f>
        <v>Ext. Walls</v>
      </c>
      <c r="C470" s="888" t="str">
        <f>IF(LEN('Translation-EN'!C470)&gt;0,'Translation-EN'!C470,"")</f>
        <v>B157</v>
      </c>
      <c r="D470" s="888" t="str">
        <f>IF(LEN('Translation-EN'!D470)&gt;0,'Translation-EN'!D470,"")</f>
        <v/>
      </c>
      <c r="E470" s="917" t="str">
        <f>$E$347</f>
        <v>FIBRE DE VERRE SOUFFLÉE</v>
      </c>
      <c r="I470" s="888"/>
      <c r="J470" s="888"/>
      <c r="K470" s="888"/>
      <c r="L470" s="888"/>
      <c r="M470" s="888"/>
      <c r="N470" s="888"/>
      <c r="O470" s="888"/>
      <c r="P470" s="888"/>
      <c r="Q470" s="888"/>
      <c r="R470" s="888"/>
    </row>
    <row r="471" spans="1:18" s="893" customFormat="1" x14ac:dyDescent="0.3">
      <c r="A471" s="888" t="str">
        <f>IF(LEN('Translation-EN'!A471)&gt;0,'Translation-EN'!A471,"")</f>
        <v>Range</v>
      </c>
      <c r="B471" s="888" t="str">
        <f>IF(LEN('Translation-EN'!B471)&gt;0,'Translation-EN'!B471,"")</f>
        <v>Ext. Walls</v>
      </c>
      <c r="C471" s="888" t="str">
        <f>IF(LEN('Translation-EN'!C471)&gt;0,'Translation-EN'!C471,"")</f>
        <v>C158</v>
      </c>
      <c r="D471" s="888" t="str">
        <f>IF(LEN('Translation-EN'!D471)&gt;0,'Translation-EN'!D471,"")</f>
        <v/>
      </c>
      <c r="E471" s="917" t="str">
        <f>$E$348</f>
        <v>Fibre de verre en vrac – MOYENNE</v>
      </c>
      <c r="I471" s="888"/>
      <c r="J471" s="888"/>
      <c r="K471" s="888"/>
      <c r="L471" s="888"/>
      <c r="M471" s="888"/>
      <c r="N471" s="888"/>
      <c r="O471" s="888"/>
      <c r="P471" s="888"/>
      <c r="Q471" s="888"/>
      <c r="R471" s="888"/>
    </row>
    <row r="472" spans="1:18" s="893" customFormat="1" x14ac:dyDescent="0.3">
      <c r="A472" s="888" t="str">
        <f>IF(LEN('Translation-EN'!A472)&gt;0,'Translation-EN'!A472,"")</f>
        <v>Range</v>
      </c>
      <c r="B472" s="888" t="str">
        <f>IF(LEN('Translation-EN'!B472)&gt;0,'Translation-EN'!B472,"")</f>
        <v>Ext. Walls</v>
      </c>
      <c r="C472" s="888" t="str">
        <f>IF(LEN('Translation-EN'!C472)&gt;0,'Translation-EN'!C472,"")</f>
        <v>B163</v>
      </c>
      <c r="D472" s="888" t="str">
        <f>IF(LEN('Translation-EN'!D472)&gt;0,'Translation-EN'!D472,"")</f>
        <v/>
      </c>
      <c r="E472" s="893" t="str">
        <f>$E$343</f>
        <v>NATTE DE LAINE MINÉRALE</v>
      </c>
      <c r="I472" s="888"/>
      <c r="J472" s="888"/>
      <c r="K472" s="888"/>
      <c r="L472" s="888"/>
      <c r="M472" s="888"/>
      <c r="N472" s="888"/>
      <c r="O472" s="888"/>
      <c r="P472" s="888"/>
      <c r="Q472" s="888"/>
      <c r="R472" s="888"/>
    </row>
    <row r="473" spans="1:18" s="893" customFormat="1" x14ac:dyDescent="0.3">
      <c r="A473" s="888" t="str">
        <f>IF(LEN('Translation-EN'!A473)&gt;0,'Translation-EN'!A473,"")</f>
        <v>Range</v>
      </c>
      <c r="B473" s="888" t="str">
        <f>IF(LEN('Translation-EN'!B473)&gt;0,'Translation-EN'!B473,"")</f>
        <v>Ext. Walls</v>
      </c>
      <c r="C473" s="888" t="str">
        <f>IF(LEN('Translation-EN'!C473)&gt;0,'Translation-EN'!C473,"")</f>
        <v>B170</v>
      </c>
      <c r="D473" s="888" t="str">
        <f>IF(LEN('Translation-EN'!D473)&gt;0,'Translation-EN'!D473,"")</f>
        <v/>
      </c>
      <c r="E473" s="893" t="s">
        <v>3054</v>
      </c>
      <c r="F473" s="926"/>
      <c r="I473" s="888"/>
      <c r="J473" s="888"/>
      <c r="K473" s="888"/>
      <c r="L473" s="888"/>
      <c r="M473" s="888"/>
      <c r="N473" s="888"/>
      <c r="O473" s="888"/>
      <c r="P473" s="888"/>
      <c r="Q473" s="888"/>
      <c r="R473" s="888"/>
    </row>
    <row r="474" spans="1:18" s="893" customFormat="1" x14ac:dyDescent="0.3">
      <c r="A474" s="888" t="str">
        <f>IF(LEN('Translation-EN'!A474)&gt;0,'Translation-EN'!A474,"")</f>
        <v>Range</v>
      </c>
      <c r="B474" s="888" t="str">
        <f>IF(LEN('Translation-EN'!B474)&gt;0,'Translation-EN'!B474,"")</f>
        <v>Ext. Walls</v>
      </c>
      <c r="C474" s="888" t="str">
        <f>IF(LEN('Translation-EN'!C474)&gt;0,'Translation-EN'!C474,"")</f>
        <v>B172</v>
      </c>
      <c r="D474" s="888" t="str">
        <f>IF(LEN('Translation-EN'!D474)&gt;0,'Translation-EN'!D474,"")</f>
        <v/>
      </c>
      <c r="E474" s="893" t="str">
        <f>$E$341</f>
        <v>ISOLATION EN CELLULOSE</v>
      </c>
      <c r="I474" s="888"/>
      <c r="J474" s="888"/>
      <c r="K474" s="888"/>
      <c r="L474" s="888"/>
      <c r="M474" s="888"/>
      <c r="N474" s="888"/>
      <c r="O474" s="888"/>
      <c r="P474" s="888"/>
      <c r="Q474" s="888"/>
      <c r="R474" s="888"/>
    </row>
    <row r="475" spans="1:18" s="893" customFormat="1" x14ac:dyDescent="0.3">
      <c r="A475" s="888" t="str">
        <f>IF(LEN('Translation-EN'!A475)&gt;0,'Translation-EN'!A475,"")</f>
        <v>Range</v>
      </c>
      <c r="B475" s="888" t="str">
        <f>IF(LEN('Translation-EN'!B475)&gt;0,'Translation-EN'!B475,"")</f>
        <v>Ext. Walls</v>
      </c>
      <c r="C475" s="888" t="str">
        <f>IF(LEN('Translation-EN'!C475)&gt;0,'Translation-EN'!C475,"")</f>
        <v>C173</v>
      </c>
      <c r="D475" s="888" t="str">
        <f>IF(LEN('Translation-EN'!D475)&gt;0,'Translation-EN'!D475,"")</f>
        <v/>
      </c>
      <c r="E475" s="893" t="s">
        <v>2973</v>
      </c>
      <c r="I475" s="888"/>
      <c r="J475" s="888"/>
      <c r="K475" s="888"/>
      <c r="L475" s="888"/>
      <c r="M475" s="888"/>
      <c r="N475" s="888"/>
      <c r="O475" s="888"/>
      <c r="P475" s="888"/>
      <c r="Q475" s="888"/>
      <c r="R475" s="888"/>
    </row>
    <row r="476" spans="1:18" s="893" customFormat="1" x14ac:dyDescent="0.3">
      <c r="A476" s="888" t="str">
        <f>IF(LEN('Translation-EN'!A476)&gt;0,'Translation-EN'!A476,"")</f>
        <v>Range</v>
      </c>
      <c r="B476" s="888" t="str">
        <f>IF(LEN('Translation-EN'!B476)&gt;0,'Translation-EN'!B476,"")</f>
        <v>Ext. Walls</v>
      </c>
      <c r="C476" s="888" t="str">
        <f>IF(LEN('Translation-EN'!C476)&gt;0,'Translation-EN'!C476,"")</f>
        <v>B177</v>
      </c>
      <c r="D476" s="888" t="str">
        <f>IF(LEN('Translation-EN'!D476)&gt;0,'Translation-EN'!D476,"")</f>
        <v/>
      </c>
      <c r="E476" s="893" t="str">
        <f>$E$345</f>
        <v>NATTE DE FIBRES DE BOIS</v>
      </c>
      <c r="I476" s="888"/>
      <c r="J476" s="888"/>
      <c r="K476" s="888"/>
      <c r="L476" s="888"/>
      <c r="M476" s="888"/>
      <c r="N476" s="888"/>
      <c r="O476" s="888"/>
      <c r="P476" s="888"/>
      <c r="Q476" s="888"/>
      <c r="R476" s="888"/>
    </row>
    <row r="477" spans="1:18" s="893" customFormat="1" x14ac:dyDescent="0.3">
      <c r="A477" s="888" t="str">
        <f>IF(LEN('Translation-EN'!A477)&gt;0,'Translation-EN'!A477,"")</f>
        <v>Range</v>
      </c>
      <c r="B477" s="888" t="str">
        <f>IF(LEN('Translation-EN'!B477)&gt;0,'Translation-EN'!B477,"")</f>
        <v>Ext. Walls</v>
      </c>
      <c r="C477" s="888" t="str">
        <f>IF(LEN('Translation-EN'!C477)&gt;0,'Translation-EN'!C477,"")</f>
        <v>C178</v>
      </c>
      <c r="D477" s="888" t="str">
        <f>IF(LEN('Translation-EN'!D477)&gt;0,'Translation-EN'!D477,"")</f>
        <v/>
      </c>
      <c r="E477" s="893" t="s">
        <v>2974</v>
      </c>
      <c r="I477" s="888"/>
      <c r="J477" s="888"/>
      <c r="K477" s="888"/>
      <c r="L477" s="888"/>
      <c r="M477" s="888"/>
      <c r="N477" s="888"/>
      <c r="O477" s="888"/>
      <c r="P477" s="888"/>
      <c r="Q477" s="888"/>
      <c r="R477" s="888"/>
    </row>
    <row r="478" spans="1:18" s="893" customFormat="1" x14ac:dyDescent="0.3">
      <c r="A478" s="888" t="str">
        <f>IF(LEN('Translation-EN'!A478)&gt;0,'Translation-EN'!A478,"")</f>
        <v>Range</v>
      </c>
      <c r="B478" s="888" t="str">
        <f>IF(LEN('Translation-EN'!B478)&gt;0,'Translation-EN'!B478,"")</f>
        <v>Ext. Walls</v>
      </c>
      <c r="C478" s="888" t="str">
        <f>IF(LEN('Translation-EN'!C478)&gt;0,'Translation-EN'!C478,"")</f>
        <v>B181</v>
      </c>
      <c r="D478" s="888" t="str">
        <f>IF(LEN('Translation-EN'!D478)&gt;0,'Translation-EN'!D478,"")</f>
        <v/>
      </c>
      <c r="E478" s="893" t="s">
        <v>2927</v>
      </c>
      <c r="I478" s="888"/>
      <c r="J478" s="888"/>
      <c r="K478" s="888"/>
      <c r="L478" s="888"/>
      <c r="M478" s="888"/>
      <c r="N478" s="888"/>
      <c r="O478" s="888"/>
      <c r="P478" s="888"/>
      <c r="Q478" s="888"/>
      <c r="R478" s="888"/>
    </row>
    <row r="479" spans="1:18" s="893" customFormat="1" x14ac:dyDescent="0.3">
      <c r="A479" s="888" t="str">
        <f>IF(LEN('Translation-EN'!A479)&gt;0,'Translation-EN'!A479,"")</f>
        <v>Range</v>
      </c>
      <c r="B479" s="888" t="str">
        <f>IF(LEN('Translation-EN'!B479)&gt;0,'Translation-EN'!B479,"")</f>
        <v>Ext. Walls</v>
      </c>
      <c r="C479" s="888" t="str">
        <f>IF(LEN('Translation-EN'!C479)&gt;0,'Translation-EN'!C479,"")</f>
        <v>B186</v>
      </c>
      <c r="D479" s="888" t="str">
        <f>IF(LEN('Translation-EN'!D479)&gt;0,'Translation-EN'!D479,"")</f>
        <v/>
      </c>
      <c r="E479" s="893" t="s">
        <v>2907</v>
      </c>
      <c r="I479" s="888"/>
      <c r="J479" s="888"/>
      <c r="K479" s="888"/>
      <c r="L479" s="888"/>
      <c r="M479" s="888"/>
      <c r="N479" s="888"/>
      <c r="O479" s="888"/>
      <c r="P479" s="888"/>
      <c r="Q479" s="888"/>
      <c r="R479" s="888"/>
    </row>
    <row r="480" spans="1:18" s="893" customFormat="1" x14ac:dyDescent="0.3">
      <c r="A480" s="888" t="str">
        <f>IF(LEN('Translation-EN'!A480)&gt;0,'Translation-EN'!A480,"")</f>
        <v>Range</v>
      </c>
      <c r="B480" s="888" t="str">
        <f>IF(LEN('Translation-EN'!B480)&gt;0,'Translation-EN'!B480,"")</f>
        <v>Ext. Walls</v>
      </c>
      <c r="C480" s="888" t="str">
        <f>IF(LEN('Translation-EN'!C480)&gt;0,'Translation-EN'!C480,"")</f>
        <v>B189</v>
      </c>
      <c r="D480" s="888" t="str">
        <f>IF(LEN('Translation-EN'!D480)&gt;0,'Translation-EN'!D480,"")</f>
        <v/>
      </c>
      <c r="E480" s="893" t="s">
        <v>2975</v>
      </c>
      <c r="I480" s="888"/>
      <c r="J480" s="888"/>
      <c r="K480" s="888"/>
      <c r="L480" s="888"/>
      <c r="M480" s="888"/>
      <c r="N480" s="888"/>
      <c r="O480" s="888"/>
      <c r="P480" s="888"/>
      <c r="Q480" s="888"/>
      <c r="R480" s="888"/>
    </row>
    <row r="481" spans="1:18" s="893" customFormat="1" x14ac:dyDescent="0.3">
      <c r="A481" s="888" t="str">
        <f>IF(LEN('Translation-EN'!A481)&gt;0,'Translation-EN'!A481,"")</f>
        <v>Range</v>
      </c>
      <c r="B481" s="888" t="str">
        <f>IF(LEN('Translation-EN'!B481)&gt;0,'Translation-EN'!B481,"")</f>
        <v>Ext. Walls</v>
      </c>
      <c r="C481" s="888" t="str">
        <f>IF(LEN('Translation-EN'!C481)&gt;0,'Translation-EN'!C481,"")</f>
        <v>B191</v>
      </c>
      <c r="D481" s="888" t="str">
        <f>IF(LEN('Translation-EN'!D481)&gt;0,'Translation-EN'!D481,"")</f>
        <v/>
      </c>
      <c r="E481" s="893" t="s">
        <v>2976</v>
      </c>
      <c r="I481" s="888"/>
      <c r="J481" s="888"/>
      <c r="K481" s="888"/>
      <c r="L481" s="888"/>
      <c r="M481" s="888"/>
      <c r="N481" s="888"/>
      <c r="O481" s="888"/>
      <c r="P481" s="888"/>
      <c r="Q481" s="888"/>
      <c r="R481" s="888"/>
    </row>
    <row r="482" spans="1:18" s="893" customFormat="1" x14ac:dyDescent="0.3">
      <c r="A482" s="888" t="str">
        <f>IF(LEN('Translation-EN'!A482)&gt;0,'Translation-EN'!A482,"")</f>
        <v>Range</v>
      </c>
      <c r="B482" s="888" t="str">
        <f>IF(LEN('Translation-EN'!B482)&gt;0,'Translation-EN'!B482,"")</f>
        <v>Ext. Walls</v>
      </c>
      <c r="C482" s="888" t="str">
        <f>IF(LEN('Translation-EN'!C482)&gt;0,'Translation-EN'!C482,"")</f>
        <v>C192</v>
      </c>
      <c r="D482" s="888" t="str">
        <f>IF(LEN('Translation-EN'!D482)&gt;0,'Translation-EN'!D482,"")</f>
        <v/>
      </c>
      <c r="E482" s="893" t="s">
        <v>2977</v>
      </c>
      <c r="I482" s="888"/>
      <c r="J482" s="888"/>
      <c r="K482" s="888"/>
      <c r="L482" s="888"/>
      <c r="M482" s="888"/>
      <c r="N482" s="888"/>
      <c r="O482" s="888"/>
      <c r="P482" s="888"/>
      <c r="Q482" s="888"/>
      <c r="R482" s="888"/>
    </row>
    <row r="483" spans="1:18" s="893" customFormat="1" x14ac:dyDescent="0.3">
      <c r="A483" s="888" t="str">
        <f>IF(LEN('Translation-EN'!A483)&gt;0,'Translation-EN'!A483,"")</f>
        <v>Range</v>
      </c>
      <c r="B483" s="888" t="str">
        <f>IF(LEN('Translation-EN'!B483)&gt;0,'Translation-EN'!B483,"")</f>
        <v>Ext. Walls</v>
      </c>
      <c r="C483" s="888" t="str">
        <f>IF(LEN('Translation-EN'!C483)&gt;0,'Translation-EN'!C483,"")</f>
        <v>A200</v>
      </c>
      <c r="D483" s="888" t="str">
        <f>IF(LEN('Translation-EN'!D483)&gt;0,'Translation-EN'!D483,"")</f>
        <v/>
      </c>
      <c r="E483" s="893" t="s">
        <v>2978</v>
      </c>
      <c r="I483" s="888"/>
      <c r="J483" s="888"/>
      <c r="K483" s="888"/>
      <c r="L483" s="888"/>
      <c r="M483" s="888"/>
      <c r="N483" s="888"/>
      <c r="O483" s="888"/>
      <c r="P483" s="888"/>
      <c r="Q483" s="888"/>
      <c r="R483" s="888"/>
    </row>
    <row r="484" spans="1:18" s="893" customFormat="1" x14ac:dyDescent="0.3">
      <c r="A484" s="888" t="str">
        <f>IF(LEN('Translation-EN'!A484)&gt;0,'Translation-EN'!A484,"")</f>
        <v>Range</v>
      </c>
      <c r="B484" s="888" t="str">
        <f>IF(LEN('Translation-EN'!B484)&gt;0,'Translation-EN'!B484,"")</f>
        <v>Ext. Walls</v>
      </c>
      <c r="C484" s="888" t="str">
        <f>IF(LEN('Translation-EN'!C484)&gt;0,'Translation-EN'!C484,"")</f>
        <v>B201</v>
      </c>
      <c r="D484" s="888" t="str">
        <f>IF(LEN('Translation-EN'!D484)&gt;0,'Translation-EN'!D484,"")</f>
        <v/>
      </c>
      <c r="E484" s="893" t="str">
        <f>$E$221</f>
        <v>PANNEAU DE MOUSSE EPS</v>
      </c>
      <c r="I484" s="888"/>
      <c r="J484" s="888"/>
      <c r="K484" s="888"/>
      <c r="L484" s="888"/>
      <c r="M484" s="888"/>
      <c r="N484" s="888"/>
      <c r="O484" s="888"/>
      <c r="P484" s="888"/>
      <c r="Q484" s="888"/>
      <c r="R484" s="888"/>
    </row>
    <row r="485" spans="1:18" s="893" customFormat="1" x14ac:dyDescent="0.3">
      <c r="A485" s="888" t="str">
        <f>IF(LEN('Translation-EN'!A485)&gt;0,'Translation-EN'!A485,"")</f>
        <v>Range</v>
      </c>
      <c r="B485" s="888" t="str">
        <f>IF(LEN('Translation-EN'!B485)&gt;0,'Translation-EN'!B485,"")</f>
        <v>Ext. Walls</v>
      </c>
      <c r="C485" s="888" t="str">
        <f>IF(LEN('Translation-EN'!C485)&gt;0,'Translation-EN'!C485,"")</f>
        <v>C202</v>
      </c>
      <c r="D485" s="888" t="str">
        <f>IF(LEN('Translation-EN'!D485)&gt;0,'Translation-EN'!D485,"")</f>
        <v/>
      </c>
      <c r="E485" s="893" t="str">
        <f>$E$222</f>
        <v>Panneau de mousse EPS – MOYENNE</v>
      </c>
      <c r="I485" s="888"/>
      <c r="J485" s="888"/>
      <c r="K485" s="888"/>
      <c r="L485" s="888"/>
      <c r="M485" s="888"/>
      <c r="N485" s="888"/>
      <c r="O485" s="888"/>
      <c r="P485" s="888"/>
      <c r="Q485" s="888"/>
      <c r="R485" s="888"/>
    </row>
    <row r="486" spans="1:18" s="893" customFormat="1" x14ac:dyDescent="0.3">
      <c r="A486" s="888" t="str">
        <f>IF(LEN('Translation-EN'!A486)&gt;0,'Translation-EN'!A486,"")</f>
        <v>Range</v>
      </c>
      <c r="B486" s="888" t="str">
        <f>IF(LEN('Translation-EN'!B486)&gt;0,'Translation-EN'!B486,"")</f>
        <v>Ext. Walls</v>
      </c>
      <c r="C486" s="888" t="str">
        <f>IF(LEN('Translation-EN'!C486)&gt;0,'Translation-EN'!C486,"")</f>
        <v>B211</v>
      </c>
      <c r="D486" s="888" t="str">
        <f>IF(LEN('Translation-EN'!D486)&gt;0,'Translation-EN'!D486,"")</f>
        <v/>
      </c>
      <c r="E486" s="893" t="str">
        <f>$E$297</f>
        <v>PANNEAU DE FIBRES DE BOIS</v>
      </c>
      <c r="I486" s="888"/>
      <c r="J486" s="888"/>
      <c r="K486" s="888"/>
      <c r="L486" s="888"/>
      <c r="M486" s="888"/>
      <c r="N486" s="888"/>
      <c r="O486" s="888"/>
      <c r="P486" s="888"/>
      <c r="Q486" s="888"/>
      <c r="R486" s="888"/>
    </row>
    <row r="487" spans="1:18" s="893" customFormat="1" x14ac:dyDescent="0.3">
      <c r="A487" s="888" t="str">
        <f>IF(LEN('Translation-EN'!A487)&gt;0,'Translation-EN'!A487,"")</f>
        <v>Range</v>
      </c>
      <c r="B487" s="888" t="str">
        <f>IF(LEN('Translation-EN'!B487)&gt;0,'Translation-EN'!B487,"")</f>
        <v>Ext. Walls</v>
      </c>
      <c r="C487" s="888" t="str">
        <f>IF(LEN('Translation-EN'!C487)&gt;0,'Translation-EN'!C487,"")</f>
        <v>C212</v>
      </c>
      <c r="D487" s="888" t="str">
        <f>IF(LEN('Translation-EN'!D487)&gt;0,'Translation-EN'!D487,"")</f>
        <v/>
      </c>
      <c r="E487" s="893" t="str">
        <f>$E$298</f>
        <v>Panneau de fibres de bois – MOYENNE</v>
      </c>
      <c r="I487" s="888"/>
      <c r="J487" s="888"/>
      <c r="K487" s="888"/>
      <c r="L487" s="888"/>
      <c r="M487" s="888"/>
      <c r="N487" s="888"/>
      <c r="O487" s="888"/>
      <c r="P487" s="888"/>
      <c r="Q487" s="888"/>
      <c r="R487" s="888"/>
    </row>
    <row r="488" spans="1:18" s="893" customFormat="1" x14ac:dyDescent="0.3">
      <c r="A488" s="888" t="str">
        <f>IF(LEN('Translation-EN'!A488)&gt;0,'Translation-EN'!A488,"")</f>
        <v>Range</v>
      </c>
      <c r="B488" s="888" t="str">
        <f>IF(LEN('Translation-EN'!B488)&gt;0,'Translation-EN'!B488,"")</f>
        <v>Ext. Walls</v>
      </c>
      <c r="C488" s="888" t="str">
        <f>IF(LEN('Translation-EN'!C488)&gt;0,'Translation-EN'!C488,"")</f>
        <v>B222</v>
      </c>
      <c r="D488" s="888" t="str">
        <f>IF(LEN('Translation-EN'!D488)&gt;0,'Translation-EN'!D488,"")</f>
        <v/>
      </c>
      <c r="E488" s="893" t="str">
        <f>$E$223</f>
        <v>PANNEAU DE MOUSSE XPS</v>
      </c>
      <c r="I488" s="888"/>
      <c r="J488" s="888"/>
      <c r="K488" s="888"/>
      <c r="L488" s="888"/>
      <c r="M488" s="888"/>
      <c r="N488" s="888"/>
      <c r="O488" s="888"/>
      <c r="P488" s="888"/>
      <c r="Q488" s="888"/>
      <c r="R488" s="888"/>
    </row>
    <row r="489" spans="1:18" s="893" customFormat="1" x14ac:dyDescent="0.3">
      <c r="A489" s="888" t="str">
        <f>IF(LEN('Translation-EN'!A489)&gt;0,'Translation-EN'!A489,"")</f>
        <v>Range</v>
      </c>
      <c r="B489" s="888" t="str">
        <f>IF(LEN('Translation-EN'!B489)&gt;0,'Translation-EN'!B489,"")</f>
        <v>Ext. Walls</v>
      </c>
      <c r="C489" s="888" t="str">
        <f>IF(LEN('Translation-EN'!C489)&gt;0,'Translation-EN'!C489,"")</f>
        <v>C223</v>
      </c>
      <c r="D489" s="888" t="str">
        <f>IF(LEN('Translation-EN'!D489)&gt;0,'Translation-EN'!D489,"")</f>
        <v/>
      </c>
      <c r="E489" s="1034" t="str">
        <f>$E$224</f>
        <v>Panneau de mousse XPS – MOYENNE</v>
      </c>
      <c r="I489" s="888"/>
      <c r="J489" s="888"/>
      <c r="K489" s="888"/>
      <c r="L489" s="888"/>
      <c r="M489" s="888"/>
      <c r="N489" s="888"/>
      <c r="O489" s="888"/>
      <c r="P489" s="888"/>
      <c r="Q489" s="888"/>
      <c r="R489" s="888"/>
    </row>
    <row r="490" spans="1:18" s="893" customFormat="1" x14ac:dyDescent="0.3">
      <c r="A490" s="888" t="str">
        <f>IF(LEN('Translation-EN'!A490)&gt;0,'Translation-EN'!A490,"")</f>
        <v>Range</v>
      </c>
      <c r="B490" s="888" t="str">
        <f>IF(LEN('Translation-EN'!B490)&gt;0,'Translation-EN'!B490,"")</f>
        <v>Ext. Walls</v>
      </c>
      <c r="C490" s="888" t="str">
        <f>IF(LEN('Translation-EN'!C490)&gt;0,'Translation-EN'!C490,"")</f>
        <v>B227</v>
      </c>
      <c r="D490" s="888" t="str">
        <f>IF(LEN('Translation-EN'!D490)&gt;0,'Translation-EN'!D490,"")</f>
        <v/>
      </c>
      <c r="E490" s="917" t="str">
        <f>$E$291</f>
        <v>PANNEAU DE MOUSSE POLYISOCYANURATE</v>
      </c>
      <c r="I490" s="888"/>
      <c r="J490" s="888"/>
      <c r="K490" s="888"/>
      <c r="L490" s="888"/>
      <c r="M490" s="888"/>
      <c r="N490" s="888"/>
      <c r="O490" s="888"/>
      <c r="P490" s="888"/>
      <c r="Q490" s="888"/>
      <c r="R490" s="888"/>
    </row>
    <row r="491" spans="1:18" s="893" customFormat="1" x14ac:dyDescent="0.3">
      <c r="A491" s="888" t="str">
        <f>IF(LEN('Translation-EN'!A491)&gt;0,'Translation-EN'!A491,"")</f>
        <v>Range</v>
      </c>
      <c r="B491" s="888" t="str">
        <f>IF(LEN('Translation-EN'!B491)&gt;0,'Translation-EN'!B491,"")</f>
        <v>Ext. Walls</v>
      </c>
      <c r="C491" s="888" t="str">
        <f>IF(LEN('Translation-EN'!C491)&gt;0,'Translation-EN'!C491,"")</f>
        <v>C228</v>
      </c>
      <c r="D491" s="888" t="str">
        <f>IF(LEN('Translation-EN'!D491)&gt;0,'Translation-EN'!D491,"")</f>
        <v/>
      </c>
      <c r="E491" s="917" t="str">
        <f>$E$292</f>
        <v>Polyisocyanurate – MOYENNE</v>
      </c>
      <c r="I491" s="888"/>
      <c r="J491" s="888"/>
      <c r="K491" s="888"/>
      <c r="L491" s="888"/>
      <c r="M491" s="888"/>
      <c r="N491" s="888"/>
      <c r="O491" s="888"/>
      <c r="P491" s="888"/>
      <c r="Q491" s="888"/>
      <c r="R491" s="888"/>
    </row>
    <row r="492" spans="1:18" s="893" customFormat="1" x14ac:dyDescent="0.3">
      <c r="A492" s="888" t="str">
        <f>IF(LEN('Translation-EN'!A492)&gt;0,'Translation-EN'!A492,"")</f>
        <v>Range</v>
      </c>
      <c r="B492" s="888" t="str">
        <f>IF(LEN('Translation-EN'!B492)&gt;0,'Translation-EN'!B492,"")</f>
        <v>Ext. Walls</v>
      </c>
      <c r="C492" s="888" t="str">
        <f>IF(LEN('Translation-EN'!C492)&gt;0,'Translation-EN'!C492,"")</f>
        <v>B232</v>
      </c>
      <c r="D492" s="888" t="str">
        <f>IF(LEN('Translation-EN'!D492)&gt;0,'Translation-EN'!D492,"")</f>
        <v/>
      </c>
      <c r="E492" s="893" t="str">
        <f>$E$225</f>
        <v>PANNEAU DE LAINE MINÉRALE</v>
      </c>
      <c r="I492" s="888"/>
      <c r="J492" s="888"/>
      <c r="K492" s="888"/>
      <c r="L492" s="888"/>
      <c r="M492" s="888"/>
      <c r="N492" s="888"/>
      <c r="O492" s="888"/>
      <c r="P492" s="888"/>
      <c r="Q492" s="888"/>
      <c r="R492" s="888"/>
    </row>
    <row r="493" spans="1:18" s="893" customFormat="1" x14ac:dyDescent="0.3">
      <c r="A493" s="888" t="str">
        <f>IF(LEN('Translation-EN'!A493)&gt;0,'Translation-EN'!A493,"")</f>
        <v>Range</v>
      </c>
      <c r="B493" s="888" t="str">
        <f>IF(LEN('Translation-EN'!B493)&gt;0,'Translation-EN'!B493,"")</f>
        <v>Ext. Walls</v>
      </c>
      <c r="C493" s="888" t="str">
        <f>IF(LEN('Translation-EN'!C493)&gt;0,'Translation-EN'!C493,"")</f>
        <v>C233</v>
      </c>
      <c r="D493" s="888" t="str">
        <f>IF(LEN('Translation-EN'!D493)&gt;0,'Translation-EN'!D493,"")</f>
        <v/>
      </c>
      <c r="E493" s="928" t="str">
        <f>$E$226</f>
        <v>Panneau de laine minérale – MOYENNE</v>
      </c>
      <c r="I493" s="888"/>
      <c r="J493" s="888"/>
      <c r="K493" s="888"/>
      <c r="L493" s="888"/>
      <c r="M493" s="888"/>
      <c r="N493" s="888"/>
      <c r="O493" s="888"/>
      <c r="P493" s="888"/>
      <c r="Q493" s="888"/>
      <c r="R493" s="888"/>
    </row>
    <row r="494" spans="1:18" s="893" customFormat="1" x14ac:dyDescent="0.3">
      <c r="A494" s="888" t="str">
        <f>IF(LEN('Translation-EN'!A494)&gt;0,'Translation-EN'!A494,"")</f>
        <v>Range</v>
      </c>
      <c r="B494" s="888" t="str">
        <f>IF(LEN('Translation-EN'!B494)&gt;0,'Translation-EN'!B494,"")</f>
        <v>_Ext. Walls</v>
      </c>
      <c r="C494" s="888" t="str">
        <f>IF(LEN('Translation-EN'!C494)&gt;0,'Translation-EN'!C494,"")</f>
        <v>C221</v>
      </c>
      <c r="D494" s="888" t="str">
        <f>IF(LEN('Translation-EN'!D494)&gt;0,'Translation-EN'!D494,"")</f>
        <v/>
      </c>
      <c r="E494" s="928" t="s">
        <v>5068</v>
      </c>
      <c r="I494" s="888"/>
      <c r="J494" s="888"/>
      <c r="K494" s="888"/>
      <c r="L494" s="888"/>
      <c r="M494" s="888"/>
      <c r="N494" s="888"/>
      <c r="O494" s="888"/>
      <c r="P494" s="888"/>
      <c r="Q494" s="888"/>
      <c r="R494" s="888"/>
    </row>
    <row r="495" spans="1:18" s="893" customFormat="1" x14ac:dyDescent="0.3">
      <c r="A495" s="888" t="str">
        <f>IF(LEN('Translation-EN'!A495)&gt;0,'Translation-EN'!A495,"")</f>
        <v>Range</v>
      </c>
      <c r="B495" s="888" t="str">
        <f>IF(LEN('Translation-EN'!B495)&gt;0,'Translation-EN'!B495,"")</f>
        <v>Ext. Walls</v>
      </c>
      <c r="C495" s="888" t="str">
        <f>IF(LEN('Translation-EN'!C495)&gt;0,'Translation-EN'!C495,"")</f>
        <v>B242</v>
      </c>
      <c r="D495" s="888" t="str">
        <f>IF(LEN('Translation-EN'!D495)&gt;0,'Translation-EN'!D495,"")</f>
        <v/>
      </c>
      <c r="E495" s="926" t="str">
        <f>$E$301</f>
        <v>PANNEAU FIBRE DE VERRE</v>
      </c>
      <c r="I495" s="888"/>
      <c r="J495" s="888"/>
      <c r="K495" s="888"/>
      <c r="L495" s="888"/>
      <c r="M495" s="888"/>
      <c r="N495" s="888"/>
      <c r="O495" s="888"/>
      <c r="P495" s="888"/>
      <c r="Q495" s="888"/>
      <c r="R495" s="888"/>
    </row>
    <row r="496" spans="1:18" s="893" customFormat="1" x14ac:dyDescent="0.3">
      <c r="A496" s="888" t="str">
        <f>IF(LEN('Translation-EN'!A496)&gt;0,'Translation-EN'!A496,"")</f>
        <v>Range</v>
      </c>
      <c r="B496" s="888" t="str">
        <f>IF(LEN('Translation-EN'!B496)&gt;0,'Translation-EN'!B496,"")</f>
        <v>Ext. Walls</v>
      </c>
      <c r="C496" s="888" t="str">
        <f>IF(LEN('Translation-EN'!C496)&gt;0,'Translation-EN'!C496,"")</f>
        <v>B244</v>
      </c>
      <c r="D496" s="888" t="str">
        <f>IF(LEN('Translation-EN'!D496)&gt;0,'Translation-EN'!D496,"")</f>
        <v/>
      </c>
      <c r="E496" s="926" t="str">
        <f>$E$231</f>
        <v>PANNEAU EN LIÈGE</v>
      </c>
      <c r="I496" s="888"/>
      <c r="J496" s="888"/>
      <c r="K496" s="888"/>
      <c r="L496" s="888"/>
      <c r="M496" s="888"/>
      <c r="N496" s="888"/>
      <c r="O496" s="888"/>
      <c r="P496" s="888"/>
      <c r="Q496" s="888"/>
      <c r="R496" s="888"/>
    </row>
    <row r="497" spans="1:19" s="893" customFormat="1" x14ac:dyDescent="0.3">
      <c r="A497" s="888" t="str">
        <f>IF(LEN('Translation-EN'!A497)&gt;0,'Translation-EN'!A497,"")</f>
        <v>Range</v>
      </c>
      <c r="B497" s="888" t="str">
        <f>IF(LEN('Translation-EN'!B497)&gt;0,'Translation-EN'!B497,"")</f>
        <v>_Ext. Walls</v>
      </c>
      <c r="C497" s="888" t="str">
        <f>IF(LEN('Translation-EN'!C497)&gt;0,'Translation-EN'!C497,"")</f>
        <v>C224</v>
      </c>
      <c r="D497" s="888" t="str">
        <f>IF(LEN('Translation-EN'!D497)&gt;0,'Translation-EN'!D497,"")</f>
        <v/>
      </c>
      <c r="E497" s="928" t="s">
        <v>5069</v>
      </c>
      <c r="I497" s="888"/>
      <c r="J497" s="888"/>
      <c r="K497" s="888"/>
      <c r="L497" s="888"/>
      <c r="M497" s="888"/>
      <c r="N497" s="888"/>
      <c r="O497" s="888"/>
      <c r="P497" s="888"/>
      <c r="Q497" s="888"/>
      <c r="R497" s="888"/>
    </row>
    <row r="498" spans="1:19" s="893" customFormat="1" x14ac:dyDescent="0.3">
      <c r="A498" s="888" t="str">
        <f>IF(LEN('Translation-EN'!A498)&gt;0,'Translation-EN'!A498,"")</f>
        <v>Range</v>
      </c>
      <c r="B498" s="888" t="str">
        <f>IF(LEN('Translation-EN'!B498)&gt;0,'Translation-EN'!B498,"")</f>
        <v>_Ext. Walls</v>
      </c>
      <c r="C498" s="888" t="str">
        <f>IF(LEN('Translation-EN'!C498)&gt;0,'Translation-EN'!C498,"")</f>
        <v>A226</v>
      </c>
      <c r="D498" s="888" t="str">
        <f>IF(LEN('Translation-EN'!D498)&gt;0,'Translation-EN'!D498,"")</f>
        <v/>
      </c>
      <c r="E498" s="893" t="s">
        <v>2929</v>
      </c>
      <c r="I498" s="888"/>
      <c r="J498" s="888"/>
      <c r="K498" s="888"/>
      <c r="L498" s="888"/>
      <c r="M498" s="888"/>
      <c r="N498" s="888"/>
      <c r="O498" s="888"/>
      <c r="P498" s="888"/>
      <c r="Q498" s="888"/>
      <c r="R498" s="888"/>
    </row>
    <row r="499" spans="1:19" s="893" customFormat="1" x14ac:dyDescent="0.3">
      <c r="A499" s="888" t="str">
        <f>IF(LEN('Translation-EN'!A499)&gt;0,'Translation-EN'!A499,"")</f>
        <v>Range</v>
      </c>
      <c r="B499" s="888" t="str">
        <f>IF(LEN('Translation-EN'!B499)&gt;0,'Translation-EN'!B499,"")</f>
        <v>Ext. Wall Systems</v>
      </c>
      <c r="C499" s="888" t="str">
        <f>IF(LEN('Translation-EN'!C499)&gt;0,'Translation-EN'!C499,"")</f>
        <v>A1</v>
      </c>
      <c r="D499" s="888" t="str">
        <f>IF(LEN('Translation-EN'!D499)&gt;0,'Translation-EN'!D499,"")</f>
        <v/>
      </c>
      <c r="E499" s="893" t="s">
        <v>2982</v>
      </c>
      <c r="I499" s="888"/>
      <c r="J499" s="888"/>
      <c r="K499" s="888"/>
      <c r="L499" s="888"/>
      <c r="M499" s="888"/>
      <c r="N499" s="888"/>
      <c r="O499" s="888"/>
      <c r="P499" s="888"/>
      <c r="Q499" s="888"/>
      <c r="R499" s="888"/>
    </row>
    <row r="500" spans="1:19" x14ac:dyDescent="0.3">
      <c r="A500" s="888" t="str">
        <f>IF(LEN('Translation-EN'!A500)&gt;0,'Translation-EN'!A500,"")</f>
        <v>Range</v>
      </c>
      <c r="B500" s="888" t="str">
        <f>IF(LEN('Translation-EN'!B500)&gt;0,'Translation-EN'!B500,"")</f>
        <v>Ext. Wall Systems</v>
      </c>
      <c r="C500" s="888" t="str">
        <f>IF(LEN('Translation-EN'!C500)&gt;0,'Translation-EN'!C500,"")</f>
        <v>D1</v>
      </c>
      <c r="D500" s="888" t="str">
        <f>IF(LEN('Translation-EN'!D500)&gt;0,'Translation-EN'!D500,"")</f>
        <v/>
      </c>
      <c r="E500" s="893" t="s">
        <v>2983</v>
      </c>
    </row>
    <row r="501" spans="1:19" ht="194.25" customHeight="1" x14ac:dyDescent="0.3">
      <c r="A501" s="888" t="str">
        <f>IF(LEN('Translation-EN'!A501)&gt;0,'Translation-EN'!A501,"")</f>
        <v>Range</v>
      </c>
      <c r="B501" s="888" t="str">
        <f>IF(LEN('Translation-EN'!B501)&gt;0,'Translation-EN'!B501,"")</f>
        <v>Ext. Wall Systems</v>
      </c>
      <c r="C501" s="888" t="str">
        <f>IF(LEN('Translation-EN'!C501)&gt;0,'Translation-EN'!C501,"")</f>
        <v>A2</v>
      </c>
      <c r="D501" s="888" t="b">
        <f>IF(LEN('Translation-EN'!D501)&gt;0,'Translation-EN'!D501,"")</f>
        <v>1</v>
      </c>
      <c r="E501" s="1696"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501" s="1696"/>
      <c r="G501" s="1696"/>
      <c r="H501" s="1696"/>
      <c r="I501" s="1696"/>
      <c r="J501" s="1696"/>
      <c r="K501" s="1696"/>
      <c r="L501" s="1696"/>
      <c r="M501" s="1696"/>
      <c r="N501" s="1696"/>
      <c r="O501" s="1696"/>
      <c r="P501" s="1696"/>
      <c r="Q501" s="1696"/>
      <c r="R501" s="1696"/>
      <c r="S501" s="1696"/>
    </row>
    <row r="502" spans="1:19" x14ac:dyDescent="0.3">
      <c r="A502" s="888" t="str">
        <f>IF(LEN('Translation-EN'!A502)&gt;0,'Translation-EN'!A502,"")</f>
        <v>Range</v>
      </c>
      <c r="B502" s="888" t="str">
        <f>IF(LEN('Translation-EN'!B502)&gt;0,'Translation-EN'!B502,"")</f>
        <v>Ext. Wall Systems</v>
      </c>
      <c r="C502" s="888" t="str">
        <f>IF(LEN('Translation-EN'!C502)&gt;0,'Translation-EN'!C502,"")</f>
        <v>A3</v>
      </c>
      <c r="D502" s="888" t="str">
        <f>IF(LEN('Translation-EN'!D502)&gt;0,'Translation-EN'!D502,"")</f>
        <v/>
      </c>
      <c r="E502" s="888" t="str">
        <f>$E$170</f>
        <v>CATÉGORIE</v>
      </c>
    </row>
    <row r="503" spans="1:19" x14ac:dyDescent="0.3">
      <c r="A503" s="888" t="str">
        <f>IF(LEN('Translation-EN'!A503)&gt;0,'Translation-EN'!A503,"")</f>
        <v>Range</v>
      </c>
      <c r="B503" s="888" t="str">
        <f>IF(LEN('Translation-EN'!B503)&gt;0,'Translation-EN'!B503,"")</f>
        <v>Ext. Wall Systems</v>
      </c>
      <c r="C503" s="888" t="str">
        <f>IF(LEN('Translation-EN'!C503)&gt;0,'Translation-EN'!C503,"")</f>
        <v>C3</v>
      </c>
      <c r="D503" s="888" t="str">
        <f>IF(LEN('Translation-EN'!D503)&gt;0,'Translation-EN'!D503,"")</f>
        <v/>
      </c>
      <c r="E503" s="893" t="str">
        <f>$E$171</f>
        <v>MATÉRIAU</v>
      </c>
    </row>
    <row r="504" spans="1:19" x14ac:dyDescent="0.3">
      <c r="A504" s="888" t="str">
        <f>IF(LEN('Translation-EN'!A504)&gt;0,'Translation-EN'!A504,"")</f>
        <v>Range</v>
      </c>
      <c r="B504" s="888" t="str">
        <f>IF(LEN('Translation-EN'!B504)&gt;0,'Translation-EN'!B504,"")</f>
        <v>Ext. Wall Systems</v>
      </c>
      <c r="C504" s="888" t="str">
        <f>IF(LEN('Translation-EN'!C504)&gt;0,'Translation-EN'!C504,"")</f>
        <v>D3</v>
      </c>
      <c r="D504" s="888" t="str">
        <f>IF(LEN('Translation-EN'!D504)&gt;0,'Translation-EN'!D504,"")</f>
        <v/>
      </c>
      <c r="E504" s="893" t="str">
        <f>$E$127</f>
        <v>QUANTITÉ</v>
      </c>
    </row>
    <row r="505" spans="1:19" x14ac:dyDescent="0.3">
      <c r="A505" s="888" t="str">
        <f>IF(LEN('Translation-EN'!A505)&gt;0,'Translation-EN'!A505,"")</f>
        <v>Range</v>
      </c>
      <c r="B505" s="888" t="str">
        <f>IF(LEN('Translation-EN'!B505)&gt;0,'Translation-EN'!B505,"")</f>
        <v>Ext. Wall Systems</v>
      </c>
      <c r="C505" s="888" t="str">
        <f>IF(LEN('Translation-EN'!C505)&gt;0,'Translation-EN'!C505,"")</f>
        <v>H3</v>
      </c>
      <c r="D505" s="888" t="str">
        <f>IF(LEN('Translation-EN'!D505)&gt;0,'Translation-EN'!D505,"")</f>
        <v/>
      </c>
      <c r="E505" s="888" t="str">
        <f>$E$173</f>
        <v xml:space="preserve"> SÉLECTIONNER</v>
      </c>
    </row>
    <row r="506" spans="1:19" ht="15" customHeight="1" x14ac:dyDescent="0.3">
      <c r="A506" s="888" t="str">
        <f>IF(LEN('Translation-EN'!A506)&gt;0,'Translation-EN'!A506,"")</f>
        <v>Range</v>
      </c>
      <c r="B506" s="888" t="str">
        <f>IF(LEN('Translation-EN'!B506)&gt;0,'Translation-EN'!B506,"")</f>
        <v>_Ext. Wall Systems</v>
      </c>
      <c r="C506" s="888" t="str">
        <f>IF(LEN('Translation-EN'!C506)&gt;0,'Translation-EN'!C506,"")</f>
        <v>I3</v>
      </c>
      <c r="D506" s="888" t="b">
        <f>IF(LEN('Translation-EN'!D506)&gt;0,'Translation-EN'!D506,"")</f>
        <v>1</v>
      </c>
      <c r="E506" s="1669" t="str">
        <f>$E$174</f>
        <v>ÉMISSIONS NETTES kgCO2e</v>
      </c>
    </row>
    <row r="507" spans="1:19" ht="15" customHeight="1" x14ac:dyDescent="0.3">
      <c r="A507" s="888" t="str">
        <f>IF(LEN('Translation-EN'!A507)&gt;0,'Translation-EN'!A507,"")</f>
        <v>-</v>
      </c>
      <c r="B507" s="888" t="str">
        <f>IF(LEN('Translation-EN'!B507)&gt;0,'Translation-EN'!B507,"")</f>
        <v/>
      </c>
      <c r="C507" s="888" t="str">
        <f>IF(LEN('Translation-EN'!C507)&gt;0,'Translation-EN'!C507,"")</f>
        <v/>
      </c>
      <c r="D507" s="888" t="str">
        <f>IF(LEN('Translation-EN'!D507)&gt;0,'Translation-EN'!D507,"")</f>
        <v/>
      </c>
      <c r="E507" s="1669"/>
    </row>
    <row r="508" spans="1:19" ht="23.25" customHeight="1" x14ac:dyDescent="0.3">
      <c r="A508" s="888" t="str">
        <f>IF(LEN('Translation-EN'!A508)&gt;0,'Translation-EN'!A508,"")</f>
        <v>Range</v>
      </c>
      <c r="B508" s="888" t="str">
        <f>IF(LEN('Translation-EN'!B508)&gt;0,'Translation-EN'!B508,"")</f>
        <v>_Ext. Wall Systems</v>
      </c>
      <c r="C508" s="888" t="str">
        <f>IF(LEN('Translation-EN'!C508)&gt;0,'Translation-EN'!C508,"")</f>
        <v>J3</v>
      </c>
      <c r="D508" s="888" t="b">
        <f>IF(LEN('Translation-EN'!D508)&gt;0,'Translation-EN'!D508,"")</f>
        <v>1</v>
      </c>
      <c r="E508" s="1669" t="str">
        <f>$E$176</f>
        <v>CONTENU DE kgCO2e DANS LE MATÉRIAU SÉLECTIONNÉ</v>
      </c>
    </row>
    <row r="509" spans="1:19" ht="15" customHeight="1" x14ac:dyDescent="0.3">
      <c r="A509" s="888" t="str">
        <f>IF(LEN('Translation-EN'!A509)&gt;0,'Translation-EN'!A509,"")</f>
        <v>-</v>
      </c>
      <c r="B509" s="888" t="str">
        <f>IF(LEN('Translation-EN'!B509)&gt;0,'Translation-EN'!B509,"")</f>
        <v/>
      </c>
      <c r="C509" s="888" t="str">
        <f>IF(LEN('Translation-EN'!C509)&gt;0,'Translation-EN'!C509,"")</f>
        <v/>
      </c>
      <c r="D509" s="888" t="str">
        <f>IF(LEN('Translation-EN'!D509)&gt;0,'Translation-EN'!D509,"")</f>
        <v/>
      </c>
      <c r="E509" s="1670"/>
    </row>
    <row r="510" spans="1:19" ht="15" customHeight="1" x14ac:dyDescent="0.3">
      <c r="A510" s="888" t="str">
        <f>IF(LEN('Translation-EN'!A510)&gt;0,'Translation-EN'!A510,"")</f>
        <v>Range</v>
      </c>
      <c r="B510" s="888" t="str">
        <f>IF(LEN('Translation-EN'!B510)&gt;0,'Translation-EN'!B510,"")</f>
        <v>Ext. Wall Systems</v>
      </c>
      <c r="C510" s="888" t="str">
        <f>IF(LEN('Translation-EN'!C510)&gt;0,'Translation-EN'!C510,"")</f>
        <v>K3</v>
      </c>
      <c r="D510" s="888" t="b">
        <f>IF(LEN('Translation-EN'!D510)&gt;0,'Translation-EN'!D510,"")</f>
        <v>1</v>
      </c>
      <c r="E510" s="1669" t="str">
        <f>$E$178</f>
        <v xml:space="preserve">ÉMISSIONS EN kgCO2e </v>
      </c>
    </row>
    <row r="511" spans="1:19" ht="15" customHeight="1" x14ac:dyDescent="0.3">
      <c r="A511" s="888" t="str">
        <f>IF(LEN('Translation-EN'!A511)&gt;0,'Translation-EN'!A511,"")</f>
        <v>-</v>
      </c>
      <c r="B511" s="888" t="str">
        <f>IF(LEN('Translation-EN'!B511)&gt;0,'Translation-EN'!B511,"")</f>
        <v/>
      </c>
      <c r="C511" s="888" t="str">
        <f>IF(LEN('Translation-EN'!C511)&gt;0,'Translation-EN'!C511,"")</f>
        <v/>
      </c>
      <c r="D511" s="888" t="str">
        <f>IF(LEN('Translation-EN'!D511)&gt;0,'Translation-EN'!D511,"")</f>
        <v/>
      </c>
      <c r="E511" s="1670"/>
    </row>
    <row r="512" spans="1:19" ht="15" customHeight="1" x14ac:dyDescent="0.3">
      <c r="A512" s="888" t="str">
        <f>IF(LEN('Translation-EN'!A512)&gt;0,'Translation-EN'!A512,"")</f>
        <v>Range</v>
      </c>
      <c r="B512" s="888" t="str">
        <f>IF(LEN('Translation-EN'!B512)&gt;0,'Translation-EN'!B512,"")</f>
        <v>Ext. Wall Systems</v>
      </c>
      <c r="C512" s="888" t="str">
        <f>IF(LEN('Translation-EN'!C512)&gt;0,'Translation-EN'!C512,"")</f>
        <v>L3</v>
      </c>
      <c r="D512" s="888" t="b">
        <f>IF(LEN('Translation-EN'!D512)&gt;0,'Translation-EN'!D512,"")</f>
        <v>1</v>
      </c>
      <c r="E512" s="1669" t="str">
        <f>$E$180</f>
        <v>STOCKAGE kgCO₂</v>
      </c>
    </row>
    <row r="513" spans="1:6" ht="15" customHeight="1" x14ac:dyDescent="0.3">
      <c r="A513" s="888" t="str">
        <f>IF(LEN('Translation-EN'!A513)&gt;0,'Translation-EN'!A513,"")</f>
        <v>-</v>
      </c>
      <c r="B513" s="888" t="str">
        <f>IF(LEN('Translation-EN'!B513)&gt;0,'Translation-EN'!B513,"")</f>
        <v/>
      </c>
      <c r="C513" s="888" t="str">
        <f>IF(LEN('Translation-EN'!C513)&gt;0,'Translation-EN'!C513,"")</f>
        <v/>
      </c>
      <c r="D513" s="888" t="str">
        <f>IF(LEN('Translation-EN'!D513)&gt;0,'Translation-EN'!D513,"")</f>
        <v/>
      </c>
      <c r="E513" s="1670"/>
    </row>
    <row r="514" spans="1:6" ht="15" customHeight="1" x14ac:dyDescent="0.3">
      <c r="A514" s="888" t="str">
        <f>IF(LEN('Translation-EN'!A514)&gt;0,'Translation-EN'!A514,"")</f>
        <v>Range</v>
      </c>
      <c r="B514" s="888" t="str">
        <f>IF(LEN('Translation-EN'!B514)&gt;0,'Translation-EN'!B514,"")</f>
        <v>Ext. Wall Systems</v>
      </c>
      <c r="C514" s="888" t="str">
        <f>IF(LEN('Translation-EN'!C514)&gt;0,'Translation-EN'!C514,"")</f>
        <v>M3</v>
      </c>
      <c r="D514" s="888" t="b">
        <f>IF(LEN('Translation-EN'!D514)&gt;0,'Translation-EN'!D514,"")</f>
        <v>1</v>
      </c>
      <c r="E514" s="1520" t="str">
        <f>$E$182</f>
        <v xml:space="preserve">  Note</v>
      </c>
      <c r="F514" s="1520"/>
    </row>
    <row r="515" spans="1:6" ht="15" customHeight="1" x14ac:dyDescent="0.3">
      <c r="A515" s="888" t="str">
        <f>IF(LEN('Translation-EN'!A515)&gt;0,'Translation-EN'!A515,"")</f>
        <v>-</v>
      </c>
      <c r="B515" s="888" t="str">
        <f>IF(LEN('Translation-EN'!B515)&gt;0,'Translation-EN'!B515,"")</f>
        <v/>
      </c>
      <c r="C515" s="888" t="str">
        <f>IF(LEN('Translation-EN'!C515)&gt;0,'Translation-EN'!C515,"")</f>
        <v/>
      </c>
      <c r="D515" s="888" t="str">
        <f>IF(LEN('Translation-EN'!D515)&gt;0,'Translation-EN'!D515,"")</f>
        <v/>
      </c>
      <c r="E515" s="1520"/>
      <c r="F515" s="1520"/>
    </row>
    <row r="516" spans="1:6" ht="15" customHeight="1" x14ac:dyDescent="0.3">
      <c r="A516" s="888" t="str">
        <f>IF(LEN('Translation-EN'!A516)&gt;0,'Translation-EN'!A516,"")</f>
        <v>Range</v>
      </c>
      <c r="B516" s="888" t="str">
        <f>IF(LEN('Translation-EN'!B516)&gt;0,'Translation-EN'!B516,"")</f>
        <v>_Ext. Wall Systems</v>
      </c>
      <c r="C516" s="888" t="str">
        <f>IF(LEN('Translation-EN'!C516)&gt;0,'Translation-EN'!C516,"")</f>
        <v>N3</v>
      </c>
      <c r="D516" s="888" t="b">
        <f>IF(LEN('Translation-EN'!D516)&gt;0,'Translation-EN'!D516,"")</f>
        <v>1</v>
      </c>
      <c r="E516" s="1669" t="str">
        <f>$E$184</f>
        <v>Inclure le cycle long</v>
      </c>
    </row>
    <row r="517" spans="1:6" ht="15" customHeight="1" x14ac:dyDescent="0.3">
      <c r="A517" s="888" t="str">
        <f>IF(LEN('Translation-EN'!A517)&gt;0,'Translation-EN'!A517,"")</f>
        <v>-</v>
      </c>
      <c r="B517" s="888" t="str">
        <f>IF(LEN('Translation-EN'!B517)&gt;0,'Translation-EN'!B517,"")</f>
        <v/>
      </c>
      <c r="C517" s="888" t="str">
        <f>IF(LEN('Translation-EN'!C517)&gt;0,'Translation-EN'!C517,"")</f>
        <v/>
      </c>
      <c r="D517" s="888" t="str">
        <f>IF(LEN('Translation-EN'!D517)&gt;0,'Translation-EN'!D517,"")</f>
        <v/>
      </c>
      <c r="E517" s="1670"/>
    </row>
    <row r="518" spans="1:6" ht="34.799999999999997" x14ac:dyDescent="0.3">
      <c r="A518" s="888" t="str">
        <f>IF(LEN('Translation-EN'!A518)&gt;0,'Translation-EN'!A518,"")</f>
        <v>Range</v>
      </c>
      <c r="B518" s="888" t="str">
        <f>IF(LEN('Translation-EN'!B518)&gt;0,'Translation-EN'!B518,"")</f>
        <v>Ext. Wall Systems</v>
      </c>
      <c r="C518" s="888" t="str">
        <f>IF(LEN('Translation-EN'!C518)&gt;0,'Translation-EN'!C518,"")</f>
        <v>O3</v>
      </c>
      <c r="D518" s="888" t="b">
        <f>IF(LEN('Translation-EN'!D518)&gt;0,'Translation-EN'!D518,"")</f>
        <v>1</v>
      </c>
      <c r="E518" s="1035" t="s">
        <v>7391</v>
      </c>
    </row>
    <row r="519" spans="1:6" ht="34.799999999999997" x14ac:dyDescent="0.3">
      <c r="A519" s="888" t="str">
        <f>IF(LEN('Translation-EN'!A519)&gt;0,'Translation-EN'!A519,"")</f>
        <v>Range</v>
      </c>
      <c r="B519" s="888" t="str">
        <f>IF(LEN('Translation-EN'!B519)&gt;0,'Translation-EN'!B519,"")</f>
        <v>Ext. Wall Systems</v>
      </c>
      <c r="C519" s="888" t="str">
        <f>IF(LEN('Translation-EN'!C519)&gt;0,'Translation-EN'!C519,"")</f>
        <v>P3</v>
      </c>
      <c r="D519" s="888" t="b">
        <f>IF(LEN('Translation-EN'!D519)&gt;0,'Translation-EN'!D519,"")</f>
        <v>1</v>
      </c>
      <c r="E519" s="1035" t="s">
        <v>7392</v>
      </c>
    </row>
    <row r="520" spans="1:6" x14ac:dyDescent="0.3">
      <c r="A520" s="888" t="str">
        <f>IF(LEN('Translation-EN'!A520)&gt;0,'Translation-EN'!A520,"")</f>
        <v>Range</v>
      </c>
      <c r="B520" s="888" t="str">
        <f>IF(LEN('Translation-EN'!B520)&gt;0,'Translation-EN'!B520,"")</f>
        <v>Ext. Wall Systems</v>
      </c>
      <c r="C520" s="888" t="str">
        <f>IF(LEN('Translation-EN'!C520)&gt;0,'Translation-EN'!C520,"")</f>
        <v>A5</v>
      </c>
      <c r="D520" s="888" t="str">
        <f>IF(LEN('Translation-EN'!D520)&gt;0,'Translation-EN'!D520,"")</f>
        <v/>
      </c>
      <c r="E520" s="893" t="str">
        <f>$E$302</f>
        <v>COFFRAGES ISOLÉS EN BÉTON (CIB) – MOUSSE EPS</v>
      </c>
    </row>
    <row r="521" spans="1:6" x14ac:dyDescent="0.3">
      <c r="A521" s="888" t="str">
        <f>IF(LEN('Translation-EN'!A521)&gt;0,'Translation-EN'!A521,"")</f>
        <v>Range</v>
      </c>
      <c r="B521" s="888" t="str">
        <f>IF(LEN('Translation-EN'!B521)&gt;0,'Translation-EN'!B521,"")</f>
        <v>Ext. Wall Systems</v>
      </c>
      <c r="C521" s="888" t="str">
        <f>IF(LEN('Translation-EN'!C521)&gt;0,'Translation-EN'!C521,"")</f>
        <v>A6</v>
      </c>
      <c r="D521" s="888" t="str">
        <f>IF(LEN('Translation-EN'!D521)&gt;0,'Translation-EN'!D521,"")</f>
        <v/>
      </c>
      <c r="E521" s="893" t="str">
        <f>$E$303</f>
        <v>Étape 1 : Sélectionnez la taille du CIB</v>
      </c>
    </row>
    <row r="522" spans="1:6" x14ac:dyDescent="0.3">
      <c r="A522" s="888" t="str">
        <f>IF(LEN('Translation-EN'!A522)&gt;0,'Translation-EN'!A522,"")</f>
        <v>Range</v>
      </c>
      <c r="B522" s="888" t="str">
        <f>IF(LEN('Translation-EN'!B522)&gt;0,'Translation-EN'!B522,"")</f>
        <v>Ext. Wall Systems</v>
      </c>
      <c r="C522" s="888" t="str">
        <f>IF(LEN('Translation-EN'!C522)&gt;0,'Translation-EN'!C522,"")</f>
        <v>B7</v>
      </c>
      <c r="D522" s="888" t="str">
        <f>IF(LEN('Translation-EN'!D522)&gt;0,'Translation-EN'!D522,"")</f>
        <v/>
      </c>
      <c r="E522" s="893" t="str">
        <f>$E$193</f>
        <v>BÉTON –25 MPa ou moins</v>
      </c>
    </row>
    <row r="523" spans="1:6" x14ac:dyDescent="0.3">
      <c r="A523" s="888" t="str">
        <f>IF(LEN('Translation-EN'!A523)&gt;0,'Translation-EN'!A523,"")</f>
        <v>Range</v>
      </c>
      <c r="B523" s="888" t="str">
        <f>IF(LEN('Translation-EN'!B523)&gt;0,'Translation-EN'!B523,"")</f>
        <v>Ext. Wall Systems</v>
      </c>
      <c r="C523" s="888" t="str">
        <f>IF(LEN('Translation-EN'!C523)&gt;0,'Translation-EN'!C523,"")</f>
        <v>A8</v>
      </c>
      <c r="D523" s="888" t="str">
        <f>IF(LEN('Translation-EN'!D523)&gt;0,'Translation-EN'!D523,"")</f>
        <v/>
      </c>
      <c r="E523" s="893" t="str">
        <f>$E$305</f>
        <v>Étape 2 : Sélectionnez l’option de remplissage en béton.</v>
      </c>
    </row>
    <row r="524" spans="1:6" x14ac:dyDescent="0.3">
      <c r="A524" s="888" t="str">
        <f>IF(LEN('Translation-EN'!A524)&gt;0,'Translation-EN'!A524,"")</f>
        <v>Range</v>
      </c>
      <c r="B524" s="888" t="str">
        <f>IF(LEN('Translation-EN'!B524)&gt;0,'Translation-EN'!B524,"")</f>
        <v>Ext. Wall Systems</v>
      </c>
      <c r="C524" s="888" t="str">
        <f>IF(LEN('Translation-EN'!C524)&gt;0,'Translation-EN'!C524,"")</f>
        <v>B15</v>
      </c>
      <c r="D524" s="888" t="str">
        <f>IF(LEN('Translation-EN'!D524)&gt;0,'Translation-EN'!D524,"")</f>
        <v/>
      </c>
      <c r="E524" s="893" t="str">
        <f>$E$195</f>
        <v>BÉTON –26-30 MPa</v>
      </c>
    </row>
    <row r="525" spans="1:6" x14ac:dyDescent="0.3">
      <c r="A525" s="888" t="str">
        <f>IF(LEN('Translation-EN'!A525)&gt;0,'Translation-EN'!A525,"")</f>
        <v>Range</v>
      </c>
      <c r="B525" s="888" t="str">
        <f>IF(LEN('Translation-EN'!B525)&gt;0,'Translation-EN'!B525,"")</f>
        <v>Ext. Wall Systems</v>
      </c>
      <c r="C525" s="888" t="str">
        <f>IF(LEN('Translation-EN'!C525)&gt;0,'Translation-EN'!C525,"")</f>
        <v>A16</v>
      </c>
      <c r="D525" s="888" t="str">
        <f>IF(LEN('Translation-EN'!D525)&gt;0,'Translation-EN'!D525,"")</f>
        <v/>
      </c>
      <c r="E525" s="893"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526" spans="1:6" x14ac:dyDescent="0.3">
      <c r="A526" s="888" t="str">
        <f>IF(LEN('Translation-EN'!A526)&gt;0,'Translation-EN'!A526,"")</f>
        <v>Range</v>
      </c>
      <c r="B526" s="888" t="str">
        <f>IF(LEN('Translation-EN'!B526)&gt;0,'Translation-EN'!B526,"")</f>
        <v>Ext. Wall Systems</v>
      </c>
      <c r="C526" s="888" t="str">
        <f>IF(LEN('Translation-EN'!C526)&gt;0,'Translation-EN'!C526,"")</f>
        <v>B23</v>
      </c>
      <c r="D526" s="888" t="str">
        <f>IF(LEN('Translation-EN'!D526)&gt;0,'Translation-EN'!D526,"")</f>
        <v/>
      </c>
      <c r="E526" s="893" t="str">
        <f>$E$197</f>
        <v>BÉTON –31-35 MPa</v>
      </c>
    </row>
    <row r="527" spans="1:6" x14ac:dyDescent="0.3">
      <c r="A527" s="888" t="str">
        <f>IF(LEN('Translation-EN'!A527)&gt;0,'Translation-EN'!A527,"")</f>
        <v>Range</v>
      </c>
      <c r="B527" s="888" t="str">
        <f>IF(LEN('Translation-EN'!B527)&gt;0,'Translation-EN'!B527,"")</f>
        <v>Ext. Wall Systems</v>
      </c>
      <c r="C527" s="888" t="str">
        <f>IF(LEN('Translation-EN'!C527)&gt;0,'Translation-EN'!C527,"")</f>
        <v>A24</v>
      </c>
      <c r="D527" s="888" t="str">
        <f>IF(LEN('Translation-EN'!D527)&gt;0,'Translation-EN'!D527,"")</f>
        <v/>
      </c>
      <c r="E527" s="893"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528" spans="1:6" x14ac:dyDescent="0.3">
      <c r="A528" s="888" t="str">
        <f>IF(LEN('Translation-EN'!A528)&gt;0,'Translation-EN'!A528,"")</f>
        <v>Range</v>
      </c>
      <c r="B528" s="888" t="str">
        <f>IF(LEN('Translation-EN'!B528)&gt;0,'Translation-EN'!B528,"")</f>
        <v>Ext. Wall Systems</v>
      </c>
      <c r="C528" s="888" t="str">
        <f>IF(LEN('Translation-EN'!C528)&gt;0,'Translation-EN'!C528,"")</f>
        <v>A31</v>
      </c>
      <c r="D528" s="888" t="str">
        <f>IF(LEN('Translation-EN'!D528)&gt;0,'Translation-EN'!D528,"")</f>
        <v/>
      </c>
      <c r="E528" s="893" t="str">
        <f>$E$310</f>
        <v>COFFRAGES ISOLÉS EN BÉTON (CIB) – COPEAUX DE BOIS/CIMENT</v>
      </c>
    </row>
    <row r="529" spans="1:6" x14ac:dyDescent="0.3">
      <c r="A529" s="888" t="str">
        <f>IF(LEN('Translation-EN'!A529)&gt;0,'Translation-EN'!A529,"")</f>
        <v>Range</v>
      </c>
      <c r="B529" s="888" t="str">
        <f>IF(LEN('Translation-EN'!B529)&gt;0,'Translation-EN'!B529,"")</f>
        <v>Ext. Wall Systems</v>
      </c>
      <c r="C529" s="888" t="str">
        <f>IF(LEN('Translation-EN'!C529)&gt;0,'Translation-EN'!C529,"")</f>
        <v>A32</v>
      </c>
      <c r="D529" s="888" t="str">
        <f>IF(LEN('Translation-EN'!D529)&gt;0,'Translation-EN'!D529,"")</f>
        <v/>
      </c>
      <c r="E529" s="893" t="s">
        <v>2984</v>
      </c>
    </row>
    <row r="530" spans="1:6" x14ac:dyDescent="0.3">
      <c r="A530" s="888" t="str">
        <f>IF(LEN('Translation-EN'!A530)&gt;0,'Translation-EN'!A530,"")</f>
        <v>Range</v>
      </c>
      <c r="B530" s="888" t="str">
        <f>IF(LEN('Translation-EN'!B530)&gt;0,'Translation-EN'!B530,"")</f>
        <v>Ext. Wall Systems</v>
      </c>
      <c r="C530" s="888" t="str">
        <f>IF(LEN('Translation-EN'!C530)&gt;0,'Translation-EN'!C530,"")</f>
        <v>B36</v>
      </c>
      <c r="D530" s="888" t="str">
        <f>IF(LEN('Translation-EN'!D530)&gt;0,'Translation-EN'!D530,"")</f>
        <v/>
      </c>
      <c r="E530" s="893" t="str">
        <f>$E$193</f>
        <v>BÉTON –25 MPa ou moins</v>
      </c>
    </row>
    <row r="531" spans="1:6" x14ac:dyDescent="0.3">
      <c r="A531" s="888" t="str">
        <f>IF(LEN('Translation-EN'!A531)&gt;0,'Translation-EN'!A531,"")</f>
        <v>Range</v>
      </c>
      <c r="B531" s="888" t="str">
        <f>IF(LEN('Translation-EN'!B531)&gt;0,'Translation-EN'!B531,"")</f>
        <v>Ext. Wall Systems</v>
      </c>
      <c r="C531" s="888" t="str">
        <f>IF(LEN('Translation-EN'!C531)&gt;0,'Translation-EN'!C531,"")</f>
        <v>A37</v>
      </c>
      <c r="D531" s="888" t="b">
        <f>IF(LEN('Translation-EN'!D531)&gt;0,'Translation-EN'!D531,"")</f>
        <v>1</v>
      </c>
      <c r="E531" s="1682" t="s">
        <v>2985</v>
      </c>
      <c r="F531" s="1683"/>
    </row>
    <row r="532" spans="1:6" x14ac:dyDescent="0.3">
      <c r="A532" s="888" t="str">
        <f>IF(LEN('Translation-EN'!A532)&gt;0,'Translation-EN'!A532,"")</f>
        <v>-</v>
      </c>
      <c r="B532" s="888" t="str">
        <f>IF(LEN('Translation-EN'!B532)&gt;0,'Translation-EN'!B532,"")</f>
        <v/>
      </c>
      <c r="C532" s="888" t="str">
        <f>IF(LEN('Translation-EN'!C532)&gt;0,'Translation-EN'!C532,"")</f>
        <v/>
      </c>
      <c r="D532" s="888" t="str">
        <f>IF(LEN('Translation-EN'!D532)&gt;0,'Translation-EN'!D532,"")</f>
        <v/>
      </c>
      <c r="E532" s="1682"/>
      <c r="F532" s="1683"/>
    </row>
    <row r="533" spans="1:6" x14ac:dyDescent="0.3">
      <c r="A533" s="888" t="str">
        <f>IF(LEN('Translation-EN'!A533)&gt;0,'Translation-EN'!A533,"")</f>
        <v>-</v>
      </c>
      <c r="B533" s="888" t="str">
        <f>IF(LEN('Translation-EN'!B533)&gt;0,'Translation-EN'!B533,"")</f>
        <v/>
      </c>
      <c r="C533" s="888" t="str">
        <f>IF(LEN('Translation-EN'!C533)&gt;0,'Translation-EN'!C533,"")</f>
        <v/>
      </c>
      <c r="D533" s="888" t="str">
        <f>IF(LEN('Translation-EN'!D533)&gt;0,'Translation-EN'!D533,"")</f>
        <v/>
      </c>
      <c r="E533" s="1682"/>
      <c r="F533" s="1683"/>
    </row>
    <row r="534" spans="1:6" x14ac:dyDescent="0.3">
      <c r="A534" s="888" t="str">
        <f>IF(LEN('Translation-EN'!A534)&gt;0,'Translation-EN'!A534,"")</f>
        <v>-</v>
      </c>
      <c r="B534" s="888" t="str">
        <f>IF(LEN('Translation-EN'!B534)&gt;0,'Translation-EN'!B534,"")</f>
        <v/>
      </c>
      <c r="C534" s="888" t="str">
        <f>IF(LEN('Translation-EN'!C534)&gt;0,'Translation-EN'!C534,"")</f>
        <v/>
      </c>
      <c r="D534" s="888" t="str">
        <f>IF(LEN('Translation-EN'!D534)&gt;0,'Translation-EN'!D534,"")</f>
        <v/>
      </c>
      <c r="E534" s="1682"/>
      <c r="F534" s="1683"/>
    </row>
    <row r="535" spans="1:6" x14ac:dyDescent="0.3">
      <c r="A535" s="888" t="str">
        <f>IF(LEN('Translation-EN'!A535)&gt;0,'Translation-EN'!A535,"")</f>
        <v>-</v>
      </c>
      <c r="B535" s="888" t="str">
        <f>IF(LEN('Translation-EN'!B535)&gt;0,'Translation-EN'!B535,"")</f>
        <v/>
      </c>
      <c r="C535" s="888" t="str">
        <f>IF(LEN('Translation-EN'!C535)&gt;0,'Translation-EN'!C535,"")</f>
        <v/>
      </c>
      <c r="D535" s="888" t="str">
        <f>IF(LEN('Translation-EN'!D535)&gt;0,'Translation-EN'!D535,"")</f>
        <v/>
      </c>
      <c r="E535" s="1682"/>
      <c r="F535" s="1683"/>
    </row>
    <row r="536" spans="1:6" x14ac:dyDescent="0.3">
      <c r="A536" s="888" t="str">
        <f>IF(LEN('Translation-EN'!A536)&gt;0,'Translation-EN'!A536,"")</f>
        <v>-</v>
      </c>
      <c r="B536" s="888" t="str">
        <f>IF(LEN('Translation-EN'!B536)&gt;0,'Translation-EN'!B536,"")</f>
        <v/>
      </c>
      <c r="C536" s="888" t="str">
        <f>IF(LEN('Translation-EN'!C536)&gt;0,'Translation-EN'!C536,"")</f>
        <v/>
      </c>
      <c r="D536" s="888" t="str">
        <f>IF(LEN('Translation-EN'!D536)&gt;0,'Translation-EN'!D536,"")</f>
        <v/>
      </c>
      <c r="E536" s="1682"/>
      <c r="F536" s="1683"/>
    </row>
    <row r="537" spans="1:6" x14ac:dyDescent="0.3">
      <c r="A537" s="888" t="str">
        <f>IF(LEN('Translation-EN'!A537)&gt;0,'Translation-EN'!A537,"")</f>
        <v>-</v>
      </c>
      <c r="B537" s="888" t="str">
        <f>IF(LEN('Translation-EN'!B537)&gt;0,'Translation-EN'!B537,"")</f>
        <v/>
      </c>
      <c r="C537" s="888" t="str">
        <f>IF(LEN('Translation-EN'!C537)&gt;0,'Translation-EN'!C537,"")</f>
        <v/>
      </c>
      <c r="D537" s="888" t="str">
        <f>IF(LEN('Translation-EN'!D537)&gt;0,'Translation-EN'!D537,"")</f>
        <v/>
      </c>
      <c r="E537" s="1684"/>
      <c r="F537" s="1685"/>
    </row>
    <row r="538" spans="1:6" customFormat="1" ht="15.6" x14ac:dyDescent="0.3">
      <c r="A538" s="888" t="str">
        <f>IF(LEN('Translation-EN'!A538)&gt;0,'Translation-EN'!A538,"")</f>
        <v>Range</v>
      </c>
      <c r="B538" s="888" t="str">
        <f>IF(LEN('Translation-EN'!B538)&gt;0,'Translation-EN'!B538,"")</f>
        <v>Ext. Wall Systems</v>
      </c>
      <c r="C538" s="888" t="str">
        <f>IF(LEN('Translation-EN'!C538)&gt;0,'Translation-EN'!C538,"")</f>
        <v>B44</v>
      </c>
      <c r="D538" s="888" t="str">
        <f>IF(LEN('Translation-EN'!D538)&gt;0,'Translation-EN'!D538,"")</f>
        <v/>
      </c>
      <c r="E538" s="893" t="str">
        <f>$E$195</f>
        <v>BÉTON –26-30 MPa</v>
      </c>
    </row>
    <row r="539" spans="1:6" customFormat="1" ht="15.6" x14ac:dyDescent="0.3">
      <c r="A539" s="888" t="str">
        <f>IF(LEN('Translation-EN'!A539)&gt;0,'Translation-EN'!A539,"")</f>
        <v>Range</v>
      </c>
      <c r="B539" s="888" t="str">
        <f>IF(LEN('Translation-EN'!B539)&gt;0,'Translation-EN'!B539,"")</f>
        <v>Ext. Wall Systems</v>
      </c>
      <c r="C539" s="888" t="str">
        <f>IF(LEN('Translation-EN'!C539)&gt;0,'Translation-EN'!C539,"")</f>
        <v>A45</v>
      </c>
      <c r="D539" s="888" t="str">
        <f>IF(LEN('Translation-EN'!D539)&gt;0,'Translation-EN'!D539,"")</f>
        <v/>
      </c>
      <c r="E539" s="893"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540" spans="1:6" customFormat="1" ht="15.6" x14ac:dyDescent="0.3">
      <c r="A540" s="888" t="str">
        <f>IF(LEN('Translation-EN'!A540)&gt;0,'Translation-EN'!A540,"")</f>
        <v>Range</v>
      </c>
      <c r="B540" s="888" t="str">
        <f>IF(LEN('Translation-EN'!B540)&gt;0,'Translation-EN'!B540,"")</f>
        <v>Ext. Wall Systems</v>
      </c>
      <c r="C540" s="888" t="str">
        <f>IF(LEN('Translation-EN'!C540)&gt;0,'Translation-EN'!C540,"")</f>
        <v>B52</v>
      </c>
      <c r="D540" s="888" t="str">
        <f>IF(LEN('Translation-EN'!D540)&gt;0,'Translation-EN'!D540,"")</f>
        <v/>
      </c>
      <c r="E540" s="893" t="str">
        <f>$E$197</f>
        <v>BÉTON –31-35 MPa</v>
      </c>
    </row>
    <row r="541" spans="1:6" customFormat="1" ht="15.6" x14ac:dyDescent="0.3">
      <c r="A541" s="888" t="str">
        <f>IF(LEN('Translation-EN'!A541)&gt;0,'Translation-EN'!A541,"")</f>
        <v>Range</v>
      </c>
      <c r="B541" s="888" t="str">
        <f>IF(LEN('Translation-EN'!B541)&gt;0,'Translation-EN'!B541,"")</f>
        <v>Ext. Wall Systems</v>
      </c>
      <c r="C541" s="888" t="str">
        <f>IF(LEN('Translation-EN'!C541)&gt;0,'Translation-EN'!C541,"")</f>
        <v>A53</v>
      </c>
      <c r="D541" s="888" t="str">
        <f>IF(LEN('Translation-EN'!D541)&gt;0,'Translation-EN'!D541,"")</f>
        <v/>
      </c>
      <c r="E541" s="893"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542" spans="1:6" x14ac:dyDescent="0.3">
      <c r="A542" s="888" t="str">
        <f>IF(LEN('Translation-EN'!A542)&gt;0,'Translation-EN'!A542,"")</f>
        <v>Range</v>
      </c>
      <c r="B542" s="888" t="str">
        <f>IF(LEN('Translation-EN'!B542)&gt;0,'Translation-EN'!B542,"")</f>
        <v>Ext. Wall Systems</v>
      </c>
      <c r="C542" s="888" t="str">
        <f>IF(LEN('Translation-EN'!C542)&gt;0,'Translation-EN'!C542,"")</f>
        <v>A60</v>
      </c>
      <c r="D542" s="888" t="str">
        <f>IF(LEN('Translation-EN'!D542)&gt;0,'Translation-EN'!D542,"")</f>
        <v/>
      </c>
      <c r="E542" s="893" t="s">
        <v>2986</v>
      </c>
    </row>
    <row r="543" spans="1:6" x14ac:dyDescent="0.3">
      <c r="A543" s="888" t="str">
        <f>IF(LEN('Translation-EN'!A543)&gt;0,'Translation-EN'!A543,"")</f>
        <v>Range</v>
      </c>
      <c r="B543" s="888" t="str">
        <f>IF(LEN('Translation-EN'!B543)&gt;0,'Translation-EN'!B543,"")</f>
        <v>Ext. Wall Systems</v>
      </c>
      <c r="C543" s="888" t="str">
        <f>IF(LEN('Translation-EN'!C543)&gt;0,'Translation-EN'!C543,"")</f>
        <v>B61</v>
      </c>
      <c r="D543" s="888" t="str">
        <f>IF(LEN('Translation-EN'!D543)&gt;0,'Translation-EN'!D543,"")</f>
        <v/>
      </c>
      <c r="E543" s="893" t="s">
        <v>2987</v>
      </c>
    </row>
    <row r="544" spans="1:6" x14ac:dyDescent="0.3">
      <c r="A544" s="888" t="str">
        <f>IF(LEN('Translation-EN'!A544)&gt;0,'Translation-EN'!A544,"")</f>
        <v>Range</v>
      </c>
      <c r="B544" s="888" t="str">
        <f>IF(LEN('Translation-EN'!B544)&gt;0,'Translation-EN'!B544,"")</f>
        <v>Ext. Wall Systems</v>
      </c>
      <c r="C544" s="888" t="str">
        <f>IF(LEN('Translation-EN'!C544)&gt;0,'Translation-EN'!C544,"")</f>
        <v>B64</v>
      </c>
      <c r="D544" s="888" t="str">
        <f>IF(LEN('Translation-EN'!D544)&gt;0,'Translation-EN'!D544,"")</f>
        <v/>
      </c>
      <c r="E544" s="893" t="s">
        <v>2988</v>
      </c>
    </row>
    <row r="545" spans="1:19" x14ac:dyDescent="0.3">
      <c r="A545" s="888" t="str">
        <f>IF(LEN('Translation-EN'!A545)&gt;0,'Translation-EN'!A545,"")</f>
        <v>Range</v>
      </c>
      <c r="B545" s="888" t="str">
        <f>IF(LEN('Translation-EN'!B545)&gt;0,'Translation-EN'!B545,"")</f>
        <v>Party Walls</v>
      </c>
      <c r="C545" s="888" t="str">
        <f>IF(LEN('Translation-EN'!C545)&gt;0,'Translation-EN'!C545,"")</f>
        <v>A1</v>
      </c>
      <c r="D545" s="888" t="str">
        <f>IF(LEN('Translation-EN'!D545)&gt;0,'Translation-EN'!D545,"")</f>
        <v/>
      </c>
      <c r="E545" s="893" t="s">
        <v>2989</v>
      </c>
    </row>
    <row r="546" spans="1:19" x14ac:dyDescent="0.3">
      <c r="A546" s="888" t="str">
        <f>IF(LEN('Translation-EN'!A546)&gt;0,'Translation-EN'!A546,"")</f>
        <v>Range</v>
      </c>
      <c r="B546" s="888" t="str">
        <f>IF(LEN('Translation-EN'!B546)&gt;0,'Translation-EN'!B546,"")</f>
        <v>Party Walls</v>
      </c>
      <c r="C546" s="888" t="str">
        <f>IF(LEN('Translation-EN'!C546)&gt;0,'Translation-EN'!C546,"")</f>
        <v>D1</v>
      </c>
      <c r="D546" s="888" t="str">
        <f>IF(LEN('Translation-EN'!D546)&gt;0,'Translation-EN'!D546,"")</f>
        <v/>
      </c>
      <c r="E546" s="893" t="s">
        <v>2990</v>
      </c>
    </row>
    <row r="547" spans="1:19" ht="180" customHeight="1" x14ac:dyDescent="0.3">
      <c r="A547" s="888" t="str">
        <f>IF(LEN('Translation-EN'!A547)&gt;0,'Translation-EN'!A547,"")</f>
        <v>Range</v>
      </c>
      <c r="B547" s="888" t="str">
        <f>IF(LEN('Translation-EN'!B547)&gt;0,'Translation-EN'!B547,"")</f>
        <v>Party Walls</v>
      </c>
      <c r="C547" s="888" t="str">
        <f>IF(LEN('Translation-EN'!C547)&gt;0,'Translation-EN'!C547,"")</f>
        <v>A2</v>
      </c>
      <c r="D547" s="888" t="b">
        <f>IF(LEN('Translation-EN'!D547)&gt;0,'Translation-EN'!D547,"")</f>
        <v>1</v>
      </c>
      <c r="E547" s="1696"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547" s="1696"/>
      <c r="G547" s="1696"/>
      <c r="H547" s="1696"/>
      <c r="I547" s="1696"/>
      <c r="J547" s="1696"/>
      <c r="K547" s="1696"/>
      <c r="L547" s="1696"/>
      <c r="M547" s="1696"/>
      <c r="N547" s="1696"/>
      <c r="O547" s="1696"/>
      <c r="P547" s="1696"/>
      <c r="Q547" s="1696"/>
      <c r="R547" s="1696"/>
      <c r="S547" s="1696"/>
    </row>
    <row r="548" spans="1:19" x14ac:dyDescent="0.3">
      <c r="A548" s="888" t="str">
        <f>IF(LEN('Translation-EN'!A548)&gt;0,'Translation-EN'!A548,"")</f>
        <v>Range</v>
      </c>
      <c r="B548" s="888" t="str">
        <f>IF(LEN('Translation-EN'!B548)&gt;0,'Translation-EN'!B548,"")</f>
        <v>Party Walls</v>
      </c>
      <c r="C548" s="888" t="str">
        <f>IF(LEN('Translation-EN'!C548)&gt;0,'Translation-EN'!C548,"")</f>
        <v>A3</v>
      </c>
      <c r="D548" s="888" t="str">
        <f>IF(LEN('Translation-EN'!D548)&gt;0,'Translation-EN'!D548,"")</f>
        <v/>
      </c>
      <c r="E548" s="888" t="str">
        <f>$E$170</f>
        <v>CATÉGORIE</v>
      </c>
    </row>
    <row r="549" spans="1:19" x14ac:dyDescent="0.3">
      <c r="A549" s="888" t="str">
        <f>IF(LEN('Translation-EN'!A549)&gt;0,'Translation-EN'!A549,"")</f>
        <v>Range</v>
      </c>
      <c r="B549" s="888" t="str">
        <f>IF(LEN('Translation-EN'!B549)&gt;0,'Translation-EN'!B549,"")</f>
        <v>Party Walls</v>
      </c>
      <c r="C549" s="888" t="str">
        <f>IF(LEN('Translation-EN'!C549)&gt;0,'Translation-EN'!C549,"")</f>
        <v>C3</v>
      </c>
      <c r="D549" s="888" t="str">
        <f>IF(LEN('Translation-EN'!D549)&gt;0,'Translation-EN'!D549,"")</f>
        <v/>
      </c>
      <c r="E549" s="893" t="str">
        <f>$E$171</f>
        <v>MATÉRIAU</v>
      </c>
    </row>
    <row r="550" spans="1:19" x14ac:dyDescent="0.3">
      <c r="A550" s="888" t="str">
        <f>IF(LEN('Translation-EN'!A550)&gt;0,'Translation-EN'!A550,"")</f>
        <v>Range</v>
      </c>
      <c r="B550" s="888" t="str">
        <f>IF(LEN('Translation-EN'!B550)&gt;0,'Translation-EN'!B550,"")</f>
        <v>Party Walls</v>
      </c>
      <c r="C550" s="888" t="str">
        <f>IF(LEN('Translation-EN'!C550)&gt;0,'Translation-EN'!C550,"")</f>
        <v>D3</v>
      </c>
      <c r="D550" s="888" t="str">
        <f>IF(LEN('Translation-EN'!D550)&gt;0,'Translation-EN'!D550,"")</f>
        <v/>
      </c>
      <c r="E550" s="893" t="str">
        <f>$E$127</f>
        <v>QUANTITÉ</v>
      </c>
    </row>
    <row r="551" spans="1:19" x14ac:dyDescent="0.3">
      <c r="A551" s="888" t="str">
        <f>IF(LEN('Translation-EN'!A551)&gt;0,'Translation-EN'!A551,"")</f>
        <v>Range</v>
      </c>
      <c r="B551" s="888" t="str">
        <f>IF(LEN('Translation-EN'!B551)&gt;0,'Translation-EN'!B551,"")</f>
        <v>Party Walls</v>
      </c>
      <c r="C551" s="888" t="str">
        <f>IF(LEN('Translation-EN'!C551)&gt;0,'Translation-EN'!C551,"")</f>
        <v>H3</v>
      </c>
      <c r="D551" s="888" t="str">
        <f>IF(LEN('Translation-EN'!D551)&gt;0,'Translation-EN'!D551,"")</f>
        <v/>
      </c>
      <c r="E551" s="888" t="str">
        <f>$E$173</f>
        <v xml:space="preserve"> SÉLECTIONNER</v>
      </c>
    </row>
    <row r="552" spans="1:19" ht="15" customHeight="1" x14ac:dyDescent="0.3">
      <c r="A552" s="888" t="str">
        <f>IF(LEN('Translation-EN'!A552)&gt;0,'Translation-EN'!A552,"")</f>
        <v>Range</v>
      </c>
      <c r="B552" s="888" t="str">
        <f>IF(LEN('Translation-EN'!B552)&gt;0,'Translation-EN'!B552,"")</f>
        <v>_Party Walls</v>
      </c>
      <c r="C552" s="888" t="str">
        <f>IF(LEN('Translation-EN'!C552)&gt;0,'Translation-EN'!C552,"")</f>
        <v>I3</v>
      </c>
      <c r="D552" s="888" t="b">
        <f>IF(LEN('Translation-EN'!D552)&gt;0,'Translation-EN'!D552,"")</f>
        <v>1</v>
      </c>
      <c r="E552" s="1669" t="str">
        <f>$E$174</f>
        <v>ÉMISSIONS NETTES kgCO2e</v>
      </c>
    </row>
    <row r="553" spans="1:19" ht="15" customHeight="1" x14ac:dyDescent="0.3">
      <c r="A553" s="888" t="str">
        <f>IF(LEN('Translation-EN'!A553)&gt;0,'Translation-EN'!A553,"")</f>
        <v>-</v>
      </c>
      <c r="B553" s="888" t="str">
        <f>IF(LEN('Translation-EN'!B553)&gt;0,'Translation-EN'!B553,"")</f>
        <v/>
      </c>
      <c r="C553" s="888" t="str">
        <f>IF(LEN('Translation-EN'!C553)&gt;0,'Translation-EN'!C553,"")</f>
        <v/>
      </c>
      <c r="D553" s="888" t="str">
        <f>IF(LEN('Translation-EN'!D553)&gt;0,'Translation-EN'!D553,"")</f>
        <v/>
      </c>
      <c r="E553" s="1669"/>
    </row>
    <row r="554" spans="1:19" ht="30.75" customHeight="1" x14ac:dyDescent="0.3">
      <c r="A554" s="888" t="str">
        <f>IF(LEN('Translation-EN'!A554)&gt;0,'Translation-EN'!A554,"")</f>
        <v>Range</v>
      </c>
      <c r="B554" s="888" t="str">
        <f>IF(LEN('Translation-EN'!B554)&gt;0,'Translation-EN'!B554,"")</f>
        <v>_Party Walls</v>
      </c>
      <c r="C554" s="888" t="str">
        <f>IF(LEN('Translation-EN'!C554)&gt;0,'Translation-EN'!C554,"")</f>
        <v>J3</v>
      </c>
      <c r="D554" s="888" t="b">
        <f>IF(LEN('Translation-EN'!D554)&gt;0,'Translation-EN'!D554,"")</f>
        <v>1</v>
      </c>
      <c r="E554" s="1669" t="str">
        <f>$E$176</f>
        <v>CONTENU DE kgCO2e DANS LE MATÉRIAU SÉLECTIONNÉ</v>
      </c>
    </row>
    <row r="555" spans="1:19" ht="15" customHeight="1" x14ac:dyDescent="0.3">
      <c r="A555" s="888" t="str">
        <f>IF(LEN('Translation-EN'!A555)&gt;0,'Translation-EN'!A555,"")</f>
        <v>-</v>
      </c>
      <c r="B555" s="888" t="str">
        <f>IF(LEN('Translation-EN'!B555)&gt;0,'Translation-EN'!B555,"")</f>
        <v/>
      </c>
      <c r="C555" s="888" t="str">
        <f>IF(LEN('Translation-EN'!C555)&gt;0,'Translation-EN'!C555,"")</f>
        <v/>
      </c>
      <c r="D555" s="888" t="str">
        <f>IF(LEN('Translation-EN'!D555)&gt;0,'Translation-EN'!D555,"")</f>
        <v/>
      </c>
      <c r="E555" s="1670"/>
    </row>
    <row r="556" spans="1:19" ht="15" customHeight="1" x14ac:dyDescent="0.3">
      <c r="A556" s="888" t="str">
        <f>IF(LEN('Translation-EN'!A556)&gt;0,'Translation-EN'!A556,"")</f>
        <v>Range</v>
      </c>
      <c r="B556" s="888" t="str">
        <f>IF(LEN('Translation-EN'!B556)&gt;0,'Translation-EN'!B556,"")</f>
        <v>Party Walls</v>
      </c>
      <c r="C556" s="888" t="str">
        <f>IF(LEN('Translation-EN'!C556)&gt;0,'Translation-EN'!C556,"")</f>
        <v>K3</v>
      </c>
      <c r="D556" s="888" t="b">
        <f>IF(LEN('Translation-EN'!D556)&gt;0,'Translation-EN'!D556,"")</f>
        <v>1</v>
      </c>
      <c r="E556" s="1669" t="str">
        <f>$E$178</f>
        <v xml:space="preserve">ÉMISSIONS EN kgCO2e </v>
      </c>
    </row>
    <row r="557" spans="1:19" ht="15" customHeight="1" x14ac:dyDescent="0.3">
      <c r="A557" s="888" t="str">
        <f>IF(LEN('Translation-EN'!A557)&gt;0,'Translation-EN'!A557,"")</f>
        <v>-</v>
      </c>
      <c r="B557" s="888" t="str">
        <f>IF(LEN('Translation-EN'!B557)&gt;0,'Translation-EN'!B557,"")</f>
        <v/>
      </c>
      <c r="C557" s="888" t="str">
        <f>IF(LEN('Translation-EN'!C557)&gt;0,'Translation-EN'!C557,"")</f>
        <v/>
      </c>
      <c r="D557" s="888" t="str">
        <f>IF(LEN('Translation-EN'!D557)&gt;0,'Translation-EN'!D557,"")</f>
        <v/>
      </c>
      <c r="E557" s="1670"/>
    </row>
    <row r="558" spans="1:19" ht="15" customHeight="1" x14ac:dyDescent="0.3">
      <c r="A558" s="888" t="str">
        <f>IF(LEN('Translation-EN'!A558)&gt;0,'Translation-EN'!A558,"")</f>
        <v>Range</v>
      </c>
      <c r="B558" s="888" t="str">
        <f>IF(LEN('Translation-EN'!B558)&gt;0,'Translation-EN'!B558,"")</f>
        <v>Party Walls</v>
      </c>
      <c r="C558" s="888" t="str">
        <f>IF(LEN('Translation-EN'!C558)&gt;0,'Translation-EN'!C558,"")</f>
        <v>L3</v>
      </c>
      <c r="D558" s="888" t="b">
        <f>IF(LEN('Translation-EN'!D558)&gt;0,'Translation-EN'!D558,"")</f>
        <v>1</v>
      </c>
      <c r="E558" s="1669" t="str">
        <f>$E$180</f>
        <v>STOCKAGE kgCO₂</v>
      </c>
    </row>
    <row r="559" spans="1:19" ht="15" customHeight="1" x14ac:dyDescent="0.3">
      <c r="A559" s="888" t="str">
        <f>IF(LEN('Translation-EN'!A559)&gt;0,'Translation-EN'!A559,"")</f>
        <v>-</v>
      </c>
      <c r="B559" s="888" t="str">
        <f>IF(LEN('Translation-EN'!B559)&gt;0,'Translation-EN'!B559,"")</f>
        <v/>
      </c>
      <c r="C559" s="888" t="str">
        <f>IF(LEN('Translation-EN'!C559)&gt;0,'Translation-EN'!C559,"")</f>
        <v/>
      </c>
      <c r="D559" s="888" t="str">
        <f>IF(LEN('Translation-EN'!D559)&gt;0,'Translation-EN'!D559,"")</f>
        <v/>
      </c>
      <c r="E559" s="1670"/>
    </row>
    <row r="560" spans="1:19" ht="15" customHeight="1" x14ac:dyDescent="0.3">
      <c r="A560" s="888" t="str">
        <f>IF(LEN('Translation-EN'!A560)&gt;0,'Translation-EN'!A560,"")</f>
        <v>Range</v>
      </c>
      <c r="B560" s="888" t="str">
        <f>IF(LEN('Translation-EN'!B560)&gt;0,'Translation-EN'!B560,"")</f>
        <v>Party Walls</v>
      </c>
      <c r="C560" s="888" t="str">
        <f>IF(LEN('Translation-EN'!C560)&gt;0,'Translation-EN'!C560,"")</f>
        <v>M3</v>
      </c>
      <c r="D560" s="888" t="b">
        <f>IF(LEN('Translation-EN'!D560)&gt;0,'Translation-EN'!D560,"")</f>
        <v>1</v>
      </c>
      <c r="E560" s="1520" t="str">
        <f>$E$182</f>
        <v xml:space="preserve">  Note</v>
      </c>
      <c r="F560" s="1520"/>
    </row>
    <row r="561" spans="1:18" ht="15" customHeight="1" x14ac:dyDescent="0.3">
      <c r="A561" s="888" t="str">
        <f>IF(LEN('Translation-EN'!A561)&gt;0,'Translation-EN'!A561,"")</f>
        <v>-</v>
      </c>
      <c r="B561" s="888" t="str">
        <f>IF(LEN('Translation-EN'!B561)&gt;0,'Translation-EN'!B561,"")</f>
        <v/>
      </c>
      <c r="C561" s="888" t="str">
        <f>IF(LEN('Translation-EN'!C561)&gt;0,'Translation-EN'!C561,"")</f>
        <v/>
      </c>
      <c r="D561" s="888" t="str">
        <f>IF(LEN('Translation-EN'!D561)&gt;0,'Translation-EN'!D561,"")</f>
        <v/>
      </c>
      <c r="E561" s="1520"/>
      <c r="F561" s="1520"/>
    </row>
    <row r="562" spans="1:18" ht="15" customHeight="1" x14ac:dyDescent="0.3">
      <c r="A562" s="888" t="str">
        <f>IF(LEN('Translation-EN'!A562)&gt;0,'Translation-EN'!A562,"")</f>
        <v>Range</v>
      </c>
      <c r="B562" s="888" t="str">
        <f>IF(LEN('Translation-EN'!B562)&gt;0,'Translation-EN'!B562,"")</f>
        <v>_Party Walls</v>
      </c>
      <c r="C562" s="888" t="str">
        <f>IF(LEN('Translation-EN'!C562)&gt;0,'Translation-EN'!C562,"")</f>
        <v>N3</v>
      </c>
      <c r="D562" s="888" t="b">
        <f>IF(LEN('Translation-EN'!D562)&gt;0,'Translation-EN'!D562,"")</f>
        <v>1</v>
      </c>
      <c r="E562" s="1669" t="str">
        <f>$E$184</f>
        <v>Inclure le cycle long</v>
      </c>
    </row>
    <row r="563" spans="1:18" ht="15" customHeight="1" x14ac:dyDescent="0.3">
      <c r="A563" s="888" t="str">
        <f>IF(LEN('Translation-EN'!A563)&gt;0,'Translation-EN'!A563,"")</f>
        <v>-</v>
      </c>
      <c r="B563" s="888" t="str">
        <f>IF(LEN('Translation-EN'!B563)&gt;0,'Translation-EN'!B563,"")</f>
        <v/>
      </c>
      <c r="C563" s="888" t="str">
        <f>IF(LEN('Translation-EN'!C563)&gt;0,'Translation-EN'!C563,"")</f>
        <v/>
      </c>
      <c r="D563" s="888" t="str">
        <f>IF(LEN('Translation-EN'!D563)&gt;0,'Translation-EN'!D563,"")</f>
        <v/>
      </c>
      <c r="E563" s="1670"/>
    </row>
    <row r="564" spans="1:18" ht="39.15" customHeight="1" x14ac:dyDescent="0.3">
      <c r="A564" s="888" t="str">
        <f>IF(LEN('Translation-EN'!A564)&gt;0,'Translation-EN'!A564,"")</f>
        <v>Range</v>
      </c>
      <c r="B564" s="888" t="str">
        <f>IF(LEN('Translation-EN'!B564)&gt;0,'Translation-EN'!B564,"")</f>
        <v>Party Walls</v>
      </c>
      <c r="C564" s="888" t="str">
        <f>IF(LEN('Translation-EN'!C564)&gt;0,'Translation-EN'!C564,"")</f>
        <v>O3</v>
      </c>
      <c r="D564" s="888" t="b">
        <f>IF(LEN('Translation-EN'!D564)&gt;0,'Translation-EN'!D564,"")</f>
        <v>1</v>
      </c>
      <c r="E564" s="1035" t="s">
        <v>7393</v>
      </c>
    </row>
    <row r="565" spans="1:18" ht="39.15" customHeight="1" x14ac:dyDescent="0.3">
      <c r="A565" s="888" t="str">
        <f>IF(LEN('Translation-EN'!A565)&gt;0,'Translation-EN'!A565,"")</f>
        <v>Range</v>
      </c>
      <c r="B565" s="888" t="str">
        <f>IF(LEN('Translation-EN'!B565)&gt;0,'Translation-EN'!B565,"")</f>
        <v>Party Walls</v>
      </c>
      <c r="C565" s="888" t="str">
        <f>IF(LEN('Translation-EN'!C565)&gt;0,'Translation-EN'!C565,"")</f>
        <v>P3</v>
      </c>
      <c r="D565" s="888" t="b">
        <f>IF(LEN('Translation-EN'!D565)&gt;0,'Translation-EN'!D565,"")</f>
        <v>1</v>
      </c>
      <c r="E565" s="1035" t="s">
        <v>7394</v>
      </c>
    </row>
    <row r="566" spans="1:18" s="893" customFormat="1" ht="17.399999999999999" x14ac:dyDescent="0.3">
      <c r="A566" s="888" t="str">
        <f>IF(LEN('Translation-EN'!A566)&gt;0,'Translation-EN'!A566,"")</f>
        <v>Range</v>
      </c>
      <c r="B566" s="888" t="str">
        <f>IF(LEN('Translation-EN'!B566)&gt;0,'Translation-EN'!B566,"")</f>
        <v>Party Walls</v>
      </c>
      <c r="C566" s="888" t="str">
        <f>IF(LEN('Translation-EN'!C566)&gt;0,'Translation-EN'!C566,"")</f>
        <v>A5</v>
      </c>
      <c r="D566" s="888" t="b">
        <f>IF(LEN('Translation-EN'!D566)&gt;0,'Translation-EN'!D566,"")</f>
        <v>1</v>
      </c>
      <c r="E566" s="1036" t="s">
        <v>2991</v>
      </c>
      <c r="I566" s="888"/>
      <c r="J566" s="888"/>
      <c r="K566" s="888"/>
      <c r="L566" s="888"/>
      <c r="M566" s="888"/>
      <c r="N566" s="888"/>
      <c r="O566" s="888"/>
      <c r="P566" s="888"/>
      <c r="Q566" s="888"/>
      <c r="R566" s="888"/>
    </row>
    <row r="567" spans="1:18" s="893" customFormat="1" x14ac:dyDescent="0.3">
      <c r="A567" s="888" t="str">
        <f>IF(LEN('Translation-EN'!A567)&gt;0,'Translation-EN'!A567,"")</f>
        <v>Range</v>
      </c>
      <c r="B567" s="888" t="str">
        <f>IF(LEN('Translation-EN'!B567)&gt;0,'Translation-EN'!B567,"")</f>
        <v>_Party Walls</v>
      </c>
      <c r="C567" s="888" t="str">
        <f>IF(LEN('Translation-EN'!C567)&gt;0,'Translation-EN'!C567,"")</f>
        <v>A6</v>
      </c>
      <c r="D567" s="888" t="str">
        <f>IF(LEN('Translation-EN'!D567)&gt;0,'Translation-EN'!D567,"")</f>
        <v/>
      </c>
      <c r="E567" s="893" t="s">
        <v>2992</v>
      </c>
      <c r="I567" s="888"/>
      <c r="J567" s="888"/>
      <c r="K567" s="888"/>
      <c r="L567" s="888"/>
      <c r="M567" s="888"/>
      <c r="N567" s="888"/>
      <c r="O567" s="888"/>
      <c r="P567" s="888"/>
      <c r="Q567" s="888"/>
      <c r="R567" s="888"/>
    </row>
    <row r="568" spans="1:18" s="893" customFormat="1" x14ac:dyDescent="0.3">
      <c r="A568" s="888" t="str">
        <f>IF(LEN('Translation-EN'!A568)&gt;0,'Translation-EN'!A568,"")</f>
        <v>Range</v>
      </c>
      <c r="B568" s="888" t="str">
        <f>IF(LEN('Translation-EN'!B568)&gt;0,'Translation-EN'!B568,"")</f>
        <v>Party Walls</v>
      </c>
      <c r="C568" s="888" t="str">
        <f>IF(LEN('Translation-EN'!C568)&gt;0,'Translation-EN'!C568,"")</f>
        <v>A6</v>
      </c>
      <c r="D568" s="888" t="str">
        <f>IF(LEN('Translation-EN'!D568)&gt;0,'Translation-EN'!D568,"")</f>
        <v/>
      </c>
      <c r="E568" s="893" t="str">
        <f>$E$417</f>
        <v>MURS À CHARPENTE EN BOIS</v>
      </c>
      <c r="F568" s="1037"/>
      <c r="I568" s="888"/>
      <c r="J568" s="888"/>
      <c r="K568" s="888"/>
      <c r="L568" s="888"/>
      <c r="M568" s="888"/>
      <c r="N568" s="888"/>
      <c r="O568" s="888"/>
      <c r="P568" s="888"/>
      <c r="Q568" s="888"/>
      <c r="R568" s="888"/>
    </row>
    <row r="569" spans="1:18" s="893" customFormat="1" x14ac:dyDescent="0.3">
      <c r="A569" s="888" t="str">
        <f>IF(LEN('Translation-EN'!A569)&gt;0,'Translation-EN'!A569,"")</f>
        <v>Range</v>
      </c>
      <c r="B569" s="888" t="str">
        <f>IF(LEN('Translation-EN'!B569)&gt;0,'Translation-EN'!B569,"")</f>
        <v>Party Walls</v>
      </c>
      <c r="C569" s="888" t="str">
        <f>IF(LEN('Translation-EN'!C569)&gt;0,'Translation-EN'!C569,"")</f>
        <v>B7</v>
      </c>
      <c r="D569" s="888" t="str">
        <f>IF(LEN('Translation-EN'!D569)&gt;0,'Translation-EN'!D569,"")</f>
        <v/>
      </c>
      <c r="E569" s="924" t="str">
        <f>$E$328</f>
        <v>2x4 CONSTRUCTION EN BOIS</v>
      </c>
      <c r="F569" s="1037"/>
      <c r="I569" s="888"/>
      <c r="J569" s="888"/>
      <c r="K569" s="888"/>
      <c r="L569" s="888"/>
      <c r="M569" s="888"/>
      <c r="N569" s="888"/>
      <c r="O569" s="888"/>
      <c r="P569" s="888"/>
      <c r="Q569" s="888"/>
      <c r="R569" s="888"/>
    </row>
    <row r="570" spans="1:18" s="893" customFormat="1" x14ac:dyDescent="0.3">
      <c r="A570" s="888" t="str">
        <f>IF(LEN('Translation-EN'!A570)&gt;0,'Translation-EN'!A570,"")</f>
        <v>Range</v>
      </c>
      <c r="B570" s="888" t="str">
        <f>IF(LEN('Translation-EN'!B570)&gt;0,'Translation-EN'!B570,"")</f>
        <v>Party Walls</v>
      </c>
      <c r="C570" s="888" t="str">
        <f>IF(LEN('Translation-EN'!C570)&gt;0,'Translation-EN'!C570,"")</f>
        <v>B14</v>
      </c>
      <c r="D570" s="888" t="str">
        <f>IF(LEN('Translation-EN'!D570)&gt;0,'Translation-EN'!D570,"")</f>
        <v/>
      </c>
      <c r="E570" s="924" t="str">
        <f>$E$329</f>
        <v>2x6 CONSTRUCTION EN BOIS</v>
      </c>
      <c r="F570" s="1037"/>
      <c r="I570" s="888"/>
      <c r="J570" s="888"/>
      <c r="K570" s="888"/>
      <c r="L570" s="888"/>
      <c r="M570" s="888"/>
      <c r="N570" s="888"/>
      <c r="O570" s="888"/>
      <c r="P570" s="888"/>
      <c r="Q570" s="888"/>
      <c r="R570" s="888"/>
    </row>
    <row r="571" spans="1:18" s="893" customFormat="1" x14ac:dyDescent="0.3">
      <c r="A571" s="888" t="str">
        <f>IF(LEN('Translation-EN'!A571)&gt;0,'Translation-EN'!A571,"")</f>
        <v>Range</v>
      </c>
      <c r="B571" s="888" t="str">
        <f>IF(LEN('Translation-EN'!B571)&gt;0,'Translation-EN'!B571,"")</f>
        <v>Party Walls</v>
      </c>
      <c r="C571" s="888" t="str">
        <f>IF(LEN('Translation-EN'!C571)&gt;0,'Translation-EN'!C571,"")</f>
        <v>B21</v>
      </c>
      <c r="D571" s="888" t="str">
        <f>IF(LEN('Translation-EN'!D571)&gt;0,'Translation-EN'!D571,"")</f>
        <v/>
      </c>
      <c r="E571" s="924" t="str">
        <f>$E$330</f>
        <v>2x8 CONSTRUCTION EN BOIS</v>
      </c>
      <c r="F571" s="1037"/>
      <c r="I571" s="888"/>
      <c r="J571" s="888"/>
      <c r="K571" s="888"/>
      <c r="L571" s="888"/>
      <c r="M571" s="888"/>
      <c r="N571" s="888"/>
      <c r="O571" s="888"/>
      <c r="P571" s="888"/>
      <c r="Q571" s="888"/>
      <c r="R571" s="888"/>
    </row>
    <row r="572" spans="1:18" s="893" customFormat="1" x14ac:dyDescent="0.3">
      <c r="A572" s="888" t="str">
        <f>IF(LEN('Translation-EN'!A572)&gt;0,'Translation-EN'!A572,"")</f>
        <v>Range</v>
      </c>
      <c r="B572" s="888" t="str">
        <f>IF(LEN('Translation-EN'!B572)&gt;0,'Translation-EN'!B572,"")</f>
        <v>Party Walls</v>
      </c>
      <c r="C572" s="888" t="str">
        <f>IF(LEN('Translation-EN'!C572)&gt;0,'Translation-EN'!C572,"")</f>
        <v>B28</v>
      </c>
      <c r="D572" s="888" t="str">
        <f>IF(LEN('Translation-EN'!D572)&gt;0,'Translation-EN'!D572,"")</f>
        <v/>
      </c>
      <c r="E572" s="924" t="str">
        <f>$E$331</f>
        <v>2x4 DOUBLE CONSTRUCTION EN BOIS</v>
      </c>
      <c r="F572" s="1037"/>
      <c r="I572" s="888"/>
      <c r="J572" s="888"/>
      <c r="K572" s="888"/>
      <c r="L572" s="888"/>
      <c r="M572" s="888"/>
      <c r="N572" s="888"/>
      <c r="O572" s="888"/>
      <c r="P572" s="888"/>
      <c r="Q572" s="888"/>
      <c r="R572" s="888"/>
    </row>
    <row r="573" spans="1:18" s="893" customFormat="1" x14ac:dyDescent="0.3">
      <c r="A573" s="888" t="str">
        <f>IF(LEN('Translation-EN'!A573)&gt;0,'Translation-EN'!A573,"")</f>
        <v>Range</v>
      </c>
      <c r="B573" s="888" t="str">
        <f>IF(LEN('Translation-EN'!B573)&gt;0,'Translation-EN'!B573,"")</f>
        <v>Party Walls</v>
      </c>
      <c r="C573" s="888" t="str">
        <f>IF(LEN('Translation-EN'!C573)&gt;0,'Translation-EN'!C573,"")</f>
        <v>D6</v>
      </c>
      <c r="D573" s="888" t="str">
        <f>IF(LEN('Translation-EN'!D573)&gt;0,'Translation-EN'!D573,"")</f>
        <v/>
      </c>
      <c r="E573" s="893" t="str">
        <f>$E$325</f>
        <v>L’ESPACEMENT DES CHARPENTES :</v>
      </c>
      <c r="F573" s="1037"/>
      <c r="I573" s="888"/>
      <c r="J573" s="888"/>
      <c r="K573" s="888"/>
      <c r="L573" s="888"/>
      <c r="M573" s="888"/>
      <c r="N573" s="888"/>
      <c r="O573" s="888"/>
      <c r="P573" s="888"/>
      <c r="Q573" s="888"/>
      <c r="R573" s="888"/>
    </row>
    <row r="574" spans="1:18" s="893" customFormat="1" x14ac:dyDescent="0.3">
      <c r="A574" s="888" t="str">
        <f>IF(LEN('Translation-EN'!A574)&gt;0,'Translation-EN'!A574,"")</f>
        <v>Range</v>
      </c>
      <c r="B574" s="888" t="str">
        <f>IF(LEN('Translation-EN'!B574)&gt;0,'Translation-EN'!B574,"")</f>
        <v>_Party Walls</v>
      </c>
      <c r="C574" s="888" t="str">
        <f>IF(LEN('Translation-EN'!C574)&gt;0,'Translation-EN'!C574,"")</f>
        <v>B7</v>
      </c>
      <c r="D574" s="888" t="str">
        <f>IF(LEN('Translation-EN'!D574)&gt;0,'Translation-EN'!D574,"")</f>
        <v/>
      </c>
      <c r="E574" s="893" t="str">
        <f>$E$326</f>
        <v>CONSTRUCTION EN BOIS</v>
      </c>
      <c r="F574" s="1037"/>
      <c r="I574" s="888"/>
      <c r="J574" s="888"/>
      <c r="K574" s="888"/>
      <c r="L574" s="888"/>
      <c r="M574" s="888"/>
      <c r="N574" s="888"/>
      <c r="O574" s="888"/>
      <c r="P574" s="888"/>
      <c r="Q574" s="888"/>
      <c r="R574" s="888"/>
    </row>
    <row r="575" spans="1:18" s="893" customFormat="1" x14ac:dyDescent="0.3">
      <c r="A575" s="888" t="str">
        <f>IF(LEN('Translation-EN'!A575)&gt;0,'Translation-EN'!A575,"")</f>
        <v>Range</v>
      </c>
      <c r="B575" s="888" t="str">
        <f>IF(LEN('Translation-EN'!B575)&gt;0,'Translation-EN'!B575,"")</f>
        <v>_Party Walls</v>
      </c>
      <c r="C575" s="888" t="str">
        <f>IF(LEN('Translation-EN'!C575)&gt;0,'Translation-EN'!C575,"")</f>
        <v>B11</v>
      </c>
      <c r="D575" s="888" t="str">
        <f>IF(LEN('Translation-EN'!D575)&gt;0,'Translation-EN'!D575,"")</f>
        <v/>
      </c>
      <c r="E575" s="893" t="str">
        <f>$E$327</f>
        <v>2x4 double</v>
      </c>
      <c r="F575" s="1037"/>
      <c r="I575" s="888"/>
      <c r="J575" s="888"/>
      <c r="K575" s="888"/>
      <c r="L575" s="888"/>
      <c r="M575" s="888"/>
      <c r="N575" s="888"/>
      <c r="O575" s="888"/>
      <c r="P575" s="888"/>
      <c r="Q575" s="888"/>
      <c r="R575" s="888"/>
    </row>
    <row r="576" spans="1:18" s="893" customFormat="1" x14ac:dyDescent="0.3">
      <c r="A576" s="888" t="str">
        <f>IF(LEN('Translation-EN'!A576)&gt;0,'Translation-EN'!A576,"")</f>
        <v>Range</v>
      </c>
      <c r="B576" s="888" t="str">
        <f>IF(LEN('Translation-EN'!B576)&gt;0,'Translation-EN'!B576,"")</f>
        <v>Party Walls</v>
      </c>
      <c r="C576" s="888" t="str">
        <f>IF(LEN('Translation-EN'!C576)&gt;0,'Translation-EN'!C576,"")</f>
        <v>A35</v>
      </c>
      <c r="D576" s="888" t="str">
        <f>IF(LEN('Translation-EN'!D576)&gt;0,'Translation-EN'!D576,"")</f>
        <v/>
      </c>
      <c r="E576" s="893" t="str">
        <f>$E$426</f>
        <v>MURS À CHARPENTE EN ACIER</v>
      </c>
      <c r="F576" s="1037"/>
      <c r="I576" s="888"/>
      <c r="J576" s="888"/>
      <c r="K576" s="888"/>
      <c r="L576" s="888"/>
      <c r="M576" s="888"/>
      <c r="N576" s="888"/>
      <c r="O576" s="888"/>
      <c r="P576" s="888"/>
      <c r="Q576" s="888"/>
      <c r="R576" s="888"/>
    </row>
    <row r="577" spans="1:18" s="893" customFormat="1" x14ac:dyDescent="0.3">
      <c r="A577" s="888" t="str">
        <f>IF(LEN('Translation-EN'!A577)&gt;0,'Translation-EN'!A577,"")</f>
        <v>Range</v>
      </c>
      <c r="B577" s="888" t="str">
        <f>IF(LEN('Translation-EN'!B577)&gt;0,'Translation-EN'!B577,"")</f>
        <v>Party Walls</v>
      </c>
      <c r="C577" s="888" t="str">
        <f>IF(LEN('Translation-EN'!C577)&gt;0,'Translation-EN'!C577,"")</f>
        <v>D35</v>
      </c>
      <c r="D577" s="888" t="str">
        <f>IF(LEN('Translation-EN'!D577)&gt;0,'Translation-EN'!D577,"")</f>
        <v/>
      </c>
      <c r="E577" s="893" t="str">
        <f>$E$325</f>
        <v>L’ESPACEMENT DES CHARPENTES :</v>
      </c>
      <c r="F577" s="1037"/>
      <c r="I577" s="888"/>
      <c r="J577" s="888"/>
      <c r="K577" s="888"/>
      <c r="L577" s="888"/>
      <c r="M577" s="888"/>
      <c r="N577" s="888"/>
      <c r="O577" s="888"/>
      <c r="P577" s="888"/>
      <c r="Q577" s="888"/>
      <c r="R577" s="888"/>
    </row>
    <row r="578" spans="1:18" s="893" customFormat="1" x14ac:dyDescent="0.3">
      <c r="A578" s="888" t="str">
        <f>IF(LEN('Translation-EN'!A578)&gt;0,'Translation-EN'!A578,"")</f>
        <v>Range</v>
      </c>
      <c r="B578" s="888" t="str">
        <f>IF(LEN('Translation-EN'!B578)&gt;0,'Translation-EN'!B578,"")</f>
        <v>Party Walls</v>
      </c>
      <c r="C578" s="888" t="str">
        <f>IF(LEN('Translation-EN'!C578)&gt;0,'Translation-EN'!C578,"")</f>
        <v>B36</v>
      </c>
      <c r="D578" s="888" t="str">
        <f>IF(LEN('Translation-EN'!D578)&gt;0,'Translation-EN'!D578,"")</f>
        <v/>
      </c>
      <c r="E578" s="893" t="str">
        <f>$E$334</f>
        <v>CHARPENTE D’ACIER, 2x4</v>
      </c>
      <c r="F578" s="1037"/>
      <c r="I578" s="888"/>
      <c r="J578" s="888"/>
      <c r="K578" s="888"/>
      <c r="L578" s="888"/>
      <c r="M578" s="888"/>
      <c r="N578" s="888"/>
      <c r="O578" s="888"/>
      <c r="P578" s="888"/>
      <c r="Q578" s="888"/>
      <c r="R578" s="888"/>
    </row>
    <row r="579" spans="1:18" s="893" customFormat="1" x14ac:dyDescent="0.3">
      <c r="A579" s="888" t="str">
        <f>IF(LEN('Translation-EN'!A579)&gt;0,'Translation-EN'!A579,"")</f>
        <v>Range</v>
      </c>
      <c r="B579" s="888" t="str">
        <f>IF(LEN('Translation-EN'!B579)&gt;0,'Translation-EN'!B579,"")</f>
        <v>Party Walls</v>
      </c>
      <c r="C579" s="888" t="str">
        <f>IF(LEN('Translation-EN'!C579)&gt;0,'Translation-EN'!C579,"")</f>
        <v>C37</v>
      </c>
      <c r="D579" s="888" t="str">
        <f>IF(LEN('Translation-EN'!D579)&gt;0,'Translation-EN'!D579,"")</f>
        <v/>
      </c>
      <c r="E579" s="893" t="s">
        <v>2993</v>
      </c>
      <c r="F579" s="1037"/>
      <c r="I579" s="888"/>
      <c r="J579" s="888"/>
      <c r="K579" s="888"/>
      <c r="L579" s="888"/>
      <c r="M579" s="888"/>
      <c r="N579" s="888"/>
      <c r="O579" s="888"/>
      <c r="P579" s="888"/>
      <c r="Q579" s="888"/>
      <c r="R579" s="888"/>
    </row>
    <row r="580" spans="1:18" s="893" customFormat="1" x14ac:dyDescent="0.3">
      <c r="A580" s="888" t="str">
        <f>IF(LEN('Translation-EN'!A580)&gt;0,'Translation-EN'!A580,"")</f>
        <v>Range</v>
      </c>
      <c r="B580" s="888" t="str">
        <f>IF(LEN('Translation-EN'!B580)&gt;0,'Translation-EN'!B580,"")</f>
        <v>Party Walls</v>
      </c>
      <c r="C580" s="888" t="str">
        <f>IF(LEN('Translation-EN'!C580)&gt;0,'Translation-EN'!C580,"")</f>
        <v>A38</v>
      </c>
      <c r="D580" s="888" t="str">
        <f>IF(LEN('Translation-EN'!D580)&gt;0,'Translation-EN'!D580,"")</f>
        <v/>
      </c>
      <c r="E580" s="893" t="s">
        <v>2994</v>
      </c>
      <c r="F580" s="1037"/>
      <c r="I580" s="888"/>
      <c r="J580" s="888"/>
      <c r="K580" s="888"/>
      <c r="L580" s="888"/>
      <c r="M580" s="888"/>
      <c r="N580" s="888"/>
      <c r="O580" s="888"/>
      <c r="P580" s="888"/>
      <c r="Q580" s="888"/>
      <c r="R580" s="888"/>
    </row>
    <row r="581" spans="1:18" s="893" customFormat="1" x14ac:dyDescent="0.3">
      <c r="A581" s="888" t="str">
        <f>IF(LEN('Translation-EN'!A581)&gt;0,'Translation-EN'!A581,"")</f>
        <v>Range</v>
      </c>
      <c r="B581" s="888" t="str">
        <f>IF(LEN('Translation-EN'!B581)&gt;0,'Translation-EN'!B581,"")</f>
        <v>Party Walls</v>
      </c>
      <c r="C581" s="888" t="str">
        <f>IF(LEN('Translation-EN'!C581)&gt;0,'Translation-EN'!C581,"")</f>
        <v>B40</v>
      </c>
      <c r="D581" s="888" t="str">
        <f>IF(LEN('Translation-EN'!D581)&gt;0,'Translation-EN'!D581,"")</f>
        <v/>
      </c>
      <c r="E581" s="893" t="str">
        <f>$E$429</f>
        <v>CHARPENTE D’ACIER, 2x6</v>
      </c>
      <c r="F581" s="1037"/>
      <c r="I581" s="888"/>
      <c r="J581" s="888"/>
      <c r="K581" s="888"/>
      <c r="L581" s="888"/>
      <c r="M581" s="888"/>
      <c r="N581" s="888"/>
      <c r="O581" s="888"/>
      <c r="P581" s="888"/>
      <c r="Q581" s="888"/>
      <c r="R581" s="888"/>
    </row>
    <row r="582" spans="1:18" s="893" customFormat="1" x14ac:dyDescent="0.3">
      <c r="A582" s="888" t="str">
        <f>IF(LEN('Translation-EN'!A582)&gt;0,'Translation-EN'!A582,"")</f>
        <v>Range</v>
      </c>
      <c r="B582" s="888" t="str">
        <f>IF(LEN('Translation-EN'!B582)&gt;0,'Translation-EN'!B582,"")</f>
        <v>Party Walls</v>
      </c>
      <c r="C582" s="888" t="str">
        <f>IF(LEN('Translation-EN'!C582)&gt;0,'Translation-EN'!C582,"")</f>
        <v>A41</v>
      </c>
      <c r="D582" s="888" t="str">
        <f>IF(LEN('Translation-EN'!D582)&gt;0,'Translation-EN'!D582,"")</f>
        <v/>
      </c>
      <c r="E582" s="893" t="s">
        <v>2995</v>
      </c>
      <c r="F582" s="1037"/>
      <c r="I582" s="888"/>
      <c r="J582" s="888"/>
      <c r="K582" s="888"/>
      <c r="L582" s="888"/>
      <c r="M582" s="888"/>
      <c r="N582" s="888"/>
      <c r="O582" s="888"/>
      <c r="P582" s="888"/>
      <c r="Q582" s="888"/>
      <c r="R582" s="888"/>
    </row>
    <row r="583" spans="1:18" s="893" customFormat="1" x14ac:dyDescent="0.3">
      <c r="A583" s="888" t="str">
        <f>IF(LEN('Translation-EN'!A583)&gt;0,'Translation-EN'!A583,"")</f>
        <v>Range</v>
      </c>
      <c r="B583" s="888" t="str">
        <f>IF(LEN('Translation-EN'!B583)&gt;0,'Translation-EN'!B583,"")</f>
        <v>Party Walls</v>
      </c>
      <c r="C583" s="888" t="str">
        <f>IF(LEN('Translation-EN'!C583)&gt;0,'Translation-EN'!C583,"")</f>
        <v>C41</v>
      </c>
      <c r="D583" s="888" t="str">
        <f>IF(LEN('Translation-EN'!D583)&gt;0,'Translation-EN'!D583,"")</f>
        <v/>
      </c>
      <c r="E583" s="893" t="str">
        <f>$E$431</f>
        <v>Charpente en acier – porteur – MOYENNE</v>
      </c>
      <c r="F583" s="1037"/>
      <c r="I583" s="888"/>
      <c r="J583" s="888"/>
      <c r="K583" s="888"/>
      <c r="L583" s="888"/>
      <c r="M583" s="888"/>
      <c r="N583" s="888"/>
      <c r="O583" s="888"/>
      <c r="P583" s="888"/>
      <c r="Q583" s="888"/>
      <c r="R583" s="888"/>
    </row>
    <row r="584" spans="1:18" s="893" customFormat="1" x14ac:dyDescent="0.3">
      <c r="A584" s="888" t="str">
        <f>IF(LEN('Translation-EN'!A584)&gt;0,'Translation-EN'!A584,"")</f>
        <v>Range</v>
      </c>
      <c r="B584" s="888" t="str">
        <f>IF(LEN('Translation-EN'!B584)&gt;0,'Translation-EN'!B584,"")</f>
        <v>_Party Walls</v>
      </c>
      <c r="C584" s="888" t="str">
        <f>IF(LEN('Translation-EN'!C584)&gt;0,'Translation-EN'!C584,"")</f>
        <v>A28</v>
      </c>
      <c r="D584" s="888" t="str">
        <f>IF(LEN('Translation-EN'!D584)&gt;0,'Translation-EN'!D584,"")</f>
        <v/>
      </c>
      <c r="E584" s="893" t="s">
        <v>2996</v>
      </c>
      <c r="I584" s="888"/>
      <c r="J584" s="888"/>
      <c r="K584" s="888"/>
      <c r="L584" s="888"/>
      <c r="M584" s="888"/>
      <c r="N584" s="888"/>
      <c r="O584" s="888"/>
      <c r="P584" s="888"/>
      <c r="Q584" s="888"/>
      <c r="R584" s="888"/>
    </row>
    <row r="585" spans="1:18" s="893" customFormat="1" x14ac:dyDescent="0.3">
      <c r="A585" s="888" t="str">
        <f>IF(LEN('Translation-EN'!A585)&gt;0,'Translation-EN'!A585,"")</f>
        <v>Range</v>
      </c>
      <c r="B585" s="888" t="str">
        <f>IF(LEN('Translation-EN'!B585)&gt;0,'Translation-EN'!B585,"")</f>
        <v>Party Walls</v>
      </c>
      <c r="C585" s="888" t="str">
        <f>IF(LEN('Translation-EN'!C585)&gt;0,'Translation-EN'!C585,"")</f>
        <v>A45</v>
      </c>
      <c r="D585" s="888" t="str">
        <f>IF(LEN('Translation-EN'!D585)&gt;0,'Translation-EN'!D585,"")</f>
        <v/>
      </c>
      <c r="E585" s="893" t="s">
        <v>2997</v>
      </c>
      <c r="I585" s="888"/>
      <c r="J585" s="888"/>
      <c r="K585" s="888"/>
      <c r="L585" s="888"/>
      <c r="M585" s="888"/>
      <c r="N585" s="888"/>
      <c r="O585" s="888"/>
      <c r="P585" s="888"/>
      <c r="Q585" s="888"/>
      <c r="R585" s="888"/>
    </row>
    <row r="586" spans="1:18" s="893" customFormat="1" x14ac:dyDescent="0.3">
      <c r="A586" s="888" t="str">
        <f>IF(LEN('Translation-EN'!A586)&gt;0,'Translation-EN'!A586,"")</f>
        <v>Range</v>
      </c>
      <c r="B586" s="888" t="str">
        <f>IF(LEN('Translation-EN'!B586)&gt;0,'Translation-EN'!B586,"")</f>
        <v>Party Walls</v>
      </c>
      <c r="C586" s="888" t="str">
        <f>IF(LEN('Translation-EN'!C586)&gt;0,'Translation-EN'!C586,"")</f>
        <v>B46</v>
      </c>
      <c r="D586" s="888" t="str">
        <f>IF(LEN('Translation-EN'!D586)&gt;0,'Translation-EN'!D586,"")</f>
        <v/>
      </c>
      <c r="E586" s="893" t="s">
        <v>2959</v>
      </c>
      <c r="I586" s="888"/>
      <c r="J586" s="888"/>
      <c r="K586" s="888"/>
      <c r="L586" s="888"/>
      <c r="M586" s="888"/>
      <c r="N586" s="888"/>
      <c r="O586" s="888"/>
      <c r="P586" s="888"/>
      <c r="Q586" s="888"/>
      <c r="R586" s="888"/>
    </row>
    <row r="587" spans="1:18" s="893" customFormat="1" x14ac:dyDescent="0.3">
      <c r="A587" s="888" t="str">
        <f>IF(LEN('Translation-EN'!A587)&gt;0,'Translation-EN'!A587,"")</f>
        <v>Range</v>
      </c>
      <c r="B587" s="888" t="str">
        <f>IF(LEN('Translation-EN'!B587)&gt;0,'Translation-EN'!B587,"")</f>
        <v>Party Walls</v>
      </c>
      <c r="C587" s="888" t="str">
        <f>IF(LEN('Translation-EN'!C587)&gt;0,'Translation-EN'!C587,"")</f>
        <v>C47</v>
      </c>
      <c r="D587" s="888" t="str">
        <f>IF(LEN('Translation-EN'!D587)&gt;0,'Translation-EN'!D587,"")</f>
        <v/>
      </c>
      <c r="E587" s="893" t="s">
        <v>2998</v>
      </c>
      <c r="I587" s="888"/>
      <c r="J587" s="888"/>
      <c r="K587" s="888"/>
      <c r="L587" s="888"/>
      <c r="M587" s="888"/>
      <c r="N587" s="888"/>
      <c r="O587" s="888"/>
      <c r="P587" s="888"/>
      <c r="Q587" s="888"/>
      <c r="R587" s="888"/>
    </row>
    <row r="588" spans="1:18" s="893" customFormat="1" x14ac:dyDescent="0.3">
      <c r="A588" s="888" t="str">
        <f>IF(LEN('Translation-EN'!A588)&gt;0,'Translation-EN'!A588,"")</f>
        <v>Range</v>
      </c>
      <c r="B588" s="888" t="str">
        <f>IF(LEN('Translation-EN'!B588)&gt;0,'Translation-EN'!B588,"")</f>
        <v>Party Walls</v>
      </c>
      <c r="C588" s="888" t="str">
        <f>IF(LEN('Translation-EN'!C588)&gt;0,'Translation-EN'!C588,"")</f>
        <v>A48</v>
      </c>
      <c r="D588" s="888" t="str">
        <f>IF(LEN('Translation-EN'!D588)&gt;0,'Translation-EN'!D588,"")</f>
        <v/>
      </c>
      <c r="E588" s="893" t="s">
        <v>2999</v>
      </c>
      <c r="I588" s="888"/>
      <c r="J588" s="888"/>
      <c r="K588" s="888"/>
      <c r="L588" s="888"/>
      <c r="M588" s="888"/>
      <c r="N588" s="888"/>
      <c r="O588" s="888"/>
      <c r="P588" s="888"/>
      <c r="Q588" s="888"/>
      <c r="R588" s="888"/>
    </row>
    <row r="589" spans="1:18" s="893" customFormat="1" x14ac:dyDescent="0.3">
      <c r="A589" s="888" t="str">
        <f>IF(LEN('Translation-EN'!A589)&gt;0,'Translation-EN'!A589,"")</f>
        <v>Range</v>
      </c>
      <c r="B589" s="888" t="str">
        <f>IF(LEN('Translation-EN'!B589)&gt;0,'Translation-EN'!B589,"")</f>
        <v>Party Walls</v>
      </c>
      <c r="C589" s="888" t="str">
        <f>IF(LEN('Translation-EN'!C589)&gt;0,'Translation-EN'!C589,"")</f>
        <v>A54</v>
      </c>
      <c r="D589" s="888" t="str">
        <f>IF(LEN('Translation-EN'!D589)&gt;0,'Translation-EN'!D589,"")</f>
        <v/>
      </c>
      <c r="E589" s="893" t="s">
        <v>3000</v>
      </c>
      <c r="I589" s="888"/>
      <c r="J589" s="888"/>
      <c r="K589" s="888"/>
      <c r="L589" s="888"/>
      <c r="M589" s="888"/>
      <c r="N589" s="888"/>
      <c r="O589" s="888"/>
      <c r="P589" s="888"/>
      <c r="Q589" s="888"/>
      <c r="R589" s="888"/>
    </row>
    <row r="590" spans="1:18" s="893" customFormat="1" x14ac:dyDescent="0.3">
      <c r="A590" s="888" t="str">
        <f>IF(LEN('Translation-EN'!A590)&gt;0,'Translation-EN'!A590,"")</f>
        <v>Range</v>
      </c>
      <c r="B590" s="888" t="str">
        <f>IF(LEN('Translation-EN'!B590)&gt;0,'Translation-EN'!B590,"")</f>
        <v>Party Walls</v>
      </c>
      <c r="C590" s="888" t="str">
        <f>IF(LEN('Translation-EN'!C590)&gt;0,'Translation-EN'!C590,"")</f>
        <v>D54</v>
      </c>
      <c r="D590" s="888" t="str">
        <f>IF(LEN('Translation-EN'!D590)&gt;0,'Translation-EN'!D590,"")</f>
        <v/>
      </c>
      <c r="E590" s="893" t="s">
        <v>3001</v>
      </c>
      <c r="I590" s="888"/>
      <c r="J590" s="888"/>
      <c r="K590" s="888"/>
      <c r="L590" s="888"/>
      <c r="M590" s="888"/>
      <c r="N590" s="888"/>
      <c r="O590" s="888"/>
      <c r="P590" s="888"/>
      <c r="Q590" s="888"/>
      <c r="R590" s="888"/>
    </row>
    <row r="591" spans="1:18" s="893" customFormat="1" x14ac:dyDescent="0.3">
      <c r="A591" s="888" t="str">
        <f>IF(LEN('Translation-EN'!A591)&gt;0,'Translation-EN'!A591,"")</f>
        <v>Range</v>
      </c>
      <c r="B591" s="888" t="str">
        <f>IF(LEN('Translation-EN'!B591)&gt;0,'Translation-EN'!B591,"")</f>
        <v>Party Walls</v>
      </c>
      <c r="C591" s="888" t="str">
        <f>IF(LEN('Translation-EN'!C591)&gt;0,'Translation-EN'!C591,"")</f>
        <v>B55</v>
      </c>
      <c r="D591" s="888" t="str">
        <f>IF(LEN('Translation-EN'!D591)&gt;0,'Translation-EN'!D591,"")</f>
        <v/>
      </c>
      <c r="E591" s="893" t="str">
        <f>$E$193</f>
        <v>BÉTON –25 MPa ou moins</v>
      </c>
      <c r="I591" s="888"/>
      <c r="J591" s="888"/>
      <c r="K591" s="888"/>
      <c r="L591" s="888"/>
      <c r="M591" s="888"/>
      <c r="N591" s="888"/>
      <c r="O591" s="888"/>
      <c r="P591" s="888"/>
      <c r="Q591" s="888"/>
      <c r="R591" s="888"/>
    </row>
    <row r="592" spans="1:18" s="893" customFormat="1" x14ac:dyDescent="0.3">
      <c r="A592" s="888" t="str">
        <f>IF(LEN('Translation-EN'!A592)&gt;0,'Translation-EN'!A592,"")</f>
        <v>Range</v>
      </c>
      <c r="B592" s="888" t="str">
        <f>IF(LEN('Translation-EN'!B592)&gt;0,'Translation-EN'!B592,"")</f>
        <v>Party Walls</v>
      </c>
      <c r="C592" s="888" t="str">
        <f>IF(LEN('Translation-EN'!C592)&gt;0,'Translation-EN'!C592,"")</f>
        <v>A56</v>
      </c>
      <c r="D592" s="888" t="str">
        <f>IF(LEN('Translation-EN'!D592)&gt;0,'Translation-EN'!D592,"")</f>
        <v/>
      </c>
      <c r="E592" s="893" t="str">
        <f>$E$194</f>
        <v>Les spécifications du mélange de béton font une grande différence dans l’empreinte carbone. Les spécifications du mélange présentées ici peuvent être utilisées pour discuter des options de mélange à faible teneur en carbone avec votre fournisseur.</v>
      </c>
      <c r="I592" s="888"/>
      <c r="J592" s="888"/>
      <c r="K592" s="888"/>
      <c r="L592" s="888"/>
      <c r="M592" s="888"/>
      <c r="N592" s="888"/>
      <c r="O592" s="888"/>
      <c r="P592" s="888"/>
      <c r="Q592" s="888"/>
      <c r="R592" s="888"/>
    </row>
    <row r="593" spans="1:18" s="893" customFormat="1" x14ac:dyDescent="0.3">
      <c r="A593" s="888" t="str">
        <f>IF(LEN('Translation-EN'!A593)&gt;0,'Translation-EN'!A593,"")</f>
        <v>Range</v>
      </c>
      <c r="B593" s="888" t="str">
        <f>IF(LEN('Translation-EN'!B593)&gt;0,'Translation-EN'!B593,"")</f>
        <v>Party Walls</v>
      </c>
      <c r="C593" s="888" t="str">
        <f>IF(LEN('Translation-EN'!C593)&gt;0,'Translation-EN'!C593,"")</f>
        <v>B63</v>
      </c>
      <c r="D593" s="888" t="str">
        <f>IF(LEN('Translation-EN'!D593)&gt;0,'Translation-EN'!D593,"")</f>
        <v/>
      </c>
      <c r="E593" s="893" t="str">
        <f>$E$195</f>
        <v>BÉTON –26-30 MPa</v>
      </c>
      <c r="I593" s="888"/>
      <c r="J593" s="888"/>
      <c r="K593" s="888"/>
      <c r="L593" s="888"/>
      <c r="M593" s="888"/>
      <c r="N593" s="888"/>
      <c r="O593" s="888"/>
      <c r="P593" s="888"/>
      <c r="Q593" s="888"/>
      <c r="R593" s="888"/>
    </row>
    <row r="594" spans="1:18" s="893" customFormat="1" x14ac:dyDescent="0.3">
      <c r="A594" s="888" t="str">
        <f>IF(LEN('Translation-EN'!A594)&gt;0,'Translation-EN'!A594,"")</f>
        <v>Range</v>
      </c>
      <c r="B594" s="888" t="str">
        <f>IF(LEN('Translation-EN'!B594)&gt;0,'Translation-EN'!B594,"")</f>
        <v>Party Walls</v>
      </c>
      <c r="C594" s="888" t="str">
        <f>IF(LEN('Translation-EN'!C594)&gt;0,'Translation-EN'!C594,"")</f>
        <v>A64</v>
      </c>
      <c r="D594" s="888" t="str">
        <f>IF(LEN('Translation-EN'!D594)&gt;0,'Translation-EN'!D594,"")</f>
        <v/>
      </c>
      <c r="E594" s="893" t="str">
        <f>$E$194</f>
        <v>Les spécifications du mélange de béton font une grande différence dans l’empreinte carbone. Les spécifications du mélange présentées ici peuvent être utilisées pour discuter des options de mélange à faible teneur en carbone avec votre fournisseur.</v>
      </c>
      <c r="I594" s="888"/>
      <c r="J594" s="888"/>
      <c r="K594" s="888"/>
      <c r="L594" s="888"/>
      <c r="M594" s="888"/>
      <c r="N594" s="888"/>
      <c r="O594" s="888"/>
      <c r="P594" s="888"/>
      <c r="Q594" s="888"/>
      <c r="R594" s="888"/>
    </row>
    <row r="595" spans="1:18" s="893" customFormat="1" x14ac:dyDescent="0.3">
      <c r="A595" s="888" t="str">
        <f>IF(LEN('Translation-EN'!A595)&gt;0,'Translation-EN'!A595,"")</f>
        <v>Range</v>
      </c>
      <c r="B595" s="888" t="str">
        <f>IF(LEN('Translation-EN'!B595)&gt;0,'Translation-EN'!B595,"")</f>
        <v>Party Walls</v>
      </c>
      <c r="C595" s="888" t="str">
        <f>IF(LEN('Translation-EN'!C595)&gt;0,'Translation-EN'!C595,"")</f>
        <v>A71</v>
      </c>
      <c r="D595" s="888" t="str">
        <f>IF(LEN('Translation-EN'!D595)&gt;0,'Translation-EN'!D595,"")</f>
        <v/>
      </c>
      <c r="E595" s="937" t="str">
        <f>$E$232</f>
        <v>BARRIÈRES ET MEMBRANES</v>
      </c>
      <c r="I595" s="888"/>
      <c r="J595" s="888"/>
      <c r="K595" s="888"/>
      <c r="L595" s="888"/>
      <c r="M595" s="888"/>
      <c r="N595" s="888"/>
      <c r="O595" s="888"/>
      <c r="P595" s="888"/>
      <c r="Q595" s="888"/>
      <c r="R595" s="888"/>
    </row>
    <row r="596" spans="1:18" s="893" customFormat="1" x14ac:dyDescent="0.3">
      <c r="A596" s="888" t="str">
        <f>IF(LEN('Translation-EN'!A596)&gt;0,'Translation-EN'!A596,"")</f>
        <v>Range</v>
      </c>
      <c r="B596" s="888" t="str">
        <f>IF(LEN('Translation-EN'!B596)&gt;0,'Translation-EN'!B596,"")</f>
        <v>Party Walls</v>
      </c>
      <c r="C596" s="888" t="str">
        <f>IF(LEN('Translation-EN'!C596)&gt;0,'Translation-EN'!C596,"")</f>
        <v>B72</v>
      </c>
      <c r="D596" s="888" t="str">
        <f>IF(LEN('Translation-EN'!D596)&gt;0,'Translation-EN'!D596,"")</f>
        <v/>
      </c>
      <c r="E596" s="937" t="str">
        <f>$E$457</f>
        <v>BARRIÈRE EN FEUILLE PERMÉABLE</v>
      </c>
      <c r="I596" s="888"/>
      <c r="J596" s="888"/>
      <c r="K596" s="888"/>
      <c r="L596" s="888"/>
      <c r="M596" s="888"/>
      <c r="N596" s="888"/>
      <c r="O596" s="888"/>
      <c r="P596" s="888"/>
      <c r="Q596" s="888"/>
      <c r="R596" s="888"/>
    </row>
    <row r="597" spans="1:18" s="893" customFormat="1" x14ac:dyDescent="0.3">
      <c r="A597" s="888" t="str">
        <f>IF(LEN('Translation-EN'!A597)&gt;0,'Translation-EN'!A597,"")</f>
        <v>Range</v>
      </c>
      <c r="B597" s="888" t="str">
        <f>IF(LEN('Translation-EN'!B597)&gt;0,'Translation-EN'!B597,"")</f>
        <v>Party Walls</v>
      </c>
      <c r="C597" s="888" t="str">
        <f>IF(LEN('Translation-EN'!C597)&gt;0,'Translation-EN'!C597,"")</f>
        <v>C73</v>
      </c>
      <c r="D597" s="888" t="str">
        <f>IF(LEN('Translation-EN'!D597)&gt;0,'Translation-EN'!D597,"")</f>
        <v/>
      </c>
      <c r="E597" s="937" t="str">
        <f>$E$458</f>
        <v>Barrière en feuille perméable – MOYENNE</v>
      </c>
      <c r="I597" s="888"/>
      <c r="J597" s="888"/>
      <c r="K597" s="888"/>
      <c r="L597" s="888"/>
      <c r="M597" s="888"/>
      <c r="N597" s="888"/>
      <c r="O597" s="888"/>
      <c r="P597" s="888"/>
      <c r="Q597" s="888"/>
      <c r="R597" s="888"/>
    </row>
    <row r="598" spans="1:18" s="893" customFormat="1" x14ac:dyDescent="0.3">
      <c r="A598" s="888" t="str">
        <f>IF(LEN('Translation-EN'!A598)&gt;0,'Translation-EN'!A598,"")</f>
        <v>Range</v>
      </c>
      <c r="B598" s="888" t="str">
        <f>IF(LEN('Translation-EN'!B598)&gt;0,'Translation-EN'!B598,"")</f>
        <v>Party Walls</v>
      </c>
      <c r="C598" s="888" t="str">
        <f>IF(LEN('Translation-EN'!C598)&gt;0,'Translation-EN'!C598,"")</f>
        <v>B80</v>
      </c>
      <c r="D598" s="888" t="str">
        <f>IF(LEN('Translation-EN'!D598)&gt;0,'Translation-EN'!D598,"")</f>
        <v/>
      </c>
      <c r="E598" s="937" t="str">
        <f>$E$459</f>
        <v>BARRIÈRE EN FEUILLE À PERMÉABILITÉ VARIABLE</v>
      </c>
      <c r="I598" s="888"/>
      <c r="J598" s="888"/>
      <c r="K598" s="888"/>
      <c r="L598" s="888"/>
      <c r="M598" s="888"/>
      <c r="N598" s="888"/>
      <c r="O598" s="888"/>
      <c r="P598" s="888"/>
      <c r="Q598" s="888"/>
      <c r="R598" s="888"/>
    </row>
    <row r="599" spans="1:18" s="893" customFormat="1" x14ac:dyDescent="0.3">
      <c r="A599" s="888" t="str">
        <f>IF(LEN('Translation-EN'!A599)&gt;0,'Translation-EN'!A599,"")</f>
        <v>Range</v>
      </c>
      <c r="B599" s="888" t="str">
        <f>IF(LEN('Translation-EN'!B599)&gt;0,'Translation-EN'!B599,"")</f>
        <v>Party Walls</v>
      </c>
      <c r="C599" s="888" t="str">
        <f>IF(LEN('Translation-EN'!C599)&gt;0,'Translation-EN'!C599,"")</f>
        <v>C81</v>
      </c>
      <c r="D599" s="888" t="str">
        <f>IF(LEN('Translation-EN'!D599)&gt;0,'Translation-EN'!D599,"")</f>
        <v/>
      </c>
      <c r="E599" s="937" t="str">
        <f>$E$460</f>
        <v>Barrière en feuille à perméabilité variable – MOYENNE</v>
      </c>
      <c r="I599" s="888"/>
      <c r="J599" s="888"/>
      <c r="K599" s="888"/>
      <c r="L599" s="888"/>
      <c r="M599" s="888"/>
      <c r="N599" s="888"/>
      <c r="O599" s="888"/>
      <c r="P599" s="888"/>
      <c r="Q599" s="888"/>
      <c r="R599" s="888"/>
    </row>
    <row r="600" spans="1:18" s="893" customFormat="1" x14ac:dyDescent="0.3">
      <c r="A600" s="888" t="str">
        <f>IF(LEN('Translation-EN'!A600)&gt;0,'Translation-EN'!A600,"")</f>
        <v>Range</v>
      </c>
      <c r="B600" s="888" t="str">
        <f>IF(LEN('Translation-EN'!B600)&gt;0,'Translation-EN'!B600,"")</f>
        <v>Party Walls</v>
      </c>
      <c r="C600" s="888" t="str">
        <f>IF(LEN('Translation-EN'!C600)&gt;0,'Translation-EN'!C600,"")</f>
        <v>B86</v>
      </c>
      <c r="D600" s="888" t="str">
        <f>IF(LEN('Translation-EN'!D600)&gt;0,'Translation-EN'!D600,"")</f>
        <v/>
      </c>
      <c r="E600" s="937" t="str">
        <f>$E$461</f>
        <v>BARRIÈRE EN FEUILLE NON PERMÉABLE</v>
      </c>
      <c r="I600" s="888"/>
      <c r="J600" s="888"/>
      <c r="K600" s="888"/>
      <c r="L600" s="888"/>
      <c r="M600" s="888"/>
      <c r="N600" s="888"/>
      <c r="O600" s="888"/>
      <c r="P600" s="888"/>
      <c r="Q600" s="888"/>
      <c r="R600" s="888"/>
    </row>
    <row r="601" spans="1:18" s="893" customFormat="1" x14ac:dyDescent="0.3">
      <c r="A601" s="888" t="str">
        <f>IF(LEN('Translation-EN'!A601)&gt;0,'Translation-EN'!A601,"")</f>
        <v>Range</v>
      </c>
      <c r="B601" s="888" t="str">
        <f>IF(LEN('Translation-EN'!B601)&gt;0,'Translation-EN'!B601,"")</f>
        <v>Party Walls</v>
      </c>
      <c r="C601" s="888" t="str">
        <f>IF(LEN('Translation-EN'!C601)&gt;0,'Translation-EN'!C601,"")</f>
        <v>C87</v>
      </c>
      <c r="D601" s="888" t="str">
        <f>IF(LEN('Translation-EN'!D601)&gt;0,'Translation-EN'!D601,"")</f>
        <v/>
      </c>
      <c r="E601" s="937" t="str">
        <f>$E$462</f>
        <v>Barrière en feuille non perméable – MOYENNE</v>
      </c>
      <c r="I601" s="888"/>
      <c r="J601" s="888"/>
      <c r="K601" s="888"/>
      <c r="L601" s="888"/>
      <c r="M601" s="888"/>
      <c r="N601" s="888"/>
      <c r="O601" s="888"/>
      <c r="P601" s="888"/>
      <c r="Q601" s="888"/>
      <c r="R601" s="888"/>
    </row>
    <row r="602" spans="1:18" s="893" customFormat="1" x14ac:dyDescent="0.3">
      <c r="A602" s="888" t="str">
        <f>IF(LEN('Translation-EN'!A602)&gt;0,'Translation-EN'!A602,"")</f>
        <v>Range</v>
      </c>
      <c r="B602" s="888" t="str">
        <f>IF(LEN('Translation-EN'!B602)&gt;0,'Translation-EN'!B602,"")</f>
        <v>Party Walls</v>
      </c>
      <c r="C602" s="888" t="str">
        <f>IF(LEN('Translation-EN'!C602)&gt;0,'Translation-EN'!C602,"")</f>
        <v>B95</v>
      </c>
      <c r="D602" s="888" t="str">
        <f>IF(LEN('Translation-EN'!D602)&gt;0,'Translation-EN'!D602,"")</f>
        <v/>
      </c>
      <c r="E602" s="937" t="str">
        <f>$E$234</f>
        <v>BARRIÈRE APPLIQUÉE LIQUIDE</v>
      </c>
      <c r="I602" s="888"/>
      <c r="J602" s="888"/>
      <c r="K602" s="888"/>
      <c r="L602" s="888"/>
      <c r="M602" s="888"/>
      <c r="N602" s="888"/>
      <c r="O602" s="888"/>
      <c r="P602" s="888"/>
      <c r="Q602" s="888"/>
      <c r="R602" s="888"/>
    </row>
    <row r="603" spans="1:18" s="893" customFormat="1" x14ac:dyDescent="0.3">
      <c r="A603" s="888" t="str">
        <f>IF(LEN('Translation-EN'!A603)&gt;0,'Translation-EN'!A603,"")</f>
        <v>Range</v>
      </c>
      <c r="B603" s="888" t="str">
        <f>IF(LEN('Translation-EN'!B603)&gt;0,'Translation-EN'!B603,"")</f>
        <v>Party Walls</v>
      </c>
      <c r="C603" s="888" t="str">
        <f>IF(LEN('Translation-EN'!C603)&gt;0,'Translation-EN'!C603,"")</f>
        <v>C96</v>
      </c>
      <c r="D603" s="888" t="str">
        <f>IF(LEN('Translation-EN'!D603)&gt;0,'Translation-EN'!D603,"")</f>
        <v/>
      </c>
      <c r="E603" s="937" t="str">
        <f>$E$357</f>
        <v>Barrière appliquée liquide – MOYENNE</v>
      </c>
      <c r="I603" s="888"/>
      <c r="J603" s="888"/>
      <c r="K603" s="888"/>
      <c r="L603" s="888"/>
      <c r="M603" s="888"/>
      <c r="N603" s="888"/>
      <c r="O603" s="888"/>
      <c r="P603" s="888"/>
      <c r="Q603" s="888"/>
      <c r="R603" s="888"/>
    </row>
    <row r="604" spans="1:18" s="893" customFormat="1" x14ac:dyDescent="0.3">
      <c r="A604" s="888" t="str">
        <f>IF(LEN('Translation-EN'!A604)&gt;0,'Translation-EN'!A604,"")</f>
        <v>Range</v>
      </c>
      <c r="B604" s="888" t="str">
        <f>IF(LEN('Translation-EN'!B604)&gt;0,'Translation-EN'!B604,"")</f>
        <v>Party Walls</v>
      </c>
      <c r="C604" s="888" t="str">
        <f>IF(LEN('Translation-EN'!C604)&gt;0,'Translation-EN'!C604,"")</f>
        <v>B104</v>
      </c>
      <c r="D604" s="888" t="str">
        <f>IF(LEN('Translation-EN'!D604)&gt;0,'Translation-EN'!D604,"")</f>
        <v/>
      </c>
      <c r="E604" s="937" t="str">
        <f>$E$358</f>
        <v>BARRIÈRE AUTO-ADHÉSIVE</v>
      </c>
      <c r="I604" s="888"/>
      <c r="J604" s="888"/>
      <c r="K604" s="888"/>
      <c r="L604" s="888"/>
      <c r="M604" s="888"/>
      <c r="N604" s="888"/>
      <c r="O604" s="888"/>
      <c r="P604" s="888"/>
      <c r="Q604" s="888"/>
      <c r="R604" s="888"/>
    </row>
    <row r="605" spans="1:18" s="893" customFormat="1" x14ac:dyDescent="0.3">
      <c r="A605" s="888" t="str">
        <f>IF(LEN('Translation-EN'!A605)&gt;0,'Translation-EN'!A605,"")</f>
        <v>Range</v>
      </c>
      <c r="B605" s="888" t="str">
        <f>IF(LEN('Translation-EN'!B605)&gt;0,'Translation-EN'!B605,"")</f>
        <v>Party Walls</v>
      </c>
      <c r="C605" s="888" t="str">
        <f>IF(LEN('Translation-EN'!C605)&gt;0,'Translation-EN'!C605,"")</f>
        <v>C105</v>
      </c>
      <c r="D605" s="888" t="str">
        <f>IF(LEN('Translation-EN'!D605)&gt;0,'Translation-EN'!D605,"")</f>
        <v/>
      </c>
      <c r="E605" s="937" t="str">
        <f>$E$359</f>
        <v>Barrière auto-adhésive – MOYENNE</v>
      </c>
      <c r="I605" s="888"/>
      <c r="J605" s="888"/>
      <c r="K605" s="888"/>
      <c r="L605" s="888"/>
      <c r="M605" s="888"/>
      <c r="N605" s="888"/>
      <c r="O605" s="888"/>
      <c r="P605" s="888"/>
      <c r="Q605" s="888"/>
      <c r="R605" s="888"/>
    </row>
    <row r="606" spans="1:18" s="893" customFormat="1" x14ac:dyDescent="0.3">
      <c r="A606" s="888" t="str">
        <f>IF(LEN('Translation-EN'!A606)&gt;0,'Translation-EN'!A606,"")</f>
        <v>Range</v>
      </c>
      <c r="B606" s="888" t="str">
        <f>IF(LEN('Translation-EN'!B606)&gt;0,'Translation-EN'!B606,"")</f>
        <v>_Party Walls</v>
      </c>
      <c r="C606" s="888" t="str">
        <f>IF(LEN('Translation-EN'!C606)&gt;0,'Translation-EN'!C606,"")</f>
        <v>D92</v>
      </c>
      <c r="D606" s="888" t="str">
        <f>IF(LEN('Translation-EN'!D606)&gt;0,'Translation-EN'!D606,"")</f>
        <v/>
      </c>
      <c r="E606" s="1038" t="s">
        <v>7500</v>
      </c>
      <c r="I606" s="888"/>
      <c r="J606" s="888"/>
      <c r="K606" s="888"/>
      <c r="L606" s="888"/>
      <c r="M606" s="888"/>
      <c r="N606" s="888"/>
      <c r="O606" s="888"/>
      <c r="P606" s="888"/>
      <c r="Q606" s="888"/>
      <c r="R606" s="888"/>
    </row>
    <row r="607" spans="1:18" s="893" customFormat="1" x14ac:dyDescent="0.3">
      <c r="A607" s="888" t="str">
        <f>IF(LEN('Translation-EN'!A607)&gt;0,'Translation-EN'!A607,"")</f>
        <v>Range</v>
      </c>
      <c r="B607" s="888" t="str">
        <f>IF(LEN('Translation-EN'!B607)&gt;0,'Translation-EN'!B607,"")</f>
        <v>_Party Walls</v>
      </c>
      <c r="C607" s="888" t="str">
        <f>IF(LEN('Translation-EN'!C607)&gt;0,'Translation-EN'!C607,"")</f>
        <v>R93</v>
      </c>
      <c r="D607" s="888" t="str">
        <f>IF(LEN('Translation-EN'!D607)&gt;0,'Translation-EN'!D607,"")</f>
        <v/>
      </c>
      <c r="E607" s="893" t="s">
        <v>3002</v>
      </c>
      <c r="I607" s="888"/>
      <c r="J607" s="888"/>
      <c r="K607" s="888"/>
      <c r="L607" s="888"/>
      <c r="M607" s="888"/>
      <c r="N607" s="888"/>
      <c r="O607" s="888"/>
      <c r="P607" s="888"/>
      <c r="Q607" s="888"/>
      <c r="R607" s="888"/>
    </row>
    <row r="608" spans="1:18" s="893" customFormat="1" x14ac:dyDescent="0.3">
      <c r="A608" s="888" t="str">
        <f>IF(LEN('Translation-EN'!A608)&gt;0,'Translation-EN'!A608,"")</f>
        <v>Range</v>
      </c>
      <c r="B608" s="888" t="str">
        <f>IF(LEN('Translation-EN'!B608)&gt;0,'Translation-EN'!B608,"")</f>
        <v>Party Walls</v>
      </c>
      <c r="C608" s="888" t="str">
        <f>IF(LEN('Translation-EN'!C608)&gt;0,'Translation-EN'!C608,"")</f>
        <v>A113</v>
      </c>
      <c r="D608" s="888" t="str">
        <f>IF(LEN('Translation-EN'!D608)&gt;0,'Translation-EN'!D608,"")</f>
        <v/>
      </c>
      <c r="E608" s="893" t="str">
        <f>$E$337</f>
        <v>ISOLATION DE LA CAVITÉ</v>
      </c>
      <c r="I608" s="888"/>
      <c r="J608" s="888"/>
      <c r="K608" s="888"/>
      <c r="L608" s="888"/>
      <c r="M608" s="888"/>
      <c r="N608" s="888"/>
      <c r="O608" s="888"/>
      <c r="P608" s="888"/>
      <c r="Q608" s="888"/>
      <c r="R608" s="888"/>
    </row>
    <row r="609" spans="1:18" s="893" customFormat="1" x14ac:dyDescent="0.3">
      <c r="A609" s="888" t="str">
        <f>IF(LEN('Translation-EN'!A609)&gt;0,'Translation-EN'!A609,"")</f>
        <v>Range</v>
      </c>
      <c r="B609" s="888" t="str">
        <f>IF(LEN('Translation-EN'!B609)&gt;0,'Translation-EN'!B609,"")</f>
        <v>Party Walls</v>
      </c>
      <c r="C609" s="888" t="str">
        <f>IF(LEN('Translation-EN'!C609)&gt;0,'Translation-EN'!C609,"")</f>
        <v>B114</v>
      </c>
      <c r="D609" s="888" t="str">
        <f>IF(LEN('Translation-EN'!D609)&gt;0,'Translation-EN'!D609,"")</f>
        <v/>
      </c>
      <c r="E609" s="893" t="str">
        <f>$E$339</f>
        <v>NATTE DE FIBRE DE VERRE</v>
      </c>
      <c r="I609" s="888"/>
      <c r="J609" s="888"/>
      <c r="K609" s="888"/>
      <c r="L609" s="888"/>
      <c r="M609" s="888"/>
      <c r="N609" s="888"/>
      <c r="O609" s="888"/>
      <c r="P609" s="888"/>
      <c r="Q609" s="888"/>
      <c r="R609" s="888"/>
    </row>
    <row r="610" spans="1:18" s="893" customFormat="1" x14ac:dyDescent="0.3">
      <c r="A610" s="888" t="str">
        <f>IF(LEN('Translation-EN'!A610)&gt;0,'Translation-EN'!A610,"")</f>
        <v>Range</v>
      </c>
      <c r="B610" s="888" t="str">
        <f>IF(LEN('Translation-EN'!B610)&gt;0,'Translation-EN'!B610,"")</f>
        <v>Party Walls</v>
      </c>
      <c r="C610" s="888" t="str">
        <f>IF(LEN('Translation-EN'!C610)&gt;0,'Translation-EN'!C610,"")</f>
        <v>C115</v>
      </c>
      <c r="D610" s="888" t="str">
        <f>IF(LEN('Translation-EN'!D610)&gt;0,'Translation-EN'!D610,"")</f>
        <v/>
      </c>
      <c r="E610" s="893" t="str">
        <f>$E$469</f>
        <v>Natte en fibre de verre – MOYENNE</v>
      </c>
      <c r="I610" s="888"/>
      <c r="J610" s="888"/>
      <c r="K610" s="888"/>
      <c r="L610" s="888"/>
      <c r="M610" s="888"/>
      <c r="N610" s="888"/>
      <c r="O610" s="888"/>
      <c r="P610" s="888"/>
      <c r="Q610" s="888"/>
      <c r="R610" s="888"/>
    </row>
    <row r="611" spans="1:18" s="893" customFormat="1" x14ac:dyDescent="0.3">
      <c r="A611" s="888" t="str">
        <f>IF(LEN('Translation-EN'!A611)&gt;0,'Translation-EN'!A611,"")</f>
        <v>Range</v>
      </c>
      <c r="B611" s="888" t="str">
        <f>IF(LEN('Translation-EN'!B611)&gt;0,'Translation-EN'!B611,"")</f>
        <v>Party Walls</v>
      </c>
      <c r="C611" s="888" t="str">
        <f>IF(LEN('Translation-EN'!C611)&gt;0,'Translation-EN'!C611,"")</f>
        <v>B119</v>
      </c>
      <c r="D611" s="888" t="str">
        <f>IF(LEN('Translation-EN'!D611)&gt;0,'Translation-EN'!D611,"")</f>
        <v/>
      </c>
      <c r="E611" s="893" t="str">
        <f>$E$470</f>
        <v>FIBRE DE VERRE SOUFFLÉE</v>
      </c>
      <c r="I611" s="888"/>
      <c r="J611" s="888"/>
      <c r="K611" s="888"/>
      <c r="L611" s="888"/>
      <c r="M611" s="888"/>
      <c r="N611" s="888"/>
      <c r="O611" s="888"/>
      <c r="P611" s="888"/>
      <c r="Q611" s="888"/>
      <c r="R611" s="888"/>
    </row>
    <row r="612" spans="1:18" s="893" customFormat="1" x14ac:dyDescent="0.3">
      <c r="A612" s="888" t="str">
        <f>IF(LEN('Translation-EN'!A612)&gt;0,'Translation-EN'!A612,"")</f>
        <v>Range</v>
      </c>
      <c r="B612" s="888" t="str">
        <f>IF(LEN('Translation-EN'!B612)&gt;0,'Translation-EN'!B612,"")</f>
        <v>_Party Walls</v>
      </c>
      <c r="C612" s="888" t="str">
        <f>IF(LEN('Translation-EN'!C612)&gt;0,'Translation-EN'!C612,"")</f>
        <v>D98</v>
      </c>
      <c r="D612" s="888" t="str">
        <f>IF(LEN('Translation-EN'!D612)&gt;0,'Translation-EN'!D612,"")</f>
        <v/>
      </c>
      <c r="E612" s="936" t="str">
        <f>$E$606</f>
        <v>VALEUR R :</v>
      </c>
      <c r="I612" s="888"/>
      <c r="J612" s="888"/>
      <c r="K612" s="888"/>
      <c r="L612" s="888"/>
      <c r="M612" s="888"/>
      <c r="N612" s="888"/>
      <c r="O612" s="888"/>
      <c r="P612" s="888"/>
      <c r="Q612" s="888"/>
      <c r="R612" s="888"/>
    </row>
    <row r="613" spans="1:18" s="893" customFormat="1" x14ac:dyDescent="0.3">
      <c r="A613" s="888" t="str">
        <f>IF(LEN('Translation-EN'!A613)&gt;0,'Translation-EN'!A613,"")</f>
        <v>Range</v>
      </c>
      <c r="B613" s="888" t="str">
        <f>IF(LEN('Translation-EN'!B613)&gt;0,'Translation-EN'!B613,"")</f>
        <v>Party Walls</v>
      </c>
      <c r="C613" s="888" t="str">
        <f>IF(LEN('Translation-EN'!C613)&gt;0,'Translation-EN'!C613,"")</f>
        <v>C120</v>
      </c>
      <c r="D613" s="888" t="str">
        <f>IF(LEN('Translation-EN'!D613)&gt;0,'Translation-EN'!D613,"")</f>
        <v/>
      </c>
      <c r="E613" s="893" t="str">
        <f>$E$471</f>
        <v>Fibre de verre en vrac – MOYENNE</v>
      </c>
      <c r="I613" s="888"/>
      <c r="J613" s="888"/>
      <c r="K613" s="888"/>
      <c r="L613" s="888"/>
      <c r="M613" s="888"/>
      <c r="N613" s="888"/>
      <c r="O613" s="888"/>
      <c r="P613" s="888"/>
      <c r="Q613" s="888"/>
      <c r="R613" s="888"/>
    </row>
    <row r="614" spans="1:18" s="893" customFormat="1" x14ac:dyDescent="0.3">
      <c r="A614" s="888" t="str">
        <f>IF(LEN('Translation-EN'!A614)&gt;0,'Translation-EN'!A614,"")</f>
        <v>Range</v>
      </c>
      <c r="B614" s="888" t="str">
        <f>IF(LEN('Translation-EN'!B614)&gt;0,'Translation-EN'!B614,"")</f>
        <v>Party Walls</v>
      </c>
      <c r="C614" s="888" t="str">
        <f>IF(LEN('Translation-EN'!C614)&gt;0,'Translation-EN'!C614,"")</f>
        <v>B125</v>
      </c>
      <c r="D614" s="888" t="str">
        <f>IF(LEN('Translation-EN'!D614)&gt;0,'Translation-EN'!D614,"")</f>
        <v/>
      </c>
      <c r="E614" s="893" t="str">
        <f>$E$343</f>
        <v>NATTE DE LAINE MINÉRALE</v>
      </c>
      <c r="I614" s="888"/>
      <c r="J614" s="888"/>
      <c r="K614" s="888"/>
      <c r="L614" s="888"/>
      <c r="M614" s="888"/>
      <c r="N614" s="888"/>
      <c r="O614" s="888"/>
      <c r="P614" s="888"/>
      <c r="Q614" s="888"/>
      <c r="R614" s="888"/>
    </row>
    <row r="615" spans="1:18" s="893" customFormat="1" x14ac:dyDescent="0.3">
      <c r="A615" s="888" t="str">
        <f>IF(LEN('Translation-EN'!A615)&gt;0,'Translation-EN'!A615,"")</f>
        <v>Range</v>
      </c>
      <c r="B615" s="888" t="str">
        <f>IF(LEN('Translation-EN'!B615)&gt;0,'Translation-EN'!B615,"")</f>
        <v>_Party Walls</v>
      </c>
      <c r="C615" s="888" t="str">
        <f>IF(LEN('Translation-EN'!C615)&gt;0,'Translation-EN'!C615,"")</f>
        <v>D104</v>
      </c>
      <c r="D615" s="888" t="str">
        <f>IF(LEN('Translation-EN'!D615)&gt;0,'Translation-EN'!D615,"")</f>
        <v/>
      </c>
      <c r="E615" s="936" t="str">
        <f>$E$606</f>
        <v>VALEUR R :</v>
      </c>
      <c r="I615" s="888"/>
      <c r="J615" s="888"/>
      <c r="K615" s="888"/>
      <c r="L615" s="888"/>
      <c r="M615" s="888"/>
      <c r="N615" s="888"/>
      <c r="O615" s="888"/>
      <c r="P615" s="888"/>
      <c r="Q615" s="888"/>
      <c r="R615" s="888"/>
    </row>
    <row r="616" spans="1:18" s="893" customFormat="1" x14ac:dyDescent="0.3">
      <c r="A616" s="888" t="str">
        <f>IF(LEN('Translation-EN'!A616)&gt;0,'Translation-EN'!A616,"")</f>
        <v>Range</v>
      </c>
      <c r="B616" s="888" t="str">
        <f>IF(LEN('Translation-EN'!B616)&gt;0,'Translation-EN'!B616,"")</f>
        <v>Party Walls</v>
      </c>
      <c r="C616" s="888" t="str">
        <f>IF(LEN('Translation-EN'!C616)&gt;0,'Translation-EN'!C616,"")</f>
        <v>B128</v>
      </c>
      <c r="D616" s="888" t="str">
        <f>IF(LEN('Translation-EN'!D616)&gt;0,'Translation-EN'!D616,"")</f>
        <v/>
      </c>
      <c r="E616" s="937" t="str">
        <f>$E$473</f>
        <v>LAINE MINÉRALE EN VRAC</v>
      </c>
      <c r="I616" s="888"/>
      <c r="J616" s="888"/>
      <c r="K616" s="888"/>
      <c r="L616" s="888"/>
      <c r="M616" s="888"/>
      <c r="N616" s="888"/>
      <c r="O616" s="888"/>
      <c r="P616" s="888"/>
      <c r="Q616" s="888"/>
      <c r="R616" s="888"/>
    </row>
    <row r="617" spans="1:18" s="893" customFormat="1" x14ac:dyDescent="0.3">
      <c r="A617" s="888" t="str">
        <f>IF(LEN('Translation-EN'!A617)&gt;0,'Translation-EN'!A617,"")</f>
        <v>Range</v>
      </c>
      <c r="B617" s="888" t="str">
        <f>IF(LEN('Translation-EN'!B617)&gt;0,'Translation-EN'!B617,"")</f>
        <v>Party Walls</v>
      </c>
      <c r="C617" s="888" t="str">
        <f>IF(LEN('Translation-EN'!C617)&gt;0,'Translation-EN'!C617,"")</f>
        <v>B130</v>
      </c>
      <c r="D617" s="888" t="str">
        <f>IF(LEN('Translation-EN'!D617)&gt;0,'Translation-EN'!D617,"")</f>
        <v/>
      </c>
      <c r="E617" s="893" t="str">
        <f>$E$341</f>
        <v>ISOLATION EN CELLULOSE</v>
      </c>
      <c r="I617" s="888"/>
      <c r="J617" s="888"/>
      <c r="K617" s="888"/>
      <c r="L617" s="888"/>
      <c r="M617" s="888"/>
      <c r="N617" s="888"/>
      <c r="O617" s="888"/>
      <c r="P617" s="888"/>
      <c r="Q617" s="888"/>
      <c r="R617" s="888"/>
    </row>
    <row r="618" spans="1:18" s="893" customFormat="1" x14ac:dyDescent="0.3">
      <c r="A618" s="888" t="str">
        <f>IF(LEN('Translation-EN'!A618)&gt;0,'Translation-EN'!A618,"")</f>
        <v>Range</v>
      </c>
      <c r="B618" s="888" t="str">
        <f>IF(LEN('Translation-EN'!B618)&gt;0,'Translation-EN'!B618,"")</f>
        <v>_Party Walls</v>
      </c>
      <c r="C618" s="888" t="str">
        <f>IF(LEN('Translation-EN'!C618)&gt;0,'Translation-EN'!C618,"")</f>
        <v>D109</v>
      </c>
      <c r="D618" s="888" t="str">
        <f>IF(LEN('Translation-EN'!D618)&gt;0,'Translation-EN'!D618,"")</f>
        <v/>
      </c>
      <c r="E618" s="936" t="str">
        <f>$E$606</f>
        <v>VALEUR R :</v>
      </c>
      <c r="I618" s="888"/>
      <c r="J618" s="888"/>
      <c r="K618" s="888"/>
      <c r="L618" s="888"/>
      <c r="M618" s="888"/>
      <c r="N618" s="888"/>
      <c r="O618" s="888"/>
      <c r="P618" s="888"/>
      <c r="Q618" s="888"/>
      <c r="R618" s="888"/>
    </row>
    <row r="619" spans="1:18" s="893" customFormat="1" x14ac:dyDescent="0.3">
      <c r="A619" s="888" t="str">
        <f>IF(LEN('Translation-EN'!A619)&gt;0,'Translation-EN'!A619,"")</f>
        <v>Range</v>
      </c>
      <c r="B619" s="888" t="str">
        <f>IF(LEN('Translation-EN'!B619)&gt;0,'Translation-EN'!B619,"")</f>
        <v>Party Walls</v>
      </c>
      <c r="C619" s="888" t="str">
        <f>IF(LEN('Translation-EN'!C619)&gt;0,'Translation-EN'!C619,"")</f>
        <v>C131</v>
      </c>
      <c r="D619" s="888" t="str">
        <f>IF(LEN('Translation-EN'!D619)&gt;0,'Translation-EN'!D619,"")</f>
        <v/>
      </c>
      <c r="E619" s="893" t="str">
        <f>$E$475</f>
        <v>Cellulose – MOYENNE</v>
      </c>
      <c r="I619" s="888"/>
      <c r="J619" s="888"/>
      <c r="K619" s="888"/>
      <c r="L619" s="888"/>
      <c r="M619" s="888"/>
      <c r="N619" s="888"/>
      <c r="O619" s="888"/>
      <c r="P619" s="888"/>
      <c r="Q619" s="888"/>
      <c r="R619" s="888"/>
    </row>
    <row r="620" spans="1:18" s="893" customFormat="1" x14ac:dyDescent="0.3">
      <c r="A620" s="888" t="str">
        <f>IF(LEN('Translation-EN'!A620)&gt;0,'Translation-EN'!A620,"")</f>
        <v>Range</v>
      </c>
      <c r="B620" s="888" t="str">
        <f>IF(LEN('Translation-EN'!B620)&gt;0,'Translation-EN'!B620,"")</f>
        <v>Party Walls</v>
      </c>
      <c r="C620" s="888" t="str">
        <f>IF(LEN('Translation-EN'!C620)&gt;0,'Translation-EN'!C620,"")</f>
        <v>B135</v>
      </c>
      <c r="D620" s="888" t="str">
        <f>IF(LEN('Translation-EN'!D620)&gt;0,'Translation-EN'!D620,"")</f>
        <v/>
      </c>
      <c r="E620" s="893" t="str">
        <f>$E$345</f>
        <v>NATTE DE FIBRES DE BOIS</v>
      </c>
      <c r="I620" s="888"/>
      <c r="J620" s="888"/>
      <c r="K620" s="888"/>
      <c r="L620" s="888"/>
      <c r="M620" s="888"/>
      <c r="N620" s="888"/>
      <c r="O620" s="888"/>
      <c r="P620" s="888"/>
      <c r="Q620" s="888"/>
      <c r="R620" s="888"/>
    </row>
    <row r="621" spans="1:18" s="893" customFormat="1" x14ac:dyDescent="0.3">
      <c r="A621" s="888" t="str">
        <f>IF(LEN('Translation-EN'!A621)&gt;0,'Translation-EN'!A621,"")</f>
        <v>Range</v>
      </c>
      <c r="B621" s="888" t="str">
        <f>IF(LEN('Translation-EN'!B621)&gt;0,'Translation-EN'!B621,"")</f>
        <v>_Party Walls</v>
      </c>
      <c r="C621" s="888" t="str">
        <f>IF(LEN('Translation-EN'!C621)&gt;0,'Translation-EN'!C621,"")</f>
        <v>D114</v>
      </c>
      <c r="D621" s="888" t="str">
        <f>IF(LEN('Translation-EN'!D621)&gt;0,'Translation-EN'!D621,"")</f>
        <v/>
      </c>
      <c r="E621" s="936" t="str">
        <f>$E$606</f>
        <v>VALEUR R :</v>
      </c>
      <c r="I621" s="888"/>
      <c r="J621" s="888"/>
      <c r="K621" s="888"/>
      <c r="L621" s="888"/>
      <c r="M621" s="888"/>
      <c r="N621" s="888"/>
      <c r="O621" s="888"/>
      <c r="P621" s="888"/>
      <c r="Q621" s="888"/>
      <c r="R621" s="888"/>
    </row>
    <row r="622" spans="1:18" s="893" customFormat="1" x14ac:dyDescent="0.3">
      <c r="A622" s="888" t="str">
        <f>IF(LEN('Translation-EN'!A622)&gt;0,'Translation-EN'!A622,"")</f>
        <v>Range</v>
      </c>
      <c r="B622" s="888" t="str">
        <f>IF(LEN('Translation-EN'!B622)&gt;0,'Translation-EN'!B622,"")</f>
        <v>Party Walls</v>
      </c>
      <c r="C622" s="888" t="str">
        <f>IF(LEN('Translation-EN'!C622)&gt;0,'Translation-EN'!C622,"")</f>
        <v>C136</v>
      </c>
      <c r="D622" s="888" t="str">
        <f>IF(LEN('Translation-EN'!D622)&gt;0,'Translation-EN'!D622,"")</f>
        <v/>
      </c>
      <c r="E622" s="893" t="str">
        <f>$E$477</f>
        <v>Natte de fibres de bois – MOYENNE</v>
      </c>
      <c r="I622" s="888"/>
      <c r="J622" s="888"/>
      <c r="K622" s="888"/>
      <c r="L622" s="888"/>
      <c r="M622" s="888"/>
      <c r="N622" s="888"/>
      <c r="O622" s="888"/>
      <c r="P622" s="888"/>
      <c r="Q622" s="888"/>
      <c r="R622" s="888"/>
    </row>
    <row r="623" spans="1:18" s="893" customFormat="1" x14ac:dyDescent="0.3">
      <c r="A623" s="888" t="str">
        <f>IF(LEN('Translation-EN'!A623)&gt;0,'Translation-EN'!A623,"")</f>
        <v>Range</v>
      </c>
      <c r="B623" s="888" t="str">
        <f>IF(LEN('Translation-EN'!B623)&gt;0,'Translation-EN'!B623,"")</f>
        <v>Party Walls</v>
      </c>
      <c r="C623" s="888" t="str">
        <f>IF(LEN('Translation-EN'!C623)&gt;0,'Translation-EN'!C623,"")</f>
        <v>B139</v>
      </c>
      <c r="D623" s="888" t="str">
        <f>IF(LEN('Translation-EN'!D623)&gt;0,'Translation-EN'!D623,"")</f>
        <v/>
      </c>
      <c r="E623" s="893" t="str">
        <f>$E$478</f>
        <v>AUTRES ISOLANTS EN FIBRES NATURELLES</v>
      </c>
      <c r="I623" s="888"/>
      <c r="J623" s="888"/>
      <c r="K623" s="888"/>
      <c r="L623" s="888"/>
      <c r="M623" s="888"/>
      <c r="N623" s="888"/>
      <c r="O623" s="888"/>
      <c r="P623" s="888"/>
      <c r="Q623" s="888"/>
      <c r="R623" s="888"/>
    </row>
    <row r="624" spans="1:18" s="893" customFormat="1" x14ac:dyDescent="0.3">
      <c r="A624" s="888" t="str">
        <f>IF(LEN('Translation-EN'!A624)&gt;0,'Translation-EN'!A624,"")</f>
        <v>Range</v>
      </c>
      <c r="B624" s="888" t="str">
        <f>IF(LEN('Translation-EN'!B624)&gt;0,'Translation-EN'!B624,"")</f>
        <v>_Party Walls</v>
      </c>
      <c r="C624" s="888" t="str">
        <f>IF(LEN('Translation-EN'!C624)&gt;0,'Translation-EN'!C624,"")</f>
        <v>D118</v>
      </c>
      <c r="D624" s="888" t="str">
        <f>IF(LEN('Translation-EN'!D624)&gt;0,'Translation-EN'!D624,"")</f>
        <v/>
      </c>
      <c r="E624" s="936" t="str">
        <f>$E$606</f>
        <v>VALEUR R :</v>
      </c>
      <c r="I624" s="888"/>
      <c r="J624" s="888"/>
      <c r="K624" s="888"/>
      <c r="L624" s="888"/>
      <c r="M624" s="888"/>
      <c r="N624" s="888"/>
      <c r="O624" s="888"/>
      <c r="P624" s="888"/>
      <c r="Q624" s="888"/>
      <c r="R624" s="888"/>
    </row>
    <row r="625" spans="1:18" s="893" customFormat="1" x14ac:dyDescent="0.3">
      <c r="A625" s="888" t="str">
        <f>IF(LEN('Translation-EN'!A625)&gt;0,'Translation-EN'!A625,"")</f>
        <v>Range</v>
      </c>
      <c r="B625" s="888" t="str">
        <f>IF(LEN('Translation-EN'!B625)&gt;0,'Translation-EN'!B625,"")</f>
        <v>Party Walls</v>
      </c>
      <c r="C625" s="888" t="str">
        <f>IF(LEN('Translation-EN'!C625)&gt;0,'Translation-EN'!C625,"")</f>
        <v>B144</v>
      </c>
      <c r="D625" s="888" t="str">
        <f>IF(LEN('Translation-EN'!D625)&gt;0,'Translation-EN'!D625,"")</f>
        <v/>
      </c>
      <c r="E625" s="893" t="str">
        <f>$E$479</f>
        <v>MOUSSE À PULVÉRISER – CELLULE FERMÉE</v>
      </c>
      <c r="I625" s="888"/>
      <c r="J625" s="888"/>
      <c r="K625" s="888"/>
      <c r="L625" s="888"/>
      <c r="M625" s="888"/>
      <c r="N625" s="888"/>
      <c r="O625" s="888"/>
      <c r="P625" s="888"/>
      <c r="Q625" s="888"/>
      <c r="R625" s="888"/>
    </row>
    <row r="626" spans="1:18" s="893" customFormat="1" x14ac:dyDescent="0.3">
      <c r="A626" s="888" t="str">
        <f>IF(LEN('Translation-EN'!A626)&gt;0,'Translation-EN'!A626,"")</f>
        <v>Range</v>
      </c>
      <c r="B626" s="888" t="str">
        <f>IF(LEN('Translation-EN'!B626)&gt;0,'Translation-EN'!B626,"")</f>
        <v>_Party Walls</v>
      </c>
      <c r="C626" s="888" t="str">
        <f>IF(LEN('Translation-EN'!C626)&gt;0,'Translation-EN'!C626,"")</f>
        <v>D123</v>
      </c>
      <c r="D626" s="888" t="str">
        <f>IF(LEN('Translation-EN'!D626)&gt;0,'Translation-EN'!D626,"")</f>
        <v/>
      </c>
      <c r="E626" s="936" t="str">
        <f>$E$606</f>
        <v>VALEUR R :</v>
      </c>
      <c r="I626" s="888"/>
      <c r="J626" s="888"/>
      <c r="K626" s="888"/>
      <c r="L626" s="888"/>
      <c r="M626" s="888"/>
      <c r="N626" s="888"/>
      <c r="O626" s="888"/>
      <c r="P626" s="888"/>
      <c r="Q626" s="888"/>
      <c r="R626" s="888"/>
    </row>
    <row r="627" spans="1:18" s="893" customFormat="1" x14ac:dyDescent="0.3">
      <c r="A627" s="888" t="str">
        <f>IF(LEN('Translation-EN'!A627)&gt;0,'Translation-EN'!A627,"")</f>
        <v>Range</v>
      </c>
      <c r="B627" s="888" t="str">
        <f>IF(LEN('Translation-EN'!B627)&gt;0,'Translation-EN'!B627,"")</f>
        <v>Party Walls</v>
      </c>
      <c r="C627" s="888" t="str">
        <f>IF(LEN('Translation-EN'!C627)&gt;0,'Translation-EN'!C627,"")</f>
        <v>B147</v>
      </c>
      <c r="D627" s="888" t="str">
        <f>IF(LEN('Translation-EN'!D627)&gt;0,'Translation-EN'!D627,"")</f>
        <v/>
      </c>
      <c r="E627" s="893" t="str">
        <f>$E$480</f>
        <v>MOUSSE À PULVÉRISER – CELLULE OUVERTE</v>
      </c>
      <c r="I627" s="888"/>
      <c r="J627" s="888"/>
      <c r="K627" s="888"/>
      <c r="L627" s="888"/>
      <c r="M627" s="888"/>
      <c r="N627" s="888"/>
      <c r="O627" s="888"/>
      <c r="P627" s="888"/>
      <c r="Q627" s="888"/>
      <c r="R627" s="888"/>
    </row>
    <row r="628" spans="1:18" s="893" customFormat="1" x14ac:dyDescent="0.3">
      <c r="A628" s="888" t="str">
        <f>IF(LEN('Translation-EN'!A628)&gt;0,'Translation-EN'!A628,"")</f>
        <v>Range</v>
      </c>
      <c r="B628" s="888" t="str">
        <f>IF(LEN('Translation-EN'!B628)&gt;0,'Translation-EN'!B628,"")</f>
        <v>_Party Walls</v>
      </c>
      <c r="C628" s="888" t="str">
        <f>IF(LEN('Translation-EN'!C628)&gt;0,'Translation-EN'!C628,"")</f>
        <v>D126</v>
      </c>
      <c r="D628" s="888" t="str">
        <f>IF(LEN('Translation-EN'!D628)&gt;0,'Translation-EN'!D628,"")</f>
        <v/>
      </c>
      <c r="E628" s="936" t="str">
        <f>$E$606</f>
        <v>VALEUR R :</v>
      </c>
      <c r="I628" s="888"/>
      <c r="J628" s="888"/>
      <c r="K628" s="888"/>
      <c r="L628" s="888"/>
      <c r="M628" s="888"/>
      <c r="N628" s="888"/>
      <c r="O628" s="888"/>
      <c r="P628" s="888"/>
      <c r="Q628" s="888"/>
      <c r="R628" s="888"/>
    </row>
    <row r="629" spans="1:18" s="893" customFormat="1" x14ac:dyDescent="0.3">
      <c r="A629" s="888" t="str">
        <f>IF(LEN('Translation-EN'!A629)&gt;0,'Translation-EN'!A629,"")</f>
        <v>Range</v>
      </c>
      <c r="B629" s="888" t="str">
        <f>IF(LEN('Translation-EN'!B629)&gt;0,'Translation-EN'!B629,"")</f>
        <v>Party Walls</v>
      </c>
      <c r="C629" s="888" t="str">
        <f>IF(LEN('Translation-EN'!C629)&gt;0,'Translation-EN'!C629,"")</f>
        <v>B149</v>
      </c>
      <c r="D629" s="888" t="str">
        <f>IF(LEN('Translation-EN'!D629)&gt;0,'Translation-EN'!D629,"")</f>
        <v/>
      </c>
      <c r="E629" s="893" t="str">
        <f>$E$481</f>
        <v>BRIQUES DE CHANVRE</v>
      </c>
      <c r="I629" s="888"/>
      <c r="J629" s="888"/>
      <c r="K629" s="888"/>
      <c r="L629" s="888"/>
      <c r="M629" s="888"/>
      <c r="N629" s="888"/>
      <c r="O629" s="888"/>
      <c r="P629" s="888"/>
      <c r="Q629" s="888"/>
      <c r="R629" s="888"/>
    </row>
    <row r="630" spans="1:18" s="893" customFormat="1" x14ac:dyDescent="0.3">
      <c r="A630" s="888" t="str">
        <f>IF(LEN('Translation-EN'!A630)&gt;0,'Translation-EN'!A630,"")</f>
        <v>Range</v>
      </c>
      <c r="B630" s="888" t="str">
        <f>IF(LEN('Translation-EN'!B630)&gt;0,'Translation-EN'!B630,"")</f>
        <v>_Party Walls</v>
      </c>
      <c r="C630" s="888" t="str">
        <f>IF(LEN('Translation-EN'!C630)&gt;0,'Translation-EN'!C630,"")</f>
        <v>D128</v>
      </c>
      <c r="D630" s="888" t="str">
        <f>IF(LEN('Translation-EN'!D630)&gt;0,'Translation-EN'!D630,"")</f>
        <v/>
      </c>
      <c r="E630" s="936" t="str">
        <f>$E$606</f>
        <v>VALEUR R :</v>
      </c>
      <c r="I630" s="888"/>
      <c r="J630" s="888"/>
      <c r="K630" s="888"/>
      <c r="L630" s="888"/>
      <c r="M630" s="888"/>
      <c r="N630" s="888"/>
      <c r="O630" s="888"/>
      <c r="P630" s="888"/>
      <c r="Q630" s="888"/>
      <c r="R630" s="888"/>
    </row>
    <row r="631" spans="1:18" s="893" customFormat="1" x14ac:dyDescent="0.3">
      <c r="A631" s="888" t="str">
        <f>IF(LEN('Translation-EN'!A631)&gt;0,'Translation-EN'!A631,"")</f>
        <v>Range</v>
      </c>
      <c r="B631" s="888" t="str">
        <f>IF(LEN('Translation-EN'!B631)&gt;0,'Translation-EN'!B631,"")</f>
        <v>Party Walls</v>
      </c>
      <c r="C631" s="888" t="str">
        <f>IF(LEN('Translation-EN'!C631)&gt;0,'Translation-EN'!C631,"")</f>
        <v>C150</v>
      </c>
      <c r="D631" s="888" t="str">
        <f>IF(LEN('Translation-EN'!D631)&gt;0,'Translation-EN'!D631,"")</f>
        <v/>
      </c>
      <c r="E631" s="893" t="str">
        <f>$E$482</f>
        <v>Briques de chanvre – MOYENNE</v>
      </c>
      <c r="I631" s="888"/>
      <c r="J631" s="888"/>
      <c r="K631" s="888"/>
      <c r="L631" s="888"/>
      <c r="M631" s="888"/>
      <c r="N631" s="888"/>
      <c r="O631" s="888"/>
      <c r="P631" s="888"/>
      <c r="Q631" s="888"/>
      <c r="R631" s="888"/>
    </row>
    <row r="632" spans="1:18" s="893" customFormat="1" x14ac:dyDescent="0.3">
      <c r="A632" s="888" t="str">
        <f>IF(LEN('Translation-EN'!A632)&gt;0,'Translation-EN'!A632,"")</f>
        <v>Range</v>
      </c>
      <c r="B632" s="888" t="str">
        <f>IF(LEN('Translation-EN'!B632)&gt;0,'Translation-EN'!B632,"")</f>
        <v>_Party Walls</v>
      </c>
      <c r="C632" s="888" t="str">
        <f>IF(LEN('Translation-EN'!C632)&gt;0,'Translation-EN'!C632,"")</f>
        <v>A105</v>
      </c>
      <c r="D632" s="888" t="str">
        <f>IF(LEN('Translation-EN'!D632)&gt;0,'Translation-EN'!D632,"")</f>
        <v/>
      </c>
      <c r="E632" s="893" t="s">
        <v>3003</v>
      </c>
      <c r="I632" s="888"/>
      <c r="J632" s="888"/>
      <c r="K632" s="888"/>
      <c r="L632" s="888"/>
      <c r="M632" s="888"/>
      <c r="N632" s="888"/>
      <c r="O632" s="888"/>
      <c r="P632" s="888"/>
      <c r="Q632" s="888"/>
      <c r="R632" s="888"/>
    </row>
    <row r="633" spans="1:18" s="893" customFormat="1" x14ac:dyDescent="0.3">
      <c r="A633" s="888" t="str">
        <f>IF(LEN('Translation-EN'!A633)&gt;0,'Translation-EN'!A633,"")</f>
        <v>Range</v>
      </c>
      <c r="B633" s="888" t="str">
        <f>IF(LEN('Translation-EN'!B633)&gt;0,'Translation-EN'!B633,"")</f>
        <v>Party Walls</v>
      </c>
      <c r="C633" s="888" t="str">
        <f>IF(LEN('Translation-EN'!C633)&gt;0,'Translation-EN'!C633,"")</f>
        <v>A158</v>
      </c>
      <c r="D633" s="888" t="str">
        <f>IF(LEN('Translation-EN'!D633)&gt;0,'Translation-EN'!D633,"")</f>
        <v/>
      </c>
      <c r="E633" s="893" t="s">
        <v>5076</v>
      </c>
      <c r="I633" s="888"/>
      <c r="J633" s="888"/>
      <c r="K633" s="888"/>
      <c r="L633" s="888"/>
      <c r="M633" s="888"/>
      <c r="N633" s="888"/>
      <c r="O633" s="888"/>
      <c r="P633" s="888"/>
      <c r="Q633" s="888"/>
      <c r="R633" s="888"/>
    </row>
    <row r="634" spans="1:18" s="893" customFormat="1" x14ac:dyDescent="0.3">
      <c r="A634" s="888" t="str">
        <f>IF(LEN('Translation-EN'!A634)&gt;0,'Translation-EN'!A634,"")</f>
        <v>Range</v>
      </c>
      <c r="B634" s="888" t="str">
        <f>IF(LEN('Translation-EN'!B634)&gt;0,'Translation-EN'!B634,"")</f>
        <v>Party Walls</v>
      </c>
      <c r="C634" s="888" t="str">
        <f>IF(LEN('Translation-EN'!C634)&gt;0,'Translation-EN'!C634,"")</f>
        <v>B159</v>
      </c>
      <c r="D634" s="888" t="str">
        <f>IF(LEN('Translation-EN'!D634)&gt;0,'Translation-EN'!D634,"")</f>
        <v/>
      </c>
      <c r="E634" s="893" t="str">
        <f>$E$221</f>
        <v>PANNEAU DE MOUSSE EPS</v>
      </c>
      <c r="I634" s="888"/>
      <c r="J634" s="888"/>
      <c r="K634" s="888"/>
      <c r="L634" s="888"/>
      <c r="M634" s="888"/>
      <c r="N634" s="888"/>
      <c r="O634" s="888"/>
      <c r="P634" s="888"/>
      <c r="Q634" s="888"/>
      <c r="R634" s="888"/>
    </row>
    <row r="635" spans="1:18" s="893" customFormat="1" x14ac:dyDescent="0.3">
      <c r="A635" s="888" t="str">
        <f>IF(LEN('Translation-EN'!A635)&gt;0,'Translation-EN'!A635,"")</f>
        <v>Range</v>
      </c>
      <c r="B635" s="888" t="str">
        <f>IF(LEN('Translation-EN'!B635)&gt;0,'Translation-EN'!B635,"")</f>
        <v>_Party Walls</v>
      </c>
      <c r="C635" s="888" t="str">
        <f>IF(LEN('Translation-EN'!C635)&gt;0,'Translation-EN'!C635,"")</f>
        <v>D138</v>
      </c>
      <c r="D635" s="888" t="str">
        <f>IF(LEN('Translation-EN'!D635)&gt;0,'Translation-EN'!D635,"")</f>
        <v/>
      </c>
      <c r="E635" s="936" t="str">
        <f>$E$606</f>
        <v>VALEUR R :</v>
      </c>
      <c r="I635" s="888"/>
      <c r="J635" s="888"/>
      <c r="K635" s="888"/>
      <c r="L635" s="888"/>
      <c r="M635" s="888"/>
      <c r="N635" s="888"/>
      <c r="O635" s="888"/>
      <c r="P635" s="888"/>
      <c r="Q635" s="888"/>
      <c r="R635" s="888"/>
    </row>
    <row r="636" spans="1:18" s="893" customFormat="1" x14ac:dyDescent="0.3">
      <c r="A636" s="888" t="str">
        <f>IF(LEN('Translation-EN'!A636)&gt;0,'Translation-EN'!A636,"")</f>
        <v>Range</v>
      </c>
      <c r="B636" s="888" t="str">
        <f>IF(LEN('Translation-EN'!B636)&gt;0,'Translation-EN'!B636,"")</f>
        <v>Party Walls</v>
      </c>
      <c r="C636" s="888" t="str">
        <f>IF(LEN('Translation-EN'!C636)&gt;0,'Translation-EN'!C636,"")</f>
        <v>C160</v>
      </c>
      <c r="D636" s="888" t="str">
        <f>IF(LEN('Translation-EN'!D636)&gt;0,'Translation-EN'!D636,"")</f>
        <v/>
      </c>
      <c r="E636" s="893" t="str">
        <f>$E$222</f>
        <v>Panneau de mousse EPS – MOYENNE</v>
      </c>
      <c r="I636" s="888"/>
      <c r="J636" s="888"/>
      <c r="K636" s="888"/>
      <c r="L636" s="888"/>
      <c r="M636" s="888"/>
      <c r="N636" s="888"/>
      <c r="O636" s="888"/>
      <c r="P636" s="888"/>
      <c r="Q636" s="888"/>
      <c r="R636" s="888"/>
    </row>
    <row r="637" spans="1:18" s="893" customFormat="1" x14ac:dyDescent="0.3">
      <c r="A637" s="888" t="str">
        <f>IF(LEN('Translation-EN'!A637)&gt;0,'Translation-EN'!A637,"")</f>
        <v>Range</v>
      </c>
      <c r="B637" s="888" t="str">
        <f>IF(LEN('Translation-EN'!B637)&gt;0,'Translation-EN'!B637,"")</f>
        <v>Party Walls</v>
      </c>
      <c r="C637" s="888" t="str">
        <f>IF(LEN('Translation-EN'!C637)&gt;0,'Translation-EN'!C637,"")</f>
        <v>B169</v>
      </c>
      <c r="D637" s="888" t="str">
        <f>IF(LEN('Translation-EN'!D637)&gt;0,'Translation-EN'!D637,"")</f>
        <v/>
      </c>
      <c r="E637" s="893" t="str">
        <f>$E$297</f>
        <v>PANNEAU DE FIBRES DE BOIS</v>
      </c>
      <c r="I637" s="888"/>
      <c r="J637" s="888"/>
      <c r="K637" s="888"/>
      <c r="L637" s="888"/>
      <c r="M637" s="888"/>
      <c r="N637" s="888"/>
      <c r="O637" s="888"/>
      <c r="P637" s="888"/>
      <c r="Q637" s="888"/>
      <c r="R637" s="888"/>
    </row>
    <row r="638" spans="1:18" s="893" customFormat="1" x14ac:dyDescent="0.3">
      <c r="A638" s="888" t="str">
        <f>IF(LEN('Translation-EN'!A638)&gt;0,'Translation-EN'!A638,"")</f>
        <v>Range</v>
      </c>
      <c r="B638" s="888" t="str">
        <f>IF(LEN('Translation-EN'!B638)&gt;0,'Translation-EN'!B638,"")</f>
        <v>_Party Walls</v>
      </c>
      <c r="C638" s="888" t="str">
        <f>IF(LEN('Translation-EN'!C638)&gt;0,'Translation-EN'!C638,"")</f>
        <v>D148</v>
      </c>
      <c r="D638" s="888" t="str">
        <f>IF(LEN('Translation-EN'!D638)&gt;0,'Translation-EN'!D638,"")</f>
        <v/>
      </c>
      <c r="E638" s="936" t="str">
        <f>$E$606</f>
        <v>VALEUR R :</v>
      </c>
      <c r="I638" s="888"/>
      <c r="J638" s="888"/>
      <c r="K638" s="888"/>
      <c r="L638" s="888"/>
      <c r="M638" s="888"/>
      <c r="N638" s="888"/>
      <c r="O638" s="888"/>
      <c r="P638" s="888"/>
      <c r="Q638" s="888"/>
      <c r="R638" s="888"/>
    </row>
    <row r="639" spans="1:18" s="893" customFormat="1" x14ac:dyDescent="0.3">
      <c r="A639" s="888" t="str">
        <f>IF(LEN('Translation-EN'!A639)&gt;0,'Translation-EN'!A639,"")</f>
        <v>Range</v>
      </c>
      <c r="B639" s="888" t="str">
        <f>IF(LEN('Translation-EN'!B639)&gt;0,'Translation-EN'!B639,"")</f>
        <v>Party Walls</v>
      </c>
      <c r="C639" s="888" t="str">
        <f>IF(LEN('Translation-EN'!C639)&gt;0,'Translation-EN'!C639,"")</f>
        <v>C170</v>
      </c>
      <c r="D639" s="888" t="str">
        <f>IF(LEN('Translation-EN'!D639)&gt;0,'Translation-EN'!D639,"")</f>
        <v/>
      </c>
      <c r="E639" s="893" t="str">
        <f>$E$298</f>
        <v>Panneau de fibres de bois – MOYENNE</v>
      </c>
      <c r="I639" s="888"/>
      <c r="J639" s="888"/>
      <c r="K639" s="888"/>
      <c r="L639" s="888"/>
      <c r="M639" s="888"/>
      <c r="N639" s="888"/>
      <c r="O639" s="888"/>
      <c r="P639" s="888"/>
      <c r="Q639" s="888"/>
      <c r="R639" s="888"/>
    </row>
    <row r="640" spans="1:18" s="893" customFormat="1" x14ac:dyDescent="0.3">
      <c r="A640" s="888" t="str">
        <f>IF(LEN('Translation-EN'!A640)&gt;0,'Translation-EN'!A640,"")</f>
        <v>Range</v>
      </c>
      <c r="B640" s="888" t="str">
        <f>IF(LEN('Translation-EN'!B640)&gt;0,'Translation-EN'!B640,"")</f>
        <v>Party Walls</v>
      </c>
      <c r="C640" s="888" t="str">
        <f>IF(LEN('Translation-EN'!C640)&gt;0,'Translation-EN'!C640,"")</f>
        <v>B180</v>
      </c>
      <c r="D640" s="888" t="str">
        <f>IF(LEN('Translation-EN'!D640)&gt;0,'Translation-EN'!D640,"")</f>
        <v/>
      </c>
      <c r="E640" s="893" t="str">
        <f>$E$223</f>
        <v>PANNEAU DE MOUSSE XPS</v>
      </c>
      <c r="I640" s="888"/>
      <c r="J640" s="888"/>
      <c r="K640" s="888"/>
      <c r="L640" s="888"/>
      <c r="M640" s="888"/>
      <c r="N640" s="888"/>
      <c r="O640" s="888"/>
      <c r="P640" s="888"/>
      <c r="Q640" s="888"/>
      <c r="R640" s="888"/>
    </row>
    <row r="641" spans="1:18" s="893" customFormat="1" x14ac:dyDescent="0.3">
      <c r="A641" s="888" t="str">
        <f>IF(LEN('Translation-EN'!A641)&gt;0,'Translation-EN'!A641,"")</f>
        <v>Range</v>
      </c>
      <c r="B641" s="888" t="str">
        <f>IF(LEN('Translation-EN'!B641)&gt;0,'Translation-EN'!B641,"")</f>
        <v>_Party Walls</v>
      </c>
      <c r="C641" s="888" t="str">
        <f>IF(LEN('Translation-EN'!C641)&gt;0,'Translation-EN'!C641,"")</f>
        <v>D159</v>
      </c>
      <c r="D641" s="888" t="str">
        <f>IF(LEN('Translation-EN'!D641)&gt;0,'Translation-EN'!D641,"")</f>
        <v/>
      </c>
      <c r="E641" s="936" t="str">
        <f>$E$606</f>
        <v>VALEUR R :</v>
      </c>
      <c r="I641" s="888"/>
      <c r="J641" s="888"/>
      <c r="K641" s="888"/>
      <c r="L641" s="888"/>
      <c r="M641" s="888"/>
      <c r="N641" s="888"/>
      <c r="O641" s="888"/>
      <c r="P641" s="888"/>
      <c r="Q641" s="888"/>
      <c r="R641" s="888"/>
    </row>
    <row r="642" spans="1:18" s="893" customFormat="1" x14ac:dyDescent="0.3">
      <c r="A642" s="888" t="str">
        <f>IF(LEN('Translation-EN'!A642)&gt;0,'Translation-EN'!A642,"")</f>
        <v>Range</v>
      </c>
      <c r="B642" s="888" t="str">
        <f>IF(LEN('Translation-EN'!B642)&gt;0,'Translation-EN'!B642,"")</f>
        <v>Party Walls</v>
      </c>
      <c r="C642" s="888" t="str">
        <f>IF(LEN('Translation-EN'!C642)&gt;0,'Translation-EN'!C642,"")</f>
        <v>C181</v>
      </c>
      <c r="D642" s="888" t="str">
        <f>IF(LEN('Translation-EN'!D642)&gt;0,'Translation-EN'!D642,"")</f>
        <v/>
      </c>
      <c r="E642" s="1034" t="str">
        <f>$E$224</f>
        <v>Panneau de mousse XPS – MOYENNE</v>
      </c>
      <c r="I642" s="888"/>
      <c r="J642" s="888"/>
      <c r="K642" s="888"/>
      <c r="L642" s="888"/>
      <c r="M642" s="888"/>
      <c r="N642" s="888"/>
      <c r="O642" s="888"/>
      <c r="P642" s="888"/>
      <c r="Q642" s="888"/>
      <c r="R642" s="888"/>
    </row>
    <row r="643" spans="1:18" s="893" customFormat="1" x14ac:dyDescent="0.3">
      <c r="A643" s="888" t="str">
        <f>IF(LEN('Translation-EN'!A643)&gt;0,'Translation-EN'!A643,"")</f>
        <v>Range</v>
      </c>
      <c r="B643" s="888" t="str">
        <f>IF(LEN('Translation-EN'!B643)&gt;0,'Translation-EN'!B643,"")</f>
        <v>Party Walls</v>
      </c>
      <c r="C643" s="888" t="str">
        <f>IF(LEN('Translation-EN'!C643)&gt;0,'Translation-EN'!C643,"")</f>
        <v>B185</v>
      </c>
      <c r="D643" s="888" t="str">
        <f>IF(LEN('Translation-EN'!D643)&gt;0,'Translation-EN'!D643,"")</f>
        <v/>
      </c>
      <c r="E643" s="893" t="str">
        <f>$E$490</f>
        <v>PANNEAU DE MOUSSE POLYISOCYANURATE</v>
      </c>
      <c r="I643" s="888"/>
      <c r="J643" s="888"/>
      <c r="K643" s="888"/>
      <c r="L643" s="888"/>
      <c r="M643" s="888"/>
      <c r="N643" s="888"/>
      <c r="O643" s="888"/>
      <c r="P643" s="888"/>
      <c r="Q643" s="888"/>
      <c r="R643" s="888"/>
    </row>
    <row r="644" spans="1:18" s="893" customFormat="1" x14ac:dyDescent="0.3">
      <c r="A644" s="888" t="str">
        <f>IF(LEN('Translation-EN'!A644)&gt;0,'Translation-EN'!A644,"")</f>
        <v>Range</v>
      </c>
      <c r="B644" s="888" t="str">
        <f>IF(LEN('Translation-EN'!B644)&gt;0,'Translation-EN'!B644,"")</f>
        <v>_Party Walls</v>
      </c>
      <c r="C644" s="888" t="str">
        <f>IF(LEN('Translation-EN'!C644)&gt;0,'Translation-EN'!C644,"")</f>
        <v>D165</v>
      </c>
      <c r="D644" s="888" t="str">
        <f>IF(LEN('Translation-EN'!D644)&gt;0,'Translation-EN'!D644,"")</f>
        <v/>
      </c>
      <c r="E644" s="936" t="str">
        <f>$E$606</f>
        <v>VALEUR R :</v>
      </c>
      <c r="I644" s="888"/>
      <c r="J644" s="888"/>
      <c r="K644" s="888"/>
      <c r="L644" s="888"/>
      <c r="M644" s="888"/>
      <c r="N644" s="888"/>
      <c r="O644" s="888"/>
      <c r="P644" s="888"/>
      <c r="Q644" s="888"/>
      <c r="R644" s="888"/>
    </row>
    <row r="645" spans="1:18" s="893" customFormat="1" x14ac:dyDescent="0.3">
      <c r="A645" s="888" t="str">
        <f>IF(LEN('Translation-EN'!A645)&gt;0,'Translation-EN'!A645,"")</f>
        <v>Range</v>
      </c>
      <c r="B645" s="888" t="str">
        <f>IF(LEN('Translation-EN'!B645)&gt;0,'Translation-EN'!B645,"")</f>
        <v>Party Walls</v>
      </c>
      <c r="C645" s="888" t="str">
        <f>IF(LEN('Translation-EN'!C645)&gt;0,'Translation-EN'!C645,"")</f>
        <v>C186</v>
      </c>
      <c r="D645" s="888" t="str">
        <f>IF(LEN('Translation-EN'!D645)&gt;0,'Translation-EN'!D645,"")</f>
        <v/>
      </c>
      <c r="E645" s="893" t="str">
        <f>$E$491</f>
        <v>Polyisocyanurate – MOYENNE</v>
      </c>
      <c r="I645" s="888"/>
      <c r="J645" s="888"/>
      <c r="K645" s="888"/>
      <c r="L645" s="888"/>
      <c r="M645" s="888"/>
      <c r="N645" s="888"/>
      <c r="O645" s="888"/>
      <c r="P645" s="888"/>
      <c r="Q645" s="888"/>
      <c r="R645" s="888"/>
    </row>
    <row r="646" spans="1:18" s="893" customFormat="1" x14ac:dyDescent="0.3">
      <c r="A646" s="888" t="str">
        <f>IF(LEN('Translation-EN'!A646)&gt;0,'Translation-EN'!A646,"")</f>
        <v>Range</v>
      </c>
      <c r="B646" s="888" t="str">
        <f>IF(LEN('Translation-EN'!B646)&gt;0,'Translation-EN'!B646,"")</f>
        <v>Party Walls</v>
      </c>
      <c r="C646" s="888" t="str">
        <f>IF(LEN('Translation-EN'!C646)&gt;0,'Translation-EN'!C646,"")</f>
        <v>B190</v>
      </c>
      <c r="D646" s="888" t="str">
        <f>IF(LEN('Translation-EN'!D646)&gt;0,'Translation-EN'!D646,"")</f>
        <v/>
      </c>
      <c r="E646" s="893" t="str">
        <f>$E$225</f>
        <v>PANNEAU DE LAINE MINÉRALE</v>
      </c>
      <c r="I646" s="888"/>
      <c r="J646" s="888"/>
      <c r="K646" s="888"/>
      <c r="L646" s="888"/>
      <c r="M646" s="888"/>
      <c r="N646" s="888"/>
      <c r="O646" s="888"/>
      <c r="P646" s="888"/>
      <c r="Q646" s="888"/>
      <c r="R646" s="888"/>
    </row>
    <row r="647" spans="1:18" s="893" customFormat="1" x14ac:dyDescent="0.3">
      <c r="A647" s="888" t="str">
        <f>IF(LEN('Translation-EN'!A647)&gt;0,'Translation-EN'!A647,"")</f>
        <v>Range</v>
      </c>
      <c r="B647" s="888" t="str">
        <f>IF(LEN('Translation-EN'!B647)&gt;0,'Translation-EN'!B647,"")</f>
        <v>_Party Walls</v>
      </c>
      <c r="C647" s="888" t="str">
        <f>IF(LEN('Translation-EN'!C647)&gt;0,'Translation-EN'!C647,"")</f>
        <v>D171</v>
      </c>
      <c r="D647" s="888" t="str">
        <f>IF(LEN('Translation-EN'!D647)&gt;0,'Translation-EN'!D647,"")</f>
        <v/>
      </c>
      <c r="E647" s="936" t="str">
        <f>$E$606</f>
        <v>VALEUR R :</v>
      </c>
      <c r="I647" s="888"/>
      <c r="J647" s="888"/>
      <c r="K647" s="888"/>
      <c r="L647" s="888"/>
      <c r="M647" s="888"/>
      <c r="N647" s="888"/>
      <c r="O647" s="888"/>
      <c r="P647" s="888"/>
      <c r="Q647" s="888"/>
      <c r="R647" s="888"/>
    </row>
    <row r="648" spans="1:18" s="893" customFormat="1" x14ac:dyDescent="0.3">
      <c r="A648" s="888" t="str">
        <f>IF(LEN('Translation-EN'!A648)&gt;0,'Translation-EN'!A648,"")</f>
        <v>Range</v>
      </c>
      <c r="B648" s="888" t="str">
        <f>IF(LEN('Translation-EN'!B648)&gt;0,'Translation-EN'!B648,"")</f>
        <v>_Party Walls</v>
      </c>
      <c r="C648" s="888" t="str">
        <f>IF(LEN('Translation-EN'!C648)&gt;0,'Translation-EN'!C648,"")</f>
        <v>C172</v>
      </c>
      <c r="D648" s="888" t="str">
        <f>IF(LEN('Translation-EN'!D648)&gt;0,'Translation-EN'!D648,"")</f>
        <v/>
      </c>
      <c r="E648" s="893" t="str">
        <f>$E$493</f>
        <v>Panneau de laine minérale – MOYENNE</v>
      </c>
      <c r="I648" s="888"/>
      <c r="J648" s="888"/>
      <c r="K648" s="888"/>
      <c r="L648" s="888"/>
      <c r="M648" s="888"/>
      <c r="N648" s="888"/>
      <c r="O648" s="888"/>
      <c r="P648" s="888"/>
      <c r="Q648" s="888"/>
      <c r="R648" s="888"/>
    </row>
    <row r="649" spans="1:18" s="893" customFormat="1" x14ac:dyDescent="0.3">
      <c r="A649" s="888" t="str">
        <f>IF(LEN('Translation-EN'!A649)&gt;0,'Translation-EN'!A649,"")</f>
        <v>Range</v>
      </c>
      <c r="B649" s="888" t="str">
        <f>IF(LEN('Translation-EN'!B649)&gt;0,'Translation-EN'!B649,"")</f>
        <v>_Party Walls</v>
      </c>
      <c r="C649" s="888" t="str">
        <f>IF(LEN('Translation-EN'!C649)&gt;0,'Translation-EN'!C649,"")</f>
        <v>A134</v>
      </c>
      <c r="D649" s="888" t="str">
        <f>IF(LEN('Translation-EN'!D649)&gt;0,'Translation-EN'!D649,"")</f>
        <v/>
      </c>
      <c r="E649" s="893" t="s">
        <v>3004</v>
      </c>
      <c r="I649" s="888"/>
      <c r="J649" s="888"/>
      <c r="K649" s="888"/>
      <c r="L649" s="888"/>
      <c r="M649" s="888"/>
      <c r="N649" s="888"/>
      <c r="O649" s="888"/>
      <c r="P649" s="888"/>
      <c r="Q649" s="888"/>
      <c r="R649" s="888"/>
    </row>
    <row r="650" spans="1:18" s="893" customFormat="1" x14ac:dyDescent="0.3">
      <c r="A650" s="888" t="str">
        <f>IF(LEN('Translation-EN'!A650)&gt;0,'Translation-EN'!A650,"")</f>
        <v>Range</v>
      </c>
      <c r="B650" s="888" t="str">
        <f>IF(LEN('Translation-EN'!B650)&gt;0,'Translation-EN'!B650,"")</f>
        <v>Party Walls</v>
      </c>
      <c r="C650" s="888" t="str">
        <f>IF(LEN('Translation-EN'!C650)&gt;0,'Translation-EN'!C650,"")</f>
        <v>B192</v>
      </c>
      <c r="D650" s="888" t="str">
        <f>IF(LEN('Translation-EN'!D650)&gt;0,'Translation-EN'!D650,"")</f>
        <v/>
      </c>
      <c r="E650" s="939" t="str">
        <f>$E$231</f>
        <v>PANNEAU EN LIÈGE</v>
      </c>
      <c r="I650" s="888"/>
      <c r="J650" s="888"/>
      <c r="K650" s="888"/>
      <c r="L650" s="888"/>
      <c r="M650" s="888"/>
      <c r="N650" s="888"/>
      <c r="O650" s="888"/>
      <c r="P650" s="888"/>
      <c r="Q650" s="888"/>
      <c r="R650" s="888"/>
    </row>
    <row r="651" spans="1:18" s="893" customFormat="1" x14ac:dyDescent="0.3">
      <c r="A651" s="888" t="str">
        <f>IF(LEN('Translation-EN'!A651)&gt;0,'Translation-EN'!A651,"")</f>
        <v>Range</v>
      </c>
      <c r="B651" s="888" t="str">
        <f>IF(LEN('Translation-EN'!B651)&gt;0,'Translation-EN'!B651,"")</f>
        <v>_Party Walls</v>
      </c>
      <c r="C651" s="888" t="str">
        <f>IF(LEN('Translation-EN'!C651)&gt;0,'Translation-EN'!C651,"")</f>
        <v>C175</v>
      </c>
      <c r="D651" s="888" t="str">
        <f>IF(LEN('Translation-EN'!D651)&gt;0,'Translation-EN'!D651,"")</f>
        <v/>
      </c>
      <c r="E651" s="893" t="str">
        <f>$E$497</f>
        <v>Panneau de liège – MOYENNE</v>
      </c>
      <c r="I651" s="888"/>
      <c r="J651" s="888"/>
      <c r="K651" s="888"/>
      <c r="L651" s="888"/>
      <c r="M651" s="888"/>
      <c r="N651" s="888"/>
      <c r="O651" s="888"/>
      <c r="P651" s="888"/>
      <c r="Q651" s="888"/>
      <c r="R651" s="888"/>
    </row>
    <row r="652" spans="1:18" s="893" customFormat="1" x14ac:dyDescent="0.3">
      <c r="A652" s="888" t="str">
        <f>IF(LEN('Translation-EN'!A652)&gt;0,'Translation-EN'!A652,"")</f>
        <v>Range</v>
      </c>
      <c r="B652" s="888" t="str">
        <f>IF(LEN('Translation-EN'!B652)&gt;0,'Translation-EN'!B652,"")</f>
        <v>Party Walls</v>
      </c>
      <c r="C652" s="888" t="str">
        <f>IF(LEN('Translation-EN'!C652)&gt;0,'Translation-EN'!C652,"")</f>
        <v>A194</v>
      </c>
      <c r="D652" s="888" t="str">
        <f>IF(LEN('Translation-EN'!D652)&gt;0,'Translation-EN'!D652,"")</f>
        <v/>
      </c>
      <c r="E652" s="893" t="s">
        <v>3005</v>
      </c>
      <c r="I652" s="888"/>
      <c r="J652" s="888"/>
      <c r="K652" s="888"/>
      <c r="L652" s="888"/>
      <c r="M652" s="888"/>
      <c r="N652" s="888"/>
      <c r="O652" s="888"/>
      <c r="P652" s="888"/>
      <c r="Q652" s="888"/>
      <c r="R652" s="888"/>
    </row>
    <row r="653" spans="1:18" s="893" customFormat="1" x14ac:dyDescent="0.3">
      <c r="A653" s="888" t="str">
        <f>IF(LEN('Translation-EN'!A653)&gt;0,'Translation-EN'!A653,"")</f>
        <v>Range</v>
      </c>
      <c r="B653" s="888" t="str">
        <f>IF(LEN('Translation-EN'!B653)&gt;0,'Translation-EN'!B653,"")</f>
        <v>Party Walls</v>
      </c>
      <c r="C653" s="888" t="str">
        <f>IF(LEN('Translation-EN'!C653)&gt;0,'Translation-EN'!C653,"")</f>
        <v>B195</v>
      </c>
      <c r="D653" s="888" t="str">
        <f>IF(LEN('Translation-EN'!D653)&gt;0,'Translation-EN'!D653,"")</f>
        <v/>
      </c>
      <c r="E653" s="893" t="str">
        <f>$E$361</f>
        <v>CLOISONS SÈCHES 1/2 po</v>
      </c>
      <c r="I653" s="888"/>
      <c r="J653" s="888"/>
      <c r="K653" s="888"/>
      <c r="L653" s="888"/>
      <c r="M653" s="888"/>
      <c r="N653" s="888"/>
      <c r="O653" s="888"/>
      <c r="P653" s="888"/>
      <c r="Q653" s="888"/>
      <c r="R653" s="888"/>
    </row>
    <row r="654" spans="1:18" s="893" customFormat="1" x14ac:dyDescent="0.3">
      <c r="A654" s="888" t="str">
        <f>IF(LEN('Translation-EN'!A654)&gt;0,'Translation-EN'!A654,"")</f>
        <v>Range</v>
      </c>
      <c r="B654" s="888" t="str">
        <f>IF(LEN('Translation-EN'!B654)&gt;0,'Translation-EN'!B654,"")</f>
        <v>Party Walls</v>
      </c>
      <c r="C654" s="888" t="str">
        <f>IF(LEN('Translation-EN'!C654)&gt;0,'Translation-EN'!C654,"")</f>
        <v>C196</v>
      </c>
      <c r="D654" s="888" t="str">
        <f>IF(LEN('Translation-EN'!D654)&gt;0,'Translation-EN'!D654,"")</f>
        <v/>
      </c>
      <c r="E654" s="893" t="s">
        <v>3006</v>
      </c>
      <c r="I654" s="888"/>
      <c r="J654" s="888"/>
      <c r="K654" s="888"/>
      <c r="L654" s="888"/>
      <c r="M654" s="888"/>
      <c r="N654" s="888"/>
      <c r="O654" s="888"/>
      <c r="P654" s="888"/>
      <c r="Q654" s="888"/>
      <c r="R654" s="888"/>
    </row>
    <row r="655" spans="1:18" s="893" customFormat="1" x14ac:dyDescent="0.3">
      <c r="A655" s="888" t="str">
        <f>IF(LEN('Translation-EN'!A655)&gt;0,'Translation-EN'!A655,"")</f>
        <v>Range</v>
      </c>
      <c r="B655" s="888" t="str">
        <f>IF(LEN('Translation-EN'!B655)&gt;0,'Translation-EN'!B655,"")</f>
        <v>Party Walls</v>
      </c>
      <c r="C655" s="888" t="str">
        <f>IF(LEN('Translation-EN'!C655)&gt;0,'Translation-EN'!C655,"")</f>
        <v>B199</v>
      </c>
      <c r="D655" s="888" t="str">
        <f>IF(LEN('Translation-EN'!D655)&gt;0,'Translation-EN'!D655,"")</f>
        <v/>
      </c>
      <c r="E655" s="893" t="str">
        <f>$E$363</f>
        <v>CLOISONS SÈCHES 5/8 po</v>
      </c>
      <c r="I655" s="888"/>
      <c r="J655" s="888"/>
      <c r="K655" s="888"/>
      <c r="L655" s="888"/>
      <c r="M655" s="888"/>
      <c r="N655" s="888"/>
      <c r="O655" s="888"/>
      <c r="P655" s="888"/>
      <c r="Q655" s="888"/>
      <c r="R655" s="888"/>
    </row>
    <row r="656" spans="1:18" s="893" customFormat="1" x14ac:dyDescent="0.3">
      <c r="A656" s="888" t="str">
        <f>IF(LEN('Translation-EN'!A656)&gt;0,'Translation-EN'!A656,"")</f>
        <v>Range</v>
      </c>
      <c r="B656" s="888" t="str">
        <f>IF(LEN('Translation-EN'!B656)&gt;0,'Translation-EN'!B656,"")</f>
        <v>Party Walls</v>
      </c>
      <c r="C656" s="888" t="str">
        <f>IF(LEN('Translation-EN'!C656)&gt;0,'Translation-EN'!C656,"")</f>
        <v>C200</v>
      </c>
      <c r="D656" s="888" t="str">
        <f>IF(LEN('Translation-EN'!D656)&gt;0,'Translation-EN'!D656,"")</f>
        <v/>
      </c>
      <c r="E656" s="893" t="s">
        <v>5077</v>
      </c>
      <c r="I656" s="888"/>
      <c r="J656" s="888"/>
      <c r="K656" s="888"/>
      <c r="L656" s="888"/>
      <c r="M656" s="888"/>
      <c r="N656" s="888"/>
      <c r="O656" s="888"/>
      <c r="P656" s="888"/>
      <c r="Q656" s="888"/>
      <c r="R656" s="888"/>
    </row>
    <row r="657" spans="1:18" s="893" customFormat="1" x14ac:dyDescent="0.3">
      <c r="A657" s="888" t="str">
        <f>IF(LEN('Translation-EN'!A657)&gt;0,'Translation-EN'!A657,"")</f>
        <v>Range</v>
      </c>
      <c r="B657" s="888" t="str">
        <f>IF(LEN('Translation-EN'!B657)&gt;0,'Translation-EN'!B657,"")</f>
        <v>Party Walls</v>
      </c>
      <c r="C657" s="888" t="str">
        <f>IF(LEN('Translation-EN'!C657)&gt;0,'Translation-EN'!C657,"")</f>
        <v>B204</v>
      </c>
      <c r="D657" s="888" t="str">
        <f>IF(LEN('Translation-EN'!D657)&gt;0,'Translation-EN'!D657,"")</f>
        <v/>
      </c>
      <c r="E657" s="893" t="str">
        <f>$E$365</f>
        <v>AUTRES MATÉRIAUX DE BARDAGE</v>
      </c>
      <c r="I657" s="888"/>
      <c r="J657" s="888"/>
      <c r="K657" s="888"/>
      <c r="L657" s="888"/>
      <c r="M657" s="888"/>
      <c r="N657" s="888"/>
      <c r="O657" s="888"/>
      <c r="P657" s="888"/>
      <c r="Q657" s="888"/>
      <c r="R657" s="888"/>
    </row>
    <row r="658" spans="1:18" s="893" customFormat="1" x14ac:dyDescent="0.3">
      <c r="A658" s="888" t="str">
        <f>IF(LEN('Translation-EN'!A658)&gt;0,'Translation-EN'!A658,"")</f>
        <v>Range</v>
      </c>
      <c r="B658" s="888" t="str">
        <f>IF(LEN('Translation-EN'!B658)&gt;0,'Translation-EN'!B658,"")</f>
        <v>Party Walls</v>
      </c>
      <c r="C658" s="888" t="str">
        <f>IF(LEN('Translation-EN'!C658)&gt;0,'Translation-EN'!C658,"")</f>
        <v>A218</v>
      </c>
      <c r="D658" s="888" t="str">
        <f>IF(LEN('Translation-EN'!D658)&gt;0,'Translation-EN'!D658,"")</f>
        <v/>
      </c>
      <c r="E658" s="893" t="str">
        <f>$E$450</f>
        <v>PANNEAUX STRUCTURAUX</v>
      </c>
      <c r="I658" s="888"/>
      <c r="J658" s="888"/>
      <c r="K658" s="888"/>
      <c r="L658" s="888"/>
      <c r="M658" s="888"/>
      <c r="N658" s="888"/>
      <c r="O658" s="888"/>
      <c r="P658" s="888"/>
      <c r="Q658" s="888"/>
      <c r="R658" s="888"/>
    </row>
    <row r="659" spans="1:18" s="893" customFormat="1" x14ac:dyDescent="0.3">
      <c r="A659" s="888" t="str">
        <f>IF(LEN('Translation-EN'!A659)&gt;0,'Translation-EN'!A659,"")</f>
        <v>Range</v>
      </c>
      <c r="B659" s="888" t="str">
        <f>IF(LEN('Translation-EN'!B659)&gt;0,'Translation-EN'!B659,"")</f>
        <v>Party Walls</v>
      </c>
      <c r="C659" s="888" t="str">
        <f>IF(LEN('Translation-EN'!C659)&gt;0,'Translation-EN'!C659,"")</f>
        <v>B219</v>
      </c>
      <c r="D659" s="888" t="str">
        <f>IF(LEN('Translation-EN'!D659)&gt;0,'Translation-EN'!D659,"")</f>
        <v/>
      </c>
      <c r="E659" s="893" t="str">
        <f>$E$451</f>
        <v>PANNEAU À COPEAUX ORIENTÉS</v>
      </c>
      <c r="I659" s="888"/>
      <c r="J659" s="888"/>
      <c r="K659" s="888"/>
      <c r="L659" s="888"/>
      <c r="M659" s="888"/>
      <c r="N659" s="888"/>
      <c r="O659" s="888"/>
      <c r="P659" s="888"/>
      <c r="Q659" s="888"/>
      <c r="R659" s="888"/>
    </row>
    <row r="660" spans="1:18" s="893" customFormat="1" x14ac:dyDescent="0.3">
      <c r="A660" s="888" t="str">
        <f>IF(LEN('Translation-EN'!A660)&gt;0,'Translation-EN'!A660,"")</f>
        <v>Range</v>
      </c>
      <c r="B660" s="888" t="str">
        <f>IF(LEN('Translation-EN'!B660)&gt;0,'Translation-EN'!B660,"")</f>
        <v>Party Walls</v>
      </c>
      <c r="C660" s="888" t="str">
        <f>IF(LEN('Translation-EN'!C660)&gt;0,'Translation-EN'!C660,"")</f>
        <v>B228</v>
      </c>
      <c r="D660" s="888" t="str">
        <f>IF(LEN('Translation-EN'!D660)&gt;0,'Translation-EN'!D660,"")</f>
        <v/>
      </c>
      <c r="E660" s="939" t="str">
        <f>$E$452</f>
        <v>SYSTÈME DE REVÊTEMENT ET BARRIÈRE OSB</v>
      </c>
      <c r="I660" s="888"/>
      <c r="J660" s="888"/>
      <c r="K660" s="888"/>
      <c r="L660" s="888"/>
      <c r="M660" s="888"/>
      <c r="N660" s="888"/>
      <c r="O660" s="888"/>
      <c r="P660" s="888"/>
      <c r="Q660" s="888"/>
      <c r="R660" s="888"/>
    </row>
    <row r="661" spans="1:18" s="893" customFormat="1" x14ac:dyDescent="0.3">
      <c r="A661" s="888" t="str">
        <f>IF(LEN('Translation-EN'!A661)&gt;0,'Translation-EN'!A661,"")</f>
        <v>Range</v>
      </c>
      <c r="B661" s="888" t="str">
        <f>IF(LEN('Translation-EN'!B661)&gt;0,'Translation-EN'!B661,"")</f>
        <v>Party Walls</v>
      </c>
      <c r="C661" s="888" t="str">
        <f>IF(LEN('Translation-EN'!C661)&gt;0,'Translation-EN'!C661,"")</f>
        <v>B233</v>
      </c>
      <c r="D661" s="888" t="str">
        <f>IF(LEN('Translation-EN'!D661)&gt;0,'Translation-EN'!D661,"")</f>
        <v/>
      </c>
      <c r="E661" s="893" t="str">
        <f>$E$453</f>
        <v>CONTREPLAQUÉ</v>
      </c>
      <c r="I661" s="888"/>
      <c r="J661" s="888"/>
      <c r="K661" s="888"/>
      <c r="L661" s="888"/>
      <c r="M661" s="888"/>
      <c r="N661" s="888"/>
      <c r="O661" s="888"/>
      <c r="P661" s="888"/>
      <c r="Q661" s="888"/>
      <c r="R661" s="888"/>
    </row>
    <row r="662" spans="1:18" s="893" customFormat="1" x14ac:dyDescent="0.3">
      <c r="A662" s="888" t="str">
        <f>IF(LEN('Translation-EN'!A662)&gt;0,'Translation-EN'!A662,"")</f>
        <v>Range</v>
      </c>
      <c r="B662" s="888" t="str">
        <f>IF(LEN('Translation-EN'!B662)&gt;0,'Translation-EN'!B662,"")</f>
        <v>Party Walls</v>
      </c>
      <c r="C662" s="888" t="str">
        <f>IF(LEN('Translation-EN'!C662)&gt;0,'Translation-EN'!C662,"")</f>
        <v>B243</v>
      </c>
      <c r="D662" s="888" t="str">
        <f>IF(LEN('Translation-EN'!D662)&gt;0,'Translation-EN'!D662,"")</f>
        <v/>
      </c>
      <c r="E662" s="893" t="str">
        <f>$E$454</f>
        <v>PANNEAUX STRUCTURAUX EN GYPSE</v>
      </c>
      <c r="I662" s="888"/>
      <c r="J662" s="888"/>
      <c r="K662" s="888"/>
      <c r="L662" s="888"/>
      <c r="M662" s="888"/>
      <c r="N662" s="888"/>
      <c r="O662" s="888"/>
      <c r="P662" s="888"/>
      <c r="Q662" s="888"/>
      <c r="R662" s="888"/>
    </row>
    <row r="663" spans="1:18" x14ac:dyDescent="0.3">
      <c r="A663" s="888" t="str">
        <f>IF(LEN('Translation-EN'!A663)&gt;0,'Translation-EN'!A663,"")</f>
        <v>Range</v>
      </c>
      <c r="B663" s="888" t="str">
        <f>IF(LEN('Translation-EN'!B663)&gt;0,'Translation-EN'!B663,"")</f>
        <v>Party Walls</v>
      </c>
      <c r="C663" s="888" t="str">
        <f>IF(LEN('Translation-EN'!C663)&gt;0,'Translation-EN'!C663,"")</f>
        <v>B250</v>
      </c>
      <c r="D663" s="888" t="str">
        <f>IF(LEN('Translation-EN'!D663)&gt;0,'Translation-EN'!D663,"")</f>
        <v/>
      </c>
      <c r="E663" s="893" t="str">
        <f>$E$455</f>
        <v>PANNEAU DE CIMENT</v>
      </c>
    </row>
    <row r="664" spans="1:18" x14ac:dyDescent="0.3">
      <c r="A664" s="888" t="str">
        <f>IF(LEN('Translation-EN'!A664)&gt;0,'Translation-EN'!A664,"")</f>
        <v>Range</v>
      </c>
      <c r="B664" s="888" t="str">
        <f>IF(LEN('Translation-EN'!B664)&gt;0,'Translation-EN'!B664,"")</f>
        <v>_Party Walls</v>
      </c>
      <c r="C664" s="888" t="str">
        <f>IF(LEN('Translation-EN'!C664)&gt;0,'Translation-EN'!C664,"")</f>
        <v>R230</v>
      </c>
      <c r="D664" s="888" t="str">
        <f>IF(LEN('Translation-EN'!D664)&gt;0,'Translation-EN'!D664,"")</f>
        <v/>
      </c>
      <c r="E664" s="893" t="s">
        <v>3007</v>
      </c>
    </row>
    <row r="665" spans="1:18" x14ac:dyDescent="0.3">
      <c r="A665" s="888" t="str">
        <f>IF(LEN('Translation-EN'!A665)&gt;0,'Translation-EN'!A665,"")</f>
        <v>Range</v>
      </c>
      <c r="B665" s="888" t="str">
        <f>IF(LEN('Translation-EN'!B665)&gt;0,'Translation-EN'!B665,"")</f>
        <v>Party Walls</v>
      </c>
      <c r="C665" s="888" t="str">
        <f>IF(LEN('Translation-EN'!C665)&gt;0,'Translation-EN'!C665,"")</f>
        <v>A253</v>
      </c>
      <c r="D665" s="888" t="str">
        <f>IF(LEN('Translation-EN'!D665)&gt;0,'Translation-EN'!D665,"")</f>
        <v/>
      </c>
      <c r="E665" s="893" t="str">
        <f>$E$302</f>
        <v>COFFRAGES ISOLÉS EN BÉTON (CIB) – MOUSSE EPS</v>
      </c>
    </row>
    <row r="666" spans="1:18" x14ac:dyDescent="0.3">
      <c r="A666" s="888" t="str">
        <f>IF(LEN('Translation-EN'!A666)&gt;0,'Translation-EN'!A666,"")</f>
        <v>Range</v>
      </c>
      <c r="B666" s="888" t="str">
        <f>IF(LEN('Translation-EN'!B666)&gt;0,'Translation-EN'!B666,"")</f>
        <v>Party Walls</v>
      </c>
      <c r="C666" s="888" t="str">
        <f>IF(LEN('Translation-EN'!C666)&gt;0,'Translation-EN'!C666,"")</f>
        <v>A254</v>
      </c>
      <c r="D666" s="888" t="str">
        <f>IF(LEN('Translation-EN'!D666)&gt;0,'Translation-EN'!D666,"")</f>
        <v/>
      </c>
      <c r="E666" s="893" t="str">
        <f>$E$303</f>
        <v>Étape 1 : Sélectionnez la taille du CIB</v>
      </c>
    </row>
    <row r="667" spans="1:18" x14ac:dyDescent="0.3">
      <c r="A667" s="888" t="str">
        <f>IF(LEN('Translation-EN'!A667)&gt;0,'Translation-EN'!A667,"")</f>
        <v>Range</v>
      </c>
      <c r="B667" s="888" t="str">
        <f>IF(LEN('Translation-EN'!B667)&gt;0,'Translation-EN'!B667,"")</f>
        <v>Party Walls</v>
      </c>
      <c r="C667" s="888" t="str">
        <f>IF(LEN('Translation-EN'!C667)&gt;0,'Translation-EN'!C667,"")</f>
        <v>B255</v>
      </c>
      <c r="D667" s="888" t="str">
        <f>IF(LEN('Translation-EN'!D667)&gt;0,'Translation-EN'!D667,"")</f>
        <v/>
      </c>
      <c r="E667" s="893" t="str">
        <f>$E$193</f>
        <v>BÉTON –25 MPa ou moins</v>
      </c>
    </row>
    <row r="668" spans="1:18" x14ac:dyDescent="0.3">
      <c r="A668" s="888" t="str">
        <f>IF(LEN('Translation-EN'!A668)&gt;0,'Translation-EN'!A668,"")</f>
        <v>Range</v>
      </c>
      <c r="B668" s="888" t="str">
        <f>IF(LEN('Translation-EN'!B668)&gt;0,'Translation-EN'!B668,"")</f>
        <v>Party Walls</v>
      </c>
      <c r="C668" s="888" t="str">
        <f>IF(LEN('Translation-EN'!C668)&gt;0,'Translation-EN'!C668,"")</f>
        <v>A256</v>
      </c>
      <c r="D668" s="888" t="str">
        <f>IF(LEN('Translation-EN'!D668)&gt;0,'Translation-EN'!D668,"")</f>
        <v/>
      </c>
      <c r="E668" s="893" t="str">
        <f>$E$305</f>
        <v>Étape 2 : Sélectionnez l’option de remplissage en béton.</v>
      </c>
    </row>
    <row r="669" spans="1:18" x14ac:dyDescent="0.3">
      <c r="A669" s="888" t="str">
        <f>IF(LEN('Translation-EN'!A669)&gt;0,'Translation-EN'!A669,"")</f>
        <v>Range</v>
      </c>
      <c r="B669" s="888" t="str">
        <f>IF(LEN('Translation-EN'!B669)&gt;0,'Translation-EN'!B669,"")</f>
        <v>Party Walls</v>
      </c>
      <c r="C669" s="888" t="str">
        <f>IF(LEN('Translation-EN'!C669)&gt;0,'Translation-EN'!C669,"")</f>
        <v>B263</v>
      </c>
      <c r="D669" s="888" t="str">
        <f>IF(LEN('Translation-EN'!D669)&gt;0,'Translation-EN'!D669,"")</f>
        <v/>
      </c>
      <c r="E669" s="893" t="str">
        <f>$E$195</f>
        <v>BÉTON –26-30 MPa</v>
      </c>
    </row>
    <row r="670" spans="1:18" x14ac:dyDescent="0.3">
      <c r="A670" s="888" t="str">
        <f>IF(LEN('Translation-EN'!A670)&gt;0,'Translation-EN'!A670,"")</f>
        <v>Range</v>
      </c>
      <c r="B670" s="888" t="str">
        <f>IF(LEN('Translation-EN'!B670)&gt;0,'Translation-EN'!B670,"")</f>
        <v>Party Walls</v>
      </c>
      <c r="C670" s="888" t="str">
        <f>IF(LEN('Translation-EN'!C670)&gt;0,'Translation-EN'!C670,"")</f>
        <v>A264</v>
      </c>
      <c r="D670" s="888" t="str">
        <f>IF(LEN('Translation-EN'!D670)&gt;0,'Translation-EN'!D670,"")</f>
        <v/>
      </c>
      <c r="E670" s="893"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671" spans="1:18" x14ac:dyDescent="0.3">
      <c r="A671" s="888" t="str">
        <f>IF(LEN('Translation-EN'!A671)&gt;0,'Translation-EN'!A671,"")</f>
        <v>Range</v>
      </c>
      <c r="B671" s="888" t="str">
        <f>IF(LEN('Translation-EN'!B671)&gt;0,'Translation-EN'!B671,"")</f>
        <v>Party Walls</v>
      </c>
      <c r="C671" s="888" t="str">
        <f>IF(LEN('Translation-EN'!C671)&gt;0,'Translation-EN'!C671,"")</f>
        <v>B271</v>
      </c>
      <c r="D671" s="888" t="str">
        <f>IF(LEN('Translation-EN'!D671)&gt;0,'Translation-EN'!D671,"")</f>
        <v/>
      </c>
      <c r="E671" s="893" t="str">
        <f>$E$197</f>
        <v>BÉTON –31-35 MPa</v>
      </c>
    </row>
    <row r="672" spans="1:18" x14ac:dyDescent="0.3">
      <c r="A672" s="888" t="str">
        <f>IF(LEN('Translation-EN'!A672)&gt;0,'Translation-EN'!A672,"")</f>
        <v>Range</v>
      </c>
      <c r="B672" s="888" t="str">
        <f>IF(LEN('Translation-EN'!B672)&gt;0,'Translation-EN'!B672,"")</f>
        <v>Party Walls</v>
      </c>
      <c r="C672" s="888" t="str">
        <f>IF(LEN('Translation-EN'!C672)&gt;0,'Translation-EN'!C672,"")</f>
        <v>A272</v>
      </c>
      <c r="D672" s="888" t="str">
        <f>IF(LEN('Translation-EN'!D672)&gt;0,'Translation-EN'!D672,"")</f>
        <v/>
      </c>
      <c r="E672" s="893"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673" spans="1:19" x14ac:dyDescent="0.3">
      <c r="A673" s="888" t="str">
        <f>IF(LEN('Translation-EN'!A673)&gt;0,'Translation-EN'!A673,"")</f>
        <v>Range</v>
      </c>
      <c r="B673" s="888" t="str">
        <f>IF(LEN('Translation-EN'!B673)&gt;0,'Translation-EN'!B673,"")</f>
        <v>Party Walls</v>
      </c>
      <c r="C673" s="888" t="str">
        <f>IF(LEN('Translation-EN'!C673)&gt;0,'Translation-EN'!C673,"")</f>
        <v>A279</v>
      </c>
      <c r="D673" s="888" t="str">
        <f>IF(LEN('Translation-EN'!D673)&gt;0,'Translation-EN'!D673,"")</f>
        <v/>
      </c>
      <c r="E673" s="893" t="str">
        <f>$E$310</f>
        <v>COFFRAGES ISOLÉS EN BÉTON (CIB) – COPEAUX DE BOIS/CIMENT</v>
      </c>
    </row>
    <row r="674" spans="1:19" x14ac:dyDescent="0.3">
      <c r="A674" s="888" t="str">
        <f>IF(LEN('Translation-EN'!A674)&gt;0,'Translation-EN'!A674,"")</f>
        <v>Range</v>
      </c>
      <c r="B674" s="888" t="str">
        <f>IF(LEN('Translation-EN'!B674)&gt;0,'Translation-EN'!B674,"")</f>
        <v>Party Walls</v>
      </c>
      <c r="C674" s="888" t="str">
        <f>IF(LEN('Translation-EN'!C674)&gt;0,'Translation-EN'!C674,"")</f>
        <v>A280</v>
      </c>
      <c r="D674" s="888" t="str">
        <f>IF(LEN('Translation-EN'!D674)&gt;0,'Translation-EN'!D674,"")</f>
        <v/>
      </c>
      <c r="E674" s="942" t="str">
        <f>$E$529</f>
        <v>Étape 1 : Choisir la taille et l’isolation des CIB</v>
      </c>
    </row>
    <row r="675" spans="1:19" x14ac:dyDescent="0.3">
      <c r="A675" s="888" t="str">
        <f>IF(LEN('Translation-EN'!A675)&gt;0,'Translation-EN'!A675,"")</f>
        <v>Range</v>
      </c>
      <c r="B675" s="888" t="str">
        <f>IF(LEN('Translation-EN'!B675)&gt;0,'Translation-EN'!B675,"")</f>
        <v>Party Walls</v>
      </c>
      <c r="C675" s="888" t="str">
        <f>IF(LEN('Translation-EN'!C675)&gt;0,'Translation-EN'!C675,"")</f>
        <v>B284</v>
      </c>
      <c r="D675" s="888" t="str">
        <f>IF(LEN('Translation-EN'!D675)&gt;0,'Translation-EN'!D675,"")</f>
        <v/>
      </c>
      <c r="E675" s="893" t="str">
        <f>$E$530</f>
        <v>BÉTON –25 MPa ou moins</v>
      </c>
    </row>
    <row r="676" spans="1:19" ht="15" customHeight="1" x14ac:dyDescent="0.3">
      <c r="A676" s="888" t="str">
        <f>IF(LEN('Translation-EN'!A676)&gt;0,'Translation-EN'!A676,"")</f>
        <v>Range</v>
      </c>
      <c r="B676" s="888" t="str">
        <f>IF(LEN('Translation-EN'!B676)&gt;0,'Translation-EN'!B676,"")</f>
        <v>Party Walls</v>
      </c>
      <c r="C676" s="888" t="str">
        <f>IF(LEN('Translation-EN'!C676)&gt;0,'Translation-EN'!C676,"")</f>
        <v>A285</v>
      </c>
      <c r="D676" s="888" t="b">
        <f>IF(LEN('Translation-EN'!D676)&gt;0,'Translation-EN'!D676,"")</f>
        <v>1</v>
      </c>
      <c r="E676" s="1682" t="str">
        <f>$E$531</f>
        <v>Étape 2 : Sélectionnez l'option de remplissage en béton pour le système de mur en CIB. La quantité de béton s'adapte à la taille du CIB choisi.</v>
      </c>
      <c r="F676" s="1683"/>
    </row>
    <row r="677" spans="1:19" ht="15" customHeight="1" x14ac:dyDescent="0.3">
      <c r="A677" s="888" t="str">
        <f>IF(LEN('Translation-EN'!A677)&gt;0,'Translation-EN'!A677,"")</f>
        <v>-</v>
      </c>
      <c r="B677" s="888" t="str">
        <f>IF(LEN('Translation-EN'!B677)&gt;0,'Translation-EN'!B677,"")</f>
        <v/>
      </c>
      <c r="C677" s="888" t="str">
        <f>IF(LEN('Translation-EN'!C677)&gt;0,'Translation-EN'!C677,"")</f>
        <v/>
      </c>
      <c r="D677" s="888" t="str">
        <f>IF(LEN('Translation-EN'!D677)&gt;0,'Translation-EN'!D677,"")</f>
        <v/>
      </c>
      <c r="E677" s="1682"/>
      <c r="F677" s="1683"/>
    </row>
    <row r="678" spans="1:19" ht="15" customHeight="1" x14ac:dyDescent="0.3">
      <c r="A678" s="888" t="str">
        <f>IF(LEN('Translation-EN'!A678)&gt;0,'Translation-EN'!A678,"")</f>
        <v>-</v>
      </c>
      <c r="B678" s="888" t="str">
        <f>IF(LEN('Translation-EN'!B678)&gt;0,'Translation-EN'!B678,"")</f>
        <v/>
      </c>
      <c r="C678" s="888" t="str">
        <f>IF(LEN('Translation-EN'!C678)&gt;0,'Translation-EN'!C678,"")</f>
        <v/>
      </c>
      <c r="D678" s="888" t="str">
        <f>IF(LEN('Translation-EN'!D678)&gt;0,'Translation-EN'!D678,"")</f>
        <v/>
      </c>
      <c r="E678" s="1682"/>
      <c r="F678" s="1683"/>
    </row>
    <row r="679" spans="1:19" ht="15" customHeight="1" x14ac:dyDescent="0.3">
      <c r="A679" s="888" t="str">
        <f>IF(LEN('Translation-EN'!A679)&gt;0,'Translation-EN'!A679,"")</f>
        <v>-</v>
      </c>
      <c r="B679" s="888" t="str">
        <f>IF(LEN('Translation-EN'!B679)&gt;0,'Translation-EN'!B679,"")</f>
        <v/>
      </c>
      <c r="C679" s="888" t="str">
        <f>IF(LEN('Translation-EN'!C679)&gt;0,'Translation-EN'!C679,"")</f>
        <v/>
      </c>
      <c r="D679" s="888" t="str">
        <f>IF(LEN('Translation-EN'!D679)&gt;0,'Translation-EN'!D679,"")</f>
        <v/>
      </c>
      <c r="E679" s="1682"/>
      <c r="F679" s="1683"/>
    </row>
    <row r="680" spans="1:19" ht="15" customHeight="1" x14ac:dyDescent="0.3">
      <c r="A680" s="888" t="str">
        <f>IF(LEN('Translation-EN'!A680)&gt;0,'Translation-EN'!A680,"")</f>
        <v>-</v>
      </c>
      <c r="B680" s="888" t="str">
        <f>IF(LEN('Translation-EN'!B680)&gt;0,'Translation-EN'!B680,"")</f>
        <v/>
      </c>
      <c r="C680" s="888" t="str">
        <f>IF(LEN('Translation-EN'!C680)&gt;0,'Translation-EN'!C680,"")</f>
        <v/>
      </c>
      <c r="D680" s="888" t="str">
        <f>IF(LEN('Translation-EN'!D680)&gt;0,'Translation-EN'!D680,"")</f>
        <v/>
      </c>
      <c r="E680" s="1682"/>
      <c r="F680" s="1683"/>
    </row>
    <row r="681" spans="1:19" ht="15" customHeight="1" x14ac:dyDescent="0.3">
      <c r="A681" s="888" t="str">
        <f>IF(LEN('Translation-EN'!A681)&gt;0,'Translation-EN'!A681,"")</f>
        <v>-</v>
      </c>
      <c r="B681" s="888" t="str">
        <f>IF(LEN('Translation-EN'!B681)&gt;0,'Translation-EN'!B681,"")</f>
        <v/>
      </c>
      <c r="C681" s="888" t="str">
        <f>IF(LEN('Translation-EN'!C681)&gt;0,'Translation-EN'!C681,"")</f>
        <v/>
      </c>
      <c r="D681" s="888" t="str">
        <f>IF(LEN('Translation-EN'!D681)&gt;0,'Translation-EN'!D681,"")</f>
        <v/>
      </c>
      <c r="E681" s="1684"/>
      <c r="F681" s="1685"/>
    </row>
    <row r="682" spans="1:19" x14ac:dyDescent="0.3">
      <c r="A682" s="888" t="str">
        <f>IF(LEN('Translation-EN'!A682)&gt;0,'Translation-EN'!A682,"")</f>
        <v>Range</v>
      </c>
      <c r="B682" s="888" t="str">
        <f>IF(LEN('Translation-EN'!B682)&gt;0,'Translation-EN'!B682,"")</f>
        <v>Party Walls</v>
      </c>
      <c r="C682" s="888" t="str">
        <f>IF(LEN('Translation-EN'!C682)&gt;0,'Translation-EN'!C682,"")</f>
        <v>B292</v>
      </c>
      <c r="D682" s="888" t="str">
        <f>IF(LEN('Translation-EN'!D682)&gt;0,'Translation-EN'!D682,"")</f>
        <v/>
      </c>
      <c r="E682" s="893" t="str">
        <f>$E$195</f>
        <v>BÉTON –26-30 MPa</v>
      </c>
    </row>
    <row r="683" spans="1:19" x14ac:dyDescent="0.3">
      <c r="A683" s="888" t="str">
        <f>IF(LEN('Translation-EN'!A683)&gt;0,'Translation-EN'!A683,"")</f>
        <v>Range</v>
      </c>
      <c r="B683" s="888" t="str">
        <f>IF(LEN('Translation-EN'!B683)&gt;0,'Translation-EN'!B683,"")</f>
        <v>Party Walls</v>
      </c>
      <c r="C683" s="888" t="str">
        <f>IF(LEN('Translation-EN'!C683)&gt;0,'Translation-EN'!C683,"")</f>
        <v>A293</v>
      </c>
      <c r="D683" s="888" t="str">
        <f>IF(LEN('Translation-EN'!D683)&gt;0,'Translation-EN'!D683,"")</f>
        <v/>
      </c>
      <c r="E683" s="893"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684" spans="1:19" x14ac:dyDescent="0.3">
      <c r="A684" s="888" t="str">
        <f>IF(LEN('Translation-EN'!A684)&gt;0,'Translation-EN'!A684,"")</f>
        <v>Range</v>
      </c>
      <c r="B684" s="888" t="str">
        <f>IF(LEN('Translation-EN'!B684)&gt;0,'Translation-EN'!B684,"")</f>
        <v>Party Walls</v>
      </c>
      <c r="C684" s="888" t="str">
        <f>IF(LEN('Translation-EN'!C684)&gt;0,'Translation-EN'!C684,"")</f>
        <v>B300</v>
      </c>
      <c r="D684" s="888" t="str">
        <f>IF(LEN('Translation-EN'!D684)&gt;0,'Translation-EN'!D684,"")</f>
        <v/>
      </c>
      <c r="E684" s="893" t="str">
        <f>$E$197</f>
        <v>BÉTON –31-35 MPa</v>
      </c>
    </row>
    <row r="685" spans="1:19" x14ac:dyDescent="0.3">
      <c r="A685" s="888" t="str">
        <f>IF(LEN('Translation-EN'!A685)&gt;0,'Translation-EN'!A685,"")</f>
        <v>Range</v>
      </c>
      <c r="B685" s="888" t="str">
        <f>IF(LEN('Translation-EN'!B685)&gt;0,'Translation-EN'!B685,"")</f>
        <v>Party Walls</v>
      </c>
      <c r="C685" s="888" t="str">
        <f>IF(LEN('Translation-EN'!C685)&gt;0,'Translation-EN'!C685,"")</f>
        <v>A301</v>
      </c>
      <c r="D685" s="888" t="str">
        <f>IF(LEN('Translation-EN'!D685)&gt;0,'Translation-EN'!D685,"")</f>
        <v/>
      </c>
      <c r="E685" s="893"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686" spans="1:19" x14ac:dyDescent="0.3">
      <c r="A686" s="888" t="str">
        <f>IF(LEN('Translation-EN'!A686)&gt;0,'Translation-EN'!A686,"")</f>
        <v>Range</v>
      </c>
      <c r="B686" s="888" t="str">
        <f>IF(LEN('Translation-EN'!B686)&gt;0,'Translation-EN'!B686,"")</f>
        <v>Cladding</v>
      </c>
      <c r="C686" s="888" t="str">
        <f>IF(LEN('Translation-EN'!C686)&gt;0,'Translation-EN'!C686,"")</f>
        <v>A1</v>
      </c>
      <c r="D686" s="888" t="str">
        <f>IF(LEN('Translation-EN'!D686)&gt;0,'Translation-EN'!D686,"")</f>
        <v/>
      </c>
      <c r="E686" s="893" t="s">
        <v>3008</v>
      </c>
    </row>
    <row r="687" spans="1:19" x14ac:dyDescent="0.3">
      <c r="A687" s="888" t="str">
        <f>IF(LEN('Translation-EN'!A687)&gt;0,'Translation-EN'!A687,"")</f>
        <v>Range</v>
      </c>
      <c r="B687" s="888" t="str">
        <f>IF(LEN('Translation-EN'!B687)&gt;0,'Translation-EN'!B687,"")</f>
        <v>Cladding</v>
      </c>
      <c r="C687" s="888" t="str">
        <f>IF(LEN('Translation-EN'!C687)&gt;0,'Translation-EN'!C687,"")</f>
        <v>D1</v>
      </c>
      <c r="D687" s="888" t="str">
        <f>IF(LEN('Translation-EN'!D687)&gt;0,'Translation-EN'!D687,"")</f>
        <v/>
      </c>
      <c r="E687" s="893" t="s">
        <v>3009</v>
      </c>
    </row>
    <row r="688" spans="1:19" ht="198" customHeight="1" x14ac:dyDescent="0.3">
      <c r="A688" s="888" t="str">
        <f>IF(LEN('Translation-EN'!A688)&gt;0,'Translation-EN'!A688,"")</f>
        <v>Range</v>
      </c>
      <c r="B688" s="888" t="str">
        <f>IF(LEN('Translation-EN'!B688)&gt;0,'Translation-EN'!B688,"")</f>
        <v>Cladding</v>
      </c>
      <c r="C688" s="888" t="str">
        <f>IF(LEN('Translation-EN'!C688)&gt;0,'Translation-EN'!C688,"")</f>
        <v>A2</v>
      </c>
      <c r="D688" s="888" t="b">
        <f>IF(LEN('Translation-EN'!D688)&gt;0,'Translation-EN'!D688,"")</f>
        <v>1</v>
      </c>
      <c r="E688" s="1696"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688" s="1696"/>
      <c r="G688" s="1696"/>
      <c r="H688" s="1696"/>
      <c r="I688" s="1696"/>
      <c r="J688" s="1696"/>
      <c r="K688" s="1696"/>
      <c r="L688" s="1696"/>
      <c r="M688" s="1696"/>
      <c r="N688" s="1696"/>
      <c r="O688" s="1696"/>
      <c r="P688" s="1696"/>
      <c r="Q688" s="1696"/>
      <c r="R688" s="1696"/>
      <c r="S688" s="1696"/>
    </row>
    <row r="689" spans="1:18" x14ac:dyDescent="0.3">
      <c r="A689" s="888" t="str">
        <f>IF(LEN('Translation-EN'!A689)&gt;0,'Translation-EN'!A689,"")</f>
        <v>Range</v>
      </c>
      <c r="B689" s="888" t="str">
        <f>IF(LEN('Translation-EN'!B689)&gt;0,'Translation-EN'!B689,"")</f>
        <v>Cladding</v>
      </c>
      <c r="C689" s="888" t="str">
        <f>IF(LEN('Translation-EN'!C689)&gt;0,'Translation-EN'!C689,"")</f>
        <v>A3</v>
      </c>
      <c r="D689" s="888" t="str">
        <f>IF(LEN('Translation-EN'!D689)&gt;0,'Translation-EN'!D689,"")</f>
        <v/>
      </c>
      <c r="E689" s="888" t="str">
        <f>$E$170</f>
        <v>CATÉGORIE</v>
      </c>
    </row>
    <row r="690" spans="1:18" x14ac:dyDescent="0.3">
      <c r="A690" s="888" t="str">
        <f>IF(LEN('Translation-EN'!A690)&gt;0,'Translation-EN'!A690,"")</f>
        <v>Range</v>
      </c>
      <c r="B690" s="888" t="str">
        <f>IF(LEN('Translation-EN'!B690)&gt;0,'Translation-EN'!B690,"")</f>
        <v>Cladding</v>
      </c>
      <c r="C690" s="888" t="str">
        <f>IF(LEN('Translation-EN'!C690)&gt;0,'Translation-EN'!C690,"")</f>
        <v>C3</v>
      </c>
      <c r="D690" s="888" t="str">
        <f>IF(LEN('Translation-EN'!D690)&gt;0,'Translation-EN'!D690,"")</f>
        <v/>
      </c>
      <c r="E690" s="893" t="str">
        <f>$E$171</f>
        <v>MATÉRIAU</v>
      </c>
    </row>
    <row r="691" spans="1:18" x14ac:dyDescent="0.3">
      <c r="A691" s="888" t="str">
        <f>IF(LEN('Translation-EN'!A691)&gt;0,'Translation-EN'!A691,"")</f>
        <v>Range</v>
      </c>
      <c r="B691" s="888" t="str">
        <f>IF(LEN('Translation-EN'!B691)&gt;0,'Translation-EN'!B691,"")</f>
        <v>Cladding</v>
      </c>
      <c r="C691" s="888" t="str">
        <f>IF(LEN('Translation-EN'!C691)&gt;0,'Translation-EN'!C691,"")</f>
        <v>D3</v>
      </c>
      <c r="D691" s="888" t="str">
        <f>IF(LEN('Translation-EN'!D691)&gt;0,'Translation-EN'!D691,"")</f>
        <v/>
      </c>
      <c r="E691" s="893" t="str">
        <f>$E$127</f>
        <v>QUANTITÉ</v>
      </c>
    </row>
    <row r="692" spans="1:18" x14ac:dyDescent="0.3">
      <c r="A692" s="888" t="str">
        <f>IF(LEN('Translation-EN'!A692)&gt;0,'Translation-EN'!A692,"")</f>
        <v>Range</v>
      </c>
      <c r="B692" s="888" t="str">
        <f>IF(LEN('Translation-EN'!B692)&gt;0,'Translation-EN'!B692,"")</f>
        <v>Cladding</v>
      </c>
      <c r="C692" s="888" t="str">
        <f>IF(LEN('Translation-EN'!C692)&gt;0,'Translation-EN'!C692,"")</f>
        <v>H3</v>
      </c>
      <c r="D692" s="888" t="str">
        <f>IF(LEN('Translation-EN'!D692)&gt;0,'Translation-EN'!D692,"")</f>
        <v/>
      </c>
      <c r="E692" s="888" t="str">
        <f>$E$173</f>
        <v xml:space="preserve"> SÉLECTIONNER</v>
      </c>
    </row>
    <row r="693" spans="1:18" ht="15" customHeight="1" x14ac:dyDescent="0.3">
      <c r="A693" s="888" t="str">
        <f>IF(LEN('Translation-EN'!A693)&gt;0,'Translation-EN'!A693,"")</f>
        <v>Range</v>
      </c>
      <c r="B693" s="888" t="str">
        <f>IF(LEN('Translation-EN'!B693)&gt;0,'Translation-EN'!B693,"")</f>
        <v>_Cladding</v>
      </c>
      <c r="C693" s="888" t="str">
        <f>IF(LEN('Translation-EN'!C693)&gt;0,'Translation-EN'!C693,"")</f>
        <v>I3</v>
      </c>
      <c r="D693" s="888" t="b">
        <f>IF(LEN('Translation-EN'!D693)&gt;0,'Translation-EN'!D693,"")</f>
        <v>1</v>
      </c>
      <c r="E693" s="1669" t="str">
        <f>$E$174</f>
        <v>ÉMISSIONS NETTES kgCO2e</v>
      </c>
    </row>
    <row r="694" spans="1:18" ht="15" customHeight="1" x14ac:dyDescent="0.3">
      <c r="A694" s="888" t="str">
        <f>IF(LEN('Translation-EN'!A694)&gt;0,'Translation-EN'!A694,"")</f>
        <v>-</v>
      </c>
      <c r="B694" s="888" t="str">
        <f>IF(LEN('Translation-EN'!B694)&gt;0,'Translation-EN'!B694,"")</f>
        <v/>
      </c>
      <c r="C694" s="888" t="str">
        <f>IF(LEN('Translation-EN'!C694)&gt;0,'Translation-EN'!C694,"")</f>
        <v/>
      </c>
      <c r="D694" s="888" t="str">
        <f>IF(LEN('Translation-EN'!D694)&gt;0,'Translation-EN'!D694,"")</f>
        <v/>
      </c>
      <c r="E694" s="1669"/>
    </row>
    <row r="695" spans="1:18" s="893" customFormat="1" ht="26.4" customHeight="1" x14ac:dyDescent="0.3">
      <c r="A695" s="888" t="str">
        <f>IF(LEN('Translation-EN'!A695)&gt;0,'Translation-EN'!A695,"")</f>
        <v>Range</v>
      </c>
      <c r="B695" s="888" t="str">
        <f>IF(LEN('Translation-EN'!B695)&gt;0,'Translation-EN'!B695,"")</f>
        <v>_Cladding</v>
      </c>
      <c r="C695" s="888" t="str">
        <f>IF(LEN('Translation-EN'!C695)&gt;0,'Translation-EN'!C695,"")</f>
        <v>J3</v>
      </c>
      <c r="D695" s="888" t="b">
        <f>IF(LEN('Translation-EN'!D695)&gt;0,'Translation-EN'!D695,"")</f>
        <v>1</v>
      </c>
      <c r="E695" s="1669" t="str">
        <f>$E$176</f>
        <v>CONTENU DE kgCO2e DANS LE MATÉRIAU SÉLECTIONNÉ</v>
      </c>
      <c r="I695" s="888"/>
      <c r="J695" s="888"/>
      <c r="K695" s="888"/>
      <c r="L695" s="888"/>
      <c r="M695" s="888"/>
      <c r="N695" s="888"/>
      <c r="O695" s="888"/>
      <c r="P695" s="888"/>
      <c r="Q695" s="888"/>
      <c r="R695" s="888"/>
    </row>
    <row r="696" spans="1:18" s="893" customFormat="1" ht="15" customHeight="1" x14ac:dyDescent="0.3">
      <c r="A696" s="888" t="str">
        <f>IF(LEN('Translation-EN'!A696)&gt;0,'Translation-EN'!A696,"")</f>
        <v>-</v>
      </c>
      <c r="B696" s="888" t="str">
        <f>IF(LEN('Translation-EN'!B696)&gt;0,'Translation-EN'!B696,"")</f>
        <v/>
      </c>
      <c r="C696" s="888" t="str">
        <f>IF(LEN('Translation-EN'!C696)&gt;0,'Translation-EN'!C696,"")</f>
        <v/>
      </c>
      <c r="D696" s="888" t="str">
        <f>IF(LEN('Translation-EN'!D696)&gt;0,'Translation-EN'!D696,"")</f>
        <v/>
      </c>
      <c r="E696" s="1670"/>
      <c r="I696" s="888"/>
      <c r="J696" s="888"/>
      <c r="K696" s="888"/>
      <c r="L696" s="888"/>
      <c r="M696" s="888"/>
      <c r="N696" s="888"/>
      <c r="O696" s="888"/>
      <c r="P696" s="888"/>
      <c r="Q696" s="888"/>
      <c r="R696" s="888"/>
    </row>
    <row r="697" spans="1:18" s="893" customFormat="1" ht="15" customHeight="1" x14ac:dyDescent="0.3">
      <c r="A697" s="888" t="str">
        <f>IF(LEN('Translation-EN'!A697)&gt;0,'Translation-EN'!A697,"")</f>
        <v>Range</v>
      </c>
      <c r="B697" s="888" t="str">
        <f>IF(LEN('Translation-EN'!B697)&gt;0,'Translation-EN'!B697,"")</f>
        <v>Cladding</v>
      </c>
      <c r="C697" s="888" t="str">
        <f>IF(LEN('Translation-EN'!C697)&gt;0,'Translation-EN'!C697,"")</f>
        <v>K3</v>
      </c>
      <c r="D697" s="888" t="b">
        <f>IF(LEN('Translation-EN'!D697)&gt;0,'Translation-EN'!D697,"")</f>
        <v>1</v>
      </c>
      <c r="E697" s="1669" t="str">
        <f>$E$178</f>
        <v xml:space="preserve">ÉMISSIONS EN kgCO2e </v>
      </c>
      <c r="I697" s="888"/>
      <c r="J697" s="888"/>
      <c r="K697" s="888"/>
      <c r="L697" s="888"/>
      <c r="M697" s="888"/>
      <c r="N697" s="888"/>
      <c r="O697" s="888"/>
      <c r="P697" s="888"/>
      <c r="Q697" s="888"/>
      <c r="R697" s="888"/>
    </row>
    <row r="698" spans="1:18" s="893" customFormat="1" ht="15" customHeight="1" x14ac:dyDescent="0.3">
      <c r="A698" s="888" t="str">
        <f>IF(LEN('Translation-EN'!A698)&gt;0,'Translation-EN'!A698,"")</f>
        <v>-</v>
      </c>
      <c r="B698" s="888" t="str">
        <f>IF(LEN('Translation-EN'!B698)&gt;0,'Translation-EN'!B698,"")</f>
        <v/>
      </c>
      <c r="C698" s="888" t="str">
        <f>IF(LEN('Translation-EN'!C698)&gt;0,'Translation-EN'!C698,"")</f>
        <v/>
      </c>
      <c r="D698" s="888" t="str">
        <f>IF(LEN('Translation-EN'!D698)&gt;0,'Translation-EN'!D698,"")</f>
        <v/>
      </c>
      <c r="E698" s="1670"/>
      <c r="I698" s="888"/>
      <c r="J698" s="888"/>
      <c r="K698" s="888"/>
      <c r="L698" s="888"/>
      <c r="M698" s="888"/>
      <c r="N698" s="888"/>
      <c r="O698" s="888"/>
      <c r="P698" s="888"/>
      <c r="Q698" s="888"/>
      <c r="R698" s="888"/>
    </row>
    <row r="699" spans="1:18" s="893" customFormat="1" ht="15" customHeight="1" x14ac:dyDescent="0.3">
      <c r="A699" s="888" t="str">
        <f>IF(LEN('Translation-EN'!A699)&gt;0,'Translation-EN'!A699,"")</f>
        <v>Range</v>
      </c>
      <c r="B699" s="888" t="str">
        <f>IF(LEN('Translation-EN'!B699)&gt;0,'Translation-EN'!B699,"")</f>
        <v>Cladding</v>
      </c>
      <c r="C699" s="888" t="str">
        <f>IF(LEN('Translation-EN'!C699)&gt;0,'Translation-EN'!C699,"")</f>
        <v>L3</v>
      </c>
      <c r="D699" s="888" t="b">
        <f>IF(LEN('Translation-EN'!D699)&gt;0,'Translation-EN'!D699,"")</f>
        <v>1</v>
      </c>
      <c r="E699" s="1669" t="str">
        <f>$E$180</f>
        <v>STOCKAGE kgCO₂</v>
      </c>
      <c r="I699" s="888"/>
      <c r="J699" s="888"/>
      <c r="K699" s="888"/>
      <c r="L699" s="888"/>
      <c r="M699" s="888"/>
      <c r="N699" s="888"/>
      <c r="O699" s="888"/>
      <c r="P699" s="888"/>
      <c r="Q699" s="888"/>
      <c r="R699" s="888"/>
    </row>
    <row r="700" spans="1:18" s="893" customFormat="1" ht="15" customHeight="1" x14ac:dyDescent="0.3">
      <c r="A700" s="888" t="str">
        <f>IF(LEN('Translation-EN'!A700)&gt;0,'Translation-EN'!A700,"")</f>
        <v>-</v>
      </c>
      <c r="B700" s="888" t="str">
        <f>IF(LEN('Translation-EN'!B700)&gt;0,'Translation-EN'!B700,"")</f>
        <v/>
      </c>
      <c r="C700" s="888" t="str">
        <f>IF(LEN('Translation-EN'!C700)&gt;0,'Translation-EN'!C700,"")</f>
        <v/>
      </c>
      <c r="D700" s="888" t="str">
        <f>IF(LEN('Translation-EN'!D700)&gt;0,'Translation-EN'!D700,"")</f>
        <v/>
      </c>
      <c r="E700" s="1670"/>
      <c r="I700" s="888"/>
      <c r="J700" s="888"/>
      <c r="K700" s="888"/>
      <c r="L700" s="888"/>
      <c r="M700" s="888"/>
      <c r="N700" s="888"/>
      <c r="O700" s="888"/>
      <c r="P700" s="888"/>
      <c r="Q700" s="888"/>
      <c r="R700" s="888"/>
    </row>
    <row r="701" spans="1:18" s="893" customFormat="1" ht="15" customHeight="1" x14ac:dyDescent="0.3">
      <c r="A701" s="888" t="str">
        <f>IF(LEN('Translation-EN'!A701)&gt;0,'Translation-EN'!A701,"")</f>
        <v>Range</v>
      </c>
      <c r="B701" s="888" t="str">
        <f>IF(LEN('Translation-EN'!B701)&gt;0,'Translation-EN'!B701,"")</f>
        <v>Cladding</v>
      </c>
      <c r="C701" s="888" t="str">
        <f>IF(LEN('Translation-EN'!C701)&gt;0,'Translation-EN'!C701,"")</f>
        <v>M3</v>
      </c>
      <c r="D701" s="888" t="b">
        <f>IF(LEN('Translation-EN'!D701)&gt;0,'Translation-EN'!D701,"")</f>
        <v>1</v>
      </c>
      <c r="E701" s="1520" t="str">
        <f>$E$182</f>
        <v xml:space="preserve">  Note</v>
      </c>
      <c r="F701" s="1520"/>
      <c r="I701" s="888"/>
      <c r="J701" s="888"/>
      <c r="K701" s="888"/>
      <c r="L701" s="888"/>
      <c r="M701" s="888"/>
      <c r="N701" s="888"/>
      <c r="O701" s="888"/>
      <c r="P701" s="888"/>
      <c r="Q701" s="888"/>
      <c r="R701" s="888"/>
    </row>
    <row r="702" spans="1:18" s="893" customFormat="1" ht="15" customHeight="1" x14ac:dyDescent="0.3">
      <c r="A702" s="888" t="str">
        <f>IF(LEN('Translation-EN'!A702)&gt;0,'Translation-EN'!A702,"")</f>
        <v>-</v>
      </c>
      <c r="B702" s="888" t="str">
        <f>IF(LEN('Translation-EN'!B702)&gt;0,'Translation-EN'!B702,"")</f>
        <v/>
      </c>
      <c r="C702" s="888" t="str">
        <f>IF(LEN('Translation-EN'!C702)&gt;0,'Translation-EN'!C702,"")</f>
        <v/>
      </c>
      <c r="D702" s="888" t="str">
        <f>IF(LEN('Translation-EN'!D702)&gt;0,'Translation-EN'!D702,"")</f>
        <v/>
      </c>
      <c r="E702" s="1520"/>
      <c r="F702" s="1520"/>
      <c r="I702" s="888"/>
      <c r="J702" s="888"/>
      <c r="K702" s="888"/>
      <c r="L702" s="888"/>
      <c r="M702" s="888"/>
      <c r="N702" s="888"/>
      <c r="O702" s="888"/>
      <c r="P702" s="888"/>
      <c r="Q702" s="888"/>
      <c r="R702" s="888"/>
    </row>
    <row r="703" spans="1:18" s="893" customFormat="1" ht="15" customHeight="1" x14ac:dyDescent="0.3">
      <c r="A703" s="888" t="str">
        <f>IF(LEN('Translation-EN'!A703)&gt;0,'Translation-EN'!A703,"")</f>
        <v>Range</v>
      </c>
      <c r="B703" s="888" t="str">
        <f>IF(LEN('Translation-EN'!B703)&gt;0,'Translation-EN'!B703,"")</f>
        <v>_Cladding</v>
      </c>
      <c r="C703" s="888" t="str">
        <f>IF(LEN('Translation-EN'!C703)&gt;0,'Translation-EN'!C703,"")</f>
        <v>N3</v>
      </c>
      <c r="D703" s="888" t="b">
        <f>IF(LEN('Translation-EN'!D703)&gt;0,'Translation-EN'!D703,"")</f>
        <v>1</v>
      </c>
      <c r="E703" s="1669" t="str">
        <f>$E$184</f>
        <v>Inclure le cycle long</v>
      </c>
      <c r="I703" s="888"/>
      <c r="J703" s="888"/>
      <c r="K703" s="888"/>
      <c r="L703" s="888"/>
      <c r="M703" s="888"/>
      <c r="N703" s="888"/>
      <c r="O703" s="888"/>
      <c r="P703" s="888"/>
      <c r="Q703" s="888"/>
      <c r="R703" s="888"/>
    </row>
    <row r="704" spans="1:18" s="893" customFormat="1" ht="15" customHeight="1" x14ac:dyDescent="0.3">
      <c r="A704" s="888" t="str">
        <f>IF(LEN('Translation-EN'!A704)&gt;0,'Translation-EN'!A704,"")</f>
        <v>-</v>
      </c>
      <c r="B704" s="888" t="str">
        <f>IF(LEN('Translation-EN'!B704)&gt;0,'Translation-EN'!B704,"")</f>
        <v/>
      </c>
      <c r="C704" s="888" t="str">
        <f>IF(LEN('Translation-EN'!C704)&gt;0,'Translation-EN'!C704,"")</f>
        <v/>
      </c>
      <c r="D704" s="888" t="str">
        <f>IF(LEN('Translation-EN'!D704)&gt;0,'Translation-EN'!D704,"")</f>
        <v/>
      </c>
      <c r="E704" s="1670"/>
      <c r="I704" s="888"/>
      <c r="J704" s="888"/>
      <c r="K704" s="888"/>
      <c r="L704" s="888"/>
      <c r="M704" s="888"/>
      <c r="N704" s="888"/>
      <c r="O704" s="888"/>
      <c r="P704" s="888"/>
      <c r="Q704" s="888"/>
      <c r="R704" s="888"/>
    </row>
    <row r="705" spans="1:18" s="893" customFormat="1" ht="34.799999999999997" x14ac:dyDescent="0.3">
      <c r="A705" s="888" t="str">
        <f>IF(LEN('Translation-EN'!A705)&gt;0,'Translation-EN'!A705,"")</f>
        <v>Range</v>
      </c>
      <c r="B705" s="888" t="str">
        <f>IF(LEN('Translation-EN'!B705)&gt;0,'Translation-EN'!B705,"")</f>
        <v>Cladding</v>
      </c>
      <c r="C705" s="888" t="str">
        <f>IF(LEN('Translation-EN'!C705)&gt;0,'Translation-EN'!C705,"")</f>
        <v>O3</v>
      </c>
      <c r="D705" s="888" t="b">
        <f>IF(LEN('Translation-EN'!D705)&gt;0,'Translation-EN'!D705,"")</f>
        <v>1</v>
      </c>
      <c r="E705" s="1035" t="s">
        <v>7396</v>
      </c>
      <c r="I705" s="888"/>
      <c r="J705" s="888"/>
      <c r="K705" s="888"/>
      <c r="L705" s="888"/>
      <c r="M705" s="888"/>
      <c r="N705" s="888"/>
      <c r="O705" s="888"/>
      <c r="P705" s="888"/>
      <c r="Q705" s="888"/>
      <c r="R705" s="888"/>
    </row>
    <row r="706" spans="1:18" s="893" customFormat="1" ht="34.799999999999997" x14ac:dyDescent="0.3">
      <c r="A706" s="888" t="str">
        <f>IF(LEN('Translation-EN'!A706)&gt;0,'Translation-EN'!A706,"")</f>
        <v>Range</v>
      </c>
      <c r="B706" s="888" t="str">
        <f>IF(LEN('Translation-EN'!B706)&gt;0,'Translation-EN'!B706,"")</f>
        <v>Cladding</v>
      </c>
      <c r="C706" s="888" t="str">
        <f>IF(LEN('Translation-EN'!C706)&gt;0,'Translation-EN'!C706,"")</f>
        <v>P3</v>
      </c>
      <c r="D706" s="888" t="b">
        <f>IF(LEN('Translation-EN'!D706)&gt;0,'Translation-EN'!D706,"")</f>
        <v>1</v>
      </c>
      <c r="E706" s="1035" t="s">
        <v>7397</v>
      </c>
      <c r="I706" s="888"/>
      <c r="J706" s="888"/>
      <c r="K706" s="888"/>
      <c r="L706" s="888"/>
      <c r="M706" s="888"/>
      <c r="N706" s="888"/>
      <c r="O706" s="888"/>
      <c r="P706" s="888"/>
      <c r="Q706" s="888"/>
      <c r="R706" s="888"/>
    </row>
    <row r="707" spans="1:18" s="893" customFormat="1" x14ac:dyDescent="0.3">
      <c r="A707" s="888" t="str">
        <f>IF(LEN('Translation-EN'!A707)&gt;0,'Translation-EN'!A707,"")</f>
        <v>Range</v>
      </c>
      <c r="B707" s="888" t="str">
        <f>IF(LEN('Translation-EN'!B707)&gt;0,'Translation-EN'!B707,"")</f>
        <v>Cladding</v>
      </c>
      <c r="C707" s="888" t="str">
        <f>IF(LEN('Translation-EN'!C707)&gt;0,'Translation-EN'!C707,"")</f>
        <v>A5</v>
      </c>
      <c r="D707" s="888" t="str">
        <f>IF(LEN('Translation-EN'!D707)&gt;0,'Translation-EN'!D707,"")</f>
        <v/>
      </c>
      <c r="E707" s="893" t="s">
        <v>3010</v>
      </c>
      <c r="I707" s="888"/>
      <c r="J707" s="888"/>
      <c r="K707" s="888"/>
      <c r="L707" s="888"/>
      <c r="M707" s="888"/>
      <c r="N707" s="888"/>
      <c r="O707" s="888"/>
      <c r="P707" s="888"/>
      <c r="Q707" s="888"/>
      <c r="R707" s="888"/>
    </row>
    <row r="708" spans="1:18" s="893" customFormat="1" x14ac:dyDescent="0.3">
      <c r="A708" s="888" t="str">
        <f>IF(LEN('Translation-EN'!A708)&gt;0,'Translation-EN'!A708,"")</f>
        <v>Range</v>
      </c>
      <c r="B708" s="888" t="str">
        <f>IF(LEN('Translation-EN'!B708)&gt;0,'Translation-EN'!B708,"")</f>
        <v>Cladding</v>
      </c>
      <c r="C708" s="888" t="str">
        <f>IF(LEN('Translation-EN'!C708)&gt;0,'Translation-EN'!C708,"")</f>
        <v>B6</v>
      </c>
      <c r="D708" s="888" t="str">
        <f>IF(LEN('Translation-EN'!D708)&gt;0,'Translation-EN'!D708,"")</f>
        <v/>
      </c>
      <c r="E708" s="893" t="s">
        <v>3011</v>
      </c>
      <c r="I708" s="888"/>
      <c r="J708" s="888"/>
      <c r="K708" s="888"/>
      <c r="L708" s="888"/>
      <c r="M708" s="888"/>
      <c r="N708" s="888"/>
      <c r="O708" s="888"/>
      <c r="P708" s="888"/>
      <c r="Q708" s="888"/>
      <c r="R708" s="888"/>
    </row>
    <row r="709" spans="1:18" s="893" customFormat="1" x14ac:dyDescent="0.3">
      <c r="A709" s="888" t="str">
        <f>IF(LEN('Translation-EN'!A709)&gt;0,'Translation-EN'!A709,"")</f>
        <v>Range</v>
      </c>
      <c r="B709" s="888" t="str">
        <f>IF(LEN('Translation-EN'!B709)&gt;0,'Translation-EN'!B709,"")</f>
        <v>Cladding</v>
      </c>
      <c r="C709" s="888" t="str">
        <f>IF(LEN('Translation-EN'!C709)&gt;0,'Translation-EN'!C709,"")</f>
        <v>B14</v>
      </c>
      <c r="D709" s="888" t="str">
        <f>IF(LEN('Translation-EN'!D709)&gt;0,'Translation-EN'!D709,"")</f>
        <v/>
      </c>
      <c r="E709" s="893" t="s">
        <v>3012</v>
      </c>
      <c r="I709" s="888"/>
      <c r="J709" s="888"/>
      <c r="K709" s="888"/>
      <c r="L709" s="888"/>
      <c r="M709" s="888"/>
      <c r="N709" s="888"/>
      <c r="O709" s="888"/>
      <c r="P709" s="888"/>
      <c r="Q709" s="888"/>
      <c r="R709" s="888"/>
    </row>
    <row r="710" spans="1:18" s="893" customFormat="1" x14ac:dyDescent="0.3">
      <c r="A710" s="888" t="str">
        <f>IF(LEN('Translation-EN'!A710)&gt;0,'Translation-EN'!A710,"")</f>
        <v>Range</v>
      </c>
      <c r="B710" s="888" t="str">
        <f>IF(LEN('Translation-EN'!B710)&gt;0,'Translation-EN'!B710,"")</f>
        <v>Cladding</v>
      </c>
      <c r="C710" s="888" t="str">
        <f>IF(LEN('Translation-EN'!C710)&gt;0,'Translation-EN'!C710,"")</f>
        <v>B22</v>
      </c>
      <c r="D710" s="888" t="str">
        <f>IF(LEN('Translation-EN'!D710)&gt;0,'Translation-EN'!D710,"")</f>
        <v/>
      </c>
      <c r="E710" s="893" t="s">
        <v>3013</v>
      </c>
      <c r="I710" s="888"/>
      <c r="J710" s="888"/>
      <c r="K710" s="888"/>
      <c r="L710" s="888"/>
      <c r="M710" s="888"/>
      <c r="N710" s="888"/>
      <c r="O710" s="888"/>
      <c r="P710" s="888"/>
      <c r="Q710" s="888"/>
      <c r="R710" s="888"/>
    </row>
    <row r="711" spans="1:18" s="893" customFormat="1" x14ac:dyDescent="0.3">
      <c r="A711" s="888" t="str">
        <f>IF(LEN('Translation-EN'!A711)&gt;0,'Translation-EN'!A711,"")</f>
        <v>Range</v>
      </c>
      <c r="B711" s="888" t="str">
        <f>IF(LEN('Translation-EN'!B711)&gt;0,'Translation-EN'!B711,"")</f>
        <v>Cladding</v>
      </c>
      <c r="C711" s="888" t="str">
        <f>IF(LEN('Translation-EN'!C711)&gt;0,'Translation-EN'!C711,"")</f>
        <v>C23</v>
      </c>
      <c r="D711" s="888" t="str">
        <f>IF(LEN('Translation-EN'!D711)&gt;0,'Translation-EN'!D711,"")</f>
        <v/>
      </c>
      <c r="E711" s="893" t="s">
        <v>3014</v>
      </c>
      <c r="I711" s="888"/>
      <c r="J711" s="888"/>
      <c r="K711" s="888"/>
      <c r="L711" s="888"/>
      <c r="M711" s="888"/>
      <c r="N711" s="888"/>
      <c r="O711" s="888"/>
      <c r="P711" s="888"/>
      <c r="Q711" s="888"/>
      <c r="R711" s="888"/>
    </row>
    <row r="712" spans="1:18" s="893" customFormat="1" x14ac:dyDescent="0.3">
      <c r="A712" s="888" t="str">
        <f>IF(LEN('Translation-EN'!A712)&gt;0,'Translation-EN'!A712,"")</f>
        <v>Range</v>
      </c>
      <c r="B712" s="888" t="str">
        <f>IF(LEN('Translation-EN'!B712)&gt;0,'Translation-EN'!B712,"")</f>
        <v>Cladding</v>
      </c>
      <c r="C712" s="888" t="str">
        <f>IF(LEN('Translation-EN'!C712)&gt;0,'Translation-EN'!C712,"")</f>
        <v>B30</v>
      </c>
      <c r="D712" s="888" t="str">
        <f>IF(LEN('Translation-EN'!D712)&gt;0,'Translation-EN'!D712,"")</f>
        <v/>
      </c>
      <c r="E712" s="893" t="s">
        <v>3015</v>
      </c>
      <c r="I712" s="888"/>
      <c r="J712" s="888"/>
      <c r="K712" s="888"/>
      <c r="L712" s="888"/>
      <c r="M712" s="888"/>
      <c r="N712" s="888"/>
      <c r="O712" s="888"/>
      <c r="P712" s="888"/>
      <c r="Q712" s="888"/>
      <c r="R712" s="888"/>
    </row>
    <row r="713" spans="1:18" s="893" customFormat="1" x14ac:dyDescent="0.3">
      <c r="A713" s="888" t="str">
        <f>IF(LEN('Translation-EN'!A713)&gt;0,'Translation-EN'!A713,"")</f>
        <v>Range</v>
      </c>
      <c r="B713" s="888" t="str">
        <f>IF(LEN('Translation-EN'!B713)&gt;0,'Translation-EN'!B713,"")</f>
        <v>Cladding</v>
      </c>
      <c r="C713" s="888" t="str">
        <f>IF(LEN('Translation-EN'!C713)&gt;0,'Translation-EN'!C713,"")</f>
        <v>B32</v>
      </c>
      <c r="D713" s="888" t="str">
        <f>IF(LEN('Translation-EN'!D713)&gt;0,'Translation-EN'!D713,"")</f>
        <v/>
      </c>
      <c r="E713" s="893" t="s">
        <v>3016</v>
      </c>
      <c r="I713" s="888"/>
      <c r="J713" s="888"/>
      <c r="K713" s="888"/>
      <c r="L713" s="888"/>
      <c r="M713" s="888"/>
      <c r="N713" s="888"/>
      <c r="O713" s="888"/>
      <c r="P713" s="888"/>
      <c r="Q713" s="888"/>
      <c r="R713" s="888"/>
    </row>
    <row r="714" spans="1:18" s="893" customFormat="1" x14ac:dyDescent="0.3">
      <c r="A714" s="888" t="str">
        <f>IF(LEN('Translation-EN'!A714)&gt;0,'Translation-EN'!A714,"")</f>
        <v>Range</v>
      </c>
      <c r="B714" s="888" t="str">
        <f>IF(LEN('Translation-EN'!B714)&gt;0,'Translation-EN'!B714,"")</f>
        <v>_Cladding</v>
      </c>
      <c r="C714" s="888" t="str">
        <f>IF(LEN('Translation-EN'!C714)&gt;0,'Translation-EN'!C714,"")</f>
        <v>C28</v>
      </c>
      <c r="D714" s="888" t="str">
        <f>IF(LEN('Translation-EN'!D714)&gt;0,'Translation-EN'!D714,"")</f>
        <v/>
      </c>
      <c r="E714" s="893" t="s">
        <v>3017</v>
      </c>
      <c r="I714" s="888"/>
      <c r="J714" s="888"/>
      <c r="K714" s="888"/>
      <c r="L714" s="888"/>
      <c r="M714" s="888"/>
      <c r="N714" s="888"/>
      <c r="O714" s="888"/>
      <c r="P714" s="888"/>
      <c r="Q714" s="888"/>
      <c r="R714" s="888"/>
    </row>
    <row r="715" spans="1:18" s="893" customFormat="1" x14ac:dyDescent="0.3">
      <c r="A715" s="888" t="str">
        <f>IF(LEN('Translation-EN'!A715)&gt;0,'Translation-EN'!A715,"")</f>
        <v>Range</v>
      </c>
      <c r="B715" s="888" t="str">
        <f>IF(LEN('Translation-EN'!B715)&gt;0,'Translation-EN'!B715,"")</f>
        <v>Cladding</v>
      </c>
      <c r="C715" s="888" t="str">
        <f>IF(LEN('Translation-EN'!C715)&gt;0,'Translation-EN'!C715,"")</f>
        <v>B34</v>
      </c>
      <c r="D715" s="888" t="str">
        <f>IF(LEN('Translation-EN'!D715)&gt;0,'Translation-EN'!D715,"")</f>
        <v/>
      </c>
      <c r="E715" s="893" t="s">
        <v>3018</v>
      </c>
      <c r="I715" s="888"/>
      <c r="J715" s="888"/>
      <c r="K715" s="888"/>
      <c r="L715" s="888"/>
      <c r="M715" s="888"/>
      <c r="N715" s="888"/>
      <c r="O715" s="888"/>
      <c r="P715" s="888"/>
      <c r="Q715" s="888"/>
      <c r="R715" s="888"/>
    </row>
    <row r="716" spans="1:18" s="893" customFormat="1" x14ac:dyDescent="0.3">
      <c r="A716" s="888" t="str">
        <f>IF(LEN('Translation-EN'!A716)&gt;0,'Translation-EN'!A716,"")</f>
        <v>Range</v>
      </c>
      <c r="B716" s="888" t="str">
        <f>IF(LEN('Translation-EN'!B716)&gt;0,'Translation-EN'!B716,"")</f>
        <v>Cladding</v>
      </c>
      <c r="C716" s="888" t="str">
        <f>IF(LEN('Translation-EN'!C716)&gt;0,'Translation-EN'!C716,"")</f>
        <v>C35</v>
      </c>
      <c r="D716" s="888" t="str">
        <f>IF(LEN('Translation-EN'!D716)&gt;0,'Translation-EN'!D716,"")</f>
        <v/>
      </c>
      <c r="E716" s="893" t="s">
        <v>3019</v>
      </c>
      <c r="I716" s="888"/>
      <c r="J716" s="888"/>
      <c r="K716" s="888"/>
      <c r="L716" s="888"/>
      <c r="M716" s="888"/>
      <c r="N716" s="888"/>
      <c r="O716" s="888"/>
      <c r="P716" s="888"/>
      <c r="Q716" s="888"/>
      <c r="R716" s="888"/>
    </row>
    <row r="717" spans="1:18" s="893" customFormat="1" x14ac:dyDescent="0.3">
      <c r="A717" s="888" t="str">
        <f>IF(LEN('Translation-EN'!A717)&gt;0,'Translation-EN'!A717,"")</f>
        <v>Range</v>
      </c>
      <c r="B717" s="888" t="str">
        <f>IF(LEN('Translation-EN'!B717)&gt;0,'Translation-EN'!B717,"")</f>
        <v>Cladding</v>
      </c>
      <c r="C717" s="888" t="str">
        <f>IF(LEN('Translation-EN'!C717)&gt;0,'Translation-EN'!C717,"")</f>
        <v>B42</v>
      </c>
      <c r="D717" s="888" t="str">
        <f>IF(LEN('Translation-EN'!D717)&gt;0,'Translation-EN'!D717,"")</f>
        <v/>
      </c>
      <c r="E717" s="893" t="s">
        <v>3020</v>
      </c>
      <c r="I717" s="888"/>
      <c r="J717" s="888"/>
      <c r="K717" s="888"/>
      <c r="L717" s="888"/>
      <c r="M717" s="888"/>
      <c r="N717" s="888"/>
      <c r="O717" s="888"/>
      <c r="P717" s="888"/>
      <c r="Q717" s="888"/>
      <c r="R717" s="888"/>
    </row>
    <row r="718" spans="1:18" s="893" customFormat="1" x14ac:dyDescent="0.3">
      <c r="A718" s="888" t="str">
        <f>IF(LEN('Translation-EN'!A718)&gt;0,'Translation-EN'!A718,"")</f>
        <v>Range</v>
      </c>
      <c r="B718" s="888" t="str">
        <f>IF(LEN('Translation-EN'!B718)&gt;0,'Translation-EN'!B718,"")</f>
        <v>Cladding</v>
      </c>
      <c r="C718" s="888" t="str">
        <f>IF(LEN('Translation-EN'!C718)&gt;0,'Translation-EN'!C718,"")</f>
        <v>C43</v>
      </c>
      <c r="D718" s="888" t="str">
        <f>IF(LEN('Translation-EN'!D718)&gt;0,'Translation-EN'!D718,"")</f>
        <v/>
      </c>
      <c r="E718" s="893" t="s">
        <v>3021</v>
      </c>
      <c r="I718" s="888"/>
      <c r="J718" s="888"/>
      <c r="K718" s="888"/>
      <c r="L718" s="888"/>
      <c r="M718" s="888"/>
      <c r="N718" s="888"/>
      <c r="O718" s="888"/>
      <c r="P718" s="888"/>
      <c r="Q718" s="888"/>
      <c r="R718" s="888"/>
    </row>
    <row r="719" spans="1:18" x14ac:dyDescent="0.3">
      <c r="A719" s="888" t="str">
        <f>IF(LEN('Translation-EN'!A719)&gt;0,'Translation-EN'!A719,"")</f>
        <v>Range</v>
      </c>
      <c r="B719" s="888" t="str">
        <f>IF(LEN('Translation-EN'!B719)&gt;0,'Translation-EN'!B719,"")</f>
        <v>Cladding</v>
      </c>
      <c r="C719" s="888" t="str">
        <f>IF(LEN('Translation-EN'!C719)&gt;0,'Translation-EN'!C719,"")</f>
        <v>B46</v>
      </c>
      <c r="D719" s="888" t="str">
        <f>IF(LEN('Translation-EN'!D719)&gt;0,'Translation-EN'!D719,"")</f>
        <v/>
      </c>
      <c r="E719" s="893" t="s">
        <v>3022</v>
      </c>
    </row>
    <row r="720" spans="1:18" x14ac:dyDescent="0.3">
      <c r="A720" s="888" t="str">
        <f>IF(LEN('Translation-EN'!A720)&gt;0,'Translation-EN'!A720,"")</f>
        <v>Range</v>
      </c>
      <c r="B720" s="888" t="str">
        <f>IF(LEN('Translation-EN'!B720)&gt;0,'Translation-EN'!B720,"")</f>
        <v>Cladding</v>
      </c>
      <c r="C720" s="888" t="str">
        <f>IF(LEN('Translation-EN'!C720)&gt;0,'Translation-EN'!C720,"")</f>
        <v>B51</v>
      </c>
      <c r="D720" s="888" t="str">
        <f>IF(LEN('Translation-EN'!D720)&gt;0,'Translation-EN'!D720,"")</f>
        <v/>
      </c>
      <c r="E720" s="1039" t="s">
        <v>4000</v>
      </c>
    </row>
    <row r="721" spans="1:19" x14ac:dyDescent="0.3">
      <c r="A721" s="888" t="str">
        <f>IF(LEN('Translation-EN'!A721)&gt;0,'Translation-EN'!A721,"")</f>
        <v>Range</v>
      </c>
      <c r="B721" s="888" t="str">
        <f>IF(LEN('Translation-EN'!B721)&gt;0,'Translation-EN'!B721,"")</f>
        <v>Cladding</v>
      </c>
      <c r="C721" s="888" t="str">
        <f>IF(LEN('Translation-EN'!C721)&gt;0,'Translation-EN'!C721,"")</f>
        <v>A57</v>
      </c>
      <c r="D721" s="888" t="str">
        <f>IF(LEN('Translation-EN'!D721)&gt;0,'Translation-EN'!D721,"")</f>
        <v/>
      </c>
      <c r="E721" s="893" t="s">
        <v>3023</v>
      </c>
    </row>
    <row r="722" spans="1:19" x14ac:dyDescent="0.3">
      <c r="A722" s="888" t="str">
        <f>IF(LEN('Translation-EN'!A722)&gt;0,'Translation-EN'!A722,"")</f>
        <v>Range</v>
      </c>
      <c r="B722" s="888" t="str">
        <f>IF(LEN('Translation-EN'!B722)&gt;0,'Translation-EN'!B722,"")</f>
        <v>Cladding</v>
      </c>
      <c r="C722" s="888" t="str">
        <f>IF(LEN('Translation-EN'!C722)&gt;0,'Translation-EN'!C722,"")</f>
        <v>B58</v>
      </c>
      <c r="D722" s="888" t="str">
        <f>IF(LEN('Translation-EN'!D722)&gt;0,'Translation-EN'!D722,"")</f>
        <v/>
      </c>
      <c r="E722" s="962" t="s">
        <v>7591</v>
      </c>
    </row>
    <row r="723" spans="1:19" x14ac:dyDescent="0.3">
      <c r="A723" s="888" t="str">
        <f>IF(LEN('Translation-EN'!A723)&gt;0,'Translation-EN'!A723,"")</f>
        <v>Range</v>
      </c>
      <c r="B723" s="888" t="str">
        <f>IF(LEN('Translation-EN'!B723)&gt;0,'Translation-EN'!B723,"")</f>
        <v>Cladding</v>
      </c>
      <c r="C723" s="888" t="str">
        <f>IF(LEN('Translation-EN'!C723)&gt;0,'Translation-EN'!C723,"")</f>
        <v>B65</v>
      </c>
      <c r="D723" s="888" t="str">
        <f>IF(LEN('Translation-EN'!D723)&gt;0,'Translation-EN'!D723,"")</f>
        <v/>
      </c>
      <c r="E723" s="962" t="s">
        <v>7592</v>
      </c>
    </row>
    <row r="724" spans="1:19" x14ac:dyDescent="0.3">
      <c r="A724" s="888" t="str">
        <f>IF(LEN('Translation-EN'!A724)&gt;0,'Translation-EN'!A724,"")</f>
        <v>Range</v>
      </c>
      <c r="B724" s="888" t="str">
        <f>IF(LEN('Translation-EN'!B724)&gt;0,'Translation-EN'!B724,"")</f>
        <v>Cladding</v>
      </c>
      <c r="C724" s="888" t="str">
        <f>IF(LEN('Translation-EN'!C724)&gt;0,'Translation-EN'!C724,"")</f>
        <v>D57</v>
      </c>
      <c r="D724" s="888" t="str">
        <f>IF(LEN('Translation-EN'!D724)&gt;0,'Translation-EN'!D724,"")</f>
        <v/>
      </c>
      <c r="E724" s="893" t="s">
        <v>3024</v>
      </c>
    </row>
    <row r="725" spans="1:19" x14ac:dyDescent="0.3">
      <c r="A725" s="888" t="str">
        <f>IF(LEN('Translation-EN'!A725)&gt;0,'Translation-EN'!A725,"")</f>
        <v>Range</v>
      </c>
      <c r="B725" s="888" t="str">
        <f>IF(LEN('Translation-EN'!B725)&gt;0,'Translation-EN'!B725,"")</f>
        <v>Cladding</v>
      </c>
      <c r="C725" s="888" t="str">
        <f>IF(LEN('Translation-EN'!C725)&gt;0,'Translation-EN'!C725,"")</f>
        <v>A72</v>
      </c>
      <c r="D725" s="888" t="str">
        <f>IF(LEN('Translation-EN'!D725)&gt;0,'Translation-EN'!D725,"")</f>
        <v/>
      </c>
      <c r="E725" s="893" t="s">
        <v>3025</v>
      </c>
    </row>
    <row r="726" spans="1:19" x14ac:dyDescent="0.3">
      <c r="A726" s="888" t="str">
        <f>IF(LEN('Translation-EN'!A726)&gt;0,'Translation-EN'!A726,"")</f>
        <v>Range</v>
      </c>
      <c r="B726" s="888" t="str">
        <f>IF(LEN('Translation-EN'!B726)&gt;0,'Translation-EN'!B726,"")</f>
        <v>Cladding</v>
      </c>
      <c r="C726" s="888" t="str">
        <f>IF(LEN('Translation-EN'!C726)&gt;0,'Translation-EN'!C726,"")</f>
        <v>B73</v>
      </c>
      <c r="D726" s="888" t="str">
        <f>IF(LEN('Translation-EN'!D726)&gt;0,'Translation-EN'!D726,"")</f>
        <v/>
      </c>
      <c r="E726" s="893" t="str">
        <f>$E$361</f>
        <v>CLOISONS SÈCHES 1/2 po</v>
      </c>
    </row>
    <row r="727" spans="1:19" x14ac:dyDescent="0.3">
      <c r="A727" s="888" t="str">
        <f>IF(LEN('Translation-EN'!A727)&gt;0,'Translation-EN'!A727,"")</f>
        <v>Range</v>
      </c>
      <c r="B727" s="888" t="str">
        <f>IF(LEN('Translation-EN'!B727)&gt;0,'Translation-EN'!B727,"")</f>
        <v>Cladding</v>
      </c>
      <c r="C727" s="888" t="str">
        <f>IF(LEN('Translation-EN'!C727)&gt;0,'Translation-EN'!C727,"")</f>
        <v>C74</v>
      </c>
      <c r="D727" s="888" t="str">
        <f>IF(LEN('Translation-EN'!D727)&gt;0,'Translation-EN'!D727,"")</f>
        <v/>
      </c>
      <c r="E727" s="893" t="str">
        <f>$E$654</f>
        <v>Cloison sèche 1/2 po typique – Revêtement intérieur pour murs extérieurs - MOYENNE</v>
      </c>
    </row>
    <row r="728" spans="1:19" x14ac:dyDescent="0.3">
      <c r="A728" s="888" t="str">
        <f>IF(LEN('Translation-EN'!A728)&gt;0,'Translation-EN'!A728,"")</f>
        <v>Range</v>
      </c>
      <c r="B728" s="888" t="str">
        <f>IF(LEN('Translation-EN'!B728)&gt;0,'Translation-EN'!B728,"")</f>
        <v>Cladding</v>
      </c>
      <c r="C728" s="888" t="str">
        <f>IF(LEN('Translation-EN'!C728)&gt;0,'Translation-EN'!C728,"")</f>
        <v>B77</v>
      </c>
      <c r="D728" s="888" t="str">
        <f>IF(LEN('Translation-EN'!D728)&gt;0,'Translation-EN'!D728,"")</f>
        <v/>
      </c>
      <c r="E728" s="893" t="str">
        <f>$E$363</f>
        <v>CLOISONS SÈCHES 5/8 po</v>
      </c>
    </row>
    <row r="729" spans="1:19" x14ac:dyDescent="0.3">
      <c r="A729" s="888" t="str">
        <f>IF(LEN('Translation-EN'!A729)&gt;0,'Translation-EN'!A729,"")</f>
        <v>Range</v>
      </c>
      <c r="B729" s="888" t="str">
        <f>IF(LEN('Translation-EN'!B729)&gt;0,'Translation-EN'!B729,"")</f>
        <v>Cladding</v>
      </c>
      <c r="C729" s="888" t="str">
        <f>IF(LEN('Translation-EN'!C729)&gt;0,'Translation-EN'!C729,"")</f>
        <v>C78</v>
      </c>
      <c r="D729" s="888" t="str">
        <f>IF(LEN('Translation-EN'!D729)&gt;0,'Translation-EN'!D729,"")</f>
        <v/>
      </c>
      <c r="E729" s="945" t="str">
        <f>$E$656</f>
        <v>Gypse 5/8" typique – Parement intérieur pour murs extérieurs – MOYENNE</v>
      </c>
    </row>
    <row r="730" spans="1:19" x14ac:dyDescent="0.3">
      <c r="A730" s="888" t="str">
        <f>IF(LEN('Translation-EN'!A730)&gt;0,'Translation-EN'!A730,"")</f>
        <v>Range</v>
      </c>
      <c r="B730" s="888" t="str">
        <f>IF(LEN('Translation-EN'!B730)&gt;0,'Translation-EN'!B730,"")</f>
        <v>Cladding</v>
      </c>
      <c r="C730" s="888" t="str">
        <f>IF(LEN('Translation-EN'!C730)&gt;0,'Translation-EN'!C730,"")</f>
        <v>B82</v>
      </c>
      <c r="D730" s="888" t="str">
        <f>IF(LEN('Translation-EN'!D730)&gt;0,'Translation-EN'!D730,"")</f>
        <v/>
      </c>
      <c r="E730" s="893" t="str">
        <f>$E$365</f>
        <v>AUTRES MATÉRIAUX DE BARDAGE</v>
      </c>
    </row>
    <row r="731" spans="1:19" x14ac:dyDescent="0.3">
      <c r="A731" s="888" t="str">
        <f>IF(LEN('Translation-EN'!A731)&gt;0,'Translation-EN'!A731,"")</f>
        <v>Range</v>
      </c>
      <c r="B731" s="888" t="str">
        <f>IF(LEN('Translation-EN'!B731)&gt;0,'Translation-EN'!B731,"")</f>
        <v>Windows</v>
      </c>
      <c r="C731" s="888" t="str">
        <f>IF(LEN('Translation-EN'!C731)&gt;0,'Translation-EN'!C731,"")</f>
        <v>A1</v>
      </c>
      <c r="D731" s="888" t="str">
        <f>IF(LEN('Translation-EN'!D731)&gt;0,'Translation-EN'!D731,"")</f>
        <v/>
      </c>
      <c r="E731" s="893" t="s">
        <v>3026</v>
      </c>
    </row>
    <row r="732" spans="1:19" x14ac:dyDescent="0.3">
      <c r="A732" s="888" t="str">
        <f>IF(LEN('Translation-EN'!A732)&gt;0,'Translation-EN'!A732,"")</f>
        <v>Range</v>
      </c>
      <c r="B732" s="888" t="str">
        <f>IF(LEN('Translation-EN'!B732)&gt;0,'Translation-EN'!B732,"")</f>
        <v>Windows</v>
      </c>
      <c r="C732" s="888" t="str">
        <f>IF(LEN('Translation-EN'!C732)&gt;0,'Translation-EN'!C732,"")</f>
        <v>D1</v>
      </c>
      <c r="D732" s="888" t="str">
        <f>IF(LEN('Translation-EN'!D732)&gt;0,'Translation-EN'!D732,"")</f>
        <v/>
      </c>
      <c r="E732" s="893" t="s">
        <v>3027</v>
      </c>
    </row>
    <row r="733" spans="1:19" ht="204.75" customHeight="1" x14ac:dyDescent="0.3">
      <c r="A733" s="888" t="str">
        <f>IF(LEN('Translation-EN'!A733)&gt;0,'Translation-EN'!A733,"")</f>
        <v>Range</v>
      </c>
      <c r="B733" s="888" t="str">
        <f>IF(LEN('Translation-EN'!B733)&gt;0,'Translation-EN'!B733,"")</f>
        <v>Windows</v>
      </c>
      <c r="C733" s="888" t="str">
        <f>IF(LEN('Translation-EN'!C733)&gt;0,'Translation-EN'!C733,"")</f>
        <v>A2</v>
      </c>
      <c r="D733" s="888" t="b">
        <f>IF(LEN('Translation-EN'!D733)&gt;0,'Translation-EN'!D733,"")</f>
        <v>1</v>
      </c>
      <c r="E733" s="1696"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733" s="1696"/>
      <c r="G733" s="1696"/>
      <c r="H733" s="1696"/>
      <c r="I733" s="1696"/>
      <c r="J733" s="1696"/>
      <c r="K733" s="1696"/>
      <c r="L733" s="1696"/>
      <c r="M733" s="1696"/>
      <c r="N733" s="1696"/>
      <c r="O733" s="1696"/>
      <c r="P733" s="1696"/>
      <c r="Q733" s="1696"/>
      <c r="R733" s="1696"/>
      <c r="S733" s="1696"/>
    </row>
    <row r="734" spans="1:19" x14ac:dyDescent="0.3">
      <c r="A734" s="888" t="str">
        <f>IF(LEN('Translation-EN'!A734)&gt;0,'Translation-EN'!A734,"")</f>
        <v>Range</v>
      </c>
      <c r="B734" s="888" t="str">
        <f>IF(LEN('Translation-EN'!B734)&gt;0,'Translation-EN'!B734,"")</f>
        <v>Windows</v>
      </c>
      <c r="C734" s="888" t="str">
        <f>IF(LEN('Translation-EN'!C734)&gt;0,'Translation-EN'!C734,"")</f>
        <v>A3</v>
      </c>
      <c r="D734" s="888" t="str">
        <f>IF(LEN('Translation-EN'!D734)&gt;0,'Translation-EN'!D734,"")</f>
        <v/>
      </c>
      <c r="E734" s="888" t="str">
        <f>$E$170</f>
        <v>CATÉGORIE</v>
      </c>
    </row>
    <row r="735" spans="1:19" x14ac:dyDescent="0.3">
      <c r="A735" s="888" t="str">
        <f>IF(LEN('Translation-EN'!A735)&gt;0,'Translation-EN'!A735,"")</f>
        <v>Range</v>
      </c>
      <c r="B735" s="888" t="str">
        <f>IF(LEN('Translation-EN'!B735)&gt;0,'Translation-EN'!B735,"")</f>
        <v>Windows</v>
      </c>
      <c r="C735" s="888" t="str">
        <f>IF(LEN('Translation-EN'!C735)&gt;0,'Translation-EN'!C735,"")</f>
        <v>C3</v>
      </c>
      <c r="D735" s="888" t="str">
        <f>IF(LEN('Translation-EN'!D735)&gt;0,'Translation-EN'!D735,"")</f>
        <v/>
      </c>
      <c r="E735" s="893" t="str">
        <f>$E$171</f>
        <v>MATÉRIAU</v>
      </c>
    </row>
    <row r="736" spans="1:19" x14ac:dyDescent="0.3">
      <c r="A736" s="888" t="str">
        <f>IF(LEN('Translation-EN'!A736)&gt;0,'Translation-EN'!A736,"")</f>
        <v>Range</v>
      </c>
      <c r="B736" s="888" t="str">
        <f>IF(LEN('Translation-EN'!B736)&gt;0,'Translation-EN'!B736,"")</f>
        <v>Windows</v>
      </c>
      <c r="C736" s="888" t="str">
        <f>IF(LEN('Translation-EN'!C736)&gt;0,'Translation-EN'!C736,"")</f>
        <v>D3</v>
      </c>
      <c r="D736" s="888" t="str">
        <f>IF(LEN('Translation-EN'!D736)&gt;0,'Translation-EN'!D736,"")</f>
        <v/>
      </c>
      <c r="E736" s="893" t="str">
        <f>$E$127</f>
        <v>QUANTITÉ</v>
      </c>
    </row>
    <row r="737" spans="1:18" x14ac:dyDescent="0.3">
      <c r="A737" s="888" t="str">
        <f>IF(LEN('Translation-EN'!A737)&gt;0,'Translation-EN'!A737,"")</f>
        <v>Range</v>
      </c>
      <c r="B737" s="888" t="str">
        <f>IF(LEN('Translation-EN'!B737)&gt;0,'Translation-EN'!B737,"")</f>
        <v>Windows</v>
      </c>
      <c r="C737" s="888" t="str">
        <f>IF(LEN('Translation-EN'!C737)&gt;0,'Translation-EN'!C737,"")</f>
        <v>H3</v>
      </c>
      <c r="D737" s="888" t="str">
        <f>IF(LEN('Translation-EN'!D737)&gt;0,'Translation-EN'!D737,"")</f>
        <v/>
      </c>
      <c r="E737" s="888" t="str">
        <f>$E$173</f>
        <v xml:space="preserve"> SÉLECTIONNER</v>
      </c>
    </row>
    <row r="738" spans="1:18" ht="15" customHeight="1" x14ac:dyDescent="0.3">
      <c r="A738" s="888" t="str">
        <f>IF(LEN('Translation-EN'!A738)&gt;0,'Translation-EN'!A738,"")</f>
        <v>Range</v>
      </c>
      <c r="B738" s="888" t="str">
        <f>IF(LEN('Translation-EN'!B738)&gt;0,'Translation-EN'!B738,"")</f>
        <v>_Windows</v>
      </c>
      <c r="C738" s="888" t="str">
        <f>IF(LEN('Translation-EN'!C738)&gt;0,'Translation-EN'!C738,"")</f>
        <v>I3</v>
      </c>
      <c r="D738" s="888" t="b">
        <f>IF(LEN('Translation-EN'!D738)&gt;0,'Translation-EN'!D738,"")</f>
        <v>1</v>
      </c>
      <c r="E738" s="1669" t="str">
        <f>$E$174</f>
        <v>ÉMISSIONS NETTES kgCO2e</v>
      </c>
    </row>
    <row r="739" spans="1:18" ht="15" customHeight="1" x14ac:dyDescent="0.3">
      <c r="A739" s="888" t="str">
        <f>IF(LEN('Translation-EN'!A739)&gt;0,'Translation-EN'!A739,"")</f>
        <v>-</v>
      </c>
      <c r="B739" s="888" t="str">
        <f>IF(LEN('Translation-EN'!B739)&gt;0,'Translation-EN'!B739,"")</f>
        <v/>
      </c>
      <c r="C739" s="888" t="str">
        <f>IF(LEN('Translation-EN'!C739)&gt;0,'Translation-EN'!C739,"")</f>
        <v/>
      </c>
      <c r="D739" s="888" t="str">
        <f>IF(LEN('Translation-EN'!D739)&gt;0,'Translation-EN'!D739,"")</f>
        <v/>
      </c>
      <c r="E739" s="1669"/>
    </row>
    <row r="740" spans="1:18" s="893" customFormat="1" ht="26.4" customHeight="1" x14ac:dyDescent="0.3">
      <c r="A740" s="888" t="str">
        <f>IF(LEN('Translation-EN'!A740)&gt;0,'Translation-EN'!A740,"")</f>
        <v>Range</v>
      </c>
      <c r="B740" s="888" t="str">
        <f>IF(LEN('Translation-EN'!B740)&gt;0,'Translation-EN'!B740,"")</f>
        <v>_Windows</v>
      </c>
      <c r="C740" s="888" t="str">
        <f>IF(LEN('Translation-EN'!C740)&gt;0,'Translation-EN'!C740,"")</f>
        <v>J3</v>
      </c>
      <c r="D740" s="888" t="b">
        <f>IF(LEN('Translation-EN'!D740)&gt;0,'Translation-EN'!D740,"")</f>
        <v>1</v>
      </c>
      <c r="E740" s="1669" t="str">
        <f>$E$176</f>
        <v>CONTENU DE kgCO2e DANS LE MATÉRIAU SÉLECTIONNÉ</v>
      </c>
      <c r="I740" s="888"/>
      <c r="J740" s="888"/>
      <c r="K740" s="888"/>
      <c r="L740" s="888"/>
      <c r="M740" s="888"/>
      <c r="N740" s="888"/>
      <c r="O740" s="888"/>
      <c r="P740" s="888"/>
      <c r="Q740" s="888"/>
      <c r="R740" s="888"/>
    </row>
    <row r="741" spans="1:18" s="893" customFormat="1" ht="15" customHeight="1" x14ac:dyDescent="0.3">
      <c r="A741" s="888" t="str">
        <f>IF(LEN('Translation-EN'!A741)&gt;0,'Translation-EN'!A741,"")</f>
        <v>-</v>
      </c>
      <c r="B741" s="888" t="str">
        <f>IF(LEN('Translation-EN'!B741)&gt;0,'Translation-EN'!B741,"")</f>
        <v/>
      </c>
      <c r="C741" s="888" t="str">
        <f>IF(LEN('Translation-EN'!C741)&gt;0,'Translation-EN'!C741,"")</f>
        <v/>
      </c>
      <c r="D741" s="888" t="str">
        <f>IF(LEN('Translation-EN'!D741)&gt;0,'Translation-EN'!D741,"")</f>
        <v/>
      </c>
      <c r="E741" s="1670"/>
      <c r="I741" s="888"/>
      <c r="J741" s="888"/>
      <c r="K741" s="888"/>
      <c r="L741" s="888"/>
      <c r="M741" s="888"/>
      <c r="N741" s="888"/>
      <c r="O741" s="888"/>
      <c r="P741" s="888"/>
      <c r="Q741" s="888"/>
      <c r="R741" s="888"/>
    </row>
    <row r="742" spans="1:18" s="893" customFormat="1" ht="15" customHeight="1" x14ac:dyDescent="0.3">
      <c r="A742" s="888" t="str">
        <f>IF(LEN('Translation-EN'!A742)&gt;0,'Translation-EN'!A742,"")</f>
        <v>Range</v>
      </c>
      <c r="B742" s="888" t="str">
        <f>IF(LEN('Translation-EN'!B742)&gt;0,'Translation-EN'!B742,"")</f>
        <v>Windows</v>
      </c>
      <c r="C742" s="888" t="str">
        <f>IF(LEN('Translation-EN'!C742)&gt;0,'Translation-EN'!C742,"")</f>
        <v>K3</v>
      </c>
      <c r="D742" s="888" t="b">
        <f>IF(LEN('Translation-EN'!D742)&gt;0,'Translation-EN'!D742,"")</f>
        <v>1</v>
      </c>
      <c r="E742" s="1669" t="str">
        <f>$E$178</f>
        <v xml:space="preserve">ÉMISSIONS EN kgCO2e </v>
      </c>
      <c r="I742" s="888"/>
      <c r="J742" s="888"/>
      <c r="K742" s="888"/>
      <c r="L742" s="888"/>
      <c r="M742" s="888"/>
      <c r="N742" s="888"/>
      <c r="O742" s="888"/>
      <c r="P742" s="888"/>
      <c r="Q742" s="888"/>
      <c r="R742" s="888"/>
    </row>
    <row r="743" spans="1:18" s="893" customFormat="1" ht="15" customHeight="1" x14ac:dyDescent="0.3">
      <c r="A743" s="888" t="str">
        <f>IF(LEN('Translation-EN'!A743)&gt;0,'Translation-EN'!A743,"")</f>
        <v>-</v>
      </c>
      <c r="B743" s="888" t="str">
        <f>IF(LEN('Translation-EN'!B743)&gt;0,'Translation-EN'!B743,"")</f>
        <v/>
      </c>
      <c r="C743" s="888" t="str">
        <f>IF(LEN('Translation-EN'!C743)&gt;0,'Translation-EN'!C743,"")</f>
        <v/>
      </c>
      <c r="D743" s="888" t="str">
        <f>IF(LEN('Translation-EN'!D743)&gt;0,'Translation-EN'!D743,"")</f>
        <v/>
      </c>
      <c r="E743" s="1670"/>
      <c r="I743" s="888"/>
      <c r="J743" s="888"/>
      <c r="K743" s="888"/>
      <c r="L743" s="888"/>
      <c r="M743" s="888"/>
      <c r="N743" s="888"/>
      <c r="O743" s="888"/>
      <c r="P743" s="888"/>
      <c r="Q743" s="888"/>
      <c r="R743" s="888"/>
    </row>
    <row r="744" spans="1:18" s="893" customFormat="1" ht="15" customHeight="1" x14ac:dyDescent="0.3">
      <c r="A744" s="888" t="str">
        <f>IF(LEN('Translation-EN'!A744)&gt;0,'Translation-EN'!A744,"")</f>
        <v>Range</v>
      </c>
      <c r="B744" s="888" t="str">
        <f>IF(LEN('Translation-EN'!B744)&gt;0,'Translation-EN'!B744,"")</f>
        <v>Windows</v>
      </c>
      <c r="C744" s="888" t="str">
        <f>IF(LEN('Translation-EN'!C744)&gt;0,'Translation-EN'!C744,"")</f>
        <v>L3</v>
      </c>
      <c r="D744" s="888" t="b">
        <f>IF(LEN('Translation-EN'!D744)&gt;0,'Translation-EN'!D744,"")</f>
        <v>1</v>
      </c>
      <c r="E744" s="1669" t="str">
        <f>$E$180</f>
        <v>STOCKAGE kgCO₂</v>
      </c>
      <c r="I744" s="888"/>
      <c r="J744" s="888"/>
      <c r="K744" s="888"/>
      <c r="L744" s="888"/>
      <c r="M744" s="888"/>
      <c r="N744" s="888"/>
      <c r="O744" s="888"/>
      <c r="P744" s="888"/>
      <c r="Q744" s="888"/>
      <c r="R744" s="888"/>
    </row>
    <row r="745" spans="1:18" s="893" customFormat="1" ht="15" customHeight="1" x14ac:dyDescent="0.3">
      <c r="A745" s="888" t="str">
        <f>IF(LEN('Translation-EN'!A745)&gt;0,'Translation-EN'!A745,"")</f>
        <v>-</v>
      </c>
      <c r="B745" s="888" t="str">
        <f>IF(LEN('Translation-EN'!B745)&gt;0,'Translation-EN'!B745,"")</f>
        <v/>
      </c>
      <c r="C745" s="888" t="str">
        <f>IF(LEN('Translation-EN'!C745)&gt;0,'Translation-EN'!C745,"")</f>
        <v/>
      </c>
      <c r="D745" s="888" t="str">
        <f>IF(LEN('Translation-EN'!D745)&gt;0,'Translation-EN'!D745,"")</f>
        <v/>
      </c>
      <c r="E745" s="1670"/>
      <c r="I745" s="888"/>
      <c r="J745" s="888"/>
      <c r="K745" s="888"/>
      <c r="L745" s="888"/>
      <c r="M745" s="888"/>
      <c r="N745" s="888"/>
      <c r="O745" s="888"/>
      <c r="P745" s="888"/>
      <c r="Q745" s="888"/>
      <c r="R745" s="888"/>
    </row>
    <row r="746" spans="1:18" s="893" customFormat="1" ht="15" customHeight="1" x14ac:dyDescent="0.3">
      <c r="A746" s="888" t="str">
        <f>IF(LEN('Translation-EN'!A746)&gt;0,'Translation-EN'!A746,"")</f>
        <v>Range</v>
      </c>
      <c r="B746" s="888" t="str">
        <f>IF(LEN('Translation-EN'!B746)&gt;0,'Translation-EN'!B746,"")</f>
        <v>Windows</v>
      </c>
      <c r="C746" s="888" t="str">
        <f>IF(LEN('Translation-EN'!C746)&gt;0,'Translation-EN'!C746,"")</f>
        <v>M3</v>
      </c>
      <c r="D746" s="888" t="b">
        <f>IF(LEN('Translation-EN'!D746)&gt;0,'Translation-EN'!D746,"")</f>
        <v>1</v>
      </c>
      <c r="E746" s="1520" t="str">
        <f>$E$182</f>
        <v xml:space="preserve">  Note</v>
      </c>
      <c r="F746" s="1520"/>
      <c r="I746" s="888"/>
      <c r="J746" s="888"/>
      <c r="K746" s="888"/>
      <c r="L746" s="888"/>
      <c r="M746" s="888"/>
      <c r="N746" s="888"/>
      <c r="O746" s="888"/>
      <c r="P746" s="888"/>
      <c r="Q746" s="888"/>
      <c r="R746" s="888"/>
    </row>
    <row r="747" spans="1:18" s="893" customFormat="1" ht="15" customHeight="1" x14ac:dyDescent="0.3">
      <c r="A747" s="888" t="str">
        <f>IF(LEN('Translation-EN'!A747)&gt;0,'Translation-EN'!A747,"")</f>
        <v>-</v>
      </c>
      <c r="B747" s="888" t="str">
        <f>IF(LEN('Translation-EN'!B747)&gt;0,'Translation-EN'!B747,"")</f>
        <v/>
      </c>
      <c r="C747" s="888" t="str">
        <f>IF(LEN('Translation-EN'!C747)&gt;0,'Translation-EN'!C747,"")</f>
        <v/>
      </c>
      <c r="D747" s="888" t="str">
        <f>IF(LEN('Translation-EN'!D747)&gt;0,'Translation-EN'!D747,"")</f>
        <v/>
      </c>
      <c r="E747" s="1520"/>
      <c r="F747" s="1520"/>
      <c r="I747" s="888"/>
      <c r="J747" s="888"/>
      <c r="K747" s="888"/>
      <c r="L747" s="888"/>
      <c r="M747" s="888"/>
      <c r="N747" s="888"/>
      <c r="O747" s="888"/>
      <c r="P747" s="888"/>
      <c r="Q747" s="888"/>
      <c r="R747" s="888"/>
    </row>
    <row r="748" spans="1:18" s="893" customFormat="1" ht="15" customHeight="1" x14ac:dyDescent="0.3">
      <c r="A748" s="888" t="str">
        <f>IF(LEN('Translation-EN'!A748)&gt;0,'Translation-EN'!A748,"")</f>
        <v>Range</v>
      </c>
      <c r="B748" s="888" t="str">
        <f>IF(LEN('Translation-EN'!B748)&gt;0,'Translation-EN'!B748,"")</f>
        <v>_Windows</v>
      </c>
      <c r="C748" s="888" t="str">
        <f>IF(LEN('Translation-EN'!C748)&gt;0,'Translation-EN'!C748,"")</f>
        <v>N3</v>
      </c>
      <c r="D748" s="888" t="b">
        <f>IF(LEN('Translation-EN'!D748)&gt;0,'Translation-EN'!D748,"")</f>
        <v>1</v>
      </c>
      <c r="E748" s="1669" t="str">
        <f>$E$184</f>
        <v>Inclure le cycle long</v>
      </c>
      <c r="I748" s="888"/>
      <c r="J748" s="888"/>
      <c r="K748" s="888"/>
      <c r="L748" s="888"/>
      <c r="M748" s="888"/>
      <c r="N748" s="888"/>
      <c r="O748" s="888"/>
      <c r="P748" s="888"/>
      <c r="Q748" s="888"/>
      <c r="R748" s="888"/>
    </row>
    <row r="749" spans="1:18" s="893" customFormat="1" ht="15" customHeight="1" x14ac:dyDescent="0.3">
      <c r="A749" s="888" t="str">
        <f>IF(LEN('Translation-EN'!A749)&gt;0,'Translation-EN'!A749,"")</f>
        <v>-</v>
      </c>
      <c r="B749" s="888" t="str">
        <f>IF(LEN('Translation-EN'!B749)&gt;0,'Translation-EN'!B749,"")</f>
        <v/>
      </c>
      <c r="C749" s="888" t="str">
        <f>IF(LEN('Translation-EN'!C749)&gt;0,'Translation-EN'!C749,"")</f>
        <v/>
      </c>
      <c r="D749" s="888" t="str">
        <f>IF(LEN('Translation-EN'!D749)&gt;0,'Translation-EN'!D749,"")</f>
        <v/>
      </c>
      <c r="E749" s="1670"/>
      <c r="I749" s="888"/>
      <c r="J749" s="888"/>
      <c r="K749" s="888"/>
      <c r="L749" s="888"/>
      <c r="M749" s="888"/>
      <c r="N749" s="888"/>
      <c r="O749" s="888"/>
      <c r="P749" s="888"/>
      <c r="Q749" s="888"/>
      <c r="R749" s="888"/>
    </row>
    <row r="750" spans="1:18" s="893" customFormat="1" ht="17.399999999999999" x14ac:dyDescent="0.3">
      <c r="A750" s="888" t="str">
        <f>IF(LEN('Translation-EN'!A750)&gt;0,'Translation-EN'!A750,"")</f>
        <v>Range</v>
      </c>
      <c r="B750" s="888" t="str">
        <f>IF(LEN('Translation-EN'!B750)&gt;0,'Translation-EN'!B750,"")</f>
        <v>Windows</v>
      </c>
      <c r="C750" s="888" t="str">
        <f>IF(LEN('Translation-EN'!C750)&gt;0,'Translation-EN'!C750,"")</f>
        <v>O3</v>
      </c>
      <c r="D750" s="888" t="b">
        <f>IF(LEN('Translation-EN'!D750)&gt;0,'Translation-EN'!D750,"")</f>
        <v>1</v>
      </c>
      <c r="E750" s="1035" t="s">
        <v>7399</v>
      </c>
      <c r="I750" s="888"/>
      <c r="J750" s="888"/>
      <c r="K750" s="888"/>
      <c r="L750" s="888"/>
      <c r="M750" s="888"/>
      <c r="N750" s="888"/>
      <c r="O750" s="888"/>
      <c r="P750" s="888"/>
      <c r="Q750" s="888"/>
      <c r="R750" s="888"/>
    </row>
    <row r="751" spans="1:18" s="893" customFormat="1" ht="17.399999999999999" x14ac:dyDescent="0.3">
      <c r="A751" s="888" t="str">
        <f>IF(LEN('Translation-EN'!A751)&gt;0,'Translation-EN'!A751,"")</f>
        <v>Range</v>
      </c>
      <c r="B751" s="888" t="str">
        <f>IF(LEN('Translation-EN'!B751)&gt;0,'Translation-EN'!B751,"")</f>
        <v>Windows</v>
      </c>
      <c r="C751" s="888" t="str">
        <f>IF(LEN('Translation-EN'!C751)&gt;0,'Translation-EN'!C751,"")</f>
        <v>P3</v>
      </c>
      <c r="D751" s="888" t="b">
        <f>IF(LEN('Translation-EN'!D751)&gt;0,'Translation-EN'!D751,"")</f>
        <v>1</v>
      </c>
      <c r="E751" s="1035" t="s">
        <v>7400</v>
      </c>
      <c r="I751" s="888"/>
      <c r="J751" s="888"/>
      <c r="K751" s="888"/>
      <c r="L751" s="888"/>
      <c r="M751" s="888"/>
      <c r="N751" s="888"/>
      <c r="O751" s="888"/>
      <c r="P751" s="888"/>
      <c r="Q751" s="888"/>
      <c r="R751" s="888"/>
    </row>
    <row r="752" spans="1:18" s="893" customFormat="1" x14ac:dyDescent="0.3">
      <c r="A752" s="888" t="str">
        <f>IF(LEN('Translation-EN'!A752)&gt;0,'Translation-EN'!A752,"")</f>
        <v>Range</v>
      </c>
      <c r="B752" s="888" t="str">
        <f>IF(LEN('Translation-EN'!B752)&gt;0,'Translation-EN'!B752,"")</f>
        <v>Windows</v>
      </c>
      <c r="C752" s="888" t="str">
        <f>IF(LEN('Translation-EN'!C752)&gt;0,'Translation-EN'!C752,"")</f>
        <v>A5</v>
      </c>
      <c r="D752" s="888" t="str">
        <f>IF(LEN('Translation-EN'!D752)&gt;0,'Translation-EN'!D752,"")</f>
        <v/>
      </c>
      <c r="E752" s="893" t="s">
        <v>3028</v>
      </c>
      <c r="I752" s="888"/>
      <c r="J752" s="888"/>
      <c r="K752" s="888"/>
      <c r="L752" s="888"/>
      <c r="M752" s="888"/>
      <c r="N752" s="888"/>
      <c r="O752" s="888"/>
      <c r="P752" s="888"/>
      <c r="Q752" s="888"/>
      <c r="R752" s="888"/>
    </row>
    <row r="753" spans="1:19" s="893" customFormat="1" x14ac:dyDescent="0.3">
      <c r="A753" s="888" t="str">
        <f>IF(LEN('Translation-EN'!A753)&gt;0,'Translation-EN'!A753,"")</f>
        <v>Range</v>
      </c>
      <c r="B753" s="888" t="str">
        <f>IF(LEN('Translation-EN'!B753)&gt;0,'Translation-EN'!B753,"")</f>
        <v>Windows</v>
      </c>
      <c r="C753" s="888" t="str">
        <f>IF(LEN('Translation-EN'!C753)&gt;0,'Translation-EN'!C753,"")</f>
        <v>A10</v>
      </c>
      <c r="D753" s="888" t="str">
        <f>IF(LEN('Translation-EN'!D753)&gt;0,'Translation-EN'!D753,"")</f>
        <v/>
      </c>
      <c r="E753" s="893" t="s">
        <v>3029</v>
      </c>
      <c r="I753" s="888"/>
      <c r="J753" s="888"/>
      <c r="K753" s="888"/>
      <c r="L753" s="888"/>
      <c r="M753" s="888"/>
      <c r="N753" s="888"/>
      <c r="O753" s="888"/>
      <c r="P753" s="888"/>
      <c r="Q753" s="888"/>
      <c r="R753" s="888"/>
    </row>
    <row r="754" spans="1:19" s="893" customFormat="1" x14ac:dyDescent="0.3">
      <c r="A754" s="888" t="str">
        <f>IF(LEN('Translation-EN'!A754)&gt;0,'Translation-EN'!A754,"")</f>
        <v>Range</v>
      </c>
      <c r="B754" s="888" t="str">
        <f>IF(LEN('Translation-EN'!B754)&gt;0,'Translation-EN'!B754,"")</f>
        <v>Windows</v>
      </c>
      <c r="C754" s="888" t="str">
        <f>IF(LEN('Translation-EN'!C754)&gt;0,'Translation-EN'!C754,"")</f>
        <v>A15</v>
      </c>
      <c r="D754" s="888" t="str">
        <f>IF(LEN('Translation-EN'!D754)&gt;0,'Translation-EN'!D754,"")</f>
        <v/>
      </c>
      <c r="E754" s="893" t="s">
        <v>3030</v>
      </c>
      <c r="I754" s="888"/>
      <c r="J754" s="888"/>
      <c r="K754" s="888"/>
      <c r="L754" s="888"/>
      <c r="M754" s="888"/>
      <c r="N754" s="888"/>
      <c r="O754" s="888"/>
      <c r="P754" s="888"/>
      <c r="Q754" s="888"/>
      <c r="R754" s="888"/>
    </row>
    <row r="755" spans="1:19" x14ac:dyDescent="0.3">
      <c r="A755" s="888" t="str">
        <f>IF(LEN('Translation-EN'!A755)&gt;0,'Translation-EN'!A755,"")</f>
        <v>Range</v>
      </c>
      <c r="B755" s="888" t="str">
        <f>IF(LEN('Translation-EN'!B755)&gt;0,'Translation-EN'!B755,"")</f>
        <v>Int. Walls</v>
      </c>
      <c r="C755" s="888" t="str">
        <f>IF(LEN('Translation-EN'!C755)&gt;0,'Translation-EN'!C755,"")</f>
        <v>A1</v>
      </c>
      <c r="D755" s="888" t="str">
        <f>IF(LEN('Translation-EN'!D755)&gt;0,'Translation-EN'!D755,"")</f>
        <v/>
      </c>
      <c r="E755" s="893" t="s">
        <v>3031</v>
      </c>
    </row>
    <row r="756" spans="1:19" x14ac:dyDescent="0.3">
      <c r="A756" s="888" t="str">
        <f>IF(LEN('Translation-EN'!A756)&gt;0,'Translation-EN'!A756,"")</f>
        <v>Range</v>
      </c>
      <c r="B756" s="888" t="str">
        <f>IF(LEN('Translation-EN'!B756)&gt;0,'Translation-EN'!B756,"")</f>
        <v>Int. Walls</v>
      </c>
      <c r="C756" s="888" t="str">
        <f>IF(LEN('Translation-EN'!C756)&gt;0,'Translation-EN'!C756,"")</f>
        <v>D1</v>
      </c>
      <c r="D756" s="888" t="str">
        <f>IF(LEN('Translation-EN'!D756)&gt;0,'Translation-EN'!D756,"")</f>
        <v/>
      </c>
      <c r="E756" s="893" t="s">
        <v>3032</v>
      </c>
    </row>
    <row r="757" spans="1:19" ht="190.5" customHeight="1" x14ac:dyDescent="0.3">
      <c r="A757" s="888" t="str">
        <f>IF(LEN('Translation-EN'!A757)&gt;0,'Translation-EN'!A757,"")</f>
        <v>Range</v>
      </c>
      <c r="B757" s="888" t="str">
        <f>IF(LEN('Translation-EN'!B757)&gt;0,'Translation-EN'!B757,"")</f>
        <v>Int. Walls</v>
      </c>
      <c r="C757" s="888" t="str">
        <f>IF(LEN('Translation-EN'!C757)&gt;0,'Translation-EN'!C757,"")</f>
        <v>A2</v>
      </c>
      <c r="D757" s="888" t="b">
        <f>IF(LEN('Translation-EN'!D757)&gt;0,'Translation-EN'!D757,"")</f>
        <v>1</v>
      </c>
      <c r="E757" s="1696"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757" s="1696"/>
      <c r="G757" s="1696"/>
      <c r="H757" s="1696"/>
      <c r="I757" s="1696"/>
      <c r="J757" s="1696"/>
      <c r="K757" s="1696"/>
      <c r="L757" s="1696"/>
      <c r="M757" s="1696"/>
      <c r="N757" s="1696"/>
      <c r="O757" s="1696"/>
      <c r="P757" s="1696"/>
      <c r="Q757" s="1696"/>
      <c r="R757" s="1696"/>
      <c r="S757" s="1696"/>
    </row>
    <row r="758" spans="1:19" x14ac:dyDescent="0.3">
      <c r="A758" s="888" t="str">
        <f>IF(LEN('Translation-EN'!A758)&gt;0,'Translation-EN'!A758,"")</f>
        <v>Range</v>
      </c>
      <c r="B758" s="888" t="str">
        <f>IF(LEN('Translation-EN'!B758)&gt;0,'Translation-EN'!B758,"")</f>
        <v>Int. Walls</v>
      </c>
      <c r="C758" s="888" t="str">
        <f>IF(LEN('Translation-EN'!C758)&gt;0,'Translation-EN'!C758,"")</f>
        <v>A3</v>
      </c>
      <c r="D758" s="888" t="str">
        <f>IF(LEN('Translation-EN'!D758)&gt;0,'Translation-EN'!D758,"")</f>
        <v/>
      </c>
      <c r="E758" s="888" t="str">
        <f>$E$170</f>
        <v>CATÉGORIE</v>
      </c>
    </row>
    <row r="759" spans="1:19" x14ac:dyDescent="0.3">
      <c r="A759" s="888" t="str">
        <f>IF(LEN('Translation-EN'!A759)&gt;0,'Translation-EN'!A759,"")</f>
        <v>Range</v>
      </c>
      <c r="B759" s="888" t="str">
        <f>IF(LEN('Translation-EN'!B759)&gt;0,'Translation-EN'!B759,"")</f>
        <v>Int. Walls</v>
      </c>
      <c r="C759" s="888" t="str">
        <f>IF(LEN('Translation-EN'!C759)&gt;0,'Translation-EN'!C759,"")</f>
        <v>C3</v>
      </c>
      <c r="D759" s="888" t="str">
        <f>IF(LEN('Translation-EN'!D759)&gt;0,'Translation-EN'!D759,"")</f>
        <v/>
      </c>
      <c r="E759" s="893" t="str">
        <f>$E$171</f>
        <v>MATÉRIAU</v>
      </c>
    </row>
    <row r="760" spans="1:19" x14ac:dyDescent="0.3">
      <c r="A760" s="888" t="str">
        <f>IF(LEN('Translation-EN'!A760)&gt;0,'Translation-EN'!A760,"")</f>
        <v>Range</v>
      </c>
      <c r="B760" s="888" t="str">
        <f>IF(LEN('Translation-EN'!B760)&gt;0,'Translation-EN'!B760,"")</f>
        <v>Int. Walls</v>
      </c>
      <c r="C760" s="888" t="str">
        <f>IF(LEN('Translation-EN'!C760)&gt;0,'Translation-EN'!C760,"")</f>
        <v>D3</v>
      </c>
      <c r="D760" s="888" t="str">
        <f>IF(LEN('Translation-EN'!D760)&gt;0,'Translation-EN'!D760,"")</f>
        <v/>
      </c>
      <c r="E760" s="893" t="str">
        <f>$E$127</f>
        <v>QUANTITÉ</v>
      </c>
    </row>
    <row r="761" spans="1:19" x14ac:dyDescent="0.3">
      <c r="A761" s="888" t="str">
        <f>IF(LEN('Translation-EN'!A761)&gt;0,'Translation-EN'!A761,"")</f>
        <v>Range</v>
      </c>
      <c r="B761" s="888" t="str">
        <f>IF(LEN('Translation-EN'!B761)&gt;0,'Translation-EN'!B761,"")</f>
        <v>Int. Walls</v>
      </c>
      <c r="C761" s="888" t="str">
        <f>IF(LEN('Translation-EN'!C761)&gt;0,'Translation-EN'!C761,"")</f>
        <v>H3</v>
      </c>
      <c r="D761" s="888" t="str">
        <f>IF(LEN('Translation-EN'!D761)&gt;0,'Translation-EN'!D761,"")</f>
        <v/>
      </c>
      <c r="E761" s="888" t="str">
        <f>$E$173</f>
        <v xml:space="preserve"> SÉLECTIONNER</v>
      </c>
    </row>
    <row r="762" spans="1:19" ht="15" customHeight="1" x14ac:dyDescent="0.3">
      <c r="A762" s="888" t="str">
        <f>IF(LEN('Translation-EN'!A762)&gt;0,'Translation-EN'!A762,"")</f>
        <v>Range</v>
      </c>
      <c r="B762" s="888" t="str">
        <f>IF(LEN('Translation-EN'!B762)&gt;0,'Translation-EN'!B762,"")</f>
        <v>_Int. Walls</v>
      </c>
      <c r="C762" s="888" t="str">
        <f>IF(LEN('Translation-EN'!C762)&gt;0,'Translation-EN'!C762,"")</f>
        <v>I3</v>
      </c>
      <c r="D762" s="888" t="b">
        <f>IF(LEN('Translation-EN'!D762)&gt;0,'Translation-EN'!D762,"")</f>
        <v>1</v>
      </c>
      <c r="E762" s="1669" t="str">
        <f>$E$174</f>
        <v>ÉMISSIONS NETTES kgCO2e</v>
      </c>
    </row>
    <row r="763" spans="1:19" ht="15" customHeight="1" x14ac:dyDescent="0.3">
      <c r="A763" s="888" t="str">
        <f>IF(LEN('Translation-EN'!A763)&gt;0,'Translation-EN'!A763,"")</f>
        <v>-</v>
      </c>
      <c r="B763" s="888" t="str">
        <f>IF(LEN('Translation-EN'!B763)&gt;0,'Translation-EN'!B763,"")</f>
        <v/>
      </c>
      <c r="C763" s="888" t="str">
        <f>IF(LEN('Translation-EN'!C763)&gt;0,'Translation-EN'!C763,"")</f>
        <v/>
      </c>
      <c r="D763" s="888" t="str">
        <f>IF(LEN('Translation-EN'!D763)&gt;0,'Translation-EN'!D763,"")</f>
        <v/>
      </c>
      <c r="E763" s="1669"/>
    </row>
    <row r="764" spans="1:19" s="893" customFormat="1" ht="24.75" customHeight="1" x14ac:dyDescent="0.3">
      <c r="A764" s="888" t="str">
        <f>IF(LEN('Translation-EN'!A764)&gt;0,'Translation-EN'!A764,"")</f>
        <v>Range</v>
      </c>
      <c r="B764" s="888" t="str">
        <f>IF(LEN('Translation-EN'!B764)&gt;0,'Translation-EN'!B764,"")</f>
        <v>_Int. Walls</v>
      </c>
      <c r="C764" s="888" t="str">
        <f>IF(LEN('Translation-EN'!C764)&gt;0,'Translation-EN'!C764,"")</f>
        <v>J3</v>
      </c>
      <c r="D764" s="888" t="b">
        <f>IF(LEN('Translation-EN'!D764)&gt;0,'Translation-EN'!D764,"")</f>
        <v>1</v>
      </c>
      <c r="E764" s="1669" t="str">
        <f>$E$176</f>
        <v>CONTENU DE kgCO2e DANS LE MATÉRIAU SÉLECTIONNÉ</v>
      </c>
      <c r="I764" s="888"/>
      <c r="J764" s="888"/>
      <c r="K764" s="888"/>
      <c r="L764" s="888"/>
      <c r="M764" s="888"/>
      <c r="N764" s="888"/>
      <c r="O764" s="888"/>
      <c r="P764" s="888"/>
      <c r="Q764" s="888"/>
      <c r="R764" s="888"/>
    </row>
    <row r="765" spans="1:19" s="893" customFormat="1" ht="15" customHeight="1" x14ac:dyDescent="0.3">
      <c r="A765" s="888" t="str">
        <f>IF(LEN('Translation-EN'!A765)&gt;0,'Translation-EN'!A765,"")</f>
        <v>-</v>
      </c>
      <c r="B765" s="888" t="str">
        <f>IF(LEN('Translation-EN'!B765)&gt;0,'Translation-EN'!B765,"")</f>
        <v/>
      </c>
      <c r="C765" s="888" t="str">
        <f>IF(LEN('Translation-EN'!C765)&gt;0,'Translation-EN'!C765,"")</f>
        <v/>
      </c>
      <c r="D765" s="888" t="str">
        <f>IF(LEN('Translation-EN'!D765)&gt;0,'Translation-EN'!D765,"")</f>
        <v/>
      </c>
      <c r="E765" s="1670"/>
      <c r="I765" s="888"/>
      <c r="J765" s="888"/>
      <c r="K765" s="888"/>
      <c r="L765" s="888"/>
      <c r="M765" s="888"/>
      <c r="N765" s="888"/>
      <c r="O765" s="888"/>
      <c r="P765" s="888"/>
      <c r="Q765" s="888"/>
      <c r="R765" s="888"/>
    </row>
    <row r="766" spans="1:19" s="893" customFormat="1" ht="15" customHeight="1" x14ac:dyDescent="0.3">
      <c r="A766" s="888" t="str">
        <f>IF(LEN('Translation-EN'!A766)&gt;0,'Translation-EN'!A766,"")</f>
        <v>Range</v>
      </c>
      <c r="B766" s="888" t="str">
        <f>IF(LEN('Translation-EN'!B766)&gt;0,'Translation-EN'!B766,"")</f>
        <v>Int. Walls</v>
      </c>
      <c r="C766" s="888" t="str">
        <f>IF(LEN('Translation-EN'!C766)&gt;0,'Translation-EN'!C766,"")</f>
        <v>K3</v>
      </c>
      <c r="D766" s="888" t="b">
        <f>IF(LEN('Translation-EN'!D766)&gt;0,'Translation-EN'!D766,"")</f>
        <v>1</v>
      </c>
      <c r="E766" s="1669" t="str">
        <f>$E$178</f>
        <v xml:space="preserve">ÉMISSIONS EN kgCO2e </v>
      </c>
      <c r="I766" s="888"/>
      <c r="J766" s="888"/>
      <c r="K766" s="888"/>
      <c r="L766" s="888"/>
      <c r="M766" s="888"/>
      <c r="N766" s="888"/>
      <c r="O766" s="888"/>
      <c r="P766" s="888"/>
      <c r="Q766" s="888"/>
      <c r="R766" s="888"/>
    </row>
    <row r="767" spans="1:19" s="893" customFormat="1" ht="15" customHeight="1" x14ac:dyDescent="0.3">
      <c r="A767" s="888" t="str">
        <f>IF(LEN('Translation-EN'!A767)&gt;0,'Translation-EN'!A767,"")</f>
        <v>-</v>
      </c>
      <c r="B767" s="888" t="str">
        <f>IF(LEN('Translation-EN'!B767)&gt;0,'Translation-EN'!B767,"")</f>
        <v/>
      </c>
      <c r="C767" s="888" t="str">
        <f>IF(LEN('Translation-EN'!C767)&gt;0,'Translation-EN'!C767,"")</f>
        <v/>
      </c>
      <c r="D767" s="888" t="str">
        <f>IF(LEN('Translation-EN'!D767)&gt;0,'Translation-EN'!D767,"")</f>
        <v/>
      </c>
      <c r="E767" s="1670"/>
      <c r="I767" s="888"/>
      <c r="J767" s="888"/>
      <c r="K767" s="888"/>
      <c r="L767" s="888"/>
      <c r="M767" s="888"/>
      <c r="N767" s="888"/>
      <c r="O767" s="888"/>
      <c r="P767" s="888"/>
      <c r="Q767" s="888"/>
      <c r="R767" s="888"/>
    </row>
    <row r="768" spans="1:19" s="893" customFormat="1" ht="15" customHeight="1" x14ac:dyDescent="0.3">
      <c r="A768" s="888" t="str">
        <f>IF(LEN('Translation-EN'!A768)&gt;0,'Translation-EN'!A768,"")</f>
        <v>Range</v>
      </c>
      <c r="B768" s="888" t="str">
        <f>IF(LEN('Translation-EN'!B768)&gt;0,'Translation-EN'!B768,"")</f>
        <v>Int. Walls</v>
      </c>
      <c r="C768" s="888" t="str">
        <f>IF(LEN('Translation-EN'!C768)&gt;0,'Translation-EN'!C768,"")</f>
        <v>L3</v>
      </c>
      <c r="D768" s="888" t="b">
        <f>IF(LEN('Translation-EN'!D768)&gt;0,'Translation-EN'!D768,"")</f>
        <v>1</v>
      </c>
      <c r="E768" s="1669" t="str">
        <f>$E$180</f>
        <v>STOCKAGE kgCO₂</v>
      </c>
      <c r="I768" s="888"/>
      <c r="J768" s="888"/>
      <c r="K768" s="888"/>
      <c r="L768" s="888"/>
      <c r="M768" s="888"/>
      <c r="N768" s="888"/>
      <c r="O768" s="888"/>
      <c r="P768" s="888"/>
      <c r="Q768" s="888"/>
      <c r="R768" s="888"/>
    </row>
    <row r="769" spans="1:18" s="893" customFormat="1" ht="15" customHeight="1" x14ac:dyDescent="0.3">
      <c r="A769" s="888" t="str">
        <f>IF(LEN('Translation-EN'!A769)&gt;0,'Translation-EN'!A769,"")</f>
        <v>-</v>
      </c>
      <c r="B769" s="888" t="str">
        <f>IF(LEN('Translation-EN'!B769)&gt;0,'Translation-EN'!B769,"")</f>
        <v/>
      </c>
      <c r="C769" s="888" t="str">
        <f>IF(LEN('Translation-EN'!C769)&gt;0,'Translation-EN'!C769,"")</f>
        <v/>
      </c>
      <c r="D769" s="888" t="str">
        <f>IF(LEN('Translation-EN'!D769)&gt;0,'Translation-EN'!D769,"")</f>
        <v/>
      </c>
      <c r="E769" s="1670"/>
      <c r="I769" s="888"/>
      <c r="J769" s="888"/>
      <c r="K769" s="888"/>
      <c r="L769" s="888"/>
      <c r="M769" s="888"/>
      <c r="N769" s="888"/>
      <c r="O769" s="888"/>
      <c r="P769" s="888"/>
      <c r="Q769" s="888"/>
      <c r="R769" s="888"/>
    </row>
    <row r="770" spans="1:18" s="893" customFormat="1" ht="15" customHeight="1" x14ac:dyDescent="0.3">
      <c r="A770" s="888" t="str">
        <f>IF(LEN('Translation-EN'!A770)&gt;0,'Translation-EN'!A770,"")</f>
        <v>Range</v>
      </c>
      <c r="B770" s="888" t="str">
        <f>IF(LEN('Translation-EN'!B770)&gt;0,'Translation-EN'!B770,"")</f>
        <v>Int. Walls</v>
      </c>
      <c r="C770" s="888" t="str">
        <f>IF(LEN('Translation-EN'!C770)&gt;0,'Translation-EN'!C770,"")</f>
        <v>M3</v>
      </c>
      <c r="D770" s="888" t="b">
        <f>IF(LEN('Translation-EN'!D770)&gt;0,'Translation-EN'!D770,"")</f>
        <v>1</v>
      </c>
      <c r="E770" s="1520" t="str">
        <f>$E$182</f>
        <v xml:space="preserve">  Note</v>
      </c>
      <c r="F770" s="1520"/>
      <c r="I770" s="888"/>
      <c r="J770" s="888"/>
      <c r="K770" s="888"/>
      <c r="L770" s="888"/>
      <c r="M770" s="888"/>
      <c r="N770" s="888"/>
      <c r="O770" s="888"/>
      <c r="P770" s="888"/>
      <c r="Q770" s="888"/>
      <c r="R770" s="888"/>
    </row>
    <row r="771" spans="1:18" s="893" customFormat="1" ht="15" customHeight="1" x14ac:dyDescent="0.3">
      <c r="A771" s="888" t="str">
        <f>IF(LEN('Translation-EN'!A771)&gt;0,'Translation-EN'!A771,"")</f>
        <v>-</v>
      </c>
      <c r="B771" s="888" t="str">
        <f>IF(LEN('Translation-EN'!B771)&gt;0,'Translation-EN'!B771,"")</f>
        <v/>
      </c>
      <c r="C771" s="888" t="str">
        <f>IF(LEN('Translation-EN'!C771)&gt;0,'Translation-EN'!C771,"")</f>
        <v/>
      </c>
      <c r="D771" s="888" t="str">
        <f>IF(LEN('Translation-EN'!D771)&gt;0,'Translation-EN'!D771,"")</f>
        <v/>
      </c>
      <c r="E771" s="1520"/>
      <c r="F771" s="1520"/>
      <c r="I771" s="888"/>
      <c r="J771" s="888"/>
      <c r="K771" s="888"/>
      <c r="L771" s="888"/>
      <c r="M771" s="888"/>
      <c r="N771" s="888"/>
      <c r="O771" s="888"/>
      <c r="P771" s="888"/>
      <c r="Q771" s="888"/>
      <c r="R771" s="888"/>
    </row>
    <row r="772" spans="1:18" s="893" customFormat="1" ht="15" customHeight="1" x14ac:dyDescent="0.3">
      <c r="A772" s="888" t="str">
        <f>IF(LEN('Translation-EN'!A772)&gt;0,'Translation-EN'!A772,"")</f>
        <v>Range</v>
      </c>
      <c r="B772" s="888" t="str">
        <f>IF(LEN('Translation-EN'!B772)&gt;0,'Translation-EN'!B772,"")</f>
        <v>_Int. Walls</v>
      </c>
      <c r="C772" s="888" t="str">
        <f>IF(LEN('Translation-EN'!C772)&gt;0,'Translation-EN'!C772,"")</f>
        <v>N3</v>
      </c>
      <c r="D772" s="888" t="b">
        <f>IF(LEN('Translation-EN'!D772)&gt;0,'Translation-EN'!D772,"")</f>
        <v>1</v>
      </c>
      <c r="E772" s="1669" t="str">
        <f>$E$184</f>
        <v>Inclure le cycle long</v>
      </c>
      <c r="I772" s="888"/>
      <c r="J772" s="888"/>
      <c r="K772" s="888"/>
      <c r="L772" s="888"/>
      <c r="M772" s="888"/>
      <c r="N772" s="888"/>
      <c r="O772" s="888"/>
      <c r="P772" s="888"/>
      <c r="Q772" s="888"/>
      <c r="R772" s="888"/>
    </row>
    <row r="773" spans="1:18" s="893" customFormat="1" ht="15" customHeight="1" x14ac:dyDescent="0.3">
      <c r="A773" s="888" t="str">
        <f>IF(LEN('Translation-EN'!A773)&gt;0,'Translation-EN'!A773,"")</f>
        <v>-</v>
      </c>
      <c r="B773" s="888" t="str">
        <f>IF(LEN('Translation-EN'!B773)&gt;0,'Translation-EN'!B773,"")</f>
        <v/>
      </c>
      <c r="C773" s="888" t="str">
        <f>IF(LEN('Translation-EN'!C773)&gt;0,'Translation-EN'!C773,"")</f>
        <v/>
      </c>
      <c r="D773" s="888" t="str">
        <f>IF(LEN('Translation-EN'!D773)&gt;0,'Translation-EN'!D773,"")</f>
        <v/>
      </c>
      <c r="E773" s="1670"/>
      <c r="I773" s="888"/>
      <c r="J773" s="888"/>
      <c r="K773" s="888"/>
      <c r="L773" s="888"/>
      <c r="M773" s="888"/>
      <c r="N773" s="888"/>
      <c r="O773" s="888"/>
      <c r="P773" s="888"/>
      <c r="Q773" s="888"/>
      <c r="R773" s="888"/>
    </row>
    <row r="774" spans="1:18" s="893" customFormat="1" ht="39.15" customHeight="1" x14ac:dyDescent="0.3">
      <c r="A774" s="888" t="str">
        <f>IF(LEN('Translation-EN'!A774)&gt;0,'Translation-EN'!A774,"")</f>
        <v>Range</v>
      </c>
      <c r="B774" s="888" t="str">
        <f>IF(LEN('Translation-EN'!B774)&gt;0,'Translation-EN'!B774,"")</f>
        <v>Int. Walls</v>
      </c>
      <c r="C774" s="888" t="str">
        <f>IF(LEN('Translation-EN'!C774)&gt;0,'Translation-EN'!C774,"")</f>
        <v>O3</v>
      </c>
      <c r="D774" s="888" t="b">
        <f>IF(LEN('Translation-EN'!D774)&gt;0,'Translation-EN'!D774,"")</f>
        <v>1</v>
      </c>
      <c r="E774" s="1035" t="s">
        <v>7401</v>
      </c>
      <c r="I774" s="888"/>
      <c r="J774" s="888"/>
      <c r="K774" s="888"/>
      <c r="L774" s="888"/>
      <c r="M774" s="888"/>
      <c r="N774" s="888"/>
      <c r="O774" s="888"/>
      <c r="P774" s="888"/>
      <c r="Q774" s="888"/>
      <c r="R774" s="888"/>
    </row>
    <row r="775" spans="1:18" s="893" customFormat="1" ht="39.15" customHeight="1" x14ac:dyDescent="0.3">
      <c r="A775" s="888" t="str">
        <f>IF(LEN('Translation-EN'!A775)&gt;0,'Translation-EN'!A775,"")</f>
        <v>Range</v>
      </c>
      <c r="B775" s="888" t="str">
        <f>IF(LEN('Translation-EN'!B775)&gt;0,'Translation-EN'!B775,"")</f>
        <v>Int. Walls</v>
      </c>
      <c r="C775" s="888" t="str">
        <f>IF(LEN('Translation-EN'!C775)&gt;0,'Translation-EN'!C775,"")</f>
        <v>P3</v>
      </c>
      <c r="D775" s="888" t="b">
        <f>IF(LEN('Translation-EN'!D775)&gt;0,'Translation-EN'!D775,"")</f>
        <v>1</v>
      </c>
      <c r="E775" s="1035" t="s">
        <v>7402</v>
      </c>
      <c r="I775" s="888"/>
      <c r="J775" s="888"/>
      <c r="K775" s="888"/>
      <c r="L775" s="888"/>
      <c r="M775" s="888"/>
      <c r="N775" s="888"/>
      <c r="O775" s="888"/>
      <c r="P775" s="888"/>
      <c r="Q775" s="888"/>
      <c r="R775" s="888"/>
    </row>
    <row r="776" spans="1:18" s="893" customFormat="1" x14ac:dyDescent="0.3">
      <c r="A776" s="888" t="str">
        <f>IF(LEN('Translation-EN'!A776)&gt;0,'Translation-EN'!A776,"")</f>
        <v>Range</v>
      </c>
      <c r="B776" s="888" t="str">
        <f>IF(LEN('Translation-EN'!B776)&gt;0,'Translation-EN'!B776,"")</f>
        <v>Int. Walls</v>
      </c>
      <c r="C776" s="888" t="str">
        <f>IF(LEN('Translation-EN'!C776)&gt;0,'Translation-EN'!C776,"")</f>
        <v>A5</v>
      </c>
      <c r="D776" s="888" t="str">
        <f>IF(LEN('Translation-EN'!D776)&gt;0,'Translation-EN'!D776,"")</f>
        <v/>
      </c>
      <c r="E776" s="893" t="str">
        <f>$E$326</f>
        <v>CONSTRUCTION EN BOIS</v>
      </c>
      <c r="I776" s="888"/>
      <c r="J776" s="888"/>
      <c r="K776" s="888"/>
      <c r="L776" s="888"/>
      <c r="M776" s="888"/>
      <c r="N776" s="888"/>
      <c r="O776" s="888"/>
      <c r="P776" s="888"/>
      <c r="Q776" s="888"/>
      <c r="R776" s="888"/>
    </row>
    <row r="777" spans="1:18" s="893" customFormat="1" x14ac:dyDescent="0.3">
      <c r="A777" s="888" t="str">
        <f>IF(LEN('Translation-EN'!A777)&gt;0,'Translation-EN'!A777,"")</f>
        <v>Range</v>
      </c>
      <c r="B777" s="888" t="str">
        <f>IF(LEN('Translation-EN'!B777)&gt;0,'Translation-EN'!B777,"")</f>
        <v>Int. Walls</v>
      </c>
      <c r="C777" s="888" t="str">
        <f>IF(LEN('Translation-EN'!C777)&gt;0,'Translation-EN'!C777,"")</f>
        <v>D5</v>
      </c>
      <c r="D777" s="888" t="str">
        <f>IF(LEN('Translation-EN'!D777)&gt;0,'Translation-EN'!D777,"")</f>
        <v/>
      </c>
      <c r="E777" s="893" t="str">
        <f>$E$325</f>
        <v>L’ESPACEMENT DES CHARPENTES :</v>
      </c>
      <c r="I777" s="888"/>
      <c r="J777" s="888"/>
      <c r="K777" s="888"/>
      <c r="L777" s="888"/>
      <c r="M777" s="888"/>
      <c r="N777" s="888"/>
      <c r="O777" s="888"/>
      <c r="P777" s="888"/>
      <c r="Q777" s="888"/>
      <c r="R777" s="888"/>
    </row>
    <row r="778" spans="1:18" s="893" customFormat="1" x14ac:dyDescent="0.3">
      <c r="A778" s="888" t="str">
        <f>IF(LEN('Translation-EN'!A778)&gt;0,'Translation-EN'!A778,"")</f>
        <v>Range</v>
      </c>
      <c r="B778" s="888" t="str">
        <f>IF(LEN('Translation-EN'!B778)&gt;0,'Translation-EN'!B778,"")</f>
        <v>_Int. Walls</v>
      </c>
      <c r="C778" s="888" t="str">
        <f>IF(LEN('Translation-EN'!C778)&gt;0,'Translation-EN'!C778,"")</f>
        <v>B6</v>
      </c>
      <c r="D778" s="888" t="str">
        <f>IF(LEN('Translation-EN'!D778)&gt;0,'Translation-EN'!D778,"")</f>
        <v/>
      </c>
      <c r="E778" s="893" t="str">
        <f>$E$326</f>
        <v>CONSTRUCTION EN BOIS</v>
      </c>
      <c r="I778" s="888"/>
      <c r="J778" s="888"/>
      <c r="K778" s="888"/>
      <c r="L778" s="888"/>
      <c r="M778" s="888"/>
      <c r="N778" s="888"/>
      <c r="O778" s="888"/>
      <c r="P778" s="888"/>
      <c r="Q778" s="888"/>
      <c r="R778" s="888"/>
    </row>
    <row r="779" spans="1:18" s="893" customFormat="1" x14ac:dyDescent="0.3">
      <c r="A779" s="888" t="str">
        <f>IF(LEN('Translation-EN'!A779)&gt;0,'Translation-EN'!A779,"")</f>
        <v>Range</v>
      </c>
      <c r="B779" s="888" t="str">
        <f>IF(LEN('Translation-EN'!B779)&gt;0,'Translation-EN'!B779,"")</f>
        <v>Int. Walls</v>
      </c>
      <c r="C779" s="888" t="str">
        <f>IF(LEN('Translation-EN'!C779)&gt;0,'Translation-EN'!C779,"")</f>
        <v>B6</v>
      </c>
      <c r="D779" s="888" t="str">
        <f>IF(LEN('Translation-EN'!D779)&gt;0,'Translation-EN'!D779,"")</f>
        <v/>
      </c>
      <c r="E779" s="1040" t="s">
        <v>7586</v>
      </c>
      <c r="I779" s="888"/>
      <c r="J779" s="888"/>
      <c r="K779" s="888"/>
      <c r="L779" s="888"/>
      <c r="M779" s="888"/>
      <c r="N779" s="888"/>
      <c r="O779" s="888"/>
      <c r="P779" s="888"/>
      <c r="Q779" s="888"/>
      <c r="R779" s="888"/>
    </row>
    <row r="780" spans="1:18" s="893" customFormat="1" x14ac:dyDescent="0.3">
      <c r="A780" s="888" t="str">
        <f>IF(LEN('Translation-EN'!A780)&gt;0,'Translation-EN'!A780,"")</f>
        <v>Range</v>
      </c>
      <c r="B780" s="888" t="str">
        <f>IF(LEN('Translation-EN'!B780)&gt;0,'Translation-EN'!B780,"")</f>
        <v>Int. Walls</v>
      </c>
      <c r="C780" s="888" t="str">
        <f>IF(LEN('Translation-EN'!C780)&gt;0,'Translation-EN'!C780,"")</f>
        <v>B13</v>
      </c>
      <c r="D780" s="888" t="str">
        <f>IF(LEN('Translation-EN'!D780)&gt;0,'Translation-EN'!D780,"")</f>
        <v/>
      </c>
      <c r="E780" s="924" t="str">
        <f>$E$328</f>
        <v>2x4 CONSTRUCTION EN BOIS</v>
      </c>
      <c r="I780" s="888"/>
      <c r="J780" s="888"/>
      <c r="K780" s="888"/>
      <c r="L780" s="888"/>
      <c r="M780" s="888"/>
      <c r="N780" s="888"/>
      <c r="O780" s="888"/>
      <c r="P780" s="888"/>
      <c r="Q780" s="888"/>
      <c r="R780" s="888"/>
    </row>
    <row r="781" spans="1:18" s="893" customFormat="1" x14ac:dyDescent="0.3">
      <c r="A781" s="888" t="str">
        <f>IF(LEN('Translation-EN'!A781)&gt;0,'Translation-EN'!A781,"")</f>
        <v>Range</v>
      </c>
      <c r="B781" s="888" t="str">
        <f>IF(LEN('Translation-EN'!B781)&gt;0,'Translation-EN'!B781,"")</f>
        <v>Int. Walls</v>
      </c>
      <c r="C781" s="888" t="str">
        <f>IF(LEN('Translation-EN'!C781)&gt;0,'Translation-EN'!C781,"")</f>
        <v>B20</v>
      </c>
      <c r="D781" s="888" t="str">
        <f>IF(LEN('Translation-EN'!D781)&gt;0,'Translation-EN'!D781,"")</f>
        <v/>
      </c>
      <c r="E781" s="924" t="str">
        <f>$E$329</f>
        <v>2x6 CONSTRUCTION EN BOIS</v>
      </c>
      <c r="I781" s="888"/>
      <c r="J781" s="888"/>
      <c r="K781" s="888"/>
      <c r="L781" s="888"/>
      <c r="M781" s="888"/>
      <c r="N781" s="888"/>
      <c r="O781" s="888"/>
      <c r="P781" s="888"/>
      <c r="Q781" s="888"/>
      <c r="R781" s="888"/>
    </row>
    <row r="782" spans="1:18" s="893" customFormat="1" x14ac:dyDescent="0.3">
      <c r="A782" s="888" t="str">
        <f>IF(LEN('Translation-EN'!A782)&gt;0,'Translation-EN'!A782,"")</f>
        <v>Range</v>
      </c>
      <c r="B782" s="888" t="str">
        <f>IF(LEN('Translation-EN'!B782)&gt;0,'Translation-EN'!B782,"")</f>
        <v>Int. Walls</v>
      </c>
      <c r="C782" s="888" t="str">
        <f>IF(LEN('Translation-EN'!C782)&gt;0,'Translation-EN'!C782,"")</f>
        <v>A27</v>
      </c>
      <c r="D782" s="888" t="str">
        <f>IF(LEN('Translation-EN'!D782)&gt;0,'Translation-EN'!D782,"")</f>
        <v/>
      </c>
      <c r="E782" s="893" t="s">
        <v>3033</v>
      </c>
      <c r="I782" s="888"/>
      <c r="J782" s="888"/>
      <c r="K782" s="888"/>
      <c r="L782" s="888"/>
      <c r="M782" s="888"/>
      <c r="N782" s="888"/>
      <c r="O782" s="888"/>
      <c r="P782" s="888"/>
      <c r="Q782" s="888"/>
      <c r="R782" s="888"/>
    </row>
    <row r="783" spans="1:18" s="893" customFormat="1" x14ac:dyDescent="0.3">
      <c r="A783" s="888" t="str">
        <f>IF(LEN('Translation-EN'!A783)&gt;0,'Translation-EN'!A783,"")</f>
        <v>Range</v>
      </c>
      <c r="B783" s="888" t="str">
        <f>IF(LEN('Translation-EN'!B783)&gt;0,'Translation-EN'!B783,"")</f>
        <v>Int. Walls</v>
      </c>
      <c r="C783" s="888" t="str">
        <f>IF(LEN('Translation-EN'!C783)&gt;0,'Translation-EN'!C783,"")</f>
        <v>D27</v>
      </c>
      <c r="D783" s="888" t="str">
        <f>IF(LEN('Translation-EN'!D783)&gt;0,'Translation-EN'!D783,"")</f>
        <v/>
      </c>
      <c r="E783" s="893" t="str">
        <f>$E$325</f>
        <v>L’ESPACEMENT DES CHARPENTES :</v>
      </c>
      <c r="I783" s="888"/>
      <c r="J783" s="888"/>
      <c r="K783" s="888"/>
      <c r="L783" s="888"/>
      <c r="M783" s="888"/>
      <c r="N783" s="888"/>
      <c r="O783" s="888"/>
      <c r="P783" s="888"/>
      <c r="Q783" s="888"/>
      <c r="R783" s="888"/>
    </row>
    <row r="784" spans="1:18" s="893" customFormat="1" x14ac:dyDescent="0.3">
      <c r="A784" s="888" t="str">
        <f>IF(LEN('Translation-EN'!A784)&gt;0,'Translation-EN'!A784,"")</f>
        <v>Range</v>
      </c>
      <c r="B784" s="888" t="str">
        <f>IF(LEN('Translation-EN'!B784)&gt;0,'Translation-EN'!B784,"")</f>
        <v>Int. Walls</v>
      </c>
      <c r="C784" s="888" t="str">
        <f>IF(LEN('Translation-EN'!C784)&gt;0,'Translation-EN'!C784,"")</f>
        <v>B28</v>
      </c>
      <c r="D784" s="888" t="str">
        <f>IF(LEN('Translation-EN'!D784)&gt;0,'Translation-EN'!D784,"")</f>
        <v/>
      </c>
      <c r="E784" s="893" t="str">
        <f>$E$334</f>
        <v>CHARPENTE D’ACIER, 2x4</v>
      </c>
      <c r="I784" s="888"/>
      <c r="J784" s="888"/>
      <c r="K784" s="888"/>
      <c r="L784" s="888"/>
      <c r="M784" s="888"/>
      <c r="N784" s="888"/>
      <c r="O784" s="888"/>
      <c r="P784" s="888"/>
      <c r="Q784" s="888"/>
      <c r="R784" s="888"/>
    </row>
    <row r="785" spans="1:18" s="893" customFormat="1" x14ac:dyDescent="0.3">
      <c r="A785" s="888" t="str">
        <f>IF(LEN('Translation-EN'!A785)&gt;0,'Translation-EN'!A785,"")</f>
        <v>Range</v>
      </c>
      <c r="B785" s="888" t="str">
        <f>IF(LEN('Translation-EN'!B785)&gt;0,'Translation-EN'!B785,"")</f>
        <v>Int. Walls</v>
      </c>
      <c r="C785" s="888" t="str">
        <f>IF(LEN('Translation-EN'!C785)&gt;0,'Translation-EN'!C785,"")</f>
        <v>C29</v>
      </c>
      <c r="D785" s="888" t="str">
        <f>IF(LEN('Translation-EN'!D785)&gt;0,'Translation-EN'!D785,"")</f>
        <v/>
      </c>
      <c r="E785" s="893" t="str">
        <f>$E$579</f>
        <v>Charpente en acier – murs intérieurs – MOYENNE</v>
      </c>
      <c r="I785" s="888"/>
      <c r="J785" s="888"/>
      <c r="K785" s="888"/>
      <c r="L785" s="888"/>
      <c r="M785" s="888"/>
      <c r="N785" s="888"/>
      <c r="O785" s="888"/>
      <c r="P785" s="888"/>
      <c r="Q785" s="888"/>
      <c r="R785" s="888"/>
    </row>
    <row r="786" spans="1:18" s="893" customFormat="1" x14ac:dyDescent="0.3">
      <c r="A786" s="888" t="str">
        <f>IF(LEN('Translation-EN'!A786)&gt;0,'Translation-EN'!A786,"")</f>
        <v>Range</v>
      </c>
      <c r="B786" s="888" t="str">
        <f>IF(LEN('Translation-EN'!B786)&gt;0,'Translation-EN'!B786,"")</f>
        <v>Int. Walls</v>
      </c>
      <c r="C786" s="888" t="str">
        <f>IF(LEN('Translation-EN'!C786)&gt;0,'Translation-EN'!C786,"")</f>
        <v>A30</v>
      </c>
      <c r="D786" s="888" t="str">
        <f>IF(LEN('Translation-EN'!D786)&gt;0,'Translation-EN'!D786,"")</f>
        <v/>
      </c>
      <c r="E786" s="893" t="str">
        <f>$E$580</f>
        <v>Utilisez la fonction % pour vous adapter aux différents calibres des goujons en acier.</v>
      </c>
      <c r="I786" s="888"/>
      <c r="J786" s="888"/>
      <c r="K786" s="888"/>
      <c r="L786" s="888"/>
      <c r="M786" s="888"/>
      <c r="N786" s="888"/>
      <c r="O786" s="888"/>
      <c r="P786" s="888"/>
      <c r="Q786" s="888"/>
      <c r="R786" s="888"/>
    </row>
    <row r="787" spans="1:18" s="893" customFormat="1" x14ac:dyDescent="0.3">
      <c r="A787" s="888" t="str">
        <f>IF(LEN('Translation-EN'!A787)&gt;0,'Translation-EN'!A787,"")</f>
        <v>Range</v>
      </c>
      <c r="B787" s="888" t="str">
        <f>IF(LEN('Translation-EN'!B787)&gt;0,'Translation-EN'!B787,"")</f>
        <v>Int. Walls</v>
      </c>
      <c r="C787" s="888" t="str">
        <f>IF(LEN('Translation-EN'!C787)&gt;0,'Translation-EN'!C787,"")</f>
        <v>A32</v>
      </c>
      <c r="D787" s="888" t="str">
        <f>IF(LEN('Translation-EN'!D787)&gt;0,'Translation-EN'!D787,"")</f>
        <v/>
      </c>
      <c r="E787" s="893" t="str">
        <f>$E$360</f>
        <v>BARDAGE DES MURS INTÉRIEURS</v>
      </c>
      <c r="I787" s="888"/>
      <c r="J787" s="888"/>
      <c r="K787" s="888"/>
      <c r="L787" s="888"/>
      <c r="M787" s="888"/>
      <c r="N787" s="888"/>
      <c r="O787" s="888"/>
      <c r="P787" s="888"/>
      <c r="Q787" s="888"/>
      <c r="R787" s="888"/>
    </row>
    <row r="788" spans="1:18" s="893" customFormat="1" x14ac:dyDescent="0.3">
      <c r="A788" s="888" t="str">
        <f>IF(LEN('Translation-EN'!A788)&gt;0,'Translation-EN'!A788,"")</f>
        <v>Range</v>
      </c>
      <c r="B788" s="888" t="str">
        <f>IF(LEN('Translation-EN'!B788)&gt;0,'Translation-EN'!B788,"")</f>
        <v>Int. Walls</v>
      </c>
      <c r="C788" s="888" t="str">
        <f>IF(LEN('Translation-EN'!C788)&gt;0,'Translation-EN'!C788,"")</f>
        <v>B33</v>
      </c>
      <c r="D788" s="888" t="str">
        <f>IF(LEN('Translation-EN'!D788)&gt;0,'Translation-EN'!D788,"")</f>
        <v/>
      </c>
      <c r="E788" s="893" t="str">
        <f>$E$361</f>
        <v>CLOISONS SÈCHES 1/2 po</v>
      </c>
      <c r="I788" s="888"/>
      <c r="J788" s="888"/>
      <c r="K788" s="888"/>
      <c r="L788" s="888"/>
      <c r="M788" s="888"/>
      <c r="N788" s="888"/>
      <c r="O788" s="888"/>
      <c r="P788" s="888"/>
      <c r="Q788" s="888"/>
      <c r="R788" s="888"/>
    </row>
    <row r="789" spans="1:18" s="893" customFormat="1" x14ac:dyDescent="0.3">
      <c r="A789" s="888" t="str">
        <f>IF(LEN('Translation-EN'!A789)&gt;0,'Translation-EN'!A789,"")</f>
        <v>Range</v>
      </c>
      <c r="B789" s="888" t="str">
        <f>IF(LEN('Translation-EN'!B789)&gt;0,'Translation-EN'!B789,"")</f>
        <v>Int. Walls</v>
      </c>
      <c r="C789" s="888" t="str">
        <f>IF(LEN('Translation-EN'!C789)&gt;0,'Translation-EN'!C789,"")</f>
        <v>C34</v>
      </c>
      <c r="D789" s="888" t="str">
        <f>IF(LEN('Translation-EN'!D789)&gt;0,'Translation-EN'!D789,"")</f>
        <v/>
      </c>
      <c r="E789" s="893" t="s">
        <v>4005</v>
      </c>
      <c r="I789" s="888"/>
      <c r="J789" s="888"/>
      <c r="K789" s="888"/>
      <c r="L789" s="888"/>
      <c r="M789" s="888"/>
      <c r="N789" s="888"/>
      <c r="O789" s="888"/>
      <c r="P789" s="888"/>
      <c r="Q789" s="888"/>
      <c r="R789" s="888"/>
    </row>
    <row r="790" spans="1:18" s="893" customFormat="1" x14ac:dyDescent="0.3">
      <c r="A790" s="888" t="str">
        <f>IF(LEN('Translation-EN'!A790)&gt;0,'Translation-EN'!A790,"")</f>
        <v>Range</v>
      </c>
      <c r="B790" s="888" t="str">
        <f>IF(LEN('Translation-EN'!B790)&gt;0,'Translation-EN'!B790,"")</f>
        <v>Int. Walls</v>
      </c>
      <c r="C790" s="888" t="str">
        <f>IF(LEN('Translation-EN'!C790)&gt;0,'Translation-EN'!C790,"")</f>
        <v>B37</v>
      </c>
      <c r="D790" s="888" t="str">
        <f>IF(LEN('Translation-EN'!D790)&gt;0,'Translation-EN'!D790,"")</f>
        <v/>
      </c>
      <c r="E790" s="893" t="str">
        <f>$E$363</f>
        <v>CLOISONS SÈCHES 5/8 po</v>
      </c>
      <c r="I790" s="888"/>
      <c r="J790" s="888"/>
      <c r="K790" s="888"/>
      <c r="L790" s="888"/>
      <c r="M790" s="888"/>
      <c r="N790" s="888"/>
      <c r="O790" s="888"/>
      <c r="P790" s="888"/>
      <c r="Q790" s="888"/>
      <c r="R790" s="888"/>
    </row>
    <row r="791" spans="1:18" s="893" customFormat="1" x14ac:dyDescent="0.3">
      <c r="A791" s="888" t="str">
        <f>IF(LEN('Translation-EN'!A791)&gt;0,'Translation-EN'!A791,"")</f>
        <v>Range</v>
      </c>
      <c r="B791" s="888" t="str">
        <f>IF(LEN('Translation-EN'!B791)&gt;0,'Translation-EN'!B791,"")</f>
        <v>Int. Walls</v>
      </c>
      <c r="C791" s="888" t="str">
        <f>IF(LEN('Translation-EN'!C791)&gt;0,'Translation-EN'!C791,"")</f>
        <v>C38</v>
      </c>
      <c r="D791" s="888" t="str">
        <f>IF(LEN('Translation-EN'!D791)&gt;0,'Translation-EN'!D791,"")</f>
        <v/>
      </c>
      <c r="E791" s="893" t="s">
        <v>5078</v>
      </c>
      <c r="I791" s="888"/>
      <c r="J791" s="888"/>
      <c r="K791" s="888"/>
      <c r="L791" s="888"/>
      <c r="M791" s="888"/>
      <c r="N791" s="888"/>
      <c r="O791" s="888"/>
      <c r="P791" s="888"/>
      <c r="Q791" s="888"/>
      <c r="R791" s="888"/>
    </row>
    <row r="792" spans="1:18" s="893" customFormat="1" x14ac:dyDescent="0.3">
      <c r="A792" s="888" t="str">
        <f>IF(LEN('Translation-EN'!A792)&gt;0,'Translation-EN'!A792,"")</f>
        <v>Range</v>
      </c>
      <c r="B792" s="888" t="str">
        <f>IF(LEN('Translation-EN'!B792)&gt;0,'Translation-EN'!B792,"")</f>
        <v>Int. Walls</v>
      </c>
      <c r="C792" s="888" t="str">
        <f>IF(LEN('Translation-EN'!C792)&gt;0,'Translation-EN'!C792,"")</f>
        <v>B42</v>
      </c>
      <c r="D792" s="888" t="str">
        <f>IF(LEN('Translation-EN'!D792)&gt;0,'Translation-EN'!D792,"")</f>
        <v/>
      </c>
      <c r="E792" s="893" t="str">
        <f>$E$365</f>
        <v>AUTRES MATÉRIAUX DE BARDAGE</v>
      </c>
      <c r="I792" s="888"/>
      <c r="J792" s="888"/>
      <c r="K792" s="888"/>
      <c r="L792" s="888"/>
      <c r="M792" s="888"/>
      <c r="N792" s="888"/>
      <c r="O792" s="888"/>
      <c r="P792" s="888"/>
      <c r="Q792" s="888"/>
      <c r="R792" s="888"/>
    </row>
    <row r="793" spans="1:18" s="893" customFormat="1" x14ac:dyDescent="0.3">
      <c r="A793" s="888" t="str">
        <f>IF(LEN('Translation-EN'!A793)&gt;0,'Translation-EN'!A793,"")</f>
        <v>Range</v>
      </c>
      <c r="B793" s="888" t="str">
        <f>IF(LEN('Translation-EN'!B793)&gt;0,'Translation-EN'!B793,"")</f>
        <v>Int. Walls</v>
      </c>
      <c r="C793" s="888" t="str">
        <f>IF(LEN('Translation-EN'!C793)&gt;0,'Translation-EN'!C793,"")</f>
        <v>A56</v>
      </c>
      <c r="D793" s="888" t="str">
        <f>IF(LEN('Translation-EN'!D793)&gt;0,'Translation-EN'!D793,"")</f>
        <v/>
      </c>
      <c r="E793" s="893" t="str">
        <f>$E$337</f>
        <v>ISOLATION DE LA CAVITÉ</v>
      </c>
      <c r="I793" s="888"/>
      <c r="J793" s="888"/>
      <c r="K793" s="888"/>
      <c r="L793" s="888"/>
      <c r="M793" s="888"/>
      <c r="N793" s="888"/>
      <c r="O793" s="888"/>
      <c r="P793" s="888"/>
      <c r="Q793" s="888"/>
      <c r="R793" s="888"/>
    </row>
    <row r="794" spans="1:18" s="893" customFormat="1" x14ac:dyDescent="0.3">
      <c r="A794" s="888" t="str">
        <f>IF(LEN('Translation-EN'!A794)&gt;0,'Translation-EN'!A794,"")</f>
        <v>Range</v>
      </c>
      <c r="B794" s="888" t="str">
        <f>IF(LEN('Translation-EN'!B794)&gt;0,'Translation-EN'!B794,"")</f>
        <v>Int. Walls</v>
      </c>
      <c r="C794" s="888" t="str">
        <f>IF(LEN('Translation-EN'!C794)&gt;0,'Translation-EN'!C794,"")</f>
        <v>B57</v>
      </c>
      <c r="D794" s="888" t="str">
        <f>IF(LEN('Translation-EN'!D794)&gt;0,'Translation-EN'!D794,"")</f>
        <v/>
      </c>
      <c r="E794" s="893" t="str">
        <f>$E$339</f>
        <v>NATTE DE FIBRE DE VERRE</v>
      </c>
      <c r="I794" s="888"/>
      <c r="J794" s="888"/>
      <c r="K794" s="888"/>
      <c r="L794" s="888"/>
      <c r="M794" s="888"/>
      <c r="N794" s="888"/>
      <c r="O794" s="888"/>
      <c r="P794" s="888"/>
      <c r="Q794" s="888"/>
      <c r="R794" s="888"/>
    </row>
    <row r="795" spans="1:18" s="893" customFormat="1" x14ac:dyDescent="0.3">
      <c r="A795" s="888" t="str">
        <f>IF(LEN('Translation-EN'!A795)&gt;0,'Translation-EN'!A795,"")</f>
        <v>Range</v>
      </c>
      <c r="B795" s="888" t="str">
        <f>IF(LEN('Translation-EN'!B795)&gt;0,'Translation-EN'!B795,"")</f>
        <v>_Int. Walls</v>
      </c>
      <c r="C795" s="888" t="str">
        <f>IF(LEN('Translation-EN'!C795)&gt;0,'Translation-EN'!C795,"")</f>
        <v>D36</v>
      </c>
      <c r="D795" s="888" t="str">
        <f>IF(LEN('Translation-EN'!D795)&gt;0,'Translation-EN'!D795,"")</f>
        <v/>
      </c>
      <c r="E795" s="936" t="str">
        <f>$E$606</f>
        <v>VALEUR R :</v>
      </c>
      <c r="I795" s="888"/>
      <c r="J795" s="888"/>
      <c r="K795" s="888"/>
      <c r="L795" s="888"/>
      <c r="M795" s="888"/>
      <c r="N795" s="888"/>
      <c r="O795" s="888"/>
      <c r="P795" s="888"/>
      <c r="Q795" s="888"/>
      <c r="R795" s="888"/>
    </row>
    <row r="796" spans="1:18" s="893" customFormat="1" x14ac:dyDescent="0.3">
      <c r="A796" s="888" t="str">
        <f>IF(LEN('Translation-EN'!A796)&gt;0,'Translation-EN'!A796,"")</f>
        <v>Range</v>
      </c>
      <c r="B796" s="888" t="str">
        <f>IF(LEN('Translation-EN'!B796)&gt;0,'Translation-EN'!B796,"")</f>
        <v>Int. Walls</v>
      </c>
      <c r="C796" s="888" t="str">
        <f>IF(LEN('Translation-EN'!C796)&gt;0,'Translation-EN'!C796,"")</f>
        <v>C58</v>
      </c>
      <c r="D796" s="888" t="str">
        <f>IF(LEN('Translation-EN'!D796)&gt;0,'Translation-EN'!D796,"")</f>
        <v/>
      </c>
      <c r="E796" s="893" t="str">
        <f>$E$469</f>
        <v>Natte en fibre de verre – MOYENNE</v>
      </c>
      <c r="I796" s="888"/>
      <c r="J796" s="888"/>
      <c r="K796" s="888"/>
      <c r="L796" s="888"/>
      <c r="M796" s="888"/>
      <c r="N796" s="888"/>
      <c r="O796" s="888"/>
      <c r="P796" s="888"/>
      <c r="Q796" s="888"/>
      <c r="R796" s="888"/>
    </row>
    <row r="797" spans="1:18" s="893" customFormat="1" x14ac:dyDescent="0.3">
      <c r="A797" s="888" t="str">
        <f>IF(LEN('Translation-EN'!A797)&gt;0,'Translation-EN'!A797,"")</f>
        <v>Range</v>
      </c>
      <c r="B797" s="888" t="str">
        <f>IF(LEN('Translation-EN'!B797)&gt;0,'Translation-EN'!B797,"")</f>
        <v>Int. Walls</v>
      </c>
      <c r="C797" s="888" t="str">
        <f>IF(LEN('Translation-EN'!C797)&gt;0,'Translation-EN'!C797,"")</f>
        <v>B62</v>
      </c>
      <c r="D797" s="888" t="str">
        <f>IF(LEN('Translation-EN'!D797)&gt;0,'Translation-EN'!D797,"")</f>
        <v/>
      </c>
      <c r="E797" s="893" t="str">
        <f>$E$470</f>
        <v>FIBRE DE VERRE SOUFFLÉE</v>
      </c>
      <c r="I797" s="888"/>
      <c r="J797" s="888"/>
      <c r="K797" s="888"/>
      <c r="L797" s="888"/>
      <c r="M797" s="888"/>
      <c r="N797" s="888"/>
      <c r="O797" s="888"/>
      <c r="P797" s="888"/>
      <c r="Q797" s="888"/>
      <c r="R797" s="888"/>
    </row>
    <row r="798" spans="1:18" s="893" customFormat="1" x14ac:dyDescent="0.3">
      <c r="A798" s="888" t="str">
        <f>IF(LEN('Translation-EN'!A798)&gt;0,'Translation-EN'!A798,"")</f>
        <v>Range</v>
      </c>
      <c r="B798" s="888" t="str">
        <f>IF(LEN('Translation-EN'!B798)&gt;0,'Translation-EN'!B798,"")</f>
        <v>_Int. Walls</v>
      </c>
      <c r="C798" s="888" t="str">
        <f>IF(LEN('Translation-EN'!C798)&gt;0,'Translation-EN'!C798,"")</f>
        <v>D42</v>
      </c>
      <c r="D798" s="888" t="str">
        <f>IF(LEN('Translation-EN'!D798)&gt;0,'Translation-EN'!D798,"")</f>
        <v/>
      </c>
      <c r="E798" s="936" t="str">
        <f>$E$606</f>
        <v>VALEUR R :</v>
      </c>
      <c r="I798" s="888"/>
      <c r="J798" s="888"/>
      <c r="K798" s="888"/>
      <c r="L798" s="888"/>
      <c r="M798" s="888"/>
      <c r="N798" s="888"/>
      <c r="O798" s="888"/>
      <c r="P798" s="888"/>
      <c r="Q798" s="888"/>
      <c r="R798" s="888"/>
    </row>
    <row r="799" spans="1:18" s="893" customFormat="1" x14ac:dyDescent="0.3">
      <c r="A799" s="888" t="str">
        <f>IF(LEN('Translation-EN'!A799)&gt;0,'Translation-EN'!A799,"")</f>
        <v>Range</v>
      </c>
      <c r="B799" s="888" t="str">
        <f>IF(LEN('Translation-EN'!B799)&gt;0,'Translation-EN'!B799,"")</f>
        <v>Int. Walls</v>
      </c>
      <c r="C799" s="888" t="str">
        <f>IF(LEN('Translation-EN'!C799)&gt;0,'Translation-EN'!C799,"")</f>
        <v>C63</v>
      </c>
      <c r="D799" s="888" t="str">
        <f>IF(LEN('Translation-EN'!D799)&gt;0,'Translation-EN'!D799,"")</f>
        <v/>
      </c>
      <c r="E799" s="893" t="str">
        <f>$E$471</f>
        <v>Fibre de verre en vrac – MOYENNE</v>
      </c>
      <c r="I799" s="888"/>
      <c r="J799" s="888"/>
      <c r="K799" s="888"/>
      <c r="L799" s="888"/>
      <c r="M799" s="888"/>
      <c r="N799" s="888"/>
      <c r="O799" s="888"/>
      <c r="P799" s="888"/>
      <c r="Q799" s="888"/>
      <c r="R799" s="888"/>
    </row>
    <row r="800" spans="1:18" s="893" customFormat="1" x14ac:dyDescent="0.3">
      <c r="A800" s="888" t="str">
        <f>IF(LEN('Translation-EN'!A800)&gt;0,'Translation-EN'!A800,"")</f>
        <v>Range</v>
      </c>
      <c r="B800" s="888" t="str">
        <f>IF(LEN('Translation-EN'!B800)&gt;0,'Translation-EN'!B800,"")</f>
        <v>Int. Walls</v>
      </c>
      <c r="C800" s="888" t="str">
        <f>IF(LEN('Translation-EN'!C800)&gt;0,'Translation-EN'!C800,"")</f>
        <v>B66</v>
      </c>
      <c r="D800" s="888" t="str">
        <f>IF(LEN('Translation-EN'!D800)&gt;0,'Translation-EN'!D800,"")</f>
        <v/>
      </c>
      <c r="E800" s="893" t="str">
        <f>$E$343</f>
        <v>NATTE DE LAINE MINÉRALE</v>
      </c>
      <c r="I800" s="888"/>
      <c r="J800" s="888"/>
      <c r="K800" s="888"/>
      <c r="L800" s="888"/>
      <c r="M800" s="888"/>
      <c r="N800" s="888"/>
      <c r="O800" s="888"/>
      <c r="P800" s="888"/>
      <c r="Q800" s="888"/>
      <c r="R800" s="888"/>
    </row>
    <row r="801" spans="1:18" s="893" customFormat="1" x14ac:dyDescent="0.3">
      <c r="A801" s="888" t="str">
        <f>IF(LEN('Translation-EN'!A801)&gt;0,'Translation-EN'!A801,"")</f>
        <v>Range</v>
      </c>
      <c r="B801" s="888" t="str">
        <f>IF(LEN('Translation-EN'!B801)&gt;0,'Translation-EN'!B801,"")</f>
        <v>_Int. Walls</v>
      </c>
      <c r="C801" s="888" t="str">
        <f>IF(LEN('Translation-EN'!C801)&gt;0,'Translation-EN'!C801,"")</f>
        <v>D46</v>
      </c>
      <c r="D801" s="888" t="str">
        <f>IF(LEN('Translation-EN'!D801)&gt;0,'Translation-EN'!D801,"")</f>
        <v/>
      </c>
      <c r="E801" s="936" t="str">
        <f>$E$606</f>
        <v>VALEUR R :</v>
      </c>
      <c r="I801" s="888"/>
      <c r="J801" s="888"/>
      <c r="K801" s="888"/>
      <c r="L801" s="888"/>
      <c r="M801" s="888"/>
      <c r="N801" s="888"/>
      <c r="O801" s="888"/>
      <c r="P801" s="888"/>
      <c r="Q801" s="888"/>
      <c r="R801" s="888"/>
    </row>
    <row r="802" spans="1:18" s="893" customFormat="1" x14ac:dyDescent="0.3">
      <c r="A802" s="888" t="str">
        <f>IF(LEN('Translation-EN'!A802)&gt;0,'Translation-EN'!A802,"")</f>
        <v>Range</v>
      </c>
      <c r="B802" s="888" t="str">
        <f>IF(LEN('Translation-EN'!B802)&gt;0,'Translation-EN'!B802,"")</f>
        <v>Int. Walls</v>
      </c>
      <c r="C802" s="888" t="str">
        <f>IF(LEN('Translation-EN'!C802)&gt;0,'Translation-EN'!C802,"")</f>
        <v>B69</v>
      </c>
      <c r="D802" s="888" t="str">
        <f>IF(LEN('Translation-EN'!D802)&gt;0,'Translation-EN'!D802,"")</f>
        <v/>
      </c>
      <c r="E802" s="893" t="str">
        <f>$E$341</f>
        <v>ISOLATION EN CELLULOSE</v>
      </c>
      <c r="I802" s="888"/>
      <c r="J802" s="888"/>
      <c r="K802" s="888"/>
      <c r="L802" s="888"/>
      <c r="M802" s="888"/>
      <c r="N802" s="888"/>
      <c r="O802" s="888"/>
      <c r="P802" s="888"/>
      <c r="Q802" s="888"/>
      <c r="R802" s="888"/>
    </row>
    <row r="803" spans="1:18" s="893" customFormat="1" x14ac:dyDescent="0.3">
      <c r="A803" s="888" t="str">
        <f>IF(LEN('Translation-EN'!A803)&gt;0,'Translation-EN'!A803,"")</f>
        <v>Range</v>
      </c>
      <c r="B803" s="888" t="str">
        <f>IF(LEN('Translation-EN'!B803)&gt;0,'Translation-EN'!B803,"")</f>
        <v>_Int. Walls</v>
      </c>
      <c r="C803" s="888" t="str">
        <f>IF(LEN('Translation-EN'!C803)&gt;0,'Translation-EN'!C803,"")</f>
        <v>D49</v>
      </c>
      <c r="D803" s="888" t="str">
        <f>IF(LEN('Translation-EN'!D803)&gt;0,'Translation-EN'!D803,"")</f>
        <v/>
      </c>
      <c r="E803" s="936" t="str">
        <f>$E$606</f>
        <v>VALEUR R :</v>
      </c>
      <c r="I803" s="888"/>
      <c r="J803" s="888"/>
      <c r="K803" s="888"/>
      <c r="L803" s="888"/>
      <c r="M803" s="888"/>
      <c r="N803" s="888"/>
      <c r="O803" s="888"/>
      <c r="P803" s="888"/>
      <c r="Q803" s="888"/>
      <c r="R803" s="888"/>
    </row>
    <row r="804" spans="1:18" s="893" customFormat="1" x14ac:dyDescent="0.3">
      <c r="A804" s="888" t="str">
        <f>IF(LEN('Translation-EN'!A804)&gt;0,'Translation-EN'!A804,"")</f>
        <v>Range</v>
      </c>
      <c r="B804" s="888" t="str">
        <f>IF(LEN('Translation-EN'!B804)&gt;0,'Translation-EN'!B804,"")</f>
        <v>Int. Walls</v>
      </c>
      <c r="C804" s="888" t="str">
        <f>IF(LEN('Translation-EN'!C804)&gt;0,'Translation-EN'!C804,"")</f>
        <v>C70</v>
      </c>
      <c r="D804" s="888" t="str">
        <f>IF(LEN('Translation-EN'!D804)&gt;0,'Translation-EN'!D804,"")</f>
        <v/>
      </c>
      <c r="E804" s="893" t="str">
        <f>$E$475</f>
        <v>Cellulose – MOYENNE</v>
      </c>
      <c r="I804" s="888"/>
      <c r="J804" s="888"/>
      <c r="K804" s="888"/>
      <c r="L804" s="888"/>
      <c r="M804" s="888"/>
      <c r="N804" s="888"/>
      <c r="O804" s="888"/>
      <c r="P804" s="888"/>
      <c r="Q804" s="888"/>
      <c r="R804" s="888"/>
    </row>
    <row r="805" spans="1:18" s="893" customFormat="1" x14ac:dyDescent="0.3">
      <c r="A805" s="888" t="str">
        <f>IF(LEN('Translation-EN'!A805)&gt;0,'Translation-EN'!A805,"")</f>
        <v>Range</v>
      </c>
      <c r="B805" s="888" t="str">
        <f>IF(LEN('Translation-EN'!B805)&gt;0,'Translation-EN'!B805,"")</f>
        <v>Int. Walls</v>
      </c>
      <c r="C805" s="888" t="str">
        <f>IF(LEN('Translation-EN'!C805)&gt;0,'Translation-EN'!C805,"")</f>
        <v>B74</v>
      </c>
      <c r="D805" s="888" t="str">
        <f>IF(LEN('Translation-EN'!D805)&gt;0,'Translation-EN'!D805,"")</f>
        <v/>
      </c>
      <c r="E805" s="893" t="str">
        <f>$E$345</f>
        <v>NATTE DE FIBRES DE BOIS</v>
      </c>
      <c r="I805" s="888"/>
      <c r="J805" s="888"/>
      <c r="K805" s="888"/>
      <c r="L805" s="888"/>
      <c r="M805" s="888"/>
      <c r="N805" s="888"/>
      <c r="O805" s="888"/>
      <c r="P805" s="888"/>
      <c r="Q805" s="888"/>
      <c r="R805" s="888"/>
    </row>
    <row r="806" spans="1:18" s="893" customFormat="1" x14ac:dyDescent="0.3">
      <c r="A806" s="888" t="str">
        <f>IF(LEN('Translation-EN'!A806)&gt;0,'Translation-EN'!A806,"")</f>
        <v>Range</v>
      </c>
      <c r="B806" s="888" t="str">
        <f>IF(LEN('Translation-EN'!B806)&gt;0,'Translation-EN'!B806,"")</f>
        <v>_Int. Walls</v>
      </c>
      <c r="C806" s="888" t="str">
        <f>IF(LEN('Translation-EN'!C806)&gt;0,'Translation-EN'!C806,"")</f>
        <v>D54</v>
      </c>
      <c r="D806" s="888" t="str">
        <f>IF(LEN('Translation-EN'!D806)&gt;0,'Translation-EN'!D806,"")</f>
        <v/>
      </c>
      <c r="E806" s="936" t="str">
        <f>$E$606</f>
        <v>VALEUR R :</v>
      </c>
      <c r="I806" s="888"/>
      <c r="J806" s="888"/>
      <c r="K806" s="888"/>
      <c r="L806" s="888"/>
      <c r="M806" s="888"/>
      <c r="N806" s="888"/>
      <c r="O806" s="888"/>
      <c r="P806" s="888"/>
      <c r="Q806" s="888"/>
      <c r="R806" s="888"/>
    </row>
    <row r="807" spans="1:18" s="893" customFormat="1" x14ac:dyDescent="0.3">
      <c r="A807" s="888" t="str">
        <f>IF(LEN('Translation-EN'!A807)&gt;0,'Translation-EN'!A807,"")</f>
        <v>Range</v>
      </c>
      <c r="B807" s="888" t="str">
        <f>IF(LEN('Translation-EN'!B807)&gt;0,'Translation-EN'!B807,"")</f>
        <v>Int. Walls</v>
      </c>
      <c r="C807" s="888" t="str">
        <f>IF(LEN('Translation-EN'!C807)&gt;0,'Translation-EN'!C807,"")</f>
        <v>C75</v>
      </c>
      <c r="D807" s="888" t="str">
        <f>IF(LEN('Translation-EN'!D807)&gt;0,'Translation-EN'!D807,"")</f>
        <v/>
      </c>
      <c r="E807" s="893" t="str">
        <f>$E$477</f>
        <v>Natte de fibres de bois – MOYENNE</v>
      </c>
      <c r="I807" s="888"/>
      <c r="J807" s="888"/>
      <c r="K807" s="888"/>
      <c r="L807" s="888"/>
      <c r="M807" s="888"/>
      <c r="N807" s="888"/>
      <c r="O807" s="888"/>
      <c r="P807" s="888"/>
      <c r="Q807" s="888"/>
      <c r="R807" s="888"/>
    </row>
    <row r="808" spans="1:18" s="893" customFormat="1" x14ac:dyDescent="0.3">
      <c r="A808" s="888" t="str">
        <f>IF(LEN('Translation-EN'!A808)&gt;0,'Translation-EN'!A808,"")</f>
        <v>Range</v>
      </c>
      <c r="B808" s="888" t="str">
        <f>IF(LEN('Translation-EN'!B808)&gt;0,'Translation-EN'!B808,"")</f>
        <v>Int. Walls</v>
      </c>
      <c r="C808" s="888" t="str">
        <f>IF(LEN('Translation-EN'!C808)&gt;0,'Translation-EN'!C808,"")</f>
        <v>B78</v>
      </c>
      <c r="D808" s="888" t="str">
        <f>IF(LEN('Translation-EN'!D808)&gt;0,'Translation-EN'!D808,"")</f>
        <v/>
      </c>
      <c r="E808" s="893" t="str">
        <f>$E$478</f>
        <v>AUTRES ISOLANTS EN FIBRES NATURELLES</v>
      </c>
      <c r="I808" s="888"/>
      <c r="J808" s="888"/>
      <c r="K808" s="888"/>
      <c r="L808" s="888"/>
      <c r="M808" s="888"/>
      <c r="N808" s="888"/>
      <c r="O808" s="888"/>
      <c r="P808" s="888"/>
      <c r="Q808" s="888"/>
      <c r="R808" s="888"/>
    </row>
    <row r="809" spans="1:18" s="893" customFormat="1" x14ac:dyDescent="0.3">
      <c r="A809" s="888" t="str">
        <f>IF(LEN('Translation-EN'!A809)&gt;0,'Translation-EN'!A809,"")</f>
        <v>Range</v>
      </c>
      <c r="B809" s="888" t="str">
        <f>IF(LEN('Translation-EN'!B809)&gt;0,'Translation-EN'!B809,"")</f>
        <v>_Int. Walls</v>
      </c>
      <c r="C809" s="888" t="str">
        <f>IF(LEN('Translation-EN'!C809)&gt;0,'Translation-EN'!C809,"")</f>
        <v>D58</v>
      </c>
      <c r="D809" s="888" t="str">
        <f>IF(LEN('Translation-EN'!D809)&gt;0,'Translation-EN'!D809,"")</f>
        <v/>
      </c>
      <c r="E809" s="936" t="str">
        <f>$E$606</f>
        <v>VALEUR R :</v>
      </c>
      <c r="I809" s="888"/>
      <c r="J809" s="888"/>
      <c r="K809" s="888"/>
      <c r="L809" s="888"/>
      <c r="M809" s="888"/>
      <c r="N809" s="888"/>
      <c r="O809" s="888"/>
      <c r="P809" s="888"/>
      <c r="Q809" s="888"/>
      <c r="R809" s="888"/>
    </row>
    <row r="810" spans="1:18" x14ac:dyDescent="0.3">
      <c r="A810" s="888" t="str">
        <f>IF(LEN('Translation-EN'!A810)&gt;0,'Translation-EN'!A810,"")</f>
        <v>Range</v>
      </c>
      <c r="B810" s="888" t="str">
        <f>IF(LEN('Translation-EN'!B810)&gt;0,'Translation-EN'!B810,"")</f>
        <v>Int. Walls</v>
      </c>
      <c r="C810" s="888" t="str">
        <f>IF(LEN('Translation-EN'!C810)&gt;0,'Translation-EN'!C810,"")</f>
        <v>B83</v>
      </c>
      <c r="D810" s="888" t="str">
        <f>IF(LEN('Translation-EN'!D810)&gt;0,'Translation-EN'!D810,"")</f>
        <v/>
      </c>
      <c r="E810" s="893" t="str">
        <f>$E$479</f>
        <v>MOUSSE À PULVÉRISER – CELLULE FERMÉE</v>
      </c>
    </row>
    <row r="811" spans="1:18" x14ac:dyDescent="0.3">
      <c r="A811" s="888" t="str">
        <f>IF(LEN('Translation-EN'!A811)&gt;0,'Translation-EN'!A811,"")</f>
        <v>Range</v>
      </c>
      <c r="B811" s="888" t="str">
        <f>IF(LEN('Translation-EN'!B811)&gt;0,'Translation-EN'!B811,"")</f>
        <v>_Int. Walls</v>
      </c>
      <c r="C811" s="888" t="str">
        <f>IF(LEN('Translation-EN'!C811)&gt;0,'Translation-EN'!C811,"")</f>
        <v>D63</v>
      </c>
      <c r="D811" s="888" t="str">
        <f>IF(LEN('Translation-EN'!D811)&gt;0,'Translation-EN'!D811,"")</f>
        <v/>
      </c>
      <c r="E811" s="936" t="str">
        <f>$E$606</f>
        <v>VALEUR R :</v>
      </c>
    </row>
    <row r="812" spans="1:18" x14ac:dyDescent="0.3">
      <c r="A812" s="888" t="str">
        <f>IF(LEN('Translation-EN'!A812)&gt;0,'Translation-EN'!A812,"")</f>
        <v>Range</v>
      </c>
      <c r="B812" s="888" t="str">
        <f>IF(LEN('Translation-EN'!B812)&gt;0,'Translation-EN'!B812,"")</f>
        <v>Int. Walls</v>
      </c>
      <c r="C812" s="888" t="str">
        <f>IF(LEN('Translation-EN'!C812)&gt;0,'Translation-EN'!C812,"")</f>
        <v>B86</v>
      </c>
      <c r="D812" s="888" t="str">
        <f>IF(LEN('Translation-EN'!D812)&gt;0,'Translation-EN'!D812,"")</f>
        <v/>
      </c>
      <c r="E812" s="893" t="str">
        <f>$E$480</f>
        <v>MOUSSE À PULVÉRISER – CELLULE OUVERTE</v>
      </c>
    </row>
    <row r="813" spans="1:18" x14ac:dyDescent="0.3">
      <c r="A813" s="888" t="str">
        <f>IF(LEN('Translation-EN'!A813)&gt;0,'Translation-EN'!A813,"")</f>
        <v>Range</v>
      </c>
      <c r="B813" s="888" t="str">
        <f>IF(LEN('Translation-EN'!B813)&gt;0,'Translation-EN'!B813,"")</f>
        <v>_Int. Walls</v>
      </c>
      <c r="C813" s="888" t="str">
        <f>IF(LEN('Translation-EN'!C813)&gt;0,'Translation-EN'!C813,"")</f>
        <v>D66</v>
      </c>
      <c r="D813" s="888" t="str">
        <f>IF(LEN('Translation-EN'!D813)&gt;0,'Translation-EN'!D813,"")</f>
        <v/>
      </c>
      <c r="E813" s="936" t="str">
        <f>$E$606</f>
        <v>VALEUR R :</v>
      </c>
    </row>
    <row r="814" spans="1:18" x14ac:dyDescent="0.3">
      <c r="A814" s="888" t="str">
        <f>IF(LEN('Translation-EN'!A814)&gt;0,'Translation-EN'!A814,"")</f>
        <v>Range</v>
      </c>
      <c r="B814" s="888" t="str">
        <f>IF(LEN('Translation-EN'!B814)&gt;0,'Translation-EN'!B814,"")</f>
        <v>Int. Walls</v>
      </c>
      <c r="C814" s="888" t="str">
        <f>IF(LEN('Translation-EN'!C814)&gt;0,'Translation-EN'!C814,"")</f>
        <v>B88</v>
      </c>
      <c r="D814" s="888" t="str">
        <f>IF(LEN('Translation-EN'!D814)&gt;0,'Translation-EN'!D814,"")</f>
        <v/>
      </c>
      <c r="E814" s="893" t="str">
        <f>$E$481</f>
        <v>BRIQUES DE CHANVRE</v>
      </c>
    </row>
    <row r="815" spans="1:18" x14ac:dyDescent="0.3">
      <c r="A815" s="888" t="str">
        <f>IF(LEN('Translation-EN'!A815)&gt;0,'Translation-EN'!A815,"")</f>
        <v>Range</v>
      </c>
      <c r="B815" s="888" t="str">
        <f>IF(LEN('Translation-EN'!B815)&gt;0,'Translation-EN'!B815,"")</f>
        <v>_Int. Walls</v>
      </c>
      <c r="C815" s="888" t="str">
        <f>IF(LEN('Translation-EN'!C815)&gt;0,'Translation-EN'!C815,"")</f>
        <v>D68</v>
      </c>
      <c r="D815" s="888" t="str">
        <f>IF(LEN('Translation-EN'!D815)&gt;0,'Translation-EN'!D815,"")</f>
        <v/>
      </c>
      <c r="E815" s="936" t="str">
        <f>$E$606</f>
        <v>VALEUR R :</v>
      </c>
    </row>
    <row r="816" spans="1:18" x14ac:dyDescent="0.3">
      <c r="A816" s="888" t="str">
        <f>IF(LEN('Translation-EN'!A816)&gt;0,'Translation-EN'!A816,"")</f>
        <v>Range</v>
      </c>
      <c r="B816" s="888" t="str">
        <f>IF(LEN('Translation-EN'!B816)&gt;0,'Translation-EN'!B816,"")</f>
        <v>Int. Walls</v>
      </c>
      <c r="C816" s="888" t="str">
        <f>IF(LEN('Translation-EN'!C816)&gt;0,'Translation-EN'!C816,"")</f>
        <v>C89</v>
      </c>
      <c r="D816" s="888" t="str">
        <f>IF(LEN('Translation-EN'!D816)&gt;0,'Translation-EN'!D816,"")</f>
        <v/>
      </c>
      <c r="E816" s="893" t="str">
        <f>$E$482</f>
        <v>Briques de chanvre – MOYENNE</v>
      </c>
    </row>
    <row r="817" spans="1:19" x14ac:dyDescent="0.3">
      <c r="A817" s="888" t="str">
        <f>IF(LEN('Translation-EN'!A817)&gt;0,'Translation-EN'!A817,"")</f>
        <v>Range</v>
      </c>
      <c r="B817" s="888" t="str">
        <f>IF(LEN('Translation-EN'!B817)&gt;0,'Translation-EN'!B817,"")</f>
        <v>Floors</v>
      </c>
      <c r="C817" s="888" t="str">
        <f>IF(LEN('Translation-EN'!C817)&gt;0,'Translation-EN'!C817,"")</f>
        <v>A1</v>
      </c>
      <c r="D817" s="888" t="str">
        <f>IF(LEN('Translation-EN'!D817)&gt;0,'Translation-EN'!D817,"")</f>
        <v/>
      </c>
      <c r="E817" s="893" t="s">
        <v>3034</v>
      </c>
    </row>
    <row r="818" spans="1:19" x14ac:dyDescent="0.3">
      <c r="A818" s="888" t="str">
        <f>IF(LEN('Translation-EN'!A818)&gt;0,'Translation-EN'!A818,"")</f>
        <v>Range</v>
      </c>
      <c r="B818" s="888" t="str">
        <f>IF(LEN('Translation-EN'!B818)&gt;0,'Translation-EN'!B818,"")</f>
        <v>Floors</v>
      </c>
      <c r="C818" s="888" t="str">
        <f>IF(LEN('Translation-EN'!C818)&gt;0,'Translation-EN'!C818,"")</f>
        <v>D1</v>
      </c>
      <c r="D818" s="888" t="str">
        <f>IF(LEN('Translation-EN'!D818)&gt;0,'Translation-EN'!D818,"")</f>
        <v/>
      </c>
      <c r="E818" s="893" t="s">
        <v>3035</v>
      </c>
    </row>
    <row r="819" spans="1:19" ht="233.4" customHeight="1" x14ac:dyDescent="0.3">
      <c r="A819" s="888" t="str">
        <f>IF(LEN('Translation-EN'!A819)&gt;0,'Translation-EN'!A819,"")</f>
        <v>Range</v>
      </c>
      <c r="B819" s="888" t="str">
        <f>IF(LEN('Translation-EN'!B819)&gt;0,'Translation-EN'!B819,"")</f>
        <v>Floors</v>
      </c>
      <c r="C819" s="888" t="str">
        <f>IF(LEN('Translation-EN'!C819)&gt;0,'Translation-EN'!C819,"")</f>
        <v>A2</v>
      </c>
      <c r="D819" s="888" t="b">
        <f>IF(LEN('Translation-EN'!D819)&gt;0,'Translation-EN'!D819,"")</f>
        <v>1</v>
      </c>
      <c r="E819" s="1671"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819" s="1671"/>
      <c r="G819" s="1671"/>
      <c r="H819" s="1671"/>
      <c r="I819" s="1671"/>
      <c r="J819" s="1671"/>
      <c r="K819" s="1671"/>
      <c r="L819" s="1671"/>
      <c r="M819" s="1671"/>
      <c r="N819" s="1671"/>
      <c r="O819" s="1671"/>
      <c r="P819" s="1671"/>
      <c r="Q819" s="1671"/>
      <c r="R819" s="1671"/>
      <c r="S819" s="1671"/>
    </row>
    <row r="820" spans="1:19" x14ac:dyDescent="0.3">
      <c r="A820" s="888" t="str">
        <f>IF(LEN('Translation-EN'!A820)&gt;0,'Translation-EN'!A820,"")</f>
        <v>Range</v>
      </c>
      <c r="B820" s="888" t="str">
        <f>IF(LEN('Translation-EN'!B820)&gt;0,'Translation-EN'!B820,"")</f>
        <v>Floors</v>
      </c>
      <c r="C820" s="888" t="str">
        <f>IF(LEN('Translation-EN'!C820)&gt;0,'Translation-EN'!C820,"")</f>
        <v>A3</v>
      </c>
      <c r="D820" s="888" t="str">
        <f>IF(LEN('Translation-EN'!D820)&gt;0,'Translation-EN'!D820,"")</f>
        <v/>
      </c>
      <c r="E820" s="888" t="str">
        <f>$E$170</f>
        <v>CATÉGORIE</v>
      </c>
    </row>
    <row r="821" spans="1:19" x14ac:dyDescent="0.3">
      <c r="A821" s="888" t="str">
        <f>IF(LEN('Translation-EN'!A821)&gt;0,'Translation-EN'!A821,"")</f>
        <v>Range</v>
      </c>
      <c r="B821" s="888" t="str">
        <f>IF(LEN('Translation-EN'!B821)&gt;0,'Translation-EN'!B821,"")</f>
        <v>Floors</v>
      </c>
      <c r="C821" s="888" t="str">
        <f>IF(LEN('Translation-EN'!C821)&gt;0,'Translation-EN'!C821,"")</f>
        <v>C3</v>
      </c>
      <c r="D821" s="888" t="str">
        <f>IF(LEN('Translation-EN'!D821)&gt;0,'Translation-EN'!D821,"")</f>
        <v/>
      </c>
      <c r="E821" s="893" t="str">
        <f>$E$171</f>
        <v>MATÉRIAU</v>
      </c>
    </row>
    <row r="822" spans="1:19" x14ac:dyDescent="0.3">
      <c r="A822" s="888" t="str">
        <f>IF(LEN('Translation-EN'!A822)&gt;0,'Translation-EN'!A822,"")</f>
        <v>Range</v>
      </c>
      <c r="B822" s="888" t="str">
        <f>IF(LEN('Translation-EN'!B822)&gt;0,'Translation-EN'!B822,"")</f>
        <v>Floors</v>
      </c>
      <c r="C822" s="888" t="str">
        <f>IF(LEN('Translation-EN'!C822)&gt;0,'Translation-EN'!C822,"")</f>
        <v>D3</v>
      </c>
      <c r="D822" s="888" t="str">
        <f>IF(LEN('Translation-EN'!D822)&gt;0,'Translation-EN'!D822,"")</f>
        <v/>
      </c>
      <c r="E822" s="893" t="str">
        <f>$E$127</f>
        <v>QUANTITÉ</v>
      </c>
    </row>
    <row r="823" spans="1:19" x14ac:dyDescent="0.3">
      <c r="A823" s="888" t="str">
        <f>IF(LEN('Translation-EN'!A823)&gt;0,'Translation-EN'!A823,"")</f>
        <v>Range</v>
      </c>
      <c r="B823" s="888" t="str">
        <f>IF(LEN('Translation-EN'!B823)&gt;0,'Translation-EN'!B823,"")</f>
        <v>Floors</v>
      </c>
      <c r="C823" s="888" t="str">
        <f>IF(LEN('Translation-EN'!C823)&gt;0,'Translation-EN'!C823,"")</f>
        <v>H3</v>
      </c>
      <c r="D823" s="888" t="str">
        <f>IF(LEN('Translation-EN'!D823)&gt;0,'Translation-EN'!D823,"")</f>
        <v/>
      </c>
      <c r="E823" s="888" t="str">
        <f>$E$173</f>
        <v xml:space="preserve"> SÉLECTIONNER</v>
      </c>
    </row>
    <row r="824" spans="1:19" ht="15" customHeight="1" x14ac:dyDescent="0.3">
      <c r="A824" s="888" t="str">
        <f>IF(LEN('Translation-EN'!A824)&gt;0,'Translation-EN'!A824,"")</f>
        <v>Range</v>
      </c>
      <c r="B824" s="888" t="str">
        <f>IF(LEN('Translation-EN'!B824)&gt;0,'Translation-EN'!B824,"")</f>
        <v>_Floors</v>
      </c>
      <c r="C824" s="888" t="str">
        <f>IF(LEN('Translation-EN'!C824)&gt;0,'Translation-EN'!C824,"")</f>
        <v>I3</v>
      </c>
      <c r="D824" s="888" t="b">
        <f>IF(LEN('Translation-EN'!D824)&gt;0,'Translation-EN'!D824,"")</f>
        <v>1</v>
      </c>
      <c r="E824" s="1669" t="str">
        <f>$E$174</f>
        <v>ÉMISSIONS NETTES kgCO2e</v>
      </c>
    </row>
    <row r="825" spans="1:19" ht="15" customHeight="1" x14ac:dyDescent="0.3">
      <c r="A825" s="888" t="str">
        <f>IF(LEN('Translation-EN'!A825)&gt;0,'Translation-EN'!A825,"")</f>
        <v>-</v>
      </c>
      <c r="B825" s="888" t="str">
        <f>IF(LEN('Translation-EN'!B825)&gt;0,'Translation-EN'!B825,"")</f>
        <v/>
      </c>
      <c r="C825" s="888" t="str">
        <f>IF(LEN('Translation-EN'!C825)&gt;0,'Translation-EN'!C825,"")</f>
        <v/>
      </c>
      <c r="D825" s="888" t="str">
        <f>IF(LEN('Translation-EN'!D825)&gt;0,'Translation-EN'!D825,"")</f>
        <v/>
      </c>
      <c r="E825" s="1669"/>
    </row>
    <row r="826" spans="1:19" ht="26.4" customHeight="1" x14ac:dyDescent="0.3">
      <c r="A826" s="888" t="str">
        <f>IF(LEN('Translation-EN'!A826)&gt;0,'Translation-EN'!A826,"")</f>
        <v>Range</v>
      </c>
      <c r="B826" s="888" t="str">
        <f>IF(LEN('Translation-EN'!B826)&gt;0,'Translation-EN'!B826,"")</f>
        <v>_Floors</v>
      </c>
      <c r="C826" s="888" t="str">
        <f>IF(LEN('Translation-EN'!C826)&gt;0,'Translation-EN'!C826,"")</f>
        <v>J3</v>
      </c>
      <c r="D826" s="888" t="b">
        <f>IF(LEN('Translation-EN'!D826)&gt;0,'Translation-EN'!D826,"")</f>
        <v>1</v>
      </c>
      <c r="E826" s="1669" t="str">
        <f>$E$176</f>
        <v>CONTENU DE kgCO2e DANS LE MATÉRIAU SÉLECTIONNÉ</v>
      </c>
    </row>
    <row r="827" spans="1:19" ht="15" customHeight="1" x14ac:dyDescent="0.3">
      <c r="A827" s="888" t="str">
        <f>IF(LEN('Translation-EN'!A827)&gt;0,'Translation-EN'!A827,"")</f>
        <v>-</v>
      </c>
      <c r="B827" s="888" t="str">
        <f>IF(LEN('Translation-EN'!B827)&gt;0,'Translation-EN'!B827,"")</f>
        <v/>
      </c>
      <c r="C827" s="888" t="str">
        <f>IF(LEN('Translation-EN'!C827)&gt;0,'Translation-EN'!C827,"")</f>
        <v/>
      </c>
      <c r="D827" s="888" t="str">
        <f>IF(LEN('Translation-EN'!D827)&gt;0,'Translation-EN'!D827,"")</f>
        <v/>
      </c>
      <c r="E827" s="1670"/>
    </row>
    <row r="828" spans="1:19" ht="15" customHeight="1" x14ac:dyDescent="0.3">
      <c r="A828" s="888" t="str">
        <f>IF(LEN('Translation-EN'!A828)&gt;0,'Translation-EN'!A828,"")</f>
        <v>Range</v>
      </c>
      <c r="B828" s="888" t="str">
        <f>IF(LEN('Translation-EN'!B828)&gt;0,'Translation-EN'!B828,"")</f>
        <v>Floors</v>
      </c>
      <c r="C828" s="888" t="str">
        <f>IF(LEN('Translation-EN'!C828)&gt;0,'Translation-EN'!C828,"")</f>
        <v>K3</v>
      </c>
      <c r="D828" s="888" t="b">
        <f>IF(LEN('Translation-EN'!D828)&gt;0,'Translation-EN'!D828,"")</f>
        <v>1</v>
      </c>
      <c r="E828" s="1669" t="str">
        <f>$E$178</f>
        <v xml:space="preserve">ÉMISSIONS EN kgCO2e </v>
      </c>
    </row>
    <row r="829" spans="1:19" s="893" customFormat="1" ht="15" customHeight="1" x14ac:dyDescent="0.3">
      <c r="A829" s="888" t="str">
        <f>IF(LEN('Translation-EN'!A829)&gt;0,'Translation-EN'!A829,"")</f>
        <v>-</v>
      </c>
      <c r="B829" s="888" t="str">
        <f>IF(LEN('Translation-EN'!B829)&gt;0,'Translation-EN'!B829,"")</f>
        <v/>
      </c>
      <c r="C829" s="888" t="str">
        <f>IF(LEN('Translation-EN'!C829)&gt;0,'Translation-EN'!C829,"")</f>
        <v/>
      </c>
      <c r="D829" s="888" t="str">
        <f>IF(LEN('Translation-EN'!D829)&gt;0,'Translation-EN'!D829,"")</f>
        <v/>
      </c>
      <c r="E829" s="1670"/>
      <c r="I829" s="888"/>
      <c r="J829" s="888"/>
      <c r="K829" s="888"/>
      <c r="L829" s="888"/>
      <c r="M829" s="888"/>
      <c r="N829" s="888"/>
      <c r="O829" s="888"/>
      <c r="P829" s="888"/>
      <c r="Q829" s="888"/>
      <c r="R829" s="888"/>
    </row>
    <row r="830" spans="1:19" s="893" customFormat="1" ht="15" customHeight="1" x14ac:dyDescent="0.3">
      <c r="A830" s="888" t="str">
        <f>IF(LEN('Translation-EN'!A830)&gt;0,'Translation-EN'!A830,"")</f>
        <v>Range</v>
      </c>
      <c r="B830" s="888" t="str">
        <f>IF(LEN('Translation-EN'!B830)&gt;0,'Translation-EN'!B830,"")</f>
        <v>Floors</v>
      </c>
      <c r="C830" s="888" t="str">
        <f>IF(LEN('Translation-EN'!C830)&gt;0,'Translation-EN'!C830,"")</f>
        <v>L3</v>
      </c>
      <c r="D830" s="888" t="b">
        <f>IF(LEN('Translation-EN'!D830)&gt;0,'Translation-EN'!D830,"")</f>
        <v>1</v>
      </c>
      <c r="E830" s="1669" t="str">
        <f>$E$180</f>
        <v>STOCKAGE kgCO₂</v>
      </c>
      <c r="I830" s="888"/>
      <c r="J830" s="888"/>
      <c r="K830" s="888"/>
      <c r="L830" s="888"/>
      <c r="M830" s="888"/>
      <c r="N830" s="888"/>
      <c r="O830" s="888"/>
      <c r="P830" s="888"/>
      <c r="Q830" s="888"/>
      <c r="R830" s="888"/>
    </row>
    <row r="831" spans="1:19" s="893" customFormat="1" ht="15" customHeight="1" x14ac:dyDescent="0.3">
      <c r="A831" s="888" t="str">
        <f>IF(LEN('Translation-EN'!A831)&gt;0,'Translation-EN'!A831,"")</f>
        <v>-</v>
      </c>
      <c r="B831" s="888" t="str">
        <f>IF(LEN('Translation-EN'!B831)&gt;0,'Translation-EN'!B831,"")</f>
        <v/>
      </c>
      <c r="C831" s="888" t="str">
        <f>IF(LEN('Translation-EN'!C831)&gt;0,'Translation-EN'!C831,"")</f>
        <v/>
      </c>
      <c r="D831" s="888" t="str">
        <f>IF(LEN('Translation-EN'!D831)&gt;0,'Translation-EN'!D831,"")</f>
        <v/>
      </c>
      <c r="E831" s="1670"/>
      <c r="I831" s="888"/>
      <c r="J831" s="888"/>
      <c r="K831" s="888"/>
      <c r="L831" s="888"/>
      <c r="M831" s="888"/>
      <c r="N831" s="888"/>
      <c r="O831" s="888"/>
      <c r="P831" s="888"/>
      <c r="Q831" s="888"/>
      <c r="R831" s="888"/>
    </row>
    <row r="832" spans="1:19" s="893" customFormat="1" ht="15" customHeight="1" x14ac:dyDescent="0.3">
      <c r="A832" s="888" t="str">
        <f>IF(LEN('Translation-EN'!A832)&gt;0,'Translation-EN'!A832,"")</f>
        <v>Range</v>
      </c>
      <c r="B832" s="888" t="str">
        <f>IF(LEN('Translation-EN'!B832)&gt;0,'Translation-EN'!B832,"")</f>
        <v>Floors</v>
      </c>
      <c r="C832" s="888" t="str">
        <f>IF(LEN('Translation-EN'!C832)&gt;0,'Translation-EN'!C832,"")</f>
        <v>M3</v>
      </c>
      <c r="D832" s="888" t="b">
        <f>IF(LEN('Translation-EN'!D832)&gt;0,'Translation-EN'!D832,"")</f>
        <v>1</v>
      </c>
      <c r="E832" s="1520" t="str">
        <f>$E$182</f>
        <v xml:space="preserve">  Note</v>
      </c>
      <c r="F832" s="1520"/>
      <c r="I832" s="888"/>
      <c r="J832" s="888"/>
      <c r="K832" s="888"/>
      <c r="L832" s="888"/>
      <c r="M832" s="888"/>
      <c r="N832" s="888"/>
      <c r="O832" s="888"/>
      <c r="P832" s="888"/>
      <c r="Q832" s="888"/>
      <c r="R832" s="888"/>
    </row>
    <row r="833" spans="1:18" s="893" customFormat="1" ht="15" customHeight="1" x14ac:dyDescent="0.3">
      <c r="A833" s="888" t="str">
        <f>IF(LEN('Translation-EN'!A833)&gt;0,'Translation-EN'!A833,"")</f>
        <v>-</v>
      </c>
      <c r="B833" s="888" t="str">
        <f>IF(LEN('Translation-EN'!B833)&gt;0,'Translation-EN'!B833,"")</f>
        <v/>
      </c>
      <c r="C833" s="888" t="str">
        <f>IF(LEN('Translation-EN'!C833)&gt;0,'Translation-EN'!C833,"")</f>
        <v/>
      </c>
      <c r="D833" s="888" t="str">
        <f>IF(LEN('Translation-EN'!D833)&gt;0,'Translation-EN'!D833,"")</f>
        <v/>
      </c>
      <c r="E833" s="1520"/>
      <c r="F833" s="1520"/>
      <c r="I833" s="888"/>
      <c r="J833" s="888"/>
      <c r="K833" s="888"/>
      <c r="L833" s="888"/>
      <c r="M833" s="888"/>
      <c r="N833" s="888"/>
      <c r="O833" s="888"/>
      <c r="P833" s="888"/>
      <c r="Q833" s="888"/>
      <c r="R833" s="888"/>
    </row>
    <row r="834" spans="1:18" s="893" customFormat="1" ht="15" customHeight="1" x14ac:dyDescent="0.3">
      <c r="A834" s="888" t="str">
        <f>IF(LEN('Translation-EN'!A834)&gt;0,'Translation-EN'!A834,"")</f>
        <v>Range</v>
      </c>
      <c r="B834" s="888" t="str">
        <f>IF(LEN('Translation-EN'!B834)&gt;0,'Translation-EN'!B834,"")</f>
        <v>_Floors</v>
      </c>
      <c r="C834" s="888" t="str">
        <f>IF(LEN('Translation-EN'!C834)&gt;0,'Translation-EN'!C834,"")</f>
        <v>N3</v>
      </c>
      <c r="D834" s="888" t="b">
        <f>IF(LEN('Translation-EN'!D834)&gt;0,'Translation-EN'!D834,"")</f>
        <v>1</v>
      </c>
      <c r="E834" s="1669" t="str">
        <f>$E$184</f>
        <v>Inclure le cycle long</v>
      </c>
      <c r="I834" s="888"/>
      <c r="J834" s="888"/>
      <c r="K834" s="888"/>
      <c r="L834" s="888"/>
      <c r="M834" s="888"/>
      <c r="N834" s="888"/>
      <c r="O834" s="888"/>
      <c r="P834" s="888"/>
      <c r="Q834" s="888"/>
      <c r="R834" s="888"/>
    </row>
    <row r="835" spans="1:18" s="893" customFormat="1" ht="15" customHeight="1" x14ac:dyDescent="0.3">
      <c r="A835" s="888" t="str">
        <f>IF(LEN('Translation-EN'!A835)&gt;0,'Translation-EN'!A835,"")</f>
        <v>-</v>
      </c>
      <c r="B835" s="888" t="str">
        <f>IF(LEN('Translation-EN'!B835)&gt;0,'Translation-EN'!B835,"")</f>
        <v/>
      </c>
      <c r="C835" s="888" t="str">
        <f>IF(LEN('Translation-EN'!C835)&gt;0,'Translation-EN'!C835,"")</f>
        <v/>
      </c>
      <c r="D835" s="888" t="str">
        <f>IF(LEN('Translation-EN'!D835)&gt;0,'Translation-EN'!D835,"")</f>
        <v/>
      </c>
      <c r="E835" s="1670"/>
      <c r="I835" s="888"/>
      <c r="J835" s="888"/>
      <c r="K835" s="888"/>
      <c r="L835" s="888"/>
      <c r="M835" s="888"/>
      <c r="N835" s="888"/>
      <c r="O835" s="888"/>
      <c r="P835" s="888"/>
      <c r="Q835" s="888"/>
      <c r="R835" s="888"/>
    </row>
    <row r="836" spans="1:18" s="893" customFormat="1" ht="17.399999999999999" x14ac:dyDescent="0.3">
      <c r="A836" s="888" t="str">
        <f>IF(LEN('Translation-EN'!A836)&gt;0,'Translation-EN'!A836,"")</f>
        <v>Range</v>
      </c>
      <c r="B836" s="888" t="str">
        <f>IF(LEN('Translation-EN'!B836)&gt;0,'Translation-EN'!B836,"")</f>
        <v>Floors</v>
      </c>
      <c r="C836" s="888" t="str">
        <f>IF(LEN('Translation-EN'!C836)&gt;0,'Translation-EN'!C836,"")</f>
        <v>O3</v>
      </c>
      <c r="D836" s="888" t="b">
        <f>IF(LEN('Translation-EN'!D836)&gt;0,'Translation-EN'!D836,"")</f>
        <v>1</v>
      </c>
      <c r="E836" s="1035" t="s">
        <v>7403</v>
      </c>
      <c r="I836" s="888"/>
      <c r="J836" s="888"/>
      <c r="K836" s="888"/>
      <c r="L836" s="888"/>
      <c r="M836" s="888"/>
      <c r="N836" s="888"/>
      <c r="O836" s="888"/>
      <c r="P836" s="888"/>
      <c r="Q836" s="888"/>
      <c r="R836" s="888"/>
    </row>
    <row r="837" spans="1:18" s="893" customFormat="1" ht="17.399999999999999" x14ac:dyDescent="0.3">
      <c r="A837" s="888" t="str">
        <f>IF(LEN('Translation-EN'!A837)&gt;0,'Translation-EN'!A837,"")</f>
        <v>Range</v>
      </c>
      <c r="B837" s="888" t="str">
        <f>IF(LEN('Translation-EN'!B837)&gt;0,'Translation-EN'!B837,"")</f>
        <v>Floors</v>
      </c>
      <c r="C837" s="888" t="str">
        <f>IF(LEN('Translation-EN'!C837)&gt;0,'Translation-EN'!C837,"")</f>
        <v>P3</v>
      </c>
      <c r="D837" s="888" t="b">
        <f>IF(LEN('Translation-EN'!D837)&gt;0,'Translation-EN'!D837,"")</f>
        <v>1</v>
      </c>
      <c r="E837" s="1035" t="s">
        <v>7404</v>
      </c>
      <c r="I837" s="888"/>
      <c r="J837" s="888"/>
      <c r="K837" s="888"/>
      <c r="L837" s="888"/>
      <c r="M837" s="888"/>
      <c r="N837" s="888"/>
      <c r="O837" s="888"/>
      <c r="P837" s="888"/>
      <c r="Q837" s="888"/>
      <c r="R837" s="888"/>
    </row>
    <row r="838" spans="1:18" s="893" customFormat="1" x14ac:dyDescent="0.3">
      <c r="A838" s="888" t="str">
        <f>IF(LEN('Translation-EN'!A838)&gt;0,'Translation-EN'!A838,"")</f>
        <v>Range</v>
      </c>
      <c r="B838" s="888" t="str">
        <f>IF(LEN('Translation-EN'!B838)&gt;0,'Translation-EN'!B838,"")</f>
        <v>Floors</v>
      </c>
      <c r="C838" s="888" t="str">
        <f>IF(LEN('Translation-EN'!C838)&gt;0,'Translation-EN'!C838,"")</f>
        <v>A5</v>
      </c>
      <c r="D838" s="888" t="str">
        <f>IF(LEN('Translation-EN'!D838)&gt;0,'Translation-EN'!D838,"")</f>
        <v/>
      </c>
      <c r="E838" s="893" t="s">
        <v>3036</v>
      </c>
      <c r="I838" s="888"/>
      <c r="J838" s="888"/>
      <c r="K838" s="888"/>
      <c r="L838" s="888"/>
      <c r="M838" s="888"/>
      <c r="N838" s="888"/>
      <c r="O838" s="888"/>
      <c r="P838" s="888"/>
      <c r="Q838" s="888"/>
      <c r="R838" s="888"/>
    </row>
    <row r="839" spans="1:18" s="893" customFormat="1" x14ac:dyDescent="0.3">
      <c r="A839" s="888" t="str">
        <f>IF(LEN('Translation-EN'!A839)&gt;0,'Translation-EN'!A839,"")</f>
        <v>Range</v>
      </c>
      <c r="B839" s="888" t="str">
        <f>IF(LEN('Translation-EN'!B839)&gt;0,'Translation-EN'!B839,"")</f>
        <v>Floors</v>
      </c>
      <c r="C839" s="888" t="str">
        <f>IF(LEN('Translation-EN'!C839)&gt;0,'Translation-EN'!C839,"")</f>
        <v>D5</v>
      </c>
      <c r="D839" s="888" t="str">
        <f>IF(LEN('Translation-EN'!D839)&gt;0,'Translation-EN'!D839,"")</f>
        <v/>
      </c>
      <c r="E839" s="893" t="str">
        <f>$E$325</f>
        <v>L’ESPACEMENT DES CHARPENTES :</v>
      </c>
      <c r="I839" s="888"/>
      <c r="J839" s="888"/>
      <c r="K839" s="888"/>
      <c r="L839" s="888"/>
      <c r="M839" s="888"/>
      <c r="N839" s="888"/>
      <c r="O839" s="888"/>
      <c r="P839" s="888"/>
      <c r="Q839" s="888"/>
      <c r="R839" s="888"/>
    </row>
    <row r="840" spans="1:18" s="893" customFormat="1" x14ac:dyDescent="0.3">
      <c r="A840" s="888" t="str">
        <f>IF(LEN('Translation-EN'!A840)&gt;0,'Translation-EN'!A840,"")</f>
        <v>Range</v>
      </c>
      <c r="B840" s="888" t="str">
        <f>IF(LEN('Translation-EN'!B840)&gt;0,'Translation-EN'!B840,"")</f>
        <v>_Floors</v>
      </c>
      <c r="C840" s="888" t="str">
        <f>IF(LEN('Translation-EN'!C840)&gt;0,'Translation-EN'!C840,"")</f>
        <v>B6</v>
      </c>
      <c r="D840" s="888" t="str">
        <f>IF(LEN('Translation-EN'!D840)&gt;0,'Translation-EN'!D840,"")</f>
        <v/>
      </c>
      <c r="E840" s="893" t="s">
        <v>3036</v>
      </c>
      <c r="I840" s="888"/>
      <c r="J840" s="888"/>
      <c r="K840" s="888"/>
      <c r="L840" s="888"/>
      <c r="M840" s="888"/>
      <c r="N840" s="888"/>
      <c r="O840" s="888"/>
      <c r="P840" s="888"/>
      <c r="Q840" s="888"/>
      <c r="R840" s="888"/>
    </row>
    <row r="841" spans="1:18" s="893" customFormat="1" x14ac:dyDescent="0.3">
      <c r="A841" s="888" t="str">
        <f>IF(LEN('Translation-EN'!A841)&gt;0,'Translation-EN'!A841,"")</f>
        <v>Range</v>
      </c>
      <c r="B841" s="888" t="str">
        <f>IF(LEN('Translation-EN'!B841)&gt;0,'Translation-EN'!B841,"")</f>
        <v>Floors</v>
      </c>
      <c r="C841" s="888" t="str">
        <f>IF(LEN('Translation-EN'!C841)&gt;0,'Translation-EN'!C841,"")</f>
        <v>B6</v>
      </c>
      <c r="D841" s="888" t="str">
        <f>IF(LEN('Translation-EN'!D841)&gt;0,'Translation-EN'!D841,"")</f>
        <v/>
      </c>
      <c r="E841" s="1041" t="s">
        <v>7593</v>
      </c>
      <c r="I841" s="888"/>
      <c r="J841" s="888"/>
      <c r="K841" s="888"/>
      <c r="L841" s="888"/>
      <c r="M841" s="888"/>
      <c r="N841" s="888"/>
      <c r="O841" s="888"/>
      <c r="P841" s="888"/>
      <c r="Q841" s="888"/>
      <c r="R841" s="888"/>
    </row>
    <row r="842" spans="1:18" s="893" customFormat="1" x14ac:dyDescent="0.3">
      <c r="A842" s="888" t="str">
        <f>IF(LEN('Translation-EN'!A842)&gt;0,'Translation-EN'!A842,"")</f>
        <v>Range</v>
      </c>
      <c r="B842" s="888" t="str">
        <f>IF(LEN('Translation-EN'!B842)&gt;0,'Translation-EN'!B842,"")</f>
        <v>Floors</v>
      </c>
      <c r="C842" s="888" t="str">
        <f>IF(LEN('Translation-EN'!C842)&gt;0,'Translation-EN'!C842,"")</f>
        <v>B13</v>
      </c>
      <c r="D842" s="888" t="str">
        <f>IF(LEN('Translation-EN'!D842)&gt;0,'Translation-EN'!D842,"")</f>
        <v/>
      </c>
      <c r="E842" s="1041" t="s">
        <v>7594</v>
      </c>
      <c r="I842" s="888"/>
      <c r="J842" s="888"/>
      <c r="K842" s="888"/>
      <c r="L842" s="888"/>
      <c r="M842" s="888"/>
      <c r="N842" s="888"/>
      <c r="O842" s="888"/>
      <c r="P842" s="888"/>
      <c r="Q842" s="888"/>
      <c r="R842" s="888"/>
    </row>
    <row r="843" spans="1:18" s="893" customFormat="1" x14ac:dyDescent="0.3">
      <c r="A843" s="888" t="str">
        <f>IF(LEN('Translation-EN'!A843)&gt;0,'Translation-EN'!A843,"")</f>
        <v>Range</v>
      </c>
      <c r="B843" s="888" t="str">
        <f>IF(LEN('Translation-EN'!B843)&gt;0,'Translation-EN'!B843,"")</f>
        <v>Floors</v>
      </c>
      <c r="C843" s="888" t="str">
        <f>IF(LEN('Translation-EN'!C843)&gt;0,'Translation-EN'!C843,"")</f>
        <v>B20</v>
      </c>
      <c r="D843" s="888" t="str">
        <f>IF(LEN('Translation-EN'!D843)&gt;0,'Translation-EN'!D843,"")</f>
        <v/>
      </c>
      <c r="E843" s="1041" t="s">
        <v>7595</v>
      </c>
      <c r="I843" s="888"/>
      <c r="J843" s="888"/>
      <c r="K843" s="888"/>
      <c r="L843" s="888"/>
      <c r="M843" s="888"/>
      <c r="N843" s="888"/>
      <c r="O843" s="888"/>
      <c r="P843" s="888"/>
      <c r="Q843" s="888"/>
      <c r="R843" s="888"/>
    </row>
    <row r="844" spans="1:18" s="893" customFormat="1" x14ac:dyDescent="0.3">
      <c r="A844" s="888" t="str">
        <f>IF(LEN('Translation-EN'!A844)&gt;0,'Translation-EN'!A844,"")</f>
        <v>Range</v>
      </c>
      <c r="B844" s="888" t="str">
        <f>IF(LEN('Translation-EN'!B844)&gt;0,'Translation-EN'!B844,"")</f>
        <v>Floors</v>
      </c>
      <c r="C844" s="888" t="str">
        <f>IF(LEN('Translation-EN'!C844)&gt;0,'Translation-EN'!C844,"")</f>
        <v>B27</v>
      </c>
      <c r="D844" s="888" t="str">
        <f>IF(LEN('Translation-EN'!D844)&gt;0,'Translation-EN'!D844,"")</f>
        <v/>
      </c>
      <c r="E844" s="893" t="s">
        <v>3037</v>
      </c>
      <c r="I844" s="888"/>
      <c r="J844" s="888"/>
      <c r="K844" s="888"/>
      <c r="L844" s="888"/>
      <c r="M844" s="888"/>
      <c r="N844" s="888"/>
      <c r="O844" s="888"/>
      <c r="P844" s="888"/>
      <c r="Q844" s="888"/>
      <c r="R844" s="888"/>
    </row>
    <row r="845" spans="1:18" s="893" customFormat="1" x14ac:dyDescent="0.3">
      <c r="A845" s="888" t="str">
        <f>IF(LEN('Translation-EN'!A845)&gt;0,'Translation-EN'!A845,"")</f>
        <v>Range</v>
      </c>
      <c r="B845" s="888" t="str">
        <f>IF(LEN('Translation-EN'!B845)&gt;0,'Translation-EN'!B845,"")</f>
        <v>_Floors</v>
      </c>
      <c r="C845" s="888" t="str">
        <f>IF(LEN('Translation-EN'!C845)&gt;0,'Translation-EN'!C845,"")</f>
        <v>B11</v>
      </c>
      <c r="D845" s="888" t="str">
        <f>IF(LEN('Translation-EN'!D845)&gt;0,'Translation-EN'!D845,"")</f>
        <v/>
      </c>
      <c r="E845" s="893" t="s">
        <v>3038</v>
      </c>
      <c r="I845" s="888"/>
      <c r="J845" s="888"/>
      <c r="K845" s="888"/>
      <c r="L845" s="888"/>
      <c r="M845" s="888"/>
      <c r="N845" s="888"/>
      <c r="O845" s="888"/>
      <c r="P845" s="888"/>
      <c r="Q845" s="888"/>
      <c r="R845" s="888"/>
    </row>
    <row r="846" spans="1:18" s="893" customFormat="1" x14ac:dyDescent="0.3">
      <c r="A846" s="888" t="str">
        <f>IF(LEN('Translation-EN'!A846)&gt;0,'Translation-EN'!A846,"")</f>
        <v>Range</v>
      </c>
      <c r="B846" s="888" t="str">
        <f>IF(LEN('Translation-EN'!B846)&gt;0,'Translation-EN'!B846,"")</f>
        <v>Floors</v>
      </c>
      <c r="C846" s="888" t="str">
        <f>IF(LEN('Translation-EN'!C846)&gt;0,'Translation-EN'!C846,"")</f>
        <v>B37</v>
      </c>
      <c r="D846" s="888" t="str">
        <f>IF(LEN('Translation-EN'!D846)&gt;0,'Translation-EN'!D846,"")</f>
        <v/>
      </c>
      <c r="E846" s="893" t="s">
        <v>3039</v>
      </c>
      <c r="I846" s="888"/>
      <c r="J846" s="888"/>
      <c r="K846" s="888"/>
      <c r="L846" s="888"/>
      <c r="M846" s="888"/>
      <c r="N846" s="888"/>
      <c r="O846" s="888"/>
      <c r="P846" s="888"/>
      <c r="Q846" s="888"/>
      <c r="R846" s="888"/>
    </row>
    <row r="847" spans="1:18" s="893" customFormat="1" x14ac:dyDescent="0.3">
      <c r="A847" s="888" t="str">
        <f>IF(LEN('Translation-EN'!A847)&gt;0,'Translation-EN'!A847,"")</f>
        <v>Range</v>
      </c>
      <c r="B847" s="888" t="str">
        <f>IF(LEN('Translation-EN'!B847)&gt;0,'Translation-EN'!B847,"")</f>
        <v>Floors</v>
      </c>
      <c r="C847" s="888" t="str">
        <f>IF(LEN('Translation-EN'!C847)&gt;0,'Translation-EN'!C847,"")</f>
        <v>A39</v>
      </c>
      <c r="D847" s="888" t="str">
        <f>IF(LEN('Translation-EN'!D847)&gt;0,'Translation-EN'!D847,"")</f>
        <v/>
      </c>
      <c r="E847" s="893" t="s">
        <v>3040</v>
      </c>
      <c r="I847" s="888"/>
      <c r="J847" s="888"/>
      <c r="K847" s="888"/>
      <c r="L847" s="888"/>
      <c r="M847" s="888"/>
      <c r="N847" s="888"/>
      <c r="O847" s="888"/>
      <c r="P847" s="888"/>
      <c r="Q847" s="888"/>
      <c r="R847" s="888"/>
    </row>
    <row r="848" spans="1:18" s="893" customFormat="1" x14ac:dyDescent="0.3">
      <c r="A848" s="888" t="str">
        <f>IF(LEN('Translation-EN'!A848)&gt;0,'Translation-EN'!A848,"")</f>
        <v>Range</v>
      </c>
      <c r="B848" s="888" t="str">
        <f>IF(LEN('Translation-EN'!B848)&gt;0,'Translation-EN'!B848,"")</f>
        <v>Floors</v>
      </c>
      <c r="C848" s="888" t="str">
        <f>IF(LEN('Translation-EN'!C848)&gt;0,'Translation-EN'!C848,"")</f>
        <v>D39</v>
      </c>
      <c r="D848" s="888" t="str">
        <f>IF(LEN('Translation-EN'!D848)&gt;0,'Translation-EN'!D848,"")</f>
        <v/>
      </c>
      <c r="E848" s="893" t="str">
        <f>$E$325</f>
        <v>L’ESPACEMENT DES CHARPENTES :</v>
      </c>
      <c r="I848" s="888"/>
      <c r="J848" s="888"/>
      <c r="K848" s="888"/>
      <c r="L848" s="888"/>
      <c r="M848" s="888"/>
      <c r="N848" s="888"/>
      <c r="O848" s="888"/>
      <c r="P848" s="888"/>
      <c r="Q848" s="888"/>
      <c r="R848" s="888"/>
    </row>
    <row r="849" spans="1:18" s="893" customFormat="1" x14ac:dyDescent="0.3">
      <c r="A849" s="888" t="str">
        <f>IF(LEN('Translation-EN'!A849)&gt;0,'Translation-EN'!A849,"")</f>
        <v>Range</v>
      </c>
      <c r="B849" s="888" t="str">
        <f>IF(LEN('Translation-EN'!B849)&gt;0,'Translation-EN'!B849,"")</f>
        <v>Floors</v>
      </c>
      <c r="C849" s="888" t="str">
        <f>IF(LEN('Translation-EN'!C849)&gt;0,'Translation-EN'!C849,"")</f>
        <v>B40</v>
      </c>
      <c r="D849" s="888" t="str">
        <f>IF(LEN('Translation-EN'!D849)&gt;0,'Translation-EN'!D849,"")</f>
        <v/>
      </c>
      <c r="E849" s="893" t="s">
        <v>3041</v>
      </c>
      <c r="I849" s="888"/>
      <c r="J849" s="888"/>
      <c r="K849" s="888"/>
      <c r="L849" s="888"/>
      <c r="M849" s="888"/>
      <c r="N849" s="888"/>
      <c r="O849" s="888"/>
      <c r="P849" s="888"/>
      <c r="Q849" s="888"/>
      <c r="R849" s="888"/>
    </row>
    <row r="850" spans="1:18" s="893" customFormat="1" x14ac:dyDescent="0.3">
      <c r="A850" s="888" t="str">
        <f>IF(LEN('Translation-EN'!A850)&gt;0,'Translation-EN'!A850,"")</f>
        <v>Range</v>
      </c>
      <c r="B850" s="888" t="str">
        <f>IF(LEN('Translation-EN'!B850)&gt;0,'Translation-EN'!B850,"")</f>
        <v>Floors</v>
      </c>
      <c r="C850" s="888" t="str">
        <f>IF(LEN('Translation-EN'!C850)&gt;0,'Translation-EN'!C850,"")</f>
        <v>A42</v>
      </c>
      <c r="D850" s="888" t="str">
        <f>IF(LEN('Translation-EN'!D850)&gt;0,'Translation-EN'!D850,"")</f>
        <v/>
      </c>
      <c r="E850" s="893" t="s">
        <v>3042</v>
      </c>
      <c r="I850" s="888"/>
      <c r="J850" s="888"/>
      <c r="K850" s="888"/>
      <c r="L850" s="888"/>
      <c r="M850" s="888"/>
      <c r="N850" s="888"/>
      <c r="O850" s="888"/>
      <c r="P850" s="888"/>
      <c r="Q850" s="888"/>
      <c r="R850" s="888"/>
    </row>
    <row r="851" spans="1:18" s="893" customFormat="1" x14ac:dyDescent="0.3">
      <c r="A851" s="888" t="str">
        <f>IF(LEN('Translation-EN'!A851)&gt;0,'Translation-EN'!A851,"")</f>
        <v>Range</v>
      </c>
      <c r="B851" s="888" t="str">
        <f>IF(LEN('Translation-EN'!B851)&gt;0,'Translation-EN'!B851,"")</f>
        <v>Floors</v>
      </c>
      <c r="C851" s="888" t="str">
        <f>IF(LEN('Translation-EN'!C851)&gt;0,'Translation-EN'!C851,"")</f>
        <v>A62</v>
      </c>
      <c r="D851" s="888" t="str">
        <f>IF(LEN('Translation-EN'!D851)&gt;0,'Translation-EN'!D851,"")</f>
        <v/>
      </c>
      <c r="E851" s="893" t="s">
        <v>3043</v>
      </c>
      <c r="I851" s="888"/>
      <c r="J851" s="888"/>
      <c r="K851" s="888"/>
      <c r="L851" s="888"/>
      <c r="M851" s="888"/>
      <c r="N851" s="888"/>
      <c r="O851" s="888"/>
      <c r="P851" s="888"/>
      <c r="Q851" s="888"/>
      <c r="R851" s="888"/>
    </row>
    <row r="852" spans="1:18" s="893" customFormat="1" x14ac:dyDescent="0.3">
      <c r="A852" s="888" t="str">
        <f>IF(LEN('Translation-EN'!A852)&gt;0,'Translation-EN'!A852,"")</f>
        <v>Range</v>
      </c>
      <c r="B852" s="888" t="str">
        <f>IF(LEN('Translation-EN'!B852)&gt;0,'Translation-EN'!B852,"")</f>
        <v>Floors</v>
      </c>
      <c r="C852" s="888" t="str">
        <f>IF(LEN('Translation-EN'!C852)&gt;0,'Translation-EN'!C852,"")</f>
        <v>B63</v>
      </c>
      <c r="D852" s="888" t="str">
        <f>IF(LEN('Translation-EN'!D852)&gt;0,'Translation-EN'!D852,"")</f>
        <v/>
      </c>
      <c r="E852" s="893" t="s">
        <v>3044</v>
      </c>
      <c r="I852" s="888"/>
      <c r="J852" s="888"/>
      <c r="K852" s="888"/>
      <c r="L852" s="888"/>
      <c r="M852" s="888"/>
      <c r="N852" s="888"/>
      <c r="O852" s="888"/>
      <c r="P852" s="888"/>
      <c r="Q852" s="888"/>
      <c r="R852" s="888"/>
    </row>
    <row r="853" spans="1:18" s="893" customFormat="1" x14ac:dyDescent="0.3">
      <c r="A853" s="888" t="str">
        <f>IF(LEN('Translation-EN'!A853)&gt;0,'Translation-EN'!A853,"")</f>
        <v>Range</v>
      </c>
      <c r="B853" s="888" t="str">
        <f>IF(LEN('Translation-EN'!B853)&gt;0,'Translation-EN'!B853,"")</f>
        <v>Floors</v>
      </c>
      <c r="C853" s="888" t="str">
        <f>IF(LEN('Translation-EN'!C853)&gt;0,'Translation-EN'!C853,"")</f>
        <v>C64</v>
      </c>
      <c r="D853" s="888" t="str">
        <f>IF(LEN('Translation-EN'!D853)&gt;0,'Translation-EN'!D853,"")</f>
        <v/>
      </c>
      <c r="E853" s="893" t="s">
        <v>3045</v>
      </c>
      <c r="I853" s="888"/>
      <c r="J853" s="888"/>
      <c r="K853" s="888"/>
      <c r="L853" s="888"/>
      <c r="M853" s="888"/>
      <c r="N853" s="888"/>
      <c r="O853" s="888"/>
      <c r="P853" s="888"/>
      <c r="Q853" s="888"/>
      <c r="R853" s="888"/>
    </row>
    <row r="854" spans="1:18" s="893" customFormat="1" x14ac:dyDescent="0.3">
      <c r="A854" s="888" t="str">
        <f>IF(LEN('Translation-EN'!A854)&gt;0,'Translation-EN'!A854,"")</f>
        <v>Range</v>
      </c>
      <c r="B854" s="888" t="str">
        <f>IF(LEN('Translation-EN'!B854)&gt;0,'Translation-EN'!B854,"")</f>
        <v>Floors</v>
      </c>
      <c r="C854" s="888" t="str">
        <f>IF(LEN('Translation-EN'!C854)&gt;0,'Translation-EN'!C854,"")</f>
        <v>A72</v>
      </c>
      <c r="D854" s="888" t="str">
        <f>IF(LEN('Translation-EN'!D854)&gt;0,'Translation-EN'!D854,"")</f>
        <v/>
      </c>
      <c r="E854" s="893" t="s">
        <v>3046</v>
      </c>
      <c r="I854" s="888"/>
      <c r="J854" s="888"/>
      <c r="K854" s="888"/>
      <c r="L854" s="888"/>
      <c r="M854" s="888"/>
      <c r="N854" s="888"/>
      <c r="O854" s="888"/>
      <c r="P854" s="888"/>
      <c r="Q854" s="888"/>
      <c r="R854" s="888"/>
    </row>
    <row r="855" spans="1:18" s="893" customFormat="1" x14ac:dyDescent="0.3">
      <c r="A855" s="888" t="str">
        <f>IF(LEN('Translation-EN'!A855)&gt;0,'Translation-EN'!A855,"")</f>
        <v>Range</v>
      </c>
      <c r="B855" s="888" t="str">
        <f>IF(LEN('Translation-EN'!B855)&gt;0,'Translation-EN'!B855,"")</f>
        <v>Floors</v>
      </c>
      <c r="C855" s="888" t="str">
        <f>IF(LEN('Translation-EN'!C855)&gt;0,'Translation-EN'!C855,"")</f>
        <v>B73</v>
      </c>
      <c r="D855" s="888" t="str">
        <f>IF(LEN('Translation-EN'!D855)&gt;0,'Translation-EN'!D855,"")</f>
        <v/>
      </c>
      <c r="E855" s="893" t="str">
        <f>$E$219</f>
        <v>PLANCHER DE TERRE</v>
      </c>
      <c r="I855" s="888"/>
      <c r="J855" s="888"/>
      <c r="K855" s="888"/>
      <c r="L855" s="888"/>
      <c r="M855" s="888"/>
      <c r="N855" s="888"/>
      <c r="O855" s="888"/>
      <c r="P855" s="888"/>
      <c r="Q855" s="888"/>
      <c r="R855" s="888"/>
    </row>
    <row r="856" spans="1:18" s="893" customFormat="1" x14ac:dyDescent="0.3">
      <c r="A856" s="888" t="str">
        <f>IF(LEN('Translation-EN'!A856)&gt;0,'Translation-EN'!A856,"")</f>
        <v>Range</v>
      </c>
      <c r="B856" s="888" t="str">
        <f>IF(LEN('Translation-EN'!B856)&gt;0,'Translation-EN'!B856,"")</f>
        <v>Floors</v>
      </c>
      <c r="C856" s="888" t="str">
        <f>IF(LEN('Translation-EN'!C856)&gt;0,'Translation-EN'!C856,"")</f>
        <v>A75</v>
      </c>
      <c r="D856" s="888" t="str">
        <f>IF(LEN('Translation-EN'!D856)&gt;0,'Translation-EN'!D856,"")</f>
        <v/>
      </c>
      <c r="E856" s="893" t="s">
        <v>3047</v>
      </c>
      <c r="I856" s="888"/>
      <c r="J856" s="888"/>
      <c r="K856" s="888"/>
      <c r="L856" s="888"/>
      <c r="M856" s="888"/>
      <c r="N856" s="888"/>
      <c r="O856" s="888"/>
      <c r="P856" s="888"/>
      <c r="Q856" s="888"/>
      <c r="R856" s="888"/>
    </row>
    <row r="857" spans="1:18" s="893" customFormat="1" x14ac:dyDescent="0.3">
      <c r="A857" s="888" t="str">
        <f>IF(LEN('Translation-EN'!A857)&gt;0,'Translation-EN'!A857,"")</f>
        <v>Range</v>
      </c>
      <c r="B857" s="888" t="str">
        <f>IF(LEN('Translation-EN'!B857)&gt;0,'Translation-EN'!B857,"")</f>
        <v>Floors</v>
      </c>
      <c r="C857" s="888" t="str">
        <f>IF(LEN('Translation-EN'!C857)&gt;0,'Translation-EN'!C857,"")</f>
        <v>B76</v>
      </c>
      <c r="D857" s="888" t="str">
        <f>IF(LEN('Translation-EN'!D857)&gt;0,'Translation-EN'!D857,"")</f>
        <v/>
      </c>
      <c r="E857" s="893" t="s">
        <v>3048</v>
      </c>
      <c r="I857" s="888"/>
      <c r="J857" s="888"/>
      <c r="K857" s="888"/>
      <c r="L857" s="888"/>
      <c r="M857" s="888"/>
      <c r="N857" s="888"/>
      <c r="O857" s="888"/>
      <c r="P857" s="888"/>
      <c r="Q857" s="888"/>
      <c r="R857" s="888"/>
    </row>
    <row r="858" spans="1:18" s="893" customFormat="1" x14ac:dyDescent="0.3">
      <c r="A858" s="888" t="str">
        <f>IF(LEN('Translation-EN'!A858)&gt;0,'Translation-EN'!A858,"")</f>
        <v>Range</v>
      </c>
      <c r="B858" s="888" t="str">
        <f>IF(LEN('Translation-EN'!B858)&gt;0,'Translation-EN'!B858,"")</f>
        <v>Floors</v>
      </c>
      <c r="C858" s="888" t="str">
        <f>IF(LEN('Translation-EN'!C858)&gt;0,'Translation-EN'!C858,"")</f>
        <v>C77</v>
      </c>
      <c r="D858" s="888" t="str">
        <f>IF(LEN('Translation-EN'!D858)&gt;0,'Translation-EN'!D858,"")</f>
        <v/>
      </c>
      <c r="E858" s="893" t="str">
        <f>$E$237</f>
        <v>Plancher en bois dur – MOYENNE</v>
      </c>
      <c r="I858" s="888"/>
      <c r="J858" s="888"/>
      <c r="K858" s="888"/>
      <c r="L858" s="888"/>
      <c r="M858" s="888"/>
      <c r="N858" s="888"/>
      <c r="O858" s="888"/>
      <c r="P858" s="888"/>
      <c r="Q858" s="888"/>
      <c r="R858" s="888"/>
    </row>
    <row r="859" spans="1:18" s="893" customFormat="1" x14ac:dyDescent="0.3">
      <c r="A859" s="888" t="str">
        <f>IF(LEN('Translation-EN'!A859)&gt;0,'Translation-EN'!A859,"")</f>
        <v>Range</v>
      </c>
      <c r="B859" s="888" t="str">
        <f>IF(LEN('Translation-EN'!B859)&gt;0,'Translation-EN'!B859,"")</f>
        <v>Floors</v>
      </c>
      <c r="C859" s="888" t="str">
        <f>IF(LEN('Translation-EN'!C859)&gt;0,'Translation-EN'!C859,"")</f>
        <v>B81</v>
      </c>
      <c r="D859" s="888" t="str">
        <f>IF(LEN('Translation-EN'!D859)&gt;0,'Translation-EN'!D859,"")</f>
        <v/>
      </c>
      <c r="E859" s="893" t="str">
        <f>$E$238</f>
        <v>REVÊTEMENT DE SOL EN LINOLÉUM</v>
      </c>
      <c r="I859" s="888"/>
      <c r="J859" s="888"/>
      <c r="K859" s="888"/>
      <c r="L859" s="888"/>
      <c r="M859" s="888"/>
      <c r="N859" s="888"/>
      <c r="O859" s="888"/>
      <c r="P859" s="888"/>
      <c r="Q859" s="888"/>
      <c r="R859" s="888"/>
    </row>
    <row r="860" spans="1:18" s="893" customFormat="1" x14ac:dyDescent="0.3">
      <c r="A860" s="888" t="str">
        <f>IF(LEN('Translation-EN'!A860)&gt;0,'Translation-EN'!A860,"")</f>
        <v>Range</v>
      </c>
      <c r="B860" s="888" t="str">
        <f>IF(LEN('Translation-EN'!B860)&gt;0,'Translation-EN'!B860,"")</f>
        <v>Floors</v>
      </c>
      <c r="C860" s="888" t="str">
        <f>IF(LEN('Translation-EN'!C860)&gt;0,'Translation-EN'!C860,"")</f>
        <v>C83</v>
      </c>
      <c r="D860" s="888" t="str">
        <f>IF(LEN('Translation-EN'!D860)&gt;0,'Translation-EN'!D860,"")</f>
        <v/>
      </c>
      <c r="E860" s="893" t="s">
        <v>5080</v>
      </c>
      <c r="I860" s="888"/>
      <c r="J860" s="888"/>
      <c r="K860" s="888"/>
      <c r="L860" s="888"/>
      <c r="M860" s="888"/>
      <c r="N860" s="888"/>
      <c r="O860" s="888"/>
      <c r="P860" s="888"/>
      <c r="Q860" s="888"/>
      <c r="R860" s="888"/>
    </row>
    <row r="861" spans="1:18" s="893" customFormat="1" x14ac:dyDescent="0.3">
      <c r="A861" s="888" t="str">
        <f>IF(LEN('Translation-EN'!A861)&gt;0,'Translation-EN'!A861,"")</f>
        <v>Range</v>
      </c>
      <c r="B861" s="888" t="str">
        <f>IF(LEN('Translation-EN'!B861)&gt;0,'Translation-EN'!B861,"")</f>
        <v>Floors</v>
      </c>
      <c r="C861" s="888" t="str">
        <f>IF(LEN('Translation-EN'!C861)&gt;0,'Translation-EN'!C861,"")</f>
        <v>C87</v>
      </c>
      <c r="D861" s="888" t="str">
        <f>IF(LEN('Translation-EN'!D861)&gt;0,'Translation-EN'!D861,"")</f>
        <v/>
      </c>
      <c r="E861" s="945" t="str">
        <f>$E$240</f>
        <v>Revêtement de sol en linoléum - MOYENNE 4 mm</v>
      </c>
      <c r="I861" s="888"/>
      <c r="J861" s="888"/>
      <c r="K861" s="888"/>
      <c r="L861" s="888"/>
      <c r="M861" s="888"/>
      <c r="N861" s="888"/>
      <c r="O861" s="888"/>
      <c r="P861" s="888"/>
      <c r="Q861" s="888"/>
      <c r="R861" s="888"/>
    </row>
    <row r="862" spans="1:18" s="893" customFormat="1" x14ac:dyDescent="0.3">
      <c r="A862" s="888" t="str">
        <f>IF(LEN('Translation-EN'!A862)&gt;0,'Translation-EN'!A862,"")</f>
        <v>Range</v>
      </c>
      <c r="B862" s="888" t="str">
        <f>IF(LEN('Translation-EN'!B862)&gt;0,'Translation-EN'!B862,"")</f>
        <v>Floors</v>
      </c>
      <c r="C862" s="888" t="str">
        <f>IF(LEN('Translation-EN'!C862)&gt;0,'Translation-EN'!C862,"")</f>
        <v>B90</v>
      </c>
      <c r="D862" s="888" t="str">
        <f>IF(LEN('Translation-EN'!D862)&gt;0,'Translation-EN'!D862,"")</f>
        <v/>
      </c>
      <c r="E862" s="893" t="str">
        <f>$E$241</f>
        <v>REVÊTEMENT DE SOL EN CARRELAGE</v>
      </c>
      <c r="I862" s="888"/>
      <c r="J862" s="888"/>
      <c r="K862" s="888"/>
      <c r="L862" s="888"/>
      <c r="M862" s="888"/>
      <c r="N862" s="888"/>
      <c r="O862" s="888"/>
      <c r="P862" s="888"/>
      <c r="Q862" s="888"/>
      <c r="R862" s="888"/>
    </row>
    <row r="863" spans="1:18" s="893" customFormat="1" x14ac:dyDescent="0.3">
      <c r="A863" s="888" t="str">
        <f>IF(LEN('Translation-EN'!A863)&gt;0,'Translation-EN'!A863,"")</f>
        <v>Range</v>
      </c>
      <c r="B863" s="888" t="str">
        <f>IF(LEN('Translation-EN'!B863)&gt;0,'Translation-EN'!B863,"")</f>
        <v>_Floors</v>
      </c>
      <c r="C863" s="888" t="str">
        <f>IF(LEN('Translation-EN'!C863)&gt;0,'Translation-EN'!C863,"")</f>
        <v>C69</v>
      </c>
      <c r="D863" s="888" t="str">
        <f>IF(LEN('Translation-EN'!D863)&gt;0,'Translation-EN'!D863,"")</f>
        <v/>
      </c>
      <c r="E863" s="893" t="s">
        <v>3049</v>
      </c>
      <c r="I863" s="888"/>
      <c r="J863" s="888"/>
      <c r="K863" s="888"/>
      <c r="L863" s="888"/>
      <c r="M863" s="888"/>
      <c r="N863" s="888"/>
      <c r="O863" s="888"/>
      <c r="P863" s="888"/>
      <c r="Q863" s="888"/>
      <c r="R863" s="888"/>
    </row>
    <row r="864" spans="1:18" s="893" customFormat="1" x14ac:dyDescent="0.3">
      <c r="A864" s="888" t="str">
        <f>IF(LEN('Translation-EN'!A864)&gt;0,'Translation-EN'!A864,"")</f>
        <v>Range</v>
      </c>
      <c r="B864" s="888" t="str">
        <f>IF(LEN('Translation-EN'!B864)&gt;0,'Translation-EN'!B864,"")</f>
        <v>Floors</v>
      </c>
      <c r="C864" s="888" t="str">
        <f>IF(LEN('Translation-EN'!C864)&gt;0,'Translation-EN'!C864,"")</f>
        <v>B92</v>
      </c>
      <c r="D864" s="888" t="str">
        <f>IF(LEN('Translation-EN'!D864)&gt;0,'Translation-EN'!D864,"")</f>
        <v/>
      </c>
      <c r="E864" s="893" t="str">
        <f>$E$243</f>
        <v>REVÊTEMENT DE SOL EN VINYLE</v>
      </c>
      <c r="I864" s="888"/>
      <c r="J864" s="888"/>
      <c r="K864" s="888"/>
      <c r="L864" s="888"/>
      <c r="M864" s="888"/>
      <c r="N864" s="888"/>
      <c r="O864" s="888"/>
      <c r="P864" s="888"/>
      <c r="Q864" s="888"/>
      <c r="R864" s="888"/>
    </row>
    <row r="865" spans="1:18" s="893" customFormat="1" x14ac:dyDescent="0.3">
      <c r="A865" s="888" t="str">
        <f>IF(LEN('Translation-EN'!A865)&gt;0,'Translation-EN'!A865,"")</f>
        <v>Range</v>
      </c>
      <c r="B865" s="888" t="str">
        <f>IF(LEN('Translation-EN'!B865)&gt;0,'Translation-EN'!B865,"")</f>
        <v>_Floors</v>
      </c>
      <c r="C865" s="888" t="str">
        <f>IF(LEN('Translation-EN'!C865)&gt;0,'Translation-EN'!C865,"")</f>
        <v>C75</v>
      </c>
      <c r="D865" s="888" t="str">
        <f>IF(LEN('Translation-EN'!D865)&gt;0,'Translation-EN'!D865,"")</f>
        <v/>
      </c>
      <c r="E865" s="893" t="str">
        <f>$E$244</f>
        <v>Revêtement de sol en vinyle – MOYENNE</v>
      </c>
      <c r="I865" s="888"/>
      <c r="J865" s="888"/>
      <c r="K865" s="888"/>
      <c r="L865" s="888"/>
      <c r="M865" s="888"/>
      <c r="N865" s="888"/>
      <c r="O865" s="888"/>
      <c r="P865" s="888"/>
      <c r="Q865" s="888"/>
      <c r="R865" s="888"/>
    </row>
    <row r="866" spans="1:18" s="893" customFormat="1" x14ac:dyDescent="0.3">
      <c r="A866" s="888" t="str">
        <f>IF(LEN('Translation-EN'!A866)&gt;0,'Translation-EN'!A866,"")</f>
        <v>Range</v>
      </c>
      <c r="B866" s="888" t="str">
        <f>IF(LEN('Translation-EN'!B866)&gt;0,'Translation-EN'!B866,"")</f>
        <v>Floors</v>
      </c>
      <c r="C866" s="888" t="str">
        <f>IF(LEN('Translation-EN'!C866)&gt;0,'Translation-EN'!C866,"")</f>
        <v>B94</v>
      </c>
      <c r="D866" s="888" t="str">
        <f>IF(LEN('Translation-EN'!D866)&gt;0,'Translation-EN'!D866,"")</f>
        <v/>
      </c>
      <c r="E866" s="893" t="str">
        <f>$E$245</f>
        <v>PLANCHER LAMELLÉ</v>
      </c>
      <c r="I866" s="888"/>
      <c r="J866" s="888"/>
      <c r="K866" s="888"/>
      <c r="L866" s="888"/>
      <c r="M866" s="888"/>
      <c r="N866" s="888"/>
      <c r="O866" s="888"/>
      <c r="P866" s="888"/>
      <c r="Q866" s="888"/>
      <c r="R866" s="888"/>
    </row>
    <row r="867" spans="1:18" s="893" customFormat="1" x14ac:dyDescent="0.3">
      <c r="A867" s="888" t="str">
        <f>IF(LEN('Translation-EN'!A867)&gt;0,'Translation-EN'!A867,"")</f>
        <v>Range</v>
      </c>
      <c r="B867" s="888" t="str">
        <f>IF(LEN('Translation-EN'!B867)&gt;0,'Translation-EN'!B867,"")</f>
        <v>Floors</v>
      </c>
      <c r="C867" s="888" t="str">
        <f>IF(LEN('Translation-EN'!C867)&gt;0,'Translation-EN'!C867,"")</f>
        <v>B100</v>
      </c>
      <c r="D867" s="888" t="str">
        <f>IF(LEN('Translation-EN'!D867)&gt;0,'Translation-EN'!D867,"")</f>
        <v/>
      </c>
      <c r="E867" s="893" t="str">
        <f>$E$247</f>
        <v>PLANCHER DE LIÈGE</v>
      </c>
      <c r="I867" s="888"/>
      <c r="J867" s="888"/>
      <c r="K867" s="888"/>
      <c r="L867" s="888"/>
      <c r="M867" s="888"/>
      <c r="N867" s="888"/>
      <c r="O867" s="888"/>
      <c r="P867" s="888"/>
      <c r="Q867" s="888"/>
      <c r="R867" s="888"/>
    </row>
    <row r="868" spans="1:18" s="893" customFormat="1" x14ac:dyDescent="0.3">
      <c r="A868" s="888" t="str">
        <f>IF(LEN('Translation-EN'!A868)&gt;0,'Translation-EN'!A868,"")</f>
        <v>Range</v>
      </c>
      <c r="B868" s="888" t="str">
        <f>IF(LEN('Translation-EN'!B868)&gt;0,'Translation-EN'!B868,"")</f>
        <v>Floors</v>
      </c>
      <c r="C868" s="888" t="str">
        <f>IF(LEN('Translation-EN'!C868)&gt;0,'Translation-EN'!C868,"")</f>
        <v>B102</v>
      </c>
      <c r="D868" s="888" t="str">
        <f>IF(LEN('Translation-EN'!D868)&gt;0,'Translation-EN'!D868,"")</f>
        <v/>
      </c>
      <c r="E868" s="893" t="str">
        <f>$E$248</f>
        <v>TAPIS</v>
      </c>
      <c r="I868" s="888"/>
      <c r="J868" s="888"/>
      <c r="K868" s="888"/>
      <c r="L868" s="888"/>
      <c r="M868" s="888"/>
      <c r="N868" s="888"/>
      <c r="O868" s="888"/>
      <c r="P868" s="888"/>
      <c r="Q868" s="888"/>
      <c r="R868" s="888"/>
    </row>
    <row r="869" spans="1:18" s="893" customFormat="1" x14ac:dyDescent="0.3">
      <c r="A869" s="888" t="str">
        <f>IF(LEN('Translation-EN'!A869)&gt;0,'Translation-EN'!A869,"")</f>
        <v>Range</v>
      </c>
      <c r="B869" s="888" t="str">
        <f>IF(LEN('Translation-EN'!B869)&gt;0,'Translation-EN'!B869,"")</f>
        <v>Floors</v>
      </c>
      <c r="C869" s="888" t="str">
        <f>IF(LEN('Translation-EN'!C869)&gt;0,'Translation-EN'!C869,"")</f>
        <v>B104</v>
      </c>
      <c r="D869" s="888" t="str">
        <f>IF(LEN('Translation-EN'!D869)&gt;0,'Translation-EN'!D869,"")</f>
        <v/>
      </c>
      <c r="E869" s="893" t="s">
        <v>3050</v>
      </c>
      <c r="I869" s="888"/>
      <c r="J869" s="888"/>
      <c r="K869" s="888"/>
      <c r="L869" s="888"/>
      <c r="M869" s="888"/>
      <c r="N869" s="888"/>
      <c r="O869" s="888"/>
      <c r="P869" s="888"/>
      <c r="Q869" s="888"/>
      <c r="R869" s="888"/>
    </row>
    <row r="870" spans="1:18" s="893" customFormat="1" x14ac:dyDescent="0.3">
      <c r="A870" s="888" t="str">
        <f>IF(LEN('Translation-EN'!A870)&gt;0,'Translation-EN'!A870,"")</f>
        <v>Range</v>
      </c>
      <c r="B870" s="888" t="str">
        <f>IF(LEN('Translation-EN'!B870)&gt;0,'Translation-EN'!B870,"")</f>
        <v>Floors</v>
      </c>
      <c r="C870" s="888" t="str">
        <f>IF(LEN('Translation-EN'!C870)&gt;0,'Translation-EN'!C870,"")</f>
        <v>A107</v>
      </c>
      <c r="D870" s="888" t="str">
        <f>IF(LEN('Translation-EN'!D870)&gt;0,'Translation-EN'!D870,"")</f>
        <v/>
      </c>
      <c r="E870" s="893" t="s">
        <v>3051</v>
      </c>
      <c r="I870" s="888"/>
      <c r="J870" s="888"/>
      <c r="K870" s="888"/>
      <c r="L870" s="888"/>
      <c r="M870" s="888"/>
      <c r="N870" s="888"/>
      <c r="O870" s="888"/>
      <c r="P870" s="888"/>
      <c r="Q870" s="888"/>
      <c r="R870" s="888"/>
    </row>
    <row r="871" spans="1:18" s="893" customFormat="1" x14ac:dyDescent="0.3">
      <c r="A871" s="888" t="str">
        <f>IF(LEN('Translation-EN'!A871)&gt;0,'Translation-EN'!A871,"")</f>
        <v>Range</v>
      </c>
      <c r="B871" s="888" t="str">
        <f>IF(LEN('Translation-EN'!B871)&gt;0,'Translation-EN'!B871,"")</f>
        <v>Floors</v>
      </c>
      <c r="C871" s="888" t="str">
        <f>IF(LEN('Translation-EN'!C871)&gt;0,'Translation-EN'!C871,"")</f>
        <v>B108</v>
      </c>
      <c r="D871" s="888" t="str">
        <f>IF(LEN('Translation-EN'!D871)&gt;0,'Translation-EN'!D871,"")</f>
        <v/>
      </c>
      <c r="E871" s="893" t="str">
        <f>$E$339</f>
        <v>NATTE DE FIBRE DE VERRE</v>
      </c>
      <c r="I871" s="888"/>
      <c r="J871" s="888"/>
      <c r="K871" s="888"/>
      <c r="L871" s="888"/>
      <c r="M871" s="888"/>
      <c r="N871" s="888"/>
      <c r="O871" s="888"/>
      <c r="P871" s="888"/>
      <c r="Q871" s="888"/>
      <c r="R871" s="888"/>
    </row>
    <row r="872" spans="1:18" s="893" customFormat="1" x14ac:dyDescent="0.3">
      <c r="A872" s="888" t="str">
        <f>IF(LEN('Translation-EN'!A872)&gt;0,'Translation-EN'!A872,"")</f>
        <v>Range</v>
      </c>
      <c r="B872" s="888" t="str">
        <f>IF(LEN('Translation-EN'!B872)&gt;0,'Translation-EN'!B872,"")</f>
        <v>_Floors</v>
      </c>
      <c r="C872" s="888" t="str">
        <f>IF(LEN('Translation-EN'!C872)&gt;0,'Translation-EN'!C872,"")</f>
        <v>D96</v>
      </c>
      <c r="D872" s="888" t="str">
        <f>IF(LEN('Translation-EN'!D872)&gt;0,'Translation-EN'!D872,"")</f>
        <v/>
      </c>
      <c r="E872" s="936" t="str">
        <f>$E$606</f>
        <v>VALEUR R :</v>
      </c>
      <c r="I872" s="888"/>
      <c r="J872" s="888"/>
      <c r="K872" s="888"/>
      <c r="L872" s="888"/>
      <c r="M872" s="888"/>
      <c r="N872" s="888"/>
      <c r="O872" s="888"/>
      <c r="P872" s="888"/>
      <c r="Q872" s="888"/>
      <c r="R872" s="888"/>
    </row>
    <row r="873" spans="1:18" s="893" customFormat="1" x14ac:dyDescent="0.3">
      <c r="A873" s="888" t="str">
        <f>IF(LEN('Translation-EN'!A873)&gt;0,'Translation-EN'!A873,"")</f>
        <v>Range</v>
      </c>
      <c r="B873" s="888" t="str">
        <f>IF(LEN('Translation-EN'!B873)&gt;0,'Translation-EN'!B873,"")</f>
        <v>Floors</v>
      </c>
      <c r="C873" s="888" t="str">
        <f>IF(LEN('Translation-EN'!C873)&gt;0,'Translation-EN'!C873,"")</f>
        <v>C109</v>
      </c>
      <c r="D873" s="888" t="str">
        <f>IF(LEN('Translation-EN'!D873)&gt;0,'Translation-EN'!D873,"")</f>
        <v/>
      </c>
      <c r="E873" s="893" t="s">
        <v>4006</v>
      </c>
      <c r="I873" s="888"/>
      <c r="J873" s="888"/>
      <c r="K873" s="888"/>
      <c r="L873" s="888"/>
      <c r="M873" s="888"/>
      <c r="N873" s="888"/>
      <c r="O873" s="888"/>
      <c r="P873" s="888"/>
      <c r="Q873" s="888"/>
      <c r="R873" s="888"/>
    </row>
    <row r="874" spans="1:18" s="893" customFormat="1" x14ac:dyDescent="0.3">
      <c r="A874" s="888" t="str">
        <f>IF(LEN('Translation-EN'!A874)&gt;0,'Translation-EN'!A874,"")</f>
        <v>Range</v>
      </c>
      <c r="B874" s="888" t="str">
        <f>IF(LEN('Translation-EN'!B874)&gt;0,'Translation-EN'!B874,"")</f>
        <v>Floors</v>
      </c>
      <c r="C874" s="888" t="str">
        <f>IF(LEN('Translation-EN'!C874)&gt;0,'Translation-EN'!C874,"")</f>
        <v>B113</v>
      </c>
      <c r="D874" s="888" t="str">
        <f>IF(LEN('Translation-EN'!D874)&gt;0,'Translation-EN'!D874,"")</f>
        <v/>
      </c>
      <c r="E874" s="893" t="s">
        <v>3052</v>
      </c>
      <c r="I874" s="888"/>
      <c r="J874" s="888"/>
      <c r="K874" s="888"/>
      <c r="L874" s="888"/>
      <c r="M874" s="888"/>
      <c r="N874" s="888"/>
      <c r="O874" s="888"/>
      <c r="P874" s="888"/>
      <c r="Q874" s="888"/>
      <c r="R874" s="888"/>
    </row>
    <row r="875" spans="1:18" s="893" customFormat="1" x14ac:dyDescent="0.3">
      <c r="A875" s="888" t="str">
        <f>IF(LEN('Translation-EN'!A875)&gt;0,'Translation-EN'!A875,"")</f>
        <v>Range</v>
      </c>
      <c r="B875" s="888" t="str">
        <f>IF(LEN('Translation-EN'!B875)&gt;0,'Translation-EN'!B875,"")</f>
        <v>_Floors</v>
      </c>
      <c r="C875" s="888" t="str">
        <f>IF(LEN('Translation-EN'!C875)&gt;0,'Translation-EN'!C875,"")</f>
        <v>D99</v>
      </c>
      <c r="D875" s="888" t="str">
        <f>IF(LEN('Translation-EN'!D875)&gt;0,'Translation-EN'!D875,"")</f>
        <v/>
      </c>
      <c r="E875" s="936" t="str">
        <f>$E$606</f>
        <v>VALEUR R :</v>
      </c>
      <c r="I875" s="888"/>
      <c r="J875" s="888"/>
      <c r="K875" s="888"/>
      <c r="L875" s="888"/>
      <c r="M875" s="888"/>
      <c r="N875" s="888"/>
      <c r="O875" s="888"/>
      <c r="P875" s="888"/>
      <c r="Q875" s="888"/>
      <c r="R875" s="888"/>
    </row>
    <row r="876" spans="1:18" s="893" customFormat="1" x14ac:dyDescent="0.3">
      <c r="A876" s="888" t="str">
        <f>IF(LEN('Translation-EN'!A876)&gt;0,'Translation-EN'!A876,"")</f>
        <v>Range</v>
      </c>
      <c r="B876" s="888" t="str">
        <f>IF(LEN('Translation-EN'!B876)&gt;0,'Translation-EN'!B876,"")</f>
        <v>Floors</v>
      </c>
      <c r="C876" s="888" t="str">
        <f>IF(LEN('Translation-EN'!C876)&gt;0,'Translation-EN'!C876,"")</f>
        <v>C114</v>
      </c>
      <c r="D876" s="888" t="str">
        <f>IF(LEN('Translation-EN'!D876)&gt;0,'Translation-EN'!D876,"")</f>
        <v/>
      </c>
      <c r="E876" s="893" t="s">
        <v>4007</v>
      </c>
      <c r="I876" s="888"/>
      <c r="J876" s="888"/>
      <c r="K876" s="888"/>
      <c r="L876" s="888"/>
      <c r="M876" s="888"/>
      <c r="N876" s="888"/>
      <c r="O876" s="888"/>
      <c r="P876" s="888"/>
      <c r="Q876" s="888"/>
      <c r="R876" s="888"/>
    </row>
    <row r="877" spans="1:18" s="893" customFormat="1" x14ac:dyDescent="0.3">
      <c r="A877" s="888" t="str">
        <f>IF(LEN('Translation-EN'!A877)&gt;0,'Translation-EN'!A877,"")</f>
        <v>Range</v>
      </c>
      <c r="B877" s="888" t="str">
        <f>IF(LEN('Translation-EN'!B877)&gt;0,'Translation-EN'!B877,"")</f>
        <v>Floors</v>
      </c>
      <c r="C877" s="888" t="str">
        <f>IF(LEN('Translation-EN'!C877)&gt;0,'Translation-EN'!C877,"")</f>
        <v>B119</v>
      </c>
      <c r="D877" s="888" t="str">
        <f>IF(LEN('Translation-EN'!D877)&gt;0,'Translation-EN'!D877,"")</f>
        <v/>
      </c>
      <c r="E877" s="893" t="str">
        <f>$E$343</f>
        <v>NATTE DE LAINE MINÉRALE</v>
      </c>
      <c r="I877" s="888"/>
      <c r="J877" s="888"/>
      <c r="K877" s="888"/>
      <c r="L877" s="888"/>
      <c r="M877" s="888"/>
      <c r="N877" s="888"/>
      <c r="O877" s="888"/>
      <c r="P877" s="888"/>
      <c r="Q877" s="888"/>
      <c r="R877" s="888"/>
    </row>
    <row r="878" spans="1:18" s="893" customFormat="1" x14ac:dyDescent="0.3">
      <c r="A878" s="888" t="str">
        <f>IF(LEN('Translation-EN'!A878)&gt;0,'Translation-EN'!A878,"")</f>
        <v>Range</v>
      </c>
      <c r="B878" s="888" t="str">
        <f>IF(LEN('Translation-EN'!B878)&gt;0,'Translation-EN'!B878,"")</f>
        <v>_Floors</v>
      </c>
      <c r="C878" s="888" t="str">
        <f>IF(LEN('Translation-EN'!C878)&gt;0,'Translation-EN'!C878,"")</f>
        <v>D105</v>
      </c>
      <c r="D878" s="888" t="str">
        <f>IF(LEN('Translation-EN'!D878)&gt;0,'Translation-EN'!D878,"")</f>
        <v/>
      </c>
      <c r="E878" s="936" t="str">
        <f>$E$606</f>
        <v>VALEUR R :</v>
      </c>
      <c r="I878" s="888"/>
      <c r="J878" s="888"/>
      <c r="K878" s="888"/>
      <c r="L878" s="888"/>
      <c r="M878" s="888"/>
      <c r="N878" s="888"/>
      <c r="O878" s="888"/>
      <c r="P878" s="888"/>
      <c r="Q878" s="888"/>
      <c r="R878" s="888"/>
    </row>
    <row r="879" spans="1:18" s="893" customFormat="1" x14ac:dyDescent="0.3">
      <c r="A879" s="888" t="str">
        <f>IF(LEN('Translation-EN'!A879)&gt;0,'Translation-EN'!A879,"")</f>
        <v>Range</v>
      </c>
      <c r="B879" s="888" t="str">
        <f>IF(LEN('Translation-EN'!B879)&gt;0,'Translation-EN'!B879,"")</f>
        <v>Floors</v>
      </c>
      <c r="C879" s="888" t="str">
        <f>IF(LEN('Translation-EN'!C879)&gt;0,'Translation-EN'!C879,"")</f>
        <v>C120</v>
      </c>
      <c r="D879" s="888" t="str">
        <f>IF(LEN('Translation-EN'!D879)&gt;0,'Translation-EN'!D879,"")</f>
        <v/>
      </c>
      <c r="E879" s="893" t="s">
        <v>3053</v>
      </c>
      <c r="I879" s="888"/>
      <c r="J879" s="888"/>
      <c r="K879" s="888"/>
      <c r="L879" s="888"/>
      <c r="M879" s="888"/>
      <c r="N879" s="888"/>
      <c r="O879" s="888"/>
      <c r="P879" s="888"/>
      <c r="Q879" s="888"/>
      <c r="R879" s="888"/>
    </row>
    <row r="880" spans="1:18" s="893" customFormat="1" x14ac:dyDescent="0.3">
      <c r="A880" s="888" t="str">
        <f>IF(LEN('Translation-EN'!A880)&gt;0,'Translation-EN'!A880,"")</f>
        <v>Range</v>
      </c>
      <c r="B880" s="888" t="str">
        <f>IF(LEN('Translation-EN'!B880)&gt;0,'Translation-EN'!B880,"")</f>
        <v>Floors</v>
      </c>
      <c r="C880" s="888" t="str">
        <f>IF(LEN('Translation-EN'!C880)&gt;0,'Translation-EN'!C880,"")</f>
        <v>B127</v>
      </c>
      <c r="D880" s="888" t="str">
        <f>IF(LEN('Translation-EN'!D880)&gt;0,'Translation-EN'!D880,"")</f>
        <v/>
      </c>
      <c r="E880" s="926" t="str">
        <f>$E$473</f>
        <v>LAINE MINÉRALE EN VRAC</v>
      </c>
      <c r="I880" s="888"/>
      <c r="J880" s="888"/>
      <c r="K880" s="888"/>
      <c r="L880" s="888"/>
      <c r="M880" s="888"/>
      <c r="N880" s="888"/>
      <c r="O880" s="888"/>
      <c r="P880" s="888"/>
      <c r="Q880" s="888"/>
      <c r="R880" s="888"/>
    </row>
    <row r="881" spans="1:18" s="893" customFormat="1" x14ac:dyDescent="0.3">
      <c r="A881" s="888" t="str">
        <f>IF(LEN('Translation-EN'!A881)&gt;0,'Translation-EN'!A881,"")</f>
        <v>Range</v>
      </c>
      <c r="B881" s="888" t="str">
        <f>IF(LEN('Translation-EN'!B881)&gt;0,'Translation-EN'!B881,"")</f>
        <v>_Floors</v>
      </c>
      <c r="C881" s="888" t="str">
        <f>IF(LEN('Translation-EN'!C881)&gt;0,'Translation-EN'!C881,"")</f>
        <v>D113</v>
      </c>
      <c r="D881" s="888" t="str">
        <f>IF(LEN('Translation-EN'!D881)&gt;0,'Translation-EN'!D881,"")</f>
        <v/>
      </c>
      <c r="E881" s="936" t="str">
        <f>$E$606</f>
        <v>VALEUR R :</v>
      </c>
      <c r="I881" s="888"/>
      <c r="J881" s="888"/>
      <c r="K881" s="888"/>
      <c r="L881" s="888"/>
      <c r="M881" s="888"/>
      <c r="N881" s="888"/>
      <c r="O881" s="888"/>
      <c r="P881" s="888"/>
      <c r="Q881" s="888"/>
      <c r="R881" s="888"/>
    </row>
    <row r="882" spans="1:18" s="893" customFormat="1" x14ac:dyDescent="0.3">
      <c r="A882" s="888" t="str">
        <f>IF(LEN('Translation-EN'!A882)&gt;0,'Translation-EN'!A882,"")</f>
        <v>Range</v>
      </c>
      <c r="B882" s="888" t="str">
        <f>IF(LEN('Translation-EN'!B882)&gt;0,'Translation-EN'!B882,"")</f>
        <v>Floors</v>
      </c>
      <c r="C882" s="888" t="str">
        <f>IF(LEN('Translation-EN'!C882)&gt;0,'Translation-EN'!C882,"")</f>
        <v>B129</v>
      </c>
      <c r="D882" s="888" t="str">
        <f>IF(LEN('Translation-EN'!D882)&gt;0,'Translation-EN'!D882,"")</f>
        <v/>
      </c>
      <c r="E882" s="893" t="str">
        <f>$E$479</f>
        <v>MOUSSE À PULVÉRISER – CELLULE FERMÉE</v>
      </c>
      <c r="I882" s="888"/>
      <c r="J882" s="888"/>
      <c r="K882" s="888"/>
      <c r="L882" s="888"/>
      <c r="M882" s="888"/>
      <c r="N882" s="888"/>
      <c r="O882" s="888"/>
      <c r="P882" s="888"/>
      <c r="Q882" s="888"/>
      <c r="R882" s="888"/>
    </row>
    <row r="883" spans="1:18" s="893" customFormat="1" x14ac:dyDescent="0.3">
      <c r="A883" s="888" t="str">
        <f>IF(LEN('Translation-EN'!A883)&gt;0,'Translation-EN'!A883,"")</f>
        <v>Range</v>
      </c>
      <c r="B883" s="888" t="str">
        <f>IF(LEN('Translation-EN'!B883)&gt;0,'Translation-EN'!B883,"")</f>
        <v>_Floors</v>
      </c>
      <c r="C883" s="888" t="str">
        <f>IF(LEN('Translation-EN'!C883)&gt;0,'Translation-EN'!C883,"")</f>
        <v>D115</v>
      </c>
      <c r="D883" s="888" t="str">
        <f>IF(LEN('Translation-EN'!D883)&gt;0,'Translation-EN'!D883,"")</f>
        <v/>
      </c>
      <c r="E883" s="936" t="str">
        <f>$E$606</f>
        <v>VALEUR R :</v>
      </c>
      <c r="I883" s="888"/>
      <c r="J883" s="888"/>
      <c r="K883" s="888"/>
      <c r="L883" s="888"/>
      <c r="M883" s="888"/>
      <c r="N883" s="888"/>
      <c r="O883" s="888"/>
      <c r="P883" s="888"/>
      <c r="Q883" s="888"/>
      <c r="R883" s="888"/>
    </row>
    <row r="884" spans="1:18" s="893" customFormat="1" x14ac:dyDescent="0.3">
      <c r="A884" s="888" t="str">
        <f>IF(LEN('Translation-EN'!A884)&gt;0,'Translation-EN'!A884,"")</f>
        <v>Range</v>
      </c>
      <c r="B884" s="888" t="str">
        <f>IF(LEN('Translation-EN'!B884)&gt;0,'Translation-EN'!B884,"")</f>
        <v>Floors</v>
      </c>
      <c r="C884" s="888" t="str">
        <f>IF(LEN('Translation-EN'!C884)&gt;0,'Translation-EN'!C884,"")</f>
        <v>B132</v>
      </c>
      <c r="D884" s="888" t="str">
        <f>IF(LEN('Translation-EN'!D884)&gt;0,'Translation-EN'!D884,"")</f>
        <v/>
      </c>
      <c r="E884" s="893" t="str">
        <f>$E$480</f>
        <v>MOUSSE À PULVÉRISER – CELLULE OUVERTE</v>
      </c>
      <c r="I884" s="888"/>
      <c r="J884" s="888"/>
      <c r="K884" s="888"/>
      <c r="L884" s="888"/>
      <c r="M884" s="888"/>
      <c r="N884" s="888"/>
      <c r="O884" s="888"/>
      <c r="P884" s="888"/>
      <c r="Q884" s="888"/>
      <c r="R884" s="888"/>
    </row>
    <row r="885" spans="1:18" s="893" customFormat="1" x14ac:dyDescent="0.3">
      <c r="A885" s="888" t="str">
        <f>IF(LEN('Translation-EN'!A885)&gt;0,'Translation-EN'!A885,"")</f>
        <v>Range</v>
      </c>
      <c r="B885" s="888" t="str">
        <f>IF(LEN('Translation-EN'!B885)&gt;0,'Translation-EN'!B885,"")</f>
        <v>_Floors</v>
      </c>
      <c r="C885" s="888" t="str">
        <f>IF(LEN('Translation-EN'!C885)&gt;0,'Translation-EN'!C885,"")</f>
        <v>D118</v>
      </c>
      <c r="D885" s="888" t="str">
        <f>IF(LEN('Translation-EN'!D885)&gt;0,'Translation-EN'!D885,"")</f>
        <v/>
      </c>
      <c r="E885" s="936" t="str">
        <f>$E$606</f>
        <v>VALEUR R :</v>
      </c>
      <c r="I885" s="888"/>
      <c r="J885" s="888"/>
      <c r="K885" s="888"/>
      <c r="L885" s="888"/>
      <c r="M885" s="888"/>
      <c r="N885" s="888"/>
      <c r="O885" s="888"/>
      <c r="P885" s="888"/>
      <c r="Q885" s="888"/>
      <c r="R885" s="888"/>
    </row>
    <row r="886" spans="1:18" s="893" customFormat="1" x14ac:dyDescent="0.3">
      <c r="A886" s="888" t="str">
        <f>IF(LEN('Translation-EN'!A886)&gt;0,'Translation-EN'!A886,"")</f>
        <v>Range</v>
      </c>
      <c r="B886" s="888" t="str">
        <f>IF(LEN('Translation-EN'!B886)&gt;0,'Translation-EN'!B886,"")</f>
        <v>Floors</v>
      </c>
      <c r="C886" s="888" t="str">
        <f>IF(LEN('Translation-EN'!C886)&gt;0,'Translation-EN'!C886,"")</f>
        <v>B134</v>
      </c>
      <c r="D886" s="888" t="str">
        <f>IF(LEN('Translation-EN'!D886)&gt;0,'Translation-EN'!D886,"")</f>
        <v/>
      </c>
      <c r="E886" s="893" t="str">
        <f>$E$341</f>
        <v>ISOLATION EN CELLULOSE</v>
      </c>
      <c r="I886" s="888"/>
      <c r="J886" s="888"/>
      <c r="K886" s="888"/>
      <c r="L886" s="888"/>
      <c r="M886" s="888"/>
      <c r="N886" s="888"/>
      <c r="O886" s="888"/>
      <c r="P886" s="888"/>
      <c r="Q886" s="888"/>
      <c r="R886" s="888"/>
    </row>
    <row r="887" spans="1:18" s="893" customFormat="1" x14ac:dyDescent="0.3">
      <c r="A887" s="888" t="str">
        <f>IF(LEN('Translation-EN'!A887)&gt;0,'Translation-EN'!A887,"")</f>
        <v>Range</v>
      </c>
      <c r="B887" s="888" t="str">
        <f>IF(LEN('Translation-EN'!B887)&gt;0,'Translation-EN'!B887,"")</f>
        <v>_Floors</v>
      </c>
      <c r="C887" s="888" t="str">
        <f>IF(LEN('Translation-EN'!C887)&gt;0,'Translation-EN'!C887,"")</f>
        <v>D120</v>
      </c>
      <c r="D887" s="888" t="str">
        <f>IF(LEN('Translation-EN'!D887)&gt;0,'Translation-EN'!D887,"")</f>
        <v/>
      </c>
      <c r="E887" s="936" t="str">
        <f>$E$606</f>
        <v>VALEUR R :</v>
      </c>
      <c r="I887" s="888"/>
      <c r="J887" s="888"/>
      <c r="K887" s="888"/>
      <c r="L887" s="888"/>
      <c r="M887" s="888"/>
      <c r="N887" s="888"/>
      <c r="O887" s="888"/>
      <c r="P887" s="888"/>
      <c r="Q887" s="888"/>
      <c r="R887" s="888"/>
    </row>
    <row r="888" spans="1:18" s="893" customFormat="1" x14ac:dyDescent="0.3">
      <c r="A888" s="888" t="str">
        <f>IF(LEN('Translation-EN'!A888)&gt;0,'Translation-EN'!A888,"")</f>
        <v>Range</v>
      </c>
      <c r="B888" s="888" t="str">
        <f>IF(LEN('Translation-EN'!B888)&gt;0,'Translation-EN'!B888,"")</f>
        <v>Floors</v>
      </c>
      <c r="C888" s="888" t="str">
        <f>IF(LEN('Translation-EN'!C888)&gt;0,'Translation-EN'!C888,"")</f>
        <v>C135</v>
      </c>
      <c r="D888" s="888" t="str">
        <f>IF(LEN('Translation-EN'!D888)&gt;0,'Translation-EN'!D888,"")</f>
        <v/>
      </c>
      <c r="E888" s="893" t="s">
        <v>3055</v>
      </c>
      <c r="I888" s="888"/>
      <c r="J888" s="888"/>
      <c r="K888" s="888"/>
      <c r="L888" s="888"/>
      <c r="M888" s="888"/>
      <c r="N888" s="888"/>
      <c r="O888" s="888"/>
      <c r="P888" s="888"/>
      <c r="Q888" s="888"/>
      <c r="R888" s="888"/>
    </row>
    <row r="889" spans="1:18" s="893" customFormat="1" x14ac:dyDescent="0.3">
      <c r="A889" s="888" t="str">
        <f>IF(LEN('Translation-EN'!A889)&gt;0,'Translation-EN'!A889,"")</f>
        <v>Range</v>
      </c>
      <c r="B889" s="888" t="str">
        <f>IF(LEN('Translation-EN'!B889)&gt;0,'Translation-EN'!B889,"")</f>
        <v>Floors</v>
      </c>
      <c r="C889" s="888" t="str">
        <f>IF(LEN('Translation-EN'!C889)&gt;0,'Translation-EN'!C889,"")</f>
        <v>B140</v>
      </c>
      <c r="D889" s="888" t="str">
        <f>IF(LEN('Translation-EN'!D889)&gt;0,'Translation-EN'!D889,"")</f>
        <v/>
      </c>
      <c r="E889" s="893" t="str">
        <f>$E$345</f>
        <v>NATTE DE FIBRES DE BOIS</v>
      </c>
      <c r="I889" s="888"/>
      <c r="J889" s="888"/>
      <c r="K889" s="888"/>
      <c r="L889" s="888"/>
      <c r="M889" s="888"/>
      <c r="N889" s="888"/>
      <c r="O889" s="888"/>
      <c r="P889" s="888"/>
      <c r="Q889" s="888"/>
      <c r="R889" s="888"/>
    </row>
    <row r="890" spans="1:18" s="893" customFormat="1" x14ac:dyDescent="0.3">
      <c r="A890" s="888" t="str">
        <f>IF(LEN('Translation-EN'!A890)&gt;0,'Translation-EN'!A890,"")</f>
        <v>Range</v>
      </c>
      <c r="B890" s="888" t="str">
        <f>IF(LEN('Translation-EN'!B890)&gt;0,'Translation-EN'!B890,"")</f>
        <v>_Floors</v>
      </c>
      <c r="C890" s="888" t="str">
        <f>IF(LEN('Translation-EN'!C890)&gt;0,'Translation-EN'!C890,"")</f>
        <v>D126</v>
      </c>
      <c r="D890" s="888" t="str">
        <f>IF(LEN('Translation-EN'!D890)&gt;0,'Translation-EN'!D890,"")</f>
        <v/>
      </c>
      <c r="E890" s="936" t="str">
        <f>$E$606</f>
        <v>VALEUR R :</v>
      </c>
      <c r="I890" s="888"/>
      <c r="J890" s="888"/>
      <c r="K890" s="888"/>
      <c r="L890" s="888"/>
      <c r="M890" s="888"/>
      <c r="N890" s="888"/>
      <c r="O890" s="888"/>
      <c r="P890" s="888"/>
      <c r="Q890" s="888"/>
      <c r="R890" s="888"/>
    </row>
    <row r="891" spans="1:18" s="893" customFormat="1" x14ac:dyDescent="0.3">
      <c r="A891" s="888" t="str">
        <f>IF(LEN('Translation-EN'!A891)&gt;0,'Translation-EN'!A891,"")</f>
        <v>Range</v>
      </c>
      <c r="B891" s="888" t="str">
        <f>IF(LEN('Translation-EN'!B891)&gt;0,'Translation-EN'!B891,"")</f>
        <v>_Floors</v>
      </c>
      <c r="C891" s="888" t="str">
        <f>IF(LEN('Translation-EN'!C891)&gt;0,'Translation-EN'!C891,"")</f>
        <v>C127</v>
      </c>
      <c r="D891" s="888" t="str">
        <f>IF(LEN('Translation-EN'!D891)&gt;0,'Translation-EN'!D891,"")</f>
        <v/>
      </c>
      <c r="E891" s="893" t="s">
        <v>4008</v>
      </c>
      <c r="I891" s="888"/>
      <c r="J891" s="888"/>
      <c r="K891" s="888"/>
      <c r="L891" s="888"/>
      <c r="M891" s="888"/>
      <c r="N891" s="888"/>
      <c r="O891" s="888"/>
      <c r="P891" s="888"/>
      <c r="Q891" s="888"/>
      <c r="R891" s="888"/>
    </row>
    <row r="892" spans="1:18" s="893" customFormat="1" x14ac:dyDescent="0.3">
      <c r="A892" s="888" t="str">
        <f>IF(LEN('Translation-EN'!A892)&gt;0,'Translation-EN'!A892,"")</f>
        <v>Range</v>
      </c>
      <c r="B892" s="888" t="str">
        <f>IF(LEN('Translation-EN'!B892)&gt;0,'Translation-EN'!B892,"")</f>
        <v>Floors</v>
      </c>
      <c r="C892" s="888" t="str">
        <f>IF(LEN('Translation-EN'!C892)&gt;0,'Translation-EN'!C892,"")</f>
        <v>B142</v>
      </c>
      <c r="D892" s="888" t="str">
        <f>IF(LEN('Translation-EN'!D892)&gt;0,'Translation-EN'!D892,"")</f>
        <v/>
      </c>
      <c r="E892" s="893" t="str">
        <f>$E$478</f>
        <v>AUTRES ISOLANTS EN FIBRES NATURELLES</v>
      </c>
      <c r="I892" s="888"/>
      <c r="J892" s="888"/>
      <c r="K892" s="888"/>
      <c r="L892" s="888"/>
      <c r="M892" s="888"/>
      <c r="N892" s="888"/>
      <c r="O892" s="888"/>
      <c r="P892" s="888"/>
      <c r="Q892" s="888"/>
      <c r="R892" s="888"/>
    </row>
    <row r="893" spans="1:18" s="893" customFormat="1" x14ac:dyDescent="0.3">
      <c r="A893" s="888" t="str">
        <f>IF(LEN('Translation-EN'!A893)&gt;0,'Translation-EN'!A893,"")</f>
        <v>Range</v>
      </c>
      <c r="B893" s="888" t="str">
        <f>IF(LEN('Translation-EN'!B893)&gt;0,'Translation-EN'!B893,"")</f>
        <v>_Floors</v>
      </c>
      <c r="C893" s="888" t="str">
        <f>IF(LEN('Translation-EN'!C893)&gt;0,'Translation-EN'!C893,"")</f>
        <v>D129</v>
      </c>
      <c r="D893" s="888" t="str">
        <f>IF(LEN('Translation-EN'!D893)&gt;0,'Translation-EN'!D893,"")</f>
        <v/>
      </c>
      <c r="E893" s="936" t="str">
        <f>$E$606</f>
        <v>VALEUR R :</v>
      </c>
      <c r="I893" s="888"/>
      <c r="J893" s="888"/>
      <c r="K893" s="888"/>
      <c r="L893" s="888"/>
      <c r="M893" s="888"/>
      <c r="N893" s="888"/>
      <c r="O893" s="888"/>
      <c r="P893" s="888"/>
      <c r="Q893" s="888"/>
      <c r="R893" s="888"/>
    </row>
    <row r="894" spans="1:18" x14ac:dyDescent="0.3">
      <c r="A894" s="888" t="str">
        <f>IF(LEN('Translation-EN'!A894)&gt;0,'Translation-EN'!A894,"")</f>
        <v>Range</v>
      </c>
      <c r="B894" s="888" t="str">
        <f>IF(LEN('Translation-EN'!B894)&gt;0,'Translation-EN'!B894,"")</f>
        <v>Floors</v>
      </c>
      <c r="C894" s="888" t="str">
        <f>IF(LEN('Translation-EN'!C894)&gt;0,'Translation-EN'!C894,"")</f>
        <v>B148</v>
      </c>
      <c r="D894" s="888" t="str">
        <f>IF(LEN('Translation-EN'!D894)&gt;0,'Translation-EN'!D894,"")</f>
        <v/>
      </c>
      <c r="E894" s="893" t="s">
        <v>3056</v>
      </c>
    </row>
    <row r="895" spans="1:18" x14ac:dyDescent="0.3">
      <c r="A895" s="888" t="str">
        <f>IF(LEN('Translation-EN'!A895)&gt;0,'Translation-EN'!A895,"")</f>
        <v>Range</v>
      </c>
      <c r="B895" s="888" t="str">
        <f>IF(LEN('Translation-EN'!B895)&gt;0,'Translation-EN'!B895,"")</f>
        <v>_Floors</v>
      </c>
      <c r="C895" s="888" t="str">
        <f>IF(LEN('Translation-EN'!C895)&gt;0,'Translation-EN'!C895,"")</f>
        <v>D135</v>
      </c>
      <c r="D895" s="888" t="str">
        <f>IF(LEN('Translation-EN'!D895)&gt;0,'Translation-EN'!D895,"")</f>
        <v/>
      </c>
      <c r="E895" s="936" t="str">
        <f>$E$606</f>
        <v>VALEUR R :</v>
      </c>
    </row>
    <row r="896" spans="1:18" x14ac:dyDescent="0.3">
      <c r="A896" s="888" t="str">
        <f>IF(LEN('Translation-EN'!A896)&gt;0,'Translation-EN'!A896,"")</f>
        <v>Range</v>
      </c>
      <c r="B896" s="888" t="str">
        <f>IF(LEN('Translation-EN'!B896)&gt;0,'Translation-EN'!B896,"")</f>
        <v>Floors</v>
      </c>
      <c r="C896" s="888" t="str">
        <f>IF(LEN('Translation-EN'!C896)&gt;0,'Translation-EN'!C896,"")</f>
        <v>C149</v>
      </c>
      <c r="D896" s="888" t="str">
        <f>IF(LEN('Translation-EN'!D896)&gt;0,'Translation-EN'!D896,"")</f>
        <v/>
      </c>
      <c r="E896" s="893" t="s">
        <v>4009</v>
      </c>
    </row>
    <row r="897" spans="1:19" x14ac:dyDescent="0.3">
      <c r="A897" s="888" t="str">
        <f>IF(LEN('Translation-EN'!A897)&gt;0,'Translation-EN'!A897,"")</f>
        <v>Range</v>
      </c>
      <c r="B897" s="888" t="str">
        <f>IF(LEN('Translation-EN'!B897)&gt;0,'Translation-EN'!B897,"")</f>
        <v>Ceilings</v>
      </c>
      <c r="C897" s="888" t="str">
        <f>IF(LEN('Translation-EN'!C897)&gt;0,'Translation-EN'!C897,"")</f>
        <v>A1</v>
      </c>
      <c r="D897" s="888" t="str">
        <f>IF(LEN('Translation-EN'!D897)&gt;0,'Translation-EN'!D897,"")</f>
        <v/>
      </c>
      <c r="E897" s="893" t="s">
        <v>3057</v>
      </c>
    </row>
    <row r="898" spans="1:19" x14ac:dyDescent="0.3">
      <c r="A898" s="888" t="str">
        <f>IF(LEN('Translation-EN'!A898)&gt;0,'Translation-EN'!A898,"")</f>
        <v>Range</v>
      </c>
      <c r="B898" s="888" t="str">
        <f>IF(LEN('Translation-EN'!B898)&gt;0,'Translation-EN'!B898,"")</f>
        <v>Ceilings</v>
      </c>
      <c r="C898" s="888" t="str">
        <f>IF(LEN('Translation-EN'!C898)&gt;0,'Translation-EN'!C898,"")</f>
        <v>D1</v>
      </c>
      <c r="D898" s="888" t="str">
        <f>IF(LEN('Translation-EN'!D898)&gt;0,'Translation-EN'!D898,"")</f>
        <v/>
      </c>
      <c r="E898" s="893" t="s">
        <v>3058</v>
      </c>
    </row>
    <row r="899" spans="1:19" ht="243" customHeight="1" x14ac:dyDescent="0.3">
      <c r="A899" s="888" t="str">
        <f>IF(LEN('Translation-EN'!A899)&gt;0,'Translation-EN'!A899,"")</f>
        <v>Range</v>
      </c>
      <c r="B899" s="888" t="str">
        <f>IF(LEN('Translation-EN'!B899)&gt;0,'Translation-EN'!B899,"")</f>
        <v>Ceilings</v>
      </c>
      <c r="C899" s="888" t="str">
        <f>IF(LEN('Translation-EN'!C899)&gt;0,'Translation-EN'!C899,"")</f>
        <v>A2</v>
      </c>
      <c r="D899" s="888" t="b">
        <f>IF(LEN('Translation-EN'!D899)&gt;0,'Translation-EN'!D899,"")</f>
        <v>1</v>
      </c>
      <c r="E899" s="1671"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899" s="1671"/>
      <c r="G899" s="1671"/>
      <c r="H899" s="1671"/>
      <c r="I899" s="1671"/>
      <c r="J899" s="1671"/>
      <c r="K899" s="1671"/>
      <c r="L899" s="1671"/>
      <c r="M899" s="1671"/>
      <c r="N899" s="1671"/>
      <c r="O899" s="1671"/>
      <c r="P899" s="1671"/>
      <c r="Q899" s="1671"/>
      <c r="R899" s="1671"/>
      <c r="S899" s="1671"/>
    </row>
    <row r="900" spans="1:19" x14ac:dyDescent="0.3">
      <c r="A900" s="888" t="str">
        <f>IF(LEN('Translation-EN'!A900)&gt;0,'Translation-EN'!A900,"")</f>
        <v>Range</v>
      </c>
      <c r="B900" s="888" t="str">
        <f>IF(LEN('Translation-EN'!B900)&gt;0,'Translation-EN'!B900,"")</f>
        <v>Ceilings</v>
      </c>
      <c r="C900" s="888" t="str">
        <f>IF(LEN('Translation-EN'!C900)&gt;0,'Translation-EN'!C900,"")</f>
        <v>A3</v>
      </c>
      <c r="D900" s="888" t="str">
        <f>IF(LEN('Translation-EN'!D900)&gt;0,'Translation-EN'!D900,"")</f>
        <v/>
      </c>
      <c r="E900" s="888" t="str">
        <f>$E$170</f>
        <v>CATÉGORIE</v>
      </c>
    </row>
    <row r="901" spans="1:19" x14ac:dyDescent="0.3">
      <c r="A901" s="888" t="str">
        <f>IF(LEN('Translation-EN'!A901)&gt;0,'Translation-EN'!A901,"")</f>
        <v>Range</v>
      </c>
      <c r="B901" s="888" t="str">
        <f>IF(LEN('Translation-EN'!B901)&gt;0,'Translation-EN'!B901,"")</f>
        <v>Ceilings</v>
      </c>
      <c r="C901" s="888" t="str">
        <f>IF(LEN('Translation-EN'!C901)&gt;0,'Translation-EN'!C901,"")</f>
        <v>C3</v>
      </c>
      <c r="D901" s="888" t="str">
        <f>IF(LEN('Translation-EN'!D901)&gt;0,'Translation-EN'!D901,"")</f>
        <v/>
      </c>
      <c r="E901" s="893" t="str">
        <f>$E$171</f>
        <v>MATÉRIAU</v>
      </c>
    </row>
    <row r="902" spans="1:19" x14ac:dyDescent="0.3">
      <c r="A902" s="888" t="str">
        <f>IF(LEN('Translation-EN'!A902)&gt;0,'Translation-EN'!A902,"")</f>
        <v>Range</v>
      </c>
      <c r="B902" s="888" t="str">
        <f>IF(LEN('Translation-EN'!B902)&gt;0,'Translation-EN'!B902,"")</f>
        <v>Ceilings</v>
      </c>
      <c r="C902" s="888" t="str">
        <f>IF(LEN('Translation-EN'!C902)&gt;0,'Translation-EN'!C902,"")</f>
        <v>D3</v>
      </c>
      <c r="D902" s="888" t="str">
        <f>IF(LEN('Translation-EN'!D902)&gt;0,'Translation-EN'!D902,"")</f>
        <v/>
      </c>
      <c r="E902" s="893" t="str">
        <f>$E$127</f>
        <v>QUANTITÉ</v>
      </c>
    </row>
    <row r="903" spans="1:19" x14ac:dyDescent="0.3">
      <c r="A903" s="888" t="str">
        <f>IF(LEN('Translation-EN'!A903)&gt;0,'Translation-EN'!A903,"")</f>
        <v>Range</v>
      </c>
      <c r="B903" s="888" t="str">
        <f>IF(LEN('Translation-EN'!B903)&gt;0,'Translation-EN'!B903,"")</f>
        <v>Ceilings</v>
      </c>
      <c r="C903" s="888" t="str">
        <f>IF(LEN('Translation-EN'!C903)&gt;0,'Translation-EN'!C903,"")</f>
        <v>H3</v>
      </c>
      <c r="D903" s="888" t="str">
        <f>IF(LEN('Translation-EN'!D903)&gt;0,'Translation-EN'!D903,"")</f>
        <v/>
      </c>
      <c r="E903" s="888" t="str">
        <f>$E$173</f>
        <v xml:space="preserve"> SÉLECTIONNER</v>
      </c>
    </row>
    <row r="904" spans="1:19" ht="15" customHeight="1" x14ac:dyDescent="0.3">
      <c r="A904" s="888" t="str">
        <f>IF(LEN('Translation-EN'!A904)&gt;0,'Translation-EN'!A904,"")</f>
        <v>Range</v>
      </c>
      <c r="B904" s="888" t="str">
        <f>IF(LEN('Translation-EN'!B904)&gt;0,'Translation-EN'!B904,"")</f>
        <v>_Ceilings</v>
      </c>
      <c r="C904" s="888" t="str">
        <f>IF(LEN('Translation-EN'!C904)&gt;0,'Translation-EN'!C904,"")</f>
        <v>I3</v>
      </c>
      <c r="D904" s="888" t="b">
        <f>IF(LEN('Translation-EN'!D904)&gt;0,'Translation-EN'!D904,"")</f>
        <v>1</v>
      </c>
      <c r="E904" s="1669" t="str">
        <f>$E$174</f>
        <v>ÉMISSIONS NETTES kgCO2e</v>
      </c>
    </row>
    <row r="905" spans="1:19" ht="15" customHeight="1" x14ac:dyDescent="0.3">
      <c r="A905" s="888" t="str">
        <f>IF(LEN('Translation-EN'!A905)&gt;0,'Translation-EN'!A905,"")</f>
        <v>-</v>
      </c>
      <c r="B905" s="888" t="str">
        <f>IF(LEN('Translation-EN'!B905)&gt;0,'Translation-EN'!B905,"")</f>
        <v/>
      </c>
      <c r="C905" s="888" t="str">
        <f>IF(LEN('Translation-EN'!C905)&gt;0,'Translation-EN'!C905,"")</f>
        <v/>
      </c>
      <c r="D905" s="888" t="str">
        <f>IF(LEN('Translation-EN'!D905)&gt;0,'Translation-EN'!D905,"")</f>
        <v/>
      </c>
      <c r="E905" s="1669"/>
    </row>
    <row r="906" spans="1:19" ht="24" customHeight="1" x14ac:dyDescent="0.3">
      <c r="A906" s="888" t="str">
        <f>IF(LEN('Translation-EN'!A906)&gt;0,'Translation-EN'!A906,"")</f>
        <v>Range</v>
      </c>
      <c r="B906" s="888" t="str">
        <f>IF(LEN('Translation-EN'!B906)&gt;0,'Translation-EN'!B906,"")</f>
        <v>_Ceilings</v>
      </c>
      <c r="C906" s="888" t="str">
        <f>IF(LEN('Translation-EN'!C906)&gt;0,'Translation-EN'!C906,"")</f>
        <v>J3</v>
      </c>
      <c r="D906" s="888" t="b">
        <f>IF(LEN('Translation-EN'!D906)&gt;0,'Translation-EN'!D906,"")</f>
        <v>1</v>
      </c>
      <c r="E906" s="1669" t="str">
        <f>$E$176</f>
        <v>CONTENU DE kgCO2e DANS LE MATÉRIAU SÉLECTIONNÉ</v>
      </c>
    </row>
    <row r="907" spans="1:19" ht="15" customHeight="1" x14ac:dyDescent="0.3">
      <c r="A907" s="888" t="str">
        <f>IF(LEN('Translation-EN'!A907)&gt;0,'Translation-EN'!A907,"")</f>
        <v>-</v>
      </c>
      <c r="B907" s="888" t="str">
        <f>IF(LEN('Translation-EN'!B907)&gt;0,'Translation-EN'!B907,"")</f>
        <v/>
      </c>
      <c r="C907" s="888" t="str">
        <f>IF(LEN('Translation-EN'!C907)&gt;0,'Translation-EN'!C907,"")</f>
        <v/>
      </c>
      <c r="D907" s="888" t="str">
        <f>IF(LEN('Translation-EN'!D907)&gt;0,'Translation-EN'!D907,"")</f>
        <v/>
      </c>
      <c r="E907" s="1670"/>
    </row>
    <row r="908" spans="1:19" ht="15" customHeight="1" x14ac:dyDescent="0.3">
      <c r="A908" s="888" t="str">
        <f>IF(LEN('Translation-EN'!A908)&gt;0,'Translation-EN'!A908,"")</f>
        <v>Range</v>
      </c>
      <c r="B908" s="888" t="str">
        <f>IF(LEN('Translation-EN'!B908)&gt;0,'Translation-EN'!B908,"")</f>
        <v>Ceilings</v>
      </c>
      <c r="C908" s="888" t="str">
        <f>IF(LEN('Translation-EN'!C908)&gt;0,'Translation-EN'!C908,"")</f>
        <v>K3</v>
      </c>
      <c r="D908" s="888" t="b">
        <f>IF(LEN('Translation-EN'!D908)&gt;0,'Translation-EN'!D908,"")</f>
        <v>1</v>
      </c>
      <c r="E908" s="1669" t="str">
        <f>$E$178</f>
        <v xml:space="preserve">ÉMISSIONS EN kgCO2e </v>
      </c>
    </row>
    <row r="909" spans="1:19" ht="15" customHeight="1" x14ac:dyDescent="0.3">
      <c r="A909" s="888" t="str">
        <f>IF(LEN('Translation-EN'!A909)&gt;0,'Translation-EN'!A909,"")</f>
        <v>-</v>
      </c>
      <c r="B909" s="888" t="str">
        <f>IF(LEN('Translation-EN'!B909)&gt;0,'Translation-EN'!B909,"")</f>
        <v/>
      </c>
      <c r="C909" s="888" t="str">
        <f>IF(LEN('Translation-EN'!C909)&gt;0,'Translation-EN'!C909,"")</f>
        <v/>
      </c>
      <c r="D909" s="888" t="str">
        <f>IF(LEN('Translation-EN'!D909)&gt;0,'Translation-EN'!D909,"")</f>
        <v/>
      </c>
      <c r="E909" s="1670"/>
    </row>
    <row r="910" spans="1:19" ht="15" customHeight="1" x14ac:dyDescent="0.3">
      <c r="A910" s="888" t="str">
        <f>IF(LEN('Translation-EN'!A910)&gt;0,'Translation-EN'!A910,"")</f>
        <v>Range</v>
      </c>
      <c r="B910" s="888" t="str">
        <f>IF(LEN('Translation-EN'!B910)&gt;0,'Translation-EN'!B910,"")</f>
        <v>Ceilings</v>
      </c>
      <c r="C910" s="888" t="str">
        <f>IF(LEN('Translation-EN'!C910)&gt;0,'Translation-EN'!C910,"")</f>
        <v>L3</v>
      </c>
      <c r="D910" s="888" t="b">
        <f>IF(LEN('Translation-EN'!D910)&gt;0,'Translation-EN'!D910,"")</f>
        <v>1</v>
      </c>
      <c r="E910" s="1669" t="str">
        <f>$E$180</f>
        <v>STOCKAGE kgCO₂</v>
      </c>
    </row>
    <row r="911" spans="1:19" ht="15" customHeight="1" x14ac:dyDescent="0.3">
      <c r="A911" s="888" t="str">
        <f>IF(LEN('Translation-EN'!A911)&gt;0,'Translation-EN'!A911,"")</f>
        <v>-</v>
      </c>
      <c r="B911" s="888" t="str">
        <f>IF(LEN('Translation-EN'!B911)&gt;0,'Translation-EN'!B911,"")</f>
        <v/>
      </c>
      <c r="C911" s="888" t="str">
        <f>IF(LEN('Translation-EN'!C911)&gt;0,'Translation-EN'!C911,"")</f>
        <v/>
      </c>
      <c r="D911" s="888" t="str">
        <f>IF(LEN('Translation-EN'!D911)&gt;0,'Translation-EN'!D911,"")</f>
        <v/>
      </c>
      <c r="E911" s="1670"/>
    </row>
    <row r="912" spans="1:19" ht="15" customHeight="1" x14ac:dyDescent="0.3">
      <c r="A912" s="888" t="str">
        <f>IF(LEN('Translation-EN'!A912)&gt;0,'Translation-EN'!A912,"")</f>
        <v>Range</v>
      </c>
      <c r="B912" s="888" t="str">
        <f>IF(LEN('Translation-EN'!B912)&gt;0,'Translation-EN'!B912,"")</f>
        <v>Ceilings</v>
      </c>
      <c r="C912" s="888" t="str">
        <f>IF(LEN('Translation-EN'!C912)&gt;0,'Translation-EN'!C912,"")</f>
        <v>M3</v>
      </c>
      <c r="D912" s="888" t="b">
        <f>IF(LEN('Translation-EN'!D912)&gt;0,'Translation-EN'!D912,"")</f>
        <v>1</v>
      </c>
      <c r="E912" s="1520" t="str">
        <f>$E$182</f>
        <v xml:space="preserve">  Note</v>
      </c>
      <c r="F912" s="1520"/>
    </row>
    <row r="913" spans="1:6" ht="15" customHeight="1" x14ac:dyDescent="0.3">
      <c r="A913" s="888" t="str">
        <f>IF(LEN('Translation-EN'!A913)&gt;0,'Translation-EN'!A913,"")</f>
        <v>-</v>
      </c>
      <c r="B913" s="888" t="str">
        <f>IF(LEN('Translation-EN'!B913)&gt;0,'Translation-EN'!B913,"")</f>
        <v/>
      </c>
      <c r="C913" s="888" t="str">
        <f>IF(LEN('Translation-EN'!C913)&gt;0,'Translation-EN'!C913,"")</f>
        <v/>
      </c>
      <c r="D913" s="888" t="str">
        <f>IF(LEN('Translation-EN'!D913)&gt;0,'Translation-EN'!D913,"")</f>
        <v/>
      </c>
      <c r="E913" s="1520"/>
      <c r="F913" s="1520"/>
    </row>
    <row r="914" spans="1:6" ht="15" customHeight="1" x14ac:dyDescent="0.3">
      <c r="A914" s="888" t="str">
        <f>IF(LEN('Translation-EN'!A914)&gt;0,'Translation-EN'!A914,"")</f>
        <v>Range</v>
      </c>
      <c r="B914" s="888" t="str">
        <f>IF(LEN('Translation-EN'!B914)&gt;0,'Translation-EN'!B914,"")</f>
        <v>_Ceilings</v>
      </c>
      <c r="C914" s="888" t="str">
        <f>IF(LEN('Translation-EN'!C914)&gt;0,'Translation-EN'!C914,"")</f>
        <v>N3</v>
      </c>
      <c r="D914" s="888" t="b">
        <f>IF(LEN('Translation-EN'!D914)&gt;0,'Translation-EN'!D914,"")</f>
        <v>1</v>
      </c>
      <c r="E914" s="1669" t="str">
        <f>$E$184</f>
        <v>Inclure le cycle long</v>
      </c>
    </row>
    <row r="915" spans="1:6" ht="15" customHeight="1" x14ac:dyDescent="0.3">
      <c r="A915" s="888" t="str">
        <f>IF(LEN('Translation-EN'!A915)&gt;0,'Translation-EN'!A915,"")</f>
        <v>-</v>
      </c>
      <c r="B915" s="888" t="str">
        <f>IF(LEN('Translation-EN'!B915)&gt;0,'Translation-EN'!B915,"")</f>
        <v/>
      </c>
      <c r="C915" s="888" t="str">
        <f>IF(LEN('Translation-EN'!C915)&gt;0,'Translation-EN'!C915,"")</f>
        <v/>
      </c>
      <c r="D915" s="888" t="str">
        <f>IF(LEN('Translation-EN'!D915)&gt;0,'Translation-EN'!D915,"")</f>
        <v/>
      </c>
      <c r="E915" s="1670"/>
    </row>
    <row r="916" spans="1:6" ht="17.399999999999999" x14ac:dyDescent="0.3">
      <c r="A916" s="888" t="str">
        <f>IF(LEN('Translation-EN'!A916)&gt;0,'Translation-EN'!A916,"")</f>
        <v>Range</v>
      </c>
      <c r="B916" s="888" t="str">
        <f>IF(LEN('Translation-EN'!B916)&gt;0,'Translation-EN'!B916,"")</f>
        <v>Ceilings</v>
      </c>
      <c r="C916" s="888" t="str">
        <f>IF(LEN('Translation-EN'!C916)&gt;0,'Translation-EN'!C916,"")</f>
        <v>O3</v>
      </c>
      <c r="D916" s="888" t="b">
        <f>IF(LEN('Translation-EN'!D916)&gt;0,'Translation-EN'!D916,"")</f>
        <v>1</v>
      </c>
      <c r="E916" s="1035" t="s">
        <v>7406</v>
      </c>
    </row>
    <row r="917" spans="1:6" ht="17.399999999999999" x14ac:dyDescent="0.3">
      <c r="A917" s="888" t="str">
        <f>IF(LEN('Translation-EN'!A917)&gt;0,'Translation-EN'!A917,"")</f>
        <v>Range</v>
      </c>
      <c r="B917" s="888" t="str">
        <f>IF(LEN('Translation-EN'!B917)&gt;0,'Translation-EN'!B917,"")</f>
        <v>Ceilings</v>
      </c>
      <c r="C917" s="888" t="str">
        <f>IF(LEN('Translation-EN'!C917)&gt;0,'Translation-EN'!C917,"")</f>
        <v>P3</v>
      </c>
      <c r="D917" s="888" t="b">
        <f>IF(LEN('Translation-EN'!D917)&gt;0,'Translation-EN'!D917,"")</f>
        <v>1</v>
      </c>
      <c r="E917" s="1035" t="s">
        <v>7407</v>
      </c>
    </row>
    <row r="918" spans="1:6" x14ac:dyDescent="0.3">
      <c r="A918" s="888" t="str">
        <f>IF(LEN('Translation-EN'!A918)&gt;0,'Translation-EN'!A918,"")</f>
        <v>Range</v>
      </c>
      <c r="B918" s="888" t="str">
        <f>IF(LEN('Translation-EN'!B918)&gt;0,'Translation-EN'!B918,"")</f>
        <v>Ceilings</v>
      </c>
      <c r="C918" s="888" t="str">
        <f>IF(LEN('Translation-EN'!C918)&gt;0,'Translation-EN'!C918,"")</f>
        <v>A5</v>
      </c>
      <c r="D918" s="888" t="str">
        <f>IF(LEN('Translation-EN'!D918)&gt;0,'Translation-EN'!D918,"")</f>
        <v/>
      </c>
      <c r="E918" s="893" t="s">
        <v>3059</v>
      </c>
    </row>
    <row r="919" spans="1:6" x14ac:dyDescent="0.3">
      <c r="A919" s="888" t="str">
        <f>IF(LEN('Translation-EN'!A919)&gt;0,'Translation-EN'!A919,"")</f>
        <v>Range</v>
      </c>
      <c r="B919" s="888" t="str">
        <f>IF(LEN('Translation-EN'!B919)&gt;0,'Translation-EN'!B919,"")</f>
        <v>Ceilings</v>
      </c>
      <c r="C919" s="888" t="str">
        <f>IF(LEN('Translation-EN'!C919)&gt;0,'Translation-EN'!C919,"")</f>
        <v>B6</v>
      </c>
      <c r="D919" s="888" t="str">
        <f>IF(LEN('Translation-EN'!D919)&gt;0,'Translation-EN'!D919,"")</f>
        <v/>
      </c>
      <c r="E919" s="893" t="str">
        <f>$E$361</f>
        <v>CLOISONS SÈCHES 1/2 po</v>
      </c>
    </row>
    <row r="920" spans="1:6" x14ac:dyDescent="0.3">
      <c r="A920" s="888" t="str">
        <f>IF(LEN('Translation-EN'!A920)&gt;0,'Translation-EN'!A920,"")</f>
        <v>Range</v>
      </c>
      <c r="B920" s="888" t="str">
        <f>IF(LEN('Translation-EN'!B920)&gt;0,'Translation-EN'!B920,"")</f>
        <v>Ceilings</v>
      </c>
      <c r="C920" s="888" t="str">
        <f>IF(LEN('Translation-EN'!C920)&gt;0,'Translation-EN'!C920,"")</f>
        <v>C7</v>
      </c>
      <c r="D920" s="888" t="str">
        <f>IF(LEN('Translation-EN'!D920)&gt;0,'Translation-EN'!D920,"")</f>
        <v/>
      </c>
      <c r="E920" s="893" t="s">
        <v>4010</v>
      </c>
    </row>
    <row r="921" spans="1:6" x14ac:dyDescent="0.3">
      <c r="A921" s="888" t="str">
        <f>IF(LEN('Translation-EN'!A921)&gt;0,'Translation-EN'!A921,"")</f>
        <v>Range</v>
      </c>
      <c r="B921" s="888" t="str">
        <f>IF(LEN('Translation-EN'!B921)&gt;0,'Translation-EN'!B921,"")</f>
        <v>Ceilings</v>
      </c>
      <c r="C921" s="888" t="str">
        <f>IF(LEN('Translation-EN'!C921)&gt;0,'Translation-EN'!C921,"")</f>
        <v>B10</v>
      </c>
      <c r="D921" s="888" t="str">
        <f>IF(LEN('Translation-EN'!D921)&gt;0,'Translation-EN'!D921,"")</f>
        <v/>
      </c>
      <c r="E921" s="893" t="str">
        <f>$E$363</f>
        <v>CLOISONS SÈCHES 5/8 po</v>
      </c>
    </row>
    <row r="922" spans="1:6" x14ac:dyDescent="0.3">
      <c r="A922" s="888" t="str">
        <f>IF(LEN('Translation-EN'!A922)&gt;0,'Translation-EN'!A922,"")</f>
        <v>Range</v>
      </c>
      <c r="B922" s="888" t="str">
        <f>IF(LEN('Translation-EN'!B922)&gt;0,'Translation-EN'!B922,"")</f>
        <v>Ceilings</v>
      </c>
      <c r="C922" s="888" t="str">
        <f>IF(LEN('Translation-EN'!C922)&gt;0,'Translation-EN'!C922,"")</f>
        <v>C11</v>
      </c>
      <c r="D922" s="888" t="str">
        <f>IF(LEN('Translation-EN'!D922)&gt;0,'Translation-EN'!D922,"")</f>
        <v/>
      </c>
      <c r="E922" s="893" t="s">
        <v>4011</v>
      </c>
    </row>
    <row r="923" spans="1:6" x14ac:dyDescent="0.3">
      <c r="A923" s="888" t="str">
        <f>IF(LEN('Translation-EN'!A923)&gt;0,'Translation-EN'!A923,"")</f>
        <v>Range</v>
      </c>
      <c r="B923" s="888" t="str">
        <f>IF(LEN('Translation-EN'!B923)&gt;0,'Translation-EN'!B923,"")</f>
        <v>Ceilings</v>
      </c>
      <c r="C923" s="888" t="str">
        <f>IF(LEN('Translation-EN'!C923)&gt;0,'Translation-EN'!C923,"")</f>
        <v>B15</v>
      </c>
      <c r="D923" s="888" t="str">
        <f>IF(LEN('Translation-EN'!D923)&gt;0,'Translation-EN'!D923,"")</f>
        <v/>
      </c>
      <c r="E923" s="893" t="s">
        <v>3060</v>
      </c>
    </row>
    <row r="924" spans="1:6" x14ac:dyDescent="0.3">
      <c r="A924" s="888" t="str">
        <f>IF(LEN('Translation-EN'!A924)&gt;0,'Translation-EN'!A924,"")</f>
        <v>Range</v>
      </c>
      <c r="B924" s="888" t="str">
        <f>IF(LEN('Translation-EN'!B924)&gt;0,'Translation-EN'!B924,"")</f>
        <v>Ceilings</v>
      </c>
      <c r="C924" s="888" t="str">
        <f>IF(LEN('Translation-EN'!C924)&gt;0,'Translation-EN'!C924,"")</f>
        <v>A28</v>
      </c>
      <c r="D924" s="888" t="str">
        <f>IF(LEN('Translation-EN'!D924)&gt;0,'Translation-EN'!D924,"")</f>
        <v/>
      </c>
      <c r="E924" s="945" t="str">
        <f>$E$232</f>
        <v>BARRIÈRES ET MEMBRANES</v>
      </c>
    </row>
    <row r="925" spans="1:6" x14ac:dyDescent="0.3">
      <c r="A925" s="888" t="str">
        <f>IF(LEN('Translation-EN'!A925)&gt;0,'Translation-EN'!A925,"")</f>
        <v>Range</v>
      </c>
      <c r="B925" s="888" t="str">
        <f>IF(LEN('Translation-EN'!B925)&gt;0,'Translation-EN'!B925,"")</f>
        <v>Ceilings</v>
      </c>
      <c r="C925" s="888" t="str">
        <f>IF(LEN('Translation-EN'!C925)&gt;0,'Translation-EN'!C925,"")</f>
        <v>B29</v>
      </c>
      <c r="D925" s="888" t="str">
        <f>IF(LEN('Translation-EN'!D925)&gt;0,'Translation-EN'!D925,"")</f>
        <v/>
      </c>
      <c r="E925" s="893" t="s">
        <v>5081</v>
      </c>
    </row>
    <row r="926" spans="1:6" x14ac:dyDescent="0.3">
      <c r="A926" s="888" t="str">
        <f>IF(LEN('Translation-EN'!A926)&gt;0,'Translation-EN'!A926,"")</f>
        <v>Range</v>
      </c>
      <c r="B926" s="888" t="str">
        <f>IF(LEN('Translation-EN'!B926)&gt;0,'Translation-EN'!B926,"")</f>
        <v>Ceilings</v>
      </c>
      <c r="C926" s="888" t="str">
        <f>IF(LEN('Translation-EN'!C926)&gt;0,'Translation-EN'!C926,"")</f>
        <v>C30</v>
      </c>
      <c r="D926" s="888" t="str">
        <f>IF(LEN('Translation-EN'!D926)&gt;0,'Translation-EN'!D926,"")</f>
        <v/>
      </c>
      <c r="E926" s="893" t="s">
        <v>5082</v>
      </c>
    </row>
    <row r="927" spans="1:6" x14ac:dyDescent="0.3">
      <c r="A927" s="888" t="str">
        <f>IF(LEN('Translation-EN'!A927)&gt;0,'Translation-EN'!A927,"")</f>
        <v>Range</v>
      </c>
      <c r="B927" s="888" t="str">
        <f>IF(LEN('Translation-EN'!B927)&gt;0,'Translation-EN'!B927,"")</f>
        <v>Roof</v>
      </c>
      <c r="C927" s="888" t="str">
        <f>IF(LEN('Translation-EN'!C927)&gt;0,'Translation-EN'!C927,"")</f>
        <v>A1</v>
      </c>
      <c r="D927" s="888" t="str">
        <f>IF(LEN('Translation-EN'!D927)&gt;0,'Translation-EN'!D927,"")</f>
        <v/>
      </c>
      <c r="E927" s="893" t="s">
        <v>3061</v>
      </c>
    </row>
    <row r="928" spans="1:6" x14ac:dyDescent="0.3">
      <c r="A928" s="888" t="str">
        <f>IF(LEN('Translation-EN'!A928)&gt;0,'Translation-EN'!A928,"")</f>
        <v>Range</v>
      </c>
      <c r="B928" s="888" t="str">
        <f>IF(LEN('Translation-EN'!B928)&gt;0,'Translation-EN'!B928,"")</f>
        <v>Roof</v>
      </c>
      <c r="C928" s="888" t="str">
        <f>IF(LEN('Translation-EN'!C928)&gt;0,'Translation-EN'!C928,"")</f>
        <v>D1</v>
      </c>
      <c r="D928" s="888" t="str">
        <f>IF(LEN('Translation-EN'!D928)&gt;0,'Translation-EN'!D928,"")</f>
        <v/>
      </c>
      <c r="E928" s="893" t="s">
        <v>3062</v>
      </c>
    </row>
    <row r="929" spans="1:19" ht="206.4" customHeight="1" x14ac:dyDescent="0.3">
      <c r="A929" s="888" t="str">
        <f>IF(LEN('Translation-EN'!A929)&gt;0,'Translation-EN'!A929,"")</f>
        <v>Range</v>
      </c>
      <c r="B929" s="888" t="str">
        <f>IF(LEN('Translation-EN'!B929)&gt;0,'Translation-EN'!B929,"")</f>
        <v>Roof</v>
      </c>
      <c r="C929" s="888" t="str">
        <f>IF(LEN('Translation-EN'!C929)&gt;0,'Translation-EN'!C929,"")</f>
        <v>A2</v>
      </c>
      <c r="D929" s="888" t="b">
        <f>IF(LEN('Translation-EN'!D929)&gt;0,'Translation-EN'!D929,"")</f>
        <v>1</v>
      </c>
      <c r="E929" s="1671"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929" s="1671"/>
      <c r="G929" s="1671"/>
      <c r="H929" s="1671"/>
      <c r="I929" s="1671"/>
      <c r="J929" s="1671"/>
      <c r="K929" s="1671"/>
      <c r="L929" s="1671"/>
      <c r="M929" s="1671"/>
      <c r="N929" s="1671"/>
      <c r="O929" s="1671"/>
      <c r="P929" s="1671"/>
      <c r="Q929" s="1671"/>
      <c r="R929" s="1671"/>
      <c r="S929" s="1671"/>
    </row>
    <row r="930" spans="1:19" x14ac:dyDescent="0.3">
      <c r="A930" s="888" t="str">
        <f>IF(LEN('Translation-EN'!A930)&gt;0,'Translation-EN'!A930,"")</f>
        <v>Range</v>
      </c>
      <c r="B930" s="888" t="str">
        <f>IF(LEN('Translation-EN'!B930)&gt;0,'Translation-EN'!B930,"")</f>
        <v>Roof</v>
      </c>
      <c r="C930" s="888" t="str">
        <f>IF(LEN('Translation-EN'!C930)&gt;0,'Translation-EN'!C930,"")</f>
        <v>A3</v>
      </c>
      <c r="D930" s="888" t="str">
        <f>IF(LEN('Translation-EN'!D930)&gt;0,'Translation-EN'!D930,"")</f>
        <v/>
      </c>
      <c r="E930" s="888" t="str">
        <f>$E$170</f>
        <v>CATÉGORIE</v>
      </c>
    </row>
    <row r="931" spans="1:19" x14ac:dyDescent="0.3">
      <c r="A931" s="888" t="str">
        <f>IF(LEN('Translation-EN'!A931)&gt;0,'Translation-EN'!A931,"")</f>
        <v>Range</v>
      </c>
      <c r="B931" s="888" t="str">
        <f>IF(LEN('Translation-EN'!B931)&gt;0,'Translation-EN'!B931,"")</f>
        <v>Roof</v>
      </c>
      <c r="C931" s="888" t="str">
        <f>IF(LEN('Translation-EN'!C931)&gt;0,'Translation-EN'!C931,"")</f>
        <v>C3</v>
      </c>
      <c r="D931" s="888" t="str">
        <f>IF(LEN('Translation-EN'!D931)&gt;0,'Translation-EN'!D931,"")</f>
        <v/>
      </c>
      <c r="E931" s="893" t="str">
        <f>$E$171</f>
        <v>MATÉRIAU</v>
      </c>
    </row>
    <row r="932" spans="1:19" x14ac:dyDescent="0.3">
      <c r="A932" s="888" t="str">
        <f>IF(LEN('Translation-EN'!A932)&gt;0,'Translation-EN'!A932,"")</f>
        <v>Range</v>
      </c>
      <c r="B932" s="888" t="str">
        <f>IF(LEN('Translation-EN'!B932)&gt;0,'Translation-EN'!B932,"")</f>
        <v>Roof</v>
      </c>
      <c r="C932" s="888" t="str">
        <f>IF(LEN('Translation-EN'!C932)&gt;0,'Translation-EN'!C932,"")</f>
        <v>D3</v>
      </c>
      <c r="D932" s="888" t="str">
        <f>IF(LEN('Translation-EN'!D932)&gt;0,'Translation-EN'!D932,"")</f>
        <v/>
      </c>
      <c r="E932" s="893" t="str">
        <f>$E$127</f>
        <v>QUANTITÉ</v>
      </c>
    </row>
    <row r="933" spans="1:19" x14ac:dyDescent="0.3">
      <c r="A933" s="888" t="str">
        <f>IF(LEN('Translation-EN'!A933)&gt;0,'Translation-EN'!A933,"")</f>
        <v>Range</v>
      </c>
      <c r="B933" s="888" t="str">
        <f>IF(LEN('Translation-EN'!B933)&gt;0,'Translation-EN'!B933,"")</f>
        <v>Roof</v>
      </c>
      <c r="C933" s="888" t="str">
        <f>IF(LEN('Translation-EN'!C933)&gt;0,'Translation-EN'!C933,"")</f>
        <v>H3</v>
      </c>
      <c r="D933" s="888" t="str">
        <f>IF(LEN('Translation-EN'!D933)&gt;0,'Translation-EN'!D933,"")</f>
        <v/>
      </c>
      <c r="E933" s="888" t="str">
        <f>$E$173</f>
        <v xml:space="preserve"> SÉLECTIONNER</v>
      </c>
    </row>
    <row r="934" spans="1:19" ht="15" customHeight="1" x14ac:dyDescent="0.3">
      <c r="A934" s="888" t="str">
        <f>IF(LEN('Translation-EN'!A934)&gt;0,'Translation-EN'!A934,"")</f>
        <v>Range</v>
      </c>
      <c r="B934" s="888" t="str">
        <f>IF(LEN('Translation-EN'!B934)&gt;0,'Translation-EN'!B934,"")</f>
        <v>_Roof</v>
      </c>
      <c r="C934" s="888" t="str">
        <f>IF(LEN('Translation-EN'!C934)&gt;0,'Translation-EN'!C934,"")</f>
        <v>I3</v>
      </c>
      <c r="D934" s="888" t="b">
        <f>IF(LEN('Translation-EN'!D934)&gt;0,'Translation-EN'!D934,"")</f>
        <v>1</v>
      </c>
      <c r="E934" s="1669" t="str">
        <f>$E$174</f>
        <v>ÉMISSIONS NETTES kgCO2e</v>
      </c>
    </row>
    <row r="935" spans="1:19" s="893" customFormat="1" ht="15" customHeight="1" x14ac:dyDescent="0.3">
      <c r="A935" s="888" t="str">
        <f>IF(LEN('Translation-EN'!A935)&gt;0,'Translation-EN'!A935,"")</f>
        <v>-</v>
      </c>
      <c r="B935" s="888" t="str">
        <f>IF(LEN('Translation-EN'!B935)&gt;0,'Translation-EN'!B935,"")</f>
        <v/>
      </c>
      <c r="C935" s="888" t="str">
        <f>IF(LEN('Translation-EN'!C935)&gt;0,'Translation-EN'!C935,"")</f>
        <v/>
      </c>
      <c r="D935" s="888" t="str">
        <f>IF(LEN('Translation-EN'!D935)&gt;0,'Translation-EN'!D935,"")</f>
        <v/>
      </c>
      <c r="E935" s="1669"/>
      <c r="I935" s="888"/>
      <c r="J935" s="888"/>
      <c r="K935" s="888"/>
      <c r="L935" s="888"/>
      <c r="M935" s="888"/>
      <c r="N935" s="888"/>
      <c r="O935" s="888"/>
      <c r="P935" s="888"/>
      <c r="Q935" s="888"/>
      <c r="R935" s="888"/>
    </row>
    <row r="936" spans="1:19" s="893" customFormat="1" ht="27" customHeight="1" x14ac:dyDescent="0.3">
      <c r="A936" s="888" t="str">
        <f>IF(LEN('Translation-EN'!A936)&gt;0,'Translation-EN'!A936,"")</f>
        <v>Range</v>
      </c>
      <c r="B936" s="888" t="str">
        <f>IF(LEN('Translation-EN'!B936)&gt;0,'Translation-EN'!B936,"")</f>
        <v>_Roof</v>
      </c>
      <c r="C936" s="888" t="str">
        <f>IF(LEN('Translation-EN'!C936)&gt;0,'Translation-EN'!C936,"")</f>
        <v>J3</v>
      </c>
      <c r="D936" s="888" t="b">
        <f>IF(LEN('Translation-EN'!D936)&gt;0,'Translation-EN'!D936,"")</f>
        <v>1</v>
      </c>
      <c r="E936" s="1669" t="str">
        <f>$E$176</f>
        <v>CONTENU DE kgCO2e DANS LE MATÉRIAU SÉLECTIONNÉ</v>
      </c>
      <c r="I936" s="888"/>
      <c r="J936" s="888"/>
      <c r="K936" s="888"/>
      <c r="L936" s="888"/>
      <c r="M936" s="888"/>
      <c r="N936" s="888"/>
      <c r="O936" s="888"/>
      <c r="P936" s="888"/>
      <c r="Q936" s="888"/>
      <c r="R936" s="888"/>
    </row>
    <row r="937" spans="1:19" s="893" customFormat="1" ht="15" customHeight="1" x14ac:dyDescent="0.3">
      <c r="A937" s="888" t="str">
        <f>IF(LEN('Translation-EN'!A937)&gt;0,'Translation-EN'!A937,"")</f>
        <v>-</v>
      </c>
      <c r="B937" s="888" t="str">
        <f>IF(LEN('Translation-EN'!B937)&gt;0,'Translation-EN'!B937,"")</f>
        <v/>
      </c>
      <c r="C937" s="888" t="str">
        <f>IF(LEN('Translation-EN'!C937)&gt;0,'Translation-EN'!C937,"")</f>
        <v/>
      </c>
      <c r="D937" s="888" t="str">
        <f>IF(LEN('Translation-EN'!D937)&gt;0,'Translation-EN'!D937,"")</f>
        <v/>
      </c>
      <c r="E937" s="1670"/>
      <c r="I937" s="888"/>
      <c r="J937" s="888"/>
      <c r="K937" s="888"/>
      <c r="L937" s="888"/>
      <c r="M937" s="888"/>
      <c r="N937" s="888"/>
      <c r="O937" s="888"/>
      <c r="P937" s="888"/>
      <c r="Q937" s="888"/>
      <c r="R937" s="888"/>
    </row>
    <row r="938" spans="1:19" s="893" customFormat="1" ht="15" customHeight="1" x14ac:dyDescent="0.3">
      <c r="A938" s="888" t="str">
        <f>IF(LEN('Translation-EN'!A938)&gt;0,'Translation-EN'!A938,"")</f>
        <v>Range</v>
      </c>
      <c r="B938" s="888" t="str">
        <f>IF(LEN('Translation-EN'!B938)&gt;0,'Translation-EN'!B938,"")</f>
        <v>Roof</v>
      </c>
      <c r="C938" s="888" t="str">
        <f>IF(LEN('Translation-EN'!C938)&gt;0,'Translation-EN'!C938,"")</f>
        <v>K3</v>
      </c>
      <c r="D938" s="888" t="b">
        <f>IF(LEN('Translation-EN'!D938)&gt;0,'Translation-EN'!D938,"")</f>
        <v>1</v>
      </c>
      <c r="E938" s="1669" t="str">
        <f>$E$178</f>
        <v xml:space="preserve">ÉMISSIONS EN kgCO2e </v>
      </c>
      <c r="I938" s="888"/>
      <c r="J938" s="888"/>
      <c r="K938" s="888"/>
      <c r="L938" s="888"/>
      <c r="M938" s="888"/>
      <c r="N938" s="888"/>
      <c r="O938" s="888"/>
      <c r="P938" s="888"/>
      <c r="Q938" s="888"/>
      <c r="R938" s="888"/>
    </row>
    <row r="939" spans="1:19" s="893" customFormat="1" ht="15" customHeight="1" x14ac:dyDescent="0.3">
      <c r="A939" s="888" t="str">
        <f>IF(LEN('Translation-EN'!A939)&gt;0,'Translation-EN'!A939,"")</f>
        <v>-</v>
      </c>
      <c r="B939" s="888" t="str">
        <f>IF(LEN('Translation-EN'!B939)&gt;0,'Translation-EN'!B939,"")</f>
        <v/>
      </c>
      <c r="C939" s="888" t="str">
        <f>IF(LEN('Translation-EN'!C939)&gt;0,'Translation-EN'!C939,"")</f>
        <v/>
      </c>
      <c r="D939" s="888" t="str">
        <f>IF(LEN('Translation-EN'!D939)&gt;0,'Translation-EN'!D939,"")</f>
        <v/>
      </c>
      <c r="E939" s="1670"/>
      <c r="I939" s="888"/>
      <c r="J939" s="888"/>
      <c r="K939" s="888"/>
      <c r="L939" s="888"/>
      <c r="M939" s="888"/>
      <c r="N939" s="888"/>
      <c r="O939" s="888"/>
      <c r="P939" s="888"/>
      <c r="Q939" s="888"/>
      <c r="R939" s="888"/>
    </row>
    <row r="940" spans="1:19" s="893" customFormat="1" ht="15" customHeight="1" x14ac:dyDescent="0.3">
      <c r="A940" s="888" t="str">
        <f>IF(LEN('Translation-EN'!A940)&gt;0,'Translation-EN'!A940,"")</f>
        <v>Range</v>
      </c>
      <c r="B940" s="888" t="str">
        <f>IF(LEN('Translation-EN'!B940)&gt;0,'Translation-EN'!B940,"")</f>
        <v>Roof</v>
      </c>
      <c r="C940" s="888" t="str">
        <f>IF(LEN('Translation-EN'!C940)&gt;0,'Translation-EN'!C940,"")</f>
        <v>L3</v>
      </c>
      <c r="D940" s="888" t="b">
        <f>IF(LEN('Translation-EN'!D940)&gt;0,'Translation-EN'!D940,"")</f>
        <v>1</v>
      </c>
      <c r="E940" s="1669" t="str">
        <f>$E$180</f>
        <v>STOCKAGE kgCO₂</v>
      </c>
      <c r="I940" s="888"/>
      <c r="J940" s="888"/>
      <c r="K940" s="888"/>
      <c r="L940" s="888"/>
      <c r="M940" s="888"/>
      <c r="N940" s="888"/>
      <c r="O940" s="888"/>
      <c r="P940" s="888"/>
      <c r="Q940" s="888"/>
      <c r="R940" s="888"/>
    </row>
    <row r="941" spans="1:19" s="893" customFormat="1" ht="15" customHeight="1" x14ac:dyDescent="0.3">
      <c r="A941" s="888" t="str">
        <f>IF(LEN('Translation-EN'!A941)&gt;0,'Translation-EN'!A941,"")</f>
        <v>-</v>
      </c>
      <c r="B941" s="888" t="str">
        <f>IF(LEN('Translation-EN'!B941)&gt;0,'Translation-EN'!B941,"")</f>
        <v/>
      </c>
      <c r="C941" s="888" t="str">
        <f>IF(LEN('Translation-EN'!C941)&gt;0,'Translation-EN'!C941,"")</f>
        <v/>
      </c>
      <c r="D941" s="888" t="str">
        <f>IF(LEN('Translation-EN'!D941)&gt;0,'Translation-EN'!D941,"")</f>
        <v/>
      </c>
      <c r="E941" s="1670"/>
      <c r="I941" s="888"/>
      <c r="J941" s="888"/>
      <c r="K941" s="888"/>
      <c r="L941" s="888"/>
      <c r="M941" s="888"/>
      <c r="N941" s="888"/>
      <c r="O941" s="888"/>
      <c r="P941" s="888"/>
      <c r="Q941" s="888"/>
      <c r="R941" s="888"/>
    </row>
    <row r="942" spans="1:19" s="893" customFormat="1" ht="15" customHeight="1" x14ac:dyDescent="0.3">
      <c r="A942" s="888" t="str">
        <f>IF(LEN('Translation-EN'!A942)&gt;0,'Translation-EN'!A942,"")</f>
        <v>Range</v>
      </c>
      <c r="B942" s="888" t="str">
        <f>IF(LEN('Translation-EN'!B942)&gt;0,'Translation-EN'!B942,"")</f>
        <v>Roof</v>
      </c>
      <c r="C942" s="888" t="str">
        <f>IF(LEN('Translation-EN'!C942)&gt;0,'Translation-EN'!C942,"")</f>
        <v>M3</v>
      </c>
      <c r="D942" s="888" t="b">
        <f>IF(LEN('Translation-EN'!D942)&gt;0,'Translation-EN'!D942,"")</f>
        <v>1</v>
      </c>
      <c r="E942" s="1520" t="str">
        <f>$E$182</f>
        <v xml:space="preserve">  Note</v>
      </c>
      <c r="F942" s="1520"/>
      <c r="I942" s="888"/>
      <c r="J942" s="888"/>
      <c r="K942" s="888"/>
      <c r="L942" s="888"/>
      <c r="M942" s="888"/>
      <c r="N942" s="888"/>
      <c r="O942" s="888"/>
      <c r="P942" s="888"/>
      <c r="Q942" s="888"/>
      <c r="R942" s="888"/>
    </row>
    <row r="943" spans="1:19" s="893" customFormat="1" ht="15" customHeight="1" x14ac:dyDescent="0.3">
      <c r="A943" s="888" t="str">
        <f>IF(LEN('Translation-EN'!A943)&gt;0,'Translation-EN'!A943,"")</f>
        <v>-</v>
      </c>
      <c r="B943" s="888" t="str">
        <f>IF(LEN('Translation-EN'!B943)&gt;0,'Translation-EN'!B943,"")</f>
        <v/>
      </c>
      <c r="C943" s="888" t="str">
        <f>IF(LEN('Translation-EN'!C943)&gt;0,'Translation-EN'!C943,"")</f>
        <v/>
      </c>
      <c r="D943" s="888" t="str">
        <f>IF(LEN('Translation-EN'!D943)&gt;0,'Translation-EN'!D943,"")</f>
        <v/>
      </c>
      <c r="E943" s="1520"/>
      <c r="F943" s="1520"/>
      <c r="I943" s="888"/>
      <c r="J943" s="888"/>
      <c r="K943" s="888"/>
      <c r="L943" s="888"/>
      <c r="M943" s="888"/>
      <c r="N943" s="888"/>
      <c r="O943" s="888"/>
      <c r="P943" s="888"/>
      <c r="Q943" s="888"/>
      <c r="R943" s="888"/>
    </row>
    <row r="944" spans="1:19" s="893" customFormat="1" ht="15" customHeight="1" x14ac:dyDescent="0.3">
      <c r="A944" s="888" t="str">
        <f>IF(LEN('Translation-EN'!A944)&gt;0,'Translation-EN'!A944,"")</f>
        <v>Range</v>
      </c>
      <c r="B944" s="888" t="str">
        <f>IF(LEN('Translation-EN'!B944)&gt;0,'Translation-EN'!B944,"")</f>
        <v>_Roof</v>
      </c>
      <c r="C944" s="888" t="str">
        <f>IF(LEN('Translation-EN'!C944)&gt;0,'Translation-EN'!C944,"")</f>
        <v>N3</v>
      </c>
      <c r="D944" s="888" t="b">
        <f>IF(LEN('Translation-EN'!D944)&gt;0,'Translation-EN'!D944,"")</f>
        <v>1</v>
      </c>
      <c r="E944" s="1669" t="str">
        <f>$E$184</f>
        <v>Inclure le cycle long</v>
      </c>
      <c r="I944" s="888"/>
      <c r="J944" s="888"/>
      <c r="K944" s="888"/>
      <c r="L944" s="888"/>
      <c r="M944" s="888"/>
      <c r="N944" s="888"/>
      <c r="O944" s="888"/>
      <c r="P944" s="888"/>
      <c r="Q944" s="888"/>
      <c r="R944" s="888"/>
    </row>
    <row r="945" spans="1:18" s="893" customFormat="1" ht="15" customHeight="1" x14ac:dyDescent="0.3">
      <c r="A945" s="888" t="str">
        <f>IF(LEN('Translation-EN'!A945)&gt;0,'Translation-EN'!A945,"")</f>
        <v>-</v>
      </c>
      <c r="B945" s="888" t="str">
        <f>IF(LEN('Translation-EN'!B945)&gt;0,'Translation-EN'!B945,"")</f>
        <v/>
      </c>
      <c r="C945" s="888" t="str">
        <f>IF(LEN('Translation-EN'!C945)&gt;0,'Translation-EN'!C945,"")</f>
        <v/>
      </c>
      <c r="D945" s="888" t="str">
        <f>IF(LEN('Translation-EN'!D945)&gt;0,'Translation-EN'!D945,"")</f>
        <v/>
      </c>
      <c r="E945" s="1670"/>
      <c r="I945" s="888"/>
      <c r="J945" s="888"/>
      <c r="K945" s="888"/>
      <c r="L945" s="888"/>
      <c r="M945" s="888"/>
      <c r="N945" s="888"/>
      <c r="O945" s="888"/>
      <c r="P945" s="888"/>
      <c r="Q945" s="888"/>
      <c r="R945" s="888"/>
    </row>
    <row r="946" spans="1:18" s="893" customFormat="1" ht="17.399999999999999" x14ac:dyDescent="0.3">
      <c r="A946" s="888" t="str">
        <f>IF(LEN('Translation-EN'!A946)&gt;0,'Translation-EN'!A946,"")</f>
        <v>Range</v>
      </c>
      <c r="B946" s="888" t="str">
        <f>IF(LEN('Translation-EN'!B946)&gt;0,'Translation-EN'!B946,"")</f>
        <v>Roof</v>
      </c>
      <c r="C946" s="888" t="str">
        <f>IF(LEN('Translation-EN'!C946)&gt;0,'Translation-EN'!C946,"")</f>
        <v>O3</v>
      </c>
      <c r="D946" s="888" t="b">
        <f>IF(LEN('Translation-EN'!D946)&gt;0,'Translation-EN'!D946,"")</f>
        <v>1</v>
      </c>
      <c r="E946" s="1035" t="s">
        <v>7408</v>
      </c>
      <c r="I946" s="888"/>
      <c r="J946" s="888"/>
      <c r="K946" s="888"/>
      <c r="L946" s="888"/>
      <c r="M946" s="888"/>
      <c r="N946" s="888"/>
      <c r="O946" s="888"/>
      <c r="P946" s="888"/>
      <c r="Q946" s="888"/>
      <c r="R946" s="888"/>
    </row>
    <row r="947" spans="1:18" s="893" customFormat="1" ht="17.399999999999999" x14ac:dyDescent="0.3">
      <c r="A947" s="888" t="str">
        <f>IF(LEN('Translation-EN'!A947)&gt;0,'Translation-EN'!A947,"")</f>
        <v>Range</v>
      </c>
      <c r="B947" s="888" t="str">
        <f>IF(LEN('Translation-EN'!B947)&gt;0,'Translation-EN'!B947,"")</f>
        <v>Roof</v>
      </c>
      <c r="C947" s="888" t="str">
        <f>IF(LEN('Translation-EN'!C947)&gt;0,'Translation-EN'!C947,"")</f>
        <v>P3</v>
      </c>
      <c r="D947" s="888" t="b">
        <f>IF(LEN('Translation-EN'!D947)&gt;0,'Translation-EN'!D947,"")</f>
        <v>1</v>
      </c>
      <c r="E947" s="1035" t="s">
        <v>7409</v>
      </c>
      <c r="I947" s="888"/>
      <c r="J947" s="888"/>
      <c r="K947" s="888"/>
      <c r="L947" s="888"/>
      <c r="M947" s="888"/>
      <c r="N947" s="888"/>
      <c r="O947" s="888"/>
      <c r="P947" s="888"/>
      <c r="Q947" s="888"/>
      <c r="R947" s="888"/>
    </row>
    <row r="948" spans="1:18" s="893" customFormat="1" x14ac:dyDescent="0.3">
      <c r="A948" s="888" t="str">
        <f>IF(LEN('Translation-EN'!A948)&gt;0,'Translation-EN'!A948,"")</f>
        <v>Range</v>
      </c>
      <c r="B948" s="888" t="str">
        <f>IF(LEN('Translation-EN'!B948)&gt;0,'Translation-EN'!B948,"")</f>
        <v>Roof</v>
      </c>
      <c r="C948" s="888" t="str">
        <f>IF(LEN('Translation-EN'!C948)&gt;0,'Translation-EN'!C948,"")</f>
        <v>A5</v>
      </c>
      <c r="D948" s="888" t="str">
        <f>IF(LEN('Translation-EN'!D948)&gt;0,'Translation-EN'!D948,"")</f>
        <v/>
      </c>
      <c r="E948" s="893" t="s">
        <v>3063</v>
      </c>
      <c r="I948" s="888"/>
      <c r="J948" s="888"/>
      <c r="K948" s="888"/>
      <c r="L948" s="888"/>
      <c r="M948" s="888"/>
      <c r="N948" s="888"/>
      <c r="O948" s="888"/>
      <c r="P948" s="888"/>
      <c r="Q948" s="888"/>
      <c r="R948" s="888"/>
    </row>
    <row r="949" spans="1:18" s="893" customFormat="1" x14ac:dyDescent="0.3">
      <c r="A949" s="888" t="str">
        <f>IF(LEN('Translation-EN'!A949)&gt;0,'Translation-EN'!A949,"")</f>
        <v>Range</v>
      </c>
      <c r="B949" s="888" t="str">
        <f>IF(LEN('Translation-EN'!B949)&gt;0,'Translation-EN'!B949,"")</f>
        <v>Roof</v>
      </c>
      <c r="C949" s="888" t="str">
        <f>IF(LEN('Translation-EN'!C949)&gt;0,'Translation-EN'!C949,"")</f>
        <v>D5</v>
      </c>
      <c r="D949" s="888" t="str">
        <f>IF(LEN('Translation-EN'!D949)&gt;0,'Translation-EN'!D949,"")</f>
        <v/>
      </c>
      <c r="E949" s="893" t="str">
        <f>$E$325</f>
        <v>L’ESPACEMENT DES CHARPENTES :</v>
      </c>
      <c r="I949" s="888"/>
      <c r="J949" s="888"/>
      <c r="K949" s="888"/>
      <c r="L949" s="888"/>
      <c r="M949" s="888"/>
      <c r="N949" s="888"/>
      <c r="O949" s="888"/>
      <c r="P949" s="888"/>
      <c r="Q949" s="888"/>
      <c r="R949" s="888"/>
    </row>
    <row r="950" spans="1:18" s="893" customFormat="1" x14ac:dyDescent="0.3">
      <c r="A950" s="888" t="str">
        <f>IF(LEN('Translation-EN'!A950)&gt;0,'Translation-EN'!A950,"")</f>
        <v>Range</v>
      </c>
      <c r="B950" s="888" t="str">
        <f>IF(LEN('Translation-EN'!B950)&gt;0,'Translation-EN'!B950,"")</f>
        <v>_Roof</v>
      </c>
      <c r="C950" s="888" t="str">
        <f>IF(LEN('Translation-EN'!C950)&gt;0,'Translation-EN'!C950,"")</f>
        <v>B6</v>
      </c>
      <c r="D950" s="888" t="str">
        <f>IF(LEN('Translation-EN'!D950)&gt;0,'Translation-EN'!D950,"")</f>
        <v/>
      </c>
      <c r="E950" s="893" t="s">
        <v>3064</v>
      </c>
      <c r="I950" s="888"/>
      <c r="J950" s="888"/>
      <c r="K950" s="888"/>
      <c r="L950" s="888"/>
      <c r="M950" s="888"/>
      <c r="N950" s="888"/>
      <c r="O950" s="888"/>
      <c r="P950" s="888"/>
      <c r="Q950" s="888"/>
      <c r="R950" s="888"/>
    </row>
    <row r="951" spans="1:18" s="893" customFormat="1" x14ac:dyDescent="0.3">
      <c r="A951" s="888" t="str">
        <f>IF(LEN('Translation-EN'!A951)&gt;0,'Translation-EN'!A951,"")</f>
        <v>Range</v>
      </c>
      <c r="B951" s="888" t="str">
        <f>IF(LEN('Translation-EN'!B951)&gt;0,'Translation-EN'!B951,"")</f>
        <v>Roof</v>
      </c>
      <c r="C951" s="888" t="str">
        <f>IF(LEN('Translation-EN'!C951)&gt;0,'Translation-EN'!C951,"")</f>
        <v>B6</v>
      </c>
      <c r="D951" s="888" t="str">
        <f>IF(LEN('Translation-EN'!D951)&gt;0,'Translation-EN'!D951,"")</f>
        <v/>
      </c>
      <c r="E951" s="952" t="s">
        <v>7596</v>
      </c>
      <c r="I951" s="888"/>
      <c r="J951" s="888"/>
      <c r="K951" s="888"/>
      <c r="L951" s="888"/>
      <c r="M951" s="888"/>
      <c r="N951" s="888"/>
      <c r="O951" s="888"/>
      <c r="P951" s="888"/>
      <c r="Q951" s="888"/>
      <c r="R951" s="888"/>
    </row>
    <row r="952" spans="1:18" s="893" customFormat="1" x14ac:dyDescent="0.3">
      <c r="A952" s="888" t="str">
        <f>IF(LEN('Translation-EN'!A952)&gt;0,'Translation-EN'!A952,"")</f>
        <v>Range</v>
      </c>
      <c r="B952" s="888" t="str">
        <f>IF(LEN('Translation-EN'!B952)&gt;0,'Translation-EN'!B952,"")</f>
        <v>Roof</v>
      </c>
      <c r="C952" s="888" t="str">
        <f>IF(LEN('Translation-EN'!C952)&gt;0,'Translation-EN'!C952,"")</f>
        <v>B13</v>
      </c>
      <c r="D952" s="888" t="str">
        <f>IF(LEN('Translation-EN'!D952)&gt;0,'Translation-EN'!D952,"")</f>
        <v/>
      </c>
      <c r="E952" s="952" t="s">
        <v>7597</v>
      </c>
      <c r="I952" s="888"/>
      <c r="J952" s="888"/>
      <c r="K952" s="888"/>
      <c r="L952" s="888"/>
      <c r="M952" s="888"/>
      <c r="N952" s="888"/>
      <c r="O952" s="888"/>
      <c r="P952" s="888"/>
      <c r="Q952" s="888"/>
      <c r="R952" s="888"/>
    </row>
    <row r="953" spans="1:18" s="893" customFormat="1" x14ac:dyDescent="0.3">
      <c r="A953" s="888" t="str">
        <f>IF(LEN('Translation-EN'!A953)&gt;0,'Translation-EN'!A953,"")</f>
        <v>Range</v>
      </c>
      <c r="B953" s="888" t="str">
        <f>IF(LEN('Translation-EN'!B953)&gt;0,'Translation-EN'!B953,"")</f>
        <v>Roof</v>
      </c>
      <c r="C953" s="888" t="str">
        <f>IF(LEN('Translation-EN'!C953)&gt;0,'Translation-EN'!C953,"")</f>
        <v>B20</v>
      </c>
      <c r="D953" s="888" t="str">
        <f>IF(LEN('Translation-EN'!D953)&gt;0,'Translation-EN'!D953,"")</f>
        <v/>
      </c>
      <c r="E953" s="952" t="s">
        <v>7598</v>
      </c>
      <c r="I953" s="888"/>
      <c r="J953" s="888"/>
      <c r="K953" s="888"/>
      <c r="L953" s="888"/>
      <c r="M953" s="888"/>
      <c r="N953" s="888"/>
      <c r="O953" s="888"/>
      <c r="P953" s="888"/>
      <c r="Q953" s="888"/>
      <c r="R953" s="888"/>
    </row>
    <row r="954" spans="1:18" s="893" customFormat="1" x14ac:dyDescent="0.3">
      <c r="A954" s="888" t="str">
        <f>IF(LEN('Translation-EN'!A954)&gt;0,'Translation-EN'!A954,"")</f>
        <v>Range</v>
      </c>
      <c r="B954" s="888" t="str">
        <f>IF(LEN('Translation-EN'!B954)&gt;0,'Translation-EN'!B954,"")</f>
        <v>Roof</v>
      </c>
      <c r="C954" s="888" t="str">
        <f>IF(LEN('Translation-EN'!C954)&gt;0,'Translation-EN'!C954,"")</f>
        <v>B27</v>
      </c>
      <c r="D954" s="888" t="str">
        <f>IF(LEN('Translation-EN'!D954)&gt;0,'Translation-EN'!D954,"")</f>
        <v/>
      </c>
      <c r="E954" s="952" t="s">
        <v>7599</v>
      </c>
      <c r="I954" s="888"/>
      <c r="J954" s="888"/>
      <c r="K954" s="888"/>
      <c r="L954" s="888"/>
      <c r="M954" s="888"/>
      <c r="N954" s="888"/>
      <c r="O954" s="888"/>
      <c r="P954" s="888"/>
      <c r="Q954" s="888"/>
      <c r="R954" s="888"/>
    </row>
    <row r="955" spans="1:18" s="893" customFormat="1" x14ac:dyDescent="0.3">
      <c r="A955" s="888" t="str">
        <f>IF(LEN('Translation-EN'!A955)&gt;0,'Translation-EN'!A955,"")</f>
        <v>Range</v>
      </c>
      <c r="B955" s="888" t="str">
        <f>IF(LEN('Translation-EN'!B955)&gt;0,'Translation-EN'!B955,"")</f>
        <v>Roof</v>
      </c>
      <c r="C955" s="888" t="str">
        <f>IF(LEN('Translation-EN'!C955)&gt;0,'Translation-EN'!C955,"")</f>
        <v>B34</v>
      </c>
      <c r="D955" s="888" t="str">
        <f>IF(LEN('Translation-EN'!D955)&gt;0,'Translation-EN'!D955,"")</f>
        <v/>
      </c>
      <c r="E955" s="952" t="s">
        <v>7600</v>
      </c>
      <c r="I955" s="888"/>
      <c r="J955" s="888"/>
      <c r="K955" s="888"/>
      <c r="L955" s="888"/>
      <c r="M955" s="888"/>
      <c r="N955" s="888"/>
      <c r="O955" s="888"/>
      <c r="P955" s="888"/>
      <c r="Q955" s="888"/>
      <c r="R955" s="888"/>
    </row>
    <row r="956" spans="1:18" s="893" customFormat="1" x14ac:dyDescent="0.3">
      <c r="A956" s="888" t="str">
        <f>IF(LEN('Translation-EN'!A956)&gt;0,'Translation-EN'!A956,"")</f>
        <v>Range</v>
      </c>
      <c r="B956" s="888" t="str">
        <f>IF(LEN('Translation-EN'!B956)&gt;0,'Translation-EN'!B956,"")</f>
        <v>Roof</v>
      </c>
      <c r="C956" s="888" t="str">
        <f>IF(LEN('Translation-EN'!C956)&gt;0,'Translation-EN'!C956,"")</f>
        <v>B41</v>
      </c>
      <c r="D956" s="888" t="str">
        <f>IF(LEN('Translation-EN'!D956)&gt;0,'Translation-EN'!D956,"")</f>
        <v/>
      </c>
      <c r="E956" s="893" t="str">
        <f>$E$846</f>
        <v>CHARPENTE À TREILLIS EN BOIS</v>
      </c>
      <c r="I956" s="888"/>
      <c r="J956" s="888"/>
      <c r="K956" s="888"/>
      <c r="L956" s="888"/>
      <c r="M956" s="888"/>
      <c r="N956" s="888"/>
      <c r="O956" s="888"/>
      <c r="P956" s="888"/>
      <c r="Q956" s="888"/>
      <c r="R956" s="888"/>
    </row>
    <row r="957" spans="1:18" s="893" customFormat="1" x14ac:dyDescent="0.3">
      <c r="A957" s="888" t="str">
        <f>IF(LEN('Translation-EN'!A957)&gt;0,'Translation-EN'!A957,"")</f>
        <v>Range</v>
      </c>
      <c r="B957" s="888" t="str">
        <f>IF(LEN('Translation-EN'!B957)&gt;0,'Translation-EN'!B957,"")</f>
        <v>Roof</v>
      </c>
      <c r="C957" s="888" t="str">
        <f>IF(LEN('Translation-EN'!C957)&gt;0,'Translation-EN'!C957,"")</f>
        <v>A42</v>
      </c>
      <c r="D957" s="888" t="str">
        <f>IF(LEN('Translation-EN'!D957)&gt;0,'Translation-EN'!D957,"")</f>
        <v/>
      </c>
      <c r="E957" s="893" t="s">
        <v>3065</v>
      </c>
      <c r="I957" s="888"/>
      <c r="J957" s="888"/>
      <c r="K957" s="888"/>
      <c r="L957" s="888"/>
      <c r="M957" s="888"/>
      <c r="N957" s="888"/>
      <c r="O957" s="888"/>
      <c r="P957" s="888"/>
      <c r="Q957" s="888"/>
      <c r="R957" s="888"/>
    </row>
    <row r="958" spans="1:18" s="893" customFormat="1" x14ac:dyDescent="0.3">
      <c r="A958" s="888" t="str">
        <f>IF(LEN('Translation-EN'!A958)&gt;0,'Translation-EN'!A958,"")</f>
        <v>Range</v>
      </c>
      <c r="B958" s="888" t="str">
        <f>IF(LEN('Translation-EN'!B958)&gt;0,'Translation-EN'!B958,"")</f>
        <v>Roof</v>
      </c>
      <c r="C958" s="888" t="str">
        <f>IF(LEN('Translation-EN'!C958)&gt;0,'Translation-EN'!C958,"")</f>
        <v>B43</v>
      </c>
      <c r="D958" s="888" t="str">
        <f>IF(LEN('Translation-EN'!D958)&gt;0,'Translation-EN'!D958,"")</f>
        <v/>
      </c>
      <c r="E958" s="893" t="str">
        <f>$E$844</f>
        <v>CHARPENTE EN BOIS DE TYPE SOLIVE-I</v>
      </c>
      <c r="I958" s="888"/>
      <c r="J958" s="888"/>
      <c r="K958" s="888"/>
      <c r="L958" s="888"/>
      <c r="M958" s="888"/>
      <c r="N958" s="888"/>
      <c r="O958" s="888"/>
      <c r="P958" s="888"/>
      <c r="Q958" s="888"/>
      <c r="R958" s="888"/>
    </row>
    <row r="959" spans="1:18" s="893" customFormat="1" x14ac:dyDescent="0.3">
      <c r="A959" s="888" t="str">
        <f>IF(LEN('Translation-EN'!A959)&gt;0,'Translation-EN'!A959,"")</f>
        <v>Range</v>
      </c>
      <c r="B959" s="888" t="str">
        <f>IF(LEN('Translation-EN'!B959)&gt;0,'Translation-EN'!B959,"")</f>
        <v>Roof</v>
      </c>
      <c r="C959" s="888" t="str">
        <f>IF(LEN('Translation-EN'!C959)&gt;0,'Translation-EN'!C959,"")</f>
        <v>A54</v>
      </c>
      <c r="D959" s="888" t="str">
        <f>IF(LEN('Translation-EN'!D959)&gt;0,'Translation-EN'!D959,"")</f>
        <v/>
      </c>
      <c r="E959" s="893" t="s">
        <v>3066</v>
      </c>
      <c r="I959" s="888"/>
      <c r="J959" s="888"/>
      <c r="K959" s="888"/>
      <c r="L959" s="888"/>
      <c r="M959" s="888"/>
      <c r="N959" s="888"/>
      <c r="O959" s="888"/>
      <c r="P959" s="888"/>
      <c r="Q959" s="888"/>
      <c r="R959" s="888"/>
    </row>
    <row r="960" spans="1:18" s="893" customFormat="1" x14ac:dyDescent="0.3">
      <c r="A960" s="888" t="str">
        <f>IF(LEN('Translation-EN'!A960)&gt;0,'Translation-EN'!A960,"")</f>
        <v>Range</v>
      </c>
      <c r="B960" s="888" t="str">
        <f>IF(LEN('Translation-EN'!B960)&gt;0,'Translation-EN'!B960,"")</f>
        <v>Roof</v>
      </c>
      <c r="C960" s="888" t="str">
        <f>IF(LEN('Translation-EN'!C960)&gt;0,'Translation-EN'!C960,"")</f>
        <v>B55</v>
      </c>
      <c r="D960" s="888" t="str">
        <f>IF(LEN('Translation-EN'!D960)&gt;0,'Translation-EN'!D960,"")</f>
        <v/>
      </c>
      <c r="E960" s="954" t="s">
        <v>7469</v>
      </c>
      <c r="I960" s="888"/>
      <c r="J960" s="888"/>
      <c r="K960" s="888"/>
      <c r="L960" s="888"/>
      <c r="M960" s="888"/>
      <c r="N960" s="888"/>
      <c r="O960" s="888"/>
      <c r="P960" s="888"/>
      <c r="Q960" s="888"/>
      <c r="R960" s="888"/>
    </row>
    <row r="961" spans="1:18" s="893" customFormat="1" x14ac:dyDescent="0.3">
      <c r="A961" s="888" t="str">
        <f>IF(LEN('Translation-EN'!A961)&gt;0,'Translation-EN'!A961,"")</f>
        <v>Range</v>
      </c>
      <c r="B961" s="888" t="str">
        <f>IF(LEN('Translation-EN'!B961)&gt;0,'Translation-EN'!B961,"")</f>
        <v>Roof</v>
      </c>
      <c r="C961" s="888" t="str">
        <f>IF(LEN('Translation-EN'!C961)&gt;0,'Translation-EN'!C961,"")</f>
        <v>B59</v>
      </c>
      <c r="D961" s="888" t="str">
        <f>IF(LEN('Translation-EN'!D961)&gt;0,'Translation-EN'!D961,"")</f>
        <v/>
      </c>
      <c r="E961" s="893" t="s">
        <v>3067</v>
      </c>
      <c r="I961" s="888"/>
      <c r="J961" s="888"/>
      <c r="K961" s="888"/>
      <c r="L961" s="888"/>
      <c r="M961" s="888"/>
      <c r="N961" s="888"/>
      <c r="O961" s="888"/>
      <c r="P961" s="888"/>
      <c r="Q961" s="888"/>
      <c r="R961" s="888"/>
    </row>
    <row r="962" spans="1:18" s="893" customFormat="1" x14ac:dyDescent="0.3">
      <c r="A962" s="888" t="str">
        <f>IF(LEN('Translation-EN'!A962)&gt;0,'Translation-EN'!A962,"")</f>
        <v>Range</v>
      </c>
      <c r="B962" s="888" t="str">
        <f>IF(LEN('Translation-EN'!B962)&gt;0,'Translation-EN'!B962,"")</f>
        <v>Roof</v>
      </c>
      <c r="C962" s="888" t="str">
        <f>IF(LEN('Translation-EN'!C962)&gt;0,'Translation-EN'!C962,"")</f>
        <v>B63</v>
      </c>
      <c r="D962" s="888" t="str">
        <f>IF(LEN('Translation-EN'!D962)&gt;0,'Translation-EN'!D962,"")</f>
        <v/>
      </c>
      <c r="E962" s="945" t="str">
        <f>$E$452</f>
        <v>SYSTÈME DE REVÊTEMENT ET BARRIÈRE OSB</v>
      </c>
      <c r="I962" s="888"/>
      <c r="J962" s="888"/>
      <c r="K962" s="888"/>
      <c r="L962" s="888"/>
      <c r="M962" s="888"/>
      <c r="N962" s="888"/>
      <c r="O962" s="888"/>
      <c r="P962" s="888"/>
      <c r="Q962" s="888"/>
      <c r="R962" s="888"/>
    </row>
    <row r="963" spans="1:18" s="893" customFormat="1" x14ac:dyDescent="0.3">
      <c r="A963" s="888" t="str">
        <f>IF(LEN('Translation-EN'!A963)&gt;0,'Translation-EN'!A963,"")</f>
        <v>Range</v>
      </c>
      <c r="B963" s="888" t="str">
        <f>IF(LEN('Translation-EN'!B963)&gt;0,'Translation-EN'!B963,"")</f>
        <v>Roof</v>
      </c>
      <c r="C963" s="888" t="str">
        <f>IF(LEN('Translation-EN'!C963)&gt;0,'Translation-EN'!C963,"")</f>
        <v>B68</v>
      </c>
      <c r="D963" s="888" t="str">
        <f>IF(LEN('Translation-EN'!D963)&gt;0,'Translation-EN'!D963,"")</f>
        <v/>
      </c>
      <c r="E963" s="893" t="s">
        <v>3068</v>
      </c>
      <c r="I963" s="888"/>
      <c r="J963" s="888"/>
      <c r="K963" s="888"/>
      <c r="L963" s="888"/>
      <c r="M963" s="888"/>
      <c r="N963" s="888"/>
      <c r="O963" s="888"/>
      <c r="P963" s="888"/>
      <c r="Q963" s="888"/>
      <c r="R963" s="888"/>
    </row>
    <row r="964" spans="1:18" s="893" customFormat="1" x14ac:dyDescent="0.3">
      <c r="A964" s="888" t="str">
        <f>IF(LEN('Translation-EN'!A964)&gt;0,'Translation-EN'!A964,"")</f>
        <v>Range</v>
      </c>
      <c r="B964" s="888" t="str">
        <f>IF(LEN('Translation-EN'!B964)&gt;0,'Translation-EN'!B964,"")</f>
        <v>Roof</v>
      </c>
      <c r="C964" s="888" t="str">
        <f>IF(LEN('Translation-EN'!C964)&gt;0,'Translation-EN'!C964,"")</f>
        <v>A75</v>
      </c>
      <c r="D964" s="888" t="str">
        <f>IF(LEN('Translation-EN'!D964)&gt;0,'Translation-EN'!D964,"")</f>
        <v/>
      </c>
      <c r="E964" s="893" t="s">
        <v>3069</v>
      </c>
      <c r="I964" s="888"/>
      <c r="J964" s="888"/>
      <c r="K964" s="888"/>
      <c r="L964" s="888"/>
      <c r="M964" s="888"/>
      <c r="N964" s="888"/>
      <c r="O964" s="888"/>
      <c r="P964" s="888"/>
      <c r="Q964" s="888"/>
      <c r="R964" s="888"/>
    </row>
    <row r="965" spans="1:18" s="893" customFormat="1" x14ac:dyDescent="0.3">
      <c r="A965" s="888" t="str">
        <f>IF(LEN('Translation-EN'!A965)&gt;0,'Translation-EN'!A965,"")</f>
        <v>Range</v>
      </c>
      <c r="B965" s="888" t="str">
        <f>IF(LEN('Translation-EN'!B965)&gt;0,'Translation-EN'!B965,"")</f>
        <v>Roof</v>
      </c>
      <c r="C965" s="888" t="str">
        <f>IF(LEN('Translation-EN'!C965)&gt;0,'Translation-EN'!C965,"")</f>
        <v>B76</v>
      </c>
      <c r="D965" s="888" t="str">
        <f>IF(LEN('Translation-EN'!D965)&gt;0,'Translation-EN'!D965,"")</f>
        <v/>
      </c>
      <c r="E965" s="893" t="str">
        <f>$E$964</f>
        <v>MEMBRANE DE TOITURE</v>
      </c>
      <c r="I965" s="888"/>
      <c r="J965" s="888"/>
      <c r="K965" s="888"/>
      <c r="L965" s="888"/>
      <c r="M965" s="888"/>
      <c r="N965" s="888"/>
      <c r="O965" s="888"/>
      <c r="P965" s="888"/>
      <c r="Q965" s="888"/>
      <c r="R965" s="888"/>
    </row>
    <row r="966" spans="1:18" s="893" customFormat="1" x14ac:dyDescent="0.3">
      <c r="A966" s="888" t="str">
        <f>IF(LEN('Translation-EN'!A966)&gt;0,'Translation-EN'!A966,"")</f>
        <v>Range</v>
      </c>
      <c r="B966" s="888" t="str">
        <f>IF(LEN('Translation-EN'!B966)&gt;0,'Translation-EN'!B966,"")</f>
        <v>Roof</v>
      </c>
      <c r="C966" s="888" t="str">
        <f>IF(LEN('Translation-EN'!C966)&gt;0,'Translation-EN'!C966,"")</f>
        <v>B83</v>
      </c>
      <c r="D966" s="888" t="str">
        <f>IF(LEN('Translation-EN'!D966)&gt;0,'Translation-EN'!D966,"")</f>
        <v/>
      </c>
      <c r="E966" s="945" t="str">
        <f>$E$233</f>
        <v>BARRIÈRE EN FEUILLE</v>
      </c>
      <c r="I966" s="888"/>
      <c r="J966" s="888"/>
      <c r="K966" s="888"/>
      <c r="L966" s="888"/>
      <c r="M966" s="888"/>
      <c r="N966" s="888"/>
      <c r="O966" s="888"/>
      <c r="P966" s="888"/>
      <c r="Q966" s="888"/>
      <c r="R966" s="888"/>
    </row>
    <row r="967" spans="1:18" s="893" customFormat="1" x14ac:dyDescent="0.3">
      <c r="A967" s="888" t="str">
        <f>IF(LEN('Translation-EN'!A967)&gt;0,'Translation-EN'!A967,"")</f>
        <v>Range</v>
      </c>
      <c r="B967" s="888" t="str">
        <f>IF(LEN('Translation-EN'!B967)&gt;0,'Translation-EN'!B967,"")</f>
        <v>Roof</v>
      </c>
      <c r="C967" s="888" t="str">
        <f>IF(LEN('Translation-EN'!C967)&gt;0,'Translation-EN'!C967,"")</f>
        <v>C84</v>
      </c>
      <c r="D967" s="888" t="str">
        <f>IF(LEN('Translation-EN'!D967)&gt;0,'Translation-EN'!D967,"")</f>
        <v/>
      </c>
      <c r="E967" s="945" t="str">
        <f>$E$355</f>
        <v>Barrière en feuille – MOYENNE</v>
      </c>
      <c r="I967" s="888"/>
      <c r="J967" s="888"/>
      <c r="K967" s="888"/>
      <c r="L967" s="888"/>
      <c r="M967" s="888"/>
      <c r="N967" s="888"/>
      <c r="O967" s="888"/>
      <c r="P967" s="888"/>
      <c r="Q967" s="888"/>
      <c r="R967" s="888"/>
    </row>
    <row r="968" spans="1:18" s="893" customFormat="1" x14ac:dyDescent="0.3">
      <c r="A968" s="888" t="str">
        <f>IF(LEN('Translation-EN'!A968)&gt;0,'Translation-EN'!A968,"")</f>
        <v>Range</v>
      </c>
      <c r="B968" s="888" t="str">
        <f>IF(LEN('Translation-EN'!B968)&gt;0,'Translation-EN'!B968,"")</f>
        <v>Roof</v>
      </c>
      <c r="C968" s="888" t="str">
        <f>IF(LEN('Translation-EN'!C968)&gt;0,'Translation-EN'!C968,"")</f>
        <v>B92</v>
      </c>
      <c r="D968" s="888" t="str">
        <f>IF(LEN('Translation-EN'!D968)&gt;0,'Translation-EN'!D968,"")</f>
        <v/>
      </c>
      <c r="E968" s="945" t="str">
        <f>$E$234</f>
        <v>BARRIÈRE APPLIQUÉE LIQUIDE</v>
      </c>
      <c r="I968" s="888"/>
      <c r="J968" s="888"/>
      <c r="K968" s="888"/>
      <c r="L968" s="888"/>
      <c r="M968" s="888"/>
      <c r="N968" s="888"/>
      <c r="O968" s="888"/>
      <c r="P968" s="888"/>
      <c r="Q968" s="888"/>
      <c r="R968" s="888"/>
    </row>
    <row r="969" spans="1:18" s="893" customFormat="1" x14ac:dyDescent="0.3">
      <c r="A969" s="888" t="str">
        <f>IF(LEN('Translation-EN'!A969)&gt;0,'Translation-EN'!A969,"")</f>
        <v>Range</v>
      </c>
      <c r="B969" s="888" t="str">
        <f>IF(LEN('Translation-EN'!B969)&gt;0,'Translation-EN'!B969,"")</f>
        <v>Roof</v>
      </c>
      <c r="C969" s="888" t="str">
        <f>IF(LEN('Translation-EN'!C969)&gt;0,'Translation-EN'!C969,"")</f>
        <v>C93</v>
      </c>
      <c r="D969" s="888" t="str">
        <f>IF(LEN('Translation-EN'!D969)&gt;0,'Translation-EN'!D969,"")</f>
        <v/>
      </c>
      <c r="E969" s="945" t="str">
        <f>$E$357</f>
        <v>Barrière appliquée liquide – MOYENNE</v>
      </c>
      <c r="I969" s="888"/>
      <c r="J969" s="888"/>
      <c r="K969" s="888"/>
      <c r="L969" s="888"/>
      <c r="M969" s="888"/>
      <c r="N969" s="888"/>
      <c r="O969" s="888"/>
      <c r="P969" s="888"/>
      <c r="Q969" s="888"/>
      <c r="R969" s="888"/>
    </row>
    <row r="970" spans="1:18" s="893" customFormat="1" x14ac:dyDescent="0.3">
      <c r="A970" s="888" t="str">
        <f>IF(LEN('Translation-EN'!A970)&gt;0,'Translation-EN'!A970,"")</f>
        <v>Range</v>
      </c>
      <c r="B970" s="888" t="str">
        <f>IF(LEN('Translation-EN'!B970)&gt;0,'Translation-EN'!B970,"")</f>
        <v>Roof</v>
      </c>
      <c r="C970" s="888" t="str">
        <f>IF(LEN('Translation-EN'!C970)&gt;0,'Translation-EN'!C970,"")</f>
        <v>A96</v>
      </c>
      <c r="D970" s="888" t="str">
        <f>IF(LEN('Translation-EN'!D970)&gt;0,'Translation-EN'!D970,"")</f>
        <v/>
      </c>
      <c r="E970" s="893" t="s">
        <v>3070</v>
      </c>
      <c r="I970" s="888"/>
      <c r="J970" s="888"/>
      <c r="K970" s="888"/>
      <c r="L970" s="888"/>
      <c r="M970" s="888"/>
      <c r="N970" s="888"/>
      <c r="O970" s="888"/>
      <c r="P970" s="888"/>
      <c r="Q970" s="888"/>
      <c r="R970" s="888"/>
    </row>
    <row r="971" spans="1:18" s="893" customFormat="1" x14ac:dyDescent="0.3">
      <c r="A971" s="888" t="str">
        <f>IF(LEN('Translation-EN'!A971)&gt;0,'Translation-EN'!A971,"")</f>
        <v>Range</v>
      </c>
      <c r="B971" s="888" t="str">
        <f>IF(LEN('Translation-EN'!B971)&gt;0,'Translation-EN'!B971,"")</f>
        <v>Roof</v>
      </c>
      <c r="C971" s="888" t="str">
        <f>IF(LEN('Translation-EN'!C971)&gt;0,'Translation-EN'!C971,"")</f>
        <v>D96</v>
      </c>
      <c r="D971" s="888" t="str">
        <f>IF(LEN('Translation-EN'!D971)&gt;0,'Translation-EN'!D971,"")</f>
        <v/>
      </c>
      <c r="E971" s="893" t="str">
        <f>$E$724</f>
        <v>ESPACEMENT DES TASSEAUX</v>
      </c>
      <c r="I971" s="888"/>
      <c r="J971" s="888"/>
      <c r="K971" s="888"/>
      <c r="L971" s="888"/>
      <c r="M971" s="888"/>
      <c r="N971" s="888"/>
      <c r="O971" s="888"/>
      <c r="P971" s="888"/>
      <c r="Q971" s="888"/>
      <c r="R971" s="888"/>
    </row>
    <row r="972" spans="1:18" s="893" customFormat="1" x14ac:dyDescent="0.3">
      <c r="A972" s="888" t="str">
        <f>IF(LEN('Translation-EN'!A972)&gt;0,'Translation-EN'!A972,"")</f>
        <v>Range</v>
      </c>
      <c r="B972" s="888" t="str">
        <f>IF(LEN('Translation-EN'!B972)&gt;0,'Translation-EN'!B972,"")</f>
        <v>_Roof</v>
      </c>
      <c r="C972" s="888" t="str">
        <f>IF(LEN('Translation-EN'!C972)&gt;0,'Translation-EN'!C972,"")</f>
        <v>B63</v>
      </c>
      <c r="D972" s="888" t="str">
        <f>IF(LEN('Translation-EN'!D972)&gt;0,'Translation-EN'!D972,"")</f>
        <v/>
      </c>
      <c r="E972" s="893" t="s">
        <v>3071</v>
      </c>
      <c r="I972" s="888"/>
      <c r="J972" s="888"/>
      <c r="K972" s="888"/>
      <c r="L972" s="888"/>
      <c r="M972" s="888"/>
      <c r="N972" s="888"/>
      <c r="O972" s="888"/>
      <c r="P972" s="888"/>
      <c r="Q972" s="888"/>
      <c r="R972" s="888"/>
    </row>
    <row r="973" spans="1:18" s="893" customFormat="1" x14ac:dyDescent="0.3">
      <c r="A973" s="888" t="str">
        <f>IF(LEN('Translation-EN'!A973)&gt;0,'Translation-EN'!A973,"")</f>
        <v>Range</v>
      </c>
      <c r="B973" s="888" t="str">
        <f>IF(LEN('Translation-EN'!B973)&gt;0,'Translation-EN'!B973,"")</f>
        <v>Roof</v>
      </c>
      <c r="C973" s="888" t="str">
        <f>IF(LEN('Translation-EN'!C973)&gt;0,'Translation-EN'!C973,"")</f>
        <v>B97</v>
      </c>
      <c r="D973" s="888" t="str">
        <f>IF(LEN('Translation-EN'!D973)&gt;0,'Translation-EN'!D973,"")</f>
        <v/>
      </c>
      <c r="E973" s="1040" t="s">
        <v>7601</v>
      </c>
      <c r="I973" s="888"/>
      <c r="J973" s="888"/>
      <c r="K973" s="888"/>
      <c r="L973" s="888"/>
      <c r="M973" s="888"/>
      <c r="N973" s="888"/>
      <c r="O973" s="888"/>
      <c r="P973" s="888"/>
      <c r="Q973" s="888"/>
      <c r="R973" s="888"/>
    </row>
    <row r="974" spans="1:18" s="893" customFormat="1" x14ac:dyDescent="0.3">
      <c r="A974" s="888" t="str">
        <f>IF(LEN('Translation-EN'!A974)&gt;0,'Translation-EN'!A974,"")</f>
        <v>Range</v>
      </c>
      <c r="B974" s="888" t="str">
        <f>IF(LEN('Translation-EN'!B974)&gt;0,'Translation-EN'!B974,"")</f>
        <v>Roof</v>
      </c>
      <c r="C974" s="888" t="str">
        <f>IF(LEN('Translation-EN'!C974)&gt;0,'Translation-EN'!C974,"")</f>
        <v>B104</v>
      </c>
      <c r="D974" s="888" t="str">
        <f>IF(LEN('Translation-EN'!D974)&gt;0,'Translation-EN'!D974,"")</f>
        <v/>
      </c>
      <c r="E974" s="1040" t="s">
        <v>7602</v>
      </c>
      <c r="I974" s="888"/>
      <c r="J974" s="888"/>
      <c r="K974" s="888"/>
      <c r="L974" s="888"/>
      <c r="M974" s="888"/>
      <c r="N974" s="888"/>
      <c r="O974" s="888"/>
      <c r="P974" s="888"/>
      <c r="Q974" s="888"/>
      <c r="R974" s="888"/>
    </row>
    <row r="975" spans="1:18" s="893" customFormat="1" x14ac:dyDescent="0.3">
      <c r="A975" s="888" t="str">
        <f>IF(LEN('Translation-EN'!A975)&gt;0,'Translation-EN'!A975,"")</f>
        <v>Range</v>
      </c>
      <c r="B975" s="888" t="str">
        <f>IF(LEN('Translation-EN'!B975)&gt;0,'Translation-EN'!B975,"")</f>
        <v>Roof</v>
      </c>
      <c r="C975" s="888" t="str">
        <f>IF(LEN('Translation-EN'!C975)&gt;0,'Translation-EN'!C975,"")</f>
        <v>B111</v>
      </c>
      <c r="D975" s="888" t="str">
        <f>IF(LEN('Translation-EN'!D975)&gt;0,'Translation-EN'!D975,"")</f>
        <v/>
      </c>
      <c r="E975" s="1040" t="s">
        <v>7603</v>
      </c>
      <c r="I975" s="888"/>
      <c r="J975" s="888"/>
      <c r="K975" s="888"/>
      <c r="L975" s="888"/>
      <c r="M975" s="888"/>
      <c r="N975" s="888"/>
      <c r="O975" s="888"/>
      <c r="P975" s="888"/>
      <c r="Q975" s="888"/>
      <c r="R975" s="888"/>
    </row>
    <row r="976" spans="1:18" s="893" customFormat="1" x14ac:dyDescent="0.3">
      <c r="A976" s="888" t="str">
        <f>IF(LEN('Translation-EN'!A976)&gt;0,'Translation-EN'!A976,"")</f>
        <v>Range</v>
      </c>
      <c r="B976" s="888" t="str">
        <f>IF(LEN('Translation-EN'!B976)&gt;0,'Translation-EN'!B976,"")</f>
        <v>Roof</v>
      </c>
      <c r="C976" s="888" t="str">
        <f>IF(LEN('Translation-EN'!C976)&gt;0,'Translation-EN'!C976,"")</f>
        <v>A118</v>
      </c>
      <c r="D976" s="888" t="str">
        <f>IF(LEN('Translation-EN'!D976)&gt;0,'Translation-EN'!D976,"")</f>
        <v/>
      </c>
      <c r="E976" s="893" t="s">
        <v>3072</v>
      </c>
      <c r="I976" s="888"/>
      <c r="J976" s="888"/>
      <c r="K976" s="888"/>
      <c r="L976" s="888"/>
      <c r="M976" s="888"/>
      <c r="N976" s="888"/>
      <c r="O976" s="888"/>
      <c r="P976" s="888"/>
      <c r="Q976" s="888"/>
      <c r="R976" s="888"/>
    </row>
    <row r="977" spans="1:18" s="893" customFormat="1" x14ac:dyDescent="0.3">
      <c r="A977" s="888" t="str">
        <f>IF(LEN('Translation-EN'!A977)&gt;0,'Translation-EN'!A977,"")</f>
        <v>Range</v>
      </c>
      <c r="B977" s="888" t="str">
        <f>IF(LEN('Translation-EN'!B977)&gt;0,'Translation-EN'!B977,"")</f>
        <v>Roof</v>
      </c>
      <c r="C977" s="888" t="str">
        <f>IF(LEN('Translation-EN'!C977)&gt;0,'Translation-EN'!C977,"")</f>
        <v>B119</v>
      </c>
      <c r="D977" s="888" t="str">
        <f>IF(LEN('Translation-EN'!D977)&gt;0,'Translation-EN'!D977,"")</f>
        <v/>
      </c>
      <c r="E977" s="893" t="s">
        <v>3073</v>
      </c>
      <c r="I977" s="888"/>
      <c r="J977" s="888"/>
      <c r="K977" s="888"/>
      <c r="L977" s="888"/>
      <c r="M977" s="888"/>
      <c r="N977" s="888"/>
      <c r="O977" s="888"/>
      <c r="P977" s="888"/>
      <c r="Q977" s="888"/>
      <c r="R977" s="888"/>
    </row>
    <row r="978" spans="1:18" s="893" customFormat="1" x14ac:dyDescent="0.3">
      <c r="A978" s="888" t="str">
        <f>IF(LEN('Translation-EN'!A978)&gt;0,'Translation-EN'!A978,"")</f>
        <v>Range</v>
      </c>
      <c r="B978" s="888" t="str">
        <f>IF(LEN('Translation-EN'!B978)&gt;0,'Translation-EN'!B978,"")</f>
        <v>Roof</v>
      </c>
      <c r="C978" s="888" t="str">
        <f>IF(LEN('Translation-EN'!C978)&gt;0,'Translation-EN'!C978,"")</f>
        <v>C120</v>
      </c>
      <c r="D978" s="888" t="str">
        <f>IF(LEN('Translation-EN'!D978)&gt;0,'Translation-EN'!D978,"")</f>
        <v/>
      </c>
      <c r="E978" s="893" t="s">
        <v>4012</v>
      </c>
      <c r="I978" s="888"/>
      <c r="J978" s="888"/>
      <c r="K978" s="888"/>
      <c r="L978" s="888"/>
      <c r="M978" s="888"/>
      <c r="N978" s="888"/>
      <c r="O978" s="888"/>
      <c r="P978" s="888"/>
      <c r="Q978" s="888"/>
      <c r="R978" s="888"/>
    </row>
    <row r="979" spans="1:18" s="893" customFormat="1" x14ac:dyDescent="0.3">
      <c r="A979" s="888" t="str">
        <f>IF(LEN('Translation-EN'!A979)&gt;0,'Translation-EN'!A979,"")</f>
        <v>Range</v>
      </c>
      <c r="B979" s="888" t="str">
        <f>IF(LEN('Translation-EN'!B979)&gt;0,'Translation-EN'!B979,"")</f>
        <v>Roof</v>
      </c>
      <c r="C979" s="888" t="str">
        <f>IF(LEN('Translation-EN'!C979)&gt;0,'Translation-EN'!C979,"")</f>
        <v>B134</v>
      </c>
      <c r="D979" s="888" t="str">
        <f>IF(LEN('Translation-EN'!D979)&gt;0,'Translation-EN'!D979,"")</f>
        <v/>
      </c>
      <c r="E979" s="893" t="s">
        <v>3074</v>
      </c>
      <c r="I979" s="888"/>
      <c r="J979" s="888"/>
      <c r="K979" s="888"/>
      <c r="L979" s="888"/>
      <c r="M979" s="888"/>
      <c r="N979" s="888"/>
      <c r="O979" s="888"/>
      <c r="P979" s="888"/>
      <c r="Q979" s="888"/>
      <c r="R979" s="888"/>
    </row>
    <row r="980" spans="1:18" s="893" customFormat="1" x14ac:dyDescent="0.3">
      <c r="A980" s="888" t="str">
        <f>IF(LEN('Translation-EN'!A980)&gt;0,'Translation-EN'!A980,"")</f>
        <v>Range</v>
      </c>
      <c r="B980" s="888" t="str">
        <f>IF(LEN('Translation-EN'!B980)&gt;0,'Translation-EN'!B980,"")</f>
        <v>_Roof</v>
      </c>
      <c r="C980" s="888" t="str">
        <f>IF(LEN('Translation-EN'!C980)&gt;0,'Translation-EN'!C980,"")</f>
        <v>C84</v>
      </c>
      <c r="D980" s="888" t="str">
        <f>IF(LEN('Translation-EN'!D980)&gt;0,'Translation-EN'!D980,"")</f>
        <v/>
      </c>
      <c r="E980" s="893" t="s">
        <v>3075</v>
      </c>
      <c r="I980" s="888"/>
      <c r="J980" s="888"/>
      <c r="K980" s="888"/>
      <c r="L980" s="888"/>
      <c r="M980" s="888"/>
      <c r="N980" s="888"/>
      <c r="O980" s="888"/>
      <c r="P980" s="888"/>
      <c r="Q980" s="888"/>
      <c r="R980" s="888"/>
    </row>
    <row r="981" spans="1:18" s="893" customFormat="1" x14ac:dyDescent="0.3">
      <c r="A981" s="888" t="str">
        <f>IF(LEN('Translation-EN'!A981)&gt;0,'Translation-EN'!A981,"")</f>
        <v>Range</v>
      </c>
      <c r="B981" s="888" t="str">
        <f>IF(LEN('Translation-EN'!B981)&gt;0,'Translation-EN'!B981,"")</f>
        <v>Roof</v>
      </c>
      <c r="C981" s="888" t="str">
        <f>IF(LEN('Translation-EN'!C981)&gt;0,'Translation-EN'!C981,"")</f>
        <v>B136</v>
      </c>
      <c r="D981" s="888" t="str">
        <f>IF(LEN('Translation-EN'!D981)&gt;0,'Translation-EN'!D981,"")</f>
        <v/>
      </c>
      <c r="E981" s="893" t="s">
        <v>3076</v>
      </c>
      <c r="I981" s="888"/>
      <c r="J981" s="888"/>
      <c r="K981" s="888"/>
      <c r="L981" s="888"/>
      <c r="M981" s="888"/>
      <c r="N981" s="888"/>
      <c r="O981" s="888"/>
      <c r="P981" s="888"/>
      <c r="Q981" s="888"/>
      <c r="R981" s="888"/>
    </row>
    <row r="982" spans="1:18" s="893" customFormat="1" x14ac:dyDescent="0.3">
      <c r="A982" s="888" t="str">
        <f>IF(LEN('Translation-EN'!A982)&gt;0,'Translation-EN'!A982,"")</f>
        <v>Range</v>
      </c>
      <c r="B982" s="888" t="str">
        <f>IF(LEN('Translation-EN'!B982)&gt;0,'Translation-EN'!B982,"")</f>
        <v>_Roof</v>
      </c>
      <c r="C982" s="888" t="str">
        <f>IF(LEN('Translation-EN'!C982)&gt;0,'Translation-EN'!C982,"")</f>
        <v>C87</v>
      </c>
      <c r="D982" s="888" t="str">
        <f>IF(LEN('Translation-EN'!D982)&gt;0,'Translation-EN'!D982,"")</f>
        <v/>
      </c>
      <c r="E982" s="893" t="s">
        <v>3077</v>
      </c>
      <c r="I982" s="888"/>
      <c r="J982" s="888"/>
      <c r="K982" s="888"/>
      <c r="L982" s="888"/>
      <c r="M982" s="888"/>
      <c r="N982" s="888"/>
      <c r="O982" s="888"/>
      <c r="P982" s="888"/>
      <c r="Q982" s="888"/>
      <c r="R982" s="888"/>
    </row>
    <row r="983" spans="1:18" s="893" customFormat="1" x14ac:dyDescent="0.3">
      <c r="A983" s="888" t="str">
        <f>IF(LEN('Translation-EN'!A983)&gt;0,'Translation-EN'!A983,"")</f>
        <v>Range</v>
      </c>
      <c r="B983" s="888" t="str">
        <f>IF(LEN('Translation-EN'!B983)&gt;0,'Translation-EN'!B983,"")</f>
        <v>Roof</v>
      </c>
      <c r="C983" s="888" t="str">
        <f>IF(LEN('Translation-EN'!C983)&gt;0,'Translation-EN'!C983,"")</f>
        <v>B138</v>
      </c>
      <c r="D983" s="888" t="str">
        <f>IF(LEN('Translation-EN'!D983)&gt;0,'Translation-EN'!D983,"")</f>
        <v/>
      </c>
      <c r="E983" s="893" t="s">
        <v>3078</v>
      </c>
      <c r="I983" s="888"/>
      <c r="J983" s="888"/>
      <c r="K983" s="888"/>
      <c r="L983" s="888"/>
      <c r="M983" s="888"/>
      <c r="N983" s="888"/>
      <c r="O983" s="888"/>
      <c r="P983" s="888"/>
      <c r="Q983" s="888"/>
      <c r="R983" s="888"/>
    </row>
    <row r="984" spans="1:18" s="893" customFormat="1" x14ac:dyDescent="0.3">
      <c r="A984" s="888" t="str">
        <f>IF(LEN('Translation-EN'!A984)&gt;0,'Translation-EN'!A984,"")</f>
        <v>Range</v>
      </c>
      <c r="B984" s="888" t="str">
        <f>IF(LEN('Translation-EN'!B984)&gt;0,'Translation-EN'!B984,"")</f>
        <v>Roof</v>
      </c>
      <c r="C984" s="888" t="str">
        <f>IF(LEN('Translation-EN'!C984)&gt;0,'Translation-EN'!C984,"")</f>
        <v>C139</v>
      </c>
      <c r="D984" s="888" t="str">
        <f>IF(LEN('Translation-EN'!D984)&gt;0,'Translation-EN'!D984,"")</f>
        <v/>
      </c>
      <c r="E984" s="893" t="s">
        <v>3014</v>
      </c>
      <c r="I984" s="888"/>
      <c r="J984" s="888"/>
      <c r="K984" s="888"/>
      <c r="L984" s="888"/>
      <c r="M984" s="888"/>
      <c r="N984" s="888"/>
      <c r="O984" s="888"/>
      <c r="P984" s="888"/>
      <c r="Q984" s="888"/>
      <c r="R984" s="888"/>
    </row>
    <row r="985" spans="1:18" s="893" customFormat="1" x14ac:dyDescent="0.3">
      <c r="A985" s="888" t="str">
        <f>IF(LEN('Translation-EN'!A985)&gt;0,'Translation-EN'!A985,"")</f>
        <v>Range</v>
      </c>
      <c r="B985" s="888" t="str">
        <f>IF(LEN('Translation-EN'!B985)&gt;0,'Translation-EN'!B985,"")</f>
        <v>Roof</v>
      </c>
      <c r="C985" s="888" t="str">
        <f>IF(LEN('Translation-EN'!C985)&gt;0,'Translation-EN'!C985,"")</f>
        <v>B142</v>
      </c>
      <c r="D985" s="888" t="str">
        <f>IF(LEN('Translation-EN'!D985)&gt;0,'Translation-EN'!D985,"")</f>
        <v/>
      </c>
      <c r="E985" s="893" t="s">
        <v>3079</v>
      </c>
      <c r="I985" s="888"/>
      <c r="J985" s="888"/>
      <c r="K985" s="888"/>
      <c r="L985" s="888"/>
      <c r="M985" s="888"/>
      <c r="N985" s="888"/>
      <c r="O985" s="888"/>
      <c r="P985" s="888"/>
      <c r="Q985" s="888"/>
      <c r="R985" s="888"/>
    </row>
    <row r="986" spans="1:18" s="893" customFormat="1" x14ac:dyDescent="0.3">
      <c r="A986" s="888" t="str">
        <f>IF(LEN('Translation-EN'!A986)&gt;0,'Translation-EN'!A986,"")</f>
        <v>Range</v>
      </c>
      <c r="B986" s="888" t="str">
        <f>IF(LEN('Translation-EN'!B986)&gt;0,'Translation-EN'!B986,"")</f>
        <v>Roof</v>
      </c>
      <c r="C986" s="888" t="str">
        <f>IF(LEN('Translation-EN'!C986)&gt;0,'Translation-EN'!C986,"")</f>
        <v>A144</v>
      </c>
      <c r="D986" s="888" t="str">
        <f>IF(LEN('Translation-EN'!D986)&gt;0,'Translation-EN'!D986,"")</f>
        <v/>
      </c>
      <c r="E986" s="893" t="s">
        <v>3080</v>
      </c>
      <c r="I986" s="888"/>
      <c r="J986" s="888"/>
      <c r="K986" s="888"/>
      <c r="L986" s="888"/>
      <c r="M986" s="888"/>
      <c r="N986" s="888"/>
      <c r="O986" s="888"/>
      <c r="P986" s="888"/>
      <c r="Q986" s="888"/>
      <c r="R986" s="888"/>
    </row>
    <row r="987" spans="1:18" s="893" customFormat="1" x14ac:dyDescent="0.3">
      <c r="A987" s="888" t="str">
        <f>IF(LEN('Translation-EN'!A987)&gt;0,'Translation-EN'!A987,"")</f>
        <v>Range</v>
      </c>
      <c r="B987" s="888" t="str">
        <f>IF(LEN('Translation-EN'!B987)&gt;0,'Translation-EN'!B987,"")</f>
        <v>Roof</v>
      </c>
      <c r="C987" s="888" t="str">
        <f>IF(LEN('Translation-EN'!C987)&gt;0,'Translation-EN'!C987,"")</f>
        <v>F144</v>
      </c>
      <c r="D987" s="888" t="str">
        <f>IF(LEN('Translation-EN'!D987)&gt;0,'Translation-EN'!D987,"")</f>
        <v/>
      </c>
      <c r="E987" s="893" t="s">
        <v>3081</v>
      </c>
      <c r="I987" s="888"/>
      <c r="J987" s="888"/>
      <c r="K987" s="888"/>
      <c r="L987" s="888"/>
      <c r="M987" s="888"/>
      <c r="N987" s="888"/>
      <c r="O987" s="888"/>
      <c r="P987" s="888"/>
      <c r="Q987" s="888"/>
      <c r="R987" s="888"/>
    </row>
    <row r="988" spans="1:18" s="893" customFormat="1" x14ac:dyDescent="0.3">
      <c r="A988" s="888" t="str">
        <f>IF(LEN('Translation-EN'!A988)&gt;0,'Translation-EN'!A988,"")</f>
        <v>Range</v>
      </c>
      <c r="B988" s="888" t="str">
        <f>IF(LEN('Translation-EN'!B988)&gt;0,'Translation-EN'!B988,"")</f>
        <v>_Roof</v>
      </c>
      <c r="C988" s="888" t="str">
        <f>IF(LEN('Translation-EN'!C988)&gt;0,'Translation-EN'!C988,"")</f>
        <v>I95</v>
      </c>
      <c r="D988" s="888" t="str">
        <f>IF(LEN('Translation-EN'!D988)&gt;0,'Translation-EN'!D988,"")</f>
        <v/>
      </c>
      <c r="E988" s="893" t="s">
        <v>3082</v>
      </c>
      <c r="I988" s="888"/>
      <c r="J988" s="888"/>
      <c r="K988" s="888"/>
      <c r="L988" s="888"/>
      <c r="M988" s="888"/>
      <c r="N988" s="888"/>
      <c r="O988" s="888"/>
      <c r="P988" s="888"/>
      <c r="Q988" s="888"/>
      <c r="R988" s="888"/>
    </row>
    <row r="989" spans="1:18" s="893" customFormat="1" x14ac:dyDescent="0.3">
      <c r="A989" s="888" t="str">
        <f>IF(LEN('Translation-EN'!A989)&gt;0,'Translation-EN'!A989,"")</f>
        <v>Range</v>
      </c>
      <c r="B989" s="888" t="str">
        <f>IF(LEN('Translation-EN'!B989)&gt;0,'Translation-EN'!B989,"")</f>
        <v>Roof</v>
      </c>
      <c r="C989" s="888" t="str">
        <f>IF(LEN('Translation-EN'!C989)&gt;0,'Translation-EN'!C989,"")</f>
        <v>B145</v>
      </c>
      <c r="D989" s="888" t="str">
        <f>IF(LEN('Translation-EN'!D989)&gt;0,'Translation-EN'!D989,"")</f>
        <v/>
      </c>
      <c r="E989" s="893" t="str">
        <f>$E$339</f>
        <v>NATTE DE FIBRE DE VERRE</v>
      </c>
      <c r="I989" s="888"/>
      <c r="J989" s="888"/>
      <c r="K989" s="888"/>
      <c r="L989" s="888"/>
      <c r="M989" s="888"/>
      <c r="N989" s="888"/>
      <c r="O989" s="888"/>
      <c r="P989" s="888"/>
      <c r="Q989" s="888"/>
      <c r="R989" s="888"/>
    </row>
    <row r="990" spans="1:18" s="893" customFormat="1" x14ac:dyDescent="0.3">
      <c r="A990" s="888" t="str">
        <f>IF(LEN('Translation-EN'!A990)&gt;0,'Translation-EN'!A990,"")</f>
        <v>Range</v>
      </c>
      <c r="B990" s="888" t="str">
        <f>IF(LEN('Translation-EN'!B990)&gt;0,'Translation-EN'!B990,"")</f>
        <v>Roof</v>
      </c>
      <c r="C990" s="888" t="str">
        <f>IF(LEN('Translation-EN'!C990)&gt;0,'Translation-EN'!C990,"")</f>
        <v>C146</v>
      </c>
      <c r="D990" s="888" t="str">
        <f>IF(LEN('Translation-EN'!D990)&gt;0,'Translation-EN'!D990,"")</f>
        <v/>
      </c>
      <c r="E990" s="893" t="s">
        <v>4013</v>
      </c>
      <c r="I990" s="888"/>
      <c r="J990" s="888"/>
      <c r="K990" s="888"/>
      <c r="L990" s="888"/>
      <c r="M990" s="888"/>
      <c r="N990" s="888"/>
      <c r="O990" s="888"/>
      <c r="P990" s="888"/>
      <c r="Q990" s="888"/>
      <c r="R990" s="888"/>
    </row>
    <row r="991" spans="1:18" s="893" customFormat="1" x14ac:dyDescent="0.3">
      <c r="A991" s="888" t="str">
        <f>IF(LEN('Translation-EN'!A991)&gt;0,'Translation-EN'!A991,"")</f>
        <v>Range</v>
      </c>
      <c r="B991" s="888" t="str">
        <f>IF(LEN('Translation-EN'!B991)&gt;0,'Translation-EN'!B991,"")</f>
        <v>Roof</v>
      </c>
      <c r="C991" s="888" t="str">
        <f>IF(LEN('Translation-EN'!C991)&gt;0,'Translation-EN'!C991,"")</f>
        <v>B150</v>
      </c>
      <c r="D991" s="888" t="str">
        <f>IF(LEN('Translation-EN'!D991)&gt;0,'Translation-EN'!D991,"")</f>
        <v/>
      </c>
      <c r="E991" s="893" t="str">
        <f>$E$874</f>
        <v>FIBRE DE VERRE EN VRAC</v>
      </c>
      <c r="I991" s="888"/>
      <c r="J991" s="888"/>
      <c r="K991" s="888"/>
      <c r="L991" s="888"/>
      <c r="M991" s="888"/>
      <c r="N991" s="888"/>
      <c r="O991" s="888"/>
      <c r="P991" s="888"/>
      <c r="Q991" s="888"/>
      <c r="R991" s="888"/>
    </row>
    <row r="992" spans="1:18" s="893" customFormat="1" x14ac:dyDescent="0.3">
      <c r="A992" s="888" t="str">
        <f>IF(LEN('Translation-EN'!A992)&gt;0,'Translation-EN'!A992,"")</f>
        <v>Range</v>
      </c>
      <c r="B992" s="888" t="str">
        <f>IF(LEN('Translation-EN'!B992)&gt;0,'Translation-EN'!B992,"")</f>
        <v>Roof</v>
      </c>
      <c r="C992" s="888" t="str">
        <f>IF(LEN('Translation-EN'!C992)&gt;0,'Translation-EN'!C992,"")</f>
        <v>C151</v>
      </c>
      <c r="D992" s="888" t="str">
        <f>IF(LEN('Translation-EN'!D992)&gt;0,'Translation-EN'!D992,"")</f>
        <v/>
      </c>
      <c r="E992" s="893" t="s">
        <v>4014</v>
      </c>
      <c r="I992" s="888"/>
      <c r="J992" s="888"/>
      <c r="K992" s="888"/>
      <c r="L992" s="888"/>
      <c r="M992" s="888"/>
      <c r="N992" s="888"/>
      <c r="O992" s="888"/>
      <c r="P992" s="888"/>
      <c r="Q992" s="888"/>
      <c r="R992" s="888"/>
    </row>
    <row r="993" spans="1:18" s="893" customFormat="1" x14ac:dyDescent="0.3">
      <c r="A993" s="888" t="str">
        <f>IF(LEN('Translation-EN'!A993)&gt;0,'Translation-EN'!A993,"")</f>
        <v>Range</v>
      </c>
      <c r="B993" s="888" t="str">
        <f>IF(LEN('Translation-EN'!B993)&gt;0,'Translation-EN'!B993,"")</f>
        <v>Roof</v>
      </c>
      <c r="C993" s="888" t="str">
        <f>IF(LEN('Translation-EN'!C993)&gt;0,'Translation-EN'!C993,"")</f>
        <v>B156</v>
      </c>
      <c r="D993" s="888" t="str">
        <f>IF(LEN('Translation-EN'!D993)&gt;0,'Translation-EN'!D993,"")</f>
        <v/>
      </c>
      <c r="E993" s="893" t="str">
        <f>$E$343</f>
        <v>NATTE DE LAINE MINÉRALE</v>
      </c>
      <c r="I993" s="888"/>
      <c r="J993" s="888"/>
      <c r="K993" s="888"/>
      <c r="L993" s="888"/>
      <c r="M993" s="888"/>
      <c r="N993" s="888"/>
      <c r="O993" s="888"/>
      <c r="P993" s="888"/>
      <c r="Q993" s="888"/>
      <c r="R993" s="888"/>
    </row>
    <row r="994" spans="1:18" s="893" customFormat="1" x14ac:dyDescent="0.3">
      <c r="A994" s="888" t="str">
        <f>IF(LEN('Translation-EN'!A994)&gt;0,'Translation-EN'!A994,"")</f>
        <v>Range</v>
      </c>
      <c r="B994" s="888" t="str">
        <f>IF(LEN('Translation-EN'!B994)&gt;0,'Translation-EN'!B994,"")</f>
        <v>_Roof</v>
      </c>
      <c r="C994" s="888" t="str">
        <f>IF(LEN('Translation-EN'!C994)&gt;0,'Translation-EN'!C994,"")</f>
        <v>C78</v>
      </c>
      <c r="D994" s="888" t="str">
        <f>IF(LEN('Translation-EN'!D994)&gt;0,'Translation-EN'!D994,"")</f>
        <v/>
      </c>
      <c r="E994" s="893" t="s">
        <v>3083</v>
      </c>
      <c r="I994" s="888"/>
      <c r="J994" s="888"/>
      <c r="K994" s="888"/>
      <c r="L994" s="888"/>
      <c r="M994" s="888"/>
      <c r="N994" s="888"/>
      <c r="O994" s="888"/>
      <c r="P994" s="888"/>
      <c r="Q994" s="888"/>
      <c r="R994" s="888"/>
    </row>
    <row r="995" spans="1:18" s="893" customFormat="1" x14ac:dyDescent="0.3">
      <c r="A995" s="888" t="str">
        <f>IF(LEN('Translation-EN'!A995)&gt;0,'Translation-EN'!A995,"")</f>
        <v>Range</v>
      </c>
      <c r="B995" s="888" t="str">
        <f>IF(LEN('Translation-EN'!B995)&gt;0,'Translation-EN'!B995,"")</f>
        <v>Roof</v>
      </c>
      <c r="C995" s="888" t="str">
        <f>IF(LEN('Translation-EN'!C995)&gt;0,'Translation-EN'!C995,"")</f>
        <v>B163</v>
      </c>
      <c r="D995" s="888" t="str">
        <f>IF(LEN('Translation-EN'!D995)&gt;0,'Translation-EN'!D995,"")</f>
        <v/>
      </c>
      <c r="E995" s="893" t="str">
        <f>$E$880</f>
        <v>LAINE MINÉRALE EN VRAC</v>
      </c>
      <c r="I995" s="888"/>
      <c r="J995" s="888"/>
      <c r="K995" s="888"/>
      <c r="L995" s="888"/>
      <c r="M995" s="888"/>
      <c r="N995" s="888"/>
      <c r="O995" s="888"/>
      <c r="P995" s="888"/>
      <c r="Q995" s="888"/>
      <c r="R995" s="888"/>
    </row>
    <row r="996" spans="1:18" s="893" customFormat="1" x14ac:dyDescent="0.3">
      <c r="A996" s="888" t="str">
        <f>IF(LEN('Translation-EN'!A996)&gt;0,'Translation-EN'!A996,"")</f>
        <v>Range</v>
      </c>
      <c r="B996" s="888" t="str">
        <f>IF(LEN('Translation-EN'!B996)&gt;0,'Translation-EN'!B996,"")</f>
        <v>Roof</v>
      </c>
      <c r="C996" s="888" t="str">
        <f>IF(LEN('Translation-EN'!C996)&gt;0,'Translation-EN'!C996,"")</f>
        <v>B165</v>
      </c>
      <c r="D996" s="888" t="str">
        <f>IF(LEN('Translation-EN'!D996)&gt;0,'Translation-EN'!D996,"")</f>
        <v/>
      </c>
      <c r="E996" s="893" t="str">
        <f>$E$479</f>
        <v>MOUSSE À PULVÉRISER – CELLULE FERMÉE</v>
      </c>
      <c r="I996" s="888"/>
      <c r="J996" s="888"/>
      <c r="K996" s="888"/>
      <c r="L996" s="888"/>
      <c r="M996" s="888"/>
      <c r="N996" s="888"/>
      <c r="O996" s="888"/>
      <c r="P996" s="888"/>
      <c r="Q996" s="888"/>
      <c r="R996" s="888"/>
    </row>
    <row r="997" spans="1:18" s="893" customFormat="1" x14ac:dyDescent="0.3">
      <c r="A997" s="888" t="str">
        <f>IF(LEN('Translation-EN'!A997)&gt;0,'Translation-EN'!A997,"")</f>
        <v>Range</v>
      </c>
      <c r="B997" s="888" t="str">
        <f>IF(LEN('Translation-EN'!B997)&gt;0,'Translation-EN'!B997,"")</f>
        <v>Roof</v>
      </c>
      <c r="C997" s="888" t="str">
        <f>IF(LEN('Translation-EN'!C997)&gt;0,'Translation-EN'!C997,"")</f>
        <v>B168</v>
      </c>
      <c r="D997" s="888" t="str">
        <f>IF(LEN('Translation-EN'!D997)&gt;0,'Translation-EN'!D997,"")</f>
        <v/>
      </c>
      <c r="E997" s="893" t="str">
        <f>$E$480</f>
        <v>MOUSSE À PULVÉRISER – CELLULE OUVERTE</v>
      </c>
      <c r="I997" s="888"/>
      <c r="J997" s="888"/>
      <c r="K997" s="888"/>
      <c r="L997" s="888"/>
      <c r="M997" s="888"/>
      <c r="N997" s="888"/>
      <c r="O997" s="888"/>
      <c r="P997" s="888"/>
      <c r="Q997" s="888"/>
      <c r="R997" s="888"/>
    </row>
    <row r="998" spans="1:18" s="893" customFormat="1" x14ac:dyDescent="0.3">
      <c r="A998" s="888" t="str">
        <f>IF(LEN('Translation-EN'!A998)&gt;0,'Translation-EN'!A998,"")</f>
        <v>Range</v>
      </c>
      <c r="B998" s="888" t="str">
        <f>IF(LEN('Translation-EN'!B998)&gt;0,'Translation-EN'!B998,"")</f>
        <v>Roof</v>
      </c>
      <c r="C998" s="888" t="str">
        <f>IF(LEN('Translation-EN'!C998)&gt;0,'Translation-EN'!C998,"")</f>
        <v>B170</v>
      </c>
      <c r="D998" s="888" t="str">
        <f>IF(LEN('Translation-EN'!D998)&gt;0,'Translation-EN'!D998,"")</f>
        <v/>
      </c>
      <c r="E998" s="893" t="str">
        <f>$E$341</f>
        <v>ISOLATION EN CELLULOSE</v>
      </c>
      <c r="I998" s="888"/>
      <c r="J998" s="888"/>
      <c r="K998" s="888"/>
      <c r="L998" s="888"/>
      <c r="M998" s="888"/>
      <c r="N998" s="888"/>
      <c r="O998" s="888"/>
      <c r="P998" s="888"/>
      <c r="Q998" s="888"/>
      <c r="R998" s="888"/>
    </row>
    <row r="999" spans="1:18" s="893" customFormat="1" x14ac:dyDescent="0.3">
      <c r="A999" s="888" t="str">
        <f>IF(LEN('Translation-EN'!A999)&gt;0,'Translation-EN'!A999,"")</f>
        <v>Range</v>
      </c>
      <c r="B999" s="888" t="str">
        <f>IF(LEN('Translation-EN'!B999)&gt;0,'Translation-EN'!B999,"")</f>
        <v>Roof</v>
      </c>
      <c r="C999" s="888" t="str">
        <f>IF(LEN('Translation-EN'!C999)&gt;0,'Translation-EN'!C999,"")</f>
        <v>C171</v>
      </c>
      <c r="D999" s="888" t="str">
        <f>IF(LEN('Translation-EN'!D999)&gt;0,'Translation-EN'!D999,"")</f>
        <v/>
      </c>
      <c r="E999" s="893" t="s">
        <v>3084</v>
      </c>
      <c r="I999" s="888"/>
      <c r="J999" s="888"/>
      <c r="K999" s="888"/>
      <c r="L999" s="888"/>
      <c r="M999" s="888"/>
      <c r="N999" s="888"/>
      <c r="O999" s="888"/>
      <c r="P999" s="888"/>
      <c r="Q999" s="888"/>
      <c r="R999" s="888"/>
    </row>
    <row r="1000" spans="1:18" s="893" customFormat="1" x14ac:dyDescent="0.3">
      <c r="A1000" s="888" t="str">
        <f>IF(LEN('Translation-EN'!A1000)&gt;0,'Translation-EN'!A1000,"")</f>
        <v>Range</v>
      </c>
      <c r="B1000" s="888" t="str">
        <f>IF(LEN('Translation-EN'!B1000)&gt;0,'Translation-EN'!B1000,"")</f>
        <v>Roof</v>
      </c>
      <c r="C1000" s="888" t="str">
        <f>IF(LEN('Translation-EN'!C1000)&gt;0,'Translation-EN'!C1000,"")</f>
        <v>B175</v>
      </c>
      <c r="D1000" s="888" t="str">
        <f>IF(LEN('Translation-EN'!D1000)&gt;0,'Translation-EN'!D1000,"")</f>
        <v/>
      </c>
      <c r="E1000" s="893" t="str">
        <f>$E$345</f>
        <v>NATTE DE FIBRES DE BOIS</v>
      </c>
      <c r="I1000" s="888"/>
      <c r="J1000" s="888"/>
      <c r="K1000" s="888"/>
      <c r="L1000" s="888"/>
      <c r="M1000" s="888"/>
      <c r="N1000" s="888"/>
      <c r="O1000" s="888"/>
      <c r="P1000" s="888"/>
      <c r="Q1000" s="888"/>
      <c r="R1000" s="888"/>
    </row>
    <row r="1001" spans="1:18" s="893" customFormat="1" x14ac:dyDescent="0.3">
      <c r="A1001" s="888" t="str">
        <f>IF(LEN('Translation-EN'!A1001)&gt;0,'Translation-EN'!A1001,"")</f>
        <v>Range</v>
      </c>
      <c r="B1001" s="888" t="str">
        <f>IF(LEN('Translation-EN'!B1001)&gt;0,'Translation-EN'!B1001,"")</f>
        <v>_Roof</v>
      </c>
      <c r="C1001" s="888" t="str">
        <f>IF(LEN('Translation-EN'!C1001)&gt;0,'Translation-EN'!C1001,"")</f>
        <v>C125</v>
      </c>
      <c r="D1001" s="888" t="str">
        <f>IF(LEN('Translation-EN'!D1001)&gt;0,'Translation-EN'!D1001,"")</f>
        <v/>
      </c>
      <c r="E1001" s="893" t="s">
        <v>4015</v>
      </c>
      <c r="I1001" s="888"/>
      <c r="J1001" s="888"/>
      <c r="K1001" s="888"/>
      <c r="L1001" s="888"/>
      <c r="M1001" s="888"/>
      <c r="N1001" s="888"/>
      <c r="O1001" s="888"/>
      <c r="P1001" s="888"/>
      <c r="Q1001" s="888"/>
      <c r="R1001" s="888"/>
    </row>
    <row r="1002" spans="1:18" s="893" customFormat="1" x14ac:dyDescent="0.3">
      <c r="A1002" s="888" t="str">
        <f>IF(LEN('Translation-EN'!A1002)&gt;0,'Translation-EN'!A1002,"")</f>
        <v>Range</v>
      </c>
      <c r="B1002" s="888" t="str">
        <f>IF(LEN('Translation-EN'!B1002)&gt;0,'Translation-EN'!B1002,"")</f>
        <v>Roof</v>
      </c>
      <c r="C1002" s="888" t="str">
        <f>IF(LEN('Translation-EN'!C1002)&gt;0,'Translation-EN'!C1002,"")</f>
        <v>B177</v>
      </c>
      <c r="D1002" s="888" t="str">
        <f>IF(LEN('Translation-EN'!D1002)&gt;0,'Translation-EN'!D1002,"")</f>
        <v/>
      </c>
      <c r="E1002" s="893" t="str">
        <f>$E$478</f>
        <v>AUTRES ISOLANTS EN FIBRES NATURELLES</v>
      </c>
      <c r="I1002" s="888"/>
      <c r="J1002" s="888"/>
      <c r="K1002" s="888"/>
      <c r="L1002" s="888"/>
      <c r="M1002" s="888"/>
      <c r="N1002" s="888"/>
      <c r="O1002" s="888"/>
      <c r="P1002" s="888"/>
      <c r="Q1002" s="888"/>
      <c r="R1002" s="888"/>
    </row>
    <row r="1003" spans="1:18" s="893" customFormat="1" x14ac:dyDescent="0.3">
      <c r="A1003" s="888" t="str">
        <f>IF(LEN('Translation-EN'!A1003)&gt;0,'Translation-EN'!A1003,"")</f>
        <v>Range</v>
      </c>
      <c r="B1003" s="888" t="str">
        <f>IF(LEN('Translation-EN'!B1003)&gt;0,'Translation-EN'!B1003,"")</f>
        <v>Roof</v>
      </c>
      <c r="C1003" s="888" t="str">
        <f>IF(LEN('Translation-EN'!C1003)&gt;0,'Translation-EN'!C1003,"")</f>
        <v>B183</v>
      </c>
      <c r="D1003" s="888" t="str">
        <f>IF(LEN('Translation-EN'!D1003)&gt;0,'Translation-EN'!D1003,"")</f>
        <v/>
      </c>
      <c r="E1003" s="893" t="str">
        <f>$E$894</f>
        <v>BRIQUES DE CHANVRE EN VRAC</v>
      </c>
      <c r="I1003" s="888"/>
      <c r="J1003" s="888"/>
      <c r="K1003" s="888"/>
      <c r="L1003" s="888"/>
      <c r="M1003" s="888"/>
      <c r="N1003" s="888"/>
      <c r="O1003" s="888"/>
      <c r="P1003" s="888"/>
      <c r="Q1003" s="888"/>
      <c r="R1003" s="888"/>
    </row>
    <row r="1004" spans="1:18" s="893" customFormat="1" x14ac:dyDescent="0.3">
      <c r="A1004" s="888" t="str">
        <f>IF(LEN('Translation-EN'!A1004)&gt;0,'Translation-EN'!A1004,"")</f>
        <v>Range</v>
      </c>
      <c r="B1004" s="888" t="str">
        <f>IF(LEN('Translation-EN'!B1004)&gt;0,'Translation-EN'!B1004,"")</f>
        <v>Roof</v>
      </c>
      <c r="C1004" s="888" t="str">
        <f>IF(LEN('Translation-EN'!C1004)&gt;0,'Translation-EN'!C1004,"")</f>
        <v>C184</v>
      </c>
      <c r="D1004" s="888" t="str">
        <f>IF(LEN('Translation-EN'!D1004)&gt;0,'Translation-EN'!D1004,"")</f>
        <v/>
      </c>
      <c r="E1004" s="893" t="s">
        <v>4016</v>
      </c>
      <c r="I1004" s="888"/>
      <c r="J1004" s="888"/>
      <c r="K1004" s="888"/>
      <c r="L1004" s="888"/>
      <c r="M1004" s="888"/>
      <c r="N1004" s="888"/>
      <c r="O1004" s="888"/>
      <c r="P1004" s="888"/>
      <c r="Q1004" s="888"/>
      <c r="R1004" s="888"/>
    </row>
    <row r="1005" spans="1:18" s="893" customFormat="1" x14ac:dyDescent="0.3">
      <c r="A1005" s="888" t="str">
        <f>IF(LEN('Translation-EN'!A1005)&gt;0,'Translation-EN'!A1005,"")</f>
        <v>Range</v>
      </c>
      <c r="B1005" s="888" t="str">
        <f>IF(LEN('Translation-EN'!B1005)&gt;0,'Translation-EN'!B1005,"")</f>
        <v>_Roof</v>
      </c>
      <c r="C1005" s="888" t="str">
        <f>IF(LEN('Translation-EN'!C1005)&gt;0,'Translation-EN'!C1005,"")</f>
        <v>B140</v>
      </c>
      <c r="D1005" s="888" t="str">
        <f>IF(LEN('Translation-EN'!D1005)&gt;0,'Translation-EN'!D1005,"")</f>
        <v/>
      </c>
      <c r="E1005" s="893" t="str">
        <f>$E$352</f>
        <v>ISOLATION À VALEUR R ÉLEVÉE</v>
      </c>
      <c r="I1005" s="888"/>
      <c r="J1005" s="888"/>
      <c r="K1005" s="888"/>
      <c r="L1005" s="888"/>
      <c r="M1005" s="888"/>
      <c r="N1005" s="888"/>
      <c r="O1005" s="888"/>
      <c r="P1005" s="888"/>
      <c r="Q1005" s="888"/>
      <c r="R1005" s="888"/>
    </row>
    <row r="1006" spans="1:18" s="893" customFormat="1" x14ac:dyDescent="0.3">
      <c r="A1006" s="888" t="str">
        <f>IF(LEN('Translation-EN'!A1006)&gt;0,'Translation-EN'!A1006,"")</f>
        <v>Range</v>
      </c>
      <c r="B1006" s="888" t="str">
        <f>IF(LEN('Translation-EN'!B1006)&gt;0,'Translation-EN'!B1006,"")</f>
        <v>Roof</v>
      </c>
      <c r="C1006" s="888" t="str">
        <f>IF(LEN('Translation-EN'!C1006)&gt;0,'Translation-EN'!C1006,"")</f>
        <v>A190</v>
      </c>
      <c r="D1006" s="888" t="str">
        <f>IF(LEN('Translation-EN'!D1006)&gt;0,'Translation-EN'!D1006,"")</f>
        <v/>
      </c>
      <c r="E1006" s="893" t="s">
        <v>5122</v>
      </c>
      <c r="I1006" s="888"/>
      <c r="J1006" s="888"/>
      <c r="K1006" s="888"/>
      <c r="L1006" s="888"/>
      <c r="M1006" s="888"/>
      <c r="N1006" s="888"/>
      <c r="O1006" s="888"/>
      <c r="P1006" s="888"/>
      <c r="Q1006" s="888"/>
      <c r="R1006" s="888"/>
    </row>
    <row r="1007" spans="1:18" s="893" customFormat="1" x14ac:dyDescent="0.3">
      <c r="A1007" s="888" t="str">
        <f>IF(LEN('Translation-EN'!A1007)&gt;0,'Translation-EN'!A1007,"")</f>
        <v>Range</v>
      </c>
      <c r="B1007" s="888" t="str">
        <f>IF(LEN('Translation-EN'!B1007)&gt;0,'Translation-EN'!B1007,"")</f>
        <v>_Roof</v>
      </c>
      <c r="C1007" s="888" t="str">
        <f>IF(LEN('Translation-EN'!C1007)&gt;0,'Translation-EN'!C1007,"")</f>
        <v>R145</v>
      </c>
      <c r="D1007" s="888" t="str">
        <f>IF(LEN('Translation-EN'!D1007)&gt;0,'Translation-EN'!D1007,"")</f>
        <v/>
      </c>
      <c r="E1007" s="893" t="s">
        <v>3085</v>
      </c>
      <c r="I1007" s="888"/>
      <c r="J1007" s="888"/>
      <c r="K1007" s="888"/>
      <c r="L1007" s="888"/>
      <c r="M1007" s="888"/>
      <c r="N1007" s="888"/>
      <c r="O1007" s="888"/>
      <c r="P1007" s="888"/>
      <c r="Q1007" s="888"/>
      <c r="R1007" s="888"/>
    </row>
    <row r="1008" spans="1:18" s="893" customFormat="1" x14ac:dyDescent="0.3">
      <c r="A1008" s="888" t="str">
        <f>IF(LEN('Translation-EN'!A1008)&gt;0,'Translation-EN'!A1008,"")</f>
        <v>Range</v>
      </c>
      <c r="B1008" s="888" t="str">
        <f>IF(LEN('Translation-EN'!B1008)&gt;0,'Translation-EN'!B1008,"")</f>
        <v>Roof</v>
      </c>
      <c r="C1008" s="888" t="str">
        <f>IF(LEN('Translation-EN'!C1008)&gt;0,'Translation-EN'!C1008,"")</f>
        <v>F190</v>
      </c>
      <c r="D1008" s="888" t="str">
        <f>IF(LEN('Translation-EN'!D1008)&gt;0,'Translation-EN'!D1008,"")</f>
        <v/>
      </c>
      <c r="E1008" s="893" t="str">
        <f>$E$987</f>
        <v>ISOLATION PARALLÈLE À :</v>
      </c>
      <c r="I1008" s="888"/>
      <c r="J1008" s="888"/>
      <c r="K1008" s="888"/>
      <c r="L1008" s="888"/>
      <c r="M1008" s="888"/>
      <c r="N1008" s="888"/>
      <c r="O1008" s="888"/>
      <c r="P1008" s="888"/>
      <c r="Q1008" s="888"/>
      <c r="R1008" s="888"/>
    </row>
    <row r="1009" spans="1:18" s="893" customFormat="1" x14ac:dyDescent="0.3">
      <c r="A1009" s="888" t="str">
        <f>IF(LEN('Translation-EN'!A1009)&gt;0,'Translation-EN'!A1009,"")</f>
        <v>Range</v>
      </c>
      <c r="B1009" s="888" t="str">
        <f>IF(LEN('Translation-EN'!B1009)&gt;0,'Translation-EN'!B1009,"")</f>
        <v>_Roof</v>
      </c>
      <c r="C1009" s="888" t="str">
        <f>IF(LEN('Translation-EN'!C1009)&gt;0,'Translation-EN'!C1009,"")</f>
        <v>I143</v>
      </c>
      <c r="D1009" s="888" t="str">
        <f>IF(LEN('Translation-EN'!D1009)&gt;0,'Translation-EN'!D1009,"")</f>
        <v/>
      </c>
      <c r="E1009" s="893" t="s">
        <v>3086</v>
      </c>
      <c r="I1009" s="888"/>
      <c r="J1009" s="888"/>
      <c r="K1009" s="888"/>
      <c r="L1009" s="888"/>
      <c r="M1009" s="888"/>
      <c r="N1009" s="888"/>
      <c r="O1009" s="888"/>
      <c r="P1009" s="888"/>
      <c r="Q1009" s="888"/>
      <c r="R1009" s="888"/>
    </row>
    <row r="1010" spans="1:18" s="893" customFormat="1" x14ac:dyDescent="0.3">
      <c r="A1010" s="888" t="str">
        <f>IF(LEN('Translation-EN'!A1010)&gt;0,'Translation-EN'!A1010,"")</f>
        <v>Range</v>
      </c>
      <c r="B1010" s="888" t="str">
        <f>IF(LEN('Translation-EN'!B1010)&gt;0,'Translation-EN'!B1010,"")</f>
        <v>Roof</v>
      </c>
      <c r="C1010" s="888" t="str">
        <f>IF(LEN('Translation-EN'!C1010)&gt;0,'Translation-EN'!C1010,"")</f>
        <v>B191</v>
      </c>
      <c r="D1010" s="888" t="str">
        <f>IF(LEN('Translation-EN'!D1010)&gt;0,'Translation-EN'!D1010,"")</f>
        <v/>
      </c>
      <c r="E1010" s="893" t="str">
        <f>$E$221</f>
        <v>PANNEAU DE MOUSSE EPS</v>
      </c>
      <c r="I1010" s="888"/>
      <c r="J1010" s="888"/>
      <c r="K1010" s="888"/>
      <c r="L1010" s="888"/>
      <c r="M1010" s="888"/>
      <c r="N1010" s="888"/>
      <c r="O1010" s="888"/>
      <c r="P1010" s="888"/>
      <c r="Q1010" s="888"/>
      <c r="R1010" s="888"/>
    </row>
    <row r="1011" spans="1:18" s="893" customFormat="1" x14ac:dyDescent="0.3">
      <c r="A1011" s="888" t="str">
        <f>IF(LEN('Translation-EN'!A1011)&gt;0,'Translation-EN'!A1011,"")</f>
        <v>Range</v>
      </c>
      <c r="B1011" s="888" t="str">
        <f>IF(LEN('Translation-EN'!B1011)&gt;0,'Translation-EN'!B1011,"")</f>
        <v>Roof</v>
      </c>
      <c r="C1011" s="888" t="str">
        <f>IF(LEN('Translation-EN'!C1011)&gt;0,'Translation-EN'!C1011,"")</f>
        <v>C192</v>
      </c>
      <c r="D1011" s="888" t="str">
        <f>IF(LEN('Translation-EN'!D1011)&gt;0,'Translation-EN'!D1011,"")</f>
        <v/>
      </c>
      <c r="E1011" s="893" t="str">
        <f>$E$222</f>
        <v>Panneau de mousse EPS – MOYENNE</v>
      </c>
      <c r="I1011" s="888"/>
      <c r="J1011" s="888"/>
      <c r="K1011" s="888"/>
      <c r="L1011" s="888"/>
      <c r="M1011" s="888"/>
      <c r="N1011" s="888"/>
      <c r="O1011" s="888"/>
      <c r="P1011" s="888"/>
      <c r="Q1011" s="888"/>
      <c r="R1011" s="888"/>
    </row>
    <row r="1012" spans="1:18" s="893" customFormat="1" x14ac:dyDescent="0.3">
      <c r="A1012" s="888" t="str">
        <f>IF(LEN('Translation-EN'!A1012)&gt;0,'Translation-EN'!A1012,"")</f>
        <v>Range</v>
      </c>
      <c r="B1012" s="888" t="str">
        <f>IF(LEN('Translation-EN'!B1012)&gt;0,'Translation-EN'!B1012,"")</f>
        <v>Roof</v>
      </c>
      <c r="C1012" s="888" t="str">
        <f>IF(LEN('Translation-EN'!C1012)&gt;0,'Translation-EN'!C1012,"")</f>
        <v>B201</v>
      </c>
      <c r="D1012" s="888" t="str">
        <f>IF(LEN('Translation-EN'!D1012)&gt;0,'Translation-EN'!D1012,"")</f>
        <v/>
      </c>
      <c r="E1012" s="893" t="str">
        <f>$E$297</f>
        <v>PANNEAU DE FIBRES DE BOIS</v>
      </c>
      <c r="I1012" s="888"/>
      <c r="J1012" s="888"/>
      <c r="K1012" s="888"/>
      <c r="L1012" s="888"/>
      <c r="M1012" s="888"/>
      <c r="N1012" s="888"/>
      <c r="O1012" s="888"/>
      <c r="P1012" s="888"/>
      <c r="Q1012" s="888"/>
      <c r="R1012" s="888"/>
    </row>
    <row r="1013" spans="1:18" s="893" customFormat="1" x14ac:dyDescent="0.3">
      <c r="A1013" s="888" t="str">
        <f>IF(LEN('Translation-EN'!A1013)&gt;0,'Translation-EN'!A1013,"")</f>
        <v>Range</v>
      </c>
      <c r="B1013" s="888" t="str">
        <f>IF(LEN('Translation-EN'!B1013)&gt;0,'Translation-EN'!B1013,"")</f>
        <v>Roof</v>
      </c>
      <c r="C1013" s="888" t="str">
        <f>IF(LEN('Translation-EN'!C1013)&gt;0,'Translation-EN'!C1013,"")</f>
        <v>C202</v>
      </c>
      <c r="D1013" s="888" t="str">
        <f>IF(LEN('Translation-EN'!D1013)&gt;0,'Translation-EN'!D1013,"")</f>
        <v/>
      </c>
      <c r="E1013" s="893" t="str">
        <f>$E$298</f>
        <v>Panneau de fibres de bois – MOYENNE</v>
      </c>
      <c r="I1013" s="888"/>
      <c r="J1013" s="888"/>
      <c r="K1013" s="888"/>
      <c r="L1013" s="888"/>
      <c r="M1013" s="888"/>
      <c r="N1013" s="888"/>
      <c r="O1013" s="888"/>
      <c r="P1013" s="888"/>
      <c r="Q1013" s="888"/>
      <c r="R1013" s="888"/>
    </row>
    <row r="1014" spans="1:18" s="893" customFormat="1" x14ac:dyDescent="0.3">
      <c r="A1014" s="888" t="str">
        <f>IF(LEN('Translation-EN'!A1014)&gt;0,'Translation-EN'!A1014,"")</f>
        <v>Range</v>
      </c>
      <c r="B1014" s="888" t="str">
        <f>IF(LEN('Translation-EN'!B1014)&gt;0,'Translation-EN'!B1014,"")</f>
        <v>Roof</v>
      </c>
      <c r="C1014" s="888" t="str">
        <f>IF(LEN('Translation-EN'!C1014)&gt;0,'Translation-EN'!C1014,"")</f>
        <v>B212</v>
      </c>
      <c r="D1014" s="888" t="str">
        <f>IF(LEN('Translation-EN'!D1014)&gt;0,'Translation-EN'!D1014,"")</f>
        <v/>
      </c>
      <c r="E1014" s="893" t="str">
        <f>$E$223</f>
        <v>PANNEAU DE MOUSSE XPS</v>
      </c>
      <c r="I1014" s="888"/>
      <c r="J1014" s="888"/>
      <c r="K1014" s="888"/>
      <c r="L1014" s="888"/>
      <c r="M1014" s="888"/>
      <c r="N1014" s="888"/>
      <c r="O1014" s="888"/>
      <c r="P1014" s="888"/>
      <c r="Q1014" s="888"/>
      <c r="R1014" s="888"/>
    </row>
    <row r="1015" spans="1:18" s="893" customFormat="1" x14ac:dyDescent="0.3">
      <c r="A1015" s="888" t="str">
        <f>IF(LEN('Translation-EN'!A1015)&gt;0,'Translation-EN'!A1015,"")</f>
        <v>Range</v>
      </c>
      <c r="B1015" s="888" t="str">
        <f>IF(LEN('Translation-EN'!B1015)&gt;0,'Translation-EN'!B1015,"")</f>
        <v>Roof</v>
      </c>
      <c r="C1015" s="888" t="str">
        <f>IF(LEN('Translation-EN'!C1015)&gt;0,'Translation-EN'!C1015,"")</f>
        <v>C213</v>
      </c>
      <c r="D1015" s="888" t="str">
        <f>IF(LEN('Translation-EN'!D1015)&gt;0,'Translation-EN'!D1015,"")</f>
        <v/>
      </c>
      <c r="E1015" s="1034" t="str">
        <f>$E$224</f>
        <v>Panneau de mousse XPS – MOYENNE</v>
      </c>
      <c r="I1015" s="888"/>
      <c r="J1015" s="888"/>
      <c r="K1015" s="888"/>
      <c r="L1015" s="888"/>
      <c r="M1015" s="888"/>
      <c r="N1015" s="888"/>
      <c r="O1015" s="888"/>
      <c r="P1015" s="888"/>
      <c r="Q1015" s="888"/>
      <c r="R1015" s="888"/>
    </row>
    <row r="1016" spans="1:18" s="893" customFormat="1" x14ac:dyDescent="0.3">
      <c r="A1016" s="888" t="str">
        <f>IF(LEN('Translation-EN'!A1016)&gt;0,'Translation-EN'!A1016,"")</f>
        <v>Range</v>
      </c>
      <c r="B1016" s="888" t="str">
        <f>IF(LEN('Translation-EN'!B1016)&gt;0,'Translation-EN'!B1016,"")</f>
        <v>Roof</v>
      </c>
      <c r="C1016" s="888" t="str">
        <f>IF(LEN('Translation-EN'!C1016)&gt;0,'Translation-EN'!C1016,"")</f>
        <v>B217</v>
      </c>
      <c r="D1016" s="888" t="str">
        <f>IF(LEN('Translation-EN'!D1016)&gt;0,'Translation-EN'!D1016,"")</f>
        <v/>
      </c>
      <c r="E1016" s="893" t="str">
        <f>$E$490</f>
        <v>PANNEAU DE MOUSSE POLYISOCYANURATE</v>
      </c>
      <c r="I1016" s="888"/>
      <c r="J1016" s="888"/>
      <c r="K1016" s="888"/>
      <c r="L1016" s="888"/>
      <c r="M1016" s="888"/>
      <c r="N1016" s="888"/>
      <c r="O1016" s="888"/>
      <c r="P1016" s="888"/>
      <c r="Q1016" s="888"/>
      <c r="R1016" s="888"/>
    </row>
    <row r="1017" spans="1:18" x14ac:dyDescent="0.3">
      <c r="A1017" s="888" t="str">
        <f>IF(LEN('Translation-EN'!A1017)&gt;0,'Translation-EN'!A1017,"")</f>
        <v>Range</v>
      </c>
      <c r="B1017" s="888" t="str">
        <f>IF(LEN('Translation-EN'!B1017)&gt;0,'Translation-EN'!B1017,"")</f>
        <v>Roof</v>
      </c>
      <c r="C1017" s="888" t="str">
        <f>IF(LEN('Translation-EN'!C1017)&gt;0,'Translation-EN'!C1017,"")</f>
        <v>C218</v>
      </c>
      <c r="D1017" s="888" t="str">
        <f>IF(LEN('Translation-EN'!D1017)&gt;0,'Translation-EN'!D1017,"")</f>
        <v/>
      </c>
      <c r="E1017" s="893" t="str">
        <f>$E$491</f>
        <v>Polyisocyanurate – MOYENNE</v>
      </c>
    </row>
    <row r="1018" spans="1:18" x14ac:dyDescent="0.3">
      <c r="A1018" s="888" t="str">
        <f>IF(LEN('Translation-EN'!A1018)&gt;0,'Translation-EN'!A1018,"")</f>
        <v>Range</v>
      </c>
      <c r="B1018" s="888" t="str">
        <f>IF(LEN('Translation-EN'!B1018)&gt;0,'Translation-EN'!B1018,"")</f>
        <v>Roof</v>
      </c>
      <c r="C1018" s="888" t="str">
        <f>IF(LEN('Translation-EN'!C1018)&gt;0,'Translation-EN'!C1018,"")</f>
        <v>B233</v>
      </c>
      <c r="D1018" s="888" t="str">
        <f>IF(LEN('Translation-EN'!D1018)&gt;0,'Translation-EN'!D1018,"")</f>
        <v/>
      </c>
      <c r="E1018" s="893" t="str">
        <f>$E$225</f>
        <v>PANNEAU DE LAINE MINÉRALE</v>
      </c>
    </row>
    <row r="1019" spans="1:18" x14ac:dyDescent="0.3">
      <c r="A1019" s="888" t="str">
        <f>IF(LEN('Translation-EN'!A1019)&gt;0,'Translation-EN'!A1019,"")</f>
        <v>Range</v>
      </c>
      <c r="B1019" s="888" t="str">
        <f>IF(LEN('Translation-EN'!B1019)&gt;0,'Translation-EN'!B1019,"")</f>
        <v>Roof</v>
      </c>
      <c r="C1019" s="888" t="str">
        <f>IF(LEN('Translation-EN'!C1019)&gt;0,'Translation-EN'!C1019,"")</f>
        <v>C234</v>
      </c>
      <c r="D1019" s="888" t="str">
        <f>IF(LEN('Translation-EN'!D1019)&gt;0,'Translation-EN'!D1019,"")</f>
        <v/>
      </c>
      <c r="E1019" s="893" t="str">
        <f>$E$493</f>
        <v>Panneau de laine minérale – MOYENNE</v>
      </c>
    </row>
    <row r="1020" spans="1:18" x14ac:dyDescent="0.3">
      <c r="A1020" s="888" t="str">
        <f>IF(LEN('Translation-EN'!A1020)&gt;0,'Translation-EN'!A1020,"")</f>
        <v>Range</v>
      </c>
      <c r="B1020" s="888" t="str">
        <f>IF(LEN('Translation-EN'!B1020)&gt;0,'Translation-EN'!B1020,"")</f>
        <v>Roof</v>
      </c>
      <c r="C1020" s="888" t="str">
        <f>IF(LEN('Translation-EN'!C1020)&gt;0,'Translation-EN'!C1020,"")</f>
        <v>B238</v>
      </c>
      <c r="D1020" s="888" t="str">
        <f>IF(LEN('Translation-EN'!D1020)&gt;0,'Translation-EN'!D1020,"")</f>
        <v/>
      </c>
      <c r="E1020" s="929" t="str">
        <f>$E$231</f>
        <v>PANNEAU EN LIÈGE</v>
      </c>
    </row>
    <row r="1021" spans="1:18" x14ac:dyDescent="0.3">
      <c r="A1021" s="888" t="str">
        <f>IF(LEN('Translation-EN'!A1021)&gt;0,'Translation-EN'!A1021,"")</f>
        <v>Range</v>
      </c>
      <c r="B1021" s="888" t="str">
        <f>IF(LEN('Translation-EN'!B1021)&gt;0,'Translation-EN'!B1021,"")</f>
        <v>_Roof</v>
      </c>
      <c r="C1021" s="888" t="str">
        <f>IF(LEN('Translation-EN'!C1021)&gt;0,'Translation-EN'!C1021,"")</f>
        <v>C194</v>
      </c>
      <c r="D1021" s="888" t="str">
        <f>IF(LEN('Translation-EN'!D1021)&gt;0,'Translation-EN'!D1021,"")</f>
        <v/>
      </c>
      <c r="E1021" s="929" t="str">
        <f>$E$497</f>
        <v>Panneau de liège – MOYENNE</v>
      </c>
    </row>
    <row r="1022" spans="1:18" x14ac:dyDescent="0.3">
      <c r="A1022" s="888" t="str">
        <f>IF(LEN('Translation-EN'!A1022)&gt;0,'Translation-EN'!A1022,"")</f>
        <v>Range</v>
      </c>
      <c r="B1022" s="888" t="str">
        <f>IF(LEN('Translation-EN'!B1022)&gt;0,'Translation-EN'!B1022,"")</f>
        <v>Roof</v>
      </c>
      <c r="C1022" s="888" t="str">
        <f>IF(LEN('Translation-EN'!C1022)&gt;0,'Translation-EN'!C1022,"")</f>
        <v>A240</v>
      </c>
      <c r="D1022" s="888" t="str">
        <f>IF(LEN('Translation-EN'!D1022)&gt;0,'Translation-EN'!D1022,"")</f>
        <v/>
      </c>
      <c r="E1022" s="893" t="s">
        <v>3087</v>
      </c>
    </row>
    <row r="1023" spans="1:18" x14ac:dyDescent="0.3">
      <c r="A1023" s="888" t="str">
        <f>IF(LEN('Translation-EN'!A1023)&gt;0,'Translation-EN'!A1023,"")</f>
        <v>Range</v>
      </c>
      <c r="B1023" s="888" t="str">
        <f>IF(LEN('Translation-EN'!B1023)&gt;0,'Translation-EN'!B1023,"")</f>
        <v>Roof</v>
      </c>
      <c r="C1023" s="888" t="str">
        <f>IF(LEN('Translation-EN'!C1023)&gt;0,'Translation-EN'!C1023,"")</f>
        <v>B241</v>
      </c>
      <c r="D1023" s="888" t="str">
        <f>IF(LEN('Translation-EN'!D1023)&gt;0,'Translation-EN'!D1023,"")</f>
        <v/>
      </c>
      <c r="E1023" s="893" t="s">
        <v>3088</v>
      </c>
    </row>
    <row r="1024" spans="1:18" x14ac:dyDescent="0.3">
      <c r="A1024" s="888" t="str">
        <f>IF(LEN('Translation-EN'!A1024)&gt;0,'Translation-EN'!A1024,"")</f>
        <v>Range</v>
      </c>
      <c r="B1024" s="888" t="str">
        <f>IF(LEN('Translation-EN'!B1024)&gt;0,'Translation-EN'!B1024,"")</f>
        <v>_Roof</v>
      </c>
      <c r="C1024" s="888" t="str">
        <f>IF(LEN('Translation-EN'!C1024)&gt;0,'Translation-EN'!C1024,"")</f>
        <v>C151</v>
      </c>
      <c r="D1024" s="888" t="str">
        <f>IF(LEN('Translation-EN'!D1024)&gt;0,'Translation-EN'!D1024,"")</f>
        <v/>
      </c>
      <c r="E1024" s="893" t="s">
        <v>3089</v>
      </c>
    </row>
    <row r="1025" spans="1:19" x14ac:dyDescent="0.3">
      <c r="A1025" s="888" t="str">
        <f>IF(LEN('Translation-EN'!A1025)&gt;0,'Translation-EN'!A1025,"")</f>
        <v>Range</v>
      </c>
      <c r="B1025" s="888" t="str">
        <f>IF(LEN('Translation-EN'!B1025)&gt;0,'Translation-EN'!B1025,"")</f>
        <v>Garage</v>
      </c>
      <c r="C1025" s="888" t="str">
        <f>IF(LEN('Translation-EN'!C1025)&gt;0,'Translation-EN'!C1025,"")</f>
        <v>A1</v>
      </c>
      <c r="D1025" s="888" t="str">
        <f>IF(LEN('Translation-EN'!D1025)&gt;0,'Translation-EN'!D1025,"")</f>
        <v/>
      </c>
      <c r="E1025" s="893" t="s">
        <v>3090</v>
      </c>
    </row>
    <row r="1026" spans="1:19" x14ac:dyDescent="0.3">
      <c r="A1026" s="888" t="str">
        <f>IF(LEN('Translation-EN'!A1026)&gt;0,'Translation-EN'!A1026,"")</f>
        <v>Range</v>
      </c>
      <c r="B1026" s="888" t="str">
        <f>IF(LEN('Translation-EN'!B1026)&gt;0,'Translation-EN'!B1026,"")</f>
        <v>Garage</v>
      </c>
      <c r="C1026" s="888" t="str">
        <f>IF(LEN('Translation-EN'!C1026)&gt;0,'Translation-EN'!C1026,"")</f>
        <v>D1</v>
      </c>
      <c r="D1026" s="888" t="str">
        <f>IF(LEN('Translation-EN'!D1026)&gt;0,'Translation-EN'!D1026,"")</f>
        <v/>
      </c>
      <c r="E1026" s="893" t="str">
        <f>$E$124</f>
        <v>GARAGE</v>
      </c>
    </row>
    <row r="1027" spans="1:19" ht="198.75" customHeight="1" x14ac:dyDescent="0.3">
      <c r="A1027" s="888" t="str">
        <f>IF(LEN('Translation-EN'!A1027)&gt;0,'Translation-EN'!A1027,"")</f>
        <v>Range</v>
      </c>
      <c r="B1027" s="888" t="str">
        <f>IF(LEN('Translation-EN'!B1027)&gt;0,'Translation-EN'!B1027,"")</f>
        <v>Garage</v>
      </c>
      <c r="C1027" s="888" t="str">
        <f>IF(LEN('Translation-EN'!C1027)&gt;0,'Translation-EN'!C1027,"")</f>
        <v>A2</v>
      </c>
      <c r="D1027" s="888" t="b">
        <f>IF(LEN('Translation-EN'!D1027)&gt;0,'Translation-EN'!D1027,"")</f>
        <v>1</v>
      </c>
      <c r="E1027" s="1671"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1027" s="1671"/>
      <c r="G1027" s="1671"/>
      <c r="H1027" s="1671"/>
      <c r="I1027" s="1671"/>
      <c r="J1027" s="1671"/>
      <c r="K1027" s="1671"/>
      <c r="L1027" s="1671"/>
      <c r="M1027" s="1671"/>
      <c r="N1027" s="1671"/>
      <c r="O1027" s="1671"/>
      <c r="P1027" s="1671"/>
      <c r="Q1027" s="1671"/>
      <c r="R1027" s="1671"/>
      <c r="S1027" s="1671"/>
    </row>
    <row r="1028" spans="1:19" x14ac:dyDescent="0.3">
      <c r="A1028" s="888" t="str">
        <f>IF(LEN('Translation-EN'!A1028)&gt;0,'Translation-EN'!A1028,"")</f>
        <v>Range</v>
      </c>
      <c r="B1028" s="888" t="str">
        <f>IF(LEN('Translation-EN'!B1028)&gt;0,'Translation-EN'!B1028,"")</f>
        <v>Garage</v>
      </c>
      <c r="C1028" s="888" t="str">
        <f>IF(LEN('Translation-EN'!C1028)&gt;0,'Translation-EN'!C1028,"")</f>
        <v>A3</v>
      </c>
      <c r="D1028" s="888" t="str">
        <f>IF(LEN('Translation-EN'!D1028)&gt;0,'Translation-EN'!D1028,"")</f>
        <v/>
      </c>
      <c r="E1028" s="888" t="str">
        <f>$E$170</f>
        <v>CATÉGORIE</v>
      </c>
    </row>
    <row r="1029" spans="1:19" x14ac:dyDescent="0.3">
      <c r="A1029" s="888" t="str">
        <f>IF(LEN('Translation-EN'!A1029)&gt;0,'Translation-EN'!A1029,"")</f>
        <v>Range</v>
      </c>
      <c r="B1029" s="888" t="str">
        <f>IF(LEN('Translation-EN'!B1029)&gt;0,'Translation-EN'!B1029,"")</f>
        <v>Garage</v>
      </c>
      <c r="C1029" s="888" t="str">
        <f>IF(LEN('Translation-EN'!C1029)&gt;0,'Translation-EN'!C1029,"")</f>
        <v>C3</v>
      </c>
      <c r="D1029" s="888" t="str">
        <f>IF(LEN('Translation-EN'!D1029)&gt;0,'Translation-EN'!D1029,"")</f>
        <v/>
      </c>
      <c r="E1029" s="893" t="str">
        <f>$E$171</f>
        <v>MATÉRIAU</v>
      </c>
    </row>
    <row r="1030" spans="1:19" x14ac:dyDescent="0.3">
      <c r="A1030" s="888" t="str">
        <f>IF(LEN('Translation-EN'!A1030)&gt;0,'Translation-EN'!A1030,"")</f>
        <v>Range</v>
      </c>
      <c r="B1030" s="888" t="str">
        <f>IF(LEN('Translation-EN'!B1030)&gt;0,'Translation-EN'!B1030,"")</f>
        <v>Garage</v>
      </c>
      <c r="C1030" s="888" t="str">
        <f>IF(LEN('Translation-EN'!C1030)&gt;0,'Translation-EN'!C1030,"")</f>
        <v>D3</v>
      </c>
      <c r="D1030" s="888" t="str">
        <f>IF(LEN('Translation-EN'!D1030)&gt;0,'Translation-EN'!D1030,"")</f>
        <v/>
      </c>
      <c r="E1030" s="893" t="str">
        <f>$E$127</f>
        <v>QUANTITÉ</v>
      </c>
    </row>
    <row r="1031" spans="1:19" x14ac:dyDescent="0.3">
      <c r="A1031" s="888" t="str">
        <f>IF(LEN('Translation-EN'!A1031)&gt;0,'Translation-EN'!A1031,"")</f>
        <v>Range</v>
      </c>
      <c r="B1031" s="888" t="str">
        <f>IF(LEN('Translation-EN'!B1031)&gt;0,'Translation-EN'!B1031,"")</f>
        <v>Garage</v>
      </c>
      <c r="C1031" s="888" t="str">
        <f>IF(LEN('Translation-EN'!C1031)&gt;0,'Translation-EN'!C1031,"")</f>
        <v>H3</v>
      </c>
      <c r="D1031" s="888" t="str">
        <f>IF(LEN('Translation-EN'!D1031)&gt;0,'Translation-EN'!D1031,"")</f>
        <v/>
      </c>
      <c r="E1031" s="888" t="str">
        <f>$E$173</f>
        <v xml:space="preserve"> SÉLECTIONNER</v>
      </c>
    </row>
    <row r="1032" spans="1:19" ht="15" customHeight="1" x14ac:dyDescent="0.3">
      <c r="A1032" s="888" t="str">
        <f>IF(LEN('Translation-EN'!A1032)&gt;0,'Translation-EN'!A1032,"")</f>
        <v>Range</v>
      </c>
      <c r="B1032" s="888" t="str">
        <f>IF(LEN('Translation-EN'!B1032)&gt;0,'Translation-EN'!B1032,"")</f>
        <v>_Garage</v>
      </c>
      <c r="C1032" s="888" t="str">
        <f>IF(LEN('Translation-EN'!C1032)&gt;0,'Translation-EN'!C1032,"")</f>
        <v>I3</v>
      </c>
      <c r="D1032" s="888" t="b">
        <f>IF(LEN('Translation-EN'!D1032)&gt;0,'Translation-EN'!D1032,"")</f>
        <v>1</v>
      </c>
      <c r="E1032" s="1669" t="str">
        <f>$E$174</f>
        <v>ÉMISSIONS NETTES kgCO2e</v>
      </c>
    </row>
    <row r="1033" spans="1:19" ht="15" customHeight="1" x14ac:dyDescent="0.3">
      <c r="A1033" s="888" t="str">
        <f>IF(LEN('Translation-EN'!A1033)&gt;0,'Translation-EN'!A1033,"")</f>
        <v>-</v>
      </c>
      <c r="B1033" s="888" t="str">
        <f>IF(LEN('Translation-EN'!B1033)&gt;0,'Translation-EN'!B1033,"")</f>
        <v/>
      </c>
      <c r="C1033" s="888" t="str">
        <f>IF(LEN('Translation-EN'!C1033)&gt;0,'Translation-EN'!C1033,"")</f>
        <v/>
      </c>
      <c r="D1033" s="888" t="str">
        <f>IF(LEN('Translation-EN'!D1033)&gt;0,'Translation-EN'!D1033,"")</f>
        <v/>
      </c>
      <c r="E1033" s="1669"/>
    </row>
    <row r="1034" spans="1:19" ht="29.25" customHeight="1" x14ac:dyDescent="0.3">
      <c r="A1034" s="888" t="str">
        <f>IF(LEN('Translation-EN'!A1034)&gt;0,'Translation-EN'!A1034,"")</f>
        <v>Range</v>
      </c>
      <c r="B1034" s="888" t="str">
        <f>IF(LEN('Translation-EN'!B1034)&gt;0,'Translation-EN'!B1034,"")</f>
        <v>_Garage</v>
      </c>
      <c r="C1034" s="888" t="str">
        <f>IF(LEN('Translation-EN'!C1034)&gt;0,'Translation-EN'!C1034,"")</f>
        <v>J3</v>
      </c>
      <c r="D1034" s="888" t="b">
        <f>IF(LEN('Translation-EN'!D1034)&gt;0,'Translation-EN'!D1034,"")</f>
        <v>1</v>
      </c>
      <c r="E1034" s="1669" t="str">
        <f>$E$176</f>
        <v>CONTENU DE kgCO2e DANS LE MATÉRIAU SÉLECTIONNÉ</v>
      </c>
    </row>
    <row r="1035" spans="1:19" s="893" customFormat="1" ht="15" customHeight="1" x14ac:dyDescent="0.3">
      <c r="A1035" s="888" t="str">
        <f>IF(LEN('Translation-EN'!A1035)&gt;0,'Translation-EN'!A1035,"")</f>
        <v>-</v>
      </c>
      <c r="B1035" s="888" t="str">
        <f>IF(LEN('Translation-EN'!B1035)&gt;0,'Translation-EN'!B1035,"")</f>
        <v/>
      </c>
      <c r="C1035" s="888" t="str">
        <f>IF(LEN('Translation-EN'!C1035)&gt;0,'Translation-EN'!C1035,"")</f>
        <v/>
      </c>
      <c r="D1035" s="888" t="str">
        <f>IF(LEN('Translation-EN'!D1035)&gt;0,'Translation-EN'!D1035,"")</f>
        <v/>
      </c>
      <c r="E1035" s="1670"/>
      <c r="I1035" s="888"/>
      <c r="J1035" s="888"/>
      <c r="K1035" s="888"/>
      <c r="L1035" s="888"/>
      <c r="M1035" s="888"/>
      <c r="N1035" s="888"/>
      <c r="O1035" s="888"/>
      <c r="P1035" s="888"/>
      <c r="Q1035" s="888"/>
      <c r="R1035" s="888"/>
    </row>
    <row r="1036" spans="1:19" s="893" customFormat="1" ht="15" customHeight="1" x14ac:dyDescent="0.3">
      <c r="A1036" s="888" t="str">
        <f>IF(LEN('Translation-EN'!A1036)&gt;0,'Translation-EN'!A1036,"")</f>
        <v>Range</v>
      </c>
      <c r="B1036" s="888" t="str">
        <f>IF(LEN('Translation-EN'!B1036)&gt;0,'Translation-EN'!B1036,"")</f>
        <v>Garage</v>
      </c>
      <c r="C1036" s="888" t="str">
        <f>IF(LEN('Translation-EN'!C1036)&gt;0,'Translation-EN'!C1036,"")</f>
        <v>K3</v>
      </c>
      <c r="D1036" s="888" t="b">
        <f>IF(LEN('Translation-EN'!D1036)&gt;0,'Translation-EN'!D1036,"")</f>
        <v>1</v>
      </c>
      <c r="E1036" s="1669" t="str">
        <f>$E$178</f>
        <v xml:space="preserve">ÉMISSIONS EN kgCO2e </v>
      </c>
      <c r="I1036" s="888"/>
      <c r="J1036" s="888"/>
      <c r="K1036" s="888"/>
      <c r="L1036" s="888"/>
      <c r="M1036" s="888"/>
      <c r="N1036" s="888"/>
      <c r="O1036" s="888"/>
      <c r="P1036" s="888"/>
      <c r="Q1036" s="888"/>
      <c r="R1036" s="888"/>
    </row>
    <row r="1037" spans="1:19" s="893" customFormat="1" ht="15" customHeight="1" x14ac:dyDescent="0.3">
      <c r="A1037" s="888" t="str">
        <f>IF(LEN('Translation-EN'!A1037)&gt;0,'Translation-EN'!A1037,"")</f>
        <v>-</v>
      </c>
      <c r="B1037" s="888" t="str">
        <f>IF(LEN('Translation-EN'!B1037)&gt;0,'Translation-EN'!B1037,"")</f>
        <v/>
      </c>
      <c r="C1037" s="888" t="str">
        <f>IF(LEN('Translation-EN'!C1037)&gt;0,'Translation-EN'!C1037,"")</f>
        <v/>
      </c>
      <c r="D1037" s="888" t="str">
        <f>IF(LEN('Translation-EN'!D1037)&gt;0,'Translation-EN'!D1037,"")</f>
        <v/>
      </c>
      <c r="E1037" s="1670"/>
      <c r="I1037" s="888"/>
      <c r="J1037" s="888"/>
      <c r="K1037" s="888"/>
      <c r="L1037" s="888"/>
      <c r="M1037" s="888"/>
      <c r="N1037" s="888"/>
      <c r="O1037" s="888"/>
      <c r="P1037" s="888"/>
      <c r="Q1037" s="888"/>
      <c r="R1037" s="888"/>
    </row>
    <row r="1038" spans="1:19" s="893" customFormat="1" ht="15" customHeight="1" x14ac:dyDescent="0.3">
      <c r="A1038" s="888" t="str">
        <f>IF(LEN('Translation-EN'!A1038)&gt;0,'Translation-EN'!A1038,"")</f>
        <v>Range</v>
      </c>
      <c r="B1038" s="888" t="str">
        <f>IF(LEN('Translation-EN'!B1038)&gt;0,'Translation-EN'!B1038,"")</f>
        <v>Garage</v>
      </c>
      <c r="C1038" s="888" t="str">
        <f>IF(LEN('Translation-EN'!C1038)&gt;0,'Translation-EN'!C1038,"")</f>
        <v>L3</v>
      </c>
      <c r="D1038" s="888" t="b">
        <f>IF(LEN('Translation-EN'!D1038)&gt;0,'Translation-EN'!D1038,"")</f>
        <v>1</v>
      </c>
      <c r="E1038" s="1669" t="str">
        <f>$E$180</f>
        <v>STOCKAGE kgCO₂</v>
      </c>
      <c r="I1038" s="888"/>
      <c r="J1038" s="888"/>
      <c r="K1038" s="888"/>
      <c r="L1038" s="888"/>
      <c r="M1038" s="888"/>
      <c r="N1038" s="888"/>
      <c r="O1038" s="888"/>
      <c r="P1038" s="888"/>
      <c r="Q1038" s="888"/>
      <c r="R1038" s="888"/>
    </row>
    <row r="1039" spans="1:19" s="893" customFormat="1" ht="15" customHeight="1" x14ac:dyDescent="0.3">
      <c r="A1039" s="888" t="str">
        <f>IF(LEN('Translation-EN'!A1039)&gt;0,'Translation-EN'!A1039,"")</f>
        <v>-</v>
      </c>
      <c r="B1039" s="888" t="str">
        <f>IF(LEN('Translation-EN'!B1039)&gt;0,'Translation-EN'!B1039,"")</f>
        <v/>
      </c>
      <c r="C1039" s="888" t="str">
        <f>IF(LEN('Translation-EN'!C1039)&gt;0,'Translation-EN'!C1039,"")</f>
        <v/>
      </c>
      <c r="D1039" s="888" t="str">
        <f>IF(LEN('Translation-EN'!D1039)&gt;0,'Translation-EN'!D1039,"")</f>
        <v/>
      </c>
      <c r="E1039" s="1670"/>
      <c r="I1039" s="888"/>
      <c r="J1039" s="888"/>
      <c r="K1039" s="888"/>
      <c r="L1039" s="888"/>
      <c r="M1039" s="888"/>
      <c r="N1039" s="888"/>
      <c r="O1039" s="888"/>
      <c r="P1039" s="888"/>
      <c r="Q1039" s="888"/>
      <c r="R1039" s="888"/>
    </row>
    <row r="1040" spans="1:19" s="893" customFormat="1" ht="15" customHeight="1" x14ac:dyDescent="0.3">
      <c r="A1040" s="888" t="str">
        <f>IF(LEN('Translation-EN'!A1040)&gt;0,'Translation-EN'!A1040,"")</f>
        <v>Range</v>
      </c>
      <c r="B1040" s="888" t="str">
        <f>IF(LEN('Translation-EN'!B1040)&gt;0,'Translation-EN'!B1040,"")</f>
        <v>Garage</v>
      </c>
      <c r="C1040" s="888" t="str">
        <f>IF(LEN('Translation-EN'!C1040)&gt;0,'Translation-EN'!C1040,"")</f>
        <v>M3</v>
      </c>
      <c r="D1040" s="888" t="b">
        <f>IF(LEN('Translation-EN'!D1040)&gt;0,'Translation-EN'!D1040,"")</f>
        <v>1</v>
      </c>
      <c r="E1040" s="1520" t="str">
        <f>$E$182</f>
        <v xml:space="preserve">  Note</v>
      </c>
      <c r="F1040" s="1520"/>
      <c r="I1040" s="888"/>
      <c r="J1040" s="888"/>
      <c r="K1040" s="888"/>
      <c r="L1040" s="888"/>
      <c r="M1040" s="888"/>
      <c r="N1040" s="888"/>
      <c r="O1040" s="888"/>
      <c r="P1040" s="888"/>
      <c r="Q1040" s="888"/>
      <c r="R1040" s="888"/>
    </row>
    <row r="1041" spans="1:18" s="893" customFormat="1" ht="15" customHeight="1" x14ac:dyDescent="0.3">
      <c r="A1041" s="888" t="str">
        <f>IF(LEN('Translation-EN'!A1041)&gt;0,'Translation-EN'!A1041,"")</f>
        <v>-</v>
      </c>
      <c r="B1041" s="888" t="str">
        <f>IF(LEN('Translation-EN'!B1041)&gt;0,'Translation-EN'!B1041,"")</f>
        <v/>
      </c>
      <c r="C1041" s="888" t="str">
        <f>IF(LEN('Translation-EN'!C1041)&gt;0,'Translation-EN'!C1041,"")</f>
        <v/>
      </c>
      <c r="D1041" s="888" t="str">
        <f>IF(LEN('Translation-EN'!D1041)&gt;0,'Translation-EN'!D1041,"")</f>
        <v/>
      </c>
      <c r="E1041" s="1520"/>
      <c r="F1041" s="1520"/>
      <c r="I1041" s="888"/>
      <c r="J1041" s="888"/>
      <c r="K1041" s="888"/>
      <c r="L1041" s="888"/>
      <c r="M1041" s="888"/>
      <c r="N1041" s="888"/>
      <c r="O1041" s="888"/>
      <c r="P1041" s="888"/>
      <c r="Q1041" s="888"/>
      <c r="R1041" s="888"/>
    </row>
    <row r="1042" spans="1:18" s="893" customFormat="1" ht="15" customHeight="1" x14ac:dyDescent="0.3">
      <c r="A1042" s="888" t="str">
        <f>IF(LEN('Translation-EN'!A1042)&gt;0,'Translation-EN'!A1042,"")</f>
        <v>Range</v>
      </c>
      <c r="B1042" s="888" t="str">
        <f>IF(LEN('Translation-EN'!B1042)&gt;0,'Translation-EN'!B1042,"")</f>
        <v>_Garage</v>
      </c>
      <c r="C1042" s="888" t="str">
        <f>IF(LEN('Translation-EN'!C1042)&gt;0,'Translation-EN'!C1042,"")</f>
        <v>N3</v>
      </c>
      <c r="D1042" s="888" t="b">
        <f>IF(LEN('Translation-EN'!D1042)&gt;0,'Translation-EN'!D1042,"")</f>
        <v>1</v>
      </c>
      <c r="E1042" s="1669" t="str">
        <f>$E$184</f>
        <v>Inclure le cycle long</v>
      </c>
      <c r="I1042" s="888"/>
      <c r="J1042" s="888"/>
      <c r="K1042" s="888"/>
      <c r="L1042" s="888"/>
      <c r="M1042" s="888"/>
      <c r="N1042" s="888"/>
      <c r="O1042" s="888"/>
      <c r="P1042" s="888"/>
      <c r="Q1042" s="888"/>
      <c r="R1042" s="888"/>
    </row>
    <row r="1043" spans="1:18" s="893" customFormat="1" ht="15" customHeight="1" x14ac:dyDescent="0.3">
      <c r="A1043" s="888" t="str">
        <f>IF(LEN('Translation-EN'!A1043)&gt;0,'Translation-EN'!A1043,"")</f>
        <v>-</v>
      </c>
      <c r="B1043" s="888" t="str">
        <f>IF(LEN('Translation-EN'!B1043)&gt;0,'Translation-EN'!B1043,"")</f>
        <v/>
      </c>
      <c r="C1043" s="888" t="str">
        <f>IF(LEN('Translation-EN'!C1043)&gt;0,'Translation-EN'!C1043,"")</f>
        <v/>
      </c>
      <c r="D1043" s="888" t="str">
        <f>IF(LEN('Translation-EN'!D1043)&gt;0,'Translation-EN'!D1043,"")</f>
        <v/>
      </c>
      <c r="E1043" s="1670"/>
      <c r="I1043" s="888"/>
      <c r="J1043" s="888"/>
      <c r="K1043" s="888"/>
      <c r="L1043" s="888"/>
      <c r="M1043" s="888"/>
      <c r="N1043" s="888"/>
      <c r="O1043" s="888"/>
      <c r="P1043" s="888"/>
      <c r="Q1043" s="888"/>
      <c r="R1043" s="888"/>
    </row>
    <row r="1044" spans="1:18" s="893" customFormat="1" ht="17.399999999999999" x14ac:dyDescent="0.3">
      <c r="A1044" s="888" t="str">
        <f>IF(LEN('Translation-EN'!A1044)&gt;0,'Translation-EN'!A1044,"")</f>
        <v>Range</v>
      </c>
      <c r="B1044" s="888" t="str">
        <f>IF(LEN('Translation-EN'!B1044)&gt;0,'Translation-EN'!B1044,"")</f>
        <v>Garage</v>
      </c>
      <c r="C1044" s="888" t="str">
        <f>IF(LEN('Translation-EN'!C1044)&gt;0,'Translation-EN'!C1044,"")</f>
        <v>O3</v>
      </c>
      <c r="D1044" s="888" t="b">
        <f>IF(LEN('Translation-EN'!D1044)&gt;0,'Translation-EN'!D1044,"")</f>
        <v>1</v>
      </c>
      <c r="E1044" s="1035" t="s">
        <v>7410</v>
      </c>
      <c r="I1044" s="888"/>
      <c r="J1044" s="888"/>
      <c r="K1044" s="888"/>
      <c r="L1044" s="888"/>
      <c r="M1044" s="888"/>
      <c r="N1044" s="888"/>
      <c r="O1044" s="888"/>
      <c r="P1044" s="888"/>
      <c r="Q1044" s="888"/>
      <c r="R1044" s="888"/>
    </row>
    <row r="1045" spans="1:18" s="893" customFormat="1" ht="17.399999999999999" x14ac:dyDescent="0.3">
      <c r="A1045" s="888" t="str">
        <f>IF(LEN('Translation-EN'!A1045)&gt;0,'Translation-EN'!A1045,"")</f>
        <v>Range</v>
      </c>
      <c r="B1045" s="888" t="str">
        <f>IF(LEN('Translation-EN'!B1045)&gt;0,'Translation-EN'!B1045,"")</f>
        <v>Garage</v>
      </c>
      <c r="C1045" s="888" t="str">
        <f>IF(LEN('Translation-EN'!C1045)&gt;0,'Translation-EN'!C1045,"")</f>
        <v>P3</v>
      </c>
      <c r="D1045" s="888" t="b">
        <f>IF(LEN('Translation-EN'!D1045)&gt;0,'Translation-EN'!D1045,"")</f>
        <v>1</v>
      </c>
      <c r="E1045" s="1035" t="s">
        <v>7411</v>
      </c>
      <c r="I1045" s="888"/>
      <c r="J1045" s="888"/>
      <c r="K1045" s="888"/>
      <c r="L1045" s="888"/>
      <c r="M1045" s="888"/>
      <c r="N1045" s="888"/>
      <c r="O1045" s="888"/>
      <c r="P1045" s="888"/>
      <c r="Q1045" s="888"/>
      <c r="R1045" s="888"/>
    </row>
    <row r="1046" spans="1:18" s="893" customFormat="1" x14ac:dyDescent="0.3">
      <c r="A1046" s="888" t="str">
        <f>IF(LEN('Translation-EN'!A1046)&gt;0,'Translation-EN'!A1046,"")</f>
        <v>Range</v>
      </c>
      <c r="B1046" s="888" t="str">
        <f>IF(LEN('Translation-EN'!B1046)&gt;0,'Translation-EN'!B1046,"")</f>
        <v>Garage</v>
      </c>
      <c r="C1046" s="888" t="str">
        <f>IF(LEN('Translation-EN'!C1046)&gt;0,'Translation-EN'!C1046,"")</f>
        <v>A5</v>
      </c>
      <c r="D1046" s="888" t="str">
        <f>IF(LEN('Translation-EN'!D1046)&gt;0,'Translation-EN'!D1046,"")</f>
        <v/>
      </c>
      <c r="E1046" s="893" t="s">
        <v>3091</v>
      </c>
      <c r="I1046" s="888"/>
      <c r="J1046" s="888"/>
      <c r="K1046" s="888"/>
      <c r="L1046" s="888"/>
      <c r="M1046" s="888"/>
      <c r="N1046" s="888"/>
      <c r="O1046" s="888"/>
      <c r="P1046" s="888"/>
      <c r="Q1046" s="888"/>
      <c r="R1046" s="888"/>
    </row>
    <row r="1047" spans="1:18" s="893" customFormat="1" x14ac:dyDescent="0.3">
      <c r="A1047" s="888" t="str">
        <f>IF(LEN('Translation-EN'!A1047)&gt;0,'Translation-EN'!A1047,"")</f>
        <v>Range</v>
      </c>
      <c r="B1047" s="888" t="str">
        <f>IF(LEN('Translation-EN'!B1047)&gt;0,'Translation-EN'!B1047,"")</f>
        <v>Garage</v>
      </c>
      <c r="C1047" s="888" t="str">
        <f>IF(LEN('Translation-EN'!C1047)&gt;0,'Translation-EN'!C1047,"")</f>
        <v>A6</v>
      </c>
      <c r="D1047" s="888" t="str">
        <f>IF(LEN('Translation-EN'!D1047)&gt;0,'Translation-EN'!D1047,"")</f>
        <v/>
      </c>
      <c r="E1047" s="888" t="str">
        <f>$E$188</f>
        <v>BASE DE PIERRE CONCASSÉE</v>
      </c>
      <c r="I1047" s="888"/>
      <c r="J1047" s="888"/>
      <c r="K1047" s="888"/>
      <c r="L1047" s="888"/>
      <c r="M1047" s="888"/>
      <c r="N1047" s="888"/>
      <c r="O1047" s="888"/>
      <c r="P1047" s="888"/>
      <c r="Q1047" s="888"/>
      <c r="R1047" s="888"/>
    </row>
    <row r="1048" spans="1:18" s="893" customFormat="1" x14ac:dyDescent="0.3">
      <c r="A1048" s="888" t="str">
        <f>IF(LEN('Translation-EN'!A1048)&gt;0,'Translation-EN'!A1048,"")</f>
        <v>Range</v>
      </c>
      <c r="B1048" s="888" t="str">
        <f>IF(LEN('Translation-EN'!B1048)&gt;0,'Translation-EN'!B1048,"")</f>
        <v>Garage</v>
      </c>
      <c r="C1048" s="888" t="str">
        <f>IF(LEN('Translation-EN'!C1048)&gt;0,'Translation-EN'!C1048,"")</f>
        <v>D6</v>
      </c>
      <c r="D1048" s="888" t="str">
        <f>IF(LEN('Translation-EN'!D1048)&gt;0,'Translation-EN'!D1048,"")</f>
        <v/>
      </c>
      <c r="E1048" s="888" t="str">
        <f>$E$189</f>
        <v>ÉPAISSEUR :</v>
      </c>
      <c r="I1048" s="888"/>
      <c r="J1048" s="888"/>
      <c r="K1048" s="888"/>
      <c r="L1048" s="888"/>
      <c r="M1048" s="888"/>
      <c r="N1048" s="888"/>
      <c r="O1048" s="888"/>
      <c r="P1048" s="888"/>
      <c r="Q1048" s="888"/>
      <c r="R1048" s="888"/>
    </row>
    <row r="1049" spans="1:18" s="893" customFormat="1" x14ac:dyDescent="0.3">
      <c r="A1049" s="888" t="str">
        <f>IF(LEN('Translation-EN'!A1049)&gt;0,'Translation-EN'!A1049,"")</f>
        <v>Range</v>
      </c>
      <c r="B1049" s="888" t="str">
        <f>IF(LEN('Translation-EN'!B1049)&gt;0,'Translation-EN'!B1049,"")</f>
        <v>Garage</v>
      </c>
      <c r="C1049" s="888" t="str">
        <f>IF(LEN('Translation-EN'!C1049)&gt;0,'Translation-EN'!C1049,"")</f>
        <v>B7</v>
      </c>
      <c r="D1049" s="888" t="str">
        <f>IF(LEN('Translation-EN'!D1049)&gt;0,'Translation-EN'!D1049,"")</f>
        <v/>
      </c>
      <c r="E1049" s="888" t="str">
        <f>$E$190</f>
        <v>AGGRÉGAT</v>
      </c>
      <c r="I1049" s="888"/>
      <c r="J1049" s="888"/>
      <c r="K1049" s="888"/>
      <c r="L1049" s="888"/>
      <c r="M1049" s="888"/>
      <c r="N1049" s="888"/>
      <c r="O1049" s="888"/>
      <c r="P1049" s="888"/>
      <c r="Q1049" s="888"/>
      <c r="R1049" s="888"/>
    </row>
    <row r="1050" spans="1:18" s="893" customFormat="1" x14ac:dyDescent="0.3">
      <c r="A1050" s="888" t="str">
        <f>IF(LEN('Translation-EN'!A1050)&gt;0,'Translation-EN'!A1050,"")</f>
        <v>Range</v>
      </c>
      <c r="B1050" s="888" t="str">
        <f>IF(LEN('Translation-EN'!B1050)&gt;0,'Translation-EN'!B1050,"")</f>
        <v>Garage</v>
      </c>
      <c r="C1050" s="888" t="str">
        <f>IF(LEN('Translation-EN'!C1050)&gt;0,'Translation-EN'!C1050,"")</f>
        <v>A8</v>
      </c>
      <c r="D1050" s="888" t="str">
        <f>IF(LEN('Translation-EN'!D1050)&gt;0,'Translation-EN'!D1050,"")</f>
        <v/>
      </c>
      <c r="E1050" s="893" t="str">
        <f>$E$191</f>
        <v>Si vous ne connaissez pas l’empreinte carbone spécifique de votre agrégat, choisissez la valeur « MOYENNE ».</v>
      </c>
      <c r="I1050" s="888"/>
      <c r="J1050" s="888"/>
      <c r="K1050" s="888"/>
      <c r="L1050" s="888"/>
      <c r="M1050" s="888"/>
      <c r="N1050" s="888"/>
      <c r="O1050" s="888"/>
      <c r="P1050" s="888"/>
      <c r="Q1050" s="888"/>
      <c r="R1050" s="888"/>
    </row>
    <row r="1051" spans="1:18" s="893" customFormat="1" x14ac:dyDescent="0.3">
      <c r="A1051" s="888" t="str">
        <f>IF(LEN('Translation-EN'!A1051)&gt;0,'Translation-EN'!A1051,"")</f>
        <v>Range</v>
      </c>
      <c r="B1051" s="888" t="str">
        <f>IF(LEN('Translation-EN'!B1051)&gt;0,'Translation-EN'!B1051,"")</f>
        <v>Garage</v>
      </c>
      <c r="C1051" s="888" t="str">
        <f>IF(LEN('Translation-EN'!C1051)&gt;0,'Translation-EN'!C1051,"")</f>
        <v>A9</v>
      </c>
      <c r="D1051" s="888" t="str">
        <f>IF(LEN('Translation-EN'!D1051)&gt;0,'Translation-EN'!D1051,"")</f>
        <v/>
      </c>
      <c r="E1051" s="893" t="s">
        <v>3092</v>
      </c>
      <c r="I1051" s="888"/>
      <c r="J1051" s="888"/>
      <c r="K1051" s="888"/>
      <c r="L1051" s="888"/>
      <c r="M1051" s="888"/>
      <c r="N1051" s="888"/>
      <c r="O1051" s="888"/>
      <c r="P1051" s="888"/>
      <c r="Q1051" s="888"/>
      <c r="R1051" s="888"/>
    </row>
    <row r="1052" spans="1:18" s="893" customFormat="1" x14ac:dyDescent="0.3">
      <c r="A1052" s="888" t="str">
        <f>IF(LEN('Translation-EN'!A1052)&gt;0,'Translation-EN'!A1052,"")</f>
        <v>Range</v>
      </c>
      <c r="B1052" s="888" t="str">
        <f>IF(LEN('Translation-EN'!B1052)&gt;0,'Translation-EN'!B1052,"")</f>
        <v>Garage</v>
      </c>
      <c r="C1052" s="888" t="str">
        <f>IF(LEN('Translation-EN'!C1052)&gt;0,'Translation-EN'!C1052,"")</f>
        <v>D9</v>
      </c>
      <c r="D1052" s="888" t="str">
        <f>IF(LEN('Translation-EN'!D1052)&gt;0,'Translation-EN'!D1052,"")</f>
        <v/>
      </c>
      <c r="E1052" s="888" t="str">
        <f>$E$189</f>
        <v>ÉPAISSEUR :</v>
      </c>
      <c r="I1052" s="888"/>
      <c r="J1052" s="888"/>
      <c r="K1052" s="888"/>
      <c r="L1052" s="888"/>
      <c r="M1052" s="888"/>
      <c r="N1052" s="888"/>
      <c r="O1052" s="888"/>
      <c r="P1052" s="888"/>
      <c r="Q1052" s="888"/>
      <c r="R1052" s="888"/>
    </row>
    <row r="1053" spans="1:18" s="893" customFormat="1" x14ac:dyDescent="0.3">
      <c r="A1053" s="888" t="str">
        <f>IF(LEN('Translation-EN'!A1053)&gt;0,'Translation-EN'!A1053,"")</f>
        <v>Range</v>
      </c>
      <c r="B1053" s="888" t="str">
        <f>IF(LEN('Translation-EN'!B1053)&gt;0,'Translation-EN'!B1053,"")</f>
        <v>Garage</v>
      </c>
      <c r="C1053" s="888" t="str">
        <f>IF(LEN('Translation-EN'!C1053)&gt;0,'Translation-EN'!C1053,"")</f>
        <v>B10</v>
      </c>
      <c r="D1053" s="888" t="str">
        <f>IF(LEN('Translation-EN'!D1053)&gt;0,'Translation-EN'!D1053,"")</f>
        <v/>
      </c>
      <c r="E1053" s="893" t="str">
        <f>$E$193</f>
        <v>BÉTON –25 MPa ou moins</v>
      </c>
      <c r="I1053" s="888"/>
      <c r="J1053" s="888"/>
      <c r="K1053" s="888"/>
      <c r="L1053" s="888"/>
      <c r="M1053" s="888"/>
      <c r="N1053" s="888"/>
      <c r="O1053" s="888"/>
      <c r="P1053" s="888"/>
      <c r="Q1053" s="888"/>
      <c r="R1053" s="888"/>
    </row>
    <row r="1054" spans="1:18" s="893" customFormat="1" x14ac:dyDescent="0.3">
      <c r="A1054" s="888" t="str">
        <f>IF(LEN('Translation-EN'!A1054)&gt;0,'Translation-EN'!A1054,"")</f>
        <v>Range</v>
      </c>
      <c r="B1054" s="888" t="str">
        <f>IF(LEN('Translation-EN'!B1054)&gt;0,'Translation-EN'!B1054,"")</f>
        <v>Garage</v>
      </c>
      <c r="C1054" s="888" t="str">
        <f>IF(LEN('Translation-EN'!C1054)&gt;0,'Translation-EN'!C1054,"")</f>
        <v>A11</v>
      </c>
      <c r="D1054" s="888" t="str">
        <f>IF(LEN('Translation-EN'!D1054)&gt;0,'Translation-EN'!D1054,"")</f>
        <v/>
      </c>
      <c r="E1054" s="893" t="str">
        <f>$E$194</f>
        <v>Les spécifications du mélange de béton font une grande différence dans l’empreinte carbone. Les spécifications du mélange présentées ici peuvent être utilisées pour discuter des options de mélange à faible teneur en carbone avec votre fournisseur.</v>
      </c>
      <c r="I1054" s="888"/>
      <c r="J1054" s="888"/>
      <c r="K1054" s="888"/>
      <c r="L1054" s="888"/>
      <c r="M1054" s="888"/>
      <c r="N1054" s="888"/>
      <c r="O1054" s="888"/>
      <c r="P1054" s="888"/>
      <c r="Q1054" s="888"/>
      <c r="R1054" s="888"/>
    </row>
    <row r="1055" spans="1:18" s="893" customFormat="1" x14ac:dyDescent="0.3">
      <c r="A1055" s="888" t="str">
        <f>IF(LEN('Translation-EN'!A1055)&gt;0,'Translation-EN'!A1055,"")</f>
        <v>Range</v>
      </c>
      <c r="B1055" s="888" t="str">
        <f>IF(LEN('Translation-EN'!B1055)&gt;0,'Translation-EN'!B1055,"")</f>
        <v>Garage</v>
      </c>
      <c r="C1055" s="888" t="str">
        <f>IF(LEN('Translation-EN'!C1055)&gt;0,'Translation-EN'!C1055,"")</f>
        <v>B18</v>
      </c>
      <c r="D1055" s="888" t="str">
        <f>IF(LEN('Translation-EN'!D1055)&gt;0,'Translation-EN'!D1055,"")</f>
        <v/>
      </c>
      <c r="E1055" s="893" t="str">
        <f>$E$195</f>
        <v>BÉTON –26-30 MPa</v>
      </c>
      <c r="I1055" s="888"/>
      <c r="J1055" s="888"/>
      <c r="K1055" s="888"/>
      <c r="L1055" s="888"/>
      <c r="M1055" s="888"/>
      <c r="N1055" s="888"/>
      <c r="O1055" s="888"/>
      <c r="P1055" s="888"/>
      <c r="Q1055" s="888"/>
      <c r="R1055" s="888"/>
    </row>
    <row r="1056" spans="1:18" s="893" customFormat="1" x14ac:dyDescent="0.3">
      <c r="A1056" s="888" t="str">
        <f>IF(LEN('Translation-EN'!A1056)&gt;0,'Translation-EN'!A1056,"")</f>
        <v>Range</v>
      </c>
      <c r="B1056" s="888" t="str">
        <f>IF(LEN('Translation-EN'!B1056)&gt;0,'Translation-EN'!B1056,"")</f>
        <v>Garage</v>
      </c>
      <c r="C1056" s="888" t="str">
        <f>IF(LEN('Translation-EN'!C1056)&gt;0,'Translation-EN'!C1056,"")</f>
        <v>A19</v>
      </c>
      <c r="D1056" s="888" t="str">
        <f>IF(LEN('Translation-EN'!D1056)&gt;0,'Translation-EN'!D1056,"")</f>
        <v/>
      </c>
      <c r="E1056" s="893" t="str">
        <f>$E$194</f>
        <v>Les spécifications du mélange de béton font une grande différence dans l’empreinte carbone. Les spécifications du mélange présentées ici peuvent être utilisées pour discuter des options de mélange à faible teneur en carbone avec votre fournisseur.</v>
      </c>
      <c r="I1056" s="888"/>
      <c r="J1056" s="888"/>
      <c r="K1056" s="888"/>
      <c r="L1056" s="888"/>
      <c r="M1056" s="888"/>
      <c r="N1056" s="888"/>
      <c r="O1056" s="888"/>
      <c r="P1056" s="888"/>
      <c r="Q1056" s="888"/>
      <c r="R1056" s="888"/>
    </row>
    <row r="1057" spans="1:18" s="893" customFormat="1" x14ac:dyDescent="0.3">
      <c r="A1057" s="888" t="str">
        <f>IF(LEN('Translation-EN'!A1057)&gt;0,'Translation-EN'!A1057,"")</f>
        <v>Range</v>
      </c>
      <c r="B1057" s="888" t="str">
        <f>IF(LEN('Translation-EN'!B1057)&gt;0,'Translation-EN'!B1057,"")</f>
        <v>Garage</v>
      </c>
      <c r="C1057" s="888" t="str">
        <f>IF(LEN('Translation-EN'!C1057)&gt;0,'Translation-EN'!C1057,"")</f>
        <v>A26</v>
      </c>
      <c r="D1057" s="888" t="str">
        <f>IF(LEN('Translation-EN'!D1057)&gt;0,'Translation-EN'!D1057,"")</f>
        <v/>
      </c>
      <c r="E1057" s="893" t="s">
        <v>3093</v>
      </c>
      <c r="I1057" s="888"/>
      <c r="J1057" s="888"/>
      <c r="K1057" s="888"/>
      <c r="L1057" s="888"/>
      <c r="M1057" s="888"/>
      <c r="N1057" s="888"/>
      <c r="O1057" s="888"/>
      <c r="P1057" s="888"/>
      <c r="Q1057" s="888"/>
      <c r="R1057" s="888"/>
    </row>
    <row r="1058" spans="1:18" s="893" customFormat="1" x14ac:dyDescent="0.3">
      <c r="A1058" s="888" t="str">
        <f>IF(LEN('Translation-EN'!A1058)&gt;0,'Translation-EN'!A1058,"")</f>
        <v>Range</v>
      </c>
      <c r="B1058" s="888" t="str">
        <f>IF(LEN('Translation-EN'!B1058)&gt;0,'Translation-EN'!B1058,"")</f>
        <v>Garage</v>
      </c>
      <c r="C1058" s="888" t="str">
        <f>IF(LEN('Translation-EN'!C1058)&gt;0,'Translation-EN'!C1058,"")</f>
        <v>D26</v>
      </c>
      <c r="D1058" s="888" t="str">
        <f>IF(LEN('Translation-EN'!D1058)&gt;0,'Translation-EN'!D1058,"")</f>
        <v/>
      </c>
      <c r="E1058" s="893" t="str">
        <f>$E$204</f>
        <v>SURFACE PERSONNALISÉE :</v>
      </c>
      <c r="I1058" s="888"/>
      <c r="J1058" s="888"/>
      <c r="K1058" s="888"/>
      <c r="L1058" s="888"/>
      <c r="M1058" s="888"/>
      <c r="N1058" s="888"/>
      <c r="O1058" s="888"/>
      <c r="P1058" s="888"/>
      <c r="Q1058" s="888"/>
      <c r="R1058" s="888"/>
    </row>
    <row r="1059" spans="1:18" s="893" customFormat="1" x14ac:dyDescent="0.3">
      <c r="A1059" s="888" t="str">
        <f>IF(LEN('Translation-EN'!A1059)&gt;0,'Translation-EN'!A1059,"")</f>
        <v>Range</v>
      </c>
      <c r="B1059" s="888" t="str">
        <f>IF(LEN('Translation-EN'!B1059)&gt;0,'Translation-EN'!B1059,"")</f>
        <v>Garage</v>
      </c>
      <c r="C1059" s="888" t="str">
        <f>IF(LEN('Translation-EN'!C1059)&gt;0,'Translation-EN'!C1059,"")</f>
        <v>B27</v>
      </c>
      <c r="D1059" s="888" t="str">
        <f>IF(LEN('Translation-EN'!D1059)&gt;0,'Translation-EN'!D1059,"")</f>
        <v/>
      </c>
      <c r="E1059" s="893" t="s">
        <v>2862</v>
      </c>
      <c r="I1059" s="888"/>
      <c r="J1059" s="888"/>
      <c r="K1059" s="888"/>
      <c r="L1059" s="888"/>
      <c r="M1059" s="888"/>
      <c r="N1059" s="888"/>
      <c r="O1059" s="888"/>
      <c r="P1059" s="888"/>
      <c r="Q1059" s="888"/>
      <c r="R1059" s="888"/>
    </row>
    <row r="1060" spans="1:18" s="893" customFormat="1" x14ac:dyDescent="0.3">
      <c r="A1060" s="888" t="str">
        <f>IF(LEN('Translation-EN'!A1060)&gt;0,'Translation-EN'!A1060,"")</f>
        <v>Range</v>
      </c>
      <c r="B1060" s="888" t="str">
        <f>IF(LEN('Translation-EN'!B1060)&gt;0,'Translation-EN'!B1060,"")</f>
        <v>Garage</v>
      </c>
      <c r="C1060" s="888" t="str">
        <f>IF(LEN('Translation-EN'!C1060)&gt;0,'Translation-EN'!C1060,"")</f>
        <v>A30</v>
      </c>
      <c r="D1060" s="888" t="str">
        <f>IF(LEN('Translation-EN'!D1060)&gt;0,'Translation-EN'!D1060,"")</f>
        <v/>
      </c>
      <c r="E1060" s="888" t="str">
        <f>$E$192</f>
        <v>SEMELLES, PILIERS ET SOCLES</v>
      </c>
      <c r="I1060" s="888"/>
      <c r="J1060" s="888"/>
      <c r="K1060" s="888"/>
      <c r="L1060" s="888"/>
      <c r="M1060" s="888"/>
      <c r="N1060" s="888"/>
      <c r="O1060" s="888"/>
      <c r="P1060" s="888"/>
      <c r="Q1060" s="888"/>
      <c r="R1060" s="888"/>
    </row>
    <row r="1061" spans="1:18" s="893" customFormat="1" x14ac:dyDescent="0.3">
      <c r="A1061" s="888" t="str">
        <f>IF(LEN('Translation-EN'!A1061)&gt;0,'Translation-EN'!A1061,"")</f>
        <v>Range</v>
      </c>
      <c r="B1061" s="888" t="str">
        <f>IF(LEN('Translation-EN'!B1061)&gt;0,'Translation-EN'!B1061,"")</f>
        <v>Garage</v>
      </c>
      <c r="C1061" s="888" t="str">
        <f>IF(LEN('Translation-EN'!C1061)&gt;0,'Translation-EN'!C1061,"")</f>
        <v>B31</v>
      </c>
      <c r="D1061" s="888" t="str">
        <f>IF(LEN('Translation-EN'!D1061)&gt;0,'Translation-EN'!D1061,"")</f>
        <v/>
      </c>
      <c r="E1061" s="893" t="str">
        <f>$E$193</f>
        <v>BÉTON –25 MPa ou moins</v>
      </c>
      <c r="I1061" s="888"/>
      <c r="J1061" s="888"/>
      <c r="K1061" s="888"/>
      <c r="L1061" s="888"/>
      <c r="M1061" s="888"/>
      <c r="N1061" s="888"/>
      <c r="O1061" s="888"/>
      <c r="P1061" s="888"/>
      <c r="Q1061" s="888"/>
      <c r="R1061" s="888"/>
    </row>
    <row r="1062" spans="1:18" s="893" customFormat="1" x14ac:dyDescent="0.3">
      <c r="A1062" s="888" t="str">
        <f>IF(LEN('Translation-EN'!A1062)&gt;0,'Translation-EN'!A1062,"")</f>
        <v>Range</v>
      </c>
      <c r="B1062" s="888" t="str">
        <f>IF(LEN('Translation-EN'!B1062)&gt;0,'Translation-EN'!B1062,"")</f>
        <v>Garage</v>
      </c>
      <c r="C1062" s="888" t="str">
        <f>IF(LEN('Translation-EN'!C1062)&gt;0,'Translation-EN'!C1062,"")</f>
        <v>A32</v>
      </c>
      <c r="D1062" s="888" t="str">
        <f>IF(LEN('Translation-EN'!D1062)&gt;0,'Translation-EN'!D1062,"")</f>
        <v/>
      </c>
      <c r="E1062" s="893" t="str">
        <f>$E$194</f>
        <v>Les spécifications du mélange de béton font une grande différence dans l’empreinte carbone. Les spécifications du mélange présentées ici peuvent être utilisées pour discuter des options de mélange à faible teneur en carbone avec votre fournisseur.</v>
      </c>
      <c r="I1062" s="888"/>
      <c r="J1062" s="888"/>
      <c r="K1062" s="888"/>
      <c r="L1062" s="888"/>
      <c r="M1062" s="888"/>
      <c r="N1062" s="888"/>
      <c r="O1062" s="888"/>
      <c r="P1062" s="888"/>
      <c r="Q1062" s="888"/>
      <c r="R1062" s="888"/>
    </row>
    <row r="1063" spans="1:18" s="893" customFormat="1" x14ac:dyDescent="0.3">
      <c r="A1063" s="888" t="str">
        <f>IF(LEN('Translation-EN'!A1063)&gt;0,'Translation-EN'!A1063,"")</f>
        <v>Range</v>
      </c>
      <c r="B1063" s="888" t="str">
        <f>IF(LEN('Translation-EN'!B1063)&gt;0,'Translation-EN'!B1063,"")</f>
        <v>Garage</v>
      </c>
      <c r="C1063" s="888" t="str">
        <f>IF(LEN('Translation-EN'!C1063)&gt;0,'Translation-EN'!C1063,"")</f>
        <v>B39</v>
      </c>
      <c r="D1063" s="888" t="str">
        <f>IF(LEN('Translation-EN'!D1063)&gt;0,'Translation-EN'!D1063,"")</f>
        <v/>
      </c>
      <c r="E1063" s="893" t="str">
        <f>$E$195</f>
        <v>BÉTON –26-30 MPa</v>
      </c>
      <c r="I1063" s="888"/>
      <c r="J1063" s="888"/>
      <c r="K1063" s="888"/>
      <c r="L1063" s="888"/>
      <c r="M1063" s="888"/>
      <c r="N1063" s="888"/>
      <c r="O1063" s="888"/>
      <c r="P1063" s="888"/>
      <c r="Q1063" s="888"/>
      <c r="R1063" s="888"/>
    </row>
    <row r="1064" spans="1:18" s="893" customFormat="1" x14ac:dyDescent="0.3">
      <c r="A1064" s="888" t="str">
        <f>IF(LEN('Translation-EN'!A1064)&gt;0,'Translation-EN'!A1064,"")</f>
        <v>Range</v>
      </c>
      <c r="B1064" s="888" t="str">
        <f>IF(LEN('Translation-EN'!B1064)&gt;0,'Translation-EN'!B1064,"")</f>
        <v>Garage</v>
      </c>
      <c r="C1064" s="888" t="str">
        <f>IF(LEN('Translation-EN'!C1064)&gt;0,'Translation-EN'!C1064,"")</f>
        <v>A40</v>
      </c>
      <c r="D1064" s="888" t="str">
        <f>IF(LEN('Translation-EN'!D1064)&gt;0,'Translation-EN'!D1064,"")</f>
        <v/>
      </c>
      <c r="E1064" s="893" t="str">
        <f>$E$194</f>
        <v>Les spécifications du mélange de béton font une grande différence dans l’empreinte carbone. Les spécifications du mélange présentées ici peuvent être utilisées pour discuter des options de mélange à faible teneur en carbone avec votre fournisseur.</v>
      </c>
      <c r="I1064" s="888"/>
      <c r="J1064" s="888"/>
      <c r="K1064" s="888"/>
      <c r="L1064" s="888"/>
      <c r="M1064" s="888"/>
      <c r="N1064" s="888"/>
      <c r="O1064" s="888"/>
      <c r="P1064" s="888"/>
      <c r="Q1064" s="888"/>
      <c r="R1064" s="888"/>
    </row>
    <row r="1065" spans="1:18" s="893" customFormat="1" x14ac:dyDescent="0.3">
      <c r="A1065" s="888" t="str">
        <f>IF(LEN('Translation-EN'!A1065)&gt;0,'Translation-EN'!A1065,"")</f>
        <v>Range</v>
      </c>
      <c r="B1065" s="888" t="str">
        <f>IF(LEN('Translation-EN'!B1065)&gt;0,'Translation-EN'!B1065,"")</f>
        <v>Garage</v>
      </c>
      <c r="C1065" s="888" t="str">
        <f>IF(LEN('Translation-EN'!C1065)&gt;0,'Translation-EN'!C1065,"")</f>
        <v>A47</v>
      </c>
      <c r="D1065" s="888" t="str">
        <f>IF(LEN('Translation-EN'!D1065)&gt;0,'Translation-EN'!D1065,"")</f>
        <v/>
      </c>
      <c r="E1065" s="893" t="str">
        <f>$E$199</f>
        <v>BARRE D’ARMATURE</v>
      </c>
      <c r="I1065" s="888"/>
      <c r="J1065" s="888"/>
      <c r="K1065" s="888"/>
      <c r="L1065" s="888"/>
      <c r="M1065" s="888"/>
      <c r="N1065" s="888"/>
      <c r="O1065" s="888"/>
      <c r="P1065" s="888"/>
      <c r="Q1065" s="888"/>
      <c r="R1065" s="888"/>
    </row>
    <row r="1066" spans="1:18" s="893" customFormat="1" x14ac:dyDescent="0.3">
      <c r="A1066" s="888" t="str">
        <f>IF(LEN('Translation-EN'!A1066)&gt;0,'Translation-EN'!A1066,"")</f>
        <v>Range</v>
      </c>
      <c r="B1066" s="888" t="str">
        <f>IF(LEN('Translation-EN'!B1066)&gt;0,'Translation-EN'!B1066,"")</f>
        <v>Garage</v>
      </c>
      <c r="C1066" s="888" t="str">
        <f>IF(LEN('Translation-EN'!C1066)&gt;0,'Translation-EN'!C1066,"")</f>
        <v>D47</v>
      </c>
      <c r="D1066" s="888" t="str">
        <f>IF(LEN('Translation-EN'!D1066)&gt;0,'Translation-EN'!D1066,"")</f>
        <v/>
      </c>
      <c r="E1066" s="893" t="s">
        <v>3094</v>
      </c>
      <c r="I1066" s="888"/>
      <c r="J1066" s="888"/>
      <c r="K1066" s="888"/>
      <c r="L1066" s="888"/>
      <c r="M1066" s="888"/>
      <c r="N1066" s="888"/>
      <c r="O1066" s="888"/>
      <c r="P1066" s="888"/>
      <c r="Q1066" s="888"/>
      <c r="R1066" s="888"/>
    </row>
    <row r="1067" spans="1:18" s="893" customFormat="1" x14ac:dyDescent="0.3">
      <c r="A1067" s="888" t="str">
        <f>IF(LEN('Translation-EN'!A1067)&gt;0,'Translation-EN'!A1067,"")</f>
        <v>Range</v>
      </c>
      <c r="B1067" s="888" t="str">
        <f>IF(LEN('Translation-EN'!B1067)&gt;0,'Translation-EN'!B1067,"")</f>
        <v>Garage</v>
      </c>
      <c r="C1067" s="888" t="str">
        <f>IF(LEN('Translation-EN'!C1067)&gt;0,'Translation-EN'!C1067,"")</f>
        <v>B48</v>
      </c>
      <c r="D1067" s="888" t="str">
        <f>IF(LEN('Translation-EN'!D1067)&gt;0,'Translation-EN'!D1067,"")</f>
        <v/>
      </c>
      <c r="E1067" s="893" t="str">
        <f>$E$201</f>
        <v>BARRE D’ARMATURE DE BÉTON</v>
      </c>
      <c r="I1067" s="888"/>
      <c r="J1067" s="888"/>
      <c r="K1067" s="888"/>
      <c r="L1067" s="888"/>
      <c r="M1067" s="888"/>
      <c r="N1067" s="888"/>
      <c r="O1067" s="888"/>
      <c r="P1067" s="888"/>
      <c r="Q1067" s="888"/>
      <c r="R1067" s="888"/>
    </row>
    <row r="1068" spans="1:18" s="893" customFormat="1" x14ac:dyDescent="0.3">
      <c r="A1068" s="888" t="str">
        <f>IF(LEN('Translation-EN'!A1068)&gt;0,'Translation-EN'!A1068,"")</f>
        <v>Range</v>
      </c>
      <c r="B1068" s="888" t="str">
        <f>IF(LEN('Translation-EN'!B1068)&gt;0,'Translation-EN'!B1068,"")</f>
        <v>Garage</v>
      </c>
      <c r="C1068" s="888" t="str">
        <f>IF(LEN('Translation-EN'!C1068)&gt;0,'Translation-EN'!C1068,"")</f>
        <v>A49</v>
      </c>
      <c r="D1068" s="888" t="str">
        <f>IF(LEN('Translation-EN'!D1068)&gt;0,'Translation-EN'!D1068,"")</f>
        <v/>
      </c>
      <c r="E1068" s="893" t="str">
        <f>$E$202</f>
        <v>Indiquez une longueur totale de barres d’armature.</v>
      </c>
      <c r="I1068" s="888"/>
      <c r="J1068" s="888"/>
      <c r="K1068" s="888"/>
      <c r="L1068" s="888"/>
      <c r="M1068" s="888"/>
      <c r="N1068" s="888"/>
      <c r="O1068" s="888"/>
      <c r="P1068" s="888"/>
      <c r="Q1068" s="888"/>
      <c r="R1068" s="888"/>
    </row>
    <row r="1069" spans="1:18" s="893" customFormat="1" x14ac:dyDescent="0.3">
      <c r="A1069" s="888" t="str">
        <f>IF(LEN('Translation-EN'!A1069)&gt;0,'Translation-EN'!A1069,"")</f>
        <v>Range</v>
      </c>
      <c r="B1069" s="888" t="str">
        <f>IF(LEN('Translation-EN'!B1069)&gt;0,'Translation-EN'!B1069,"")</f>
        <v>Garage</v>
      </c>
      <c r="C1069" s="888" t="str">
        <f>IF(LEN('Translation-EN'!C1069)&gt;0,'Translation-EN'!C1069,"")</f>
        <v>A54</v>
      </c>
      <c r="D1069" s="888" t="str">
        <f>IF(LEN('Translation-EN'!D1069)&gt;0,'Translation-EN'!D1069,"")</f>
        <v/>
      </c>
      <c r="E1069" s="893" t="str">
        <f>$E$206</f>
        <v>PILIERS HÉLIQUES</v>
      </c>
      <c r="I1069" s="888"/>
      <c r="J1069" s="888"/>
      <c r="K1069" s="888"/>
      <c r="L1069" s="888"/>
      <c r="M1069" s="888"/>
      <c r="N1069" s="888"/>
      <c r="O1069" s="888"/>
      <c r="P1069" s="888"/>
      <c r="Q1069" s="888"/>
      <c r="R1069" s="888"/>
    </row>
    <row r="1070" spans="1:18" s="893" customFormat="1" x14ac:dyDescent="0.3">
      <c r="A1070" s="888" t="str">
        <f>IF(LEN('Translation-EN'!A1070)&gt;0,'Translation-EN'!A1070,"")</f>
        <v>Range</v>
      </c>
      <c r="B1070" s="888" t="str">
        <f>IF(LEN('Translation-EN'!B1070)&gt;0,'Translation-EN'!B1070,"")</f>
        <v>Garage</v>
      </c>
      <c r="C1070" s="888" t="str">
        <f>IF(LEN('Translation-EN'!C1070)&gt;0,'Translation-EN'!C1070,"")</f>
        <v>D54</v>
      </c>
      <c r="D1070" s="888" t="str">
        <f>IF(LEN('Translation-EN'!D1070)&gt;0,'Translation-EN'!D1070,"")</f>
        <v/>
      </c>
      <c r="E1070" s="893" t="str">
        <f>$E$207</f>
        <v>LA LONGUEUR TOTALE DE TOUS LES PILIERS :</v>
      </c>
      <c r="I1070" s="888"/>
      <c r="J1070" s="888"/>
      <c r="K1070" s="888"/>
      <c r="L1070" s="888"/>
      <c r="M1070" s="888"/>
      <c r="N1070" s="888"/>
      <c r="O1070" s="888"/>
      <c r="P1070" s="888"/>
      <c r="Q1070" s="888"/>
      <c r="R1070" s="888"/>
    </row>
    <row r="1071" spans="1:18" s="893" customFormat="1" x14ac:dyDescent="0.3">
      <c r="A1071" s="888" t="str">
        <f>IF(LEN('Translation-EN'!A1071)&gt;0,'Translation-EN'!A1071,"")</f>
        <v>Range</v>
      </c>
      <c r="B1071" s="888" t="str">
        <f>IF(LEN('Translation-EN'!B1071)&gt;0,'Translation-EN'!B1071,"")</f>
        <v>Garage</v>
      </c>
      <c r="C1071" s="888" t="str">
        <f>IF(LEN('Translation-EN'!C1071)&gt;0,'Translation-EN'!C1071,"")</f>
        <v>B55</v>
      </c>
      <c r="D1071" s="888" t="str">
        <f>IF(LEN('Translation-EN'!D1071)&gt;0,'Translation-EN'!D1071,"")</f>
        <v/>
      </c>
      <c r="E1071" s="893" t="str">
        <f>$E$206</f>
        <v>PILIERS HÉLIQUES</v>
      </c>
      <c r="I1071" s="888"/>
      <c r="J1071" s="888"/>
      <c r="K1071" s="888"/>
      <c r="L1071" s="888"/>
      <c r="M1071" s="888"/>
      <c r="N1071" s="888"/>
      <c r="O1071" s="888"/>
      <c r="P1071" s="888"/>
      <c r="Q1071" s="888"/>
      <c r="R1071" s="888"/>
    </row>
    <row r="1072" spans="1:18" s="893" customFormat="1" x14ac:dyDescent="0.3">
      <c r="A1072" s="888" t="str">
        <f>IF(LEN('Translation-EN'!A1072)&gt;0,'Translation-EN'!A1072,"")</f>
        <v>Range</v>
      </c>
      <c r="B1072" s="888" t="str">
        <f>IF(LEN('Translation-EN'!B1072)&gt;0,'Translation-EN'!B1072,"")</f>
        <v>Garage</v>
      </c>
      <c r="C1072" s="888" t="str">
        <f>IF(LEN('Translation-EN'!C1072)&gt;0,'Translation-EN'!C1072,"")</f>
        <v>A56</v>
      </c>
      <c r="D1072" s="888" t="str">
        <f>IF(LEN('Translation-EN'!D1072)&gt;0,'Translation-EN'!D1072,"")</f>
        <v/>
      </c>
      <c r="E1072" s="893" t="str">
        <f>$E$209</f>
        <v>Indiquez la longueur totale de tous les piliers. Utiliser le % pour ajuster les différentes tailles de piliers.</v>
      </c>
      <c r="I1072" s="888"/>
      <c r="J1072" s="888"/>
      <c r="K1072" s="888"/>
      <c r="L1072" s="888"/>
      <c r="M1072" s="888"/>
      <c r="N1072" s="888"/>
      <c r="O1072" s="888"/>
      <c r="P1072" s="888"/>
      <c r="Q1072" s="888"/>
      <c r="R1072" s="888"/>
    </row>
    <row r="1073" spans="1:18" s="893" customFormat="1" x14ac:dyDescent="0.3">
      <c r="A1073" s="888" t="str">
        <f>IF(LEN('Translation-EN'!A1073)&gt;0,'Translation-EN'!A1073,"")</f>
        <v>Range</v>
      </c>
      <c r="B1073" s="888" t="str">
        <f>IF(LEN('Translation-EN'!B1073)&gt;0,'Translation-EN'!B1073,"")</f>
        <v>Garage</v>
      </c>
      <c r="C1073" s="888" t="str">
        <f>IF(LEN('Translation-EN'!C1073)&gt;0,'Translation-EN'!C1073,"")</f>
        <v>A57</v>
      </c>
      <c r="D1073" s="888" t="str">
        <f>IF(LEN('Translation-EN'!D1073)&gt;0,'Translation-EN'!D1073,"")</f>
        <v/>
      </c>
      <c r="E1073" s="893" t="s">
        <v>3095</v>
      </c>
      <c r="I1073" s="888"/>
      <c r="J1073" s="888"/>
      <c r="K1073" s="888"/>
      <c r="L1073" s="888"/>
      <c r="M1073" s="888"/>
      <c r="N1073" s="888"/>
      <c r="O1073" s="888"/>
      <c r="P1073" s="888"/>
      <c r="Q1073" s="888"/>
      <c r="R1073" s="888"/>
    </row>
    <row r="1074" spans="1:18" s="893" customFormat="1" x14ac:dyDescent="0.3">
      <c r="A1074" s="888" t="str">
        <f>IF(LEN('Translation-EN'!A1074)&gt;0,'Translation-EN'!A1074,"")</f>
        <v>Range</v>
      </c>
      <c r="B1074" s="888" t="str">
        <f>IF(LEN('Translation-EN'!B1074)&gt;0,'Translation-EN'!B1074,"")</f>
        <v>Garage</v>
      </c>
      <c r="C1074" s="888" t="str">
        <f>IF(LEN('Translation-EN'!C1074)&gt;0,'Translation-EN'!C1074,"")</f>
        <v>A58</v>
      </c>
      <c r="D1074" s="888" t="str">
        <f>IF(LEN('Translation-EN'!D1074)&gt;0,'Translation-EN'!D1074,"")</f>
        <v/>
      </c>
      <c r="E1074" s="893" t="s">
        <v>3096</v>
      </c>
      <c r="I1074" s="888"/>
      <c r="J1074" s="888"/>
      <c r="K1074" s="888"/>
      <c r="L1074" s="888"/>
      <c r="M1074" s="888"/>
      <c r="N1074" s="888"/>
      <c r="O1074" s="888"/>
      <c r="P1074" s="888"/>
      <c r="Q1074" s="888"/>
      <c r="R1074" s="888"/>
    </row>
    <row r="1075" spans="1:18" s="893" customFormat="1" x14ac:dyDescent="0.3">
      <c r="A1075" s="888" t="str">
        <f>IF(LEN('Translation-EN'!A1075)&gt;0,'Translation-EN'!A1075,"")</f>
        <v>Range</v>
      </c>
      <c r="B1075" s="888" t="str">
        <f>IF(LEN('Translation-EN'!B1075)&gt;0,'Translation-EN'!B1075,"")</f>
        <v>Garage</v>
      </c>
      <c r="C1075" s="888" t="str">
        <f>IF(LEN('Translation-EN'!C1075)&gt;0,'Translation-EN'!C1075,"")</f>
        <v>D58</v>
      </c>
      <c r="D1075" s="888" t="str">
        <f>IF(LEN('Translation-EN'!D1075)&gt;0,'Translation-EN'!D1075,"")</f>
        <v/>
      </c>
      <c r="E1075" s="888" t="str">
        <f>$E$189</f>
        <v>ÉPAISSEUR :</v>
      </c>
      <c r="I1075" s="888"/>
      <c r="J1075" s="888"/>
      <c r="K1075" s="888"/>
      <c r="L1075" s="888"/>
      <c r="M1075" s="888"/>
      <c r="N1075" s="888"/>
      <c r="O1075" s="888"/>
      <c r="P1075" s="888"/>
      <c r="Q1075" s="888"/>
      <c r="R1075" s="888"/>
    </row>
    <row r="1076" spans="1:18" s="893" customFormat="1" x14ac:dyDescent="0.3">
      <c r="A1076" s="888" t="str">
        <f>IF(LEN('Translation-EN'!A1076)&gt;0,'Translation-EN'!A1076,"")</f>
        <v>Range</v>
      </c>
      <c r="B1076" s="888" t="str">
        <f>IF(LEN('Translation-EN'!B1076)&gt;0,'Translation-EN'!B1076,"")</f>
        <v>Garage</v>
      </c>
      <c r="C1076" s="888" t="str">
        <f>IF(LEN('Translation-EN'!C1076)&gt;0,'Translation-EN'!C1076,"")</f>
        <v>B59</v>
      </c>
      <c r="D1076" s="888" t="str">
        <f>IF(LEN('Translation-EN'!D1076)&gt;0,'Translation-EN'!D1076,"")</f>
        <v/>
      </c>
      <c r="E1076" s="893" t="str">
        <f>$E$193</f>
        <v>BÉTON –25 MPa ou moins</v>
      </c>
      <c r="I1076" s="888"/>
      <c r="J1076" s="888"/>
      <c r="K1076" s="888"/>
      <c r="L1076" s="888"/>
      <c r="M1076" s="888"/>
      <c r="N1076" s="888"/>
      <c r="O1076" s="888"/>
      <c r="P1076" s="888"/>
      <c r="Q1076" s="888"/>
      <c r="R1076" s="888"/>
    </row>
    <row r="1077" spans="1:18" s="893" customFormat="1" x14ac:dyDescent="0.3">
      <c r="A1077" s="888" t="str">
        <f>IF(LEN('Translation-EN'!A1077)&gt;0,'Translation-EN'!A1077,"")</f>
        <v>Range</v>
      </c>
      <c r="B1077" s="888" t="str">
        <f>IF(LEN('Translation-EN'!B1077)&gt;0,'Translation-EN'!B1077,"")</f>
        <v>Garage</v>
      </c>
      <c r="C1077" s="888" t="str">
        <f>IF(LEN('Translation-EN'!C1077)&gt;0,'Translation-EN'!C1077,"")</f>
        <v>A60</v>
      </c>
      <c r="D1077" s="888" t="str">
        <f>IF(LEN('Translation-EN'!D1077)&gt;0,'Translation-EN'!D1077,"")</f>
        <v/>
      </c>
      <c r="E1077" s="893" t="str">
        <f>$E$194</f>
        <v>Les spécifications du mélange de béton font une grande différence dans l’empreinte carbone. Les spécifications du mélange présentées ici peuvent être utilisées pour discuter des options de mélange à faible teneur en carbone avec votre fournisseur.</v>
      </c>
      <c r="I1077" s="888"/>
      <c r="J1077" s="888"/>
      <c r="K1077" s="888"/>
      <c r="L1077" s="888"/>
      <c r="M1077" s="888"/>
      <c r="N1077" s="888"/>
      <c r="O1077" s="888"/>
      <c r="P1077" s="888"/>
      <c r="Q1077" s="888"/>
      <c r="R1077" s="888"/>
    </row>
    <row r="1078" spans="1:18" s="893" customFormat="1" x14ac:dyDescent="0.3">
      <c r="A1078" s="888" t="str">
        <f>IF(LEN('Translation-EN'!A1078)&gt;0,'Translation-EN'!A1078,"")</f>
        <v>Range</v>
      </c>
      <c r="B1078" s="888" t="str">
        <f>IF(LEN('Translation-EN'!B1078)&gt;0,'Translation-EN'!B1078,"")</f>
        <v>Garage</v>
      </c>
      <c r="C1078" s="888" t="str">
        <f>IF(LEN('Translation-EN'!C1078)&gt;0,'Translation-EN'!C1078,"")</f>
        <v>B67</v>
      </c>
      <c r="D1078" s="888" t="str">
        <f>IF(LEN('Translation-EN'!D1078)&gt;0,'Translation-EN'!D1078,"")</f>
        <v/>
      </c>
      <c r="E1078" s="893" t="str">
        <f>$E$195</f>
        <v>BÉTON –26-30 MPa</v>
      </c>
      <c r="I1078" s="888"/>
      <c r="J1078" s="888"/>
      <c r="K1078" s="888"/>
      <c r="L1078" s="888"/>
      <c r="M1078" s="888"/>
      <c r="N1078" s="888"/>
      <c r="O1078" s="888"/>
      <c r="P1078" s="888"/>
      <c r="Q1078" s="888"/>
      <c r="R1078" s="888"/>
    </row>
    <row r="1079" spans="1:18" s="893" customFormat="1" x14ac:dyDescent="0.3">
      <c r="A1079" s="888" t="str">
        <f>IF(LEN('Translation-EN'!A1079)&gt;0,'Translation-EN'!A1079,"")</f>
        <v>Range</v>
      </c>
      <c r="B1079" s="888" t="str">
        <f>IF(LEN('Translation-EN'!B1079)&gt;0,'Translation-EN'!B1079,"")</f>
        <v>Garage</v>
      </c>
      <c r="C1079" s="888" t="str">
        <f>IF(LEN('Translation-EN'!C1079)&gt;0,'Translation-EN'!C1079,"")</f>
        <v>A68</v>
      </c>
      <c r="D1079" s="888" t="str">
        <f>IF(LEN('Translation-EN'!D1079)&gt;0,'Translation-EN'!D1079,"")</f>
        <v/>
      </c>
      <c r="E1079" s="893" t="str">
        <f>$E$194</f>
        <v>Les spécifications du mélange de béton font une grande différence dans l’empreinte carbone. Les spécifications du mélange présentées ici peuvent être utilisées pour discuter des options de mélange à faible teneur en carbone avec votre fournisseur.</v>
      </c>
      <c r="I1079" s="888"/>
      <c r="J1079" s="888"/>
      <c r="K1079" s="888"/>
      <c r="L1079" s="888"/>
      <c r="M1079" s="888"/>
      <c r="N1079" s="888"/>
      <c r="O1079" s="888"/>
      <c r="P1079" s="888"/>
      <c r="Q1079" s="888"/>
      <c r="R1079" s="888"/>
    </row>
    <row r="1080" spans="1:18" s="893" customFormat="1" x14ac:dyDescent="0.3">
      <c r="A1080" s="888" t="str">
        <f>IF(LEN('Translation-EN'!A1080)&gt;0,'Translation-EN'!A1080,"")</f>
        <v>Range</v>
      </c>
      <c r="B1080" s="888" t="str">
        <f>IF(LEN('Translation-EN'!B1080)&gt;0,'Translation-EN'!B1080,"")</f>
        <v>Garage</v>
      </c>
      <c r="C1080" s="888" t="str">
        <f>IF(LEN('Translation-EN'!C1080)&gt;0,'Translation-EN'!C1080,"")</f>
        <v>A75</v>
      </c>
      <c r="D1080" s="888" t="str">
        <f>IF(LEN('Translation-EN'!D1080)&gt;0,'Translation-EN'!D1080,"")</f>
        <v/>
      </c>
      <c r="E1080" s="893" t="s">
        <v>3097</v>
      </c>
      <c r="I1080" s="888"/>
      <c r="J1080" s="888"/>
      <c r="K1080" s="888"/>
      <c r="L1080" s="888"/>
      <c r="M1080" s="888"/>
      <c r="N1080" s="888"/>
      <c r="O1080" s="888"/>
      <c r="P1080" s="888"/>
      <c r="Q1080" s="888"/>
      <c r="R1080" s="888"/>
    </row>
    <row r="1081" spans="1:18" s="893" customFormat="1" x14ac:dyDescent="0.3">
      <c r="A1081" s="888" t="str">
        <f>IF(LEN('Translation-EN'!A1081)&gt;0,'Translation-EN'!A1081,"")</f>
        <v>Range</v>
      </c>
      <c r="B1081" s="888" t="str">
        <f>IF(LEN('Translation-EN'!B1081)&gt;0,'Translation-EN'!B1081,"")</f>
        <v>Garage</v>
      </c>
      <c r="C1081" s="888" t="str">
        <f>IF(LEN('Translation-EN'!C1081)&gt;0,'Translation-EN'!C1081,"")</f>
        <v>B76</v>
      </c>
      <c r="D1081" s="888" t="str">
        <f>IF(LEN('Translation-EN'!D1081)&gt;0,'Translation-EN'!D1081,"")</f>
        <v/>
      </c>
      <c r="E1081" s="893" t="str">
        <f>$E$284</f>
        <v>ÉLÉMENTS DE MAÇONNERIE EN BÉTON</v>
      </c>
      <c r="I1081" s="888"/>
      <c r="J1081" s="888"/>
      <c r="K1081" s="888"/>
      <c r="L1081" s="888"/>
      <c r="M1081" s="888"/>
      <c r="N1081" s="888"/>
      <c r="O1081" s="888"/>
      <c r="P1081" s="888"/>
      <c r="Q1081" s="888"/>
      <c r="R1081" s="888"/>
    </row>
    <row r="1082" spans="1:18" s="893" customFormat="1" x14ac:dyDescent="0.3">
      <c r="A1082" s="888" t="str">
        <f>IF(LEN('Translation-EN'!A1082)&gt;0,'Translation-EN'!A1082,"")</f>
        <v>Range</v>
      </c>
      <c r="B1082" s="888" t="str">
        <f>IF(LEN('Translation-EN'!B1082)&gt;0,'Translation-EN'!B1082,"")</f>
        <v>Garage</v>
      </c>
      <c r="C1082" s="888" t="str">
        <f>IF(LEN('Translation-EN'!C1082)&gt;0,'Translation-EN'!C1082,"")</f>
        <v>A77</v>
      </c>
      <c r="D1082" s="888" t="str">
        <f>IF(LEN('Translation-EN'!D1082)&gt;0,'Translation-EN'!D1082,"")</f>
        <v/>
      </c>
      <c r="E1082" s="893" t="s">
        <v>3098</v>
      </c>
      <c r="I1082" s="888"/>
      <c r="J1082" s="888"/>
      <c r="K1082" s="888"/>
      <c r="L1082" s="888"/>
      <c r="M1082" s="888"/>
      <c r="N1082" s="888"/>
      <c r="O1082" s="888"/>
      <c r="P1082" s="888"/>
      <c r="Q1082" s="888"/>
      <c r="R1082" s="888"/>
    </row>
    <row r="1083" spans="1:18" s="893" customFormat="1" x14ac:dyDescent="0.3">
      <c r="A1083" s="888" t="str">
        <f>IF(LEN('Translation-EN'!A1083)&gt;0,'Translation-EN'!A1083,"")</f>
        <v>Range</v>
      </c>
      <c r="B1083" s="888" t="str">
        <f>IF(LEN('Translation-EN'!B1083)&gt;0,'Translation-EN'!B1083,"")</f>
        <v>Garage</v>
      </c>
      <c r="C1083" s="888" t="str">
        <f>IF(LEN('Translation-EN'!C1083)&gt;0,'Translation-EN'!C1083,"")</f>
        <v>C77</v>
      </c>
      <c r="D1083" s="888" t="str">
        <f>IF(LEN('Translation-EN'!D1083)&gt;0,'Translation-EN'!D1083,"")</f>
        <v/>
      </c>
      <c r="E1083" s="893" t="s">
        <v>3099</v>
      </c>
      <c r="I1083" s="888"/>
      <c r="J1083" s="888"/>
      <c r="K1083" s="888"/>
      <c r="L1083" s="888"/>
      <c r="M1083" s="888"/>
      <c r="N1083" s="888"/>
      <c r="O1083" s="888"/>
      <c r="P1083" s="888"/>
      <c r="Q1083" s="888"/>
      <c r="R1083" s="888"/>
    </row>
    <row r="1084" spans="1:18" s="893" customFormat="1" x14ac:dyDescent="0.3">
      <c r="A1084" s="888" t="str">
        <f>IF(LEN('Translation-EN'!A1084)&gt;0,'Translation-EN'!A1084,"")</f>
        <v>Range</v>
      </c>
      <c r="B1084" s="888" t="str">
        <f>IF(LEN('Translation-EN'!B1084)&gt;0,'Translation-EN'!B1084,"")</f>
        <v>Garage</v>
      </c>
      <c r="C1084" s="888" t="str">
        <f>IF(LEN('Translation-EN'!C1084)&gt;0,'Translation-EN'!C1084,"")</f>
        <v>A84</v>
      </c>
      <c r="D1084" s="888" t="str">
        <f>IF(LEN('Translation-EN'!D1084)&gt;0,'Translation-EN'!D1084,"")</f>
        <v/>
      </c>
      <c r="E1084" s="893" t="s">
        <v>3100</v>
      </c>
      <c r="I1084" s="888"/>
      <c r="J1084" s="888"/>
      <c r="K1084" s="888"/>
      <c r="L1084" s="888"/>
      <c r="M1084" s="888"/>
      <c r="N1084" s="888"/>
      <c r="O1084" s="888"/>
      <c r="P1084" s="888"/>
      <c r="Q1084" s="888"/>
      <c r="R1084" s="888"/>
    </row>
    <row r="1085" spans="1:18" s="893" customFormat="1" x14ac:dyDescent="0.3">
      <c r="A1085" s="888" t="str">
        <f>IF(LEN('Translation-EN'!A1085)&gt;0,'Translation-EN'!A1085,"")</f>
        <v>Range</v>
      </c>
      <c r="B1085" s="888" t="str">
        <f>IF(LEN('Translation-EN'!B1085)&gt;0,'Translation-EN'!B1085,"")</f>
        <v>Garage</v>
      </c>
      <c r="C1085" s="888" t="str">
        <f>IF(LEN('Translation-EN'!C1085)&gt;0,'Translation-EN'!C1085,"")</f>
        <v>A85</v>
      </c>
      <c r="D1085" s="888" t="str">
        <f>IF(LEN('Translation-EN'!D1085)&gt;0,'Translation-EN'!D1085,"")</f>
        <v/>
      </c>
      <c r="E1085" s="893" t="s">
        <v>3101</v>
      </c>
      <c r="I1085" s="888"/>
      <c r="J1085" s="888"/>
      <c r="K1085" s="888"/>
      <c r="L1085" s="888"/>
      <c r="M1085" s="888"/>
      <c r="N1085" s="888"/>
      <c r="O1085" s="888"/>
      <c r="P1085" s="888"/>
      <c r="Q1085" s="888"/>
      <c r="R1085" s="888"/>
    </row>
    <row r="1086" spans="1:18" s="893" customFormat="1" x14ac:dyDescent="0.3">
      <c r="A1086" s="888" t="str">
        <f>IF(LEN('Translation-EN'!A1086)&gt;0,'Translation-EN'!A1086,"")</f>
        <v>Range</v>
      </c>
      <c r="B1086" s="888" t="str">
        <f>IF(LEN('Translation-EN'!B1086)&gt;0,'Translation-EN'!B1086,"")</f>
        <v>Garage</v>
      </c>
      <c r="C1086" s="888" t="str">
        <f>IF(LEN('Translation-EN'!C1086)&gt;0,'Translation-EN'!C1086,"")</f>
        <v>B86</v>
      </c>
      <c r="D1086" s="888" t="str">
        <f>IF(LEN('Translation-EN'!D1086)&gt;0,'Translation-EN'!D1086,"")</f>
        <v/>
      </c>
      <c r="E1086" s="893" t="str">
        <f>$E$388</f>
        <v>BOIS MASSIF</v>
      </c>
      <c r="I1086" s="888"/>
      <c r="J1086" s="888"/>
      <c r="K1086" s="888"/>
      <c r="L1086" s="888"/>
      <c r="M1086" s="888"/>
      <c r="N1086" s="888"/>
      <c r="O1086" s="888"/>
      <c r="P1086" s="888"/>
      <c r="Q1086" s="888"/>
      <c r="R1086" s="888"/>
    </row>
    <row r="1087" spans="1:18" s="893" customFormat="1" x14ac:dyDescent="0.3">
      <c r="A1087" s="888" t="str">
        <f>IF(LEN('Translation-EN'!A1087)&gt;0,'Translation-EN'!A1087,"")</f>
        <v>Range</v>
      </c>
      <c r="B1087" s="888" t="str">
        <f>IF(LEN('Translation-EN'!B1087)&gt;0,'Translation-EN'!B1087,"")</f>
        <v>Garage</v>
      </c>
      <c r="C1087" s="888" t="str">
        <f>IF(LEN('Translation-EN'!C1087)&gt;0,'Translation-EN'!C1087,"")</f>
        <v>A87</v>
      </c>
      <c r="D1087" s="888" t="str">
        <f>IF(LEN('Translation-EN'!D1087)&gt;0,'Translation-EN'!D1087,"")</f>
        <v/>
      </c>
      <c r="E1087" s="893" t="str">
        <f>$E$389</f>
        <v>Utilisez la fonction % si plusieurs types de bois massifs sont utilisés.</v>
      </c>
      <c r="I1087" s="888"/>
      <c r="J1087" s="888"/>
      <c r="K1087" s="888"/>
      <c r="L1087" s="888"/>
      <c r="M1087" s="888"/>
      <c r="N1087" s="888"/>
      <c r="O1087" s="888"/>
      <c r="P1087" s="888"/>
      <c r="Q1087" s="888"/>
      <c r="R1087" s="888"/>
    </row>
    <row r="1088" spans="1:18" s="893" customFormat="1" x14ac:dyDescent="0.3">
      <c r="A1088" s="888" t="str">
        <f>IF(LEN('Translation-EN'!A1088)&gt;0,'Translation-EN'!A1088,"")</f>
        <v>Range</v>
      </c>
      <c r="B1088" s="888" t="str">
        <f>IF(LEN('Translation-EN'!B1088)&gt;0,'Translation-EN'!B1088,"")</f>
        <v>Garage</v>
      </c>
      <c r="C1088" s="888" t="str">
        <f>IF(LEN('Translation-EN'!C1088)&gt;0,'Translation-EN'!C1088,"")</f>
        <v>C87</v>
      </c>
      <c r="D1088" s="888" t="str">
        <f>IF(LEN('Translation-EN'!D1088)&gt;0,'Translation-EN'!D1088,"")</f>
        <v/>
      </c>
      <c r="E1088" s="893" t="str">
        <f>$E$390</f>
        <v>Charpente lourde en bois – MOYENNE</v>
      </c>
      <c r="I1088" s="888"/>
      <c r="J1088" s="888"/>
      <c r="K1088" s="888"/>
      <c r="L1088" s="888"/>
      <c r="M1088" s="888"/>
      <c r="N1088" s="888"/>
      <c r="O1088" s="888"/>
      <c r="P1088" s="888"/>
      <c r="Q1088" s="888"/>
      <c r="R1088" s="888"/>
    </row>
    <row r="1089" spans="1:18" s="893" customFormat="1" x14ac:dyDescent="0.3">
      <c r="A1089" s="888" t="str">
        <f>IF(LEN('Translation-EN'!A1089)&gt;0,'Translation-EN'!A1089,"")</f>
        <v>Range</v>
      </c>
      <c r="B1089" s="888" t="str">
        <f>IF(LEN('Translation-EN'!B1089)&gt;0,'Translation-EN'!B1089,"")</f>
        <v>Garage</v>
      </c>
      <c r="C1089" s="888" t="str">
        <f>IF(LEN('Translation-EN'!C1089)&gt;0,'Translation-EN'!C1089,"")</f>
        <v>A106</v>
      </c>
      <c r="D1089" s="888" t="str">
        <f>IF(LEN('Translation-EN'!D1089)&gt;0,'Translation-EN'!D1089,"")</f>
        <v/>
      </c>
      <c r="E1089" s="893" t="str">
        <f>$E$391</f>
        <v>COMPOSANTS LOURDS EN ACIER</v>
      </c>
      <c r="I1089" s="888"/>
      <c r="J1089" s="888"/>
      <c r="K1089" s="888"/>
      <c r="L1089" s="888"/>
      <c r="M1089" s="888"/>
      <c r="N1089" s="888"/>
      <c r="O1089" s="888"/>
      <c r="P1089" s="888"/>
      <c r="Q1089" s="888"/>
      <c r="R1089" s="888"/>
    </row>
    <row r="1090" spans="1:18" s="893" customFormat="1" x14ac:dyDescent="0.3">
      <c r="A1090" s="888" t="str">
        <f>IF(LEN('Translation-EN'!A1090)&gt;0,'Translation-EN'!A1090,"")</f>
        <v>Range</v>
      </c>
      <c r="B1090" s="888" t="str">
        <f>IF(LEN('Translation-EN'!B1090)&gt;0,'Translation-EN'!B1090,"")</f>
        <v>Garage</v>
      </c>
      <c r="C1090" s="888" t="str">
        <f>IF(LEN('Translation-EN'!C1090)&gt;0,'Translation-EN'!C1090,"")</f>
        <v>B107</v>
      </c>
      <c r="D1090" s="888" t="str">
        <f>IF(LEN('Translation-EN'!D1090)&gt;0,'Translation-EN'!D1090,"")</f>
        <v/>
      </c>
      <c r="E1090" s="893" t="str">
        <f>$E$392</f>
        <v>POTEAUX ET POUTRES EN ACIER</v>
      </c>
      <c r="I1090" s="888"/>
      <c r="J1090" s="888"/>
      <c r="K1090" s="888"/>
      <c r="L1090" s="888"/>
      <c r="M1090" s="888"/>
      <c r="N1090" s="888"/>
      <c r="O1090" s="888"/>
      <c r="P1090" s="888"/>
      <c r="Q1090" s="888"/>
      <c r="R1090" s="888"/>
    </row>
    <row r="1091" spans="1:18" s="893" customFormat="1" x14ac:dyDescent="0.3">
      <c r="A1091" s="888" t="str">
        <f>IF(LEN('Translation-EN'!A1091)&gt;0,'Translation-EN'!A1091,"")</f>
        <v>Range</v>
      </c>
      <c r="B1091" s="888" t="str">
        <f>IF(LEN('Translation-EN'!B1091)&gt;0,'Translation-EN'!B1091,"")</f>
        <v>Garage</v>
      </c>
      <c r="C1091" s="888" t="str">
        <f>IF(LEN('Translation-EN'!C1091)&gt;0,'Translation-EN'!C1091,"")</f>
        <v>A108</v>
      </c>
      <c r="D1091" s="888" t="str">
        <f>IF(LEN('Translation-EN'!D1091)&gt;0,'Translation-EN'!D1091,"")</f>
        <v/>
      </c>
      <c r="E1091" s="929" t="str">
        <f>$E$395</f>
        <v>Choisissez le menu de section poutre d’acier et saisissez le nombre de mètres linéaires pour chaque type de composant, car les valeurs ne proviennent pas de la feuille de saisie utilisateur.</v>
      </c>
      <c r="I1091" s="888"/>
      <c r="J1091" s="888"/>
      <c r="K1091" s="888"/>
      <c r="L1091" s="888"/>
      <c r="M1091" s="888"/>
      <c r="N1091" s="888"/>
      <c r="O1091" s="888"/>
      <c r="P1091" s="888"/>
      <c r="Q1091" s="888"/>
      <c r="R1091" s="888"/>
    </row>
    <row r="1092" spans="1:18" s="893" customFormat="1" x14ac:dyDescent="0.3">
      <c r="A1092" s="888" t="str">
        <f>IF(LEN('Translation-EN'!A1092)&gt;0,'Translation-EN'!A1092,"")</f>
        <v>Range</v>
      </c>
      <c r="B1092" s="888" t="str">
        <f>IF(LEN('Translation-EN'!B1092)&gt;0,'Translation-EN'!B1092,"")</f>
        <v>_Garage</v>
      </c>
      <c r="C1092" s="888" t="str">
        <f>IF(LEN('Translation-EN'!C1092)&gt;0,'Translation-EN'!C1092,"")</f>
        <v>C102</v>
      </c>
      <c r="D1092" s="888" t="str">
        <f>IF(LEN('Translation-EN'!D1092)&gt;0,'Translation-EN'!D1092,"")</f>
        <v/>
      </c>
      <c r="E1092" s="893" t="str">
        <f>$E$394</f>
        <v>Poutre en acier section W – MOYENNE</v>
      </c>
      <c r="I1092" s="888"/>
      <c r="J1092" s="888"/>
      <c r="K1092" s="888"/>
      <c r="L1092" s="888"/>
      <c r="M1092" s="888"/>
      <c r="N1092" s="888"/>
      <c r="O1092" s="888"/>
      <c r="P1092" s="888"/>
      <c r="Q1092" s="888"/>
      <c r="R1092" s="888"/>
    </row>
    <row r="1093" spans="1:18" s="893" customFormat="1" x14ac:dyDescent="0.3">
      <c r="A1093" s="888" t="str">
        <f>IF(LEN('Translation-EN'!A1093)&gt;0,'Translation-EN'!A1093,"")</f>
        <v>Range</v>
      </c>
      <c r="B1093" s="888" t="str">
        <f>IF(LEN('Translation-EN'!B1093)&gt;0,'Translation-EN'!B1093,"")</f>
        <v>Garage</v>
      </c>
      <c r="C1093" s="888" t="str">
        <f>IF(LEN('Translation-EN'!C1093)&gt;0,'Translation-EN'!C1093,"")</f>
        <v>A118</v>
      </c>
      <c r="D1093" s="888" t="str">
        <f>IF(LEN('Translation-EN'!D1093)&gt;0,'Translation-EN'!D1093,"")</f>
        <v/>
      </c>
      <c r="E1093" s="893" t="s">
        <v>3102</v>
      </c>
      <c r="I1093" s="888"/>
      <c r="J1093" s="888"/>
      <c r="K1093" s="888"/>
      <c r="L1093" s="888"/>
      <c r="M1093" s="888"/>
      <c r="N1093" s="888"/>
      <c r="O1093" s="888"/>
      <c r="P1093" s="888"/>
      <c r="Q1093" s="888"/>
      <c r="R1093" s="888"/>
    </row>
    <row r="1094" spans="1:18" s="893" customFormat="1" x14ac:dyDescent="0.3">
      <c r="A1094" s="888" t="str">
        <f>IF(LEN('Translation-EN'!A1094)&gt;0,'Translation-EN'!A1094,"")</f>
        <v>Range</v>
      </c>
      <c r="B1094" s="888" t="str">
        <f>IF(LEN('Translation-EN'!B1094)&gt;0,'Translation-EN'!B1094,"")</f>
        <v>Garage</v>
      </c>
      <c r="C1094" s="888" t="str">
        <f>IF(LEN('Translation-EN'!C1094)&gt;0,'Translation-EN'!C1094,"")</f>
        <v>A119</v>
      </c>
      <c r="D1094" s="888" t="str">
        <f>IF(LEN('Translation-EN'!D1094)&gt;0,'Translation-EN'!D1094,"")</f>
        <v/>
      </c>
      <c r="E1094" s="893" t="str">
        <f>$E$326</f>
        <v>CONSTRUCTION EN BOIS</v>
      </c>
      <c r="I1094" s="888"/>
      <c r="J1094" s="888"/>
      <c r="K1094" s="888"/>
      <c r="L1094" s="888"/>
      <c r="M1094" s="888"/>
      <c r="N1094" s="888"/>
      <c r="O1094" s="888"/>
      <c r="P1094" s="888"/>
      <c r="Q1094" s="888"/>
      <c r="R1094" s="888"/>
    </row>
    <row r="1095" spans="1:18" s="893" customFormat="1" x14ac:dyDescent="0.3">
      <c r="A1095" s="888" t="str">
        <f>IF(LEN('Translation-EN'!A1095)&gt;0,'Translation-EN'!A1095,"")</f>
        <v>Range</v>
      </c>
      <c r="B1095" s="888" t="str">
        <f>IF(LEN('Translation-EN'!B1095)&gt;0,'Translation-EN'!B1095,"")</f>
        <v>Garage</v>
      </c>
      <c r="C1095" s="888" t="str">
        <f>IF(LEN('Translation-EN'!C1095)&gt;0,'Translation-EN'!C1095,"")</f>
        <v>D119</v>
      </c>
      <c r="D1095" s="888" t="str">
        <f>IF(LEN('Translation-EN'!D1095)&gt;0,'Translation-EN'!D1095,"")</f>
        <v/>
      </c>
      <c r="E1095" s="893" t="str">
        <f>$E$325</f>
        <v>L’ESPACEMENT DES CHARPENTES :</v>
      </c>
      <c r="I1095" s="888"/>
      <c r="J1095" s="888"/>
      <c r="K1095" s="888"/>
      <c r="L1095" s="888"/>
      <c r="M1095" s="888"/>
      <c r="N1095" s="888"/>
      <c r="O1095" s="888"/>
      <c r="P1095" s="888"/>
      <c r="Q1095" s="888"/>
      <c r="R1095" s="888"/>
    </row>
    <row r="1096" spans="1:18" s="893" customFormat="1" x14ac:dyDescent="0.3">
      <c r="A1096" s="888" t="str">
        <f>IF(LEN('Translation-EN'!A1096)&gt;0,'Translation-EN'!A1096,"")</f>
        <v>Range</v>
      </c>
      <c r="B1096" s="888" t="str">
        <f>IF(LEN('Translation-EN'!B1096)&gt;0,'Translation-EN'!B1096,"")</f>
        <v>_Garage</v>
      </c>
      <c r="C1096" s="888" t="str">
        <f>IF(LEN('Translation-EN'!C1096)&gt;0,'Translation-EN'!C1096,"")</f>
        <v>B119</v>
      </c>
      <c r="D1096" s="888" t="str">
        <f>IF(LEN('Translation-EN'!D1096)&gt;0,'Translation-EN'!D1096,"")</f>
        <v/>
      </c>
      <c r="E1096" s="893" t="str">
        <f>$E$326</f>
        <v>CONSTRUCTION EN BOIS</v>
      </c>
      <c r="I1096" s="888"/>
      <c r="J1096" s="888"/>
      <c r="K1096" s="888"/>
      <c r="L1096" s="888"/>
      <c r="M1096" s="888"/>
      <c r="N1096" s="888"/>
      <c r="O1096" s="888"/>
      <c r="P1096" s="888"/>
      <c r="Q1096" s="888"/>
      <c r="R1096" s="888"/>
    </row>
    <row r="1097" spans="1:18" s="893" customFormat="1" x14ac:dyDescent="0.3">
      <c r="A1097" s="888" t="str">
        <f>IF(LEN('Translation-EN'!A1097)&gt;0,'Translation-EN'!A1097,"")</f>
        <v>Range</v>
      </c>
      <c r="B1097" s="888" t="str">
        <f>IF(LEN('Translation-EN'!B1097)&gt;0,'Translation-EN'!B1097,"")</f>
        <v>_Garage</v>
      </c>
      <c r="C1097" s="888" t="str">
        <f>IF(LEN('Translation-EN'!C1097)&gt;0,'Translation-EN'!C1097,"")</f>
        <v>B123</v>
      </c>
      <c r="D1097" s="888" t="str">
        <f>IF(LEN('Translation-EN'!D1097)&gt;0,'Translation-EN'!D1097,"")</f>
        <v/>
      </c>
      <c r="E1097" s="893" t="str">
        <f>$E$327</f>
        <v>2x4 double</v>
      </c>
      <c r="I1097" s="888"/>
      <c r="J1097" s="888"/>
      <c r="K1097" s="888"/>
      <c r="L1097" s="888"/>
      <c r="M1097" s="888"/>
      <c r="N1097" s="888"/>
      <c r="O1097" s="888"/>
      <c r="P1097" s="888"/>
      <c r="Q1097" s="888"/>
      <c r="R1097" s="888"/>
    </row>
    <row r="1098" spans="1:18" s="893" customFormat="1" x14ac:dyDescent="0.3">
      <c r="A1098" s="888" t="str">
        <f>IF(LEN('Translation-EN'!A1098)&gt;0,'Translation-EN'!A1098,"")</f>
        <v>Range</v>
      </c>
      <c r="B1098" s="888" t="str">
        <f>IF(LEN('Translation-EN'!B1098)&gt;0,'Translation-EN'!B1098,"")</f>
        <v>Garage</v>
      </c>
      <c r="C1098" s="888" t="str">
        <f>IF(LEN('Translation-EN'!C1098)&gt;0,'Translation-EN'!C1098,"")</f>
        <v>B120</v>
      </c>
      <c r="D1098" s="888" t="str">
        <f>IF(LEN('Translation-EN'!D1098)&gt;0,'Translation-EN'!D1098,"")</f>
        <v/>
      </c>
      <c r="E1098" s="924" t="str">
        <f>$E$328</f>
        <v>2x4 CONSTRUCTION EN BOIS</v>
      </c>
      <c r="I1098" s="888"/>
      <c r="J1098" s="888"/>
      <c r="K1098" s="888"/>
      <c r="L1098" s="888"/>
      <c r="M1098" s="888"/>
      <c r="N1098" s="888"/>
      <c r="O1098" s="888"/>
      <c r="P1098" s="888"/>
      <c r="Q1098" s="888"/>
      <c r="R1098" s="888"/>
    </row>
    <row r="1099" spans="1:18" s="893" customFormat="1" x14ac:dyDescent="0.3">
      <c r="A1099" s="888" t="str">
        <f>IF(LEN('Translation-EN'!A1099)&gt;0,'Translation-EN'!A1099,"")</f>
        <v>Range</v>
      </c>
      <c r="B1099" s="888" t="str">
        <f>IF(LEN('Translation-EN'!B1099)&gt;0,'Translation-EN'!B1099,"")</f>
        <v>Garage</v>
      </c>
      <c r="C1099" s="888" t="str">
        <f>IF(LEN('Translation-EN'!C1099)&gt;0,'Translation-EN'!C1099,"")</f>
        <v>B127</v>
      </c>
      <c r="D1099" s="888" t="str">
        <f>IF(LEN('Translation-EN'!D1099)&gt;0,'Translation-EN'!D1099,"")</f>
        <v/>
      </c>
      <c r="E1099" s="924" t="str">
        <f>$E$329</f>
        <v>2x6 CONSTRUCTION EN BOIS</v>
      </c>
      <c r="I1099" s="888"/>
      <c r="J1099" s="888"/>
      <c r="K1099" s="888"/>
      <c r="L1099" s="888"/>
      <c r="M1099" s="888"/>
      <c r="N1099" s="888"/>
      <c r="O1099" s="888"/>
      <c r="P1099" s="888"/>
      <c r="Q1099" s="888"/>
      <c r="R1099" s="888"/>
    </row>
    <row r="1100" spans="1:18" s="893" customFormat="1" x14ac:dyDescent="0.3">
      <c r="A1100" s="888" t="str">
        <f>IF(LEN('Translation-EN'!A1100)&gt;0,'Translation-EN'!A1100,"")</f>
        <v>Range</v>
      </c>
      <c r="B1100" s="888" t="str">
        <f>IF(LEN('Translation-EN'!B1100)&gt;0,'Translation-EN'!B1100,"")</f>
        <v>Garage</v>
      </c>
      <c r="C1100" s="888" t="str">
        <f>IF(LEN('Translation-EN'!C1100)&gt;0,'Translation-EN'!C1100,"")</f>
        <v>B134</v>
      </c>
      <c r="D1100" s="888" t="str">
        <f>IF(LEN('Translation-EN'!D1100)&gt;0,'Translation-EN'!D1100,"")</f>
        <v/>
      </c>
      <c r="E1100" s="924" t="str">
        <f>$E$330</f>
        <v>2x8 CONSTRUCTION EN BOIS</v>
      </c>
      <c r="I1100" s="888"/>
      <c r="J1100" s="888"/>
      <c r="K1100" s="888"/>
      <c r="L1100" s="888"/>
      <c r="M1100" s="888"/>
      <c r="N1100" s="888"/>
      <c r="O1100" s="888"/>
      <c r="P1100" s="888"/>
      <c r="Q1100" s="888"/>
      <c r="R1100" s="888"/>
    </row>
    <row r="1101" spans="1:18" s="893" customFormat="1" x14ac:dyDescent="0.3">
      <c r="A1101" s="888" t="str">
        <f>IF(LEN('Translation-EN'!A1101)&gt;0,'Translation-EN'!A1101,"")</f>
        <v>Range</v>
      </c>
      <c r="B1101" s="888" t="str">
        <f>IF(LEN('Translation-EN'!B1101)&gt;0,'Translation-EN'!B1101,"")</f>
        <v>Garage</v>
      </c>
      <c r="C1101" s="888" t="str">
        <f>IF(LEN('Translation-EN'!C1101)&gt;0,'Translation-EN'!C1101,"")</f>
        <v>B141</v>
      </c>
      <c r="D1101" s="888" t="str">
        <f>IF(LEN('Translation-EN'!D1101)&gt;0,'Translation-EN'!D1101,"")</f>
        <v/>
      </c>
      <c r="E1101" s="924" t="str">
        <f>$E$331</f>
        <v>2x4 DOUBLE CONSTRUCTION EN BOIS</v>
      </c>
      <c r="I1101" s="888"/>
      <c r="J1101" s="888"/>
      <c r="K1101" s="888"/>
      <c r="L1101" s="888"/>
      <c r="M1101" s="888"/>
      <c r="N1101" s="888"/>
      <c r="O1101" s="888"/>
      <c r="P1101" s="888"/>
      <c r="Q1101" s="888"/>
      <c r="R1101" s="888"/>
    </row>
    <row r="1102" spans="1:18" s="893" customFormat="1" x14ac:dyDescent="0.3">
      <c r="A1102" s="888" t="str">
        <f>IF(LEN('Translation-EN'!A1102)&gt;0,'Translation-EN'!A1102,"")</f>
        <v>Range</v>
      </c>
      <c r="B1102" s="888" t="str">
        <f>IF(LEN('Translation-EN'!B1102)&gt;0,'Translation-EN'!B1102,"")</f>
        <v>Garage</v>
      </c>
      <c r="C1102" s="888" t="str">
        <f>IF(LEN('Translation-EN'!C1102)&gt;0,'Translation-EN'!C1102,"")</f>
        <v>A148</v>
      </c>
      <c r="D1102" s="888" t="str">
        <f>IF(LEN('Translation-EN'!D1102)&gt;0,'Translation-EN'!D1102,"")</f>
        <v/>
      </c>
      <c r="E1102" s="893" t="str">
        <f>$E$782</f>
        <v>CONSTRUCTION À CHARPENTE EN ACIER</v>
      </c>
      <c r="I1102" s="888"/>
      <c r="J1102" s="888"/>
      <c r="K1102" s="888"/>
      <c r="L1102" s="888"/>
      <c r="M1102" s="888"/>
      <c r="N1102" s="888"/>
      <c r="O1102" s="888"/>
      <c r="P1102" s="888"/>
      <c r="Q1102" s="888"/>
      <c r="R1102" s="888"/>
    </row>
    <row r="1103" spans="1:18" s="893" customFormat="1" x14ac:dyDescent="0.3">
      <c r="A1103" s="888" t="str">
        <f>IF(LEN('Translation-EN'!A1103)&gt;0,'Translation-EN'!A1103,"")</f>
        <v>Range</v>
      </c>
      <c r="B1103" s="888" t="str">
        <f>IF(LEN('Translation-EN'!B1103)&gt;0,'Translation-EN'!B1103,"")</f>
        <v>Garage</v>
      </c>
      <c r="C1103" s="888" t="str">
        <f>IF(LEN('Translation-EN'!C1103)&gt;0,'Translation-EN'!C1103,"")</f>
        <v>D148</v>
      </c>
      <c r="D1103" s="888" t="str">
        <f>IF(LEN('Translation-EN'!D1103)&gt;0,'Translation-EN'!D1103,"")</f>
        <v/>
      </c>
      <c r="E1103" s="893" t="str">
        <f>$E$325</f>
        <v>L’ESPACEMENT DES CHARPENTES :</v>
      </c>
      <c r="I1103" s="888"/>
      <c r="J1103" s="888"/>
      <c r="K1103" s="888"/>
      <c r="L1103" s="888"/>
      <c r="M1103" s="888"/>
      <c r="N1103" s="888"/>
      <c r="O1103" s="888"/>
      <c r="P1103" s="888"/>
      <c r="Q1103" s="888"/>
      <c r="R1103" s="888"/>
    </row>
    <row r="1104" spans="1:18" s="893" customFormat="1" x14ac:dyDescent="0.3">
      <c r="A1104" s="888" t="str">
        <f>IF(LEN('Translation-EN'!A1104)&gt;0,'Translation-EN'!A1104,"")</f>
        <v>Range</v>
      </c>
      <c r="B1104" s="888" t="str">
        <f>IF(LEN('Translation-EN'!B1104)&gt;0,'Translation-EN'!B1104,"")</f>
        <v>Garage</v>
      </c>
      <c r="C1104" s="888" t="str">
        <f>IF(LEN('Translation-EN'!C1104)&gt;0,'Translation-EN'!C1104,"")</f>
        <v>B149</v>
      </c>
      <c r="D1104" s="888" t="str">
        <f>IF(LEN('Translation-EN'!D1104)&gt;0,'Translation-EN'!D1104,"")</f>
        <v/>
      </c>
      <c r="E1104" s="893" t="str">
        <f>$E$429</f>
        <v>CHARPENTE D’ACIER, 2x6</v>
      </c>
      <c r="I1104" s="888"/>
      <c r="J1104" s="888"/>
      <c r="K1104" s="888"/>
      <c r="L1104" s="888"/>
      <c r="M1104" s="888"/>
      <c r="N1104" s="888"/>
      <c r="O1104" s="888"/>
      <c r="P1104" s="888"/>
      <c r="Q1104" s="888"/>
      <c r="R1104" s="888"/>
    </row>
    <row r="1105" spans="1:18" s="893" customFormat="1" x14ac:dyDescent="0.3">
      <c r="A1105" s="888" t="str">
        <f>IF(LEN('Translation-EN'!A1105)&gt;0,'Translation-EN'!A1105,"")</f>
        <v>Range</v>
      </c>
      <c r="B1105" s="888" t="str">
        <f>IF(LEN('Translation-EN'!B1105)&gt;0,'Translation-EN'!B1105,"")</f>
        <v>Garage</v>
      </c>
      <c r="C1105" s="888" t="str">
        <f>IF(LEN('Translation-EN'!C1105)&gt;0,'Translation-EN'!C1105,"")</f>
        <v>A150</v>
      </c>
      <c r="D1105" s="888" t="str">
        <f>IF(LEN('Translation-EN'!D1105)&gt;0,'Translation-EN'!D1105,"")</f>
        <v/>
      </c>
      <c r="E1105" s="893" t="str">
        <f>$E$582</f>
        <v>Utilisez la fonction % pour vous adapter aux autres calibres des goujons en acier.</v>
      </c>
      <c r="I1105" s="888"/>
      <c r="J1105" s="888"/>
      <c r="K1105" s="888"/>
      <c r="L1105" s="888"/>
      <c r="M1105" s="888"/>
      <c r="N1105" s="888"/>
      <c r="O1105" s="888"/>
      <c r="P1105" s="888"/>
      <c r="Q1105" s="888"/>
      <c r="R1105" s="888"/>
    </row>
    <row r="1106" spans="1:18" s="893" customFormat="1" x14ac:dyDescent="0.3">
      <c r="A1106" s="888" t="str">
        <f>IF(LEN('Translation-EN'!A1106)&gt;0,'Translation-EN'!A1106,"")</f>
        <v>Range</v>
      </c>
      <c r="B1106" s="888" t="str">
        <f>IF(LEN('Translation-EN'!B1106)&gt;0,'Translation-EN'!B1106,"")</f>
        <v>Garage</v>
      </c>
      <c r="C1106" s="888" t="str">
        <f>IF(LEN('Translation-EN'!C1106)&gt;0,'Translation-EN'!C1106,"")</f>
        <v>C150</v>
      </c>
      <c r="D1106" s="888" t="str">
        <f>IF(LEN('Translation-EN'!D1106)&gt;0,'Translation-EN'!D1106,"")</f>
        <v/>
      </c>
      <c r="E1106" s="893" t="str">
        <f>$E$431</f>
        <v>Charpente en acier – porteur – MOYENNE</v>
      </c>
      <c r="I1106" s="888"/>
      <c r="J1106" s="888"/>
      <c r="K1106" s="888"/>
      <c r="L1106" s="888"/>
      <c r="M1106" s="888"/>
      <c r="N1106" s="888"/>
      <c r="O1106" s="888"/>
      <c r="P1106" s="888"/>
      <c r="Q1106" s="888"/>
      <c r="R1106" s="888"/>
    </row>
    <row r="1107" spans="1:18" s="893" customFormat="1" x14ac:dyDescent="0.3">
      <c r="A1107" s="888" t="str">
        <f>IF(LEN('Translation-EN'!A1107)&gt;0,'Translation-EN'!A1107,"")</f>
        <v>Range</v>
      </c>
      <c r="B1107" s="888" t="str">
        <f>IF(LEN('Translation-EN'!B1107)&gt;0,'Translation-EN'!B1107,"")</f>
        <v>Garage</v>
      </c>
      <c r="C1107" s="888" t="str">
        <f>IF(LEN('Translation-EN'!C1107)&gt;0,'Translation-EN'!C1107,"")</f>
        <v>B154</v>
      </c>
      <c r="D1107" s="888" t="str">
        <f>IF(LEN('Translation-EN'!D1107)&gt;0,'Translation-EN'!D1107,"")</f>
        <v/>
      </c>
      <c r="E1107" s="893" t="str">
        <f>$E$334</f>
        <v>CHARPENTE D’ACIER, 2x4</v>
      </c>
      <c r="I1107" s="888"/>
      <c r="J1107" s="888"/>
      <c r="K1107" s="888"/>
      <c r="L1107" s="888"/>
      <c r="M1107" s="888"/>
      <c r="N1107" s="888"/>
      <c r="O1107" s="888"/>
      <c r="P1107" s="888"/>
      <c r="Q1107" s="888"/>
      <c r="R1107" s="888"/>
    </row>
    <row r="1108" spans="1:18" s="893" customFormat="1" x14ac:dyDescent="0.3">
      <c r="A1108" s="888" t="str">
        <f>IF(LEN('Translation-EN'!A1108)&gt;0,'Translation-EN'!A1108,"")</f>
        <v>Range</v>
      </c>
      <c r="B1108" s="888" t="str">
        <f>IF(LEN('Translation-EN'!B1108)&gt;0,'Translation-EN'!B1108,"")</f>
        <v>Garage</v>
      </c>
      <c r="C1108" s="888" t="str">
        <f>IF(LEN('Translation-EN'!C1108)&gt;0,'Translation-EN'!C1108,"")</f>
        <v>C155</v>
      </c>
      <c r="D1108" s="888" t="str">
        <f>IF(LEN('Translation-EN'!D1108)&gt;0,'Translation-EN'!D1108,"")</f>
        <v/>
      </c>
      <c r="E1108" s="893" t="str">
        <f>$E$579</f>
        <v>Charpente en acier – murs intérieurs – MOYENNE</v>
      </c>
      <c r="I1108" s="888"/>
      <c r="J1108" s="888"/>
      <c r="K1108" s="888"/>
      <c r="L1108" s="888"/>
      <c r="M1108" s="888"/>
      <c r="N1108" s="888"/>
      <c r="O1108" s="888"/>
      <c r="P1108" s="888"/>
      <c r="Q1108" s="888"/>
      <c r="R1108" s="888"/>
    </row>
    <row r="1109" spans="1:18" s="893" customFormat="1" x14ac:dyDescent="0.3">
      <c r="A1109" s="888" t="str">
        <f>IF(LEN('Translation-EN'!A1109)&gt;0,'Translation-EN'!A1109,"")</f>
        <v>Range</v>
      </c>
      <c r="B1109" s="888" t="str">
        <f>IF(LEN('Translation-EN'!B1109)&gt;0,'Translation-EN'!B1109,"")</f>
        <v>Garage</v>
      </c>
      <c r="C1109" s="888" t="str">
        <f>IF(LEN('Translation-EN'!C1109)&gt;0,'Translation-EN'!C1109,"")</f>
        <v>A156</v>
      </c>
      <c r="D1109" s="888" t="str">
        <f>IF(LEN('Translation-EN'!D1109)&gt;0,'Translation-EN'!D1109,"")</f>
        <v/>
      </c>
      <c r="E1109" s="893" t="str">
        <f>$E$580</f>
        <v>Utilisez la fonction % pour vous adapter aux différents calibres des goujons en acier.</v>
      </c>
      <c r="I1109" s="888"/>
      <c r="J1109" s="888"/>
      <c r="K1109" s="888"/>
      <c r="L1109" s="888"/>
      <c r="M1109" s="888"/>
      <c r="N1109" s="888"/>
      <c r="O1109" s="888"/>
      <c r="P1109" s="888"/>
      <c r="Q1109" s="888"/>
      <c r="R1109" s="888"/>
    </row>
    <row r="1110" spans="1:18" s="893" customFormat="1" x14ac:dyDescent="0.3">
      <c r="A1110" s="888" t="str">
        <f>IF(LEN('Translation-EN'!A1110)&gt;0,'Translation-EN'!A1110,"")</f>
        <v>Range</v>
      </c>
      <c r="B1110" s="888" t="str">
        <f>IF(LEN('Translation-EN'!B1110)&gt;0,'Translation-EN'!B1110,"")</f>
        <v>Garage</v>
      </c>
      <c r="C1110" s="888" t="str">
        <f>IF(LEN('Translation-EN'!C1110)&gt;0,'Translation-EN'!C1110,"")</f>
        <v>A158</v>
      </c>
      <c r="D1110" s="888" t="str">
        <f>IF(LEN('Translation-EN'!D1110)&gt;0,'Translation-EN'!D1110,"")</f>
        <v/>
      </c>
      <c r="E1110" s="893" t="str">
        <f>$E$450</f>
        <v>PANNEAUX STRUCTURAUX</v>
      </c>
      <c r="I1110" s="888"/>
      <c r="J1110" s="888"/>
      <c r="K1110" s="888"/>
      <c r="L1110" s="888"/>
      <c r="M1110" s="888"/>
      <c r="N1110" s="888"/>
      <c r="O1110" s="888"/>
      <c r="P1110" s="888"/>
      <c r="Q1110" s="888"/>
      <c r="R1110" s="888"/>
    </row>
    <row r="1111" spans="1:18" s="893" customFormat="1" x14ac:dyDescent="0.3">
      <c r="A1111" s="888" t="str">
        <f>IF(LEN('Translation-EN'!A1111)&gt;0,'Translation-EN'!A1111,"")</f>
        <v>Range</v>
      </c>
      <c r="B1111" s="888" t="str">
        <f>IF(LEN('Translation-EN'!B1111)&gt;0,'Translation-EN'!B1111,"")</f>
        <v>Garage</v>
      </c>
      <c r="C1111" s="888" t="str">
        <f>IF(LEN('Translation-EN'!C1111)&gt;0,'Translation-EN'!C1111,"")</f>
        <v>B159</v>
      </c>
      <c r="D1111" s="888" t="str">
        <f>IF(LEN('Translation-EN'!D1111)&gt;0,'Translation-EN'!D1111,"")</f>
        <v/>
      </c>
      <c r="E1111" s="893" t="str">
        <f>$E$451</f>
        <v>PANNEAU À COPEAUX ORIENTÉS</v>
      </c>
      <c r="I1111" s="888"/>
      <c r="J1111" s="888"/>
      <c r="K1111" s="888"/>
      <c r="L1111" s="888"/>
      <c r="M1111" s="888"/>
      <c r="N1111" s="888"/>
      <c r="O1111" s="888"/>
      <c r="P1111" s="888"/>
      <c r="Q1111" s="888"/>
      <c r="R1111" s="888"/>
    </row>
    <row r="1112" spans="1:18" s="893" customFormat="1" x14ac:dyDescent="0.3">
      <c r="A1112" s="888" t="str">
        <f>IF(LEN('Translation-EN'!A1112)&gt;0,'Translation-EN'!A1112,"")</f>
        <v>Range</v>
      </c>
      <c r="B1112" s="888" t="str">
        <f>IF(LEN('Translation-EN'!B1112)&gt;0,'Translation-EN'!B1112,"")</f>
        <v>Garage</v>
      </c>
      <c r="C1112" s="888" t="str">
        <f>IF(LEN('Translation-EN'!C1112)&gt;0,'Translation-EN'!C1112,"")</f>
        <v>B168</v>
      </c>
      <c r="D1112" s="888" t="str">
        <f>IF(LEN('Translation-EN'!D1112)&gt;0,'Translation-EN'!D1112,"")</f>
        <v/>
      </c>
      <c r="E1112" s="929" t="str">
        <f>$E$452</f>
        <v>SYSTÈME DE REVÊTEMENT ET BARRIÈRE OSB</v>
      </c>
      <c r="I1112" s="888"/>
      <c r="J1112" s="888"/>
      <c r="K1112" s="888"/>
      <c r="L1112" s="888"/>
      <c r="M1112" s="888"/>
      <c r="N1112" s="888"/>
      <c r="O1112" s="888"/>
      <c r="P1112" s="888"/>
      <c r="Q1112" s="888"/>
      <c r="R1112" s="888"/>
    </row>
    <row r="1113" spans="1:18" s="893" customFormat="1" x14ac:dyDescent="0.3">
      <c r="A1113" s="888" t="str">
        <f>IF(LEN('Translation-EN'!A1113)&gt;0,'Translation-EN'!A1113,"")</f>
        <v>Range</v>
      </c>
      <c r="B1113" s="888" t="str">
        <f>IF(LEN('Translation-EN'!B1113)&gt;0,'Translation-EN'!B1113,"")</f>
        <v>Garage</v>
      </c>
      <c r="C1113" s="888" t="str">
        <f>IF(LEN('Translation-EN'!C1113)&gt;0,'Translation-EN'!C1113,"")</f>
        <v>B173</v>
      </c>
      <c r="D1113" s="888" t="str">
        <f>IF(LEN('Translation-EN'!D1113)&gt;0,'Translation-EN'!D1113,"")</f>
        <v/>
      </c>
      <c r="E1113" s="893" t="str">
        <f>$E$453</f>
        <v>CONTREPLAQUÉ</v>
      </c>
      <c r="I1113" s="888"/>
      <c r="J1113" s="888"/>
      <c r="K1113" s="888"/>
      <c r="L1113" s="888"/>
      <c r="M1113" s="888"/>
      <c r="N1113" s="888"/>
      <c r="O1113" s="888"/>
      <c r="P1113" s="888"/>
      <c r="Q1113" s="888"/>
      <c r="R1113" s="888"/>
    </row>
    <row r="1114" spans="1:18" s="893" customFormat="1" x14ac:dyDescent="0.3">
      <c r="A1114" s="888" t="str">
        <f>IF(LEN('Translation-EN'!A1114)&gt;0,'Translation-EN'!A1114,"")</f>
        <v>Range</v>
      </c>
      <c r="B1114" s="888" t="str">
        <f>IF(LEN('Translation-EN'!B1114)&gt;0,'Translation-EN'!B1114,"")</f>
        <v>Garage</v>
      </c>
      <c r="C1114" s="888" t="str">
        <f>IF(LEN('Translation-EN'!C1114)&gt;0,'Translation-EN'!C1114,"")</f>
        <v>B183</v>
      </c>
      <c r="D1114" s="888" t="str">
        <f>IF(LEN('Translation-EN'!D1114)&gt;0,'Translation-EN'!D1114,"")</f>
        <v/>
      </c>
      <c r="E1114" s="893" t="str">
        <f>$E$454</f>
        <v>PANNEAUX STRUCTURAUX EN GYPSE</v>
      </c>
      <c r="I1114" s="888"/>
      <c r="J1114" s="888"/>
      <c r="K1114" s="888"/>
      <c r="L1114" s="888"/>
      <c r="M1114" s="888"/>
      <c r="N1114" s="888"/>
      <c r="O1114" s="888"/>
      <c r="P1114" s="888"/>
      <c r="Q1114" s="888"/>
      <c r="R1114" s="888"/>
    </row>
    <row r="1115" spans="1:18" s="893" customFormat="1" x14ac:dyDescent="0.3">
      <c r="A1115" s="888" t="str">
        <f>IF(LEN('Translation-EN'!A1115)&gt;0,'Translation-EN'!A1115,"")</f>
        <v>Range</v>
      </c>
      <c r="B1115" s="888" t="str">
        <f>IF(LEN('Translation-EN'!B1115)&gt;0,'Translation-EN'!B1115,"")</f>
        <v>Garage</v>
      </c>
      <c r="C1115" s="888" t="str">
        <f>IF(LEN('Translation-EN'!C1115)&gt;0,'Translation-EN'!C1115,"")</f>
        <v>A190</v>
      </c>
      <c r="D1115" s="888" t="str">
        <f>IF(LEN('Translation-EN'!D1115)&gt;0,'Translation-EN'!D1115,"")</f>
        <v/>
      </c>
      <c r="E1115" s="893" t="s">
        <v>3103</v>
      </c>
      <c r="I1115" s="888"/>
      <c r="J1115" s="888"/>
      <c r="K1115" s="888"/>
      <c r="L1115" s="888"/>
      <c r="M1115" s="888"/>
      <c r="N1115" s="888"/>
      <c r="O1115" s="888"/>
      <c r="P1115" s="888"/>
      <c r="Q1115" s="888"/>
      <c r="R1115" s="888"/>
    </row>
    <row r="1116" spans="1:18" s="893" customFormat="1" x14ac:dyDescent="0.3">
      <c r="A1116" s="888" t="str">
        <f>IF(LEN('Translation-EN'!A1116)&gt;0,'Translation-EN'!A1116,"")</f>
        <v>Range</v>
      </c>
      <c r="B1116" s="888" t="str">
        <f>IF(LEN('Translation-EN'!B1116)&gt;0,'Translation-EN'!B1116,"")</f>
        <v>Garage</v>
      </c>
      <c r="C1116" s="888" t="str">
        <f>IF(LEN('Translation-EN'!C1116)&gt;0,'Translation-EN'!C1116,"")</f>
        <v>B191</v>
      </c>
      <c r="D1116" s="888" t="str">
        <f>IF(LEN('Translation-EN'!D1116)&gt;0,'Translation-EN'!D1116,"")</f>
        <v/>
      </c>
      <c r="E1116" s="893" t="s">
        <v>3104</v>
      </c>
      <c r="I1116" s="888"/>
      <c r="J1116" s="888"/>
      <c r="K1116" s="888"/>
      <c r="L1116" s="888"/>
      <c r="M1116" s="888"/>
      <c r="N1116" s="888"/>
      <c r="O1116" s="888"/>
      <c r="P1116" s="888"/>
      <c r="Q1116" s="888"/>
      <c r="R1116" s="888"/>
    </row>
    <row r="1117" spans="1:18" s="893" customFormat="1" x14ac:dyDescent="0.3">
      <c r="A1117" s="888" t="str">
        <f>IF(LEN('Translation-EN'!A1117)&gt;0,'Translation-EN'!A1117,"")</f>
        <v>Range</v>
      </c>
      <c r="B1117" s="888" t="str">
        <f>IF(LEN('Translation-EN'!B1117)&gt;0,'Translation-EN'!B1117,"")</f>
        <v>Garage</v>
      </c>
      <c r="C1117" s="888" t="str">
        <f>IF(LEN('Translation-EN'!C1117)&gt;0,'Translation-EN'!C1117,"")</f>
        <v>C192</v>
      </c>
      <c r="D1117" s="888" t="str">
        <f>IF(LEN('Translation-EN'!D1117)&gt;0,'Translation-EN'!D1117,"")</f>
        <v/>
      </c>
      <c r="E1117" s="893" t="s">
        <v>3105</v>
      </c>
      <c r="I1117" s="888"/>
      <c r="J1117" s="888"/>
      <c r="K1117" s="888"/>
      <c r="L1117" s="888"/>
      <c r="M1117" s="888"/>
      <c r="N1117" s="888"/>
      <c r="O1117" s="888"/>
      <c r="P1117" s="888"/>
      <c r="Q1117" s="888"/>
      <c r="R1117" s="888"/>
    </row>
    <row r="1118" spans="1:18" s="893" customFormat="1" x14ac:dyDescent="0.3">
      <c r="A1118" s="888" t="str">
        <f>IF(LEN('Translation-EN'!A1118)&gt;0,'Translation-EN'!A1118,"")</f>
        <v>Range</v>
      </c>
      <c r="B1118" s="888" t="str">
        <f>IF(LEN('Translation-EN'!B1118)&gt;0,'Translation-EN'!B1118,"")</f>
        <v>Garage</v>
      </c>
      <c r="C1118" s="888" t="str">
        <f>IF(LEN('Translation-EN'!C1118)&gt;0,'Translation-EN'!C1118,"")</f>
        <v>A193</v>
      </c>
      <c r="D1118" s="888" t="str">
        <f>IF(LEN('Translation-EN'!D1118)&gt;0,'Translation-EN'!D1118,"")</f>
        <v/>
      </c>
      <c r="E1118" s="893" t="str">
        <f>$E$588</f>
        <v>Utilisez la fonction % pour régler d’autres épaisseurs de EMB.</v>
      </c>
      <c r="I1118" s="888"/>
      <c r="J1118" s="888"/>
      <c r="K1118" s="888"/>
      <c r="L1118" s="888"/>
      <c r="M1118" s="888"/>
      <c r="N1118" s="888"/>
      <c r="O1118" s="888"/>
      <c r="P1118" s="888"/>
      <c r="Q1118" s="888"/>
      <c r="R1118" s="888"/>
    </row>
    <row r="1119" spans="1:18" s="893" customFormat="1" x14ac:dyDescent="0.3">
      <c r="A1119" s="888" t="str">
        <f>IF(LEN('Translation-EN'!A1119)&gt;0,'Translation-EN'!A1119,"")</f>
        <v>Range</v>
      </c>
      <c r="B1119" s="888" t="str">
        <f>IF(LEN('Translation-EN'!B1119)&gt;0,'Translation-EN'!B1119,"")</f>
        <v>Garage</v>
      </c>
      <c r="C1119" s="888" t="str">
        <f>IF(LEN('Translation-EN'!C1119)&gt;0,'Translation-EN'!C1119,"")</f>
        <v>A199</v>
      </c>
      <c r="D1119" s="888" t="str">
        <f>IF(LEN('Translation-EN'!D1119)&gt;0,'Translation-EN'!D1119,"")</f>
        <v/>
      </c>
      <c r="E1119" s="893" t="s">
        <v>3106</v>
      </c>
      <c r="I1119" s="888"/>
      <c r="J1119" s="888"/>
      <c r="K1119" s="888"/>
      <c r="L1119" s="888"/>
      <c r="M1119" s="888"/>
      <c r="N1119" s="888"/>
      <c r="O1119" s="888"/>
      <c r="P1119" s="888"/>
      <c r="Q1119" s="888"/>
      <c r="R1119" s="888"/>
    </row>
    <row r="1120" spans="1:18" s="893" customFormat="1" x14ac:dyDescent="0.3">
      <c r="A1120" s="888" t="str">
        <f>IF(LEN('Translation-EN'!A1120)&gt;0,'Translation-EN'!A1120,"")</f>
        <v>Range</v>
      </c>
      <c r="B1120" s="888" t="str">
        <f>IF(LEN('Translation-EN'!B1120)&gt;0,'Translation-EN'!B1120,"")</f>
        <v>Garage</v>
      </c>
      <c r="C1120" s="888" t="str">
        <f>IF(LEN('Translation-EN'!C1120)&gt;0,'Translation-EN'!C1120,"")</f>
        <v>G199</v>
      </c>
      <c r="D1120" s="888" t="str">
        <f>IF(LEN('Translation-EN'!D1120)&gt;0,'Translation-EN'!D1120,"")</f>
        <v/>
      </c>
      <c r="E1120" s="893" t="s">
        <v>3107</v>
      </c>
      <c r="I1120" s="888"/>
      <c r="J1120" s="888"/>
      <c r="K1120" s="888"/>
      <c r="L1120" s="888"/>
      <c r="M1120" s="888"/>
      <c r="N1120" s="888"/>
      <c r="O1120" s="888"/>
      <c r="P1120" s="888"/>
      <c r="Q1120" s="888"/>
      <c r="R1120" s="888"/>
    </row>
    <row r="1121" spans="1:18" s="893" customFormat="1" x14ac:dyDescent="0.3">
      <c r="A1121" s="888" t="str">
        <f>IF(LEN('Translation-EN'!A1121)&gt;0,'Translation-EN'!A1121,"")</f>
        <v>Range</v>
      </c>
      <c r="B1121" s="888" t="str">
        <f>IF(LEN('Translation-EN'!B1121)&gt;0,'Translation-EN'!B1121,"")</f>
        <v>Garage</v>
      </c>
      <c r="C1121" s="888" t="str">
        <f>IF(LEN('Translation-EN'!C1121)&gt;0,'Translation-EN'!C1121,"")</f>
        <v>B200</v>
      </c>
      <c r="D1121" s="888" t="str">
        <f>IF(LEN('Translation-EN'!D1121)&gt;0,'Translation-EN'!D1121,"")</f>
        <v/>
      </c>
      <c r="E1121" s="893" t="str">
        <f>$E$339</f>
        <v>NATTE DE FIBRE DE VERRE</v>
      </c>
      <c r="I1121" s="888"/>
      <c r="J1121" s="888"/>
      <c r="K1121" s="888"/>
      <c r="L1121" s="888"/>
      <c r="M1121" s="888"/>
      <c r="N1121" s="888"/>
      <c r="O1121" s="888"/>
      <c r="P1121" s="888"/>
      <c r="Q1121" s="888"/>
      <c r="R1121" s="888"/>
    </row>
    <row r="1122" spans="1:18" s="893" customFormat="1" x14ac:dyDescent="0.3">
      <c r="A1122" s="888" t="str">
        <f>IF(LEN('Translation-EN'!A1122)&gt;0,'Translation-EN'!A1122,"")</f>
        <v>Range</v>
      </c>
      <c r="B1122" s="888" t="str">
        <f>IF(LEN('Translation-EN'!B1122)&gt;0,'Translation-EN'!B1122,"")</f>
        <v>Garage</v>
      </c>
      <c r="C1122" s="888" t="str">
        <f>IF(LEN('Translation-EN'!C1122)&gt;0,'Translation-EN'!C1122,"")</f>
        <v>C201</v>
      </c>
      <c r="D1122" s="888" t="str">
        <f>IF(LEN('Translation-EN'!D1122)&gt;0,'Translation-EN'!D1122,"")</f>
        <v/>
      </c>
      <c r="E1122" s="893" t="str">
        <f>$E$469</f>
        <v>Natte en fibre de verre – MOYENNE</v>
      </c>
      <c r="I1122" s="888"/>
      <c r="J1122" s="888"/>
      <c r="K1122" s="888"/>
      <c r="L1122" s="888"/>
      <c r="M1122" s="888"/>
      <c r="N1122" s="888"/>
      <c r="O1122" s="888"/>
      <c r="P1122" s="888"/>
      <c r="Q1122" s="888"/>
      <c r="R1122" s="888"/>
    </row>
    <row r="1123" spans="1:18" s="893" customFormat="1" x14ac:dyDescent="0.3">
      <c r="A1123" s="888" t="str">
        <f>IF(LEN('Translation-EN'!A1123)&gt;0,'Translation-EN'!A1123,"")</f>
        <v>Range</v>
      </c>
      <c r="B1123" s="888" t="str">
        <f>IF(LEN('Translation-EN'!B1123)&gt;0,'Translation-EN'!B1123,"")</f>
        <v>Garage</v>
      </c>
      <c r="C1123" s="888" t="str">
        <f>IF(LEN('Translation-EN'!C1123)&gt;0,'Translation-EN'!C1123,"")</f>
        <v>B205</v>
      </c>
      <c r="D1123" s="888" t="str">
        <f>IF(LEN('Translation-EN'!D1123)&gt;0,'Translation-EN'!D1123,"")</f>
        <v/>
      </c>
      <c r="E1123" s="893" t="str">
        <f>$E$470</f>
        <v>FIBRE DE VERRE SOUFFLÉE</v>
      </c>
      <c r="I1123" s="888"/>
      <c r="J1123" s="888"/>
      <c r="K1123" s="888"/>
      <c r="L1123" s="888"/>
      <c r="M1123" s="888"/>
      <c r="N1123" s="888"/>
      <c r="O1123" s="888"/>
      <c r="P1123" s="888"/>
      <c r="Q1123" s="888"/>
      <c r="R1123" s="888"/>
    </row>
    <row r="1124" spans="1:18" s="893" customFormat="1" x14ac:dyDescent="0.3">
      <c r="A1124" s="888" t="str">
        <f>IF(LEN('Translation-EN'!A1124)&gt;0,'Translation-EN'!A1124,"")</f>
        <v>Range</v>
      </c>
      <c r="B1124" s="888" t="str">
        <f>IF(LEN('Translation-EN'!B1124)&gt;0,'Translation-EN'!B1124,"")</f>
        <v>Garage</v>
      </c>
      <c r="C1124" s="888" t="str">
        <f>IF(LEN('Translation-EN'!C1124)&gt;0,'Translation-EN'!C1124,"")</f>
        <v>C206</v>
      </c>
      <c r="D1124" s="888" t="str">
        <f>IF(LEN('Translation-EN'!D1124)&gt;0,'Translation-EN'!D1124,"")</f>
        <v/>
      </c>
      <c r="E1124" s="893" t="str">
        <f>$E$471</f>
        <v>Fibre de verre en vrac – MOYENNE</v>
      </c>
      <c r="I1124" s="888"/>
      <c r="J1124" s="888"/>
      <c r="K1124" s="888"/>
      <c r="L1124" s="888"/>
      <c r="M1124" s="888"/>
      <c r="N1124" s="888"/>
      <c r="O1124" s="888"/>
      <c r="P1124" s="888"/>
      <c r="Q1124" s="888"/>
      <c r="R1124" s="888"/>
    </row>
    <row r="1125" spans="1:18" s="893" customFormat="1" x14ac:dyDescent="0.3">
      <c r="A1125" s="888" t="str">
        <f>IF(LEN('Translation-EN'!A1125)&gt;0,'Translation-EN'!A1125,"")</f>
        <v>Range</v>
      </c>
      <c r="B1125" s="888" t="str">
        <f>IF(LEN('Translation-EN'!B1125)&gt;0,'Translation-EN'!B1125,"")</f>
        <v>Garage</v>
      </c>
      <c r="C1125" s="888" t="str">
        <f>IF(LEN('Translation-EN'!C1125)&gt;0,'Translation-EN'!C1125,"")</f>
        <v>B211</v>
      </c>
      <c r="D1125" s="888" t="str">
        <f>IF(LEN('Translation-EN'!D1125)&gt;0,'Translation-EN'!D1125,"")</f>
        <v/>
      </c>
      <c r="E1125" s="893" t="str">
        <f>$E$343</f>
        <v>NATTE DE LAINE MINÉRALE</v>
      </c>
      <c r="I1125" s="888"/>
      <c r="J1125" s="888"/>
      <c r="K1125" s="888"/>
      <c r="L1125" s="888"/>
      <c r="M1125" s="888"/>
      <c r="N1125" s="888"/>
      <c r="O1125" s="888"/>
      <c r="P1125" s="888"/>
      <c r="Q1125" s="888"/>
      <c r="R1125" s="888"/>
    </row>
    <row r="1126" spans="1:18" s="893" customFormat="1" x14ac:dyDescent="0.3">
      <c r="A1126" s="888" t="str">
        <f>IF(LEN('Translation-EN'!A1126)&gt;0,'Translation-EN'!A1126,"")</f>
        <v>Range</v>
      </c>
      <c r="B1126" s="888" t="str">
        <f>IF(LEN('Translation-EN'!B1126)&gt;0,'Translation-EN'!B1126,"")</f>
        <v>Garage</v>
      </c>
      <c r="C1126" s="888" t="str">
        <f>IF(LEN('Translation-EN'!C1126)&gt;0,'Translation-EN'!C1126,"")</f>
        <v>B218</v>
      </c>
      <c r="D1126" s="888" t="str">
        <f>IF(LEN('Translation-EN'!D1126)&gt;0,'Translation-EN'!D1126,"")</f>
        <v/>
      </c>
      <c r="E1126" s="929" t="str">
        <f>$E$473</f>
        <v>LAINE MINÉRALE EN VRAC</v>
      </c>
      <c r="I1126" s="888"/>
      <c r="J1126" s="888"/>
      <c r="K1126" s="888"/>
      <c r="L1126" s="888"/>
      <c r="M1126" s="888"/>
      <c r="N1126" s="888"/>
      <c r="O1126" s="888"/>
      <c r="P1126" s="888"/>
      <c r="Q1126" s="888"/>
      <c r="R1126" s="888"/>
    </row>
    <row r="1127" spans="1:18" s="893" customFormat="1" x14ac:dyDescent="0.3">
      <c r="A1127" s="888" t="str">
        <f>IF(LEN('Translation-EN'!A1127)&gt;0,'Translation-EN'!A1127,"")</f>
        <v>Range</v>
      </c>
      <c r="B1127" s="888" t="str">
        <f>IF(LEN('Translation-EN'!B1127)&gt;0,'Translation-EN'!B1127,"")</f>
        <v>Garage</v>
      </c>
      <c r="C1127" s="888" t="str">
        <f>IF(LEN('Translation-EN'!C1127)&gt;0,'Translation-EN'!C1127,"")</f>
        <v>B220</v>
      </c>
      <c r="D1127" s="888" t="str">
        <f>IF(LEN('Translation-EN'!D1127)&gt;0,'Translation-EN'!D1127,"")</f>
        <v/>
      </c>
      <c r="E1127" s="893" t="str">
        <f>$E$341</f>
        <v>ISOLATION EN CELLULOSE</v>
      </c>
      <c r="I1127" s="888"/>
      <c r="J1127" s="888"/>
      <c r="K1127" s="888"/>
      <c r="L1127" s="888"/>
      <c r="M1127" s="888"/>
      <c r="N1127" s="888"/>
      <c r="O1127" s="888"/>
      <c r="P1127" s="888"/>
      <c r="Q1127" s="888"/>
      <c r="R1127" s="888"/>
    </row>
    <row r="1128" spans="1:18" s="893" customFormat="1" x14ac:dyDescent="0.3">
      <c r="A1128" s="888" t="str">
        <f>IF(LEN('Translation-EN'!A1128)&gt;0,'Translation-EN'!A1128,"")</f>
        <v>Range</v>
      </c>
      <c r="B1128" s="888" t="str">
        <f>IF(LEN('Translation-EN'!B1128)&gt;0,'Translation-EN'!B1128,"")</f>
        <v>Garage</v>
      </c>
      <c r="C1128" s="888" t="str">
        <f>IF(LEN('Translation-EN'!C1128)&gt;0,'Translation-EN'!C1128,"")</f>
        <v>C221</v>
      </c>
      <c r="D1128" s="888" t="str">
        <f>IF(LEN('Translation-EN'!D1128)&gt;0,'Translation-EN'!D1128,"")</f>
        <v/>
      </c>
      <c r="E1128" s="893" t="str">
        <f>$E$475</f>
        <v>Cellulose – MOYENNE</v>
      </c>
      <c r="I1128" s="888"/>
      <c r="J1128" s="888"/>
      <c r="K1128" s="888"/>
      <c r="L1128" s="888"/>
      <c r="M1128" s="888"/>
      <c r="N1128" s="888"/>
      <c r="O1128" s="888"/>
      <c r="P1128" s="888"/>
      <c r="Q1128" s="888"/>
      <c r="R1128" s="888"/>
    </row>
    <row r="1129" spans="1:18" s="893" customFormat="1" x14ac:dyDescent="0.3">
      <c r="A1129" s="888" t="str">
        <f>IF(LEN('Translation-EN'!A1129)&gt;0,'Translation-EN'!A1129,"")</f>
        <v>Range</v>
      </c>
      <c r="B1129" s="888" t="str">
        <f>IF(LEN('Translation-EN'!B1129)&gt;0,'Translation-EN'!B1129,"")</f>
        <v>Garage</v>
      </c>
      <c r="C1129" s="888" t="str">
        <f>IF(LEN('Translation-EN'!C1129)&gt;0,'Translation-EN'!C1129,"")</f>
        <v>B225</v>
      </c>
      <c r="D1129" s="888" t="str">
        <f>IF(LEN('Translation-EN'!D1129)&gt;0,'Translation-EN'!D1129,"")</f>
        <v/>
      </c>
      <c r="E1129" s="893" t="str">
        <f>$E$345</f>
        <v>NATTE DE FIBRES DE BOIS</v>
      </c>
      <c r="I1129" s="888"/>
      <c r="J1129" s="888"/>
      <c r="K1129" s="888"/>
      <c r="L1129" s="888"/>
      <c r="M1129" s="888"/>
      <c r="N1129" s="888"/>
      <c r="O1129" s="888"/>
      <c r="P1129" s="888"/>
      <c r="Q1129" s="888"/>
      <c r="R1129" s="888"/>
    </row>
    <row r="1130" spans="1:18" s="893" customFormat="1" x14ac:dyDescent="0.3">
      <c r="A1130" s="888" t="str">
        <f>IF(LEN('Translation-EN'!A1130)&gt;0,'Translation-EN'!A1130,"")</f>
        <v>Range</v>
      </c>
      <c r="B1130" s="888" t="str">
        <f>IF(LEN('Translation-EN'!B1130)&gt;0,'Translation-EN'!B1130,"")</f>
        <v>Garage</v>
      </c>
      <c r="C1130" s="888" t="str">
        <f>IF(LEN('Translation-EN'!C1130)&gt;0,'Translation-EN'!C1130,"")</f>
        <v>C226</v>
      </c>
      <c r="D1130" s="888" t="str">
        <f>IF(LEN('Translation-EN'!D1130)&gt;0,'Translation-EN'!D1130,"")</f>
        <v/>
      </c>
      <c r="E1130" s="893" t="str">
        <f>$E$477</f>
        <v>Natte de fibres de bois – MOYENNE</v>
      </c>
      <c r="I1130" s="888"/>
      <c r="J1130" s="888"/>
      <c r="K1130" s="888"/>
      <c r="L1130" s="888"/>
      <c r="M1130" s="888"/>
      <c r="N1130" s="888"/>
      <c r="O1130" s="888"/>
      <c r="P1130" s="888"/>
      <c r="Q1130" s="888"/>
      <c r="R1130" s="888"/>
    </row>
    <row r="1131" spans="1:18" s="893" customFormat="1" x14ac:dyDescent="0.3">
      <c r="A1131" s="888" t="str">
        <f>IF(LEN('Translation-EN'!A1131)&gt;0,'Translation-EN'!A1131,"")</f>
        <v>Range</v>
      </c>
      <c r="B1131" s="888" t="str">
        <f>IF(LEN('Translation-EN'!B1131)&gt;0,'Translation-EN'!B1131,"")</f>
        <v>Garage</v>
      </c>
      <c r="C1131" s="888" t="str">
        <f>IF(LEN('Translation-EN'!C1131)&gt;0,'Translation-EN'!C1131,"")</f>
        <v>B229</v>
      </c>
      <c r="D1131" s="888" t="str">
        <f>IF(LEN('Translation-EN'!D1131)&gt;0,'Translation-EN'!D1131,"")</f>
        <v/>
      </c>
      <c r="E1131" s="893" t="str">
        <f>$E$478</f>
        <v>AUTRES ISOLANTS EN FIBRES NATURELLES</v>
      </c>
      <c r="I1131" s="888"/>
      <c r="J1131" s="888"/>
      <c r="K1131" s="888"/>
      <c r="L1131" s="888"/>
      <c r="M1131" s="888"/>
      <c r="N1131" s="888"/>
      <c r="O1131" s="888"/>
      <c r="P1131" s="888"/>
      <c r="Q1131" s="888"/>
      <c r="R1131" s="888"/>
    </row>
    <row r="1132" spans="1:18" s="893" customFormat="1" x14ac:dyDescent="0.3">
      <c r="A1132" s="888" t="str">
        <f>IF(LEN('Translation-EN'!A1132)&gt;0,'Translation-EN'!A1132,"")</f>
        <v>Range</v>
      </c>
      <c r="B1132" s="888" t="str">
        <f>IF(LEN('Translation-EN'!B1132)&gt;0,'Translation-EN'!B1132,"")</f>
        <v>Garage</v>
      </c>
      <c r="C1132" s="888" t="str">
        <f>IF(LEN('Translation-EN'!C1132)&gt;0,'Translation-EN'!C1132,"")</f>
        <v>B234</v>
      </c>
      <c r="D1132" s="888" t="str">
        <f>IF(LEN('Translation-EN'!D1132)&gt;0,'Translation-EN'!D1132,"")</f>
        <v/>
      </c>
      <c r="E1132" s="893" t="str">
        <f>$E$479</f>
        <v>MOUSSE À PULVÉRISER – CELLULE FERMÉE</v>
      </c>
      <c r="I1132" s="888"/>
      <c r="J1132" s="888"/>
      <c r="K1132" s="888"/>
      <c r="L1132" s="888"/>
      <c r="M1132" s="888"/>
      <c r="N1132" s="888"/>
      <c r="O1132" s="888"/>
      <c r="P1132" s="888"/>
      <c r="Q1132" s="888"/>
      <c r="R1132" s="888"/>
    </row>
    <row r="1133" spans="1:18" s="893" customFormat="1" x14ac:dyDescent="0.3">
      <c r="A1133" s="888" t="str">
        <f>IF(LEN('Translation-EN'!A1133)&gt;0,'Translation-EN'!A1133,"")</f>
        <v>Range</v>
      </c>
      <c r="B1133" s="888" t="str">
        <f>IF(LEN('Translation-EN'!B1133)&gt;0,'Translation-EN'!B1133,"")</f>
        <v>Garage</v>
      </c>
      <c r="C1133" s="888" t="str">
        <f>IF(LEN('Translation-EN'!C1133)&gt;0,'Translation-EN'!C1133,"")</f>
        <v>B237</v>
      </c>
      <c r="D1133" s="888" t="str">
        <f>IF(LEN('Translation-EN'!D1133)&gt;0,'Translation-EN'!D1133,"")</f>
        <v/>
      </c>
      <c r="E1133" s="893" t="str">
        <f>$E$480</f>
        <v>MOUSSE À PULVÉRISER – CELLULE OUVERTE</v>
      </c>
      <c r="I1133" s="888"/>
      <c r="J1133" s="888"/>
      <c r="K1133" s="888"/>
      <c r="L1133" s="888"/>
      <c r="M1133" s="888"/>
      <c r="N1133" s="888"/>
      <c r="O1133" s="888"/>
      <c r="P1133" s="888"/>
      <c r="Q1133" s="888"/>
      <c r="R1133" s="888"/>
    </row>
    <row r="1134" spans="1:18" s="893" customFormat="1" x14ac:dyDescent="0.3">
      <c r="A1134" s="888" t="str">
        <f>IF(LEN('Translation-EN'!A1134)&gt;0,'Translation-EN'!A1134,"")</f>
        <v>Range</v>
      </c>
      <c r="B1134" s="888" t="str">
        <f>IF(LEN('Translation-EN'!B1134)&gt;0,'Translation-EN'!B1134,"")</f>
        <v>Garage</v>
      </c>
      <c r="C1134" s="888" t="str">
        <f>IF(LEN('Translation-EN'!C1134)&gt;0,'Translation-EN'!C1134,"")</f>
        <v>B239</v>
      </c>
      <c r="D1134" s="888" t="str">
        <f>IF(LEN('Translation-EN'!D1134)&gt;0,'Translation-EN'!D1134,"")</f>
        <v/>
      </c>
      <c r="E1134" s="893" t="str">
        <f>$E$481</f>
        <v>BRIQUES DE CHANVRE</v>
      </c>
      <c r="I1134" s="888"/>
      <c r="J1134" s="888"/>
      <c r="K1134" s="888"/>
      <c r="L1134" s="888"/>
      <c r="M1134" s="888"/>
      <c r="N1134" s="888"/>
      <c r="O1134" s="888"/>
      <c r="P1134" s="888"/>
      <c r="Q1134" s="888"/>
      <c r="R1134" s="888"/>
    </row>
    <row r="1135" spans="1:18" s="893" customFormat="1" x14ac:dyDescent="0.3">
      <c r="A1135" s="888" t="str">
        <f>IF(LEN('Translation-EN'!A1135)&gt;0,'Translation-EN'!A1135,"")</f>
        <v>Range</v>
      </c>
      <c r="B1135" s="888" t="str">
        <f>IF(LEN('Translation-EN'!B1135)&gt;0,'Translation-EN'!B1135,"")</f>
        <v>Garage</v>
      </c>
      <c r="C1135" s="888" t="str">
        <f>IF(LEN('Translation-EN'!C1135)&gt;0,'Translation-EN'!C1135,"")</f>
        <v>C240</v>
      </c>
      <c r="D1135" s="888" t="str">
        <f>IF(LEN('Translation-EN'!D1135)&gt;0,'Translation-EN'!D1135,"")</f>
        <v/>
      </c>
      <c r="E1135" s="893" t="str">
        <f>$E$482</f>
        <v>Briques de chanvre – MOYENNE</v>
      </c>
      <c r="I1135" s="888"/>
      <c r="J1135" s="888"/>
      <c r="K1135" s="888"/>
      <c r="L1135" s="888"/>
      <c r="M1135" s="888"/>
      <c r="N1135" s="888"/>
      <c r="O1135" s="888"/>
      <c r="P1135" s="888"/>
      <c r="Q1135" s="888"/>
      <c r="R1135" s="888"/>
    </row>
    <row r="1136" spans="1:18" s="893" customFormat="1" x14ac:dyDescent="0.3">
      <c r="A1136" s="888" t="str">
        <f>IF(LEN('Translation-EN'!A1136)&gt;0,'Translation-EN'!A1136,"")</f>
        <v>Range</v>
      </c>
      <c r="B1136" s="888" t="str">
        <f>IF(LEN('Translation-EN'!B1136)&gt;0,'Translation-EN'!B1136,"")</f>
        <v>Garage</v>
      </c>
      <c r="C1136" s="888" t="str">
        <f>IF(LEN('Translation-EN'!C1136)&gt;0,'Translation-EN'!C1136,"")</f>
        <v>A248</v>
      </c>
      <c r="D1136" s="888" t="str">
        <f>IF(LEN('Translation-EN'!D1136)&gt;0,'Translation-EN'!D1136,"")</f>
        <v/>
      </c>
      <c r="E1136" s="893" t="s">
        <v>3108</v>
      </c>
      <c r="I1136" s="888"/>
      <c r="J1136" s="888"/>
      <c r="K1136" s="888"/>
      <c r="L1136" s="888"/>
      <c r="M1136" s="888"/>
      <c r="N1136" s="888"/>
      <c r="O1136" s="888"/>
      <c r="P1136" s="888"/>
      <c r="Q1136" s="888"/>
      <c r="R1136" s="888"/>
    </row>
    <row r="1137" spans="1:18" s="893" customFormat="1" x14ac:dyDescent="0.3">
      <c r="A1137" s="888" t="str">
        <f>IF(LEN('Translation-EN'!A1137)&gt;0,'Translation-EN'!A1137,"")</f>
        <v>Range</v>
      </c>
      <c r="B1137" s="888" t="str">
        <f>IF(LEN('Translation-EN'!B1137)&gt;0,'Translation-EN'!B1137,"")</f>
        <v>Garage</v>
      </c>
      <c r="C1137" s="888" t="str">
        <f>IF(LEN('Translation-EN'!C1137)&gt;0,'Translation-EN'!C1137,"")</f>
        <v>G248</v>
      </c>
      <c r="D1137" s="888" t="str">
        <f>IF(LEN('Translation-EN'!D1137)&gt;0,'Translation-EN'!D1137,"")</f>
        <v/>
      </c>
      <c r="E1137" s="893" t="s">
        <v>3109</v>
      </c>
      <c r="I1137" s="888"/>
      <c r="J1137" s="888"/>
      <c r="K1137" s="888"/>
      <c r="L1137" s="888"/>
      <c r="M1137" s="888"/>
      <c r="N1137" s="888"/>
      <c r="O1137" s="888"/>
      <c r="P1137" s="888"/>
      <c r="Q1137" s="888"/>
      <c r="R1137" s="888"/>
    </row>
    <row r="1138" spans="1:18" s="893" customFormat="1" x14ac:dyDescent="0.3">
      <c r="A1138" s="888" t="str">
        <f>IF(LEN('Translation-EN'!A1138)&gt;0,'Translation-EN'!A1138,"")</f>
        <v>Range</v>
      </c>
      <c r="B1138" s="888" t="str">
        <f>IF(LEN('Translation-EN'!B1138)&gt;0,'Translation-EN'!B1138,"")</f>
        <v>Garage</v>
      </c>
      <c r="C1138" s="888" t="str">
        <f>IF(LEN('Translation-EN'!C1138)&gt;0,'Translation-EN'!C1138,"")</f>
        <v>B249</v>
      </c>
      <c r="D1138" s="888" t="str">
        <f>IF(LEN('Translation-EN'!D1138)&gt;0,'Translation-EN'!D1138,"")</f>
        <v/>
      </c>
      <c r="E1138" s="893" t="str">
        <f>$E$221</f>
        <v>PANNEAU DE MOUSSE EPS</v>
      </c>
      <c r="I1138" s="888"/>
      <c r="J1138" s="888"/>
      <c r="K1138" s="888"/>
      <c r="L1138" s="888"/>
      <c r="M1138" s="888"/>
      <c r="N1138" s="888"/>
      <c r="O1138" s="888"/>
      <c r="P1138" s="888"/>
      <c r="Q1138" s="888"/>
      <c r="R1138" s="888"/>
    </row>
    <row r="1139" spans="1:18" s="893" customFormat="1" x14ac:dyDescent="0.3">
      <c r="A1139" s="888" t="str">
        <f>IF(LEN('Translation-EN'!A1139)&gt;0,'Translation-EN'!A1139,"")</f>
        <v>Range</v>
      </c>
      <c r="B1139" s="888" t="str">
        <f>IF(LEN('Translation-EN'!B1139)&gt;0,'Translation-EN'!B1139,"")</f>
        <v>Garage</v>
      </c>
      <c r="C1139" s="888" t="str">
        <f>IF(LEN('Translation-EN'!C1139)&gt;0,'Translation-EN'!C1139,"")</f>
        <v>C250</v>
      </c>
      <c r="D1139" s="888" t="str">
        <f>IF(LEN('Translation-EN'!D1139)&gt;0,'Translation-EN'!D1139,"")</f>
        <v/>
      </c>
      <c r="E1139" s="893" t="str">
        <f>$E$222</f>
        <v>Panneau de mousse EPS – MOYENNE</v>
      </c>
      <c r="I1139" s="888"/>
      <c r="J1139" s="888"/>
      <c r="K1139" s="888"/>
      <c r="L1139" s="888"/>
      <c r="M1139" s="888"/>
      <c r="N1139" s="888"/>
      <c r="O1139" s="888"/>
      <c r="P1139" s="888"/>
      <c r="Q1139" s="888"/>
      <c r="R1139" s="888"/>
    </row>
    <row r="1140" spans="1:18" s="893" customFormat="1" x14ac:dyDescent="0.3">
      <c r="A1140" s="888" t="str">
        <f>IF(LEN('Translation-EN'!A1140)&gt;0,'Translation-EN'!A1140,"")</f>
        <v>Range</v>
      </c>
      <c r="B1140" s="888" t="str">
        <f>IF(LEN('Translation-EN'!B1140)&gt;0,'Translation-EN'!B1140,"")</f>
        <v>Garage</v>
      </c>
      <c r="C1140" s="888" t="str">
        <f>IF(LEN('Translation-EN'!C1140)&gt;0,'Translation-EN'!C1140,"")</f>
        <v>B259</v>
      </c>
      <c r="D1140" s="888" t="str">
        <f>IF(LEN('Translation-EN'!D1140)&gt;0,'Translation-EN'!D1140,"")</f>
        <v/>
      </c>
      <c r="E1140" s="893" t="str">
        <f>$E$297</f>
        <v>PANNEAU DE FIBRES DE BOIS</v>
      </c>
      <c r="I1140" s="888"/>
      <c r="J1140" s="888"/>
      <c r="K1140" s="888"/>
      <c r="L1140" s="888"/>
      <c r="M1140" s="888"/>
      <c r="N1140" s="888"/>
      <c r="O1140" s="888"/>
      <c r="P1140" s="888"/>
      <c r="Q1140" s="888"/>
      <c r="R1140" s="888"/>
    </row>
    <row r="1141" spans="1:18" s="893" customFormat="1" x14ac:dyDescent="0.3">
      <c r="A1141" s="888" t="str">
        <f>IF(LEN('Translation-EN'!A1141)&gt;0,'Translation-EN'!A1141,"")</f>
        <v>Range</v>
      </c>
      <c r="B1141" s="888" t="str">
        <f>IF(LEN('Translation-EN'!B1141)&gt;0,'Translation-EN'!B1141,"")</f>
        <v>Garage</v>
      </c>
      <c r="C1141" s="888" t="str">
        <f>IF(LEN('Translation-EN'!C1141)&gt;0,'Translation-EN'!C1141,"")</f>
        <v>C260</v>
      </c>
      <c r="D1141" s="888" t="str">
        <f>IF(LEN('Translation-EN'!D1141)&gt;0,'Translation-EN'!D1141,"")</f>
        <v/>
      </c>
      <c r="E1141" s="893" t="str">
        <f>$E$298</f>
        <v>Panneau de fibres de bois – MOYENNE</v>
      </c>
      <c r="I1141" s="888"/>
      <c r="J1141" s="888"/>
      <c r="K1141" s="888"/>
      <c r="L1141" s="888"/>
      <c r="M1141" s="888"/>
      <c r="N1141" s="888"/>
      <c r="O1141" s="888"/>
      <c r="P1141" s="888"/>
      <c r="Q1141" s="888"/>
      <c r="R1141" s="888"/>
    </row>
    <row r="1142" spans="1:18" s="893" customFormat="1" x14ac:dyDescent="0.3">
      <c r="A1142" s="888" t="str">
        <f>IF(LEN('Translation-EN'!A1142)&gt;0,'Translation-EN'!A1142,"")</f>
        <v>Range</v>
      </c>
      <c r="B1142" s="888" t="str">
        <f>IF(LEN('Translation-EN'!B1142)&gt;0,'Translation-EN'!B1142,"")</f>
        <v>Garage</v>
      </c>
      <c r="C1142" s="888" t="str">
        <f>IF(LEN('Translation-EN'!C1142)&gt;0,'Translation-EN'!C1142,"")</f>
        <v>B270</v>
      </c>
      <c r="D1142" s="888" t="str">
        <f>IF(LEN('Translation-EN'!D1142)&gt;0,'Translation-EN'!D1142,"")</f>
        <v/>
      </c>
      <c r="E1142" s="893" t="str">
        <f>$E$223</f>
        <v>PANNEAU DE MOUSSE XPS</v>
      </c>
      <c r="I1142" s="888"/>
      <c r="J1142" s="888"/>
      <c r="K1142" s="888"/>
      <c r="L1142" s="888"/>
      <c r="M1142" s="888"/>
      <c r="N1142" s="888"/>
      <c r="O1142" s="888"/>
      <c r="P1142" s="888"/>
      <c r="Q1142" s="888"/>
      <c r="R1142" s="888"/>
    </row>
    <row r="1143" spans="1:18" s="893" customFormat="1" x14ac:dyDescent="0.3">
      <c r="A1143" s="888" t="str">
        <f>IF(LEN('Translation-EN'!A1143)&gt;0,'Translation-EN'!A1143,"")</f>
        <v>Range</v>
      </c>
      <c r="B1143" s="888" t="str">
        <f>IF(LEN('Translation-EN'!B1143)&gt;0,'Translation-EN'!B1143,"")</f>
        <v>Garage</v>
      </c>
      <c r="C1143" s="888" t="str">
        <f>IF(LEN('Translation-EN'!C1143)&gt;0,'Translation-EN'!C1143,"")</f>
        <v>C271</v>
      </c>
      <c r="D1143" s="888" t="str">
        <f>IF(LEN('Translation-EN'!D1143)&gt;0,'Translation-EN'!D1143,"")</f>
        <v/>
      </c>
      <c r="E1143" s="1034" t="str">
        <f>$E$224</f>
        <v>Panneau de mousse XPS – MOYENNE</v>
      </c>
      <c r="I1143" s="888"/>
      <c r="J1143" s="888"/>
      <c r="K1143" s="888"/>
      <c r="L1143" s="888"/>
      <c r="M1143" s="888"/>
      <c r="N1143" s="888"/>
      <c r="O1143" s="888"/>
      <c r="P1143" s="888"/>
      <c r="Q1143" s="888"/>
      <c r="R1143" s="888"/>
    </row>
    <row r="1144" spans="1:18" s="893" customFormat="1" x14ac:dyDescent="0.3">
      <c r="A1144" s="888" t="str">
        <f>IF(LEN('Translation-EN'!A1144)&gt;0,'Translation-EN'!A1144,"")</f>
        <v>Range</v>
      </c>
      <c r="B1144" s="888" t="str">
        <f>IF(LEN('Translation-EN'!B1144)&gt;0,'Translation-EN'!B1144,"")</f>
        <v>Garage</v>
      </c>
      <c r="C1144" s="888" t="str">
        <f>IF(LEN('Translation-EN'!C1144)&gt;0,'Translation-EN'!C1144,"")</f>
        <v>B275</v>
      </c>
      <c r="D1144" s="888" t="str">
        <f>IF(LEN('Translation-EN'!D1144)&gt;0,'Translation-EN'!D1144,"")</f>
        <v/>
      </c>
      <c r="E1144" s="893" t="str">
        <f>$E$490</f>
        <v>PANNEAU DE MOUSSE POLYISOCYANURATE</v>
      </c>
      <c r="I1144" s="888"/>
      <c r="J1144" s="888"/>
      <c r="K1144" s="888"/>
      <c r="L1144" s="888"/>
      <c r="M1144" s="888"/>
      <c r="N1144" s="888"/>
      <c r="O1144" s="888"/>
      <c r="P1144" s="888"/>
      <c r="Q1144" s="888"/>
      <c r="R1144" s="888"/>
    </row>
    <row r="1145" spans="1:18" s="893" customFormat="1" x14ac:dyDescent="0.3">
      <c r="A1145" s="888" t="str">
        <f>IF(LEN('Translation-EN'!A1145)&gt;0,'Translation-EN'!A1145,"")</f>
        <v>Range</v>
      </c>
      <c r="B1145" s="888" t="str">
        <f>IF(LEN('Translation-EN'!B1145)&gt;0,'Translation-EN'!B1145,"")</f>
        <v>Garage</v>
      </c>
      <c r="C1145" s="888" t="str">
        <f>IF(LEN('Translation-EN'!C1145)&gt;0,'Translation-EN'!C1145,"")</f>
        <v>C276</v>
      </c>
      <c r="D1145" s="888" t="str">
        <f>IF(LEN('Translation-EN'!D1145)&gt;0,'Translation-EN'!D1145,"")</f>
        <v/>
      </c>
      <c r="E1145" s="893" t="str">
        <f>$E$491</f>
        <v>Polyisocyanurate – MOYENNE</v>
      </c>
      <c r="I1145" s="888"/>
      <c r="J1145" s="888"/>
      <c r="K1145" s="888"/>
      <c r="L1145" s="888"/>
      <c r="M1145" s="888"/>
      <c r="N1145" s="888"/>
      <c r="O1145" s="888"/>
      <c r="P1145" s="888"/>
      <c r="Q1145" s="888"/>
      <c r="R1145" s="888"/>
    </row>
    <row r="1146" spans="1:18" s="893" customFormat="1" x14ac:dyDescent="0.3">
      <c r="A1146" s="888" t="str">
        <f>IF(LEN('Translation-EN'!A1146)&gt;0,'Translation-EN'!A1146,"")</f>
        <v>Range</v>
      </c>
      <c r="B1146" s="888" t="str">
        <f>IF(LEN('Translation-EN'!B1146)&gt;0,'Translation-EN'!B1146,"")</f>
        <v>Garage</v>
      </c>
      <c r="C1146" s="888" t="str">
        <f>IF(LEN('Translation-EN'!C1146)&gt;0,'Translation-EN'!C1146,"")</f>
        <v>B280</v>
      </c>
      <c r="D1146" s="888" t="str">
        <f>IF(LEN('Translation-EN'!D1146)&gt;0,'Translation-EN'!D1146,"")</f>
        <v/>
      </c>
      <c r="E1146" s="893" t="str">
        <f>$E$225</f>
        <v>PANNEAU DE LAINE MINÉRALE</v>
      </c>
      <c r="I1146" s="888"/>
      <c r="J1146" s="888"/>
      <c r="K1146" s="888"/>
      <c r="L1146" s="888"/>
      <c r="M1146" s="888"/>
      <c r="N1146" s="888"/>
      <c r="O1146" s="888"/>
      <c r="P1146" s="888"/>
      <c r="Q1146" s="888"/>
      <c r="R1146" s="888"/>
    </row>
    <row r="1147" spans="1:18" s="893" customFormat="1" x14ac:dyDescent="0.3">
      <c r="A1147" s="888" t="str">
        <f>IF(LEN('Translation-EN'!A1147)&gt;0,'Translation-EN'!A1147,"")</f>
        <v>Range</v>
      </c>
      <c r="B1147" s="888" t="str">
        <f>IF(LEN('Translation-EN'!B1147)&gt;0,'Translation-EN'!B1147,"")</f>
        <v>Garage</v>
      </c>
      <c r="C1147" s="888" t="str">
        <f>IF(LEN('Translation-EN'!C1147)&gt;0,'Translation-EN'!C1147,"")</f>
        <v>C281</v>
      </c>
      <c r="D1147" s="888" t="str">
        <f>IF(LEN('Translation-EN'!D1147)&gt;0,'Translation-EN'!D1147,"")</f>
        <v/>
      </c>
      <c r="E1147" s="893" t="str">
        <f>$E$493</f>
        <v>Panneau de laine minérale – MOYENNE</v>
      </c>
      <c r="I1147" s="888"/>
      <c r="J1147" s="888"/>
      <c r="K1147" s="888"/>
      <c r="L1147" s="888"/>
      <c r="M1147" s="888"/>
      <c r="N1147" s="888"/>
      <c r="O1147" s="888"/>
      <c r="P1147" s="888"/>
      <c r="Q1147" s="888"/>
      <c r="R1147" s="888"/>
    </row>
    <row r="1148" spans="1:18" s="893" customFormat="1" x14ac:dyDescent="0.3">
      <c r="A1148" s="888" t="str">
        <f>IF(LEN('Translation-EN'!A1148)&gt;0,'Translation-EN'!A1148,"")</f>
        <v>Range</v>
      </c>
      <c r="B1148" s="888" t="str">
        <f>IF(LEN('Translation-EN'!B1148)&gt;0,'Translation-EN'!B1148,"")</f>
        <v>Garage</v>
      </c>
      <c r="C1148" s="888" t="str">
        <f>IF(LEN('Translation-EN'!C1148)&gt;0,'Translation-EN'!C1148,"")</f>
        <v>B286</v>
      </c>
      <c r="D1148" s="888" t="str">
        <f>IF(LEN('Translation-EN'!D1148)&gt;0,'Translation-EN'!D1148,"")</f>
        <v/>
      </c>
      <c r="E1148" s="929" t="str">
        <f>$E$301</f>
        <v>PANNEAU FIBRE DE VERRE</v>
      </c>
      <c r="I1148" s="888"/>
      <c r="J1148" s="888"/>
      <c r="K1148" s="888"/>
      <c r="L1148" s="888"/>
      <c r="M1148" s="888"/>
      <c r="N1148" s="888"/>
      <c r="O1148" s="888"/>
      <c r="P1148" s="888"/>
      <c r="Q1148" s="888"/>
      <c r="R1148" s="888"/>
    </row>
    <row r="1149" spans="1:18" s="893" customFormat="1" x14ac:dyDescent="0.3">
      <c r="A1149" s="888" t="str">
        <f>IF(LEN('Translation-EN'!A1149)&gt;0,'Translation-EN'!A1149,"")</f>
        <v>Range</v>
      </c>
      <c r="B1149" s="888" t="str">
        <f>IF(LEN('Translation-EN'!B1149)&gt;0,'Translation-EN'!B1149,"")</f>
        <v>_Garage</v>
      </c>
      <c r="C1149" s="888" t="str">
        <f>IF(LEN('Translation-EN'!C1149)&gt;0,'Translation-EN'!C1149,"")</f>
        <v>C265</v>
      </c>
      <c r="D1149" s="888" t="str">
        <f>IF(LEN('Translation-EN'!D1149)&gt;0,'Translation-EN'!D1149,"")</f>
        <v/>
      </c>
      <c r="E1149" s="929" t="str">
        <f>$E$494</f>
        <v>Panneau de fibre de verre – MOYENNE</v>
      </c>
      <c r="I1149" s="888"/>
      <c r="J1149" s="888"/>
      <c r="K1149" s="888"/>
      <c r="L1149" s="888"/>
      <c r="M1149" s="888"/>
      <c r="N1149" s="888"/>
      <c r="O1149" s="888"/>
      <c r="P1149" s="888"/>
      <c r="Q1149" s="888"/>
      <c r="R1149" s="888"/>
    </row>
    <row r="1150" spans="1:18" s="893" customFormat="1" x14ac:dyDescent="0.3">
      <c r="A1150" s="888" t="str">
        <f>IF(LEN('Translation-EN'!A1150)&gt;0,'Translation-EN'!A1150,"")</f>
        <v>Range</v>
      </c>
      <c r="B1150" s="888" t="str">
        <f>IF(LEN('Translation-EN'!B1150)&gt;0,'Translation-EN'!B1150,"")</f>
        <v>Garage</v>
      </c>
      <c r="C1150" s="888" t="str">
        <f>IF(LEN('Translation-EN'!C1150)&gt;0,'Translation-EN'!C1150,"")</f>
        <v>B288</v>
      </c>
      <c r="D1150" s="888" t="str">
        <f>IF(LEN('Translation-EN'!D1150)&gt;0,'Translation-EN'!D1150,"")</f>
        <v/>
      </c>
      <c r="E1150" s="926" t="str">
        <f>$E$231</f>
        <v>PANNEAU EN LIÈGE</v>
      </c>
      <c r="I1150" s="888"/>
      <c r="J1150" s="888"/>
      <c r="K1150" s="888"/>
      <c r="L1150" s="888"/>
      <c r="M1150" s="888"/>
      <c r="N1150" s="888"/>
      <c r="O1150" s="888"/>
      <c r="P1150" s="888"/>
      <c r="Q1150" s="888"/>
      <c r="R1150" s="888"/>
    </row>
    <row r="1151" spans="1:18" s="893" customFormat="1" x14ac:dyDescent="0.3">
      <c r="A1151" s="888" t="str">
        <f>IF(LEN('Translation-EN'!A1151)&gt;0,'Translation-EN'!A1151,"")</f>
        <v>Range</v>
      </c>
      <c r="B1151" s="888" t="str">
        <f>IF(LEN('Translation-EN'!B1151)&gt;0,'Translation-EN'!B1151,"")</f>
        <v>_Garage</v>
      </c>
      <c r="C1151" s="888" t="str">
        <f>IF(LEN('Translation-EN'!C1151)&gt;0,'Translation-EN'!C1151,"")</f>
        <v>C268</v>
      </c>
      <c r="D1151" s="888" t="str">
        <f>IF(LEN('Translation-EN'!D1151)&gt;0,'Translation-EN'!D1151,"")</f>
        <v/>
      </c>
      <c r="E1151" s="929" t="str">
        <f>$E$497</f>
        <v>Panneau de liège – MOYENNE</v>
      </c>
      <c r="I1151" s="888"/>
      <c r="J1151" s="888"/>
      <c r="K1151" s="888"/>
      <c r="L1151" s="888"/>
      <c r="M1151" s="888"/>
      <c r="N1151" s="888"/>
      <c r="O1151" s="888"/>
      <c r="P1151" s="888"/>
      <c r="Q1151" s="888"/>
      <c r="R1151" s="888"/>
    </row>
    <row r="1152" spans="1:18" s="893" customFormat="1" x14ac:dyDescent="0.3">
      <c r="A1152" s="888" t="str">
        <f>IF(LEN('Translation-EN'!A1152)&gt;0,'Translation-EN'!A1152,"")</f>
        <v>Range</v>
      </c>
      <c r="B1152" s="888" t="str">
        <f>IF(LEN('Translation-EN'!B1152)&gt;0,'Translation-EN'!B1152,"")</f>
        <v>Garage</v>
      </c>
      <c r="C1152" s="888" t="str">
        <f>IF(LEN('Translation-EN'!C1152)&gt;0,'Translation-EN'!C1152,"")</f>
        <v>A290</v>
      </c>
      <c r="D1152" s="888" t="str">
        <f>IF(LEN('Translation-EN'!D1152)&gt;0,'Translation-EN'!D1152,"")</f>
        <v/>
      </c>
      <c r="E1152" s="893" t="s">
        <v>3110</v>
      </c>
      <c r="I1152" s="888"/>
      <c r="J1152" s="888"/>
      <c r="K1152" s="888"/>
      <c r="L1152" s="888"/>
      <c r="M1152" s="888"/>
      <c r="N1152" s="888"/>
      <c r="O1152" s="888"/>
      <c r="P1152" s="888"/>
      <c r="Q1152" s="888"/>
      <c r="R1152" s="888"/>
    </row>
    <row r="1153" spans="1:18" s="893" customFormat="1" x14ac:dyDescent="0.3">
      <c r="A1153" s="888" t="str">
        <f>IF(LEN('Translation-EN'!A1153)&gt;0,'Translation-EN'!A1153,"")</f>
        <v>Range</v>
      </c>
      <c r="B1153" s="888" t="str">
        <f>IF(LEN('Translation-EN'!B1153)&gt;0,'Translation-EN'!B1153,"")</f>
        <v>Garage</v>
      </c>
      <c r="C1153" s="888" t="str">
        <f>IF(LEN('Translation-EN'!C1153)&gt;0,'Translation-EN'!C1153,"")</f>
        <v>A291</v>
      </c>
      <c r="D1153" s="888" t="str">
        <f>IF(LEN('Translation-EN'!D1153)&gt;0,'Translation-EN'!D1153,"")</f>
        <v/>
      </c>
      <c r="E1153" s="893" t="s">
        <v>3111</v>
      </c>
      <c r="I1153" s="888"/>
      <c r="J1153" s="888"/>
      <c r="K1153" s="888"/>
      <c r="L1153" s="888"/>
      <c r="M1153" s="888"/>
      <c r="N1153" s="888"/>
      <c r="O1153" s="888"/>
      <c r="P1153" s="888"/>
      <c r="Q1153" s="888"/>
      <c r="R1153" s="888"/>
    </row>
    <row r="1154" spans="1:18" s="893" customFormat="1" x14ac:dyDescent="0.3">
      <c r="A1154" s="888" t="str">
        <f>IF(LEN('Translation-EN'!A1154)&gt;0,'Translation-EN'!A1154,"")</f>
        <v>Range</v>
      </c>
      <c r="B1154" s="888" t="str">
        <f>IF(LEN('Translation-EN'!B1154)&gt;0,'Translation-EN'!B1154,"")</f>
        <v>Garage</v>
      </c>
      <c r="C1154" s="888" t="str">
        <f>IF(LEN('Translation-EN'!C1154)&gt;0,'Translation-EN'!C1154,"")</f>
        <v>B292</v>
      </c>
      <c r="D1154" s="888" t="str">
        <f>IF(LEN('Translation-EN'!D1154)&gt;0,'Translation-EN'!D1154,"")</f>
        <v/>
      </c>
      <c r="E1154" s="893" t="str">
        <f>$E$339</f>
        <v>NATTE DE FIBRE DE VERRE</v>
      </c>
      <c r="I1154" s="888"/>
      <c r="J1154" s="888"/>
      <c r="K1154" s="888"/>
      <c r="L1154" s="888"/>
      <c r="M1154" s="888"/>
      <c r="N1154" s="888"/>
      <c r="O1154" s="888"/>
      <c r="P1154" s="888"/>
      <c r="Q1154" s="888"/>
      <c r="R1154" s="888"/>
    </row>
    <row r="1155" spans="1:18" s="893" customFormat="1" x14ac:dyDescent="0.3">
      <c r="A1155" s="888" t="str">
        <f>IF(LEN('Translation-EN'!A1155)&gt;0,'Translation-EN'!A1155,"")</f>
        <v>Range</v>
      </c>
      <c r="B1155" s="888" t="str">
        <f>IF(LEN('Translation-EN'!B1155)&gt;0,'Translation-EN'!B1155,"")</f>
        <v>Garage</v>
      </c>
      <c r="C1155" s="888" t="str">
        <f>IF(LEN('Translation-EN'!C1155)&gt;0,'Translation-EN'!C1155,"")</f>
        <v>C293</v>
      </c>
      <c r="D1155" s="888" t="str">
        <f>IF(LEN('Translation-EN'!D1155)&gt;0,'Translation-EN'!D1155,"")</f>
        <v/>
      </c>
      <c r="E1155" s="893" t="str">
        <f>$E$469</f>
        <v>Natte en fibre de verre – MOYENNE</v>
      </c>
      <c r="I1155" s="888"/>
      <c r="J1155" s="888"/>
      <c r="K1155" s="888"/>
      <c r="L1155" s="888"/>
      <c r="M1155" s="888"/>
      <c r="N1155" s="888"/>
      <c r="O1155" s="888"/>
      <c r="P1155" s="888"/>
      <c r="Q1155" s="888"/>
      <c r="R1155" s="888"/>
    </row>
    <row r="1156" spans="1:18" s="893" customFormat="1" x14ac:dyDescent="0.3">
      <c r="A1156" s="888" t="str">
        <f>IF(LEN('Translation-EN'!A1156)&gt;0,'Translation-EN'!A1156,"")</f>
        <v>Range</v>
      </c>
      <c r="B1156" s="888" t="str">
        <f>IF(LEN('Translation-EN'!B1156)&gt;0,'Translation-EN'!B1156,"")</f>
        <v>Garage</v>
      </c>
      <c r="C1156" s="888" t="str">
        <f>IF(LEN('Translation-EN'!C1156)&gt;0,'Translation-EN'!C1156,"")</f>
        <v>B297</v>
      </c>
      <c r="D1156" s="888" t="str">
        <f>IF(LEN('Translation-EN'!D1156)&gt;0,'Translation-EN'!D1156,"")</f>
        <v/>
      </c>
      <c r="E1156" s="893" t="str">
        <f>$E$470</f>
        <v>FIBRE DE VERRE SOUFFLÉE</v>
      </c>
      <c r="I1156" s="888"/>
      <c r="J1156" s="888"/>
      <c r="K1156" s="888"/>
      <c r="L1156" s="888"/>
      <c r="M1156" s="888"/>
      <c r="N1156" s="888"/>
      <c r="O1156" s="888"/>
      <c r="P1156" s="888"/>
      <c r="Q1156" s="888"/>
      <c r="R1156" s="888"/>
    </row>
    <row r="1157" spans="1:18" s="893" customFormat="1" x14ac:dyDescent="0.3">
      <c r="A1157" s="888" t="str">
        <f>IF(LEN('Translation-EN'!A1157)&gt;0,'Translation-EN'!A1157,"")</f>
        <v>Range</v>
      </c>
      <c r="B1157" s="888" t="str">
        <f>IF(LEN('Translation-EN'!B1157)&gt;0,'Translation-EN'!B1157,"")</f>
        <v>Garage</v>
      </c>
      <c r="C1157" s="888" t="str">
        <f>IF(LEN('Translation-EN'!C1157)&gt;0,'Translation-EN'!C1157,"")</f>
        <v>C298</v>
      </c>
      <c r="D1157" s="888" t="str">
        <f>IF(LEN('Translation-EN'!D1157)&gt;0,'Translation-EN'!D1157,"")</f>
        <v/>
      </c>
      <c r="E1157" s="893" t="str">
        <f>$E$471</f>
        <v>Fibre de verre en vrac – MOYENNE</v>
      </c>
      <c r="I1157" s="888"/>
      <c r="J1157" s="888"/>
      <c r="K1157" s="888"/>
      <c r="L1157" s="888"/>
      <c r="M1157" s="888"/>
      <c r="N1157" s="888"/>
      <c r="O1157" s="888"/>
      <c r="P1157" s="888"/>
      <c r="Q1157" s="888"/>
      <c r="R1157" s="888"/>
    </row>
    <row r="1158" spans="1:18" s="893" customFormat="1" x14ac:dyDescent="0.3">
      <c r="A1158" s="888" t="str">
        <f>IF(LEN('Translation-EN'!A1158)&gt;0,'Translation-EN'!A1158,"")</f>
        <v>Range</v>
      </c>
      <c r="B1158" s="888" t="str">
        <f>IF(LEN('Translation-EN'!B1158)&gt;0,'Translation-EN'!B1158,"")</f>
        <v>Garage</v>
      </c>
      <c r="C1158" s="888" t="str">
        <f>IF(LEN('Translation-EN'!C1158)&gt;0,'Translation-EN'!C1158,"")</f>
        <v>B301</v>
      </c>
      <c r="D1158" s="888" t="str">
        <f>IF(LEN('Translation-EN'!D1158)&gt;0,'Translation-EN'!D1158,"")</f>
        <v/>
      </c>
      <c r="E1158" s="893" t="str">
        <f>$E$343</f>
        <v>NATTE DE LAINE MINÉRALE</v>
      </c>
      <c r="I1158" s="888"/>
      <c r="J1158" s="888"/>
      <c r="K1158" s="888"/>
      <c r="L1158" s="888"/>
      <c r="M1158" s="888"/>
      <c r="N1158" s="888"/>
      <c r="O1158" s="888"/>
      <c r="P1158" s="888"/>
      <c r="Q1158" s="888"/>
      <c r="R1158" s="888"/>
    </row>
    <row r="1159" spans="1:18" s="893" customFormat="1" x14ac:dyDescent="0.3">
      <c r="A1159" s="888" t="str">
        <f>IF(LEN('Translation-EN'!A1159)&gt;0,'Translation-EN'!A1159,"")</f>
        <v>Range</v>
      </c>
      <c r="B1159" s="888" t="str">
        <f>IF(LEN('Translation-EN'!B1159)&gt;0,'Translation-EN'!B1159,"")</f>
        <v>Garage</v>
      </c>
      <c r="C1159" s="888" t="str">
        <f>IF(LEN('Translation-EN'!C1159)&gt;0,'Translation-EN'!C1159,"")</f>
        <v>B308</v>
      </c>
      <c r="D1159" s="888" t="str">
        <f>IF(LEN('Translation-EN'!D1159)&gt;0,'Translation-EN'!D1159,"")</f>
        <v/>
      </c>
      <c r="E1159" s="893" t="str">
        <f>$E$341</f>
        <v>ISOLATION EN CELLULOSE</v>
      </c>
      <c r="I1159" s="888"/>
      <c r="J1159" s="888"/>
      <c r="K1159" s="888"/>
      <c r="L1159" s="888"/>
      <c r="M1159" s="888"/>
      <c r="N1159" s="888"/>
      <c r="O1159" s="888"/>
      <c r="P1159" s="888"/>
      <c r="Q1159" s="888"/>
      <c r="R1159" s="888"/>
    </row>
    <row r="1160" spans="1:18" s="893" customFormat="1" x14ac:dyDescent="0.3">
      <c r="A1160" s="888" t="str">
        <f>IF(LEN('Translation-EN'!A1160)&gt;0,'Translation-EN'!A1160,"")</f>
        <v>Range</v>
      </c>
      <c r="B1160" s="888" t="str">
        <f>IF(LEN('Translation-EN'!B1160)&gt;0,'Translation-EN'!B1160,"")</f>
        <v>Garage</v>
      </c>
      <c r="C1160" s="888" t="str">
        <f>IF(LEN('Translation-EN'!C1160)&gt;0,'Translation-EN'!C1160,"")</f>
        <v>C309</v>
      </c>
      <c r="D1160" s="888" t="str">
        <f>IF(LEN('Translation-EN'!D1160)&gt;0,'Translation-EN'!D1160,"")</f>
        <v/>
      </c>
      <c r="E1160" s="893" t="str">
        <f>$E$475</f>
        <v>Cellulose – MOYENNE</v>
      </c>
      <c r="I1160" s="888"/>
      <c r="J1160" s="888"/>
      <c r="K1160" s="888"/>
      <c r="L1160" s="888"/>
      <c r="M1160" s="888"/>
      <c r="N1160" s="888"/>
      <c r="O1160" s="888"/>
      <c r="P1160" s="888"/>
      <c r="Q1160" s="888"/>
      <c r="R1160" s="888"/>
    </row>
    <row r="1161" spans="1:18" s="893" customFormat="1" x14ac:dyDescent="0.3">
      <c r="A1161" s="888" t="str">
        <f>IF(LEN('Translation-EN'!A1161)&gt;0,'Translation-EN'!A1161,"")</f>
        <v>Range</v>
      </c>
      <c r="B1161" s="888" t="str">
        <f>IF(LEN('Translation-EN'!B1161)&gt;0,'Translation-EN'!B1161,"")</f>
        <v>Garage</v>
      </c>
      <c r="C1161" s="888" t="str">
        <f>IF(LEN('Translation-EN'!C1161)&gt;0,'Translation-EN'!C1161,"")</f>
        <v>B313</v>
      </c>
      <c r="D1161" s="888" t="str">
        <f>IF(LEN('Translation-EN'!D1161)&gt;0,'Translation-EN'!D1161,"")</f>
        <v/>
      </c>
      <c r="E1161" s="893" t="str">
        <f>$E$345</f>
        <v>NATTE DE FIBRES DE BOIS</v>
      </c>
      <c r="I1161" s="888"/>
      <c r="J1161" s="888"/>
      <c r="K1161" s="888"/>
      <c r="L1161" s="888"/>
      <c r="M1161" s="888"/>
      <c r="N1161" s="888"/>
      <c r="O1161" s="888"/>
      <c r="P1161" s="888"/>
      <c r="Q1161" s="888"/>
      <c r="R1161" s="888"/>
    </row>
    <row r="1162" spans="1:18" s="893" customFormat="1" x14ac:dyDescent="0.3">
      <c r="A1162" s="888" t="str">
        <f>IF(LEN('Translation-EN'!A1162)&gt;0,'Translation-EN'!A1162,"")</f>
        <v>Range</v>
      </c>
      <c r="B1162" s="888" t="str">
        <f>IF(LEN('Translation-EN'!B1162)&gt;0,'Translation-EN'!B1162,"")</f>
        <v>_Garage</v>
      </c>
      <c r="C1162" s="888" t="str">
        <f>IF(LEN('Translation-EN'!C1162)&gt;0,'Translation-EN'!C1162,"")</f>
        <v>C292</v>
      </c>
      <c r="D1162" s="888" t="str">
        <f>IF(LEN('Translation-EN'!D1162)&gt;0,'Translation-EN'!D1162,"")</f>
        <v/>
      </c>
      <c r="E1162" s="893" t="str">
        <f>$E$477</f>
        <v>Natte de fibres de bois – MOYENNE</v>
      </c>
      <c r="I1162" s="888"/>
      <c r="J1162" s="888"/>
      <c r="K1162" s="888"/>
      <c r="L1162" s="888"/>
      <c r="M1162" s="888"/>
      <c r="N1162" s="888"/>
      <c r="O1162" s="888"/>
      <c r="P1162" s="888"/>
      <c r="Q1162" s="888"/>
      <c r="R1162" s="888"/>
    </row>
    <row r="1163" spans="1:18" s="893" customFormat="1" x14ac:dyDescent="0.3">
      <c r="A1163" s="888" t="str">
        <f>IF(LEN('Translation-EN'!A1163)&gt;0,'Translation-EN'!A1163,"")</f>
        <v>Range</v>
      </c>
      <c r="B1163" s="888" t="str">
        <f>IF(LEN('Translation-EN'!B1163)&gt;0,'Translation-EN'!B1163,"")</f>
        <v>Garage</v>
      </c>
      <c r="C1163" s="888" t="str">
        <f>IF(LEN('Translation-EN'!C1163)&gt;0,'Translation-EN'!C1163,"")</f>
        <v>B315</v>
      </c>
      <c r="D1163" s="888" t="str">
        <f>IF(LEN('Translation-EN'!D1163)&gt;0,'Translation-EN'!D1163,"")</f>
        <v/>
      </c>
      <c r="E1163" s="893" t="str">
        <f>$E$478</f>
        <v>AUTRES ISOLANTS EN FIBRES NATURELLES</v>
      </c>
      <c r="I1163" s="888"/>
      <c r="J1163" s="888"/>
      <c r="K1163" s="888"/>
      <c r="L1163" s="888"/>
      <c r="M1163" s="888"/>
      <c r="N1163" s="888"/>
      <c r="O1163" s="888"/>
      <c r="P1163" s="888"/>
      <c r="Q1163" s="888"/>
      <c r="R1163" s="888"/>
    </row>
    <row r="1164" spans="1:18" s="893" customFormat="1" x14ac:dyDescent="0.3">
      <c r="A1164" s="888" t="str">
        <f>IF(LEN('Translation-EN'!A1164)&gt;0,'Translation-EN'!A1164,"")</f>
        <v>Range</v>
      </c>
      <c r="B1164" s="888" t="str">
        <f>IF(LEN('Translation-EN'!B1164)&gt;0,'Translation-EN'!B1164,"")</f>
        <v>Garage</v>
      </c>
      <c r="C1164" s="888" t="str">
        <f>IF(LEN('Translation-EN'!C1164)&gt;0,'Translation-EN'!C1164,"")</f>
        <v>B319</v>
      </c>
      <c r="D1164" s="888" t="str">
        <f>IF(LEN('Translation-EN'!D1164)&gt;0,'Translation-EN'!D1164,"")</f>
        <v/>
      </c>
      <c r="E1164" s="893" t="str">
        <f>$E$479</f>
        <v>MOUSSE À PULVÉRISER – CELLULE FERMÉE</v>
      </c>
      <c r="I1164" s="888"/>
      <c r="J1164" s="888"/>
      <c r="K1164" s="888"/>
      <c r="L1164" s="888"/>
      <c r="M1164" s="888"/>
      <c r="N1164" s="888"/>
      <c r="O1164" s="888"/>
      <c r="P1164" s="888"/>
      <c r="Q1164" s="888"/>
      <c r="R1164" s="888"/>
    </row>
    <row r="1165" spans="1:18" s="893" customFormat="1" x14ac:dyDescent="0.3">
      <c r="A1165" s="888" t="str">
        <f>IF(LEN('Translation-EN'!A1165)&gt;0,'Translation-EN'!A1165,"")</f>
        <v>Range</v>
      </c>
      <c r="B1165" s="888" t="str">
        <f>IF(LEN('Translation-EN'!B1165)&gt;0,'Translation-EN'!B1165,"")</f>
        <v>Garage</v>
      </c>
      <c r="C1165" s="888" t="str">
        <f>IF(LEN('Translation-EN'!C1165)&gt;0,'Translation-EN'!C1165,"")</f>
        <v>B322</v>
      </c>
      <c r="D1165" s="888" t="str">
        <f>IF(LEN('Translation-EN'!D1165)&gt;0,'Translation-EN'!D1165,"")</f>
        <v/>
      </c>
      <c r="E1165" s="893" t="str">
        <f>$E$480</f>
        <v>MOUSSE À PULVÉRISER – CELLULE OUVERTE</v>
      </c>
      <c r="I1165" s="888"/>
      <c r="J1165" s="888"/>
      <c r="K1165" s="888"/>
      <c r="L1165" s="888"/>
      <c r="M1165" s="888"/>
      <c r="N1165" s="888"/>
      <c r="O1165" s="888"/>
      <c r="P1165" s="888"/>
      <c r="Q1165" s="888"/>
      <c r="R1165" s="888"/>
    </row>
    <row r="1166" spans="1:18" s="893" customFormat="1" x14ac:dyDescent="0.3">
      <c r="A1166" s="888" t="str">
        <f>IF(LEN('Translation-EN'!A1166)&gt;0,'Translation-EN'!A1166,"")</f>
        <v>Range</v>
      </c>
      <c r="B1166" s="888" t="str">
        <f>IF(LEN('Translation-EN'!B1166)&gt;0,'Translation-EN'!B1166,"")</f>
        <v>Garage</v>
      </c>
      <c r="C1166" s="888" t="str">
        <f>IF(LEN('Translation-EN'!C1166)&gt;0,'Translation-EN'!C1166,"")</f>
        <v>B324</v>
      </c>
      <c r="D1166" s="888" t="str">
        <f>IF(LEN('Translation-EN'!D1166)&gt;0,'Translation-EN'!D1166,"")</f>
        <v/>
      </c>
      <c r="E1166" s="893" t="str">
        <f>$E$481</f>
        <v>BRIQUES DE CHANVRE</v>
      </c>
      <c r="I1166" s="888"/>
      <c r="J1166" s="888"/>
      <c r="K1166" s="888"/>
      <c r="L1166" s="888"/>
      <c r="M1166" s="888"/>
      <c r="N1166" s="888"/>
      <c r="O1166" s="888"/>
      <c r="P1166" s="888"/>
      <c r="Q1166" s="888"/>
      <c r="R1166" s="888"/>
    </row>
    <row r="1167" spans="1:18" s="893" customFormat="1" x14ac:dyDescent="0.3">
      <c r="A1167" s="888" t="str">
        <f>IF(LEN('Translation-EN'!A1167)&gt;0,'Translation-EN'!A1167,"")</f>
        <v>Range</v>
      </c>
      <c r="B1167" s="888" t="str">
        <f>IF(LEN('Translation-EN'!B1167)&gt;0,'Translation-EN'!B1167,"")</f>
        <v>Garage</v>
      </c>
      <c r="C1167" s="888" t="str">
        <f>IF(LEN('Translation-EN'!C1167)&gt;0,'Translation-EN'!C1167,"")</f>
        <v>C325</v>
      </c>
      <c r="D1167" s="888" t="str">
        <f>IF(LEN('Translation-EN'!D1167)&gt;0,'Translation-EN'!D1167,"")</f>
        <v/>
      </c>
      <c r="E1167" s="893" t="str">
        <f>$E$482</f>
        <v>Briques de chanvre – MOYENNE</v>
      </c>
      <c r="I1167" s="888"/>
      <c r="J1167" s="888"/>
      <c r="K1167" s="888"/>
      <c r="L1167" s="888"/>
      <c r="M1167" s="888"/>
      <c r="N1167" s="888"/>
      <c r="O1167" s="888"/>
      <c r="P1167" s="888"/>
      <c r="Q1167" s="888"/>
      <c r="R1167" s="888"/>
    </row>
    <row r="1168" spans="1:18" s="893" customFormat="1" x14ac:dyDescent="0.3">
      <c r="A1168" s="888" t="str">
        <f>IF(LEN('Translation-EN'!A1168)&gt;0,'Translation-EN'!A1168,"")</f>
        <v>Range</v>
      </c>
      <c r="B1168" s="888" t="str">
        <f>IF(LEN('Translation-EN'!B1168)&gt;0,'Translation-EN'!B1168,"")</f>
        <v>Garage</v>
      </c>
      <c r="C1168" s="888" t="str">
        <f>IF(LEN('Translation-EN'!C1168)&gt;0,'Translation-EN'!C1168,"")</f>
        <v>A328</v>
      </c>
      <c r="D1168" s="888" t="str">
        <f>IF(LEN('Translation-EN'!D1168)&gt;0,'Translation-EN'!D1168,"")</f>
        <v/>
      </c>
      <c r="E1168" s="893" t="s">
        <v>3112</v>
      </c>
      <c r="I1168" s="888"/>
      <c r="J1168" s="888"/>
      <c r="K1168" s="888"/>
      <c r="L1168" s="888"/>
      <c r="M1168" s="888"/>
      <c r="N1168" s="888"/>
      <c r="O1168" s="888"/>
      <c r="P1168" s="888"/>
      <c r="Q1168" s="888"/>
      <c r="R1168" s="888"/>
    </row>
    <row r="1169" spans="1:18" s="893" customFormat="1" x14ac:dyDescent="0.3">
      <c r="A1169" s="888" t="str">
        <f>IF(LEN('Translation-EN'!A1169)&gt;0,'Translation-EN'!A1169,"")</f>
        <v>Range</v>
      </c>
      <c r="B1169" s="888" t="str">
        <f>IF(LEN('Translation-EN'!B1169)&gt;0,'Translation-EN'!B1169,"")</f>
        <v>Garage</v>
      </c>
      <c r="C1169" s="888" t="str">
        <f>IF(LEN('Translation-EN'!C1169)&gt;0,'Translation-EN'!C1169,"")</f>
        <v>A329</v>
      </c>
      <c r="D1169" s="888" t="str">
        <f>IF(LEN('Translation-EN'!D1169)&gt;0,'Translation-EN'!D1169,"")</f>
        <v/>
      </c>
      <c r="E1169" s="893" t="str">
        <f>$E$707</f>
        <v>BARDAGE EXTÉRIEUR</v>
      </c>
      <c r="I1169" s="888"/>
      <c r="J1169" s="888"/>
      <c r="K1169" s="888"/>
      <c r="L1169" s="888"/>
      <c r="M1169" s="888"/>
      <c r="N1169" s="888"/>
      <c r="O1169" s="888"/>
      <c r="P1169" s="888"/>
      <c r="Q1169" s="888"/>
      <c r="R1169" s="888"/>
    </row>
    <row r="1170" spans="1:18" s="893" customFormat="1" x14ac:dyDescent="0.3">
      <c r="A1170" s="888" t="str">
        <f>IF(LEN('Translation-EN'!A1170)&gt;0,'Translation-EN'!A1170,"")</f>
        <v>Range</v>
      </c>
      <c r="B1170" s="888" t="str">
        <f>IF(LEN('Translation-EN'!B1170)&gt;0,'Translation-EN'!B1170,"")</f>
        <v>Garage</v>
      </c>
      <c r="C1170" s="888" t="str">
        <f>IF(LEN('Translation-EN'!C1170)&gt;0,'Translation-EN'!C1170,"")</f>
        <v>B330</v>
      </c>
      <c r="D1170" s="888" t="str">
        <f>IF(LEN('Translation-EN'!D1170)&gt;0,'Translation-EN'!D1170,"")</f>
        <v/>
      </c>
      <c r="E1170" s="893" t="str">
        <f>$E$708</f>
        <v>BRIQUE</v>
      </c>
      <c r="I1170" s="888"/>
      <c r="J1170" s="888"/>
      <c r="K1170" s="888"/>
      <c r="L1170" s="888"/>
      <c r="M1170" s="888"/>
      <c r="N1170" s="888"/>
      <c r="O1170" s="888"/>
      <c r="P1170" s="888"/>
      <c r="Q1170" s="888"/>
      <c r="R1170" s="888"/>
    </row>
    <row r="1171" spans="1:18" s="893" customFormat="1" x14ac:dyDescent="0.3">
      <c r="A1171" s="888" t="str">
        <f>IF(LEN('Translation-EN'!A1171)&gt;0,'Translation-EN'!A1171,"")</f>
        <v>Range</v>
      </c>
      <c r="B1171" s="888" t="str">
        <f>IF(LEN('Translation-EN'!B1171)&gt;0,'Translation-EN'!B1171,"")</f>
        <v>Garage</v>
      </c>
      <c r="C1171" s="888" t="str">
        <f>IF(LEN('Translation-EN'!C1171)&gt;0,'Translation-EN'!C1171,"")</f>
        <v>B338</v>
      </c>
      <c r="D1171" s="888" t="str">
        <f>IF(LEN('Translation-EN'!D1171)&gt;0,'Translation-EN'!D1171,"")</f>
        <v/>
      </c>
      <c r="E1171" s="893" t="str">
        <f>$E$709</f>
        <v>BARDAGE EN BOIS</v>
      </c>
      <c r="I1171" s="888"/>
      <c r="J1171" s="888"/>
      <c r="K1171" s="888"/>
      <c r="L1171" s="888"/>
      <c r="M1171" s="888"/>
      <c r="N1171" s="888"/>
      <c r="O1171" s="888"/>
      <c r="P1171" s="888"/>
      <c r="Q1171" s="888"/>
      <c r="R1171" s="888"/>
    </row>
    <row r="1172" spans="1:18" s="893" customFormat="1" x14ac:dyDescent="0.3">
      <c r="A1172" s="888" t="str">
        <f>IF(LEN('Translation-EN'!A1172)&gt;0,'Translation-EN'!A1172,"")</f>
        <v>Range</v>
      </c>
      <c r="B1172" s="888" t="str">
        <f>IF(LEN('Translation-EN'!B1172)&gt;0,'Translation-EN'!B1172,"")</f>
        <v>Garage</v>
      </c>
      <c r="C1172" s="888" t="str">
        <f>IF(LEN('Translation-EN'!C1172)&gt;0,'Translation-EN'!C1172,"")</f>
        <v>B346</v>
      </c>
      <c r="D1172" s="888" t="str">
        <f>IF(LEN('Translation-EN'!D1172)&gt;0,'Translation-EN'!D1172,"")</f>
        <v/>
      </c>
      <c r="E1172" s="893" t="str">
        <f>$E$710</f>
        <v>FIBROCIMENT</v>
      </c>
      <c r="I1172" s="888"/>
      <c r="J1172" s="888"/>
      <c r="K1172" s="888"/>
      <c r="L1172" s="888"/>
      <c r="M1172" s="888"/>
      <c r="N1172" s="888"/>
      <c r="O1172" s="888"/>
      <c r="P1172" s="888"/>
      <c r="Q1172" s="888"/>
      <c r="R1172" s="888"/>
    </row>
    <row r="1173" spans="1:18" s="893" customFormat="1" x14ac:dyDescent="0.3">
      <c r="A1173" s="888" t="str">
        <f>IF(LEN('Translation-EN'!A1173)&gt;0,'Translation-EN'!A1173,"")</f>
        <v>Range</v>
      </c>
      <c r="B1173" s="888" t="str">
        <f>IF(LEN('Translation-EN'!B1173)&gt;0,'Translation-EN'!B1173,"")</f>
        <v>Garage</v>
      </c>
      <c r="C1173" s="888" t="str">
        <f>IF(LEN('Translation-EN'!C1173)&gt;0,'Translation-EN'!C1173,"")</f>
        <v>C347</v>
      </c>
      <c r="D1173" s="888" t="str">
        <f>IF(LEN('Translation-EN'!D1173)&gt;0,'Translation-EN'!D1173,"")</f>
        <v/>
      </c>
      <c r="E1173" s="893" t="str">
        <f>$E$711</f>
        <v>Bardage en fibrociment – MOYENNE</v>
      </c>
      <c r="I1173" s="888"/>
      <c r="J1173" s="888"/>
      <c r="K1173" s="888"/>
      <c r="L1173" s="888"/>
      <c r="M1173" s="888"/>
      <c r="N1173" s="888"/>
      <c r="O1173" s="888"/>
      <c r="P1173" s="888"/>
      <c r="Q1173" s="888"/>
      <c r="R1173" s="888"/>
    </row>
    <row r="1174" spans="1:18" s="893" customFormat="1" x14ac:dyDescent="0.3">
      <c r="A1174" s="888" t="str">
        <f>IF(LEN('Translation-EN'!A1174)&gt;0,'Translation-EN'!A1174,"")</f>
        <v>Range</v>
      </c>
      <c r="B1174" s="888" t="str">
        <f>IF(LEN('Translation-EN'!B1174)&gt;0,'Translation-EN'!B1174,"")</f>
        <v>Garage</v>
      </c>
      <c r="C1174" s="888" t="str">
        <f>IF(LEN('Translation-EN'!C1174)&gt;0,'Translation-EN'!C1174,"")</f>
        <v>B354</v>
      </c>
      <c r="D1174" s="888" t="str">
        <f>IF(LEN('Translation-EN'!D1174)&gt;0,'Translation-EN'!D1174,"")</f>
        <v/>
      </c>
      <c r="E1174" s="893" t="str">
        <f>$E$712</f>
        <v>REVÊTEMENT EN VINYLE</v>
      </c>
      <c r="I1174" s="888"/>
      <c r="J1174" s="888"/>
      <c r="K1174" s="888"/>
      <c r="L1174" s="888"/>
      <c r="M1174" s="888"/>
      <c r="N1174" s="888"/>
      <c r="O1174" s="888"/>
      <c r="P1174" s="888"/>
      <c r="Q1174" s="888"/>
      <c r="R1174" s="888"/>
    </row>
    <row r="1175" spans="1:18" s="893" customFormat="1" x14ac:dyDescent="0.3">
      <c r="A1175" s="888" t="str">
        <f>IF(LEN('Translation-EN'!A1175)&gt;0,'Translation-EN'!A1175,"")</f>
        <v>Range</v>
      </c>
      <c r="B1175" s="888" t="str">
        <f>IF(LEN('Translation-EN'!B1175)&gt;0,'Translation-EN'!B1175,"")</f>
        <v>Garage</v>
      </c>
      <c r="C1175" s="888" t="str">
        <f>IF(LEN('Translation-EN'!C1175)&gt;0,'Translation-EN'!C1175,"")</f>
        <v>B356</v>
      </c>
      <c r="D1175" s="888" t="str">
        <f>IF(LEN('Translation-EN'!D1175)&gt;0,'Translation-EN'!D1175,"")</f>
        <v/>
      </c>
      <c r="E1175" s="893" t="str">
        <f>$E$713</f>
        <v>REVÊTEMENT EN POLYPROPYLÈNE</v>
      </c>
      <c r="I1175" s="888"/>
      <c r="J1175" s="888"/>
      <c r="K1175" s="888"/>
      <c r="L1175" s="888"/>
      <c r="M1175" s="888"/>
      <c r="N1175" s="888"/>
      <c r="O1175" s="888"/>
      <c r="P1175" s="888"/>
      <c r="Q1175" s="888"/>
      <c r="R1175" s="888"/>
    </row>
    <row r="1176" spans="1:18" s="893" customFormat="1" x14ac:dyDescent="0.3">
      <c r="A1176" s="888" t="str">
        <f>IF(LEN('Translation-EN'!A1176)&gt;0,'Translation-EN'!A1176,"")</f>
        <v>Range</v>
      </c>
      <c r="B1176" s="888" t="str">
        <f>IF(LEN('Translation-EN'!B1176)&gt;0,'Translation-EN'!B1176,"")</f>
        <v>_Garage</v>
      </c>
      <c r="C1176" s="888" t="str">
        <f>IF(LEN('Translation-EN'!C1176)&gt;0,'Translation-EN'!C1176,"")</f>
        <v>C331</v>
      </c>
      <c r="D1176" s="888" t="str">
        <f>IF(LEN('Translation-EN'!D1176)&gt;0,'Translation-EN'!D1176,"")</f>
        <v/>
      </c>
      <c r="E1176" s="893" t="str">
        <f>$E$714</f>
        <v>Revêtement en polypropylène – MOYENNE</v>
      </c>
      <c r="I1176" s="888"/>
      <c r="J1176" s="888"/>
      <c r="K1176" s="888"/>
      <c r="L1176" s="888"/>
      <c r="M1176" s="888"/>
      <c r="N1176" s="888"/>
      <c r="O1176" s="888"/>
      <c r="P1176" s="888"/>
      <c r="Q1176" s="888"/>
      <c r="R1176" s="888"/>
    </row>
    <row r="1177" spans="1:18" s="893" customFormat="1" x14ac:dyDescent="0.3">
      <c r="A1177" s="888" t="str">
        <f>IF(LEN('Translation-EN'!A1177)&gt;0,'Translation-EN'!A1177,"")</f>
        <v>Range</v>
      </c>
      <c r="B1177" s="888" t="str">
        <f>IF(LEN('Translation-EN'!B1177)&gt;0,'Translation-EN'!B1177,"")</f>
        <v>Garage</v>
      </c>
      <c r="C1177" s="888" t="str">
        <f>IF(LEN('Translation-EN'!C1177)&gt;0,'Translation-EN'!C1177,"")</f>
        <v>B358</v>
      </c>
      <c r="D1177" s="888" t="str">
        <f>IF(LEN('Translation-EN'!D1177)&gt;0,'Translation-EN'!D1177,"")</f>
        <v/>
      </c>
      <c r="E1177" s="893" t="str">
        <f>$E$715</f>
        <v>BARDAGE EN PANNEAUX D’ACIER</v>
      </c>
      <c r="I1177" s="888"/>
      <c r="J1177" s="888"/>
      <c r="K1177" s="888"/>
      <c r="L1177" s="888"/>
      <c r="M1177" s="888"/>
      <c r="N1177" s="888"/>
      <c r="O1177" s="888"/>
      <c r="P1177" s="888"/>
      <c r="Q1177" s="888"/>
      <c r="R1177" s="888"/>
    </row>
    <row r="1178" spans="1:18" s="893" customFormat="1" x14ac:dyDescent="0.3">
      <c r="A1178" s="888" t="str">
        <f>IF(LEN('Translation-EN'!A1178)&gt;0,'Translation-EN'!A1178,"")</f>
        <v>Range</v>
      </c>
      <c r="B1178" s="888" t="str">
        <f>IF(LEN('Translation-EN'!B1178)&gt;0,'Translation-EN'!B1178,"")</f>
        <v>Garage</v>
      </c>
      <c r="C1178" s="888" t="str">
        <f>IF(LEN('Translation-EN'!C1178)&gt;0,'Translation-EN'!C1178,"")</f>
        <v>C359</v>
      </c>
      <c r="D1178" s="888" t="str">
        <f>IF(LEN('Translation-EN'!D1178)&gt;0,'Translation-EN'!D1178,"")</f>
        <v/>
      </c>
      <c r="E1178" s="893" t="str">
        <f>$E$716</f>
        <v>Bardage en panneaux d’acier – MOYENNE</v>
      </c>
      <c r="I1178" s="888"/>
      <c r="J1178" s="888"/>
      <c r="K1178" s="888"/>
      <c r="L1178" s="888"/>
      <c r="M1178" s="888"/>
      <c r="N1178" s="888"/>
      <c r="O1178" s="888"/>
      <c r="P1178" s="888"/>
      <c r="Q1178" s="888"/>
      <c r="R1178" s="888"/>
    </row>
    <row r="1179" spans="1:18" s="893" customFormat="1" x14ac:dyDescent="0.3">
      <c r="A1179" s="888" t="str">
        <f>IF(LEN('Translation-EN'!A1179)&gt;0,'Translation-EN'!A1179,"")</f>
        <v>Range</v>
      </c>
      <c r="B1179" s="888" t="str">
        <f>IF(LEN('Translation-EN'!B1179)&gt;0,'Translation-EN'!B1179,"")</f>
        <v>Garage</v>
      </c>
      <c r="C1179" s="888" t="str">
        <f>IF(LEN('Translation-EN'!C1179)&gt;0,'Translation-EN'!C1179,"")</f>
        <v>B366</v>
      </c>
      <c r="D1179" s="888" t="str">
        <f>IF(LEN('Translation-EN'!D1179)&gt;0,'Translation-EN'!D1179,"")</f>
        <v/>
      </c>
      <c r="E1179" s="893" t="str">
        <f>$E$717</f>
        <v>BARDAGE EN PANNEAUX D’ALUMINIUM</v>
      </c>
      <c r="I1179" s="888"/>
      <c r="J1179" s="888"/>
      <c r="K1179" s="888"/>
      <c r="L1179" s="888"/>
      <c r="M1179" s="888"/>
      <c r="N1179" s="888"/>
      <c r="O1179" s="888"/>
      <c r="P1179" s="888"/>
      <c r="Q1179" s="888"/>
      <c r="R1179" s="888"/>
    </row>
    <row r="1180" spans="1:18" s="893" customFormat="1" x14ac:dyDescent="0.3">
      <c r="A1180" s="888" t="str">
        <f>IF(LEN('Translation-EN'!A1180)&gt;0,'Translation-EN'!A1180,"")</f>
        <v>Range</v>
      </c>
      <c r="B1180" s="888" t="str">
        <f>IF(LEN('Translation-EN'!B1180)&gt;0,'Translation-EN'!B1180,"")</f>
        <v>Garage</v>
      </c>
      <c r="C1180" s="888" t="str">
        <f>IF(LEN('Translation-EN'!C1180)&gt;0,'Translation-EN'!C1180,"")</f>
        <v>C367</v>
      </c>
      <c r="D1180" s="888" t="str">
        <f>IF(LEN('Translation-EN'!D1180)&gt;0,'Translation-EN'!D1180,"")</f>
        <v/>
      </c>
      <c r="E1180" s="893" t="str">
        <f>$E$718</f>
        <v>Bardage en panneaux d’aluminium – MOYENNE</v>
      </c>
      <c r="I1180" s="888"/>
      <c r="J1180" s="888"/>
      <c r="K1180" s="888"/>
      <c r="L1180" s="888"/>
      <c r="M1180" s="888"/>
      <c r="N1180" s="888"/>
      <c r="O1180" s="888"/>
      <c r="P1180" s="888"/>
      <c r="Q1180" s="888"/>
      <c r="R1180" s="888"/>
    </row>
    <row r="1181" spans="1:18" s="893" customFormat="1" x14ac:dyDescent="0.3">
      <c r="A1181" s="888" t="str">
        <f>IF(LEN('Translation-EN'!A1181)&gt;0,'Translation-EN'!A1181,"")</f>
        <v>Range</v>
      </c>
      <c r="B1181" s="888" t="str">
        <f>IF(LEN('Translation-EN'!B1181)&gt;0,'Translation-EN'!B1181,"")</f>
        <v>Garage</v>
      </c>
      <c r="C1181" s="888" t="str">
        <f>IF(LEN('Translation-EN'!C1181)&gt;0,'Translation-EN'!C1181,"")</f>
        <v>B370</v>
      </c>
      <c r="D1181" s="888" t="str">
        <f>IF(LEN('Translation-EN'!D1181)&gt;0,'Translation-EN'!D1181,"")</f>
        <v/>
      </c>
      <c r="E1181" s="893" t="str">
        <f>$E$719</f>
        <v>FINITIONS EN PLÂTRE</v>
      </c>
      <c r="I1181" s="888"/>
      <c r="J1181" s="888"/>
      <c r="K1181" s="888"/>
      <c r="L1181" s="888"/>
      <c r="M1181" s="888"/>
      <c r="N1181" s="888"/>
      <c r="O1181" s="888"/>
      <c r="P1181" s="888"/>
      <c r="Q1181" s="888"/>
      <c r="R1181" s="888"/>
    </row>
    <row r="1182" spans="1:18" s="893" customFormat="1" x14ac:dyDescent="0.3">
      <c r="A1182" s="888" t="str">
        <f>IF(LEN('Translation-EN'!A1182)&gt;0,'Translation-EN'!A1182,"")</f>
        <v>Range</v>
      </c>
      <c r="B1182" s="888" t="str">
        <f>IF(LEN('Translation-EN'!B1182)&gt;0,'Translation-EN'!B1182,"")</f>
        <v>Garage</v>
      </c>
      <c r="C1182" s="888" t="str">
        <f>IF(LEN('Translation-EN'!C1182)&gt;0,'Translation-EN'!C1182,"")</f>
        <v>B375</v>
      </c>
      <c r="D1182" s="888" t="str">
        <f>IF(LEN('Translation-EN'!D1182)&gt;0,'Translation-EN'!D1182,"")</f>
        <v/>
      </c>
      <c r="E1182" s="960" t="str">
        <f>$E$720</f>
        <v>BARDAGE EN BOIS D'INGÉNIERIE</v>
      </c>
      <c r="I1182" s="888"/>
      <c r="J1182" s="888"/>
      <c r="K1182" s="888"/>
      <c r="L1182" s="888"/>
      <c r="M1182" s="888"/>
      <c r="N1182" s="888"/>
      <c r="O1182" s="888"/>
      <c r="P1182" s="888"/>
      <c r="Q1182" s="888"/>
      <c r="R1182" s="888"/>
    </row>
    <row r="1183" spans="1:18" s="893" customFormat="1" x14ac:dyDescent="0.3">
      <c r="A1183" s="888" t="str">
        <f>IF(LEN('Translation-EN'!A1183)&gt;0,'Translation-EN'!A1183,"")</f>
        <v>Range</v>
      </c>
      <c r="B1183" s="888" t="str">
        <f>IF(LEN('Translation-EN'!B1183)&gt;0,'Translation-EN'!B1183,"")</f>
        <v>Garage</v>
      </c>
      <c r="C1183" s="888" t="str">
        <f>IF(LEN('Translation-EN'!C1183)&gt;0,'Translation-EN'!C1183,"")</f>
        <v>A381</v>
      </c>
      <c r="D1183" s="888" t="str">
        <f>IF(LEN('Translation-EN'!D1183)&gt;0,'Translation-EN'!D1183,"")</f>
        <v/>
      </c>
      <c r="E1183" s="960" t="str">
        <f>$E$721</f>
        <v>Tasseau pour écran de pluie</v>
      </c>
      <c r="I1183" s="888"/>
      <c r="J1183" s="888"/>
      <c r="K1183" s="888"/>
      <c r="L1183" s="888"/>
      <c r="M1183" s="888"/>
      <c r="N1183" s="888"/>
      <c r="O1183" s="888"/>
      <c r="P1183" s="888"/>
      <c r="Q1183" s="888"/>
      <c r="R1183" s="888"/>
    </row>
    <row r="1184" spans="1:18" s="893" customFormat="1" x14ac:dyDescent="0.3">
      <c r="A1184" s="888" t="str">
        <f>IF(LEN('Translation-EN'!A1184)&gt;0,'Translation-EN'!A1184,"")</f>
        <v>Range</v>
      </c>
      <c r="B1184" s="888" t="str">
        <f>IF(LEN('Translation-EN'!B1184)&gt;0,'Translation-EN'!B1184,"")</f>
        <v>Garage</v>
      </c>
      <c r="C1184" s="888" t="str">
        <f>IF(LEN('Translation-EN'!C1184)&gt;0,'Translation-EN'!C1184,"")</f>
        <v>D381</v>
      </c>
      <c r="D1184" s="888" t="str">
        <f>IF(LEN('Translation-EN'!D1184)&gt;0,'Translation-EN'!D1184,"")</f>
        <v/>
      </c>
      <c r="E1184" s="893" t="str">
        <f>$E$724</f>
        <v>ESPACEMENT DES TASSEAUX</v>
      </c>
      <c r="I1184" s="888"/>
      <c r="J1184" s="888"/>
      <c r="K1184" s="888"/>
      <c r="L1184" s="888"/>
      <c r="M1184" s="888"/>
      <c r="N1184" s="888"/>
      <c r="O1184" s="888"/>
      <c r="P1184" s="888"/>
      <c r="Q1184" s="888"/>
      <c r="R1184" s="888"/>
    </row>
    <row r="1185" spans="1:18" s="893" customFormat="1" x14ac:dyDescent="0.3">
      <c r="A1185" s="888" t="str">
        <f>IF(LEN('Translation-EN'!A1185)&gt;0,'Translation-EN'!A1185,"")</f>
        <v>Range</v>
      </c>
      <c r="B1185" s="888" t="str">
        <f>IF(LEN('Translation-EN'!B1185)&gt;0,'Translation-EN'!B1185,"")</f>
        <v>Garage</v>
      </c>
      <c r="C1185" s="888" t="str">
        <f>IF(LEN('Translation-EN'!C1185)&gt;0,'Translation-EN'!C1185,"")</f>
        <v>B382</v>
      </c>
      <c r="D1185" s="888" t="str">
        <f>IF(LEN('Translation-EN'!D1185)&gt;0,'Translation-EN'!D1185,"")</f>
        <v/>
      </c>
      <c r="E1185" s="962" t="str">
        <f>$E$722</f>
        <v>1x4 TASSEAU POUR ÉCRAN DE PLUIE</v>
      </c>
      <c r="I1185" s="888"/>
      <c r="J1185" s="888"/>
      <c r="K1185" s="888"/>
      <c r="L1185" s="888"/>
      <c r="M1185" s="888"/>
      <c r="N1185" s="888"/>
      <c r="O1185" s="888"/>
      <c r="P1185" s="888"/>
      <c r="Q1185" s="888"/>
      <c r="R1185" s="888"/>
    </row>
    <row r="1186" spans="1:18" s="893" customFormat="1" x14ac:dyDescent="0.3">
      <c r="A1186" s="888" t="str">
        <f>IF(LEN('Translation-EN'!A1186)&gt;0,'Translation-EN'!A1186,"")</f>
        <v>Range</v>
      </c>
      <c r="B1186" s="888" t="str">
        <f>IF(LEN('Translation-EN'!B1186)&gt;0,'Translation-EN'!B1186,"")</f>
        <v>Garage</v>
      </c>
      <c r="C1186" s="888" t="str">
        <f>IF(LEN('Translation-EN'!C1186)&gt;0,'Translation-EN'!C1186,"")</f>
        <v>B389</v>
      </c>
      <c r="D1186" s="888" t="str">
        <f>IF(LEN('Translation-EN'!D1186)&gt;0,'Translation-EN'!D1186,"")</f>
        <v/>
      </c>
      <c r="E1186" s="962" t="str">
        <f>$E$723</f>
        <v>2x4 TASSEAU POUR ÉCRAN DE PLUIE</v>
      </c>
      <c r="I1186" s="888"/>
      <c r="J1186" s="888"/>
      <c r="K1186" s="888"/>
      <c r="L1186" s="888"/>
      <c r="M1186" s="888"/>
      <c r="N1186" s="888"/>
      <c r="O1186" s="888"/>
      <c r="P1186" s="888"/>
      <c r="Q1186" s="888"/>
      <c r="R1186" s="888"/>
    </row>
    <row r="1187" spans="1:18" s="893" customFormat="1" x14ac:dyDescent="0.3">
      <c r="A1187" s="888" t="str">
        <f>IF(LEN('Translation-EN'!A1187)&gt;0,'Translation-EN'!A1187,"")</f>
        <v>Range</v>
      </c>
      <c r="B1187" s="888" t="str">
        <f>IF(LEN('Translation-EN'!B1187)&gt;0,'Translation-EN'!B1187,"")</f>
        <v>Garage</v>
      </c>
      <c r="C1187" s="888" t="str">
        <f>IF(LEN('Translation-EN'!C1187)&gt;0,'Translation-EN'!C1187,"")</f>
        <v>A396</v>
      </c>
      <c r="D1187" s="888" t="str">
        <f>IF(LEN('Translation-EN'!D1187)&gt;0,'Translation-EN'!D1187,"")</f>
        <v/>
      </c>
      <c r="E1187" s="893" t="s">
        <v>3113</v>
      </c>
      <c r="I1187" s="888"/>
      <c r="J1187" s="888"/>
      <c r="K1187" s="888"/>
      <c r="L1187" s="888"/>
      <c r="M1187" s="888"/>
      <c r="N1187" s="888"/>
      <c r="O1187" s="888"/>
      <c r="P1187" s="888"/>
      <c r="Q1187" s="888"/>
      <c r="R1187" s="888"/>
    </row>
    <row r="1188" spans="1:18" s="893" customFormat="1" x14ac:dyDescent="0.3">
      <c r="A1188" s="888" t="str">
        <f>IF(LEN('Translation-EN'!A1188)&gt;0,'Translation-EN'!A1188,"")</f>
        <v>Range</v>
      </c>
      <c r="B1188" s="888" t="str">
        <f>IF(LEN('Translation-EN'!B1188)&gt;0,'Translation-EN'!B1188,"")</f>
        <v>Garage</v>
      </c>
      <c r="C1188" s="888" t="str">
        <f>IF(LEN('Translation-EN'!C1188)&gt;0,'Translation-EN'!C1188,"")</f>
        <v>B397</v>
      </c>
      <c r="D1188" s="888" t="str">
        <f>IF(LEN('Translation-EN'!D1188)&gt;0,'Translation-EN'!D1188,"")</f>
        <v/>
      </c>
      <c r="E1188" s="893" t="str">
        <f>$E$361</f>
        <v>CLOISONS SÈCHES 1/2 po</v>
      </c>
      <c r="I1188" s="888"/>
      <c r="J1188" s="888"/>
      <c r="K1188" s="888"/>
      <c r="L1188" s="888"/>
      <c r="M1188" s="888"/>
      <c r="N1188" s="888"/>
      <c r="O1188" s="888"/>
      <c r="P1188" s="888"/>
      <c r="Q1188" s="888"/>
      <c r="R1188" s="888"/>
    </row>
    <row r="1189" spans="1:18" s="893" customFormat="1" x14ac:dyDescent="0.3">
      <c r="A1189" s="888" t="str">
        <f>IF(LEN('Translation-EN'!A1189)&gt;0,'Translation-EN'!A1189,"")</f>
        <v>Range</v>
      </c>
      <c r="B1189" s="888" t="str">
        <f>IF(LEN('Translation-EN'!B1189)&gt;0,'Translation-EN'!B1189,"")</f>
        <v>Garage</v>
      </c>
      <c r="C1189" s="888" t="str">
        <f>IF(LEN('Translation-EN'!C1189)&gt;0,'Translation-EN'!C1189,"")</f>
        <v>C398</v>
      </c>
      <c r="D1189" s="888" t="str">
        <f>IF(LEN('Translation-EN'!D1189)&gt;0,'Translation-EN'!D1189,"")</f>
        <v/>
      </c>
      <c r="E1189" s="893" t="str">
        <f>$E$654</f>
        <v>Cloison sèche 1/2 po typique – Revêtement intérieur pour murs extérieurs - MOYENNE</v>
      </c>
      <c r="I1189" s="888"/>
      <c r="J1189" s="888"/>
      <c r="K1189" s="888"/>
      <c r="L1189" s="888"/>
      <c r="M1189" s="888"/>
      <c r="N1189" s="888"/>
      <c r="O1189" s="888"/>
      <c r="P1189" s="888"/>
      <c r="Q1189" s="888"/>
      <c r="R1189" s="888"/>
    </row>
    <row r="1190" spans="1:18" s="893" customFormat="1" x14ac:dyDescent="0.3">
      <c r="A1190" s="888" t="str">
        <f>IF(LEN('Translation-EN'!A1190)&gt;0,'Translation-EN'!A1190,"")</f>
        <v>Range</v>
      </c>
      <c r="B1190" s="888" t="str">
        <f>IF(LEN('Translation-EN'!B1190)&gt;0,'Translation-EN'!B1190,"")</f>
        <v>Garage</v>
      </c>
      <c r="C1190" s="888" t="str">
        <f>IF(LEN('Translation-EN'!C1190)&gt;0,'Translation-EN'!C1190,"")</f>
        <v>B401</v>
      </c>
      <c r="D1190" s="888" t="str">
        <f>IF(LEN('Translation-EN'!D1190)&gt;0,'Translation-EN'!D1190,"")</f>
        <v/>
      </c>
      <c r="E1190" s="893" t="str">
        <f>$E$363</f>
        <v>CLOISONS SÈCHES 5/8 po</v>
      </c>
      <c r="I1190" s="888"/>
      <c r="J1190" s="888"/>
      <c r="K1190" s="888"/>
      <c r="L1190" s="888"/>
      <c r="M1190" s="888"/>
      <c r="N1190" s="888"/>
      <c r="O1190" s="888"/>
      <c r="P1190" s="888"/>
      <c r="Q1190" s="888"/>
      <c r="R1190" s="888"/>
    </row>
    <row r="1191" spans="1:18" s="893" customFormat="1" x14ac:dyDescent="0.3">
      <c r="A1191" s="888" t="str">
        <f>IF(LEN('Translation-EN'!A1191)&gt;0,'Translation-EN'!A1191,"")</f>
        <v>Range</v>
      </c>
      <c r="B1191" s="888" t="str">
        <f>IF(LEN('Translation-EN'!B1191)&gt;0,'Translation-EN'!B1191,"")</f>
        <v>Garage</v>
      </c>
      <c r="C1191" s="888" t="str">
        <f>IF(LEN('Translation-EN'!C1191)&gt;0,'Translation-EN'!C1191,"")</f>
        <v>C402</v>
      </c>
      <c r="D1191" s="888" t="str">
        <f>IF(LEN('Translation-EN'!D1191)&gt;0,'Translation-EN'!D1191,"")</f>
        <v/>
      </c>
      <c r="E1191" s="945" t="str">
        <f>$E$656</f>
        <v>Gypse 5/8" typique – Parement intérieur pour murs extérieurs – MOYENNE</v>
      </c>
      <c r="I1191" s="888"/>
      <c r="J1191" s="888"/>
      <c r="K1191" s="888"/>
      <c r="L1191" s="888"/>
      <c r="M1191" s="888"/>
      <c r="N1191" s="888"/>
      <c r="O1191" s="888"/>
      <c r="P1191" s="888"/>
      <c r="Q1191" s="888"/>
      <c r="R1191" s="888"/>
    </row>
    <row r="1192" spans="1:18" s="893" customFormat="1" x14ac:dyDescent="0.3">
      <c r="A1192" s="888" t="str">
        <f>IF(LEN('Translation-EN'!A1192)&gt;0,'Translation-EN'!A1192,"")</f>
        <v>Range</v>
      </c>
      <c r="B1192" s="888" t="str">
        <f>IF(LEN('Translation-EN'!B1192)&gt;0,'Translation-EN'!B1192,"")</f>
        <v>Garage</v>
      </c>
      <c r="C1192" s="888" t="str">
        <f>IF(LEN('Translation-EN'!C1192)&gt;0,'Translation-EN'!C1192,"")</f>
        <v>B406</v>
      </c>
      <c r="D1192" s="888" t="str">
        <f>IF(LEN('Translation-EN'!D1192)&gt;0,'Translation-EN'!D1192,"")</f>
        <v/>
      </c>
      <c r="E1192" s="893" t="str">
        <f>$E$365</f>
        <v>AUTRES MATÉRIAUX DE BARDAGE</v>
      </c>
      <c r="I1192" s="888"/>
      <c r="J1192" s="888"/>
      <c r="K1192" s="888"/>
      <c r="L1192" s="888"/>
      <c r="M1192" s="888"/>
      <c r="N1192" s="888"/>
      <c r="O1192" s="888"/>
      <c r="P1192" s="888"/>
      <c r="Q1192" s="888"/>
      <c r="R1192" s="888"/>
    </row>
    <row r="1193" spans="1:18" s="893" customFormat="1" x14ac:dyDescent="0.3">
      <c r="A1193" s="888" t="str">
        <f>IF(LEN('Translation-EN'!A1193)&gt;0,'Translation-EN'!A1193,"")</f>
        <v>Range</v>
      </c>
      <c r="B1193" s="888" t="str">
        <f>IF(LEN('Translation-EN'!B1193)&gt;0,'Translation-EN'!B1193,"")</f>
        <v>Garage</v>
      </c>
      <c r="C1193" s="888" t="str">
        <f>IF(LEN('Translation-EN'!C1193)&gt;0,'Translation-EN'!C1193,"")</f>
        <v>A419</v>
      </c>
      <c r="D1193" s="888" t="str">
        <f>IF(LEN('Translation-EN'!D1193)&gt;0,'Translation-EN'!D1193,"")</f>
        <v/>
      </c>
      <c r="E1193" s="893" t="s">
        <v>3114</v>
      </c>
      <c r="I1193" s="888"/>
      <c r="J1193" s="888"/>
      <c r="K1193" s="888"/>
      <c r="L1193" s="888"/>
      <c r="M1193" s="888"/>
      <c r="N1193" s="888"/>
      <c r="O1193" s="888"/>
      <c r="P1193" s="888"/>
      <c r="Q1193" s="888"/>
      <c r="R1193" s="888"/>
    </row>
    <row r="1194" spans="1:18" s="893" customFormat="1" x14ac:dyDescent="0.3">
      <c r="A1194" s="888" t="str">
        <f>IF(LEN('Translation-EN'!A1194)&gt;0,'Translation-EN'!A1194,"")</f>
        <v>Range</v>
      </c>
      <c r="B1194" s="888" t="str">
        <f>IF(LEN('Translation-EN'!B1194)&gt;0,'Translation-EN'!B1194,"")</f>
        <v>Garage</v>
      </c>
      <c r="C1194" s="888" t="str">
        <f>IF(LEN('Translation-EN'!C1194)&gt;0,'Translation-EN'!C1194,"")</f>
        <v>A420</v>
      </c>
      <c r="D1194" s="888" t="str">
        <f>IF(LEN('Translation-EN'!D1194)&gt;0,'Translation-EN'!D1194,"")</f>
        <v/>
      </c>
      <c r="E1194" s="893" t="str">
        <f>$E$752</f>
        <v>FENÊTRES À DOUBLE VITRAGE</v>
      </c>
      <c r="I1194" s="888"/>
      <c r="J1194" s="888"/>
      <c r="K1194" s="888"/>
      <c r="L1194" s="888"/>
      <c r="M1194" s="888"/>
      <c r="N1194" s="888"/>
      <c r="O1194" s="888"/>
      <c r="P1194" s="888"/>
      <c r="Q1194" s="888"/>
      <c r="R1194" s="888"/>
    </row>
    <row r="1195" spans="1:18" s="893" customFormat="1" x14ac:dyDescent="0.3">
      <c r="A1195" s="888" t="str">
        <f>IF(LEN('Translation-EN'!A1195)&gt;0,'Translation-EN'!A1195,"")</f>
        <v>Range</v>
      </c>
      <c r="B1195" s="888" t="str">
        <f>IF(LEN('Translation-EN'!B1195)&gt;0,'Translation-EN'!B1195,"")</f>
        <v>Garage</v>
      </c>
      <c r="C1195" s="888" t="str">
        <f>IF(LEN('Translation-EN'!C1195)&gt;0,'Translation-EN'!C1195,"")</f>
        <v>A425</v>
      </c>
      <c r="D1195" s="888" t="str">
        <f>IF(LEN('Translation-EN'!D1195)&gt;0,'Translation-EN'!D1195,"")</f>
        <v/>
      </c>
      <c r="E1195" s="893" t="str">
        <f>$E$754</f>
        <v>FENÊTRES – FABRICANTS SPÉCIFIQUES</v>
      </c>
      <c r="I1195" s="888"/>
      <c r="J1195" s="888"/>
      <c r="K1195" s="888"/>
      <c r="L1195" s="888"/>
      <c r="M1195" s="888"/>
      <c r="N1195" s="888"/>
      <c r="O1195" s="888"/>
      <c r="P1195" s="888"/>
      <c r="Q1195" s="888"/>
      <c r="R1195" s="888"/>
    </row>
    <row r="1196" spans="1:18" s="893" customFormat="1" x14ac:dyDescent="0.3">
      <c r="A1196" s="888" t="str">
        <f>IF(LEN('Translation-EN'!A1196)&gt;0,'Translation-EN'!A1196,"")</f>
        <v>Range</v>
      </c>
      <c r="B1196" s="888" t="str">
        <f>IF(LEN('Translation-EN'!B1196)&gt;0,'Translation-EN'!B1196,"")</f>
        <v>Garage</v>
      </c>
      <c r="C1196" s="888" t="str">
        <f>IF(LEN('Translation-EN'!C1196)&gt;0,'Translation-EN'!C1196,"")</f>
        <v>A436</v>
      </c>
      <c r="D1196" s="888" t="str">
        <f>IF(LEN('Translation-EN'!D1196)&gt;0,'Translation-EN'!D1196,"")</f>
        <v/>
      </c>
      <c r="E1196" s="893" t="s">
        <v>3115</v>
      </c>
      <c r="I1196" s="888"/>
      <c r="J1196" s="888"/>
      <c r="K1196" s="888"/>
      <c r="L1196" s="888"/>
      <c r="M1196" s="888"/>
      <c r="N1196" s="888"/>
      <c r="O1196" s="888"/>
      <c r="P1196" s="888"/>
      <c r="Q1196" s="888"/>
      <c r="R1196" s="888"/>
    </row>
    <row r="1197" spans="1:18" s="893" customFormat="1" x14ac:dyDescent="0.3">
      <c r="A1197" s="888" t="str">
        <f>IF(LEN('Translation-EN'!A1197)&gt;0,'Translation-EN'!A1197,"")</f>
        <v>Range</v>
      </c>
      <c r="B1197" s="888" t="str">
        <f>IF(LEN('Translation-EN'!B1197)&gt;0,'Translation-EN'!B1197,"")</f>
        <v>Garage</v>
      </c>
      <c r="C1197" s="888" t="str">
        <f>IF(LEN('Translation-EN'!C1197)&gt;0,'Translation-EN'!C1197,"")</f>
        <v>A437</v>
      </c>
      <c r="D1197" s="888" t="str">
        <f>IF(LEN('Translation-EN'!D1197)&gt;0,'Translation-EN'!D1197,"")</f>
        <v/>
      </c>
      <c r="E1197" s="893" t="s">
        <v>3116</v>
      </c>
      <c r="I1197" s="888"/>
      <c r="J1197" s="888"/>
      <c r="K1197" s="888"/>
      <c r="L1197" s="888"/>
      <c r="M1197" s="888"/>
      <c r="N1197" s="888"/>
      <c r="O1197" s="888"/>
      <c r="P1197" s="888"/>
      <c r="Q1197" s="888"/>
      <c r="R1197" s="888"/>
    </row>
    <row r="1198" spans="1:18" s="893" customFormat="1" x14ac:dyDescent="0.3">
      <c r="A1198" s="888" t="str">
        <f>IF(LEN('Translation-EN'!A1198)&gt;0,'Translation-EN'!A1198,"")</f>
        <v>Range</v>
      </c>
      <c r="B1198" s="888" t="str">
        <f>IF(LEN('Translation-EN'!B1198)&gt;0,'Translation-EN'!B1198,"")</f>
        <v>Garage</v>
      </c>
      <c r="C1198" s="888" t="str">
        <f>IF(LEN('Translation-EN'!C1198)&gt;0,'Translation-EN'!C1198,"")</f>
        <v>B438</v>
      </c>
      <c r="D1198" s="888" t="str">
        <f>IF(LEN('Translation-EN'!D1198)&gt;0,'Translation-EN'!D1198,"")</f>
        <v/>
      </c>
      <c r="E1198" s="893" t="str">
        <f>$E$361</f>
        <v>CLOISONS SÈCHES 1/2 po</v>
      </c>
      <c r="I1198" s="888"/>
      <c r="J1198" s="888"/>
      <c r="K1198" s="888"/>
      <c r="L1198" s="888"/>
      <c r="M1198" s="888"/>
      <c r="N1198" s="888"/>
      <c r="O1198" s="888"/>
      <c r="P1198" s="888"/>
      <c r="Q1198" s="888"/>
      <c r="R1198" s="888"/>
    </row>
    <row r="1199" spans="1:18" s="893" customFormat="1" x14ac:dyDescent="0.3">
      <c r="A1199" s="888" t="str">
        <f>IF(LEN('Translation-EN'!A1199)&gt;0,'Translation-EN'!A1199,"")</f>
        <v>Range</v>
      </c>
      <c r="B1199" s="888" t="str">
        <f>IF(LEN('Translation-EN'!B1199)&gt;0,'Translation-EN'!B1199,"")</f>
        <v>Garage</v>
      </c>
      <c r="C1199" s="888" t="str">
        <f>IF(LEN('Translation-EN'!C1199)&gt;0,'Translation-EN'!C1199,"")</f>
        <v>C439</v>
      </c>
      <c r="D1199" s="888" t="str">
        <f>IF(LEN('Translation-EN'!D1199)&gt;0,'Translation-EN'!D1199,"")</f>
        <v/>
      </c>
      <c r="E1199" s="893" t="str">
        <f>$E$920</f>
        <v>Cloison sèche 1/2 po – Plafonds – MOYENNE</v>
      </c>
      <c r="I1199" s="888"/>
      <c r="J1199" s="888"/>
      <c r="K1199" s="888"/>
      <c r="L1199" s="888"/>
      <c r="M1199" s="888"/>
      <c r="N1199" s="888"/>
      <c r="O1199" s="888"/>
      <c r="P1199" s="888"/>
      <c r="Q1199" s="888"/>
      <c r="R1199" s="888"/>
    </row>
    <row r="1200" spans="1:18" s="893" customFormat="1" x14ac:dyDescent="0.3">
      <c r="A1200" s="888" t="str">
        <f>IF(LEN('Translation-EN'!A1200)&gt;0,'Translation-EN'!A1200,"")</f>
        <v>Range</v>
      </c>
      <c r="B1200" s="888" t="str">
        <f>IF(LEN('Translation-EN'!B1200)&gt;0,'Translation-EN'!B1200,"")</f>
        <v>Garage</v>
      </c>
      <c r="C1200" s="888" t="str">
        <f>IF(LEN('Translation-EN'!C1200)&gt;0,'Translation-EN'!C1200,"")</f>
        <v>B442</v>
      </c>
      <c r="D1200" s="888" t="str">
        <f>IF(LEN('Translation-EN'!D1200)&gt;0,'Translation-EN'!D1200,"")</f>
        <v/>
      </c>
      <c r="E1200" s="893" t="str">
        <f>$E$363</f>
        <v>CLOISONS SÈCHES 5/8 po</v>
      </c>
      <c r="I1200" s="888"/>
      <c r="J1200" s="888"/>
      <c r="K1200" s="888"/>
      <c r="L1200" s="888"/>
      <c r="M1200" s="888"/>
      <c r="N1200" s="888"/>
      <c r="O1200" s="888"/>
      <c r="P1200" s="888"/>
      <c r="Q1200" s="888"/>
      <c r="R1200" s="888"/>
    </row>
    <row r="1201" spans="1:18" s="893" customFormat="1" x14ac:dyDescent="0.3">
      <c r="A1201" s="888" t="str">
        <f>IF(LEN('Translation-EN'!A1201)&gt;0,'Translation-EN'!A1201,"")</f>
        <v>Range</v>
      </c>
      <c r="B1201" s="888" t="str">
        <f>IF(LEN('Translation-EN'!B1201)&gt;0,'Translation-EN'!B1201,"")</f>
        <v>Garage</v>
      </c>
      <c r="C1201" s="888" t="str">
        <f>IF(LEN('Translation-EN'!C1201)&gt;0,'Translation-EN'!C1201,"")</f>
        <v>C443</v>
      </c>
      <c r="D1201" s="888" t="str">
        <f>IF(LEN('Translation-EN'!D1201)&gt;0,'Translation-EN'!D1201,"")</f>
        <v/>
      </c>
      <c r="E1201" s="893" t="str">
        <f>$E$922</f>
        <v>Cloison sèche 5/8 po – Plafonds – MOYENNE</v>
      </c>
      <c r="I1201" s="888"/>
      <c r="J1201" s="888"/>
      <c r="K1201" s="888"/>
      <c r="L1201" s="888"/>
      <c r="M1201" s="888"/>
      <c r="N1201" s="888"/>
      <c r="O1201" s="888"/>
      <c r="P1201" s="888"/>
      <c r="Q1201" s="888"/>
      <c r="R1201" s="888"/>
    </row>
    <row r="1202" spans="1:18" s="893" customFormat="1" x14ac:dyDescent="0.3">
      <c r="A1202" s="888" t="str">
        <f>IF(LEN('Translation-EN'!A1202)&gt;0,'Translation-EN'!A1202,"")</f>
        <v>Range</v>
      </c>
      <c r="B1202" s="888" t="str">
        <f>IF(LEN('Translation-EN'!B1202)&gt;0,'Translation-EN'!B1202,"")</f>
        <v>Garage</v>
      </c>
      <c r="C1202" s="888" t="str">
        <f>IF(LEN('Translation-EN'!C1202)&gt;0,'Translation-EN'!C1202,"")</f>
        <v>B446</v>
      </c>
      <c r="D1202" s="888" t="str">
        <f>IF(LEN('Translation-EN'!D1202)&gt;0,'Translation-EN'!D1202,"")</f>
        <v/>
      </c>
      <c r="E1202" s="893" t="str">
        <f>$E$923</f>
        <v>AUTRES FINIS DE PLAFOND</v>
      </c>
      <c r="I1202" s="888"/>
      <c r="J1202" s="888"/>
      <c r="K1202" s="888"/>
      <c r="L1202" s="888"/>
      <c r="M1202" s="888"/>
      <c r="N1202" s="888"/>
      <c r="O1202" s="888"/>
      <c r="P1202" s="888"/>
      <c r="Q1202" s="888"/>
      <c r="R1202" s="888"/>
    </row>
    <row r="1203" spans="1:18" s="893" customFormat="1" x14ac:dyDescent="0.3">
      <c r="A1203" s="888" t="str">
        <f>IF(LEN('Translation-EN'!A1203)&gt;0,'Translation-EN'!A1203,"")</f>
        <v>Range</v>
      </c>
      <c r="B1203" s="888" t="str">
        <f>IF(LEN('Translation-EN'!B1203)&gt;0,'Translation-EN'!B1203,"")</f>
        <v>Garage</v>
      </c>
      <c r="C1203" s="888" t="str">
        <f>IF(LEN('Translation-EN'!C1203)&gt;0,'Translation-EN'!C1203,"")</f>
        <v>A458</v>
      </c>
      <c r="D1203" s="888" t="str">
        <f>IF(LEN('Translation-EN'!D1203)&gt;0,'Translation-EN'!D1203,"")</f>
        <v/>
      </c>
      <c r="E1203" s="893" t="s">
        <v>3117</v>
      </c>
      <c r="I1203" s="888"/>
      <c r="J1203" s="888"/>
      <c r="K1203" s="888"/>
      <c r="L1203" s="888"/>
      <c r="M1203" s="888"/>
      <c r="N1203" s="888"/>
      <c r="O1203" s="888"/>
      <c r="P1203" s="888"/>
      <c r="Q1203" s="888"/>
      <c r="R1203" s="888"/>
    </row>
    <row r="1204" spans="1:18" s="893" customFormat="1" x14ac:dyDescent="0.3">
      <c r="A1204" s="888" t="str">
        <f>IF(LEN('Translation-EN'!A1204)&gt;0,'Translation-EN'!A1204,"")</f>
        <v>Range</v>
      </c>
      <c r="B1204" s="888" t="str">
        <f>IF(LEN('Translation-EN'!B1204)&gt;0,'Translation-EN'!B1204,"")</f>
        <v>Garage</v>
      </c>
      <c r="C1204" s="888" t="str">
        <f>IF(LEN('Translation-EN'!C1204)&gt;0,'Translation-EN'!C1204,"")</f>
        <v>A459</v>
      </c>
      <c r="D1204" s="888" t="str">
        <f>IF(LEN('Translation-EN'!D1204)&gt;0,'Translation-EN'!D1204,"")</f>
        <v/>
      </c>
      <c r="E1204" s="893" t="str">
        <f>$E$326</f>
        <v>CONSTRUCTION EN BOIS</v>
      </c>
      <c r="I1204" s="888"/>
      <c r="J1204" s="888"/>
      <c r="K1204" s="888"/>
      <c r="L1204" s="888"/>
      <c r="M1204" s="888"/>
      <c r="N1204" s="888"/>
      <c r="O1204" s="888"/>
      <c r="P1204" s="888"/>
      <c r="Q1204" s="888"/>
      <c r="R1204" s="888"/>
    </row>
    <row r="1205" spans="1:18" s="893" customFormat="1" x14ac:dyDescent="0.3">
      <c r="A1205" s="888" t="str">
        <f>IF(LEN('Translation-EN'!A1205)&gt;0,'Translation-EN'!A1205,"")</f>
        <v>Range</v>
      </c>
      <c r="B1205" s="888" t="str">
        <f>IF(LEN('Translation-EN'!B1205)&gt;0,'Translation-EN'!B1205,"")</f>
        <v>Garage</v>
      </c>
      <c r="C1205" s="888" t="str">
        <f>IF(LEN('Translation-EN'!C1205)&gt;0,'Translation-EN'!C1205,"")</f>
        <v>D459</v>
      </c>
      <c r="D1205" s="888" t="str">
        <f>IF(LEN('Translation-EN'!D1205)&gt;0,'Translation-EN'!D1205,"")</f>
        <v/>
      </c>
      <c r="E1205" s="893" t="str">
        <f>$E$325</f>
        <v>L’ESPACEMENT DES CHARPENTES :</v>
      </c>
      <c r="I1205" s="888"/>
      <c r="J1205" s="888"/>
      <c r="K1205" s="888"/>
      <c r="L1205" s="888"/>
      <c r="M1205" s="888"/>
      <c r="N1205" s="888"/>
      <c r="O1205" s="888"/>
      <c r="P1205" s="888"/>
      <c r="Q1205" s="888"/>
      <c r="R1205" s="888"/>
    </row>
    <row r="1206" spans="1:18" s="893" customFormat="1" x14ac:dyDescent="0.3">
      <c r="A1206" s="888" t="str">
        <f>IF(LEN('Translation-EN'!A1206)&gt;0,'Translation-EN'!A1206,"")</f>
        <v>Range</v>
      </c>
      <c r="B1206" s="888" t="str">
        <f>IF(LEN('Translation-EN'!B1206)&gt;0,'Translation-EN'!B1206,"")</f>
        <v>Garage</v>
      </c>
      <c r="C1206" s="888" t="str">
        <f>IF(LEN('Translation-EN'!C1206)&gt;0,'Translation-EN'!C1206,"")</f>
        <v>B460</v>
      </c>
      <c r="D1206" s="888" t="str">
        <f>IF(LEN('Translation-EN'!D1206)&gt;0,'Translation-EN'!D1206,"")</f>
        <v/>
      </c>
      <c r="E1206" s="962" t="str">
        <f>$E$951</f>
        <v>2x4 CHARPENTE EN BOIS</v>
      </c>
      <c r="I1206" s="888"/>
      <c r="J1206" s="888"/>
      <c r="K1206" s="888"/>
      <c r="L1206" s="888"/>
      <c r="M1206" s="888"/>
      <c r="N1206" s="888"/>
      <c r="O1206" s="888"/>
      <c r="P1206" s="888"/>
      <c r="Q1206" s="888"/>
      <c r="R1206" s="888"/>
    </row>
    <row r="1207" spans="1:18" s="893" customFormat="1" x14ac:dyDescent="0.3">
      <c r="A1207" s="888" t="str">
        <f>IF(LEN('Translation-EN'!A1207)&gt;0,'Translation-EN'!A1207,"")</f>
        <v>Range</v>
      </c>
      <c r="B1207" s="888" t="str">
        <f>IF(LEN('Translation-EN'!B1207)&gt;0,'Translation-EN'!B1207,"")</f>
        <v>Garage</v>
      </c>
      <c r="C1207" s="888" t="str">
        <f>IF(LEN('Translation-EN'!C1207)&gt;0,'Translation-EN'!C1207,"")</f>
        <v>B467</v>
      </c>
      <c r="D1207" s="888" t="str">
        <f>IF(LEN('Translation-EN'!D1207)&gt;0,'Translation-EN'!D1207,"")</f>
        <v/>
      </c>
      <c r="E1207" s="962" t="str">
        <f>$E$952</f>
        <v>2x6 CHARPENTE EN BOIS</v>
      </c>
      <c r="I1207" s="888"/>
      <c r="J1207" s="888"/>
      <c r="K1207" s="888"/>
      <c r="L1207" s="888"/>
      <c r="M1207" s="888"/>
      <c r="N1207" s="888"/>
      <c r="O1207" s="888"/>
      <c r="P1207" s="888"/>
      <c r="Q1207" s="888"/>
      <c r="R1207" s="888"/>
    </row>
    <row r="1208" spans="1:18" s="893" customFormat="1" x14ac:dyDescent="0.3">
      <c r="A1208" s="888" t="str">
        <f>IF(LEN('Translation-EN'!A1208)&gt;0,'Translation-EN'!A1208,"")</f>
        <v>Range</v>
      </c>
      <c r="B1208" s="888" t="str">
        <f>IF(LEN('Translation-EN'!B1208)&gt;0,'Translation-EN'!B1208,"")</f>
        <v>Garage</v>
      </c>
      <c r="C1208" s="888" t="str">
        <f>IF(LEN('Translation-EN'!C1208)&gt;0,'Translation-EN'!C1208,"")</f>
        <v>B474</v>
      </c>
      <c r="D1208" s="888" t="str">
        <f>IF(LEN('Translation-EN'!D1208)&gt;0,'Translation-EN'!D1208,"")</f>
        <v/>
      </c>
      <c r="E1208" s="962" t="str">
        <f>$E$953</f>
        <v>2x8 CHARPENTE EN BOIS</v>
      </c>
      <c r="I1208" s="888"/>
      <c r="J1208" s="888"/>
      <c r="K1208" s="888"/>
      <c r="L1208" s="888"/>
      <c r="M1208" s="888"/>
      <c r="N1208" s="888"/>
      <c r="O1208" s="888"/>
      <c r="P1208" s="888"/>
      <c r="Q1208" s="888"/>
      <c r="R1208" s="888"/>
    </row>
    <row r="1209" spans="1:18" s="893" customFormat="1" x14ac:dyDescent="0.3">
      <c r="A1209" s="888" t="str">
        <f>IF(LEN('Translation-EN'!A1209)&gt;0,'Translation-EN'!A1209,"")</f>
        <v>Range</v>
      </c>
      <c r="B1209" s="888" t="str">
        <f>IF(LEN('Translation-EN'!B1209)&gt;0,'Translation-EN'!B1209,"")</f>
        <v>Garage</v>
      </c>
      <c r="C1209" s="888" t="str">
        <f>IF(LEN('Translation-EN'!C1209)&gt;0,'Translation-EN'!C1209,"")</f>
        <v>B481</v>
      </c>
      <c r="D1209" s="888" t="str">
        <f>IF(LEN('Translation-EN'!D1209)&gt;0,'Translation-EN'!D1209,"")</f>
        <v/>
      </c>
      <c r="E1209" s="962" t="str">
        <f>$E$954</f>
        <v>2x10 CHARPENTE EN BOIS</v>
      </c>
      <c r="I1209" s="888"/>
      <c r="J1209" s="888"/>
      <c r="K1209" s="888"/>
      <c r="L1209" s="888"/>
      <c r="M1209" s="888"/>
      <c r="N1209" s="888"/>
      <c r="O1209" s="888"/>
      <c r="P1209" s="888"/>
      <c r="Q1209" s="888"/>
      <c r="R1209" s="888"/>
    </row>
    <row r="1210" spans="1:18" s="893" customFormat="1" x14ac:dyDescent="0.3">
      <c r="A1210" s="888" t="str">
        <f>IF(LEN('Translation-EN'!A1210)&gt;0,'Translation-EN'!A1210,"")</f>
        <v>Range</v>
      </c>
      <c r="B1210" s="888" t="str">
        <f>IF(LEN('Translation-EN'!B1210)&gt;0,'Translation-EN'!B1210,"")</f>
        <v>Garage</v>
      </c>
      <c r="C1210" s="888" t="str">
        <f>IF(LEN('Translation-EN'!C1210)&gt;0,'Translation-EN'!C1210,"")</f>
        <v>B488</v>
      </c>
      <c r="D1210" s="888" t="str">
        <f>IF(LEN('Translation-EN'!D1210)&gt;0,'Translation-EN'!D1210,"")</f>
        <v/>
      </c>
      <c r="E1210" s="962" t="str">
        <f>$E$955</f>
        <v>2x12 CHARPENTE EN BOIS</v>
      </c>
      <c r="I1210" s="888"/>
      <c r="J1210" s="888"/>
      <c r="K1210" s="888"/>
      <c r="L1210" s="888"/>
      <c r="M1210" s="888"/>
      <c r="N1210" s="888"/>
      <c r="O1210" s="888"/>
      <c r="P1210" s="888"/>
      <c r="Q1210" s="888"/>
      <c r="R1210" s="888"/>
    </row>
    <row r="1211" spans="1:18" s="893" customFormat="1" x14ac:dyDescent="0.3">
      <c r="A1211" s="888" t="str">
        <f>IF(LEN('Translation-EN'!A1211)&gt;0,'Translation-EN'!A1211,"")</f>
        <v>Range</v>
      </c>
      <c r="B1211" s="888" t="str">
        <f>IF(LEN('Translation-EN'!B1211)&gt;0,'Translation-EN'!B1211,"")</f>
        <v>_Garage</v>
      </c>
      <c r="C1211" s="888" t="str">
        <f>IF(LEN('Translation-EN'!C1211)&gt;0,'Translation-EN'!C1211,"")</f>
        <v>B413</v>
      </c>
      <c r="D1211" s="888" t="str">
        <f>IF(LEN('Translation-EN'!D1211)&gt;0,'Translation-EN'!D1211,"")</f>
        <v/>
      </c>
      <c r="E1211" s="893" t="str">
        <f>$E$950</f>
        <v>CHARPENTE EN BOIS</v>
      </c>
      <c r="I1211" s="888"/>
      <c r="J1211" s="888"/>
      <c r="K1211" s="888"/>
      <c r="L1211" s="888"/>
      <c r="M1211" s="888"/>
      <c r="N1211" s="888"/>
      <c r="O1211" s="888"/>
      <c r="P1211" s="888"/>
      <c r="Q1211" s="888"/>
      <c r="R1211" s="888"/>
    </row>
    <row r="1212" spans="1:18" s="893" customFormat="1" x14ac:dyDescent="0.3">
      <c r="A1212" s="888" t="str">
        <f>IF(LEN('Translation-EN'!A1212)&gt;0,'Translation-EN'!A1212,"")</f>
        <v>Range</v>
      </c>
      <c r="B1212" s="888" t="str">
        <f>IF(LEN('Translation-EN'!B1212)&gt;0,'Translation-EN'!B1212,"")</f>
        <v>Garage</v>
      </c>
      <c r="C1212" s="888" t="str">
        <f>IF(LEN('Translation-EN'!C1212)&gt;0,'Translation-EN'!C1212,"")</f>
        <v>B495</v>
      </c>
      <c r="D1212" s="888" t="str">
        <f>IF(LEN('Translation-EN'!D1212)&gt;0,'Translation-EN'!D1212,"")</f>
        <v/>
      </c>
      <c r="E1212" s="893" t="str">
        <f>$E$846</f>
        <v>CHARPENTE À TREILLIS EN BOIS</v>
      </c>
      <c r="I1212" s="888"/>
      <c r="J1212" s="888"/>
      <c r="K1212" s="888"/>
      <c r="L1212" s="888"/>
      <c r="M1212" s="888"/>
      <c r="N1212" s="888"/>
      <c r="O1212" s="888"/>
      <c r="P1212" s="888"/>
      <c r="Q1212" s="888"/>
      <c r="R1212" s="888"/>
    </row>
    <row r="1213" spans="1:18" s="893" customFormat="1" x14ac:dyDescent="0.3">
      <c r="A1213" s="888" t="str">
        <f>IF(LEN('Translation-EN'!A1213)&gt;0,'Translation-EN'!A1213,"")</f>
        <v>Range</v>
      </c>
      <c r="B1213" s="888" t="str">
        <f>IF(LEN('Translation-EN'!B1213)&gt;0,'Translation-EN'!B1213,"")</f>
        <v>Garage</v>
      </c>
      <c r="C1213" s="888" t="str">
        <f>IF(LEN('Translation-EN'!C1213)&gt;0,'Translation-EN'!C1213,"")</f>
        <v>B497</v>
      </c>
      <c r="D1213" s="888" t="str">
        <f>IF(LEN('Translation-EN'!D1213)&gt;0,'Translation-EN'!D1213,"")</f>
        <v/>
      </c>
      <c r="E1213" s="893" t="str">
        <f>$E$844</f>
        <v>CHARPENTE EN BOIS DE TYPE SOLIVE-I</v>
      </c>
      <c r="I1213" s="888"/>
      <c r="J1213" s="888"/>
      <c r="K1213" s="888"/>
      <c r="L1213" s="888"/>
      <c r="M1213" s="888"/>
      <c r="N1213" s="888"/>
      <c r="O1213" s="888"/>
      <c r="P1213" s="888"/>
      <c r="Q1213" s="888"/>
      <c r="R1213" s="888"/>
    </row>
    <row r="1214" spans="1:18" s="893" customFormat="1" x14ac:dyDescent="0.3">
      <c r="A1214" s="888" t="str">
        <f>IF(LEN('Translation-EN'!A1214)&gt;0,'Translation-EN'!A1214,"")</f>
        <v>Range</v>
      </c>
      <c r="B1214" s="888" t="str">
        <f>IF(LEN('Translation-EN'!B1214)&gt;0,'Translation-EN'!B1214,"")</f>
        <v>Garage</v>
      </c>
      <c r="C1214" s="888" t="str">
        <f>IF(LEN('Translation-EN'!C1214)&gt;0,'Translation-EN'!C1214,"")</f>
        <v>A508</v>
      </c>
      <c r="D1214" s="888" t="str">
        <f>IF(LEN('Translation-EN'!D1214)&gt;0,'Translation-EN'!D1214,"")</f>
        <v/>
      </c>
      <c r="E1214" s="893" t="str">
        <f>$E$959</f>
        <v>TERRASSE EN TOITURE</v>
      </c>
      <c r="I1214" s="888"/>
      <c r="J1214" s="888"/>
      <c r="K1214" s="888"/>
      <c r="L1214" s="888"/>
      <c r="M1214" s="888"/>
      <c r="N1214" s="888"/>
      <c r="O1214" s="888"/>
      <c r="P1214" s="888"/>
      <c r="Q1214" s="888"/>
      <c r="R1214" s="888"/>
    </row>
    <row r="1215" spans="1:18" s="893" customFormat="1" x14ac:dyDescent="0.3">
      <c r="A1215" s="888" t="str">
        <f>IF(LEN('Translation-EN'!A1215)&gt;0,'Translation-EN'!A1215,"")</f>
        <v>Range</v>
      </c>
      <c r="B1215" s="888" t="str">
        <f>IF(LEN('Translation-EN'!B1215)&gt;0,'Translation-EN'!B1215,"")</f>
        <v>Garage</v>
      </c>
      <c r="C1215" s="888" t="str">
        <f>IF(LEN('Translation-EN'!C1215)&gt;0,'Translation-EN'!C1215,"")</f>
        <v>B509</v>
      </c>
      <c r="D1215" s="888" t="str">
        <f>IF(LEN('Translation-EN'!D1215)&gt;0,'Translation-EN'!D1215,"")</f>
        <v/>
      </c>
      <c r="E1215" s="893" t="str">
        <f>$E$961</f>
        <v>PRODUITS EN FEUILLE DE BOIS –5/8 po</v>
      </c>
      <c r="I1215" s="888"/>
      <c r="J1215" s="888"/>
      <c r="K1215" s="888"/>
      <c r="L1215" s="888"/>
      <c r="M1215" s="888"/>
      <c r="N1215" s="888"/>
      <c r="O1215" s="888"/>
      <c r="P1215" s="888"/>
      <c r="Q1215" s="888"/>
      <c r="R1215" s="888"/>
    </row>
    <row r="1216" spans="1:18" s="893" customFormat="1" x14ac:dyDescent="0.3">
      <c r="A1216" s="888" t="str">
        <f>IF(LEN('Translation-EN'!A1216)&gt;0,'Translation-EN'!A1216,"")</f>
        <v>Range</v>
      </c>
      <c r="B1216" s="888" t="str">
        <f>IF(LEN('Translation-EN'!B1216)&gt;0,'Translation-EN'!B1216,"")</f>
        <v>Garage</v>
      </c>
      <c r="C1216" s="888" t="str">
        <f>IF(LEN('Translation-EN'!C1216)&gt;0,'Translation-EN'!C1216,"")</f>
        <v>B513</v>
      </c>
      <c r="D1216" s="888" t="str">
        <f>IF(LEN('Translation-EN'!D1216)&gt;0,'Translation-EN'!D1216,"")</f>
        <v/>
      </c>
      <c r="E1216" s="893" t="str">
        <f>$E$963</f>
        <v>PANNEAUX DE GYPSE 1/2 po</v>
      </c>
      <c r="I1216" s="888"/>
      <c r="J1216" s="888"/>
      <c r="K1216" s="888"/>
      <c r="L1216" s="888"/>
      <c r="M1216" s="888"/>
      <c r="N1216" s="888"/>
      <c r="O1216" s="888"/>
      <c r="P1216" s="888"/>
      <c r="Q1216" s="888"/>
      <c r="R1216" s="888"/>
    </row>
    <row r="1217" spans="1:18" s="893" customFormat="1" x14ac:dyDescent="0.3">
      <c r="A1217" s="888" t="str">
        <f>IF(LEN('Translation-EN'!A1217)&gt;0,'Translation-EN'!A1217,"")</f>
        <v>Range</v>
      </c>
      <c r="B1217" s="888" t="str">
        <f>IF(LEN('Translation-EN'!B1217)&gt;0,'Translation-EN'!B1217,"")</f>
        <v>Garage</v>
      </c>
      <c r="C1217" s="888" t="str">
        <f>IF(LEN('Translation-EN'!C1217)&gt;0,'Translation-EN'!C1217,"")</f>
        <v>A520</v>
      </c>
      <c r="D1217" s="888" t="str">
        <f>IF(LEN('Translation-EN'!D1217)&gt;0,'Translation-EN'!D1217,"")</f>
        <v/>
      </c>
      <c r="E1217" s="893" t="str">
        <f>$E$964</f>
        <v>MEMBRANE DE TOITURE</v>
      </c>
      <c r="I1217" s="888"/>
      <c r="J1217" s="888"/>
      <c r="K1217" s="888"/>
      <c r="L1217" s="888"/>
      <c r="M1217" s="888"/>
      <c r="N1217" s="888"/>
      <c r="O1217" s="888"/>
      <c r="P1217" s="888"/>
      <c r="Q1217" s="888"/>
      <c r="R1217" s="888"/>
    </row>
    <row r="1218" spans="1:18" s="893" customFormat="1" x14ac:dyDescent="0.3">
      <c r="A1218" s="888" t="str">
        <f>IF(LEN('Translation-EN'!A1218)&gt;0,'Translation-EN'!A1218,"")</f>
        <v>Range</v>
      </c>
      <c r="B1218" s="888" t="str">
        <f>IF(LEN('Translation-EN'!B1218)&gt;0,'Translation-EN'!B1218,"")</f>
        <v>Garage</v>
      </c>
      <c r="C1218" s="888" t="str">
        <f>IF(LEN('Translation-EN'!C1218)&gt;0,'Translation-EN'!C1218,"")</f>
        <v>B521</v>
      </c>
      <c r="D1218" s="888" t="str">
        <f>IF(LEN('Translation-EN'!D1218)&gt;0,'Translation-EN'!D1218,"")</f>
        <v/>
      </c>
      <c r="E1218" s="893" t="str">
        <f>$E$964</f>
        <v>MEMBRANE DE TOITURE</v>
      </c>
      <c r="I1218" s="888"/>
      <c r="J1218" s="888"/>
      <c r="K1218" s="888"/>
      <c r="L1218" s="888"/>
      <c r="M1218" s="888"/>
      <c r="N1218" s="888"/>
      <c r="O1218" s="888"/>
      <c r="P1218" s="888"/>
      <c r="Q1218" s="888"/>
      <c r="R1218" s="888"/>
    </row>
    <row r="1219" spans="1:18" s="893" customFormat="1" x14ac:dyDescent="0.3">
      <c r="A1219" s="888" t="str">
        <f>IF(LEN('Translation-EN'!A1219)&gt;0,'Translation-EN'!A1219,"")</f>
        <v>Range</v>
      </c>
      <c r="B1219" s="888" t="str">
        <f>IF(LEN('Translation-EN'!B1219)&gt;0,'Translation-EN'!B1219,"")</f>
        <v>Garage</v>
      </c>
      <c r="C1219" s="888" t="str">
        <f>IF(LEN('Translation-EN'!C1219)&gt;0,'Translation-EN'!C1219,"")</f>
        <v>B528</v>
      </c>
      <c r="D1219" s="888" t="str">
        <f>IF(LEN('Translation-EN'!D1219)&gt;0,'Translation-EN'!D1219,"")</f>
        <v/>
      </c>
      <c r="E1219" s="962" t="str">
        <f>$E$233</f>
        <v>BARRIÈRE EN FEUILLE</v>
      </c>
      <c r="I1219" s="888"/>
      <c r="J1219" s="888"/>
      <c r="K1219" s="888"/>
      <c r="L1219" s="888"/>
      <c r="M1219" s="888"/>
      <c r="N1219" s="888"/>
      <c r="O1219" s="888"/>
      <c r="P1219" s="888"/>
      <c r="Q1219" s="888"/>
      <c r="R1219" s="888"/>
    </row>
    <row r="1220" spans="1:18" s="893" customFormat="1" x14ac:dyDescent="0.3">
      <c r="A1220" s="888" t="str">
        <f>IF(LEN('Translation-EN'!A1220)&gt;0,'Translation-EN'!A1220,"")</f>
        <v>Range</v>
      </c>
      <c r="B1220" s="888" t="str">
        <f>IF(LEN('Translation-EN'!B1220)&gt;0,'Translation-EN'!B1220,"")</f>
        <v>Garage</v>
      </c>
      <c r="C1220" s="888" t="str">
        <f>IF(LEN('Translation-EN'!C1220)&gt;0,'Translation-EN'!C1220,"")</f>
        <v>C529</v>
      </c>
      <c r="D1220" s="888" t="str">
        <f>IF(LEN('Translation-EN'!D1220)&gt;0,'Translation-EN'!D1220,"")</f>
        <v/>
      </c>
      <c r="E1220" s="893" t="str">
        <f>$E$355</f>
        <v>Barrière en feuille – MOYENNE</v>
      </c>
      <c r="I1220" s="888"/>
      <c r="J1220" s="888"/>
      <c r="K1220" s="888"/>
      <c r="L1220" s="888"/>
      <c r="M1220" s="888"/>
      <c r="N1220" s="888"/>
      <c r="O1220" s="888"/>
      <c r="P1220" s="888"/>
      <c r="Q1220" s="888"/>
      <c r="R1220" s="888"/>
    </row>
    <row r="1221" spans="1:18" s="893" customFormat="1" x14ac:dyDescent="0.3">
      <c r="A1221" s="888" t="str">
        <f>IF(LEN('Translation-EN'!A1221)&gt;0,'Translation-EN'!A1221,"")</f>
        <v>Range</v>
      </c>
      <c r="B1221" s="888" t="str">
        <f>IF(LEN('Translation-EN'!B1221)&gt;0,'Translation-EN'!B1221,"")</f>
        <v>Garage</v>
      </c>
      <c r="C1221" s="888" t="str">
        <f>IF(LEN('Translation-EN'!C1221)&gt;0,'Translation-EN'!C1221,"")</f>
        <v>B537</v>
      </c>
      <c r="D1221" s="888" t="str">
        <f>IF(LEN('Translation-EN'!D1221)&gt;0,'Translation-EN'!D1221,"")</f>
        <v/>
      </c>
      <c r="E1221" s="893" t="str">
        <f>$E$234</f>
        <v>BARRIÈRE APPLIQUÉE LIQUIDE</v>
      </c>
      <c r="I1221" s="888"/>
      <c r="J1221" s="888"/>
      <c r="K1221" s="888"/>
      <c r="L1221" s="888"/>
      <c r="M1221" s="888"/>
      <c r="N1221" s="888"/>
      <c r="O1221" s="888"/>
      <c r="P1221" s="888"/>
      <c r="Q1221" s="888"/>
      <c r="R1221" s="888"/>
    </row>
    <row r="1222" spans="1:18" s="893" customFormat="1" x14ac:dyDescent="0.3">
      <c r="A1222" s="888" t="str">
        <f>IF(LEN('Translation-EN'!A1222)&gt;0,'Translation-EN'!A1222,"")</f>
        <v>Range</v>
      </c>
      <c r="B1222" s="888" t="str">
        <f>IF(LEN('Translation-EN'!B1222)&gt;0,'Translation-EN'!B1222,"")</f>
        <v>Garage</v>
      </c>
      <c r="C1222" s="888" t="str">
        <f>IF(LEN('Translation-EN'!C1222)&gt;0,'Translation-EN'!C1222,"")</f>
        <v>C538</v>
      </c>
      <c r="D1222" s="888" t="str">
        <f>IF(LEN('Translation-EN'!D1222)&gt;0,'Translation-EN'!D1222,"")</f>
        <v/>
      </c>
      <c r="E1222" s="962" t="str">
        <f>$E$357</f>
        <v>Barrière appliquée liquide – MOYENNE</v>
      </c>
      <c r="I1222" s="888"/>
      <c r="J1222" s="888"/>
      <c r="K1222" s="888"/>
      <c r="L1222" s="888"/>
      <c r="M1222" s="888"/>
      <c r="N1222" s="888"/>
      <c r="O1222" s="888"/>
      <c r="P1222" s="888"/>
      <c r="Q1222" s="888"/>
      <c r="R1222" s="888"/>
    </row>
    <row r="1223" spans="1:18" s="893" customFormat="1" x14ac:dyDescent="0.3">
      <c r="A1223" s="888" t="str">
        <f>IF(LEN('Translation-EN'!A1223)&gt;0,'Translation-EN'!A1223,"")</f>
        <v>Range</v>
      </c>
      <c r="B1223" s="888" t="str">
        <f>IF(LEN('Translation-EN'!B1223)&gt;0,'Translation-EN'!B1223,"")</f>
        <v>Garage</v>
      </c>
      <c r="C1223" s="888" t="str">
        <f>IF(LEN('Translation-EN'!C1223)&gt;0,'Translation-EN'!C1223,"")</f>
        <v>A541</v>
      </c>
      <c r="D1223" s="888" t="str">
        <f>IF(LEN('Translation-EN'!D1223)&gt;0,'Translation-EN'!D1223,"")</f>
        <v/>
      </c>
      <c r="E1223" s="893" t="str">
        <f>$E$970</f>
        <v>GRADATION DE LA TOITURE</v>
      </c>
      <c r="I1223" s="888"/>
      <c r="J1223" s="888"/>
      <c r="K1223" s="888"/>
      <c r="L1223" s="888"/>
      <c r="M1223" s="888"/>
      <c r="N1223" s="888"/>
      <c r="O1223" s="888"/>
      <c r="P1223" s="888"/>
      <c r="Q1223" s="888"/>
      <c r="R1223" s="888"/>
    </row>
    <row r="1224" spans="1:18" s="893" customFormat="1" x14ac:dyDescent="0.3">
      <c r="A1224" s="888" t="str">
        <f>IF(LEN('Translation-EN'!A1224)&gt;0,'Translation-EN'!A1224,"")</f>
        <v>Range</v>
      </c>
      <c r="B1224" s="888" t="str">
        <f>IF(LEN('Translation-EN'!B1224)&gt;0,'Translation-EN'!B1224,"")</f>
        <v>Garage</v>
      </c>
      <c r="C1224" s="888" t="str">
        <f>IF(LEN('Translation-EN'!C1224)&gt;0,'Translation-EN'!C1224,"")</f>
        <v>D541</v>
      </c>
      <c r="D1224" s="888" t="str">
        <f>IF(LEN('Translation-EN'!D1224)&gt;0,'Translation-EN'!D1224,"")</f>
        <v/>
      </c>
      <c r="E1224" s="893" t="str">
        <f>$E$724</f>
        <v>ESPACEMENT DES TASSEAUX</v>
      </c>
      <c r="I1224" s="888"/>
      <c r="J1224" s="888"/>
      <c r="K1224" s="888"/>
      <c r="L1224" s="888"/>
      <c r="M1224" s="888"/>
      <c r="N1224" s="888"/>
      <c r="O1224" s="888"/>
      <c r="P1224" s="888"/>
      <c r="Q1224" s="888"/>
      <c r="R1224" s="888"/>
    </row>
    <row r="1225" spans="1:18" s="893" customFormat="1" x14ac:dyDescent="0.3">
      <c r="A1225" s="888" t="str">
        <f>IF(LEN('Translation-EN'!A1225)&gt;0,'Translation-EN'!A1225,"")</f>
        <v>Range</v>
      </c>
      <c r="B1225" s="888" t="str">
        <f>IF(LEN('Translation-EN'!B1225)&gt;0,'Translation-EN'!B1225,"")</f>
        <v>Garage</v>
      </c>
      <c r="C1225" s="888" t="str">
        <f>IF(LEN('Translation-EN'!C1225)&gt;0,'Translation-EN'!C1225,"")</f>
        <v>B542</v>
      </c>
      <c r="D1225" s="888" t="str">
        <f>IF(LEN('Translation-EN'!D1225)&gt;0,'Translation-EN'!D1225,"")</f>
        <v/>
      </c>
      <c r="E1225" s="962" t="str">
        <f>$E$973</f>
        <v>1x3 FOURURES DE BOIS</v>
      </c>
      <c r="I1225" s="888"/>
      <c r="J1225" s="888"/>
      <c r="K1225" s="888"/>
      <c r="L1225" s="888"/>
      <c r="M1225" s="888"/>
      <c r="N1225" s="888"/>
      <c r="O1225" s="888"/>
      <c r="P1225" s="888"/>
      <c r="Q1225" s="888"/>
      <c r="R1225" s="888"/>
    </row>
    <row r="1226" spans="1:18" s="893" customFormat="1" x14ac:dyDescent="0.3">
      <c r="A1226" s="888" t="str">
        <f>IF(LEN('Translation-EN'!A1226)&gt;0,'Translation-EN'!A1226,"")</f>
        <v>Range</v>
      </c>
      <c r="B1226" s="888" t="str">
        <f>IF(LEN('Translation-EN'!B1226)&gt;0,'Translation-EN'!B1226,"")</f>
        <v>Garage</v>
      </c>
      <c r="C1226" s="888" t="str">
        <f>IF(LEN('Translation-EN'!C1226)&gt;0,'Translation-EN'!C1226,"")</f>
        <v>B549</v>
      </c>
      <c r="D1226" s="888" t="str">
        <f>IF(LEN('Translation-EN'!D1226)&gt;0,'Translation-EN'!D1226,"")</f>
        <v/>
      </c>
      <c r="E1226" s="962" t="str">
        <f>$E$974</f>
        <v>1x4 FOURURES DE BOIS</v>
      </c>
      <c r="I1226" s="888"/>
      <c r="J1226" s="888"/>
      <c r="K1226" s="888"/>
      <c r="L1226" s="888"/>
      <c r="M1226" s="888"/>
      <c r="N1226" s="888"/>
      <c r="O1226" s="888"/>
      <c r="P1226" s="888"/>
      <c r="Q1226" s="888"/>
      <c r="R1226" s="888"/>
    </row>
    <row r="1227" spans="1:18" s="893" customFormat="1" x14ac:dyDescent="0.3">
      <c r="A1227" s="888" t="str">
        <f>IF(LEN('Translation-EN'!A1227)&gt;0,'Translation-EN'!A1227,"")</f>
        <v>Range</v>
      </c>
      <c r="B1227" s="888" t="str">
        <f>IF(LEN('Translation-EN'!B1227)&gt;0,'Translation-EN'!B1227,"")</f>
        <v>Garage</v>
      </c>
      <c r="C1227" s="888" t="str">
        <f>IF(LEN('Translation-EN'!C1227)&gt;0,'Translation-EN'!C1227,"")</f>
        <v>B556</v>
      </c>
      <c r="D1227" s="888" t="str">
        <f>IF(LEN('Translation-EN'!D1227)&gt;0,'Translation-EN'!D1227,"")</f>
        <v/>
      </c>
      <c r="E1227" s="962" t="str">
        <f>$E$975</f>
        <v>2x4 FOURURES DE BOIS</v>
      </c>
      <c r="I1227" s="888"/>
      <c r="J1227" s="888"/>
      <c r="K1227" s="888"/>
      <c r="L1227" s="888"/>
      <c r="M1227" s="888"/>
      <c r="N1227" s="888"/>
      <c r="O1227" s="888"/>
      <c r="P1227" s="888"/>
      <c r="Q1227" s="888"/>
      <c r="R1227" s="888"/>
    </row>
    <row r="1228" spans="1:18" s="893" customFormat="1" x14ac:dyDescent="0.3">
      <c r="A1228" s="888" t="str">
        <f>IF(LEN('Translation-EN'!A1228)&gt;0,'Translation-EN'!A1228,"")</f>
        <v>Range</v>
      </c>
      <c r="B1228" s="888" t="str">
        <f>IF(LEN('Translation-EN'!B1228)&gt;0,'Translation-EN'!B1228,"")</f>
        <v>_Garage</v>
      </c>
      <c r="C1228" s="888" t="str">
        <f>IF(LEN('Translation-EN'!C1228)&gt;0,'Translation-EN'!C1228,"")</f>
        <v>B449</v>
      </c>
      <c r="D1228" s="888" t="str">
        <f>IF(LEN('Translation-EN'!D1228)&gt;0,'Translation-EN'!D1228,"")</f>
        <v/>
      </c>
      <c r="E1228" s="893" t="str">
        <f>$E$972</f>
        <v>GRADATION DU BOIS</v>
      </c>
      <c r="I1228" s="888"/>
      <c r="J1228" s="888"/>
      <c r="K1228" s="888"/>
      <c r="L1228" s="888"/>
      <c r="M1228" s="888"/>
      <c r="N1228" s="888"/>
      <c r="O1228" s="888"/>
      <c r="P1228" s="888"/>
      <c r="Q1228" s="888"/>
      <c r="R1228" s="888"/>
    </row>
    <row r="1229" spans="1:18" s="893" customFormat="1" x14ac:dyDescent="0.3">
      <c r="A1229" s="888" t="str">
        <f>IF(LEN('Translation-EN'!A1229)&gt;0,'Translation-EN'!A1229,"")</f>
        <v>Range</v>
      </c>
      <c r="B1229" s="888" t="str">
        <f>IF(LEN('Translation-EN'!B1229)&gt;0,'Translation-EN'!B1229,"")</f>
        <v>Garage</v>
      </c>
      <c r="C1229" s="888" t="str">
        <f>IF(LEN('Translation-EN'!C1229)&gt;0,'Translation-EN'!C1229,"")</f>
        <v>A563</v>
      </c>
      <c r="D1229" s="888" t="str">
        <f>IF(LEN('Translation-EN'!D1229)&gt;0,'Translation-EN'!D1229,"")</f>
        <v/>
      </c>
      <c r="E1229" s="893" t="str">
        <f>$E$976</f>
        <v>TOITURE</v>
      </c>
      <c r="I1229" s="888"/>
      <c r="J1229" s="888"/>
      <c r="K1229" s="888"/>
      <c r="L1229" s="888"/>
      <c r="M1229" s="888"/>
      <c r="N1229" s="888"/>
      <c r="O1229" s="888"/>
      <c r="P1229" s="888"/>
      <c r="Q1229" s="888"/>
      <c r="R1229" s="888"/>
    </row>
    <row r="1230" spans="1:18" s="893" customFormat="1" x14ac:dyDescent="0.3">
      <c r="A1230" s="888" t="str">
        <f>IF(LEN('Translation-EN'!A1230)&gt;0,'Translation-EN'!A1230,"")</f>
        <v>Range</v>
      </c>
      <c r="B1230" s="888" t="str">
        <f>IF(LEN('Translation-EN'!B1230)&gt;0,'Translation-EN'!B1230,"")</f>
        <v>Garage</v>
      </c>
      <c r="C1230" s="888" t="str">
        <f>IF(LEN('Translation-EN'!C1230)&gt;0,'Translation-EN'!C1230,"")</f>
        <v>B564</v>
      </c>
      <c r="D1230" s="888" t="str">
        <f>IF(LEN('Translation-EN'!D1230)&gt;0,'Translation-EN'!D1230,"")</f>
        <v/>
      </c>
      <c r="E1230" s="893" t="str">
        <f>$E$977</f>
        <v>BARDEAUX D’ASPHALTE</v>
      </c>
      <c r="I1230" s="888"/>
      <c r="J1230" s="888"/>
      <c r="K1230" s="888"/>
      <c r="L1230" s="888"/>
      <c r="M1230" s="888"/>
      <c r="N1230" s="888"/>
      <c r="O1230" s="888"/>
      <c r="P1230" s="888"/>
      <c r="Q1230" s="888"/>
      <c r="R1230" s="888"/>
    </row>
    <row r="1231" spans="1:18" s="893" customFormat="1" x14ac:dyDescent="0.3">
      <c r="A1231" s="888" t="str">
        <f>IF(LEN('Translation-EN'!A1231)&gt;0,'Translation-EN'!A1231,"")</f>
        <v>Range</v>
      </c>
      <c r="B1231" s="888" t="str">
        <f>IF(LEN('Translation-EN'!B1231)&gt;0,'Translation-EN'!B1231,"")</f>
        <v>Garage</v>
      </c>
      <c r="C1231" s="888" t="str">
        <f>IF(LEN('Translation-EN'!C1231)&gt;0,'Translation-EN'!C1231,"")</f>
        <v>C565</v>
      </c>
      <c r="D1231" s="888" t="str">
        <f>IF(LEN('Translation-EN'!D1231)&gt;0,'Translation-EN'!D1231,"")</f>
        <v/>
      </c>
      <c r="E1231" s="893" t="str">
        <f>$E$978</f>
        <v>Bardeaux d’asphalte – Toitures – MOYENNE</v>
      </c>
      <c r="I1231" s="888"/>
      <c r="J1231" s="888"/>
      <c r="K1231" s="888"/>
      <c r="L1231" s="888"/>
      <c r="M1231" s="888"/>
      <c r="N1231" s="888"/>
      <c r="O1231" s="888"/>
      <c r="P1231" s="888"/>
      <c r="Q1231" s="888"/>
      <c r="R1231" s="888"/>
    </row>
    <row r="1232" spans="1:18" s="893" customFormat="1" x14ac:dyDescent="0.3">
      <c r="A1232" s="888" t="str">
        <f>IF(LEN('Translation-EN'!A1232)&gt;0,'Translation-EN'!A1232,"")</f>
        <v>Range</v>
      </c>
      <c r="B1232" s="888" t="str">
        <f>IF(LEN('Translation-EN'!B1232)&gt;0,'Translation-EN'!B1232,"")</f>
        <v>Garage</v>
      </c>
      <c r="C1232" s="888" t="str">
        <f>IF(LEN('Translation-EN'!C1232)&gt;0,'Translation-EN'!C1232,"")</f>
        <v>B579</v>
      </c>
      <c r="D1232" s="888" t="str">
        <f>IF(LEN('Translation-EN'!D1232)&gt;0,'Translation-EN'!D1232,"")</f>
        <v/>
      </c>
      <c r="E1232" s="893" t="str">
        <f>$E$979</f>
        <v>PLAQUE DE TOITURE D’ACIER</v>
      </c>
      <c r="I1232" s="888"/>
      <c r="J1232" s="888"/>
      <c r="K1232" s="888"/>
      <c r="L1232" s="888"/>
      <c r="M1232" s="888"/>
      <c r="N1232" s="888"/>
      <c r="O1232" s="888"/>
      <c r="P1232" s="888"/>
      <c r="Q1232" s="888"/>
      <c r="R1232" s="888"/>
    </row>
    <row r="1233" spans="1:18" s="893" customFormat="1" x14ac:dyDescent="0.3">
      <c r="A1233" s="888" t="str">
        <f>IF(LEN('Translation-EN'!A1233)&gt;0,'Translation-EN'!A1233,"")</f>
        <v>Range</v>
      </c>
      <c r="B1233" s="888" t="str">
        <f>IF(LEN('Translation-EN'!B1233)&gt;0,'Translation-EN'!B1233,"")</f>
        <v>Garage</v>
      </c>
      <c r="C1233" s="888" t="str">
        <f>IF(LEN('Translation-EN'!C1233)&gt;0,'Translation-EN'!C1233,"")</f>
        <v>C580</v>
      </c>
      <c r="D1233" s="888" t="str">
        <f>IF(LEN('Translation-EN'!D1233)&gt;0,'Translation-EN'!D1233,"")</f>
        <v/>
      </c>
      <c r="E1233" s="893" t="str">
        <f>$E$980</f>
        <v>Plaque de toiture d’acier – toiture – MOYENNE</v>
      </c>
      <c r="I1233" s="888"/>
      <c r="J1233" s="888"/>
      <c r="K1233" s="888"/>
      <c r="L1233" s="888"/>
      <c r="M1233" s="888"/>
      <c r="N1233" s="888"/>
      <c r="O1233" s="888"/>
      <c r="P1233" s="888"/>
      <c r="Q1233" s="888"/>
      <c r="R1233" s="888"/>
    </row>
    <row r="1234" spans="1:18" s="893" customFormat="1" x14ac:dyDescent="0.3">
      <c r="A1234" s="888" t="str">
        <f>IF(LEN('Translation-EN'!A1234)&gt;0,'Translation-EN'!A1234,"")</f>
        <v>Range</v>
      </c>
      <c r="B1234" s="888" t="str">
        <f>IF(LEN('Translation-EN'!B1234)&gt;0,'Translation-EN'!B1234,"")</f>
        <v>Garage</v>
      </c>
      <c r="C1234" s="888" t="str">
        <f>IF(LEN('Translation-EN'!C1234)&gt;0,'Translation-EN'!C1234,"")</f>
        <v>B587</v>
      </c>
      <c r="D1234" s="888" t="str">
        <f>IF(LEN('Translation-EN'!D1234)&gt;0,'Translation-EN'!D1234,"")</f>
        <v/>
      </c>
      <c r="E1234" s="893" t="str">
        <f>$E$981</f>
        <v>PLAQUE DE TOITURE D'ALUMINIUM</v>
      </c>
      <c r="I1234" s="888"/>
      <c r="J1234" s="888"/>
      <c r="K1234" s="888"/>
      <c r="L1234" s="888"/>
      <c r="M1234" s="888"/>
      <c r="N1234" s="888"/>
      <c r="O1234" s="888"/>
      <c r="P1234" s="888"/>
      <c r="Q1234" s="888"/>
      <c r="R1234" s="888"/>
    </row>
    <row r="1235" spans="1:18" s="893" customFormat="1" x14ac:dyDescent="0.3">
      <c r="A1235" s="888" t="str">
        <f>IF(LEN('Translation-EN'!A1235)&gt;0,'Translation-EN'!A1235,"")</f>
        <v>Range</v>
      </c>
      <c r="B1235" s="888" t="str">
        <f>IF(LEN('Translation-EN'!B1235)&gt;0,'Translation-EN'!B1235,"")</f>
        <v>Garage</v>
      </c>
      <c r="C1235" s="888" t="str">
        <f>IF(LEN('Translation-EN'!C1235)&gt;0,'Translation-EN'!C1235,"")</f>
        <v>C588</v>
      </c>
      <c r="D1235" s="888" t="str">
        <f>IF(LEN('Translation-EN'!D1235)&gt;0,'Translation-EN'!D1235,"")</f>
        <v/>
      </c>
      <c r="E1235" s="893" t="str">
        <f>$E$982</f>
        <v>Bardage en plaque d’aluminium – MOYENNE</v>
      </c>
      <c r="I1235" s="888"/>
      <c r="J1235" s="888"/>
      <c r="K1235" s="888"/>
      <c r="L1235" s="888"/>
      <c r="M1235" s="888"/>
      <c r="N1235" s="888"/>
      <c r="O1235" s="888"/>
      <c r="P1235" s="888"/>
      <c r="Q1235" s="888"/>
      <c r="R1235" s="888"/>
    </row>
    <row r="1236" spans="1:18" s="893" customFormat="1" x14ac:dyDescent="0.3">
      <c r="A1236" s="888" t="str">
        <f>IF(LEN('Translation-EN'!A1236)&gt;0,'Translation-EN'!A1236,"")</f>
        <v>Range</v>
      </c>
      <c r="B1236" s="888" t="str">
        <f>IF(LEN('Translation-EN'!B1236)&gt;0,'Translation-EN'!B1236,"")</f>
        <v>Garage</v>
      </c>
      <c r="C1236" s="888" t="str">
        <f>IF(LEN('Translation-EN'!C1236)&gt;0,'Translation-EN'!C1236,"")</f>
        <v>B591</v>
      </c>
      <c r="D1236" s="888" t="str">
        <f>IF(LEN('Translation-EN'!D1236)&gt;0,'Translation-EN'!D1236,"")</f>
        <v/>
      </c>
      <c r="E1236" s="893" t="str">
        <f>$E$983</f>
        <v>TOITURE EN FIBROCIMENT</v>
      </c>
      <c r="I1236" s="888"/>
      <c r="J1236" s="888"/>
      <c r="K1236" s="888"/>
      <c r="L1236" s="888"/>
      <c r="M1236" s="888"/>
      <c r="N1236" s="888"/>
      <c r="O1236" s="888"/>
      <c r="P1236" s="888"/>
      <c r="Q1236" s="888"/>
      <c r="R1236" s="888"/>
    </row>
    <row r="1237" spans="1:18" s="893" customFormat="1" x14ac:dyDescent="0.3">
      <c r="A1237" s="888" t="str">
        <f>IF(LEN('Translation-EN'!A1237)&gt;0,'Translation-EN'!A1237,"")</f>
        <v>Range</v>
      </c>
      <c r="B1237" s="888" t="str">
        <f>IF(LEN('Translation-EN'!B1237)&gt;0,'Translation-EN'!B1237,"")</f>
        <v>Garage</v>
      </c>
      <c r="C1237" s="888" t="str">
        <f>IF(LEN('Translation-EN'!C1237)&gt;0,'Translation-EN'!C1237,"")</f>
        <v>C592</v>
      </c>
      <c r="D1237" s="888" t="str">
        <f>IF(LEN('Translation-EN'!D1237)&gt;0,'Translation-EN'!D1237,"")</f>
        <v/>
      </c>
      <c r="E1237" s="893" t="str">
        <f>$E$984</f>
        <v>Bardage en fibrociment – MOYENNE</v>
      </c>
      <c r="I1237" s="888"/>
      <c r="J1237" s="888"/>
      <c r="K1237" s="888"/>
      <c r="L1237" s="888"/>
      <c r="M1237" s="888"/>
      <c r="N1237" s="888"/>
      <c r="O1237" s="888"/>
      <c r="P1237" s="888"/>
      <c r="Q1237" s="888"/>
      <c r="R1237" s="888"/>
    </row>
    <row r="1238" spans="1:18" s="893" customFormat="1" x14ac:dyDescent="0.3">
      <c r="A1238" s="888" t="str">
        <f>IF(LEN('Translation-EN'!A1238)&gt;0,'Translation-EN'!A1238,"")</f>
        <v>Range</v>
      </c>
      <c r="B1238" s="888" t="str">
        <f>IF(LEN('Translation-EN'!B1238)&gt;0,'Translation-EN'!B1238,"")</f>
        <v>Garage</v>
      </c>
      <c r="C1238" s="888" t="str">
        <f>IF(LEN('Translation-EN'!C1238)&gt;0,'Translation-EN'!C1238,"")</f>
        <v>B595</v>
      </c>
      <c r="D1238" s="888" t="str">
        <f>IF(LEN('Translation-EN'!D1238)&gt;0,'Translation-EN'!D1238,"")</f>
        <v/>
      </c>
      <c r="E1238" s="893" t="str">
        <f>$E$985</f>
        <v>AUTRES OPTIONS DE TOITURE</v>
      </c>
      <c r="I1238" s="888"/>
      <c r="J1238" s="888"/>
      <c r="K1238" s="888"/>
      <c r="L1238" s="888"/>
      <c r="M1238" s="888"/>
      <c r="N1238" s="888"/>
      <c r="O1238" s="888"/>
      <c r="P1238" s="888"/>
      <c r="Q1238" s="888"/>
      <c r="R1238" s="888"/>
    </row>
    <row r="1239" spans="1:18" x14ac:dyDescent="0.3">
      <c r="A1239" s="888" t="str">
        <f>IF(LEN('Translation-EN'!A1239)&gt;0,'Translation-EN'!A1239,"")</f>
        <v>Range</v>
      </c>
      <c r="B1239" s="888" t="str">
        <f>IF(LEN('Translation-EN'!B1239)&gt;0,'Translation-EN'!B1239,"")</f>
        <v>User-Defined</v>
      </c>
      <c r="C1239" s="888" t="str">
        <f>IF(LEN('Translation-EN'!C1239)&gt;0,'Translation-EN'!C1239,"")</f>
        <v>A1</v>
      </c>
      <c r="D1239" s="888" t="str">
        <f>IF(LEN('Translation-EN'!D1239)&gt;0,'Translation-EN'!D1239,"")</f>
        <v/>
      </c>
      <c r="E1239" s="893" t="s">
        <v>3118</v>
      </c>
    </row>
    <row r="1240" spans="1:18" x14ac:dyDescent="0.3">
      <c r="A1240" s="888" t="str">
        <f>IF(LEN('Translation-EN'!A1240)&gt;0,'Translation-EN'!A1240,"")</f>
        <v>Range</v>
      </c>
      <c r="B1240" s="888" t="str">
        <f>IF(LEN('Translation-EN'!B1240)&gt;0,'Translation-EN'!B1240,"")</f>
        <v>User-Defined</v>
      </c>
      <c r="C1240" s="888" t="str">
        <f>IF(LEN('Translation-EN'!C1240)&gt;0,'Translation-EN'!C1240,"")</f>
        <v>E1</v>
      </c>
      <c r="D1240" s="888" t="str">
        <f>IF(LEN('Translation-EN'!D1240)&gt;0,'Translation-EN'!D1240,"")</f>
        <v/>
      </c>
      <c r="E1240" s="893" t="s">
        <v>3119</v>
      </c>
    </row>
    <row r="1241" spans="1:18" ht="176.25" customHeight="1" x14ac:dyDescent="0.3">
      <c r="A1241" s="888" t="str">
        <f>IF(LEN('Translation-EN'!A1241)&gt;0,'Translation-EN'!A1241,"")</f>
        <v>Range</v>
      </c>
      <c r="B1241" s="888" t="str">
        <f>IF(LEN('Translation-EN'!B1241)&gt;0,'Translation-EN'!B1241,"")</f>
        <v>User-Defined</v>
      </c>
      <c r="C1241" s="888" t="str">
        <f>IF(LEN('Translation-EN'!C1241)&gt;0,'Translation-EN'!C1241,"")</f>
        <v>B2</v>
      </c>
      <c r="D1241" s="888" t="b">
        <f>IF(LEN('Translation-EN'!D1241)&gt;0,'Translation-EN'!D1241,"")</f>
        <v>1</v>
      </c>
      <c r="E1241" s="1698" t="s">
        <v>5125</v>
      </c>
      <c r="F1241" s="1699"/>
      <c r="G1241" s="1699"/>
      <c r="H1241" s="1699"/>
    </row>
    <row r="1242" spans="1:18" ht="136.5" customHeight="1" x14ac:dyDescent="0.3">
      <c r="A1242" s="888" t="str">
        <f>IF(LEN('Translation-EN'!A1242)&gt;0,'Translation-EN'!A1242,"")</f>
        <v>Range</v>
      </c>
      <c r="B1242" s="888" t="str">
        <f>IF(LEN('Translation-EN'!B1242)&gt;0,'Translation-EN'!B1242,"")</f>
        <v>User-Defined</v>
      </c>
      <c r="C1242" s="888" t="str">
        <f>IF(LEN('Translation-EN'!C1242)&gt;0,'Translation-EN'!C1242,"")</f>
        <v>F2</v>
      </c>
      <c r="D1242" s="888" t="b">
        <f>IF(LEN('Translation-EN'!D1242)&gt;0,'Translation-EN'!D1242,"")</f>
        <v>1</v>
      </c>
      <c r="E1242" s="1673" t="s">
        <v>3120</v>
      </c>
      <c r="F1242" s="1673"/>
      <c r="G1242" s="1673"/>
      <c r="H1242" s="1673"/>
      <c r="I1242" s="1673"/>
      <c r="J1242" s="1673"/>
      <c r="K1242" s="1673"/>
      <c r="L1242" s="1673"/>
    </row>
    <row r="1243" spans="1:18" ht="69.75" customHeight="1" x14ac:dyDescent="0.3">
      <c r="A1243" s="888" t="str">
        <f>IF(LEN('Translation-EN'!A1243)&gt;0,'Translation-EN'!A1243,"")</f>
        <v>Range</v>
      </c>
      <c r="B1243" s="888" t="str">
        <f>IF(LEN('Translation-EN'!B1243)&gt;0,'Translation-EN'!B1243,"")</f>
        <v>User-Defined</v>
      </c>
      <c r="C1243" s="888" t="str">
        <f>IF(LEN('Translation-EN'!C1243)&gt;0,'Translation-EN'!C1243,"")</f>
        <v>P2</v>
      </c>
      <c r="D1243" s="888" t="b">
        <f>IF(LEN('Translation-EN'!D1243)&gt;0,'Translation-EN'!D1243,"")</f>
        <v>1</v>
      </c>
      <c r="E1243" s="1697" t="s">
        <v>3121</v>
      </c>
      <c r="F1243" s="1673"/>
    </row>
    <row r="1244" spans="1:18" x14ac:dyDescent="0.3">
      <c r="A1244" s="888" t="str">
        <f>IF(LEN('Translation-EN'!A1244)&gt;0,'Translation-EN'!A1244,"")</f>
        <v>Range</v>
      </c>
      <c r="B1244" s="888" t="str">
        <f>IF(LEN('Translation-EN'!B1244)&gt;0,'Translation-EN'!B1244,"")</f>
        <v>User-Defined</v>
      </c>
      <c r="C1244" s="888" t="str">
        <f>IF(LEN('Translation-EN'!C1244)&gt;0,'Translation-EN'!C1244,"")</f>
        <v>A3</v>
      </c>
      <c r="D1244" s="888" t="str">
        <f>IF(LEN('Translation-EN'!D1244)&gt;0,'Translation-EN'!D1244,"")</f>
        <v/>
      </c>
      <c r="E1244" s="888" t="str">
        <f>$E$170</f>
        <v>CATÉGORIE</v>
      </c>
    </row>
    <row r="1245" spans="1:18" x14ac:dyDescent="0.3">
      <c r="A1245" s="888" t="str">
        <f>IF(LEN('Translation-EN'!A1245)&gt;0,'Translation-EN'!A1245,"")</f>
        <v>Range</v>
      </c>
      <c r="B1245" s="888" t="str">
        <f>IF(LEN('Translation-EN'!B1245)&gt;0,'Translation-EN'!B1245,"")</f>
        <v>User-Defined</v>
      </c>
      <c r="C1245" s="888" t="str">
        <f>IF(LEN('Translation-EN'!C1245)&gt;0,'Translation-EN'!C1245,"")</f>
        <v>D3</v>
      </c>
      <c r="D1245" s="888" t="str">
        <f>IF(LEN('Translation-EN'!D1245)&gt;0,'Translation-EN'!D1245,"")</f>
        <v/>
      </c>
      <c r="E1245" s="893" t="str">
        <f>$E$171</f>
        <v>MATÉRIAU</v>
      </c>
    </row>
    <row r="1246" spans="1:18" x14ac:dyDescent="0.3">
      <c r="A1246" s="888" t="str">
        <f>IF(LEN('Translation-EN'!A1246)&gt;0,'Translation-EN'!A1246,"")</f>
        <v>Range</v>
      </c>
      <c r="B1246" s="888" t="str">
        <f>IF(LEN('Translation-EN'!B1246)&gt;0,'Translation-EN'!B1246,"")</f>
        <v>User-Defined</v>
      </c>
      <c r="C1246" s="888" t="str">
        <f>IF(LEN('Translation-EN'!C1246)&gt;0,'Translation-EN'!C1246,"")</f>
        <v>E3</v>
      </c>
      <c r="D1246" s="888" t="str">
        <f>IF(LEN('Translation-EN'!D1246)&gt;0,'Translation-EN'!D1246,"")</f>
        <v/>
      </c>
      <c r="E1246" s="893" t="str">
        <f>$E$127</f>
        <v>QUANTITÉ</v>
      </c>
    </row>
    <row r="1247" spans="1:18" x14ac:dyDescent="0.3">
      <c r="A1247" s="888" t="str">
        <f>IF(LEN('Translation-EN'!A1247)&gt;0,'Translation-EN'!A1247,"")</f>
        <v>Range</v>
      </c>
      <c r="B1247" s="888" t="str">
        <f>IF(LEN('Translation-EN'!B1247)&gt;0,'Translation-EN'!B1247,"")</f>
        <v>User-Defined</v>
      </c>
      <c r="C1247" s="888" t="str">
        <f>IF(LEN('Translation-EN'!C1247)&gt;0,'Translation-EN'!C1247,"")</f>
        <v>F3</v>
      </c>
      <c r="D1247" s="888" t="str">
        <f>IF(LEN('Translation-EN'!D1247)&gt;0,'Translation-EN'!D1247,"")</f>
        <v/>
      </c>
      <c r="E1247" s="888" t="str">
        <f>$E$77</f>
        <v>UNITÉ</v>
      </c>
    </row>
    <row r="1248" spans="1:18" x14ac:dyDescent="0.3">
      <c r="A1248" s="888" t="str">
        <f>IF(LEN('Translation-EN'!A1248)&gt;0,'Translation-EN'!A1248,"")</f>
        <v>Range</v>
      </c>
      <c r="B1248" s="888" t="str">
        <f>IF(LEN('Translation-EN'!B1248)&gt;0,'Translation-EN'!B1248,"")</f>
        <v>User-Defined</v>
      </c>
      <c r="C1248" s="888" t="str">
        <f>IF(LEN('Translation-EN'!C1248)&gt;0,'Translation-EN'!C1248,"")</f>
        <v>I3</v>
      </c>
      <c r="D1248" s="888" t="str">
        <f>IF(LEN('Translation-EN'!D1248)&gt;0,'Translation-EN'!D1248,"")</f>
        <v/>
      </c>
      <c r="E1248" s="888" t="str">
        <f>$E$173</f>
        <v xml:space="preserve"> SÉLECTIONNER</v>
      </c>
    </row>
    <row r="1249" spans="1:18" ht="15" customHeight="1" x14ac:dyDescent="0.3">
      <c r="A1249" s="888" t="str">
        <f>IF(LEN('Translation-EN'!A1249)&gt;0,'Translation-EN'!A1249,"")</f>
        <v>Range</v>
      </c>
      <c r="B1249" s="888" t="str">
        <f>IF(LEN('Translation-EN'!B1249)&gt;0,'Translation-EN'!B1249,"")</f>
        <v>_User-Defined</v>
      </c>
      <c r="C1249" s="888" t="str">
        <f>IF(LEN('Translation-EN'!C1249)&gt;0,'Translation-EN'!C1249,"")</f>
        <v>J3</v>
      </c>
      <c r="D1249" s="888" t="b">
        <f>IF(LEN('Translation-EN'!D1249)&gt;0,'Translation-EN'!D1249,"")</f>
        <v>1</v>
      </c>
      <c r="E1249" s="1669" t="str">
        <f>$E$174</f>
        <v>ÉMISSIONS NETTES kgCO2e</v>
      </c>
    </row>
    <row r="1250" spans="1:18" ht="15" customHeight="1" x14ac:dyDescent="0.3">
      <c r="A1250" s="888" t="str">
        <f>IF(LEN('Translation-EN'!A1250)&gt;0,'Translation-EN'!A1250,"")</f>
        <v>-</v>
      </c>
      <c r="B1250" s="888" t="str">
        <f>IF(LEN('Translation-EN'!B1250)&gt;0,'Translation-EN'!B1250,"")</f>
        <v/>
      </c>
      <c r="C1250" s="888" t="str">
        <f>IF(LEN('Translation-EN'!C1250)&gt;0,'Translation-EN'!C1250,"")</f>
        <v/>
      </c>
      <c r="D1250" s="888" t="str">
        <f>IF(LEN('Translation-EN'!D1250)&gt;0,'Translation-EN'!D1250,"")</f>
        <v/>
      </c>
      <c r="E1250" s="1670"/>
    </row>
    <row r="1251" spans="1:18" ht="23.25" customHeight="1" x14ac:dyDescent="0.3">
      <c r="A1251" s="888" t="str">
        <f>IF(LEN('Translation-EN'!A1251)&gt;0,'Translation-EN'!A1251,"")</f>
        <v>Range</v>
      </c>
      <c r="B1251" s="888" t="str">
        <f>IF(LEN('Translation-EN'!B1251)&gt;0,'Translation-EN'!B1251,"")</f>
        <v>_User-Defined</v>
      </c>
      <c r="C1251" s="888" t="str">
        <f>IF(LEN('Translation-EN'!C1251)&gt;0,'Translation-EN'!C1251,"")</f>
        <v>K3</v>
      </c>
      <c r="D1251" s="888" t="b">
        <f>IF(LEN('Translation-EN'!D1251)&gt;0,'Translation-EN'!D1251,"")</f>
        <v>1</v>
      </c>
      <c r="E1251" s="1669" t="str">
        <f>$E$176</f>
        <v>CONTENU DE kgCO2e DANS LE MATÉRIAU SÉLECTIONNÉ</v>
      </c>
    </row>
    <row r="1252" spans="1:18" ht="15" customHeight="1" x14ac:dyDescent="0.3">
      <c r="A1252" s="888" t="str">
        <f>IF(LEN('Translation-EN'!A1252)&gt;0,'Translation-EN'!A1252,"")</f>
        <v>-</v>
      </c>
      <c r="B1252" s="888" t="str">
        <f>IF(LEN('Translation-EN'!B1252)&gt;0,'Translation-EN'!B1252,"")</f>
        <v/>
      </c>
      <c r="C1252" s="888" t="str">
        <f>IF(LEN('Translation-EN'!C1252)&gt;0,'Translation-EN'!C1252,"")</f>
        <v/>
      </c>
      <c r="D1252" s="888" t="str">
        <f>IF(LEN('Translation-EN'!D1252)&gt;0,'Translation-EN'!D1252,"")</f>
        <v/>
      </c>
      <c r="E1252" s="1670"/>
    </row>
    <row r="1253" spans="1:18" ht="15" customHeight="1" x14ac:dyDescent="0.3">
      <c r="A1253" s="888" t="str">
        <f>IF(LEN('Translation-EN'!A1253)&gt;0,'Translation-EN'!A1253,"")</f>
        <v>Range</v>
      </c>
      <c r="B1253" s="888" t="str">
        <f>IF(LEN('Translation-EN'!B1253)&gt;0,'Translation-EN'!B1253,"")</f>
        <v>User-Defined</v>
      </c>
      <c r="C1253" s="888" t="str">
        <f>IF(LEN('Translation-EN'!C1253)&gt;0,'Translation-EN'!C1253,"")</f>
        <v>L3</v>
      </c>
      <c r="D1253" s="888" t="b">
        <f>IF(LEN('Translation-EN'!D1253)&gt;0,'Translation-EN'!D1253,"")</f>
        <v>1</v>
      </c>
      <c r="E1253" s="1669" t="str">
        <f>$E$178</f>
        <v xml:space="preserve">ÉMISSIONS EN kgCO2e </v>
      </c>
    </row>
    <row r="1254" spans="1:18" ht="15" customHeight="1" x14ac:dyDescent="0.3">
      <c r="A1254" s="888" t="str">
        <f>IF(LEN('Translation-EN'!A1254)&gt;0,'Translation-EN'!A1254,"")</f>
        <v>-</v>
      </c>
      <c r="B1254" s="888" t="str">
        <f>IF(LEN('Translation-EN'!B1254)&gt;0,'Translation-EN'!B1254,"")</f>
        <v/>
      </c>
      <c r="C1254" s="888" t="str">
        <f>IF(LEN('Translation-EN'!C1254)&gt;0,'Translation-EN'!C1254,"")</f>
        <v/>
      </c>
      <c r="D1254" s="888" t="str">
        <f>IF(LEN('Translation-EN'!D1254)&gt;0,'Translation-EN'!D1254,"")</f>
        <v/>
      </c>
      <c r="E1254" s="1670"/>
    </row>
    <row r="1255" spans="1:18" s="893" customFormat="1" ht="15" customHeight="1" x14ac:dyDescent="0.3">
      <c r="A1255" s="888" t="str">
        <f>IF(LEN('Translation-EN'!A1255)&gt;0,'Translation-EN'!A1255,"")</f>
        <v>Range</v>
      </c>
      <c r="B1255" s="888" t="str">
        <f>IF(LEN('Translation-EN'!B1255)&gt;0,'Translation-EN'!B1255,"")</f>
        <v>User-Defined</v>
      </c>
      <c r="C1255" s="888" t="str">
        <f>IF(LEN('Translation-EN'!C1255)&gt;0,'Translation-EN'!C1255,"")</f>
        <v>M3</v>
      </c>
      <c r="D1255" s="888" t="b">
        <f>IF(LEN('Translation-EN'!D1255)&gt;0,'Translation-EN'!D1255,"")</f>
        <v>1</v>
      </c>
      <c r="E1255" s="1669" t="str">
        <f>$E$180</f>
        <v>STOCKAGE kgCO₂</v>
      </c>
      <c r="I1255" s="888"/>
      <c r="J1255" s="888"/>
      <c r="K1255" s="888"/>
      <c r="L1255" s="888"/>
      <c r="M1255" s="888"/>
      <c r="N1255" s="888"/>
      <c r="O1255" s="888"/>
      <c r="P1255" s="888"/>
      <c r="Q1255" s="888"/>
      <c r="R1255" s="888"/>
    </row>
    <row r="1256" spans="1:18" s="893" customFormat="1" ht="15" customHeight="1" x14ac:dyDescent="0.3">
      <c r="A1256" s="888" t="str">
        <f>IF(LEN('Translation-EN'!A1256)&gt;0,'Translation-EN'!A1256,"")</f>
        <v>-</v>
      </c>
      <c r="B1256" s="888" t="str">
        <f>IF(LEN('Translation-EN'!B1256)&gt;0,'Translation-EN'!B1256,"")</f>
        <v/>
      </c>
      <c r="C1256" s="888" t="str">
        <f>IF(LEN('Translation-EN'!C1256)&gt;0,'Translation-EN'!C1256,"")</f>
        <v/>
      </c>
      <c r="D1256" s="888" t="str">
        <f>IF(LEN('Translation-EN'!D1256)&gt;0,'Translation-EN'!D1256,"")</f>
        <v/>
      </c>
      <c r="E1256" s="1670"/>
      <c r="I1256" s="888"/>
      <c r="J1256" s="888"/>
      <c r="K1256" s="888"/>
      <c r="L1256" s="888"/>
      <c r="M1256" s="888"/>
      <c r="N1256" s="888"/>
      <c r="O1256" s="888"/>
      <c r="P1256" s="888"/>
      <c r="Q1256" s="888"/>
      <c r="R1256" s="888"/>
    </row>
    <row r="1257" spans="1:18" s="893" customFormat="1" ht="15" customHeight="1" x14ac:dyDescent="0.3">
      <c r="A1257" s="888" t="str">
        <f>IF(LEN('Translation-EN'!A1257)&gt;0,'Translation-EN'!A1257,"")</f>
        <v>Range</v>
      </c>
      <c r="B1257" s="888" t="str">
        <f>IF(LEN('Translation-EN'!B1257)&gt;0,'Translation-EN'!B1257,"")</f>
        <v>User-Defined</v>
      </c>
      <c r="C1257" s="888" t="str">
        <f>IF(LEN('Translation-EN'!C1257)&gt;0,'Translation-EN'!C1257,"")</f>
        <v>N3</v>
      </c>
      <c r="D1257" s="888" t="b">
        <f>IF(LEN('Translation-EN'!D1257)&gt;0,'Translation-EN'!D1257,"")</f>
        <v>1</v>
      </c>
      <c r="E1257" s="1520" t="str">
        <f>$E$182</f>
        <v xml:space="preserve">  Note</v>
      </c>
      <c r="F1257" s="1520"/>
      <c r="I1257" s="888"/>
      <c r="J1257" s="888"/>
      <c r="K1257" s="888"/>
      <c r="L1257" s="888"/>
      <c r="M1257" s="888"/>
      <c r="N1257" s="888"/>
      <c r="O1257" s="888"/>
      <c r="P1257" s="888"/>
      <c r="Q1257" s="888"/>
      <c r="R1257" s="888"/>
    </row>
    <row r="1258" spans="1:18" s="893" customFormat="1" ht="15" customHeight="1" x14ac:dyDescent="0.3">
      <c r="A1258" s="888" t="str">
        <f>IF(LEN('Translation-EN'!A1258)&gt;0,'Translation-EN'!A1258,"")</f>
        <v>-</v>
      </c>
      <c r="B1258" s="888" t="str">
        <f>IF(LEN('Translation-EN'!B1258)&gt;0,'Translation-EN'!B1258,"")</f>
        <v/>
      </c>
      <c r="C1258" s="888" t="str">
        <f>IF(LEN('Translation-EN'!C1258)&gt;0,'Translation-EN'!C1258,"")</f>
        <v/>
      </c>
      <c r="D1258" s="888" t="str">
        <f>IF(LEN('Translation-EN'!D1258)&gt;0,'Translation-EN'!D1258,"")</f>
        <v/>
      </c>
      <c r="E1258" s="1520"/>
      <c r="F1258" s="1520"/>
      <c r="I1258" s="888"/>
      <c r="J1258" s="888"/>
      <c r="K1258" s="888"/>
      <c r="L1258" s="888"/>
      <c r="M1258" s="888"/>
      <c r="N1258" s="888"/>
      <c r="O1258" s="888"/>
      <c r="P1258" s="888"/>
      <c r="Q1258" s="888"/>
      <c r="R1258" s="888"/>
    </row>
    <row r="1259" spans="1:18" s="893" customFormat="1" ht="15" customHeight="1" x14ac:dyDescent="0.3">
      <c r="A1259" s="888" t="str">
        <f>IF(LEN('Translation-EN'!A1259)&gt;0,'Translation-EN'!A1259,"")</f>
        <v>Range</v>
      </c>
      <c r="B1259" s="888" t="str">
        <f>IF(LEN('Translation-EN'!B1259)&gt;0,'Translation-EN'!B1259,"")</f>
        <v>_User-Defined</v>
      </c>
      <c r="C1259" s="888" t="str">
        <f>IF(LEN('Translation-EN'!C1259)&gt;0,'Translation-EN'!C1259,"")</f>
        <v>O3</v>
      </c>
      <c r="D1259" s="888" t="b">
        <f>IF(LEN('Translation-EN'!D1259)&gt;0,'Translation-EN'!D1259,"")</f>
        <v>1</v>
      </c>
      <c r="E1259" s="1669" t="str">
        <f>$E$184</f>
        <v>Inclure le cycle long</v>
      </c>
      <c r="I1259" s="888"/>
      <c r="J1259" s="888"/>
      <c r="K1259" s="888"/>
      <c r="L1259" s="888"/>
      <c r="M1259" s="888"/>
      <c r="N1259" s="888"/>
      <c r="O1259" s="888"/>
      <c r="P1259" s="888"/>
      <c r="Q1259" s="888"/>
      <c r="R1259" s="888"/>
    </row>
    <row r="1260" spans="1:18" s="893" customFormat="1" ht="15" customHeight="1" x14ac:dyDescent="0.3">
      <c r="A1260" s="888" t="str">
        <f>IF(LEN('Translation-EN'!A1260)&gt;0,'Translation-EN'!A1260,"")</f>
        <v>-</v>
      </c>
      <c r="B1260" s="888" t="str">
        <f>IF(LEN('Translation-EN'!B1260)&gt;0,'Translation-EN'!B1260,"")</f>
        <v/>
      </c>
      <c r="C1260" s="888" t="str">
        <f>IF(LEN('Translation-EN'!C1260)&gt;0,'Translation-EN'!C1260,"")</f>
        <v/>
      </c>
      <c r="D1260" s="888" t="str">
        <f>IF(LEN('Translation-EN'!D1260)&gt;0,'Translation-EN'!D1260,"")</f>
        <v/>
      </c>
      <c r="E1260" s="1670"/>
      <c r="I1260" s="888"/>
      <c r="J1260" s="888"/>
      <c r="K1260" s="888"/>
      <c r="L1260" s="888"/>
      <c r="M1260" s="888"/>
      <c r="N1260" s="888"/>
      <c r="O1260" s="888"/>
      <c r="P1260" s="888"/>
      <c r="Q1260" s="888"/>
      <c r="R1260" s="888"/>
    </row>
    <row r="1261" spans="1:18" s="893" customFormat="1" ht="57.15" customHeight="1" x14ac:dyDescent="0.3">
      <c r="A1261" s="888" t="str">
        <f>IF(LEN('Translation-EN'!A1261)&gt;0,'Translation-EN'!A1261,"")</f>
        <v>Range</v>
      </c>
      <c r="B1261" s="888" t="str">
        <f>IF(LEN('Translation-EN'!B1261)&gt;0,'Translation-EN'!B1261,"")</f>
        <v>User-Defined</v>
      </c>
      <c r="C1261" s="888" t="str">
        <f>IF(LEN('Translation-EN'!C1261)&gt;0,'Translation-EN'!C1261,"")</f>
        <v>P3</v>
      </c>
      <c r="D1261" s="888" t="b">
        <f>IF(LEN('Translation-EN'!D1261)&gt;0,'Translation-EN'!D1261,"")</f>
        <v>1</v>
      </c>
      <c r="E1261" s="1035" t="s">
        <v>7412</v>
      </c>
      <c r="I1261" s="888"/>
      <c r="J1261" s="888"/>
      <c r="K1261" s="888"/>
      <c r="L1261" s="888"/>
      <c r="M1261" s="888"/>
      <c r="N1261" s="888"/>
      <c r="O1261" s="888"/>
      <c r="P1261" s="888"/>
      <c r="Q1261" s="888"/>
      <c r="R1261" s="888"/>
    </row>
    <row r="1262" spans="1:18" s="893" customFormat="1" ht="57.15" customHeight="1" x14ac:dyDescent="0.3">
      <c r="A1262" s="888" t="str">
        <f>IF(LEN('Translation-EN'!A1262)&gt;0,'Translation-EN'!A1262,"")</f>
        <v>Range</v>
      </c>
      <c r="B1262" s="888" t="str">
        <f>IF(LEN('Translation-EN'!B1262)&gt;0,'Translation-EN'!B1262,"")</f>
        <v>User-Defined</v>
      </c>
      <c r="C1262" s="888" t="str">
        <f>IF(LEN('Translation-EN'!C1262)&gt;0,'Translation-EN'!C1262,"")</f>
        <v>Q3</v>
      </c>
      <c r="D1262" s="888" t="b">
        <f>IF(LEN('Translation-EN'!D1262)&gt;0,'Translation-EN'!D1262,"")</f>
        <v>1</v>
      </c>
      <c r="E1262" s="1035" t="s">
        <v>7413</v>
      </c>
      <c r="I1262" s="888"/>
      <c r="J1262" s="888"/>
      <c r="K1262" s="888"/>
      <c r="L1262" s="888"/>
      <c r="M1262" s="888"/>
      <c r="N1262" s="888"/>
      <c r="O1262" s="888"/>
      <c r="P1262" s="888"/>
      <c r="Q1262" s="888"/>
      <c r="R1262" s="888"/>
    </row>
    <row r="1263" spans="1:18" s="893" customFormat="1" x14ac:dyDescent="0.3">
      <c r="A1263" s="888" t="str">
        <f>IF(LEN('Translation-EN'!A1263)&gt;0,'Translation-EN'!A1263,"")</f>
        <v>Range</v>
      </c>
      <c r="B1263" s="888" t="str">
        <f>IF(LEN('Translation-EN'!B1263)&gt;0,'Translation-EN'!B1263,"")</f>
        <v>User-Defined</v>
      </c>
      <c r="C1263" s="888" t="str">
        <f>IF(LEN('Translation-EN'!C1263)&gt;0,'Translation-EN'!C1263,"")</f>
        <v>A5</v>
      </c>
      <c r="D1263" s="888" t="str">
        <f>IF(LEN('Translation-EN'!D1263)&gt;0,'Translation-EN'!D1263,"")</f>
        <v/>
      </c>
      <c r="E1263" s="893" t="s">
        <v>3122</v>
      </c>
      <c r="I1263" s="888"/>
      <c r="J1263" s="888"/>
      <c r="K1263" s="888"/>
      <c r="L1263" s="888"/>
      <c r="M1263" s="888"/>
      <c r="N1263" s="888"/>
      <c r="O1263" s="888"/>
      <c r="P1263" s="888"/>
      <c r="Q1263" s="888"/>
      <c r="R1263" s="888"/>
    </row>
    <row r="1264" spans="1:18" s="893" customFormat="1" x14ac:dyDescent="0.3">
      <c r="A1264" s="888" t="str">
        <f>IF(LEN('Translation-EN'!A1264)&gt;0,'Translation-EN'!A1264,"")</f>
        <v>Range</v>
      </c>
      <c r="B1264" s="888" t="str">
        <f>IF(LEN('Translation-EN'!B1264)&gt;0,'Translation-EN'!B1264,"")</f>
        <v>User-Defined</v>
      </c>
      <c r="C1264" s="888" t="str">
        <f>IF(LEN('Translation-EN'!C1264)&gt;0,'Translation-EN'!C1264,"")</f>
        <v>C6</v>
      </c>
      <c r="D1264" s="888" t="str">
        <f>IF(LEN('Translation-EN'!D1264)&gt;0,'Translation-EN'!D1264,"")</f>
        <v/>
      </c>
      <c r="E1264" s="893" t="s">
        <v>3123</v>
      </c>
      <c r="I1264" s="888"/>
      <c r="J1264" s="888"/>
      <c r="K1264" s="888"/>
      <c r="L1264" s="888"/>
      <c r="M1264" s="888"/>
      <c r="N1264" s="888"/>
      <c r="O1264" s="888"/>
      <c r="P1264" s="888"/>
      <c r="Q1264" s="888"/>
      <c r="R1264" s="888"/>
    </row>
    <row r="1265" spans="1:18" s="893" customFormat="1" x14ac:dyDescent="0.3">
      <c r="A1265" s="888" t="str">
        <f>IF(LEN('Translation-EN'!A1265)&gt;0,'Translation-EN'!A1265,"")</f>
        <v>Range</v>
      </c>
      <c r="B1265" s="888" t="str">
        <f>IF(LEN('Translation-EN'!B1265)&gt;0,'Translation-EN'!B1265,"")</f>
        <v>User-Defined</v>
      </c>
      <c r="C1265" s="888" t="str">
        <f>IF(LEN('Translation-EN'!C1265)&gt;0,'Translation-EN'!C1265,"")</f>
        <v>B7</v>
      </c>
      <c r="D1265" s="888" t="str">
        <f>IF(LEN('Translation-EN'!D1265)&gt;0,'Translation-EN'!D1265,"")</f>
        <v/>
      </c>
      <c r="E1265" s="893" t="s">
        <v>1396</v>
      </c>
      <c r="I1265" s="888"/>
      <c r="J1265" s="888"/>
      <c r="K1265" s="888"/>
      <c r="L1265" s="888"/>
      <c r="M1265" s="888"/>
      <c r="N1265" s="888"/>
      <c r="O1265" s="888"/>
      <c r="P1265" s="888"/>
      <c r="Q1265" s="888"/>
      <c r="R1265" s="888"/>
    </row>
    <row r="1266" spans="1:18" s="893" customFormat="1" x14ac:dyDescent="0.3">
      <c r="A1266" s="888" t="str">
        <f>IF(LEN('Translation-EN'!A1266)&gt;0,'Translation-EN'!A1266,"")</f>
        <v>Range</v>
      </c>
      <c r="B1266" s="888" t="str">
        <f>IF(LEN('Translation-EN'!B1266)&gt;0,'Translation-EN'!B1266,"")</f>
        <v>User-Defined</v>
      </c>
      <c r="C1266" s="888" t="str">
        <f>IF(LEN('Translation-EN'!C1266)&gt;0,'Translation-EN'!C1266,"")</f>
        <v>B8</v>
      </c>
      <c r="D1266" s="888" t="str">
        <f>IF(LEN('Translation-EN'!D1266)&gt;0,'Translation-EN'!D1266,"")</f>
        <v/>
      </c>
      <c r="E1266" s="893" t="str">
        <f>$E$1265</f>
        <v>VOLUME</v>
      </c>
      <c r="I1266" s="888"/>
      <c r="J1266" s="888"/>
      <c r="K1266" s="888"/>
      <c r="L1266" s="888"/>
      <c r="M1266" s="888"/>
      <c r="N1266" s="888"/>
      <c r="O1266" s="888"/>
      <c r="P1266" s="888"/>
      <c r="Q1266" s="888"/>
      <c r="R1266" s="888"/>
    </row>
    <row r="1267" spans="1:18" s="893" customFormat="1" x14ac:dyDescent="0.3">
      <c r="A1267" s="888" t="str">
        <f>IF(LEN('Translation-EN'!A1267)&gt;0,'Translation-EN'!A1267,"")</f>
        <v>Range</v>
      </c>
      <c r="B1267" s="888" t="str">
        <f>IF(LEN('Translation-EN'!B1267)&gt;0,'Translation-EN'!B1267,"")</f>
        <v>User-Defined</v>
      </c>
      <c r="C1267" s="888" t="str">
        <f>IF(LEN('Translation-EN'!C1267)&gt;0,'Translation-EN'!C1267,"")</f>
        <v>B9</v>
      </c>
      <c r="D1267" s="888" t="str">
        <f>IF(LEN('Translation-EN'!D1267)&gt;0,'Translation-EN'!D1267,"")</f>
        <v/>
      </c>
      <c r="E1267" s="893" t="str">
        <f>$E$1265</f>
        <v>VOLUME</v>
      </c>
      <c r="I1267" s="888"/>
      <c r="J1267" s="888"/>
      <c r="K1267" s="888"/>
      <c r="L1267" s="888"/>
      <c r="M1267" s="888"/>
      <c r="N1267" s="888"/>
      <c r="O1267" s="888"/>
      <c r="P1267" s="888"/>
      <c r="Q1267" s="888"/>
      <c r="R1267" s="888"/>
    </row>
    <row r="1268" spans="1:18" s="893" customFormat="1" x14ac:dyDescent="0.3">
      <c r="A1268" s="888" t="str">
        <f>IF(LEN('Translation-EN'!A1268)&gt;0,'Translation-EN'!A1268,"")</f>
        <v>Range</v>
      </c>
      <c r="B1268" s="888" t="str">
        <f>IF(LEN('Translation-EN'!B1268)&gt;0,'Translation-EN'!B1268,"")</f>
        <v>User-Defined</v>
      </c>
      <c r="C1268" s="888" t="str">
        <f>IF(LEN('Translation-EN'!C1268)&gt;0,'Translation-EN'!C1268,"")</f>
        <v>C10</v>
      </c>
      <c r="D1268" s="888" t="str">
        <f>IF(LEN('Translation-EN'!D1268)&gt;0,'Translation-EN'!D1268,"")</f>
        <v/>
      </c>
      <c r="E1268" s="893" t="s">
        <v>3124</v>
      </c>
      <c r="I1268" s="888"/>
      <c r="J1268" s="888"/>
      <c r="K1268" s="888"/>
      <c r="L1268" s="888"/>
      <c r="M1268" s="888"/>
      <c r="N1268" s="888"/>
      <c r="O1268" s="888"/>
      <c r="P1268" s="888"/>
      <c r="Q1268" s="888"/>
      <c r="R1268" s="888"/>
    </row>
    <row r="1269" spans="1:18" s="893" customFormat="1" x14ac:dyDescent="0.3">
      <c r="A1269" s="888" t="str">
        <f>IF(LEN('Translation-EN'!A1269)&gt;0,'Translation-EN'!A1269,"")</f>
        <v>Range</v>
      </c>
      <c r="B1269" s="888" t="str">
        <f>IF(LEN('Translation-EN'!B1269)&gt;0,'Translation-EN'!B1269,"")</f>
        <v>User-Defined</v>
      </c>
      <c r="C1269" s="888" t="str">
        <f>IF(LEN('Translation-EN'!C1269)&gt;0,'Translation-EN'!C1269,"")</f>
        <v>B11</v>
      </c>
      <c r="D1269" s="888" t="str">
        <f>IF(LEN('Translation-EN'!D1269)&gt;0,'Translation-EN'!D1269,"")</f>
        <v/>
      </c>
      <c r="E1269" s="893" t="s">
        <v>3125</v>
      </c>
      <c r="I1269" s="888"/>
      <c r="J1269" s="888"/>
      <c r="K1269" s="888"/>
      <c r="L1269" s="888"/>
      <c r="M1269" s="888"/>
      <c r="N1269" s="888"/>
      <c r="O1269" s="888"/>
      <c r="P1269" s="888"/>
      <c r="Q1269" s="888"/>
      <c r="R1269" s="888"/>
    </row>
    <row r="1270" spans="1:18" s="893" customFormat="1" x14ac:dyDescent="0.3">
      <c r="A1270" s="888" t="str">
        <f>IF(LEN('Translation-EN'!A1270)&gt;0,'Translation-EN'!A1270,"")</f>
        <v>Range</v>
      </c>
      <c r="B1270" s="888" t="str">
        <f>IF(LEN('Translation-EN'!B1270)&gt;0,'Translation-EN'!B1270,"")</f>
        <v>User-Defined</v>
      </c>
      <c r="C1270" s="888" t="str">
        <f>IF(LEN('Translation-EN'!C1270)&gt;0,'Translation-EN'!C1270,"")</f>
        <v>B12</v>
      </c>
      <c r="D1270" s="888" t="str">
        <f>IF(LEN('Translation-EN'!D1270)&gt;0,'Translation-EN'!D1270,"")</f>
        <v/>
      </c>
      <c r="E1270" s="893" t="str">
        <f>$E$1269</f>
        <v>SURFACE</v>
      </c>
      <c r="I1270" s="888"/>
      <c r="J1270" s="888"/>
      <c r="K1270" s="888"/>
      <c r="L1270" s="888"/>
      <c r="M1270" s="888"/>
      <c r="N1270" s="888"/>
      <c r="O1270" s="888"/>
      <c r="P1270" s="888"/>
      <c r="Q1270" s="888"/>
      <c r="R1270" s="888"/>
    </row>
    <row r="1271" spans="1:18" s="893" customFormat="1" x14ac:dyDescent="0.3">
      <c r="A1271" s="888" t="str">
        <f>IF(LEN('Translation-EN'!A1271)&gt;0,'Translation-EN'!A1271,"")</f>
        <v>Range</v>
      </c>
      <c r="B1271" s="888" t="str">
        <f>IF(LEN('Translation-EN'!B1271)&gt;0,'Translation-EN'!B1271,"")</f>
        <v>User-Defined</v>
      </c>
      <c r="C1271" s="888" t="str">
        <f>IF(LEN('Translation-EN'!C1271)&gt;0,'Translation-EN'!C1271,"")</f>
        <v>B13</v>
      </c>
      <c r="D1271" s="888" t="str">
        <f>IF(LEN('Translation-EN'!D1271)&gt;0,'Translation-EN'!D1271,"")</f>
        <v/>
      </c>
      <c r="E1271" s="893" t="str">
        <f>$E$1269</f>
        <v>SURFACE</v>
      </c>
      <c r="I1271" s="888"/>
      <c r="J1271" s="888"/>
      <c r="K1271" s="888"/>
      <c r="L1271" s="888"/>
      <c r="M1271" s="888"/>
      <c r="N1271" s="888"/>
      <c r="O1271" s="888"/>
      <c r="P1271" s="888"/>
      <c r="Q1271" s="888"/>
      <c r="R1271" s="888"/>
    </row>
    <row r="1272" spans="1:18" s="893" customFormat="1" x14ac:dyDescent="0.3">
      <c r="A1272" s="888" t="str">
        <f>IF(LEN('Translation-EN'!A1272)&gt;0,'Translation-EN'!A1272,"")</f>
        <v>Range</v>
      </c>
      <c r="B1272" s="888" t="str">
        <f>IF(LEN('Translation-EN'!B1272)&gt;0,'Translation-EN'!B1272,"")</f>
        <v>User-Defined</v>
      </c>
      <c r="C1272" s="888" t="str">
        <f>IF(LEN('Translation-EN'!C1272)&gt;0,'Translation-EN'!C1272,"")</f>
        <v>C14</v>
      </c>
      <c r="D1272" s="888" t="str">
        <f>IF(LEN('Translation-EN'!D1272)&gt;0,'Translation-EN'!D1272,"")</f>
        <v/>
      </c>
      <c r="E1272" s="893" t="s">
        <v>3126</v>
      </c>
      <c r="I1272" s="888"/>
      <c r="J1272" s="888"/>
      <c r="K1272" s="888"/>
      <c r="L1272" s="888"/>
      <c r="M1272" s="888"/>
      <c r="N1272" s="888"/>
      <c r="O1272" s="888"/>
      <c r="P1272" s="888"/>
      <c r="Q1272" s="888"/>
      <c r="R1272" s="888"/>
    </row>
    <row r="1273" spans="1:18" s="893" customFormat="1" x14ac:dyDescent="0.3">
      <c r="A1273" s="888" t="str">
        <f>IF(LEN('Translation-EN'!A1273)&gt;0,'Translation-EN'!A1273,"")</f>
        <v>Range</v>
      </c>
      <c r="B1273" s="888" t="str">
        <f>IF(LEN('Translation-EN'!B1273)&gt;0,'Translation-EN'!B1273,"")</f>
        <v>User-Defined</v>
      </c>
      <c r="C1273" s="888" t="str">
        <f>IF(LEN('Translation-EN'!C1273)&gt;0,'Translation-EN'!C1273,"")</f>
        <v>B15</v>
      </c>
      <c r="D1273" s="888" t="str">
        <f>IF(LEN('Translation-EN'!D1273)&gt;0,'Translation-EN'!D1273,"")</f>
        <v/>
      </c>
      <c r="E1273" s="893" t="s">
        <v>3127</v>
      </c>
      <c r="I1273" s="888"/>
      <c r="J1273" s="888"/>
      <c r="K1273" s="888"/>
      <c r="L1273" s="888"/>
      <c r="M1273" s="888"/>
      <c r="N1273" s="888"/>
      <c r="O1273" s="888"/>
      <c r="P1273" s="888"/>
      <c r="Q1273" s="888"/>
      <c r="R1273" s="888"/>
    </row>
    <row r="1274" spans="1:18" s="893" customFormat="1" x14ac:dyDescent="0.3">
      <c r="A1274" s="888" t="str">
        <f>IF(LEN('Translation-EN'!A1274)&gt;0,'Translation-EN'!A1274,"")</f>
        <v>Range</v>
      </c>
      <c r="B1274" s="888" t="str">
        <f>IF(LEN('Translation-EN'!B1274)&gt;0,'Translation-EN'!B1274,"")</f>
        <v>User-Defined</v>
      </c>
      <c r="C1274" s="888" t="str">
        <f>IF(LEN('Translation-EN'!C1274)&gt;0,'Translation-EN'!C1274,"")</f>
        <v>B16</v>
      </c>
      <c r="D1274" s="888" t="str">
        <f>IF(LEN('Translation-EN'!D1274)&gt;0,'Translation-EN'!D1274,"")</f>
        <v/>
      </c>
      <c r="E1274" s="893" t="str">
        <f>$E$1273</f>
        <v>LONGUEUR</v>
      </c>
      <c r="I1274" s="888"/>
      <c r="J1274" s="888"/>
      <c r="K1274" s="888"/>
      <c r="L1274" s="888"/>
      <c r="M1274" s="888"/>
      <c r="N1274" s="888"/>
      <c r="O1274" s="888"/>
      <c r="P1274" s="888"/>
      <c r="Q1274" s="888"/>
      <c r="R1274" s="888"/>
    </row>
    <row r="1275" spans="1:18" s="893" customFormat="1" x14ac:dyDescent="0.3">
      <c r="A1275" s="888" t="str">
        <f>IF(LEN('Translation-EN'!A1275)&gt;0,'Translation-EN'!A1275,"")</f>
        <v>Range</v>
      </c>
      <c r="B1275" s="888" t="str">
        <f>IF(LEN('Translation-EN'!B1275)&gt;0,'Translation-EN'!B1275,"")</f>
        <v>User-Defined</v>
      </c>
      <c r="C1275" s="888" t="str">
        <f>IF(LEN('Translation-EN'!C1275)&gt;0,'Translation-EN'!C1275,"")</f>
        <v>B17</v>
      </c>
      <c r="D1275" s="888" t="str">
        <f>IF(LEN('Translation-EN'!D1275)&gt;0,'Translation-EN'!D1275,"")</f>
        <v/>
      </c>
      <c r="E1275" s="893" t="str">
        <f>$E$1273</f>
        <v>LONGUEUR</v>
      </c>
      <c r="I1275" s="888"/>
      <c r="J1275" s="888"/>
      <c r="K1275" s="888"/>
      <c r="L1275" s="888"/>
      <c r="M1275" s="888"/>
      <c r="N1275" s="888"/>
      <c r="O1275" s="888"/>
      <c r="P1275" s="888"/>
      <c r="Q1275" s="888"/>
      <c r="R1275" s="888"/>
    </row>
    <row r="1276" spans="1:18" x14ac:dyDescent="0.3">
      <c r="A1276" s="888" t="str">
        <f>IF(LEN('Translation-EN'!A1276)&gt;0,'Translation-EN'!A1276,"")</f>
        <v>Range</v>
      </c>
      <c r="B1276" s="888" t="str">
        <f>IF(LEN('Translation-EN'!B1276)&gt;0,'Translation-EN'!B1276,"")</f>
        <v>User-Defined</v>
      </c>
      <c r="C1276" s="888" t="str">
        <f>IF(LEN('Translation-EN'!C1276)&gt;0,'Translation-EN'!C1276,"")</f>
        <v>C18</v>
      </c>
      <c r="D1276" s="888" t="str">
        <f>IF(LEN('Translation-EN'!D1276)&gt;0,'Translation-EN'!D1276,"")</f>
        <v/>
      </c>
      <c r="E1276" s="893" t="s">
        <v>3396</v>
      </c>
    </row>
    <row r="1277" spans="1:18" x14ac:dyDescent="0.3">
      <c r="A1277" s="888" t="str">
        <f>IF(LEN('Translation-EN'!A1277)&gt;0,'Translation-EN'!A1277,"")</f>
        <v>Range</v>
      </c>
      <c r="B1277" s="888" t="str">
        <f>IF(LEN('Translation-EN'!B1277)&gt;0,'Translation-EN'!B1277,"")</f>
        <v>User-Defined</v>
      </c>
      <c r="C1277" s="888" t="str">
        <f>IF(LEN('Translation-EN'!C1277)&gt;0,'Translation-EN'!C1277,"")</f>
        <v>A22</v>
      </c>
      <c r="D1277" s="888" t="str">
        <f>IF(LEN('Translation-EN'!D1277)&gt;0,'Translation-EN'!D1277,"")</f>
        <v/>
      </c>
      <c r="E1277" s="893" t="s">
        <v>3128</v>
      </c>
    </row>
    <row r="1278" spans="1:18" x14ac:dyDescent="0.3">
      <c r="A1278" s="888" t="str">
        <f>IF(LEN('Translation-EN'!A1278)&gt;0,'Translation-EN'!A1278,"")</f>
        <v>-</v>
      </c>
      <c r="B1278" s="888" t="str">
        <f>IF(LEN('Translation-EN'!B1278)&gt;0,'Translation-EN'!B1278,"")</f>
        <v>_User-Defined</v>
      </c>
      <c r="C1278" s="888" t="str">
        <f>IF(LEN('Translation-EN'!C1278)&gt;0,'Translation-EN'!C1278,"")</f>
        <v>B23</v>
      </c>
      <c r="D1278" s="888" t="str">
        <f>IF(LEN('Translation-EN'!D1278)&gt;0,'Translation-EN'!D1278,"")</f>
        <v>Ignore this row</v>
      </c>
      <c r="E1278" s="893" t="s">
        <v>1961</v>
      </c>
    </row>
    <row r="1279" spans="1:18" x14ac:dyDescent="0.3">
      <c r="A1279" s="888" t="str">
        <f>IF(LEN('Translation-EN'!A1279)&gt;0,'Translation-EN'!A1279,"")</f>
        <v>-</v>
      </c>
      <c r="B1279" s="888" t="str">
        <f>IF(LEN('Translation-EN'!B1279)&gt;0,'Translation-EN'!B1279,"")</f>
        <v>_User-Defined</v>
      </c>
      <c r="C1279" s="888" t="str">
        <f>IF(LEN('Translation-EN'!C1279)&gt;0,'Translation-EN'!C1279,"")</f>
        <v>B24</v>
      </c>
      <c r="D1279" s="888" t="str">
        <f>IF(LEN('Translation-EN'!D1279)&gt;0,'Translation-EN'!D1279,"")</f>
        <v>Ignore this row</v>
      </c>
      <c r="E1279" s="893" t="s">
        <v>1967</v>
      </c>
    </row>
    <row r="1280" spans="1:18" x14ac:dyDescent="0.3">
      <c r="A1280" s="888" t="str">
        <f>IF(LEN('Translation-EN'!A1280)&gt;0,'Translation-EN'!A1280,"")</f>
        <v>-</v>
      </c>
      <c r="B1280" s="888" t="str">
        <f>IF(LEN('Translation-EN'!B1280)&gt;0,'Translation-EN'!B1280,"")</f>
        <v>_User-Defined</v>
      </c>
      <c r="C1280" s="888" t="str">
        <f>IF(LEN('Translation-EN'!C1280)&gt;0,'Translation-EN'!C1280,"")</f>
        <v>B25</v>
      </c>
      <c r="D1280" s="888" t="str">
        <f>IF(LEN('Translation-EN'!D1280)&gt;0,'Translation-EN'!D1280,"")</f>
        <v>Ignore this row</v>
      </c>
      <c r="E1280" s="893" t="str">
        <f>$E$1279</f>
        <v>Défini par l’utilisateur</v>
      </c>
    </row>
    <row r="1281" spans="1:18" x14ac:dyDescent="0.3">
      <c r="A1281" s="888" t="str">
        <f>IF(LEN('Translation-EN'!A1281)&gt;0,'Translation-EN'!A1281,"")</f>
        <v>-</v>
      </c>
      <c r="B1281" s="888" t="str">
        <f>IF(LEN('Translation-EN'!B1281)&gt;0,'Translation-EN'!B1281,"")</f>
        <v>_User-Defined</v>
      </c>
      <c r="C1281" s="888" t="str">
        <f>IF(LEN('Translation-EN'!C1281)&gt;0,'Translation-EN'!C1281,"")</f>
        <v>B26</v>
      </c>
      <c r="D1281" s="888" t="str">
        <f>IF(LEN('Translation-EN'!D1281)&gt;0,'Translation-EN'!D1281,"")</f>
        <v>Ignore this row</v>
      </c>
      <c r="E1281" s="893" t="str">
        <f>$E$1279</f>
        <v>Défini par l’utilisateur</v>
      </c>
    </row>
    <row r="1282" spans="1:18" x14ac:dyDescent="0.3">
      <c r="A1282" s="888" t="str">
        <f>IF(LEN('Translation-EN'!A1282)&gt;0,'Translation-EN'!A1282,"")</f>
        <v>-</v>
      </c>
      <c r="B1282" s="888" t="str">
        <f>IF(LEN('Translation-EN'!B1282)&gt;0,'Translation-EN'!B1282,"")</f>
        <v>_User-Defined</v>
      </c>
      <c r="C1282" s="888" t="str">
        <f>IF(LEN('Translation-EN'!C1282)&gt;0,'Translation-EN'!C1282,"")</f>
        <v>B27</v>
      </c>
      <c r="D1282" s="888" t="str">
        <f>IF(LEN('Translation-EN'!D1282)&gt;0,'Translation-EN'!D1282,"")</f>
        <v>Ignore this row</v>
      </c>
      <c r="E1282" s="893" t="str">
        <f>$E$1279</f>
        <v>Défini par l’utilisateur</v>
      </c>
    </row>
    <row r="1283" spans="1:18" ht="17.399999999999999" x14ac:dyDescent="0.3">
      <c r="A1283" s="888" t="str">
        <f>IF(LEN('Translation-EN'!A1283)&gt;0,'Translation-EN'!A1283,"")</f>
        <v>Range</v>
      </c>
      <c r="B1283" s="888" t="str">
        <f>IF(LEN('Translation-EN'!B1283)&gt;0,'Translation-EN'!B1283,"")</f>
        <v>User-Defined</v>
      </c>
      <c r="C1283" s="888" t="str">
        <f>IF(LEN('Translation-EN'!C1283)&gt;0,'Translation-EN'!C1283,"")</f>
        <v>B28</v>
      </c>
      <c r="D1283" s="888" t="b">
        <f>IF(LEN('Translation-EN'!D1283)&gt;0,'Translation-EN'!D1283,"")</f>
        <v>1</v>
      </c>
      <c r="E1283" s="1674" t="s">
        <v>3129</v>
      </c>
      <c r="F1283" s="1674"/>
      <c r="G1283" s="1674"/>
      <c r="H1283" s="1674"/>
    </row>
    <row r="1284" spans="1:18" x14ac:dyDescent="0.3">
      <c r="A1284" s="888" t="str">
        <f>IF(LEN('Translation-EN'!A1284)&gt;0,'Translation-EN'!A1284,"")</f>
        <v>Range</v>
      </c>
      <c r="B1284" s="888" t="str">
        <f>IF(LEN('Translation-EN'!B1284)&gt;0,'Translation-EN'!B1284,"")</f>
        <v>REVIEW</v>
      </c>
      <c r="C1284" s="888" t="str">
        <f>IF(LEN('Translation-EN'!C1284)&gt;0,'Translation-EN'!C1284,"")</f>
        <v>A1</v>
      </c>
      <c r="D1284" s="888" t="str">
        <f>IF(LEN('Translation-EN'!D1284)&gt;0,'Translation-EN'!D1284,"")</f>
        <v/>
      </c>
      <c r="E1284" s="893" t="s">
        <v>3130</v>
      </c>
    </row>
    <row r="1285" spans="1:18" x14ac:dyDescent="0.3">
      <c r="A1285" s="888" t="str">
        <f>IF(LEN('Translation-EN'!A1285)&gt;0,'Translation-EN'!A1285,"")</f>
        <v>Range</v>
      </c>
      <c r="B1285" s="888" t="str">
        <f>IF(LEN('Translation-EN'!B1285)&gt;0,'Translation-EN'!B1285,"")</f>
        <v>REVIEW</v>
      </c>
      <c r="C1285" s="888" t="str">
        <f>IF(LEN('Translation-EN'!C1285)&gt;0,'Translation-EN'!C1285,"")</f>
        <v>C1</v>
      </c>
      <c r="D1285" s="888" t="str">
        <f>IF(LEN('Translation-EN'!D1285)&gt;0,'Translation-EN'!D1285,"")</f>
        <v/>
      </c>
      <c r="E1285" s="893" t="s">
        <v>3131</v>
      </c>
    </row>
    <row r="1286" spans="1:18" x14ac:dyDescent="0.3">
      <c r="A1286" s="888" t="str">
        <f>IF(LEN('Translation-EN'!A1286)&gt;0,'Translation-EN'!A1286,"")</f>
        <v>Range</v>
      </c>
      <c r="B1286" s="888" t="str">
        <f>IF(LEN('Translation-EN'!B1286)&gt;0,'Translation-EN'!B1286,"")</f>
        <v>REVIEW</v>
      </c>
      <c r="C1286" s="888" t="str">
        <f>IF(LEN('Translation-EN'!C1286)&gt;0,'Translation-EN'!C1286,"")</f>
        <v>A2</v>
      </c>
      <c r="D1286" s="888" t="str">
        <f>IF(LEN('Translation-EN'!D1286)&gt;0,'Translation-EN'!D1286,"")</f>
        <v/>
      </c>
      <c r="E1286" s="893" t="s">
        <v>1104</v>
      </c>
    </row>
    <row r="1287" spans="1:18" x14ac:dyDescent="0.3">
      <c r="A1287" s="888" t="str">
        <f>IF(LEN('Translation-EN'!A1287)&gt;0,'Translation-EN'!A1287,"")</f>
        <v>Range</v>
      </c>
      <c r="B1287" s="888" t="str">
        <f>IF(LEN('Translation-EN'!B1287)&gt;0,'Translation-EN'!B1287,"")</f>
        <v>REVIEW</v>
      </c>
      <c r="C1287" s="888" t="str">
        <f>IF(LEN('Translation-EN'!C1287)&gt;0,'Translation-EN'!C1287,"")</f>
        <v>B2</v>
      </c>
      <c r="D1287" s="888" t="str">
        <f>IF(LEN('Translation-EN'!D1287)&gt;0,'Translation-EN'!D1287,"")</f>
        <v/>
      </c>
      <c r="E1287" s="888" t="str">
        <f>$E$170</f>
        <v>CATÉGORIE</v>
      </c>
    </row>
    <row r="1288" spans="1:18" x14ac:dyDescent="0.3">
      <c r="A1288" s="888" t="str">
        <f>IF(LEN('Translation-EN'!A1288)&gt;0,'Translation-EN'!A1288,"")</f>
        <v>Range</v>
      </c>
      <c r="B1288" s="888" t="str">
        <f>IF(LEN('Translation-EN'!B1288)&gt;0,'Translation-EN'!B1288,"")</f>
        <v>REVIEW</v>
      </c>
      <c r="C1288" s="888" t="str">
        <f>IF(LEN('Translation-EN'!C1288)&gt;0,'Translation-EN'!C1288,"")</f>
        <v>C2</v>
      </c>
      <c r="D1288" s="888" t="str">
        <f>IF(LEN('Translation-EN'!D1288)&gt;0,'Translation-EN'!D1288,"")</f>
        <v/>
      </c>
      <c r="E1288" s="893" t="str">
        <f>$E$171</f>
        <v>MATÉRIAU</v>
      </c>
    </row>
    <row r="1289" spans="1:18" s="893" customFormat="1" ht="38.4" x14ac:dyDescent="0.3">
      <c r="A1289" s="888" t="str">
        <f>IF(LEN('Translation-EN'!A1289)&gt;0,'Translation-EN'!A1289,"")</f>
        <v>Range</v>
      </c>
      <c r="B1289" s="888" t="str">
        <f>IF(LEN('Translation-EN'!B1289)&gt;0,'Translation-EN'!B1289,"")</f>
        <v>_REVIEW</v>
      </c>
      <c r="C1289" s="888" t="str">
        <f>IF(LEN('Translation-EN'!C1289)&gt;0,'Translation-EN'!C1289,"")</f>
        <v>D2</v>
      </c>
      <c r="D1289" s="888" t="b">
        <f>IF(LEN('Translation-EN'!D1289)&gt;0,'Translation-EN'!D1289,"")</f>
        <v>1</v>
      </c>
      <c r="E1289" s="217" t="s">
        <v>3132</v>
      </c>
      <c r="I1289" s="888"/>
      <c r="J1289" s="888"/>
      <c r="K1289" s="888"/>
      <c r="L1289" s="888"/>
      <c r="M1289" s="888"/>
      <c r="N1289" s="888"/>
      <c r="O1289" s="888"/>
      <c r="P1289" s="888"/>
      <c r="Q1289" s="888"/>
      <c r="R1289" s="888"/>
    </row>
    <row r="1290" spans="1:18" s="893" customFormat="1" ht="38.4" x14ac:dyDescent="0.3">
      <c r="A1290" s="888" t="str">
        <f>IF(LEN('Translation-EN'!A1290)&gt;0,'Translation-EN'!A1290,"")</f>
        <v>Range</v>
      </c>
      <c r="B1290" s="888" t="str">
        <f>IF(LEN('Translation-EN'!B1290)&gt;0,'Translation-EN'!B1290,"")</f>
        <v>REVIEW</v>
      </c>
      <c r="C1290" s="888" t="str">
        <f>IF(LEN('Translation-EN'!C1290)&gt;0,'Translation-EN'!C1290,"")</f>
        <v>E2</v>
      </c>
      <c r="D1290" s="888" t="b">
        <f>IF(LEN('Translation-EN'!D1290)&gt;0,'Translation-EN'!D1290,"")</f>
        <v>1</v>
      </c>
      <c r="E1290" s="217" t="s">
        <v>3133</v>
      </c>
      <c r="I1290" s="888"/>
      <c r="J1290" s="888"/>
      <c r="K1290" s="888"/>
      <c r="L1290" s="888"/>
      <c r="M1290" s="888"/>
      <c r="N1290" s="888"/>
      <c r="O1290" s="888"/>
      <c r="P1290" s="888"/>
      <c r="Q1290" s="888"/>
      <c r="R1290" s="888"/>
    </row>
    <row r="1291" spans="1:18" s="893" customFormat="1" ht="21" x14ac:dyDescent="0.3">
      <c r="A1291" s="888" t="str">
        <f>IF(LEN('Translation-EN'!A1291)&gt;0,'Translation-EN'!A1291,"")</f>
        <v>Range</v>
      </c>
      <c r="B1291" s="888" t="str">
        <f>IF(LEN('Translation-EN'!B1291)&gt;0,'Translation-EN'!B1291,"")</f>
        <v>REVIEW</v>
      </c>
      <c r="C1291" s="888" t="str">
        <f>IF(LEN('Translation-EN'!C1291)&gt;0,'Translation-EN'!C1291,"")</f>
        <v>F2</v>
      </c>
      <c r="D1291" s="888" t="b">
        <f>IF(LEN('Translation-EN'!D1291)&gt;0,'Translation-EN'!D1291,"")</f>
        <v>1</v>
      </c>
      <c r="E1291" s="217" t="s">
        <v>7415</v>
      </c>
      <c r="I1291" s="888"/>
      <c r="J1291" s="888"/>
      <c r="K1291" s="888"/>
      <c r="L1291" s="888"/>
      <c r="M1291" s="888"/>
      <c r="N1291" s="888"/>
      <c r="O1291" s="888"/>
      <c r="P1291" s="888"/>
      <c r="Q1291" s="888"/>
      <c r="R1291" s="888"/>
    </row>
    <row r="1292" spans="1:18" s="893" customFormat="1" ht="21" x14ac:dyDescent="0.3">
      <c r="A1292" s="888" t="str">
        <f>IF(LEN('Translation-EN'!A1292)&gt;0,'Translation-EN'!A1292,"")</f>
        <v>Range</v>
      </c>
      <c r="B1292" s="888" t="str">
        <f>IF(LEN('Translation-EN'!B1292)&gt;0,'Translation-EN'!B1292,"")</f>
        <v>_REVIEW</v>
      </c>
      <c r="C1292" s="888" t="str">
        <f>IF(LEN('Translation-EN'!C1292)&gt;0,'Translation-EN'!C1292,"")</f>
        <v>G2</v>
      </c>
      <c r="D1292" s="888" t="b">
        <f>IF(LEN('Translation-EN'!D1292)&gt;0,'Translation-EN'!D1292,"")</f>
        <v>1</v>
      </c>
      <c r="E1292" s="217" t="s">
        <v>5130</v>
      </c>
      <c r="I1292" s="888"/>
      <c r="J1292" s="888"/>
      <c r="K1292" s="888"/>
      <c r="L1292" s="888"/>
      <c r="M1292" s="888"/>
      <c r="N1292" s="888"/>
      <c r="O1292" s="888"/>
      <c r="P1292" s="888"/>
      <c r="Q1292" s="888"/>
      <c r="R1292" s="888"/>
    </row>
    <row r="1293" spans="1:18" s="893" customFormat="1" x14ac:dyDescent="0.3">
      <c r="A1293" s="888" t="str">
        <f>IF(LEN('Translation-EN'!A1293)&gt;0,'Translation-EN'!A1293,"")</f>
        <v>Range</v>
      </c>
      <c r="B1293" s="888" t="str">
        <f>IF(LEN('Translation-EN'!B1293)&gt;0,'Translation-EN'!B1293,"")</f>
        <v>REVIEW</v>
      </c>
      <c r="C1293" s="888" t="str">
        <f>IF(LEN('Translation-EN'!C1293)&gt;0,'Translation-EN'!C1293,"")</f>
        <v>H2</v>
      </c>
      <c r="D1293" s="888" t="str">
        <f>IF(LEN('Translation-EN'!D1293)&gt;0,'Translation-EN'!D1293,"")</f>
        <v/>
      </c>
      <c r="E1293" s="893" t="s">
        <v>5129</v>
      </c>
      <c r="I1293" s="888"/>
      <c r="J1293" s="888"/>
      <c r="K1293" s="888"/>
      <c r="L1293" s="888"/>
      <c r="M1293" s="888"/>
      <c r="N1293" s="888"/>
      <c r="O1293" s="888"/>
      <c r="P1293" s="888"/>
      <c r="Q1293" s="888"/>
      <c r="R1293" s="888"/>
    </row>
    <row r="1294" spans="1:18" s="893" customFormat="1" ht="16.2" x14ac:dyDescent="0.3">
      <c r="A1294" s="888" t="str">
        <f>IF(LEN('Translation-EN'!A1294)&gt;0,'Translation-EN'!A1294,"")</f>
        <v>Range</v>
      </c>
      <c r="B1294" s="888" t="str">
        <f>IF(LEN('Translation-EN'!B1294)&gt;0,'Translation-EN'!B1294,"")</f>
        <v>RESULTS</v>
      </c>
      <c r="C1294" s="888" t="str">
        <f>IF(LEN('Translation-EN'!C1294)&gt;0,'Translation-EN'!C1294,"")</f>
        <v>A2</v>
      </c>
      <c r="D1294" s="888" t="str">
        <f>IF(LEN('Translation-EN'!D1294)&gt;0,'Translation-EN'!D1294,"")</f>
        <v/>
      </c>
      <c r="E1294" s="893" t="s">
        <v>3473</v>
      </c>
      <c r="I1294" s="888"/>
      <c r="J1294" s="888"/>
      <c r="K1294" s="888"/>
      <c r="L1294" s="888"/>
      <c r="M1294" s="888"/>
      <c r="N1294" s="888"/>
      <c r="O1294" s="888"/>
      <c r="P1294" s="888"/>
      <c r="Q1294" s="888"/>
      <c r="R1294" s="888"/>
    </row>
    <row r="1295" spans="1:18" s="893" customFormat="1" x14ac:dyDescent="0.3">
      <c r="A1295" s="888" t="str">
        <f>IF(LEN('Translation-EN'!A1295)&gt;0,'Translation-EN'!A1295,"")</f>
        <v>Range</v>
      </c>
      <c r="B1295" s="888" t="str">
        <f>IF(LEN('Translation-EN'!B1295)&gt;0,'Translation-EN'!B1295,"")</f>
        <v>RESULTS</v>
      </c>
      <c r="C1295" s="888" t="str">
        <f>IF(LEN('Translation-EN'!C1295)&gt;0,'Translation-EN'!C1295,"")</f>
        <v>I2</v>
      </c>
      <c r="D1295" s="888" t="str">
        <f>IF(LEN('Translation-EN'!D1295)&gt;0,'Translation-EN'!D1295,"")</f>
        <v/>
      </c>
      <c r="E1295" s="893" t="s">
        <v>3134</v>
      </c>
      <c r="I1295" s="888"/>
      <c r="J1295" s="888"/>
      <c r="K1295" s="888"/>
      <c r="L1295" s="888"/>
      <c r="M1295" s="888"/>
      <c r="N1295" s="888"/>
      <c r="O1295" s="888"/>
      <c r="P1295" s="888"/>
      <c r="Q1295" s="888"/>
      <c r="R1295" s="888"/>
    </row>
    <row r="1296" spans="1:18" s="893" customFormat="1" x14ac:dyDescent="0.3">
      <c r="A1296" s="888" t="str">
        <f>IF(LEN('Translation-EN'!A1296)&gt;0,'Translation-EN'!A1296,"")</f>
        <v>Range</v>
      </c>
      <c r="B1296" s="888" t="str">
        <f>IF(LEN('Translation-EN'!B1296)&gt;0,'Translation-EN'!B1296,"")</f>
        <v>RESULTS</v>
      </c>
      <c r="C1296" s="888" t="str">
        <f>IF(LEN('Translation-EN'!C1296)&gt;0,'Translation-EN'!C1296,"")</f>
        <v>B3</v>
      </c>
      <c r="D1296" s="888" t="str">
        <f>IF(LEN('Translation-EN'!D1296)&gt;0,'Translation-EN'!D1296,"")</f>
        <v/>
      </c>
      <c r="E1296" s="893" t="s">
        <v>3135</v>
      </c>
      <c r="I1296" s="888"/>
      <c r="J1296" s="888"/>
      <c r="K1296" s="888"/>
      <c r="L1296" s="888"/>
      <c r="M1296" s="888"/>
      <c r="N1296" s="888"/>
      <c r="O1296" s="888"/>
      <c r="P1296" s="888"/>
      <c r="Q1296" s="888"/>
      <c r="R1296" s="888"/>
    </row>
    <row r="1297" spans="1:18" s="893" customFormat="1" x14ac:dyDescent="0.3">
      <c r="A1297" s="888" t="str">
        <f>IF(LEN('Translation-EN'!A1297)&gt;0,'Translation-EN'!A1297,"")</f>
        <v>Range</v>
      </c>
      <c r="B1297" s="888" t="str">
        <f>IF(LEN('Translation-EN'!B1297)&gt;0,'Translation-EN'!B1297,"")</f>
        <v>RESULTS</v>
      </c>
      <c r="C1297" s="888" t="str">
        <f>IF(LEN('Translation-EN'!C1297)&gt;0,'Translation-EN'!C1297,"")</f>
        <v>F5</v>
      </c>
      <c r="D1297" s="888" t="str">
        <f>IF(LEN('Translation-EN'!D1297)&gt;0,'Translation-EN'!D1297,"")</f>
        <v/>
      </c>
      <c r="E1297" s="893" t="s">
        <v>3136</v>
      </c>
      <c r="I1297" s="888"/>
      <c r="J1297" s="888"/>
      <c r="K1297" s="888"/>
      <c r="L1297" s="888"/>
      <c r="M1297" s="888"/>
      <c r="N1297" s="888"/>
      <c r="O1297" s="888"/>
      <c r="P1297" s="888"/>
      <c r="Q1297" s="888"/>
      <c r="R1297" s="888"/>
    </row>
    <row r="1298" spans="1:18" s="893" customFormat="1" x14ac:dyDescent="0.3">
      <c r="A1298" s="888" t="str">
        <f>IF(LEN('Translation-EN'!A1298)&gt;0,'Translation-EN'!A1298,"")</f>
        <v>Range</v>
      </c>
      <c r="B1298" s="888" t="str">
        <f>IF(LEN('Translation-EN'!B1298)&gt;0,'Translation-EN'!B1298,"")</f>
        <v>RESULTS</v>
      </c>
      <c r="C1298" s="888" t="str">
        <f>IF(LEN('Translation-EN'!C1298)&gt;0,'Translation-EN'!C1298,"")</f>
        <v>F6</v>
      </c>
      <c r="D1298" s="888" t="str">
        <f>IF(LEN('Translation-EN'!D1298)&gt;0,'Translation-EN'!D1298,"")</f>
        <v/>
      </c>
      <c r="E1298" s="893" t="s">
        <v>3137</v>
      </c>
      <c r="I1298" s="888"/>
      <c r="J1298" s="888"/>
      <c r="K1298" s="888"/>
      <c r="L1298" s="888"/>
      <c r="M1298" s="888"/>
      <c r="N1298" s="888"/>
      <c r="O1298" s="888"/>
      <c r="P1298" s="888"/>
      <c r="Q1298" s="888"/>
      <c r="R1298" s="888"/>
    </row>
    <row r="1299" spans="1:18" s="893" customFormat="1" x14ac:dyDescent="0.3">
      <c r="A1299" s="888" t="str">
        <f>IF(LEN('Translation-EN'!A1299)&gt;0,'Translation-EN'!A1299,"")</f>
        <v>Range</v>
      </c>
      <c r="B1299" s="888" t="str">
        <f>IF(LEN('Translation-EN'!B1299)&gt;0,'Translation-EN'!B1299,"")</f>
        <v>RESULTS</v>
      </c>
      <c r="C1299" s="888" t="str">
        <f>IF(LEN('Translation-EN'!C1299)&gt;0,'Translation-EN'!C1299,"")</f>
        <v>F7</v>
      </c>
      <c r="D1299" s="888" t="str">
        <f>IF(LEN('Translation-EN'!D1299)&gt;0,'Translation-EN'!D1299,"")</f>
        <v/>
      </c>
      <c r="E1299" s="893" t="s">
        <v>3138</v>
      </c>
      <c r="I1299" s="888"/>
      <c r="J1299" s="888"/>
      <c r="K1299" s="888"/>
      <c r="L1299" s="888"/>
      <c r="M1299" s="888"/>
      <c r="N1299" s="888"/>
      <c r="O1299" s="888"/>
      <c r="P1299" s="888"/>
      <c r="Q1299" s="888"/>
      <c r="R1299" s="888"/>
    </row>
    <row r="1300" spans="1:18" s="893" customFormat="1" x14ac:dyDescent="0.3">
      <c r="A1300" s="888" t="str">
        <f>IF(LEN('Translation-EN'!A1300)&gt;0,'Translation-EN'!A1300,"")</f>
        <v>Range</v>
      </c>
      <c r="B1300" s="888" t="str">
        <f>IF(LEN('Translation-EN'!B1300)&gt;0,'Translation-EN'!B1300,"")</f>
        <v>RESULTS</v>
      </c>
      <c r="C1300" s="888" t="str">
        <f>IF(LEN('Translation-EN'!C1300)&gt;0,'Translation-EN'!C1300,"")</f>
        <v>F8</v>
      </c>
      <c r="D1300" s="888" t="str">
        <f>IF(LEN('Translation-EN'!D1300)&gt;0,'Translation-EN'!D1300,"")</f>
        <v/>
      </c>
      <c r="E1300" s="893" t="s">
        <v>3139</v>
      </c>
      <c r="I1300" s="888"/>
      <c r="J1300" s="888"/>
      <c r="K1300" s="888"/>
      <c r="L1300" s="888"/>
      <c r="M1300" s="888"/>
      <c r="N1300" s="888"/>
      <c r="O1300" s="888"/>
      <c r="P1300" s="888"/>
      <c r="Q1300" s="888"/>
      <c r="R1300" s="888"/>
    </row>
    <row r="1301" spans="1:18" s="893" customFormat="1" x14ac:dyDescent="0.3">
      <c r="A1301" s="888" t="str">
        <f>IF(LEN('Translation-EN'!A1301)&gt;0,'Translation-EN'!A1301,"")</f>
        <v>Range</v>
      </c>
      <c r="B1301" s="888" t="str">
        <f>IF(LEN('Translation-EN'!B1301)&gt;0,'Translation-EN'!B1301,"")</f>
        <v>RESULTS</v>
      </c>
      <c r="C1301" s="888" t="str">
        <f>IF(LEN('Translation-EN'!C1301)&gt;0,'Translation-EN'!C1301,"")</f>
        <v>F9</v>
      </c>
      <c r="D1301" s="888" t="str">
        <f>IF(LEN('Translation-EN'!D1301)&gt;0,'Translation-EN'!D1301,"")</f>
        <v/>
      </c>
      <c r="E1301" s="893" t="s">
        <v>3140</v>
      </c>
      <c r="I1301" s="888"/>
      <c r="J1301" s="888"/>
      <c r="K1301" s="888"/>
      <c r="L1301" s="888"/>
      <c r="M1301" s="888"/>
      <c r="N1301" s="888"/>
      <c r="O1301" s="888"/>
      <c r="P1301" s="888"/>
      <c r="Q1301" s="888"/>
      <c r="R1301" s="888"/>
    </row>
    <row r="1302" spans="1:18" s="893" customFormat="1" x14ac:dyDescent="0.3">
      <c r="A1302" s="888" t="str">
        <f>IF(LEN('Translation-EN'!A1302)&gt;0,'Translation-EN'!A1302,"")</f>
        <v>Range</v>
      </c>
      <c r="B1302" s="888" t="str">
        <f>IF(LEN('Translation-EN'!B1302)&gt;0,'Translation-EN'!B1302,"")</f>
        <v>RESULTS</v>
      </c>
      <c r="C1302" s="888" t="str">
        <f>IF(LEN('Translation-EN'!C1302)&gt;0,'Translation-EN'!C1302,"")</f>
        <v>F10</v>
      </c>
      <c r="D1302" s="888" t="str">
        <f>IF(LEN('Translation-EN'!D1302)&gt;0,'Translation-EN'!D1302,"")</f>
        <v/>
      </c>
      <c r="E1302" s="1042" t="s">
        <v>6765</v>
      </c>
      <c r="I1302" s="888"/>
      <c r="J1302" s="888"/>
      <c r="K1302" s="888"/>
      <c r="L1302" s="888"/>
      <c r="M1302" s="888"/>
      <c r="N1302" s="888"/>
      <c r="O1302" s="888"/>
      <c r="P1302" s="888"/>
      <c r="Q1302" s="888"/>
      <c r="R1302" s="888"/>
    </row>
    <row r="1303" spans="1:18" s="893" customFormat="1" ht="28.8" x14ac:dyDescent="0.3">
      <c r="A1303" s="888" t="str">
        <f>IF(LEN('Translation-EN'!A1303)&gt;0,'Translation-EN'!A1303,"")</f>
        <v>Shape</v>
      </c>
      <c r="B1303" s="888" t="str">
        <f>IF(LEN('Translation-EN'!B1303)&gt;0,'Translation-EN'!B1303,"")</f>
        <v>RESULTS</v>
      </c>
      <c r="C1303" s="888" t="str">
        <f>IF(LEN('Translation-EN'!C1303)&gt;0,'Translation-EN'!C1303,"")</f>
        <v>Rectangle 3</v>
      </c>
      <c r="D1303" s="888" t="str">
        <f>IF(LEN('Translation-EN'!D1303)&gt;0,'Translation-EN'!D1303,"")</f>
        <v/>
      </c>
      <c r="E1303" s="970" t="s">
        <v>3141</v>
      </c>
      <c r="I1303" s="888"/>
      <c r="J1303" s="888"/>
      <c r="K1303" s="888"/>
      <c r="L1303" s="888"/>
      <c r="M1303" s="888"/>
      <c r="N1303" s="888"/>
      <c r="O1303" s="888"/>
      <c r="P1303" s="888"/>
      <c r="Q1303" s="888"/>
      <c r="R1303" s="888"/>
    </row>
    <row r="1304" spans="1:18" s="893" customFormat="1" x14ac:dyDescent="0.3">
      <c r="A1304" s="888" t="str">
        <f>IF(LEN('Translation-EN'!A1304)&gt;0,'Translation-EN'!A1304,"")</f>
        <v>Range</v>
      </c>
      <c r="B1304" s="888" t="str">
        <f>IF(LEN('Translation-EN'!B1304)&gt;0,'Translation-EN'!B1304,"")</f>
        <v>RESULTS</v>
      </c>
      <c r="C1304" s="888" t="str">
        <f>IF(LEN('Translation-EN'!C1304)&gt;0,'Translation-EN'!C1304,"")</f>
        <v>F12</v>
      </c>
      <c r="D1304" s="888" t="str">
        <f>IF(LEN('Translation-EN'!D1304)&gt;0,'Translation-EN'!D1304,"")</f>
        <v/>
      </c>
      <c r="E1304" s="893" t="str">
        <f>$E$59</f>
        <v>Émissions provenant de matériaux</v>
      </c>
      <c r="I1304" s="888"/>
      <c r="J1304" s="888"/>
      <c r="K1304" s="888"/>
      <c r="L1304" s="888"/>
      <c r="M1304" s="888"/>
      <c r="N1304" s="888"/>
      <c r="O1304" s="888"/>
      <c r="P1304" s="888"/>
      <c r="Q1304" s="888"/>
      <c r="R1304" s="888"/>
    </row>
    <row r="1305" spans="1:18" s="893" customFormat="1" ht="15" thickBot="1" x14ac:dyDescent="0.35">
      <c r="A1305" s="888" t="str">
        <f>IF(LEN('Translation-EN'!A1305)&gt;0,'Translation-EN'!A1305,"")</f>
        <v>Range</v>
      </c>
      <c r="B1305" s="888" t="str">
        <f>IF(LEN('Translation-EN'!B1305)&gt;0,'Translation-EN'!B1305,"")</f>
        <v>RESULTS</v>
      </c>
      <c r="C1305" s="888" t="str">
        <f>IF(LEN('Translation-EN'!C1305)&gt;0,'Translation-EN'!C1305,"")</f>
        <v>J12</v>
      </c>
      <c r="D1305" s="888" t="str">
        <f>IF(LEN('Translation-EN'!D1305)&gt;0,'Translation-EN'!D1305,"")</f>
        <v/>
      </c>
      <c r="E1305" s="893" t="str">
        <f>$E$42</f>
        <v>Émissions opérationnelles</v>
      </c>
      <c r="I1305" s="888"/>
      <c r="J1305" s="888"/>
      <c r="K1305" s="888"/>
      <c r="L1305" s="888"/>
      <c r="M1305" s="888"/>
      <c r="N1305" s="888"/>
      <c r="O1305" s="888"/>
      <c r="P1305" s="888"/>
      <c r="Q1305" s="888"/>
      <c r="R1305" s="888"/>
    </row>
    <row r="1306" spans="1:18" s="893" customFormat="1" ht="22.95" customHeight="1" thickBot="1" x14ac:dyDescent="0.35">
      <c r="A1306" s="888" t="str">
        <f>IF(LEN('Translation-EN'!A1306)&gt;0,'Translation-EN'!A1306,"")</f>
        <v>Range</v>
      </c>
      <c r="B1306" s="888" t="str">
        <f>IF(LEN('Translation-EN'!B1306)&gt;0,'Translation-EN'!B1306,"")</f>
        <v>_RESULTS</v>
      </c>
      <c r="C1306" s="888" t="str">
        <f>IF(LEN('Translation-EN'!C1306)&gt;0,'Translation-EN'!C1306,"")</f>
        <v>F13</v>
      </c>
      <c r="D1306" s="888" t="b">
        <f>IF(LEN('Translation-EN'!D1306)&gt;0,'Translation-EN'!D1306,"")</f>
        <v>1</v>
      </c>
      <c r="E1306" s="973" t="s">
        <v>4975</v>
      </c>
      <c r="I1306" s="888"/>
      <c r="J1306" s="888"/>
      <c r="K1306" s="888"/>
      <c r="L1306" s="888"/>
      <c r="M1306" s="888"/>
      <c r="N1306" s="888"/>
      <c r="O1306" s="888"/>
      <c r="P1306" s="888"/>
      <c r="Q1306" s="888"/>
      <c r="R1306" s="888"/>
    </row>
    <row r="1307" spans="1:18" s="893" customFormat="1" ht="21.6" thickBot="1" x14ac:dyDescent="0.35">
      <c r="A1307" s="888" t="str">
        <f>IF(LEN('Translation-EN'!A1307)&gt;0,'Translation-EN'!A1307,"")</f>
        <v>Range</v>
      </c>
      <c r="B1307" s="888" t="str">
        <f>IF(LEN('Translation-EN'!B1307)&gt;0,'Translation-EN'!B1307,"")</f>
        <v>RESULTS</v>
      </c>
      <c r="C1307" s="888" t="str">
        <f>IF(LEN('Translation-EN'!C1307)&gt;0,'Translation-EN'!C1307,"")</f>
        <v>F13</v>
      </c>
      <c r="D1307" s="888" t="b">
        <f>IF(LEN('Translation-EN'!D1307)&gt;0,'Translation-EN'!D1307,"")</f>
        <v>1</v>
      </c>
      <c r="E1307" s="972" t="s">
        <v>4975</v>
      </c>
      <c r="I1307" s="888"/>
      <c r="J1307" s="888"/>
      <c r="K1307" s="888"/>
      <c r="L1307" s="888"/>
      <c r="M1307" s="888"/>
      <c r="N1307" s="888"/>
      <c r="O1307" s="888"/>
      <c r="P1307" s="888"/>
      <c r="Q1307" s="888"/>
      <c r="R1307" s="888"/>
    </row>
    <row r="1308" spans="1:18" s="893" customFormat="1" ht="24.6" customHeight="1" thickBot="1" x14ac:dyDescent="0.35">
      <c r="A1308" s="888" t="str">
        <f>IF(LEN('Translation-EN'!A1308)&gt;0,'Translation-EN'!A1308,"")</f>
        <v>Range</v>
      </c>
      <c r="B1308" s="888" t="str">
        <f>IF(LEN('Translation-EN'!B1308)&gt;0,'Translation-EN'!B1308,"")</f>
        <v>_RESULTS</v>
      </c>
      <c r="C1308" s="888" t="str">
        <f>IF(LEN('Translation-EN'!C1308)&gt;0,'Translation-EN'!C1308,"")</f>
        <v>G13</v>
      </c>
      <c r="D1308" s="888" t="b">
        <f>IF(LEN('Translation-EN'!D1308)&gt;0,'Translation-EN'!D1308,"")</f>
        <v>1</v>
      </c>
      <c r="E1308" s="1043" t="s">
        <v>7283</v>
      </c>
      <c r="I1308" s="888"/>
      <c r="J1308" s="888"/>
      <c r="K1308" s="888"/>
      <c r="L1308" s="888"/>
      <c r="M1308" s="888"/>
      <c r="N1308" s="888"/>
      <c r="O1308" s="888"/>
      <c r="P1308" s="888"/>
      <c r="Q1308" s="888"/>
      <c r="R1308" s="888"/>
    </row>
    <row r="1309" spans="1:18" s="893" customFormat="1" ht="21.6" thickBot="1" x14ac:dyDescent="0.35">
      <c r="A1309" s="888" t="str">
        <f>IF(LEN('Translation-EN'!A1309)&gt;0,'Translation-EN'!A1309,"")</f>
        <v>Range</v>
      </c>
      <c r="B1309" s="888" t="str">
        <f>IF(LEN('Translation-EN'!B1309)&gt;0,'Translation-EN'!B1309,"")</f>
        <v>RESULTS</v>
      </c>
      <c r="C1309" s="888" t="str">
        <f>IF(LEN('Translation-EN'!C1309)&gt;0,'Translation-EN'!C1309,"")</f>
        <v>G13</v>
      </c>
      <c r="D1309" s="888" t="b">
        <f>IF(LEN('Translation-EN'!D1309)&gt;0,'Translation-EN'!D1309,"")</f>
        <v>1</v>
      </c>
      <c r="E1309" s="1043" t="s">
        <v>7283</v>
      </c>
      <c r="I1309" s="888"/>
      <c r="J1309" s="888"/>
      <c r="K1309" s="888"/>
      <c r="L1309" s="888"/>
      <c r="M1309" s="888"/>
      <c r="N1309" s="888"/>
      <c r="O1309" s="888"/>
      <c r="P1309" s="888"/>
      <c r="Q1309" s="888"/>
      <c r="R1309" s="888"/>
    </row>
    <row r="1310" spans="1:18" s="893" customFormat="1" ht="15" thickBot="1" x14ac:dyDescent="0.35">
      <c r="A1310" s="888" t="str">
        <f>IF(LEN('Translation-EN'!A1310)&gt;0,'Translation-EN'!A1310,"")</f>
        <v>Range</v>
      </c>
      <c r="B1310" s="888" t="str">
        <f>IF(LEN('Translation-EN'!B1310)&gt;0,'Translation-EN'!B1310,"")</f>
        <v>RESULTS</v>
      </c>
      <c r="C1310" s="888" t="str">
        <f>IF(LEN('Translation-EN'!C1310)&gt;0,'Translation-EN'!C1310,"")</f>
        <v>J13</v>
      </c>
      <c r="D1310" s="888" t="b">
        <f>IF(LEN('Translation-EN'!D1310)&gt;0,'Translation-EN'!D1310,"")</f>
        <v>1</v>
      </c>
      <c r="E1310" s="974" t="s">
        <v>7497</v>
      </c>
      <c r="I1310" s="888"/>
      <c r="J1310" s="888"/>
      <c r="K1310" s="888"/>
      <c r="L1310" s="888"/>
      <c r="M1310" s="888"/>
      <c r="N1310" s="888"/>
      <c r="O1310" s="888"/>
      <c r="P1310" s="888"/>
      <c r="Q1310" s="888"/>
      <c r="R1310" s="888"/>
    </row>
    <row r="1311" spans="1:18" s="893" customFormat="1" ht="15" thickBot="1" x14ac:dyDescent="0.35">
      <c r="A1311" s="888" t="str">
        <f>IF(LEN('Translation-EN'!A1311)&gt;0,'Translation-EN'!A1311,"")</f>
        <v>Range</v>
      </c>
      <c r="B1311" s="888" t="str">
        <f>IF(LEN('Translation-EN'!B1311)&gt;0,'Translation-EN'!B1311,"")</f>
        <v>RESULTS</v>
      </c>
      <c r="C1311" s="888" t="str">
        <f>IF(LEN('Translation-EN'!C1311)&gt;0,'Translation-EN'!C1311,"")</f>
        <v>K13</v>
      </c>
      <c r="D1311" s="888" t="b">
        <f>IF(LEN('Translation-EN'!D1311)&gt;0,'Translation-EN'!D1311,"")</f>
        <v>1</v>
      </c>
      <c r="E1311" s="975" t="s">
        <v>7498</v>
      </c>
      <c r="I1311" s="888"/>
      <c r="J1311" s="888"/>
      <c r="K1311" s="888"/>
      <c r="L1311" s="888"/>
      <c r="M1311" s="888"/>
      <c r="N1311" s="888"/>
      <c r="O1311" s="888"/>
      <c r="P1311" s="888"/>
      <c r="Q1311" s="888"/>
      <c r="R1311" s="888"/>
    </row>
    <row r="1312" spans="1:18" s="893" customFormat="1" ht="21" thickBot="1" x14ac:dyDescent="0.35">
      <c r="A1312" s="888" t="str">
        <f>IF(LEN('Translation-EN'!A1312)&gt;0,'Translation-EN'!A1312,"")</f>
        <v>Range</v>
      </c>
      <c r="B1312" s="888" t="str">
        <f>IF(LEN('Translation-EN'!B1312)&gt;0,'Translation-EN'!B1312,"")</f>
        <v>RESULTS</v>
      </c>
      <c r="C1312" s="888" t="str">
        <f>IF(LEN('Translation-EN'!C1312)&gt;0,'Translation-EN'!C1312,"")</f>
        <v>B14</v>
      </c>
      <c r="D1312" s="888" t="b">
        <f>IF(LEN('Translation-EN'!D1312)&gt;0,'Translation-EN'!D1312,"")</f>
        <v>1</v>
      </c>
      <c r="E1312" s="976" t="s">
        <v>4977</v>
      </c>
      <c r="I1312" s="888"/>
      <c r="J1312" s="888"/>
      <c r="K1312" s="888"/>
      <c r="L1312" s="888"/>
      <c r="M1312" s="888"/>
      <c r="N1312" s="888"/>
      <c r="O1312" s="888"/>
      <c r="P1312" s="888"/>
      <c r="Q1312" s="888"/>
      <c r="R1312" s="888"/>
    </row>
    <row r="1313" spans="1:18" s="893" customFormat="1" x14ac:dyDescent="0.3">
      <c r="A1313" s="888" t="str">
        <f>IF(LEN('Translation-EN'!A1313)&gt;0,'Translation-EN'!A1313,"")</f>
        <v>Range</v>
      </c>
      <c r="B1313" s="888" t="str">
        <f>IF(LEN('Translation-EN'!B1313)&gt;0,'Translation-EN'!B1313,"")</f>
        <v>RESULTS</v>
      </c>
      <c r="C1313" s="888" t="str">
        <f>IF(LEN('Translation-EN'!C1313)&gt;0,'Translation-EN'!C1313,"")</f>
        <v>D14</v>
      </c>
      <c r="D1313" s="888" t="b">
        <f>IF(LEN('Translation-EN'!D1313)&gt;0,'Translation-EN'!D1313,"")</f>
        <v>1</v>
      </c>
      <c r="E1313" s="977" t="s">
        <v>4978</v>
      </c>
      <c r="I1313" s="888"/>
      <c r="J1313" s="888"/>
      <c r="K1313" s="888"/>
      <c r="L1313" s="888"/>
      <c r="M1313" s="888"/>
      <c r="N1313" s="888"/>
      <c r="O1313" s="888"/>
      <c r="P1313" s="888"/>
      <c r="Q1313" s="888"/>
      <c r="R1313" s="888"/>
    </row>
    <row r="1314" spans="1:18" s="893" customFormat="1" x14ac:dyDescent="0.3">
      <c r="A1314" s="888" t="str">
        <f>IF(LEN('Translation-EN'!A1314)&gt;0,'Translation-EN'!A1314,"")</f>
        <v>Range</v>
      </c>
      <c r="B1314" s="888" t="str">
        <f>IF(LEN('Translation-EN'!B1314)&gt;0,'Translation-EN'!B1314,"")</f>
        <v>RESULTS</v>
      </c>
      <c r="C1314" s="888" t="str">
        <f>IF(LEN('Translation-EN'!C1314)&gt;0,'Translation-EN'!C1314,"")</f>
        <v>B15</v>
      </c>
      <c r="D1314" s="888" t="str">
        <f>IF(LEN('Translation-EN'!D1314)&gt;0,'Translation-EN'!D1314,"")</f>
        <v/>
      </c>
      <c r="E1314" s="893" t="s">
        <v>4979</v>
      </c>
      <c r="I1314" s="888"/>
      <c r="J1314" s="888"/>
      <c r="K1314" s="888"/>
      <c r="L1314" s="888"/>
      <c r="M1314" s="888"/>
      <c r="N1314" s="888"/>
      <c r="O1314" s="888"/>
      <c r="P1314" s="888"/>
      <c r="Q1314" s="888"/>
      <c r="R1314" s="888"/>
    </row>
    <row r="1315" spans="1:18" s="893" customFormat="1" x14ac:dyDescent="0.3">
      <c r="A1315" s="888" t="str">
        <f>IF(LEN('Translation-EN'!A1315)&gt;0,'Translation-EN'!A1315,"")</f>
        <v>Range</v>
      </c>
      <c r="B1315" s="888" t="str">
        <f>IF(LEN('Translation-EN'!B1315)&gt;0,'Translation-EN'!B1315,"")</f>
        <v>RESULTS</v>
      </c>
      <c r="C1315" s="888" t="str">
        <f>IF(LEN('Translation-EN'!C1315)&gt;0,'Translation-EN'!C1315,"")</f>
        <v>D15</v>
      </c>
      <c r="D1315" s="888" t="b">
        <f>IF(LEN('Translation-EN'!D1315)&gt;0,'Translation-EN'!D1315,"")</f>
        <v>1</v>
      </c>
      <c r="E1315" s="1677" t="s">
        <v>4980</v>
      </c>
      <c r="I1315" s="888"/>
      <c r="J1315" s="888"/>
      <c r="K1315" s="888"/>
      <c r="L1315" s="888"/>
      <c r="M1315" s="888"/>
      <c r="N1315" s="888"/>
      <c r="O1315" s="888"/>
      <c r="P1315" s="888"/>
      <c r="Q1315" s="888"/>
      <c r="R1315" s="888"/>
    </row>
    <row r="1316" spans="1:18" s="893" customFormat="1" ht="15" thickBot="1" x14ac:dyDescent="0.35">
      <c r="A1316" s="888" t="str">
        <f>IF(LEN('Translation-EN'!A1316)&gt;0,'Translation-EN'!A1316,"")</f>
        <v>-</v>
      </c>
      <c r="B1316" s="888" t="str">
        <f>IF(LEN('Translation-EN'!B1316)&gt;0,'Translation-EN'!B1316,"")</f>
        <v/>
      </c>
      <c r="C1316" s="888" t="str">
        <f>IF(LEN('Translation-EN'!C1316)&gt;0,'Translation-EN'!C1316,"")</f>
        <v/>
      </c>
      <c r="D1316" s="888" t="str">
        <f>IF(LEN('Translation-EN'!D1316)&gt;0,'Translation-EN'!D1316,"")</f>
        <v/>
      </c>
      <c r="E1316" s="1678"/>
      <c r="I1316" s="888"/>
      <c r="J1316" s="888"/>
      <c r="K1316" s="888"/>
      <c r="L1316" s="888"/>
      <c r="M1316" s="888"/>
      <c r="N1316" s="888"/>
      <c r="O1316" s="888"/>
      <c r="P1316" s="888"/>
      <c r="Q1316" s="888"/>
      <c r="R1316" s="888"/>
    </row>
    <row r="1317" spans="1:18" s="893" customFormat="1" x14ac:dyDescent="0.3">
      <c r="A1317" s="888" t="str">
        <f>IF(LEN('Translation-EN'!A1317)&gt;0,'Translation-EN'!A1317,"")</f>
        <v>Range</v>
      </c>
      <c r="B1317" s="888" t="str">
        <f>IF(LEN('Translation-EN'!B1317)&gt;0,'Translation-EN'!B1317,"")</f>
        <v>RESULTS</v>
      </c>
      <c r="C1317" s="888" t="str">
        <f>IF(LEN('Translation-EN'!C1317)&gt;0,'Translation-EN'!C1317,"")</f>
        <v>J17</v>
      </c>
      <c r="D1317" s="888" t="str">
        <f>IF(LEN('Translation-EN'!D1317)&gt;0,'Translation-EN'!D1317,"")</f>
        <v/>
      </c>
      <c r="E1317" s="1044" t="s">
        <v>6792</v>
      </c>
      <c r="I1317" s="888"/>
      <c r="J1317" s="888"/>
      <c r="K1317" s="888"/>
      <c r="L1317" s="888"/>
      <c r="M1317" s="888"/>
      <c r="N1317" s="888"/>
      <c r="O1317" s="888"/>
      <c r="P1317" s="888"/>
      <c r="Q1317" s="888"/>
      <c r="R1317" s="888"/>
    </row>
    <row r="1318" spans="1:18" s="893" customFormat="1" x14ac:dyDescent="0.3">
      <c r="A1318" s="888" t="str">
        <f>IF(LEN('Translation-EN'!A1318)&gt;0,'Translation-EN'!A1318,"")</f>
        <v>Range</v>
      </c>
      <c r="B1318" s="888" t="str">
        <f>IF(LEN('Translation-EN'!B1318)&gt;0,'Translation-EN'!B1318,"")</f>
        <v>RESULTS</v>
      </c>
      <c r="C1318" s="888" t="str">
        <f>IF(LEN('Translation-EN'!C1318)&gt;0,'Translation-EN'!C1318,"")</f>
        <v>B18</v>
      </c>
      <c r="D1318" s="888" t="str">
        <f>IF(LEN('Translation-EN'!D1318)&gt;0,'Translation-EN'!D1318,"")</f>
        <v/>
      </c>
      <c r="E1318" s="893" t="s">
        <v>3149</v>
      </c>
      <c r="I1318" s="888"/>
      <c r="J1318" s="888"/>
      <c r="K1318" s="888"/>
      <c r="L1318" s="888"/>
      <c r="M1318" s="888"/>
      <c r="N1318" s="888"/>
      <c r="O1318" s="888"/>
      <c r="P1318" s="888"/>
      <c r="Q1318" s="888"/>
      <c r="R1318" s="888"/>
    </row>
    <row r="1319" spans="1:18" x14ac:dyDescent="0.3">
      <c r="A1319" s="888" t="str">
        <f>IF(LEN('Translation-EN'!A1319)&gt;0,'Translation-EN'!A1319,"")</f>
        <v>Range</v>
      </c>
      <c r="B1319" s="888" t="str">
        <f>IF(LEN('Translation-EN'!B1319)&gt;0,'Translation-EN'!B1319,"")</f>
        <v>RESULTS</v>
      </c>
      <c r="C1319" s="888" t="str">
        <f>IF(LEN('Translation-EN'!C1319)&gt;0,'Translation-EN'!C1319,"")</f>
        <v>B19</v>
      </c>
      <c r="D1319" s="888" t="str">
        <f>IF(LEN('Translation-EN'!D1319)&gt;0,'Translation-EN'!D1319,"")</f>
        <v/>
      </c>
      <c r="E1319" s="893" t="s">
        <v>4981</v>
      </c>
    </row>
    <row r="1320" spans="1:18" x14ac:dyDescent="0.3">
      <c r="A1320" s="888" t="str">
        <f>IF(LEN('Translation-EN'!A1320)&gt;0,'Translation-EN'!A1320,"")</f>
        <v>Range</v>
      </c>
      <c r="B1320" s="888" t="str">
        <f>IF(LEN('Translation-EN'!B1320)&gt;0,'Translation-EN'!B1320,"")</f>
        <v>RESULTS</v>
      </c>
      <c r="C1320" s="888" t="str">
        <f>IF(LEN('Translation-EN'!C1320)&gt;0,'Translation-EN'!C1320,"")</f>
        <v>B21</v>
      </c>
      <c r="D1320" s="888" t="str">
        <f>IF(LEN('Translation-EN'!D1320)&gt;0,'Translation-EN'!D1320,"")</f>
        <v/>
      </c>
      <c r="E1320" s="893" t="s">
        <v>4987</v>
      </c>
    </row>
    <row r="1321" spans="1:18" x14ac:dyDescent="0.3">
      <c r="A1321" s="888" t="str">
        <f>IF(LEN('Translation-EN'!A1321)&gt;0,'Translation-EN'!A1321,"")</f>
        <v>Range</v>
      </c>
      <c r="B1321" s="888" t="str">
        <f>IF(LEN('Translation-EN'!B1321)&gt;0,'Translation-EN'!B1321,"")</f>
        <v>RESULTS</v>
      </c>
      <c r="C1321" s="888" t="str">
        <f>IF(LEN('Translation-EN'!C1321)&gt;0,'Translation-EN'!C1321,"")</f>
        <v>B23</v>
      </c>
      <c r="D1321" s="888" t="str">
        <f>IF(LEN('Translation-EN'!D1321)&gt;0,'Translation-EN'!D1321,"")</f>
        <v/>
      </c>
      <c r="E1321" s="893" t="s">
        <v>4988</v>
      </c>
    </row>
    <row r="1322" spans="1:18" x14ac:dyDescent="0.3">
      <c r="A1322" s="888" t="str">
        <f>IF(LEN('Translation-EN'!A1322)&gt;0,'Translation-EN'!A1322,"")</f>
        <v>Range</v>
      </c>
      <c r="B1322" s="888" t="str">
        <f>IF(LEN('Translation-EN'!B1322)&gt;0,'Translation-EN'!B1322,"")</f>
        <v>RESULTS</v>
      </c>
      <c r="C1322" s="888" t="str">
        <f>IF(LEN('Translation-EN'!C1322)&gt;0,'Translation-EN'!C1322,"")</f>
        <v>B27</v>
      </c>
      <c r="D1322" s="888" t="str">
        <f>IF(LEN('Translation-EN'!D1322)&gt;0,'Translation-EN'!D1322,"")</f>
        <v/>
      </c>
      <c r="E1322" s="893" t="s">
        <v>4989</v>
      </c>
    </row>
    <row r="1323" spans="1:18" x14ac:dyDescent="0.3">
      <c r="A1323" s="888" t="str">
        <f>IF(LEN('Translation-EN'!A1323)&gt;0,'Translation-EN'!A1323,"")</f>
        <v>Range</v>
      </c>
      <c r="B1323" s="888" t="str">
        <f>IF(LEN('Translation-EN'!B1323)&gt;0,'Translation-EN'!B1323,"")</f>
        <v>RESULTS</v>
      </c>
      <c r="C1323" s="888" t="str">
        <f>IF(LEN('Translation-EN'!C1323)&gt;0,'Translation-EN'!C1323,"")</f>
        <v>B28</v>
      </c>
      <c r="D1323" s="888" t="str">
        <f>IF(LEN('Translation-EN'!D1323)&gt;0,'Translation-EN'!D1323,"")</f>
        <v/>
      </c>
      <c r="E1323" s="893" t="s">
        <v>4990</v>
      </c>
    </row>
    <row r="1324" spans="1:18" x14ac:dyDescent="0.3">
      <c r="A1324" s="888" t="str">
        <f>IF(LEN('Translation-EN'!A1324)&gt;0,'Translation-EN'!A1324,"")</f>
        <v>Range</v>
      </c>
      <c r="B1324" s="888" t="str">
        <f>IF(LEN('Translation-EN'!B1324)&gt;0,'Translation-EN'!B1324,"")</f>
        <v>RESULTS</v>
      </c>
      <c r="C1324" s="888" t="str">
        <f>IF(LEN('Translation-EN'!C1324)&gt;0,'Translation-EN'!C1324,"")</f>
        <v>B29</v>
      </c>
      <c r="D1324" s="888" t="str">
        <f>IF(LEN('Translation-EN'!D1324)&gt;0,'Translation-EN'!D1324,"")</f>
        <v/>
      </c>
      <c r="E1324" s="893" t="s">
        <v>4991</v>
      </c>
    </row>
    <row r="1325" spans="1:18" x14ac:dyDescent="0.3">
      <c r="A1325" s="888" t="str">
        <f>IF(LEN('Translation-EN'!A1325)&gt;0,'Translation-EN'!A1325,"")</f>
        <v>Range</v>
      </c>
      <c r="B1325" s="888" t="str">
        <f>IF(LEN('Translation-EN'!B1325)&gt;0,'Translation-EN'!B1325,"")</f>
        <v>RESULTS</v>
      </c>
      <c r="C1325" s="888" t="str">
        <f>IF(LEN('Translation-EN'!C1325)&gt;0,'Translation-EN'!C1325,"")</f>
        <v>B30</v>
      </c>
      <c r="D1325" s="888" t="str">
        <f>IF(LEN('Translation-EN'!D1325)&gt;0,'Translation-EN'!D1325,"")</f>
        <v/>
      </c>
      <c r="E1325" s="893" t="s">
        <v>4992</v>
      </c>
    </row>
    <row r="1326" spans="1:18" x14ac:dyDescent="0.3">
      <c r="A1326" s="888" t="str">
        <f>IF(LEN('Translation-EN'!A1326)&gt;0,'Translation-EN'!A1326,"")</f>
        <v>Range</v>
      </c>
      <c r="B1326" s="888" t="str">
        <f>IF(LEN('Translation-EN'!B1326)&gt;0,'Translation-EN'!B1326,"")</f>
        <v>RESULTS</v>
      </c>
      <c r="C1326" s="888" t="str">
        <f>IF(LEN('Translation-EN'!C1326)&gt;0,'Translation-EN'!C1326,"")</f>
        <v>B31</v>
      </c>
      <c r="D1326" s="888" t="str">
        <f>IF(LEN('Translation-EN'!D1326)&gt;0,'Translation-EN'!D1326,"")</f>
        <v/>
      </c>
      <c r="E1326" s="893" t="s">
        <v>4993</v>
      </c>
    </row>
    <row r="1327" spans="1:18" x14ac:dyDescent="0.3">
      <c r="A1327" s="888" t="str">
        <f>IF(LEN('Translation-EN'!A1327)&gt;0,'Translation-EN'!A1327,"")</f>
        <v>Range</v>
      </c>
      <c r="B1327" s="888" t="str">
        <f>IF(LEN('Translation-EN'!B1327)&gt;0,'Translation-EN'!B1327,"")</f>
        <v>RESULTS</v>
      </c>
      <c r="C1327" s="888" t="str">
        <f>IF(LEN('Translation-EN'!C1327)&gt;0,'Translation-EN'!C1327,"")</f>
        <v>B32</v>
      </c>
      <c r="D1327" s="888" t="str">
        <f>IF(LEN('Translation-EN'!D1327)&gt;0,'Translation-EN'!D1327,"")</f>
        <v/>
      </c>
      <c r="E1327" s="893" t="s">
        <v>4994</v>
      </c>
    </row>
    <row r="1328" spans="1:18" x14ac:dyDescent="0.3">
      <c r="A1328" s="888" t="str">
        <f>IF(LEN('Translation-EN'!A1328)&gt;0,'Translation-EN'!A1328,"")</f>
        <v>Range</v>
      </c>
      <c r="B1328" s="888" t="str">
        <f>IF(LEN('Translation-EN'!B1328)&gt;0,'Translation-EN'!B1328,"")</f>
        <v>RESULTS</v>
      </c>
      <c r="C1328" s="888" t="str">
        <f>IF(LEN('Translation-EN'!C1328)&gt;0,'Translation-EN'!C1328,"")</f>
        <v>B33</v>
      </c>
      <c r="D1328" s="888" t="str">
        <f>IF(LEN('Translation-EN'!D1328)&gt;0,'Translation-EN'!D1328,"")</f>
        <v/>
      </c>
      <c r="E1328" s="893" t="s">
        <v>4995</v>
      </c>
    </row>
    <row r="1329" spans="1:12" x14ac:dyDescent="0.3">
      <c r="A1329" s="888" t="str">
        <f>IF(LEN('Translation-EN'!A1329)&gt;0,'Translation-EN'!A1329,"")</f>
        <v>Range</v>
      </c>
      <c r="B1329" s="888" t="str">
        <f>IF(LEN('Translation-EN'!B1329)&gt;0,'Translation-EN'!B1329,"")</f>
        <v>RESULTS</v>
      </c>
      <c r="C1329" s="888" t="str">
        <f>IF(LEN('Translation-EN'!C1329)&gt;0,'Translation-EN'!C1329,"")</f>
        <v>B34</v>
      </c>
      <c r="D1329" s="888" t="str">
        <f>IF(LEN('Translation-EN'!D1329)&gt;0,'Translation-EN'!D1329,"")</f>
        <v/>
      </c>
      <c r="E1329" s="893" t="s">
        <v>4996</v>
      </c>
    </row>
    <row r="1330" spans="1:12" x14ac:dyDescent="0.3">
      <c r="A1330" s="888" t="str">
        <f>IF(LEN('Translation-EN'!A1330)&gt;0,'Translation-EN'!A1330,"")</f>
        <v>Range</v>
      </c>
      <c r="B1330" s="888" t="str">
        <f>IF(LEN('Translation-EN'!B1330)&gt;0,'Translation-EN'!B1330,"")</f>
        <v>RESULTS</v>
      </c>
      <c r="C1330" s="888" t="str">
        <f>IF(LEN('Translation-EN'!C1330)&gt;0,'Translation-EN'!C1330,"")</f>
        <v>B35</v>
      </c>
      <c r="D1330" s="888" t="str">
        <f>IF(LEN('Translation-EN'!D1330)&gt;0,'Translation-EN'!D1330,"")</f>
        <v/>
      </c>
      <c r="E1330" s="893" t="s">
        <v>4997</v>
      </c>
    </row>
    <row r="1331" spans="1:12" x14ac:dyDescent="0.3">
      <c r="A1331" s="888" t="str">
        <f>IF(LEN('Translation-EN'!A1331)&gt;0,'Translation-EN'!A1331,"")</f>
        <v>Range</v>
      </c>
      <c r="B1331" s="888" t="str">
        <f>IF(LEN('Translation-EN'!B1331)&gt;0,'Translation-EN'!B1331,"")</f>
        <v>RESULTS</v>
      </c>
      <c r="C1331" s="888" t="str">
        <f>IF(LEN('Translation-EN'!C1331)&gt;0,'Translation-EN'!C1331,"")</f>
        <v>B36</v>
      </c>
      <c r="D1331" s="888" t="str">
        <f>IF(LEN('Translation-EN'!D1331)&gt;0,'Translation-EN'!D1331,"")</f>
        <v/>
      </c>
      <c r="E1331" s="893" t="s">
        <v>4998</v>
      </c>
    </row>
    <row r="1332" spans="1:12" x14ac:dyDescent="0.3">
      <c r="A1332" s="888" t="str">
        <f>IF(LEN('Translation-EN'!A1332)&gt;0,'Translation-EN'!A1332,"")</f>
        <v>Range</v>
      </c>
      <c r="B1332" s="888" t="str">
        <f>IF(LEN('Translation-EN'!B1332)&gt;0,'Translation-EN'!B1332,"")</f>
        <v>RESULTS</v>
      </c>
      <c r="C1332" s="888" t="str">
        <f>IF(LEN('Translation-EN'!C1332)&gt;0,'Translation-EN'!C1332,"")</f>
        <v>B37</v>
      </c>
      <c r="D1332" s="888" t="str">
        <f>IF(LEN('Translation-EN'!D1332)&gt;0,'Translation-EN'!D1332,"")</f>
        <v/>
      </c>
      <c r="E1332" s="893" t="s">
        <v>4999</v>
      </c>
    </row>
    <row r="1333" spans="1:12" x14ac:dyDescent="0.3">
      <c r="A1333" s="888" t="str">
        <f>IF(LEN('Translation-EN'!A1333)&gt;0,'Translation-EN'!A1333,"")</f>
        <v>Range</v>
      </c>
      <c r="B1333" s="888" t="str">
        <f>IF(LEN('Translation-EN'!B1333)&gt;0,'Translation-EN'!B1333,"")</f>
        <v>RESULTS</v>
      </c>
      <c r="C1333" s="888" t="str">
        <f>IF(LEN('Translation-EN'!C1333)&gt;0,'Translation-EN'!C1333,"")</f>
        <v>B38</v>
      </c>
      <c r="D1333" s="888" t="str">
        <f>IF(LEN('Translation-EN'!D1333)&gt;0,'Translation-EN'!D1333,"")</f>
        <v/>
      </c>
      <c r="E1333" s="939" t="s">
        <v>5113</v>
      </c>
    </row>
    <row r="1334" spans="1:12" x14ac:dyDescent="0.3">
      <c r="A1334" s="888" t="str">
        <f>IF(LEN('Translation-EN'!A1334)&gt;0,'Translation-EN'!A1334,"")</f>
        <v>Range</v>
      </c>
      <c r="B1334" s="888" t="str">
        <f>IF(LEN('Translation-EN'!B1334)&gt;0,'Translation-EN'!B1334,"")</f>
        <v>RESULTS</v>
      </c>
      <c r="C1334" s="888" t="str">
        <f>IF(LEN('Translation-EN'!C1334)&gt;0,'Translation-EN'!C1334,"")</f>
        <v>B39</v>
      </c>
      <c r="D1334" s="888" t="str">
        <f>IF(LEN('Translation-EN'!D1334)&gt;0,'Translation-EN'!D1334,"")</f>
        <v/>
      </c>
      <c r="E1334" s="893" t="s">
        <v>5000</v>
      </c>
    </row>
    <row r="1335" spans="1:12" x14ac:dyDescent="0.3">
      <c r="A1335" s="888" t="str">
        <f>IF(LEN('Translation-EN'!A1335)&gt;0,'Translation-EN'!A1335,"")</f>
        <v>Range</v>
      </c>
      <c r="B1335" s="888" t="str">
        <f>IF(LEN('Translation-EN'!B1335)&gt;0,'Translation-EN'!B1335,"")</f>
        <v>RESULTS</v>
      </c>
      <c r="C1335" s="888" t="str">
        <f>IF(LEN('Translation-EN'!C1335)&gt;0,'Translation-EN'!C1335,"")</f>
        <v>B40</v>
      </c>
      <c r="D1335" s="888" t="str">
        <f>IF(LEN('Translation-EN'!D1335)&gt;0,'Translation-EN'!D1335,"")</f>
        <v/>
      </c>
      <c r="E1335" s="893" t="s">
        <v>5001</v>
      </c>
    </row>
    <row r="1336" spans="1:12" x14ac:dyDescent="0.3">
      <c r="A1336" s="888" t="str">
        <f>IF(LEN('Translation-EN'!A1336)&gt;0,'Translation-EN'!A1336,"")</f>
        <v>Range</v>
      </c>
      <c r="B1336" s="888" t="str">
        <f>IF(LEN('Translation-EN'!B1336)&gt;0,'Translation-EN'!B1336,"")</f>
        <v>_RESULTS</v>
      </c>
      <c r="C1336" s="888" t="str">
        <f>IF(LEN('Translation-EN'!C1336)&gt;0,'Translation-EN'!C1336,"")</f>
        <v>B18</v>
      </c>
      <c r="D1336" s="888" t="str">
        <f>IF(LEN('Translation-EN'!D1336)&gt;0,'Translation-EN'!D1336,"")</f>
        <v>Ignore this translation (this cell is deleted)</v>
      </c>
      <c r="E1336" s="893" t="s">
        <v>3142</v>
      </c>
    </row>
    <row r="1337" spans="1:12" x14ac:dyDescent="0.3">
      <c r="A1337" s="888" t="str">
        <f>IF(LEN('Translation-EN'!A1337)&gt;0,'Translation-EN'!A1337,"")</f>
        <v>Range</v>
      </c>
      <c r="B1337" s="888" t="str">
        <f>IF(LEN('Translation-EN'!B1337)&gt;0,'Translation-EN'!B1337,"")</f>
        <v>_RESULTS</v>
      </c>
      <c r="C1337" s="888" t="str">
        <f>IF(LEN('Translation-EN'!C1337)&gt;0,'Translation-EN'!C1337,"")</f>
        <v>B28</v>
      </c>
      <c r="D1337" s="888" t="str">
        <f>IF(LEN('Translation-EN'!D1337)&gt;0,'Translation-EN'!D1337,"")</f>
        <v>Ignore this translation (this cell is deleted)</v>
      </c>
      <c r="E1337" s="893" t="s">
        <v>3143</v>
      </c>
    </row>
    <row r="1338" spans="1:12" ht="133.5" customHeight="1" x14ac:dyDescent="0.3">
      <c r="A1338" s="888" t="str">
        <f>IF(LEN('Translation-EN'!A1338)&gt;0,'Translation-EN'!A1338,"")</f>
        <v>Range</v>
      </c>
      <c r="B1338" s="888" t="str">
        <f>IF(LEN('Translation-EN'!B1338)&gt;0,'Translation-EN'!B1338,"")</f>
        <v>_RESULTS</v>
      </c>
      <c r="C1338" s="888" t="str">
        <f>IF(LEN('Translation-EN'!C1338)&gt;0,'Translation-EN'!C1338,"")</f>
        <v>B29</v>
      </c>
      <c r="D1338" s="888" t="str">
        <f>IF(LEN('Translation-EN'!D1338)&gt;0,'Translation-EN'!D1338,"")</f>
        <v>TRUE - Ignore this translation (this cell is deleted)</v>
      </c>
      <c r="E1338" s="1672" t="s">
        <v>3496</v>
      </c>
      <c r="F1338" s="1672"/>
      <c r="G1338" s="1672"/>
      <c r="H1338" s="1672"/>
      <c r="I1338" s="1672"/>
      <c r="J1338" s="1672"/>
      <c r="K1338" s="1672"/>
      <c r="L1338" s="1672"/>
    </row>
    <row r="1339" spans="1:12" ht="14.4" customHeight="1" x14ac:dyDescent="0.3">
      <c r="A1339" s="888" t="str">
        <f>IF(LEN('Translation-EN'!A1339)&gt;0,'Translation-EN'!A1339,"")</f>
        <v>Range</v>
      </c>
      <c r="B1339" s="888" t="str">
        <f>IF(LEN('Translation-EN'!B1339)&gt;0,'Translation-EN'!B1339,"")</f>
        <v>RESULTS</v>
      </c>
      <c r="C1339" s="888" t="str">
        <f>IF(LEN('Translation-EN'!C1339)&gt;0,'Translation-EN'!C1339,"")</f>
        <v>B75</v>
      </c>
      <c r="D1339" s="888" t="str">
        <f>IF(LEN('Translation-EN'!D1339)&gt;0,'Translation-EN'!D1339,"")</f>
        <v/>
      </c>
      <c r="E1339" s="893" t="s">
        <v>5006</v>
      </c>
      <c r="F1339" s="979"/>
      <c r="G1339" s="979"/>
      <c r="H1339" s="979"/>
      <c r="I1339" s="979"/>
      <c r="J1339" s="979"/>
      <c r="K1339" s="979"/>
      <c r="L1339" s="979"/>
    </row>
    <row r="1340" spans="1:12" ht="14.4" customHeight="1" x14ac:dyDescent="0.3">
      <c r="A1340" s="888" t="str">
        <f>IF(LEN('Translation-EN'!A1340)&gt;0,'Translation-EN'!A1340,"")</f>
        <v>Range</v>
      </c>
      <c r="B1340" s="888" t="str">
        <f>IF(LEN('Translation-EN'!B1340)&gt;0,'Translation-EN'!B1340,"")</f>
        <v>RESULTS</v>
      </c>
      <c r="C1340" s="888" t="str">
        <f>IF(LEN('Translation-EN'!C1340)&gt;0,'Translation-EN'!C1340,"")</f>
        <v>B76</v>
      </c>
      <c r="D1340" s="888" t="str">
        <f>IF(LEN('Translation-EN'!D1340)&gt;0,'Translation-EN'!D1340,"")</f>
        <v/>
      </c>
      <c r="E1340" s="893" t="s">
        <v>5007</v>
      </c>
      <c r="F1340" s="979"/>
      <c r="G1340" s="979"/>
      <c r="H1340" s="979"/>
      <c r="I1340" s="979"/>
      <c r="J1340" s="979"/>
      <c r="K1340" s="979"/>
      <c r="L1340" s="979"/>
    </row>
    <row r="1341" spans="1:12" ht="14.4" customHeight="1" x14ac:dyDescent="0.3">
      <c r="A1341" s="888" t="str">
        <f>IF(LEN('Translation-EN'!A1341)&gt;0,'Translation-EN'!A1341,"")</f>
        <v>Range</v>
      </c>
      <c r="B1341" s="888" t="str">
        <f>IF(LEN('Translation-EN'!B1341)&gt;0,'Translation-EN'!B1341,"")</f>
        <v>RESULTS</v>
      </c>
      <c r="C1341" s="888" t="str">
        <f>IF(LEN('Translation-EN'!C1341)&gt;0,'Translation-EN'!C1341,"")</f>
        <v>B77</v>
      </c>
      <c r="D1341" s="888" t="str">
        <f>IF(LEN('Translation-EN'!D1341)&gt;0,'Translation-EN'!D1341,"")</f>
        <v/>
      </c>
      <c r="E1341" s="893" t="s">
        <v>5008</v>
      </c>
      <c r="F1341" s="979"/>
      <c r="G1341" s="979"/>
      <c r="H1341" s="979"/>
      <c r="I1341" s="979"/>
      <c r="J1341" s="979"/>
      <c r="K1341" s="979"/>
      <c r="L1341" s="979"/>
    </row>
    <row r="1342" spans="1:12" ht="14.4" customHeight="1" x14ac:dyDescent="0.3">
      <c r="A1342" s="888" t="str">
        <f>IF(LEN('Translation-EN'!A1342)&gt;0,'Translation-EN'!A1342,"")</f>
        <v>Range</v>
      </c>
      <c r="B1342" s="888" t="str">
        <f>IF(LEN('Translation-EN'!B1342)&gt;0,'Translation-EN'!B1342,"")</f>
        <v>RESULTS</v>
      </c>
      <c r="C1342" s="888" t="str">
        <f>IF(LEN('Translation-EN'!C1342)&gt;0,'Translation-EN'!C1342,"")</f>
        <v>B78</v>
      </c>
      <c r="D1342" s="888" t="str">
        <f>IF(LEN('Translation-EN'!D1342)&gt;0,'Translation-EN'!D1342,"")</f>
        <v/>
      </c>
      <c r="E1342" s="893" t="s">
        <v>5009</v>
      </c>
      <c r="F1342" s="979"/>
      <c r="G1342" s="979"/>
      <c r="H1342" s="979"/>
      <c r="I1342" s="979"/>
      <c r="J1342" s="979"/>
      <c r="K1342" s="979"/>
      <c r="L1342" s="979"/>
    </row>
    <row r="1343" spans="1:12" ht="14.4" customHeight="1" x14ac:dyDescent="0.3">
      <c r="A1343" s="888" t="str">
        <f>IF(LEN('Translation-EN'!A1343)&gt;0,'Translation-EN'!A1343,"")</f>
        <v>Range</v>
      </c>
      <c r="B1343" s="888" t="str">
        <f>IF(LEN('Translation-EN'!B1343)&gt;0,'Translation-EN'!B1343,"")</f>
        <v>RESULTS</v>
      </c>
      <c r="C1343" s="888" t="str">
        <f>IF(LEN('Translation-EN'!C1343)&gt;0,'Translation-EN'!C1343,"")</f>
        <v>B79</v>
      </c>
      <c r="D1343" s="888" t="str">
        <f>IF(LEN('Translation-EN'!D1343)&gt;0,'Translation-EN'!D1343,"")</f>
        <v/>
      </c>
      <c r="E1343" s="893" t="s">
        <v>5010</v>
      </c>
      <c r="F1343" s="979"/>
      <c r="G1343" s="979"/>
      <c r="H1343" s="979"/>
      <c r="I1343" s="979"/>
      <c r="J1343" s="979"/>
      <c r="K1343" s="979"/>
      <c r="L1343" s="979"/>
    </row>
    <row r="1344" spans="1:12" ht="14.4" customHeight="1" x14ac:dyDescent="0.3">
      <c r="A1344" s="888" t="str">
        <f>IF(LEN('Translation-EN'!A1344)&gt;0,'Translation-EN'!A1344,"")</f>
        <v>Range</v>
      </c>
      <c r="B1344" s="888" t="str">
        <f>IF(LEN('Translation-EN'!B1344)&gt;0,'Translation-EN'!B1344,"")</f>
        <v>RESULTS</v>
      </c>
      <c r="C1344" s="888" t="str">
        <f>IF(LEN('Translation-EN'!C1344)&gt;0,'Translation-EN'!C1344,"")</f>
        <v>B80</v>
      </c>
      <c r="D1344" s="888" t="str">
        <f>IF(LEN('Translation-EN'!D1344)&gt;0,'Translation-EN'!D1344,"")</f>
        <v/>
      </c>
      <c r="E1344" s="893" t="s">
        <v>5011</v>
      </c>
      <c r="F1344" s="979"/>
      <c r="G1344" s="979"/>
      <c r="H1344" s="979"/>
      <c r="I1344" s="979"/>
      <c r="J1344" s="979"/>
      <c r="K1344" s="979"/>
      <c r="L1344" s="979"/>
    </row>
    <row r="1345" spans="1:12" ht="14.4" customHeight="1" x14ac:dyDescent="0.3">
      <c r="A1345" s="888" t="str">
        <f>IF(LEN('Translation-EN'!A1345)&gt;0,'Translation-EN'!A1345,"")</f>
        <v>Range</v>
      </c>
      <c r="B1345" s="888" t="str">
        <f>IF(LEN('Translation-EN'!B1345)&gt;0,'Translation-EN'!B1345,"")</f>
        <v>RESULTS</v>
      </c>
      <c r="C1345" s="888" t="str">
        <f>IF(LEN('Translation-EN'!C1345)&gt;0,'Translation-EN'!C1345,"")</f>
        <v>B81</v>
      </c>
      <c r="D1345" s="888" t="str">
        <f>IF(LEN('Translation-EN'!D1345)&gt;0,'Translation-EN'!D1345,"")</f>
        <v/>
      </c>
      <c r="E1345" s="893" t="s">
        <v>5012</v>
      </c>
      <c r="F1345" s="979"/>
      <c r="G1345" s="979"/>
      <c r="H1345" s="979"/>
      <c r="I1345" s="979"/>
      <c r="J1345" s="979"/>
      <c r="K1345" s="979"/>
      <c r="L1345" s="979"/>
    </row>
    <row r="1346" spans="1:12" ht="14.4" customHeight="1" x14ac:dyDescent="0.3">
      <c r="A1346" s="888" t="str">
        <f>IF(LEN('Translation-EN'!A1346)&gt;0,'Translation-EN'!A1346,"")</f>
        <v>Range</v>
      </c>
      <c r="B1346" s="888" t="str">
        <f>IF(LEN('Translation-EN'!B1346)&gt;0,'Translation-EN'!B1346,"")</f>
        <v>RESULTS</v>
      </c>
      <c r="C1346" s="888" t="str">
        <f>IF(LEN('Translation-EN'!C1346)&gt;0,'Translation-EN'!C1346,"")</f>
        <v>B82</v>
      </c>
      <c r="D1346" s="888" t="str">
        <f>IF(LEN('Translation-EN'!D1346)&gt;0,'Translation-EN'!D1346,"")</f>
        <v/>
      </c>
      <c r="E1346" s="893" t="s">
        <v>5013</v>
      </c>
      <c r="F1346" s="979"/>
      <c r="G1346" s="979"/>
      <c r="H1346" s="979"/>
      <c r="I1346" s="979"/>
      <c r="J1346" s="979"/>
      <c r="K1346" s="979"/>
      <c r="L1346" s="979"/>
    </row>
    <row r="1347" spans="1:12" x14ac:dyDescent="0.3">
      <c r="A1347" s="888" t="str">
        <f>IF(LEN('Translation-EN'!A1347)&gt;0,'Translation-EN'!A1347,"")</f>
        <v>Range</v>
      </c>
      <c r="B1347" s="888" t="str">
        <f>IF(LEN('Translation-EN'!B1347)&gt;0,'Translation-EN'!B1347,"")</f>
        <v>RESULTS</v>
      </c>
      <c r="C1347" s="888" t="str">
        <f>IF(LEN('Translation-EN'!C1347)&gt;0,'Translation-EN'!C1347,"")</f>
        <v>B87</v>
      </c>
      <c r="D1347" s="888" t="str">
        <f>IF(LEN('Translation-EN'!D1347)&gt;0,'Translation-EN'!D1347,"")</f>
        <v/>
      </c>
      <c r="E1347" s="893" t="s">
        <v>3144</v>
      </c>
    </row>
    <row r="1348" spans="1:12" x14ac:dyDescent="0.3">
      <c r="A1348" s="888" t="str">
        <f>IF(LEN('Translation-EN'!A1348)&gt;0,'Translation-EN'!A1348,"")</f>
        <v>Range</v>
      </c>
      <c r="B1348" s="888" t="str">
        <f>IF(LEN('Translation-EN'!B1348)&gt;0,'Translation-EN'!B1348,"")</f>
        <v>RESULTS</v>
      </c>
      <c r="C1348" s="888" t="str">
        <f>IF(LEN('Translation-EN'!C1348)&gt;0,'Translation-EN'!C1348,"")</f>
        <v>B88</v>
      </c>
      <c r="D1348" s="888" t="str">
        <f>IF(LEN('Translation-EN'!D1348)&gt;0,'Translation-EN'!D1348,"")</f>
        <v/>
      </c>
      <c r="E1348" s="893" t="s">
        <v>3145</v>
      </c>
    </row>
    <row r="1349" spans="1:12" x14ac:dyDescent="0.3">
      <c r="A1349" s="888" t="str">
        <f>IF(LEN('Translation-EN'!A1349)&gt;0,'Translation-EN'!A1349,"")</f>
        <v>Range</v>
      </c>
      <c r="B1349" s="888" t="str">
        <f>IF(LEN('Translation-EN'!B1349)&gt;0,'Translation-EN'!B1349,"")</f>
        <v>RESULTS</v>
      </c>
      <c r="C1349" s="888" t="str">
        <f>IF(LEN('Translation-EN'!C1349)&gt;0,'Translation-EN'!C1349,"")</f>
        <v>B106</v>
      </c>
      <c r="D1349" s="888" t="str">
        <f>IF(LEN('Translation-EN'!D1349)&gt;0,'Translation-EN'!D1349,"")</f>
        <v/>
      </c>
      <c r="E1349" s="893" t="s">
        <v>5014</v>
      </c>
    </row>
    <row r="1350" spans="1:12" x14ac:dyDescent="0.3">
      <c r="A1350" s="888" t="str">
        <f>IF(LEN('Translation-EN'!A1350)&gt;0,'Translation-EN'!A1350,"")</f>
        <v>Range</v>
      </c>
      <c r="B1350" s="888" t="str">
        <f>IF(LEN('Translation-EN'!B1350)&gt;0,'Translation-EN'!B1350,"")</f>
        <v>RESULTS</v>
      </c>
      <c r="C1350" s="888" t="str">
        <f>IF(LEN('Translation-EN'!C1350)&gt;0,'Translation-EN'!C1350,"")</f>
        <v>B108</v>
      </c>
      <c r="D1350" s="888" t="str">
        <f>IF(LEN('Translation-EN'!D1350)&gt;0,'Translation-EN'!D1350,"")</f>
        <v/>
      </c>
      <c r="E1350" s="893" t="s">
        <v>3146</v>
      </c>
    </row>
    <row r="1351" spans="1:12" x14ac:dyDescent="0.3">
      <c r="A1351" s="888" t="str">
        <f>IF(LEN('Translation-EN'!A1351)&gt;0,'Translation-EN'!A1351,"")</f>
        <v>Range</v>
      </c>
      <c r="B1351" s="888" t="str">
        <f>IF(LEN('Translation-EN'!B1351)&gt;0,'Translation-EN'!B1351,"")</f>
        <v>RESULTS</v>
      </c>
      <c r="C1351" s="888" t="str">
        <f>IF(LEN('Translation-EN'!C1351)&gt;0,'Translation-EN'!C1351,"")</f>
        <v>C108</v>
      </c>
      <c r="D1351" s="888" t="b">
        <f>IF(LEN('Translation-EN'!D1351)&gt;0,'Translation-EN'!D1351,"")</f>
        <v>1</v>
      </c>
      <c r="E1351" s="1045" t="s">
        <v>3147</v>
      </c>
    </row>
    <row r="1352" spans="1:12" x14ac:dyDescent="0.3">
      <c r="A1352" s="888" t="str">
        <f>IF(LEN('Translation-EN'!A1352)&gt;0,'Translation-EN'!A1352,"")</f>
        <v>Range</v>
      </c>
      <c r="B1352" s="888" t="str">
        <f>IF(LEN('Translation-EN'!B1352)&gt;0,'Translation-EN'!B1352,"")</f>
        <v>RESULTS</v>
      </c>
      <c r="C1352" s="888" t="str">
        <f>IF(LEN('Translation-EN'!C1352)&gt;0,'Translation-EN'!C1352,"")</f>
        <v>E108</v>
      </c>
      <c r="D1352" s="888" t="str">
        <f>IF(LEN('Translation-EN'!D1352)&gt;0,'Translation-EN'!D1352,"")</f>
        <v/>
      </c>
      <c r="E1352" s="893" t="s">
        <v>1107</v>
      </c>
    </row>
    <row r="1353" spans="1:12" x14ac:dyDescent="0.3">
      <c r="A1353" s="888" t="str">
        <f>IF(LEN('Translation-EN'!A1353)&gt;0,'Translation-EN'!A1353,"")</f>
        <v>Range</v>
      </c>
      <c r="B1353" s="888" t="str">
        <f>IF(LEN('Translation-EN'!B1353)&gt;0,'Translation-EN'!B1353,"")</f>
        <v>RESULTS</v>
      </c>
      <c r="C1353" s="888" t="str">
        <f>IF(LEN('Translation-EN'!C1353)&gt;0,'Translation-EN'!C1353,"")</f>
        <v>G108</v>
      </c>
      <c r="D1353" s="888" t="str">
        <f>IF(LEN('Translation-EN'!D1353)&gt;0,'Translation-EN'!D1353,"")</f>
        <v/>
      </c>
      <c r="E1353" s="893" t="s">
        <v>3148</v>
      </c>
    </row>
    <row r="1354" spans="1:12" x14ac:dyDescent="0.3">
      <c r="A1354" s="888" t="str">
        <f>IF(LEN('Translation-EN'!A1354)&gt;0,'Translation-EN'!A1354,"")</f>
        <v>Range</v>
      </c>
      <c r="B1354" s="888" t="str">
        <f>IF(LEN('Translation-EN'!B1354)&gt;0,'Translation-EN'!B1354,"")</f>
        <v>RESULTS</v>
      </c>
      <c r="C1354" s="888" t="str">
        <f>IF(LEN('Translation-EN'!C1354)&gt;0,'Translation-EN'!C1354,"")</f>
        <v>B117</v>
      </c>
      <c r="D1354" s="888" t="str">
        <f>IF(LEN('Translation-EN'!D1354)&gt;0,'Translation-EN'!D1354,"")</f>
        <v/>
      </c>
      <c r="E1354" s="893" t="s">
        <v>5018</v>
      </c>
    </row>
    <row r="1355" spans="1:12" x14ac:dyDescent="0.3">
      <c r="A1355" s="888" t="str">
        <f>IF(LEN('Translation-EN'!A1355)&gt;0,'Translation-EN'!A1355,"")</f>
        <v>Range</v>
      </c>
      <c r="B1355" s="888" t="str">
        <f>IF(LEN('Translation-EN'!B1355)&gt;0,'Translation-EN'!B1355,"")</f>
        <v>RESULTS</v>
      </c>
      <c r="C1355" s="888" t="str">
        <f>IF(LEN('Translation-EN'!C1355)&gt;0,'Translation-EN'!C1355,"")</f>
        <v>B118</v>
      </c>
      <c r="D1355" s="888" t="str">
        <f>IF(LEN('Translation-EN'!D1355)&gt;0,'Translation-EN'!D1355,"")</f>
        <v/>
      </c>
      <c r="E1355" s="982" t="str">
        <f>$E$1350</f>
        <v>Classement</v>
      </c>
    </row>
    <row r="1356" spans="1:12" x14ac:dyDescent="0.3">
      <c r="A1356" s="888" t="str">
        <f>IF(LEN('Translation-EN'!A1356)&gt;0,'Translation-EN'!A1356,"")</f>
        <v>Range</v>
      </c>
      <c r="B1356" s="888" t="str">
        <f>IF(LEN('Translation-EN'!B1356)&gt;0,'Translation-EN'!B1356,"")</f>
        <v>RESULTS</v>
      </c>
      <c r="C1356" s="888" t="str">
        <f>IF(LEN('Translation-EN'!C1356)&gt;0,'Translation-EN'!C1356,"")</f>
        <v>C118</v>
      </c>
      <c r="D1356" s="888" t="b">
        <f>IF(LEN('Translation-EN'!D1356)&gt;0,'Translation-EN'!D1356,"")</f>
        <v>1</v>
      </c>
      <c r="E1356" s="1046" t="str">
        <f>$E$1351</f>
        <v>kg CO2e</v>
      </c>
    </row>
    <row r="1357" spans="1:12" x14ac:dyDescent="0.3">
      <c r="A1357" s="888" t="str">
        <f>IF(LEN('Translation-EN'!A1357)&gt;0,'Translation-EN'!A1357,"")</f>
        <v>Range</v>
      </c>
      <c r="B1357" s="888" t="str">
        <f>IF(LEN('Translation-EN'!B1357)&gt;0,'Translation-EN'!B1357,"")</f>
        <v>RESULTS</v>
      </c>
      <c r="C1357" s="888" t="str">
        <f>IF(LEN('Translation-EN'!C1357)&gt;0,'Translation-EN'!C1357,"")</f>
        <v>E118</v>
      </c>
      <c r="D1357" s="888" t="str">
        <f>IF(LEN('Translation-EN'!D1357)&gt;0,'Translation-EN'!D1357,"")</f>
        <v/>
      </c>
      <c r="E1357" s="982" t="str">
        <f>$E$1352</f>
        <v>Section</v>
      </c>
    </row>
    <row r="1358" spans="1:12" x14ac:dyDescent="0.3">
      <c r="A1358" s="888" t="str">
        <f>IF(LEN('Translation-EN'!A1358)&gt;0,'Translation-EN'!A1358,"")</f>
        <v>Range</v>
      </c>
      <c r="B1358" s="888" t="str">
        <f>IF(LEN('Translation-EN'!B1358)&gt;0,'Translation-EN'!B1358,"")</f>
        <v>RESULTS</v>
      </c>
      <c r="C1358" s="888" t="str">
        <f>IF(LEN('Translation-EN'!C1358)&gt;0,'Translation-EN'!C1358,"")</f>
        <v>G118</v>
      </c>
      <c r="D1358" s="888" t="str">
        <f>IF(LEN('Translation-EN'!D1358)&gt;0,'Translation-EN'!D1358,"")</f>
        <v/>
      </c>
      <c r="E1358" s="982" t="str">
        <f>$E$1353</f>
        <v>Matériau</v>
      </c>
    </row>
    <row r="1359" spans="1:12" x14ac:dyDescent="0.3">
      <c r="A1359" s="888" t="str">
        <f>IF(LEN('Translation-EN'!A1359)&gt;0,'Translation-EN'!A1359,"")</f>
        <v>Shape</v>
      </c>
      <c r="B1359" s="888" t="str">
        <f>IF(LEN('Translation-EN'!B1359)&gt;0,'Translation-EN'!B1359,"")</f>
        <v>RESULTS</v>
      </c>
      <c r="C1359" s="888" t="str">
        <f>IF(LEN('Translation-EN'!C1359)&gt;0,'Translation-EN'!C1359,"")</f>
        <v>Rounded Rectangle 1</v>
      </c>
      <c r="D1359" s="888" t="str">
        <f>IF(LEN('Translation-EN'!D1359)&gt;0,'Translation-EN'!D1359,"")</f>
        <v/>
      </c>
      <c r="E1359" s="893" t="s">
        <v>3150</v>
      </c>
    </row>
    <row r="1360" spans="1:12" x14ac:dyDescent="0.3">
      <c r="A1360" s="888" t="str">
        <f>IF(LEN('Translation-EN'!A1360)&gt;0,'Translation-EN'!A1360,"")</f>
        <v>Shape</v>
      </c>
      <c r="B1360" s="888" t="str">
        <f>IF(LEN('Translation-EN'!B1360)&gt;0,'Translation-EN'!B1360,"")</f>
        <v>_RESULTS</v>
      </c>
      <c r="C1360" s="888" t="str">
        <f>IF(LEN('Translation-EN'!C1360)&gt;0,'Translation-EN'!C1360,"")</f>
        <v>Group 4,Rectangle 35</v>
      </c>
      <c r="D1360" s="888" t="str">
        <f>IF(LEN('Translation-EN'!D1360)&gt;0,'Translation-EN'!D1360,"")</f>
        <v>Shape inside another</v>
      </c>
      <c r="E1360" s="985" t="s">
        <v>3151</v>
      </c>
    </row>
    <row r="1361" spans="1:18" s="893" customFormat="1" x14ac:dyDescent="0.3">
      <c r="A1361" s="888" t="str">
        <f>IF(LEN('Translation-EN'!A1361)&gt;0,'Translation-EN'!A1361,"")</f>
        <v>Chart</v>
      </c>
      <c r="B1361" s="888" t="str">
        <f>IF(LEN('Translation-EN'!B1361)&gt;0,'Translation-EN'!B1361,"")</f>
        <v>RESULTS</v>
      </c>
      <c r="C1361" s="888" t="str">
        <f>IF(LEN('Translation-EN'!C1361)&gt;0,'Translation-EN'!C1361,"")</f>
        <v>Chart 55</v>
      </c>
      <c r="D1361" s="888" t="str">
        <f>IF(LEN('Translation-EN'!D1361)&gt;0,'Translation-EN'!D1361,"")</f>
        <v>Title</v>
      </c>
      <c r="E1361" s="893" t="s">
        <v>3152</v>
      </c>
      <c r="I1361" s="888"/>
      <c r="J1361" s="888"/>
      <c r="K1361" s="888"/>
      <c r="L1361" s="888"/>
      <c r="M1361" s="888"/>
      <c r="N1361" s="888"/>
      <c r="O1361" s="888"/>
      <c r="P1361" s="888"/>
      <c r="Q1361" s="888"/>
      <c r="R1361" s="888"/>
    </row>
    <row r="1362" spans="1:18" s="893" customFormat="1" x14ac:dyDescent="0.3">
      <c r="A1362" s="888" t="str">
        <f>IF(LEN('Translation-EN'!A1362)&gt;0,'Translation-EN'!A1362,"")</f>
        <v>Chart</v>
      </c>
      <c r="B1362" s="888" t="str">
        <f>IF(LEN('Translation-EN'!B1362)&gt;0,'Translation-EN'!B1362,"")</f>
        <v>RESULTS</v>
      </c>
      <c r="C1362" s="888" t="str">
        <f>IF(LEN('Translation-EN'!C1362)&gt;0,'Translation-EN'!C1362,"")</f>
        <v>Chart 55</v>
      </c>
      <c r="D1362" s="888" t="str">
        <f>IF(LEN('Translation-EN'!D1362)&gt;0,'Translation-EN'!D1362,"")</f>
        <v>Y-Axis Label</v>
      </c>
      <c r="E1362" s="893" t="s">
        <v>3153</v>
      </c>
      <c r="I1362" s="888"/>
      <c r="J1362" s="888"/>
      <c r="K1362" s="888"/>
      <c r="L1362" s="888"/>
      <c r="M1362" s="888"/>
      <c r="N1362" s="888"/>
      <c r="O1362" s="888"/>
      <c r="P1362" s="888"/>
      <c r="Q1362" s="888"/>
      <c r="R1362" s="888"/>
    </row>
    <row r="1363" spans="1:18" s="893" customFormat="1" x14ac:dyDescent="0.3">
      <c r="A1363" s="888" t="str">
        <f>IF(LEN('Translation-EN'!A1363)&gt;0,'Translation-EN'!A1363,"")</f>
        <v>Chart</v>
      </c>
      <c r="B1363" s="888" t="str">
        <f>IF(LEN('Translation-EN'!B1363)&gt;0,'Translation-EN'!B1363,"")</f>
        <v>RESULTS</v>
      </c>
      <c r="C1363" s="888" t="str">
        <f>IF(LEN('Translation-EN'!C1363)&gt;0,'Translation-EN'!C1363,"")</f>
        <v>Chart 55</v>
      </c>
      <c r="D1363" s="888" t="str">
        <f>IF(LEN('Translation-EN'!D1363)&gt;0,'Translation-EN'!D1363,"")</f>
        <v>X-Axis Label</v>
      </c>
      <c r="E1363" s="893" t="s">
        <v>3154</v>
      </c>
      <c r="I1363" s="888"/>
      <c r="J1363" s="888"/>
      <c r="K1363" s="888"/>
      <c r="L1363" s="888"/>
      <c r="M1363" s="888"/>
      <c r="N1363" s="888"/>
      <c r="O1363" s="888"/>
      <c r="P1363" s="888"/>
      <c r="Q1363" s="888"/>
      <c r="R1363" s="888"/>
    </row>
    <row r="1364" spans="1:18" s="893" customFormat="1" ht="18.600000000000001" x14ac:dyDescent="0.3">
      <c r="A1364" s="888" t="str">
        <f>IF(LEN('Translation-EN'!A1364)&gt;0,'Translation-EN'!A1364,"")</f>
        <v>Chart</v>
      </c>
      <c r="B1364" s="888" t="str">
        <f>IF(LEN('Translation-EN'!B1364)&gt;0,'Translation-EN'!B1364,"")</f>
        <v>RESULTS</v>
      </c>
      <c r="C1364" s="888" t="str">
        <f>IF(LEN('Translation-EN'!C1364)&gt;0,'Translation-EN'!C1364,"")</f>
        <v>Chart 11</v>
      </c>
      <c r="D1364" s="888" t="str">
        <f>IF(LEN('Translation-EN'!D1364)&gt;0,'Translation-EN'!D1364,"")</f>
        <v>Y-Axis Label</v>
      </c>
      <c r="E1364" s="987" t="s">
        <v>3155</v>
      </c>
      <c r="I1364" s="888"/>
      <c r="J1364" s="888"/>
      <c r="K1364" s="888"/>
      <c r="L1364" s="888"/>
      <c r="M1364" s="888"/>
      <c r="N1364" s="888"/>
      <c r="O1364" s="888"/>
      <c r="P1364" s="888"/>
      <c r="Q1364" s="888"/>
      <c r="R1364" s="888"/>
    </row>
    <row r="1365" spans="1:18" s="893" customFormat="1" ht="16.2" x14ac:dyDescent="0.3">
      <c r="A1365" s="888" t="str">
        <f>IF(LEN('Translation-EN'!A1365)&gt;0,'Translation-EN'!A1365,"")</f>
        <v>Shape</v>
      </c>
      <c r="B1365" s="888" t="str">
        <f>IF(LEN('Translation-EN'!B1365)&gt;0,'Translation-EN'!B1365,"")</f>
        <v>RESULTS</v>
      </c>
      <c r="C1365" s="888" t="str">
        <f>IF(LEN('Translation-EN'!C1365)&gt;0,'Translation-EN'!C1365,"")</f>
        <v>Group 5,Rectangle 7</v>
      </c>
      <c r="D1365" s="888" t="str">
        <f>IF(LEN('Translation-EN'!D1365)&gt;0,'Translation-EN'!D1365,"")</f>
        <v>Shape inside another</v>
      </c>
      <c r="E1365" s="1047" t="s">
        <v>4969</v>
      </c>
      <c r="I1365" s="888"/>
      <c r="J1365" s="888"/>
      <c r="K1365" s="888"/>
      <c r="L1365" s="888"/>
      <c r="M1365" s="888"/>
      <c r="N1365" s="888"/>
      <c r="O1365" s="888"/>
      <c r="P1365" s="888"/>
      <c r="Q1365" s="888"/>
      <c r="R1365" s="888"/>
    </row>
    <row r="1366" spans="1:18" s="893" customFormat="1" x14ac:dyDescent="0.3">
      <c r="A1366" s="888" t="str">
        <f>IF(LEN('Translation-EN'!A1366)&gt;0,'Translation-EN'!A1366,"")</f>
        <v>Shape</v>
      </c>
      <c r="B1366" s="888" t="str">
        <f>IF(LEN('Translation-EN'!B1366)&gt;0,'Translation-EN'!B1366,"")</f>
        <v>RESULTS</v>
      </c>
      <c r="C1366" s="888" t="str">
        <f>IF(LEN('Translation-EN'!C1366)&gt;0,'Translation-EN'!C1366,"")</f>
        <v>Group 18,Rectangle 19</v>
      </c>
      <c r="D1366" s="888" t="str">
        <f>IF(LEN('Translation-EN'!D1366)&gt;0,'Translation-EN'!D1366,"")</f>
        <v>Shape inside another</v>
      </c>
      <c r="E1366" s="888" t="s">
        <v>5023</v>
      </c>
      <c r="I1366" s="888"/>
      <c r="J1366" s="888"/>
      <c r="K1366" s="888"/>
      <c r="L1366" s="888"/>
      <c r="M1366" s="888"/>
      <c r="N1366" s="888"/>
      <c r="O1366" s="888"/>
      <c r="P1366" s="888"/>
      <c r="Q1366" s="888"/>
      <c r="R1366" s="888"/>
    </row>
    <row r="1367" spans="1:18" s="893" customFormat="1" ht="15.6" x14ac:dyDescent="0.35">
      <c r="A1367" s="888" t="str">
        <f>IF(LEN('Translation-EN'!A1367)&gt;0,'Translation-EN'!A1367,"")</f>
        <v>Shape</v>
      </c>
      <c r="B1367" s="888" t="str">
        <f>IF(LEN('Translation-EN'!B1367)&gt;0,'Translation-EN'!B1367,"")</f>
        <v>RESULTS</v>
      </c>
      <c r="C1367" s="888" t="str">
        <f>IF(LEN('Translation-EN'!C1367)&gt;0,'Translation-EN'!C1367,"")</f>
        <v>Group 18,Rectangle 20</v>
      </c>
      <c r="D1367" s="888" t="str">
        <f>IF(LEN('Translation-EN'!D1367)&gt;0,'Translation-EN'!D1367,"")</f>
        <v>Shape inside another</v>
      </c>
      <c r="E1367" s="984" t="s">
        <v>5035</v>
      </c>
      <c r="I1367" s="888"/>
      <c r="J1367" s="888"/>
      <c r="K1367" s="888"/>
      <c r="L1367" s="888"/>
      <c r="M1367" s="888"/>
      <c r="N1367" s="888"/>
      <c r="O1367" s="888"/>
      <c r="P1367" s="888"/>
      <c r="Q1367" s="888"/>
      <c r="R1367" s="888"/>
    </row>
    <row r="1368" spans="1:18" s="893" customFormat="1" ht="15.6" x14ac:dyDescent="0.35">
      <c r="A1368" s="888" t="str">
        <f>IF(LEN('Translation-EN'!A1368)&gt;0,'Translation-EN'!A1368,"")</f>
        <v>Shape</v>
      </c>
      <c r="B1368" s="888" t="str">
        <f>IF(LEN('Translation-EN'!B1368)&gt;0,'Translation-EN'!B1368,"")</f>
        <v>RESULTS</v>
      </c>
      <c r="C1368" s="888" t="str">
        <f>IF(LEN('Translation-EN'!C1368)&gt;0,'Translation-EN'!C1368,"")</f>
        <v>Group 18,Rectangle 21</v>
      </c>
      <c r="D1368" s="888" t="str">
        <f>IF(LEN('Translation-EN'!D1368)&gt;0,'Translation-EN'!D1368,"")</f>
        <v>Shape inside another</v>
      </c>
      <c r="E1368" s="984" t="s">
        <v>5036</v>
      </c>
      <c r="I1368" s="888"/>
      <c r="J1368" s="888"/>
      <c r="K1368" s="888"/>
      <c r="L1368" s="888"/>
      <c r="M1368" s="888"/>
      <c r="N1368" s="888"/>
      <c r="O1368" s="888"/>
      <c r="P1368" s="888"/>
      <c r="Q1368" s="888"/>
      <c r="R1368" s="888"/>
    </row>
    <row r="1369" spans="1:18" s="893" customFormat="1" ht="15.6" x14ac:dyDescent="0.35">
      <c r="A1369" s="888" t="str">
        <f>IF(LEN('Translation-EN'!A1369)&gt;0,'Translation-EN'!A1369,"")</f>
        <v>Shape</v>
      </c>
      <c r="B1369" s="888" t="str">
        <f>IF(LEN('Translation-EN'!B1369)&gt;0,'Translation-EN'!B1369,"")</f>
        <v>RESULTS</v>
      </c>
      <c r="C1369" s="888" t="str">
        <f>IF(LEN('Translation-EN'!C1369)&gt;0,'Translation-EN'!C1369,"")</f>
        <v>Group 18,Rectangle 24</v>
      </c>
      <c r="D1369" s="888" t="str">
        <f>IF(LEN('Translation-EN'!D1369)&gt;0,'Translation-EN'!D1369,"")</f>
        <v>Shape inside another</v>
      </c>
      <c r="E1369" s="984" t="s">
        <v>5037</v>
      </c>
      <c r="I1369" s="888"/>
      <c r="J1369" s="888"/>
      <c r="K1369" s="888"/>
      <c r="L1369" s="888"/>
      <c r="M1369" s="888"/>
      <c r="N1369" s="888"/>
      <c r="O1369" s="888"/>
      <c r="P1369" s="888"/>
      <c r="Q1369" s="888"/>
      <c r="R1369" s="888"/>
    </row>
    <row r="1370" spans="1:18" s="893" customFormat="1" ht="15.6" x14ac:dyDescent="0.35">
      <c r="A1370" s="888" t="str">
        <f>IF(LEN('Translation-EN'!A1370)&gt;0,'Translation-EN'!A1370,"")</f>
        <v>Shape</v>
      </c>
      <c r="B1370" s="888" t="str">
        <f>IF(LEN('Translation-EN'!B1370)&gt;0,'Translation-EN'!B1370,"")</f>
        <v>RESULTS</v>
      </c>
      <c r="C1370" s="888" t="str">
        <f>IF(LEN('Translation-EN'!C1370)&gt;0,'Translation-EN'!C1370,"")</f>
        <v>Group 18,Rectangle 25</v>
      </c>
      <c r="D1370" s="888" t="str">
        <f>IF(LEN('Translation-EN'!D1370)&gt;0,'Translation-EN'!D1370,"")</f>
        <v>Shape inside another</v>
      </c>
      <c r="E1370" s="984" t="s">
        <v>5038</v>
      </c>
      <c r="I1370" s="888"/>
      <c r="J1370" s="888"/>
      <c r="K1370" s="888"/>
      <c r="L1370" s="888"/>
      <c r="M1370" s="888"/>
      <c r="N1370" s="888"/>
      <c r="O1370" s="888"/>
      <c r="P1370" s="888"/>
      <c r="Q1370" s="888"/>
      <c r="R1370" s="888"/>
    </row>
    <row r="1371" spans="1:18" s="893" customFormat="1" ht="15.6" x14ac:dyDescent="0.35">
      <c r="A1371" s="888" t="str">
        <f>IF(LEN('Translation-EN'!A1371)&gt;0,'Translation-EN'!A1371,"")</f>
        <v>Shape</v>
      </c>
      <c r="B1371" s="888" t="str">
        <f>IF(LEN('Translation-EN'!B1371)&gt;0,'Translation-EN'!B1371,"")</f>
        <v>RESULTS</v>
      </c>
      <c r="C1371" s="888" t="str">
        <f>IF(LEN('Translation-EN'!C1371)&gt;0,'Translation-EN'!C1371,"")</f>
        <v>Group 18,Rectangle 28</v>
      </c>
      <c r="D1371" s="888" t="str">
        <f>IF(LEN('Translation-EN'!D1371)&gt;0,'Translation-EN'!D1371,"")</f>
        <v>Shape inside another</v>
      </c>
      <c r="E1371" s="984" t="s">
        <v>5039</v>
      </c>
      <c r="I1371" s="888"/>
      <c r="J1371" s="888"/>
      <c r="K1371" s="888"/>
      <c r="L1371" s="888"/>
      <c r="M1371" s="888"/>
      <c r="N1371" s="888"/>
      <c r="O1371" s="888"/>
      <c r="P1371" s="888"/>
      <c r="Q1371" s="888"/>
      <c r="R1371" s="888"/>
    </row>
    <row r="1372" spans="1:18" s="893" customFormat="1" x14ac:dyDescent="0.3">
      <c r="A1372" s="888" t="str">
        <f>IF(LEN('Translation-EN'!A1372)&gt;0,'Translation-EN'!A1372,"")</f>
        <v>Shape</v>
      </c>
      <c r="B1372" s="888" t="str">
        <f>IF(LEN('Translation-EN'!B1372)&gt;0,'Translation-EN'!B1372,"")</f>
        <v>RESULTS</v>
      </c>
      <c r="C1372" s="888" t="str">
        <f>IF(LEN('Translation-EN'!C1372)&gt;0,'Translation-EN'!C1372,"")</f>
        <v>Group 30,Rectangle 31</v>
      </c>
      <c r="D1372" s="888" t="str">
        <f>IF(LEN('Translation-EN'!D1372)&gt;0,'Translation-EN'!D1372,"")</f>
        <v>Shape inside another</v>
      </c>
      <c r="E1372" s="888" t="s">
        <v>6778</v>
      </c>
      <c r="I1372" s="888"/>
      <c r="J1372" s="888"/>
      <c r="K1372" s="888"/>
      <c r="L1372" s="888"/>
      <c r="M1372" s="888"/>
      <c r="N1372" s="888"/>
      <c r="O1372" s="888"/>
      <c r="P1372" s="888"/>
      <c r="Q1372" s="888"/>
      <c r="R1372" s="888"/>
    </row>
    <row r="1373" spans="1:18" s="893" customFormat="1" x14ac:dyDescent="0.3">
      <c r="A1373" s="888" t="str">
        <f>IF(LEN('Translation-EN'!A1373)&gt;0,'Translation-EN'!A1373,"")</f>
        <v>Shape</v>
      </c>
      <c r="B1373" s="888" t="str">
        <f>IF(LEN('Translation-EN'!B1373)&gt;0,'Translation-EN'!B1373,"")</f>
        <v>RESULTS</v>
      </c>
      <c r="C1373" s="888" t="str">
        <f>IF(LEN('Translation-EN'!C1373)&gt;0,'Translation-EN'!C1373,"")</f>
        <v>Group 30,Rectangle 32</v>
      </c>
      <c r="D1373" s="888" t="str">
        <f>IF(LEN('Translation-EN'!D1373)&gt;0,'Translation-EN'!D1373,"")</f>
        <v>Shape inside another</v>
      </c>
      <c r="E1373" s="888" t="str">
        <f>$E$1367</f>
        <v>Électricité (g CO2é/kWh)</v>
      </c>
      <c r="I1373" s="888"/>
      <c r="J1373" s="888"/>
      <c r="K1373" s="888"/>
      <c r="L1373" s="888"/>
      <c r="M1373" s="888"/>
      <c r="N1373" s="888"/>
      <c r="O1373" s="888"/>
      <c r="P1373" s="888"/>
      <c r="Q1373" s="888"/>
      <c r="R1373" s="888"/>
    </row>
    <row r="1374" spans="1:18" s="893" customFormat="1" x14ac:dyDescent="0.3">
      <c r="A1374" s="888" t="str">
        <f>IF(LEN('Translation-EN'!A1374)&gt;0,'Translation-EN'!A1374,"")</f>
        <v>Shape</v>
      </c>
      <c r="B1374" s="888" t="str">
        <f>IF(LEN('Translation-EN'!B1374)&gt;0,'Translation-EN'!B1374,"")</f>
        <v>RESULTS</v>
      </c>
      <c r="C1374" s="888" t="str">
        <f>IF(LEN('Translation-EN'!C1374)&gt;0,'Translation-EN'!C1374,"")</f>
        <v>Group 30,Rectangle 33</v>
      </c>
      <c r="D1374" s="888" t="str">
        <f>IF(LEN('Translation-EN'!D1374)&gt;0,'Translation-EN'!D1374,"")</f>
        <v>Shape inside another</v>
      </c>
      <c r="E1374" s="888" t="str">
        <f>$E$1368</f>
        <v>Gaz naturel (g CO2é/m³)</v>
      </c>
      <c r="I1374" s="888"/>
      <c r="J1374" s="888"/>
      <c r="K1374" s="888"/>
      <c r="L1374" s="888"/>
      <c r="M1374" s="888"/>
      <c r="N1374" s="888"/>
      <c r="O1374" s="888"/>
      <c r="P1374" s="888"/>
      <c r="Q1374" s="888"/>
      <c r="R1374" s="888"/>
    </row>
    <row r="1375" spans="1:18" s="893" customFormat="1" x14ac:dyDescent="0.3">
      <c r="A1375" s="888" t="str">
        <f>IF(LEN('Translation-EN'!A1375)&gt;0,'Translation-EN'!A1375,"")</f>
        <v>Shape</v>
      </c>
      <c r="B1375" s="888" t="str">
        <f>IF(LEN('Translation-EN'!B1375)&gt;0,'Translation-EN'!B1375,"")</f>
        <v>RESULTS</v>
      </c>
      <c r="C1375" s="888" t="str">
        <f>IF(LEN('Translation-EN'!C1375)&gt;0,'Translation-EN'!C1375,"")</f>
        <v>Group 30,Rectangle 36</v>
      </c>
      <c r="D1375" s="888" t="str">
        <f>IF(LEN('Translation-EN'!D1375)&gt;0,'Translation-EN'!D1375,"")</f>
        <v>Shape inside another</v>
      </c>
      <c r="E1375" s="888" t="str">
        <f>$E$1369</f>
        <v>Mazout (g CO2é/L)</v>
      </c>
      <c r="I1375" s="888"/>
      <c r="J1375" s="888"/>
      <c r="K1375" s="888"/>
      <c r="L1375" s="888"/>
      <c r="M1375" s="888"/>
      <c r="N1375" s="888"/>
      <c r="O1375" s="888"/>
      <c r="P1375" s="888"/>
      <c r="Q1375" s="888"/>
      <c r="R1375" s="888"/>
    </row>
    <row r="1376" spans="1:18" s="893" customFormat="1" x14ac:dyDescent="0.3">
      <c r="A1376" s="888" t="str">
        <f>IF(LEN('Translation-EN'!A1376)&gt;0,'Translation-EN'!A1376,"")</f>
        <v>Shape</v>
      </c>
      <c r="B1376" s="888" t="str">
        <f>IF(LEN('Translation-EN'!B1376)&gt;0,'Translation-EN'!B1376,"")</f>
        <v>RESULTS</v>
      </c>
      <c r="C1376" s="888" t="str">
        <f>IF(LEN('Translation-EN'!C1376)&gt;0,'Translation-EN'!C1376,"")</f>
        <v>Group 30,Rectangle 37</v>
      </c>
      <c r="D1376" s="888" t="str">
        <f>IF(LEN('Translation-EN'!D1376)&gt;0,'Translation-EN'!D1376,"")</f>
        <v>Shape inside another</v>
      </c>
      <c r="E1376" s="888" t="str">
        <f>$E$1370</f>
        <v>Propane (g CO2é/L)</v>
      </c>
      <c r="I1376" s="888"/>
      <c r="J1376" s="888"/>
      <c r="K1376" s="888"/>
      <c r="L1376" s="888"/>
      <c r="M1376" s="888"/>
      <c r="N1376" s="888"/>
      <c r="O1376" s="888"/>
      <c r="P1376" s="888"/>
      <c r="Q1376" s="888"/>
      <c r="R1376" s="888"/>
    </row>
    <row r="1377" spans="1:18" s="893" customFormat="1" x14ac:dyDescent="0.3">
      <c r="A1377" s="888" t="str">
        <f>IF(LEN('Translation-EN'!A1377)&gt;0,'Translation-EN'!A1377,"")</f>
        <v>Shape</v>
      </c>
      <c r="B1377" s="888" t="str">
        <f>IF(LEN('Translation-EN'!B1377)&gt;0,'Translation-EN'!B1377,"")</f>
        <v>RESULTS</v>
      </c>
      <c r="C1377" s="888" t="str">
        <f>IF(LEN('Translation-EN'!C1377)&gt;0,'Translation-EN'!C1377,"")</f>
        <v>Group 30,Rectangle 40</v>
      </c>
      <c r="D1377" s="888" t="str">
        <f>IF(LEN('Translation-EN'!D1377)&gt;0,'Translation-EN'!D1377,"")</f>
        <v>Shape inside another</v>
      </c>
      <c r="E1377" s="888" t="str">
        <f>$E$1371</f>
        <v>Bois (g CO2é/kg)</v>
      </c>
      <c r="I1377" s="888"/>
      <c r="J1377" s="888"/>
      <c r="K1377" s="888"/>
      <c r="L1377" s="888"/>
      <c r="M1377" s="888"/>
      <c r="N1377" s="888"/>
      <c r="O1377" s="888"/>
      <c r="P1377" s="888"/>
      <c r="Q1377" s="888"/>
      <c r="R1377" s="888"/>
    </row>
    <row r="1378" spans="1:18" s="893" customFormat="1" x14ac:dyDescent="0.3">
      <c r="A1378" s="888" t="str">
        <f>IF(LEN('Translation-EN'!A1378)&gt;0,'Translation-EN'!A1378,"")</f>
        <v>Shape</v>
      </c>
      <c r="B1378" s="888" t="str">
        <f>IF(LEN('Translation-EN'!B1378)&gt;0,'Translation-EN'!B1378,"")</f>
        <v>RESULTS</v>
      </c>
      <c r="C1378" s="888" t="str">
        <f>IF(LEN('Translation-EN'!C1378)&gt;0,'Translation-EN'!C1378,"")</f>
        <v>Group 42,Rectangle 43</v>
      </c>
      <c r="D1378" s="888" t="str">
        <f>IF(LEN('Translation-EN'!D1378)&gt;0,'Translation-EN'!D1378,"")</f>
        <v>Shape inside another</v>
      </c>
      <c r="E1378" s="888" t="s">
        <v>6779</v>
      </c>
      <c r="I1378" s="888"/>
      <c r="J1378" s="888"/>
      <c r="K1378" s="888"/>
      <c r="L1378" s="888"/>
      <c r="M1378" s="888"/>
      <c r="N1378" s="888"/>
      <c r="O1378" s="888"/>
      <c r="P1378" s="888"/>
      <c r="Q1378" s="888"/>
      <c r="R1378" s="888"/>
    </row>
    <row r="1379" spans="1:18" s="893" customFormat="1" x14ac:dyDescent="0.3">
      <c r="A1379" s="888" t="str">
        <f>IF(LEN('Translation-EN'!A1379)&gt;0,'Translation-EN'!A1379,"")</f>
        <v>Shape</v>
      </c>
      <c r="B1379" s="888" t="str">
        <f>IF(LEN('Translation-EN'!B1379)&gt;0,'Translation-EN'!B1379,"")</f>
        <v>RESULTS</v>
      </c>
      <c r="C1379" s="888" t="str">
        <f>IF(LEN('Translation-EN'!C1379)&gt;0,'Translation-EN'!C1379,"")</f>
        <v>Group 42,Rectangle 44</v>
      </c>
      <c r="D1379" s="888" t="str">
        <f>IF(LEN('Translation-EN'!D1379)&gt;0,'Translation-EN'!D1379,"")</f>
        <v>Shape inside another</v>
      </c>
      <c r="E1379" s="888" t="str">
        <f>$E$1367</f>
        <v>Électricité (g CO2é/kWh)</v>
      </c>
      <c r="I1379" s="888"/>
      <c r="J1379" s="888"/>
      <c r="K1379" s="888"/>
      <c r="L1379" s="888"/>
      <c r="M1379" s="888"/>
      <c r="N1379" s="888"/>
      <c r="O1379" s="888"/>
      <c r="P1379" s="888"/>
      <c r="Q1379" s="888"/>
      <c r="R1379" s="888"/>
    </row>
    <row r="1380" spans="1:18" s="893" customFormat="1" x14ac:dyDescent="0.3">
      <c r="A1380" s="888" t="str">
        <f>IF(LEN('Translation-EN'!A1380)&gt;0,'Translation-EN'!A1380,"")</f>
        <v>Shape</v>
      </c>
      <c r="B1380" s="888" t="str">
        <f>IF(LEN('Translation-EN'!B1380)&gt;0,'Translation-EN'!B1380,"")</f>
        <v>RESULTS</v>
      </c>
      <c r="C1380" s="888" t="str">
        <f>IF(LEN('Translation-EN'!C1380)&gt;0,'Translation-EN'!C1380,"")</f>
        <v>Group 42,Rectangle 45</v>
      </c>
      <c r="D1380" s="888" t="str">
        <f>IF(LEN('Translation-EN'!D1380)&gt;0,'Translation-EN'!D1380,"")</f>
        <v>Shape inside another</v>
      </c>
      <c r="E1380" s="888" t="str">
        <f>$E$1368</f>
        <v>Gaz naturel (g CO2é/m³)</v>
      </c>
      <c r="I1380" s="888"/>
      <c r="J1380" s="888"/>
      <c r="K1380" s="888"/>
      <c r="L1380" s="888"/>
      <c r="M1380" s="888"/>
      <c r="N1380" s="888"/>
      <c r="O1380" s="888"/>
      <c r="P1380" s="888"/>
      <c r="Q1380" s="888"/>
      <c r="R1380" s="888"/>
    </row>
    <row r="1381" spans="1:18" s="893" customFormat="1" x14ac:dyDescent="0.3">
      <c r="A1381" s="888" t="str">
        <f>IF(LEN('Translation-EN'!A1381)&gt;0,'Translation-EN'!A1381,"")</f>
        <v>Shape</v>
      </c>
      <c r="B1381" s="888" t="str">
        <f>IF(LEN('Translation-EN'!B1381)&gt;0,'Translation-EN'!B1381,"")</f>
        <v>RESULTS</v>
      </c>
      <c r="C1381" s="888" t="str">
        <f>IF(LEN('Translation-EN'!C1381)&gt;0,'Translation-EN'!C1381,"")</f>
        <v>Group 42,Rectangle 48</v>
      </c>
      <c r="D1381" s="888" t="str">
        <f>IF(LEN('Translation-EN'!D1381)&gt;0,'Translation-EN'!D1381,"")</f>
        <v>Shape inside another</v>
      </c>
      <c r="E1381" s="888" t="str">
        <f>$E$1369</f>
        <v>Mazout (g CO2é/L)</v>
      </c>
      <c r="I1381" s="888"/>
      <c r="J1381" s="888"/>
      <c r="K1381" s="888"/>
      <c r="L1381" s="888"/>
      <c r="M1381" s="888"/>
      <c r="N1381" s="888"/>
      <c r="O1381" s="888"/>
      <c r="P1381" s="888"/>
      <c r="Q1381" s="888"/>
      <c r="R1381" s="888"/>
    </row>
    <row r="1382" spans="1:18" s="893" customFormat="1" x14ac:dyDescent="0.3">
      <c r="A1382" s="888" t="str">
        <f>IF(LEN('Translation-EN'!A1382)&gt;0,'Translation-EN'!A1382,"")</f>
        <v>Shape</v>
      </c>
      <c r="B1382" s="888" t="str">
        <f>IF(LEN('Translation-EN'!B1382)&gt;0,'Translation-EN'!B1382,"")</f>
        <v>RESULTS</v>
      </c>
      <c r="C1382" s="888" t="str">
        <f>IF(LEN('Translation-EN'!C1382)&gt;0,'Translation-EN'!C1382,"")</f>
        <v>Group 42,Rectangle 49</v>
      </c>
      <c r="D1382" s="888" t="str">
        <f>IF(LEN('Translation-EN'!D1382)&gt;0,'Translation-EN'!D1382,"")</f>
        <v>Shape inside another</v>
      </c>
      <c r="E1382" s="888" t="str">
        <f>$E$1370</f>
        <v>Propane (g CO2é/L)</v>
      </c>
      <c r="I1382" s="888"/>
      <c r="J1382" s="888"/>
      <c r="K1382" s="888"/>
      <c r="L1382" s="888"/>
      <c r="M1382" s="888"/>
      <c r="N1382" s="888"/>
      <c r="O1382" s="888"/>
      <c r="P1382" s="888"/>
      <c r="Q1382" s="888"/>
      <c r="R1382" s="888"/>
    </row>
    <row r="1383" spans="1:18" s="893" customFormat="1" x14ac:dyDescent="0.3">
      <c r="A1383" s="888" t="str">
        <f>IF(LEN('Translation-EN'!A1383)&gt;0,'Translation-EN'!A1383,"")</f>
        <v>Shape</v>
      </c>
      <c r="B1383" s="888" t="str">
        <f>IF(LEN('Translation-EN'!B1383)&gt;0,'Translation-EN'!B1383,"")</f>
        <v>RESULTS</v>
      </c>
      <c r="C1383" s="888" t="str">
        <f>IF(LEN('Translation-EN'!C1383)&gt;0,'Translation-EN'!C1383,"")</f>
        <v>Group 42,Rectangle 52</v>
      </c>
      <c r="D1383" s="888" t="str">
        <f>IF(LEN('Translation-EN'!D1383)&gt;0,'Translation-EN'!D1383,"")</f>
        <v>Shape inside another</v>
      </c>
      <c r="E1383" s="888" t="str">
        <f>$E$1371</f>
        <v>Bois (g CO2é/kg)</v>
      </c>
      <c r="I1383" s="888"/>
      <c r="J1383" s="888"/>
      <c r="K1383" s="888"/>
      <c r="L1383" s="888"/>
      <c r="M1383" s="888"/>
      <c r="N1383" s="888"/>
      <c r="O1383" s="888"/>
      <c r="P1383" s="888"/>
      <c r="Q1383" s="888"/>
      <c r="R1383" s="888"/>
    </row>
    <row r="1384" spans="1:18" s="893" customFormat="1" x14ac:dyDescent="0.3">
      <c r="A1384" s="888" t="str">
        <f>IF(LEN('Translation-EN'!A1384)&gt;0,'Translation-EN'!A1384,"")</f>
        <v>Shape</v>
      </c>
      <c r="B1384" s="888" t="str">
        <f>IF(LEN('Translation-EN'!B1384)&gt;0,'Translation-EN'!B1384,"")</f>
        <v>SCENARIOS</v>
      </c>
      <c r="C1384" s="888" t="str">
        <f>IF(LEN('Translation-EN'!C1384)&gt;0,'Translation-EN'!C1384,"")</f>
        <v>btn_reset_1</v>
      </c>
      <c r="D1384" s="888" t="str">
        <f>IF(LEN('Translation-EN'!D1384)&gt;0,'Translation-EN'!D1384,"")</f>
        <v/>
      </c>
      <c r="E1384" s="888" t="s">
        <v>3156</v>
      </c>
      <c r="I1384" s="888"/>
      <c r="J1384" s="888"/>
      <c r="K1384" s="888"/>
      <c r="L1384" s="888"/>
      <c r="M1384" s="888"/>
      <c r="N1384" s="888"/>
      <c r="O1384" s="888"/>
      <c r="P1384" s="888"/>
      <c r="Q1384" s="888"/>
      <c r="R1384" s="888"/>
    </row>
    <row r="1385" spans="1:18" s="893" customFormat="1" x14ac:dyDescent="0.3">
      <c r="A1385" s="888" t="str">
        <f>IF(LEN('Translation-EN'!A1385)&gt;0,'Translation-EN'!A1385,"")</f>
        <v>Shape</v>
      </c>
      <c r="B1385" s="888" t="str">
        <f>IF(LEN('Translation-EN'!B1385)&gt;0,'Translation-EN'!B1385,"")</f>
        <v>SCENARIOS</v>
      </c>
      <c r="C1385" s="888" t="str">
        <f>IF(LEN('Translation-EN'!C1385)&gt;0,'Translation-EN'!C1385,"")</f>
        <v>btn_delete_1</v>
      </c>
      <c r="D1385" s="888" t="str">
        <f>IF(LEN('Translation-EN'!D1385)&gt;0,'Translation-EN'!D1385,"")</f>
        <v/>
      </c>
      <c r="E1385" s="893" t="s">
        <v>3157</v>
      </c>
      <c r="I1385" s="888"/>
      <c r="J1385" s="888"/>
      <c r="K1385" s="888"/>
      <c r="L1385" s="888"/>
      <c r="M1385" s="888"/>
      <c r="N1385" s="888"/>
      <c r="O1385" s="888"/>
      <c r="P1385" s="888"/>
      <c r="Q1385" s="888"/>
      <c r="R1385" s="888"/>
    </row>
    <row r="1386" spans="1:18" s="893" customFormat="1" x14ac:dyDescent="0.3">
      <c r="A1386" s="888" t="str">
        <f>IF(LEN('Translation-EN'!A1386)&gt;0,'Translation-EN'!A1386,"")</f>
        <v>Shape</v>
      </c>
      <c r="B1386" s="888" t="str">
        <f>IF(LEN('Translation-EN'!B1386)&gt;0,'Translation-EN'!B1386,"")</f>
        <v>SCENARIOS</v>
      </c>
      <c r="C1386" s="888" t="str">
        <f>IF(LEN('Translation-EN'!C1386)&gt;0,'Translation-EN'!C1386,"")</f>
        <v>btn_reset_all</v>
      </c>
      <c r="D1386" s="888" t="str">
        <f>IF(LEN('Translation-EN'!D1386)&gt;0,'Translation-EN'!D1386,"")</f>
        <v/>
      </c>
      <c r="E1386" s="893" t="s">
        <v>3158</v>
      </c>
      <c r="I1386" s="888"/>
      <c r="J1386" s="888"/>
      <c r="K1386" s="888"/>
      <c r="L1386" s="888"/>
      <c r="M1386" s="888"/>
      <c r="N1386" s="888"/>
      <c r="O1386" s="888"/>
      <c r="P1386" s="888"/>
      <c r="Q1386" s="888"/>
      <c r="R1386" s="888"/>
    </row>
    <row r="1387" spans="1:18" s="893" customFormat="1" x14ac:dyDescent="0.3">
      <c r="A1387" s="888" t="str">
        <f>IF(LEN('Translation-EN'!A1387)&gt;0,'Translation-EN'!A1387,"")</f>
        <v>Range</v>
      </c>
      <c r="B1387" s="888" t="str">
        <f>IF(LEN('Translation-EN'!B1387)&gt;0,'Translation-EN'!B1387,"")</f>
        <v>SCENARIOS</v>
      </c>
      <c r="C1387" s="888" t="str">
        <f>IF(LEN('Translation-EN'!C1387)&gt;0,'Translation-EN'!C1387,"")</f>
        <v>C2</v>
      </c>
      <c r="D1387" s="888" t="str">
        <f>IF(LEN('Translation-EN'!D1387)&gt;0,'Translation-EN'!D1387,"")</f>
        <v/>
      </c>
      <c r="E1387" s="893" t="s">
        <v>3159</v>
      </c>
      <c r="I1387" s="888"/>
      <c r="J1387" s="888"/>
      <c r="K1387" s="888"/>
      <c r="L1387" s="888"/>
      <c r="M1387" s="888"/>
      <c r="N1387" s="888"/>
      <c r="O1387" s="888"/>
      <c r="P1387" s="888"/>
      <c r="Q1387" s="888"/>
      <c r="R1387" s="888"/>
    </row>
    <row r="1388" spans="1:18" s="893" customFormat="1" x14ac:dyDescent="0.3">
      <c r="A1388" s="888" t="str">
        <f>IF(LEN('Translation-EN'!A1388)&gt;0,'Translation-EN'!A1388,"")</f>
        <v>Range</v>
      </c>
      <c r="B1388" s="888" t="str">
        <f>IF(LEN('Translation-EN'!B1388)&gt;0,'Translation-EN'!B1388,"")</f>
        <v>SCENARIOS</v>
      </c>
      <c r="C1388" s="888" t="str">
        <f>IF(LEN('Translation-EN'!C1388)&gt;0,'Translation-EN'!C1388,"")</f>
        <v>C3</v>
      </c>
      <c r="D1388" s="888" t="str">
        <f>IF(LEN('Translation-EN'!D1388)&gt;0,'Translation-EN'!D1388,"")</f>
        <v/>
      </c>
      <c r="E1388" s="893" t="s">
        <v>3160</v>
      </c>
      <c r="I1388" s="888"/>
      <c r="J1388" s="888"/>
      <c r="K1388" s="888"/>
      <c r="L1388" s="888"/>
      <c r="M1388" s="888"/>
      <c r="N1388" s="888"/>
      <c r="O1388" s="888"/>
      <c r="P1388" s="888"/>
      <c r="Q1388" s="888"/>
      <c r="R1388" s="888"/>
    </row>
    <row r="1389" spans="1:18" s="893" customFormat="1" x14ac:dyDescent="0.3">
      <c r="A1389" s="888" t="str">
        <f>IF(LEN('Translation-EN'!A1389)&gt;0,'Translation-EN'!A1389,"")</f>
        <v>Range</v>
      </c>
      <c r="B1389" s="888" t="str">
        <f>IF(LEN('Translation-EN'!B1389)&gt;0,'Translation-EN'!B1389,"")</f>
        <v>SCENARIOS</v>
      </c>
      <c r="C1389" s="888" t="str">
        <f>IF(LEN('Translation-EN'!C1389)&gt;0,'Translation-EN'!C1389,"")</f>
        <v>E3</v>
      </c>
      <c r="D1389" s="888" t="str">
        <f>IF(LEN('Translation-EN'!D1389)&gt;0,'Translation-EN'!D1389,"")</f>
        <v/>
      </c>
      <c r="E1389" s="893" t="s">
        <v>3161</v>
      </c>
      <c r="I1389" s="888"/>
      <c r="J1389" s="888"/>
      <c r="K1389" s="888"/>
      <c r="L1389" s="888"/>
      <c r="M1389" s="888"/>
      <c r="N1389" s="888"/>
      <c r="O1389" s="888"/>
      <c r="P1389" s="888"/>
      <c r="Q1389" s="888"/>
      <c r="R1389" s="888"/>
    </row>
    <row r="1390" spans="1:18" s="893" customFormat="1" x14ac:dyDescent="0.3">
      <c r="A1390" s="888" t="str">
        <f>IF(LEN('Translation-EN'!A1390)&gt;0,'Translation-EN'!A1390,"")</f>
        <v>Range</v>
      </c>
      <c r="B1390" s="888" t="str">
        <f>IF(LEN('Translation-EN'!B1390)&gt;0,'Translation-EN'!B1390,"")</f>
        <v>SCENARIOS</v>
      </c>
      <c r="C1390" s="888" t="str">
        <f>IF(LEN('Translation-EN'!C1390)&gt;0,'Translation-EN'!C1390,"")</f>
        <v>E4</v>
      </c>
      <c r="D1390" s="888" t="str">
        <f>IF(LEN('Translation-EN'!D1390)&gt;0,'Translation-EN'!D1390,"")</f>
        <v/>
      </c>
      <c r="E1390" s="893" t="s">
        <v>3162</v>
      </c>
      <c r="I1390" s="888"/>
      <c r="J1390" s="888"/>
      <c r="K1390" s="888"/>
      <c r="L1390" s="888"/>
      <c r="M1390" s="888"/>
      <c r="N1390" s="888"/>
      <c r="O1390" s="888"/>
      <c r="P1390" s="888"/>
      <c r="Q1390" s="888"/>
      <c r="R1390" s="888"/>
    </row>
    <row r="1391" spans="1:18" s="893" customFormat="1" x14ac:dyDescent="0.3">
      <c r="A1391" s="888" t="str">
        <f>IF(LEN('Translation-EN'!A1391)&gt;0,'Translation-EN'!A1391,"")</f>
        <v>Range</v>
      </c>
      <c r="B1391" s="888" t="str">
        <f>IF(LEN('Translation-EN'!B1391)&gt;0,'Translation-EN'!B1391,"")</f>
        <v>SCENARIOS</v>
      </c>
      <c r="C1391" s="888" t="str">
        <f>IF(LEN('Translation-EN'!C1391)&gt;0,'Translation-EN'!C1391,"")</f>
        <v>E5</v>
      </c>
      <c r="D1391" s="888" t="str">
        <f>IF(LEN('Translation-EN'!D1391)&gt;0,'Translation-EN'!D1391,"")</f>
        <v/>
      </c>
      <c r="E1391" s="893" t="s">
        <v>3163</v>
      </c>
      <c r="I1391" s="888"/>
      <c r="J1391" s="888"/>
      <c r="K1391" s="888"/>
      <c r="L1391" s="888"/>
      <c r="M1391" s="888"/>
      <c r="N1391" s="888"/>
      <c r="O1391" s="888"/>
      <c r="P1391" s="888"/>
      <c r="Q1391" s="888"/>
      <c r="R1391" s="888"/>
    </row>
    <row r="1392" spans="1:18" s="893" customFormat="1" x14ac:dyDescent="0.3">
      <c r="A1392" s="888" t="str">
        <f>IF(LEN('Translation-EN'!A1392)&gt;0,'Translation-EN'!A1392,"")</f>
        <v>Range</v>
      </c>
      <c r="B1392" s="888" t="str">
        <f>IF(LEN('Translation-EN'!B1392)&gt;0,'Translation-EN'!B1392,"")</f>
        <v>SCENARIOS</v>
      </c>
      <c r="C1392" s="888" t="str">
        <f>IF(LEN('Translation-EN'!C1392)&gt;0,'Translation-EN'!C1392,"")</f>
        <v>E6</v>
      </c>
      <c r="D1392" s="888" t="str">
        <f>IF(LEN('Translation-EN'!D1392)&gt;0,'Translation-EN'!D1392,"")</f>
        <v/>
      </c>
      <c r="E1392" s="893" t="s">
        <v>3164</v>
      </c>
      <c r="I1392" s="888"/>
      <c r="J1392" s="888"/>
      <c r="K1392" s="888"/>
      <c r="L1392" s="888"/>
      <c r="M1392" s="888"/>
      <c r="N1392" s="888"/>
      <c r="O1392" s="888"/>
      <c r="P1392" s="888"/>
      <c r="Q1392" s="888"/>
      <c r="R1392" s="888"/>
    </row>
    <row r="1393" spans="1:18" s="893" customFormat="1" x14ac:dyDescent="0.3">
      <c r="A1393" s="888" t="str">
        <f>IF(LEN('Translation-EN'!A1393)&gt;0,'Translation-EN'!A1393,"")</f>
        <v>Range</v>
      </c>
      <c r="B1393" s="888" t="str">
        <f>IF(LEN('Translation-EN'!B1393)&gt;0,'Translation-EN'!B1393,"")</f>
        <v>SCENARIOS</v>
      </c>
      <c r="C1393" s="888" t="str">
        <f>IF(LEN('Translation-EN'!C1393)&gt;0,'Translation-EN'!C1393,"")</f>
        <v>E7</v>
      </c>
      <c r="D1393" s="888" t="str">
        <f>IF(LEN('Translation-EN'!D1393)&gt;0,'Translation-EN'!D1393,"")</f>
        <v/>
      </c>
      <c r="E1393" s="893" t="s">
        <v>3165</v>
      </c>
      <c r="I1393" s="888"/>
      <c r="J1393" s="888"/>
      <c r="K1393" s="888"/>
      <c r="L1393" s="888"/>
      <c r="M1393" s="888"/>
      <c r="N1393" s="888"/>
      <c r="O1393" s="888"/>
      <c r="P1393" s="888"/>
      <c r="Q1393" s="888"/>
      <c r="R1393" s="888"/>
    </row>
    <row r="1394" spans="1:18" s="893" customFormat="1" x14ac:dyDescent="0.3">
      <c r="A1394" s="888" t="str">
        <f>IF(LEN('Translation-EN'!A1394)&gt;0,'Translation-EN'!A1394,"")</f>
        <v>Range</v>
      </c>
      <c r="B1394" s="888" t="str">
        <f>IF(LEN('Translation-EN'!B1394)&gt;0,'Translation-EN'!B1394,"")</f>
        <v>SCENARIOS</v>
      </c>
      <c r="C1394" s="888" t="str">
        <f>IF(LEN('Translation-EN'!C1394)&gt;0,'Translation-EN'!C1394,"")</f>
        <v>B10</v>
      </c>
      <c r="D1394" s="888" t="str">
        <f>IF(LEN('Translation-EN'!D1394)&gt;0,'Translation-EN'!D1394,"")</f>
        <v/>
      </c>
      <c r="E1394" s="893" t="s">
        <v>108</v>
      </c>
      <c r="I1394" s="888"/>
      <c r="J1394" s="888"/>
      <c r="K1394" s="888"/>
      <c r="L1394" s="888"/>
      <c r="M1394" s="888"/>
      <c r="N1394" s="888"/>
      <c r="O1394" s="888"/>
      <c r="P1394" s="888"/>
      <c r="Q1394" s="888"/>
      <c r="R1394" s="888"/>
    </row>
    <row r="1395" spans="1:18" s="893" customFormat="1" ht="15" customHeight="1" x14ac:dyDescent="0.3">
      <c r="A1395" s="888" t="str">
        <f>IF(LEN('Translation-EN'!A1395)&gt;0,'Translation-EN'!A1395,"")</f>
        <v>Range</v>
      </c>
      <c r="B1395" s="888" t="str">
        <f>IF(LEN('Translation-EN'!B1395)&gt;0,'Translation-EN'!B1395,"")</f>
        <v>SCENARIOS</v>
      </c>
      <c r="C1395" s="888" t="str">
        <f>IF(LEN('Translation-EN'!C1395)&gt;0,'Translation-EN'!C1395,"")</f>
        <v>B11</v>
      </c>
      <c r="D1395" s="888" t="b">
        <f>IF(LEN('Translation-EN'!D1395)&gt;0,'Translation-EN'!D1395,"")</f>
        <v>1</v>
      </c>
      <c r="E1395" s="992" t="s">
        <v>2400</v>
      </c>
      <c r="I1395" s="888"/>
      <c r="J1395" s="888"/>
      <c r="K1395" s="888"/>
      <c r="L1395" s="888"/>
      <c r="M1395" s="888"/>
      <c r="N1395" s="888"/>
      <c r="O1395" s="888"/>
      <c r="P1395" s="888"/>
      <c r="Q1395" s="888"/>
      <c r="R1395" s="888"/>
    </row>
    <row r="1396" spans="1:18" s="893" customFormat="1" ht="15.75" customHeight="1" thickBot="1" x14ac:dyDescent="0.35">
      <c r="A1396" s="888" t="str">
        <f>IF(LEN('Translation-EN'!A1396)&gt;0,'Translation-EN'!A1396,"")</f>
        <v>Range</v>
      </c>
      <c r="B1396" s="888" t="str">
        <f>IF(LEN('Translation-EN'!B1396)&gt;0,'Translation-EN'!B1396,"")</f>
        <v>SCENARIOS</v>
      </c>
      <c r="C1396" s="888" t="str">
        <f>IF(LEN('Translation-EN'!C1396)&gt;0,'Translation-EN'!C1396,"")</f>
        <v>B12</v>
      </c>
      <c r="D1396" s="888" t="b">
        <f>IF(LEN('Translation-EN'!D1396)&gt;0,'Translation-EN'!D1396,"")</f>
        <v>1</v>
      </c>
      <c r="E1396" s="993" t="s">
        <v>7242</v>
      </c>
      <c r="I1396" s="888"/>
      <c r="J1396" s="888"/>
      <c r="K1396" s="888"/>
      <c r="L1396" s="888"/>
      <c r="M1396" s="888"/>
      <c r="N1396" s="888"/>
      <c r="O1396" s="888"/>
      <c r="P1396" s="888"/>
      <c r="Q1396" s="888"/>
      <c r="R1396" s="888"/>
    </row>
    <row r="1397" spans="1:18" s="893" customFormat="1" ht="15.75" customHeight="1" x14ac:dyDescent="0.3">
      <c r="A1397" s="888" t="str">
        <f>IF(LEN('Translation-EN'!A1397)&gt;0,'Translation-EN'!A1397,"")</f>
        <v>Range</v>
      </c>
      <c r="B1397" s="888" t="str">
        <f>IF(LEN('Translation-EN'!B1397)&gt;0,'Translation-EN'!B1397,"")</f>
        <v>_SCENARIOS</v>
      </c>
      <c r="C1397" s="888" t="str">
        <f>IF(LEN('Translation-EN'!C1397)&gt;0,'Translation-EN'!C1397,"")</f>
        <v>B13</v>
      </c>
      <c r="D1397" s="888" t="str">
        <f>IF(LEN('Translation-EN'!D1397)&gt;0,'Translation-EN'!D1397,"")</f>
        <v/>
      </c>
      <c r="E1397" s="995" t="str">
        <f>$E$26</f>
        <v>Élec. kWh/an</v>
      </c>
      <c r="F1397" s="995"/>
      <c r="I1397" s="888"/>
      <c r="J1397" s="888"/>
      <c r="K1397" s="888"/>
      <c r="L1397" s="888"/>
      <c r="M1397" s="888"/>
      <c r="N1397" s="888"/>
      <c r="O1397" s="888"/>
      <c r="P1397" s="888"/>
      <c r="Q1397" s="888"/>
      <c r="R1397" s="888"/>
    </row>
    <row r="1398" spans="1:18" s="893" customFormat="1" ht="15.75" customHeight="1" x14ac:dyDescent="0.3">
      <c r="A1398" s="888" t="str">
        <f>IF(LEN('Translation-EN'!A1398)&gt;0,'Translation-EN'!A1398,"")</f>
        <v>Range</v>
      </c>
      <c r="B1398" s="888" t="str">
        <f>IF(LEN('Translation-EN'!B1398)&gt;0,'Translation-EN'!B1398,"")</f>
        <v>SCENARIOS</v>
      </c>
      <c r="C1398" s="888" t="str">
        <f>IF(LEN('Translation-EN'!C1398)&gt;0,'Translation-EN'!C1398,"")</f>
        <v>B13</v>
      </c>
      <c r="D1398" s="888" t="str">
        <f>IF(LEN('Translation-EN'!D1398)&gt;0,'Translation-EN'!D1398,"")</f>
        <v/>
      </c>
      <c r="E1398" s="1048" t="s">
        <v>7604</v>
      </c>
      <c r="F1398" s="995"/>
      <c r="I1398" s="888"/>
      <c r="J1398" s="888"/>
      <c r="K1398" s="888"/>
      <c r="L1398" s="888"/>
      <c r="M1398" s="888"/>
      <c r="N1398" s="888"/>
      <c r="O1398" s="888"/>
      <c r="P1398" s="888"/>
      <c r="Q1398" s="888"/>
      <c r="R1398" s="888"/>
    </row>
    <row r="1399" spans="1:18" s="893" customFormat="1" ht="15.75" customHeight="1" x14ac:dyDescent="0.3">
      <c r="A1399" s="888" t="str">
        <f>IF(LEN('Translation-EN'!A1399)&gt;0,'Translation-EN'!A1399,"")</f>
        <v>Range</v>
      </c>
      <c r="B1399" s="888" t="str">
        <f>IF(LEN('Translation-EN'!B1399)&gt;0,'Translation-EN'!B1399,"")</f>
        <v>SCENARIOS</v>
      </c>
      <c r="C1399" s="888" t="str">
        <f>IF(LEN('Translation-EN'!C1399)&gt;0,'Translation-EN'!C1399,"")</f>
        <v>B14</v>
      </c>
      <c r="D1399" s="888" t="str">
        <f>IF(LEN('Translation-EN'!D1399)&gt;0,'Translation-EN'!D1399,"")</f>
        <v/>
      </c>
      <c r="E1399" s="1048" t="s">
        <v>7605</v>
      </c>
      <c r="F1399" s="995"/>
      <c r="I1399" s="888"/>
      <c r="J1399" s="888"/>
      <c r="K1399" s="888"/>
      <c r="L1399" s="888"/>
      <c r="M1399" s="888"/>
      <c r="N1399" s="888"/>
      <c r="O1399" s="888"/>
      <c r="P1399" s="888"/>
      <c r="Q1399" s="888"/>
      <c r="R1399" s="888"/>
    </row>
    <row r="1400" spans="1:18" s="893" customFormat="1" ht="15.75" customHeight="1" x14ac:dyDescent="0.3">
      <c r="A1400" s="888" t="str">
        <f>IF(LEN('Translation-EN'!A1400)&gt;0,'Translation-EN'!A1400,"")</f>
        <v>Range</v>
      </c>
      <c r="B1400" s="888" t="str">
        <f>IF(LEN('Translation-EN'!B1400)&gt;0,'Translation-EN'!B1400,"")</f>
        <v>SCENARIOS</v>
      </c>
      <c r="C1400" s="888" t="str">
        <f>IF(LEN('Translation-EN'!C1400)&gt;0,'Translation-EN'!C1400,"")</f>
        <v>B15</v>
      </c>
      <c r="D1400" s="888" t="str">
        <f>IF(LEN('Translation-EN'!D1400)&gt;0,'Translation-EN'!D1400,"")</f>
        <v/>
      </c>
      <c r="E1400" s="1048" t="s">
        <v>7606</v>
      </c>
      <c r="F1400" s="995"/>
      <c r="I1400" s="888"/>
      <c r="J1400" s="888"/>
      <c r="K1400" s="888"/>
      <c r="L1400" s="888"/>
      <c r="M1400" s="888"/>
      <c r="N1400" s="888"/>
      <c r="O1400" s="888"/>
      <c r="P1400" s="888"/>
      <c r="Q1400" s="888"/>
      <c r="R1400" s="888"/>
    </row>
    <row r="1401" spans="1:18" s="893" customFormat="1" ht="15.75" customHeight="1" x14ac:dyDescent="0.3">
      <c r="A1401" s="888" t="str">
        <f>IF(LEN('Translation-EN'!A1401)&gt;0,'Translation-EN'!A1401,"")</f>
        <v>Range</v>
      </c>
      <c r="B1401" s="888" t="str">
        <f>IF(LEN('Translation-EN'!B1401)&gt;0,'Translation-EN'!B1401,"")</f>
        <v>SCENARIOS</v>
      </c>
      <c r="C1401" s="888" t="str">
        <f>IF(LEN('Translation-EN'!C1401)&gt;0,'Translation-EN'!C1401,"")</f>
        <v>B16</v>
      </c>
      <c r="D1401" s="888" t="b">
        <f>IF(LEN('Translation-EN'!D1401)&gt;0,'Translation-EN'!D1401,"")</f>
        <v>1</v>
      </c>
      <c r="E1401" s="996" t="s">
        <v>5148</v>
      </c>
      <c r="I1401" s="888"/>
      <c r="J1401" s="888"/>
      <c r="K1401" s="888"/>
      <c r="L1401" s="888"/>
      <c r="M1401" s="888"/>
      <c r="N1401" s="888"/>
      <c r="O1401" s="888"/>
      <c r="P1401" s="888"/>
      <c r="Q1401" s="888"/>
      <c r="R1401" s="888"/>
    </row>
    <row r="1402" spans="1:18" s="893" customFormat="1" ht="15.75" customHeight="1" x14ac:dyDescent="0.3">
      <c r="A1402" s="888" t="str">
        <f>IF(LEN('Translation-EN'!A1402)&gt;0,'Translation-EN'!A1402,"")</f>
        <v>Range</v>
      </c>
      <c r="B1402" s="888" t="str">
        <f>IF(LEN('Translation-EN'!B1402)&gt;0,'Translation-EN'!B1402,"")</f>
        <v>_SCENARIOS</v>
      </c>
      <c r="C1402" s="888" t="str">
        <f>IF(LEN('Translation-EN'!C1402)&gt;0,'Translation-EN'!C1402,"")</f>
        <v>B15</v>
      </c>
      <c r="D1402" s="888" t="str">
        <f>IF(LEN('Translation-EN'!D1402)&gt;0,'Translation-EN'!D1402,"")</f>
        <v/>
      </c>
      <c r="E1402" s="995" t="str">
        <f>$E$26</f>
        <v>Élec. kWh/an</v>
      </c>
      <c r="I1402" s="888"/>
      <c r="J1402" s="888"/>
      <c r="K1402" s="888"/>
      <c r="L1402" s="888"/>
      <c r="M1402" s="888"/>
      <c r="N1402" s="888"/>
      <c r="O1402" s="888"/>
      <c r="P1402" s="888"/>
      <c r="Q1402" s="888"/>
      <c r="R1402" s="888"/>
    </row>
    <row r="1403" spans="1:18" s="893" customFormat="1" ht="15.75" customHeight="1" x14ac:dyDescent="0.3">
      <c r="A1403" s="888" t="str">
        <f>IF(LEN('Translation-EN'!A1403)&gt;0,'Translation-EN'!A1403,"")</f>
        <v>Range</v>
      </c>
      <c r="B1403" s="888" t="str">
        <f>IF(LEN('Translation-EN'!B1403)&gt;0,'Translation-EN'!B1403,"")</f>
        <v>SCENARIOS</v>
      </c>
      <c r="C1403" s="888" t="str">
        <f>IF(LEN('Translation-EN'!C1403)&gt;0,'Translation-EN'!C1403,"")</f>
        <v>B17</v>
      </c>
      <c r="D1403" s="888" t="str">
        <f>IF(LEN('Translation-EN'!D1403)&gt;0,'Translation-EN'!D1403,"")</f>
        <v/>
      </c>
      <c r="E1403" s="893" t="str">
        <f>$E$33</f>
        <v>Propane, l/an</v>
      </c>
      <c r="I1403" s="888"/>
      <c r="J1403" s="888"/>
      <c r="K1403" s="888"/>
      <c r="L1403" s="888"/>
      <c r="M1403" s="888"/>
      <c r="N1403" s="888"/>
      <c r="O1403" s="888"/>
      <c r="P1403" s="888"/>
      <c r="Q1403" s="888"/>
      <c r="R1403" s="888"/>
    </row>
    <row r="1404" spans="1:18" s="893" customFormat="1" ht="15.75" customHeight="1" x14ac:dyDescent="0.3">
      <c r="A1404" s="888" t="str">
        <f>IF(LEN('Translation-EN'!A1404)&gt;0,'Translation-EN'!A1404,"")</f>
        <v>Range</v>
      </c>
      <c r="B1404" s="888" t="str">
        <f>IF(LEN('Translation-EN'!B1404)&gt;0,'Translation-EN'!B1404,"")</f>
        <v>SCENARIOS</v>
      </c>
      <c r="C1404" s="888" t="str">
        <f>IF(LEN('Translation-EN'!C1404)&gt;0,'Translation-EN'!C1404,"")</f>
        <v>B18</v>
      </c>
      <c r="D1404" s="888" t="str">
        <f>IF(LEN('Translation-EN'!D1404)&gt;0,'Translation-EN'!D1404,"")</f>
        <v/>
      </c>
      <c r="E1404" s="893" t="str">
        <f>$E$34</f>
        <v>Mazout, l/an</v>
      </c>
      <c r="I1404" s="888"/>
      <c r="J1404" s="888"/>
      <c r="K1404" s="888"/>
      <c r="L1404" s="888"/>
      <c r="M1404" s="888"/>
      <c r="N1404" s="888"/>
      <c r="O1404" s="888"/>
      <c r="P1404" s="888"/>
      <c r="Q1404" s="888"/>
      <c r="R1404" s="888"/>
    </row>
    <row r="1405" spans="1:18" s="893" customFormat="1" ht="15.75" customHeight="1" x14ac:dyDescent="0.3">
      <c r="A1405" s="888" t="str">
        <f>IF(LEN('Translation-EN'!A1405)&gt;0,'Translation-EN'!A1405,"")</f>
        <v>Range</v>
      </c>
      <c r="B1405" s="888" t="str">
        <f>IF(LEN('Translation-EN'!B1405)&gt;0,'Translation-EN'!B1405,"")</f>
        <v>SCENARIOS</v>
      </c>
      <c r="C1405" s="888" t="str">
        <f>IF(LEN('Translation-EN'!C1405)&gt;0,'Translation-EN'!C1405,"")</f>
        <v>B19</v>
      </c>
      <c r="D1405" s="888" t="str">
        <f>IF(LEN('Translation-EN'!D1405)&gt;0,'Translation-EN'!D1405,"")</f>
        <v/>
      </c>
      <c r="E1405" s="893" t="str">
        <f>$E$35</f>
        <v>Bois, kg/an</v>
      </c>
      <c r="I1405" s="888"/>
      <c r="J1405" s="888"/>
      <c r="K1405" s="888"/>
      <c r="L1405" s="888"/>
      <c r="M1405" s="888"/>
      <c r="N1405" s="888"/>
      <c r="O1405" s="888"/>
      <c r="P1405" s="888"/>
      <c r="Q1405" s="888"/>
      <c r="R1405" s="888"/>
    </row>
    <row r="1406" spans="1:18" s="893" customFormat="1" ht="15.75" customHeight="1" x14ac:dyDescent="0.3">
      <c r="A1406" s="888" t="str">
        <f>IF(LEN('Translation-EN'!A1406)&gt;0,'Translation-EN'!A1406,"")</f>
        <v>Range</v>
      </c>
      <c r="B1406" s="888" t="str">
        <f>IF(LEN('Translation-EN'!B1406)&gt;0,'Translation-EN'!B1406,"")</f>
        <v>SCENARIOS</v>
      </c>
      <c r="C1406" s="888" t="str">
        <f>IF(LEN('Translation-EN'!C1406)&gt;0,'Translation-EN'!C1406,"")</f>
        <v>B20</v>
      </c>
      <c r="D1406" s="888" t="str">
        <f>IF(LEN('Translation-EN'!D1406)&gt;0,'Translation-EN'!D1406,"")</f>
        <v/>
      </c>
      <c r="E1406" s="893" t="s">
        <v>7495</v>
      </c>
      <c r="I1406" s="888"/>
      <c r="J1406" s="888"/>
      <c r="K1406" s="888"/>
      <c r="L1406" s="888"/>
      <c r="M1406" s="888"/>
      <c r="N1406" s="888"/>
      <c r="O1406" s="888"/>
      <c r="P1406" s="888"/>
      <c r="Q1406" s="888"/>
      <c r="R1406" s="888"/>
    </row>
    <row r="1407" spans="1:18" s="893" customFormat="1" ht="15.75" customHeight="1" x14ac:dyDescent="0.3">
      <c r="A1407" s="888" t="str">
        <f>IF(LEN('Translation-EN'!A1407)&gt;0,'Translation-EN'!A1407,"")</f>
        <v>Range</v>
      </c>
      <c r="B1407" s="888" t="str">
        <f>IF(LEN('Translation-EN'!B1407)&gt;0,'Translation-EN'!B1407,"")</f>
        <v>SCENARIOS</v>
      </c>
      <c r="C1407" s="888" t="str">
        <f>IF(LEN('Translation-EN'!C1407)&gt;0,'Translation-EN'!C1407,"")</f>
        <v>B21</v>
      </c>
      <c r="D1407" s="888" t="str">
        <f>IF(LEN('Translation-EN'!D1407)&gt;0,'Translation-EN'!D1407,"")</f>
        <v/>
      </c>
      <c r="E1407" s="893" t="s">
        <v>1226</v>
      </c>
      <c r="I1407" s="888"/>
      <c r="J1407" s="888"/>
      <c r="K1407" s="888"/>
      <c r="L1407" s="888"/>
      <c r="M1407" s="888"/>
      <c r="N1407" s="888"/>
      <c r="O1407" s="888"/>
      <c r="P1407" s="888"/>
      <c r="Q1407" s="888"/>
      <c r="R1407" s="888"/>
    </row>
    <row r="1408" spans="1:18" s="893" customFormat="1" ht="15.6" x14ac:dyDescent="0.3">
      <c r="A1408" s="888" t="str">
        <f>IF(LEN('Translation-EN'!A1408)&gt;0,'Translation-EN'!A1408,"")</f>
        <v>Range</v>
      </c>
      <c r="B1408" s="888" t="str">
        <f>IF(LEN('Translation-EN'!B1408)&gt;0,'Translation-EN'!B1408,"")</f>
        <v>SCENARIOS</v>
      </c>
      <c r="C1408" s="888" t="str">
        <f>IF(LEN('Translation-EN'!C1408)&gt;0,'Translation-EN'!C1408,"")</f>
        <v>B24</v>
      </c>
      <c r="D1408" s="888" t="b">
        <f>IF(LEN('Translation-EN'!D1408)&gt;0,'Translation-EN'!D1408,"")</f>
        <v>1</v>
      </c>
      <c r="E1408" s="1049" t="s">
        <v>7228</v>
      </c>
      <c r="I1408" s="888"/>
      <c r="J1408" s="888"/>
      <c r="K1408" s="888"/>
      <c r="L1408" s="888"/>
      <c r="M1408" s="888"/>
      <c r="N1408" s="888"/>
      <c r="O1408" s="888"/>
      <c r="P1408" s="888"/>
      <c r="Q1408" s="888"/>
      <c r="R1408" s="888"/>
    </row>
    <row r="1409" spans="1:18" s="893" customFormat="1" ht="15.6" x14ac:dyDescent="0.3">
      <c r="A1409" s="888" t="str">
        <f>IF(LEN('Translation-EN'!A1409)&gt;0,'Translation-EN'!A1409,"")</f>
        <v>Range</v>
      </c>
      <c r="B1409" s="888" t="str">
        <f>IF(LEN('Translation-EN'!B1409)&gt;0,'Translation-EN'!B1409,"")</f>
        <v>SCENARIOS</v>
      </c>
      <c r="C1409" s="888" t="str">
        <f>IF(LEN('Translation-EN'!C1409)&gt;0,'Translation-EN'!C1409,"")</f>
        <v>B25</v>
      </c>
      <c r="D1409" s="888" t="b">
        <f>IF(LEN('Translation-EN'!D1409)&gt;0,'Translation-EN'!D1409,"")</f>
        <v>1</v>
      </c>
      <c r="E1409" s="1050" t="s">
        <v>7229</v>
      </c>
      <c r="I1409" s="888"/>
      <c r="J1409" s="888"/>
      <c r="K1409" s="888"/>
      <c r="L1409" s="888"/>
      <c r="M1409" s="888"/>
      <c r="N1409" s="888"/>
      <c r="O1409" s="888"/>
      <c r="P1409" s="888"/>
      <c r="Q1409" s="888"/>
      <c r="R1409" s="888"/>
    </row>
    <row r="1410" spans="1:18" s="893" customFormat="1" ht="15.6" x14ac:dyDescent="0.3">
      <c r="A1410" s="888" t="str">
        <f>IF(LEN('Translation-EN'!A1410)&gt;0,'Translation-EN'!A1410,"")</f>
        <v>Range</v>
      </c>
      <c r="B1410" s="888" t="str">
        <f>IF(LEN('Translation-EN'!B1410)&gt;0,'Translation-EN'!B1410,"")</f>
        <v>SCENARIOS</v>
      </c>
      <c r="C1410" s="888" t="str">
        <f>IF(LEN('Translation-EN'!C1410)&gt;0,'Translation-EN'!C1410,"")</f>
        <v>B26</v>
      </c>
      <c r="D1410" s="888" t="b">
        <f>IF(LEN('Translation-EN'!D1410)&gt;0,'Translation-EN'!D1410,"")</f>
        <v>1</v>
      </c>
      <c r="E1410" s="1050" t="s">
        <v>7230</v>
      </c>
      <c r="I1410" s="888"/>
      <c r="J1410" s="888"/>
      <c r="K1410" s="888"/>
      <c r="L1410" s="888"/>
      <c r="M1410" s="888"/>
      <c r="N1410" s="888"/>
      <c r="O1410" s="888"/>
      <c r="P1410" s="888"/>
      <c r="Q1410" s="888"/>
      <c r="R1410" s="888"/>
    </row>
    <row r="1411" spans="1:18" s="893" customFormat="1" ht="16.8" x14ac:dyDescent="0.3">
      <c r="A1411" s="888" t="str">
        <f>IF(LEN('Translation-EN'!A1411)&gt;0,'Translation-EN'!A1411,"")</f>
        <v>Range</v>
      </c>
      <c r="B1411" s="888" t="str">
        <f>IF(LEN('Translation-EN'!B1411)&gt;0,'Translation-EN'!B1411,"")</f>
        <v>SCENARIOS</v>
      </c>
      <c r="C1411" s="888" t="str">
        <f>IF(LEN('Translation-EN'!C1411)&gt;0,'Translation-EN'!C1411,"")</f>
        <v>B27</v>
      </c>
      <c r="D1411" s="888" t="b">
        <f>IF(LEN('Translation-EN'!D1411)&gt;0,'Translation-EN'!D1411,"")</f>
        <v>1</v>
      </c>
      <c r="E1411" s="1051" t="s">
        <v>7231</v>
      </c>
      <c r="I1411" s="888"/>
      <c r="J1411" s="888"/>
      <c r="K1411" s="888"/>
      <c r="L1411" s="888"/>
      <c r="M1411" s="888"/>
      <c r="N1411" s="888"/>
      <c r="O1411" s="888"/>
      <c r="P1411" s="888"/>
      <c r="Q1411" s="888"/>
      <c r="R1411" s="888"/>
    </row>
    <row r="1412" spans="1:18" s="893" customFormat="1" ht="15.6" x14ac:dyDescent="0.3">
      <c r="A1412" s="888" t="str">
        <f>IF(LEN('Translation-EN'!A1412)&gt;0,'Translation-EN'!A1412,"")</f>
        <v>Range</v>
      </c>
      <c r="B1412" s="888" t="str">
        <f>IF(LEN('Translation-EN'!B1412)&gt;0,'Translation-EN'!B1412,"")</f>
        <v>SCENARIOS</v>
      </c>
      <c r="C1412" s="888" t="str">
        <f>IF(LEN('Translation-EN'!C1412)&gt;0,'Translation-EN'!C1412,"")</f>
        <v>B28</v>
      </c>
      <c r="D1412" s="888" t="b">
        <f>IF(LEN('Translation-EN'!D1412)&gt;0,'Translation-EN'!D1412,"")</f>
        <v>1</v>
      </c>
      <c r="E1412" s="1050" t="s">
        <v>7232</v>
      </c>
      <c r="I1412" s="888"/>
      <c r="J1412" s="888"/>
      <c r="K1412" s="888"/>
      <c r="L1412" s="888"/>
      <c r="M1412" s="888"/>
      <c r="N1412" s="888"/>
      <c r="O1412" s="888"/>
      <c r="P1412" s="888"/>
      <c r="Q1412" s="888"/>
      <c r="R1412" s="888"/>
    </row>
    <row r="1413" spans="1:18" s="893" customFormat="1" ht="15.6" x14ac:dyDescent="0.3">
      <c r="A1413" s="888" t="str">
        <f>IF(LEN('Translation-EN'!A1413)&gt;0,'Translation-EN'!A1413,"")</f>
        <v>Range</v>
      </c>
      <c r="B1413" s="888" t="str">
        <f>IF(LEN('Translation-EN'!B1413)&gt;0,'Translation-EN'!B1413,"")</f>
        <v>SCENARIOS</v>
      </c>
      <c r="C1413" s="888" t="str">
        <f>IF(LEN('Translation-EN'!C1413)&gt;0,'Translation-EN'!C1413,"")</f>
        <v>B29</v>
      </c>
      <c r="D1413" s="888" t="b">
        <f>IF(LEN('Translation-EN'!D1413)&gt;0,'Translation-EN'!D1413,"")</f>
        <v>1</v>
      </c>
      <c r="E1413" s="1050" t="s">
        <v>7233</v>
      </c>
      <c r="I1413" s="888"/>
      <c r="J1413" s="888"/>
      <c r="K1413" s="888"/>
      <c r="L1413" s="888"/>
      <c r="M1413" s="888"/>
      <c r="N1413" s="888"/>
      <c r="O1413" s="888"/>
      <c r="P1413" s="888"/>
      <c r="Q1413" s="888"/>
      <c r="R1413" s="888"/>
    </row>
    <row r="1414" spans="1:18" s="893" customFormat="1" ht="15.6" x14ac:dyDescent="0.3">
      <c r="A1414" s="888" t="str">
        <f>IF(LEN('Translation-EN'!A1414)&gt;0,'Translation-EN'!A1414,"")</f>
        <v>Range</v>
      </c>
      <c r="B1414" s="888" t="str">
        <f>IF(LEN('Translation-EN'!B1414)&gt;0,'Translation-EN'!B1414,"")</f>
        <v>SCENARIOS</v>
      </c>
      <c r="C1414" s="888" t="str">
        <f>IF(LEN('Translation-EN'!C1414)&gt;0,'Translation-EN'!C1414,"")</f>
        <v>B30</v>
      </c>
      <c r="D1414" s="888" t="b">
        <f>IF(LEN('Translation-EN'!D1414)&gt;0,'Translation-EN'!D1414,"")</f>
        <v>1</v>
      </c>
      <c r="E1414" s="1051" t="s">
        <v>7234</v>
      </c>
      <c r="I1414" s="888"/>
      <c r="J1414" s="888"/>
      <c r="K1414" s="888"/>
      <c r="L1414" s="888"/>
      <c r="M1414" s="888"/>
      <c r="N1414" s="888"/>
      <c r="O1414" s="888"/>
      <c r="P1414" s="888"/>
      <c r="Q1414" s="888"/>
      <c r="R1414" s="888"/>
    </row>
    <row r="1415" spans="1:18" s="893" customFormat="1" ht="15.6" x14ac:dyDescent="0.3">
      <c r="A1415" s="888" t="str">
        <f>IF(LEN('Translation-EN'!A1415)&gt;0,'Translation-EN'!A1415,"")</f>
        <v>Range</v>
      </c>
      <c r="B1415" s="888" t="str">
        <f>IF(LEN('Translation-EN'!B1415)&gt;0,'Translation-EN'!B1415,"")</f>
        <v>SCENARIOS</v>
      </c>
      <c r="C1415" s="888" t="str">
        <f>IF(LEN('Translation-EN'!C1415)&gt;0,'Translation-EN'!C1415,"")</f>
        <v>B31</v>
      </c>
      <c r="D1415" s="888" t="b">
        <f>IF(LEN('Translation-EN'!D1415)&gt;0,'Translation-EN'!D1415,"")</f>
        <v>1</v>
      </c>
      <c r="E1415" s="1051" t="s">
        <v>7235</v>
      </c>
      <c r="I1415" s="888"/>
      <c r="J1415" s="888"/>
      <c r="K1415" s="888"/>
      <c r="L1415" s="888"/>
      <c r="M1415" s="888"/>
      <c r="N1415" s="888"/>
      <c r="O1415" s="888"/>
      <c r="P1415" s="888"/>
      <c r="Q1415" s="888"/>
      <c r="R1415" s="888"/>
    </row>
    <row r="1416" spans="1:18" s="893" customFormat="1" ht="15.6" x14ac:dyDescent="0.3">
      <c r="A1416" s="888" t="str">
        <f>IF(LEN('Translation-EN'!A1416)&gt;0,'Translation-EN'!A1416,"")</f>
        <v>Range</v>
      </c>
      <c r="B1416" s="888" t="str">
        <f>IF(LEN('Translation-EN'!B1416)&gt;0,'Translation-EN'!B1416,"")</f>
        <v>SCENARIOS</v>
      </c>
      <c r="C1416" s="888" t="str">
        <f>IF(LEN('Translation-EN'!C1416)&gt;0,'Translation-EN'!C1416,"")</f>
        <v>B32</v>
      </c>
      <c r="D1416" s="888" t="b">
        <f>IF(LEN('Translation-EN'!D1416)&gt;0,'Translation-EN'!D1416,"")</f>
        <v>1</v>
      </c>
      <c r="E1416" s="1050" t="s">
        <v>7236</v>
      </c>
      <c r="I1416" s="888"/>
      <c r="J1416" s="888"/>
      <c r="K1416" s="888"/>
      <c r="L1416" s="888"/>
      <c r="M1416" s="888"/>
      <c r="N1416" s="888"/>
      <c r="O1416" s="888"/>
      <c r="P1416" s="888"/>
      <c r="Q1416" s="888"/>
      <c r="R1416" s="888"/>
    </row>
    <row r="1417" spans="1:18" s="893" customFormat="1" ht="15.6" x14ac:dyDescent="0.3">
      <c r="A1417" s="888" t="str">
        <f>IF(LEN('Translation-EN'!A1417)&gt;0,'Translation-EN'!A1417,"")</f>
        <v>Range</v>
      </c>
      <c r="B1417" s="888" t="str">
        <f>IF(LEN('Translation-EN'!B1417)&gt;0,'Translation-EN'!B1417,"")</f>
        <v>SCENARIOS</v>
      </c>
      <c r="C1417" s="888" t="str">
        <f>IF(LEN('Translation-EN'!C1417)&gt;0,'Translation-EN'!C1417,"")</f>
        <v>B33</v>
      </c>
      <c r="D1417" s="888" t="b">
        <f>IF(LEN('Translation-EN'!D1417)&gt;0,'Translation-EN'!D1417,"")</f>
        <v>1</v>
      </c>
      <c r="E1417" s="1051" t="s">
        <v>7237</v>
      </c>
      <c r="I1417" s="888"/>
      <c r="J1417" s="888"/>
      <c r="K1417" s="888"/>
      <c r="L1417" s="888"/>
      <c r="M1417" s="888"/>
      <c r="N1417" s="888"/>
      <c r="O1417" s="888"/>
      <c r="P1417" s="888"/>
      <c r="Q1417" s="888"/>
      <c r="R1417" s="888"/>
    </row>
    <row r="1418" spans="1:18" s="893" customFormat="1" ht="15.6" x14ac:dyDescent="0.3">
      <c r="A1418" s="888" t="str">
        <f>IF(LEN('Translation-EN'!A1418)&gt;0,'Translation-EN'!A1418,"")</f>
        <v>Range</v>
      </c>
      <c r="B1418" s="888" t="str">
        <f>IF(LEN('Translation-EN'!B1418)&gt;0,'Translation-EN'!B1418,"")</f>
        <v>SCENARIOS</v>
      </c>
      <c r="C1418" s="888" t="str">
        <f>IF(LEN('Translation-EN'!C1418)&gt;0,'Translation-EN'!C1418,"")</f>
        <v>B34</v>
      </c>
      <c r="D1418" s="888" t="b">
        <f>IF(LEN('Translation-EN'!D1418)&gt;0,'Translation-EN'!D1418,"")</f>
        <v>1</v>
      </c>
      <c r="E1418" s="1051" t="s">
        <v>7238</v>
      </c>
      <c r="I1418" s="888"/>
      <c r="J1418" s="888"/>
      <c r="K1418" s="888"/>
      <c r="L1418" s="888"/>
      <c r="M1418" s="888"/>
      <c r="N1418" s="888"/>
      <c r="O1418" s="888"/>
      <c r="P1418" s="888"/>
      <c r="Q1418" s="888"/>
      <c r="R1418" s="888"/>
    </row>
    <row r="1419" spans="1:18" s="893" customFormat="1" ht="15.6" x14ac:dyDescent="0.3">
      <c r="A1419" s="888" t="str">
        <f>IF(LEN('Translation-EN'!A1419)&gt;0,'Translation-EN'!A1419,"")</f>
        <v>Range</v>
      </c>
      <c r="B1419" s="888" t="str">
        <f>IF(LEN('Translation-EN'!B1419)&gt;0,'Translation-EN'!B1419,"")</f>
        <v>SCENARIOS</v>
      </c>
      <c r="C1419" s="888" t="str">
        <f>IF(LEN('Translation-EN'!C1419)&gt;0,'Translation-EN'!C1419,"")</f>
        <v>B35</v>
      </c>
      <c r="D1419" s="888" t="b">
        <f>IF(LEN('Translation-EN'!D1419)&gt;0,'Translation-EN'!D1419,"")</f>
        <v>1</v>
      </c>
      <c r="E1419" s="1051" t="s">
        <v>7239</v>
      </c>
      <c r="I1419" s="888"/>
      <c r="J1419" s="888"/>
      <c r="K1419" s="888"/>
      <c r="L1419" s="888"/>
      <c r="M1419" s="888"/>
      <c r="N1419" s="888"/>
      <c r="O1419" s="888"/>
      <c r="P1419" s="888"/>
      <c r="Q1419" s="888"/>
      <c r="R1419" s="888"/>
    </row>
    <row r="1420" spans="1:18" s="893" customFormat="1" ht="15.6" x14ac:dyDescent="0.3">
      <c r="A1420" s="888" t="str">
        <f>IF(LEN('Translation-EN'!A1420)&gt;0,'Translation-EN'!A1420,"")</f>
        <v>Range</v>
      </c>
      <c r="B1420" s="888" t="str">
        <f>IF(LEN('Translation-EN'!B1420)&gt;0,'Translation-EN'!B1420,"")</f>
        <v>SCENARIOS</v>
      </c>
      <c r="C1420" s="888" t="str">
        <f>IF(LEN('Translation-EN'!C1420)&gt;0,'Translation-EN'!C1420,"")</f>
        <v>B36</v>
      </c>
      <c r="D1420" s="888" t="b">
        <f>IF(LEN('Translation-EN'!D1420)&gt;0,'Translation-EN'!D1420,"")</f>
        <v>1</v>
      </c>
      <c r="E1420" s="1051" t="s">
        <v>7240</v>
      </c>
      <c r="I1420" s="888"/>
      <c r="J1420" s="888"/>
      <c r="K1420" s="888"/>
      <c r="L1420" s="888"/>
      <c r="M1420" s="888"/>
      <c r="N1420" s="888"/>
      <c r="O1420" s="888"/>
      <c r="P1420" s="888"/>
      <c r="Q1420" s="888"/>
      <c r="R1420" s="888"/>
    </row>
    <row r="1421" spans="1:18" s="893" customFormat="1" ht="15.6" x14ac:dyDescent="0.3">
      <c r="A1421" s="888" t="str">
        <f>IF(LEN('Translation-EN'!A1421)&gt;0,'Translation-EN'!A1421,"")</f>
        <v>Range</v>
      </c>
      <c r="B1421" s="888" t="str">
        <f>IF(LEN('Translation-EN'!B1421)&gt;0,'Translation-EN'!B1421,"")</f>
        <v>SCENARIOS</v>
      </c>
      <c r="C1421" s="888" t="str">
        <f>IF(LEN('Translation-EN'!C1421)&gt;0,'Translation-EN'!C1421,"")</f>
        <v>B37</v>
      </c>
      <c r="D1421" s="888" t="b">
        <f>IF(LEN('Translation-EN'!D1421)&gt;0,'Translation-EN'!D1421,"")</f>
        <v>1</v>
      </c>
      <c r="E1421" s="1050" t="s">
        <v>7241</v>
      </c>
      <c r="I1421" s="888"/>
      <c r="J1421" s="888"/>
      <c r="K1421" s="888"/>
      <c r="L1421" s="888"/>
      <c r="M1421" s="888"/>
      <c r="N1421" s="888"/>
      <c r="O1421" s="888"/>
      <c r="P1421" s="888"/>
      <c r="Q1421" s="888"/>
      <c r="R1421" s="888"/>
    </row>
    <row r="1422" spans="1:18" s="893" customFormat="1" x14ac:dyDescent="0.3">
      <c r="A1422" s="888" t="str">
        <f>IF(LEN('Translation-EN'!A1422)&gt;0,'Translation-EN'!A1422,"")</f>
        <v>Range</v>
      </c>
      <c r="B1422" s="888" t="str">
        <f>IF(LEN('Translation-EN'!B1422)&gt;0,'Translation-EN'!B1422,"")</f>
        <v>Dropdown Lists</v>
      </c>
      <c r="C1422" s="888" t="str">
        <f>IF(LEN('Translation-EN'!C1422)&gt;0,'Translation-EN'!C1422,"")</f>
        <v>A1</v>
      </c>
      <c r="D1422" s="888" t="str">
        <f>IF(LEN('Translation-EN'!D1422)&gt;0,'Translation-EN'!D1422,"")</f>
        <v/>
      </c>
      <c r="E1422" s="893" t="s">
        <v>3166</v>
      </c>
      <c r="I1422" s="888"/>
      <c r="J1422" s="888"/>
      <c r="K1422" s="888"/>
      <c r="L1422" s="888"/>
      <c r="M1422" s="888"/>
      <c r="N1422" s="888"/>
      <c r="O1422" s="888"/>
      <c r="P1422" s="888"/>
      <c r="Q1422" s="888"/>
      <c r="R1422" s="888"/>
    </row>
    <row r="1423" spans="1:18" s="893" customFormat="1" x14ac:dyDescent="0.3">
      <c r="A1423" s="888" t="str">
        <f>IF(LEN('Translation-EN'!A1423)&gt;0,'Translation-EN'!A1423,"")</f>
        <v>Range</v>
      </c>
      <c r="B1423" s="888" t="str">
        <f>IF(LEN('Translation-EN'!B1423)&gt;0,'Translation-EN'!B1423,"")</f>
        <v>Dropdown Lists</v>
      </c>
      <c r="C1423" s="888" t="str">
        <f>IF(LEN('Translation-EN'!C1423)&gt;0,'Translation-EN'!C1423,"")</f>
        <v>B1</v>
      </c>
      <c r="D1423" s="888" t="str">
        <f>IF(LEN('Translation-EN'!D1423)&gt;0,'Translation-EN'!D1423,"")</f>
        <v/>
      </c>
      <c r="E1423" s="893" t="s">
        <v>3167</v>
      </c>
      <c r="I1423" s="888"/>
      <c r="J1423" s="888"/>
      <c r="K1423" s="888"/>
      <c r="L1423" s="888"/>
      <c r="M1423" s="888"/>
      <c r="N1423" s="888"/>
      <c r="O1423" s="888"/>
      <c r="P1423" s="888"/>
      <c r="Q1423" s="888"/>
      <c r="R1423" s="888"/>
    </row>
    <row r="1424" spans="1:18" s="893" customFormat="1" x14ac:dyDescent="0.3">
      <c r="A1424" s="888" t="str">
        <f>IF(LEN('Translation-EN'!A1424)&gt;0,'Translation-EN'!A1424,"")</f>
        <v>Range</v>
      </c>
      <c r="B1424" s="888" t="str">
        <f>IF(LEN('Translation-EN'!B1424)&gt;0,'Translation-EN'!B1424,"")</f>
        <v>Dropdown Lists</v>
      </c>
      <c r="C1424" s="888" t="str">
        <f>IF(LEN('Translation-EN'!C1424)&gt;0,'Translation-EN'!C1424,"")</f>
        <v>C1</v>
      </c>
      <c r="D1424" s="888" t="str">
        <f>IF(LEN('Translation-EN'!D1424)&gt;0,'Translation-EN'!D1424,"")</f>
        <v/>
      </c>
      <c r="E1424" s="893" t="s">
        <v>3168</v>
      </c>
      <c r="I1424" s="888"/>
      <c r="J1424" s="888"/>
      <c r="K1424" s="888"/>
      <c r="L1424" s="888"/>
      <c r="M1424" s="888"/>
      <c r="N1424" s="888"/>
      <c r="O1424" s="888"/>
      <c r="P1424" s="888"/>
      <c r="Q1424" s="888"/>
      <c r="R1424" s="888"/>
    </row>
    <row r="1425" spans="1:18" s="893" customFormat="1" x14ac:dyDescent="0.3">
      <c r="A1425" s="888" t="str">
        <f>IF(LEN('Translation-EN'!A1425)&gt;0,'Translation-EN'!A1425,"")</f>
        <v>Range</v>
      </c>
      <c r="B1425" s="888" t="str">
        <f>IF(LEN('Translation-EN'!B1425)&gt;0,'Translation-EN'!B1425,"")</f>
        <v>Dropdown Lists</v>
      </c>
      <c r="C1425" s="888" t="str">
        <f>IF(LEN('Translation-EN'!C1425)&gt;0,'Translation-EN'!C1425,"")</f>
        <v>D1</v>
      </c>
      <c r="D1425" s="888" t="str">
        <f>IF(LEN('Translation-EN'!D1425)&gt;0,'Translation-EN'!D1425,"")</f>
        <v/>
      </c>
      <c r="E1425" s="893" t="s">
        <v>3169</v>
      </c>
      <c r="I1425" s="888"/>
      <c r="J1425" s="888"/>
      <c r="K1425" s="888"/>
      <c r="L1425" s="888"/>
      <c r="M1425" s="888"/>
      <c r="N1425" s="888"/>
      <c r="O1425" s="888"/>
      <c r="P1425" s="888"/>
      <c r="Q1425" s="888"/>
      <c r="R1425" s="888"/>
    </row>
    <row r="1426" spans="1:18" s="893" customFormat="1" x14ac:dyDescent="0.3">
      <c r="A1426" s="888" t="str">
        <f>IF(LEN('Translation-EN'!A1426)&gt;0,'Translation-EN'!A1426,"")</f>
        <v>Range</v>
      </c>
      <c r="B1426" s="888" t="str">
        <f>IF(LEN('Translation-EN'!B1426)&gt;0,'Translation-EN'!B1426,"")</f>
        <v>Dropdown Lists</v>
      </c>
      <c r="C1426" s="888" t="str">
        <f>IF(LEN('Translation-EN'!C1426)&gt;0,'Translation-EN'!C1426,"")</f>
        <v>E1</v>
      </c>
      <c r="D1426" s="888" t="str">
        <f>IF(LEN('Translation-EN'!D1426)&gt;0,'Translation-EN'!D1426,"")</f>
        <v/>
      </c>
      <c r="E1426" s="893" t="s">
        <v>3170</v>
      </c>
      <c r="I1426" s="888"/>
      <c r="J1426" s="888"/>
      <c r="K1426" s="888"/>
      <c r="L1426" s="888"/>
      <c r="M1426" s="888"/>
      <c r="N1426" s="888"/>
      <c r="O1426" s="888"/>
      <c r="P1426" s="888"/>
      <c r="Q1426" s="888"/>
      <c r="R1426" s="888"/>
    </row>
    <row r="1427" spans="1:18" s="893" customFormat="1" x14ac:dyDescent="0.3">
      <c r="A1427" s="888" t="str">
        <f>IF(LEN('Translation-EN'!A1427)&gt;0,'Translation-EN'!A1427,"")</f>
        <v>Range</v>
      </c>
      <c r="B1427" s="888" t="str">
        <f>IF(LEN('Translation-EN'!B1427)&gt;0,'Translation-EN'!B1427,"")</f>
        <v>Dropdown Lists</v>
      </c>
      <c r="C1427" s="888" t="str">
        <f>IF(LEN('Translation-EN'!C1427)&gt;0,'Translation-EN'!C1427,"")</f>
        <v>F1</v>
      </c>
      <c r="D1427" s="888" t="str">
        <f>IF(LEN('Translation-EN'!D1427)&gt;0,'Translation-EN'!D1427,"")</f>
        <v/>
      </c>
      <c r="E1427" s="893" t="s">
        <v>3171</v>
      </c>
      <c r="I1427" s="888"/>
      <c r="J1427" s="888"/>
      <c r="K1427" s="888"/>
      <c r="L1427" s="888"/>
      <c r="M1427" s="888"/>
      <c r="N1427" s="888"/>
      <c r="O1427" s="888"/>
      <c r="P1427" s="888"/>
      <c r="Q1427" s="888"/>
      <c r="R1427" s="888"/>
    </row>
    <row r="1428" spans="1:18" s="893" customFormat="1" x14ac:dyDescent="0.3">
      <c r="A1428" s="888" t="str">
        <f>IF(LEN('Translation-EN'!A1428)&gt;0,'Translation-EN'!A1428,"")</f>
        <v>Range</v>
      </c>
      <c r="B1428" s="888" t="str">
        <f>IF(LEN('Translation-EN'!B1428)&gt;0,'Translation-EN'!B1428,"")</f>
        <v>Dropdown Lists</v>
      </c>
      <c r="C1428" s="888" t="str">
        <f>IF(LEN('Translation-EN'!C1428)&gt;0,'Translation-EN'!C1428,"")</f>
        <v>G1</v>
      </c>
      <c r="D1428" s="888" t="str">
        <f>IF(LEN('Translation-EN'!D1428)&gt;0,'Translation-EN'!D1428,"")</f>
        <v/>
      </c>
      <c r="E1428" s="893" t="s">
        <v>3172</v>
      </c>
      <c r="I1428" s="888"/>
      <c r="J1428" s="888"/>
      <c r="K1428" s="888"/>
      <c r="L1428" s="888"/>
      <c r="M1428" s="888"/>
      <c r="N1428" s="888"/>
      <c r="O1428" s="888"/>
      <c r="P1428" s="888"/>
      <c r="Q1428" s="888"/>
      <c r="R1428" s="888"/>
    </row>
    <row r="1429" spans="1:18" s="893" customFormat="1" x14ac:dyDescent="0.3">
      <c r="A1429" s="888" t="str">
        <f>IF(LEN('Translation-EN'!A1429)&gt;0,'Translation-EN'!A1429,"")</f>
        <v>Range</v>
      </c>
      <c r="B1429" s="888" t="str">
        <f>IF(LEN('Translation-EN'!B1429)&gt;0,'Translation-EN'!B1429,"")</f>
        <v>Dropdown Lists</v>
      </c>
      <c r="C1429" s="888" t="str">
        <f>IF(LEN('Translation-EN'!C1429)&gt;0,'Translation-EN'!C1429,"")</f>
        <v>H1</v>
      </c>
      <c r="D1429" s="888" t="str">
        <f>IF(LEN('Translation-EN'!D1429)&gt;0,'Translation-EN'!D1429,"")</f>
        <v/>
      </c>
      <c r="E1429" s="893" t="s">
        <v>3173</v>
      </c>
      <c r="I1429" s="888"/>
      <c r="J1429" s="888"/>
      <c r="K1429" s="888"/>
      <c r="L1429" s="888"/>
      <c r="M1429" s="888"/>
      <c r="N1429" s="888"/>
      <c r="O1429" s="888"/>
      <c r="P1429" s="888"/>
      <c r="Q1429" s="888"/>
      <c r="R1429" s="888"/>
    </row>
    <row r="1430" spans="1:18" s="893" customFormat="1" x14ac:dyDescent="0.3">
      <c r="A1430" s="888" t="str">
        <f>IF(LEN('Translation-EN'!A1430)&gt;0,'Translation-EN'!A1430,"")</f>
        <v>Range</v>
      </c>
      <c r="B1430" s="888" t="str">
        <f>IF(LEN('Translation-EN'!B1430)&gt;0,'Translation-EN'!B1430,"")</f>
        <v>Dropdown Lists</v>
      </c>
      <c r="C1430" s="888" t="str">
        <f>IF(LEN('Translation-EN'!C1430)&gt;0,'Translation-EN'!C1430,"")</f>
        <v>J1</v>
      </c>
      <c r="D1430" s="888" t="str">
        <f>IF(LEN('Translation-EN'!D1430)&gt;0,'Translation-EN'!D1430,"")</f>
        <v/>
      </c>
      <c r="E1430" s="893" t="s">
        <v>3174</v>
      </c>
      <c r="I1430" s="888"/>
      <c r="J1430" s="888"/>
      <c r="K1430" s="888"/>
      <c r="L1430" s="888"/>
      <c r="M1430" s="888"/>
      <c r="N1430" s="888"/>
      <c r="O1430" s="888"/>
      <c r="P1430" s="888"/>
      <c r="Q1430" s="888"/>
      <c r="R1430" s="888"/>
    </row>
    <row r="1431" spans="1:18" s="893" customFormat="1" x14ac:dyDescent="0.3">
      <c r="A1431" s="888" t="str">
        <f>IF(LEN('Translation-EN'!A1431)&gt;0,'Translation-EN'!A1431,"")</f>
        <v>Range</v>
      </c>
      <c r="B1431" s="888" t="str">
        <f>IF(LEN('Translation-EN'!B1431)&gt;0,'Translation-EN'!B1431,"")</f>
        <v>Dropdown Lists</v>
      </c>
      <c r="C1431" s="888" t="str">
        <f>IF(LEN('Translation-EN'!C1431)&gt;0,'Translation-EN'!C1431,"")</f>
        <v>A2</v>
      </c>
      <c r="D1431" s="888" t="str">
        <f>IF(LEN('Translation-EN'!D1431)&gt;0,'Translation-EN'!D1431,"")</f>
        <v/>
      </c>
      <c r="E1431" s="1002" t="s">
        <v>6774</v>
      </c>
      <c r="I1431" s="888"/>
      <c r="J1431" s="888"/>
      <c r="K1431" s="888"/>
      <c r="L1431" s="888"/>
      <c r="M1431" s="888"/>
      <c r="N1431" s="888"/>
      <c r="O1431" s="888"/>
      <c r="P1431" s="888"/>
      <c r="Q1431" s="888"/>
      <c r="R1431" s="888"/>
    </row>
    <row r="1432" spans="1:18" s="893" customFormat="1" x14ac:dyDescent="0.3">
      <c r="A1432" s="888" t="str">
        <f>IF(LEN('Translation-EN'!A1432)&gt;0,'Translation-EN'!A1432,"")</f>
        <v>Range</v>
      </c>
      <c r="B1432" s="888" t="str">
        <f>IF(LEN('Translation-EN'!B1432)&gt;0,'Translation-EN'!B1432,"")</f>
        <v>Dropdown Lists</v>
      </c>
      <c r="C1432" s="888" t="str">
        <f>IF(LEN('Translation-EN'!C1432)&gt;0,'Translation-EN'!C1432,"")</f>
        <v>D2</v>
      </c>
      <c r="D1432" s="888" t="str">
        <f>IF(LEN('Translation-EN'!D1432)&gt;0,'Translation-EN'!D1432,"")</f>
        <v/>
      </c>
      <c r="E1432" s="893" t="str">
        <f>$E$1009</f>
        <v>Surface de toit</v>
      </c>
      <c r="I1432" s="888"/>
      <c r="J1432" s="888"/>
      <c r="K1432" s="888"/>
      <c r="L1432" s="888"/>
      <c r="M1432" s="888"/>
      <c r="N1432" s="888"/>
      <c r="O1432" s="888"/>
      <c r="P1432" s="888"/>
      <c r="Q1432" s="888"/>
      <c r="R1432" s="888"/>
    </row>
    <row r="1433" spans="1:18" s="893" customFormat="1" x14ac:dyDescent="0.3">
      <c r="A1433" s="888" t="str">
        <f>IF(LEN('Translation-EN'!A1433)&gt;0,'Translation-EN'!A1433,"")</f>
        <v>Range</v>
      </c>
      <c r="B1433" s="888" t="str">
        <f>IF(LEN('Translation-EN'!B1433)&gt;0,'Translation-EN'!B1433,"")</f>
        <v>Dropdown Lists</v>
      </c>
      <c r="C1433" s="888" t="str">
        <f>IF(LEN('Translation-EN'!C1433)&gt;0,'Translation-EN'!C1433,"")</f>
        <v>J2</v>
      </c>
      <c r="D1433" s="888" t="str">
        <f>IF(LEN('Translation-EN'!D1433)&gt;0,'Translation-EN'!D1433,"")</f>
        <v/>
      </c>
      <c r="E1433" s="893" t="s">
        <v>3175</v>
      </c>
      <c r="I1433" s="888"/>
      <c r="J1433" s="888"/>
      <c r="K1433" s="888"/>
      <c r="L1433" s="888"/>
      <c r="M1433" s="888"/>
      <c r="N1433" s="888"/>
      <c r="O1433" s="888"/>
      <c r="P1433" s="888"/>
      <c r="Q1433" s="888"/>
      <c r="R1433" s="888"/>
    </row>
    <row r="1434" spans="1:18" s="893" customFormat="1" x14ac:dyDescent="0.3">
      <c r="A1434" s="888" t="str">
        <f>IF(LEN('Translation-EN'!A1434)&gt;0,'Translation-EN'!A1434,"")</f>
        <v>Range</v>
      </c>
      <c r="B1434" s="888" t="str">
        <f>IF(LEN('Translation-EN'!B1434)&gt;0,'Translation-EN'!B1434,"")</f>
        <v>Dropdown Lists</v>
      </c>
      <c r="C1434" s="888" t="str">
        <f>IF(LEN('Translation-EN'!C1434)&gt;0,'Translation-EN'!C1434,"")</f>
        <v>D3</v>
      </c>
      <c r="D1434" s="888" t="str">
        <f>IF(LEN('Translation-EN'!D1434)&gt;0,'Translation-EN'!D1434,"")</f>
        <v/>
      </c>
      <c r="E1434" s="893" t="str">
        <f>$E$988</f>
        <v>Surface du plafond</v>
      </c>
      <c r="I1434" s="888"/>
      <c r="J1434" s="888"/>
      <c r="K1434" s="888"/>
      <c r="L1434" s="888"/>
      <c r="M1434" s="888"/>
      <c r="N1434" s="888"/>
      <c r="O1434" s="888"/>
      <c r="P1434" s="888"/>
      <c r="Q1434" s="888"/>
      <c r="R1434" s="888"/>
    </row>
    <row r="1435" spans="1:18" s="893" customFormat="1" x14ac:dyDescent="0.3">
      <c r="A1435" s="888" t="str">
        <f>IF(LEN('Translation-EN'!A1435)&gt;0,'Translation-EN'!A1435,"")</f>
        <v>Range</v>
      </c>
      <c r="B1435" s="888" t="str">
        <f>IF(LEN('Translation-EN'!B1435)&gt;0,'Translation-EN'!B1435,"")</f>
        <v>Dropdown Lists</v>
      </c>
      <c r="C1435" s="888" t="str">
        <f>IF(LEN('Translation-EN'!C1435)&gt;0,'Translation-EN'!C1435,"")</f>
        <v>J3</v>
      </c>
      <c r="D1435" s="888" t="str">
        <f>IF(LEN('Translation-EN'!D1435)&gt;0,'Translation-EN'!D1435,"")</f>
        <v/>
      </c>
      <c r="E1435" s="893" t="s">
        <v>3176</v>
      </c>
      <c r="I1435" s="888"/>
      <c r="J1435" s="888"/>
      <c r="K1435" s="888"/>
      <c r="L1435" s="888"/>
      <c r="M1435" s="888"/>
      <c r="N1435" s="888"/>
      <c r="O1435" s="888"/>
      <c r="P1435" s="888"/>
      <c r="Q1435" s="888"/>
      <c r="R1435" s="888"/>
    </row>
    <row r="1436" spans="1:18" s="893" customFormat="1" x14ac:dyDescent="0.3">
      <c r="A1436" s="888" t="str">
        <f>IF(LEN('Translation-EN'!A1436)&gt;0,'Translation-EN'!A1436,"")</f>
        <v>Range</v>
      </c>
      <c r="B1436" s="888" t="str">
        <f>IF(LEN('Translation-EN'!B1436)&gt;0,'Translation-EN'!B1436,"")</f>
        <v>Data</v>
      </c>
      <c r="C1436" s="888" t="str">
        <f>IF(LEN('Translation-EN'!C1436)&gt;0,'Translation-EN'!C1436,"")</f>
        <v>A1</v>
      </c>
      <c r="D1436" s="888" t="str">
        <f>IF(LEN('Translation-EN'!D1436)&gt;0,'Translation-EN'!D1436,"")</f>
        <v/>
      </c>
      <c r="E1436" s="893" t="str">
        <f>$E$1286</f>
        <v>SECTION</v>
      </c>
      <c r="I1436" s="888"/>
      <c r="J1436" s="888"/>
      <c r="K1436" s="888"/>
      <c r="L1436" s="888"/>
      <c r="M1436" s="888"/>
      <c r="N1436" s="888"/>
      <c r="O1436" s="888"/>
      <c r="P1436" s="888"/>
      <c r="Q1436" s="888"/>
      <c r="R1436" s="888"/>
    </row>
    <row r="1437" spans="1:18" s="893" customFormat="1" x14ac:dyDescent="0.3">
      <c r="A1437" s="888" t="str">
        <f>IF(LEN('Translation-EN'!A1437)&gt;0,'Translation-EN'!A1437,"")</f>
        <v>Range</v>
      </c>
      <c r="B1437" s="888" t="str">
        <f>IF(LEN('Translation-EN'!B1437)&gt;0,'Translation-EN'!B1437,"")</f>
        <v>Data</v>
      </c>
      <c r="C1437" s="888" t="str">
        <f>IF(LEN('Translation-EN'!C1437)&gt;0,'Translation-EN'!C1437,"")</f>
        <v>B1</v>
      </c>
      <c r="D1437" s="888" t="str">
        <f>IF(LEN('Translation-EN'!D1437)&gt;0,'Translation-EN'!D1437,"")</f>
        <v/>
      </c>
      <c r="E1437" s="965" t="s">
        <v>5137</v>
      </c>
      <c r="I1437" s="888"/>
      <c r="J1437" s="888"/>
      <c r="K1437" s="888"/>
      <c r="L1437" s="888"/>
      <c r="M1437" s="888"/>
      <c r="N1437" s="888"/>
      <c r="O1437" s="888"/>
      <c r="P1437" s="888"/>
      <c r="Q1437" s="888"/>
      <c r="R1437" s="888"/>
    </row>
    <row r="1438" spans="1:18" s="893" customFormat="1" x14ac:dyDescent="0.3">
      <c r="A1438" s="888" t="str">
        <f>IF(LEN('Translation-EN'!A1438)&gt;0,'Translation-EN'!A1438,"")</f>
        <v>Range</v>
      </c>
      <c r="B1438" s="888" t="str">
        <f>IF(LEN('Translation-EN'!B1438)&gt;0,'Translation-EN'!B1438,"")</f>
        <v>Data</v>
      </c>
      <c r="C1438" s="888" t="str">
        <f>IF(LEN('Translation-EN'!C1438)&gt;0,'Translation-EN'!C1438,"")</f>
        <v>C1</v>
      </c>
      <c r="D1438" s="888" t="str">
        <f>IF(LEN('Translation-EN'!D1438)&gt;0,'Translation-EN'!D1438,"")</f>
        <v/>
      </c>
      <c r="E1438" s="893" t="str">
        <f>$E$171</f>
        <v>MATÉRIAU</v>
      </c>
      <c r="I1438" s="888"/>
      <c r="J1438" s="888"/>
      <c r="K1438" s="888"/>
      <c r="L1438" s="888"/>
      <c r="M1438" s="888"/>
      <c r="N1438" s="888"/>
      <c r="O1438" s="888"/>
      <c r="P1438" s="888"/>
      <c r="Q1438" s="888"/>
      <c r="R1438" s="888"/>
    </row>
    <row r="1439" spans="1:18" s="893" customFormat="1" x14ac:dyDescent="0.3">
      <c r="A1439" s="888" t="str">
        <f>IF(LEN('Translation-EN'!A1439)&gt;0,'Translation-EN'!A1439,"")</f>
        <v>Range</v>
      </c>
      <c r="B1439" s="888" t="str">
        <f>IF(LEN('Translation-EN'!B1439)&gt;0,'Translation-EN'!B1439,"")</f>
        <v>Data</v>
      </c>
      <c r="C1439" s="888" t="str">
        <f>IF(LEN('Translation-EN'!C1439)&gt;0,'Translation-EN'!C1439,"")</f>
        <v>H1</v>
      </c>
      <c r="D1439" s="888" t="str">
        <f>IF(LEN('Translation-EN'!D1439)&gt;0,'Translation-EN'!D1439,"")</f>
        <v/>
      </c>
      <c r="E1439" s="893" t="s">
        <v>5138</v>
      </c>
      <c r="I1439" s="888"/>
      <c r="J1439" s="888"/>
      <c r="K1439" s="888"/>
      <c r="L1439" s="888"/>
      <c r="M1439" s="888"/>
      <c r="N1439" s="888"/>
      <c r="O1439" s="888"/>
      <c r="P1439" s="888"/>
      <c r="Q1439" s="888"/>
      <c r="R1439" s="888"/>
    </row>
    <row r="1440" spans="1:18" s="893" customFormat="1" x14ac:dyDescent="0.3">
      <c r="A1440" s="888" t="str">
        <f>IF(LEN('Translation-EN'!A1440)&gt;0,'Translation-EN'!A1440,"")</f>
        <v>Range</v>
      </c>
      <c r="B1440" s="888" t="str">
        <f>IF(LEN('Translation-EN'!B1440)&gt;0,'Translation-EN'!B1440,"")</f>
        <v>Data</v>
      </c>
      <c r="C1440" s="888" t="str">
        <f>IF(LEN('Translation-EN'!C1440)&gt;0,'Translation-EN'!C1440,"")</f>
        <v>K1</v>
      </c>
      <c r="D1440" s="888" t="str">
        <f>IF(LEN('Translation-EN'!D1440)&gt;0,'Translation-EN'!D1440,"")</f>
        <v/>
      </c>
      <c r="E1440" s="893" t="s">
        <v>3177</v>
      </c>
      <c r="I1440" s="888"/>
      <c r="J1440" s="888"/>
      <c r="K1440" s="888"/>
      <c r="L1440" s="888"/>
      <c r="M1440" s="888"/>
      <c r="N1440" s="888"/>
      <c r="O1440" s="888"/>
      <c r="P1440" s="888"/>
      <c r="Q1440" s="888"/>
      <c r="R1440" s="888"/>
    </row>
    <row r="1441" spans="1:18" s="893" customFormat="1" x14ac:dyDescent="0.3">
      <c r="A1441" s="888" t="str">
        <f>IF(LEN('Translation-EN'!A1441)&gt;0,'Translation-EN'!A1441,"")</f>
        <v>Range</v>
      </c>
      <c r="B1441" s="888" t="str">
        <f>IF(LEN('Translation-EN'!B1441)&gt;0,'Translation-EN'!B1441,"")</f>
        <v>Data</v>
      </c>
      <c r="C1441" s="888" t="str">
        <f>IF(LEN('Translation-EN'!C1441)&gt;0,'Translation-EN'!C1441,"")</f>
        <v>L1</v>
      </c>
      <c r="D1441" s="888" t="str">
        <f>IF(LEN('Translation-EN'!D1441)&gt;0,'Translation-EN'!D1441,"")</f>
        <v/>
      </c>
      <c r="E1441" s="893" t="s">
        <v>3178</v>
      </c>
      <c r="I1441" s="888"/>
      <c r="J1441" s="888"/>
      <c r="K1441" s="888"/>
      <c r="L1441" s="888"/>
      <c r="M1441" s="888"/>
      <c r="N1441" s="888"/>
      <c r="O1441" s="888"/>
      <c r="P1441" s="888"/>
      <c r="Q1441" s="888"/>
      <c r="R1441" s="888"/>
    </row>
    <row r="1442" spans="1:18" s="893" customFormat="1" x14ac:dyDescent="0.3">
      <c r="A1442" s="888" t="str">
        <f>IF(LEN('Translation-EN'!A1442)&gt;0,'Translation-EN'!A1442,"")</f>
        <v>Range</v>
      </c>
      <c r="B1442" s="888" t="str">
        <f>IF(LEN('Translation-EN'!B1442)&gt;0,'Translation-EN'!B1442,"")</f>
        <v>Data</v>
      </c>
      <c r="C1442" s="888" t="str">
        <f>IF(LEN('Translation-EN'!C1442)&gt;0,'Translation-EN'!C1442,"")</f>
        <v>M1</v>
      </c>
      <c r="D1442" s="888" t="str">
        <f>IF(LEN('Translation-EN'!D1442)&gt;0,'Translation-EN'!D1442,"")</f>
        <v/>
      </c>
      <c r="E1442" s="893" t="s">
        <v>3179</v>
      </c>
      <c r="I1442" s="888"/>
      <c r="J1442" s="888"/>
      <c r="K1442" s="888"/>
      <c r="L1442" s="888"/>
      <c r="M1442" s="888"/>
      <c r="N1442" s="888"/>
      <c r="O1442" s="888"/>
      <c r="P1442" s="888"/>
      <c r="Q1442" s="888"/>
      <c r="R1442" s="888"/>
    </row>
    <row r="1443" spans="1:18" s="893" customFormat="1" x14ac:dyDescent="0.3">
      <c r="A1443" s="888" t="str">
        <f>IF(LEN('Translation-EN'!A1443)&gt;0,'Translation-EN'!A1443,"")</f>
        <v>Range</v>
      </c>
      <c r="B1443" s="888" t="str">
        <f>IF(LEN('Translation-EN'!B1443)&gt;0,'Translation-EN'!B1443,"")</f>
        <v>Data</v>
      </c>
      <c r="C1443" s="888" t="str">
        <f>IF(LEN('Translation-EN'!C1443)&gt;0,'Translation-EN'!C1443,"")</f>
        <v>N1</v>
      </c>
      <c r="D1443" s="888" t="str">
        <f>IF(LEN('Translation-EN'!D1443)&gt;0,'Translation-EN'!D1443,"")</f>
        <v/>
      </c>
      <c r="E1443" s="893" t="s">
        <v>3180</v>
      </c>
      <c r="I1443" s="888"/>
      <c r="J1443" s="888"/>
      <c r="K1443" s="888"/>
      <c r="L1443" s="888"/>
      <c r="M1443" s="888"/>
      <c r="N1443" s="888"/>
      <c r="O1443" s="888"/>
      <c r="P1443" s="888"/>
      <c r="Q1443" s="888"/>
      <c r="R1443" s="888"/>
    </row>
    <row r="1444" spans="1:18" s="893" customFormat="1" x14ac:dyDescent="0.3">
      <c r="A1444" s="888" t="str">
        <f>IF(LEN('Translation-EN'!A1444)&gt;0,'Translation-EN'!A1444,"")</f>
        <v>Range</v>
      </c>
      <c r="B1444" s="888" t="str">
        <f>IF(LEN('Translation-EN'!B1444)&gt;0,'Translation-EN'!B1444,"")</f>
        <v>Data</v>
      </c>
      <c r="C1444" s="888" t="str">
        <f>IF(LEN('Translation-EN'!C1444)&gt;0,'Translation-EN'!C1444,"")</f>
        <v>O1</v>
      </c>
      <c r="D1444" s="888" t="str">
        <f>IF(LEN('Translation-EN'!D1444)&gt;0,'Translation-EN'!D1444,"")</f>
        <v/>
      </c>
      <c r="E1444" s="893" t="str">
        <f>$E$1286</f>
        <v>SECTION</v>
      </c>
      <c r="I1444" s="888"/>
      <c r="J1444" s="888"/>
      <c r="K1444" s="888"/>
      <c r="L1444" s="888"/>
      <c r="M1444" s="888"/>
      <c r="N1444" s="888"/>
      <c r="O1444" s="888"/>
      <c r="P1444" s="888"/>
      <c r="Q1444" s="888"/>
      <c r="R1444" s="888"/>
    </row>
    <row r="1445" spans="1:18" s="893" customFormat="1" x14ac:dyDescent="0.3">
      <c r="A1445" s="888" t="str">
        <f>IF(LEN('Translation-EN'!A1445)&gt;0,'Translation-EN'!A1445,"")</f>
        <v>Range</v>
      </c>
      <c r="B1445" s="888" t="str">
        <f>IF(LEN('Translation-EN'!B1445)&gt;0,'Translation-EN'!B1445,"")</f>
        <v>Data</v>
      </c>
      <c r="C1445" s="888" t="str">
        <f>IF(LEN('Translation-EN'!C1445)&gt;0,'Translation-EN'!C1445,"")</f>
        <v>P1</v>
      </c>
      <c r="D1445" s="888" t="str">
        <f>IF(LEN('Translation-EN'!D1445)&gt;0,'Translation-EN'!D1445,"")</f>
        <v/>
      </c>
      <c r="E1445" s="893" t="str">
        <f>$E$171</f>
        <v>MATÉRIAU</v>
      </c>
      <c r="I1445" s="888"/>
      <c r="J1445" s="888"/>
      <c r="K1445" s="888"/>
      <c r="L1445" s="888"/>
      <c r="M1445" s="888"/>
      <c r="N1445" s="888"/>
      <c r="O1445" s="888"/>
      <c r="P1445" s="888"/>
      <c r="Q1445" s="888"/>
      <c r="R1445" s="888"/>
    </row>
    <row r="1446" spans="1:18" s="893" customFormat="1" x14ac:dyDescent="0.3">
      <c r="A1446" s="888" t="str">
        <f>IF(LEN('Translation-EN'!A1446)&gt;0,'Translation-EN'!A1446,"")</f>
        <v>Range</v>
      </c>
      <c r="B1446" s="888" t="str">
        <f>IF(LEN('Translation-EN'!B1446)&gt;0,'Translation-EN'!B1446,"")</f>
        <v>Data</v>
      </c>
      <c r="C1446" s="888" t="str">
        <f>IF(LEN('Translation-EN'!C1446)&gt;0,'Translation-EN'!C1446,"")</f>
        <v>R1</v>
      </c>
      <c r="D1446" s="888" t="str">
        <f>IF(LEN('Translation-EN'!D1446)&gt;0,'Translation-EN'!D1446,"")</f>
        <v/>
      </c>
      <c r="E1446" s="893" t="s">
        <v>3181</v>
      </c>
      <c r="I1446" s="888"/>
      <c r="J1446" s="888"/>
      <c r="K1446" s="888"/>
      <c r="L1446" s="888"/>
      <c r="M1446" s="888"/>
      <c r="N1446" s="888"/>
      <c r="O1446" s="888"/>
      <c r="P1446" s="888"/>
      <c r="Q1446" s="888"/>
      <c r="R1446" s="888"/>
    </row>
    <row r="1447" spans="1:18" s="893" customFormat="1" x14ac:dyDescent="0.3">
      <c r="A1447" s="888" t="str">
        <f>IF(LEN('Translation-EN'!A1447)&gt;0,'Translation-EN'!A1447,"")</f>
        <v>Range</v>
      </c>
      <c r="B1447" s="888" t="str">
        <f>IF(LEN('Translation-EN'!B1447)&gt;0,'Translation-EN'!B1447,"")</f>
        <v>Data</v>
      </c>
      <c r="C1447" s="888" t="str">
        <f>IF(LEN('Translation-EN'!C1447)&gt;0,'Translation-EN'!C1447,"")</f>
        <v>S1</v>
      </c>
      <c r="D1447" s="888" t="str">
        <f>IF(LEN('Translation-EN'!D1447)&gt;0,'Translation-EN'!D1447,"")</f>
        <v/>
      </c>
      <c r="E1447" s="893" t="s">
        <v>3182</v>
      </c>
      <c r="I1447" s="888"/>
      <c r="J1447" s="888"/>
      <c r="K1447" s="888"/>
      <c r="L1447" s="888"/>
      <c r="M1447" s="888"/>
      <c r="N1447" s="888"/>
      <c r="O1447" s="888"/>
      <c r="P1447" s="888"/>
      <c r="Q1447" s="888"/>
      <c r="R1447" s="888"/>
    </row>
    <row r="1448" spans="1:18" s="893" customFormat="1" x14ac:dyDescent="0.3">
      <c r="A1448" s="888" t="str">
        <f>IF(LEN('Translation-EN'!A1448)&gt;0,'Translation-EN'!A1448,"")</f>
        <v>Range</v>
      </c>
      <c r="B1448" s="888" t="str">
        <f>IF(LEN('Translation-EN'!B1448)&gt;0,'Translation-EN'!B1448,"")</f>
        <v>Data</v>
      </c>
      <c r="C1448" s="888" t="str">
        <f>IF(LEN('Translation-EN'!C1448)&gt;0,'Translation-EN'!C1448,"")</f>
        <v>T1</v>
      </c>
      <c r="D1448" s="888" t="str">
        <f>IF(LEN('Translation-EN'!D1448)&gt;0,'Translation-EN'!D1448,"")</f>
        <v/>
      </c>
      <c r="E1448" s="893" t="s">
        <v>3183</v>
      </c>
      <c r="I1448" s="888"/>
      <c r="J1448" s="888"/>
      <c r="K1448" s="888"/>
      <c r="L1448" s="888"/>
      <c r="M1448" s="888"/>
      <c r="N1448" s="888"/>
      <c r="O1448" s="888"/>
      <c r="P1448" s="888"/>
      <c r="Q1448" s="888"/>
      <c r="R1448" s="888"/>
    </row>
    <row r="1449" spans="1:18" s="893" customFormat="1" x14ac:dyDescent="0.3">
      <c r="A1449" s="888" t="str">
        <f>IF(LEN('Translation-EN'!A1449)&gt;0,'Translation-EN'!A1449,"")</f>
        <v>Range</v>
      </c>
      <c r="B1449" s="888" t="str">
        <f>IF(LEN('Translation-EN'!B1449)&gt;0,'Translation-EN'!B1449,"")</f>
        <v>Data</v>
      </c>
      <c r="C1449" s="888" t="str">
        <f>IF(LEN('Translation-EN'!C1449)&gt;0,'Translation-EN'!C1449,"")</f>
        <v>U1</v>
      </c>
      <c r="D1449" s="888" t="str">
        <f>IF(LEN('Translation-EN'!D1449)&gt;0,'Translation-EN'!D1449,"")</f>
        <v/>
      </c>
      <c r="E1449" s="893" t="s">
        <v>1220</v>
      </c>
      <c r="I1449" s="888"/>
      <c r="J1449" s="888"/>
      <c r="K1449" s="888"/>
      <c r="L1449" s="888"/>
      <c r="M1449" s="888"/>
      <c r="N1449" s="888"/>
      <c r="O1449" s="888"/>
      <c r="P1449" s="888"/>
      <c r="Q1449" s="888"/>
      <c r="R1449" s="888"/>
    </row>
    <row r="1450" spans="1:18" s="893" customFormat="1" x14ac:dyDescent="0.3">
      <c r="A1450" s="888" t="str">
        <f>IF(LEN('Translation-EN'!A1450)&gt;0,'Translation-EN'!A1450,"")</f>
        <v>Range</v>
      </c>
      <c r="B1450" s="888" t="str">
        <f>IF(LEN('Translation-EN'!B1450)&gt;0,'Translation-EN'!B1450,"")</f>
        <v>Data</v>
      </c>
      <c r="C1450" s="888" t="str">
        <f>IF(LEN('Translation-EN'!C1450)&gt;0,'Translation-EN'!C1450,"")</f>
        <v>W3</v>
      </c>
      <c r="D1450" s="888" t="str">
        <f>IF(LEN('Translation-EN'!D1450)&gt;0,'Translation-EN'!D1450,"")</f>
        <v/>
      </c>
      <c r="E1450" s="893" t="s">
        <v>3184</v>
      </c>
      <c r="I1450" s="888"/>
      <c r="J1450" s="888"/>
      <c r="K1450" s="888"/>
      <c r="L1450" s="888"/>
      <c r="M1450" s="888"/>
      <c r="N1450" s="888"/>
      <c r="O1450" s="888"/>
      <c r="P1450" s="888"/>
      <c r="Q1450" s="888"/>
      <c r="R1450" s="888"/>
    </row>
    <row r="1451" spans="1:18" s="893" customFormat="1" x14ac:dyDescent="0.3">
      <c r="A1451" s="888" t="str">
        <f>IF(LEN('Translation-EN'!A1451)&gt;0,'Translation-EN'!A1451,"")</f>
        <v>Range</v>
      </c>
      <c r="B1451" s="888" t="str">
        <f>IF(LEN('Translation-EN'!B1451)&gt;0,'Translation-EN'!B1451,"")</f>
        <v>Data</v>
      </c>
      <c r="C1451" s="888" t="str">
        <f>IF(LEN('Translation-EN'!C1451)&gt;0,'Translation-EN'!C1451,"")</f>
        <v>X3</v>
      </c>
      <c r="D1451" s="888" t="str">
        <f>IF(LEN('Translation-EN'!D1451)&gt;0,'Translation-EN'!D1451,"")</f>
        <v/>
      </c>
      <c r="E1451" s="893" t="s">
        <v>3185</v>
      </c>
      <c r="I1451" s="888"/>
      <c r="J1451" s="888"/>
      <c r="K1451" s="888"/>
      <c r="L1451" s="888"/>
      <c r="M1451" s="888"/>
      <c r="N1451" s="888"/>
      <c r="O1451" s="888"/>
      <c r="P1451" s="888"/>
      <c r="Q1451" s="888"/>
      <c r="R1451" s="888"/>
    </row>
    <row r="1452" spans="1:18" s="893" customFormat="1" x14ac:dyDescent="0.3">
      <c r="A1452" s="888" t="str">
        <f>IF(LEN('Translation-EN'!A1452)&gt;0,'Translation-EN'!A1452,"")</f>
        <v>Range</v>
      </c>
      <c r="B1452" s="888" t="str">
        <f>IF(LEN('Translation-EN'!B1452)&gt;0,'Translation-EN'!B1452,"")</f>
        <v>Data</v>
      </c>
      <c r="C1452" s="888" t="str">
        <f>IF(LEN('Translation-EN'!C1452)&gt;0,'Translation-EN'!C1452,"")</f>
        <v>Y3</v>
      </c>
      <c r="D1452" s="888" t="str">
        <f>IF(LEN('Translation-EN'!D1452)&gt;0,'Translation-EN'!D1452,"")</f>
        <v/>
      </c>
      <c r="E1452" s="893" t="s">
        <v>3186</v>
      </c>
      <c r="I1452" s="888"/>
      <c r="J1452" s="888"/>
      <c r="K1452" s="888"/>
      <c r="L1452" s="888"/>
      <c r="M1452" s="888"/>
      <c r="N1452" s="888"/>
      <c r="O1452" s="888"/>
      <c r="P1452" s="888"/>
      <c r="Q1452" s="888"/>
      <c r="R1452" s="888"/>
    </row>
    <row r="1453" spans="1:18" s="893" customFormat="1" x14ac:dyDescent="0.3">
      <c r="A1453" s="888" t="str">
        <f>IF(LEN('Translation-EN'!A1453)&gt;0,'Translation-EN'!A1453,"")</f>
        <v>Range</v>
      </c>
      <c r="B1453" s="888" t="str">
        <f>IF(LEN('Translation-EN'!B1453)&gt;0,'Translation-EN'!B1453,"")</f>
        <v>Data</v>
      </c>
      <c r="C1453" s="888" t="str">
        <f>IF(LEN('Translation-EN'!C1453)&gt;0,'Translation-EN'!C1453,"")</f>
        <v>Z3</v>
      </c>
      <c r="D1453" s="888" t="str">
        <f>IF(LEN('Translation-EN'!D1453)&gt;0,'Translation-EN'!D1453,"")</f>
        <v/>
      </c>
      <c r="E1453" s="893" t="s">
        <v>3187</v>
      </c>
      <c r="I1453" s="888"/>
      <c r="J1453" s="888"/>
      <c r="K1453" s="888"/>
      <c r="L1453" s="888"/>
      <c r="M1453" s="888"/>
      <c r="N1453" s="888"/>
      <c r="O1453" s="888"/>
      <c r="P1453" s="888"/>
      <c r="Q1453" s="888"/>
      <c r="R1453" s="888"/>
    </row>
    <row r="1454" spans="1:18" s="893" customFormat="1" x14ac:dyDescent="0.3">
      <c r="A1454" s="888" t="str">
        <f>IF(LEN('Translation-EN'!A1454)&gt;0,'Translation-EN'!A1454,"")</f>
        <v>Range</v>
      </c>
      <c r="B1454" s="888" t="str">
        <f>IF(LEN('Translation-EN'!B1454)&gt;0,'Translation-EN'!B1454,"")</f>
        <v>Data</v>
      </c>
      <c r="C1454" s="888" t="str">
        <f>IF(LEN('Translation-EN'!C1454)&gt;0,'Translation-EN'!C1454,"")</f>
        <v>AC1</v>
      </c>
      <c r="D1454" s="888" t="str">
        <f>IF(LEN('Translation-EN'!D1454)&gt;0,'Translation-EN'!D1454,"")</f>
        <v/>
      </c>
      <c r="E1454" s="1004" t="str">
        <f>$E$1446</f>
        <v>Année</v>
      </c>
      <c r="I1454" s="888"/>
      <c r="J1454" s="888"/>
      <c r="K1454" s="888"/>
      <c r="L1454" s="888"/>
      <c r="M1454" s="888"/>
      <c r="N1454" s="888"/>
      <c r="O1454" s="888"/>
      <c r="P1454" s="888"/>
      <c r="Q1454" s="888"/>
      <c r="R1454" s="888"/>
    </row>
    <row r="1455" spans="1:18" s="893" customFormat="1" x14ac:dyDescent="0.3">
      <c r="A1455" s="888" t="str">
        <f>IF(LEN('Translation-EN'!A1455)&gt;0,'Translation-EN'!A1455,"")</f>
        <v>Range</v>
      </c>
      <c r="B1455" s="888" t="str">
        <f>IF(LEN('Translation-EN'!B1455)&gt;0,'Translation-EN'!B1455,"")</f>
        <v>Data</v>
      </c>
      <c r="C1455" s="888" t="str">
        <f>IF(LEN('Translation-EN'!C1455)&gt;0,'Translation-EN'!C1455,"")</f>
        <v>AD1</v>
      </c>
      <c r="D1455" s="888" t="str">
        <f>IF(LEN('Translation-EN'!D1455)&gt;0,'Translation-EN'!D1455,"")</f>
        <v/>
      </c>
      <c r="E1455" s="1004" t="str">
        <f>$E$1447</f>
        <v>Matériaux</v>
      </c>
      <c r="I1455" s="888"/>
      <c r="J1455" s="888"/>
      <c r="K1455" s="888"/>
      <c r="L1455" s="888"/>
      <c r="M1455" s="888"/>
      <c r="N1455" s="888"/>
      <c r="O1455" s="888"/>
      <c r="P1455" s="888"/>
      <c r="Q1455" s="888"/>
      <c r="R1455" s="888"/>
    </row>
    <row r="1456" spans="1:18" s="893" customFormat="1" x14ac:dyDescent="0.3">
      <c r="A1456" s="888" t="str">
        <f>IF(LEN('Translation-EN'!A1456)&gt;0,'Translation-EN'!A1456,"")</f>
        <v>Range</v>
      </c>
      <c r="B1456" s="888" t="str">
        <f>IF(LEN('Translation-EN'!B1456)&gt;0,'Translation-EN'!B1456,"")</f>
        <v>Data</v>
      </c>
      <c r="C1456" s="888" t="str">
        <f>IF(LEN('Translation-EN'!C1456)&gt;0,'Translation-EN'!C1456,"")</f>
        <v>AE1</v>
      </c>
      <c r="D1456" s="888" t="str">
        <f>IF(LEN('Translation-EN'!D1456)&gt;0,'Translation-EN'!D1456,"")</f>
        <v/>
      </c>
      <c r="E1456" s="893" t="s">
        <v>3286</v>
      </c>
      <c r="F1456" s="1004"/>
      <c r="I1456" s="888"/>
      <c r="J1456" s="888"/>
      <c r="K1456" s="888"/>
      <c r="L1456" s="888"/>
      <c r="M1456" s="888"/>
      <c r="N1456" s="888"/>
      <c r="O1456" s="888"/>
      <c r="P1456" s="888"/>
      <c r="Q1456" s="888"/>
      <c r="R1456" s="888"/>
    </row>
    <row r="1457" spans="1:18" s="893" customFormat="1" x14ac:dyDescent="0.3">
      <c r="A1457" s="888" t="str">
        <f>IF(LEN('Translation-EN'!A1457)&gt;0,'Translation-EN'!A1457,"")</f>
        <v>Range</v>
      </c>
      <c r="B1457" s="888" t="str">
        <f>IF(LEN('Translation-EN'!B1457)&gt;0,'Translation-EN'!B1457,"")</f>
        <v>Data</v>
      </c>
      <c r="C1457" s="888" t="str">
        <f>IF(LEN('Translation-EN'!C1457)&gt;0,'Translation-EN'!C1457,"")</f>
        <v>AF1</v>
      </c>
      <c r="D1457" s="888" t="str">
        <f>IF(LEN('Translation-EN'!D1457)&gt;0,'Translation-EN'!D1457,"")</f>
        <v/>
      </c>
      <c r="E1457" s="893" t="s">
        <v>1863</v>
      </c>
      <c r="I1457" s="888"/>
      <c r="J1457" s="888"/>
      <c r="K1457" s="888"/>
      <c r="L1457" s="888"/>
      <c r="M1457" s="888"/>
      <c r="N1457" s="888"/>
      <c r="O1457" s="888"/>
      <c r="P1457" s="888"/>
      <c r="Q1457" s="888"/>
      <c r="R1457" s="888"/>
    </row>
    <row r="1458" spans="1:18" s="893" customFormat="1" x14ac:dyDescent="0.3">
      <c r="A1458" s="888" t="str">
        <f>IF(LEN('Translation-EN'!A1458)&gt;0,'Translation-EN'!A1458,"")</f>
        <v>Range</v>
      </c>
      <c r="B1458" s="888" t="str">
        <f>IF(LEN('Translation-EN'!B1458)&gt;0,'Translation-EN'!B1458,"")</f>
        <v>Data</v>
      </c>
      <c r="C1458" s="888" t="str">
        <f>IF(LEN('Translation-EN'!C1458)&gt;0,'Translation-EN'!C1458,"")</f>
        <v>AG1</v>
      </c>
      <c r="D1458" s="888" t="str">
        <f>IF(LEN('Translation-EN'!D1458)&gt;0,'Translation-EN'!D1458,"")</f>
        <v/>
      </c>
      <c r="E1458" s="893" t="s">
        <v>3287</v>
      </c>
      <c r="I1458" s="888"/>
      <c r="J1458" s="888"/>
      <c r="K1458" s="888"/>
      <c r="L1458" s="888"/>
      <c r="M1458" s="888"/>
      <c r="N1458" s="888"/>
      <c r="O1458" s="888"/>
      <c r="P1458" s="888"/>
      <c r="Q1458" s="888"/>
      <c r="R1458" s="888"/>
    </row>
    <row r="1459" spans="1:18" s="893" customFormat="1" x14ac:dyDescent="0.3">
      <c r="A1459" s="888" t="str">
        <f>IF(LEN('Translation-EN'!A1459)&gt;0,'Translation-EN'!A1459,"")</f>
        <v>Range</v>
      </c>
      <c r="B1459" s="888" t="str">
        <f>IF(LEN('Translation-EN'!B1459)&gt;0,'Translation-EN'!B1459,"")</f>
        <v>Data</v>
      </c>
      <c r="C1459" s="888" t="str">
        <f>IF(LEN('Translation-EN'!C1459)&gt;0,'Translation-EN'!C1459,"")</f>
        <v>AH1</v>
      </c>
      <c r="D1459" s="888" t="str">
        <f>IF(LEN('Translation-EN'!D1459)&gt;0,'Translation-EN'!D1459,"")</f>
        <v/>
      </c>
      <c r="E1459" s="893" t="s">
        <v>1222</v>
      </c>
      <c r="I1459" s="888"/>
      <c r="J1459" s="888"/>
      <c r="K1459" s="888"/>
      <c r="L1459" s="888"/>
      <c r="M1459" s="888"/>
      <c r="N1459" s="888"/>
      <c r="O1459" s="888"/>
      <c r="P1459" s="888"/>
      <c r="Q1459" s="888"/>
      <c r="R1459" s="888"/>
    </row>
    <row r="1460" spans="1:18" s="893" customFormat="1" x14ac:dyDescent="0.3">
      <c r="A1460" s="888" t="str">
        <f>IF(LEN('Translation-EN'!A1460)&gt;0,'Translation-EN'!A1460,"")</f>
        <v>Range</v>
      </c>
      <c r="B1460" s="888" t="str">
        <f>IF(LEN('Translation-EN'!B1460)&gt;0,'Translation-EN'!B1460,"")</f>
        <v>Data</v>
      </c>
      <c r="C1460" s="888" t="str">
        <f>IF(LEN('Translation-EN'!C1460)&gt;0,'Translation-EN'!C1460,"")</f>
        <v>AI1</v>
      </c>
      <c r="D1460" s="888" t="str">
        <f>IF(LEN('Translation-EN'!D1460)&gt;0,'Translation-EN'!D1460,"")</f>
        <v/>
      </c>
      <c r="E1460" s="893" t="s">
        <v>3288</v>
      </c>
      <c r="I1460" s="888"/>
      <c r="J1460" s="888"/>
      <c r="K1460" s="888"/>
      <c r="L1460" s="888"/>
      <c r="M1460" s="888"/>
      <c r="N1460" s="888"/>
      <c r="O1460" s="888"/>
      <c r="P1460" s="888"/>
      <c r="Q1460" s="888"/>
      <c r="R1460" s="888"/>
    </row>
    <row r="1461" spans="1:18" s="893" customFormat="1" x14ac:dyDescent="0.3">
      <c r="A1461" s="888" t="str">
        <f>IF(LEN('Translation-EN'!A1461)&gt;0,'Translation-EN'!A1461,"")</f>
        <v>Range</v>
      </c>
      <c r="B1461" s="888" t="str">
        <f>IF(LEN('Translation-EN'!B1461)&gt;0,'Translation-EN'!B1461,"")</f>
        <v>Data</v>
      </c>
      <c r="C1461" s="888" t="str">
        <f>IF(LEN('Translation-EN'!C1461)&gt;0,'Translation-EN'!C1461,"")</f>
        <v>AA3</v>
      </c>
      <c r="D1461" s="888" t="str">
        <f>IF(LEN('Translation-EN'!D1461)&gt;0,'Translation-EN'!D1461,"")</f>
        <v/>
      </c>
      <c r="E1461" s="893" t="s">
        <v>3188</v>
      </c>
      <c r="I1461" s="888"/>
      <c r="J1461" s="888"/>
      <c r="K1461" s="888"/>
      <c r="L1461" s="888"/>
      <c r="M1461" s="888"/>
      <c r="N1461" s="888"/>
      <c r="O1461" s="888"/>
      <c r="P1461" s="888"/>
      <c r="Q1461" s="888"/>
      <c r="R1461" s="888"/>
    </row>
    <row r="1462" spans="1:18" s="893" customFormat="1" x14ac:dyDescent="0.3">
      <c r="A1462" s="888" t="str">
        <f>IF(LEN('Translation-EN'!A1462)&gt;0,'Translation-EN'!A1462,"")</f>
        <v>Range</v>
      </c>
      <c r="B1462" s="888" t="str">
        <f>IF(LEN('Translation-EN'!B1462)&gt;0,'Translation-EN'!B1462,"")</f>
        <v>Data</v>
      </c>
      <c r="C1462" s="888" t="str">
        <f>IF(LEN('Translation-EN'!C1462)&gt;0,'Translation-EN'!C1462,"")</f>
        <v>L10</v>
      </c>
      <c r="D1462" s="888" t="str">
        <f>IF(LEN('Translation-EN'!D1462)&gt;0,'Translation-EN'!D1462,"")</f>
        <v/>
      </c>
      <c r="E1462" s="893" t="s">
        <v>5140</v>
      </c>
      <c r="I1462" s="888"/>
      <c r="J1462" s="888"/>
      <c r="K1462" s="888"/>
      <c r="L1462" s="888"/>
      <c r="M1462" s="888"/>
      <c r="N1462" s="888"/>
      <c r="O1462" s="888"/>
      <c r="P1462" s="888"/>
      <c r="Q1462" s="888"/>
      <c r="R1462" s="888"/>
    </row>
    <row r="1463" spans="1:18" s="893" customFormat="1" x14ac:dyDescent="0.3">
      <c r="A1463" s="888" t="str">
        <f>IF(LEN('Translation-EN'!A1463)&gt;0,'Translation-EN'!A1463,"")</f>
        <v>Range</v>
      </c>
      <c r="B1463" s="888" t="str">
        <f>IF(LEN('Translation-EN'!B1463)&gt;0,'Translation-EN'!B1463,"")</f>
        <v>Data</v>
      </c>
      <c r="C1463" s="888" t="str">
        <f>IF(LEN('Translation-EN'!C1463)&gt;0,'Translation-EN'!C1463,"")</f>
        <v>N15</v>
      </c>
      <c r="D1463" s="888" t="str">
        <f>IF(LEN('Translation-EN'!D1463)&gt;0,'Translation-EN'!D1463,"")</f>
        <v/>
      </c>
      <c r="E1463" s="893" t="str">
        <f>$E$1352</f>
        <v>Section</v>
      </c>
      <c r="I1463" s="888"/>
      <c r="J1463" s="888"/>
      <c r="K1463" s="888"/>
      <c r="L1463" s="888"/>
      <c r="M1463" s="888"/>
      <c r="N1463" s="888"/>
      <c r="O1463" s="888"/>
      <c r="P1463" s="888"/>
      <c r="Q1463" s="888"/>
      <c r="R1463" s="888"/>
    </row>
    <row r="1464" spans="1:18" s="893" customFormat="1" ht="28.8" x14ac:dyDescent="0.3">
      <c r="A1464" s="888" t="str">
        <f>IF(LEN('Translation-EN'!A1464)&gt;0,'Translation-EN'!A1464,"")</f>
        <v>Range</v>
      </c>
      <c r="B1464" s="888" t="str">
        <f>IF(LEN('Translation-EN'!B1464)&gt;0,'Translation-EN'!B1464,"")</f>
        <v>Data</v>
      </c>
      <c r="C1464" s="888" t="str">
        <f>IF(LEN('Translation-EN'!C1464)&gt;0,'Translation-EN'!C1464,"")</f>
        <v>O15</v>
      </c>
      <c r="D1464" s="888" t="b">
        <f>IF(LEN('Translation-EN'!D1464)&gt;0,'Translation-EN'!D1464,"")</f>
        <v>1</v>
      </c>
      <c r="E1464" s="1052" t="s">
        <v>3189</v>
      </c>
      <c r="I1464" s="888"/>
      <c r="J1464" s="888"/>
      <c r="K1464" s="888"/>
      <c r="L1464" s="888"/>
      <c r="M1464" s="888"/>
      <c r="N1464" s="888"/>
      <c r="O1464" s="888"/>
      <c r="P1464" s="888"/>
      <c r="Q1464" s="888"/>
      <c r="R1464" s="888"/>
    </row>
    <row r="1465" spans="1:18" s="893" customFormat="1" x14ac:dyDescent="0.3">
      <c r="A1465" s="888" t="str">
        <f>IF(LEN('Translation-EN'!A1465)&gt;0,'Translation-EN'!A1465,"")</f>
        <v>-</v>
      </c>
      <c r="B1465" s="888" t="str">
        <f>IF(LEN('Translation-EN'!B1465)&gt;0,'Translation-EN'!B1465,"")</f>
        <v>_Data</v>
      </c>
      <c r="C1465" s="888" t="str">
        <f>IF(LEN('Translation-EN'!C1465)&gt;0,'Translation-EN'!C1465,"")</f>
        <v>K16</v>
      </c>
      <c r="D1465" s="888" t="str">
        <f>IF(LEN('Translation-EN'!D1465)&gt;0,'Translation-EN'!D1465,"")</f>
        <v>Ignore this cell of the Data sheet</v>
      </c>
      <c r="E1465" s="893" t="s">
        <v>1955</v>
      </c>
      <c r="I1465" s="888"/>
      <c r="J1465" s="888"/>
      <c r="K1465" s="888"/>
      <c r="L1465" s="888"/>
      <c r="M1465" s="888"/>
      <c r="N1465" s="888"/>
      <c r="O1465" s="888"/>
      <c r="P1465" s="888"/>
      <c r="Q1465" s="888"/>
      <c r="R1465" s="888"/>
    </row>
    <row r="1466" spans="1:18" s="893" customFormat="1" x14ac:dyDescent="0.3">
      <c r="A1466" s="888" t="str">
        <f>IF(LEN('Translation-EN'!A1466)&gt;0,'Translation-EN'!A1466,"")</f>
        <v>-</v>
      </c>
      <c r="B1466" s="888" t="str">
        <f>IF(LEN('Translation-EN'!B1466)&gt;0,'Translation-EN'!B1466,"")</f>
        <v>_Data</v>
      </c>
      <c r="C1466" s="888" t="str">
        <f>IF(LEN('Translation-EN'!C1466)&gt;0,'Translation-EN'!C1466,"")</f>
        <v>K17</v>
      </c>
      <c r="D1466" s="888" t="str">
        <f>IF(LEN('Translation-EN'!D1466)&gt;0,'Translation-EN'!D1466,"")</f>
        <v>Ignore this cell of the Data sheet</v>
      </c>
      <c r="E1466" s="893" t="s">
        <v>1956</v>
      </c>
      <c r="I1466" s="888"/>
      <c r="J1466" s="888"/>
      <c r="K1466" s="888"/>
      <c r="L1466" s="888"/>
      <c r="M1466" s="888"/>
      <c r="N1466" s="888"/>
      <c r="O1466" s="888"/>
      <c r="P1466" s="888"/>
      <c r="Q1466" s="888"/>
      <c r="R1466" s="888"/>
    </row>
    <row r="1467" spans="1:18" s="893" customFormat="1" x14ac:dyDescent="0.3">
      <c r="A1467" s="888" t="str">
        <f>IF(LEN('Translation-EN'!A1467)&gt;0,'Translation-EN'!A1467,"")</f>
        <v>-</v>
      </c>
      <c r="B1467" s="888" t="str">
        <f>IF(LEN('Translation-EN'!B1467)&gt;0,'Translation-EN'!B1467,"")</f>
        <v>_Data</v>
      </c>
      <c r="C1467" s="888" t="str">
        <f>IF(LEN('Translation-EN'!C1467)&gt;0,'Translation-EN'!C1467,"")</f>
        <v>K18</v>
      </c>
      <c r="D1467" s="888" t="str">
        <f>IF(LEN('Translation-EN'!D1467)&gt;0,'Translation-EN'!D1467,"")</f>
        <v>Ignore this cell of the Data sheet</v>
      </c>
      <c r="E1467" s="893" t="s">
        <v>1957</v>
      </c>
      <c r="I1467" s="888"/>
      <c r="J1467" s="888"/>
      <c r="K1467" s="888"/>
      <c r="L1467" s="888"/>
      <c r="M1467" s="888"/>
      <c r="N1467" s="888"/>
      <c r="O1467" s="888"/>
      <c r="P1467" s="888"/>
      <c r="Q1467" s="888"/>
      <c r="R1467" s="888"/>
    </row>
    <row r="1468" spans="1:18" s="893" customFormat="1" x14ac:dyDescent="0.3">
      <c r="A1468" s="888" t="str">
        <f>IF(LEN('Translation-EN'!A1468)&gt;0,'Translation-EN'!A1468,"")</f>
        <v>-</v>
      </c>
      <c r="B1468" s="888" t="str">
        <f>IF(LEN('Translation-EN'!B1468)&gt;0,'Translation-EN'!B1468,"")</f>
        <v>_Data</v>
      </c>
      <c r="C1468" s="888" t="str">
        <f>IF(LEN('Translation-EN'!C1468)&gt;0,'Translation-EN'!C1468,"")</f>
        <v>K19</v>
      </c>
      <c r="D1468" s="888" t="str">
        <f>IF(LEN('Translation-EN'!D1468)&gt;0,'Translation-EN'!D1468,"")</f>
        <v>Ignore this cell of the Data sheet</v>
      </c>
      <c r="E1468" s="893" t="s">
        <v>3190</v>
      </c>
      <c r="I1468" s="888"/>
      <c r="J1468" s="888"/>
      <c r="K1468" s="888"/>
      <c r="L1468" s="888"/>
      <c r="M1468" s="888"/>
      <c r="N1468" s="888"/>
      <c r="O1468" s="888"/>
      <c r="P1468" s="888"/>
      <c r="Q1468" s="888"/>
      <c r="R1468" s="888"/>
    </row>
    <row r="1469" spans="1:18" s="893" customFormat="1" x14ac:dyDescent="0.3">
      <c r="A1469" s="888" t="str">
        <f>IF(LEN('Translation-EN'!A1469)&gt;0,'Translation-EN'!A1469,"")</f>
        <v>-</v>
      </c>
      <c r="B1469" s="888" t="str">
        <f>IF(LEN('Translation-EN'!B1469)&gt;0,'Translation-EN'!B1469,"")</f>
        <v>_Data</v>
      </c>
      <c r="C1469" s="888" t="str">
        <f>IF(LEN('Translation-EN'!C1469)&gt;0,'Translation-EN'!C1469,"")</f>
        <v>K20</v>
      </c>
      <c r="D1469" s="888" t="str">
        <f>IF(LEN('Translation-EN'!D1469)&gt;0,'Translation-EN'!D1469,"")</f>
        <v>Ignore this cell of the Data sheet</v>
      </c>
      <c r="E1469" s="893" t="s">
        <v>3191</v>
      </c>
      <c r="I1469" s="888"/>
      <c r="J1469" s="888"/>
      <c r="K1469" s="888"/>
      <c r="L1469" s="888"/>
      <c r="M1469" s="888"/>
      <c r="N1469" s="888"/>
      <c r="O1469" s="888"/>
      <c r="P1469" s="888"/>
      <c r="Q1469" s="888"/>
      <c r="R1469" s="888"/>
    </row>
    <row r="1470" spans="1:18" s="893" customFormat="1" x14ac:dyDescent="0.3">
      <c r="A1470" s="888" t="str">
        <f>IF(LEN('Translation-EN'!A1470)&gt;0,'Translation-EN'!A1470,"")</f>
        <v>-</v>
      </c>
      <c r="B1470" s="888" t="str">
        <f>IF(LEN('Translation-EN'!B1470)&gt;0,'Translation-EN'!B1470,"")</f>
        <v>_Data</v>
      </c>
      <c r="C1470" s="888" t="str">
        <f>IF(LEN('Translation-EN'!C1470)&gt;0,'Translation-EN'!C1470,"")</f>
        <v>K21</v>
      </c>
      <c r="D1470" s="888" t="str">
        <f>IF(LEN('Translation-EN'!D1470)&gt;0,'Translation-EN'!D1470,"")</f>
        <v>Ignore this cell of the Data sheet</v>
      </c>
      <c r="E1470" s="893" t="s">
        <v>1960</v>
      </c>
      <c r="I1470" s="888"/>
      <c r="J1470" s="888"/>
      <c r="K1470" s="888"/>
      <c r="L1470" s="888"/>
      <c r="M1470" s="888"/>
      <c r="N1470" s="888"/>
      <c r="O1470" s="888"/>
      <c r="P1470" s="888"/>
      <c r="Q1470" s="888"/>
      <c r="R1470" s="888"/>
    </row>
    <row r="1471" spans="1:18" s="893" customFormat="1" x14ac:dyDescent="0.3">
      <c r="A1471" s="888" t="str">
        <f>IF(LEN('Translation-EN'!A1471)&gt;0,'Translation-EN'!A1471,"")</f>
        <v>-</v>
      </c>
      <c r="B1471" s="888" t="str">
        <f>IF(LEN('Translation-EN'!B1471)&gt;0,'Translation-EN'!B1471,"")</f>
        <v>_Data</v>
      </c>
      <c r="C1471" s="888" t="str">
        <f>IF(LEN('Translation-EN'!C1471)&gt;0,'Translation-EN'!C1471,"")</f>
        <v>K22</v>
      </c>
      <c r="D1471" s="888" t="str">
        <f>IF(LEN('Translation-EN'!D1471)&gt;0,'Translation-EN'!D1471,"")</f>
        <v>Ignore this cell of the Data sheet</v>
      </c>
      <c r="E1471" s="893" t="str">
        <f>$E$1278</f>
        <v>Bardage</v>
      </c>
      <c r="I1471" s="888"/>
      <c r="J1471" s="888"/>
      <c r="K1471" s="888"/>
      <c r="L1471" s="888"/>
      <c r="M1471" s="888"/>
      <c r="N1471" s="888"/>
      <c r="O1471" s="888"/>
      <c r="P1471" s="888"/>
      <c r="Q1471" s="888"/>
      <c r="R1471" s="888"/>
    </row>
    <row r="1472" spans="1:18" s="893" customFormat="1" x14ac:dyDescent="0.3">
      <c r="A1472" s="888" t="str">
        <f>IF(LEN('Translation-EN'!A1472)&gt;0,'Translation-EN'!A1472,"")</f>
        <v>-</v>
      </c>
      <c r="B1472" s="888" t="str">
        <f>IF(LEN('Translation-EN'!B1472)&gt;0,'Translation-EN'!B1472,"")</f>
        <v>_Data</v>
      </c>
      <c r="C1472" s="888" t="str">
        <f>IF(LEN('Translation-EN'!C1472)&gt;0,'Translation-EN'!C1472,"")</f>
        <v>K23</v>
      </c>
      <c r="D1472" s="888" t="str">
        <f>IF(LEN('Translation-EN'!D1472)&gt;0,'Translation-EN'!D1472,"")</f>
        <v>Ignore this cell of the Data sheet</v>
      </c>
      <c r="E1472" s="893" t="str">
        <f>$E$98</f>
        <v>Fenêtres</v>
      </c>
      <c r="I1472" s="888"/>
      <c r="J1472" s="888"/>
      <c r="K1472" s="888"/>
      <c r="L1472" s="888"/>
      <c r="M1472" s="888"/>
      <c r="N1472" s="888"/>
      <c r="O1472" s="888"/>
      <c r="P1472" s="888"/>
      <c r="Q1472" s="888"/>
      <c r="R1472" s="888"/>
    </row>
    <row r="1473" spans="1:18" s="893" customFormat="1" x14ac:dyDescent="0.3">
      <c r="A1473" s="888" t="str">
        <f>IF(LEN('Translation-EN'!A1473)&gt;0,'Translation-EN'!A1473,"")</f>
        <v>-</v>
      </c>
      <c r="B1473" s="888" t="str">
        <f>IF(LEN('Translation-EN'!B1473)&gt;0,'Translation-EN'!B1473,"")</f>
        <v>_Data</v>
      </c>
      <c r="C1473" s="888" t="str">
        <f>IF(LEN('Translation-EN'!C1473)&gt;0,'Translation-EN'!C1473,"")</f>
        <v>K24</v>
      </c>
      <c r="D1473" s="888" t="str">
        <f>IF(LEN('Translation-EN'!D1473)&gt;0,'Translation-EN'!D1473,"")</f>
        <v>Ignore this cell of the Data sheet</v>
      </c>
      <c r="E1473" s="893" t="s">
        <v>3192</v>
      </c>
      <c r="I1473" s="888"/>
      <c r="J1473" s="888"/>
      <c r="K1473" s="888"/>
      <c r="L1473" s="888"/>
      <c r="M1473" s="888"/>
      <c r="N1473" s="888"/>
      <c r="O1473" s="888"/>
      <c r="P1473" s="888"/>
      <c r="Q1473" s="888"/>
      <c r="R1473" s="888"/>
    </row>
    <row r="1474" spans="1:18" s="893" customFormat="1" x14ac:dyDescent="0.3">
      <c r="A1474" s="888" t="str">
        <f>IF(LEN('Translation-EN'!A1474)&gt;0,'Translation-EN'!A1474,"")</f>
        <v>-</v>
      </c>
      <c r="B1474" s="888" t="str">
        <f>IF(LEN('Translation-EN'!B1474)&gt;0,'Translation-EN'!B1474,"")</f>
        <v>_Data</v>
      </c>
      <c r="C1474" s="888" t="str">
        <f>IF(LEN('Translation-EN'!C1474)&gt;0,'Translation-EN'!C1474,"")</f>
        <v>K25</v>
      </c>
      <c r="D1474" s="888" t="str">
        <f>IF(LEN('Translation-EN'!D1474)&gt;0,'Translation-EN'!D1474,"")</f>
        <v>Ignore this cell of the Data sheet</v>
      </c>
      <c r="E1474" s="893" t="s">
        <v>3193</v>
      </c>
      <c r="I1474" s="888"/>
      <c r="J1474" s="888"/>
      <c r="K1474" s="888"/>
      <c r="L1474" s="888"/>
      <c r="M1474" s="888"/>
      <c r="N1474" s="888"/>
      <c r="O1474" s="888"/>
      <c r="P1474" s="888"/>
      <c r="Q1474" s="888"/>
      <c r="R1474" s="888"/>
    </row>
    <row r="1475" spans="1:18" s="893" customFormat="1" x14ac:dyDescent="0.3">
      <c r="A1475" s="888" t="str">
        <f>IF(LEN('Translation-EN'!A1475)&gt;0,'Translation-EN'!A1475,"")</f>
        <v>-</v>
      </c>
      <c r="B1475" s="888" t="str">
        <f>IF(LEN('Translation-EN'!B1475)&gt;0,'Translation-EN'!B1475,"")</f>
        <v>_Data</v>
      </c>
      <c r="C1475" s="888" t="str">
        <f>IF(LEN('Translation-EN'!C1475)&gt;0,'Translation-EN'!C1475,"")</f>
        <v>K26</v>
      </c>
      <c r="D1475" s="888" t="str">
        <f>IF(LEN('Translation-EN'!D1475)&gt;0,'Translation-EN'!D1475,"")</f>
        <v>Ignore this cell of the Data sheet</v>
      </c>
      <c r="E1475" s="893" t="s">
        <v>1965</v>
      </c>
      <c r="I1475" s="888"/>
      <c r="J1475" s="888"/>
      <c r="K1475" s="888"/>
      <c r="L1475" s="888"/>
      <c r="M1475" s="888"/>
      <c r="N1475" s="888"/>
      <c r="O1475" s="888"/>
      <c r="P1475" s="888"/>
      <c r="Q1475" s="888"/>
      <c r="R1475" s="888"/>
    </row>
    <row r="1476" spans="1:18" s="893" customFormat="1" x14ac:dyDescent="0.3">
      <c r="A1476" s="888" t="str">
        <f>IF(LEN('Translation-EN'!A1476)&gt;0,'Translation-EN'!A1476,"")</f>
        <v>-</v>
      </c>
      <c r="B1476" s="888" t="str">
        <f>IF(LEN('Translation-EN'!B1476)&gt;0,'Translation-EN'!B1476,"")</f>
        <v>_Data</v>
      </c>
      <c r="C1476" s="888" t="str">
        <f>IF(LEN('Translation-EN'!C1476)&gt;0,'Translation-EN'!C1476,"")</f>
        <v>K27</v>
      </c>
      <c r="D1476" s="888" t="str">
        <f>IF(LEN('Translation-EN'!D1476)&gt;0,'Translation-EN'!D1476,"")</f>
        <v>Ignore this cell of the Data sheet</v>
      </c>
      <c r="E1476" s="893" t="s">
        <v>1966</v>
      </c>
      <c r="I1476" s="888"/>
      <c r="J1476" s="888"/>
      <c r="K1476" s="888"/>
      <c r="L1476" s="888"/>
      <c r="M1476" s="888"/>
      <c r="N1476" s="888"/>
      <c r="O1476" s="888"/>
      <c r="P1476" s="888"/>
      <c r="Q1476" s="888"/>
      <c r="R1476" s="888"/>
    </row>
    <row r="1477" spans="1:18" s="893" customFormat="1" x14ac:dyDescent="0.3">
      <c r="A1477" s="888" t="str">
        <f>IF(LEN('Translation-EN'!A1477)&gt;0,'Translation-EN'!A1477,"")</f>
        <v>-</v>
      </c>
      <c r="B1477" s="888" t="str">
        <f>IF(LEN('Translation-EN'!B1477)&gt;0,'Translation-EN'!B1477,"")</f>
        <v>_Data</v>
      </c>
      <c r="C1477" s="888" t="str">
        <f>IF(LEN('Translation-EN'!C1477)&gt;0,'Translation-EN'!C1477,"")</f>
        <v>K28</v>
      </c>
      <c r="D1477" s="888" t="str">
        <f>IF(LEN('Translation-EN'!D1477)&gt;0,'Translation-EN'!D1477,"")</f>
        <v>Ignore this cell of the Data sheet</v>
      </c>
      <c r="E1477" s="893" t="s">
        <v>1580</v>
      </c>
      <c r="I1477" s="888"/>
      <c r="J1477" s="888"/>
      <c r="K1477" s="888"/>
      <c r="L1477" s="888"/>
      <c r="M1477" s="888"/>
      <c r="N1477" s="888"/>
      <c r="O1477" s="888"/>
      <c r="P1477" s="888"/>
      <c r="Q1477" s="888"/>
      <c r="R1477" s="888"/>
    </row>
    <row r="1478" spans="1:18" s="893" customFormat="1" x14ac:dyDescent="0.3">
      <c r="A1478" s="888" t="str">
        <f>IF(LEN('Translation-EN'!A1478)&gt;0,'Translation-EN'!A1478,"")</f>
        <v>-</v>
      </c>
      <c r="B1478" s="888" t="str">
        <f>IF(LEN('Translation-EN'!B1478)&gt;0,'Translation-EN'!B1478,"")</f>
        <v>_Data</v>
      </c>
      <c r="C1478" s="888" t="str">
        <f>IF(LEN('Translation-EN'!C1478)&gt;0,'Translation-EN'!C1478,"")</f>
        <v>K29</v>
      </c>
      <c r="D1478" s="888" t="str">
        <f>IF(LEN('Translation-EN'!D1478)&gt;0,'Translation-EN'!D1478,"")</f>
        <v>Ignore this cell of the Data sheet</v>
      </c>
      <c r="E1478" s="893" t="str">
        <f>$E$1279</f>
        <v>Défini par l’utilisateur</v>
      </c>
      <c r="I1478" s="888"/>
      <c r="J1478" s="888"/>
      <c r="K1478" s="888"/>
      <c r="L1478" s="888"/>
      <c r="M1478" s="888"/>
      <c r="N1478" s="888"/>
      <c r="O1478" s="888"/>
      <c r="P1478" s="888"/>
      <c r="Q1478" s="888"/>
      <c r="R1478" s="888"/>
    </row>
    <row r="1479" spans="1:18" s="893" customFormat="1" x14ac:dyDescent="0.3">
      <c r="A1479" s="888" t="str">
        <f>IF(LEN('Translation-EN'!A1479)&gt;0,'Translation-EN'!A1479,"")</f>
        <v>Range</v>
      </c>
      <c r="B1479" s="888" t="str">
        <f>IF(LEN('Translation-EN'!B1479)&gt;0,'Translation-EN'!B1479,"")</f>
        <v>Data</v>
      </c>
      <c r="C1479" s="888" t="str">
        <f>IF(LEN('Translation-EN'!C1479)&gt;0,'Translation-EN'!C1479,"")</f>
        <v>N30</v>
      </c>
      <c r="D1479" s="888" t="str">
        <f>IF(LEN('Translation-EN'!D1479)&gt;0,'Translation-EN'!D1479,"")</f>
        <v/>
      </c>
      <c r="E1479" s="893" t="s">
        <v>1632</v>
      </c>
      <c r="I1479" s="888"/>
      <c r="J1479" s="888"/>
      <c r="K1479" s="888"/>
      <c r="L1479" s="888"/>
      <c r="M1479" s="888"/>
      <c r="N1479" s="888"/>
      <c r="O1479" s="888"/>
      <c r="P1479" s="888"/>
      <c r="Q1479" s="888"/>
      <c r="R1479" s="888"/>
    </row>
    <row r="1480" spans="1:18" s="893" customFormat="1" x14ac:dyDescent="0.3">
      <c r="A1480" s="888" t="str">
        <f>IF(LEN('Translation-EN'!A1480)&gt;0,'Translation-EN'!A1480,"")</f>
        <v>Range</v>
      </c>
      <c r="B1480" s="888" t="str">
        <f>IF(LEN('Translation-EN'!B1480)&gt;0,'Translation-EN'!B1480,"")</f>
        <v>Composite Master Sheet</v>
      </c>
      <c r="C1480" s="888" t="str">
        <f>IF(LEN('Translation-EN'!C1480)&gt;0,'Translation-EN'!C1480,"")</f>
        <v>A1</v>
      </c>
      <c r="D1480" s="888" t="str">
        <f>IF(LEN('Translation-EN'!D1480)&gt;0,'Translation-EN'!D1480,"")</f>
        <v/>
      </c>
      <c r="E1480" s="893" t="s">
        <v>3194</v>
      </c>
      <c r="I1480" s="888"/>
      <c r="J1480" s="888"/>
      <c r="K1480" s="888"/>
      <c r="L1480" s="888"/>
      <c r="M1480" s="888"/>
      <c r="N1480" s="888"/>
      <c r="O1480" s="888"/>
      <c r="P1480" s="888"/>
      <c r="Q1480" s="888"/>
      <c r="R1480" s="888"/>
    </row>
    <row r="1481" spans="1:18" s="893" customFormat="1" x14ac:dyDescent="0.3">
      <c r="A1481" s="888" t="str">
        <f>IF(LEN('Translation-EN'!A1481)&gt;0,'Translation-EN'!A1481,"")</f>
        <v>Range</v>
      </c>
      <c r="B1481" s="888" t="str">
        <f>IF(LEN('Translation-EN'!B1481)&gt;0,'Translation-EN'!B1481,"")</f>
        <v>Composite Master Sheet</v>
      </c>
      <c r="C1481" s="888" t="str">
        <f>IF(LEN('Translation-EN'!C1481)&gt;0,'Translation-EN'!C1481,"")</f>
        <v>B1</v>
      </c>
      <c r="D1481" s="888" t="str">
        <f>IF(LEN('Translation-EN'!D1481)&gt;0,'Translation-EN'!D1481,"")</f>
        <v/>
      </c>
      <c r="E1481" s="888" t="s">
        <v>3195</v>
      </c>
      <c r="I1481" s="888"/>
      <c r="J1481" s="888"/>
      <c r="K1481" s="888"/>
      <c r="L1481" s="888"/>
      <c r="M1481" s="888"/>
      <c r="N1481" s="888"/>
      <c r="O1481" s="888"/>
      <c r="P1481" s="888"/>
      <c r="Q1481" s="888"/>
      <c r="R1481" s="888"/>
    </row>
    <row r="1482" spans="1:18" s="893" customFormat="1" x14ac:dyDescent="0.3">
      <c r="A1482" s="888" t="str">
        <f>IF(LEN('Translation-EN'!A1482)&gt;0,'Translation-EN'!A1482,"")</f>
        <v>Range</v>
      </c>
      <c r="B1482" s="888" t="str">
        <f>IF(LEN('Translation-EN'!B1482)&gt;0,'Translation-EN'!B1482,"")</f>
        <v>Composite Master Sheet</v>
      </c>
      <c r="C1482" s="888" t="str">
        <f>IF(LEN('Translation-EN'!C1482)&gt;0,'Translation-EN'!C1482,"")</f>
        <v>C1</v>
      </c>
      <c r="D1482" s="888" t="str">
        <f>IF(LEN('Translation-EN'!D1482)&gt;0,'Translation-EN'!D1482,"")</f>
        <v/>
      </c>
      <c r="E1482" s="888" t="s">
        <v>3196</v>
      </c>
      <c r="I1482" s="888"/>
      <c r="J1482" s="888"/>
      <c r="K1482" s="888"/>
      <c r="L1482" s="888"/>
      <c r="M1482" s="888"/>
      <c r="N1482" s="888"/>
      <c r="O1482" s="888"/>
      <c r="P1482" s="888"/>
      <c r="Q1482" s="888"/>
      <c r="R1482" s="888"/>
    </row>
    <row r="1483" spans="1:18" s="893" customFormat="1" x14ac:dyDescent="0.3">
      <c r="A1483" s="888" t="str">
        <f>IF(LEN('Translation-EN'!A1483)&gt;0,'Translation-EN'!A1483,"")</f>
        <v>Range</v>
      </c>
      <c r="B1483" s="888" t="str">
        <f>IF(LEN('Translation-EN'!B1483)&gt;0,'Translation-EN'!B1483,"")</f>
        <v>Composite Master Sheet</v>
      </c>
      <c r="C1483" s="888" t="str">
        <f>IF(LEN('Translation-EN'!C1483)&gt;0,'Translation-EN'!C1483,"")</f>
        <v>D1</v>
      </c>
      <c r="D1483" s="888" t="str">
        <f>IF(LEN('Translation-EN'!D1483)&gt;0,'Translation-EN'!D1483,"")</f>
        <v/>
      </c>
      <c r="E1483" s="888" t="s">
        <v>3197</v>
      </c>
      <c r="I1483" s="888"/>
      <c r="J1483" s="888"/>
      <c r="K1483" s="888"/>
      <c r="L1483" s="888"/>
      <c r="M1483" s="888"/>
      <c r="N1483" s="888"/>
      <c r="O1483" s="888"/>
      <c r="P1483" s="888"/>
      <c r="Q1483" s="888"/>
      <c r="R1483" s="888"/>
    </row>
    <row r="1484" spans="1:18" s="893" customFormat="1" x14ac:dyDescent="0.3">
      <c r="A1484" s="888" t="str">
        <f>IF(LEN('Translation-EN'!A1484)&gt;0,'Translation-EN'!A1484,"")</f>
        <v>Range</v>
      </c>
      <c r="B1484" s="888" t="str">
        <f>IF(LEN('Translation-EN'!B1484)&gt;0,'Translation-EN'!B1484,"")</f>
        <v>Composite Master Sheet</v>
      </c>
      <c r="C1484" s="888" t="str">
        <f>IF(LEN('Translation-EN'!C1484)&gt;0,'Translation-EN'!C1484,"")</f>
        <v>E1</v>
      </c>
      <c r="D1484" s="888" t="str">
        <f>IF(LEN('Translation-EN'!D1484)&gt;0,'Translation-EN'!D1484,"")</f>
        <v/>
      </c>
      <c r="E1484" s="893" t="s">
        <v>3198</v>
      </c>
      <c r="I1484" s="888"/>
      <c r="J1484" s="888"/>
      <c r="K1484" s="888"/>
      <c r="L1484" s="888"/>
      <c r="M1484" s="888"/>
      <c r="N1484" s="888"/>
      <c r="O1484" s="888"/>
      <c r="P1484" s="888"/>
      <c r="Q1484" s="888"/>
      <c r="R1484" s="888"/>
    </row>
    <row r="1485" spans="1:18" s="893" customFormat="1" x14ac:dyDescent="0.3">
      <c r="A1485" s="888" t="str">
        <f>IF(LEN('Translation-EN'!A1485)&gt;0,'Translation-EN'!A1485,"")</f>
        <v>Range</v>
      </c>
      <c r="B1485" s="888" t="str">
        <f>IF(LEN('Translation-EN'!B1485)&gt;0,'Translation-EN'!B1485,"")</f>
        <v>Composite Master Sheet</v>
      </c>
      <c r="C1485" s="888" t="str">
        <f>IF(LEN('Translation-EN'!C1485)&gt;0,'Translation-EN'!C1485,"")</f>
        <v>F1</v>
      </c>
      <c r="D1485" s="888" t="str">
        <f>IF(LEN('Translation-EN'!D1485)&gt;0,'Translation-EN'!D1485,"")</f>
        <v/>
      </c>
      <c r="E1485" s="888" t="s">
        <v>3199</v>
      </c>
      <c r="I1485" s="888"/>
      <c r="J1485" s="888"/>
      <c r="K1485" s="888"/>
      <c r="L1485" s="888"/>
      <c r="M1485" s="888"/>
      <c r="N1485" s="888"/>
      <c r="O1485" s="888"/>
      <c r="P1485" s="888"/>
      <c r="Q1485" s="888"/>
      <c r="R1485" s="888"/>
    </row>
    <row r="1486" spans="1:18" s="893" customFormat="1" x14ac:dyDescent="0.3">
      <c r="A1486" s="888" t="str">
        <f>IF(LEN('Translation-EN'!A1486)&gt;0,'Translation-EN'!A1486,"")</f>
        <v>Range</v>
      </c>
      <c r="B1486" s="888" t="str">
        <f>IF(LEN('Translation-EN'!B1486)&gt;0,'Translation-EN'!B1486,"")</f>
        <v>Composite Master Sheet</v>
      </c>
      <c r="C1486" s="888" t="str">
        <f>IF(LEN('Translation-EN'!C1486)&gt;0,'Translation-EN'!C1486,"")</f>
        <v>G1</v>
      </c>
      <c r="D1486" s="888" t="str">
        <f>IF(LEN('Translation-EN'!D1486)&gt;0,'Translation-EN'!D1486,"")</f>
        <v/>
      </c>
      <c r="E1486" s="893" t="s">
        <v>3200</v>
      </c>
      <c r="I1486" s="888"/>
      <c r="J1486" s="888"/>
      <c r="K1486" s="888"/>
      <c r="L1486" s="888"/>
      <c r="M1486" s="888"/>
      <c r="N1486" s="888"/>
      <c r="O1486" s="888"/>
      <c r="P1486" s="888"/>
      <c r="Q1486" s="888"/>
      <c r="R1486" s="888"/>
    </row>
    <row r="1487" spans="1:18" s="893" customFormat="1" x14ac:dyDescent="0.3">
      <c r="A1487" s="888" t="str">
        <f>IF(LEN('Translation-EN'!A1487)&gt;0,'Translation-EN'!A1487,"")</f>
        <v>Range</v>
      </c>
      <c r="B1487" s="888" t="str">
        <f>IF(LEN('Translation-EN'!B1487)&gt;0,'Translation-EN'!B1487,"")</f>
        <v>Composite Master Sheet</v>
      </c>
      <c r="C1487" s="888" t="str">
        <f>IF(LEN('Translation-EN'!C1487)&gt;0,'Translation-EN'!C1487,"")</f>
        <v>H1</v>
      </c>
      <c r="D1487" s="888" t="str">
        <f>IF(LEN('Translation-EN'!D1487)&gt;0,'Translation-EN'!D1487,"")</f>
        <v/>
      </c>
      <c r="E1487" s="893" t="s">
        <v>3201</v>
      </c>
      <c r="I1487" s="888"/>
      <c r="J1487" s="888"/>
      <c r="K1487" s="888"/>
      <c r="L1487" s="888"/>
      <c r="M1487" s="888"/>
      <c r="N1487" s="888"/>
      <c r="O1487" s="888"/>
      <c r="P1487" s="888"/>
      <c r="Q1487" s="888"/>
      <c r="R1487" s="888"/>
    </row>
    <row r="1488" spans="1:18" s="893" customFormat="1" x14ac:dyDescent="0.3">
      <c r="A1488" s="888" t="str">
        <f>IF(LEN('Translation-EN'!A1488)&gt;0,'Translation-EN'!A1488,"")</f>
        <v>Range</v>
      </c>
      <c r="B1488" s="888" t="str">
        <f>IF(LEN('Translation-EN'!B1488)&gt;0,'Translation-EN'!B1488,"")</f>
        <v>Composite Master Sheet</v>
      </c>
      <c r="C1488" s="888" t="str">
        <f>IF(LEN('Translation-EN'!C1488)&gt;0,'Translation-EN'!C1488,"")</f>
        <v>I1</v>
      </c>
      <c r="D1488" s="888" t="str">
        <f>IF(LEN('Translation-EN'!D1488)&gt;0,'Translation-EN'!D1488,"")</f>
        <v/>
      </c>
      <c r="E1488" s="888" t="s">
        <v>3202</v>
      </c>
      <c r="I1488" s="888"/>
      <c r="J1488" s="888"/>
      <c r="K1488" s="888"/>
      <c r="L1488" s="888"/>
      <c r="M1488" s="888"/>
      <c r="N1488" s="888"/>
      <c r="O1488" s="888"/>
      <c r="P1488" s="888"/>
      <c r="Q1488" s="888"/>
      <c r="R1488" s="888"/>
    </row>
    <row r="1489" spans="1:18" s="893" customFormat="1" x14ac:dyDescent="0.3">
      <c r="A1489" s="888" t="str">
        <f>IF(LEN('Translation-EN'!A1489)&gt;0,'Translation-EN'!A1489,"")</f>
        <v>Range</v>
      </c>
      <c r="B1489" s="888" t="str">
        <f>IF(LEN('Translation-EN'!B1489)&gt;0,'Translation-EN'!B1489,"")</f>
        <v>Composite Master Sheet</v>
      </c>
      <c r="C1489" s="888" t="str">
        <f>IF(LEN('Translation-EN'!C1489)&gt;0,'Translation-EN'!C1489,"")</f>
        <v>J1</v>
      </c>
      <c r="D1489" s="888" t="str">
        <f>IF(LEN('Translation-EN'!D1489)&gt;0,'Translation-EN'!D1489,"")</f>
        <v/>
      </c>
      <c r="E1489" s="888" t="str">
        <f>$E$1485</f>
        <v>Unité entrante</v>
      </c>
      <c r="I1489" s="888"/>
      <c r="J1489" s="888"/>
      <c r="K1489" s="888"/>
      <c r="L1489" s="888"/>
      <c r="M1489" s="888"/>
      <c r="N1489" s="888"/>
      <c r="O1489" s="888"/>
      <c r="P1489" s="888"/>
      <c r="Q1489" s="888"/>
      <c r="R1489" s="888"/>
    </row>
    <row r="1490" spans="1:18" s="893" customFormat="1" x14ac:dyDescent="0.3">
      <c r="A1490" s="888" t="str">
        <f>IF(LEN('Translation-EN'!A1490)&gt;0,'Translation-EN'!A1490,"")</f>
        <v>Range</v>
      </c>
      <c r="B1490" s="888" t="str">
        <f>IF(LEN('Translation-EN'!B1490)&gt;0,'Translation-EN'!B1490,"")</f>
        <v>Composite Master Sheet</v>
      </c>
      <c r="C1490" s="888" t="str">
        <f>IF(LEN('Translation-EN'!C1490)&gt;0,'Translation-EN'!C1490,"")</f>
        <v>K1</v>
      </c>
      <c r="D1490" s="888" t="str">
        <f>IF(LEN('Translation-EN'!D1490)&gt;0,'Translation-EN'!D1490,"")</f>
        <v/>
      </c>
      <c r="E1490" s="893" t="s">
        <v>3203</v>
      </c>
      <c r="I1490" s="888"/>
      <c r="J1490" s="888"/>
      <c r="K1490" s="888"/>
      <c r="L1490" s="888"/>
      <c r="M1490" s="888"/>
      <c r="N1490" s="888"/>
      <c r="O1490" s="888"/>
      <c r="P1490" s="888"/>
      <c r="Q1490" s="888"/>
      <c r="R1490" s="888"/>
    </row>
    <row r="1491" spans="1:18" s="893" customFormat="1" x14ac:dyDescent="0.3">
      <c r="A1491" s="888" t="str">
        <f>IF(LEN('Translation-EN'!A1491)&gt;0,'Translation-EN'!A1491,"")</f>
        <v>Range</v>
      </c>
      <c r="B1491" s="888" t="str">
        <f>IF(LEN('Translation-EN'!B1491)&gt;0,'Translation-EN'!B1491,"")</f>
        <v>Composite Master Sheet</v>
      </c>
      <c r="C1491" s="888" t="str">
        <f>IF(LEN('Translation-EN'!C1491)&gt;0,'Translation-EN'!C1491,"")</f>
        <v>L1</v>
      </c>
      <c r="D1491" s="888" t="str">
        <f>IF(LEN('Translation-EN'!D1491)&gt;0,'Translation-EN'!D1491,"")</f>
        <v/>
      </c>
      <c r="E1491" s="893" t="s">
        <v>3204</v>
      </c>
      <c r="I1491" s="888"/>
      <c r="J1491" s="888"/>
      <c r="K1491" s="888"/>
      <c r="L1491" s="888"/>
      <c r="M1491" s="888"/>
      <c r="N1491" s="888"/>
      <c r="O1491" s="888"/>
      <c r="P1491" s="888"/>
      <c r="Q1491" s="888"/>
      <c r="R1491" s="888"/>
    </row>
    <row r="1492" spans="1:18" s="893" customFormat="1" x14ac:dyDescent="0.3">
      <c r="A1492" s="888" t="str">
        <f>IF(LEN('Translation-EN'!A1492)&gt;0,'Translation-EN'!A1492,"")</f>
        <v>Range</v>
      </c>
      <c r="B1492" s="888" t="str">
        <f>IF(LEN('Translation-EN'!B1492)&gt;0,'Translation-EN'!B1492,"")</f>
        <v>Composite Master Sheet</v>
      </c>
      <c r="C1492" s="888" t="str">
        <f>IF(LEN('Translation-EN'!C1492)&gt;0,'Translation-EN'!C1492,"")</f>
        <v>M1</v>
      </c>
      <c r="D1492" s="888" t="str">
        <f>IF(LEN('Translation-EN'!D1492)&gt;0,'Translation-EN'!D1492,"")</f>
        <v/>
      </c>
      <c r="E1492" s="893" t="s">
        <v>3205</v>
      </c>
      <c r="I1492" s="888"/>
      <c r="J1492" s="888"/>
      <c r="K1492" s="888"/>
      <c r="L1492" s="888"/>
      <c r="M1492" s="888"/>
      <c r="N1492" s="888"/>
      <c r="O1492" s="888"/>
      <c r="P1492" s="888"/>
      <c r="Q1492" s="888"/>
      <c r="R1492" s="888"/>
    </row>
    <row r="1493" spans="1:18" s="893" customFormat="1" x14ac:dyDescent="0.3">
      <c r="A1493" s="888" t="str">
        <f>IF(LEN('Translation-EN'!A1493)&gt;0,'Translation-EN'!A1493,"")</f>
        <v>Range</v>
      </c>
      <c r="B1493" s="888" t="str">
        <f>IF(LEN('Translation-EN'!B1493)&gt;0,'Translation-EN'!B1493,"")</f>
        <v>Composite Master Sheet</v>
      </c>
      <c r="C1493" s="888" t="str">
        <f>IF(LEN('Translation-EN'!C1493)&gt;0,'Translation-EN'!C1493,"")</f>
        <v>N1</v>
      </c>
      <c r="D1493" s="888" t="str">
        <f>IF(LEN('Translation-EN'!D1493)&gt;0,'Translation-EN'!D1493,"")</f>
        <v/>
      </c>
      <c r="E1493" s="888" t="str">
        <f>$E$1485</f>
        <v>Unité entrante</v>
      </c>
      <c r="I1493" s="888"/>
      <c r="J1493" s="888"/>
      <c r="K1493" s="888"/>
      <c r="L1493" s="888"/>
      <c r="M1493" s="888"/>
      <c r="N1493" s="888"/>
      <c r="O1493" s="888"/>
      <c r="P1493" s="888"/>
      <c r="Q1493" s="888"/>
      <c r="R1493" s="888"/>
    </row>
    <row r="1494" spans="1:18" s="893" customFormat="1" x14ac:dyDescent="0.3">
      <c r="A1494" s="888" t="str">
        <f>IF(LEN('Translation-EN'!A1494)&gt;0,'Translation-EN'!A1494,"")</f>
        <v>Range</v>
      </c>
      <c r="B1494" s="888" t="str">
        <f>IF(LEN('Translation-EN'!B1494)&gt;0,'Translation-EN'!B1494,"")</f>
        <v>Composite Master Sheet</v>
      </c>
      <c r="C1494" s="888" t="str">
        <f>IF(LEN('Translation-EN'!C1494)&gt;0,'Translation-EN'!C1494,"")</f>
        <v>O1</v>
      </c>
      <c r="D1494" s="888" t="str">
        <f>IF(LEN('Translation-EN'!D1494)&gt;0,'Translation-EN'!D1494,"")</f>
        <v/>
      </c>
      <c r="E1494" s="893" t="s">
        <v>3206</v>
      </c>
      <c r="I1494" s="888"/>
      <c r="J1494" s="888"/>
      <c r="K1494" s="888"/>
      <c r="L1494" s="888"/>
      <c r="M1494" s="888"/>
      <c r="N1494" s="888"/>
      <c r="O1494" s="888"/>
      <c r="P1494" s="888"/>
      <c r="Q1494" s="888"/>
      <c r="R1494" s="888"/>
    </row>
    <row r="1495" spans="1:18" s="893" customFormat="1" x14ac:dyDescent="0.3">
      <c r="A1495" s="888" t="str">
        <f>IF(LEN('Translation-EN'!A1495)&gt;0,'Translation-EN'!A1495,"")</f>
        <v>Range</v>
      </c>
      <c r="B1495" s="888" t="str">
        <f>IF(LEN('Translation-EN'!B1495)&gt;0,'Translation-EN'!B1495,"")</f>
        <v>Composite Master Sheet</v>
      </c>
      <c r="C1495" s="888" t="str">
        <f>IF(LEN('Translation-EN'!C1495)&gt;0,'Translation-EN'!C1495,"")</f>
        <v>P1</v>
      </c>
      <c r="D1495" s="888" t="str">
        <f>IF(LEN('Translation-EN'!D1495)&gt;0,'Translation-EN'!D1495,"")</f>
        <v/>
      </c>
      <c r="E1495" s="893" t="s">
        <v>3207</v>
      </c>
      <c r="I1495" s="888"/>
      <c r="J1495" s="888"/>
      <c r="K1495" s="888"/>
      <c r="L1495" s="888"/>
      <c r="M1495" s="888"/>
      <c r="N1495" s="888"/>
      <c r="O1495" s="888"/>
      <c r="P1495" s="888"/>
      <c r="Q1495" s="888"/>
      <c r="R1495" s="888"/>
    </row>
    <row r="1496" spans="1:18" s="893" customFormat="1" x14ac:dyDescent="0.3">
      <c r="A1496" s="888" t="str">
        <f>IF(LEN('Translation-EN'!A1496)&gt;0,'Translation-EN'!A1496,"")</f>
        <v>Range</v>
      </c>
      <c r="B1496" s="888" t="str">
        <f>IF(LEN('Translation-EN'!B1496)&gt;0,'Translation-EN'!B1496,"")</f>
        <v>Composite Master Sheet</v>
      </c>
      <c r="C1496" s="888" t="str">
        <f>IF(LEN('Translation-EN'!C1496)&gt;0,'Translation-EN'!C1496,"")</f>
        <v>Q1</v>
      </c>
      <c r="D1496" s="888" t="str">
        <f>IF(LEN('Translation-EN'!D1496)&gt;0,'Translation-EN'!D1496,"")</f>
        <v/>
      </c>
      <c r="E1496" s="893" t="s">
        <v>3208</v>
      </c>
      <c r="I1496" s="888"/>
      <c r="J1496" s="888"/>
      <c r="K1496" s="888"/>
      <c r="L1496" s="888"/>
      <c r="M1496" s="888"/>
      <c r="N1496" s="888"/>
      <c r="O1496" s="888"/>
      <c r="P1496" s="888"/>
      <c r="Q1496" s="888"/>
      <c r="R1496" s="888"/>
    </row>
    <row r="1497" spans="1:18" s="893" customFormat="1" x14ac:dyDescent="0.3">
      <c r="A1497" s="888" t="str">
        <f>IF(LEN('Translation-EN'!A1497)&gt;0,'Translation-EN'!A1497,"")</f>
        <v>Range</v>
      </c>
      <c r="B1497" s="888" t="str">
        <f>IF(LEN('Translation-EN'!B1497)&gt;0,'Translation-EN'!B1497,"")</f>
        <v>Composite Master Sheet</v>
      </c>
      <c r="C1497" s="888" t="str">
        <f>IF(LEN('Translation-EN'!C1497)&gt;0,'Translation-EN'!C1497,"")</f>
        <v>R1</v>
      </c>
      <c r="D1497" s="888" t="str">
        <f>IF(LEN('Translation-EN'!D1497)&gt;0,'Translation-EN'!D1497,"")</f>
        <v/>
      </c>
      <c r="E1497" s="888" t="str">
        <f>$E$1485</f>
        <v>Unité entrante</v>
      </c>
      <c r="I1497" s="888"/>
      <c r="J1497" s="888"/>
      <c r="K1497" s="888"/>
      <c r="L1497" s="888"/>
      <c r="M1497" s="888"/>
      <c r="N1497" s="888"/>
      <c r="O1497" s="888"/>
      <c r="P1497" s="888"/>
      <c r="Q1497" s="888"/>
      <c r="R1497" s="888"/>
    </row>
    <row r="1498" spans="1:18" s="893" customFormat="1" x14ac:dyDescent="0.3">
      <c r="A1498" s="888" t="str">
        <f>IF(LEN('Translation-EN'!A1498)&gt;0,'Translation-EN'!A1498,"")</f>
        <v>Range</v>
      </c>
      <c r="B1498" s="888" t="str">
        <f>IF(LEN('Translation-EN'!B1498)&gt;0,'Translation-EN'!B1498,"")</f>
        <v>Composite Master Sheet</v>
      </c>
      <c r="C1498" s="888" t="str">
        <f>IF(LEN('Translation-EN'!C1498)&gt;0,'Translation-EN'!C1498,"")</f>
        <v>S1</v>
      </c>
      <c r="D1498" s="888" t="str">
        <f>IF(LEN('Translation-EN'!D1498)&gt;0,'Translation-EN'!D1498,"")</f>
        <v/>
      </c>
      <c r="E1498" s="893" t="s">
        <v>3209</v>
      </c>
      <c r="I1498" s="888"/>
      <c r="J1498" s="888"/>
      <c r="K1498" s="888"/>
      <c r="L1498" s="888"/>
      <c r="M1498" s="888"/>
      <c r="N1498" s="888"/>
      <c r="O1498" s="888"/>
      <c r="P1498" s="888"/>
      <c r="Q1498" s="888"/>
      <c r="R1498" s="888"/>
    </row>
    <row r="1499" spans="1:18" s="893" customFormat="1" x14ac:dyDescent="0.3">
      <c r="A1499" s="888" t="str">
        <f>IF(LEN('Translation-EN'!A1499)&gt;0,'Translation-EN'!A1499,"")</f>
        <v>Range</v>
      </c>
      <c r="B1499" s="888" t="str">
        <f>IF(LEN('Translation-EN'!B1499)&gt;0,'Translation-EN'!B1499,"")</f>
        <v>Composite Master Sheet</v>
      </c>
      <c r="C1499" s="888" t="str">
        <f>IF(LEN('Translation-EN'!C1499)&gt;0,'Translation-EN'!C1499,"")</f>
        <v>T1</v>
      </c>
      <c r="D1499" s="888" t="str">
        <f>IF(LEN('Translation-EN'!D1499)&gt;0,'Translation-EN'!D1499,"")</f>
        <v/>
      </c>
      <c r="E1499" s="893" t="s">
        <v>3210</v>
      </c>
      <c r="I1499" s="888"/>
      <c r="J1499" s="888"/>
      <c r="K1499" s="888"/>
      <c r="L1499" s="888"/>
      <c r="M1499" s="888"/>
      <c r="N1499" s="888"/>
      <c r="O1499" s="888"/>
      <c r="P1499" s="888"/>
      <c r="Q1499" s="888"/>
      <c r="R1499" s="888"/>
    </row>
    <row r="1500" spans="1:18" s="893" customFormat="1" x14ac:dyDescent="0.3">
      <c r="A1500" s="888" t="str">
        <f>IF(LEN('Translation-EN'!A1500)&gt;0,'Translation-EN'!A1500,"")</f>
        <v>Range</v>
      </c>
      <c r="B1500" s="888" t="str">
        <f>IF(LEN('Translation-EN'!B1500)&gt;0,'Translation-EN'!B1500,"")</f>
        <v>Composite Master Sheet</v>
      </c>
      <c r="C1500" s="888" t="str">
        <f>IF(LEN('Translation-EN'!C1500)&gt;0,'Translation-EN'!C1500,"")</f>
        <v>U1</v>
      </c>
      <c r="D1500" s="888" t="str">
        <f>IF(LEN('Translation-EN'!D1500)&gt;0,'Translation-EN'!D1500,"")</f>
        <v/>
      </c>
      <c r="E1500" s="888" t="s">
        <v>3211</v>
      </c>
      <c r="I1500" s="888"/>
      <c r="J1500" s="888"/>
      <c r="K1500" s="888"/>
      <c r="L1500" s="888"/>
      <c r="M1500" s="888"/>
      <c r="N1500" s="888"/>
      <c r="O1500" s="888"/>
      <c r="P1500" s="888"/>
      <c r="Q1500" s="888"/>
      <c r="R1500" s="888"/>
    </row>
    <row r="1501" spans="1:18" s="893" customFormat="1" x14ac:dyDescent="0.3">
      <c r="A1501" s="888" t="str">
        <f>IF(LEN('Translation-EN'!A1501)&gt;0,'Translation-EN'!A1501,"")</f>
        <v>Range</v>
      </c>
      <c r="B1501" s="888" t="str">
        <f>IF(LEN('Translation-EN'!B1501)&gt;0,'Translation-EN'!B1501,"")</f>
        <v>Composite Master Sheet</v>
      </c>
      <c r="C1501" s="888" t="str">
        <f>IF(LEN('Translation-EN'!C1501)&gt;0,'Translation-EN'!C1501,"")</f>
        <v>V1</v>
      </c>
      <c r="D1501" s="888" t="str">
        <f>IF(LEN('Translation-EN'!D1501)&gt;0,'Translation-EN'!D1501,"")</f>
        <v/>
      </c>
      <c r="E1501" s="888" t="str">
        <f>$E$1485</f>
        <v>Unité entrante</v>
      </c>
      <c r="I1501" s="888"/>
      <c r="J1501" s="888"/>
      <c r="K1501" s="888"/>
      <c r="L1501" s="888"/>
      <c r="M1501" s="888"/>
      <c r="N1501" s="888"/>
      <c r="O1501" s="888"/>
      <c r="P1501" s="888"/>
      <c r="Q1501" s="888"/>
      <c r="R1501" s="888"/>
    </row>
    <row r="1502" spans="1:18" s="893" customFormat="1" x14ac:dyDescent="0.3">
      <c r="A1502" s="888" t="str">
        <f>IF(LEN('Translation-EN'!A1502)&gt;0,'Translation-EN'!A1502,"")</f>
        <v>Range</v>
      </c>
      <c r="B1502" s="888" t="str">
        <f>IF(LEN('Translation-EN'!B1502)&gt;0,'Translation-EN'!B1502,"")</f>
        <v>Composite Master Sheet</v>
      </c>
      <c r="C1502" s="888" t="str">
        <f>IF(LEN('Translation-EN'!C1502)&gt;0,'Translation-EN'!C1502,"")</f>
        <v>W1</v>
      </c>
      <c r="D1502" s="888" t="str">
        <f>IF(LEN('Translation-EN'!D1502)&gt;0,'Translation-EN'!D1502,"")</f>
        <v/>
      </c>
      <c r="E1502" s="893" t="s">
        <v>3212</v>
      </c>
      <c r="I1502" s="888"/>
      <c r="J1502" s="888"/>
      <c r="K1502" s="888"/>
      <c r="L1502" s="888"/>
      <c r="M1502" s="888"/>
      <c r="N1502" s="888"/>
      <c r="O1502" s="888"/>
      <c r="P1502" s="888"/>
      <c r="Q1502" s="888"/>
      <c r="R1502" s="888"/>
    </row>
    <row r="1503" spans="1:18" s="893" customFormat="1" x14ac:dyDescent="0.3">
      <c r="A1503" s="888" t="str">
        <f>IF(LEN('Translation-EN'!A1503)&gt;0,'Translation-EN'!A1503,"")</f>
        <v>Range</v>
      </c>
      <c r="B1503" s="888" t="str">
        <f>IF(LEN('Translation-EN'!B1503)&gt;0,'Translation-EN'!B1503,"")</f>
        <v>Composite Master Sheet</v>
      </c>
      <c r="C1503" s="888" t="str">
        <f>IF(LEN('Translation-EN'!C1503)&gt;0,'Translation-EN'!C1503,"")</f>
        <v>X1</v>
      </c>
      <c r="D1503" s="888" t="str">
        <f>IF(LEN('Translation-EN'!D1503)&gt;0,'Translation-EN'!D1503,"")</f>
        <v/>
      </c>
      <c r="E1503" s="888" t="s">
        <v>3213</v>
      </c>
      <c r="I1503" s="888"/>
      <c r="J1503" s="888"/>
      <c r="K1503" s="888"/>
      <c r="L1503" s="888"/>
      <c r="M1503" s="888"/>
      <c r="N1503" s="888"/>
      <c r="O1503" s="888"/>
      <c r="P1503" s="888"/>
      <c r="Q1503" s="888"/>
      <c r="R1503" s="888"/>
    </row>
    <row r="1504" spans="1:18" s="893" customFormat="1" x14ac:dyDescent="0.3">
      <c r="A1504" s="888" t="str">
        <f>IF(LEN('Translation-EN'!A1504)&gt;0,'Translation-EN'!A1504,"")</f>
        <v>Range</v>
      </c>
      <c r="B1504" s="888" t="str">
        <f>IF(LEN('Translation-EN'!B1504)&gt;0,'Translation-EN'!B1504,"")</f>
        <v>Composite Master Sheet</v>
      </c>
      <c r="C1504" s="888" t="str">
        <f>IF(LEN('Translation-EN'!C1504)&gt;0,'Translation-EN'!C1504,"")</f>
        <v>Y1</v>
      </c>
      <c r="D1504" s="888" t="str">
        <f>IF(LEN('Translation-EN'!D1504)&gt;0,'Translation-EN'!D1504,"")</f>
        <v/>
      </c>
      <c r="E1504" s="893" t="str">
        <f>$E$1394</f>
        <v>Notes</v>
      </c>
      <c r="I1504" s="888"/>
      <c r="J1504" s="888"/>
      <c r="K1504" s="888"/>
      <c r="L1504" s="888"/>
      <c r="M1504" s="888"/>
      <c r="N1504" s="888"/>
      <c r="O1504" s="888"/>
      <c r="P1504" s="888"/>
      <c r="Q1504" s="888"/>
      <c r="R1504" s="888"/>
    </row>
    <row r="1505" spans="1:18" s="893" customFormat="1" x14ac:dyDescent="0.3">
      <c r="A1505" s="888" t="str">
        <f>IF(LEN('Translation-EN'!A1505)&gt;0,'Translation-EN'!A1505,"")</f>
        <v>Range</v>
      </c>
      <c r="B1505" s="888" t="str">
        <f>IF(LEN('Translation-EN'!B1505)&gt;0,'Translation-EN'!B1505,"")</f>
        <v>Composite Master Sheet</v>
      </c>
      <c r="C1505" s="888" t="str">
        <f>IF(LEN('Translation-EN'!C1505)&gt;0,'Translation-EN'!C1505,"")</f>
        <v>Z1</v>
      </c>
      <c r="D1505" s="888" t="str">
        <f>IF(LEN('Translation-EN'!D1505)&gt;0,'Translation-EN'!D1505,"")</f>
        <v/>
      </c>
      <c r="E1505" s="893" t="s">
        <v>3214</v>
      </c>
      <c r="I1505" s="888"/>
      <c r="J1505" s="888"/>
      <c r="K1505" s="888"/>
      <c r="L1505" s="888"/>
      <c r="M1505" s="888"/>
      <c r="N1505" s="888"/>
      <c r="O1505" s="888"/>
      <c r="P1505" s="888"/>
      <c r="Q1505" s="888"/>
      <c r="R1505" s="888"/>
    </row>
    <row r="1506" spans="1:18" s="893" customFormat="1" x14ac:dyDescent="0.3">
      <c r="A1506" s="888" t="str">
        <f>IF(LEN('Translation-EN'!A1506)&gt;0,'Translation-EN'!A1506,"")</f>
        <v>Range</v>
      </c>
      <c r="B1506" s="888" t="str">
        <f>IF(LEN('Translation-EN'!B1506)&gt;0,'Translation-EN'!B1506,"")</f>
        <v>Composite Master Sheet</v>
      </c>
      <c r="C1506" s="888" t="str">
        <f>IF(LEN('Translation-EN'!C1506)&gt;0,'Translation-EN'!C1506,"")</f>
        <v>AA1</v>
      </c>
      <c r="D1506" s="888" t="str">
        <f>IF(LEN('Translation-EN'!D1506)&gt;0,'Translation-EN'!D1506,"")</f>
        <v/>
      </c>
      <c r="E1506" s="888" t="s">
        <v>3215</v>
      </c>
      <c r="I1506" s="888"/>
      <c r="J1506" s="888"/>
      <c r="K1506" s="888"/>
      <c r="L1506" s="888"/>
      <c r="M1506" s="888"/>
      <c r="N1506" s="888"/>
      <c r="O1506" s="888"/>
      <c r="P1506" s="888"/>
      <c r="Q1506" s="888"/>
      <c r="R1506" s="888"/>
    </row>
    <row r="1507" spans="1:18" s="893" customFormat="1" x14ac:dyDescent="0.3">
      <c r="A1507" s="888" t="str">
        <f>IF(LEN('Translation-EN'!A1507)&gt;0,'Translation-EN'!A1507,"")</f>
        <v>Range</v>
      </c>
      <c r="B1507" s="888" t="str">
        <f>IF(LEN('Translation-EN'!B1507)&gt;0,'Translation-EN'!B1507,"")</f>
        <v>Composite Master Sheet</v>
      </c>
      <c r="C1507" s="888" t="str">
        <f>IF(LEN('Translation-EN'!C1507)&gt;0,'Translation-EN'!C1507,"")</f>
        <v>AB1</v>
      </c>
      <c r="D1507" s="888" t="str">
        <f>IF(LEN('Translation-EN'!D1507)&gt;0,'Translation-EN'!D1507,"")</f>
        <v/>
      </c>
      <c r="E1507" s="893" t="s">
        <v>3216</v>
      </c>
      <c r="I1507" s="888"/>
      <c r="J1507" s="888"/>
      <c r="K1507" s="888"/>
      <c r="L1507" s="888"/>
      <c r="M1507" s="888"/>
      <c r="N1507" s="888"/>
      <c r="O1507" s="888"/>
      <c r="P1507" s="888"/>
      <c r="Q1507" s="888"/>
      <c r="R1507" s="888"/>
    </row>
    <row r="1508" spans="1:18" s="893" customFormat="1" x14ac:dyDescent="0.3">
      <c r="A1508" s="888" t="str">
        <f>IF(LEN('Translation-EN'!A1508)&gt;0,'Translation-EN'!A1508,"")</f>
        <v>Range</v>
      </c>
      <c r="B1508" s="888" t="str">
        <f>IF(LEN('Translation-EN'!B1508)&gt;0,'Translation-EN'!B1508,"")</f>
        <v>Composite Master Sheet</v>
      </c>
      <c r="C1508" s="888" t="str">
        <f>IF(LEN('Translation-EN'!C1508)&gt;0,'Translation-EN'!C1508,"")</f>
        <v>AC1</v>
      </c>
      <c r="D1508" s="888" t="str">
        <f>IF(LEN('Translation-EN'!D1508)&gt;0,'Translation-EN'!D1508,"")</f>
        <v/>
      </c>
      <c r="E1508" s="888" t="s">
        <v>3217</v>
      </c>
      <c r="I1508" s="888"/>
      <c r="J1508" s="888"/>
      <c r="K1508" s="888"/>
      <c r="L1508" s="888"/>
      <c r="M1508" s="888"/>
      <c r="N1508" s="888"/>
      <c r="O1508" s="888"/>
      <c r="P1508" s="888"/>
      <c r="Q1508" s="888"/>
      <c r="R1508" s="888"/>
    </row>
    <row r="1509" spans="1:18" s="893" customFormat="1" x14ac:dyDescent="0.3">
      <c r="A1509" s="888" t="str">
        <f>IF(LEN('Translation-EN'!A1509)&gt;0,'Translation-EN'!A1509,"")</f>
        <v>Range</v>
      </c>
      <c r="B1509" s="888" t="str">
        <f>IF(LEN('Translation-EN'!B1509)&gt;0,'Translation-EN'!B1509,"")</f>
        <v>Composite Master Sheet</v>
      </c>
      <c r="C1509" s="888" t="str">
        <f>IF(LEN('Translation-EN'!C1509)&gt;0,'Translation-EN'!C1509,"")</f>
        <v>AD1</v>
      </c>
      <c r="D1509" s="888" t="str">
        <f>IF(LEN('Translation-EN'!D1509)&gt;0,'Translation-EN'!D1509,"")</f>
        <v/>
      </c>
      <c r="E1509" s="893" t="s">
        <v>3218</v>
      </c>
      <c r="I1509" s="888"/>
      <c r="J1509" s="888"/>
      <c r="K1509" s="888"/>
      <c r="L1509" s="888"/>
      <c r="M1509" s="888"/>
      <c r="N1509" s="888"/>
      <c r="O1509" s="888"/>
      <c r="P1509" s="888"/>
      <c r="Q1509" s="888"/>
      <c r="R1509" s="888"/>
    </row>
    <row r="1510" spans="1:18" s="893" customFormat="1" x14ac:dyDescent="0.3">
      <c r="A1510" s="888" t="str">
        <f>IF(LEN('Translation-EN'!A1510)&gt;0,'Translation-EN'!A1510,"")</f>
        <v>Range</v>
      </c>
      <c r="B1510" s="888" t="str">
        <f>IF(LEN('Translation-EN'!B1510)&gt;0,'Translation-EN'!B1510,"")</f>
        <v>Composite Master Sheet</v>
      </c>
      <c r="C1510" s="888" t="str">
        <f>IF(LEN('Translation-EN'!C1510)&gt;0,'Translation-EN'!C1510,"")</f>
        <v>A2</v>
      </c>
      <c r="D1510" s="888" t="str">
        <f>IF(LEN('Translation-EN'!D1510)&gt;0,'Translation-EN'!D1510,"")</f>
        <v/>
      </c>
      <c r="E1510" s="893" t="s">
        <v>3219</v>
      </c>
      <c r="I1510" s="888"/>
      <c r="J1510" s="888"/>
      <c r="K1510" s="888"/>
      <c r="L1510" s="888"/>
      <c r="M1510" s="888"/>
      <c r="N1510" s="888"/>
      <c r="O1510" s="888"/>
      <c r="P1510" s="888"/>
      <c r="Q1510" s="888"/>
      <c r="R1510" s="888"/>
    </row>
    <row r="1511" spans="1:18" s="893" customFormat="1" x14ac:dyDescent="0.3">
      <c r="A1511" s="888" t="str">
        <f>IF(LEN('Translation-EN'!A1511)&gt;0,'Translation-EN'!A1511,"")</f>
        <v>Range</v>
      </c>
      <c r="B1511" s="888" t="str">
        <f>IF(LEN('Translation-EN'!B1511)&gt;0,'Translation-EN'!B1511,"")</f>
        <v>_Composite Master Sheet</v>
      </c>
      <c r="C1511" s="888" t="str">
        <f>IF(LEN('Translation-EN'!C1511)&gt;0,'Translation-EN'!C1511,"")</f>
        <v>A3</v>
      </c>
      <c r="D1511" s="888" t="str">
        <f>IF(LEN('Translation-EN'!D1511)&gt;0,'Translation-EN'!D1511,"")</f>
        <v>This product is archived</v>
      </c>
      <c r="E1511" s="893" t="s">
        <v>3220</v>
      </c>
      <c r="I1511" s="888"/>
      <c r="J1511" s="888"/>
      <c r="K1511" s="888"/>
      <c r="L1511" s="888"/>
      <c r="M1511" s="888"/>
      <c r="N1511" s="888"/>
      <c r="O1511" s="888"/>
      <c r="P1511" s="888"/>
      <c r="Q1511" s="888"/>
      <c r="R1511" s="888"/>
    </row>
    <row r="1512" spans="1:18" s="893" customFormat="1" x14ac:dyDescent="0.3">
      <c r="A1512" s="888" t="str">
        <f>IF(LEN('Translation-EN'!A1512)&gt;0,'Translation-EN'!A1512,"")</f>
        <v>Range</v>
      </c>
      <c r="B1512" s="888" t="str">
        <f>IF(LEN('Translation-EN'!B1512)&gt;0,'Translation-EN'!B1512,"")</f>
        <v>_Composite Master Sheet</v>
      </c>
      <c r="C1512" s="888" t="str">
        <f>IF(LEN('Translation-EN'!C1512)&gt;0,'Translation-EN'!C1512,"")</f>
        <v>A4</v>
      </c>
      <c r="D1512" s="888" t="str">
        <f>IF(LEN('Translation-EN'!D1512)&gt;0,'Translation-EN'!D1512,"")</f>
        <v>This product is archived</v>
      </c>
      <c r="E1512" s="893" t="s">
        <v>3221</v>
      </c>
      <c r="I1512" s="888"/>
      <c r="J1512" s="888"/>
      <c r="K1512" s="888"/>
      <c r="L1512" s="888"/>
      <c r="M1512" s="888"/>
      <c r="N1512" s="888"/>
      <c r="O1512" s="888"/>
      <c r="P1512" s="888"/>
      <c r="Q1512" s="888"/>
      <c r="R1512" s="888"/>
    </row>
    <row r="1513" spans="1:18" s="893" customFormat="1" x14ac:dyDescent="0.3">
      <c r="A1513" s="888" t="str">
        <f>IF(LEN('Translation-EN'!A1513)&gt;0,'Translation-EN'!A1513,"")</f>
        <v>Range</v>
      </c>
      <c r="B1513" s="888" t="str">
        <f>IF(LEN('Translation-EN'!B1513)&gt;0,'Translation-EN'!B1513,"")</f>
        <v>_Composite Master Sheet</v>
      </c>
      <c r="C1513" s="888" t="str">
        <f>IF(LEN('Translation-EN'!C1513)&gt;0,'Translation-EN'!C1513,"")</f>
        <v>A5</v>
      </c>
      <c r="D1513" s="888" t="str">
        <f>IF(LEN('Translation-EN'!D1513)&gt;0,'Translation-EN'!D1513,"")</f>
        <v>This product is archived</v>
      </c>
      <c r="E1513" s="893" t="s">
        <v>3222</v>
      </c>
      <c r="I1513" s="888"/>
      <c r="J1513" s="888"/>
      <c r="K1513" s="888"/>
      <c r="L1513" s="888"/>
      <c r="M1513" s="888"/>
      <c r="N1513" s="888"/>
      <c r="O1513" s="888"/>
      <c r="P1513" s="888"/>
      <c r="Q1513" s="888"/>
      <c r="R1513" s="888"/>
    </row>
    <row r="1514" spans="1:18" s="893" customFormat="1" x14ac:dyDescent="0.3">
      <c r="A1514" s="888" t="str">
        <f>IF(LEN('Translation-EN'!A1514)&gt;0,'Translation-EN'!A1514,"")</f>
        <v>Range</v>
      </c>
      <c r="B1514" s="888" t="str">
        <f>IF(LEN('Translation-EN'!B1514)&gt;0,'Translation-EN'!B1514,"")</f>
        <v>_Composite Master Sheet</v>
      </c>
      <c r="C1514" s="888" t="str">
        <f>IF(LEN('Translation-EN'!C1514)&gt;0,'Translation-EN'!C1514,"")</f>
        <v>A6</v>
      </c>
      <c r="D1514" s="888" t="str">
        <f>IF(LEN('Translation-EN'!D1514)&gt;0,'Translation-EN'!D1514,"")</f>
        <v>This product is archived</v>
      </c>
      <c r="E1514" s="893" t="s">
        <v>3223</v>
      </c>
      <c r="I1514" s="888"/>
      <c r="J1514" s="888"/>
      <c r="K1514" s="888"/>
      <c r="L1514" s="888"/>
      <c r="M1514" s="888"/>
      <c r="N1514" s="888"/>
      <c r="O1514" s="888"/>
      <c r="P1514" s="888"/>
      <c r="Q1514" s="888"/>
      <c r="R1514" s="888"/>
    </row>
    <row r="1515" spans="1:18" s="893" customFormat="1" x14ac:dyDescent="0.3">
      <c r="A1515" s="888" t="str">
        <f>IF(LEN('Translation-EN'!A1515)&gt;0,'Translation-EN'!A1515,"")</f>
        <v>Range</v>
      </c>
      <c r="B1515" s="888" t="str">
        <f>IF(LEN('Translation-EN'!B1515)&gt;0,'Translation-EN'!B1515,"")</f>
        <v>Composite Master Sheet</v>
      </c>
      <c r="C1515" s="888" t="str">
        <f>IF(LEN('Translation-EN'!C1515)&gt;0,'Translation-EN'!C1515,"")</f>
        <v>A7</v>
      </c>
      <c r="D1515" s="888" t="str">
        <f>IF(LEN('Translation-EN'!D1515)&gt;0,'Translation-EN'!D1515,"")</f>
        <v/>
      </c>
      <c r="E1515" s="893" t="s">
        <v>3224</v>
      </c>
      <c r="I1515" s="888"/>
      <c r="J1515" s="888"/>
      <c r="K1515" s="888"/>
      <c r="L1515" s="888"/>
      <c r="M1515" s="888"/>
      <c r="N1515" s="888"/>
      <c r="O1515" s="888"/>
      <c r="P1515" s="888"/>
      <c r="Q1515" s="888"/>
      <c r="R1515" s="888"/>
    </row>
    <row r="1516" spans="1:18" s="893" customFormat="1" x14ac:dyDescent="0.3">
      <c r="A1516" s="888" t="str">
        <f>IF(LEN('Translation-EN'!A1516)&gt;0,'Translation-EN'!A1516,"")</f>
        <v>Range</v>
      </c>
      <c r="B1516" s="888" t="str">
        <f>IF(LEN('Translation-EN'!B1516)&gt;0,'Translation-EN'!B1516,"")</f>
        <v>Composite Master Sheet</v>
      </c>
      <c r="C1516" s="888" t="str">
        <f>IF(LEN('Translation-EN'!C1516)&gt;0,'Translation-EN'!C1516,"")</f>
        <v>A8</v>
      </c>
      <c r="D1516" s="888" t="str">
        <f>IF(LEN('Translation-EN'!D1516)&gt;0,'Translation-EN'!D1516,"")</f>
        <v/>
      </c>
      <c r="E1516" s="893" t="s">
        <v>3225</v>
      </c>
      <c r="I1516" s="888"/>
      <c r="J1516" s="888"/>
      <c r="K1516" s="888"/>
      <c r="L1516" s="888"/>
      <c r="M1516" s="888"/>
      <c r="N1516" s="888"/>
      <c r="O1516" s="888"/>
      <c r="P1516" s="888"/>
      <c r="Q1516" s="888"/>
      <c r="R1516" s="888"/>
    </row>
    <row r="1517" spans="1:18" s="893" customFormat="1" x14ac:dyDescent="0.3">
      <c r="A1517" s="888" t="str">
        <f>IF(LEN('Translation-EN'!A1517)&gt;0,'Translation-EN'!A1517,"")</f>
        <v>Range</v>
      </c>
      <c r="B1517" s="888" t="str">
        <f>IF(LEN('Translation-EN'!B1517)&gt;0,'Translation-EN'!B1517,"")</f>
        <v>Composite Master Sheet</v>
      </c>
      <c r="C1517" s="888" t="str">
        <f>IF(LEN('Translation-EN'!C1517)&gt;0,'Translation-EN'!C1517,"")</f>
        <v>A9</v>
      </c>
      <c r="D1517" s="888" t="str">
        <f>IF(LEN('Translation-EN'!D1517)&gt;0,'Translation-EN'!D1517,"")</f>
        <v/>
      </c>
      <c r="E1517" s="893" t="s">
        <v>3226</v>
      </c>
      <c r="I1517" s="888"/>
      <c r="J1517" s="888"/>
      <c r="K1517" s="888"/>
      <c r="L1517" s="888"/>
      <c r="M1517" s="888"/>
      <c r="N1517" s="888"/>
      <c r="O1517" s="888"/>
      <c r="P1517" s="888"/>
      <c r="Q1517" s="888"/>
      <c r="R1517" s="888"/>
    </row>
    <row r="1518" spans="1:18" s="893" customFormat="1" x14ac:dyDescent="0.3">
      <c r="A1518" s="888" t="str">
        <f>IF(LEN('Translation-EN'!A1518)&gt;0,'Translation-EN'!A1518,"")</f>
        <v>Range</v>
      </c>
      <c r="B1518" s="888" t="str">
        <f>IF(LEN('Translation-EN'!B1518)&gt;0,'Translation-EN'!B1518,"")</f>
        <v>Composite Master Sheet</v>
      </c>
      <c r="C1518" s="888" t="str">
        <f>IF(LEN('Translation-EN'!C1518)&gt;0,'Translation-EN'!C1518,"")</f>
        <v>A10</v>
      </c>
      <c r="D1518" s="888" t="str">
        <f>IF(LEN('Translation-EN'!D1518)&gt;0,'Translation-EN'!D1518,"")</f>
        <v/>
      </c>
      <c r="E1518" s="893" t="s">
        <v>3227</v>
      </c>
      <c r="I1518" s="888"/>
      <c r="J1518" s="888"/>
      <c r="K1518" s="888"/>
      <c r="L1518" s="888"/>
      <c r="M1518" s="888"/>
      <c r="N1518" s="888"/>
      <c r="O1518" s="888"/>
      <c r="P1518" s="888"/>
      <c r="Q1518" s="888"/>
      <c r="R1518" s="888"/>
    </row>
    <row r="1519" spans="1:18" s="893" customFormat="1" x14ac:dyDescent="0.3">
      <c r="A1519" s="888" t="str">
        <f>IF(LEN('Translation-EN'!A1519)&gt;0,'Translation-EN'!A1519,"")</f>
        <v>Range</v>
      </c>
      <c r="B1519" s="888" t="str">
        <f>IF(LEN('Translation-EN'!B1519)&gt;0,'Translation-EN'!B1519,"")</f>
        <v>Composite Master Sheet</v>
      </c>
      <c r="C1519" s="888" t="str">
        <f>IF(LEN('Translation-EN'!C1519)&gt;0,'Translation-EN'!C1519,"")</f>
        <v>A11</v>
      </c>
      <c r="D1519" s="888" t="str">
        <f>IF(LEN('Translation-EN'!D1519)&gt;0,'Translation-EN'!D1519,"")</f>
        <v/>
      </c>
      <c r="E1519" s="893" t="s">
        <v>3228</v>
      </c>
      <c r="I1519" s="888"/>
      <c r="J1519" s="888"/>
      <c r="K1519" s="888"/>
      <c r="L1519" s="888"/>
      <c r="M1519" s="888"/>
      <c r="N1519" s="888"/>
      <c r="O1519" s="888"/>
      <c r="P1519" s="888"/>
      <c r="Q1519" s="888"/>
      <c r="R1519" s="888"/>
    </row>
    <row r="1520" spans="1:18" s="893" customFormat="1" x14ac:dyDescent="0.3">
      <c r="A1520" s="888" t="str">
        <f>IF(LEN('Translation-EN'!A1520)&gt;0,'Translation-EN'!A1520,"")</f>
        <v>Range</v>
      </c>
      <c r="B1520" s="888" t="str">
        <f>IF(LEN('Translation-EN'!B1520)&gt;0,'Translation-EN'!B1520,"")</f>
        <v>Composite Master Sheet</v>
      </c>
      <c r="C1520" s="888" t="str">
        <f>IF(LEN('Translation-EN'!C1520)&gt;0,'Translation-EN'!C1520,"")</f>
        <v>A12</v>
      </c>
      <c r="D1520" s="888" t="str">
        <f>IF(LEN('Translation-EN'!D1520)&gt;0,'Translation-EN'!D1520,"")</f>
        <v/>
      </c>
      <c r="E1520" s="893" t="s">
        <v>3229</v>
      </c>
      <c r="I1520" s="888"/>
      <c r="J1520" s="888"/>
      <c r="K1520" s="888"/>
      <c r="L1520" s="888"/>
      <c r="M1520" s="888"/>
      <c r="N1520" s="888"/>
      <c r="O1520" s="888"/>
      <c r="P1520" s="888"/>
      <c r="Q1520" s="888"/>
      <c r="R1520" s="888"/>
    </row>
    <row r="1521" spans="1:18" s="893" customFormat="1" x14ac:dyDescent="0.3">
      <c r="A1521" s="888" t="str">
        <f>IF(LEN('Translation-EN'!A1521)&gt;0,'Translation-EN'!A1521,"")</f>
        <v>Range</v>
      </c>
      <c r="B1521" s="888" t="str">
        <f>IF(LEN('Translation-EN'!B1521)&gt;0,'Translation-EN'!B1521,"")</f>
        <v>Master sheet</v>
      </c>
      <c r="C1521" s="888" t="str">
        <f>IF(LEN('Translation-EN'!C1521)&gt;0,'Translation-EN'!C1521,"")</f>
        <v>A1</v>
      </c>
      <c r="D1521" s="888" t="str">
        <f>IF(LEN('Translation-EN'!D1521)&gt;0,'Translation-EN'!D1521,"")</f>
        <v/>
      </c>
      <c r="E1521" s="893" t="s">
        <v>3230</v>
      </c>
      <c r="I1521" s="888"/>
      <c r="J1521" s="888"/>
      <c r="K1521" s="888"/>
      <c r="L1521" s="888"/>
      <c r="M1521" s="888"/>
      <c r="N1521" s="888"/>
      <c r="O1521" s="888"/>
      <c r="P1521" s="888"/>
      <c r="Q1521" s="888"/>
      <c r="R1521" s="888"/>
    </row>
    <row r="1522" spans="1:18" s="893" customFormat="1" x14ac:dyDescent="0.3">
      <c r="A1522" s="888" t="str">
        <f>IF(LEN('Translation-EN'!A1522)&gt;0,'Translation-EN'!A1522,"")</f>
        <v>Range</v>
      </c>
      <c r="B1522" s="888" t="str">
        <f>IF(LEN('Translation-EN'!B1522)&gt;0,'Translation-EN'!B1522,"")</f>
        <v>Master sheet</v>
      </c>
      <c r="C1522" s="888" t="str">
        <f>IF(LEN('Translation-EN'!C1522)&gt;0,'Translation-EN'!C1522,"")</f>
        <v>B1</v>
      </c>
      <c r="D1522" s="888" t="str">
        <f>IF(LEN('Translation-EN'!D1522)&gt;0,'Translation-EN'!D1522,"")</f>
        <v/>
      </c>
      <c r="E1522" s="893" t="str">
        <f>$E$1353</f>
        <v>Matériau</v>
      </c>
      <c r="I1522" s="888"/>
      <c r="J1522" s="888"/>
      <c r="K1522" s="888"/>
      <c r="L1522" s="888"/>
      <c r="M1522" s="888"/>
      <c r="N1522" s="888"/>
      <c r="O1522" s="888"/>
      <c r="P1522" s="888"/>
      <c r="Q1522" s="888"/>
      <c r="R1522" s="888"/>
    </row>
    <row r="1523" spans="1:18" s="893" customFormat="1" x14ac:dyDescent="0.3">
      <c r="A1523" s="888" t="str">
        <f>IF(LEN('Translation-EN'!A1523)&gt;0,'Translation-EN'!A1523,"")</f>
        <v>Range</v>
      </c>
      <c r="B1523" s="888" t="str">
        <f>IF(LEN('Translation-EN'!B1523)&gt;0,'Translation-EN'!B1523,"")</f>
        <v>Master sheet</v>
      </c>
      <c r="C1523" s="888" t="str">
        <f>IF(LEN('Translation-EN'!C1523)&gt;0,'Translation-EN'!C1523,"")</f>
        <v>C1</v>
      </c>
      <c r="D1523" s="888" t="str">
        <f>IF(LEN('Translation-EN'!D1523)&gt;0,'Translation-EN'!D1523,"")</f>
        <v/>
      </c>
      <c r="E1523" s="893" t="s">
        <v>3231</v>
      </c>
      <c r="I1523" s="888"/>
      <c r="J1523" s="888"/>
      <c r="K1523" s="888"/>
      <c r="L1523" s="888"/>
      <c r="M1523" s="888"/>
      <c r="N1523" s="888"/>
      <c r="O1523" s="888"/>
      <c r="P1523" s="888"/>
      <c r="Q1523" s="888"/>
      <c r="R1523" s="888"/>
    </row>
    <row r="1524" spans="1:18" s="893" customFormat="1" x14ac:dyDescent="0.3">
      <c r="A1524" s="888" t="str">
        <f>IF(LEN('Translation-EN'!A1524)&gt;0,'Translation-EN'!A1524,"")</f>
        <v>Range</v>
      </c>
      <c r="B1524" s="888" t="str">
        <f>IF(LEN('Translation-EN'!B1524)&gt;0,'Translation-EN'!B1524,"")</f>
        <v>Master sheet</v>
      </c>
      <c r="C1524" s="888" t="str">
        <f>IF(LEN('Translation-EN'!C1524)&gt;0,'Translation-EN'!C1524,"")</f>
        <v>D1</v>
      </c>
      <c r="D1524" s="888" t="str">
        <f>IF(LEN('Translation-EN'!D1524)&gt;0,'Translation-EN'!D1524,"")</f>
        <v/>
      </c>
      <c r="E1524" s="893" t="s">
        <v>3232</v>
      </c>
      <c r="I1524" s="888"/>
      <c r="J1524" s="888"/>
      <c r="K1524" s="888"/>
      <c r="L1524" s="888"/>
      <c r="M1524" s="888"/>
      <c r="N1524" s="888"/>
      <c r="O1524" s="888"/>
      <c r="P1524" s="888"/>
      <c r="Q1524" s="888"/>
      <c r="R1524" s="888"/>
    </row>
    <row r="1525" spans="1:18" s="893" customFormat="1" x14ac:dyDescent="0.3">
      <c r="A1525" s="888" t="str">
        <f>IF(LEN('Translation-EN'!A1525)&gt;0,'Translation-EN'!A1525,"")</f>
        <v>Range</v>
      </c>
      <c r="B1525" s="888" t="str">
        <f>IF(LEN('Translation-EN'!B1525)&gt;0,'Translation-EN'!B1525,"")</f>
        <v>Master sheet</v>
      </c>
      <c r="C1525" s="888" t="str">
        <f>IF(LEN('Translation-EN'!C1525)&gt;0,'Translation-EN'!C1525,"")</f>
        <v>E1</v>
      </c>
      <c r="D1525" s="888" t="str">
        <f>IF(LEN('Translation-EN'!D1525)&gt;0,'Translation-EN'!D1525,"")</f>
        <v/>
      </c>
      <c r="E1525" s="893" t="s">
        <v>3233</v>
      </c>
      <c r="I1525" s="888"/>
      <c r="J1525" s="888"/>
      <c r="K1525" s="888"/>
      <c r="L1525" s="888"/>
      <c r="M1525" s="888"/>
      <c r="N1525" s="888"/>
      <c r="O1525" s="888"/>
      <c r="P1525" s="888"/>
      <c r="Q1525" s="888"/>
      <c r="R1525" s="888"/>
    </row>
    <row r="1526" spans="1:18" s="893" customFormat="1" x14ac:dyDescent="0.3">
      <c r="A1526" s="888" t="str">
        <f>IF(LEN('Translation-EN'!A1526)&gt;0,'Translation-EN'!A1526,"")</f>
        <v>Range</v>
      </c>
      <c r="B1526" s="888" t="str">
        <f>IF(LEN('Translation-EN'!B1526)&gt;0,'Translation-EN'!B1526,"")</f>
        <v>Master sheet</v>
      </c>
      <c r="C1526" s="888" t="str">
        <f>IF(LEN('Translation-EN'!C1526)&gt;0,'Translation-EN'!C1526,"")</f>
        <v>F1</v>
      </c>
      <c r="D1526" s="888" t="str">
        <f>IF(LEN('Translation-EN'!D1526)&gt;0,'Translation-EN'!D1526,"")</f>
        <v/>
      </c>
      <c r="E1526" s="893" t="s">
        <v>3234</v>
      </c>
      <c r="I1526" s="888"/>
      <c r="J1526" s="888"/>
      <c r="K1526" s="888"/>
      <c r="L1526" s="888"/>
      <c r="M1526" s="888"/>
      <c r="N1526" s="888"/>
      <c r="O1526" s="888"/>
      <c r="P1526" s="888"/>
      <c r="Q1526" s="888"/>
      <c r="R1526" s="888"/>
    </row>
    <row r="1527" spans="1:18" s="893" customFormat="1" x14ac:dyDescent="0.3">
      <c r="A1527" s="888" t="str">
        <f>IF(LEN('Translation-EN'!A1527)&gt;0,'Translation-EN'!A1527,"")</f>
        <v>Range</v>
      </c>
      <c r="B1527" s="888" t="str">
        <f>IF(LEN('Translation-EN'!B1527)&gt;0,'Translation-EN'!B1527,"")</f>
        <v>Master sheet</v>
      </c>
      <c r="C1527" s="888" t="str">
        <f>IF(LEN('Translation-EN'!C1527)&gt;0,'Translation-EN'!C1527,"")</f>
        <v>G1</v>
      </c>
      <c r="D1527" s="888" t="str">
        <f>IF(LEN('Translation-EN'!D1527)&gt;0,'Translation-EN'!D1527,"")</f>
        <v/>
      </c>
      <c r="E1527" s="893" t="s">
        <v>3235</v>
      </c>
      <c r="I1527" s="888"/>
      <c r="J1527" s="888"/>
      <c r="K1527" s="888"/>
      <c r="L1527" s="888"/>
      <c r="M1527" s="888"/>
      <c r="N1527" s="888"/>
      <c r="O1527" s="888"/>
      <c r="P1527" s="888"/>
      <c r="Q1527" s="888"/>
      <c r="R1527" s="888"/>
    </row>
    <row r="1528" spans="1:18" s="893" customFormat="1" x14ac:dyDescent="0.3">
      <c r="A1528" s="888" t="str">
        <f>IF(LEN('Translation-EN'!A1528)&gt;0,'Translation-EN'!A1528,"")</f>
        <v>Range</v>
      </c>
      <c r="B1528" s="888" t="str">
        <f>IF(LEN('Translation-EN'!B1528)&gt;0,'Translation-EN'!B1528,"")</f>
        <v>Master sheet</v>
      </c>
      <c r="C1528" s="888" t="str">
        <f>IF(LEN('Translation-EN'!C1528)&gt;0,'Translation-EN'!C1528,"")</f>
        <v>H1</v>
      </c>
      <c r="D1528" s="888" t="str">
        <f>IF(LEN('Translation-EN'!D1528)&gt;0,'Translation-EN'!D1528,"")</f>
        <v/>
      </c>
      <c r="E1528" s="893" t="str">
        <f>$E$1394</f>
        <v>Notes</v>
      </c>
      <c r="I1528" s="888"/>
      <c r="J1528" s="888"/>
      <c r="K1528" s="888"/>
      <c r="L1528" s="888"/>
      <c r="M1528" s="888"/>
      <c r="N1528" s="888"/>
      <c r="O1528" s="888"/>
      <c r="P1528" s="888"/>
      <c r="Q1528" s="888"/>
      <c r="R1528" s="888"/>
    </row>
    <row r="1529" spans="1:18" s="893" customFormat="1" x14ac:dyDescent="0.3">
      <c r="A1529" s="888" t="str">
        <f>IF(LEN('Translation-EN'!A1529)&gt;0,'Translation-EN'!A1529,"")</f>
        <v>Range</v>
      </c>
      <c r="B1529" s="888" t="str">
        <f>IF(LEN('Translation-EN'!B1529)&gt;0,'Translation-EN'!B1529,"")</f>
        <v>Master sheet</v>
      </c>
      <c r="C1529" s="888" t="str">
        <f>IF(LEN('Translation-EN'!C1529)&gt;0,'Translation-EN'!C1529,"")</f>
        <v>I1</v>
      </c>
      <c r="D1529" s="888" t="str">
        <f>IF(LEN('Translation-EN'!D1529)&gt;0,'Translation-EN'!D1529,"")</f>
        <v/>
      </c>
      <c r="E1529" s="893" t="s">
        <v>3236</v>
      </c>
      <c r="I1529" s="888"/>
      <c r="J1529" s="888"/>
      <c r="K1529" s="888"/>
      <c r="L1529" s="888"/>
      <c r="M1529" s="888"/>
      <c r="N1529" s="888"/>
      <c r="O1529" s="888"/>
      <c r="P1529" s="888"/>
      <c r="Q1529" s="888"/>
      <c r="R1529" s="888"/>
    </row>
    <row r="1530" spans="1:18" s="893" customFormat="1" x14ac:dyDescent="0.3">
      <c r="A1530" s="888" t="str">
        <f>IF(LEN('Translation-EN'!A1530)&gt;0,'Translation-EN'!A1530,"")</f>
        <v>Range</v>
      </c>
      <c r="B1530" s="888" t="str">
        <f>IF(LEN('Translation-EN'!B1530)&gt;0,'Translation-EN'!B1530,"")</f>
        <v>Master sheet</v>
      </c>
      <c r="C1530" s="888" t="str">
        <f>IF(LEN('Translation-EN'!C1530)&gt;0,'Translation-EN'!C1530,"")</f>
        <v>J1</v>
      </c>
      <c r="D1530" s="888" t="str">
        <f>IF(LEN('Translation-EN'!D1530)&gt;0,'Translation-EN'!D1530,"")</f>
        <v/>
      </c>
      <c r="E1530" s="893" t="s">
        <v>3237</v>
      </c>
      <c r="I1530" s="888"/>
      <c r="J1530" s="888"/>
      <c r="K1530" s="888"/>
      <c r="L1530" s="888"/>
      <c r="M1530" s="888"/>
      <c r="N1530" s="888"/>
      <c r="O1530" s="888"/>
      <c r="P1530" s="888"/>
      <c r="Q1530" s="888"/>
      <c r="R1530" s="888"/>
    </row>
    <row r="1531" spans="1:18" s="893" customFormat="1" x14ac:dyDescent="0.3">
      <c r="A1531" s="888" t="str">
        <f>IF(LEN('Translation-EN'!A1531)&gt;0,'Translation-EN'!A1531,"")</f>
        <v>Range</v>
      </c>
      <c r="B1531" s="888" t="str">
        <f>IF(LEN('Translation-EN'!B1531)&gt;0,'Translation-EN'!B1531,"")</f>
        <v>Master sheet</v>
      </c>
      <c r="C1531" s="888" t="str">
        <f>IF(LEN('Translation-EN'!C1531)&gt;0,'Translation-EN'!C1531,"")</f>
        <v>K1</v>
      </c>
      <c r="D1531" s="888" t="str">
        <f>IF(LEN('Translation-EN'!D1531)&gt;0,'Translation-EN'!D1531,"")</f>
        <v/>
      </c>
      <c r="E1531" s="893" t="s">
        <v>3238</v>
      </c>
      <c r="I1531" s="888"/>
      <c r="J1531" s="888"/>
      <c r="K1531" s="888"/>
      <c r="L1531" s="888"/>
      <c r="M1531" s="888"/>
      <c r="N1531" s="888"/>
      <c r="O1531" s="888"/>
      <c r="P1531" s="888"/>
      <c r="Q1531" s="888"/>
      <c r="R1531" s="888"/>
    </row>
    <row r="1532" spans="1:18" s="893" customFormat="1" x14ac:dyDescent="0.3">
      <c r="A1532" s="888" t="str">
        <f>IF(LEN('Translation-EN'!A1532)&gt;0,'Translation-EN'!A1532,"")</f>
        <v>Range</v>
      </c>
      <c r="B1532" s="888" t="str">
        <f>IF(LEN('Translation-EN'!B1532)&gt;0,'Translation-EN'!B1532,"")</f>
        <v>Master sheet</v>
      </c>
      <c r="C1532" s="888" t="str">
        <f>IF(LEN('Translation-EN'!C1532)&gt;0,'Translation-EN'!C1532,"")</f>
        <v>L1</v>
      </c>
      <c r="D1532" s="888" t="str">
        <f>IF(LEN('Translation-EN'!D1532)&gt;0,'Translation-EN'!D1532,"")</f>
        <v/>
      </c>
      <c r="E1532" s="893" t="s">
        <v>3239</v>
      </c>
      <c r="I1532" s="888"/>
      <c r="J1532" s="888"/>
      <c r="K1532" s="888"/>
      <c r="L1532" s="888"/>
      <c r="M1532" s="888"/>
      <c r="N1532" s="888"/>
      <c r="O1532" s="888"/>
      <c r="P1532" s="888"/>
      <c r="Q1532" s="888"/>
      <c r="R1532" s="888"/>
    </row>
    <row r="1533" spans="1:18" s="893" customFormat="1" x14ac:dyDescent="0.3">
      <c r="A1533" s="888" t="str">
        <f>IF(LEN('Translation-EN'!A1533)&gt;0,'Translation-EN'!A1533,"")</f>
        <v>Range</v>
      </c>
      <c r="B1533" s="888" t="str">
        <f>IF(LEN('Translation-EN'!B1533)&gt;0,'Translation-EN'!B1533,"")</f>
        <v>Master sheet</v>
      </c>
      <c r="C1533" s="888" t="str">
        <f>IF(LEN('Translation-EN'!C1533)&gt;0,'Translation-EN'!C1533,"")</f>
        <v>M1</v>
      </c>
      <c r="D1533" s="888" t="str">
        <f>IF(LEN('Translation-EN'!D1533)&gt;0,'Translation-EN'!D1533,"")</f>
        <v/>
      </c>
      <c r="E1533" s="893" t="s">
        <v>3240</v>
      </c>
      <c r="I1533" s="888"/>
      <c r="J1533" s="888"/>
      <c r="K1533" s="888"/>
      <c r="L1533" s="888"/>
      <c r="M1533" s="888"/>
      <c r="N1533" s="888"/>
      <c r="O1533" s="888"/>
      <c r="P1533" s="888"/>
      <c r="Q1533" s="888"/>
      <c r="R1533" s="888"/>
    </row>
    <row r="1534" spans="1:18" s="893" customFormat="1" x14ac:dyDescent="0.3">
      <c r="A1534" s="888" t="str">
        <f>IF(LEN('Translation-EN'!A1534)&gt;0,'Translation-EN'!A1534,"")</f>
        <v>Range</v>
      </c>
      <c r="B1534" s="888" t="str">
        <f>IF(LEN('Translation-EN'!B1534)&gt;0,'Translation-EN'!B1534,"")</f>
        <v>Master sheet</v>
      </c>
      <c r="C1534" s="888" t="str">
        <f>IF(LEN('Translation-EN'!C1534)&gt;0,'Translation-EN'!C1534,"")</f>
        <v>N1</v>
      </c>
      <c r="D1534" s="888" t="str">
        <f>IF(LEN('Translation-EN'!D1534)&gt;0,'Translation-EN'!D1534,"")</f>
        <v/>
      </c>
      <c r="E1534" s="893" t="s">
        <v>3241</v>
      </c>
      <c r="I1534" s="888"/>
      <c r="J1534" s="888"/>
      <c r="K1534" s="888"/>
      <c r="L1534" s="888"/>
      <c r="M1534" s="888"/>
      <c r="N1534" s="888"/>
      <c r="O1534" s="888"/>
      <c r="P1534" s="888"/>
      <c r="Q1534" s="888"/>
      <c r="R1534" s="888"/>
    </row>
    <row r="1535" spans="1:18" s="893" customFormat="1" x14ac:dyDescent="0.3">
      <c r="A1535" s="888" t="str">
        <f>IF(LEN('Translation-EN'!A1535)&gt;0,'Translation-EN'!A1535,"")</f>
        <v>Range</v>
      </c>
      <c r="B1535" s="888" t="str">
        <f>IF(LEN('Translation-EN'!B1535)&gt;0,'Translation-EN'!B1535,"")</f>
        <v>Master sheet</v>
      </c>
      <c r="C1535" s="888" t="str">
        <f>IF(LEN('Translation-EN'!C1535)&gt;0,'Translation-EN'!C1535,"")</f>
        <v>O1</v>
      </c>
      <c r="D1535" s="888" t="str">
        <f>IF(LEN('Translation-EN'!D1535)&gt;0,'Translation-EN'!D1535,"")</f>
        <v/>
      </c>
      <c r="E1535" s="893" t="s">
        <v>3242</v>
      </c>
      <c r="I1535" s="888"/>
      <c r="J1535" s="888"/>
      <c r="K1535" s="888"/>
      <c r="L1535" s="888"/>
      <c r="M1535" s="888"/>
      <c r="N1535" s="888"/>
      <c r="O1535" s="888"/>
      <c r="P1535" s="888"/>
      <c r="Q1535" s="888"/>
      <c r="R1535" s="888"/>
    </row>
    <row r="1536" spans="1:18" s="893" customFormat="1" x14ac:dyDescent="0.3">
      <c r="A1536" s="888" t="str">
        <f>IF(LEN('Translation-EN'!A1536)&gt;0,'Translation-EN'!A1536,"")</f>
        <v>Range</v>
      </c>
      <c r="B1536" s="888" t="str">
        <f>IF(LEN('Translation-EN'!B1536)&gt;0,'Translation-EN'!B1536,"")</f>
        <v>Master sheet</v>
      </c>
      <c r="C1536" s="888" t="str">
        <f>IF(LEN('Translation-EN'!C1536)&gt;0,'Translation-EN'!C1536,"")</f>
        <v>P1</v>
      </c>
      <c r="D1536" s="888" t="str">
        <f>IF(LEN('Translation-EN'!D1536)&gt;0,'Translation-EN'!D1536,"")</f>
        <v/>
      </c>
      <c r="E1536" s="893" t="s">
        <v>3243</v>
      </c>
      <c r="I1536" s="888"/>
      <c r="J1536" s="888"/>
      <c r="K1536" s="888"/>
      <c r="L1536" s="888"/>
      <c r="M1536" s="888"/>
      <c r="N1536" s="888"/>
      <c r="O1536" s="888"/>
      <c r="P1536" s="888"/>
      <c r="Q1536" s="888"/>
      <c r="R1536" s="888"/>
    </row>
    <row r="1537" spans="1:18" s="893" customFormat="1" x14ac:dyDescent="0.3">
      <c r="A1537" s="888" t="str">
        <f>IF(LEN('Translation-EN'!A1537)&gt;0,'Translation-EN'!A1537,"")</f>
        <v>Range</v>
      </c>
      <c r="B1537" s="888" t="str">
        <f>IF(LEN('Translation-EN'!B1537)&gt;0,'Translation-EN'!B1537,"")</f>
        <v>Master sheet</v>
      </c>
      <c r="C1537" s="888" t="str">
        <f>IF(LEN('Translation-EN'!C1537)&gt;0,'Translation-EN'!C1537,"")</f>
        <v>Q1</v>
      </c>
      <c r="D1537" s="888" t="str">
        <f>IF(LEN('Translation-EN'!D1537)&gt;0,'Translation-EN'!D1537,"")</f>
        <v/>
      </c>
      <c r="E1537" s="893" t="s">
        <v>3244</v>
      </c>
      <c r="I1537" s="888"/>
      <c r="J1537" s="888"/>
      <c r="K1537" s="888"/>
      <c r="L1537" s="888"/>
      <c r="M1537" s="888"/>
      <c r="N1537" s="888"/>
      <c r="O1537" s="888"/>
      <c r="P1537" s="888"/>
      <c r="Q1537" s="888"/>
      <c r="R1537" s="888"/>
    </row>
    <row r="1538" spans="1:18" s="893" customFormat="1" x14ac:dyDescent="0.3">
      <c r="A1538" s="888" t="str">
        <f>IF(LEN('Translation-EN'!A1538)&gt;0,'Translation-EN'!A1538,"")</f>
        <v>Range</v>
      </c>
      <c r="B1538" s="888" t="str">
        <f>IF(LEN('Translation-EN'!B1538)&gt;0,'Translation-EN'!B1538,"")</f>
        <v>Master sheet</v>
      </c>
      <c r="C1538" s="888" t="str">
        <f>IF(LEN('Translation-EN'!C1538)&gt;0,'Translation-EN'!C1538,"")</f>
        <v>R1</v>
      </c>
      <c r="D1538" s="888" t="str">
        <f>IF(LEN('Translation-EN'!D1538)&gt;0,'Translation-EN'!D1538,"")</f>
        <v/>
      </c>
      <c r="E1538" s="893" t="s">
        <v>3245</v>
      </c>
      <c r="I1538" s="888"/>
      <c r="J1538" s="888"/>
      <c r="K1538" s="888"/>
      <c r="L1538" s="888"/>
      <c r="M1538" s="888"/>
      <c r="N1538" s="888"/>
      <c r="O1538" s="888"/>
      <c r="P1538" s="888"/>
      <c r="Q1538" s="888"/>
      <c r="R1538" s="888"/>
    </row>
    <row r="1539" spans="1:18" s="893" customFormat="1" x14ac:dyDescent="0.3">
      <c r="A1539" s="888" t="str">
        <f>IF(LEN('Translation-EN'!A1539)&gt;0,'Translation-EN'!A1539,"")</f>
        <v>Range</v>
      </c>
      <c r="B1539" s="888" t="str">
        <f>IF(LEN('Translation-EN'!B1539)&gt;0,'Translation-EN'!B1539,"")</f>
        <v>Master sheet</v>
      </c>
      <c r="C1539" s="888" t="str">
        <f>IF(LEN('Translation-EN'!C1539)&gt;0,'Translation-EN'!C1539,"")</f>
        <v>S1</v>
      </c>
      <c r="D1539" s="888" t="str">
        <f>IF(LEN('Translation-EN'!D1539)&gt;0,'Translation-EN'!D1539,"")</f>
        <v/>
      </c>
      <c r="E1539" s="893" t="s">
        <v>3246</v>
      </c>
      <c r="I1539" s="888"/>
      <c r="J1539" s="888"/>
      <c r="K1539" s="888"/>
      <c r="L1539" s="888"/>
      <c r="M1539" s="888"/>
      <c r="N1539" s="888"/>
      <c r="O1539" s="888"/>
      <c r="P1539" s="888"/>
      <c r="Q1539" s="888"/>
      <c r="R1539" s="888"/>
    </row>
    <row r="1540" spans="1:18" s="893" customFormat="1" x14ac:dyDescent="0.3">
      <c r="A1540" s="888" t="str">
        <f>IF(LEN('Translation-EN'!A1540)&gt;0,'Translation-EN'!A1540,"")</f>
        <v>Range</v>
      </c>
      <c r="B1540" s="888" t="str">
        <f>IF(LEN('Translation-EN'!B1540)&gt;0,'Translation-EN'!B1540,"")</f>
        <v>Master sheet</v>
      </c>
      <c r="C1540" s="888" t="str">
        <f>IF(LEN('Translation-EN'!C1540)&gt;0,'Translation-EN'!C1540,"")</f>
        <v>T1</v>
      </c>
      <c r="D1540" s="888" t="str">
        <f>IF(LEN('Translation-EN'!D1540)&gt;0,'Translation-EN'!D1540,"")</f>
        <v/>
      </c>
      <c r="E1540" s="893" t="s">
        <v>3247</v>
      </c>
      <c r="I1540" s="888"/>
      <c r="J1540" s="888"/>
      <c r="K1540" s="888"/>
      <c r="L1540" s="888"/>
      <c r="M1540" s="888"/>
      <c r="N1540" s="888"/>
      <c r="O1540" s="888"/>
      <c r="P1540" s="888"/>
      <c r="Q1540" s="888"/>
      <c r="R1540" s="888"/>
    </row>
    <row r="1541" spans="1:18" s="893" customFormat="1" x14ac:dyDescent="0.3">
      <c r="A1541" s="888" t="str">
        <f>IF(LEN('Translation-EN'!A1541)&gt;0,'Translation-EN'!A1541,"")</f>
        <v>Range</v>
      </c>
      <c r="B1541" s="888" t="str">
        <f>IF(LEN('Translation-EN'!B1541)&gt;0,'Translation-EN'!B1541,"")</f>
        <v>Master sheet</v>
      </c>
      <c r="C1541" s="888" t="str">
        <f>IF(LEN('Translation-EN'!C1541)&gt;0,'Translation-EN'!C1541,"")</f>
        <v>U1</v>
      </c>
      <c r="D1541" s="888" t="str">
        <f>IF(LEN('Translation-EN'!D1541)&gt;0,'Translation-EN'!D1541,"")</f>
        <v/>
      </c>
      <c r="E1541" s="893" t="str">
        <f>$E$1539</f>
        <v>Unités</v>
      </c>
      <c r="I1541" s="888"/>
      <c r="J1541" s="888"/>
      <c r="K1541" s="888"/>
      <c r="L1541" s="888"/>
      <c r="M1541" s="888"/>
      <c r="N1541" s="888"/>
      <c r="O1541" s="888"/>
      <c r="P1541" s="888"/>
      <c r="Q1541" s="888"/>
      <c r="R1541" s="888"/>
    </row>
    <row r="1542" spans="1:18" s="893" customFormat="1" x14ac:dyDescent="0.3">
      <c r="A1542" s="888" t="str">
        <f>IF(LEN('Translation-EN'!A1542)&gt;0,'Translation-EN'!A1542,"")</f>
        <v>Range</v>
      </c>
      <c r="B1542" s="888" t="str">
        <f>IF(LEN('Translation-EN'!B1542)&gt;0,'Translation-EN'!B1542,"")</f>
        <v>Master sheet</v>
      </c>
      <c r="C1542" s="888" t="str">
        <f>IF(LEN('Translation-EN'!C1542)&gt;0,'Translation-EN'!C1542,"")</f>
        <v>V1</v>
      </c>
      <c r="D1542" s="888" t="str">
        <f>IF(LEN('Translation-EN'!D1542)&gt;0,'Translation-EN'!D1542,"")</f>
        <v/>
      </c>
      <c r="E1542" s="893" t="s">
        <v>3248</v>
      </c>
      <c r="I1542" s="888"/>
      <c r="J1542" s="888"/>
      <c r="K1542" s="888"/>
      <c r="L1542" s="888"/>
      <c r="M1542" s="888"/>
      <c r="N1542" s="888"/>
      <c r="O1542" s="888"/>
      <c r="P1542" s="888"/>
      <c r="Q1542" s="888"/>
      <c r="R1542" s="888"/>
    </row>
    <row r="1543" spans="1:18" s="893" customFormat="1" x14ac:dyDescent="0.3">
      <c r="A1543" s="888" t="str">
        <f>IF(LEN('Translation-EN'!A1543)&gt;0,'Translation-EN'!A1543,"")</f>
        <v>Range</v>
      </c>
      <c r="B1543" s="888" t="str">
        <f>IF(LEN('Translation-EN'!B1543)&gt;0,'Translation-EN'!B1543,"")</f>
        <v>Master sheet</v>
      </c>
      <c r="C1543" s="888" t="str">
        <f>IF(LEN('Translation-EN'!C1543)&gt;0,'Translation-EN'!C1543,"")</f>
        <v>W1</v>
      </c>
      <c r="D1543" s="888" t="str">
        <f>IF(LEN('Translation-EN'!D1543)&gt;0,'Translation-EN'!D1543,"")</f>
        <v/>
      </c>
      <c r="E1543" s="893" t="s">
        <v>3249</v>
      </c>
      <c r="I1543" s="888"/>
      <c r="J1543" s="888"/>
      <c r="K1543" s="888"/>
      <c r="L1543" s="888"/>
      <c r="M1543" s="888"/>
      <c r="N1543" s="888"/>
      <c r="O1543" s="888"/>
      <c r="P1543" s="888"/>
      <c r="Q1543" s="888"/>
      <c r="R1543" s="888"/>
    </row>
    <row r="1544" spans="1:18" s="893" customFormat="1" x14ac:dyDescent="0.3">
      <c r="A1544" s="888" t="str">
        <f>IF(LEN('Translation-EN'!A1544)&gt;0,'Translation-EN'!A1544,"")</f>
        <v>Range</v>
      </c>
      <c r="B1544" s="888" t="str">
        <f>IF(LEN('Translation-EN'!B1544)&gt;0,'Translation-EN'!B1544,"")</f>
        <v>Master sheet</v>
      </c>
      <c r="C1544" s="888" t="str">
        <f>IF(LEN('Translation-EN'!C1544)&gt;0,'Translation-EN'!C1544,"")</f>
        <v>X1</v>
      </c>
      <c r="D1544" s="888" t="str">
        <f>IF(LEN('Translation-EN'!D1544)&gt;0,'Translation-EN'!D1544,"")</f>
        <v/>
      </c>
      <c r="E1544" s="893" t="str">
        <f>$E$1539</f>
        <v>Unités</v>
      </c>
      <c r="I1544" s="888"/>
      <c r="J1544" s="888"/>
      <c r="K1544" s="888"/>
      <c r="L1544" s="888"/>
      <c r="M1544" s="888"/>
      <c r="N1544" s="888"/>
      <c r="O1544" s="888"/>
      <c r="P1544" s="888"/>
      <c r="Q1544" s="888"/>
      <c r="R1544" s="888"/>
    </row>
    <row r="1545" spans="1:18" s="893" customFormat="1" x14ac:dyDescent="0.3">
      <c r="A1545" s="888" t="str">
        <f>IF(LEN('Translation-EN'!A1545)&gt;0,'Translation-EN'!A1545,"")</f>
        <v>Range</v>
      </c>
      <c r="B1545" s="888" t="str">
        <f>IF(LEN('Translation-EN'!B1545)&gt;0,'Translation-EN'!B1545,"")</f>
        <v>Master sheet</v>
      </c>
      <c r="C1545" s="888" t="str">
        <f>IF(LEN('Translation-EN'!C1545)&gt;0,'Translation-EN'!C1545,"")</f>
        <v>Y1</v>
      </c>
      <c r="D1545" s="888" t="str">
        <f>IF(LEN('Translation-EN'!D1545)&gt;0,'Translation-EN'!D1545,"")</f>
        <v/>
      </c>
      <c r="E1545" s="893" t="s">
        <v>3250</v>
      </c>
      <c r="I1545" s="888"/>
      <c r="J1545" s="888"/>
      <c r="K1545" s="888"/>
      <c r="L1545" s="888"/>
      <c r="M1545" s="888"/>
      <c r="N1545" s="888"/>
      <c r="O1545" s="888"/>
      <c r="P1545" s="888"/>
      <c r="Q1545" s="888"/>
      <c r="R1545" s="888"/>
    </row>
    <row r="1546" spans="1:18" s="893" customFormat="1" x14ac:dyDescent="0.3">
      <c r="A1546" s="888" t="str">
        <f>IF(LEN('Translation-EN'!A1546)&gt;0,'Translation-EN'!A1546,"")</f>
        <v>Range</v>
      </c>
      <c r="B1546" s="888" t="str">
        <f>IF(LEN('Translation-EN'!B1546)&gt;0,'Translation-EN'!B1546,"")</f>
        <v>Master sheet</v>
      </c>
      <c r="C1546" s="888" t="str">
        <f>IF(LEN('Translation-EN'!C1546)&gt;0,'Translation-EN'!C1546,"")</f>
        <v>Z1</v>
      </c>
      <c r="D1546" s="888" t="str">
        <f>IF(LEN('Translation-EN'!D1546)&gt;0,'Translation-EN'!D1546,"")</f>
        <v/>
      </c>
      <c r="E1546" s="893" t="s">
        <v>3251</v>
      </c>
      <c r="I1546" s="888"/>
      <c r="J1546" s="888"/>
      <c r="K1546" s="888"/>
      <c r="L1546" s="888"/>
      <c r="M1546" s="888"/>
      <c r="N1546" s="888"/>
      <c r="O1546" s="888"/>
      <c r="P1546" s="888"/>
      <c r="Q1546" s="888"/>
      <c r="R1546" s="888"/>
    </row>
    <row r="1547" spans="1:18" s="893" customFormat="1" x14ac:dyDescent="0.3">
      <c r="A1547" s="888" t="str">
        <f>IF(LEN('Translation-EN'!A1547)&gt;0,'Translation-EN'!A1547,"")</f>
        <v>Range</v>
      </c>
      <c r="B1547" s="888" t="str">
        <f>IF(LEN('Translation-EN'!B1547)&gt;0,'Translation-EN'!B1547,"")</f>
        <v>Master sheet</v>
      </c>
      <c r="C1547" s="888" t="str">
        <f>IF(LEN('Translation-EN'!C1547)&gt;0,'Translation-EN'!C1547,"")</f>
        <v>AA1</v>
      </c>
      <c r="D1547" s="888" t="str">
        <f>IF(LEN('Translation-EN'!D1547)&gt;0,'Translation-EN'!D1547,"")</f>
        <v/>
      </c>
      <c r="E1547" s="893" t="s">
        <v>3252</v>
      </c>
      <c r="I1547" s="888"/>
      <c r="J1547" s="888"/>
      <c r="K1547" s="888"/>
      <c r="L1547" s="888"/>
      <c r="M1547" s="888"/>
      <c r="N1547" s="888"/>
      <c r="O1547" s="888"/>
      <c r="P1547" s="888"/>
      <c r="Q1547" s="888"/>
      <c r="R1547" s="888"/>
    </row>
    <row r="1548" spans="1:18" s="893" customFormat="1" x14ac:dyDescent="0.3">
      <c r="A1548" s="888" t="str">
        <f>IF(LEN('Translation-EN'!A1548)&gt;0,'Translation-EN'!A1548,"")</f>
        <v>Range</v>
      </c>
      <c r="B1548" s="888" t="str">
        <f>IF(LEN('Translation-EN'!B1548)&gt;0,'Translation-EN'!B1548,"")</f>
        <v>Master sheet</v>
      </c>
      <c r="C1548" s="888" t="str">
        <f>IF(LEN('Translation-EN'!C1548)&gt;0,'Translation-EN'!C1548,"")</f>
        <v>AB1</v>
      </c>
      <c r="D1548" s="888" t="str">
        <f>IF(LEN('Translation-EN'!D1548)&gt;0,'Translation-EN'!D1548,"")</f>
        <v/>
      </c>
      <c r="E1548" s="893" t="str">
        <f>$E$1534</f>
        <v>Unités : kgCO2e par</v>
      </c>
      <c r="I1548" s="888"/>
      <c r="J1548" s="888"/>
      <c r="K1548" s="888"/>
      <c r="L1548" s="888"/>
      <c r="M1548" s="888"/>
      <c r="N1548" s="888"/>
      <c r="O1548" s="888"/>
      <c r="P1548" s="888"/>
      <c r="Q1548" s="888"/>
      <c r="R1548" s="888"/>
    </row>
    <row r="1549" spans="1:18" s="893" customFormat="1" x14ac:dyDescent="0.3">
      <c r="A1549" s="888" t="str">
        <f>IF(LEN('Translation-EN'!A1549)&gt;0,'Translation-EN'!A1549,"")</f>
        <v>Range</v>
      </c>
      <c r="B1549" s="888" t="str">
        <f>IF(LEN('Translation-EN'!B1549)&gt;0,'Translation-EN'!B1549,"")</f>
        <v>Master sheet</v>
      </c>
      <c r="C1549" s="888" t="str">
        <f>IF(LEN('Translation-EN'!C1549)&gt;0,'Translation-EN'!C1549,"")</f>
        <v>AC1</v>
      </c>
      <c r="D1549" s="888" t="str">
        <f>IF(LEN('Translation-EN'!D1549)&gt;0,'Translation-EN'!D1549,"")</f>
        <v/>
      </c>
      <c r="E1549" s="893" t="s">
        <v>3253</v>
      </c>
      <c r="I1549" s="888"/>
      <c r="J1549" s="888"/>
      <c r="K1549" s="888"/>
      <c r="L1549" s="888"/>
      <c r="M1549" s="888"/>
      <c r="N1549" s="888"/>
      <c r="O1549" s="888"/>
      <c r="P1549" s="888"/>
      <c r="Q1549" s="888"/>
      <c r="R1549" s="888"/>
    </row>
    <row r="1550" spans="1:18" s="893" customFormat="1" x14ac:dyDescent="0.3">
      <c r="A1550" s="888" t="str">
        <f>IF(LEN('Translation-EN'!A1550)&gt;0,'Translation-EN'!A1550,"")</f>
        <v>Range</v>
      </c>
      <c r="B1550" s="888" t="str">
        <f>IF(LEN('Translation-EN'!B1550)&gt;0,'Translation-EN'!B1550,"")</f>
        <v>Master sheet</v>
      </c>
      <c r="C1550" s="888" t="str">
        <f>IF(LEN('Translation-EN'!C1550)&gt;0,'Translation-EN'!C1550,"")</f>
        <v>AD1</v>
      </c>
      <c r="D1550" s="888" t="str">
        <f>IF(LEN('Translation-EN'!D1550)&gt;0,'Translation-EN'!D1550,"")</f>
        <v/>
      </c>
      <c r="E1550" s="893" t="s">
        <v>3254</v>
      </c>
      <c r="I1550" s="888"/>
      <c r="J1550" s="888"/>
      <c r="K1550" s="888"/>
      <c r="L1550" s="888"/>
      <c r="M1550" s="888"/>
      <c r="N1550" s="888"/>
      <c r="O1550" s="888"/>
      <c r="P1550" s="888"/>
      <c r="Q1550" s="888"/>
      <c r="R1550" s="888"/>
    </row>
    <row r="1551" spans="1:18" s="893" customFormat="1" x14ac:dyDescent="0.3">
      <c r="A1551" s="888" t="str">
        <f>IF(LEN('Translation-EN'!A1551)&gt;0,'Translation-EN'!A1551,"")</f>
        <v>Range</v>
      </c>
      <c r="B1551" s="888" t="str">
        <f>IF(LEN('Translation-EN'!B1551)&gt;0,'Translation-EN'!B1551,"")</f>
        <v>Master sheet</v>
      </c>
      <c r="C1551" s="888" t="str">
        <f>IF(LEN('Translation-EN'!C1551)&gt;0,'Translation-EN'!C1551,"")</f>
        <v>AE1</v>
      </c>
      <c r="D1551" s="888" t="str">
        <f>IF(LEN('Translation-EN'!D1551)&gt;0,'Translation-EN'!D1551,"")</f>
        <v/>
      </c>
      <c r="E1551" s="893" t="str">
        <f>$E$1539</f>
        <v>Unités</v>
      </c>
      <c r="I1551" s="888"/>
      <c r="J1551" s="888"/>
      <c r="K1551" s="888"/>
      <c r="L1551" s="888"/>
      <c r="M1551" s="888"/>
      <c r="N1551" s="888"/>
      <c r="O1551" s="888"/>
      <c r="P1551" s="888"/>
      <c r="Q1551" s="888"/>
      <c r="R1551" s="888"/>
    </row>
    <row r="1552" spans="1:18" s="893" customFormat="1" x14ac:dyDescent="0.3">
      <c r="A1552" s="888" t="str">
        <f>IF(LEN('Translation-EN'!A1552)&gt;0,'Translation-EN'!A1552,"")</f>
        <v>Range</v>
      </c>
      <c r="B1552" s="888" t="str">
        <f>IF(LEN('Translation-EN'!B1552)&gt;0,'Translation-EN'!B1552,"")</f>
        <v>Master sheet</v>
      </c>
      <c r="C1552" s="888" t="str">
        <f>IF(LEN('Translation-EN'!C1552)&gt;0,'Translation-EN'!C1552,"")</f>
        <v>AF1</v>
      </c>
      <c r="D1552" s="888" t="str">
        <f>IF(LEN('Translation-EN'!D1552)&gt;0,'Translation-EN'!D1552,"")</f>
        <v/>
      </c>
      <c r="E1552" s="893" t="s">
        <v>3255</v>
      </c>
      <c r="I1552" s="888"/>
      <c r="J1552" s="888"/>
      <c r="K1552" s="888"/>
      <c r="L1552" s="888"/>
      <c r="M1552" s="888"/>
      <c r="N1552" s="888"/>
      <c r="O1552" s="888"/>
      <c r="P1552" s="888"/>
      <c r="Q1552" s="888"/>
      <c r="R1552" s="888"/>
    </row>
    <row r="1553" spans="1:18" s="893" customFormat="1" x14ac:dyDescent="0.3">
      <c r="A1553" s="888" t="str">
        <f>IF(LEN('Translation-EN'!A1553)&gt;0,'Translation-EN'!A1553,"")</f>
        <v>Range</v>
      </c>
      <c r="B1553" s="888" t="str">
        <f>IF(LEN('Translation-EN'!B1553)&gt;0,'Translation-EN'!B1553,"")</f>
        <v>Master sheet</v>
      </c>
      <c r="C1553" s="888" t="str">
        <f>IF(LEN('Translation-EN'!C1553)&gt;0,'Translation-EN'!C1553,"")</f>
        <v>AG1</v>
      </c>
      <c r="D1553" s="888" t="str">
        <f>IF(LEN('Translation-EN'!D1553)&gt;0,'Translation-EN'!D1553,"")</f>
        <v/>
      </c>
      <c r="E1553" s="893" t="s">
        <v>3256</v>
      </c>
      <c r="I1553" s="888"/>
      <c r="J1553" s="888"/>
      <c r="K1553" s="888"/>
      <c r="L1553" s="888"/>
      <c r="M1553" s="888"/>
      <c r="N1553" s="888"/>
      <c r="O1553" s="888"/>
      <c r="P1553" s="888"/>
      <c r="Q1553" s="888"/>
      <c r="R1553" s="888"/>
    </row>
    <row r="1554" spans="1:18" s="893" customFormat="1" x14ac:dyDescent="0.3">
      <c r="A1554" s="888" t="str">
        <f>IF(LEN('Translation-EN'!A1554)&gt;0,'Translation-EN'!A1554,"")</f>
        <v>Range</v>
      </c>
      <c r="B1554" s="888" t="str">
        <f>IF(LEN('Translation-EN'!B1554)&gt;0,'Translation-EN'!B1554,"")</f>
        <v>Master sheet</v>
      </c>
      <c r="C1554" s="888" t="str">
        <f>IF(LEN('Translation-EN'!C1554)&gt;0,'Translation-EN'!C1554,"")</f>
        <v>AH1</v>
      </c>
      <c r="D1554" s="888" t="str">
        <f>IF(LEN('Translation-EN'!D1554)&gt;0,'Translation-EN'!D1554,"")</f>
        <v/>
      </c>
      <c r="E1554" s="893" t="s">
        <v>3257</v>
      </c>
      <c r="I1554" s="888"/>
      <c r="J1554" s="888"/>
      <c r="K1554" s="888"/>
      <c r="L1554" s="888"/>
      <c r="M1554" s="888"/>
      <c r="N1554" s="888"/>
      <c r="O1554" s="888"/>
      <c r="P1554" s="888"/>
      <c r="Q1554" s="888"/>
      <c r="R1554" s="888"/>
    </row>
    <row r="1555" spans="1:18" s="893" customFormat="1" x14ac:dyDescent="0.3">
      <c r="A1555" s="888" t="str">
        <f>IF(LEN('Translation-EN'!A1555)&gt;0,'Translation-EN'!A1555,"")</f>
        <v>Range</v>
      </c>
      <c r="B1555" s="888" t="str">
        <f>IF(LEN('Translation-EN'!B1555)&gt;0,'Translation-EN'!B1555,"")</f>
        <v>Master sheet</v>
      </c>
      <c r="C1555" s="888" t="str">
        <f>IF(LEN('Translation-EN'!C1555)&gt;0,'Translation-EN'!C1555,"")</f>
        <v>AI1</v>
      </c>
      <c r="D1555" s="888" t="str">
        <f>IF(LEN('Translation-EN'!D1555)&gt;0,'Translation-EN'!D1555,"")</f>
        <v/>
      </c>
      <c r="E1555" s="893" t="s">
        <v>3258</v>
      </c>
      <c r="I1555" s="888"/>
      <c r="J1555" s="888"/>
      <c r="K1555" s="888"/>
      <c r="L1555" s="888"/>
      <c r="M1555" s="888"/>
      <c r="N1555" s="888"/>
      <c r="O1555" s="888"/>
      <c r="P1555" s="888"/>
      <c r="Q1555" s="888"/>
      <c r="R1555" s="888"/>
    </row>
    <row r="1556" spans="1:18" s="893" customFormat="1" x14ac:dyDescent="0.3">
      <c r="A1556" s="888" t="str">
        <f>IF(LEN('Translation-EN'!A1556)&gt;0,'Translation-EN'!A1556,"")</f>
        <v>Range</v>
      </c>
      <c r="B1556" s="888" t="str">
        <f>IF(LEN('Translation-EN'!B1556)&gt;0,'Translation-EN'!B1556,"")</f>
        <v>Master sheet</v>
      </c>
      <c r="C1556" s="888" t="str">
        <f>IF(LEN('Translation-EN'!C1556)&gt;0,'Translation-EN'!C1556,"")</f>
        <v>AJ1</v>
      </c>
      <c r="D1556" s="888" t="str">
        <f>IF(LEN('Translation-EN'!D1556)&gt;0,'Translation-EN'!D1556,"")</f>
        <v/>
      </c>
      <c r="E1556" s="893" t="s">
        <v>3259</v>
      </c>
      <c r="I1556" s="888"/>
      <c r="J1556" s="888"/>
      <c r="K1556" s="888"/>
      <c r="L1556" s="888"/>
      <c r="M1556" s="888"/>
      <c r="N1556" s="888"/>
      <c r="O1556" s="888"/>
      <c r="P1556" s="888"/>
      <c r="Q1556" s="888"/>
      <c r="R1556" s="888"/>
    </row>
    <row r="1557" spans="1:18" s="893" customFormat="1" x14ac:dyDescent="0.3">
      <c r="A1557" s="888" t="str">
        <f>IF(LEN('Translation-EN'!A1557)&gt;0,'Translation-EN'!A1557,"")</f>
        <v>Range</v>
      </c>
      <c r="B1557" s="888" t="str">
        <f>IF(LEN('Translation-EN'!B1557)&gt;0,'Translation-EN'!B1557,"")</f>
        <v>Master sheet</v>
      </c>
      <c r="C1557" s="888" t="str">
        <f>IF(LEN('Translation-EN'!C1557)&gt;0,'Translation-EN'!C1557,"")</f>
        <v>AK1</v>
      </c>
      <c r="D1557" s="888" t="str">
        <f>IF(LEN('Translation-EN'!D1557)&gt;0,'Translation-EN'!D1557,"")</f>
        <v/>
      </c>
      <c r="E1557" s="893" t="s">
        <v>3260</v>
      </c>
      <c r="I1557" s="888"/>
      <c r="J1557" s="888"/>
      <c r="K1557" s="888"/>
      <c r="L1557" s="888"/>
      <c r="M1557" s="888"/>
      <c r="N1557" s="888"/>
      <c r="O1557" s="888"/>
      <c r="P1557" s="888"/>
      <c r="Q1557" s="888"/>
      <c r="R1557" s="888"/>
    </row>
    <row r="1558" spans="1:18" s="893" customFormat="1" x14ac:dyDescent="0.3">
      <c r="A1558" s="888" t="str">
        <f>IF(LEN('Translation-EN'!A1558)&gt;0,'Translation-EN'!A1558,"")</f>
        <v>Range</v>
      </c>
      <c r="B1558" s="888" t="str">
        <f>IF(LEN('Translation-EN'!B1558)&gt;0,'Translation-EN'!B1558,"")</f>
        <v>Master sheet</v>
      </c>
      <c r="C1558" s="888" t="str">
        <f>IF(LEN('Translation-EN'!C1558)&gt;0,'Translation-EN'!C1558,"")</f>
        <v>AL1</v>
      </c>
      <c r="D1558" s="888" t="str">
        <f>IF(LEN('Translation-EN'!D1558)&gt;0,'Translation-EN'!D1558,"")</f>
        <v/>
      </c>
      <c r="E1558" s="893" t="s">
        <v>3261</v>
      </c>
      <c r="I1558" s="888"/>
      <c r="J1558" s="888"/>
      <c r="K1558" s="888"/>
      <c r="L1558" s="888"/>
      <c r="M1558" s="888"/>
      <c r="N1558" s="888"/>
      <c r="O1558" s="888"/>
      <c r="P1558" s="888"/>
      <c r="Q1558" s="888"/>
      <c r="R1558" s="888"/>
    </row>
    <row r="1559" spans="1:18" s="893" customFormat="1" x14ac:dyDescent="0.3">
      <c r="A1559" s="888" t="str">
        <f>IF(LEN('Translation-EN'!A1559)&gt;0,'Translation-EN'!A1559,"")</f>
        <v>Range</v>
      </c>
      <c r="B1559" s="888" t="str">
        <f>IF(LEN('Translation-EN'!B1559)&gt;0,'Translation-EN'!B1559,"")</f>
        <v>Master sheet</v>
      </c>
      <c r="C1559" s="888" t="str">
        <f>IF(LEN('Translation-EN'!C1559)&gt;0,'Translation-EN'!C1559,"")</f>
        <v>AP1</v>
      </c>
      <c r="D1559" s="888" t="str">
        <f>IF(LEN('Translation-EN'!D1559)&gt;0,'Translation-EN'!D1559,"")</f>
        <v>qqq</v>
      </c>
      <c r="E1559" s="893" t="s">
        <v>3262</v>
      </c>
      <c r="I1559" s="888"/>
      <c r="J1559" s="888"/>
      <c r="K1559" s="888"/>
      <c r="L1559" s="888"/>
      <c r="M1559" s="888"/>
      <c r="N1559" s="888"/>
      <c r="O1559" s="888"/>
      <c r="P1559" s="888"/>
      <c r="Q1559" s="888"/>
      <c r="R1559" s="888"/>
    </row>
    <row r="1560" spans="1:18" s="893" customFormat="1" x14ac:dyDescent="0.3">
      <c r="A1560" s="888" t="str">
        <f>IF(LEN('Translation-EN'!A1560)&gt;0,'Translation-EN'!A1560,"")</f>
        <v>Range</v>
      </c>
      <c r="B1560" s="888" t="str">
        <f>IF(LEN('Translation-EN'!B1560)&gt;0,'Translation-EN'!B1560,"")</f>
        <v>Master sheet</v>
      </c>
      <c r="C1560" s="888" t="str">
        <f>IF(LEN('Translation-EN'!C1560)&gt;0,'Translation-EN'!C1560,"")</f>
        <v>B2</v>
      </c>
      <c r="D1560" s="888" t="str">
        <f>IF(LEN('Translation-EN'!D1560)&gt;0,'Translation-EN'!D1560,"")</f>
        <v/>
      </c>
      <c r="E1560" s="893" t="s">
        <v>6135</v>
      </c>
      <c r="I1560" s="888"/>
      <c r="J1560" s="888"/>
      <c r="K1560" s="888"/>
      <c r="L1560" s="888"/>
      <c r="M1560" s="888"/>
      <c r="N1560" s="888"/>
      <c r="O1560" s="888"/>
      <c r="P1560" s="888"/>
      <c r="Q1560" s="888"/>
      <c r="R1560" s="888"/>
    </row>
    <row r="1561" spans="1:18" s="893" customFormat="1" x14ac:dyDescent="0.3">
      <c r="A1561" s="888" t="str">
        <f>IF(LEN('Translation-EN'!A1561)&gt;0,'Translation-EN'!A1561,"")</f>
        <v>Range</v>
      </c>
      <c r="B1561" s="888" t="str">
        <f>IF(LEN('Translation-EN'!B1561)&gt;0,'Translation-EN'!B1561,"")</f>
        <v>Master sheet</v>
      </c>
      <c r="C1561" s="888" t="str">
        <f>IF(LEN('Translation-EN'!C1561)&gt;0,'Translation-EN'!C1561,"")</f>
        <v>B3</v>
      </c>
      <c r="D1561" s="888" t="str">
        <f>IF(LEN('Translation-EN'!D1561)&gt;0,'Translation-EN'!D1561,"")</f>
        <v/>
      </c>
      <c r="E1561" s="893" t="s">
        <v>6136</v>
      </c>
      <c r="I1561" s="888"/>
      <c r="J1561" s="888"/>
      <c r="K1561" s="888"/>
      <c r="L1561" s="888"/>
      <c r="M1561" s="888"/>
      <c r="N1561" s="888"/>
      <c r="O1561" s="888"/>
      <c r="P1561" s="888"/>
      <c r="Q1561" s="888"/>
      <c r="R1561" s="888"/>
    </row>
    <row r="1562" spans="1:18" s="893" customFormat="1" x14ac:dyDescent="0.3">
      <c r="A1562" s="888" t="str">
        <f>IF(LEN('Translation-EN'!A1562)&gt;0,'Translation-EN'!A1562,"")</f>
        <v>Range</v>
      </c>
      <c r="B1562" s="888" t="str">
        <f>IF(LEN('Translation-EN'!B1562)&gt;0,'Translation-EN'!B1562,"")</f>
        <v>Master sheet</v>
      </c>
      <c r="C1562" s="888" t="str">
        <f>IF(LEN('Translation-EN'!C1562)&gt;0,'Translation-EN'!C1562,"")</f>
        <v>D3</v>
      </c>
      <c r="D1562" s="888" t="str">
        <f>IF(LEN('Translation-EN'!D1562)&gt;0,'Translation-EN'!D1562,"")</f>
        <v/>
      </c>
      <c r="E1562" s="893" t="s">
        <v>6137</v>
      </c>
      <c r="I1562" s="888"/>
      <c r="J1562" s="888"/>
      <c r="K1562" s="888"/>
      <c r="L1562" s="888"/>
      <c r="M1562" s="888"/>
      <c r="N1562" s="888"/>
      <c r="O1562" s="888"/>
      <c r="P1562" s="888"/>
      <c r="Q1562" s="888"/>
      <c r="R1562" s="888"/>
    </row>
    <row r="1563" spans="1:18" s="893" customFormat="1" x14ac:dyDescent="0.3">
      <c r="A1563" s="888" t="str">
        <f>IF(LEN('Translation-EN'!A1563)&gt;0,'Translation-EN'!A1563,"")</f>
        <v>Range</v>
      </c>
      <c r="B1563" s="888" t="str">
        <f>IF(LEN('Translation-EN'!B1563)&gt;0,'Translation-EN'!B1563,"")</f>
        <v>Master sheet</v>
      </c>
      <c r="C1563" s="888" t="str">
        <f>IF(LEN('Translation-EN'!C1563)&gt;0,'Translation-EN'!C1563,"")</f>
        <v>E3</v>
      </c>
      <c r="D1563" s="888" t="str">
        <f>IF(LEN('Translation-EN'!D1563)&gt;0,'Translation-EN'!D1563,"")</f>
        <v/>
      </c>
      <c r="E1563" s="893" t="s">
        <v>6138</v>
      </c>
      <c r="I1563" s="888"/>
      <c r="J1563" s="888"/>
      <c r="K1563" s="888"/>
      <c r="L1563" s="888"/>
      <c r="M1563" s="888"/>
      <c r="N1563" s="888"/>
      <c r="O1563" s="888"/>
      <c r="P1563" s="888"/>
      <c r="Q1563" s="888"/>
      <c r="R1563" s="888"/>
    </row>
    <row r="1564" spans="1:18" s="893" customFormat="1" x14ac:dyDescent="0.3">
      <c r="A1564" s="888" t="str">
        <f>IF(LEN('Translation-EN'!A1564)&gt;0,'Translation-EN'!A1564,"")</f>
        <v>Range</v>
      </c>
      <c r="B1564" s="888" t="str">
        <f>IF(LEN('Translation-EN'!B1564)&gt;0,'Translation-EN'!B1564,"")</f>
        <v>Master sheet</v>
      </c>
      <c r="C1564" s="888" t="str">
        <f>IF(LEN('Translation-EN'!C1564)&gt;0,'Translation-EN'!C1564,"")</f>
        <v>B4</v>
      </c>
      <c r="D1564" s="888" t="str">
        <f>IF(LEN('Translation-EN'!D1564)&gt;0,'Translation-EN'!D1564,"")</f>
        <v/>
      </c>
      <c r="E1564" s="893" t="s">
        <v>6139</v>
      </c>
      <c r="I1564" s="888"/>
      <c r="J1564" s="888"/>
      <c r="K1564" s="888"/>
      <c r="L1564" s="888"/>
      <c r="M1564" s="888"/>
      <c r="N1564" s="888"/>
      <c r="O1564" s="888"/>
      <c r="P1564" s="888"/>
      <c r="Q1564" s="888"/>
      <c r="R1564" s="888"/>
    </row>
    <row r="1565" spans="1:18" s="893" customFormat="1" x14ac:dyDescent="0.3">
      <c r="A1565" s="888" t="str">
        <f>IF(LEN('Translation-EN'!A1565)&gt;0,'Translation-EN'!A1565,"")</f>
        <v>Range</v>
      </c>
      <c r="B1565" s="888" t="str">
        <f>IF(LEN('Translation-EN'!B1565)&gt;0,'Translation-EN'!B1565,"")</f>
        <v>Master sheet</v>
      </c>
      <c r="C1565" s="888" t="str">
        <f>IF(LEN('Translation-EN'!C1565)&gt;0,'Translation-EN'!C1565,"")</f>
        <v>C4</v>
      </c>
      <c r="D1565" s="888" t="str">
        <f>IF(LEN('Translation-EN'!D1565)&gt;0,'Translation-EN'!D1565,"")</f>
        <v/>
      </c>
      <c r="E1565" s="893" t="s">
        <v>132</v>
      </c>
      <c r="I1565" s="888"/>
      <c r="J1565" s="888"/>
      <c r="K1565" s="888"/>
      <c r="L1565" s="888"/>
      <c r="M1565" s="888"/>
      <c r="N1565" s="888"/>
      <c r="O1565" s="888"/>
      <c r="P1565" s="888"/>
      <c r="Q1565" s="888"/>
      <c r="R1565" s="888"/>
    </row>
    <row r="1566" spans="1:18" s="893" customFormat="1" x14ac:dyDescent="0.3">
      <c r="A1566" s="888" t="str">
        <f>IF(LEN('Translation-EN'!A1566)&gt;0,'Translation-EN'!A1566,"")</f>
        <v>Range</v>
      </c>
      <c r="B1566" s="888" t="str">
        <f>IF(LEN('Translation-EN'!B1566)&gt;0,'Translation-EN'!B1566,"")</f>
        <v>Master sheet</v>
      </c>
      <c r="C1566" s="888" t="str">
        <f>IF(LEN('Translation-EN'!C1566)&gt;0,'Translation-EN'!C1566,"")</f>
        <v>E4</v>
      </c>
      <c r="D1566" s="888" t="str">
        <f>IF(LEN('Translation-EN'!D1566)&gt;0,'Translation-EN'!D1566,"")</f>
        <v/>
      </c>
      <c r="E1566" s="893" t="s">
        <v>6140</v>
      </c>
      <c r="I1566" s="888"/>
      <c r="J1566" s="888"/>
      <c r="K1566" s="888"/>
      <c r="L1566" s="888"/>
      <c r="M1566" s="888"/>
      <c r="N1566" s="888"/>
      <c r="O1566" s="888"/>
      <c r="P1566" s="888"/>
      <c r="Q1566" s="888"/>
      <c r="R1566" s="888"/>
    </row>
    <row r="1567" spans="1:18" s="893" customFormat="1" x14ac:dyDescent="0.3">
      <c r="A1567" s="888" t="str">
        <f>IF(LEN('Translation-EN'!A1567)&gt;0,'Translation-EN'!A1567,"")</f>
        <v>Range</v>
      </c>
      <c r="B1567" s="888" t="str">
        <f>IF(LEN('Translation-EN'!B1567)&gt;0,'Translation-EN'!B1567,"")</f>
        <v>Master sheet</v>
      </c>
      <c r="C1567" s="888" t="str">
        <f>IF(LEN('Translation-EN'!C1567)&gt;0,'Translation-EN'!C1567,"")</f>
        <v>B5</v>
      </c>
      <c r="D1567" s="888" t="str">
        <f>IF(LEN('Translation-EN'!D1567)&gt;0,'Translation-EN'!D1567,"")</f>
        <v/>
      </c>
      <c r="E1567" s="893" t="s">
        <v>6141</v>
      </c>
      <c r="I1567" s="888"/>
      <c r="J1567" s="888"/>
      <c r="K1567" s="888"/>
      <c r="L1567" s="888"/>
      <c r="M1567" s="888"/>
      <c r="N1567" s="888"/>
      <c r="O1567" s="888"/>
      <c r="P1567" s="888"/>
      <c r="Q1567" s="888"/>
      <c r="R1567" s="888"/>
    </row>
    <row r="1568" spans="1:18" s="893" customFormat="1" x14ac:dyDescent="0.3">
      <c r="A1568" s="888" t="str">
        <f>IF(LEN('Translation-EN'!A1568)&gt;0,'Translation-EN'!A1568,"")</f>
        <v>Range</v>
      </c>
      <c r="B1568" s="888" t="str">
        <f>IF(LEN('Translation-EN'!B1568)&gt;0,'Translation-EN'!B1568,"")</f>
        <v>Master sheet</v>
      </c>
      <c r="C1568" s="888" t="str">
        <f>IF(LEN('Translation-EN'!C1568)&gt;0,'Translation-EN'!C1568,"")</f>
        <v>E5</v>
      </c>
      <c r="D1568" s="888" t="str">
        <f>IF(LEN('Translation-EN'!D1568)&gt;0,'Translation-EN'!D1568,"")</f>
        <v/>
      </c>
      <c r="E1568" s="893" t="s">
        <v>6142</v>
      </c>
      <c r="I1568" s="888"/>
      <c r="J1568" s="888"/>
      <c r="K1568" s="888"/>
      <c r="L1568" s="888"/>
      <c r="M1568" s="888"/>
      <c r="N1568" s="888"/>
      <c r="O1568" s="888"/>
      <c r="P1568" s="888"/>
      <c r="Q1568" s="888"/>
      <c r="R1568" s="888"/>
    </row>
    <row r="1569" spans="1:18" s="893" customFormat="1" x14ac:dyDescent="0.3">
      <c r="A1569" s="888" t="str">
        <f>IF(LEN('Translation-EN'!A1569)&gt;0,'Translation-EN'!A1569,"")</f>
        <v>Range</v>
      </c>
      <c r="B1569" s="888" t="str">
        <f>IF(LEN('Translation-EN'!B1569)&gt;0,'Translation-EN'!B1569,"")</f>
        <v>Master sheet</v>
      </c>
      <c r="C1569" s="888" t="str">
        <f>IF(LEN('Translation-EN'!C1569)&gt;0,'Translation-EN'!C1569,"")</f>
        <v>B14</v>
      </c>
      <c r="D1569" s="888" t="str">
        <f>IF(LEN('Translation-EN'!D1569)&gt;0,'Translation-EN'!D1569,"")</f>
        <v/>
      </c>
      <c r="E1569" s="893" t="s">
        <v>6143</v>
      </c>
      <c r="I1569" s="888"/>
      <c r="J1569" s="888"/>
      <c r="K1569" s="888"/>
      <c r="L1569" s="888"/>
      <c r="M1569" s="888"/>
      <c r="N1569" s="888"/>
      <c r="O1569" s="888"/>
      <c r="P1569" s="888"/>
      <c r="Q1569" s="888"/>
      <c r="R1569" s="888"/>
    </row>
    <row r="1570" spans="1:18" s="893" customFormat="1" x14ac:dyDescent="0.3">
      <c r="A1570" s="888" t="str">
        <f>IF(LEN('Translation-EN'!A1570)&gt;0,'Translation-EN'!A1570,"")</f>
        <v>Range</v>
      </c>
      <c r="B1570" s="888" t="str">
        <f>IF(LEN('Translation-EN'!B1570)&gt;0,'Translation-EN'!B1570,"")</f>
        <v>Master sheet</v>
      </c>
      <c r="C1570" s="888" t="str">
        <f>IF(LEN('Translation-EN'!C1570)&gt;0,'Translation-EN'!C1570,"")</f>
        <v>C14</v>
      </c>
      <c r="D1570" s="888" t="str">
        <f>IF(LEN('Translation-EN'!D1570)&gt;0,'Translation-EN'!D1570,"")</f>
        <v/>
      </c>
      <c r="E1570" s="893" t="s">
        <v>6144</v>
      </c>
      <c r="I1570" s="888"/>
      <c r="J1570" s="888"/>
      <c r="K1570" s="888"/>
      <c r="L1570" s="888"/>
      <c r="M1570" s="888"/>
      <c r="N1570" s="888"/>
      <c r="O1570" s="888"/>
      <c r="P1570" s="888"/>
      <c r="Q1570" s="888"/>
      <c r="R1570" s="888"/>
    </row>
    <row r="1571" spans="1:18" s="893" customFormat="1" x14ac:dyDescent="0.3">
      <c r="A1571" s="888" t="str">
        <f>IF(LEN('Translation-EN'!A1571)&gt;0,'Translation-EN'!A1571,"")</f>
        <v>Range</v>
      </c>
      <c r="B1571" s="888" t="str">
        <f>IF(LEN('Translation-EN'!B1571)&gt;0,'Translation-EN'!B1571,"")</f>
        <v>Master sheet</v>
      </c>
      <c r="C1571" s="888" t="str">
        <f>IF(LEN('Translation-EN'!C1571)&gt;0,'Translation-EN'!C1571,"")</f>
        <v>D14</v>
      </c>
      <c r="D1571" s="888" t="str">
        <f>IF(LEN('Translation-EN'!D1571)&gt;0,'Translation-EN'!D1571,"")</f>
        <v/>
      </c>
      <c r="E1571" s="893" t="s">
        <v>6145</v>
      </c>
      <c r="I1571" s="888"/>
      <c r="J1571" s="888"/>
      <c r="K1571" s="888"/>
      <c r="L1571" s="888"/>
      <c r="M1571" s="888"/>
      <c r="N1571" s="888"/>
      <c r="O1571" s="888"/>
      <c r="P1571" s="888"/>
      <c r="Q1571" s="888"/>
      <c r="R1571" s="888"/>
    </row>
    <row r="1572" spans="1:18" s="893" customFormat="1" x14ac:dyDescent="0.3">
      <c r="A1572" s="888" t="str">
        <f>IF(LEN('Translation-EN'!A1572)&gt;0,'Translation-EN'!A1572,"")</f>
        <v>Range</v>
      </c>
      <c r="B1572" s="888" t="str">
        <f>IF(LEN('Translation-EN'!B1572)&gt;0,'Translation-EN'!B1572,"")</f>
        <v>Master sheet</v>
      </c>
      <c r="C1572" s="888" t="str">
        <f>IF(LEN('Translation-EN'!C1572)&gt;0,'Translation-EN'!C1572,"")</f>
        <v>B15</v>
      </c>
      <c r="D1572" s="888" t="str">
        <f>IF(LEN('Translation-EN'!D1572)&gt;0,'Translation-EN'!D1572,"")</f>
        <v/>
      </c>
      <c r="E1572" s="893" t="str">
        <f>$E$1569</f>
        <v>Bardeaux d’asphalte</v>
      </c>
      <c r="I1572" s="888"/>
      <c r="J1572" s="888"/>
      <c r="K1572" s="888"/>
      <c r="L1572" s="888"/>
      <c r="M1572" s="888"/>
      <c r="N1572" s="888"/>
      <c r="O1572" s="888"/>
      <c r="P1572" s="888"/>
      <c r="Q1572" s="888"/>
      <c r="R1572" s="888"/>
    </row>
    <row r="1573" spans="1:18" s="893" customFormat="1" x14ac:dyDescent="0.3">
      <c r="A1573" s="888" t="str">
        <f>IF(LEN('Translation-EN'!A1573)&gt;0,'Translation-EN'!A1573,"")</f>
        <v>Range</v>
      </c>
      <c r="B1573" s="888" t="str">
        <f>IF(LEN('Translation-EN'!B1573)&gt;0,'Translation-EN'!B1573,"")</f>
        <v>Master sheet</v>
      </c>
      <c r="C1573" s="888" t="str">
        <f>IF(LEN('Translation-EN'!C1573)&gt;0,'Translation-EN'!C1573,"")</f>
        <v>C15</v>
      </c>
      <c r="D1573" s="888" t="str">
        <f>IF(LEN('Translation-EN'!D1573)&gt;0,'Translation-EN'!D1573,"")</f>
        <v/>
      </c>
      <c r="E1573" s="893" t="s">
        <v>4107</v>
      </c>
      <c r="I1573" s="888"/>
      <c r="J1573" s="888"/>
      <c r="K1573" s="888"/>
      <c r="L1573" s="888"/>
      <c r="M1573" s="888"/>
      <c r="N1573" s="888"/>
      <c r="O1573" s="888"/>
      <c r="P1573" s="888"/>
      <c r="Q1573" s="888"/>
      <c r="R1573" s="888"/>
    </row>
    <row r="1574" spans="1:18" s="893" customFormat="1" x14ac:dyDescent="0.3">
      <c r="A1574" s="888" t="str">
        <f>IF(LEN('Translation-EN'!A1574)&gt;0,'Translation-EN'!A1574,"")</f>
        <v>Range</v>
      </c>
      <c r="B1574" s="888" t="str">
        <f>IF(LEN('Translation-EN'!B1574)&gt;0,'Translation-EN'!B1574,"")</f>
        <v>Master sheet</v>
      </c>
      <c r="C1574" s="888" t="str">
        <f>IF(LEN('Translation-EN'!C1574)&gt;0,'Translation-EN'!C1574,"")</f>
        <v>D15</v>
      </c>
      <c r="D1574" s="888" t="str">
        <f>IF(LEN('Translation-EN'!D1574)&gt;0,'Translation-EN'!D1574,"")</f>
        <v/>
      </c>
      <c r="E1574" s="893" t="s">
        <v>4108</v>
      </c>
      <c r="I1574" s="888"/>
      <c r="J1574" s="888"/>
      <c r="K1574" s="888"/>
      <c r="L1574" s="888"/>
      <c r="M1574" s="888"/>
      <c r="N1574" s="888"/>
      <c r="O1574" s="888"/>
      <c r="P1574" s="888"/>
      <c r="Q1574" s="888"/>
      <c r="R1574" s="888"/>
    </row>
    <row r="1575" spans="1:18" s="893" customFormat="1" x14ac:dyDescent="0.3">
      <c r="A1575" s="888" t="str">
        <f>IF(LEN('Translation-EN'!A1575)&gt;0,'Translation-EN'!A1575,"")</f>
        <v>Range</v>
      </c>
      <c r="B1575" s="888" t="str">
        <f>IF(LEN('Translation-EN'!B1575)&gt;0,'Translation-EN'!B1575,"")</f>
        <v>Master sheet</v>
      </c>
      <c r="C1575" s="888" t="str">
        <f>IF(LEN('Translation-EN'!C1575)&gt;0,'Translation-EN'!C1575,"")</f>
        <v>B16</v>
      </c>
      <c r="D1575" s="888" t="str">
        <f>IF(LEN('Translation-EN'!D1575)&gt;0,'Translation-EN'!D1575,"")</f>
        <v/>
      </c>
      <c r="E1575" s="893" t="str">
        <f>$E$1569</f>
        <v>Bardeaux d’asphalte</v>
      </c>
      <c r="I1575" s="888"/>
      <c r="J1575" s="888"/>
      <c r="K1575" s="888"/>
      <c r="L1575" s="888"/>
      <c r="M1575" s="888"/>
      <c r="N1575" s="888"/>
      <c r="O1575" s="888"/>
      <c r="P1575" s="888"/>
      <c r="Q1575" s="888"/>
      <c r="R1575" s="888"/>
    </row>
    <row r="1576" spans="1:18" s="893" customFormat="1" x14ac:dyDescent="0.3">
      <c r="A1576" s="888" t="str">
        <f>IF(LEN('Translation-EN'!A1576)&gt;0,'Translation-EN'!A1576,"")</f>
        <v>Range</v>
      </c>
      <c r="B1576" s="888" t="str">
        <f>IF(LEN('Translation-EN'!B1576)&gt;0,'Translation-EN'!B1576,"")</f>
        <v>Master sheet</v>
      </c>
      <c r="C1576" s="888" t="str">
        <f>IF(LEN('Translation-EN'!C1576)&gt;0,'Translation-EN'!C1576,"")</f>
        <v>C16</v>
      </c>
      <c r="D1576" s="888" t="str">
        <f>IF(LEN('Translation-EN'!D1576)&gt;0,'Translation-EN'!D1576,"")</f>
        <v/>
      </c>
      <c r="E1576" s="893" t="str">
        <f>$E$1573</f>
        <v>Malarkey Roofing</v>
      </c>
      <c r="I1576" s="888"/>
      <c r="J1576" s="888"/>
      <c r="K1576" s="888"/>
      <c r="L1576" s="888"/>
      <c r="M1576" s="888"/>
      <c r="N1576" s="888"/>
      <c r="O1576" s="888"/>
      <c r="P1576" s="888"/>
      <c r="Q1576" s="888"/>
      <c r="R1576" s="888"/>
    </row>
    <row r="1577" spans="1:18" s="893" customFormat="1" x14ac:dyDescent="0.3">
      <c r="A1577" s="888" t="str">
        <f>IF(LEN('Translation-EN'!A1577)&gt;0,'Translation-EN'!A1577,"")</f>
        <v>Range</v>
      </c>
      <c r="B1577" s="888" t="str">
        <f>IF(LEN('Translation-EN'!B1577)&gt;0,'Translation-EN'!B1577,"")</f>
        <v>Master sheet</v>
      </c>
      <c r="C1577" s="888" t="str">
        <f>IF(LEN('Translation-EN'!C1577)&gt;0,'Translation-EN'!C1577,"")</f>
        <v>D16</v>
      </c>
      <c r="D1577" s="888" t="str">
        <f>IF(LEN('Translation-EN'!D1577)&gt;0,'Translation-EN'!D1577,"")</f>
        <v/>
      </c>
      <c r="E1577" s="893" t="s">
        <v>4110</v>
      </c>
      <c r="I1577" s="888"/>
      <c r="J1577" s="888"/>
      <c r="K1577" s="888"/>
      <c r="L1577" s="888"/>
      <c r="M1577" s="888"/>
      <c r="N1577" s="888"/>
      <c r="O1577" s="888"/>
      <c r="P1577" s="888"/>
      <c r="Q1577" s="888"/>
      <c r="R1577" s="888"/>
    </row>
    <row r="1578" spans="1:18" s="893" customFormat="1" x14ac:dyDescent="0.3">
      <c r="A1578" s="888" t="str">
        <f>IF(LEN('Translation-EN'!A1578)&gt;0,'Translation-EN'!A1578,"")</f>
        <v>Range</v>
      </c>
      <c r="B1578" s="888" t="str">
        <f>IF(LEN('Translation-EN'!B1578)&gt;0,'Translation-EN'!B1578,"")</f>
        <v>Master sheet</v>
      </c>
      <c r="C1578" s="888" t="str">
        <f>IF(LEN('Translation-EN'!C1578)&gt;0,'Translation-EN'!C1578,"")</f>
        <v>B17</v>
      </c>
      <c r="D1578" s="888" t="str">
        <f>IF(LEN('Translation-EN'!D1578)&gt;0,'Translation-EN'!D1578,"")</f>
        <v/>
      </c>
      <c r="E1578" s="893" t="str">
        <f>$E$1569</f>
        <v>Bardeaux d’asphalte</v>
      </c>
      <c r="I1578" s="888"/>
      <c r="J1578" s="888"/>
      <c r="K1578" s="888"/>
      <c r="L1578" s="888"/>
      <c r="M1578" s="888"/>
      <c r="N1578" s="888"/>
      <c r="O1578" s="888"/>
      <c r="P1578" s="888"/>
      <c r="Q1578" s="888"/>
      <c r="R1578" s="888"/>
    </row>
    <row r="1579" spans="1:18" s="893" customFormat="1" x14ac:dyDescent="0.3">
      <c r="A1579" s="888" t="str">
        <f>IF(LEN('Translation-EN'!A1579)&gt;0,'Translation-EN'!A1579,"")</f>
        <v>Range</v>
      </c>
      <c r="B1579" s="888" t="str">
        <f>IF(LEN('Translation-EN'!B1579)&gt;0,'Translation-EN'!B1579,"")</f>
        <v>Master sheet</v>
      </c>
      <c r="C1579" s="888" t="str">
        <f>IF(LEN('Translation-EN'!C1579)&gt;0,'Translation-EN'!C1579,"")</f>
        <v>C17</v>
      </c>
      <c r="D1579" s="888" t="str">
        <f>IF(LEN('Translation-EN'!D1579)&gt;0,'Translation-EN'!D1579,"")</f>
        <v/>
      </c>
      <c r="E1579" s="893" t="str">
        <f>$E$1573</f>
        <v>Malarkey Roofing</v>
      </c>
      <c r="I1579" s="888"/>
      <c r="J1579" s="888"/>
      <c r="K1579" s="888"/>
      <c r="L1579" s="888"/>
      <c r="M1579" s="888"/>
      <c r="N1579" s="888"/>
      <c r="O1579" s="888"/>
      <c r="P1579" s="888"/>
      <c r="Q1579" s="888"/>
      <c r="R1579" s="888"/>
    </row>
    <row r="1580" spans="1:18" s="893" customFormat="1" x14ac:dyDescent="0.3">
      <c r="A1580" s="888" t="str">
        <f>IF(LEN('Translation-EN'!A1580)&gt;0,'Translation-EN'!A1580,"")</f>
        <v>Range</v>
      </c>
      <c r="B1580" s="888" t="str">
        <f>IF(LEN('Translation-EN'!B1580)&gt;0,'Translation-EN'!B1580,"")</f>
        <v>Master sheet</v>
      </c>
      <c r="C1580" s="888" t="str">
        <f>IF(LEN('Translation-EN'!C1580)&gt;0,'Translation-EN'!C1580,"")</f>
        <v>D17</v>
      </c>
      <c r="D1580" s="888" t="str">
        <f>IF(LEN('Translation-EN'!D1580)&gt;0,'Translation-EN'!D1580,"")</f>
        <v/>
      </c>
      <c r="E1580" s="893" t="s">
        <v>4111</v>
      </c>
      <c r="I1580" s="888"/>
      <c r="J1580" s="888"/>
      <c r="K1580" s="888"/>
      <c r="L1580" s="888"/>
      <c r="M1580" s="888"/>
      <c r="N1580" s="888"/>
      <c r="O1580" s="888"/>
      <c r="P1580" s="888"/>
      <c r="Q1580" s="888"/>
      <c r="R1580" s="888"/>
    </row>
    <row r="1581" spans="1:18" s="893" customFormat="1" x14ac:dyDescent="0.3">
      <c r="A1581" s="888" t="str">
        <f>IF(LEN('Translation-EN'!A1581)&gt;0,'Translation-EN'!A1581,"")</f>
        <v>Range</v>
      </c>
      <c r="B1581" s="888" t="str">
        <f>IF(LEN('Translation-EN'!B1581)&gt;0,'Translation-EN'!B1581,"")</f>
        <v>Master sheet</v>
      </c>
      <c r="C1581" s="888" t="str">
        <f>IF(LEN('Translation-EN'!C1581)&gt;0,'Translation-EN'!C1581,"")</f>
        <v>B18</v>
      </c>
      <c r="D1581" s="888" t="str">
        <f>IF(LEN('Translation-EN'!D1581)&gt;0,'Translation-EN'!D1581,"")</f>
        <v/>
      </c>
      <c r="E1581" s="893" t="str">
        <f>$E$1569</f>
        <v>Bardeaux d’asphalte</v>
      </c>
      <c r="I1581" s="888"/>
      <c r="J1581" s="888"/>
      <c r="K1581" s="888"/>
      <c r="L1581" s="888"/>
      <c r="M1581" s="888"/>
      <c r="N1581" s="888"/>
      <c r="O1581" s="888"/>
      <c r="P1581" s="888"/>
      <c r="Q1581" s="888"/>
      <c r="R1581" s="888"/>
    </row>
    <row r="1582" spans="1:18" s="893" customFormat="1" x14ac:dyDescent="0.3">
      <c r="A1582" s="888" t="str">
        <f>IF(LEN('Translation-EN'!A1582)&gt;0,'Translation-EN'!A1582,"")</f>
        <v>Range</v>
      </c>
      <c r="B1582" s="888" t="str">
        <f>IF(LEN('Translation-EN'!B1582)&gt;0,'Translation-EN'!B1582,"")</f>
        <v>Master sheet</v>
      </c>
      <c r="C1582" s="888" t="str">
        <f>IF(LEN('Translation-EN'!C1582)&gt;0,'Translation-EN'!C1582,"")</f>
        <v>C18</v>
      </c>
      <c r="D1582" s="888" t="str">
        <f>IF(LEN('Translation-EN'!D1582)&gt;0,'Translation-EN'!D1582,"")</f>
        <v/>
      </c>
      <c r="E1582" s="893" t="str">
        <f>$E$1573</f>
        <v>Malarkey Roofing</v>
      </c>
      <c r="I1582" s="888"/>
      <c r="J1582" s="888"/>
      <c r="K1582" s="888"/>
      <c r="L1582" s="888"/>
      <c r="M1582" s="888"/>
      <c r="N1582" s="888"/>
      <c r="O1582" s="888"/>
      <c r="P1582" s="888"/>
      <c r="Q1582" s="888"/>
      <c r="R1582" s="888"/>
    </row>
    <row r="1583" spans="1:18" s="893" customFormat="1" x14ac:dyDescent="0.3">
      <c r="A1583" s="888" t="str">
        <f>IF(LEN('Translation-EN'!A1583)&gt;0,'Translation-EN'!A1583,"")</f>
        <v>Range</v>
      </c>
      <c r="B1583" s="888" t="str">
        <f>IF(LEN('Translation-EN'!B1583)&gt;0,'Translation-EN'!B1583,"")</f>
        <v>Master sheet</v>
      </c>
      <c r="C1583" s="888" t="str">
        <f>IF(LEN('Translation-EN'!C1583)&gt;0,'Translation-EN'!C1583,"")</f>
        <v>D18</v>
      </c>
      <c r="D1583" s="888" t="str">
        <f>IF(LEN('Translation-EN'!D1583)&gt;0,'Translation-EN'!D1583,"")</f>
        <v/>
      </c>
      <c r="E1583" s="893" t="s">
        <v>4113</v>
      </c>
      <c r="I1583" s="888"/>
      <c r="J1583" s="888"/>
      <c r="K1583" s="888"/>
      <c r="L1583" s="888"/>
      <c r="M1583" s="888"/>
      <c r="N1583" s="888"/>
      <c r="O1583" s="888"/>
      <c r="P1583" s="888"/>
      <c r="Q1583" s="888"/>
      <c r="R1583" s="888"/>
    </row>
    <row r="1584" spans="1:18" s="893" customFormat="1" x14ac:dyDescent="0.3">
      <c r="A1584" s="888" t="str">
        <f>IF(LEN('Translation-EN'!A1584)&gt;0,'Translation-EN'!A1584,"")</f>
        <v>Range</v>
      </c>
      <c r="B1584" s="888" t="str">
        <f>IF(LEN('Translation-EN'!B1584)&gt;0,'Translation-EN'!B1584,"")</f>
        <v>Master sheet</v>
      </c>
      <c r="C1584" s="888" t="str">
        <f>IF(LEN('Translation-EN'!C1584)&gt;0,'Translation-EN'!C1584,"")</f>
        <v>B19</v>
      </c>
      <c r="D1584" s="888" t="str">
        <f>IF(LEN('Translation-EN'!D1584)&gt;0,'Translation-EN'!D1584,"")</f>
        <v/>
      </c>
      <c r="E1584" s="893" t="str">
        <f>$E$1569</f>
        <v>Bardeaux d’asphalte</v>
      </c>
      <c r="I1584" s="888"/>
      <c r="J1584" s="888"/>
      <c r="K1584" s="888"/>
      <c r="L1584" s="888"/>
      <c r="M1584" s="888"/>
      <c r="N1584" s="888"/>
      <c r="O1584" s="888"/>
      <c r="P1584" s="888"/>
      <c r="Q1584" s="888"/>
      <c r="R1584" s="888"/>
    </row>
    <row r="1585" spans="1:18" s="893" customFormat="1" x14ac:dyDescent="0.3">
      <c r="A1585" s="888" t="str">
        <f>IF(LEN('Translation-EN'!A1585)&gt;0,'Translation-EN'!A1585,"")</f>
        <v>Range</v>
      </c>
      <c r="B1585" s="888" t="str">
        <f>IF(LEN('Translation-EN'!B1585)&gt;0,'Translation-EN'!B1585,"")</f>
        <v>Master sheet</v>
      </c>
      <c r="C1585" s="888" t="str">
        <f>IF(LEN('Translation-EN'!C1585)&gt;0,'Translation-EN'!C1585,"")</f>
        <v>C19</v>
      </c>
      <c r="D1585" s="888" t="str">
        <f>IF(LEN('Translation-EN'!D1585)&gt;0,'Translation-EN'!D1585,"")</f>
        <v/>
      </c>
      <c r="E1585" s="893" t="str">
        <f>$E$1573</f>
        <v>Malarkey Roofing</v>
      </c>
      <c r="I1585" s="888"/>
      <c r="J1585" s="888"/>
      <c r="K1585" s="888"/>
      <c r="L1585" s="888"/>
      <c r="M1585" s="888"/>
      <c r="N1585" s="888"/>
      <c r="O1585" s="888"/>
      <c r="P1585" s="888"/>
      <c r="Q1585" s="888"/>
      <c r="R1585" s="888"/>
    </row>
    <row r="1586" spans="1:18" s="893" customFormat="1" x14ac:dyDescent="0.3">
      <c r="A1586" s="888" t="str">
        <f>IF(LEN('Translation-EN'!A1586)&gt;0,'Translation-EN'!A1586,"")</f>
        <v>Range</v>
      </c>
      <c r="B1586" s="888" t="str">
        <f>IF(LEN('Translation-EN'!B1586)&gt;0,'Translation-EN'!B1586,"")</f>
        <v>Master sheet</v>
      </c>
      <c r="C1586" s="888" t="str">
        <f>IF(LEN('Translation-EN'!C1586)&gt;0,'Translation-EN'!C1586,"")</f>
        <v>D19</v>
      </c>
      <c r="D1586" s="888" t="str">
        <f>IF(LEN('Translation-EN'!D1586)&gt;0,'Translation-EN'!D1586,"")</f>
        <v/>
      </c>
      <c r="E1586" s="893" t="s">
        <v>4115</v>
      </c>
      <c r="I1586" s="888"/>
      <c r="J1586" s="888"/>
      <c r="K1586" s="888"/>
      <c r="L1586" s="888"/>
      <c r="M1586" s="888"/>
      <c r="N1586" s="888"/>
      <c r="O1586" s="888"/>
      <c r="P1586" s="888"/>
      <c r="Q1586" s="888"/>
      <c r="R1586" s="888"/>
    </row>
    <row r="1587" spans="1:18" s="893" customFormat="1" x14ac:dyDescent="0.3">
      <c r="A1587" s="888" t="str">
        <f>IF(LEN('Translation-EN'!A1587)&gt;0,'Translation-EN'!A1587,"")</f>
        <v>Range</v>
      </c>
      <c r="B1587" s="888" t="str">
        <f>IF(LEN('Translation-EN'!B1587)&gt;0,'Translation-EN'!B1587,"")</f>
        <v>Master sheet</v>
      </c>
      <c r="C1587" s="888" t="str">
        <f>IF(LEN('Translation-EN'!C1587)&gt;0,'Translation-EN'!C1587,"")</f>
        <v>B20</v>
      </c>
      <c r="D1587" s="888" t="str">
        <f>IF(LEN('Translation-EN'!D1587)&gt;0,'Translation-EN'!D1587,"")</f>
        <v/>
      </c>
      <c r="E1587" s="893" t="str">
        <f>$E$1569</f>
        <v>Bardeaux d’asphalte</v>
      </c>
      <c r="I1587" s="888"/>
      <c r="J1587" s="888"/>
      <c r="K1587" s="888"/>
      <c r="L1587" s="888"/>
      <c r="M1587" s="888"/>
      <c r="N1587" s="888"/>
      <c r="O1587" s="888"/>
      <c r="P1587" s="888"/>
      <c r="Q1587" s="888"/>
      <c r="R1587" s="888"/>
    </row>
    <row r="1588" spans="1:18" s="893" customFormat="1" x14ac:dyDescent="0.3">
      <c r="A1588" s="888" t="str">
        <f>IF(LEN('Translation-EN'!A1588)&gt;0,'Translation-EN'!A1588,"")</f>
        <v>Range</v>
      </c>
      <c r="B1588" s="888" t="str">
        <f>IF(LEN('Translation-EN'!B1588)&gt;0,'Translation-EN'!B1588,"")</f>
        <v>Master sheet</v>
      </c>
      <c r="C1588" s="888" t="str">
        <f>IF(LEN('Translation-EN'!C1588)&gt;0,'Translation-EN'!C1588,"")</f>
        <v>C20</v>
      </c>
      <c r="D1588" s="888" t="str">
        <f>IF(LEN('Translation-EN'!D1588)&gt;0,'Translation-EN'!D1588,"")</f>
        <v/>
      </c>
      <c r="E1588" s="893" t="str">
        <f>$E$1573</f>
        <v>Malarkey Roofing</v>
      </c>
      <c r="I1588" s="888"/>
      <c r="J1588" s="888"/>
      <c r="K1588" s="888"/>
      <c r="L1588" s="888"/>
      <c r="M1588" s="888"/>
      <c r="N1588" s="888"/>
      <c r="O1588" s="888"/>
      <c r="P1588" s="888"/>
      <c r="Q1588" s="888"/>
      <c r="R1588" s="888"/>
    </row>
    <row r="1589" spans="1:18" s="893" customFormat="1" x14ac:dyDescent="0.3">
      <c r="A1589" s="888" t="str">
        <f>IF(LEN('Translation-EN'!A1589)&gt;0,'Translation-EN'!A1589,"")</f>
        <v>Range</v>
      </c>
      <c r="B1589" s="888" t="str">
        <f>IF(LEN('Translation-EN'!B1589)&gt;0,'Translation-EN'!B1589,"")</f>
        <v>Master sheet</v>
      </c>
      <c r="C1589" s="888" t="str">
        <f>IF(LEN('Translation-EN'!C1589)&gt;0,'Translation-EN'!C1589,"")</f>
        <v>D20</v>
      </c>
      <c r="D1589" s="888" t="str">
        <f>IF(LEN('Translation-EN'!D1589)&gt;0,'Translation-EN'!D1589,"")</f>
        <v/>
      </c>
      <c r="E1589" s="893" t="s">
        <v>4117</v>
      </c>
      <c r="I1589" s="888"/>
      <c r="J1589" s="888"/>
      <c r="K1589" s="888"/>
      <c r="L1589" s="888"/>
      <c r="M1589" s="888"/>
      <c r="N1589" s="888"/>
      <c r="O1589" s="888"/>
      <c r="P1589" s="888"/>
      <c r="Q1589" s="888"/>
      <c r="R1589" s="888"/>
    </row>
    <row r="1590" spans="1:18" s="893" customFormat="1" x14ac:dyDescent="0.3">
      <c r="A1590" s="888" t="str">
        <f>IF(LEN('Translation-EN'!A1590)&gt;0,'Translation-EN'!A1590,"")</f>
        <v>Range</v>
      </c>
      <c r="B1590" s="888" t="str">
        <f>IF(LEN('Translation-EN'!B1590)&gt;0,'Translation-EN'!B1590,"")</f>
        <v>Master sheet</v>
      </c>
      <c r="C1590" s="888" t="str">
        <f>IF(LEN('Translation-EN'!C1590)&gt;0,'Translation-EN'!C1590,"")</f>
        <v>B21</v>
      </c>
      <c r="D1590" s="888" t="str">
        <f>IF(LEN('Translation-EN'!D1590)&gt;0,'Translation-EN'!D1590,"")</f>
        <v/>
      </c>
      <c r="E1590" s="893" t="str">
        <f>$E$1569</f>
        <v>Bardeaux d’asphalte</v>
      </c>
      <c r="I1590" s="888"/>
      <c r="J1590" s="888"/>
      <c r="K1590" s="888"/>
      <c r="L1590" s="888"/>
      <c r="M1590" s="888"/>
      <c r="N1590" s="888"/>
      <c r="O1590" s="888"/>
      <c r="P1590" s="888"/>
      <c r="Q1590" s="888"/>
      <c r="R1590" s="888"/>
    </row>
    <row r="1591" spans="1:18" s="893" customFormat="1" x14ac:dyDescent="0.3">
      <c r="A1591" s="888" t="str">
        <f>IF(LEN('Translation-EN'!A1591)&gt;0,'Translation-EN'!A1591,"")</f>
        <v>Range</v>
      </c>
      <c r="B1591" s="888" t="str">
        <f>IF(LEN('Translation-EN'!B1591)&gt;0,'Translation-EN'!B1591,"")</f>
        <v>Master sheet</v>
      </c>
      <c r="C1591" s="888" t="str">
        <f>IF(LEN('Translation-EN'!C1591)&gt;0,'Translation-EN'!C1591,"")</f>
        <v>C21</v>
      </c>
      <c r="D1591" s="888" t="str">
        <f>IF(LEN('Translation-EN'!D1591)&gt;0,'Translation-EN'!D1591,"")</f>
        <v/>
      </c>
      <c r="E1591" s="893" t="str">
        <f>$E$1573</f>
        <v>Malarkey Roofing</v>
      </c>
      <c r="I1591" s="888"/>
      <c r="J1591" s="888"/>
      <c r="K1591" s="888"/>
      <c r="L1591" s="888"/>
      <c r="M1591" s="888"/>
      <c r="N1591" s="888"/>
      <c r="O1591" s="888"/>
      <c r="P1591" s="888"/>
      <c r="Q1591" s="888"/>
      <c r="R1591" s="888"/>
    </row>
    <row r="1592" spans="1:18" s="893" customFormat="1" x14ac:dyDescent="0.3">
      <c r="A1592" s="888" t="str">
        <f>IF(LEN('Translation-EN'!A1592)&gt;0,'Translation-EN'!A1592,"")</f>
        <v>Range</v>
      </c>
      <c r="B1592" s="888" t="str">
        <f>IF(LEN('Translation-EN'!B1592)&gt;0,'Translation-EN'!B1592,"")</f>
        <v>Master sheet</v>
      </c>
      <c r="C1592" s="888" t="str">
        <f>IF(LEN('Translation-EN'!C1592)&gt;0,'Translation-EN'!C1592,"")</f>
        <v>D21</v>
      </c>
      <c r="D1592" s="888" t="str">
        <f>IF(LEN('Translation-EN'!D1592)&gt;0,'Translation-EN'!D1592,"")</f>
        <v/>
      </c>
      <c r="E1592" s="893" t="s">
        <v>4119</v>
      </c>
      <c r="I1592" s="888"/>
      <c r="J1592" s="888"/>
      <c r="K1592" s="888"/>
      <c r="L1592" s="888"/>
      <c r="M1592" s="888"/>
      <c r="N1592" s="888"/>
      <c r="O1592" s="888"/>
      <c r="P1592" s="888"/>
      <c r="Q1592" s="888"/>
      <c r="R1592" s="888"/>
    </row>
    <row r="1593" spans="1:18" s="893" customFormat="1" x14ac:dyDescent="0.3">
      <c r="A1593" s="888" t="str">
        <f>IF(LEN('Translation-EN'!A1593)&gt;0,'Translation-EN'!A1593,"")</f>
        <v>Range</v>
      </c>
      <c r="B1593" s="888" t="str">
        <f>IF(LEN('Translation-EN'!B1593)&gt;0,'Translation-EN'!B1593,"")</f>
        <v>Master sheet</v>
      </c>
      <c r="C1593" s="888" t="str">
        <f>IF(LEN('Translation-EN'!C1593)&gt;0,'Translation-EN'!C1593,"")</f>
        <v>B22</v>
      </c>
      <c r="D1593" s="888" t="str">
        <f>IF(LEN('Translation-EN'!D1593)&gt;0,'Translation-EN'!D1593,"")</f>
        <v/>
      </c>
      <c r="E1593" s="893" t="str">
        <f>$E$1569</f>
        <v>Bardeaux d’asphalte</v>
      </c>
      <c r="I1593" s="888"/>
      <c r="J1593" s="888"/>
      <c r="K1593" s="888"/>
      <c r="L1593" s="888"/>
      <c r="M1593" s="888"/>
      <c r="N1593" s="888"/>
      <c r="O1593" s="888"/>
      <c r="P1593" s="888"/>
      <c r="Q1593" s="888"/>
      <c r="R1593" s="888"/>
    </row>
    <row r="1594" spans="1:18" s="893" customFormat="1" x14ac:dyDescent="0.3">
      <c r="A1594" s="888" t="str">
        <f>IF(LEN('Translation-EN'!A1594)&gt;0,'Translation-EN'!A1594,"")</f>
        <v>Range</v>
      </c>
      <c r="B1594" s="888" t="str">
        <f>IF(LEN('Translation-EN'!B1594)&gt;0,'Translation-EN'!B1594,"")</f>
        <v>Master sheet</v>
      </c>
      <c r="C1594" s="888" t="str">
        <f>IF(LEN('Translation-EN'!C1594)&gt;0,'Translation-EN'!C1594,"")</f>
        <v>C22</v>
      </c>
      <c r="D1594" s="888" t="str">
        <f>IF(LEN('Translation-EN'!D1594)&gt;0,'Translation-EN'!D1594,"")</f>
        <v/>
      </c>
      <c r="E1594" s="893" t="s">
        <v>154</v>
      </c>
      <c r="I1594" s="888"/>
      <c r="J1594" s="888"/>
      <c r="K1594" s="888"/>
      <c r="L1594" s="888"/>
      <c r="M1594" s="888"/>
      <c r="N1594" s="888"/>
      <c r="O1594" s="888"/>
      <c r="P1594" s="888"/>
      <c r="Q1594" s="888"/>
      <c r="R1594" s="888"/>
    </row>
    <row r="1595" spans="1:18" s="893" customFormat="1" x14ac:dyDescent="0.3">
      <c r="A1595" s="888" t="str">
        <f>IF(LEN('Translation-EN'!A1595)&gt;0,'Translation-EN'!A1595,"")</f>
        <v>Range</v>
      </c>
      <c r="B1595" s="888" t="str">
        <f>IF(LEN('Translation-EN'!B1595)&gt;0,'Translation-EN'!B1595,"")</f>
        <v>Master sheet</v>
      </c>
      <c r="C1595" s="888" t="str">
        <f>IF(LEN('Translation-EN'!C1595)&gt;0,'Translation-EN'!C1595,"")</f>
        <v>D22</v>
      </c>
      <c r="D1595" s="888" t="str">
        <f>IF(LEN('Translation-EN'!D1595)&gt;0,'Translation-EN'!D1595,"")</f>
        <v/>
      </c>
      <c r="E1595" s="893" t="s">
        <v>155</v>
      </c>
      <c r="I1595" s="888"/>
      <c r="J1595" s="888"/>
      <c r="K1595" s="888"/>
      <c r="L1595" s="888"/>
      <c r="M1595" s="888"/>
      <c r="N1595" s="888"/>
      <c r="O1595" s="888"/>
      <c r="P1595" s="888"/>
      <c r="Q1595" s="888"/>
      <c r="R1595" s="888"/>
    </row>
    <row r="1596" spans="1:18" s="893" customFormat="1" x14ac:dyDescent="0.3">
      <c r="A1596" s="888" t="str">
        <f>IF(LEN('Translation-EN'!A1596)&gt;0,'Translation-EN'!A1596,"")</f>
        <v>Range</v>
      </c>
      <c r="B1596" s="888" t="str">
        <f>IF(LEN('Translation-EN'!B1596)&gt;0,'Translation-EN'!B1596,"")</f>
        <v>Master sheet</v>
      </c>
      <c r="C1596" s="888" t="str">
        <f>IF(LEN('Translation-EN'!C1596)&gt;0,'Translation-EN'!C1596,"")</f>
        <v>E22</v>
      </c>
      <c r="D1596" s="888" t="str">
        <f>IF(LEN('Translation-EN'!D1596)&gt;0,'Translation-EN'!D1596,"")</f>
        <v/>
      </c>
      <c r="E1596" s="893" t="str">
        <f>$E$1595</f>
        <v>Timberline</v>
      </c>
      <c r="I1596" s="888"/>
      <c r="J1596" s="888"/>
      <c r="K1596" s="888"/>
      <c r="L1596" s="888"/>
      <c r="M1596" s="888"/>
      <c r="N1596" s="888"/>
      <c r="O1596" s="888"/>
      <c r="P1596" s="888"/>
      <c r="Q1596" s="888"/>
      <c r="R1596" s="888"/>
    </row>
    <row r="1597" spans="1:18" s="893" customFormat="1" x14ac:dyDescent="0.3">
      <c r="A1597" s="888" t="str">
        <f>IF(LEN('Translation-EN'!A1597)&gt;0,'Translation-EN'!A1597,"")</f>
        <v>Range</v>
      </c>
      <c r="B1597" s="888" t="str">
        <f>IF(LEN('Translation-EN'!B1597)&gt;0,'Translation-EN'!B1597,"")</f>
        <v>Master sheet</v>
      </c>
      <c r="C1597" s="888" t="str">
        <f>IF(LEN('Translation-EN'!C1597)&gt;0,'Translation-EN'!C1597,"")</f>
        <v>B23</v>
      </c>
      <c r="D1597" s="888" t="str">
        <f>IF(LEN('Translation-EN'!D1597)&gt;0,'Translation-EN'!D1597,"")</f>
        <v/>
      </c>
      <c r="E1597" s="893" t="str">
        <f>$E$1569</f>
        <v>Bardeaux d’asphalte</v>
      </c>
      <c r="I1597" s="888"/>
      <c r="J1597" s="888"/>
      <c r="K1597" s="888"/>
      <c r="L1597" s="888"/>
      <c r="M1597" s="888"/>
      <c r="N1597" s="888"/>
      <c r="O1597" s="888"/>
      <c r="P1597" s="888"/>
      <c r="Q1597" s="888"/>
      <c r="R1597" s="888"/>
    </row>
    <row r="1598" spans="1:18" s="893" customFormat="1" x14ac:dyDescent="0.3">
      <c r="A1598" s="888" t="str">
        <f>IF(LEN('Translation-EN'!A1598)&gt;0,'Translation-EN'!A1598,"")</f>
        <v>Range</v>
      </c>
      <c r="B1598" s="888" t="str">
        <f>IF(LEN('Translation-EN'!B1598)&gt;0,'Translation-EN'!B1598,"")</f>
        <v>Master sheet</v>
      </c>
      <c r="C1598" s="888" t="str">
        <f>IF(LEN('Translation-EN'!C1598)&gt;0,'Translation-EN'!C1598,"")</f>
        <v>C23</v>
      </c>
      <c r="D1598" s="888" t="str">
        <f>IF(LEN('Translation-EN'!D1598)&gt;0,'Translation-EN'!D1598,"")</f>
        <v/>
      </c>
      <c r="E1598" s="893" t="s">
        <v>159</v>
      </c>
      <c r="I1598" s="888"/>
      <c r="J1598" s="888"/>
      <c r="K1598" s="888"/>
      <c r="L1598" s="888"/>
      <c r="M1598" s="888"/>
      <c r="N1598" s="888"/>
      <c r="O1598" s="888"/>
      <c r="P1598" s="888"/>
      <c r="Q1598" s="888"/>
      <c r="R1598" s="888"/>
    </row>
    <row r="1599" spans="1:18" s="893" customFormat="1" x14ac:dyDescent="0.3">
      <c r="A1599" s="888" t="str">
        <f>IF(LEN('Translation-EN'!A1599)&gt;0,'Translation-EN'!A1599,"")</f>
        <v>Range</v>
      </c>
      <c r="B1599" s="888" t="str">
        <f>IF(LEN('Translation-EN'!B1599)&gt;0,'Translation-EN'!B1599,"")</f>
        <v>Master sheet</v>
      </c>
      <c r="C1599" s="888" t="str">
        <f>IF(LEN('Translation-EN'!C1599)&gt;0,'Translation-EN'!C1599,"")</f>
        <v>D23</v>
      </c>
      <c r="D1599" s="888" t="str">
        <f>IF(LEN('Translation-EN'!D1599)&gt;0,'Translation-EN'!D1599,"")</f>
        <v/>
      </c>
      <c r="E1599" s="893" t="s">
        <v>6146</v>
      </c>
      <c r="I1599" s="888"/>
      <c r="J1599" s="888"/>
      <c r="K1599" s="888"/>
      <c r="L1599" s="888"/>
      <c r="M1599" s="888"/>
      <c r="N1599" s="888"/>
      <c r="O1599" s="888"/>
      <c r="P1599" s="888"/>
      <c r="Q1599" s="888"/>
      <c r="R1599" s="888"/>
    </row>
    <row r="1600" spans="1:18" s="893" customFormat="1" x14ac:dyDescent="0.3">
      <c r="A1600" s="888" t="str">
        <f>IF(LEN('Translation-EN'!A1600)&gt;0,'Translation-EN'!A1600,"")</f>
        <v>Range</v>
      </c>
      <c r="B1600" s="888" t="str">
        <f>IF(LEN('Translation-EN'!B1600)&gt;0,'Translation-EN'!B1600,"")</f>
        <v>Master sheet</v>
      </c>
      <c r="C1600" s="888" t="str">
        <f>IF(LEN('Translation-EN'!C1600)&gt;0,'Translation-EN'!C1600,"")</f>
        <v>B24</v>
      </c>
      <c r="D1600" s="888" t="str">
        <f>IF(LEN('Translation-EN'!D1600)&gt;0,'Translation-EN'!D1600,"")</f>
        <v/>
      </c>
      <c r="E1600" s="893" t="str">
        <f>$E$1569</f>
        <v>Bardeaux d’asphalte</v>
      </c>
      <c r="I1600" s="888"/>
      <c r="J1600" s="888"/>
      <c r="K1600" s="888"/>
      <c r="L1600" s="888"/>
      <c r="M1600" s="888"/>
      <c r="N1600" s="888"/>
      <c r="O1600" s="888"/>
      <c r="P1600" s="888"/>
      <c r="Q1600" s="888"/>
      <c r="R1600" s="888"/>
    </row>
    <row r="1601" spans="1:18" s="893" customFormat="1" x14ac:dyDescent="0.3">
      <c r="A1601" s="888" t="str">
        <f>IF(LEN('Translation-EN'!A1601)&gt;0,'Translation-EN'!A1601,"")</f>
        <v>Range</v>
      </c>
      <c r="B1601" s="888" t="str">
        <f>IF(LEN('Translation-EN'!B1601)&gt;0,'Translation-EN'!B1601,"")</f>
        <v>Master sheet</v>
      </c>
      <c r="C1601" s="888" t="str">
        <f>IF(LEN('Translation-EN'!C1601)&gt;0,'Translation-EN'!C1601,"")</f>
        <v>C24</v>
      </c>
      <c r="D1601" s="888" t="str">
        <f>IF(LEN('Translation-EN'!D1601)&gt;0,'Translation-EN'!D1601,"")</f>
        <v/>
      </c>
      <c r="E1601" s="893" t="str">
        <f>$E$1598</f>
        <v>Owens Corning</v>
      </c>
      <c r="I1601" s="888"/>
      <c r="J1601" s="888"/>
      <c r="K1601" s="888"/>
      <c r="L1601" s="888"/>
      <c r="M1601" s="888"/>
      <c r="N1601" s="888"/>
      <c r="O1601" s="888"/>
      <c r="P1601" s="888"/>
      <c r="Q1601" s="888"/>
      <c r="R1601" s="888"/>
    </row>
    <row r="1602" spans="1:18" s="893" customFormat="1" x14ac:dyDescent="0.3">
      <c r="A1602" s="888" t="str">
        <f>IF(LEN('Translation-EN'!A1602)&gt;0,'Translation-EN'!A1602,"")</f>
        <v>Range</v>
      </c>
      <c r="B1602" s="888" t="str">
        <f>IF(LEN('Translation-EN'!B1602)&gt;0,'Translation-EN'!B1602,"")</f>
        <v>Master sheet</v>
      </c>
      <c r="C1602" s="888" t="str">
        <f>IF(LEN('Translation-EN'!C1602)&gt;0,'Translation-EN'!C1602,"")</f>
        <v>D24</v>
      </c>
      <c r="D1602" s="888" t="str">
        <f>IF(LEN('Translation-EN'!D1602)&gt;0,'Translation-EN'!D1602,"")</f>
        <v/>
      </c>
      <c r="E1602" s="893" t="s">
        <v>162</v>
      </c>
      <c r="I1602" s="888"/>
      <c r="J1602" s="888"/>
      <c r="K1602" s="888"/>
      <c r="L1602" s="888"/>
      <c r="M1602" s="888"/>
      <c r="N1602" s="888"/>
      <c r="O1602" s="888"/>
      <c r="P1602" s="888"/>
      <c r="Q1602" s="888"/>
      <c r="R1602" s="888"/>
    </row>
    <row r="1603" spans="1:18" s="893" customFormat="1" x14ac:dyDescent="0.3">
      <c r="A1603" s="888" t="str">
        <f>IF(LEN('Translation-EN'!A1603)&gt;0,'Translation-EN'!A1603,"")</f>
        <v>Range</v>
      </c>
      <c r="B1603" s="888" t="str">
        <f>IF(LEN('Translation-EN'!B1603)&gt;0,'Translation-EN'!B1603,"")</f>
        <v>Master sheet</v>
      </c>
      <c r="C1603" s="888" t="str">
        <f>IF(LEN('Translation-EN'!C1603)&gt;0,'Translation-EN'!C1603,"")</f>
        <v>B25</v>
      </c>
      <c r="D1603" s="888" t="str">
        <f>IF(LEN('Translation-EN'!D1603)&gt;0,'Translation-EN'!D1603,"")</f>
        <v/>
      </c>
      <c r="E1603" s="893" t="str">
        <f>$E$1569</f>
        <v>Bardeaux d’asphalte</v>
      </c>
      <c r="I1603" s="888"/>
      <c r="J1603" s="888"/>
      <c r="K1603" s="888"/>
      <c r="L1603" s="888"/>
      <c r="M1603" s="888"/>
      <c r="N1603" s="888"/>
      <c r="O1603" s="888"/>
      <c r="P1603" s="888"/>
      <c r="Q1603" s="888"/>
      <c r="R1603" s="888"/>
    </row>
    <row r="1604" spans="1:18" s="893" customFormat="1" x14ac:dyDescent="0.3">
      <c r="A1604" s="888" t="str">
        <f>IF(LEN('Translation-EN'!A1604)&gt;0,'Translation-EN'!A1604,"")</f>
        <v>Range</v>
      </c>
      <c r="B1604" s="888" t="str">
        <f>IF(LEN('Translation-EN'!B1604)&gt;0,'Translation-EN'!B1604,"")</f>
        <v>Master sheet</v>
      </c>
      <c r="C1604" s="888" t="str">
        <f>IF(LEN('Translation-EN'!C1604)&gt;0,'Translation-EN'!C1604,"")</f>
        <v>C25</v>
      </c>
      <c r="D1604" s="888" t="str">
        <f>IF(LEN('Translation-EN'!D1604)&gt;0,'Translation-EN'!D1604,"")</f>
        <v/>
      </c>
      <c r="E1604" s="893" t="str">
        <f>$E$1598</f>
        <v>Owens Corning</v>
      </c>
      <c r="I1604" s="888"/>
      <c r="J1604" s="888"/>
      <c r="K1604" s="888"/>
      <c r="L1604" s="888"/>
      <c r="M1604" s="888"/>
      <c r="N1604" s="888"/>
      <c r="O1604" s="888"/>
      <c r="P1604" s="888"/>
      <c r="Q1604" s="888"/>
      <c r="R1604" s="888"/>
    </row>
    <row r="1605" spans="1:18" s="893" customFormat="1" x14ac:dyDescent="0.3">
      <c r="A1605" s="888" t="str">
        <f>IF(LEN('Translation-EN'!A1605)&gt;0,'Translation-EN'!A1605,"")</f>
        <v>Range</v>
      </c>
      <c r="B1605" s="888" t="str">
        <f>IF(LEN('Translation-EN'!B1605)&gt;0,'Translation-EN'!B1605,"")</f>
        <v>Master sheet</v>
      </c>
      <c r="C1605" s="888" t="str">
        <f>IF(LEN('Translation-EN'!C1605)&gt;0,'Translation-EN'!C1605,"")</f>
        <v>D25</v>
      </c>
      <c r="D1605" s="888" t="str">
        <f>IF(LEN('Translation-EN'!D1605)&gt;0,'Translation-EN'!D1605,"")</f>
        <v/>
      </c>
      <c r="E1605" s="893" t="s">
        <v>164</v>
      </c>
      <c r="I1605" s="888"/>
      <c r="J1605" s="888"/>
      <c r="K1605" s="888"/>
      <c r="L1605" s="888"/>
      <c r="M1605" s="888"/>
      <c r="N1605" s="888"/>
      <c r="O1605" s="888"/>
      <c r="P1605" s="888"/>
      <c r="Q1605" s="888"/>
      <c r="R1605" s="888"/>
    </row>
    <row r="1606" spans="1:18" s="893" customFormat="1" x14ac:dyDescent="0.3">
      <c r="A1606" s="888" t="str">
        <f>IF(LEN('Translation-EN'!A1606)&gt;0,'Translation-EN'!A1606,"")</f>
        <v>Range</v>
      </c>
      <c r="B1606" s="888" t="str">
        <f>IF(LEN('Translation-EN'!B1606)&gt;0,'Translation-EN'!B1606,"")</f>
        <v>Master sheet</v>
      </c>
      <c r="C1606" s="888" t="str">
        <f>IF(LEN('Translation-EN'!C1606)&gt;0,'Translation-EN'!C1606,"")</f>
        <v>B27</v>
      </c>
      <c r="D1606" s="888" t="str">
        <f>IF(LEN('Translation-EN'!D1606)&gt;0,'Translation-EN'!D1606,"")</f>
        <v/>
      </c>
      <c r="E1606" s="893" t="s">
        <v>6147</v>
      </c>
      <c r="I1606" s="888"/>
      <c r="J1606" s="888"/>
      <c r="K1606" s="888"/>
      <c r="L1606" s="888"/>
      <c r="M1606" s="888"/>
      <c r="N1606" s="888"/>
      <c r="O1606" s="888"/>
      <c r="P1606" s="888"/>
      <c r="Q1606" s="888"/>
      <c r="R1606" s="888"/>
    </row>
    <row r="1607" spans="1:18" s="893" customFormat="1" x14ac:dyDescent="0.3">
      <c r="A1607" s="888" t="str">
        <f>IF(LEN('Translation-EN'!A1607)&gt;0,'Translation-EN'!A1607,"")</f>
        <v>Range</v>
      </c>
      <c r="B1607" s="888" t="str">
        <f>IF(LEN('Translation-EN'!B1607)&gt;0,'Translation-EN'!B1607,"")</f>
        <v>Master sheet</v>
      </c>
      <c r="C1607" s="888" t="str">
        <f>IF(LEN('Translation-EN'!C1607)&gt;0,'Translation-EN'!C1607,"")</f>
        <v>C27</v>
      </c>
      <c r="D1607" s="888" t="str">
        <f>IF(LEN('Translation-EN'!D1607)&gt;0,'Translation-EN'!D1607,"")</f>
        <v/>
      </c>
      <c r="E1607" s="893" t="s">
        <v>167</v>
      </c>
      <c r="I1607" s="888"/>
      <c r="J1607" s="888"/>
      <c r="K1607" s="888"/>
      <c r="L1607" s="888"/>
      <c r="M1607" s="888"/>
      <c r="N1607" s="888"/>
      <c r="O1607" s="888"/>
      <c r="P1607" s="888"/>
      <c r="Q1607" s="888"/>
      <c r="R1607" s="888"/>
    </row>
    <row r="1608" spans="1:18" s="893" customFormat="1" x14ac:dyDescent="0.3">
      <c r="A1608" s="888" t="str">
        <f>IF(LEN('Translation-EN'!A1608)&gt;0,'Translation-EN'!A1608,"")</f>
        <v>Range</v>
      </c>
      <c r="B1608" s="888" t="str">
        <f>IF(LEN('Translation-EN'!B1608)&gt;0,'Translation-EN'!B1608,"")</f>
        <v>Master sheet</v>
      </c>
      <c r="C1608" s="888" t="str">
        <f>IF(LEN('Translation-EN'!C1608)&gt;0,'Translation-EN'!C1608,"")</f>
        <v>D27</v>
      </c>
      <c r="D1608" s="888" t="str">
        <f>IF(LEN('Translation-EN'!D1608)&gt;0,'Translation-EN'!D1608,"")</f>
        <v/>
      </c>
      <c r="E1608" s="893" t="s">
        <v>168</v>
      </c>
      <c r="I1608" s="888"/>
      <c r="J1608" s="888"/>
      <c r="K1608" s="888"/>
      <c r="L1608" s="888"/>
      <c r="M1608" s="888"/>
      <c r="N1608" s="888"/>
      <c r="O1608" s="888"/>
      <c r="P1608" s="888"/>
      <c r="Q1608" s="888"/>
      <c r="R1608" s="888"/>
    </row>
    <row r="1609" spans="1:18" s="893" customFormat="1" x14ac:dyDescent="0.3">
      <c r="A1609" s="888" t="str">
        <f>IF(LEN('Translation-EN'!A1609)&gt;0,'Translation-EN'!A1609,"")</f>
        <v>Range</v>
      </c>
      <c r="B1609" s="888" t="str">
        <f>IF(LEN('Translation-EN'!B1609)&gt;0,'Translation-EN'!B1609,"")</f>
        <v>Master sheet</v>
      </c>
      <c r="C1609" s="888" t="str">
        <f>IF(LEN('Translation-EN'!C1609)&gt;0,'Translation-EN'!C1609,"")</f>
        <v>B28</v>
      </c>
      <c r="D1609" s="888" t="str">
        <f>IF(LEN('Translation-EN'!D1609)&gt;0,'Translation-EN'!D1609,"")</f>
        <v/>
      </c>
      <c r="E1609" s="893" t="str">
        <f>$E$1606</f>
        <v>Contreplaqué de bambou</v>
      </c>
      <c r="I1609" s="888"/>
      <c r="J1609" s="888"/>
      <c r="K1609" s="888"/>
      <c r="L1609" s="888"/>
      <c r="M1609" s="888"/>
      <c r="N1609" s="888"/>
      <c r="O1609" s="888"/>
      <c r="P1609" s="888"/>
      <c r="Q1609" s="888"/>
      <c r="R1609" s="888"/>
    </row>
    <row r="1610" spans="1:18" s="893" customFormat="1" x14ac:dyDescent="0.3">
      <c r="A1610" s="888" t="str">
        <f>IF(LEN('Translation-EN'!A1610)&gt;0,'Translation-EN'!A1610,"")</f>
        <v>Range</v>
      </c>
      <c r="B1610" s="888" t="str">
        <f>IF(LEN('Translation-EN'!B1610)&gt;0,'Translation-EN'!B1610,"")</f>
        <v>Master sheet</v>
      </c>
      <c r="C1610" s="888" t="str">
        <f>IF(LEN('Translation-EN'!C1610)&gt;0,'Translation-EN'!C1610,"")</f>
        <v>C28</v>
      </c>
      <c r="D1610" s="888" t="str">
        <f>IF(LEN('Translation-EN'!D1610)&gt;0,'Translation-EN'!D1610,"")</f>
        <v/>
      </c>
      <c r="E1610" s="893" t="str">
        <f>$E$1607</f>
        <v>Smith &amp; Fong</v>
      </c>
      <c r="I1610" s="888"/>
      <c r="J1610" s="888"/>
      <c r="K1610" s="888"/>
      <c r="L1610" s="888"/>
      <c r="M1610" s="888"/>
      <c r="N1610" s="888"/>
      <c r="O1610" s="888"/>
      <c r="P1610" s="888"/>
      <c r="Q1610" s="888"/>
      <c r="R1610" s="888"/>
    </row>
    <row r="1611" spans="1:18" s="893" customFormat="1" x14ac:dyDescent="0.3">
      <c r="A1611" s="888" t="str">
        <f>IF(LEN('Translation-EN'!A1611)&gt;0,'Translation-EN'!A1611,"")</f>
        <v>Range</v>
      </c>
      <c r="B1611" s="888" t="str">
        <f>IF(LEN('Translation-EN'!B1611)&gt;0,'Translation-EN'!B1611,"")</f>
        <v>Master sheet</v>
      </c>
      <c r="C1611" s="888" t="str">
        <f>IF(LEN('Translation-EN'!C1611)&gt;0,'Translation-EN'!C1611,"")</f>
        <v>D28</v>
      </c>
      <c r="D1611" s="888" t="str">
        <f>IF(LEN('Translation-EN'!D1611)&gt;0,'Translation-EN'!D1611,"")</f>
        <v/>
      </c>
      <c r="E1611" s="893" t="str">
        <f>$E$1608</f>
        <v>Plyboo</v>
      </c>
      <c r="I1611" s="888"/>
      <c r="J1611" s="888"/>
      <c r="K1611" s="888"/>
      <c r="L1611" s="888"/>
      <c r="M1611" s="888"/>
      <c r="N1611" s="888"/>
      <c r="O1611" s="888"/>
      <c r="P1611" s="888"/>
      <c r="Q1611" s="888"/>
      <c r="R1611" s="888"/>
    </row>
    <row r="1612" spans="1:18" s="893" customFormat="1" x14ac:dyDescent="0.3">
      <c r="A1612" s="888" t="str">
        <f>IF(LEN('Translation-EN'!A1612)&gt;0,'Translation-EN'!A1612,"")</f>
        <v>Range</v>
      </c>
      <c r="B1612" s="888" t="str">
        <f>IF(LEN('Translation-EN'!B1612)&gt;0,'Translation-EN'!B1612,"")</f>
        <v>Master sheet</v>
      </c>
      <c r="C1612" s="888" t="str">
        <f>IF(LEN('Translation-EN'!C1612)&gt;0,'Translation-EN'!C1612,"")</f>
        <v>E28</v>
      </c>
      <c r="D1612" s="888" t="str">
        <f>IF(LEN('Translation-EN'!D1612)&gt;0,'Translation-EN'!D1612,"")</f>
        <v/>
      </c>
      <c r="E1612" s="893" t="s">
        <v>4126</v>
      </c>
      <c r="I1612" s="888"/>
      <c r="J1612" s="888"/>
      <c r="K1612" s="888"/>
      <c r="L1612" s="888"/>
      <c r="M1612" s="888"/>
      <c r="N1612" s="888"/>
      <c r="O1612" s="888"/>
      <c r="P1612" s="888"/>
      <c r="Q1612" s="888"/>
      <c r="R1612" s="888"/>
    </row>
    <row r="1613" spans="1:18" s="893" customFormat="1" x14ac:dyDescent="0.3">
      <c r="A1613" s="888" t="str">
        <f>IF(LEN('Translation-EN'!A1613)&gt;0,'Translation-EN'!A1613,"")</f>
        <v>Range</v>
      </c>
      <c r="B1613" s="888" t="str">
        <f>IF(LEN('Translation-EN'!B1613)&gt;0,'Translation-EN'!B1613,"")</f>
        <v>Master sheet</v>
      </c>
      <c r="C1613" s="888" t="str">
        <f>IF(LEN('Translation-EN'!C1613)&gt;0,'Translation-EN'!C1613,"")</f>
        <v>B29</v>
      </c>
      <c r="D1613" s="888" t="str">
        <f>IF(LEN('Translation-EN'!D1613)&gt;0,'Translation-EN'!D1613,"")</f>
        <v/>
      </c>
      <c r="E1613" s="893" t="s">
        <v>6148</v>
      </c>
      <c r="I1613" s="888"/>
      <c r="J1613" s="888"/>
      <c r="K1613" s="888"/>
      <c r="L1613" s="888"/>
      <c r="M1613" s="888"/>
      <c r="N1613" s="888"/>
      <c r="O1613" s="888"/>
      <c r="P1613" s="888"/>
      <c r="Q1613" s="888"/>
      <c r="R1613" s="888"/>
    </row>
    <row r="1614" spans="1:18" s="893" customFormat="1" x14ac:dyDescent="0.3">
      <c r="A1614" s="888" t="str">
        <f>IF(LEN('Translation-EN'!A1614)&gt;0,'Translation-EN'!A1614,"")</f>
        <v>Range</v>
      </c>
      <c r="B1614" s="888" t="str">
        <f>IF(LEN('Translation-EN'!B1614)&gt;0,'Translation-EN'!B1614,"")</f>
        <v>Master sheet</v>
      </c>
      <c r="C1614" s="888" t="str">
        <f>IF(LEN('Translation-EN'!C1614)&gt;0,'Translation-EN'!C1614,"")</f>
        <v>C29</v>
      </c>
      <c r="D1614" s="888" t="str">
        <f>IF(LEN('Translation-EN'!D1614)&gt;0,'Translation-EN'!D1614,"")</f>
        <v/>
      </c>
      <c r="E1614" s="893" t="s">
        <v>173</v>
      </c>
      <c r="I1614" s="888"/>
      <c r="J1614" s="888"/>
      <c r="K1614" s="888"/>
      <c r="L1614" s="888"/>
      <c r="M1614" s="888"/>
      <c r="N1614" s="888"/>
      <c r="O1614" s="888"/>
      <c r="P1614" s="888"/>
      <c r="Q1614" s="888"/>
      <c r="R1614" s="888"/>
    </row>
    <row r="1615" spans="1:18" s="893" customFormat="1" x14ac:dyDescent="0.3">
      <c r="A1615" s="888" t="str">
        <f>IF(LEN('Translation-EN'!A1615)&gt;0,'Translation-EN'!A1615,"")</f>
        <v>Range</v>
      </c>
      <c r="B1615" s="888" t="str">
        <f>IF(LEN('Translation-EN'!B1615)&gt;0,'Translation-EN'!B1615,"")</f>
        <v>Master sheet</v>
      </c>
      <c r="C1615" s="888" t="str">
        <f>IF(LEN('Translation-EN'!C1615)&gt;0,'Translation-EN'!C1615,"")</f>
        <v>D29</v>
      </c>
      <c r="D1615" s="888" t="str">
        <f>IF(LEN('Translation-EN'!D1615)&gt;0,'Translation-EN'!D1615,"")</f>
        <v/>
      </c>
      <c r="E1615" s="893" t="str">
        <f>$E$1613</f>
        <v>Tuile BioBased</v>
      </c>
      <c r="I1615" s="888"/>
      <c r="J1615" s="888"/>
      <c r="K1615" s="888"/>
      <c r="L1615" s="888"/>
      <c r="M1615" s="888"/>
      <c r="N1615" s="888"/>
      <c r="O1615" s="888"/>
      <c r="P1615" s="888"/>
      <c r="Q1615" s="888"/>
      <c r="R1615" s="888"/>
    </row>
    <row r="1616" spans="1:18" s="893" customFormat="1" x14ac:dyDescent="0.3">
      <c r="A1616" s="888" t="str">
        <f>IF(LEN('Translation-EN'!A1616)&gt;0,'Translation-EN'!A1616,"")</f>
        <v>Range</v>
      </c>
      <c r="B1616" s="888" t="str">
        <f>IF(LEN('Translation-EN'!B1616)&gt;0,'Translation-EN'!B1616,"")</f>
        <v>Master sheet</v>
      </c>
      <c r="C1616" s="888" t="str">
        <f>IF(LEN('Translation-EN'!C1616)&gt;0,'Translation-EN'!C1616,"")</f>
        <v>E29</v>
      </c>
      <c r="D1616" s="888" t="str">
        <f>IF(LEN('Translation-EN'!D1616)&gt;0,'Translation-EN'!D1616,"")</f>
        <v/>
      </c>
      <c r="E1616" s="893" t="s">
        <v>6149</v>
      </c>
      <c r="I1616" s="888"/>
      <c r="J1616" s="888"/>
      <c r="K1616" s="888"/>
      <c r="L1616" s="888"/>
      <c r="M1616" s="888"/>
      <c r="N1616" s="888"/>
      <c r="O1616" s="888"/>
      <c r="P1616" s="888"/>
      <c r="Q1616" s="888"/>
      <c r="R1616" s="888"/>
    </row>
    <row r="1617" spans="1:18" s="893" customFormat="1" x14ac:dyDescent="0.3">
      <c r="A1617" s="888" t="str">
        <f>IF(LEN('Translation-EN'!A1617)&gt;0,'Translation-EN'!A1617,"")</f>
        <v>Range</v>
      </c>
      <c r="B1617" s="888" t="str">
        <f>IF(LEN('Translation-EN'!B1617)&gt;0,'Translation-EN'!B1617,"")</f>
        <v>Master sheet</v>
      </c>
      <c r="C1617" s="888" t="str">
        <f>IF(LEN('Translation-EN'!C1617)&gt;0,'Translation-EN'!C1617,"")</f>
        <v>B32</v>
      </c>
      <c r="D1617" s="888" t="str">
        <f>IF(LEN('Translation-EN'!D1617)&gt;0,'Translation-EN'!D1617,"")</f>
        <v/>
      </c>
      <c r="E1617" s="893" t="s">
        <v>6150</v>
      </c>
      <c r="I1617" s="888"/>
      <c r="J1617" s="888"/>
      <c r="K1617" s="888"/>
      <c r="L1617" s="888"/>
      <c r="M1617" s="888"/>
      <c r="N1617" s="888"/>
      <c r="O1617" s="888"/>
      <c r="P1617" s="888"/>
      <c r="Q1617" s="888"/>
      <c r="R1617" s="888"/>
    </row>
    <row r="1618" spans="1:18" s="893" customFormat="1" x14ac:dyDescent="0.3">
      <c r="A1618" s="888" t="str">
        <f>IF(LEN('Translation-EN'!A1618)&gt;0,'Translation-EN'!A1618,"")</f>
        <v>Range</v>
      </c>
      <c r="B1618" s="888" t="str">
        <f>IF(LEN('Translation-EN'!B1618)&gt;0,'Translation-EN'!B1618,"")</f>
        <v>Master sheet</v>
      </c>
      <c r="C1618" s="888" t="str">
        <f>IF(LEN('Translation-EN'!C1618)&gt;0,'Translation-EN'!C1618,"")</f>
        <v>C32</v>
      </c>
      <c r="D1618" s="888" t="str">
        <f>IF(LEN('Translation-EN'!D1618)&gt;0,'Translation-EN'!D1618,"")</f>
        <v/>
      </c>
      <c r="E1618" s="893" t="s">
        <v>4129</v>
      </c>
      <c r="I1618" s="888"/>
      <c r="J1618" s="888"/>
      <c r="K1618" s="888"/>
      <c r="L1618" s="888"/>
      <c r="M1618" s="888"/>
      <c r="N1618" s="888"/>
      <c r="O1618" s="888"/>
      <c r="P1618" s="888"/>
      <c r="Q1618" s="888"/>
      <c r="R1618" s="888"/>
    </row>
    <row r="1619" spans="1:18" s="893" customFormat="1" x14ac:dyDescent="0.3">
      <c r="A1619" s="888" t="str">
        <f>IF(LEN('Translation-EN'!A1619)&gt;0,'Translation-EN'!A1619,"")</f>
        <v>Range</v>
      </c>
      <c r="B1619" s="888" t="str">
        <f>IF(LEN('Translation-EN'!B1619)&gt;0,'Translation-EN'!B1619,"")</f>
        <v>Master sheet</v>
      </c>
      <c r="C1619" s="888" t="str">
        <f>IF(LEN('Translation-EN'!C1619)&gt;0,'Translation-EN'!C1619,"")</f>
        <v>D32</v>
      </c>
      <c r="D1619" s="888" t="str">
        <f>IF(LEN('Translation-EN'!D1619)&gt;0,'Translation-EN'!D1619,"")</f>
        <v/>
      </c>
      <c r="E1619" s="893" t="s">
        <v>6151</v>
      </c>
      <c r="I1619" s="888"/>
      <c r="J1619" s="888"/>
      <c r="K1619" s="888"/>
      <c r="L1619" s="888"/>
      <c r="M1619" s="888"/>
      <c r="N1619" s="888"/>
      <c r="O1619" s="888"/>
      <c r="P1619" s="888"/>
      <c r="Q1619" s="888"/>
      <c r="R1619" s="888"/>
    </row>
    <row r="1620" spans="1:18" s="893" customFormat="1" x14ac:dyDescent="0.3">
      <c r="A1620" s="888" t="str">
        <f>IF(LEN('Translation-EN'!A1620)&gt;0,'Translation-EN'!A1620,"")</f>
        <v>Range</v>
      </c>
      <c r="B1620" s="888" t="str">
        <f>IF(LEN('Translation-EN'!B1620)&gt;0,'Translation-EN'!B1620,"")</f>
        <v>Master sheet</v>
      </c>
      <c r="C1620" s="888" t="str">
        <f>IF(LEN('Translation-EN'!C1620)&gt;0,'Translation-EN'!C1620,"")</f>
        <v>E32</v>
      </c>
      <c r="D1620" s="888" t="str">
        <f>IF(LEN('Translation-EN'!D1620)&gt;0,'Translation-EN'!D1620,"")</f>
        <v/>
      </c>
      <c r="E1620" s="893" t="s">
        <v>6152</v>
      </c>
      <c r="I1620" s="888"/>
      <c r="J1620" s="888"/>
      <c r="K1620" s="888"/>
      <c r="L1620" s="888"/>
      <c r="M1620" s="888"/>
      <c r="N1620" s="888"/>
      <c r="O1620" s="888"/>
      <c r="P1620" s="888"/>
      <c r="Q1620" s="888"/>
      <c r="R1620" s="888"/>
    </row>
    <row r="1621" spans="1:18" s="893" customFormat="1" x14ac:dyDescent="0.3">
      <c r="A1621" s="888" t="str">
        <f>IF(LEN('Translation-EN'!A1621)&gt;0,'Translation-EN'!A1621,"")</f>
        <v>Range</v>
      </c>
      <c r="B1621" s="888" t="str">
        <f>IF(LEN('Translation-EN'!B1621)&gt;0,'Translation-EN'!B1621,"")</f>
        <v>Master sheet</v>
      </c>
      <c r="C1621" s="888" t="str">
        <f>IF(LEN('Translation-EN'!C1621)&gt;0,'Translation-EN'!C1621,"")</f>
        <v>B33</v>
      </c>
      <c r="D1621" s="888" t="str">
        <f>IF(LEN('Translation-EN'!D1621)&gt;0,'Translation-EN'!D1621,"")</f>
        <v/>
      </c>
      <c r="E1621" s="893" t="str">
        <f>$E$1617</f>
        <v>Brique, argile</v>
      </c>
      <c r="I1621" s="888"/>
      <c r="J1621" s="888"/>
      <c r="K1621" s="888"/>
      <c r="L1621" s="888"/>
      <c r="M1621" s="888"/>
      <c r="N1621" s="888"/>
      <c r="O1621" s="888"/>
      <c r="P1621" s="888"/>
      <c r="Q1621" s="888"/>
      <c r="R1621" s="888"/>
    </row>
    <row r="1622" spans="1:18" s="893" customFormat="1" x14ac:dyDescent="0.3">
      <c r="A1622" s="888" t="str">
        <f>IF(LEN('Translation-EN'!A1622)&gt;0,'Translation-EN'!A1622,"")</f>
        <v>Range</v>
      </c>
      <c r="B1622" s="888" t="str">
        <f>IF(LEN('Translation-EN'!B1622)&gt;0,'Translation-EN'!B1622,"")</f>
        <v>Master sheet</v>
      </c>
      <c r="C1622" s="888" t="str">
        <f>IF(LEN('Translation-EN'!C1622)&gt;0,'Translation-EN'!C1622,"")</f>
        <v>C33</v>
      </c>
      <c r="D1622" s="888" t="str">
        <f>IF(LEN('Translation-EN'!D1622)&gt;0,'Translation-EN'!D1622,"")</f>
        <v/>
      </c>
      <c r="E1622" s="893" t="str">
        <f>$E$1618</f>
        <v>Mutual Materials</v>
      </c>
      <c r="I1622" s="888"/>
      <c r="J1622" s="888"/>
      <c r="K1622" s="888"/>
      <c r="L1622" s="888"/>
      <c r="M1622" s="888"/>
      <c r="N1622" s="888"/>
      <c r="O1622" s="888"/>
      <c r="P1622" s="888"/>
      <c r="Q1622" s="888"/>
      <c r="R1622" s="888"/>
    </row>
    <row r="1623" spans="1:18" s="893" customFormat="1" x14ac:dyDescent="0.3">
      <c r="A1623" s="888" t="str">
        <f>IF(LEN('Translation-EN'!A1623)&gt;0,'Translation-EN'!A1623,"")</f>
        <v>Range</v>
      </c>
      <c r="B1623" s="888" t="str">
        <f>IF(LEN('Translation-EN'!B1623)&gt;0,'Translation-EN'!B1623,"")</f>
        <v>Master sheet</v>
      </c>
      <c r="C1623" s="888" t="str">
        <f>IF(LEN('Translation-EN'!C1623)&gt;0,'Translation-EN'!C1623,"")</f>
        <v>D33</v>
      </c>
      <c r="D1623" s="888" t="str">
        <f>IF(LEN('Translation-EN'!D1623)&gt;0,'Translation-EN'!D1623,"")</f>
        <v/>
      </c>
      <c r="E1623" s="893" t="s">
        <v>6153</v>
      </c>
      <c r="I1623" s="888"/>
      <c r="J1623" s="888"/>
      <c r="K1623" s="888"/>
      <c r="L1623" s="888"/>
      <c r="M1623" s="888"/>
      <c r="N1623" s="888"/>
      <c r="O1623" s="888"/>
      <c r="P1623" s="888"/>
      <c r="Q1623" s="888"/>
      <c r="R1623" s="888"/>
    </row>
    <row r="1624" spans="1:18" s="893" customFormat="1" x14ac:dyDescent="0.3">
      <c r="A1624" s="888" t="str">
        <f>IF(LEN('Translation-EN'!A1624)&gt;0,'Translation-EN'!A1624,"")</f>
        <v>Range</v>
      </c>
      <c r="B1624" s="888" t="str">
        <f>IF(LEN('Translation-EN'!B1624)&gt;0,'Translation-EN'!B1624,"")</f>
        <v>Master sheet</v>
      </c>
      <c r="C1624" s="888" t="str">
        <f>IF(LEN('Translation-EN'!C1624)&gt;0,'Translation-EN'!C1624,"")</f>
        <v>E33</v>
      </c>
      <c r="D1624" s="888" t="str">
        <f>IF(LEN('Translation-EN'!D1624)&gt;0,'Translation-EN'!D1624,"")</f>
        <v/>
      </c>
      <c r="E1624" s="893" t="s">
        <v>6154</v>
      </c>
      <c r="I1624" s="888"/>
      <c r="J1624" s="888"/>
      <c r="K1624" s="888"/>
      <c r="L1624" s="888"/>
      <c r="M1624" s="888"/>
      <c r="N1624" s="888"/>
      <c r="O1624" s="888"/>
      <c r="P1624" s="888"/>
      <c r="Q1624" s="888"/>
      <c r="R1624" s="888"/>
    </row>
    <row r="1625" spans="1:18" s="893" customFormat="1" x14ac:dyDescent="0.3">
      <c r="A1625" s="888" t="str">
        <f>IF(LEN('Translation-EN'!A1625)&gt;0,'Translation-EN'!A1625,"")</f>
        <v>Range</v>
      </c>
      <c r="B1625" s="888" t="str">
        <f>IF(LEN('Translation-EN'!B1625)&gt;0,'Translation-EN'!B1625,"")</f>
        <v>Master sheet</v>
      </c>
      <c r="C1625" s="888" t="str">
        <f>IF(LEN('Translation-EN'!C1625)&gt;0,'Translation-EN'!C1625,"")</f>
        <v>B34</v>
      </c>
      <c r="D1625" s="888" t="str">
        <f>IF(LEN('Translation-EN'!D1625)&gt;0,'Translation-EN'!D1625,"")</f>
        <v/>
      </c>
      <c r="E1625" s="893" t="str">
        <f>$E$1617</f>
        <v>Brique, argile</v>
      </c>
      <c r="I1625" s="888"/>
      <c r="J1625" s="888"/>
      <c r="K1625" s="888"/>
      <c r="L1625" s="888"/>
      <c r="M1625" s="888"/>
      <c r="N1625" s="888"/>
      <c r="O1625" s="888"/>
      <c r="P1625" s="888"/>
      <c r="Q1625" s="888"/>
      <c r="R1625" s="888"/>
    </row>
    <row r="1626" spans="1:18" s="893" customFormat="1" x14ac:dyDescent="0.3">
      <c r="A1626" s="888" t="str">
        <f>IF(LEN('Translation-EN'!A1626)&gt;0,'Translation-EN'!A1626,"")</f>
        <v>Range</v>
      </c>
      <c r="B1626" s="888" t="str">
        <f>IF(LEN('Translation-EN'!B1626)&gt;0,'Translation-EN'!B1626,"")</f>
        <v>Master sheet</v>
      </c>
      <c r="C1626" s="888" t="str">
        <f>IF(LEN('Translation-EN'!C1626)&gt;0,'Translation-EN'!C1626,"")</f>
        <v>C34</v>
      </c>
      <c r="D1626" s="888" t="str">
        <f>IF(LEN('Translation-EN'!D1626)&gt;0,'Translation-EN'!D1626,"")</f>
        <v/>
      </c>
      <c r="E1626" s="893" t="s">
        <v>1001</v>
      </c>
      <c r="I1626" s="888"/>
      <c r="J1626" s="888"/>
      <c r="K1626" s="888"/>
      <c r="L1626" s="888"/>
      <c r="M1626" s="888"/>
      <c r="N1626" s="888"/>
      <c r="O1626" s="888"/>
      <c r="P1626" s="888"/>
      <c r="Q1626" s="888"/>
      <c r="R1626" s="888"/>
    </row>
    <row r="1627" spans="1:18" s="893" customFormat="1" x14ac:dyDescent="0.3">
      <c r="A1627" s="888" t="str">
        <f>IF(LEN('Translation-EN'!A1627)&gt;0,'Translation-EN'!A1627,"")</f>
        <v>Range</v>
      </c>
      <c r="B1627" s="888" t="str">
        <f>IF(LEN('Translation-EN'!B1627)&gt;0,'Translation-EN'!B1627,"")</f>
        <v>Master sheet</v>
      </c>
      <c r="C1627" s="888" t="str">
        <f>IF(LEN('Translation-EN'!C1627)&gt;0,'Translation-EN'!C1627,"")</f>
        <v>D34</v>
      </c>
      <c r="D1627" s="888" t="str">
        <f>IF(LEN('Translation-EN'!D1627)&gt;0,'Translation-EN'!D1627,"")</f>
        <v/>
      </c>
      <c r="E1627" s="893" t="s">
        <v>6155</v>
      </c>
      <c r="I1627" s="888"/>
      <c r="J1627" s="888"/>
      <c r="K1627" s="888"/>
      <c r="L1627" s="888"/>
      <c r="M1627" s="888"/>
      <c r="N1627" s="888"/>
      <c r="O1627" s="888"/>
      <c r="P1627" s="888"/>
      <c r="Q1627" s="888"/>
      <c r="R1627" s="888"/>
    </row>
    <row r="1628" spans="1:18" s="893" customFormat="1" x14ac:dyDescent="0.3">
      <c r="A1628" s="888" t="str">
        <f>IF(LEN('Translation-EN'!A1628)&gt;0,'Translation-EN'!A1628,"")</f>
        <v>Range</v>
      </c>
      <c r="B1628" s="888" t="str">
        <f>IF(LEN('Translation-EN'!B1628)&gt;0,'Translation-EN'!B1628,"")</f>
        <v>Master sheet</v>
      </c>
      <c r="C1628" s="888" t="str">
        <f>IF(LEN('Translation-EN'!C1628)&gt;0,'Translation-EN'!C1628,"")</f>
        <v>E34</v>
      </c>
      <c r="D1628" s="888" t="str">
        <f>IF(LEN('Translation-EN'!D1628)&gt;0,'Translation-EN'!D1628,"")</f>
        <v/>
      </c>
      <c r="E1628" s="893" t="str">
        <f>$E$1620</f>
        <v xml:space="preserve">3-5/8 po x 2-3/4 po x 7-5/8 po (92 x 70 x 194 mm), mortier de 3/8 po inclus3-5/8 po x 2-3/4 po x 7-5/8 po (92 x 70 x 194 mm) avec mortier de 3/8 po </v>
      </c>
      <c r="I1628" s="888"/>
      <c r="J1628" s="888"/>
      <c r="K1628" s="888"/>
      <c r="L1628" s="888"/>
      <c r="M1628" s="888"/>
      <c r="N1628" s="888"/>
      <c r="O1628" s="888"/>
      <c r="P1628" s="888"/>
      <c r="Q1628" s="888"/>
      <c r="R1628" s="888"/>
    </row>
    <row r="1629" spans="1:18" s="893" customFormat="1" x14ac:dyDescent="0.3">
      <c r="A1629" s="888" t="str">
        <f>IF(LEN('Translation-EN'!A1629)&gt;0,'Translation-EN'!A1629,"")</f>
        <v>Range</v>
      </c>
      <c r="B1629" s="888" t="str">
        <f>IF(LEN('Translation-EN'!B1629)&gt;0,'Translation-EN'!B1629,"")</f>
        <v>Master sheet</v>
      </c>
      <c r="C1629" s="888" t="str">
        <f>IF(LEN('Translation-EN'!C1629)&gt;0,'Translation-EN'!C1629,"")</f>
        <v>B35</v>
      </c>
      <c r="D1629" s="888" t="str">
        <f>IF(LEN('Translation-EN'!D1629)&gt;0,'Translation-EN'!D1629,"")</f>
        <v/>
      </c>
      <c r="E1629" s="893" t="str">
        <f>$E$1617</f>
        <v>Brique, argile</v>
      </c>
      <c r="I1629" s="888"/>
      <c r="J1629" s="888"/>
      <c r="K1629" s="888"/>
      <c r="L1629" s="888"/>
      <c r="M1629" s="888"/>
      <c r="N1629" s="888"/>
      <c r="O1629" s="888"/>
      <c r="P1629" s="888"/>
      <c r="Q1629" s="888"/>
      <c r="R1629" s="888"/>
    </row>
    <row r="1630" spans="1:18" s="893" customFormat="1" x14ac:dyDescent="0.3">
      <c r="A1630" s="888" t="str">
        <f>IF(LEN('Translation-EN'!A1630)&gt;0,'Translation-EN'!A1630,"")</f>
        <v>Range</v>
      </c>
      <c r="B1630" s="888" t="str">
        <f>IF(LEN('Translation-EN'!B1630)&gt;0,'Translation-EN'!B1630,"")</f>
        <v>Master sheet</v>
      </c>
      <c r="C1630" s="888" t="str">
        <f>IF(LEN('Translation-EN'!C1630)&gt;0,'Translation-EN'!C1630,"")</f>
        <v>C35</v>
      </c>
      <c r="D1630" s="888" t="str">
        <f>IF(LEN('Translation-EN'!D1630)&gt;0,'Translation-EN'!D1630,"")</f>
        <v/>
      </c>
      <c r="E1630" s="893" t="str">
        <f>$E$1626</f>
        <v>Interstate</v>
      </c>
      <c r="I1630" s="888"/>
      <c r="J1630" s="888"/>
      <c r="K1630" s="888"/>
      <c r="L1630" s="888"/>
      <c r="M1630" s="888"/>
      <c r="N1630" s="888"/>
      <c r="O1630" s="888"/>
      <c r="P1630" s="888"/>
      <c r="Q1630" s="888"/>
      <c r="R1630" s="888"/>
    </row>
    <row r="1631" spans="1:18" s="893" customFormat="1" x14ac:dyDescent="0.3">
      <c r="A1631" s="888" t="str">
        <f>IF(LEN('Translation-EN'!A1631)&gt;0,'Translation-EN'!A1631,"")</f>
        <v>Range</v>
      </c>
      <c r="B1631" s="888" t="str">
        <f>IF(LEN('Translation-EN'!B1631)&gt;0,'Translation-EN'!B1631,"")</f>
        <v>Master sheet</v>
      </c>
      <c r="C1631" s="888" t="str">
        <f>IF(LEN('Translation-EN'!C1631)&gt;0,'Translation-EN'!C1631,"")</f>
        <v>D35</v>
      </c>
      <c r="D1631" s="888" t="str">
        <f>IF(LEN('Translation-EN'!D1631)&gt;0,'Translation-EN'!D1631,"")</f>
        <v/>
      </c>
      <c r="E1631" s="893" t="s">
        <v>6156</v>
      </c>
      <c r="I1631" s="888"/>
      <c r="J1631" s="888"/>
      <c r="K1631" s="888"/>
      <c r="L1631" s="888"/>
      <c r="M1631" s="888"/>
      <c r="N1631" s="888"/>
      <c r="O1631" s="888"/>
      <c r="P1631" s="888"/>
      <c r="Q1631" s="888"/>
      <c r="R1631" s="888"/>
    </row>
    <row r="1632" spans="1:18" s="893" customFormat="1" x14ac:dyDescent="0.3">
      <c r="A1632" s="888" t="str">
        <f>IF(LEN('Translation-EN'!A1632)&gt;0,'Translation-EN'!A1632,"")</f>
        <v>Range</v>
      </c>
      <c r="B1632" s="888" t="str">
        <f>IF(LEN('Translation-EN'!B1632)&gt;0,'Translation-EN'!B1632,"")</f>
        <v>Master sheet</v>
      </c>
      <c r="C1632" s="888" t="str">
        <f>IF(LEN('Translation-EN'!C1632)&gt;0,'Translation-EN'!C1632,"")</f>
        <v>E35</v>
      </c>
      <c r="D1632" s="888" t="str">
        <f>IF(LEN('Translation-EN'!D1632)&gt;0,'Translation-EN'!D1632,"")</f>
        <v/>
      </c>
      <c r="E1632" s="893" t="s">
        <v>6157</v>
      </c>
      <c r="I1632" s="888"/>
      <c r="J1632" s="888"/>
      <c r="K1632" s="888"/>
      <c r="L1632" s="888"/>
      <c r="M1632" s="888"/>
      <c r="N1632" s="888"/>
      <c r="O1632" s="888"/>
      <c r="P1632" s="888"/>
      <c r="Q1632" s="888"/>
      <c r="R1632" s="888"/>
    </row>
    <row r="1633" spans="1:18" s="893" customFormat="1" x14ac:dyDescent="0.3">
      <c r="A1633" s="888" t="str">
        <f>IF(LEN('Translation-EN'!A1633)&gt;0,'Translation-EN'!A1633,"")</f>
        <v>Range</v>
      </c>
      <c r="B1633" s="888" t="str">
        <f>IF(LEN('Translation-EN'!B1633)&gt;0,'Translation-EN'!B1633,"")</f>
        <v>Master sheet</v>
      </c>
      <c r="C1633" s="888" t="str">
        <f>IF(LEN('Translation-EN'!C1633)&gt;0,'Translation-EN'!C1633,"")</f>
        <v>B36</v>
      </c>
      <c r="D1633" s="888" t="str">
        <f>IF(LEN('Translation-EN'!D1633)&gt;0,'Translation-EN'!D1633,"")</f>
        <v/>
      </c>
      <c r="E1633" s="893" t="s">
        <v>6158</v>
      </c>
      <c r="I1633" s="888"/>
      <c r="J1633" s="888"/>
      <c r="K1633" s="888"/>
      <c r="L1633" s="888"/>
      <c r="M1633" s="888"/>
      <c r="N1633" s="888"/>
      <c r="O1633" s="888"/>
      <c r="P1633" s="888"/>
      <c r="Q1633" s="888"/>
      <c r="R1633" s="888"/>
    </row>
    <row r="1634" spans="1:18" s="893" customFormat="1" x14ac:dyDescent="0.3">
      <c r="A1634" s="888" t="str">
        <f>IF(LEN('Translation-EN'!A1634)&gt;0,'Translation-EN'!A1634,"")</f>
        <v>Range</v>
      </c>
      <c r="B1634" s="888" t="str">
        <f>IF(LEN('Translation-EN'!B1634)&gt;0,'Translation-EN'!B1634,"")</f>
        <v>Master sheet</v>
      </c>
      <c r="C1634" s="888" t="str">
        <f>IF(LEN('Translation-EN'!C1634)&gt;0,'Translation-EN'!C1634,"")</f>
        <v>C36</v>
      </c>
      <c r="D1634" s="888" t="str">
        <f>IF(LEN('Translation-EN'!D1634)&gt;0,'Translation-EN'!D1634,"")</f>
        <v/>
      </c>
      <c r="E1634" s="893" t="s">
        <v>6159</v>
      </c>
      <c r="I1634" s="888"/>
      <c r="J1634" s="888"/>
      <c r="K1634" s="888"/>
      <c r="L1634" s="888"/>
      <c r="M1634" s="888"/>
      <c r="N1634" s="888"/>
      <c r="O1634" s="888"/>
      <c r="P1634" s="888"/>
      <c r="Q1634" s="888"/>
      <c r="R1634" s="888"/>
    </row>
    <row r="1635" spans="1:18" s="893" customFormat="1" x14ac:dyDescent="0.3">
      <c r="A1635" s="888" t="str">
        <f>IF(LEN('Translation-EN'!A1635)&gt;0,'Translation-EN'!A1635,"")</f>
        <v>Range</v>
      </c>
      <c r="B1635" s="888" t="str">
        <f>IF(LEN('Translation-EN'!B1635)&gt;0,'Translation-EN'!B1635,"")</f>
        <v>Master sheet</v>
      </c>
      <c r="C1635" s="888" t="str">
        <f>IF(LEN('Translation-EN'!C1635)&gt;0,'Translation-EN'!C1635,"")</f>
        <v>D36</v>
      </c>
      <c r="D1635" s="888" t="str">
        <f>IF(LEN('Translation-EN'!D1635)&gt;0,'Translation-EN'!D1635,"")</f>
        <v/>
      </c>
      <c r="E1635" s="893" t="s">
        <v>6160</v>
      </c>
      <c r="I1635" s="888"/>
      <c r="J1635" s="888"/>
      <c r="K1635" s="888"/>
      <c r="L1635" s="888"/>
      <c r="M1635" s="888"/>
      <c r="N1635" s="888"/>
      <c r="O1635" s="888"/>
      <c r="P1635" s="888"/>
      <c r="Q1635" s="888"/>
      <c r="R1635" s="888"/>
    </row>
    <row r="1636" spans="1:18" s="893" customFormat="1" x14ac:dyDescent="0.3">
      <c r="A1636" s="888" t="str">
        <f>IF(LEN('Translation-EN'!A1636)&gt;0,'Translation-EN'!A1636,"")</f>
        <v>Range</v>
      </c>
      <c r="B1636" s="888" t="str">
        <f>IF(LEN('Translation-EN'!B1636)&gt;0,'Translation-EN'!B1636,"")</f>
        <v>Master sheet</v>
      </c>
      <c r="C1636" s="888" t="str">
        <f>IF(LEN('Translation-EN'!C1636)&gt;0,'Translation-EN'!C1636,"")</f>
        <v>E36</v>
      </c>
      <c r="D1636" s="888" t="str">
        <f>IF(LEN('Translation-EN'!D1636)&gt;0,'Translation-EN'!D1636,"")</f>
        <v/>
      </c>
      <c r="E1636" s="893" t="s">
        <v>6161</v>
      </c>
      <c r="I1636" s="888"/>
      <c r="J1636" s="888"/>
      <c r="K1636" s="888"/>
      <c r="L1636" s="888"/>
      <c r="M1636" s="888"/>
      <c r="N1636" s="888"/>
      <c r="O1636" s="888"/>
      <c r="P1636" s="888"/>
      <c r="Q1636" s="888"/>
      <c r="R1636" s="888"/>
    </row>
    <row r="1637" spans="1:18" s="893" customFormat="1" x14ac:dyDescent="0.3">
      <c r="A1637" s="888" t="str">
        <f>IF(LEN('Translation-EN'!A1637)&gt;0,'Translation-EN'!A1637,"")</f>
        <v>Range</v>
      </c>
      <c r="B1637" s="888" t="str">
        <f>IF(LEN('Translation-EN'!B1637)&gt;0,'Translation-EN'!B1637,"")</f>
        <v>Master sheet</v>
      </c>
      <c r="C1637" s="888" t="str">
        <f>IF(LEN('Translation-EN'!C1637)&gt;0,'Translation-EN'!C1637,"")</f>
        <v>B37</v>
      </c>
      <c r="D1637" s="888" t="str">
        <f>IF(LEN('Translation-EN'!D1637)&gt;0,'Translation-EN'!D1637,"")</f>
        <v/>
      </c>
      <c r="E1637" s="893" t="str">
        <f>$E$1617</f>
        <v>Brique, argile</v>
      </c>
      <c r="I1637" s="888"/>
      <c r="J1637" s="888"/>
      <c r="K1637" s="888"/>
      <c r="L1637" s="888"/>
      <c r="M1637" s="888"/>
      <c r="N1637" s="888"/>
      <c r="O1637" s="888"/>
      <c r="P1637" s="888"/>
      <c r="Q1637" s="888"/>
      <c r="R1637" s="888"/>
    </row>
    <row r="1638" spans="1:18" s="893" customFormat="1" x14ac:dyDescent="0.3">
      <c r="A1638" s="888" t="str">
        <f>IF(LEN('Translation-EN'!A1638)&gt;0,'Translation-EN'!A1638,"")</f>
        <v>Range</v>
      </c>
      <c r="B1638" s="888" t="str">
        <f>IF(LEN('Translation-EN'!B1638)&gt;0,'Translation-EN'!B1638,"")</f>
        <v>Master sheet</v>
      </c>
      <c r="C1638" s="888" t="str">
        <f>IF(LEN('Translation-EN'!C1638)&gt;0,'Translation-EN'!C1638,"")</f>
        <v>C37</v>
      </c>
      <c r="D1638" s="888" t="str">
        <f>IF(LEN('Translation-EN'!D1638)&gt;0,'Translation-EN'!D1638,"")</f>
        <v/>
      </c>
      <c r="E1638" s="893" t="str">
        <f>$E$1634</f>
        <v>Association de l’industrie de la brique</v>
      </c>
      <c r="I1638" s="888"/>
      <c r="J1638" s="888"/>
      <c r="K1638" s="888"/>
      <c r="L1638" s="888"/>
      <c r="M1638" s="888"/>
      <c r="N1638" s="888"/>
      <c r="O1638" s="888"/>
      <c r="P1638" s="888"/>
      <c r="Q1638" s="888"/>
      <c r="R1638" s="888"/>
    </row>
    <row r="1639" spans="1:18" s="893" customFormat="1" x14ac:dyDescent="0.3">
      <c r="A1639" s="888" t="str">
        <f>IF(LEN('Translation-EN'!A1639)&gt;0,'Translation-EN'!A1639,"")</f>
        <v>Range</v>
      </c>
      <c r="B1639" s="888" t="str">
        <f>IF(LEN('Translation-EN'!B1639)&gt;0,'Translation-EN'!B1639,"")</f>
        <v>Master sheet</v>
      </c>
      <c r="C1639" s="888" t="str">
        <f>IF(LEN('Translation-EN'!C1639)&gt;0,'Translation-EN'!C1639,"")</f>
        <v>D37</v>
      </c>
      <c r="D1639" s="888" t="str">
        <f>IF(LEN('Translation-EN'!D1639)&gt;0,'Translation-EN'!D1639,"")</f>
        <v/>
      </c>
      <c r="E1639" s="893" t="str">
        <f>$E$1635</f>
        <v>Moyenne de l’industrie États-Unis–Canada</v>
      </c>
      <c r="I1639" s="888"/>
      <c r="J1639" s="888"/>
      <c r="K1639" s="888"/>
      <c r="L1639" s="888"/>
      <c r="M1639" s="888"/>
      <c r="N1639" s="888"/>
      <c r="O1639" s="888"/>
      <c r="P1639" s="888"/>
      <c r="Q1639" s="888"/>
      <c r="R1639" s="888"/>
    </row>
    <row r="1640" spans="1:18" s="893" customFormat="1" x14ac:dyDescent="0.3">
      <c r="A1640" s="888" t="str">
        <f>IF(LEN('Translation-EN'!A1640)&gt;0,'Translation-EN'!A1640,"")</f>
        <v>Range</v>
      </c>
      <c r="B1640" s="888" t="str">
        <f>IF(LEN('Translation-EN'!B1640)&gt;0,'Translation-EN'!B1640,"")</f>
        <v>Master sheet</v>
      </c>
      <c r="C1640" s="888" t="str">
        <f>IF(LEN('Translation-EN'!C1640)&gt;0,'Translation-EN'!C1640,"")</f>
        <v>B38</v>
      </c>
      <c r="D1640" s="888" t="str">
        <f>IF(LEN('Translation-EN'!D1640)&gt;0,'Translation-EN'!D1640,"")</f>
        <v/>
      </c>
      <c r="E1640" s="893" t="s">
        <v>6162</v>
      </c>
      <c r="I1640" s="888"/>
      <c r="J1640" s="888"/>
      <c r="K1640" s="888"/>
      <c r="L1640" s="888"/>
      <c r="M1640" s="888"/>
      <c r="N1640" s="888"/>
      <c r="O1640" s="888"/>
      <c r="P1640" s="888"/>
      <c r="Q1640" s="888"/>
      <c r="R1640" s="888"/>
    </row>
    <row r="1641" spans="1:18" s="893" customFormat="1" x14ac:dyDescent="0.3">
      <c r="A1641" s="888" t="str">
        <f>IF(LEN('Translation-EN'!A1641)&gt;0,'Translation-EN'!A1641,"")</f>
        <v>Range</v>
      </c>
      <c r="B1641" s="888" t="str">
        <f>IF(LEN('Translation-EN'!B1641)&gt;0,'Translation-EN'!B1641,"")</f>
        <v>Master sheet</v>
      </c>
      <c r="C1641" s="888" t="str">
        <f>IF(LEN('Translation-EN'!C1641)&gt;0,'Translation-EN'!C1641,"")</f>
        <v>E38</v>
      </c>
      <c r="D1641" s="888" t="str">
        <f>IF(LEN('Translation-EN'!D1641)&gt;0,'Translation-EN'!D1641,"")</f>
        <v/>
      </c>
      <c r="E1641" s="893" t="s">
        <v>6163</v>
      </c>
      <c r="I1641" s="888"/>
      <c r="J1641" s="888"/>
      <c r="K1641" s="888"/>
      <c r="L1641" s="888"/>
      <c r="M1641" s="888"/>
      <c r="N1641" s="888"/>
      <c r="O1641" s="888"/>
      <c r="P1641" s="888"/>
      <c r="Q1641" s="888"/>
      <c r="R1641" s="888"/>
    </row>
    <row r="1642" spans="1:18" s="893" customFormat="1" x14ac:dyDescent="0.3">
      <c r="A1642" s="888" t="str">
        <f>IF(LEN('Translation-EN'!A1642)&gt;0,'Translation-EN'!A1642,"")</f>
        <v>Range</v>
      </c>
      <c r="B1642" s="888" t="str">
        <f>IF(LEN('Translation-EN'!B1642)&gt;0,'Translation-EN'!B1642,"")</f>
        <v>Master sheet</v>
      </c>
      <c r="C1642" s="888" t="str">
        <f>IF(LEN('Translation-EN'!C1642)&gt;0,'Translation-EN'!C1642,"")</f>
        <v>B39</v>
      </c>
      <c r="D1642" s="888" t="str">
        <f>IF(LEN('Translation-EN'!D1642)&gt;0,'Translation-EN'!D1642,"")</f>
        <v/>
      </c>
      <c r="E1642" s="893" t="str">
        <f>$E$1640</f>
        <v>Tapis</v>
      </c>
      <c r="I1642" s="888"/>
      <c r="J1642" s="888"/>
      <c r="K1642" s="888"/>
      <c r="L1642" s="888"/>
      <c r="M1642" s="888"/>
      <c r="N1642" s="888"/>
      <c r="O1642" s="888"/>
      <c r="P1642" s="888"/>
      <c r="Q1642" s="888"/>
      <c r="R1642" s="888"/>
    </row>
    <row r="1643" spans="1:18" s="893" customFormat="1" x14ac:dyDescent="0.3">
      <c r="A1643" s="888" t="str">
        <f>IF(LEN('Translation-EN'!A1643)&gt;0,'Translation-EN'!A1643,"")</f>
        <v>Range</v>
      </c>
      <c r="B1643" s="888" t="str">
        <f>IF(LEN('Translation-EN'!B1643)&gt;0,'Translation-EN'!B1643,"")</f>
        <v>Master sheet</v>
      </c>
      <c r="C1643" s="888" t="str">
        <f>IF(LEN('Translation-EN'!C1643)&gt;0,'Translation-EN'!C1643,"")</f>
        <v>D39</v>
      </c>
      <c r="D1643" s="888" t="str">
        <f>IF(LEN('Translation-EN'!D1643)&gt;0,'Translation-EN'!D1643,"")</f>
        <v/>
      </c>
      <c r="E1643" s="893" t="s">
        <v>6164</v>
      </c>
      <c r="I1643" s="888"/>
      <c r="J1643" s="888"/>
      <c r="K1643" s="888"/>
      <c r="L1643" s="888"/>
      <c r="M1643" s="888"/>
      <c r="N1643" s="888"/>
      <c r="O1643" s="888"/>
      <c r="P1643" s="888"/>
      <c r="Q1643" s="888"/>
      <c r="R1643" s="888"/>
    </row>
    <row r="1644" spans="1:18" s="893" customFormat="1" x14ac:dyDescent="0.3">
      <c r="A1644" s="888" t="str">
        <f>IF(LEN('Translation-EN'!A1644)&gt;0,'Translation-EN'!A1644,"")</f>
        <v>Range</v>
      </c>
      <c r="B1644" s="888" t="str">
        <f>IF(LEN('Translation-EN'!B1644)&gt;0,'Translation-EN'!B1644,"")</f>
        <v>Master sheet</v>
      </c>
      <c r="C1644" s="888" t="str">
        <f>IF(LEN('Translation-EN'!C1644)&gt;0,'Translation-EN'!C1644,"")</f>
        <v>E39</v>
      </c>
      <c r="D1644" s="888" t="str">
        <f>IF(LEN('Translation-EN'!D1644)&gt;0,'Translation-EN'!D1644,"")</f>
        <v/>
      </c>
      <c r="E1644" s="893" t="s">
        <v>6165</v>
      </c>
      <c r="I1644" s="888"/>
      <c r="J1644" s="888"/>
      <c r="K1644" s="888"/>
      <c r="L1644" s="888"/>
      <c r="M1644" s="888"/>
      <c r="N1644" s="888"/>
      <c r="O1644" s="888"/>
      <c r="P1644" s="888"/>
      <c r="Q1644" s="888"/>
      <c r="R1644" s="888"/>
    </row>
    <row r="1645" spans="1:18" s="893" customFormat="1" x14ac:dyDescent="0.3">
      <c r="A1645" s="888" t="str">
        <f>IF(LEN('Translation-EN'!A1645)&gt;0,'Translation-EN'!A1645,"")</f>
        <v>Range</v>
      </c>
      <c r="B1645" s="888" t="str">
        <f>IF(LEN('Translation-EN'!B1645)&gt;0,'Translation-EN'!B1645,"")</f>
        <v>Master sheet</v>
      </c>
      <c r="C1645" s="888" t="str">
        <f>IF(LEN('Translation-EN'!C1645)&gt;0,'Translation-EN'!C1645,"")</f>
        <v>B40</v>
      </c>
      <c r="D1645" s="888" t="str">
        <f>IF(LEN('Translation-EN'!D1645)&gt;0,'Translation-EN'!D1645,"")</f>
        <v/>
      </c>
      <c r="E1645" s="893" t="str">
        <f>$E$1640</f>
        <v>Tapis</v>
      </c>
      <c r="I1645" s="888"/>
      <c r="J1645" s="888"/>
      <c r="K1645" s="888"/>
      <c r="L1645" s="888"/>
      <c r="M1645" s="888"/>
      <c r="N1645" s="888"/>
      <c r="O1645" s="888"/>
      <c r="P1645" s="888"/>
      <c r="Q1645" s="888"/>
      <c r="R1645" s="888"/>
    </row>
    <row r="1646" spans="1:18" s="893" customFormat="1" x14ac:dyDescent="0.3">
      <c r="A1646" s="888" t="str">
        <f>IF(LEN('Translation-EN'!A1646)&gt;0,'Translation-EN'!A1646,"")</f>
        <v>Range</v>
      </c>
      <c r="B1646" s="888" t="str">
        <f>IF(LEN('Translation-EN'!B1646)&gt;0,'Translation-EN'!B1646,"")</f>
        <v>Master sheet</v>
      </c>
      <c r="C1646" s="888" t="str">
        <f>IF(LEN('Translation-EN'!C1646)&gt;0,'Translation-EN'!C1646,"")</f>
        <v>D40</v>
      </c>
      <c r="D1646" s="888" t="str">
        <f>IF(LEN('Translation-EN'!D1646)&gt;0,'Translation-EN'!D1646,"")</f>
        <v/>
      </c>
      <c r="E1646" s="893" t="s">
        <v>6166</v>
      </c>
      <c r="I1646" s="888"/>
      <c r="J1646" s="888"/>
      <c r="K1646" s="888"/>
      <c r="L1646" s="888"/>
      <c r="M1646" s="888"/>
      <c r="N1646" s="888"/>
      <c r="O1646" s="888"/>
      <c r="P1646" s="888"/>
      <c r="Q1646" s="888"/>
      <c r="R1646" s="888"/>
    </row>
    <row r="1647" spans="1:18" s="893" customFormat="1" x14ac:dyDescent="0.3">
      <c r="A1647" s="888" t="str">
        <f>IF(LEN('Translation-EN'!A1647)&gt;0,'Translation-EN'!A1647,"")</f>
        <v>Range</v>
      </c>
      <c r="B1647" s="888" t="str">
        <f>IF(LEN('Translation-EN'!B1647)&gt;0,'Translation-EN'!B1647,"")</f>
        <v>Master sheet</v>
      </c>
      <c r="C1647" s="888" t="str">
        <f>IF(LEN('Translation-EN'!C1647)&gt;0,'Translation-EN'!C1647,"")</f>
        <v>E40</v>
      </c>
      <c r="D1647" s="888" t="str">
        <f>IF(LEN('Translation-EN'!D1647)&gt;0,'Translation-EN'!D1647,"")</f>
        <v/>
      </c>
      <c r="E1647" s="893" t="s">
        <v>6167</v>
      </c>
      <c r="I1647" s="888"/>
      <c r="J1647" s="888"/>
      <c r="K1647" s="888"/>
      <c r="L1647" s="888"/>
      <c r="M1647" s="888"/>
      <c r="N1647" s="888"/>
      <c r="O1647" s="888"/>
      <c r="P1647" s="888"/>
      <c r="Q1647" s="888"/>
      <c r="R1647" s="888"/>
    </row>
    <row r="1648" spans="1:18" s="893" customFormat="1" x14ac:dyDescent="0.3">
      <c r="A1648" s="888" t="str">
        <f>IF(LEN('Translation-EN'!A1648)&gt;0,'Translation-EN'!A1648,"")</f>
        <v>Range</v>
      </c>
      <c r="B1648" s="888" t="str">
        <f>IF(LEN('Translation-EN'!B1648)&gt;0,'Translation-EN'!B1648,"")</f>
        <v>Master sheet</v>
      </c>
      <c r="C1648" s="888" t="str">
        <f>IF(LEN('Translation-EN'!C1648)&gt;0,'Translation-EN'!C1648,"")</f>
        <v>B42</v>
      </c>
      <c r="D1648" s="888" t="str">
        <f>IF(LEN('Translation-EN'!D1648)&gt;0,'Translation-EN'!D1648,"")</f>
        <v/>
      </c>
      <c r="E1648" s="893" t="str">
        <f>$E$1640</f>
        <v>Tapis</v>
      </c>
      <c r="I1648" s="888"/>
      <c r="J1648" s="888"/>
      <c r="K1648" s="888"/>
      <c r="L1648" s="888"/>
      <c r="M1648" s="888"/>
      <c r="N1648" s="888"/>
      <c r="O1648" s="888"/>
      <c r="P1648" s="888"/>
      <c r="Q1648" s="888"/>
      <c r="R1648" s="888"/>
    </row>
    <row r="1649" spans="1:18" s="893" customFormat="1" x14ac:dyDescent="0.3">
      <c r="A1649" s="888" t="str">
        <f>IF(LEN('Translation-EN'!A1649)&gt;0,'Translation-EN'!A1649,"")</f>
        <v>Range</v>
      </c>
      <c r="B1649" s="888" t="str">
        <f>IF(LEN('Translation-EN'!B1649)&gt;0,'Translation-EN'!B1649,"")</f>
        <v>Master sheet</v>
      </c>
      <c r="C1649" s="888" t="str">
        <f>IF(LEN('Translation-EN'!C1649)&gt;0,'Translation-EN'!C1649,"")</f>
        <v>C42</v>
      </c>
      <c r="D1649" s="888" t="str">
        <f>IF(LEN('Translation-EN'!D1649)&gt;0,'Translation-EN'!D1649,"")</f>
        <v/>
      </c>
      <c r="E1649" s="893" t="s">
        <v>191</v>
      </c>
      <c r="I1649" s="888"/>
      <c r="J1649" s="888"/>
      <c r="K1649" s="888"/>
      <c r="L1649" s="888"/>
      <c r="M1649" s="888"/>
      <c r="N1649" s="888"/>
      <c r="O1649" s="888"/>
      <c r="P1649" s="888"/>
      <c r="Q1649" s="888"/>
      <c r="R1649" s="888"/>
    </row>
    <row r="1650" spans="1:18" s="893" customFormat="1" x14ac:dyDescent="0.3">
      <c r="A1650" s="888" t="str">
        <f>IF(LEN('Translation-EN'!A1650)&gt;0,'Translation-EN'!A1650,"")</f>
        <v>Range</v>
      </c>
      <c r="B1650" s="888" t="str">
        <f>IF(LEN('Translation-EN'!B1650)&gt;0,'Translation-EN'!B1650,"")</f>
        <v>Master sheet</v>
      </c>
      <c r="C1650" s="888" t="str">
        <f>IF(LEN('Translation-EN'!C1650)&gt;0,'Translation-EN'!C1650,"")</f>
        <v>D42</v>
      </c>
      <c r="D1650" s="888" t="str">
        <f>IF(LEN('Translation-EN'!D1650)&gt;0,'Translation-EN'!D1650,"")</f>
        <v/>
      </c>
      <c r="E1650" s="893" t="s">
        <v>192</v>
      </c>
      <c r="I1650" s="888"/>
      <c r="J1650" s="888"/>
      <c r="K1650" s="888"/>
      <c r="L1650" s="888"/>
      <c r="M1650" s="888"/>
      <c r="N1650" s="888"/>
      <c r="O1650" s="888"/>
      <c r="P1650" s="888"/>
      <c r="Q1650" s="888"/>
      <c r="R1650" s="888"/>
    </row>
    <row r="1651" spans="1:18" s="893" customFormat="1" x14ac:dyDescent="0.3">
      <c r="A1651" s="888" t="str">
        <f>IF(LEN('Translation-EN'!A1651)&gt;0,'Translation-EN'!A1651,"")</f>
        <v>Range</v>
      </c>
      <c r="B1651" s="888" t="str">
        <f>IF(LEN('Translation-EN'!B1651)&gt;0,'Translation-EN'!B1651,"")</f>
        <v>Master sheet</v>
      </c>
      <c r="C1651" s="888" t="str">
        <f>IF(LEN('Translation-EN'!C1651)&gt;0,'Translation-EN'!C1651,"")</f>
        <v>E42</v>
      </c>
      <c r="D1651" s="888" t="str">
        <f>IF(LEN('Translation-EN'!D1651)&gt;0,'Translation-EN'!D1651,"")</f>
        <v/>
      </c>
      <c r="E1651" s="893" t="s">
        <v>6168</v>
      </c>
      <c r="I1651" s="888"/>
      <c r="J1651" s="888"/>
      <c r="K1651" s="888"/>
      <c r="L1651" s="888"/>
      <c r="M1651" s="888"/>
      <c r="N1651" s="888"/>
      <c r="O1651" s="888"/>
      <c r="P1651" s="888"/>
      <c r="Q1651" s="888"/>
      <c r="R1651" s="888"/>
    </row>
    <row r="1652" spans="1:18" s="893" customFormat="1" x14ac:dyDescent="0.3">
      <c r="A1652" s="888" t="str">
        <f>IF(LEN('Translation-EN'!A1652)&gt;0,'Translation-EN'!A1652,"")</f>
        <v>Range</v>
      </c>
      <c r="B1652" s="888" t="str">
        <f>IF(LEN('Translation-EN'!B1652)&gt;0,'Translation-EN'!B1652,"")</f>
        <v>Master sheet</v>
      </c>
      <c r="C1652" s="888" t="str">
        <f>IF(LEN('Translation-EN'!C1652)&gt;0,'Translation-EN'!C1652,"")</f>
        <v>B43</v>
      </c>
      <c r="D1652" s="888" t="str">
        <f>IF(LEN('Translation-EN'!D1652)&gt;0,'Translation-EN'!D1652,"")</f>
        <v/>
      </c>
      <c r="E1652" s="893" t="s">
        <v>6169</v>
      </c>
      <c r="I1652" s="888"/>
      <c r="J1652" s="888"/>
      <c r="K1652" s="888"/>
      <c r="L1652" s="888"/>
      <c r="M1652" s="888"/>
      <c r="N1652" s="888"/>
      <c r="O1652" s="888"/>
      <c r="P1652" s="888"/>
      <c r="Q1652" s="888"/>
      <c r="R1652" s="888"/>
    </row>
    <row r="1653" spans="1:18" s="893" customFormat="1" x14ac:dyDescent="0.3">
      <c r="A1653" s="888" t="str">
        <f>IF(LEN('Translation-EN'!A1653)&gt;0,'Translation-EN'!A1653,"")</f>
        <v>Range</v>
      </c>
      <c r="B1653" s="888" t="str">
        <f>IF(LEN('Translation-EN'!B1653)&gt;0,'Translation-EN'!B1653,"")</f>
        <v>Master sheet</v>
      </c>
      <c r="C1653" s="888" t="str">
        <f>IF(LEN('Translation-EN'!C1653)&gt;0,'Translation-EN'!C1653,"")</f>
        <v>E43</v>
      </c>
      <c r="D1653" s="888" t="str">
        <f>IF(LEN('Translation-EN'!D1653)&gt;0,'Translation-EN'!D1653,"")</f>
        <v/>
      </c>
      <c r="E1653" s="893" t="s">
        <v>6170</v>
      </c>
      <c r="I1653" s="888"/>
      <c r="J1653" s="888"/>
      <c r="K1653" s="888"/>
      <c r="L1653" s="888"/>
      <c r="M1653" s="888"/>
      <c r="N1653" s="888"/>
      <c r="O1653" s="888"/>
      <c r="P1653" s="888"/>
      <c r="Q1653" s="888"/>
      <c r="R1653" s="888"/>
    </row>
    <row r="1654" spans="1:18" s="893" customFormat="1" x14ac:dyDescent="0.3">
      <c r="A1654" s="888" t="str">
        <f>IF(LEN('Translation-EN'!A1654)&gt;0,'Translation-EN'!A1654,"")</f>
        <v>Range</v>
      </c>
      <c r="B1654" s="888" t="str">
        <f>IF(LEN('Translation-EN'!B1654)&gt;0,'Translation-EN'!B1654,"")</f>
        <v>Master sheet</v>
      </c>
      <c r="C1654" s="888" t="str">
        <f>IF(LEN('Translation-EN'!C1654)&gt;0,'Translation-EN'!C1654,"")</f>
        <v>B44</v>
      </c>
      <c r="D1654" s="888" t="str">
        <f>IF(LEN('Translation-EN'!D1654)&gt;0,'Translation-EN'!D1654,"")</f>
        <v/>
      </c>
      <c r="E1654" s="893" t="s">
        <v>6171</v>
      </c>
      <c r="I1654" s="888"/>
      <c r="J1654" s="888"/>
      <c r="K1654" s="888"/>
      <c r="L1654" s="888"/>
      <c r="M1654" s="888"/>
      <c r="N1654" s="888"/>
      <c r="O1654" s="888"/>
      <c r="P1654" s="888"/>
      <c r="Q1654" s="888"/>
      <c r="R1654" s="888"/>
    </row>
    <row r="1655" spans="1:18" s="893" customFormat="1" x14ac:dyDescent="0.3">
      <c r="A1655" s="888" t="str">
        <f>IF(LEN('Translation-EN'!A1655)&gt;0,'Translation-EN'!A1655,"")</f>
        <v>Range</v>
      </c>
      <c r="B1655" s="888" t="str">
        <f>IF(LEN('Translation-EN'!B1655)&gt;0,'Translation-EN'!B1655,"")</f>
        <v>Master sheet</v>
      </c>
      <c r="C1655" s="888" t="str">
        <f>IF(LEN('Translation-EN'!C1655)&gt;0,'Translation-EN'!C1655,"")</f>
        <v>C44</v>
      </c>
      <c r="D1655" s="888" t="str">
        <f>IF(LEN('Translation-EN'!D1655)&gt;0,'Translation-EN'!D1655,"")</f>
        <v/>
      </c>
      <c r="E1655" s="893" t="s">
        <v>6172</v>
      </c>
      <c r="I1655" s="888"/>
      <c r="J1655" s="888"/>
      <c r="K1655" s="888"/>
      <c r="L1655" s="888"/>
      <c r="M1655" s="888"/>
      <c r="N1655" s="888"/>
      <c r="O1655" s="888"/>
      <c r="P1655" s="888"/>
      <c r="Q1655" s="888"/>
      <c r="R1655" s="888"/>
    </row>
    <row r="1656" spans="1:18" s="893" customFormat="1" x14ac:dyDescent="0.3">
      <c r="A1656" s="888" t="str">
        <f>IF(LEN('Translation-EN'!A1656)&gt;0,'Translation-EN'!A1656,"")</f>
        <v>Range</v>
      </c>
      <c r="B1656" s="888" t="str">
        <f>IF(LEN('Translation-EN'!B1656)&gt;0,'Translation-EN'!B1656,"")</f>
        <v>Master sheet</v>
      </c>
      <c r="C1656" s="888" t="str">
        <f>IF(LEN('Translation-EN'!C1656)&gt;0,'Translation-EN'!C1656,"")</f>
        <v>E44</v>
      </c>
      <c r="D1656" s="888" t="str">
        <f>IF(LEN('Translation-EN'!D1656)&gt;0,'Translation-EN'!D1656,"")</f>
        <v/>
      </c>
      <c r="E1656" s="893" t="s">
        <v>6173</v>
      </c>
      <c r="I1656" s="888"/>
      <c r="J1656" s="888"/>
      <c r="K1656" s="888"/>
      <c r="L1656" s="888"/>
      <c r="M1656" s="888"/>
      <c r="N1656" s="888"/>
      <c r="O1656" s="888"/>
      <c r="P1656" s="888"/>
      <c r="Q1656" s="888"/>
      <c r="R1656" s="888"/>
    </row>
    <row r="1657" spans="1:18" s="893" customFormat="1" x14ac:dyDescent="0.3">
      <c r="A1657" s="888" t="str">
        <f>IF(LEN('Translation-EN'!A1657)&gt;0,'Translation-EN'!A1657,"")</f>
        <v>Range</v>
      </c>
      <c r="B1657" s="888" t="str">
        <f>IF(LEN('Translation-EN'!B1657)&gt;0,'Translation-EN'!B1657,"")</f>
        <v>Master sheet</v>
      </c>
      <c r="C1657" s="888" t="str">
        <f>IF(LEN('Translation-EN'!C1657)&gt;0,'Translation-EN'!C1657,"")</f>
        <v>B45</v>
      </c>
      <c r="D1657" s="888" t="str">
        <f>IF(LEN('Translation-EN'!D1657)&gt;0,'Translation-EN'!D1657,"")</f>
        <v/>
      </c>
      <c r="E1657" s="893" t="s">
        <v>6174</v>
      </c>
      <c r="I1657" s="888"/>
      <c r="J1657" s="888"/>
      <c r="K1657" s="888"/>
      <c r="L1657" s="888"/>
      <c r="M1657" s="888"/>
      <c r="N1657" s="888"/>
      <c r="O1657" s="888"/>
      <c r="P1657" s="888"/>
      <c r="Q1657" s="888"/>
      <c r="R1657" s="888"/>
    </row>
    <row r="1658" spans="1:18" s="893" customFormat="1" x14ac:dyDescent="0.3">
      <c r="A1658" s="888" t="str">
        <f>IF(LEN('Translation-EN'!A1658)&gt;0,'Translation-EN'!A1658,"")</f>
        <v>Range</v>
      </c>
      <c r="B1658" s="888" t="str">
        <f>IF(LEN('Translation-EN'!B1658)&gt;0,'Translation-EN'!B1658,"")</f>
        <v>Master sheet</v>
      </c>
      <c r="C1658" s="888" t="str">
        <f>IF(LEN('Translation-EN'!C1658)&gt;0,'Translation-EN'!C1658,"")</f>
        <v>C45</v>
      </c>
      <c r="D1658" s="888" t="str">
        <f>IF(LEN('Translation-EN'!D1658)&gt;0,'Translation-EN'!D1658,"")</f>
        <v/>
      </c>
      <c r="E1658" s="893" t="s">
        <v>202</v>
      </c>
      <c r="I1658" s="888"/>
      <c r="J1658" s="888"/>
      <c r="K1658" s="888"/>
      <c r="L1658" s="888"/>
      <c r="M1658" s="888"/>
      <c r="N1658" s="888"/>
      <c r="O1658" s="888"/>
      <c r="P1658" s="888"/>
      <c r="Q1658" s="888"/>
      <c r="R1658" s="888"/>
    </row>
    <row r="1659" spans="1:18" s="893" customFormat="1" x14ac:dyDescent="0.3">
      <c r="A1659" s="888" t="str">
        <f>IF(LEN('Translation-EN'!A1659)&gt;0,'Translation-EN'!A1659,"")</f>
        <v>Range</v>
      </c>
      <c r="B1659" s="888" t="str">
        <f>IF(LEN('Translation-EN'!B1659)&gt;0,'Translation-EN'!B1659,"")</f>
        <v>Master sheet</v>
      </c>
      <c r="C1659" s="888" t="str">
        <f>IF(LEN('Translation-EN'!C1659)&gt;0,'Translation-EN'!C1659,"")</f>
        <v>D45</v>
      </c>
      <c r="D1659" s="888" t="str">
        <f>IF(LEN('Translation-EN'!D1659)&gt;0,'Translation-EN'!D1659,"")</f>
        <v/>
      </c>
      <c r="E1659" s="893" t="s">
        <v>203</v>
      </c>
      <c r="I1659" s="888"/>
      <c r="J1659" s="888"/>
      <c r="K1659" s="888"/>
      <c r="L1659" s="888"/>
      <c r="M1659" s="888"/>
      <c r="N1659" s="888"/>
      <c r="O1659" s="888"/>
      <c r="P1659" s="888"/>
      <c r="Q1659" s="888"/>
      <c r="R1659" s="888"/>
    </row>
    <row r="1660" spans="1:18" s="893" customFormat="1" x14ac:dyDescent="0.3">
      <c r="A1660" s="888" t="str">
        <f>IF(LEN('Translation-EN'!A1660)&gt;0,'Translation-EN'!A1660,"")</f>
        <v>Range</v>
      </c>
      <c r="B1660" s="888" t="str">
        <f>IF(LEN('Translation-EN'!B1660)&gt;0,'Translation-EN'!B1660,"")</f>
        <v>Master sheet</v>
      </c>
      <c r="C1660" s="888" t="str">
        <f>IF(LEN('Translation-EN'!C1660)&gt;0,'Translation-EN'!C1660,"")</f>
        <v>E45</v>
      </c>
      <c r="D1660" s="888" t="str">
        <f>IF(LEN('Translation-EN'!D1660)&gt;0,'Translation-EN'!D1660,"")</f>
        <v/>
      </c>
      <c r="E1660" s="893" t="s">
        <v>6175</v>
      </c>
      <c r="I1660" s="888"/>
      <c r="J1660" s="888"/>
      <c r="K1660" s="888"/>
      <c r="L1660" s="888"/>
      <c r="M1660" s="888"/>
      <c r="N1660" s="888"/>
      <c r="O1660" s="888"/>
      <c r="P1660" s="888"/>
      <c r="Q1660" s="888"/>
      <c r="R1660" s="888"/>
    </row>
    <row r="1661" spans="1:18" s="893" customFormat="1" x14ac:dyDescent="0.3">
      <c r="A1661" s="888" t="str">
        <f>IF(LEN('Translation-EN'!A1661)&gt;0,'Translation-EN'!A1661,"")</f>
        <v>Range</v>
      </c>
      <c r="B1661" s="888" t="str">
        <f>IF(LEN('Translation-EN'!B1661)&gt;0,'Translation-EN'!B1661,"")</f>
        <v>Master sheet</v>
      </c>
      <c r="C1661" s="888" t="str">
        <f>IF(LEN('Translation-EN'!C1661)&gt;0,'Translation-EN'!C1661,"")</f>
        <v>B46</v>
      </c>
      <c r="D1661" s="888" t="str">
        <f>IF(LEN('Translation-EN'!D1661)&gt;0,'Translation-EN'!D1661,"")</f>
        <v/>
      </c>
      <c r="E1661" s="893" t="s">
        <v>6176</v>
      </c>
      <c r="I1661" s="888"/>
      <c r="J1661" s="888"/>
      <c r="K1661" s="888"/>
      <c r="L1661" s="888"/>
      <c r="M1661" s="888"/>
      <c r="N1661" s="888"/>
      <c r="O1661" s="888"/>
      <c r="P1661" s="888"/>
      <c r="Q1661" s="888"/>
      <c r="R1661" s="888"/>
    </row>
    <row r="1662" spans="1:18" s="893" customFormat="1" x14ac:dyDescent="0.3">
      <c r="A1662" s="888" t="str">
        <f>IF(LEN('Translation-EN'!A1662)&gt;0,'Translation-EN'!A1662,"")</f>
        <v>Range</v>
      </c>
      <c r="B1662" s="888" t="str">
        <f>IF(LEN('Translation-EN'!B1662)&gt;0,'Translation-EN'!B1662,"")</f>
        <v>Master sheet</v>
      </c>
      <c r="C1662" s="888" t="str">
        <f>IF(LEN('Translation-EN'!C1662)&gt;0,'Translation-EN'!C1662,"")</f>
        <v>D46</v>
      </c>
      <c r="D1662" s="888" t="str">
        <f>IF(LEN('Translation-EN'!D1662)&gt;0,'Translation-EN'!D1662,"")</f>
        <v/>
      </c>
      <c r="E1662" s="893" t="s">
        <v>6177</v>
      </c>
      <c r="I1662" s="888"/>
      <c r="J1662" s="888"/>
      <c r="K1662" s="888"/>
      <c r="L1662" s="888"/>
      <c r="M1662" s="888"/>
      <c r="N1662" s="888"/>
      <c r="O1662" s="888"/>
      <c r="P1662" s="888"/>
      <c r="Q1662" s="888"/>
      <c r="R1662" s="888"/>
    </row>
    <row r="1663" spans="1:18" s="893" customFormat="1" x14ac:dyDescent="0.3">
      <c r="A1663" s="888" t="str">
        <f>IF(LEN('Translation-EN'!A1663)&gt;0,'Translation-EN'!A1663,"")</f>
        <v>Range</v>
      </c>
      <c r="B1663" s="888" t="str">
        <f>IF(LEN('Translation-EN'!B1663)&gt;0,'Translation-EN'!B1663,"")</f>
        <v>Master sheet</v>
      </c>
      <c r="C1663" s="888" t="str">
        <f>IF(LEN('Translation-EN'!C1663)&gt;0,'Translation-EN'!C1663,"")</f>
        <v>E46</v>
      </c>
      <c r="D1663" s="888" t="str">
        <f>IF(LEN('Translation-EN'!D1663)&gt;0,'Translation-EN'!D1663,"")</f>
        <v/>
      </c>
      <c r="E1663" s="893" t="s">
        <v>6178</v>
      </c>
      <c r="I1663" s="888"/>
      <c r="J1663" s="888"/>
      <c r="K1663" s="888"/>
      <c r="L1663" s="888"/>
      <c r="M1663" s="888"/>
      <c r="N1663" s="888"/>
      <c r="O1663" s="888"/>
      <c r="P1663" s="888"/>
      <c r="Q1663" s="888"/>
      <c r="R1663" s="888"/>
    </row>
    <row r="1664" spans="1:18" s="893" customFormat="1" x14ac:dyDescent="0.3">
      <c r="A1664" s="888" t="str">
        <f>IF(LEN('Translation-EN'!A1664)&gt;0,'Translation-EN'!A1664,"")</f>
        <v>Range</v>
      </c>
      <c r="B1664" s="888" t="str">
        <f>IF(LEN('Translation-EN'!B1664)&gt;0,'Translation-EN'!B1664,"")</f>
        <v>Master sheet</v>
      </c>
      <c r="C1664" s="888" t="str">
        <f>IF(LEN('Translation-EN'!C1664)&gt;0,'Translation-EN'!C1664,"")</f>
        <v>B47</v>
      </c>
      <c r="D1664" s="888" t="str">
        <f>IF(LEN('Translation-EN'!D1664)&gt;0,'Translation-EN'!D1664,"")</f>
        <v/>
      </c>
      <c r="E1664" s="893" t="s">
        <v>6179</v>
      </c>
      <c r="I1664" s="888"/>
      <c r="J1664" s="888"/>
      <c r="K1664" s="888"/>
      <c r="L1664" s="888"/>
      <c r="M1664" s="888"/>
      <c r="N1664" s="888"/>
      <c r="O1664" s="888"/>
      <c r="P1664" s="888"/>
      <c r="Q1664" s="888"/>
      <c r="R1664" s="888"/>
    </row>
    <row r="1665" spans="1:18" s="893" customFormat="1" x14ac:dyDescent="0.3">
      <c r="A1665" s="888" t="str">
        <f>IF(LEN('Translation-EN'!A1665)&gt;0,'Translation-EN'!A1665,"")</f>
        <v>Range</v>
      </c>
      <c r="B1665" s="888" t="str">
        <f>IF(LEN('Translation-EN'!B1665)&gt;0,'Translation-EN'!B1665,"")</f>
        <v>Master sheet</v>
      </c>
      <c r="C1665" s="888" t="str">
        <f>IF(LEN('Translation-EN'!C1665)&gt;0,'Translation-EN'!C1665,"")</f>
        <v>D47</v>
      </c>
      <c r="D1665" s="888" t="str">
        <f>IF(LEN('Translation-EN'!D1665)&gt;0,'Translation-EN'!D1665,"")</f>
        <v/>
      </c>
      <c r="E1665" s="893" t="str">
        <f>$E$1662</f>
        <v>Inclus : AFT, Applegate, Can-Cell, Cell-Pak, Cleanfiber, Climatizer, Fiberlite, Igloo, ICC, Mason City, Nu-Wool, Soprema, Thermo-Kool</v>
      </c>
      <c r="I1665" s="888"/>
      <c r="J1665" s="888"/>
      <c r="K1665" s="888"/>
      <c r="L1665" s="888"/>
      <c r="M1665" s="888"/>
      <c r="N1665" s="888"/>
      <c r="O1665" s="888"/>
      <c r="P1665" s="888"/>
      <c r="Q1665" s="888"/>
      <c r="R1665" s="888"/>
    </row>
    <row r="1666" spans="1:18" s="893" customFormat="1" x14ac:dyDescent="0.3">
      <c r="A1666" s="888" t="str">
        <f>IF(LEN('Translation-EN'!A1666)&gt;0,'Translation-EN'!A1666,"")</f>
        <v>Range</v>
      </c>
      <c r="B1666" s="888" t="str">
        <f>IF(LEN('Translation-EN'!B1666)&gt;0,'Translation-EN'!B1666,"")</f>
        <v>Master sheet</v>
      </c>
      <c r="C1666" s="888" t="str">
        <f>IF(LEN('Translation-EN'!C1666)&gt;0,'Translation-EN'!C1666,"")</f>
        <v>E47</v>
      </c>
      <c r="D1666" s="888" t="str">
        <f>IF(LEN('Translation-EN'!D1666)&gt;0,'Translation-EN'!D1666,"")</f>
        <v/>
      </c>
      <c r="E1666" s="893" t="str">
        <f>$E$1663</f>
        <v>R 3,7/po</v>
      </c>
      <c r="I1666" s="888"/>
      <c r="J1666" s="888"/>
      <c r="K1666" s="888"/>
      <c r="L1666" s="888"/>
      <c r="M1666" s="888"/>
      <c r="N1666" s="888"/>
      <c r="O1666" s="888"/>
      <c r="P1666" s="888"/>
      <c r="Q1666" s="888"/>
      <c r="R1666" s="888"/>
    </row>
    <row r="1667" spans="1:18" s="893" customFormat="1" x14ac:dyDescent="0.3">
      <c r="A1667" s="888" t="str">
        <f>IF(LEN('Translation-EN'!A1667)&gt;0,'Translation-EN'!A1667,"")</f>
        <v>Range</v>
      </c>
      <c r="B1667" s="888" t="str">
        <f>IF(LEN('Translation-EN'!B1667)&gt;0,'Translation-EN'!B1667,"")</f>
        <v>Master sheet</v>
      </c>
      <c r="C1667" s="888" t="str">
        <f>IF(LEN('Translation-EN'!C1667)&gt;0,'Translation-EN'!C1667,"")</f>
        <v>B48</v>
      </c>
      <c r="D1667" s="888" t="str">
        <f>IF(LEN('Translation-EN'!D1667)&gt;0,'Translation-EN'!D1667,"")</f>
        <v/>
      </c>
      <c r="E1667" s="893" t="s">
        <v>6180</v>
      </c>
      <c r="I1667" s="888"/>
      <c r="J1667" s="888"/>
      <c r="K1667" s="888"/>
      <c r="L1667" s="888"/>
      <c r="M1667" s="888"/>
      <c r="N1667" s="888"/>
      <c r="O1667" s="888"/>
      <c r="P1667" s="888"/>
      <c r="Q1667" s="888"/>
      <c r="R1667" s="888"/>
    </row>
    <row r="1668" spans="1:18" s="893" customFormat="1" x14ac:dyDescent="0.3">
      <c r="A1668" s="888" t="str">
        <f>IF(LEN('Translation-EN'!A1668)&gt;0,'Translation-EN'!A1668,"")</f>
        <v>Range</v>
      </c>
      <c r="B1668" s="888" t="str">
        <f>IF(LEN('Translation-EN'!B1668)&gt;0,'Translation-EN'!B1668,"")</f>
        <v>Master sheet</v>
      </c>
      <c r="C1668" s="888" t="str">
        <f>IF(LEN('Translation-EN'!C1668)&gt;0,'Translation-EN'!C1668,"")</f>
        <v>C48</v>
      </c>
      <c r="D1668" s="888" t="str">
        <f>IF(LEN('Translation-EN'!D1668)&gt;0,'Translation-EN'!D1668,"")</f>
        <v/>
      </c>
      <c r="E1668" s="893" t="s">
        <v>217</v>
      </c>
      <c r="I1668" s="888"/>
      <c r="J1668" s="888"/>
      <c r="K1668" s="888"/>
      <c r="L1668" s="888"/>
      <c r="M1668" s="888"/>
      <c r="N1668" s="888"/>
      <c r="O1668" s="888"/>
      <c r="P1668" s="888"/>
      <c r="Q1668" s="888"/>
      <c r="R1668" s="888"/>
    </row>
    <row r="1669" spans="1:18" s="893" customFormat="1" x14ac:dyDescent="0.3">
      <c r="A1669" s="888" t="str">
        <f>IF(LEN('Translation-EN'!A1669)&gt;0,'Translation-EN'!A1669,"")</f>
        <v>Range</v>
      </c>
      <c r="B1669" s="888" t="str">
        <f>IF(LEN('Translation-EN'!B1669)&gt;0,'Translation-EN'!B1669,"")</f>
        <v>Master sheet</v>
      </c>
      <c r="C1669" s="888" t="str">
        <f>IF(LEN('Translation-EN'!C1669)&gt;0,'Translation-EN'!C1669,"")</f>
        <v>D48</v>
      </c>
      <c r="D1669" s="888" t="str">
        <f>IF(LEN('Translation-EN'!D1669)&gt;0,'Translation-EN'!D1669,"")</f>
        <v/>
      </c>
      <c r="E1669" s="893" t="s">
        <v>218</v>
      </c>
      <c r="I1669" s="888"/>
      <c r="J1669" s="888"/>
      <c r="K1669" s="888"/>
      <c r="L1669" s="888"/>
      <c r="M1669" s="888"/>
      <c r="N1669" s="888"/>
      <c r="O1669" s="888"/>
      <c r="P1669" s="888"/>
      <c r="Q1669" s="888"/>
      <c r="R1669" s="888"/>
    </row>
    <row r="1670" spans="1:18" s="893" customFormat="1" x14ac:dyDescent="0.3">
      <c r="A1670" s="888" t="str">
        <f>IF(LEN('Translation-EN'!A1670)&gt;0,'Translation-EN'!A1670,"")</f>
        <v>Range</v>
      </c>
      <c r="B1670" s="888" t="str">
        <f>IF(LEN('Translation-EN'!B1670)&gt;0,'Translation-EN'!B1670,"")</f>
        <v>Master sheet</v>
      </c>
      <c r="C1670" s="888" t="str">
        <f>IF(LEN('Translation-EN'!C1670)&gt;0,'Translation-EN'!C1670,"")</f>
        <v>E48</v>
      </c>
      <c r="D1670" s="888" t="str">
        <f>IF(LEN('Translation-EN'!D1670)&gt;0,'Translation-EN'!D1670,"")</f>
        <v/>
      </c>
      <c r="E1670" s="893" t="s">
        <v>6181</v>
      </c>
      <c r="I1670" s="888"/>
      <c r="J1670" s="888"/>
      <c r="K1670" s="888"/>
      <c r="L1670" s="888"/>
      <c r="M1670" s="888"/>
      <c r="N1670" s="888"/>
      <c r="O1670" s="888"/>
      <c r="P1670" s="888"/>
      <c r="Q1670" s="888"/>
      <c r="R1670" s="888"/>
    </row>
    <row r="1671" spans="1:18" s="893" customFormat="1" x14ac:dyDescent="0.3">
      <c r="A1671" s="888" t="str">
        <f>IF(LEN('Translation-EN'!A1671)&gt;0,'Translation-EN'!A1671,"")</f>
        <v>Range</v>
      </c>
      <c r="B1671" s="888" t="str">
        <f>IF(LEN('Translation-EN'!B1671)&gt;0,'Translation-EN'!B1671,"")</f>
        <v>Master sheet</v>
      </c>
      <c r="C1671" s="888" t="str">
        <f>IF(LEN('Translation-EN'!C1671)&gt;0,'Translation-EN'!C1671,"")</f>
        <v>B49</v>
      </c>
      <c r="D1671" s="888" t="str">
        <f>IF(LEN('Translation-EN'!D1671)&gt;0,'Translation-EN'!D1671,"")</f>
        <v/>
      </c>
      <c r="E1671" s="893" t="s">
        <v>6182</v>
      </c>
      <c r="I1671" s="888"/>
      <c r="J1671" s="888"/>
      <c r="K1671" s="888"/>
      <c r="L1671" s="888"/>
      <c r="M1671" s="888"/>
      <c r="N1671" s="888"/>
      <c r="O1671" s="888"/>
      <c r="P1671" s="888"/>
      <c r="Q1671" s="888"/>
      <c r="R1671" s="888"/>
    </row>
    <row r="1672" spans="1:18" s="893" customFormat="1" x14ac:dyDescent="0.3">
      <c r="A1672" s="888" t="str">
        <f>IF(LEN('Translation-EN'!A1672)&gt;0,'Translation-EN'!A1672,"")</f>
        <v>Range</v>
      </c>
      <c r="B1672" s="888" t="str">
        <f>IF(LEN('Translation-EN'!B1672)&gt;0,'Translation-EN'!B1672,"")</f>
        <v>Master sheet</v>
      </c>
      <c r="C1672" s="888" t="str">
        <f>IF(LEN('Translation-EN'!C1672)&gt;0,'Translation-EN'!C1672,"")</f>
        <v>C49</v>
      </c>
      <c r="D1672" s="888" t="str">
        <f>IF(LEN('Translation-EN'!D1672)&gt;0,'Translation-EN'!D1672,"")</f>
        <v/>
      </c>
      <c r="E1672" s="893" t="s">
        <v>223</v>
      </c>
      <c r="I1672" s="888"/>
      <c r="J1672" s="888"/>
      <c r="K1672" s="888"/>
      <c r="L1672" s="888"/>
      <c r="M1672" s="888"/>
      <c r="N1672" s="888"/>
      <c r="O1672" s="888"/>
      <c r="P1672" s="888"/>
      <c r="Q1672" s="888"/>
      <c r="R1672" s="888"/>
    </row>
    <row r="1673" spans="1:18" s="893" customFormat="1" x14ac:dyDescent="0.3">
      <c r="A1673" s="888" t="str">
        <f>IF(LEN('Translation-EN'!A1673)&gt;0,'Translation-EN'!A1673,"")</f>
        <v>Range</v>
      </c>
      <c r="B1673" s="888" t="str">
        <f>IF(LEN('Translation-EN'!B1673)&gt;0,'Translation-EN'!B1673,"")</f>
        <v>Master sheet</v>
      </c>
      <c r="C1673" s="888" t="str">
        <f>IF(LEN('Translation-EN'!C1673)&gt;0,'Translation-EN'!C1673,"")</f>
        <v>D49</v>
      </c>
      <c r="D1673" s="888" t="str">
        <f>IF(LEN('Translation-EN'!D1673)&gt;0,'Translation-EN'!D1673,"")</f>
        <v/>
      </c>
      <c r="E1673" s="893" t="s">
        <v>224</v>
      </c>
      <c r="I1673" s="888"/>
      <c r="J1673" s="888"/>
      <c r="K1673" s="888"/>
      <c r="L1673" s="888"/>
      <c r="M1673" s="888"/>
      <c r="N1673" s="888"/>
      <c r="O1673" s="888"/>
      <c r="P1673" s="888"/>
      <c r="Q1673" s="888"/>
      <c r="R1673" s="888"/>
    </row>
    <row r="1674" spans="1:18" s="893" customFormat="1" x14ac:dyDescent="0.3">
      <c r="A1674" s="888" t="str">
        <f>IF(LEN('Translation-EN'!A1674)&gt;0,'Translation-EN'!A1674,"")</f>
        <v>Range</v>
      </c>
      <c r="B1674" s="888" t="str">
        <f>IF(LEN('Translation-EN'!B1674)&gt;0,'Translation-EN'!B1674,"")</f>
        <v>Master sheet</v>
      </c>
      <c r="C1674" s="888" t="str">
        <f>IF(LEN('Translation-EN'!C1674)&gt;0,'Translation-EN'!C1674,"")</f>
        <v>B50</v>
      </c>
      <c r="D1674" s="888" t="str">
        <f>IF(LEN('Translation-EN'!D1674)&gt;0,'Translation-EN'!D1674,"")</f>
        <v/>
      </c>
      <c r="E1674" s="893" t="str">
        <f>$E$1671</f>
        <v>Panneau de ciment 1/2 po</v>
      </c>
      <c r="I1674" s="888"/>
      <c r="J1674" s="888"/>
      <c r="K1674" s="888"/>
      <c r="L1674" s="888"/>
      <c r="M1674" s="888"/>
      <c r="N1674" s="888"/>
      <c r="O1674" s="888"/>
      <c r="P1674" s="888"/>
      <c r="Q1674" s="888"/>
      <c r="R1674" s="888"/>
    </row>
    <row r="1675" spans="1:18" s="893" customFormat="1" x14ac:dyDescent="0.3">
      <c r="A1675" s="888" t="str">
        <f>IF(LEN('Translation-EN'!A1675)&gt;0,'Translation-EN'!A1675,"")</f>
        <v>Range</v>
      </c>
      <c r="B1675" s="888" t="str">
        <f>IF(LEN('Translation-EN'!B1675)&gt;0,'Translation-EN'!B1675,"")</f>
        <v>Master sheet</v>
      </c>
      <c r="C1675" s="888" t="str">
        <f>IF(LEN('Translation-EN'!C1675)&gt;0,'Translation-EN'!C1675,"")</f>
        <v>C50</v>
      </c>
      <c r="D1675" s="888" t="str">
        <f>IF(LEN('Translation-EN'!D1675)&gt;0,'Translation-EN'!D1675,"")</f>
        <v/>
      </c>
      <c r="E1675" s="893" t="str">
        <f>$E$1672</f>
        <v>USG</v>
      </c>
      <c r="I1675" s="888"/>
      <c r="J1675" s="888"/>
      <c r="K1675" s="888"/>
      <c r="L1675" s="888"/>
      <c r="M1675" s="888"/>
      <c r="N1675" s="888"/>
      <c r="O1675" s="888"/>
      <c r="P1675" s="888"/>
      <c r="Q1675" s="888"/>
      <c r="R1675" s="888"/>
    </row>
    <row r="1676" spans="1:18" s="893" customFormat="1" x14ac:dyDescent="0.3">
      <c r="A1676" s="888" t="str">
        <f>IF(LEN('Translation-EN'!A1676)&gt;0,'Translation-EN'!A1676,"")</f>
        <v>Range</v>
      </c>
      <c r="B1676" s="888" t="str">
        <f>IF(LEN('Translation-EN'!B1676)&gt;0,'Translation-EN'!B1676,"")</f>
        <v>Master sheet</v>
      </c>
      <c r="C1676" s="888" t="str">
        <f>IF(LEN('Translation-EN'!C1676)&gt;0,'Translation-EN'!C1676,"")</f>
        <v>D50</v>
      </c>
      <c r="D1676" s="888" t="str">
        <f>IF(LEN('Translation-EN'!D1676)&gt;0,'Translation-EN'!D1676,"")</f>
        <v/>
      </c>
      <c r="E1676" s="893" t="s">
        <v>225</v>
      </c>
      <c r="I1676" s="888"/>
      <c r="J1676" s="888"/>
      <c r="K1676" s="888"/>
      <c r="L1676" s="888"/>
      <c r="M1676" s="888"/>
      <c r="N1676" s="888"/>
      <c r="O1676" s="888"/>
      <c r="P1676" s="888"/>
      <c r="Q1676" s="888"/>
      <c r="R1676" s="888"/>
    </row>
    <row r="1677" spans="1:18" s="893" customFormat="1" x14ac:dyDescent="0.3">
      <c r="A1677" s="888" t="str">
        <f>IF(LEN('Translation-EN'!A1677)&gt;0,'Translation-EN'!A1677,"")</f>
        <v>Range</v>
      </c>
      <c r="B1677" s="888" t="str">
        <f>IF(LEN('Translation-EN'!B1677)&gt;0,'Translation-EN'!B1677,"")</f>
        <v>Master sheet</v>
      </c>
      <c r="C1677" s="888" t="str">
        <f>IF(LEN('Translation-EN'!C1677)&gt;0,'Translation-EN'!C1677,"")</f>
        <v>B52</v>
      </c>
      <c r="D1677" s="888" t="str">
        <f>IF(LEN('Translation-EN'!D1677)&gt;0,'Translation-EN'!D1677,"")</f>
        <v/>
      </c>
      <c r="E1677" s="893" t="s">
        <v>6183</v>
      </c>
      <c r="I1677" s="888"/>
      <c r="J1677" s="888"/>
      <c r="K1677" s="888"/>
      <c r="L1677" s="888"/>
      <c r="M1677" s="888"/>
      <c r="N1677" s="888"/>
      <c r="O1677" s="888"/>
      <c r="P1677" s="888"/>
      <c r="Q1677" s="888"/>
      <c r="R1677" s="888"/>
    </row>
    <row r="1678" spans="1:18" s="893" customFormat="1" x14ac:dyDescent="0.3">
      <c r="A1678" s="888" t="str">
        <f>IF(LEN('Translation-EN'!A1678)&gt;0,'Translation-EN'!A1678,"")</f>
        <v>Range</v>
      </c>
      <c r="B1678" s="888" t="str">
        <f>IF(LEN('Translation-EN'!B1678)&gt;0,'Translation-EN'!B1678,"")</f>
        <v>Master sheet</v>
      </c>
      <c r="C1678" s="888" t="str">
        <f>IF(LEN('Translation-EN'!C1678)&gt;0,'Translation-EN'!C1678,"")</f>
        <v>C52</v>
      </c>
      <c r="D1678" s="888" t="str">
        <f>IF(LEN('Translation-EN'!D1678)&gt;0,'Translation-EN'!D1678,"")</f>
        <v/>
      </c>
      <c r="E1678" s="893" t="s">
        <v>6184</v>
      </c>
      <c r="I1678" s="888"/>
      <c r="J1678" s="888"/>
      <c r="K1678" s="888"/>
      <c r="L1678" s="888"/>
      <c r="M1678" s="888"/>
      <c r="N1678" s="888"/>
      <c r="O1678" s="888"/>
      <c r="P1678" s="888"/>
      <c r="Q1678" s="888"/>
      <c r="R1678" s="888"/>
    </row>
    <row r="1679" spans="1:18" s="893" customFormat="1" x14ac:dyDescent="0.3">
      <c r="A1679" s="888" t="str">
        <f>IF(LEN('Translation-EN'!A1679)&gt;0,'Translation-EN'!A1679,"")</f>
        <v>Range</v>
      </c>
      <c r="B1679" s="888" t="str">
        <f>IF(LEN('Translation-EN'!B1679)&gt;0,'Translation-EN'!B1679,"")</f>
        <v>Master sheet</v>
      </c>
      <c r="C1679" s="888" t="str">
        <f>IF(LEN('Translation-EN'!C1679)&gt;0,'Translation-EN'!C1679,"")</f>
        <v>D52</v>
      </c>
      <c r="D1679" s="888" t="str">
        <f>IF(LEN('Translation-EN'!D1679)&gt;0,'Translation-EN'!D1679,"")</f>
        <v/>
      </c>
      <c r="E1679" s="893" t="s">
        <v>6185</v>
      </c>
      <c r="I1679" s="888"/>
      <c r="J1679" s="888"/>
      <c r="K1679" s="888"/>
      <c r="L1679" s="888"/>
      <c r="M1679" s="888"/>
      <c r="N1679" s="888"/>
      <c r="O1679" s="888"/>
      <c r="P1679" s="888"/>
      <c r="Q1679" s="888"/>
      <c r="R1679" s="888"/>
    </row>
    <row r="1680" spans="1:18" s="893" customFormat="1" x14ac:dyDescent="0.3">
      <c r="A1680" s="888" t="str">
        <f>IF(LEN('Translation-EN'!A1680)&gt;0,'Translation-EN'!A1680,"")</f>
        <v>Range</v>
      </c>
      <c r="B1680" s="888" t="str">
        <f>IF(LEN('Translation-EN'!B1680)&gt;0,'Translation-EN'!B1680,"")</f>
        <v>Master sheet</v>
      </c>
      <c r="C1680" s="888" t="str">
        <f>IF(LEN('Translation-EN'!C1680)&gt;0,'Translation-EN'!C1680,"")</f>
        <v>E52</v>
      </c>
      <c r="D1680" s="888" t="str">
        <f>IF(LEN('Translation-EN'!D1680)&gt;0,'Translation-EN'!D1680,"")</f>
        <v/>
      </c>
      <c r="E1680" s="893" t="s">
        <v>6186</v>
      </c>
      <c r="I1680" s="888"/>
      <c r="J1680" s="888"/>
      <c r="K1680" s="888"/>
      <c r="L1680" s="888"/>
      <c r="M1680" s="888"/>
      <c r="N1680" s="888"/>
      <c r="O1680" s="888"/>
      <c r="P1680" s="888"/>
      <c r="Q1680" s="888"/>
      <c r="R1680" s="888"/>
    </row>
    <row r="1681" spans="1:18" s="893" customFormat="1" x14ac:dyDescent="0.3">
      <c r="A1681" s="888" t="str">
        <f>IF(LEN('Translation-EN'!A1681)&gt;0,'Translation-EN'!A1681,"")</f>
        <v>Range</v>
      </c>
      <c r="B1681" s="888" t="str">
        <f>IF(LEN('Translation-EN'!B1681)&gt;0,'Translation-EN'!B1681,"")</f>
        <v>Master sheet</v>
      </c>
      <c r="C1681" s="888" t="str">
        <f>IF(LEN('Translation-EN'!C1681)&gt;0,'Translation-EN'!C1681,"")</f>
        <v>B53</v>
      </c>
      <c r="D1681" s="888" t="str">
        <f>IF(LEN('Translation-EN'!D1681)&gt;0,'Translation-EN'!D1681,"")</f>
        <v/>
      </c>
      <c r="E1681" s="893" t="s">
        <v>6187</v>
      </c>
      <c r="I1681" s="888"/>
      <c r="J1681" s="888"/>
      <c r="K1681" s="888"/>
      <c r="L1681" s="888"/>
      <c r="M1681" s="888"/>
      <c r="N1681" s="888"/>
      <c r="O1681" s="888"/>
      <c r="P1681" s="888"/>
      <c r="Q1681" s="888"/>
      <c r="R1681" s="888"/>
    </row>
    <row r="1682" spans="1:18" s="893" customFormat="1" x14ac:dyDescent="0.3">
      <c r="A1682" s="888" t="str">
        <f>IF(LEN('Translation-EN'!A1682)&gt;0,'Translation-EN'!A1682,"")</f>
        <v>Range</v>
      </c>
      <c r="B1682" s="888" t="str">
        <f>IF(LEN('Translation-EN'!B1682)&gt;0,'Translation-EN'!B1682,"")</f>
        <v>Master sheet</v>
      </c>
      <c r="C1682" s="888" t="str">
        <f>IF(LEN('Translation-EN'!C1682)&gt;0,'Translation-EN'!C1682,"")</f>
        <v>C53</v>
      </c>
      <c r="D1682" s="888" t="str">
        <f>IF(LEN('Translation-EN'!D1682)&gt;0,'Translation-EN'!D1682,"")</f>
        <v/>
      </c>
      <c r="E1682" s="893" t="s">
        <v>230</v>
      </c>
      <c r="I1682" s="888"/>
      <c r="J1682" s="888"/>
      <c r="K1682" s="888"/>
      <c r="L1682" s="888"/>
      <c r="M1682" s="888"/>
      <c r="N1682" s="888"/>
      <c r="O1682" s="888"/>
      <c r="P1682" s="888"/>
      <c r="Q1682" s="888"/>
      <c r="R1682" s="888"/>
    </row>
    <row r="1683" spans="1:18" s="893" customFormat="1" x14ac:dyDescent="0.3">
      <c r="A1683" s="888" t="str">
        <f>IF(LEN('Translation-EN'!A1683)&gt;0,'Translation-EN'!A1683,"")</f>
        <v>Range</v>
      </c>
      <c r="B1683" s="888" t="str">
        <f>IF(LEN('Translation-EN'!B1683)&gt;0,'Translation-EN'!B1683,"")</f>
        <v>Master sheet</v>
      </c>
      <c r="C1683" s="888" t="str">
        <f>IF(LEN('Translation-EN'!C1683)&gt;0,'Translation-EN'!C1683,"")</f>
        <v>D53</v>
      </c>
      <c r="D1683" s="888" t="str">
        <f>IF(LEN('Translation-EN'!D1683)&gt;0,'Translation-EN'!D1683,"")</f>
        <v/>
      </c>
      <c r="E1683" s="893" t="s">
        <v>6188</v>
      </c>
      <c r="I1683" s="888"/>
      <c r="J1683" s="888"/>
      <c r="K1683" s="888"/>
      <c r="L1683" s="888"/>
      <c r="M1683" s="888"/>
      <c r="N1683" s="888"/>
      <c r="O1683" s="888"/>
      <c r="P1683" s="888"/>
      <c r="Q1683" s="888"/>
      <c r="R1683" s="888"/>
    </row>
    <row r="1684" spans="1:18" s="893" customFormat="1" x14ac:dyDescent="0.3">
      <c r="A1684" s="888" t="str">
        <f>IF(LEN('Translation-EN'!A1684)&gt;0,'Translation-EN'!A1684,"")</f>
        <v>Range</v>
      </c>
      <c r="B1684" s="888" t="str">
        <f>IF(LEN('Translation-EN'!B1684)&gt;0,'Translation-EN'!B1684,"")</f>
        <v>Master sheet</v>
      </c>
      <c r="C1684" s="888" t="str">
        <f>IF(LEN('Translation-EN'!C1684)&gt;0,'Translation-EN'!C1684,"")</f>
        <v>E53</v>
      </c>
      <c r="D1684" s="888" t="str">
        <f>IF(LEN('Translation-EN'!D1684)&gt;0,'Translation-EN'!D1684,"")</f>
        <v/>
      </c>
      <c r="E1684" s="893" t="s">
        <v>6189</v>
      </c>
      <c r="I1684" s="888"/>
      <c r="J1684" s="888"/>
      <c r="K1684" s="888"/>
      <c r="L1684" s="888"/>
      <c r="M1684" s="888"/>
      <c r="N1684" s="888"/>
      <c r="O1684" s="888"/>
      <c r="P1684" s="888"/>
      <c r="Q1684" s="888"/>
      <c r="R1684" s="888"/>
    </row>
    <row r="1685" spans="1:18" s="893" customFormat="1" x14ac:dyDescent="0.3">
      <c r="A1685" s="888" t="str">
        <f>IF(LEN('Translation-EN'!A1685)&gt;0,'Translation-EN'!A1685,"")</f>
        <v>Range</v>
      </c>
      <c r="B1685" s="888" t="str">
        <f>IF(LEN('Translation-EN'!B1685)&gt;0,'Translation-EN'!B1685,"")</f>
        <v>Master sheet</v>
      </c>
      <c r="C1685" s="888" t="str">
        <f>IF(LEN('Translation-EN'!C1685)&gt;0,'Translation-EN'!C1685,"")</f>
        <v>B56</v>
      </c>
      <c r="D1685" s="888" t="str">
        <f>IF(LEN('Translation-EN'!D1685)&gt;0,'Translation-EN'!D1685,"")</f>
        <v/>
      </c>
      <c r="E1685" s="893" t="str">
        <f>$E$1681</f>
        <v>Carreaux en céramique</v>
      </c>
      <c r="I1685" s="888"/>
      <c r="J1685" s="888"/>
      <c r="K1685" s="888"/>
      <c r="L1685" s="888"/>
      <c r="M1685" s="888"/>
      <c r="N1685" s="888"/>
      <c r="O1685" s="888"/>
      <c r="P1685" s="888"/>
      <c r="Q1685" s="888"/>
      <c r="R1685" s="888"/>
    </row>
    <row r="1686" spans="1:18" s="893" customFormat="1" x14ac:dyDescent="0.3">
      <c r="A1686" s="888" t="str">
        <f>IF(LEN('Translation-EN'!A1686)&gt;0,'Translation-EN'!A1686,"")</f>
        <v>Range</v>
      </c>
      <c r="B1686" s="888" t="str">
        <f>IF(LEN('Translation-EN'!B1686)&gt;0,'Translation-EN'!B1686,"")</f>
        <v>Master sheet</v>
      </c>
      <c r="C1686" s="888" t="str">
        <f>IF(LEN('Translation-EN'!C1686)&gt;0,'Translation-EN'!C1686,"")</f>
        <v>C56</v>
      </c>
      <c r="D1686" s="888" t="str">
        <f>IF(LEN('Translation-EN'!D1686)&gt;0,'Translation-EN'!D1686,"")</f>
        <v/>
      </c>
      <c r="E1686" s="893" t="str">
        <f>$E$1678</f>
        <v>Conseil du carrelage d’Amérique du Nord</v>
      </c>
      <c r="I1686" s="888"/>
      <c r="J1686" s="888"/>
      <c r="K1686" s="888"/>
      <c r="L1686" s="888"/>
      <c r="M1686" s="888"/>
      <c r="N1686" s="888"/>
      <c r="O1686" s="888"/>
      <c r="P1686" s="888"/>
      <c r="Q1686" s="888"/>
      <c r="R1686" s="888"/>
    </row>
    <row r="1687" spans="1:18" s="893" customFormat="1" x14ac:dyDescent="0.3">
      <c r="A1687" s="888" t="str">
        <f>IF(LEN('Translation-EN'!A1687)&gt;0,'Translation-EN'!A1687,"")</f>
        <v>Range</v>
      </c>
      <c r="B1687" s="888" t="str">
        <f>IF(LEN('Translation-EN'!B1687)&gt;0,'Translation-EN'!B1687,"")</f>
        <v>Master sheet</v>
      </c>
      <c r="C1687" s="888" t="str">
        <f>IF(LEN('Translation-EN'!C1687)&gt;0,'Translation-EN'!C1687,"")</f>
        <v>D56</v>
      </c>
      <c r="D1687" s="888" t="str">
        <f>IF(LEN('Translation-EN'!D1687)&gt;0,'Translation-EN'!D1687,"")</f>
        <v/>
      </c>
      <c r="E1687" s="893" t="s">
        <v>6190</v>
      </c>
      <c r="I1687" s="888"/>
      <c r="J1687" s="888"/>
      <c r="K1687" s="888"/>
      <c r="L1687" s="888"/>
      <c r="M1687" s="888"/>
      <c r="N1687" s="888"/>
      <c r="O1687" s="888"/>
      <c r="P1687" s="888"/>
      <c r="Q1687" s="888"/>
      <c r="R1687" s="888"/>
    </row>
    <row r="1688" spans="1:18" s="893" customFormat="1" x14ac:dyDescent="0.3">
      <c r="A1688" s="888" t="str">
        <f>IF(LEN('Translation-EN'!A1688)&gt;0,'Translation-EN'!A1688,"")</f>
        <v>Range</v>
      </c>
      <c r="B1688" s="888" t="str">
        <f>IF(LEN('Translation-EN'!B1688)&gt;0,'Translation-EN'!B1688,"")</f>
        <v>Master sheet</v>
      </c>
      <c r="C1688" s="888" t="str">
        <f>IF(LEN('Translation-EN'!C1688)&gt;0,'Translation-EN'!C1688,"")</f>
        <v>E56</v>
      </c>
      <c r="D1688" s="888" t="str">
        <f>IF(LEN('Translation-EN'!D1688)&gt;0,'Translation-EN'!D1688,"")</f>
        <v/>
      </c>
      <c r="E1688" s="893" t="s">
        <v>6191</v>
      </c>
      <c r="I1688" s="888"/>
      <c r="J1688" s="888"/>
      <c r="K1688" s="888"/>
      <c r="L1688" s="888"/>
      <c r="M1688" s="888"/>
      <c r="N1688" s="888"/>
      <c r="O1688" s="888"/>
      <c r="P1688" s="888"/>
      <c r="Q1688" s="888"/>
      <c r="R1688" s="888"/>
    </row>
    <row r="1689" spans="1:18" s="893" customFormat="1" x14ac:dyDescent="0.3">
      <c r="A1689" s="888" t="str">
        <f>IF(LEN('Translation-EN'!A1689)&gt;0,'Translation-EN'!A1689,"")</f>
        <v>Range</v>
      </c>
      <c r="B1689" s="888" t="str">
        <f>IF(LEN('Translation-EN'!B1689)&gt;0,'Translation-EN'!B1689,"")</f>
        <v>Master sheet</v>
      </c>
      <c r="C1689" s="888" t="str">
        <f>IF(LEN('Translation-EN'!C1689)&gt;0,'Translation-EN'!C1689,"")</f>
        <v>B57</v>
      </c>
      <c r="D1689" s="888" t="str">
        <f>IF(LEN('Translation-EN'!D1689)&gt;0,'Translation-EN'!D1689,"")</f>
        <v/>
      </c>
      <c r="E1689" s="893" t="s">
        <v>6192</v>
      </c>
      <c r="I1689" s="888"/>
      <c r="J1689" s="888"/>
      <c r="K1689" s="888"/>
      <c r="L1689" s="888"/>
      <c r="M1689" s="888"/>
      <c r="N1689" s="888"/>
      <c r="O1689" s="888"/>
      <c r="P1689" s="888"/>
      <c r="Q1689" s="888"/>
      <c r="R1689" s="888"/>
    </row>
    <row r="1690" spans="1:18" s="893" customFormat="1" x14ac:dyDescent="0.3">
      <c r="A1690" s="888" t="str">
        <f>IF(LEN('Translation-EN'!A1690)&gt;0,'Translation-EN'!A1690,"")</f>
        <v>Range</v>
      </c>
      <c r="B1690" s="888" t="str">
        <f>IF(LEN('Translation-EN'!B1690)&gt;0,'Translation-EN'!B1690,"")</f>
        <v>Master sheet</v>
      </c>
      <c r="C1690" s="888" t="str">
        <f>IF(LEN('Translation-EN'!C1690)&gt;0,'Translation-EN'!C1690,"")</f>
        <v>C57</v>
      </c>
      <c r="D1690" s="888" t="str">
        <f>IF(LEN('Translation-EN'!D1690)&gt;0,'Translation-EN'!D1690,"")</f>
        <v/>
      </c>
      <c r="E1690" s="893" t="s">
        <v>6193</v>
      </c>
      <c r="I1690" s="888"/>
      <c r="J1690" s="888"/>
      <c r="K1690" s="888"/>
      <c r="L1690" s="888"/>
      <c r="M1690" s="888"/>
      <c r="N1690" s="888"/>
      <c r="O1690" s="888"/>
      <c r="P1690" s="888"/>
      <c r="Q1690" s="888"/>
      <c r="R1690" s="888"/>
    </row>
    <row r="1691" spans="1:18" s="893" customFormat="1" x14ac:dyDescent="0.3">
      <c r="A1691" s="888" t="str">
        <f>IF(LEN('Translation-EN'!A1691)&gt;0,'Translation-EN'!A1691,"")</f>
        <v>Range</v>
      </c>
      <c r="B1691" s="888" t="str">
        <f>IF(LEN('Translation-EN'!B1691)&gt;0,'Translation-EN'!B1691,"")</f>
        <v>Master sheet</v>
      </c>
      <c r="C1691" s="888" t="str">
        <f>IF(LEN('Translation-EN'!C1691)&gt;0,'Translation-EN'!C1691,"")</f>
        <v>E57</v>
      </c>
      <c r="D1691" s="888" t="str">
        <f>IF(LEN('Translation-EN'!D1691)&gt;0,'Translation-EN'!D1691,"")</f>
        <v/>
      </c>
      <c r="E1691" s="893" t="s">
        <v>6194</v>
      </c>
      <c r="I1691" s="888"/>
      <c r="J1691" s="888"/>
      <c r="K1691" s="888"/>
      <c r="L1691" s="888"/>
      <c r="M1691" s="888"/>
      <c r="N1691" s="888"/>
      <c r="O1691" s="888"/>
      <c r="P1691" s="888"/>
      <c r="Q1691" s="888"/>
      <c r="R1691" s="888"/>
    </row>
    <row r="1692" spans="1:18" s="893" customFormat="1" x14ac:dyDescent="0.3">
      <c r="A1692" s="888" t="str">
        <f>IF(LEN('Translation-EN'!A1692)&gt;0,'Translation-EN'!A1692,"")</f>
        <v>Range</v>
      </c>
      <c r="B1692" s="888" t="str">
        <f>IF(LEN('Translation-EN'!B1692)&gt;0,'Translation-EN'!B1692,"")</f>
        <v>Master sheet</v>
      </c>
      <c r="C1692" s="888" t="str">
        <f>IF(LEN('Translation-EN'!C1692)&gt;0,'Translation-EN'!C1692,"")</f>
        <v>B58</v>
      </c>
      <c r="D1692" s="888" t="str">
        <f>IF(LEN('Translation-EN'!D1692)&gt;0,'Translation-EN'!D1692,"")</f>
        <v/>
      </c>
      <c r="E1692" s="893" t="s">
        <v>6195</v>
      </c>
      <c r="I1692" s="888"/>
      <c r="J1692" s="888"/>
      <c r="K1692" s="888"/>
      <c r="L1692" s="888"/>
      <c r="M1692" s="888"/>
      <c r="N1692" s="888"/>
      <c r="O1692" s="888"/>
      <c r="P1692" s="888"/>
      <c r="Q1692" s="888"/>
      <c r="R1692" s="888"/>
    </row>
    <row r="1693" spans="1:18" s="893" customFormat="1" x14ac:dyDescent="0.3">
      <c r="A1693" s="888" t="str">
        <f>IF(LEN('Translation-EN'!A1693)&gt;0,'Translation-EN'!A1693,"")</f>
        <v>Range</v>
      </c>
      <c r="B1693" s="888" t="str">
        <f>IF(LEN('Translation-EN'!B1693)&gt;0,'Translation-EN'!B1693,"")</f>
        <v>Master sheet</v>
      </c>
      <c r="C1693" s="888" t="str">
        <f>IF(LEN('Translation-EN'!C1693)&gt;0,'Translation-EN'!C1693,"")</f>
        <v>C58</v>
      </c>
      <c r="D1693" s="888" t="str">
        <f>IF(LEN('Translation-EN'!D1693)&gt;0,'Translation-EN'!D1693,"")</f>
        <v/>
      </c>
      <c r="E1693" s="893" t="s">
        <v>243</v>
      </c>
      <c r="I1693" s="888"/>
      <c r="J1693" s="888"/>
      <c r="K1693" s="888"/>
      <c r="L1693" s="888"/>
      <c r="M1693" s="888"/>
      <c r="N1693" s="888"/>
      <c r="O1693" s="888"/>
      <c r="P1693" s="888"/>
      <c r="Q1693" s="888"/>
      <c r="R1693" s="888"/>
    </row>
    <row r="1694" spans="1:18" s="893" customFormat="1" x14ac:dyDescent="0.3">
      <c r="A1694" s="888" t="str">
        <f>IF(LEN('Translation-EN'!A1694)&gt;0,'Translation-EN'!A1694,"")</f>
        <v>Range</v>
      </c>
      <c r="B1694" s="888" t="str">
        <f>IF(LEN('Translation-EN'!B1694)&gt;0,'Translation-EN'!B1694,"")</f>
        <v>Master sheet</v>
      </c>
      <c r="C1694" s="888" t="str">
        <f>IF(LEN('Translation-EN'!C1694)&gt;0,'Translation-EN'!C1694,"")</f>
        <v>B61</v>
      </c>
      <c r="D1694" s="888" t="str">
        <f>IF(LEN('Translation-EN'!D1694)&gt;0,'Translation-EN'!D1694,"")</f>
        <v/>
      </c>
      <c r="E1694" s="893" t="s">
        <v>6196</v>
      </c>
      <c r="I1694" s="888"/>
      <c r="J1694" s="888"/>
      <c r="K1694" s="888"/>
      <c r="L1694" s="888"/>
      <c r="M1694" s="888"/>
      <c r="N1694" s="888"/>
      <c r="O1694" s="888"/>
      <c r="P1694" s="888"/>
      <c r="Q1694" s="888"/>
      <c r="R1694" s="888"/>
    </row>
    <row r="1695" spans="1:18" s="893" customFormat="1" x14ac:dyDescent="0.3">
      <c r="A1695" s="888" t="str">
        <f>IF(LEN('Translation-EN'!A1695)&gt;0,'Translation-EN'!A1695,"")</f>
        <v>Range</v>
      </c>
      <c r="B1695" s="888" t="str">
        <f>IF(LEN('Translation-EN'!B1695)&gt;0,'Translation-EN'!B1695,"")</f>
        <v>Master sheet</v>
      </c>
      <c r="C1695" s="888" t="str">
        <f>IF(LEN('Translation-EN'!C1695)&gt;0,'Translation-EN'!C1695,"")</f>
        <v>C61</v>
      </c>
      <c r="D1695" s="888" t="str">
        <f>IF(LEN('Translation-EN'!D1695)&gt;0,'Translation-EN'!D1695,"")</f>
        <v/>
      </c>
      <c r="E1695" s="893" t="s">
        <v>4145</v>
      </c>
      <c r="I1695" s="888"/>
      <c r="J1695" s="888"/>
      <c r="K1695" s="888"/>
      <c r="L1695" s="888"/>
      <c r="M1695" s="888"/>
      <c r="N1695" s="888"/>
      <c r="O1695" s="888"/>
      <c r="P1695" s="888"/>
      <c r="Q1695" s="888"/>
      <c r="R1695" s="888"/>
    </row>
    <row r="1696" spans="1:18" s="893" customFormat="1" x14ac:dyDescent="0.3">
      <c r="A1696" s="888" t="str">
        <f>IF(LEN('Translation-EN'!A1696)&gt;0,'Translation-EN'!A1696,"")</f>
        <v>Range</v>
      </c>
      <c r="B1696" s="888" t="str">
        <f>IF(LEN('Translation-EN'!B1696)&gt;0,'Translation-EN'!B1696,"")</f>
        <v>Master sheet</v>
      </c>
      <c r="C1696" s="888" t="str">
        <f>IF(LEN('Translation-EN'!C1696)&gt;0,'Translation-EN'!C1696,"")</f>
        <v>D61</v>
      </c>
      <c r="D1696" s="888" t="str">
        <f>IF(LEN('Translation-EN'!D1696)&gt;0,'Translation-EN'!D1696,"")</f>
        <v/>
      </c>
      <c r="E1696" s="893" t="s">
        <v>6197</v>
      </c>
      <c r="I1696" s="888"/>
      <c r="J1696" s="888"/>
      <c r="K1696" s="888"/>
      <c r="L1696" s="888"/>
      <c r="M1696" s="888"/>
      <c r="N1696" s="888"/>
      <c r="O1696" s="888"/>
      <c r="P1696" s="888"/>
      <c r="Q1696" s="888"/>
      <c r="R1696" s="888"/>
    </row>
    <row r="1697" spans="1:18" s="893" customFormat="1" x14ac:dyDescent="0.3">
      <c r="A1697" s="888" t="str">
        <f>IF(LEN('Translation-EN'!A1697)&gt;0,'Translation-EN'!A1697,"")</f>
        <v>Range</v>
      </c>
      <c r="B1697" s="888" t="str">
        <f>IF(LEN('Translation-EN'!B1697)&gt;0,'Translation-EN'!B1697,"")</f>
        <v>Master sheet</v>
      </c>
      <c r="C1697" s="888" t="str">
        <f>IF(LEN('Translation-EN'!C1697)&gt;0,'Translation-EN'!C1697,"")</f>
        <v>E61</v>
      </c>
      <c r="D1697" s="888" t="str">
        <f>IF(LEN('Translation-EN'!D1697)&gt;0,'Translation-EN'!D1697,"")</f>
        <v/>
      </c>
      <c r="E1697" s="893" t="s">
        <v>6198</v>
      </c>
      <c r="I1697" s="888"/>
      <c r="J1697" s="888"/>
      <c r="K1697" s="888"/>
      <c r="L1697" s="888"/>
      <c r="M1697" s="888"/>
      <c r="N1697" s="888"/>
      <c r="O1697" s="888"/>
      <c r="P1697" s="888"/>
      <c r="Q1697" s="888"/>
      <c r="R1697" s="888"/>
    </row>
    <row r="1698" spans="1:18" s="893" customFormat="1" x14ac:dyDescent="0.3">
      <c r="A1698" s="888" t="str">
        <f>IF(LEN('Translation-EN'!A1698)&gt;0,'Translation-EN'!A1698,"")</f>
        <v>Range</v>
      </c>
      <c r="B1698" s="888" t="str">
        <f>IF(LEN('Translation-EN'!B1698)&gt;0,'Translation-EN'!B1698,"")</f>
        <v>Master sheet</v>
      </c>
      <c r="C1698" s="888" t="str">
        <f>IF(LEN('Translation-EN'!C1698)&gt;0,'Translation-EN'!C1698,"")</f>
        <v>B63</v>
      </c>
      <c r="D1698" s="888" t="str">
        <f>IF(LEN('Translation-EN'!D1698)&gt;0,'Translation-EN'!D1698,"")</f>
        <v/>
      </c>
      <c r="E1698" s="893" t="str">
        <f>$E$1694</f>
        <v>EMB –légers</v>
      </c>
      <c r="I1698" s="888"/>
      <c r="J1698" s="888"/>
      <c r="K1698" s="888"/>
      <c r="L1698" s="888"/>
      <c r="M1698" s="888"/>
      <c r="N1698" s="888"/>
      <c r="O1698" s="888"/>
      <c r="P1698" s="888"/>
      <c r="Q1698" s="888"/>
      <c r="R1698" s="888"/>
    </row>
    <row r="1699" spans="1:18" s="893" customFormat="1" x14ac:dyDescent="0.3">
      <c r="A1699" s="888" t="str">
        <f>IF(LEN('Translation-EN'!A1699)&gt;0,'Translation-EN'!A1699,"")</f>
        <v>Range</v>
      </c>
      <c r="B1699" s="888" t="str">
        <f>IF(LEN('Translation-EN'!B1699)&gt;0,'Translation-EN'!B1699,"")</f>
        <v>Master sheet</v>
      </c>
      <c r="C1699" s="888" t="str">
        <f>IF(LEN('Translation-EN'!C1699)&gt;0,'Translation-EN'!C1699,"")</f>
        <v>C63</v>
      </c>
      <c r="D1699" s="888" t="str">
        <f>IF(LEN('Translation-EN'!D1699)&gt;0,'Translation-EN'!D1699,"")</f>
        <v/>
      </c>
      <c r="E1699" s="893" t="s">
        <v>6199</v>
      </c>
      <c r="I1699" s="888"/>
      <c r="J1699" s="888"/>
      <c r="K1699" s="888"/>
      <c r="L1699" s="888"/>
      <c r="M1699" s="888"/>
      <c r="N1699" s="888"/>
      <c r="O1699" s="888"/>
      <c r="P1699" s="888"/>
      <c r="Q1699" s="888"/>
      <c r="R1699" s="888"/>
    </row>
    <row r="1700" spans="1:18" s="893" customFormat="1" x14ac:dyDescent="0.3">
      <c r="A1700" s="888" t="str">
        <f>IF(LEN('Translation-EN'!A1700)&gt;0,'Translation-EN'!A1700,"")</f>
        <v>Range</v>
      </c>
      <c r="B1700" s="888" t="str">
        <f>IF(LEN('Translation-EN'!B1700)&gt;0,'Translation-EN'!B1700,"")</f>
        <v>Master sheet</v>
      </c>
      <c r="C1700" s="888" t="str">
        <f>IF(LEN('Translation-EN'!C1700)&gt;0,'Translation-EN'!C1700,"")</f>
        <v>D63</v>
      </c>
      <c r="D1700" s="888" t="str">
        <f>IF(LEN('Translation-EN'!D1700)&gt;0,'Translation-EN'!D1700,"")</f>
        <v/>
      </c>
      <c r="E1700" s="893" t="s">
        <v>6200</v>
      </c>
      <c r="I1700" s="888"/>
      <c r="J1700" s="888"/>
      <c r="K1700" s="888"/>
      <c r="L1700" s="888"/>
      <c r="M1700" s="888"/>
      <c r="N1700" s="888"/>
      <c r="O1700" s="888"/>
      <c r="P1700" s="888"/>
      <c r="Q1700" s="888"/>
      <c r="R1700" s="888"/>
    </row>
    <row r="1701" spans="1:18" s="893" customFormat="1" x14ac:dyDescent="0.3">
      <c r="A1701" s="888" t="str">
        <f>IF(LEN('Translation-EN'!A1701)&gt;0,'Translation-EN'!A1701,"")</f>
        <v>Range</v>
      </c>
      <c r="B1701" s="888" t="str">
        <f>IF(LEN('Translation-EN'!B1701)&gt;0,'Translation-EN'!B1701,"")</f>
        <v>Master sheet</v>
      </c>
      <c r="C1701" s="888" t="str">
        <f>IF(LEN('Translation-EN'!C1701)&gt;0,'Translation-EN'!C1701,"")</f>
        <v>E63</v>
      </c>
      <c r="D1701" s="888" t="str">
        <f>IF(LEN('Translation-EN'!D1701)&gt;0,'Translation-EN'!D1701,"")</f>
        <v/>
      </c>
      <c r="E1701" s="893" t="s">
        <v>6201</v>
      </c>
      <c r="I1701" s="888"/>
      <c r="J1701" s="888"/>
      <c r="K1701" s="888"/>
      <c r="L1701" s="888"/>
      <c r="M1701" s="888"/>
      <c r="N1701" s="888"/>
      <c r="O1701" s="888"/>
      <c r="P1701" s="888"/>
      <c r="Q1701" s="888"/>
      <c r="R1701" s="888"/>
    </row>
    <row r="1702" spans="1:18" s="893" customFormat="1" x14ac:dyDescent="0.3">
      <c r="A1702" s="888" t="str">
        <f>IF(LEN('Translation-EN'!A1702)&gt;0,'Translation-EN'!A1702,"")</f>
        <v>Range</v>
      </c>
      <c r="B1702" s="888" t="str">
        <f>IF(LEN('Translation-EN'!B1702)&gt;0,'Translation-EN'!B1702,"")</f>
        <v>Master sheet</v>
      </c>
      <c r="C1702" s="888" t="str">
        <f>IF(LEN('Translation-EN'!C1702)&gt;0,'Translation-EN'!C1702,"")</f>
        <v>B64</v>
      </c>
      <c r="D1702" s="888" t="str">
        <f>IF(LEN('Translation-EN'!D1702)&gt;0,'Translation-EN'!D1702,"")</f>
        <v/>
      </c>
      <c r="E1702" s="893" t="str">
        <f>$E$1694</f>
        <v>EMB –légers</v>
      </c>
      <c r="I1702" s="888"/>
      <c r="J1702" s="888"/>
      <c r="K1702" s="888"/>
      <c r="L1702" s="888"/>
      <c r="M1702" s="888"/>
      <c r="N1702" s="888"/>
      <c r="O1702" s="888"/>
      <c r="P1702" s="888"/>
      <c r="Q1702" s="888"/>
      <c r="R1702" s="888"/>
    </row>
    <row r="1703" spans="1:18" s="893" customFormat="1" x14ac:dyDescent="0.3">
      <c r="A1703" s="888" t="str">
        <f>IF(LEN('Translation-EN'!A1703)&gt;0,'Translation-EN'!A1703,"")</f>
        <v>Range</v>
      </c>
      <c r="B1703" s="888" t="str">
        <f>IF(LEN('Translation-EN'!B1703)&gt;0,'Translation-EN'!B1703,"")</f>
        <v>Master sheet</v>
      </c>
      <c r="C1703" s="888" t="str">
        <f>IF(LEN('Translation-EN'!C1703)&gt;0,'Translation-EN'!C1703,"")</f>
        <v>C64</v>
      </c>
      <c r="D1703" s="888" t="str">
        <f>IF(LEN('Translation-EN'!D1703)&gt;0,'Translation-EN'!D1703,"")</f>
        <v/>
      </c>
      <c r="E1703" s="893" t="s">
        <v>6202</v>
      </c>
      <c r="I1703" s="888"/>
      <c r="J1703" s="888"/>
      <c r="K1703" s="888"/>
      <c r="L1703" s="888"/>
      <c r="M1703" s="888"/>
      <c r="N1703" s="888"/>
      <c r="O1703" s="888"/>
      <c r="P1703" s="888"/>
      <c r="Q1703" s="888"/>
      <c r="R1703" s="888"/>
    </row>
    <row r="1704" spans="1:18" s="893" customFormat="1" x14ac:dyDescent="0.3">
      <c r="A1704" s="888" t="str">
        <f>IF(LEN('Translation-EN'!A1704)&gt;0,'Translation-EN'!A1704,"")</f>
        <v>Range</v>
      </c>
      <c r="B1704" s="888" t="str">
        <f>IF(LEN('Translation-EN'!B1704)&gt;0,'Translation-EN'!B1704,"")</f>
        <v>Master sheet</v>
      </c>
      <c r="C1704" s="888" t="str">
        <f>IF(LEN('Translation-EN'!C1704)&gt;0,'Translation-EN'!C1704,"")</f>
        <v>D64</v>
      </c>
      <c r="D1704" s="888" t="str">
        <f>IF(LEN('Translation-EN'!D1704)&gt;0,'Translation-EN'!D1704,"")</f>
        <v/>
      </c>
      <c r="E1704" s="893" t="str">
        <f>$E$1700</f>
        <v>Blocs légers de 8 po</v>
      </c>
      <c r="I1704" s="888"/>
      <c r="J1704" s="888"/>
      <c r="K1704" s="888"/>
      <c r="L1704" s="888"/>
      <c r="M1704" s="888"/>
      <c r="N1704" s="888"/>
      <c r="O1704" s="888"/>
      <c r="P1704" s="888"/>
      <c r="Q1704" s="888"/>
      <c r="R1704" s="888"/>
    </row>
    <row r="1705" spans="1:18" s="893" customFormat="1" x14ac:dyDescent="0.3">
      <c r="A1705" s="888" t="str">
        <f>IF(LEN('Translation-EN'!A1705)&gt;0,'Translation-EN'!A1705,"")</f>
        <v>Range</v>
      </c>
      <c r="B1705" s="888" t="str">
        <f>IF(LEN('Translation-EN'!B1705)&gt;0,'Translation-EN'!B1705,"")</f>
        <v>Master sheet</v>
      </c>
      <c r="C1705" s="888" t="str">
        <f>IF(LEN('Translation-EN'!C1705)&gt;0,'Translation-EN'!C1705,"")</f>
        <v>E64</v>
      </c>
      <c r="D1705" s="888" t="str">
        <f>IF(LEN('Translation-EN'!D1705)&gt;0,'Translation-EN'!D1705,"")</f>
        <v/>
      </c>
      <c r="E1705" s="893" t="str">
        <f>$E$1701</f>
        <v>Bloc 15 MPa, 390 x 190 x 190 mm</v>
      </c>
      <c r="I1705" s="888"/>
      <c r="J1705" s="888"/>
      <c r="K1705" s="888"/>
      <c r="L1705" s="888"/>
      <c r="M1705" s="888"/>
      <c r="N1705" s="888"/>
      <c r="O1705" s="888"/>
      <c r="P1705" s="888"/>
      <c r="Q1705" s="888"/>
      <c r="R1705" s="888"/>
    </row>
    <row r="1706" spans="1:18" s="893" customFormat="1" x14ac:dyDescent="0.3">
      <c r="A1706" s="888" t="str">
        <f>IF(LEN('Translation-EN'!A1706)&gt;0,'Translation-EN'!A1706,"")</f>
        <v>Range</v>
      </c>
      <c r="B1706" s="888" t="str">
        <f>IF(LEN('Translation-EN'!B1706)&gt;0,'Translation-EN'!B1706,"")</f>
        <v>Master sheet</v>
      </c>
      <c r="C1706" s="888" t="str">
        <f>IF(LEN('Translation-EN'!C1706)&gt;0,'Translation-EN'!C1706,"")</f>
        <v>B68</v>
      </c>
      <c r="D1706" s="888" t="str">
        <f>IF(LEN('Translation-EN'!D1706)&gt;0,'Translation-EN'!D1706,"")</f>
        <v/>
      </c>
      <c r="E1706" s="893" t="s">
        <v>6203</v>
      </c>
      <c r="I1706" s="888"/>
      <c r="J1706" s="888"/>
      <c r="K1706" s="888"/>
      <c r="L1706" s="888"/>
      <c r="M1706" s="888"/>
      <c r="N1706" s="888"/>
      <c r="O1706" s="888"/>
      <c r="P1706" s="888"/>
      <c r="Q1706" s="888"/>
      <c r="R1706" s="888"/>
    </row>
    <row r="1707" spans="1:18" s="893" customFormat="1" x14ac:dyDescent="0.3">
      <c r="A1707" s="888" t="str">
        <f>IF(LEN('Translation-EN'!A1707)&gt;0,'Translation-EN'!A1707,"")</f>
        <v>Range</v>
      </c>
      <c r="B1707" s="888" t="str">
        <f>IF(LEN('Translation-EN'!B1707)&gt;0,'Translation-EN'!B1707,"")</f>
        <v>Master sheet</v>
      </c>
      <c r="C1707" s="888" t="str">
        <f>IF(LEN('Translation-EN'!C1707)&gt;0,'Translation-EN'!C1707,"")</f>
        <v>C68</v>
      </c>
      <c r="D1707" s="888" t="str">
        <f>IF(LEN('Translation-EN'!D1707)&gt;0,'Translation-EN'!D1707,"")</f>
        <v/>
      </c>
      <c r="E1707" s="893" t="str">
        <f>$E$1699</f>
        <v>Association canadienne des fabricants de maçonnerie de béton, région de l’Est</v>
      </c>
      <c r="I1707" s="888"/>
      <c r="J1707" s="888"/>
      <c r="K1707" s="888"/>
      <c r="L1707" s="888"/>
      <c r="M1707" s="888"/>
      <c r="N1707" s="888"/>
      <c r="O1707" s="888"/>
      <c r="P1707" s="888"/>
      <c r="Q1707" s="888"/>
      <c r="R1707" s="888"/>
    </row>
    <row r="1708" spans="1:18" s="893" customFormat="1" x14ac:dyDescent="0.3">
      <c r="A1708" s="888" t="str">
        <f>IF(LEN('Translation-EN'!A1708)&gt;0,'Translation-EN'!A1708,"")</f>
        <v>Range</v>
      </c>
      <c r="B1708" s="888" t="str">
        <f>IF(LEN('Translation-EN'!B1708)&gt;0,'Translation-EN'!B1708,"")</f>
        <v>Master sheet</v>
      </c>
      <c r="C1708" s="888" t="str">
        <f>IF(LEN('Translation-EN'!C1708)&gt;0,'Translation-EN'!C1708,"")</f>
        <v>D68</v>
      </c>
      <c r="D1708" s="888" t="str">
        <f>IF(LEN('Translation-EN'!D1708)&gt;0,'Translation-EN'!D1708,"")</f>
        <v/>
      </c>
      <c r="E1708" s="893" t="s">
        <v>6204</v>
      </c>
      <c r="I1708" s="888"/>
      <c r="J1708" s="888"/>
      <c r="K1708" s="888"/>
      <c r="L1708" s="888"/>
      <c r="M1708" s="888"/>
      <c r="N1708" s="888"/>
      <c r="O1708" s="888"/>
      <c r="P1708" s="888"/>
      <c r="Q1708" s="888"/>
      <c r="R1708" s="888"/>
    </row>
    <row r="1709" spans="1:18" s="893" customFormat="1" x14ac:dyDescent="0.3">
      <c r="A1709" s="888" t="str">
        <f>IF(LEN('Translation-EN'!A1709)&gt;0,'Translation-EN'!A1709,"")</f>
        <v>Range</v>
      </c>
      <c r="B1709" s="888" t="str">
        <f>IF(LEN('Translation-EN'!B1709)&gt;0,'Translation-EN'!B1709,"")</f>
        <v>Master sheet</v>
      </c>
      <c r="C1709" s="888" t="str">
        <f>IF(LEN('Translation-EN'!C1709)&gt;0,'Translation-EN'!C1709,"")</f>
        <v>E68</v>
      </c>
      <c r="D1709" s="888" t="str">
        <f>IF(LEN('Translation-EN'!D1709)&gt;0,'Translation-EN'!D1709,"")</f>
        <v/>
      </c>
      <c r="E1709" s="893" t="str">
        <f>$E$1701</f>
        <v>Bloc 15 MPa, 390 x 190 x 190 mm</v>
      </c>
      <c r="I1709" s="888"/>
      <c r="J1709" s="888"/>
      <c r="K1709" s="888"/>
      <c r="L1709" s="888"/>
      <c r="M1709" s="888"/>
      <c r="N1709" s="888"/>
      <c r="O1709" s="888"/>
      <c r="P1709" s="888"/>
      <c r="Q1709" s="888"/>
      <c r="R1709" s="888"/>
    </row>
    <row r="1710" spans="1:18" s="893" customFormat="1" x14ac:dyDescent="0.3">
      <c r="A1710" s="888" t="str">
        <f>IF(LEN('Translation-EN'!A1710)&gt;0,'Translation-EN'!A1710,"")</f>
        <v>Range</v>
      </c>
      <c r="B1710" s="888" t="str">
        <f>IF(LEN('Translation-EN'!B1710)&gt;0,'Translation-EN'!B1710,"")</f>
        <v>Master sheet</v>
      </c>
      <c r="C1710" s="888" t="str">
        <f>IF(LEN('Translation-EN'!C1710)&gt;0,'Translation-EN'!C1710,"")</f>
        <v>B69</v>
      </c>
      <c r="D1710" s="888" t="str">
        <f>IF(LEN('Translation-EN'!D1710)&gt;0,'Translation-EN'!D1710,"")</f>
        <v/>
      </c>
      <c r="E1710" s="893" t="str">
        <f>$E$1706</f>
        <v>EMB –poids normal</v>
      </c>
      <c r="I1710" s="888"/>
      <c r="J1710" s="888"/>
      <c r="K1710" s="888"/>
      <c r="L1710" s="888"/>
      <c r="M1710" s="888"/>
      <c r="N1710" s="888"/>
      <c r="O1710" s="888"/>
      <c r="P1710" s="888"/>
      <c r="Q1710" s="888"/>
      <c r="R1710" s="888"/>
    </row>
    <row r="1711" spans="1:18" s="893" customFormat="1" x14ac:dyDescent="0.3">
      <c r="A1711" s="888" t="str">
        <f>IF(LEN('Translation-EN'!A1711)&gt;0,'Translation-EN'!A1711,"")</f>
        <v>Range</v>
      </c>
      <c r="B1711" s="888" t="str">
        <f>IF(LEN('Translation-EN'!B1711)&gt;0,'Translation-EN'!B1711,"")</f>
        <v>Master sheet</v>
      </c>
      <c r="C1711" s="888" t="str">
        <f>IF(LEN('Translation-EN'!C1711)&gt;0,'Translation-EN'!C1711,"")</f>
        <v>C69</v>
      </c>
      <c r="D1711" s="888" t="str">
        <f>IF(LEN('Translation-EN'!D1711)&gt;0,'Translation-EN'!D1711,"")</f>
        <v/>
      </c>
      <c r="E1711" s="893" t="str">
        <f>$E$1703</f>
        <v>Association canadienne des fabricants de maçonnerie de béton, région de l’Ouest</v>
      </c>
      <c r="I1711" s="888"/>
      <c r="J1711" s="888"/>
      <c r="K1711" s="888"/>
      <c r="L1711" s="888"/>
      <c r="M1711" s="888"/>
      <c r="N1711" s="888"/>
      <c r="O1711" s="888"/>
      <c r="P1711" s="888"/>
      <c r="Q1711" s="888"/>
      <c r="R1711" s="888"/>
    </row>
    <row r="1712" spans="1:18" s="893" customFormat="1" x14ac:dyDescent="0.3">
      <c r="A1712" s="888" t="str">
        <f>IF(LEN('Translation-EN'!A1712)&gt;0,'Translation-EN'!A1712,"")</f>
        <v>Range</v>
      </c>
      <c r="B1712" s="888" t="str">
        <f>IF(LEN('Translation-EN'!B1712)&gt;0,'Translation-EN'!B1712,"")</f>
        <v>Master sheet</v>
      </c>
      <c r="C1712" s="888" t="str">
        <f>IF(LEN('Translation-EN'!C1712)&gt;0,'Translation-EN'!C1712,"")</f>
        <v>D69</v>
      </c>
      <c r="D1712" s="888" t="str">
        <f>IF(LEN('Translation-EN'!D1712)&gt;0,'Translation-EN'!D1712,"")</f>
        <v/>
      </c>
      <c r="E1712" s="893" t="str">
        <f>$E$1708</f>
        <v>Blocs de poids normal de 8 po</v>
      </c>
      <c r="I1712" s="888"/>
      <c r="J1712" s="888"/>
      <c r="K1712" s="888"/>
      <c r="L1712" s="888"/>
      <c r="M1712" s="888"/>
      <c r="N1712" s="888"/>
      <c r="O1712" s="888"/>
      <c r="P1712" s="888"/>
      <c r="Q1712" s="888"/>
      <c r="R1712" s="888"/>
    </row>
    <row r="1713" spans="1:18" s="893" customFormat="1" x14ac:dyDescent="0.3">
      <c r="A1713" s="888" t="str">
        <f>IF(LEN('Translation-EN'!A1713)&gt;0,'Translation-EN'!A1713,"")</f>
        <v>Range</v>
      </c>
      <c r="B1713" s="888" t="str">
        <f>IF(LEN('Translation-EN'!B1713)&gt;0,'Translation-EN'!B1713,"")</f>
        <v>Master sheet</v>
      </c>
      <c r="C1713" s="888" t="str">
        <f>IF(LEN('Translation-EN'!C1713)&gt;0,'Translation-EN'!C1713,"")</f>
        <v>E69</v>
      </c>
      <c r="D1713" s="888" t="str">
        <f>IF(LEN('Translation-EN'!D1713)&gt;0,'Translation-EN'!D1713,"")</f>
        <v/>
      </c>
      <c r="E1713" s="893" t="str">
        <f>$E$1701</f>
        <v>Bloc 15 MPa, 390 x 190 x 190 mm</v>
      </c>
      <c r="I1713" s="888"/>
      <c r="J1713" s="888"/>
      <c r="K1713" s="888"/>
      <c r="L1713" s="888"/>
      <c r="M1713" s="888"/>
      <c r="N1713" s="888"/>
      <c r="O1713" s="888"/>
      <c r="P1713" s="888"/>
      <c r="Q1713" s="888"/>
      <c r="R1713" s="888"/>
    </row>
    <row r="1714" spans="1:18" s="893" customFormat="1" x14ac:dyDescent="0.3">
      <c r="A1714" s="888" t="str">
        <f>IF(LEN('Translation-EN'!A1714)&gt;0,'Translation-EN'!A1714,"")</f>
        <v>Range</v>
      </c>
      <c r="B1714" s="888" t="str">
        <f>IF(LEN('Translation-EN'!B1714)&gt;0,'Translation-EN'!B1714,"")</f>
        <v>Master sheet</v>
      </c>
      <c r="C1714" s="888" t="str">
        <f>IF(LEN('Translation-EN'!C1714)&gt;0,'Translation-EN'!C1714,"")</f>
        <v>B72</v>
      </c>
      <c r="D1714" s="888" t="str">
        <f>IF(LEN('Translation-EN'!D1714)&gt;0,'Translation-EN'!D1714,"")</f>
        <v/>
      </c>
      <c r="E1714" s="893" t="str">
        <f>$E$1706</f>
        <v>EMB –poids normal</v>
      </c>
      <c r="I1714" s="888"/>
      <c r="J1714" s="888"/>
      <c r="K1714" s="888"/>
      <c r="L1714" s="888"/>
      <c r="M1714" s="888"/>
      <c r="N1714" s="888"/>
      <c r="O1714" s="888"/>
      <c r="P1714" s="888"/>
      <c r="Q1714" s="888"/>
      <c r="R1714" s="888"/>
    </row>
    <row r="1715" spans="1:18" s="893" customFormat="1" x14ac:dyDescent="0.3">
      <c r="A1715" s="888" t="str">
        <f>IF(LEN('Translation-EN'!A1715)&gt;0,'Translation-EN'!A1715,"")</f>
        <v>Range</v>
      </c>
      <c r="B1715" s="888" t="str">
        <f>IF(LEN('Translation-EN'!B1715)&gt;0,'Translation-EN'!B1715,"")</f>
        <v>Master sheet</v>
      </c>
      <c r="C1715" s="888" t="str">
        <f>IF(LEN('Translation-EN'!C1715)&gt;0,'Translation-EN'!C1715,"")</f>
        <v>C72</v>
      </c>
      <c r="D1715" s="888" t="str">
        <f>IF(LEN('Translation-EN'!D1715)&gt;0,'Translation-EN'!D1715,"")</f>
        <v/>
      </c>
      <c r="E1715" s="893" t="str">
        <f>$E$1695</f>
        <v>Brampton Brick (Boehmers)</v>
      </c>
      <c r="I1715" s="888"/>
      <c r="J1715" s="888"/>
      <c r="K1715" s="888"/>
      <c r="L1715" s="888"/>
      <c r="M1715" s="888"/>
      <c r="N1715" s="888"/>
      <c r="O1715" s="888"/>
      <c r="P1715" s="888"/>
      <c r="Q1715" s="888"/>
      <c r="R1715" s="888"/>
    </row>
    <row r="1716" spans="1:18" s="893" customFormat="1" x14ac:dyDescent="0.3">
      <c r="A1716" s="888" t="str">
        <f>IF(LEN('Translation-EN'!A1716)&gt;0,'Translation-EN'!A1716,"")</f>
        <v>Range</v>
      </c>
      <c r="B1716" s="888" t="str">
        <f>IF(LEN('Translation-EN'!B1716)&gt;0,'Translation-EN'!B1716,"")</f>
        <v>Master sheet</v>
      </c>
      <c r="C1716" s="888" t="str">
        <f>IF(LEN('Translation-EN'!C1716)&gt;0,'Translation-EN'!C1716,"")</f>
        <v>D72</v>
      </c>
      <c r="D1716" s="888" t="str">
        <f>IF(LEN('Translation-EN'!D1716)&gt;0,'Translation-EN'!D1716,"")</f>
        <v/>
      </c>
      <c r="E1716" s="893" t="str">
        <f>$E$1696</f>
        <v>Bloc CarboClave 8"</v>
      </c>
      <c r="I1716" s="888"/>
      <c r="J1716" s="888"/>
      <c r="K1716" s="888"/>
      <c r="L1716" s="888"/>
      <c r="M1716" s="888"/>
      <c r="N1716" s="888"/>
      <c r="O1716" s="888"/>
      <c r="P1716" s="888"/>
      <c r="Q1716" s="888"/>
      <c r="R1716" s="888"/>
    </row>
    <row r="1717" spans="1:18" s="893" customFormat="1" x14ac:dyDescent="0.3">
      <c r="A1717" s="888" t="str">
        <f>IF(LEN('Translation-EN'!A1717)&gt;0,'Translation-EN'!A1717,"")</f>
        <v>Range</v>
      </c>
      <c r="B1717" s="888" t="str">
        <f>IF(LEN('Translation-EN'!B1717)&gt;0,'Translation-EN'!B1717,"")</f>
        <v>Master sheet</v>
      </c>
      <c r="C1717" s="888" t="str">
        <f>IF(LEN('Translation-EN'!C1717)&gt;0,'Translation-EN'!C1717,"")</f>
        <v>E72</v>
      </c>
      <c r="D1717" s="888" t="str">
        <f>IF(LEN('Translation-EN'!D1717)&gt;0,'Translation-EN'!D1717,"")</f>
        <v/>
      </c>
      <c r="E1717" s="893" t="str">
        <f>$E$1697</f>
        <v>8 x 8 x 16</v>
      </c>
      <c r="I1717" s="888"/>
      <c r="J1717" s="888"/>
      <c r="K1717" s="888"/>
      <c r="L1717" s="888"/>
      <c r="M1717" s="888"/>
      <c r="N1717" s="888"/>
      <c r="O1717" s="888"/>
      <c r="P1717" s="888"/>
      <c r="Q1717" s="888"/>
      <c r="R1717" s="888"/>
    </row>
    <row r="1718" spans="1:18" s="893" customFormat="1" x14ac:dyDescent="0.3">
      <c r="A1718" s="888" t="str">
        <f>IF(LEN('Translation-EN'!A1718)&gt;0,'Translation-EN'!A1718,"")</f>
        <v>Range</v>
      </c>
      <c r="B1718" s="888" t="str">
        <f>IF(LEN('Translation-EN'!B1718)&gt;0,'Translation-EN'!B1718,"")</f>
        <v>Master sheet</v>
      </c>
      <c r="C1718" s="888" t="str">
        <f>IF(LEN('Translation-EN'!C1718)&gt;0,'Translation-EN'!C1718,"")</f>
        <v>B73</v>
      </c>
      <c r="D1718" s="888" t="str">
        <f>IF(LEN('Translation-EN'!D1718)&gt;0,'Translation-EN'!D1718,"")</f>
        <v/>
      </c>
      <c r="E1718" s="893" t="s">
        <v>6205</v>
      </c>
      <c r="I1718" s="888"/>
      <c r="J1718" s="888"/>
      <c r="K1718" s="888"/>
      <c r="L1718" s="888"/>
      <c r="M1718" s="888"/>
      <c r="N1718" s="888"/>
      <c r="O1718" s="888"/>
      <c r="P1718" s="888"/>
      <c r="Q1718" s="888"/>
      <c r="R1718" s="888"/>
    </row>
    <row r="1719" spans="1:18" s="893" customFormat="1" x14ac:dyDescent="0.3">
      <c r="A1719" s="888" t="str">
        <f>IF(LEN('Translation-EN'!A1719)&gt;0,'Translation-EN'!A1719,"")</f>
        <v>Range</v>
      </c>
      <c r="B1719" s="888" t="str">
        <f>IF(LEN('Translation-EN'!B1719)&gt;0,'Translation-EN'!B1719,"")</f>
        <v>Master sheet</v>
      </c>
      <c r="C1719" s="888" t="str">
        <f>IF(LEN('Translation-EN'!C1719)&gt;0,'Translation-EN'!C1719,"")</f>
        <v>C73</v>
      </c>
      <c r="D1719" s="888" t="str">
        <f>IF(LEN('Translation-EN'!D1719)&gt;0,'Translation-EN'!D1719,"")</f>
        <v/>
      </c>
      <c r="E1719" s="893" t="s">
        <v>270</v>
      </c>
      <c r="I1719" s="888"/>
      <c r="J1719" s="888"/>
      <c r="K1719" s="888"/>
      <c r="L1719" s="888"/>
      <c r="M1719" s="888"/>
      <c r="N1719" s="888"/>
      <c r="O1719" s="888"/>
      <c r="P1719" s="888"/>
      <c r="Q1719" s="888"/>
      <c r="R1719" s="888"/>
    </row>
    <row r="1720" spans="1:18" s="893" customFormat="1" x14ac:dyDescent="0.3">
      <c r="A1720" s="888" t="str">
        <f>IF(LEN('Translation-EN'!A1720)&gt;0,'Translation-EN'!A1720,"")</f>
        <v>Range</v>
      </c>
      <c r="B1720" s="888" t="str">
        <f>IF(LEN('Translation-EN'!B1720)&gt;0,'Translation-EN'!B1720,"")</f>
        <v>Master sheet</v>
      </c>
      <c r="C1720" s="888" t="str">
        <f>IF(LEN('Translation-EN'!C1720)&gt;0,'Translation-EN'!C1720,"")</f>
        <v>D73</v>
      </c>
      <c r="D1720" s="888" t="str">
        <f>IF(LEN('Translation-EN'!D1720)&gt;0,'Translation-EN'!D1720,"")</f>
        <v/>
      </c>
      <c r="E1720" s="893" t="s">
        <v>6206</v>
      </c>
      <c r="I1720" s="888"/>
      <c r="J1720" s="888"/>
      <c r="K1720" s="888"/>
      <c r="L1720" s="888"/>
      <c r="M1720" s="888"/>
      <c r="N1720" s="888"/>
      <c r="O1720" s="888"/>
      <c r="P1720" s="888"/>
      <c r="Q1720" s="888"/>
      <c r="R1720" s="888"/>
    </row>
    <row r="1721" spans="1:18" s="893" customFormat="1" x14ac:dyDescent="0.3">
      <c r="A1721" s="888" t="str">
        <f>IF(LEN('Translation-EN'!A1721)&gt;0,'Translation-EN'!A1721,"")</f>
        <v>Range</v>
      </c>
      <c r="B1721" s="888" t="str">
        <f>IF(LEN('Translation-EN'!B1721)&gt;0,'Translation-EN'!B1721,"")</f>
        <v>Master sheet</v>
      </c>
      <c r="C1721" s="888" t="str">
        <f>IF(LEN('Translation-EN'!C1721)&gt;0,'Translation-EN'!C1721,"")</f>
        <v>B74</v>
      </c>
      <c r="D1721" s="888" t="str">
        <f>IF(LEN('Translation-EN'!D1721)&gt;0,'Translation-EN'!D1721,"")</f>
        <v/>
      </c>
      <c r="E1721" s="893" t="str">
        <f>$E$1718</f>
        <v>EMB –Terre battue</v>
      </c>
      <c r="I1721" s="888"/>
      <c r="J1721" s="888"/>
      <c r="K1721" s="888"/>
      <c r="L1721" s="888"/>
      <c r="M1721" s="888"/>
      <c r="N1721" s="888"/>
      <c r="O1721" s="888"/>
      <c r="P1721" s="888"/>
      <c r="Q1721" s="888"/>
      <c r="R1721" s="888"/>
    </row>
    <row r="1722" spans="1:18" s="893" customFormat="1" x14ac:dyDescent="0.3">
      <c r="A1722" s="888" t="str">
        <f>IF(LEN('Translation-EN'!A1722)&gt;0,'Translation-EN'!A1722,"")</f>
        <v>Range</v>
      </c>
      <c r="B1722" s="888" t="str">
        <f>IF(LEN('Translation-EN'!B1722)&gt;0,'Translation-EN'!B1722,"")</f>
        <v>Master sheet</v>
      </c>
      <c r="C1722" s="888" t="str">
        <f>IF(LEN('Translation-EN'!C1722)&gt;0,'Translation-EN'!C1722,"")</f>
        <v>C74</v>
      </c>
      <c r="D1722" s="888" t="str">
        <f>IF(LEN('Translation-EN'!D1722)&gt;0,'Translation-EN'!D1722,"")</f>
        <v/>
      </c>
      <c r="E1722" s="893" t="str">
        <f>$E$1719</f>
        <v>Watershed Materials</v>
      </c>
      <c r="I1722" s="888"/>
      <c r="J1722" s="888"/>
      <c r="K1722" s="888"/>
      <c r="L1722" s="888"/>
      <c r="M1722" s="888"/>
      <c r="N1722" s="888"/>
      <c r="O1722" s="888"/>
      <c r="P1722" s="888"/>
      <c r="Q1722" s="888"/>
      <c r="R1722" s="888"/>
    </row>
    <row r="1723" spans="1:18" s="893" customFormat="1" x14ac:dyDescent="0.3">
      <c r="A1723" s="888" t="str">
        <f>IF(LEN('Translation-EN'!A1723)&gt;0,'Translation-EN'!A1723,"")</f>
        <v>Range</v>
      </c>
      <c r="B1723" s="888" t="str">
        <f>IF(LEN('Translation-EN'!B1723)&gt;0,'Translation-EN'!B1723,"")</f>
        <v>Master sheet</v>
      </c>
      <c r="C1723" s="888" t="str">
        <f>IF(LEN('Translation-EN'!C1723)&gt;0,'Translation-EN'!C1723,"")</f>
        <v>D74</v>
      </c>
      <c r="D1723" s="888" t="str">
        <f>IF(LEN('Translation-EN'!D1723)&gt;0,'Translation-EN'!D1723,"")</f>
        <v/>
      </c>
      <c r="E1723" s="893" t="s">
        <v>6207</v>
      </c>
      <c r="I1723" s="888"/>
      <c r="J1723" s="888"/>
      <c r="K1723" s="888"/>
      <c r="L1723" s="888"/>
      <c r="M1723" s="888"/>
      <c r="N1723" s="888"/>
      <c r="O1723" s="888"/>
      <c r="P1723" s="888"/>
      <c r="Q1723" s="888"/>
      <c r="R1723" s="888"/>
    </row>
    <row r="1724" spans="1:18" s="893" customFormat="1" x14ac:dyDescent="0.3">
      <c r="A1724" s="888" t="str">
        <f>IF(LEN('Translation-EN'!A1724)&gt;0,'Translation-EN'!A1724,"")</f>
        <v>Range</v>
      </c>
      <c r="B1724" s="888" t="str">
        <f>IF(LEN('Translation-EN'!B1724)&gt;0,'Translation-EN'!B1724,"")</f>
        <v>Master sheet</v>
      </c>
      <c r="C1724" s="888" t="str">
        <f>IF(LEN('Translation-EN'!C1724)&gt;0,'Translation-EN'!C1724,"")</f>
        <v>B75</v>
      </c>
      <c r="D1724" s="888" t="str">
        <f>IF(LEN('Translation-EN'!D1724)&gt;0,'Translation-EN'!D1724,"")</f>
        <v/>
      </c>
      <c r="E1724" s="893" t="s">
        <v>6208</v>
      </c>
      <c r="I1724" s="888"/>
      <c r="J1724" s="888"/>
      <c r="K1724" s="888"/>
      <c r="L1724" s="888"/>
      <c r="M1724" s="888"/>
      <c r="N1724" s="888"/>
      <c r="O1724" s="888"/>
      <c r="P1724" s="888"/>
      <c r="Q1724" s="888"/>
      <c r="R1724" s="888"/>
    </row>
    <row r="1725" spans="1:18" s="893" customFormat="1" x14ac:dyDescent="0.3">
      <c r="A1725" s="888" t="str">
        <f>IF(LEN('Translation-EN'!A1725)&gt;0,'Translation-EN'!A1725,"")</f>
        <v>Range</v>
      </c>
      <c r="B1725" s="888" t="str">
        <f>IF(LEN('Translation-EN'!B1725)&gt;0,'Translation-EN'!B1725,"")</f>
        <v>Master sheet</v>
      </c>
      <c r="C1725" s="888" t="str">
        <f>IF(LEN('Translation-EN'!C1725)&gt;0,'Translation-EN'!C1725,"")</f>
        <v>C75</v>
      </c>
      <c r="D1725" s="888" t="str">
        <f>IF(LEN('Translation-EN'!D1725)&gt;0,'Translation-EN'!D1725,"")</f>
        <v/>
      </c>
      <c r="E1725" s="893" t="s">
        <v>6209</v>
      </c>
      <c r="I1725" s="888"/>
      <c r="J1725" s="888"/>
      <c r="K1725" s="888"/>
      <c r="L1725" s="888"/>
      <c r="M1725" s="888"/>
      <c r="N1725" s="888"/>
      <c r="O1725" s="888"/>
      <c r="P1725" s="888"/>
      <c r="Q1725" s="888"/>
      <c r="R1725" s="888"/>
    </row>
    <row r="1726" spans="1:18" s="893" customFormat="1" x14ac:dyDescent="0.3">
      <c r="A1726" s="888" t="str">
        <f>IF(LEN('Translation-EN'!A1726)&gt;0,'Translation-EN'!A1726,"")</f>
        <v>Range</v>
      </c>
      <c r="B1726" s="888" t="str">
        <f>IF(LEN('Translation-EN'!B1726)&gt;0,'Translation-EN'!B1726,"")</f>
        <v>Master sheet</v>
      </c>
      <c r="C1726" s="888" t="str">
        <f>IF(LEN('Translation-EN'!C1726)&gt;0,'Translation-EN'!C1726,"")</f>
        <v>E75</v>
      </c>
      <c r="D1726" s="888" t="str">
        <f>IF(LEN('Translation-EN'!D1726)&gt;0,'Translation-EN'!D1726,"")</f>
        <v/>
      </c>
      <c r="E1726" s="893" t="s">
        <v>6210</v>
      </c>
      <c r="I1726" s="888"/>
      <c r="J1726" s="888"/>
      <c r="K1726" s="888"/>
      <c r="L1726" s="888"/>
      <c r="M1726" s="888"/>
      <c r="N1726" s="888"/>
      <c r="O1726" s="888"/>
      <c r="P1726" s="888"/>
      <c r="Q1726" s="888"/>
      <c r="R1726" s="888"/>
    </row>
    <row r="1727" spans="1:18" s="893" customFormat="1" x14ac:dyDescent="0.3">
      <c r="A1727" s="888" t="str">
        <f>IF(LEN('Translation-EN'!A1727)&gt;0,'Translation-EN'!A1727,"")</f>
        <v>Range</v>
      </c>
      <c r="B1727" s="888" t="str">
        <f>IF(LEN('Translation-EN'!B1727)&gt;0,'Translation-EN'!B1727,"")</f>
        <v>Master sheet</v>
      </c>
      <c r="C1727" s="888" t="str">
        <f>IF(LEN('Translation-EN'!C1727)&gt;0,'Translation-EN'!C1727,"")</f>
        <v>B76</v>
      </c>
      <c r="D1727" s="888" t="str">
        <f>IF(LEN('Translation-EN'!D1727)&gt;0,'Translation-EN'!D1727,"")</f>
        <v/>
      </c>
      <c r="E1727" s="893" t="s">
        <v>6211</v>
      </c>
      <c r="I1727" s="888"/>
      <c r="J1727" s="888"/>
      <c r="K1727" s="888"/>
      <c r="L1727" s="888"/>
      <c r="M1727" s="888"/>
      <c r="N1727" s="888"/>
      <c r="O1727" s="888"/>
      <c r="P1727" s="888"/>
      <c r="Q1727" s="888"/>
      <c r="R1727" s="888"/>
    </row>
    <row r="1728" spans="1:18" s="893" customFormat="1" x14ac:dyDescent="0.3">
      <c r="A1728" s="888" t="str">
        <f>IF(LEN('Translation-EN'!A1728)&gt;0,'Translation-EN'!A1728,"")</f>
        <v>Range</v>
      </c>
      <c r="B1728" s="888" t="str">
        <f>IF(LEN('Translation-EN'!B1728)&gt;0,'Translation-EN'!B1728,"")</f>
        <v>Master sheet</v>
      </c>
      <c r="C1728" s="888" t="str">
        <f>IF(LEN('Translation-EN'!C1728)&gt;0,'Translation-EN'!C1728,"")</f>
        <v>C76</v>
      </c>
      <c r="D1728" s="888" t="str">
        <f>IF(LEN('Translation-EN'!D1728)&gt;0,'Translation-EN'!D1728,"")</f>
        <v/>
      </c>
      <c r="E1728" s="893" t="str">
        <f>$E$1690</f>
        <v>Mélangé sur site</v>
      </c>
      <c r="I1728" s="888"/>
      <c r="J1728" s="888"/>
      <c r="K1728" s="888"/>
      <c r="L1728" s="888"/>
      <c r="M1728" s="888"/>
      <c r="N1728" s="888"/>
      <c r="O1728" s="888"/>
      <c r="P1728" s="888"/>
      <c r="Q1728" s="888"/>
      <c r="R1728" s="888"/>
    </row>
    <row r="1729" spans="1:18" s="893" customFormat="1" x14ac:dyDescent="0.3">
      <c r="A1729" s="888" t="str">
        <f>IF(LEN('Translation-EN'!A1729)&gt;0,'Translation-EN'!A1729,"")</f>
        <v>Range</v>
      </c>
      <c r="B1729" s="888" t="str">
        <f>IF(LEN('Translation-EN'!B1729)&gt;0,'Translation-EN'!B1729,"")</f>
        <v>Master sheet</v>
      </c>
      <c r="C1729" s="888" t="str">
        <f>IF(LEN('Translation-EN'!C1729)&gt;0,'Translation-EN'!C1729,"")</f>
        <v>E76</v>
      </c>
      <c r="D1729" s="888" t="str">
        <f>IF(LEN('Translation-EN'!D1729)&gt;0,'Translation-EN'!D1729,"")</f>
        <v/>
      </c>
      <c r="E1729" s="893" t="s">
        <v>6212</v>
      </c>
      <c r="I1729" s="888"/>
      <c r="J1729" s="888"/>
      <c r="K1729" s="888"/>
      <c r="L1729" s="888"/>
      <c r="M1729" s="888"/>
      <c r="N1729" s="888"/>
      <c r="O1729" s="888"/>
      <c r="P1729" s="888"/>
      <c r="Q1729" s="888"/>
      <c r="R1729" s="888"/>
    </row>
    <row r="1730" spans="1:18" s="893" customFormat="1" x14ac:dyDescent="0.3">
      <c r="A1730" s="888" t="str">
        <f>IF(LEN('Translation-EN'!A1730)&gt;0,'Translation-EN'!A1730,"")</f>
        <v>Range</v>
      </c>
      <c r="B1730" s="888" t="str">
        <f>IF(LEN('Translation-EN'!B1730)&gt;0,'Translation-EN'!B1730,"")</f>
        <v>Master sheet</v>
      </c>
      <c r="C1730" s="888" t="str">
        <f>IF(LEN('Translation-EN'!C1730)&gt;0,'Translation-EN'!C1730,"")</f>
        <v>B77</v>
      </c>
      <c r="D1730" s="888" t="str">
        <f>IF(LEN('Translation-EN'!D1730)&gt;0,'Translation-EN'!D1730,"")</f>
        <v/>
      </c>
      <c r="E1730" s="893" t="s">
        <v>6213</v>
      </c>
      <c r="I1730" s="888"/>
      <c r="J1730" s="888"/>
      <c r="K1730" s="888"/>
      <c r="L1730" s="888"/>
      <c r="M1730" s="888"/>
      <c r="N1730" s="888"/>
      <c r="O1730" s="888"/>
      <c r="P1730" s="888"/>
      <c r="Q1730" s="888"/>
      <c r="R1730" s="888"/>
    </row>
    <row r="1731" spans="1:18" s="893" customFormat="1" x14ac:dyDescent="0.3">
      <c r="A1731" s="888" t="str">
        <f>IF(LEN('Translation-EN'!A1731)&gt;0,'Translation-EN'!A1731,"")</f>
        <v>Range</v>
      </c>
      <c r="B1731" s="888" t="str">
        <f>IF(LEN('Translation-EN'!B1731)&gt;0,'Translation-EN'!B1731,"")</f>
        <v>Master sheet</v>
      </c>
      <c r="C1731" s="888" t="str">
        <f>IF(LEN('Translation-EN'!C1731)&gt;0,'Translation-EN'!C1731,"")</f>
        <v>C77</v>
      </c>
      <c r="D1731" s="888" t="str">
        <f>IF(LEN('Translation-EN'!D1731)&gt;0,'Translation-EN'!D1731,"")</f>
        <v/>
      </c>
      <c r="E1731" s="893" t="s">
        <v>6214</v>
      </c>
      <c r="I1731" s="888"/>
      <c r="J1731" s="888"/>
      <c r="K1731" s="888"/>
      <c r="L1731" s="888"/>
      <c r="M1731" s="888"/>
      <c r="N1731" s="888"/>
      <c r="O1731" s="888"/>
      <c r="P1731" s="888"/>
      <c r="Q1731" s="888"/>
      <c r="R1731" s="888"/>
    </row>
    <row r="1732" spans="1:18" s="893" customFormat="1" x14ac:dyDescent="0.3">
      <c r="A1732" s="888" t="str">
        <f>IF(LEN('Translation-EN'!A1732)&gt;0,'Translation-EN'!A1732,"")</f>
        <v>Range</v>
      </c>
      <c r="B1732" s="888" t="str">
        <f>IF(LEN('Translation-EN'!B1732)&gt;0,'Translation-EN'!B1732,"")</f>
        <v>Master sheet</v>
      </c>
      <c r="C1732" s="888" t="str">
        <f>IF(LEN('Translation-EN'!C1732)&gt;0,'Translation-EN'!C1732,"")</f>
        <v>D77</v>
      </c>
      <c r="D1732" s="888" t="str">
        <f>IF(LEN('Translation-EN'!D1732)&gt;0,'Translation-EN'!D1732,"")</f>
        <v/>
      </c>
      <c r="E1732" s="893" t="s">
        <v>6215</v>
      </c>
      <c r="I1732" s="888"/>
      <c r="J1732" s="888"/>
      <c r="K1732" s="888"/>
      <c r="L1732" s="888"/>
      <c r="M1732" s="888"/>
      <c r="N1732" s="888"/>
      <c r="O1732" s="888"/>
      <c r="P1732" s="888"/>
      <c r="Q1732" s="888"/>
      <c r="R1732" s="888"/>
    </row>
    <row r="1733" spans="1:18" s="893" customFormat="1" x14ac:dyDescent="0.3">
      <c r="A1733" s="888" t="str">
        <f>IF(LEN('Translation-EN'!A1733)&gt;0,'Translation-EN'!A1733,"")</f>
        <v>Range</v>
      </c>
      <c r="B1733" s="888" t="str">
        <f>IF(LEN('Translation-EN'!B1733)&gt;0,'Translation-EN'!B1733,"")</f>
        <v>Master sheet</v>
      </c>
      <c r="C1733" s="888" t="str">
        <f>IF(LEN('Translation-EN'!C1733)&gt;0,'Translation-EN'!C1733,"")</f>
        <v>E77</v>
      </c>
      <c r="D1733" s="888" t="str">
        <f>IF(LEN('Translation-EN'!D1733)&gt;0,'Translation-EN'!D1733,"")</f>
        <v/>
      </c>
      <c r="E1733" s="893" t="s">
        <v>6216</v>
      </c>
      <c r="I1733" s="888"/>
      <c r="J1733" s="888"/>
      <c r="K1733" s="888"/>
      <c r="L1733" s="888"/>
      <c r="M1733" s="888"/>
      <c r="N1733" s="888"/>
      <c r="O1733" s="888"/>
      <c r="P1733" s="888"/>
      <c r="Q1733" s="888"/>
      <c r="R1733" s="888"/>
    </row>
    <row r="1734" spans="1:18" s="893" customFormat="1" x14ac:dyDescent="0.3">
      <c r="A1734" s="888" t="str">
        <f>IF(LEN('Translation-EN'!A1734)&gt;0,'Translation-EN'!A1734,"")</f>
        <v>Range</v>
      </c>
      <c r="B1734" s="888" t="str">
        <f>IF(LEN('Translation-EN'!B1734)&gt;0,'Translation-EN'!B1734,"")</f>
        <v>Master sheet</v>
      </c>
      <c r="C1734" s="888" t="str">
        <f>IF(LEN('Translation-EN'!C1734)&gt;0,'Translation-EN'!C1734,"")</f>
        <v>B78</v>
      </c>
      <c r="D1734" s="888" t="str">
        <f>IF(LEN('Translation-EN'!D1734)&gt;0,'Translation-EN'!D1734,"")</f>
        <v/>
      </c>
      <c r="E1734" s="893" t="s">
        <v>6217</v>
      </c>
      <c r="I1734" s="888"/>
      <c r="J1734" s="888"/>
      <c r="K1734" s="888"/>
      <c r="L1734" s="888"/>
      <c r="M1734" s="888"/>
      <c r="N1734" s="888"/>
      <c r="O1734" s="888"/>
      <c r="P1734" s="888"/>
      <c r="Q1734" s="888"/>
      <c r="R1734" s="888"/>
    </row>
    <row r="1735" spans="1:18" s="893" customFormat="1" x14ac:dyDescent="0.3">
      <c r="A1735" s="888" t="str">
        <f>IF(LEN('Translation-EN'!A1735)&gt;0,'Translation-EN'!A1735,"")</f>
        <v>Range</v>
      </c>
      <c r="B1735" s="888" t="str">
        <f>IF(LEN('Translation-EN'!B1735)&gt;0,'Translation-EN'!B1735,"")</f>
        <v>Master sheet</v>
      </c>
      <c r="C1735" s="888" t="str">
        <f>IF(LEN('Translation-EN'!C1735)&gt;0,'Translation-EN'!C1735,"")</f>
        <v>C78</v>
      </c>
      <c r="D1735" s="888" t="str">
        <f>IF(LEN('Translation-EN'!D1735)&gt;0,'Translation-EN'!D1735,"")</f>
        <v/>
      </c>
      <c r="E1735" s="893" t="s">
        <v>285</v>
      </c>
      <c r="I1735" s="888"/>
      <c r="J1735" s="888"/>
      <c r="K1735" s="888"/>
      <c r="L1735" s="888"/>
      <c r="M1735" s="888"/>
      <c r="N1735" s="888"/>
      <c r="O1735" s="888"/>
      <c r="P1735" s="888"/>
      <c r="Q1735" s="888"/>
      <c r="R1735" s="888"/>
    </row>
    <row r="1736" spans="1:18" s="893" customFormat="1" x14ac:dyDescent="0.3">
      <c r="A1736" s="888" t="str">
        <f>IF(LEN('Translation-EN'!A1736)&gt;0,'Translation-EN'!A1736,"")</f>
        <v>Range</v>
      </c>
      <c r="B1736" s="888" t="str">
        <f>IF(LEN('Translation-EN'!B1736)&gt;0,'Translation-EN'!B1736,"")</f>
        <v>Master sheet</v>
      </c>
      <c r="C1736" s="888" t="str">
        <f>IF(LEN('Translation-EN'!C1736)&gt;0,'Translation-EN'!C1736,"")</f>
        <v>D78</v>
      </c>
      <c r="D1736" s="888" t="str">
        <f>IF(LEN('Translation-EN'!D1736)&gt;0,'Translation-EN'!D1736,"")</f>
        <v/>
      </c>
      <c r="E1736" s="893" t="s">
        <v>6218</v>
      </c>
      <c r="I1736" s="888"/>
      <c r="J1736" s="888"/>
      <c r="K1736" s="888"/>
      <c r="L1736" s="888"/>
      <c r="M1736" s="888"/>
      <c r="N1736" s="888"/>
      <c r="O1736" s="888"/>
      <c r="P1736" s="888"/>
      <c r="Q1736" s="888"/>
      <c r="R1736" s="888"/>
    </row>
    <row r="1737" spans="1:18" s="893" customFormat="1" x14ac:dyDescent="0.3">
      <c r="A1737" s="888" t="str">
        <f>IF(LEN('Translation-EN'!A1737)&gt;0,'Translation-EN'!A1737,"")</f>
        <v>Range</v>
      </c>
      <c r="B1737" s="888" t="str">
        <f>IF(LEN('Translation-EN'!B1737)&gt;0,'Translation-EN'!B1737,"")</f>
        <v>Master sheet</v>
      </c>
      <c r="C1737" s="888" t="str">
        <f>IF(LEN('Translation-EN'!C1737)&gt;0,'Translation-EN'!C1737,"")</f>
        <v>E78</v>
      </c>
      <c r="D1737" s="888" t="str">
        <f>IF(LEN('Translation-EN'!D1737)&gt;0,'Translation-EN'!D1737,"")</f>
        <v/>
      </c>
      <c r="E1737" s="893" t="s">
        <v>6219</v>
      </c>
      <c r="I1737" s="888"/>
      <c r="J1737" s="888"/>
      <c r="K1737" s="888"/>
      <c r="L1737" s="888"/>
      <c r="M1737" s="888"/>
      <c r="N1737" s="888"/>
      <c r="O1737" s="888"/>
      <c r="P1737" s="888"/>
      <c r="Q1737" s="888"/>
      <c r="R1737" s="888"/>
    </row>
    <row r="1738" spans="1:18" s="893" customFormat="1" x14ac:dyDescent="0.3">
      <c r="A1738" s="888" t="str">
        <f>IF(LEN('Translation-EN'!A1738)&gt;0,'Translation-EN'!A1738,"")</f>
        <v>Range</v>
      </c>
      <c r="B1738" s="888" t="str">
        <f>IF(LEN('Translation-EN'!B1738)&gt;0,'Translation-EN'!B1738,"")</f>
        <v>Master sheet</v>
      </c>
      <c r="C1738" s="888" t="str">
        <f>IF(LEN('Translation-EN'!C1738)&gt;0,'Translation-EN'!C1738,"")</f>
        <v>B79</v>
      </c>
      <c r="D1738" s="888" t="str">
        <f>IF(LEN('Translation-EN'!D1738)&gt;0,'Translation-EN'!D1738,"")</f>
        <v/>
      </c>
      <c r="E1738" s="893" t="s">
        <v>6220</v>
      </c>
      <c r="I1738" s="888"/>
      <c r="J1738" s="888"/>
      <c r="K1738" s="888"/>
      <c r="L1738" s="888"/>
      <c r="M1738" s="888"/>
      <c r="N1738" s="888"/>
      <c r="O1738" s="888"/>
      <c r="P1738" s="888"/>
      <c r="Q1738" s="888"/>
      <c r="R1738" s="888"/>
    </row>
    <row r="1739" spans="1:18" s="893" customFormat="1" x14ac:dyDescent="0.3">
      <c r="A1739" s="888" t="str">
        <f>IF(LEN('Translation-EN'!A1739)&gt;0,'Translation-EN'!A1739,"")</f>
        <v>Range</v>
      </c>
      <c r="B1739" s="888" t="str">
        <f>IF(LEN('Translation-EN'!B1739)&gt;0,'Translation-EN'!B1739,"")</f>
        <v>Master sheet</v>
      </c>
      <c r="C1739" s="888" t="str">
        <f>IF(LEN('Translation-EN'!C1739)&gt;0,'Translation-EN'!C1739,"")</f>
        <v>C79</v>
      </c>
      <c r="D1739" s="888" t="str">
        <f>IF(LEN('Translation-EN'!D1739)&gt;0,'Translation-EN'!D1739,"")</f>
        <v/>
      </c>
      <c r="E1739" s="893" t="s">
        <v>294</v>
      </c>
      <c r="I1739" s="888"/>
      <c r="J1739" s="888"/>
      <c r="K1739" s="888"/>
      <c r="L1739" s="888"/>
      <c r="M1739" s="888"/>
      <c r="N1739" s="888"/>
      <c r="O1739" s="888"/>
      <c r="P1739" s="888"/>
      <c r="Q1739" s="888"/>
      <c r="R1739" s="888"/>
    </row>
    <row r="1740" spans="1:18" s="893" customFormat="1" x14ac:dyDescent="0.3">
      <c r="A1740" s="888" t="str">
        <f>IF(LEN('Translation-EN'!A1740)&gt;0,'Translation-EN'!A1740,"")</f>
        <v>Range</v>
      </c>
      <c r="B1740" s="888" t="str">
        <f>IF(LEN('Translation-EN'!B1740)&gt;0,'Translation-EN'!B1740,"")</f>
        <v>Master sheet</v>
      </c>
      <c r="C1740" s="888" t="str">
        <f>IF(LEN('Translation-EN'!C1740)&gt;0,'Translation-EN'!C1740,"")</f>
        <v>D79</v>
      </c>
      <c r="D1740" s="888" t="str">
        <f>IF(LEN('Translation-EN'!D1740)&gt;0,'Translation-EN'!D1740,"")</f>
        <v/>
      </c>
      <c r="E1740" s="893" t="s">
        <v>6221</v>
      </c>
      <c r="I1740" s="888"/>
      <c r="J1740" s="888"/>
      <c r="K1740" s="888"/>
      <c r="L1740" s="888"/>
      <c r="M1740" s="888"/>
      <c r="N1740" s="888"/>
      <c r="O1740" s="888"/>
      <c r="P1740" s="888"/>
      <c r="Q1740" s="888"/>
      <c r="R1740" s="888"/>
    </row>
    <row r="1741" spans="1:18" s="893" customFormat="1" x14ac:dyDescent="0.3">
      <c r="A1741" s="888" t="str">
        <f>IF(LEN('Translation-EN'!A1741)&gt;0,'Translation-EN'!A1741,"")</f>
        <v>Range</v>
      </c>
      <c r="B1741" s="888" t="str">
        <f>IF(LEN('Translation-EN'!B1741)&gt;0,'Translation-EN'!B1741,"")</f>
        <v>Master sheet</v>
      </c>
      <c r="C1741" s="888" t="str">
        <f>IF(LEN('Translation-EN'!C1741)&gt;0,'Translation-EN'!C1741,"")</f>
        <v>B80</v>
      </c>
      <c r="D1741" s="888" t="str">
        <f>IF(LEN('Translation-EN'!D1741)&gt;0,'Translation-EN'!D1741,"")</f>
        <v/>
      </c>
      <c r="E1741" s="893" t="s">
        <v>6222</v>
      </c>
      <c r="I1741" s="888"/>
      <c r="J1741" s="888"/>
      <c r="K1741" s="888"/>
      <c r="L1741" s="888"/>
      <c r="M1741" s="888"/>
      <c r="N1741" s="888"/>
      <c r="O1741" s="888"/>
      <c r="P1741" s="888"/>
      <c r="Q1741" s="888"/>
      <c r="R1741" s="888"/>
    </row>
    <row r="1742" spans="1:18" s="893" customFormat="1" x14ac:dyDescent="0.3">
      <c r="A1742" s="888" t="str">
        <f>IF(LEN('Translation-EN'!A1742)&gt;0,'Translation-EN'!A1742,"")</f>
        <v>Range</v>
      </c>
      <c r="B1742" s="888" t="str">
        <f>IF(LEN('Translation-EN'!B1742)&gt;0,'Translation-EN'!B1742,"")</f>
        <v>Master sheet</v>
      </c>
      <c r="C1742" s="888" t="str">
        <f>IF(LEN('Translation-EN'!C1742)&gt;0,'Translation-EN'!C1742,"")</f>
        <v>C80</v>
      </c>
      <c r="D1742" s="888" t="str">
        <f>IF(LEN('Translation-EN'!D1742)&gt;0,'Translation-EN'!D1742,"")</f>
        <v/>
      </c>
      <c r="E1742" s="893" t="s">
        <v>1300</v>
      </c>
      <c r="I1742" s="888"/>
      <c r="J1742" s="888"/>
      <c r="K1742" s="888"/>
      <c r="L1742" s="888"/>
      <c r="M1742" s="888"/>
      <c r="N1742" s="888"/>
      <c r="O1742" s="888"/>
      <c r="P1742" s="888"/>
      <c r="Q1742" s="888"/>
      <c r="R1742" s="888"/>
    </row>
    <row r="1743" spans="1:18" s="893" customFormat="1" x14ac:dyDescent="0.3">
      <c r="A1743" s="888" t="str">
        <f>IF(LEN('Translation-EN'!A1743)&gt;0,'Translation-EN'!A1743,"")</f>
        <v>Range</v>
      </c>
      <c r="B1743" s="888" t="str">
        <f>IF(LEN('Translation-EN'!B1743)&gt;0,'Translation-EN'!B1743,"")</f>
        <v>Master sheet</v>
      </c>
      <c r="C1743" s="888" t="str">
        <f>IF(LEN('Translation-EN'!C1743)&gt;0,'Translation-EN'!C1743,"")</f>
        <v>D80</v>
      </c>
      <c r="D1743" s="888" t="str">
        <f>IF(LEN('Translation-EN'!D1743)&gt;0,'Translation-EN'!D1743,"")</f>
        <v/>
      </c>
      <c r="E1743" s="893" t="s">
        <v>6223</v>
      </c>
      <c r="I1743" s="888"/>
      <c r="J1743" s="888"/>
      <c r="K1743" s="888"/>
      <c r="L1743" s="888"/>
      <c r="M1743" s="888"/>
      <c r="N1743" s="888"/>
      <c r="O1743" s="888"/>
      <c r="P1743" s="888"/>
      <c r="Q1743" s="888"/>
      <c r="R1743" s="888"/>
    </row>
    <row r="1744" spans="1:18" s="893" customFormat="1" x14ac:dyDescent="0.3">
      <c r="A1744" s="888" t="str">
        <f>IF(LEN('Translation-EN'!A1744)&gt;0,'Translation-EN'!A1744,"")</f>
        <v>Range</v>
      </c>
      <c r="B1744" s="888" t="str">
        <f>IF(LEN('Translation-EN'!B1744)&gt;0,'Translation-EN'!B1744,"")</f>
        <v>Master sheet</v>
      </c>
      <c r="C1744" s="888" t="str">
        <f>IF(LEN('Translation-EN'!C1744)&gt;0,'Translation-EN'!C1744,"")</f>
        <v>B81</v>
      </c>
      <c r="D1744" s="888" t="str">
        <f>IF(LEN('Translation-EN'!D1744)&gt;0,'Translation-EN'!D1744,"")</f>
        <v/>
      </c>
      <c r="E1744" s="893" t="s">
        <v>6224</v>
      </c>
      <c r="I1744" s="888"/>
      <c r="J1744" s="888"/>
      <c r="K1744" s="888"/>
      <c r="L1744" s="888"/>
      <c r="M1744" s="888"/>
      <c r="N1744" s="888"/>
      <c r="O1744" s="888"/>
      <c r="P1744" s="888"/>
      <c r="Q1744" s="888"/>
      <c r="R1744" s="888"/>
    </row>
    <row r="1745" spans="1:18" s="893" customFormat="1" x14ac:dyDescent="0.3">
      <c r="A1745" s="888" t="str">
        <f>IF(LEN('Translation-EN'!A1745)&gt;0,'Translation-EN'!A1745,"")</f>
        <v>Range</v>
      </c>
      <c r="B1745" s="888" t="str">
        <f>IF(LEN('Translation-EN'!B1745)&gt;0,'Translation-EN'!B1745,"")</f>
        <v>Master sheet</v>
      </c>
      <c r="C1745" s="888" t="str">
        <f>IF(LEN('Translation-EN'!C1745)&gt;0,'Translation-EN'!C1745,"")</f>
        <v>C81</v>
      </c>
      <c r="D1745" s="888" t="str">
        <f>IF(LEN('Translation-EN'!D1745)&gt;0,'Translation-EN'!D1745,"")</f>
        <v/>
      </c>
      <c r="E1745" s="893" t="str">
        <f>$E$1742</f>
        <v>CRMCA</v>
      </c>
      <c r="I1745" s="888"/>
      <c r="J1745" s="888"/>
      <c r="K1745" s="888"/>
      <c r="L1745" s="888"/>
      <c r="M1745" s="888"/>
      <c r="N1745" s="888"/>
      <c r="O1745" s="888"/>
      <c r="P1745" s="888"/>
      <c r="Q1745" s="888"/>
      <c r="R1745" s="888"/>
    </row>
    <row r="1746" spans="1:18" s="893" customFormat="1" x14ac:dyDescent="0.3">
      <c r="A1746" s="888" t="str">
        <f>IF(LEN('Translation-EN'!A1746)&gt;0,'Translation-EN'!A1746,"")</f>
        <v>Range</v>
      </c>
      <c r="B1746" s="888" t="str">
        <f>IF(LEN('Translation-EN'!B1746)&gt;0,'Translation-EN'!B1746,"")</f>
        <v>Master sheet</v>
      </c>
      <c r="C1746" s="888" t="str">
        <f>IF(LEN('Translation-EN'!C1746)&gt;0,'Translation-EN'!C1746,"")</f>
        <v>D81</v>
      </c>
      <c r="D1746" s="888" t="str">
        <f>IF(LEN('Translation-EN'!D1746)&gt;0,'Translation-EN'!D1746,"")</f>
        <v/>
      </c>
      <c r="E1746" s="893" t="str">
        <f>$E$1743</f>
        <v>Moy. can.</v>
      </c>
      <c r="I1746" s="888"/>
      <c r="J1746" s="888"/>
      <c r="K1746" s="888"/>
      <c r="L1746" s="888"/>
      <c r="M1746" s="888"/>
      <c r="N1746" s="888"/>
      <c r="O1746" s="888"/>
      <c r="P1746" s="888"/>
      <c r="Q1746" s="888"/>
      <c r="R1746" s="888"/>
    </row>
    <row r="1747" spans="1:18" s="893" customFormat="1" x14ac:dyDescent="0.3">
      <c r="A1747" s="888" t="str">
        <f>IF(LEN('Translation-EN'!A1747)&gt;0,'Translation-EN'!A1747,"")</f>
        <v>Range</v>
      </c>
      <c r="B1747" s="888" t="str">
        <f>IF(LEN('Translation-EN'!B1747)&gt;0,'Translation-EN'!B1747,"")</f>
        <v>Master sheet</v>
      </c>
      <c r="C1747" s="888" t="str">
        <f>IF(LEN('Translation-EN'!C1747)&gt;0,'Translation-EN'!C1747,"")</f>
        <v>B82</v>
      </c>
      <c r="D1747" s="888" t="str">
        <f>IF(LEN('Translation-EN'!D1747)&gt;0,'Translation-EN'!D1747,"")</f>
        <v/>
      </c>
      <c r="E1747" s="893" t="s">
        <v>6225</v>
      </c>
      <c r="I1747" s="888"/>
      <c r="J1747" s="888"/>
      <c r="K1747" s="888"/>
      <c r="L1747" s="888"/>
      <c r="M1747" s="888"/>
      <c r="N1747" s="888"/>
      <c r="O1747" s="888"/>
      <c r="P1747" s="888"/>
      <c r="Q1747" s="888"/>
      <c r="R1747" s="888"/>
    </row>
    <row r="1748" spans="1:18" s="893" customFormat="1" x14ac:dyDescent="0.3">
      <c r="A1748" s="888" t="str">
        <f>IF(LEN('Translation-EN'!A1748)&gt;0,'Translation-EN'!A1748,"")</f>
        <v>Range</v>
      </c>
      <c r="B1748" s="888" t="str">
        <f>IF(LEN('Translation-EN'!B1748)&gt;0,'Translation-EN'!B1748,"")</f>
        <v>Master sheet</v>
      </c>
      <c r="C1748" s="888" t="str">
        <f>IF(LEN('Translation-EN'!C1748)&gt;0,'Translation-EN'!C1748,"")</f>
        <v>C82</v>
      </c>
      <c r="D1748" s="888" t="str">
        <f>IF(LEN('Translation-EN'!D1748)&gt;0,'Translation-EN'!D1748,"")</f>
        <v/>
      </c>
      <c r="E1748" s="893" t="str">
        <f>$E$1742</f>
        <v>CRMCA</v>
      </c>
      <c r="I1748" s="888"/>
      <c r="J1748" s="888"/>
      <c r="K1748" s="888"/>
      <c r="L1748" s="888"/>
      <c r="M1748" s="888"/>
      <c r="N1748" s="888"/>
      <c r="O1748" s="888"/>
      <c r="P1748" s="888"/>
      <c r="Q1748" s="888"/>
      <c r="R1748" s="888"/>
    </row>
    <row r="1749" spans="1:18" s="893" customFormat="1" ht="15.6" x14ac:dyDescent="0.3">
      <c r="A1749" s="888" t="str">
        <f>IF(LEN('Translation-EN'!A1749)&gt;0,'Translation-EN'!A1749,"")</f>
        <v>Range</v>
      </c>
      <c r="B1749" s="888" t="str">
        <f>IF(LEN('Translation-EN'!B1749)&gt;0,'Translation-EN'!B1749,"")</f>
        <v>Master sheet</v>
      </c>
      <c r="C1749" s="888" t="str">
        <f>IF(LEN('Translation-EN'!C1749)&gt;0,'Translation-EN'!C1749,"")</f>
        <v>D82</v>
      </c>
      <c r="D1749" s="888" t="str">
        <f>IF(LEN('Translation-EN'!D1749)&gt;0,'Translation-EN'!D1749,"")</f>
        <v/>
      </c>
      <c r="E1749" s="371" t="str">
        <f>$E$1743</f>
        <v>Moy. can.</v>
      </c>
      <c r="I1749" s="888"/>
      <c r="J1749" s="888"/>
      <c r="K1749" s="888"/>
      <c r="L1749" s="888"/>
      <c r="M1749" s="888"/>
      <c r="N1749" s="888"/>
      <c r="O1749" s="888"/>
      <c r="P1749" s="888"/>
      <c r="Q1749" s="888"/>
      <c r="R1749" s="888"/>
    </row>
    <row r="1750" spans="1:18" s="893" customFormat="1" x14ac:dyDescent="0.3">
      <c r="A1750" s="888" t="str">
        <f>IF(LEN('Translation-EN'!A1750)&gt;0,'Translation-EN'!A1750,"")</f>
        <v>Range</v>
      </c>
      <c r="B1750" s="888" t="str">
        <f>IF(LEN('Translation-EN'!B1750)&gt;0,'Translation-EN'!B1750,"")</f>
        <v>Master sheet</v>
      </c>
      <c r="C1750" s="888" t="str">
        <f>IF(LEN('Translation-EN'!C1750)&gt;0,'Translation-EN'!C1750,"")</f>
        <v>B83</v>
      </c>
      <c r="D1750" s="888" t="str">
        <f>IF(LEN('Translation-EN'!D1750)&gt;0,'Translation-EN'!D1750,"")</f>
        <v/>
      </c>
      <c r="E1750" s="893" t="s">
        <v>6226</v>
      </c>
      <c r="I1750" s="888"/>
      <c r="J1750" s="888"/>
      <c r="K1750" s="888"/>
      <c r="L1750" s="888"/>
      <c r="M1750" s="888"/>
      <c r="N1750" s="888"/>
      <c r="O1750" s="888"/>
      <c r="P1750" s="888"/>
      <c r="Q1750" s="888"/>
      <c r="R1750" s="888"/>
    </row>
    <row r="1751" spans="1:18" s="893" customFormat="1" x14ac:dyDescent="0.3">
      <c r="A1751" s="888" t="str">
        <f>IF(LEN('Translation-EN'!A1751)&gt;0,'Translation-EN'!A1751,"")</f>
        <v>Range</v>
      </c>
      <c r="B1751" s="888" t="str">
        <f>IF(LEN('Translation-EN'!B1751)&gt;0,'Translation-EN'!B1751,"")</f>
        <v>Master sheet</v>
      </c>
      <c r="C1751" s="888" t="str">
        <f>IF(LEN('Translation-EN'!C1751)&gt;0,'Translation-EN'!C1751,"")</f>
        <v>C83</v>
      </c>
      <c r="D1751" s="888" t="str">
        <f>IF(LEN('Translation-EN'!D1751)&gt;0,'Translation-EN'!D1751,"")</f>
        <v/>
      </c>
      <c r="E1751" s="893" t="str">
        <f>$E$1742</f>
        <v>CRMCA</v>
      </c>
      <c r="I1751" s="888"/>
      <c r="J1751" s="888"/>
      <c r="K1751" s="888"/>
      <c r="L1751" s="888"/>
      <c r="M1751" s="888"/>
      <c r="N1751" s="888"/>
      <c r="O1751" s="888"/>
      <c r="P1751" s="888"/>
      <c r="Q1751" s="888"/>
      <c r="R1751" s="888"/>
    </row>
    <row r="1752" spans="1:18" s="893" customFormat="1" x14ac:dyDescent="0.3">
      <c r="A1752" s="888" t="str">
        <f>IF(LEN('Translation-EN'!A1752)&gt;0,'Translation-EN'!A1752,"")</f>
        <v>Range</v>
      </c>
      <c r="B1752" s="888" t="str">
        <f>IF(LEN('Translation-EN'!B1752)&gt;0,'Translation-EN'!B1752,"")</f>
        <v>Master sheet</v>
      </c>
      <c r="C1752" s="888" t="str">
        <f>IF(LEN('Translation-EN'!C1752)&gt;0,'Translation-EN'!C1752,"")</f>
        <v>D83</v>
      </c>
      <c r="D1752" s="888" t="str">
        <f>IF(LEN('Translation-EN'!D1752)&gt;0,'Translation-EN'!D1752,"")</f>
        <v/>
      </c>
      <c r="E1752" s="888" t="str">
        <f>$E$1743</f>
        <v>Moy. can.</v>
      </c>
      <c r="I1752" s="888"/>
      <c r="J1752" s="888"/>
      <c r="K1752" s="888"/>
      <c r="L1752" s="888"/>
      <c r="M1752" s="888"/>
      <c r="N1752" s="888"/>
      <c r="O1752" s="888"/>
      <c r="P1752" s="888"/>
      <c r="Q1752" s="888"/>
      <c r="R1752" s="888"/>
    </row>
    <row r="1753" spans="1:18" s="893" customFormat="1" x14ac:dyDescent="0.3">
      <c r="A1753" s="888" t="str">
        <f>IF(LEN('Translation-EN'!A1753)&gt;0,'Translation-EN'!A1753,"")</f>
        <v>Range</v>
      </c>
      <c r="B1753" s="888" t="str">
        <f>IF(LEN('Translation-EN'!B1753)&gt;0,'Translation-EN'!B1753,"")</f>
        <v>Master sheet</v>
      </c>
      <c r="C1753" s="888" t="str">
        <f>IF(LEN('Translation-EN'!C1753)&gt;0,'Translation-EN'!C1753,"")</f>
        <v>B84</v>
      </c>
      <c r="D1753" s="888" t="str">
        <f>IF(LEN('Translation-EN'!D1753)&gt;0,'Translation-EN'!D1753,"")</f>
        <v/>
      </c>
      <c r="E1753" s="893" t="s">
        <v>6227</v>
      </c>
      <c r="I1753" s="888"/>
      <c r="J1753" s="888"/>
      <c r="K1753" s="888"/>
      <c r="L1753" s="888"/>
      <c r="M1753" s="888"/>
      <c r="N1753" s="888"/>
      <c r="O1753" s="888"/>
      <c r="P1753" s="888"/>
      <c r="Q1753" s="888"/>
      <c r="R1753" s="888"/>
    </row>
    <row r="1754" spans="1:18" s="893" customFormat="1" x14ac:dyDescent="0.3">
      <c r="A1754" s="888" t="str">
        <f>IF(LEN('Translation-EN'!A1754)&gt;0,'Translation-EN'!A1754,"")</f>
        <v>Range</v>
      </c>
      <c r="B1754" s="888" t="str">
        <f>IF(LEN('Translation-EN'!B1754)&gt;0,'Translation-EN'!B1754,"")</f>
        <v>Master sheet</v>
      </c>
      <c r="C1754" s="888" t="str">
        <f>IF(LEN('Translation-EN'!C1754)&gt;0,'Translation-EN'!C1754,"")</f>
        <v>C84</v>
      </c>
      <c r="D1754" s="888" t="str">
        <f>IF(LEN('Translation-EN'!D1754)&gt;0,'Translation-EN'!D1754,"")</f>
        <v/>
      </c>
      <c r="E1754" s="893" t="str">
        <f>$E$1742</f>
        <v>CRMCA</v>
      </c>
      <c r="I1754" s="888"/>
      <c r="J1754" s="888"/>
      <c r="K1754" s="888"/>
      <c r="L1754" s="888"/>
      <c r="M1754" s="888"/>
      <c r="N1754" s="888"/>
      <c r="O1754" s="888"/>
      <c r="P1754" s="888"/>
      <c r="Q1754" s="888"/>
      <c r="R1754" s="888"/>
    </row>
    <row r="1755" spans="1:18" s="893" customFormat="1" x14ac:dyDescent="0.3">
      <c r="A1755" s="888" t="str">
        <f>IF(LEN('Translation-EN'!A1755)&gt;0,'Translation-EN'!A1755,"")</f>
        <v>Range</v>
      </c>
      <c r="B1755" s="888" t="str">
        <f>IF(LEN('Translation-EN'!B1755)&gt;0,'Translation-EN'!B1755,"")</f>
        <v>Master sheet</v>
      </c>
      <c r="C1755" s="888" t="str">
        <f>IF(LEN('Translation-EN'!C1755)&gt;0,'Translation-EN'!C1755,"")</f>
        <v>D84</v>
      </c>
      <c r="D1755" s="888" t="str">
        <f>IF(LEN('Translation-EN'!D1755)&gt;0,'Translation-EN'!D1755,"")</f>
        <v/>
      </c>
      <c r="E1755" s="888" t="str">
        <f>$E$1743</f>
        <v>Moy. can.</v>
      </c>
      <c r="I1755" s="888"/>
      <c r="J1755" s="888"/>
      <c r="K1755" s="888"/>
      <c r="L1755" s="888"/>
      <c r="M1755" s="888"/>
      <c r="N1755" s="888"/>
      <c r="O1755" s="888"/>
      <c r="P1755" s="888"/>
      <c r="Q1755" s="888"/>
      <c r="R1755" s="888"/>
    </row>
    <row r="1756" spans="1:18" s="893" customFormat="1" x14ac:dyDescent="0.3">
      <c r="A1756" s="888" t="str">
        <f>IF(LEN('Translation-EN'!A1756)&gt;0,'Translation-EN'!A1756,"")</f>
        <v>Range</v>
      </c>
      <c r="B1756" s="888" t="str">
        <f>IF(LEN('Translation-EN'!B1756)&gt;0,'Translation-EN'!B1756,"")</f>
        <v>Master sheet</v>
      </c>
      <c r="C1756" s="888" t="str">
        <f>IF(LEN('Translation-EN'!C1756)&gt;0,'Translation-EN'!C1756,"")</f>
        <v>B85</v>
      </c>
      <c r="D1756" s="888" t="str">
        <f>IF(LEN('Translation-EN'!D1756)&gt;0,'Translation-EN'!D1756,"")</f>
        <v/>
      </c>
      <c r="E1756" s="893" t="s">
        <v>6228</v>
      </c>
      <c r="I1756" s="888"/>
      <c r="J1756" s="888"/>
      <c r="K1756" s="888"/>
      <c r="L1756" s="888"/>
      <c r="M1756" s="888"/>
      <c r="N1756" s="888"/>
      <c r="O1756" s="888"/>
      <c r="P1756" s="888"/>
      <c r="Q1756" s="888"/>
      <c r="R1756" s="888"/>
    </row>
    <row r="1757" spans="1:18" s="893" customFormat="1" x14ac:dyDescent="0.3">
      <c r="A1757" s="888" t="str">
        <f>IF(LEN('Translation-EN'!A1757)&gt;0,'Translation-EN'!A1757,"")</f>
        <v>Range</v>
      </c>
      <c r="B1757" s="888" t="str">
        <f>IF(LEN('Translation-EN'!B1757)&gt;0,'Translation-EN'!B1757,"")</f>
        <v>Master sheet</v>
      </c>
      <c r="C1757" s="888" t="str">
        <f>IF(LEN('Translation-EN'!C1757)&gt;0,'Translation-EN'!C1757,"")</f>
        <v>C85</v>
      </c>
      <c r="D1757" s="888" t="str">
        <f>IF(LEN('Translation-EN'!D1757)&gt;0,'Translation-EN'!D1757,"")</f>
        <v/>
      </c>
      <c r="E1757" s="893" t="str">
        <f>$E$1742</f>
        <v>CRMCA</v>
      </c>
      <c r="I1757" s="888"/>
      <c r="J1757" s="888"/>
      <c r="K1757" s="888"/>
      <c r="L1757" s="888"/>
      <c r="M1757" s="888"/>
      <c r="N1757" s="888"/>
      <c r="O1757" s="888"/>
      <c r="P1757" s="888"/>
      <c r="Q1757" s="888"/>
      <c r="R1757" s="888"/>
    </row>
    <row r="1758" spans="1:18" s="893" customFormat="1" x14ac:dyDescent="0.3">
      <c r="A1758" s="888" t="str">
        <f>IF(LEN('Translation-EN'!A1758)&gt;0,'Translation-EN'!A1758,"")</f>
        <v>Range</v>
      </c>
      <c r="B1758" s="888" t="str">
        <f>IF(LEN('Translation-EN'!B1758)&gt;0,'Translation-EN'!B1758,"")</f>
        <v>Master sheet</v>
      </c>
      <c r="C1758" s="888" t="str">
        <f>IF(LEN('Translation-EN'!C1758)&gt;0,'Translation-EN'!C1758,"")</f>
        <v>D85</v>
      </c>
      <c r="D1758" s="888" t="str">
        <f>IF(LEN('Translation-EN'!D1758)&gt;0,'Translation-EN'!D1758,"")</f>
        <v/>
      </c>
      <c r="E1758" s="888" t="str">
        <f>$E$1743</f>
        <v>Moy. can.</v>
      </c>
      <c r="I1758" s="888"/>
      <c r="J1758" s="888"/>
      <c r="K1758" s="888"/>
      <c r="L1758" s="888"/>
      <c r="M1758" s="888"/>
      <c r="N1758" s="888"/>
      <c r="O1758" s="888"/>
      <c r="P1758" s="888"/>
      <c r="Q1758" s="888"/>
      <c r="R1758" s="888"/>
    </row>
    <row r="1759" spans="1:18" s="893" customFormat="1" x14ac:dyDescent="0.3">
      <c r="A1759" s="888" t="str">
        <f>IF(LEN('Translation-EN'!A1759)&gt;0,'Translation-EN'!A1759,"")</f>
        <v>Range</v>
      </c>
      <c r="B1759" s="888" t="str">
        <f>IF(LEN('Translation-EN'!B1759)&gt;0,'Translation-EN'!B1759,"")</f>
        <v>Master sheet</v>
      </c>
      <c r="C1759" s="888" t="str">
        <f>IF(LEN('Translation-EN'!C1759)&gt;0,'Translation-EN'!C1759,"")</f>
        <v>B86</v>
      </c>
      <c r="D1759" s="888" t="str">
        <f>IF(LEN('Translation-EN'!D1759)&gt;0,'Translation-EN'!D1759,"")</f>
        <v/>
      </c>
      <c r="E1759" s="893" t="s">
        <v>6229</v>
      </c>
      <c r="I1759" s="888"/>
      <c r="J1759" s="888"/>
      <c r="K1759" s="888"/>
      <c r="L1759" s="888"/>
      <c r="M1759" s="888"/>
      <c r="N1759" s="888"/>
      <c r="O1759" s="888"/>
      <c r="P1759" s="888"/>
      <c r="Q1759" s="888"/>
      <c r="R1759" s="888"/>
    </row>
    <row r="1760" spans="1:18" s="893" customFormat="1" x14ac:dyDescent="0.3">
      <c r="A1760" s="888" t="str">
        <f>IF(LEN('Translation-EN'!A1760)&gt;0,'Translation-EN'!A1760,"")</f>
        <v>Range</v>
      </c>
      <c r="B1760" s="888" t="str">
        <f>IF(LEN('Translation-EN'!B1760)&gt;0,'Translation-EN'!B1760,"")</f>
        <v>Master sheet</v>
      </c>
      <c r="C1760" s="888" t="str">
        <f>IF(LEN('Translation-EN'!C1760)&gt;0,'Translation-EN'!C1760,"")</f>
        <v>C86</v>
      </c>
      <c r="D1760" s="888" t="str">
        <f>IF(LEN('Translation-EN'!D1760)&gt;0,'Translation-EN'!D1760,"")</f>
        <v/>
      </c>
      <c r="E1760" s="893" t="str">
        <f>$E$1742</f>
        <v>CRMCA</v>
      </c>
      <c r="I1760" s="888"/>
      <c r="J1760" s="888"/>
      <c r="K1760" s="888"/>
      <c r="L1760" s="888"/>
      <c r="M1760" s="888"/>
      <c r="N1760" s="888"/>
      <c r="O1760" s="888"/>
      <c r="P1760" s="888"/>
      <c r="Q1760" s="888"/>
      <c r="R1760" s="888"/>
    </row>
    <row r="1761" spans="1:18" s="893" customFormat="1" x14ac:dyDescent="0.3">
      <c r="A1761" s="888" t="str">
        <f>IF(LEN('Translation-EN'!A1761)&gt;0,'Translation-EN'!A1761,"")</f>
        <v>Range</v>
      </c>
      <c r="B1761" s="888" t="str">
        <f>IF(LEN('Translation-EN'!B1761)&gt;0,'Translation-EN'!B1761,"")</f>
        <v>Master sheet</v>
      </c>
      <c r="C1761" s="888" t="str">
        <f>IF(LEN('Translation-EN'!C1761)&gt;0,'Translation-EN'!C1761,"")</f>
        <v>D86</v>
      </c>
      <c r="D1761" s="888" t="str">
        <f>IF(LEN('Translation-EN'!D1761)&gt;0,'Translation-EN'!D1761,"")</f>
        <v/>
      </c>
      <c r="E1761" s="888" t="str">
        <f>$E$1743</f>
        <v>Moy. can.</v>
      </c>
      <c r="I1761" s="888"/>
      <c r="J1761" s="888"/>
      <c r="K1761" s="888"/>
      <c r="L1761" s="888"/>
      <c r="M1761" s="888"/>
      <c r="N1761" s="888"/>
      <c r="O1761" s="888"/>
      <c r="P1761" s="888"/>
      <c r="Q1761" s="888"/>
      <c r="R1761" s="888"/>
    </row>
    <row r="1762" spans="1:18" s="893" customFormat="1" x14ac:dyDescent="0.3">
      <c r="A1762" s="888" t="str">
        <f>IF(LEN('Translation-EN'!A1762)&gt;0,'Translation-EN'!A1762,"")</f>
        <v>Range</v>
      </c>
      <c r="B1762" s="888" t="str">
        <f>IF(LEN('Translation-EN'!B1762)&gt;0,'Translation-EN'!B1762,"")</f>
        <v>Master sheet</v>
      </c>
      <c r="C1762" s="888" t="str">
        <f>IF(LEN('Translation-EN'!C1762)&gt;0,'Translation-EN'!C1762,"")</f>
        <v>B87</v>
      </c>
      <c r="D1762" s="888" t="str">
        <f>IF(LEN('Translation-EN'!D1762)&gt;0,'Translation-EN'!D1762,"")</f>
        <v/>
      </c>
      <c r="E1762" s="893" t="s">
        <v>6230</v>
      </c>
      <c r="I1762" s="888"/>
      <c r="J1762" s="888"/>
      <c r="K1762" s="888"/>
      <c r="L1762" s="888"/>
      <c r="M1762" s="888"/>
      <c r="N1762" s="888"/>
      <c r="O1762" s="888"/>
      <c r="P1762" s="888"/>
      <c r="Q1762" s="888"/>
      <c r="R1762" s="888"/>
    </row>
    <row r="1763" spans="1:18" s="893" customFormat="1" x14ac:dyDescent="0.3">
      <c r="A1763" s="888" t="str">
        <f>IF(LEN('Translation-EN'!A1763)&gt;0,'Translation-EN'!A1763,"")</f>
        <v>Range</v>
      </c>
      <c r="B1763" s="888" t="str">
        <f>IF(LEN('Translation-EN'!B1763)&gt;0,'Translation-EN'!B1763,"")</f>
        <v>Master sheet</v>
      </c>
      <c r="C1763" s="888" t="str">
        <f>IF(LEN('Translation-EN'!C1763)&gt;0,'Translation-EN'!C1763,"")</f>
        <v>C87</v>
      </c>
      <c r="D1763" s="888" t="str">
        <f>IF(LEN('Translation-EN'!D1763)&gt;0,'Translation-EN'!D1763,"")</f>
        <v/>
      </c>
      <c r="E1763" s="893" t="str">
        <f>$E$1742</f>
        <v>CRMCA</v>
      </c>
      <c r="I1763" s="888"/>
      <c r="J1763" s="888"/>
      <c r="K1763" s="888"/>
      <c r="L1763" s="888"/>
      <c r="M1763" s="888"/>
      <c r="N1763" s="888"/>
      <c r="O1763" s="888"/>
      <c r="P1763" s="888"/>
      <c r="Q1763" s="888"/>
      <c r="R1763" s="888"/>
    </row>
    <row r="1764" spans="1:18" s="893" customFormat="1" x14ac:dyDescent="0.3">
      <c r="A1764" s="888" t="str">
        <f>IF(LEN('Translation-EN'!A1764)&gt;0,'Translation-EN'!A1764,"")</f>
        <v>Range</v>
      </c>
      <c r="B1764" s="888" t="str">
        <f>IF(LEN('Translation-EN'!B1764)&gt;0,'Translation-EN'!B1764,"")</f>
        <v>Master sheet</v>
      </c>
      <c r="C1764" s="888" t="str">
        <f>IF(LEN('Translation-EN'!C1764)&gt;0,'Translation-EN'!C1764,"")</f>
        <v>D87</v>
      </c>
      <c r="D1764" s="888" t="str">
        <f>IF(LEN('Translation-EN'!D1764)&gt;0,'Translation-EN'!D1764,"")</f>
        <v/>
      </c>
      <c r="E1764" s="888" t="str">
        <f>$E$1743</f>
        <v>Moy. can.</v>
      </c>
      <c r="I1764" s="888"/>
      <c r="J1764" s="888"/>
      <c r="K1764" s="888"/>
      <c r="L1764" s="888"/>
      <c r="M1764" s="888"/>
      <c r="N1764" s="888"/>
      <c r="O1764" s="888"/>
      <c r="P1764" s="888"/>
      <c r="Q1764" s="888"/>
      <c r="R1764" s="888"/>
    </row>
    <row r="1765" spans="1:18" s="893" customFormat="1" x14ac:dyDescent="0.3">
      <c r="A1765" s="888" t="str">
        <f>IF(LEN('Translation-EN'!A1765)&gt;0,'Translation-EN'!A1765,"")</f>
        <v>Range</v>
      </c>
      <c r="B1765" s="888" t="str">
        <f>IF(LEN('Translation-EN'!B1765)&gt;0,'Translation-EN'!B1765,"")</f>
        <v>Master sheet</v>
      </c>
      <c r="C1765" s="888" t="str">
        <f>IF(LEN('Translation-EN'!C1765)&gt;0,'Translation-EN'!C1765,"")</f>
        <v>B88</v>
      </c>
      <c r="D1765" s="888" t="str">
        <f>IF(LEN('Translation-EN'!D1765)&gt;0,'Translation-EN'!D1765,"")</f>
        <v/>
      </c>
      <c r="E1765" s="893" t="s">
        <v>6231</v>
      </c>
      <c r="I1765" s="888"/>
      <c r="J1765" s="888"/>
      <c r="K1765" s="888"/>
      <c r="L1765" s="888"/>
      <c r="M1765" s="888"/>
      <c r="N1765" s="888"/>
      <c r="O1765" s="888"/>
      <c r="P1765" s="888"/>
      <c r="Q1765" s="888"/>
      <c r="R1765" s="888"/>
    </row>
    <row r="1766" spans="1:18" s="893" customFormat="1" x14ac:dyDescent="0.3">
      <c r="A1766" s="888" t="str">
        <f>IF(LEN('Translation-EN'!A1766)&gt;0,'Translation-EN'!A1766,"")</f>
        <v>Range</v>
      </c>
      <c r="B1766" s="888" t="str">
        <f>IF(LEN('Translation-EN'!B1766)&gt;0,'Translation-EN'!B1766,"")</f>
        <v>Master sheet</v>
      </c>
      <c r="C1766" s="888" t="str">
        <f>IF(LEN('Translation-EN'!C1766)&gt;0,'Translation-EN'!C1766,"")</f>
        <v>C88</v>
      </c>
      <c r="D1766" s="888" t="str">
        <f>IF(LEN('Translation-EN'!D1766)&gt;0,'Translation-EN'!D1766,"")</f>
        <v/>
      </c>
      <c r="E1766" s="893" t="str">
        <f>$E$1742</f>
        <v>CRMCA</v>
      </c>
      <c r="I1766" s="888"/>
      <c r="J1766" s="888"/>
      <c r="K1766" s="888"/>
      <c r="L1766" s="888"/>
      <c r="M1766" s="888"/>
      <c r="N1766" s="888"/>
      <c r="O1766" s="888"/>
      <c r="P1766" s="888"/>
      <c r="Q1766" s="888"/>
      <c r="R1766" s="888"/>
    </row>
    <row r="1767" spans="1:18" s="893" customFormat="1" x14ac:dyDescent="0.3">
      <c r="A1767" s="888" t="str">
        <f>IF(LEN('Translation-EN'!A1767)&gt;0,'Translation-EN'!A1767,"")</f>
        <v>Range</v>
      </c>
      <c r="B1767" s="888" t="str">
        <f>IF(LEN('Translation-EN'!B1767)&gt;0,'Translation-EN'!B1767,"")</f>
        <v>Master sheet</v>
      </c>
      <c r="C1767" s="888" t="str">
        <f>IF(LEN('Translation-EN'!C1767)&gt;0,'Translation-EN'!C1767,"")</f>
        <v>D88</v>
      </c>
      <c r="D1767" s="888" t="str">
        <f>IF(LEN('Translation-EN'!D1767)&gt;0,'Translation-EN'!D1767,"")</f>
        <v/>
      </c>
      <c r="E1767" s="888" t="str">
        <f>$E$1743</f>
        <v>Moy. can.</v>
      </c>
      <c r="I1767" s="888"/>
      <c r="J1767" s="888"/>
      <c r="K1767" s="888"/>
      <c r="L1767" s="888"/>
      <c r="M1767" s="888"/>
      <c r="N1767" s="888"/>
      <c r="O1767" s="888"/>
      <c r="P1767" s="888"/>
      <c r="Q1767" s="888"/>
      <c r="R1767" s="888"/>
    </row>
    <row r="1768" spans="1:18" s="893" customFormat="1" x14ac:dyDescent="0.3">
      <c r="A1768" s="888" t="str">
        <f>IF(LEN('Translation-EN'!A1768)&gt;0,'Translation-EN'!A1768,"")</f>
        <v>Range</v>
      </c>
      <c r="B1768" s="888" t="str">
        <f>IF(LEN('Translation-EN'!B1768)&gt;0,'Translation-EN'!B1768,"")</f>
        <v>Master sheet</v>
      </c>
      <c r="C1768" s="888" t="str">
        <f>IF(LEN('Translation-EN'!C1768)&gt;0,'Translation-EN'!C1768,"")</f>
        <v>B89</v>
      </c>
      <c r="D1768" s="888" t="str">
        <f>IF(LEN('Translation-EN'!D1768)&gt;0,'Translation-EN'!D1768,"")</f>
        <v/>
      </c>
      <c r="E1768" s="893" t="s">
        <v>6232</v>
      </c>
      <c r="I1768" s="888"/>
      <c r="J1768" s="888"/>
      <c r="K1768" s="888"/>
      <c r="L1768" s="888"/>
      <c r="M1768" s="888"/>
      <c r="N1768" s="888"/>
      <c r="O1768" s="888"/>
      <c r="P1768" s="888"/>
      <c r="Q1768" s="888"/>
      <c r="R1768" s="888"/>
    </row>
    <row r="1769" spans="1:18" s="893" customFormat="1" x14ac:dyDescent="0.3">
      <c r="A1769" s="888" t="str">
        <f>IF(LEN('Translation-EN'!A1769)&gt;0,'Translation-EN'!A1769,"")</f>
        <v>Range</v>
      </c>
      <c r="B1769" s="888" t="str">
        <f>IF(LEN('Translation-EN'!B1769)&gt;0,'Translation-EN'!B1769,"")</f>
        <v>Master sheet</v>
      </c>
      <c r="C1769" s="888" t="str">
        <f>IF(LEN('Translation-EN'!C1769)&gt;0,'Translation-EN'!C1769,"")</f>
        <v>C89</v>
      </c>
      <c r="D1769" s="888" t="str">
        <f>IF(LEN('Translation-EN'!D1769)&gt;0,'Translation-EN'!D1769,"")</f>
        <v/>
      </c>
      <c r="E1769" s="893" t="str">
        <f>$E$1742</f>
        <v>CRMCA</v>
      </c>
      <c r="I1769" s="888"/>
      <c r="J1769" s="888"/>
      <c r="K1769" s="888"/>
      <c r="L1769" s="888"/>
      <c r="M1769" s="888"/>
      <c r="N1769" s="888"/>
      <c r="O1769" s="888"/>
      <c r="P1769" s="888"/>
      <c r="Q1769" s="888"/>
      <c r="R1769" s="888"/>
    </row>
    <row r="1770" spans="1:18" s="893" customFormat="1" x14ac:dyDescent="0.3">
      <c r="A1770" s="888" t="str">
        <f>IF(LEN('Translation-EN'!A1770)&gt;0,'Translation-EN'!A1770,"")</f>
        <v>Range</v>
      </c>
      <c r="B1770" s="888" t="str">
        <f>IF(LEN('Translation-EN'!B1770)&gt;0,'Translation-EN'!B1770,"")</f>
        <v>Master sheet</v>
      </c>
      <c r="C1770" s="888" t="str">
        <f>IF(LEN('Translation-EN'!C1770)&gt;0,'Translation-EN'!C1770,"")</f>
        <v>D89</v>
      </c>
      <c r="D1770" s="888" t="str">
        <f>IF(LEN('Translation-EN'!D1770)&gt;0,'Translation-EN'!D1770,"")</f>
        <v/>
      </c>
      <c r="E1770" s="888" t="str">
        <f>$E$1743</f>
        <v>Moy. can.</v>
      </c>
      <c r="I1770" s="888"/>
      <c r="J1770" s="888"/>
      <c r="K1770" s="888"/>
      <c r="L1770" s="888"/>
      <c r="M1770" s="888"/>
      <c r="N1770" s="888"/>
      <c r="O1770" s="888"/>
      <c r="P1770" s="888"/>
      <c r="Q1770" s="888"/>
      <c r="R1770" s="888"/>
    </row>
    <row r="1771" spans="1:18" s="893" customFormat="1" x14ac:dyDescent="0.3">
      <c r="A1771" s="888" t="str">
        <f>IF(LEN('Translation-EN'!A1771)&gt;0,'Translation-EN'!A1771,"")</f>
        <v>Range</v>
      </c>
      <c r="B1771" s="888" t="str">
        <f>IF(LEN('Translation-EN'!B1771)&gt;0,'Translation-EN'!B1771,"")</f>
        <v>Master sheet</v>
      </c>
      <c r="C1771" s="888" t="str">
        <f>IF(LEN('Translation-EN'!C1771)&gt;0,'Translation-EN'!C1771,"")</f>
        <v>B90</v>
      </c>
      <c r="D1771" s="888" t="str">
        <f>IF(LEN('Translation-EN'!D1771)&gt;0,'Translation-EN'!D1771,"")</f>
        <v/>
      </c>
      <c r="E1771" s="893" t="s">
        <v>6233</v>
      </c>
      <c r="I1771" s="888"/>
      <c r="J1771" s="888"/>
      <c r="K1771" s="888"/>
      <c r="L1771" s="888"/>
      <c r="M1771" s="888"/>
      <c r="N1771" s="888"/>
      <c r="O1771" s="888"/>
      <c r="P1771" s="888"/>
      <c r="Q1771" s="888"/>
      <c r="R1771" s="888"/>
    </row>
    <row r="1772" spans="1:18" s="893" customFormat="1" x14ac:dyDescent="0.3">
      <c r="A1772" s="888" t="str">
        <f>IF(LEN('Translation-EN'!A1772)&gt;0,'Translation-EN'!A1772,"")</f>
        <v>Range</v>
      </c>
      <c r="B1772" s="888" t="str">
        <f>IF(LEN('Translation-EN'!B1772)&gt;0,'Translation-EN'!B1772,"")</f>
        <v>Master sheet</v>
      </c>
      <c r="C1772" s="888" t="str">
        <f>IF(LEN('Translation-EN'!C1772)&gt;0,'Translation-EN'!C1772,"")</f>
        <v>C90</v>
      </c>
      <c r="D1772" s="888" t="str">
        <f>IF(LEN('Translation-EN'!D1772)&gt;0,'Translation-EN'!D1772,"")</f>
        <v/>
      </c>
      <c r="E1772" s="893" t="str">
        <f>$E$1742</f>
        <v>CRMCA</v>
      </c>
      <c r="I1772" s="888"/>
      <c r="J1772" s="888"/>
      <c r="K1772" s="888"/>
      <c r="L1772" s="888"/>
      <c r="M1772" s="888"/>
      <c r="N1772" s="888"/>
      <c r="O1772" s="888"/>
      <c r="P1772" s="888"/>
      <c r="Q1772" s="888"/>
      <c r="R1772" s="888"/>
    </row>
    <row r="1773" spans="1:18" s="893" customFormat="1" x14ac:dyDescent="0.3">
      <c r="A1773" s="888" t="str">
        <f>IF(LEN('Translation-EN'!A1773)&gt;0,'Translation-EN'!A1773,"")</f>
        <v>Range</v>
      </c>
      <c r="B1773" s="888" t="str">
        <f>IF(LEN('Translation-EN'!B1773)&gt;0,'Translation-EN'!B1773,"")</f>
        <v>Master sheet</v>
      </c>
      <c r="C1773" s="888" t="str">
        <f>IF(LEN('Translation-EN'!C1773)&gt;0,'Translation-EN'!C1773,"")</f>
        <v>D90</v>
      </c>
      <c r="D1773" s="888" t="str">
        <f>IF(LEN('Translation-EN'!D1773)&gt;0,'Translation-EN'!D1773,"")</f>
        <v/>
      </c>
      <c r="E1773" s="888" t="str">
        <f>$E$1743</f>
        <v>Moy. can.</v>
      </c>
      <c r="I1773" s="888"/>
      <c r="J1773" s="888"/>
      <c r="K1773" s="888"/>
      <c r="L1773" s="888"/>
      <c r="M1773" s="888"/>
      <c r="N1773" s="888"/>
      <c r="O1773" s="888"/>
      <c r="P1773" s="888"/>
      <c r="Q1773" s="888"/>
      <c r="R1773" s="888"/>
    </row>
    <row r="1774" spans="1:18" s="893" customFormat="1" x14ac:dyDescent="0.3">
      <c r="A1774" s="888" t="str">
        <f>IF(LEN('Translation-EN'!A1774)&gt;0,'Translation-EN'!A1774,"")</f>
        <v>Range</v>
      </c>
      <c r="B1774" s="888" t="str">
        <f>IF(LEN('Translation-EN'!B1774)&gt;0,'Translation-EN'!B1774,"")</f>
        <v>Master sheet</v>
      </c>
      <c r="C1774" s="888" t="str">
        <f>IF(LEN('Translation-EN'!C1774)&gt;0,'Translation-EN'!C1774,"")</f>
        <v>B91</v>
      </c>
      <c r="D1774" s="888" t="str">
        <f>IF(LEN('Translation-EN'!D1774)&gt;0,'Translation-EN'!D1774,"")</f>
        <v/>
      </c>
      <c r="E1774" s="893" t="s">
        <v>6234</v>
      </c>
      <c r="I1774" s="888"/>
      <c r="J1774" s="888"/>
      <c r="K1774" s="888"/>
      <c r="L1774" s="888"/>
      <c r="M1774" s="888"/>
      <c r="N1774" s="888"/>
      <c r="O1774" s="888"/>
      <c r="P1774" s="888"/>
      <c r="Q1774" s="888"/>
      <c r="R1774" s="888"/>
    </row>
    <row r="1775" spans="1:18" s="893" customFormat="1" x14ac:dyDescent="0.3">
      <c r="A1775" s="888" t="str">
        <f>IF(LEN('Translation-EN'!A1775)&gt;0,'Translation-EN'!A1775,"")</f>
        <v>Range</v>
      </c>
      <c r="B1775" s="888" t="str">
        <f>IF(LEN('Translation-EN'!B1775)&gt;0,'Translation-EN'!B1775,"")</f>
        <v>Master sheet</v>
      </c>
      <c r="C1775" s="888" t="str">
        <f>IF(LEN('Translation-EN'!C1775)&gt;0,'Translation-EN'!C1775,"")</f>
        <v>C91</v>
      </c>
      <c r="D1775" s="888" t="str">
        <f>IF(LEN('Translation-EN'!D1775)&gt;0,'Translation-EN'!D1775,"")</f>
        <v/>
      </c>
      <c r="E1775" s="893" t="str">
        <f>$E$1742</f>
        <v>CRMCA</v>
      </c>
      <c r="I1775" s="888"/>
      <c r="J1775" s="888"/>
      <c r="K1775" s="888"/>
      <c r="L1775" s="888"/>
      <c r="M1775" s="888"/>
      <c r="N1775" s="888"/>
      <c r="O1775" s="888"/>
      <c r="P1775" s="888"/>
      <c r="Q1775" s="888"/>
      <c r="R1775" s="888"/>
    </row>
    <row r="1776" spans="1:18" s="893" customFormat="1" x14ac:dyDescent="0.3">
      <c r="A1776" s="888" t="str">
        <f>IF(LEN('Translation-EN'!A1776)&gt;0,'Translation-EN'!A1776,"")</f>
        <v>Range</v>
      </c>
      <c r="B1776" s="888" t="str">
        <f>IF(LEN('Translation-EN'!B1776)&gt;0,'Translation-EN'!B1776,"")</f>
        <v>Master sheet</v>
      </c>
      <c r="C1776" s="888" t="str">
        <f>IF(LEN('Translation-EN'!C1776)&gt;0,'Translation-EN'!C1776,"")</f>
        <v>D91</v>
      </c>
      <c r="D1776" s="888" t="str">
        <f>IF(LEN('Translation-EN'!D1776)&gt;0,'Translation-EN'!D1776,"")</f>
        <v/>
      </c>
      <c r="E1776" s="888" t="str">
        <f>$E$1743</f>
        <v>Moy. can.</v>
      </c>
      <c r="I1776" s="888"/>
      <c r="J1776" s="888"/>
      <c r="K1776" s="888"/>
      <c r="L1776" s="888"/>
      <c r="M1776" s="888"/>
      <c r="N1776" s="888"/>
      <c r="O1776" s="888"/>
      <c r="P1776" s="888"/>
      <c r="Q1776" s="888"/>
      <c r="R1776" s="888"/>
    </row>
    <row r="1777" spans="1:18" s="893" customFormat="1" x14ac:dyDescent="0.3">
      <c r="A1777" s="888" t="str">
        <f>IF(LEN('Translation-EN'!A1777)&gt;0,'Translation-EN'!A1777,"")</f>
        <v>Range</v>
      </c>
      <c r="B1777" s="888" t="str">
        <f>IF(LEN('Translation-EN'!B1777)&gt;0,'Translation-EN'!B1777,"")</f>
        <v>Master sheet</v>
      </c>
      <c r="C1777" s="888" t="str">
        <f>IF(LEN('Translation-EN'!C1777)&gt;0,'Translation-EN'!C1777,"")</f>
        <v>B92</v>
      </c>
      <c r="D1777" s="888" t="str">
        <f>IF(LEN('Translation-EN'!D1777)&gt;0,'Translation-EN'!D1777,"")</f>
        <v/>
      </c>
      <c r="E1777" s="893" t="s">
        <v>6235</v>
      </c>
      <c r="I1777" s="888"/>
      <c r="J1777" s="888"/>
      <c r="K1777" s="888"/>
      <c r="L1777" s="888"/>
      <c r="M1777" s="888"/>
      <c r="N1777" s="888"/>
      <c r="O1777" s="888"/>
      <c r="P1777" s="888"/>
      <c r="Q1777" s="888"/>
      <c r="R1777" s="888"/>
    </row>
    <row r="1778" spans="1:18" s="893" customFormat="1" x14ac:dyDescent="0.3">
      <c r="A1778" s="888" t="str">
        <f>IF(LEN('Translation-EN'!A1778)&gt;0,'Translation-EN'!A1778,"")</f>
        <v>Range</v>
      </c>
      <c r="B1778" s="888" t="str">
        <f>IF(LEN('Translation-EN'!B1778)&gt;0,'Translation-EN'!B1778,"")</f>
        <v>Master sheet</v>
      </c>
      <c r="C1778" s="888" t="str">
        <f>IF(LEN('Translation-EN'!C1778)&gt;0,'Translation-EN'!C1778,"")</f>
        <v>C92</v>
      </c>
      <c r="D1778" s="888" t="str">
        <f>IF(LEN('Translation-EN'!D1778)&gt;0,'Translation-EN'!D1778,"")</f>
        <v/>
      </c>
      <c r="E1778" s="893" t="str">
        <f>$E$1742</f>
        <v>CRMCA</v>
      </c>
      <c r="I1778" s="888"/>
      <c r="J1778" s="888"/>
      <c r="K1778" s="888"/>
      <c r="L1778" s="888"/>
      <c r="M1778" s="888"/>
      <c r="N1778" s="888"/>
      <c r="O1778" s="888"/>
      <c r="P1778" s="888"/>
      <c r="Q1778" s="888"/>
      <c r="R1778" s="888"/>
    </row>
    <row r="1779" spans="1:18" s="893" customFormat="1" x14ac:dyDescent="0.3">
      <c r="A1779" s="888" t="str">
        <f>IF(LEN('Translation-EN'!A1779)&gt;0,'Translation-EN'!A1779,"")</f>
        <v>Range</v>
      </c>
      <c r="B1779" s="888" t="str">
        <f>IF(LEN('Translation-EN'!B1779)&gt;0,'Translation-EN'!B1779,"")</f>
        <v>Master sheet</v>
      </c>
      <c r="C1779" s="888" t="str">
        <f>IF(LEN('Translation-EN'!C1779)&gt;0,'Translation-EN'!C1779,"")</f>
        <v>D92</v>
      </c>
      <c r="D1779" s="888" t="str">
        <f>IF(LEN('Translation-EN'!D1779)&gt;0,'Translation-EN'!D1779,"")</f>
        <v/>
      </c>
      <c r="E1779" s="888" t="str">
        <f>$E$1743</f>
        <v>Moy. can.</v>
      </c>
      <c r="I1779" s="888"/>
      <c r="J1779" s="888"/>
      <c r="K1779" s="888"/>
      <c r="L1779" s="888"/>
      <c r="M1779" s="888"/>
      <c r="N1779" s="888"/>
      <c r="O1779" s="888"/>
      <c r="P1779" s="888"/>
      <c r="Q1779" s="888"/>
      <c r="R1779" s="888"/>
    </row>
    <row r="1780" spans="1:18" s="893" customFormat="1" x14ac:dyDescent="0.3">
      <c r="A1780" s="888" t="str">
        <f>IF(LEN('Translation-EN'!A1780)&gt;0,'Translation-EN'!A1780,"")</f>
        <v>Range</v>
      </c>
      <c r="B1780" s="888" t="str">
        <f>IF(LEN('Translation-EN'!B1780)&gt;0,'Translation-EN'!B1780,"")</f>
        <v>Master sheet</v>
      </c>
      <c r="C1780" s="888" t="str">
        <f>IF(LEN('Translation-EN'!C1780)&gt;0,'Translation-EN'!C1780,"")</f>
        <v>B93</v>
      </c>
      <c r="D1780" s="888" t="str">
        <f>IF(LEN('Translation-EN'!D1780)&gt;0,'Translation-EN'!D1780,"")</f>
        <v/>
      </c>
      <c r="E1780" s="893" t="s">
        <v>6236</v>
      </c>
      <c r="I1780" s="888"/>
      <c r="J1780" s="888"/>
      <c r="K1780" s="888"/>
      <c r="L1780" s="888"/>
      <c r="M1780" s="888"/>
      <c r="N1780" s="888"/>
      <c r="O1780" s="888"/>
      <c r="P1780" s="888"/>
      <c r="Q1780" s="888"/>
      <c r="R1780" s="888"/>
    </row>
    <row r="1781" spans="1:18" s="893" customFormat="1" x14ac:dyDescent="0.3">
      <c r="A1781" s="888" t="str">
        <f>IF(LEN('Translation-EN'!A1781)&gt;0,'Translation-EN'!A1781,"")</f>
        <v>Range</v>
      </c>
      <c r="B1781" s="888" t="str">
        <f>IF(LEN('Translation-EN'!B1781)&gt;0,'Translation-EN'!B1781,"")</f>
        <v>Master sheet</v>
      </c>
      <c r="C1781" s="888" t="str">
        <f>IF(LEN('Translation-EN'!C1781)&gt;0,'Translation-EN'!C1781,"")</f>
        <v>C93</v>
      </c>
      <c r="D1781" s="888" t="str">
        <f>IF(LEN('Translation-EN'!D1781)&gt;0,'Translation-EN'!D1781,"")</f>
        <v/>
      </c>
      <c r="E1781" s="893" t="str">
        <f>$E$1742</f>
        <v>CRMCA</v>
      </c>
      <c r="I1781" s="888"/>
      <c r="J1781" s="888"/>
      <c r="K1781" s="888"/>
      <c r="L1781" s="888"/>
      <c r="M1781" s="888"/>
      <c r="N1781" s="888"/>
      <c r="O1781" s="888"/>
      <c r="P1781" s="888"/>
      <c r="Q1781" s="888"/>
      <c r="R1781" s="888"/>
    </row>
    <row r="1782" spans="1:18" s="893" customFormat="1" x14ac:dyDescent="0.3">
      <c r="A1782" s="888" t="str">
        <f>IF(LEN('Translation-EN'!A1782)&gt;0,'Translation-EN'!A1782,"")</f>
        <v>Range</v>
      </c>
      <c r="B1782" s="888" t="str">
        <f>IF(LEN('Translation-EN'!B1782)&gt;0,'Translation-EN'!B1782,"")</f>
        <v>Master sheet</v>
      </c>
      <c r="C1782" s="888" t="str">
        <f>IF(LEN('Translation-EN'!C1782)&gt;0,'Translation-EN'!C1782,"")</f>
        <v>D93</v>
      </c>
      <c r="D1782" s="888" t="str">
        <f>IF(LEN('Translation-EN'!D1782)&gt;0,'Translation-EN'!D1782,"")</f>
        <v/>
      </c>
      <c r="E1782" s="888" t="str">
        <f>$E$1743</f>
        <v>Moy. can.</v>
      </c>
      <c r="I1782" s="888"/>
      <c r="J1782" s="888"/>
      <c r="K1782" s="888"/>
      <c r="L1782" s="888"/>
      <c r="M1782" s="888"/>
      <c r="N1782" s="888"/>
      <c r="O1782" s="888"/>
      <c r="P1782" s="888"/>
      <c r="Q1782" s="888"/>
      <c r="R1782" s="888"/>
    </row>
    <row r="1783" spans="1:18" s="893" customFormat="1" x14ac:dyDescent="0.3">
      <c r="A1783" s="888" t="str">
        <f>IF(LEN('Translation-EN'!A1783)&gt;0,'Translation-EN'!A1783,"")</f>
        <v>Range</v>
      </c>
      <c r="B1783" s="888" t="str">
        <f>IF(LEN('Translation-EN'!B1783)&gt;0,'Translation-EN'!B1783,"")</f>
        <v>Master sheet</v>
      </c>
      <c r="C1783" s="888" t="str">
        <f>IF(LEN('Translation-EN'!C1783)&gt;0,'Translation-EN'!C1783,"")</f>
        <v>B94</v>
      </c>
      <c r="D1783" s="888" t="str">
        <f>IF(LEN('Translation-EN'!D1783)&gt;0,'Translation-EN'!D1783,"")</f>
        <v/>
      </c>
      <c r="E1783" s="893" t="s">
        <v>6237</v>
      </c>
      <c r="I1783" s="888"/>
      <c r="J1783" s="888"/>
      <c r="K1783" s="888"/>
      <c r="L1783" s="888"/>
      <c r="M1783" s="888"/>
      <c r="N1783" s="888"/>
      <c r="O1783" s="888"/>
      <c r="P1783" s="888"/>
      <c r="Q1783" s="888"/>
      <c r="R1783" s="888"/>
    </row>
    <row r="1784" spans="1:18" s="893" customFormat="1" x14ac:dyDescent="0.3">
      <c r="A1784" s="888" t="str">
        <f>IF(LEN('Translation-EN'!A1784)&gt;0,'Translation-EN'!A1784,"")</f>
        <v>Range</v>
      </c>
      <c r="B1784" s="888" t="str">
        <f>IF(LEN('Translation-EN'!B1784)&gt;0,'Translation-EN'!B1784,"")</f>
        <v>Master sheet</v>
      </c>
      <c r="C1784" s="888" t="str">
        <f>IF(LEN('Translation-EN'!C1784)&gt;0,'Translation-EN'!C1784,"")</f>
        <v>C94</v>
      </c>
      <c r="D1784" s="888" t="str">
        <f>IF(LEN('Translation-EN'!D1784)&gt;0,'Translation-EN'!D1784,"")</f>
        <v/>
      </c>
      <c r="E1784" s="893" t="str">
        <f>$E$1742</f>
        <v>CRMCA</v>
      </c>
      <c r="I1784" s="888"/>
      <c r="J1784" s="888"/>
      <c r="K1784" s="888"/>
      <c r="L1784" s="888"/>
      <c r="M1784" s="888"/>
      <c r="N1784" s="888"/>
      <c r="O1784" s="888"/>
      <c r="P1784" s="888"/>
      <c r="Q1784" s="888"/>
      <c r="R1784" s="888"/>
    </row>
    <row r="1785" spans="1:18" s="893" customFormat="1" x14ac:dyDescent="0.3">
      <c r="A1785" s="888" t="str">
        <f>IF(LEN('Translation-EN'!A1785)&gt;0,'Translation-EN'!A1785,"")</f>
        <v>Range</v>
      </c>
      <c r="B1785" s="888" t="str">
        <f>IF(LEN('Translation-EN'!B1785)&gt;0,'Translation-EN'!B1785,"")</f>
        <v>Master sheet</v>
      </c>
      <c r="C1785" s="888" t="str">
        <f>IF(LEN('Translation-EN'!C1785)&gt;0,'Translation-EN'!C1785,"")</f>
        <v>D94</v>
      </c>
      <c r="D1785" s="888" t="str">
        <f>IF(LEN('Translation-EN'!D1785)&gt;0,'Translation-EN'!D1785,"")</f>
        <v/>
      </c>
      <c r="E1785" s="888" t="str">
        <f>$E$1743</f>
        <v>Moy. can.</v>
      </c>
      <c r="I1785" s="888"/>
      <c r="J1785" s="888"/>
      <c r="K1785" s="888"/>
      <c r="L1785" s="888"/>
      <c r="M1785" s="888"/>
      <c r="N1785" s="888"/>
      <c r="O1785" s="888"/>
      <c r="P1785" s="888"/>
      <c r="Q1785" s="888"/>
      <c r="R1785" s="888"/>
    </row>
    <row r="1786" spans="1:18" s="893" customFormat="1" x14ac:dyDescent="0.3">
      <c r="A1786" s="888" t="str">
        <f>IF(LEN('Translation-EN'!A1786)&gt;0,'Translation-EN'!A1786,"")</f>
        <v>Range</v>
      </c>
      <c r="B1786" s="888" t="str">
        <f>IF(LEN('Translation-EN'!B1786)&gt;0,'Translation-EN'!B1786,"")</f>
        <v>Master sheet</v>
      </c>
      <c r="C1786" s="888" t="str">
        <f>IF(LEN('Translation-EN'!C1786)&gt;0,'Translation-EN'!C1786,"")</f>
        <v>B95</v>
      </c>
      <c r="D1786" s="888" t="str">
        <f>IF(LEN('Translation-EN'!D1786)&gt;0,'Translation-EN'!D1786,"")</f>
        <v/>
      </c>
      <c r="E1786" s="893" t="s">
        <v>6238</v>
      </c>
      <c r="I1786" s="888"/>
      <c r="J1786" s="888"/>
      <c r="K1786" s="888"/>
      <c r="L1786" s="888"/>
      <c r="M1786" s="888"/>
      <c r="N1786" s="888"/>
      <c r="O1786" s="888"/>
      <c r="P1786" s="888"/>
      <c r="Q1786" s="888"/>
      <c r="R1786" s="888"/>
    </row>
    <row r="1787" spans="1:18" s="893" customFormat="1" x14ac:dyDescent="0.3">
      <c r="A1787" s="888" t="str">
        <f>IF(LEN('Translation-EN'!A1787)&gt;0,'Translation-EN'!A1787,"")</f>
        <v>Range</v>
      </c>
      <c r="B1787" s="888" t="str">
        <f>IF(LEN('Translation-EN'!B1787)&gt;0,'Translation-EN'!B1787,"")</f>
        <v>Master sheet</v>
      </c>
      <c r="C1787" s="888" t="str">
        <f>IF(LEN('Translation-EN'!C1787)&gt;0,'Translation-EN'!C1787,"")</f>
        <v>C95</v>
      </c>
      <c r="D1787" s="888" t="str">
        <f>IF(LEN('Translation-EN'!D1787)&gt;0,'Translation-EN'!D1787,"")</f>
        <v/>
      </c>
      <c r="E1787" s="893" t="str">
        <f>$E$1742</f>
        <v>CRMCA</v>
      </c>
      <c r="I1787" s="888"/>
      <c r="J1787" s="888"/>
      <c r="K1787" s="888"/>
      <c r="L1787" s="888"/>
      <c r="M1787" s="888"/>
      <c r="N1787" s="888"/>
      <c r="O1787" s="888"/>
      <c r="P1787" s="888"/>
      <c r="Q1787" s="888"/>
      <c r="R1787" s="888"/>
    </row>
    <row r="1788" spans="1:18" s="893" customFormat="1" x14ac:dyDescent="0.3">
      <c r="A1788" s="888" t="str">
        <f>IF(LEN('Translation-EN'!A1788)&gt;0,'Translation-EN'!A1788,"")</f>
        <v>Range</v>
      </c>
      <c r="B1788" s="888" t="str">
        <f>IF(LEN('Translation-EN'!B1788)&gt;0,'Translation-EN'!B1788,"")</f>
        <v>Master sheet</v>
      </c>
      <c r="C1788" s="888" t="str">
        <f>IF(LEN('Translation-EN'!C1788)&gt;0,'Translation-EN'!C1788,"")</f>
        <v>D95</v>
      </c>
      <c r="D1788" s="888" t="str">
        <f>IF(LEN('Translation-EN'!D1788)&gt;0,'Translation-EN'!D1788,"")</f>
        <v/>
      </c>
      <c r="E1788" s="888" t="str">
        <f>$E$1743</f>
        <v>Moy. can.</v>
      </c>
      <c r="I1788" s="888"/>
      <c r="J1788" s="888"/>
      <c r="K1788" s="888"/>
      <c r="L1788" s="888"/>
      <c r="M1788" s="888"/>
      <c r="N1788" s="888"/>
      <c r="O1788" s="888"/>
      <c r="P1788" s="888"/>
      <c r="Q1788" s="888"/>
      <c r="R1788" s="888"/>
    </row>
    <row r="1789" spans="1:18" s="893" customFormat="1" x14ac:dyDescent="0.3">
      <c r="A1789" s="888" t="str">
        <f>IF(LEN('Translation-EN'!A1789)&gt;0,'Translation-EN'!A1789,"")</f>
        <v>Range</v>
      </c>
      <c r="B1789" s="888" t="str">
        <f>IF(LEN('Translation-EN'!B1789)&gt;0,'Translation-EN'!B1789,"")</f>
        <v>Master sheet</v>
      </c>
      <c r="C1789" s="888" t="str">
        <f>IF(LEN('Translation-EN'!C1789)&gt;0,'Translation-EN'!C1789,"")</f>
        <v>B96</v>
      </c>
      <c r="D1789" s="888" t="str">
        <f>IF(LEN('Translation-EN'!D1789)&gt;0,'Translation-EN'!D1789,"")</f>
        <v/>
      </c>
      <c r="E1789" s="893" t="s">
        <v>6239</v>
      </c>
      <c r="I1789" s="888"/>
      <c r="J1789" s="888"/>
      <c r="K1789" s="888"/>
      <c r="L1789" s="888"/>
      <c r="M1789" s="888"/>
      <c r="N1789" s="888"/>
      <c r="O1789" s="888"/>
      <c r="P1789" s="888"/>
      <c r="Q1789" s="888"/>
      <c r="R1789" s="888"/>
    </row>
    <row r="1790" spans="1:18" s="893" customFormat="1" x14ac:dyDescent="0.3">
      <c r="A1790" s="888" t="str">
        <f>IF(LEN('Translation-EN'!A1790)&gt;0,'Translation-EN'!A1790,"")</f>
        <v>Range</v>
      </c>
      <c r="B1790" s="888" t="str">
        <f>IF(LEN('Translation-EN'!B1790)&gt;0,'Translation-EN'!B1790,"")</f>
        <v>Master sheet</v>
      </c>
      <c r="C1790" s="888" t="str">
        <f>IF(LEN('Translation-EN'!C1790)&gt;0,'Translation-EN'!C1790,"")</f>
        <v>C96</v>
      </c>
      <c r="D1790" s="888" t="str">
        <f>IF(LEN('Translation-EN'!D1790)&gt;0,'Translation-EN'!D1790,"")</f>
        <v/>
      </c>
      <c r="E1790" s="893" t="str">
        <f>$E$1742</f>
        <v>CRMCA</v>
      </c>
      <c r="I1790" s="888"/>
      <c r="J1790" s="888"/>
      <c r="K1790" s="888"/>
      <c r="L1790" s="888"/>
      <c r="M1790" s="888"/>
      <c r="N1790" s="888"/>
      <c r="O1790" s="888"/>
      <c r="P1790" s="888"/>
      <c r="Q1790" s="888"/>
      <c r="R1790" s="888"/>
    </row>
    <row r="1791" spans="1:18" s="893" customFormat="1" x14ac:dyDescent="0.3">
      <c r="A1791" s="888" t="str">
        <f>IF(LEN('Translation-EN'!A1791)&gt;0,'Translation-EN'!A1791,"")</f>
        <v>Range</v>
      </c>
      <c r="B1791" s="888" t="str">
        <f>IF(LEN('Translation-EN'!B1791)&gt;0,'Translation-EN'!B1791,"")</f>
        <v>Master sheet</v>
      </c>
      <c r="C1791" s="888" t="str">
        <f>IF(LEN('Translation-EN'!C1791)&gt;0,'Translation-EN'!C1791,"")</f>
        <v>D96</v>
      </c>
      <c r="D1791" s="888" t="str">
        <f>IF(LEN('Translation-EN'!D1791)&gt;0,'Translation-EN'!D1791,"")</f>
        <v/>
      </c>
      <c r="E1791" s="888" t="str">
        <f>$E$1743</f>
        <v>Moy. can.</v>
      </c>
      <c r="I1791" s="888"/>
      <c r="J1791" s="888"/>
      <c r="K1791" s="888"/>
      <c r="L1791" s="888"/>
      <c r="M1791" s="888"/>
      <c r="N1791" s="888"/>
      <c r="O1791" s="888"/>
      <c r="P1791" s="888"/>
      <c r="Q1791" s="888"/>
      <c r="R1791" s="888"/>
    </row>
    <row r="1792" spans="1:18" s="893" customFormat="1" x14ac:dyDescent="0.3">
      <c r="A1792" s="888" t="str">
        <f>IF(LEN('Translation-EN'!A1792)&gt;0,'Translation-EN'!A1792,"")</f>
        <v>Range</v>
      </c>
      <c r="B1792" s="888" t="str">
        <f>IF(LEN('Translation-EN'!B1792)&gt;0,'Translation-EN'!B1792,"")</f>
        <v>Master sheet</v>
      </c>
      <c r="C1792" s="888" t="str">
        <f>IF(LEN('Translation-EN'!C1792)&gt;0,'Translation-EN'!C1792,"")</f>
        <v>B97</v>
      </c>
      <c r="D1792" s="888" t="str">
        <f>IF(LEN('Translation-EN'!D1792)&gt;0,'Translation-EN'!D1792,"")</f>
        <v/>
      </c>
      <c r="E1792" s="893" t="s">
        <v>6240</v>
      </c>
      <c r="I1792" s="888"/>
      <c r="J1792" s="888"/>
      <c r="K1792" s="888"/>
      <c r="L1792" s="888"/>
      <c r="M1792" s="888"/>
      <c r="N1792" s="888"/>
      <c r="O1792" s="888"/>
      <c r="P1792" s="888"/>
      <c r="Q1792" s="888"/>
      <c r="R1792" s="888"/>
    </row>
    <row r="1793" spans="1:18" s="893" customFormat="1" x14ac:dyDescent="0.3">
      <c r="A1793" s="888" t="str">
        <f>IF(LEN('Translation-EN'!A1793)&gt;0,'Translation-EN'!A1793,"")</f>
        <v>Range</v>
      </c>
      <c r="B1793" s="888" t="str">
        <f>IF(LEN('Translation-EN'!B1793)&gt;0,'Translation-EN'!B1793,"")</f>
        <v>Master sheet</v>
      </c>
      <c r="C1793" s="888" t="str">
        <f>IF(LEN('Translation-EN'!C1793)&gt;0,'Translation-EN'!C1793,"")</f>
        <v>C97</v>
      </c>
      <c r="D1793" s="888" t="str">
        <f>IF(LEN('Translation-EN'!D1793)&gt;0,'Translation-EN'!D1793,"")</f>
        <v/>
      </c>
      <c r="E1793" s="893" t="str">
        <f>$E$1742</f>
        <v>CRMCA</v>
      </c>
      <c r="I1793" s="888"/>
      <c r="J1793" s="888"/>
      <c r="K1793" s="888"/>
      <c r="L1793" s="888"/>
      <c r="M1793" s="888"/>
      <c r="N1793" s="888"/>
      <c r="O1793" s="888"/>
      <c r="P1793" s="888"/>
      <c r="Q1793" s="888"/>
      <c r="R1793" s="888"/>
    </row>
    <row r="1794" spans="1:18" s="893" customFormat="1" x14ac:dyDescent="0.3">
      <c r="A1794" s="888" t="str">
        <f>IF(LEN('Translation-EN'!A1794)&gt;0,'Translation-EN'!A1794,"")</f>
        <v>Range</v>
      </c>
      <c r="B1794" s="888" t="str">
        <f>IF(LEN('Translation-EN'!B1794)&gt;0,'Translation-EN'!B1794,"")</f>
        <v>Master sheet</v>
      </c>
      <c r="C1794" s="888" t="str">
        <f>IF(LEN('Translation-EN'!C1794)&gt;0,'Translation-EN'!C1794,"")</f>
        <v>D97</v>
      </c>
      <c r="D1794" s="888" t="str">
        <f>IF(LEN('Translation-EN'!D1794)&gt;0,'Translation-EN'!D1794,"")</f>
        <v/>
      </c>
      <c r="E1794" s="888" t="str">
        <f>$E$1743</f>
        <v>Moy. can.</v>
      </c>
      <c r="I1794" s="888"/>
      <c r="J1794" s="888"/>
      <c r="K1794" s="888"/>
      <c r="L1794" s="888"/>
      <c r="M1794" s="888"/>
      <c r="N1794" s="888"/>
      <c r="O1794" s="888"/>
      <c r="P1794" s="888"/>
      <c r="Q1794" s="888"/>
      <c r="R1794" s="888"/>
    </row>
    <row r="1795" spans="1:18" s="893" customFormat="1" x14ac:dyDescent="0.3">
      <c r="A1795" s="888" t="str">
        <f>IF(LEN('Translation-EN'!A1795)&gt;0,'Translation-EN'!A1795,"")</f>
        <v>Range</v>
      </c>
      <c r="B1795" s="888" t="str">
        <f>IF(LEN('Translation-EN'!B1795)&gt;0,'Translation-EN'!B1795,"")</f>
        <v>Master sheet</v>
      </c>
      <c r="C1795" s="888" t="str">
        <f>IF(LEN('Translation-EN'!C1795)&gt;0,'Translation-EN'!C1795,"")</f>
        <v>B98</v>
      </c>
      <c r="D1795" s="888" t="str">
        <f>IF(LEN('Translation-EN'!D1795)&gt;0,'Translation-EN'!D1795,"")</f>
        <v/>
      </c>
      <c r="E1795" s="893" t="s">
        <v>6241</v>
      </c>
      <c r="I1795" s="888"/>
      <c r="J1795" s="888"/>
      <c r="K1795" s="888"/>
      <c r="L1795" s="888"/>
      <c r="M1795" s="888"/>
      <c r="N1795" s="888"/>
      <c r="O1795" s="888"/>
      <c r="P1795" s="888"/>
      <c r="Q1795" s="888"/>
      <c r="R1795" s="888"/>
    </row>
    <row r="1796" spans="1:18" s="893" customFormat="1" x14ac:dyDescent="0.3">
      <c r="A1796" s="888" t="str">
        <f>IF(LEN('Translation-EN'!A1796)&gt;0,'Translation-EN'!A1796,"")</f>
        <v>Range</v>
      </c>
      <c r="B1796" s="888" t="str">
        <f>IF(LEN('Translation-EN'!B1796)&gt;0,'Translation-EN'!B1796,"")</f>
        <v>Master sheet</v>
      </c>
      <c r="C1796" s="888" t="str">
        <f>IF(LEN('Translation-EN'!C1796)&gt;0,'Translation-EN'!C1796,"")</f>
        <v>C98</v>
      </c>
      <c r="D1796" s="888" t="str">
        <f>IF(LEN('Translation-EN'!D1796)&gt;0,'Translation-EN'!D1796,"")</f>
        <v/>
      </c>
      <c r="E1796" s="893" t="s">
        <v>1338</v>
      </c>
      <c r="I1796" s="888"/>
      <c r="J1796" s="888"/>
      <c r="K1796" s="888"/>
      <c r="L1796" s="888"/>
      <c r="M1796" s="888"/>
      <c r="N1796" s="888"/>
      <c r="O1796" s="888"/>
      <c r="P1796" s="888"/>
      <c r="Q1796" s="888"/>
      <c r="R1796" s="888"/>
    </row>
    <row r="1797" spans="1:18" s="893" customFormat="1" x14ac:dyDescent="0.3">
      <c r="A1797" s="888" t="str">
        <f>IF(LEN('Translation-EN'!A1797)&gt;0,'Translation-EN'!A1797,"")</f>
        <v>Range</v>
      </c>
      <c r="B1797" s="888" t="str">
        <f>IF(LEN('Translation-EN'!B1797)&gt;0,'Translation-EN'!B1797,"")</f>
        <v>Master sheet</v>
      </c>
      <c r="C1797" s="888" t="str">
        <f>IF(LEN('Translation-EN'!C1797)&gt;0,'Translation-EN'!C1797,"")</f>
        <v>D98</v>
      </c>
      <c r="D1797" s="888" t="str">
        <f>IF(LEN('Translation-EN'!D1797)&gt;0,'Translation-EN'!D1797,"")</f>
        <v/>
      </c>
      <c r="E1797" s="888" t="s">
        <v>6242</v>
      </c>
      <c r="I1797" s="888"/>
      <c r="J1797" s="888"/>
      <c r="K1797" s="888"/>
      <c r="L1797" s="888"/>
      <c r="M1797" s="888"/>
      <c r="N1797" s="888"/>
      <c r="O1797" s="888"/>
      <c r="P1797" s="888"/>
      <c r="Q1797" s="888"/>
      <c r="R1797" s="888"/>
    </row>
    <row r="1798" spans="1:18" s="893" customFormat="1" x14ac:dyDescent="0.3">
      <c r="A1798" s="888" t="str">
        <f>IF(LEN('Translation-EN'!A1798)&gt;0,'Translation-EN'!A1798,"")</f>
        <v>Range</v>
      </c>
      <c r="B1798" s="888" t="str">
        <f>IF(LEN('Translation-EN'!B1798)&gt;0,'Translation-EN'!B1798,"")</f>
        <v>Master sheet</v>
      </c>
      <c r="C1798" s="888" t="str">
        <f>IF(LEN('Translation-EN'!C1798)&gt;0,'Translation-EN'!C1798,"")</f>
        <v>B99</v>
      </c>
      <c r="D1798" s="888" t="str">
        <f>IF(LEN('Translation-EN'!D1798)&gt;0,'Translation-EN'!D1798,"")</f>
        <v/>
      </c>
      <c r="E1798" s="893" t="s">
        <v>6243</v>
      </c>
      <c r="I1798" s="888"/>
      <c r="J1798" s="888"/>
      <c r="K1798" s="888"/>
      <c r="L1798" s="888"/>
      <c r="M1798" s="888"/>
      <c r="N1798" s="888"/>
      <c r="O1798" s="888"/>
      <c r="P1798" s="888"/>
      <c r="Q1798" s="888"/>
      <c r="R1798" s="888"/>
    </row>
    <row r="1799" spans="1:18" s="893" customFormat="1" x14ac:dyDescent="0.3">
      <c r="A1799" s="888" t="str">
        <f>IF(LEN('Translation-EN'!A1799)&gt;0,'Translation-EN'!A1799,"")</f>
        <v>Range</v>
      </c>
      <c r="B1799" s="888" t="str">
        <f>IF(LEN('Translation-EN'!B1799)&gt;0,'Translation-EN'!B1799,"")</f>
        <v>Master sheet</v>
      </c>
      <c r="C1799" s="888" t="str">
        <f>IF(LEN('Translation-EN'!C1799)&gt;0,'Translation-EN'!C1799,"")</f>
        <v>C99</v>
      </c>
      <c r="D1799" s="888" t="str">
        <f>IF(LEN('Translation-EN'!D1799)&gt;0,'Translation-EN'!D1799,"")</f>
        <v/>
      </c>
      <c r="E1799" s="893" t="str">
        <f>$E$1796</f>
        <v>NRMCA</v>
      </c>
      <c r="I1799" s="888"/>
      <c r="J1799" s="888"/>
      <c r="K1799" s="888"/>
      <c r="L1799" s="888"/>
      <c r="M1799" s="888"/>
      <c r="N1799" s="888"/>
      <c r="O1799" s="888"/>
      <c r="P1799" s="888"/>
      <c r="Q1799" s="888"/>
      <c r="R1799" s="888"/>
    </row>
    <row r="1800" spans="1:18" s="893" customFormat="1" x14ac:dyDescent="0.3">
      <c r="A1800" s="888" t="str">
        <f>IF(LEN('Translation-EN'!A1800)&gt;0,'Translation-EN'!A1800,"")</f>
        <v>Range</v>
      </c>
      <c r="B1800" s="888" t="str">
        <f>IF(LEN('Translation-EN'!B1800)&gt;0,'Translation-EN'!B1800,"")</f>
        <v>Master sheet</v>
      </c>
      <c r="C1800" s="888" t="str">
        <f>IF(LEN('Translation-EN'!C1800)&gt;0,'Translation-EN'!C1800,"")</f>
        <v>D99</v>
      </c>
      <c r="D1800" s="888" t="str">
        <f>IF(LEN('Translation-EN'!D1800)&gt;0,'Translation-EN'!D1800,"")</f>
        <v/>
      </c>
      <c r="E1800" s="888" t="str">
        <f>$E$1797</f>
        <v>Moy. É.-U.</v>
      </c>
      <c r="I1800" s="888"/>
      <c r="J1800" s="888"/>
      <c r="K1800" s="888"/>
      <c r="L1800" s="888"/>
      <c r="M1800" s="888"/>
      <c r="N1800" s="888"/>
      <c r="O1800" s="888"/>
      <c r="P1800" s="888"/>
      <c r="Q1800" s="888"/>
      <c r="R1800" s="888"/>
    </row>
    <row r="1801" spans="1:18" s="893" customFormat="1" x14ac:dyDescent="0.3">
      <c r="A1801" s="888" t="str">
        <f>IF(LEN('Translation-EN'!A1801)&gt;0,'Translation-EN'!A1801,"")</f>
        <v>Range</v>
      </c>
      <c r="B1801" s="888" t="str">
        <f>IF(LEN('Translation-EN'!B1801)&gt;0,'Translation-EN'!B1801,"")</f>
        <v>Master sheet</v>
      </c>
      <c r="C1801" s="888" t="str">
        <f>IF(LEN('Translation-EN'!C1801)&gt;0,'Translation-EN'!C1801,"")</f>
        <v>B100</v>
      </c>
      <c r="D1801" s="888" t="str">
        <f>IF(LEN('Translation-EN'!D1801)&gt;0,'Translation-EN'!D1801,"")</f>
        <v/>
      </c>
      <c r="E1801" s="893" t="s">
        <v>6244</v>
      </c>
      <c r="I1801" s="888"/>
      <c r="J1801" s="888"/>
      <c r="K1801" s="888"/>
      <c r="L1801" s="888"/>
      <c r="M1801" s="888"/>
      <c r="N1801" s="888"/>
      <c r="O1801" s="888"/>
      <c r="P1801" s="888"/>
      <c r="Q1801" s="888"/>
      <c r="R1801" s="888"/>
    </row>
    <row r="1802" spans="1:18" s="893" customFormat="1" x14ac:dyDescent="0.3">
      <c r="A1802" s="888" t="str">
        <f>IF(LEN('Translation-EN'!A1802)&gt;0,'Translation-EN'!A1802,"")</f>
        <v>Range</v>
      </c>
      <c r="B1802" s="888" t="str">
        <f>IF(LEN('Translation-EN'!B1802)&gt;0,'Translation-EN'!B1802,"")</f>
        <v>Master sheet</v>
      </c>
      <c r="C1802" s="888" t="str">
        <f>IF(LEN('Translation-EN'!C1802)&gt;0,'Translation-EN'!C1802,"")</f>
        <v>C100</v>
      </c>
      <c r="D1802" s="888" t="str">
        <f>IF(LEN('Translation-EN'!D1802)&gt;0,'Translation-EN'!D1802,"")</f>
        <v/>
      </c>
      <c r="E1802" s="893" t="str">
        <f>$E$1796</f>
        <v>NRMCA</v>
      </c>
      <c r="I1802" s="888"/>
      <c r="J1802" s="888"/>
      <c r="K1802" s="888"/>
      <c r="L1802" s="888"/>
      <c r="M1802" s="888"/>
      <c r="N1802" s="888"/>
      <c r="O1802" s="888"/>
      <c r="P1802" s="888"/>
      <c r="Q1802" s="888"/>
      <c r="R1802" s="888"/>
    </row>
    <row r="1803" spans="1:18" s="893" customFormat="1" ht="15.6" x14ac:dyDescent="0.3">
      <c r="A1803" s="888" t="str">
        <f>IF(LEN('Translation-EN'!A1803)&gt;0,'Translation-EN'!A1803,"")</f>
        <v>Range</v>
      </c>
      <c r="B1803" s="888" t="str">
        <f>IF(LEN('Translation-EN'!B1803)&gt;0,'Translation-EN'!B1803,"")</f>
        <v>Master sheet</v>
      </c>
      <c r="C1803" s="888" t="str">
        <f>IF(LEN('Translation-EN'!C1803)&gt;0,'Translation-EN'!C1803,"")</f>
        <v>D100</v>
      </c>
      <c r="D1803" s="888" t="str">
        <f>IF(LEN('Translation-EN'!D1803)&gt;0,'Translation-EN'!D1803,"")</f>
        <v/>
      </c>
      <c r="E1803" s="371" t="str">
        <f>$E$1797</f>
        <v>Moy. É.-U.</v>
      </c>
      <c r="I1803" s="888"/>
      <c r="J1803" s="888"/>
      <c r="K1803" s="888"/>
      <c r="L1803" s="888"/>
      <c r="M1803" s="888"/>
      <c r="N1803" s="888"/>
      <c r="O1803" s="888"/>
      <c r="P1803" s="888"/>
      <c r="Q1803" s="888"/>
      <c r="R1803" s="888"/>
    </row>
    <row r="1804" spans="1:18" s="893" customFormat="1" x14ac:dyDescent="0.3">
      <c r="A1804" s="888" t="str">
        <f>IF(LEN('Translation-EN'!A1804)&gt;0,'Translation-EN'!A1804,"")</f>
        <v>Range</v>
      </c>
      <c r="B1804" s="888" t="str">
        <f>IF(LEN('Translation-EN'!B1804)&gt;0,'Translation-EN'!B1804,"")</f>
        <v>Master sheet</v>
      </c>
      <c r="C1804" s="888" t="str">
        <f>IF(LEN('Translation-EN'!C1804)&gt;0,'Translation-EN'!C1804,"")</f>
        <v>B101</v>
      </c>
      <c r="D1804" s="888" t="str">
        <f>IF(LEN('Translation-EN'!D1804)&gt;0,'Translation-EN'!D1804,"")</f>
        <v/>
      </c>
      <c r="E1804" s="893" t="s">
        <v>6245</v>
      </c>
      <c r="I1804" s="888"/>
      <c r="J1804" s="888"/>
      <c r="K1804" s="888"/>
      <c r="L1804" s="888"/>
      <c r="M1804" s="888"/>
      <c r="N1804" s="888"/>
      <c r="O1804" s="888"/>
      <c r="P1804" s="888"/>
      <c r="Q1804" s="888"/>
      <c r="R1804" s="888"/>
    </row>
    <row r="1805" spans="1:18" s="893" customFormat="1" x14ac:dyDescent="0.3">
      <c r="A1805" s="888" t="str">
        <f>IF(LEN('Translation-EN'!A1805)&gt;0,'Translation-EN'!A1805,"")</f>
        <v>Range</v>
      </c>
      <c r="B1805" s="888" t="str">
        <f>IF(LEN('Translation-EN'!B1805)&gt;0,'Translation-EN'!B1805,"")</f>
        <v>Master sheet</v>
      </c>
      <c r="C1805" s="888" t="str">
        <f>IF(LEN('Translation-EN'!C1805)&gt;0,'Translation-EN'!C1805,"")</f>
        <v>C101</v>
      </c>
      <c r="D1805" s="888" t="str">
        <f>IF(LEN('Translation-EN'!D1805)&gt;0,'Translation-EN'!D1805,"")</f>
        <v/>
      </c>
      <c r="E1805" s="893" t="str">
        <f>$E$1796</f>
        <v>NRMCA</v>
      </c>
      <c r="I1805" s="888"/>
      <c r="J1805" s="888"/>
      <c r="K1805" s="888"/>
      <c r="L1805" s="888"/>
      <c r="M1805" s="888"/>
      <c r="N1805" s="888"/>
      <c r="O1805" s="888"/>
      <c r="P1805" s="888"/>
      <c r="Q1805" s="888"/>
      <c r="R1805" s="888"/>
    </row>
    <row r="1806" spans="1:18" s="893" customFormat="1" x14ac:dyDescent="0.3">
      <c r="A1806" s="888" t="str">
        <f>IF(LEN('Translation-EN'!A1806)&gt;0,'Translation-EN'!A1806,"")</f>
        <v>Range</v>
      </c>
      <c r="B1806" s="888" t="str">
        <f>IF(LEN('Translation-EN'!B1806)&gt;0,'Translation-EN'!B1806,"")</f>
        <v>Master sheet</v>
      </c>
      <c r="C1806" s="888" t="str">
        <f>IF(LEN('Translation-EN'!C1806)&gt;0,'Translation-EN'!C1806,"")</f>
        <v>D101</v>
      </c>
      <c r="D1806" s="888" t="str">
        <f>IF(LEN('Translation-EN'!D1806)&gt;0,'Translation-EN'!D1806,"")</f>
        <v/>
      </c>
      <c r="E1806" s="888" t="str">
        <f>$E$1797</f>
        <v>Moy. É.-U.</v>
      </c>
      <c r="I1806" s="888"/>
      <c r="J1806" s="888"/>
      <c r="K1806" s="888"/>
      <c r="L1806" s="888"/>
      <c r="M1806" s="888"/>
      <c r="N1806" s="888"/>
      <c r="O1806" s="888"/>
      <c r="P1806" s="888"/>
      <c r="Q1806" s="888"/>
      <c r="R1806" s="888"/>
    </row>
    <row r="1807" spans="1:18" s="893" customFormat="1" x14ac:dyDescent="0.3">
      <c r="A1807" s="888" t="str">
        <f>IF(LEN('Translation-EN'!A1807)&gt;0,'Translation-EN'!A1807,"")</f>
        <v>Range</v>
      </c>
      <c r="B1807" s="888" t="str">
        <f>IF(LEN('Translation-EN'!B1807)&gt;0,'Translation-EN'!B1807,"")</f>
        <v>Master sheet</v>
      </c>
      <c r="C1807" s="888" t="str">
        <f>IF(LEN('Translation-EN'!C1807)&gt;0,'Translation-EN'!C1807,"")</f>
        <v>B102</v>
      </c>
      <c r="D1807" s="888" t="str">
        <f>IF(LEN('Translation-EN'!D1807)&gt;0,'Translation-EN'!D1807,"")</f>
        <v/>
      </c>
      <c r="E1807" s="893" t="s">
        <v>6246</v>
      </c>
      <c r="I1807" s="888"/>
      <c r="J1807" s="888"/>
      <c r="K1807" s="888"/>
      <c r="L1807" s="888"/>
      <c r="M1807" s="888"/>
      <c r="N1807" s="888"/>
      <c r="O1807" s="888"/>
      <c r="P1807" s="888"/>
      <c r="Q1807" s="888"/>
      <c r="R1807" s="888"/>
    </row>
    <row r="1808" spans="1:18" s="893" customFormat="1" x14ac:dyDescent="0.3">
      <c r="A1808" s="888" t="str">
        <f>IF(LEN('Translation-EN'!A1808)&gt;0,'Translation-EN'!A1808,"")</f>
        <v>Range</v>
      </c>
      <c r="B1808" s="888" t="str">
        <f>IF(LEN('Translation-EN'!B1808)&gt;0,'Translation-EN'!B1808,"")</f>
        <v>Master sheet</v>
      </c>
      <c r="C1808" s="888" t="str">
        <f>IF(LEN('Translation-EN'!C1808)&gt;0,'Translation-EN'!C1808,"")</f>
        <v>C102</v>
      </c>
      <c r="D1808" s="888" t="str">
        <f>IF(LEN('Translation-EN'!D1808)&gt;0,'Translation-EN'!D1808,"")</f>
        <v/>
      </c>
      <c r="E1808" s="893" t="str">
        <f>$E$1796</f>
        <v>NRMCA</v>
      </c>
      <c r="I1808" s="888"/>
      <c r="J1808" s="888"/>
      <c r="K1808" s="888"/>
      <c r="L1808" s="888"/>
      <c r="M1808" s="888"/>
      <c r="N1808" s="888"/>
      <c r="O1808" s="888"/>
      <c r="P1808" s="888"/>
      <c r="Q1808" s="888"/>
      <c r="R1808" s="888"/>
    </row>
    <row r="1809" spans="1:18" s="893" customFormat="1" x14ac:dyDescent="0.3">
      <c r="A1809" s="888" t="str">
        <f>IF(LEN('Translation-EN'!A1809)&gt;0,'Translation-EN'!A1809,"")</f>
        <v>Range</v>
      </c>
      <c r="B1809" s="888" t="str">
        <f>IF(LEN('Translation-EN'!B1809)&gt;0,'Translation-EN'!B1809,"")</f>
        <v>Master sheet</v>
      </c>
      <c r="C1809" s="888" t="str">
        <f>IF(LEN('Translation-EN'!C1809)&gt;0,'Translation-EN'!C1809,"")</f>
        <v>D102</v>
      </c>
      <c r="D1809" s="888" t="str">
        <f>IF(LEN('Translation-EN'!D1809)&gt;0,'Translation-EN'!D1809,"")</f>
        <v/>
      </c>
      <c r="E1809" s="888" t="str">
        <f>$E$1797</f>
        <v>Moy. É.-U.</v>
      </c>
      <c r="I1809" s="888"/>
      <c r="J1809" s="888"/>
      <c r="K1809" s="888"/>
      <c r="L1809" s="888"/>
      <c r="M1809" s="888"/>
      <c r="N1809" s="888"/>
      <c r="O1809" s="888"/>
      <c r="P1809" s="888"/>
      <c r="Q1809" s="888"/>
      <c r="R1809" s="888"/>
    </row>
    <row r="1810" spans="1:18" s="893" customFormat="1" x14ac:dyDescent="0.3">
      <c r="A1810" s="888" t="str">
        <f>IF(LEN('Translation-EN'!A1810)&gt;0,'Translation-EN'!A1810,"")</f>
        <v>Range</v>
      </c>
      <c r="B1810" s="888" t="str">
        <f>IF(LEN('Translation-EN'!B1810)&gt;0,'Translation-EN'!B1810,"")</f>
        <v>Master sheet</v>
      </c>
      <c r="C1810" s="888" t="str">
        <f>IF(LEN('Translation-EN'!C1810)&gt;0,'Translation-EN'!C1810,"")</f>
        <v>B104</v>
      </c>
      <c r="D1810" s="888" t="str">
        <f>IF(LEN('Translation-EN'!D1810)&gt;0,'Translation-EN'!D1810,"")</f>
        <v/>
      </c>
      <c r="E1810" s="893" t="s">
        <v>6247</v>
      </c>
      <c r="I1810" s="888"/>
      <c r="J1810" s="888"/>
      <c r="K1810" s="888"/>
      <c r="L1810" s="888"/>
      <c r="M1810" s="888"/>
      <c r="N1810" s="888"/>
      <c r="O1810" s="888"/>
      <c r="P1810" s="888"/>
      <c r="Q1810" s="888"/>
      <c r="R1810" s="888"/>
    </row>
    <row r="1811" spans="1:18" s="893" customFormat="1" x14ac:dyDescent="0.3">
      <c r="A1811" s="888" t="str">
        <f>IF(LEN('Translation-EN'!A1811)&gt;0,'Translation-EN'!A1811,"")</f>
        <v>Range</v>
      </c>
      <c r="B1811" s="888" t="str">
        <f>IF(LEN('Translation-EN'!B1811)&gt;0,'Translation-EN'!B1811,"")</f>
        <v>Master sheet</v>
      </c>
      <c r="C1811" s="888" t="str">
        <f>IF(LEN('Translation-EN'!C1811)&gt;0,'Translation-EN'!C1811,"")</f>
        <v>C104</v>
      </c>
      <c r="D1811" s="888" t="str">
        <f>IF(LEN('Translation-EN'!D1811)&gt;0,'Translation-EN'!D1811,"")</f>
        <v/>
      </c>
      <c r="E1811" s="893" t="s">
        <v>305</v>
      </c>
      <c r="I1811" s="888"/>
      <c r="J1811" s="888"/>
      <c r="K1811" s="888"/>
      <c r="L1811" s="888"/>
      <c r="M1811" s="888"/>
      <c r="N1811" s="888"/>
      <c r="O1811" s="888"/>
      <c r="P1811" s="888"/>
      <c r="Q1811" s="888"/>
      <c r="R1811" s="888"/>
    </row>
    <row r="1812" spans="1:18" s="893" customFormat="1" x14ac:dyDescent="0.3">
      <c r="A1812" s="888" t="str">
        <f>IF(LEN('Translation-EN'!A1812)&gt;0,'Translation-EN'!A1812,"")</f>
        <v>Range</v>
      </c>
      <c r="B1812" s="888" t="str">
        <f>IF(LEN('Translation-EN'!B1812)&gt;0,'Translation-EN'!B1812,"")</f>
        <v>Master sheet</v>
      </c>
      <c r="C1812" s="888" t="str">
        <f>IF(LEN('Translation-EN'!C1812)&gt;0,'Translation-EN'!C1812,"")</f>
        <v>D104</v>
      </c>
      <c r="D1812" s="888" t="str">
        <f>IF(LEN('Translation-EN'!D1812)&gt;0,'Translation-EN'!D1812,"")</f>
        <v/>
      </c>
      <c r="E1812" s="888" t="s">
        <v>6248</v>
      </c>
      <c r="I1812" s="888"/>
      <c r="J1812" s="888"/>
      <c r="K1812" s="888"/>
      <c r="L1812" s="888"/>
      <c r="M1812" s="888"/>
      <c r="N1812" s="888"/>
      <c r="O1812" s="888"/>
      <c r="P1812" s="888"/>
      <c r="Q1812" s="888"/>
      <c r="R1812" s="888"/>
    </row>
    <row r="1813" spans="1:18" s="893" customFormat="1" x14ac:dyDescent="0.3">
      <c r="A1813" s="888" t="str">
        <f>IF(LEN('Translation-EN'!A1813)&gt;0,'Translation-EN'!A1813,"")</f>
        <v>Range</v>
      </c>
      <c r="B1813" s="888" t="str">
        <f>IF(LEN('Translation-EN'!B1813)&gt;0,'Translation-EN'!B1813,"")</f>
        <v>Master sheet</v>
      </c>
      <c r="C1813" s="888" t="str">
        <f>IF(LEN('Translation-EN'!C1813)&gt;0,'Translation-EN'!C1813,"")</f>
        <v>E104</v>
      </c>
      <c r="D1813" s="888" t="str">
        <f>IF(LEN('Translation-EN'!D1813)&gt;0,'Translation-EN'!D1813,"")</f>
        <v/>
      </c>
      <c r="E1813" s="893" t="s">
        <v>6249</v>
      </c>
      <c r="I1813" s="888"/>
      <c r="J1813" s="888"/>
      <c r="K1813" s="888"/>
      <c r="L1813" s="888"/>
      <c r="M1813" s="888"/>
      <c r="N1813" s="888"/>
      <c r="O1813" s="888"/>
      <c r="P1813" s="888"/>
      <c r="Q1813" s="888"/>
      <c r="R1813" s="888"/>
    </row>
    <row r="1814" spans="1:18" s="893" customFormat="1" x14ac:dyDescent="0.3">
      <c r="A1814" s="888" t="str">
        <f>IF(LEN('Translation-EN'!A1814)&gt;0,'Translation-EN'!A1814,"")</f>
        <v>Range</v>
      </c>
      <c r="B1814" s="888" t="str">
        <f>IF(LEN('Translation-EN'!B1814)&gt;0,'Translation-EN'!B1814,"")</f>
        <v>Master sheet</v>
      </c>
      <c r="C1814" s="888" t="str">
        <f>IF(LEN('Translation-EN'!C1814)&gt;0,'Translation-EN'!C1814,"")</f>
        <v>B106</v>
      </c>
      <c r="D1814" s="888" t="str">
        <f>IF(LEN('Translation-EN'!D1814)&gt;0,'Translation-EN'!D1814,"")</f>
        <v/>
      </c>
      <c r="E1814" s="893" t="s">
        <v>6250</v>
      </c>
      <c r="I1814" s="888"/>
      <c r="J1814" s="888"/>
      <c r="K1814" s="888"/>
      <c r="L1814" s="888"/>
      <c r="M1814" s="888"/>
      <c r="N1814" s="888"/>
      <c r="O1814" s="888"/>
      <c r="P1814" s="888"/>
      <c r="Q1814" s="888"/>
      <c r="R1814" s="888"/>
    </row>
    <row r="1815" spans="1:18" s="893" customFormat="1" x14ac:dyDescent="0.3">
      <c r="A1815" s="888" t="str">
        <f>IF(LEN('Translation-EN'!A1815)&gt;0,'Translation-EN'!A1815,"")</f>
        <v>Range</v>
      </c>
      <c r="B1815" s="888" t="str">
        <f>IF(LEN('Translation-EN'!B1815)&gt;0,'Translation-EN'!B1815,"")</f>
        <v>Master sheet</v>
      </c>
      <c r="C1815" s="888" t="str">
        <f>IF(LEN('Translation-EN'!C1815)&gt;0,'Translation-EN'!C1815,"")</f>
        <v>C106</v>
      </c>
      <c r="D1815" s="888" t="str">
        <f>IF(LEN('Translation-EN'!D1815)&gt;0,'Translation-EN'!D1815,"")</f>
        <v/>
      </c>
      <c r="E1815" s="888" t="s">
        <v>6251</v>
      </c>
      <c r="I1815" s="888"/>
      <c r="J1815" s="888"/>
      <c r="K1815" s="888"/>
      <c r="L1815" s="888"/>
      <c r="M1815" s="888"/>
      <c r="N1815" s="888"/>
      <c r="O1815" s="888"/>
      <c r="P1815" s="888"/>
      <c r="Q1815" s="888"/>
      <c r="R1815" s="888"/>
    </row>
    <row r="1816" spans="1:18" s="893" customFormat="1" x14ac:dyDescent="0.3">
      <c r="A1816" s="888" t="str">
        <f>IF(LEN('Translation-EN'!A1816)&gt;0,'Translation-EN'!A1816,"")</f>
        <v>Range</v>
      </c>
      <c r="B1816" s="888" t="str">
        <f>IF(LEN('Translation-EN'!B1816)&gt;0,'Translation-EN'!B1816,"")</f>
        <v>Master sheet</v>
      </c>
      <c r="C1816" s="888" t="str">
        <f>IF(LEN('Translation-EN'!C1816)&gt;0,'Translation-EN'!C1816,"")</f>
        <v>D106</v>
      </c>
      <c r="D1816" s="888" t="str">
        <f>IF(LEN('Translation-EN'!D1816)&gt;0,'Translation-EN'!D1816,"")</f>
        <v/>
      </c>
      <c r="E1816" s="893" t="s">
        <v>6252</v>
      </c>
      <c r="I1816" s="888"/>
      <c r="J1816" s="888"/>
      <c r="K1816" s="888"/>
      <c r="L1816" s="888"/>
      <c r="M1816" s="888"/>
      <c r="N1816" s="888"/>
      <c r="O1816" s="888"/>
      <c r="P1816" s="888"/>
      <c r="Q1816" s="888"/>
      <c r="R1816" s="888"/>
    </row>
    <row r="1817" spans="1:18" s="893" customFormat="1" x14ac:dyDescent="0.3">
      <c r="A1817" s="888" t="str">
        <f>IF(LEN('Translation-EN'!A1817)&gt;0,'Translation-EN'!A1817,"")</f>
        <v>Range</v>
      </c>
      <c r="B1817" s="888" t="str">
        <f>IF(LEN('Translation-EN'!B1817)&gt;0,'Translation-EN'!B1817,"")</f>
        <v>Master sheet</v>
      </c>
      <c r="C1817" s="888" t="str">
        <f>IF(LEN('Translation-EN'!C1817)&gt;0,'Translation-EN'!C1817,"")</f>
        <v>E106</v>
      </c>
      <c r="D1817" s="888" t="str">
        <f>IF(LEN('Translation-EN'!D1817)&gt;0,'Translation-EN'!D1817,"")</f>
        <v/>
      </c>
      <c r="E1817" s="893" t="s">
        <v>6253</v>
      </c>
      <c r="I1817" s="888"/>
      <c r="J1817" s="888"/>
      <c r="K1817" s="888"/>
      <c r="L1817" s="888"/>
      <c r="M1817" s="888"/>
      <c r="N1817" s="888"/>
      <c r="O1817" s="888"/>
      <c r="P1817" s="888"/>
      <c r="Q1817" s="888"/>
      <c r="R1817" s="888"/>
    </row>
    <row r="1818" spans="1:18" s="893" customFormat="1" x14ac:dyDescent="0.3">
      <c r="A1818" s="888" t="str">
        <f>IF(LEN('Translation-EN'!A1818)&gt;0,'Translation-EN'!A1818,"")</f>
        <v>Range</v>
      </c>
      <c r="B1818" s="888" t="str">
        <f>IF(LEN('Translation-EN'!B1818)&gt;0,'Translation-EN'!B1818,"")</f>
        <v>Master sheet</v>
      </c>
      <c r="C1818" s="888" t="str">
        <f>IF(LEN('Translation-EN'!C1818)&gt;0,'Translation-EN'!C1818,"")</f>
        <v>B108</v>
      </c>
      <c r="D1818" s="888" t="str">
        <f>IF(LEN('Translation-EN'!D1818)&gt;0,'Translation-EN'!D1818,"")</f>
        <v/>
      </c>
      <c r="E1818" s="893" t="s">
        <v>6254</v>
      </c>
      <c r="I1818" s="888"/>
      <c r="J1818" s="888"/>
      <c r="K1818" s="888"/>
      <c r="L1818" s="888"/>
      <c r="M1818" s="888"/>
      <c r="N1818" s="888"/>
      <c r="O1818" s="888"/>
      <c r="P1818" s="888"/>
      <c r="Q1818" s="888"/>
      <c r="R1818" s="888"/>
    </row>
    <row r="1819" spans="1:18" s="893" customFormat="1" x14ac:dyDescent="0.3">
      <c r="A1819" s="888" t="str">
        <f>IF(LEN('Translation-EN'!A1819)&gt;0,'Translation-EN'!A1819,"")</f>
        <v>Range</v>
      </c>
      <c r="B1819" s="888" t="str">
        <f>IF(LEN('Translation-EN'!B1819)&gt;0,'Translation-EN'!B1819,"")</f>
        <v>Master sheet</v>
      </c>
      <c r="C1819" s="888" t="str">
        <f>IF(LEN('Translation-EN'!C1819)&gt;0,'Translation-EN'!C1819,"")</f>
        <v>C108</v>
      </c>
      <c r="D1819" s="888" t="str">
        <f>IF(LEN('Translation-EN'!D1819)&gt;0,'Translation-EN'!D1819,"")</f>
        <v/>
      </c>
      <c r="E1819" s="893" t="s">
        <v>3307</v>
      </c>
      <c r="I1819" s="888"/>
      <c r="J1819" s="888"/>
      <c r="K1819" s="888"/>
      <c r="L1819" s="888"/>
      <c r="M1819" s="888"/>
      <c r="N1819" s="888"/>
      <c r="O1819" s="888"/>
      <c r="P1819" s="888"/>
      <c r="Q1819" s="888"/>
      <c r="R1819" s="888"/>
    </row>
    <row r="1820" spans="1:18" s="893" customFormat="1" x14ac:dyDescent="0.3">
      <c r="A1820" s="888" t="str">
        <f>IF(LEN('Translation-EN'!A1820)&gt;0,'Translation-EN'!A1820,"")</f>
        <v>Range</v>
      </c>
      <c r="B1820" s="888" t="str">
        <f>IF(LEN('Translation-EN'!B1820)&gt;0,'Translation-EN'!B1820,"")</f>
        <v>Master sheet</v>
      </c>
      <c r="C1820" s="888" t="str">
        <f>IF(LEN('Translation-EN'!C1820)&gt;0,'Translation-EN'!C1820,"")</f>
        <v>D108</v>
      </c>
      <c r="D1820" s="888" t="str">
        <f>IF(LEN('Translation-EN'!D1820)&gt;0,'Translation-EN'!D1820,"")</f>
        <v/>
      </c>
      <c r="E1820" s="893" t="s">
        <v>6255</v>
      </c>
      <c r="I1820" s="888"/>
      <c r="J1820" s="888"/>
      <c r="K1820" s="888"/>
      <c r="L1820" s="888"/>
      <c r="M1820" s="888"/>
      <c r="N1820" s="888"/>
      <c r="O1820" s="888"/>
      <c r="P1820" s="888"/>
      <c r="Q1820" s="888"/>
      <c r="R1820" s="888"/>
    </row>
    <row r="1821" spans="1:18" s="893" customFormat="1" x14ac:dyDescent="0.3">
      <c r="A1821" s="888" t="str">
        <f>IF(LEN('Translation-EN'!A1821)&gt;0,'Translation-EN'!A1821,"")</f>
        <v>Range</v>
      </c>
      <c r="B1821" s="888" t="str">
        <f>IF(LEN('Translation-EN'!B1821)&gt;0,'Translation-EN'!B1821,"")</f>
        <v>Master sheet</v>
      </c>
      <c r="C1821" s="888" t="str">
        <f>IF(LEN('Translation-EN'!C1821)&gt;0,'Translation-EN'!C1821,"")</f>
        <v>E108</v>
      </c>
      <c r="D1821" s="888" t="str">
        <f>IF(LEN('Translation-EN'!D1821)&gt;0,'Translation-EN'!D1821,"")</f>
        <v/>
      </c>
      <c r="E1821" s="893" t="s">
        <v>6256</v>
      </c>
      <c r="I1821" s="888"/>
      <c r="J1821" s="888"/>
      <c r="K1821" s="888"/>
      <c r="L1821" s="888"/>
      <c r="M1821" s="888"/>
      <c r="N1821" s="888"/>
      <c r="O1821" s="888"/>
      <c r="P1821" s="888"/>
      <c r="Q1821" s="888"/>
      <c r="R1821" s="888"/>
    </row>
    <row r="1822" spans="1:18" s="893" customFormat="1" x14ac:dyDescent="0.3">
      <c r="A1822" s="888" t="str">
        <f>IF(LEN('Translation-EN'!A1822)&gt;0,'Translation-EN'!A1822,"")</f>
        <v>Range</v>
      </c>
      <c r="B1822" s="888" t="str">
        <f>IF(LEN('Translation-EN'!B1822)&gt;0,'Translation-EN'!B1822,"")</f>
        <v>Master sheet</v>
      </c>
      <c r="C1822" s="888" t="str">
        <f>IF(LEN('Translation-EN'!C1822)&gt;0,'Translation-EN'!C1822,"")</f>
        <v>B109</v>
      </c>
      <c r="D1822" s="888" t="str">
        <f>IF(LEN('Translation-EN'!D1822)&gt;0,'Translation-EN'!D1822,"")</f>
        <v/>
      </c>
      <c r="E1822" s="893" t="str">
        <f>$E$1818</f>
        <v>Bois lamellé-croisé (CLT)</v>
      </c>
      <c r="I1822" s="888"/>
      <c r="J1822" s="888"/>
      <c r="K1822" s="888"/>
      <c r="L1822" s="888"/>
      <c r="M1822" s="888"/>
      <c r="N1822" s="888"/>
      <c r="O1822" s="888"/>
      <c r="P1822" s="888"/>
      <c r="Q1822" s="888"/>
      <c r="R1822" s="888"/>
    </row>
    <row r="1823" spans="1:18" s="893" customFormat="1" x14ac:dyDescent="0.3">
      <c r="A1823" s="888" t="str">
        <f>IF(LEN('Translation-EN'!A1823)&gt;0,'Translation-EN'!A1823,"")</f>
        <v>Range</v>
      </c>
      <c r="B1823" s="888" t="str">
        <f>IF(LEN('Translation-EN'!B1823)&gt;0,'Translation-EN'!B1823,"")</f>
        <v>Master sheet</v>
      </c>
      <c r="C1823" s="888" t="str">
        <f>IF(LEN('Translation-EN'!C1823)&gt;0,'Translation-EN'!C1823,"")</f>
        <v>C109</v>
      </c>
      <c r="D1823" s="888" t="str">
        <f>IF(LEN('Translation-EN'!D1823)&gt;0,'Translation-EN'!D1823,"")</f>
        <v/>
      </c>
      <c r="E1823" s="893" t="s">
        <v>4168</v>
      </c>
      <c r="I1823" s="888"/>
      <c r="J1823" s="888"/>
      <c r="K1823" s="888"/>
      <c r="L1823" s="888"/>
      <c r="M1823" s="888"/>
      <c r="N1823" s="888"/>
      <c r="O1823" s="888"/>
      <c r="P1823" s="888"/>
      <c r="Q1823" s="888"/>
      <c r="R1823" s="888"/>
    </row>
    <row r="1824" spans="1:18" s="893" customFormat="1" x14ac:dyDescent="0.3">
      <c r="A1824" s="888" t="str">
        <f>IF(LEN('Translation-EN'!A1824)&gt;0,'Translation-EN'!A1824,"")</f>
        <v>Range</v>
      </c>
      <c r="B1824" s="888" t="str">
        <f>IF(LEN('Translation-EN'!B1824)&gt;0,'Translation-EN'!B1824,"")</f>
        <v>Master sheet</v>
      </c>
      <c r="C1824" s="888" t="str">
        <f>IF(LEN('Translation-EN'!C1824)&gt;0,'Translation-EN'!C1824,"")</f>
        <v>D109</v>
      </c>
      <c r="D1824" s="888" t="str">
        <f>IF(LEN('Translation-EN'!D1824)&gt;0,'Translation-EN'!D1824,"")</f>
        <v/>
      </c>
      <c r="E1824" s="893" t="s">
        <v>4169</v>
      </c>
      <c r="I1824" s="888"/>
      <c r="J1824" s="888"/>
      <c r="K1824" s="888"/>
      <c r="L1824" s="888"/>
      <c r="M1824" s="888"/>
      <c r="N1824" s="888"/>
      <c r="O1824" s="888"/>
      <c r="P1824" s="888"/>
      <c r="Q1824" s="888"/>
      <c r="R1824" s="888"/>
    </row>
    <row r="1825" spans="1:18" s="893" customFormat="1" x14ac:dyDescent="0.3">
      <c r="A1825" s="888" t="str">
        <f>IF(LEN('Translation-EN'!A1825)&gt;0,'Translation-EN'!A1825,"")</f>
        <v>Range</v>
      </c>
      <c r="B1825" s="888" t="str">
        <f>IF(LEN('Translation-EN'!B1825)&gt;0,'Translation-EN'!B1825,"")</f>
        <v>Master sheet</v>
      </c>
      <c r="C1825" s="888" t="str">
        <f>IF(LEN('Translation-EN'!C1825)&gt;0,'Translation-EN'!C1825,"")</f>
        <v>E109</v>
      </c>
      <c r="D1825" s="888" t="str">
        <f>IF(LEN('Translation-EN'!D1825)&gt;0,'Translation-EN'!D1825,"")</f>
        <v/>
      </c>
      <c r="E1825" s="893" t="str">
        <f>$E$1821</f>
        <v>3-1/2 po (90 mm) d’épaisseur</v>
      </c>
      <c r="I1825" s="888"/>
      <c r="J1825" s="888"/>
      <c r="K1825" s="888"/>
      <c r="L1825" s="888"/>
      <c r="M1825" s="888"/>
      <c r="N1825" s="888"/>
      <c r="O1825" s="888"/>
      <c r="P1825" s="888"/>
      <c r="Q1825" s="888"/>
      <c r="R1825" s="888"/>
    </row>
    <row r="1826" spans="1:18" s="893" customFormat="1" x14ac:dyDescent="0.3">
      <c r="A1826" s="888" t="str">
        <f>IF(LEN('Translation-EN'!A1826)&gt;0,'Translation-EN'!A1826,"")</f>
        <v>Range</v>
      </c>
      <c r="B1826" s="888" t="str">
        <f>IF(LEN('Translation-EN'!B1826)&gt;0,'Translation-EN'!B1826,"")</f>
        <v>Master sheet</v>
      </c>
      <c r="C1826" s="888" t="str">
        <f>IF(LEN('Translation-EN'!C1826)&gt;0,'Translation-EN'!C1826,"")</f>
        <v>B110</v>
      </c>
      <c r="D1826" s="888" t="str">
        <f>IF(LEN('Translation-EN'!D1826)&gt;0,'Translation-EN'!D1826,"")</f>
        <v/>
      </c>
      <c r="E1826" s="893" t="str">
        <f>$E$1818</f>
        <v>Bois lamellé-croisé (CLT)</v>
      </c>
      <c r="I1826" s="888"/>
      <c r="J1826" s="888"/>
      <c r="K1826" s="888"/>
      <c r="L1826" s="888"/>
      <c r="M1826" s="888"/>
      <c r="N1826" s="888"/>
      <c r="O1826" s="888"/>
      <c r="P1826" s="888"/>
      <c r="Q1826" s="888"/>
      <c r="R1826" s="888"/>
    </row>
    <row r="1827" spans="1:18" s="893" customFormat="1" x14ac:dyDescent="0.3">
      <c r="A1827" s="888" t="str">
        <f>IF(LEN('Translation-EN'!A1827)&gt;0,'Translation-EN'!A1827,"")</f>
        <v>Range</v>
      </c>
      <c r="B1827" s="888" t="str">
        <f>IF(LEN('Translation-EN'!B1827)&gt;0,'Translation-EN'!B1827,"")</f>
        <v>Master sheet</v>
      </c>
      <c r="C1827" s="888" t="str">
        <f>IF(LEN('Translation-EN'!C1827)&gt;0,'Translation-EN'!C1827,"")</f>
        <v>C110</v>
      </c>
      <c r="D1827" s="888" t="str">
        <f>IF(LEN('Translation-EN'!D1827)&gt;0,'Translation-EN'!D1827,"")</f>
        <v/>
      </c>
      <c r="E1827" s="893" t="s">
        <v>4171</v>
      </c>
      <c r="I1827" s="888"/>
      <c r="J1827" s="888"/>
      <c r="K1827" s="888"/>
      <c r="L1827" s="888"/>
      <c r="M1827" s="888"/>
      <c r="N1827" s="888"/>
      <c r="O1827" s="888"/>
      <c r="P1827" s="888"/>
      <c r="Q1827" s="888"/>
      <c r="R1827" s="888"/>
    </row>
    <row r="1828" spans="1:18" s="893" customFormat="1" x14ac:dyDescent="0.3">
      <c r="A1828" s="888" t="str">
        <f>IF(LEN('Translation-EN'!A1828)&gt;0,'Translation-EN'!A1828,"")</f>
        <v>Range</v>
      </c>
      <c r="B1828" s="888" t="str">
        <f>IF(LEN('Translation-EN'!B1828)&gt;0,'Translation-EN'!B1828,"")</f>
        <v>Master sheet</v>
      </c>
      <c r="C1828" s="888" t="str">
        <f>IF(LEN('Translation-EN'!C1828)&gt;0,'Translation-EN'!C1828,"")</f>
        <v>E110</v>
      </c>
      <c r="D1828" s="888" t="str">
        <f>IF(LEN('Translation-EN'!D1828)&gt;0,'Translation-EN'!D1828,"")</f>
        <v/>
      </c>
      <c r="E1828" s="893" t="str">
        <f>$E$1821</f>
        <v>3-1/2 po (90 mm) d’épaisseur</v>
      </c>
      <c r="I1828" s="888"/>
      <c r="J1828" s="888"/>
      <c r="K1828" s="888"/>
      <c r="L1828" s="888"/>
      <c r="M1828" s="888"/>
      <c r="N1828" s="888"/>
      <c r="O1828" s="888"/>
      <c r="P1828" s="888"/>
      <c r="Q1828" s="888"/>
      <c r="R1828" s="888"/>
    </row>
    <row r="1829" spans="1:18" s="893" customFormat="1" x14ac:dyDescent="0.3">
      <c r="A1829" s="888" t="str">
        <f>IF(LEN('Translation-EN'!A1829)&gt;0,'Translation-EN'!A1829,"")</f>
        <v>Range</v>
      </c>
      <c r="B1829" s="888" t="str">
        <f>IF(LEN('Translation-EN'!B1829)&gt;0,'Translation-EN'!B1829,"")</f>
        <v>Master sheet</v>
      </c>
      <c r="C1829" s="888" t="str">
        <f>IF(LEN('Translation-EN'!C1829)&gt;0,'Translation-EN'!C1829,"")</f>
        <v>B111</v>
      </c>
      <c r="D1829" s="888" t="str">
        <f>IF(LEN('Translation-EN'!D1829)&gt;0,'Translation-EN'!D1829,"")</f>
        <v/>
      </c>
      <c r="E1829" s="893" t="str">
        <f>$E$1818</f>
        <v>Bois lamellé-croisé (CLT)</v>
      </c>
      <c r="I1829" s="888"/>
      <c r="J1829" s="888"/>
      <c r="K1829" s="888"/>
      <c r="L1829" s="888"/>
      <c r="M1829" s="888"/>
      <c r="N1829" s="888"/>
      <c r="O1829" s="888"/>
      <c r="P1829" s="888"/>
      <c r="Q1829" s="888"/>
      <c r="R1829" s="888"/>
    </row>
    <row r="1830" spans="1:18" s="893" customFormat="1" x14ac:dyDescent="0.3">
      <c r="A1830" s="888" t="str">
        <f>IF(LEN('Translation-EN'!A1830)&gt;0,'Translation-EN'!A1830,"")</f>
        <v>Range</v>
      </c>
      <c r="B1830" s="888" t="str">
        <f>IF(LEN('Translation-EN'!B1830)&gt;0,'Translation-EN'!B1830,"")</f>
        <v>Master sheet</v>
      </c>
      <c r="C1830" s="888" t="str">
        <f>IF(LEN('Translation-EN'!C1830)&gt;0,'Translation-EN'!C1830,"")</f>
        <v>C111</v>
      </c>
      <c r="D1830" s="888" t="str">
        <f>IF(LEN('Translation-EN'!D1830)&gt;0,'Translation-EN'!D1830,"")</f>
        <v/>
      </c>
      <c r="E1830" s="893" t="str">
        <f>$E$1819</f>
        <v>Nordic</v>
      </c>
      <c r="I1830" s="888"/>
      <c r="J1830" s="888"/>
      <c r="K1830" s="888"/>
      <c r="L1830" s="888"/>
      <c r="M1830" s="888"/>
      <c r="N1830" s="888"/>
      <c r="O1830" s="888"/>
      <c r="P1830" s="888"/>
      <c r="Q1830" s="888"/>
      <c r="R1830" s="888"/>
    </row>
    <row r="1831" spans="1:18" s="893" customFormat="1" x14ac:dyDescent="0.3">
      <c r="A1831" s="888" t="str">
        <f>IF(LEN('Translation-EN'!A1831)&gt;0,'Translation-EN'!A1831,"")</f>
        <v>Range</v>
      </c>
      <c r="B1831" s="888" t="str">
        <f>IF(LEN('Translation-EN'!B1831)&gt;0,'Translation-EN'!B1831,"")</f>
        <v>Master sheet</v>
      </c>
      <c r="C1831" s="888" t="str">
        <f>IF(LEN('Translation-EN'!C1831)&gt;0,'Translation-EN'!C1831,"")</f>
        <v>D111</v>
      </c>
      <c r="D1831" s="888" t="str">
        <f>IF(LEN('Translation-EN'!D1831)&gt;0,'Translation-EN'!D1831,"")</f>
        <v/>
      </c>
      <c r="E1831" s="893" t="s">
        <v>4173</v>
      </c>
      <c r="I1831" s="888"/>
      <c r="J1831" s="888"/>
      <c r="K1831" s="888"/>
      <c r="L1831" s="888"/>
      <c r="M1831" s="888"/>
      <c r="N1831" s="888"/>
      <c r="O1831" s="888"/>
      <c r="P1831" s="888"/>
      <c r="Q1831" s="888"/>
      <c r="R1831" s="888"/>
    </row>
    <row r="1832" spans="1:18" s="893" customFormat="1" x14ac:dyDescent="0.3">
      <c r="A1832" s="888" t="str">
        <f>IF(LEN('Translation-EN'!A1832)&gt;0,'Translation-EN'!A1832,"")</f>
        <v>Range</v>
      </c>
      <c r="B1832" s="888" t="str">
        <f>IF(LEN('Translation-EN'!B1832)&gt;0,'Translation-EN'!B1832,"")</f>
        <v>Master sheet</v>
      </c>
      <c r="C1832" s="888" t="str">
        <f>IF(LEN('Translation-EN'!C1832)&gt;0,'Translation-EN'!C1832,"")</f>
        <v>E111</v>
      </c>
      <c r="D1832" s="888" t="str">
        <f>IF(LEN('Translation-EN'!D1832)&gt;0,'Translation-EN'!D1832,"")</f>
        <v/>
      </c>
      <c r="E1832" s="893" t="str">
        <f>$E$1821</f>
        <v>3-1/2 po (90 mm) d’épaisseur</v>
      </c>
      <c r="I1832" s="888"/>
      <c r="J1832" s="888"/>
      <c r="K1832" s="888"/>
      <c r="L1832" s="888"/>
      <c r="M1832" s="888"/>
      <c r="N1832" s="888"/>
      <c r="O1832" s="888"/>
      <c r="P1832" s="888"/>
      <c r="Q1832" s="888"/>
      <c r="R1832" s="888"/>
    </row>
    <row r="1833" spans="1:18" s="893" customFormat="1" x14ac:dyDescent="0.3">
      <c r="A1833" s="888" t="str">
        <f>IF(LEN('Translation-EN'!A1833)&gt;0,'Translation-EN'!A1833,"")</f>
        <v>Range</v>
      </c>
      <c r="B1833" s="888" t="str">
        <f>IF(LEN('Translation-EN'!B1833)&gt;0,'Translation-EN'!B1833,"")</f>
        <v>Master sheet</v>
      </c>
      <c r="C1833" s="888" t="str">
        <f>IF(LEN('Translation-EN'!C1833)&gt;0,'Translation-EN'!C1833,"")</f>
        <v>B112</v>
      </c>
      <c r="D1833" s="888" t="str">
        <f>IF(LEN('Translation-EN'!D1833)&gt;0,'Translation-EN'!D1833,"")</f>
        <v/>
      </c>
      <c r="E1833" s="893" t="str">
        <f>$E$1818</f>
        <v>Bois lamellé-croisé (CLT)</v>
      </c>
      <c r="I1833" s="888"/>
      <c r="J1833" s="888"/>
      <c r="K1833" s="888"/>
      <c r="L1833" s="888"/>
      <c r="M1833" s="888"/>
      <c r="N1833" s="888"/>
      <c r="O1833" s="888"/>
      <c r="P1833" s="888"/>
      <c r="Q1833" s="888"/>
      <c r="R1833" s="888"/>
    </row>
    <row r="1834" spans="1:18" s="893" customFormat="1" x14ac:dyDescent="0.3">
      <c r="A1834" s="888" t="str">
        <f>IF(LEN('Translation-EN'!A1834)&gt;0,'Translation-EN'!A1834,"")</f>
        <v>Range</v>
      </c>
      <c r="B1834" s="888" t="str">
        <f>IF(LEN('Translation-EN'!B1834)&gt;0,'Translation-EN'!B1834,"")</f>
        <v>Master sheet</v>
      </c>
      <c r="C1834" s="888" t="str">
        <f>IF(LEN('Translation-EN'!C1834)&gt;0,'Translation-EN'!C1834,"")</f>
        <v>C112</v>
      </c>
      <c r="D1834" s="888" t="str">
        <f>IF(LEN('Translation-EN'!D1834)&gt;0,'Translation-EN'!D1834,"")</f>
        <v/>
      </c>
      <c r="E1834" s="893" t="s">
        <v>4175</v>
      </c>
      <c r="I1834" s="888"/>
      <c r="J1834" s="888"/>
      <c r="K1834" s="888"/>
      <c r="L1834" s="888"/>
      <c r="M1834" s="888"/>
      <c r="N1834" s="888"/>
      <c r="O1834" s="888"/>
      <c r="P1834" s="888"/>
      <c r="Q1834" s="888"/>
      <c r="R1834" s="888"/>
    </row>
    <row r="1835" spans="1:18" s="893" customFormat="1" x14ac:dyDescent="0.3">
      <c r="A1835" s="888" t="str">
        <f>IF(LEN('Translation-EN'!A1835)&gt;0,'Translation-EN'!A1835,"")</f>
        <v>Range</v>
      </c>
      <c r="B1835" s="888" t="str">
        <f>IF(LEN('Translation-EN'!B1835)&gt;0,'Translation-EN'!B1835,"")</f>
        <v>Master sheet</v>
      </c>
      <c r="C1835" s="888" t="str">
        <f>IF(LEN('Translation-EN'!C1835)&gt;0,'Translation-EN'!C1835,"")</f>
        <v>D112</v>
      </c>
      <c r="D1835" s="888" t="str">
        <f>IF(LEN('Translation-EN'!D1835)&gt;0,'Translation-EN'!D1835,"")</f>
        <v/>
      </c>
      <c r="E1835" s="893" t="str">
        <f>$E$1824</f>
        <v>Crosslam CLT</v>
      </c>
      <c r="I1835" s="888"/>
      <c r="J1835" s="888"/>
      <c r="K1835" s="888"/>
      <c r="L1835" s="888"/>
      <c r="M1835" s="888"/>
      <c r="N1835" s="888"/>
      <c r="O1835" s="888"/>
      <c r="P1835" s="888"/>
      <c r="Q1835" s="888"/>
      <c r="R1835" s="888"/>
    </row>
    <row r="1836" spans="1:18" s="893" customFormat="1" x14ac:dyDescent="0.3">
      <c r="A1836" s="888" t="str">
        <f>IF(LEN('Translation-EN'!A1836)&gt;0,'Translation-EN'!A1836,"")</f>
        <v>Range</v>
      </c>
      <c r="B1836" s="888" t="str">
        <f>IF(LEN('Translation-EN'!B1836)&gt;0,'Translation-EN'!B1836,"")</f>
        <v>Master sheet</v>
      </c>
      <c r="C1836" s="888" t="str">
        <f>IF(LEN('Translation-EN'!C1836)&gt;0,'Translation-EN'!C1836,"")</f>
        <v>E112</v>
      </c>
      <c r="D1836" s="888" t="str">
        <f>IF(LEN('Translation-EN'!D1836)&gt;0,'Translation-EN'!D1836,"")</f>
        <v/>
      </c>
      <c r="E1836" s="893" t="str">
        <f>$E$1821</f>
        <v>3-1/2 po (90 mm) d’épaisseur</v>
      </c>
      <c r="I1836" s="888"/>
      <c r="J1836" s="888"/>
      <c r="K1836" s="888"/>
      <c r="L1836" s="888"/>
      <c r="M1836" s="888"/>
      <c r="N1836" s="888"/>
      <c r="O1836" s="888"/>
      <c r="P1836" s="888"/>
      <c r="Q1836" s="888"/>
      <c r="R1836" s="888"/>
    </row>
    <row r="1837" spans="1:18" s="893" customFormat="1" x14ac:dyDescent="0.3">
      <c r="A1837" s="888" t="str">
        <f>IF(LEN('Translation-EN'!A1837)&gt;0,'Translation-EN'!A1837,"")</f>
        <v>Range</v>
      </c>
      <c r="B1837" s="888" t="str">
        <f>IF(LEN('Translation-EN'!B1837)&gt;0,'Translation-EN'!B1837,"")</f>
        <v>Master sheet</v>
      </c>
      <c r="C1837" s="888" t="str">
        <f>IF(LEN('Translation-EN'!C1837)&gt;0,'Translation-EN'!C1837,"")</f>
        <v>B113</v>
      </c>
      <c r="D1837" s="888" t="str">
        <f>IF(LEN('Translation-EN'!D1837)&gt;0,'Translation-EN'!D1837,"")</f>
        <v/>
      </c>
      <c r="E1837" s="893" t="str">
        <f>$E$1818</f>
        <v>Bois lamellé-croisé (CLT)</v>
      </c>
      <c r="I1837" s="888"/>
      <c r="J1837" s="888"/>
      <c r="K1837" s="888"/>
      <c r="L1837" s="888"/>
      <c r="M1837" s="888"/>
      <c r="N1837" s="888"/>
      <c r="O1837" s="888"/>
      <c r="P1837" s="888"/>
      <c r="Q1837" s="888"/>
      <c r="R1837" s="888"/>
    </row>
    <row r="1838" spans="1:18" s="893" customFormat="1" x14ac:dyDescent="0.3">
      <c r="A1838" s="888" t="str">
        <f>IF(LEN('Translation-EN'!A1838)&gt;0,'Translation-EN'!A1838,"")</f>
        <v>Range</v>
      </c>
      <c r="B1838" s="888" t="str">
        <f>IF(LEN('Translation-EN'!B1838)&gt;0,'Translation-EN'!B1838,"")</f>
        <v>Master sheet</v>
      </c>
      <c r="C1838" s="888" t="str">
        <f>IF(LEN('Translation-EN'!C1838)&gt;0,'Translation-EN'!C1838,"")</f>
        <v>C113</v>
      </c>
      <c r="D1838" s="888" t="str">
        <f>IF(LEN('Translation-EN'!D1838)&gt;0,'Translation-EN'!D1838,"")</f>
        <v/>
      </c>
      <c r="E1838" s="893" t="s">
        <v>317</v>
      </c>
      <c r="I1838" s="888"/>
      <c r="J1838" s="888"/>
      <c r="K1838" s="888"/>
      <c r="L1838" s="888"/>
      <c r="M1838" s="888"/>
      <c r="N1838" s="888"/>
      <c r="O1838" s="888"/>
      <c r="P1838" s="888"/>
      <c r="Q1838" s="888"/>
      <c r="R1838" s="888"/>
    </row>
    <row r="1839" spans="1:18" s="893" customFormat="1" x14ac:dyDescent="0.3">
      <c r="A1839" s="888" t="str">
        <f>IF(LEN('Translation-EN'!A1839)&gt;0,'Translation-EN'!A1839,"")</f>
        <v>Range</v>
      </c>
      <c r="B1839" s="888" t="str">
        <f>IF(LEN('Translation-EN'!B1839)&gt;0,'Translation-EN'!B1839,"")</f>
        <v>Master sheet</v>
      </c>
      <c r="C1839" s="888" t="str">
        <f>IF(LEN('Translation-EN'!C1839)&gt;0,'Translation-EN'!C1839,"")</f>
        <v>D113</v>
      </c>
      <c r="D1839" s="888" t="str">
        <f>IF(LEN('Translation-EN'!D1839)&gt;0,'Translation-EN'!D1839,"")</f>
        <v/>
      </c>
      <c r="E1839" s="893" t="s">
        <v>318</v>
      </c>
      <c r="I1839" s="888"/>
      <c r="J1839" s="888"/>
      <c r="K1839" s="888"/>
      <c r="L1839" s="888"/>
      <c r="M1839" s="888"/>
      <c r="N1839" s="888"/>
      <c r="O1839" s="888"/>
      <c r="P1839" s="888"/>
      <c r="Q1839" s="888"/>
      <c r="R1839" s="888"/>
    </row>
    <row r="1840" spans="1:18" s="893" customFormat="1" x14ac:dyDescent="0.3">
      <c r="A1840" s="888" t="str">
        <f>IF(LEN('Translation-EN'!A1840)&gt;0,'Translation-EN'!A1840,"")</f>
        <v>Range</v>
      </c>
      <c r="B1840" s="888" t="str">
        <f>IF(LEN('Translation-EN'!B1840)&gt;0,'Translation-EN'!B1840,"")</f>
        <v>Master sheet</v>
      </c>
      <c r="C1840" s="888" t="str">
        <f>IF(LEN('Translation-EN'!C1840)&gt;0,'Translation-EN'!C1840,"")</f>
        <v>E113</v>
      </c>
      <c r="D1840" s="888" t="str">
        <f>IF(LEN('Translation-EN'!D1840)&gt;0,'Translation-EN'!D1840,"")</f>
        <v/>
      </c>
      <c r="E1840" s="893" t="str">
        <f>$E$1821</f>
        <v>3-1/2 po (90 mm) d’épaisseur</v>
      </c>
      <c r="I1840" s="888"/>
      <c r="J1840" s="888"/>
      <c r="K1840" s="888"/>
      <c r="L1840" s="888"/>
      <c r="M1840" s="888"/>
      <c r="N1840" s="888"/>
      <c r="O1840" s="888"/>
      <c r="P1840" s="888"/>
      <c r="Q1840" s="888"/>
      <c r="R1840" s="888"/>
    </row>
    <row r="1841" spans="1:18" s="893" customFormat="1" x14ac:dyDescent="0.3">
      <c r="A1841" s="888" t="str">
        <f>IF(LEN('Translation-EN'!A1841)&gt;0,'Translation-EN'!A1841,"")</f>
        <v>Range</v>
      </c>
      <c r="B1841" s="888" t="str">
        <f>IF(LEN('Translation-EN'!B1841)&gt;0,'Translation-EN'!B1841,"")</f>
        <v>Master sheet</v>
      </c>
      <c r="C1841" s="888" t="str">
        <f>IF(LEN('Translation-EN'!C1841)&gt;0,'Translation-EN'!C1841,"")</f>
        <v>B114</v>
      </c>
      <c r="D1841" s="888" t="str">
        <f>IF(LEN('Translation-EN'!D1841)&gt;0,'Translation-EN'!D1841,"")</f>
        <v/>
      </c>
      <c r="E1841" s="893" t="s">
        <v>320</v>
      </c>
      <c r="I1841" s="888"/>
      <c r="J1841" s="888"/>
      <c r="K1841" s="888"/>
      <c r="L1841" s="888"/>
      <c r="M1841" s="888"/>
      <c r="N1841" s="888"/>
      <c r="O1841" s="888"/>
      <c r="P1841" s="888"/>
      <c r="Q1841" s="888"/>
      <c r="R1841" s="888"/>
    </row>
    <row r="1842" spans="1:18" s="893" customFormat="1" x14ac:dyDescent="0.3">
      <c r="A1842" s="888" t="str">
        <f>IF(LEN('Translation-EN'!A1842)&gt;0,'Translation-EN'!A1842,"")</f>
        <v>Range</v>
      </c>
      <c r="B1842" s="888" t="str">
        <f>IF(LEN('Translation-EN'!B1842)&gt;0,'Translation-EN'!B1842,"")</f>
        <v>Master sheet</v>
      </c>
      <c r="C1842" s="888" t="str">
        <f>IF(LEN('Translation-EN'!C1842)&gt;0,'Translation-EN'!C1842,"")</f>
        <v>C114</v>
      </c>
      <c r="D1842" s="888" t="str">
        <f>IF(LEN('Translation-EN'!D1842)&gt;0,'Translation-EN'!D1842,"")</f>
        <v/>
      </c>
      <c r="E1842" s="893" t="s">
        <v>321</v>
      </c>
      <c r="I1842" s="888"/>
      <c r="J1842" s="888"/>
      <c r="K1842" s="888"/>
      <c r="L1842" s="888"/>
      <c r="M1842" s="888"/>
      <c r="N1842" s="888"/>
      <c r="O1842" s="888"/>
      <c r="P1842" s="888"/>
      <c r="Q1842" s="888"/>
      <c r="R1842" s="888"/>
    </row>
    <row r="1843" spans="1:18" s="893" customFormat="1" x14ac:dyDescent="0.3">
      <c r="A1843" s="888" t="str">
        <f>IF(LEN('Translation-EN'!A1843)&gt;0,'Translation-EN'!A1843,"")</f>
        <v>Range</v>
      </c>
      <c r="B1843" s="888" t="str">
        <f>IF(LEN('Translation-EN'!B1843)&gt;0,'Translation-EN'!B1843,"")</f>
        <v>Master sheet</v>
      </c>
      <c r="C1843" s="888" t="str">
        <f>IF(LEN('Translation-EN'!C1843)&gt;0,'Translation-EN'!C1843,"")</f>
        <v>D114</v>
      </c>
      <c r="D1843" s="888" t="str">
        <f>IF(LEN('Translation-EN'!D1843)&gt;0,'Translation-EN'!D1843,"")</f>
        <v/>
      </c>
      <c r="E1843" s="893" t="s">
        <v>322</v>
      </c>
      <c r="I1843" s="888"/>
      <c r="J1843" s="888"/>
      <c r="K1843" s="888"/>
      <c r="L1843" s="888"/>
      <c r="M1843" s="888"/>
      <c r="N1843" s="888"/>
      <c r="O1843" s="888"/>
      <c r="P1843" s="888"/>
      <c r="Q1843" s="888"/>
      <c r="R1843" s="888"/>
    </row>
    <row r="1844" spans="1:18" s="893" customFormat="1" x14ac:dyDescent="0.3">
      <c r="A1844" s="888" t="str">
        <f>IF(LEN('Translation-EN'!A1844)&gt;0,'Translation-EN'!A1844,"")</f>
        <v>Range</v>
      </c>
      <c r="B1844" s="888" t="str">
        <f>IF(LEN('Translation-EN'!B1844)&gt;0,'Translation-EN'!B1844,"")</f>
        <v>Master sheet</v>
      </c>
      <c r="C1844" s="888" t="str">
        <f>IF(LEN('Translation-EN'!C1844)&gt;0,'Translation-EN'!C1844,"")</f>
        <v>E114</v>
      </c>
      <c r="D1844" s="888" t="str">
        <f>IF(LEN('Translation-EN'!D1844)&gt;0,'Translation-EN'!D1844,"")</f>
        <v/>
      </c>
      <c r="E1844" s="893" t="str">
        <f>$E$1821</f>
        <v>3-1/2 po (90 mm) d’épaisseur</v>
      </c>
      <c r="I1844" s="888"/>
      <c r="J1844" s="888"/>
      <c r="K1844" s="888"/>
      <c r="L1844" s="888"/>
      <c r="M1844" s="888"/>
      <c r="N1844" s="888"/>
      <c r="O1844" s="888"/>
      <c r="P1844" s="888"/>
      <c r="Q1844" s="888"/>
      <c r="R1844" s="888"/>
    </row>
    <row r="1845" spans="1:18" s="893" customFormat="1" x14ac:dyDescent="0.3">
      <c r="A1845" s="888" t="str">
        <f>IF(LEN('Translation-EN'!A1845)&gt;0,'Translation-EN'!A1845,"")</f>
        <v>Range</v>
      </c>
      <c r="B1845" s="888" t="str">
        <f>IF(LEN('Translation-EN'!B1845)&gt;0,'Translation-EN'!B1845,"")</f>
        <v>Master sheet</v>
      </c>
      <c r="C1845" s="888" t="str">
        <f>IF(LEN('Translation-EN'!C1845)&gt;0,'Translation-EN'!C1845,"")</f>
        <v>B118</v>
      </c>
      <c r="D1845" s="888" t="str">
        <f>IF(LEN('Translation-EN'!D1845)&gt;0,'Translation-EN'!D1845,"")</f>
        <v/>
      </c>
      <c r="E1845" s="893" t="s">
        <v>6257</v>
      </c>
      <c r="I1845" s="888"/>
      <c r="J1845" s="888"/>
      <c r="K1845" s="888"/>
      <c r="L1845" s="888"/>
      <c r="M1845" s="888"/>
      <c r="N1845" s="888"/>
      <c r="O1845" s="888"/>
      <c r="P1845" s="888"/>
      <c r="Q1845" s="888"/>
      <c r="R1845" s="888"/>
    </row>
    <row r="1846" spans="1:18" s="893" customFormat="1" x14ac:dyDescent="0.3">
      <c r="A1846" s="888" t="str">
        <f>IF(LEN('Translation-EN'!A1846)&gt;0,'Translation-EN'!A1846,"")</f>
        <v>Range</v>
      </c>
      <c r="B1846" s="888" t="str">
        <f>IF(LEN('Translation-EN'!B1846)&gt;0,'Translation-EN'!B1846,"")</f>
        <v>Master sheet</v>
      </c>
      <c r="C1846" s="888" t="str">
        <f>IF(LEN('Translation-EN'!C1846)&gt;0,'Translation-EN'!C1846,"")</f>
        <v>C118</v>
      </c>
      <c r="D1846" s="888" t="str">
        <f>IF(LEN('Translation-EN'!D1846)&gt;0,'Translation-EN'!D1846,"")</f>
        <v/>
      </c>
      <c r="E1846" s="893" t="s">
        <v>332</v>
      </c>
      <c r="I1846" s="888"/>
      <c r="J1846" s="888"/>
      <c r="K1846" s="888"/>
      <c r="L1846" s="888"/>
      <c r="M1846" s="888"/>
      <c r="N1846" s="888"/>
      <c r="O1846" s="888"/>
      <c r="P1846" s="888"/>
      <c r="Q1846" s="888"/>
      <c r="R1846" s="888"/>
    </row>
    <row r="1847" spans="1:18" s="893" customFormat="1" x14ac:dyDescent="0.3">
      <c r="A1847" s="888" t="str">
        <f>IF(LEN('Translation-EN'!A1847)&gt;0,'Translation-EN'!A1847,"")</f>
        <v>Range</v>
      </c>
      <c r="B1847" s="888" t="str">
        <f>IF(LEN('Translation-EN'!B1847)&gt;0,'Translation-EN'!B1847,"")</f>
        <v>Master sheet</v>
      </c>
      <c r="C1847" s="888" t="str">
        <f>IF(LEN('Translation-EN'!C1847)&gt;0,'Translation-EN'!C1847,"")</f>
        <v>D118</v>
      </c>
      <c r="D1847" s="888" t="str">
        <f>IF(LEN('Translation-EN'!D1847)&gt;0,'Translation-EN'!D1847,"")</f>
        <v/>
      </c>
      <c r="E1847" s="893" t="s">
        <v>333</v>
      </c>
      <c r="I1847" s="888"/>
      <c r="J1847" s="888"/>
      <c r="K1847" s="888"/>
      <c r="L1847" s="888"/>
      <c r="M1847" s="888"/>
      <c r="N1847" s="888"/>
      <c r="O1847" s="888"/>
      <c r="P1847" s="888"/>
      <c r="Q1847" s="888"/>
      <c r="R1847" s="888"/>
    </row>
    <row r="1848" spans="1:18" s="893" customFormat="1" x14ac:dyDescent="0.3">
      <c r="A1848" s="888" t="str">
        <f>IF(LEN('Translation-EN'!A1848)&gt;0,'Translation-EN'!A1848,"")</f>
        <v>Range</v>
      </c>
      <c r="B1848" s="888" t="str">
        <f>IF(LEN('Translation-EN'!B1848)&gt;0,'Translation-EN'!B1848,"")</f>
        <v>Master sheet</v>
      </c>
      <c r="C1848" s="888" t="str">
        <f>IF(LEN('Translation-EN'!C1848)&gt;0,'Translation-EN'!C1848,"")</f>
        <v>E118</v>
      </c>
      <c r="D1848" s="888" t="str">
        <f>IF(LEN('Translation-EN'!D1848)&gt;0,'Translation-EN'!D1848,"")</f>
        <v/>
      </c>
      <c r="E1848" s="893" t="s">
        <v>6258</v>
      </c>
      <c r="I1848" s="888"/>
      <c r="J1848" s="888"/>
      <c r="K1848" s="888"/>
      <c r="L1848" s="888"/>
      <c r="M1848" s="888"/>
      <c r="N1848" s="888"/>
      <c r="O1848" s="888"/>
      <c r="P1848" s="888"/>
      <c r="Q1848" s="888"/>
      <c r="R1848" s="888"/>
    </row>
    <row r="1849" spans="1:18" s="893" customFormat="1" x14ac:dyDescent="0.3">
      <c r="A1849" s="888" t="str">
        <f>IF(LEN('Translation-EN'!A1849)&gt;0,'Translation-EN'!A1849,"")</f>
        <v>Range</v>
      </c>
      <c r="B1849" s="888" t="str">
        <f>IF(LEN('Translation-EN'!B1849)&gt;0,'Translation-EN'!B1849,"")</f>
        <v>Master sheet</v>
      </c>
      <c r="C1849" s="888" t="str">
        <f>IF(LEN('Translation-EN'!C1849)&gt;0,'Translation-EN'!C1849,"")</f>
        <v>B119</v>
      </c>
      <c r="D1849" s="888" t="str">
        <f>IF(LEN('Translation-EN'!D1849)&gt;0,'Translation-EN'!D1849,"")</f>
        <v/>
      </c>
      <c r="E1849" s="893" t="s">
        <v>6259</v>
      </c>
      <c r="I1849" s="888"/>
      <c r="J1849" s="888"/>
      <c r="K1849" s="888"/>
      <c r="L1849" s="888"/>
      <c r="M1849" s="888"/>
      <c r="N1849" s="888"/>
      <c r="O1849" s="888"/>
      <c r="P1849" s="888"/>
      <c r="Q1849" s="888"/>
      <c r="R1849" s="888"/>
    </row>
    <row r="1850" spans="1:18" s="893" customFormat="1" x14ac:dyDescent="0.3">
      <c r="A1850" s="888" t="str">
        <f>IF(LEN('Translation-EN'!A1850)&gt;0,'Translation-EN'!A1850,"")</f>
        <v>Range</v>
      </c>
      <c r="B1850" s="888" t="str">
        <f>IF(LEN('Translation-EN'!B1850)&gt;0,'Translation-EN'!B1850,"")</f>
        <v>Master sheet</v>
      </c>
      <c r="C1850" s="888" t="str">
        <f>IF(LEN('Translation-EN'!C1850)&gt;0,'Translation-EN'!C1850,"")</f>
        <v>D119</v>
      </c>
      <c r="D1850" s="888" t="str">
        <f>IF(LEN('Translation-EN'!D1850)&gt;0,'Translation-EN'!D1850,"")</f>
        <v/>
      </c>
      <c r="E1850" s="893" t="s">
        <v>6260</v>
      </c>
      <c r="I1850" s="888"/>
      <c r="J1850" s="888"/>
      <c r="K1850" s="888"/>
      <c r="L1850" s="888"/>
      <c r="M1850" s="888"/>
      <c r="N1850" s="888"/>
      <c r="O1850" s="888"/>
      <c r="P1850" s="888"/>
      <c r="Q1850" s="888"/>
      <c r="R1850" s="888"/>
    </row>
    <row r="1851" spans="1:18" s="893" customFormat="1" x14ac:dyDescent="0.3">
      <c r="A1851" s="888" t="str">
        <f>IF(LEN('Translation-EN'!A1851)&gt;0,'Translation-EN'!A1851,"")</f>
        <v>Range</v>
      </c>
      <c r="B1851" s="888" t="str">
        <f>IF(LEN('Translation-EN'!B1851)&gt;0,'Translation-EN'!B1851,"")</f>
        <v>Master sheet</v>
      </c>
      <c r="C1851" s="888" t="str">
        <f>IF(LEN('Translation-EN'!C1851)&gt;0,'Translation-EN'!C1851,"")</f>
        <v>B121</v>
      </c>
      <c r="D1851" s="888" t="str">
        <f>IF(LEN('Translation-EN'!D1851)&gt;0,'Translation-EN'!D1851,"")</f>
        <v/>
      </c>
      <c r="E1851" s="893" t="str">
        <f>$E$1849</f>
        <v>Cloisons sèches 5/8 po</v>
      </c>
      <c r="I1851" s="888"/>
      <c r="J1851" s="888"/>
      <c r="K1851" s="888"/>
      <c r="L1851" s="888"/>
      <c r="M1851" s="888"/>
      <c r="N1851" s="888"/>
      <c r="O1851" s="888"/>
      <c r="P1851" s="888"/>
      <c r="Q1851" s="888"/>
      <c r="R1851" s="888"/>
    </row>
    <row r="1852" spans="1:18" s="893" customFormat="1" x14ac:dyDescent="0.3">
      <c r="A1852" s="888" t="str">
        <f>IF(LEN('Translation-EN'!A1852)&gt;0,'Translation-EN'!A1852,"")</f>
        <v>Range</v>
      </c>
      <c r="B1852" s="888" t="str">
        <f>IF(LEN('Translation-EN'!B1852)&gt;0,'Translation-EN'!B1852,"")</f>
        <v>Master sheet</v>
      </c>
      <c r="C1852" s="888" t="str">
        <f>IF(LEN('Translation-EN'!C1852)&gt;0,'Translation-EN'!C1852,"")</f>
        <v>C121</v>
      </c>
      <c r="D1852" s="888" t="str">
        <f>IF(LEN('Translation-EN'!D1852)&gt;0,'Translation-EN'!D1852,"")</f>
        <v/>
      </c>
      <c r="E1852" s="893" t="str">
        <f>$E$1672</f>
        <v>USG</v>
      </c>
      <c r="I1852" s="888"/>
      <c r="J1852" s="888"/>
      <c r="K1852" s="888"/>
      <c r="L1852" s="888"/>
      <c r="M1852" s="888"/>
      <c r="N1852" s="888"/>
      <c r="O1852" s="888"/>
      <c r="P1852" s="888"/>
      <c r="Q1852" s="888"/>
      <c r="R1852" s="888"/>
    </row>
    <row r="1853" spans="1:18" s="893" customFormat="1" x14ac:dyDescent="0.3">
      <c r="A1853" s="888" t="str">
        <f>IF(LEN('Translation-EN'!A1853)&gt;0,'Translation-EN'!A1853,"")</f>
        <v>Range</v>
      </c>
      <c r="B1853" s="888" t="str">
        <f>IF(LEN('Translation-EN'!B1853)&gt;0,'Translation-EN'!B1853,"")</f>
        <v>Master sheet</v>
      </c>
      <c r="C1853" s="888" t="str">
        <f>IF(LEN('Translation-EN'!C1853)&gt;0,'Translation-EN'!C1853,"")</f>
        <v>D121</v>
      </c>
      <c r="D1853" s="888" t="str">
        <f>IF(LEN('Translation-EN'!D1853)&gt;0,'Translation-EN'!D1853,"")</f>
        <v/>
      </c>
      <c r="E1853" s="893" t="s">
        <v>6261</v>
      </c>
      <c r="I1853" s="888"/>
      <c r="J1853" s="888"/>
      <c r="K1853" s="888"/>
      <c r="L1853" s="888"/>
      <c r="M1853" s="888"/>
      <c r="N1853" s="888"/>
      <c r="O1853" s="888"/>
      <c r="P1853" s="888"/>
      <c r="Q1853" s="888"/>
      <c r="R1853" s="888"/>
    </row>
    <row r="1854" spans="1:18" s="893" customFormat="1" x14ac:dyDescent="0.3">
      <c r="A1854" s="888" t="str">
        <f>IF(LEN('Translation-EN'!A1854)&gt;0,'Translation-EN'!A1854,"")</f>
        <v>Range</v>
      </c>
      <c r="B1854" s="888" t="str">
        <f>IF(LEN('Translation-EN'!B1854)&gt;0,'Translation-EN'!B1854,"")</f>
        <v>Master sheet</v>
      </c>
      <c r="C1854" s="888" t="str">
        <f>IF(LEN('Translation-EN'!C1854)&gt;0,'Translation-EN'!C1854,"")</f>
        <v>E121</v>
      </c>
      <c r="D1854" s="888" t="str">
        <f>IF(LEN('Translation-EN'!D1854)&gt;0,'Translation-EN'!D1854,"")</f>
        <v/>
      </c>
      <c r="E1854" s="893" t="s">
        <v>3633</v>
      </c>
      <c r="I1854" s="888"/>
      <c r="J1854" s="888"/>
      <c r="K1854" s="888"/>
      <c r="L1854" s="888"/>
      <c r="M1854" s="888"/>
      <c r="N1854" s="888"/>
      <c r="O1854" s="888"/>
      <c r="P1854" s="888"/>
      <c r="Q1854" s="888"/>
      <c r="R1854" s="888"/>
    </row>
    <row r="1855" spans="1:18" s="893" customFormat="1" x14ac:dyDescent="0.3">
      <c r="A1855" s="888" t="str">
        <f>IF(LEN('Translation-EN'!A1855)&gt;0,'Translation-EN'!A1855,"")</f>
        <v>Range</v>
      </c>
      <c r="B1855" s="888" t="str">
        <f>IF(LEN('Translation-EN'!B1855)&gt;0,'Translation-EN'!B1855,"")</f>
        <v>Master sheet</v>
      </c>
      <c r="C1855" s="888" t="str">
        <f>IF(LEN('Translation-EN'!C1855)&gt;0,'Translation-EN'!C1855,"")</f>
        <v>B122</v>
      </c>
      <c r="D1855" s="888" t="str">
        <f>IF(LEN('Translation-EN'!D1855)&gt;0,'Translation-EN'!D1855,"")</f>
        <v/>
      </c>
      <c r="E1855" s="893" t="s">
        <v>6262</v>
      </c>
      <c r="I1855" s="888"/>
      <c r="J1855" s="888"/>
      <c r="K1855" s="888"/>
      <c r="L1855" s="888"/>
      <c r="M1855" s="888"/>
      <c r="N1855" s="888"/>
      <c r="O1855" s="888"/>
      <c r="P1855" s="888"/>
      <c r="Q1855" s="888"/>
      <c r="R1855" s="888"/>
    </row>
    <row r="1856" spans="1:18" s="893" customFormat="1" x14ac:dyDescent="0.3">
      <c r="A1856" s="888" t="str">
        <f>IF(LEN('Translation-EN'!A1856)&gt;0,'Translation-EN'!A1856,"")</f>
        <v>Range</v>
      </c>
      <c r="B1856" s="888" t="str">
        <f>IF(LEN('Translation-EN'!B1856)&gt;0,'Translation-EN'!B1856,"")</f>
        <v>Master sheet</v>
      </c>
      <c r="C1856" s="888" t="str">
        <f>IF(LEN('Translation-EN'!C1856)&gt;0,'Translation-EN'!C1856,"")</f>
        <v>C122</v>
      </c>
      <c r="D1856" s="888" t="str">
        <f>IF(LEN('Translation-EN'!D1856)&gt;0,'Translation-EN'!D1856,"")</f>
        <v/>
      </c>
      <c r="E1856" s="893" t="s">
        <v>3264</v>
      </c>
      <c r="I1856" s="888"/>
      <c r="J1856" s="888"/>
      <c r="K1856" s="888"/>
      <c r="L1856" s="888"/>
      <c r="M1856" s="888"/>
      <c r="N1856" s="888"/>
      <c r="O1856" s="888"/>
      <c r="P1856" s="888"/>
      <c r="Q1856" s="888"/>
      <c r="R1856" s="888"/>
    </row>
    <row r="1857" spans="1:18" s="893" customFormat="1" x14ac:dyDescent="0.3">
      <c r="A1857" s="888" t="str">
        <f>IF(LEN('Translation-EN'!A1857)&gt;0,'Translation-EN'!A1857,"")</f>
        <v>Range</v>
      </c>
      <c r="B1857" s="888" t="str">
        <f>IF(LEN('Translation-EN'!B1857)&gt;0,'Translation-EN'!B1857,"")</f>
        <v>Master sheet</v>
      </c>
      <c r="C1857" s="888" t="str">
        <f>IF(LEN('Translation-EN'!C1857)&gt;0,'Translation-EN'!C1857,"")</f>
        <v>B125</v>
      </c>
      <c r="D1857" s="888" t="str">
        <f>IF(LEN('Translation-EN'!D1857)&gt;0,'Translation-EN'!D1857,"")</f>
        <v/>
      </c>
      <c r="E1857" s="893" t="s">
        <v>6263</v>
      </c>
      <c r="I1857" s="888"/>
      <c r="J1857" s="888"/>
      <c r="K1857" s="888"/>
      <c r="L1857" s="888"/>
      <c r="M1857" s="888"/>
      <c r="N1857" s="888"/>
      <c r="O1857" s="888"/>
      <c r="P1857" s="888"/>
      <c r="Q1857" s="888"/>
      <c r="R1857" s="888"/>
    </row>
    <row r="1858" spans="1:18" s="893" customFormat="1" x14ac:dyDescent="0.3">
      <c r="A1858" s="888" t="str">
        <f>IF(LEN('Translation-EN'!A1858)&gt;0,'Translation-EN'!A1858,"")</f>
        <v>Range</v>
      </c>
      <c r="B1858" s="888" t="str">
        <f>IF(LEN('Translation-EN'!B1858)&gt;0,'Translation-EN'!B1858,"")</f>
        <v>Master sheet</v>
      </c>
      <c r="C1858" s="888" t="str">
        <f>IF(LEN('Translation-EN'!C1858)&gt;0,'Translation-EN'!C1858,"")</f>
        <v>C125</v>
      </c>
      <c r="D1858" s="888" t="str">
        <f>IF(LEN('Translation-EN'!D1858)&gt;0,'Translation-EN'!D1858,"")</f>
        <v/>
      </c>
      <c r="E1858" s="893" t="s">
        <v>345</v>
      </c>
      <c r="I1858" s="888"/>
      <c r="J1858" s="888"/>
      <c r="K1858" s="888"/>
      <c r="L1858" s="888"/>
      <c r="M1858" s="888"/>
      <c r="N1858" s="888"/>
      <c r="O1858" s="888"/>
      <c r="P1858" s="888"/>
      <c r="Q1858" s="888"/>
      <c r="R1858" s="888"/>
    </row>
    <row r="1859" spans="1:18" s="893" customFormat="1" x14ac:dyDescent="0.3">
      <c r="A1859" s="888" t="str">
        <f>IF(LEN('Translation-EN'!A1859)&gt;0,'Translation-EN'!A1859,"")</f>
        <v>Range</v>
      </c>
      <c r="B1859" s="888" t="str">
        <f>IF(LEN('Translation-EN'!B1859)&gt;0,'Translation-EN'!B1859,"")</f>
        <v>Master sheet</v>
      </c>
      <c r="C1859" s="888" t="str">
        <f>IF(LEN('Translation-EN'!C1859)&gt;0,'Translation-EN'!C1859,"")</f>
        <v>E125</v>
      </c>
      <c r="D1859" s="888" t="str">
        <f>IF(LEN('Translation-EN'!D1859)&gt;0,'Translation-EN'!D1859,"")</f>
        <v/>
      </c>
      <c r="E1859" s="893" t="s">
        <v>6264</v>
      </c>
      <c r="I1859" s="888"/>
      <c r="J1859" s="888"/>
      <c r="K1859" s="888"/>
      <c r="L1859" s="888"/>
      <c r="M1859" s="888"/>
      <c r="N1859" s="888"/>
      <c r="O1859" s="888"/>
      <c r="P1859" s="888"/>
      <c r="Q1859" s="888"/>
      <c r="R1859" s="888"/>
    </row>
    <row r="1860" spans="1:18" s="893" customFormat="1" x14ac:dyDescent="0.3">
      <c r="A1860" s="888" t="str">
        <f>IF(LEN('Translation-EN'!A1860)&gt;0,'Translation-EN'!A1860,"")</f>
        <v>Range</v>
      </c>
      <c r="B1860" s="888" t="str">
        <f>IF(LEN('Translation-EN'!B1860)&gt;0,'Translation-EN'!B1860,"")</f>
        <v>Master sheet</v>
      </c>
      <c r="C1860" s="888" t="str">
        <f>IF(LEN('Translation-EN'!C1860)&gt;0,'Translation-EN'!C1860,"")</f>
        <v>B126</v>
      </c>
      <c r="D1860" s="888" t="str">
        <f>IF(LEN('Translation-EN'!D1860)&gt;0,'Translation-EN'!D1860,"")</f>
        <v/>
      </c>
      <c r="E1860" s="893" t="str">
        <f>$E$1857</f>
        <v>Panneau en mousse EPS</v>
      </c>
      <c r="I1860" s="888"/>
      <c r="J1860" s="888"/>
      <c r="K1860" s="888"/>
      <c r="L1860" s="888"/>
      <c r="M1860" s="888"/>
      <c r="N1860" s="888"/>
      <c r="O1860" s="888"/>
      <c r="P1860" s="888"/>
      <c r="Q1860" s="888"/>
      <c r="R1860" s="888"/>
    </row>
    <row r="1861" spans="1:18" s="893" customFormat="1" x14ac:dyDescent="0.3">
      <c r="A1861" s="888" t="str">
        <f>IF(LEN('Translation-EN'!A1861)&gt;0,'Translation-EN'!A1861,"")</f>
        <v>Range</v>
      </c>
      <c r="B1861" s="888" t="str">
        <f>IF(LEN('Translation-EN'!B1861)&gt;0,'Translation-EN'!B1861,"")</f>
        <v>Master sheet</v>
      </c>
      <c r="C1861" s="888" t="str">
        <f>IF(LEN('Translation-EN'!C1861)&gt;0,'Translation-EN'!C1861,"")</f>
        <v>C126</v>
      </c>
      <c r="D1861" s="888" t="str">
        <f>IF(LEN('Translation-EN'!D1861)&gt;0,'Translation-EN'!D1861,"")</f>
        <v/>
      </c>
      <c r="E1861" s="893" t="str">
        <f>$E$1858</f>
        <v>EPS Industry Alliance</v>
      </c>
      <c r="I1861" s="888"/>
      <c r="J1861" s="888"/>
      <c r="K1861" s="888"/>
      <c r="L1861" s="888"/>
      <c r="M1861" s="888"/>
      <c r="N1861" s="888"/>
      <c r="O1861" s="888"/>
      <c r="P1861" s="888"/>
      <c r="Q1861" s="888"/>
      <c r="R1861" s="888"/>
    </row>
    <row r="1862" spans="1:18" s="893" customFormat="1" x14ac:dyDescent="0.3">
      <c r="A1862" s="888" t="str">
        <f>IF(LEN('Translation-EN'!A1862)&gt;0,'Translation-EN'!A1862,"")</f>
        <v>Range</v>
      </c>
      <c r="B1862" s="888" t="str">
        <f>IF(LEN('Translation-EN'!B1862)&gt;0,'Translation-EN'!B1862,"")</f>
        <v>Master sheet</v>
      </c>
      <c r="C1862" s="888" t="str">
        <f>IF(LEN('Translation-EN'!C1862)&gt;0,'Translation-EN'!C1862,"")</f>
        <v>E126</v>
      </c>
      <c r="D1862" s="888" t="str">
        <f>IF(LEN('Translation-EN'!D1862)&gt;0,'Translation-EN'!D1862,"")</f>
        <v/>
      </c>
      <c r="E1862" s="893" t="s">
        <v>6265</v>
      </c>
      <c r="I1862" s="888"/>
      <c r="J1862" s="888"/>
      <c r="K1862" s="888"/>
      <c r="L1862" s="888"/>
      <c r="M1862" s="888"/>
      <c r="N1862" s="888"/>
      <c r="O1862" s="888"/>
      <c r="P1862" s="888"/>
      <c r="Q1862" s="888"/>
      <c r="R1862" s="888"/>
    </row>
    <row r="1863" spans="1:18" s="893" customFormat="1" x14ac:dyDescent="0.3">
      <c r="A1863" s="888" t="str">
        <f>IF(LEN('Translation-EN'!A1863)&gt;0,'Translation-EN'!A1863,"")</f>
        <v>Range</v>
      </c>
      <c r="B1863" s="888" t="str">
        <f>IF(LEN('Translation-EN'!B1863)&gt;0,'Translation-EN'!B1863,"")</f>
        <v>Master sheet</v>
      </c>
      <c r="C1863" s="888" t="str">
        <f>IF(LEN('Translation-EN'!C1863)&gt;0,'Translation-EN'!C1863,"")</f>
        <v>B127</v>
      </c>
      <c r="D1863" s="888" t="str">
        <f>IF(LEN('Translation-EN'!D1863)&gt;0,'Translation-EN'!D1863,"")</f>
        <v/>
      </c>
      <c r="E1863" s="893" t="str">
        <f>$E$1857</f>
        <v>Panneau en mousse EPS</v>
      </c>
      <c r="I1863" s="888"/>
      <c r="J1863" s="888"/>
      <c r="K1863" s="888"/>
      <c r="L1863" s="888"/>
      <c r="M1863" s="888"/>
      <c r="N1863" s="888"/>
      <c r="O1863" s="888"/>
      <c r="P1863" s="888"/>
      <c r="Q1863" s="888"/>
      <c r="R1863" s="888"/>
    </row>
    <row r="1864" spans="1:18" s="893" customFormat="1" x14ac:dyDescent="0.3">
      <c r="A1864" s="888" t="str">
        <f>IF(LEN('Translation-EN'!A1864)&gt;0,'Translation-EN'!A1864,"")</f>
        <v>Range</v>
      </c>
      <c r="B1864" s="888" t="str">
        <f>IF(LEN('Translation-EN'!B1864)&gt;0,'Translation-EN'!B1864,"")</f>
        <v>Master sheet</v>
      </c>
      <c r="C1864" s="888" t="str">
        <f>IF(LEN('Translation-EN'!C1864)&gt;0,'Translation-EN'!C1864,"")</f>
        <v>C127</v>
      </c>
      <c r="D1864" s="888" t="str">
        <f>IF(LEN('Translation-EN'!D1864)&gt;0,'Translation-EN'!D1864,"")</f>
        <v/>
      </c>
      <c r="E1864" s="893" t="str">
        <f>$E$1858</f>
        <v>EPS Industry Alliance</v>
      </c>
      <c r="I1864" s="888"/>
      <c r="J1864" s="888"/>
      <c r="K1864" s="888"/>
      <c r="L1864" s="888"/>
      <c r="M1864" s="888"/>
      <c r="N1864" s="888"/>
      <c r="O1864" s="888"/>
      <c r="P1864" s="888"/>
      <c r="Q1864" s="888"/>
      <c r="R1864" s="888"/>
    </row>
    <row r="1865" spans="1:18" s="893" customFormat="1" x14ac:dyDescent="0.3">
      <c r="A1865" s="888" t="str">
        <f>IF(LEN('Translation-EN'!A1865)&gt;0,'Translation-EN'!A1865,"")</f>
        <v>Range</v>
      </c>
      <c r="B1865" s="888" t="str">
        <f>IF(LEN('Translation-EN'!B1865)&gt;0,'Translation-EN'!B1865,"")</f>
        <v>Master sheet</v>
      </c>
      <c r="C1865" s="888" t="str">
        <f>IF(LEN('Translation-EN'!C1865)&gt;0,'Translation-EN'!C1865,"")</f>
        <v>E127</v>
      </c>
      <c r="D1865" s="888" t="str">
        <f>IF(LEN('Translation-EN'!D1865)&gt;0,'Translation-EN'!D1865,"")</f>
        <v/>
      </c>
      <c r="E1865" s="893" t="s">
        <v>6266</v>
      </c>
      <c r="I1865" s="888"/>
      <c r="J1865" s="888"/>
      <c r="K1865" s="888"/>
      <c r="L1865" s="888"/>
      <c r="M1865" s="888"/>
      <c r="N1865" s="888"/>
      <c r="O1865" s="888"/>
      <c r="P1865" s="888"/>
      <c r="Q1865" s="888"/>
      <c r="R1865" s="888"/>
    </row>
    <row r="1866" spans="1:18" s="893" customFormat="1" x14ac:dyDescent="0.3">
      <c r="A1866" s="888" t="str">
        <f>IF(LEN('Translation-EN'!A1866)&gt;0,'Translation-EN'!A1866,"")</f>
        <v>Range</v>
      </c>
      <c r="B1866" s="888" t="str">
        <f>IF(LEN('Translation-EN'!B1866)&gt;0,'Translation-EN'!B1866,"")</f>
        <v>Master sheet</v>
      </c>
      <c r="C1866" s="888" t="str">
        <f>IF(LEN('Translation-EN'!C1866)&gt;0,'Translation-EN'!C1866,"")</f>
        <v>B128</v>
      </c>
      <c r="D1866" s="888" t="str">
        <f>IF(LEN('Translation-EN'!D1866)&gt;0,'Translation-EN'!D1866,"")</f>
        <v/>
      </c>
      <c r="E1866" s="893" t="str">
        <f>$E$1857</f>
        <v>Panneau en mousse EPS</v>
      </c>
      <c r="I1866" s="888"/>
      <c r="J1866" s="888"/>
      <c r="K1866" s="888"/>
      <c r="L1866" s="888"/>
      <c r="M1866" s="888"/>
      <c r="N1866" s="888"/>
      <c r="O1866" s="888"/>
      <c r="P1866" s="888"/>
      <c r="Q1866" s="888"/>
      <c r="R1866" s="888"/>
    </row>
    <row r="1867" spans="1:18" s="893" customFormat="1" x14ac:dyDescent="0.3">
      <c r="A1867" s="888" t="str">
        <f>IF(LEN('Translation-EN'!A1867)&gt;0,'Translation-EN'!A1867,"")</f>
        <v>Range</v>
      </c>
      <c r="B1867" s="888" t="str">
        <f>IF(LEN('Translation-EN'!B1867)&gt;0,'Translation-EN'!B1867,"")</f>
        <v>Master sheet</v>
      </c>
      <c r="C1867" s="888" t="str">
        <f>IF(LEN('Translation-EN'!C1867)&gt;0,'Translation-EN'!C1867,"")</f>
        <v>C128</v>
      </c>
      <c r="D1867" s="888" t="str">
        <f>IF(LEN('Translation-EN'!D1867)&gt;0,'Translation-EN'!D1867,"")</f>
        <v/>
      </c>
      <c r="E1867" s="893" t="str">
        <f>$E$1858</f>
        <v>EPS Industry Alliance</v>
      </c>
      <c r="I1867" s="888"/>
      <c r="J1867" s="888"/>
      <c r="K1867" s="888"/>
      <c r="L1867" s="888"/>
      <c r="M1867" s="888"/>
      <c r="N1867" s="888"/>
      <c r="O1867" s="888"/>
      <c r="P1867" s="888"/>
      <c r="Q1867" s="888"/>
      <c r="R1867" s="888"/>
    </row>
    <row r="1868" spans="1:18" s="893" customFormat="1" x14ac:dyDescent="0.3">
      <c r="A1868" s="888" t="str">
        <f>IF(LEN('Translation-EN'!A1868)&gt;0,'Translation-EN'!A1868,"")</f>
        <v>Range</v>
      </c>
      <c r="B1868" s="888" t="str">
        <f>IF(LEN('Translation-EN'!B1868)&gt;0,'Translation-EN'!B1868,"")</f>
        <v>Master sheet</v>
      </c>
      <c r="C1868" s="888" t="str">
        <f>IF(LEN('Translation-EN'!C1868)&gt;0,'Translation-EN'!C1868,"")</f>
        <v>E128</v>
      </c>
      <c r="D1868" s="888" t="str">
        <f>IF(LEN('Translation-EN'!D1868)&gt;0,'Translation-EN'!D1868,"")</f>
        <v/>
      </c>
      <c r="E1868" s="893" t="s">
        <v>6267</v>
      </c>
      <c r="I1868" s="888"/>
      <c r="J1868" s="888"/>
      <c r="K1868" s="888"/>
      <c r="L1868" s="888"/>
      <c r="M1868" s="888"/>
      <c r="N1868" s="888"/>
      <c r="O1868" s="888"/>
      <c r="P1868" s="888"/>
      <c r="Q1868" s="888"/>
      <c r="R1868" s="888"/>
    </row>
    <row r="1869" spans="1:18" s="893" customFormat="1" x14ac:dyDescent="0.3">
      <c r="A1869" s="888" t="str">
        <f>IF(LEN('Translation-EN'!A1869)&gt;0,'Translation-EN'!A1869,"")</f>
        <v>Range</v>
      </c>
      <c r="B1869" s="888" t="str">
        <f>IF(LEN('Translation-EN'!B1869)&gt;0,'Translation-EN'!B1869,"")</f>
        <v>Master sheet</v>
      </c>
      <c r="C1869" s="888" t="str">
        <f>IF(LEN('Translation-EN'!C1869)&gt;0,'Translation-EN'!C1869,"")</f>
        <v>B131</v>
      </c>
      <c r="D1869" s="888" t="str">
        <f>IF(LEN('Translation-EN'!D1869)&gt;0,'Translation-EN'!D1869,"")</f>
        <v/>
      </c>
      <c r="E1869" s="893" t="s">
        <v>6268</v>
      </c>
      <c r="I1869" s="888"/>
      <c r="J1869" s="888"/>
      <c r="K1869" s="888"/>
      <c r="L1869" s="888"/>
      <c r="M1869" s="888"/>
      <c r="N1869" s="888"/>
      <c r="O1869" s="888"/>
      <c r="P1869" s="888"/>
      <c r="Q1869" s="888"/>
      <c r="R1869" s="888"/>
    </row>
    <row r="1870" spans="1:18" s="893" customFormat="1" x14ac:dyDescent="0.3">
      <c r="A1870" s="888" t="str">
        <f>IF(LEN('Translation-EN'!A1870)&gt;0,'Translation-EN'!A1870,"")</f>
        <v>Range</v>
      </c>
      <c r="B1870" s="888" t="str">
        <f>IF(LEN('Translation-EN'!B1870)&gt;0,'Translation-EN'!B1870,"")</f>
        <v>Master sheet</v>
      </c>
      <c r="C1870" s="888" t="str">
        <f>IF(LEN('Translation-EN'!C1870)&gt;0,'Translation-EN'!C1870,"")</f>
        <v>C131</v>
      </c>
      <c r="D1870" s="888" t="str">
        <f>IF(LEN('Translation-EN'!D1870)&gt;0,'Translation-EN'!D1870,"")</f>
        <v/>
      </c>
      <c r="E1870" s="893" t="s">
        <v>352</v>
      </c>
      <c r="I1870" s="888"/>
      <c r="J1870" s="888"/>
      <c r="K1870" s="888"/>
      <c r="L1870" s="888"/>
      <c r="M1870" s="888"/>
      <c r="N1870" s="888"/>
      <c r="O1870" s="888"/>
      <c r="P1870" s="888"/>
      <c r="Q1870" s="888"/>
      <c r="R1870" s="888"/>
    </row>
    <row r="1871" spans="1:18" s="893" customFormat="1" x14ac:dyDescent="0.3">
      <c r="A1871" s="888" t="str">
        <f>IF(LEN('Translation-EN'!A1871)&gt;0,'Translation-EN'!A1871,"")</f>
        <v>Range</v>
      </c>
      <c r="B1871" s="888" t="str">
        <f>IF(LEN('Translation-EN'!B1871)&gt;0,'Translation-EN'!B1871,"")</f>
        <v>Master sheet</v>
      </c>
      <c r="C1871" s="888" t="str">
        <f>IF(LEN('Translation-EN'!C1871)&gt;0,'Translation-EN'!C1871,"")</f>
        <v>D131</v>
      </c>
      <c r="D1871" s="888" t="str">
        <f>IF(LEN('Translation-EN'!D1871)&gt;0,'Translation-EN'!D1871,"")</f>
        <v/>
      </c>
      <c r="E1871" s="893" t="s">
        <v>4194</v>
      </c>
      <c r="I1871" s="888"/>
      <c r="J1871" s="888"/>
      <c r="K1871" s="888"/>
      <c r="L1871" s="888"/>
      <c r="M1871" s="888"/>
      <c r="N1871" s="888"/>
      <c r="O1871" s="888"/>
      <c r="P1871" s="888"/>
      <c r="Q1871" s="888"/>
      <c r="R1871" s="888"/>
    </row>
    <row r="1872" spans="1:18" s="893" customFormat="1" x14ac:dyDescent="0.3">
      <c r="A1872" s="888" t="str">
        <f>IF(LEN('Translation-EN'!A1872)&gt;0,'Translation-EN'!A1872,"")</f>
        <v>Range</v>
      </c>
      <c r="B1872" s="888" t="str">
        <f>IF(LEN('Translation-EN'!B1872)&gt;0,'Translation-EN'!B1872,"")</f>
        <v>Master sheet</v>
      </c>
      <c r="C1872" s="888" t="str">
        <f>IF(LEN('Translation-EN'!C1872)&gt;0,'Translation-EN'!C1872,"")</f>
        <v>E131</v>
      </c>
      <c r="D1872" s="888" t="str">
        <f>IF(LEN('Translation-EN'!D1872)&gt;0,'Translation-EN'!D1872,"")</f>
        <v/>
      </c>
      <c r="E1872" s="893" t="s">
        <v>6269</v>
      </c>
      <c r="I1872" s="888"/>
      <c r="J1872" s="888"/>
      <c r="K1872" s="888"/>
      <c r="L1872" s="888"/>
      <c r="M1872" s="888"/>
      <c r="N1872" s="888"/>
      <c r="O1872" s="888"/>
      <c r="P1872" s="888"/>
      <c r="Q1872" s="888"/>
      <c r="R1872" s="888"/>
    </row>
    <row r="1873" spans="1:18" s="893" customFormat="1" x14ac:dyDescent="0.3">
      <c r="A1873" s="888" t="str">
        <f>IF(LEN('Translation-EN'!A1873)&gt;0,'Translation-EN'!A1873,"")</f>
        <v>Range</v>
      </c>
      <c r="B1873" s="888" t="str">
        <f>IF(LEN('Translation-EN'!B1873)&gt;0,'Translation-EN'!B1873,"")</f>
        <v>Master sheet</v>
      </c>
      <c r="C1873" s="888" t="str">
        <f>IF(LEN('Translation-EN'!C1873)&gt;0,'Translation-EN'!C1873,"")</f>
        <v>B132</v>
      </c>
      <c r="D1873" s="888" t="str">
        <f>IF(LEN('Translation-EN'!D1873)&gt;0,'Translation-EN'!D1873,"")</f>
        <v/>
      </c>
      <c r="E1873" s="893" t="str">
        <f>$E$1869</f>
        <v>Panneau de mousse EPS avec graphite</v>
      </c>
      <c r="I1873" s="888"/>
      <c r="J1873" s="888"/>
      <c r="K1873" s="888"/>
      <c r="L1873" s="888"/>
      <c r="M1873" s="888"/>
      <c r="N1873" s="888"/>
      <c r="O1873" s="888"/>
      <c r="P1873" s="888"/>
      <c r="Q1873" s="888"/>
      <c r="R1873" s="888"/>
    </row>
    <row r="1874" spans="1:18" s="893" customFormat="1" x14ac:dyDescent="0.3">
      <c r="A1874" s="888" t="str">
        <f>IF(LEN('Translation-EN'!A1874)&gt;0,'Translation-EN'!A1874,"")</f>
        <v>Range</v>
      </c>
      <c r="B1874" s="888" t="str">
        <f>IF(LEN('Translation-EN'!B1874)&gt;0,'Translation-EN'!B1874,"")</f>
        <v>Master sheet</v>
      </c>
      <c r="C1874" s="888" t="str">
        <f>IF(LEN('Translation-EN'!C1874)&gt;0,'Translation-EN'!C1874,"")</f>
        <v>C132</v>
      </c>
      <c r="D1874" s="888" t="str">
        <f>IF(LEN('Translation-EN'!D1874)&gt;0,'Translation-EN'!D1874,"")</f>
        <v/>
      </c>
      <c r="E1874" s="893" t="str">
        <f>$E$1870</f>
        <v>BASF</v>
      </c>
      <c r="I1874" s="888"/>
      <c r="J1874" s="888"/>
      <c r="K1874" s="888"/>
      <c r="L1874" s="888"/>
      <c r="M1874" s="888"/>
      <c r="N1874" s="888"/>
      <c r="O1874" s="888"/>
      <c r="P1874" s="888"/>
      <c r="Q1874" s="888"/>
      <c r="R1874" s="888"/>
    </row>
    <row r="1875" spans="1:18" s="893" customFormat="1" x14ac:dyDescent="0.3">
      <c r="A1875" s="888" t="str">
        <f>IF(LEN('Translation-EN'!A1875)&gt;0,'Translation-EN'!A1875,"")</f>
        <v>Range</v>
      </c>
      <c r="B1875" s="888" t="str">
        <f>IF(LEN('Translation-EN'!B1875)&gt;0,'Translation-EN'!B1875,"")</f>
        <v>Master sheet</v>
      </c>
      <c r="C1875" s="888" t="str">
        <f>IF(LEN('Translation-EN'!C1875)&gt;0,'Translation-EN'!C1875,"")</f>
        <v>D132</v>
      </c>
      <c r="D1875" s="888" t="str">
        <f>IF(LEN('Translation-EN'!D1875)&gt;0,'Translation-EN'!D1875,"")</f>
        <v/>
      </c>
      <c r="E1875" s="893" t="s">
        <v>4198</v>
      </c>
      <c r="I1875" s="888"/>
      <c r="J1875" s="888"/>
      <c r="K1875" s="888"/>
      <c r="L1875" s="888"/>
      <c r="M1875" s="888"/>
      <c r="N1875" s="888"/>
      <c r="O1875" s="888"/>
      <c r="P1875" s="888"/>
      <c r="Q1875" s="888"/>
      <c r="R1875" s="888"/>
    </row>
    <row r="1876" spans="1:18" s="893" customFormat="1" x14ac:dyDescent="0.3">
      <c r="A1876" s="888" t="str">
        <f>IF(LEN('Translation-EN'!A1876)&gt;0,'Translation-EN'!A1876,"")</f>
        <v>Range</v>
      </c>
      <c r="B1876" s="888" t="str">
        <f>IF(LEN('Translation-EN'!B1876)&gt;0,'Translation-EN'!B1876,"")</f>
        <v>Master sheet</v>
      </c>
      <c r="C1876" s="888" t="str">
        <f>IF(LEN('Translation-EN'!C1876)&gt;0,'Translation-EN'!C1876,"")</f>
        <v>E132</v>
      </c>
      <c r="D1876" s="888" t="str">
        <f>IF(LEN('Translation-EN'!D1876)&gt;0,'Translation-EN'!D1876,"")</f>
        <v/>
      </c>
      <c r="E1876" s="893" t="s">
        <v>6270</v>
      </c>
      <c r="I1876" s="888"/>
      <c r="J1876" s="888"/>
      <c r="K1876" s="888"/>
      <c r="L1876" s="888"/>
      <c r="M1876" s="888"/>
      <c r="N1876" s="888"/>
      <c r="O1876" s="888"/>
      <c r="P1876" s="888"/>
      <c r="Q1876" s="888"/>
      <c r="R1876" s="888"/>
    </row>
    <row r="1877" spans="1:18" s="893" customFormat="1" x14ac:dyDescent="0.3">
      <c r="A1877" s="888" t="str">
        <f>IF(LEN('Translation-EN'!A1877)&gt;0,'Translation-EN'!A1877,"")</f>
        <v>Range</v>
      </c>
      <c r="B1877" s="888" t="str">
        <f>IF(LEN('Translation-EN'!B1877)&gt;0,'Translation-EN'!B1877,"")</f>
        <v>Master sheet</v>
      </c>
      <c r="C1877" s="888" t="str">
        <f>IF(LEN('Translation-EN'!C1877)&gt;0,'Translation-EN'!C1877,"")</f>
        <v>B133</v>
      </c>
      <c r="D1877" s="888" t="str">
        <f>IF(LEN('Translation-EN'!D1877)&gt;0,'Translation-EN'!D1877,"")</f>
        <v/>
      </c>
      <c r="E1877" s="893" t="str">
        <f>$E$1869</f>
        <v>Panneau de mousse EPS avec graphite</v>
      </c>
      <c r="I1877" s="888"/>
      <c r="J1877" s="888"/>
      <c r="K1877" s="888"/>
      <c r="L1877" s="888"/>
      <c r="M1877" s="888"/>
      <c r="N1877" s="888"/>
      <c r="O1877" s="888"/>
      <c r="P1877" s="888"/>
      <c r="Q1877" s="888"/>
      <c r="R1877" s="888"/>
    </row>
    <row r="1878" spans="1:18" s="893" customFormat="1" x14ac:dyDescent="0.3">
      <c r="A1878" s="888" t="str">
        <f>IF(LEN('Translation-EN'!A1878)&gt;0,'Translation-EN'!A1878,"")</f>
        <v>Range</v>
      </c>
      <c r="B1878" s="888" t="str">
        <f>IF(LEN('Translation-EN'!B1878)&gt;0,'Translation-EN'!B1878,"")</f>
        <v>Master sheet</v>
      </c>
      <c r="C1878" s="888" t="str">
        <f>IF(LEN('Translation-EN'!C1878)&gt;0,'Translation-EN'!C1878,"")</f>
        <v>C133</v>
      </c>
      <c r="D1878" s="888" t="str">
        <f>IF(LEN('Translation-EN'!D1878)&gt;0,'Translation-EN'!D1878,"")</f>
        <v/>
      </c>
      <c r="E1878" s="893" t="str">
        <f>$E$1870</f>
        <v>BASF</v>
      </c>
      <c r="I1878" s="888"/>
      <c r="J1878" s="888"/>
      <c r="K1878" s="888"/>
      <c r="L1878" s="888"/>
      <c r="M1878" s="888"/>
      <c r="N1878" s="888"/>
      <c r="O1878" s="888"/>
      <c r="P1878" s="888"/>
      <c r="Q1878" s="888"/>
      <c r="R1878" s="888"/>
    </row>
    <row r="1879" spans="1:18" s="893" customFormat="1" x14ac:dyDescent="0.3">
      <c r="A1879" s="888" t="str">
        <f>IF(LEN('Translation-EN'!A1879)&gt;0,'Translation-EN'!A1879,"")</f>
        <v>Range</v>
      </c>
      <c r="B1879" s="888" t="str">
        <f>IF(LEN('Translation-EN'!B1879)&gt;0,'Translation-EN'!B1879,"")</f>
        <v>Master sheet</v>
      </c>
      <c r="C1879" s="888" t="str">
        <f>IF(LEN('Translation-EN'!C1879)&gt;0,'Translation-EN'!C1879,"")</f>
        <v>D133</v>
      </c>
      <c r="D1879" s="888" t="str">
        <f>IF(LEN('Translation-EN'!D1879)&gt;0,'Translation-EN'!D1879,"")</f>
        <v/>
      </c>
      <c r="E1879" s="893" t="str">
        <f>$E$1875</f>
        <v>Neopor F 5200 &amp; F 5300 Plus BMB</v>
      </c>
      <c r="I1879" s="888"/>
      <c r="J1879" s="888"/>
      <c r="K1879" s="888"/>
      <c r="L1879" s="888"/>
      <c r="M1879" s="888"/>
      <c r="N1879" s="888"/>
      <c r="O1879" s="888"/>
      <c r="P1879" s="888"/>
      <c r="Q1879" s="888"/>
      <c r="R1879" s="888"/>
    </row>
    <row r="1880" spans="1:18" s="893" customFormat="1" x14ac:dyDescent="0.3">
      <c r="A1880" s="888" t="str">
        <f>IF(LEN('Translation-EN'!A1880)&gt;0,'Translation-EN'!A1880,"")</f>
        <v>Range</v>
      </c>
      <c r="B1880" s="888" t="str">
        <f>IF(LEN('Translation-EN'!B1880)&gt;0,'Translation-EN'!B1880,"")</f>
        <v>Master sheet</v>
      </c>
      <c r="C1880" s="888" t="str">
        <f>IF(LEN('Translation-EN'!C1880)&gt;0,'Translation-EN'!C1880,"")</f>
        <v>E133</v>
      </c>
      <c r="D1880" s="888" t="str">
        <f>IF(LEN('Translation-EN'!D1880)&gt;0,'Translation-EN'!D1880,"")</f>
        <v/>
      </c>
      <c r="E1880" s="893" t="s">
        <v>6271</v>
      </c>
      <c r="I1880" s="888"/>
      <c r="J1880" s="888"/>
      <c r="K1880" s="888"/>
      <c r="L1880" s="888"/>
      <c r="M1880" s="888"/>
      <c r="N1880" s="888"/>
      <c r="O1880" s="888"/>
      <c r="P1880" s="888"/>
      <c r="Q1880" s="888"/>
      <c r="R1880" s="888"/>
    </row>
    <row r="1881" spans="1:18" s="893" customFormat="1" x14ac:dyDescent="0.3">
      <c r="A1881" s="888" t="str">
        <f>IF(LEN('Translation-EN'!A1881)&gt;0,'Translation-EN'!A1881,"")</f>
        <v>Range</v>
      </c>
      <c r="B1881" s="888" t="str">
        <f>IF(LEN('Translation-EN'!B1881)&gt;0,'Translation-EN'!B1881,"")</f>
        <v>Master sheet</v>
      </c>
      <c r="C1881" s="888" t="str">
        <f>IF(LEN('Translation-EN'!C1881)&gt;0,'Translation-EN'!C1881,"")</f>
        <v>B134</v>
      </c>
      <c r="D1881" s="888" t="str">
        <f>IF(LEN('Translation-EN'!D1881)&gt;0,'Translation-EN'!D1881,"")</f>
        <v/>
      </c>
      <c r="E1881" s="893" t="str">
        <f>$E$1869</f>
        <v>Panneau de mousse EPS avec graphite</v>
      </c>
      <c r="I1881" s="888"/>
      <c r="J1881" s="888"/>
      <c r="K1881" s="888"/>
      <c r="L1881" s="888"/>
      <c r="M1881" s="888"/>
      <c r="N1881" s="888"/>
      <c r="O1881" s="888"/>
      <c r="P1881" s="888"/>
      <c r="Q1881" s="888"/>
      <c r="R1881" s="888"/>
    </row>
    <row r="1882" spans="1:18" s="893" customFormat="1" x14ac:dyDescent="0.3">
      <c r="A1882" s="888" t="str">
        <f>IF(LEN('Translation-EN'!A1882)&gt;0,'Translation-EN'!A1882,"")</f>
        <v>Range</v>
      </c>
      <c r="B1882" s="888" t="str">
        <f>IF(LEN('Translation-EN'!B1882)&gt;0,'Translation-EN'!B1882,"")</f>
        <v>Master sheet</v>
      </c>
      <c r="C1882" s="888" t="str">
        <f>IF(LEN('Translation-EN'!C1882)&gt;0,'Translation-EN'!C1882,"")</f>
        <v>C134</v>
      </c>
      <c r="D1882" s="888" t="str">
        <f>IF(LEN('Translation-EN'!D1882)&gt;0,'Translation-EN'!D1882,"")</f>
        <v/>
      </c>
      <c r="E1882" s="893" t="str">
        <f>$E$1870</f>
        <v>BASF</v>
      </c>
      <c r="I1882" s="888"/>
      <c r="J1882" s="888"/>
      <c r="K1882" s="888"/>
      <c r="L1882" s="888"/>
      <c r="M1882" s="888"/>
      <c r="N1882" s="888"/>
      <c r="O1882" s="888"/>
      <c r="P1882" s="888"/>
      <c r="Q1882" s="888"/>
      <c r="R1882" s="888"/>
    </row>
    <row r="1883" spans="1:18" s="893" customFormat="1" x14ac:dyDescent="0.3">
      <c r="A1883" s="888" t="str">
        <f>IF(LEN('Translation-EN'!A1883)&gt;0,'Translation-EN'!A1883,"")</f>
        <v>Range</v>
      </c>
      <c r="B1883" s="888" t="str">
        <f>IF(LEN('Translation-EN'!B1883)&gt;0,'Translation-EN'!B1883,"")</f>
        <v>Master sheet</v>
      </c>
      <c r="C1883" s="888" t="str">
        <f>IF(LEN('Translation-EN'!C1883)&gt;0,'Translation-EN'!C1883,"")</f>
        <v>D134</v>
      </c>
      <c r="D1883" s="888" t="str">
        <f>IF(LEN('Translation-EN'!D1883)&gt;0,'Translation-EN'!D1883,"")</f>
        <v/>
      </c>
      <c r="E1883" s="893" t="str">
        <f>$E$1871</f>
        <v>Neopor F 5200 Plus</v>
      </c>
      <c r="I1883" s="888"/>
      <c r="J1883" s="888"/>
      <c r="K1883" s="888"/>
      <c r="L1883" s="888"/>
      <c r="M1883" s="888"/>
      <c r="N1883" s="888"/>
      <c r="O1883" s="888"/>
      <c r="P1883" s="888"/>
      <c r="Q1883" s="888"/>
      <c r="R1883" s="888"/>
    </row>
    <row r="1884" spans="1:18" s="893" customFormat="1" x14ac:dyDescent="0.3">
      <c r="A1884" s="888" t="str">
        <f>IF(LEN('Translation-EN'!A1884)&gt;0,'Translation-EN'!A1884,"")</f>
        <v>Range</v>
      </c>
      <c r="B1884" s="888" t="str">
        <f>IF(LEN('Translation-EN'!B1884)&gt;0,'Translation-EN'!B1884,"")</f>
        <v>Master sheet</v>
      </c>
      <c r="C1884" s="888" t="str">
        <f>IF(LEN('Translation-EN'!C1884)&gt;0,'Translation-EN'!C1884,"")</f>
        <v>E134</v>
      </c>
      <c r="D1884" s="888" t="str">
        <f>IF(LEN('Translation-EN'!D1884)&gt;0,'Translation-EN'!D1884,"")</f>
        <v/>
      </c>
      <c r="E1884" s="893" t="str">
        <f>$E$1876</f>
        <v>R 4,7/pouce, Type II, 15 psi (Type 2, 110 kPa)</v>
      </c>
      <c r="I1884" s="888"/>
      <c r="J1884" s="888"/>
      <c r="K1884" s="888"/>
      <c r="L1884" s="888"/>
      <c r="M1884" s="888"/>
      <c r="N1884" s="888"/>
      <c r="O1884" s="888"/>
      <c r="P1884" s="888"/>
      <c r="Q1884" s="888"/>
      <c r="R1884" s="888"/>
    </row>
    <row r="1885" spans="1:18" s="893" customFormat="1" x14ac:dyDescent="0.3">
      <c r="A1885" s="888" t="str">
        <f>IF(LEN('Translation-EN'!A1885)&gt;0,'Translation-EN'!A1885,"")</f>
        <v>Range</v>
      </c>
      <c r="B1885" s="888" t="str">
        <f>IF(LEN('Translation-EN'!B1885)&gt;0,'Translation-EN'!B1885,"")</f>
        <v>Master sheet</v>
      </c>
      <c r="C1885" s="888" t="str">
        <f>IF(LEN('Translation-EN'!C1885)&gt;0,'Translation-EN'!C1885,"")</f>
        <v>B135</v>
      </c>
      <c r="D1885" s="888" t="str">
        <f>IF(LEN('Translation-EN'!D1885)&gt;0,'Translation-EN'!D1885,"")</f>
        <v/>
      </c>
      <c r="E1885" s="893" t="s">
        <v>6272</v>
      </c>
      <c r="I1885" s="888"/>
      <c r="J1885" s="888"/>
      <c r="K1885" s="888"/>
      <c r="L1885" s="888"/>
      <c r="M1885" s="888"/>
      <c r="N1885" s="888"/>
      <c r="O1885" s="888"/>
      <c r="P1885" s="888"/>
      <c r="Q1885" s="888"/>
      <c r="R1885" s="888"/>
    </row>
    <row r="1886" spans="1:18" s="893" customFormat="1" x14ac:dyDescent="0.3">
      <c r="A1886" s="888" t="str">
        <f>IF(LEN('Translation-EN'!A1886)&gt;0,'Translation-EN'!A1886,"")</f>
        <v>Range</v>
      </c>
      <c r="B1886" s="888" t="str">
        <f>IF(LEN('Translation-EN'!B1886)&gt;0,'Translation-EN'!B1886,"")</f>
        <v>Master sheet</v>
      </c>
      <c r="C1886" s="888" t="str">
        <f>IF(LEN('Translation-EN'!C1886)&gt;0,'Translation-EN'!C1886,"")</f>
        <v>C135</v>
      </c>
      <c r="D1886" s="888" t="str">
        <f>IF(LEN('Translation-EN'!D1886)&gt;0,'Translation-EN'!D1886,"")</f>
        <v/>
      </c>
      <c r="E1886" s="893" t="s">
        <v>355</v>
      </c>
      <c r="I1886" s="888"/>
      <c r="J1886" s="888"/>
      <c r="K1886" s="888"/>
      <c r="L1886" s="888"/>
      <c r="M1886" s="888"/>
      <c r="N1886" s="888"/>
      <c r="O1886" s="888"/>
      <c r="P1886" s="888"/>
      <c r="Q1886" s="888"/>
      <c r="R1886" s="888"/>
    </row>
    <row r="1887" spans="1:18" s="893" customFormat="1" x14ac:dyDescent="0.3">
      <c r="A1887" s="888" t="str">
        <f>IF(LEN('Translation-EN'!A1887)&gt;0,'Translation-EN'!A1887,"")</f>
        <v>Range</v>
      </c>
      <c r="B1887" s="888" t="str">
        <f>IF(LEN('Translation-EN'!B1887)&gt;0,'Translation-EN'!B1887,"")</f>
        <v>Master sheet</v>
      </c>
      <c r="C1887" s="888" t="str">
        <f>IF(LEN('Translation-EN'!C1887)&gt;0,'Translation-EN'!C1887,"")</f>
        <v>D135</v>
      </c>
      <c r="D1887" s="888" t="str">
        <f>IF(LEN('Translation-EN'!D1887)&gt;0,'Translation-EN'!D1887,"")</f>
        <v/>
      </c>
      <c r="E1887" s="893" t="s">
        <v>6273</v>
      </c>
      <c r="I1887" s="888"/>
      <c r="J1887" s="888"/>
      <c r="K1887" s="888"/>
      <c r="L1887" s="888"/>
      <c r="M1887" s="888"/>
      <c r="N1887" s="888"/>
      <c r="O1887" s="888"/>
      <c r="P1887" s="888"/>
      <c r="Q1887" s="888"/>
      <c r="R1887" s="888"/>
    </row>
    <row r="1888" spans="1:18" s="893" customFormat="1" x14ac:dyDescent="0.3">
      <c r="A1888" s="888" t="str">
        <f>IF(LEN('Translation-EN'!A1888)&gt;0,'Translation-EN'!A1888,"")</f>
        <v>Range</v>
      </c>
      <c r="B1888" s="888" t="str">
        <f>IF(LEN('Translation-EN'!B1888)&gt;0,'Translation-EN'!B1888,"")</f>
        <v>Master sheet</v>
      </c>
      <c r="C1888" s="888" t="str">
        <f>IF(LEN('Translation-EN'!C1888)&gt;0,'Translation-EN'!C1888,"")</f>
        <v>E135</v>
      </c>
      <c r="D1888" s="888" t="str">
        <f>IF(LEN('Translation-EN'!D1888)&gt;0,'Translation-EN'!D1888,"")</f>
        <v/>
      </c>
      <c r="E1888" s="893" t="s">
        <v>6274</v>
      </c>
      <c r="I1888" s="888"/>
      <c r="J1888" s="888"/>
      <c r="K1888" s="888"/>
      <c r="L1888" s="888"/>
      <c r="M1888" s="888"/>
      <c r="N1888" s="888"/>
      <c r="O1888" s="888"/>
      <c r="P1888" s="888"/>
      <c r="Q1888" s="888"/>
      <c r="R1888" s="888"/>
    </row>
    <row r="1889" spans="1:18" s="893" customFormat="1" x14ac:dyDescent="0.3">
      <c r="A1889" s="888" t="str">
        <f>IF(LEN('Translation-EN'!A1889)&gt;0,'Translation-EN'!A1889,"")</f>
        <v>Range</v>
      </c>
      <c r="B1889" s="888" t="str">
        <f>IF(LEN('Translation-EN'!B1889)&gt;0,'Translation-EN'!B1889,"")</f>
        <v>Master sheet</v>
      </c>
      <c r="C1889" s="888" t="str">
        <f>IF(LEN('Translation-EN'!C1889)&gt;0,'Translation-EN'!C1889,"")</f>
        <v>B136</v>
      </c>
      <c r="D1889" s="888" t="str">
        <f>IF(LEN('Translation-EN'!D1889)&gt;0,'Translation-EN'!D1889,"")</f>
        <v/>
      </c>
      <c r="E1889" s="893" t="str">
        <f>$E$1885</f>
        <v>Toiture en fibrociment</v>
      </c>
      <c r="I1889" s="888"/>
      <c r="J1889" s="888"/>
      <c r="K1889" s="888"/>
      <c r="L1889" s="888"/>
      <c r="M1889" s="888"/>
      <c r="N1889" s="888"/>
      <c r="O1889" s="888"/>
      <c r="P1889" s="888"/>
      <c r="Q1889" s="888"/>
      <c r="R1889" s="888"/>
    </row>
    <row r="1890" spans="1:18" s="893" customFormat="1" x14ac:dyDescent="0.3">
      <c r="A1890" s="888" t="str">
        <f>IF(LEN('Translation-EN'!A1890)&gt;0,'Translation-EN'!A1890,"")</f>
        <v>Range</v>
      </c>
      <c r="B1890" s="888" t="str">
        <f>IF(LEN('Translation-EN'!B1890)&gt;0,'Translation-EN'!B1890,"")</f>
        <v>Master sheet</v>
      </c>
      <c r="C1890" s="888" t="str">
        <f>IF(LEN('Translation-EN'!C1890)&gt;0,'Translation-EN'!C1890,"")</f>
        <v>C136</v>
      </c>
      <c r="D1890" s="888" t="str">
        <f>IF(LEN('Translation-EN'!D1890)&gt;0,'Translation-EN'!D1890,"")</f>
        <v/>
      </c>
      <c r="E1890" s="893" t="str">
        <f>$E$1886</f>
        <v>Cembrit</v>
      </c>
      <c r="I1890" s="888"/>
      <c r="J1890" s="888"/>
      <c r="K1890" s="888"/>
      <c r="L1890" s="888"/>
      <c r="M1890" s="888"/>
      <c r="N1890" s="888"/>
      <c r="O1890" s="888"/>
      <c r="P1890" s="888"/>
      <c r="Q1890" s="888"/>
      <c r="R1890" s="888"/>
    </row>
    <row r="1891" spans="1:18" s="893" customFormat="1" x14ac:dyDescent="0.3">
      <c r="A1891" s="888" t="str">
        <f>IF(LEN('Translation-EN'!A1891)&gt;0,'Translation-EN'!A1891,"")</f>
        <v>Range</v>
      </c>
      <c r="B1891" s="888" t="str">
        <f>IF(LEN('Translation-EN'!B1891)&gt;0,'Translation-EN'!B1891,"")</f>
        <v>Master sheet</v>
      </c>
      <c r="C1891" s="888" t="str">
        <f>IF(LEN('Translation-EN'!C1891)&gt;0,'Translation-EN'!C1891,"")</f>
        <v>D136</v>
      </c>
      <c r="D1891" s="888" t="str">
        <f>IF(LEN('Translation-EN'!D1891)&gt;0,'Translation-EN'!D1891,"")</f>
        <v/>
      </c>
      <c r="E1891" s="893" t="s">
        <v>6275</v>
      </c>
      <c r="I1891" s="888"/>
      <c r="J1891" s="888"/>
      <c r="K1891" s="888"/>
      <c r="L1891" s="888"/>
      <c r="M1891" s="888"/>
      <c r="N1891" s="888"/>
      <c r="O1891" s="888"/>
      <c r="P1891" s="888"/>
      <c r="Q1891" s="888"/>
      <c r="R1891" s="888"/>
    </row>
    <row r="1892" spans="1:18" s="893" customFormat="1" x14ac:dyDescent="0.3">
      <c r="A1892" s="888" t="str">
        <f>IF(LEN('Translation-EN'!A1892)&gt;0,'Translation-EN'!A1892,"")</f>
        <v>Range</v>
      </c>
      <c r="B1892" s="888" t="str">
        <f>IF(LEN('Translation-EN'!B1892)&gt;0,'Translation-EN'!B1892,"")</f>
        <v>Master sheet</v>
      </c>
      <c r="C1892" s="888" t="str">
        <f>IF(LEN('Translation-EN'!C1892)&gt;0,'Translation-EN'!C1892,"")</f>
        <v>E136</v>
      </c>
      <c r="D1892" s="888" t="str">
        <f>IF(LEN('Translation-EN'!D1892)&gt;0,'Translation-EN'!D1892,"")</f>
        <v/>
      </c>
      <c r="E1892" s="893" t="s">
        <v>6276</v>
      </c>
      <c r="I1892" s="888"/>
      <c r="J1892" s="888"/>
      <c r="K1892" s="888"/>
      <c r="L1892" s="888"/>
      <c r="M1892" s="888"/>
      <c r="N1892" s="888"/>
      <c r="O1892" s="888"/>
      <c r="P1892" s="888"/>
      <c r="Q1892" s="888"/>
      <c r="R1892" s="888"/>
    </row>
    <row r="1893" spans="1:18" s="893" customFormat="1" x14ac:dyDescent="0.3">
      <c r="A1893" s="888" t="str">
        <f>IF(LEN('Translation-EN'!A1893)&gt;0,'Translation-EN'!A1893,"")</f>
        <v>Range</v>
      </c>
      <c r="B1893" s="888" t="str">
        <f>IF(LEN('Translation-EN'!B1893)&gt;0,'Translation-EN'!B1893,"")</f>
        <v>Master sheet</v>
      </c>
      <c r="C1893" s="888" t="str">
        <f>IF(LEN('Translation-EN'!C1893)&gt;0,'Translation-EN'!C1893,"")</f>
        <v>B140</v>
      </c>
      <c r="D1893" s="888" t="str">
        <f>IF(LEN('Translation-EN'!D1893)&gt;0,'Translation-EN'!D1893,"")</f>
        <v/>
      </c>
      <c r="E1893" s="893" t="s">
        <v>6277</v>
      </c>
      <c r="I1893" s="888"/>
      <c r="J1893" s="888"/>
      <c r="K1893" s="888"/>
      <c r="L1893" s="888"/>
      <c r="M1893" s="888"/>
      <c r="N1893" s="888"/>
      <c r="O1893" s="888"/>
      <c r="P1893" s="888"/>
      <c r="Q1893" s="888"/>
      <c r="R1893" s="888"/>
    </row>
    <row r="1894" spans="1:18" s="893" customFormat="1" x14ac:dyDescent="0.3">
      <c r="A1894" s="888" t="str">
        <f>IF(LEN('Translation-EN'!A1894)&gt;0,'Translation-EN'!A1894,"")</f>
        <v>Range</v>
      </c>
      <c r="B1894" s="888" t="str">
        <f>IF(LEN('Translation-EN'!B1894)&gt;0,'Translation-EN'!B1894,"")</f>
        <v>Master sheet</v>
      </c>
      <c r="C1894" s="888" t="str">
        <f>IF(LEN('Translation-EN'!C1894)&gt;0,'Translation-EN'!C1894,"")</f>
        <v>C140</v>
      </c>
      <c r="D1894" s="888" t="str">
        <f>IF(LEN('Translation-EN'!D1894)&gt;0,'Translation-EN'!D1894,"")</f>
        <v/>
      </c>
      <c r="E1894" s="893" t="s">
        <v>325</v>
      </c>
      <c r="I1894" s="888"/>
      <c r="J1894" s="888"/>
      <c r="K1894" s="888"/>
      <c r="L1894" s="888"/>
      <c r="M1894" s="888"/>
      <c r="N1894" s="888"/>
      <c r="O1894" s="888"/>
      <c r="P1894" s="888"/>
      <c r="Q1894" s="888"/>
      <c r="R1894" s="888"/>
    </row>
    <row r="1895" spans="1:18" s="893" customFormat="1" x14ac:dyDescent="0.3">
      <c r="A1895" s="888" t="str">
        <f>IF(LEN('Translation-EN'!A1895)&gt;0,'Translation-EN'!A1895,"")</f>
        <v>Range</v>
      </c>
      <c r="B1895" s="888" t="str">
        <f>IF(LEN('Translation-EN'!B1895)&gt;0,'Translation-EN'!B1895,"")</f>
        <v>Master sheet</v>
      </c>
      <c r="C1895" s="888" t="str">
        <f>IF(LEN('Translation-EN'!C1895)&gt;0,'Translation-EN'!C1895,"")</f>
        <v>D140</v>
      </c>
      <c r="D1895" s="888" t="str">
        <f>IF(LEN('Translation-EN'!D1895)&gt;0,'Translation-EN'!D1895,"")</f>
        <v/>
      </c>
      <c r="E1895" s="893" t="s">
        <v>6278</v>
      </c>
      <c r="I1895" s="888"/>
      <c r="J1895" s="888"/>
      <c r="K1895" s="888"/>
      <c r="L1895" s="888"/>
      <c r="M1895" s="888"/>
      <c r="N1895" s="888"/>
      <c r="O1895" s="888"/>
      <c r="P1895" s="888"/>
      <c r="Q1895" s="888"/>
      <c r="R1895" s="888"/>
    </row>
    <row r="1896" spans="1:18" s="893" customFormat="1" x14ac:dyDescent="0.3">
      <c r="A1896" s="888" t="str">
        <f>IF(LEN('Translation-EN'!A1896)&gt;0,'Translation-EN'!A1896,"")</f>
        <v>Range</v>
      </c>
      <c r="B1896" s="888" t="str">
        <f>IF(LEN('Translation-EN'!B1896)&gt;0,'Translation-EN'!B1896,"")</f>
        <v>Master sheet</v>
      </c>
      <c r="C1896" s="888" t="str">
        <f>IF(LEN('Translation-EN'!C1896)&gt;0,'Translation-EN'!C1896,"")</f>
        <v>E140</v>
      </c>
      <c r="D1896" s="888" t="str">
        <f>IF(LEN('Translation-EN'!D1896)&gt;0,'Translation-EN'!D1896,"")</f>
        <v/>
      </c>
      <c r="E1896" s="893" t="str">
        <f>$E$1660</f>
        <v>R 3,6/po</v>
      </c>
      <c r="I1896" s="888"/>
      <c r="J1896" s="888"/>
      <c r="K1896" s="888"/>
      <c r="L1896" s="888"/>
      <c r="M1896" s="888"/>
      <c r="N1896" s="888"/>
      <c r="O1896" s="888"/>
      <c r="P1896" s="888"/>
      <c r="Q1896" s="888"/>
      <c r="R1896" s="888"/>
    </row>
    <row r="1897" spans="1:18" s="893" customFormat="1" x14ac:dyDescent="0.3">
      <c r="A1897" s="888" t="str">
        <f>IF(LEN('Translation-EN'!A1897)&gt;0,'Translation-EN'!A1897,"")</f>
        <v>Range</v>
      </c>
      <c r="B1897" s="888" t="str">
        <f>IF(LEN('Translation-EN'!B1897)&gt;0,'Translation-EN'!B1897,"")</f>
        <v>Master sheet</v>
      </c>
      <c r="C1897" s="888" t="str">
        <f>IF(LEN('Translation-EN'!C1897)&gt;0,'Translation-EN'!C1897,"")</f>
        <v>B143</v>
      </c>
      <c r="D1897" s="888" t="str">
        <f>IF(LEN('Translation-EN'!D1897)&gt;0,'Translation-EN'!D1897,"")</f>
        <v/>
      </c>
      <c r="E1897" s="893" t="str">
        <f>$E$1893</f>
        <v>Natte en fibre de verre</v>
      </c>
      <c r="I1897" s="888"/>
      <c r="J1897" s="888"/>
      <c r="K1897" s="888"/>
      <c r="L1897" s="888"/>
      <c r="M1897" s="888"/>
      <c r="N1897" s="888"/>
      <c r="O1897" s="888"/>
      <c r="P1897" s="888"/>
      <c r="Q1897" s="888"/>
      <c r="R1897" s="888"/>
    </row>
    <row r="1898" spans="1:18" s="893" customFormat="1" x14ac:dyDescent="0.3">
      <c r="A1898" s="888" t="str">
        <f>IF(LEN('Translation-EN'!A1898)&gt;0,'Translation-EN'!A1898,"")</f>
        <v>Range</v>
      </c>
      <c r="B1898" s="888" t="str">
        <f>IF(LEN('Translation-EN'!B1898)&gt;0,'Translation-EN'!B1898,"")</f>
        <v>Master sheet</v>
      </c>
      <c r="C1898" s="888" t="str">
        <f>IF(LEN('Translation-EN'!C1898)&gt;0,'Translation-EN'!C1898,"")</f>
        <v>C143</v>
      </c>
      <c r="D1898" s="888" t="str">
        <f>IF(LEN('Translation-EN'!D1898)&gt;0,'Translation-EN'!D1898,"")</f>
        <v/>
      </c>
      <c r="E1898" s="893" t="s">
        <v>3621</v>
      </c>
      <c r="I1898" s="888"/>
      <c r="J1898" s="888"/>
      <c r="K1898" s="888"/>
      <c r="L1898" s="888"/>
      <c r="M1898" s="888"/>
      <c r="N1898" s="888"/>
      <c r="O1898" s="888"/>
      <c r="P1898" s="888"/>
      <c r="Q1898" s="888"/>
      <c r="R1898" s="888"/>
    </row>
    <row r="1899" spans="1:18" s="893" customFormat="1" x14ac:dyDescent="0.3">
      <c r="A1899" s="888" t="str">
        <f>IF(LEN('Translation-EN'!A1899)&gt;0,'Translation-EN'!A1899,"")</f>
        <v>Range</v>
      </c>
      <c r="B1899" s="888" t="str">
        <f>IF(LEN('Translation-EN'!B1899)&gt;0,'Translation-EN'!B1899,"")</f>
        <v>Master sheet</v>
      </c>
      <c r="C1899" s="888" t="str">
        <f>IF(LEN('Translation-EN'!C1899)&gt;0,'Translation-EN'!C1899,"")</f>
        <v>D143</v>
      </c>
      <c r="D1899" s="888" t="str">
        <f>IF(LEN('Translation-EN'!D1899)&gt;0,'Translation-EN'!D1899,"")</f>
        <v/>
      </c>
      <c r="E1899" s="893" t="s">
        <v>6279</v>
      </c>
      <c r="I1899" s="888"/>
      <c r="J1899" s="888"/>
      <c r="K1899" s="888"/>
      <c r="L1899" s="888"/>
      <c r="M1899" s="888"/>
      <c r="N1899" s="888"/>
      <c r="O1899" s="888"/>
      <c r="P1899" s="888"/>
      <c r="Q1899" s="888"/>
      <c r="R1899" s="888"/>
    </row>
    <row r="1900" spans="1:18" s="893" customFormat="1" x14ac:dyDescent="0.3">
      <c r="A1900" s="888" t="str">
        <f>IF(LEN('Translation-EN'!A1900)&gt;0,'Translation-EN'!A1900,"")</f>
        <v>Range</v>
      </c>
      <c r="B1900" s="888" t="str">
        <f>IF(LEN('Translation-EN'!B1900)&gt;0,'Translation-EN'!B1900,"")</f>
        <v>Master sheet</v>
      </c>
      <c r="C1900" s="888" t="str">
        <f>IF(LEN('Translation-EN'!C1900)&gt;0,'Translation-EN'!C1900,"")</f>
        <v>E143</v>
      </c>
      <c r="D1900" s="888" t="str">
        <f>IF(LEN('Translation-EN'!D1900)&gt;0,'Translation-EN'!D1900,"")</f>
        <v/>
      </c>
      <c r="E1900" s="893" t="s">
        <v>6280</v>
      </c>
      <c r="I1900" s="888"/>
      <c r="J1900" s="888"/>
      <c r="K1900" s="888"/>
      <c r="L1900" s="888"/>
      <c r="M1900" s="888"/>
      <c r="N1900" s="888"/>
      <c r="O1900" s="888"/>
      <c r="P1900" s="888"/>
      <c r="Q1900" s="888"/>
      <c r="R1900" s="888"/>
    </row>
    <row r="1901" spans="1:18" s="893" customFormat="1" x14ac:dyDescent="0.3">
      <c r="A1901" s="888" t="str">
        <f>IF(LEN('Translation-EN'!A1901)&gt;0,'Translation-EN'!A1901,"")</f>
        <v>Range</v>
      </c>
      <c r="B1901" s="888" t="str">
        <f>IF(LEN('Translation-EN'!B1901)&gt;0,'Translation-EN'!B1901,"")</f>
        <v>Master sheet</v>
      </c>
      <c r="C1901" s="888" t="str">
        <f>IF(LEN('Translation-EN'!C1901)&gt;0,'Translation-EN'!C1901,"")</f>
        <v>B144</v>
      </c>
      <c r="D1901" s="888" t="str">
        <f>IF(LEN('Translation-EN'!D1901)&gt;0,'Translation-EN'!D1901,"")</f>
        <v/>
      </c>
      <c r="E1901" s="893" t="str">
        <f>$E$1893</f>
        <v>Natte en fibre de verre</v>
      </c>
      <c r="I1901" s="888"/>
      <c r="J1901" s="888"/>
      <c r="K1901" s="888"/>
      <c r="L1901" s="888"/>
      <c r="M1901" s="888"/>
      <c r="N1901" s="888"/>
      <c r="O1901" s="888"/>
      <c r="P1901" s="888"/>
      <c r="Q1901" s="888"/>
      <c r="R1901" s="888"/>
    </row>
    <row r="1902" spans="1:18" s="893" customFormat="1" x14ac:dyDescent="0.3">
      <c r="A1902" s="888" t="str">
        <f>IF(LEN('Translation-EN'!A1902)&gt;0,'Translation-EN'!A1902,"")</f>
        <v>Range</v>
      </c>
      <c r="B1902" s="888" t="str">
        <f>IF(LEN('Translation-EN'!B1902)&gt;0,'Translation-EN'!B1902,"")</f>
        <v>Master sheet</v>
      </c>
      <c r="C1902" s="888" t="str">
        <f>IF(LEN('Translation-EN'!C1902)&gt;0,'Translation-EN'!C1902,"")</f>
        <v>C144</v>
      </c>
      <c r="D1902" s="888" t="str">
        <f>IF(LEN('Translation-EN'!D1902)&gt;0,'Translation-EN'!D1902,"")</f>
        <v/>
      </c>
      <c r="E1902" s="893" t="s">
        <v>3305</v>
      </c>
      <c r="I1902" s="888"/>
      <c r="J1902" s="888"/>
      <c r="K1902" s="888"/>
      <c r="L1902" s="888"/>
      <c r="M1902" s="888"/>
      <c r="N1902" s="888"/>
      <c r="O1902" s="888"/>
      <c r="P1902" s="888"/>
      <c r="Q1902" s="888"/>
      <c r="R1902" s="888"/>
    </row>
    <row r="1903" spans="1:18" s="893" customFormat="1" x14ac:dyDescent="0.3">
      <c r="A1903" s="888" t="str">
        <f>IF(LEN('Translation-EN'!A1903)&gt;0,'Translation-EN'!A1903,"")</f>
        <v>Range</v>
      </c>
      <c r="B1903" s="888" t="str">
        <f>IF(LEN('Translation-EN'!B1903)&gt;0,'Translation-EN'!B1903,"")</f>
        <v>Master sheet</v>
      </c>
      <c r="C1903" s="888" t="str">
        <f>IF(LEN('Translation-EN'!C1903)&gt;0,'Translation-EN'!C1903,"")</f>
        <v>E144</v>
      </c>
      <c r="D1903" s="888" t="str">
        <f>IF(LEN('Translation-EN'!D1903)&gt;0,'Translation-EN'!D1903,"")</f>
        <v/>
      </c>
      <c r="E1903" s="893" t="s">
        <v>6281</v>
      </c>
      <c r="I1903" s="888"/>
      <c r="J1903" s="888"/>
      <c r="K1903" s="888"/>
      <c r="L1903" s="888"/>
      <c r="M1903" s="888"/>
      <c r="N1903" s="888"/>
      <c r="O1903" s="888"/>
      <c r="P1903" s="888"/>
      <c r="Q1903" s="888"/>
      <c r="R1903" s="888"/>
    </row>
    <row r="1904" spans="1:18" s="893" customFormat="1" x14ac:dyDescent="0.3">
      <c r="A1904" s="888" t="str">
        <f>IF(LEN('Translation-EN'!A1904)&gt;0,'Translation-EN'!A1904,"")</f>
        <v>Range</v>
      </c>
      <c r="B1904" s="888" t="str">
        <f>IF(LEN('Translation-EN'!B1904)&gt;0,'Translation-EN'!B1904,"")</f>
        <v>Master sheet</v>
      </c>
      <c r="C1904" s="888" t="str">
        <f>IF(LEN('Translation-EN'!C1904)&gt;0,'Translation-EN'!C1904,"")</f>
        <v>B145</v>
      </c>
      <c r="D1904" s="888" t="str">
        <f>IF(LEN('Translation-EN'!D1904)&gt;0,'Translation-EN'!D1904,"")</f>
        <v/>
      </c>
      <c r="E1904" s="893" t="s">
        <v>6282</v>
      </c>
      <c r="I1904" s="888"/>
      <c r="J1904" s="888"/>
      <c r="K1904" s="888"/>
      <c r="L1904" s="888"/>
      <c r="M1904" s="888"/>
      <c r="N1904" s="888"/>
      <c r="O1904" s="888"/>
      <c r="P1904" s="888"/>
      <c r="Q1904" s="888"/>
      <c r="R1904" s="888"/>
    </row>
    <row r="1905" spans="1:18" s="893" customFormat="1" x14ac:dyDescent="0.3">
      <c r="A1905" s="888" t="str">
        <f>IF(LEN('Translation-EN'!A1905)&gt;0,'Translation-EN'!A1905,"")</f>
        <v>Range</v>
      </c>
      <c r="B1905" s="888" t="str">
        <f>IF(LEN('Translation-EN'!B1905)&gt;0,'Translation-EN'!B1905,"")</f>
        <v>Master sheet</v>
      </c>
      <c r="C1905" s="888" t="str">
        <f>IF(LEN('Translation-EN'!C1905)&gt;0,'Translation-EN'!C1905,"")</f>
        <v>C145</v>
      </c>
      <c r="D1905" s="888" t="str">
        <f>IF(LEN('Translation-EN'!D1905)&gt;0,'Translation-EN'!D1905,"")</f>
        <v/>
      </c>
      <c r="E1905" s="893" t="str">
        <f>$E$1598</f>
        <v>Owens Corning</v>
      </c>
      <c r="I1905" s="888"/>
      <c r="J1905" s="888"/>
      <c r="K1905" s="888"/>
      <c r="L1905" s="888"/>
      <c r="M1905" s="888"/>
      <c r="N1905" s="888"/>
      <c r="O1905" s="888"/>
      <c r="P1905" s="888"/>
      <c r="Q1905" s="888"/>
      <c r="R1905" s="888"/>
    </row>
    <row r="1906" spans="1:18" s="893" customFormat="1" x14ac:dyDescent="0.3">
      <c r="A1906" s="888" t="str">
        <f>IF(LEN('Translation-EN'!A1906)&gt;0,'Translation-EN'!A1906,"")</f>
        <v>Range</v>
      </c>
      <c r="B1906" s="888" t="str">
        <f>IF(LEN('Translation-EN'!B1906)&gt;0,'Translation-EN'!B1906,"")</f>
        <v>Master sheet</v>
      </c>
      <c r="C1906" s="888" t="str">
        <f>IF(LEN('Translation-EN'!C1906)&gt;0,'Translation-EN'!C1906,"")</f>
        <v>D145</v>
      </c>
      <c r="D1906" s="888" t="str">
        <f>IF(LEN('Translation-EN'!D1906)&gt;0,'Translation-EN'!D1906,"")</f>
        <v/>
      </c>
      <c r="E1906" s="893" t="s">
        <v>6283</v>
      </c>
      <c r="I1906" s="888"/>
      <c r="J1906" s="888"/>
      <c r="K1906" s="888"/>
      <c r="L1906" s="888"/>
      <c r="M1906" s="888"/>
      <c r="N1906" s="888"/>
      <c r="O1906" s="888"/>
      <c r="P1906" s="888"/>
      <c r="Q1906" s="888"/>
      <c r="R1906" s="888"/>
    </row>
    <row r="1907" spans="1:18" s="893" customFormat="1" x14ac:dyDescent="0.3">
      <c r="A1907" s="888" t="str">
        <f>IF(LEN('Translation-EN'!A1907)&gt;0,'Translation-EN'!A1907,"")</f>
        <v>Range</v>
      </c>
      <c r="B1907" s="888" t="str">
        <f>IF(LEN('Translation-EN'!B1907)&gt;0,'Translation-EN'!B1907,"")</f>
        <v>Master sheet</v>
      </c>
      <c r="C1907" s="888" t="str">
        <f>IF(LEN('Translation-EN'!C1907)&gt;0,'Translation-EN'!C1907,"")</f>
        <v>E145</v>
      </c>
      <c r="D1907" s="888" t="str">
        <f>IF(LEN('Translation-EN'!D1907)&gt;0,'Translation-EN'!D1907,"")</f>
        <v/>
      </c>
      <c r="E1907" s="893" t="s">
        <v>6284</v>
      </c>
      <c r="I1907" s="888"/>
      <c r="J1907" s="888"/>
      <c r="K1907" s="888"/>
      <c r="L1907" s="888"/>
      <c r="M1907" s="888"/>
      <c r="N1907" s="888"/>
      <c r="O1907" s="888"/>
      <c r="P1907" s="888"/>
      <c r="Q1907" s="888"/>
      <c r="R1907" s="888"/>
    </row>
    <row r="1908" spans="1:18" s="893" customFormat="1" x14ac:dyDescent="0.3">
      <c r="A1908" s="888" t="str">
        <f>IF(LEN('Translation-EN'!A1908)&gt;0,'Translation-EN'!A1908,"")</f>
        <v>Range</v>
      </c>
      <c r="B1908" s="888" t="str">
        <f>IF(LEN('Translation-EN'!B1908)&gt;0,'Translation-EN'!B1908,"")</f>
        <v>Master sheet</v>
      </c>
      <c r="C1908" s="888" t="str">
        <f>IF(LEN('Translation-EN'!C1908)&gt;0,'Translation-EN'!C1908,"")</f>
        <v>B146</v>
      </c>
      <c r="D1908" s="888" t="str">
        <f>IF(LEN('Translation-EN'!D1908)&gt;0,'Translation-EN'!D1908,"")</f>
        <v/>
      </c>
      <c r="E1908" s="893" t="s">
        <v>6285</v>
      </c>
      <c r="I1908" s="888"/>
      <c r="J1908" s="888"/>
      <c r="K1908" s="888"/>
      <c r="L1908" s="888"/>
      <c r="M1908" s="888"/>
      <c r="N1908" s="888"/>
      <c r="O1908" s="888"/>
      <c r="P1908" s="888"/>
      <c r="Q1908" s="888"/>
      <c r="R1908" s="888"/>
    </row>
    <row r="1909" spans="1:18" s="893" customFormat="1" x14ac:dyDescent="0.3">
      <c r="A1909" s="888" t="str">
        <f>IF(LEN('Translation-EN'!A1909)&gt;0,'Translation-EN'!A1909,"")</f>
        <v>Range</v>
      </c>
      <c r="B1909" s="888" t="str">
        <f>IF(LEN('Translation-EN'!B1909)&gt;0,'Translation-EN'!B1909,"")</f>
        <v>Master sheet</v>
      </c>
      <c r="C1909" s="888" t="str">
        <f>IF(LEN('Translation-EN'!C1909)&gt;0,'Translation-EN'!C1909,"")</f>
        <v>C146</v>
      </c>
      <c r="D1909" s="888" t="str">
        <f>IF(LEN('Translation-EN'!D1909)&gt;0,'Translation-EN'!D1909,"")</f>
        <v/>
      </c>
      <c r="E1909" s="893" t="str">
        <f>$E$1894</f>
        <v>CertainTeed</v>
      </c>
      <c r="I1909" s="888"/>
      <c r="J1909" s="888"/>
      <c r="K1909" s="888"/>
      <c r="L1909" s="888"/>
      <c r="M1909" s="888"/>
      <c r="N1909" s="888"/>
      <c r="O1909" s="888"/>
      <c r="P1909" s="888"/>
      <c r="Q1909" s="888"/>
      <c r="R1909" s="888"/>
    </row>
    <row r="1910" spans="1:18" s="893" customFormat="1" x14ac:dyDescent="0.3">
      <c r="A1910" s="888" t="str">
        <f>IF(LEN('Translation-EN'!A1910)&gt;0,'Translation-EN'!A1910,"")</f>
        <v>Range</v>
      </c>
      <c r="B1910" s="888" t="str">
        <f>IF(LEN('Translation-EN'!B1910)&gt;0,'Translation-EN'!B1910,"")</f>
        <v>Master sheet</v>
      </c>
      <c r="C1910" s="888" t="str">
        <f>IF(LEN('Translation-EN'!C1910)&gt;0,'Translation-EN'!C1910,"")</f>
        <v>D146</v>
      </c>
      <c r="D1910" s="888" t="str">
        <f>IF(LEN('Translation-EN'!D1910)&gt;0,'Translation-EN'!D1910,"")</f>
        <v/>
      </c>
      <c r="E1910" s="893" t="s">
        <v>379</v>
      </c>
      <c r="I1910" s="888"/>
      <c r="J1910" s="888"/>
      <c r="K1910" s="888"/>
      <c r="L1910" s="888"/>
      <c r="M1910" s="888"/>
      <c r="N1910" s="888"/>
      <c r="O1910" s="888"/>
      <c r="P1910" s="888"/>
      <c r="Q1910" s="888"/>
      <c r="R1910" s="888"/>
    </row>
    <row r="1911" spans="1:18" s="893" customFormat="1" x14ac:dyDescent="0.3">
      <c r="A1911" s="888" t="str">
        <f>IF(LEN('Translation-EN'!A1911)&gt;0,'Translation-EN'!A1911,"")</f>
        <v>Range</v>
      </c>
      <c r="B1911" s="888" t="str">
        <f>IF(LEN('Translation-EN'!B1911)&gt;0,'Translation-EN'!B1911,"")</f>
        <v>Master sheet</v>
      </c>
      <c r="C1911" s="888" t="str">
        <f>IF(LEN('Translation-EN'!C1911)&gt;0,'Translation-EN'!C1911,"")</f>
        <v>E146</v>
      </c>
      <c r="D1911" s="888" t="str">
        <f>IF(LEN('Translation-EN'!D1911)&gt;0,'Translation-EN'!D1911,"")</f>
        <v/>
      </c>
      <c r="E1911" s="893" t="s">
        <v>6286</v>
      </c>
      <c r="I1911" s="888"/>
      <c r="J1911" s="888"/>
      <c r="K1911" s="888"/>
      <c r="L1911" s="888"/>
      <c r="M1911" s="888"/>
      <c r="N1911" s="888"/>
      <c r="O1911" s="888"/>
      <c r="P1911" s="888"/>
      <c r="Q1911" s="888"/>
      <c r="R1911" s="888"/>
    </row>
    <row r="1912" spans="1:18" s="893" customFormat="1" x14ac:dyDescent="0.3">
      <c r="A1912" s="888" t="str">
        <f>IF(LEN('Translation-EN'!A1912)&gt;0,'Translation-EN'!A1912,"")</f>
        <v>Range</v>
      </c>
      <c r="B1912" s="888" t="str">
        <f>IF(LEN('Translation-EN'!B1912)&gt;0,'Translation-EN'!B1912,"")</f>
        <v>Master sheet</v>
      </c>
      <c r="C1912" s="888" t="str">
        <f>IF(LEN('Translation-EN'!C1912)&gt;0,'Translation-EN'!C1912,"")</f>
        <v>B149</v>
      </c>
      <c r="D1912" s="888" t="str">
        <f>IF(LEN('Translation-EN'!D1912)&gt;0,'Translation-EN'!D1912,"")</f>
        <v/>
      </c>
      <c r="E1912" s="893" t="str">
        <f>$E$1908</f>
        <v>Fibre de verre en vrac</v>
      </c>
      <c r="I1912" s="888"/>
      <c r="J1912" s="888"/>
      <c r="K1912" s="888"/>
      <c r="L1912" s="888"/>
      <c r="M1912" s="888"/>
      <c r="N1912" s="888"/>
      <c r="O1912" s="888"/>
      <c r="P1912" s="888"/>
      <c r="Q1912" s="888"/>
      <c r="R1912" s="888"/>
    </row>
    <row r="1913" spans="1:18" s="893" customFormat="1" x14ac:dyDescent="0.3">
      <c r="A1913" s="888" t="str">
        <f>IF(LEN('Translation-EN'!A1913)&gt;0,'Translation-EN'!A1913,"")</f>
        <v>Range</v>
      </c>
      <c r="B1913" s="888" t="str">
        <f>IF(LEN('Translation-EN'!B1913)&gt;0,'Translation-EN'!B1913,"")</f>
        <v>Master sheet</v>
      </c>
      <c r="C1913" s="888" t="str">
        <f>IF(LEN('Translation-EN'!C1913)&gt;0,'Translation-EN'!C1913,"")</f>
        <v>C149</v>
      </c>
      <c r="D1913" s="888" t="str">
        <f>IF(LEN('Translation-EN'!D1913)&gt;0,'Translation-EN'!D1913,"")</f>
        <v/>
      </c>
      <c r="E1913" s="893" t="str">
        <f>$E$1598</f>
        <v>Owens Corning</v>
      </c>
      <c r="I1913" s="888"/>
      <c r="J1913" s="888"/>
      <c r="K1913" s="888"/>
      <c r="L1913" s="888"/>
      <c r="M1913" s="888"/>
      <c r="N1913" s="888"/>
      <c r="O1913" s="888"/>
      <c r="P1913" s="888"/>
      <c r="Q1913" s="888"/>
      <c r="R1913" s="888"/>
    </row>
    <row r="1914" spans="1:18" s="893" customFormat="1" x14ac:dyDescent="0.3">
      <c r="A1914" s="888" t="str">
        <f>IF(LEN('Translation-EN'!A1914)&gt;0,'Translation-EN'!A1914,"")</f>
        <v>Range</v>
      </c>
      <c r="B1914" s="888" t="str">
        <f>IF(LEN('Translation-EN'!B1914)&gt;0,'Translation-EN'!B1914,"")</f>
        <v>Master sheet</v>
      </c>
      <c r="C1914" s="888" t="str">
        <f>IF(LEN('Translation-EN'!C1914)&gt;0,'Translation-EN'!C1914,"")</f>
        <v>D149</v>
      </c>
      <c r="D1914" s="888" t="str">
        <f>IF(LEN('Translation-EN'!D1914)&gt;0,'Translation-EN'!D1914,"")</f>
        <v/>
      </c>
      <c r="E1914" s="893" t="s">
        <v>384</v>
      </c>
      <c r="I1914" s="888"/>
      <c r="J1914" s="888"/>
      <c r="K1914" s="888"/>
      <c r="L1914" s="888"/>
      <c r="M1914" s="888"/>
      <c r="N1914" s="888"/>
      <c r="O1914" s="888"/>
      <c r="P1914" s="888"/>
      <c r="Q1914" s="888"/>
      <c r="R1914" s="888"/>
    </row>
    <row r="1915" spans="1:18" s="893" customFormat="1" x14ac:dyDescent="0.3">
      <c r="A1915" s="888" t="str">
        <f>IF(LEN('Translation-EN'!A1915)&gt;0,'Translation-EN'!A1915,"")</f>
        <v>Range</v>
      </c>
      <c r="B1915" s="888" t="str">
        <f>IF(LEN('Translation-EN'!B1915)&gt;0,'Translation-EN'!B1915,"")</f>
        <v>Master sheet</v>
      </c>
      <c r="C1915" s="888" t="str">
        <f>IF(LEN('Translation-EN'!C1915)&gt;0,'Translation-EN'!C1915,"")</f>
        <v>E149</v>
      </c>
      <c r="D1915" s="888" t="str">
        <f>IF(LEN('Translation-EN'!D1915)&gt;0,'Translation-EN'!D1915,"")</f>
        <v/>
      </c>
      <c r="E1915" s="893" t="s">
        <v>6287</v>
      </c>
      <c r="I1915" s="888"/>
      <c r="J1915" s="888"/>
      <c r="K1915" s="888"/>
      <c r="L1915" s="888"/>
      <c r="M1915" s="888"/>
      <c r="N1915" s="888"/>
      <c r="O1915" s="888"/>
      <c r="P1915" s="888"/>
      <c r="Q1915" s="888"/>
      <c r="R1915" s="888"/>
    </row>
    <row r="1916" spans="1:18" s="893" customFormat="1" x14ac:dyDescent="0.3">
      <c r="A1916" s="888" t="str">
        <f>IF(LEN('Translation-EN'!A1916)&gt;0,'Translation-EN'!A1916,"")</f>
        <v>Range</v>
      </c>
      <c r="B1916" s="888" t="str">
        <f>IF(LEN('Translation-EN'!B1916)&gt;0,'Translation-EN'!B1916,"")</f>
        <v>Master sheet</v>
      </c>
      <c r="C1916" s="888" t="str">
        <f>IF(LEN('Translation-EN'!C1916)&gt;0,'Translation-EN'!C1916,"")</f>
        <v>B150</v>
      </c>
      <c r="D1916" s="888" t="str">
        <f>IF(LEN('Translation-EN'!D1916)&gt;0,'Translation-EN'!D1916,"")</f>
        <v/>
      </c>
      <c r="E1916" s="893" t="str">
        <f>$E$1908</f>
        <v>Fibre de verre en vrac</v>
      </c>
      <c r="I1916" s="888"/>
      <c r="J1916" s="888"/>
      <c r="K1916" s="888"/>
      <c r="L1916" s="888"/>
      <c r="M1916" s="888"/>
      <c r="N1916" s="888"/>
      <c r="O1916" s="888"/>
      <c r="P1916" s="888"/>
      <c r="Q1916" s="888"/>
      <c r="R1916" s="888"/>
    </row>
    <row r="1917" spans="1:18" s="893" customFormat="1" x14ac:dyDescent="0.3">
      <c r="A1917" s="888" t="str">
        <f>IF(LEN('Translation-EN'!A1917)&gt;0,'Translation-EN'!A1917,"")</f>
        <v>Range</v>
      </c>
      <c r="B1917" s="888" t="str">
        <f>IF(LEN('Translation-EN'!B1917)&gt;0,'Translation-EN'!B1917,"")</f>
        <v>Master sheet</v>
      </c>
      <c r="C1917" s="888" t="str">
        <f>IF(LEN('Translation-EN'!C1917)&gt;0,'Translation-EN'!C1917,"")</f>
        <v>C150</v>
      </c>
      <c r="D1917" s="888" t="str">
        <f>IF(LEN('Translation-EN'!D1917)&gt;0,'Translation-EN'!D1917,"")</f>
        <v/>
      </c>
      <c r="E1917" s="893" t="str">
        <f>$E$1902</f>
        <v>NAIMA</v>
      </c>
      <c r="I1917" s="888"/>
      <c r="J1917" s="888"/>
      <c r="K1917" s="888"/>
      <c r="L1917" s="888"/>
      <c r="M1917" s="888"/>
      <c r="N1917" s="888"/>
      <c r="O1917" s="888"/>
      <c r="P1917" s="888"/>
      <c r="Q1917" s="888"/>
      <c r="R1917" s="888"/>
    </row>
    <row r="1918" spans="1:18" s="893" customFormat="1" x14ac:dyDescent="0.3">
      <c r="A1918" s="888" t="str">
        <f>IF(LEN('Translation-EN'!A1918)&gt;0,'Translation-EN'!A1918,"")</f>
        <v>Range</v>
      </c>
      <c r="B1918" s="888" t="str">
        <f>IF(LEN('Translation-EN'!B1918)&gt;0,'Translation-EN'!B1918,"")</f>
        <v>Master sheet</v>
      </c>
      <c r="C1918" s="888" t="str">
        <f>IF(LEN('Translation-EN'!C1918)&gt;0,'Translation-EN'!C1918,"")</f>
        <v>D150</v>
      </c>
      <c r="D1918" s="888" t="str">
        <f>IF(LEN('Translation-EN'!D1918)&gt;0,'Translation-EN'!D1918,"")</f>
        <v/>
      </c>
      <c r="E1918" s="893" t="s">
        <v>6288</v>
      </c>
      <c r="I1918" s="888"/>
      <c r="J1918" s="888"/>
      <c r="K1918" s="888"/>
      <c r="L1918" s="888"/>
      <c r="M1918" s="888"/>
      <c r="N1918" s="888"/>
      <c r="O1918" s="888"/>
      <c r="P1918" s="888"/>
      <c r="Q1918" s="888"/>
      <c r="R1918" s="888"/>
    </row>
    <row r="1919" spans="1:18" s="893" customFormat="1" x14ac:dyDescent="0.3">
      <c r="A1919" s="888" t="str">
        <f>IF(LEN('Translation-EN'!A1919)&gt;0,'Translation-EN'!A1919,"")</f>
        <v>Range</v>
      </c>
      <c r="B1919" s="888" t="str">
        <f>IF(LEN('Translation-EN'!B1919)&gt;0,'Translation-EN'!B1919,"")</f>
        <v>Master sheet</v>
      </c>
      <c r="C1919" s="888" t="str">
        <f>IF(LEN('Translation-EN'!C1919)&gt;0,'Translation-EN'!C1919,"")</f>
        <v>E150</v>
      </c>
      <c r="D1919" s="888" t="str">
        <f>IF(LEN('Translation-EN'!D1919)&gt;0,'Translation-EN'!D1919,"")</f>
        <v/>
      </c>
      <c r="E1919" s="893" t="s">
        <v>6289</v>
      </c>
      <c r="I1919" s="888"/>
      <c r="J1919" s="888"/>
      <c r="K1919" s="888"/>
      <c r="L1919" s="888"/>
      <c r="M1919" s="888"/>
      <c r="N1919" s="888"/>
      <c r="O1919" s="888"/>
      <c r="P1919" s="888"/>
      <c r="Q1919" s="888"/>
      <c r="R1919" s="888"/>
    </row>
    <row r="1920" spans="1:18" s="893" customFormat="1" x14ac:dyDescent="0.3">
      <c r="A1920" s="888" t="str">
        <f>IF(LEN('Translation-EN'!A1920)&gt;0,'Translation-EN'!A1920,"")</f>
        <v>Range</v>
      </c>
      <c r="B1920" s="888" t="str">
        <f>IF(LEN('Translation-EN'!B1920)&gt;0,'Translation-EN'!B1920,"")</f>
        <v>Master sheet</v>
      </c>
      <c r="C1920" s="888" t="str">
        <f>IF(LEN('Translation-EN'!C1920)&gt;0,'Translation-EN'!C1920,"")</f>
        <v>B155</v>
      </c>
      <c r="D1920" s="888" t="str">
        <f>IF(LEN('Translation-EN'!D1920)&gt;0,'Translation-EN'!D1920,"")</f>
        <v/>
      </c>
      <c r="E1920" s="893" t="s">
        <v>6290</v>
      </c>
      <c r="I1920" s="888"/>
      <c r="J1920" s="888"/>
      <c r="K1920" s="888"/>
      <c r="L1920" s="888"/>
      <c r="M1920" s="888"/>
      <c r="N1920" s="888"/>
      <c r="O1920" s="888"/>
      <c r="P1920" s="888"/>
      <c r="Q1920" s="888"/>
      <c r="R1920" s="888"/>
    </row>
    <row r="1921" spans="1:18" s="893" customFormat="1" x14ac:dyDescent="0.3">
      <c r="A1921" s="888" t="str">
        <f>IF(LEN('Translation-EN'!A1921)&gt;0,'Translation-EN'!A1921,"")</f>
        <v>Range</v>
      </c>
      <c r="B1921" s="888" t="str">
        <f>IF(LEN('Translation-EN'!B1921)&gt;0,'Translation-EN'!B1921,"")</f>
        <v>Master sheet</v>
      </c>
      <c r="C1921" s="888" t="str">
        <f>IF(LEN('Translation-EN'!C1921)&gt;0,'Translation-EN'!C1921,"")</f>
        <v>C155</v>
      </c>
      <c r="D1921" s="888" t="str">
        <f>IF(LEN('Translation-EN'!D1921)&gt;0,'Translation-EN'!D1921,"")</f>
        <v/>
      </c>
      <c r="E1921" s="893" t="s">
        <v>396</v>
      </c>
      <c r="I1921" s="888"/>
      <c r="J1921" s="888"/>
      <c r="K1921" s="888"/>
      <c r="L1921" s="888"/>
      <c r="M1921" s="888"/>
      <c r="N1921" s="888"/>
      <c r="O1921" s="888"/>
      <c r="P1921" s="888"/>
      <c r="Q1921" s="888"/>
      <c r="R1921" s="888"/>
    </row>
    <row r="1922" spans="1:18" s="893" customFormat="1" x14ac:dyDescent="0.3">
      <c r="A1922" s="888" t="str">
        <f>IF(LEN('Translation-EN'!A1922)&gt;0,'Translation-EN'!A1922,"")</f>
        <v>Range</v>
      </c>
      <c r="B1922" s="888" t="str">
        <f>IF(LEN('Translation-EN'!B1922)&gt;0,'Translation-EN'!B1922,"")</f>
        <v>Master sheet</v>
      </c>
      <c r="C1922" s="888" t="str">
        <f>IF(LEN('Translation-EN'!C1922)&gt;0,'Translation-EN'!C1922,"")</f>
        <v>D155</v>
      </c>
      <c r="D1922" s="888" t="str">
        <f>IF(LEN('Translation-EN'!D1922)&gt;0,'Translation-EN'!D1922,"")</f>
        <v/>
      </c>
      <c r="E1922" s="893" t="s">
        <v>4226</v>
      </c>
      <c r="I1922" s="888"/>
      <c r="J1922" s="888"/>
      <c r="K1922" s="888"/>
      <c r="L1922" s="888"/>
      <c r="M1922" s="888"/>
      <c r="N1922" s="888"/>
      <c r="O1922" s="888"/>
      <c r="P1922" s="888"/>
      <c r="Q1922" s="888"/>
      <c r="R1922" s="888"/>
    </row>
    <row r="1923" spans="1:18" s="893" customFormat="1" x14ac:dyDescent="0.3">
      <c r="A1923" s="888" t="str">
        <f>IF(LEN('Translation-EN'!A1923)&gt;0,'Translation-EN'!A1923,"")</f>
        <v>Range</v>
      </c>
      <c r="B1923" s="888" t="str">
        <f>IF(LEN('Translation-EN'!B1923)&gt;0,'Translation-EN'!B1923,"")</f>
        <v>Master sheet</v>
      </c>
      <c r="C1923" s="888" t="str">
        <f>IF(LEN('Translation-EN'!C1923)&gt;0,'Translation-EN'!C1923,"")</f>
        <v>E155</v>
      </c>
      <c r="D1923" s="888" t="str">
        <f>IF(LEN('Translation-EN'!D1923)&gt;0,'Translation-EN'!D1923,"")</f>
        <v/>
      </c>
      <c r="E1923" s="893" t="s">
        <v>6291</v>
      </c>
      <c r="I1923" s="888"/>
      <c r="J1923" s="888"/>
      <c r="K1923" s="888"/>
      <c r="L1923" s="888"/>
      <c r="M1923" s="888"/>
      <c r="N1923" s="888"/>
      <c r="O1923" s="888"/>
      <c r="P1923" s="888"/>
      <c r="Q1923" s="888"/>
      <c r="R1923" s="888"/>
    </row>
    <row r="1924" spans="1:18" s="893" customFormat="1" x14ac:dyDescent="0.3">
      <c r="A1924" s="888" t="str">
        <f>IF(LEN('Translation-EN'!A1924)&gt;0,'Translation-EN'!A1924,"")</f>
        <v>Range</v>
      </c>
      <c r="B1924" s="888" t="str">
        <f>IF(LEN('Translation-EN'!B1924)&gt;0,'Translation-EN'!B1924,"")</f>
        <v>Master sheet</v>
      </c>
      <c r="C1924" s="888" t="str">
        <f>IF(LEN('Translation-EN'!C1924)&gt;0,'Translation-EN'!C1924,"")</f>
        <v>B157</v>
      </c>
      <c r="D1924" s="888" t="str">
        <f>IF(LEN('Translation-EN'!D1924)&gt;0,'Translation-EN'!D1924,"")</f>
        <v/>
      </c>
      <c r="E1924" s="893" t="str">
        <f>$E$1920</f>
        <v>Panneau de mousse de verre</v>
      </c>
      <c r="I1924" s="888"/>
      <c r="J1924" s="888"/>
      <c r="K1924" s="888"/>
      <c r="L1924" s="888"/>
      <c r="M1924" s="888"/>
      <c r="N1924" s="888"/>
      <c r="O1924" s="888"/>
      <c r="P1924" s="888"/>
      <c r="Q1924" s="888"/>
      <c r="R1924" s="888"/>
    </row>
    <row r="1925" spans="1:18" s="893" customFormat="1" x14ac:dyDescent="0.3">
      <c r="A1925" s="888" t="str">
        <f>IF(LEN('Translation-EN'!A1925)&gt;0,'Translation-EN'!A1925,"")</f>
        <v>Range</v>
      </c>
      <c r="B1925" s="888" t="str">
        <f>IF(LEN('Translation-EN'!B1925)&gt;0,'Translation-EN'!B1925,"")</f>
        <v>Master sheet</v>
      </c>
      <c r="C1925" s="888" t="str">
        <f>IF(LEN('Translation-EN'!C1925)&gt;0,'Translation-EN'!C1925,"")</f>
        <v>C157</v>
      </c>
      <c r="D1925" s="888" t="str">
        <f>IF(LEN('Translation-EN'!D1925)&gt;0,'Translation-EN'!D1925,"")</f>
        <v/>
      </c>
      <c r="E1925" s="893" t="str">
        <f>$E$1921</f>
        <v>Pittsburgh Corning Europe</v>
      </c>
      <c r="I1925" s="888"/>
      <c r="J1925" s="888"/>
      <c r="K1925" s="888"/>
      <c r="L1925" s="888"/>
      <c r="M1925" s="888"/>
      <c r="N1925" s="888"/>
      <c r="O1925" s="888"/>
      <c r="P1925" s="888"/>
      <c r="Q1925" s="888"/>
      <c r="R1925" s="888"/>
    </row>
    <row r="1926" spans="1:18" s="893" customFormat="1" x14ac:dyDescent="0.3">
      <c r="A1926" s="888" t="str">
        <f>IF(LEN('Translation-EN'!A1926)&gt;0,'Translation-EN'!A1926,"")</f>
        <v>Range</v>
      </c>
      <c r="B1926" s="888" t="str">
        <f>IF(LEN('Translation-EN'!B1926)&gt;0,'Translation-EN'!B1926,"")</f>
        <v>Master sheet</v>
      </c>
      <c r="C1926" s="888" t="str">
        <f>IF(LEN('Translation-EN'!C1926)&gt;0,'Translation-EN'!C1926,"")</f>
        <v>D157</v>
      </c>
      <c r="D1926" s="888" t="str">
        <f>IF(LEN('Translation-EN'!D1926)&gt;0,'Translation-EN'!D1926,"")</f>
        <v/>
      </c>
      <c r="E1926" s="893" t="s">
        <v>4231</v>
      </c>
      <c r="I1926" s="888"/>
      <c r="J1926" s="888"/>
      <c r="K1926" s="888"/>
      <c r="L1926" s="888"/>
      <c r="M1926" s="888"/>
      <c r="N1926" s="888"/>
      <c r="O1926" s="888"/>
      <c r="P1926" s="888"/>
      <c r="Q1926" s="888"/>
      <c r="R1926" s="888"/>
    </row>
    <row r="1927" spans="1:18" s="893" customFormat="1" x14ac:dyDescent="0.3">
      <c r="A1927" s="888" t="str">
        <f>IF(LEN('Translation-EN'!A1927)&gt;0,'Translation-EN'!A1927,"")</f>
        <v>Range</v>
      </c>
      <c r="B1927" s="888" t="str">
        <f>IF(LEN('Translation-EN'!B1927)&gt;0,'Translation-EN'!B1927,"")</f>
        <v>Master sheet</v>
      </c>
      <c r="C1927" s="888" t="str">
        <f>IF(LEN('Translation-EN'!C1927)&gt;0,'Translation-EN'!C1927,"")</f>
        <v>E157</v>
      </c>
      <c r="D1927" s="888" t="str">
        <f>IF(LEN('Translation-EN'!D1927)&gt;0,'Translation-EN'!D1927,"")</f>
        <v/>
      </c>
      <c r="E1927" s="893" t="s">
        <v>6292</v>
      </c>
      <c r="I1927" s="888"/>
      <c r="J1927" s="888"/>
      <c r="K1927" s="888"/>
      <c r="L1927" s="888"/>
      <c r="M1927" s="888"/>
      <c r="N1927" s="888"/>
      <c r="O1927" s="888"/>
      <c r="P1927" s="888"/>
      <c r="Q1927" s="888"/>
      <c r="R1927" s="888"/>
    </row>
    <row r="1928" spans="1:18" s="893" customFormat="1" x14ac:dyDescent="0.3">
      <c r="A1928" s="888" t="str">
        <f>IF(LEN('Translation-EN'!A1928)&gt;0,'Translation-EN'!A1928,"")</f>
        <v>Range</v>
      </c>
      <c r="B1928" s="888" t="str">
        <f>IF(LEN('Translation-EN'!B1928)&gt;0,'Translation-EN'!B1928,"")</f>
        <v>Master sheet</v>
      </c>
      <c r="C1928" s="888" t="str">
        <f>IF(LEN('Translation-EN'!C1928)&gt;0,'Translation-EN'!C1928,"")</f>
        <v>B158</v>
      </c>
      <c r="D1928" s="888" t="str">
        <f>IF(LEN('Translation-EN'!D1928)&gt;0,'Translation-EN'!D1928,"")</f>
        <v/>
      </c>
      <c r="E1928" s="893" t="str">
        <f>$E$1920</f>
        <v>Panneau de mousse de verre</v>
      </c>
      <c r="I1928" s="888"/>
      <c r="J1928" s="888"/>
      <c r="K1928" s="888"/>
      <c r="L1928" s="888"/>
      <c r="M1928" s="888"/>
      <c r="N1928" s="888"/>
      <c r="O1928" s="888"/>
      <c r="P1928" s="888"/>
      <c r="Q1928" s="888"/>
      <c r="R1928" s="888"/>
    </row>
    <row r="1929" spans="1:18" s="893" customFormat="1" x14ac:dyDescent="0.3">
      <c r="A1929" s="888" t="str">
        <f>IF(LEN('Translation-EN'!A1929)&gt;0,'Translation-EN'!A1929,"")</f>
        <v>Range</v>
      </c>
      <c r="B1929" s="888" t="str">
        <f>IF(LEN('Translation-EN'!B1929)&gt;0,'Translation-EN'!B1929,"")</f>
        <v>Master sheet</v>
      </c>
      <c r="C1929" s="888" t="str">
        <f>IF(LEN('Translation-EN'!C1929)&gt;0,'Translation-EN'!C1929,"")</f>
        <v>C158</v>
      </c>
      <c r="D1929" s="888" t="str">
        <f>IF(LEN('Translation-EN'!D1929)&gt;0,'Translation-EN'!D1929,"")</f>
        <v/>
      </c>
      <c r="E1929" s="893" t="str">
        <f>$E$1921</f>
        <v>Pittsburgh Corning Europe</v>
      </c>
      <c r="I1929" s="888"/>
      <c r="J1929" s="888"/>
      <c r="K1929" s="888"/>
      <c r="L1929" s="888"/>
      <c r="M1929" s="888"/>
      <c r="N1929" s="888"/>
      <c r="O1929" s="888"/>
      <c r="P1929" s="888"/>
      <c r="Q1929" s="888"/>
      <c r="R1929" s="888"/>
    </row>
    <row r="1930" spans="1:18" s="893" customFormat="1" x14ac:dyDescent="0.3">
      <c r="A1930" s="888" t="str">
        <f>IF(LEN('Translation-EN'!A1930)&gt;0,'Translation-EN'!A1930,"")</f>
        <v>Range</v>
      </c>
      <c r="B1930" s="888" t="str">
        <f>IF(LEN('Translation-EN'!B1930)&gt;0,'Translation-EN'!B1930,"")</f>
        <v>Master sheet</v>
      </c>
      <c r="C1930" s="888" t="str">
        <f>IF(LEN('Translation-EN'!C1930)&gt;0,'Translation-EN'!C1930,"")</f>
        <v>D158</v>
      </c>
      <c r="D1930" s="888" t="str">
        <f>IF(LEN('Translation-EN'!D1930)&gt;0,'Translation-EN'!D1930,"")</f>
        <v/>
      </c>
      <c r="E1930" s="893" t="s">
        <v>4233</v>
      </c>
      <c r="I1930" s="888"/>
      <c r="J1930" s="888"/>
      <c r="K1930" s="888"/>
      <c r="L1930" s="888"/>
      <c r="M1930" s="888"/>
      <c r="N1930" s="888"/>
      <c r="O1930" s="888"/>
      <c r="P1930" s="888"/>
      <c r="Q1930" s="888"/>
      <c r="R1930" s="888"/>
    </row>
    <row r="1931" spans="1:18" s="893" customFormat="1" x14ac:dyDescent="0.3">
      <c r="A1931" s="888" t="str">
        <f>IF(LEN('Translation-EN'!A1931)&gt;0,'Translation-EN'!A1931,"")</f>
        <v>Range</v>
      </c>
      <c r="B1931" s="888" t="str">
        <f>IF(LEN('Translation-EN'!B1931)&gt;0,'Translation-EN'!B1931,"")</f>
        <v>Master sheet</v>
      </c>
      <c r="C1931" s="888" t="str">
        <f>IF(LEN('Translation-EN'!C1931)&gt;0,'Translation-EN'!C1931,"")</f>
        <v>E158</v>
      </c>
      <c r="D1931" s="888" t="str">
        <f>IF(LEN('Translation-EN'!D1931)&gt;0,'Translation-EN'!D1931,"")</f>
        <v/>
      </c>
      <c r="E1931" s="893" t="s">
        <v>6293</v>
      </c>
      <c r="I1931" s="888"/>
      <c r="J1931" s="888"/>
      <c r="K1931" s="888"/>
      <c r="L1931" s="888"/>
      <c r="M1931" s="888"/>
      <c r="N1931" s="888"/>
      <c r="O1931" s="888"/>
      <c r="P1931" s="888"/>
      <c r="Q1931" s="888"/>
      <c r="R1931" s="888"/>
    </row>
    <row r="1932" spans="1:18" s="893" customFormat="1" x14ac:dyDescent="0.3">
      <c r="A1932" s="888" t="str">
        <f>IF(LEN('Translation-EN'!A1932)&gt;0,'Translation-EN'!A1932,"")</f>
        <v>Range</v>
      </c>
      <c r="B1932" s="888" t="str">
        <f>IF(LEN('Translation-EN'!B1932)&gt;0,'Translation-EN'!B1932,"")</f>
        <v>Master sheet</v>
      </c>
      <c r="C1932" s="888" t="str">
        <f>IF(LEN('Translation-EN'!C1932)&gt;0,'Translation-EN'!C1932,"")</f>
        <v>B159</v>
      </c>
      <c r="D1932" s="888" t="str">
        <f>IF(LEN('Translation-EN'!D1932)&gt;0,'Translation-EN'!D1932,"")</f>
        <v/>
      </c>
      <c r="E1932" s="893" t="str">
        <f>$E$1920</f>
        <v>Panneau de mousse de verre</v>
      </c>
      <c r="I1932" s="888"/>
      <c r="J1932" s="888"/>
      <c r="K1932" s="888"/>
      <c r="L1932" s="888"/>
      <c r="M1932" s="888"/>
      <c r="N1932" s="888"/>
      <c r="O1932" s="888"/>
      <c r="P1932" s="888"/>
      <c r="Q1932" s="888"/>
      <c r="R1932" s="888"/>
    </row>
    <row r="1933" spans="1:18" s="893" customFormat="1" x14ac:dyDescent="0.3">
      <c r="A1933" s="888" t="str">
        <f>IF(LEN('Translation-EN'!A1933)&gt;0,'Translation-EN'!A1933,"")</f>
        <v>Range</v>
      </c>
      <c r="B1933" s="888" t="str">
        <f>IF(LEN('Translation-EN'!B1933)&gt;0,'Translation-EN'!B1933,"")</f>
        <v>Master sheet</v>
      </c>
      <c r="C1933" s="888" t="str">
        <f>IF(LEN('Translation-EN'!C1933)&gt;0,'Translation-EN'!C1933,"")</f>
        <v>C159</v>
      </c>
      <c r="D1933" s="888" t="str">
        <f>IF(LEN('Translation-EN'!D1933)&gt;0,'Translation-EN'!D1933,"")</f>
        <v/>
      </c>
      <c r="E1933" s="893" t="str">
        <f>$E$1921</f>
        <v>Pittsburgh Corning Europe</v>
      </c>
      <c r="I1933" s="888"/>
      <c r="J1933" s="888"/>
      <c r="K1933" s="888"/>
      <c r="L1933" s="888"/>
      <c r="M1933" s="888"/>
      <c r="N1933" s="888"/>
      <c r="O1933" s="888"/>
      <c r="P1933" s="888"/>
      <c r="Q1933" s="888"/>
      <c r="R1933" s="888"/>
    </row>
    <row r="1934" spans="1:18" s="893" customFormat="1" x14ac:dyDescent="0.3">
      <c r="A1934" s="888" t="str">
        <f>IF(LEN('Translation-EN'!A1934)&gt;0,'Translation-EN'!A1934,"")</f>
        <v>Range</v>
      </c>
      <c r="B1934" s="888" t="str">
        <f>IF(LEN('Translation-EN'!B1934)&gt;0,'Translation-EN'!B1934,"")</f>
        <v>Master sheet</v>
      </c>
      <c r="C1934" s="888" t="str">
        <f>IF(LEN('Translation-EN'!C1934)&gt;0,'Translation-EN'!C1934,"")</f>
        <v>D159</v>
      </c>
      <c r="D1934" s="888" t="str">
        <f>IF(LEN('Translation-EN'!D1934)&gt;0,'Translation-EN'!D1934,"")</f>
        <v/>
      </c>
      <c r="E1934" s="893" t="s">
        <v>4236</v>
      </c>
      <c r="I1934" s="888"/>
      <c r="J1934" s="888"/>
      <c r="K1934" s="888"/>
      <c r="L1934" s="888"/>
      <c r="M1934" s="888"/>
      <c r="N1934" s="888"/>
      <c r="O1934" s="888"/>
      <c r="P1934" s="888"/>
      <c r="Q1934" s="888"/>
      <c r="R1934" s="888"/>
    </row>
    <row r="1935" spans="1:18" s="893" customFormat="1" x14ac:dyDescent="0.3">
      <c r="A1935" s="888" t="str">
        <f>IF(LEN('Translation-EN'!A1935)&gt;0,'Translation-EN'!A1935,"")</f>
        <v>Range</v>
      </c>
      <c r="B1935" s="888" t="str">
        <f>IF(LEN('Translation-EN'!B1935)&gt;0,'Translation-EN'!B1935,"")</f>
        <v>Master sheet</v>
      </c>
      <c r="C1935" s="888" t="str">
        <f>IF(LEN('Translation-EN'!C1935)&gt;0,'Translation-EN'!C1935,"")</f>
        <v>E159</v>
      </c>
      <c r="D1935" s="888" t="str">
        <f>IF(LEN('Translation-EN'!D1935)&gt;0,'Translation-EN'!D1935,"")</f>
        <v/>
      </c>
      <c r="E1935" s="893" t="s">
        <v>6294</v>
      </c>
      <c r="I1935" s="888"/>
      <c r="J1935" s="888"/>
      <c r="K1935" s="888"/>
      <c r="L1935" s="888"/>
      <c r="M1935" s="888"/>
      <c r="N1935" s="888"/>
      <c r="O1935" s="888"/>
      <c r="P1935" s="888"/>
      <c r="Q1935" s="888"/>
      <c r="R1935" s="888"/>
    </row>
    <row r="1936" spans="1:18" s="893" customFormat="1" x14ac:dyDescent="0.3">
      <c r="A1936" s="888" t="str">
        <f>IF(LEN('Translation-EN'!A1936)&gt;0,'Translation-EN'!A1936,"")</f>
        <v>Range</v>
      </c>
      <c r="B1936" s="888" t="str">
        <f>IF(LEN('Translation-EN'!B1936)&gt;0,'Translation-EN'!B1936,"")</f>
        <v>Master sheet</v>
      </c>
      <c r="C1936" s="888" t="str">
        <f>IF(LEN('Translation-EN'!C1936)&gt;0,'Translation-EN'!C1936,"")</f>
        <v>B160</v>
      </c>
      <c r="D1936" s="888" t="str">
        <f>IF(LEN('Translation-EN'!D1936)&gt;0,'Translation-EN'!D1936,"")</f>
        <v/>
      </c>
      <c r="E1936" s="893" t="s">
        <v>1811</v>
      </c>
      <c r="I1936" s="888"/>
      <c r="J1936" s="888"/>
      <c r="K1936" s="888"/>
      <c r="L1936" s="888"/>
      <c r="M1936" s="888"/>
      <c r="N1936" s="888"/>
      <c r="O1936" s="888"/>
      <c r="P1936" s="888"/>
      <c r="Q1936" s="888"/>
      <c r="R1936" s="888"/>
    </row>
    <row r="1937" spans="1:18" s="893" customFormat="1" x14ac:dyDescent="0.3">
      <c r="A1937" s="888" t="str">
        <f>IF(LEN('Translation-EN'!A1937)&gt;0,'Translation-EN'!A1937,"")</f>
        <v>Range</v>
      </c>
      <c r="B1937" s="888" t="str">
        <f>IF(LEN('Translation-EN'!B1937)&gt;0,'Translation-EN'!B1937,"")</f>
        <v>Master sheet</v>
      </c>
      <c r="C1937" s="888" t="str">
        <f>IF(LEN('Translation-EN'!C1937)&gt;0,'Translation-EN'!C1937,"")</f>
        <v>C160</v>
      </c>
      <c r="D1937" s="888" t="str">
        <f>IF(LEN('Translation-EN'!D1937)&gt;0,'Translation-EN'!D1937,"")</f>
        <v/>
      </c>
      <c r="E1937" s="893" t="s">
        <v>6295</v>
      </c>
      <c r="I1937" s="888"/>
      <c r="J1937" s="888"/>
      <c r="K1937" s="888"/>
      <c r="L1937" s="888"/>
      <c r="M1937" s="888"/>
      <c r="N1937" s="888"/>
      <c r="O1937" s="888"/>
      <c r="P1937" s="888"/>
      <c r="Q1937" s="888"/>
      <c r="R1937" s="888"/>
    </row>
    <row r="1938" spans="1:18" s="893" customFormat="1" x14ac:dyDescent="0.3">
      <c r="A1938" s="888" t="str">
        <f>IF(LEN('Translation-EN'!A1938)&gt;0,'Translation-EN'!A1938,"")</f>
        <v>Range</v>
      </c>
      <c r="B1938" s="888" t="str">
        <f>IF(LEN('Translation-EN'!B1938)&gt;0,'Translation-EN'!B1938,"")</f>
        <v>Master sheet</v>
      </c>
      <c r="C1938" s="888" t="str">
        <f>IF(LEN('Translation-EN'!C1938)&gt;0,'Translation-EN'!C1938,"")</f>
        <v>B161</v>
      </c>
      <c r="D1938" s="888" t="str">
        <f>IF(LEN('Translation-EN'!D1938)&gt;0,'Translation-EN'!D1938,"")</f>
        <v/>
      </c>
      <c r="E1938" s="893" t="str">
        <f>$E$1936</f>
        <v>Bois lamellé-collé</v>
      </c>
      <c r="I1938" s="888"/>
      <c r="J1938" s="888"/>
      <c r="K1938" s="888"/>
      <c r="L1938" s="888"/>
      <c r="M1938" s="888"/>
      <c r="N1938" s="888"/>
      <c r="O1938" s="888"/>
      <c r="P1938" s="888"/>
      <c r="Q1938" s="888"/>
      <c r="R1938" s="888"/>
    </row>
    <row r="1939" spans="1:18" s="893" customFormat="1" x14ac:dyDescent="0.3">
      <c r="A1939" s="888" t="str">
        <f>IF(LEN('Translation-EN'!A1939)&gt;0,'Translation-EN'!A1939,"")</f>
        <v>Range</v>
      </c>
      <c r="B1939" s="888" t="str">
        <f>IF(LEN('Translation-EN'!B1939)&gt;0,'Translation-EN'!B1939,"")</f>
        <v>Master sheet</v>
      </c>
      <c r="C1939" s="888" t="str">
        <f>IF(LEN('Translation-EN'!C1939)&gt;0,'Translation-EN'!C1939,"")</f>
        <v>C161</v>
      </c>
      <c r="D1939" s="888" t="str">
        <f>IF(LEN('Translation-EN'!D1939)&gt;0,'Translation-EN'!D1939,"")</f>
        <v/>
      </c>
      <c r="E1939" s="893" t="str">
        <f>$E$1838</f>
        <v>Structurlam</v>
      </c>
      <c r="I1939" s="888"/>
      <c r="J1939" s="888"/>
      <c r="K1939" s="888"/>
      <c r="L1939" s="888"/>
      <c r="M1939" s="888"/>
      <c r="N1939" s="888"/>
      <c r="O1939" s="888"/>
      <c r="P1939" s="888"/>
      <c r="Q1939" s="888"/>
      <c r="R1939" s="888"/>
    </row>
    <row r="1940" spans="1:18" s="893" customFormat="1" x14ac:dyDescent="0.3">
      <c r="A1940" s="888" t="str">
        <f>IF(LEN('Translation-EN'!A1940)&gt;0,'Translation-EN'!A1940,"")</f>
        <v>Range</v>
      </c>
      <c r="B1940" s="888" t="str">
        <f>IF(LEN('Translation-EN'!B1940)&gt;0,'Translation-EN'!B1940,"")</f>
        <v>Master sheet</v>
      </c>
      <c r="C1940" s="888" t="str">
        <f>IF(LEN('Translation-EN'!C1940)&gt;0,'Translation-EN'!C1940,"")</f>
        <v>D161</v>
      </c>
      <c r="D1940" s="888" t="str">
        <f>IF(LEN('Translation-EN'!D1940)&gt;0,'Translation-EN'!D1940,"")</f>
        <v/>
      </c>
      <c r="E1940" s="893" t="s">
        <v>404</v>
      </c>
      <c r="I1940" s="888"/>
      <c r="J1940" s="888"/>
      <c r="K1940" s="888"/>
      <c r="L1940" s="888"/>
      <c r="M1940" s="888"/>
      <c r="N1940" s="888"/>
      <c r="O1940" s="888"/>
      <c r="P1940" s="888"/>
      <c r="Q1940" s="888"/>
      <c r="R1940" s="888"/>
    </row>
    <row r="1941" spans="1:18" s="893" customFormat="1" x14ac:dyDescent="0.3">
      <c r="A1941" s="888" t="str">
        <f>IF(LEN('Translation-EN'!A1941)&gt;0,'Translation-EN'!A1941,"")</f>
        <v>Range</v>
      </c>
      <c r="B1941" s="888" t="str">
        <f>IF(LEN('Translation-EN'!B1941)&gt;0,'Translation-EN'!B1941,"")</f>
        <v>Master sheet</v>
      </c>
      <c r="C1941" s="888" t="str">
        <f>IF(LEN('Translation-EN'!C1941)&gt;0,'Translation-EN'!C1941,"")</f>
        <v>E161</v>
      </c>
      <c r="D1941" s="888" t="str">
        <f>IF(LEN('Translation-EN'!D1941)&gt;0,'Translation-EN'!D1941,"")</f>
        <v/>
      </c>
      <c r="E1941" s="893" t="str">
        <f>$E$1821</f>
        <v>3-1/2 po (90 mm) d’épaisseur</v>
      </c>
      <c r="I1941" s="888"/>
      <c r="J1941" s="888"/>
      <c r="K1941" s="888"/>
      <c r="L1941" s="888"/>
      <c r="M1941" s="888"/>
      <c r="N1941" s="888"/>
      <c r="O1941" s="888"/>
      <c r="P1941" s="888"/>
      <c r="Q1941" s="888"/>
      <c r="R1941" s="888"/>
    </row>
    <row r="1942" spans="1:18" s="893" customFormat="1" x14ac:dyDescent="0.3">
      <c r="A1942" s="888" t="str">
        <f>IF(LEN('Translation-EN'!A1942)&gt;0,'Translation-EN'!A1942,"")</f>
        <v>Range</v>
      </c>
      <c r="B1942" s="888" t="str">
        <f>IF(LEN('Translation-EN'!B1942)&gt;0,'Translation-EN'!B1942,"")</f>
        <v>Master sheet</v>
      </c>
      <c r="C1942" s="888" t="str">
        <f>IF(LEN('Translation-EN'!C1942)&gt;0,'Translation-EN'!C1942,"")</f>
        <v>B162</v>
      </c>
      <c r="D1942" s="888" t="str">
        <f>IF(LEN('Translation-EN'!D1942)&gt;0,'Translation-EN'!D1942,"")</f>
        <v/>
      </c>
      <c r="E1942" s="893" t="s">
        <v>6296</v>
      </c>
      <c r="I1942" s="888"/>
      <c r="J1942" s="888"/>
      <c r="K1942" s="888"/>
      <c r="L1942" s="888"/>
      <c r="M1942" s="888"/>
      <c r="N1942" s="888"/>
      <c r="O1942" s="888"/>
      <c r="P1942" s="888"/>
      <c r="Q1942" s="888"/>
      <c r="R1942" s="888"/>
    </row>
    <row r="1943" spans="1:18" s="893" customFormat="1" x14ac:dyDescent="0.3">
      <c r="A1943" s="888" t="str">
        <f>IF(LEN('Translation-EN'!A1943)&gt;0,'Translation-EN'!A1943,"")</f>
        <v>Range</v>
      </c>
      <c r="B1943" s="888" t="str">
        <f>IF(LEN('Translation-EN'!B1943)&gt;0,'Translation-EN'!B1943,"")</f>
        <v>Master sheet</v>
      </c>
      <c r="C1943" s="888" t="str">
        <f>IF(LEN('Translation-EN'!C1943)&gt;0,'Translation-EN'!C1943,"")</f>
        <v>C162</v>
      </c>
      <c r="D1943" s="888" t="str">
        <f>IF(LEN('Translation-EN'!D1943)&gt;0,'Translation-EN'!D1943,"")</f>
        <v/>
      </c>
      <c r="E1943" s="893" t="str">
        <f>$E$1834</f>
        <v>Vaagen Timbers</v>
      </c>
      <c r="I1943" s="888"/>
      <c r="J1943" s="888"/>
      <c r="K1943" s="888"/>
      <c r="L1943" s="888"/>
      <c r="M1943" s="888"/>
      <c r="N1943" s="888"/>
      <c r="O1943" s="888"/>
      <c r="P1943" s="888"/>
      <c r="Q1943" s="888"/>
      <c r="R1943" s="888"/>
    </row>
    <row r="1944" spans="1:18" s="893" customFormat="1" x14ac:dyDescent="0.3">
      <c r="A1944" s="888" t="str">
        <f>IF(LEN('Translation-EN'!A1944)&gt;0,'Translation-EN'!A1944,"")</f>
        <v>Range</v>
      </c>
      <c r="B1944" s="888" t="str">
        <f>IF(LEN('Translation-EN'!B1944)&gt;0,'Translation-EN'!B1944,"")</f>
        <v>Master sheet</v>
      </c>
      <c r="C1944" s="888" t="str">
        <f>IF(LEN('Translation-EN'!C1944)&gt;0,'Translation-EN'!C1944,"")</f>
        <v>E162</v>
      </c>
      <c r="D1944" s="888" t="str">
        <f>IF(LEN('Translation-EN'!D1944)&gt;0,'Translation-EN'!D1944,"")</f>
        <v/>
      </c>
      <c r="E1944" s="893" t="s">
        <v>4240</v>
      </c>
      <c r="I1944" s="888"/>
      <c r="J1944" s="888"/>
      <c r="K1944" s="888"/>
      <c r="L1944" s="888"/>
      <c r="M1944" s="888"/>
      <c r="N1944" s="888"/>
      <c r="O1944" s="888"/>
      <c r="P1944" s="888"/>
      <c r="Q1944" s="888"/>
      <c r="R1944" s="888"/>
    </row>
    <row r="1945" spans="1:18" s="893" customFormat="1" x14ac:dyDescent="0.3">
      <c r="A1945" s="888" t="str">
        <f>IF(LEN('Translation-EN'!A1945)&gt;0,'Translation-EN'!A1945,"")</f>
        <v>Range</v>
      </c>
      <c r="B1945" s="888" t="str">
        <f>IF(LEN('Translation-EN'!B1945)&gt;0,'Translation-EN'!B1945,"")</f>
        <v>Master sheet</v>
      </c>
      <c r="C1945" s="888" t="str">
        <f>IF(LEN('Translation-EN'!C1945)&gt;0,'Translation-EN'!C1945,"")</f>
        <v>B163</v>
      </c>
      <c r="D1945" s="888" t="str">
        <f>IF(LEN('Translation-EN'!D1945)&gt;0,'Translation-EN'!D1945,"")</f>
        <v/>
      </c>
      <c r="E1945" s="893" t="str">
        <f>$E$1942</f>
        <v>Bois lamellé-collé (Glulam)</v>
      </c>
      <c r="I1945" s="888"/>
      <c r="J1945" s="888"/>
      <c r="K1945" s="888"/>
      <c r="L1945" s="888"/>
      <c r="M1945" s="888"/>
      <c r="N1945" s="888"/>
      <c r="O1945" s="888"/>
      <c r="P1945" s="888"/>
      <c r="Q1945" s="888"/>
      <c r="R1945" s="888"/>
    </row>
    <row r="1946" spans="1:18" s="893" customFormat="1" x14ac:dyDescent="0.3">
      <c r="A1946" s="888" t="str">
        <f>IF(LEN('Translation-EN'!A1946)&gt;0,'Translation-EN'!A1946,"")</f>
        <v>Range</v>
      </c>
      <c r="B1946" s="888" t="str">
        <f>IF(LEN('Translation-EN'!B1946)&gt;0,'Translation-EN'!B1946,"")</f>
        <v>Master sheet</v>
      </c>
      <c r="C1946" s="888" t="str">
        <f>IF(LEN('Translation-EN'!C1946)&gt;0,'Translation-EN'!C1946,"")</f>
        <v>C163</v>
      </c>
      <c r="D1946" s="888" t="str">
        <f>IF(LEN('Translation-EN'!D1946)&gt;0,'Translation-EN'!D1946,"")</f>
        <v/>
      </c>
      <c r="E1946" s="893" t="str">
        <f>$E$1827</f>
        <v>Kalesnikoff Lumber Co.</v>
      </c>
      <c r="I1946" s="888"/>
      <c r="J1946" s="888"/>
      <c r="K1946" s="888"/>
      <c r="L1946" s="888"/>
      <c r="M1946" s="888"/>
      <c r="N1946" s="888"/>
      <c r="O1946" s="888"/>
      <c r="P1946" s="888"/>
      <c r="Q1946" s="888"/>
      <c r="R1946" s="888"/>
    </row>
    <row r="1947" spans="1:18" s="893" customFormat="1" x14ac:dyDescent="0.3">
      <c r="A1947" s="888" t="str">
        <f>IF(LEN('Translation-EN'!A1947)&gt;0,'Translation-EN'!A1947,"")</f>
        <v>Range</v>
      </c>
      <c r="B1947" s="888" t="str">
        <f>IF(LEN('Translation-EN'!B1947)&gt;0,'Translation-EN'!B1947,"")</f>
        <v>Master sheet</v>
      </c>
      <c r="C1947" s="888" t="str">
        <f>IF(LEN('Translation-EN'!C1947)&gt;0,'Translation-EN'!C1947,"")</f>
        <v>E163</v>
      </c>
      <c r="D1947" s="888" t="str">
        <f>IF(LEN('Translation-EN'!D1947)&gt;0,'Translation-EN'!D1947,"")</f>
        <v/>
      </c>
      <c r="E1947" s="893" t="s">
        <v>6297</v>
      </c>
      <c r="I1947" s="888"/>
      <c r="J1947" s="888"/>
      <c r="K1947" s="888"/>
      <c r="L1947" s="888"/>
      <c r="M1947" s="888"/>
      <c r="N1947" s="888"/>
      <c r="O1947" s="888"/>
      <c r="P1947" s="888"/>
      <c r="Q1947" s="888"/>
      <c r="R1947" s="888"/>
    </row>
    <row r="1948" spans="1:18" s="893" customFormat="1" x14ac:dyDescent="0.3">
      <c r="A1948" s="888" t="str">
        <f>IF(LEN('Translation-EN'!A1948)&gt;0,'Translation-EN'!A1948,"")</f>
        <v>Range</v>
      </c>
      <c r="B1948" s="888" t="str">
        <f>IF(LEN('Translation-EN'!B1948)&gt;0,'Translation-EN'!B1948,"")</f>
        <v>Master sheet</v>
      </c>
      <c r="C1948" s="888" t="str">
        <f>IF(LEN('Translation-EN'!C1948)&gt;0,'Translation-EN'!C1948,"")</f>
        <v>B164</v>
      </c>
      <c r="D1948" s="888" t="str">
        <f>IF(LEN('Translation-EN'!D1948)&gt;0,'Translation-EN'!D1948,"")</f>
        <v/>
      </c>
      <c r="E1948" s="893" t="str">
        <f>$E$1942</f>
        <v>Bois lamellé-collé (Glulam)</v>
      </c>
      <c r="I1948" s="888"/>
      <c r="J1948" s="888"/>
      <c r="K1948" s="888"/>
      <c r="L1948" s="888"/>
      <c r="M1948" s="888"/>
      <c r="N1948" s="888"/>
      <c r="O1948" s="888"/>
      <c r="P1948" s="888"/>
      <c r="Q1948" s="888"/>
      <c r="R1948" s="888"/>
    </row>
    <row r="1949" spans="1:18" s="893" customFormat="1" x14ac:dyDescent="0.3">
      <c r="A1949" s="888" t="str">
        <f>IF(LEN('Translation-EN'!A1949)&gt;0,'Translation-EN'!A1949,"")</f>
        <v>Range</v>
      </c>
      <c r="B1949" s="888" t="str">
        <f>IF(LEN('Translation-EN'!B1949)&gt;0,'Translation-EN'!B1949,"")</f>
        <v>Master sheet</v>
      </c>
      <c r="C1949" s="888" t="str">
        <f>IF(LEN('Translation-EN'!C1949)&gt;0,'Translation-EN'!C1949,"")</f>
        <v>C164</v>
      </c>
      <c r="D1949" s="888" t="str">
        <f>IF(LEN('Translation-EN'!D1949)&gt;0,'Translation-EN'!D1949,"")</f>
        <v/>
      </c>
      <c r="E1949" s="893" t="s">
        <v>4244</v>
      </c>
      <c r="I1949" s="888"/>
      <c r="J1949" s="888"/>
      <c r="K1949" s="888"/>
      <c r="L1949" s="888"/>
      <c r="M1949" s="888"/>
      <c r="N1949" s="888"/>
      <c r="O1949" s="888"/>
      <c r="P1949" s="888"/>
      <c r="Q1949" s="888"/>
      <c r="R1949" s="888"/>
    </row>
    <row r="1950" spans="1:18" s="893" customFormat="1" x14ac:dyDescent="0.3">
      <c r="A1950" s="888" t="str">
        <f>IF(LEN('Translation-EN'!A1950)&gt;0,'Translation-EN'!A1950,"")</f>
        <v>Range</v>
      </c>
      <c r="B1950" s="888" t="str">
        <f>IF(LEN('Translation-EN'!B1950)&gt;0,'Translation-EN'!B1950,"")</f>
        <v>Master sheet</v>
      </c>
      <c r="C1950" s="888" t="str">
        <f>IF(LEN('Translation-EN'!C1950)&gt;0,'Translation-EN'!C1950,"")</f>
        <v>E164</v>
      </c>
      <c r="D1950" s="888" t="str">
        <f>IF(LEN('Translation-EN'!D1950)&gt;0,'Translation-EN'!D1950,"")</f>
        <v/>
      </c>
      <c r="E1950" s="893" t="s">
        <v>1209</v>
      </c>
      <c r="I1950" s="888"/>
      <c r="J1950" s="888"/>
      <c r="K1950" s="888"/>
      <c r="L1950" s="888"/>
      <c r="M1950" s="888"/>
      <c r="N1950" s="888"/>
      <c r="O1950" s="888"/>
      <c r="P1950" s="888"/>
      <c r="Q1950" s="888"/>
      <c r="R1950" s="888"/>
    </row>
    <row r="1951" spans="1:18" s="893" customFormat="1" x14ac:dyDescent="0.3">
      <c r="A1951" s="888" t="str">
        <f>IF(LEN('Translation-EN'!A1951)&gt;0,'Translation-EN'!A1951,"")</f>
        <v>Range</v>
      </c>
      <c r="B1951" s="888" t="str">
        <f>IF(LEN('Translation-EN'!B1951)&gt;0,'Translation-EN'!B1951,"")</f>
        <v>Master sheet</v>
      </c>
      <c r="C1951" s="888" t="str">
        <f>IF(LEN('Translation-EN'!C1951)&gt;0,'Translation-EN'!C1951,"")</f>
        <v>B165</v>
      </c>
      <c r="D1951" s="888" t="str">
        <f>IF(LEN('Translation-EN'!D1951)&gt;0,'Translation-EN'!D1951,"")</f>
        <v/>
      </c>
      <c r="E1951" s="893" t="str">
        <f>$E$1942</f>
        <v>Bois lamellé-collé (Glulam)</v>
      </c>
      <c r="I1951" s="888"/>
      <c r="J1951" s="888"/>
      <c r="K1951" s="888"/>
      <c r="L1951" s="888"/>
      <c r="M1951" s="888"/>
      <c r="N1951" s="888"/>
      <c r="O1951" s="888"/>
      <c r="P1951" s="888"/>
      <c r="Q1951" s="888"/>
      <c r="R1951" s="888"/>
    </row>
    <row r="1952" spans="1:18" s="893" customFormat="1" x14ac:dyDescent="0.3">
      <c r="A1952" s="888" t="str">
        <f>IF(LEN('Translation-EN'!A1952)&gt;0,'Translation-EN'!A1952,"")</f>
        <v>Range</v>
      </c>
      <c r="B1952" s="888" t="str">
        <f>IF(LEN('Translation-EN'!B1952)&gt;0,'Translation-EN'!B1952,"")</f>
        <v>Master sheet</v>
      </c>
      <c r="C1952" s="888" t="str">
        <f>IF(LEN('Translation-EN'!C1952)&gt;0,'Translation-EN'!C1952,"")</f>
        <v>C165</v>
      </c>
      <c r="D1952" s="888" t="str">
        <f>IF(LEN('Translation-EN'!D1952)&gt;0,'Translation-EN'!D1952,"")</f>
        <v/>
      </c>
      <c r="E1952" s="893" t="str">
        <f>$E$1949</f>
        <v>Western Archrib</v>
      </c>
      <c r="I1952" s="888"/>
      <c r="J1952" s="888"/>
      <c r="K1952" s="888"/>
      <c r="L1952" s="888"/>
      <c r="M1952" s="888"/>
      <c r="N1952" s="888"/>
      <c r="O1952" s="888"/>
      <c r="P1952" s="888"/>
      <c r="Q1952" s="888"/>
      <c r="R1952" s="888"/>
    </row>
    <row r="1953" spans="1:18" s="893" customFormat="1" x14ac:dyDescent="0.3">
      <c r="A1953" s="888" t="str">
        <f>IF(LEN('Translation-EN'!A1953)&gt;0,'Translation-EN'!A1953,"")</f>
        <v>Range</v>
      </c>
      <c r="B1953" s="888" t="str">
        <f>IF(LEN('Translation-EN'!B1953)&gt;0,'Translation-EN'!B1953,"")</f>
        <v>Master sheet</v>
      </c>
      <c r="C1953" s="888" t="str">
        <f>IF(LEN('Translation-EN'!C1953)&gt;0,'Translation-EN'!C1953,"")</f>
        <v>E165</v>
      </c>
      <c r="D1953" s="888" t="str">
        <f>IF(LEN('Translation-EN'!D1953)&gt;0,'Translation-EN'!D1953,"")</f>
        <v/>
      </c>
      <c r="E1953" s="893" t="s">
        <v>1207</v>
      </c>
      <c r="I1953" s="888"/>
      <c r="J1953" s="888"/>
      <c r="K1953" s="888"/>
      <c r="L1953" s="888"/>
      <c r="M1953" s="888"/>
      <c r="N1953" s="888"/>
      <c r="O1953" s="888"/>
      <c r="P1953" s="888"/>
      <c r="Q1953" s="888"/>
      <c r="R1953" s="888"/>
    </row>
    <row r="1954" spans="1:18" s="893" customFormat="1" x14ac:dyDescent="0.3">
      <c r="A1954" s="888" t="str">
        <f>IF(LEN('Translation-EN'!A1954)&gt;0,'Translation-EN'!A1954,"")</f>
        <v>Range</v>
      </c>
      <c r="B1954" s="888" t="str">
        <f>IF(LEN('Translation-EN'!B1954)&gt;0,'Translation-EN'!B1954,"")</f>
        <v>Master sheet</v>
      </c>
      <c r="C1954" s="888" t="str">
        <f>IF(LEN('Translation-EN'!C1954)&gt;0,'Translation-EN'!C1954,"")</f>
        <v>B166</v>
      </c>
      <c r="D1954" s="888" t="str">
        <f>IF(LEN('Translation-EN'!D1954)&gt;0,'Translation-EN'!D1954,"")</f>
        <v/>
      </c>
      <c r="E1954" s="893" t="str">
        <f>$E$1942</f>
        <v>Bois lamellé-collé (Glulam)</v>
      </c>
      <c r="I1954" s="888"/>
      <c r="J1954" s="888"/>
      <c r="K1954" s="888"/>
      <c r="L1954" s="888"/>
      <c r="M1954" s="888"/>
      <c r="N1954" s="888"/>
      <c r="O1954" s="888"/>
      <c r="P1954" s="888"/>
      <c r="Q1954" s="888"/>
      <c r="R1954" s="888"/>
    </row>
    <row r="1955" spans="1:18" s="893" customFormat="1" x14ac:dyDescent="0.3">
      <c r="A1955" s="888" t="str">
        <f>IF(LEN('Translation-EN'!A1955)&gt;0,'Translation-EN'!A1955,"")</f>
        <v>Range</v>
      </c>
      <c r="B1955" s="888" t="str">
        <f>IF(LEN('Translation-EN'!B1955)&gt;0,'Translation-EN'!B1955,"")</f>
        <v>Master sheet</v>
      </c>
      <c r="C1955" s="888" t="str">
        <f>IF(LEN('Translation-EN'!C1955)&gt;0,'Translation-EN'!C1955,"")</f>
        <v>C166</v>
      </c>
      <c r="D1955" s="888" t="str">
        <f>IF(LEN('Translation-EN'!D1955)&gt;0,'Translation-EN'!D1955,"")</f>
        <v/>
      </c>
      <c r="E1955" s="893" t="str">
        <f>$E$1823</f>
        <v>Element5</v>
      </c>
      <c r="I1955" s="888"/>
      <c r="J1955" s="888"/>
      <c r="K1955" s="888"/>
      <c r="L1955" s="888"/>
      <c r="M1955" s="888"/>
      <c r="N1955" s="888"/>
      <c r="O1955" s="888"/>
      <c r="P1955" s="888"/>
      <c r="Q1955" s="888"/>
      <c r="R1955" s="888"/>
    </row>
    <row r="1956" spans="1:18" s="893" customFormat="1" x14ac:dyDescent="0.3">
      <c r="A1956" s="888" t="str">
        <f>IF(LEN('Translation-EN'!A1956)&gt;0,'Translation-EN'!A1956,"")</f>
        <v>Range</v>
      </c>
      <c r="B1956" s="888" t="str">
        <f>IF(LEN('Translation-EN'!B1956)&gt;0,'Translation-EN'!B1956,"")</f>
        <v>Master sheet</v>
      </c>
      <c r="C1956" s="888" t="str">
        <f>IF(LEN('Translation-EN'!C1956)&gt;0,'Translation-EN'!C1956,"")</f>
        <v>E166</v>
      </c>
      <c r="D1956" s="888" t="str">
        <f>IF(LEN('Translation-EN'!D1956)&gt;0,'Translation-EN'!D1956,"")</f>
        <v/>
      </c>
      <c r="E1956" s="893" t="s">
        <v>1110</v>
      </c>
      <c r="I1956" s="888"/>
      <c r="J1956" s="888"/>
      <c r="K1956" s="888"/>
      <c r="L1956" s="888"/>
      <c r="M1956" s="888"/>
      <c r="N1956" s="888"/>
      <c r="O1956" s="888"/>
      <c r="P1956" s="888"/>
      <c r="Q1956" s="888"/>
      <c r="R1956" s="888"/>
    </row>
    <row r="1957" spans="1:18" s="893" customFormat="1" x14ac:dyDescent="0.3">
      <c r="A1957" s="888" t="str">
        <f>IF(LEN('Translation-EN'!A1957)&gt;0,'Translation-EN'!A1957,"")</f>
        <v>Range</v>
      </c>
      <c r="B1957" s="888" t="str">
        <f>IF(LEN('Translation-EN'!B1957)&gt;0,'Translation-EN'!B1957,"")</f>
        <v>Master sheet</v>
      </c>
      <c r="C1957" s="888" t="str">
        <f>IF(LEN('Translation-EN'!C1957)&gt;0,'Translation-EN'!C1957,"")</f>
        <v>B168</v>
      </c>
      <c r="D1957" s="888" t="str">
        <f>IF(LEN('Translation-EN'!D1957)&gt;0,'Translation-EN'!D1957,"")</f>
        <v/>
      </c>
      <c r="E1957" s="893" t="s">
        <v>6298</v>
      </c>
      <c r="I1957" s="888"/>
      <c r="J1957" s="888"/>
      <c r="K1957" s="888"/>
      <c r="L1957" s="888"/>
      <c r="M1957" s="888"/>
      <c r="N1957" s="888"/>
      <c r="O1957" s="888"/>
      <c r="P1957" s="888"/>
      <c r="Q1957" s="888"/>
      <c r="R1957" s="888"/>
    </row>
    <row r="1958" spans="1:18" s="893" customFormat="1" x14ac:dyDescent="0.3">
      <c r="A1958" s="888" t="str">
        <f>IF(LEN('Translation-EN'!A1958)&gt;0,'Translation-EN'!A1958,"")</f>
        <v>Range</v>
      </c>
      <c r="B1958" s="888" t="str">
        <f>IF(LEN('Translation-EN'!B1958)&gt;0,'Translation-EN'!B1958,"")</f>
        <v>Master sheet</v>
      </c>
      <c r="C1958" s="888" t="str">
        <f>IF(LEN('Translation-EN'!C1958)&gt;0,'Translation-EN'!C1958,"")</f>
        <v>C168</v>
      </c>
      <c r="D1958" s="888" t="str">
        <f>IF(LEN('Translation-EN'!D1958)&gt;0,'Translation-EN'!D1958,"")</f>
        <v/>
      </c>
      <c r="E1958" s="893" t="s">
        <v>6299</v>
      </c>
      <c r="I1958" s="888"/>
      <c r="J1958" s="888"/>
      <c r="K1958" s="888"/>
      <c r="L1958" s="888"/>
      <c r="M1958" s="888"/>
      <c r="N1958" s="888"/>
      <c r="O1958" s="888"/>
      <c r="P1958" s="888"/>
      <c r="Q1958" s="888"/>
      <c r="R1958" s="888"/>
    </row>
    <row r="1959" spans="1:18" s="893" customFormat="1" x14ac:dyDescent="0.3">
      <c r="A1959" s="888" t="str">
        <f>IF(LEN('Translation-EN'!A1959)&gt;0,'Translation-EN'!A1959,"")</f>
        <v>Range</v>
      </c>
      <c r="B1959" s="888" t="str">
        <f>IF(LEN('Translation-EN'!B1959)&gt;0,'Translation-EN'!B1959,"")</f>
        <v>Master sheet</v>
      </c>
      <c r="C1959" s="888" t="str">
        <f>IF(LEN('Translation-EN'!C1959)&gt;0,'Translation-EN'!C1959,"")</f>
        <v>D168</v>
      </c>
      <c r="D1959" s="888" t="str">
        <f>IF(LEN('Translation-EN'!D1959)&gt;0,'Translation-EN'!D1959,"")</f>
        <v/>
      </c>
      <c r="E1959" s="893" t="s">
        <v>6300</v>
      </c>
      <c r="I1959" s="888"/>
      <c r="J1959" s="888"/>
      <c r="K1959" s="888"/>
      <c r="L1959" s="888"/>
      <c r="M1959" s="888"/>
      <c r="N1959" s="888"/>
      <c r="O1959" s="888"/>
      <c r="P1959" s="888"/>
      <c r="Q1959" s="888"/>
      <c r="R1959" s="888"/>
    </row>
    <row r="1960" spans="1:18" s="893" customFormat="1" x14ac:dyDescent="0.3">
      <c r="A1960" s="888" t="str">
        <f>IF(LEN('Translation-EN'!A1960)&gt;0,'Translation-EN'!A1960,"")</f>
        <v>Range</v>
      </c>
      <c r="B1960" s="888" t="str">
        <f>IF(LEN('Translation-EN'!B1960)&gt;0,'Translation-EN'!B1960,"")</f>
        <v>Master sheet</v>
      </c>
      <c r="C1960" s="888" t="str">
        <f>IF(LEN('Translation-EN'!C1960)&gt;0,'Translation-EN'!C1960,"")</f>
        <v>B169</v>
      </c>
      <c r="D1960" s="888" t="str">
        <f>IF(LEN('Translation-EN'!D1960)&gt;0,'Translation-EN'!D1960,"")</f>
        <v/>
      </c>
      <c r="E1960" s="893" t="str">
        <f>$E$1957</f>
        <v>Panneaux de gypse – matelas de verre</v>
      </c>
      <c r="I1960" s="888"/>
      <c r="J1960" s="888"/>
      <c r="K1960" s="888"/>
      <c r="L1960" s="888"/>
      <c r="M1960" s="888"/>
      <c r="N1960" s="888"/>
      <c r="O1960" s="888"/>
      <c r="P1960" s="888"/>
      <c r="Q1960" s="888"/>
      <c r="R1960" s="888"/>
    </row>
    <row r="1961" spans="1:18" s="893" customFormat="1" x14ac:dyDescent="0.3">
      <c r="A1961" s="888" t="str">
        <f>IF(LEN('Translation-EN'!A1961)&gt;0,'Translation-EN'!A1961,"")</f>
        <v>Range</v>
      </c>
      <c r="B1961" s="888" t="str">
        <f>IF(LEN('Translation-EN'!B1961)&gt;0,'Translation-EN'!B1961,"")</f>
        <v>Master sheet</v>
      </c>
      <c r="C1961" s="888" t="str">
        <f>IF(LEN('Translation-EN'!C1961)&gt;0,'Translation-EN'!C1961,"")</f>
        <v>C169</v>
      </c>
      <c r="D1961" s="888" t="str">
        <f>IF(LEN('Translation-EN'!D1961)&gt;0,'Translation-EN'!D1961,"")</f>
        <v/>
      </c>
      <c r="E1961" s="893" t="s">
        <v>4251</v>
      </c>
      <c r="I1961" s="888"/>
      <c r="J1961" s="888"/>
      <c r="K1961" s="888"/>
      <c r="L1961" s="888"/>
      <c r="M1961" s="888"/>
      <c r="N1961" s="888"/>
      <c r="O1961" s="888"/>
      <c r="P1961" s="888"/>
      <c r="Q1961" s="888"/>
      <c r="R1961" s="888"/>
    </row>
    <row r="1962" spans="1:18" s="893" customFormat="1" x14ac:dyDescent="0.3">
      <c r="A1962" s="888" t="str">
        <f>IF(LEN('Translation-EN'!A1962)&gt;0,'Translation-EN'!A1962,"")</f>
        <v>Range</v>
      </c>
      <c r="B1962" s="888" t="str">
        <f>IF(LEN('Translation-EN'!B1962)&gt;0,'Translation-EN'!B1962,"")</f>
        <v>Master sheet</v>
      </c>
      <c r="C1962" s="888" t="str">
        <f>IF(LEN('Translation-EN'!C1962)&gt;0,'Translation-EN'!C1962,"")</f>
        <v>D169</v>
      </c>
      <c r="D1962" s="888" t="str">
        <f>IF(LEN('Translation-EN'!D1962)&gt;0,'Translation-EN'!D1962,"")</f>
        <v/>
      </c>
      <c r="E1962" s="893" t="s">
        <v>4540</v>
      </c>
      <c r="I1962" s="888"/>
      <c r="J1962" s="888"/>
      <c r="K1962" s="888"/>
      <c r="L1962" s="888"/>
      <c r="M1962" s="888"/>
      <c r="N1962" s="888"/>
      <c r="O1962" s="888"/>
      <c r="P1962" s="888"/>
      <c r="Q1962" s="888"/>
      <c r="R1962" s="888"/>
    </row>
    <row r="1963" spans="1:18" s="893" customFormat="1" x14ac:dyDescent="0.3">
      <c r="A1963" s="888" t="str">
        <f>IF(LEN('Translation-EN'!A1963)&gt;0,'Translation-EN'!A1963,"")</f>
        <v>Range</v>
      </c>
      <c r="B1963" s="888" t="str">
        <f>IF(LEN('Translation-EN'!B1963)&gt;0,'Translation-EN'!B1963,"")</f>
        <v>Master sheet</v>
      </c>
      <c r="C1963" s="888" t="str">
        <f>IF(LEN('Translation-EN'!C1963)&gt;0,'Translation-EN'!C1963,"")</f>
        <v>B170</v>
      </c>
      <c r="D1963" s="888" t="str">
        <f>IF(LEN('Translation-EN'!D1963)&gt;0,'Translation-EN'!D1963,"")</f>
        <v/>
      </c>
      <c r="E1963" s="893" t="str">
        <f>$E$1957</f>
        <v>Panneaux de gypse – matelas de verre</v>
      </c>
      <c r="I1963" s="888"/>
      <c r="J1963" s="888"/>
      <c r="K1963" s="888"/>
      <c r="L1963" s="888"/>
      <c r="M1963" s="888"/>
      <c r="N1963" s="888"/>
      <c r="O1963" s="888"/>
      <c r="P1963" s="888"/>
      <c r="Q1963" s="888"/>
      <c r="R1963" s="888"/>
    </row>
    <row r="1964" spans="1:18" s="893" customFormat="1" x14ac:dyDescent="0.3">
      <c r="A1964" s="888" t="str">
        <f>IF(LEN('Translation-EN'!A1964)&gt;0,'Translation-EN'!A1964,"")</f>
        <v>Range</v>
      </c>
      <c r="B1964" s="888" t="str">
        <f>IF(LEN('Translation-EN'!B1964)&gt;0,'Translation-EN'!B1964,"")</f>
        <v>Master sheet</v>
      </c>
      <c r="C1964" s="888" t="str">
        <f>IF(LEN('Translation-EN'!C1964)&gt;0,'Translation-EN'!C1964,"")</f>
        <v>C170</v>
      </c>
      <c r="D1964" s="888" t="str">
        <f>IF(LEN('Translation-EN'!D1964)&gt;0,'Translation-EN'!D1964,"")</f>
        <v/>
      </c>
      <c r="E1964" s="893" t="str">
        <f>$E$1672</f>
        <v>USG</v>
      </c>
      <c r="I1964" s="888"/>
      <c r="J1964" s="888"/>
      <c r="K1964" s="888"/>
      <c r="L1964" s="888"/>
      <c r="M1964" s="888"/>
      <c r="N1964" s="888"/>
      <c r="O1964" s="888"/>
      <c r="P1964" s="888"/>
      <c r="Q1964" s="888"/>
      <c r="R1964" s="888"/>
    </row>
    <row r="1965" spans="1:18" s="893" customFormat="1" x14ac:dyDescent="0.3">
      <c r="A1965" s="888" t="str">
        <f>IF(LEN('Translation-EN'!A1965)&gt;0,'Translation-EN'!A1965,"")</f>
        <v>Range</v>
      </c>
      <c r="B1965" s="888" t="str">
        <f>IF(LEN('Translation-EN'!B1965)&gt;0,'Translation-EN'!B1965,"")</f>
        <v>Master sheet</v>
      </c>
      <c r="C1965" s="888" t="str">
        <f>IF(LEN('Translation-EN'!C1965)&gt;0,'Translation-EN'!C1965,"")</f>
        <v>D170</v>
      </c>
      <c r="D1965" s="888" t="str">
        <f>IF(LEN('Translation-EN'!D1965)&gt;0,'Translation-EN'!D1965,"")</f>
        <v/>
      </c>
      <c r="E1965" s="893" t="s">
        <v>6301</v>
      </c>
      <c r="I1965" s="888"/>
      <c r="J1965" s="888"/>
      <c r="K1965" s="888"/>
      <c r="L1965" s="888"/>
      <c r="M1965" s="888"/>
      <c r="N1965" s="888"/>
      <c r="O1965" s="888"/>
      <c r="P1965" s="888"/>
      <c r="Q1965" s="888"/>
      <c r="R1965" s="888"/>
    </row>
    <row r="1966" spans="1:18" s="893" customFormat="1" x14ac:dyDescent="0.3">
      <c r="A1966" s="888" t="str">
        <f>IF(LEN('Translation-EN'!A1966)&gt;0,'Translation-EN'!A1966,"")</f>
        <v>Range</v>
      </c>
      <c r="B1966" s="888" t="str">
        <f>IF(LEN('Translation-EN'!B1966)&gt;0,'Translation-EN'!B1966,"")</f>
        <v>Master sheet</v>
      </c>
      <c r="C1966" s="888" t="str">
        <f>IF(LEN('Translation-EN'!C1966)&gt;0,'Translation-EN'!C1966,"")</f>
        <v>B172</v>
      </c>
      <c r="D1966" s="888" t="str">
        <f>IF(LEN('Translation-EN'!D1966)&gt;0,'Translation-EN'!D1966,"")</f>
        <v/>
      </c>
      <c r="E1966" s="893" t="s">
        <v>6302</v>
      </c>
      <c r="I1966" s="888"/>
      <c r="J1966" s="888"/>
      <c r="K1966" s="888"/>
      <c r="L1966" s="888"/>
      <c r="M1966" s="888"/>
      <c r="N1966" s="888"/>
      <c r="O1966" s="888"/>
      <c r="P1966" s="888"/>
      <c r="Q1966" s="888"/>
      <c r="R1966" s="888"/>
    </row>
    <row r="1967" spans="1:18" s="893" customFormat="1" x14ac:dyDescent="0.3">
      <c r="A1967" s="888" t="str">
        <f>IF(LEN('Translation-EN'!A1967)&gt;0,'Translation-EN'!A1967,"")</f>
        <v>Range</v>
      </c>
      <c r="B1967" s="888" t="str">
        <f>IF(LEN('Translation-EN'!B1967)&gt;0,'Translation-EN'!B1967,"")</f>
        <v>Master sheet</v>
      </c>
      <c r="C1967" s="888" t="str">
        <f>IF(LEN('Translation-EN'!C1967)&gt;0,'Translation-EN'!C1967,"")</f>
        <v>C172</v>
      </c>
      <c r="D1967" s="888" t="str">
        <f>IF(LEN('Translation-EN'!D1967)&gt;0,'Translation-EN'!D1967,"")</f>
        <v/>
      </c>
      <c r="E1967" s="893" t="s">
        <v>416</v>
      </c>
      <c r="I1967" s="888"/>
      <c r="J1967" s="888"/>
      <c r="K1967" s="888"/>
      <c r="L1967" s="888"/>
      <c r="M1967" s="888"/>
      <c r="N1967" s="888"/>
      <c r="O1967" s="888"/>
      <c r="P1967" s="888"/>
      <c r="Q1967" s="888"/>
      <c r="R1967" s="888"/>
    </row>
    <row r="1968" spans="1:18" s="893" customFormat="1" x14ac:dyDescent="0.3">
      <c r="A1968" s="888" t="str">
        <f>IF(LEN('Translation-EN'!A1968)&gt;0,'Translation-EN'!A1968,"")</f>
        <v>Range</v>
      </c>
      <c r="B1968" s="888" t="str">
        <f>IF(LEN('Translation-EN'!B1968)&gt;0,'Translation-EN'!B1968,"")</f>
        <v>Master sheet</v>
      </c>
      <c r="C1968" s="888" t="str">
        <f>IF(LEN('Translation-EN'!C1968)&gt;0,'Translation-EN'!C1968,"")</f>
        <v>D172</v>
      </c>
      <c r="D1968" s="888" t="str">
        <f>IF(LEN('Translation-EN'!D1968)&gt;0,'Translation-EN'!D1968,"")</f>
        <v/>
      </c>
      <c r="E1968" s="893" t="s">
        <v>6303</v>
      </c>
      <c r="I1968" s="888"/>
      <c r="J1968" s="888"/>
      <c r="K1968" s="888"/>
      <c r="L1968" s="888"/>
      <c r="M1968" s="888"/>
      <c r="N1968" s="888"/>
      <c r="O1968" s="888"/>
      <c r="P1968" s="888"/>
      <c r="Q1968" s="888"/>
      <c r="R1968" s="888"/>
    </row>
    <row r="1969" spans="1:18" s="893" customFormat="1" x14ac:dyDescent="0.3">
      <c r="A1969" s="888" t="str">
        <f>IF(LEN('Translation-EN'!A1969)&gt;0,'Translation-EN'!A1969,"")</f>
        <v>Range</v>
      </c>
      <c r="B1969" s="888" t="str">
        <f>IF(LEN('Translation-EN'!B1969)&gt;0,'Translation-EN'!B1969,"")</f>
        <v>Master sheet</v>
      </c>
      <c r="C1969" s="888" t="str">
        <f>IF(LEN('Translation-EN'!C1969)&gt;0,'Translation-EN'!C1969,"")</f>
        <v>E172</v>
      </c>
      <c r="D1969" s="888" t="str">
        <f>IF(LEN('Translation-EN'!D1969)&gt;0,'Translation-EN'!D1969,"")</f>
        <v/>
      </c>
      <c r="E1969" s="893" t="s">
        <v>6304</v>
      </c>
      <c r="I1969" s="888"/>
      <c r="J1969" s="888"/>
      <c r="K1969" s="888"/>
      <c r="L1969" s="888"/>
      <c r="M1969" s="888"/>
      <c r="N1969" s="888"/>
      <c r="O1969" s="888"/>
      <c r="P1969" s="888"/>
      <c r="Q1969" s="888"/>
      <c r="R1969" s="888"/>
    </row>
    <row r="1970" spans="1:18" s="893" customFormat="1" x14ac:dyDescent="0.3">
      <c r="A1970" s="888" t="str">
        <f>IF(LEN('Translation-EN'!A1970)&gt;0,'Translation-EN'!A1970,"")</f>
        <v>Range</v>
      </c>
      <c r="B1970" s="888" t="str">
        <f>IF(LEN('Translation-EN'!B1970)&gt;0,'Translation-EN'!B1970,"")</f>
        <v>Master sheet</v>
      </c>
      <c r="C1970" s="888" t="str">
        <f>IF(LEN('Translation-EN'!C1970)&gt;0,'Translation-EN'!C1970,"")</f>
        <v>B174</v>
      </c>
      <c r="D1970" s="888" t="str">
        <f>IF(LEN('Translation-EN'!D1970)&gt;0,'Translation-EN'!D1970,"")</f>
        <v/>
      </c>
      <c r="E1970" s="893" t="str">
        <f>$E$1966</f>
        <v>Plancher en bois dur</v>
      </c>
      <c r="I1970" s="888"/>
      <c r="J1970" s="888"/>
      <c r="K1970" s="888"/>
      <c r="L1970" s="888"/>
      <c r="M1970" s="888"/>
      <c r="N1970" s="888"/>
      <c r="O1970" s="888"/>
      <c r="P1970" s="888"/>
      <c r="Q1970" s="888"/>
      <c r="R1970" s="888"/>
    </row>
    <row r="1971" spans="1:18" s="893" customFormat="1" x14ac:dyDescent="0.3">
      <c r="A1971" s="888" t="str">
        <f>IF(LEN('Translation-EN'!A1971)&gt;0,'Translation-EN'!A1971,"")</f>
        <v>Range</v>
      </c>
      <c r="B1971" s="888" t="str">
        <f>IF(LEN('Translation-EN'!B1971)&gt;0,'Translation-EN'!B1971,"")</f>
        <v>Master sheet</v>
      </c>
      <c r="C1971" s="888" t="str">
        <f>IF(LEN('Translation-EN'!C1971)&gt;0,'Translation-EN'!C1971,"")</f>
        <v>C174</v>
      </c>
      <c r="D1971" s="888" t="str">
        <f>IF(LEN('Translation-EN'!D1971)&gt;0,'Translation-EN'!D1971,"")</f>
        <v/>
      </c>
      <c r="E1971" s="893" t="s">
        <v>6305</v>
      </c>
      <c r="I1971" s="888"/>
      <c r="J1971" s="888"/>
      <c r="K1971" s="888"/>
      <c r="L1971" s="888"/>
      <c r="M1971" s="888"/>
      <c r="N1971" s="888"/>
      <c r="O1971" s="888"/>
      <c r="P1971" s="888"/>
      <c r="Q1971" s="888"/>
      <c r="R1971" s="888"/>
    </row>
    <row r="1972" spans="1:18" s="893" customFormat="1" x14ac:dyDescent="0.3">
      <c r="A1972" s="888" t="str">
        <f>IF(LEN('Translation-EN'!A1972)&gt;0,'Translation-EN'!A1972,"")</f>
        <v>Range</v>
      </c>
      <c r="B1972" s="888" t="str">
        <f>IF(LEN('Translation-EN'!B1972)&gt;0,'Translation-EN'!B1972,"")</f>
        <v>Master sheet</v>
      </c>
      <c r="C1972" s="888" t="str">
        <f>IF(LEN('Translation-EN'!C1972)&gt;0,'Translation-EN'!C1972,"")</f>
        <v>D174</v>
      </c>
      <c r="D1972" s="888" t="str">
        <f>IF(LEN('Translation-EN'!D1972)&gt;0,'Translation-EN'!D1972,"")</f>
        <v/>
      </c>
      <c r="E1972" s="893" t="s">
        <v>6306</v>
      </c>
      <c r="I1972" s="888"/>
      <c r="J1972" s="888"/>
      <c r="K1972" s="888"/>
      <c r="L1972" s="888"/>
      <c r="M1972" s="888"/>
      <c r="N1972" s="888"/>
      <c r="O1972" s="888"/>
      <c r="P1972" s="888"/>
      <c r="Q1972" s="888"/>
      <c r="R1972" s="888"/>
    </row>
    <row r="1973" spans="1:18" s="893" customFormat="1" x14ac:dyDescent="0.3">
      <c r="A1973" s="888" t="str">
        <f>IF(LEN('Translation-EN'!A1973)&gt;0,'Translation-EN'!A1973,"")</f>
        <v>Range</v>
      </c>
      <c r="B1973" s="888" t="str">
        <f>IF(LEN('Translation-EN'!B1973)&gt;0,'Translation-EN'!B1973,"")</f>
        <v>Master sheet</v>
      </c>
      <c r="C1973" s="888" t="str">
        <f>IF(LEN('Translation-EN'!C1973)&gt;0,'Translation-EN'!C1973,"")</f>
        <v>B175</v>
      </c>
      <c r="D1973" s="888" t="str">
        <f>IF(LEN('Translation-EN'!D1973)&gt;0,'Translation-EN'!D1973,"")</f>
        <v/>
      </c>
      <c r="E1973" s="893" t="str">
        <f>$E$1966</f>
        <v>Plancher en bois dur</v>
      </c>
      <c r="I1973" s="888"/>
      <c r="J1973" s="888"/>
      <c r="K1973" s="888"/>
      <c r="L1973" s="888"/>
      <c r="M1973" s="888"/>
      <c r="N1973" s="888"/>
      <c r="O1973" s="888"/>
      <c r="P1973" s="888"/>
      <c r="Q1973" s="888"/>
      <c r="R1973" s="888"/>
    </row>
    <row r="1974" spans="1:18" s="893" customFormat="1" x14ac:dyDescent="0.3">
      <c r="A1974" s="888" t="str">
        <f>IF(LEN('Translation-EN'!A1974)&gt;0,'Translation-EN'!A1974,"")</f>
        <v>Range</v>
      </c>
      <c r="B1974" s="888" t="str">
        <f>IF(LEN('Translation-EN'!B1974)&gt;0,'Translation-EN'!B1974,"")</f>
        <v>Master sheet</v>
      </c>
      <c r="C1974" s="888" t="str">
        <f>IF(LEN('Translation-EN'!C1974)&gt;0,'Translation-EN'!C1974,"")</f>
        <v>C175</v>
      </c>
      <c r="D1974" s="888" t="str">
        <f>IF(LEN('Translation-EN'!D1974)&gt;0,'Translation-EN'!D1974,"")</f>
        <v/>
      </c>
      <c r="E1974" s="893" t="s">
        <v>4259</v>
      </c>
      <c r="I1974" s="888"/>
      <c r="J1974" s="888"/>
      <c r="K1974" s="888"/>
      <c r="L1974" s="888"/>
      <c r="M1974" s="888"/>
      <c r="N1974" s="888"/>
      <c r="O1974" s="888"/>
      <c r="P1974" s="888"/>
      <c r="Q1974" s="888"/>
      <c r="R1974" s="888"/>
    </row>
    <row r="1975" spans="1:18" s="893" customFormat="1" x14ac:dyDescent="0.3">
      <c r="A1975" s="888" t="str">
        <f>IF(LEN('Translation-EN'!A1975)&gt;0,'Translation-EN'!A1975,"")</f>
        <v>Range</v>
      </c>
      <c r="B1975" s="888" t="str">
        <f>IF(LEN('Translation-EN'!B1975)&gt;0,'Translation-EN'!B1975,"")</f>
        <v>Master sheet</v>
      </c>
      <c r="C1975" s="888" t="str">
        <f>IF(LEN('Translation-EN'!C1975)&gt;0,'Translation-EN'!C1975,"")</f>
        <v>D175</v>
      </c>
      <c r="D1975" s="888" t="str">
        <f>IF(LEN('Translation-EN'!D1975)&gt;0,'Translation-EN'!D1975,"")</f>
        <v/>
      </c>
      <c r="E1975" s="893" t="s">
        <v>6307</v>
      </c>
      <c r="I1975" s="888"/>
      <c r="J1975" s="888"/>
      <c r="K1975" s="888"/>
      <c r="L1975" s="888"/>
      <c r="M1975" s="888"/>
      <c r="N1975" s="888"/>
      <c r="O1975" s="888"/>
      <c r="P1975" s="888"/>
      <c r="Q1975" s="888"/>
      <c r="R1975" s="888"/>
    </row>
    <row r="1976" spans="1:18" s="893" customFormat="1" x14ac:dyDescent="0.3">
      <c r="A1976" s="888" t="str">
        <f>IF(LEN('Translation-EN'!A1976)&gt;0,'Translation-EN'!A1976,"")</f>
        <v>Range</v>
      </c>
      <c r="B1976" s="888" t="str">
        <f>IF(LEN('Translation-EN'!B1976)&gt;0,'Translation-EN'!B1976,"")</f>
        <v>Master sheet</v>
      </c>
      <c r="C1976" s="888" t="str">
        <f>IF(LEN('Translation-EN'!C1976)&gt;0,'Translation-EN'!C1976,"")</f>
        <v>B176</v>
      </c>
      <c r="D1976" s="888" t="str">
        <f>IF(LEN('Translation-EN'!D1976)&gt;0,'Translation-EN'!D1976,"")</f>
        <v/>
      </c>
      <c r="E1976" s="893" t="s">
        <v>6308</v>
      </c>
      <c r="I1976" s="888"/>
      <c r="J1976" s="888"/>
      <c r="K1976" s="888"/>
      <c r="L1976" s="888"/>
      <c r="M1976" s="888"/>
      <c r="N1976" s="888"/>
      <c r="O1976" s="888"/>
      <c r="P1976" s="888"/>
      <c r="Q1976" s="888"/>
      <c r="R1976" s="888"/>
    </row>
    <row r="1977" spans="1:18" s="893" customFormat="1" x14ac:dyDescent="0.3">
      <c r="A1977" s="888" t="str">
        <f>IF(LEN('Translation-EN'!A1977)&gt;0,'Translation-EN'!A1977,"")</f>
        <v>Range</v>
      </c>
      <c r="B1977" s="888" t="str">
        <f>IF(LEN('Translation-EN'!B1977)&gt;0,'Translation-EN'!B1977,"")</f>
        <v>Master sheet</v>
      </c>
      <c r="C1977" s="888" t="str">
        <f>IF(LEN('Translation-EN'!C1977)&gt;0,'Translation-EN'!C1977,"")</f>
        <v>C176</v>
      </c>
      <c r="D1977" s="888" t="str">
        <f>IF(LEN('Translation-EN'!D1977)&gt;0,'Translation-EN'!D1977,"")</f>
        <v/>
      </c>
      <c r="E1977" s="893" t="s">
        <v>6309</v>
      </c>
      <c r="I1977" s="888"/>
      <c r="J1977" s="888"/>
      <c r="K1977" s="888"/>
      <c r="L1977" s="888"/>
      <c r="M1977" s="888"/>
      <c r="N1977" s="888"/>
      <c r="O1977" s="888"/>
      <c r="P1977" s="888"/>
      <c r="Q1977" s="888"/>
      <c r="R1977" s="888"/>
    </row>
    <row r="1978" spans="1:18" s="893" customFormat="1" x14ac:dyDescent="0.3">
      <c r="A1978" s="888" t="str">
        <f>IF(LEN('Translation-EN'!A1978)&gt;0,'Translation-EN'!A1978,"")</f>
        <v>Range</v>
      </c>
      <c r="B1978" s="888" t="str">
        <f>IF(LEN('Translation-EN'!B1978)&gt;0,'Translation-EN'!B1978,"")</f>
        <v>Master sheet</v>
      </c>
      <c r="C1978" s="888" t="str">
        <f>IF(LEN('Translation-EN'!C1978)&gt;0,'Translation-EN'!C1978,"")</f>
        <v>E176</v>
      </c>
      <c r="D1978" s="888" t="str">
        <f>IF(LEN('Translation-EN'!D1978)&gt;0,'Translation-EN'!D1978,"")</f>
        <v/>
      </c>
      <c r="E1978" s="893" t="s">
        <v>6310</v>
      </c>
      <c r="I1978" s="888"/>
      <c r="J1978" s="888"/>
      <c r="K1978" s="888"/>
      <c r="L1978" s="888"/>
      <c r="M1978" s="888"/>
      <c r="N1978" s="888"/>
      <c r="O1978" s="888"/>
      <c r="P1978" s="888"/>
      <c r="Q1978" s="888"/>
      <c r="R1978" s="888"/>
    </row>
    <row r="1979" spans="1:18" s="893" customFormat="1" x14ac:dyDescent="0.3">
      <c r="A1979" s="888" t="str">
        <f>IF(LEN('Translation-EN'!A1979)&gt;0,'Translation-EN'!A1979,"")</f>
        <v>Range</v>
      </c>
      <c r="B1979" s="888" t="str">
        <f>IF(LEN('Translation-EN'!B1979)&gt;0,'Translation-EN'!B1979,"")</f>
        <v>Master sheet</v>
      </c>
      <c r="C1979" s="888" t="str">
        <f>IF(LEN('Translation-EN'!C1979)&gt;0,'Translation-EN'!C1979,"")</f>
        <v>B178</v>
      </c>
      <c r="D1979" s="888" t="str">
        <f>IF(LEN('Translation-EN'!D1979)&gt;0,'Translation-EN'!D1979,"")</f>
        <v/>
      </c>
      <c r="E1979" s="893" t="s">
        <v>6311</v>
      </c>
      <c r="I1979" s="888"/>
      <c r="J1979" s="888"/>
      <c r="K1979" s="888"/>
      <c r="L1979" s="888"/>
      <c r="M1979" s="888"/>
      <c r="N1979" s="888"/>
      <c r="O1979" s="888"/>
      <c r="P1979" s="888"/>
      <c r="Q1979" s="888"/>
      <c r="R1979" s="888"/>
    </row>
    <row r="1980" spans="1:18" s="893" customFormat="1" x14ac:dyDescent="0.3">
      <c r="A1980" s="888" t="str">
        <f>IF(LEN('Translation-EN'!A1980)&gt;0,'Translation-EN'!A1980,"")</f>
        <v>Range</v>
      </c>
      <c r="B1980" s="888" t="str">
        <f>IF(LEN('Translation-EN'!B1980)&gt;0,'Translation-EN'!B1980,"")</f>
        <v>Master sheet</v>
      </c>
      <c r="C1980" s="888" t="str">
        <f>IF(LEN('Translation-EN'!C1980)&gt;0,'Translation-EN'!C1980,"")</f>
        <v>C178</v>
      </c>
      <c r="D1980" s="888" t="str">
        <f>IF(LEN('Translation-EN'!D1980)&gt;0,'Translation-EN'!D1980,"")</f>
        <v/>
      </c>
      <c r="E1980" s="893" t="s">
        <v>425</v>
      </c>
      <c r="I1980" s="888"/>
      <c r="J1980" s="888"/>
      <c r="K1980" s="888"/>
      <c r="L1980" s="888"/>
      <c r="M1980" s="888"/>
      <c r="N1980" s="888"/>
      <c r="O1980" s="888"/>
      <c r="P1980" s="888"/>
      <c r="Q1980" s="888"/>
      <c r="R1980" s="888"/>
    </row>
    <row r="1981" spans="1:18" s="893" customFormat="1" x14ac:dyDescent="0.3">
      <c r="A1981" s="888" t="str">
        <f>IF(LEN('Translation-EN'!A1981)&gt;0,'Translation-EN'!A1981,"")</f>
        <v>Range</v>
      </c>
      <c r="B1981" s="888" t="str">
        <f>IF(LEN('Translation-EN'!B1981)&gt;0,'Translation-EN'!B1981,"")</f>
        <v>Master sheet</v>
      </c>
      <c r="C1981" s="888" t="str">
        <f>IF(LEN('Translation-EN'!C1981)&gt;0,'Translation-EN'!C1981,"")</f>
        <v>D178</v>
      </c>
      <c r="D1981" s="888" t="str">
        <f>IF(LEN('Translation-EN'!D1981)&gt;0,'Translation-EN'!D1981,"")</f>
        <v/>
      </c>
      <c r="E1981" s="893" t="s">
        <v>6312</v>
      </c>
      <c r="I1981" s="888"/>
      <c r="J1981" s="888"/>
      <c r="K1981" s="888"/>
      <c r="L1981" s="888"/>
      <c r="M1981" s="888"/>
      <c r="N1981" s="888"/>
      <c r="O1981" s="888"/>
      <c r="P1981" s="888"/>
      <c r="Q1981" s="888"/>
      <c r="R1981" s="888"/>
    </row>
    <row r="1982" spans="1:18" s="893" customFormat="1" x14ac:dyDescent="0.3">
      <c r="A1982" s="888" t="str">
        <f>IF(LEN('Translation-EN'!A1982)&gt;0,'Translation-EN'!A1982,"")</f>
        <v>Range</v>
      </c>
      <c r="B1982" s="888" t="str">
        <f>IF(LEN('Translation-EN'!B1982)&gt;0,'Translation-EN'!B1982,"")</f>
        <v>Master sheet</v>
      </c>
      <c r="C1982" s="888" t="str">
        <f>IF(LEN('Translation-EN'!C1982)&gt;0,'Translation-EN'!C1982,"")</f>
        <v>E178</v>
      </c>
      <c r="D1982" s="888" t="str">
        <f>IF(LEN('Translation-EN'!D1982)&gt;0,'Translation-EN'!D1982,"")</f>
        <v/>
      </c>
      <c r="E1982" s="893" t="str">
        <f>$E$1663</f>
        <v>R 3,7/po</v>
      </c>
      <c r="I1982" s="888"/>
      <c r="J1982" s="888"/>
      <c r="K1982" s="888"/>
      <c r="L1982" s="888"/>
      <c r="M1982" s="888"/>
      <c r="N1982" s="888"/>
      <c r="O1982" s="888"/>
      <c r="P1982" s="888"/>
      <c r="Q1982" s="888"/>
      <c r="R1982" s="888"/>
    </row>
    <row r="1983" spans="1:18" s="893" customFormat="1" x14ac:dyDescent="0.3">
      <c r="A1983" s="888" t="str">
        <f>IF(LEN('Translation-EN'!A1983)&gt;0,'Translation-EN'!A1983,"")</f>
        <v>Range</v>
      </c>
      <c r="B1983" s="888" t="str">
        <f>IF(LEN('Translation-EN'!B1983)&gt;0,'Translation-EN'!B1983,"")</f>
        <v>Master sheet</v>
      </c>
      <c r="C1983" s="888" t="str">
        <f>IF(LEN('Translation-EN'!C1983)&gt;0,'Translation-EN'!C1983,"")</f>
        <v>B182</v>
      </c>
      <c r="D1983" s="888" t="str">
        <f>IF(LEN('Translation-EN'!D1983)&gt;0,'Translation-EN'!D1983,"")</f>
        <v/>
      </c>
      <c r="E1983" s="1053" t="s">
        <v>6313</v>
      </c>
      <c r="I1983" s="888"/>
      <c r="J1983" s="888"/>
      <c r="K1983" s="888"/>
      <c r="L1983" s="888"/>
      <c r="M1983" s="888"/>
      <c r="N1983" s="888"/>
      <c r="O1983" s="888"/>
      <c r="P1983" s="888"/>
      <c r="Q1983" s="888"/>
      <c r="R1983" s="888"/>
    </row>
    <row r="1984" spans="1:18" s="893" customFormat="1" x14ac:dyDescent="0.3">
      <c r="A1984" s="888" t="str">
        <f>IF(LEN('Translation-EN'!A1984)&gt;0,'Translation-EN'!A1984,"")</f>
        <v>Range</v>
      </c>
      <c r="B1984" s="888" t="str">
        <f>IF(LEN('Translation-EN'!B1984)&gt;0,'Translation-EN'!B1984,"")</f>
        <v>Master sheet</v>
      </c>
      <c r="C1984" s="888" t="str">
        <f>IF(LEN('Translation-EN'!C1984)&gt;0,'Translation-EN'!C1984,"")</f>
        <v>C182</v>
      </c>
      <c r="D1984" s="888" t="str">
        <f>IF(LEN('Translation-EN'!D1984)&gt;0,'Translation-EN'!D1984,"")</f>
        <v/>
      </c>
      <c r="E1984" s="893" t="s">
        <v>429</v>
      </c>
      <c r="I1984" s="888"/>
      <c r="J1984" s="888"/>
      <c r="K1984" s="888"/>
      <c r="L1984" s="888"/>
      <c r="M1984" s="888"/>
      <c r="N1984" s="888"/>
      <c r="O1984" s="888"/>
      <c r="P1984" s="888"/>
      <c r="Q1984" s="888"/>
      <c r="R1984" s="888"/>
    </row>
    <row r="1985" spans="1:18" s="893" customFormat="1" x14ac:dyDescent="0.3">
      <c r="A1985" s="888" t="str">
        <f>IF(LEN('Translation-EN'!A1985)&gt;0,'Translation-EN'!A1985,"")</f>
        <v>Range</v>
      </c>
      <c r="B1985" s="888" t="str">
        <f>IF(LEN('Translation-EN'!B1985)&gt;0,'Translation-EN'!B1985,"")</f>
        <v>Master sheet</v>
      </c>
      <c r="C1985" s="888" t="str">
        <f>IF(LEN('Translation-EN'!C1985)&gt;0,'Translation-EN'!C1985,"")</f>
        <v>D182</v>
      </c>
      <c r="D1985" s="888" t="str">
        <f>IF(LEN('Translation-EN'!D1985)&gt;0,'Translation-EN'!D1985,"")</f>
        <v/>
      </c>
      <c r="E1985" s="893" t="s">
        <v>430</v>
      </c>
      <c r="I1985" s="888"/>
      <c r="J1985" s="888"/>
      <c r="K1985" s="888"/>
      <c r="L1985" s="888"/>
      <c r="M1985" s="888"/>
      <c r="N1985" s="888"/>
      <c r="O1985" s="888"/>
      <c r="P1985" s="888"/>
      <c r="Q1985" s="888"/>
      <c r="R1985" s="888"/>
    </row>
    <row r="1986" spans="1:18" s="893" customFormat="1" x14ac:dyDescent="0.3">
      <c r="A1986" s="888" t="str">
        <f>IF(LEN('Translation-EN'!A1986)&gt;0,'Translation-EN'!A1986,"")</f>
        <v>Range</v>
      </c>
      <c r="B1986" s="888" t="str">
        <f>IF(LEN('Translation-EN'!B1986)&gt;0,'Translation-EN'!B1986,"")</f>
        <v>Master sheet</v>
      </c>
      <c r="C1986" s="888" t="str">
        <f>IF(LEN('Translation-EN'!C1986)&gt;0,'Translation-EN'!C1986,"")</f>
        <v>E182</v>
      </c>
      <c r="D1986" s="888" t="str">
        <f>IF(LEN('Translation-EN'!D1986)&gt;0,'Translation-EN'!D1986,"")</f>
        <v/>
      </c>
      <c r="E1986" s="893" t="s">
        <v>6314</v>
      </c>
      <c r="I1986" s="888"/>
      <c r="J1986" s="888"/>
      <c r="K1986" s="888"/>
      <c r="L1986" s="888"/>
      <c r="M1986" s="888"/>
      <c r="N1986" s="888"/>
      <c r="O1986" s="888"/>
      <c r="P1986" s="888"/>
      <c r="Q1986" s="888"/>
      <c r="R1986" s="888"/>
    </row>
    <row r="1987" spans="1:18" s="893" customFormat="1" x14ac:dyDescent="0.3">
      <c r="A1987" s="888" t="str">
        <f>IF(LEN('Translation-EN'!A1987)&gt;0,'Translation-EN'!A1987,"")</f>
        <v>Range</v>
      </c>
      <c r="B1987" s="888" t="str">
        <f>IF(LEN('Translation-EN'!B1987)&gt;0,'Translation-EN'!B1987,"")</f>
        <v>Master sheet</v>
      </c>
      <c r="C1987" s="888" t="str">
        <f>IF(LEN('Translation-EN'!C1987)&gt;0,'Translation-EN'!C1987,"")</f>
        <v>B183</v>
      </c>
      <c r="D1987" s="888" t="str">
        <f>IF(LEN('Translation-EN'!D1987)&gt;0,'Translation-EN'!D1987,"")</f>
        <v/>
      </c>
      <c r="E1987" s="893" t="s">
        <v>6315</v>
      </c>
      <c r="I1987" s="888"/>
      <c r="J1987" s="888"/>
      <c r="K1987" s="888"/>
      <c r="L1987" s="888"/>
      <c r="M1987" s="888"/>
      <c r="N1987" s="888"/>
      <c r="O1987" s="888"/>
      <c r="P1987" s="888"/>
      <c r="Q1987" s="888"/>
      <c r="R1987" s="888"/>
    </row>
    <row r="1988" spans="1:18" s="893" customFormat="1" x14ac:dyDescent="0.3">
      <c r="A1988" s="888" t="str">
        <f>IF(LEN('Translation-EN'!A1988)&gt;0,'Translation-EN'!A1988,"")</f>
        <v>Range</v>
      </c>
      <c r="B1988" s="888" t="str">
        <f>IF(LEN('Translation-EN'!B1988)&gt;0,'Translation-EN'!B1988,"")</f>
        <v>Master sheet</v>
      </c>
      <c r="C1988" s="888" t="str">
        <f>IF(LEN('Translation-EN'!C1988)&gt;0,'Translation-EN'!C1988,"")</f>
        <v>C183</v>
      </c>
      <c r="D1988" s="888" t="str">
        <f>IF(LEN('Translation-EN'!D1988)&gt;0,'Translation-EN'!D1988,"")</f>
        <v/>
      </c>
      <c r="E1988" s="893" t="s">
        <v>4275</v>
      </c>
      <c r="I1988" s="888"/>
      <c r="J1988" s="888"/>
      <c r="K1988" s="888"/>
      <c r="L1988" s="888"/>
      <c r="M1988" s="888"/>
      <c r="N1988" s="888"/>
      <c r="O1988" s="888"/>
      <c r="P1988" s="888"/>
      <c r="Q1988" s="888"/>
      <c r="R1988" s="888"/>
    </row>
    <row r="1989" spans="1:18" s="893" customFormat="1" x14ac:dyDescent="0.3">
      <c r="A1989" s="888" t="str">
        <f>IF(LEN('Translation-EN'!A1989)&gt;0,'Translation-EN'!A1989,"")</f>
        <v>Range</v>
      </c>
      <c r="B1989" s="888" t="str">
        <f>IF(LEN('Translation-EN'!B1989)&gt;0,'Translation-EN'!B1989,"")</f>
        <v>Master sheet</v>
      </c>
      <c r="C1989" s="888" t="str">
        <f>IF(LEN('Translation-EN'!C1989)&gt;0,'Translation-EN'!C1989,"")</f>
        <v>D183</v>
      </c>
      <c r="D1989" s="888" t="str">
        <f>IF(LEN('Translation-EN'!D1989)&gt;0,'Translation-EN'!D1989,"")</f>
        <v/>
      </c>
      <c r="E1989" s="893" t="s">
        <v>6316</v>
      </c>
      <c r="I1989" s="888"/>
      <c r="J1989" s="888"/>
      <c r="K1989" s="888"/>
      <c r="L1989" s="888"/>
      <c r="M1989" s="888"/>
      <c r="N1989" s="888"/>
      <c r="O1989" s="888"/>
      <c r="P1989" s="888"/>
      <c r="Q1989" s="888"/>
      <c r="R1989" s="888"/>
    </row>
    <row r="1990" spans="1:18" s="893" customFormat="1" x14ac:dyDescent="0.3">
      <c r="A1990" s="888" t="str">
        <f>IF(LEN('Translation-EN'!A1990)&gt;0,'Translation-EN'!A1990,"")</f>
        <v>Range</v>
      </c>
      <c r="B1990" s="888" t="str">
        <f>IF(LEN('Translation-EN'!B1990)&gt;0,'Translation-EN'!B1990,"")</f>
        <v>Master sheet</v>
      </c>
      <c r="C1990" s="888" t="str">
        <f>IF(LEN('Translation-EN'!C1990)&gt;0,'Translation-EN'!C1990,"")</f>
        <v>E183</v>
      </c>
      <c r="D1990" s="888" t="str">
        <f>IF(LEN('Translation-EN'!D1990)&gt;0,'Translation-EN'!D1990,"")</f>
        <v/>
      </c>
      <c r="E1990" s="893" t="s">
        <v>6317</v>
      </c>
      <c r="I1990" s="888"/>
      <c r="J1990" s="888"/>
      <c r="K1990" s="888"/>
      <c r="L1990" s="888"/>
      <c r="M1990" s="888"/>
      <c r="N1990" s="888"/>
      <c r="O1990" s="888"/>
      <c r="P1990" s="888"/>
      <c r="Q1990" s="888"/>
      <c r="R1990" s="888"/>
    </row>
    <row r="1991" spans="1:18" s="893" customFormat="1" x14ac:dyDescent="0.3">
      <c r="A1991" s="888" t="str">
        <f>IF(LEN('Translation-EN'!A1991)&gt;0,'Translation-EN'!A1991,"")</f>
        <v>Range</v>
      </c>
      <c r="B1991" s="888" t="str">
        <f>IF(LEN('Translation-EN'!B1991)&gt;0,'Translation-EN'!B1991,"")</f>
        <v>Master sheet</v>
      </c>
      <c r="C1991" s="888" t="str">
        <f>IF(LEN('Translation-EN'!C1991)&gt;0,'Translation-EN'!C1991,"")</f>
        <v>B184</v>
      </c>
      <c r="D1991" s="888" t="str">
        <f>IF(LEN('Translation-EN'!D1991)&gt;0,'Translation-EN'!D1991,"")</f>
        <v/>
      </c>
      <c r="E1991" s="893" t="str">
        <f>$E$1987</f>
        <v>Bloc de béton de chanvre</v>
      </c>
      <c r="I1991" s="888"/>
      <c r="J1991" s="888"/>
      <c r="K1991" s="888"/>
      <c r="L1991" s="888"/>
      <c r="M1991" s="888"/>
      <c r="N1991" s="888"/>
      <c r="O1991" s="888"/>
      <c r="P1991" s="888"/>
      <c r="Q1991" s="888"/>
      <c r="R1991" s="888"/>
    </row>
    <row r="1992" spans="1:18" s="893" customFormat="1" x14ac:dyDescent="0.3">
      <c r="A1992" s="888" t="str">
        <f>IF(LEN('Translation-EN'!A1992)&gt;0,'Translation-EN'!A1992,"")</f>
        <v>Range</v>
      </c>
      <c r="B1992" s="888" t="str">
        <f>IF(LEN('Translation-EN'!B1992)&gt;0,'Translation-EN'!B1992,"")</f>
        <v>Master sheet</v>
      </c>
      <c r="C1992" s="888" t="str">
        <f>IF(LEN('Translation-EN'!C1992)&gt;0,'Translation-EN'!C1992,"")</f>
        <v>C184</v>
      </c>
      <c r="D1992" s="888" t="str">
        <f>IF(LEN('Translation-EN'!D1992)&gt;0,'Translation-EN'!D1992,"")</f>
        <v/>
      </c>
      <c r="E1992" s="893" t="s">
        <v>4283</v>
      </c>
      <c r="I1992" s="888"/>
      <c r="J1992" s="888"/>
      <c r="K1992" s="888"/>
      <c r="L1992" s="888"/>
      <c r="M1992" s="888"/>
      <c r="N1992" s="888"/>
      <c r="O1992" s="888"/>
      <c r="P1992" s="888"/>
      <c r="Q1992" s="888"/>
      <c r="R1992" s="888"/>
    </row>
    <row r="1993" spans="1:18" s="893" customFormat="1" x14ac:dyDescent="0.3">
      <c r="A1993" s="888" t="str">
        <f>IF(LEN('Translation-EN'!A1993)&gt;0,'Translation-EN'!A1993,"")</f>
        <v>Range</v>
      </c>
      <c r="B1993" s="888" t="str">
        <f>IF(LEN('Translation-EN'!B1993)&gt;0,'Translation-EN'!B1993,"")</f>
        <v>Master sheet</v>
      </c>
      <c r="C1993" s="888" t="str">
        <f>IF(LEN('Translation-EN'!C1993)&gt;0,'Translation-EN'!C1993,"")</f>
        <v>D184</v>
      </c>
      <c r="D1993" s="888" t="str">
        <f>IF(LEN('Translation-EN'!D1993)&gt;0,'Translation-EN'!D1993,"")</f>
        <v/>
      </c>
      <c r="E1993" s="893" t="s">
        <v>4284</v>
      </c>
      <c r="I1993" s="888"/>
      <c r="J1993" s="888"/>
      <c r="K1993" s="888"/>
      <c r="L1993" s="888"/>
      <c r="M1993" s="888"/>
      <c r="N1993" s="888"/>
      <c r="O1993" s="888"/>
      <c r="P1993" s="888"/>
      <c r="Q1993" s="888"/>
      <c r="R1993" s="888"/>
    </row>
    <row r="1994" spans="1:18" s="893" customFormat="1" x14ac:dyDescent="0.3">
      <c r="A1994" s="888" t="str">
        <f>IF(LEN('Translation-EN'!A1994)&gt;0,'Translation-EN'!A1994,"")</f>
        <v>Range</v>
      </c>
      <c r="B1994" s="888" t="str">
        <f>IF(LEN('Translation-EN'!B1994)&gt;0,'Translation-EN'!B1994,"")</f>
        <v>Master sheet</v>
      </c>
      <c r="C1994" s="888" t="str">
        <f>IF(LEN('Translation-EN'!C1994)&gt;0,'Translation-EN'!C1994,"")</f>
        <v>E184</v>
      </c>
      <c r="D1994" s="888" t="str">
        <f>IF(LEN('Translation-EN'!D1994)&gt;0,'Translation-EN'!D1994,"")</f>
        <v/>
      </c>
      <c r="E1994" s="893" t="str">
        <f>$E$1986</f>
        <v>R 2,1/po</v>
      </c>
      <c r="I1994" s="888"/>
      <c r="J1994" s="888"/>
      <c r="K1994" s="888"/>
      <c r="L1994" s="888"/>
      <c r="M1994" s="888"/>
      <c r="N1994" s="888"/>
      <c r="O1994" s="888"/>
      <c r="P1994" s="888"/>
      <c r="Q1994" s="888"/>
      <c r="R1994" s="888"/>
    </row>
    <row r="1995" spans="1:18" s="893" customFormat="1" x14ac:dyDescent="0.3">
      <c r="A1995" s="888" t="str">
        <f>IF(LEN('Translation-EN'!A1995)&gt;0,'Translation-EN'!A1995,"")</f>
        <v>Range</v>
      </c>
      <c r="B1995" s="888" t="str">
        <f>IF(LEN('Translation-EN'!B1995)&gt;0,'Translation-EN'!B1995,"")</f>
        <v>Master sheet</v>
      </c>
      <c r="C1995" s="888" t="str">
        <f>IF(LEN('Translation-EN'!C1995)&gt;0,'Translation-EN'!C1995,"")</f>
        <v>B185</v>
      </c>
      <c r="D1995" s="888" t="str">
        <f>IF(LEN('Translation-EN'!D1995)&gt;0,'Translation-EN'!D1995,"")</f>
        <v/>
      </c>
      <c r="E1995" s="893" t="str">
        <f>$E$1983</f>
        <v>Béton de chanvre / Coffrage sur place</v>
      </c>
      <c r="I1995" s="888"/>
      <c r="J1995" s="888"/>
      <c r="K1995" s="888"/>
      <c r="L1995" s="888"/>
      <c r="M1995" s="888"/>
      <c r="N1995" s="888"/>
      <c r="O1995" s="888"/>
      <c r="P1995" s="888"/>
      <c r="Q1995" s="888"/>
      <c r="R1995" s="888"/>
    </row>
    <row r="1996" spans="1:18" s="893" customFormat="1" x14ac:dyDescent="0.3">
      <c r="A1996" s="888" t="str">
        <f>IF(LEN('Translation-EN'!A1996)&gt;0,'Translation-EN'!A1996,"")</f>
        <v>Range</v>
      </c>
      <c r="B1996" s="888" t="str">
        <f>IF(LEN('Translation-EN'!B1996)&gt;0,'Translation-EN'!B1996,"")</f>
        <v>Master sheet</v>
      </c>
      <c r="C1996" s="888" t="str">
        <f>IF(LEN('Translation-EN'!C1996)&gt;0,'Translation-EN'!C1996,"")</f>
        <v>C185</v>
      </c>
      <c r="D1996" s="888" t="str">
        <f>IF(LEN('Translation-EN'!D1996)&gt;0,'Translation-EN'!D1996,"")</f>
        <v/>
      </c>
      <c r="E1996" s="893" t="str">
        <f>$E$1992</f>
        <v>Senini</v>
      </c>
      <c r="I1996" s="888"/>
      <c r="J1996" s="888"/>
      <c r="K1996" s="888"/>
      <c r="L1996" s="888"/>
      <c r="M1996" s="888"/>
      <c r="N1996" s="888"/>
      <c r="O1996" s="888"/>
      <c r="P1996" s="888"/>
      <c r="Q1996" s="888"/>
      <c r="R1996" s="888"/>
    </row>
    <row r="1997" spans="1:18" s="893" customFormat="1" x14ac:dyDescent="0.3">
      <c r="A1997" s="888" t="str">
        <f>IF(LEN('Translation-EN'!A1997)&gt;0,'Translation-EN'!A1997,"")</f>
        <v>Range</v>
      </c>
      <c r="B1997" s="888" t="str">
        <f>IF(LEN('Translation-EN'!B1997)&gt;0,'Translation-EN'!B1997,"")</f>
        <v>Master sheet</v>
      </c>
      <c r="C1997" s="888" t="str">
        <f>IF(LEN('Translation-EN'!C1997)&gt;0,'Translation-EN'!C1997,"")</f>
        <v>D185</v>
      </c>
      <c r="D1997" s="888" t="str">
        <f>IF(LEN('Translation-EN'!D1997)&gt;0,'Translation-EN'!D1997,"")</f>
        <v/>
      </c>
      <c r="E1997" s="893" t="s">
        <v>6318</v>
      </c>
      <c r="I1997" s="888"/>
      <c r="J1997" s="888"/>
      <c r="K1997" s="888"/>
      <c r="L1997" s="888"/>
      <c r="M1997" s="888"/>
      <c r="N1997" s="888"/>
      <c r="O1997" s="888"/>
      <c r="P1997" s="888"/>
      <c r="Q1997" s="888"/>
      <c r="R1997" s="888"/>
    </row>
    <row r="1998" spans="1:18" s="893" customFormat="1" x14ac:dyDescent="0.3">
      <c r="A1998" s="888" t="str">
        <f>IF(LEN('Translation-EN'!A1998)&gt;0,'Translation-EN'!A1998,"")</f>
        <v>Range</v>
      </c>
      <c r="B1998" s="888" t="str">
        <f>IF(LEN('Translation-EN'!B1998)&gt;0,'Translation-EN'!B1998,"")</f>
        <v>Master sheet</v>
      </c>
      <c r="C1998" s="888" t="str">
        <f>IF(LEN('Translation-EN'!C1998)&gt;0,'Translation-EN'!C1998,"")</f>
        <v>E185</v>
      </c>
      <c r="D1998" s="888" t="str">
        <f>IF(LEN('Translation-EN'!D1998)&gt;0,'Translation-EN'!D1998,"")</f>
        <v/>
      </c>
      <c r="E1998" s="893" t="s">
        <v>6319</v>
      </c>
      <c r="I1998" s="888"/>
      <c r="J1998" s="888"/>
      <c r="K1998" s="888"/>
      <c r="L1998" s="888"/>
      <c r="M1998" s="888"/>
      <c r="N1998" s="888"/>
      <c r="O1998" s="888"/>
      <c r="P1998" s="888"/>
      <c r="Q1998" s="888"/>
      <c r="R1998" s="888"/>
    </row>
    <row r="1999" spans="1:18" s="893" customFormat="1" x14ac:dyDescent="0.3">
      <c r="A1999" s="888" t="str">
        <f>IF(LEN('Translation-EN'!A1999)&gt;0,'Translation-EN'!A1999,"")</f>
        <v>Range</v>
      </c>
      <c r="B1999" s="888" t="str">
        <f>IF(LEN('Translation-EN'!B1999)&gt;0,'Translation-EN'!B1999,"")</f>
        <v>Master sheet</v>
      </c>
      <c r="C1999" s="888" t="str">
        <f>IF(LEN('Translation-EN'!C1999)&gt;0,'Translation-EN'!C1999,"")</f>
        <v>B186</v>
      </c>
      <c r="D1999" s="888" t="str">
        <f>IF(LEN('Translation-EN'!D1999)&gt;0,'Translation-EN'!D1999,"")</f>
        <v/>
      </c>
      <c r="E1999" s="893" t="s">
        <v>6320</v>
      </c>
      <c r="I1999" s="888"/>
      <c r="J1999" s="888"/>
      <c r="K1999" s="888"/>
      <c r="L1999" s="888"/>
      <c r="M1999" s="888"/>
      <c r="N1999" s="888"/>
      <c r="O1999" s="888"/>
      <c r="P1999" s="888"/>
      <c r="Q1999" s="888"/>
      <c r="R1999" s="888"/>
    </row>
    <row r="2000" spans="1:18" s="893" customFormat="1" x14ac:dyDescent="0.3">
      <c r="A2000" s="888" t="str">
        <f>IF(LEN('Translation-EN'!A2000)&gt;0,'Translation-EN'!A2000,"")</f>
        <v>Range</v>
      </c>
      <c r="B2000" s="888" t="str">
        <f>IF(LEN('Translation-EN'!B2000)&gt;0,'Translation-EN'!B2000,"")</f>
        <v>Master sheet</v>
      </c>
      <c r="C2000" s="888" t="str">
        <f>IF(LEN('Translation-EN'!C2000)&gt;0,'Translation-EN'!C2000,"")</f>
        <v>C186</v>
      </c>
      <c r="D2000" s="888" t="str">
        <f>IF(LEN('Translation-EN'!D2000)&gt;0,'Translation-EN'!D2000,"")</f>
        <v/>
      </c>
      <c r="E2000" s="893" t="str">
        <f>$E$1992</f>
        <v>Senini</v>
      </c>
      <c r="I2000" s="888"/>
      <c r="J2000" s="888"/>
      <c r="K2000" s="888"/>
      <c r="L2000" s="888"/>
      <c r="M2000" s="888"/>
      <c r="N2000" s="888"/>
      <c r="O2000" s="888"/>
      <c r="P2000" s="888"/>
      <c r="Q2000" s="888"/>
      <c r="R2000" s="888"/>
    </row>
    <row r="2001" spans="1:18" s="893" customFormat="1" x14ac:dyDescent="0.3">
      <c r="A2001" s="888" t="str">
        <f>IF(LEN('Translation-EN'!A2001)&gt;0,'Translation-EN'!A2001,"")</f>
        <v>Range</v>
      </c>
      <c r="B2001" s="888" t="str">
        <f>IF(LEN('Translation-EN'!B2001)&gt;0,'Translation-EN'!B2001,"")</f>
        <v>Master sheet</v>
      </c>
      <c r="C2001" s="888" t="str">
        <f>IF(LEN('Translation-EN'!C2001)&gt;0,'Translation-EN'!C2001,"")</f>
        <v>D186</v>
      </c>
      <c r="D2001" s="888" t="str">
        <f>IF(LEN('Translation-EN'!D2001)&gt;0,'Translation-EN'!D2001,"")</f>
        <v/>
      </c>
      <c r="E2001" s="893" t="s">
        <v>6321</v>
      </c>
      <c r="I2001" s="888"/>
      <c r="J2001" s="888"/>
      <c r="K2001" s="888"/>
      <c r="L2001" s="888"/>
      <c r="M2001" s="888"/>
      <c r="N2001" s="888"/>
      <c r="O2001" s="888"/>
      <c r="P2001" s="888"/>
      <c r="Q2001" s="888"/>
      <c r="R2001" s="888"/>
    </row>
    <row r="2002" spans="1:18" s="893" customFormat="1" x14ac:dyDescent="0.3">
      <c r="A2002" s="888" t="str">
        <f>IF(LEN('Translation-EN'!A2002)&gt;0,'Translation-EN'!A2002,"")</f>
        <v>Range</v>
      </c>
      <c r="B2002" s="888" t="str">
        <f>IF(LEN('Translation-EN'!B2002)&gt;0,'Translation-EN'!B2002,"")</f>
        <v>Master sheet</v>
      </c>
      <c r="C2002" s="888" t="str">
        <f>IF(LEN('Translation-EN'!C2002)&gt;0,'Translation-EN'!C2002,"")</f>
        <v>E186</v>
      </c>
      <c r="D2002" s="888" t="str">
        <f>IF(LEN('Translation-EN'!D2002)&gt;0,'Translation-EN'!D2002,"")</f>
        <v/>
      </c>
      <c r="E2002" s="893" t="str">
        <f>$E$1998</f>
        <v>R 2,7/po</v>
      </c>
      <c r="I2002" s="888"/>
      <c r="J2002" s="888"/>
      <c r="K2002" s="888"/>
      <c r="L2002" s="888"/>
      <c r="M2002" s="888"/>
      <c r="N2002" s="888"/>
      <c r="O2002" s="888"/>
      <c r="P2002" s="888"/>
      <c r="Q2002" s="888"/>
      <c r="R2002" s="888"/>
    </row>
    <row r="2003" spans="1:18" s="893" customFormat="1" x14ac:dyDescent="0.3">
      <c r="A2003" s="888" t="str">
        <f>IF(LEN('Translation-EN'!A2003)&gt;0,'Translation-EN'!A2003,"")</f>
        <v>Range</v>
      </c>
      <c r="B2003" s="888" t="str">
        <f>IF(LEN('Translation-EN'!B2003)&gt;0,'Translation-EN'!B2003,"")</f>
        <v>Master sheet</v>
      </c>
      <c r="C2003" s="888" t="str">
        <f>IF(LEN('Translation-EN'!C2003)&gt;0,'Translation-EN'!C2003,"")</f>
        <v>B187</v>
      </c>
      <c r="D2003" s="888" t="str">
        <f>IF(LEN('Translation-EN'!D2003)&gt;0,'Translation-EN'!D2003,"")</f>
        <v/>
      </c>
      <c r="E2003" s="893" t="str">
        <f>$E$1983</f>
        <v>Béton de chanvre / Coffrage sur place</v>
      </c>
      <c r="I2003" s="888"/>
      <c r="J2003" s="888"/>
      <c r="K2003" s="888"/>
      <c r="L2003" s="888"/>
      <c r="M2003" s="888"/>
      <c r="N2003" s="888"/>
      <c r="O2003" s="888"/>
      <c r="P2003" s="888"/>
      <c r="Q2003" s="888"/>
      <c r="R2003" s="888"/>
    </row>
    <row r="2004" spans="1:18" s="893" customFormat="1" x14ac:dyDescent="0.3">
      <c r="A2004" s="888" t="str">
        <f>IF(LEN('Translation-EN'!A2004)&gt;0,'Translation-EN'!A2004,"")</f>
        <v>Range</v>
      </c>
      <c r="B2004" s="888" t="str">
        <f>IF(LEN('Translation-EN'!B2004)&gt;0,'Translation-EN'!B2004,"")</f>
        <v>Master sheet</v>
      </c>
      <c r="C2004" s="888" t="str">
        <f>IF(LEN('Translation-EN'!C2004)&gt;0,'Translation-EN'!C2004,"")</f>
        <v>C187</v>
      </c>
      <c r="D2004" s="888" t="str">
        <f>IF(LEN('Translation-EN'!D2004)&gt;0,'Translation-EN'!D2004,"")</f>
        <v/>
      </c>
      <c r="E2004" s="893" t="str">
        <f>$E$1690</f>
        <v>Mélangé sur site</v>
      </c>
      <c r="I2004" s="888"/>
      <c r="J2004" s="888"/>
      <c r="K2004" s="888"/>
      <c r="L2004" s="888"/>
      <c r="M2004" s="888"/>
      <c r="N2004" s="888"/>
      <c r="O2004" s="888"/>
      <c r="P2004" s="888"/>
      <c r="Q2004" s="888"/>
      <c r="R2004" s="888"/>
    </row>
    <row r="2005" spans="1:18" s="893" customFormat="1" x14ac:dyDescent="0.3">
      <c r="A2005" s="888" t="str">
        <f>IF(LEN('Translation-EN'!A2005)&gt;0,'Translation-EN'!A2005,"")</f>
        <v>Range</v>
      </c>
      <c r="B2005" s="888" t="str">
        <f>IF(LEN('Translation-EN'!B2005)&gt;0,'Translation-EN'!B2005,"")</f>
        <v>Master sheet</v>
      </c>
      <c r="C2005" s="888" t="str">
        <f>IF(LEN('Translation-EN'!C2005)&gt;0,'Translation-EN'!C2005,"")</f>
        <v>D187</v>
      </c>
      <c r="D2005" s="888" t="str">
        <f>IF(LEN('Translation-EN'!D2005)&gt;0,'Translation-EN'!D2005,"")</f>
        <v/>
      </c>
      <c r="E2005" s="893" t="str">
        <f>$E$1985</f>
        <v>Europe</v>
      </c>
      <c r="I2005" s="888"/>
      <c r="J2005" s="888"/>
      <c r="K2005" s="888"/>
      <c r="L2005" s="888"/>
      <c r="M2005" s="888"/>
      <c r="N2005" s="888"/>
      <c r="O2005" s="888"/>
      <c r="P2005" s="888"/>
      <c r="Q2005" s="888"/>
      <c r="R2005" s="888"/>
    </row>
    <row r="2006" spans="1:18" s="893" customFormat="1" x14ac:dyDescent="0.3">
      <c r="A2006" s="888" t="str">
        <f>IF(LEN('Translation-EN'!A2006)&gt;0,'Translation-EN'!A2006,"")</f>
        <v>Range</v>
      </c>
      <c r="B2006" s="888" t="str">
        <f>IF(LEN('Translation-EN'!B2006)&gt;0,'Translation-EN'!B2006,"")</f>
        <v>Master sheet</v>
      </c>
      <c r="C2006" s="888" t="str">
        <f>IF(LEN('Translation-EN'!C2006)&gt;0,'Translation-EN'!C2006,"")</f>
        <v>E187</v>
      </c>
      <c r="D2006" s="888" t="str">
        <f>IF(LEN('Translation-EN'!D2006)&gt;0,'Translation-EN'!D2006,"")</f>
        <v/>
      </c>
      <c r="E2006" s="893" t="s">
        <v>6322</v>
      </c>
      <c r="I2006" s="888"/>
      <c r="J2006" s="888"/>
      <c r="K2006" s="888"/>
      <c r="L2006" s="888"/>
      <c r="M2006" s="888"/>
      <c r="N2006" s="888"/>
      <c r="O2006" s="888"/>
      <c r="P2006" s="888"/>
      <c r="Q2006" s="888"/>
      <c r="R2006" s="888"/>
    </row>
    <row r="2007" spans="1:18" s="893" customFormat="1" x14ac:dyDescent="0.3">
      <c r="A2007" s="888" t="str">
        <f>IF(LEN('Translation-EN'!A2007)&gt;0,'Translation-EN'!A2007,"")</f>
        <v>Range</v>
      </c>
      <c r="B2007" s="888" t="str">
        <f>IF(LEN('Translation-EN'!B2007)&gt;0,'Translation-EN'!B2007,"")</f>
        <v>Master sheet</v>
      </c>
      <c r="C2007" s="888" t="str">
        <f>IF(LEN('Translation-EN'!C2007)&gt;0,'Translation-EN'!C2007,"")</f>
        <v>B188</v>
      </c>
      <c r="D2007" s="888" t="str">
        <f>IF(LEN('Translation-EN'!D2007)&gt;0,'Translation-EN'!D2007,"")</f>
        <v/>
      </c>
      <c r="E2007" s="893" t="str">
        <f>$E$1983</f>
        <v>Béton de chanvre / Coffrage sur place</v>
      </c>
      <c r="I2007" s="888"/>
      <c r="J2007" s="888"/>
      <c r="K2007" s="888"/>
      <c r="L2007" s="888"/>
      <c r="M2007" s="888"/>
      <c r="N2007" s="888"/>
      <c r="O2007" s="888"/>
      <c r="P2007" s="888"/>
      <c r="Q2007" s="888"/>
      <c r="R2007" s="888"/>
    </row>
    <row r="2008" spans="1:18" s="893" customFormat="1" x14ac:dyDescent="0.3">
      <c r="A2008" s="888" t="str">
        <f>IF(LEN('Translation-EN'!A2008)&gt;0,'Translation-EN'!A2008,"")</f>
        <v>Range</v>
      </c>
      <c r="B2008" s="888" t="str">
        <f>IF(LEN('Translation-EN'!B2008)&gt;0,'Translation-EN'!B2008,"")</f>
        <v>Master sheet</v>
      </c>
      <c r="C2008" s="888" t="str">
        <f>IF(LEN('Translation-EN'!C2008)&gt;0,'Translation-EN'!C2008,"")</f>
        <v>C188</v>
      </c>
      <c r="D2008" s="888" t="str">
        <f>IF(LEN('Translation-EN'!D2008)&gt;0,'Translation-EN'!D2008,"")</f>
        <v/>
      </c>
      <c r="E2008" s="893" t="str">
        <f>$E$1690</f>
        <v>Mélangé sur site</v>
      </c>
      <c r="I2008" s="888"/>
      <c r="J2008" s="888"/>
      <c r="K2008" s="888"/>
      <c r="L2008" s="888"/>
      <c r="M2008" s="888"/>
      <c r="N2008" s="888"/>
      <c r="O2008" s="888"/>
      <c r="P2008" s="888"/>
      <c r="Q2008" s="888"/>
      <c r="R2008" s="888"/>
    </row>
    <row r="2009" spans="1:18" s="893" customFormat="1" x14ac:dyDescent="0.3">
      <c r="A2009" s="888" t="str">
        <f>IF(LEN('Translation-EN'!A2009)&gt;0,'Translation-EN'!A2009,"")</f>
        <v>Range</v>
      </c>
      <c r="B2009" s="888" t="str">
        <f>IF(LEN('Translation-EN'!B2009)&gt;0,'Translation-EN'!B2009,"")</f>
        <v>Master sheet</v>
      </c>
      <c r="C2009" s="888" t="str">
        <f>IF(LEN('Translation-EN'!C2009)&gt;0,'Translation-EN'!C2009,"")</f>
        <v>D188</v>
      </c>
      <c r="D2009" s="888" t="str">
        <f>IF(LEN('Translation-EN'!D2009)&gt;0,'Translation-EN'!D2009,"")</f>
        <v/>
      </c>
      <c r="E2009" s="893" t="s">
        <v>6323</v>
      </c>
      <c r="I2009" s="888"/>
      <c r="J2009" s="888"/>
      <c r="K2009" s="888"/>
      <c r="L2009" s="888"/>
      <c r="M2009" s="888"/>
      <c r="N2009" s="888"/>
      <c r="O2009" s="888"/>
      <c r="P2009" s="888"/>
      <c r="Q2009" s="888"/>
      <c r="R2009" s="888"/>
    </row>
    <row r="2010" spans="1:18" s="893" customFormat="1" x14ac:dyDescent="0.3">
      <c r="A2010" s="888" t="str">
        <f>IF(LEN('Translation-EN'!A2010)&gt;0,'Translation-EN'!A2010,"")</f>
        <v>Range</v>
      </c>
      <c r="B2010" s="888" t="str">
        <f>IF(LEN('Translation-EN'!B2010)&gt;0,'Translation-EN'!B2010,"")</f>
        <v>Master sheet</v>
      </c>
      <c r="C2010" s="888" t="str">
        <f>IF(LEN('Translation-EN'!C2010)&gt;0,'Translation-EN'!C2010,"")</f>
        <v>E188</v>
      </c>
      <c r="D2010" s="888" t="str">
        <f>IF(LEN('Translation-EN'!D2010)&gt;0,'Translation-EN'!D2010,"")</f>
        <v/>
      </c>
      <c r="E2010" s="893" t="s">
        <v>6324</v>
      </c>
      <c r="I2010" s="888"/>
      <c r="J2010" s="888"/>
      <c r="K2010" s="888"/>
      <c r="L2010" s="888"/>
      <c r="M2010" s="888"/>
      <c r="N2010" s="888"/>
      <c r="O2010" s="888"/>
      <c r="P2010" s="888"/>
      <c r="Q2010" s="888"/>
      <c r="R2010" s="888"/>
    </row>
    <row r="2011" spans="1:18" s="893" customFormat="1" x14ac:dyDescent="0.3">
      <c r="A2011" s="888" t="str">
        <f>IF(LEN('Translation-EN'!A2011)&gt;0,'Translation-EN'!A2011,"")</f>
        <v>Range</v>
      </c>
      <c r="B2011" s="888" t="str">
        <f>IF(LEN('Translation-EN'!B2011)&gt;0,'Translation-EN'!B2011,"")</f>
        <v>Master sheet</v>
      </c>
      <c r="C2011" s="888" t="str">
        <f>IF(LEN('Translation-EN'!C2011)&gt;0,'Translation-EN'!C2011,"")</f>
        <v>B191</v>
      </c>
      <c r="D2011" s="888" t="str">
        <f>IF(LEN('Translation-EN'!D2011)&gt;0,'Translation-EN'!D2011,"")</f>
        <v/>
      </c>
      <c r="E2011" s="893" t="s">
        <v>6325</v>
      </c>
      <c r="I2011" s="888"/>
      <c r="J2011" s="888"/>
      <c r="K2011" s="888"/>
      <c r="L2011" s="888"/>
      <c r="M2011" s="888"/>
      <c r="N2011" s="888"/>
      <c r="O2011" s="888"/>
      <c r="P2011" s="888"/>
      <c r="Q2011" s="888"/>
      <c r="R2011" s="888"/>
    </row>
    <row r="2012" spans="1:18" s="893" customFormat="1" x14ac:dyDescent="0.3">
      <c r="A2012" s="888" t="str">
        <f>IF(LEN('Translation-EN'!A2012)&gt;0,'Translation-EN'!A2012,"")</f>
        <v>Range</v>
      </c>
      <c r="B2012" s="888" t="str">
        <f>IF(LEN('Translation-EN'!B2012)&gt;0,'Translation-EN'!B2012,"")</f>
        <v>Master sheet</v>
      </c>
      <c r="C2012" s="888" t="str">
        <f>IF(LEN('Translation-EN'!C2012)&gt;0,'Translation-EN'!C2012,"")</f>
        <v>C191</v>
      </c>
      <c r="D2012" s="888" t="str">
        <f>IF(LEN('Translation-EN'!D2012)&gt;0,'Translation-EN'!D2012,"")</f>
        <v/>
      </c>
      <c r="E2012" s="893" t="str">
        <f>$E$1937</f>
        <v>Conseil Américain et canadien du bois</v>
      </c>
      <c r="I2012" s="888"/>
      <c r="J2012" s="888"/>
      <c r="K2012" s="888"/>
      <c r="L2012" s="888"/>
      <c r="M2012" s="888"/>
      <c r="N2012" s="888"/>
      <c r="O2012" s="888"/>
      <c r="P2012" s="888"/>
      <c r="Q2012" s="888"/>
      <c r="R2012" s="888"/>
    </row>
    <row r="2013" spans="1:18" s="893" customFormat="1" x14ac:dyDescent="0.3">
      <c r="A2013" s="888" t="str">
        <f>IF(LEN('Translation-EN'!A2013)&gt;0,'Translation-EN'!A2013,"")</f>
        <v>Range</v>
      </c>
      <c r="B2013" s="888" t="str">
        <f>IF(LEN('Translation-EN'!B2013)&gt;0,'Translation-EN'!B2013,"")</f>
        <v>Master sheet</v>
      </c>
      <c r="C2013" s="888" t="str">
        <f>IF(LEN('Translation-EN'!C2013)&gt;0,'Translation-EN'!C2013,"")</f>
        <v>B192</v>
      </c>
      <c r="D2013" s="888" t="str">
        <f>IF(LEN('Translation-EN'!D2013)&gt;0,'Translation-EN'!D2013,"")</f>
        <v/>
      </c>
      <c r="E2013" s="893" t="s">
        <v>1817</v>
      </c>
      <c r="I2013" s="888"/>
      <c r="J2013" s="888"/>
      <c r="K2013" s="888"/>
      <c r="L2013" s="888"/>
      <c r="M2013" s="888"/>
      <c r="N2013" s="888"/>
      <c r="O2013" s="888"/>
      <c r="P2013" s="888"/>
      <c r="Q2013" s="888"/>
      <c r="R2013" s="888"/>
    </row>
    <row r="2014" spans="1:18" s="893" customFormat="1" x14ac:dyDescent="0.3">
      <c r="A2014" s="888" t="str">
        <f>IF(LEN('Translation-EN'!A2014)&gt;0,'Translation-EN'!A2014,"")</f>
        <v>Range</v>
      </c>
      <c r="B2014" s="888" t="str">
        <f>IF(LEN('Translation-EN'!B2014)&gt;0,'Translation-EN'!B2014,"")</f>
        <v>Master sheet</v>
      </c>
      <c r="C2014" s="888" t="str">
        <f>IF(LEN('Translation-EN'!C2014)&gt;0,'Translation-EN'!C2014,"")</f>
        <v>C192</v>
      </c>
      <c r="D2014" s="888" t="str">
        <f>IF(LEN('Translation-EN'!D2014)&gt;0,'Translation-EN'!D2014,"")</f>
        <v/>
      </c>
      <c r="E2014" s="893" t="str">
        <f>$E$1937</f>
        <v>Conseil Américain et canadien du bois</v>
      </c>
      <c r="I2014" s="888"/>
      <c r="J2014" s="888"/>
      <c r="K2014" s="888"/>
      <c r="L2014" s="888"/>
      <c r="M2014" s="888"/>
      <c r="N2014" s="888"/>
      <c r="O2014" s="888"/>
      <c r="P2014" s="888"/>
      <c r="Q2014" s="888"/>
      <c r="R2014" s="888"/>
    </row>
    <row r="2015" spans="1:18" s="893" customFormat="1" x14ac:dyDescent="0.3">
      <c r="A2015" s="888" t="str">
        <f>IF(LEN('Translation-EN'!A2015)&gt;0,'Translation-EN'!A2015,"")</f>
        <v>Range</v>
      </c>
      <c r="B2015" s="888" t="str">
        <f>IF(LEN('Translation-EN'!B2015)&gt;0,'Translation-EN'!B2015,"")</f>
        <v>Master sheet</v>
      </c>
      <c r="C2015" s="888" t="str">
        <f>IF(LEN('Translation-EN'!C2015)&gt;0,'Translation-EN'!C2015,"")</f>
        <v>B194</v>
      </c>
      <c r="D2015" s="888" t="str">
        <f>IF(LEN('Translation-EN'!D2015)&gt;0,'Translation-EN'!D2015,"")</f>
        <v/>
      </c>
      <c r="E2015" s="893" t="str">
        <f>$E$2013</f>
        <v>Bois en placage stratifié</v>
      </c>
      <c r="I2015" s="888"/>
      <c r="J2015" s="888"/>
      <c r="K2015" s="888"/>
      <c r="L2015" s="888"/>
      <c r="M2015" s="888"/>
      <c r="N2015" s="888"/>
      <c r="O2015" s="888"/>
      <c r="P2015" s="888"/>
      <c r="Q2015" s="888"/>
      <c r="R2015" s="888"/>
    </row>
    <row r="2016" spans="1:18" s="893" customFormat="1" x14ac:dyDescent="0.3">
      <c r="A2016" s="888" t="str">
        <f>IF(LEN('Translation-EN'!A2016)&gt;0,'Translation-EN'!A2016,"")</f>
        <v>Range</v>
      </c>
      <c r="B2016" s="888" t="str">
        <f>IF(LEN('Translation-EN'!B2016)&gt;0,'Translation-EN'!B2016,"")</f>
        <v>Master sheet</v>
      </c>
      <c r="C2016" s="888" t="str">
        <f>IF(LEN('Translation-EN'!C2016)&gt;0,'Translation-EN'!C2016,"")</f>
        <v>C194</v>
      </c>
      <c r="D2016" s="888" t="str">
        <f>IF(LEN('Translation-EN'!D2016)&gt;0,'Translation-EN'!D2016,"")</f>
        <v/>
      </c>
      <c r="E2016" s="893" t="s">
        <v>441</v>
      </c>
      <c r="I2016" s="888"/>
      <c r="J2016" s="888"/>
      <c r="K2016" s="888"/>
      <c r="L2016" s="888"/>
      <c r="M2016" s="888"/>
      <c r="N2016" s="888"/>
      <c r="O2016" s="888"/>
      <c r="P2016" s="888"/>
      <c r="Q2016" s="888"/>
      <c r="R2016" s="888"/>
    </row>
    <row r="2017" spans="1:18" s="893" customFormat="1" x14ac:dyDescent="0.3">
      <c r="A2017" s="888" t="str">
        <f>IF(LEN('Translation-EN'!A2017)&gt;0,'Translation-EN'!A2017,"")</f>
        <v>Range</v>
      </c>
      <c r="B2017" s="888" t="str">
        <f>IF(LEN('Translation-EN'!B2017)&gt;0,'Translation-EN'!B2017,"")</f>
        <v>Master sheet</v>
      </c>
      <c r="C2017" s="888" t="str">
        <f>IF(LEN('Translation-EN'!C2017)&gt;0,'Translation-EN'!C2017,"")</f>
        <v>D194</v>
      </c>
      <c r="D2017" s="888" t="str">
        <f>IF(LEN('Translation-EN'!D2017)&gt;0,'Translation-EN'!D2017,"")</f>
        <v/>
      </c>
      <c r="E2017" s="893" t="s">
        <v>4308</v>
      </c>
      <c r="I2017" s="888"/>
      <c r="J2017" s="888"/>
      <c r="K2017" s="888"/>
      <c r="L2017" s="888"/>
      <c r="M2017" s="888"/>
      <c r="N2017" s="888"/>
      <c r="O2017" s="888"/>
      <c r="P2017" s="888"/>
      <c r="Q2017" s="888"/>
      <c r="R2017" s="888"/>
    </row>
    <row r="2018" spans="1:18" s="893" customFormat="1" x14ac:dyDescent="0.3">
      <c r="A2018" s="888" t="str">
        <f>IF(LEN('Translation-EN'!A2018)&gt;0,'Translation-EN'!A2018,"")</f>
        <v>Range</v>
      </c>
      <c r="B2018" s="888" t="str">
        <f>IF(LEN('Translation-EN'!B2018)&gt;0,'Translation-EN'!B2018,"")</f>
        <v>Master sheet</v>
      </c>
      <c r="C2018" s="888" t="str">
        <f>IF(LEN('Translation-EN'!C2018)&gt;0,'Translation-EN'!C2018,"")</f>
        <v>B195</v>
      </c>
      <c r="D2018" s="888" t="str">
        <f>IF(LEN('Translation-EN'!D2018)&gt;0,'Translation-EN'!D2018,"")</f>
        <v/>
      </c>
      <c r="E2018" s="893" t="str">
        <f>$E$2013</f>
        <v>Bois en placage stratifié</v>
      </c>
      <c r="I2018" s="888"/>
      <c r="J2018" s="888"/>
      <c r="K2018" s="888"/>
      <c r="L2018" s="888"/>
      <c r="M2018" s="888"/>
      <c r="N2018" s="888"/>
      <c r="O2018" s="888"/>
      <c r="P2018" s="888"/>
      <c r="Q2018" s="888"/>
      <c r="R2018" s="888"/>
    </row>
    <row r="2019" spans="1:18" s="893" customFormat="1" x14ac:dyDescent="0.3">
      <c r="A2019" s="888" t="str">
        <f>IF(LEN('Translation-EN'!A2019)&gt;0,'Translation-EN'!A2019,"")</f>
        <v>Range</v>
      </c>
      <c r="B2019" s="888" t="str">
        <f>IF(LEN('Translation-EN'!B2019)&gt;0,'Translation-EN'!B2019,"")</f>
        <v>Master sheet</v>
      </c>
      <c r="C2019" s="888" t="str">
        <f>IF(LEN('Translation-EN'!C2019)&gt;0,'Translation-EN'!C2019,"")</f>
        <v>C195</v>
      </c>
      <c r="D2019" s="888" t="str">
        <f>IF(LEN('Translation-EN'!D2019)&gt;0,'Translation-EN'!D2019,"")</f>
        <v/>
      </c>
      <c r="E2019" s="893" t="s">
        <v>4310</v>
      </c>
      <c r="I2019" s="888"/>
      <c r="J2019" s="888"/>
      <c r="K2019" s="888"/>
      <c r="L2019" s="888"/>
      <c r="M2019" s="888"/>
      <c r="N2019" s="888"/>
      <c r="O2019" s="888"/>
      <c r="P2019" s="888"/>
      <c r="Q2019" s="888"/>
      <c r="R2019" s="888"/>
    </row>
    <row r="2020" spans="1:18" s="893" customFormat="1" x14ac:dyDescent="0.3">
      <c r="A2020" s="888" t="str">
        <f>IF(LEN('Translation-EN'!A2020)&gt;0,'Translation-EN'!A2020,"")</f>
        <v>Range</v>
      </c>
      <c r="B2020" s="888" t="str">
        <f>IF(LEN('Translation-EN'!B2020)&gt;0,'Translation-EN'!B2020,"")</f>
        <v>Master sheet</v>
      </c>
      <c r="C2020" s="888" t="str">
        <f>IF(LEN('Translation-EN'!C2020)&gt;0,'Translation-EN'!C2020,"")</f>
        <v>D195</v>
      </c>
      <c r="D2020" s="888" t="str">
        <f>IF(LEN('Translation-EN'!D2020)&gt;0,'Translation-EN'!D2020,"")</f>
        <v/>
      </c>
      <c r="E2020" s="893" t="s">
        <v>4311</v>
      </c>
      <c r="I2020" s="888"/>
      <c r="J2020" s="888"/>
      <c r="K2020" s="888"/>
      <c r="L2020" s="888"/>
      <c r="M2020" s="888"/>
      <c r="N2020" s="888"/>
      <c r="O2020" s="888"/>
      <c r="P2020" s="888"/>
      <c r="Q2020" s="888"/>
      <c r="R2020" s="888"/>
    </row>
    <row r="2021" spans="1:18" s="893" customFormat="1" x14ac:dyDescent="0.3">
      <c r="A2021" s="888" t="str">
        <f>IF(LEN('Translation-EN'!A2021)&gt;0,'Translation-EN'!A2021,"")</f>
        <v>Range</v>
      </c>
      <c r="B2021" s="888" t="str">
        <f>IF(LEN('Translation-EN'!B2021)&gt;0,'Translation-EN'!B2021,"")</f>
        <v>Master sheet</v>
      </c>
      <c r="C2021" s="888" t="str">
        <f>IF(LEN('Translation-EN'!C2021)&gt;0,'Translation-EN'!C2021,"")</f>
        <v>B198</v>
      </c>
      <c r="D2021" s="888" t="str">
        <f>IF(LEN('Translation-EN'!D2021)&gt;0,'Translation-EN'!D2021,"")</f>
        <v/>
      </c>
      <c r="E2021" s="893" t="s">
        <v>6326</v>
      </c>
      <c r="I2021" s="888"/>
      <c r="J2021" s="888"/>
      <c r="K2021" s="888"/>
      <c r="L2021" s="888"/>
      <c r="M2021" s="888"/>
      <c r="N2021" s="888"/>
      <c r="O2021" s="888"/>
      <c r="P2021" s="888"/>
      <c r="Q2021" s="888"/>
      <c r="R2021" s="888"/>
    </row>
    <row r="2022" spans="1:18" s="893" customFormat="1" x14ac:dyDescent="0.3">
      <c r="A2022" s="888" t="str">
        <f>IF(LEN('Translation-EN'!A2022)&gt;0,'Translation-EN'!A2022,"")</f>
        <v>Range</v>
      </c>
      <c r="B2022" s="888" t="str">
        <f>IF(LEN('Translation-EN'!B2022)&gt;0,'Translation-EN'!B2022,"")</f>
        <v>Master sheet</v>
      </c>
      <c r="C2022" s="888" t="str">
        <f>IF(LEN('Translation-EN'!C2022)&gt;0,'Translation-EN'!C2022,"")</f>
        <v>C198</v>
      </c>
      <c r="D2022" s="888" t="str">
        <f>IF(LEN('Translation-EN'!D2022)&gt;0,'Translation-EN'!D2022,"")</f>
        <v/>
      </c>
      <c r="E2022" s="893" t="s">
        <v>3266</v>
      </c>
      <c r="I2022" s="888"/>
      <c r="J2022" s="888"/>
      <c r="K2022" s="888"/>
      <c r="L2022" s="888"/>
      <c r="M2022" s="888"/>
      <c r="N2022" s="888"/>
      <c r="O2022" s="888"/>
      <c r="P2022" s="888"/>
      <c r="Q2022" s="888"/>
      <c r="R2022" s="888"/>
    </row>
    <row r="2023" spans="1:18" s="893" customFormat="1" x14ac:dyDescent="0.3">
      <c r="A2023" s="888" t="str">
        <f>IF(LEN('Translation-EN'!A2023)&gt;0,'Translation-EN'!A2023,"")</f>
        <v>Range</v>
      </c>
      <c r="B2023" s="888" t="str">
        <f>IF(LEN('Translation-EN'!B2023)&gt;0,'Translation-EN'!B2023,"")</f>
        <v>Master sheet</v>
      </c>
      <c r="C2023" s="888" t="str">
        <f>IF(LEN('Translation-EN'!C2023)&gt;0,'Translation-EN'!C2023,"")</f>
        <v>D198</v>
      </c>
      <c r="D2023" s="888" t="str">
        <f>IF(LEN('Translation-EN'!D2023)&gt;0,'Translation-EN'!D2023,"")</f>
        <v/>
      </c>
      <c r="E2023" s="893" t="s">
        <v>6327</v>
      </c>
      <c r="I2023" s="888"/>
      <c r="J2023" s="888"/>
      <c r="K2023" s="888"/>
      <c r="L2023" s="888"/>
      <c r="M2023" s="888"/>
      <c r="N2023" s="888"/>
      <c r="O2023" s="888"/>
      <c r="P2023" s="888"/>
      <c r="Q2023" s="888"/>
      <c r="R2023" s="888"/>
    </row>
    <row r="2024" spans="1:18" s="893" customFormat="1" x14ac:dyDescent="0.3">
      <c r="A2024" s="888" t="str">
        <f>IF(LEN('Translation-EN'!A2024)&gt;0,'Translation-EN'!A2024,"")</f>
        <v>Range</v>
      </c>
      <c r="B2024" s="888" t="str">
        <f>IF(LEN('Translation-EN'!B2024)&gt;0,'Translation-EN'!B2024,"")</f>
        <v>Master sheet</v>
      </c>
      <c r="C2024" s="888" t="str">
        <f>IF(LEN('Translation-EN'!C2024)&gt;0,'Translation-EN'!C2024,"")</f>
        <v>B199</v>
      </c>
      <c r="D2024" s="888" t="str">
        <f>IF(LEN('Translation-EN'!D2024)&gt;0,'Translation-EN'!D2024,"")</f>
        <v/>
      </c>
      <c r="E2024" s="893" t="str">
        <f>$E$2021</f>
        <v>Enduit chaux/ liège (Ext. &amp; Int.)</v>
      </c>
      <c r="I2024" s="888"/>
      <c r="J2024" s="888"/>
      <c r="K2024" s="888"/>
      <c r="L2024" s="888"/>
      <c r="M2024" s="888"/>
      <c r="N2024" s="888"/>
      <c r="O2024" s="888"/>
      <c r="P2024" s="888"/>
      <c r="Q2024" s="888"/>
      <c r="R2024" s="888"/>
    </row>
    <row r="2025" spans="1:18" s="893" customFormat="1" x14ac:dyDescent="0.3">
      <c r="A2025" s="888" t="str">
        <f>IF(LEN('Translation-EN'!A2025)&gt;0,'Translation-EN'!A2025,"")</f>
        <v>Range</v>
      </c>
      <c r="B2025" s="888" t="str">
        <f>IF(LEN('Translation-EN'!B2025)&gt;0,'Translation-EN'!B2025,"")</f>
        <v>Master sheet</v>
      </c>
      <c r="C2025" s="888" t="str">
        <f>IF(LEN('Translation-EN'!C2025)&gt;0,'Translation-EN'!C2025,"")</f>
        <v>C199</v>
      </c>
      <c r="D2025" s="888" t="str">
        <f>IF(LEN('Translation-EN'!D2025)&gt;0,'Translation-EN'!D2025,"")</f>
        <v/>
      </c>
      <c r="E2025" s="893" t="str">
        <f>$E$2022</f>
        <v>Diasen</v>
      </c>
      <c r="I2025" s="888"/>
      <c r="J2025" s="888"/>
      <c r="K2025" s="888"/>
      <c r="L2025" s="888"/>
      <c r="M2025" s="888"/>
      <c r="N2025" s="888"/>
      <c r="O2025" s="888"/>
      <c r="P2025" s="888"/>
      <c r="Q2025" s="888"/>
      <c r="R2025" s="888"/>
    </row>
    <row r="2026" spans="1:18" s="893" customFormat="1" x14ac:dyDescent="0.3">
      <c r="A2026" s="888" t="str">
        <f>IF(LEN('Translation-EN'!A2026)&gt;0,'Translation-EN'!A2026,"")</f>
        <v>Range</v>
      </c>
      <c r="B2026" s="888" t="str">
        <f>IF(LEN('Translation-EN'!B2026)&gt;0,'Translation-EN'!B2026,"")</f>
        <v>Master sheet</v>
      </c>
      <c r="C2026" s="888" t="str">
        <f>IF(LEN('Translation-EN'!C2026)&gt;0,'Translation-EN'!C2026,"")</f>
        <v>D199</v>
      </c>
      <c r="D2026" s="888" t="str">
        <f>IF(LEN('Translation-EN'!D2026)&gt;0,'Translation-EN'!D2026,"")</f>
        <v/>
      </c>
      <c r="E2026" s="893" t="s">
        <v>6328</v>
      </c>
      <c r="I2026" s="888"/>
      <c r="J2026" s="888"/>
      <c r="K2026" s="888"/>
      <c r="L2026" s="888"/>
      <c r="M2026" s="888"/>
      <c r="N2026" s="888"/>
      <c r="O2026" s="888"/>
      <c r="P2026" s="888"/>
      <c r="Q2026" s="888"/>
      <c r="R2026" s="888"/>
    </row>
    <row r="2027" spans="1:18" s="893" customFormat="1" x14ac:dyDescent="0.3">
      <c r="A2027" s="888" t="str">
        <f>IF(LEN('Translation-EN'!A2027)&gt;0,'Translation-EN'!A2027,"")</f>
        <v>Range</v>
      </c>
      <c r="B2027" s="888" t="str">
        <f>IF(LEN('Translation-EN'!B2027)&gt;0,'Translation-EN'!B2027,"")</f>
        <v>Master sheet</v>
      </c>
      <c r="C2027" s="888" t="str">
        <f>IF(LEN('Translation-EN'!C2027)&gt;0,'Translation-EN'!C2027,"")</f>
        <v>B202</v>
      </c>
      <c r="D2027" s="888" t="str">
        <f>IF(LEN('Translation-EN'!D2027)&gt;0,'Translation-EN'!D2027,"")</f>
        <v/>
      </c>
      <c r="E2027" s="893" t="s">
        <v>6329</v>
      </c>
      <c r="I2027" s="888"/>
      <c r="J2027" s="888"/>
      <c r="K2027" s="888"/>
      <c r="L2027" s="888"/>
      <c r="M2027" s="888"/>
      <c r="N2027" s="888"/>
      <c r="O2027" s="888"/>
      <c r="P2027" s="888"/>
      <c r="Q2027" s="888"/>
      <c r="R2027" s="888"/>
    </row>
    <row r="2028" spans="1:18" s="893" customFormat="1" x14ac:dyDescent="0.3">
      <c r="A2028" s="888" t="str">
        <f>IF(LEN('Translation-EN'!A2028)&gt;0,'Translation-EN'!A2028,"")</f>
        <v>Range</v>
      </c>
      <c r="B2028" s="888" t="str">
        <f>IF(LEN('Translation-EN'!B2028)&gt;0,'Translation-EN'!B2028,"")</f>
        <v>Master sheet</v>
      </c>
      <c r="C2028" s="888" t="str">
        <f>IF(LEN('Translation-EN'!C2028)&gt;0,'Translation-EN'!C2028,"")</f>
        <v>C202</v>
      </c>
      <c r="D2028" s="888" t="str">
        <f>IF(LEN('Translation-EN'!D2028)&gt;0,'Translation-EN'!D2028,"")</f>
        <v/>
      </c>
      <c r="E2028" s="893" t="s">
        <v>4319</v>
      </c>
      <c r="I2028" s="888"/>
      <c r="J2028" s="888"/>
      <c r="K2028" s="888"/>
      <c r="L2028" s="888"/>
      <c r="M2028" s="888"/>
      <c r="N2028" s="888"/>
      <c r="O2028" s="888"/>
      <c r="P2028" s="888"/>
      <c r="Q2028" s="888"/>
      <c r="R2028" s="888"/>
    </row>
    <row r="2029" spans="1:18" s="893" customFormat="1" x14ac:dyDescent="0.3">
      <c r="A2029" s="888" t="str">
        <f>IF(LEN('Translation-EN'!A2029)&gt;0,'Translation-EN'!A2029,"")</f>
        <v>Range</v>
      </c>
      <c r="B2029" s="888" t="str">
        <f>IF(LEN('Translation-EN'!B2029)&gt;0,'Translation-EN'!B2029,"")</f>
        <v>Master sheet</v>
      </c>
      <c r="C2029" s="888" t="str">
        <f>IF(LEN('Translation-EN'!C2029)&gt;0,'Translation-EN'!C2029,"")</f>
        <v>D202</v>
      </c>
      <c r="D2029" s="888" t="str">
        <f>IF(LEN('Translation-EN'!D2029)&gt;0,'Translation-EN'!D2029,"")</f>
        <v/>
      </c>
      <c r="E2029" s="893" t="s">
        <v>6330</v>
      </c>
      <c r="I2029" s="888"/>
      <c r="J2029" s="888"/>
      <c r="K2029" s="888"/>
      <c r="L2029" s="888"/>
      <c r="M2029" s="888"/>
      <c r="N2029" s="888"/>
      <c r="O2029" s="888"/>
      <c r="P2029" s="888"/>
      <c r="Q2029" s="888"/>
      <c r="R2029" s="888"/>
    </row>
    <row r="2030" spans="1:18" s="893" customFormat="1" x14ac:dyDescent="0.3">
      <c r="A2030" s="888" t="str">
        <f>IF(LEN('Translation-EN'!A2030)&gt;0,'Translation-EN'!A2030,"")</f>
        <v>Range</v>
      </c>
      <c r="B2030" s="888" t="str">
        <f>IF(LEN('Translation-EN'!B2030)&gt;0,'Translation-EN'!B2030,"")</f>
        <v>Master sheet</v>
      </c>
      <c r="C2030" s="888" t="str">
        <f>IF(LEN('Translation-EN'!C2030)&gt;0,'Translation-EN'!C2030,"")</f>
        <v>E202</v>
      </c>
      <c r="D2030" s="888" t="str">
        <f>IF(LEN('Translation-EN'!D2030)&gt;0,'Translation-EN'!D2030,"")</f>
        <v/>
      </c>
      <c r="E2030" s="893" t="s">
        <v>6331</v>
      </c>
      <c r="I2030" s="888"/>
      <c r="J2030" s="888"/>
      <c r="K2030" s="888"/>
      <c r="L2030" s="888"/>
      <c r="M2030" s="888"/>
      <c r="N2030" s="888"/>
      <c r="O2030" s="888"/>
      <c r="P2030" s="888"/>
      <c r="Q2030" s="888"/>
      <c r="R2030" s="888"/>
    </row>
    <row r="2031" spans="1:18" s="893" customFormat="1" x14ac:dyDescent="0.3">
      <c r="A2031" s="888" t="str">
        <f>IF(LEN('Translation-EN'!A2031)&gt;0,'Translation-EN'!A2031,"")</f>
        <v>Range</v>
      </c>
      <c r="B2031" s="888" t="str">
        <f>IF(LEN('Translation-EN'!B2031)&gt;0,'Translation-EN'!B2031,"")</f>
        <v>Master sheet</v>
      </c>
      <c r="C2031" s="888" t="str">
        <f>IF(LEN('Translation-EN'!C2031)&gt;0,'Translation-EN'!C2031,"")</f>
        <v>B203</v>
      </c>
      <c r="D2031" s="888" t="str">
        <f>IF(LEN('Translation-EN'!D2031)&gt;0,'Translation-EN'!D2031,"")</f>
        <v/>
      </c>
      <c r="E2031" s="893" t="str">
        <f>$E$2027</f>
        <v>Revêtement de plancher en linoléum</v>
      </c>
      <c r="I2031" s="888"/>
      <c r="J2031" s="888"/>
      <c r="K2031" s="888"/>
      <c r="L2031" s="888"/>
      <c r="M2031" s="888"/>
      <c r="N2031" s="888"/>
      <c r="O2031" s="888"/>
      <c r="P2031" s="888"/>
      <c r="Q2031" s="888"/>
      <c r="R2031" s="888"/>
    </row>
    <row r="2032" spans="1:18" s="893" customFormat="1" x14ac:dyDescent="0.3">
      <c r="A2032" s="888" t="str">
        <f>IF(LEN('Translation-EN'!A2032)&gt;0,'Translation-EN'!A2032,"")</f>
        <v>Range</v>
      </c>
      <c r="B2032" s="888" t="str">
        <f>IF(LEN('Translation-EN'!B2032)&gt;0,'Translation-EN'!B2032,"")</f>
        <v>Master sheet</v>
      </c>
      <c r="C2032" s="888" t="str">
        <f>IF(LEN('Translation-EN'!C2032)&gt;0,'Translation-EN'!C2032,"")</f>
        <v>C203</v>
      </c>
      <c r="D2032" s="888" t="str">
        <f>IF(LEN('Translation-EN'!D2032)&gt;0,'Translation-EN'!D2032,"")</f>
        <v/>
      </c>
      <c r="E2032" s="893" t="str">
        <f>$E$2028</f>
        <v>Tarkett</v>
      </c>
      <c r="I2032" s="888"/>
      <c r="J2032" s="888"/>
      <c r="K2032" s="888"/>
      <c r="L2032" s="888"/>
      <c r="M2032" s="888"/>
      <c r="N2032" s="888"/>
      <c r="O2032" s="888"/>
      <c r="P2032" s="888"/>
      <c r="Q2032" s="888"/>
      <c r="R2032" s="888"/>
    </row>
    <row r="2033" spans="1:18" s="893" customFormat="1" x14ac:dyDescent="0.3">
      <c r="A2033" s="888" t="str">
        <f>IF(LEN('Translation-EN'!A2033)&gt;0,'Translation-EN'!A2033,"")</f>
        <v>Range</v>
      </c>
      <c r="B2033" s="888" t="str">
        <f>IF(LEN('Translation-EN'!B2033)&gt;0,'Translation-EN'!B2033,"")</f>
        <v>Master sheet</v>
      </c>
      <c r="C2033" s="888" t="str">
        <f>IF(LEN('Translation-EN'!C2033)&gt;0,'Translation-EN'!C2033,"")</f>
        <v>D203</v>
      </c>
      <c r="D2033" s="888" t="str">
        <f>IF(LEN('Translation-EN'!D2033)&gt;0,'Translation-EN'!D2033,"")</f>
        <v/>
      </c>
      <c r="E2033" s="893" t="s">
        <v>4324</v>
      </c>
      <c r="I2033" s="888"/>
      <c r="J2033" s="888"/>
      <c r="K2033" s="888"/>
      <c r="L2033" s="888"/>
      <c r="M2033" s="888"/>
      <c r="N2033" s="888"/>
      <c r="O2033" s="888"/>
      <c r="P2033" s="888"/>
      <c r="Q2033" s="888"/>
      <c r="R2033" s="888"/>
    </row>
    <row r="2034" spans="1:18" s="893" customFormat="1" x14ac:dyDescent="0.3">
      <c r="A2034" s="888" t="str">
        <f>IF(LEN('Translation-EN'!A2034)&gt;0,'Translation-EN'!A2034,"")</f>
        <v>Range</v>
      </c>
      <c r="B2034" s="888" t="str">
        <f>IF(LEN('Translation-EN'!B2034)&gt;0,'Translation-EN'!B2034,"")</f>
        <v>Master sheet</v>
      </c>
      <c r="C2034" s="888" t="str">
        <f>IF(LEN('Translation-EN'!C2034)&gt;0,'Translation-EN'!C2034,"")</f>
        <v>E203</v>
      </c>
      <c r="D2034" s="888" t="str">
        <f>IF(LEN('Translation-EN'!D2034)&gt;0,'Translation-EN'!D2034,"")</f>
        <v/>
      </c>
      <c r="E2034" s="893" t="s">
        <v>6332</v>
      </c>
      <c r="I2034" s="888"/>
      <c r="J2034" s="888"/>
      <c r="K2034" s="888"/>
      <c r="L2034" s="888"/>
      <c r="M2034" s="888"/>
      <c r="N2034" s="888"/>
      <c r="O2034" s="888"/>
      <c r="P2034" s="888"/>
      <c r="Q2034" s="888"/>
      <c r="R2034" s="888"/>
    </row>
    <row r="2035" spans="1:18" s="893" customFormat="1" x14ac:dyDescent="0.3">
      <c r="A2035" s="888" t="str">
        <f>IF(LEN('Translation-EN'!A2035)&gt;0,'Translation-EN'!A2035,"")</f>
        <v>Range</v>
      </c>
      <c r="B2035" s="888" t="str">
        <f>IF(LEN('Translation-EN'!B2035)&gt;0,'Translation-EN'!B2035,"")</f>
        <v>Master sheet</v>
      </c>
      <c r="C2035" s="888" t="str">
        <f>IF(LEN('Translation-EN'!C2035)&gt;0,'Translation-EN'!C2035,"")</f>
        <v>B204</v>
      </c>
      <c r="D2035" s="888" t="str">
        <f>IF(LEN('Translation-EN'!D2035)&gt;0,'Translation-EN'!D2035,"")</f>
        <v/>
      </c>
      <c r="E2035" s="893" t="str">
        <f>$E$2027</f>
        <v>Revêtement de plancher en linoléum</v>
      </c>
      <c r="I2035" s="888"/>
      <c r="J2035" s="888"/>
      <c r="K2035" s="888"/>
      <c r="L2035" s="888"/>
      <c r="M2035" s="888"/>
      <c r="N2035" s="888"/>
      <c r="O2035" s="888"/>
      <c r="P2035" s="888"/>
      <c r="Q2035" s="888"/>
      <c r="R2035" s="888"/>
    </row>
    <row r="2036" spans="1:18" s="893" customFormat="1" x14ac:dyDescent="0.3">
      <c r="A2036" s="888" t="str">
        <f>IF(LEN('Translation-EN'!A2036)&gt;0,'Translation-EN'!A2036,"")</f>
        <v>Range</v>
      </c>
      <c r="B2036" s="888" t="str">
        <f>IF(LEN('Translation-EN'!B2036)&gt;0,'Translation-EN'!B2036,"")</f>
        <v>Master sheet</v>
      </c>
      <c r="C2036" s="888" t="str">
        <f>IF(LEN('Translation-EN'!C2036)&gt;0,'Translation-EN'!C2036,"")</f>
        <v>C204</v>
      </c>
      <c r="D2036" s="888" t="str">
        <f>IF(LEN('Translation-EN'!D2036)&gt;0,'Translation-EN'!D2036,"")</f>
        <v/>
      </c>
      <c r="E2036" s="893" t="str">
        <f>$E$2028</f>
        <v>Tarkett</v>
      </c>
      <c r="I2036" s="888"/>
      <c r="J2036" s="888"/>
      <c r="K2036" s="888"/>
      <c r="L2036" s="888"/>
      <c r="M2036" s="888"/>
      <c r="N2036" s="888"/>
      <c r="O2036" s="888"/>
      <c r="P2036" s="888"/>
      <c r="Q2036" s="888"/>
      <c r="R2036" s="888"/>
    </row>
    <row r="2037" spans="1:18" s="893" customFormat="1" x14ac:dyDescent="0.3">
      <c r="A2037" s="888" t="str">
        <f>IF(LEN('Translation-EN'!A2037)&gt;0,'Translation-EN'!A2037,"")</f>
        <v>Range</v>
      </c>
      <c r="B2037" s="888" t="str">
        <f>IF(LEN('Translation-EN'!B2037)&gt;0,'Translation-EN'!B2037,"")</f>
        <v>Master sheet</v>
      </c>
      <c r="C2037" s="888" t="str">
        <f>IF(LEN('Translation-EN'!C2037)&gt;0,'Translation-EN'!C2037,"")</f>
        <v>D204</v>
      </c>
      <c r="D2037" s="888" t="str">
        <f>IF(LEN('Translation-EN'!D2037)&gt;0,'Translation-EN'!D2037,"")</f>
        <v/>
      </c>
      <c r="E2037" s="893" t="s">
        <v>6333</v>
      </c>
      <c r="I2037" s="888"/>
      <c r="J2037" s="888"/>
      <c r="K2037" s="888"/>
      <c r="L2037" s="888"/>
      <c r="M2037" s="888"/>
      <c r="N2037" s="888"/>
      <c r="O2037" s="888"/>
      <c r="P2037" s="888"/>
      <c r="Q2037" s="888"/>
      <c r="R2037" s="888"/>
    </row>
    <row r="2038" spans="1:18" s="893" customFormat="1" x14ac:dyDescent="0.3">
      <c r="A2038" s="888" t="str">
        <f>IF(LEN('Translation-EN'!A2038)&gt;0,'Translation-EN'!A2038,"")</f>
        <v>Range</v>
      </c>
      <c r="B2038" s="888" t="str">
        <f>IF(LEN('Translation-EN'!B2038)&gt;0,'Translation-EN'!B2038,"")</f>
        <v>Master sheet</v>
      </c>
      <c r="C2038" s="888" t="str">
        <f>IF(LEN('Translation-EN'!C2038)&gt;0,'Translation-EN'!C2038,"")</f>
        <v>E204</v>
      </c>
      <c r="D2038" s="888" t="str">
        <f>IF(LEN('Translation-EN'!D2038)&gt;0,'Translation-EN'!D2038,"")</f>
        <v/>
      </c>
      <c r="E2038" s="893" t="s">
        <v>6334</v>
      </c>
      <c r="I2038" s="888"/>
      <c r="J2038" s="888"/>
      <c r="K2038" s="888"/>
      <c r="L2038" s="888"/>
      <c r="M2038" s="888"/>
      <c r="N2038" s="888"/>
      <c r="O2038" s="888"/>
      <c r="P2038" s="888"/>
      <c r="Q2038" s="888"/>
      <c r="R2038" s="888"/>
    </row>
    <row r="2039" spans="1:18" s="893" customFormat="1" x14ac:dyDescent="0.3">
      <c r="A2039" s="888" t="str">
        <f>IF(LEN('Translation-EN'!A2039)&gt;0,'Translation-EN'!A2039,"")</f>
        <v>Range</v>
      </c>
      <c r="B2039" s="888" t="str">
        <f>IF(LEN('Translation-EN'!B2039)&gt;0,'Translation-EN'!B2039,"")</f>
        <v>Master sheet</v>
      </c>
      <c r="C2039" s="888" t="str">
        <f>IF(LEN('Translation-EN'!C2039)&gt;0,'Translation-EN'!C2039,"")</f>
        <v>B205</v>
      </c>
      <c r="D2039" s="888" t="str">
        <f>IF(LEN('Translation-EN'!D2039)&gt;0,'Translation-EN'!D2039,"")</f>
        <v/>
      </c>
      <c r="E2039" s="893" t="str">
        <f>$E$2027</f>
        <v>Revêtement de plancher en linoléum</v>
      </c>
      <c r="I2039" s="888"/>
      <c r="J2039" s="888"/>
      <c r="K2039" s="888"/>
      <c r="L2039" s="888"/>
      <c r="M2039" s="888"/>
      <c r="N2039" s="888"/>
      <c r="O2039" s="888"/>
      <c r="P2039" s="888"/>
      <c r="Q2039" s="888"/>
      <c r="R2039" s="888"/>
    </row>
    <row r="2040" spans="1:18" s="893" customFormat="1" x14ac:dyDescent="0.3">
      <c r="A2040" s="888" t="str">
        <f>IF(LEN('Translation-EN'!A2040)&gt;0,'Translation-EN'!A2040,"")</f>
        <v>Range</v>
      </c>
      <c r="B2040" s="888" t="str">
        <f>IF(LEN('Translation-EN'!B2040)&gt;0,'Translation-EN'!B2040,"")</f>
        <v>Master sheet</v>
      </c>
      <c r="C2040" s="888" t="str">
        <f>IF(LEN('Translation-EN'!C2040)&gt;0,'Translation-EN'!C2040,"")</f>
        <v>C205</v>
      </c>
      <c r="D2040" s="888" t="str">
        <f>IF(LEN('Translation-EN'!D2040)&gt;0,'Translation-EN'!D2040,"")</f>
        <v/>
      </c>
      <c r="E2040" s="893" t="s">
        <v>3303</v>
      </c>
      <c r="I2040" s="888"/>
      <c r="J2040" s="888"/>
      <c r="K2040" s="888"/>
      <c r="L2040" s="888"/>
      <c r="M2040" s="888"/>
      <c r="N2040" s="888"/>
      <c r="O2040" s="888"/>
      <c r="P2040" s="888"/>
      <c r="Q2040" s="888"/>
      <c r="R2040" s="888"/>
    </row>
    <row r="2041" spans="1:18" s="893" customFormat="1" x14ac:dyDescent="0.3">
      <c r="A2041" s="888" t="str">
        <f>IF(LEN('Translation-EN'!A2041)&gt;0,'Translation-EN'!A2041,"")</f>
        <v>Range</v>
      </c>
      <c r="B2041" s="888" t="str">
        <f>IF(LEN('Translation-EN'!B2041)&gt;0,'Translation-EN'!B2041,"")</f>
        <v>Master sheet</v>
      </c>
      <c r="C2041" s="888" t="str">
        <f>IF(LEN('Translation-EN'!C2041)&gt;0,'Translation-EN'!C2041,"")</f>
        <v>D205</v>
      </c>
      <c r="D2041" s="888" t="str">
        <f>IF(LEN('Translation-EN'!D2041)&gt;0,'Translation-EN'!D2041,"")</f>
        <v/>
      </c>
      <c r="E2041" s="893" t="s">
        <v>457</v>
      </c>
      <c r="I2041" s="888"/>
      <c r="J2041" s="888"/>
      <c r="K2041" s="888"/>
      <c r="L2041" s="888"/>
      <c r="M2041" s="888"/>
      <c r="N2041" s="888"/>
      <c r="O2041" s="888"/>
      <c r="P2041" s="888"/>
      <c r="Q2041" s="888"/>
      <c r="R2041" s="888"/>
    </row>
    <row r="2042" spans="1:18" s="893" customFormat="1" x14ac:dyDescent="0.3">
      <c r="A2042" s="888" t="str">
        <f>IF(LEN('Translation-EN'!A2042)&gt;0,'Translation-EN'!A2042,"")</f>
        <v>Range</v>
      </c>
      <c r="B2042" s="888" t="str">
        <f>IF(LEN('Translation-EN'!B2042)&gt;0,'Translation-EN'!B2042,"")</f>
        <v>Master sheet</v>
      </c>
      <c r="C2042" s="888" t="str">
        <f>IF(LEN('Translation-EN'!C2042)&gt;0,'Translation-EN'!C2042,"")</f>
        <v>E205</v>
      </c>
      <c r="D2042" s="888" t="str">
        <f>IF(LEN('Translation-EN'!D2042)&gt;0,'Translation-EN'!D2042,"")</f>
        <v/>
      </c>
      <c r="E2042" s="893" t="str">
        <f>$E$2034</f>
        <v>linoléum en feuille de 2,5 mm</v>
      </c>
      <c r="I2042" s="888"/>
      <c r="J2042" s="888"/>
      <c r="K2042" s="888"/>
      <c r="L2042" s="888"/>
      <c r="M2042" s="888"/>
      <c r="N2042" s="888"/>
      <c r="O2042" s="888"/>
      <c r="P2042" s="888"/>
      <c r="Q2042" s="888"/>
      <c r="R2042" s="888"/>
    </row>
    <row r="2043" spans="1:18" s="893" customFormat="1" x14ac:dyDescent="0.3">
      <c r="A2043" s="888" t="str">
        <f>IF(LEN('Translation-EN'!A2043)&gt;0,'Translation-EN'!A2043,"")</f>
        <v>Range</v>
      </c>
      <c r="B2043" s="888" t="str">
        <f>IF(LEN('Translation-EN'!B2043)&gt;0,'Translation-EN'!B2043,"")</f>
        <v>Master sheet</v>
      </c>
      <c r="C2043" s="888" t="str">
        <f>IF(LEN('Translation-EN'!C2043)&gt;0,'Translation-EN'!C2043,"")</f>
        <v>B206</v>
      </c>
      <c r="D2043" s="888" t="str">
        <f>IF(LEN('Translation-EN'!D2043)&gt;0,'Translation-EN'!D2043,"")</f>
        <v/>
      </c>
      <c r="E2043" s="893" t="str">
        <f>$E$2027</f>
        <v>Revêtement de plancher en linoléum</v>
      </c>
      <c r="I2043" s="888"/>
      <c r="J2043" s="888"/>
      <c r="K2043" s="888"/>
      <c r="L2043" s="888"/>
      <c r="M2043" s="888"/>
      <c r="N2043" s="888"/>
      <c r="O2043" s="888"/>
      <c r="P2043" s="888"/>
      <c r="Q2043" s="888"/>
      <c r="R2043" s="888"/>
    </row>
    <row r="2044" spans="1:18" s="893" customFormat="1" x14ac:dyDescent="0.3">
      <c r="A2044" s="888" t="str">
        <f>IF(LEN('Translation-EN'!A2044)&gt;0,'Translation-EN'!A2044,"")</f>
        <v>Range</v>
      </c>
      <c r="B2044" s="888" t="str">
        <f>IF(LEN('Translation-EN'!B2044)&gt;0,'Translation-EN'!B2044,"")</f>
        <v>Master sheet</v>
      </c>
      <c r="C2044" s="888" t="str">
        <f>IF(LEN('Translation-EN'!C2044)&gt;0,'Translation-EN'!C2044,"")</f>
        <v>C206</v>
      </c>
      <c r="D2044" s="888" t="str">
        <f>IF(LEN('Translation-EN'!D2044)&gt;0,'Translation-EN'!D2044,"")</f>
        <v/>
      </c>
      <c r="E2044" s="893" t="s">
        <v>3304</v>
      </c>
      <c r="I2044" s="888"/>
      <c r="J2044" s="888"/>
      <c r="K2044" s="888"/>
      <c r="L2044" s="888"/>
      <c r="M2044" s="888"/>
      <c r="N2044" s="888"/>
      <c r="O2044" s="888"/>
      <c r="P2044" s="888"/>
      <c r="Q2044" s="888"/>
      <c r="R2044" s="888"/>
    </row>
    <row r="2045" spans="1:18" s="893" customFormat="1" x14ac:dyDescent="0.3">
      <c r="A2045" s="888" t="str">
        <f>IF(LEN('Translation-EN'!A2045)&gt;0,'Translation-EN'!A2045,"")</f>
        <v>Range</v>
      </c>
      <c r="B2045" s="888" t="str">
        <f>IF(LEN('Translation-EN'!B2045)&gt;0,'Translation-EN'!B2045,"")</f>
        <v>Master sheet</v>
      </c>
      <c r="C2045" s="888" t="str">
        <f>IF(LEN('Translation-EN'!C2045)&gt;0,'Translation-EN'!C2045,"")</f>
        <v>D206</v>
      </c>
      <c r="D2045" s="888" t="str">
        <f>IF(LEN('Translation-EN'!D2045)&gt;0,'Translation-EN'!D2045,"")</f>
        <v/>
      </c>
      <c r="E2045" s="893" t="s">
        <v>3499</v>
      </c>
      <c r="I2045" s="888"/>
      <c r="J2045" s="888"/>
      <c r="K2045" s="888"/>
      <c r="L2045" s="888"/>
      <c r="M2045" s="888"/>
      <c r="N2045" s="888"/>
      <c r="O2045" s="888"/>
      <c r="P2045" s="888"/>
      <c r="Q2045" s="888"/>
      <c r="R2045" s="888"/>
    </row>
    <row r="2046" spans="1:18" s="893" customFormat="1" x14ac:dyDescent="0.3">
      <c r="A2046" s="888" t="str">
        <f>IF(LEN('Translation-EN'!A2046)&gt;0,'Translation-EN'!A2046,"")</f>
        <v>Range</v>
      </c>
      <c r="B2046" s="888" t="str">
        <f>IF(LEN('Translation-EN'!B2046)&gt;0,'Translation-EN'!B2046,"")</f>
        <v>Master sheet</v>
      </c>
      <c r="C2046" s="888" t="str">
        <f>IF(LEN('Translation-EN'!C2046)&gt;0,'Translation-EN'!C2046,"")</f>
        <v>E206</v>
      </c>
      <c r="D2046" s="888" t="str">
        <f>IF(LEN('Translation-EN'!D2046)&gt;0,'Translation-EN'!D2046,"")</f>
        <v/>
      </c>
      <c r="E2046" s="893" t="s">
        <v>6335</v>
      </c>
      <c r="I2046" s="888"/>
      <c r="J2046" s="888"/>
      <c r="K2046" s="888"/>
      <c r="L2046" s="888"/>
      <c r="M2046" s="888"/>
      <c r="N2046" s="888"/>
      <c r="O2046" s="888"/>
      <c r="P2046" s="888"/>
      <c r="Q2046" s="888"/>
      <c r="R2046" s="888"/>
    </row>
    <row r="2047" spans="1:18" s="893" customFormat="1" x14ac:dyDescent="0.3">
      <c r="A2047" s="888" t="str">
        <f>IF(LEN('Translation-EN'!A2047)&gt;0,'Translation-EN'!A2047,"")</f>
        <v>Range</v>
      </c>
      <c r="B2047" s="888" t="str">
        <f>IF(LEN('Translation-EN'!B2047)&gt;0,'Translation-EN'!B2047,"")</f>
        <v>Master sheet</v>
      </c>
      <c r="C2047" s="888" t="str">
        <f>IF(LEN('Translation-EN'!C2047)&gt;0,'Translation-EN'!C2047,"")</f>
        <v>B209</v>
      </c>
      <c r="D2047" s="888" t="str">
        <f>IF(LEN('Translation-EN'!D2047)&gt;0,'Translation-EN'!D2047,"")</f>
        <v/>
      </c>
      <c r="E2047" s="893" t="s">
        <v>6336</v>
      </c>
      <c r="I2047" s="888"/>
      <c r="J2047" s="888"/>
      <c r="K2047" s="888"/>
      <c r="L2047" s="888"/>
      <c r="M2047" s="888"/>
      <c r="N2047" s="888"/>
      <c r="O2047" s="888"/>
      <c r="P2047" s="888"/>
      <c r="Q2047" s="888"/>
      <c r="R2047" s="888"/>
    </row>
    <row r="2048" spans="1:18" s="893" customFormat="1" x14ac:dyDescent="0.3">
      <c r="A2048" s="888" t="str">
        <f>IF(LEN('Translation-EN'!A2048)&gt;0,'Translation-EN'!A2048,"")</f>
        <v>Range</v>
      </c>
      <c r="B2048" s="888" t="str">
        <f>IF(LEN('Translation-EN'!B2048)&gt;0,'Translation-EN'!B2048,"")</f>
        <v>Master sheet</v>
      </c>
      <c r="C2048" s="888" t="str">
        <f>IF(LEN('Translation-EN'!C2048)&gt;0,'Translation-EN'!C2048,"")</f>
        <v>C209</v>
      </c>
      <c r="D2048" s="888" t="str">
        <f>IF(LEN('Translation-EN'!D2048)&gt;0,'Translation-EN'!D2048,"")</f>
        <v/>
      </c>
      <c r="E2048" s="893" t="s">
        <v>6337</v>
      </c>
      <c r="I2048" s="888"/>
      <c r="J2048" s="888"/>
      <c r="K2048" s="888"/>
      <c r="L2048" s="888"/>
      <c r="M2048" s="888"/>
      <c r="N2048" s="888"/>
      <c r="O2048" s="888"/>
      <c r="P2048" s="888"/>
      <c r="Q2048" s="888"/>
      <c r="R2048" s="888"/>
    </row>
    <row r="2049" spans="1:18" s="893" customFormat="1" x14ac:dyDescent="0.3">
      <c r="A2049" s="888" t="str">
        <f>IF(LEN('Translation-EN'!A2049)&gt;0,'Translation-EN'!A2049,"")</f>
        <v>Range</v>
      </c>
      <c r="B2049" s="888" t="str">
        <f>IF(LEN('Translation-EN'!B2049)&gt;0,'Translation-EN'!B2049,"")</f>
        <v>Master sheet</v>
      </c>
      <c r="C2049" s="888" t="str">
        <f>IF(LEN('Translation-EN'!C2049)&gt;0,'Translation-EN'!C2049,"")</f>
        <v>D209</v>
      </c>
      <c r="D2049" s="888" t="str">
        <f>IF(LEN('Translation-EN'!D2049)&gt;0,'Translation-EN'!D2049,"")</f>
        <v/>
      </c>
      <c r="E2049" s="893" t="s">
        <v>6338</v>
      </c>
      <c r="I2049" s="888"/>
      <c r="J2049" s="888"/>
      <c r="K2049" s="888"/>
      <c r="L2049" s="888"/>
      <c r="M2049" s="888"/>
      <c r="N2049" s="888"/>
      <c r="O2049" s="888"/>
      <c r="P2049" s="888"/>
      <c r="Q2049" s="888"/>
      <c r="R2049" s="888"/>
    </row>
    <row r="2050" spans="1:18" s="893" customFormat="1" x14ac:dyDescent="0.3">
      <c r="A2050" s="888" t="str">
        <f>IF(LEN('Translation-EN'!A2050)&gt;0,'Translation-EN'!A2050,"")</f>
        <v>Range</v>
      </c>
      <c r="B2050" s="888" t="str">
        <f>IF(LEN('Translation-EN'!B2050)&gt;0,'Translation-EN'!B2050,"")</f>
        <v>Master sheet</v>
      </c>
      <c r="C2050" s="888" t="str">
        <f>IF(LEN('Translation-EN'!C2050)&gt;0,'Translation-EN'!C2050,"")</f>
        <v>B210</v>
      </c>
      <c r="D2050" s="888" t="str">
        <f>IF(LEN('Translation-EN'!D2050)&gt;0,'Translation-EN'!D2050,"")</f>
        <v/>
      </c>
      <c r="E2050" s="893" t="s">
        <v>6339</v>
      </c>
      <c r="I2050" s="888"/>
      <c r="J2050" s="888"/>
      <c r="K2050" s="888"/>
      <c r="L2050" s="888"/>
      <c r="M2050" s="888"/>
      <c r="N2050" s="888"/>
      <c r="O2050" s="888"/>
      <c r="P2050" s="888"/>
      <c r="Q2050" s="888"/>
      <c r="R2050" s="888"/>
    </row>
    <row r="2051" spans="1:18" s="893" customFormat="1" x14ac:dyDescent="0.3">
      <c r="A2051" s="888" t="str">
        <f>IF(LEN('Translation-EN'!A2051)&gt;0,'Translation-EN'!A2051,"")</f>
        <v>Range</v>
      </c>
      <c r="B2051" s="888" t="str">
        <f>IF(LEN('Translation-EN'!B2051)&gt;0,'Translation-EN'!B2051,"")</f>
        <v>Master sheet</v>
      </c>
      <c r="C2051" s="888" t="str">
        <f>IF(LEN('Translation-EN'!C2051)&gt;0,'Translation-EN'!C2051,"")</f>
        <v>C210</v>
      </c>
      <c r="D2051" s="888" t="str">
        <f>IF(LEN('Translation-EN'!D2051)&gt;0,'Translation-EN'!D2051,"")</f>
        <v/>
      </c>
      <c r="E2051" s="893" t="s">
        <v>6340</v>
      </c>
      <c r="I2051" s="888"/>
      <c r="J2051" s="888"/>
      <c r="K2051" s="888"/>
      <c r="L2051" s="888"/>
      <c r="M2051" s="888"/>
      <c r="N2051" s="888"/>
      <c r="O2051" s="888"/>
      <c r="P2051" s="888"/>
      <c r="Q2051" s="888"/>
      <c r="R2051" s="888"/>
    </row>
    <row r="2052" spans="1:18" s="893" customFormat="1" x14ac:dyDescent="0.3">
      <c r="A2052" s="888" t="str">
        <f>IF(LEN('Translation-EN'!A2052)&gt;0,'Translation-EN'!A2052,"")</f>
        <v>Range</v>
      </c>
      <c r="B2052" s="888" t="str">
        <f>IF(LEN('Translation-EN'!B2052)&gt;0,'Translation-EN'!B2052,"")</f>
        <v>Master sheet</v>
      </c>
      <c r="C2052" s="888" t="str">
        <f>IF(LEN('Translation-EN'!C2052)&gt;0,'Translation-EN'!C2052,"")</f>
        <v>D210</v>
      </c>
      <c r="D2052" s="888" t="str">
        <f>IF(LEN('Translation-EN'!D2052)&gt;0,'Translation-EN'!D2052,"")</f>
        <v/>
      </c>
      <c r="E2052" s="893" t="s">
        <v>6341</v>
      </c>
      <c r="I2052" s="888"/>
      <c r="J2052" s="888"/>
      <c r="K2052" s="888"/>
      <c r="L2052" s="888"/>
      <c r="M2052" s="888"/>
      <c r="N2052" s="888"/>
      <c r="O2052" s="888"/>
      <c r="P2052" s="888"/>
      <c r="Q2052" s="888"/>
      <c r="R2052" s="888"/>
    </row>
    <row r="2053" spans="1:18" s="893" customFormat="1" x14ac:dyDescent="0.3">
      <c r="A2053" s="888" t="str">
        <f>IF(LEN('Translation-EN'!A2053)&gt;0,'Translation-EN'!A2053,"")</f>
        <v>Range</v>
      </c>
      <c r="B2053" s="888" t="str">
        <f>IF(LEN('Translation-EN'!B2053)&gt;0,'Translation-EN'!B2053,"")</f>
        <v>Master sheet</v>
      </c>
      <c r="C2053" s="888" t="str">
        <f>IF(LEN('Translation-EN'!C2053)&gt;0,'Translation-EN'!C2053,"")</f>
        <v>B211</v>
      </c>
      <c r="D2053" s="888" t="str">
        <f>IF(LEN('Translation-EN'!D2053)&gt;0,'Translation-EN'!D2053,"")</f>
        <v/>
      </c>
      <c r="E2053" s="893" t="s">
        <v>6342</v>
      </c>
      <c r="I2053" s="888"/>
      <c r="J2053" s="888"/>
      <c r="K2053" s="888"/>
      <c r="L2053" s="888"/>
      <c r="M2053" s="888"/>
      <c r="N2053" s="888"/>
      <c r="O2053" s="888"/>
      <c r="P2053" s="888"/>
      <c r="Q2053" s="888"/>
      <c r="R2053" s="888"/>
    </row>
    <row r="2054" spans="1:18" s="893" customFormat="1" x14ac:dyDescent="0.3">
      <c r="A2054" s="888" t="str">
        <f>IF(LEN('Translation-EN'!A2054)&gt;0,'Translation-EN'!A2054,"")</f>
        <v>Range</v>
      </c>
      <c r="B2054" s="888" t="str">
        <f>IF(LEN('Translation-EN'!B2054)&gt;0,'Translation-EN'!B2054,"")</f>
        <v>Master sheet</v>
      </c>
      <c r="C2054" s="888" t="str">
        <f>IF(LEN('Translation-EN'!C2054)&gt;0,'Translation-EN'!C2054,"")</f>
        <v>C211</v>
      </c>
      <c r="D2054" s="888" t="str">
        <f>IF(LEN('Translation-EN'!D2054)&gt;0,'Translation-EN'!D2054,"")</f>
        <v/>
      </c>
      <c r="E2054" s="893" t="s">
        <v>3308</v>
      </c>
      <c r="I2054" s="888"/>
      <c r="J2054" s="888"/>
      <c r="K2054" s="888"/>
      <c r="L2054" s="888"/>
      <c r="M2054" s="888"/>
      <c r="N2054" s="888"/>
      <c r="O2054" s="888"/>
      <c r="P2054" s="888"/>
      <c r="Q2054" s="888"/>
      <c r="R2054" s="888"/>
    </row>
    <row r="2055" spans="1:18" s="893" customFormat="1" x14ac:dyDescent="0.3">
      <c r="A2055" s="888" t="str">
        <f>IF(LEN('Translation-EN'!A2055)&gt;0,'Translation-EN'!A2055,"")</f>
        <v>Range</v>
      </c>
      <c r="B2055" s="888" t="str">
        <f>IF(LEN('Translation-EN'!B2055)&gt;0,'Translation-EN'!B2055,"")</f>
        <v>Master sheet</v>
      </c>
      <c r="C2055" s="888" t="str">
        <f>IF(LEN('Translation-EN'!C2055)&gt;0,'Translation-EN'!C2055,"")</f>
        <v>D211</v>
      </c>
      <c r="D2055" s="888" t="str">
        <f>IF(LEN('Translation-EN'!D2055)&gt;0,'Translation-EN'!D2055,"")</f>
        <v/>
      </c>
      <c r="E2055" s="893" t="s">
        <v>6343</v>
      </c>
      <c r="I2055" s="888"/>
      <c r="J2055" s="888"/>
      <c r="K2055" s="888"/>
      <c r="L2055" s="888"/>
      <c r="M2055" s="888"/>
      <c r="N2055" s="888"/>
      <c r="O2055" s="888"/>
      <c r="P2055" s="888"/>
      <c r="Q2055" s="888"/>
      <c r="R2055" s="888"/>
    </row>
    <row r="2056" spans="1:18" s="893" customFormat="1" x14ac:dyDescent="0.3">
      <c r="A2056" s="888" t="str">
        <f>IF(LEN('Translation-EN'!A2056)&gt;0,'Translation-EN'!A2056,"")</f>
        <v>Range</v>
      </c>
      <c r="B2056" s="888" t="str">
        <f>IF(LEN('Translation-EN'!B2056)&gt;0,'Translation-EN'!B2056,"")</f>
        <v>Master sheet</v>
      </c>
      <c r="C2056" s="888" t="str">
        <f>IF(LEN('Translation-EN'!C2056)&gt;0,'Translation-EN'!C2056,"")</f>
        <v>E211</v>
      </c>
      <c r="D2056" s="888" t="str">
        <f>IF(LEN('Translation-EN'!D2056)&gt;0,'Translation-EN'!D2056,"")</f>
        <v/>
      </c>
      <c r="E2056" s="893" t="s">
        <v>6344</v>
      </c>
      <c r="I2056" s="888"/>
      <c r="J2056" s="888"/>
      <c r="K2056" s="888"/>
      <c r="L2056" s="888"/>
      <c r="M2056" s="888"/>
      <c r="N2056" s="888"/>
      <c r="O2056" s="888"/>
      <c r="P2056" s="888"/>
      <c r="Q2056" s="888"/>
      <c r="R2056" s="888"/>
    </row>
    <row r="2057" spans="1:18" s="893" customFormat="1" x14ac:dyDescent="0.3">
      <c r="A2057" s="888" t="str">
        <f>IF(LEN('Translation-EN'!A2057)&gt;0,'Translation-EN'!A2057,"")</f>
        <v>Range</v>
      </c>
      <c r="B2057" s="888" t="str">
        <f>IF(LEN('Translation-EN'!B2057)&gt;0,'Translation-EN'!B2057,"")</f>
        <v>Master sheet</v>
      </c>
      <c r="C2057" s="888" t="str">
        <f>IF(LEN('Translation-EN'!C2057)&gt;0,'Translation-EN'!C2057,"")</f>
        <v>B213</v>
      </c>
      <c r="D2057" s="888" t="str">
        <f>IF(LEN('Translation-EN'!D2057)&gt;0,'Translation-EN'!D2057,"")</f>
        <v/>
      </c>
      <c r="E2057" s="893" t="str">
        <f>$E$2053</f>
        <v>Panneaux métalliques – Aluminium</v>
      </c>
      <c r="I2057" s="888"/>
      <c r="J2057" s="888"/>
      <c r="K2057" s="888"/>
      <c r="L2057" s="888"/>
      <c r="M2057" s="888"/>
      <c r="N2057" s="888"/>
      <c r="O2057" s="888"/>
      <c r="P2057" s="888"/>
      <c r="Q2057" s="888"/>
      <c r="R2057" s="888"/>
    </row>
    <row r="2058" spans="1:18" s="893" customFormat="1" x14ac:dyDescent="0.3">
      <c r="A2058" s="888" t="str">
        <f>IF(LEN('Translation-EN'!A2058)&gt;0,'Translation-EN'!A2058,"")</f>
        <v>Range</v>
      </c>
      <c r="B2058" s="888" t="str">
        <f>IF(LEN('Translation-EN'!B2058)&gt;0,'Translation-EN'!B2058,"")</f>
        <v>Master sheet</v>
      </c>
      <c r="C2058" s="888" t="str">
        <f>IF(LEN('Translation-EN'!C2058)&gt;0,'Translation-EN'!C2058,"")</f>
        <v>C213</v>
      </c>
      <c r="D2058" s="888" t="str">
        <f>IF(LEN('Translation-EN'!D2058)&gt;0,'Translation-EN'!D2058,"")</f>
        <v/>
      </c>
      <c r="E2058" s="893" t="s">
        <v>476</v>
      </c>
      <c r="I2058" s="888"/>
      <c r="J2058" s="888"/>
      <c r="K2058" s="888"/>
      <c r="L2058" s="888"/>
      <c r="M2058" s="888"/>
      <c r="N2058" s="888"/>
      <c r="O2058" s="888"/>
      <c r="P2058" s="888"/>
      <c r="Q2058" s="888"/>
      <c r="R2058" s="888"/>
    </row>
    <row r="2059" spans="1:18" s="893" customFormat="1" x14ac:dyDescent="0.3">
      <c r="A2059" s="888" t="str">
        <f>IF(LEN('Translation-EN'!A2059)&gt;0,'Translation-EN'!A2059,"")</f>
        <v>Range</v>
      </c>
      <c r="B2059" s="888" t="str">
        <f>IF(LEN('Translation-EN'!B2059)&gt;0,'Translation-EN'!B2059,"")</f>
        <v>Master sheet</v>
      </c>
      <c r="C2059" s="888" t="str">
        <f>IF(LEN('Translation-EN'!C2059)&gt;0,'Translation-EN'!C2059,"")</f>
        <v>D213</v>
      </c>
      <c r="D2059" s="888" t="str">
        <f>IF(LEN('Translation-EN'!D2059)&gt;0,'Translation-EN'!D2059,"")</f>
        <v/>
      </c>
      <c r="E2059" s="893" t="s">
        <v>6345</v>
      </c>
      <c r="I2059" s="888"/>
      <c r="J2059" s="888"/>
      <c r="K2059" s="888"/>
      <c r="L2059" s="888"/>
      <c r="M2059" s="888"/>
      <c r="N2059" s="888"/>
      <c r="O2059" s="888"/>
      <c r="P2059" s="888"/>
      <c r="Q2059" s="888"/>
      <c r="R2059" s="888"/>
    </row>
    <row r="2060" spans="1:18" s="893" customFormat="1" x14ac:dyDescent="0.3">
      <c r="A2060" s="888" t="str">
        <f>IF(LEN('Translation-EN'!A2060)&gt;0,'Translation-EN'!A2060,"")</f>
        <v>Range</v>
      </c>
      <c r="B2060" s="888" t="str">
        <f>IF(LEN('Translation-EN'!B2060)&gt;0,'Translation-EN'!B2060,"")</f>
        <v>Master sheet</v>
      </c>
      <c r="C2060" s="888" t="str">
        <f>IF(LEN('Translation-EN'!C2060)&gt;0,'Translation-EN'!C2060,"")</f>
        <v>E213</v>
      </c>
      <c r="D2060" s="888" t="str">
        <f>IF(LEN('Translation-EN'!D2060)&gt;0,'Translation-EN'!D2060,"")</f>
        <v/>
      </c>
      <c r="E2060" s="893" t="s">
        <v>4330</v>
      </c>
      <c r="I2060" s="888"/>
      <c r="J2060" s="888"/>
      <c r="K2060" s="888"/>
      <c r="L2060" s="888"/>
      <c r="M2060" s="888"/>
      <c r="N2060" s="888"/>
      <c r="O2060" s="888"/>
      <c r="P2060" s="888"/>
      <c r="Q2060" s="888"/>
      <c r="R2060" s="888"/>
    </row>
    <row r="2061" spans="1:18" s="893" customFormat="1" x14ac:dyDescent="0.3">
      <c r="A2061" s="888" t="str">
        <f>IF(LEN('Translation-EN'!A2061)&gt;0,'Translation-EN'!A2061,"")</f>
        <v>Range</v>
      </c>
      <c r="B2061" s="888" t="str">
        <f>IF(LEN('Translation-EN'!B2061)&gt;0,'Translation-EN'!B2061,"")</f>
        <v>Master sheet</v>
      </c>
      <c r="C2061" s="888" t="str">
        <f>IF(LEN('Translation-EN'!C2061)&gt;0,'Translation-EN'!C2061,"")</f>
        <v>B215</v>
      </c>
      <c r="D2061" s="888" t="str">
        <f>IF(LEN('Translation-EN'!D2061)&gt;0,'Translation-EN'!D2061,"")</f>
        <v/>
      </c>
      <c r="E2061" s="893" t="s">
        <v>6346</v>
      </c>
      <c r="I2061" s="888"/>
      <c r="J2061" s="888"/>
      <c r="K2061" s="888"/>
      <c r="L2061" s="888"/>
      <c r="M2061" s="888"/>
      <c r="N2061" s="888"/>
      <c r="O2061" s="888"/>
      <c r="P2061" s="888"/>
      <c r="Q2061" s="888"/>
      <c r="R2061" s="888"/>
    </row>
    <row r="2062" spans="1:18" s="893" customFormat="1" x14ac:dyDescent="0.3">
      <c r="A2062" s="888" t="str">
        <f>IF(LEN('Translation-EN'!A2062)&gt;0,'Translation-EN'!A2062,"")</f>
        <v>Range</v>
      </c>
      <c r="B2062" s="888" t="str">
        <f>IF(LEN('Translation-EN'!B2062)&gt;0,'Translation-EN'!B2062,"")</f>
        <v>Master sheet</v>
      </c>
      <c r="C2062" s="888" t="str">
        <f>IF(LEN('Translation-EN'!C2062)&gt;0,'Translation-EN'!C2062,"")</f>
        <v>C215</v>
      </c>
      <c r="D2062" s="888" t="str">
        <f>IF(LEN('Translation-EN'!D2062)&gt;0,'Translation-EN'!D2062,"")</f>
        <v/>
      </c>
      <c r="E2062" s="893" t="s">
        <v>480</v>
      </c>
      <c r="I2062" s="888"/>
      <c r="J2062" s="888"/>
      <c r="K2062" s="888"/>
      <c r="L2062" s="888"/>
      <c r="M2062" s="888"/>
      <c r="N2062" s="888"/>
      <c r="O2062" s="888"/>
      <c r="P2062" s="888"/>
      <c r="Q2062" s="888"/>
      <c r="R2062" s="888"/>
    </row>
    <row r="2063" spans="1:18" s="893" customFormat="1" x14ac:dyDescent="0.3">
      <c r="A2063" s="888" t="str">
        <f>IF(LEN('Translation-EN'!A2063)&gt;0,'Translation-EN'!A2063,"")</f>
        <v>Range</v>
      </c>
      <c r="B2063" s="888" t="str">
        <f>IF(LEN('Translation-EN'!B2063)&gt;0,'Translation-EN'!B2063,"")</f>
        <v>Master sheet</v>
      </c>
      <c r="C2063" s="888" t="str">
        <f>IF(LEN('Translation-EN'!C2063)&gt;0,'Translation-EN'!C2063,"")</f>
        <v>D215</v>
      </c>
      <c r="D2063" s="888" t="str">
        <f>IF(LEN('Translation-EN'!D2063)&gt;0,'Translation-EN'!D2063,"")</f>
        <v/>
      </c>
      <c r="E2063" s="893" t="s">
        <v>6347</v>
      </c>
      <c r="I2063" s="888"/>
      <c r="J2063" s="888"/>
      <c r="K2063" s="888"/>
      <c r="L2063" s="888"/>
      <c r="M2063" s="888"/>
      <c r="N2063" s="888"/>
      <c r="O2063" s="888"/>
      <c r="P2063" s="888"/>
      <c r="Q2063" s="888"/>
      <c r="R2063" s="888"/>
    </row>
    <row r="2064" spans="1:18" s="893" customFormat="1" x14ac:dyDescent="0.3">
      <c r="A2064" s="888" t="str">
        <f>IF(LEN('Translation-EN'!A2064)&gt;0,'Translation-EN'!A2064,"")</f>
        <v>Range</v>
      </c>
      <c r="B2064" s="888" t="str">
        <f>IF(LEN('Translation-EN'!B2064)&gt;0,'Translation-EN'!B2064,"")</f>
        <v>Master sheet</v>
      </c>
      <c r="C2064" s="888" t="str">
        <f>IF(LEN('Translation-EN'!C2064)&gt;0,'Translation-EN'!C2064,"")</f>
        <v>E215</v>
      </c>
      <c r="D2064" s="888" t="str">
        <f>IF(LEN('Translation-EN'!D2064)&gt;0,'Translation-EN'!D2064,"")</f>
        <v/>
      </c>
      <c r="E2064" s="893" t="s">
        <v>6348</v>
      </c>
      <c r="I2064" s="888"/>
      <c r="J2064" s="888"/>
      <c r="K2064" s="888"/>
      <c r="L2064" s="888"/>
      <c r="M2064" s="888"/>
      <c r="N2064" s="888"/>
      <c r="O2064" s="888"/>
      <c r="P2064" s="888"/>
      <c r="Q2064" s="888"/>
      <c r="R2064" s="888"/>
    </row>
    <row r="2065" spans="1:18" s="893" customFormat="1" x14ac:dyDescent="0.3">
      <c r="A2065" s="888" t="str">
        <f>IF(LEN('Translation-EN'!A2065)&gt;0,'Translation-EN'!A2065,"")</f>
        <v>Range</v>
      </c>
      <c r="B2065" s="888" t="str">
        <f>IF(LEN('Translation-EN'!B2065)&gt;0,'Translation-EN'!B2065,"")</f>
        <v>Master sheet</v>
      </c>
      <c r="C2065" s="888" t="str">
        <f>IF(LEN('Translation-EN'!C2065)&gt;0,'Translation-EN'!C2065,"")</f>
        <v>B217</v>
      </c>
      <c r="D2065" s="888" t="str">
        <f>IF(LEN('Translation-EN'!D2065)&gt;0,'Translation-EN'!D2065,"")</f>
        <v/>
      </c>
      <c r="E2065" s="893" t="str">
        <f>$E$2061</f>
        <v>Panneaux métalliques – acier</v>
      </c>
      <c r="I2065" s="888"/>
      <c r="J2065" s="888"/>
      <c r="K2065" s="888"/>
      <c r="L2065" s="888"/>
      <c r="M2065" s="888"/>
      <c r="N2065" s="888"/>
      <c r="O2065" s="888"/>
      <c r="P2065" s="888"/>
      <c r="Q2065" s="888"/>
      <c r="R2065" s="888"/>
    </row>
    <row r="2066" spans="1:18" s="893" customFormat="1" x14ac:dyDescent="0.3">
      <c r="A2066" s="888" t="str">
        <f>IF(LEN('Translation-EN'!A2066)&gt;0,'Translation-EN'!A2066,"")</f>
        <v>Range</v>
      </c>
      <c r="B2066" s="888" t="str">
        <f>IF(LEN('Translation-EN'!B2066)&gt;0,'Translation-EN'!B2066,"")</f>
        <v>Master sheet</v>
      </c>
      <c r="C2066" s="888" t="str">
        <f>IF(LEN('Translation-EN'!C2066)&gt;0,'Translation-EN'!C2066,"")</f>
        <v>C217</v>
      </c>
      <c r="D2066" s="888" t="str">
        <f>IF(LEN('Translation-EN'!D2066)&gt;0,'Translation-EN'!D2066,"")</f>
        <v/>
      </c>
      <c r="E2066" s="893" t="s">
        <v>484</v>
      </c>
      <c r="I2066" s="888"/>
      <c r="J2066" s="888"/>
      <c r="K2066" s="888"/>
      <c r="L2066" s="888"/>
      <c r="M2066" s="888"/>
      <c r="N2066" s="888"/>
      <c r="O2066" s="888"/>
      <c r="P2066" s="888"/>
      <c r="Q2066" s="888"/>
      <c r="R2066" s="888"/>
    </row>
    <row r="2067" spans="1:18" s="893" customFormat="1" x14ac:dyDescent="0.3">
      <c r="A2067" s="888" t="str">
        <f>IF(LEN('Translation-EN'!A2067)&gt;0,'Translation-EN'!A2067,"")</f>
        <v>Range</v>
      </c>
      <c r="B2067" s="888" t="str">
        <f>IF(LEN('Translation-EN'!B2067)&gt;0,'Translation-EN'!B2067,"")</f>
        <v>Master sheet</v>
      </c>
      <c r="C2067" s="888" t="str">
        <f>IF(LEN('Translation-EN'!C2067)&gt;0,'Translation-EN'!C2067,"")</f>
        <v>D217</v>
      </c>
      <c r="D2067" s="888" t="str">
        <f>IF(LEN('Translation-EN'!D2067)&gt;0,'Translation-EN'!D2067,"")</f>
        <v/>
      </c>
      <c r="E2067" s="893" t="s">
        <v>4336</v>
      </c>
      <c r="I2067" s="888"/>
      <c r="J2067" s="888"/>
      <c r="K2067" s="888"/>
      <c r="L2067" s="888"/>
      <c r="M2067" s="888"/>
      <c r="N2067" s="888"/>
      <c r="O2067" s="888"/>
      <c r="P2067" s="888"/>
      <c r="Q2067" s="888"/>
      <c r="R2067" s="888"/>
    </row>
    <row r="2068" spans="1:18" s="893" customFormat="1" x14ac:dyDescent="0.3">
      <c r="A2068" s="888" t="str">
        <f>IF(LEN('Translation-EN'!A2068)&gt;0,'Translation-EN'!A2068,"")</f>
        <v>Range</v>
      </c>
      <c r="B2068" s="888" t="str">
        <f>IF(LEN('Translation-EN'!B2068)&gt;0,'Translation-EN'!B2068,"")</f>
        <v>Master sheet</v>
      </c>
      <c r="C2068" s="888" t="str">
        <f>IF(LEN('Translation-EN'!C2068)&gt;0,'Translation-EN'!C2068,"")</f>
        <v>E217</v>
      </c>
      <c r="D2068" s="888" t="str">
        <f>IF(LEN('Translation-EN'!D2068)&gt;0,'Translation-EN'!D2068,"")</f>
        <v/>
      </c>
      <c r="E2068" s="893" t="str">
        <f>$E$2064</f>
        <v>24 jauge</v>
      </c>
      <c r="I2068" s="888"/>
      <c r="J2068" s="888"/>
      <c r="K2068" s="888"/>
      <c r="L2068" s="888"/>
      <c r="M2068" s="888"/>
      <c r="N2068" s="888"/>
      <c r="O2068" s="888"/>
      <c r="P2068" s="888"/>
      <c r="Q2068" s="888"/>
      <c r="R2068" s="888"/>
    </row>
    <row r="2069" spans="1:18" s="893" customFormat="1" x14ac:dyDescent="0.3">
      <c r="A2069" s="888" t="str">
        <f>IF(LEN('Translation-EN'!A2069)&gt;0,'Translation-EN'!A2069,"")</f>
        <v>Range</v>
      </c>
      <c r="B2069" s="888" t="str">
        <f>IF(LEN('Translation-EN'!B2069)&gt;0,'Translation-EN'!B2069,"")</f>
        <v>Master sheet</v>
      </c>
      <c r="C2069" s="888" t="str">
        <f>IF(LEN('Translation-EN'!C2069)&gt;0,'Translation-EN'!C2069,"")</f>
        <v>B219</v>
      </c>
      <c r="D2069" s="888" t="str">
        <f>IF(LEN('Translation-EN'!D2069)&gt;0,'Translation-EN'!D2069,"")</f>
        <v/>
      </c>
      <c r="E2069" s="893" t="str">
        <f>$E$2061</f>
        <v>Panneaux métalliques – acier</v>
      </c>
      <c r="I2069" s="888"/>
      <c r="J2069" s="888"/>
      <c r="K2069" s="888"/>
      <c r="L2069" s="888"/>
      <c r="M2069" s="888"/>
      <c r="N2069" s="888"/>
      <c r="O2069" s="888"/>
      <c r="P2069" s="888"/>
      <c r="Q2069" s="888"/>
      <c r="R2069" s="888"/>
    </row>
    <row r="2070" spans="1:18" s="893" customFormat="1" x14ac:dyDescent="0.3">
      <c r="A2070" s="888" t="str">
        <f>IF(LEN('Translation-EN'!A2070)&gt;0,'Translation-EN'!A2070,"")</f>
        <v>Range</v>
      </c>
      <c r="B2070" s="888" t="str">
        <f>IF(LEN('Translation-EN'!B2070)&gt;0,'Translation-EN'!B2070,"")</f>
        <v>Master sheet</v>
      </c>
      <c r="C2070" s="888" t="str">
        <f>IF(LEN('Translation-EN'!C2070)&gt;0,'Translation-EN'!C2070,"")</f>
        <v>C219</v>
      </c>
      <c r="D2070" s="888" t="str">
        <f>IF(LEN('Translation-EN'!D2070)&gt;0,'Translation-EN'!D2070,"")</f>
        <v/>
      </c>
      <c r="E2070" s="893" t="s">
        <v>6349</v>
      </c>
      <c r="I2070" s="888"/>
      <c r="J2070" s="888"/>
      <c r="K2070" s="888"/>
      <c r="L2070" s="888"/>
      <c r="M2070" s="888"/>
      <c r="N2070" s="888"/>
      <c r="O2070" s="888"/>
      <c r="P2070" s="888"/>
      <c r="Q2070" s="888"/>
      <c r="R2070" s="888"/>
    </row>
    <row r="2071" spans="1:18" s="893" customFormat="1" x14ac:dyDescent="0.3">
      <c r="A2071" s="888" t="str">
        <f>IF(LEN('Translation-EN'!A2071)&gt;0,'Translation-EN'!A2071,"")</f>
        <v>Range</v>
      </c>
      <c r="B2071" s="888" t="str">
        <f>IF(LEN('Translation-EN'!B2071)&gt;0,'Translation-EN'!B2071,"")</f>
        <v>Master sheet</v>
      </c>
      <c r="C2071" s="888" t="str">
        <f>IF(LEN('Translation-EN'!C2071)&gt;0,'Translation-EN'!C2071,"")</f>
        <v>D219</v>
      </c>
      <c r="D2071" s="888" t="str">
        <f>IF(LEN('Translation-EN'!D2071)&gt;0,'Translation-EN'!D2071,"")</f>
        <v/>
      </c>
      <c r="E2071" s="893" t="s">
        <v>6350</v>
      </c>
      <c r="I2071" s="888"/>
      <c r="J2071" s="888"/>
      <c r="K2071" s="888"/>
      <c r="L2071" s="888"/>
      <c r="M2071" s="888"/>
      <c r="N2071" s="888"/>
      <c r="O2071" s="888"/>
      <c r="P2071" s="888"/>
      <c r="Q2071" s="888"/>
      <c r="R2071" s="888"/>
    </row>
    <row r="2072" spans="1:18" s="893" customFormat="1" x14ac:dyDescent="0.3">
      <c r="A2072" s="888" t="str">
        <f>IF(LEN('Translation-EN'!A2072)&gt;0,'Translation-EN'!A2072,"")</f>
        <v>Range</v>
      </c>
      <c r="B2072" s="888" t="str">
        <f>IF(LEN('Translation-EN'!B2072)&gt;0,'Translation-EN'!B2072,"")</f>
        <v>Master sheet</v>
      </c>
      <c r="C2072" s="888" t="str">
        <f>IF(LEN('Translation-EN'!C2072)&gt;0,'Translation-EN'!C2072,"")</f>
        <v>E219</v>
      </c>
      <c r="D2072" s="888" t="str">
        <f>IF(LEN('Translation-EN'!D2072)&gt;0,'Translation-EN'!D2072,"")</f>
        <v/>
      </c>
      <c r="E2072" s="893" t="str">
        <f>$E$2064</f>
        <v>24 jauge</v>
      </c>
      <c r="I2072" s="888"/>
      <c r="J2072" s="888"/>
      <c r="K2072" s="888"/>
      <c r="L2072" s="888"/>
      <c r="M2072" s="888"/>
      <c r="N2072" s="888"/>
      <c r="O2072" s="888"/>
      <c r="P2072" s="888"/>
      <c r="Q2072" s="888"/>
      <c r="R2072" s="888"/>
    </row>
    <row r="2073" spans="1:18" s="893" customFormat="1" x14ac:dyDescent="0.3">
      <c r="A2073" s="888" t="str">
        <f>IF(LEN('Translation-EN'!A2073)&gt;0,'Translation-EN'!A2073,"")</f>
        <v>Range</v>
      </c>
      <c r="B2073" s="888" t="str">
        <f>IF(LEN('Translation-EN'!B2073)&gt;0,'Translation-EN'!B2073,"")</f>
        <v>Master sheet</v>
      </c>
      <c r="C2073" s="888" t="str">
        <f>IF(LEN('Translation-EN'!C2073)&gt;0,'Translation-EN'!C2073,"")</f>
        <v>B221</v>
      </c>
      <c r="D2073" s="888" t="str">
        <f>IF(LEN('Translation-EN'!D2073)&gt;0,'Translation-EN'!D2073,"")</f>
        <v/>
      </c>
      <c r="E2073" s="893" t="str">
        <f>$E$2061</f>
        <v>Panneaux métalliques – acier</v>
      </c>
      <c r="I2073" s="888"/>
      <c r="J2073" s="888"/>
      <c r="K2073" s="888"/>
      <c r="L2073" s="888"/>
      <c r="M2073" s="888"/>
      <c r="N2073" s="888"/>
      <c r="O2073" s="888"/>
      <c r="P2073" s="888"/>
      <c r="Q2073" s="888"/>
      <c r="R2073" s="888"/>
    </row>
    <row r="2074" spans="1:18" s="893" customFormat="1" x14ac:dyDescent="0.3">
      <c r="A2074" s="888" t="str">
        <f>IF(LEN('Translation-EN'!A2074)&gt;0,'Translation-EN'!A2074,"")</f>
        <v>Range</v>
      </c>
      <c r="B2074" s="888" t="str">
        <f>IF(LEN('Translation-EN'!B2074)&gt;0,'Translation-EN'!B2074,"")</f>
        <v>Master sheet</v>
      </c>
      <c r="C2074" s="888" t="str">
        <f>IF(LEN('Translation-EN'!C2074)&gt;0,'Translation-EN'!C2074,"")</f>
        <v>C221</v>
      </c>
      <c r="D2074" s="888" t="str">
        <f>IF(LEN('Translation-EN'!D2074)&gt;0,'Translation-EN'!D2074,"")</f>
        <v/>
      </c>
      <c r="E2074" s="893" t="s">
        <v>6351</v>
      </c>
      <c r="I2074" s="888"/>
      <c r="J2074" s="888"/>
      <c r="K2074" s="888"/>
      <c r="L2074" s="888"/>
      <c r="M2074" s="888"/>
      <c r="N2074" s="888"/>
      <c r="O2074" s="888"/>
      <c r="P2074" s="888"/>
      <c r="Q2074" s="888"/>
      <c r="R2074" s="888"/>
    </row>
    <row r="2075" spans="1:18" s="893" customFormat="1" x14ac:dyDescent="0.3">
      <c r="A2075" s="888" t="str">
        <f>IF(LEN('Translation-EN'!A2075)&gt;0,'Translation-EN'!A2075,"")</f>
        <v>Range</v>
      </c>
      <c r="B2075" s="888" t="str">
        <f>IF(LEN('Translation-EN'!B2075)&gt;0,'Translation-EN'!B2075,"")</f>
        <v>Master sheet</v>
      </c>
      <c r="C2075" s="888" t="str">
        <f>IF(LEN('Translation-EN'!C2075)&gt;0,'Translation-EN'!C2075,"")</f>
        <v>D221</v>
      </c>
      <c r="D2075" s="888" t="str">
        <f>IF(LEN('Translation-EN'!D2075)&gt;0,'Translation-EN'!D2075,"")</f>
        <v/>
      </c>
      <c r="E2075" s="893" t="s">
        <v>6352</v>
      </c>
      <c r="I2075" s="888"/>
      <c r="J2075" s="888"/>
      <c r="K2075" s="888"/>
      <c r="L2075" s="888"/>
      <c r="M2075" s="888"/>
      <c r="N2075" s="888"/>
      <c r="O2075" s="888"/>
      <c r="P2075" s="888"/>
      <c r="Q2075" s="888"/>
      <c r="R2075" s="888"/>
    </row>
    <row r="2076" spans="1:18" s="893" customFormat="1" x14ac:dyDescent="0.3">
      <c r="A2076" s="888" t="str">
        <f>IF(LEN('Translation-EN'!A2076)&gt;0,'Translation-EN'!A2076,"")</f>
        <v>Range</v>
      </c>
      <c r="B2076" s="888" t="str">
        <f>IF(LEN('Translation-EN'!B2076)&gt;0,'Translation-EN'!B2076,"")</f>
        <v>Master sheet</v>
      </c>
      <c r="C2076" s="888" t="str">
        <f>IF(LEN('Translation-EN'!C2076)&gt;0,'Translation-EN'!C2076,"")</f>
        <v>E221</v>
      </c>
      <c r="D2076" s="888" t="str">
        <f>IF(LEN('Translation-EN'!D2076)&gt;0,'Translation-EN'!D2076,"")</f>
        <v/>
      </c>
      <c r="E2076" s="893" t="str">
        <f>$E$2064</f>
        <v>24 jauge</v>
      </c>
      <c r="I2076" s="888"/>
      <c r="J2076" s="888"/>
      <c r="K2076" s="888"/>
      <c r="L2076" s="888"/>
      <c r="M2076" s="888"/>
      <c r="N2076" s="888"/>
      <c r="O2076" s="888"/>
      <c r="P2076" s="888"/>
      <c r="Q2076" s="888"/>
      <c r="R2076" s="888"/>
    </row>
    <row r="2077" spans="1:18" s="893" customFormat="1" x14ac:dyDescent="0.3">
      <c r="A2077" s="888" t="str">
        <f>IF(LEN('Translation-EN'!A2077)&gt;0,'Translation-EN'!A2077,"")</f>
        <v>Range</v>
      </c>
      <c r="B2077" s="888" t="str">
        <f>IF(LEN('Translation-EN'!B2077)&gt;0,'Translation-EN'!B2077,"")</f>
        <v>Master sheet</v>
      </c>
      <c r="C2077" s="888" t="str">
        <f>IF(LEN('Translation-EN'!C2077)&gt;0,'Translation-EN'!C2077,"")</f>
        <v>B222</v>
      </c>
      <c r="D2077" s="888" t="str">
        <f>IF(LEN('Translation-EN'!D2077)&gt;0,'Translation-EN'!D2077,"")</f>
        <v/>
      </c>
      <c r="E2077" s="893" t="str">
        <f>$E$2061</f>
        <v>Panneaux métalliques – acier</v>
      </c>
      <c r="I2077" s="888"/>
      <c r="J2077" s="888"/>
      <c r="K2077" s="888"/>
      <c r="L2077" s="888"/>
      <c r="M2077" s="888"/>
      <c r="N2077" s="888"/>
      <c r="O2077" s="888"/>
      <c r="P2077" s="888"/>
      <c r="Q2077" s="888"/>
      <c r="R2077" s="888"/>
    </row>
    <row r="2078" spans="1:18" s="893" customFormat="1" x14ac:dyDescent="0.3">
      <c r="A2078" s="888" t="str">
        <f>IF(LEN('Translation-EN'!A2078)&gt;0,'Translation-EN'!A2078,"")</f>
        <v>Range</v>
      </c>
      <c r="B2078" s="888" t="str">
        <f>IF(LEN('Translation-EN'!B2078)&gt;0,'Translation-EN'!B2078,"")</f>
        <v>Master sheet</v>
      </c>
      <c r="C2078" s="888" t="str">
        <f>IF(LEN('Translation-EN'!C2078)&gt;0,'Translation-EN'!C2078,"")</f>
        <v>C222</v>
      </c>
      <c r="D2078" s="888" t="str">
        <f>IF(LEN('Translation-EN'!D2078)&gt;0,'Translation-EN'!D2078,"")</f>
        <v/>
      </c>
      <c r="E2078" s="893" t="str">
        <f>$E$2054</f>
        <v>Metal Construction Assn.</v>
      </c>
      <c r="I2078" s="888"/>
      <c r="J2078" s="888"/>
      <c r="K2078" s="888"/>
      <c r="L2078" s="888"/>
      <c r="M2078" s="888"/>
      <c r="N2078" s="888"/>
      <c r="O2078" s="888"/>
      <c r="P2078" s="888"/>
      <c r="Q2078" s="888"/>
      <c r="R2078" s="888"/>
    </row>
    <row r="2079" spans="1:18" s="893" customFormat="1" x14ac:dyDescent="0.3">
      <c r="A2079" s="888" t="str">
        <f>IF(LEN('Translation-EN'!A2079)&gt;0,'Translation-EN'!A2079,"")</f>
        <v>Range</v>
      </c>
      <c r="B2079" s="888" t="str">
        <f>IF(LEN('Translation-EN'!B2079)&gt;0,'Translation-EN'!B2079,"")</f>
        <v>Master sheet</v>
      </c>
      <c r="C2079" s="888" t="str">
        <f>IF(LEN('Translation-EN'!C2079)&gt;0,'Translation-EN'!C2079,"")</f>
        <v>D222</v>
      </c>
      <c r="D2079" s="888" t="str">
        <f>IF(LEN('Translation-EN'!D2079)&gt;0,'Translation-EN'!D2079,"")</f>
        <v/>
      </c>
      <c r="E2079" s="893" t="str">
        <f>$E$2055</f>
        <v>Inclus : ATAS, DMI, Englert, Fabral, McElroy, Pac-Clad</v>
      </c>
      <c r="I2079" s="888"/>
      <c r="J2079" s="888"/>
      <c r="K2079" s="888"/>
      <c r="L2079" s="888"/>
      <c r="M2079" s="888"/>
      <c r="N2079" s="888"/>
      <c r="O2079" s="888"/>
      <c r="P2079" s="888"/>
      <c r="Q2079" s="888"/>
      <c r="R2079" s="888"/>
    </row>
    <row r="2080" spans="1:18" s="893" customFormat="1" x14ac:dyDescent="0.3">
      <c r="A2080" s="888" t="str">
        <f>IF(LEN('Translation-EN'!A2080)&gt;0,'Translation-EN'!A2080,"")</f>
        <v>Range</v>
      </c>
      <c r="B2080" s="888" t="str">
        <f>IF(LEN('Translation-EN'!B2080)&gt;0,'Translation-EN'!B2080,"")</f>
        <v>Master sheet</v>
      </c>
      <c r="C2080" s="888" t="str">
        <f>IF(LEN('Translation-EN'!C2080)&gt;0,'Translation-EN'!C2080,"")</f>
        <v>E222</v>
      </c>
      <c r="D2080" s="888" t="str">
        <f>IF(LEN('Translation-EN'!D2080)&gt;0,'Translation-EN'!D2080,"")</f>
        <v/>
      </c>
      <c r="E2080" s="893" t="str">
        <f>$E$2064</f>
        <v>24 jauge</v>
      </c>
      <c r="I2080" s="888"/>
      <c r="J2080" s="888"/>
      <c r="K2080" s="888"/>
      <c r="L2080" s="888"/>
      <c r="M2080" s="888"/>
      <c r="N2080" s="888"/>
      <c r="O2080" s="888"/>
      <c r="P2080" s="888"/>
      <c r="Q2080" s="888"/>
      <c r="R2080" s="888"/>
    </row>
    <row r="2081" spans="1:18" s="893" customFormat="1" x14ac:dyDescent="0.3">
      <c r="A2081" s="888" t="str">
        <f>IF(LEN('Translation-EN'!A2081)&gt;0,'Translation-EN'!A2081,"")</f>
        <v>Range</v>
      </c>
      <c r="B2081" s="888" t="str">
        <f>IF(LEN('Translation-EN'!B2081)&gt;0,'Translation-EN'!B2081,"")</f>
        <v>Master sheet</v>
      </c>
      <c r="C2081" s="888" t="str">
        <f>IF(LEN('Translation-EN'!C2081)&gt;0,'Translation-EN'!C2081,"")</f>
        <v>B224</v>
      </c>
      <c r="D2081" s="888" t="str">
        <f>IF(LEN('Translation-EN'!D2081)&gt;0,'Translation-EN'!D2081,"")</f>
        <v/>
      </c>
      <c r="E2081" s="893" t="str">
        <f>$E$2061</f>
        <v>Panneaux métalliques – acier</v>
      </c>
      <c r="I2081" s="888"/>
      <c r="J2081" s="888"/>
      <c r="K2081" s="888"/>
      <c r="L2081" s="888"/>
      <c r="M2081" s="888"/>
      <c r="N2081" s="888"/>
      <c r="O2081" s="888"/>
      <c r="P2081" s="888"/>
      <c r="Q2081" s="888"/>
      <c r="R2081" s="888"/>
    </row>
    <row r="2082" spans="1:18" s="893" customFormat="1" x14ac:dyDescent="0.3">
      <c r="A2082" s="888" t="str">
        <f>IF(LEN('Translation-EN'!A2082)&gt;0,'Translation-EN'!A2082,"")</f>
        <v>Range</v>
      </c>
      <c r="B2082" s="888" t="str">
        <f>IF(LEN('Translation-EN'!B2082)&gt;0,'Translation-EN'!B2082,"")</f>
        <v>Master sheet</v>
      </c>
      <c r="C2082" s="888" t="str">
        <f>IF(LEN('Translation-EN'!C2082)&gt;0,'Translation-EN'!C2082,"")</f>
        <v>C224</v>
      </c>
      <c r="D2082" s="888" t="str">
        <f>IF(LEN('Translation-EN'!D2082)&gt;0,'Translation-EN'!D2082,"")</f>
        <v/>
      </c>
      <c r="E2082" s="893" t="str">
        <f>$E$2058</f>
        <v>Petersen Aluminum Corp</v>
      </c>
      <c r="I2082" s="888"/>
      <c r="J2082" s="888"/>
      <c r="K2082" s="888"/>
      <c r="L2082" s="888"/>
      <c r="M2082" s="888"/>
      <c r="N2082" s="888"/>
      <c r="O2082" s="888"/>
      <c r="P2082" s="888"/>
      <c r="Q2082" s="888"/>
      <c r="R2082" s="888"/>
    </row>
    <row r="2083" spans="1:18" s="893" customFormat="1" x14ac:dyDescent="0.3">
      <c r="A2083" s="888" t="str">
        <f>IF(LEN('Translation-EN'!A2083)&gt;0,'Translation-EN'!A2083,"")</f>
        <v>Range</v>
      </c>
      <c r="B2083" s="888" t="str">
        <f>IF(LEN('Translation-EN'!B2083)&gt;0,'Translation-EN'!B2083,"")</f>
        <v>Master sheet</v>
      </c>
      <c r="C2083" s="888" t="str">
        <f>IF(LEN('Translation-EN'!C2083)&gt;0,'Translation-EN'!C2083,"")</f>
        <v>D224</v>
      </c>
      <c r="D2083" s="888" t="str">
        <f>IF(LEN('Translation-EN'!D2083)&gt;0,'Translation-EN'!D2083,"")</f>
        <v/>
      </c>
      <c r="E2083" s="893" t="str">
        <f>$E$2059</f>
        <v>Pac-Clad, tous profils</v>
      </c>
      <c r="I2083" s="888"/>
      <c r="J2083" s="888"/>
      <c r="K2083" s="888"/>
      <c r="L2083" s="888"/>
      <c r="M2083" s="888"/>
      <c r="N2083" s="888"/>
      <c r="O2083" s="888"/>
      <c r="P2083" s="888"/>
      <c r="Q2083" s="888"/>
      <c r="R2083" s="888"/>
    </row>
    <row r="2084" spans="1:18" s="893" customFormat="1" x14ac:dyDescent="0.3">
      <c r="A2084" s="888" t="str">
        <f>IF(LEN('Translation-EN'!A2084)&gt;0,'Translation-EN'!A2084,"")</f>
        <v>Range</v>
      </c>
      <c r="B2084" s="888" t="str">
        <f>IF(LEN('Translation-EN'!B2084)&gt;0,'Translation-EN'!B2084,"")</f>
        <v>Master sheet</v>
      </c>
      <c r="C2084" s="888" t="str">
        <f>IF(LEN('Translation-EN'!C2084)&gt;0,'Translation-EN'!C2084,"")</f>
        <v>E224</v>
      </c>
      <c r="D2084" s="888" t="str">
        <f>IF(LEN('Translation-EN'!D2084)&gt;0,'Translation-EN'!D2084,"")</f>
        <v/>
      </c>
      <c r="E2084" s="893" t="str">
        <f>$E$2064</f>
        <v>24 jauge</v>
      </c>
      <c r="I2084" s="888"/>
      <c r="J2084" s="888"/>
      <c r="K2084" s="888"/>
      <c r="L2084" s="888"/>
      <c r="M2084" s="888"/>
      <c r="N2084" s="888"/>
      <c r="O2084" s="888"/>
      <c r="P2084" s="888"/>
      <c r="Q2084" s="888"/>
      <c r="R2084" s="888"/>
    </row>
    <row r="2085" spans="1:18" s="893" customFormat="1" x14ac:dyDescent="0.3">
      <c r="A2085" s="888" t="str">
        <f>IF(LEN('Translation-EN'!A2085)&gt;0,'Translation-EN'!A2085,"")</f>
        <v>Range</v>
      </c>
      <c r="B2085" s="888" t="str">
        <f>IF(LEN('Translation-EN'!B2085)&gt;0,'Translation-EN'!B2085,"")</f>
        <v>Master sheet</v>
      </c>
      <c r="C2085" s="888" t="str">
        <f>IF(LEN('Translation-EN'!C2085)&gt;0,'Translation-EN'!C2085,"")</f>
        <v>B225</v>
      </c>
      <c r="D2085" s="888" t="str">
        <f>IF(LEN('Translation-EN'!D2085)&gt;0,'Translation-EN'!D2085,"")</f>
        <v/>
      </c>
      <c r="E2085" s="893" t="s">
        <v>6353</v>
      </c>
      <c r="I2085" s="888"/>
      <c r="J2085" s="888"/>
      <c r="K2085" s="888"/>
      <c r="L2085" s="888"/>
      <c r="M2085" s="888"/>
      <c r="N2085" s="888"/>
      <c r="O2085" s="888"/>
      <c r="P2085" s="888"/>
      <c r="Q2085" s="888"/>
      <c r="R2085" s="888"/>
    </row>
    <row r="2086" spans="1:18" s="893" customFormat="1" x14ac:dyDescent="0.3">
      <c r="A2086" s="888" t="str">
        <f>IF(LEN('Translation-EN'!A2086)&gt;0,'Translation-EN'!A2086,"")</f>
        <v>Range</v>
      </c>
      <c r="B2086" s="888" t="str">
        <f>IF(LEN('Translation-EN'!B2086)&gt;0,'Translation-EN'!B2086,"")</f>
        <v>Master sheet</v>
      </c>
      <c r="C2086" s="888" t="str">
        <f>IF(LEN('Translation-EN'!C2086)&gt;0,'Translation-EN'!C2086,"")</f>
        <v>C225</v>
      </c>
      <c r="D2086" s="888" t="str">
        <f>IF(LEN('Translation-EN'!D2086)&gt;0,'Translation-EN'!D2086,"")</f>
        <v/>
      </c>
      <c r="E2086" s="893" t="s">
        <v>6354</v>
      </c>
      <c r="I2086" s="888"/>
      <c r="J2086" s="888"/>
      <c r="K2086" s="888"/>
      <c r="L2086" s="888"/>
      <c r="M2086" s="888"/>
      <c r="N2086" s="888"/>
      <c r="O2086" s="888"/>
      <c r="P2086" s="888"/>
      <c r="Q2086" s="888"/>
      <c r="R2086" s="888"/>
    </row>
    <row r="2087" spans="1:18" s="893" customFormat="1" x14ac:dyDescent="0.3">
      <c r="A2087" s="888" t="str">
        <f>IF(LEN('Translation-EN'!A2087)&gt;0,'Translation-EN'!A2087,"")</f>
        <v>Range</v>
      </c>
      <c r="B2087" s="888" t="str">
        <f>IF(LEN('Translation-EN'!B2087)&gt;0,'Translation-EN'!B2087,"")</f>
        <v>Master sheet</v>
      </c>
      <c r="C2087" s="888" t="str">
        <f>IF(LEN('Translation-EN'!C2087)&gt;0,'Translation-EN'!C2087,"")</f>
        <v>D225</v>
      </c>
      <c r="D2087" s="888" t="str">
        <f>IF(LEN('Translation-EN'!D2087)&gt;0,'Translation-EN'!D2087,"")</f>
        <v/>
      </c>
      <c r="E2087" s="893" t="s">
        <v>498</v>
      </c>
      <c r="I2087" s="888"/>
      <c r="J2087" s="888"/>
      <c r="K2087" s="888"/>
      <c r="L2087" s="888"/>
      <c r="M2087" s="888"/>
      <c r="N2087" s="888"/>
      <c r="O2087" s="888"/>
      <c r="P2087" s="888"/>
      <c r="Q2087" s="888"/>
      <c r="R2087" s="888"/>
    </row>
    <row r="2088" spans="1:18" s="893" customFormat="1" x14ac:dyDescent="0.3">
      <c r="A2088" s="888" t="str">
        <f>IF(LEN('Translation-EN'!A2088)&gt;0,'Translation-EN'!A2088,"")</f>
        <v>Range</v>
      </c>
      <c r="B2088" s="888" t="str">
        <f>IF(LEN('Translation-EN'!B2088)&gt;0,'Translation-EN'!B2088,"")</f>
        <v>Master sheet</v>
      </c>
      <c r="C2088" s="888" t="str">
        <f>IF(LEN('Translation-EN'!C2088)&gt;0,'Translation-EN'!C2088,"")</f>
        <v>B229</v>
      </c>
      <c r="D2088" s="888" t="str">
        <f>IF(LEN('Translation-EN'!D2088)&gt;0,'Translation-EN'!D2088,"")</f>
        <v/>
      </c>
      <c r="E2088" s="893" t="s">
        <v>6355</v>
      </c>
      <c r="I2088" s="888"/>
      <c r="J2088" s="888"/>
      <c r="K2088" s="888"/>
      <c r="L2088" s="888"/>
      <c r="M2088" s="888"/>
      <c r="N2088" s="888"/>
      <c r="O2088" s="888"/>
      <c r="P2088" s="888"/>
      <c r="Q2088" s="888"/>
      <c r="R2088" s="888"/>
    </row>
    <row r="2089" spans="1:18" s="893" customFormat="1" x14ac:dyDescent="0.3">
      <c r="A2089" s="888" t="str">
        <f>IF(LEN('Translation-EN'!A2089)&gt;0,'Translation-EN'!A2089,"")</f>
        <v>Range</v>
      </c>
      <c r="B2089" s="888" t="str">
        <f>IF(LEN('Translation-EN'!B2089)&gt;0,'Translation-EN'!B2089,"")</f>
        <v>Master sheet</v>
      </c>
      <c r="C2089" s="888" t="str">
        <f>IF(LEN('Translation-EN'!C2089)&gt;0,'Translation-EN'!C2089,"")</f>
        <v>C229</v>
      </c>
      <c r="D2089" s="888" t="str">
        <f>IF(LEN('Translation-EN'!D2089)&gt;0,'Translation-EN'!D2089,"")</f>
        <v/>
      </c>
      <c r="E2089" s="893" t="str">
        <f>$E$1902</f>
        <v>NAIMA</v>
      </c>
      <c r="I2089" s="888"/>
      <c r="J2089" s="888"/>
      <c r="K2089" s="888"/>
      <c r="L2089" s="888"/>
      <c r="M2089" s="888"/>
      <c r="N2089" s="888"/>
      <c r="O2089" s="888"/>
      <c r="P2089" s="888"/>
      <c r="Q2089" s="888"/>
      <c r="R2089" s="888"/>
    </row>
    <row r="2090" spans="1:18" s="893" customFormat="1" x14ac:dyDescent="0.3">
      <c r="A2090" s="888" t="str">
        <f>IF(LEN('Translation-EN'!A2090)&gt;0,'Translation-EN'!A2090,"")</f>
        <v>Range</v>
      </c>
      <c r="B2090" s="888" t="str">
        <f>IF(LEN('Translation-EN'!B2090)&gt;0,'Translation-EN'!B2090,"")</f>
        <v>Master sheet</v>
      </c>
      <c r="C2090" s="888" t="str">
        <f>IF(LEN('Translation-EN'!C2090)&gt;0,'Translation-EN'!C2090,"")</f>
        <v>D229</v>
      </c>
      <c r="D2090" s="888" t="str">
        <f>IF(LEN('Translation-EN'!D2090)&gt;0,'Translation-EN'!D2090,"")</f>
        <v/>
      </c>
      <c r="E2090" s="893" t="s">
        <v>4350</v>
      </c>
      <c r="I2090" s="888"/>
      <c r="J2090" s="888"/>
      <c r="K2090" s="888"/>
      <c r="L2090" s="888"/>
      <c r="M2090" s="888"/>
      <c r="N2090" s="888"/>
      <c r="O2090" s="888"/>
      <c r="P2090" s="888"/>
      <c r="Q2090" s="888"/>
      <c r="R2090" s="888"/>
    </row>
    <row r="2091" spans="1:18" s="893" customFormat="1" x14ac:dyDescent="0.3">
      <c r="A2091" s="888" t="str">
        <f>IF(LEN('Translation-EN'!A2091)&gt;0,'Translation-EN'!A2091,"")</f>
        <v>Range</v>
      </c>
      <c r="B2091" s="888" t="str">
        <f>IF(LEN('Translation-EN'!B2091)&gt;0,'Translation-EN'!B2091,"")</f>
        <v>Master sheet</v>
      </c>
      <c r="C2091" s="888" t="str">
        <f>IF(LEN('Translation-EN'!C2091)&gt;0,'Translation-EN'!C2091,"")</f>
        <v>E229</v>
      </c>
      <c r="D2091" s="888" t="str">
        <f>IF(LEN('Translation-EN'!D2091)&gt;0,'Translation-EN'!D2091,"")</f>
        <v/>
      </c>
      <c r="E2091" s="893" t="str">
        <f>$E$1903</f>
        <v>R 4,4/po</v>
      </c>
      <c r="I2091" s="888"/>
      <c r="J2091" s="888"/>
      <c r="K2091" s="888"/>
      <c r="L2091" s="888"/>
      <c r="M2091" s="888"/>
      <c r="N2091" s="888"/>
      <c r="O2091" s="888"/>
      <c r="P2091" s="888"/>
      <c r="Q2091" s="888"/>
      <c r="R2091" s="888"/>
    </row>
    <row r="2092" spans="1:18" s="893" customFormat="1" x14ac:dyDescent="0.3">
      <c r="A2092" s="888" t="str">
        <f>IF(LEN('Translation-EN'!A2092)&gt;0,'Translation-EN'!A2092,"")</f>
        <v>Range</v>
      </c>
      <c r="B2092" s="888" t="str">
        <f>IF(LEN('Translation-EN'!B2092)&gt;0,'Translation-EN'!B2092,"")</f>
        <v>Master sheet</v>
      </c>
      <c r="C2092" s="888" t="str">
        <f>IF(LEN('Translation-EN'!C2092)&gt;0,'Translation-EN'!C2092,"")</f>
        <v>B232</v>
      </c>
      <c r="D2092" s="888" t="str">
        <f>IF(LEN('Translation-EN'!D2092)&gt;0,'Translation-EN'!D2092,"")</f>
        <v/>
      </c>
      <c r="E2092" s="893" t="s">
        <v>6356</v>
      </c>
      <c r="I2092" s="888"/>
      <c r="J2092" s="888"/>
      <c r="K2092" s="888"/>
      <c r="L2092" s="888"/>
      <c r="M2092" s="888"/>
      <c r="N2092" s="888"/>
      <c r="O2092" s="888"/>
      <c r="P2092" s="888"/>
      <c r="Q2092" s="888"/>
      <c r="R2092" s="888"/>
    </row>
    <row r="2093" spans="1:18" s="893" customFormat="1" x14ac:dyDescent="0.3">
      <c r="A2093" s="888" t="str">
        <f>IF(LEN('Translation-EN'!A2093)&gt;0,'Translation-EN'!A2093,"")</f>
        <v>Range</v>
      </c>
      <c r="B2093" s="888" t="str">
        <f>IF(LEN('Translation-EN'!B2093)&gt;0,'Translation-EN'!B2093,"")</f>
        <v>Master sheet</v>
      </c>
      <c r="C2093" s="888" t="str">
        <f>IF(LEN('Translation-EN'!C2093)&gt;0,'Translation-EN'!C2093,"")</f>
        <v>C232</v>
      </c>
      <c r="D2093" s="888" t="str">
        <f>IF(LEN('Translation-EN'!D2093)&gt;0,'Translation-EN'!D2093,"")</f>
        <v/>
      </c>
      <c r="E2093" s="893" t="str">
        <f>$E$1902</f>
        <v>NAIMA</v>
      </c>
      <c r="I2093" s="888"/>
      <c r="J2093" s="888"/>
      <c r="K2093" s="888"/>
      <c r="L2093" s="888"/>
      <c r="M2093" s="888"/>
      <c r="N2093" s="888"/>
      <c r="O2093" s="888"/>
      <c r="P2093" s="888"/>
      <c r="Q2093" s="888"/>
      <c r="R2093" s="888"/>
    </row>
    <row r="2094" spans="1:18" s="893" customFormat="1" x14ac:dyDescent="0.3">
      <c r="A2094" s="888" t="str">
        <f>IF(LEN('Translation-EN'!A2094)&gt;0,'Translation-EN'!A2094,"")</f>
        <v>Range</v>
      </c>
      <c r="B2094" s="888" t="str">
        <f>IF(LEN('Translation-EN'!B2094)&gt;0,'Translation-EN'!B2094,"")</f>
        <v>Master sheet</v>
      </c>
      <c r="C2094" s="888" t="str">
        <f>IF(LEN('Translation-EN'!C2094)&gt;0,'Translation-EN'!C2094,"")</f>
        <v>D232</v>
      </c>
      <c r="D2094" s="888" t="str">
        <f>IF(LEN('Translation-EN'!D2094)&gt;0,'Translation-EN'!D2094,"")</f>
        <v/>
      </c>
      <c r="E2094" s="893" t="str">
        <f>$E$2090</f>
        <v>Owens Corning, Johns Manville, Rolan</v>
      </c>
      <c r="I2094" s="888"/>
      <c r="J2094" s="888"/>
      <c r="K2094" s="888"/>
      <c r="L2094" s="888"/>
      <c r="M2094" s="888"/>
      <c r="N2094" s="888"/>
      <c r="O2094" s="888"/>
      <c r="P2094" s="888"/>
      <c r="Q2094" s="888"/>
      <c r="R2094" s="888"/>
    </row>
    <row r="2095" spans="1:18" s="893" customFormat="1" x14ac:dyDescent="0.3">
      <c r="A2095" s="888" t="str">
        <f>IF(LEN('Translation-EN'!A2095)&gt;0,'Translation-EN'!A2095,"")</f>
        <v>Range</v>
      </c>
      <c r="B2095" s="888" t="str">
        <f>IF(LEN('Translation-EN'!B2095)&gt;0,'Translation-EN'!B2095,"")</f>
        <v>Master sheet</v>
      </c>
      <c r="C2095" s="888" t="str">
        <f>IF(LEN('Translation-EN'!C2095)&gt;0,'Translation-EN'!C2095,"")</f>
        <v>E232</v>
      </c>
      <c r="D2095" s="888" t="str">
        <f>IF(LEN('Translation-EN'!D2095)&gt;0,'Translation-EN'!D2095,"")</f>
        <v/>
      </c>
      <c r="E2095" s="893" t="str">
        <f>$E$1737</f>
        <v>R 3,9/po</v>
      </c>
      <c r="I2095" s="888"/>
      <c r="J2095" s="888"/>
      <c r="K2095" s="888"/>
      <c r="L2095" s="888"/>
      <c r="M2095" s="888"/>
      <c r="N2095" s="888"/>
      <c r="O2095" s="888"/>
      <c r="P2095" s="888"/>
      <c r="Q2095" s="888"/>
      <c r="R2095" s="888"/>
    </row>
    <row r="2096" spans="1:18" s="893" customFormat="1" x14ac:dyDescent="0.3">
      <c r="A2096" s="888" t="str">
        <f>IF(LEN('Translation-EN'!A2096)&gt;0,'Translation-EN'!A2096,"")</f>
        <v>Range</v>
      </c>
      <c r="B2096" s="888" t="str">
        <f>IF(LEN('Translation-EN'!B2096)&gt;0,'Translation-EN'!B2096,"")</f>
        <v>Master sheet</v>
      </c>
      <c r="C2096" s="888" t="str">
        <f>IF(LEN('Translation-EN'!C2096)&gt;0,'Translation-EN'!C2096,"")</f>
        <v>B234</v>
      </c>
      <c r="D2096" s="888" t="str">
        <f>IF(LEN('Translation-EN'!D2096)&gt;0,'Translation-EN'!D2096,"")</f>
        <v/>
      </c>
      <c r="E2096" s="893" t="s">
        <v>6357</v>
      </c>
      <c r="I2096" s="888"/>
      <c r="J2096" s="888"/>
      <c r="K2096" s="888"/>
      <c r="L2096" s="888"/>
      <c r="M2096" s="888"/>
      <c r="N2096" s="888"/>
      <c r="O2096" s="888"/>
      <c r="P2096" s="888"/>
      <c r="Q2096" s="888"/>
      <c r="R2096" s="888"/>
    </row>
    <row r="2097" spans="1:18" s="893" customFormat="1" x14ac:dyDescent="0.3">
      <c r="A2097" s="888" t="str">
        <f>IF(LEN('Translation-EN'!A2097)&gt;0,'Translation-EN'!A2097,"")</f>
        <v>Range</v>
      </c>
      <c r="B2097" s="888" t="str">
        <f>IF(LEN('Translation-EN'!B2097)&gt;0,'Translation-EN'!B2097,"")</f>
        <v>Master sheet</v>
      </c>
      <c r="C2097" s="888" t="str">
        <f>IF(LEN('Translation-EN'!C2097)&gt;0,'Translation-EN'!C2097,"")</f>
        <v>C234</v>
      </c>
      <c r="D2097" s="888" t="str">
        <f>IF(LEN('Translation-EN'!D2097)&gt;0,'Translation-EN'!D2097,"")</f>
        <v/>
      </c>
      <c r="E2097" s="893" t="str">
        <f>$E$1902</f>
        <v>NAIMA</v>
      </c>
      <c r="I2097" s="888"/>
      <c r="J2097" s="888"/>
      <c r="K2097" s="888"/>
      <c r="L2097" s="888"/>
      <c r="M2097" s="888"/>
      <c r="N2097" s="888"/>
      <c r="O2097" s="888"/>
      <c r="P2097" s="888"/>
      <c r="Q2097" s="888"/>
      <c r="R2097" s="888"/>
    </row>
    <row r="2098" spans="1:18" s="893" customFormat="1" x14ac:dyDescent="0.3">
      <c r="A2098" s="888" t="str">
        <f>IF(LEN('Translation-EN'!A2098)&gt;0,'Translation-EN'!A2098,"")</f>
        <v>Range</v>
      </c>
      <c r="B2098" s="888" t="str">
        <f>IF(LEN('Translation-EN'!B2098)&gt;0,'Translation-EN'!B2098,"")</f>
        <v>Master sheet</v>
      </c>
      <c r="C2098" s="888" t="str">
        <f>IF(LEN('Translation-EN'!C2098)&gt;0,'Translation-EN'!C2098,"")</f>
        <v>D234</v>
      </c>
      <c r="D2098" s="888" t="str">
        <f>IF(LEN('Translation-EN'!D2098)&gt;0,'Translation-EN'!D2098,"")</f>
        <v/>
      </c>
      <c r="E2098" s="893" t="s">
        <v>6358</v>
      </c>
      <c r="I2098" s="888"/>
      <c r="J2098" s="888"/>
      <c r="K2098" s="888"/>
      <c r="L2098" s="888"/>
      <c r="M2098" s="888"/>
      <c r="N2098" s="888"/>
      <c r="O2098" s="888"/>
      <c r="P2098" s="888"/>
      <c r="Q2098" s="888"/>
      <c r="R2098" s="888"/>
    </row>
    <row r="2099" spans="1:18" s="893" customFormat="1" x14ac:dyDescent="0.3">
      <c r="A2099" s="888" t="str">
        <f>IF(LEN('Translation-EN'!A2099)&gt;0,'Translation-EN'!A2099,"")</f>
        <v>Range</v>
      </c>
      <c r="B2099" s="888" t="str">
        <f>IF(LEN('Translation-EN'!B2099)&gt;0,'Translation-EN'!B2099,"")</f>
        <v>Master sheet</v>
      </c>
      <c r="C2099" s="888" t="str">
        <f>IF(LEN('Translation-EN'!C2099)&gt;0,'Translation-EN'!C2099,"")</f>
        <v>E234</v>
      </c>
      <c r="D2099" s="888" t="str">
        <f>IF(LEN('Translation-EN'!D2099)&gt;0,'Translation-EN'!D2099,"")</f>
        <v/>
      </c>
      <c r="E2099" s="893" t="s">
        <v>6359</v>
      </c>
      <c r="I2099" s="888"/>
      <c r="J2099" s="888"/>
      <c r="K2099" s="888"/>
      <c r="L2099" s="888"/>
      <c r="M2099" s="888"/>
      <c r="N2099" s="888"/>
      <c r="O2099" s="888"/>
      <c r="P2099" s="888"/>
      <c r="Q2099" s="888"/>
      <c r="R2099" s="888"/>
    </row>
    <row r="2100" spans="1:18" s="893" customFormat="1" x14ac:dyDescent="0.3">
      <c r="A2100" s="888" t="str">
        <f>IF(LEN('Translation-EN'!A2100)&gt;0,'Translation-EN'!A2100,"")</f>
        <v>Range</v>
      </c>
      <c r="B2100" s="888" t="str">
        <f>IF(LEN('Translation-EN'!B2100)&gt;0,'Translation-EN'!B2100,"")</f>
        <v>Master sheet</v>
      </c>
      <c r="C2100" s="888" t="str">
        <f>IF(LEN('Translation-EN'!C2100)&gt;0,'Translation-EN'!C2100,"")</f>
        <v>B235</v>
      </c>
      <c r="D2100" s="888" t="str">
        <f>IF(LEN('Translation-EN'!D2100)&gt;0,'Translation-EN'!D2100,"")</f>
        <v/>
      </c>
      <c r="E2100" s="893" t="s">
        <v>6360</v>
      </c>
      <c r="I2100" s="888"/>
      <c r="J2100" s="888"/>
      <c r="K2100" s="888"/>
      <c r="L2100" s="888"/>
      <c r="M2100" s="888"/>
      <c r="N2100" s="888"/>
      <c r="O2100" s="888"/>
      <c r="P2100" s="888"/>
      <c r="Q2100" s="888"/>
      <c r="R2100" s="888"/>
    </row>
    <row r="2101" spans="1:18" s="893" customFormat="1" x14ac:dyDescent="0.3">
      <c r="A2101" s="888" t="str">
        <f>IF(LEN('Translation-EN'!A2101)&gt;0,'Translation-EN'!A2101,"")</f>
        <v>Range</v>
      </c>
      <c r="B2101" s="888" t="str">
        <f>IF(LEN('Translation-EN'!B2101)&gt;0,'Translation-EN'!B2101,"")</f>
        <v>Master sheet</v>
      </c>
      <c r="C2101" s="888" t="str">
        <f>IF(LEN('Translation-EN'!C2101)&gt;0,'Translation-EN'!C2101,"")</f>
        <v>C235</v>
      </c>
      <c r="D2101" s="888" t="str">
        <f>IF(LEN('Translation-EN'!D2101)&gt;0,'Translation-EN'!D2101,"")</f>
        <v/>
      </c>
      <c r="E2101" s="893" t="s">
        <v>3267</v>
      </c>
      <c r="I2101" s="888"/>
      <c r="J2101" s="888"/>
      <c r="K2101" s="888"/>
      <c r="L2101" s="888"/>
      <c r="M2101" s="888"/>
      <c r="N2101" s="888"/>
      <c r="O2101" s="888"/>
      <c r="P2101" s="888"/>
      <c r="Q2101" s="888"/>
      <c r="R2101" s="888"/>
    </row>
    <row r="2102" spans="1:18" s="893" customFormat="1" x14ac:dyDescent="0.3">
      <c r="A2102" s="888" t="str">
        <f>IF(LEN('Translation-EN'!A2102)&gt;0,'Translation-EN'!A2102,"")</f>
        <v>Range</v>
      </c>
      <c r="B2102" s="888" t="str">
        <f>IF(LEN('Translation-EN'!B2102)&gt;0,'Translation-EN'!B2102,"")</f>
        <v>Master sheet</v>
      </c>
      <c r="C2102" s="888" t="str">
        <f>IF(LEN('Translation-EN'!C2102)&gt;0,'Translation-EN'!C2102,"")</f>
        <v>D235</v>
      </c>
      <c r="D2102" s="888" t="str">
        <f>IF(LEN('Translation-EN'!D2102)&gt;0,'Translation-EN'!D2102,"")</f>
        <v/>
      </c>
      <c r="E2102" s="893" t="s">
        <v>521</v>
      </c>
      <c r="I2102" s="888"/>
      <c r="J2102" s="888"/>
      <c r="K2102" s="888"/>
      <c r="L2102" s="888"/>
      <c r="M2102" s="888"/>
      <c r="N2102" s="888"/>
      <c r="O2102" s="888"/>
      <c r="P2102" s="888"/>
      <c r="Q2102" s="888"/>
      <c r="R2102" s="888"/>
    </row>
    <row r="2103" spans="1:18" s="893" customFormat="1" x14ac:dyDescent="0.3">
      <c r="A2103" s="888" t="str">
        <f>IF(LEN('Translation-EN'!A2103)&gt;0,'Translation-EN'!A2103,"")</f>
        <v>Range</v>
      </c>
      <c r="B2103" s="888" t="str">
        <f>IF(LEN('Translation-EN'!B2103)&gt;0,'Translation-EN'!B2103,"")</f>
        <v>Master sheet</v>
      </c>
      <c r="C2103" s="888" t="str">
        <f>IF(LEN('Translation-EN'!C2103)&gt;0,'Translation-EN'!C2103,"")</f>
        <v>E235</v>
      </c>
      <c r="D2103" s="888" t="str">
        <f>IF(LEN('Translation-EN'!D2103)&gt;0,'Translation-EN'!D2103,"")</f>
        <v/>
      </c>
      <c r="E2103" s="893" t="str">
        <f>$E$1663</f>
        <v>R 3,7/po</v>
      </c>
      <c r="I2103" s="888"/>
      <c r="J2103" s="888"/>
      <c r="K2103" s="888"/>
      <c r="L2103" s="888"/>
      <c r="M2103" s="888"/>
      <c r="N2103" s="888"/>
      <c r="O2103" s="888"/>
      <c r="P2103" s="888"/>
      <c r="Q2103" s="888"/>
      <c r="R2103" s="888"/>
    </row>
    <row r="2104" spans="1:18" s="893" customFormat="1" x14ac:dyDescent="0.3">
      <c r="A2104" s="888" t="str">
        <f>IF(LEN('Translation-EN'!A2104)&gt;0,'Translation-EN'!A2104,"")</f>
        <v>Range</v>
      </c>
      <c r="B2104" s="888" t="str">
        <f>IF(LEN('Translation-EN'!B2104)&gt;0,'Translation-EN'!B2104,"")</f>
        <v>Master sheet</v>
      </c>
      <c r="C2104" s="888" t="str">
        <f>IF(LEN('Translation-EN'!C2104)&gt;0,'Translation-EN'!C2104,"")</f>
        <v>B237</v>
      </c>
      <c r="D2104" s="888" t="str">
        <f>IF(LEN('Translation-EN'!D2104)&gt;0,'Translation-EN'!D2104,"")</f>
        <v/>
      </c>
      <c r="E2104" s="893" t="s">
        <v>6361</v>
      </c>
      <c r="I2104" s="888"/>
      <c r="J2104" s="888"/>
      <c r="K2104" s="888"/>
      <c r="L2104" s="888"/>
      <c r="M2104" s="888"/>
      <c r="N2104" s="888"/>
      <c r="O2104" s="888"/>
      <c r="P2104" s="888"/>
      <c r="Q2104" s="888"/>
      <c r="R2104" s="888"/>
    </row>
    <row r="2105" spans="1:18" s="893" customFormat="1" x14ac:dyDescent="0.3">
      <c r="A2105" s="888" t="str">
        <f>IF(LEN('Translation-EN'!A2105)&gt;0,'Translation-EN'!A2105,"")</f>
        <v>Range</v>
      </c>
      <c r="B2105" s="888" t="str">
        <f>IF(LEN('Translation-EN'!B2105)&gt;0,'Translation-EN'!B2105,"")</f>
        <v>Master sheet</v>
      </c>
      <c r="C2105" s="888" t="str">
        <f>IF(LEN('Translation-EN'!C2105)&gt;0,'Translation-EN'!C2105,"")</f>
        <v>C237</v>
      </c>
      <c r="D2105" s="888" t="str">
        <f>IF(LEN('Translation-EN'!D2105)&gt;0,'Translation-EN'!D2105,"")</f>
        <v/>
      </c>
      <c r="E2105" s="1054" t="s">
        <v>7610</v>
      </c>
      <c r="I2105" s="888"/>
      <c r="J2105" s="888"/>
      <c r="K2105" s="888"/>
      <c r="L2105" s="888"/>
      <c r="M2105" s="888"/>
      <c r="N2105" s="888"/>
      <c r="O2105" s="888"/>
      <c r="P2105" s="888"/>
      <c r="Q2105" s="888"/>
      <c r="R2105" s="888"/>
    </row>
    <row r="2106" spans="1:18" s="893" customFormat="1" x14ac:dyDescent="0.3">
      <c r="A2106" s="888" t="str">
        <f>IF(LEN('Translation-EN'!A2106)&gt;0,'Translation-EN'!A2106,"")</f>
        <v>Range</v>
      </c>
      <c r="B2106" s="888" t="str">
        <f>IF(LEN('Translation-EN'!B2106)&gt;0,'Translation-EN'!B2106,"")</f>
        <v>Master sheet</v>
      </c>
      <c r="C2106" s="888" t="str">
        <f>IF(LEN('Translation-EN'!C2106)&gt;0,'Translation-EN'!C2106,"")</f>
        <v>B238</v>
      </c>
      <c r="D2106" s="888" t="str">
        <f>IF(LEN('Translation-EN'!D2106)&gt;0,'Translation-EN'!D2106,"")</f>
        <v/>
      </c>
      <c r="E2106" s="893" t="str">
        <f>$E$2104</f>
        <v>Panneau à copeaux orientés</v>
      </c>
      <c r="I2106" s="888"/>
      <c r="J2106" s="888"/>
      <c r="K2106" s="888"/>
      <c r="L2106" s="888"/>
      <c r="M2106" s="888"/>
      <c r="N2106" s="888"/>
      <c r="O2106" s="888"/>
      <c r="P2106" s="888"/>
      <c r="Q2106" s="888"/>
      <c r="R2106" s="888"/>
    </row>
    <row r="2107" spans="1:18" s="893" customFormat="1" x14ac:dyDescent="0.3">
      <c r="A2107" s="888" t="str">
        <f>IF(LEN('Translation-EN'!A2107)&gt;0,'Translation-EN'!A2107,"")</f>
        <v>Range</v>
      </c>
      <c r="B2107" s="888" t="str">
        <f>IF(LEN('Translation-EN'!B2107)&gt;0,'Translation-EN'!B2107,"")</f>
        <v>Master sheet</v>
      </c>
      <c r="C2107" s="888" t="str">
        <f>IF(LEN('Translation-EN'!C2107)&gt;0,'Translation-EN'!C2107,"")</f>
        <v>C238</v>
      </c>
      <c r="D2107" s="888" t="str">
        <f>IF(LEN('Translation-EN'!D2107)&gt;0,'Translation-EN'!D2107,"")</f>
        <v/>
      </c>
      <c r="E2107" s="1011" t="s">
        <v>7416</v>
      </c>
      <c r="I2107" s="888"/>
      <c r="J2107" s="888"/>
      <c r="K2107" s="888"/>
      <c r="L2107" s="888"/>
      <c r="M2107" s="888"/>
      <c r="N2107" s="888"/>
      <c r="O2107" s="888"/>
      <c r="P2107" s="888"/>
      <c r="Q2107" s="888"/>
      <c r="R2107" s="888"/>
    </row>
    <row r="2108" spans="1:18" s="893" customFormat="1" x14ac:dyDescent="0.3">
      <c r="A2108" s="888" t="str">
        <f>IF(LEN('Translation-EN'!A2108)&gt;0,'Translation-EN'!A2108,"")</f>
        <v>Range</v>
      </c>
      <c r="B2108" s="888" t="str">
        <f>IF(LEN('Translation-EN'!B2108)&gt;0,'Translation-EN'!B2108,"")</f>
        <v>Master sheet</v>
      </c>
      <c r="C2108" s="888" t="str">
        <f>IF(LEN('Translation-EN'!C2108)&gt;0,'Translation-EN'!C2108,"")</f>
        <v>B240</v>
      </c>
      <c r="D2108" s="888" t="str">
        <f>IF(LEN('Translation-EN'!D2108)&gt;0,'Translation-EN'!D2108,"")</f>
        <v/>
      </c>
      <c r="E2108" s="893" t="str">
        <f>$E$2104</f>
        <v>Panneau à copeaux orientés</v>
      </c>
      <c r="I2108" s="888"/>
      <c r="J2108" s="888"/>
      <c r="K2108" s="888"/>
      <c r="L2108" s="888"/>
      <c r="M2108" s="888"/>
      <c r="N2108" s="888"/>
      <c r="O2108" s="888"/>
      <c r="P2108" s="888"/>
      <c r="Q2108" s="888"/>
      <c r="R2108" s="888"/>
    </row>
    <row r="2109" spans="1:18" s="893" customFormat="1" x14ac:dyDescent="0.3">
      <c r="A2109" s="888" t="str">
        <f>IF(LEN('Translation-EN'!A2109)&gt;0,'Translation-EN'!A2109,"")</f>
        <v>Range</v>
      </c>
      <c r="B2109" s="888" t="str">
        <f>IF(LEN('Translation-EN'!B2109)&gt;0,'Translation-EN'!B2109,"")</f>
        <v>Master sheet</v>
      </c>
      <c r="C2109" s="888" t="str">
        <f>IF(LEN('Translation-EN'!C2109)&gt;0,'Translation-EN'!C2109,"")</f>
        <v>C240</v>
      </c>
      <c r="D2109" s="888" t="str">
        <f>IF(LEN('Translation-EN'!D2109)&gt;0,'Translation-EN'!D2109,"")</f>
        <v/>
      </c>
      <c r="E2109" s="1011" t="str">
        <f>$E$2105</f>
        <v>Conseil canadien du bois -Est</v>
      </c>
      <c r="I2109" s="888"/>
      <c r="J2109" s="888"/>
      <c r="K2109" s="888"/>
      <c r="L2109" s="888"/>
      <c r="M2109" s="888"/>
      <c r="N2109" s="888"/>
      <c r="O2109" s="888"/>
      <c r="P2109" s="888"/>
      <c r="Q2109" s="888"/>
      <c r="R2109" s="888"/>
    </row>
    <row r="2110" spans="1:18" s="893" customFormat="1" x14ac:dyDescent="0.3">
      <c r="A2110" s="888" t="str">
        <f>IF(LEN('Translation-EN'!A2110)&gt;0,'Translation-EN'!A2110,"")</f>
        <v>Range</v>
      </c>
      <c r="B2110" s="888" t="str">
        <f>IF(LEN('Translation-EN'!B2110)&gt;0,'Translation-EN'!B2110,"")</f>
        <v>Master sheet</v>
      </c>
      <c r="C2110" s="888" t="str">
        <f>IF(LEN('Translation-EN'!C2110)&gt;0,'Translation-EN'!C2110,"")</f>
        <v>B241</v>
      </c>
      <c r="D2110" s="888" t="str">
        <f>IF(LEN('Translation-EN'!D2110)&gt;0,'Translation-EN'!D2110,"")</f>
        <v/>
      </c>
      <c r="E2110" s="893" t="str">
        <f>$E$2104</f>
        <v>Panneau à copeaux orientés</v>
      </c>
      <c r="I2110" s="888"/>
      <c r="J2110" s="888"/>
      <c r="K2110" s="888"/>
      <c r="L2110" s="888"/>
      <c r="M2110" s="888"/>
      <c r="N2110" s="888"/>
      <c r="O2110" s="888"/>
      <c r="P2110" s="888"/>
      <c r="Q2110" s="888"/>
      <c r="R2110" s="888"/>
    </row>
    <row r="2111" spans="1:18" s="893" customFormat="1" x14ac:dyDescent="0.3">
      <c r="A2111" s="888" t="str">
        <f>IF(LEN('Translation-EN'!A2111)&gt;0,'Translation-EN'!A2111,"")</f>
        <v>Range</v>
      </c>
      <c r="B2111" s="888" t="str">
        <f>IF(LEN('Translation-EN'!B2111)&gt;0,'Translation-EN'!B2111,"")</f>
        <v>Master sheet</v>
      </c>
      <c r="C2111" s="888" t="str">
        <f>IF(LEN('Translation-EN'!C2111)&gt;0,'Translation-EN'!C2111,"")</f>
        <v>C241</v>
      </c>
      <c r="D2111" s="888" t="str">
        <f>IF(LEN('Translation-EN'!D2111)&gt;0,'Translation-EN'!D2111,"")</f>
        <v/>
      </c>
      <c r="E2111" s="1011" t="str">
        <f>$E$2107</f>
        <v>Conseil canadien du bois-Ouest</v>
      </c>
      <c r="I2111" s="888"/>
      <c r="J2111" s="888"/>
      <c r="K2111" s="888"/>
      <c r="L2111" s="888"/>
      <c r="M2111" s="888"/>
      <c r="N2111" s="888"/>
      <c r="O2111" s="888"/>
      <c r="P2111" s="888"/>
      <c r="Q2111" s="888"/>
      <c r="R2111" s="888"/>
    </row>
    <row r="2112" spans="1:18" s="893" customFormat="1" x14ac:dyDescent="0.3">
      <c r="A2112" s="888" t="str">
        <f>IF(LEN('Translation-EN'!A2112)&gt;0,'Translation-EN'!A2112,"")</f>
        <v>Range</v>
      </c>
      <c r="B2112" s="888" t="str">
        <f>IF(LEN('Translation-EN'!B2112)&gt;0,'Translation-EN'!B2112,"")</f>
        <v>Master sheet</v>
      </c>
      <c r="C2112" s="888" t="str">
        <f>IF(LEN('Translation-EN'!C2112)&gt;0,'Translation-EN'!C2112,"")</f>
        <v>B242</v>
      </c>
      <c r="D2112" s="888" t="str">
        <f>IF(LEN('Translation-EN'!D2112)&gt;0,'Translation-EN'!D2112,"")</f>
        <v/>
      </c>
      <c r="E2112" s="893" t="str">
        <f>$E$2104</f>
        <v>Panneau à copeaux orientés</v>
      </c>
      <c r="I2112" s="888"/>
      <c r="J2112" s="888"/>
      <c r="K2112" s="888"/>
      <c r="L2112" s="888"/>
      <c r="M2112" s="888"/>
      <c r="N2112" s="888"/>
      <c r="O2112" s="888"/>
      <c r="P2112" s="888"/>
      <c r="Q2112" s="888"/>
      <c r="R2112" s="888"/>
    </row>
    <row r="2113" spans="1:18" s="893" customFormat="1" x14ac:dyDescent="0.3">
      <c r="A2113" s="888" t="str">
        <f>IF(LEN('Translation-EN'!A2113)&gt;0,'Translation-EN'!A2113,"")</f>
        <v>Range</v>
      </c>
      <c r="B2113" s="888" t="str">
        <f>IF(LEN('Translation-EN'!B2113)&gt;0,'Translation-EN'!B2113,"")</f>
        <v>Master sheet</v>
      </c>
      <c r="C2113" s="888" t="str">
        <f>IF(LEN('Translation-EN'!C2113)&gt;0,'Translation-EN'!C2113,"")</f>
        <v>C242</v>
      </c>
      <c r="D2113" s="888" t="str">
        <f>IF(LEN('Translation-EN'!D2113)&gt;0,'Translation-EN'!D2113,"")</f>
        <v/>
      </c>
      <c r="E2113" s="893" t="s">
        <v>3306</v>
      </c>
      <c r="I2113" s="888"/>
      <c r="J2113" s="888"/>
      <c r="K2113" s="888"/>
      <c r="L2113" s="888"/>
      <c r="M2113" s="888"/>
      <c r="N2113" s="888"/>
      <c r="O2113" s="888"/>
      <c r="P2113" s="888"/>
      <c r="Q2113" s="888"/>
      <c r="R2113" s="888"/>
    </row>
    <row r="2114" spans="1:18" s="893" customFormat="1" x14ac:dyDescent="0.3">
      <c r="A2114" s="888" t="str">
        <f>IF(LEN('Translation-EN'!A2114)&gt;0,'Translation-EN'!A2114,"")</f>
        <v>Range</v>
      </c>
      <c r="B2114" s="888" t="str">
        <f>IF(LEN('Translation-EN'!B2114)&gt;0,'Translation-EN'!B2114,"")</f>
        <v>Master sheet</v>
      </c>
      <c r="C2114" s="888" t="str">
        <f>IF(LEN('Translation-EN'!C2114)&gt;0,'Translation-EN'!C2114,"")</f>
        <v>D242</v>
      </c>
      <c r="D2114" s="888" t="str">
        <f>IF(LEN('Translation-EN'!D2114)&gt;0,'Translation-EN'!D2114,"")</f>
        <v/>
      </c>
      <c r="E2114" s="893" t="s">
        <v>527</v>
      </c>
      <c r="I2114" s="888"/>
      <c r="J2114" s="888"/>
      <c r="K2114" s="888"/>
      <c r="L2114" s="888"/>
      <c r="M2114" s="888"/>
      <c r="N2114" s="888"/>
      <c r="O2114" s="888"/>
      <c r="P2114" s="888"/>
      <c r="Q2114" s="888"/>
      <c r="R2114" s="888"/>
    </row>
    <row r="2115" spans="1:18" s="893" customFormat="1" x14ac:dyDescent="0.3">
      <c r="A2115" s="888" t="str">
        <f>IF(LEN('Translation-EN'!A2115)&gt;0,'Translation-EN'!A2115,"")</f>
        <v>Range</v>
      </c>
      <c r="B2115" s="888" t="str">
        <f>IF(LEN('Translation-EN'!B2115)&gt;0,'Translation-EN'!B2115,"")</f>
        <v>Master sheet</v>
      </c>
      <c r="C2115" s="888" t="str">
        <f>IF(LEN('Translation-EN'!C2115)&gt;0,'Translation-EN'!C2115,"")</f>
        <v>E242</v>
      </c>
      <c r="D2115" s="888" t="str">
        <f>IF(LEN('Translation-EN'!D2115)&gt;0,'Translation-EN'!D2115,"")</f>
        <v/>
      </c>
      <c r="E2115" s="893" t="s">
        <v>6362</v>
      </c>
      <c r="I2115" s="888"/>
      <c r="J2115" s="888"/>
      <c r="K2115" s="888"/>
      <c r="L2115" s="888"/>
      <c r="M2115" s="888"/>
      <c r="N2115" s="888"/>
      <c r="O2115" s="888"/>
      <c r="P2115" s="888"/>
      <c r="Q2115" s="888"/>
      <c r="R2115" s="888"/>
    </row>
    <row r="2116" spans="1:18" s="893" customFormat="1" x14ac:dyDescent="0.3">
      <c r="A2116" s="888" t="str">
        <f>IF(LEN('Translation-EN'!A2116)&gt;0,'Translation-EN'!A2116,"")</f>
        <v>Range</v>
      </c>
      <c r="B2116" s="888" t="str">
        <f>IF(LEN('Translation-EN'!B2116)&gt;0,'Translation-EN'!B2116,"")</f>
        <v>Master sheet</v>
      </c>
      <c r="C2116" s="888" t="str">
        <f>IF(LEN('Translation-EN'!C2116)&gt;0,'Translation-EN'!C2116,"")</f>
        <v>B243</v>
      </c>
      <c r="D2116" s="888" t="str">
        <f>IF(LEN('Translation-EN'!D2116)&gt;0,'Translation-EN'!D2116,"")</f>
        <v/>
      </c>
      <c r="E2116" s="893" t="str">
        <f>$E$2104</f>
        <v>Panneau à copeaux orientés</v>
      </c>
      <c r="I2116" s="888"/>
      <c r="J2116" s="888"/>
      <c r="K2116" s="888"/>
      <c r="L2116" s="888"/>
      <c r="M2116" s="888"/>
      <c r="N2116" s="888"/>
      <c r="O2116" s="888"/>
      <c r="P2116" s="888"/>
      <c r="Q2116" s="888"/>
      <c r="R2116" s="888"/>
    </row>
    <row r="2117" spans="1:18" s="893" customFormat="1" x14ac:dyDescent="0.3">
      <c r="A2117" s="888" t="str">
        <f>IF(LEN('Translation-EN'!A2117)&gt;0,'Translation-EN'!A2117,"")</f>
        <v>Range</v>
      </c>
      <c r="B2117" s="888" t="str">
        <f>IF(LEN('Translation-EN'!B2117)&gt;0,'Translation-EN'!B2117,"")</f>
        <v>Master sheet</v>
      </c>
      <c r="C2117" s="888" t="str">
        <f>IF(LEN('Translation-EN'!C2117)&gt;0,'Translation-EN'!C2117,"")</f>
        <v>C243</v>
      </c>
      <c r="D2117" s="888" t="str">
        <f>IF(LEN('Translation-EN'!D2117)&gt;0,'Translation-EN'!D2117,"")</f>
        <v/>
      </c>
      <c r="E2117" s="893" t="s">
        <v>3725</v>
      </c>
      <c r="I2117" s="888"/>
      <c r="J2117" s="888"/>
      <c r="K2117" s="888"/>
      <c r="L2117" s="888"/>
      <c r="M2117" s="888"/>
      <c r="N2117" s="888"/>
      <c r="O2117" s="888"/>
      <c r="P2117" s="888"/>
      <c r="Q2117" s="888"/>
      <c r="R2117" s="888"/>
    </row>
    <row r="2118" spans="1:18" s="893" customFormat="1" x14ac:dyDescent="0.3">
      <c r="A2118" s="888" t="str">
        <f>IF(LEN('Translation-EN'!A2118)&gt;0,'Translation-EN'!A2118,"")</f>
        <v>Range</v>
      </c>
      <c r="B2118" s="888" t="str">
        <f>IF(LEN('Translation-EN'!B2118)&gt;0,'Translation-EN'!B2118,"")</f>
        <v>Master sheet</v>
      </c>
      <c r="C2118" s="888" t="str">
        <f>IF(LEN('Translation-EN'!C2118)&gt;0,'Translation-EN'!C2118,"")</f>
        <v>D243</v>
      </c>
      <c r="D2118" s="888" t="str">
        <f>IF(LEN('Translation-EN'!D2118)&gt;0,'Translation-EN'!D2118,"")</f>
        <v/>
      </c>
      <c r="E2118" s="893" t="s">
        <v>6363</v>
      </c>
      <c r="I2118" s="888"/>
      <c r="J2118" s="888"/>
      <c r="K2118" s="888"/>
      <c r="L2118" s="888"/>
      <c r="M2118" s="888"/>
      <c r="N2118" s="888"/>
      <c r="O2118" s="888"/>
      <c r="P2118" s="888"/>
      <c r="Q2118" s="888"/>
      <c r="R2118" s="888"/>
    </row>
    <row r="2119" spans="1:18" s="893" customFormat="1" x14ac:dyDescent="0.3">
      <c r="A2119" s="888" t="str">
        <f>IF(LEN('Translation-EN'!A2119)&gt;0,'Translation-EN'!A2119,"")</f>
        <v>Range</v>
      </c>
      <c r="B2119" s="888" t="str">
        <f>IF(LEN('Translation-EN'!B2119)&gt;0,'Translation-EN'!B2119,"")</f>
        <v>Master sheet</v>
      </c>
      <c r="C2119" s="888" t="str">
        <f>IF(LEN('Translation-EN'!C2119)&gt;0,'Translation-EN'!C2119,"")</f>
        <v>E243</v>
      </c>
      <c r="D2119" s="888" t="str">
        <f>IF(LEN('Translation-EN'!D2119)&gt;0,'Translation-EN'!D2119,"")</f>
        <v/>
      </c>
      <c r="E2119" s="893" t="s">
        <v>6364</v>
      </c>
      <c r="I2119" s="888"/>
      <c r="J2119" s="888"/>
      <c r="K2119" s="888"/>
      <c r="L2119" s="888"/>
      <c r="M2119" s="888"/>
      <c r="N2119" s="888"/>
      <c r="O2119" s="888"/>
      <c r="P2119" s="888"/>
      <c r="Q2119" s="888"/>
      <c r="R2119" s="888"/>
    </row>
    <row r="2120" spans="1:18" s="893" customFormat="1" x14ac:dyDescent="0.3">
      <c r="A2120" s="888" t="str">
        <f>IF(LEN('Translation-EN'!A2120)&gt;0,'Translation-EN'!A2120,"")</f>
        <v>Range</v>
      </c>
      <c r="B2120" s="888" t="str">
        <f>IF(LEN('Translation-EN'!B2120)&gt;0,'Translation-EN'!B2120,"")</f>
        <v>Master sheet</v>
      </c>
      <c r="C2120" s="888" t="str">
        <f>IF(LEN('Translation-EN'!C2120)&gt;0,'Translation-EN'!C2120,"")</f>
        <v>B244</v>
      </c>
      <c r="D2120" s="888" t="str">
        <f>IF(LEN('Translation-EN'!D2120)&gt;0,'Translation-EN'!D2120,"")</f>
        <v/>
      </c>
      <c r="E2120" s="893" t="str">
        <f>$E$2104</f>
        <v>Panneau à copeaux orientés</v>
      </c>
      <c r="I2120" s="888"/>
      <c r="J2120" s="888"/>
      <c r="K2120" s="888"/>
      <c r="L2120" s="888"/>
      <c r="M2120" s="888"/>
      <c r="N2120" s="888"/>
      <c r="O2120" s="888"/>
      <c r="P2120" s="888"/>
      <c r="Q2120" s="888"/>
      <c r="R2120" s="888"/>
    </row>
    <row r="2121" spans="1:18" s="893" customFormat="1" x14ac:dyDescent="0.3">
      <c r="A2121" s="888" t="str">
        <f>IF(LEN('Translation-EN'!A2121)&gt;0,'Translation-EN'!A2121,"")</f>
        <v>Range</v>
      </c>
      <c r="B2121" s="888" t="str">
        <f>IF(LEN('Translation-EN'!B2121)&gt;0,'Translation-EN'!B2121,"")</f>
        <v>Master sheet</v>
      </c>
      <c r="C2121" s="888" t="str">
        <f>IF(LEN('Translation-EN'!C2121)&gt;0,'Translation-EN'!C2121,"")</f>
        <v>C244</v>
      </c>
      <c r="D2121" s="888" t="str">
        <f>IF(LEN('Translation-EN'!D2121)&gt;0,'Translation-EN'!D2121,"")</f>
        <v/>
      </c>
      <c r="E2121" s="893" t="str">
        <f>$E$2117</f>
        <v>LP</v>
      </c>
      <c r="I2121" s="888"/>
      <c r="J2121" s="888"/>
      <c r="K2121" s="888"/>
      <c r="L2121" s="888"/>
      <c r="M2121" s="888"/>
      <c r="N2121" s="888"/>
      <c r="O2121" s="888"/>
      <c r="P2121" s="888"/>
      <c r="Q2121" s="888"/>
      <c r="R2121" s="888"/>
    </row>
    <row r="2122" spans="1:18" s="893" customFormat="1" x14ac:dyDescent="0.3">
      <c r="A2122" s="888" t="str">
        <f>IF(LEN('Translation-EN'!A2122)&gt;0,'Translation-EN'!A2122,"")</f>
        <v>Range</v>
      </c>
      <c r="B2122" s="888" t="str">
        <f>IF(LEN('Translation-EN'!B2122)&gt;0,'Translation-EN'!B2122,"")</f>
        <v>Master sheet</v>
      </c>
      <c r="C2122" s="888" t="str">
        <f>IF(LEN('Translation-EN'!C2122)&gt;0,'Translation-EN'!C2122,"")</f>
        <v>D244</v>
      </c>
      <c r="D2122" s="888" t="str">
        <f>IF(LEN('Translation-EN'!D2122)&gt;0,'Translation-EN'!D2122,"")</f>
        <v/>
      </c>
      <c r="E2122" s="893" t="s">
        <v>4364</v>
      </c>
      <c r="I2122" s="888"/>
      <c r="J2122" s="888"/>
      <c r="K2122" s="888"/>
      <c r="L2122" s="888"/>
      <c r="M2122" s="888"/>
      <c r="N2122" s="888"/>
      <c r="O2122" s="888"/>
      <c r="P2122" s="888"/>
      <c r="Q2122" s="888"/>
      <c r="R2122" s="888"/>
    </row>
    <row r="2123" spans="1:18" s="893" customFormat="1" x14ac:dyDescent="0.3">
      <c r="A2123" s="888" t="str">
        <f>IF(LEN('Translation-EN'!A2123)&gt;0,'Translation-EN'!A2123,"")</f>
        <v>Range</v>
      </c>
      <c r="B2123" s="888" t="str">
        <f>IF(LEN('Translation-EN'!B2123)&gt;0,'Translation-EN'!B2123,"")</f>
        <v>Master sheet</v>
      </c>
      <c r="C2123" s="888" t="str">
        <f>IF(LEN('Translation-EN'!C2123)&gt;0,'Translation-EN'!C2123,"")</f>
        <v>E244</v>
      </c>
      <c r="D2123" s="888" t="str">
        <f>IF(LEN('Translation-EN'!D2123)&gt;0,'Translation-EN'!D2123,"")</f>
        <v/>
      </c>
      <c r="E2123" s="893" t="s">
        <v>6365</v>
      </c>
      <c r="I2123" s="888"/>
      <c r="J2123" s="888"/>
      <c r="K2123" s="888"/>
      <c r="L2123" s="888"/>
      <c r="M2123" s="888"/>
      <c r="N2123" s="888"/>
      <c r="O2123" s="888"/>
      <c r="P2123" s="888"/>
      <c r="Q2123" s="888"/>
      <c r="R2123" s="888"/>
    </row>
    <row r="2124" spans="1:18" s="893" customFormat="1" x14ac:dyDescent="0.3">
      <c r="A2124" s="888" t="str">
        <f>IF(LEN('Translation-EN'!A2124)&gt;0,'Translation-EN'!A2124,"")</f>
        <v>Range</v>
      </c>
      <c r="B2124" s="888" t="str">
        <f>IF(LEN('Translation-EN'!B2124)&gt;0,'Translation-EN'!B2124,"")</f>
        <v>Master sheet</v>
      </c>
      <c r="C2124" s="888" t="str">
        <f>IF(LEN('Translation-EN'!C2124)&gt;0,'Translation-EN'!C2124,"")</f>
        <v>B246</v>
      </c>
      <c r="D2124" s="888" t="str">
        <f>IF(LEN('Translation-EN'!D2124)&gt;0,'Translation-EN'!D2124,"")</f>
        <v/>
      </c>
      <c r="E2124" s="893" t="s">
        <v>6366</v>
      </c>
      <c r="I2124" s="888"/>
      <c r="J2124" s="888"/>
      <c r="K2124" s="888"/>
      <c r="L2124" s="888"/>
      <c r="M2124" s="888"/>
      <c r="N2124" s="888"/>
      <c r="O2124" s="888"/>
      <c r="P2124" s="888"/>
      <c r="Q2124" s="888"/>
      <c r="R2124" s="888"/>
    </row>
    <row r="2125" spans="1:18" s="893" customFormat="1" x14ac:dyDescent="0.3">
      <c r="A2125" s="888" t="str">
        <f>IF(LEN('Translation-EN'!A2125)&gt;0,'Translation-EN'!A2125,"")</f>
        <v>Range</v>
      </c>
      <c r="B2125" s="888" t="str">
        <f>IF(LEN('Translation-EN'!B2125)&gt;0,'Translation-EN'!B2125,"")</f>
        <v>Master sheet</v>
      </c>
      <c r="C2125" s="888" t="str">
        <f>IF(LEN('Translation-EN'!C2125)&gt;0,'Translation-EN'!C2125,"")</f>
        <v>C246</v>
      </c>
      <c r="D2125" s="888" t="str">
        <f>IF(LEN('Translation-EN'!D2125)&gt;0,'Translation-EN'!D2125,"")</f>
        <v/>
      </c>
      <c r="E2125" s="893" t="str">
        <f>$E$2113</f>
        <v>Huber</v>
      </c>
      <c r="I2125" s="888"/>
      <c r="J2125" s="888"/>
      <c r="K2125" s="888"/>
      <c r="L2125" s="888"/>
      <c r="M2125" s="888"/>
      <c r="N2125" s="888"/>
      <c r="O2125" s="888"/>
      <c r="P2125" s="888"/>
      <c r="Q2125" s="888"/>
      <c r="R2125" s="888"/>
    </row>
    <row r="2126" spans="1:18" s="893" customFormat="1" x14ac:dyDescent="0.3">
      <c r="A2126" s="888" t="str">
        <f>IF(LEN('Translation-EN'!A2126)&gt;0,'Translation-EN'!A2126,"")</f>
        <v>Range</v>
      </c>
      <c r="B2126" s="888" t="str">
        <f>IF(LEN('Translation-EN'!B2126)&gt;0,'Translation-EN'!B2126,"")</f>
        <v>Master sheet</v>
      </c>
      <c r="C2126" s="888" t="str">
        <f>IF(LEN('Translation-EN'!C2126)&gt;0,'Translation-EN'!C2126,"")</f>
        <v>D246</v>
      </c>
      <c r="D2126" s="888" t="str">
        <f>IF(LEN('Translation-EN'!D2126)&gt;0,'Translation-EN'!D2126,"")</f>
        <v/>
      </c>
      <c r="E2126" s="893" t="s">
        <v>6367</v>
      </c>
      <c r="I2126" s="888"/>
      <c r="J2126" s="888"/>
      <c r="K2126" s="888"/>
      <c r="L2126" s="888"/>
      <c r="M2126" s="888"/>
      <c r="N2126" s="888"/>
      <c r="O2126" s="888"/>
      <c r="P2126" s="888"/>
      <c r="Q2126" s="888"/>
      <c r="R2126" s="888"/>
    </row>
    <row r="2127" spans="1:18" s="893" customFormat="1" x14ac:dyDescent="0.3">
      <c r="A2127" s="888" t="str">
        <f>IF(LEN('Translation-EN'!A2127)&gt;0,'Translation-EN'!A2127,"")</f>
        <v>Range</v>
      </c>
      <c r="B2127" s="888" t="str">
        <f>IF(LEN('Translation-EN'!B2127)&gt;0,'Translation-EN'!B2127,"")</f>
        <v>Master sheet</v>
      </c>
      <c r="C2127" s="888" t="str">
        <f>IF(LEN('Translation-EN'!C2127)&gt;0,'Translation-EN'!C2127,"")</f>
        <v>B247</v>
      </c>
      <c r="D2127" s="888" t="str">
        <f>IF(LEN('Translation-EN'!D2127)&gt;0,'Translation-EN'!D2127,"")</f>
        <v/>
      </c>
      <c r="E2127" s="893" t="str">
        <f>$E$2124</f>
        <v>0SB revêtement &amp; barrière</v>
      </c>
      <c r="I2127" s="888"/>
      <c r="J2127" s="888"/>
      <c r="K2127" s="888"/>
      <c r="L2127" s="888"/>
      <c r="M2127" s="888"/>
      <c r="N2127" s="888"/>
      <c r="O2127" s="888"/>
      <c r="P2127" s="888"/>
      <c r="Q2127" s="888"/>
      <c r="R2127" s="888"/>
    </row>
    <row r="2128" spans="1:18" s="893" customFormat="1" x14ac:dyDescent="0.3">
      <c r="A2128" s="888" t="str">
        <f>IF(LEN('Translation-EN'!A2128)&gt;0,'Translation-EN'!A2128,"")</f>
        <v>Range</v>
      </c>
      <c r="B2128" s="888" t="str">
        <f>IF(LEN('Translation-EN'!B2128)&gt;0,'Translation-EN'!B2128,"")</f>
        <v>Master sheet</v>
      </c>
      <c r="C2128" s="888" t="str">
        <f>IF(LEN('Translation-EN'!C2128)&gt;0,'Translation-EN'!C2128,"")</f>
        <v>C247</v>
      </c>
      <c r="D2128" s="888" t="str">
        <f>IF(LEN('Translation-EN'!D2128)&gt;0,'Translation-EN'!D2128,"")</f>
        <v/>
      </c>
      <c r="E2128" s="893" t="str">
        <f>$E$2113</f>
        <v>Huber</v>
      </c>
      <c r="I2128" s="888"/>
      <c r="J2128" s="888"/>
      <c r="K2128" s="888"/>
      <c r="L2128" s="888"/>
      <c r="M2128" s="888"/>
      <c r="N2128" s="888"/>
      <c r="O2128" s="888"/>
      <c r="P2128" s="888"/>
      <c r="Q2128" s="888"/>
      <c r="R2128" s="888"/>
    </row>
    <row r="2129" spans="1:18" s="893" customFormat="1" x14ac:dyDescent="0.3">
      <c r="A2129" s="888" t="str">
        <f>IF(LEN('Translation-EN'!A2129)&gt;0,'Translation-EN'!A2129,"")</f>
        <v>Range</v>
      </c>
      <c r="B2129" s="888" t="str">
        <f>IF(LEN('Translation-EN'!B2129)&gt;0,'Translation-EN'!B2129,"")</f>
        <v>Master sheet</v>
      </c>
      <c r="C2129" s="888" t="str">
        <f>IF(LEN('Translation-EN'!C2129)&gt;0,'Translation-EN'!C2129,"")</f>
        <v>D247</v>
      </c>
      <c r="D2129" s="888" t="str">
        <f>IF(LEN('Translation-EN'!D2129)&gt;0,'Translation-EN'!D2129,"")</f>
        <v/>
      </c>
      <c r="E2129" s="893" t="str">
        <f>$E$2126</f>
        <v>ZIP System - Mur et Toiture</v>
      </c>
      <c r="I2129" s="888"/>
      <c r="J2129" s="888"/>
      <c r="K2129" s="888"/>
      <c r="L2129" s="888"/>
      <c r="M2129" s="888"/>
      <c r="N2129" s="888"/>
      <c r="O2129" s="888"/>
      <c r="P2129" s="888"/>
      <c r="Q2129" s="888"/>
      <c r="R2129" s="888"/>
    </row>
    <row r="2130" spans="1:18" s="893" customFormat="1" x14ac:dyDescent="0.3">
      <c r="A2130" s="888" t="str">
        <f>IF(LEN('Translation-EN'!A2130)&gt;0,'Translation-EN'!A2130,"")</f>
        <v>Range</v>
      </c>
      <c r="B2130" s="888" t="str">
        <f>IF(LEN('Translation-EN'!B2130)&gt;0,'Translation-EN'!B2130,"")</f>
        <v>Master sheet</v>
      </c>
      <c r="C2130" s="888" t="str">
        <f>IF(LEN('Translation-EN'!C2130)&gt;0,'Translation-EN'!C2130,"")</f>
        <v>B248</v>
      </c>
      <c r="D2130" s="888" t="str">
        <f>IF(LEN('Translation-EN'!D2130)&gt;0,'Translation-EN'!D2130,"")</f>
        <v/>
      </c>
      <c r="E2130" s="893" t="str">
        <f>$E$2124</f>
        <v>0SB revêtement &amp; barrière</v>
      </c>
      <c r="I2130" s="888"/>
      <c r="J2130" s="888"/>
      <c r="K2130" s="888"/>
      <c r="L2130" s="888"/>
      <c r="M2130" s="888"/>
      <c r="N2130" s="888"/>
      <c r="O2130" s="888"/>
      <c r="P2130" s="888"/>
      <c r="Q2130" s="888"/>
      <c r="R2130" s="888"/>
    </row>
    <row r="2131" spans="1:18" s="893" customFormat="1" x14ac:dyDescent="0.3">
      <c r="A2131" s="888" t="str">
        <f>IF(LEN('Translation-EN'!A2131)&gt;0,'Translation-EN'!A2131,"")</f>
        <v>Range</v>
      </c>
      <c r="B2131" s="888" t="str">
        <f>IF(LEN('Translation-EN'!B2131)&gt;0,'Translation-EN'!B2131,"")</f>
        <v>Master sheet</v>
      </c>
      <c r="C2131" s="888" t="str">
        <f>IF(LEN('Translation-EN'!C2131)&gt;0,'Translation-EN'!C2131,"")</f>
        <v>C248</v>
      </c>
      <c r="D2131" s="888" t="str">
        <f>IF(LEN('Translation-EN'!D2131)&gt;0,'Translation-EN'!D2131,"")</f>
        <v/>
      </c>
      <c r="E2131" s="893" t="str">
        <f>$E$2113</f>
        <v>Huber</v>
      </c>
      <c r="I2131" s="888"/>
      <c r="J2131" s="888"/>
      <c r="K2131" s="888"/>
      <c r="L2131" s="888"/>
      <c r="M2131" s="888"/>
      <c r="N2131" s="888"/>
      <c r="O2131" s="888"/>
      <c r="P2131" s="888"/>
      <c r="Q2131" s="888"/>
      <c r="R2131" s="888"/>
    </row>
    <row r="2132" spans="1:18" s="893" customFormat="1" x14ac:dyDescent="0.3">
      <c r="A2132" s="888" t="str">
        <f>IF(LEN('Translation-EN'!A2132)&gt;0,'Translation-EN'!A2132,"")</f>
        <v>Range</v>
      </c>
      <c r="B2132" s="888" t="str">
        <f>IF(LEN('Translation-EN'!B2132)&gt;0,'Translation-EN'!B2132,"")</f>
        <v>Master sheet</v>
      </c>
      <c r="C2132" s="888" t="str">
        <f>IF(LEN('Translation-EN'!C2132)&gt;0,'Translation-EN'!C2132,"")</f>
        <v>D248</v>
      </c>
      <c r="D2132" s="888" t="str">
        <f>IF(LEN('Translation-EN'!D2132)&gt;0,'Translation-EN'!D2132,"")</f>
        <v/>
      </c>
      <c r="E2132" s="893" t="str">
        <f>$E$2126</f>
        <v>ZIP System - Mur et Toiture</v>
      </c>
      <c r="I2132" s="888"/>
      <c r="J2132" s="888"/>
      <c r="K2132" s="888"/>
      <c r="L2132" s="888"/>
      <c r="M2132" s="888"/>
      <c r="N2132" s="888"/>
      <c r="O2132" s="888"/>
      <c r="P2132" s="888"/>
      <c r="Q2132" s="888"/>
      <c r="R2132" s="888"/>
    </row>
    <row r="2133" spans="1:18" s="893" customFormat="1" x14ac:dyDescent="0.3">
      <c r="A2133" s="888" t="str">
        <f>IF(LEN('Translation-EN'!A2133)&gt;0,'Translation-EN'!A2133,"")</f>
        <v>Range</v>
      </c>
      <c r="B2133" s="888" t="str">
        <f>IF(LEN('Translation-EN'!B2133)&gt;0,'Translation-EN'!B2133,"")</f>
        <v>Master sheet</v>
      </c>
      <c r="C2133" s="888" t="str">
        <f>IF(LEN('Translation-EN'!C2133)&gt;0,'Translation-EN'!C2133,"")</f>
        <v>B249</v>
      </c>
      <c r="D2133" s="888" t="str">
        <f>IF(LEN('Translation-EN'!D2133)&gt;0,'Translation-EN'!D2133,"")</f>
        <v/>
      </c>
      <c r="E2133" s="893" t="str">
        <f>$E$2124</f>
        <v>0SB revêtement &amp; barrière</v>
      </c>
      <c r="I2133" s="888"/>
      <c r="J2133" s="888"/>
      <c r="K2133" s="888"/>
      <c r="L2133" s="888"/>
      <c r="M2133" s="888"/>
      <c r="N2133" s="888"/>
      <c r="O2133" s="888"/>
      <c r="P2133" s="888"/>
      <c r="Q2133" s="888"/>
      <c r="R2133" s="888"/>
    </row>
    <row r="2134" spans="1:18" s="893" customFormat="1" x14ac:dyDescent="0.3">
      <c r="A2134" s="888" t="str">
        <f>IF(LEN('Translation-EN'!A2134)&gt;0,'Translation-EN'!A2134,"")</f>
        <v>Range</v>
      </c>
      <c r="B2134" s="888" t="str">
        <f>IF(LEN('Translation-EN'!B2134)&gt;0,'Translation-EN'!B2134,"")</f>
        <v>Master sheet</v>
      </c>
      <c r="C2134" s="888" t="str">
        <f>IF(LEN('Translation-EN'!C2134)&gt;0,'Translation-EN'!C2134,"")</f>
        <v>C249</v>
      </c>
      <c r="D2134" s="888" t="str">
        <f>IF(LEN('Translation-EN'!D2134)&gt;0,'Translation-EN'!D2134,"")</f>
        <v/>
      </c>
      <c r="E2134" s="893" t="str">
        <f>$E$2117</f>
        <v>LP</v>
      </c>
      <c r="I2134" s="888"/>
      <c r="J2134" s="888"/>
      <c r="K2134" s="888"/>
      <c r="L2134" s="888"/>
      <c r="M2134" s="888"/>
      <c r="N2134" s="888"/>
      <c r="O2134" s="888"/>
      <c r="P2134" s="888"/>
      <c r="Q2134" s="888"/>
      <c r="R2134" s="888"/>
    </row>
    <row r="2135" spans="1:18" s="893" customFormat="1" x14ac:dyDescent="0.3">
      <c r="A2135" s="888" t="str">
        <f>IF(LEN('Translation-EN'!A2135)&gt;0,'Translation-EN'!A2135,"")</f>
        <v>Range</v>
      </c>
      <c r="B2135" s="888" t="str">
        <f>IF(LEN('Translation-EN'!B2135)&gt;0,'Translation-EN'!B2135,"")</f>
        <v>Master sheet</v>
      </c>
      <c r="C2135" s="888" t="str">
        <f>IF(LEN('Translation-EN'!C2135)&gt;0,'Translation-EN'!C2135,"")</f>
        <v>D249</v>
      </c>
      <c r="D2135" s="888" t="str">
        <f>IF(LEN('Translation-EN'!D2135)&gt;0,'Translation-EN'!D2135,"")</f>
        <v/>
      </c>
      <c r="E2135" s="893" t="s">
        <v>4370</v>
      </c>
      <c r="I2135" s="888"/>
      <c r="J2135" s="888"/>
      <c r="K2135" s="888"/>
      <c r="L2135" s="888"/>
      <c r="M2135" s="888"/>
      <c r="N2135" s="888"/>
      <c r="O2135" s="888"/>
      <c r="P2135" s="888"/>
      <c r="Q2135" s="888"/>
      <c r="R2135" s="888"/>
    </row>
    <row r="2136" spans="1:18" s="893" customFormat="1" x14ac:dyDescent="0.3">
      <c r="A2136" s="888" t="str">
        <f>IF(LEN('Translation-EN'!A2136)&gt;0,'Translation-EN'!A2136,"")</f>
        <v>Range</v>
      </c>
      <c r="B2136" s="888" t="str">
        <f>IF(LEN('Translation-EN'!B2136)&gt;0,'Translation-EN'!B2136,"")</f>
        <v>Master sheet</v>
      </c>
      <c r="C2136" s="888" t="str">
        <f>IF(LEN('Translation-EN'!C2136)&gt;0,'Translation-EN'!C2136,"")</f>
        <v>B250</v>
      </c>
      <c r="D2136" s="888" t="str">
        <f>IF(LEN('Translation-EN'!D2136)&gt;0,'Translation-EN'!D2136,"")</f>
        <v/>
      </c>
      <c r="E2136" s="893" t="str">
        <f>$E$2124</f>
        <v>0SB revêtement &amp; barrière</v>
      </c>
      <c r="I2136" s="888"/>
      <c r="J2136" s="888"/>
      <c r="K2136" s="888"/>
      <c r="L2136" s="888"/>
      <c r="M2136" s="888"/>
      <c r="N2136" s="888"/>
      <c r="O2136" s="888"/>
      <c r="P2136" s="888"/>
      <c r="Q2136" s="888"/>
      <c r="R2136" s="888"/>
    </row>
    <row r="2137" spans="1:18" s="893" customFormat="1" x14ac:dyDescent="0.3">
      <c r="A2137" s="888" t="str">
        <f>IF(LEN('Translation-EN'!A2137)&gt;0,'Translation-EN'!A2137,"")</f>
        <v>Range</v>
      </c>
      <c r="B2137" s="888" t="str">
        <f>IF(LEN('Translation-EN'!B2137)&gt;0,'Translation-EN'!B2137,"")</f>
        <v>Master sheet</v>
      </c>
      <c r="C2137" s="888" t="str">
        <f>IF(LEN('Translation-EN'!C2137)&gt;0,'Translation-EN'!C2137,"")</f>
        <v>C250</v>
      </c>
      <c r="D2137" s="888" t="str">
        <f>IF(LEN('Translation-EN'!D2137)&gt;0,'Translation-EN'!D2137,"")</f>
        <v/>
      </c>
      <c r="E2137" s="893" t="str">
        <f>$E$2117</f>
        <v>LP</v>
      </c>
      <c r="I2137" s="888"/>
      <c r="J2137" s="888"/>
      <c r="K2137" s="888"/>
      <c r="L2137" s="888"/>
      <c r="M2137" s="888"/>
      <c r="N2137" s="888"/>
      <c r="O2137" s="888"/>
      <c r="P2137" s="888"/>
      <c r="Q2137" s="888"/>
      <c r="R2137" s="888"/>
    </row>
    <row r="2138" spans="1:18" s="893" customFormat="1" x14ac:dyDescent="0.3">
      <c r="A2138" s="888" t="str">
        <f>IF(LEN('Translation-EN'!A2138)&gt;0,'Translation-EN'!A2138,"")</f>
        <v>Range</v>
      </c>
      <c r="B2138" s="888" t="str">
        <f>IF(LEN('Translation-EN'!B2138)&gt;0,'Translation-EN'!B2138,"")</f>
        <v>Master sheet</v>
      </c>
      <c r="C2138" s="888" t="str">
        <f>IF(LEN('Translation-EN'!C2138)&gt;0,'Translation-EN'!C2138,"")</f>
        <v>D250</v>
      </c>
      <c r="D2138" s="888" t="str">
        <f>IF(LEN('Translation-EN'!D2138)&gt;0,'Translation-EN'!D2138,"")</f>
        <v/>
      </c>
      <c r="E2138" s="893" t="str">
        <f>$E$2135</f>
        <v>WeatherLogic® Air &amp; Water Barrier</v>
      </c>
      <c r="I2138" s="888"/>
      <c r="J2138" s="888"/>
      <c r="K2138" s="888"/>
      <c r="L2138" s="888"/>
      <c r="M2138" s="888"/>
      <c r="N2138" s="888"/>
      <c r="O2138" s="888"/>
      <c r="P2138" s="888"/>
      <c r="Q2138" s="888"/>
      <c r="R2138" s="888"/>
    </row>
    <row r="2139" spans="1:18" s="893" customFormat="1" x14ac:dyDescent="0.3">
      <c r="A2139" s="888" t="str">
        <f>IF(LEN('Translation-EN'!A2139)&gt;0,'Translation-EN'!A2139,"")</f>
        <v>Range</v>
      </c>
      <c r="B2139" s="888" t="str">
        <f>IF(LEN('Translation-EN'!B2139)&gt;0,'Translation-EN'!B2139,"")</f>
        <v>Master sheet</v>
      </c>
      <c r="C2139" s="888" t="str">
        <f>IF(LEN('Translation-EN'!C2139)&gt;0,'Translation-EN'!C2139,"")</f>
        <v>E250</v>
      </c>
      <c r="D2139" s="888" t="str">
        <f>IF(LEN('Translation-EN'!D2139)&gt;0,'Translation-EN'!D2139,"")</f>
        <v/>
      </c>
      <c r="E2139" s="893" t="str">
        <f>$E$2123</f>
        <v>7/16''</v>
      </c>
      <c r="I2139" s="888"/>
      <c r="J2139" s="888"/>
      <c r="K2139" s="888"/>
      <c r="L2139" s="888"/>
      <c r="M2139" s="888"/>
      <c r="N2139" s="888"/>
      <c r="O2139" s="888"/>
      <c r="P2139" s="888"/>
      <c r="Q2139" s="888"/>
      <c r="R2139" s="888"/>
    </row>
    <row r="2140" spans="1:18" s="893" customFormat="1" x14ac:dyDescent="0.3">
      <c r="A2140" s="888" t="str">
        <f>IF(LEN('Translation-EN'!A2140)&gt;0,'Translation-EN'!A2140,"")</f>
        <v>Range</v>
      </c>
      <c r="B2140" s="888" t="str">
        <f>IF(LEN('Translation-EN'!B2140)&gt;0,'Translation-EN'!B2140,"")</f>
        <v>Master sheet</v>
      </c>
      <c r="C2140" s="888" t="str">
        <f>IF(LEN('Translation-EN'!C2140)&gt;0,'Translation-EN'!C2140,"")</f>
        <v>B252</v>
      </c>
      <c r="D2140" s="888" t="str">
        <f>IF(LEN('Translation-EN'!D2140)&gt;0,'Translation-EN'!D2140,"")</f>
        <v/>
      </c>
      <c r="E2140" s="893" t="s">
        <v>6368</v>
      </c>
      <c r="I2140" s="888"/>
      <c r="J2140" s="888"/>
      <c r="K2140" s="888"/>
      <c r="L2140" s="888"/>
      <c r="M2140" s="888"/>
      <c r="N2140" s="888"/>
      <c r="O2140" s="888"/>
      <c r="P2140" s="888"/>
      <c r="Q2140" s="888"/>
      <c r="R2140" s="888"/>
    </row>
    <row r="2141" spans="1:18" s="893" customFormat="1" x14ac:dyDescent="0.3">
      <c r="A2141" s="888" t="str">
        <f>IF(LEN('Translation-EN'!A2141)&gt;0,'Translation-EN'!A2141,"")</f>
        <v>Range</v>
      </c>
      <c r="B2141" s="888" t="str">
        <f>IF(LEN('Translation-EN'!B2141)&gt;0,'Translation-EN'!B2141,"")</f>
        <v>Master sheet</v>
      </c>
      <c r="C2141" s="888" t="str">
        <f>IF(LEN('Translation-EN'!C2141)&gt;0,'Translation-EN'!C2141,"")</f>
        <v>C252</v>
      </c>
      <c r="D2141" s="888" t="str">
        <f>IF(LEN('Translation-EN'!D2141)&gt;0,'Translation-EN'!D2141,"")</f>
        <v/>
      </c>
      <c r="E2141" s="893" t="str">
        <f>$E$2113</f>
        <v>Huber</v>
      </c>
      <c r="I2141" s="888"/>
      <c r="J2141" s="888"/>
      <c r="K2141" s="888"/>
      <c r="L2141" s="888"/>
      <c r="M2141" s="888"/>
      <c r="N2141" s="888"/>
      <c r="O2141" s="888"/>
      <c r="P2141" s="888"/>
      <c r="Q2141" s="888"/>
      <c r="R2141" s="888"/>
    </row>
    <row r="2142" spans="1:18" s="893" customFormat="1" x14ac:dyDescent="0.3">
      <c r="A2142" s="888" t="str">
        <f>IF(LEN('Translation-EN'!A2142)&gt;0,'Translation-EN'!A2142,"")</f>
        <v>Range</v>
      </c>
      <c r="B2142" s="888" t="str">
        <f>IF(LEN('Translation-EN'!B2142)&gt;0,'Translation-EN'!B2142,"")</f>
        <v>Master sheet</v>
      </c>
      <c r="C2142" s="888" t="str">
        <f>IF(LEN('Translation-EN'!C2142)&gt;0,'Translation-EN'!C2142,"")</f>
        <v>D252</v>
      </c>
      <c r="D2142" s="888" t="str">
        <f>IF(LEN('Translation-EN'!D2142)&gt;0,'Translation-EN'!D2142,"")</f>
        <v/>
      </c>
      <c r="E2142" s="893" t="str">
        <f>$E$2114</f>
        <v>AdvanTech</v>
      </c>
      <c r="I2142" s="888"/>
      <c r="J2142" s="888"/>
      <c r="K2142" s="888"/>
      <c r="L2142" s="888"/>
      <c r="M2142" s="888"/>
      <c r="N2142" s="888"/>
      <c r="O2142" s="888"/>
      <c r="P2142" s="888"/>
      <c r="Q2142" s="888"/>
      <c r="R2142" s="888"/>
    </row>
    <row r="2143" spans="1:18" s="893" customFormat="1" x14ac:dyDescent="0.3">
      <c r="A2143" s="888" t="str">
        <f>IF(LEN('Translation-EN'!A2143)&gt;0,'Translation-EN'!A2143,"")</f>
        <v>Range</v>
      </c>
      <c r="B2143" s="888" t="str">
        <f>IF(LEN('Translation-EN'!B2143)&gt;0,'Translation-EN'!B2143,"")</f>
        <v>Master sheet</v>
      </c>
      <c r="C2143" s="888" t="str">
        <f>IF(LEN('Translation-EN'!C2143)&gt;0,'Translation-EN'!C2143,"")</f>
        <v>E252</v>
      </c>
      <c r="D2143" s="888" t="str">
        <f>IF(LEN('Translation-EN'!D2143)&gt;0,'Translation-EN'!D2143,"")</f>
        <v/>
      </c>
      <c r="E2143" s="893" t="s">
        <v>6369</v>
      </c>
      <c r="I2143" s="888"/>
      <c r="J2143" s="888"/>
      <c r="K2143" s="888"/>
      <c r="L2143" s="888"/>
      <c r="M2143" s="888"/>
      <c r="N2143" s="888"/>
      <c r="O2143" s="888"/>
      <c r="P2143" s="888"/>
      <c r="Q2143" s="888"/>
      <c r="R2143" s="888"/>
    </row>
    <row r="2144" spans="1:18" s="893" customFormat="1" x14ac:dyDescent="0.3">
      <c r="A2144" s="888" t="str">
        <f>IF(LEN('Translation-EN'!A2144)&gt;0,'Translation-EN'!A2144,"")</f>
        <v>Range</v>
      </c>
      <c r="B2144" s="888" t="str">
        <f>IF(LEN('Translation-EN'!B2144)&gt;0,'Translation-EN'!B2144,"")</f>
        <v>Master sheet</v>
      </c>
      <c r="C2144" s="888" t="str">
        <f>IF(LEN('Translation-EN'!C2144)&gt;0,'Translation-EN'!C2144,"")</f>
        <v>B253</v>
      </c>
      <c r="D2144" s="888" t="str">
        <f>IF(LEN('Translation-EN'!D2144)&gt;0,'Translation-EN'!D2144,"")</f>
        <v/>
      </c>
      <c r="E2144" s="1039" t="str">
        <f>$E$2140</f>
        <v>Panneau à copeaux orientés pour sous-plancher</v>
      </c>
      <c r="I2144" s="888"/>
      <c r="J2144" s="888"/>
      <c r="K2144" s="888"/>
      <c r="L2144" s="888"/>
      <c r="M2144" s="888"/>
      <c r="N2144" s="888"/>
      <c r="O2144" s="888"/>
      <c r="P2144" s="888"/>
      <c r="Q2144" s="888"/>
      <c r="R2144" s="888"/>
    </row>
    <row r="2145" spans="1:18" s="893" customFormat="1" x14ac:dyDescent="0.3">
      <c r="A2145" s="888" t="str">
        <f>IF(LEN('Translation-EN'!A2145)&gt;0,'Translation-EN'!A2145,"")</f>
        <v>Range</v>
      </c>
      <c r="B2145" s="888" t="str">
        <f>IF(LEN('Translation-EN'!B2145)&gt;0,'Translation-EN'!B2145,"")</f>
        <v>Master sheet</v>
      </c>
      <c r="C2145" s="888" t="str">
        <f>IF(LEN('Translation-EN'!C2145)&gt;0,'Translation-EN'!C2145,"")</f>
        <v>C253</v>
      </c>
      <c r="D2145" s="888" t="str">
        <f>IF(LEN('Translation-EN'!D2145)&gt;0,'Translation-EN'!D2145,"")</f>
        <v/>
      </c>
      <c r="E2145" s="893" t="str">
        <f>$E$2117</f>
        <v>LP</v>
      </c>
      <c r="I2145" s="888"/>
      <c r="J2145" s="888"/>
      <c r="K2145" s="888"/>
      <c r="L2145" s="888"/>
      <c r="M2145" s="888"/>
      <c r="N2145" s="888"/>
      <c r="O2145" s="888"/>
      <c r="P2145" s="888"/>
      <c r="Q2145" s="888"/>
      <c r="R2145" s="888"/>
    </row>
    <row r="2146" spans="1:18" s="893" customFormat="1" x14ac:dyDescent="0.3">
      <c r="A2146" s="888" t="str">
        <f>IF(LEN('Translation-EN'!A2146)&gt;0,'Translation-EN'!A2146,"")</f>
        <v>Range</v>
      </c>
      <c r="B2146" s="888" t="str">
        <f>IF(LEN('Translation-EN'!B2146)&gt;0,'Translation-EN'!B2146,"")</f>
        <v>Master sheet</v>
      </c>
      <c r="C2146" s="888" t="str">
        <f>IF(LEN('Translation-EN'!C2146)&gt;0,'Translation-EN'!C2146,"")</f>
        <v>D253</v>
      </c>
      <c r="D2146" s="888" t="str">
        <f>IF(LEN('Translation-EN'!D2146)&gt;0,'Translation-EN'!D2146,"")</f>
        <v/>
      </c>
      <c r="E2146" s="893" t="s">
        <v>4373</v>
      </c>
      <c r="I2146" s="888"/>
      <c r="J2146" s="888"/>
      <c r="K2146" s="888"/>
      <c r="L2146" s="888"/>
      <c r="M2146" s="888"/>
      <c r="N2146" s="888"/>
      <c r="O2146" s="888"/>
      <c r="P2146" s="888"/>
      <c r="Q2146" s="888"/>
      <c r="R2146" s="888"/>
    </row>
    <row r="2147" spans="1:18" s="893" customFormat="1" x14ac:dyDescent="0.3">
      <c r="A2147" s="888" t="str">
        <f>IF(LEN('Translation-EN'!A2147)&gt;0,'Translation-EN'!A2147,"")</f>
        <v>Range</v>
      </c>
      <c r="B2147" s="888" t="str">
        <f>IF(LEN('Translation-EN'!B2147)&gt;0,'Translation-EN'!B2147,"")</f>
        <v>Master sheet</v>
      </c>
      <c r="C2147" s="888" t="str">
        <f>IF(LEN('Translation-EN'!C2147)&gt;0,'Translation-EN'!C2147,"")</f>
        <v>B256</v>
      </c>
      <c r="D2147" s="888" t="str">
        <f>IF(LEN('Translation-EN'!D2147)&gt;0,'Translation-EN'!D2147,"")</f>
        <v/>
      </c>
      <c r="E2147" s="893" t="s">
        <v>6370</v>
      </c>
      <c r="I2147" s="888"/>
      <c r="J2147" s="888"/>
      <c r="K2147" s="888"/>
      <c r="L2147" s="888"/>
      <c r="M2147" s="888"/>
      <c r="N2147" s="888"/>
      <c r="O2147" s="888"/>
      <c r="P2147" s="888"/>
      <c r="Q2147" s="888"/>
      <c r="R2147" s="888"/>
    </row>
    <row r="2148" spans="1:18" s="893" customFormat="1" x14ac:dyDescent="0.3">
      <c r="A2148" s="888" t="str">
        <f>IF(LEN('Translation-EN'!A2148)&gt;0,'Translation-EN'!A2148,"")</f>
        <v>Range</v>
      </c>
      <c r="B2148" s="888" t="str">
        <f>IF(LEN('Translation-EN'!B2148)&gt;0,'Translation-EN'!B2148,"")</f>
        <v>Master sheet</v>
      </c>
      <c r="C2148" s="888" t="str">
        <f>IF(LEN('Translation-EN'!C2148)&gt;0,'Translation-EN'!C2148,"")</f>
        <v>C256</v>
      </c>
      <c r="D2148" s="888" t="str">
        <f>IF(LEN('Translation-EN'!D2148)&gt;0,'Translation-EN'!D2148,"")</f>
        <v/>
      </c>
      <c r="E2148" s="1011" t="s">
        <v>7417</v>
      </c>
      <c r="I2148" s="888"/>
      <c r="J2148" s="888"/>
      <c r="K2148" s="888"/>
      <c r="L2148" s="888"/>
      <c r="M2148" s="888"/>
      <c r="N2148" s="888"/>
      <c r="O2148" s="888"/>
      <c r="P2148" s="888"/>
      <c r="Q2148" s="888"/>
      <c r="R2148" s="888"/>
    </row>
    <row r="2149" spans="1:18" s="893" customFormat="1" x14ac:dyDescent="0.3">
      <c r="A2149" s="888" t="str">
        <f>IF(LEN('Translation-EN'!A2149)&gt;0,'Translation-EN'!A2149,"")</f>
        <v>Range</v>
      </c>
      <c r="B2149" s="888" t="str">
        <f>IF(LEN('Translation-EN'!B2149)&gt;0,'Translation-EN'!B2149,"")</f>
        <v>Master sheet</v>
      </c>
      <c r="C2149" s="888" t="str">
        <f>IF(LEN('Translation-EN'!C2149)&gt;0,'Translation-EN'!C2149,"")</f>
        <v>B258</v>
      </c>
      <c r="D2149" s="888" t="str">
        <f>IF(LEN('Translation-EN'!D2149)&gt;0,'Translation-EN'!D2149,"")</f>
        <v/>
      </c>
      <c r="E2149" s="893" t="str">
        <f>$E$2147</f>
        <v>Contreplaqué</v>
      </c>
      <c r="I2149" s="888"/>
      <c r="J2149" s="888"/>
      <c r="K2149" s="888"/>
      <c r="L2149" s="888"/>
      <c r="M2149" s="888"/>
      <c r="N2149" s="888"/>
      <c r="O2149" s="888"/>
      <c r="P2149" s="888"/>
      <c r="Q2149" s="888"/>
      <c r="R2149" s="888"/>
    </row>
    <row r="2150" spans="1:18" s="893" customFormat="1" x14ac:dyDescent="0.3">
      <c r="A2150" s="888" t="str">
        <f>IF(LEN('Translation-EN'!A2150)&gt;0,'Translation-EN'!A2150,"")</f>
        <v>Range</v>
      </c>
      <c r="B2150" s="888" t="str">
        <f>IF(LEN('Translation-EN'!B2150)&gt;0,'Translation-EN'!B2150,"")</f>
        <v>Master sheet</v>
      </c>
      <c r="C2150" s="888" t="str">
        <f>IF(LEN('Translation-EN'!C2150)&gt;0,'Translation-EN'!C2150,"")</f>
        <v>C258</v>
      </c>
      <c r="D2150" s="888" t="str">
        <f>IF(LEN('Translation-EN'!D2150)&gt;0,'Translation-EN'!D2150,"")</f>
        <v/>
      </c>
      <c r="E2150" s="1011" t="str">
        <f>$E$2148</f>
        <v>Conseil canadien du bois</v>
      </c>
      <c r="I2150" s="888"/>
      <c r="J2150" s="888"/>
      <c r="K2150" s="888"/>
      <c r="L2150" s="888"/>
      <c r="M2150" s="888"/>
      <c r="N2150" s="888"/>
      <c r="O2150" s="888"/>
      <c r="P2150" s="888"/>
      <c r="Q2150" s="888"/>
      <c r="R2150" s="888"/>
    </row>
    <row r="2151" spans="1:18" s="893" customFormat="1" x14ac:dyDescent="0.3">
      <c r="A2151" s="888" t="str">
        <f>IF(LEN('Translation-EN'!A2151)&gt;0,'Translation-EN'!A2151,"")</f>
        <v>Range</v>
      </c>
      <c r="B2151" s="888" t="str">
        <f>IF(LEN('Translation-EN'!B2151)&gt;0,'Translation-EN'!B2151,"")</f>
        <v>Master sheet</v>
      </c>
      <c r="C2151" s="888" t="str">
        <f>IF(LEN('Translation-EN'!C2151)&gt;0,'Translation-EN'!C2151,"")</f>
        <v>B260</v>
      </c>
      <c r="D2151" s="888" t="str">
        <f>IF(LEN('Translation-EN'!D2151)&gt;0,'Translation-EN'!D2151,"")</f>
        <v/>
      </c>
      <c r="E2151" s="893" t="str">
        <f>$E$2147</f>
        <v>Contreplaqué</v>
      </c>
      <c r="I2151" s="888"/>
      <c r="J2151" s="888"/>
      <c r="K2151" s="888"/>
      <c r="L2151" s="888"/>
      <c r="M2151" s="888"/>
      <c r="N2151" s="888"/>
      <c r="O2151" s="888"/>
      <c r="P2151" s="888"/>
      <c r="Q2151" s="888"/>
      <c r="R2151" s="888"/>
    </row>
    <row r="2152" spans="1:18" s="893" customFormat="1" x14ac:dyDescent="0.3">
      <c r="A2152" s="888" t="str">
        <f>IF(LEN('Translation-EN'!A2152)&gt;0,'Translation-EN'!A2152,"")</f>
        <v>Range</v>
      </c>
      <c r="B2152" s="888" t="str">
        <f>IF(LEN('Translation-EN'!B2152)&gt;0,'Translation-EN'!B2152,"")</f>
        <v>Master sheet</v>
      </c>
      <c r="C2152" s="888" t="str">
        <f>IF(LEN('Translation-EN'!C2152)&gt;0,'Translation-EN'!C2152,"")</f>
        <v>C260</v>
      </c>
      <c r="D2152" s="888" t="str">
        <f>IF(LEN('Translation-EN'!D2152)&gt;0,'Translation-EN'!D2152,"")</f>
        <v/>
      </c>
      <c r="E2152" s="1011" t="str">
        <f>$E$2148</f>
        <v>Conseil canadien du bois</v>
      </c>
      <c r="I2152" s="888"/>
      <c r="J2152" s="888"/>
      <c r="K2152" s="888"/>
      <c r="L2152" s="888"/>
      <c r="M2152" s="888"/>
      <c r="N2152" s="888"/>
      <c r="O2152" s="888"/>
      <c r="P2152" s="888"/>
      <c r="Q2152" s="888"/>
      <c r="R2152" s="888"/>
    </row>
    <row r="2153" spans="1:18" s="893" customFormat="1" x14ac:dyDescent="0.3">
      <c r="A2153" s="888" t="str">
        <f>IF(LEN('Translation-EN'!A2153)&gt;0,'Translation-EN'!A2153,"")</f>
        <v>Range</v>
      </c>
      <c r="B2153" s="888" t="str">
        <f>IF(LEN('Translation-EN'!B2153)&gt;0,'Translation-EN'!B2153,"")</f>
        <v>Master sheet</v>
      </c>
      <c r="C2153" s="888" t="str">
        <f>IF(LEN('Translation-EN'!C2153)&gt;0,'Translation-EN'!C2153,"")</f>
        <v>B261</v>
      </c>
      <c r="D2153" s="888" t="str">
        <f>IF(LEN('Translation-EN'!D2153)&gt;0,'Translation-EN'!D2153,"")</f>
        <v/>
      </c>
      <c r="E2153" s="893" t="str">
        <f>$E$2147</f>
        <v>Contreplaqué</v>
      </c>
      <c r="I2153" s="888"/>
      <c r="J2153" s="888"/>
      <c r="K2153" s="888"/>
      <c r="L2153" s="888"/>
      <c r="M2153" s="888"/>
      <c r="N2153" s="888"/>
      <c r="O2153" s="888"/>
      <c r="P2153" s="888"/>
      <c r="Q2153" s="888"/>
      <c r="R2153" s="888"/>
    </row>
    <row r="2154" spans="1:18" s="893" customFormat="1" x14ac:dyDescent="0.3">
      <c r="A2154" s="888" t="str">
        <f>IF(LEN('Translation-EN'!A2154)&gt;0,'Translation-EN'!A2154,"")</f>
        <v>Range</v>
      </c>
      <c r="B2154" s="888" t="str">
        <f>IF(LEN('Translation-EN'!B2154)&gt;0,'Translation-EN'!B2154,"")</f>
        <v>Master sheet</v>
      </c>
      <c r="C2154" s="888" t="str">
        <f>IF(LEN('Translation-EN'!C2154)&gt;0,'Translation-EN'!C2154,"")</f>
        <v>C261</v>
      </c>
      <c r="D2154" s="888" t="str">
        <f>IF(LEN('Translation-EN'!D2154)&gt;0,'Translation-EN'!D2154,"")</f>
        <v/>
      </c>
      <c r="E2154" s="893" t="s">
        <v>6371</v>
      </c>
      <c r="I2154" s="888"/>
      <c r="J2154" s="888"/>
      <c r="K2154" s="888"/>
      <c r="L2154" s="888"/>
      <c r="M2154" s="888"/>
      <c r="N2154" s="888"/>
      <c r="O2154" s="888"/>
      <c r="P2154" s="888"/>
      <c r="Q2154" s="888"/>
      <c r="R2154" s="888"/>
    </row>
    <row r="2155" spans="1:18" s="893" customFormat="1" x14ac:dyDescent="0.3">
      <c r="A2155" s="888" t="str">
        <f>IF(LEN('Translation-EN'!A2155)&gt;0,'Translation-EN'!A2155,"")</f>
        <v>Range</v>
      </c>
      <c r="B2155" s="888" t="str">
        <f>IF(LEN('Translation-EN'!B2155)&gt;0,'Translation-EN'!B2155,"")</f>
        <v>Master sheet</v>
      </c>
      <c r="C2155" s="888" t="str">
        <f>IF(LEN('Translation-EN'!C2155)&gt;0,'Translation-EN'!C2155,"")</f>
        <v>D261</v>
      </c>
      <c r="D2155" s="888" t="str">
        <f>IF(LEN('Translation-EN'!D2155)&gt;0,'Translation-EN'!D2155,"")</f>
        <v/>
      </c>
      <c r="E2155" s="893" t="s">
        <v>6372</v>
      </c>
      <c r="I2155" s="888"/>
      <c r="J2155" s="888"/>
      <c r="K2155" s="888"/>
      <c r="L2155" s="888"/>
      <c r="M2155" s="888"/>
      <c r="N2155" s="888"/>
      <c r="O2155" s="888"/>
      <c r="P2155" s="888"/>
      <c r="Q2155" s="888"/>
      <c r="R2155" s="888"/>
    </row>
    <row r="2156" spans="1:18" s="893" customFormat="1" x14ac:dyDescent="0.3">
      <c r="A2156" s="888" t="str">
        <f>IF(LEN('Translation-EN'!A2156)&gt;0,'Translation-EN'!A2156,"")</f>
        <v>Range</v>
      </c>
      <c r="B2156" s="888" t="str">
        <f>IF(LEN('Translation-EN'!B2156)&gt;0,'Translation-EN'!B2156,"")</f>
        <v>Master sheet</v>
      </c>
      <c r="C2156" s="888" t="str">
        <f>IF(LEN('Translation-EN'!C2156)&gt;0,'Translation-EN'!C2156,"")</f>
        <v>B262</v>
      </c>
      <c r="D2156" s="888" t="str">
        <f>IF(LEN('Translation-EN'!D2156)&gt;0,'Translation-EN'!D2156,"")</f>
        <v/>
      </c>
      <c r="E2156" s="893" t="str">
        <f>$E$2147</f>
        <v>Contreplaqué</v>
      </c>
      <c r="I2156" s="888"/>
      <c r="J2156" s="888"/>
      <c r="K2156" s="888"/>
      <c r="L2156" s="888"/>
      <c r="M2156" s="888"/>
      <c r="N2156" s="888"/>
      <c r="O2156" s="888"/>
      <c r="P2156" s="888"/>
      <c r="Q2156" s="888"/>
      <c r="R2156" s="888"/>
    </row>
    <row r="2157" spans="1:18" s="893" customFormat="1" x14ac:dyDescent="0.3">
      <c r="A2157" s="888" t="str">
        <f>IF(LEN('Translation-EN'!A2157)&gt;0,'Translation-EN'!A2157,"")</f>
        <v>Range</v>
      </c>
      <c r="B2157" s="888" t="str">
        <f>IF(LEN('Translation-EN'!B2157)&gt;0,'Translation-EN'!B2157,"")</f>
        <v>Master sheet</v>
      </c>
      <c r="C2157" s="888" t="str">
        <f>IF(LEN('Translation-EN'!C2157)&gt;0,'Translation-EN'!C2157,"")</f>
        <v>C262</v>
      </c>
      <c r="D2157" s="888" t="str">
        <f>IF(LEN('Translation-EN'!D2157)&gt;0,'Translation-EN'!D2157,"")</f>
        <v/>
      </c>
      <c r="E2157" s="893" t="str">
        <f>$E$2154</f>
        <v>Moyenne Colombie-Britannique</v>
      </c>
      <c r="I2157" s="888"/>
      <c r="J2157" s="888"/>
      <c r="K2157" s="888"/>
      <c r="L2157" s="888"/>
      <c r="M2157" s="888"/>
      <c r="N2157" s="888"/>
      <c r="O2157" s="888"/>
      <c r="P2157" s="888"/>
      <c r="Q2157" s="888"/>
      <c r="R2157" s="888"/>
    </row>
    <row r="2158" spans="1:18" s="893" customFormat="1" x14ac:dyDescent="0.3">
      <c r="A2158" s="888" t="str">
        <f>IF(LEN('Translation-EN'!A2158)&gt;0,'Translation-EN'!A2158,"")</f>
        <v>Range</v>
      </c>
      <c r="B2158" s="888" t="str">
        <f>IF(LEN('Translation-EN'!B2158)&gt;0,'Translation-EN'!B2158,"")</f>
        <v>Master sheet</v>
      </c>
      <c r="C2158" s="888" t="str">
        <f>IF(LEN('Translation-EN'!C2158)&gt;0,'Translation-EN'!C2158,"")</f>
        <v>D262</v>
      </c>
      <c r="D2158" s="888" t="str">
        <f>IF(LEN('Translation-EN'!D2158)&gt;0,'Translation-EN'!D2158,"")</f>
        <v/>
      </c>
      <c r="E2158" s="893" t="str">
        <f>$E$2155</f>
        <v>Inclut : West Fraser Mills, Thompson River Veneer Products</v>
      </c>
      <c r="I2158" s="888"/>
      <c r="J2158" s="888"/>
      <c r="K2158" s="888"/>
      <c r="L2158" s="888"/>
      <c r="M2158" s="888"/>
      <c r="N2158" s="888"/>
      <c r="O2158" s="888"/>
      <c r="P2158" s="888"/>
      <c r="Q2158" s="888"/>
      <c r="R2158" s="888"/>
    </row>
    <row r="2159" spans="1:18" s="893" customFormat="1" x14ac:dyDescent="0.3">
      <c r="A2159" s="888" t="str">
        <f>IF(LEN('Translation-EN'!A2159)&gt;0,'Translation-EN'!A2159,"")</f>
        <v>Range</v>
      </c>
      <c r="B2159" s="888" t="str">
        <f>IF(LEN('Translation-EN'!B2159)&gt;0,'Translation-EN'!B2159,"")</f>
        <v>Master sheet</v>
      </c>
      <c r="C2159" s="888" t="str">
        <f>IF(LEN('Translation-EN'!C2159)&gt;0,'Translation-EN'!C2159,"")</f>
        <v>B263</v>
      </c>
      <c r="D2159" s="888" t="str">
        <f>IF(LEN('Translation-EN'!D2159)&gt;0,'Translation-EN'!D2159,"")</f>
        <v/>
      </c>
      <c r="E2159" s="893" t="str">
        <f>$E$2147</f>
        <v>Contreplaqué</v>
      </c>
      <c r="I2159" s="888"/>
      <c r="J2159" s="888"/>
      <c r="K2159" s="888"/>
      <c r="L2159" s="888"/>
      <c r="M2159" s="888"/>
      <c r="N2159" s="888"/>
      <c r="O2159" s="888"/>
      <c r="P2159" s="888"/>
      <c r="Q2159" s="888"/>
      <c r="R2159" s="888"/>
    </row>
    <row r="2160" spans="1:18" s="893" customFormat="1" x14ac:dyDescent="0.3">
      <c r="A2160" s="888" t="str">
        <f>IF(LEN('Translation-EN'!A2160)&gt;0,'Translation-EN'!A2160,"")</f>
        <v>Range</v>
      </c>
      <c r="B2160" s="888" t="str">
        <f>IF(LEN('Translation-EN'!B2160)&gt;0,'Translation-EN'!B2160,"")</f>
        <v>Master sheet</v>
      </c>
      <c r="C2160" s="888" t="str">
        <f>IF(LEN('Translation-EN'!C2160)&gt;0,'Translation-EN'!C2160,"")</f>
        <v>C263</v>
      </c>
      <c r="D2160" s="888" t="str">
        <f>IF(LEN('Translation-EN'!D2160)&gt;0,'Translation-EN'!D2160,"")</f>
        <v/>
      </c>
      <c r="E2160" s="893" t="str">
        <f>$E$2154</f>
        <v>Moyenne Colombie-Britannique</v>
      </c>
      <c r="I2160" s="888"/>
      <c r="J2160" s="888"/>
      <c r="K2160" s="888"/>
      <c r="L2160" s="888"/>
      <c r="M2160" s="888"/>
      <c r="N2160" s="888"/>
      <c r="O2160" s="888"/>
      <c r="P2160" s="888"/>
      <c r="Q2160" s="888"/>
      <c r="R2160" s="888"/>
    </row>
    <row r="2161" spans="1:18" s="893" customFormat="1" x14ac:dyDescent="0.3">
      <c r="A2161" s="888" t="str">
        <f>IF(LEN('Translation-EN'!A2161)&gt;0,'Translation-EN'!A2161,"")</f>
        <v>Range</v>
      </c>
      <c r="B2161" s="888" t="str">
        <f>IF(LEN('Translation-EN'!B2161)&gt;0,'Translation-EN'!B2161,"")</f>
        <v>Master sheet</v>
      </c>
      <c r="C2161" s="888" t="str">
        <f>IF(LEN('Translation-EN'!C2161)&gt;0,'Translation-EN'!C2161,"")</f>
        <v>D263</v>
      </c>
      <c r="D2161" s="888" t="str">
        <f>IF(LEN('Translation-EN'!D2161)&gt;0,'Translation-EN'!D2161,"")</f>
        <v/>
      </c>
      <c r="E2161" s="893" t="str">
        <f>$E$2155</f>
        <v>Inclut : West Fraser Mills, Thompson River Veneer Products</v>
      </c>
      <c r="I2161" s="888"/>
      <c r="J2161" s="888"/>
      <c r="K2161" s="888"/>
      <c r="L2161" s="888"/>
      <c r="M2161" s="888"/>
      <c r="N2161" s="888"/>
      <c r="O2161" s="888"/>
      <c r="P2161" s="888"/>
      <c r="Q2161" s="888"/>
      <c r="R2161" s="888"/>
    </row>
    <row r="2162" spans="1:18" s="893" customFormat="1" x14ac:dyDescent="0.3">
      <c r="A2162" s="888" t="str">
        <f>IF(LEN('Translation-EN'!A2162)&gt;0,'Translation-EN'!A2162,"")</f>
        <v>Range</v>
      </c>
      <c r="B2162" s="888" t="str">
        <f>IF(LEN('Translation-EN'!B2162)&gt;0,'Translation-EN'!B2162,"")</f>
        <v>Master sheet</v>
      </c>
      <c r="C2162" s="888" t="str">
        <f>IF(LEN('Translation-EN'!C2162)&gt;0,'Translation-EN'!C2162,"")</f>
        <v>B264</v>
      </c>
      <c r="D2162" s="888" t="str">
        <f>IF(LEN('Translation-EN'!D2162)&gt;0,'Translation-EN'!D2162,"")</f>
        <v/>
      </c>
      <c r="E2162" s="893" t="str">
        <f>$E$2147</f>
        <v>Contreplaqué</v>
      </c>
      <c r="I2162" s="888"/>
      <c r="J2162" s="888"/>
      <c r="K2162" s="888"/>
      <c r="L2162" s="888"/>
      <c r="M2162" s="888"/>
      <c r="N2162" s="888"/>
      <c r="O2162" s="888"/>
      <c r="P2162" s="888"/>
      <c r="Q2162" s="888"/>
      <c r="R2162" s="888"/>
    </row>
    <row r="2163" spans="1:18" s="893" customFormat="1" x14ac:dyDescent="0.3">
      <c r="A2163" s="888" t="str">
        <f>IF(LEN('Translation-EN'!A2163)&gt;0,'Translation-EN'!A2163,"")</f>
        <v>Range</v>
      </c>
      <c r="B2163" s="888" t="str">
        <f>IF(LEN('Translation-EN'!B2163)&gt;0,'Translation-EN'!B2163,"")</f>
        <v>Master sheet</v>
      </c>
      <c r="C2163" s="888" t="str">
        <f>IF(LEN('Translation-EN'!C2163)&gt;0,'Translation-EN'!C2163,"")</f>
        <v>C264</v>
      </c>
      <c r="D2163" s="888" t="str">
        <f>IF(LEN('Translation-EN'!D2163)&gt;0,'Translation-EN'!D2163,"")</f>
        <v/>
      </c>
      <c r="E2163" s="893" t="s">
        <v>726</v>
      </c>
      <c r="I2163" s="888"/>
      <c r="J2163" s="888"/>
      <c r="K2163" s="888"/>
      <c r="L2163" s="888"/>
      <c r="M2163" s="888"/>
      <c r="N2163" s="888"/>
      <c r="O2163" s="888"/>
      <c r="P2163" s="888"/>
      <c r="Q2163" s="888"/>
      <c r="R2163" s="888"/>
    </row>
    <row r="2164" spans="1:18" s="893" customFormat="1" x14ac:dyDescent="0.3">
      <c r="A2164" s="888" t="str">
        <f>IF(LEN('Translation-EN'!A2164)&gt;0,'Translation-EN'!A2164,"")</f>
        <v>Range</v>
      </c>
      <c r="B2164" s="888" t="str">
        <f>IF(LEN('Translation-EN'!B2164)&gt;0,'Translation-EN'!B2164,"")</f>
        <v>Master sheet</v>
      </c>
      <c r="C2164" s="888" t="str">
        <f>IF(LEN('Translation-EN'!C2164)&gt;0,'Translation-EN'!C2164,"")</f>
        <v>D264</v>
      </c>
      <c r="D2164" s="888" t="str">
        <f>IF(LEN('Translation-EN'!D2164)&gt;0,'Translation-EN'!D2164,"")</f>
        <v/>
      </c>
      <c r="E2164" s="893" t="s">
        <v>6373</v>
      </c>
      <c r="I2164" s="888"/>
      <c r="J2164" s="888"/>
      <c r="K2164" s="888"/>
      <c r="L2164" s="888"/>
      <c r="M2164" s="888"/>
      <c r="N2164" s="888"/>
      <c r="O2164" s="888"/>
      <c r="P2164" s="888"/>
      <c r="Q2164" s="888"/>
      <c r="R2164" s="888"/>
    </row>
    <row r="2165" spans="1:18" s="893" customFormat="1" x14ac:dyDescent="0.3">
      <c r="A2165" s="888" t="str">
        <f>IF(LEN('Translation-EN'!A2165)&gt;0,'Translation-EN'!A2165,"")</f>
        <v>Range</v>
      </c>
      <c r="B2165" s="888" t="str">
        <f>IF(LEN('Translation-EN'!B2165)&gt;0,'Translation-EN'!B2165,"")</f>
        <v>Master sheet</v>
      </c>
      <c r="C2165" s="888" t="str">
        <f>IF(LEN('Translation-EN'!C2165)&gt;0,'Translation-EN'!C2165,"")</f>
        <v>B265</v>
      </c>
      <c r="D2165" s="888" t="str">
        <f>IF(LEN('Translation-EN'!D2165)&gt;0,'Translation-EN'!D2165,"")</f>
        <v/>
      </c>
      <c r="E2165" s="893" t="str">
        <f>$E$2147</f>
        <v>Contreplaqué</v>
      </c>
      <c r="I2165" s="888"/>
      <c r="J2165" s="888"/>
      <c r="K2165" s="888"/>
      <c r="L2165" s="888"/>
      <c r="M2165" s="888"/>
      <c r="N2165" s="888"/>
      <c r="O2165" s="888"/>
      <c r="P2165" s="888"/>
      <c r="Q2165" s="888"/>
      <c r="R2165" s="888"/>
    </row>
    <row r="2166" spans="1:18" s="893" customFormat="1" x14ac:dyDescent="0.3">
      <c r="A2166" s="888" t="str">
        <f>IF(LEN('Translation-EN'!A2166)&gt;0,'Translation-EN'!A2166,"")</f>
        <v>Range</v>
      </c>
      <c r="B2166" s="888" t="str">
        <f>IF(LEN('Translation-EN'!B2166)&gt;0,'Translation-EN'!B2166,"")</f>
        <v>Master sheet</v>
      </c>
      <c r="C2166" s="888" t="str">
        <f>IF(LEN('Translation-EN'!C2166)&gt;0,'Translation-EN'!C2166,"")</f>
        <v>C265</v>
      </c>
      <c r="D2166" s="888" t="str">
        <f>IF(LEN('Translation-EN'!D2166)&gt;0,'Translation-EN'!D2166,"")</f>
        <v/>
      </c>
      <c r="E2166" s="893" t="str">
        <f>$E$2163</f>
        <v>Roseburg</v>
      </c>
      <c r="I2166" s="888"/>
      <c r="J2166" s="888"/>
      <c r="K2166" s="888"/>
      <c r="L2166" s="888"/>
      <c r="M2166" s="888"/>
      <c r="N2166" s="888"/>
      <c r="O2166" s="888"/>
      <c r="P2166" s="888"/>
      <c r="Q2166" s="888"/>
      <c r="R2166" s="888"/>
    </row>
    <row r="2167" spans="1:18" s="893" customFormat="1" x14ac:dyDescent="0.3">
      <c r="A2167" s="888" t="str">
        <f>IF(LEN('Translation-EN'!A2167)&gt;0,'Translation-EN'!A2167,"")</f>
        <v>Range</v>
      </c>
      <c r="B2167" s="888" t="str">
        <f>IF(LEN('Translation-EN'!B2167)&gt;0,'Translation-EN'!B2167,"")</f>
        <v>Master sheet</v>
      </c>
      <c r="C2167" s="888" t="str">
        <f>IF(LEN('Translation-EN'!C2167)&gt;0,'Translation-EN'!C2167,"")</f>
        <v>D265</v>
      </c>
      <c r="D2167" s="888" t="str">
        <f>IF(LEN('Translation-EN'!D2167)&gt;0,'Translation-EN'!D2167,"")</f>
        <v/>
      </c>
      <c r="E2167" s="893" t="s">
        <v>6374</v>
      </c>
      <c r="I2167" s="888"/>
      <c r="J2167" s="888"/>
      <c r="K2167" s="888"/>
      <c r="L2167" s="888"/>
      <c r="M2167" s="888"/>
      <c r="N2167" s="888"/>
      <c r="O2167" s="888"/>
      <c r="P2167" s="888"/>
      <c r="Q2167" s="888"/>
      <c r="R2167" s="888"/>
    </row>
    <row r="2168" spans="1:18" s="893" customFormat="1" x14ac:dyDescent="0.3">
      <c r="A2168" s="888" t="str">
        <f>IF(LEN('Translation-EN'!A2168)&gt;0,'Translation-EN'!A2168,"")</f>
        <v>Range</v>
      </c>
      <c r="B2168" s="888" t="str">
        <f>IF(LEN('Translation-EN'!B2168)&gt;0,'Translation-EN'!B2168,"")</f>
        <v>Master sheet</v>
      </c>
      <c r="C2168" s="888" t="str">
        <f>IF(LEN('Translation-EN'!C2168)&gt;0,'Translation-EN'!C2168,"")</f>
        <v>B266</v>
      </c>
      <c r="D2168" s="888" t="str">
        <f>IF(LEN('Translation-EN'!D2168)&gt;0,'Translation-EN'!D2168,"")</f>
        <v/>
      </c>
      <c r="E2168" s="893" t="str">
        <f>$E$2147</f>
        <v>Contreplaqué</v>
      </c>
      <c r="I2168" s="888"/>
      <c r="J2168" s="888"/>
      <c r="K2168" s="888"/>
      <c r="L2168" s="888"/>
      <c r="M2168" s="888"/>
      <c r="N2168" s="888"/>
      <c r="O2168" s="888"/>
      <c r="P2168" s="888"/>
      <c r="Q2168" s="888"/>
      <c r="R2168" s="888"/>
    </row>
    <row r="2169" spans="1:18" s="893" customFormat="1" x14ac:dyDescent="0.3">
      <c r="A2169" s="888" t="str">
        <f>IF(LEN('Translation-EN'!A2169)&gt;0,'Translation-EN'!A2169,"")</f>
        <v>Range</v>
      </c>
      <c r="B2169" s="888" t="str">
        <f>IF(LEN('Translation-EN'!B2169)&gt;0,'Translation-EN'!B2169,"")</f>
        <v>Master sheet</v>
      </c>
      <c r="C2169" s="888" t="str">
        <f>IF(LEN('Translation-EN'!C2169)&gt;0,'Translation-EN'!C2169,"")</f>
        <v>C266</v>
      </c>
      <c r="D2169" s="888" t="str">
        <f>IF(LEN('Translation-EN'!D2169)&gt;0,'Translation-EN'!D2169,"")</f>
        <v/>
      </c>
      <c r="E2169" s="893" t="str">
        <f>$E$2163</f>
        <v>Roseburg</v>
      </c>
      <c r="I2169" s="888"/>
      <c r="J2169" s="888"/>
      <c r="K2169" s="888"/>
      <c r="L2169" s="888"/>
      <c r="M2169" s="888"/>
      <c r="N2169" s="888"/>
      <c r="O2169" s="888"/>
      <c r="P2169" s="888"/>
      <c r="Q2169" s="888"/>
      <c r="R2169" s="888"/>
    </row>
    <row r="2170" spans="1:18" s="893" customFormat="1" x14ac:dyDescent="0.3">
      <c r="A2170" s="888" t="str">
        <f>IF(LEN('Translation-EN'!A2170)&gt;0,'Translation-EN'!A2170,"")</f>
        <v>Range</v>
      </c>
      <c r="B2170" s="888" t="str">
        <f>IF(LEN('Translation-EN'!B2170)&gt;0,'Translation-EN'!B2170,"")</f>
        <v>Master sheet</v>
      </c>
      <c r="C2170" s="888" t="str">
        <f>IF(LEN('Translation-EN'!C2170)&gt;0,'Translation-EN'!C2170,"")</f>
        <v>D266</v>
      </c>
      <c r="D2170" s="888" t="str">
        <f>IF(LEN('Translation-EN'!D2170)&gt;0,'Translation-EN'!D2170,"")</f>
        <v/>
      </c>
      <c r="E2170" s="893" t="str">
        <f>$E$2167</f>
        <v>Contreplaqué bois résineux</v>
      </c>
      <c r="I2170" s="888"/>
      <c r="J2170" s="888"/>
      <c r="K2170" s="888"/>
      <c r="L2170" s="888"/>
      <c r="M2170" s="888"/>
      <c r="N2170" s="888"/>
      <c r="O2170" s="888"/>
      <c r="P2170" s="888"/>
      <c r="Q2170" s="888"/>
      <c r="R2170" s="888"/>
    </row>
    <row r="2171" spans="1:18" s="893" customFormat="1" x14ac:dyDescent="0.3">
      <c r="A2171" s="888" t="str">
        <f>IF(LEN('Translation-EN'!A2171)&gt;0,'Translation-EN'!A2171,"")</f>
        <v>Range</v>
      </c>
      <c r="B2171" s="888" t="str">
        <f>IF(LEN('Translation-EN'!B2171)&gt;0,'Translation-EN'!B2171,"")</f>
        <v>Master sheet</v>
      </c>
      <c r="C2171" s="888" t="str">
        <f>IF(LEN('Translation-EN'!C2171)&gt;0,'Translation-EN'!C2171,"")</f>
        <v>B268</v>
      </c>
      <c r="D2171" s="888" t="str">
        <f>IF(LEN('Translation-EN'!D2171)&gt;0,'Translation-EN'!D2171,"")</f>
        <v/>
      </c>
      <c r="E2171" s="1055" t="s">
        <v>6375</v>
      </c>
      <c r="I2171" s="888"/>
      <c r="J2171" s="888"/>
      <c r="K2171" s="888"/>
      <c r="L2171" s="888"/>
      <c r="M2171" s="888"/>
      <c r="N2171" s="888"/>
      <c r="O2171" s="888"/>
      <c r="P2171" s="888"/>
      <c r="Q2171" s="888"/>
      <c r="R2171" s="888"/>
    </row>
    <row r="2172" spans="1:18" s="893" customFormat="1" x14ac:dyDescent="0.3">
      <c r="A2172" s="888" t="str">
        <f>IF(LEN('Translation-EN'!A2172)&gt;0,'Translation-EN'!A2172,"")</f>
        <v>Range</v>
      </c>
      <c r="B2172" s="888" t="str">
        <f>IF(LEN('Translation-EN'!B2172)&gt;0,'Translation-EN'!B2172,"")</f>
        <v>Master sheet</v>
      </c>
      <c r="C2172" s="888" t="str">
        <f>IF(LEN('Translation-EN'!C2172)&gt;0,'Translation-EN'!C2172,"")</f>
        <v>C268</v>
      </c>
      <c r="D2172" s="888" t="str">
        <f>IF(LEN('Translation-EN'!D2172)&gt;0,'Translation-EN'!D2172,"")</f>
        <v/>
      </c>
      <c r="E2172" s="893" t="s">
        <v>539</v>
      </c>
      <c r="I2172" s="888"/>
      <c r="J2172" s="888"/>
      <c r="K2172" s="888"/>
      <c r="L2172" s="888"/>
      <c r="M2172" s="888"/>
      <c r="N2172" s="888"/>
      <c r="O2172" s="888"/>
      <c r="P2172" s="888"/>
      <c r="Q2172" s="888"/>
      <c r="R2172" s="888"/>
    </row>
    <row r="2173" spans="1:18" s="893" customFormat="1" x14ac:dyDescent="0.3">
      <c r="A2173" s="888" t="str">
        <f>IF(LEN('Translation-EN'!A2173)&gt;0,'Translation-EN'!A2173,"")</f>
        <v>Range</v>
      </c>
      <c r="B2173" s="888" t="str">
        <f>IF(LEN('Translation-EN'!B2173)&gt;0,'Translation-EN'!B2173,"")</f>
        <v>Master sheet</v>
      </c>
      <c r="C2173" s="888" t="str">
        <f>IF(LEN('Translation-EN'!C2173)&gt;0,'Translation-EN'!C2173,"")</f>
        <v>D268</v>
      </c>
      <c r="D2173" s="888" t="str">
        <f>IF(LEN('Translation-EN'!D2173)&gt;0,'Translation-EN'!D2173,"")</f>
        <v/>
      </c>
      <c r="E2173" s="893" t="s">
        <v>3514</v>
      </c>
      <c r="I2173" s="888"/>
      <c r="J2173" s="888"/>
      <c r="K2173" s="888"/>
      <c r="L2173" s="888"/>
      <c r="M2173" s="888"/>
      <c r="N2173" s="888"/>
      <c r="O2173" s="888"/>
      <c r="P2173" s="888"/>
      <c r="Q2173" s="888"/>
      <c r="R2173" s="888"/>
    </row>
    <row r="2174" spans="1:18" s="893" customFormat="1" x14ac:dyDescent="0.3">
      <c r="A2174" s="888" t="str">
        <f>IF(LEN('Translation-EN'!A2174)&gt;0,'Translation-EN'!A2174,"")</f>
        <v>Range</v>
      </c>
      <c r="B2174" s="888" t="str">
        <f>IF(LEN('Translation-EN'!B2174)&gt;0,'Translation-EN'!B2174,"")</f>
        <v>Master sheet</v>
      </c>
      <c r="C2174" s="888" t="str">
        <f>IF(LEN('Translation-EN'!C2174)&gt;0,'Translation-EN'!C2174,"")</f>
        <v>E268</v>
      </c>
      <c r="D2174" s="888" t="str">
        <f>IF(LEN('Translation-EN'!D2174)&gt;0,'Translation-EN'!D2174,"")</f>
        <v/>
      </c>
      <c r="E2174" s="893" t="s">
        <v>6376</v>
      </c>
      <c r="I2174" s="888"/>
      <c r="J2174" s="888"/>
      <c r="K2174" s="888"/>
      <c r="L2174" s="888"/>
      <c r="M2174" s="888"/>
      <c r="N2174" s="888"/>
      <c r="O2174" s="888"/>
      <c r="P2174" s="888"/>
      <c r="Q2174" s="888"/>
      <c r="R2174" s="888"/>
    </row>
    <row r="2175" spans="1:18" s="893" customFormat="1" x14ac:dyDescent="0.3">
      <c r="A2175" s="888" t="str">
        <f>IF(LEN('Translation-EN'!A2175)&gt;0,'Translation-EN'!A2175,"")</f>
        <v>Range</v>
      </c>
      <c r="B2175" s="888" t="str">
        <f>IF(LEN('Translation-EN'!B2175)&gt;0,'Translation-EN'!B2175,"")</f>
        <v>Master sheet</v>
      </c>
      <c r="C2175" s="888" t="str">
        <f>IF(LEN('Translation-EN'!C2175)&gt;0,'Translation-EN'!C2175,"")</f>
        <v>B271</v>
      </c>
      <c r="D2175" s="888" t="str">
        <f>IF(LEN('Translation-EN'!D2175)&gt;0,'Translation-EN'!D2175,"")</f>
        <v/>
      </c>
      <c r="E2175" s="893" t="str">
        <f>$E$2171</f>
        <v>Polyiso – panneaux de toiture</v>
      </c>
      <c r="I2175" s="888"/>
      <c r="J2175" s="888"/>
      <c r="K2175" s="888"/>
      <c r="L2175" s="888"/>
      <c r="M2175" s="888"/>
      <c r="N2175" s="888"/>
      <c r="O2175" s="888"/>
      <c r="P2175" s="888"/>
      <c r="Q2175" s="888"/>
      <c r="R2175" s="888"/>
    </row>
    <row r="2176" spans="1:18" s="893" customFormat="1" x14ac:dyDescent="0.3">
      <c r="A2176" s="888" t="str">
        <f>IF(LEN('Translation-EN'!A2176)&gt;0,'Translation-EN'!A2176,"")</f>
        <v>Range</v>
      </c>
      <c r="B2176" s="888" t="str">
        <f>IF(LEN('Translation-EN'!B2176)&gt;0,'Translation-EN'!B2176,"")</f>
        <v>Master sheet</v>
      </c>
      <c r="C2176" s="888" t="str">
        <f>IF(LEN('Translation-EN'!C2176)&gt;0,'Translation-EN'!C2176,"")</f>
        <v>C271</v>
      </c>
      <c r="D2176" s="888" t="str">
        <f>IF(LEN('Translation-EN'!D2176)&gt;0,'Translation-EN'!D2176,"")</f>
        <v/>
      </c>
      <c r="E2176" s="893" t="s">
        <v>542</v>
      </c>
      <c r="I2176" s="888"/>
      <c r="J2176" s="888"/>
      <c r="K2176" s="888"/>
      <c r="L2176" s="888"/>
      <c r="M2176" s="888"/>
      <c r="N2176" s="888"/>
      <c r="O2176" s="888"/>
      <c r="P2176" s="888"/>
      <c r="Q2176" s="888"/>
      <c r="R2176" s="888"/>
    </row>
    <row r="2177" spans="1:18" s="893" customFormat="1" x14ac:dyDescent="0.3">
      <c r="A2177" s="888" t="str">
        <f>IF(LEN('Translation-EN'!A2177)&gt;0,'Translation-EN'!A2177,"")</f>
        <v>Range</v>
      </c>
      <c r="B2177" s="888" t="str">
        <f>IF(LEN('Translation-EN'!B2177)&gt;0,'Translation-EN'!B2177,"")</f>
        <v>Master sheet</v>
      </c>
      <c r="C2177" s="888" t="str">
        <f>IF(LEN('Translation-EN'!C2177)&gt;0,'Translation-EN'!C2177,"")</f>
        <v>D271</v>
      </c>
      <c r="D2177" s="888" t="str">
        <f>IF(LEN('Translation-EN'!D2177)&gt;0,'Translation-EN'!D2177,"")</f>
        <v/>
      </c>
      <c r="E2177" s="893" t="s">
        <v>4399</v>
      </c>
      <c r="I2177" s="888"/>
      <c r="J2177" s="888"/>
      <c r="K2177" s="888"/>
      <c r="L2177" s="888"/>
      <c r="M2177" s="888"/>
      <c r="N2177" s="888"/>
      <c r="O2177" s="888"/>
      <c r="P2177" s="888"/>
      <c r="Q2177" s="888"/>
      <c r="R2177" s="888"/>
    </row>
    <row r="2178" spans="1:18" s="893" customFormat="1" x14ac:dyDescent="0.3">
      <c r="A2178" s="888" t="str">
        <f>IF(LEN('Translation-EN'!A2178)&gt;0,'Translation-EN'!A2178,"")</f>
        <v>Range</v>
      </c>
      <c r="B2178" s="888" t="str">
        <f>IF(LEN('Translation-EN'!B2178)&gt;0,'Translation-EN'!B2178,"")</f>
        <v>Master sheet</v>
      </c>
      <c r="C2178" s="888" t="str">
        <f>IF(LEN('Translation-EN'!C2178)&gt;0,'Translation-EN'!C2178,"")</f>
        <v>E271</v>
      </c>
      <c r="D2178" s="888" t="str">
        <f>IF(LEN('Translation-EN'!D2178)&gt;0,'Translation-EN'!D2178,"")</f>
        <v/>
      </c>
      <c r="E2178" s="893" t="str">
        <f>$E$2174</f>
        <v>Revêtement GRF / Type II R 5,6'', 16 psi</v>
      </c>
      <c r="I2178" s="888"/>
      <c r="J2178" s="888"/>
      <c r="K2178" s="888"/>
      <c r="L2178" s="888"/>
      <c r="M2178" s="888"/>
      <c r="N2178" s="888"/>
      <c r="O2178" s="888"/>
      <c r="P2178" s="888"/>
      <c r="Q2178" s="888"/>
      <c r="R2178" s="888"/>
    </row>
    <row r="2179" spans="1:18" s="893" customFormat="1" x14ac:dyDescent="0.3">
      <c r="A2179" s="888" t="str">
        <f>IF(LEN('Translation-EN'!A2179)&gt;0,'Translation-EN'!A2179,"")</f>
        <v>Range</v>
      </c>
      <c r="B2179" s="888" t="str">
        <f>IF(LEN('Translation-EN'!B2179)&gt;0,'Translation-EN'!B2179,"")</f>
        <v>Master sheet</v>
      </c>
      <c r="C2179" s="888" t="str">
        <f>IF(LEN('Translation-EN'!C2179)&gt;0,'Translation-EN'!C2179,"")</f>
        <v>B274</v>
      </c>
      <c r="D2179" s="888" t="str">
        <f>IF(LEN('Translation-EN'!D2179)&gt;0,'Translation-EN'!D2179,"")</f>
        <v/>
      </c>
      <c r="E2179" s="893" t="str">
        <f>$E$2171</f>
        <v>Polyiso – panneaux de toiture</v>
      </c>
      <c r="I2179" s="888"/>
      <c r="J2179" s="888"/>
      <c r="K2179" s="888"/>
      <c r="L2179" s="888"/>
      <c r="M2179" s="888"/>
      <c r="N2179" s="888"/>
      <c r="O2179" s="888"/>
      <c r="P2179" s="888"/>
      <c r="Q2179" s="888"/>
      <c r="R2179" s="888"/>
    </row>
    <row r="2180" spans="1:18" s="893" customFormat="1" x14ac:dyDescent="0.3">
      <c r="A2180" s="888" t="str">
        <f>IF(LEN('Translation-EN'!A2180)&gt;0,'Translation-EN'!A2180,"")</f>
        <v>Range</v>
      </c>
      <c r="B2180" s="888" t="str">
        <f>IF(LEN('Translation-EN'!B2180)&gt;0,'Translation-EN'!B2180,"")</f>
        <v>Master sheet</v>
      </c>
      <c r="C2180" s="888" t="str">
        <f>IF(LEN('Translation-EN'!C2180)&gt;0,'Translation-EN'!C2180,"")</f>
        <v>C274</v>
      </c>
      <c r="D2180" s="888" t="str">
        <f>IF(LEN('Translation-EN'!D2180)&gt;0,'Translation-EN'!D2180,"")</f>
        <v/>
      </c>
      <c r="E2180" s="901" t="s">
        <v>545</v>
      </c>
      <c r="I2180" s="888"/>
      <c r="J2180" s="888"/>
      <c r="K2180" s="888"/>
      <c r="L2180" s="888"/>
      <c r="M2180" s="888"/>
      <c r="N2180" s="888"/>
      <c r="O2180" s="888"/>
      <c r="P2180" s="888"/>
      <c r="Q2180" s="888"/>
      <c r="R2180" s="888"/>
    </row>
    <row r="2181" spans="1:18" s="893" customFormat="1" x14ac:dyDescent="0.3">
      <c r="A2181" s="888" t="str">
        <f>IF(LEN('Translation-EN'!A2181)&gt;0,'Translation-EN'!A2181,"")</f>
        <v>Range</v>
      </c>
      <c r="B2181" s="888" t="str">
        <f>IF(LEN('Translation-EN'!B2181)&gt;0,'Translation-EN'!B2181,"")</f>
        <v>Master sheet</v>
      </c>
      <c r="C2181" s="888" t="str">
        <f>IF(LEN('Translation-EN'!C2181)&gt;0,'Translation-EN'!C2181,"")</f>
        <v>D274</v>
      </c>
      <c r="D2181" s="888" t="str">
        <f>IF(LEN('Translation-EN'!D2181)&gt;0,'Translation-EN'!D2181,"")</f>
        <v/>
      </c>
      <c r="E2181" s="893" t="s">
        <v>6377</v>
      </c>
      <c r="I2181" s="888"/>
      <c r="J2181" s="888"/>
      <c r="K2181" s="888"/>
      <c r="L2181" s="888"/>
      <c r="M2181" s="888"/>
      <c r="N2181" s="888"/>
      <c r="O2181" s="888"/>
      <c r="P2181" s="888"/>
      <c r="Q2181" s="888"/>
      <c r="R2181" s="888"/>
    </row>
    <row r="2182" spans="1:18" s="893" customFormat="1" x14ac:dyDescent="0.3">
      <c r="A2182" s="888" t="str">
        <f>IF(LEN('Translation-EN'!A2182)&gt;0,'Translation-EN'!A2182,"")</f>
        <v>Range</v>
      </c>
      <c r="B2182" s="888" t="str">
        <f>IF(LEN('Translation-EN'!B2182)&gt;0,'Translation-EN'!B2182,"")</f>
        <v>Master sheet</v>
      </c>
      <c r="C2182" s="888" t="str">
        <f>IF(LEN('Translation-EN'!C2182)&gt;0,'Translation-EN'!C2182,"")</f>
        <v>E274</v>
      </c>
      <c r="D2182" s="888" t="str">
        <f>IF(LEN('Translation-EN'!D2182)&gt;0,'Translation-EN'!D2182,"")</f>
        <v/>
      </c>
      <c r="E2182" s="893" t="s">
        <v>6378</v>
      </c>
      <c r="I2182" s="888"/>
      <c r="J2182" s="888"/>
      <c r="K2182" s="888"/>
      <c r="L2182" s="888"/>
      <c r="M2182" s="888"/>
      <c r="N2182" s="888"/>
      <c r="O2182" s="888"/>
      <c r="P2182" s="888"/>
      <c r="Q2182" s="888"/>
      <c r="R2182" s="888"/>
    </row>
    <row r="2183" spans="1:18" s="893" customFormat="1" x14ac:dyDescent="0.3">
      <c r="A2183" s="888" t="str">
        <f>IF(LEN('Translation-EN'!A2183)&gt;0,'Translation-EN'!A2183,"")</f>
        <v>Range</v>
      </c>
      <c r="B2183" s="888" t="str">
        <f>IF(LEN('Translation-EN'!B2183)&gt;0,'Translation-EN'!B2183,"")</f>
        <v>Master sheet</v>
      </c>
      <c r="C2183" s="888" t="str">
        <f>IF(LEN('Translation-EN'!C2183)&gt;0,'Translation-EN'!C2183,"")</f>
        <v>B276</v>
      </c>
      <c r="D2183" s="888" t="str">
        <f>IF(LEN('Translation-EN'!D2183)&gt;0,'Translation-EN'!D2183,"")</f>
        <v/>
      </c>
      <c r="E2183" s="893" t="str">
        <f>$E$2171</f>
        <v>Polyiso – panneaux de toiture</v>
      </c>
      <c r="I2183" s="888"/>
      <c r="J2183" s="888"/>
      <c r="K2183" s="888"/>
      <c r="L2183" s="888"/>
      <c r="M2183" s="888"/>
      <c r="N2183" s="888"/>
      <c r="O2183" s="888"/>
      <c r="P2183" s="888"/>
      <c r="Q2183" s="888"/>
      <c r="R2183" s="888"/>
    </row>
    <row r="2184" spans="1:18" s="893" customFormat="1" x14ac:dyDescent="0.3">
      <c r="A2184" s="888" t="str">
        <f>IF(LEN('Translation-EN'!A2184)&gt;0,'Translation-EN'!A2184,"")</f>
        <v>Range</v>
      </c>
      <c r="B2184" s="888" t="str">
        <f>IF(LEN('Translation-EN'!B2184)&gt;0,'Translation-EN'!B2184,"")</f>
        <v>Master sheet</v>
      </c>
      <c r="C2184" s="888" t="str">
        <f>IF(LEN('Translation-EN'!C2184)&gt;0,'Translation-EN'!C2184,"")</f>
        <v>C276</v>
      </c>
      <c r="D2184" s="888" t="str">
        <f>IF(LEN('Translation-EN'!D2184)&gt;0,'Translation-EN'!D2184,"")</f>
        <v/>
      </c>
      <c r="E2184" s="893" t="s">
        <v>548</v>
      </c>
      <c r="I2184" s="888"/>
      <c r="J2184" s="888"/>
      <c r="K2184" s="888"/>
      <c r="L2184" s="888"/>
      <c r="M2184" s="888"/>
      <c r="N2184" s="888"/>
      <c r="O2184" s="888"/>
      <c r="P2184" s="888"/>
      <c r="Q2184" s="888"/>
      <c r="R2184" s="888"/>
    </row>
    <row r="2185" spans="1:18" s="893" customFormat="1" x14ac:dyDescent="0.3">
      <c r="A2185" s="888" t="str">
        <f>IF(LEN('Translation-EN'!A2185)&gt;0,'Translation-EN'!A2185,"")</f>
        <v>Range</v>
      </c>
      <c r="B2185" s="888" t="str">
        <f>IF(LEN('Translation-EN'!B2185)&gt;0,'Translation-EN'!B2185,"")</f>
        <v>Master sheet</v>
      </c>
      <c r="C2185" s="888" t="str">
        <f>IF(LEN('Translation-EN'!C2185)&gt;0,'Translation-EN'!C2185,"")</f>
        <v>D276</v>
      </c>
      <c r="D2185" s="888" t="str">
        <f>IF(LEN('Translation-EN'!D2185)&gt;0,'Translation-EN'!D2185,"")</f>
        <v/>
      </c>
      <c r="E2185" s="893" t="s">
        <v>549</v>
      </c>
      <c r="I2185" s="888"/>
      <c r="J2185" s="888"/>
      <c r="K2185" s="888"/>
      <c r="L2185" s="888"/>
      <c r="M2185" s="888"/>
      <c r="N2185" s="888"/>
      <c r="O2185" s="888"/>
      <c r="P2185" s="888"/>
      <c r="Q2185" s="888"/>
      <c r="R2185" s="888"/>
    </row>
    <row r="2186" spans="1:18" s="893" customFormat="1" x14ac:dyDescent="0.3">
      <c r="A2186" s="888" t="str">
        <f>IF(LEN('Translation-EN'!A2186)&gt;0,'Translation-EN'!A2186,"")</f>
        <v>Range</v>
      </c>
      <c r="B2186" s="888" t="str">
        <f>IF(LEN('Translation-EN'!B2186)&gt;0,'Translation-EN'!B2186,"")</f>
        <v>Master sheet</v>
      </c>
      <c r="C2186" s="888" t="str">
        <f>IF(LEN('Translation-EN'!C2186)&gt;0,'Translation-EN'!C2186,"")</f>
        <v>E276</v>
      </c>
      <c r="D2186" s="888" t="str">
        <f>IF(LEN('Translation-EN'!D2186)&gt;0,'Translation-EN'!D2186,"")</f>
        <v/>
      </c>
      <c r="E2186" s="901" t="str">
        <f>$E$2174</f>
        <v>Revêtement GRF / Type II R 5,6'', 16 psi</v>
      </c>
      <c r="I2186" s="888"/>
      <c r="J2186" s="888"/>
      <c r="K2186" s="888"/>
      <c r="L2186" s="888"/>
      <c r="M2186" s="888"/>
      <c r="N2186" s="888"/>
      <c r="O2186" s="888"/>
      <c r="P2186" s="888"/>
      <c r="Q2186" s="888"/>
      <c r="R2186" s="888"/>
    </row>
    <row r="2187" spans="1:18" s="893" customFormat="1" x14ac:dyDescent="0.3">
      <c r="A2187" s="888" t="str">
        <f>IF(LEN('Translation-EN'!A2187)&gt;0,'Translation-EN'!A2187,"")</f>
        <v>Range</v>
      </c>
      <c r="B2187" s="888" t="str">
        <f>IF(LEN('Translation-EN'!B2187)&gt;0,'Translation-EN'!B2187,"")</f>
        <v>Master sheet</v>
      </c>
      <c r="C2187" s="888" t="str">
        <f>IF(LEN('Translation-EN'!C2187)&gt;0,'Translation-EN'!C2187,"")</f>
        <v>B277</v>
      </c>
      <c r="D2187" s="888" t="str">
        <f>IF(LEN('Translation-EN'!D2187)&gt;0,'Translation-EN'!D2187,"")</f>
        <v/>
      </c>
      <c r="E2187" s="893" t="s">
        <v>6379</v>
      </c>
      <c r="I2187" s="888"/>
      <c r="J2187" s="888"/>
      <c r="K2187" s="888"/>
      <c r="L2187" s="888"/>
      <c r="M2187" s="888"/>
      <c r="N2187" s="888"/>
      <c r="O2187" s="888"/>
      <c r="P2187" s="888"/>
      <c r="Q2187" s="888"/>
      <c r="R2187" s="888"/>
    </row>
    <row r="2188" spans="1:18" s="893" customFormat="1" x14ac:dyDescent="0.3">
      <c r="A2188" s="888" t="str">
        <f>IF(LEN('Translation-EN'!A2188)&gt;0,'Translation-EN'!A2188,"")</f>
        <v>Range</v>
      </c>
      <c r="B2188" s="888" t="str">
        <f>IF(LEN('Translation-EN'!B2188)&gt;0,'Translation-EN'!B2188,"")</f>
        <v>Master sheet</v>
      </c>
      <c r="C2188" s="888" t="str">
        <f>IF(LEN('Translation-EN'!C2188)&gt;0,'Translation-EN'!C2188,"")</f>
        <v>C277</v>
      </c>
      <c r="D2188" s="888" t="str">
        <f>IF(LEN('Translation-EN'!D2188)&gt;0,'Translation-EN'!D2188,"")</f>
        <v/>
      </c>
      <c r="E2188" s="893" t="str">
        <f>$E$2172</f>
        <v>Carlisle</v>
      </c>
      <c r="I2188" s="888"/>
      <c r="J2188" s="888"/>
      <c r="K2188" s="888"/>
      <c r="L2188" s="888"/>
      <c r="M2188" s="888"/>
      <c r="N2188" s="888"/>
      <c r="O2188" s="888"/>
      <c r="P2188" s="888"/>
      <c r="Q2188" s="888"/>
      <c r="R2188" s="888"/>
    </row>
    <row r="2189" spans="1:18" s="893" customFormat="1" x14ac:dyDescent="0.3">
      <c r="A2189" s="888" t="str">
        <f>IF(LEN('Translation-EN'!A2189)&gt;0,'Translation-EN'!A2189,"")</f>
        <v>Range</v>
      </c>
      <c r="B2189" s="888" t="str">
        <f>IF(LEN('Translation-EN'!B2189)&gt;0,'Translation-EN'!B2189,"")</f>
        <v>Master sheet</v>
      </c>
      <c r="C2189" s="888" t="str">
        <f>IF(LEN('Translation-EN'!C2189)&gt;0,'Translation-EN'!C2189,"")</f>
        <v>D277</v>
      </c>
      <c r="D2189" s="888" t="str">
        <f>IF(LEN('Translation-EN'!D2189)&gt;0,'Translation-EN'!D2189,"")</f>
        <v/>
      </c>
      <c r="E2189" s="893" t="s">
        <v>4404</v>
      </c>
      <c r="I2189" s="888"/>
      <c r="J2189" s="888"/>
      <c r="K2189" s="888"/>
      <c r="L2189" s="888"/>
      <c r="M2189" s="888"/>
      <c r="N2189" s="888"/>
      <c r="O2189" s="888"/>
      <c r="P2189" s="888"/>
      <c r="Q2189" s="888"/>
      <c r="R2189" s="888"/>
    </row>
    <row r="2190" spans="1:18" s="893" customFormat="1" x14ac:dyDescent="0.3">
      <c r="A2190" s="888" t="str">
        <f>IF(LEN('Translation-EN'!A2190)&gt;0,'Translation-EN'!A2190,"")</f>
        <v>Range</v>
      </c>
      <c r="B2190" s="888" t="str">
        <f>IF(LEN('Translation-EN'!B2190)&gt;0,'Translation-EN'!B2190,"")</f>
        <v>Master sheet</v>
      </c>
      <c r="C2190" s="888" t="str">
        <f>IF(LEN('Translation-EN'!C2190)&gt;0,'Translation-EN'!C2190,"")</f>
        <v>E277</v>
      </c>
      <c r="D2190" s="888" t="str">
        <f>IF(LEN('Translation-EN'!D2190)&gt;0,'Translation-EN'!D2190,"")</f>
        <v/>
      </c>
      <c r="E2190" s="893" t="s">
        <v>6380</v>
      </c>
      <c r="I2190" s="888"/>
      <c r="J2190" s="888"/>
      <c r="K2190" s="888"/>
      <c r="L2190" s="888"/>
      <c r="M2190" s="888"/>
      <c r="N2190" s="888"/>
      <c r="O2190" s="888"/>
      <c r="P2190" s="888"/>
      <c r="Q2190" s="888"/>
      <c r="R2190" s="888"/>
    </row>
    <row r="2191" spans="1:18" s="893" customFormat="1" x14ac:dyDescent="0.3">
      <c r="A2191" s="888" t="str">
        <f>IF(LEN('Translation-EN'!A2191)&gt;0,'Translation-EN'!A2191,"")</f>
        <v>Range</v>
      </c>
      <c r="B2191" s="888" t="str">
        <f>IF(LEN('Translation-EN'!B2191)&gt;0,'Translation-EN'!B2191,"")</f>
        <v>Master sheet</v>
      </c>
      <c r="C2191" s="888" t="str">
        <f>IF(LEN('Translation-EN'!C2191)&gt;0,'Translation-EN'!C2191,"")</f>
        <v>B278</v>
      </c>
      <c r="D2191" s="888" t="str">
        <f>IF(LEN('Translation-EN'!D2191)&gt;0,'Translation-EN'!D2191,"")</f>
        <v/>
      </c>
      <c r="E2191" s="893" t="str">
        <f>$E$2187</f>
        <v>Polyisocyanurate – panneaux toiture</v>
      </c>
      <c r="I2191" s="888"/>
      <c r="J2191" s="888"/>
      <c r="K2191" s="888"/>
      <c r="L2191" s="888"/>
      <c r="M2191" s="888"/>
      <c r="N2191" s="888"/>
      <c r="O2191" s="888"/>
      <c r="P2191" s="888"/>
      <c r="Q2191" s="888"/>
      <c r="R2191" s="888"/>
    </row>
    <row r="2192" spans="1:18" s="893" customFormat="1" x14ac:dyDescent="0.3">
      <c r="A2192" s="888" t="str">
        <f>IF(LEN('Translation-EN'!A2192)&gt;0,'Translation-EN'!A2192,"")</f>
        <v>Range</v>
      </c>
      <c r="B2192" s="888" t="str">
        <f>IF(LEN('Translation-EN'!B2192)&gt;0,'Translation-EN'!B2192,"")</f>
        <v>Master sheet</v>
      </c>
      <c r="C2192" s="888" t="str">
        <f>IF(LEN('Translation-EN'!C2192)&gt;0,'Translation-EN'!C2192,"")</f>
        <v>C278</v>
      </c>
      <c r="D2192" s="888" t="str">
        <f>IF(LEN('Translation-EN'!D2192)&gt;0,'Translation-EN'!D2192,"")</f>
        <v/>
      </c>
      <c r="E2192" s="901" t="str">
        <f>$E$2176</f>
        <v>Hunter</v>
      </c>
      <c r="I2192" s="888"/>
      <c r="J2192" s="888"/>
      <c r="K2192" s="888"/>
      <c r="L2192" s="888"/>
      <c r="M2192" s="888"/>
      <c r="N2192" s="888"/>
      <c r="O2192" s="888"/>
      <c r="P2192" s="888"/>
      <c r="Q2192" s="888"/>
      <c r="R2192" s="888"/>
    </row>
    <row r="2193" spans="1:18" s="893" customFormat="1" x14ac:dyDescent="0.3">
      <c r="A2193" s="888" t="str">
        <f>IF(LEN('Translation-EN'!A2193)&gt;0,'Translation-EN'!A2193,"")</f>
        <v>Range</v>
      </c>
      <c r="B2193" s="888" t="str">
        <f>IF(LEN('Translation-EN'!B2193)&gt;0,'Translation-EN'!B2193,"")</f>
        <v>Master sheet</v>
      </c>
      <c r="C2193" s="888" t="str">
        <f>IF(LEN('Translation-EN'!C2193)&gt;0,'Translation-EN'!C2193,"")</f>
        <v>D278</v>
      </c>
      <c r="D2193" s="888" t="str">
        <f>IF(LEN('Translation-EN'!D2193)&gt;0,'Translation-EN'!D2193,"")</f>
        <v/>
      </c>
      <c r="E2193" s="893" t="s">
        <v>4407</v>
      </c>
      <c r="I2193" s="888"/>
      <c r="J2193" s="888"/>
      <c r="K2193" s="888"/>
      <c r="L2193" s="888"/>
      <c r="M2193" s="888"/>
      <c r="N2193" s="888"/>
      <c r="O2193" s="888"/>
      <c r="P2193" s="888"/>
      <c r="Q2193" s="888"/>
      <c r="R2193" s="888"/>
    </row>
    <row r="2194" spans="1:18" s="893" customFormat="1" x14ac:dyDescent="0.3">
      <c r="A2194" s="888" t="str">
        <f>IF(LEN('Translation-EN'!A2194)&gt;0,'Translation-EN'!A2194,"")</f>
        <v>Range</v>
      </c>
      <c r="B2194" s="888" t="str">
        <f>IF(LEN('Translation-EN'!B2194)&gt;0,'Translation-EN'!B2194,"")</f>
        <v>Master sheet</v>
      </c>
      <c r="C2194" s="888" t="str">
        <f>IF(LEN('Translation-EN'!C2194)&gt;0,'Translation-EN'!C2194,"")</f>
        <v>E278</v>
      </c>
      <c r="D2194" s="888" t="str">
        <f>IF(LEN('Translation-EN'!D2194)&gt;0,'Translation-EN'!D2194,"")</f>
        <v/>
      </c>
      <c r="E2194" s="893" t="str">
        <f>$E$2190</f>
        <v>CGF facer / Type II R 5,6/po</v>
      </c>
      <c r="I2194" s="888"/>
      <c r="J2194" s="888"/>
      <c r="K2194" s="888"/>
      <c r="L2194" s="888"/>
      <c r="M2194" s="888"/>
      <c r="N2194" s="888"/>
      <c r="O2194" s="888"/>
      <c r="P2194" s="888"/>
      <c r="Q2194" s="888"/>
      <c r="R2194" s="888"/>
    </row>
    <row r="2195" spans="1:18" s="893" customFormat="1" x14ac:dyDescent="0.3">
      <c r="A2195" s="888" t="str">
        <f>IF(LEN('Translation-EN'!A2195)&gt;0,'Translation-EN'!A2195,"")</f>
        <v>Range</v>
      </c>
      <c r="B2195" s="888" t="str">
        <f>IF(LEN('Translation-EN'!B2195)&gt;0,'Translation-EN'!B2195,"")</f>
        <v>Master sheet</v>
      </c>
      <c r="C2195" s="888" t="str">
        <f>IF(LEN('Translation-EN'!C2195)&gt;0,'Translation-EN'!C2195,"")</f>
        <v>B279</v>
      </c>
      <c r="D2195" s="888" t="str">
        <f>IF(LEN('Translation-EN'!D2195)&gt;0,'Translation-EN'!D2195,"")</f>
        <v/>
      </c>
      <c r="E2195" s="893" t="str">
        <f>$E$2187</f>
        <v>Polyisocyanurate – panneaux toiture</v>
      </c>
      <c r="I2195" s="888"/>
      <c r="J2195" s="888"/>
      <c r="K2195" s="888"/>
      <c r="L2195" s="888"/>
      <c r="M2195" s="888"/>
      <c r="N2195" s="888"/>
      <c r="O2195" s="888"/>
      <c r="P2195" s="888"/>
      <c r="Q2195" s="888"/>
      <c r="R2195" s="888"/>
    </row>
    <row r="2196" spans="1:18" s="893" customFormat="1" x14ac:dyDescent="0.3">
      <c r="A2196" s="888" t="str">
        <f>IF(LEN('Translation-EN'!A2196)&gt;0,'Translation-EN'!A2196,"")</f>
        <v>Range</v>
      </c>
      <c r="B2196" s="888" t="str">
        <f>IF(LEN('Translation-EN'!B2196)&gt;0,'Translation-EN'!B2196,"")</f>
        <v>Master sheet</v>
      </c>
      <c r="C2196" s="888" t="str">
        <f>IF(LEN('Translation-EN'!C2196)&gt;0,'Translation-EN'!C2196,"")</f>
        <v>C279</v>
      </c>
      <c r="D2196" s="888" t="str">
        <f>IF(LEN('Translation-EN'!D2196)&gt;0,'Translation-EN'!D2196,"")</f>
        <v/>
      </c>
      <c r="E2196" s="893" t="str">
        <f>$E$2180</f>
        <v>PIMA</v>
      </c>
      <c r="I2196" s="888"/>
      <c r="J2196" s="888"/>
      <c r="K2196" s="888"/>
      <c r="L2196" s="888"/>
      <c r="M2196" s="888"/>
      <c r="N2196" s="888"/>
      <c r="O2196" s="888"/>
      <c r="P2196" s="888"/>
      <c r="Q2196" s="888"/>
      <c r="R2196" s="888"/>
    </row>
    <row r="2197" spans="1:18" s="893" customFormat="1" x14ac:dyDescent="0.3">
      <c r="A2197" s="888" t="str">
        <f>IF(LEN('Translation-EN'!A2197)&gt;0,'Translation-EN'!A2197,"")</f>
        <v>Range</v>
      </c>
      <c r="B2197" s="888" t="str">
        <f>IF(LEN('Translation-EN'!B2197)&gt;0,'Translation-EN'!B2197,"")</f>
        <v>Master sheet</v>
      </c>
      <c r="C2197" s="888" t="str">
        <f>IF(LEN('Translation-EN'!C2197)&gt;0,'Translation-EN'!C2197,"")</f>
        <v>D279</v>
      </c>
      <c r="D2197" s="888" t="str">
        <f>IF(LEN('Translation-EN'!D2197)&gt;0,'Translation-EN'!D2197,"")</f>
        <v/>
      </c>
      <c r="E2197" s="893" t="str">
        <f>$E$2181</f>
        <v>Inclus: Atlas, Firestone, GAF, Johns Manville, Rmax, Carlisle, Iko, Soprema</v>
      </c>
      <c r="I2197" s="888"/>
      <c r="J2197" s="888"/>
      <c r="K2197" s="888"/>
      <c r="L2197" s="888"/>
      <c r="M2197" s="888"/>
      <c r="N2197" s="888"/>
      <c r="O2197" s="888"/>
      <c r="P2197" s="888"/>
      <c r="Q2197" s="888"/>
      <c r="R2197" s="888"/>
    </row>
    <row r="2198" spans="1:18" s="893" customFormat="1" x14ac:dyDescent="0.3">
      <c r="A2198" s="888" t="str">
        <f>IF(LEN('Translation-EN'!A2198)&gt;0,'Translation-EN'!A2198,"")</f>
        <v>Range</v>
      </c>
      <c r="B2198" s="888" t="str">
        <f>IF(LEN('Translation-EN'!B2198)&gt;0,'Translation-EN'!B2198,"")</f>
        <v>Master sheet</v>
      </c>
      <c r="C2198" s="888" t="str">
        <f>IF(LEN('Translation-EN'!C2198)&gt;0,'Translation-EN'!C2198,"")</f>
        <v>E279</v>
      </c>
      <c r="D2198" s="888" t="str">
        <f>IF(LEN('Translation-EN'!D2198)&gt;0,'Translation-EN'!D2198,"")</f>
        <v/>
      </c>
      <c r="E2198" s="893" t="s">
        <v>6381</v>
      </c>
      <c r="I2198" s="888"/>
      <c r="J2198" s="888"/>
      <c r="K2198" s="888"/>
      <c r="L2198" s="888"/>
      <c r="M2198" s="888"/>
      <c r="N2198" s="888"/>
      <c r="O2198" s="888"/>
      <c r="P2198" s="888"/>
      <c r="Q2198" s="888"/>
      <c r="R2198" s="888"/>
    </row>
    <row r="2199" spans="1:18" s="893" customFormat="1" x14ac:dyDescent="0.3">
      <c r="A2199" s="888" t="str">
        <f>IF(LEN('Translation-EN'!A2199)&gt;0,'Translation-EN'!A2199,"")</f>
        <v>Range</v>
      </c>
      <c r="B2199" s="888" t="str">
        <f>IF(LEN('Translation-EN'!B2199)&gt;0,'Translation-EN'!B2199,"")</f>
        <v>Master sheet</v>
      </c>
      <c r="C2199" s="888" t="str">
        <f>IF(LEN('Translation-EN'!C2199)&gt;0,'Translation-EN'!C2199,"")</f>
        <v>B280</v>
      </c>
      <c r="D2199" s="888" t="str">
        <f>IF(LEN('Translation-EN'!D2199)&gt;0,'Translation-EN'!D2199,"")</f>
        <v/>
      </c>
      <c r="E2199" s="893" t="str">
        <f>$E$2187</f>
        <v>Polyisocyanurate – panneaux toiture</v>
      </c>
      <c r="I2199" s="888"/>
      <c r="J2199" s="888"/>
      <c r="K2199" s="888"/>
      <c r="L2199" s="888"/>
      <c r="M2199" s="888"/>
      <c r="N2199" s="888"/>
      <c r="O2199" s="888"/>
      <c r="P2199" s="888"/>
      <c r="Q2199" s="888"/>
      <c r="R2199" s="888"/>
    </row>
    <row r="2200" spans="1:18" s="893" customFormat="1" x14ac:dyDescent="0.3">
      <c r="A2200" s="888" t="str">
        <f>IF(LEN('Translation-EN'!A2200)&gt;0,'Translation-EN'!A2200,"")</f>
        <v>Range</v>
      </c>
      <c r="B2200" s="888" t="str">
        <f>IF(LEN('Translation-EN'!B2200)&gt;0,'Translation-EN'!B2200,"")</f>
        <v>Master sheet</v>
      </c>
      <c r="C2200" s="888" t="str">
        <f>IF(LEN('Translation-EN'!C2200)&gt;0,'Translation-EN'!C2200,"")</f>
        <v>C280</v>
      </c>
      <c r="D2200" s="888" t="str">
        <f>IF(LEN('Translation-EN'!D2200)&gt;0,'Translation-EN'!D2200,"")</f>
        <v/>
      </c>
      <c r="E2200" s="893" t="str">
        <f>$E$2184</f>
        <v>Versico</v>
      </c>
      <c r="I2200" s="888"/>
      <c r="J2200" s="888"/>
      <c r="K2200" s="888"/>
      <c r="L2200" s="888"/>
      <c r="M2200" s="888"/>
      <c r="N2200" s="888"/>
      <c r="O2200" s="888"/>
      <c r="P2200" s="888"/>
      <c r="Q2200" s="888"/>
      <c r="R2200" s="888"/>
    </row>
    <row r="2201" spans="1:18" s="893" customFormat="1" x14ac:dyDescent="0.3">
      <c r="A2201" s="888" t="str">
        <f>IF(LEN('Translation-EN'!A2201)&gt;0,'Translation-EN'!A2201,"")</f>
        <v>Range</v>
      </c>
      <c r="B2201" s="888" t="str">
        <f>IF(LEN('Translation-EN'!B2201)&gt;0,'Translation-EN'!B2201,"")</f>
        <v>Master sheet</v>
      </c>
      <c r="C2201" s="888" t="str">
        <f>IF(LEN('Translation-EN'!C2201)&gt;0,'Translation-EN'!C2201,"")</f>
        <v>D280</v>
      </c>
      <c r="D2201" s="888" t="str">
        <f>IF(LEN('Translation-EN'!D2201)&gt;0,'Translation-EN'!D2201,"")</f>
        <v/>
      </c>
      <c r="E2201" s="893" t="str">
        <f>$E$2185</f>
        <v>VersiCore, SecurShield, DuraFaceR</v>
      </c>
      <c r="I2201" s="888"/>
      <c r="J2201" s="888"/>
      <c r="K2201" s="888"/>
      <c r="L2201" s="888"/>
      <c r="M2201" s="888"/>
      <c r="N2201" s="888"/>
      <c r="O2201" s="888"/>
      <c r="P2201" s="888"/>
      <c r="Q2201" s="888"/>
      <c r="R2201" s="888"/>
    </row>
    <row r="2202" spans="1:18" s="893" customFormat="1" x14ac:dyDescent="0.3">
      <c r="A2202" s="888" t="str">
        <f>IF(LEN('Translation-EN'!A2202)&gt;0,'Translation-EN'!A2202,"")</f>
        <v>Range</v>
      </c>
      <c r="B2202" s="888" t="str">
        <f>IF(LEN('Translation-EN'!B2202)&gt;0,'Translation-EN'!B2202,"")</f>
        <v>Master sheet</v>
      </c>
      <c r="C2202" s="888" t="str">
        <f>IF(LEN('Translation-EN'!C2202)&gt;0,'Translation-EN'!C2202,"")</f>
        <v>E280</v>
      </c>
      <c r="D2202" s="888" t="str">
        <f>IF(LEN('Translation-EN'!D2202)&gt;0,'Translation-EN'!D2202,"")</f>
        <v/>
      </c>
      <c r="E2202" s="893" t="s">
        <v>6382</v>
      </c>
      <c r="I2202" s="888"/>
      <c r="J2202" s="888"/>
      <c r="K2202" s="888"/>
      <c r="L2202" s="888"/>
      <c r="M2202" s="888"/>
      <c r="N2202" s="888"/>
      <c r="O2202" s="888"/>
      <c r="P2202" s="888"/>
      <c r="Q2202" s="888"/>
      <c r="R2202" s="888"/>
    </row>
    <row r="2203" spans="1:18" s="893" customFormat="1" x14ac:dyDescent="0.3">
      <c r="A2203" s="888" t="str">
        <f>IF(LEN('Translation-EN'!A2203)&gt;0,'Translation-EN'!A2203,"")</f>
        <v>Range</v>
      </c>
      <c r="B2203" s="888" t="str">
        <f>IF(LEN('Translation-EN'!B2203)&gt;0,'Translation-EN'!B2203,"")</f>
        <v>Master sheet</v>
      </c>
      <c r="C2203" s="888" t="str">
        <f>IF(LEN('Translation-EN'!C2203)&gt;0,'Translation-EN'!C2203,"")</f>
        <v>B281</v>
      </c>
      <c r="D2203" s="888" t="str">
        <f>IF(LEN('Translation-EN'!D2203)&gt;0,'Translation-EN'!D2203,"")</f>
        <v/>
      </c>
      <c r="E2203" s="893" t="str">
        <f>$E$2187</f>
        <v>Polyisocyanurate – panneaux toiture</v>
      </c>
      <c r="I2203" s="888"/>
      <c r="J2203" s="888"/>
      <c r="K2203" s="888"/>
      <c r="L2203" s="888"/>
      <c r="M2203" s="888"/>
      <c r="N2203" s="888"/>
      <c r="O2203" s="888"/>
      <c r="P2203" s="888"/>
      <c r="Q2203" s="888"/>
      <c r="R2203" s="888"/>
    </row>
    <row r="2204" spans="1:18" s="893" customFormat="1" x14ac:dyDescent="0.3">
      <c r="A2204" s="888" t="str">
        <f>IF(LEN('Translation-EN'!A2204)&gt;0,'Translation-EN'!A2204,"")</f>
        <v>Range</v>
      </c>
      <c r="B2204" s="888" t="str">
        <f>IF(LEN('Translation-EN'!B2204)&gt;0,'Translation-EN'!B2204,"")</f>
        <v>Master sheet</v>
      </c>
      <c r="C2204" s="888" t="str">
        <f>IF(LEN('Translation-EN'!C2204)&gt;0,'Translation-EN'!C2204,"")</f>
        <v>C281</v>
      </c>
      <c r="D2204" s="888" t="str">
        <f>IF(LEN('Translation-EN'!D2204)&gt;0,'Translation-EN'!D2204,"")</f>
        <v/>
      </c>
      <c r="E2204" s="893" t="str">
        <f>$E$2172</f>
        <v>Carlisle</v>
      </c>
      <c r="I2204" s="888"/>
      <c r="J2204" s="888"/>
      <c r="K2204" s="888"/>
      <c r="L2204" s="888"/>
      <c r="M2204" s="888"/>
      <c r="N2204" s="888"/>
      <c r="O2204" s="888"/>
      <c r="P2204" s="888"/>
      <c r="Q2204" s="888"/>
      <c r="R2204" s="888"/>
    </row>
    <row r="2205" spans="1:18" s="893" customFormat="1" x14ac:dyDescent="0.3">
      <c r="A2205" s="888" t="str">
        <f>IF(LEN('Translation-EN'!A2205)&gt;0,'Translation-EN'!A2205,"")</f>
        <v>Range</v>
      </c>
      <c r="B2205" s="888" t="str">
        <f>IF(LEN('Translation-EN'!B2205)&gt;0,'Translation-EN'!B2205,"")</f>
        <v>Master sheet</v>
      </c>
      <c r="C2205" s="888" t="str">
        <f>IF(LEN('Translation-EN'!C2205)&gt;0,'Translation-EN'!C2205,"")</f>
        <v>D281</v>
      </c>
      <c r="D2205" s="888" t="str">
        <f>IF(LEN('Translation-EN'!D2205)&gt;0,'Translation-EN'!D2205,"")</f>
        <v/>
      </c>
      <c r="E2205" s="893" t="s">
        <v>6383</v>
      </c>
      <c r="I2205" s="888"/>
      <c r="J2205" s="888"/>
      <c r="K2205" s="888"/>
      <c r="L2205" s="888"/>
      <c r="M2205" s="888"/>
      <c r="N2205" s="888"/>
      <c r="O2205" s="888"/>
      <c r="P2205" s="888"/>
      <c r="Q2205" s="888"/>
      <c r="R2205" s="888"/>
    </row>
    <row r="2206" spans="1:18" s="893" customFormat="1" x14ac:dyDescent="0.3">
      <c r="A2206" s="888" t="str">
        <f>IF(LEN('Translation-EN'!A2206)&gt;0,'Translation-EN'!A2206,"")</f>
        <v>Range</v>
      </c>
      <c r="B2206" s="888" t="str">
        <f>IF(LEN('Translation-EN'!B2206)&gt;0,'Translation-EN'!B2206,"")</f>
        <v>Master sheet</v>
      </c>
      <c r="C2206" s="888" t="str">
        <f>IF(LEN('Translation-EN'!C2206)&gt;0,'Translation-EN'!C2206,"")</f>
        <v>E281</v>
      </c>
      <c r="D2206" s="888" t="str">
        <f>IF(LEN('Translation-EN'!D2206)&gt;0,'Translation-EN'!D2206,"")</f>
        <v/>
      </c>
      <c r="E2206" s="893" t="s">
        <v>6384</v>
      </c>
      <c r="I2206" s="888"/>
      <c r="J2206" s="888"/>
      <c r="K2206" s="888"/>
      <c r="L2206" s="888"/>
      <c r="M2206" s="888"/>
      <c r="N2206" s="888"/>
      <c r="O2206" s="888"/>
      <c r="P2206" s="888"/>
      <c r="Q2206" s="888"/>
      <c r="R2206" s="888"/>
    </row>
    <row r="2207" spans="1:18" s="893" customFormat="1" x14ac:dyDescent="0.3">
      <c r="A2207" s="888" t="str">
        <f>IF(LEN('Translation-EN'!A2207)&gt;0,'Translation-EN'!A2207,"")</f>
        <v>Range</v>
      </c>
      <c r="B2207" s="888" t="str">
        <f>IF(LEN('Translation-EN'!B2207)&gt;0,'Translation-EN'!B2207,"")</f>
        <v>Master sheet</v>
      </c>
      <c r="C2207" s="888" t="str">
        <f>IF(LEN('Translation-EN'!C2207)&gt;0,'Translation-EN'!C2207,"")</f>
        <v>B282</v>
      </c>
      <c r="D2207" s="888" t="str">
        <f>IF(LEN('Translation-EN'!D2207)&gt;0,'Translation-EN'!D2207,"")</f>
        <v/>
      </c>
      <c r="E2207" s="893" t="str">
        <f>$E$2187</f>
        <v>Polyisocyanurate – panneaux toiture</v>
      </c>
      <c r="I2207" s="888"/>
      <c r="J2207" s="888"/>
      <c r="K2207" s="888"/>
      <c r="L2207" s="888"/>
      <c r="M2207" s="888"/>
      <c r="N2207" s="888"/>
      <c r="O2207" s="888"/>
      <c r="P2207" s="888"/>
      <c r="Q2207" s="888"/>
      <c r="R2207" s="888"/>
    </row>
    <row r="2208" spans="1:18" s="893" customFormat="1" x14ac:dyDescent="0.3">
      <c r="A2208" s="888" t="str">
        <f>IF(LEN('Translation-EN'!A2208)&gt;0,'Translation-EN'!A2208,"")</f>
        <v>Range</v>
      </c>
      <c r="B2208" s="888" t="str">
        <f>IF(LEN('Translation-EN'!B2208)&gt;0,'Translation-EN'!B2208,"")</f>
        <v>Master sheet</v>
      </c>
      <c r="C2208" s="888" t="str">
        <f>IF(LEN('Translation-EN'!C2208)&gt;0,'Translation-EN'!C2208,"")</f>
        <v>C282</v>
      </c>
      <c r="D2208" s="888" t="str">
        <f>IF(LEN('Translation-EN'!D2208)&gt;0,'Translation-EN'!D2208,"")</f>
        <v/>
      </c>
      <c r="E2208" s="893" t="str">
        <f>$E$2176</f>
        <v>Hunter</v>
      </c>
      <c r="I2208" s="888"/>
      <c r="J2208" s="888"/>
      <c r="K2208" s="888"/>
      <c r="L2208" s="888"/>
      <c r="M2208" s="888"/>
      <c r="N2208" s="888"/>
      <c r="O2208" s="888"/>
      <c r="P2208" s="888"/>
      <c r="Q2208" s="888"/>
      <c r="R2208" s="888"/>
    </row>
    <row r="2209" spans="1:18" s="893" customFormat="1" x14ac:dyDescent="0.3">
      <c r="A2209" s="888" t="str">
        <f>IF(LEN('Translation-EN'!A2209)&gt;0,'Translation-EN'!A2209,"")</f>
        <v>Range</v>
      </c>
      <c r="B2209" s="888" t="str">
        <f>IF(LEN('Translation-EN'!B2209)&gt;0,'Translation-EN'!B2209,"")</f>
        <v>Master sheet</v>
      </c>
      <c r="C2209" s="888" t="str">
        <f>IF(LEN('Translation-EN'!C2209)&gt;0,'Translation-EN'!C2209,"")</f>
        <v>D282</v>
      </c>
      <c r="D2209" s="888" t="str">
        <f>IF(LEN('Translation-EN'!D2209)&gt;0,'Translation-EN'!D2209,"")</f>
        <v/>
      </c>
      <c r="E2209" s="893" t="str">
        <f>$E$2205</f>
        <v>Plaque de recouvrement haute densité</v>
      </c>
      <c r="I2209" s="888"/>
      <c r="J2209" s="888"/>
      <c r="K2209" s="888"/>
      <c r="L2209" s="888"/>
      <c r="M2209" s="888"/>
      <c r="N2209" s="888"/>
      <c r="O2209" s="888"/>
      <c r="P2209" s="888"/>
      <c r="Q2209" s="888"/>
      <c r="R2209" s="888"/>
    </row>
    <row r="2210" spans="1:18" s="893" customFormat="1" x14ac:dyDescent="0.3">
      <c r="A2210" s="888" t="str">
        <f>IF(LEN('Translation-EN'!A2210)&gt;0,'Translation-EN'!A2210,"")</f>
        <v>Range</v>
      </c>
      <c r="B2210" s="888" t="str">
        <f>IF(LEN('Translation-EN'!B2210)&gt;0,'Translation-EN'!B2210,"")</f>
        <v>Master sheet</v>
      </c>
      <c r="C2210" s="888" t="str">
        <f>IF(LEN('Translation-EN'!C2210)&gt;0,'Translation-EN'!C2210,"")</f>
        <v>E282</v>
      </c>
      <c r="D2210" s="888" t="str">
        <f>IF(LEN('Translation-EN'!D2210)&gt;0,'Translation-EN'!D2210,"")</f>
        <v/>
      </c>
      <c r="E2210" s="893" t="str">
        <f>$E$2206</f>
        <v>Type II, R 5,0'', 80 psi</v>
      </c>
      <c r="I2210" s="888"/>
      <c r="J2210" s="888"/>
      <c r="K2210" s="888"/>
      <c r="L2210" s="888"/>
      <c r="M2210" s="888"/>
      <c r="N2210" s="888"/>
      <c r="O2210" s="888"/>
      <c r="P2210" s="888"/>
      <c r="Q2210" s="888"/>
      <c r="R2210" s="888"/>
    </row>
    <row r="2211" spans="1:18" s="893" customFormat="1" x14ac:dyDescent="0.3">
      <c r="A2211" s="888" t="str">
        <f>IF(LEN('Translation-EN'!A2211)&gt;0,'Translation-EN'!A2211,"")</f>
        <v>Range</v>
      </c>
      <c r="B2211" s="888" t="str">
        <f>IF(LEN('Translation-EN'!B2211)&gt;0,'Translation-EN'!B2211,"")</f>
        <v>Master sheet</v>
      </c>
      <c r="C2211" s="888" t="str">
        <f>IF(LEN('Translation-EN'!C2211)&gt;0,'Translation-EN'!C2211,"")</f>
        <v>B283</v>
      </c>
      <c r="D2211" s="888" t="str">
        <f>IF(LEN('Translation-EN'!D2211)&gt;0,'Translation-EN'!D2211,"")</f>
        <v/>
      </c>
      <c r="E2211" s="893" t="str">
        <f>$E$2187</f>
        <v>Polyisocyanurate – panneaux toiture</v>
      </c>
      <c r="I2211" s="888"/>
      <c r="J2211" s="888"/>
      <c r="K2211" s="888"/>
      <c r="L2211" s="888"/>
      <c r="M2211" s="888"/>
      <c r="N2211" s="888"/>
      <c r="O2211" s="888"/>
      <c r="P2211" s="888"/>
      <c r="Q2211" s="888"/>
      <c r="R2211" s="888"/>
    </row>
    <row r="2212" spans="1:18" s="893" customFormat="1" x14ac:dyDescent="0.3">
      <c r="A2212" s="888" t="str">
        <f>IF(LEN('Translation-EN'!A2212)&gt;0,'Translation-EN'!A2212,"")</f>
        <v>Range</v>
      </c>
      <c r="B2212" s="888" t="str">
        <f>IF(LEN('Translation-EN'!B2212)&gt;0,'Translation-EN'!B2212,"")</f>
        <v>Master sheet</v>
      </c>
      <c r="C2212" s="888" t="str">
        <f>IF(LEN('Translation-EN'!C2212)&gt;0,'Translation-EN'!C2212,"")</f>
        <v>C283</v>
      </c>
      <c r="D2212" s="888" t="str">
        <f>IF(LEN('Translation-EN'!D2212)&gt;0,'Translation-EN'!D2212,"")</f>
        <v/>
      </c>
      <c r="E2212" s="893" t="str">
        <f>$E$2180</f>
        <v>PIMA</v>
      </c>
      <c r="I2212" s="888"/>
      <c r="J2212" s="888"/>
      <c r="K2212" s="888"/>
      <c r="L2212" s="888"/>
      <c r="M2212" s="888"/>
      <c r="N2212" s="888"/>
      <c r="O2212" s="888"/>
      <c r="P2212" s="888"/>
      <c r="Q2212" s="888"/>
      <c r="R2212" s="888"/>
    </row>
    <row r="2213" spans="1:18" s="893" customFormat="1" x14ac:dyDescent="0.3">
      <c r="A2213" s="888" t="str">
        <f>IF(LEN('Translation-EN'!A2213)&gt;0,'Translation-EN'!A2213,"")</f>
        <v>Range</v>
      </c>
      <c r="B2213" s="888" t="str">
        <f>IF(LEN('Translation-EN'!B2213)&gt;0,'Translation-EN'!B2213,"")</f>
        <v>Master sheet</v>
      </c>
      <c r="C2213" s="888" t="str">
        <f>IF(LEN('Translation-EN'!C2213)&gt;0,'Translation-EN'!C2213,"")</f>
        <v>D283</v>
      </c>
      <c r="D2213" s="888" t="str">
        <f>IF(LEN('Translation-EN'!D2213)&gt;0,'Translation-EN'!D2213,"")</f>
        <v/>
      </c>
      <c r="E2213" s="893" t="s">
        <v>6385</v>
      </c>
      <c r="I2213" s="888"/>
      <c r="J2213" s="888"/>
      <c r="K2213" s="888"/>
      <c r="L2213" s="888"/>
      <c r="M2213" s="888"/>
      <c r="N2213" s="888"/>
      <c r="O2213" s="888"/>
      <c r="P2213" s="888"/>
      <c r="Q2213" s="888"/>
      <c r="R2213" s="888"/>
    </row>
    <row r="2214" spans="1:18" s="893" customFormat="1" x14ac:dyDescent="0.3">
      <c r="A2214" s="888" t="str">
        <f>IF(LEN('Translation-EN'!A2214)&gt;0,'Translation-EN'!A2214,"")</f>
        <v>Range</v>
      </c>
      <c r="B2214" s="888" t="str">
        <f>IF(LEN('Translation-EN'!B2214)&gt;0,'Translation-EN'!B2214,"")</f>
        <v>Master sheet</v>
      </c>
      <c r="C2214" s="888" t="str">
        <f>IF(LEN('Translation-EN'!C2214)&gt;0,'Translation-EN'!C2214,"")</f>
        <v>B284</v>
      </c>
      <c r="D2214" s="888" t="str">
        <f>IF(LEN('Translation-EN'!D2214)&gt;0,'Translation-EN'!D2214,"")</f>
        <v/>
      </c>
      <c r="E2214" s="893" t="str">
        <f>$E$2187</f>
        <v>Polyisocyanurate – panneaux toiture</v>
      </c>
      <c r="I2214" s="888"/>
      <c r="J2214" s="888"/>
      <c r="K2214" s="888"/>
      <c r="L2214" s="888"/>
      <c r="M2214" s="888"/>
      <c r="N2214" s="888"/>
      <c r="O2214" s="888"/>
      <c r="P2214" s="888"/>
      <c r="Q2214" s="888"/>
      <c r="R2214" s="888"/>
    </row>
    <row r="2215" spans="1:18" s="893" customFormat="1" x14ac:dyDescent="0.3">
      <c r="A2215" s="888" t="str">
        <f>IF(LEN('Translation-EN'!A2215)&gt;0,'Translation-EN'!A2215,"")</f>
        <v>Range</v>
      </c>
      <c r="B2215" s="888" t="str">
        <f>IF(LEN('Translation-EN'!B2215)&gt;0,'Translation-EN'!B2215,"")</f>
        <v>Master sheet</v>
      </c>
      <c r="C2215" s="888" t="str">
        <f>IF(LEN('Translation-EN'!C2215)&gt;0,'Translation-EN'!C2215,"")</f>
        <v>C284</v>
      </c>
      <c r="D2215" s="888" t="str">
        <f>IF(LEN('Translation-EN'!D2215)&gt;0,'Translation-EN'!D2215,"")</f>
        <v/>
      </c>
      <c r="E2215" s="893" t="str">
        <f>$E$2184</f>
        <v>Versico</v>
      </c>
      <c r="I2215" s="888"/>
      <c r="J2215" s="888"/>
      <c r="K2215" s="888"/>
      <c r="L2215" s="888"/>
      <c r="M2215" s="888"/>
      <c r="N2215" s="888"/>
      <c r="O2215" s="888"/>
      <c r="P2215" s="888"/>
      <c r="Q2215" s="888"/>
      <c r="R2215" s="888"/>
    </row>
    <row r="2216" spans="1:18" s="893" customFormat="1" x14ac:dyDescent="0.3">
      <c r="A2216" s="888" t="str">
        <f>IF(LEN('Translation-EN'!A2216)&gt;0,'Translation-EN'!A2216,"")</f>
        <v>Range</v>
      </c>
      <c r="B2216" s="888" t="str">
        <f>IF(LEN('Translation-EN'!B2216)&gt;0,'Translation-EN'!B2216,"")</f>
        <v>Master sheet</v>
      </c>
      <c r="C2216" s="888" t="str">
        <f>IF(LEN('Translation-EN'!C2216)&gt;0,'Translation-EN'!C2216,"")</f>
        <v>D284</v>
      </c>
      <c r="D2216" s="888" t="str">
        <f>IF(LEN('Translation-EN'!D2216)&gt;0,'Translation-EN'!D2216,"")</f>
        <v/>
      </c>
      <c r="E2216" s="893" t="str">
        <f>$E$2205</f>
        <v>Plaque de recouvrement haute densité</v>
      </c>
      <c r="I2216" s="888"/>
      <c r="J2216" s="888"/>
      <c r="K2216" s="888"/>
      <c r="L2216" s="888"/>
      <c r="M2216" s="888"/>
      <c r="N2216" s="888"/>
      <c r="O2216" s="888"/>
      <c r="P2216" s="888"/>
      <c r="Q2216" s="888"/>
      <c r="R2216" s="888"/>
    </row>
    <row r="2217" spans="1:18" s="893" customFormat="1" x14ac:dyDescent="0.3">
      <c r="A2217" s="888" t="str">
        <f>IF(LEN('Translation-EN'!A2217)&gt;0,'Translation-EN'!A2217,"")</f>
        <v>Range</v>
      </c>
      <c r="B2217" s="888" t="str">
        <f>IF(LEN('Translation-EN'!B2217)&gt;0,'Translation-EN'!B2217,"")</f>
        <v>Master sheet</v>
      </c>
      <c r="C2217" s="888" t="str">
        <f>IF(LEN('Translation-EN'!C2217)&gt;0,'Translation-EN'!C2217,"")</f>
        <v>E284</v>
      </c>
      <c r="D2217" s="888" t="str">
        <f>IF(LEN('Translation-EN'!D2217)&gt;0,'Translation-EN'!D2217,"")</f>
        <v/>
      </c>
      <c r="E2217" s="893" t="str">
        <f>$E$2206</f>
        <v>Type II, R 5,0'', 80 psi</v>
      </c>
      <c r="I2217" s="888"/>
      <c r="J2217" s="888"/>
      <c r="K2217" s="888"/>
      <c r="L2217" s="888"/>
      <c r="M2217" s="888"/>
      <c r="N2217" s="888"/>
      <c r="O2217" s="888"/>
      <c r="P2217" s="888"/>
      <c r="Q2217" s="888"/>
      <c r="R2217" s="888"/>
    </row>
    <row r="2218" spans="1:18" s="893" customFormat="1" x14ac:dyDescent="0.3">
      <c r="A2218" s="888" t="str">
        <f>IF(LEN('Translation-EN'!A2218)&gt;0,'Translation-EN'!A2218,"")</f>
        <v>Range</v>
      </c>
      <c r="B2218" s="888" t="str">
        <f>IF(LEN('Translation-EN'!B2218)&gt;0,'Translation-EN'!B2218,"")</f>
        <v>Master sheet</v>
      </c>
      <c r="C2218" s="888" t="str">
        <f>IF(LEN('Translation-EN'!C2218)&gt;0,'Translation-EN'!C2218,"")</f>
        <v>B286</v>
      </c>
      <c r="D2218" s="888" t="str">
        <f>IF(LEN('Translation-EN'!D2218)&gt;0,'Translation-EN'!D2218,"")</f>
        <v/>
      </c>
      <c r="E2218" s="1055" t="s">
        <v>7282</v>
      </c>
      <c r="I2218" s="888"/>
      <c r="J2218" s="888"/>
      <c r="K2218" s="888"/>
      <c r="L2218" s="888"/>
      <c r="M2218" s="888"/>
      <c r="N2218" s="888"/>
      <c r="O2218" s="888"/>
      <c r="P2218" s="888"/>
      <c r="Q2218" s="888"/>
      <c r="R2218" s="888"/>
    </row>
    <row r="2219" spans="1:18" s="893" customFormat="1" x14ac:dyDescent="0.3">
      <c r="A2219" s="888" t="str">
        <f>IF(LEN('Translation-EN'!A2219)&gt;0,'Translation-EN'!A2219,"")</f>
        <v>Range</v>
      </c>
      <c r="B2219" s="888" t="str">
        <f>IF(LEN('Translation-EN'!B2219)&gt;0,'Translation-EN'!B2219,"")</f>
        <v>Master sheet</v>
      </c>
      <c r="C2219" s="888" t="str">
        <f>IF(LEN('Translation-EN'!C2219)&gt;0,'Translation-EN'!C2219,"")</f>
        <v>C286</v>
      </c>
      <c r="D2219" s="888" t="str">
        <f>IF(LEN('Translation-EN'!D2219)&gt;0,'Translation-EN'!D2219,"")</f>
        <v/>
      </c>
      <c r="E2219" s="893" t="str">
        <f>$E$2176</f>
        <v>Hunter</v>
      </c>
      <c r="I2219" s="888"/>
      <c r="J2219" s="888"/>
      <c r="K2219" s="888"/>
      <c r="L2219" s="888"/>
      <c r="M2219" s="888"/>
      <c r="N2219" s="888"/>
      <c r="O2219" s="888"/>
      <c r="P2219" s="888"/>
      <c r="Q2219" s="888"/>
      <c r="R2219" s="888"/>
    </row>
    <row r="2220" spans="1:18" s="893" customFormat="1" x14ac:dyDescent="0.3">
      <c r="A2220" s="888" t="str">
        <f>IF(LEN('Translation-EN'!A2220)&gt;0,'Translation-EN'!A2220,"")</f>
        <v>Range</v>
      </c>
      <c r="B2220" s="888" t="str">
        <f>IF(LEN('Translation-EN'!B2220)&gt;0,'Translation-EN'!B2220,"")</f>
        <v>Master sheet</v>
      </c>
      <c r="C2220" s="888" t="str">
        <f>IF(LEN('Translation-EN'!C2220)&gt;0,'Translation-EN'!C2220,"")</f>
        <v>D286</v>
      </c>
      <c r="D2220" s="888" t="str">
        <f>IF(LEN('Translation-EN'!D2220)&gt;0,'Translation-EN'!D2220,"")</f>
        <v/>
      </c>
      <c r="E2220" s="893" t="s">
        <v>6386</v>
      </c>
      <c r="I2220" s="888"/>
      <c r="J2220" s="888"/>
      <c r="K2220" s="888"/>
      <c r="L2220" s="888"/>
      <c r="M2220" s="888"/>
      <c r="N2220" s="888"/>
      <c r="O2220" s="888"/>
      <c r="P2220" s="888"/>
      <c r="Q2220" s="888"/>
      <c r="R2220" s="888"/>
    </row>
    <row r="2221" spans="1:18" s="893" customFormat="1" x14ac:dyDescent="0.3">
      <c r="A2221" s="888" t="str">
        <f>IF(LEN('Translation-EN'!A2221)&gt;0,'Translation-EN'!A2221,"")</f>
        <v>Range</v>
      </c>
      <c r="B2221" s="888" t="str">
        <f>IF(LEN('Translation-EN'!B2221)&gt;0,'Translation-EN'!B2221,"")</f>
        <v>Master sheet</v>
      </c>
      <c r="C2221" s="888" t="str">
        <f>IF(LEN('Translation-EN'!C2221)&gt;0,'Translation-EN'!C2221,"")</f>
        <v>B287</v>
      </c>
      <c r="D2221" s="888" t="str">
        <f>IF(LEN('Translation-EN'!D2221)&gt;0,'Translation-EN'!D2221,"")</f>
        <v/>
      </c>
      <c r="E2221" s="893" t="str">
        <f>$E$2218</f>
        <v>Polyiso – panneaux muraux</v>
      </c>
      <c r="I2221" s="888"/>
      <c r="J2221" s="888"/>
      <c r="K2221" s="888"/>
      <c r="L2221" s="888"/>
      <c r="M2221" s="888"/>
      <c r="N2221" s="888"/>
      <c r="O2221" s="888"/>
      <c r="P2221" s="888"/>
      <c r="Q2221" s="888"/>
      <c r="R2221" s="888"/>
    </row>
    <row r="2222" spans="1:18" s="893" customFormat="1" x14ac:dyDescent="0.3">
      <c r="A2222" s="888" t="str">
        <f>IF(LEN('Translation-EN'!A2222)&gt;0,'Translation-EN'!A2222,"")</f>
        <v>Range</v>
      </c>
      <c r="B2222" s="888" t="str">
        <f>IF(LEN('Translation-EN'!B2222)&gt;0,'Translation-EN'!B2222,"")</f>
        <v>Master sheet</v>
      </c>
      <c r="C2222" s="888" t="str">
        <f>IF(LEN('Translation-EN'!C2222)&gt;0,'Translation-EN'!C2222,"")</f>
        <v>D287</v>
      </c>
      <c r="D2222" s="888" t="str">
        <f>IF(LEN('Translation-EN'!D2222)&gt;0,'Translation-EN'!D2222,"")</f>
        <v/>
      </c>
      <c r="E2222" s="893" t="s">
        <v>6387</v>
      </c>
      <c r="I2222" s="888"/>
      <c r="J2222" s="888"/>
      <c r="K2222" s="888"/>
      <c r="L2222" s="888"/>
      <c r="M2222" s="888"/>
      <c r="N2222" s="888"/>
      <c r="O2222" s="888"/>
      <c r="P2222" s="888"/>
      <c r="Q2222" s="888"/>
      <c r="R2222" s="888"/>
    </row>
    <row r="2223" spans="1:18" s="893" customFormat="1" x14ac:dyDescent="0.3">
      <c r="A2223" s="888" t="str">
        <f>IF(LEN('Translation-EN'!A2223)&gt;0,'Translation-EN'!A2223,"")</f>
        <v>Range</v>
      </c>
      <c r="B2223" s="888" t="str">
        <f>IF(LEN('Translation-EN'!B2223)&gt;0,'Translation-EN'!B2223,"")</f>
        <v>Master sheet</v>
      </c>
      <c r="C2223" s="888" t="str">
        <f>IF(LEN('Translation-EN'!C2223)&gt;0,'Translation-EN'!C2223,"")</f>
        <v>E287</v>
      </c>
      <c r="D2223" s="888" t="str">
        <f>IF(LEN('Translation-EN'!D2223)&gt;0,'Translation-EN'!D2223,"")</f>
        <v/>
      </c>
      <c r="E2223" s="893" t="s">
        <v>6388</v>
      </c>
      <c r="I2223" s="888"/>
      <c r="J2223" s="888"/>
      <c r="K2223" s="888"/>
      <c r="L2223" s="888"/>
      <c r="M2223" s="888"/>
      <c r="N2223" s="888"/>
      <c r="O2223" s="888"/>
      <c r="P2223" s="888"/>
      <c r="Q2223" s="888"/>
      <c r="R2223" s="888"/>
    </row>
    <row r="2224" spans="1:18" s="893" customFormat="1" x14ac:dyDescent="0.3">
      <c r="A2224" s="888" t="str">
        <f>IF(LEN('Translation-EN'!A2224)&gt;0,'Translation-EN'!A2224,"")</f>
        <v>Range</v>
      </c>
      <c r="B2224" s="888" t="str">
        <f>IF(LEN('Translation-EN'!B2224)&gt;0,'Translation-EN'!B2224,"")</f>
        <v>Master sheet</v>
      </c>
      <c r="C2224" s="888" t="str">
        <f>IF(LEN('Translation-EN'!C2224)&gt;0,'Translation-EN'!C2224,"")</f>
        <v>B291</v>
      </c>
      <c r="D2224" s="888" t="str">
        <f>IF(LEN('Translation-EN'!D2224)&gt;0,'Translation-EN'!D2224,"")</f>
        <v/>
      </c>
      <c r="E2224" s="893" t="s">
        <v>6389</v>
      </c>
      <c r="I2224" s="888"/>
      <c r="J2224" s="888"/>
      <c r="K2224" s="888"/>
      <c r="L2224" s="888"/>
      <c r="M2224" s="888"/>
      <c r="N2224" s="888"/>
      <c r="O2224" s="888"/>
      <c r="P2224" s="888"/>
      <c r="Q2224" s="888"/>
      <c r="R2224" s="888"/>
    </row>
    <row r="2225" spans="1:18" s="893" customFormat="1" x14ac:dyDescent="0.3">
      <c r="A2225" s="888" t="str">
        <f>IF(LEN('Translation-EN'!A2225)&gt;0,'Translation-EN'!A2225,"")</f>
        <v>Range</v>
      </c>
      <c r="B2225" s="888" t="str">
        <f>IF(LEN('Translation-EN'!B2225)&gt;0,'Translation-EN'!B2225,"")</f>
        <v>Master sheet</v>
      </c>
      <c r="C2225" s="888" t="str">
        <f>IF(LEN('Translation-EN'!C2225)&gt;0,'Translation-EN'!C2225,"")</f>
        <v>C291</v>
      </c>
      <c r="D2225" s="888" t="str">
        <f>IF(LEN('Translation-EN'!D2225)&gt;0,'Translation-EN'!D2225,"")</f>
        <v/>
      </c>
      <c r="E2225" s="893" t="s">
        <v>6390</v>
      </c>
      <c r="I2225" s="888"/>
      <c r="J2225" s="888"/>
      <c r="K2225" s="888"/>
      <c r="L2225" s="888"/>
      <c r="M2225" s="888"/>
      <c r="N2225" s="888"/>
      <c r="O2225" s="888"/>
      <c r="P2225" s="888"/>
      <c r="Q2225" s="888"/>
      <c r="R2225" s="888"/>
    </row>
    <row r="2226" spans="1:18" s="893" customFormat="1" x14ac:dyDescent="0.3">
      <c r="A2226" s="888" t="str">
        <f>IF(LEN('Translation-EN'!A2226)&gt;0,'Translation-EN'!A2226,"")</f>
        <v>Range</v>
      </c>
      <c r="B2226" s="888" t="str">
        <f>IF(LEN('Translation-EN'!B2226)&gt;0,'Translation-EN'!B2226,"")</f>
        <v>Master sheet</v>
      </c>
      <c r="C2226" s="888" t="str">
        <f>IF(LEN('Translation-EN'!C2226)&gt;0,'Translation-EN'!C2226,"")</f>
        <v>E291</v>
      </c>
      <c r="D2226" s="888" t="str">
        <f>IF(LEN('Translation-EN'!D2226)&gt;0,'Translation-EN'!D2226,"")</f>
        <v/>
      </c>
      <c r="E2226" s="893" t="s">
        <v>6391</v>
      </c>
      <c r="I2226" s="888"/>
      <c r="J2226" s="888"/>
      <c r="K2226" s="888"/>
      <c r="L2226" s="888"/>
      <c r="M2226" s="888"/>
      <c r="N2226" s="888"/>
      <c r="O2226" s="888"/>
      <c r="P2226" s="888"/>
      <c r="Q2226" s="888"/>
      <c r="R2226" s="888"/>
    </row>
    <row r="2227" spans="1:18" s="893" customFormat="1" x14ac:dyDescent="0.3">
      <c r="A2227" s="888" t="str">
        <f>IF(LEN('Translation-EN'!A2227)&gt;0,'Translation-EN'!A2227,"")</f>
        <v>Range</v>
      </c>
      <c r="B2227" s="888" t="str">
        <f>IF(LEN('Translation-EN'!B2227)&gt;0,'Translation-EN'!B2227,"")</f>
        <v>Master sheet</v>
      </c>
      <c r="C2227" s="888" t="str">
        <f>IF(LEN('Translation-EN'!C2227)&gt;0,'Translation-EN'!C2227,"")</f>
        <v>B293</v>
      </c>
      <c r="D2227" s="888" t="str">
        <f>IF(LEN('Translation-EN'!D2227)&gt;0,'Translation-EN'!D2227,"")</f>
        <v/>
      </c>
      <c r="E2227" s="893" t="s">
        <v>6392</v>
      </c>
      <c r="I2227" s="888"/>
      <c r="J2227" s="888"/>
      <c r="K2227" s="888"/>
      <c r="L2227" s="888"/>
      <c r="M2227" s="888"/>
      <c r="N2227" s="888"/>
      <c r="O2227" s="888"/>
      <c r="P2227" s="888"/>
      <c r="Q2227" s="888"/>
      <c r="R2227" s="888"/>
    </row>
    <row r="2228" spans="1:18" s="893" customFormat="1" x14ac:dyDescent="0.3">
      <c r="A2228" s="888" t="str">
        <f>IF(LEN('Translation-EN'!A2228)&gt;0,'Translation-EN'!A2228,"")</f>
        <v>Range</v>
      </c>
      <c r="B2228" s="888" t="str">
        <f>IF(LEN('Translation-EN'!B2228)&gt;0,'Translation-EN'!B2228,"")</f>
        <v>Master sheet</v>
      </c>
      <c r="C2228" s="888" t="str">
        <f>IF(LEN('Translation-EN'!C2228)&gt;0,'Translation-EN'!C2228,"")</f>
        <v>B294</v>
      </c>
      <c r="D2228" s="888" t="str">
        <f>IF(LEN('Translation-EN'!D2228)&gt;0,'Translation-EN'!D2228,"")</f>
        <v/>
      </c>
      <c r="E2228" s="893" t="s">
        <v>6393</v>
      </c>
      <c r="I2228" s="888"/>
      <c r="J2228" s="888"/>
      <c r="K2228" s="888"/>
      <c r="L2228" s="888"/>
      <c r="M2228" s="888"/>
      <c r="N2228" s="888"/>
      <c r="O2228" s="888"/>
      <c r="P2228" s="888"/>
      <c r="Q2228" s="888"/>
      <c r="R2228" s="888"/>
    </row>
    <row r="2229" spans="1:18" s="893" customFormat="1" x14ac:dyDescent="0.3">
      <c r="A2229" s="888" t="str">
        <f>IF(LEN('Translation-EN'!A2229)&gt;0,'Translation-EN'!A2229,"")</f>
        <v>Range</v>
      </c>
      <c r="B2229" s="888" t="str">
        <f>IF(LEN('Translation-EN'!B2229)&gt;0,'Translation-EN'!B2229,"")</f>
        <v>Master sheet</v>
      </c>
      <c r="C2229" s="888" t="str">
        <f>IF(LEN('Translation-EN'!C2229)&gt;0,'Translation-EN'!C2229,"")</f>
        <v>C294</v>
      </c>
      <c r="D2229" s="888" t="str">
        <f>IF(LEN('Translation-EN'!D2229)&gt;0,'Translation-EN'!D2229,"")</f>
        <v/>
      </c>
      <c r="E2229" s="893" t="s">
        <v>570</v>
      </c>
      <c r="I2229" s="888"/>
      <c r="J2229" s="888"/>
      <c r="K2229" s="888"/>
      <c r="L2229" s="888"/>
      <c r="M2229" s="888"/>
      <c r="N2229" s="888"/>
      <c r="O2229" s="888"/>
      <c r="P2229" s="888"/>
      <c r="Q2229" s="888"/>
      <c r="R2229" s="888"/>
    </row>
    <row r="2230" spans="1:18" s="893" customFormat="1" x14ac:dyDescent="0.3">
      <c r="A2230" s="888" t="str">
        <f>IF(LEN('Translation-EN'!A2230)&gt;0,'Translation-EN'!A2230,"")</f>
        <v>Range</v>
      </c>
      <c r="B2230" s="888" t="str">
        <f>IF(LEN('Translation-EN'!B2230)&gt;0,'Translation-EN'!B2230,"")</f>
        <v>Master sheet</v>
      </c>
      <c r="C2230" s="888" t="str">
        <f>IF(LEN('Translation-EN'!C2230)&gt;0,'Translation-EN'!C2230,"")</f>
        <v>D294</v>
      </c>
      <c r="D2230" s="888" t="str">
        <f>IF(LEN('Translation-EN'!D2230)&gt;0,'Translation-EN'!D2230,"")</f>
        <v/>
      </c>
      <c r="E2230" s="893" t="s">
        <v>6394</v>
      </c>
      <c r="I2230" s="888"/>
      <c r="J2230" s="888"/>
      <c r="K2230" s="888"/>
      <c r="L2230" s="888"/>
      <c r="M2230" s="888"/>
      <c r="N2230" s="888"/>
      <c r="O2230" s="888"/>
      <c r="P2230" s="888"/>
      <c r="Q2230" s="888"/>
      <c r="R2230" s="888"/>
    </row>
    <row r="2231" spans="1:18" s="893" customFormat="1" x14ac:dyDescent="0.3">
      <c r="A2231" s="888" t="str">
        <f>IF(LEN('Translation-EN'!A2231)&gt;0,'Translation-EN'!A2231,"")</f>
        <v>Range</v>
      </c>
      <c r="B2231" s="888" t="str">
        <f>IF(LEN('Translation-EN'!B2231)&gt;0,'Translation-EN'!B2231,"")</f>
        <v>Master sheet</v>
      </c>
      <c r="C2231" s="888" t="str">
        <f>IF(LEN('Translation-EN'!C2231)&gt;0,'Translation-EN'!C2231,"")</f>
        <v>E294</v>
      </c>
      <c r="D2231" s="888" t="str">
        <f>IF(LEN('Translation-EN'!D2231)&gt;0,'Translation-EN'!D2231,"")</f>
        <v/>
      </c>
      <c r="E2231" s="893" t="s">
        <v>572</v>
      </c>
      <c r="I2231" s="888"/>
      <c r="J2231" s="888"/>
      <c r="K2231" s="888"/>
      <c r="L2231" s="888"/>
      <c r="M2231" s="888"/>
      <c r="N2231" s="888"/>
      <c r="O2231" s="888"/>
      <c r="P2231" s="888"/>
      <c r="Q2231" s="888"/>
      <c r="R2231" s="888"/>
    </row>
    <row r="2232" spans="1:18" s="893" customFormat="1" x14ac:dyDescent="0.3">
      <c r="A2232" s="888" t="str">
        <f>IF(LEN('Translation-EN'!A2232)&gt;0,'Translation-EN'!A2232,"")</f>
        <v>Range</v>
      </c>
      <c r="B2232" s="888" t="str">
        <f>IF(LEN('Translation-EN'!B2232)&gt;0,'Translation-EN'!B2232,"")</f>
        <v>Master sheet</v>
      </c>
      <c r="C2232" s="888" t="str">
        <f>IF(LEN('Translation-EN'!C2232)&gt;0,'Translation-EN'!C2232,"")</f>
        <v>B295</v>
      </c>
      <c r="D2232" s="888" t="str">
        <f>IF(LEN('Translation-EN'!D2232)&gt;0,'Translation-EN'!D2232,"")</f>
        <v/>
      </c>
      <c r="E2232" s="893" t="s">
        <v>6395</v>
      </c>
      <c r="I2232" s="888"/>
      <c r="J2232" s="888"/>
      <c r="K2232" s="888"/>
      <c r="L2232" s="888"/>
      <c r="M2232" s="888"/>
      <c r="N2232" s="888"/>
      <c r="O2232" s="888"/>
      <c r="P2232" s="888"/>
      <c r="Q2232" s="888"/>
      <c r="R2232" s="888"/>
    </row>
    <row r="2233" spans="1:18" s="893" customFormat="1" x14ac:dyDescent="0.3">
      <c r="A2233" s="888" t="str">
        <f>IF(LEN('Translation-EN'!A2233)&gt;0,'Translation-EN'!A2233,"")</f>
        <v>Range</v>
      </c>
      <c r="B2233" s="888" t="str">
        <f>IF(LEN('Translation-EN'!B2233)&gt;0,'Translation-EN'!B2233,"")</f>
        <v>Master sheet</v>
      </c>
      <c r="C2233" s="888" t="str">
        <f>IF(LEN('Translation-EN'!C2233)&gt;0,'Translation-EN'!C2233,"")</f>
        <v>D295</v>
      </c>
      <c r="D2233" s="888" t="str">
        <f>IF(LEN('Translation-EN'!D2233)&gt;0,'Translation-EN'!D2233,"")</f>
        <v/>
      </c>
      <c r="E2233" s="893" t="s">
        <v>6396</v>
      </c>
      <c r="I2233" s="888"/>
      <c r="J2233" s="888"/>
      <c r="K2233" s="888"/>
      <c r="L2233" s="888"/>
      <c r="M2233" s="888"/>
      <c r="N2233" s="888"/>
      <c r="O2233" s="888"/>
      <c r="P2233" s="888"/>
      <c r="Q2233" s="888"/>
      <c r="R2233" s="888"/>
    </row>
    <row r="2234" spans="1:18" s="893" customFormat="1" x14ac:dyDescent="0.3">
      <c r="A2234" s="888" t="str">
        <f>IF(LEN('Translation-EN'!A2234)&gt;0,'Translation-EN'!A2234,"")</f>
        <v>Range</v>
      </c>
      <c r="B2234" s="888" t="str">
        <f>IF(LEN('Translation-EN'!B2234)&gt;0,'Translation-EN'!B2234,"")</f>
        <v>Master sheet</v>
      </c>
      <c r="C2234" s="888" t="str">
        <f>IF(LEN('Translation-EN'!C2234)&gt;0,'Translation-EN'!C2234,"")</f>
        <v>B296</v>
      </c>
      <c r="D2234" s="888" t="str">
        <f>IF(LEN('Translation-EN'!D2234)&gt;0,'Translation-EN'!D2234,"")</f>
        <v/>
      </c>
      <c r="E2234" s="893" t="str">
        <f>$E$2232</f>
        <v>Terre battue</v>
      </c>
      <c r="I2234" s="888"/>
      <c r="J2234" s="888"/>
      <c r="K2234" s="888"/>
      <c r="L2234" s="888"/>
      <c r="M2234" s="888"/>
      <c r="N2234" s="888"/>
      <c r="O2234" s="888"/>
      <c r="P2234" s="888"/>
      <c r="Q2234" s="888"/>
      <c r="R2234" s="888"/>
    </row>
    <row r="2235" spans="1:18" s="893" customFormat="1" x14ac:dyDescent="0.3">
      <c r="A2235" s="888" t="str">
        <f>IF(LEN('Translation-EN'!A2235)&gt;0,'Translation-EN'!A2235,"")</f>
        <v>Range</v>
      </c>
      <c r="B2235" s="888" t="str">
        <f>IF(LEN('Translation-EN'!B2235)&gt;0,'Translation-EN'!B2235,"")</f>
        <v>Master sheet</v>
      </c>
      <c r="C2235" s="888" t="str">
        <f>IF(LEN('Translation-EN'!C2235)&gt;0,'Translation-EN'!C2235,"")</f>
        <v>D296</v>
      </c>
      <c r="D2235" s="888" t="str">
        <f>IF(LEN('Translation-EN'!D2235)&gt;0,'Translation-EN'!D2235,"")</f>
        <v/>
      </c>
      <c r="E2235" s="893" t="s">
        <v>6397</v>
      </c>
      <c r="I2235" s="888"/>
      <c r="J2235" s="888"/>
      <c r="K2235" s="888"/>
      <c r="L2235" s="888"/>
      <c r="M2235" s="888"/>
      <c r="N2235" s="888"/>
      <c r="O2235" s="888"/>
      <c r="P2235" s="888"/>
      <c r="Q2235" s="888"/>
      <c r="R2235" s="888"/>
    </row>
    <row r="2236" spans="1:18" s="893" customFormat="1" x14ac:dyDescent="0.3">
      <c r="A2236" s="888" t="str">
        <f>IF(LEN('Translation-EN'!A2236)&gt;0,'Translation-EN'!A2236,"")</f>
        <v>Range</v>
      </c>
      <c r="B2236" s="888" t="str">
        <f>IF(LEN('Translation-EN'!B2236)&gt;0,'Translation-EN'!B2236,"")</f>
        <v>Master sheet</v>
      </c>
      <c r="C2236" s="888" t="str">
        <f>IF(LEN('Translation-EN'!C2236)&gt;0,'Translation-EN'!C2236,"")</f>
        <v>B297</v>
      </c>
      <c r="D2236" s="888" t="str">
        <f>IF(LEN('Translation-EN'!D2236)&gt;0,'Translation-EN'!D2236,"")</f>
        <v/>
      </c>
      <c r="E2236" s="893" t="str">
        <f>$E$2232</f>
        <v>Terre battue</v>
      </c>
      <c r="I2236" s="888"/>
      <c r="J2236" s="888"/>
      <c r="K2236" s="888"/>
      <c r="L2236" s="888"/>
      <c r="M2236" s="888"/>
      <c r="N2236" s="888"/>
      <c r="O2236" s="888"/>
      <c r="P2236" s="888"/>
      <c r="Q2236" s="888"/>
      <c r="R2236" s="888"/>
    </row>
    <row r="2237" spans="1:18" s="893" customFormat="1" x14ac:dyDescent="0.3">
      <c r="A2237" s="888" t="str">
        <f>IF(LEN('Translation-EN'!A2237)&gt;0,'Translation-EN'!A2237,"")</f>
        <v>Range</v>
      </c>
      <c r="B2237" s="888" t="str">
        <f>IF(LEN('Translation-EN'!B2237)&gt;0,'Translation-EN'!B2237,"")</f>
        <v>Master sheet</v>
      </c>
      <c r="C2237" s="888" t="str">
        <f>IF(LEN('Translation-EN'!C2237)&gt;0,'Translation-EN'!C2237,"")</f>
        <v>D297</v>
      </c>
      <c r="D2237" s="888" t="str">
        <f>IF(LEN('Translation-EN'!D2237)&gt;0,'Translation-EN'!D2237,"")</f>
        <v/>
      </c>
      <c r="E2237" s="893" t="s">
        <v>6398</v>
      </c>
      <c r="I2237" s="888"/>
      <c r="J2237" s="888"/>
      <c r="K2237" s="888"/>
      <c r="L2237" s="888"/>
      <c r="M2237" s="888"/>
      <c r="N2237" s="888"/>
      <c r="O2237" s="888"/>
      <c r="P2237" s="888"/>
      <c r="Q2237" s="888"/>
      <c r="R2237" s="888"/>
    </row>
    <row r="2238" spans="1:18" s="893" customFormat="1" x14ac:dyDescent="0.3">
      <c r="A2238" s="888" t="str">
        <f>IF(LEN('Translation-EN'!A2238)&gt;0,'Translation-EN'!A2238,"")</f>
        <v>Range</v>
      </c>
      <c r="B2238" s="888" t="str">
        <f>IF(LEN('Translation-EN'!B2238)&gt;0,'Translation-EN'!B2238,"")</f>
        <v>Master sheet</v>
      </c>
      <c r="C2238" s="888" t="str">
        <f>IF(LEN('Translation-EN'!C2238)&gt;0,'Translation-EN'!C2238,"")</f>
        <v>B299</v>
      </c>
      <c r="D2238" s="888" t="str">
        <f>IF(LEN('Translation-EN'!D2238)&gt;0,'Translation-EN'!D2238,"")</f>
        <v/>
      </c>
      <c r="E2238" s="893" t="s">
        <v>6399</v>
      </c>
      <c r="I2238" s="888"/>
      <c r="J2238" s="888"/>
      <c r="K2238" s="888"/>
      <c r="L2238" s="888"/>
      <c r="M2238" s="888"/>
      <c r="N2238" s="888"/>
      <c r="O2238" s="888"/>
      <c r="P2238" s="888"/>
      <c r="Q2238" s="888"/>
      <c r="R2238" s="888"/>
    </row>
    <row r="2239" spans="1:18" s="893" customFormat="1" x14ac:dyDescent="0.3">
      <c r="A2239" s="888" t="str">
        <f>IF(LEN('Translation-EN'!A2239)&gt;0,'Translation-EN'!A2239,"")</f>
        <v>Range</v>
      </c>
      <c r="B2239" s="888" t="str">
        <f>IF(LEN('Translation-EN'!B2239)&gt;0,'Translation-EN'!B2239,"")</f>
        <v>Master sheet</v>
      </c>
      <c r="C2239" s="888" t="str">
        <f>IF(LEN('Translation-EN'!C2239)&gt;0,'Translation-EN'!C2239,"")</f>
        <v>C299</v>
      </c>
      <c r="D2239" s="888" t="str">
        <f>IF(LEN('Translation-EN'!D2239)&gt;0,'Translation-EN'!D2239,"")</f>
        <v/>
      </c>
      <c r="E2239" s="893" t="s">
        <v>584</v>
      </c>
      <c r="I2239" s="888"/>
      <c r="J2239" s="888"/>
      <c r="K2239" s="888"/>
      <c r="L2239" s="888"/>
      <c r="M2239" s="888"/>
      <c r="N2239" s="888"/>
      <c r="O2239" s="888"/>
      <c r="P2239" s="888"/>
      <c r="Q2239" s="888"/>
      <c r="R2239" s="888"/>
    </row>
    <row r="2240" spans="1:18" s="893" customFormat="1" x14ac:dyDescent="0.3">
      <c r="A2240" s="888" t="str">
        <f>IF(LEN('Translation-EN'!A2240)&gt;0,'Translation-EN'!A2240,"")</f>
        <v>Range</v>
      </c>
      <c r="B2240" s="888" t="str">
        <f>IF(LEN('Translation-EN'!B2240)&gt;0,'Translation-EN'!B2240,"")</f>
        <v>Master sheet</v>
      </c>
      <c r="C2240" s="888" t="str">
        <f>IF(LEN('Translation-EN'!C2240)&gt;0,'Translation-EN'!C2240,"")</f>
        <v>D299</v>
      </c>
      <c r="D2240" s="888" t="str">
        <f>IF(LEN('Translation-EN'!D2240)&gt;0,'Translation-EN'!D2240,"")</f>
        <v/>
      </c>
      <c r="E2240" s="893" t="s">
        <v>6400</v>
      </c>
      <c r="I2240" s="888"/>
      <c r="J2240" s="888"/>
      <c r="K2240" s="888"/>
      <c r="L2240" s="888"/>
      <c r="M2240" s="888"/>
      <c r="N2240" s="888"/>
      <c r="O2240" s="888"/>
      <c r="P2240" s="888"/>
      <c r="Q2240" s="888"/>
      <c r="R2240" s="888"/>
    </row>
    <row r="2241" spans="1:18" s="893" customFormat="1" x14ac:dyDescent="0.3">
      <c r="A2241" s="888" t="str">
        <f>IF(LEN('Translation-EN'!A2241)&gt;0,'Translation-EN'!A2241,"")</f>
        <v>Range</v>
      </c>
      <c r="B2241" s="888" t="str">
        <f>IF(LEN('Translation-EN'!B2241)&gt;0,'Translation-EN'!B2241,"")</f>
        <v>Master sheet</v>
      </c>
      <c r="C2241" s="888" t="str">
        <f>IF(LEN('Translation-EN'!C2241)&gt;0,'Translation-EN'!C2241,"")</f>
        <v>B301</v>
      </c>
      <c r="D2241" s="888" t="str">
        <f>IF(LEN('Translation-EN'!D2241)&gt;0,'Translation-EN'!D2241,"")</f>
        <v/>
      </c>
      <c r="E2241" s="893" t="str">
        <f>$E$2238</f>
        <v>Barre d’armature</v>
      </c>
      <c r="I2241" s="888"/>
      <c r="J2241" s="888"/>
      <c r="K2241" s="888"/>
      <c r="L2241" s="888"/>
      <c r="M2241" s="888"/>
      <c r="N2241" s="888"/>
      <c r="O2241" s="888"/>
      <c r="P2241" s="888"/>
      <c r="Q2241" s="888"/>
      <c r="R2241" s="888"/>
    </row>
    <row r="2242" spans="1:18" s="893" customFormat="1" x14ac:dyDescent="0.3">
      <c r="A2242" s="888" t="str">
        <f>IF(LEN('Translation-EN'!A2242)&gt;0,'Translation-EN'!A2242,"")</f>
        <v>Range</v>
      </c>
      <c r="B2242" s="888" t="str">
        <f>IF(LEN('Translation-EN'!B2242)&gt;0,'Translation-EN'!B2242,"")</f>
        <v>Master sheet</v>
      </c>
      <c r="C2242" s="888" t="str">
        <f>IF(LEN('Translation-EN'!C2242)&gt;0,'Translation-EN'!C2242,"")</f>
        <v>C301</v>
      </c>
      <c r="D2242" s="888" t="str">
        <f>IF(LEN('Translation-EN'!D2242)&gt;0,'Translation-EN'!D2242,"")</f>
        <v/>
      </c>
      <c r="E2242" s="893" t="str">
        <f>$E$2239</f>
        <v>Concrete Reinforcing Steel Institute</v>
      </c>
      <c r="I2242" s="888"/>
      <c r="J2242" s="888"/>
      <c r="K2242" s="888"/>
      <c r="L2242" s="888"/>
      <c r="M2242" s="888"/>
      <c r="N2242" s="888"/>
      <c r="O2242" s="888"/>
      <c r="P2242" s="888"/>
      <c r="Q2242" s="888"/>
      <c r="R2242" s="888"/>
    </row>
    <row r="2243" spans="1:18" s="893" customFormat="1" x14ac:dyDescent="0.3">
      <c r="A2243" s="888" t="str">
        <f>IF(LEN('Translation-EN'!A2243)&gt;0,'Translation-EN'!A2243,"")</f>
        <v>Range</v>
      </c>
      <c r="B2243" s="888" t="str">
        <f>IF(LEN('Translation-EN'!B2243)&gt;0,'Translation-EN'!B2243,"")</f>
        <v>Master sheet</v>
      </c>
      <c r="C2243" s="888" t="str">
        <f>IF(LEN('Translation-EN'!C2243)&gt;0,'Translation-EN'!C2243,"")</f>
        <v>D301</v>
      </c>
      <c r="D2243" s="888" t="str">
        <f>IF(LEN('Translation-EN'!D2243)&gt;0,'Translation-EN'!D2243,"")</f>
        <v/>
      </c>
      <c r="E2243" s="893" t="str">
        <f>$E$2240</f>
        <v>Tailles canadiennes – 98 % recyclé, four EAF</v>
      </c>
      <c r="I2243" s="888"/>
      <c r="J2243" s="888"/>
      <c r="K2243" s="888"/>
      <c r="L2243" s="888"/>
      <c r="M2243" s="888"/>
      <c r="N2243" s="888"/>
      <c r="O2243" s="888"/>
      <c r="P2243" s="888"/>
      <c r="Q2243" s="888"/>
      <c r="R2243" s="888"/>
    </row>
    <row r="2244" spans="1:18" s="893" customFormat="1" x14ac:dyDescent="0.3">
      <c r="A2244" s="888" t="str">
        <f>IF(LEN('Translation-EN'!A2244)&gt;0,'Translation-EN'!A2244,"")</f>
        <v>Range</v>
      </c>
      <c r="B2244" s="888" t="str">
        <f>IF(LEN('Translation-EN'!B2244)&gt;0,'Translation-EN'!B2244,"")</f>
        <v>Master sheet</v>
      </c>
      <c r="C2244" s="888" t="str">
        <f>IF(LEN('Translation-EN'!C2244)&gt;0,'Translation-EN'!C2244,"")</f>
        <v>B303</v>
      </c>
      <c r="D2244" s="888" t="str">
        <f>IF(LEN('Translation-EN'!D2244)&gt;0,'Translation-EN'!D2244,"")</f>
        <v/>
      </c>
      <c r="E2244" s="893" t="s">
        <v>6401</v>
      </c>
      <c r="I2244" s="888"/>
      <c r="J2244" s="888"/>
      <c r="K2244" s="888"/>
      <c r="L2244" s="888"/>
      <c r="M2244" s="888"/>
      <c r="N2244" s="888"/>
      <c r="O2244" s="888"/>
      <c r="P2244" s="888"/>
      <c r="Q2244" s="888"/>
      <c r="R2244" s="888"/>
    </row>
    <row r="2245" spans="1:18" s="893" customFormat="1" x14ac:dyDescent="0.3">
      <c r="A2245" s="888" t="str">
        <f>IF(LEN('Translation-EN'!A2245)&gt;0,'Translation-EN'!A2245,"")</f>
        <v>Range</v>
      </c>
      <c r="B2245" s="888" t="str">
        <f>IF(LEN('Translation-EN'!B2245)&gt;0,'Translation-EN'!B2245,"")</f>
        <v>Master sheet</v>
      </c>
      <c r="C2245" s="888" t="str">
        <f>IF(LEN('Translation-EN'!C2245)&gt;0,'Translation-EN'!C2245,"")</f>
        <v>C303</v>
      </c>
      <c r="D2245" s="888" t="str">
        <f>IF(LEN('Translation-EN'!D2245)&gt;0,'Translation-EN'!D2245,"")</f>
        <v/>
      </c>
      <c r="E2245" s="893" t="s">
        <v>6402</v>
      </c>
      <c r="I2245" s="888"/>
      <c r="J2245" s="888"/>
      <c r="K2245" s="888"/>
      <c r="L2245" s="888"/>
      <c r="M2245" s="888"/>
      <c r="N2245" s="888"/>
      <c r="O2245" s="888"/>
      <c r="P2245" s="888"/>
      <c r="Q2245" s="888"/>
      <c r="R2245" s="888"/>
    </row>
    <row r="2246" spans="1:18" s="893" customFormat="1" x14ac:dyDescent="0.3">
      <c r="A2246" s="888" t="str">
        <f>IF(LEN('Translation-EN'!A2246)&gt;0,'Translation-EN'!A2246,"")</f>
        <v>Range</v>
      </c>
      <c r="B2246" s="888" t="str">
        <f>IF(LEN('Translation-EN'!B2246)&gt;0,'Translation-EN'!B2246,"")</f>
        <v>Master sheet</v>
      </c>
      <c r="C2246" s="888" t="str">
        <f>IF(LEN('Translation-EN'!C2246)&gt;0,'Translation-EN'!C2246,"")</f>
        <v>D303</v>
      </c>
      <c r="D2246" s="888" t="str">
        <f>IF(LEN('Translation-EN'!D2246)&gt;0,'Translation-EN'!D2246,"")</f>
        <v/>
      </c>
      <c r="E2246" s="893" t="s">
        <v>6403</v>
      </c>
      <c r="I2246" s="888"/>
      <c r="J2246" s="888"/>
      <c r="K2246" s="888"/>
      <c r="L2246" s="888"/>
      <c r="M2246" s="888"/>
      <c r="N2246" s="888"/>
      <c r="O2246" s="888"/>
      <c r="P2246" s="888"/>
      <c r="Q2246" s="888"/>
      <c r="R2246" s="888"/>
    </row>
    <row r="2247" spans="1:18" s="893" customFormat="1" x14ac:dyDescent="0.3">
      <c r="A2247" s="888" t="str">
        <f>IF(LEN('Translation-EN'!A2247)&gt;0,'Translation-EN'!A2247,"")</f>
        <v>Range</v>
      </c>
      <c r="B2247" s="888" t="str">
        <f>IF(LEN('Translation-EN'!B2247)&gt;0,'Translation-EN'!B2247,"")</f>
        <v>Master sheet</v>
      </c>
      <c r="C2247" s="888" t="str">
        <f>IF(LEN('Translation-EN'!C2247)&gt;0,'Translation-EN'!C2247,"")</f>
        <v>B304</v>
      </c>
      <c r="D2247" s="888" t="str">
        <f>IF(LEN('Translation-EN'!D2247)&gt;0,'Translation-EN'!D2247,"")</f>
        <v/>
      </c>
      <c r="E2247" s="893" t="s">
        <v>6404</v>
      </c>
      <c r="I2247" s="888"/>
      <c r="J2247" s="888"/>
      <c r="K2247" s="888"/>
      <c r="L2247" s="888"/>
      <c r="M2247" s="888"/>
      <c r="N2247" s="888"/>
      <c r="O2247" s="888"/>
      <c r="P2247" s="888"/>
      <c r="Q2247" s="888"/>
      <c r="R2247" s="888"/>
    </row>
    <row r="2248" spans="1:18" s="893" customFormat="1" x14ac:dyDescent="0.3">
      <c r="A2248" s="888" t="str">
        <f>IF(LEN('Translation-EN'!A2248)&gt;0,'Translation-EN'!A2248,"")</f>
        <v>Range</v>
      </c>
      <c r="B2248" s="888" t="str">
        <f>IF(LEN('Translation-EN'!B2248)&gt;0,'Translation-EN'!B2248,"")</f>
        <v>Master sheet</v>
      </c>
      <c r="C2248" s="888" t="str">
        <f>IF(LEN('Translation-EN'!C2248)&gt;0,'Translation-EN'!C2248,"")</f>
        <v>C304</v>
      </c>
      <c r="D2248" s="888" t="str">
        <f>IF(LEN('Translation-EN'!D2248)&gt;0,'Translation-EN'!D2248,"")</f>
        <v/>
      </c>
      <c r="E2248" s="893" t="s">
        <v>596</v>
      </c>
      <c r="I2248" s="888"/>
      <c r="J2248" s="888"/>
      <c r="K2248" s="888"/>
      <c r="L2248" s="888"/>
      <c r="M2248" s="888"/>
      <c r="N2248" s="888"/>
      <c r="O2248" s="888"/>
      <c r="P2248" s="888"/>
      <c r="Q2248" s="888"/>
      <c r="R2248" s="888"/>
    </row>
    <row r="2249" spans="1:18" s="893" customFormat="1" x14ac:dyDescent="0.3">
      <c r="A2249" s="888" t="str">
        <f>IF(LEN('Translation-EN'!A2249)&gt;0,'Translation-EN'!A2249,"")</f>
        <v>Range</v>
      </c>
      <c r="B2249" s="888" t="str">
        <f>IF(LEN('Translation-EN'!B2249)&gt;0,'Translation-EN'!B2249,"")</f>
        <v>Master sheet</v>
      </c>
      <c r="C2249" s="888" t="str">
        <f>IF(LEN('Translation-EN'!C2249)&gt;0,'Translation-EN'!C2249,"")</f>
        <v>D304</v>
      </c>
      <c r="D2249" s="888" t="str">
        <f>IF(LEN('Translation-EN'!D2249)&gt;0,'Translation-EN'!D2249,"")</f>
        <v/>
      </c>
      <c r="E2249" s="893" t="s">
        <v>6405</v>
      </c>
      <c r="I2249" s="888"/>
      <c r="J2249" s="888"/>
      <c r="K2249" s="888"/>
      <c r="L2249" s="888"/>
      <c r="M2249" s="888"/>
      <c r="N2249" s="888"/>
      <c r="O2249" s="888"/>
      <c r="P2249" s="888"/>
      <c r="Q2249" s="888"/>
      <c r="R2249" s="888"/>
    </row>
    <row r="2250" spans="1:18" s="893" customFormat="1" x14ac:dyDescent="0.3">
      <c r="A2250" s="888" t="str">
        <f>IF(LEN('Translation-EN'!A2250)&gt;0,'Translation-EN'!A2250,"")</f>
        <v>Range</v>
      </c>
      <c r="B2250" s="888" t="str">
        <f>IF(LEN('Translation-EN'!B2250)&gt;0,'Translation-EN'!B2250,"")</f>
        <v>Master sheet</v>
      </c>
      <c r="C2250" s="888" t="str">
        <f>IF(LEN('Translation-EN'!C2250)&gt;0,'Translation-EN'!C2250,"")</f>
        <v>B305</v>
      </c>
      <c r="D2250" s="888" t="str">
        <f>IF(LEN('Translation-EN'!D2250)&gt;0,'Translation-EN'!D2250,"")</f>
        <v/>
      </c>
      <c r="E2250" s="893" t="s">
        <v>6406</v>
      </c>
      <c r="I2250" s="888"/>
      <c r="J2250" s="888"/>
      <c r="K2250" s="888"/>
      <c r="L2250" s="888"/>
      <c r="M2250" s="888"/>
      <c r="N2250" s="888"/>
      <c r="O2250" s="888"/>
      <c r="P2250" s="888"/>
      <c r="Q2250" s="888"/>
      <c r="R2250" s="888"/>
    </row>
    <row r="2251" spans="1:18" s="893" customFormat="1" x14ac:dyDescent="0.3">
      <c r="A2251" s="888" t="str">
        <f>IF(LEN('Translation-EN'!A2251)&gt;0,'Translation-EN'!A2251,"")</f>
        <v>Range</v>
      </c>
      <c r="B2251" s="888" t="str">
        <f>IF(LEN('Translation-EN'!B2251)&gt;0,'Translation-EN'!B2251,"")</f>
        <v>Master sheet</v>
      </c>
      <c r="C2251" s="888" t="str">
        <f>IF(LEN('Translation-EN'!C2251)&gt;0,'Translation-EN'!C2251,"")</f>
        <v>E305</v>
      </c>
      <c r="D2251" s="888" t="str">
        <f>IF(LEN('Translation-EN'!D2251)&gt;0,'Translation-EN'!D2251,"")</f>
        <v/>
      </c>
      <c r="E2251" s="893" t="s">
        <v>6407</v>
      </c>
      <c r="I2251" s="888"/>
      <c r="J2251" s="888"/>
      <c r="K2251" s="888"/>
      <c r="L2251" s="888"/>
      <c r="M2251" s="888"/>
      <c r="N2251" s="888"/>
      <c r="O2251" s="888"/>
      <c r="P2251" s="888"/>
      <c r="Q2251" s="888"/>
      <c r="R2251" s="888"/>
    </row>
    <row r="2252" spans="1:18" s="893" customFormat="1" x14ac:dyDescent="0.3">
      <c r="A2252" s="888" t="str">
        <f>IF(LEN('Translation-EN'!A2252)&gt;0,'Translation-EN'!A2252,"")</f>
        <v>Range</v>
      </c>
      <c r="B2252" s="888" t="str">
        <f>IF(LEN('Translation-EN'!B2252)&gt;0,'Translation-EN'!B2252,"")</f>
        <v>Master sheet</v>
      </c>
      <c r="C2252" s="888" t="str">
        <f>IF(LEN('Translation-EN'!C2252)&gt;0,'Translation-EN'!C2252,"")</f>
        <v>B306</v>
      </c>
      <c r="D2252" s="888" t="str">
        <f>IF(LEN('Translation-EN'!D2252)&gt;0,'Translation-EN'!D2252,"")</f>
        <v/>
      </c>
      <c r="E2252" s="893" t="s">
        <v>6408</v>
      </c>
      <c r="I2252" s="888"/>
      <c r="J2252" s="888"/>
      <c r="K2252" s="888"/>
      <c r="L2252" s="888"/>
      <c r="M2252" s="888"/>
      <c r="N2252" s="888"/>
      <c r="O2252" s="888"/>
      <c r="P2252" s="888"/>
      <c r="Q2252" s="888"/>
      <c r="R2252" s="888"/>
    </row>
    <row r="2253" spans="1:18" s="893" customFormat="1" x14ac:dyDescent="0.3">
      <c r="A2253" s="888" t="str">
        <f>IF(LEN('Translation-EN'!A2253)&gt;0,'Translation-EN'!A2253,"")</f>
        <v>Range</v>
      </c>
      <c r="B2253" s="888" t="str">
        <f>IF(LEN('Translation-EN'!B2253)&gt;0,'Translation-EN'!B2253,"")</f>
        <v>Master sheet</v>
      </c>
      <c r="C2253" s="888" t="str">
        <f>IF(LEN('Translation-EN'!C2253)&gt;0,'Translation-EN'!C2253,"")</f>
        <v>C306</v>
      </c>
      <c r="D2253" s="888" t="str">
        <f>IF(LEN('Translation-EN'!D2253)&gt;0,'Translation-EN'!D2253,"")</f>
        <v/>
      </c>
      <c r="E2253" s="893" t="s">
        <v>602</v>
      </c>
      <c r="I2253" s="888"/>
      <c r="J2253" s="888"/>
      <c r="K2253" s="888"/>
      <c r="L2253" s="888"/>
      <c r="M2253" s="888"/>
      <c r="N2253" s="888"/>
      <c r="O2253" s="888"/>
      <c r="P2253" s="888"/>
      <c r="Q2253" s="888"/>
      <c r="R2253" s="888"/>
    </row>
    <row r="2254" spans="1:18" s="893" customFormat="1" x14ac:dyDescent="0.3">
      <c r="A2254" s="888" t="str">
        <f>IF(LEN('Translation-EN'!A2254)&gt;0,'Translation-EN'!A2254,"")</f>
        <v>Range</v>
      </c>
      <c r="B2254" s="888" t="str">
        <f>IF(LEN('Translation-EN'!B2254)&gt;0,'Translation-EN'!B2254,"")</f>
        <v>Master sheet</v>
      </c>
      <c r="C2254" s="888" t="str">
        <f>IF(LEN('Translation-EN'!C2254)&gt;0,'Translation-EN'!C2254,"")</f>
        <v>D306</v>
      </c>
      <c r="D2254" s="888" t="str">
        <f>IF(LEN('Translation-EN'!D2254)&gt;0,'Translation-EN'!D2254,"")</f>
        <v/>
      </c>
      <c r="E2254" s="893" t="s">
        <v>6409</v>
      </c>
      <c r="I2254" s="888"/>
      <c r="J2254" s="888"/>
      <c r="K2254" s="888"/>
      <c r="L2254" s="888"/>
      <c r="M2254" s="888"/>
      <c r="N2254" s="888"/>
      <c r="O2254" s="888"/>
      <c r="P2254" s="888"/>
      <c r="Q2254" s="888"/>
      <c r="R2254" s="888"/>
    </row>
    <row r="2255" spans="1:18" s="893" customFormat="1" x14ac:dyDescent="0.3">
      <c r="A2255" s="888" t="str">
        <f>IF(LEN('Translation-EN'!A2255)&gt;0,'Translation-EN'!A2255,"")</f>
        <v>Range</v>
      </c>
      <c r="B2255" s="888" t="str">
        <f>IF(LEN('Translation-EN'!B2255)&gt;0,'Translation-EN'!B2255,"")</f>
        <v>Master sheet</v>
      </c>
      <c r="C2255" s="888" t="str">
        <f>IF(LEN('Translation-EN'!C2255)&gt;0,'Translation-EN'!C2255,"")</f>
        <v>E306</v>
      </c>
      <c r="D2255" s="888" t="str">
        <f>IF(LEN('Translation-EN'!D2255)&gt;0,'Translation-EN'!D2255,"")</f>
        <v/>
      </c>
      <c r="E2255" s="893" t="s">
        <v>6410</v>
      </c>
      <c r="I2255" s="888"/>
      <c r="J2255" s="888"/>
      <c r="K2255" s="888"/>
      <c r="L2255" s="888"/>
      <c r="M2255" s="888"/>
      <c r="N2255" s="888"/>
      <c r="O2255" s="888"/>
      <c r="P2255" s="888"/>
      <c r="Q2255" s="888"/>
      <c r="R2255" s="888"/>
    </row>
    <row r="2256" spans="1:18" s="893" customFormat="1" x14ac:dyDescent="0.3">
      <c r="A2256" s="888" t="str">
        <f>IF(LEN('Translation-EN'!A2256)&gt;0,'Translation-EN'!A2256,"")</f>
        <v>Range</v>
      </c>
      <c r="B2256" s="888" t="str">
        <f>IF(LEN('Translation-EN'!B2256)&gt;0,'Translation-EN'!B2256,"")</f>
        <v>Master sheet</v>
      </c>
      <c r="C2256" s="888" t="str">
        <f>IF(LEN('Translation-EN'!C2256)&gt;0,'Translation-EN'!C2256,"")</f>
        <v>B308</v>
      </c>
      <c r="D2256" s="888" t="str">
        <f>IF(LEN('Translation-EN'!D2256)&gt;0,'Translation-EN'!D2256,"")</f>
        <v/>
      </c>
      <c r="E2256" s="893" t="s">
        <v>6411</v>
      </c>
      <c r="I2256" s="888"/>
      <c r="J2256" s="888"/>
      <c r="K2256" s="888"/>
      <c r="L2256" s="888"/>
      <c r="M2256" s="888"/>
      <c r="N2256" s="888"/>
      <c r="O2256" s="888"/>
      <c r="P2256" s="888"/>
      <c r="Q2256" s="888"/>
      <c r="R2256" s="888"/>
    </row>
    <row r="2257" spans="1:18" s="893" customFormat="1" x14ac:dyDescent="0.3">
      <c r="A2257" s="888" t="str">
        <f>IF(LEN('Translation-EN'!A2257)&gt;0,'Translation-EN'!A2257,"")</f>
        <v>Range</v>
      </c>
      <c r="B2257" s="888" t="str">
        <f>IF(LEN('Translation-EN'!B2257)&gt;0,'Translation-EN'!B2257,"")</f>
        <v>Master sheet</v>
      </c>
      <c r="C2257" s="888" t="str">
        <f>IF(LEN('Translation-EN'!C2257)&gt;0,'Translation-EN'!C2257,"")</f>
        <v>C308</v>
      </c>
      <c r="D2257" s="888" t="str">
        <f>IF(LEN('Translation-EN'!D2257)&gt;0,'Translation-EN'!D2257,"")</f>
        <v/>
      </c>
      <c r="E2257" s="893" t="s">
        <v>605</v>
      </c>
      <c r="I2257" s="888"/>
      <c r="J2257" s="888"/>
      <c r="K2257" s="888"/>
      <c r="L2257" s="888"/>
      <c r="M2257" s="888"/>
      <c r="N2257" s="888"/>
      <c r="O2257" s="888"/>
      <c r="P2257" s="888"/>
      <c r="Q2257" s="888"/>
      <c r="R2257" s="888"/>
    </row>
    <row r="2258" spans="1:18" s="893" customFormat="1" x14ac:dyDescent="0.3">
      <c r="A2258" s="888" t="str">
        <f>IF(LEN('Translation-EN'!A2258)&gt;0,'Translation-EN'!A2258,"")</f>
        <v>Range</v>
      </c>
      <c r="B2258" s="888" t="str">
        <f>IF(LEN('Translation-EN'!B2258)&gt;0,'Translation-EN'!B2258,"")</f>
        <v>Master sheet</v>
      </c>
      <c r="C2258" s="888" t="str">
        <f>IF(LEN('Translation-EN'!C2258)&gt;0,'Translation-EN'!C2258,"")</f>
        <v>E308</v>
      </c>
      <c r="D2258" s="888" t="str">
        <f>IF(LEN('Translation-EN'!D2258)&gt;0,'Translation-EN'!D2258,"")</f>
        <v/>
      </c>
      <c r="E2258" s="893" t="s">
        <v>6412</v>
      </c>
      <c r="I2258" s="888"/>
      <c r="J2258" s="888"/>
      <c r="K2258" s="888"/>
      <c r="L2258" s="888"/>
      <c r="M2258" s="888"/>
      <c r="N2258" s="888"/>
      <c r="O2258" s="888"/>
      <c r="P2258" s="888"/>
      <c r="Q2258" s="888"/>
      <c r="R2258" s="888"/>
    </row>
    <row r="2259" spans="1:18" s="893" customFormat="1" x14ac:dyDescent="0.3">
      <c r="A2259" s="888" t="str">
        <f>IF(LEN('Translation-EN'!A2259)&gt;0,'Translation-EN'!A2259,"")</f>
        <v>Range</v>
      </c>
      <c r="B2259" s="888" t="str">
        <f>IF(LEN('Translation-EN'!B2259)&gt;0,'Translation-EN'!B2259,"")</f>
        <v>Master sheet</v>
      </c>
      <c r="C2259" s="888" t="str">
        <f>IF(LEN('Translation-EN'!C2259)&gt;0,'Translation-EN'!C2259,"")</f>
        <v>B311</v>
      </c>
      <c r="D2259" s="888" t="str">
        <f>IF(LEN('Translation-EN'!D2259)&gt;0,'Translation-EN'!D2259,"")</f>
        <v/>
      </c>
      <c r="E2259" s="893" t="s">
        <v>6413</v>
      </c>
      <c r="I2259" s="888"/>
      <c r="J2259" s="888"/>
      <c r="K2259" s="888"/>
      <c r="L2259" s="888"/>
      <c r="M2259" s="888"/>
      <c r="N2259" s="888"/>
      <c r="O2259" s="888"/>
      <c r="P2259" s="888"/>
      <c r="Q2259" s="888"/>
      <c r="R2259" s="888"/>
    </row>
    <row r="2260" spans="1:18" s="893" customFormat="1" x14ac:dyDescent="0.3">
      <c r="A2260" s="888" t="str">
        <f>IF(LEN('Translation-EN'!A2260)&gt;0,'Translation-EN'!A2260,"")</f>
        <v>Range</v>
      </c>
      <c r="B2260" s="888" t="str">
        <f>IF(LEN('Translation-EN'!B2260)&gt;0,'Translation-EN'!B2260,"")</f>
        <v>Master sheet</v>
      </c>
      <c r="C2260" s="888" t="str">
        <f>IF(LEN('Translation-EN'!C2260)&gt;0,'Translation-EN'!C2260,"")</f>
        <v>C311</v>
      </c>
      <c r="D2260" s="888" t="str">
        <f>IF(LEN('Translation-EN'!D2260)&gt;0,'Translation-EN'!D2260,"")</f>
        <v/>
      </c>
      <c r="E2260" s="893" t="str">
        <f>$E$2257</f>
        <v>SPFA</v>
      </c>
      <c r="I2260" s="888"/>
      <c r="J2260" s="888"/>
      <c r="K2260" s="888"/>
      <c r="L2260" s="888"/>
      <c r="M2260" s="888"/>
      <c r="N2260" s="888"/>
      <c r="O2260" s="888"/>
      <c r="P2260" s="888"/>
      <c r="Q2260" s="888"/>
      <c r="R2260" s="888"/>
    </row>
    <row r="2261" spans="1:18" s="893" customFormat="1" x14ac:dyDescent="0.3">
      <c r="A2261" s="888" t="str">
        <f>IF(LEN('Translation-EN'!A2261)&gt;0,'Translation-EN'!A2261,"")</f>
        <v>Range</v>
      </c>
      <c r="B2261" s="888" t="str">
        <f>IF(LEN('Translation-EN'!B2261)&gt;0,'Translation-EN'!B2261,"")</f>
        <v>Master sheet</v>
      </c>
      <c r="C2261" s="888" t="str">
        <f>IF(LEN('Translation-EN'!C2261)&gt;0,'Translation-EN'!C2261,"")</f>
        <v>B314</v>
      </c>
      <c r="D2261" s="888" t="str">
        <f>IF(LEN('Translation-EN'!D2261)&gt;0,'Translation-EN'!D2261,"")</f>
        <v/>
      </c>
      <c r="E2261" s="893" t="s">
        <v>6414</v>
      </c>
      <c r="I2261" s="888"/>
      <c r="J2261" s="888"/>
      <c r="K2261" s="888"/>
      <c r="L2261" s="888"/>
      <c r="M2261" s="888"/>
      <c r="N2261" s="888"/>
      <c r="O2261" s="888"/>
      <c r="P2261" s="888"/>
      <c r="Q2261" s="888"/>
      <c r="R2261" s="888"/>
    </row>
    <row r="2262" spans="1:18" s="893" customFormat="1" x14ac:dyDescent="0.3">
      <c r="A2262" s="888" t="str">
        <f>IF(LEN('Translation-EN'!A2262)&gt;0,'Translation-EN'!A2262,"")</f>
        <v>Range</v>
      </c>
      <c r="B2262" s="888" t="str">
        <f>IF(LEN('Translation-EN'!B2262)&gt;0,'Translation-EN'!B2262,"")</f>
        <v>Master sheet</v>
      </c>
      <c r="C2262" s="888" t="str">
        <f>IF(LEN('Translation-EN'!C2262)&gt;0,'Translation-EN'!C2262,"")</f>
        <v>C314</v>
      </c>
      <c r="D2262" s="888" t="str">
        <f>IF(LEN('Translation-EN'!D2262)&gt;0,'Translation-EN'!D2262,"")</f>
        <v/>
      </c>
      <c r="E2262" s="893" t="str">
        <f>$E$2257</f>
        <v>SPFA</v>
      </c>
      <c r="I2262" s="888"/>
      <c r="J2262" s="888"/>
      <c r="K2262" s="888"/>
      <c r="L2262" s="888"/>
      <c r="M2262" s="888"/>
      <c r="N2262" s="888"/>
      <c r="O2262" s="888"/>
      <c r="P2262" s="888"/>
      <c r="Q2262" s="888"/>
      <c r="R2262" s="888"/>
    </row>
    <row r="2263" spans="1:18" s="893" customFormat="1" x14ac:dyDescent="0.3">
      <c r="A2263" s="888" t="str">
        <f>IF(LEN('Translation-EN'!A2263)&gt;0,'Translation-EN'!A2263,"")</f>
        <v>Range</v>
      </c>
      <c r="B2263" s="888" t="str">
        <f>IF(LEN('Translation-EN'!B2263)&gt;0,'Translation-EN'!B2263,"")</f>
        <v>Master sheet</v>
      </c>
      <c r="C2263" s="888" t="str">
        <f>IF(LEN('Translation-EN'!C2263)&gt;0,'Translation-EN'!C2263,"")</f>
        <v>E314</v>
      </c>
      <c r="D2263" s="888" t="str">
        <f>IF(LEN('Translation-EN'!D2263)&gt;0,'Translation-EN'!D2263,"")</f>
        <v/>
      </c>
      <c r="E2263" s="893" t="s">
        <v>6415</v>
      </c>
      <c r="I2263" s="888"/>
      <c r="J2263" s="888"/>
      <c r="K2263" s="888"/>
      <c r="L2263" s="888"/>
      <c r="M2263" s="888"/>
      <c r="N2263" s="888"/>
      <c r="O2263" s="888"/>
      <c r="P2263" s="888"/>
      <c r="Q2263" s="888"/>
      <c r="R2263" s="888"/>
    </row>
    <row r="2264" spans="1:18" s="893" customFormat="1" x14ac:dyDescent="0.3">
      <c r="A2264" s="888" t="str">
        <f>IF(LEN('Translation-EN'!A2264)&gt;0,'Translation-EN'!A2264,"")</f>
        <v>Range</v>
      </c>
      <c r="B2264" s="888" t="str">
        <f>IF(LEN('Translation-EN'!B2264)&gt;0,'Translation-EN'!B2264,"")</f>
        <v>Master sheet</v>
      </c>
      <c r="C2264" s="888" t="str">
        <f>IF(LEN('Translation-EN'!C2264)&gt;0,'Translation-EN'!C2264,"")</f>
        <v>B325</v>
      </c>
      <c r="D2264" s="888" t="str">
        <f>IF(LEN('Translation-EN'!D2264)&gt;0,'Translation-EN'!D2264,"")</f>
        <v/>
      </c>
      <c r="E2264" s="893" t="s">
        <v>6416</v>
      </c>
      <c r="I2264" s="888"/>
      <c r="J2264" s="888"/>
      <c r="K2264" s="888"/>
      <c r="L2264" s="888"/>
      <c r="M2264" s="888"/>
      <c r="N2264" s="888"/>
      <c r="O2264" s="888"/>
      <c r="P2264" s="888"/>
      <c r="Q2264" s="888"/>
      <c r="R2264" s="888"/>
    </row>
    <row r="2265" spans="1:18" s="893" customFormat="1" x14ac:dyDescent="0.3">
      <c r="A2265" s="888" t="str">
        <f>IF(LEN('Translation-EN'!A2265)&gt;0,'Translation-EN'!A2265,"")</f>
        <v>Range</v>
      </c>
      <c r="B2265" s="888" t="str">
        <f>IF(LEN('Translation-EN'!B2265)&gt;0,'Translation-EN'!B2265,"")</f>
        <v>Master sheet</v>
      </c>
      <c r="C2265" s="888" t="str">
        <f>IF(LEN('Translation-EN'!C2265)&gt;0,'Translation-EN'!C2265,"")</f>
        <v>C325</v>
      </c>
      <c r="D2265" s="888" t="str">
        <f>IF(LEN('Translation-EN'!D2265)&gt;0,'Translation-EN'!D2265,"")</f>
        <v/>
      </c>
      <c r="E2265" s="893" t="s">
        <v>614</v>
      </c>
      <c r="I2265" s="888"/>
      <c r="J2265" s="888"/>
      <c r="K2265" s="888"/>
      <c r="L2265" s="888"/>
      <c r="M2265" s="888"/>
      <c r="N2265" s="888"/>
      <c r="O2265" s="888"/>
      <c r="P2265" s="888"/>
      <c r="Q2265" s="888"/>
      <c r="R2265" s="888"/>
    </row>
    <row r="2266" spans="1:18" s="893" customFormat="1" x14ac:dyDescent="0.3">
      <c r="A2266" s="888" t="str">
        <f>IF(LEN('Translation-EN'!A2266)&gt;0,'Translation-EN'!A2266,"")</f>
        <v>Range</v>
      </c>
      <c r="B2266" s="888" t="str">
        <f>IF(LEN('Translation-EN'!B2266)&gt;0,'Translation-EN'!B2266,"")</f>
        <v>Master sheet</v>
      </c>
      <c r="C2266" s="888" t="str">
        <f>IF(LEN('Translation-EN'!C2266)&gt;0,'Translation-EN'!C2266,"")</f>
        <v>E325</v>
      </c>
      <c r="D2266" s="888" t="str">
        <f>IF(LEN('Translation-EN'!D2266)&gt;0,'Translation-EN'!D2266,"")</f>
        <v/>
      </c>
      <c r="E2266" s="893" t="s">
        <v>1386</v>
      </c>
      <c r="I2266" s="888"/>
      <c r="J2266" s="888"/>
      <c r="K2266" s="888"/>
      <c r="L2266" s="888"/>
      <c r="M2266" s="888"/>
      <c r="N2266" s="888"/>
      <c r="O2266" s="888"/>
      <c r="P2266" s="888"/>
      <c r="Q2266" s="888"/>
      <c r="R2266" s="888"/>
    </row>
    <row r="2267" spans="1:18" s="893" customFormat="1" x14ac:dyDescent="0.3">
      <c r="A2267" s="888" t="str">
        <f>IF(LEN('Translation-EN'!A2267)&gt;0,'Translation-EN'!A2267,"")</f>
        <v>Range</v>
      </c>
      <c r="B2267" s="888" t="str">
        <f>IF(LEN('Translation-EN'!B2267)&gt;0,'Translation-EN'!B2267,"")</f>
        <v>Master sheet</v>
      </c>
      <c r="C2267" s="888" t="str">
        <f>IF(LEN('Translation-EN'!C2267)&gt;0,'Translation-EN'!C2267,"")</f>
        <v>B326</v>
      </c>
      <c r="D2267" s="888" t="str">
        <f>IF(LEN('Translation-EN'!D2267)&gt;0,'Translation-EN'!D2267,"")</f>
        <v/>
      </c>
      <c r="E2267" s="893" t="str">
        <f>$E$2264</f>
        <v>Poutre en acier</v>
      </c>
      <c r="I2267" s="888"/>
      <c r="J2267" s="888"/>
      <c r="K2267" s="888"/>
      <c r="L2267" s="888"/>
      <c r="M2267" s="888"/>
      <c r="N2267" s="888"/>
      <c r="O2267" s="888"/>
      <c r="P2267" s="888"/>
      <c r="Q2267" s="888"/>
      <c r="R2267" s="888"/>
    </row>
    <row r="2268" spans="1:18" s="893" customFormat="1" x14ac:dyDescent="0.3">
      <c r="A2268" s="888" t="str">
        <f>IF(LEN('Translation-EN'!A2268)&gt;0,'Translation-EN'!A2268,"")</f>
        <v>Range</v>
      </c>
      <c r="B2268" s="888" t="str">
        <f>IF(LEN('Translation-EN'!B2268)&gt;0,'Translation-EN'!B2268,"")</f>
        <v>Master sheet</v>
      </c>
      <c r="C2268" s="888" t="str">
        <f>IF(LEN('Translation-EN'!C2268)&gt;0,'Translation-EN'!C2268,"")</f>
        <v>C326</v>
      </c>
      <c r="D2268" s="888" t="str">
        <f>IF(LEN('Translation-EN'!D2268)&gt;0,'Translation-EN'!D2268,"")</f>
        <v/>
      </c>
      <c r="E2268" s="893" t="str">
        <f>$E$2265</f>
        <v>American Institute of Steel Construction</v>
      </c>
      <c r="I2268" s="888"/>
      <c r="J2268" s="888"/>
      <c r="K2268" s="888"/>
      <c r="L2268" s="888"/>
      <c r="M2268" s="888"/>
      <c r="N2268" s="888"/>
      <c r="O2268" s="888"/>
      <c r="P2268" s="888"/>
      <c r="Q2268" s="888"/>
      <c r="R2268" s="888"/>
    </row>
    <row r="2269" spans="1:18" s="893" customFormat="1" x14ac:dyDescent="0.3">
      <c r="A2269" s="888" t="str">
        <f>IF(LEN('Translation-EN'!A2269)&gt;0,'Translation-EN'!A2269,"")</f>
        <v>Range</v>
      </c>
      <c r="B2269" s="888" t="str">
        <f>IF(LEN('Translation-EN'!B2269)&gt;0,'Translation-EN'!B2269,"")</f>
        <v>Master sheet</v>
      </c>
      <c r="C2269" s="888" t="str">
        <f>IF(LEN('Translation-EN'!C2269)&gt;0,'Translation-EN'!C2269,"")</f>
        <v>E326</v>
      </c>
      <c r="D2269" s="888" t="str">
        <f>IF(LEN('Translation-EN'!D2269)&gt;0,'Translation-EN'!D2269,"")</f>
        <v/>
      </c>
      <c r="E2269" s="893" t="s">
        <v>1387</v>
      </c>
      <c r="I2269" s="888"/>
      <c r="J2269" s="888"/>
      <c r="K2269" s="888"/>
      <c r="L2269" s="888"/>
      <c r="M2269" s="888"/>
      <c r="N2269" s="888"/>
      <c r="O2269" s="888"/>
      <c r="P2269" s="888"/>
      <c r="Q2269" s="888"/>
      <c r="R2269" s="888"/>
    </row>
    <row r="2270" spans="1:18" s="893" customFormat="1" x14ac:dyDescent="0.3">
      <c r="A2270" s="888" t="str">
        <f>IF(LEN('Translation-EN'!A2270)&gt;0,'Translation-EN'!A2270,"")</f>
        <v>Range</v>
      </c>
      <c r="B2270" s="888" t="str">
        <f>IF(LEN('Translation-EN'!B2270)&gt;0,'Translation-EN'!B2270,"")</f>
        <v>Master sheet</v>
      </c>
      <c r="C2270" s="888" t="str">
        <f>IF(LEN('Translation-EN'!C2270)&gt;0,'Translation-EN'!C2270,"")</f>
        <v>B327</v>
      </c>
      <c r="D2270" s="888" t="str">
        <f>IF(LEN('Translation-EN'!D2270)&gt;0,'Translation-EN'!D2270,"")</f>
        <v/>
      </c>
      <c r="E2270" s="893" t="str">
        <f>$E$2264</f>
        <v>Poutre en acier</v>
      </c>
      <c r="I2270" s="888"/>
      <c r="J2270" s="888"/>
      <c r="K2270" s="888"/>
      <c r="L2270" s="888"/>
      <c r="M2270" s="888"/>
      <c r="N2270" s="888"/>
      <c r="O2270" s="888"/>
      <c r="P2270" s="888"/>
      <c r="Q2270" s="888"/>
      <c r="R2270" s="888"/>
    </row>
    <row r="2271" spans="1:18" s="893" customFormat="1" x14ac:dyDescent="0.3">
      <c r="A2271" s="888" t="str">
        <f>IF(LEN('Translation-EN'!A2271)&gt;0,'Translation-EN'!A2271,"")</f>
        <v>Range</v>
      </c>
      <c r="B2271" s="888" t="str">
        <f>IF(LEN('Translation-EN'!B2271)&gt;0,'Translation-EN'!B2271,"")</f>
        <v>Master sheet</v>
      </c>
      <c r="C2271" s="888" t="str">
        <f>IF(LEN('Translation-EN'!C2271)&gt;0,'Translation-EN'!C2271,"")</f>
        <v>C327</v>
      </c>
      <c r="D2271" s="888" t="str">
        <f>IF(LEN('Translation-EN'!D2271)&gt;0,'Translation-EN'!D2271,"")</f>
        <v/>
      </c>
      <c r="E2271" s="893" t="str">
        <f>$E$2265</f>
        <v>American Institute of Steel Construction</v>
      </c>
      <c r="I2271" s="888"/>
      <c r="J2271" s="888"/>
      <c r="K2271" s="888"/>
      <c r="L2271" s="888"/>
      <c r="M2271" s="888"/>
      <c r="N2271" s="888"/>
      <c r="O2271" s="888"/>
      <c r="P2271" s="888"/>
      <c r="Q2271" s="888"/>
      <c r="R2271" s="888"/>
    </row>
    <row r="2272" spans="1:18" s="893" customFormat="1" x14ac:dyDescent="0.3">
      <c r="A2272" s="888" t="str">
        <f>IF(LEN('Translation-EN'!A2272)&gt;0,'Translation-EN'!A2272,"")</f>
        <v>Range</v>
      </c>
      <c r="B2272" s="888" t="str">
        <f>IF(LEN('Translation-EN'!B2272)&gt;0,'Translation-EN'!B2272,"")</f>
        <v>Master sheet</v>
      </c>
      <c r="C2272" s="888" t="str">
        <f>IF(LEN('Translation-EN'!C2272)&gt;0,'Translation-EN'!C2272,"")</f>
        <v>E327</v>
      </c>
      <c r="D2272" s="888" t="str">
        <f>IF(LEN('Translation-EN'!D2272)&gt;0,'Translation-EN'!D2272,"")</f>
        <v/>
      </c>
      <c r="E2272" s="893" t="s">
        <v>1388</v>
      </c>
      <c r="I2272" s="888"/>
      <c r="J2272" s="888"/>
      <c r="K2272" s="888"/>
      <c r="L2272" s="888"/>
      <c r="M2272" s="888"/>
      <c r="N2272" s="888"/>
      <c r="O2272" s="888"/>
      <c r="P2272" s="888"/>
      <c r="Q2272" s="888"/>
      <c r="R2272" s="888"/>
    </row>
    <row r="2273" spans="1:18" s="893" customFormat="1" x14ac:dyDescent="0.3">
      <c r="A2273" s="888" t="str">
        <f>IF(LEN('Translation-EN'!A2273)&gt;0,'Translation-EN'!A2273,"")</f>
        <v>Range</v>
      </c>
      <c r="B2273" s="888" t="str">
        <f>IF(LEN('Translation-EN'!B2273)&gt;0,'Translation-EN'!B2273,"")</f>
        <v>Master sheet</v>
      </c>
      <c r="C2273" s="888" t="str">
        <f>IF(LEN('Translation-EN'!C2273)&gt;0,'Translation-EN'!C2273,"")</f>
        <v>B328</v>
      </c>
      <c r="D2273" s="888" t="str">
        <f>IF(LEN('Translation-EN'!D2273)&gt;0,'Translation-EN'!D2273,"")</f>
        <v/>
      </c>
      <c r="E2273" s="893" t="str">
        <f>$E$2264</f>
        <v>Poutre en acier</v>
      </c>
      <c r="I2273" s="888"/>
      <c r="J2273" s="888"/>
      <c r="K2273" s="888"/>
      <c r="L2273" s="888"/>
      <c r="M2273" s="888"/>
      <c r="N2273" s="888"/>
      <c r="O2273" s="888"/>
      <c r="P2273" s="888"/>
      <c r="Q2273" s="888"/>
      <c r="R2273" s="888"/>
    </row>
    <row r="2274" spans="1:18" s="893" customFormat="1" x14ac:dyDescent="0.3">
      <c r="A2274" s="888" t="str">
        <f>IF(LEN('Translation-EN'!A2274)&gt;0,'Translation-EN'!A2274,"")</f>
        <v>Range</v>
      </c>
      <c r="B2274" s="888" t="str">
        <f>IF(LEN('Translation-EN'!B2274)&gt;0,'Translation-EN'!B2274,"")</f>
        <v>Master sheet</v>
      </c>
      <c r="C2274" s="888" t="str">
        <f>IF(LEN('Translation-EN'!C2274)&gt;0,'Translation-EN'!C2274,"")</f>
        <v>C328</v>
      </c>
      <c r="D2274" s="888" t="str">
        <f>IF(LEN('Translation-EN'!D2274)&gt;0,'Translation-EN'!D2274,"")</f>
        <v/>
      </c>
      <c r="E2274" s="893" t="str">
        <f>$E$2265</f>
        <v>American Institute of Steel Construction</v>
      </c>
      <c r="I2274" s="888"/>
      <c r="J2274" s="888"/>
      <c r="K2274" s="888"/>
      <c r="L2274" s="888"/>
      <c r="M2274" s="888"/>
      <c r="N2274" s="888"/>
      <c r="O2274" s="888"/>
      <c r="P2274" s="888"/>
      <c r="Q2274" s="888"/>
      <c r="R2274" s="888"/>
    </row>
    <row r="2275" spans="1:18" s="893" customFormat="1" x14ac:dyDescent="0.3">
      <c r="A2275" s="888" t="str">
        <f>IF(LEN('Translation-EN'!A2275)&gt;0,'Translation-EN'!A2275,"")</f>
        <v>Range</v>
      </c>
      <c r="B2275" s="888" t="str">
        <f>IF(LEN('Translation-EN'!B2275)&gt;0,'Translation-EN'!B2275,"")</f>
        <v>Master sheet</v>
      </c>
      <c r="C2275" s="888" t="str">
        <f>IF(LEN('Translation-EN'!C2275)&gt;0,'Translation-EN'!C2275,"")</f>
        <v>E328</v>
      </c>
      <c r="D2275" s="888" t="str">
        <f>IF(LEN('Translation-EN'!D2275)&gt;0,'Translation-EN'!D2275,"")</f>
        <v/>
      </c>
      <c r="E2275" s="893" t="s">
        <v>1385</v>
      </c>
      <c r="I2275" s="888"/>
      <c r="J2275" s="888"/>
      <c r="K2275" s="888"/>
      <c r="L2275" s="888"/>
      <c r="M2275" s="888"/>
      <c r="N2275" s="888"/>
      <c r="O2275" s="888"/>
      <c r="P2275" s="888"/>
      <c r="Q2275" s="888"/>
      <c r="R2275" s="888"/>
    </row>
    <row r="2276" spans="1:18" s="893" customFormat="1" x14ac:dyDescent="0.3">
      <c r="A2276" s="888" t="str">
        <f>IF(LEN('Translation-EN'!A2276)&gt;0,'Translation-EN'!A2276,"")</f>
        <v>Range</v>
      </c>
      <c r="B2276" s="888" t="str">
        <f>IF(LEN('Translation-EN'!B2276)&gt;0,'Translation-EN'!B2276,"")</f>
        <v>Master sheet</v>
      </c>
      <c r="C2276" s="888" t="str">
        <f>IF(LEN('Translation-EN'!C2276)&gt;0,'Translation-EN'!C2276,"")</f>
        <v>B329</v>
      </c>
      <c r="D2276" s="888" t="str">
        <f>IF(LEN('Translation-EN'!D2276)&gt;0,'Translation-EN'!D2276,"")</f>
        <v/>
      </c>
      <c r="E2276" s="893" t="str">
        <f>$E$2264</f>
        <v>Poutre en acier</v>
      </c>
      <c r="I2276" s="888"/>
      <c r="J2276" s="888"/>
      <c r="K2276" s="888"/>
      <c r="L2276" s="888"/>
      <c r="M2276" s="888"/>
      <c r="N2276" s="888"/>
      <c r="O2276" s="888"/>
      <c r="P2276" s="888"/>
      <c r="Q2276" s="888"/>
      <c r="R2276" s="888"/>
    </row>
    <row r="2277" spans="1:18" s="893" customFormat="1" x14ac:dyDescent="0.3">
      <c r="A2277" s="888" t="str">
        <f>IF(LEN('Translation-EN'!A2277)&gt;0,'Translation-EN'!A2277,"")</f>
        <v>Range</v>
      </c>
      <c r="B2277" s="888" t="str">
        <f>IF(LEN('Translation-EN'!B2277)&gt;0,'Translation-EN'!B2277,"")</f>
        <v>Master sheet</v>
      </c>
      <c r="C2277" s="888" t="str">
        <f>IF(LEN('Translation-EN'!C2277)&gt;0,'Translation-EN'!C2277,"")</f>
        <v>C329</v>
      </c>
      <c r="D2277" s="888" t="str">
        <f>IF(LEN('Translation-EN'!D2277)&gt;0,'Translation-EN'!D2277,"")</f>
        <v/>
      </c>
      <c r="E2277" s="893" t="str">
        <f>$E$2265</f>
        <v>American Institute of Steel Construction</v>
      </c>
      <c r="I2277" s="888"/>
      <c r="J2277" s="888"/>
      <c r="K2277" s="888"/>
      <c r="L2277" s="888"/>
      <c r="M2277" s="888"/>
      <c r="N2277" s="888"/>
      <c r="O2277" s="888"/>
      <c r="P2277" s="888"/>
      <c r="Q2277" s="888"/>
      <c r="R2277" s="888"/>
    </row>
    <row r="2278" spans="1:18" s="893" customFormat="1" x14ac:dyDescent="0.3">
      <c r="A2278" s="888" t="str">
        <f>IF(LEN('Translation-EN'!A2278)&gt;0,'Translation-EN'!A2278,"")</f>
        <v>Range</v>
      </c>
      <c r="B2278" s="888" t="str">
        <f>IF(LEN('Translation-EN'!B2278)&gt;0,'Translation-EN'!B2278,"")</f>
        <v>Master sheet</v>
      </c>
      <c r="C2278" s="888" t="str">
        <f>IF(LEN('Translation-EN'!C2278)&gt;0,'Translation-EN'!C2278,"")</f>
        <v>E329</v>
      </c>
      <c r="D2278" s="888" t="str">
        <f>IF(LEN('Translation-EN'!D2278)&gt;0,'Translation-EN'!D2278,"")</f>
        <v/>
      </c>
      <c r="E2278" s="893" t="s">
        <v>1389</v>
      </c>
      <c r="I2278" s="888"/>
      <c r="J2278" s="888"/>
      <c r="K2278" s="888"/>
      <c r="L2278" s="888"/>
      <c r="M2278" s="888"/>
      <c r="N2278" s="888"/>
      <c r="O2278" s="888"/>
      <c r="P2278" s="888"/>
      <c r="Q2278" s="888"/>
      <c r="R2278" s="888"/>
    </row>
    <row r="2279" spans="1:18" s="893" customFormat="1" x14ac:dyDescent="0.3">
      <c r="A2279" s="888" t="str">
        <f>IF(LEN('Translation-EN'!A2279)&gt;0,'Translation-EN'!A2279,"")</f>
        <v>Range</v>
      </c>
      <c r="B2279" s="888" t="str">
        <f>IF(LEN('Translation-EN'!B2279)&gt;0,'Translation-EN'!B2279,"")</f>
        <v>Master sheet</v>
      </c>
      <c r="C2279" s="888" t="str">
        <f>IF(LEN('Translation-EN'!C2279)&gt;0,'Translation-EN'!C2279,"")</f>
        <v>B330</v>
      </c>
      <c r="D2279" s="888" t="str">
        <f>IF(LEN('Translation-EN'!D2279)&gt;0,'Translation-EN'!D2279,"")</f>
        <v/>
      </c>
      <c r="E2279" s="893" t="str">
        <f>$E$2264</f>
        <v>Poutre en acier</v>
      </c>
      <c r="I2279" s="888"/>
      <c r="J2279" s="888"/>
      <c r="K2279" s="888"/>
      <c r="L2279" s="888"/>
      <c r="M2279" s="888"/>
      <c r="N2279" s="888"/>
      <c r="O2279" s="888"/>
      <c r="P2279" s="888"/>
      <c r="Q2279" s="888"/>
      <c r="R2279" s="888"/>
    </row>
    <row r="2280" spans="1:18" s="893" customFormat="1" x14ac:dyDescent="0.3">
      <c r="A2280" s="888" t="str">
        <f>IF(LEN('Translation-EN'!A2280)&gt;0,'Translation-EN'!A2280,"")</f>
        <v>Range</v>
      </c>
      <c r="B2280" s="888" t="str">
        <f>IF(LEN('Translation-EN'!B2280)&gt;0,'Translation-EN'!B2280,"")</f>
        <v>Master sheet</v>
      </c>
      <c r="C2280" s="888" t="str">
        <f>IF(LEN('Translation-EN'!C2280)&gt;0,'Translation-EN'!C2280,"")</f>
        <v>C330</v>
      </c>
      <c r="D2280" s="888" t="str">
        <f>IF(LEN('Translation-EN'!D2280)&gt;0,'Translation-EN'!D2280,"")</f>
        <v/>
      </c>
      <c r="E2280" s="893" t="str">
        <f>$E$2265</f>
        <v>American Institute of Steel Construction</v>
      </c>
      <c r="I2280" s="888"/>
      <c r="J2280" s="888"/>
      <c r="K2280" s="888"/>
      <c r="L2280" s="888"/>
      <c r="M2280" s="888"/>
      <c r="N2280" s="888"/>
      <c r="O2280" s="888"/>
      <c r="P2280" s="888"/>
      <c r="Q2280" s="888"/>
      <c r="R2280" s="888"/>
    </row>
    <row r="2281" spans="1:18" s="893" customFormat="1" x14ac:dyDescent="0.3">
      <c r="A2281" s="888" t="str">
        <f>IF(LEN('Translation-EN'!A2281)&gt;0,'Translation-EN'!A2281,"")</f>
        <v>Range</v>
      </c>
      <c r="B2281" s="888" t="str">
        <f>IF(LEN('Translation-EN'!B2281)&gt;0,'Translation-EN'!B2281,"")</f>
        <v>Master sheet</v>
      </c>
      <c r="C2281" s="888" t="str">
        <f>IF(LEN('Translation-EN'!C2281)&gt;0,'Translation-EN'!C2281,"")</f>
        <v>E330</v>
      </c>
      <c r="D2281" s="888" t="str">
        <f>IF(LEN('Translation-EN'!D2281)&gt;0,'Translation-EN'!D2281,"")</f>
        <v/>
      </c>
      <c r="E2281" s="893" t="s">
        <v>1390</v>
      </c>
      <c r="I2281" s="888"/>
      <c r="J2281" s="888"/>
      <c r="K2281" s="888"/>
      <c r="L2281" s="888"/>
      <c r="M2281" s="888"/>
      <c r="N2281" s="888"/>
      <c r="O2281" s="888"/>
      <c r="P2281" s="888"/>
      <c r="Q2281" s="888"/>
      <c r="R2281" s="888"/>
    </row>
    <row r="2282" spans="1:18" s="893" customFormat="1" x14ac:dyDescent="0.3">
      <c r="A2282" s="888" t="str">
        <f>IF(LEN('Translation-EN'!A2282)&gt;0,'Translation-EN'!A2282,"")</f>
        <v>Range</v>
      </c>
      <c r="B2282" s="888" t="str">
        <f>IF(LEN('Translation-EN'!B2282)&gt;0,'Translation-EN'!B2282,"")</f>
        <v>Master sheet</v>
      </c>
      <c r="C2282" s="888" t="str">
        <f>IF(LEN('Translation-EN'!C2282)&gt;0,'Translation-EN'!C2282,"")</f>
        <v>B331</v>
      </c>
      <c r="D2282" s="888" t="str">
        <f>IF(LEN('Translation-EN'!D2282)&gt;0,'Translation-EN'!D2282,"")</f>
        <v/>
      </c>
      <c r="E2282" s="893" t="str">
        <f>$E$2264</f>
        <v>Poutre en acier</v>
      </c>
      <c r="I2282" s="888"/>
      <c r="J2282" s="888"/>
      <c r="K2282" s="888"/>
      <c r="L2282" s="888"/>
      <c r="M2282" s="888"/>
      <c r="N2282" s="888"/>
      <c r="O2282" s="888"/>
      <c r="P2282" s="888"/>
      <c r="Q2282" s="888"/>
      <c r="R2282" s="888"/>
    </row>
    <row r="2283" spans="1:18" s="893" customFormat="1" x14ac:dyDescent="0.3">
      <c r="A2283" s="888" t="str">
        <f>IF(LEN('Translation-EN'!A2283)&gt;0,'Translation-EN'!A2283,"")</f>
        <v>Range</v>
      </c>
      <c r="B2283" s="888" t="str">
        <f>IF(LEN('Translation-EN'!B2283)&gt;0,'Translation-EN'!B2283,"")</f>
        <v>Master sheet</v>
      </c>
      <c r="C2283" s="888" t="str">
        <f>IF(LEN('Translation-EN'!C2283)&gt;0,'Translation-EN'!C2283,"")</f>
        <v>C331</v>
      </c>
      <c r="D2283" s="888" t="str">
        <f>IF(LEN('Translation-EN'!D2283)&gt;0,'Translation-EN'!D2283,"")</f>
        <v/>
      </c>
      <c r="E2283" s="893" t="str">
        <f>$E$2265</f>
        <v>American Institute of Steel Construction</v>
      </c>
      <c r="I2283" s="888"/>
      <c r="J2283" s="888"/>
      <c r="K2283" s="888"/>
      <c r="L2283" s="888"/>
      <c r="M2283" s="888"/>
      <c r="N2283" s="888"/>
      <c r="O2283" s="888"/>
      <c r="P2283" s="888"/>
      <c r="Q2283" s="888"/>
      <c r="R2283" s="888"/>
    </row>
    <row r="2284" spans="1:18" s="893" customFormat="1" x14ac:dyDescent="0.3">
      <c r="A2284" s="888" t="str">
        <f>IF(LEN('Translation-EN'!A2284)&gt;0,'Translation-EN'!A2284,"")</f>
        <v>Range</v>
      </c>
      <c r="B2284" s="888" t="str">
        <f>IF(LEN('Translation-EN'!B2284)&gt;0,'Translation-EN'!B2284,"")</f>
        <v>Master sheet</v>
      </c>
      <c r="C2284" s="888" t="str">
        <f>IF(LEN('Translation-EN'!C2284)&gt;0,'Translation-EN'!C2284,"")</f>
        <v>E331</v>
      </c>
      <c r="D2284" s="888" t="str">
        <f>IF(LEN('Translation-EN'!D2284)&gt;0,'Translation-EN'!D2284,"")</f>
        <v/>
      </c>
      <c r="E2284" s="893" t="s">
        <v>1391</v>
      </c>
      <c r="I2284" s="888"/>
      <c r="J2284" s="888"/>
      <c r="K2284" s="888"/>
      <c r="L2284" s="888"/>
      <c r="M2284" s="888"/>
      <c r="N2284" s="888"/>
      <c r="O2284" s="888"/>
      <c r="P2284" s="888"/>
      <c r="Q2284" s="888"/>
      <c r="R2284" s="888"/>
    </row>
    <row r="2285" spans="1:18" s="893" customFormat="1" x14ac:dyDescent="0.3">
      <c r="A2285" s="888" t="str">
        <f>IF(LEN('Translation-EN'!A2285)&gt;0,'Translation-EN'!A2285,"")</f>
        <v>Range</v>
      </c>
      <c r="B2285" s="888" t="str">
        <f>IF(LEN('Translation-EN'!B2285)&gt;0,'Translation-EN'!B2285,"")</f>
        <v>Master sheet</v>
      </c>
      <c r="C2285" s="888" t="str">
        <f>IF(LEN('Translation-EN'!C2285)&gt;0,'Translation-EN'!C2285,"")</f>
        <v>B332</v>
      </c>
      <c r="D2285" s="888" t="str">
        <f>IF(LEN('Translation-EN'!D2285)&gt;0,'Translation-EN'!D2285,"")</f>
        <v/>
      </c>
      <c r="E2285" s="893" t="str">
        <f>$E$2264</f>
        <v>Poutre en acier</v>
      </c>
      <c r="I2285" s="888"/>
      <c r="J2285" s="888"/>
      <c r="K2285" s="888"/>
      <c r="L2285" s="888"/>
      <c r="M2285" s="888"/>
      <c r="N2285" s="888"/>
      <c r="O2285" s="888"/>
      <c r="P2285" s="888"/>
      <c r="Q2285" s="888"/>
      <c r="R2285" s="888"/>
    </row>
    <row r="2286" spans="1:18" s="893" customFormat="1" x14ac:dyDescent="0.3">
      <c r="A2286" s="888" t="str">
        <f>IF(LEN('Translation-EN'!A2286)&gt;0,'Translation-EN'!A2286,"")</f>
        <v>Range</v>
      </c>
      <c r="B2286" s="888" t="str">
        <f>IF(LEN('Translation-EN'!B2286)&gt;0,'Translation-EN'!B2286,"")</f>
        <v>Master sheet</v>
      </c>
      <c r="C2286" s="888" t="str">
        <f>IF(LEN('Translation-EN'!C2286)&gt;0,'Translation-EN'!C2286,"")</f>
        <v>C332</v>
      </c>
      <c r="D2286" s="888" t="str">
        <f>IF(LEN('Translation-EN'!D2286)&gt;0,'Translation-EN'!D2286,"")</f>
        <v/>
      </c>
      <c r="E2286" s="893" t="str">
        <f>$E$2265</f>
        <v>American Institute of Steel Construction</v>
      </c>
      <c r="I2286" s="888"/>
      <c r="J2286" s="888"/>
      <c r="K2286" s="888"/>
      <c r="L2286" s="888"/>
      <c r="M2286" s="888"/>
      <c r="N2286" s="888"/>
      <c r="O2286" s="888"/>
      <c r="P2286" s="888"/>
      <c r="Q2286" s="888"/>
      <c r="R2286" s="888"/>
    </row>
    <row r="2287" spans="1:18" s="893" customFormat="1" x14ac:dyDescent="0.3">
      <c r="A2287" s="888" t="str">
        <f>IF(LEN('Translation-EN'!A2287)&gt;0,'Translation-EN'!A2287,"")</f>
        <v>Range</v>
      </c>
      <c r="B2287" s="888" t="str">
        <f>IF(LEN('Translation-EN'!B2287)&gt;0,'Translation-EN'!B2287,"")</f>
        <v>Master sheet</v>
      </c>
      <c r="C2287" s="888" t="str">
        <f>IF(LEN('Translation-EN'!C2287)&gt;0,'Translation-EN'!C2287,"")</f>
        <v>E332</v>
      </c>
      <c r="D2287" s="888" t="str">
        <f>IF(LEN('Translation-EN'!D2287)&gt;0,'Translation-EN'!D2287,"")</f>
        <v/>
      </c>
      <c r="E2287" s="893" t="s">
        <v>1392</v>
      </c>
      <c r="I2287" s="888"/>
      <c r="J2287" s="888"/>
      <c r="K2287" s="888"/>
      <c r="L2287" s="888"/>
      <c r="M2287" s="888"/>
      <c r="N2287" s="888"/>
      <c r="O2287" s="888"/>
      <c r="P2287" s="888"/>
      <c r="Q2287" s="888"/>
      <c r="R2287" s="888"/>
    </row>
    <row r="2288" spans="1:18" s="893" customFormat="1" x14ac:dyDescent="0.3">
      <c r="A2288" s="888" t="str">
        <f>IF(LEN('Translation-EN'!A2288)&gt;0,'Translation-EN'!A2288,"")</f>
        <v>Range</v>
      </c>
      <c r="B2288" s="888" t="str">
        <f>IF(LEN('Translation-EN'!B2288)&gt;0,'Translation-EN'!B2288,"")</f>
        <v>Master sheet</v>
      </c>
      <c r="C2288" s="888" t="str">
        <f>IF(LEN('Translation-EN'!C2288)&gt;0,'Translation-EN'!C2288,"")</f>
        <v>B333</v>
      </c>
      <c r="D2288" s="888" t="str">
        <f>IF(LEN('Translation-EN'!D2288)&gt;0,'Translation-EN'!D2288,"")</f>
        <v/>
      </c>
      <c r="E2288" s="893" t="str">
        <f>$E$2264</f>
        <v>Poutre en acier</v>
      </c>
      <c r="I2288" s="888"/>
      <c r="J2288" s="888"/>
      <c r="K2288" s="888"/>
      <c r="L2288" s="888"/>
      <c r="M2288" s="888"/>
      <c r="N2288" s="888"/>
      <c r="O2288" s="888"/>
      <c r="P2288" s="888"/>
      <c r="Q2288" s="888"/>
      <c r="R2288" s="888"/>
    </row>
    <row r="2289" spans="1:18" s="893" customFormat="1" x14ac:dyDescent="0.3">
      <c r="A2289" s="888" t="str">
        <f>IF(LEN('Translation-EN'!A2289)&gt;0,'Translation-EN'!A2289,"")</f>
        <v>Range</v>
      </c>
      <c r="B2289" s="888" t="str">
        <f>IF(LEN('Translation-EN'!B2289)&gt;0,'Translation-EN'!B2289,"")</f>
        <v>Master sheet</v>
      </c>
      <c r="C2289" s="888" t="str">
        <f>IF(LEN('Translation-EN'!C2289)&gt;0,'Translation-EN'!C2289,"")</f>
        <v>C333</v>
      </c>
      <c r="D2289" s="888" t="str">
        <f>IF(LEN('Translation-EN'!D2289)&gt;0,'Translation-EN'!D2289,"")</f>
        <v/>
      </c>
      <c r="E2289" s="893" t="str">
        <f>$E$2265</f>
        <v>American Institute of Steel Construction</v>
      </c>
      <c r="I2289" s="888"/>
      <c r="J2289" s="888"/>
      <c r="K2289" s="888"/>
      <c r="L2289" s="888"/>
      <c r="M2289" s="888"/>
      <c r="N2289" s="888"/>
      <c r="O2289" s="888"/>
      <c r="P2289" s="888"/>
      <c r="Q2289" s="888"/>
      <c r="R2289" s="888"/>
    </row>
    <row r="2290" spans="1:18" s="893" customFormat="1" x14ac:dyDescent="0.3">
      <c r="A2290" s="888" t="str">
        <f>IF(LEN('Translation-EN'!A2290)&gt;0,'Translation-EN'!A2290,"")</f>
        <v>Range</v>
      </c>
      <c r="B2290" s="888" t="str">
        <f>IF(LEN('Translation-EN'!B2290)&gt;0,'Translation-EN'!B2290,"")</f>
        <v>Master sheet</v>
      </c>
      <c r="C2290" s="888" t="str">
        <f>IF(LEN('Translation-EN'!C2290)&gt;0,'Translation-EN'!C2290,"")</f>
        <v>E333</v>
      </c>
      <c r="D2290" s="888" t="str">
        <f>IF(LEN('Translation-EN'!D2290)&gt;0,'Translation-EN'!D2290,"")</f>
        <v/>
      </c>
      <c r="E2290" s="893" t="s">
        <v>1393</v>
      </c>
      <c r="I2290" s="888"/>
      <c r="J2290" s="888"/>
      <c r="K2290" s="888"/>
      <c r="L2290" s="888"/>
      <c r="M2290" s="888"/>
      <c r="N2290" s="888"/>
      <c r="O2290" s="888"/>
      <c r="P2290" s="888"/>
      <c r="Q2290" s="888"/>
      <c r="R2290" s="888"/>
    </row>
    <row r="2291" spans="1:18" s="893" customFormat="1" x14ac:dyDescent="0.3">
      <c r="A2291" s="888" t="str">
        <f>IF(LEN('Translation-EN'!A2291)&gt;0,'Translation-EN'!A2291,"")</f>
        <v>Range</v>
      </c>
      <c r="B2291" s="888" t="str">
        <f>IF(LEN('Translation-EN'!B2291)&gt;0,'Translation-EN'!B2291,"")</f>
        <v>Master sheet</v>
      </c>
      <c r="C2291" s="888" t="str">
        <f>IF(LEN('Translation-EN'!C2291)&gt;0,'Translation-EN'!C2291,"")</f>
        <v>B335</v>
      </c>
      <c r="D2291" s="888" t="str">
        <f>IF(LEN('Translation-EN'!D2291)&gt;0,'Translation-EN'!D2291,"")</f>
        <v/>
      </c>
      <c r="E2291" s="893" t="s">
        <v>6417</v>
      </c>
      <c r="I2291" s="888"/>
      <c r="J2291" s="888"/>
      <c r="K2291" s="888"/>
      <c r="L2291" s="888"/>
      <c r="M2291" s="888"/>
      <c r="N2291" s="888"/>
      <c r="O2291" s="888"/>
      <c r="P2291" s="888"/>
      <c r="Q2291" s="888"/>
      <c r="R2291" s="888"/>
    </row>
    <row r="2292" spans="1:18" s="893" customFormat="1" x14ac:dyDescent="0.3">
      <c r="A2292" s="888" t="str">
        <f>IF(LEN('Translation-EN'!A2292)&gt;0,'Translation-EN'!A2292,"")</f>
        <v>Range</v>
      </c>
      <c r="B2292" s="888" t="str">
        <f>IF(LEN('Translation-EN'!B2292)&gt;0,'Translation-EN'!B2292,"")</f>
        <v>Master sheet</v>
      </c>
      <c r="C2292" s="888" t="str">
        <f>IF(LEN('Translation-EN'!C2292)&gt;0,'Translation-EN'!C2292,"")</f>
        <v>C335</v>
      </c>
      <c r="D2292" s="888" t="str">
        <f>IF(LEN('Translation-EN'!D2292)&gt;0,'Translation-EN'!D2292,"")</f>
        <v/>
      </c>
      <c r="E2292" s="893" t="s">
        <v>617</v>
      </c>
      <c r="I2292" s="888"/>
      <c r="J2292" s="888"/>
      <c r="K2292" s="888"/>
      <c r="L2292" s="888"/>
      <c r="M2292" s="888"/>
      <c r="N2292" s="888"/>
      <c r="O2292" s="888"/>
      <c r="P2292" s="888"/>
      <c r="Q2292" s="888"/>
      <c r="R2292" s="888"/>
    </row>
    <row r="2293" spans="1:18" s="893" customFormat="1" x14ac:dyDescent="0.3">
      <c r="A2293" s="888" t="str">
        <f>IF(LEN('Translation-EN'!A2293)&gt;0,'Translation-EN'!A2293,"")</f>
        <v>Range</v>
      </c>
      <c r="B2293" s="888" t="str">
        <f>IF(LEN('Translation-EN'!B2293)&gt;0,'Translation-EN'!B2293,"")</f>
        <v>Master sheet</v>
      </c>
      <c r="C2293" s="888" t="str">
        <f>IF(LEN('Translation-EN'!C2293)&gt;0,'Translation-EN'!C2293,"")</f>
        <v>D335</v>
      </c>
      <c r="D2293" s="888" t="str">
        <f>IF(LEN('Translation-EN'!D2293)&gt;0,'Translation-EN'!D2293,"")</f>
        <v/>
      </c>
      <c r="E2293" s="893" t="s">
        <v>6418</v>
      </c>
      <c r="I2293" s="888"/>
      <c r="J2293" s="888"/>
      <c r="K2293" s="888"/>
      <c r="L2293" s="888"/>
      <c r="M2293" s="888"/>
      <c r="N2293" s="888"/>
      <c r="O2293" s="888"/>
      <c r="P2293" s="888"/>
      <c r="Q2293" s="888"/>
      <c r="R2293" s="888"/>
    </row>
    <row r="2294" spans="1:18" s="893" customFormat="1" x14ac:dyDescent="0.3">
      <c r="A2294" s="888" t="str">
        <f>IF(LEN('Translation-EN'!A2294)&gt;0,'Translation-EN'!A2294,"")</f>
        <v>Range</v>
      </c>
      <c r="B2294" s="888" t="str">
        <f>IF(LEN('Translation-EN'!B2294)&gt;0,'Translation-EN'!B2294,"")</f>
        <v>Master sheet</v>
      </c>
      <c r="C2294" s="888" t="str">
        <f>IF(LEN('Translation-EN'!C2294)&gt;0,'Translation-EN'!C2294,"")</f>
        <v>E335</v>
      </c>
      <c r="D2294" s="888" t="str">
        <f>IF(LEN('Translation-EN'!D2294)&gt;0,'Translation-EN'!D2294,"")</f>
        <v/>
      </c>
      <c r="E2294" s="893" t="s">
        <v>6419</v>
      </c>
      <c r="I2294" s="888"/>
      <c r="J2294" s="888"/>
      <c r="K2294" s="888"/>
      <c r="L2294" s="888"/>
      <c r="M2294" s="888"/>
      <c r="N2294" s="888"/>
      <c r="O2294" s="888"/>
      <c r="P2294" s="888"/>
      <c r="Q2294" s="888"/>
      <c r="R2294" s="888"/>
    </row>
    <row r="2295" spans="1:18" s="893" customFormat="1" x14ac:dyDescent="0.3">
      <c r="A2295" s="888" t="str">
        <f>IF(LEN('Translation-EN'!A2295)&gt;0,'Translation-EN'!A2295,"")</f>
        <v>Range</v>
      </c>
      <c r="B2295" s="888" t="str">
        <f>IF(LEN('Translation-EN'!B2295)&gt;0,'Translation-EN'!B2295,"")</f>
        <v>Master sheet</v>
      </c>
      <c r="C2295" s="888" t="str">
        <f>IF(LEN('Translation-EN'!C2295)&gt;0,'Translation-EN'!C2295,"")</f>
        <v>B336</v>
      </c>
      <c r="D2295" s="888" t="str">
        <f>IF(LEN('Translation-EN'!D2295)&gt;0,'Translation-EN'!D2295,"")</f>
        <v/>
      </c>
      <c r="E2295" s="893" t="s">
        <v>6420</v>
      </c>
      <c r="I2295" s="888"/>
      <c r="J2295" s="888"/>
      <c r="K2295" s="888"/>
      <c r="L2295" s="888"/>
      <c r="M2295" s="888"/>
      <c r="N2295" s="888"/>
      <c r="O2295" s="888"/>
      <c r="P2295" s="888"/>
      <c r="Q2295" s="888"/>
      <c r="R2295" s="888"/>
    </row>
    <row r="2296" spans="1:18" s="893" customFormat="1" x14ac:dyDescent="0.3">
      <c r="A2296" s="888" t="str">
        <f>IF(LEN('Translation-EN'!A2296)&gt;0,'Translation-EN'!A2296,"")</f>
        <v>Range</v>
      </c>
      <c r="B2296" s="888" t="str">
        <f>IF(LEN('Translation-EN'!B2296)&gt;0,'Translation-EN'!B2296,"")</f>
        <v>Master sheet</v>
      </c>
      <c r="C2296" s="888" t="str">
        <f>IF(LEN('Translation-EN'!C2296)&gt;0,'Translation-EN'!C2296,"")</f>
        <v>C336</v>
      </c>
      <c r="D2296" s="888" t="str">
        <f>IF(LEN('Translation-EN'!D2296)&gt;0,'Translation-EN'!D2296,"")</f>
        <v/>
      </c>
      <c r="E2296" s="893" t="str">
        <f>$E$1977</f>
        <v>Générique</v>
      </c>
      <c r="I2296" s="888"/>
      <c r="J2296" s="888"/>
      <c r="K2296" s="888"/>
      <c r="L2296" s="888"/>
      <c r="M2296" s="888"/>
      <c r="N2296" s="888"/>
      <c r="O2296" s="888"/>
      <c r="P2296" s="888"/>
      <c r="Q2296" s="888"/>
      <c r="R2296" s="888"/>
    </row>
    <row r="2297" spans="1:18" s="893" customFormat="1" x14ac:dyDescent="0.3">
      <c r="A2297" s="888" t="str">
        <f>IF(LEN('Translation-EN'!A2297)&gt;0,'Translation-EN'!A2297,"")</f>
        <v>Range</v>
      </c>
      <c r="B2297" s="888" t="str">
        <f>IF(LEN('Translation-EN'!B2297)&gt;0,'Translation-EN'!B2297,"")</f>
        <v>Master sheet</v>
      </c>
      <c r="C2297" s="888" t="str">
        <f>IF(LEN('Translation-EN'!C2297)&gt;0,'Translation-EN'!C2297,"")</f>
        <v>E336</v>
      </c>
      <c r="D2297" s="888" t="str">
        <f>IF(LEN('Translation-EN'!D2297)&gt;0,'Translation-EN'!D2297,"")</f>
        <v/>
      </c>
      <c r="E2297" s="893" t="s">
        <v>6421</v>
      </c>
      <c r="I2297" s="888"/>
      <c r="J2297" s="888"/>
      <c r="K2297" s="888"/>
      <c r="L2297" s="888"/>
      <c r="M2297" s="888"/>
      <c r="N2297" s="888"/>
      <c r="O2297" s="888"/>
      <c r="P2297" s="888"/>
      <c r="Q2297" s="888"/>
      <c r="R2297" s="888"/>
    </row>
    <row r="2298" spans="1:18" s="893" customFormat="1" x14ac:dyDescent="0.3">
      <c r="A2298" s="888" t="str">
        <f>IF(LEN('Translation-EN'!A2298)&gt;0,'Translation-EN'!A2298,"")</f>
        <v>Range</v>
      </c>
      <c r="B2298" s="888" t="str">
        <f>IF(LEN('Translation-EN'!B2298)&gt;0,'Translation-EN'!B2298,"")</f>
        <v>Master sheet</v>
      </c>
      <c r="C2298" s="888" t="str">
        <f>IF(LEN('Translation-EN'!C2298)&gt;0,'Translation-EN'!C2298,"")</f>
        <v>B337</v>
      </c>
      <c r="D2298" s="888" t="str">
        <f>IF(LEN('Translation-EN'!D2298)&gt;0,'Translation-EN'!D2298,"")</f>
        <v/>
      </c>
      <c r="E2298" s="893" t="s">
        <v>6422</v>
      </c>
      <c r="I2298" s="888"/>
      <c r="J2298" s="888"/>
      <c r="K2298" s="888"/>
      <c r="L2298" s="888"/>
      <c r="M2298" s="888"/>
      <c r="N2298" s="888"/>
      <c r="O2298" s="888"/>
      <c r="P2298" s="888"/>
      <c r="Q2298" s="888"/>
      <c r="R2298" s="888"/>
    </row>
    <row r="2299" spans="1:18" s="893" customFormat="1" x14ac:dyDescent="0.3">
      <c r="A2299" s="888" t="str">
        <f>IF(LEN('Translation-EN'!A2299)&gt;0,'Translation-EN'!A2299,"")</f>
        <v>Range</v>
      </c>
      <c r="B2299" s="888" t="str">
        <f>IF(LEN('Translation-EN'!B2299)&gt;0,'Translation-EN'!B2299,"")</f>
        <v>Master sheet</v>
      </c>
      <c r="C2299" s="888" t="str">
        <f>IF(LEN('Translation-EN'!C2299)&gt;0,'Translation-EN'!C2299,"")</f>
        <v>C337</v>
      </c>
      <c r="D2299" s="888" t="str">
        <f>IF(LEN('Translation-EN'!D2299)&gt;0,'Translation-EN'!D2299,"")</f>
        <v/>
      </c>
      <c r="E2299" s="893" t="s">
        <v>622</v>
      </c>
      <c r="I2299" s="888"/>
      <c r="J2299" s="888"/>
      <c r="K2299" s="888"/>
      <c r="L2299" s="888"/>
      <c r="M2299" s="888"/>
      <c r="N2299" s="888"/>
      <c r="O2299" s="888"/>
      <c r="P2299" s="888"/>
      <c r="Q2299" s="888"/>
      <c r="R2299" s="888"/>
    </row>
    <row r="2300" spans="1:18" s="893" customFormat="1" x14ac:dyDescent="0.3">
      <c r="A2300" s="888" t="str">
        <f>IF(LEN('Translation-EN'!A2300)&gt;0,'Translation-EN'!A2300,"")</f>
        <v>Range</v>
      </c>
      <c r="B2300" s="888" t="str">
        <f>IF(LEN('Translation-EN'!B2300)&gt;0,'Translation-EN'!B2300,"")</f>
        <v>Master sheet</v>
      </c>
      <c r="C2300" s="888" t="str">
        <f>IF(LEN('Translation-EN'!C2300)&gt;0,'Translation-EN'!C2300,"")</f>
        <v>E337</v>
      </c>
      <c r="D2300" s="888" t="str">
        <f>IF(LEN('Translation-EN'!D2300)&gt;0,'Translation-EN'!D2300,"")</f>
        <v/>
      </c>
      <c r="E2300" s="893" t="s">
        <v>6423</v>
      </c>
      <c r="I2300" s="888"/>
      <c r="J2300" s="888"/>
      <c r="K2300" s="888"/>
      <c r="L2300" s="888"/>
      <c r="M2300" s="888"/>
      <c r="N2300" s="888"/>
      <c r="O2300" s="888"/>
      <c r="P2300" s="888"/>
      <c r="Q2300" s="888"/>
      <c r="R2300" s="888"/>
    </row>
    <row r="2301" spans="1:18" s="893" customFormat="1" x14ac:dyDescent="0.3">
      <c r="A2301" s="888" t="str">
        <f>IF(LEN('Translation-EN'!A2301)&gt;0,'Translation-EN'!A2301,"")</f>
        <v>Range</v>
      </c>
      <c r="B2301" s="888" t="str">
        <f>IF(LEN('Translation-EN'!B2301)&gt;0,'Translation-EN'!B2301,"")</f>
        <v>Master sheet</v>
      </c>
      <c r="C2301" s="888" t="str">
        <f>IF(LEN('Translation-EN'!C2301)&gt;0,'Translation-EN'!C2301,"")</f>
        <v>B339</v>
      </c>
      <c r="D2301" s="888" t="str">
        <f>IF(LEN('Translation-EN'!D2301)&gt;0,'Translation-EN'!D2301,"")</f>
        <v/>
      </c>
      <c r="E2301" s="1011" t="str">
        <f>$E$2298</f>
        <v>Montants d’acier – porteurs</v>
      </c>
      <c r="I2301" s="888"/>
      <c r="J2301" s="888"/>
      <c r="K2301" s="888"/>
      <c r="L2301" s="888"/>
      <c r="M2301" s="888"/>
      <c r="N2301" s="888"/>
      <c r="O2301" s="888"/>
      <c r="P2301" s="888"/>
      <c r="Q2301" s="888"/>
      <c r="R2301" s="888"/>
    </row>
    <row r="2302" spans="1:18" s="893" customFormat="1" x14ac:dyDescent="0.3">
      <c r="A2302" s="888" t="str">
        <f>IF(LEN('Translation-EN'!A2302)&gt;0,'Translation-EN'!A2302,"")</f>
        <v>Range</v>
      </c>
      <c r="B2302" s="888" t="str">
        <f>IF(LEN('Translation-EN'!B2302)&gt;0,'Translation-EN'!B2302,"")</f>
        <v>Master sheet</v>
      </c>
      <c r="C2302" s="888" t="str">
        <f>IF(LEN('Translation-EN'!C2302)&gt;0,'Translation-EN'!C2302,"")</f>
        <v>C339</v>
      </c>
      <c r="D2302" s="888" t="str">
        <f>IF(LEN('Translation-EN'!D2302)&gt;0,'Translation-EN'!D2302,"")</f>
        <v/>
      </c>
      <c r="E2302" s="893" t="s">
        <v>625</v>
      </c>
      <c r="I2302" s="888"/>
      <c r="J2302" s="888"/>
      <c r="K2302" s="888"/>
      <c r="L2302" s="888"/>
      <c r="M2302" s="888"/>
      <c r="N2302" s="888"/>
      <c r="O2302" s="888"/>
      <c r="P2302" s="888"/>
      <c r="Q2302" s="888"/>
      <c r="R2302" s="888"/>
    </row>
    <row r="2303" spans="1:18" s="893" customFormat="1" x14ac:dyDescent="0.3">
      <c r="A2303" s="888" t="str">
        <f>IF(LEN('Translation-EN'!A2303)&gt;0,'Translation-EN'!A2303,"")</f>
        <v>Range</v>
      </c>
      <c r="B2303" s="888" t="str">
        <f>IF(LEN('Translation-EN'!B2303)&gt;0,'Translation-EN'!B2303,"")</f>
        <v>Master sheet</v>
      </c>
      <c r="C2303" s="888" t="str">
        <f>IF(LEN('Translation-EN'!C2303)&gt;0,'Translation-EN'!C2303,"")</f>
        <v>D339</v>
      </c>
      <c r="D2303" s="888" t="str">
        <f>IF(LEN('Translation-EN'!D2303)&gt;0,'Translation-EN'!D2303,"")</f>
        <v/>
      </c>
      <c r="E2303" s="893" t="s">
        <v>6424</v>
      </c>
      <c r="I2303" s="888"/>
      <c r="J2303" s="888"/>
      <c r="K2303" s="888"/>
      <c r="L2303" s="888"/>
      <c r="M2303" s="888"/>
      <c r="N2303" s="888"/>
      <c r="O2303" s="888"/>
      <c r="P2303" s="888"/>
      <c r="Q2303" s="888"/>
      <c r="R2303" s="888"/>
    </row>
    <row r="2304" spans="1:18" s="893" customFormat="1" x14ac:dyDescent="0.3">
      <c r="A2304" s="888" t="str">
        <f>IF(LEN('Translation-EN'!A2304)&gt;0,'Translation-EN'!A2304,"")</f>
        <v>Range</v>
      </c>
      <c r="B2304" s="888" t="str">
        <f>IF(LEN('Translation-EN'!B2304)&gt;0,'Translation-EN'!B2304,"")</f>
        <v>Master sheet</v>
      </c>
      <c r="C2304" s="888" t="str">
        <f>IF(LEN('Translation-EN'!C2304)&gt;0,'Translation-EN'!C2304,"")</f>
        <v>E339</v>
      </c>
      <c r="D2304" s="888" t="str">
        <f>IF(LEN('Translation-EN'!D2304)&gt;0,'Translation-EN'!D2304,"")</f>
        <v/>
      </c>
      <c r="E2304" s="893" t="s">
        <v>3532</v>
      </c>
      <c r="I2304" s="888"/>
      <c r="J2304" s="888"/>
      <c r="K2304" s="888"/>
      <c r="L2304" s="888"/>
      <c r="M2304" s="888"/>
      <c r="N2304" s="888"/>
      <c r="O2304" s="888"/>
      <c r="P2304" s="888"/>
      <c r="Q2304" s="888"/>
      <c r="R2304" s="888"/>
    </row>
    <row r="2305" spans="1:18" s="893" customFormat="1" x14ac:dyDescent="0.3">
      <c r="A2305" s="888" t="str">
        <f>IF(LEN('Translation-EN'!A2305)&gt;0,'Translation-EN'!A2305,"")</f>
        <v>Range</v>
      </c>
      <c r="B2305" s="888" t="str">
        <f>IF(LEN('Translation-EN'!B2305)&gt;0,'Translation-EN'!B2305,"")</f>
        <v>Master sheet</v>
      </c>
      <c r="C2305" s="888" t="str">
        <f>IF(LEN('Translation-EN'!C2305)&gt;0,'Translation-EN'!C2305,"")</f>
        <v>B342</v>
      </c>
      <c r="D2305" s="888" t="str">
        <f>IF(LEN('Translation-EN'!D2305)&gt;0,'Translation-EN'!D2305,"")</f>
        <v/>
      </c>
      <c r="E2305" s="893" t="str">
        <f>$E$2298</f>
        <v>Montants d’acier – porteurs</v>
      </c>
      <c r="I2305" s="888"/>
      <c r="J2305" s="888"/>
      <c r="K2305" s="888"/>
      <c r="L2305" s="888"/>
      <c r="M2305" s="888"/>
      <c r="N2305" s="888"/>
      <c r="O2305" s="888"/>
      <c r="P2305" s="888"/>
      <c r="Q2305" s="888"/>
      <c r="R2305" s="888"/>
    </row>
    <row r="2306" spans="1:18" s="893" customFormat="1" x14ac:dyDescent="0.3">
      <c r="A2306" s="888" t="str">
        <f>IF(LEN('Translation-EN'!A2306)&gt;0,'Translation-EN'!A2306,"")</f>
        <v>Range</v>
      </c>
      <c r="B2306" s="888" t="str">
        <f>IF(LEN('Translation-EN'!B2306)&gt;0,'Translation-EN'!B2306,"")</f>
        <v>Master sheet</v>
      </c>
      <c r="C2306" s="888" t="str">
        <f>IF(LEN('Translation-EN'!C2306)&gt;0,'Translation-EN'!C2306,"")</f>
        <v>C342</v>
      </c>
      <c r="D2306" s="888" t="str">
        <f>IF(LEN('Translation-EN'!D2306)&gt;0,'Translation-EN'!D2306,"")</f>
        <v/>
      </c>
      <c r="E2306" s="893" t="s">
        <v>630</v>
      </c>
      <c r="I2306" s="888"/>
      <c r="J2306" s="888"/>
      <c r="K2306" s="888"/>
      <c r="L2306" s="888"/>
      <c r="M2306" s="888"/>
      <c r="N2306" s="888"/>
      <c r="O2306" s="888"/>
      <c r="P2306" s="888"/>
      <c r="Q2306" s="888"/>
      <c r="R2306" s="888"/>
    </row>
    <row r="2307" spans="1:18" s="893" customFormat="1" x14ac:dyDescent="0.3">
      <c r="A2307" s="888" t="str">
        <f>IF(LEN('Translation-EN'!A2307)&gt;0,'Translation-EN'!A2307,"")</f>
        <v>Range</v>
      </c>
      <c r="B2307" s="888" t="str">
        <f>IF(LEN('Translation-EN'!B2307)&gt;0,'Translation-EN'!B2307,"")</f>
        <v>Master sheet</v>
      </c>
      <c r="C2307" s="888" t="str">
        <f>IF(LEN('Translation-EN'!C2307)&gt;0,'Translation-EN'!C2307,"")</f>
        <v>E342</v>
      </c>
      <c r="D2307" s="888" t="str">
        <f>IF(LEN('Translation-EN'!D2307)&gt;0,'Translation-EN'!D2307,"")</f>
        <v/>
      </c>
      <c r="E2307" s="893" t="str">
        <f>$E$2300</f>
        <v>600-S-137-54, 16 jauge</v>
      </c>
      <c r="I2307" s="888"/>
      <c r="J2307" s="888"/>
      <c r="K2307" s="888"/>
      <c r="L2307" s="888"/>
      <c r="M2307" s="888"/>
      <c r="N2307" s="888"/>
      <c r="O2307" s="888"/>
      <c r="P2307" s="888"/>
      <c r="Q2307" s="888"/>
      <c r="R2307" s="888"/>
    </row>
    <row r="2308" spans="1:18" s="893" customFormat="1" x14ac:dyDescent="0.3">
      <c r="A2308" s="888" t="str">
        <f>IF(LEN('Translation-EN'!A2308)&gt;0,'Translation-EN'!A2308,"")</f>
        <v>Range</v>
      </c>
      <c r="B2308" s="888" t="str">
        <f>IF(LEN('Translation-EN'!B2308)&gt;0,'Translation-EN'!B2308,"")</f>
        <v>Master sheet</v>
      </c>
      <c r="C2308" s="888" t="str">
        <f>IF(LEN('Translation-EN'!C2308)&gt;0,'Translation-EN'!C2308,"")</f>
        <v>B344</v>
      </c>
      <c r="D2308" s="888" t="str">
        <f>IF(LEN('Translation-EN'!D2308)&gt;0,'Translation-EN'!D2308,"")</f>
        <v/>
      </c>
      <c r="E2308" s="893" t="s">
        <v>6425</v>
      </c>
      <c r="I2308" s="888"/>
      <c r="J2308" s="888"/>
      <c r="K2308" s="888"/>
      <c r="L2308" s="888"/>
      <c r="M2308" s="888"/>
      <c r="N2308" s="888"/>
      <c r="O2308" s="888"/>
      <c r="P2308" s="888"/>
      <c r="Q2308" s="888"/>
      <c r="R2308" s="888"/>
    </row>
    <row r="2309" spans="1:18" s="893" customFormat="1" x14ac:dyDescent="0.3">
      <c r="A2309" s="888" t="str">
        <f>IF(LEN('Translation-EN'!A2309)&gt;0,'Translation-EN'!A2309,"")</f>
        <v>Range</v>
      </c>
      <c r="B2309" s="888" t="str">
        <f>IF(LEN('Translation-EN'!B2309)&gt;0,'Translation-EN'!B2309,"")</f>
        <v>Master sheet</v>
      </c>
      <c r="C2309" s="888" t="str">
        <f>IF(LEN('Translation-EN'!C2309)&gt;0,'Translation-EN'!C2309,"")</f>
        <v>C344</v>
      </c>
      <c r="D2309" s="888" t="str">
        <f>IF(LEN('Translation-EN'!D2309)&gt;0,'Translation-EN'!D2309,"")</f>
        <v/>
      </c>
      <c r="E2309" s="893" t="str">
        <f>$E$2299</f>
        <v>ClarkDietrich</v>
      </c>
      <c r="I2309" s="888"/>
      <c r="J2309" s="888"/>
      <c r="K2309" s="888"/>
      <c r="L2309" s="888"/>
      <c r="M2309" s="888"/>
      <c r="N2309" s="888"/>
      <c r="O2309" s="888"/>
      <c r="P2309" s="888"/>
      <c r="Q2309" s="888"/>
      <c r="R2309" s="888"/>
    </row>
    <row r="2310" spans="1:18" s="893" customFormat="1" x14ac:dyDescent="0.3">
      <c r="A2310" s="888" t="str">
        <f>IF(LEN('Translation-EN'!A2310)&gt;0,'Translation-EN'!A2310,"")</f>
        <v>Range</v>
      </c>
      <c r="B2310" s="888" t="str">
        <f>IF(LEN('Translation-EN'!B2310)&gt;0,'Translation-EN'!B2310,"")</f>
        <v>Master sheet</v>
      </c>
      <c r="C2310" s="888" t="str">
        <f>IF(LEN('Translation-EN'!C2310)&gt;0,'Translation-EN'!C2310,"")</f>
        <v>E344</v>
      </c>
      <c r="D2310" s="888" t="str">
        <f>IF(LEN('Translation-EN'!D2310)&gt;0,'Translation-EN'!D2310,"")</f>
        <v/>
      </c>
      <c r="E2310" s="893" t="s">
        <v>3534</v>
      </c>
      <c r="I2310" s="888"/>
      <c r="J2310" s="888"/>
      <c r="K2310" s="888"/>
      <c r="L2310" s="888"/>
      <c r="M2310" s="888"/>
      <c r="N2310" s="888"/>
      <c r="O2310" s="888"/>
      <c r="P2310" s="888"/>
      <c r="Q2310" s="888"/>
      <c r="R2310" s="888"/>
    </row>
    <row r="2311" spans="1:18" s="893" customFormat="1" x14ac:dyDescent="0.3">
      <c r="A2311" s="888" t="str">
        <f>IF(LEN('Translation-EN'!A2311)&gt;0,'Translation-EN'!A2311,"")</f>
        <v>Range</v>
      </c>
      <c r="B2311" s="888" t="str">
        <f>IF(LEN('Translation-EN'!B2311)&gt;0,'Translation-EN'!B2311,"")</f>
        <v>Master sheet</v>
      </c>
      <c r="C2311" s="888" t="str">
        <f>IF(LEN('Translation-EN'!C2311)&gt;0,'Translation-EN'!C2311,"")</f>
        <v>B346</v>
      </c>
      <c r="D2311" s="888" t="str">
        <f>IF(LEN('Translation-EN'!D2311)&gt;0,'Translation-EN'!D2311,"")</f>
        <v/>
      </c>
      <c r="E2311" s="893" t="str">
        <f>$E$2308</f>
        <v>Goujons en acier – Non porteurs</v>
      </c>
      <c r="I2311" s="888"/>
      <c r="J2311" s="888"/>
      <c r="K2311" s="888"/>
      <c r="L2311" s="888"/>
      <c r="M2311" s="888"/>
      <c r="N2311" s="888"/>
      <c r="O2311" s="888"/>
      <c r="P2311" s="888"/>
      <c r="Q2311" s="888"/>
      <c r="R2311" s="888"/>
    </row>
    <row r="2312" spans="1:18" s="893" customFormat="1" x14ac:dyDescent="0.3">
      <c r="A2312" s="888" t="str">
        <f>IF(LEN('Translation-EN'!A2312)&gt;0,'Translation-EN'!A2312,"")</f>
        <v>Range</v>
      </c>
      <c r="B2312" s="888" t="str">
        <f>IF(LEN('Translation-EN'!B2312)&gt;0,'Translation-EN'!B2312,"")</f>
        <v>Master sheet</v>
      </c>
      <c r="C2312" s="888" t="str">
        <f>IF(LEN('Translation-EN'!C2312)&gt;0,'Translation-EN'!C2312,"")</f>
        <v>C346</v>
      </c>
      <c r="D2312" s="888" t="str">
        <f>IF(LEN('Translation-EN'!D2312)&gt;0,'Translation-EN'!D2312,"")</f>
        <v/>
      </c>
      <c r="E2312" s="893" t="str">
        <f>$E$2302</f>
        <v>MarinoWARE</v>
      </c>
      <c r="I2312" s="888"/>
      <c r="J2312" s="888"/>
      <c r="K2312" s="888"/>
      <c r="L2312" s="888"/>
      <c r="M2312" s="888"/>
      <c r="N2312" s="888"/>
      <c r="O2312" s="888"/>
      <c r="P2312" s="888"/>
      <c r="Q2312" s="888"/>
      <c r="R2312" s="888"/>
    </row>
    <row r="2313" spans="1:18" s="893" customFormat="1" x14ac:dyDescent="0.3">
      <c r="A2313" s="888" t="str">
        <f>IF(LEN('Translation-EN'!A2313)&gt;0,'Translation-EN'!A2313,"")</f>
        <v>Range</v>
      </c>
      <c r="B2313" s="888" t="str">
        <f>IF(LEN('Translation-EN'!B2313)&gt;0,'Translation-EN'!B2313,"")</f>
        <v>Master sheet</v>
      </c>
      <c r="C2313" s="888" t="str">
        <f>IF(LEN('Translation-EN'!C2313)&gt;0,'Translation-EN'!C2313,"")</f>
        <v>D346</v>
      </c>
      <c r="D2313" s="888" t="str">
        <f>IF(LEN('Translation-EN'!D2313)&gt;0,'Translation-EN'!D2313,"")</f>
        <v/>
      </c>
      <c r="E2313" s="893" t="s">
        <v>639</v>
      </c>
      <c r="I2313" s="888"/>
      <c r="J2313" s="888"/>
      <c r="K2313" s="888"/>
      <c r="L2313" s="888"/>
      <c r="M2313" s="888"/>
      <c r="N2313" s="888"/>
      <c r="O2313" s="888"/>
      <c r="P2313" s="888"/>
      <c r="Q2313" s="888"/>
      <c r="R2313" s="888"/>
    </row>
    <row r="2314" spans="1:18" s="893" customFormat="1" x14ac:dyDescent="0.3">
      <c r="A2314" s="888" t="str">
        <f>IF(LEN('Translation-EN'!A2314)&gt;0,'Translation-EN'!A2314,"")</f>
        <v>Range</v>
      </c>
      <c r="B2314" s="888" t="str">
        <f>IF(LEN('Translation-EN'!B2314)&gt;0,'Translation-EN'!B2314,"")</f>
        <v>Master sheet</v>
      </c>
      <c r="C2314" s="888" t="str">
        <f>IF(LEN('Translation-EN'!C2314)&gt;0,'Translation-EN'!C2314,"")</f>
        <v>E346</v>
      </c>
      <c r="D2314" s="888" t="str">
        <f>IF(LEN('Translation-EN'!D2314)&gt;0,'Translation-EN'!D2314,"")</f>
        <v/>
      </c>
      <c r="E2314" s="893" t="str">
        <f>$E$2310</f>
        <v>362-S-125-18, 20EQ gauge, "2x4"</v>
      </c>
      <c r="I2314" s="888"/>
      <c r="J2314" s="888"/>
      <c r="K2314" s="888"/>
      <c r="L2314" s="888"/>
      <c r="M2314" s="888"/>
      <c r="N2314" s="888"/>
      <c r="O2314" s="888"/>
      <c r="P2314" s="888"/>
      <c r="Q2314" s="888"/>
      <c r="R2314" s="888"/>
    </row>
    <row r="2315" spans="1:18" s="893" customFormat="1" x14ac:dyDescent="0.3">
      <c r="A2315" s="888" t="str">
        <f>IF(LEN('Translation-EN'!A2315)&gt;0,'Translation-EN'!A2315,"")</f>
        <v>Range</v>
      </c>
      <c r="B2315" s="888" t="str">
        <f>IF(LEN('Translation-EN'!B2315)&gt;0,'Translation-EN'!B2315,"")</f>
        <v>Master sheet</v>
      </c>
      <c r="C2315" s="888" t="str">
        <f>IF(LEN('Translation-EN'!C2315)&gt;0,'Translation-EN'!C2315,"")</f>
        <v>B349</v>
      </c>
      <c r="D2315" s="888" t="str">
        <f>IF(LEN('Translation-EN'!D2315)&gt;0,'Translation-EN'!D2315,"")</f>
        <v/>
      </c>
      <c r="E2315" s="893" t="str">
        <f>$E$2308</f>
        <v>Goujons en acier – Non porteurs</v>
      </c>
      <c r="I2315" s="888"/>
      <c r="J2315" s="888"/>
      <c r="K2315" s="888"/>
      <c r="L2315" s="888"/>
      <c r="M2315" s="888"/>
      <c r="N2315" s="888"/>
      <c r="O2315" s="888"/>
      <c r="P2315" s="888"/>
      <c r="Q2315" s="888"/>
      <c r="R2315" s="888"/>
    </row>
    <row r="2316" spans="1:18" s="893" customFormat="1" x14ac:dyDescent="0.3">
      <c r="A2316" s="888" t="str">
        <f>IF(LEN('Translation-EN'!A2316)&gt;0,'Translation-EN'!A2316,"")</f>
        <v>Range</v>
      </c>
      <c r="B2316" s="888" t="str">
        <f>IF(LEN('Translation-EN'!B2316)&gt;0,'Translation-EN'!B2316,"")</f>
        <v>Master sheet</v>
      </c>
      <c r="C2316" s="888" t="str">
        <f>IF(LEN('Translation-EN'!C2316)&gt;0,'Translation-EN'!C2316,"")</f>
        <v>C349</v>
      </c>
      <c r="D2316" s="888" t="str">
        <f>IF(LEN('Translation-EN'!D2316)&gt;0,'Translation-EN'!D2316,"")</f>
        <v/>
      </c>
      <c r="E2316" s="893" t="str">
        <f>$E$2306</f>
        <v>Scafco</v>
      </c>
      <c r="I2316" s="888"/>
      <c r="J2316" s="888"/>
      <c r="K2316" s="888"/>
      <c r="L2316" s="888"/>
      <c r="M2316" s="888"/>
      <c r="N2316" s="888"/>
      <c r="O2316" s="888"/>
      <c r="P2316" s="888"/>
      <c r="Q2316" s="888"/>
      <c r="R2316" s="888"/>
    </row>
    <row r="2317" spans="1:18" s="893" customFormat="1" x14ac:dyDescent="0.3">
      <c r="A2317" s="888" t="str">
        <f>IF(LEN('Translation-EN'!A2317)&gt;0,'Translation-EN'!A2317,"")</f>
        <v>Range</v>
      </c>
      <c r="B2317" s="888" t="str">
        <f>IF(LEN('Translation-EN'!B2317)&gt;0,'Translation-EN'!B2317,"")</f>
        <v>Master sheet</v>
      </c>
      <c r="C2317" s="888" t="str">
        <f>IF(LEN('Translation-EN'!C2317)&gt;0,'Translation-EN'!C2317,"")</f>
        <v>E349</v>
      </c>
      <c r="D2317" s="888" t="str">
        <f>IF(LEN('Translation-EN'!D2317)&gt;0,'Translation-EN'!D2317,"")</f>
        <v/>
      </c>
      <c r="E2317" s="893" t="s">
        <v>6426</v>
      </c>
      <c r="I2317" s="888"/>
      <c r="J2317" s="888"/>
      <c r="K2317" s="888"/>
      <c r="L2317" s="888"/>
      <c r="M2317" s="888"/>
      <c r="N2317" s="888"/>
      <c r="O2317" s="888"/>
      <c r="P2317" s="888"/>
      <c r="Q2317" s="888"/>
      <c r="R2317" s="888"/>
    </row>
    <row r="2318" spans="1:18" s="893" customFormat="1" x14ac:dyDescent="0.3">
      <c r="A2318" s="888" t="str">
        <f>IF(LEN('Translation-EN'!A2318)&gt;0,'Translation-EN'!A2318,"")</f>
        <v>Range</v>
      </c>
      <c r="B2318" s="888" t="str">
        <f>IF(LEN('Translation-EN'!B2318)&gt;0,'Translation-EN'!B2318,"")</f>
        <v>Master sheet</v>
      </c>
      <c r="C2318" s="888" t="str">
        <f>IF(LEN('Translation-EN'!C2318)&gt;0,'Translation-EN'!C2318,"")</f>
        <v>B353</v>
      </c>
      <c r="D2318" s="888" t="str">
        <f>IF(LEN('Translation-EN'!D2318)&gt;0,'Translation-EN'!D2318,"")</f>
        <v/>
      </c>
      <c r="E2318" s="893" t="s">
        <v>6427</v>
      </c>
      <c r="I2318" s="888"/>
      <c r="J2318" s="888"/>
      <c r="K2318" s="888"/>
      <c r="L2318" s="888"/>
      <c r="M2318" s="888"/>
      <c r="N2318" s="888"/>
      <c r="O2318" s="888"/>
      <c r="P2318" s="888"/>
      <c r="Q2318" s="888"/>
      <c r="R2318" s="888"/>
    </row>
    <row r="2319" spans="1:18" s="893" customFormat="1" x14ac:dyDescent="0.3">
      <c r="A2319" s="888" t="str">
        <f>IF(LEN('Translation-EN'!A2319)&gt;0,'Translation-EN'!A2319,"")</f>
        <v>Range</v>
      </c>
      <c r="B2319" s="888" t="str">
        <f>IF(LEN('Translation-EN'!B2319)&gt;0,'Translation-EN'!B2319,"")</f>
        <v>Master sheet</v>
      </c>
      <c r="C2319" s="888" t="str">
        <f>IF(LEN('Translation-EN'!C2319)&gt;0,'Translation-EN'!C2319,"")</f>
        <v>C353</v>
      </c>
      <c r="D2319" s="888" t="str">
        <f>IF(LEN('Translation-EN'!D2319)&gt;0,'Translation-EN'!D2319,"")</f>
        <v/>
      </c>
      <c r="E2319" s="893" t="s">
        <v>654</v>
      </c>
      <c r="I2319" s="888"/>
      <c r="J2319" s="888"/>
      <c r="K2319" s="888"/>
      <c r="L2319" s="888"/>
      <c r="M2319" s="888"/>
      <c r="N2319" s="888"/>
      <c r="O2319" s="888"/>
      <c r="P2319" s="888"/>
      <c r="Q2319" s="888"/>
      <c r="R2319" s="888"/>
    </row>
    <row r="2320" spans="1:18" s="893" customFormat="1" x14ac:dyDescent="0.3">
      <c r="A2320" s="888" t="str">
        <f>IF(LEN('Translation-EN'!A2320)&gt;0,'Translation-EN'!A2320,"")</f>
        <v>Range</v>
      </c>
      <c r="B2320" s="888" t="str">
        <f>IF(LEN('Translation-EN'!B2320)&gt;0,'Translation-EN'!B2320,"")</f>
        <v>Master sheet</v>
      </c>
      <c r="C2320" s="888" t="str">
        <f>IF(LEN('Translation-EN'!C2320)&gt;0,'Translation-EN'!C2320,"")</f>
        <v>D353</v>
      </c>
      <c r="D2320" s="888" t="str">
        <f>IF(LEN('Translation-EN'!D2320)&gt;0,'Translation-EN'!D2320,"")</f>
        <v/>
      </c>
      <c r="E2320" s="893" t="s">
        <v>6428</v>
      </c>
      <c r="I2320" s="888"/>
      <c r="J2320" s="888"/>
      <c r="K2320" s="888"/>
      <c r="L2320" s="888"/>
      <c r="M2320" s="888"/>
      <c r="N2320" s="888"/>
      <c r="O2320" s="888"/>
      <c r="P2320" s="888"/>
      <c r="Q2320" s="888"/>
      <c r="R2320" s="888"/>
    </row>
    <row r="2321" spans="1:18" s="893" customFormat="1" x14ac:dyDescent="0.3">
      <c r="A2321" s="888" t="str">
        <f>IF(LEN('Translation-EN'!A2321)&gt;0,'Translation-EN'!A2321,"")</f>
        <v>Range</v>
      </c>
      <c r="B2321" s="888" t="str">
        <f>IF(LEN('Translation-EN'!B2321)&gt;0,'Translation-EN'!B2321,"")</f>
        <v>Master sheet</v>
      </c>
      <c r="C2321" s="888" t="str">
        <f>IF(LEN('Translation-EN'!C2321)&gt;0,'Translation-EN'!C2321,"")</f>
        <v>B355</v>
      </c>
      <c r="D2321" s="888" t="str">
        <f>IF(LEN('Translation-EN'!D2321)&gt;0,'Translation-EN'!D2321,"")</f>
        <v/>
      </c>
      <c r="E2321" s="893" t="s">
        <v>6429</v>
      </c>
      <c r="I2321" s="888"/>
      <c r="J2321" s="888"/>
      <c r="K2321" s="888"/>
      <c r="L2321" s="888"/>
      <c r="M2321" s="888"/>
      <c r="N2321" s="888"/>
      <c r="O2321" s="888"/>
      <c r="P2321" s="888"/>
      <c r="Q2321" s="888"/>
      <c r="R2321" s="888"/>
    </row>
    <row r="2322" spans="1:18" s="893" customFormat="1" x14ac:dyDescent="0.3">
      <c r="A2322" s="888" t="str">
        <f>IF(LEN('Translation-EN'!A2322)&gt;0,'Translation-EN'!A2322,"")</f>
        <v>Range</v>
      </c>
      <c r="B2322" s="888" t="str">
        <f>IF(LEN('Translation-EN'!B2322)&gt;0,'Translation-EN'!B2322,"")</f>
        <v>Master sheet</v>
      </c>
      <c r="C2322" s="888" t="str">
        <f>IF(LEN('Translation-EN'!C2322)&gt;0,'Translation-EN'!C2322,"")</f>
        <v>C355</v>
      </c>
      <c r="D2322" s="888" t="str">
        <f>IF(LEN('Translation-EN'!D2322)&gt;0,'Translation-EN'!D2322,"")</f>
        <v/>
      </c>
      <c r="E2322" s="893" t="str">
        <f>$E$2172</f>
        <v>Carlisle</v>
      </c>
      <c r="I2322" s="888"/>
      <c r="J2322" s="888"/>
      <c r="K2322" s="888"/>
      <c r="L2322" s="888"/>
      <c r="M2322" s="888"/>
      <c r="N2322" s="888"/>
      <c r="O2322" s="888"/>
      <c r="P2322" s="888"/>
      <c r="Q2322" s="888"/>
      <c r="R2322" s="888"/>
    </row>
    <row r="2323" spans="1:18" s="893" customFormat="1" x14ac:dyDescent="0.3">
      <c r="A2323" s="888" t="str">
        <f>IF(LEN('Translation-EN'!A2323)&gt;0,'Translation-EN'!A2323,"")</f>
        <v>Range</v>
      </c>
      <c r="B2323" s="888" t="str">
        <f>IF(LEN('Translation-EN'!B2323)&gt;0,'Translation-EN'!B2323,"")</f>
        <v>Master sheet</v>
      </c>
      <c r="C2323" s="888" t="str">
        <f>IF(LEN('Translation-EN'!C2323)&gt;0,'Translation-EN'!C2323,"")</f>
        <v>D355</v>
      </c>
      <c r="D2323" s="888" t="str">
        <f>IF(LEN('Translation-EN'!D2323)&gt;0,'Translation-EN'!D2323,"")</f>
        <v/>
      </c>
      <c r="E2323" s="893" t="s">
        <v>4447</v>
      </c>
      <c r="I2323" s="888"/>
      <c r="J2323" s="888"/>
      <c r="K2323" s="888"/>
      <c r="L2323" s="888"/>
      <c r="M2323" s="888"/>
      <c r="N2323" s="888"/>
      <c r="O2323" s="888"/>
      <c r="P2323" s="888"/>
      <c r="Q2323" s="888"/>
      <c r="R2323" s="888"/>
    </row>
    <row r="2324" spans="1:18" s="893" customFormat="1" x14ac:dyDescent="0.3">
      <c r="A2324" s="888" t="str">
        <f>IF(LEN('Translation-EN'!A2324)&gt;0,'Translation-EN'!A2324,"")</f>
        <v>Range</v>
      </c>
      <c r="B2324" s="888" t="str">
        <f>IF(LEN('Translation-EN'!B2324)&gt;0,'Translation-EN'!B2324,"")</f>
        <v>Master sheet</v>
      </c>
      <c r="C2324" s="888" t="str">
        <f>IF(LEN('Translation-EN'!C2324)&gt;0,'Translation-EN'!C2324,"")</f>
        <v>E355</v>
      </c>
      <c r="D2324" s="888" t="str">
        <f>IF(LEN('Translation-EN'!D2324)&gt;0,'Translation-EN'!D2324,"")</f>
        <v/>
      </c>
      <c r="E2324" s="893" t="s">
        <v>659</v>
      </c>
      <c r="I2324" s="888"/>
      <c r="J2324" s="888"/>
      <c r="K2324" s="888"/>
      <c r="L2324" s="888"/>
      <c r="M2324" s="888"/>
      <c r="N2324" s="888"/>
      <c r="O2324" s="888"/>
      <c r="P2324" s="888"/>
      <c r="Q2324" s="888"/>
      <c r="R2324" s="888"/>
    </row>
    <row r="2325" spans="1:18" s="893" customFormat="1" x14ac:dyDescent="0.3">
      <c r="A2325" s="888" t="str">
        <f>IF(LEN('Translation-EN'!A2325)&gt;0,'Translation-EN'!A2325,"")</f>
        <v>Range</v>
      </c>
      <c r="B2325" s="888" t="str">
        <f>IF(LEN('Translation-EN'!B2325)&gt;0,'Translation-EN'!B2325,"")</f>
        <v>Master sheet</v>
      </c>
      <c r="C2325" s="888" t="str">
        <f>IF(LEN('Translation-EN'!C2325)&gt;0,'Translation-EN'!C2325,"")</f>
        <v>B356</v>
      </c>
      <c r="D2325" s="888" t="str">
        <f>IF(LEN('Translation-EN'!D2325)&gt;0,'Translation-EN'!D2325,"")</f>
        <v/>
      </c>
      <c r="E2325" s="893" t="str">
        <f>$E$2321</f>
        <v>Membrane de toiture TPO</v>
      </c>
      <c r="I2325" s="888"/>
      <c r="J2325" s="888"/>
      <c r="K2325" s="888"/>
      <c r="L2325" s="888"/>
      <c r="M2325" s="888"/>
      <c r="N2325" s="888"/>
      <c r="O2325" s="888"/>
      <c r="P2325" s="888"/>
      <c r="Q2325" s="888"/>
      <c r="R2325" s="888"/>
    </row>
    <row r="2326" spans="1:18" s="893" customFormat="1" x14ac:dyDescent="0.3">
      <c r="A2326" s="888" t="str">
        <f>IF(LEN('Translation-EN'!A2326)&gt;0,'Translation-EN'!A2326,"")</f>
        <v>Range</v>
      </c>
      <c r="B2326" s="888" t="str">
        <f>IF(LEN('Translation-EN'!B2326)&gt;0,'Translation-EN'!B2326,"")</f>
        <v>Master sheet</v>
      </c>
      <c r="C2326" s="888" t="str">
        <f>IF(LEN('Translation-EN'!C2326)&gt;0,'Translation-EN'!C2326,"")</f>
        <v>C356</v>
      </c>
      <c r="D2326" s="888" t="str">
        <f>IF(LEN('Translation-EN'!D2326)&gt;0,'Translation-EN'!D2326,"")</f>
        <v/>
      </c>
      <c r="E2326" s="893" t="s">
        <v>4450</v>
      </c>
      <c r="I2326" s="888"/>
      <c r="J2326" s="888"/>
      <c r="K2326" s="888"/>
      <c r="L2326" s="888"/>
      <c r="M2326" s="888"/>
      <c r="N2326" s="888"/>
      <c r="O2326" s="888"/>
      <c r="P2326" s="888"/>
      <c r="Q2326" s="888"/>
      <c r="R2326" s="888"/>
    </row>
    <row r="2327" spans="1:18" s="893" customFormat="1" x14ac:dyDescent="0.3">
      <c r="A2327" s="888" t="str">
        <f>IF(LEN('Translation-EN'!A2327)&gt;0,'Translation-EN'!A2327,"")</f>
        <v>Range</v>
      </c>
      <c r="B2327" s="888" t="str">
        <f>IF(LEN('Translation-EN'!B2327)&gt;0,'Translation-EN'!B2327,"")</f>
        <v>Master sheet</v>
      </c>
      <c r="C2327" s="888" t="str">
        <f>IF(LEN('Translation-EN'!C2327)&gt;0,'Translation-EN'!C2327,"")</f>
        <v>E356</v>
      </c>
      <c r="D2327" s="888" t="str">
        <f>IF(LEN('Translation-EN'!D2327)&gt;0,'Translation-EN'!D2327,"")</f>
        <v/>
      </c>
      <c r="E2327" s="893" t="s">
        <v>4451</v>
      </c>
      <c r="I2327" s="888"/>
      <c r="J2327" s="888"/>
      <c r="K2327" s="888"/>
      <c r="L2327" s="888"/>
      <c r="M2327" s="888"/>
      <c r="N2327" s="888"/>
      <c r="O2327" s="888"/>
      <c r="P2327" s="888"/>
      <c r="Q2327" s="888"/>
      <c r="R2327" s="888"/>
    </row>
    <row r="2328" spans="1:18" s="893" customFormat="1" x14ac:dyDescent="0.3">
      <c r="A2328" s="888" t="str">
        <f>IF(LEN('Translation-EN'!A2328)&gt;0,'Translation-EN'!A2328,"")</f>
        <v>Range</v>
      </c>
      <c r="B2328" s="888" t="str">
        <f>IF(LEN('Translation-EN'!B2328)&gt;0,'Translation-EN'!B2328,"")</f>
        <v>Master sheet</v>
      </c>
      <c r="C2328" s="888" t="str">
        <f>IF(LEN('Translation-EN'!C2328)&gt;0,'Translation-EN'!C2328,"")</f>
        <v>B357</v>
      </c>
      <c r="D2328" s="888" t="str">
        <f>IF(LEN('Translation-EN'!D2328)&gt;0,'Translation-EN'!D2328,"")</f>
        <v/>
      </c>
      <c r="E2328" s="893" t="str">
        <f>$E$2321</f>
        <v>Membrane de toiture TPO</v>
      </c>
      <c r="I2328" s="888"/>
      <c r="J2328" s="888"/>
      <c r="K2328" s="888"/>
      <c r="L2328" s="888"/>
      <c r="M2328" s="888"/>
      <c r="N2328" s="888"/>
      <c r="O2328" s="888"/>
      <c r="P2328" s="888"/>
      <c r="Q2328" s="888"/>
      <c r="R2328" s="888"/>
    </row>
    <row r="2329" spans="1:18" s="893" customFormat="1" x14ac:dyDescent="0.3">
      <c r="A2329" s="888" t="str">
        <f>IF(LEN('Translation-EN'!A2329)&gt;0,'Translation-EN'!A2329,"")</f>
        <v>Range</v>
      </c>
      <c r="B2329" s="888" t="str">
        <f>IF(LEN('Translation-EN'!B2329)&gt;0,'Translation-EN'!B2329,"")</f>
        <v>Master sheet</v>
      </c>
      <c r="C2329" s="888" t="str">
        <f>IF(LEN('Translation-EN'!C2329)&gt;0,'Translation-EN'!C2329,"")</f>
        <v>C357</v>
      </c>
      <c r="D2329" s="888" t="str">
        <f>IF(LEN('Translation-EN'!D2329)&gt;0,'Translation-EN'!D2329,"")</f>
        <v/>
      </c>
      <c r="E2329" s="893" t="str">
        <f>$E$2326</f>
        <v>Single Ply Roofing Industry</v>
      </c>
      <c r="I2329" s="888"/>
      <c r="J2329" s="888"/>
      <c r="K2329" s="888"/>
      <c r="L2329" s="888"/>
      <c r="M2329" s="888"/>
      <c r="N2329" s="888"/>
      <c r="O2329" s="888"/>
      <c r="P2329" s="888"/>
      <c r="Q2329" s="888"/>
      <c r="R2329" s="888"/>
    </row>
    <row r="2330" spans="1:18" s="893" customFormat="1" x14ac:dyDescent="0.3">
      <c r="A2330" s="888" t="str">
        <f>IF(LEN('Translation-EN'!A2330)&gt;0,'Translation-EN'!A2330,"")</f>
        <v>Range</v>
      </c>
      <c r="B2330" s="888" t="str">
        <f>IF(LEN('Translation-EN'!B2330)&gt;0,'Translation-EN'!B2330,"")</f>
        <v>Master sheet</v>
      </c>
      <c r="C2330" s="888" t="str">
        <f>IF(LEN('Translation-EN'!C2330)&gt;0,'Translation-EN'!C2330,"")</f>
        <v>E357</v>
      </c>
      <c r="D2330" s="888" t="str">
        <f>IF(LEN('Translation-EN'!D2330)&gt;0,'Translation-EN'!D2330,"")</f>
        <v/>
      </c>
      <c r="E2330" s="893" t="str">
        <f>$E$2324</f>
        <v>60 mils</v>
      </c>
      <c r="I2330" s="888"/>
      <c r="J2330" s="888"/>
      <c r="K2330" s="888"/>
      <c r="L2330" s="888"/>
      <c r="M2330" s="888"/>
      <c r="N2330" s="888"/>
      <c r="O2330" s="888"/>
      <c r="P2330" s="888"/>
      <c r="Q2330" s="888"/>
      <c r="R2330" s="888"/>
    </row>
    <row r="2331" spans="1:18" s="893" customFormat="1" x14ac:dyDescent="0.3">
      <c r="A2331" s="888" t="str">
        <f>IF(LEN('Translation-EN'!A2331)&gt;0,'Translation-EN'!A2331,"")</f>
        <v>Range</v>
      </c>
      <c r="B2331" s="888" t="str">
        <f>IF(LEN('Translation-EN'!B2331)&gt;0,'Translation-EN'!B2331,"")</f>
        <v>Master sheet</v>
      </c>
      <c r="C2331" s="888" t="str">
        <f>IF(LEN('Translation-EN'!C2331)&gt;0,'Translation-EN'!C2331,"")</f>
        <v>B358</v>
      </c>
      <c r="D2331" s="888" t="str">
        <f>IF(LEN('Translation-EN'!D2331)&gt;0,'Translation-EN'!D2331,"")</f>
        <v/>
      </c>
      <c r="E2331" s="893" t="s">
        <v>6430</v>
      </c>
      <c r="I2331" s="888"/>
      <c r="J2331" s="888"/>
      <c r="K2331" s="888"/>
      <c r="L2331" s="888"/>
      <c r="M2331" s="888"/>
      <c r="N2331" s="888"/>
      <c r="O2331" s="888"/>
      <c r="P2331" s="888"/>
      <c r="Q2331" s="888"/>
      <c r="R2331" s="888"/>
    </row>
    <row r="2332" spans="1:18" s="893" customFormat="1" x14ac:dyDescent="0.3">
      <c r="A2332" s="888" t="str">
        <f>IF(LEN('Translation-EN'!A2332)&gt;0,'Translation-EN'!A2332,"")</f>
        <v>Range</v>
      </c>
      <c r="B2332" s="888" t="str">
        <f>IF(LEN('Translation-EN'!B2332)&gt;0,'Translation-EN'!B2332,"")</f>
        <v>Master sheet</v>
      </c>
      <c r="C2332" s="888" t="str">
        <f>IF(LEN('Translation-EN'!C2332)&gt;0,'Translation-EN'!C2332,"")</f>
        <v>C358</v>
      </c>
      <c r="D2332" s="888" t="str">
        <f>IF(LEN('Translation-EN'!D2332)&gt;0,'Translation-EN'!D2332,"")</f>
        <v/>
      </c>
      <c r="E2332" s="893" t="s">
        <v>3268</v>
      </c>
      <c r="I2332" s="888"/>
      <c r="J2332" s="888"/>
      <c r="K2332" s="888"/>
      <c r="L2332" s="888"/>
      <c r="M2332" s="888"/>
      <c r="N2332" s="888"/>
      <c r="O2332" s="888"/>
      <c r="P2332" s="888"/>
      <c r="Q2332" s="888"/>
      <c r="R2332" s="888"/>
    </row>
    <row r="2333" spans="1:18" s="893" customFormat="1" x14ac:dyDescent="0.3">
      <c r="A2333" s="888" t="str">
        <f>IF(LEN('Translation-EN'!A2333)&gt;0,'Translation-EN'!A2333,"")</f>
        <v>Range</v>
      </c>
      <c r="B2333" s="888" t="str">
        <f>IF(LEN('Translation-EN'!B2333)&gt;0,'Translation-EN'!B2333,"")</f>
        <v>Master sheet</v>
      </c>
      <c r="C2333" s="888" t="str">
        <f>IF(LEN('Translation-EN'!C2333)&gt;0,'Translation-EN'!C2333,"")</f>
        <v>D358</v>
      </c>
      <c r="D2333" s="888" t="str">
        <f>IF(LEN('Translation-EN'!D2333)&gt;0,'Translation-EN'!D2333,"")</f>
        <v/>
      </c>
      <c r="E2333" s="893" t="s">
        <v>662</v>
      </c>
      <c r="I2333" s="888"/>
      <c r="J2333" s="888"/>
      <c r="K2333" s="888"/>
      <c r="L2333" s="888"/>
      <c r="M2333" s="888"/>
      <c r="N2333" s="888"/>
      <c r="O2333" s="888"/>
      <c r="P2333" s="888"/>
      <c r="Q2333" s="888"/>
      <c r="R2333" s="888"/>
    </row>
    <row r="2334" spans="1:18" s="893" customFormat="1" x14ac:dyDescent="0.3">
      <c r="A2334" s="888" t="str">
        <f>IF(LEN('Translation-EN'!A2334)&gt;0,'Translation-EN'!A2334,"")</f>
        <v>Range</v>
      </c>
      <c r="B2334" s="888" t="str">
        <f>IF(LEN('Translation-EN'!B2334)&gt;0,'Translation-EN'!B2334,"")</f>
        <v>Master sheet</v>
      </c>
      <c r="C2334" s="888" t="str">
        <f>IF(LEN('Translation-EN'!C2334)&gt;0,'Translation-EN'!C2334,"")</f>
        <v>E358</v>
      </c>
      <c r="D2334" s="888" t="str">
        <f>IF(LEN('Translation-EN'!D2334)&gt;0,'Translation-EN'!D2334,"")</f>
        <v/>
      </c>
      <c r="E2334" s="893" t="s">
        <v>6431</v>
      </c>
      <c r="I2334" s="888"/>
      <c r="J2334" s="888"/>
      <c r="K2334" s="888"/>
      <c r="L2334" s="888"/>
      <c r="M2334" s="888"/>
      <c r="N2334" s="888"/>
      <c r="O2334" s="888"/>
      <c r="P2334" s="888"/>
      <c r="Q2334" s="888"/>
      <c r="R2334" s="888"/>
    </row>
    <row r="2335" spans="1:18" s="893" customFormat="1" x14ac:dyDescent="0.3">
      <c r="A2335" s="888" t="str">
        <f>IF(LEN('Translation-EN'!A2335)&gt;0,'Translation-EN'!A2335,"")</f>
        <v>Range</v>
      </c>
      <c r="B2335" s="888" t="str">
        <f>IF(LEN('Translation-EN'!B2335)&gt;0,'Translation-EN'!B2335,"")</f>
        <v>Master sheet</v>
      </c>
      <c r="C2335" s="888" t="str">
        <f>IF(LEN('Translation-EN'!C2335)&gt;0,'Translation-EN'!C2335,"")</f>
        <v>B359</v>
      </c>
      <c r="D2335" s="888" t="str">
        <f>IF(LEN('Translation-EN'!D2335)&gt;0,'Translation-EN'!D2335,"")</f>
        <v/>
      </c>
      <c r="E2335" s="893" t="s">
        <v>6432</v>
      </c>
      <c r="I2335" s="888"/>
      <c r="J2335" s="888"/>
      <c r="K2335" s="888"/>
      <c r="L2335" s="888"/>
      <c r="M2335" s="888"/>
      <c r="N2335" s="888"/>
      <c r="O2335" s="888"/>
      <c r="P2335" s="888"/>
      <c r="Q2335" s="888"/>
      <c r="R2335" s="888"/>
    </row>
    <row r="2336" spans="1:18" s="893" customFormat="1" x14ac:dyDescent="0.3">
      <c r="A2336" s="888" t="str">
        <f>IF(LEN('Translation-EN'!A2336)&gt;0,'Translation-EN'!A2336,"")</f>
        <v>Range</v>
      </c>
      <c r="B2336" s="888" t="str">
        <f>IF(LEN('Translation-EN'!B2336)&gt;0,'Translation-EN'!B2336,"")</f>
        <v>Master sheet</v>
      </c>
      <c r="C2336" s="888" t="str">
        <f>IF(LEN('Translation-EN'!C2336)&gt;0,'Translation-EN'!C2336,"")</f>
        <v>C359</v>
      </c>
      <c r="D2336" s="888" t="str">
        <f>IF(LEN('Translation-EN'!D2336)&gt;0,'Translation-EN'!D2336,"")</f>
        <v/>
      </c>
      <c r="E2336" s="893" t="s">
        <v>666</v>
      </c>
      <c r="I2336" s="888"/>
      <c r="J2336" s="888"/>
      <c r="K2336" s="888"/>
      <c r="L2336" s="888"/>
      <c r="M2336" s="888"/>
      <c r="N2336" s="888"/>
      <c r="O2336" s="888"/>
      <c r="P2336" s="888"/>
      <c r="Q2336" s="888"/>
      <c r="R2336" s="888"/>
    </row>
    <row r="2337" spans="1:18" s="893" customFormat="1" x14ac:dyDescent="0.3">
      <c r="A2337" s="888" t="str">
        <f>IF(LEN('Translation-EN'!A2337)&gt;0,'Translation-EN'!A2337,"")</f>
        <v>Range</v>
      </c>
      <c r="B2337" s="888" t="str">
        <f>IF(LEN('Translation-EN'!B2337)&gt;0,'Translation-EN'!B2337,"")</f>
        <v>Master sheet</v>
      </c>
      <c r="C2337" s="888" t="str">
        <f>IF(LEN('Translation-EN'!C2337)&gt;0,'Translation-EN'!C2337,"")</f>
        <v>D359</v>
      </c>
      <c r="D2337" s="888" t="str">
        <f>IF(LEN('Translation-EN'!D2337)&gt;0,'Translation-EN'!D2337,"")</f>
        <v/>
      </c>
      <c r="E2337" s="893" t="s">
        <v>667</v>
      </c>
      <c r="I2337" s="888"/>
      <c r="J2337" s="888"/>
      <c r="K2337" s="888"/>
      <c r="L2337" s="888"/>
      <c r="M2337" s="888"/>
      <c r="N2337" s="888"/>
      <c r="O2337" s="888"/>
      <c r="P2337" s="888"/>
      <c r="Q2337" s="888"/>
      <c r="R2337" s="888"/>
    </row>
    <row r="2338" spans="1:18" s="893" customFormat="1" x14ac:dyDescent="0.3">
      <c r="A2338" s="888" t="str">
        <f>IF(LEN('Translation-EN'!A2338)&gt;0,'Translation-EN'!A2338,"")</f>
        <v>Range</v>
      </c>
      <c r="B2338" s="888" t="str">
        <f>IF(LEN('Translation-EN'!B2338)&gt;0,'Translation-EN'!B2338,"")</f>
        <v>Master sheet</v>
      </c>
      <c r="C2338" s="888" t="str">
        <f>IF(LEN('Translation-EN'!C2338)&gt;0,'Translation-EN'!C2338,"")</f>
        <v>B361</v>
      </c>
      <c r="D2338" s="888" t="str">
        <f>IF(LEN('Translation-EN'!D2338)&gt;0,'Translation-EN'!D2338,"")</f>
        <v/>
      </c>
      <c r="E2338" s="893" t="str">
        <f>$E$2335</f>
        <v>Revêtement de plancher en vinyle</v>
      </c>
      <c r="I2338" s="888"/>
      <c r="J2338" s="888"/>
      <c r="K2338" s="888"/>
      <c r="L2338" s="888"/>
      <c r="M2338" s="888"/>
      <c r="N2338" s="888"/>
      <c r="O2338" s="888"/>
      <c r="P2338" s="888"/>
      <c r="Q2338" s="888"/>
      <c r="R2338" s="888"/>
    </row>
    <row r="2339" spans="1:18" s="893" customFormat="1" x14ac:dyDescent="0.3">
      <c r="A2339" s="888" t="str">
        <f>IF(LEN('Translation-EN'!A2339)&gt;0,'Translation-EN'!A2339,"")</f>
        <v>Range</v>
      </c>
      <c r="B2339" s="888" t="str">
        <f>IF(LEN('Translation-EN'!B2339)&gt;0,'Translation-EN'!B2339,"")</f>
        <v>Master sheet</v>
      </c>
      <c r="C2339" s="888" t="str">
        <f>IF(LEN('Translation-EN'!C2339)&gt;0,'Translation-EN'!C2339,"")</f>
        <v>C361</v>
      </c>
      <c r="D2339" s="888" t="str">
        <f>IF(LEN('Translation-EN'!D2339)&gt;0,'Translation-EN'!D2339,"")</f>
        <v/>
      </c>
      <c r="E2339" s="893" t="str">
        <f>$E$2336</f>
        <v>Altro</v>
      </c>
      <c r="I2339" s="888"/>
      <c r="J2339" s="888"/>
      <c r="K2339" s="888"/>
      <c r="L2339" s="888"/>
      <c r="M2339" s="888"/>
      <c r="N2339" s="888"/>
      <c r="O2339" s="888"/>
      <c r="P2339" s="888"/>
      <c r="Q2339" s="888"/>
      <c r="R2339" s="888"/>
    </row>
    <row r="2340" spans="1:18" s="893" customFormat="1" x14ac:dyDescent="0.3">
      <c r="A2340" s="888" t="str">
        <f>IF(LEN('Translation-EN'!A2340)&gt;0,'Translation-EN'!A2340,"")</f>
        <v>Range</v>
      </c>
      <c r="B2340" s="888" t="str">
        <f>IF(LEN('Translation-EN'!B2340)&gt;0,'Translation-EN'!B2340,"")</f>
        <v>Master sheet</v>
      </c>
      <c r="C2340" s="888" t="str">
        <f>IF(LEN('Translation-EN'!C2340)&gt;0,'Translation-EN'!C2340,"")</f>
        <v>D361</v>
      </c>
      <c r="D2340" s="888" t="str">
        <f>IF(LEN('Translation-EN'!D2340)&gt;0,'Translation-EN'!D2340,"")</f>
        <v/>
      </c>
      <c r="E2340" s="893" t="s">
        <v>4455</v>
      </c>
      <c r="I2340" s="888"/>
      <c r="J2340" s="888"/>
      <c r="K2340" s="888"/>
      <c r="L2340" s="888"/>
      <c r="M2340" s="888"/>
      <c r="N2340" s="888"/>
      <c r="O2340" s="888"/>
      <c r="P2340" s="888"/>
      <c r="Q2340" s="888"/>
      <c r="R2340" s="888"/>
    </row>
    <row r="2341" spans="1:18" s="893" customFormat="1" x14ac:dyDescent="0.3">
      <c r="A2341" s="888" t="str">
        <f>IF(LEN('Translation-EN'!A2341)&gt;0,'Translation-EN'!A2341,"")</f>
        <v>Range</v>
      </c>
      <c r="B2341" s="888" t="str">
        <f>IF(LEN('Translation-EN'!B2341)&gt;0,'Translation-EN'!B2341,"")</f>
        <v>Master sheet</v>
      </c>
      <c r="C2341" s="888" t="str">
        <f>IF(LEN('Translation-EN'!C2341)&gt;0,'Translation-EN'!C2341,"")</f>
        <v>E361</v>
      </c>
      <c r="D2341" s="888" t="str">
        <f>IF(LEN('Translation-EN'!D2341)&gt;0,'Translation-EN'!D2341,"")</f>
        <v/>
      </c>
      <c r="E2341" s="893" t="s">
        <v>6433</v>
      </c>
      <c r="I2341" s="888"/>
      <c r="J2341" s="888"/>
      <c r="K2341" s="888"/>
      <c r="L2341" s="888"/>
      <c r="M2341" s="888"/>
      <c r="N2341" s="888"/>
      <c r="O2341" s="888"/>
      <c r="P2341" s="888"/>
      <c r="Q2341" s="888"/>
      <c r="R2341" s="888"/>
    </row>
    <row r="2342" spans="1:18" s="893" customFormat="1" x14ac:dyDescent="0.3">
      <c r="A2342" s="888" t="str">
        <f>IF(LEN('Translation-EN'!A2342)&gt;0,'Translation-EN'!A2342,"")</f>
        <v>Range</v>
      </c>
      <c r="B2342" s="888" t="str">
        <f>IF(LEN('Translation-EN'!B2342)&gt;0,'Translation-EN'!B2342,"")</f>
        <v>Master sheet</v>
      </c>
      <c r="C2342" s="888" t="str">
        <f>IF(LEN('Translation-EN'!C2342)&gt;0,'Translation-EN'!C2342,"")</f>
        <v>B363</v>
      </c>
      <c r="D2342" s="888" t="str">
        <f>IF(LEN('Translation-EN'!D2342)&gt;0,'Translation-EN'!D2342,"")</f>
        <v/>
      </c>
      <c r="E2342" s="893" t="str">
        <f>$E$2335</f>
        <v>Revêtement de plancher en vinyle</v>
      </c>
      <c r="I2342" s="888"/>
      <c r="J2342" s="888"/>
      <c r="K2342" s="888"/>
      <c r="L2342" s="888"/>
      <c r="M2342" s="888"/>
      <c r="N2342" s="888"/>
      <c r="O2342" s="888"/>
      <c r="P2342" s="888"/>
      <c r="Q2342" s="888"/>
      <c r="R2342" s="888"/>
    </row>
    <row r="2343" spans="1:18" s="893" customFormat="1" x14ac:dyDescent="0.3">
      <c r="A2343" s="888" t="str">
        <f>IF(LEN('Translation-EN'!A2343)&gt;0,'Translation-EN'!A2343,"")</f>
        <v>Range</v>
      </c>
      <c r="B2343" s="888" t="str">
        <f>IF(LEN('Translation-EN'!B2343)&gt;0,'Translation-EN'!B2343,"")</f>
        <v>Master sheet</v>
      </c>
      <c r="C2343" s="888" t="str">
        <f>IF(LEN('Translation-EN'!C2343)&gt;0,'Translation-EN'!C2343,"")</f>
        <v>C363</v>
      </c>
      <c r="D2343" s="888" t="str">
        <f>IF(LEN('Translation-EN'!D2343)&gt;0,'Translation-EN'!D2343,"")</f>
        <v/>
      </c>
      <c r="E2343" s="893" t="str">
        <f>$E$2245</f>
        <v>Institut du couvre-sol résilient</v>
      </c>
      <c r="I2343" s="888"/>
      <c r="J2343" s="888"/>
      <c r="K2343" s="888"/>
      <c r="L2343" s="888"/>
      <c r="M2343" s="888"/>
      <c r="N2343" s="888"/>
      <c r="O2343" s="888"/>
      <c r="P2343" s="888"/>
      <c r="Q2343" s="888"/>
      <c r="R2343" s="888"/>
    </row>
    <row r="2344" spans="1:18" s="893" customFormat="1" x14ac:dyDescent="0.3">
      <c r="A2344" s="888" t="str">
        <f>IF(LEN('Translation-EN'!A2344)&gt;0,'Translation-EN'!A2344,"")</f>
        <v>Range</v>
      </c>
      <c r="B2344" s="888" t="str">
        <f>IF(LEN('Translation-EN'!B2344)&gt;0,'Translation-EN'!B2344,"")</f>
        <v>Master sheet</v>
      </c>
      <c r="C2344" s="888" t="str">
        <f>IF(LEN('Translation-EN'!C2344)&gt;0,'Translation-EN'!C2344,"")</f>
        <v>D363</v>
      </c>
      <c r="D2344" s="888" t="str">
        <f>IF(LEN('Translation-EN'!D2344)&gt;0,'Translation-EN'!D2344,"")</f>
        <v/>
      </c>
      <c r="E2344" s="893" t="s">
        <v>6434</v>
      </c>
      <c r="I2344" s="888"/>
      <c r="J2344" s="888"/>
      <c r="K2344" s="888"/>
      <c r="L2344" s="888"/>
      <c r="M2344" s="888"/>
      <c r="N2344" s="888"/>
      <c r="O2344" s="888"/>
      <c r="P2344" s="888"/>
      <c r="Q2344" s="888"/>
      <c r="R2344" s="888"/>
    </row>
    <row r="2345" spans="1:18" s="893" customFormat="1" x14ac:dyDescent="0.3">
      <c r="A2345" s="888" t="str">
        <f>IF(LEN('Translation-EN'!A2345)&gt;0,'Translation-EN'!A2345,"")</f>
        <v>Range</v>
      </c>
      <c r="B2345" s="888" t="str">
        <f>IF(LEN('Translation-EN'!B2345)&gt;0,'Translation-EN'!B2345,"")</f>
        <v>Master sheet</v>
      </c>
      <c r="C2345" s="888" t="str">
        <f>IF(LEN('Translation-EN'!C2345)&gt;0,'Translation-EN'!C2345,"")</f>
        <v>B364</v>
      </c>
      <c r="D2345" s="888" t="str">
        <f>IF(LEN('Translation-EN'!D2345)&gt;0,'Translation-EN'!D2345,"")</f>
        <v/>
      </c>
      <c r="E2345" s="893" t="s">
        <v>6435</v>
      </c>
      <c r="I2345" s="888"/>
      <c r="J2345" s="888"/>
      <c r="K2345" s="888"/>
      <c r="L2345" s="888"/>
      <c r="M2345" s="888"/>
      <c r="N2345" s="888"/>
      <c r="O2345" s="888"/>
      <c r="P2345" s="888"/>
      <c r="Q2345" s="888"/>
      <c r="R2345" s="888"/>
    </row>
    <row r="2346" spans="1:18" s="893" customFormat="1" x14ac:dyDescent="0.3">
      <c r="A2346" s="888" t="str">
        <f>IF(LEN('Translation-EN'!A2346)&gt;0,'Translation-EN'!A2346,"")</f>
        <v>Range</v>
      </c>
      <c r="B2346" s="888" t="str">
        <f>IF(LEN('Translation-EN'!B2346)&gt;0,'Translation-EN'!B2346,"")</f>
        <v>Master sheet</v>
      </c>
      <c r="C2346" s="888" t="str">
        <f>IF(LEN('Translation-EN'!C2346)&gt;0,'Translation-EN'!C2346,"")</f>
        <v>C364</v>
      </c>
      <c r="D2346" s="888" t="str">
        <f>IF(LEN('Translation-EN'!D2346)&gt;0,'Translation-EN'!D2346,"")</f>
        <v/>
      </c>
      <c r="E2346" s="893" t="str">
        <f>$E$2225</f>
        <v>Institut du parement en vinyle</v>
      </c>
      <c r="I2346" s="888"/>
      <c r="J2346" s="888"/>
      <c r="K2346" s="888"/>
      <c r="L2346" s="888"/>
      <c r="M2346" s="888"/>
      <c r="N2346" s="888"/>
      <c r="O2346" s="888"/>
      <c r="P2346" s="888"/>
      <c r="Q2346" s="888"/>
      <c r="R2346" s="888"/>
    </row>
    <row r="2347" spans="1:18" s="893" customFormat="1" x14ac:dyDescent="0.3">
      <c r="A2347" s="888" t="str">
        <f>IF(LEN('Translation-EN'!A2347)&gt;0,'Translation-EN'!A2347,"")</f>
        <v>Range</v>
      </c>
      <c r="B2347" s="888" t="str">
        <f>IF(LEN('Translation-EN'!B2347)&gt;0,'Translation-EN'!B2347,"")</f>
        <v>Master sheet</v>
      </c>
      <c r="C2347" s="888" t="str">
        <f>IF(LEN('Translation-EN'!C2347)&gt;0,'Translation-EN'!C2347,"")</f>
        <v>D364</v>
      </c>
      <c r="D2347" s="888" t="str">
        <f>IF(LEN('Translation-EN'!D2347)&gt;0,'Translation-EN'!D2347,"")</f>
        <v/>
      </c>
      <c r="E2347" s="893" t="s">
        <v>6436</v>
      </c>
      <c r="I2347" s="888"/>
      <c r="J2347" s="888"/>
      <c r="K2347" s="888"/>
      <c r="L2347" s="888"/>
      <c r="M2347" s="888"/>
      <c r="N2347" s="888"/>
      <c r="O2347" s="888"/>
      <c r="P2347" s="888"/>
      <c r="Q2347" s="888"/>
      <c r="R2347" s="888"/>
    </row>
    <row r="2348" spans="1:18" s="893" customFormat="1" x14ac:dyDescent="0.3">
      <c r="A2348" s="888" t="str">
        <f>IF(LEN('Translation-EN'!A2348)&gt;0,'Translation-EN'!A2348,"")</f>
        <v>Range</v>
      </c>
      <c r="B2348" s="888" t="str">
        <f>IF(LEN('Translation-EN'!B2348)&gt;0,'Translation-EN'!B2348,"")</f>
        <v>Master sheet</v>
      </c>
      <c r="C2348" s="888" t="str">
        <f>IF(LEN('Translation-EN'!C2348)&gt;0,'Translation-EN'!C2348,"")</f>
        <v>E364</v>
      </c>
      <c r="D2348" s="888" t="str">
        <f>IF(LEN('Translation-EN'!D2348)&gt;0,'Translation-EN'!D2348,"")</f>
        <v/>
      </c>
      <c r="E2348" s="893" t="s">
        <v>6437</v>
      </c>
      <c r="I2348" s="888"/>
      <c r="J2348" s="888"/>
      <c r="K2348" s="888"/>
      <c r="L2348" s="888"/>
      <c r="M2348" s="888"/>
      <c r="N2348" s="888"/>
      <c r="O2348" s="888"/>
      <c r="P2348" s="888"/>
      <c r="Q2348" s="888"/>
      <c r="R2348" s="888"/>
    </row>
    <row r="2349" spans="1:18" s="893" customFormat="1" x14ac:dyDescent="0.3">
      <c r="A2349" s="888" t="str">
        <f>IF(LEN('Translation-EN'!A2349)&gt;0,'Translation-EN'!A2349,"")</f>
        <v>Range</v>
      </c>
      <c r="B2349" s="888" t="str">
        <f>IF(LEN('Translation-EN'!B2349)&gt;0,'Translation-EN'!B2349,"")</f>
        <v>Master sheet</v>
      </c>
      <c r="C2349" s="888" t="str">
        <f>IF(LEN('Translation-EN'!C2349)&gt;0,'Translation-EN'!C2349,"")</f>
        <v>B368</v>
      </c>
      <c r="D2349" s="888" t="str">
        <f>IF(LEN('Translation-EN'!D2349)&gt;0,'Translation-EN'!D2349,"")</f>
        <v/>
      </c>
      <c r="E2349" s="893" t="s">
        <v>6438</v>
      </c>
      <c r="I2349" s="888"/>
      <c r="J2349" s="888"/>
      <c r="K2349" s="888"/>
      <c r="L2349" s="888"/>
      <c r="M2349" s="888"/>
      <c r="N2349" s="888"/>
      <c r="O2349" s="888"/>
      <c r="P2349" s="888"/>
      <c r="Q2349" s="888"/>
      <c r="R2349" s="888"/>
    </row>
    <row r="2350" spans="1:18" s="893" customFormat="1" x14ac:dyDescent="0.3">
      <c r="A2350" s="888" t="str">
        <f>IF(LEN('Translation-EN'!A2350)&gt;0,'Translation-EN'!A2350,"")</f>
        <v>Range</v>
      </c>
      <c r="B2350" s="888" t="str">
        <f>IF(LEN('Translation-EN'!B2350)&gt;0,'Translation-EN'!B2350,"")</f>
        <v>Master sheet</v>
      </c>
      <c r="C2350" s="888" t="str">
        <f>IF(LEN('Translation-EN'!C2350)&gt;0,'Translation-EN'!C2350,"")</f>
        <v>C368</v>
      </c>
      <c r="D2350" s="888" t="str">
        <f>IF(LEN('Translation-EN'!D2350)&gt;0,'Translation-EN'!D2350,"")</f>
        <v/>
      </c>
      <c r="E2350" s="893" t="s">
        <v>4462</v>
      </c>
      <c r="I2350" s="888"/>
      <c r="J2350" s="888"/>
      <c r="K2350" s="888"/>
      <c r="L2350" s="888"/>
      <c r="M2350" s="888"/>
      <c r="N2350" s="888"/>
      <c r="O2350" s="888"/>
      <c r="P2350" s="888"/>
      <c r="Q2350" s="888"/>
      <c r="R2350" s="888"/>
    </row>
    <row r="2351" spans="1:18" s="893" customFormat="1" x14ac:dyDescent="0.3">
      <c r="A2351" s="888" t="str">
        <f>IF(LEN('Translation-EN'!A2351)&gt;0,'Translation-EN'!A2351,"")</f>
        <v>Range</v>
      </c>
      <c r="B2351" s="888" t="str">
        <f>IF(LEN('Translation-EN'!B2351)&gt;0,'Translation-EN'!B2351,"")</f>
        <v>Master sheet</v>
      </c>
      <c r="C2351" s="888" t="str">
        <f>IF(LEN('Translation-EN'!C2351)&gt;0,'Translation-EN'!C2351,"")</f>
        <v>D368</v>
      </c>
      <c r="D2351" s="888" t="str">
        <f>IF(LEN('Translation-EN'!D2351)&gt;0,'Translation-EN'!D2351,"")</f>
        <v/>
      </c>
      <c r="E2351" s="893" t="s">
        <v>6439</v>
      </c>
      <c r="I2351" s="888"/>
      <c r="J2351" s="888"/>
      <c r="K2351" s="888"/>
      <c r="L2351" s="888"/>
      <c r="M2351" s="888"/>
      <c r="N2351" s="888"/>
      <c r="O2351" s="888"/>
      <c r="P2351" s="888"/>
      <c r="Q2351" s="888"/>
      <c r="R2351" s="888"/>
    </row>
    <row r="2352" spans="1:18" s="893" customFormat="1" x14ac:dyDescent="0.3">
      <c r="A2352" s="888" t="str">
        <f>IF(LEN('Translation-EN'!A2352)&gt;0,'Translation-EN'!A2352,"")</f>
        <v>Range</v>
      </c>
      <c r="B2352" s="888" t="str">
        <f>IF(LEN('Translation-EN'!B2352)&gt;0,'Translation-EN'!B2352,"")</f>
        <v>Master sheet</v>
      </c>
      <c r="C2352" s="888" t="str">
        <f>IF(LEN('Translation-EN'!C2352)&gt;0,'Translation-EN'!C2352,"")</f>
        <v>B369</v>
      </c>
      <c r="D2352" s="888" t="str">
        <f>IF(LEN('Translation-EN'!D2352)&gt;0,'Translation-EN'!D2352,"")</f>
        <v/>
      </c>
      <c r="E2352" s="893" t="str">
        <f>$E$2349</f>
        <v>Treillis soudé</v>
      </c>
      <c r="I2352" s="888"/>
      <c r="J2352" s="888"/>
      <c r="K2352" s="888"/>
      <c r="L2352" s="888"/>
      <c r="M2352" s="888"/>
      <c r="N2352" s="888"/>
      <c r="O2352" s="888"/>
      <c r="P2352" s="888"/>
      <c r="Q2352" s="888"/>
      <c r="R2352" s="888"/>
    </row>
    <row r="2353" spans="1:18" s="893" customFormat="1" x14ac:dyDescent="0.3">
      <c r="A2353" s="888" t="str">
        <f>IF(LEN('Translation-EN'!A2353)&gt;0,'Translation-EN'!A2353,"")</f>
        <v>Range</v>
      </c>
      <c r="B2353" s="888" t="str">
        <f>IF(LEN('Translation-EN'!B2353)&gt;0,'Translation-EN'!B2353,"")</f>
        <v>Master sheet</v>
      </c>
      <c r="C2353" s="888" t="str">
        <f>IF(LEN('Translation-EN'!C2353)&gt;0,'Translation-EN'!C2353,"")</f>
        <v>C369</v>
      </c>
      <c r="D2353" s="888" t="str">
        <f>IF(LEN('Translation-EN'!D2353)&gt;0,'Translation-EN'!D2353,"")</f>
        <v/>
      </c>
      <c r="E2353" s="893" t="str">
        <f>$E$2350</f>
        <v>Insteel Industries</v>
      </c>
      <c r="I2353" s="888"/>
      <c r="J2353" s="888"/>
      <c r="K2353" s="888"/>
      <c r="L2353" s="888"/>
      <c r="M2353" s="888"/>
      <c r="N2353" s="888"/>
      <c r="O2353" s="888"/>
      <c r="P2353" s="888"/>
      <c r="Q2353" s="888"/>
      <c r="R2353" s="888"/>
    </row>
    <row r="2354" spans="1:18" s="893" customFormat="1" x14ac:dyDescent="0.3">
      <c r="A2354" s="888" t="str">
        <f>IF(LEN('Translation-EN'!A2354)&gt;0,'Translation-EN'!A2354,"")</f>
        <v>Range</v>
      </c>
      <c r="B2354" s="888" t="str">
        <f>IF(LEN('Translation-EN'!B2354)&gt;0,'Translation-EN'!B2354,"")</f>
        <v>Master sheet</v>
      </c>
      <c r="C2354" s="888" t="str">
        <f>IF(LEN('Translation-EN'!C2354)&gt;0,'Translation-EN'!C2354,"")</f>
        <v>D369</v>
      </c>
      <c r="D2354" s="888" t="str">
        <f>IF(LEN('Translation-EN'!D2354)&gt;0,'Translation-EN'!D2354,"")</f>
        <v/>
      </c>
      <c r="E2354" s="893" t="s">
        <v>4465</v>
      </c>
      <c r="I2354" s="888"/>
      <c r="J2354" s="888"/>
      <c r="K2354" s="888"/>
      <c r="L2354" s="888"/>
      <c r="M2354" s="888"/>
      <c r="N2354" s="888"/>
      <c r="O2354" s="888"/>
      <c r="P2354" s="888"/>
      <c r="Q2354" s="888"/>
      <c r="R2354" s="888"/>
    </row>
    <row r="2355" spans="1:18" s="893" customFormat="1" x14ac:dyDescent="0.3">
      <c r="A2355" s="888" t="str">
        <f>IF(LEN('Translation-EN'!A2355)&gt;0,'Translation-EN'!A2355,"")</f>
        <v>Range</v>
      </c>
      <c r="B2355" s="888" t="str">
        <f>IF(LEN('Translation-EN'!B2355)&gt;0,'Translation-EN'!B2355,"")</f>
        <v>Master sheet</v>
      </c>
      <c r="C2355" s="888" t="str">
        <f>IF(LEN('Translation-EN'!C2355)&gt;0,'Translation-EN'!C2355,"")</f>
        <v>B370</v>
      </c>
      <c r="D2355" s="888" t="str">
        <f>IF(LEN('Translation-EN'!D2355)&gt;0,'Translation-EN'!D2355,"")</f>
        <v/>
      </c>
      <c r="E2355" s="893" t="s">
        <v>6440</v>
      </c>
      <c r="I2355" s="888"/>
      <c r="J2355" s="888"/>
      <c r="K2355" s="888"/>
      <c r="L2355" s="888"/>
      <c r="M2355" s="888"/>
      <c r="N2355" s="888"/>
      <c r="O2355" s="888"/>
      <c r="P2355" s="888"/>
      <c r="Q2355" s="888"/>
      <c r="R2355" s="888"/>
    </row>
    <row r="2356" spans="1:18" s="893" customFormat="1" x14ac:dyDescent="0.3">
      <c r="A2356" s="888" t="str">
        <f>IF(LEN('Translation-EN'!A2356)&gt;0,'Translation-EN'!A2356,"")</f>
        <v>Range</v>
      </c>
      <c r="B2356" s="888" t="str">
        <f>IF(LEN('Translation-EN'!B2356)&gt;0,'Translation-EN'!B2356,"")</f>
        <v>Master sheet</v>
      </c>
      <c r="C2356" s="888" t="str">
        <f>IF(LEN('Translation-EN'!C2356)&gt;0,'Translation-EN'!C2356,"")</f>
        <v>E370</v>
      </c>
      <c r="D2356" s="888" t="str">
        <f>IF(LEN('Translation-EN'!D2356)&gt;0,'Translation-EN'!D2356,"")</f>
        <v/>
      </c>
      <c r="E2356" s="893" t="s">
        <v>6441</v>
      </c>
      <c r="I2356" s="888"/>
      <c r="J2356" s="888"/>
      <c r="K2356" s="888"/>
      <c r="L2356" s="888"/>
      <c r="M2356" s="888"/>
      <c r="N2356" s="888"/>
      <c r="O2356" s="888"/>
      <c r="P2356" s="888"/>
      <c r="Q2356" s="888"/>
      <c r="R2356" s="888"/>
    </row>
    <row r="2357" spans="1:18" s="893" customFormat="1" x14ac:dyDescent="0.3">
      <c r="A2357" s="888" t="str">
        <f>IF(LEN('Translation-EN'!A2357)&gt;0,'Translation-EN'!A2357,"")</f>
        <v>Range</v>
      </c>
      <c r="B2357" s="888" t="str">
        <f>IF(LEN('Translation-EN'!B2357)&gt;0,'Translation-EN'!B2357,"")</f>
        <v>Master sheet</v>
      </c>
      <c r="C2357" s="888" t="str">
        <f>IF(LEN('Translation-EN'!C2357)&gt;0,'Translation-EN'!C2357,"")</f>
        <v>B372</v>
      </c>
      <c r="D2357" s="888" t="str">
        <f>IF(LEN('Translation-EN'!D2357)&gt;0,'Translation-EN'!D2357,"")</f>
        <v/>
      </c>
      <c r="E2357" s="893" t="str">
        <f>$E$2355</f>
        <v>Fenêtre – sous-fenêtre double</v>
      </c>
      <c r="I2357" s="888"/>
      <c r="J2357" s="888"/>
      <c r="K2357" s="888"/>
      <c r="L2357" s="888"/>
      <c r="M2357" s="888"/>
      <c r="N2357" s="888"/>
      <c r="O2357" s="888"/>
      <c r="P2357" s="888"/>
      <c r="Q2357" s="888"/>
      <c r="R2357" s="888"/>
    </row>
    <row r="2358" spans="1:18" s="893" customFormat="1" x14ac:dyDescent="0.3">
      <c r="A2358" s="888" t="str">
        <f>IF(LEN('Translation-EN'!A2358)&gt;0,'Translation-EN'!A2358,"")</f>
        <v>Range</v>
      </c>
      <c r="B2358" s="888" t="str">
        <f>IF(LEN('Translation-EN'!B2358)&gt;0,'Translation-EN'!B2358,"")</f>
        <v>Master sheet</v>
      </c>
      <c r="C2358" s="888" t="str">
        <f>IF(LEN('Translation-EN'!C2358)&gt;0,'Translation-EN'!C2358,"")</f>
        <v>E372</v>
      </c>
      <c r="D2358" s="888" t="str">
        <f>IF(LEN('Translation-EN'!D2358)&gt;0,'Translation-EN'!D2358,"")</f>
        <v/>
      </c>
      <c r="E2358" s="893" t="s">
        <v>6442</v>
      </c>
      <c r="I2358" s="888"/>
      <c r="J2358" s="888"/>
      <c r="K2358" s="888"/>
      <c r="L2358" s="888"/>
      <c r="M2358" s="888"/>
      <c r="N2358" s="888"/>
      <c r="O2358" s="888"/>
      <c r="P2358" s="888"/>
      <c r="Q2358" s="888"/>
      <c r="R2358" s="888"/>
    </row>
    <row r="2359" spans="1:18" s="893" customFormat="1" x14ac:dyDescent="0.3">
      <c r="A2359" s="888" t="str">
        <f>IF(LEN('Translation-EN'!A2359)&gt;0,'Translation-EN'!A2359,"")</f>
        <v>Range</v>
      </c>
      <c r="B2359" s="888" t="str">
        <f>IF(LEN('Translation-EN'!B2359)&gt;0,'Translation-EN'!B2359,"")</f>
        <v>Master sheet</v>
      </c>
      <c r="C2359" s="888" t="str">
        <f>IF(LEN('Translation-EN'!C2359)&gt;0,'Translation-EN'!C2359,"")</f>
        <v>B374</v>
      </c>
      <c r="D2359" s="888" t="str">
        <f>IF(LEN('Translation-EN'!D2359)&gt;0,'Translation-EN'!D2359,"")</f>
        <v/>
      </c>
      <c r="E2359" s="893" t="str">
        <f>$E$2355</f>
        <v>Fenêtre – sous-fenêtre double</v>
      </c>
      <c r="I2359" s="888"/>
      <c r="J2359" s="888"/>
      <c r="K2359" s="888"/>
      <c r="L2359" s="888"/>
      <c r="M2359" s="888"/>
      <c r="N2359" s="888"/>
      <c r="O2359" s="888"/>
      <c r="P2359" s="888"/>
      <c r="Q2359" s="888"/>
      <c r="R2359" s="888"/>
    </row>
    <row r="2360" spans="1:18" s="893" customFormat="1" x14ac:dyDescent="0.3">
      <c r="A2360" s="888" t="str">
        <f>IF(LEN('Translation-EN'!A2360)&gt;0,'Translation-EN'!A2360,"")</f>
        <v>Range</v>
      </c>
      <c r="B2360" s="888" t="str">
        <f>IF(LEN('Translation-EN'!B2360)&gt;0,'Translation-EN'!B2360,"")</f>
        <v>Master sheet</v>
      </c>
      <c r="C2360" s="888" t="str">
        <f>IF(LEN('Translation-EN'!C2360)&gt;0,'Translation-EN'!C2360,"")</f>
        <v>E374</v>
      </c>
      <c r="D2360" s="888" t="str">
        <f>IF(LEN('Translation-EN'!D2360)&gt;0,'Translation-EN'!D2360,"")</f>
        <v/>
      </c>
      <c r="E2360" s="893" t="s">
        <v>6443</v>
      </c>
      <c r="I2360" s="888"/>
      <c r="J2360" s="888"/>
      <c r="K2360" s="888"/>
      <c r="L2360" s="888"/>
      <c r="M2360" s="888"/>
      <c r="N2360" s="888"/>
      <c r="O2360" s="888"/>
      <c r="P2360" s="888"/>
      <c r="Q2360" s="888"/>
      <c r="R2360" s="888"/>
    </row>
    <row r="2361" spans="1:18" s="893" customFormat="1" x14ac:dyDescent="0.3">
      <c r="A2361" s="888" t="str">
        <f>IF(LEN('Translation-EN'!A2361)&gt;0,'Translation-EN'!A2361,"")</f>
        <v>Range</v>
      </c>
      <c r="B2361" s="888" t="str">
        <f>IF(LEN('Translation-EN'!B2361)&gt;0,'Translation-EN'!B2361,"")</f>
        <v>Master sheet</v>
      </c>
      <c r="C2361" s="888" t="str">
        <f>IF(LEN('Translation-EN'!C2361)&gt;0,'Translation-EN'!C2361,"")</f>
        <v>B376</v>
      </c>
      <c r="D2361" s="888" t="str">
        <f>IF(LEN('Translation-EN'!D2361)&gt;0,'Translation-EN'!D2361,"")</f>
        <v/>
      </c>
      <c r="E2361" s="893" t="str">
        <f>$E$2355</f>
        <v>Fenêtre – sous-fenêtre double</v>
      </c>
      <c r="I2361" s="888"/>
      <c r="J2361" s="888"/>
      <c r="K2361" s="888"/>
      <c r="L2361" s="888"/>
      <c r="M2361" s="888"/>
      <c r="N2361" s="888"/>
      <c r="O2361" s="888"/>
      <c r="P2361" s="888"/>
      <c r="Q2361" s="888"/>
      <c r="R2361" s="888"/>
    </row>
    <row r="2362" spans="1:18" s="893" customFormat="1" x14ac:dyDescent="0.3">
      <c r="A2362" s="888" t="str">
        <f>IF(LEN('Translation-EN'!A2362)&gt;0,'Translation-EN'!A2362,"")</f>
        <v>Range</v>
      </c>
      <c r="B2362" s="888" t="str">
        <f>IF(LEN('Translation-EN'!B2362)&gt;0,'Translation-EN'!B2362,"")</f>
        <v>Master sheet</v>
      </c>
      <c r="C2362" s="888" t="str">
        <f>IF(LEN('Translation-EN'!C2362)&gt;0,'Translation-EN'!C2362,"")</f>
        <v>E376</v>
      </c>
      <c r="D2362" s="888" t="str">
        <f>IF(LEN('Translation-EN'!D2362)&gt;0,'Translation-EN'!D2362,"")</f>
        <v/>
      </c>
      <c r="E2362" s="893" t="s">
        <v>6444</v>
      </c>
      <c r="I2362" s="888"/>
      <c r="J2362" s="888"/>
      <c r="K2362" s="888"/>
      <c r="L2362" s="888"/>
      <c r="M2362" s="888"/>
      <c r="N2362" s="888"/>
      <c r="O2362" s="888"/>
      <c r="P2362" s="888"/>
      <c r="Q2362" s="888"/>
      <c r="R2362" s="888"/>
    </row>
    <row r="2363" spans="1:18" s="893" customFormat="1" x14ac:dyDescent="0.3">
      <c r="A2363" s="888" t="str">
        <f>IF(LEN('Translation-EN'!A2363)&gt;0,'Translation-EN'!A2363,"")</f>
        <v>Range</v>
      </c>
      <c r="B2363" s="888" t="str">
        <f>IF(LEN('Translation-EN'!B2363)&gt;0,'Translation-EN'!B2363,"")</f>
        <v>Master sheet</v>
      </c>
      <c r="C2363" s="888" t="str">
        <f>IF(LEN('Translation-EN'!C2363)&gt;0,'Translation-EN'!C2363,"")</f>
        <v>B377</v>
      </c>
      <c r="D2363" s="888" t="str">
        <f>IF(LEN('Translation-EN'!D2363)&gt;0,'Translation-EN'!D2363,"")</f>
        <v/>
      </c>
      <c r="E2363" s="893" t="s">
        <v>6445</v>
      </c>
      <c r="I2363" s="888"/>
      <c r="J2363" s="888"/>
      <c r="K2363" s="888"/>
      <c r="L2363" s="888"/>
      <c r="M2363" s="888"/>
      <c r="N2363" s="888"/>
      <c r="O2363" s="888"/>
      <c r="P2363" s="888"/>
      <c r="Q2363" s="888"/>
      <c r="R2363" s="888"/>
    </row>
    <row r="2364" spans="1:18" s="893" customFormat="1" x14ac:dyDescent="0.3">
      <c r="A2364" s="888" t="str">
        <f>IF(LEN('Translation-EN'!A2364)&gt;0,'Translation-EN'!A2364,"")</f>
        <v>Range</v>
      </c>
      <c r="B2364" s="888" t="str">
        <f>IF(LEN('Translation-EN'!B2364)&gt;0,'Translation-EN'!B2364,"")</f>
        <v>Master sheet</v>
      </c>
      <c r="C2364" s="888" t="str">
        <f>IF(LEN('Translation-EN'!C2364)&gt;0,'Translation-EN'!C2364,"")</f>
        <v>E377</v>
      </c>
      <c r="D2364" s="888" t="str">
        <f>IF(LEN('Translation-EN'!D2364)&gt;0,'Translation-EN'!D2364,"")</f>
        <v/>
      </c>
      <c r="E2364" s="893" t="str">
        <f>$E$2356</f>
        <v>Cadre en fibre de verre</v>
      </c>
      <c r="I2364" s="888"/>
      <c r="J2364" s="888"/>
      <c r="K2364" s="888"/>
      <c r="L2364" s="888"/>
      <c r="M2364" s="888"/>
      <c r="N2364" s="888"/>
      <c r="O2364" s="888"/>
      <c r="P2364" s="888"/>
      <c r="Q2364" s="888"/>
      <c r="R2364" s="888"/>
    </row>
    <row r="2365" spans="1:18" s="893" customFormat="1" x14ac:dyDescent="0.3">
      <c r="A2365" s="888" t="str">
        <f>IF(LEN('Translation-EN'!A2365)&gt;0,'Translation-EN'!A2365,"")</f>
        <v>Range</v>
      </c>
      <c r="B2365" s="888" t="str">
        <f>IF(LEN('Translation-EN'!B2365)&gt;0,'Translation-EN'!B2365,"")</f>
        <v>Master sheet</v>
      </c>
      <c r="C2365" s="888" t="str">
        <f>IF(LEN('Translation-EN'!C2365)&gt;0,'Translation-EN'!C2365,"")</f>
        <v>B378</v>
      </c>
      <c r="D2365" s="888" t="str">
        <f>IF(LEN('Translation-EN'!D2365)&gt;0,'Translation-EN'!D2365,"")</f>
        <v/>
      </c>
      <c r="E2365" s="893" t="str">
        <f>$E$2363</f>
        <v>Fenêtre – sous-fenêtre triple</v>
      </c>
      <c r="I2365" s="888"/>
      <c r="J2365" s="888"/>
      <c r="K2365" s="888"/>
      <c r="L2365" s="888"/>
      <c r="M2365" s="888"/>
      <c r="N2365" s="888"/>
      <c r="O2365" s="888"/>
      <c r="P2365" s="888"/>
      <c r="Q2365" s="888"/>
      <c r="R2365" s="888"/>
    </row>
    <row r="2366" spans="1:18" s="893" customFormat="1" x14ac:dyDescent="0.3">
      <c r="A2366" s="888" t="str">
        <f>IF(LEN('Translation-EN'!A2366)&gt;0,'Translation-EN'!A2366,"")</f>
        <v>Range</v>
      </c>
      <c r="B2366" s="888" t="str">
        <f>IF(LEN('Translation-EN'!B2366)&gt;0,'Translation-EN'!B2366,"")</f>
        <v>Master sheet</v>
      </c>
      <c r="C2366" s="888" t="str">
        <f>IF(LEN('Translation-EN'!C2366)&gt;0,'Translation-EN'!C2366,"")</f>
        <v>E378</v>
      </c>
      <c r="D2366" s="888" t="str">
        <f>IF(LEN('Translation-EN'!D2366)&gt;0,'Translation-EN'!D2366,"")</f>
        <v/>
      </c>
      <c r="E2366" s="893" t="str">
        <f>$E$2358</f>
        <v>Charpente en vinyle</v>
      </c>
      <c r="I2366" s="888"/>
      <c r="J2366" s="888"/>
      <c r="K2366" s="888"/>
      <c r="L2366" s="888"/>
      <c r="M2366" s="888"/>
      <c r="N2366" s="888"/>
      <c r="O2366" s="888"/>
      <c r="P2366" s="888"/>
      <c r="Q2366" s="888"/>
      <c r="R2366" s="888"/>
    </row>
    <row r="2367" spans="1:18" s="893" customFormat="1" x14ac:dyDescent="0.3">
      <c r="A2367" s="888" t="str">
        <f>IF(LEN('Translation-EN'!A2367)&gt;0,'Translation-EN'!A2367,"")</f>
        <v>Range</v>
      </c>
      <c r="B2367" s="888" t="str">
        <f>IF(LEN('Translation-EN'!B2367)&gt;0,'Translation-EN'!B2367,"")</f>
        <v>Master sheet</v>
      </c>
      <c r="C2367" s="888" t="str">
        <f>IF(LEN('Translation-EN'!C2367)&gt;0,'Translation-EN'!C2367,"")</f>
        <v>B380</v>
      </c>
      <c r="D2367" s="888" t="str">
        <f>IF(LEN('Translation-EN'!D2367)&gt;0,'Translation-EN'!D2367,"")</f>
        <v/>
      </c>
      <c r="E2367" s="893" t="str">
        <f>$E$2363</f>
        <v>Fenêtre – sous-fenêtre triple</v>
      </c>
      <c r="I2367" s="888"/>
      <c r="J2367" s="888"/>
      <c r="K2367" s="888"/>
      <c r="L2367" s="888"/>
      <c r="M2367" s="888"/>
      <c r="N2367" s="888"/>
      <c r="O2367" s="888"/>
      <c r="P2367" s="888"/>
      <c r="Q2367" s="888"/>
      <c r="R2367" s="888"/>
    </row>
    <row r="2368" spans="1:18" s="893" customFormat="1" x14ac:dyDescent="0.3">
      <c r="A2368" s="888" t="str">
        <f>IF(LEN('Translation-EN'!A2368)&gt;0,'Translation-EN'!A2368,"")</f>
        <v>Range</v>
      </c>
      <c r="B2368" s="888" t="str">
        <f>IF(LEN('Translation-EN'!B2368)&gt;0,'Translation-EN'!B2368,"")</f>
        <v>Master sheet</v>
      </c>
      <c r="C2368" s="888" t="str">
        <f>IF(LEN('Translation-EN'!C2368)&gt;0,'Translation-EN'!C2368,"")</f>
        <v>E380</v>
      </c>
      <c r="D2368" s="888" t="str">
        <f>IF(LEN('Translation-EN'!D2368)&gt;0,'Translation-EN'!D2368,"")</f>
        <v/>
      </c>
      <c r="E2368" s="893" t="str">
        <f>$E$2360</f>
        <v>Charpente en bois</v>
      </c>
      <c r="I2368" s="888"/>
      <c r="J2368" s="888"/>
      <c r="K2368" s="888"/>
      <c r="L2368" s="888"/>
      <c r="M2368" s="888"/>
      <c r="N2368" s="888"/>
      <c r="O2368" s="888"/>
      <c r="P2368" s="888"/>
      <c r="Q2368" s="888"/>
      <c r="R2368" s="888"/>
    </row>
    <row r="2369" spans="1:18" s="893" customFormat="1" x14ac:dyDescent="0.3">
      <c r="A2369" s="888" t="str">
        <f>IF(LEN('Translation-EN'!A2369)&gt;0,'Translation-EN'!A2369,"")</f>
        <v>Range</v>
      </c>
      <c r="B2369" s="888" t="str">
        <f>IF(LEN('Translation-EN'!B2369)&gt;0,'Translation-EN'!B2369,"")</f>
        <v>Master sheet</v>
      </c>
      <c r="C2369" s="888" t="str">
        <f>IF(LEN('Translation-EN'!C2369)&gt;0,'Translation-EN'!C2369,"")</f>
        <v>B382</v>
      </c>
      <c r="D2369" s="888" t="str">
        <f>IF(LEN('Translation-EN'!D2369)&gt;0,'Translation-EN'!D2369,"")</f>
        <v/>
      </c>
      <c r="E2369" s="893" t="str">
        <f>$E$2363</f>
        <v>Fenêtre – sous-fenêtre triple</v>
      </c>
      <c r="I2369" s="888"/>
      <c r="J2369" s="888"/>
      <c r="K2369" s="888"/>
      <c r="L2369" s="888"/>
      <c r="M2369" s="888"/>
      <c r="N2369" s="888"/>
      <c r="O2369" s="888"/>
      <c r="P2369" s="888"/>
      <c r="Q2369" s="888"/>
      <c r="R2369" s="888"/>
    </row>
    <row r="2370" spans="1:18" s="893" customFormat="1" x14ac:dyDescent="0.3">
      <c r="A2370" s="888" t="str">
        <f>IF(LEN('Translation-EN'!A2370)&gt;0,'Translation-EN'!A2370,"")</f>
        <v>Range</v>
      </c>
      <c r="B2370" s="888" t="str">
        <f>IF(LEN('Translation-EN'!B2370)&gt;0,'Translation-EN'!B2370,"")</f>
        <v>Master sheet</v>
      </c>
      <c r="C2370" s="888" t="str">
        <f>IF(LEN('Translation-EN'!C2370)&gt;0,'Translation-EN'!C2370,"")</f>
        <v>E382</v>
      </c>
      <c r="D2370" s="888" t="str">
        <f>IF(LEN('Translation-EN'!D2370)&gt;0,'Translation-EN'!D2370,"")</f>
        <v/>
      </c>
      <c r="E2370" s="893" t="str">
        <f>$E$2362</f>
        <v>Charpente en bois, revêtement en aluminium</v>
      </c>
      <c r="I2370" s="888"/>
      <c r="J2370" s="888"/>
      <c r="K2370" s="888"/>
      <c r="L2370" s="888"/>
      <c r="M2370" s="888"/>
      <c r="N2370" s="888"/>
      <c r="O2370" s="888"/>
      <c r="P2370" s="888"/>
      <c r="Q2370" s="888"/>
      <c r="R2370" s="888"/>
    </row>
    <row r="2371" spans="1:18" s="893" customFormat="1" x14ac:dyDescent="0.3">
      <c r="A2371" s="888" t="str">
        <f>IF(LEN('Translation-EN'!A2371)&gt;0,'Translation-EN'!A2371,"")</f>
        <v>Range</v>
      </c>
      <c r="B2371" s="888" t="str">
        <f>IF(LEN('Translation-EN'!B2371)&gt;0,'Translation-EN'!B2371,"")</f>
        <v>Master sheet</v>
      </c>
      <c r="C2371" s="888" t="str">
        <f>IF(LEN('Translation-EN'!C2371)&gt;0,'Translation-EN'!C2371,"")</f>
        <v>B384</v>
      </c>
      <c r="D2371" s="888" t="str">
        <f>IF(LEN('Translation-EN'!D2371)&gt;0,'Translation-EN'!D2371,"")</f>
        <v/>
      </c>
      <c r="E2371" s="893" t="s">
        <v>6446</v>
      </c>
      <c r="I2371" s="888"/>
      <c r="J2371" s="888"/>
      <c r="K2371" s="888"/>
      <c r="L2371" s="888"/>
      <c r="M2371" s="888"/>
      <c r="N2371" s="888"/>
      <c r="O2371" s="888"/>
      <c r="P2371" s="888"/>
      <c r="Q2371" s="888"/>
      <c r="R2371" s="888"/>
    </row>
    <row r="2372" spans="1:18" s="893" customFormat="1" x14ac:dyDescent="0.3">
      <c r="A2372" s="888" t="str">
        <f>IF(LEN('Translation-EN'!A2372)&gt;0,'Translation-EN'!A2372,"")</f>
        <v>Range</v>
      </c>
      <c r="B2372" s="888" t="str">
        <f>IF(LEN('Translation-EN'!B2372)&gt;0,'Translation-EN'!B2372,"")</f>
        <v>Master sheet</v>
      </c>
      <c r="C2372" s="888" t="str">
        <f>IF(LEN('Translation-EN'!C2372)&gt;0,'Translation-EN'!C2372,"")</f>
        <v>C384</v>
      </c>
      <c r="D2372" s="888" t="str">
        <f>IF(LEN('Translation-EN'!D2372)&gt;0,'Translation-EN'!D2372,"")</f>
        <v/>
      </c>
      <c r="E2372" s="893" t="s">
        <v>697</v>
      </c>
      <c r="I2372" s="888"/>
      <c r="J2372" s="888"/>
      <c r="K2372" s="888"/>
      <c r="L2372" s="888"/>
      <c r="M2372" s="888"/>
      <c r="N2372" s="888"/>
      <c r="O2372" s="888"/>
      <c r="P2372" s="888"/>
      <c r="Q2372" s="888"/>
      <c r="R2372" s="888"/>
    </row>
    <row r="2373" spans="1:18" s="893" customFormat="1" x14ac:dyDescent="0.3">
      <c r="A2373" s="888" t="str">
        <f>IF(LEN('Translation-EN'!A2373)&gt;0,'Translation-EN'!A2373,"")</f>
        <v>Range</v>
      </c>
      <c r="B2373" s="888" t="str">
        <f>IF(LEN('Translation-EN'!B2373)&gt;0,'Translation-EN'!B2373,"")</f>
        <v>Master sheet</v>
      </c>
      <c r="C2373" s="888" t="str">
        <f>IF(LEN('Translation-EN'!C2373)&gt;0,'Translation-EN'!C2373,"")</f>
        <v>E384</v>
      </c>
      <c r="D2373" s="888" t="str">
        <f>IF(LEN('Translation-EN'!D2373)&gt;0,'Translation-EN'!D2373,"")</f>
        <v/>
      </c>
      <c r="E2373" s="893" t="s">
        <v>6447</v>
      </c>
      <c r="I2373" s="888"/>
      <c r="J2373" s="888"/>
      <c r="K2373" s="888"/>
      <c r="L2373" s="888"/>
      <c r="M2373" s="888"/>
      <c r="N2373" s="888"/>
      <c r="O2373" s="888"/>
      <c r="P2373" s="888"/>
      <c r="Q2373" s="888"/>
      <c r="R2373" s="888"/>
    </row>
    <row r="2374" spans="1:18" s="893" customFormat="1" x14ac:dyDescent="0.3">
      <c r="A2374" s="888" t="str">
        <f>IF(LEN('Translation-EN'!A2374)&gt;0,'Translation-EN'!A2374,"")</f>
        <v>Range</v>
      </c>
      <c r="B2374" s="888" t="str">
        <f>IF(LEN('Translation-EN'!B2374)&gt;0,'Translation-EN'!B2374,"")</f>
        <v>Master sheet</v>
      </c>
      <c r="C2374" s="888" t="str">
        <f>IF(LEN('Translation-EN'!C2374)&gt;0,'Translation-EN'!C2374,"")</f>
        <v>B385</v>
      </c>
      <c r="D2374" s="888" t="str">
        <f>IF(LEN('Translation-EN'!D2374)&gt;0,'Translation-EN'!D2374,"")</f>
        <v/>
      </c>
      <c r="E2374" s="893" t="str">
        <f>$E$2371</f>
        <v>Fenêtre – triple vitrage</v>
      </c>
      <c r="I2374" s="888"/>
      <c r="J2374" s="888"/>
      <c r="K2374" s="888"/>
      <c r="L2374" s="888"/>
      <c r="M2374" s="888"/>
      <c r="N2374" s="888"/>
      <c r="O2374" s="888"/>
      <c r="P2374" s="888"/>
      <c r="Q2374" s="888"/>
      <c r="R2374" s="888"/>
    </row>
    <row r="2375" spans="1:18" s="893" customFormat="1" x14ac:dyDescent="0.3">
      <c r="A2375" s="888" t="str">
        <f>IF(LEN('Translation-EN'!A2375)&gt;0,'Translation-EN'!A2375,"")</f>
        <v>Range</v>
      </c>
      <c r="B2375" s="888" t="str">
        <f>IF(LEN('Translation-EN'!B2375)&gt;0,'Translation-EN'!B2375,"")</f>
        <v>Master sheet</v>
      </c>
      <c r="C2375" s="888" t="str">
        <f>IF(LEN('Translation-EN'!C2375)&gt;0,'Translation-EN'!C2375,"")</f>
        <v>C385</v>
      </c>
      <c r="D2375" s="888" t="str">
        <f>IF(LEN('Translation-EN'!D2375)&gt;0,'Translation-EN'!D2375,"")</f>
        <v/>
      </c>
      <c r="E2375" s="893" t="str">
        <f>$E$2372</f>
        <v>Nexcem, Faswall</v>
      </c>
      <c r="I2375" s="888"/>
      <c r="J2375" s="888"/>
      <c r="K2375" s="888"/>
      <c r="L2375" s="888"/>
      <c r="M2375" s="888"/>
      <c r="N2375" s="888"/>
      <c r="O2375" s="888"/>
      <c r="P2375" s="888"/>
      <c r="Q2375" s="888"/>
      <c r="R2375" s="888"/>
    </row>
    <row r="2376" spans="1:18" s="893" customFormat="1" x14ac:dyDescent="0.3">
      <c r="A2376" s="888" t="str">
        <f>IF(LEN('Translation-EN'!A2376)&gt;0,'Translation-EN'!A2376,"")</f>
        <v>Range</v>
      </c>
      <c r="B2376" s="888" t="str">
        <f>IF(LEN('Translation-EN'!B2376)&gt;0,'Translation-EN'!B2376,"")</f>
        <v>Master sheet</v>
      </c>
      <c r="C2376" s="888" t="str">
        <f>IF(LEN('Translation-EN'!C2376)&gt;0,'Translation-EN'!C2376,"")</f>
        <v>E385</v>
      </c>
      <c r="D2376" s="888" t="str">
        <f>IF(LEN('Translation-EN'!D2376)&gt;0,'Translation-EN'!D2376,"")</f>
        <v/>
      </c>
      <c r="E2376" s="893" t="s">
        <v>6448</v>
      </c>
      <c r="I2376" s="888"/>
      <c r="J2376" s="888"/>
      <c r="K2376" s="888"/>
      <c r="L2376" s="888"/>
      <c r="M2376" s="888"/>
      <c r="N2376" s="888"/>
      <c r="O2376" s="888"/>
      <c r="P2376" s="888"/>
      <c r="Q2376" s="888"/>
      <c r="R2376" s="888"/>
    </row>
    <row r="2377" spans="1:18" s="893" customFormat="1" x14ac:dyDescent="0.3">
      <c r="A2377" s="888" t="str">
        <f>IF(LEN('Translation-EN'!A2377)&gt;0,'Translation-EN'!A2377,"")</f>
        <v>Range</v>
      </c>
      <c r="B2377" s="888" t="str">
        <f>IF(LEN('Translation-EN'!B2377)&gt;0,'Translation-EN'!B2377,"")</f>
        <v>Master sheet</v>
      </c>
      <c r="C2377" s="888" t="str">
        <f>IF(LEN('Translation-EN'!C2377)&gt;0,'Translation-EN'!C2377,"")</f>
        <v>B386</v>
      </c>
      <c r="D2377" s="888" t="str">
        <f>IF(LEN('Translation-EN'!D2377)&gt;0,'Translation-EN'!D2377,"")</f>
        <v/>
      </c>
      <c r="E2377" s="893" t="s">
        <v>6449</v>
      </c>
      <c r="I2377" s="888"/>
      <c r="J2377" s="888"/>
      <c r="K2377" s="888"/>
      <c r="L2377" s="888"/>
      <c r="M2377" s="888"/>
      <c r="N2377" s="888"/>
      <c r="O2377" s="888"/>
      <c r="P2377" s="888"/>
      <c r="Q2377" s="888"/>
      <c r="R2377" s="888"/>
    </row>
    <row r="2378" spans="1:18" s="893" customFormat="1" x14ac:dyDescent="0.3">
      <c r="A2378" s="888" t="str">
        <f>IF(LEN('Translation-EN'!A2378)&gt;0,'Translation-EN'!A2378,"")</f>
        <v>Range</v>
      </c>
      <c r="B2378" s="888" t="str">
        <f>IF(LEN('Translation-EN'!B2378)&gt;0,'Translation-EN'!B2378,"")</f>
        <v>Master sheet</v>
      </c>
      <c r="C2378" s="888" t="str">
        <f>IF(LEN('Translation-EN'!C2378)&gt;0,'Translation-EN'!C2378,"")</f>
        <v>C386</v>
      </c>
      <c r="D2378" s="888" t="str">
        <f>IF(LEN('Translation-EN'!D2378)&gt;0,'Translation-EN'!D2378,"")</f>
        <v/>
      </c>
      <c r="E2378" s="893" t="s">
        <v>703</v>
      </c>
      <c r="I2378" s="888"/>
      <c r="J2378" s="888"/>
      <c r="K2378" s="888"/>
      <c r="L2378" s="888"/>
      <c r="M2378" s="888"/>
      <c r="N2378" s="888"/>
      <c r="O2378" s="888"/>
      <c r="P2378" s="888"/>
      <c r="Q2378" s="888"/>
      <c r="R2378" s="888"/>
    </row>
    <row r="2379" spans="1:18" s="893" customFormat="1" x14ac:dyDescent="0.3">
      <c r="A2379" s="888" t="str">
        <f>IF(LEN('Translation-EN'!A2379)&gt;0,'Translation-EN'!A2379,"")</f>
        <v>Range</v>
      </c>
      <c r="B2379" s="888" t="str">
        <f>IF(LEN('Translation-EN'!B2379)&gt;0,'Translation-EN'!B2379,"")</f>
        <v>Master sheet</v>
      </c>
      <c r="C2379" s="888" t="str">
        <f>IF(LEN('Translation-EN'!C2379)&gt;0,'Translation-EN'!C2379,"")</f>
        <v>D386</v>
      </c>
      <c r="D2379" s="888" t="str">
        <f>IF(LEN('Translation-EN'!D2379)&gt;0,'Translation-EN'!D2379,"")</f>
        <v/>
      </c>
      <c r="E2379" s="893" t="s">
        <v>704</v>
      </c>
      <c r="I2379" s="888"/>
      <c r="J2379" s="888"/>
      <c r="K2379" s="888"/>
      <c r="L2379" s="888"/>
      <c r="M2379" s="888"/>
      <c r="N2379" s="888"/>
      <c r="O2379" s="888"/>
      <c r="P2379" s="888"/>
      <c r="Q2379" s="888"/>
      <c r="R2379" s="888"/>
    </row>
    <row r="2380" spans="1:18" s="893" customFormat="1" x14ac:dyDescent="0.3">
      <c r="A2380" s="888" t="str">
        <f>IF(LEN('Translation-EN'!A2380)&gt;0,'Translation-EN'!A2380,"")</f>
        <v>Range</v>
      </c>
      <c r="B2380" s="888" t="str">
        <f>IF(LEN('Translation-EN'!B2380)&gt;0,'Translation-EN'!B2380,"")</f>
        <v>Master sheet</v>
      </c>
      <c r="C2380" s="888" t="str">
        <f>IF(LEN('Translation-EN'!C2380)&gt;0,'Translation-EN'!C2380,"")</f>
        <v>E386</v>
      </c>
      <c r="D2380" s="888" t="str">
        <f>IF(LEN('Translation-EN'!D2380)&gt;0,'Translation-EN'!D2380,"")</f>
        <v/>
      </c>
      <c r="E2380" s="893" t="str">
        <f>$E$1660</f>
        <v>R 3,6/po</v>
      </c>
      <c r="I2380" s="888"/>
      <c r="J2380" s="888"/>
      <c r="K2380" s="888"/>
      <c r="L2380" s="888"/>
      <c r="M2380" s="888"/>
      <c r="N2380" s="888"/>
      <c r="O2380" s="888"/>
      <c r="P2380" s="888"/>
      <c r="Q2380" s="888"/>
      <c r="R2380" s="888"/>
    </row>
    <row r="2381" spans="1:18" s="893" customFormat="1" x14ac:dyDescent="0.3">
      <c r="A2381" s="888" t="str">
        <f>IF(LEN('Translation-EN'!A2381)&gt;0,'Translation-EN'!A2381,"")</f>
        <v>Range</v>
      </c>
      <c r="B2381" s="888" t="str">
        <f>IF(LEN('Translation-EN'!B2381)&gt;0,'Translation-EN'!B2381,"")</f>
        <v>Master sheet</v>
      </c>
      <c r="C2381" s="888" t="str">
        <f>IF(LEN('Translation-EN'!C2381)&gt;0,'Translation-EN'!C2381,"")</f>
        <v>B391</v>
      </c>
      <c r="D2381" s="888" t="str">
        <f>IF(LEN('Translation-EN'!D2381)&gt;0,'Translation-EN'!D2381,"")</f>
        <v/>
      </c>
      <c r="E2381" s="893" t="s">
        <v>6450</v>
      </c>
      <c r="I2381" s="888"/>
      <c r="J2381" s="888"/>
      <c r="K2381" s="888"/>
      <c r="L2381" s="888"/>
      <c r="M2381" s="888"/>
      <c r="N2381" s="888"/>
      <c r="O2381" s="888"/>
      <c r="P2381" s="888"/>
      <c r="Q2381" s="888"/>
      <c r="R2381" s="888"/>
    </row>
    <row r="2382" spans="1:18" s="893" customFormat="1" x14ac:dyDescent="0.3">
      <c r="A2382" s="888" t="str">
        <f>IF(LEN('Translation-EN'!A2382)&gt;0,'Translation-EN'!A2382,"")</f>
        <v>Range</v>
      </c>
      <c r="B2382" s="888" t="str">
        <f>IF(LEN('Translation-EN'!B2382)&gt;0,'Translation-EN'!B2382,"")</f>
        <v>Master sheet</v>
      </c>
      <c r="C2382" s="888" t="str">
        <f>IF(LEN('Translation-EN'!C2382)&gt;0,'Translation-EN'!C2382,"")</f>
        <v>C391</v>
      </c>
      <c r="D2382" s="888" t="str">
        <f>IF(LEN('Translation-EN'!D2382)&gt;0,'Translation-EN'!D2382,"")</f>
        <v/>
      </c>
      <c r="E2382" s="893" t="s">
        <v>712</v>
      </c>
      <c r="I2382" s="888"/>
      <c r="J2382" s="888"/>
      <c r="K2382" s="888"/>
      <c r="L2382" s="888"/>
      <c r="M2382" s="888"/>
      <c r="N2382" s="888"/>
      <c r="O2382" s="888"/>
      <c r="P2382" s="888"/>
      <c r="Q2382" s="888"/>
      <c r="R2382" s="888"/>
    </row>
    <row r="2383" spans="1:18" s="893" customFormat="1" x14ac:dyDescent="0.3">
      <c r="A2383" s="888" t="str">
        <f>IF(LEN('Translation-EN'!A2383)&gt;0,'Translation-EN'!A2383,"")</f>
        <v>Range</v>
      </c>
      <c r="B2383" s="888" t="str">
        <f>IF(LEN('Translation-EN'!B2383)&gt;0,'Translation-EN'!B2383,"")</f>
        <v>Master sheet</v>
      </c>
      <c r="C2383" s="888" t="str">
        <f>IF(LEN('Translation-EN'!C2383)&gt;0,'Translation-EN'!C2383,"")</f>
        <v>D391</v>
      </c>
      <c r="D2383" s="888" t="str">
        <f>IF(LEN('Translation-EN'!D2383)&gt;0,'Translation-EN'!D2383,"")</f>
        <v/>
      </c>
      <c r="E2383" s="893" t="s">
        <v>713</v>
      </c>
      <c r="I2383" s="888"/>
      <c r="J2383" s="888"/>
      <c r="K2383" s="888"/>
      <c r="L2383" s="888"/>
      <c r="M2383" s="888"/>
      <c r="N2383" s="888"/>
      <c r="O2383" s="888"/>
      <c r="P2383" s="888"/>
      <c r="Q2383" s="888"/>
      <c r="R2383" s="888"/>
    </row>
    <row r="2384" spans="1:18" s="893" customFormat="1" x14ac:dyDescent="0.3">
      <c r="A2384" s="888" t="str">
        <f>IF(LEN('Translation-EN'!A2384)&gt;0,'Translation-EN'!A2384,"")</f>
        <v>Range</v>
      </c>
      <c r="B2384" s="888" t="str">
        <f>IF(LEN('Translation-EN'!B2384)&gt;0,'Translation-EN'!B2384,"")</f>
        <v>Master sheet</v>
      </c>
      <c r="C2384" s="888" t="str">
        <f>IF(LEN('Translation-EN'!C2384)&gt;0,'Translation-EN'!C2384,"")</f>
        <v>E391</v>
      </c>
      <c r="D2384" s="888" t="str">
        <f>IF(LEN('Translation-EN'!D2384)&gt;0,'Translation-EN'!D2384,"")</f>
        <v/>
      </c>
      <c r="E2384" s="893" t="s">
        <v>6451</v>
      </c>
      <c r="I2384" s="888"/>
      <c r="J2384" s="888"/>
      <c r="K2384" s="888"/>
      <c r="L2384" s="888"/>
      <c r="M2384" s="888"/>
      <c r="N2384" s="888"/>
      <c r="O2384" s="888"/>
      <c r="P2384" s="888"/>
      <c r="Q2384" s="888"/>
      <c r="R2384" s="888"/>
    </row>
    <row r="2385" spans="1:18" s="893" customFormat="1" x14ac:dyDescent="0.3">
      <c r="A2385" s="888" t="str">
        <f>IF(LEN('Translation-EN'!A2385)&gt;0,'Translation-EN'!A2385,"")</f>
        <v>Range</v>
      </c>
      <c r="B2385" s="888" t="str">
        <f>IF(LEN('Translation-EN'!B2385)&gt;0,'Translation-EN'!B2385,"")</f>
        <v>Master sheet</v>
      </c>
      <c r="C2385" s="888" t="str">
        <f>IF(LEN('Translation-EN'!C2385)&gt;0,'Translation-EN'!C2385,"")</f>
        <v>B393</v>
      </c>
      <c r="D2385" s="888" t="str">
        <f>IF(LEN('Translation-EN'!D2385)&gt;0,'Translation-EN'!D2385,"")</f>
        <v/>
      </c>
      <c r="E2385" s="893" t="s">
        <v>6452</v>
      </c>
      <c r="I2385" s="888"/>
      <c r="J2385" s="888"/>
      <c r="K2385" s="888"/>
      <c r="L2385" s="888"/>
      <c r="M2385" s="888"/>
      <c r="N2385" s="888"/>
      <c r="O2385" s="888"/>
      <c r="P2385" s="888"/>
      <c r="Q2385" s="888"/>
      <c r="R2385" s="888"/>
    </row>
    <row r="2386" spans="1:18" s="893" customFormat="1" x14ac:dyDescent="0.3">
      <c r="A2386" s="888" t="str">
        <f>IF(LEN('Translation-EN'!A2386)&gt;0,'Translation-EN'!A2386,"")</f>
        <v>Range</v>
      </c>
      <c r="B2386" s="888" t="str">
        <f>IF(LEN('Translation-EN'!B2386)&gt;0,'Translation-EN'!B2386,"")</f>
        <v>Master sheet</v>
      </c>
      <c r="C2386" s="888" t="str">
        <f>IF(LEN('Translation-EN'!C2386)&gt;0,'Translation-EN'!C2386,"")</f>
        <v>C393</v>
      </c>
      <c r="D2386" s="888" t="str">
        <f>IF(LEN('Translation-EN'!D2386)&gt;0,'Translation-EN'!D2386,"")</f>
        <v/>
      </c>
      <c r="E2386" s="893" t="str">
        <f>$E$2378</f>
        <v>GUTEX</v>
      </c>
      <c r="I2386" s="888"/>
      <c r="J2386" s="888"/>
      <c r="K2386" s="888"/>
      <c r="L2386" s="888"/>
      <c r="M2386" s="888"/>
      <c r="N2386" s="888"/>
      <c r="O2386" s="888"/>
      <c r="P2386" s="888"/>
      <c r="Q2386" s="888"/>
      <c r="R2386" s="888"/>
    </row>
    <row r="2387" spans="1:18" s="893" customFormat="1" x14ac:dyDescent="0.3">
      <c r="A2387" s="888" t="str">
        <f>IF(LEN('Translation-EN'!A2387)&gt;0,'Translation-EN'!A2387,"")</f>
        <v>Range</v>
      </c>
      <c r="B2387" s="888" t="str">
        <f>IF(LEN('Translation-EN'!B2387)&gt;0,'Translation-EN'!B2387,"")</f>
        <v>Master sheet</v>
      </c>
      <c r="C2387" s="888" t="str">
        <f>IF(LEN('Translation-EN'!C2387)&gt;0,'Translation-EN'!C2387,"")</f>
        <v>D393</v>
      </c>
      <c r="D2387" s="888" t="str">
        <f>IF(LEN('Translation-EN'!D2387)&gt;0,'Translation-EN'!D2387,"")</f>
        <v/>
      </c>
      <c r="E2387" s="893" t="s">
        <v>719</v>
      </c>
      <c r="I2387" s="888"/>
      <c r="J2387" s="888"/>
      <c r="K2387" s="888"/>
      <c r="L2387" s="888"/>
      <c r="M2387" s="888"/>
      <c r="N2387" s="888"/>
      <c r="O2387" s="888"/>
      <c r="P2387" s="888"/>
      <c r="Q2387" s="888"/>
      <c r="R2387" s="888"/>
    </row>
    <row r="2388" spans="1:18" s="893" customFormat="1" x14ac:dyDescent="0.3">
      <c r="A2388" s="888" t="str">
        <f>IF(LEN('Translation-EN'!A2388)&gt;0,'Translation-EN'!A2388,"")</f>
        <v>Range</v>
      </c>
      <c r="B2388" s="888" t="str">
        <f>IF(LEN('Translation-EN'!B2388)&gt;0,'Translation-EN'!B2388,"")</f>
        <v>Master sheet</v>
      </c>
      <c r="C2388" s="888" t="str">
        <f>IF(LEN('Translation-EN'!C2388)&gt;0,'Translation-EN'!C2388,"")</f>
        <v>E393</v>
      </c>
      <c r="D2388" s="888" t="str">
        <f>IF(LEN('Translation-EN'!D2388)&gt;0,'Translation-EN'!D2388,"")</f>
        <v/>
      </c>
      <c r="E2388" s="893" t="s">
        <v>6453</v>
      </c>
      <c r="I2388" s="888"/>
      <c r="J2388" s="888"/>
      <c r="K2388" s="888"/>
      <c r="L2388" s="888"/>
      <c r="M2388" s="888"/>
      <c r="N2388" s="888"/>
      <c r="O2388" s="888"/>
      <c r="P2388" s="888"/>
      <c r="Q2388" s="888"/>
      <c r="R2388" s="888"/>
    </row>
    <row r="2389" spans="1:18" s="893" customFormat="1" x14ac:dyDescent="0.3">
      <c r="A2389" s="888" t="str">
        <f>IF(LEN('Translation-EN'!A2389)&gt;0,'Translation-EN'!A2389,"")</f>
        <v>Range</v>
      </c>
      <c r="B2389" s="888" t="str">
        <f>IF(LEN('Translation-EN'!B2389)&gt;0,'Translation-EN'!B2389,"")</f>
        <v>Master sheet</v>
      </c>
      <c r="C2389" s="888" t="str">
        <f>IF(LEN('Translation-EN'!C2389)&gt;0,'Translation-EN'!C2389,"")</f>
        <v>B396</v>
      </c>
      <c r="D2389" s="888" t="str">
        <f>IF(LEN('Translation-EN'!D2389)&gt;0,'Translation-EN'!D2389,"")</f>
        <v/>
      </c>
      <c r="E2389" s="893" t="str">
        <f>$E$2385</f>
        <v>Panneau de fibres de bois</v>
      </c>
      <c r="I2389" s="888"/>
      <c r="J2389" s="888"/>
      <c r="K2389" s="888"/>
      <c r="L2389" s="888"/>
      <c r="M2389" s="888"/>
      <c r="N2389" s="888"/>
      <c r="O2389" s="888"/>
      <c r="P2389" s="888"/>
      <c r="Q2389" s="888"/>
      <c r="R2389" s="888"/>
    </row>
    <row r="2390" spans="1:18" s="893" customFormat="1" x14ac:dyDescent="0.3">
      <c r="A2390" s="888" t="str">
        <f>IF(LEN('Translation-EN'!A2390)&gt;0,'Translation-EN'!A2390,"")</f>
        <v>Range</v>
      </c>
      <c r="B2390" s="888" t="str">
        <f>IF(LEN('Translation-EN'!B2390)&gt;0,'Translation-EN'!B2390,"")</f>
        <v>Master sheet</v>
      </c>
      <c r="C2390" s="888" t="str">
        <f>IF(LEN('Translation-EN'!C2390)&gt;0,'Translation-EN'!C2390,"")</f>
        <v>C396</v>
      </c>
      <c r="D2390" s="888" t="str">
        <f>IF(LEN('Translation-EN'!D2390)&gt;0,'Translation-EN'!D2390,"")</f>
        <v/>
      </c>
      <c r="E2390" s="893" t="s">
        <v>709</v>
      </c>
      <c r="I2390" s="888"/>
      <c r="J2390" s="888"/>
      <c r="K2390" s="888"/>
      <c r="L2390" s="888"/>
      <c r="M2390" s="888"/>
      <c r="N2390" s="888"/>
      <c r="O2390" s="888"/>
      <c r="P2390" s="888"/>
      <c r="Q2390" s="888"/>
      <c r="R2390" s="888"/>
    </row>
    <row r="2391" spans="1:18" s="893" customFormat="1" x14ac:dyDescent="0.3">
      <c r="A2391" s="888" t="str">
        <f>IF(LEN('Translation-EN'!A2391)&gt;0,'Translation-EN'!A2391,"")</f>
        <v>Range</v>
      </c>
      <c r="B2391" s="888" t="str">
        <f>IF(LEN('Translation-EN'!B2391)&gt;0,'Translation-EN'!B2391,"")</f>
        <v>Master sheet</v>
      </c>
      <c r="C2391" s="888" t="str">
        <f>IF(LEN('Translation-EN'!C2391)&gt;0,'Translation-EN'!C2391,"")</f>
        <v>D396</v>
      </c>
      <c r="D2391" s="888" t="str">
        <f>IF(LEN('Translation-EN'!D2391)&gt;0,'Translation-EN'!D2391,"")</f>
        <v/>
      </c>
      <c r="E2391" s="893" t="s">
        <v>4471</v>
      </c>
      <c r="I2391" s="888"/>
      <c r="J2391" s="888"/>
      <c r="K2391" s="888"/>
      <c r="L2391" s="888"/>
      <c r="M2391" s="888"/>
      <c r="N2391" s="888"/>
      <c r="O2391" s="888"/>
      <c r="P2391" s="888"/>
      <c r="Q2391" s="888"/>
      <c r="R2391" s="888"/>
    </row>
    <row r="2392" spans="1:18" s="893" customFormat="1" x14ac:dyDescent="0.3">
      <c r="A2392" s="888" t="str">
        <f>IF(LEN('Translation-EN'!A2392)&gt;0,'Translation-EN'!A2392,"")</f>
        <v>Range</v>
      </c>
      <c r="B2392" s="888" t="str">
        <f>IF(LEN('Translation-EN'!B2392)&gt;0,'Translation-EN'!B2392,"")</f>
        <v>Master sheet</v>
      </c>
      <c r="C2392" s="888" t="str">
        <f>IF(LEN('Translation-EN'!C2392)&gt;0,'Translation-EN'!C2392,"")</f>
        <v>E396</v>
      </c>
      <c r="D2392" s="888" t="str">
        <f>IF(LEN('Translation-EN'!D2392)&gt;0,'Translation-EN'!D2392,"")</f>
        <v/>
      </c>
      <c r="E2392" s="893" t="s">
        <v>6454</v>
      </c>
      <c r="I2392" s="888"/>
      <c r="J2392" s="888"/>
      <c r="K2392" s="888"/>
      <c r="L2392" s="888"/>
      <c r="M2392" s="888"/>
      <c r="N2392" s="888"/>
      <c r="O2392" s="888"/>
      <c r="P2392" s="888"/>
      <c r="Q2392" s="888"/>
      <c r="R2392" s="888"/>
    </row>
    <row r="2393" spans="1:18" s="893" customFormat="1" x14ac:dyDescent="0.3">
      <c r="A2393" s="888" t="str">
        <f>IF(LEN('Translation-EN'!A2393)&gt;0,'Translation-EN'!A2393,"")</f>
        <v>Range</v>
      </c>
      <c r="B2393" s="888" t="str">
        <f>IF(LEN('Translation-EN'!B2393)&gt;0,'Translation-EN'!B2393,"")</f>
        <v>Master sheet</v>
      </c>
      <c r="C2393" s="888" t="str">
        <f>IF(LEN('Translation-EN'!C2393)&gt;0,'Translation-EN'!C2393,"")</f>
        <v>B397</v>
      </c>
      <c r="D2393" s="888" t="str">
        <f>IF(LEN('Translation-EN'!D2393)&gt;0,'Translation-EN'!D2393,"")</f>
        <v/>
      </c>
      <c r="E2393" s="893" t="str">
        <f>$E$2385</f>
        <v>Panneau de fibres de bois</v>
      </c>
      <c r="I2393" s="888"/>
      <c r="J2393" s="888"/>
      <c r="K2393" s="888"/>
      <c r="L2393" s="888"/>
      <c r="M2393" s="888"/>
      <c r="N2393" s="888"/>
      <c r="O2393" s="888"/>
      <c r="P2393" s="888"/>
      <c r="Q2393" s="888"/>
      <c r="R2393" s="888"/>
    </row>
    <row r="2394" spans="1:18" s="893" customFormat="1" x14ac:dyDescent="0.3">
      <c r="A2394" s="888" t="str">
        <f>IF(LEN('Translation-EN'!A2394)&gt;0,'Translation-EN'!A2394,"")</f>
        <v>Range</v>
      </c>
      <c r="B2394" s="888" t="str">
        <f>IF(LEN('Translation-EN'!B2394)&gt;0,'Translation-EN'!B2394,"")</f>
        <v>Master sheet</v>
      </c>
      <c r="C2394" s="888" t="str">
        <f>IF(LEN('Translation-EN'!C2394)&gt;0,'Translation-EN'!C2394,"")</f>
        <v>C397</v>
      </c>
      <c r="D2394" s="888" t="str">
        <f>IF(LEN('Translation-EN'!D2394)&gt;0,'Translation-EN'!D2394,"")</f>
        <v/>
      </c>
      <c r="E2394" s="893" t="str">
        <f>$E$2390</f>
        <v>Pavatex</v>
      </c>
      <c r="I2394" s="888"/>
      <c r="J2394" s="888"/>
      <c r="K2394" s="888"/>
      <c r="L2394" s="888"/>
      <c r="M2394" s="888"/>
      <c r="N2394" s="888"/>
      <c r="O2394" s="888"/>
      <c r="P2394" s="888"/>
      <c r="Q2394" s="888"/>
      <c r="R2394" s="888"/>
    </row>
    <row r="2395" spans="1:18" s="893" customFormat="1" x14ac:dyDescent="0.3">
      <c r="A2395" s="888" t="str">
        <f>IF(LEN('Translation-EN'!A2395)&gt;0,'Translation-EN'!A2395,"")</f>
        <v>Range</v>
      </c>
      <c r="B2395" s="888" t="str">
        <f>IF(LEN('Translation-EN'!B2395)&gt;0,'Translation-EN'!B2395,"")</f>
        <v>Master sheet</v>
      </c>
      <c r="C2395" s="888" t="str">
        <f>IF(LEN('Translation-EN'!C2395)&gt;0,'Translation-EN'!C2395,"")</f>
        <v>D397</v>
      </c>
      <c r="D2395" s="888" t="str">
        <f>IF(LEN('Translation-EN'!D2395)&gt;0,'Translation-EN'!D2395,"")</f>
        <v/>
      </c>
      <c r="E2395" s="893" t="s">
        <v>720</v>
      </c>
      <c r="I2395" s="888"/>
      <c r="J2395" s="888"/>
      <c r="K2395" s="888"/>
      <c r="L2395" s="888"/>
      <c r="M2395" s="888"/>
      <c r="N2395" s="888"/>
      <c r="O2395" s="888"/>
      <c r="P2395" s="888"/>
      <c r="Q2395" s="888"/>
      <c r="R2395" s="888"/>
    </row>
    <row r="2396" spans="1:18" s="893" customFormat="1" x14ac:dyDescent="0.3">
      <c r="A2396" s="888" t="str">
        <f>IF(LEN('Translation-EN'!A2396)&gt;0,'Translation-EN'!A2396,"")</f>
        <v>Range</v>
      </c>
      <c r="B2396" s="888" t="str">
        <f>IF(LEN('Translation-EN'!B2396)&gt;0,'Translation-EN'!B2396,"")</f>
        <v>Master sheet</v>
      </c>
      <c r="C2396" s="888" t="str">
        <f>IF(LEN('Translation-EN'!C2396)&gt;0,'Translation-EN'!C2396,"")</f>
        <v>E397</v>
      </c>
      <c r="D2396" s="888" t="str">
        <f>IF(LEN('Translation-EN'!D2396)&gt;0,'Translation-EN'!D2396,"")</f>
        <v/>
      </c>
      <c r="E2396" s="893" t="s">
        <v>6455</v>
      </c>
      <c r="I2396" s="888"/>
      <c r="J2396" s="888"/>
      <c r="K2396" s="888"/>
      <c r="L2396" s="888"/>
      <c r="M2396" s="888"/>
      <c r="N2396" s="888"/>
      <c r="O2396" s="888"/>
      <c r="P2396" s="888"/>
      <c r="Q2396" s="888"/>
      <c r="R2396" s="888"/>
    </row>
    <row r="2397" spans="1:18" s="893" customFormat="1" x14ac:dyDescent="0.3">
      <c r="A2397" s="888" t="str">
        <f>IF(LEN('Translation-EN'!A2397)&gt;0,'Translation-EN'!A2397,"")</f>
        <v>Range</v>
      </c>
      <c r="B2397" s="888" t="str">
        <f>IF(LEN('Translation-EN'!B2397)&gt;0,'Translation-EN'!B2397,"")</f>
        <v>Master sheet</v>
      </c>
      <c r="C2397" s="888" t="str">
        <f>IF(LEN('Translation-EN'!C2397)&gt;0,'Translation-EN'!C2397,"")</f>
        <v>B398</v>
      </c>
      <c r="D2397" s="888" t="str">
        <f>IF(LEN('Translation-EN'!D2397)&gt;0,'Translation-EN'!D2397,"")</f>
        <v/>
      </c>
      <c r="E2397" s="893" t="str">
        <f>$E$2385</f>
        <v>Panneau de fibres de bois</v>
      </c>
      <c r="I2397" s="888"/>
      <c r="J2397" s="888"/>
      <c r="K2397" s="888"/>
      <c r="L2397" s="888"/>
      <c r="M2397" s="888"/>
      <c r="N2397" s="888"/>
      <c r="O2397" s="888"/>
      <c r="P2397" s="888"/>
      <c r="Q2397" s="888"/>
      <c r="R2397" s="888"/>
    </row>
    <row r="2398" spans="1:18" s="893" customFormat="1" x14ac:dyDescent="0.3">
      <c r="A2398" s="888" t="str">
        <f>IF(LEN('Translation-EN'!A2398)&gt;0,'Translation-EN'!A2398,"")</f>
        <v>Range</v>
      </c>
      <c r="B2398" s="888" t="str">
        <f>IF(LEN('Translation-EN'!B2398)&gt;0,'Translation-EN'!B2398,"")</f>
        <v>Master sheet</v>
      </c>
      <c r="C2398" s="888" t="str">
        <f>IF(LEN('Translation-EN'!C2398)&gt;0,'Translation-EN'!C2398,"")</f>
        <v>C398</v>
      </c>
      <c r="D2398" s="888" t="str">
        <f>IF(LEN('Translation-EN'!D2398)&gt;0,'Translation-EN'!D2398,"")</f>
        <v/>
      </c>
      <c r="E2398" s="893" t="str">
        <f>$E$2390</f>
        <v>Pavatex</v>
      </c>
      <c r="I2398" s="888"/>
      <c r="J2398" s="888"/>
      <c r="K2398" s="888"/>
      <c r="L2398" s="888"/>
      <c r="M2398" s="888"/>
      <c r="N2398" s="888"/>
      <c r="O2398" s="888"/>
      <c r="P2398" s="888"/>
      <c r="Q2398" s="888"/>
      <c r="R2398" s="888"/>
    </row>
    <row r="2399" spans="1:18" s="893" customFormat="1" x14ac:dyDescent="0.3">
      <c r="A2399" s="888" t="str">
        <f>IF(LEN('Translation-EN'!A2399)&gt;0,'Translation-EN'!A2399,"")</f>
        <v>Range</v>
      </c>
      <c r="B2399" s="888" t="str">
        <f>IF(LEN('Translation-EN'!B2399)&gt;0,'Translation-EN'!B2399,"")</f>
        <v>Master sheet</v>
      </c>
      <c r="C2399" s="888" t="str">
        <f>IF(LEN('Translation-EN'!C2399)&gt;0,'Translation-EN'!C2399,"")</f>
        <v>D398</v>
      </c>
      <c r="D2399" s="888" t="str">
        <f>IF(LEN('Translation-EN'!D2399)&gt;0,'Translation-EN'!D2399,"")</f>
        <v/>
      </c>
      <c r="E2399" s="893" t="s">
        <v>4477</v>
      </c>
      <c r="I2399" s="888"/>
      <c r="J2399" s="888"/>
      <c r="K2399" s="888"/>
      <c r="L2399" s="888"/>
      <c r="M2399" s="888"/>
      <c r="N2399" s="888"/>
      <c r="O2399" s="888"/>
      <c r="P2399" s="888"/>
      <c r="Q2399" s="888"/>
      <c r="R2399" s="888"/>
    </row>
    <row r="2400" spans="1:18" s="893" customFormat="1" x14ac:dyDescent="0.3">
      <c r="A2400" s="888" t="str">
        <f>IF(LEN('Translation-EN'!A2400)&gt;0,'Translation-EN'!A2400,"")</f>
        <v>Range</v>
      </c>
      <c r="B2400" s="888" t="str">
        <f>IF(LEN('Translation-EN'!B2400)&gt;0,'Translation-EN'!B2400,"")</f>
        <v>Master sheet</v>
      </c>
      <c r="C2400" s="888" t="str">
        <f>IF(LEN('Translation-EN'!C2400)&gt;0,'Translation-EN'!C2400,"")</f>
        <v>E398</v>
      </c>
      <c r="D2400" s="888" t="str">
        <f>IF(LEN('Translation-EN'!D2400)&gt;0,'Translation-EN'!D2400,"")</f>
        <v/>
      </c>
      <c r="E2400" s="893" t="s">
        <v>6456</v>
      </c>
      <c r="I2400" s="888"/>
      <c r="J2400" s="888"/>
      <c r="K2400" s="888"/>
      <c r="L2400" s="888"/>
      <c r="M2400" s="888"/>
      <c r="N2400" s="888"/>
      <c r="O2400" s="888"/>
      <c r="P2400" s="888"/>
      <c r="Q2400" s="888"/>
      <c r="R2400" s="888"/>
    </row>
    <row r="2401" spans="1:18" s="893" customFormat="1" x14ac:dyDescent="0.3">
      <c r="A2401" s="888" t="str">
        <f>IF(LEN('Translation-EN'!A2401)&gt;0,'Translation-EN'!A2401,"")</f>
        <v>Range</v>
      </c>
      <c r="B2401" s="888" t="str">
        <f>IF(LEN('Translation-EN'!B2401)&gt;0,'Translation-EN'!B2401,"")</f>
        <v>Master sheet</v>
      </c>
      <c r="C2401" s="888" t="str">
        <f>IF(LEN('Translation-EN'!C2401)&gt;0,'Translation-EN'!C2401,"")</f>
        <v>B399</v>
      </c>
      <c r="D2401" s="888" t="str">
        <f>IF(LEN('Translation-EN'!D2401)&gt;0,'Translation-EN'!D2401,"")</f>
        <v/>
      </c>
      <c r="E2401" s="893" t="str">
        <f>$E$2385</f>
        <v>Panneau de fibres de bois</v>
      </c>
      <c r="I2401" s="888"/>
      <c r="J2401" s="888"/>
      <c r="K2401" s="888"/>
      <c r="L2401" s="888"/>
      <c r="M2401" s="888"/>
      <c r="N2401" s="888"/>
      <c r="O2401" s="888"/>
      <c r="P2401" s="888"/>
      <c r="Q2401" s="888"/>
      <c r="R2401" s="888"/>
    </row>
    <row r="2402" spans="1:18" s="893" customFormat="1" x14ac:dyDescent="0.3">
      <c r="A2402" s="888" t="str">
        <f>IF(LEN('Translation-EN'!A2402)&gt;0,'Translation-EN'!A2402,"")</f>
        <v>Range</v>
      </c>
      <c r="B2402" s="888" t="str">
        <f>IF(LEN('Translation-EN'!B2402)&gt;0,'Translation-EN'!B2402,"")</f>
        <v>Master sheet</v>
      </c>
      <c r="C2402" s="888" t="str">
        <f>IF(LEN('Translation-EN'!C2402)&gt;0,'Translation-EN'!C2402,"")</f>
        <v>C399</v>
      </c>
      <c r="D2402" s="888" t="str">
        <f>IF(LEN('Translation-EN'!D2402)&gt;0,'Translation-EN'!D2402,"")</f>
        <v/>
      </c>
      <c r="E2402" s="893" t="str">
        <f>$E$2390</f>
        <v>Pavatex</v>
      </c>
      <c r="I2402" s="888"/>
      <c r="J2402" s="888"/>
      <c r="K2402" s="888"/>
      <c r="L2402" s="888"/>
      <c r="M2402" s="888"/>
      <c r="N2402" s="888"/>
      <c r="O2402" s="888"/>
      <c r="P2402" s="888"/>
      <c r="Q2402" s="888"/>
      <c r="R2402" s="888"/>
    </row>
    <row r="2403" spans="1:18" s="893" customFormat="1" x14ac:dyDescent="0.3">
      <c r="A2403" s="888" t="str">
        <f>IF(LEN('Translation-EN'!A2403)&gt;0,'Translation-EN'!A2403,"")</f>
        <v>Range</v>
      </c>
      <c r="B2403" s="888" t="str">
        <f>IF(LEN('Translation-EN'!B2403)&gt;0,'Translation-EN'!B2403,"")</f>
        <v>Master sheet</v>
      </c>
      <c r="C2403" s="888" t="str">
        <f>IF(LEN('Translation-EN'!C2403)&gt;0,'Translation-EN'!C2403,"")</f>
        <v>D399</v>
      </c>
      <c r="D2403" s="888" t="str">
        <f>IF(LEN('Translation-EN'!D2403)&gt;0,'Translation-EN'!D2403,"")</f>
        <v/>
      </c>
      <c r="E2403" s="893" t="s">
        <v>4479</v>
      </c>
      <c r="I2403" s="888"/>
      <c r="J2403" s="888"/>
      <c r="K2403" s="888"/>
      <c r="L2403" s="888"/>
      <c r="M2403" s="888"/>
      <c r="N2403" s="888"/>
      <c r="O2403" s="888"/>
      <c r="P2403" s="888"/>
      <c r="Q2403" s="888"/>
      <c r="R2403" s="888"/>
    </row>
    <row r="2404" spans="1:18" s="893" customFormat="1" x14ac:dyDescent="0.3">
      <c r="A2404" s="888" t="str">
        <f>IF(LEN('Translation-EN'!A2404)&gt;0,'Translation-EN'!A2404,"")</f>
        <v>Range</v>
      </c>
      <c r="B2404" s="888" t="str">
        <f>IF(LEN('Translation-EN'!B2404)&gt;0,'Translation-EN'!B2404,"")</f>
        <v>Master sheet</v>
      </c>
      <c r="C2404" s="888" t="str">
        <f>IF(LEN('Translation-EN'!C2404)&gt;0,'Translation-EN'!C2404,"")</f>
        <v>E399</v>
      </c>
      <c r="D2404" s="888" t="str">
        <f>IF(LEN('Translation-EN'!D2404)&gt;0,'Translation-EN'!D2404,"")</f>
        <v/>
      </c>
      <c r="E2404" s="893" t="s">
        <v>6457</v>
      </c>
      <c r="I2404" s="888"/>
      <c r="J2404" s="888"/>
      <c r="K2404" s="888"/>
      <c r="L2404" s="888"/>
      <c r="M2404" s="888"/>
      <c r="N2404" s="888"/>
      <c r="O2404" s="888"/>
      <c r="P2404" s="888"/>
      <c r="Q2404" s="888"/>
      <c r="R2404" s="888"/>
    </row>
    <row r="2405" spans="1:18" s="893" customFormat="1" x14ac:dyDescent="0.3">
      <c r="A2405" s="888" t="str">
        <f>IF(LEN('Translation-EN'!A2405)&gt;0,'Translation-EN'!A2405,"")</f>
        <v>Range</v>
      </c>
      <c r="B2405" s="888" t="str">
        <f>IF(LEN('Translation-EN'!B2405)&gt;0,'Translation-EN'!B2405,"")</f>
        <v>Master sheet</v>
      </c>
      <c r="C2405" s="888" t="str">
        <f>IF(LEN('Translation-EN'!C2405)&gt;0,'Translation-EN'!C2405,"")</f>
        <v>B401</v>
      </c>
      <c r="D2405" s="888" t="str">
        <f>IF(LEN('Translation-EN'!D2405)&gt;0,'Translation-EN'!D2405,"")</f>
        <v/>
      </c>
      <c r="E2405" s="893" t="str">
        <f>$E$2385</f>
        <v>Panneau de fibres de bois</v>
      </c>
      <c r="I2405" s="888"/>
      <c r="J2405" s="888"/>
      <c r="K2405" s="888"/>
      <c r="L2405" s="888"/>
      <c r="M2405" s="888"/>
      <c r="N2405" s="888"/>
      <c r="O2405" s="888"/>
      <c r="P2405" s="888"/>
      <c r="Q2405" s="888"/>
      <c r="R2405" s="888"/>
    </row>
    <row r="2406" spans="1:18" s="893" customFormat="1" x14ac:dyDescent="0.3">
      <c r="A2406" s="888" t="str">
        <f>IF(LEN('Translation-EN'!A2406)&gt;0,'Translation-EN'!A2406,"")</f>
        <v>Range</v>
      </c>
      <c r="B2406" s="888" t="str">
        <f>IF(LEN('Translation-EN'!B2406)&gt;0,'Translation-EN'!B2406,"")</f>
        <v>Master sheet</v>
      </c>
      <c r="C2406" s="888" t="str">
        <f>IF(LEN('Translation-EN'!C2406)&gt;0,'Translation-EN'!C2406,"")</f>
        <v>C401</v>
      </c>
      <c r="D2406" s="888" t="str">
        <f>IF(LEN('Translation-EN'!D2406)&gt;0,'Translation-EN'!D2406,"")</f>
        <v/>
      </c>
      <c r="E2406" s="893" t="str">
        <f>$E$2382</f>
        <v>Steico</v>
      </c>
      <c r="I2406" s="888"/>
      <c r="J2406" s="888"/>
      <c r="K2406" s="888"/>
      <c r="L2406" s="888"/>
      <c r="M2406" s="888"/>
      <c r="N2406" s="888"/>
      <c r="O2406" s="888"/>
      <c r="P2406" s="888"/>
      <c r="Q2406" s="888"/>
      <c r="R2406" s="888"/>
    </row>
    <row r="2407" spans="1:18" s="893" customFormat="1" x14ac:dyDescent="0.3">
      <c r="A2407" s="888" t="str">
        <f>IF(LEN('Translation-EN'!A2407)&gt;0,'Translation-EN'!A2407,"")</f>
        <v>Range</v>
      </c>
      <c r="B2407" s="888" t="str">
        <f>IF(LEN('Translation-EN'!B2407)&gt;0,'Translation-EN'!B2407,"")</f>
        <v>Master sheet</v>
      </c>
      <c r="C2407" s="888" t="str">
        <f>IF(LEN('Translation-EN'!C2407)&gt;0,'Translation-EN'!C2407,"")</f>
        <v>D401</v>
      </c>
      <c r="D2407" s="888" t="str">
        <f>IF(LEN('Translation-EN'!D2407)&gt;0,'Translation-EN'!D2407,"")</f>
        <v/>
      </c>
      <c r="E2407" s="893" t="s">
        <v>4483</v>
      </c>
      <c r="I2407" s="888"/>
      <c r="J2407" s="888"/>
      <c r="K2407" s="888"/>
      <c r="L2407" s="888"/>
      <c r="M2407" s="888"/>
      <c r="N2407" s="888"/>
      <c r="O2407" s="888"/>
      <c r="P2407" s="888"/>
      <c r="Q2407" s="888"/>
      <c r="R2407" s="888"/>
    </row>
    <row r="2408" spans="1:18" s="893" customFormat="1" x14ac:dyDescent="0.3">
      <c r="A2408" s="888" t="str">
        <f>IF(LEN('Translation-EN'!A2408)&gt;0,'Translation-EN'!A2408,"")</f>
        <v>Range</v>
      </c>
      <c r="B2408" s="888" t="str">
        <f>IF(LEN('Translation-EN'!B2408)&gt;0,'Translation-EN'!B2408,"")</f>
        <v>Master sheet</v>
      </c>
      <c r="C2408" s="888" t="str">
        <f>IF(LEN('Translation-EN'!C2408)&gt;0,'Translation-EN'!C2408,"")</f>
        <v>E401</v>
      </c>
      <c r="D2408" s="888" t="str">
        <f>IF(LEN('Translation-EN'!D2408)&gt;0,'Translation-EN'!D2408,"")</f>
        <v/>
      </c>
      <c r="E2408" s="893" t="s">
        <v>6458</v>
      </c>
      <c r="I2408" s="888"/>
      <c r="J2408" s="888"/>
      <c r="K2408" s="888"/>
      <c r="L2408" s="888"/>
      <c r="M2408" s="888"/>
      <c r="N2408" s="888"/>
      <c r="O2408" s="888"/>
      <c r="P2408" s="888"/>
      <c r="Q2408" s="888"/>
      <c r="R2408" s="888"/>
    </row>
    <row r="2409" spans="1:18" s="893" customFormat="1" x14ac:dyDescent="0.3">
      <c r="A2409" s="888" t="str">
        <f>IF(LEN('Translation-EN'!A2409)&gt;0,'Translation-EN'!A2409,"")</f>
        <v>Range</v>
      </c>
      <c r="B2409" s="888" t="str">
        <f>IF(LEN('Translation-EN'!B2409)&gt;0,'Translation-EN'!B2409,"")</f>
        <v>Master sheet</v>
      </c>
      <c r="C2409" s="888" t="str">
        <f>IF(LEN('Translation-EN'!C2409)&gt;0,'Translation-EN'!C2409,"")</f>
        <v>B402</v>
      </c>
      <c r="D2409" s="888" t="str">
        <f>IF(LEN('Translation-EN'!D2409)&gt;0,'Translation-EN'!D2409,"")</f>
        <v/>
      </c>
      <c r="E2409" s="893" t="str">
        <f>$E$2385</f>
        <v>Panneau de fibres de bois</v>
      </c>
      <c r="I2409" s="888"/>
      <c r="J2409" s="888"/>
      <c r="K2409" s="888"/>
      <c r="L2409" s="888"/>
      <c r="M2409" s="888"/>
      <c r="N2409" s="888"/>
      <c r="O2409" s="888"/>
      <c r="P2409" s="888"/>
      <c r="Q2409" s="888"/>
      <c r="R2409" s="888"/>
    </row>
    <row r="2410" spans="1:18" s="893" customFormat="1" x14ac:dyDescent="0.3">
      <c r="A2410" s="888" t="str">
        <f>IF(LEN('Translation-EN'!A2410)&gt;0,'Translation-EN'!A2410,"")</f>
        <v>Range</v>
      </c>
      <c r="B2410" s="888" t="str">
        <f>IF(LEN('Translation-EN'!B2410)&gt;0,'Translation-EN'!B2410,"")</f>
        <v>Master sheet</v>
      </c>
      <c r="C2410" s="888" t="str">
        <f>IF(LEN('Translation-EN'!C2410)&gt;0,'Translation-EN'!C2410,"")</f>
        <v>C402</v>
      </c>
      <c r="D2410" s="888" t="str">
        <f>IF(LEN('Translation-EN'!D2410)&gt;0,'Translation-EN'!D2410,"")</f>
        <v/>
      </c>
      <c r="E2410" s="893" t="str">
        <f>$E$2382</f>
        <v>Steico</v>
      </c>
      <c r="I2410" s="888"/>
      <c r="J2410" s="888"/>
      <c r="K2410" s="888"/>
      <c r="L2410" s="888"/>
      <c r="M2410" s="888"/>
      <c r="N2410" s="888"/>
      <c r="O2410" s="888"/>
      <c r="P2410" s="888"/>
      <c r="Q2410" s="888"/>
      <c r="R2410" s="888"/>
    </row>
    <row r="2411" spans="1:18" s="893" customFormat="1" x14ac:dyDescent="0.3">
      <c r="A2411" s="888" t="str">
        <f>IF(LEN('Translation-EN'!A2411)&gt;0,'Translation-EN'!A2411,"")</f>
        <v>Range</v>
      </c>
      <c r="B2411" s="888" t="str">
        <f>IF(LEN('Translation-EN'!B2411)&gt;0,'Translation-EN'!B2411,"")</f>
        <v>Master sheet</v>
      </c>
      <c r="C2411" s="888" t="str">
        <f>IF(LEN('Translation-EN'!C2411)&gt;0,'Translation-EN'!C2411,"")</f>
        <v>D402</v>
      </c>
      <c r="D2411" s="888" t="str">
        <f>IF(LEN('Translation-EN'!D2411)&gt;0,'Translation-EN'!D2411,"")</f>
        <v/>
      </c>
      <c r="E2411" s="893" t="s">
        <v>4485</v>
      </c>
      <c r="I2411" s="888"/>
      <c r="J2411" s="888"/>
      <c r="K2411" s="888"/>
      <c r="L2411" s="888"/>
      <c r="M2411" s="888"/>
      <c r="N2411" s="888"/>
      <c r="O2411" s="888"/>
      <c r="P2411" s="888"/>
      <c r="Q2411" s="888"/>
      <c r="R2411" s="888"/>
    </row>
    <row r="2412" spans="1:18" s="893" customFormat="1" x14ac:dyDescent="0.3">
      <c r="A2412" s="888" t="str">
        <f>IF(LEN('Translation-EN'!A2412)&gt;0,'Translation-EN'!A2412,"")</f>
        <v>Range</v>
      </c>
      <c r="B2412" s="888" t="str">
        <f>IF(LEN('Translation-EN'!B2412)&gt;0,'Translation-EN'!B2412,"")</f>
        <v>Master sheet</v>
      </c>
      <c r="C2412" s="888" t="str">
        <f>IF(LEN('Translation-EN'!C2412)&gt;0,'Translation-EN'!C2412,"")</f>
        <v>E402</v>
      </c>
      <c r="D2412" s="888" t="str">
        <f>IF(LEN('Translation-EN'!D2412)&gt;0,'Translation-EN'!D2412,"")</f>
        <v/>
      </c>
      <c r="E2412" s="893" t="s">
        <v>6459</v>
      </c>
      <c r="I2412" s="888"/>
      <c r="J2412" s="888"/>
      <c r="K2412" s="888"/>
      <c r="L2412" s="888"/>
      <c r="M2412" s="888"/>
      <c r="N2412" s="888"/>
      <c r="O2412" s="888"/>
      <c r="P2412" s="888"/>
      <c r="Q2412" s="888"/>
      <c r="R2412" s="888"/>
    </row>
    <row r="2413" spans="1:18" s="893" customFormat="1" x14ac:dyDescent="0.3">
      <c r="A2413" s="888" t="str">
        <f>IF(LEN('Translation-EN'!A2413)&gt;0,'Translation-EN'!A2413,"")</f>
        <v>Range</v>
      </c>
      <c r="B2413" s="888" t="str">
        <f>IF(LEN('Translation-EN'!B2413)&gt;0,'Translation-EN'!B2413,"")</f>
        <v>Master sheet</v>
      </c>
      <c r="C2413" s="888" t="str">
        <f>IF(LEN('Translation-EN'!C2413)&gt;0,'Translation-EN'!C2413,"")</f>
        <v>B403</v>
      </c>
      <c r="D2413" s="888" t="str">
        <f>IF(LEN('Translation-EN'!D2413)&gt;0,'Translation-EN'!D2413,"")</f>
        <v/>
      </c>
      <c r="E2413" s="893" t="str">
        <f>$E$2385</f>
        <v>Panneau de fibres de bois</v>
      </c>
      <c r="I2413" s="888"/>
      <c r="J2413" s="888"/>
      <c r="K2413" s="888"/>
      <c r="L2413" s="888"/>
      <c r="M2413" s="888"/>
      <c r="N2413" s="888"/>
      <c r="O2413" s="888"/>
      <c r="P2413" s="888"/>
      <c r="Q2413" s="888"/>
      <c r="R2413" s="888"/>
    </row>
    <row r="2414" spans="1:18" s="893" customFormat="1" x14ac:dyDescent="0.3">
      <c r="A2414" s="888" t="str">
        <f>IF(LEN('Translation-EN'!A2414)&gt;0,'Translation-EN'!A2414,"")</f>
        <v>Range</v>
      </c>
      <c r="B2414" s="888" t="str">
        <f>IF(LEN('Translation-EN'!B2414)&gt;0,'Translation-EN'!B2414,"")</f>
        <v>Master sheet</v>
      </c>
      <c r="C2414" s="888" t="str">
        <f>IF(LEN('Translation-EN'!C2414)&gt;0,'Translation-EN'!C2414,"")</f>
        <v>C403</v>
      </c>
      <c r="D2414" s="888" t="str">
        <f>IF(LEN('Translation-EN'!D2414)&gt;0,'Translation-EN'!D2414,"")</f>
        <v/>
      </c>
      <c r="E2414" s="893" t="str">
        <f>$E$2382</f>
        <v>Steico</v>
      </c>
      <c r="I2414" s="888"/>
      <c r="J2414" s="888"/>
      <c r="K2414" s="888"/>
      <c r="L2414" s="888"/>
      <c r="M2414" s="888"/>
      <c r="N2414" s="888"/>
      <c r="O2414" s="888"/>
      <c r="P2414" s="888"/>
      <c r="Q2414" s="888"/>
      <c r="R2414" s="888"/>
    </row>
    <row r="2415" spans="1:18" s="893" customFormat="1" x14ac:dyDescent="0.3">
      <c r="A2415" s="888" t="str">
        <f>IF(LEN('Translation-EN'!A2415)&gt;0,'Translation-EN'!A2415,"")</f>
        <v>Range</v>
      </c>
      <c r="B2415" s="888" t="str">
        <f>IF(LEN('Translation-EN'!B2415)&gt;0,'Translation-EN'!B2415,"")</f>
        <v>Master sheet</v>
      </c>
      <c r="C2415" s="888" t="str">
        <f>IF(LEN('Translation-EN'!C2415)&gt;0,'Translation-EN'!C2415,"")</f>
        <v>D403</v>
      </c>
      <c r="D2415" s="888" t="str">
        <f>IF(LEN('Translation-EN'!D2415)&gt;0,'Translation-EN'!D2415,"")</f>
        <v/>
      </c>
      <c r="E2415" s="893" t="s">
        <v>4487</v>
      </c>
      <c r="I2415" s="888"/>
      <c r="J2415" s="888"/>
      <c r="K2415" s="888"/>
      <c r="L2415" s="888"/>
      <c r="M2415" s="888"/>
      <c r="N2415" s="888"/>
      <c r="O2415" s="888"/>
      <c r="P2415" s="888"/>
      <c r="Q2415" s="888"/>
      <c r="R2415" s="888"/>
    </row>
    <row r="2416" spans="1:18" s="893" customFormat="1" x14ac:dyDescent="0.3">
      <c r="A2416" s="888" t="str">
        <f>IF(LEN('Translation-EN'!A2416)&gt;0,'Translation-EN'!A2416,"")</f>
        <v>Range</v>
      </c>
      <c r="B2416" s="888" t="str">
        <f>IF(LEN('Translation-EN'!B2416)&gt;0,'Translation-EN'!B2416,"")</f>
        <v>Master sheet</v>
      </c>
      <c r="C2416" s="888" t="str">
        <f>IF(LEN('Translation-EN'!C2416)&gt;0,'Translation-EN'!C2416,"")</f>
        <v>E403</v>
      </c>
      <c r="D2416" s="888" t="str">
        <f>IF(LEN('Translation-EN'!D2416)&gt;0,'Translation-EN'!D2416,"")</f>
        <v/>
      </c>
      <c r="E2416" s="893" t="s">
        <v>6460</v>
      </c>
      <c r="I2416" s="888"/>
      <c r="J2416" s="888"/>
      <c r="K2416" s="888"/>
      <c r="L2416" s="888"/>
      <c r="M2416" s="888"/>
      <c r="N2416" s="888"/>
      <c r="O2416" s="888"/>
      <c r="P2416" s="888"/>
      <c r="Q2416" s="888"/>
      <c r="R2416" s="888"/>
    </row>
    <row r="2417" spans="1:18" s="893" customFormat="1" x14ac:dyDescent="0.3">
      <c r="A2417" s="888" t="str">
        <f>IF(LEN('Translation-EN'!A2417)&gt;0,'Translation-EN'!A2417,"")</f>
        <v>Range</v>
      </c>
      <c r="B2417" s="888" t="str">
        <f>IF(LEN('Translation-EN'!B2417)&gt;0,'Translation-EN'!B2417,"")</f>
        <v>Master sheet</v>
      </c>
      <c r="C2417" s="888" t="str">
        <f>IF(LEN('Translation-EN'!C2417)&gt;0,'Translation-EN'!C2417,"")</f>
        <v>B405</v>
      </c>
      <c r="D2417" s="888" t="str">
        <f>IF(LEN('Translation-EN'!D2417)&gt;0,'Translation-EN'!D2417,"")</f>
        <v/>
      </c>
      <c r="E2417" s="893" t="s">
        <v>6461</v>
      </c>
      <c r="I2417" s="888"/>
      <c r="J2417" s="888"/>
      <c r="K2417" s="888"/>
      <c r="L2417" s="888"/>
      <c r="M2417" s="888"/>
      <c r="N2417" s="888"/>
      <c r="O2417" s="888"/>
      <c r="P2417" s="888"/>
      <c r="Q2417" s="888"/>
      <c r="R2417" s="888"/>
    </row>
    <row r="2418" spans="1:18" s="893" customFormat="1" x14ac:dyDescent="0.3">
      <c r="A2418" s="888" t="str">
        <f>IF(LEN('Translation-EN'!A2418)&gt;0,'Translation-EN'!A2418,"")</f>
        <v>Range</v>
      </c>
      <c r="B2418" s="888" t="str">
        <f>IF(LEN('Translation-EN'!B2418)&gt;0,'Translation-EN'!B2418,"")</f>
        <v>Master sheet</v>
      </c>
      <c r="C2418" s="888" t="str">
        <f>IF(LEN('Translation-EN'!C2418)&gt;0,'Translation-EN'!C2418,"")</f>
        <v>C405</v>
      </c>
      <c r="D2418" s="888" t="str">
        <f>IF(LEN('Translation-EN'!D2418)&gt;0,'Translation-EN'!D2418,"")</f>
        <v/>
      </c>
      <c r="E2418" s="893" t="str">
        <f>$E$1937</f>
        <v>Conseil Américain et canadien du bois</v>
      </c>
      <c r="I2418" s="888"/>
      <c r="J2418" s="888"/>
      <c r="K2418" s="888"/>
      <c r="L2418" s="888"/>
      <c r="M2418" s="888"/>
      <c r="N2418" s="888"/>
      <c r="O2418" s="888"/>
      <c r="P2418" s="888"/>
      <c r="Q2418" s="888"/>
      <c r="R2418" s="888"/>
    </row>
    <row r="2419" spans="1:18" s="893" customFormat="1" x14ac:dyDescent="0.3">
      <c r="A2419" s="888" t="str">
        <f>IF(LEN('Translation-EN'!A2419)&gt;0,'Translation-EN'!A2419,"")</f>
        <v>Range</v>
      </c>
      <c r="B2419" s="888" t="str">
        <f>IF(LEN('Translation-EN'!B2419)&gt;0,'Translation-EN'!B2419,"")</f>
        <v>Master sheet</v>
      </c>
      <c r="C2419" s="888" t="str">
        <f>IF(LEN('Translation-EN'!C2419)&gt;0,'Translation-EN'!C2419,"")</f>
        <v>B407</v>
      </c>
      <c r="D2419" s="888" t="str">
        <f>IF(LEN('Translation-EN'!D2419)&gt;0,'Translation-EN'!D2419,"")</f>
        <v/>
      </c>
      <c r="E2419" s="1054" t="s">
        <v>7611</v>
      </c>
      <c r="I2419" s="888"/>
      <c r="J2419" s="888"/>
      <c r="K2419" s="888"/>
      <c r="L2419" s="888"/>
      <c r="M2419" s="888"/>
      <c r="N2419" s="888"/>
      <c r="O2419" s="888"/>
      <c r="P2419" s="888"/>
      <c r="Q2419" s="888"/>
      <c r="R2419" s="888"/>
    </row>
    <row r="2420" spans="1:18" s="893" customFormat="1" x14ac:dyDescent="0.3">
      <c r="A2420" s="888" t="str">
        <f>IF(LEN('Translation-EN'!A2420)&gt;0,'Translation-EN'!A2420,"")</f>
        <v>Range</v>
      </c>
      <c r="B2420" s="888" t="str">
        <f>IF(LEN('Translation-EN'!B2420)&gt;0,'Translation-EN'!B2420,"")</f>
        <v>Master sheet</v>
      </c>
      <c r="C2420" s="888" t="str">
        <f>IF(LEN('Translation-EN'!C2420)&gt;0,'Translation-EN'!C2420,"")</f>
        <v>C407</v>
      </c>
      <c r="D2420" s="888" t="str">
        <f>IF(LEN('Translation-EN'!D2420)&gt;0,'Translation-EN'!D2420,"")</f>
        <v/>
      </c>
      <c r="E2420" s="1011" t="str">
        <f>$E$2148</f>
        <v>Conseil canadien du bois</v>
      </c>
      <c r="I2420" s="888"/>
      <c r="J2420" s="888"/>
      <c r="K2420" s="888"/>
      <c r="L2420" s="888"/>
      <c r="M2420" s="888"/>
      <c r="N2420" s="888"/>
      <c r="O2420" s="888"/>
      <c r="P2420" s="888"/>
      <c r="Q2420" s="888"/>
      <c r="R2420" s="888"/>
    </row>
    <row r="2421" spans="1:18" s="893" customFormat="1" x14ac:dyDescent="0.3">
      <c r="A2421" s="888" t="str">
        <f>IF(LEN('Translation-EN'!A2421)&gt;0,'Translation-EN'!A2421,"")</f>
        <v>Range</v>
      </c>
      <c r="B2421" s="888" t="str">
        <f>IF(LEN('Translation-EN'!B2421)&gt;0,'Translation-EN'!B2421,"")</f>
        <v>Master sheet</v>
      </c>
      <c r="C2421" s="888" t="str">
        <f>IF(LEN('Translation-EN'!C2421)&gt;0,'Translation-EN'!C2421,"")</f>
        <v>D407</v>
      </c>
      <c r="D2421" s="888" t="str">
        <f>IF(LEN('Translation-EN'!D2421)&gt;0,'Translation-EN'!D2421,"")</f>
        <v/>
      </c>
      <c r="E2421" s="893" t="s">
        <v>3279</v>
      </c>
      <c r="I2421" s="888"/>
      <c r="J2421" s="888"/>
      <c r="K2421" s="888"/>
      <c r="L2421" s="888"/>
      <c r="M2421" s="888"/>
      <c r="N2421" s="888"/>
      <c r="O2421" s="888"/>
      <c r="P2421" s="888"/>
      <c r="Q2421" s="888"/>
      <c r="R2421" s="888"/>
    </row>
    <row r="2422" spans="1:18" s="893" customFormat="1" x14ac:dyDescent="0.3">
      <c r="A2422" s="888" t="str">
        <f>IF(LEN('Translation-EN'!A2422)&gt;0,'Translation-EN'!A2422,"")</f>
        <v>Range</v>
      </c>
      <c r="B2422" s="888" t="str">
        <f>IF(LEN('Translation-EN'!B2422)&gt;0,'Translation-EN'!B2422,"")</f>
        <v>Master sheet</v>
      </c>
      <c r="C2422" s="888" t="str">
        <f>IF(LEN('Translation-EN'!C2422)&gt;0,'Translation-EN'!C2422,"")</f>
        <v>B408</v>
      </c>
      <c r="D2422" s="888" t="str">
        <f>IF(LEN('Translation-EN'!D2422)&gt;0,'Translation-EN'!D2422,"")</f>
        <v/>
      </c>
      <c r="E2422" s="1011" t="str">
        <f>$E$2419</f>
        <v>bois SPF</v>
      </c>
      <c r="I2422" s="888"/>
      <c r="J2422" s="888"/>
      <c r="K2422" s="888"/>
      <c r="L2422" s="888"/>
      <c r="M2422" s="888"/>
      <c r="N2422" s="888"/>
      <c r="O2422" s="888"/>
      <c r="P2422" s="888"/>
      <c r="Q2422" s="888"/>
      <c r="R2422" s="888"/>
    </row>
    <row r="2423" spans="1:18" s="893" customFormat="1" x14ac:dyDescent="0.3">
      <c r="A2423" s="888" t="str">
        <f>IF(LEN('Translation-EN'!A2423)&gt;0,'Translation-EN'!A2423,"")</f>
        <v>Range</v>
      </c>
      <c r="B2423" s="888" t="str">
        <f>IF(LEN('Translation-EN'!B2423)&gt;0,'Translation-EN'!B2423,"")</f>
        <v>Master sheet</v>
      </c>
      <c r="C2423" s="888" t="str">
        <f>IF(LEN('Translation-EN'!C2423)&gt;0,'Translation-EN'!C2423,"")</f>
        <v>C408</v>
      </c>
      <c r="D2423" s="888" t="str">
        <f>IF(LEN('Translation-EN'!D2423)&gt;0,'Translation-EN'!D2423,"")</f>
        <v/>
      </c>
      <c r="E2423" s="1011" t="str">
        <f>$E$2148</f>
        <v>Conseil canadien du bois</v>
      </c>
      <c r="I2423" s="888"/>
      <c r="J2423" s="888"/>
      <c r="K2423" s="888"/>
      <c r="L2423" s="888"/>
      <c r="M2423" s="888"/>
      <c r="N2423" s="888"/>
      <c r="O2423" s="888"/>
      <c r="P2423" s="888"/>
      <c r="Q2423" s="888"/>
      <c r="R2423" s="888"/>
    </row>
    <row r="2424" spans="1:18" s="893" customFormat="1" x14ac:dyDescent="0.3">
      <c r="A2424" s="888" t="str">
        <f>IF(LEN('Translation-EN'!A2424)&gt;0,'Translation-EN'!A2424,"")</f>
        <v>Range</v>
      </c>
      <c r="B2424" s="888" t="str">
        <f>IF(LEN('Translation-EN'!B2424)&gt;0,'Translation-EN'!B2424,"")</f>
        <v>Master sheet</v>
      </c>
      <c r="C2424" s="888" t="str">
        <f>IF(LEN('Translation-EN'!C2424)&gt;0,'Translation-EN'!C2424,"")</f>
        <v>D408</v>
      </c>
      <c r="D2424" s="888" t="str">
        <f>IF(LEN('Translation-EN'!D2424)&gt;0,'Translation-EN'!D2424,"")</f>
        <v/>
      </c>
      <c r="E2424" s="1011" t="str">
        <f>$E$1953</f>
        <v>Alberta</v>
      </c>
      <c r="I2424" s="888"/>
      <c r="J2424" s="888"/>
      <c r="K2424" s="888"/>
      <c r="L2424" s="888"/>
      <c r="M2424" s="888"/>
      <c r="N2424" s="888"/>
      <c r="O2424" s="888"/>
      <c r="P2424" s="888"/>
      <c r="Q2424" s="888"/>
      <c r="R2424" s="888"/>
    </row>
    <row r="2425" spans="1:18" s="893" customFormat="1" x14ac:dyDescent="0.3">
      <c r="A2425" s="888" t="str">
        <f>IF(LEN('Translation-EN'!A2425)&gt;0,'Translation-EN'!A2425,"")</f>
        <v>Range</v>
      </c>
      <c r="B2425" s="888" t="str">
        <f>IF(LEN('Translation-EN'!B2425)&gt;0,'Translation-EN'!B2425,"")</f>
        <v>Master sheet</v>
      </c>
      <c r="C2425" s="888" t="str">
        <f>IF(LEN('Translation-EN'!C2425)&gt;0,'Translation-EN'!C2425,"")</f>
        <v>B409</v>
      </c>
      <c r="D2425" s="888" t="str">
        <f>IF(LEN('Translation-EN'!D2425)&gt;0,'Translation-EN'!D2425,"")</f>
        <v/>
      </c>
      <c r="E2425" s="1011" t="str">
        <f>$E$2419</f>
        <v>bois SPF</v>
      </c>
      <c r="I2425" s="888"/>
      <c r="J2425" s="888"/>
      <c r="K2425" s="888"/>
      <c r="L2425" s="888"/>
      <c r="M2425" s="888"/>
      <c r="N2425" s="888"/>
      <c r="O2425" s="888"/>
      <c r="P2425" s="888"/>
      <c r="Q2425" s="888"/>
      <c r="R2425" s="888"/>
    </row>
    <row r="2426" spans="1:18" s="893" customFormat="1" x14ac:dyDescent="0.3">
      <c r="A2426" s="888" t="str">
        <f>IF(LEN('Translation-EN'!A2426)&gt;0,'Translation-EN'!A2426,"")</f>
        <v>Range</v>
      </c>
      <c r="B2426" s="888" t="str">
        <f>IF(LEN('Translation-EN'!B2426)&gt;0,'Translation-EN'!B2426,"")</f>
        <v>Master sheet</v>
      </c>
      <c r="C2426" s="888" t="str">
        <f>IF(LEN('Translation-EN'!C2426)&gt;0,'Translation-EN'!C2426,"")</f>
        <v>C409</v>
      </c>
      <c r="D2426" s="888" t="str">
        <f>IF(LEN('Translation-EN'!D2426)&gt;0,'Translation-EN'!D2426,"")</f>
        <v/>
      </c>
      <c r="E2426" s="1011" t="str">
        <f>$E$2148</f>
        <v>Conseil canadien du bois</v>
      </c>
      <c r="I2426" s="888"/>
      <c r="J2426" s="888"/>
      <c r="K2426" s="888"/>
      <c r="L2426" s="888"/>
      <c r="M2426" s="888"/>
      <c r="N2426" s="888"/>
      <c r="O2426" s="888"/>
      <c r="P2426" s="888"/>
      <c r="Q2426" s="888"/>
      <c r="R2426" s="888"/>
    </row>
    <row r="2427" spans="1:18" s="893" customFormat="1" x14ac:dyDescent="0.3">
      <c r="A2427" s="888" t="str">
        <f>IF(LEN('Translation-EN'!A2427)&gt;0,'Translation-EN'!A2427,"")</f>
        <v>Range</v>
      </c>
      <c r="B2427" s="888" t="str">
        <f>IF(LEN('Translation-EN'!B2427)&gt;0,'Translation-EN'!B2427,"")</f>
        <v>Master sheet</v>
      </c>
      <c r="C2427" s="888" t="str">
        <f>IF(LEN('Translation-EN'!C2427)&gt;0,'Translation-EN'!C2427,"")</f>
        <v>D409</v>
      </c>
      <c r="D2427" s="888" t="str">
        <f>IF(LEN('Translation-EN'!D2427)&gt;0,'Translation-EN'!D2427,"")</f>
        <v/>
      </c>
      <c r="E2427" s="1011" t="str">
        <f>$E$1956</f>
        <v>Ontario</v>
      </c>
      <c r="I2427" s="888"/>
      <c r="J2427" s="888"/>
      <c r="K2427" s="888"/>
      <c r="L2427" s="888"/>
      <c r="M2427" s="888"/>
      <c r="N2427" s="888"/>
      <c r="O2427" s="888"/>
      <c r="P2427" s="888"/>
      <c r="Q2427" s="888"/>
      <c r="R2427" s="888"/>
    </row>
    <row r="2428" spans="1:18" s="893" customFormat="1" x14ac:dyDescent="0.3">
      <c r="A2428" s="888" t="str">
        <f>IF(LEN('Translation-EN'!A2428)&gt;0,'Translation-EN'!A2428,"")</f>
        <v>Range</v>
      </c>
      <c r="B2428" s="888" t="str">
        <f>IF(LEN('Translation-EN'!B2428)&gt;0,'Translation-EN'!B2428,"")</f>
        <v>Master sheet</v>
      </c>
      <c r="C2428" s="888" t="str">
        <f>IF(LEN('Translation-EN'!C2428)&gt;0,'Translation-EN'!C2428,"")</f>
        <v>B410</v>
      </c>
      <c r="D2428" s="888" t="str">
        <f>IF(LEN('Translation-EN'!D2428)&gt;0,'Translation-EN'!D2428,"")</f>
        <v/>
      </c>
      <c r="E2428" s="1011" t="str">
        <f>$E$2419</f>
        <v>bois SPF</v>
      </c>
      <c r="I2428" s="888"/>
      <c r="J2428" s="888"/>
      <c r="K2428" s="888"/>
      <c r="L2428" s="888"/>
      <c r="M2428" s="888"/>
      <c r="N2428" s="888"/>
      <c r="O2428" s="888"/>
      <c r="P2428" s="888"/>
      <c r="Q2428" s="888"/>
      <c r="R2428" s="888"/>
    </row>
    <row r="2429" spans="1:18" s="893" customFormat="1" x14ac:dyDescent="0.3">
      <c r="A2429" s="888" t="str">
        <f>IF(LEN('Translation-EN'!A2429)&gt;0,'Translation-EN'!A2429,"")</f>
        <v>Range</v>
      </c>
      <c r="B2429" s="888" t="str">
        <f>IF(LEN('Translation-EN'!B2429)&gt;0,'Translation-EN'!B2429,"")</f>
        <v>Master sheet</v>
      </c>
      <c r="C2429" s="888" t="str">
        <f>IF(LEN('Translation-EN'!C2429)&gt;0,'Translation-EN'!C2429,"")</f>
        <v>C410</v>
      </c>
      <c r="D2429" s="888" t="str">
        <f>IF(LEN('Translation-EN'!D2429)&gt;0,'Translation-EN'!D2429,"")</f>
        <v/>
      </c>
      <c r="E2429" s="1011" t="str">
        <f>$E$2148</f>
        <v>Conseil canadien du bois</v>
      </c>
      <c r="I2429" s="888"/>
      <c r="J2429" s="888"/>
      <c r="K2429" s="888"/>
      <c r="L2429" s="888"/>
      <c r="M2429" s="888"/>
      <c r="N2429" s="888"/>
      <c r="O2429" s="888"/>
      <c r="P2429" s="888"/>
      <c r="Q2429" s="888"/>
      <c r="R2429" s="888"/>
    </row>
    <row r="2430" spans="1:18" s="893" customFormat="1" x14ac:dyDescent="0.3">
      <c r="A2430" s="888" t="str">
        <f>IF(LEN('Translation-EN'!A2430)&gt;0,'Translation-EN'!A2430,"")</f>
        <v>Range</v>
      </c>
      <c r="B2430" s="888" t="str">
        <f>IF(LEN('Translation-EN'!B2430)&gt;0,'Translation-EN'!B2430,"")</f>
        <v>Master sheet</v>
      </c>
      <c r="C2430" s="888" t="str">
        <f>IF(LEN('Translation-EN'!C2430)&gt;0,'Translation-EN'!C2430,"")</f>
        <v>D410</v>
      </c>
      <c r="D2430" s="888" t="str">
        <f>IF(LEN('Translation-EN'!D2430)&gt;0,'Translation-EN'!D2430,"")</f>
        <v/>
      </c>
      <c r="E2430" s="893" t="s">
        <v>3278</v>
      </c>
      <c r="I2430" s="888"/>
      <c r="J2430" s="888"/>
      <c r="K2430" s="888"/>
      <c r="L2430" s="888"/>
      <c r="M2430" s="888"/>
      <c r="N2430" s="888"/>
      <c r="O2430" s="888"/>
      <c r="P2430" s="888"/>
      <c r="Q2430" s="888"/>
      <c r="R2430" s="888"/>
    </row>
    <row r="2431" spans="1:18" s="893" customFormat="1" x14ac:dyDescent="0.3">
      <c r="A2431" s="888" t="str">
        <f>IF(LEN('Translation-EN'!A2431)&gt;0,'Translation-EN'!A2431,"")</f>
        <v>Range</v>
      </c>
      <c r="B2431" s="888" t="str">
        <f>IF(LEN('Translation-EN'!B2431)&gt;0,'Translation-EN'!B2431,"")</f>
        <v>Master sheet</v>
      </c>
      <c r="C2431" s="888" t="str">
        <f>IF(LEN('Translation-EN'!C2431)&gt;0,'Translation-EN'!C2431,"")</f>
        <v>B411</v>
      </c>
      <c r="D2431" s="888" t="str">
        <f>IF(LEN('Translation-EN'!D2431)&gt;0,'Translation-EN'!D2431,"")</f>
        <v/>
      </c>
      <c r="E2431" s="1011" t="str">
        <f>$E$2419</f>
        <v>bois SPF</v>
      </c>
      <c r="I2431" s="888"/>
      <c r="J2431" s="888"/>
      <c r="K2431" s="888"/>
      <c r="L2431" s="888"/>
      <c r="M2431" s="888"/>
      <c r="N2431" s="888"/>
      <c r="O2431" s="888"/>
      <c r="P2431" s="888"/>
      <c r="Q2431" s="888"/>
      <c r="R2431" s="888"/>
    </row>
    <row r="2432" spans="1:18" s="893" customFormat="1" x14ac:dyDescent="0.3">
      <c r="A2432" s="888" t="str">
        <f>IF(LEN('Translation-EN'!A2432)&gt;0,'Translation-EN'!A2432,"")</f>
        <v>Range</v>
      </c>
      <c r="B2432" s="888" t="str">
        <f>IF(LEN('Translation-EN'!B2432)&gt;0,'Translation-EN'!B2432,"")</f>
        <v>Master sheet</v>
      </c>
      <c r="C2432" s="888" t="str">
        <f>IF(LEN('Translation-EN'!C2432)&gt;0,'Translation-EN'!C2432,"")</f>
        <v>C411</v>
      </c>
      <c r="D2432" s="888" t="str">
        <f>IF(LEN('Translation-EN'!D2432)&gt;0,'Translation-EN'!D2432,"")</f>
        <v/>
      </c>
      <c r="E2432" s="1011" t="str">
        <f>$E$2148</f>
        <v>Conseil canadien du bois</v>
      </c>
      <c r="I2432" s="888"/>
      <c r="J2432" s="888"/>
      <c r="K2432" s="888"/>
      <c r="L2432" s="888"/>
      <c r="M2432" s="888"/>
      <c r="N2432" s="888"/>
      <c r="O2432" s="888"/>
      <c r="P2432" s="888"/>
      <c r="Q2432" s="888"/>
      <c r="R2432" s="888"/>
    </row>
    <row r="2433" spans="1:18" s="893" customFormat="1" x14ac:dyDescent="0.3">
      <c r="A2433" s="888" t="str">
        <f>IF(LEN('Translation-EN'!A2433)&gt;0,'Translation-EN'!A2433,"")</f>
        <v>Range</v>
      </c>
      <c r="B2433" s="888" t="str">
        <f>IF(LEN('Translation-EN'!B2433)&gt;0,'Translation-EN'!B2433,"")</f>
        <v>Master sheet</v>
      </c>
      <c r="C2433" s="888" t="str">
        <f>IF(LEN('Translation-EN'!C2433)&gt;0,'Translation-EN'!C2433,"")</f>
        <v>D411</v>
      </c>
      <c r="D2433" s="888" t="str">
        <f>IF(LEN('Translation-EN'!D2433)&gt;0,'Translation-EN'!D2433,"")</f>
        <v/>
      </c>
      <c r="E2433" s="893" t="s">
        <v>3277</v>
      </c>
      <c r="I2433" s="888"/>
      <c r="J2433" s="888"/>
      <c r="K2433" s="888"/>
      <c r="L2433" s="888"/>
      <c r="M2433" s="888"/>
      <c r="N2433" s="888"/>
      <c r="O2433" s="888"/>
      <c r="P2433" s="888"/>
      <c r="Q2433" s="888"/>
      <c r="R2433" s="888"/>
    </row>
    <row r="2434" spans="1:18" s="893" customFormat="1" x14ac:dyDescent="0.3">
      <c r="A2434" s="888" t="str">
        <f>IF(LEN('Translation-EN'!A2434)&gt;0,'Translation-EN'!A2434,"")</f>
        <v>Range</v>
      </c>
      <c r="B2434" s="888" t="str">
        <f>IF(LEN('Translation-EN'!B2434)&gt;0,'Translation-EN'!B2434,"")</f>
        <v>Master sheet</v>
      </c>
      <c r="C2434" s="888" t="str">
        <f>IF(LEN('Translation-EN'!C2434)&gt;0,'Translation-EN'!C2434,"")</f>
        <v>B412</v>
      </c>
      <c r="D2434" s="888" t="str">
        <f>IF(LEN('Translation-EN'!D2434)&gt;0,'Translation-EN'!D2434,"")</f>
        <v/>
      </c>
      <c r="E2434" s="1011" t="str">
        <f>$E$2419</f>
        <v>bois SPF</v>
      </c>
      <c r="I2434" s="888"/>
      <c r="J2434" s="888"/>
      <c r="K2434" s="888"/>
      <c r="L2434" s="888"/>
      <c r="M2434" s="888"/>
      <c r="N2434" s="888"/>
      <c r="O2434" s="888"/>
      <c r="P2434" s="888"/>
      <c r="Q2434" s="888"/>
      <c r="R2434" s="888"/>
    </row>
    <row r="2435" spans="1:18" s="893" customFormat="1" x14ac:dyDescent="0.3">
      <c r="A2435" s="888" t="str">
        <f>IF(LEN('Translation-EN'!A2435)&gt;0,'Translation-EN'!A2435,"")</f>
        <v>Range</v>
      </c>
      <c r="B2435" s="888" t="str">
        <f>IF(LEN('Translation-EN'!B2435)&gt;0,'Translation-EN'!B2435,"")</f>
        <v>Master sheet</v>
      </c>
      <c r="C2435" s="888" t="str">
        <f>IF(LEN('Translation-EN'!C2435)&gt;0,'Translation-EN'!C2435,"")</f>
        <v>C412</v>
      </c>
      <c r="D2435" s="888" t="str">
        <f>IF(LEN('Translation-EN'!D2435)&gt;0,'Translation-EN'!D2435,"")</f>
        <v/>
      </c>
      <c r="E2435" s="1011" t="str">
        <f>$E$2148</f>
        <v>Conseil canadien du bois</v>
      </c>
      <c r="I2435" s="888"/>
      <c r="J2435" s="888"/>
      <c r="K2435" s="888"/>
      <c r="L2435" s="888"/>
      <c r="M2435" s="888"/>
      <c r="N2435" s="888"/>
      <c r="O2435" s="888"/>
      <c r="P2435" s="888"/>
      <c r="Q2435" s="888"/>
      <c r="R2435" s="888"/>
    </row>
    <row r="2436" spans="1:18" s="893" customFormat="1" x14ac:dyDescent="0.3">
      <c r="A2436" s="888" t="str">
        <f>IF(LEN('Translation-EN'!A2436)&gt;0,'Translation-EN'!A2436,"")</f>
        <v>Range</v>
      </c>
      <c r="B2436" s="888" t="str">
        <f>IF(LEN('Translation-EN'!B2436)&gt;0,'Translation-EN'!B2436,"")</f>
        <v>Master sheet</v>
      </c>
      <c r="C2436" s="888" t="str">
        <f>IF(LEN('Translation-EN'!C2436)&gt;0,'Translation-EN'!C2436,"")</f>
        <v>D412</v>
      </c>
      <c r="D2436" s="888" t="str">
        <f>IF(LEN('Translation-EN'!D2436)&gt;0,'Translation-EN'!D2436,"")</f>
        <v/>
      </c>
      <c r="E2436" s="1011" t="s">
        <v>7418</v>
      </c>
      <c r="I2436" s="888"/>
      <c r="J2436" s="888"/>
      <c r="K2436" s="888"/>
      <c r="L2436" s="888"/>
      <c r="M2436" s="888"/>
      <c r="N2436" s="888"/>
      <c r="O2436" s="888"/>
      <c r="P2436" s="888"/>
      <c r="Q2436" s="888"/>
      <c r="R2436" s="888"/>
    </row>
    <row r="2437" spans="1:18" s="893" customFormat="1" x14ac:dyDescent="0.3">
      <c r="A2437" s="888" t="str">
        <f>IF(LEN('Translation-EN'!A2437)&gt;0,'Translation-EN'!A2437,"")</f>
        <v>Range</v>
      </c>
      <c r="B2437" s="888" t="str">
        <f>IF(LEN('Translation-EN'!B2437)&gt;0,'Translation-EN'!B2437,"")</f>
        <v>Master sheet</v>
      </c>
      <c r="C2437" s="888" t="str">
        <f>IF(LEN('Translation-EN'!C2437)&gt;0,'Translation-EN'!C2437,"")</f>
        <v>B414</v>
      </c>
      <c r="D2437" s="888" t="str">
        <f>IF(LEN('Translation-EN'!D2437)&gt;0,'Translation-EN'!D2437,"")</f>
        <v/>
      </c>
      <c r="E2437" s="893" t="s">
        <v>6462</v>
      </c>
      <c r="I2437" s="888"/>
      <c r="J2437" s="888"/>
      <c r="K2437" s="888"/>
      <c r="L2437" s="888"/>
      <c r="M2437" s="888"/>
      <c r="N2437" s="888"/>
      <c r="O2437" s="888"/>
      <c r="P2437" s="888"/>
      <c r="Q2437" s="888"/>
      <c r="R2437" s="888"/>
    </row>
    <row r="2438" spans="1:18" s="893" customFormat="1" x14ac:dyDescent="0.3">
      <c r="A2438" s="888" t="str">
        <f>IF(LEN('Translation-EN'!A2438)&gt;0,'Translation-EN'!A2438,"")</f>
        <v>Range</v>
      </c>
      <c r="B2438" s="888" t="str">
        <f>IF(LEN('Translation-EN'!B2438)&gt;0,'Translation-EN'!B2438,"")</f>
        <v>Master sheet</v>
      </c>
      <c r="C2438" s="888" t="str">
        <f>IF(LEN('Translation-EN'!C2438)&gt;0,'Translation-EN'!C2438,"")</f>
        <v>C414</v>
      </c>
      <c r="D2438" s="888" t="str">
        <f>IF(LEN('Translation-EN'!D2438)&gt;0,'Translation-EN'!D2438,"")</f>
        <v/>
      </c>
      <c r="E2438" s="1011" t="str">
        <f>$E$2148</f>
        <v>Conseil canadien du bois</v>
      </c>
      <c r="I2438" s="888"/>
      <c r="J2438" s="888"/>
      <c r="K2438" s="888"/>
      <c r="L2438" s="888"/>
      <c r="M2438" s="888"/>
      <c r="N2438" s="888"/>
      <c r="O2438" s="888"/>
      <c r="P2438" s="888"/>
      <c r="Q2438" s="888"/>
      <c r="R2438" s="888"/>
    </row>
    <row r="2439" spans="1:18" s="893" customFormat="1" x14ac:dyDescent="0.3">
      <c r="A2439" s="888" t="str">
        <f>IF(LEN('Translation-EN'!A2439)&gt;0,'Translation-EN'!A2439,"")</f>
        <v>Range</v>
      </c>
      <c r="B2439" s="888" t="str">
        <f>IF(LEN('Translation-EN'!B2439)&gt;0,'Translation-EN'!B2439,"")</f>
        <v>Master sheet</v>
      </c>
      <c r="C2439" s="888" t="str">
        <f>IF(LEN('Translation-EN'!C2439)&gt;0,'Translation-EN'!C2439,"")</f>
        <v>E414</v>
      </c>
      <c r="D2439" s="888" t="str">
        <f>IF(LEN('Translation-EN'!D2439)&gt;0,'Translation-EN'!D2439,"")</f>
        <v/>
      </c>
      <c r="E2439" s="893" t="s">
        <v>821</v>
      </c>
      <c r="I2439" s="888"/>
      <c r="J2439" s="888"/>
      <c r="K2439" s="888"/>
      <c r="L2439" s="888"/>
      <c r="M2439" s="888"/>
      <c r="N2439" s="888"/>
      <c r="O2439" s="888"/>
      <c r="P2439" s="888"/>
      <c r="Q2439" s="888"/>
      <c r="R2439" s="888"/>
    </row>
    <row r="2440" spans="1:18" s="893" customFormat="1" x14ac:dyDescent="0.3">
      <c r="A2440" s="888" t="str">
        <f>IF(LEN('Translation-EN'!A2440)&gt;0,'Translation-EN'!A2440,"")</f>
        <v>Range</v>
      </c>
      <c r="B2440" s="888" t="str">
        <f>IF(LEN('Translation-EN'!B2440)&gt;0,'Translation-EN'!B2440,"")</f>
        <v>Master sheet</v>
      </c>
      <c r="C2440" s="888" t="str">
        <f>IF(LEN('Translation-EN'!C2440)&gt;0,'Translation-EN'!C2440,"")</f>
        <v>B416</v>
      </c>
      <c r="D2440" s="888" t="str">
        <f>IF(LEN('Translation-EN'!D2440)&gt;0,'Translation-EN'!D2440,"")</f>
        <v/>
      </c>
      <c r="E2440" s="893" t="s">
        <v>6463</v>
      </c>
      <c r="I2440" s="888"/>
      <c r="J2440" s="888"/>
      <c r="K2440" s="888"/>
      <c r="L2440" s="888"/>
      <c r="M2440" s="888"/>
      <c r="N2440" s="888"/>
      <c r="O2440" s="888"/>
      <c r="P2440" s="888"/>
      <c r="Q2440" s="888"/>
      <c r="R2440" s="888"/>
    </row>
    <row r="2441" spans="1:18" s="893" customFormat="1" x14ac:dyDescent="0.3">
      <c r="A2441" s="888" t="str">
        <f>IF(LEN('Translation-EN'!A2441)&gt;0,'Translation-EN'!A2441,"")</f>
        <v>Range</v>
      </c>
      <c r="B2441" s="888" t="str">
        <f>IF(LEN('Translation-EN'!B2441)&gt;0,'Translation-EN'!B2441,"")</f>
        <v>Master sheet</v>
      </c>
      <c r="C2441" s="888" t="str">
        <f>IF(LEN('Translation-EN'!C2441)&gt;0,'Translation-EN'!C2441,"")</f>
        <v>C416</v>
      </c>
      <c r="D2441" s="888" t="str">
        <f>IF(LEN('Translation-EN'!D2441)&gt;0,'Translation-EN'!D2441,"")</f>
        <v/>
      </c>
      <c r="E2441" s="893" t="str">
        <f>$E$2016</f>
        <v>RedBuilt</v>
      </c>
      <c r="I2441" s="888"/>
      <c r="J2441" s="888"/>
      <c r="K2441" s="888"/>
      <c r="L2441" s="888"/>
      <c r="M2441" s="888"/>
      <c r="N2441" s="888"/>
      <c r="O2441" s="888"/>
      <c r="P2441" s="888"/>
      <c r="Q2441" s="888"/>
      <c r="R2441" s="888"/>
    </row>
    <row r="2442" spans="1:18" s="893" customFormat="1" x14ac:dyDescent="0.3">
      <c r="A2442" s="888" t="str">
        <f>IF(LEN('Translation-EN'!A2442)&gt;0,'Translation-EN'!A2442,"")</f>
        <v>Range</v>
      </c>
      <c r="B2442" s="888" t="str">
        <f>IF(LEN('Translation-EN'!B2442)&gt;0,'Translation-EN'!B2442,"")</f>
        <v>Master sheet</v>
      </c>
      <c r="C2442" s="888" t="str">
        <f>IF(LEN('Translation-EN'!C2442)&gt;0,'Translation-EN'!C2442,"")</f>
        <v>D416</v>
      </c>
      <c r="D2442" s="888" t="str">
        <f>IF(LEN('Translation-EN'!D2442)&gt;0,'Translation-EN'!D2442,"")</f>
        <v/>
      </c>
      <c r="E2442" s="893" t="s">
        <v>4491</v>
      </c>
      <c r="I2442" s="888"/>
      <c r="J2442" s="888"/>
      <c r="K2442" s="888"/>
      <c r="L2442" s="888"/>
      <c r="M2442" s="888"/>
      <c r="N2442" s="888"/>
      <c r="O2442" s="888"/>
      <c r="P2442" s="888"/>
      <c r="Q2442" s="888"/>
      <c r="R2442" s="888"/>
    </row>
    <row r="2443" spans="1:18" s="893" customFormat="1" x14ac:dyDescent="0.3">
      <c r="A2443" s="888" t="str">
        <f>IF(LEN('Translation-EN'!A2443)&gt;0,'Translation-EN'!A2443,"")</f>
        <v>Range</v>
      </c>
      <c r="B2443" s="888" t="str">
        <f>IF(LEN('Translation-EN'!B2443)&gt;0,'Translation-EN'!B2443,"")</f>
        <v>Master sheet</v>
      </c>
      <c r="C2443" s="888" t="str">
        <f>IF(LEN('Translation-EN'!C2443)&gt;0,'Translation-EN'!C2443,"")</f>
        <v>E416</v>
      </c>
      <c r="D2443" s="888" t="str">
        <f>IF(LEN('Translation-EN'!D2443)&gt;0,'Translation-EN'!D2443,"")</f>
        <v/>
      </c>
      <c r="E2443" s="893" t="s">
        <v>6464</v>
      </c>
      <c r="I2443" s="888"/>
      <c r="J2443" s="888"/>
      <c r="K2443" s="888"/>
      <c r="L2443" s="888"/>
      <c r="M2443" s="888"/>
      <c r="N2443" s="888"/>
      <c r="O2443" s="888"/>
      <c r="P2443" s="888"/>
      <c r="Q2443" s="888"/>
      <c r="R2443" s="888"/>
    </row>
    <row r="2444" spans="1:18" s="893" customFormat="1" x14ac:dyDescent="0.3">
      <c r="A2444" s="888" t="str">
        <f>IF(LEN('Translation-EN'!A2444)&gt;0,'Translation-EN'!A2444,"")</f>
        <v>Range</v>
      </c>
      <c r="B2444" s="888" t="str">
        <f>IF(LEN('Translation-EN'!B2444)&gt;0,'Translation-EN'!B2444,"")</f>
        <v>Master sheet</v>
      </c>
      <c r="C2444" s="888" t="str">
        <f>IF(LEN('Translation-EN'!C2444)&gt;0,'Translation-EN'!C2444,"")</f>
        <v>B417</v>
      </c>
      <c r="D2444" s="888" t="str">
        <f>IF(LEN('Translation-EN'!D2444)&gt;0,'Translation-EN'!D2444,"")</f>
        <v/>
      </c>
      <c r="E2444" s="893" t="str">
        <f>$E$2440</f>
        <v>Solives en I</v>
      </c>
      <c r="I2444" s="888"/>
      <c r="J2444" s="888"/>
      <c r="K2444" s="888"/>
      <c r="L2444" s="888"/>
      <c r="M2444" s="888"/>
      <c r="N2444" s="888"/>
      <c r="O2444" s="888"/>
      <c r="P2444" s="888"/>
      <c r="Q2444" s="888"/>
      <c r="R2444" s="888"/>
    </row>
    <row r="2445" spans="1:18" s="893" customFormat="1" x14ac:dyDescent="0.3">
      <c r="A2445" s="888" t="str">
        <f>IF(LEN('Translation-EN'!A2445)&gt;0,'Translation-EN'!A2445,"")</f>
        <v>Range</v>
      </c>
      <c r="B2445" s="888" t="str">
        <f>IF(LEN('Translation-EN'!B2445)&gt;0,'Translation-EN'!B2445,"")</f>
        <v>Master sheet</v>
      </c>
      <c r="C2445" s="888" t="str">
        <f>IF(LEN('Translation-EN'!C2445)&gt;0,'Translation-EN'!C2445,"")</f>
        <v>C417</v>
      </c>
      <c r="D2445" s="888" t="str">
        <f>IF(LEN('Translation-EN'!D2445)&gt;0,'Translation-EN'!D2445,"")</f>
        <v/>
      </c>
      <c r="E2445" s="893" t="str">
        <f>$E$2016</f>
        <v>RedBuilt</v>
      </c>
      <c r="I2445" s="888"/>
      <c r="J2445" s="888"/>
      <c r="K2445" s="888"/>
      <c r="L2445" s="888"/>
      <c r="M2445" s="888"/>
      <c r="N2445" s="888"/>
      <c r="O2445" s="888"/>
      <c r="P2445" s="888"/>
      <c r="Q2445" s="888"/>
      <c r="R2445" s="888"/>
    </row>
    <row r="2446" spans="1:18" s="893" customFormat="1" x14ac:dyDescent="0.3">
      <c r="A2446" s="888" t="str">
        <f>IF(LEN('Translation-EN'!A2446)&gt;0,'Translation-EN'!A2446,"")</f>
        <v>Range</v>
      </c>
      <c r="B2446" s="888" t="str">
        <f>IF(LEN('Translation-EN'!B2446)&gt;0,'Translation-EN'!B2446,"")</f>
        <v>Master sheet</v>
      </c>
      <c r="C2446" s="888" t="str">
        <f>IF(LEN('Translation-EN'!C2446)&gt;0,'Translation-EN'!C2446,"")</f>
        <v>D417</v>
      </c>
      <c r="D2446" s="888" t="str">
        <f>IF(LEN('Translation-EN'!D2446)&gt;0,'Translation-EN'!D2446,"")</f>
        <v/>
      </c>
      <c r="E2446" s="893" t="str">
        <f>$E$2442</f>
        <v>Red I-45</v>
      </c>
      <c r="I2446" s="888"/>
      <c r="J2446" s="888"/>
      <c r="K2446" s="888"/>
      <c r="L2446" s="888"/>
      <c r="M2446" s="888"/>
      <c r="N2446" s="888"/>
      <c r="O2446" s="888"/>
      <c r="P2446" s="888"/>
      <c r="Q2446" s="888"/>
      <c r="R2446" s="888"/>
    </row>
    <row r="2447" spans="1:18" s="893" customFormat="1" x14ac:dyDescent="0.3">
      <c r="A2447" s="888" t="str">
        <f>IF(LEN('Translation-EN'!A2447)&gt;0,'Translation-EN'!A2447,"")</f>
        <v>Range</v>
      </c>
      <c r="B2447" s="888" t="str">
        <f>IF(LEN('Translation-EN'!B2447)&gt;0,'Translation-EN'!B2447,"")</f>
        <v>Master sheet</v>
      </c>
      <c r="C2447" s="888" t="str">
        <f>IF(LEN('Translation-EN'!C2447)&gt;0,'Translation-EN'!C2447,"")</f>
        <v>E417</v>
      </c>
      <c r="D2447" s="888" t="str">
        <f>IF(LEN('Translation-EN'!D2447)&gt;0,'Translation-EN'!D2447,"")</f>
        <v/>
      </c>
      <c r="E2447" s="893" t="s">
        <v>6465</v>
      </c>
      <c r="I2447" s="888"/>
      <c r="J2447" s="888"/>
      <c r="K2447" s="888"/>
      <c r="L2447" s="888"/>
      <c r="M2447" s="888"/>
      <c r="N2447" s="888"/>
      <c r="O2447" s="888"/>
      <c r="P2447" s="888"/>
      <c r="Q2447" s="888"/>
      <c r="R2447" s="888"/>
    </row>
    <row r="2448" spans="1:18" s="893" customFormat="1" x14ac:dyDescent="0.3">
      <c r="A2448" s="888" t="str">
        <f>IF(LEN('Translation-EN'!A2448)&gt;0,'Translation-EN'!A2448,"")</f>
        <v>Range</v>
      </c>
      <c r="B2448" s="888" t="str">
        <f>IF(LEN('Translation-EN'!B2448)&gt;0,'Translation-EN'!B2448,"")</f>
        <v>Master sheet</v>
      </c>
      <c r="C2448" s="888" t="str">
        <f>IF(LEN('Translation-EN'!C2448)&gt;0,'Translation-EN'!C2448,"")</f>
        <v>B418</v>
      </c>
      <c r="D2448" s="888" t="str">
        <f>IF(LEN('Translation-EN'!D2448)&gt;0,'Translation-EN'!D2448,"")</f>
        <v/>
      </c>
      <c r="E2448" s="893" t="str">
        <f>$E$2440</f>
        <v>Solives en I</v>
      </c>
      <c r="I2448" s="888"/>
      <c r="J2448" s="888"/>
      <c r="K2448" s="888"/>
      <c r="L2448" s="888"/>
      <c r="M2448" s="888"/>
      <c r="N2448" s="888"/>
      <c r="O2448" s="888"/>
      <c r="P2448" s="888"/>
      <c r="Q2448" s="888"/>
      <c r="R2448" s="888"/>
    </row>
    <row r="2449" spans="1:18" s="893" customFormat="1" x14ac:dyDescent="0.3">
      <c r="A2449" s="888" t="str">
        <f>IF(LEN('Translation-EN'!A2449)&gt;0,'Translation-EN'!A2449,"")</f>
        <v>Range</v>
      </c>
      <c r="B2449" s="888" t="str">
        <f>IF(LEN('Translation-EN'!B2449)&gt;0,'Translation-EN'!B2449,"")</f>
        <v>Master sheet</v>
      </c>
      <c r="C2449" s="888" t="str">
        <f>IF(LEN('Translation-EN'!C2449)&gt;0,'Translation-EN'!C2449,"")</f>
        <v>C418</v>
      </c>
      <c r="D2449" s="888" t="str">
        <f>IF(LEN('Translation-EN'!D2449)&gt;0,'Translation-EN'!D2449,"")</f>
        <v/>
      </c>
      <c r="E2449" s="893" t="str">
        <f>$E$2016</f>
        <v>RedBuilt</v>
      </c>
      <c r="I2449" s="888"/>
      <c r="J2449" s="888"/>
      <c r="K2449" s="888"/>
      <c r="L2449" s="888"/>
      <c r="M2449" s="888"/>
      <c r="N2449" s="888"/>
      <c r="O2449" s="888"/>
      <c r="P2449" s="888"/>
      <c r="Q2449" s="888"/>
      <c r="R2449" s="888"/>
    </row>
    <row r="2450" spans="1:18" s="893" customFormat="1" x14ac:dyDescent="0.3">
      <c r="A2450" s="888" t="str">
        <f>IF(LEN('Translation-EN'!A2450)&gt;0,'Translation-EN'!A2450,"")</f>
        <v>Range</v>
      </c>
      <c r="B2450" s="888" t="str">
        <f>IF(LEN('Translation-EN'!B2450)&gt;0,'Translation-EN'!B2450,"")</f>
        <v>Master sheet</v>
      </c>
      <c r="C2450" s="888" t="str">
        <f>IF(LEN('Translation-EN'!C2450)&gt;0,'Translation-EN'!C2450,"")</f>
        <v>D418</v>
      </c>
      <c r="D2450" s="888" t="str">
        <f>IF(LEN('Translation-EN'!D2450)&gt;0,'Translation-EN'!D2450,"")</f>
        <v/>
      </c>
      <c r="E2450" s="893" t="str">
        <f>$E$2442</f>
        <v>Red I-45</v>
      </c>
      <c r="I2450" s="888"/>
      <c r="J2450" s="888"/>
      <c r="K2450" s="888"/>
      <c r="L2450" s="888"/>
      <c r="M2450" s="888"/>
      <c r="N2450" s="888"/>
      <c r="O2450" s="888"/>
      <c r="P2450" s="888"/>
      <c r="Q2450" s="888"/>
      <c r="R2450" s="888"/>
    </row>
    <row r="2451" spans="1:18" s="893" customFormat="1" x14ac:dyDescent="0.3">
      <c r="A2451" s="888" t="str">
        <f>IF(LEN('Translation-EN'!A2451)&gt;0,'Translation-EN'!A2451,"")</f>
        <v>Range</v>
      </c>
      <c r="B2451" s="888" t="str">
        <f>IF(LEN('Translation-EN'!B2451)&gt;0,'Translation-EN'!B2451,"")</f>
        <v>Master sheet</v>
      </c>
      <c r="C2451" s="888" t="str">
        <f>IF(LEN('Translation-EN'!C2451)&gt;0,'Translation-EN'!C2451,"")</f>
        <v>E418</v>
      </c>
      <c r="D2451" s="888" t="str">
        <f>IF(LEN('Translation-EN'!D2451)&gt;0,'Translation-EN'!D2451,"")</f>
        <v/>
      </c>
      <c r="E2451" s="893" t="s">
        <v>6466</v>
      </c>
      <c r="I2451" s="888"/>
      <c r="J2451" s="888"/>
      <c r="K2451" s="888"/>
      <c r="L2451" s="888"/>
      <c r="M2451" s="888"/>
      <c r="N2451" s="888"/>
      <c r="O2451" s="888"/>
      <c r="P2451" s="888"/>
      <c r="Q2451" s="888"/>
      <c r="R2451" s="888"/>
    </row>
    <row r="2452" spans="1:18" s="893" customFormat="1" x14ac:dyDescent="0.3">
      <c r="A2452" s="888" t="str">
        <f>IF(LEN('Translation-EN'!A2452)&gt;0,'Translation-EN'!A2452,"")</f>
        <v>Range</v>
      </c>
      <c r="B2452" s="888" t="str">
        <f>IF(LEN('Translation-EN'!B2452)&gt;0,'Translation-EN'!B2452,"")</f>
        <v>Master sheet</v>
      </c>
      <c r="C2452" s="888" t="str">
        <f>IF(LEN('Translation-EN'!C2452)&gt;0,'Translation-EN'!C2452,"")</f>
        <v>B419</v>
      </c>
      <c r="D2452" s="888" t="str">
        <f>IF(LEN('Translation-EN'!D2452)&gt;0,'Translation-EN'!D2452,"")</f>
        <v/>
      </c>
      <c r="E2452" s="893" t="str">
        <f>$E$2440</f>
        <v>Solives en I</v>
      </c>
      <c r="I2452" s="888"/>
      <c r="J2452" s="888"/>
      <c r="K2452" s="888"/>
      <c r="L2452" s="888"/>
      <c r="M2452" s="888"/>
      <c r="N2452" s="888"/>
      <c r="O2452" s="888"/>
      <c r="P2452" s="888"/>
      <c r="Q2452" s="888"/>
      <c r="R2452" s="888"/>
    </row>
    <row r="2453" spans="1:18" s="893" customFormat="1" x14ac:dyDescent="0.3">
      <c r="A2453" s="888" t="str">
        <f>IF(LEN('Translation-EN'!A2453)&gt;0,'Translation-EN'!A2453,"")</f>
        <v>Range</v>
      </c>
      <c r="B2453" s="888" t="str">
        <f>IF(LEN('Translation-EN'!B2453)&gt;0,'Translation-EN'!B2453,"")</f>
        <v>Master sheet</v>
      </c>
      <c r="C2453" s="888" t="str">
        <f>IF(LEN('Translation-EN'!C2453)&gt;0,'Translation-EN'!C2453,"")</f>
        <v>C419</v>
      </c>
      <c r="D2453" s="888" t="str">
        <f>IF(LEN('Translation-EN'!D2453)&gt;0,'Translation-EN'!D2453,"")</f>
        <v/>
      </c>
      <c r="E2453" s="893" t="str">
        <f>$E$2016</f>
        <v>RedBuilt</v>
      </c>
      <c r="I2453" s="888"/>
      <c r="J2453" s="888"/>
      <c r="K2453" s="888"/>
      <c r="L2453" s="888"/>
      <c r="M2453" s="888"/>
      <c r="N2453" s="888"/>
      <c r="O2453" s="888"/>
      <c r="P2453" s="888"/>
      <c r="Q2453" s="888"/>
      <c r="R2453" s="888"/>
    </row>
    <row r="2454" spans="1:18" s="893" customFormat="1" x14ac:dyDescent="0.3">
      <c r="A2454" s="888" t="str">
        <f>IF(LEN('Translation-EN'!A2454)&gt;0,'Translation-EN'!A2454,"")</f>
        <v>Range</v>
      </c>
      <c r="B2454" s="888" t="str">
        <f>IF(LEN('Translation-EN'!B2454)&gt;0,'Translation-EN'!B2454,"")</f>
        <v>Master sheet</v>
      </c>
      <c r="C2454" s="888" t="str">
        <f>IF(LEN('Translation-EN'!C2454)&gt;0,'Translation-EN'!C2454,"")</f>
        <v>D419</v>
      </c>
      <c r="D2454" s="888" t="str">
        <f>IF(LEN('Translation-EN'!D2454)&gt;0,'Translation-EN'!D2454,"")</f>
        <v/>
      </c>
      <c r="E2454" s="893" t="s">
        <v>4497</v>
      </c>
      <c r="I2454" s="888"/>
      <c r="J2454" s="888"/>
      <c r="K2454" s="888"/>
      <c r="L2454" s="888"/>
      <c r="M2454" s="888"/>
      <c r="N2454" s="888"/>
      <c r="O2454" s="888"/>
      <c r="P2454" s="888"/>
      <c r="Q2454" s="888"/>
      <c r="R2454" s="888"/>
    </row>
    <row r="2455" spans="1:18" s="893" customFormat="1" x14ac:dyDescent="0.3">
      <c r="A2455" s="888" t="str">
        <f>IF(LEN('Translation-EN'!A2455)&gt;0,'Translation-EN'!A2455,"")</f>
        <v>Range</v>
      </c>
      <c r="B2455" s="888" t="str">
        <f>IF(LEN('Translation-EN'!B2455)&gt;0,'Translation-EN'!B2455,"")</f>
        <v>Master sheet</v>
      </c>
      <c r="C2455" s="888" t="str">
        <f>IF(LEN('Translation-EN'!C2455)&gt;0,'Translation-EN'!C2455,"")</f>
        <v>E419</v>
      </c>
      <c r="D2455" s="888" t="str">
        <f>IF(LEN('Translation-EN'!D2455)&gt;0,'Translation-EN'!D2455,"")</f>
        <v/>
      </c>
      <c r="E2455" s="893" t="s">
        <v>6467</v>
      </c>
      <c r="I2455" s="888"/>
      <c r="J2455" s="888"/>
      <c r="K2455" s="888"/>
      <c r="L2455" s="888"/>
      <c r="M2455" s="888"/>
      <c r="N2455" s="888"/>
      <c r="O2455" s="888"/>
      <c r="P2455" s="888"/>
      <c r="Q2455" s="888"/>
      <c r="R2455" s="888"/>
    </row>
    <row r="2456" spans="1:18" s="893" customFormat="1" x14ac:dyDescent="0.3">
      <c r="A2456" s="888" t="str">
        <f>IF(LEN('Translation-EN'!A2456)&gt;0,'Translation-EN'!A2456,"")</f>
        <v>Range</v>
      </c>
      <c r="B2456" s="888" t="str">
        <f>IF(LEN('Translation-EN'!B2456)&gt;0,'Translation-EN'!B2456,"")</f>
        <v>Master sheet</v>
      </c>
      <c r="C2456" s="888" t="str">
        <f>IF(LEN('Translation-EN'!C2456)&gt;0,'Translation-EN'!C2456,"")</f>
        <v>B420</v>
      </c>
      <c r="D2456" s="888" t="str">
        <f>IF(LEN('Translation-EN'!D2456)&gt;0,'Translation-EN'!D2456,"")</f>
        <v/>
      </c>
      <c r="E2456" s="893" t="str">
        <f>$E$2440</f>
        <v>Solives en I</v>
      </c>
      <c r="I2456" s="888"/>
      <c r="J2456" s="888"/>
      <c r="K2456" s="888"/>
      <c r="L2456" s="888"/>
      <c r="M2456" s="888"/>
      <c r="N2456" s="888"/>
      <c r="O2456" s="888"/>
      <c r="P2456" s="888"/>
      <c r="Q2456" s="888"/>
      <c r="R2456" s="888"/>
    </row>
    <row r="2457" spans="1:18" s="893" customFormat="1" x14ac:dyDescent="0.3">
      <c r="A2457" s="888" t="str">
        <f>IF(LEN('Translation-EN'!A2457)&gt;0,'Translation-EN'!A2457,"")</f>
        <v>Range</v>
      </c>
      <c r="B2457" s="888" t="str">
        <f>IF(LEN('Translation-EN'!B2457)&gt;0,'Translation-EN'!B2457,"")</f>
        <v>Master sheet</v>
      </c>
      <c r="C2457" s="888" t="str">
        <f>IF(LEN('Translation-EN'!C2457)&gt;0,'Translation-EN'!C2457,"")</f>
        <v>C420</v>
      </c>
      <c r="D2457" s="888" t="str">
        <f>IF(LEN('Translation-EN'!D2457)&gt;0,'Translation-EN'!D2457,"")</f>
        <v/>
      </c>
      <c r="E2457" s="893" t="str">
        <f>$E$2016</f>
        <v>RedBuilt</v>
      </c>
      <c r="I2457" s="888"/>
      <c r="J2457" s="888"/>
      <c r="K2457" s="888"/>
      <c r="L2457" s="888"/>
      <c r="M2457" s="888"/>
      <c r="N2457" s="888"/>
      <c r="O2457" s="888"/>
      <c r="P2457" s="888"/>
      <c r="Q2457" s="888"/>
      <c r="R2457" s="888"/>
    </row>
    <row r="2458" spans="1:18" s="893" customFormat="1" x14ac:dyDescent="0.3">
      <c r="A2458" s="888" t="str">
        <f>IF(LEN('Translation-EN'!A2458)&gt;0,'Translation-EN'!A2458,"")</f>
        <v>Range</v>
      </c>
      <c r="B2458" s="888" t="str">
        <f>IF(LEN('Translation-EN'!B2458)&gt;0,'Translation-EN'!B2458,"")</f>
        <v>Master sheet</v>
      </c>
      <c r="C2458" s="888" t="str">
        <f>IF(LEN('Translation-EN'!C2458)&gt;0,'Translation-EN'!C2458,"")</f>
        <v>D420</v>
      </c>
      <c r="D2458" s="888" t="str">
        <f>IF(LEN('Translation-EN'!D2458)&gt;0,'Translation-EN'!D2458,"")</f>
        <v/>
      </c>
      <c r="E2458" s="893" t="str">
        <f>$E$2454</f>
        <v>Red I-65</v>
      </c>
      <c r="I2458" s="888"/>
      <c r="J2458" s="888"/>
      <c r="K2458" s="888"/>
      <c r="L2458" s="888"/>
      <c r="M2458" s="888"/>
      <c r="N2458" s="888"/>
      <c r="O2458" s="888"/>
      <c r="P2458" s="888"/>
      <c r="Q2458" s="888"/>
      <c r="R2458" s="888"/>
    </row>
    <row r="2459" spans="1:18" s="893" customFormat="1" x14ac:dyDescent="0.3">
      <c r="A2459" s="888" t="str">
        <f>IF(LEN('Translation-EN'!A2459)&gt;0,'Translation-EN'!A2459,"")</f>
        <v>Range</v>
      </c>
      <c r="B2459" s="888" t="str">
        <f>IF(LEN('Translation-EN'!B2459)&gt;0,'Translation-EN'!B2459,"")</f>
        <v>Master sheet</v>
      </c>
      <c r="C2459" s="888" t="str">
        <f>IF(LEN('Translation-EN'!C2459)&gt;0,'Translation-EN'!C2459,"")</f>
        <v>E420</v>
      </c>
      <c r="D2459" s="888" t="str">
        <f>IF(LEN('Translation-EN'!D2459)&gt;0,'Translation-EN'!D2459,"")</f>
        <v/>
      </c>
      <c r="E2459" s="893" t="s">
        <v>6468</v>
      </c>
      <c r="I2459" s="888"/>
      <c r="J2459" s="888"/>
      <c r="K2459" s="888"/>
      <c r="L2459" s="888"/>
      <c r="M2459" s="888"/>
      <c r="N2459" s="888"/>
      <c r="O2459" s="888"/>
      <c r="P2459" s="888"/>
      <c r="Q2459" s="888"/>
      <c r="R2459" s="888"/>
    </row>
    <row r="2460" spans="1:18" s="893" customFormat="1" x14ac:dyDescent="0.3">
      <c r="A2460" s="888" t="str">
        <f>IF(LEN('Translation-EN'!A2460)&gt;0,'Translation-EN'!A2460,"")</f>
        <v>Range</v>
      </c>
      <c r="B2460" s="888" t="str">
        <f>IF(LEN('Translation-EN'!B2460)&gt;0,'Translation-EN'!B2460,"")</f>
        <v>Master sheet</v>
      </c>
      <c r="C2460" s="888" t="str">
        <f>IF(LEN('Translation-EN'!C2460)&gt;0,'Translation-EN'!C2460,"")</f>
        <v>B421</v>
      </c>
      <c r="D2460" s="888" t="str">
        <f>IF(LEN('Translation-EN'!D2460)&gt;0,'Translation-EN'!D2460,"")</f>
        <v/>
      </c>
      <c r="E2460" s="893" t="str">
        <f>$E$2440</f>
        <v>Solives en I</v>
      </c>
      <c r="I2460" s="888"/>
      <c r="J2460" s="888"/>
      <c r="K2460" s="888"/>
      <c r="L2460" s="888"/>
      <c r="M2460" s="888"/>
      <c r="N2460" s="888"/>
      <c r="O2460" s="888"/>
      <c r="P2460" s="888"/>
      <c r="Q2460" s="888"/>
      <c r="R2460" s="888"/>
    </row>
    <row r="2461" spans="1:18" s="893" customFormat="1" x14ac:dyDescent="0.3">
      <c r="A2461" s="888" t="str">
        <f>IF(LEN('Translation-EN'!A2461)&gt;0,'Translation-EN'!A2461,"")</f>
        <v>Range</v>
      </c>
      <c r="B2461" s="888" t="str">
        <f>IF(LEN('Translation-EN'!B2461)&gt;0,'Translation-EN'!B2461,"")</f>
        <v>Master sheet</v>
      </c>
      <c r="C2461" s="888" t="str">
        <f>IF(LEN('Translation-EN'!C2461)&gt;0,'Translation-EN'!C2461,"")</f>
        <v>C421</v>
      </c>
      <c r="D2461" s="888" t="str">
        <f>IF(LEN('Translation-EN'!D2461)&gt;0,'Translation-EN'!D2461,"")</f>
        <v/>
      </c>
      <c r="E2461" s="893" t="str">
        <f>$E$2016</f>
        <v>RedBuilt</v>
      </c>
      <c r="I2461" s="888"/>
      <c r="J2461" s="888"/>
      <c r="K2461" s="888"/>
      <c r="L2461" s="888"/>
      <c r="M2461" s="888"/>
      <c r="N2461" s="888"/>
      <c r="O2461" s="888"/>
      <c r="P2461" s="888"/>
      <c r="Q2461" s="888"/>
      <c r="R2461" s="888"/>
    </row>
    <row r="2462" spans="1:18" s="893" customFormat="1" x14ac:dyDescent="0.3">
      <c r="A2462" s="888" t="str">
        <f>IF(LEN('Translation-EN'!A2462)&gt;0,'Translation-EN'!A2462,"")</f>
        <v>Range</v>
      </c>
      <c r="B2462" s="888" t="str">
        <f>IF(LEN('Translation-EN'!B2462)&gt;0,'Translation-EN'!B2462,"")</f>
        <v>Master sheet</v>
      </c>
      <c r="C2462" s="888" t="str">
        <f>IF(LEN('Translation-EN'!C2462)&gt;0,'Translation-EN'!C2462,"")</f>
        <v>D421</v>
      </c>
      <c r="D2462" s="888" t="str">
        <f>IF(LEN('Translation-EN'!D2462)&gt;0,'Translation-EN'!D2462,"")</f>
        <v/>
      </c>
      <c r="E2462" s="893" t="str">
        <f>$E$2454</f>
        <v>Red I-65</v>
      </c>
      <c r="I2462" s="888"/>
      <c r="J2462" s="888"/>
      <c r="K2462" s="888"/>
      <c r="L2462" s="888"/>
      <c r="M2462" s="888"/>
      <c r="N2462" s="888"/>
      <c r="O2462" s="888"/>
      <c r="P2462" s="888"/>
      <c r="Q2462" s="888"/>
      <c r="R2462" s="888"/>
    </row>
    <row r="2463" spans="1:18" s="893" customFormat="1" x14ac:dyDescent="0.3">
      <c r="A2463" s="888" t="str">
        <f>IF(LEN('Translation-EN'!A2463)&gt;0,'Translation-EN'!A2463,"")</f>
        <v>Range</v>
      </c>
      <c r="B2463" s="888" t="str">
        <f>IF(LEN('Translation-EN'!B2463)&gt;0,'Translation-EN'!B2463,"")</f>
        <v>Master sheet</v>
      </c>
      <c r="C2463" s="888" t="str">
        <f>IF(LEN('Translation-EN'!C2463)&gt;0,'Translation-EN'!C2463,"")</f>
        <v>E421</v>
      </c>
      <c r="D2463" s="888" t="str">
        <f>IF(LEN('Translation-EN'!D2463)&gt;0,'Translation-EN'!D2463,"")</f>
        <v/>
      </c>
      <c r="E2463" s="893" t="s">
        <v>6469</v>
      </c>
      <c r="I2463" s="888"/>
      <c r="J2463" s="888"/>
      <c r="K2463" s="888"/>
      <c r="L2463" s="888"/>
      <c r="M2463" s="888"/>
      <c r="N2463" s="888"/>
      <c r="O2463" s="888"/>
      <c r="P2463" s="888"/>
      <c r="Q2463" s="888"/>
      <c r="R2463" s="888"/>
    </row>
    <row r="2464" spans="1:18" s="893" customFormat="1" x14ac:dyDescent="0.3">
      <c r="A2464" s="888" t="str">
        <f>IF(LEN('Translation-EN'!A2464)&gt;0,'Translation-EN'!A2464,"")</f>
        <v>Range</v>
      </c>
      <c r="B2464" s="888" t="str">
        <f>IF(LEN('Translation-EN'!B2464)&gt;0,'Translation-EN'!B2464,"")</f>
        <v>Master sheet</v>
      </c>
      <c r="C2464" s="888" t="str">
        <f>IF(LEN('Translation-EN'!C2464)&gt;0,'Translation-EN'!C2464,"")</f>
        <v>B423</v>
      </c>
      <c r="D2464" s="888" t="str">
        <f>IF(LEN('Translation-EN'!D2464)&gt;0,'Translation-EN'!D2464,"")</f>
        <v/>
      </c>
      <c r="E2464" s="893" t="s">
        <v>6470</v>
      </c>
      <c r="I2464" s="888"/>
      <c r="J2464" s="888"/>
      <c r="K2464" s="888"/>
      <c r="L2464" s="888"/>
      <c r="M2464" s="888"/>
      <c r="N2464" s="888"/>
      <c r="O2464" s="888"/>
      <c r="P2464" s="888"/>
      <c r="Q2464" s="888"/>
      <c r="R2464" s="888"/>
    </row>
    <row r="2465" spans="1:18" s="893" customFormat="1" x14ac:dyDescent="0.3">
      <c r="A2465" s="888" t="str">
        <f>IF(LEN('Translation-EN'!A2465)&gt;0,'Translation-EN'!A2465,"")</f>
        <v>Range</v>
      </c>
      <c r="B2465" s="888" t="str">
        <f>IF(LEN('Translation-EN'!B2465)&gt;0,'Translation-EN'!B2465,"")</f>
        <v>Master sheet</v>
      </c>
      <c r="C2465" s="888" t="str">
        <f>IF(LEN('Translation-EN'!C2465)&gt;0,'Translation-EN'!C2465,"")</f>
        <v>C423</v>
      </c>
      <c r="D2465" s="888" t="str">
        <f>IF(LEN('Translation-EN'!D2465)&gt;0,'Translation-EN'!D2465,"")</f>
        <v/>
      </c>
      <c r="E2465" s="1011" t="str">
        <f>$E$2148</f>
        <v>Conseil canadien du bois</v>
      </c>
      <c r="I2465" s="888"/>
      <c r="J2465" s="888"/>
      <c r="K2465" s="888"/>
      <c r="L2465" s="888"/>
      <c r="M2465" s="888"/>
      <c r="N2465" s="888"/>
      <c r="O2465" s="888"/>
      <c r="P2465" s="888"/>
      <c r="Q2465" s="888"/>
      <c r="R2465" s="888"/>
    </row>
    <row r="2466" spans="1:18" s="893" customFormat="1" x14ac:dyDescent="0.3">
      <c r="A2466" s="888" t="str">
        <f>IF(LEN('Translation-EN'!A2466)&gt;0,'Translation-EN'!A2466,"")</f>
        <v>Range</v>
      </c>
      <c r="B2466" s="888" t="str">
        <f>IF(LEN('Translation-EN'!B2466)&gt;0,'Translation-EN'!B2466,"")</f>
        <v>Master sheet</v>
      </c>
      <c r="C2466" s="888" t="str">
        <f>IF(LEN('Translation-EN'!C2466)&gt;0,'Translation-EN'!C2466,"")</f>
        <v>D423</v>
      </c>
      <c r="D2466" s="888" t="str">
        <f>IF(LEN('Translation-EN'!D2466)&gt;0,'Translation-EN'!D2466,"")</f>
        <v/>
      </c>
      <c r="E2466" s="893" t="s">
        <v>6471</v>
      </c>
      <c r="I2466" s="888"/>
      <c r="J2466" s="888"/>
      <c r="K2466" s="888"/>
      <c r="L2466" s="888"/>
      <c r="M2466" s="888"/>
      <c r="N2466" s="888"/>
      <c r="O2466" s="888"/>
      <c r="P2466" s="888"/>
      <c r="Q2466" s="888"/>
      <c r="R2466" s="888"/>
    </row>
    <row r="2467" spans="1:18" s="893" customFormat="1" x14ac:dyDescent="0.3">
      <c r="A2467" s="888" t="str">
        <f>IF(LEN('Translation-EN'!A2467)&gt;0,'Translation-EN'!A2467,"")</f>
        <v>Range</v>
      </c>
      <c r="B2467" s="888" t="str">
        <f>IF(LEN('Translation-EN'!B2467)&gt;0,'Translation-EN'!B2467,"")</f>
        <v>Master sheet</v>
      </c>
      <c r="C2467" s="888" t="str">
        <f>IF(LEN('Translation-EN'!C2467)&gt;0,'Translation-EN'!C2467,"")</f>
        <v>E423</v>
      </c>
      <c r="D2467" s="888" t="str">
        <f>IF(LEN('Translation-EN'!D2467)&gt;0,'Translation-EN'!D2467,"")</f>
        <v/>
      </c>
      <c r="E2467" s="893" t="s">
        <v>6472</v>
      </c>
      <c r="I2467" s="888"/>
      <c r="J2467" s="888"/>
      <c r="K2467" s="888"/>
      <c r="L2467" s="888"/>
      <c r="M2467" s="888"/>
      <c r="N2467" s="888"/>
      <c r="O2467" s="888"/>
      <c r="P2467" s="888"/>
      <c r="Q2467" s="888"/>
      <c r="R2467" s="888"/>
    </row>
    <row r="2468" spans="1:18" s="893" customFormat="1" x14ac:dyDescent="0.3">
      <c r="A2468" s="888" t="str">
        <f>IF(LEN('Translation-EN'!A2468)&gt;0,'Translation-EN'!A2468,"")</f>
        <v>Range</v>
      </c>
      <c r="B2468" s="888" t="str">
        <f>IF(LEN('Translation-EN'!B2468)&gt;0,'Translation-EN'!B2468,"")</f>
        <v>Master sheet</v>
      </c>
      <c r="C2468" s="888" t="str">
        <f>IF(LEN('Translation-EN'!C2468)&gt;0,'Translation-EN'!C2468,"")</f>
        <v>B425</v>
      </c>
      <c r="D2468" s="888" t="str">
        <f>IF(LEN('Translation-EN'!D2468)&gt;0,'Translation-EN'!D2468,"")</f>
        <v/>
      </c>
      <c r="E2468" s="893" t="s">
        <v>6473</v>
      </c>
      <c r="I2468" s="888"/>
      <c r="J2468" s="888"/>
      <c r="K2468" s="888"/>
      <c r="L2468" s="888"/>
      <c r="M2468" s="888"/>
      <c r="N2468" s="888"/>
      <c r="O2468" s="888"/>
      <c r="P2468" s="888"/>
      <c r="Q2468" s="888"/>
      <c r="R2468" s="888"/>
    </row>
    <row r="2469" spans="1:18" s="893" customFormat="1" x14ac:dyDescent="0.3">
      <c r="A2469" s="888" t="str">
        <f>IF(LEN('Translation-EN'!A2469)&gt;0,'Translation-EN'!A2469,"")</f>
        <v>Range</v>
      </c>
      <c r="B2469" s="888" t="str">
        <f>IF(LEN('Translation-EN'!B2469)&gt;0,'Translation-EN'!B2469,"")</f>
        <v>Master sheet</v>
      </c>
      <c r="C2469" s="888" t="str">
        <f>IF(LEN('Translation-EN'!C2469)&gt;0,'Translation-EN'!C2469,"")</f>
        <v>C425</v>
      </c>
      <c r="D2469" s="888" t="str">
        <f>IF(LEN('Translation-EN'!D2469)&gt;0,'Translation-EN'!D2469,"")</f>
        <v/>
      </c>
      <c r="E2469" s="1011" t="str">
        <f>$E$2148</f>
        <v>Conseil canadien du bois</v>
      </c>
      <c r="I2469" s="888"/>
      <c r="J2469" s="888"/>
      <c r="K2469" s="888"/>
      <c r="L2469" s="888"/>
      <c r="M2469" s="888"/>
      <c r="N2469" s="888"/>
      <c r="O2469" s="888"/>
      <c r="P2469" s="888"/>
      <c r="Q2469" s="888"/>
      <c r="R2469" s="888"/>
    </row>
    <row r="2470" spans="1:18" s="893" customFormat="1" x14ac:dyDescent="0.3">
      <c r="A2470" s="888" t="str">
        <f>IF(LEN('Translation-EN'!A2470)&gt;0,'Translation-EN'!A2470,"")</f>
        <v>Range</v>
      </c>
      <c r="B2470" s="888" t="str">
        <f>IF(LEN('Translation-EN'!B2470)&gt;0,'Translation-EN'!B2470,"")</f>
        <v>Master sheet</v>
      </c>
      <c r="C2470" s="888" t="str">
        <f>IF(LEN('Translation-EN'!C2470)&gt;0,'Translation-EN'!C2470,"")</f>
        <v>D425</v>
      </c>
      <c r="D2470" s="888" t="str">
        <f>IF(LEN('Translation-EN'!D2470)&gt;0,'Translation-EN'!D2470,"")</f>
        <v/>
      </c>
      <c r="E2470" s="1011" t="s">
        <v>7419</v>
      </c>
      <c r="I2470" s="888"/>
      <c r="J2470" s="888"/>
      <c r="K2470" s="888"/>
      <c r="L2470" s="888"/>
      <c r="M2470" s="888"/>
      <c r="N2470" s="888"/>
      <c r="O2470" s="888"/>
      <c r="P2470" s="888"/>
      <c r="Q2470" s="888"/>
      <c r="R2470" s="888"/>
    </row>
    <row r="2471" spans="1:18" s="893" customFormat="1" x14ac:dyDescent="0.3">
      <c r="A2471" s="888" t="str">
        <f>IF(LEN('Translation-EN'!A2471)&gt;0,'Translation-EN'!A2471,"")</f>
        <v>Range</v>
      </c>
      <c r="B2471" s="888" t="str">
        <f>IF(LEN('Translation-EN'!B2471)&gt;0,'Translation-EN'!B2471,"")</f>
        <v>Master sheet</v>
      </c>
      <c r="C2471" s="888" t="str">
        <f>IF(LEN('Translation-EN'!C2471)&gt;0,'Translation-EN'!C2471,"")</f>
        <v>E425</v>
      </c>
      <c r="D2471" s="888" t="str">
        <f>IF(LEN('Translation-EN'!D2471)&gt;0,'Translation-EN'!D2471,"")</f>
        <v/>
      </c>
      <c r="E2471" s="893" t="s">
        <v>6474</v>
      </c>
      <c r="I2471" s="888"/>
      <c r="J2471" s="888"/>
      <c r="K2471" s="888"/>
      <c r="L2471" s="888"/>
      <c r="M2471" s="888"/>
      <c r="N2471" s="888"/>
      <c r="O2471" s="888"/>
      <c r="P2471" s="888"/>
      <c r="Q2471" s="888"/>
      <c r="R2471" s="888"/>
    </row>
    <row r="2472" spans="1:18" s="893" customFormat="1" x14ac:dyDescent="0.3">
      <c r="A2472" s="888" t="str">
        <f>IF(LEN('Translation-EN'!A2472)&gt;0,'Translation-EN'!A2472,"")</f>
        <v>Range</v>
      </c>
      <c r="B2472" s="888" t="str">
        <f>IF(LEN('Translation-EN'!B2472)&gt;0,'Translation-EN'!B2472,"")</f>
        <v>Master sheet</v>
      </c>
      <c r="C2472" s="888" t="str">
        <f>IF(LEN('Translation-EN'!C2472)&gt;0,'Translation-EN'!C2472,"")</f>
        <v>B427</v>
      </c>
      <c r="D2472" s="888" t="str">
        <f>IF(LEN('Translation-EN'!D2472)&gt;0,'Translation-EN'!D2472,"")</f>
        <v/>
      </c>
      <c r="E2472" s="893" t="s">
        <v>6475</v>
      </c>
      <c r="I2472" s="888"/>
      <c r="J2472" s="888"/>
      <c r="K2472" s="888"/>
      <c r="L2472" s="888"/>
      <c r="M2472" s="888"/>
      <c r="N2472" s="888"/>
      <c r="O2472" s="888"/>
      <c r="P2472" s="888"/>
      <c r="Q2472" s="888"/>
      <c r="R2472" s="888"/>
    </row>
    <row r="2473" spans="1:18" s="893" customFormat="1" x14ac:dyDescent="0.3">
      <c r="A2473" s="888" t="str">
        <f>IF(LEN('Translation-EN'!A2473)&gt;0,'Translation-EN'!A2473,"")</f>
        <v>Range</v>
      </c>
      <c r="B2473" s="888" t="str">
        <f>IF(LEN('Translation-EN'!B2473)&gt;0,'Translation-EN'!B2473,"")</f>
        <v>Master sheet</v>
      </c>
      <c r="C2473" s="888" t="str">
        <f>IF(LEN('Translation-EN'!C2473)&gt;0,'Translation-EN'!C2473,"")</f>
        <v>C427</v>
      </c>
      <c r="D2473" s="888" t="str">
        <f>IF(LEN('Translation-EN'!D2473)&gt;0,'Translation-EN'!D2473,"")</f>
        <v/>
      </c>
      <c r="E2473" s="893" t="s">
        <v>735</v>
      </c>
      <c r="I2473" s="888"/>
      <c r="J2473" s="888"/>
      <c r="K2473" s="888"/>
      <c r="L2473" s="888"/>
      <c r="M2473" s="888"/>
      <c r="N2473" s="888"/>
      <c r="O2473" s="888"/>
      <c r="P2473" s="888"/>
      <c r="Q2473" s="888"/>
      <c r="R2473" s="888"/>
    </row>
    <row r="2474" spans="1:18" s="893" customFormat="1" x14ac:dyDescent="0.3">
      <c r="A2474" s="888" t="str">
        <f>IF(LEN('Translation-EN'!A2474)&gt;0,'Translation-EN'!A2474,"")</f>
        <v>Range</v>
      </c>
      <c r="B2474" s="888" t="str">
        <f>IF(LEN('Translation-EN'!B2474)&gt;0,'Translation-EN'!B2474,"")</f>
        <v>Master sheet</v>
      </c>
      <c r="C2474" s="888" t="str">
        <f>IF(LEN('Translation-EN'!C2474)&gt;0,'Translation-EN'!C2474,"")</f>
        <v>E427</v>
      </c>
      <c r="D2474" s="888" t="str">
        <f>IF(LEN('Translation-EN'!D2474)&gt;0,'Translation-EN'!D2474,"")</f>
        <v/>
      </c>
      <c r="E2474" s="893" t="str">
        <f>$E$1660</f>
        <v>R 3,6/po</v>
      </c>
      <c r="I2474" s="888"/>
      <c r="J2474" s="888"/>
      <c r="K2474" s="888"/>
      <c r="L2474" s="888"/>
      <c r="M2474" s="888"/>
      <c r="N2474" s="888"/>
      <c r="O2474" s="888"/>
      <c r="P2474" s="888"/>
      <c r="Q2474" s="888"/>
      <c r="R2474" s="888"/>
    </row>
    <row r="2475" spans="1:18" s="893" customFormat="1" x14ac:dyDescent="0.3">
      <c r="A2475" s="888" t="str">
        <f>IF(LEN('Translation-EN'!A2475)&gt;0,'Translation-EN'!A2475,"")</f>
        <v>Range</v>
      </c>
      <c r="B2475" s="888" t="str">
        <f>IF(LEN('Translation-EN'!B2475)&gt;0,'Translation-EN'!B2475,"")</f>
        <v>Master sheet</v>
      </c>
      <c r="C2475" s="888" t="str">
        <f>IF(LEN('Translation-EN'!C2475)&gt;0,'Translation-EN'!C2475,"")</f>
        <v>B428</v>
      </c>
      <c r="D2475" s="888" t="str">
        <f>IF(LEN('Translation-EN'!D2475)&gt;0,'Translation-EN'!D2475,"")</f>
        <v/>
      </c>
      <c r="E2475" s="893" t="s">
        <v>6476</v>
      </c>
      <c r="I2475" s="888"/>
      <c r="J2475" s="888"/>
      <c r="K2475" s="888"/>
      <c r="L2475" s="888"/>
      <c r="M2475" s="888"/>
      <c r="N2475" s="888"/>
      <c r="O2475" s="888"/>
      <c r="P2475" s="888"/>
      <c r="Q2475" s="888"/>
      <c r="R2475" s="888"/>
    </row>
    <row r="2476" spans="1:18" s="893" customFormat="1" x14ac:dyDescent="0.3">
      <c r="A2476" s="888" t="str">
        <f>IF(LEN('Translation-EN'!A2476)&gt;0,'Translation-EN'!A2476,"")</f>
        <v>Range</v>
      </c>
      <c r="B2476" s="888" t="str">
        <f>IF(LEN('Translation-EN'!B2476)&gt;0,'Translation-EN'!B2476,"")</f>
        <v>Master sheet</v>
      </c>
      <c r="C2476" s="888" t="str">
        <f>IF(LEN('Translation-EN'!C2476)&gt;0,'Translation-EN'!C2476,"")</f>
        <v>C428</v>
      </c>
      <c r="D2476" s="888" t="str">
        <f>IF(LEN('Translation-EN'!D2476)&gt;0,'Translation-EN'!D2476,"")</f>
        <v/>
      </c>
      <c r="E2476" s="893" t="str">
        <f>$E$2473</f>
        <v>Havelock Wool</v>
      </c>
      <c r="I2476" s="888"/>
      <c r="J2476" s="888"/>
      <c r="K2476" s="888"/>
      <c r="L2476" s="888"/>
      <c r="M2476" s="888"/>
      <c r="N2476" s="888"/>
      <c r="O2476" s="888"/>
      <c r="P2476" s="888"/>
      <c r="Q2476" s="888"/>
      <c r="R2476" s="888"/>
    </row>
    <row r="2477" spans="1:18" s="893" customFormat="1" x14ac:dyDescent="0.3">
      <c r="A2477" s="888" t="str">
        <f>IF(LEN('Translation-EN'!A2477)&gt;0,'Translation-EN'!A2477,"")</f>
        <v>Range</v>
      </c>
      <c r="B2477" s="888" t="str">
        <f>IF(LEN('Translation-EN'!B2477)&gt;0,'Translation-EN'!B2477,"")</f>
        <v>Master sheet</v>
      </c>
      <c r="C2477" s="888" t="str">
        <f>IF(LEN('Translation-EN'!C2477)&gt;0,'Translation-EN'!C2477,"")</f>
        <v>E428</v>
      </c>
      <c r="D2477" s="888" t="str">
        <f>IF(LEN('Translation-EN'!D2477)&gt;0,'Translation-EN'!D2477,"")</f>
        <v/>
      </c>
      <c r="E2477" s="893" t="str">
        <f>$E$1903</f>
        <v>R 4,4/po</v>
      </c>
      <c r="I2477" s="888"/>
      <c r="J2477" s="888"/>
      <c r="K2477" s="888"/>
      <c r="L2477" s="888"/>
      <c r="M2477" s="888"/>
      <c r="N2477" s="888"/>
      <c r="O2477" s="888"/>
      <c r="P2477" s="888"/>
      <c r="Q2477" s="888"/>
      <c r="R2477" s="888"/>
    </row>
    <row r="2478" spans="1:18" s="893" customFormat="1" x14ac:dyDescent="0.3">
      <c r="A2478" s="888" t="str">
        <f>IF(LEN('Translation-EN'!A2478)&gt;0,'Translation-EN'!A2478,"")</f>
        <v>Range</v>
      </c>
      <c r="B2478" s="888" t="str">
        <f>IF(LEN('Translation-EN'!B2478)&gt;0,'Translation-EN'!B2478,"")</f>
        <v>Master sheet</v>
      </c>
      <c r="C2478" s="888" t="str">
        <f>IF(LEN('Translation-EN'!C2478)&gt;0,'Translation-EN'!C2478,"")</f>
        <v>B431</v>
      </c>
      <c r="D2478" s="888" t="str">
        <f>IF(LEN('Translation-EN'!D2478)&gt;0,'Translation-EN'!D2478,"")</f>
        <v/>
      </c>
      <c r="E2478" s="893" t="s">
        <v>6477</v>
      </c>
      <c r="I2478" s="888"/>
      <c r="J2478" s="888"/>
      <c r="K2478" s="888"/>
      <c r="L2478" s="888"/>
      <c r="M2478" s="888"/>
      <c r="N2478" s="888"/>
      <c r="O2478" s="888"/>
      <c r="P2478" s="888"/>
      <c r="Q2478" s="888"/>
      <c r="R2478" s="888"/>
    </row>
    <row r="2479" spans="1:18" s="893" customFormat="1" x14ac:dyDescent="0.3">
      <c r="A2479" s="888" t="str">
        <f>IF(LEN('Translation-EN'!A2479)&gt;0,'Translation-EN'!A2479,"")</f>
        <v>Range</v>
      </c>
      <c r="B2479" s="888" t="str">
        <f>IF(LEN('Translation-EN'!B2479)&gt;0,'Translation-EN'!B2479,"")</f>
        <v>Master sheet</v>
      </c>
      <c r="C2479" s="888" t="str">
        <f>IF(LEN('Translation-EN'!C2479)&gt;0,'Translation-EN'!C2479,"")</f>
        <v>C431</v>
      </c>
      <c r="D2479" s="888" t="str">
        <f>IF(LEN('Translation-EN'!D2479)&gt;0,'Translation-EN'!D2479,"")</f>
        <v/>
      </c>
      <c r="E2479" s="893" t="str">
        <f>$E$1598</f>
        <v>Owens Corning</v>
      </c>
      <c r="I2479" s="888"/>
      <c r="J2479" s="888"/>
      <c r="K2479" s="888"/>
      <c r="L2479" s="888"/>
      <c r="M2479" s="888"/>
      <c r="N2479" s="888"/>
      <c r="O2479" s="888"/>
      <c r="P2479" s="888"/>
      <c r="Q2479" s="888"/>
      <c r="R2479" s="888"/>
    </row>
    <row r="2480" spans="1:18" s="893" customFormat="1" x14ac:dyDescent="0.3">
      <c r="A2480" s="888" t="str">
        <f>IF(LEN('Translation-EN'!A2480)&gt;0,'Translation-EN'!A2480,"")</f>
        <v>Range</v>
      </c>
      <c r="B2480" s="888" t="str">
        <f>IF(LEN('Translation-EN'!B2480)&gt;0,'Translation-EN'!B2480,"")</f>
        <v>Master sheet</v>
      </c>
      <c r="C2480" s="888" t="str">
        <f>IF(LEN('Translation-EN'!C2480)&gt;0,'Translation-EN'!C2480,"")</f>
        <v>D431</v>
      </c>
      <c r="D2480" s="888" t="str">
        <f>IF(LEN('Translation-EN'!D2480)&gt;0,'Translation-EN'!D2480,"")</f>
        <v/>
      </c>
      <c r="E2480" s="893" t="s">
        <v>3778</v>
      </c>
      <c r="I2480" s="888"/>
      <c r="J2480" s="888"/>
      <c r="K2480" s="888"/>
      <c r="L2480" s="888"/>
      <c r="M2480" s="888"/>
      <c r="N2480" s="888"/>
      <c r="O2480" s="888"/>
      <c r="P2480" s="888"/>
      <c r="Q2480" s="888"/>
      <c r="R2480" s="888"/>
    </row>
    <row r="2481" spans="1:18" s="893" customFormat="1" x14ac:dyDescent="0.3">
      <c r="A2481" s="888" t="str">
        <f>IF(LEN('Translation-EN'!A2481)&gt;0,'Translation-EN'!A2481,"")</f>
        <v>Range</v>
      </c>
      <c r="B2481" s="888" t="str">
        <f>IF(LEN('Translation-EN'!B2481)&gt;0,'Translation-EN'!B2481,"")</f>
        <v>Master sheet</v>
      </c>
      <c r="C2481" s="888" t="str">
        <f>IF(LEN('Translation-EN'!C2481)&gt;0,'Translation-EN'!C2481,"")</f>
        <v>E431</v>
      </c>
      <c r="D2481" s="888" t="str">
        <f>IF(LEN('Translation-EN'!D2481)&gt;0,'Translation-EN'!D2481,"")</f>
        <v/>
      </c>
      <c r="E2481" s="893" t="s">
        <v>6478</v>
      </c>
      <c r="I2481" s="888"/>
      <c r="J2481" s="888"/>
      <c r="K2481" s="888"/>
      <c r="L2481" s="888"/>
      <c r="M2481" s="888"/>
      <c r="N2481" s="888"/>
      <c r="O2481" s="888"/>
      <c r="P2481" s="888"/>
      <c r="Q2481" s="888"/>
      <c r="R2481" s="888"/>
    </row>
    <row r="2482" spans="1:18" s="893" customFormat="1" x14ac:dyDescent="0.3">
      <c r="A2482" s="888" t="str">
        <f>IF(LEN('Translation-EN'!A2482)&gt;0,'Translation-EN'!A2482,"")</f>
        <v>Range</v>
      </c>
      <c r="B2482" s="888" t="str">
        <f>IF(LEN('Translation-EN'!B2482)&gt;0,'Translation-EN'!B2482,"")</f>
        <v>Master sheet</v>
      </c>
      <c r="C2482" s="888" t="str">
        <f>IF(LEN('Translation-EN'!C2482)&gt;0,'Translation-EN'!C2482,"")</f>
        <v>B432</v>
      </c>
      <c r="D2482" s="888" t="str">
        <f>IF(LEN('Translation-EN'!D2482)&gt;0,'Translation-EN'!D2482,"")</f>
        <v/>
      </c>
      <c r="E2482" s="893" t="s">
        <v>6479</v>
      </c>
      <c r="I2482" s="888"/>
      <c r="J2482" s="888"/>
      <c r="K2482" s="888"/>
      <c r="L2482" s="888"/>
      <c r="M2482" s="888"/>
      <c r="N2482" s="888"/>
      <c r="O2482" s="888"/>
      <c r="P2482" s="888"/>
      <c r="Q2482" s="888"/>
      <c r="R2482" s="888"/>
    </row>
    <row r="2483" spans="1:18" s="893" customFormat="1" x14ac:dyDescent="0.3">
      <c r="A2483" s="888" t="str">
        <f>IF(LEN('Translation-EN'!A2483)&gt;0,'Translation-EN'!A2483,"")</f>
        <v>Range</v>
      </c>
      <c r="B2483" s="888" t="str">
        <f>IF(LEN('Translation-EN'!B2483)&gt;0,'Translation-EN'!B2483,"")</f>
        <v>Master sheet</v>
      </c>
      <c r="C2483" s="888" t="str">
        <f>IF(LEN('Translation-EN'!C2483)&gt;0,'Translation-EN'!C2483,"")</f>
        <v>B433</v>
      </c>
      <c r="D2483" s="888" t="str">
        <f>IF(LEN('Translation-EN'!D2483)&gt;0,'Translation-EN'!D2483,"")</f>
        <v/>
      </c>
      <c r="E2483" s="893" t="str">
        <f t="shared" ref="E2483:E2492" si="0">$E$2482</f>
        <v>De la feuille maîtresse composite</v>
      </c>
      <c r="I2483" s="888"/>
      <c r="J2483" s="888"/>
      <c r="K2483" s="888"/>
      <c r="L2483" s="888"/>
      <c r="M2483" s="888"/>
      <c r="N2483" s="888"/>
      <c r="O2483" s="888"/>
      <c r="P2483" s="888"/>
      <c r="Q2483" s="888"/>
      <c r="R2483" s="888"/>
    </row>
    <row r="2484" spans="1:18" s="893" customFormat="1" x14ac:dyDescent="0.3">
      <c r="A2484" s="888" t="str">
        <f>IF(LEN('Translation-EN'!A2484)&gt;0,'Translation-EN'!A2484,"")</f>
        <v>Range</v>
      </c>
      <c r="B2484" s="888" t="str">
        <f>IF(LEN('Translation-EN'!B2484)&gt;0,'Translation-EN'!B2484,"")</f>
        <v>Master sheet</v>
      </c>
      <c r="C2484" s="888" t="str">
        <f>IF(LEN('Translation-EN'!C2484)&gt;0,'Translation-EN'!C2484,"")</f>
        <v>B434</v>
      </c>
      <c r="D2484" s="888" t="str">
        <f>IF(LEN('Translation-EN'!D2484)&gt;0,'Translation-EN'!D2484,"")</f>
        <v/>
      </c>
      <c r="E2484" s="893" t="str">
        <f t="shared" si="0"/>
        <v>De la feuille maîtresse composite</v>
      </c>
      <c r="I2484" s="888"/>
      <c r="J2484" s="888"/>
      <c r="K2484" s="888"/>
      <c r="L2484" s="888"/>
      <c r="M2484" s="888"/>
      <c r="N2484" s="888"/>
      <c r="O2484" s="888"/>
      <c r="P2484" s="888"/>
      <c r="Q2484" s="888"/>
      <c r="R2484" s="888"/>
    </row>
    <row r="2485" spans="1:18" s="893" customFormat="1" x14ac:dyDescent="0.3">
      <c r="A2485" s="888" t="str">
        <f>IF(LEN('Translation-EN'!A2485)&gt;0,'Translation-EN'!A2485,"")</f>
        <v>Range</v>
      </c>
      <c r="B2485" s="888" t="str">
        <f>IF(LEN('Translation-EN'!B2485)&gt;0,'Translation-EN'!B2485,"")</f>
        <v>Master sheet</v>
      </c>
      <c r="C2485" s="888" t="str">
        <f>IF(LEN('Translation-EN'!C2485)&gt;0,'Translation-EN'!C2485,"")</f>
        <v>B435</v>
      </c>
      <c r="D2485" s="888" t="str">
        <f>IF(LEN('Translation-EN'!D2485)&gt;0,'Translation-EN'!D2485,"")</f>
        <v/>
      </c>
      <c r="E2485" s="893" t="str">
        <f t="shared" si="0"/>
        <v>De la feuille maîtresse composite</v>
      </c>
      <c r="I2485" s="888"/>
      <c r="J2485" s="888"/>
      <c r="K2485" s="888"/>
      <c r="L2485" s="888"/>
      <c r="M2485" s="888"/>
      <c r="N2485" s="888"/>
      <c r="O2485" s="888"/>
      <c r="P2485" s="888"/>
      <c r="Q2485" s="888"/>
      <c r="R2485" s="888"/>
    </row>
    <row r="2486" spans="1:18" s="893" customFormat="1" x14ac:dyDescent="0.3">
      <c r="A2486" s="888" t="str">
        <f>IF(LEN('Translation-EN'!A2486)&gt;0,'Translation-EN'!A2486,"")</f>
        <v>Range</v>
      </c>
      <c r="B2486" s="888" t="str">
        <f>IF(LEN('Translation-EN'!B2486)&gt;0,'Translation-EN'!B2486,"")</f>
        <v>Master sheet</v>
      </c>
      <c r="C2486" s="888" t="str">
        <f>IF(LEN('Translation-EN'!C2486)&gt;0,'Translation-EN'!C2486,"")</f>
        <v>B436</v>
      </c>
      <c r="D2486" s="888" t="str">
        <f>IF(LEN('Translation-EN'!D2486)&gt;0,'Translation-EN'!D2486,"")</f>
        <v/>
      </c>
      <c r="E2486" s="893" t="str">
        <f t="shared" si="0"/>
        <v>De la feuille maîtresse composite</v>
      </c>
      <c r="I2486" s="888"/>
      <c r="J2486" s="888"/>
      <c r="K2486" s="888"/>
      <c r="L2486" s="888"/>
      <c r="M2486" s="888"/>
      <c r="N2486" s="888"/>
      <c r="O2486" s="888"/>
      <c r="P2486" s="888"/>
      <c r="Q2486" s="888"/>
      <c r="R2486" s="888"/>
    </row>
    <row r="2487" spans="1:18" s="893" customFormat="1" x14ac:dyDescent="0.3">
      <c r="A2487" s="888" t="str">
        <f>IF(LEN('Translation-EN'!A2487)&gt;0,'Translation-EN'!A2487,"")</f>
        <v>Range</v>
      </c>
      <c r="B2487" s="888" t="str">
        <f>IF(LEN('Translation-EN'!B2487)&gt;0,'Translation-EN'!B2487,"")</f>
        <v>Master sheet</v>
      </c>
      <c r="C2487" s="888" t="str">
        <f>IF(LEN('Translation-EN'!C2487)&gt;0,'Translation-EN'!C2487,"")</f>
        <v>B437</v>
      </c>
      <c r="D2487" s="888" t="str">
        <f>IF(LEN('Translation-EN'!D2487)&gt;0,'Translation-EN'!D2487,"")</f>
        <v/>
      </c>
      <c r="E2487" s="893" t="str">
        <f t="shared" si="0"/>
        <v>De la feuille maîtresse composite</v>
      </c>
      <c r="I2487" s="888"/>
      <c r="J2487" s="888"/>
      <c r="K2487" s="888"/>
      <c r="L2487" s="888"/>
      <c r="M2487" s="888"/>
      <c r="N2487" s="888"/>
      <c r="O2487" s="888"/>
      <c r="P2487" s="888"/>
      <c r="Q2487" s="888"/>
      <c r="R2487" s="888"/>
    </row>
    <row r="2488" spans="1:18" s="893" customFormat="1" x14ac:dyDescent="0.3">
      <c r="A2488" s="888" t="str">
        <f>IF(LEN('Translation-EN'!A2488)&gt;0,'Translation-EN'!A2488,"")</f>
        <v>Range</v>
      </c>
      <c r="B2488" s="888" t="str">
        <f>IF(LEN('Translation-EN'!B2488)&gt;0,'Translation-EN'!B2488,"")</f>
        <v>Master sheet</v>
      </c>
      <c r="C2488" s="888" t="str">
        <f>IF(LEN('Translation-EN'!C2488)&gt;0,'Translation-EN'!C2488,"")</f>
        <v>B438</v>
      </c>
      <c r="D2488" s="888" t="str">
        <f>IF(LEN('Translation-EN'!D2488)&gt;0,'Translation-EN'!D2488,"")</f>
        <v/>
      </c>
      <c r="E2488" s="893" t="str">
        <f t="shared" si="0"/>
        <v>De la feuille maîtresse composite</v>
      </c>
      <c r="I2488" s="888"/>
      <c r="J2488" s="888"/>
      <c r="K2488" s="888"/>
      <c r="L2488" s="888"/>
      <c r="M2488" s="888"/>
      <c r="N2488" s="888"/>
      <c r="O2488" s="888"/>
      <c r="P2488" s="888"/>
      <c r="Q2488" s="888"/>
      <c r="R2488" s="888"/>
    </row>
    <row r="2489" spans="1:18" s="893" customFormat="1" x14ac:dyDescent="0.3">
      <c r="A2489" s="888" t="str">
        <f>IF(LEN('Translation-EN'!A2489)&gt;0,'Translation-EN'!A2489,"")</f>
        <v>Range</v>
      </c>
      <c r="B2489" s="888" t="str">
        <f>IF(LEN('Translation-EN'!B2489)&gt;0,'Translation-EN'!B2489,"")</f>
        <v>Master sheet</v>
      </c>
      <c r="C2489" s="888" t="str">
        <f>IF(LEN('Translation-EN'!C2489)&gt;0,'Translation-EN'!C2489,"")</f>
        <v>B439</v>
      </c>
      <c r="D2489" s="888" t="str">
        <f>IF(LEN('Translation-EN'!D2489)&gt;0,'Translation-EN'!D2489,"")</f>
        <v/>
      </c>
      <c r="E2489" s="893" t="str">
        <f t="shared" si="0"/>
        <v>De la feuille maîtresse composite</v>
      </c>
      <c r="I2489" s="888"/>
      <c r="J2489" s="888"/>
      <c r="K2489" s="888"/>
      <c r="L2489" s="888"/>
      <c r="M2489" s="888"/>
      <c r="N2489" s="888"/>
      <c r="O2489" s="888"/>
      <c r="P2489" s="888"/>
      <c r="Q2489" s="888"/>
      <c r="R2489" s="888"/>
    </row>
    <row r="2490" spans="1:18" s="893" customFormat="1" x14ac:dyDescent="0.3">
      <c r="A2490" s="888" t="str">
        <f>IF(LEN('Translation-EN'!A2490)&gt;0,'Translation-EN'!A2490,"")</f>
        <v>Range</v>
      </c>
      <c r="B2490" s="888" t="str">
        <f>IF(LEN('Translation-EN'!B2490)&gt;0,'Translation-EN'!B2490,"")</f>
        <v>Master sheet</v>
      </c>
      <c r="C2490" s="888" t="str">
        <f>IF(LEN('Translation-EN'!C2490)&gt;0,'Translation-EN'!C2490,"")</f>
        <v>B440</v>
      </c>
      <c r="D2490" s="888" t="str">
        <f>IF(LEN('Translation-EN'!D2490)&gt;0,'Translation-EN'!D2490,"")</f>
        <v/>
      </c>
      <c r="E2490" s="893" t="str">
        <f t="shared" si="0"/>
        <v>De la feuille maîtresse composite</v>
      </c>
      <c r="I2490" s="888"/>
      <c r="J2490" s="888"/>
      <c r="K2490" s="888"/>
      <c r="L2490" s="888"/>
      <c r="M2490" s="888"/>
      <c r="N2490" s="888"/>
      <c r="O2490" s="888"/>
      <c r="P2490" s="888"/>
      <c r="Q2490" s="888"/>
      <c r="R2490" s="888"/>
    </row>
    <row r="2491" spans="1:18" s="893" customFormat="1" x14ac:dyDescent="0.3">
      <c r="A2491" s="888" t="str">
        <f>IF(LEN('Translation-EN'!A2491)&gt;0,'Translation-EN'!A2491,"")</f>
        <v>Range</v>
      </c>
      <c r="B2491" s="888" t="str">
        <f>IF(LEN('Translation-EN'!B2491)&gt;0,'Translation-EN'!B2491,"")</f>
        <v>Master sheet</v>
      </c>
      <c r="C2491" s="888" t="str">
        <f>IF(LEN('Translation-EN'!C2491)&gt;0,'Translation-EN'!C2491,"")</f>
        <v>B441</v>
      </c>
      <c r="D2491" s="888" t="str">
        <f>IF(LEN('Translation-EN'!D2491)&gt;0,'Translation-EN'!D2491,"")</f>
        <v/>
      </c>
      <c r="E2491" s="893" t="str">
        <f t="shared" si="0"/>
        <v>De la feuille maîtresse composite</v>
      </c>
      <c r="I2491" s="888"/>
      <c r="J2491" s="888"/>
      <c r="K2491" s="888"/>
      <c r="L2491" s="888"/>
      <c r="M2491" s="888"/>
      <c r="N2491" s="888"/>
      <c r="O2491" s="888"/>
      <c r="P2491" s="888"/>
      <c r="Q2491" s="888"/>
      <c r="R2491" s="888"/>
    </row>
    <row r="2492" spans="1:18" s="893" customFormat="1" x14ac:dyDescent="0.3">
      <c r="A2492" s="888" t="str">
        <f>IF(LEN('Translation-EN'!A2492)&gt;0,'Translation-EN'!A2492,"")</f>
        <v>Range</v>
      </c>
      <c r="B2492" s="888" t="str">
        <f>IF(LEN('Translation-EN'!B2492)&gt;0,'Translation-EN'!B2492,"")</f>
        <v>Master sheet</v>
      </c>
      <c r="C2492" s="888" t="str">
        <f>IF(LEN('Translation-EN'!C2492)&gt;0,'Translation-EN'!C2492,"")</f>
        <v>B442</v>
      </c>
      <c r="D2492" s="888" t="str">
        <f>IF(LEN('Translation-EN'!D2492)&gt;0,'Translation-EN'!D2492,"")</f>
        <v/>
      </c>
      <c r="E2492" s="893" t="str">
        <f t="shared" si="0"/>
        <v>De la feuille maîtresse composite</v>
      </c>
      <c r="I2492" s="888"/>
      <c r="J2492" s="888"/>
      <c r="K2492" s="888"/>
      <c r="L2492" s="888"/>
      <c r="M2492" s="888"/>
      <c r="N2492" s="888"/>
      <c r="O2492" s="888"/>
      <c r="P2492" s="888"/>
      <c r="Q2492" s="888"/>
      <c r="R2492" s="888"/>
    </row>
    <row r="2493" spans="1:18" s="893" customFormat="1" x14ac:dyDescent="0.3">
      <c r="A2493" s="888" t="str">
        <f>IF(LEN('Translation-EN'!A2493)&gt;0,'Translation-EN'!A2493,"")</f>
        <v>Range</v>
      </c>
      <c r="B2493" s="888" t="str">
        <f>IF(LEN('Translation-EN'!B2493)&gt;0,'Translation-EN'!B2493,"")</f>
        <v>Master sheet</v>
      </c>
      <c r="C2493" s="888" t="str">
        <f>IF(LEN('Translation-EN'!C2493)&gt;0,'Translation-EN'!C2493,"")</f>
        <v>B443</v>
      </c>
      <c r="D2493" s="888" t="str">
        <f>IF(LEN('Translation-EN'!D2493)&gt;0,'Translation-EN'!D2493,"")</f>
        <v/>
      </c>
      <c r="E2493" s="893" t="s">
        <v>6480</v>
      </c>
      <c r="I2493" s="888"/>
      <c r="J2493" s="888"/>
      <c r="K2493" s="888"/>
      <c r="L2493" s="888"/>
      <c r="M2493" s="888"/>
      <c r="N2493" s="888"/>
      <c r="O2493" s="888"/>
      <c r="P2493" s="888"/>
      <c r="Q2493" s="888"/>
      <c r="R2493" s="888"/>
    </row>
    <row r="2494" spans="1:18" s="893" customFormat="1" x14ac:dyDescent="0.3">
      <c r="A2494" s="888" t="str">
        <f>IF(LEN('Translation-EN'!A2494)&gt;0,'Translation-EN'!A2494,"")</f>
        <v>Range</v>
      </c>
      <c r="B2494" s="888" t="str">
        <f>IF(LEN('Translation-EN'!B2494)&gt;0,'Translation-EN'!B2494,"")</f>
        <v>Master sheet</v>
      </c>
      <c r="C2494" s="888" t="str">
        <f>IF(LEN('Translation-EN'!C2494)&gt;0,'Translation-EN'!C2494,"")</f>
        <v>C443</v>
      </c>
      <c r="D2494" s="888" t="str">
        <f>IF(LEN('Translation-EN'!D2494)&gt;0,'Translation-EN'!D2494,"")</f>
        <v/>
      </c>
      <c r="E2494" s="893" t="s">
        <v>3542</v>
      </c>
      <c r="I2494" s="888"/>
      <c r="J2494" s="888"/>
      <c r="K2494" s="888"/>
      <c r="L2494" s="888"/>
      <c r="M2494" s="888"/>
      <c r="N2494" s="888"/>
      <c r="O2494" s="888"/>
      <c r="P2494" s="888"/>
      <c r="Q2494" s="888"/>
      <c r="R2494" s="888"/>
    </row>
    <row r="2495" spans="1:18" s="893" customFormat="1" x14ac:dyDescent="0.3">
      <c r="A2495" s="888" t="str">
        <f>IF(LEN('Translation-EN'!A2495)&gt;0,'Translation-EN'!A2495,"")</f>
        <v>Range</v>
      </c>
      <c r="B2495" s="888" t="str">
        <f>IF(LEN('Translation-EN'!B2495)&gt;0,'Translation-EN'!B2495,"")</f>
        <v>Master sheet</v>
      </c>
      <c r="C2495" s="888" t="str">
        <f>IF(LEN('Translation-EN'!C2495)&gt;0,'Translation-EN'!C2495,"")</f>
        <v>D443</v>
      </c>
      <c r="D2495" s="888" t="str">
        <f>IF(LEN('Translation-EN'!D2495)&gt;0,'Translation-EN'!D2495,"")</f>
        <v/>
      </c>
      <c r="E2495" s="893" t="s">
        <v>6481</v>
      </c>
      <c r="I2495" s="888"/>
      <c r="J2495" s="888"/>
      <c r="K2495" s="888"/>
      <c r="L2495" s="888"/>
      <c r="M2495" s="888"/>
      <c r="N2495" s="888"/>
      <c r="O2495" s="888"/>
      <c r="P2495" s="888"/>
      <c r="Q2495" s="888"/>
      <c r="R2495" s="888"/>
    </row>
    <row r="2496" spans="1:18" s="893" customFormat="1" x14ac:dyDescent="0.3">
      <c r="A2496" s="888" t="str">
        <f>IF(LEN('Translation-EN'!A2496)&gt;0,'Translation-EN'!A2496,"")</f>
        <v>Range</v>
      </c>
      <c r="B2496" s="888" t="str">
        <f>IF(LEN('Translation-EN'!B2496)&gt;0,'Translation-EN'!B2496,"")</f>
        <v>Master sheet</v>
      </c>
      <c r="C2496" s="888" t="str">
        <f>IF(LEN('Translation-EN'!C2496)&gt;0,'Translation-EN'!C2496,"")</f>
        <v>B444</v>
      </c>
      <c r="D2496" s="888" t="str">
        <f>IF(LEN('Translation-EN'!D2496)&gt;0,'Translation-EN'!D2496,"")</f>
        <v/>
      </c>
      <c r="E2496" s="893" t="s">
        <v>6482</v>
      </c>
      <c r="I2496" s="888"/>
      <c r="J2496" s="888"/>
      <c r="K2496" s="888"/>
      <c r="L2496" s="888"/>
      <c r="M2496" s="888"/>
      <c r="N2496" s="888"/>
      <c r="O2496" s="888"/>
      <c r="P2496" s="888"/>
      <c r="Q2496" s="888"/>
      <c r="R2496" s="888"/>
    </row>
    <row r="2497" spans="1:18" s="893" customFormat="1" x14ac:dyDescent="0.3">
      <c r="A2497" s="888" t="str">
        <f>IF(LEN('Translation-EN'!A2497)&gt;0,'Translation-EN'!A2497,"")</f>
        <v>Range</v>
      </c>
      <c r="B2497" s="888" t="str">
        <f>IF(LEN('Translation-EN'!B2497)&gt;0,'Translation-EN'!B2497,"")</f>
        <v>Master sheet</v>
      </c>
      <c r="C2497" s="888" t="str">
        <f>IF(LEN('Translation-EN'!C2497)&gt;0,'Translation-EN'!C2497,"")</f>
        <v>C444</v>
      </c>
      <c r="D2497" s="888" t="str">
        <f>IF(LEN('Translation-EN'!D2497)&gt;0,'Translation-EN'!D2497,"")</f>
        <v/>
      </c>
      <c r="E2497" s="893" t="str">
        <f>$E$2494</f>
        <v>ABQ</v>
      </c>
      <c r="I2497" s="888"/>
      <c r="J2497" s="888"/>
      <c r="K2497" s="888"/>
      <c r="L2497" s="888"/>
      <c r="M2497" s="888"/>
      <c r="N2497" s="888"/>
      <c r="O2497" s="888"/>
      <c r="P2497" s="888"/>
      <c r="Q2497" s="888"/>
      <c r="R2497" s="888"/>
    </row>
    <row r="2498" spans="1:18" s="893" customFormat="1" x14ac:dyDescent="0.3">
      <c r="A2498" s="888" t="str">
        <f>IF(LEN('Translation-EN'!A2498)&gt;0,'Translation-EN'!A2498,"")</f>
        <v>Range</v>
      </c>
      <c r="B2498" s="888" t="str">
        <f>IF(LEN('Translation-EN'!B2498)&gt;0,'Translation-EN'!B2498,"")</f>
        <v>Master sheet</v>
      </c>
      <c r="C2498" s="888" t="str">
        <f>IF(LEN('Translation-EN'!C2498)&gt;0,'Translation-EN'!C2498,"")</f>
        <v>D444</v>
      </c>
      <c r="D2498" s="888" t="str">
        <f>IF(LEN('Translation-EN'!D2498)&gt;0,'Translation-EN'!D2498,"")</f>
        <v/>
      </c>
      <c r="E2498" s="893" t="str">
        <f>$E$2495</f>
        <v>Can. Moyenne Québec</v>
      </c>
      <c r="I2498" s="888"/>
      <c r="J2498" s="888"/>
      <c r="K2498" s="888"/>
      <c r="L2498" s="888"/>
      <c r="M2498" s="888"/>
      <c r="N2498" s="888"/>
      <c r="O2498" s="888"/>
      <c r="P2498" s="888"/>
      <c r="Q2498" s="888"/>
      <c r="R2498" s="888"/>
    </row>
    <row r="2499" spans="1:18" s="893" customFormat="1" x14ac:dyDescent="0.3">
      <c r="A2499" s="888" t="str">
        <f>IF(LEN('Translation-EN'!A2499)&gt;0,'Translation-EN'!A2499,"")</f>
        <v>Range</v>
      </c>
      <c r="B2499" s="888" t="str">
        <f>IF(LEN('Translation-EN'!B2499)&gt;0,'Translation-EN'!B2499,"")</f>
        <v>Master sheet</v>
      </c>
      <c r="C2499" s="888" t="str">
        <f>IF(LEN('Translation-EN'!C2499)&gt;0,'Translation-EN'!C2499,"")</f>
        <v>B445</v>
      </c>
      <c r="D2499" s="888" t="str">
        <f>IF(LEN('Translation-EN'!D2499)&gt;0,'Translation-EN'!D2499,"")</f>
        <v/>
      </c>
      <c r="E2499" s="893" t="s">
        <v>6483</v>
      </c>
      <c r="I2499" s="888"/>
      <c r="J2499" s="888"/>
      <c r="K2499" s="888"/>
      <c r="L2499" s="888"/>
      <c r="M2499" s="888"/>
      <c r="N2499" s="888"/>
      <c r="O2499" s="888"/>
      <c r="P2499" s="888"/>
      <c r="Q2499" s="888"/>
      <c r="R2499" s="888"/>
    </row>
    <row r="2500" spans="1:18" s="893" customFormat="1" x14ac:dyDescent="0.3">
      <c r="A2500" s="888" t="str">
        <f>IF(LEN('Translation-EN'!A2500)&gt;0,'Translation-EN'!A2500,"")</f>
        <v>Range</v>
      </c>
      <c r="B2500" s="888" t="str">
        <f>IF(LEN('Translation-EN'!B2500)&gt;0,'Translation-EN'!B2500,"")</f>
        <v>Master sheet</v>
      </c>
      <c r="C2500" s="888" t="str">
        <f>IF(LEN('Translation-EN'!C2500)&gt;0,'Translation-EN'!C2500,"")</f>
        <v>C445</v>
      </c>
      <c r="D2500" s="888" t="str">
        <f>IF(LEN('Translation-EN'!D2500)&gt;0,'Translation-EN'!D2500,"")</f>
        <v/>
      </c>
      <c r="E2500" s="893" t="str">
        <f>$E$2494</f>
        <v>ABQ</v>
      </c>
      <c r="I2500" s="888"/>
      <c r="J2500" s="888"/>
      <c r="K2500" s="888"/>
      <c r="L2500" s="888"/>
      <c r="M2500" s="888"/>
      <c r="N2500" s="888"/>
      <c r="O2500" s="888"/>
      <c r="P2500" s="888"/>
      <c r="Q2500" s="888"/>
      <c r="R2500" s="888"/>
    </row>
    <row r="2501" spans="1:18" s="893" customFormat="1" x14ac:dyDescent="0.3">
      <c r="A2501" s="888" t="str">
        <f>IF(LEN('Translation-EN'!A2501)&gt;0,'Translation-EN'!A2501,"")</f>
        <v>Range</v>
      </c>
      <c r="B2501" s="888" t="str">
        <f>IF(LEN('Translation-EN'!B2501)&gt;0,'Translation-EN'!B2501,"")</f>
        <v>Master sheet</v>
      </c>
      <c r="C2501" s="888" t="str">
        <f>IF(LEN('Translation-EN'!C2501)&gt;0,'Translation-EN'!C2501,"")</f>
        <v>D445</v>
      </c>
      <c r="D2501" s="888" t="str">
        <f>IF(LEN('Translation-EN'!D2501)&gt;0,'Translation-EN'!D2501,"")</f>
        <v/>
      </c>
      <c r="E2501" s="893" t="str">
        <f>$E$2495</f>
        <v>Can. Moyenne Québec</v>
      </c>
      <c r="I2501" s="888"/>
      <c r="J2501" s="888"/>
      <c r="K2501" s="888"/>
      <c r="L2501" s="888"/>
      <c r="M2501" s="888"/>
      <c r="N2501" s="888"/>
      <c r="O2501" s="888"/>
      <c r="P2501" s="888"/>
      <c r="Q2501" s="888"/>
      <c r="R2501" s="888"/>
    </row>
    <row r="2502" spans="1:18" s="893" customFormat="1" x14ac:dyDescent="0.3">
      <c r="A2502" s="888" t="str">
        <f>IF(LEN('Translation-EN'!A2502)&gt;0,'Translation-EN'!A2502,"")</f>
        <v>Range</v>
      </c>
      <c r="B2502" s="888" t="str">
        <f>IF(LEN('Translation-EN'!B2502)&gt;0,'Translation-EN'!B2502,"")</f>
        <v>Master sheet</v>
      </c>
      <c r="C2502" s="888" t="str">
        <f>IF(LEN('Translation-EN'!C2502)&gt;0,'Translation-EN'!C2502,"")</f>
        <v>B446</v>
      </c>
      <c r="D2502" s="888" t="str">
        <f>IF(LEN('Translation-EN'!D2502)&gt;0,'Translation-EN'!D2502,"")</f>
        <v/>
      </c>
      <c r="E2502" s="893" t="s">
        <v>6484</v>
      </c>
      <c r="I2502" s="888"/>
      <c r="J2502" s="888"/>
      <c r="K2502" s="888"/>
      <c r="L2502" s="888"/>
      <c r="M2502" s="888"/>
      <c r="N2502" s="888"/>
      <c r="O2502" s="888"/>
      <c r="P2502" s="888"/>
      <c r="Q2502" s="888"/>
      <c r="R2502" s="888"/>
    </row>
    <row r="2503" spans="1:18" s="893" customFormat="1" x14ac:dyDescent="0.3">
      <c r="A2503" s="888" t="str">
        <f>IF(LEN('Translation-EN'!A2503)&gt;0,'Translation-EN'!A2503,"")</f>
        <v>Range</v>
      </c>
      <c r="B2503" s="888" t="str">
        <f>IF(LEN('Translation-EN'!B2503)&gt;0,'Translation-EN'!B2503,"")</f>
        <v>Master sheet</v>
      </c>
      <c r="C2503" s="888" t="str">
        <f>IF(LEN('Translation-EN'!C2503)&gt;0,'Translation-EN'!C2503,"")</f>
        <v>C446</v>
      </c>
      <c r="D2503" s="888" t="str">
        <f>IF(LEN('Translation-EN'!D2503)&gt;0,'Translation-EN'!D2503,"")</f>
        <v/>
      </c>
      <c r="E2503" s="893" t="str">
        <f>$E$2494</f>
        <v>ABQ</v>
      </c>
      <c r="I2503" s="888"/>
      <c r="J2503" s="888"/>
      <c r="K2503" s="888"/>
      <c r="L2503" s="888"/>
      <c r="M2503" s="888"/>
      <c r="N2503" s="888"/>
      <c r="O2503" s="888"/>
      <c r="P2503" s="888"/>
      <c r="Q2503" s="888"/>
      <c r="R2503" s="888"/>
    </row>
    <row r="2504" spans="1:18" s="893" customFormat="1" x14ac:dyDescent="0.3">
      <c r="A2504" s="888" t="str">
        <f>IF(LEN('Translation-EN'!A2504)&gt;0,'Translation-EN'!A2504,"")</f>
        <v>Range</v>
      </c>
      <c r="B2504" s="888" t="str">
        <f>IF(LEN('Translation-EN'!B2504)&gt;0,'Translation-EN'!B2504,"")</f>
        <v>Master sheet</v>
      </c>
      <c r="C2504" s="888" t="str">
        <f>IF(LEN('Translation-EN'!C2504)&gt;0,'Translation-EN'!C2504,"")</f>
        <v>D446</v>
      </c>
      <c r="D2504" s="888" t="str">
        <f>IF(LEN('Translation-EN'!D2504)&gt;0,'Translation-EN'!D2504,"")</f>
        <v/>
      </c>
      <c r="E2504" s="893" t="str">
        <f>$E$2495</f>
        <v>Can. Moyenne Québec</v>
      </c>
      <c r="I2504" s="888"/>
      <c r="J2504" s="888"/>
      <c r="K2504" s="888"/>
      <c r="L2504" s="888"/>
      <c r="M2504" s="888"/>
      <c r="N2504" s="888"/>
      <c r="O2504" s="888"/>
      <c r="P2504" s="888"/>
      <c r="Q2504" s="888"/>
      <c r="R2504" s="888"/>
    </row>
    <row r="2505" spans="1:18" s="893" customFormat="1" x14ac:dyDescent="0.3">
      <c r="A2505" s="888" t="str">
        <f>IF(LEN('Translation-EN'!A2505)&gt;0,'Translation-EN'!A2505,"")</f>
        <v>Range</v>
      </c>
      <c r="B2505" s="888" t="str">
        <f>IF(LEN('Translation-EN'!B2505)&gt;0,'Translation-EN'!B2505,"")</f>
        <v>Master sheet</v>
      </c>
      <c r="C2505" s="888" t="str">
        <f>IF(LEN('Translation-EN'!C2505)&gt;0,'Translation-EN'!C2505,"")</f>
        <v>B447</v>
      </c>
      <c r="D2505" s="888" t="str">
        <f>IF(LEN('Translation-EN'!D2505)&gt;0,'Translation-EN'!D2505,"")</f>
        <v/>
      </c>
      <c r="E2505" s="893" t="s">
        <v>6485</v>
      </c>
      <c r="I2505" s="888"/>
      <c r="J2505" s="888"/>
      <c r="K2505" s="888"/>
      <c r="L2505" s="888"/>
      <c r="M2505" s="888"/>
      <c r="N2505" s="888"/>
      <c r="O2505" s="888"/>
      <c r="P2505" s="888"/>
      <c r="Q2505" s="888"/>
      <c r="R2505" s="888"/>
    </row>
    <row r="2506" spans="1:18" s="893" customFormat="1" x14ac:dyDescent="0.3">
      <c r="A2506" s="888" t="str">
        <f>IF(LEN('Translation-EN'!A2506)&gt;0,'Translation-EN'!A2506,"")</f>
        <v>Range</v>
      </c>
      <c r="B2506" s="888" t="str">
        <f>IF(LEN('Translation-EN'!B2506)&gt;0,'Translation-EN'!B2506,"")</f>
        <v>Master sheet</v>
      </c>
      <c r="C2506" s="888" t="str">
        <f>IF(LEN('Translation-EN'!C2506)&gt;0,'Translation-EN'!C2506,"")</f>
        <v>C447</v>
      </c>
      <c r="D2506" s="888" t="str">
        <f>IF(LEN('Translation-EN'!D2506)&gt;0,'Translation-EN'!D2506,"")</f>
        <v/>
      </c>
      <c r="E2506" s="893" t="str">
        <f>$E$2494</f>
        <v>ABQ</v>
      </c>
      <c r="I2506" s="888"/>
      <c r="J2506" s="888"/>
      <c r="K2506" s="888"/>
      <c r="L2506" s="888"/>
      <c r="M2506" s="888"/>
      <c r="N2506" s="888"/>
      <c r="O2506" s="888"/>
      <c r="P2506" s="888"/>
      <c r="Q2506" s="888"/>
      <c r="R2506" s="888"/>
    </row>
    <row r="2507" spans="1:18" s="893" customFormat="1" x14ac:dyDescent="0.3">
      <c r="A2507" s="888" t="str">
        <f>IF(LEN('Translation-EN'!A2507)&gt;0,'Translation-EN'!A2507,"")</f>
        <v>Range</v>
      </c>
      <c r="B2507" s="888" t="str">
        <f>IF(LEN('Translation-EN'!B2507)&gt;0,'Translation-EN'!B2507,"")</f>
        <v>Master sheet</v>
      </c>
      <c r="C2507" s="888" t="str">
        <f>IF(LEN('Translation-EN'!C2507)&gt;0,'Translation-EN'!C2507,"")</f>
        <v>D447</v>
      </c>
      <c r="D2507" s="888" t="str">
        <f>IF(LEN('Translation-EN'!D2507)&gt;0,'Translation-EN'!D2507,"")</f>
        <v/>
      </c>
      <c r="E2507" s="893" t="str">
        <f>$E$2495</f>
        <v>Can. Moyenne Québec</v>
      </c>
      <c r="I2507" s="888"/>
      <c r="J2507" s="888"/>
      <c r="K2507" s="888"/>
      <c r="L2507" s="888"/>
      <c r="M2507" s="888"/>
      <c r="N2507" s="888"/>
      <c r="O2507" s="888"/>
      <c r="P2507" s="888"/>
      <c r="Q2507" s="888"/>
      <c r="R2507" s="888"/>
    </row>
    <row r="2508" spans="1:18" s="893" customFormat="1" x14ac:dyDescent="0.3">
      <c r="A2508" s="888" t="str">
        <f>IF(LEN('Translation-EN'!A2508)&gt;0,'Translation-EN'!A2508,"")</f>
        <v>Range</v>
      </c>
      <c r="B2508" s="888" t="str">
        <f>IF(LEN('Translation-EN'!B2508)&gt;0,'Translation-EN'!B2508,"")</f>
        <v>Master sheet</v>
      </c>
      <c r="C2508" s="888" t="str">
        <f>IF(LEN('Translation-EN'!C2508)&gt;0,'Translation-EN'!C2508,"")</f>
        <v>B448</v>
      </c>
      <c r="D2508" s="888" t="str">
        <f>IF(LEN('Translation-EN'!D2508)&gt;0,'Translation-EN'!D2508,"")</f>
        <v/>
      </c>
      <c r="E2508" s="893" t="s">
        <v>6486</v>
      </c>
      <c r="I2508" s="888"/>
      <c r="J2508" s="888"/>
      <c r="K2508" s="888"/>
      <c r="L2508" s="888"/>
      <c r="M2508" s="888"/>
      <c r="N2508" s="888"/>
      <c r="O2508" s="888"/>
      <c r="P2508" s="888"/>
      <c r="Q2508" s="888"/>
      <c r="R2508" s="888"/>
    </row>
    <row r="2509" spans="1:18" s="893" customFormat="1" x14ac:dyDescent="0.3">
      <c r="A2509" s="888" t="str">
        <f>IF(LEN('Translation-EN'!A2509)&gt;0,'Translation-EN'!A2509,"")</f>
        <v>Range</v>
      </c>
      <c r="B2509" s="888" t="str">
        <f>IF(LEN('Translation-EN'!B2509)&gt;0,'Translation-EN'!B2509,"")</f>
        <v>Master sheet</v>
      </c>
      <c r="C2509" s="888" t="str">
        <f>IF(LEN('Translation-EN'!C2509)&gt;0,'Translation-EN'!C2509,"")</f>
        <v>C448</v>
      </c>
      <c r="D2509" s="888" t="str">
        <f>IF(LEN('Translation-EN'!D2509)&gt;0,'Translation-EN'!D2509,"")</f>
        <v/>
      </c>
      <c r="E2509" s="893" t="str">
        <f>$E$2494</f>
        <v>ABQ</v>
      </c>
      <c r="I2509" s="888"/>
      <c r="J2509" s="888"/>
      <c r="K2509" s="888"/>
      <c r="L2509" s="888"/>
      <c r="M2509" s="888"/>
      <c r="N2509" s="888"/>
      <c r="O2509" s="888"/>
      <c r="P2509" s="888"/>
      <c r="Q2509" s="888"/>
      <c r="R2509" s="888"/>
    </row>
    <row r="2510" spans="1:18" s="893" customFormat="1" x14ac:dyDescent="0.3">
      <c r="A2510" s="888" t="str">
        <f>IF(LEN('Translation-EN'!A2510)&gt;0,'Translation-EN'!A2510,"")</f>
        <v>Range</v>
      </c>
      <c r="B2510" s="888" t="str">
        <f>IF(LEN('Translation-EN'!B2510)&gt;0,'Translation-EN'!B2510,"")</f>
        <v>Master sheet</v>
      </c>
      <c r="C2510" s="888" t="str">
        <f>IF(LEN('Translation-EN'!C2510)&gt;0,'Translation-EN'!C2510,"")</f>
        <v>D448</v>
      </c>
      <c r="D2510" s="888" t="str">
        <f>IF(LEN('Translation-EN'!D2510)&gt;0,'Translation-EN'!D2510,"")</f>
        <v/>
      </c>
      <c r="E2510" s="893" t="str">
        <f>$E$2495</f>
        <v>Can. Moyenne Québec</v>
      </c>
      <c r="I2510" s="888"/>
      <c r="J2510" s="888"/>
      <c r="K2510" s="888"/>
      <c r="L2510" s="888"/>
      <c r="M2510" s="888"/>
      <c r="N2510" s="888"/>
      <c r="O2510" s="888"/>
      <c r="P2510" s="888"/>
      <c r="Q2510" s="888"/>
      <c r="R2510" s="888"/>
    </row>
    <row r="2511" spans="1:18" s="893" customFormat="1" x14ac:dyDescent="0.3">
      <c r="A2511" s="888" t="str">
        <f>IF(LEN('Translation-EN'!A2511)&gt;0,'Translation-EN'!A2511,"")</f>
        <v>Range</v>
      </c>
      <c r="B2511" s="888" t="str">
        <f>IF(LEN('Translation-EN'!B2511)&gt;0,'Translation-EN'!B2511,"")</f>
        <v>Master sheet</v>
      </c>
      <c r="C2511" s="888" t="str">
        <f>IF(LEN('Translation-EN'!C2511)&gt;0,'Translation-EN'!C2511,"")</f>
        <v>B449</v>
      </c>
      <c r="D2511" s="888" t="str">
        <f>IF(LEN('Translation-EN'!D2511)&gt;0,'Translation-EN'!D2511,"")</f>
        <v/>
      </c>
      <c r="E2511" s="893" t="s">
        <v>6487</v>
      </c>
      <c r="I2511" s="888"/>
      <c r="J2511" s="888"/>
      <c r="K2511" s="888"/>
      <c r="L2511" s="888"/>
      <c r="M2511" s="888"/>
      <c r="N2511" s="888"/>
      <c r="O2511" s="888"/>
      <c r="P2511" s="888"/>
      <c r="Q2511" s="888"/>
      <c r="R2511" s="888"/>
    </row>
    <row r="2512" spans="1:18" s="893" customFormat="1" x14ac:dyDescent="0.3">
      <c r="A2512" s="888" t="str">
        <f>IF(LEN('Translation-EN'!A2512)&gt;0,'Translation-EN'!A2512,"")</f>
        <v>Range</v>
      </c>
      <c r="B2512" s="888" t="str">
        <f>IF(LEN('Translation-EN'!B2512)&gt;0,'Translation-EN'!B2512,"")</f>
        <v>Master sheet</v>
      </c>
      <c r="C2512" s="888" t="str">
        <f>IF(LEN('Translation-EN'!C2512)&gt;0,'Translation-EN'!C2512,"")</f>
        <v>C449</v>
      </c>
      <c r="D2512" s="888" t="str">
        <f>IF(LEN('Translation-EN'!D2512)&gt;0,'Translation-EN'!D2512,"")</f>
        <v/>
      </c>
      <c r="E2512" s="893" t="str">
        <f>$E$2494</f>
        <v>ABQ</v>
      </c>
      <c r="I2512" s="888"/>
      <c r="J2512" s="888"/>
      <c r="K2512" s="888"/>
      <c r="L2512" s="888"/>
      <c r="M2512" s="888"/>
      <c r="N2512" s="888"/>
      <c r="O2512" s="888"/>
      <c r="P2512" s="888"/>
      <c r="Q2512" s="888"/>
      <c r="R2512" s="888"/>
    </row>
    <row r="2513" spans="1:18" s="893" customFormat="1" x14ac:dyDescent="0.3">
      <c r="A2513" s="888" t="str">
        <f>IF(LEN('Translation-EN'!A2513)&gt;0,'Translation-EN'!A2513,"")</f>
        <v>Range</v>
      </c>
      <c r="B2513" s="888" t="str">
        <f>IF(LEN('Translation-EN'!B2513)&gt;0,'Translation-EN'!B2513,"")</f>
        <v>Master sheet</v>
      </c>
      <c r="C2513" s="888" t="str">
        <f>IF(LEN('Translation-EN'!C2513)&gt;0,'Translation-EN'!C2513,"")</f>
        <v>D449</v>
      </c>
      <c r="D2513" s="888" t="str">
        <f>IF(LEN('Translation-EN'!D2513)&gt;0,'Translation-EN'!D2513,"")</f>
        <v/>
      </c>
      <c r="E2513" s="893" t="str">
        <f>$E$2495</f>
        <v>Can. Moyenne Québec</v>
      </c>
      <c r="I2513" s="888"/>
      <c r="J2513" s="888"/>
      <c r="K2513" s="888"/>
      <c r="L2513" s="888"/>
      <c r="M2513" s="888"/>
      <c r="N2513" s="888"/>
      <c r="O2513" s="888"/>
      <c r="P2513" s="888"/>
      <c r="Q2513" s="888"/>
      <c r="R2513" s="888"/>
    </row>
    <row r="2514" spans="1:18" s="893" customFormat="1" x14ac:dyDescent="0.3">
      <c r="A2514" s="888" t="str">
        <f>IF(LEN('Translation-EN'!A2514)&gt;0,'Translation-EN'!A2514,"")</f>
        <v>Range</v>
      </c>
      <c r="B2514" s="888" t="str">
        <f>IF(LEN('Translation-EN'!B2514)&gt;0,'Translation-EN'!B2514,"")</f>
        <v>Master sheet</v>
      </c>
      <c r="C2514" s="888" t="str">
        <f>IF(LEN('Translation-EN'!C2514)&gt;0,'Translation-EN'!C2514,"")</f>
        <v>B450</v>
      </c>
      <c r="D2514" s="888" t="str">
        <f>IF(LEN('Translation-EN'!D2514)&gt;0,'Translation-EN'!D2514,"")</f>
        <v/>
      </c>
      <c r="E2514" s="893" t="s">
        <v>6488</v>
      </c>
      <c r="I2514" s="888"/>
      <c r="J2514" s="888"/>
      <c r="K2514" s="888"/>
      <c r="L2514" s="888"/>
      <c r="M2514" s="888"/>
      <c r="N2514" s="888"/>
      <c r="O2514" s="888"/>
      <c r="P2514" s="888"/>
      <c r="Q2514" s="888"/>
      <c r="R2514" s="888"/>
    </row>
    <row r="2515" spans="1:18" s="893" customFormat="1" x14ac:dyDescent="0.3">
      <c r="A2515" s="888" t="str">
        <f>IF(LEN('Translation-EN'!A2515)&gt;0,'Translation-EN'!A2515,"")</f>
        <v>Range</v>
      </c>
      <c r="B2515" s="888" t="str">
        <f>IF(LEN('Translation-EN'!B2515)&gt;0,'Translation-EN'!B2515,"")</f>
        <v>Master sheet</v>
      </c>
      <c r="C2515" s="888" t="str">
        <f>IF(LEN('Translation-EN'!C2515)&gt;0,'Translation-EN'!C2515,"")</f>
        <v>C450</v>
      </c>
      <c r="D2515" s="888" t="str">
        <f>IF(LEN('Translation-EN'!D2515)&gt;0,'Translation-EN'!D2515,"")</f>
        <v/>
      </c>
      <c r="E2515" s="893" t="str">
        <f>$E$2494</f>
        <v>ABQ</v>
      </c>
      <c r="I2515" s="888"/>
      <c r="J2515" s="888"/>
      <c r="K2515" s="888"/>
      <c r="L2515" s="888"/>
      <c r="M2515" s="888"/>
      <c r="N2515" s="888"/>
      <c r="O2515" s="888"/>
      <c r="P2515" s="888"/>
      <c r="Q2515" s="888"/>
      <c r="R2515" s="888"/>
    </row>
    <row r="2516" spans="1:18" s="893" customFormat="1" x14ac:dyDescent="0.3">
      <c r="A2516" s="888" t="str">
        <f>IF(LEN('Translation-EN'!A2516)&gt;0,'Translation-EN'!A2516,"")</f>
        <v>Range</v>
      </c>
      <c r="B2516" s="888" t="str">
        <f>IF(LEN('Translation-EN'!B2516)&gt;0,'Translation-EN'!B2516,"")</f>
        <v>Master sheet</v>
      </c>
      <c r="C2516" s="888" t="str">
        <f>IF(LEN('Translation-EN'!C2516)&gt;0,'Translation-EN'!C2516,"")</f>
        <v>D450</v>
      </c>
      <c r="D2516" s="888" t="str">
        <f>IF(LEN('Translation-EN'!D2516)&gt;0,'Translation-EN'!D2516,"")</f>
        <v/>
      </c>
      <c r="E2516" s="893" t="str">
        <f>$E$2495</f>
        <v>Can. Moyenne Québec</v>
      </c>
      <c r="I2516" s="888"/>
      <c r="J2516" s="888"/>
      <c r="K2516" s="888"/>
      <c r="L2516" s="888"/>
      <c r="M2516" s="888"/>
      <c r="N2516" s="888"/>
      <c r="O2516" s="888"/>
      <c r="P2516" s="888"/>
      <c r="Q2516" s="888"/>
      <c r="R2516" s="888"/>
    </row>
    <row r="2517" spans="1:18" s="893" customFormat="1" x14ac:dyDescent="0.3">
      <c r="A2517" s="888" t="str">
        <f>IF(LEN('Translation-EN'!A2517)&gt;0,'Translation-EN'!A2517,"")</f>
        <v>Range</v>
      </c>
      <c r="B2517" s="888" t="str">
        <f>IF(LEN('Translation-EN'!B2517)&gt;0,'Translation-EN'!B2517,"")</f>
        <v>Master sheet</v>
      </c>
      <c r="C2517" s="888" t="str">
        <f>IF(LEN('Translation-EN'!C2517)&gt;0,'Translation-EN'!C2517,"")</f>
        <v>B451</v>
      </c>
      <c r="D2517" s="888" t="str">
        <f>IF(LEN('Translation-EN'!D2517)&gt;0,'Translation-EN'!D2517,"")</f>
        <v/>
      </c>
      <c r="E2517" s="893" t="s">
        <v>6489</v>
      </c>
      <c r="I2517" s="888"/>
      <c r="J2517" s="888"/>
      <c r="K2517" s="888"/>
      <c r="L2517" s="888"/>
      <c r="M2517" s="888"/>
      <c r="N2517" s="888"/>
      <c r="O2517" s="888"/>
      <c r="P2517" s="888"/>
      <c r="Q2517" s="888"/>
      <c r="R2517" s="888"/>
    </row>
    <row r="2518" spans="1:18" s="893" customFormat="1" x14ac:dyDescent="0.3">
      <c r="A2518" s="888" t="str">
        <f>IF(LEN('Translation-EN'!A2518)&gt;0,'Translation-EN'!A2518,"")</f>
        <v>Range</v>
      </c>
      <c r="B2518" s="888" t="str">
        <f>IF(LEN('Translation-EN'!B2518)&gt;0,'Translation-EN'!B2518,"")</f>
        <v>Master sheet</v>
      </c>
      <c r="C2518" s="888" t="str">
        <f>IF(LEN('Translation-EN'!C2518)&gt;0,'Translation-EN'!C2518,"")</f>
        <v>C451</v>
      </c>
      <c r="D2518" s="888" t="str">
        <f>IF(LEN('Translation-EN'!D2518)&gt;0,'Translation-EN'!D2518,"")</f>
        <v/>
      </c>
      <c r="E2518" s="893" t="str">
        <f>$E$2494</f>
        <v>ABQ</v>
      </c>
      <c r="I2518" s="888"/>
      <c r="J2518" s="888"/>
      <c r="K2518" s="888"/>
      <c r="L2518" s="888"/>
      <c r="M2518" s="888"/>
      <c r="N2518" s="888"/>
      <c r="O2518" s="888"/>
      <c r="P2518" s="888"/>
      <c r="Q2518" s="888"/>
      <c r="R2518" s="888"/>
    </row>
    <row r="2519" spans="1:18" s="893" customFormat="1" x14ac:dyDescent="0.3">
      <c r="A2519" s="888" t="str">
        <f>IF(LEN('Translation-EN'!A2519)&gt;0,'Translation-EN'!A2519,"")</f>
        <v>Range</v>
      </c>
      <c r="B2519" s="888" t="str">
        <f>IF(LEN('Translation-EN'!B2519)&gt;0,'Translation-EN'!B2519,"")</f>
        <v>Master sheet</v>
      </c>
      <c r="C2519" s="888" t="str">
        <f>IF(LEN('Translation-EN'!C2519)&gt;0,'Translation-EN'!C2519,"")</f>
        <v>D451</v>
      </c>
      <c r="D2519" s="888" t="str">
        <f>IF(LEN('Translation-EN'!D2519)&gt;0,'Translation-EN'!D2519,"")</f>
        <v/>
      </c>
      <c r="E2519" s="893" t="str">
        <f>$E$2495</f>
        <v>Can. Moyenne Québec</v>
      </c>
      <c r="I2519" s="888"/>
      <c r="J2519" s="888"/>
      <c r="K2519" s="888"/>
      <c r="L2519" s="888"/>
      <c r="M2519" s="888"/>
      <c r="N2519" s="888"/>
      <c r="O2519" s="888"/>
      <c r="P2519" s="888"/>
      <c r="Q2519" s="888"/>
      <c r="R2519" s="888"/>
    </row>
    <row r="2520" spans="1:18" s="893" customFormat="1" x14ac:dyDescent="0.3">
      <c r="A2520" s="888" t="str">
        <f>IF(LEN('Translation-EN'!A2520)&gt;0,'Translation-EN'!A2520,"")</f>
        <v>Range</v>
      </c>
      <c r="B2520" s="888" t="str">
        <f>IF(LEN('Translation-EN'!B2520)&gt;0,'Translation-EN'!B2520,"")</f>
        <v>Master sheet</v>
      </c>
      <c r="C2520" s="888" t="str">
        <f>IF(LEN('Translation-EN'!C2520)&gt;0,'Translation-EN'!C2520,"")</f>
        <v>B452</v>
      </c>
      <c r="D2520" s="888" t="str">
        <f>IF(LEN('Translation-EN'!D2520)&gt;0,'Translation-EN'!D2520,"")</f>
        <v/>
      </c>
      <c r="E2520" s="893" t="s">
        <v>6490</v>
      </c>
      <c r="I2520" s="888"/>
      <c r="J2520" s="888"/>
      <c r="K2520" s="888"/>
      <c r="L2520" s="888"/>
      <c r="M2520" s="888"/>
      <c r="N2520" s="888"/>
      <c r="O2520" s="888"/>
      <c r="P2520" s="888"/>
      <c r="Q2520" s="888"/>
      <c r="R2520" s="888"/>
    </row>
    <row r="2521" spans="1:18" s="893" customFormat="1" x14ac:dyDescent="0.3">
      <c r="A2521" s="888" t="str">
        <f>IF(LEN('Translation-EN'!A2521)&gt;0,'Translation-EN'!A2521,"")</f>
        <v>Range</v>
      </c>
      <c r="B2521" s="888" t="str">
        <f>IF(LEN('Translation-EN'!B2521)&gt;0,'Translation-EN'!B2521,"")</f>
        <v>Master sheet</v>
      </c>
      <c r="C2521" s="888" t="str">
        <f>IF(LEN('Translation-EN'!C2521)&gt;0,'Translation-EN'!C2521,"")</f>
        <v>C452</v>
      </c>
      <c r="D2521" s="888" t="str">
        <f>IF(LEN('Translation-EN'!D2521)&gt;0,'Translation-EN'!D2521,"")</f>
        <v/>
      </c>
      <c r="E2521" s="893" t="str">
        <f>$E$2494</f>
        <v>ABQ</v>
      </c>
      <c r="I2521" s="888"/>
      <c r="J2521" s="888"/>
      <c r="K2521" s="888"/>
      <c r="L2521" s="888"/>
      <c r="M2521" s="888"/>
      <c r="N2521" s="888"/>
      <c r="O2521" s="888"/>
      <c r="P2521" s="888"/>
      <c r="Q2521" s="888"/>
      <c r="R2521" s="888"/>
    </row>
    <row r="2522" spans="1:18" s="893" customFormat="1" x14ac:dyDescent="0.3">
      <c r="A2522" s="888" t="str">
        <f>IF(LEN('Translation-EN'!A2522)&gt;0,'Translation-EN'!A2522,"")</f>
        <v>Range</v>
      </c>
      <c r="B2522" s="888" t="str">
        <f>IF(LEN('Translation-EN'!B2522)&gt;0,'Translation-EN'!B2522,"")</f>
        <v>Master sheet</v>
      </c>
      <c r="C2522" s="888" t="str">
        <f>IF(LEN('Translation-EN'!C2522)&gt;0,'Translation-EN'!C2522,"")</f>
        <v>D452</v>
      </c>
      <c r="D2522" s="888" t="str">
        <f>IF(LEN('Translation-EN'!D2522)&gt;0,'Translation-EN'!D2522,"")</f>
        <v/>
      </c>
      <c r="E2522" s="893" t="str">
        <f>$E$2495</f>
        <v>Can. Moyenne Québec</v>
      </c>
      <c r="I2522" s="888"/>
      <c r="J2522" s="888"/>
      <c r="K2522" s="888"/>
      <c r="L2522" s="888"/>
      <c r="M2522" s="888"/>
      <c r="N2522" s="888"/>
      <c r="O2522" s="888"/>
      <c r="P2522" s="888"/>
      <c r="Q2522" s="888"/>
      <c r="R2522" s="888"/>
    </row>
    <row r="2523" spans="1:18" s="893" customFormat="1" x14ac:dyDescent="0.3">
      <c r="A2523" s="888" t="str">
        <f>IF(LEN('Translation-EN'!A2523)&gt;0,'Translation-EN'!A2523,"")</f>
        <v>Range</v>
      </c>
      <c r="B2523" s="888" t="str">
        <f>IF(LEN('Translation-EN'!B2523)&gt;0,'Translation-EN'!B2523,"")</f>
        <v>Master sheet</v>
      </c>
      <c r="C2523" s="888" t="str">
        <f>IF(LEN('Translation-EN'!C2523)&gt;0,'Translation-EN'!C2523,"")</f>
        <v>B453</v>
      </c>
      <c r="D2523" s="888" t="str">
        <f>IF(LEN('Translation-EN'!D2523)&gt;0,'Translation-EN'!D2523,"")</f>
        <v/>
      </c>
      <c r="E2523" s="893" t="s">
        <v>6491</v>
      </c>
      <c r="I2523" s="888"/>
      <c r="J2523" s="888"/>
      <c r="K2523" s="888"/>
      <c r="L2523" s="888"/>
      <c r="M2523" s="888"/>
      <c r="N2523" s="888"/>
      <c r="O2523" s="888"/>
      <c r="P2523" s="888"/>
      <c r="Q2523" s="888"/>
      <c r="R2523" s="888"/>
    </row>
    <row r="2524" spans="1:18" s="893" customFormat="1" x14ac:dyDescent="0.3">
      <c r="A2524" s="888" t="str">
        <f>IF(LEN('Translation-EN'!A2524)&gt;0,'Translation-EN'!A2524,"")</f>
        <v>Range</v>
      </c>
      <c r="B2524" s="888" t="str">
        <f>IF(LEN('Translation-EN'!B2524)&gt;0,'Translation-EN'!B2524,"")</f>
        <v>Master sheet</v>
      </c>
      <c r="C2524" s="888" t="str">
        <f>IF(LEN('Translation-EN'!C2524)&gt;0,'Translation-EN'!C2524,"")</f>
        <v>C453</v>
      </c>
      <c r="D2524" s="888" t="str">
        <f>IF(LEN('Translation-EN'!D2524)&gt;0,'Translation-EN'!D2524,"")</f>
        <v/>
      </c>
      <c r="E2524" s="893" t="str">
        <f>$E$2494</f>
        <v>ABQ</v>
      </c>
      <c r="I2524" s="888"/>
      <c r="J2524" s="888"/>
      <c r="K2524" s="888"/>
      <c r="L2524" s="888"/>
      <c r="M2524" s="888"/>
      <c r="N2524" s="888"/>
      <c r="O2524" s="888"/>
      <c r="P2524" s="888"/>
      <c r="Q2524" s="888"/>
      <c r="R2524" s="888"/>
    </row>
    <row r="2525" spans="1:18" s="893" customFormat="1" x14ac:dyDescent="0.3">
      <c r="A2525" s="888" t="str">
        <f>IF(LEN('Translation-EN'!A2525)&gt;0,'Translation-EN'!A2525,"")</f>
        <v>Range</v>
      </c>
      <c r="B2525" s="888" t="str">
        <f>IF(LEN('Translation-EN'!B2525)&gt;0,'Translation-EN'!B2525,"")</f>
        <v>Master sheet</v>
      </c>
      <c r="C2525" s="888" t="str">
        <f>IF(LEN('Translation-EN'!C2525)&gt;0,'Translation-EN'!C2525,"")</f>
        <v>D453</v>
      </c>
      <c r="D2525" s="888" t="str">
        <f>IF(LEN('Translation-EN'!D2525)&gt;0,'Translation-EN'!D2525,"")</f>
        <v/>
      </c>
      <c r="E2525" s="893" t="str">
        <f>$E$2495</f>
        <v>Can. Moyenne Québec</v>
      </c>
      <c r="I2525" s="888"/>
      <c r="J2525" s="888"/>
      <c r="K2525" s="888"/>
      <c r="L2525" s="888"/>
      <c r="M2525" s="888"/>
      <c r="N2525" s="888"/>
      <c r="O2525" s="888"/>
      <c r="P2525" s="888"/>
      <c r="Q2525" s="888"/>
      <c r="R2525" s="888"/>
    </row>
    <row r="2526" spans="1:18" s="893" customFormat="1" x14ac:dyDescent="0.3">
      <c r="A2526" s="888" t="str">
        <f>IF(LEN('Translation-EN'!A2526)&gt;0,'Translation-EN'!A2526,"")</f>
        <v>Range</v>
      </c>
      <c r="B2526" s="888" t="str">
        <f>IF(LEN('Translation-EN'!B2526)&gt;0,'Translation-EN'!B2526,"")</f>
        <v>Master sheet</v>
      </c>
      <c r="C2526" s="888" t="str">
        <f>IF(LEN('Translation-EN'!C2526)&gt;0,'Translation-EN'!C2526,"")</f>
        <v>B454</v>
      </c>
      <c r="D2526" s="888" t="str">
        <f>IF(LEN('Translation-EN'!D2526)&gt;0,'Translation-EN'!D2526,"")</f>
        <v/>
      </c>
      <c r="E2526" s="893" t="s">
        <v>6492</v>
      </c>
      <c r="I2526" s="888"/>
      <c r="J2526" s="888"/>
      <c r="K2526" s="888"/>
      <c r="L2526" s="888"/>
      <c r="M2526" s="888"/>
      <c r="N2526" s="888"/>
      <c r="O2526" s="888"/>
      <c r="P2526" s="888"/>
      <c r="Q2526" s="888"/>
      <c r="R2526" s="888"/>
    </row>
    <row r="2527" spans="1:18" s="893" customFormat="1" x14ac:dyDescent="0.3">
      <c r="A2527" s="888" t="str">
        <f>IF(LEN('Translation-EN'!A2527)&gt;0,'Translation-EN'!A2527,"")</f>
        <v>Range</v>
      </c>
      <c r="B2527" s="888" t="str">
        <f>IF(LEN('Translation-EN'!B2527)&gt;0,'Translation-EN'!B2527,"")</f>
        <v>Master sheet</v>
      </c>
      <c r="C2527" s="888" t="str">
        <f>IF(LEN('Translation-EN'!C2527)&gt;0,'Translation-EN'!C2527,"")</f>
        <v>C454</v>
      </c>
      <c r="D2527" s="888" t="str">
        <f>IF(LEN('Translation-EN'!D2527)&gt;0,'Translation-EN'!D2527,"")</f>
        <v/>
      </c>
      <c r="E2527" s="893" t="str">
        <f>$E$2494</f>
        <v>ABQ</v>
      </c>
      <c r="I2527" s="888"/>
      <c r="J2527" s="888"/>
      <c r="K2527" s="888"/>
      <c r="L2527" s="888"/>
      <c r="M2527" s="888"/>
      <c r="N2527" s="888"/>
      <c r="O2527" s="888"/>
      <c r="P2527" s="888"/>
      <c r="Q2527" s="888"/>
      <c r="R2527" s="888"/>
    </row>
    <row r="2528" spans="1:18" s="893" customFormat="1" x14ac:dyDescent="0.3">
      <c r="A2528" s="888" t="str">
        <f>IF(LEN('Translation-EN'!A2528)&gt;0,'Translation-EN'!A2528,"")</f>
        <v>Range</v>
      </c>
      <c r="B2528" s="888" t="str">
        <f>IF(LEN('Translation-EN'!B2528)&gt;0,'Translation-EN'!B2528,"")</f>
        <v>Master sheet</v>
      </c>
      <c r="C2528" s="888" t="str">
        <f>IF(LEN('Translation-EN'!C2528)&gt;0,'Translation-EN'!C2528,"")</f>
        <v>D454</v>
      </c>
      <c r="D2528" s="888" t="str">
        <f>IF(LEN('Translation-EN'!D2528)&gt;0,'Translation-EN'!D2528,"")</f>
        <v/>
      </c>
      <c r="E2528" s="893" t="str">
        <f>$E$2495</f>
        <v>Can. Moyenne Québec</v>
      </c>
      <c r="I2528" s="888"/>
      <c r="J2528" s="888"/>
      <c r="K2528" s="888"/>
      <c r="L2528" s="888"/>
      <c r="M2528" s="888"/>
      <c r="N2528" s="888"/>
      <c r="O2528" s="888"/>
      <c r="P2528" s="888"/>
      <c r="Q2528" s="888"/>
      <c r="R2528" s="888"/>
    </row>
    <row r="2529" spans="1:18" s="893" customFormat="1" x14ac:dyDescent="0.3">
      <c r="A2529" s="888" t="str">
        <f>IF(LEN('Translation-EN'!A2529)&gt;0,'Translation-EN'!A2529,"")</f>
        <v>Range</v>
      </c>
      <c r="B2529" s="888" t="str">
        <f>IF(LEN('Translation-EN'!B2529)&gt;0,'Translation-EN'!B2529,"")</f>
        <v>Master sheet</v>
      </c>
      <c r="C2529" s="888" t="str">
        <f>IF(LEN('Translation-EN'!C2529)&gt;0,'Translation-EN'!C2529,"")</f>
        <v>B455</v>
      </c>
      <c r="D2529" s="888" t="str">
        <f>IF(LEN('Translation-EN'!D2529)&gt;0,'Translation-EN'!D2529,"")</f>
        <v/>
      </c>
      <c r="E2529" s="893" t="s">
        <v>6493</v>
      </c>
      <c r="I2529" s="888"/>
      <c r="J2529" s="888"/>
      <c r="K2529" s="888"/>
      <c r="L2529" s="888"/>
      <c r="M2529" s="888"/>
      <c r="N2529" s="888"/>
      <c r="O2529" s="888"/>
      <c r="P2529" s="888"/>
      <c r="Q2529" s="888"/>
      <c r="R2529" s="888"/>
    </row>
    <row r="2530" spans="1:18" s="893" customFormat="1" x14ac:dyDescent="0.3">
      <c r="A2530" s="888" t="str">
        <f>IF(LEN('Translation-EN'!A2530)&gt;0,'Translation-EN'!A2530,"")</f>
        <v>Range</v>
      </c>
      <c r="B2530" s="888" t="str">
        <f>IF(LEN('Translation-EN'!B2530)&gt;0,'Translation-EN'!B2530,"")</f>
        <v>Master sheet</v>
      </c>
      <c r="C2530" s="888" t="str">
        <f>IF(LEN('Translation-EN'!C2530)&gt;0,'Translation-EN'!C2530,"")</f>
        <v>C455</v>
      </c>
      <c r="D2530" s="888" t="str">
        <f>IF(LEN('Translation-EN'!D2530)&gt;0,'Translation-EN'!D2530,"")</f>
        <v/>
      </c>
      <c r="E2530" s="893" t="str">
        <f>$E$2494</f>
        <v>ABQ</v>
      </c>
      <c r="I2530" s="888"/>
      <c r="J2530" s="888"/>
      <c r="K2530" s="888"/>
      <c r="L2530" s="888"/>
      <c r="M2530" s="888"/>
      <c r="N2530" s="888"/>
      <c r="O2530" s="888"/>
      <c r="P2530" s="888"/>
      <c r="Q2530" s="888"/>
      <c r="R2530" s="888"/>
    </row>
    <row r="2531" spans="1:18" s="893" customFormat="1" x14ac:dyDescent="0.3">
      <c r="A2531" s="888" t="str">
        <f>IF(LEN('Translation-EN'!A2531)&gt;0,'Translation-EN'!A2531,"")</f>
        <v>Range</v>
      </c>
      <c r="B2531" s="888" t="str">
        <f>IF(LEN('Translation-EN'!B2531)&gt;0,'Translation-EN'!B2531,"")</f>
        <v>Master sheet</v>
      </c>
      <c r="C2531" s="888" t="str">
        <f>IF(LEN('Translation-EN'!C2531)&gt;0,'Translation-EN'!C2531,"")</f>
        <v>D455</v>
      </c>
      <c r="D2531" s="888" t="str">
        <f>IF(LEN('Translation-EN'!D2531)&gt;0,'Translation-EN'!D2531,"")</f>
        <v/>
      </c>
      <c r="E2531" s="893" t="str">
        <f>$E$2495</f>
        <v>Can. Moyenne Québec</v>
      </c>
      <c r="I2531" s="888"/>
      <c r="J2531" s="888"/>
      <c r="K2531" s="888"/>
      <c r="L2531" s="888"/>
      <c r="M2531" s="888"/>
      <c r="N2531" s="888"/>
      <c r="O2531" s="888"/>
      <c r="P2531" s="888"/>
      <c r="Q2531" s="888"/>
      <c r="R2531" s="888"/>
    </row>
    <row r="2532" spans="1:18" s="893" customFormat="1" x14ac:dyDescent="0.3">
      <c r="A2532" s="888" t="str">
        <f>IF(LEN('Translation-EN'!A2532)&gt;0,'Translation-EN'!A2532,"")</f>
        <v>Range</v>
      </c>
      <c r="B2532" s="888" t="str">
        <f>IF(LEN('Translation-EN'!B2532)&gt;0,'Translation-EN'!B2532,"")</f>
        <v>Master sheet</v>
      </c>
      <c r="C2532" s="888" t="str">
        <f>IF(LEN('Translation-EN'!C2532)&gt;0,'Translation-EN'!C2532,"")</f>
        <v>B456</v>
      </c>
      <c r="D2532" s="888" t="str">
        <f>IF(LEN('Translation-EN'!D2532)&gt;0,'Translation-EN'!D2532,"")</f>
        <v/>
      </c>
      <c r="E2532" s="893" t="s">
        <v>6494</v>
      </c>
      <c r="I2532" s="888"/>
      <c r="J2532" s="888"/>
      <c r="K2532" s="888"/>
      <c r="L2532" s="888"/>
      <c r="M2532" s="888"/>
      <c r="N2532" s="888"/>
      <c r="O2532" s="888"/>
      <c r="P2532" s="888"/>
      <c r="Q2532" s="888"/>
      <c r="R2532" s="888"/>
    </row>
    <row r="2533" spans="1:18" s="893" customFormat="1" x14ac:dyDescent="0.3">
      <c r="A2533" s="888" t="str">
        <f>IF(LEN('Translation-EN'!A2533)&gt;0,'Translation-EN'!A2533,"")</f>
        <v>Range</v>
      </c>
      <c r="B2533" s="888" t="str">
        <f>IF(LEN('Translation-EN'!B2533)&gt;0,'Translation-EN'!B2533,"")</f>
        <v>Master sheet</v>
      </c>
      <c r="C2533" s="888" t="str">
        <f>IF(LEN('Translation-EN'!C2533)&gt;0,'Translation-EN'!C2533,"")</f>
        <v>C456</v>
      </c>
      <c r="D2533" s="888" t="str">
        <f>IF(LEN('Translation-EN'!D2533)&gt;0,'Translation-EN'!D2533,"")</f>
        <v/>
      </c>
      <c r="E2533" s="893" t="str">
        <f>$E$2494</f>
        <v>ABQ</v>
      </c>
      <c r="I2533" s="888"/>
      <c r="J2533" s="888"/>
      <c r="K2533" s="888"/>
      <c r="L2533" s="888"/>
      <c r="M2533" s="888"/>
      <c r="N2533" s="888"/>
      <c r="O2533" s="888"/>
      <c r="P2533" s="888"/>
      <c r="Q2533" s="888"/>
      <c r="R2533" s="888"/>
    </row>
    <row r="2534" spans="1:18" s="893" customFormat="1" x14ac:dyDescent="0.3">
      <c r="A2534" s="888" t="str">
        <f>IF(LEN('Translation-EN'!A2534)&gt;0,'Translation-EN'!A2534,"")</f>
        <v>Range</v>
      </c>
      <c r="B2534" s="888" t="str">
        <f>IF(LEN('Translation-EN'!B2534)&gt;0,'Translation-EN'!B2534,"")</f>
        <v>Master sheet</v>
      </c>
      <c r="C2534" s="888" t="str">
        <f>IF(LEN('Translation-EN'!C2534)&gt;0,'Translation-EN'!C2534,"")</f>
        <v>D456</v>
      </c>
      <c r="D2534" s="888" t="str">
        <f>IF(LEN('Translation-EN'!D2534)&gt;0,'Translation-EN'!D2534,"")</f>
        <v/>
      </c>
      <c r="E2534" s="893" t="str">
        <f>$E$2495</f>
        <v>Can. Moyenne Québec</v>
      </c>
      <c r="I2534" s="888"/>
      <c r="J2534" s="888"/>
      <c r="K2534" s="888"/>
      <c r="L2534" s="888"/>
      <c r="M2534" s="888"/>
      <c r="N2534" s="888"/>
      <c r="O2534" s="888"/>
      <c r="P2534" s="888"/>
      <c r="Q2534" s="888"/>
      <c r="R2534" s="888"/>
    </row>
    <row r="2535" spans="1:18" s="893" customFormat="1" x14ac:dyDescent="0.3">
      <c r="A2535" s="888" t="str">
        <f>IF(LEN('Translation-EN'!A2535)&gt;0,'Translation-EN'!A2535,"")</f>
        <v>Range</v>
      </c>
      <c r="B2535" s="888" t="str">
        <f>IF(LEN('Translation-EN'!B2535)&gt;0,'Translation-EN'!B2535,"")</f>
        <v>Master sheet</v>
      </c>
      <c r="C2535" s="888" t="str">
        <f>IF(LEN('Translation-EN'!C2535)&gt;0,'Translation-EN'!C2535,"")</f>
        <v>B457</v>
      </c>
      <c r="D2535" s="888" t="str">
        <f>IF(LEN('Translation-EN'!D2535)&gt;0,'Translation-EN'!D2535,"")</f>
        <v/>
      </c>
      <c r="E2535" s="893" t="s">
        <v>6495</v>
      </c>
      <c r="I2535" s="888"/>
      <c r="J2535" s="888"/>
      <c r="K2535" s="888"/>
      <c r="L2535" s="888"/>
      <c r="M2535" s="888"/>
      <c r="N2535" s="888"/>
      <c r="O2535" s="888"/>
      <c r="P2535" s="888"/>
      <c r="Q2535" s="888"/>
      <c r="R2535" s="888"/>
    </row>
    <row r="2536" spans="1:18" s="893" customFormat="1" x14ac:dyDescent="0.3">
      <c r="A2536" s="888" t="str">
        <f>IF(LEN('Translation-EN'!A2536)&gt;0,'Translation-EN'!A2536,"")</f>
        <v>Range</v>
      </c>
      <c r="B2536" s="888" t="str">
        <f>IF(LEN('Translation-EN'!B2536)&gt;0,'Translation-EN'!B2536,"")</f>
        <v>Master sheet</v>
      </c>
      <c r="C2536" s="888" t="str">
        <f>IF(LEN('Translation-EN'!C2536)&gt;0,'Translation-EN'!C2536,"")</f>
        <v>C457</v>
      </c>
      <c r="D2536" s="888" t="str">
        <f>IF(LEN('Translation-EN'!D2536)&gt;0,'Translation-EN'!D2536,"")</f>
        <v/>
      </c>
      <c r="E2536" s="893" t="str">
        <f>$E$2494</f>
        <v>ABQ</v>
      </c>
      <c r="I2536" s="888"/>
      <c r="J2536" s="888"/>
      <c r="K2536" s="888"/>
      <c r="L2536" s="888"/>
      <c r="M2536" s="888"/>
      <c r="N2536" s="888"/>
      <c r="O2536" s="888"/>
      <c r="P2536" s="888"/>
      <c r="Q2536" s="888"/>
      <c r="R2536" s="888"/>
    </row>
    <row r="2537" spans="1:18" s="893" customFormat="1" x14ac:dyDescent="0.3">
      <c r="A2537" s="888" t="str">
        <f>IF(LEN('Translation-EN'!A2537)&gt;0,'Translation-EN'!A2537,"")</f>
        <v>Range</v>
      </c>
      <c r="B2537" s="888" t="str">
        <f>IF(LEN('Translation-EN'!B2537)&gt;0,'Translation-EN'!B2537,"")</f>
        <v>Master sheet</v>
      </c>
      <c r="C2537" s="888" t="str">
        <f>IF(LEN('Translation-EN'!C2537)&gt;0,'Translation-EN'!C2537,"")</f>
        <v>D457</v>
      </c>
      <c r="D2537" s="888" t="str">
        <f>IF(LEN('Translation-EN'!D2537)&gt;0,'Translation-EN'!D2537,"")</f>
        <v/>
      </c>
      <c r="E2537" s="893" t="str">
        <f>$E$2495</f>
        <v>Can. Moyenne Québec</v>
      </c>
      <c r="I2537" s="888"/>
      <c r="J2537" s="888"/>
      <c r="K2537" s="888"/>
      <c r="L2537" s="888"/>
      <c r="M2537" s="888"/>
      <c r="N2537" s="888"/>
      <c r="O2537" s="888"/>
      <c r="P2537" s="888"/>
      <c r="Q2537" s="888"/>
      <c r="R2537" s="888"/>
    </row>
    <row r="2538" spans="1:18" s="893" customFormat="1" x14ac:dyDescent="0.3">
      <c r="A2538" s="888" t="str">
        <f>IF(LEN('Translation-EN'!A2538)&gt;0,'Translation-EN'!A2538,"")</f>
        <v>Range</v>
      </c>
      <c r="B2538" s="888" t="str">
        <f>IF(LEN('Translation-EN'!B2538)&gt;0,'Translation-EN'!B2538,"")</f>
        <v>Master sheet</v>
      </c>
      <c r="C2538" s="888" t="str">
        <f>IF(LEN('Translation-EN'!C2538)&gt;0,'Translation-EN'!C2538,"")</f>
        <v>B458</v>
      </c>
      <c r="D2538" s="888" t="str">
        <f>IF(LEN('Translation-EN'!D2538)&gt;0,'Translation-EN'!D2538,"")</f>
        <v/>
      </c>
      <c r="E2538" s="893" t="s">
        <v>6496</v>
      </c>
      <c r="I2538" s="888"/>
      <c r="J2538" s="888"/>
      <c r="K2538" s="888"/>
      <c r="L2538" s="888"/>
      <c r="M2538" s="888"/>
      <c r="N2538" s="888"/>
      <c r="O2538" s="888"/>
      <c r="P2538" s="888"/>
      <c r="Q2538" s="888"/>
      <c r="R2538" s="888"/>
    </row>
    <row r="2539" spans="1:18" s="893" customFormat="1" x14ac:dyDescent="0.3">
      <c r="A2539" s="888" t="str">
        <f>IF(LEN('Translation-EN'!A2539)&gt;0,'Translation-EN'!A2539,"")</f>
        <v>Range</v>
      </c>
      <c r="B2539" s="888" t="str">
        <f>IF(LEN('Translation-EN'!B2539)&gt;0,'Translation-EN'!B2539,"")</f>
        <v>Master sheet</v>
      </c>
      <c r="C2539" s="888" t="str">
        <f>IF(LEN('Translation-EN'!C2539)&gt;0,'Translation-EN'!C2539,"")</f>
        <v>C458</v>
      </c>
      <c r="D2539" s="888" t="str">
        <f>IF(LEN('Translation-EN'!D2539)&gt;0,'Translation-EN'!D2539,"")</f>
        <v/>
      </c>
      <c r="E2539" s="893" t="str">
        <f>$E$2494</f>
        <v>ABQ</v>
      </c>
      <c r="I2539" s="888"/>
      <c r="J2539" s="888"/>
      <c r="K2539" s="888"/>
      <c r="L2539" s="888"/>
      <c r="M2539" s="888"/>
      <c r="N2539" s="888"/>
      <c r="O2539" s="888"/>
      <c r="P2539" s="888"/>
      <c r="Q2539" s="888"/>
      <c r="R2539" s="888"/>
    </row>
    <row r="2540" spans="1:18" s="893" customFormat="1" x14ac:dyDescent="0.3">
      <c r="A2540" s="888" t="str">
        <f>IF(LEN('Translation-EN'!A2540)&gt;0,'Translation-EN'!A2540,"")</f>
        <v>Range</v>
      </c>
      <c r="B2540" s="888" t="str">
        <f>IF(LEN('Translation-EN'!B2540)&gt;0,'Translation-EN'!B2540,"")</f>
        <v>Master sheet</v>
      </c>
      <c r="C2540" s="888" t="str">
        <f>IF(LEN('Translation-EN'!C2540)&gt;0,'Translation-EN'!C2540,"")</f>
        <v>D458</v>
      </c>
      <c r="D2540" s="888" t="str">
        <f>IF(LEN('Translation-EN'!D2540)&gt;0,'Translation-EN'!D2540,"")</f>
        <v/>
      </c>
      <c r="E2540" s="893" t="str">
        <f>$E$2495</f>
        <v>Can. Moyenne Québec</v>
      </c>
      <c r="I2540" s="888"/>
      <c r="J2540" s="888"/>
      <c r="K2540" s="888"/>
      <c r="L2540" s="888"/>
      <c r="M2540" s="888"/>
      <c r="N2540" s="888"/>
      <c r="O2540" s="888"/>
      <c r="P2540" s="888"/>
      <c r="Q2540" s="888"/>
      <c r="R2540" s="888"/>
    </row>
    <row r="2541" spans="1:18" s="893" customFormat="1" x14ac:dyDescent="0.3">
      <c r="A2541" s="888" t="str">
        <f>IF(LEN('Translation-EN'!A2541)&gt;0,'Translation-EN'!A2541,"")</f>
        <v>Range</v>
      </c>
      <c r="B2541" s="888" t="str">
        <f>IF(LEN('Translation-EN'!B2541)&gt;0,'Translation-EN'!B2541,"")</f>
        <v>Master sheet</v>
      </c>
      <c r="C2541" s="888" t="str">
        <f>IF(LEN('Translation-EN'!C2541)&gt;0,'Translation-EN'!C2541,"")</f>
        <v>B459</v>
      </c>
      <c r="D2541" s="888" t="str">
        <f>IF(LEN('Translation-EN'!D2541)&gt;0,'Translation-EN'!D2541,"")</f>
        <v/>
      </c>
      <c r="E2541" s="893" t="s">
        <v>6497</v>
      </c>
      <c r="I2541" s="888"/>
      <c r="J2541" s="888"/>
      <c r="K2541" s="888"/>
      <c r="L2541" s="888"/>
      <c r="M2541" s="888"/>
      <c r="N2541" s="888"/>
      <c r="O2541" s="888"/>
      <c r="P2541" s="888"/>
      <c r="Q2541" s="888"/>
      <c r="R2541" s="888"/>
    </row>
    <row r="2542" spans="1:18" s="893" customFormat="1" x14ac:dyDescent="0.3">
      <c r="A2542" s="888" t="str">
        <f>IF(LEN('Translation-EN'!A2542)&gt;0,'Translation-EN'!A2542,"")</f>
        <v>Range</v>
      </c>
      <c r="B2542" s="888" t="str">
        <f>IF(LEN('Translation-EN'!B2542)&gt;0,'Translation-EN'!B2542,"")</f>
        <v>Master sheet</v>
      </c>
      <c r="C2542" s="888" t="str">
        <f>IF(LEN('Translation-EN'!C2542)&gt;0,'Translation-EN'!C2542,"")</f>
        <v>C459</v>
      </c>
      <c r="D2542" s="888" t="str">
        <f>IF(LEN('Translation-EN'!D2542)&gt;0,'Translation-EN'!D2542,"")</f>
        <v/>
      </c>
      <c r="E2542" s="893" t="str">
        <f>$E$2494</f>
        <v>ABQ</v>
      </c>
      <c r="I2542" s="888"/>
      <c r="J2542" s="888"/>
      <c r="K2542" s="888"/>
      <c r="L2542" s="888"/>
      <c r="M2542" s="888"/>
      <c r="N2542" s="888"/>
      <c r="O2542" s="888"/>
      <c r="P2542" s="888"/>
      <c r="Q2542" s="888"/>
      <c r="R2542" s="888"/>
    </row>
    <row r="2543" spans="1:18" s="893" customFormat="1" x14ac:dyDescent="0.3">
      <c r="A2543" s="888" t="str">
        <f>IF(LEN('Translation-EN'!A2543)&gt;0,'Translation-EN'!A2543,"")</f>
        <v>Range</v>
      </c>
      <c r="B2543" s="888" t="str">
        <f>IF(LEN('Translation-EN'!B2543)&gt;0,'Translation-EN'!B2543,"")</f>
        <v>Master sheet</v>
      </c>
      <c r="C2543" s="888" t="str">
        <f>IF(LEN('Translation-EN'!C2543)&gt;0,'Translation-EN'!C2543,"")</f>
        <v>D459</v>
      </c>
      <c r="D2543" s="888" t="str">
        <f>IF(LEN('Translation-EN'!D2543)&gt;0,'Translation-EN'!D2543,"")</f>
        <v/>
      </c>
      <c r="E2543" s="893" t="str">
        <f>$E$2495</f>
        <v>Can. Moyenne Québec</v>
      </c>
      <c r="I2543" s="888"/>
      <c r="J2543" s="888"/>
      <c r="K2543" s="888"/>
      <c r="L2543" s="888"/>
      <c r="M2543" s="888"/>
      <c r="N2543" s="888"/>
      <c r="O2543" s="888"/>
      <c r="P2543" s="888"/>
      <c r="Q2543" s="888"/>
      <c r="R2543" s="888"/>
    </row>
    <row r="2544" spans="1:18" s="893" customFormat="1" x14ac:dyDescent="0.3">
      <c r="A2544" s="888" t="str">
        <f>IF(LEN('Translation-EN'!A2544)&gt;0,'Translation-EN'!A2544,"")</f>
        <v>Range</v>
      </c>
      <c r="B2544" s="888" t="str">
        <f>IF(LEN('Translation-EN'!B2544)&gt;0,'Translation-EN'!B2544,"")</f>
        <v>Master sheet</v>
      </c>
      <c r="C2544" s="888" t="str">
        <f>IF(LEN('Translation-EN'!C2544)&gt;0,'Translation-EN'!C2544,"")</f>
        <v>B460</v>
      </c>
      <c r="D2544" s="888" t="str">
        <f>IF(LEN('Translation-EN'!D2544)&gt;0,'Translation-EN'!D2544,"")</f>
        <v/>
      </c>
      <c r="E2544" s="893" t="s">
        <v>6498</v>
      </c>
      <c r="I2544" s="888"/>
      <c r="J2544" s="888"/>
      <c r="K2544" s="888"/>
      <c r="L2544" s="888"/>
      <c r="M2544" s="888"/>
      <c r="N2544" s="888"/>
      <c r="O2544" s="888"/>
      <c r="P2544" s="888"/>
      <c r="Q2544" s="888"/>
      <c r="R2544" s="888"/>
    </row>
    <row r="2545" spans="1:18" s="893" customFormat="1" x14ac:dyDescent="0.3">
      <c r="A2545" s="888" t="str">
        <f>IF(LEN('Translation-EN'!A2545)&gt;0,'Translation-EN'!A2545,"")</f>
        <v>Range</v>
      </c>
      <c r="B2545" s="888" t="str">
        <f>IF(LEN('Translation-EN'!B2545)&gt;0,'Translation-EN'!B2545,"")</f>
        <v>Master sheet</v>
      </c>
      <c r="C2545" s="888" t="str">
        <f>IF(LEN('Translation-EN'!C2545)&gt;0,'Translation-EN'!C2545,"")</f>
        <v>C460</v>
      </c>
      <c r="D2545" s="888" t="str">
        <f>IF(LEN('Translation-EN'!D2545)&gt;0,'Translation-EN'!D2545,"")</f>
        <v/>
      </c>
      <c r="E2545" s="893" t="str">
        <f>$E$2494</f>
        <v>ABQ</v>
      </c>
      <c r="I2545" s="888"/>
      <c r="J2545" s="888"/>
      <c r="K2545" s="888"/>
      <c r="L2545" s="888"/>
      <c r="M2545" s="888"/>
      <c r="N2545" s="888"/>
      <c r="O2545" s="888"/>
      <c r="P2545" s="888"/>
      <c r="Q2545" s="888"/>
      <c r="R2545" s="888"/>
    </row>
    <row r="2546" spans="1:18" s="893" customFormat="1" x14ac:dyDescent="0.3">
      <c r="A2546" s="888" t="str">
        <f>IF(LEN('Translation-EN'!A2546)&gt;0,'Translation-EN'!A2546,"")</f>
        <v>Range</v>
      </c>
      <c r="B2546" s="888" t="str">
        <f>IF(LEN('Translation-EN'!B2546)&gt;0,'Translation-EN'!B2546,"")</f>
        <v>Master sheet</v>
      </c>
      <c r="C2546" s="888" t="str">
        <f>IF(LEN('Translation-EN'!C2546)&gt;0,'Translation-EN'!C2546,"")</f>
        <v>D460</v>
      </c>
      <c r="D2546" s="888" t="str">
        <f>IF(LEN('Translation-EN'!D2546)&gt;0,'Translation-EN'!D2546,"")</f>
        <v/>
      </c>
      <c r="E2546" s="893" t="str">
        <f>$E$2495</f>
        <v>Can. Moyenne Québec</v>
      </c>
      <c r="I2546" s="888"/>
      <c r="J2546" s="888"/>
      <c r="K2546" s="888"/>
      <c r="L2546" s="888"/>
      <c r="M2546" s="888"/>
      <c r="N2546" s="888"/>
      <c r="O2546" s="888"/>
      <c r="P2546" s="888"/>
      <c r="Q2546" s="888"/>
      <c r="R2546" s="888"/>
    </row>
    <row r="2547" spans="1:18" s="893" customFormat="1" x14ac:dyDescent="0.3">
      <c r="A2547" s="888" t="str">
        <f>IF(LEN('Translation-EN'!A2547)&gt;0,'Translation-EN'!A2547,"")</f>
        <v>Range</v>
      </c>
      <c r="B2547" s="888" t="str">
        <f>IF(LEN('Translation-EN'!B2547)&gt;0,'Translation-EN'!B2547,"")</f>
        <v>Master sheet</v>
      </c>
      <c r="C2547" s="888" t="str">
        <f>IF(LEN('Translation-EN'!C2547)&gt;0,'Translation-EN'!C2547,"")</f>
        <v>B461</v>
      </c>
      <c r="D2547" s="888" t="str">
        <f>IF(LEN('Translation-EN'!D2547)&gt;0,'Translation-EN'!D2547,"")</f>
        <v/>
      </c>
      <c r="E2547" s="893" t="s">
        <v>6499</v>
      </c>
      <c r="I2547" s="888"/>
      <c r="J2547" s="888"/>
      <c r="K2547" s="888"/>
      <c r="L2547" s="888"/>
      <c r="M2547" s="888"/>
      <c r="N2547" s="888"/>
      <c r="O2547" s="888"/>
      <c r="P2547" s="888"/>
      <c r="Q2547" s="888"/>
      <c r="R2547" s="888"/>
    </row>
    <row r="2548" spans="1:18" s="893" customFormat="1" x14ac:dyDescent="0.3">
      <c r="A2548" s="888" t="str">
        <f>IF(LEN('Translation-EN'!A2548)&gt;0,'Translation-EN'!A2548,"")</f>
        <v>Range</v>
      </c>
      <c r="B2548" s="888" t="str">
        <f>IF(LEN('Translation-EN'!B2548)&gt;0,'Translation-EN'!B2548,"")</f>
        <v>Master sheet</v>
      </c>
      <c r="C2548" s="888" t="str">
        <f>IF(LEN('Translation-EN'!C2548)&gt;0,'Translation-EN'!C2548,"")</f>
        <v>C461</v>
      </c>
      <c r="D2548" s="888" t="str">
        <f>IF(LEN('Translation-EN'!D2548)&gt;0,'Translation-EN'!D2548,"")</f>
        <v/>
      </c>
      <c r="E2548" s="893" t="str">
        <f>$E$2494</f>
        <v>ABQ</v>
      </c>
      <c r="I2548" s="888"/>
      <c r="J2548" s="888"/>
      <c r="K2548" s="888"/>
      <c r="L2548" s="888"/>
      <c r="M2548" s="888"/>
      <c r="N2548" s="888"/>
      <c r="O2548" s="888"/>
      <c r="P2548" s="888"/>
      <c r="Q2548" s="888"/>
      <c r="R2548" s="888"/>
    </row>
    <row r="2549" spans="1:18" s="893" customFormat="1" x14ac:dyDescent="0.3">
      <c r="A2549" s="888" t="str">
        <f>IF(LEN('Translation-EN'!A2549)&gt;0,'Translation-EN'!A2549,"")</f>
        <v>Range</v>
      </c>
      <c r="B2549" s="888" t="str">
        <f>IF(LEN('Translation-EN'!B2549)&gt;0,'Translation-EN'!B2549,"")</f>
        <v>Master sheet</v>
      </c>
      <c r="C2549" s="888" t="str">
        <f>IF(LEN('Translation-EN'!C2549)&gt;0,'Translation-EN'!C2549,"")</f>
        <v>D461</v>
      </c>
      <c r="D2549" s="888" t="str">
        <f>IF(LEN('Translation-EN'!D2549)&gt;0,'Translation-EN'!D2549,"")</f>
        <v/>
      </c>
      <c r="E2549" s="893" t="str">
        <f>$E$2495</f>
        <v>Can. Moyenne Québec</v>
      </c>
      <c r="I2549" s="888"/>
      <c r="J2549" s="888"/>
      <c r="K2549" s="888"/>
      <c r="L2549" s="888"/>
      <c r="M2549" s="888"/>
      <c r="N2549" s="888"/>
      <c r="O2549" s="888"/>
      <c r="P2549" s="888"/>
      <c r="Q2549" s="888"/>
      <c r="R2549" s="888"/>
    </row>
    <row r="2550" spans="1:18" s="893" customFormat="1" x14ac:dyDescent="0.3">
      <c r="A2550" s="888" t="str">
        <f>IF(LEN('Translation-EN'!A2550)&gt;0,'Translation-EN'!A2550,"")</f>
        <v>Range</v>
      </c>
      <c r="B2550" s="888" t="str">
        <f>IF(LEN('Translation-EN'!B2550)&gt;0,'Translation-EN'!B2550,"")</f>
        <v>Master sheet</v>
      </c>
      <c r="C2550" s="888" t="str">
        <f>IF(LEN('Translation-EN'!C2550)&gt;0,'Translation-EN'!C2550,"")</f>
        <v>B462</v>
      </c>
      <c r="D2550" s="888" t="str">
        <f>IF(LEN('Translation-EN'!D2550)&gt;0,'Translation-EN'!D2550,"")</f>
        <v/>
      </c>
      <c r="E2550" s="893" t="s">
        <v>6500</v>
      </c>
      <c r="I2550" s="888"/>
      <c r="J2550" s="888"/>
      <c r="K2550" s="888"/>
      <c r="L2550" s="888"/>
      <c r="M2550" s="888"/>
      <c r="N2550" s="888"/>
      <c r="O2550" s="888"/>
      <c r="P2550" s="888"/>
      <c r="Q2550" s="888"/>
      <c r="R2550" s="888"/>
    </row>
    <row r="2551" spans="1:18" s="893" customFormat="1" x14ac:dyDescent="0.3">
      <c r="A2551" s="888" t="str">
        <f>IF(LEN('Translation-EN'!A2551)&gt;0,'Translation-EN'!A2551,"")</f>
        <v>Range</v>
      </c>
      <c r="B2551" s="888" t="str">
        <f>IF(LEN('Translation-EN'!B2551)&gt;0,'Translation-EN'!B2551,"")</f>
        <v>Master sheet</v>
      </c>
      <c r="C2551" s="888" t="str">
        <f>IF(LEN('Translation-EN'!C2551)&gt;0,'Translation-EN'!C2551,"")</f>
        <v>C462</v>
      </c>
      <c r="D2551" s="888" t="str">
        <f>IF(LEN('Translation-EN'!D2551)&gt;0,'Translation-EN'!D2551,"")</f>
        <v/>
      </c>
      <c r="E2551" s="893" t="str">
        <f>$E$2494</f>
        <v>ABQ</v>
      </c>
      <c r="I2551" s="888"/>
      <c r="J2551" s="888"/>
      <c r="K2551" s="888"/>
      <c r="L2551" s="888"/>
      <c r="M2551" s="888"/>
      <c r="N2551" s="888"/>
      <c r="O2551" s="888"/>
      <c r="P2551" s="888"/>
      <c r="Q2551" s="888"/>
      <c r="R2551" s="888"/>
    </row>
    <row r="2552" spans="1:18" s="893" customFormat="1" x14ac:dyDescent="0.3">
      <c r="A2552" s="888" t="str">
        <f>IF(LEN('Translation-EN'!A2552)&gt;0,'Translation-EN'!A2552,"")</f>
        <v>Range</v>
      </c>
      <c r="B2552" s="888" t="str">
        <f>IF(LEN('Translation-EN'!B2552)&gt;0,'Translation-EN'!B2552,"")</f>
        <v>Master sheet</v>
      </c>
      <c r="C2552" s="888" t="str">
        <f>IF(LEN('Translation-EN'!C2552)&gt;0,'Translation-EN'!C2552,"")</f>
        <v>D462</v>
      </c>
      <c r="D2552" s="888" t="str">
        <f>IF(LEN('Translation-EN'!D2552)&gt;0,'Translation-EN'!D2552,"")</f>
        <v/>
      </c>
      <c r="E2552" s="893" t="str">
        <f>$E$2495</f>
        <v>Can. Moyenne Québec</v>
      </c>
      <c r="I2552" s="888"/>
      <c r="J2552" s="888"/>
      <c r="K2552" s="888"/>
      <c r="L2552" s="888"/>
      <c r="M2552" s="888"/>
      <c r="N2552" s="888"/>
      <c r="O2552" s="888"/>
      <c r="P2552" s="888"/>
      <c r="Q2552" s="888"/>
      <c r="R2552" s="888"/>
    </row>
    <row r="2553" spans="1:18" s="893" customFormat="1" x14ac:dyDescent="0.3">
      <c r="A2553" s="888" t="str">
        <f>IF(LEN('Translation-EN'!A2553)&gt;0,'Translation-EN'!A2553,"")</f>
        <v>Range</v>
      </c>
      <c r="B2553" s="888" t="str">
        <f>IF(LEN('Translation-EN'!B2553)&gt;0,'Translation-EN'!B2553,"")</f>
        <v>Master sheet</v>
      </c>
      <c r="C2553" s="888" t="str">
        <f>IF(LEN('Translation-EN'!C2553)&gt;0,'Translation-EN'!C2553,"")</f>
        <v>B463</v>
      </c>
      <c r="D2553" s="888" t="str">
        <f>IF(LEN('Translation-EN'!D2553)&gt;0,'Translation-EN'!D2553,"")</f>
        <v/>
      </c>
      <c r="E2553" s="893" t="s">
        <v>6501</v>
      </c>
      <c r="I2553" s="888"/>
      <c r="J2553" s="888"/>
      <c r="K2553" s="888"/>
      <c r="L2553" s="888"/>
      <c r="M2553" s="888"/>
      <c r="N2553" s="888"/>
      <c r="O2553" s="888"/>
      <c r="P2553" s="888"/>
      <c r="Q2553" s="888"/>
      <c r="R2553" s="888"/>
    </row>
    <row r="2554" spans="1:18" s="893" customFormat="1" x14ac:dyDescent="0.3">
      <c r="A2554" s="888" t="str">
        <f>IF(LEN('Translation-EN'!A2554)&gt;0,'Translation-EN'!A2554,"")</f>
        <v>Range</v>
      </c>
      <c r="B2554" s="888" t="str">
        <f>IF(LEN('Translation-EN'!B2554)&gt;0,'Translation-EN'!B2554,"")</f>
        <v>Master sheet</v>
      </c>
      <c r="C2554" s="888" t="str">
        <f>IF(LEN('Translation-EN'!C2554)&gt;0,'Translation-EN'!C2554,"")</f>
        <v>C463</v>
      </c>
      <c r="D2554" s="888" t="str">
        <f>IF(LEN('Translation-EN'!D2554)&gt;0,'Translation-EN'!D2554,"")</f>
        <v/>
      </c>
      <c r="E2554" s="893" t="str">
        <f>$E$2494</f>
        <v>ABQ</v>
      </c>
      <c r="I2554" s="888"/>
      <c r="J2554" s="888"/>
      <c r="K2554" s="888"/>
      <c r="L2554" s="888"/>
      <c r="M2554" s="888"/>
      <c r="N2554" s="888"/>
      <c r="O2554" s="888"/>
      <c r="P2554" s="888"/>
      <c r="Q2554" s="888"/>
      <c r="R2554" s="888"/>
    </row>
    <row r="2555" spans="1:18" s="893" customFormat="1" x14ac:dyDescent="0.3">
      <c r="A2555" s="888" t="str">
        <f>IF(LEN('Translation-EN'!A2555)&gt;0,'Translation-EN'!A2555,"")</f>
        <v>Range</v>
      </c>
      <c r="B2555" s="888" t="str">
        <f>IF(LEN('Translation-EN'!B2555)&gt;0,'Translation-EN'!B2555,"")</f>
        <v>Master sheet</v>
      </c>
      <c r="C2555" s="888" t="str">
        <f>IF(LEN('Translation-EN'!C2555)&gt;0,'Translation-EN'!C2555,"")</f>
        <v>D463</v>
      </c>
      <c r="D2555" s="888" t="str">
        <f>IF(LEN('Translation-EN'!D2555)&gt;0,'Translation-EN'!D2555,"")</f>
        <v/>
      </c>
      <c r="E2555" s="893" t="str">
        <f>$E$2495</f>
        <v>Can. Moyenne Québec</v>
      </c>
      <c r="I2555" s="888"/>
      <c r="J2555" s="888"/>
      <c r="K2555" s="888"/>
      <c r="L2555" s="888"/>
      <c r="M2555" s="888"/>
      <c r="N2555" s="888"/>
      <c r="O2555" s="888"/>
      <c r="P2555" s="888"/>
      <c r="Q2555" s="888"/>
      <c r="R2555" s="888"/>
    </row>
    <row r="2556" spans="1:18" s="893" customFormat="1" x14ac:dyDescent="0.3">
      <c r="A2556" s="888" t="str">
        <f>IF(LEN('Translation-EN'!A2556)&gt;0,'Translation-EN'!A2556,"")</f>
        <v>Range</v>
      </c>
      <c r="B2556" s="888" t="str">
        <f>IF(LEN('Translation-EN'!B2556)&gt;0,'Translation-EN'!B2556,"")</f>
        <v>Master sheet</v>
      </c>
      <c r="C2556" s="888" t="str">
        <f>IF(LEN('Translation-EN'!C2556)&gt;0,'Translation-EN'!C2556,"")</f>
        <v>B464</v>
      </c>
      <c r="D2556" s="888" t="str">
        <f>IF(LEN('Translation-EN'!D2556)&gt;0,'Translation-EN'!D2556,"")</f>
        <v/>
      </c>
      <c r="E2556" s="893" t="s">
        <v>6502</v>
      </c>
      <c r="I2556" s="888"/>
      <c r="J2556" s="888"/>
      <c r="K2556" s="888"/>
      <c r="L2556" s="888"/>
      <c r="M2556" s="888"/>
      <c r="N2556" s="888"/>
      <c r="O2556" s="888"/>
      <c r="P2556" s="888"/>
      <c r="Q2556" s="888"/>
      <c r="R2556" s="888"/>
    </row>
    <row r="2557" spans="1:18" s="893" customFormat="1" x14ac:dyDescent="0.3">
      <c r="A2557" s="888" t="str">
        <f>IF(LEN('Translation-EN'!A2557)&gt;0,'Translation-EN'!A2557,"")</f>
        <v>Range</v>
      </c>
      <c r="B2557" s="888" t="str">
        <f>IF(LEN('Translation-EN'!B2557)&gt;0,'Translation-EN'!B2557,"")</f>
        <v>Master sheet</v>
      </c>
      <c r="C2557" s="888" t="str">
        <f>IF(LEN('Translation-EN'!C2557)&gt;0,'Translation-EN'!C2557,"")</f>
        <v>C464</v>
      </c>
      <c r="D2557" s="888" t="str">
        <f>IF(LEN('Translation-EN'!D2557)&gt;0,'Translation-EN'!D2557,"")</f>
        <v/>
      </c>
      <c r="E2557" s="893" t="s">
        <v>3569</v>
      </c>
      <c r="I2557" s="888"/>
      <c r="J2557" s="888"/>
      <c r="K2557" s="888"/>
      <c r="L2557" s="888"/>
      <c r="M2557" s="888"/>
      <c r="N2557" s="888"/>
      <c r="O2557" s="888"/>
      <c r="P2557" s="888"/>
      <c r="Q2557" s="888"/>
      <c r="R2557" s="888"/>
    </row>
    <row r="2558" spans="1:18" s="893" customFormat="1" x14ac:dyDescent="0.3">
      <c r="A2558" s="888" t="str">
        <f>IF(LEN('Translation-EN'!A2558)&gt;0,'Translation-EN'!A2558,"")</f>
        <v>Range</v>
      </c>
      <c r="B2558" s="888" t="str">
        <f>IF(LEN('Translation-EN'!B2558)&gt;0,'Translation-EN'!B2558,"")</f>
        <v>Master sheet</v>
      </c>
      <c r="C2558" s="888" t="str">
        <f>IF(LEN('Translation-EN'!C2558)&gt;0,'Translation-EN'!C2558,"")</f>
        <v>D464</v>
      </c>
      <c r="D2558" s="888" t="str">
        <f>IF(LEN('Translation-EN'!D2558)&gt;0,'Translation-EN'!D2558,"")</f>
        <v/>
      </c>
      <c r="E2558" s="893" t="s">
        <v>6503</v>
      </c>
      <c r="I2558" s="888"/>
      <c r="J2558" s="888"/>
      <c r="K2558" s="888"/>
      <c r="L2558" s="888"/>
      <c r="M2558" s="888"/>
      <c r="N2558" s="888"/>
      <c r="O2558" s="888"/>
      <c r="P2558" s="888"/>
      <c r="Q2558" s="888"/>
      <c r="R2558" s="888"/>
    </row>
    <row r="2559" spans="1:18" s="893" customFormat="1" x14ac:dyDescent="0.3">
      <c r="A2559" s="888" t="str">
        <f>IF(LEN('Translation-EN'!A2559)&gt;0,'Translation-EN'!A2559,"")</f>
        <v>Range</v>
      </c>
      <c r="B2559" s="888" t="str">
        <f>IF(LEN('Translation-EN'!B2559)&gt;0,'Translation-EN'!B2559,"")</f>
        <v>Master sheet</v>
      </c>
      <c r="C2559" s="888" t="str">
        <f>IF(LEN('Translation-EN'!C2559)&gt;0,'Translation-EN'!C2559,"")</f>
        <v>B465</v>
      </c>
      <c r="D2559" s="888" t="str">
        <f>IF(LEN('Translation-EN'!D2559)&gt;0,'Translation-EN'!D2559,"")</f>
        <v/>
      </c>
      <c r="E2559" s="893" t="s">
        <v>6504</v>
      </c>
      <c r="I2559" s="888"/>
      <c r="J2559" s="888"/>
      <c r="K2559" s="888"/>
      <c r="L2559" s="888"/>
      <c r="M2559" s="888"/>
      <c r="N2559" s="888"/>
      <c r="O2559" s="888"/>
      <c r="P2559" s="888"/>
      <c r="Q2559" s="888"/>
      <c r="R2559" s="888"/>
    </row>
    <row r="2560" spans="1:18" s="893" customFormat="1" x14ac:dyDescent="0.3">
      <c r="A2560" s="888" t="str">
        <f>IF(LEN('Translation-EN'!A2560)&gt;0,'Translation-EN'!A2560,"")</f>
        <v>Range</v>
      </c>
      <c r="B2560" s="888" t="str">
        <f>IF(LEN('Translation-EN'!B2560)&gt;0,'Translation-EN'!B2560,"")</f>
        <v>Master sheet</v>
      </c>
      <c r="C2560" s="888" t="str">
        <f>IF(LEN('Translation-EN'!C2560)&gt;0,'Translation-EN'!C2560,"")</f>
        <v>C465</v>
      </c>
      <c r="D2560" s="888" t="str">
        <f>IF(LEN('Translation-EN'!D2560)&gt;0,'Translation-EN'!D2560,"")</f>
        <v/>
      </c>
      <c r="E2560" s="893" t="str">
        <f>$E$2557</f>
        <v>RMCAO</v>
      </c>
      <c r="I2560" s="888"/>
      <c r="J2560" s="888"/>
      <c r="K2560" s="888"/>
      <c r="L2560" s="888"/>
      <c r="M2560" s="888"/>
      <c r="N2560" s="888"/>
      <c r="O2560" s="888"/>
      <c r="P2560" s="888"/>
      <c r="Q2560" s="888"/>
      <c r="R2560" s="888"/>
    </row>
    <row r="2561" spans="1:18" s="893" customFormat="1" x14ac:dyDescent="0.3">
      <c r="A2561" s="888" t="str">
        <f>IF(LEN('Translation-EN'!A2561)&gt;0,'Translation-EN'!A2561,"")</f>
        <v>Range</v>
      </c>
      <c r="B2561" s="888" t="str">
        <f>IF(LEN('Translation-EN'!B2561)&gt;0,'Translation-EN'!B2561,"")</f>
        <v>Master sheet</v>
      </c>
      <c r="C2561" s="888" t="str">
        <f>IF(LEN('Translation-EN'!C2561)&gt;0,'Translation-EN'!C2561,"")</f>
        <v>D465</v>
      </c>
      <c r="D2561" s="888" t="str">
        <f>IF(LEN('Translation-EN'!D2561)&gt;0,'Translation-EN'!D2561,"")</f>
        <v/>
      </c>
      <c r="E2561" s="893" t="str">
        <f>$E$2558</f>
        <v>Can. Moyenne Ontario</v>
      </c>
      <c r="I2561" s="888"/>
      <c r="J2561" s="888"/>
      <c r="K2561" s="888"/>
      <c r="L2561" s="888"/>
      <c r="M2561" s="888"/>
      <c r="N2561" s="888"/>
      <c r="O2561" s="888"/>
      <c r="P2561" s="888"/>
      <c r="Q2561" s="888"/>
      <c r="R2561" s="888"/>
    </row>
    <row r="2562" spans="1:18" s="893" customFormat="1" x14ac:dyDescent="0.3">
      <c r="A2562" s="888" t="str">
        <f>IF(LEN('Translation-EN'!A2562)&gt;0,'Translation-EN'!A2562,"")</f>
        <v>Range</v>
      </c>
      <c r="B2562" s="888" t="str">
        <f>IF(LEN('Translation-EN'!B2562)&gt;0,'Translation-EN'!B2562,"")</f>
        <v>Master sheet</v>
      </c>
      <c r="C2562" s="888" t="str">
        <f>IF(LEN('Translation-EN'!C2562)&gt;0,'Translation-EN'!C2562,"")</f>
        <v>B466</v>
      </c>
      <c r="D2562" s="888" t="str">
        <f>IF(LEN('Translation-EN'!D2562)&gt;0,'Translation-EN'!D2562,"")</f>
        <v/>
      </c>
      <c r="E2562" s="893" t="s">
        <v>6505</v>
      </c>
      <c r="I2562" s="888"/>
      <c r="J2562" s="888"/>
      <c r="K2562" s="888"/>
      <c r="L2562" s="888"/>
      <c r="M2562" s="888"/>
      <c r="N2562" s="888"/>
      <c r="O2562" s="888"/>
      <c r="P2562" s="888"/>
      <c r="Q2562" s="888"/>
      <c r="R2562" s="888"/>
    </row>
    <row r="2563" spans="1:18" s="893" customFormat="1" x14ac:dyDescent="0.3">
      <c r="A2563" s="888" t="str">
        <f>IF(LEN('Translation-EN'!A2563)&gt;0,'Translation-EN'!A2563,"")</f>
        <v>Range</v>
      </c>
      <c r="B2563" s="888" t="str">
        <f>IF(LEN('Translation-EN'!B2563)&gt;0,'Translation-EN'!B2563,"")</f>
        <v>Master sheet</v>
      </c>
      <c r="C2563" s="888" t="str">
        <f>IF(LEN('Translation-EN'!C2563)&gt;0,'Translation-EN'!C2563,"")</f>
        <v>C466</v>
      </c>
      <c r="D2563" s="888" t="str">
        <f>IF(LEN('Translation-EN'!D2563)&gt;0,'Translation-EN'!D2563,"")</f>
        <v/>
      </c>
      <c r="E2563" s="893" t="str">
        <f>$E$2557</f>
        <v>RMCAO</v>
      </c>
      <c r="I2563" s="888"/>
      <c r="J2563" s="888"/>
      <c r="K2563" s="888"/>
      <c r="L2563" s="888"/>
      <c r="M2563" s="888"/>
      <c r="N2563" s="888"/>
      <c r="O2563" s="888"/>
      <c r="P2563" s="888"/>
      <c r="Q2563" s="888"/>
      <c r="R2563" s="888"/>
    </row>
    <row r="2564" spans="1:18" s="893" customFormat="1" x14ac:dyDescent="0.3">
      <c r="A2564" s="888" t="str">
        <f>IF(LEN('Translation-EN'!A2564)&gt;0,'Translation-EN'!A2564,"")</f>
        <v>Range</v>
      </c>
      <c r="B2564" s="888" t="str">
        <f>IF(LEN('Translation-EN'!B2564)&gt;0,'Translation-EN'!B2564,"")</f>
        <v>Master sheet</v>
      </c>
      <c r="C2564" s="888" t="str">
        <f>IF(LEN('Translation-EN'!C2564)&gt;0,'Translation-EN'!C2564,"")</f>
        <v>D466</v>
      </c>
      <c r="D2564" s="888" t="str">
        <f>IF(LEN('Translation-EN'!D2564)&gt;0,'Translation-EN'!D2564,"")</f>
        <v/>
      </c>
      <c r="E2564" s="893" t="str">
        <f>$E$2558</f>
        <v>Can. Moyenne Ontario</v>
      </c>
      <c r="I2564" s="888"/>
      <c r="J2564" s="888"/>
      <c r="K2564" s="888"/>
      <c r="L2564" s="888"/>
      <c r="M2564" s="888"/>
      <c r="N2564" s="888"/>
      <c r="O2564" s="888"/>
      <c r="P2564" s="888"/>
      <c r="Q2564" s="888"/>
      <c r="R2564" s="888"/>
    </row>
    <row r="2565" spans="1:18" s="893" customFormat="1" x14ac:dyDescent="0.3">
      <c r="A2565" s="888" t="str">
        <f>IF(LEN('Translation-EN'!A2565)&gt;0,'Translation-EN'!A2565,"")</f>
        <v>Range</v>
      </c>
      <c r="B2565" s="888" t="str">
        <f>IF(LEN('Translation-EN'!B2565)&gt;0,'Translation-EN'!B2565,"")</f>
        <v>Master sheet</v>
      </c>
      <c r="C2565" s="888" t="str">
        <f>IF(LEN('Translation-EN'!C2565)&gt;0,'Translation-EN'!C2565,"")</f>
        <v>B467</v>
      </c>
      <c r="D2565" s="888" t="str">
        <f>IF(LEN('Translation-EN'!D2565)&gt;0,'Translation-EN'!D2565,"")</f>
        <v/>
      </c>
      <c r="E2565" s="893" t="s">
        <v>6506</v>
      </c>
      <c r="I2565" s="888"/>
      <c r="J2565" s="888"/>
      <c r="K2565" s="888"/>
      <c r="L2565" s="888"/>
      <c r="M2565" s="888"/>
      <c r="N2565" s="888"/>
      <c r="O2565" s="888"/>
      <c r="P2565" s="888"/>
      <c r="Q2565" s="888"/>
      <c r="R2565" s="888"/>
    </row>
    <row r="2566" spans="1:18" s="893" customFormat="1" x14ac:dyDescent="0.3">
      <c r="A2566" s="888" t="str">
        <f>IF(LEN('Translation-EN'!A2566)&gt;0,'Translation-EN'!A2566,"")</f>
        <v>Range</v>
      </c>
      <c r="B2566" s="888" t="str">
        <f>IF(LEN('Translation-EN'!B2566)&gt;0,'Translation-EN'!B2566,"")</f>
        <v>Master sheet</v>
      </c>
      <c r="C2566" s="888" t="str">
        <f>IF(LEN('Translation-EN'!C2566)&gt;0,'Translation-EN'!C2566,"")</f>
        <v>C467</v>
      </c>
      <c r="D2566" s="888" t="str">
        <f>IF(LEN('Translation-EN'!D2566)&gt;0,'Translation-EN'!D2566,"")</f>
        <v/>
      </c>
      <c r="E2566" s="893" t="str">
        <f>$E$2557</f>
        <v>RMCAO</v>
      </c>
      <c r="I2566" s="888"/>
      <c r="J2566" s="888"/>
      <c r="K2566" s="888"/>
      <c r="L2566" s="888"/>
      <c r="M2566" s="888"/>
      <c r="N2566" s="888"/>
      <c r="O2566" s="888"/>
      <c r="P2566" s="888"/>
      <c r="Q2566" s="888"/>
      <c r="R2566" s="888"/>
    </row>
    <row r="2567" spans="1:18" s="893" customFormat="1" x14ac:dyDescent="0.3">
      <c r="A2567" s="888" t="str">
        <f>IF(LEN('Translation-EN'!A2567)&gt;0,'Translation-EN'!A2567,"")</f>
        <v>Range</v>
      </c>
      <c r="B2567" s="888" t="str">
        <f>IF(LEN('Translation-EN'!B2567)&gt;0,'Translation-EN'!B2567,"")</f>
        <v>Master sheet</v>
      </c>
      <c r="C2567" s="888" t="str">
        <f>IF(LEN('Translation-EN'!C2567)&gt;0,'Translation-EN'!C2567,"")</f>
        <v>D467</v>
      </c>
      <c r="D2567" s="888" t="str">
        <f>IF(LEN('Translation-EN'!D2567)&gt;0,'Translation-EN'!D2567,"")</f>
        <v/>
      </c>
      <c r="E2567" s="893" t="str">
        <f>$E$2558</f>
        <v>Can. Moyenne Ontario</v>
      </c>
      <c r="I2567" s="888"/>
      <c r="J2567" s="888"/>
      <c r="K2567" s="888"/>
      <c r="L2567" s="888"/>
      <c r="M2567" s="888"/>
      <c r="N2567" s="888"/>
      <c r="O2567" s="888"/>
      <c r="P2567" s="888"/>
      <c r="Q2567" s="888"/>
      <c r="R2567" s="888"/>
    </row>
    <row r="2568" spans="1:18" s="893" customFormat="1" x14ac:dyDescent="0.3">
      <c r="A2568" s="888" t="str">
        <f>IF(LEN('Translation-EN'!A2568)&gt;0,'Translation-EN'!A2568,"")</f>
        <v>Range</v>
      </c>
      <c r="B2568" s="888" t="str">
        <f>IF(LEN('Translation-EN'!B2568)&gt;0,'Translation-EN'!B2568,"")</f>
        <v>Master sheet</v>
      </c>
      <c r="C2568" s="888" t="str">
        <f>IF(LEN('Translation-EN'!C2568)&gt;0,'Translation-EN'!C2568,"")</f>
        <v>B468</v>
      </c>
      <c r="D2568" s="888" t="str">
        <f>IF(LEN('Translation-EN'!D2568)&gt;0,'Translation-EN'!D2568,"")</f>
        <v/>
      </c>
      <c r="E2568" s="893" t="s">
        <v>6507</v>
      </c>
      <c r="I2568" s="888"/>
      <c r="J2568" s="888"/>
      <c r="K2568" s="888"/>
      <c r="L2568" s="888"/>
      <c r="M2568" s="888"/>
      <c r="N2568" s="888"/>
      <c r="O2568" s="888"/>
      <c r="P2568" s="888"/>
      <c r="Q2568" s="888"/>
      <c r="R2568" s="888"/>
    </row>
    <row r="2569" spans="1:18" s="893" customFormat="1" x14ac:dyDescent="0.3">
      <c r="A2569" s="888" t="str">
        <f>IF(LEN('Translation-EN'!A2569)&gt;0,'Translation-EN'!A2569,"")</f>
        <v>Range</v>
      </c>
      <c r="B2569" s="888" t="str">
        <f>IF(LEN('Translation-EN'!B2569)&gt;0,'Translation-EN'!B2569,"")</f>
        <v>Master sheet</v>
      </c>
      <c r="C2569" s="888" t="str">
        <f>IF(LEN('Translation-EN'!C2569)&gt;0,'Translation-EN'!C2569,"")</f>
        <v>C468</v>
      </c>
      <c r="D2569" s="888" t="str">
        <f>IF(LEN('Translation-EN'!D2569)&gt;0,'Translation-EN'!D2569,"")</f>
        <v/>
      </c>
      <c r="E2569" s="893" t="str">
        <f>$E$2557</f>
        <v>RMCAO</v>
      </c>
      <c r="I2569" s="888"/>
      <c r="J2569" s="888"/>
      <c r="K2569" s="888"/>
      <c r="L2569" s="888"/>
      <c r="M2569" s="888"/>
      <c r="N2569" s="888"/>
      <c r="O2569" s="888"/>
      <c r="P2569" s="888"/>
      <c r="Q2569" s="888"/>
      <c r="R2569" s="888"/>
    </row>
    <row r="2570" spans="1:18" s="893" customFormat="1" x14ac:dyDescent="0.3">
      <c r="A2570" s="888" t="str">
        <f>IF(LEN('Translation-EN'!A2570)&gt;0,'Translation-EN'!A2570,"")</f>
        <v>Range</v>
      </c>
      <c r="B2570" s="888" t="str">
        <f>IF(LEN('Translation-EN'!B2570)&gt;0,'Translation-EN'!B2570,"")</f>
        <v>Master sheet</v>
      </c>
      <c r="C2570" s="888" t="str">
        <f>IF(LEN('Translation-EN'!C2570)&gt;0,'Translation-EN'!C2570,"")</f>
        <v>D468</v>
      </c>
      <c r="D2570" s="888" t="str">
        <f>IF(LEN('Translation-EN'!D2570)&gt;0,'Translation-EN'!D2570,"")</f>
        <v/>
      </c>
      <c r="E2570" s="893" t="str">
        <f>$E$2558</f>
        <v>Can. Moyenne Ontario</v>
      </c>
      <c r="I2570" s="888"/>
      <c r="J2570" s="888"/>
      <c r="K2570" s="888"/>
      <c r="L2570" s="888"/>
      <c r="M2570" s="888"/>
      <c r="N2570" s="888"/>
      <c r="O2570" s="888"/>
      <c r="P2570" s="888"/>
      <c r="Q2570" s="888"/>
      <c r="R2570" s="888"/>
    </row>
    <row r="2571" spans="1:18" s="893" customFormat="1" x14ac:dyDescent="0.3">
      <c r="A2571" s="888" t="str">
        <f>IF(LEN('Translation-EN'!A2571)&gt;0,'Translation-EN'!A2571,"")</f>
        <v>Range</v>
      </c>
      <c r="B2571" s="888" t="str">
        <f>IF(LEN('Translation-EN'!B2571)&gt;0,'Translation-EN'!B2571,"")</f>
        <v>Master sheet</v>
      </c>
      <c r="C2571" s="888" t="str">
        <f>IF(LEN('Translation-EN'!C2571)&gt;0,'Translation-EN'!C2571,"")</f>
        <v>B469</v>
      </c>
      <c r="D2571" s="888" t="str">
        <f>IF(LEN('Translation-EN'!D2571)&gt;0,'Translation-EN'!D2571,"")</f>
        <v/>
      </c>
      <c r="E2571" s="893" t="s">
        <v>6508</v>
      </c>
      <c r="I2571" s="888"/>
      <c r="J2571" s="888"/>
      <c r="K2571" s="888"/>
      <c r="L2571" s="888"/>
      <c r="M2571" s="888"/>
      <c r="N2571" s="888"/>
      <c r="O2571" s="888"/>
      <c r="P2571" s="888"/>
      <c r="Q2571" s="888"/>
      <c r="R2571" s="888"/>
    </row>
    <row r="2572" spans="1:18" s="893" customFormat="1" x14ac:dyDescent="0.3">
      <c r="A2572" s="888" t="str">
        <f>IF(LEN('Translation-EN'!A2572)&gt;0,'Translation-EN'!A2572,"")</f>
        <v>Range</v>
      </c>
      <c r="B2572" s="888" t="str">
        <f>IF(LEN('Translation-EN'!B2572)&gt;0,'Translation-EN'!B2572,"")</f>
        <v>Master sheet</v>
      </c>
      <c r="C2572" s="888" t="str">
        <f>IF(LEN('Translation-EN'!C2572)&gt;0,'Translation-EN'!C2572,"")</f>
        <v>C469</v>
      </c>
      <c r="D2572" s="888" t="str">
        <f>IF(LEN('Translation-EN'!D2572)&gt;0,'Translation-EN'!D2572,"")</f>
        <v/>
      </c>
      <c r="E2572" s="893" t="str">
        <f>$E$2557</f>
        <v>RMCAO</v>
      </c>
      <c r="I2572" s="888"/>
      <c r="J2572" s="888"/>
      <c r="K2572" s="888"/>
      <c r="L2572" s="888"/>
      <c r="M2572" s="888"/>
      <c r="N2572" s="888"/>
      <c r="O2572" s="888"/>
      <c r="P2572" s="888"/>
      <c r="Q2572" s="888"/>
      <c r="R2572" s="888"/>
    </row>
    <row r="2573" spans="1:18" s="893" customFormat="1" x14ac:dyDescent="0.3">
      <c r="A2573" s="888" t="str">
        <f>IF(LEN('Translation-EN'!A2573)&gt;0,'Translation-EN'!A2573,"")</f>
        <v>Range</v>
      </c>
      <c r="B2573" s="888" t="str">
        <f>IF(LEN('Translation-EN'!B2573)&gt;0,'Translation-EN'!B2573,"")</f>
        <v>Master sheet</v>
      </c>
      <c r="C2573" s="888" t="str">
        <f>IF(LEN('Translation-EN'!C2573)&gt;0,'Translation-EN'!C2573,"")</f>
        <v>D469</v>
      </c>
      <c r="D2573" s="888" t="str">
        <f>IF(LEN('Translation-EN'!D2573)&gt;0,'Translation-EN'!D2573,"")</f>
        <v/>
      </c>
      <c r="E2573" s="893" t="str">
        <f>$E$2558</f>
        <v>Can. Moyenne Ontario</v>
      </c>
      <c r="I2573" s="888"/>
      <c r="J2573" s="888"/>
      <c r="K2573" s="888"/>
      <c r="L2573" s="888"/>
      <c r="M2573" s="888"/>
      <c r="N2573" s="888"/>
      <c r="O2573" s="888"/>
      <c r="P2573" s="888"/>
      <c r="Q2573" s="888"/>
      <c r="R2573" s="888"/>
    </row>
    <row r="2574" spans="1:18" s="893" customFormat="1" x14ac:dyDescent="0.3">
      <c r="A2574" s="888" t="str">
        <f>IF(LEN('Translation-EN'!A2574)&gt;0,'Translation-EN'!A2574,"")</f>
        <v>Range</v>
      </c>
      <c r="B2574" s="888" t="str">
        <f>IF(LEN('Translation-EN'!B2574)&gt;0,'Translation-EN'!B2574,"")</f>
        <v>Master sheet</v>
      </c>
      <c r="C2574" s="888" t="str">
        <f>IF(LEN('Translation-EN'!C2574)&gt;0,'Translation-EN'!C2574,"")</f>
        <v>B470</v>
      </c>
      <c r="D2574" s="888" t="str">
        <f>IF(LEN('Translation-EN'!D2574)&gt;0,'Translation-EN'!D2574,"")</f>
        <v/>
      </c>
      <c r="E2574" s="893" t="s">
        <v>6509</v>
      </c>
      <c r="I2574" s="888"/>
      <c r="J2574" s="888"/>
      <c r="K2574" s="888"/>
      <c r="L2574" s="888"/>
      <c r="M2574" s="888"/>
      <c r="N2574" s="888"/>
      <c r="O2574" s="888"/>
      <c r="P2574" s="888"/>
      <c r="Q2574" s="888"/>
      <c r="R2574" s="888"/>
    </row>
    <row r="2575" spans="1:18" s="893" customFormat="1" x14ac:dyDescent="0.3">
      <c r="A2575" s="888" t="str">
        <f>IF(LEN('Translation-EN'!A2575)&gt;0,'Translation-EN'!A2575,"")</f>
        <v>Range</v>
      </c>
      <c r="B2575" s="888" t="str">
        <f>IF(LEN('Translation-EN'!B2575)&gt;0,'Translation-EN'!B2575,"")</f>
        <v>Master sheet</v>
      </c>
      <c r="C2575" s="888" t="str">
        <f>IF(LEN('Translation-EN'!C2575)&gt;0,'Translation-EN'!C2575,"")</f>
        <v>C470</v>
      </c>
      <c r="D2575" s="888" t="str">
        <f>IF(LEN('Translation-EN'!D2575)&gt;0,'Translation-EN'!D2575,"")</f>
        <v/>
      </c>
      <c r="E2575" s="893" t="str">
        <f>$E$2557</f>
        <v>RMCAO</v>
      </c>
      <c r="I2575" s="888"/>
      <c r="J2575" s="888"/>
      <c r="K2575" s="888"/>
      <c r="L2575" s="888"/>
      <c r="M2575" s="888"/>
      <c r="N2575" s="888"/>
      <c r="O2575" s="888"/>
      <c r="P2575" s="888"/>
      <c r="Q2575" s="888"/>
      <c r="R2575" s="888"/>
    </row>
    <row r="2576" spans="1:18" s="893" customFormat="1" x14ac:dyDescent="0.3">
      <c r="A2576" s="888" t="str">
        <f>IF(LEN('Translation-EN'!A2576)&gt;0,'Translation-EN'!A2576,"")</f>
        <v>Range</v>
      </c>
      <c r="B2576" s="888" t="str">
        <f>IF(LEN('Translation-EN'!B2576)&gt;0,'Translation-EN'!B2576,"")</f>
        <v>Master sheet</v>
      </c>
      <c r="C2576" s="888" t="str">
        <f>IF(LEN('Translation-EN'!C2576)&gt;0,'Translation-EN'!C2576,"")</f>
        <v>D470</v>
      </c>
      <c r="D2576" s="888" t="str">
        <f>IF(LEN('Translation-EN'!D2576)&gt;0,'Translation-EN'!D2576,"")</f>
        <v/>
      </c>
      <c r="E2576" s="893" t="str">
        <f>$E$2558</f>
        <v>Can. Moyenne Ontario</v>
      </c>
      <c r="I2576" s="888"/>
      <c r="J2576" s="888"/>
      <c r="K2576" s="888"/>
      <c r="L2576" s="888"/>
      <c r="M2576" s="888"/>
      <c r="N2576" s="888"/>
      <c r="O2576" s="888"/>
      <c r="P2576" s="888"/>
      <c r="Q2576" s="888"/>
      <c r="R2576" s="888"/>
    </row>
    <row r="2577" spans="1:18" s="893" customFormat="1" x14ac:dyDescent="0.3">
      <c r="A2577" s="888" t="str">
        <f>IF(LEN('Translation-EN'!A2577)&gt;0,'Translation-EN'!A2577,"")</f>
        <v>Range</v>
      </c>
      <c r="B2577" s="888" t="str">
        <f>IF(LEN('Translation-EN'!B2577)&gt;0,'Translation-EN'!B2577,"")</f>
        <v>Master sheet</v>
      </c>
      <c r="C2577" s="888" t="str">
        <f>IF(LEN('Translation-EN'!C2577)&gt;0,'Translation-EN'!C2577,"")</f>
        <v>B471</v>
      </c>
      <c r="D2577" s="888" t="str">
        <f>IF(LEN('Translation-EN'!D2577)&gt;0,'Translation-EN'!D2577,"")</f>
        <v/>
      </c>
      <c r="E2577" s="893" t="s">
        <v>6510</v>
      </c>
      <c r="I2577" s="888"/>
      <c r="J2577" s="888"/>
      <c r="K2577" s="888"/>
      <c r="L2577" s="888"/>
      <c r="M2577" s="888"/>
      <c r="N2577" s="888"/>
      <c r="O2577" s="888"/>
      <c r="P2577" s="888"/>
      <c r="Q2577" s="888"/>
      <c r="R2577" s="888"/>
    </row>
    <row r="2578" spans="1:18" s="893" customFormat="1" x14ac:dyDescent="0.3">
      <c r="A2578" s="888" t="str">
        <f>IF(LEN('Translation-EN'!A2578)&gt;0,'Translation-EN'!A2578,"")</f>
        <v>Range</v>
      </c>
      <c r="B2578" s="888" t="str">
        <f>IF(LEN('Translation-EN'!B2578)&gt;0,'Translation-EN'!B2578,"")</f>
        <v>Master sheet</v>
      </c>
      <c r="C2578" s="888" t="str">
        <f>IF(LEN('Translation-EN'!C2578)&gt;0,'Translation-EN'!C2578,"")</f>
        <v>C471</v>
      </c>
      <c r="D2578" s="888" t="str">
        <f>IF(LEN('Translation-EN'!D2578)&gt;0,'Translation-EN'!D2578,"")</f>
        <v/>
      </c>
      <c r="E2578" s="893" t="str">
        <f>$E$2557</f>
        <v>RMCAO</v>
      </c>
      <c r="I2578" s="888"/>
      <c r="J2578" s="888"/>
      <c r="K2578" s="888"/>
      <c r="L2578" s="888"/>
      <c r="M2578" s="888"/>
      <c r="N2578" s="888"/>
      <c r="O2578" s="888"/>
      <c r="P2578" s="888"/>
      <c r="Q2578" s="888"/>
      <c r="R2578" s="888"/>
    </row>
    <row r="2579" spans="1:18" s="893" customFormat="1" x14ac:dyDescent="0.3">
      <c r="A2579" s="888" t="str">
        <f>IF(LEN('Translation-EN'!A2579)&gt;0,'Translation-EN'!A2579,"")</f>
        <v>Range</v>
      </c>
      <c r="B2579" s="888" t="str">
        <f>IF(LEN('Translation-EN'!B2579)&gt;0,'Translation-EN'!B2579,"")</f>
        <v>Master sheet</v>
      </c>
      <c r="C2579" s="888" t="str">
        <f>IF(LEN('Translation-EN'!C2579)&gt;0,'Translation-EN'!C2579,"")</f>
        <v>D471</v>
      </c>
      <c r="D2579" s="888" t="str">
        <f>IF(LEN('Translation-EN'!D2579)&gt;0,'Translation-EN'!D2579,"")</f>
        <v/>
      </c>
      <c r="E2579" s="893" t="str">
        <f>$E$2558</f>
        <v>Can. Moyenne Ontario</v>
      </c>
      <c r="I2579" s="888"/>
      <c r="J2579" s="888"/>
      <c r="K2579" s="888"/>
      <c r="L2579" s="888"/>
      <c r="M2579" s="888"/>
      <c r="N2579" s="888"/>
      <c r="O2579" s="888"/>
      <c r="P2579" s="888"/>
      <c r="Q2579" s="888"/>
      <c r="R2579" s="888"/>
    </row>
    <row r="2580" spans="1:18" s="893" customFormat="1" x14ac:dyDescent="0.3">
      <c r="A2580" s="888" t="str">
        <f>IF(LEN('Translation-EN'!A2580)&gt;0,'Translation-EN'!A2580,"")</f>
        <v>Range</v>
      </c>
      <c r="B2580" s="888" t="str">
        <f>IF(LEN('Translation-EN'!B2580)&gt;0,'Translation-EN'!B2580,"")</f>
        <v>Master sheet</v>
      </c>
      <c r="C2580" s="888" t="str">
        <f>IF(LEN('Translation-EN'!C2580)&gt;0,'Translation-EN'!C2580,"")</f>
        <v>B472</v>
      </c>
      <c r="D2580" s="888" t="str">
        <f>IF(LEN('Translation-EN'!D2580)&gt;0,'Translation-EN'!D2580,"")</f>
        <v/>
      </c>
      <c r="E2580" s="893" t="s">
        <v>6511</v>
      </c>
      <c r="I2580" s="888"/>
      <c r="J2580" s="888"/>
      <c r="K2580" s="888"/>
      <c r="L2580" s="888"/>
      <c r="M2580" s="888"/>
      <c r="N2580" s="888"/>
      <c r="O2580" s="888"/>
      <c r="P2580" s="888"/>
      <c r="Q2580" s="888"/>
      <c r="R2580" s="888"/>
    </row>
    <row r="2581" spans="1:18" s="893" customFormat="1" x14ac:dyDescent="0.3">
      <c r="A2581" s="888" t="str">
        <f>IF(LEN('Translation-EN'!A2581)&gt;0,'Translation-EN'!A2581,"")</f>
        <v>Range</v>
      </c>
      <c r="B2581" s="888" t="str">
        <f>IF(LEN('Translation-EN'!B2581)&gt;0,'Translation-EN'!B2581,"")</f>
        <v>Master sheet</v>
      </c>
      <c r="C2581" s="888" t="str">
        <f>IF(LEN('Translation-EN'!C2581)&gt;0,'Translation-EN'!C2581,"")</f>
        <v>C472</v>
      </c>
      <c r="D2581" s="888" t="str">
        <f>IF(LEN('Translation-EN'!D2581)&gt;0,'Translation-EN'!D2581,"")</f>
        <v/>
      </c>
      <c r="E2581" s="893" t="str">
        <f>$E$2557</f>
        <v>RMCAO</v>
      </c>
      <c r="I2581" s="888"/>
      <c r="J2581" s="888"/>
      <c r="K2581" s="888"/>
      <c r="L2581" s="888"/>
      <c r="M2581" s="888"/>
      <c r="N2581" s="888"/>
      <c r="O2581" s="888"/>
      <c r="P2581" s="888"/>
      <c r="Q2581" s="888"/>
      <c r="R2581" s="888"/>
    </row>
    <row r="2582" spans="1:18" s="893" customFormat="1" x14ac:dyDescent="0.3">
      <c r="A2582" s="888" t="str">
        <f>IF(LEN('Translation-EN'!A2582)&gt;0,'Translation-EN'!A2582,"")</f>
        <v>Range</v>
      </c>
      <c r="B2582" s="888" t="str">
        <f>IF(LEN('Translation-EN'!B2582)&gt;0,'Translation-EN'!B2582,"")</f>
        <v>Master sheet</v>
      </c>
      <c r="C2582" s="888" t="str">
        <f>IF(LEN('Translation-EN'!C2582)&gt;0,'Translation-EN'!C2582,"")</f>
        <v>D472</v>
      </c>
      <c r="D2582" s="888" t="str">
        <f>IF(LEN('Translation-EN'!D2582)&gt;0,'Translation-EN'!D2582,"")</f>
        <v/>
      </c>
      <c r="E2582" s="893" t="str">
        <f>$E$2558</f>
        <v>Can. Moyenne Ontario</v>
      </c>
      <c r="I2582" s="888"/>
      <c r="J2582" s="888"/>
      <c r="K2582" s="888"/>
      <c r="L2582" s="888"/>
      <c r="M2582" s="888"/>
      <c r="N2582" s="888"/>
      <c r="O2582" s="888"/>
      <c r="P2582" s="888"/>
      <c r="Q2582" s="888"/>
      <c r="R2582" s="888"/>
    </row>
    <row r="2583" spans="1:18" s="893" customFormat="1" x14ac:dyDescent="0.3">
      <c r="A2583" s="888" t="str">
        <f>IF(LEN('Translation-EN'!A2583)&gt;0,'Translation-EN'!A2583,"")</f>
        <v>Range</v>
      </c>
      <c r="B2583" s="888" t="str">
        <f>IF(LEN('Translation-EN'!B2583)&gt;0,'Translation-EN'!B2583,"")</f>
        <v>Master sheet</v>
      </c>
      <c r="C2583" s="888" t="str">
        <f>IF(LEN('Translation-EN'!C2583)&gt;0,'Translation-EN'!C2583,"")</f>
        <v>B473</v>
      </c>
      <c r="D2583" s="888" t="str">
        <f>IF(LEN('Translation-EN'!D2583)&gt;0,'Translation-EN'!D2583,"")</f>
        <v/>
      </c>
      <c r="E2583" s="893" t="s">
        <v>6512</v>
      </c>
      <c r="I2583" s="888"/>
      <c r="J2583" s="888"/>
      <c r="K2583" s="888"/>
      <c r="L2583" s="888"/>
      <c r="M2583" s="888"/>
      <c r="N2583" s="888"/>
      <c r="O2583" s="888"/>
      <c r="P2583" s="888"/>
      <c r="Q2583" s="888"/>
      <c r="R2583" s="888"/>
    </row>
    <row r="2584" spans="1:18" s="893" customFormat="1" x14ac:dyDescent="0.3">
      <c r="A2584" s="888" t="str">
        <f>IF(LEN('Translation-EN'!A2584)&gt;0,'Translation-EN'!A2584,"")</f>
        <v>Range</v>
      </c>
      <c r="B2584" s="888" t="str">
        <f>IF(LEN('Translation-EN'!B2584)&gt;0,'Translation-EN'!B2584,"")</f>
        <v>Master sheet</v>
      </c>
      <c r="C2584" s="888" t="str">
        <f>IF(LEN('Translation-EN'!C2584)&gt;0,'Translation-EN'!C2584,"")</f>
        <v>C473</v>
      </c>
      <c r="D2584" s="888" t="str">
        <f>IF(LEN('Translation-EN'!D2584)&gt;0,'Translation-EN'!D2584,"")</f>
        <v/>
      </c>
      <c r="E2584" s="893" t="str">
        <f>$E$2557</f>
        <v>RMCAO</v>
      </c>
      <c r="I2584" s="888"/>
      <c r="J2584" s="888"/>
      <c r="K2584" s="888"/>
      <c r="L2584" s="888"/>
      <c r="M2584" s="888"/>
      <c r="N2584" s="888"/>
      <c r="O2584" s="888"/>
      <c r="P2584" s="888"/>
      <c r="Q2584" s="888"/>
      <c r="R2584" s="888"/>
    </row>
    <row r="2585" spans="1:18" s="893" customFormat="1" x14ac:dyDescent="0.3">
      <c r="A2585" s="888" t="str">
        <f>IF(LEN('Translation-EN'!A2585)&gt;0,'Translation-EN'!A2585,"")</f>
        <v>Range</v>
      </c>
      <c r="B2585" s="888" t="str">
        <f>IF(LEN('Translation-EN'!B2585)&gt;0,'Translation-EN'!B2585,"")</f>
        <v>Master sheet</v>
      </c>
      <c r="C2585" s="888" t="str">
        <f>IF(LEN('Translation-EN'!C2585)&gt;0,'Translation-EN'!C2585,"")</f>
        <v>D473</v>
      </c>
      <c r="D2585" s="888" t="str">
        <f>IF(LEN('Translation-EN'!D2585)&gt;0,'Translation-EN'!D2585,"")</f>
        <v/>
      </c>
      <c r="E2585" s="893" t="str">
        <f>$E$2558</f>
        <v>Can. Moyenne Ontario</v>
      </c>
      <c r="I2585" s="888"/>
      <c r="J2585" s="888"/>
      <c r="K2585" s="888"/>
      <c r="L2585" s="888"/>
      <c r="M2585" s="888"/>
      <c r="N2585" s="888"/>
      <c r="O2585" s="888"/>
      <c r="P2585" s="888"/>
      <c r="Q2585" s="888"/>
      <c r="R2585" s="888"/>
    </row>
    <row r="2586" spans="1:18" s="893" customFormat="1" x14ac:dyDescent="0.3">
      <c r="A2586" s="888" t="str">
        <f>IF(LEN('Translation-EN'!A2586)&gt;0,'Translation-EN'!A2586,"")</f>
        <v>Range</v>
      </c>
      <c r="B2586" s="888" t="str">
        <f>IF(LEN('Translation-EN'!B2586)&gt;0,'Translation-EN'!B2586,"")</f>
        <v>Master sheet</v>
      </c>
      <c r="C2586" s="888" t="str">
        <f>IF(LEN('Translation-EN'!C2586)&gt;0,'Translation-EN'!C2586,"")</f>
        <v>B474</v>
      </c>
      <c r="D2586" s="888" t="str">
        <f>IF(LEN('Translation-EN'!D2586)&gt;0,'Translation-EN'!D2586,"")</f>
        <v/>
      </c>
      <c r="E2586" s="893" t="s">
        <v>6513</v>
      </c>
      <c r="I2586" s="888"/>
      <c r="J2586" s="888"/>
      <c r="K2586" s="888"/>
      <c r="L2586" s="888"/>
      <c r="M2586" s="888"/>
      <c r="N2586" s="888"/>
      <c r="O2586" s="888"/>
      <c r="P2586" s="888"/>
      <c r="Q2586" s="888"/>
      <c r="R2586" s="888"/>
    </row>
    <row r="2587" spans="1:18" s="893" customFormat="1" x14ac:dyDescent="0.3">
      <c r="A2587" s="888" t="str">
        <f>IF(LEN('Translation-EN'!A2587)&gt;0,'Translation-EN'!A2587,"")</f>
        <v>Range</v>
      </c>
      <c r="B2587" s="888" t="str">
        <f>IF(LEN('Translation-EN'!B2587)&gt;0,'Translation-EN'!B2587,"")</f>
        <v>Master sheet</v>
      </c>
      <c r="C2587" s="888" t="str">
        <f>IF(LEN('Translation-EN'!C2587)&gt;0,'Translation-EN'!C2587,"")</f>
        <v>C474</v>
      </c>
      <c r="D2587" s="888" t="str">
        <f>IF(LEN('Translation-EN'!D2587)&gt;0,'Translation-EN'!D2587,"")</f>
        <v/>
      </c>
      <c r="E2587" s="893" t="str">
        <f>$E$2557</f>
        <v>RMCAO</v>
      </c>
      <c r="I2587" s="888"/>
      <c r="J2587" s="888"/>
      <c r="K2587" s="888"/>
      <c r="L2587" s="888"/>
      <c r="M2587" s="888"/>
      <c r="N2587" s="888"/>
      <c r="O2587" s="888"/>
      <c r="P2587" s="888"/>
      <c r="Q2587" s="888"/>
      <c r="R2587" s="888"/>
    </row>
    <row r="2588" spans="1:18" s="893" customFormat="1" x14ac:dyDescent="0.3">
      <c r="A2588" s="888" t="str">
        <f>IF(LEN('Translation-EN'!A2588)&gt;0,'Translation-EN'!A2588,"")</f>
        <v>Range</v>
      </c>
      <c r="B2588" s="888" t="str">
        <f>IF(LEN('Translation-EN'!B2588)&gt;0,'Translation-EN'!B2588,"")</f>
        <v>Master sheet</v>
      </c>
      <c r="C2588" s="888" t="str">
        <f>IF(LEN('Translation-EN'!C2588)&gt;0,'Translation-EN'!C2588,"")</f>
        <v>D474</v>
      </c>
      <c r="D2588" s="888" t="str">
        <f>IF(LEN('Translation-EN'!D2588)&gt;0,'Translation-EN'!D2588,"")</f>
        <v/>
      </c>
      <c r="E2588" s="893" t="str">
        <f>$E$2558</f>
        <v>Can. Moyenne Ontario</v>
      </c>
      <c r="I2588" s="888"/>
      <c r="J2588" s="888"/>
      <c r="K2588" s="888"/>
      <c r="L2588" s="888"/>
      <c r="M2588" s="888"/>
      <c r="N2588" s="888"/>
      <c r="O2588" s="888"/>
      <c r="P2588" s="888"/>
      <c r="Q2588" s="888"/>
      <c r="R2588" s="888"/>
    </row>
    <row r="2589" spans="1:18" s="893" customFormat="1" x14ac:dyDescent="0.3">
      <c r="A2589" s="888" t="str">
        <f>IF(LEN('Translation-EN'!A2589)&gt;0,'Translation-EN'!A2589,"")</f>
        <v>Range</v>
      </c>
      <c r="B2589" s="888" t="str">
        <f>IF(LEN('Translation-EN'!B2589)&gt;0,'Translation-EN'!B2589,"")</f>
        <v>Master sheet</v>
      </c>
      <c r="C2589" s="888" t="str">
        <f>IF(LEN('Translation-EN'!C2589)&gt;0,'Translation-EN'!C2589,"")</f>
        <v>B475</v>
      </c>
      <c r="D2589" s="888" t="str">
        <f>IF(LEN('Translation-EN'!D2589)&gt;0,'Translation-EN'!D2589,"")</f>
        <v/>
      </c>
      <c r="E2589" s="893" t="s">
        <v>6514</v>
      </c>
      <c r="I2589" s="888"/>
      <c r="J2589" s="888"/>
      <c r="K2589" s="888"/>
      <c r="L2589" s="888"/>
      <c r="M2589" s="888"/>
      <c r="N2589" s="888"/>
      <c r="O2589" s="888"/>
      <c r="P2589" s="888"/>
      <c r="Q2589" s="888"/>
      <c r="R2589" s="888"/>
    </row>
    <row r="2590" spans="1:18" s="893" customFormat="1" x14ac:dyDescent="0.3">
      <c r="A2590" s="888" t="str">
        <f>IF(LEN('Translation-EN'!A2590)&gt;0,'Translation-EN'!A2590,"")</f>
        <v>Range</v>
      </c>
      <c r="B2590" s="888" t="str">
        <f>IF(LEN('Translation-EN'!B2590)&gt;0,'Translation-EN'!B2590,"")</f>
        <v>Master sheet</v>
      </c>
      <c r="C2590" s="888" t="str">
        <f>IF(LEN('Translation-EN'!C2590)&gt;0,'Translation-EN'!C2590,"")</f>
        <v>C475</v>
      </c>
      <c r="D2590" s="888" t="str">
        <f>IF(LEN('Translation-EN'!D2590)&gt;0,'Translation-EN'!D2590,"")</f>
        <v/>
      </c>
      <c r="E2590" s="893" t="str">
        <f>$E$2557</f>
        <v>RMCAO</v>
      </c>
      <c r="I2590" s="888"/>
      <c r="J2590" s="888"/>
      <c r="K2590" s="888"/>
      <c r="L2590" s="888"/>
      <c r="M2590" s="888"/>
      <c r="N2590" s="888"/>
      <c r="O2590" s="888"/>
      <c r="P2590" s="888"/>
      <c r="Q2590" s="888"/>
      <c r="R2590" s="888"/>
    </row>
    <row r="2591" spans="1:18" s="893" customFormat="1" x14ac:dyDescent="0.3">
      <c r="A2591" s="888" t="str">
        <f>IF(LEN('Translation-EN'!A2591)&gt;0,'Translation-EN'!A2591,"")</f>
        <v>Range</v>
      </c>
      <c r="B2591" s="888" t="str">
        <f>IF(LEN('Translation-EN'!B2591)&gt;0,'Translation-EN'!B2591,"")</f>
        <v>Master sheet</v>
      </c>
      <c r="C2591" s="888" t="str">
        <f>IF(LEN('Translation-EN'!C2591)&gt;0,'Translation-EN'!C2591,"")</f>
        <v>D475</v>
      </c>
      <c r="D2591" s="888" t="str">
        <f>IF(LEN('Translation-EN'!D2591)&gt;0,'Translation-EN'!D2591,"")</f>
        <v/>
      </c>
      <c r="E2591" s="893" t="str">
        <f>$E$2558</f>
        <v>Can. Moyenne Ontario</v>
      </c>
      <c r="I2591" s="888"/>
      <c r="J2591" s="888"/>
      <c r="K2591" s="888"/>
      <c r="L2591" s="888"/>
      <c r="M2591" s="888"/>
      <c r="N2591" s="888"/>
      <c r="O2591" s="888"/>
      <c r="P2591" s="888"/>
      <c r="Q2591" s="888"/>
      <c r="R2591" s="888"/>
    </row>
    <row r="2592" spans="1:18" s="893" customFormat="1" x14ac:dyDescent="0.3">
      <c r="A2592" s="888" t="str">
        <f>IF(LEN('Translation-EN'!A2592)&gt;0,'Translation-EN'!A2592,"")</f>
        <v>Range</v>
      </c>
      <c r="B2592" s="888" t="str">
        <f>IF(LEN('Translation-EN'!B2592)&gt;0,'Translation-EN'!B2592,"")</f>
        <v>Master sheet</v>
      </c>
      <c r="C2592" s="888" t="str">
        <f>IF(LEN('Translation-EN'!C2592)&gt;0,'Translation-EN'!C2592,"")</f>
        <v>B476</v>
      </c>
      <c r="D2592" s="888" t="str">
        <f>IF(LEN('Translation-EN'!D2592)&gt;0,'Translation-EN'!D2592,"")</f>
        <v/>
      </c>
      <c r="E2592" s="893" t="s">
        <v>6515</v>
      </c>
      <c r="I2592" s="888"/>
      <c r="J2592" s="888"/>
      <c r="K2592" s="888"/>
      <c r="L2592" s="888"/>
      <c r="M2592" s="888"/>
      <c r="N2592" s="888"/>
      <c r="O2592" s="888"/>
      <c r="P2592" s="888"/>
      <c r="Q2592" s="888"/>
      <c r="R2592" s="888"/>
    </row>
    <row r="2593" spans="1:18" s="893" customFormat="1" x14ac:dyDescent="0.3">
      <c r="A2593" s="888" t="str">
        <f>IF(LEN('Translation-EN'!A2593)&gt;0,'Translation-EN'!A2593,"")</f>
        <v>Range</v>
      </c>
      <c r="B2593" s="888" t="str">
        <f>IF(LEN('Translation-EN'!B2593)&gt;0,'Translation-EN'!B2593,"")</f>
        <v>Master sheet</v>
      </c>
      <c r="C2593" s="888" t="str">
        <f>IF(LEN('Translation-EN'!C2593)&gt;0,'Translation-EN'!C2593,"")</f>
        <v>C476</v>
      </c>
      <c r="D2593" s="888" t="str">
        <f>IF(LEN('Translation-EN'!D2593)&gt;0,'Translation-EN'!D2593,"")</f>
        <v/>
      </c>
      <c r="E2593" s="893" t="str">
        <f>$E$2557</f>
        <v>RMCAO</v>
      </c>
      <c r="I2593" s="888"/>
      <c r="J2593" s="888"/>
      <c r="K2593" s="888"/>
      <c r="L2593" s="888"/>
      <c r="M2593" s="888"/>
      <c r="N2593" s="888"/>
      <c r="O2593" s="888"/>
      <c r="P2593" s="888"/>
      <c r="Q2593" s="888"/>
      <c r="R2593" s="888"/>
    </row>
    <row r="2594" spans="1:18" s="893" customFormat="1" x14ac:dyDescent="0.3">
      <c r="A2594" s="888" t="str">
        <f>IF(LEN('Translation-EN'!A2594)&gt;0,'Translation-EN'!A2594,"")</f>
        <v>Range</v>
      </c>
      <c r="B2594" s="888" t="str">
        <f>IF(LEN('Translation-EN'!B2594)&gt;0,'Translation-EN'!B2594,"")</f>
        <v>Master sheet</v>
      </c>
      <c r="C2594" s="888" t="str">
        <f>IF(LEN('Translation-EN'!C2594)&gt;0,'Translation-EN'!C2594,"")</f>
        <v>D476</v>
      </c>
      <c r="D2594" s="888" t="str">
        <f>IF(LEN('Translation-EN'!D2594)&gt;0,'Translation-EN'!D2594,"")</f>
        <v/>
      </c>
      <c r="E2594" s="893" t="str">
        <f>$E$2558</f>
        <v>Can. Moyenne Ontario</v>
      </c>
      <c r="I2594" s="888"/>
      <c r="J2594" s="888"/>
      <c r="K2594" s="888"/>
      <c r="L2594" s="888"/>
      <c r="M2594" s="888"/>
      <c r="N2594" s="888"/>
      <c r="O2594" s="888"/>
      <c r="P2594" s="888"/>
      <c r="Q2594" s="888"/>
      <c r="R2594" s="888"/>
    </row>
    <row r="2595" spans="1:18" s="893" customFormat="1" x14ac:dyDescent="0.3">
      <c r="A2595" s="888" t="str">
        <f>IF(LEN('Translation-EN'!A2595)&gt;0,'Translation-EN'!A2595,"")</f>
        <v>Range</v>
      </c>
      <c r="B2595" s="888" t="str">
        <f>IF(LEN('Translation-EN'!B2595)&gt;0,'Translation-EN'!B2595,"")</f>
        <v>Master sheet</v>
      </c>
      <c r="C2595" s="888" t="str">
        <f>IF(LEN('Translation-EN'!C2595)&gt;0,'Translation-EN'!C2595,"")</f>
        <v>B477</v>
      </c>
      <c r="D2595" s="888" t="str">
        <f>IF(LEN('Translation-EN'!D2595)&gt;0,'Translation-EN'!D2595,"")</f>
        <v/>
      </c>
      <c r="E2595" s="893" t="s">
        <v>6516</v>
      </c>
      <c r="I2595" s="888"/>
      <c r="J2595" s="888"/>
      <c r="K2595" s="888"/>
      <c r="L2595" s="888"/>
      <c r="M2595" s="888"/>
      <c r="N2595" s="888"/>
      <c r="O2595" s="888"/>
      <c r="P2595" s="888"/>
      <c r="Q2595" s="888"/>
      <c r="R2595" s="888"/>
    </row>
    <row r="2596" spans="1:18" s="893" customFormat="1" x14ac:dyDescent="0.3">
      <c r="A2596" s="888" t="str">
        <f>IF(LEN('Translation-EN'!A2596)&gt;0,'Translation-EN'!A2596,"")</f>
        <v>Range</v>
      </c>
      <c r="B2596" s="888" t="str">
        <f>IF(LEN('Translation-EN'!B2596)&gt;0,'Translation-EN'!B2596,"")</f>
        <v>Master sheet</v>
      </c>
      <c r="C2596" s="888" t="str">
        <f>IF(LEN('Translation-EN'!C2596)&gt;0,'Translation-EN'!C2596,"")</f>
        <v>C477</v>
      </c>
      <c r="D2596" s="888" t="str">
        <f>IF(LEN('Translation-EN'!D2596)&gt;0,'Translation-EN'!D2596,"")</f>
        <v/>
      </c>
      <c r="E2596" s="893" t="str">
        <f>$E$2557</f>
        <v>RMCAO</v>
      </c>
      <c r="I2596" s="888"/>
      <c r="J2596" s="888"/>
      <c r="K2596" s="888"/>
      <c r="L2596" s="888"/>
      <c r="M2596" s="888"/>
      <c r="N2596" s="888"/>
      <c r="O2596" s="888"/>
      <c r="P2596" s="888"/>
      <c r="Q2596" s="888"/>
      <c r="R2596" s="888"/>
    </row>
    <row r="2597" spans="1:18" s="893" customFormat="1" x14ac:dyDescent="0.3">
      <c r="A2597" s="888" t="str">
        <f>IF(LEN('Translation-EN'!A2597)&gt;0,'Translation-EN'!A2597,"")</f>
        <v>Range</v>
      </c>
      <c r="B2597" s="888" t="str">
        <f>IF(LEN('Translation-EN'!B2597)&gt;0,'Translation-EN'!B2597,"")</f>
        <v>Master sheet</v>
      </c>
      <c r="C2597" s="888" t="str">
        <f>IF(LEN('Translation-EN'!C2597)&gt;0,'Translation-EN'!C2597,"")</f>
        <v>D477</v>
      </c>
      <c r="D2597" s="888" t="str">
        <f>IF(LEN('Translation-EN'!D2597)&gt;0,'Translation-EN'!D2597,"")</f>
        <v/>
      </c>
      <c r="E2597" s="893" t="str">
        <f>$E$2558</f>
        <v>Can. Moyenne Ontario</v>
      </c>
      <c r="I2597" s="888"/>
      <c r="J2597" s="888"/>
      <c r="K2597" s="888"/>
      <c r="L2597" s="888"/>
      <c r="M2597" s="888"/>
      <c r="N2597" s="888"/>
      <c r="O2597" s="888"/>
      <c r="P2597" s="888"/>
      <c r="Q2597" s="888"/>
      <c r="R2597" s="888"/>
    </row>
    <row r="2598" spans="1:18" s="893" customFormat="1" x14ac:dyDescent="0.3">
      <c r="A2598" s="888" t="str">
        <f>IF(LEN('Translation-EN'!A2598)&gt;0,'Translation-EN'!A2598,"")</f>
        <v>Range</v>
      </c>
      <c r="B2598" s="888" t="str">
        <f>IF(LEN('Translation-EN'!B2598)&gt;0,'Translation-EN'!B2598,"")</f>
        <v>Master sheet</v>
      </c>
      <c r="C2598" s="888" t="str">
        <f>IF(LEN('Translation-EN'!C2598)&gt;0,'Translation-EN'!C2598,"")</f>
        <v>B478</v>
      </c>
      <c r="D2598" s="888" t="str">
        <f>IF(LEN('Translation-EN'!D2598)&gt;0,'Translation-EN'!D2598,"")</f>
        <v/>
      </c>
      <c r="E2598" s="893" t="s">
        <v>6517</v>
      </c>
      <c r="I2598" s="888"/>
      <c r="J2598" s="888"/>
      <c r="K2598" s="888"/>
      <c r="L2598" s="888"/>
      <c r="M2598" s="888"/>
      <c r="N2598" s="888"/>
      <c r="O2598" s="888"/>
      <c r="P2598" s="888"/>
      <c r="Q2598" s="888"/>
      <c r="R2598" s="888"/>
    </row>
    <row r="2599" spans="1:18" s="893" customFormat="1" x14ac:dyDescent="0.3">
      <c r="A2599" s="888" t="str">
        <f>IF(LEN('Translation-EN'!A2599)&gt;0,'Translation-EN'!A2599,"")</f>
        <v>Range</v>
      </c>
      <c r="B2599" s="888" t="str">
        <f>IF(LEN('Translation-EN'!B2599)&gt;0,'Translation-EN'!B2599,"")</f>
        <v>Master sheet</v>
      </c>
      <c r="C2599" s="888" t="str">
        <f>IF(LEN('Translation-EN'!C2599)&gt;0,'Translation-EN'!C2599,"")</f>
        <v>C478</v>
      </c>
      <c r="D2599" s="888" t="str">
        <f>IF(LEN('Translation-EN'!D2599)&gt;0,'Translation-EN'!D2599,"")</f>
        <v/>
      </c>
      <c r="E2599" s="893" t="str">
        <f>$E$2557</f>
        <v>RMCAO</v>
      </c>
      <c r="I2599" s="888"/>
      <c r="J2599" s="888"/>
      <c r="K2599" s="888"/>
      <c r="L2599" s="888"/>
      <c r="M2599" s="888"/>
      <c r="N2599" s="888"/>
      <c r="O2599" s="888"/>
      <c r="P2599" s="888"/>
      <c r="Q2599" s="888"/>
      <c r="R2599" s="888"/>
    </row>
    <row r="2600" spans="1:18" s="893" customFormat="1" x14ac:dyDescent="0.3">
      <c r="A2600" s="888" t="str">
        <f>IF(LEN('Translation-EN'!A2600)&gt;0,'Translation-EN'!A2600,"")</f>
        <v>Range</v>
      </c>
      <c r="B2600" s="888" t="str">
        <f>IF(LEN('Translation-EN'!B2600)&gt;0,'Translation-EN'!B2600,"")</f>
        <v>Master sheet</v>
      </c>
      <c r="C2600" s="888" t="str">
        <f>IF(LEN('Translation-EN'!C2600)&gt;0,'Translation-EN'!C2600,"")</f>
        <v>D478</v>
      </c>
      <c r="D2600" s="888" t="str">
        <f>IF(LEN('Translation-EN'!D2600)&gt;0,'Translation-EN'!D2600,"")</f>
        <v/>
      </c>
      <c r="E2600" s="893" t="str">
        <f>$E$2558</f>
        <v>Can. Moyenne Ontario</v>
      </c>
      <c r="I2600" s="888"/>
      <c r="J2600" s="888"/>
      <c r="K2600" s="888"/>
      <c r="L2600" s="888"/>
      <c r="M2600" s="888"/>
      <c r="N2600" s="888"/>
      <c r="O2600" s="888"/>
      <c r="P2600" s="888"/>
      <c r="Q2600" s="888"/>
      <c r="R2600" s="888"/>
    </row>
    <row r="2601" spans="1:18" s="893" customFormat="1" x14ac:dyDescent="0.3">
      <c r="A2601" s="888" t="str">
        <f>IF(LEN('Translation-EN'!A2601)&gt;0,'Translation-EN'!A2601,"")</f>
        <v>Range</v>
      </c>
      <c r="B2601" s="888" t="str">
        <f>IF(LEN('Translation-EN'!B2601)&gt;0,'Translation-EN'!B2601,"")</f>
        <v>Master sheet</v>
      </c>
      <c r="C2601" s="888" t="str">
        <f>IF(LEN('Translation-EN'!C2601)&gt;0,'Translation-EN'!C2601,"")</f>
        <v>B479</v>
      </c>
      <c r="D2601" s="888" t="str">
        <f>IF(LEN('Translation-EN'!D2601)&gt;0,'Translation-EN'!D2601,"")</f>
        <v/>
      </c>
      <c r="E2601" s="893" t="str">
        <f>$E$2556</f>
        <v>Béton - 25 MPa, GU</v>
      </c>
      <c r="I2601" s="888"/>
      <c r="J2601" s="888"/>
      <c r="K2601" s="888"/>
      <c r="L2601" s="888"/>
      <c r="M2601" s="888"/>
      <c r="N2601" s="888"/>
      <c r="O2601" s="888"/>
      <c r="P2601" s="888"/>
      <c r="Q2601" s="888"/>
      <c r="R2601" s="888"/>
    </row>
    <row r="2602" spans="1:18" s="893" customFormat="1" x14ac:dyDescent="0.3">
      <c r="A2602" s="888" t="str">
        <f>IF(LEN('Translation-EN'!A2602)&gt;0,'Translation-EN'!A2602,"")</f>
        <v>Range</v>
      </c>
      <c r="B2602" s="888" t="str">
        <f>IF(LEN('Translation-EN'!B2602)&gt;0,'Translation-EN'!B2602,"")</f>
        <v>Master sheet</v>
      </c>
      <c r="C2602" s="888" t="str">
        <f>IF(LEN('Translation-EN'!C2602)&gt;0,'Translation-EN'!C2602,"")</f>
        <v>C479</v>
      </c>
      <c r="D2602" s="888" t="str">
        <f>IF(LEN('Translation-EN'!D2602)&gt;0,'Translation-EN'!D2602,"")</f>
        <v/>
      </c>
      <c r="E2602" s="893" t="s">
        <v>3587</v>
      </c>
      <c r="I2602" s="888"/>
      <c r="J2602" s="888"/>
      <c r="K2602" s="888"/>
      <c r="L2602" s="888"/>
      <c r="M2602" s="888"/>
      <c r="N2602" s="888"/>
      <c r="O2602" s="888"/>
      <c r="P2602" s="888"/>
      <c r="Q2602" s="888"/>
      <c r="R2602" s="888"/>
    </row>
    <row r="2603" spans="1:18" s="893" customFormat="1" x14ac:dyDescent="0.3">
      <c r="A2603" s="888" t="str">
        <f>IF(LEN('Translation-EN'!A2603)&gt;0,'Translation-EN'!A2603,"")</f>
        <v>Range</v>
      </c>
      <c r="B2603" s="888" t="str">
        <f>IF(LEN('Translation-EN'!B2603)&gt;0,'Translation-EN'!B2603,"")</f>
        <v>Master sheet</v>
      </c>
      <c r="C2603" s="888" t="str">
        <f>IF(LEN('Translation-EN'!C2603)&gt;0,'Translation-EN'!C2603,"")</f>
        <v>D479</v>
      </c>
      <c r="D2603" s="888" t="str">
        <f>IF(LEN('Translation-EN'!D2603)&gt;0,'Translation-EN'!D2603,"")</f>
        <v/>
      </c>
      <c r="E2603" s="893" t="s">
        <v>6518</v>
      </c>
      <c r="I2603" s="888"/>
      <c r="J2603" s="888"/>
      <c r="K2603" s="888"/>
      <c r="L2603" s="888"/>
      <c r="M2603" s="888"/>
      <c r="N2603" s="888"/>
      <c r="O2603" s="888"/>
      <c r="P2603" s="888"/>
      <c r="Q2603" s="888"/>
      <c r="R2603" s="888"/>
    </row>
    <row r="2604" spans="1:18" s="893" customFormat="1" x14ac:dyDescent="0.3">
      <c r="A2604" s="888" t="str">
        <f>IF(LEN('Translation-EN'!A2604)&gt;0,'Translation-EN'!A2604,"")</f>
        <v>Range</v>
      </c>
      <c r="B2604" s="888" t="str">
        <f>IF(LEN('Translation-EN'!B2604)&gt;0,'Translation-EN'!B2604,"")</f>
        <v>Master sheet</v>
      </c>
      <c r="C2604" s="888" t="str">
        <f>IF(LEN('Translation-EN'!C2604)&gt;0,'Translation-EN'!C2604,"")</f>
        <v>B480</v>
      </c>
      <c r="D2604" s="888" t="str">
        <f>IF(LEN('Translation-EN'!D2604)&gt;0,'Translation-EN'!D2604,"")</f>
        <v/>
      </c>
      <c r="E2604" s="893" t="str">
        <f>$E$2499</f>
        <v>Béton -  25 MPa, 10% FA, GU</v>
      </c>
      <c r="I2604" s="888"/>
      <c r="J2604" s="888"/>
      <c r="K2604" s="888"/>
      <c r="L2604" s="888"/>
      <c r="M2604" s="888"/>
      <c r="N2604" s="888"/>
      <c r="O2604" s="888"/>
      <c r="P2604" s="888"/>
      <c r="Q2604" s="888"/>
      <c r="R2604" s="888"/>
    </row>
    <row r="2605" spans="1:18" s="893" customFormat="1" x14ac:dyDescent="0.3">
      <c r="A2605" s="888" t="str">
        <f>IF(LEN('Translation-EN'!A2605)&gt;0,'Translation-EN'!A2605,"")</f>
        <v>Range</v>
      </c>
      <c r="B2605" s="888" t="str">
        <f>IF(LEN('Translation-EN'!B2605)&gt;0,'Translation-EN'!B2605,"")</f>
        <v>Master sheet</v>
      </c>
      <c r="C2605" s="888" t="str">
        <f>IF(LEN('Translation-EN'!C2605)&gt;0,'Translation-EN'!C2605,"")</f>
        <v>C480</v>
      </c>
      <c r="D2605" s="888" t="str">
        <f>IF(LEN('Translation-EN'!D2605)&gt;0,'Translation-EN'!D2605,"")</f>
        <v/>
      </c>
      <c r="E2605" s="893" t="str">
        <f>$E$2602</f>
        <v>SRMCA</v>
      </c>
      <c r="I2605" s="888"/>
      <c r="J2605" s="888"/>
      <c r="K2605" s="888"/>
      <c r="L2605" s="888"/>
      <c r="M2605" s="888"/>
      <c r="N2605" s="888"/>
      <c r="O2605" s="888"/>
      <c r="P2605" s="888"/>
      <c r="Q2605" s="888"/>
      <c r="R2605" s="888"/>
    </row>
    <row r="2606" spans="1:18" s="893" customFormat="1" x14ac:dyDescent="0.3">
      <c r="A2606" s="888" t="str">
        <f>IF(LEN('Translation-EN'!A2606)&gt;0,'Translation-EN'!A2606,"")</f>
        <v>Range</v>
      </c>
      <c r="B2606" s="888" t="str">
        <f>IF(LEN('Translation-EN'!B2606)&gt;0,'Translation-EN'!B2606,"")</f>
        <v>Master sheet</v>
      </c>
      <c r="C2606" s="888" t="str">
        <f>IF(LEN('Translation-EN'!C2606)&gt;0,'Translation-EN'!C2606,"")</f>
        <v>D480</v>
      </c>
      <c r="D2606" s="888" t="str">
        <f>IF(LEN('Translation-EN'!D2606)&gt;0,'Translation-EN'!D2606,"")</f>
        <v/>
      </c>
      <c r="E2606" s="893" t="str">
        <f>$E$2603</f>
        <v>Can. Moyenne Saskatchewan</v>
      </c>
      <c r="I2606" s="888"/>
      <c r="J2606" s="888"/>
      <c r="K2606" s="888"/>
      <c r="L2606" s="888"/>
      <c r="M2606" s="888"/>
      <c r="N2606" s="888"/>
      <c r="O2606" s="888"/>
      <c r="P2606" s="888"/>
      <c r="Q2606" s="888"/>
      <c r="R2606" s="888"/>
    </row>
    <row r="2607" spans="1:18" s="893" customFormat="1" x14ac:dyDescent="0.3">
      <c r="A2607" s="888" t="str">
        <f>IF(LEN('Translation-EN'!A2607)&gt;0,'Translation-EN'!A2607,"")</f>
        <v>Range</v>
      </c>
      <c r="B2607" s="888" t="str">
        <f>IF(LEN('Translation-EN'!B2607)&gt;0,'Translation-EN'!B2607,"")</f>
        <v>Master sheet</v>
      </c>
      <c r="C2607" s="888" t="str">
        <f>IF(LEN('Translation-EN'!C2607)&gt;0,'Translation-EN'!C2607,"")</f>
        <v>B481</v>
      </c>
      <c r="D2607" s="888" t="str">
        <f>IF(LEN('Translation-EN'!D2607)&gt;0,'Translation-EN'!D2607,"")</f>
        <v/>
      </c>
      <c r="E2607" s="893" t="str">
        <f>$E$2505</f>
        <v>Béton - 25 MPa, 20% FA, GU</v>
      </c>
      <c r="I2607" s="888"/>
      <c r="J2607" s="888"/>
      <c r="K2607" s="888"/>
      <c r="L2607" s="888"/>
      <c r="M2607" s="888"/>
      <c r="N2607" s="888"/>
      <c r="O2607" s="888"/>
      <c r="P2607" s="888"/>
      <c r="Q2607" s="888"/>
      <c r="R2607" s="888"/>
    </row>
    <row r="2608" spans="1:18" s="893" customFormat="1" x14ac:dyDescent="0.3">
      <c r="A2608" s="888" t="str">
        <f>IF(LEN('Translation-EN'!A2608)&gt;0,'Translation-EN'!A2608,"")</f>
        <v>Range</v>
      </c>
      <c r="B2608" s="888" t="str">
        <f>IF(LEN('Translation-EN'!B2608)&gt;0,'Translation-EN'!B2608,"")</f>
        <v>Master sheet</v>
      </c>
      <c r="C2608" s="888" t="str">
        <f>IF(LEN('Translation-EN'!C2608)&gt;0,'Translation-EN'!C2608,"")</f>
        <v>C481</v>
      </c>
      <c r="D2608" s="888" t="str">
        <f>IF(LEN('Translation-EN'!D2608)&gt;0,'Translation-EN'!D2608,"")</f>
        <v/>
      </c>
      <c r="E2608" s="893" t="str">
        <f>$E$2602</f>
        <v>SRMCA</v>
      </c>
      <c r="I2608" s="888"/>
      <c r="J2608" s="888"/>
      <c r="K2608" s="888"/>
      <c r="L2608" s="888"/>
      <c r="M2608" s="888"/>
      <c r="N2608" s="888"/>
      <c r="O2608" s="888"/>
      <c r="P2608" s="888"/>
      <c r="Q2608" s="888"/>
      <c r="R2608" s="888"/>
    </row>
    <row r="2609" spans="1:18" s="893" customFormat="1" x14ac:dyDescent="0.3">
      <c r="A2609" s="888" t="str">
        <f>IF(LEN('Translation-EN'!A2609)&gt;0,'Translation-EN'!A2609,"")</f>
        <v>Range</v>
      </c>
      <c r="B2609" s="888" t="str">
        <f>IF(LEN('Translation-EN'!B2609)&gt;0,'Translation-EN'!B2609,"")</f>
        <v>Master sheet</v>
      </c>
      <c r="C2609" s="888" t="str">
        <f>IF(LEN('Translation-EN'!C2609)&gt;0,'Translation-EN'!C2609,"")</f>
        <v>D481</v>
      </c>
      <c r="D2609" s="888" t="str">
        <f>IF(LEN('Translation-EN'!D2609)&gt;0,'Translation-EN'!D2609,"")</f>
        <v/>
      </c>
      <c r="E2609" s="893" t="str">
        <f>$E$2603</f>
        <v>Can. Moyenne Saskatchewan</v>
      </c>
      <c r="I2609" s="888"/>
      <c r="J2609" s="888"/>
      <c r="K2609" s="888"/>
      <c r="L2609" s="888"/>
      <c r="M2609" s="888"/>
      <c r="N2609" s="888"/>
      <c r="O2609" s="888"/>
      <c r="P2609" s="888"/>
      <c r="Q2609" s="888"/>
      <c r="R2609" s="888"/>
    </row>
    <row r="2610" spans="1:18" s="893" customFormat="1" x14ac:dyDescent="0.3">
      <c r="A2610" s="888" t="str">
        <f>IF(LEN('Translation-EN'!A2610)&gt;0,'Translation-EN'!A2610,"")</f>
        <v>Range</v>
      </c>
      <c r="B2610" s="888" t="str">
        <f>IF(LEN('Translation-EN'!B2610)&gt;0,'Translation-EN'!B2610,"")</f>
        <v>Master sheet</v>
      </c>
      <c r="C2610" s="888" t="str">
        <f>IF(LEN('Translation-EN'!C2610)&gt;0,'Translation-EN'!C2610,"")</f>
        <v>B482</v>
      </c>
      <c r="D2610" s="888" t="str">
        <f>IF(LEN('Translation-EN'!D2610)&gt;0,'Translation-EN'!D2610,"")</f>
        <v/>
      </c>
      <c r="E2610" s="893" t="str">
        <f>$E$2511</f>
        <v>Béton - 25 MPa, 30% FA, GU</v>
      </c>
      <c r="I2610" s="888"/>
      <c r="J2610" s="888"/>
      <c r="K2610" s="888"/>
      <c r="L2610" s="888"/>
      <c r="M2610" s="888"/>
      <c r="N2610" s="888"/>
      <c r="O2610" s="888"/>
      <c r="P2610" s="888"/>
      <c r="Q2610" s="888"/>
      <c r="R2610" s="888"/>
    </row>
    <row r="2611" spans="1:18" s="893" customFormat="1" x14ac:dyDescent="0.3">
      <c r="A2611" s="888" t="str">
        <f>IF(LEN('Translation-EN'!A2611)&gt;0,'Translation-EN'!A2611,"")</f>
        <v>Range</v>
      </c>
      <c r="B2611" s="888" t="str">
        <f>IF(LEN('Translation-EN'!B2611)&gt;0,'Translation-EN'!B2611,"")</f>
        <v>Master sheet</v>
      </c>
      <c r="C2611" s="888" t="str">
        <f>IF(LEN('Translation-EN'!C2611)&gt;0,'Translation-EN'!C2611,"")</f>
        <v>C482</v>
      </c>
      <c r="D2611" s="888" t="str">
        <f>IF(LEN('Translation-EN'!D2611)&gt;0,'Translation-EN'!D2611,"")</f>
        <v/>
      </c>
      <c r="E2611" s="893" t="str">
        <f>$E$2602</f>
        <v>SRMCA</v>
      </c>
      <c r="I2611" s="888"/>
      <c r="J2611" s="888"/>
      <c r="K2611" s="888"/>
      <c r="L2611" s="888"/>
      <c r="M2611" s="888"/>
      <c r="N2611" s="888"/>
      <c r="O2611" s="888"/>
      <c r="P2611" s="888"/>
      <c r="Q2611" s="888"/>
      <c r="R2611" s="888"/>
    </row>
    <row r="2612" spans="1:18" s="893" customFormat="1" x14ac:dyDescent="0.3">
      <c r="A2612" s="888" t="str">
        <f>IF(LEN('Translation-EN'!A2612)&gt;0,'Translation-EN'!A2612,"")</f>
        <v>Range</v>
      </c>
      <c r="B2612" s="888" t="str">
        <f>IF(LEN('Translation-EN'!B2612)&gt;0,'Translation-EN'!B2612,"")</f>
        <v>Master sheet</v>
      </c>
      <c r="C2612" s="888" t="str">
        <f>IF(LEN('Translation-EN'!C2612)&gt;0,'Translation-EN'!C2612,"")</f>
        <v>D482</v>
      </c>
      <c r="D2612" s="888" t="str">
        <f>IF(LEN('Translation-EN'!D2612)&gt;0,'Translation-EN'!D2612,"")</f>
        <v/>
      </c>
      <c r="E2612" s="893" t="str">
        <f>$E$2603</f>
        <v>Can. Moyenne Saskatchewan</v>
      </c>
      <c r="I2612" s="888"/>
      <c r="J2612" s="888"/>
      <c r="K2612" s="888"/>
      <c r="L2612" s="888"/>
      <c r="M2612" s="888"/>
      <c r="N2612" s="888"/>
      <c r="O2612" s="888"/>
      <c r="P2612" s="888"/>
      <c r="Q2612" s="888"/>
      <c r="R2612" s="888"/>
    </row>
    <row r="2613" spans="1:18" s="893" customFormat="1" x14ac:dyDescent="0.3">
      <c r="A2613" s="888" t="str">
        <f>IF(LEN('Translation-EN'!A2613)&gt;0,'Translation-EN'!A2613,"")</f>
        <v>Range</v>
      </c>
      <c r="B2613" s="888" t="str">
        <f>IF(LEN('Translation-EN'!B2613)&gt;0,'Translation-EN'!B2613,"")</f>
        <v>Master sheet</v>
      </c>
      <c r="C2613" s="888" t="str">
        <f>IF(LEN('Translation-EN'!C2613)&gt;0,'Translation-EN'!C2613,"")</f>
        <v>B483</v>
      </c>
      <c r="D2613" s="888" t="str">
        <f>IF(LEN('Translation-EN'!D2613)&gt;0,'Translation-EN'!D2613,"")</f>
        <v/>
      </c>
      <c r="E2613" s="893" t="s">
        <v>6519</v>
      </c>
      <c r="I2613" s="888"/>
      <c r="J2613" s="888"/>
      <c r="K2613" s="888"/>
      <c r="L2613" s="888"/>
      <c r="M2613" s="888"/>
      <c r="N2613" s="888"/>
      <c r="O2613" s="888"/>
      <c r="P2613" s="888"/>
      <c r="Q2613" s="888"/>
      <c r="R2613" s="888"/>
    </row>
    <row r="2614" spans="1:18" s="893" customFormat="1" x14ac:dyDescent="0.3">
      <c r="A2614" s="888" t="str">
        <f>IF(LEN('Translation-EN'!A2614)&gt;0,'Translation-EN'!A2614,"")</f>
        <v>Range</v>
      </c>
      <c r="B2614" s="888" t="str">
        <f>IF(LEN('Translation-EN'!B2614)&gt;0,'Translation-EN'!B2614,"")</f>
        <v>Master sheet</v>
      </c>
      <c r="C2614" s="888" t="str">
        <f>IF(LEN('Translation-EN'!C2614)&gt;0,'Translation-EN'!C2614,"")</f>
        <v>C483</v>
      </c>
      <c r="D2614" s="888" t="str">
        <f>IF(LEN('Translation-EN'!D2614)&gt;0,'Translation-EN'!D2614,"")</f>
        <v/>
      </c>
      <c r="E2614" s="893" t="str">
        <f>$E$2602</f>
        <v>SRMCA</v>
      </c>
      <c r="I2614" s="888"/>
      <c r="J2614" s="888"/>
      <c r="K2614" s="888"/>
      <c r="L2614" s="888"/>
      <c r="M2614" s="888"/>
      <c r="N2614" s="888"/>
      <c r="O2614" s="888"/>
      <c r="P2614" s="888"/>
      <c r="Q2614" s="888"/>
      <c r="R2614" s="888"/>
    </row>
    <row r="2615" spans="1:18" s="893" customFormat="1" x14ac:dyDescent="0.3">
      <c r="A2615" s="888" t="str">
        <f>IF(LEN('Translation-EN'!A2615)&gt;0,'Translation-EN'!A2615,"")</f>
        <v>Range</v>
      </c>
      <c r="B2615" s="888" t="str">
        <f>IF(LEN('Translation-EN'!B2615)&gt;0,'Translation-EN'!B2615,"")</f>
        <v>Master sheet</v>
      </c>
      <c r="C2615" s="888" t="str">
        <f>IF(LEN('Translation-EN'!C2615)&gt;0,'Translation-EN'!C2615,"")</f>
        <v>D483</v>
      </c>
      <c r="D2615" s="888" t="str">
        <f>IF(LEN('Translation-EN'!D2615)&gt;0,'Translation-EN'!D2615,"")</f>
        <v/>
      </c>
      <c r="E2615" s="893" t="str">
        <f>$E$2603</f>
        <v>Can. Moyenne Saskatchewan</v>
      </c>
      <c r="I2615" s="888"/>
      <c r="J2615" s="888"/>
      <c r="K2615" s="888"/>
      <c r="L2615" s="888"/>
      <c r="M2615" s="888"/>
      <c r="N2615" s="888"/>
      <c r="O2615" s="888"/>
      <c r="P2615" s="888"/>
      <c r="Q2615" s="888"/>
      <c r="R2615" s="888"/>
    </row>
    <row r="2616" spans="1:18" s="893" customFormat="1" x14ac:dyDescent="0.3">
      <c r="A2616" s="888" t="str">
        <f>IF(LEN('Translation-EN'!A2616)&gt;0,'Translation-EN'!A2616,"")</f>
        <v>Range</v>
      </c>
      <c r="B2616" s="888" t="str">
        <f>IF(LEN('Translation-EN'!B2616)&gt;0,'Translation-EN'!B2616,"")</f>
        <v>Master sheet</v>
      </c>
      <c r="C2616" s="888" t="str">
        <f>IF(LEN('Translation-EN'!C2616)&gt;0,'Translation-EN'!C2616,"")</f>
        <v>B484</v>
      </c>
      <c r="D2616" s="888" t="str">
        <f>IF(LEN('Translation-EN'!D2616)&gt;0,'Translation-EN'!D2616,"")</f>
        <v/>
      </c>
      <c r="E2616" s="893" t="str">
        <f>$E$2571</f>
        <v>Béton - 30 MPa, GU</v>
      </c>
      <c r="I2616" s="888"/>
      <c r="J2616" s="888"/>
      <c r="K2616" s="888"/>
      <c r="L2616" s="888"/>
      <c r="M2616" s="888"/>
      <c r="N2616" s="888"/>
      <c r="O2616" s="888"/>
      <c r="P2616" s="888"/>
      <c r="Q2616" s="888"/>
      <c r="R2616" s="888"/>
    </row>
    <row r="2617" spans="1:18" s="893" customFormat="1" x14ac:dyDescent="0.3">
      <c r="A2617" s="888" t="str">
        <f>IF(LEN('Translation-EN'!A2617)&gt;0,'Translation-EN'!A2617,"")</f>
        <v>Range</v>
      </c>
      <c r="B2617" s="888" t="str">
        <f>IF(LEN('Translation-EN'!B2617)&gt;0,'Translation-EN'!B2617,"")</f>
        <v>Master sheet</v>
      </c>
      <c r="C2617" s="888" t="str">
        <f>IF(LEN('Translation-EN'!C2617)&gt;0,'Translation-EN'!C2617,"")</f>
        <v>C484</v>
      </c>
      <c r="D2617" s="888" t="str">
        <f>IF(LEN('Translation-EN'!D2617)&gt;0,'Translation-EN'!D2617,"")</f>
        <v/>
      </c>
      <c r="E2617" s="893" t="str">
        <f>$E$2602</f>
        <v>SRMCA</v>
      </c>
      <c r="I2617" s="888"/>
      <c r="J2617" s="888"/>
      <c r="K2617" s="888"/>
      <c r="L2617" s="888"/>
      <c r="M2617" s="888"/>
      <c r="N2617" s="888"/>
      <c r="O2617" s="888"/>
      <c r="P2617" s="888"/>
      <c r="Q2617" s="888"/>
      <c r="R2617" s="888"/>
    </row>
    <row r="2618" spans="1:18" s="893" customFormat="1" x14ac:dyDescent="0.3">
      <c r="A2618" s="888" t="str">
        <f>IF(LEN('Translation-EN'!A2618)&gt;0,'Translation-EN'!A2618,"")</f>
        <v>Range</v>
      </c>
      <c r="B2618" s="888" t="str">
        <f>IF(LEN('Translation-EN'!B2618)&gt;0,'Translation-EN'!B2618,"")</f>
        <v>Master sheet</v>
      </c>
      <c r="C2618" s="888" t="str">
        <f>IF(LEN('Translation-EN'!C2618)&gt;0,'Translation-EN'!C2618,"")</f>
        <v>D484</v>
      </c>
      <c r="D2618" s="888" t="str">
        <f>IF(LEN('Translation-EN'!D2618)&gt;0,'Translation-EN'!D2618,"")</f>
        <v/>
      </c>
      <c r="E2618" s="893" t="str">
        <f>$E$2603</f>
        <v>Can. Moyenne Saskatchewan</v>
      </c>
      <c r="I2618" s="888"/>
      <c r="J2618" s="888"/>
      <c r="K2618" s="888"/>
      <c r="L2618" s="888"/>
      <c r="M2618" s="888"/>
      <c r="N2618" s="888"/>
      <c r="O2618" s="888"/>
      <c r="P2618" s="888"/>
      <c r="Q2618" s="888"/>
      <c r="R2618" s="888"/>
    </row>
    <row r="2619" spans="1:18" s="893" customFormat="1" x14ac:dyDescent="0.3">
      <c r="A2619" s="888" t="str">
        <f>IF(LEN('Translation-EN'!A2619)&gt;0,'Translation-EN'!A2619,"")</f>
        <v>Range</v>
      </c>
      <c r="B2619" s="888" t="str">
        <f>IF(LEN('Translation-EN'!B2619)&gt;0,'Translation-EN'!B2619,"")</f>
        <v>Master sheet</v>
      </c>
      <c r="C2619" s="888" t="str">
        <f>IF(LEN('Translation-EN'!C2619)&gt;0,'Translation-EN'!C2619,"")</f>
        <v>B485</v>
      </c>
      <c r="D2619" s="888" t="str">
        <f>IF(LEN('Translation-EN'!D2619)&gt;0,'Translation-EN'!D2619,"")</f>
        <v/>
      </c>
      <c r="E2619" s="893" t="str">
        <f>$E$2520</f>
        <v>Béton -  30 MPa, 10% FA, GU</v>
      </c>
      <c r="I2619" s="888"/>
      <c r="J2619" s="888"/>
      <c r="K2619" s="888"/>
      <c r="L2619" s="888"/>
      <c r="M2619" s="888"/>
      <c r="N2619" s="888"/>
      <c r="O2619" s="888"/>
      <c r="P2619" s="888"/>
      <c r="Q2619" s="888"/>
      <c r="R2619" s="888"/>
    </row>
    <row r="2620" spans="1:18" s="893" customFormat="1" x14ac:dyDescent="0.3">
      <c r="A2620" s="888" t="str">
        <f>IF(LEN('Translation-EN'!A2620)&gt;0,'Translation-EN'!A2620,"")</f>
        <v>Range</v>
      </c>
      <c r="B2620" s="888" t="str">
        <f>IF(LEN('Translation-EN'!B2620)&gt;0,'Translation-EN'!B2620,"")</f>
        <v>Master sheet</v>
      </c>
      <c r="C2620" s="888" t="str">
        <f>IF(LEN('Translation-EN'!C2620)&gt;0,'Translation-EN'!C2620,"")</f>
        <v>C485</v>
      </c>
      <c r="D2620" s="888" t="str">
        <f>IF(LEN('Translation-EN'!D2620)&gt;0,'Translation-EN'!D2620,"")</f>
        <v/>
      </c>
      <c r="E2620" s="893" t="str">
        <f>$E$2602</f>
        <v>SRMCA</v>
      </c>
      <c r="I2620" s="888"/>
      <c r="J2620" s="888"/>
      <c r="K2620" s="888"/>
      <c r="L2620" s="888"/>
      <c r="M2620" s="888"/>
      <c r="N2620" s="888"/>
      <c r="O2620" s="888"/>
      <c r="P2620" s="888"/>
      <c r="Q2620" s="888"/>
      <c r="R2620" s="888"/>
    </row>
    <row r="2621" spans="1:18" s="893" customFormat="1" x14ac:dyDescent="0.3">
      <c r="A2621" s="888" t="str">
        <f>IF(LEN('Translation-EN'!A2621)&gt;0,'Translation-EN'!A2621,"")</f>
        <v>Range</v>
      </c>
      <c r="B2621" s="888" t="str">
        <f>IF(LEN('Translation-EN'!B2621)&gt;0,'Translation-EN'!B2621,"")</f>
        <v>Master sheet</v>
      </c>
      <c r="C2621" s="888" t="str">
        <f>IF(LEN('Translation-EN'!C2621)&gt;0,'Translation-EN'!C2621,"")</f>
        <v>D485</v>
      </c>
      <c r="D2621" s="888" t="str">
        <f>IF(LEN('Translation-EN'!D2621)&gt;0,'Translation-EN'!D2621,"")</f>
        <v/>
      </c>
      <c r="E2621" s="893" t="str">
        <f>$E$2603</f>
        <v>Can. Moyenne Saskatchewan</v>
      </c>
      <c r="I2621" s="888"/>
      <c r="J2621" s="888"/>
      <c r="K2621" s="888"/>
      <c r="L2621" s="888"/>
      <c r="M2621" s="888"/>
      <c r="N2621" s="888"/>
      <c r="O2621" s="888"/>
      <c r="P2621" s="888"/>
      <c r="Q2621" s="888"/>
      <c r="R2621" s="888"/>
    </row>
    <row r="2622" spans="1:18" s="893" customFormat="1" x14ac:dyDescent="0.3">
      <c r="A2622" s="888" t="str">
        <f>IF(LEN('Translation-EN'!A2622)&gt;0,'Translation-EN'!A2622,"")</f>
        <v>Range</v>
      </c>
      <c r="B2622" s="888" t="str">
        <f>IF(LEN('Translation-EN'!B2622)&gt;0,'Translation-EN'!B2622,"")</f>
        <v>Master sheet</v>
      </c>
      <c r="C2622" s="888" t="str">
        <f>IF(LEN('Translation-EN'!C2622)&gt;0,'Translation-EN'!C2622,"")</f>
        <v>B486</v>
      </c>
      <c r="D2622" s="888" t="str">
        <f>IF(LEN('Translation-EN'!D2622)&gt;0,'Translation-EN'!D2622,"")</f>
        <v/>
      </c>
      <c r="E2622" s="893" t="str">
        <f>$E$2526</f>
        <v>Béton - 30 MPa, 20% FA, GU</v>
      </c>
      <c r="I2622" s="888"/>
      <c r="J2622" s="888"/>
      <c r="K2622" s="888"/>
      <c r="L2622" s="888"/>
      <c r="M2622" s="888"/>
      <c r="N2622" s="888"/>
      <c r="O2622" s="888"/>
      <c r="P2622" s="888"/>
      <c r="Q2622" s="888"/>
      <c r="R2622" s="888"/>
    </row>
    <row r="2623" spans="1:18" s="893" customFormat="1" x14ac:dyDescent="0.3">
      <c r="A2623" s="888" t="str">
        <f>IF(LEN('Translation-EN'!A2623)&gt;0,'Translation-EN'!A2623,"")</f>
        <v>Range</v>
      </c>
      <c r="B2623" s="888" t="str">
        <f>IF(LEN('Translation-EN'!B2623)&gt;0,'Translation-EN'!B2623,"")</f>
        <v>Master sheet</v>
      </c>
      <c r="C2623" s="888" t="str">
        <f>IF(LEN('Translation-EN'!C2623)&gt;0,'Translation-EN'!C2623,"")</f>
        <v>C486</v>
      </c>
      <c r="D2623" s="888" t="str">
        <f>IF(LEN('Translation-EN'!D2623)&gt;0,'Translation-EN'!D2623,"")</f>
        <v/>
      </c>
      <c r="E2623" s="893" t="str">
        <f>$E$2602</f>
        <v>SRMCA</v>
      </c>
      <c r="I2623" s="888"/>
      <c r="J2623" s="888"/>
      <c r="K2623" s="888"/>
      <c r="L2623" s="888"/>
      <c r="M2623" s="888"/>
      <c r="N2623" s="888"/>
      <c r="O2623" s="888"/>
      <c r="P2623" s="888"/>
      <c r="Q2623" s="888"/>
      <c r="R2623" s="888"/>
    </row>
    <row r="2624" spans="1:18" s="893" customFormat="1" x14ac:dyDescent="0.3">
      <c r="A2624" s="888" t="str">
        <f>IF(LEN('Translation-EN'!A2624)&gt;0,'Translation-EN'!A2624,"")</f>
        <v>Range</v>
      </c>
      <c r="B2624" s="888" t="str">
        <f>IF(LEN('Translation-EN'!B2624)&gt;0,'Translation-EN'!B2624,"")</f>
        <v>Master sheet</v>
      </c>
      <c r="C2624" s="888" t="str">
        <f>IF(LEN('Translation-EN'!C2624)&gt;0,'Translation-EN'!C2624,"")</f>
        <v>D486</v>
      </c>
      <c r="D2624" s="888" t="str">
        <f>IF(LEN('Translation-EN'!D2624)&gt;0,'Translation-EN'!D2624,"")</f>
        <v/>
      </c>
      <c r="E2624" s="893" t="str">
        <f>$E$2603</f>
        <v>Can. Moyenne Saskatchewan</v>
      </c>
      <c r="I2624" s="888"/>
      <c r="J2624" s="888"/>
      <c r="K2624" s="888"/>
      <c r="L2624" s="888"/>
      <c r="M2624" s="888"/>
      <c r="N2624" s="888"/>
      <c r="O2624" s="888"/>
      <c r="P2624" s="888"/>
      <c r="Q2624" s="888"/>
      <c r="R2624" s="888"/>
    </row>
    <row r="2625" spans="1:18" s="893" customFormat="1" x14ac:dyDescent="0.3">
      <c r="A2625" s="888" t="str">
        <f>IF(LEN('Translation-EN'!A2625)&gt;0,'Translation-EN'!A2625,"")</f>
        <v>Range</v>
      </c>
      <c r="B2625" s="888" t="str">
        <f>IF(LEN('Translation-EN'!B2625)&gt;0,'Translation-EN'!B2625,"")</f>
        <v>Master sheet</v>
      </c>
      <c r="C2625" s="888" t="str">
        <f>IF(LEN('Translation-EN'!C2625)&gt;0,'Translation-EN'!C2625,"")</f>
        <v>B487</v>
      </c>
      <c r="D2625" s="888" t="str">
        <f>IF(LEN('Translation-EN'!D2625)&gt;0,'Translation-EN'!D2625,"")</f>
        <v/>
      </c>
      <c r="E2625" s="893" t="str">
        <f>$E$2532</f>
        <v>Béton - 30 MPa, 30% FA, GU</v>
      </c>
      <c r="I2625" s="888"/>
      <c r="J2625" s="888"/>
      <c r="K2625" s="888"/>
      <c r="L2625" s="888"/>
      <c r="M2625" s="888"/>
      <c r="N2625" s="888"/>
      <c r="O2625" s="888"/>
      <c r="P2625" s="888"/>
      <c r="Q2625" s="888"/>
      <c r="R2625" s="888"/>
    </row>
    <row r="2626" spans="1:18" s="893" customFormat="1" x14ac:dyDescent="0.3">
      <c r="A2626" s="888" t="str">
        <f>IF(LEN('Translation-EN'!A2626)&gt;0,'Translation-EN'!A2626,"")</f>
        <v>Range</v>
      </c>
      <c r="B2626" s="888" t="str">
        <f>IF(LEN('Translation-EN'!B2626)&gt;0,'Translation-EN'!B2626,"")</f>
        <v>Master sheet</v>
      </c>
      <c r="C2626" s="888" t="str">
        <f>IF(LEN('Translation-EN'!C2626)&gt;0,'Translation-EN'!C2626,"")</f>
        <v>C487</v>
      </c>
      <c r="D2626" s="888" t="str">
        <f>IF(LEN('Translation-EN'!D2626)&gt;0,'Translation-EN'!D2626,"")</f>
        <v/>
      </c>
      <c r="E2626" s="893" t="str">
        <f>$E$2602</f>
        <v>SRMCA</v>
      </c>
      <c r="I2626" s="888"/>
      <c r="J2626" s="888"/>
      <c r="K2626" s="888"/>
      <c r="L2626" s="888"/>
      <c r="M2626" s="888"/>
      <c r="N2626" s="888"/>
      <c r="O2626" s="888"/>
      <c r="P2626" s="888"/>
      <c r="Q2626" s="888"/>
      <c r="R2626" s="888"/>
    </row>
    <row r="2627" spans="1:18" s="893" customFormat="1" x14ac:dyDescent="0.3">
      <c r="A2627" s="888" t="str">
        <f>IF(LEN('Translation-EN'!A2627)&gt;0,'Translation-EN'!A2627,"")</f>
        <v>Range</v>
      </c>
      <c r="B2627" s="888" t="str">
        <f>IF(LEN('Translation-EN'!B2627)&gt;0,'Translation-EN'!B2627,"")</f>
        <v>Master sheet</v>
      </c>
      <c r="C2627" s="888" t="str">
        <f>IF(LEN('Translation-EN'!C2627)&gt;0,'Translation-EN'!C2627,"")</f>
        <v>D487</v>
      </c>
      <c r="D2627" s="888" t="str">
        <f>IF(LEN('Translation-EN'!D2627)&gt;0,'Translation-EN'!D2627,"")</f>
        <v/>
      </c>
      <c r="E2627" s="893" t="str">
        <f>$E$2603</f>
        <v>Can. Moyenne Saskatchewan</v>
      </c>
      <c r="I2627" s="888"/>
      <c r="J2627" s="888"/>
      <c r="K2627" s="888"/>
      <c r="L2627" s="888"/>
      <c r="M2627" s="888"/>
      <c r="N2627" s="888"/>
      <c r="O2627" s="888"/>
      <c r="P2627" s="888"/>
      <c r="Q2627" s="888"/>
      <c r="R2627" s="888"/>
    </row>
    <row r="2628" spans="1:18" s="893" customFormat="1" x14ac:dyDescent="0.3">
      <c r="A2628" s="888" t="str">
        <f>IF(LEN('Translation-EN'!A2628)&gt;0,'Translation-EN'!A2628,"")</f>
        <v>Range</v>
      </c>
      <c r="B2628" s="888" t="str">
        <f>IF(LEN('Translation-EN'!B2628)&gt;0,'Translation-EN'!B2628,"")</f>
        <v>Master sheet</v>
      </c>
      <c r="C2628" s="888" t="str">
        <f>IF(LEN('Translation-EN'!C2628)&gt;0,'Translation-EN'!C2628,"")</f>
        <v>B488</v>
      </c>
      <c r="D2628" s="888" t="str">
        <f>IF(LEN('Translation-EN'!D2628)&gt;0,'Translation-EN'!D2628,"")</f>
        <v/>
      </c>
      <c r="E2628" s="893" t="s">
        <v>6520</v>
      </c>
      <c r="I2628" s="888"/>
      <c r="J2628" s="888"/>
      <c r="K2628" s="888"/>
      <c r="L2628" s="888"/>
      <c r="M2628" s="888"/>
      <c r="N2628" s="888"/>
      <c r="O2628" s="888"/>
      <c r="P2628" s="888"/>
      <c r="Q2628" s="888"/>
      <c r="R2628" s="888"/>
    </row>
    <row r="2629" spans="1:18" s="893" customFormat="1" x14ac:dyDescent="0.3">
      <c r="A2629" s="888" t="str">
        <f>IF(LEN('Translation-EN'!A2629)&gt;0,'Translation-EN'!A2629,"")</f>
        <v>Range</v>
      </c>
      <c r="B2629" s="888" t="str">
        <f>IF(LEN('Translation-EN'!B2629)&gt;0,'Translation-EN'!B2629,"")</f>
        <v>Master sheet</v>
      </c>
      <c r="C2629" s="888" t="str">
        <f>IF(LEN('Translation-EN'!C2629)&gt;0,'Translation-EN'!C2629,"")</f>
        <v>C488</v>
      </c>
      <c r="D2629" s="888" t="str">
        <f>IF(LEN('Translation-EN'!D2629)&gt;0,'Translation-EN'!D2629,"")</f>
        <v/>
      </c>
      <c r="E2629" s="893" t="str">
        <f>$E$2602</f>
        <v>SRMCA</v>
      </c>
      <c r="I2629" s="888"/>
      <c r="J2629" s="888"/>
      <c r="K2629" s="888"/>
      <c r="L2629" s="888"/>
      <c r="M2629" s="888"/>
      <c r="N2629" s="888"/>
      <c r="O2629" s="888"/>
      <c r="P2629" s="888"/>
      <c r="Q2629" s="888"/>
      <c r="R2629" s="888"/>
    </row>
    <row r="2630" spans="1:18" s="893" customFormat="1" x14ac:dyDescent="0.3">
      <c r="A2630" s="888" t="str">
        <f>IF(LEN('Translation-EN'!A2630)&gt;0,'Translation-EN'!A2630,"")</f>
        <v>Range</v>
      </c>
      <c r="B2630" s="888" t="str">
        <f>IF(LEN('Translation-EN'!B2630)&gt;0,'Translation-EN'!B2630,"")</f>
        <v>Master sheet</v>
      </c>
      <c r="C2630" s="888" t="str">
        <f>IF(LEN('Translation-EN'!C2630)&gt;0,'Translation-EN'!C2630,"")</f>
        <v>D488</v>
      </c>
      <c r="D2630" s="888" t="str">
        <f>IF(LEN('Translation-EN'!D2630)&gt;0,'Translation-EN'!D2630,"")</f>
        <v/>
      </c>
      <c r="E2630" s="893" t="str">
        <f>$E$2603</f>
        <v>Can. Moyenne Saskatchewan</v>
      </c>
      <c r="I2630" s="888"/>
      <c r="J2630" s="888"/>
      <c r="K2630" s="888"/>
      <c r="L2630" s="888"/>
      <c r="M2630" s="888"/>
      <c r="N2630" s="888"/>
      <c r="O2630" s="888"/>
      <c r="P2630" s="888"/>
      <c r="Q2630" s="888"/>
      <c r="R2630" s="888"/>
    </row>
    <row r="2631" spans="1:18" s="893" customFormat="1" x14ac:dyDescent="0.3">
      <c r="A2631" s="888" t="str">
        <f>IF(LEN('Translation-EN'!A2631)&gt;0,'Translation-EN'!A2631,"")</f>
        <v>Range</v>
      </c>
      <c r="B2631" s="888" t="str">
        <f>IF(LEN('Translation-EN'!B2631)&gt;0,'Translation-EN'!B2631,"")</f>
        <v>Master sheet</v>
      </c>
      <c r="C2631" s="888" t="str">
        <f>IF(LEN('Translation-EN'!C2631)&gt;0,'Translation-EN'!C2631,"")</f>
        <v>B489</v>
      </c>
      <c r="D2631" s="888" t="str">
        <f>IF(LEN('Translation-EN'!D2631)&gt;0,'Translation-EN'!D2631,"")</f>
        <v/>
      </c>
      <c r="E2631" s="893" t="str">
        <f>$E$2586</f>
        <v>Béton - 35 MPa, GU</v>
      </c>
      <c r="I2631" s="888"/>
      <c r="J2631" s="888"/>
      <c r="K2631" s="888"/>
      <c r="L2631" s="888"/>
      <c r="M2631" s="888"/>
      <c r="N2631" s="888"/>
      <c r="O2631" s="888"/>
      <c r="P2631" s="888"/>
      <c r="Q2631" s="888"/>
      <c r="R2631" s="888"/>
    </row>
    <row r="2632" spans="1:18" s="893" customFormat="1" x14ac:dyDescent="0.3">
      <c r="A2632" s="888" t="str">
        <f>IF(LEN('Translation-EN'!A2632)&gt;0,'Translation-EN'!A2632,"")</f>
        <v>Range</v>
      </c>
      <c r="B2632" s="888" t="str">
        <f>IF(LEN('Translation-EN'!B2632)&gt;0,'Translation-EN'!B2632,"")</f>
        <v>Master sheet</v>
      </c>
      <c r="C2632" s="888" t="str">
        <f>IF(LEN('Translation-EN'!C2632)&gt;0,'Translation-EN'!C2632,"")</f>
        <v>C489</v>
      </c>
      <c r="D2632" s="888" t="str">
        <f>IF(LEN('Translation-EN'!D2632)&gt;0,'Translation-EN'!D2632,"")</f>
        <v/>
      </c>
      <c r="E2632" s="893" t="str">
        <f>$E$2602</f>
        <v>SRMCA</v>
      </c>
      <c r="I2632" s="888"/>
      <c r="J2632" s="888"/>
      <c r="K2632" s="888"/>
      <c r="L2632" s="888"/>
      <c r="M2632" s="888"/>
      <c r="N2632" s="888"/>
      <c r="O2632" s="888"/>
      <c r="P2632" s="888"/>
      <c r="Q2632" s="888"/>
      <c r="R2632" s="888"/>
    </row>
    <row r="2633" spans="1:18" s="893" customFormat="1" x14ac:dyDescent="0.3">
      <c r="A2633" s="888" t="str">
        <f>IF(LEN('Translation-EN'!A2633)&gt;0,'Translation-EN'!A2633,"")</f>
        <v>Range</v>
      </c>
      <c r="B2633" s="888" t="str">
        <f>IF(LEN('Translation-EN'!B2633)&gt;0,'Translation-EN'!B2633,"")</f>
        <v>Master sheet</v>
      </c>
      <c r="C2633" s="888" t="str">
        <f>IF(LEN('Translation-EN'!C2633)&gt;0,'Translation-EN'!C2633,"")</f>
        <v>D489</v>
      </c>
      <c r="D2633" s="888" t="str">
        <f>IF(LEN('Translation-EN'!D2633)&gt;0,'Translation-EN'!D2633,"")</f>
        <v/>
      </c>
      <c r="E2633" s="893" t="str">
        <f>$E$2603</f>
        <v>Can. Moyenne Saskatchewan</v>
      </c>
      <c r="I2633" s="888"/>
      <c r="J2633" s="888"/>
      <c r="K2633" s="888"/>
      <c r="L2633" s="888"/>
      <c r="M2633" s="888"/>
      <c r="N2633" s="888"/>
      <c r="O2633" s="888"/>
      <c r="P2633" s="888"/>
      <c r="Q2633" s="888"/>
      <c r="R2633" s="888"/>
    </row>
    <row r="2634" spans="1:18" s="893" customFormat="1" x14ac:dyDescent="0.3">
      <c r="A2634" s="888" t="str">
        <f>IF(LEN('Translation-EN'!A2634)&gt;0,'Translation-EN'!A2634,"")</f>
        <v>Range</v>
      </c>
      <c r="B2634" s="888" t="str">
        <f>IF(LEN('Translation-EN'!B2634)&gt;0,'Translation-EN'!B2634,"")</f>
        <v>Master sheet</v>
      </c>
      <c r="C2634" s="888" t="str">
        <f>IF(LEN('Translation-EN'!C2634)&gt;0,'Translation-EN'!C2634,"")</f>
        <v>B490</v>
      </c>
      <c r="D2634" s="888" t="str">
        <f>IF(LEN('Translation-EN'!D2634)&gt;0,'Translation-EN'!D2634,"")</f>
        <v/>
      </c>
      <c r="E2634" s="893" t="str">
        <f>$E$2541</f>
        <v>Béton -  35 MPa, 10% FA, GU</v>
      </c>
      <c r="I2634" s="888"/>
      <c r="J2634" s="888"/>
      <c r="K2634" s="888"/>
      <c r="L2634" s="888"/>
      <c r="M2634" s="888"/>
      <c r="N2634" s="888"/>
      <c r="O2634" s="888"/>
      <c r="P2634" s="888"/>
      <c r="Q2634" s="888"/>
      <c r="R2634" s="888"/>
    </row>
    <row r="2635" spans="1:18" s="893" customFormat="1" x14ac:dyDescent="0.3">
      <c r="A2635" s="888" t="str">
        <f>IF(LEN('Translation-EN'!A2635)&gt;0,'Translation-EN'!A2635,"")</f>
        <v>Range</v>
      </c>
      <c r="B2635" s="888" t="str">
        <f>IF(LEN('Translation-EN'!B2635)&gt;0,'Translation-EN'!B2635,"")</f>
        <v>Master sheet</v>
      </c>
      <c r="C2635" s="888" t="str">
        <f>IF(LEN('Translation-EN'!C2635)&gt;0,'Translation-EN'!C2635,"")</f>
        <v>C490</v>
      </c>
      <c r="D2635" s="888" t="str">
        <f>IF(LEN('Translation-EN'!D2635)&gt;0,'Translation-EN'!D2635,"")</f>
        <v/>
      </c>
      <c r="E2635" s="893" t="str">
        <f>$E$2602</f>
        <v>SRMCA</v>
      </c>
      <c r="I2635" s="888"/>
      <c r="J2635" s="888"/>
      <c r="K2635" s="888"/>
      <c r="L2635" s="888"/>
      <c r="M2635" s="888"/>
      <c r="N2635" s="888"/>
      <c r="O2635" s="888"/>
      <c r="P2635" s="888"/>
      <c r="Q2635" s="888"/>
      <c r="R2635" s="888"/>
    </row>
    <row r="2636" spans="1:18" s="893" customFormat="1" x14ac:dyDescent="0.3">
      <c r="A2636" s="888" t="str">
        <f>IF(LEN('Translation-EN'!A2636)&gt;0,'Translation-EN'!A2636,"")</f>
        <v>Range</v>
      </c>
      <c r="B2636" s="888" t="str">
        <f>IF(LEN('Translation-EN'!B2636)&gt;0,'Translation-EN'!B2636,"")</f>
        <v>Master sheet</v>
      </c>
      <c r="C2636" s="888" t="str">
        <f>IF(LEN('Translation-EN'!C2636)&gt;0,'Translation-EN'!C2636,"")</f>
        <v>D490</v>
      </c>
      <c r="D2636" s="888" t="str">
        <f>IF(LEN('Translation-EN'!D2636)&gt;0,'Translation-EN'!D2636,"")</f>
        <v/>
      </c>
      <c r="E2636" s="893" t="str">
        <f>$E$2603</f>
        <v>Can. Moyenne Saskatchewan</v>
      </c>
      <c r="I2636" s="888"/>
      <c r="J2636" s="888"/>
      <c r="K2636" s="888"/>
      <c r="L2636" s="888"/>
      <c r="M2636" s="888"/>
      <c r="N2636" s="888"/>
      <c r="O2636" s="888"/>
      <c r="P2636" s="888"/>
      <c r="Q2636" s="888"/>
      <c r="R2636" s="888"/>
    </row>
    <row r="2637" spans="1:18" s="893" customFormat="1" x14ac:dyDescent="0.3">
      <c r="A2637" s="888" t="str">
        <f>IF(LEN('Translation-EN'!A2637)&gt;0,'Translation-EN'!A2637,"")</f>
        <v>Range</v>
      </c>
      <c r="B2637" s="888" t="str">
        <f>IF(LEN('Translation-EN'!B2637)&gt;0,'Translation-EN'!B2637,"")</f>
        <v>Master sheet</v>
      </c>
      <c r="C2637" s="888" t="str">
        <f>IF(LEN('Translation-EN'!C2637)&gt;0,'Translation-EN'!C2637,"")</f>
        <v>B491</v>
      </c>
      <c r="D2637" s="888" t="str">
        <f>IF(LEN('Translation-EN'!D2637)&gt;0,'Translation-EN'!D2637,"")</f>
        <v/>
      </c>
      <c r="E2637" s="893" t="str">
        <f>$E$2547</f>
        <v>Béton - 35 MPa, 20% FA, GU</v>
      </c>
      <c r="I2637" s="888"/>
      <c r="J2637" s="888"/>
      <c r="K2637" s="888"/>
      <c r="L2637" s="888"/>
      <c r="M2637" s="888"/>
      <c r="N2637" s="888"/>
      <c r="O2637" s="888"/>
      <c r="P2637" s="888"/>
      <c r="Q2637" s="888"/>
      <c r="R2637" s="888"/>
    </row>
    <row r="2638" spans="1:18" s="893" customFormat="1" x14ac:dyDescent="0.3">
      <c r="A2638" s="888" t="str">
        <f>IF(LEN('Translation-EN'!A2638)&gt;0,'Translation-EN'!A2638,"")</f>
        <v>Range</v>
      </c>
      <c r="B2638" s="888" t="str">
        <f>IF(LEN('Translation-EN'!B2638)&gt;0,'Translation-EN'!B2638,"")</f>
        <v>Master sheet</v>
      </c>
      <c r="C2638" s="888" t="str">
        <f>IF(LEN('Translation-EN'!C2638)&gt;0,'Translation-EN'!C2638,"")</f>
        <v>C491</v>
      </c>
      <c r="D2638" s="888" t="str">
        <f>IF(LEN('Translation-EN'!D2638)&gt;0,'Translation-EN'!D2638,"")</f>
        <v/>
      </c>
      <c r="E2638" s="893" t="str">
        <f>$E$2602</f>
        <v>SRMCA</v>
      </c>
      <c r="I2638" s="888"/>
      <c r="J2638" s="888"/>
      <c r="K2638" s="888"/>
      <c r="L2638" s="888"/>
      <c r="M2638" s="888"/>
      <c r="N2638" s="888"/>
      <c r="O2638" s="888"/>
      <c r="P2638" s="888"/>
      <c r="Q2638" s="888"/>
      <c r="R2638" s="888"/>
    </row>
    <row r="2639" spans="1:18" s="893" customFormat="1" x14ac:dyDescent="0.3">
      <c r="A2639" s="888" t="str">
        <f>IF(LEN('Translation-EN'!A2639)&gt;0,'Translation-EN'!A2639,"")</f>
        <v>Range</v>
      </c>
      <c r="B2639" s="888" t="str">
        <f>IF(LEN('Translation-EN'!B2639)&gt;0,'Translation-EN'!B2639,"")</f>
        <v>Master sheet</v>
      </c>
      <c r="C2639" s="888" t="str">
        <f>IF(LEN('Translation-EN'!C2639)&gt;0,'Translation-EN'!C2639,"")</f>
        <v>D491</v>
      </c>
      <c r="D2639" s="888" t="str">
        <f>IF(LEN('Translation-EN'!D2639)&gt;0,'Translation-EN'!D2639,"")</f>
        <v/>
      </c>
      <c r="E2639" s="893" t="str">
        <f>$E$2603</f>
        <v>Can. Moyenne Saskatchewan</v>
      </c>
      <c r="I2639" s="888"/>
      <c r="J2639" s="888"/>
      <c r="K2639" s="888"/>
      <c r="L2639" s="888"/>
      <c r="M2639" s="888"/>
      <c r="N2639" s="888"/>
      <c r="O2639" s="888"/>
      <c r="P2639" s="888"/>
      <c r="Q2639" s="888"/>
      <c r="R2639" s="888"/>
    </row>
    <row r="2640" spans="1:18" s="893" customFormat="1" x14ac:dyDescent="0.3">
      <c r="A2640" s="888" t="str">
        <f>IF(LEN('Translation-EN'!A2640)&gt;0,'Translation-EN'!A2640,"")</f>
        <v>Range</v>
      </c>
      <c r="B2640" s="888" t="str">
        <f>IF(LEN('Translation-EN'!B2640)&gt;0,'Translation-EN'!B2640,"")</f>
        <v>Master sheet</v>
      </c>
      <c r="C2640" s="888" t="str">
        <f>IF(LEN('Translation-EN'!C2640)&gt;0,'Translation-EN'!C2640,"")</f>
        <v>B492</v>
      </c>
      <c r="D2640" s="888" t="str">
        <f>IF(LEN('Translation-EN'!D2640)&gt;0,'Translation-EN'!D2640,"")</f>
        <v/>
      </c>
      <c r="E2640" s="893" t="str">
        <f>$E$2553</f>
        <v>Béton - 35 MPa, 30% FA, GU</v>
      </c>
      <c r="I2640" s="888"/>
      <c r="J2640" s="888"/>
      <c r="K2640" s="888"/>
      <c r="L2640" s="888"/>
      <c r="M2640" s="888"/>
      <c r="N2640" s="888"/>
      <c r="O2640" s="888"/>
      <c r="P2640" s="888"/>
      <c r="Q2640" s="888"/>
      <c r="R2640" s="888"/>
    </row>
    <row r="2641" spans="1:18" s="893" customFormat="1" x14ac:dyDescent="0.3">
      <c r="A2641" s="888" t="str">
        <f>IF(LEN('Translation-EN'!A2641)&gt;0,'Translation-EN'!A2641,"")</f>
        <v>Range</v>
      </c>
      <c r="B2641" s="888" t="str">
        <f>IF(LEN('Translation-EN'!B2641)&gt;0,'Translation-EN'!B2641,"")</f>
        <v>Master sheet</v>
      </c>
      <c r="C2641" s="888" t="str">
        <f>IF(LEN('Translation-EN'!C2641)&gt;0,'Translation-EN'!C2641,"")</f>
        <v>C492</v>
      </c>
      <c r="D2641" s="888" t="str">
        <f>IF(LEN('Translation-EN'!D2641)&gt;0,'Translation-EN'!D2641,"")</f>
        <v/>
      </c>
      <c r="E2641" s="893" t="str">
        <f>$E$2602</f>
        <v>SRMCA</v>
      </c>
      <c r="I2641" s="888"/>
      <c r="J2641" s="888"/>
      <c r="K2641" s="888"/>
      <c r="L2641" s="888"/>
      <c r="M2641" s="888"/>
      <c r="N2641" s="888"/>
      <c r="O2641" s="888"/>
      <c r="P2641" s="888"/>
      <c r="Q2641" s="888"/>
      <c r="R2641" s="888"/>
    </row>
    <row r="2642" spans="1:18" s="893" customFormat="1" x14ac:dyDescent="0.3">
      <c r="A2642" s="888" t="str">
        <f>IF(LEN('Translation-EN'!A2642)&gt;0,'Translation-EN'!A2642,"")</f>
        <v>Range</v>
      </c>
      <c r="B2642" s="888" t="str">
        <f>IF(LEN('Translation-EN'!B2642)&gt;0,'Translation-EN'!B2642,"")</f>
        <v>Master sheet</v>
      </c>
      <c r="C2642" s="888" t="str">
        <f>IF(LEN('Translation-EN'!C2642)&gt;0,'Translation-EN'!C2642,"")</f>
        <v>D492</v>
      </c>
      <c r="D2642" s="888" t="str">
        <f>IF(LEN('Translation-EN'!D2642)&gt;0,'Translation-EN'!D2642,"")</f>
        <v/>
      </c>
      <c r="E2642" s="893" t="str">
        <f>$E$2603</f>
        <v>Can. Moyenne Saskatchewan</v>
      </c>
      <c r="I2642" s="888"/>
      <c r="J2642" s="888"/>
      <c r="K2642" s="888"/>
      <c r="L2642" s="888"/>
      <c r="M2642" s="888"/>
      <c r="N2642" s="888"/>
      <c r="O2642" s="888"/>
      <c r="P2642" s="888"/>
      <c r="Q2642" s="888"/>
      <c r="R2642" s="888"/>
    </row>
    <row r="2643" spans="1:18" s="893" customFormat="1" x14ac:dyDescent="0.3">
      <c r="A2643" s="888" t="str">
        <f>IF(LEN('Translation-EN'!A2643)&gt;0,'Translation-EN'!A2643,"")</f>
        <v>Range</v>
      </c>
      <c r="B2643" s="888" t="str">
        <f>IF(LEN('Translation-EN'!B2643)&gt;0,'Translation-EN'!B2643,"")</f>
        <v>Master sheet</v>
      </c>
      <c r="C2643" s="888" t="str">
        <f>IF(LEN('Translation-EN'!C2643)&gt;0,'Translation-EN'!C2643,"")</f>
        <v>B493</v>
      </c>
      <c r="D2643" s="888" t="str">
        <f>IF(LEN('Translation-EN'!D2643)&gt;0,'Translation-EN'!D2643,"")</f>
        <v/>
      </c>
      <c r="E2643" s="893" t="s">
        <v>6521</v>
      </c>
      <c r="I2643" s="888"/>
      <c r="J2643" s="888"/>
      <c r="K2643" s="888"/>
      <c r="L2643" s="888"/>
      <c r="M2643" s="888"/>
      <c r="N2643" s="888"/>
      <c r="O2643" s="888"/>
      <c r="P2643" s="888"/>
      <c r="Q2643" s="888"/>
      <c r="R2643" s="888"/>
    </row>
    <row r="2644" spans="1:18" s="893" customFormat="1" x14ac:dyDescent="0.3">
      <c r="A2644" s="888" t="str">
        <f>IF(LEN('Translation-EN'!A2644)&gt;0,'Translation-EN'!A2644,"")</f>
        <v>Range</v>
      </c>
      <c r="B2644" s="888" t="str">
        <f>IF(LEN('Translation-EN'!B2644)&gt;0,'Translation-EN'!B2644,"")</f>
        <v>Master sheet</v>
      </c>
      <c r="C2644" s="888" t="str">
        <f>IF(LEN('Translation-EN'!C2644)&gt;0,'Translation-EN'!C2644,"")</f>
        <v>C493</v>
      </c>
      <c r="D2644" s="888" t="str">
        <f>IF(LEN('Translation-EN'!D2644)&gt;0,'Translation-EN'!D2644,"")</f>
        <v/>
      </c>
      <c r="E2644" s="893" t="str">
        <f>$E$2602</f>
        <v>SRMCA</v>
      </c>
      <c r="I2644" s="888"/>
      <c r="J2644" s="888"/>
      <c r="K2644" s="888"/>
      <c r="L2644" s="888"/>
      <c r="M2644" s="888"/>
      <c r="N2644" s="888"/>
      <c r="O2644" s="888"/>
      <c r="P2644" s="888"/>
      <c r="Q2644" s="888"/>
      <c r="R2644" s="888"/>
    </row>
    <row r="2645" spans="1:18" s="893" customFormat="1" x14ac:dyDescent="0.3">
      <c r="A2645" s="888" t="str">
        <f>IF(LEN('Translation-EN'!A2645)&gt;0,'Translation-EN'!A2645,"")</f>
        <v>Range</v>
      </c>
      <c r="B2645" s="888" t="str">
        <f>IF(LEN('Translation-EN'!B2645)&gt;0,'Translation-EN'!B2645,"")</f>
        <v>Master sheet</v>
      </c>
      <c r="C2645" s="888" t="str">
        <f>IF(LEN('Translation-EN'!C2645)&gt;0,'Translation-EN'!C2645,"")</f>
        <v>D493</v>
      </c>
      <c r="D2645" s="888" t="str">
        <f>IF(LEN('Translation-EN'!D2645)&gt;0,'Translation-EN'!D2645,"")</f>
        <v/>
      </c>
      <c r="E2645" s="893" t="str">
        <f>$E$2603</f>
        <v>Can. Moyenne Saskatchewan</v>
      </c>
      <c r="I2645" s="888"/>
      <c r="J2645" s="888"/>
      <c r="K2645" s="888"/>
      <c r="L2645" s="888"/>
      <c r="M2645" s="888"/>
      <c r="N2645" s="888"/>
      <c r="O2645" s="888"/>
      <c r="P2645" s="888"/>
      <c r="Q2645" s="888"/>
      <c r="R2645" s="888"/>
    </row>
    <row r="2646" spans="1:18" s="893" customFormat="1" x14ac:dyDescent="0.3">
      <c r="A2646" s="888" t="str">
        <f>IF(LEN('Translation-EN'!A2646)&gt;0,'Translation-EN'!A2646,"")</f>
        <v>Range</v>
      </c>
      <c r="B2646" s="888" t="str">
        <f>IF(LEN('Translation-EN'!B2646)&gt;0,'Translation-EN'!B2646,"")</f>
        <v>Master sheet</v>
      </c>
      <c r="C2646" s="888" t="str">
        <f>IF(LEN('Translation-EN'!C2646)&gt;0,'Translation-EN'!C2646,"")</f>
        <v>B494</v>
      </c>
      <c r="D2646" s="888" t="str">
        <f>IF(LEN('Translation-EN'!D2646)&gt;0,'Translation-EN'!D2646,"")</f>
        <v/>
      </c>
      <c r="E2646" s="893" t="str">
        <f>$E$2556</f>
        <v>Béton - 25 MPa, GU</v>
      </c>
      <c r="I2646" s="888"/>
      <c r="J2646" s="888"/>
      <c r="K2646" s="888"/>
      <c r="L2646" s="888"/>
      <c r="M2646" s="888"/>
      <c r="N2646" s="888"/>
      <c r="O2646" s="888"/>
      <c r="P2646" s="888"/>
      <c r="Q2646" s="888"/>
      <c r="R2646" s="888"/>
    </row>
    <row r="2647" spans="1:18" s="893" customFormat="1" x14ac:dyDescent="0.3">
      <c r="A2647" s="888" t="str">
        <f>IF(LEN('Translation-EN'!A2647)&gt;0,'Translation-EN'!A2647,"")</f>
        <v>Range</v>
      </c>
      <c r="B2647" s="888" t="str">
        <f>IF(LEN('Translation-EN'!B2647)&gt;0,'Translation-EN'!B2647,"")</f>
        <v>Master sheet</v>
      </c>
      <c r="C2647" s="888" t="str">
        <f>IF(LEN('Translation-EN'!C2647)&gt;0,'Translation-EN'!C2647,"")</f>
        <v>C494</v>
      </c>
      <c r="D2647" s="888" t="str">
        <f>IF(LEN('Translation-EN'!D2647)&gt;0,'Translation-EN'!D2647,"")</f>
        <v/>
      </c>
      <c r="E2647" s="893" t="s">
        <v>3593</v>
      </c>
      <c r="I2647" s="888"/>
      <c r="J2647" s="888"/>
      <c r="K2647" s="888"/>
      <c r="L2647" s="888"/>
      <c r="M2647" s="888"/>
      <c r="N2647" s="888"/>
      <c r="O2647" s="888"/>
      <c r="P2647" s="888"/>
      <c r="Q2647" s="888"/>
      <c r="R2647" s="888"/>
    </row>
    <row r="2648" spans="1:18" s="893" customFormat="1" x14ac:dyDescent="0.3">
      <c r="A2648" s="888" t="str">
        <f>IF(LEN('Translation-EN'!A2648)&gt;0,'Translation-EN'!A2648,"")</f>
        <v>Range</v>
      </c>
      <c r="B2648" s="888" t="str">
        <f>IF(LEN('Translation-EN'!B2648)&gt;0,'Translation-EN'!B2648,"")</f>
        <v>Master sheet</v>
      </c>
      <c r="C2648" s="888" t="str">
        <f>IF(LEN('Translation-EN'!C2648)&gt;0,'Translation-EN'!C2648,"")</f>
        <v>D494</v>
      </c>
      <c r="D2648" s="888" t="str">
        <f>IF(LEN('Translation-EN'!D2648)&gt;0,'Translation-EN'!D2648,"")</f>
        <v/>
      </c>
      <c r="E2648" s="893" t="s">
        <v>6522</v>
      </c>
      <c r="I2648" s="888"/>
      <c r="J2648" s="888"/>
      <c r="K2648" s="888"/>
      <c r="L2648" s="888"/>
      <c r="M2648" s="888"/>
      <c r="N2648" s="888"/>
      <c r="O2648" s="888"/>
      <c r="P2648" s="888"/>
      <c r="Q2648" s="888"/>
      <c r="R2648" s="888"/>
    </row>
    <row r="2649" spans="1:18" s="893" customFormat="1" x14ac:dyDescent="0.3">
      <c r="A2649" s="888" t="str">
        <f>IF(LEN('Translation-EN'!A2649)&gt;0,'Translation-EN'!A2649,"")</f>
        <v>Range</v>
      </c>
      <c r="B2649" s="888" t="str">
        <f>IF(LEN('Translation-EN'!B2649)&gt;0,'Translation-EN'!B2649,"")</f>
        <v>Master sheet</v>
      </c>
      <c r="C2649" s="888" t="str">
        <f>IF(LEN('Translation-EN'!C2649)&gt;0,'Translation-EN'!C2649,"")</f>
        <v>B495</v>
      </c>
      <c r="D2649" s="888" t="str">
        <f>IF(LEN('Translation-EN'!D2649)&gt;0,'Translation-EN'!D2649,"")</f>
        <v/>
      </c>
      <c r="E2649" s="893" t="str">
        <f>$E$2499</f>
        <v>Béton -  25 MPa, 10% FA, GU</v>
      </c>
      <c r="I2649" s="888"/>
      <c r="J2649" s="888"/>
      <c r="K2649" s="888"/>
      <c r="L2649" s="888"/>
      <c r="M2649" s="888"/>
      <c r="N2649" s="888"/>
      <c r="O2649" s="888"/>
      <c r="P2649" s="888"/>
      <c r="Q2649" s="888"/>
      <c r="R2649" s="888"/>
    </row>
    <row r="2650" spans="1:18" s="893" customFormat="1" x14ac:dyDescent="0.3">
      <c r="A2650" s="888" t="str">
        <f>IF(LEN('Translation-EN'!A2650)&gt;0,'Translation-EN'!A2650,"")</f>
        <v>Range</v>
      </c>
      <c r="B2650" s="888" t="str">
        <f>IF(LEN('Translation-EN'!B2650)&gt;0,'Translation-EN'!B2650,"")</f>
        <v>Master sheet</v>
      </c>
      <c r="C2650" s="888" t="str">
        <f>IF(LEN('Translation-EN'!C2650)&gt;0,'Translation-EN'!C2650,"")</f>
        <v>C495</v>
      </c>
      <c r="D2650" s="888" t="str">
        <f>IF(LEN('Translation-EN'!D2650)&gt;0,'Translation-EN'!D2650,"")</f>
        <v/>
      </c>
      <c r="E2650" s="893" t="str">
        <f>$E$2647</f>
        <v>MRMCA</v>
      </c>
      <c r="I2650" s="888"/>
      <c r="J2650" s="888"/>
      <c r="K2650" s="888"/>
      <c r="L2650" s="888"/>
      <c r="M2650" s="888"/>
      <c r="N2650" s="888"/>
      <c r="O2650" s="888"/>
      <c r="P2650" s="888"/>
      <c r="Q2650" s="888"/>
      <c r="R2650" s="888"/>
    </row>
    <row r="2651" spans="1:18" s="893" customFormat="1" x14ac:dyDescent="0.3">
      <c r="A2651" s="888" t="str">
        <f>IF(LEN('Translation-EN'!A2651)&gt;0,'Translation-EN'!A2651,"")</f>
        <v>Range</v>
      </c>
      <c r="B2651" s="888" t="str">
        <f>IF(LEN('Translation-EN'!B2651)&gt;0,'Translation-EN'!B2651,"")</f>
        <v>Master sheet</v>
      </c>
      <c r="C2651" s="888" t="str">
        <f>IF(LEN('Translation-EN'!C2651)&gt;0,'Translation-EN'!C2651,"")</f>
        <v>D495</v>
      </c>
      <c r="D2651" s="888" t="str">
        <f>IF(LEN('Translation-EN'!D2651)&gt;0,'Translation-EN'!D2651,"")</f>
        <v/>
      </c>
      <c r="E2651" s="893" t="str">
        <f>$E$2648</f>
        <v>Can. Moyenne Manitoba</v>
      </c>
      <c r="I2651" s="888"/>
      <c r="J2651" s="888"/>
      <c r="K2651" s="888"/>
      <c r="L2651" s="888"/>
      <c r="M2651" s="888"/>
      <c r="N2651" s="888"/>
      <c r="O2651" s="888"/>
      <c r="P2651" s="888"/>
      <c r="Q2651" s="888"/>
      <c r="R2651" s="888"/>
    </row>
    <row r="2652" spans="1:18" s="893" customFormat="1" x14ac:dyDescent="0.3">
      <c r="A2652" s="888" t="str">
        <f>IF(LEN('Translation-EN'!A2652)&gt;0,'Translation-EN'!A2652,"")</f>
        <v>Range</v>
      </c>
      <c r="B2652" s="888" t="str">
        <f>IF(LEN('Translation-EN'!B2652)&gt;0,'Translation-EN'!B2652,"")</f>
        <v>Master sheet</v>
      </c>
      <c r="C2652" s="888" t="str">
        <f>IF(LEN('Translation-EN'!C2652)&gt;0,'Translation-EN'!C2652,"")</f>
        <v>B496</v>
      </c>
      <c r="D2652" s="888" t="str">
        <f>IF(LEN('Translation-EN'!D2652)&gt;0,'Translation-EN'!D2652,"")</f>
        <v/>
      </c>
      <c r="E2652" s="893" t="str">
        <f>$E$2505</f>
        <v>Béton - 25 MPa, 20% FA, GU</v>
      </c>
      <c r="I2652" s="888"/>
      <c r="J2652" s="888"/>
      <c r="K2652" s="888"/>
      <c r="L2652" s="888"/>
      <c r="M2652" s="888"/>
      <c r="N2652" s="888"/>
      <c r="O2652" s="888"/>
      <c r="P2652" s="888"/>
      <c r="Q2652" s="888"/>
      <c r="R2652" s="888"/>
    </row>
    <row r="2653" spans="1:18" s="893" customFormat="1" x14ac:dyDescent="0.3">
      <c r="A2653" s="888" t="str">
        <f>IF(LEN('Translation-EN'!A2653)&gt;0,'Translation-EN'!A2653,"")</f>
        <v>Range</v>
      </c>
      <c r="B2653" s="888" t="str">
        <f>IF(LEN('Translation-EN'!B2653)&gt;0,'Translation-EN'!B2653,"")</f>
        <v>Master sheet</v>
      </c>
      <c r="C2653" s="888" t="str">
        <f>IF(LEN('Translation-EN'!C2653)&gt;0,'Translation-EN'!C2653,"")</f>
        <v>C496</v>
      </c>
      <c r="D2653" s="888" t="str">
        <f>IF(LEN('Translation-EN'!D2653)&gt;0,'Translation-EN'!D2653,"")</f>
        <v/>
      </c>
      <c r="E2653" s="893" t="str">
        <f>$E$2647</f>
        <v>MRMCA</v>
      </c>
      <c r="I2653" s="888"/>
      <c r="J2653" s="888"/>
      <c r="K2653" s="888"/>
      <c r="L2653" s="888"/>
      <c r="M2653" s="888"/>
      <c r="N2653" s="888"/>
      <c r="O2653" s="888"/>
      <c r="P2653" s="888"/>
      <c r="Q2653" s="888"/>
      <c r="R2653" s="888"/>
    </row>
    <row r="2654" spans="1:18" s="893" customFormat="1" x14ac:dyDescent="0.3">
      <c r="A2654" s="888" t="str">
        <f>IF(LEN('Translation-EN'!A2654)&gt;0,'Translation-EN'!A2654,"")</f>
        <v>Range</v>
      </c>
      <c r="B2654" s="888" t="str">
        <f>IF(LEN('Translation-EN'!B2654)&gt;0,'Translation-EN'!B2654,"")</f>
        <v>Master sheet</v>
      </c>
      <c r="C2654" s="888" t="str">
        <f>IF(LEN('Translation-EN'!C2654)&gt;0,'Translation-EN'!C2654,"")</f>
        <v>D496</v>
      </c>
      <c r="D2654" s="888" t="str">
        <f>IF(LEN('Translation-EN'!D2654)&gt;0,'Translation-EN'!D2654,"")</f>
        <v/>
      </c>
      <c r="E2654" s="893" t="str">
        <f>$E$2648</f>
        <v>Can. Moyenne Manitoba</v>
      </c>
      <c r="I2654" s="888"/>
      <c r="J2654" s="888"/>
      <c r="K2654" s="888"/>
      <c r="L2654" s="888"/>
      <c r="M2654" s="888"/>
      <c r="N2654" s="888"/>
      <c r="O2654" s="888"/>
      <c r="P2654" s="888"/>
      <c r="Q2654" s="888"/>
      <c r="R2654" s="888"/>
    </row>
    <row r="2655" spans="1:18" s="893" customFormat="1" x14ac:dyDescent="0.3">
      <c r="A2655" s="888" t="str">
        <f>IF(LEN('Translation-EN'!A2655)&gt;0,'Translation-EN'!A2655,"")</f>
        <v>Range</v>
      </c>
      <c r="B2655" s="888" t="str">
        <f>IF(LEN('Translation-EN'!B2655)&gt;0,'Translation-EN'!B2655,"")</f>
        <v>Master sheet</v>
      </c>
      <c r="C2655" s="888" t="str">
        <f>IF(LEN('Translation-EN'!C2655)&gt;0,'Translation-EN'!C2655,"")</f>
        <v>B497</v>
      </c>
      <c r="D2655" s="888" t="str">
        <f>IF(LEN('Translation-EN'!D2655)&gt;0,'Translation-EN'!D2655,"")</f>
        <v/>
      </c>
      <c r="E2655" s="893" t="str">
        <f>$E$2511</f>
        <v>Béton - 25 MPa, 30% FA, GU</v>
      </c>
      <c r="I2655" s="888"/>
      <c r="J2655" s="888"/>
      <c r="K2655" s="888"/>
      <c r="L2655" s="888"/>
      <c r="M2655" s="888"/>
      <c r="N2655" s="888"/>
      <c r="O2655" s="888"/>
      <c r="P2655" s="888"/>
      <c r="Q2655" s="888"/>
      <c r="R2655" s="888"/>
    </row>
    <row r="2656" spans="1:18" s="893" customFormat="1" x14ac:dyDescent="0.3">
      <c r="A2656" s="888" t="str">
        <f>IF(LEN('Translation-EN'!A2656)&gt;0,'Translation-EN'!A2656,"")</f>
        <v>Range</v>
      </c>
      <c r="B2656" s="888" t="str">
        <f>IF(LEN('Translation-EN'!B2656)&gt;0,'Translation-EN'!B2656,"")</f>
        <v>Master sheet</v>
      </c>
      <c r="C2656" s="888" t="str">
        <f>IF(LEN('Translation-EN'!C2656)&gt;0,'Translation-EN'!C2656,"")</f>
        <v>C497</v>
      </c>
      <c r="D2656" s="888" t="str">
        <f>IF(LEN('Translation-EN'!D2656)&gt;0,'Translation-EN'!D2656,"")</f>
        <v/>
      </c>
      <c r="E2656" s="1039" t="str">
        <f>$E$2647</f>
        <v>MRMCA</v>
      </c>
      <c r="I2656" s="888"/>
      <c r="J2656" s="888"/>
      <c r="K2656" s="888"/>
      <c r="L2656" s="888"/>
      <c r="M2656" s="888"/>
      <c r="N2656" s="888"/>
      <c r="O2656" s="888"/>
      <c r="P2656" s="888"/>
      <c r="Q2656" s="888"/>
      <c r="R2656" s="888"/>
    </row>
    <row r="2657" spans="1:18" s="893" customFormat="1" x14ac:dyDescent="0.3">
      <c r="A2657" s="888" t="str">
        <f>IF(LEN('Translation-EN'!A2657)&gt;0,'Translation-EN'!A2657,"")</f>
        <v>Range</v>
      </c>
      <c r="B2657" s="888" t="str">
        <f>IF(LEN('Translation-EN'!B2657)&gt;0,'Translation-EN'!B2657,"")</f>
        <v>Master sheet</v>
      </c>
      <c r="C2657" s="888" t="str">
        <f>IF(LEN('Translation-EN'!C2657)&gt;0,'Translation-EN'!C2657,"")</f>
        <v>D497</v>
      </c>
      <c r="D2657" s="888" t="str">
        <f>IF(LEN('Translation-EN'!D2657)&gt;0,'Translation-EN'!D2657,"")</f>
        <v/>
      </c>
      <c r="E2657" s="893" t="str">
        <f>$E$2648</f>
        <v>Can. Moyenne Manitoba</v>
      </c>
      <c r="I2657" s="888"/>
      <c r="J2657" s="888"/>
      <c r="K2657" s="888"/>
      <c r="L2657" s="888"/>
      <c r="M2657" s="888"/>
      <c r="N2657" s="888"/>
      <c r="O2657" s="888"/>
      <c r="P2657" s="888"/>
      <c r="Q2657" s="888"/>
      <c r="R2657" s="888"/>
    </row>
    <row r="2658" spans="1:18" s="893" customFormat="1" x14ac:dyDescent="0.3">
      <c r="A2658" s="888" t="str">
        <f>IF(LEN('Translation-EN'!A2658)&gt;0,'Translation-EN'!A2658,"")</f>
        <v>Range</v>
      </c>
      <c r="B2658" s="888" t="str">
        <f>IF(LEN('Translation-EN'!B2658)&gt;0,'Translation-EN'!B2658,"")</f>
        <v>Master sheet</v>
      </c>
      <c r="C2658" s="888" t="str">
        <f>IF(LEN('Translation-EN'!C2658)&gt;0,'Translation-EN'!C2658,"")</f>
        <v>B498</v>
      </c>
      <c r="D2658" s="888" t="str">
        <f>IF(LEN('Translation-EN'!D2658)&gt;0,'Translation-EN'!D2658,"")</f>
        <v/>
      </c>
      <c r="E2658" s="893" t="str">
        <f>$E$2613</f>
        <v>Béton - 25 MPa, 40% FA, GU</v>
      </c>
      <c r="I2658" s="888"/>
      <c r="J2658" s="888"/>
      <c r="K2658" s="888"/>
      <c r="L2658" s="888"/>
      <c r="M2658" s="888"/>
      <c r="N2658" s="888"/>
      <c r="O2658" s="888"/>
      <c r="P2658" s="888"/>
      <c r="Q2658" s="888"/>
      <c r="R2658" s="888"/>
    </row>
    <row r="2659" spans="1:18" s="893" customFormat="1" x14ac:dyDescent="0.3">
      <c r="A2659" s="888" t="str">
        <f>IF(LEN('Translation-EN'!A2659)&gt;0,'Translation-EN'!A2659,"")</f>
        <v>Range</v>
      </c>
      <c r="B2659" s="888" t="str">
        <f>IF(LEN('Translation-EN'!B2659)&gt;0,'Translation-EN'!B2659,"")</f>
        <v>Master sheet</v>
      </c>
      <c r="C2659" s="888" t="str">
        <f>IF(LEN('Translation-EN'!C2659)&gt;0,'Translation-EN'!C2659,"")</f>
        <v>C498</v>
      </c>
      <c r="D2659" s="888" t="str">
        <f>IF(LEN('Translation-EN'!D2659)&gt;0,'Translation-EN'!D2659,"")</f>
        <v/>
      </c>
      <c r="E2659" s="893" t="str">
        <f>$E$2647</f>
        <v>MRMCA</v>
      </c>
      <c r="I2659" s="888"/>
      <c r="J2659" s="888"/>
      <c r="K2659" s="888"/>
      <c r="L2659" s="888"/>
      <c r="M2659" s="888"/>
      <c r="N2659" s="888"/>
      <c r="O2659" s="888"/>
      <c r="P2659" s="888"/>
      <c r="Q2659" s="888"/>
      <c r="R2659" s="888"/>
    </row>
    <row r="2660" spans="1:18" s="893" customFormat="1" x14ac:dyDescent="0.3">
      <c r="A2660" s="888" t="str">
        <f>IF(LEN('Translation-EN'!A2660)&gt;0,'Translation-EN'!A2660,"")</f>
        <v>Range</v>
      </c>
      <c r="B2660" s="888" t="str">
        <f>IF(LEN('Translation-EN'!B2660)&gt;0,'Translation-EN'!B2660,"")</f>
        <v>Master sheet</v>
      </c>
      <c r="C2660" s="888" t="str">
        <f>IF(LEN('Translation-EN'!C2660)&gt;0,'Translation-EN'!C2660,"")</f>
        <v>D498</v>
      </c>
      <c r="D2660" s="888" t="str">
        <f>IF(LEN('Translation-EN'!D2660)&gt;0,'Translation-EN'!D2660,"")</f>
        <v/>
      </c>
      <c r="E2660" s="893" t="str">
        <f>$E$2648</f>
        <v>Can. Moyenne Manitoba</v>
      </c>
      <c r="I2660" s="888"/>
      <c r="J2660" s="888"/>
      <c r="K2660" s="888"/>
      <c r="L2660" s="888"/>
      <c r="M2660" s="888"/>
      <c r="N2660" s="888"/>
      <c r="O2660" s="888"/>
      <c r="P2660" s="888"/>
      <c r="Q2660" s="888"/>
      <c r="R2660" s="888"/>
    </row>
    <row r="2661" spans="1:18" s="893" customFormat="1" x14ac:dyDescent="0.3">
      <c r="A2661" s="888" t="str">
        <f>IF(LEN('Translation-EN'!A2661)&gt;0,'Translation-EN'!A2661,"")</f>
        <v>Range</v>
      </c>
      <c r="B2661" s="888" t="str">
        <f>IF(LEN('Translation-EN'!B2661)&gt;0,'Translation-EN'!B2661,"")</f>
        <v>Master sheet</v>
      </c>
      <c r="C2661" s="888" t="str">
        <f>IF(LEN('Translation-EN'!C2661)&gt;0,'Translation-EN'!C2661,"")</f>
        <v>B499</v>
      </c>
      <c r="D2661" s="888" t="str">
        <f>IF(LEN('Translation-EN'!D2661)&gt;0,'Translation-EN'!D2661,"")</f>
        <v/>
      </c>
      <c r="E2661" s="893" t="str">
        <f>$E$2571</f>
        <v>Béton - 30 MPa, GU</v>
      </c>
      <c r="I2661" s="888"/>
      <c r="J2661" s="888"/>
      <c r="K2661" s="888"/>
      <c r="L2661" s="888"/>
      <c r="M2661" s="888"/>
      <c r="N2661" s="888"/>
      <c r="O2661" s="888"/>
      <c r="P2661" s="888"/>
      <c r="Q2661" s="888"/>
      <c r="R2661" s="888"/>
    </row>
    <row r="2662" spans="1:18" s="893" customFormat="1" x14ac:dyDescent="0.3">
      <c r="A2662" s="888" t="str">
        <f>IF(LEN('Translation-EN'!A2662)&gt;0,'Translation-EN'!A2662,"")</f>
        <v>Range</v>
      </c>
      <c r="B2662" s="888" t="str">
        <f>IF(LEN('Translation-EN'!B2662)&gt;0,'Translation-EN'!B2662,"")</f>
        <v>Master sheet</v>
      </c>
      <c r="C2662" s="888" t="str">
        <f>IF(LEN('Translation-EN'!C2662)&gt;0,'Translation-EN'!C2662,"")</f>
        <v>C499</v>
      </c>
      <c r="D2662" s="888" t="str">
        <f>IF(LEN('Translation-EN'!D2662)&gt;0,'Translation-EN'!D2662,"")</f>
        <v/>
      </c>
      <c r="E2662" s="893" t="str">
        <f>$E$2647</f>
        <v>MRMCA</v>
      </c>
      <c r="I2662" s="888"/>
      <c r="J2662" s="888"/>
      <c r="K2662" s="888"/>
      <c r="L2662" s="888"/>
      <c r="M2662" s="888"/>
      <c r="N2662" s="888"/>
      <c r="O2662" s="888"/>
      <c r="P2662" s="888"/>
      <c r="Q2662" s="888"/>
      <c r="R2662" s="888"/>
    </row>
    <row r="2663" spans="1:18" s="893" customFormat="1" x14ac:dyDescent="0.3">
      <c r="A2663" s="888" t="str">
        <f>IF(LEN('Translation-EN'!A2663)&gt;0,'Translation-EN'!A2663,"")</f>
        <v>Range</v>
      </c>
      <c r="B2663" s="888" t="str">
        <f>IF(LEN('Translation-EN'!B2663)&gt;0,'Translation-EN'!B2663,"")</f>
        <v>Master sheet</v>
      </c>
      <c r="C2663" s="888" t="str">
        <f>IF(LEN('Translation-EN'!C2663)&gt;0,'Translation-EN'!C2663,"")</f>
        <v>D499</v>
      </c>
      <c r="D2663" s="888" t="str">
        <f>IF(LEN('Translation-EN'!D2663)&gt;0,'Translation-EN'!D2663,"")</f>
        <v/>
      </c>
      <c r="E2663" s="893" t="str">
        <f>$E$2648</f>
        <v>Can. Moyenne Manitoba</v>
      </c>
      <c r="I2663" s="888"/>
      <c r="J2663" s="888"/>
      <c r="K2663" s="888"/>
      <c r="L2663" s="888"/>
      <c r="M2663" s="888"/>
      <c r="N2663" s="888"/>
      <c r="O2663" s="888"/>
      <c r="P2663" s="888"/>
      <c r="Q2663" s="888"/>
      <c r="R2663" s="888"/>
    </row>
    <row r="2664" spans="1:18" s="893" customFormat="1" x14ac:dyDescent="0.3">
      <c r="A2664" s="888" t="str">
        <f>IF(LEN('Translation-EN'!A2664)&gt;0,'Translation-EN'!A2664,"")</f>
        <v>Range</v>
      </c>
      <c r="B2664" s="888" t="str">
        <f>IF(LEN('Translation-EN'!B2664)&gt;0,'Translation-EN'!B2664,"")</f>
        <v>Master sheet</v>
      </c>
      <c r="C2664" s="888" t="str">
        <f>IF(LEN('Translation-EN'!C2664)&gt;0,'Translation-EN'!C2664,"")</f>
        <v>B500</v>
      </c>
      <c r="D2664" s="888" t="str">
        <f>IF(LEN('Translation-EN'!D2664)&gt;0,'Translation-EN'!D2664,"")</f>
        <v/>
      </c>
      <c r="E2664" s="893" t="str">
        <f>$E$2520</f>
        <v>Béton -  30 MPa, 10% FA, GU</v>
      </c>
      <c r="I2664" s="888"/>
      <c r="J2664" s="888"/>
      <c r="K2664" s="888"/>
      <c r="L2664" s="888"/>
      <c r="M2664" s="888"/>
      <c r="N2664" s="888"/>
      <c r="O2664" s="888"/>
      <c r="P2664" s="888"/>
      <c r="Q2664" s="888"/>
      <c r="R2664" s="888"/>
    </row>
    <row r="2665" spans="1:18" s="893" customFormat="1" x14ac:dyDescent="0.3">
      <c r="A2665" s="888" t="str">
        <f>IF(LEN('Translation-EN'!A2665)&gt;0,'Translation-EN'!A2665,"")</f>
        <v>Range</v>
      </c>
      <c r="B2665" s="888" t="str">
        <f>IF(LEN('Translation-EN'!B2665)&gt;0,'Translation-EN'!B2665,"")</f>
        <v>Master sheet</v>
      </c>
      <c r="C2665" s="888" t="str">
        <f>IF(LEN('Translation-EN'!C2665)&gt;0,'Translation-EN'!C2665,"")</f>
        <v>C500</v>
      </c>
      <c r="D2665" s="888" t="str">
        <f>IF(LEN('Translation-EN'!D2665)&gt;0,'Translation-EN'!D2665,"")</f>
        <v/>
      </c>
      <c r="E2665" s="893" t="str">
        <f>$E$2647</f>
        <v>MRMCA</v>
      </c>
      <c r="I2665" s="888"/>
      <c r="J2665" s="888"/>
      <c r="K2665" s="888"/>
      <c r="L2665" s="888"/>
      <c r="M2665" s="888"/>
      <c r="N2665" s="888"/>
      <c r="O2665" s="888"/>
      <c r="P2665" s="888"/>
      <c r="Q2665" s="888"/>
      <c r="R2665" s="888"/>
    </row>
    <row r="2666" spans="1:18" s="893" customFormat="1" x14ac:dyDescent="0.3">
      <c r="A2666" s="888" t="str">
        <f>IF(LEN('Translation-EN'!A2666)&gt;0,'Translation-EN'!A2666,"")</f>
        <v>Range</v>
      </c>
      <c r="B2666" s="888" t="str">
        <f>IF(LEN('Translation-EN'!B2666)&gt;0,'Translation-EN'!B2666,"")</f>
        <v>Master sheet</v>
      </c>
      <c r="C2666" s="888" t="str">
        <f>IF(LEN('Translation-EN'!C2666)&gt;0,'Translation-EN'!C2666,"")</f>
        <v>D500</v>
      </c>
      <c r="D2666" s="888" t="str">
        <f>IF(LEN('Translation-EN'!D2666)&gt;0,'Translation-EN'!D2666,"")</f>
        <v/>
      </c>
      <c r="E2666" s="893" t="str">
        <f>$E$2648</f>
        <v>Can. Moyenne Manitoba</v>
      </c>
      <c r="I2666" s="888"/>
      <c r="J2666" s="888"/>
      <c r="K2666" s="888"/>
      <c r="L2666" s="888"/>
      <c r="M2666" s="888"/>
      <c r="N2666" s="888"/>
      <c r="O2666" s="888"/>
      <c r="P2666" s="888"/>
      <c r="Q2666" s="888"/>
      <c r="R2666" s="888"/>
    </row>
    <row r="2667" spans="1:18" s="893" customFormat="1" x14ac:dyDescent="0.3">
      <c r="A2667" s="888" t="str">
        <f>IF(LEN('Translation-EN'!A2667)&gt;0,'Translation-EN'!A2667,"")</f>
        <v>Range</v>
      </c>
      <c r="B2667" s="888" t="str">
        <f>IF(LEN('Translation-EN'!B2667)&gt;0,'Translation-EN'!B2667,"")</f>
        <v>Master sheet</v>
      </c>
      <c r="C2667" s="888" t="str">
        <f>IF(LEN('Translation-EN'!C2667)&gt;0,'Translation-EN'!C2667,"")</f>
        <v>B501</v>
      </c>
      <c r="D2667" s="888" t="str">
        <f>IF(LEN('Translation-EN'!D2667)&gt;0,'Translation-EN'!D2667,"")</f>
        <v/>
      </c>
      <c r="E2667" s="893" t="str">
        <f>$E$2526</f>
        <v>Béton - 30 MPa, 20% FA, GU</v>
      </c>
      <c r="I2667" s="888"/>
      <c r="J2667" s="888"/>
      <c r="K2667" s="888"/>
      <c r="L2667" s="888"/>
      <c r="M2667" s="888"/>
      <c r="N2667" s="888"/>
      <c r="O2667" s="888"/>
      <c r="P2667" s="888"/>
      <c r="Q2667" s="888"/>
      <c r="R2667" s="888"/>
    </row>
    <row r="2668" spans="1:18" s="893" customFormat="1" x14ac:dyDescent="0.3">
      <c r="A2668" s="888" t="str">
        <f>IF(LEN('Translation-EN'!A2668)&gt;0,'Translation-EN'!A2668,"")</f>
        <v>Range</v>
      </c>
      <c r="B2668" s="888" t="str">
        <f>IF(LEN('Translation-EN'!B2668)&gt;0,'Translation-EN'!B2668,"")</f>
        <v>Master sheet</v>
      </c>
      <c r="C2668" s="888" t="str">
        <f>IF(LEN('Translation-EN'!C2668)&gt;0,'Translation-EN'!C2668,"")</f>
        <v>C501</v>
      </c>
      <c r="D2668" s="888" t="str">
        <f>IF(LEN('Translation-EN'!D2668)&gt;0,'Translation-EN'!D2668,"")</f>
        <v/>
      </c>
      <c r="E2668" s="893" t="str">
        <f>$E$2647</f>
        <v>MRMCA</v>
      </c>
      <c r="I2668" s="888"/>
      <c r="J2668" s="888"/>
      <c r="K2668" s="888"/>
      <c r="L2668" s="888"/>
      <c r="M2668" s="888"/>
      <c r="N2668" s="888"/>
      <c r="O2668" s="888"/>
      <c r="P2668" s="888"/>
      <c r="Q2668" s="888"/>
      <c r="R2668" s="888"/>
    </row>
    <row r="2669" spans="1:18" s="893" customFormat="1" x14ac:dyDescent="0.3">
      <c r="A2669" s="888" t="str">
        <f>IF(LEN('Translation-EN'!A2669)&gt;0,'Translation-EN'!A2669,"")</f>
        <v>Range</v>
      </c>
      <c r="B2669" s="888" t="str">
        <f>IF(LEN('Translation-EN'!B2669)&gt;0,'Translation-EN'!B2669,"")</f>
        <v>Master sheet</v>
      </c>
      <c r="C2669" s="888" t="str">
        <f>IF(LEN('Translation-EN'!C2669)&gt;0,'Translation-EN'!C2669,"")</f>
        <v>D501</v>
      </c>
      <c r="D2669" s="888" t="str">
        <f>IF(LEN('Translation-EN'!D2669)&gt;0,'Translation-EN'!D2669,"")</f>
        <v/>
      </c>
      <c r="E2669" s="893" t="str">
        <f>$E$2648</f>
        <v>Can. Moyenne Manitoba</v>
      </c>
      <c r="I2669" s="888"/>
      <c r="J2669" s="888"/>
      <c r="K2669" s="888"/>
      <c r="L2669" s="888"/>
      <c r="M2669" s="888"/>
      <c r="N2669" s="888"/>
      <c r="O2669" s="888"/>
      <c r="P2669" s="888"/>
      <c r="Q2669" s="888"/>
      <c r="R2669" s="888"/>
    </row>
    <row r="2670" spans="1:18" s="893" customFormat="1" x14ac:dyDescent="0.3">
      <c r="A2670" s="888" t="str">
        <f>IF(LEN('Translation-EN'!A2670)&gt;0,'Translation-EN'!A2670,"")</f>
        <v>Range</v>
      </c>
      <c r="B2670" s="888" t="str">
        <f>IF(LEN('Translation-EN'!B2670)&gt;0,'Translation-EN'!B2670,"")</f>
        <v>Master sheet</v>
      </c>
      <c r="C2670" s="888" t="str">
        <f>IF(LEN('Translation-EN'!C2670)&gt;0,'Translation-EN'!C2670,"")</f>
        <v>B502</v>
      </c>
      <c r="D2670" s="888" t="str">
        <f>IF(LEN('Translation-EN'!D2670)&gt;0,'Translation-EN'!D2670,"")</f>
        <v/>
      </c>
      <c r="E2670" s="1039" t="str">
        <f>$E$2532</f>
        <v>Béton - 30 MPa, 30% FA, GU</v>
      </c>
      <c r="I2670" s="888"/>
      <c r="J2670" s="888"/>
      <c r="K2670" s="888"/>
      <c r="L2670" s="888"/>
      <c r="M2670" s="888"/>
      <c r="N2670" s="888"/>
      <c r="O2670" s="888"/>
      <c r="P2670" s="888"/>
      <c r="Q2670" s="888"/>
      <c r="R2670" s="888"/>
    </row>
    <row r="2671" spans="1:18" s="893" customFormat="1" x14ac:dyDescent="0.3">
      <c r="A2671" s="888" t="str">
        <f>IF(LEN('Translation-EN'!A2671)&gt;0,'Translation-EN'!A2671,"")</f>
        <v>Range</v>
      </c>
      <c r="B2671" s="888" t="str">
        <f>IF(LEN('Translation-EN'!B2671)&gt;0,'Translation-EN'!B2671,"")</f>
        <v>Master sheet</v>
      </c>
      <c r="C2671" s="888" t="str">
        <f>IF(LEN('Translation-EN'!C2671)&gt;0,'Translation-EN'!C2671,"")</f>
        <v>C502</v>
      </c>
      <c r="D2671" s="888" t="str">
        <f>IF(LEN('Translation-EN'!D2671)&gt;0,'Translation-EN'!D2671,"")</f>
        <v/>
      </c>
      <c r="E2671" s="893" t="str">
        <f>$E$2647</f>
        <v>MRMCA</v>
      </c>
      <c r="I2671" s="888"/>
      <c r="J2671" s="888"/>
      <c r="K2671" s="888"/>
      <c r="L2671" s="888"/>
      <c r="M2671" s="888"/>
      <c r="N2671" s="888"/>
      <c r="O2671" s="888"/>
      <c r="P2671" s="888"/>
      <c r="Q2671" s="888"/>
      <c r="R2671" s="888"/>
    </row>
    <row r="2672" spans="1:18" s="893" customFormat="1" x14ac:dyDescent="0.3">
      <c r="A2672" s="888" t="str">
        <f>IF(LEN('Translation-EN'!A2672)&gt;0,'Translation-EN'!A2672,"")</f>
        <v>Range</v>
      </c>
      <c r="B2672" s="888" t="str">
        <f>IF(LEN('Translation-EN'!B2672)&gt;0,'Translation-EN'!B2672,"")</f>
        <v>Master sheet</v>
      </c>
      <c r="C2672" s="888" t="str">
        <f>IF(LEN('Translation-EN'!C2672)&gt;0,'Translation-EN'!C2672,"")</f>
        <v>D502</v>
      </c>
      <c r="D2672" s="888" t="str">
        <f>IF(LEN('Translation-EN'!D2672)&gt;0,'Translation-EN'!D2672,"")</f>
        <v/>
      </c>
      <c r="E2672" s="893" t="str">
        <f>$E$2648</f>
        <v>Can. Moyenne Manitoba</v>
      </c>
      <c r="I2672" s="888"/>
      <c r="J2672" s="888"/>
      <c r="K2672" s="888"/>
      <c r="L2672" s="888"/>
      <c r="M2672" s="888"/>
      <c r="N2672" s="888"/>
      <c r="O2672" s="888"/>
      <c r="P2672" s="888"/>
      <c r="Q2672" s="888"/>
      <c r="R2672" s="888"/>
    </row>
    <row r="2673" spans="1:18" s="893" customFormat="1" x14ac:dyDescent="0.3">
      <c r="A2673" s="888" t="str">
        <f>IF(LEN('Translation-EN'!A2673)&gt;0,'Translation-EN'!A2673,"")</f>
        <v>Range</v>
      </c>
      <c r="B2673" s="888" t="str">
        <f>IF(LEN('Translation-EN'!B2673)&gt;0,'Translation-EN'!B2673,"")</f>
        <v>Master sheet</v>
      </c>
      <c r="C2673" s="888" t="str">
        <f>IF(LEN('Translation-EN'!C2673)&gt;0,'Translation-EN'!C2673,"")</f>
        <v>B503</v>
      </c>
      <c r="D2673" s="888" t="str">
        <f>IF(LEN('Translation-EN'!D2673)&gt;0,'Translation-EN'!D2673,"")</f>
        <v/>
      </c>
      <c r="E2673" s="893" t="str">
        <f>$E$2628</f>
        <v>Béton - 30 MPa, 40% FA, GU</v>
      </c>
      <c r="I2673" s="888"/>
      <c r="J2673" s="888"/>
      <c r="K2673" s="888"/>
      <c r="L2673" s="888"/>
      <c r="M2673" s="888"/>
      <c r="N2673" s="888"/>
      <c r="O2673" s="888"/>
      <c r="P2673" s="888"/>
      <c r="Q2673" s="888"/>
      <c r="R2673" s="888"/>
    </row>
    <row r="2674" spans="1:18" s="893" customFormat="1" x14ac:dyDescent="0.3">
      <c r="A2674" s="888" t="str">
        <f>IF(LEN('Translation-EN'!A2674)&gt;0,'Translation-EN'!A2674,"")</f>
        <v>Range</v>
      </c>
      <c r="B2674" s="888" t="str">
        <f>IF(LEN('Translation-EN'!B2674)&gt;0,'Translation-EN'!B2674,"")</f>
        <v>Master sheet</v>
      </c>
      <c r="C2674" s="888" t="str">
        <f>IF(LEN('Translation-EN'!C2674)&gt;0,'Translation-EN'!C2674,"")</f>
        <v>C503</v>
      </c>
      <c r="D2674" s="888" t="str">
        <f>IF(LEN('Translation-EN'!D2674)&gt;0,'Translation-EN'!D2674,"")</f>
        <v/>
      </c>
      <c r="E2674" s="893" t="str">
        <f>$E$2647</f>
        <v>MRMCA</v>
      </c>
      <c r="I2674" s="888"/>
      <c r="J2674" s="888"/>
      <c r="K2674" s="888"/>
      <c r="L2674" s="888"/>
      <c r="M2674" s="888"/>
      <c r="N2674" s="888"/>
      <c r="O2674" s="888"/>
      <c r="P2674" s="888"/>
      <c r="Q2674" s="888"/>
      <c r="R2674" s="888"/>
    </row>
    <row r="2675" spans="1:18" s="893" customFormat="1" x14ac:dyDescent="0.3">
      <c r="A2675" s="888" t="str">
        <f>IF(LEN('Translation-EN'!A2675)&gt;0,'Translation-EN'!A2675,"")</f>
        <v>Range</v>
      </c>
      <c r="B2675" s="888" t="str">
        <f>IF(LEN('Translation-EN'!B2675)&gt;0,'Translation-EN'!B2675,"")</f>
        <v>Master sheet</v>
      </c>
      <c r="C2675" s="888" t="str">
        <f>IF(LEN('Translation-EN'!C2675)&gt;0,'Translation-EN'!C2675,"")</f>
        <v>D503</v>
      </c>
      <c r="D2675" s="888" t="str">
        <f>IF(LEN('Translation-EN'!D2675)&gt;0,'Translation-EN'!D2675,"")</f>
        <v/>
      </c>
      <c r="E2675" s="893" t="str">
        <f>$E$2648</f>
        <v>Can. Moyenne Manitoba</v>
      </c>
      <c r="I2675" s="888"/>
      <c r="J2675" s="888"/>
      <c r="K2675" s="888"/>
      <c r="L2675" s="888"/>
      <c r="M2675" s="888"/>
      <c r="N2675" s="888"/>
      <c r="O2675" s="888"/>
      <c r="P2675" s="888"/>
      <c r="Q2675" s="888"/>
      <c r="R2675" s="888"/>
    </row>
    <row r="2676" spans="1:18" s="893" customFormat="1" x14ac:dyDescent="0.3">
      <c r="A2676" s="888" t="str">
        <f>IF(LEN('Translation-EN'!A2676)&gt;0,'Translation-EN'!A2676,"")</f>
        <v>Range</v>
      </c>
      <c r="B2676" s="888" t="str">
        <f>IF(LEN('Translation-EN'!B2676)&gt;0,'Translation-EN'!B2676,"")</f>
        <v>Master sheet</v>
      </c>
      <c r="C2676" s="888" t="str">
        <f>IF(LEN('Translation-EN'!C2676)&gt;0,'Translation-EN'!C2676,"")</f>
        <v>B504</v>
      </c>
      <c r="D2676" s="888" t="str">
        <f>IF(LEN('Translation-EN'!D2676)&gt;0,'Translation-EN'!D2676,"")</f>
        <v/>
      </c>
      <c r="E2676" s="893" t="str">
        <f>$E$2586</f>
        <v>Béton - 35 MPa, GU</v>
      </c>
      <c r="I2676" s="888"/>
      <c r="J2676" s="888"/>
      <c r="K2676" s="888"/>
      <c r="L2676" s="888"/>
      <c r="M2676" s="888"/>
      <c r="N2676" s="888"/>
      <c r="O2676" s="888"/>
      <c r="P2676" s="888"/>
      <c r="Q2676" s="888"/>
      <c r="R2676" s="888"/>
    </row>
    <row r="2677" spans="1:18" s="893" customFormat="1" x14ac:dyDescent="0.3">
      <c r="A2677" s="888" t="str">
        <f>IF(LEN('Translation-EN'!A2677)&gt;0,'Translation-EN'!A2677,"")</f>
        <v>Range</v>
      </c>
      <c r="B2677" s="888" t="str">
        <f>IF(LEN('Translation-EN'!B2677)&gt;0,'Translation-EN'!B2677,"")</f>
        <v>Master sheet</v>
      </c>
      <c r="C2677" s="888" t="str">
        <f>IF(LEN('Translation-EN'!C2677)&gt;0,'Translation-EN'!C2677,"")</f>
        <v>C504</v>
      </c>
      <c r="D2677" s="888" t="str">
        <f>IF(LEN('Translation-EN'!D2677)&gt;0,'Translation-EN'!D2677,"")</f>
        <v/>
      </c>
      <c r="E2677" s="893" t="str">
        <f>$E$2647</f>
        <v>MRMCA</v>
      </c>
      <c r="I2677" s="888"/>
      <c r="J2677" s="888"/>
      <c r="K2677" s="888"/>
      <c r="L2677" s="888"/>
      <c r="M2677" s="888"/>
      <c r="N2677" s="888"/>
      <c r="O2677" s="888"/>
      <c r="P2677" s="888"/>
      <c r="Q2677" s="888"/>
      <c r="R2677" s="888"/>
    </row>
    <row r="2678" spans="1:18" s="893" customFormat="1" x14ac:dyDescent="0.3">
      <c r="A2678" s="888" t="str">
        <f>IF(LEN('Translation-EN'!A2678)&gt;0,'Translation-EN'!A2678,"")</f>
        <v>Range</v>
      </c>
      <c r="B2678" s="888" t="str">
        <f>IF(LEN('Translation-EN'!B2678)&gt;0,'Translation-EN'!B2678,"")</f>
        <v>Master sheet</v>
      </c>
      <c r="C2678" s="888" t="str">
        <f>IF(LEN('Translation-EN'!C2678)&gt;0,'Translation-EN'!C2678,"")</f>
        <v>D504</v>
      </c>
      <c r="D2678" s="888" t="str">
        <f>IF(LEN('Translation-EN'!D2678)&gt;0,'Translation-EN'!D2678,"")</f>
        <v/>
      </c>
      <c r="E2678" s="893" t="str">
        <f>$E$2648</f>
        <v>Can. Moyenne Manitoba</v>
      </c>
      <c r="I2678" s="888"/>
      <c r="J2678" s="888"/>
      <c r="K2678" s="888"/>
      <c r="L2678" s="888"/>
      <c r="M2678" s="888"/>
      <c r="N2678" s="888"/>
      <c r="O2678" s="888"/>
      <c r="P2678" s="888"/>
      <c r="Q2678" s="888"/>
      <c r="R2678" s="888"/>
    </row>
    <row r="2679" spans="1:18" s="893" customFormat="1" x14ac:dyDescent="0.3">
      <c r="A2679" s="888" t="str">
        <f>IF(LEN('Translation-EN'!A2679)&gt;0,'Translation-EN'!A2679,"")</f>
        <v>Range</v>
      </c>
      <c r="B2679" s="888" t="str">
        <f>IF(LEN('Translation-EN'!B2679)&gt;0,'Translation-EN'!B2679,"")</f>
        <v>Master sheet</v>
      </c>
      <c r="C2679" s="888" t="str">
        <f>IF(LEN('Translation-EN'!C2679)&gt;0,'Translation-EN'!C2679,"")</f>
        <v>B505</v>
      </c>
      <c r="D2679" s="888" t="str">
        <f>IF(LEN('Translation-EN'!D2679)&gt;0,'Translation-EN'!D2679,"")</f>
        <v/>
      </c>
      <c r="E2679" s="893" t="str">
        <f>$E$2541</f>
        <v>Béton -  35 MPa, 10% FA, GU</v>
      </c>
      <c r="I2679" s="888"/>
      <c r="J2679" s="888"/>
      <c r="K2679" s="888"/>
      <c r="L2679" s="888"/>
      <c r="M2679" s="888"/>
      <c r="N2679" s="888"/>
      <c r="O2679" s="888"/>
      <c r="P2679" s="888"/>
      <c r="Q2679" s="888"/>
      <c r="R2679" s="888"/>
    </row>
    <row r="2680" spans="1:18" s="893" customFormat="1" x14ac:dyDescent="0.3">
      <c r="A2680" s="888" t="str">
        <f>IF(LEN('Translation-EN'!A2680)&gt;0,'Translation-EN'!A2680,"")</f>
        <v>Range</v>
      </c>
      <c r="B2680" s="888" t="str">
        <f>IF(LEN('Translation-EN'!B2680)&gt;0,'Translation-EN'!B2680,"")</f>
        <v>Master sheet</v>
      </c>
      <c r="C2680" s="888" t="str">
        <f>IF(LEN('Translation-EN'!C2680)&gt;0,'Translation-EN'!C2680,"")</f>
        <v>C505</v>
      </c>
      <c r="D2680" s="888" t="str">
        <f>IF(LEN('Translation-EN'!D2680)&gt;0,'Translation-EN'!D2680,"")</f>
        <v/>
      </c>
      <c r="E2680" s="893" t="str">
        <f>$E$2647</f>
        <v>MRMCA</v>
      </c>
      <c r="I2680" s="888"/>
      <c r="J2680" s="888"/>
      <c r="K2680" s="888"/>
      <c r="L2680" s="888"/>
      <c r="M2680" s="888"/>
      <c r="N2680" s="888"/>
      <c r="O2680" s="888"/>
      <c r="P2680" s="888"/>
      <c r="Q2680" s="888"/>
      <c r="R2680" s="888"/>
    </row>
    <row r="2681" spans="1:18" s="893" customFormat="1" x14ac:dyDescent="0.3">
      <c r="A2681" s="888" t="str">
        <f>IF(LEN('Translation-EN'!A2681)&gt;0,'Translation-EN'!A2681,"")</f>
        <v>Range</v>
      </c>
      <c r="B2681" s="888" t="str">
        <f>IF(LEN('Translation-EN'!B2681)&gt;0,'Translation-EN'!B2681,"")</f>
        <v>Master sheet</v>
      </c>
      <c r="C2681" s="888" t="str">
        <f>IF(LEN('Translation-EN'!C2681)&gt;0,'Translation-EN'!C2681,"")</f>
        <v>D505</v>
      </c>
      <c r="D2681" s="888" t="str">
        <f>IF(LEN('Translation-EN'!D2681)&gt;0,'Translation-EN'!D2681,"")</f>
        <v/>
      </c>
      <c r="E2681" s="893" t="str">
        <f>$E$2648</f>
        <v>Can. Moyenne Manitoba</v>
      </c>
      <c r="I2681" s="888"/>
      <c r="J2681" s="888"/>
      <c r="K2681" s="888"/>
      <c r="L2681" s="888"/>
      <c r="M2681" s="888"/>
      <c r="N2681" s="888"/>
      <c r="O2681" s="888"/>
      <c r="P2681" s="888"/>
      <c r="Q2681" s="888"/>
      <c r="R2681" s="888"/>
    </row>
    <row r="2682" spans="1:18" s="893" customFormat="1" x14ac:dyDescent="0.3">
      <c r="A2682" s="888" t="str">
        <f>IF(LEN('Translation-EN'!A2682)&gt;0,'Translation-EN'!A2682,"")</f>
        <v>Range</v>
      </c>
      <c r="B2682" s="888" t="str">
        <f>IF(LEN('Translation-EN'!B2682)&gt;0,'Translation-EN'!B2682,"")</f>
        <v>Master sheet</v>
      </c>
      <c r="C2682" s="888" t="str">
        <f>IF(LEN('Translation-EN'!C2682)&gt;0,'Translation-EN'!C2682,"")</f>
        <v>B506</v>
      </c>
      <c r="D2682" s="888" t="str">
        <f>IF(LEN('Translation-EN'!D2682)&gt;0,'Translation-EN'!D2682,"")</f>
        <v/>
      </c>
      <c r="E2682" s="893" t="str">
        <f>$E$2547</f>
        <v>Béton - 35 MPa, 20% FA, GU</v>
      </c>
      <c r="I2682" s="888"/>
      <c r="J2682" s="888"/>
      <c r="K2682" s="888"/>
      <c r="L2682" s="888"/>
      <c r="M2682" s="888"/>
      <c r="N2682" s="888"/>
      <c r="O2682" s="888"/>
      <c r="P2682" s="888"/>
      <c r="Q2682" s="888"/>
      <c r="R2682" s="888"/>
    </row>
    <row r="2683" spans="1:18" s="893" customFormat="1" x14ac:dyDescent="0.3">
      <c r="A2683" s="888" t="str">
        <f>IF(LEN('Translation-EN'!A2683)&gt;0,'Translation-EN'!A2683,"")</f>
        <v>Range</v>
      </c>
      <c r="B2683" s="888" t="str">
        <f>IF(LEN('Translation-EN'!B2683)&gt;0,'Translation-EN'!B2683,"")</f>
        <v>Master sheet</v>
      </c>
      <c r="C2683" s="888" t="str">
        <f>IF(LEN('Translation-EN'!C2683)&gt;0,'Translation-EN'!C2683,"")</f>
        <v>C506</v>
      </c>
      <c r="D2683" s="888" t="str">
        <f>IF(LEN('Translation-EN'!D2683)&gt;0,'Translation-EN'!D2683,"")</f>
        <v/>
      </c>
      <c r="E2683" s="1039" t="str">
        <f>$E$2647</f>
        <v>MRMCA</v>
      </c>
      <c r="I2683" s="888"/>
      <c r="J2683" s="888"/>
      <c r="K2683" s="888"/>
      <c r="L2683" s="888"/>
      <c r="M2683" s="888"/>
      <c r="N2683" s="888"/>
      <c r="O2683" s="888"/>
      <c r="P2683" s="888"/>
      <c r="Q2683" s="888"/>
      <c r="R2683" s="888"/>
    </row>
    <row r="2684" spans="1:18" s="893" customFormat="1" x14ac:dyDescent="0.3">
      <c r="A2684" s="888" t="str">
        <f>IF(LEN('Translation-EN'!A2684)&gt;0,'Translation-EN'!A2684,"")</f>
        <v>Range</v>
      </c>
      <c r="B2684" s="888" t="str">
        <f>IF(LEN('Translation-EN'!B2684)&gt;0,'Translation-EN'!B2684,"")</f>
        <v>Master sheet</v>
      </c>
      <c r="C2684" s="888" t="str">
        <f>IF(LEN('Translation-EN'!C2684)&gt;0,'Translation-EN'!C2684,"")</f>
        <v>D506</v>
      </c>
      <c r="D2684" s="888" t="str">
        <f>IF(LEN('Translation-EN'!D2684)&gt;0,'Translation-EN'!D2684,"")</f>
        <v/>
      </c>
      <c r="E2684" s="893" t="str">
        <f>$E$2648</f>
        <v>Can. Moyenne Manitoba</v>
      </c>
      <c r="I2684" s="888"/>
      <c r="J2684" s="888"/>
      <c r="K2684" s="888"/>
      <c r="L2684" s="888"/>
      <c r="M2684" s="888"/>
      <c r="N2684" s="888"/>
      <c r="O2684" s="888"/>
      <c r="P2684" s="888"/>
      <c r="Q2684" s="888"/>
      <c r="R2684" s="888"/>
    </row>
    <row r="2685" spans="1:18" s="893" customFormat="1" x14ac:dyDescent="0.3">
      <c r="A2685" s="888" t="str">
        <f>IF(LEN('Translation-EN'!A2685)&gt;0,'Translation-EN'!A2685,"")</f>
        <v>Range</v>
      </c>
      <c r="B2685" s="888" t="str">
        <f>IF(LEN('Translation-EN'!B2685)&gt;0,'Translation-EN'!B2685,"")</f>
        <v>Master sheet</v>
      </c>
      <c r="C2685" s="888" t="str">
        <f>IF(LEN('Translation-EN'!C2685)&gt;0,'Translation-EN'!C2685,"")</f>
        <v>B507</v>
      </c>
      <c r="D2685" s="888" t="str">
        <f>IF(LEN('Translation-EN'!D2685)&gt;0,'Translation-EN'!D2685,"")</f>
        <v/>
      </c>
      <c r="E2685" s="893" t="str">
        <f>$E$2553</f>
        <v>Béton - 35 MPa, 30% FA, GU</v>
      </c>
      <c r="I2685" s="888"/>
      <c r="J2685" s="888"/>
      <c r="K2685" s="888"/>
      <c r="L2685" s="888"/>
      <c r="M2685" s="888"/>
      <c r="N2685" s="888"/>
      <c r="O2685" s="888"/>
      <c r="P2685" s="888"/>
      <c r="Q2685" s="888"/>
      <c r="R2685" s="888"/>
    </row>
    <row r="2686" spans="1:18" s="893" customFormat="1" x14ac:dyDescent="0.3">
      <c r="A2686" s="888" t="str">
        <f>IF(LEN('Translation-EN'!A2686)&gt;0,'Translation-EN'!A2686,"")</f>
        <v>Range</v>
      </c>
      <c r="B2686" s="888" t="str">
        <f>IF(LEN('Translation-EN'!B2686)&gt;0,'Translation-EN'!B2686,"")</f>
        <v>Master sheet</v>
      </c>
      <c r="C2686" s="888" t="str">
        <f>IF(LEN('Translation-EN'!C2686)&gt;0,'Translation-EN'!C2686,"")</f>
        <v>C507</v>
      </c>
      <c r="D2686" s="888" t="str">
        <f>IF(LEN('Translation-EN'!D2686)&gt;0,'Translation-EN'!D2686,"")</f>
        <v/>
      </c>
      <c r="E2686" s="893" t="str">
        <f>$E$2647</f>
        <v>MRMCA</v>
      </c>
      <c r="I2686" s="888"/>
      <c r="J2686" s="888"/>
      <c r="K2686" s="888"/>
      <c r="L2686" s="888"/>
      <c r="M2686" s="888"/>
      <c r="N2686" s="888"/>
      <c r="O2686" s="888"/>
      <c r="P2686" s="888"/>
      <c r="Q2686" s="888"/>
      <c r="R2686" s="888"/>
    </row>
    <row r="2687" spans="1:18" s="893" customFormat="1" x14ac:dyDescent="0.3">
      <c r="A2687" s="888" t="str">
        <f>IF(LEN('Translation-EN'!A2687)&gt;0,'Translation-EN'!A2687,"")</f>
        <v>Range</v>
      </c>
      <c r="B2687" s="888" t="str">
        <f>IF(LEN('Translation-EN'!B2687)&gt;0,'Translation-EN'!B2687,"")</f>
        <v>Master sheet</v>
      </c>
      <c r="C2687" s="888" t="str">
        <f>IF(LEN('Translation-EN'!C2687)&gt;0,'Translation-EN'!C2687,"")</f>
        <v>D507</v>
      </c>
      <c r="D2687" s="888" t="str">
        <f>IF(LEN('Translation-EN'!D2687)&gt;0,'Translation-EN'!D2687,"")</f>
        <v/>
      </c>
      <c r="E2687" s="1039" t="str">
        <f>$E$2648</f>
        <v>Can. Moyenne Manitoba</v>
      </c>
      <c r="I2687" s="888"/>
      <c r="J2687" s="888"/>
      <c r="K2687" s="888"/>
      <c r="L2687" s="888"/>
      <c r="M2687" s="888"/>
      <c r="N2687" s="888"/>
      <c r="O2687" s="888"/>
      <c r="P2687" s="888"/>
      <c r="Q2687" s="888"/>
      <c r="R2687" s="888"/>
    </row>
    <row r="2688" spans="1:18" s="893" customFormat="1" x14ac:dyDescent="0.3">
      <c r="A2688" s="888" t="str">
        <f>IF(LEN('Translation-EN'!A2688)&gt;0,'Translation-EN'!A2688,"")</f>
        <v>Range</v>
      </c>
      <c r="B2688" s="888" t="str">
        <f>IF(LEN('Translation-EN'!B2688)&gt;0,'Translation-EN'!B2688,"")</f>
        <v>Master sheet</v>
      </c>
      <c r="C2688" s="888" t="str">
        <f>IF(LEN('Translation-EN'!C2688)&gt;0,'Translation-EN'!C2688,"")</f>
        <v>B508</v>
      </c>
      <c r="D2688" s="888" t="str">
        <f>IF(LEN('Translation-EN'!D2688)&gt;0,'Translation-EN'!D2688,"")</f>
        <v/>
      </c>
      <c r="E2688" s="893" t="str">
        <f>$E$2643</f>
        <v>Béton - 35 MPa, 40% FA, GU</v>
      </c>
      <c r="I2688" s="888"/>
      <c r="J2688" s="888"/>
      <c r="K2688" s="888"/>
      <c r="L2688" s="888"/>
      <c r="M2688" s="888"/>
      <c r="N2688" s="888"/>
      <c r="O2688" s="888"/>
      <c r="P2688" s="888"/>
      <c r="Q2688" s="888"/>
      <c r="R2688" s="888"/>
    </row>
    <row r="2689" spans="1:18" s="893" customFormat="1" x14ac:dyDescent="0.3">
      <c r="A2689" s="888" t="str">
        <f>IF(LEN('Translation-EN'!A2689)&gt;0,'Translation-EN'!A2689,"")</f>
        <v>Range</v>
      </c>
      <c r="B2689" s="888" t="str">
        <f>IF(LEN('Translation-EN'!B2689)&gt;0,'Translation-EN'!B2689,"")</f>
        <v>Master sheet</v>
      </c>
      <c r="C2689" s="888" t="str">
        <f>IF(LEN('Translation-EN'!C2689)&gt;0,'Translation-EN'!C2689,"")</f>
        <v>C508</v>
      </c>
      <c r="D2689" s="888" t="str">
        <f>IF(LEN('Translation-EN'!D2689)&gt;0,'Translation-EN'!D2689,"")</f>
        <v/>
      </c>
      <c r="E2689" s="893" t="str">
        <f>$E$2647</f>
        <v>MRMCA</v>
      </c>
      <c r="I2689" s="888"/>
      <c r="J2689" s="888"/>
      <c r="K2689" s="888"/>
      <c r="L2689" s="888"/>
      <c r="M2689" s="888"/>
      <c r="N2689" s="888"/>
      <c r="O2689" s="888"/>
      <c r="P2689" s="888"/>
      <c r="Q2689" s="888"/>
      <c r="R2689" s="888"/>
    </row>
    <row r="2690" spans="1:18" s="893" customFormat="1" x14ac:dyDescent="0.3">
      <c r="A2690" s="888" t="str">
        <f>IF(LEN('Translation-EN'!A2690)&gt;0,'Translation-EN'!A2690,"")</f>
        <v>Range</v>
      </c>
      <c r="B2690" s="888" t="str">
        <f>IF(LEN('Translation-EN'!B2690)&gt;0,'Translation-EN'!B2690,"")</f>
        <v>Master sheet</v>
      </c>
      <c r="C2690" s="888" t="str">
        <f>IF(LEN('Translation-EN'!C2690)&gt;0,'Translation-EN'!C2690,"")</f>
        <v>D508</v>
      </c>
      <c r="D2690" s="888" t="str">
        <f>IF(LEN('Translation-EN'!D2690)&gt;0,'Translation-EN'!D2690,"")</f>
        <v/>
      </c>
      <c r="E2690" s="893" t="str">
        <f>$E$2648</f>
        <v>Can. Moyenne Manitoba</v>
      </c>
      <c r="I2690" s="888"/>
      <c r="J2690" s="888"/>
      <c r="K2690" s="888"/>
      <c r="L2690" s="888"/>
      <c r="M2690" s="888"/>
      <c r="N2690" s="888"/>
      <c r="O2690" s="888"/>
      <c r="P2690" s="888"/>
      <c r="Q2690" s="888"/>
      <c r="R2690" s="888"/>
    </row>
    <row r="2691" spans="1:18" s="893" customFormat="1" x14ac:dyDescent="0.3">
      <c r="A2691" s="888" t="str">
        <f>IF(LEN('Translation-EN'!A2691)&gt;0,'Translation-EN'!A2691,"")</f>
        <v>Range</v>
      </c>
      <c r="B2691" s="888" t="str">
        <f>IF(LEN('Translation-EN'!B2691)&gt;0,'Translation-EN'!B2691,"")</f>
        <v>Master sheet</v>
      </c>
      <c r="C2691" s="888" t="str">
        <f>IF(LEN('Translation-EN'!C2691)&gt;0,'Translation-EN'!C2691,"")</f>
        <v>B509</v>
      </c>
      <c r="D2691" s="888" t="str">
        <f>IF(LEN('Translation-EN'!D2691)&gt;0,'Translation-EN'!D2691,"")</f>
        <v/>
      </c>
      <c r="E2691" s="893" t="str">
        <f>$E$2556</f>
        <v>Béton - 25 MPa, GU</v>
      </c>
      <c r="I2691" s="888"/>
      <c r="J2691" s="888"/>
      <c r="K2691" s="888"/>
      <c r="L2691" s="888"/>
      <c r="M2691" s="888"/>
      <c r="N2691" s="888"/>
      <c r="O2691" s="888"/>
      <c r="P2691" s="888"/>
      <c r="Q2691" s="888"/>
      <c r="R2691" s="888"/>
    </row>
    <row r="2692" spans="1:18" s="893" customFormat="1" x14ac:dyDescent="0.3">
      <c r="A2692" s="888" t="str">
        <f>IF(LEN('Translation-EN'!A2692)&gt;0,'Translation-EN'!A2692,"")</f>
        <v>Range</v>
      </c>
      <c r="B2692" s="888" t="str">
        <f>IF(LEN('Translation-EN'!B2692)&gt;0,'Translation-EN'!B2692,"")</f>
        <v>Master sheet</v>
      </c>
      <c r="C2692" s="888" t="str">
        <f>IF(LEN('Translation-EN'!C2692)&gt;0,'Translation-EN'!C2692,"")</f>
        <v>C509</v>
      </c>
      <c r="D2692" s="888" t="str">
        <f>IF(LEN('Translation-EN'!D2692)&gt;0,'Translation-EN'!D2692,"")</f>
        <v/>
      </c>
      <c r="E2692" s="893" t="s">
        <v>3596</v>
      </c>
      <c r="I2692" s="888"/>
      <c r="J2692" s="888"/>
      <c r="K2692" s="888"/>
      <c r="L2692" s="888"/>
      <c r="M2692" s="888"/>
      <c r="N2692" s="888"/>
      <c r="O2692" s="888"/>
      <c r="P2692" s="888"/>
      <c r="Q2692" s="888"/>
      <c r="R2692" s="888"/>
    </row>
    <row r="2693" spans="1:18" s="893" customFormat="1" x14ac:dyDescent="0.3">
      <c r="A2693" s="888" t="str">
        <f>IF(LEN('Translation-EN'!A2693)&gt;0,'Translation-EN'!A2693,"")</f>
        <v>Range</v>
      </c>
      <c r="B2693" s="888" t="str">
        <f>IF(LEN('Translation-EN'!B2693)&gt;0,'Translation-EN'!B2693,"")</f>
        <v>Master sheet</v>
      </c>
      <c r="C2693" s="888" t="str">
        <f>IF(LEN('Translation-EN'!C2693)&gt;0,'Translation-EN'!C2693,"")</f>
        <v>D509</v>
      </c>
      <c r="D2693" s="888" t="str">
        <f>IF(LEN('Translation-EN'!D2693)&gt;0,'Translation-EN'!D2693,"")</f>
        <v/>
      </c>
      <c r="E2693" s="893" t="s">
        <v>6523</v>
      </c>
      <c r="I2693" s="888"/>
      <c r="J2693" s="888"/>
      <c r="K2693" s="888"/>
      <c r="L2693" s="888"/>
      <c r="M2693" s="888"/>
      <c r="N2693" s="888"/>
      <c r="O2693" s="888"/>
      <c r="P2693" s="888"/>
      <c r="Q2693" s="888"/>
      <c r="R2693" s="888"/>
    </row>
    <row r="2694" spans="1:18" s="893" customFormat="1" x14ac:dyDescent="0.3">
      <c r="A2694" s="888" t="str">
        <f>IF(LEN('Translation-EN'!A2694)&gt;0,'Translation-EN'!A2694,"")</f>
        <v>Range</v>
      </c>
      <c r="B2694" s="888" t="str">
        <f>IF(LEN('Translation-EN'!B2694)&gt;0,'Translation-EN'!B2694,"")</f>
        <v>Master sheet</v>
      </c>
      <c r="C2694" s="888" t="str">
        <f>IF(LEN('Translation-EN'!C2694)&gt;0,'Translation-EN'!C2694,"")</f>
        <v>B510</v>
      </c>
      <c r="D2694" s="888" t="str">
        <f>IF(LEN('Translation-EN'!D2694)&gt;0,'Translation-EN'!D2694,"")</f>
        <v/>
      </c>
      <c r="E2694" s="893" t="s">
        <v>6524</v>
      </c>
      <c r="I2694" s="888"/>
      <c r="J2694" s="888"/>
      <c r="K2694" s="888"/>
      <c r="L2694" s="888"/>
      <c r="M2694" s="888"/>
      <c r="N2694" s="888"/>
      <c r="O2694" s="888"/>
      <c r="P2694" s="888"/>
      <c r="Q2694" s="888"/>
      <c r="R2694" s="888"/>
    </row>
    <row r="2695" spans="1:18" s="893" customFormat="1" x14ac:dyDescent="0.3">
      <c r="A2695" s="888" t="str">
        <f>IF(LEN('Translation-EN'!A2695)&gt;0,'Translation-EN'!A2695,"")</f>
        <v>Range</v>
      </c>
      <c r="B2695" s="888" t="str">
        <f>IF(LEN('Translation-EN'!B2695)&gt;0,'Translation-EN'!B2695,"")</f>
        <v>Master sheet</v>
      </c>
      <c r="C2695" s="888" t="str">
        <f>IF(LEN('Translation-EN'!C2695)&gt;0,'Translation-EN'!C2695,"")</f>
        <v>C510</v>
      </c>
      <c r="D2695" s="888" t="str">
        <f>IF(LEN('Translation-EN'!D2695)&gt;0,'Translation-EN'!D2695,"")</f>
        <v/>
      </c>
      <c r="E2695" s="893" t="str">
        <f>$E$2692</f>
        <v>BCRMCA</v>
      </c>
      <c r="I2695" s="888"/>
      <c r="J2695" s="888"/>
      <c r="K2695" s="888"/>
      <c r="L2695" s="888"/>
      <c r="M2695" s="888"/>
      <c r="N2695" s="888"/>
      <c r="O2695" s="888"/>
      <c r="P2695" s="888"/>
      <c r="Q2695" s="888"/>
      <c r="R2695" s="888"/>
    </row>
    <row r="2696" spans="1:18" s="893" customFormat="1" x14ac:dyDescent="0.3">
      <c r="A2696" s="888" t="str">
        <f>IF(LEN('Translation-EN'!A2696)&gt;0,'Translation-EN'!A2696,"")</f>
        <v>Range</v>
      </c>
      <c r="B2696" s="888" t="str">
        <f>IF(LEN('Translation-EN'!B2696)&gt;0,'Translation-EN'!B2696,"")</f>
        <v>Master sheet</v>
      </c>
      <c r="C2696" s="888" t="str">
        <f>IF(LEN('Translation-EN'!C2696)&gt;0,'Translation-EN'!C2696,"")</f>
        <v>D510</v>
      </c>
      <c r="D2696" s="888" t="str">
        <f>IF(LEN('Translation-EN'!D2696)&gt;0,'Translation-EN'!D2696,"")</f>
        <v/>
      </c>
      <c r="E2696" s="893" t="str">
        <f>$E$2693</f>
        <v>Can. Moyenne Colombie Britanique</v>
      </c>
      <c r="I2696" s="888"/>
      <c r="J2696" s="888"/>
      <c r="K2696" s="888"/>
      <c r="L2696" s="888"/>
      <c r="M2696" s="888"/>
      <c r="N2696" s="888"/>
      <c r="O2696" s="888"/>
      <c r="P2696" s="888"/>
      <c r="Q2696" s="888"/>
      <c r="R2696" s="888"/>
    </row>
    <row r="2697" spans="1:18" s="893" customFormat="1" x14ac:dyDescent="0.3">
      <c r="A2697" s="888" t="str">
        <f>IF(LEN('Translation-EN'!A2697)&gt;0,'Translation-EN'!A2697,"")</f>
        <v>Range</v>
      </c>
      <c r="B2697" s="888" t="str">
        <f>IF(LEN('Translation-EN'!B2697)&gt;0,'Translation-EN'!B2697,"")</f>
        <v>Master sheet</v>
      </c>
      <c r="C2697" s="888" t="str">
        <f>IF(LEN('Translation-EN'!C2697)&gt;0,'Translation-EN'!C2697,"")</f>
        <v>B511</v>
      </c>
      <c r="D2697" s="888" t="str">
        <f>IF(LEN('Translation-EN'!D2697)&gt;0,'Translation-EN'!D2697,"")</f>
        <v/>
      </c>
      <c r="E2697" s="893" t="s">
        <v>6525</v>
      </c>
      <c r="I2697" s="888"/>
      <c r="J2697" s="888"/>
      <c r="K2697" s="888"/>
      <c r="L2697" s="888"/>
      <c r="M2697" s="888"/>
      <c r="N2697" s="888"/>
      <c r="O2697" s="888"/>
      <c r="P2697" s="888"/>
      <c r="Q2697" s="888"/>
      <c r="R2697" s="888"/>
    </row>
    <row r="2698" spans="1:18" s="893" customFormat="1" x14ac:dyDescent="0.3">
      <c r="A2698" s="888" t="str">
        <f>IF(LEN('Translation-EN'!A2698)&gt;0,'Translation-EN'!A2698,"")</f>
        <v>Range</v>
      </c>
      <c r="B2698" s="888" t="str">
        <f>IF(LEN('Translation-EN'!B2698)&gt;0,'Translation-EN'!B2698,"")</f>
        <v>Master sheet</v>
      </c>
      <c r="C2698" s="888" t="str">
        <f>IF(LEN('Translation-EN'!C2698)&gt;0,'Translation-EN'!C2698,"")</f>
        <v>C511</v>
      </c>
      <c r="D2698" s="888" t="str">
        <f>IF(LEN('Translation-EN'!D2698)&gt;0,'Translation-EN'!D2698,"")</f>
        <v/>
      </c>
      <c r="E2698" s="893" t="str">
        <f>$E$2692</f>
        <v>BCRMCA</v>
      </c>
      <c r="I2698" s="888"/>
      <c r="J2698" s="888"/>
      <c r="K2698" s="888"/>
      <c r="L2698" s="888"/>
      <c r="M2698" s="888"/>
      <c r="N2698" s="888"/>
      <c r="O2698" s="888"/>
      <c r="P2698" s="888"/>
      <c r="Q2698" s="888"/>
      <c r="R2698" s="888"/>
    </row>
    <row r="2699" spans="1:18" s="893" customFormat="1" x14ac:dyDescent="0.3">
      <c r="A2699" s="888" t="str">
        <f>IF(LEN('Translation-EN'!A2699)&gt;0,'Translation-EN'!A2699,"")</f>
        <v>Range</v>
      </c>
      <c r="B2699" s="888" t="str">
        <f>IF(LEN('Translation-EN'!B2699)&gt;0,'Translation-EN'!B2699,"")</f>
        <v>Master sheet</v>
      </c>
      <c r="C2699" s="888" t="str">
        <f>IF(LEN('Translation-EN'!C2699)&gt;0,'Translation-EN'!C2699,"")</f>
        <v>D511</v>
      </c>
      <c r="D2699" s="888" t="str">
        <f>IF(LEN('Translation-EN'!D2699)&gt;0,'Translation-EN'!D2699,"")</f>
        <v/>
      </c>
      <c r="E2699" s="893" t="str">
        <f>$E$2693</f>
        <v>Can. Moyenne Colombie Britanique</v>
      </c>
      <c r="I2699" s="888"/>
      <c r="J2699" s="888"/>
      <c r="K2699" s="888"/>
      <c r="L2699" s="888"/>
      <c r="M2699" s="888"/>
      <c r="N2699" s="888"/>
      <c r="O2699" s="888"/>
      <c r="P2699" s="888"/>
      <c r="Q2699" s="888"/>
      <c r="R2699" s="888"/>
    </row>
    <row r="2700" spans="1:18" s="893" customFormat="1" x14ac:dyDescent="0.3">
      <c r="A2700" s="888" t="str">
        <f>IF(LEN('Translation-EN'!A2700)&gt;0,'Translation-EN'!A2700,"")</f>
        <v>Range</v>
      </c>
      <c r="B2700" s="888" t="str">
        <f>IF(LEN('Translation-EN'!B2700)&gt;0,'Translation-EN'!B2700,"")</f>
        <v>Master sheet</v>
      </c>
      <c r="C2700" s="888" t="str">
        <f>IF(LEN('Translation-EN'!C2700)&gt;0,'Translation-EN'!C2700,"")</f>
        <v>B512</v>
      </c>
      <c r="D2700" s="888" t="str">
        <f>IF(LEN('Translation-EN'!D2700)&gt;0,'Translation-EN'!D2700,"")</f>
        <v/>
      </c>
      <c r="E2700" s="893" t="s">
        <v>6526</v>
      </c>
      <c r="I2700" s="888"/>
      <c r="J2700" s="888"/>
      <c r="K2700" s="888"/>
      <c r="L2700" s="888"/>
      <c r="M2700" s="888"/>
      <c r="N2700" s="888"/>
      <c r="O2700" s="888"/>
      <c r="P2700" s="888"/>
      <c r="Q2700" s="888"/>
      <c r="R2700" s="888"/>
    </row>
    <row r="2701" spans="1:18" s="893" customFormat="1" x14ac:dyDescent="0.3">
      <c r="A2701" s="888" t="str">
        <f>IF(LEN('Translation-EN'!A2701)&gt;0,'Translation-EN'!A2701,"")</f>
        <v>Range</v>
      </c>
      <c r="B2701" s="888" t="str">
        <f>IF(LEN('Translation-EN'!B2701)&gt;0,'Translation-EN'!B2701,"")</f>
        <v>Master sheet</v>
      </c>
      <c r="C2701" s="888" t="str">
        <f>IF(LEN('Translation-EN'!C2701)&gt;0,'Translation-EN'!C2701,"")</f>
        <v>C512</v>
      </c>
      <c r="D2701" s="888" t="str">
        <f>IF(LEN('Translation-EN'!D2701)&gt;0,'Translation-EN'!D2701,"")</f>
        <v/>
      </c>
      <c r="E2701" s="893" t="str">
        <f>$E$2692</f>
        <v>BCRMCA</v>
      </c>
      <c r="I2701" s="888"/>
      <c r="J2701" s="888"/>
      <c r="K2701" s="888"/>
      <c r="L2701" s="888"/>
      <c r="M2701" s="888"/>
      <c r="N2701" s="888"/>
      <c r="O2701" s="888"/>
      <c r="P2701" s="888"/>
      <c r="Q2701" s="888"/>
      <c r="R2701" s="888"/>
    </row>
    <row r="2702" spans="1:18" s="893" customFormat="1" x14ac:dyDescent="0.3">
      <c r="A2702" s="888" t="str">
        <f>IF(LEN('Translation-EN'!A2702)&gt;0,'Translation-EN'!A2702,"")</f>
        <v>Range</v>
      </c>
      <c r="B2702" s="888" t="str">
        <f>IF(LEN('Translation-EN'!B2702)&gt;0,'Translation-EN'!B2702,"")</f>
        <v>Master sheet</v>
      </c>
      <c r="C2702" s="888" t="str">
        <f>IF(LEN('Translation-EN'!C2702)&gt;0,'Translation-EN'!C2702,"")</f>
        <v>D512</v>
      </c>
      <c r="D2702" s="888" t="str">
        <f>IF(LEN('Translation-EN'!D2702)&gt;0,'Translation-EN'!D2702,"")</f>
        <v/>
      </c>
      <c r="E2702" s="893" t="str">
        <f>$E$2693</f>
        <v>Can. Moyenne Colombie Britanique</v>
      </c>
      <c r="I2702" s="888"/>
      <c r="J2702" s="888"/>
      <c r="K2702" s="888"/>
      <c r="L2702" s="888"/>
      <c r="M2702" s="888"/>
      <c r="N2702" s="888"/>
      <c r="O2702" s="888"/>
      <c r="P2702" s="888"/>
      <c r="Q2702" s="888"/>
      <c r="R2702" s="888"/>
    </row>
    <row r="2703" spans="1:18" s="893" customFormat="1" x14ac:dyDescent="0.3">
      <c r="A2703" s="888" t="str">
        <f>IF(LEN('Translation-EN'!A2703)&gt;0,'Translation-EN'!A2703,"")</f>
        <v>Range</v>
      </c>
      <c r="B2703" s="888" t="str">
        <f>IF(LEN('Translation-EN'!B2703)&gt;0,'Translation-EN'!B2703,"")</f>
        <v>Master sheet</v>
      </c>
      <c r="C2703" s="888" t="str">
        <f>IF(LEN('Translation-EN'!C2703)&gt;0,'Translation-EN'!C2703,"")</f>
        <v>B513</v>
      </c>
      <c r="D2703" s="888" t="str">
        <f>IF(LEN('Translation-EN'!D2703)&gt;0,'Translation-EN'!D2703,"")</f>
        <v/>
      </c>
      <c r="E2703" s="893" t="str">
        <f>$E$2571</f>
        <v>Béton - 30 MPa, GU</v>
      </c>
      <c r="I2703" s="888"/>
      <c r="J2703" s="888"/>
      <c r="K2703" s="888"/>
      <c r="L2703" s="888"/>
      <c r="M2703" s="888"/>
      <c r="N2703" s="888"/>
      <c r="O2703" s="888"/>
      <c r="P2703" s="888"/>
      <c r="Q2703" s="888"/>
      <c r="R2703" s="888"/>
    </row>
    <row r="2704" spans="1:18" s="893" customFormat="1" x14ac:dyDescent="0.3">
      <c r="A2704" s="888" t="str">
        <f>IF(LEN('Translation-EN'!A2704)&gt;0,'Translation-EN'!A2704,"")</f>
        <v>Range</v>
      </c>
      <c r="B2704" s="888" t="str">
        <f>IF(LEN('Translation-EN'!B2704)&gt;0,'Translation-EN'!B2704,"")</f>
        <v>Master sheet</v>
      </c>
      <c r="C2704" s="888" t="str">
        <f>IF(LEN('Translation-EN'!C2704)&gt;0,'Translation-EN'!C2704,"")</f>
        <v>C513</v>
      </c>
      <c r="D2704" s="888" t="str">
        <f>IF(LEN('Translation-EN'!D2704)&gt;0,'Translation-EN'!D2704,"")</f>
        <v/>
      </c>
      <c r="E2704" s="893" t="str">
        <f>$E$2692</f>
        <v>BCRMCA</v>
      </c>
      <c r="I2704" s="888"/>
      <c r="J2704" s="888"/>
      <c r="K2704" s="888"/>
      <c r="L2704" s="888"/>
      <c r="M2704" s="888"/>
      <c r="N2704" s="888"/>
      <c r="O2704" s="888"/>
      <c r="P2704" s="888"/>
      <c r="Q2704" s="888"/>
      <c r="R2704" s="888"/>
    </row>
    <row r="2705" spans="1:18" s="893" customFormat="1" x14ac:dyDescent="0.3">
      <c r="A2705" s="888" t="str">
        <f>IF(LEN('Translation-EN'!A2705)&gt;0,'Translation-EN'!A2705,"")</f>
        <v>Range</v>
      </c>
      <c r="B2705" s="888" t="str">
        <f>IF(LEN('Translation-EN'!B2705)&gt;0,'Translation-EN'!B2705,"")</f>
        <v>Master sheet</v>
      </c>
      <c r="C2705" s="888" t="str">
        <f>IF(LEN('Translation-EN'!C2705)&gt;0,'Translation-EN'!C2705,"")</f>
        <v>D513</v>
      </c>
      <c r="D2705" s="888" t="str">
        <f>IF(LEN('Translation-EN'!D2705)&gt;0,'Translation-EN'!D2705,"")</f>
        <v/>
      </c>
      <c r="E2705" s="893" t="str">
        <f>$E$2693</f>
        <v>Can. Moyenne Colombie Britanique</v>
      </c>
      <c r="I2705" s="888"/>
      <c r="J2705" s="888"/>
      <c r="K2705" s="888"/>
      <c r="L2705" s="888"/>
      <c r="M2705" s="888"/>
      <c r="N2705" s="888"/>
      <c r="O2705" s="888"/>
      <c r="P2705" s="888"/>
      <c r="Q2705" s="888"/>
      <c r="R2705" s="888"/>
    </row>
    <row r="2706" spans="1:18" s="893" customFormat="1" x14ac:dyDescent="0.3">
      <c r="A2706" s="888" t="str">
        <f>IF(LEN('Translation-EN'!A2706)&gt;0,'Translation-EN'!A2706,"")</f>
        <v>Range</v>
      </c>
      <c r="B2706" s="888" t="str">
        <f>IF(LEN('Translation-EN'!B2706)&gt;0,'Translation-EN'!B2706,"")</f>
        <v>Master sheet</v>
      </c>
      <c r="C2706" s="888" t="str">
        <f>IF(LEN('Translation-EN'!C2706)&gt;0,'Translation-EN'!C2706,"")</f>
        <v>B514</v>
      </c>
      <c r="D2706" s="888" t="str">
        <f>IF(LEN('Translation-EN'!D2706)&gt;0,'Translation-EN'!D2706,"")</f>
        <v/>
      </c>
      <c r="E2706" s="893" t="s">
        <v>6527</v>
      </c>
      <c r="I2706" s="888"/>
      <c r="J2706" s="888"/>
      <c r="K2706" s="888"/>
      <c r="L2706" s="888"/>
      <c r="M2706" s="888"/>
      <c r="N2706" s="888"/>
      <c r="O2706" s="888"/>
      <c r="P2706" s="888"/>
      <c r="Q2706" s="888"/>
      <c r="R2706" s="888"/>
    </row>
    <row r="2707" spans="1:18" s="893" customFormat="1" x14ac:dyDescent="0.3">
      <c r="A2707" s="888" t="str">
        <f>IF(LEN('Translation-EN'!A2707)&gt;0,'Translation-EN'!A2707,"")</f>
        <v>Range</v>
      </c>
      <c r="B2707" s="888" t="str">
        <f>IF(LEN('Translation-EN'!B2707)&gt;0,'Translation-EN'!B2707,"")</f>
        <v>Master sheet</v>
      </c>
      <c r="C2707" s="888" t="str">
        <f>IF(LEN('Translation-EN'!C2707)&gt;0,'Translation-EN'!C2707,"")</f>
        <v>C514</v>
      </c>
      <c r="D2707" s="888" t="str">
        <f>IF(LEN('Translation-EN'!D2707)&gt;0,'Translation-EN'!D2707,"")</f>
        <v/>
      </c>
      <c r="E2707" s="893" t="str">
        <f>$E$2692</f>
        <v>BCRMCA</v>
      </c>
      <c r="I2707" s="888"/>
      <c r="J2707" s="888"/>
      <c r="K2707" s="888"/>
      <c r="L2707" s="888"/>
      <c r="M2707" s="888"/>
      <c r="N2707" s="888"/>
      <c r="O2707" s="888"/>
      <c r="P2707" s="888"/>
      <c r="Q2707" s="888"/>
      <c r="R2707" s="888"/>
    </row>
    <row r="2708" spans="1:18" s="893" customFormat="1" x14ac:dyDescent="0.3">
      <c r="A2708" s="888" t="str">
        <f>IF(LEN('Translation-EN'!A2708)&gt;0,'Translation-EN'!A2708,"")</f>
        <v>Range</v>
      </c>
      <c r="B2708" s="888" t="str">
        <f>IF(LEN('Translation-EN'!B2708)&gt;0,'Translation-EN'!B2708,"")</f>
        <v>Master sheet</v>
      </c>
      <c r="C2708" s="888" t="str">
        <f>IF(LEN('Translation-EN'!C2708)&gt;0,'Translation-EN'!C2708,"")</f>
        <v>D514</v>
      </c>
      <c r="D2708" s="888" t="str">
        <f>IF(LEN('Translation-EN'!D2708)&gt;0,'Translation-EN'!D2708,"")</f>
        <v/>
      </c>
      <c r="E2708" s="893" t="str">
        <f>$E$2693</f>
        <v>Can. Moyenne Colombie Britanique</v>
      </c>
      <c r="I2708" s="888"/>
      <c r="J2708" s="888"/>
      <c r="K2708" s="888"/>
      <c r="L2708" s="888"/>
      <c r="M2708" s="888"/>
      <c r="N2708" s="888"/>
      <c r="O2708" s="888"/>
      <c r="P2708" s="888"/>
      <c r="Q2708" s="888"/>
      <c r="R2708" s="888"/>
    </row>
    <row r="2709" spans="1:18" s="893" customFormat="1" x14ac:dyDescent="0.3">
      <c r="A2709" s="888" t="str">
        <f>IF(LEN('Translation-EN'!A2709)&gt;0,'Translation-EN'!A2709,"")</f>
        <v>Range</v>
      </c>
      <c r="B2709" s="888" t="str">
        <f>IF(LEN('Translation-EN'!B2709)&gt;0,'Translation-EN'!B2709,"")</f>
        <v>Master sheet</v>
      </c>
      <c r="C2709" s="888" t="str">
        <f>IF(LEN('Translation-EN'!C2709)&gt;0,'Translation-EN'!C2709,"")</f>
        <v>B515</v>
      </c>
      <c r="D2709" s="888" t="str">
        <f>IF(LEN('Translation-EN'!D2709)&gt;0,'Translation-EN'!D2709,"")</f>
        <v/>
      </c>
      <c r="E2709" s="893" t="s">
        <v>6528</v>
      </c>
      <c r="I2709" s="888"/>
      <c r="J2709" s="888"/>
      <c r="K2709" s="888"/>
      <c r="L2709" s="888"/>
      <c r="M2709" s="888"/>
      <c r="N2709" s="888"/>
      <c r="O2709" s="888"/>
      <c r="P2709" s="888"/>
      <c r="Q2709" s="888"/>
      <c r="R2709" s="888"/>
    </row>
    <row r="2710" spans="1:18" s="893" customFormat="1" x14ac:dyDescent="0.3">
      <c r="A2710" s="888" t="str">
        <f>IF(LEN('Translation-EN'!A2710)&gt;0,'Translation-EN'!A2710,"")</f>
        <v>Range</v>
      </c>
      <c r="B2710" s="888" t="str">
        <f>IF(LEN('Translation-EN'!B2710)&gt;0,'Translation-EN'!B2710,"")</f>
        <v>Master sheet</v>
      </c>
      <c r="C2710" s="888" t="str">
        <f>IF(LEN('Translation-EN'!C2710)&gt;0,'Translation-EN'!C2710,"")</f>
        <v>C515</v>
      </c>
      <c r="D2710" s="888" t="str">
        <f>IF(LEN('Translation-EN'!D2710)&gt;0,'Translation-EN'!D2710,"")</f>
        <v/>
      </c>
      <c r="E2710" s="893" t="str">
        <f>$E$2692</f>
        <v>BCRMCA</v>
      </c>
      <c r="I2710" s="888"/>
      <c r="J2710" s="888"/>
      <c r="K2710" s="888"/>
      <c r="L2710" s="888"/>
      <c r="M2710" s="888"/>
      <c r="N2710" s="888"/>
      <c r="O2710" s="888"/>
      <c r="P2710" s="888"/>
      <c r="Q2710" s="888"/>
      <c r="R2710" s="888"/>
    </row>
    <row r="2711" spans="1:18" s="893" customFormat="1" x14ac:dyDescent="0.3">
      <c r="A2711" s="888" t="str">
        <f>IF(LEN('Translation-EN'!A2711)&gt;0,'Translation-EN'!A2711,"")</f>
        <v>Range</v>
      </c>
      <c r="B2711" s="888" t="str">
        <f>IF(LEN('Translation-EN'!B2711)&gt;0,'Translation-EN'!B2711,"")</f>
        <v>Master sheet</v>
      </c>
      <c r="C2711" s="888" t="str">
        <f>IF(LEN('Translation-EN'!C2711)&gt;0,'Translation-EN'!C2711,"")</f>
        <v>D515</v>
      </c>
      <c r="D2711" s="888" t="str">
        <f>IF(LEN('Translation-EN'!D2711)&gt;0,'Translation-EN'!D2711,"")</f>
        <v/>
      </c>
      <c r="E2711" s="893" t="str">
        <f>$E$2693</f>
        <v>Can. Moyenne Colombie Britanique</v>
      </c>
      <c r="I2711" s="888"/>
      <c r="J2711" s="888"/>
      <c r="K2711" s="888"/>
      <c r="L2711" s="888"/>
      <c r="M2711" s="888"/>
      <c r="N2711" s="888"/>
      <c r="O2711" s="888"/>
      <c r="P2711" s="888"/>
      <c r="Q2711" s="888"/>
      <c r="R2711" s="888"/>
    </row>
    <row r="2712" spans="1:18" s="893" customFormat="1" x14ac:dyDescent="0.3">
      <c r="A2712" s="888" t="str">
        <f>IF(LEN('Translation-EN'!A2712)&gt;0,'Translation-EN'!A2712,"")</f>
        <v>Range</v>
      </c>
      <c r="B2712" s="888" t="str">
        <f>IF(LEN('Translation-EN'!B2712)&gt;0,'Translation-EN'!B2712,"")</f>
        <v>Master sheet</v>
      </c>
      <c r="C2712" s="888" t="str">
        <f>IF(LEN('Translation-EN'!C2712)&gt;0,'Translation-EN'!C2712,"")</f>
        <v>B516</v>
      </c>
      <c r="D2712" s="888" t="str">
        <f>IF(LEN('Translation-EN'!D2712)&gt;0,'Translation-EN'!D2712,"")</f>
        <v/>
      </c>
      <c r="E2712" s="893" t="s">
        <v>6529</v>
      </c>
      <c r="I2712" s="888"/>
      <c r="J2712" s="888"/>
      <c r="K2712" s="888"/>
      <c r="L2712" s="888"/>
      <c r="M2712" s="888"/>
      <c r="N2712" s="888"/>
      <c r="O2712" s="888"/>
      <c r="P2712" s="888"/>
      <c r="Q2712" s="888"/>
      <c r="R2712" s="888"/>
    </row>
    <row r="2713" spans="1:18" s="893" customFormat="1" x14ac:dyDescent="0.3">
      <c r="A2713" s="888" t="str">
        <f>IF(LEN('Translation-EN'!A2713)&gt;0,'Translation-EN'!A2713,"")</f>
        <v>Range</v>
      </c>
      <c r="B2713" s="888" t="str">
        <f>IF(LEN('Translation-EN'!B2713)&gt;0,'Translation-EN'!B2713,"")</f>
        <v>Master sheet</v>
      </c>
      <c r="C2713" s="888" t="str">
        <f>IF(LEN('Translation-EN'!C2713)&gt;0,'Translation-EN'!C2713,"")</f>
        <v>C516</v>
      </c>
      <c r="D2713" s="888" t="str">
        <f>IF(LEN('Translation-EN'!D2713)&gt;0,'Translation-EN'!D2713,"")</f>
        <v/>
      </c>
      <c r="E2713" s="1039" t="str">
        <f>$E$2692</f>
        <v>BCRMCA</v>
      </c>
      <c r="I2713" s="888"/>
      <c r="J2713" s="888"/>
      <c r="K2713" s="888"/>
      <c r="L2713" s="888"/>
      <c r="M2713" s="888"/>
      <c r="N2713" s="888"/>
      <c r="O2713" s="888"/>
      <c r="P2713" s="888"/>
      <c r="Q2713" s="888"/>
      <c r="R2713" s="888"/>
    </row>
    <row r="2714" spans="1:18" s="893" customFormat="1" x14ac:dyDescent="0.3">
      <c r="A2714" s="888" t="str">
        <f>IF(LEN('Translation-EN'!A2714)&gt;0,'Translation-EN'!A2714,"")</f>
        <v>Range</v>
      </c>
      <c r="B2714" s="888" t="str">
        <f>IF(LEN('Translation-EN'!B2714)&gt;0,'Translation-EN'!B2714,"")</f>
        <v>Master sheet</v>
      </c>
      <c r="C2714" s="888" t="str">
        <f>IF(LEN('Translation-EN'!C2714)&gt;0,'Translation-EN'!C2714,"")</f>
        <v>D516</v>
      </c>
      <c r="D2714" s="888" t="str">
        <f>IF(LEN('Translation-EN'!D2714)&gt;0,'Translation-EN'!D2714,"")</f>
        <v/>
      </c>
      <c r="E2714" s="893" t="str">
        <f>$E$2693</f>
        <v>Can. Moyenne Colombie Britanique</v>
      </c>
      <c r="I2714" s="888"/>
      <c r="J2714" s="888"/>
      <c r="K2714" s="888"/>
      <c r="L2714" s="888"/>
      <c r="M2714" s="888"/>
      <c r="N2714" s="888"/>
      <c r="O2714" s="888"/>
      <c r="P2714" s="888"/>
      <c r="Q2714" s="888"/>
      <c r="R2714" s="888"/>
    </row>
    <row r="2715" spans="1:18" s="893" customFormat="1" x14ac:dyDescent="0.3">
      <c r="A2715" s="888" t="str">
        <f>IF(LEN('Translation-EN'!A2715)&gt;0,'Translation-EN'!A2715,"")</f>
        <v>Range</v>
      </c>
      <c r="B2715" s="888" t="str">
        <f>IF(LEN('Translation-EN'!B2715)&gt;0,'Translation-EN'!B2715,"")</f>
        <v>Master sheet</v>
      </c>
      <c r="C2715" s="888" t="str">
        <f>IF(LEN('Translation-EN'!C2715)&gt;0,'Translation-EN'!C2715,"")</f>
        <v>B517</v>
      </c>
      <c r="D2715" s="888" t="str">
        <f>IF(LEN('Translation-EN'!D2715)&gt;0,'Translation-EN'!D2715,"")</f>
        <v/>
      </c>
      <c r="E2715" s="893" t="str">
        <f>$E$2586</f>
        <v>Béton - 35 MPa, GU</v>
      </c>
      <c r="I2715" s="888"/>
      <c r="J2715" s="888"/>
      <c r="K2715" s="888"/>
      <c r="L2715" s="888"/>
      <c r="M2715" s="888"/>
      <c r="N2715" s="888"/>
      <c r="O2715" s="888"/>
      <c r="P2715" s="888"/>
      <c r="Q2715" s="888"/>
      <c r="R2715" s="888"/>
    </row>
    <row r="2716" spans="1:18" s="893" customFormat="1" x14ac:dyDescent="0.3">
      <c r="A2716" s="888" t="str">
        <f>IF(LEN('Translation-EN'!A2716)&gt;0,'Translation-EN'!A2716,"")</f>
        <v>Range</v>
      </c>
      <c r="B2716" s="888" t="str">
        <f>IF(LEN('Translation-EN'!B2716)&gt;0,'Translation-EN'!B2716,"")</f>
        <v>Master sheet</v>
      </c>
      <c r="C2716" s="888" t="str">
        <f>IF(LEN('Translation-EN'!C2716)&gt;0,'Translation-EN'!C2716,"")</f>
        <v>C517</v>
      </c>
      <c r="D2716" s="888" t="str">
        <f>IF(LEN('Translation-EN'!D2716)&gt;0,'Translation-EN'!D2716,"")</f>
        <v/>
      </c>
      <c r="E2716" s="893" t="str">
        <f>$E$2692</f>
        <v>BCRMCA</v>
      </c>
      <c r="I2716" s="888"/>
      <c r="J2716" s="888"/>
      <c r="K2716" s="888"/>
      <c r="L2716" s="888"/>
      <c r="M2716" s="888"/>
      <c r="N2716" s="888"/>
      <c r="O2716" s="888"/>
      <c r="P2716" s="888"/>
      <c r="Q2716" s="888"/>
      <c r="R2716" s="888"/>
    </row>
    <row r="2717" spans="1:18" s="893" customFormat="1" x14ac:dyDescent="0.3">
      <c r="A2717" s="888" t="str">
        <f>IF(LEN('Translation-EN'!A2717)&gt;0,'Translation-EN'!A2717,"")</f>
        <v>Range</v>
      </c>
      <c r="B2717" s="888" t="str">
        <f>IF(LEN('Translation-EN'!B2717)&gt;0,'Translation-EN'!B2717,"")</f>
        <v>Master sheet</v>
      </c>
      <c r="C2717" s="888" t="str">
        <f>IF(LEN('Translation-EN'!C2717)&gt;0,'Translation-EN'!C2717,"")</f>
        <v>D517</v>
      </c>
      <c r="D2717" s="888" t="str">
        <f>IF(LEN('Translation-EN'!D2717)&gt;0,'Translation-EN'!D2717,"")</f>
        <v/>
      </c>
      <c r="E2717" s="893" t="str">
        <f>$E$2693</f>
        <v>Can. Moyenne Colombie Britanique</v>
      </c>
      <c r="I2717" s="888"/>
      <c r="J2717" s="888"/>
      <c r="K2717" s="888"/>
      <c r="L2717" s="888"/>
      <c r="M2717" s="888"/>
      <c r="N2717" s="888"/>
      <c r="O2717" s="888"/>
      <c r="P2717" s="888"/>
      <c r="Q2717" s="888"/>
      <c r="R2717" s="888"/>
    </row>
    <row r="2718" spans="1:18" s="893" customFormat="1" x14ac:dyDescent="0.3">
      <c r="A2718" s="888" t="str">
        <f>IF(LEN('Translation-EN'!A2718)&gt;0,'Translation-EN'!A2718,"")</f>
        <v>Range</v>
      </c>
      <c r="B2718" s="888" t="str">
        <f>IF(LEN('Translation-EN'!B2718)&gt;0,'Translation-EN'!B2718,"")</f>
        <v>Master sheet</v>
      </c>
      <c r="C2718" s="888" t="str">
        <f>IF(LEN('Translation-EN'!C2718)&gt;0,'Translation-EN'!C2718,"")</f>
        <v>B518</v>
      </c>
      <c r="D2718" s="888" t="str">
        <f>IF(LEN('Translation-EN'!D2718)&gt;0,'Translation-EN'!D2718,"")</f>
        <v/>
      </c>
      <c r="E2718" s="1015" t="s">
        <v>6530</v>
      </c>
      <c r="I2718" s="888"/>
      <c r="J2718" s="888"/>
      <c r="K2718" s="888"/>
      <c r="L2718" s="888"/>
      <c r="M2718" s="888"/>
      <c r="N2718" s="888"/>
      <c r="O2718" s="888"/>
      <c r="P2718" s="888"/>
      <c r="Q2718" s="888"/>
      <c r="R2718" s="888"/>
    </row>
    <row r="2719" spans="1:18" s="893" customFormat="1" x14ac:dyDescent="0.3">
      <c r="A2719" s="888" t="str">
        <f>IF(LEN('Translation-EN'!A2719)&gt;0,'Translation-EN'!A2719,"")</f>
        <v>Range</v>
      </c>
      <c r="B2719" s="888" t="str">
        <f>IF(LEN('Translation-EN'!B2719)&gt;0,'Translation-EN'!B2719,"")</f>
        <v>Master sheet</v>
      </c>
      <c r="C2719" s="888" t="str">
        <f>IF(LEN('Translation-EN'!C2719)&gt;0,'Translation-EN'!C2719,"")</f>
        <v>C518</v>
      </c>
      <c r="D2719" s="888" t="str">
        <f>IF(LEN('Translation-EN'!D2719)&gt;0,'Translation-EN'!D2719,"")</f>
        <v/>
      </c>
      <c r="E2719" s="893" t="str">
        <f>$E$2692</f>
        <v>BCRMCA</v>
      </c>
      <c r="I2719" s="888"/>
      <c r="J2719" s="888"/>
      <c r="K2719" s="888"/>
      <c r="L2719" s="888"/>
      <c r="M2719" s="888"/>
      <c r="N2719" s="888"/>
      <c r="O2719" s="888"/>
      <c r="P2719" s="888"/>
      <c r="Q2719" s="888"/>
      <c r="R2719" s="888"/>
    </row>
    <row r="2720" spans="1:18" s="893" customFormat="1" x14ac:dyDescent="0.3">
      <c r="A2720" s="888" t="str">
        <f>IF(LEN('Translation-EN'!A2720)&gt;0,'Translation-EN'!A2720,"")</f>
        <v>Range</v>
      </c>
      <c r="B2720" s="888" t="str">
        <f>IF(LEN('Translation-EN'!B2720)&gt;0,'Translation-EN'!B2720,"")</f>
        <v>Master sheet</v>
      </c>
      <c r="C2720" s="888" t="str">
        <f>IF(LEN('Translation-EN'!C2720)&gt;0,'Translation-EN'!C2720,"")</f>
        <v>D518</v>
      </c>
      <c r="D2720" s="888" t="str">
        <f>IF(LEN('Translation-EN'!D2720)&gt;0,'Translation-EN'!D2720,"")</f>
        <v/>
      </c>
      <c r="E2720" s="893" t="str">
        <f>$E$2693</f>
        <v>Can. Moyenne Colombie Britanique</v>
      </c>
      <c r="I2720" s="888"/>
      <c r="J2720" s="888"/>
      <c r="K2720" s="888"/>
      <c r="L2720" s="888"/>
      <c r="M2720" s="888"/>
      <c r="N2720" s="888"/>
      <c r="O2720" s="888"/>
      <c r="P2720" s="888"/>
      <c r="Q2720" s="888"/>
      <c r="R2720" s="888"/>
    </row>
    <row r="2721" spans="1:18" s="893" customFormat="1" x14ac:dyDescent="0.3">
      <c r="A2721" s="888" t="str">
        <f>IF(LEN('Translation-EN'!A2721)&gt;0,'Translation-EN'!A2721,"")</f>
        <v>Range</v>
      </c>
      <c r="B2721" s="888" t="str">
        <f>IF(LEN('Translation-EN'!B2721)&gt;0,'Translation-EN'!B2721,"")</f>
        <v>Master sheet</v>
      </c>
      <c r="C2721" s="888" t="str">
        <f>IF(LEN('Translation-EN'!C2721)&gt;0,'Translation-EN'!C2721,"")</f>
        <v>B519</v>
      </c>
      <c r="D2721" s="888" t="str">
        <f>IF(LEN('Translation-EN'!D2721)&gt;0,'Translation-EN'!D2721,"")</f>
        <v/>
      </c>
      <c r="E2721" s="893" t="s">
        <v>6531</v>
      </c>
      <c r="I2721" s="888"/>
      <c r="J2721" s="888"/>
      <c r="K2721" s="888"/>
      <c r="L2721" s="888"/>
      <c r="M2721" s="888"/>
      <c r="N2721" s="888"/>
      <c r="O2721" s="888"/>
      <c r="P2721" s="888"/>
      <c r="Q2721" s="888"/>
      <c r="R2721" s="888"/>
    </row>
    <row r="2722" spans="1:18" s="893" customFormat="1" x14ac:dyDescent="0.3">
      <c r="A2722" s="888" t="str">
        <f>IF(LEN('Translation-EN'!A2722)&gt;0,'Translation-EN'!A2722,"")</f>
        <v>Range</v>
      </c>
      <c r="B2722" s="888" t="str">
        <f>IF(LEN('Translation-EN'!B2722)&gt;0,'Translation-EN'!B2722,"")</f>
        <v>Master sheet</v>
      </c>
      <c r="C2722" s="888" t="str">
        <f>IF(LEN('Translation-EN'!C2722)&gt;0,'Translation-EN'!C2722,"")</f>
        <v>C519</v>
      </c>
      <c r="D2722" s="888" t="str">
        <f>IF(LEN('Translation-EN'!D2722)&gt;0,'Translation-EN'!D2722,"")</f>
        <v/>
      </c>
      <c r="E2722" s="893" t="str">
        <f>$E$2692</f>
        <v>BCRMCA</v>
      </c>
      <c r="I2722" s="888"/>
      <c r="J2722" s="888"/>
      <c r="K2722" s="888"/>
      <c r="L2722" s="888"/>
      <c r="M2722" s="888"/>
      <c r="N2722" s="888"/>
      <c r="O2722" s="888"/>
      <c r="P2722" s="888"/>
      <c r="Q2722" s="888"/>
      <c r="R2722" s="888"/>
    </row>
    <row r="2723" spans="1:18" s="893" customFormat="1" x14ac:dyDescent="0.3">
      <c r="A2723" s="888" t="str">
        <f>IF(LEN('Translation-EN'!A2723)&gt;0,'Translation-EN'!A2723,"")</f>
        <v>Range</v>
      </c>
      <c r="B2723" s="888" t="str">
        <f>IF(LEN('Translation-EN'!B2723)&gt;0,'Translation-EN'!B2723,"")</f>
        <v>Master sheet</v>
      </c>
      <c r="C2723" s="888" t="str">
        <f>IF(LEN('Translation-EN'!C2723)&gt;0,'Translation-EN'!C2723,"")</f>
        <v>D519</v>
      </c>
      <c r="D2723" s="888" t="str">
        <f>IF(LEN('Translation-EN'!D2723)&gt;0,'Translation-EN'!D2723,"")</f>
        <v/>
      </c>
      <c r="E2723" s="893" t="str">
        <f>$E$2693</f>
        <v>Can. Moyenne Colombie Britanique</v>
      </c>
      <c r="I2723" s="888"/>
      <c r="J2723" s="888"/>
      <c r="K2723" s="888"/>
      <c r="L2723" s="888"/>
      <c r="M2723" s="888"/>
      <c r="N2723" s="888"/>
      <c r="O2723" s="888"/>
      <c r="P2723" s="888"/>
      <c r="Q2723" s="888"/>
      <c r="R2723" s="888"/>
    </row>
    <row r="2724" spans="1:18" s="893" customFormat="1" x14ac:dyDescent="0.3">
      <c r="A2724" s="888" t="str">
        <f>IF(LEN('Translation-EN'!A2724)&gt;0,'Translation-EN'!A2724,"")</f>
        <v>Range</v>
      </c>
      <c r="B2724" s="888" t="str">
        <f>IF(LEN('Translation-EN'!B2724)&gt;0,'Translation-EN'!B2724,"")</f>
        <v>Master sheet</v>
      </c>
      <c r="C2724" s="888" t="str">
        <f>IF(LEN('Translation-EN'!C2724)&gt;0,'Translation-EN'!C2724,"")</f>
        <v>B520</v>
      </c>
      <c r="D2724" s="888" t="str">
        <f>IF(LEN('Translation-EN'!D2724)&gt;0,'Translation-EN'!D2724,"")</f>
        <v/>
      </c>
      <c r="E2724" s="893" t="s">
        <v>6532</v>
      </c>
      <c r="I2724" s="888"/>
      <c r="J2724" s="888"/>
      <c r="K2724" s="888"/>
      <c r="L2724" s="888"/>
      <c r="M2724" s="888"/>
      <c r="N2724" s="888"/>
      <c r="O2724" s="888"/>
      <c r="P2724" s="888"/>
      <c r="Q2724" s="888"/>
      <c r="R2724" s="888"/>
    </row>
    <row r="2725" spans="1:18" s="893" customFormat="1" x14ac:dyDescent="0.3">
      <c r="A2725" s="888" t="str">
        <f>IF(LEN('Translation-EN'!A2725)&gt;0,'Translation-EN'!A2725,"")</f>
        <v>Range</v>
      </c>
      <c r="B2725" s="888" t="str">
        <f>IF(LEN('Translation-EN'!B2725)&gt;0,'Translation-EN'!B2725,"")</f>
        <v>Master sheet</v>
      </c>
      <c r="C2725" s="888" t="str">
        <f>IF(LEN('Translation-EN'!C2725)&gt;0,'Translation-EN'!C2725,"")</f>
        <v>C520</v>
      </c>
      <c r="D2725" s="888" t="str">
        <f>IF(LEN('Translation-EN'!D2725)&gt;0,'Translation-EN'!D2725,"")</f>
        <v/>
      </c>
      <c r="E2725" s="893" t="str">
        <f>$E$2692</f>
        <v>BCRMCA</v>
      </c>
      <c r="I2725" s="888"/>
      <c r="J2725" s="888"/>
      <c r="K2725" s="888"/>
      <c r="L2725" s="888"/>
      <c r="M2725" s="888"/>
      <c r="N2725" s="888"/>
      <c r="O2725" s="888"/>
      <c r="P2725" s="888"/>
      <c r="Q2725" s="888"/>
      <c r="R2725" s="888"/>
    </row>
    <row r="2726" spans="1:18" s="893" customFormat="1" x14ac:dyDescent="0.3">
      <c r="A2726" s="888" t="str">
        <f>IF(LEN('Translation-EN'!A2726)&gt;0,'Translation-EN'!A2726,"")</f>
        <v>Range</v>
      </c>
      <c r="B2726" s="888" t="str">
        <f>IF(LEN('Translation-EN'!B2726)&gt;0,'Translation-EN'!B2726,"")</f>
        <v>Master sheet</v>
      </c>
      <c r="C2726" s="888" t="str">
        <f>IF(LEN('Translation-EN'!C2726)&gt;0,'Translation-EN'!C2726,"")</f>
        <v>D520</v>
      </c>
      <c r="D2726" s="888" t="str">
        <f>IF(LEN('Translation-EN'!D2726)&gt;0,'Translation-EN'!D2726,"")</f>
        <v/>
      </c>
      <c r="E2726" s="893" t="str">
        <f>$E$2693</f>
        <v>Can. Moyenne Colombie Britanique</v>
      </c>
      <c r="I2726" s="888"/>
      <c r="J2726" s="888"/>
      <c r="K2726" s="888"/>
      <c r="L2726" s="888"/>
      <c r="M2726" s="888"/>
      <c r="N2726" s="888"/>
      <c r="O2726" s="888"/>
      <c r="P2726" s="888"/>
      <c r="Q2726" s="888"/>
      <c r="R2726" s="888"/>
    </row>
    <row r="2727" spans="1:18" s="893" customFormat="1" x14ac:dyDescent="0.3">
      <c r="A2727" s="888" t="str">
        <f>IF(LEN('Translation-EN'!A2727)&gt;0,'Translation-EN'!A2727,"")</f>
        <v>Range</v>
      </c>
      <c r="B2727" s="888" t="str">
        <f>IF(LEN('Translation-EN'!B2727)&gt;0,'Translation-EN'!B2727,"")</f>
        <v>Master sheet</v>
      </c>
      <c r="C2727" s="888" t="str">
        <f>IF(LEN('Translation-EN'!C2727)&gt;0,'Translation-EN'!C2727,"")</f>
        <v>B521</v>
      </c>
      <c r="D2727" s="888" t="str">
        <f>IF(LEN('Translation-EN'!D2727)&gt;0,'Translation-EN'!D2727,"")</f>
        <v/>
      </c>
      <c r="E2727" s="893" t="str">
        <f>$E$2556</f>
        <v>Béton - 25 MPa, GU</v>
      </c>
      <c r="I2727" s="888"/>
      <c r="J2727" s="888"/>
      <c r="K2727" s="888"/>
      <c r="L2727" s="888"/>
      <c r="M2727" s="888"/>
      <c r="N2727" s="888"/>
      <c r="O2727" s="888"/>
      <c r="P2727" s="888"/>
      <c r="Q2727" s="888"/>
      <c r="R2727" s="888"/>
    </row>
    <row r="2728" spans="1:18" s="893" customFormat="1" x14ac:dyDescent="0.3">
      <c r="A2728" s="888" t="str">
        <f>IF(LEN('Translation-EN'!A2728)&gt;0,'Translation-EN'!A2728,"")</f>
        <v>Range</v>
      </c>
      <c r="B2728" s="888" t="str">
        <f>IF(LEN('Translation-EN'!B2728)&gt;0,'Translation-EN'!B2728,"")</f>
        <v>Master sheet</v>
      </c>
      <c r="C2728" s="888" t="str">
        <f>IF(LEN('Translation-EN'!C2728)&gt;0,'Translation-EN'!C2728,"")</f>
        <v>C521</v>
      </c>
      <c r="D2728" s="888" t="str">
        <f>IF(LEN('Translation-EN'!D2728)&gt;0,'Translation-EN'!D2728,"")</f>
        <v/>
      </c>
      <c r="E2728" s="893" t="s">
        <v>3608</v>
      </c>
      <c r="I2728" s="888"/>
      <c r="J2728" s="888"/>
      <c r="K2728" s="888"/>
      <c r="L2728" s="888"/>
      <c r="M2728" s="888"/>
      <c r="N2728" s="888"/>
      <c r="O2728" s="888"/>
      <c r="P2728" s="888"/>
      <c r="Q2728" s="888"/>
      <c r="R2728" s="888"/>
    </row>
    <row r="2729" spans="1:18" s="893" customFormat="1" x14ac:dyDescent="0.3">
      <c r="A2729" s="888" t="str">
        <f>IF(LEN('Translation-EN'!A2729)&gt;0,'Translation-EN'!A2729,"")</f>
        <v>Range</v>
      </c>
      <c r="B2729" s="888" t="str">
        <f>IF(LEN('Translation-EN'!B2729)&gt;0,'Translation-EN'!B2729,"")</f>
        <v>Master sheet</v>
      </c>
      <c r="C2729" s="888" t="str">
        <f>IF(LEN('Translation-EN'!C2729)&gt;0,'Translation-EN'!C2729,"")</f>
        <v>D521</v>
      </c>
      <c r="D2729" s="888" t="str">
        <f>IF(LEN('Translation-EN'!D2729)&gt;0,'Translation-EN'!D2729,"")</f>
        <v/>
      </c>
      <c r="E2729" s="893" t="s">
        <v>6533</v>
      </c>
      <c r="I2729" s="888"/>
      <c r="J2729" s="888"/>
      <c r="K2729" s="888"/>
      <c r="L2729" s="888"/>
      <c r="M2729" s="888"/>
      <c r="N2729" s="888"/>
      <c r="O2729" s="888"/>
      <c r="P2729" s="888"/>
      <c r="Q2729" s="888"/>
      <c r="R2729" s="888"/>
    </row>
    <row r="2730" spans="1:18" s="893" customFormat="1" x14ac:dyDescent="0.3">
      <c r="A2730" s="888" t="str">
        <f>IF(LEN('Translation-EN'!A2730)&gt;0,'Translation-EN'!A2730,"")</f>
        <v>Range</v>
      </c>
      <c r="B2730" s="888" t="str">
        <f>IF(LEN('Translation-EN'!B2730)&gt;0,'Translation-EN'!B2730,"")</f>
        <v>Master sheet</v>
      </c>
      <c r="C2730" s="888" t="str">
        <f>IF(LEN('Translation-EN'!C2730)&gt;0,'Translation-EN'!C2730,"")</f>
        <v>B522</v>
      </c>
      <c r="D2730" s="888" t="str">
        <f>IF(LEN('Translation-EN'!D2730)&gt;0,'Translation-EN'!D2730,"")</f>
        <v/>
      </c>
      <c r="E2730" s="893" t="str">
        <f>$E$2499</f>
        <v>Béton -  25 MPa, 10% FA, GU</v>
      </c>
      <c r="I2730" s="888"/>
      <c r="J2730" s="888"/>
      <c r="K2730" s="888"/>
      <c r="L2730" s="888"/>
      <c r="M2730" s="888"/>
      <c r="N2730" s="888"/>
      <c r="O2730" s="888"/>
      <c r="P2730" s="888"/>
      <c r="Q2730" s="888"/>
      <c r="R2730" s="888"/>
    </row>
    <row r="2731" spans="1:18" s="893" customFormat="1" x14ac:dyDescent="0.3">
      <c r="A2731" s="888" t="str">
        <f>IF(LEN('Translation-EN'!A2731)&gt;0,'Translation-EN'!A2731,"")</f>
        <v>Range</v>
      </c>
      <c r="B2731" s="888" t="str">
        <f>IF(LEN('Translation-EN'!B2731)&gt;0,'Translation-EN'!B2731,"")</f>
        <v>Master sheet</v>
      </c>
      <c r="C2731" s="888" t="str">
        <f>IF(LEN('Translation-EN'!C2731)&gt;0,'Translation-EN'!C2731,"")</f>
        <v>C522</v>
      </c>
      <c r="D2731" s="888" t="str">
        <f>IF(LEN('Translation-EN'!D2731)&gt;0,'Translation-EN'!D2731,"")</f>
        <v/>
      </c>
      <c r="E2731" s="893" t="str">
        <f>$E$2728</f>
        <v>ACA</v>
      </c>
      <c r="I2731" s="888"/>
      <c r="J2731" s="888"/>
      <c r="K2731" s="888"/>
      <c r="L2731" s="888"/>
      <c r="M2731" s="888"/>
      <c r="N2731" s="888"/>
      <c r="O2731" s="888"/>
      <c r="P2731" s="888"/>
      <c r="Q2731" s="888"/>
      <c r="R2731" s="888"/>
    </row>
    <row r="2732" spans="1:18" s="893" customFormat="1" x14ac:dyDescent="0.3">
      <c r="A2732" s="888" t="str">
        <f>IF(LEN('Translation-EN'!A2732)&gt;0,'Translation-EN'!A2732,"")</f>
        <v>Range</v>
      </c>
      <c r="B2732" s="888" t="str">
        <f>IF(LEN('Translation-EN'!B2732)&gt;0,'Translation-EN'!B2732,"")</f>
        <v>Master sheet</v>
      </c>
      <c r="C2732" s="888" t="str">
        <f>IF(LEN('Translation-EN'!C2732)&gt;0,'Translation-EN'!C2732,"")</f>
        <v>D522</v>
      </c>
      <c r="D2732" s="888" t="str">
        <f>IF(LEN('Translation-EN'!D2732)&gt;0,'Translation-EN'!D2732,"")</f>
        <v/>
      </c>
      <c r="E2732" s="893" t="str">
        <f>$E$2729</f>
        <v>Can. Moyenne prov. Atlantique</v>
      </c>
      <c r="I2732" s="888"/>
      <c r="J2732" s="888"/>
      <c r="K2732" s="888"/>
      <c r="L2732" s="888"/>
      <c r="M2732" s="888"/>
      <c r="N2732" s="888"/>
      <c r="O2732" s="888"/>
      <c r="P2732" s="888"/>
      <c r="Q2732" s="888"/>
      <c r="R2732" s="888"/>
    </row>
    <row r="2733" spans="1:18" s="893" customFormat="1" x14ac:dyDescent="0.3">
      <c r="A2733" s="888" t="str">
        <f>IF(LEN('Translation-EN'!A2733)&gt;0,'Translation-EN'!A2733,"")</f>
        <v>Range</v>
      </c>
      <c r="B2733" s="888" t="str">
        <f>IF(LEN('Translation-EN'!B2733)&gt;0,'Translation-EN'!B2733,"")</f>
        <v>Master sheet</v>
      </c>
      <c r="C2733" s="888" t="str">
        <f>IF(LEN('Translation-EN'!C2733)&gt;0,'Translation-EN'!C2733,"")</f>
        <v>B523</v>
      </c>
      <c r="D2733" s="888" t="str">
        <f>IF(LEN('Translation-EN'!D2733)&gt;0,'Translation-EN'!D2733,"")</f>
        <v/>
      </c>
      <c r="E2733" s="893" t="str">
        <f>$E$2505</f>
        <v>Béton - 25 MPa, 20% FA, GU</v>
      </c>
      <c r="I2733" s="888"/>
      <c r="J2733" s="888"/>
      <c r="K2733" s="888"/>
      <c r="L2733" s="888"/>
      <c r="M2733" s="888"/>
      <c r="N2733" s="888"/>
      <c r="O2733" s="888"/>
      <c r="P2733" s="888"/>
      <c r="Q2733" s="888"/>
      <c r="R2733" s="888"/>
    </row>
    <row r="2734" spans="1:18" s="893" customFormat="1" x14ac:dyDescent="0.3">
      <c r="A2734" s="888" t="str">
        <f>IF(LEN('Translation-EN'!A2734)&gt;0,'Translation-EN'!A2734,"")</f>
        <v>Range</v>
      </c>
      <c r="B2734" s="888" t="str">
        <f>IF(LEN('Translation-EN'!B2734)&gt;0,'Translation-EN'!B2734,"")</f>
        <v>Master sheet</v>
      </c>
      <c r="C2734" s="888" t="str">
        <f>IF(LEN('Translation-EN'!C2734)&gt;0,'Translation-EN'!C2734,"")</f>
        <v>C523</v>
      </c>
      <c r="D2734" s="888" t="str">
        <f>IF(LEN('Translation-EN'!D2734)&gt;0,'Translation-EN'!D2734,"")</f>
        <v/>
      </c>
      <c r="E2734" s="893" t="str">
        <f>$E$2728</f>
        <v>ACA</v>
      </c>
      <c r="I2734" s="888"/>
      <c r="J2734" s="888"/>
      <c r="K2734" s="888"/>
      <c r="L2734" s="888"/>
      <c r="M2734" s="888"/>
      <c r="N2734" s="888"/>
      <c r="O2734" s="888"/>
      <c r="P2734" s="888"/>
      <c r="Q2734" s="888"/>
      <c r="R2734" s="888"/>
    </row>
    <row r="2735" spans="1:18" s="893" customFormat="1" x14ac:dyDescent="0.3">
      <c r="A2735" s="888" t="str">
        <f>IF(LEN('Translation-EN'!A2735)&gt;0,'Translation-EN'!A2735,"")</f>
        <v>Range</v>
      </c>
      <c r="B2735" s="888" t="str">
        <f>IF(LEN('Translation-EN'!B2735)&gt;0,'Translation-EN'!B2735,"")</f>
        <v>Master sheet</v>
      </c>
      <c r="C2735" s="888" t="str">
        <f>IF(LEN('Translation-EN'!C2735)&gt;0,'Translation-EN'!C2735,"")</f>
        <v>D523</v>
      </c>
      <c r="D2735" s="888" t="str">
        <f>IF(LEN('Translation-EN'!D2735)&gt;0,'Translation-EN'!D2735,"")</f>
        <v/>
      </c>
      <c r="E2735" s="893" t="str">
        <f>$E$2729</f>
        <v>Can. Moyenne prov. Atlantique</v>
      </c>
      <c r="I2735" s="888"/>
      <c r="J2735" s="888"/>
      <c r="K2735" s="888"/>
      <c r="L2735" s="888"/>
      <c r="M2735" s="888"/>
      <c r="N2735" s="888"/>
      <c r="O2735" s="888"/>
      <c r="P2735" s="888"/>
      <c r="Q2735" s="888"/>
      <c r="R2735" s="888"/>
    </row>
    <row r="2736" spans="1:18" s="893" customFormat="1" x14ac:dyDescent="0.3">
      <c r="A2736" s="888" t="str">
        <f>IF(LEN('Translation-EN'!A2736)&gt;0,'Translation-EN'!A2736,"")</f>
        <v>Range</v>
      </c>
      <c r="B2736" s="888" t="str">
        <f>IF(LEN('Translation-EN'!B2736)&gt;0,'Translation-EN'!B2736,"")</f>
        <v>Master sheet</v>
      </c>
      <c r="C2736" s="888" t="str">
        <f>IF(LEN('Translation-EN'!C2736)&gt;0,'Translation-EN'!C2736,"")</f>
        <v>B524</v>
      </c>
      <c r="D2736" s="888" t="str">
        <f>IF(LEN('Translation-EN'!D2736)&gt;0,'Translation-EN'!D2736,"")</f>
        <v/>
      </c>
      <c r="E2736" s="893" t="str">
        <f>$E$2511</f>
        <v>Béton - 25 MPa, 30% FA, GU</v>
      </c>
      <c r="I2736" s="888"/>
      <c r="J2736" s="888"/>
      <c r="K2736" s="888"/>
      <c r="L2736" s="888"/>
      <c r="M2736" s="888"/>
      <c r="N2736" s="888"/>
      <c r="O2736" s="888"/>
      <c r="P2736" s="888"/>
      <c r="Q2736" s="888"/>
      <c r="R2736" s="888"/>
    </row>
    <row r="2737" spans="1:18" s="893" customFormat="1" x14ac:dyDescent="0.3">
      <c r="A2737" s="888" t="str">
        <f>IF(LEN('Translation-EN'!A2737)&gt;0,'Translation-EN'!A2737,"")</f>
        <v>Range</v>
      </c>
      <c r="B2737" s="888" t="str">
        <f>IF(LEN('Translation-EN'!B2737)&gt;0,'Translation-EN'!B2737,"")</f>
        <v>Master sheet</v>
      </c>
      <c r="C2737" s="888" t="str">
        <f>IF(LEN('Translation-EN'!C2737)&gt;0,'Translation-EN'!C2737,"")</f>
        <v>C524</v>
      </c>
      <c r="D2737" s="888" t="str">
        <f>IF(LEN('Translation-EN'!D2737)&gt;0,'Translation-EN'!D2737,"")</f>
        <v/>
      </c>
      <c r="E2737" s="893" t="str">
        <f>$E$2728</f>
        <v>ACA</v>
      </c>
      <c r="I2737" s="888"/>
      <c r="J2737" s="888"/>
      <c r="K2737" s="888"/>
      <c r="L2737" s="888"/>
      <c r="M2737" s="888"/>
      <c r="N2737" s="888"/>
      <c r="O2737" s="888"/>
      <c r="P2737" s="888"/>
      <c r="Q2737" s="888"/>
      <c r="R2737" s="888"/>
    </row>
    <row r="2738" spans="1:18" s="893" customFormat="1" x14ac:dyDescent="0.3">
      <c r="A2738" s="888" t="str">
        <f>IF(LEN('Translation-EN'!A2738)&gt;0,'Translation-EN'!A2738,"")</f>
        <v>Range</v>
      </c>
      <c r="B2738" s="888" t="str">
        <f>IF(LEN('Translation-EN'!B2738)&gt;0,'Translation-EN'!B2738,"")</f>
        <v>Master sheet</v>
      </c>
      <c r="C2738" s="888" t="str">
        <f>IF(LEN('Translation-EN'!C2738)&gt;0,'Translation-EN'!C2738,"")</f>
        <v>D524</v>
      </c>
      <c r="D2738" s="888" t="str">
        <f>IF(LEN('Translation-EN'!D2738)&gt;0,'Translation-EN'!D2738,"")</f>
        <v/>
      </c>
      <c r="E2738" s="893" t="str">
        <f>$E$2729</f>
        <v>Can. Moyenne prov. Atlantique</v>
      </c>
      <c r="I2738" s="888"/>
      <c r="J2738" s="888"/>
      <c r="K2738" s="888"/>
      <c r="L2738" s="888"/>
      <c r="M2738" s="888"/>
      <c r="N2738" s="888"/>
      <c r="O2738" s="888"/>
      <c r="P2738" s="888"/>
      <c r="Q2738" s="888"/>
      <c r="R2738" s="888"/>
    </row>
    <row r="2739" spans="1:18" s="893" customFormat="1" x14ac:dyDescent="0.3">
      <c r="A2739" s="888" t="str">
        <f>IF(LEN('Translation-EN'!A2739)&gt;0,'Translation-EN'!A2739,"")</f>
        <v>Range</v>
      </c>
      <c r="B2739" s="888" t="str">
        <f>IF(LEN('Translation-EN'!B2739)&gt;0,'Translation-EN'!B2739,"")</f>
        <v>Master sheet</v>
      </c>
      <c r="C2739" s="888" t="str">
        <f>IF(LEN('Translation-EN'!C2739)&gt;0,'Translation-EN'!C2739,"")</f>
        <v>B525</v>
      </c>
      <c r="D2739" s="888" t="str">
        <f>IF(LEN('Translation-EN'!D2739)&gt;0,'Translation-EN'!D2739,"")</f>
        <v/>
      </c>
      <c r="E2739" s="893" t="str">
        <f>$E$2613</f>
        <v>Béton - 25 MPa, 40% FA, GU</v>
      </c>
      <c r="I2739" s="888"/>
      <c r="J2739" s="888"/>
      <c r="K2739" s="888"/>
      <c r="L2739" s="888"/>
      <c r="M2739" s="888"/>
      <c r="N2739" s="888"/>
      <c r="O2739" s="888"/>
      <c r="P2739" s="888"/>
      <c r="Q2739" s="888"/>
      <c r="R2739" s="888"/>
    </row>
    <row r="2740" spans="1:18" s="893" customFormat="1" x14ac:dyDescent="0.3">
      <c r="A2740" s="888" t="str">
        <f>IF(LEN('Translation-EN'!A2740)&gt;0,'Translation-EN'!A2740,"")</f>
        <v>Range</v>
      </c>
      <c r="B2740" s="888" t="str">
        <f>IF(LEN('Translation-EN'!B2740)&gt;0,'Translation-EN'!B2740,"")</f>
        <v>Master sheet</v>
      </c>
      <c r="C2740" s="888" t="str">
        <f>IF(LEN('Translation-EN'!C2740)&gt;0,'Translation-EN'!C2740,"")</f>
        <v>C525</v>
      </c>
      <c r="D2740" s="888" t="str">
        <f>IF(LEN('Translation-EN'!D2740)&gt;0,'Translation-EN'!D2740,"")</f>
        <v/>
      </c>
      <c r="E2740" s="893" t="str">
        <f>$E$2728</f>
        <v>ACA</v>
      </c>
      <c r="I2740" s="888"/>
      <c r="J2740" s="888"/>
      <c r="K2740" s="888"/>
      <c r="L2740" s="888"/>
      <c r="M2740" s="888"/>
      <c r="N2740" s="888"/>
      <c r="O2740" s="888"/>
      <c r="P2740" s="888"/>
      <c r="Q2740" s="888"/>
      <c r="R2740" s="888"/>
    </row>
    <row r="2741" spans="1:18" s="893" customFormat="1" x14ac:dyDescent="0.3">
      <c r="A2741" s="888" t="str">
        <f>IF(LEN('Translation-EN'!A2741)&gt;0,'Translation-EN'!A2741,"")</f>
        <v>Range</v>
      </c>
      <c r="B2741" s="888" t="str">
        <f>IF(LEN('Translation-EN'!B2741)&gt;0,'Translation-EN'!B2741,"")</f>
        <v>Master sheet</v>
      </c>
      <c r="C2741" s="888" t="str">
        <f>IF(LEN('Translation-EN'!C2741)&gt;0,'Translation-EN'!C2741,"")</f>
        <v>D525</v>
      </c>
      <c r="D2741" s="888" t="str">
        <f>IF(LEN('Translation-EN'!D2741)&gt;0,'Translation-EN'!D2741,"")</f>
        <v/>
      </c>
      <c r="E2741" s="893" t="str">
        <f>$E$2729</f>
        <v>Can. Moyenne prov. Atlantique</v>
      </c>
      <c r="I2741" s="888"/>
      <c r="J2741" s="888"/>
      <c r="K2741" s="888"/>
      <c r="L2741" s="888"/>
      <c r="M2741" s="888"/>
      <c r="N2741" s="888"/>
      <c r="O2741" s="888"/>
      <c r="P2741" s="888"/>
      <c r="Q2741" s="888"/>
      <c r="R2741" s="888"/>
    </row>
    <row r="2742" spans="1:18" s="893" customFormat="1" x14ac:dyDescent="0.3">
      <c r="A2742" s="888" t="str">
        <f>IF(LEN('Translation-EN'!A2742)&gt;0,'Translation-EN'!A2742,"")</f>
        <v>Range</v>
      </c>
      <c r="B2742" s="888" t="str">
        <f>IF(LEN('Translation-EN'!B2742)&gt;0,'Translation-EN'!B2742,"")</f>
        <v>Master sheet</v>
      </c>
      <c r="C2742" s="888" t="str">
        <f>IF(LEN('Translation-EN'!C2742)&gt;0,'Translation-EN'!C2742,"")</f>
        <v>B526</v>
      </c>
      <c r="D2742" s="888" t="str">
        <f>IF(LEN('Translation-EN'!D2742)&gt;0,'Translation-EN'!D2742,"")</f>
        <v/>
      </c>
      <c r="E2742" s="893" t="str">
        <f>$E$2571</f>
        <v>Béton - 30 MPa, GU</v>
      </c>
      <c r="I2742" s="888"/>
      <c r="J2742" s="888"/>
      <c r="K2742" s="888"/>
      <c r="L2742" s="888"/>
      <c r="M2742" s="888"/>
      <c r="N2742" s="888"/>
      <c r="O2742" s="888"/>
      <c r="P2742" s="888"/>
      <c r="Q2742" s="888"/>
      <c r="R2742" s="888"/>
    </row>
    <row r="2743" spans="1:18" s="893" customFormat="1" x14ac:dyDescent="0.3">
      <c r="A2743" s="888" t="str">
        <f>IF(LEN('Translation-EN'!A2743)&gt;0,'Translation-EN'!A2743,"")</f>
        <v>Range</v>
      </c>
      <c r="B2743" s="888" t="str">
        <f>IF(LEN('Translation-EN'!B2743)&gt;0,'Translation-EN'!B2743,"")</f>
        <v>Master sheet</v>
      </c>
      <c r="C2743" s="888" t="str">
        <f>IF(LEN('Translation-EN'!C2743)&gt;0,'Translation-EN'!C2743,"")</f>
        <v>C526</v>
      </c>
      <c r="D2743" s="888" t="str">
        <f>IF(LEN('Translation-EN'!D2743)&gt;0,'Translation-EN'!D2743,"")</f>
        <v/>
      </c>
      <c r="E2743" s="893" t="str">
        <f>$E$2728</f>
        <v>ACA</v>
      </c>
      <c r="I2743" s="888"/>
      <c r="J2743" s="888"/>
      <c r="K2743" s="888"/>
      <c r="L2743" s="888"/>
      <c r="M2743" s="888"/>
      <c r="N2743" s="888"/>
      <c r="O2743" s="888"/>
      <c r="P2743" s="888"/>
      <c r="Q2743" s="888"/>
      <c r="R2743" s="888"/>
    </row>
    <row r="2744" spans="1:18" s="893" customFormat="1" x14ac:dyDescent="0.3">
      <c r="A2744" s="888" t="str">
        <f>IF(LEN('Translation-EN'!A2744)&gt;0,'Translation-EN'!A2744,"")</f>
        <v>Range</v>
      </c>
      <c r="B2744" s="888" t="str">
        <f>IF(LEN('Translation-EN'!B2744)&gt;0,'Translation-EN'!B2744,"")</f>
        <v>Master sheet</v>
      </c>
      <c r="C2744" s="888" t="str">
        <f>IF(LEN('Translation-EN'!C2744)&gt;0,'Translation-EN'!C2744,"")</f>
        <v>D526</v>
      </c>
      <c r="D2744" s="888" t="str">
        <f>IF(LEN('Translation-EN'!D2744)&gt;0,'Translation-EN'!D2744,"")</f>
        <v/>
      </c>
      <c r="E2744" s="893" t="str">
        <f>$E$2729</f>
        <v>Can. Moyenne prov. Atlantique</v>
      </c>
      <c r="I2744" s="888"/>
      <c r="J2744" s="888"/>
      <c r="K2744" s="888"/>
      <c r="L2744" s="888"/>
      <c r="M2744" s="888"/>
      <c r="N2744" s="888"/>
      <c r="O2744" s="888"/>
      <c r="P2744" s="888"/>
      <c r="Q2744" s="888"/>
      <c r="R2744" s="888"/>
    </row>
    <row r="2745" spans="1:18" s="893" customFormat="1" x14ac:dyDescent="0.3">
      <c r="A2745" s="888" t="str">
        <f>IF(LEN('Translation-EN'!A2745)&gt;0,'Translation-EN'!A2745,"")</f>
        <v>Range</v>
      </c>
      <c r="B2745" s="888" t="str">
        <f>IF(LEN('Translation-EN'!B2745)&gt;0,'Translation-EN'!B2745,"")</f>
        <v>Master sheet</v>
      </c>
      <c r="C2745" s="888" t="str">
        <f>IF(LEN('Translation-EN'!C2745)&gt;0,'Translation-EN'!C2745,"")</f>
        <v>B527</v>
      </c>
      <c r="D2745" s="888" t="str">
        <f>IF(LEN('Translation-EN'!D2745)&gt;0,'Translation-EN'!D2745,"")</f>
        <v/>
      </c>
      <c r="E2745" s="893" t="str">
        <f>$E$2520</f>
        <v>Béton -  30 MPa, 10% FA, GU</v>
      </c>
      <c r="I2745" s="888"/>
      <c r="J2745" s="888"/>
      <c r="K2745" s="888"/>
      <c r="L2745" s="888"/>
      <c r="M2745" s="888"/>
      <c r="N2745" s="888"/>
      <c r="O2745" s="888"/>
      <c r="P2745" s="888"/>
      <c r="Q2745" s="888"/>
      <c r="R2745" s="888"/>
    </row>
    <row r="2746" spans="1:18" s="893" customFormat="1" x14ac:dyDescent="0.3">
      <c r="A2746" s="888" t="str">
        <f>IF(LEN('Translation-EN'!A2746)&gt;0,'Translation-EN'!A2746,"")</f>
        <v>Range</v>
      </c>
      <c r="B2746" s="888" t="str">
        <f>IF(LEN('Translation-EN'!B2746)&gt;0,'Translation-EN'!B2746,"")</f>
        <v>Master sheet</v>
      </c>
      <c r="C2746" s="888" t="str">
        <f>IF(LEN('Translation-EN'!C2746)&gt;0,'Translation-EN'!C2746,"")</f>
        <v>C527</v>
      </c>
      <c r="D2746" s="888" t="str">
        <f>IF(LEN('Translation-EN'!D2746)&gt;0,'Translation-EN'!D2746,"")</f>
        <v/>
      </c>
      <c r="E2746" s="893" t="str">
        <f>$E$2728</f>
        <v>ACA</v>
      </c>
      <c r="I2746" s="888"/>
      <c r="J2746" s="888"/>
      <c r="K2746" s="888"/>
      <c r="L2746" s="888"/>
      <c r="M2746" s="888"/>
      <c r="N2746" s="888"/>
      <c r="O2746" s="888"/>
      <c r="P2746" s="888"/>
      <c r="Q2746" s="888"/>
      <c r="R2746" s="888"/>
    </row>
    <row r="2747" spans="1:18" s="893" customFormat="1" x14ac:dyDescent="0.3">
      <c r="A2747" s="888" t="str">
        <f>IF(LEN('Translation-EN'!A2747)&gt;0,'Translation-EN'!A2747,"")</f>
        <v>Range</v>
      </c>
      <c r="B2747" s="888" t="str">
        <f>IF(LEN('Translation-EN'!B2747)&gt;0,'Translation-EN'!B2747,"")</f>
        <v>Master sheet</v>
      </c>
      <c r="C2747" s="888" t="str">
        <f>IF(LEN('Translation-EN'!C2747)&gt;0,'Translation-EN'!C2747,"")</f>
        <v>D527</v>
      </c>
      <c r="D2747" s="888" t="str">
        <f>IF(LEN('Translation-EN'!D2747)&gt;0,'Translation-EN'!D2747,"")</f>
        <v/>
      </c>
      <c r="E2747" s="893" t="str">
        <f>$E$2729</f>
        <v>Can. Moyenne prov. Atlantique</v>
      </c>
      <c r="I2747" s="888"/>
      <c r="J2747" s="888"/>
      <c r="K2747" s="888"/>
      <c r="L2747" s="888"/>
      <c r="M2747" s="888"/>
      <c r="N2747" s="888"/>
      <c r="O2747" s="888"/>
      <c r="P2747" s="888"/>
      <c r="Q2747" s="888"/>
      <c r="R2747" s="888"/>
    </row>
    <row r="2748" spans="1:18" s="893" customFormat="1" x14ac:dyDescent="0.3">
      <c r="A2748" s="888" t="str">
        <f>IF(LEN('Translation-EN'!A2748)&gt;0,'Translation-EN'!A2748,"")</f>
        <v>Range</v>
      </c>
      <c r="B2748" s="888" t="str">
        <f>IF(LEN('Translation-EN'!B2748)&gt;0,'Translation-EN'!B2748,"")</f>
        <v>Master sheet</v>
      </c>
      <c r="C2748" s="888" t="str">
        <f>IF(LEN('Translation-EN'!C2748)&gt;0,'Translation-EN'!C2748,"")</f>
        <v>B528</v>
      </c>
      <c r="D2748" s="888" t="str">
        <f>IF(LEN('Translation-EN'!D2748)&gt;0,'Translation-EN'!D2748,"")</f>
        <v/>
      </c>
      <c r="E2748" s="893" t="str">
        <f>$E$2526</f>
        <v>Béton - 30 MPa, 20% FA, GU</v>
      </c>
      <c r="I2748" s="888"/>
      <c r="J2748" s="888"/>
      <c r="K2748" s="888"/>
      <c r="L2748" s="888"/>
      <c r="M2748" s="888"/>
      <c r="N2748" s="888"/>
      <c r="O2748" s="888"/>
      <c r="P2748" s="888"/>
      <c r="Q2748" s="888"/>
      <c r="R2748" s="888"/>
    </row>
    <row r="2749" spans="1:18" s="893" customFormat="1" x14ac:dyDescent="0.3">
      <c r="A2749" s="888" t="str">
        <f>IF(LEN('Translation-EN'!A2749)&gt;0,'Translation-EN'!A2749,"")</f>
        <v>Range</v>
      </c>
      <c r="B2749" s="888" t="str">
        <f>IF(LEN('Translation-EN'!B2749)&gt;0,'Translation-EN'!B2749,"")</f>
        <v>Master sheet</v>
      </c>
      <c r="C2749" s="888" t="str">
        <f>IF(LEN('Translation-EN'!C2749)&gt;0,'Translation-EN'!C2749,"")</f>
        <v>C528</v>
      </c>
      <c r="D2749" s="888" t="str">
        <f>IF(LEN('Translation-EN'!D2749)&gt;0,'Translation-EN'!D2749,"")</f>
        <v/>
      </c>
      <c r="E2749" s="893" t="str">
        <f>$E$2728</f>
        <v>ACA</v>
      </c>
      <c r="I2749" s="888"/>
      <c r="J2749" s="888"/>
      <c r="K2749" s="888"/>
      <c r="L2749" s="888"/>
      <c r="M2749" s="888"/>
      <c r="N2749" s="888"/>
      <c r="O2749" s="888"/>
      <c r="P2749" s="888"/>
      <c r="Q2749" s="888"/>
      <c r="R2749" s="888"/>
    </row>
    <row r="2750" spans="1:18" s="893" customFormat="1" x14ac:dyDescent="0.3">
      <c r="A2750" s="888" t="str">
        <f>IF(LEN('Translation-EN'!A2750)&gt;0,'Translation-EN'!A2750,"")</f>
        <v>Range</v>
      </c>
      <c r="B2750" s="888" t="str">
        <f>IF(LEN('Translation-EN'!B2750)&gt;0,'Translation-EN'!B2750,"")</f>
        <v>Master sheet</v>
      </c>
      <c r="C2750" s="888" t="str">
        <f>IF(LEN('Translation-EN'!C2750)&gt;0,'Translation-EN'!C2750,"")</f>
        <v>D528</v>
      </c>
      <c r="D2750" s="888" t="str">
        <f>IF(LEN('Translation-EN'!D2750)&gt;0,'Translation-EN'!D2750,"")</f>
        <v/>
      </c>
      <c r="E2750" s="893" t="str">
        <f>$E$2729</f>
        <v>Can. Moyenne prov. Atlantique</v>
      </c>
      <c r="I2750" s="888"/>
      <c r="J2750" s="888"/>
      <c r="K2750" s="888"/>
      <c r="L2750" s="888"/>
      <c r="M2750" s="888"/>
      <c r="N2750" s="888"/>
      <c r="O2750" s="888"/>
      <c r="P2750" s="888"/>
      <c r="Q2750" s="888"/>
      <c r="R2750" s="888"/>
    </row>
    <row r="2751" spans="1:18" s="893" customFormat="1" x14ac:dyDescent="0.3">
      <c r="A2751" s="888" t="str">
        <f>IF(LEN('Translation-EN'!A2751)&gt;0,'Translation-EN'!A2751,"")</f>
        <v>Range</v>
      </c>
      <c r="B2751" s="888" t="str">
        <f>IF(LEN('Translation-EN'!B2751)&gt;0,'Translation-EN'!B2751,"")</f>
        <v>Master sheet</v>
      </c>
      <c r="C2751" s="888" t="str">
        <f>IF(LEN('Translation-EN'!C2751)&gt;0,'Translation-EN'!C2751,"")</f>
        <v>B529</v>
      </c>
      <c r="D2751" s="888" t="str">
        <f>IF(LEN('Translation-EN'!D2751)&gt;0,'Translation-EN'!D2751,"")</f>
        <v/>
      </c>
      <c r="E2751" s="893" t="str">
        <f>$E$2532</f>
        <v>Béton - 30 MPa, 30% FA, GU</v>
      </c>
      <c r="I2751" s="888"/>
      <c r="J2751" s="888"/>
      <c r="K2751" s="888"/>
      <c r="L2751" s="888"/>
      <c r="M2751" s="888"/>
      <c r="N2751" s="888"/>
      <c r="O2751" s="888"/>
      <c r="P2751" s="888"/>
      <c r="Q2751" s="888"/>
      <c r="R2751" s="888"/>
    </row>
    <row r="2752" spans="1:18" s="893" customFormat="1" x14ac:dyDescent="0.3">
      <c r="A2752" s="888" t="str">
        <f>IF(LEN('Translation-EN'!A2752)&gt;0,'Translation-EN'!A2752,"")</f>
        <v>Range</v>
      </c>
      <c r="B2752" s="888" t="str">
        <f>IF(LEN('Translation-EN'!B2752)&gt;0,'Translation-EN'!B2752,"")</f>
        <v>Master sheet</v>
      </c>
      <c r="C2752" s="888" t="str">
        <f>IF(LEN('Translation-EN'!C2752)&gt;0,'Translation-EN'!C2752,"")</f>
        <v>C529</v>
      </c>
      <c r="D2752" s="888" t="str">
        <f>IF(LEN('Translation-EN'!D2752)&gt;0,'Translation-EN'!D2752,"")</f>
        <v/>
      </c>
      <c r="E2752" s="893" t="str">
        <f>$E$2728</f>
        <v>ACA</v>
      </c>
      <c r="I2752" s="888"/>
      <c r="J2752" s="888"/>
      <c r="K2752" s="888"/>
      <c r="L2752" s="888"/>
      <c r="M2752" s="888"/>
      <c r="N2752" s="888"/>
      <c r="O2752" s="888"/>
      <c r="P2752" s="888"/>
      <c r="Q2752" s="888"/>
      <c r="R2752" s="888"/>
    </row>
    <row r="2753" spans="1:18" s="893" customFormat="1" x14ac:dyDescent="0.3">
      <c r="A2753" s="888" t="str">
        <f>IF(LEN('Translation-EN'!A2753)&gt;0,'Translation-EN'!A2753,"")</f>
        <v>Range</v>
      </c>
      <c r="B2753" s="888" t="str">
        <f>IF(LEN('Translation-EN'!B2753)&gt;0,'Translation-EN'!B2753,"")</f>
        <v>Master sheet</v>
      </c>
      <c r="C2753" s="888" t="str">
        <f>IF(LEN('Translation-EN'!C2753)&gt;0,'Translation-EN'!C2753,"")</f>
        <v>D529</v>
      </c>
      <c r="D2753" s="888" t="str">
        <f>IF(LEN('Translation-EN'!D2753)&gt;0,'Translation-EN'!D2753,"")</f>
        <v/>
      </c>
      <c r="E2753" s="893" t="str">
        <f>$E$2729</f>
        <v>Can. Moyenne prov. Atlantique</v>
      </c>
      <c r="I2753" s="888"/>
      <c r="J2753" s="888"/>
      <c r="K2753" s="888"/>
      <c r="L2753" s="888"/>
      <c r="M2753" s="888"/>
      <c r="N2753" s="888"/>
      <c r="O2753" s="888"/>
      <c r="P2753" s="888"/>
      <c r="Q2753" s="888"/>
      <c r="R2753" s="888"/>
    </row>
    <row r="2754" spans="1:18" s="893" customFormat="1" x14ac:dyDescent="0.3">
      <c r="A2754" s="888" t="str">
        <f>IF(LEN('Translation-EN'!A2754)&gt;0,'Translation-EN'!A2754,"")</f>
        <v>Range</v>
      </c>
      <c r="B2754" s="888" t="str">
        <f>IF(LEN('Translation-EN'!B2754)&gt;0,'Translation-EN'!B2754,"")</f>
        <v>Master sheet</v>
      </c>
      <c r="C2754" s="888" t="str">
        <f>IF(LEN('Translation-EN'!C2754)&gt;0,'Translation-EN'!C2754,"")</f>
        <v>B530</v>
      </c>
      <c r="D2754" s="888" t="str">
        <f>IF(LEN('Translation-EN'!D2754)&gt;0,'Translation-EN'!D2754,"")</f>
        <v/>
      </c>
      <c r="E2754" s="893" t="str">
        <f>$E$2628</f>
        <v>Béton - 30 MPa, 40% FA, GU</v>
      </c>
      <c r="I2754" s="888"/>
      <c r="J2754" s="888"/>
      <c r="K2754" s="888"/>
      <c r="L2754" s="888"/>
      <c r="M2754" s="888"/>
      <c r="N2754" s="888"/>
      <c r="O2754" s="888"/>
      <c r="P2754" s="888"/>
      <c r="Q2754" s="888"/>
      <c r="R2754" s="888"/>
    </row>
    <row r="2755" spans="1:18" s="893" customFormat="1" x14ac:dyDescent="0.3">
      <c r="A2755" s="888" t="str">
        <f>IF(LEN('Translation-EN'!A2755)&gt;0,'Translation-EN'!A2755,"")</f>
        <v>Range</v>
      </c>
      <c r="B2755" s="888" t="str">
        <f>IF(LEN('Translation-EN'!B2755)&gt;0,'Translation-EN'!B2755,"")</f>
        <v>Master sheet</v>
      </c>
      <c r="C2755" s="888" t="str">
        <f>IF(LEN('Translation-EN'!C2755)&gt;0,'Translation-EN'!C2755,"")</f>
        <v>C530</v>
      </c>
      <c r="D2755" s="888" t="str">
        <f>IF(LEN('Translation-EN'!D2755)&gt;0,'Translation-EN'!D2755,"")</f>
        <v/>
      </c>
      <c r="E2755" s="893" t="str">
        <f>$E$2728</f>
        <v>ACA</v>
      </c>
      <c r="I2755" s="888"/>
      <c r="J2755" s="888"/>
      <c r="K2755" s="888"/>
      <c r="L2755" s="888"/>
      <c r="M2755" s="888"/>
      <c r="N2755" s="888"/>
      <c r="O2755" s="888"/>
      <c r="P2755" s="888"/>
      <c r="Q2755" s="888"/>
      <c r="R2755" s="888"/>
    </row>
    <row r="2756" spans="1:18" s="893" customFormat="1" x14ac:dyDescent="0.3">
      <c r="A2756" s="888" t="str">
        <f>IF(LEN('Translation-EN'!A2756)&gt;0,'Translation-EN'!A2756,"")</f>
        <v>Range</v>
      </c>
      <c r="B2756" s="888" t="str">
        <f>IF(LEN('Translation-EN'!B2756)&gt;0,'Translation-EN'!B2756,"")</f>
        <v>Master sheet</v>
      </c>
      <c r="C2756" s="888" t="str">
        <f>IF(LEN('Translation-EN'!C2756)&gt;0,'Translation-EN'!C2756,"")</f>
        <v>D530</v>
      </c>
      <c r="D2756" s="888" t="str">
        <f>IF(LEN('Translation-EN'!D2756)&gt;0,'Translation-EN'!D2756,"")</f>
        <v/>
      </c>
      <c r="E2756" s="893" t="str">
        <f>$E$2729</f>
        <v>Can. Moyenne prov. Atlantique</v>
      </c>
      <c r="I2756" s="888"/>
      <c r="J2756" s="888"/>
      <c r="K2756" s="888"/>
      <c r="L2756" s="888"/>
      <c r="M2756" s="888"/>
      <c r="N2756" s="888"/>
      <c r="O2756" s="888"/>
      <c r="P2756" s="888"/>
      <c r="Q2756" s="888"/>
      <c r="R2756" s="888"/>
    </row>
    <row r="2757" spans="1:18" s="893" customFormat="1" x14ac:dyDescent="0.3">
      <c r="A2757" s="888" t="str">
        <f>IF(LEN('Translation-EN'!A2757)&gt;0,'Translation-EN'!A2757,"")</f>
        <v>Range</v>
      </c>
      <c r="B2757" s="888" t="str">
        <f>IF(LEN('Translation-EN'!B2757)&gt;0,'Translation-EN'!B2757,"")</f>
        <v>Master sheet</v>
      </c>
      <c r="C2757" s="888" t="str">
        <f>IF(LEN('Translation-EN'!C2757)&gt;0,'Translation-EN'!C2757,"")</f>
        <v>B531</v>
      </c>
      <c r="D2757" s="888" t="str">
        <f>IF(LEN('Translation-EN'!D2757)&gt;0,'Translation-EN'!D2757,"")</f>
        <v/>
      </c>
      <c r="E2757" s="893" t="str">
        <f>$E$2586</f>
        <v>Béton - 35 MPa, GU</v>
      </c>
      <c r="I2757" s="888"/>
      <c r="J2757" s="888"/>
      <c r="K2757" s="888"/>
      <c r="L2757" s="888"/>
      <c r="M2757" s="888"/>
      <c r="N2757" s="888"/>
      <c r="O2757" s="888"/>
      <c r="P2757" s="888"/>
      <c r="Q2757" s="888"/>
      <c r="R2757" s="888"/>
    </row>
    <row r="2758" spans="1:18" s="893" customFormat="1" x14ac:dyDescent="0.3">
      <c r="A2758" s="888" t="str">
        <f>IF(LEN('Translation-EN'!A2758)&gt;0,'Translation-EN'!A2758,"")</f>
        <v>Range</v>
      </c>
      <c r="B2758" s="888" t="str">
        <f>IF(LEN('Translation-EN'!B2758)&gt;0,'Translation-EN'!B2758,"")</f>
        <v>Master sheet</v>
      </c>
      <c r="C2758" s="888" t="str">
        <f>IF(LEN('Translation-EN'!C2758)&gt;0,'Translation-EN'!C2758,"")</f>
        <v>C531</v>
      </c>
      <c r="D2758" s="888" t="str">
        <f>IF(LEN('Translation-EN'!D2758)&gt;0,'Translation-EN'!D2758,"")</f>
        <v/>
      </c>
      <c r="E2758" s="893" t="str">
        <f>$E$2728</f>
        <v>ACA</v>
      </c>
      <c r="I2758" s="888"/>
      <c r="J2758" s="888"/>
      <c r="K2758" s="888"/>
      <c r="L2758" s="888"/>
      <c r="M2758" s="888"/>
      <c r="N2758" s="888"/>
      <c r="O2758" s="888"/>
      <c r="P2758" s="888"/>
      <c r="Q2758" s="888"/>
      <c r="R2758" s="888"/>
    </row>
    <row r="2759" spans="1:18" s="893" customFormat="1" x14ac:dyDescent="0.3">
      <c r="A2759" s="888" t="str">
        <f>IF(LEN('Translation-EN'!A2759)&gt;0,'Translation-EN'!A2759,"")</f>
        <v>Range</v>
      </c>
      <c r="B2759" s="888" t="str">
        <f>IF(LEN('Translation-EN'!B2759)&gt;0,'Translation-EN'!B2759,"")</f>
        <v>Master sheet</v>
      </c>
      <c r="C2759" s="888" t="str">
        <f>IF(LEN('Translation-EN'!C2759)&gt;0,'Translation-EN'!C2759,"")</f>
        <v>D531</v>
      </c>
      <c r="D2759" s="888" t="str">
        <f>IF(LEN('Translation-EN'!D2759)&gt;0,'Translation-EN'!D2759,"")</f>
        <v/>
      </c>
      <c r="E2759" s="893" t="str">
        <f>$E$2729</f>
        <v>Can. Moyenne prov. Atlantique</v>
      </c>
      <c r="I2759" s="888"/>
      <c r="J2759" s="888"/>
      <c r="K2759" s="888"/>
      <c r="L2759" s="888"/>
      <c r="M2759" s="888"/>
      <c r="N2759" s="888"/>
      <c r="O2759" s="888"/>
      <c r="P2759" s="888"/>
      <c r="Q2759" s="888"/>
      <c r="R2759" s="888"/>
    </row>
    <row r="2760" spans="1:18" s="893" customFormat="1" x14ac:dyDescent="0.3">
      <c r="A2760" s="888" t="str">
        <f>IF(LEN('Translation-EN'!A2760)&gt;0,'Translation-EN'!A2760,"")</f>
        <v>Range</v>
      </c>
      <c r="B2760" s="888" t="str">
        <f>IF(LEN('Translation-EN'!B2760)&gt;0,'Translation-EN'!B2760,"")</f>
        <v>Master sheet</v>
      </c>
      <c r="C2760" s="888" t="str">
        <f>IF(LEN('Translation-EN'!C2760)&gt;0,'Translation-EN'!C2760,"")</f>
        <v>B532</v>
      </c>
      <c r="D2760" s="888" t="str">
        <f>IF(LEN('Translation-EN'!D2760)&gt;0,'Translation-EN'!D2760,"")</f>
        <v/>
      </c>
      <c r="E2760" s="893" t="str">
        <f>$E$2541</f>
        <v>Béton -  35 MPa, 10% FA, GU</v>
      </c>
      <c r="I2760" s="888"/>
      <c r="J2760" s="888"/>
      <c r="K2760" s="888"/>
      <c r="L2760" s="888"/>
      <c r="M2760" s="888"/>
      <c r="N2760" s="888"/>
      <c r="O2760" s="888"/>
      <c r="P2760" s="888"/>
      <c r="Q2760" s="888"/>
      <c r="R2760" s="888"/>
    </row>
    <row r="2761" spans="1:18" s="893" customFormat="1" x14ac:dyDescent="0.3">
      <c r="A2761" s="888" t="str">
        <f>IF(LEN('Translation-EN'!A2761)&gt;0,'Translation-EN'!A2761,"")</f>
        <v>Range</v>
      </c>
      <c r="B2761" s="888" t="str">
        <f>IF(LEN('Translation-EN'!B2761)&gt;0,'Translation-EN'!B2761,"")</f>
        <v>Master sheet</v>
      </c>
      <c r="C2761" s="888" t="str">
        <f>IF(LEN('Translation-EN'!C2761)&gt;0,'Translation-EN'!C2761,"")</f>
        <v>C532</v>
      </c>
      <c r="D2761" s="888" t="str">
        <f>IF(LEN('Translation-EN'!D2761)&gt;0,'Translation-EN'!D2761,"")</f>
        <v/>
      </c>
      <c r="E2761" s="995" t="str">
        <f>$E$2728</f>
        <v>ACA</v>
      </c>
      <c r="F2761" s="995"/>
      <c r="I2761" s="888"/>
      <c r="J2761" s="888"/>
      <c r="K2761" s="888"/>
      <c r="L2761" s="888"/>
      <c r="M2761" s="888"/>
      <c r="N2761" s="888"/>
      <c r="O2761" s="888"/>
      <c r="P2761" s="888"/>
      <c r="Q2761" s="888"/>
      <c r="R2761" s="888"/>
    </row>
    <row r="2762" spans="1:18" s="893" customFormat="1" x14ac:dyDescent="0.3">
      <c r="A2762" s="888" t="str">
        <f>IF(LEN('Translation-EN'!A2762)&gt;0,'Translation-EN'!A2762,"")</f>
        <v>Range</v>
      </c>
      <c r="B2762" s="888" t="str">
        <f>IF(LEN('Translation-EN'!B2762)&gt;0,'Translation-EN'!B2762,"")</f>
        <v>Master sheet</v>
      </c>
      <c r="C2762" s="888" t="str">
        <f>IF(LEN('Translation-EN'!C2762)&gt;0,'Translation-EN'!C2762,"")</f>
        <v>D532</v>
      </c>
      <c r="D2762" s="888" t="str">
        <f>IF(LEN('Translation-EN'!D2762)&gt;0,'Translation-EN'!D2762,"")</f>
        <v/>
      </c>
      <c r="E2762" s="893" t="str">
        <f>$E$2729</f>
        <v>Can. Moyenne prov. Atlantique</v>
      </c>
      <c r="I2762" s="888"/>
      <c r="J2762" s="888"/>
      <c r="K2762" s="888"/>
      <c r="L2762" s="888"/>
      <c r="M2762" s="888"/>
      <c r="N2762" s="888"/>
      <c r="O2762" s="888"/>
      <c r="P2762" s="888"/>
      <c r="Q2762" s="888"/>
      <c r="R2762" s="888"/>
    </row>
    <row r="2763" spans="1:18" s="893" customFormat="1" x14ac:dyDescent="0.3">
      <c r="A2763" s="888" t="str">
        <f>IF(LEN('Translation-EN'!A2763)&gt;0,'Translation-EN'!A2763,"")</f>
        <v>Range</v>
      </c>
      <c r="B2763" s="888" t="str">
        <f>IF(LEN('Translation-EN'!B2763)&gt;0,'Translation-EN'!B2763,"")</f>
        <v>Master sheet</v>
      </c>
      <c r="C2763" s="888" t="str">
        <f>IF(LEN('Translation-EN'!C2763)&gt;0,'Translation-EN'!C2763,"")</f>
        <v>B533</v>
      </c>
      <c r="D2763" s="888" t="str">
        <f>IF(LEN('Translation-EN'!D2763)&gt;0,'Translation-EN'!D2763,"")</f>
        <v/>
      </c>
      <c r="E2763" s="893" t="str">
        <f>$E$2547</f>
        <v>Béton - 35 MPa, 20% FA, GU</v>
      </c>
      <c r="I2763" s="888"/>
      <c r="J2763" s="888"/>
      <c r="K2763" s="888"/>
      <c r="L2763" s="888"/>
      <c r="M2763" s="888"/>
      <c r="N2763" s="888"/>
      <c r="O2763" s="888"/>
      <c r="P2763" s="888"/>
      <c r="Q2763" s="888"/>
      <c r="R2763" s="888"/>
    </row>
    <row r="2764" spans="1:18" s="893" customFormat="1" x14ac:dyDescent="0.3">
      <c r="A2764" s="888" t="str">
        <f>IF(LEN('Translation-EN'!A2764)&gt;0,'Translation-EN'!A2764,"")</f>
        <v>Range</v>
      </c>
      <c r="B2764" s="888" t="str">
        <f>IF(LEN('Translation-EN'!B2764)&gt;0,'Translation-EN'!B2764,"")</f>
        <v>Master sheet</v>
      </c>
      <c r="C2764" s="888" t="str">
        <f>IF(LEN('Translation-EN'!C2764)&gt;0,'Translation-EN'!C2764,"")</f>
        <v>C533</v>
      </c>
      <c r="D2764" s="888" t="str">
        <f>IF(LEN('Translation-EN'!D2764)&gt;0,'Translation-EN'!D2764,"")</f>
        <v/>
      </c>
      <c r="E2764" s="893" t="str">
        <f>$E$2728</f>
        <v>ACA</v>
      </c>
      <c r="I2764" s="888"/>
      <c r="J2764" s="888"/>
      <c r="K2764" s="888"/>
      <c r="L2764" s="888"/>
      <c r="M2764" s="888"/>
      <c r="N2764" s="888"/>
      <c r="O2764" s="888"/>
      <c r="P2764" s="888"/>
      <c r="Q2764" s="888"/>
      <c r="R2764" s="888"/>
    </row>
    <row r="2765" spans="1:18" s="893" customFormat="1" x14ac:dyDescent="0.3">
      <c r="A2765" s="888" t="str">
        <f>IF(LEN('Translation-EN'!A2765)&gt;0,'Translation-EN'!A2765,"")</f>
        <v>Range</v>
      </c>
      <c r="B2765" s="888" t="str">
        <f>IF(LEN('Translation-EN'!B2765)&gt;0,'Translation-EN'!B2765,"")</f>
        <v>Master sheet</v>
      </c>
      <c r="C2765" s="888" t="str">
        <f>IF(LEN('Translation-EN'!C2765)&gt;0,'Translation-EN'!C2765,"")</f>
        <v>D533</v>
      </c>
      <c r="D2765" s="888" t="str">
        <f>IF(LEN('Translation-EN'!D2765)&gt;0,'Translation-EN'!D2765,"")</f>
        <v/>
      </c>
      <c r="E2765" s="893" t="str">
        <f>$E$2729</f>
        <v>Can. Moyenne prov. Atlantique</v>
      </c>
      <c r="I2765" s="888"/>
      <c r="J2765" s="888"/>
      <c r="K2765" s="888"/>
      <c r="L2765" s="888"/>
      <c r="M2765" s="888"/>
      <c r="N2765" s="888"/>
      <c r="O2765" s="888"/>
      <c r="P2765" s="888"/>
      <c r="Q2765" s="888"/>
      <c r="R2765" s="888"/>
    </row>
    <row r="2766" spans="1:18" s="893" customFormat="1" x14ac:dyDescent="0.3">
      <c r="A2766" s="888" t="str">
        <f>IF(LEN('Translation-EN'!A2766)&gt;0,'Translation-EN'!A2766,"")</f>
        <v>Range</v>
      </c>
      <c r="B2766" s="888" t="str">
        <f>IF(LEN('Translation-EN'!B2766)&gt;0,'Translation-EN'!B2766,"")</f>
        <v>Master sheet</v>
      </c>
      <c r="C2766" s="888" t="str">
        <f>IF(LEN('Translation-EN'!C2766)&gt;0,'Translation-EN'!C2766,"")</f>
        <v>B534</v>
      </c>
      <c r="D2766" s="888" t="str">
        <f>IF(LEN('Translation-EN'!D2766)&gt;0,'Translation-EN'!D2766,"")</f>
        <v/>
      </c>
      <c r="E2766" s="893" t="str">
        <f>$E$2553</f>
        <v>Béton - 35 MPa, 30% FA, GU</v>
      </c>
      <c r="I2766" s="888"/>
      <c r="J2766" s="888"/>
      <c r="K2766" s="888"/>
      <c r="L2766" s="888"/>
      <c r="M2766" s="888"/>
      <c r="N2766" s="888"/>
      <c r="O2766" s="888"/>
      <c r="P2766" s="888"/>
      <c r="Q2766" s="888"/>
      <c r="R2766" s="888"/>
    </row>
    <row r="2767" spans="1:18" s="893" customFormat="1" x14ac:dyDescent="0.3">
      <c r="A2767" s="888" t="str">
        <f>IF(LEN('Translation-EN'!A2767)&gt;0,'Translation-EN'!A2767,"")</f>
        <v>Range</v>
      </c>
      <c r="B2767" s="888" t="str">
        <f>IF(LEN('Translation-EN'!B2767)&gt;0,'Translation-EN'!B2767,"")</f>
        <v>Master sheet</v>
      </c>
      <c r="C2767" s="888" t="str">
        <f>IF(LEN('Translation-EN'!C2767)&gt;0,'Translation-EN'!C2767,"")</f>
        <v>C534</v>
      </c>
      <c r="D2767" s="888" t="str">
        <f>IF(LEN('Translation-EN'!D2767)&gt;0,'Translation-EN'!D2767,"")</f>
        <v/>
      </c>
      <c r="E2767" s="893" t="str">
        <f>$E$2728</f>
        <v>ACA</v>
      </c>
      <c r="I2767" s="888"/>
      <c r="J2767" s="888"/>
      <c r="K2767" s="888"/>
      <c r="L2767" s="888"/>
      <c r="M2767" s="888"/>
      <c r="N2767" s="888"/>
      <c r="O2767" s="888"/>
      <c r="P2767" s="888"/>
      <c r="Q2767" s="888"/>
      <c r="R2767" s="888"/>
    </row>
    <row r="2768" spans="1:18" s="893" customFormat="1" x14ac:dyDescent="0.3">
      <c r="A2768" s="888" t="str">
        <f>IF(LEN('Translation-EN'!A2768)&gt;0,'Translation-EN'!A2768,"")</f>
        <v>Range</v>
      </c>
      <c r="B2768" s="888" t="str">
        <f>IF(LEN('Translation-EN'!B2768)&gt;0,'Translation-EN'!B2768,"")</f>
        <v>Master sheet</v>
      </c>
      <c r="C2768" s="888" t="str">
        <f>IF(LEN('Translation-EN'!C2768)&gt;0,'Translation-EN'!C2768,"")</f>
        <v>D534</v>
      </c>
      <c r="D2768" s="888" t="str">
        <f>IF(LEN('Translation-EN'!D2768)&gt;0,'Translation-EN'!D2768,"")</f>
        <v/>
      </c>
      <c r="E2768" s="893" t="str">
        <f>$E$2729</f>
        <v>Can. Moyenne prov. Atlantique</v>
      </c>
      <c r="I2768" s="888"/>
      <c r="J2768" s="888"/>
      <c r="K2768" s="888"/>
      <c r="L2768" s="888"/>
      <c r="M2768" s="888"/>
      <c r="N2768" s="888"/>
      <c r="O2768" s="888"/>
      <c r="P2768" s="888"/>
      <c r="Q2768" s="888"/>
      <c r="R2768" s="888"/>
    </row>
    <row r="2769" spans="1:18" s="893" customFormat="1" x14ac:dyDescent="0.3">
      <c r="A2769" s="888" t="str">
        <f>IF(LEN('Translation-EN'!A2769)&gt;0,'Translation-EN'!A2769,"")</f>
        <v>Range</v>
      </c>
      <c r="B2769" s="888" t="str">
        <f>IF(LEN('Translation-EN'!B2769)&gt;0,'Translation-EN'!B2769,"")</f>
        <v>Master sheet</v>
      </c>
      <c r="C2769" s="888" t="str">
        <f>IF(LEN('Translation-EN'!C2769)&gt;0,'Translation-EN'!C2769,"")</f>
        <v>B535</v>
      </c>
      <c r="D2769" s="888" t="str">
        <f>IF(LEN('Translation-EN'!D2769)&gt;0,'Translation-EN'!D2769,"")</f>
        <v/>
      </c>
      <c r="E2769" s="893" t="str">
        <f>$E$2643</f>
        <v>Béton - 35 MPa, 40% FA, GU</v>
      </c>
      <c r="I2769" s="888"/>
      <c r="J2769" s="888"/>
      <c r="K2769" s="888"/>
      <c r="L2769" s="888"/>
      <c r="M2769" s="888"/>
      <c r="N2769" s="888"/>
      <c r="O2769" s="888"/>
      <c r="P2769" s="888"/>
      <c r="Q2769" s="888"/>
      <c r="R2769" s="888"/>
    </row>
    <row r="2770" spans="1:18" s="893" customFormat="1" x14ac:dyDescent="0.3">
      <c r="A2770" s="888" t="str">
        <f>IF(LEN('Translation-EN'!A2770)&gt;0,'Translation-EN'!A2770,"")</f>
        <v>Range</v>
      </c>
      <c r="B2770" s="888" t="str">
        <f>IF(LEN('Translation-EN'!B2770)&gt;0,'Translation-EN'!B2770,"")</f>
        <v>Master sheet</v>
      </c>
      <c r="C2770" s="888" t="str">
        <f>IF(LEN('Translation-EN'!C2770)&gt;0,'Translation-EN'!C2770,"")</f>
        <v>C535</v>
      </c>
      <c r="D2770" s="888" t="str">
        <f>IF(LEN('Translation-EN'!D2770)&gt;0,'Translation-EN'!D2770,"")</f>
        <v/>
      </c>
      <c r="E2770" s="893" t="str">
        <f>$E$2728</f>
        <v>ACA</v>
      </c>
      <c r="I2770" s="888"/>
      <c r="J2770" s="888"/>
      <c r="K2770" s="888"/>
      <c r="L2770" s="888"/>
      <c r="M2770" s="888"/>
      <c r="N2770" s="888"/>
      <c r="O2770" s="888"/>
      <c r="P2770" s="888"/>
      <c r="Q2770" s="888"/>
      <c r="R2770" s="888"/>
    </row>
    <row r="2771" spans="1:18" s="893" customFormat="1" x14ac:dyDescent="0.3">
      <c r="A2771" s="888" t="str">
        <f>IF(LEN('Translation-EN'!A2771)&gt;0,'Translation-EN'!A2771,"")</f>
        <v>Range</v>
      </c>
      <c r="B2771" s="888" t="str">
        <f>IF(LEN('Translation-EN'!B2771)&gt;0,'Translation-EN'!B2771,"")</f>
        <v>Master sheet</v>
      </c>
      <c r="C2771" s="888" t="str">
        <f>IF(LEN('Translation-EN'!C2771)&gt;0,'Translation-EN'!C2771,"")</f>
        <v>D535</v>
      </c>
      <c r="D2771" s="888" t="str">
        <f>IF(LEN('Translation-EN'!D2771)&gt;0,'Translation-EN'!D2771,"")</f>
        <v/>
      </c>
      <c r="E2771" s="893" t="str">
        <f>$E$2729</f>
        <v>Can. Moyenne prov. Atlantique</v>
      </c>
      <c r="I2771" s="888"/>
      <c r="J2771" s="888"/>
      <c r="K2771" s="888"/>
      <c r="L2771" s="888"/>
      <c r="M2771" s="888"/>
      <c r="N2771" s="888"/>
      <c r="O2771" s="888"/>
      <c r="P2771" s="888"/>
      <c r="Q2771" s="888"/>
      <c r="R2771" s="888"/>
    </row>
    <row r="2772" spans="1:18" s="893" customFormat="1" x14ac:dyDescent="0.3">
      <c r="A2772" s="888" t="str">
        <f>IF(LEN('Translation-EN'!A2772)&gt;0,'Translation-EN'!A2772,"")</f>
        <v>Range</v>
      </c>
      <c r="B2772" s="888" t="str">
        <f>IF(LEN('Translation-EN'!B2772)&gt;0,'Translation-EN'!B2772,"")</f>
        <v>Master sheet</v>
      </c>
      <c r="C2772" s="888" t="str">
        <f>IF(LEN('Translation-EN'!C2772)&gt;0,'Translation-EN'!C2772,"")</f>
        <v>B536</v>
      </c>
      <c r="D2772" s="888" t="str">
        <f>IF(LEN('Translation-EN'!D2772)&gt;0,'Translation-EN'!D2772,"")</f>
        <v/>
      </c>
      <c r="E2772" s="893" t="str">
        <f>$E$2556</f>
        <v>Béton - 25 MPa, GU</v>
      </c>
      <c r="I2772" s="888"/>
      <c r="J2772" s="888"/>
      <c r="K2772" s="888"/>
      <c r="L2772" s="888"/>
      <c r="M2772" s="888"/>
      <c r="N2772" s="888"/>
      <c r="O2772" s="888"/>
      <c r="P2772" s="888"/>
      <c r="Q2772" s="888"/>
      <c r="R2772" s="888"/>
    </row>
    <row r="2773" spans="1:18" s="893" customFormat="1" x14ac:dyDescent="0.3">
      <c r="A2773" s="888" t="str">
        <f>IF(LEN('Translation-EN'!A2773)&gt;0,'Translation-EN'!A2773,"")</f>
        <v>Range</v>
      </c>
      <c r="B2773" s="888" t="str">
        <f>IF(LEN('Translation-EN'!B2773)&gt;0,'Translation-EN'!B2773,"")</f>
        <v>Master sheet</v>
      </c>
      <c r="C2773" s="888" t="str">
        <f>IF(LEN('Translation-EN'!C2773)&gt;0,'Translation-EN'!C2773,"")</f>
        <v>C536</v>
      </c>
      <c r="D2773" s="888" t="str">
        <f>IF(LEN('Translation-EN'!D2773)&gt;0,'Translation-EN'!D2773,"")</f>
        <v/>
      </c>
      <c r="E2773" s="893" t="s">
        <v>3611</v>
      </c>
      <c r="I2773" s="888"/>
      <c r="J2773" s="888"/>
      <c r="K2773" s="888"/>
      <c r="L2773" s="888"/>
      <c r="M2773" s="888"/>
      <c r="N2773" s="888"/>
      <c r="O2773" s="888"/>
      <c r="P2773" s="888"/>
      <c r="Q2773" s="888"/>
      <c r="R2773" s="888"/>
    </row>
    <row r="2774" spans="1:18" s="893" customFormat="1" x14ac:dyDescent="0.3">
      <c r="A2774" s="888" t="str">
        <f>IF(LEN('Translation-EN'!A2774)&gt;0,'Translation-EN'!A2774,"")</f>
        <v>Range</v>
      </c>
      <c r="B2774" s="888" t="str">
        <f>IF(LEN('Translation-EN'!B2774)&gt;0,'Translation-EN'!B2774,"")</f>
        <v>Master sheet</v>
      </c>
      <c r="C2774" s="888" t="str">
        <f>IF(LEN('Translation-EN'!C2774)&gt;0,'Translation-EN'!C2774,"")</f>
        <v>D536</v>
      </c>
      <c r="D2774" s="888" t="str">
        <f>IF(LEN('Translation-EN'!D2774)&gt;0,'Translation-EN'!D2774,"")</f>
        <v/>
      </c>
      <c r="E2774" s="893" t="s">
        <v>6534</v>
      </c>
      <c r="I2774" s="888"/>
      <c r="J2774" s="888"/>
      <c r="K2774" s="888"/>
      <c r="L2774" s="888"/>
      <c r="M2774" s="888"/>
      <c r="N2774" s="888"/>
      <c r="O2774" s="888"/>
      <c r="P2774" s="888"/>
      <c r="Q2774" s="888"/>
      <c r="R2774" s="888"/>
    </row>
    <row r="2775" spans="1:18" s="893" customFormat="1" x14ac:dyDescent="0.3">
      <c r="A2775" s="888" t="str">
        <f>IF(LEN('Translation-EN'!A2775)&gt;0,'Translation-EN'!A2775,"")</f>
        <v>Range</v>
      </c>
      <c r="B2775" s="888" t="str">
        <f>IF(LEN('Translation-EN'!B2775)&gt;0,'Translation-EN'!B2775,"")</f>
        <v>Master sheet</v>
      </c>
      <c r="C2775" s="888" t="str">
        <f>IF(LEN('Translation-EN'!C2775)&gt;0,'Translation-EN'!C2775,"")</f>
        <v>B537</v>
      </c>
      <c r="D2775" s="888" t="str">
        <f>IF(LEN('Translation-EN'!D2775)&gt;0,'Translation-EN'!D2775,"")</f>
        <v/>
      </c>
      <c r="E2775" s="893" t="str">
        <f>$E$2499</f>
        <v>Béton -  25 MPa, 10% FA, GU</v>
      </c>
      <c r="I2775" s="888"/>
      <c r="J2775" s="888"/>
      <c r="K2775" s="888"/>
      <c r="L2775" s="888"/>
      <c r="M2775" s="888"/>
      <c r="N2775" s="888"/>
      <c r="O2775" s="888"/>
      <c r="P2775" s="888"/>
      <c r="Q2775" s="888"/>
      <c r="R2775" s="888"/>
    </row>
    <row r="2776" spans="1:18" s="893" customFormat="1" x14ac:dyDescent="0.3">
      <c r="A2776" s="888" t="str">
        <f>IF(LEN('Translation-EN'!A2776)&gt;0,'Translation-EN'!A2776,"")</f>
        <v>Range</v>
      </c>
      <c r="B2776" s="888" t="str">
        <f>IF(LEN('Translation-EN'!B2776)&gt;0,'Translation-EN'!B2776,"")</f>
        <v>Master sheet</v>
      </c>
      <c r="C2776" s="888" t="str">
        <f>IF(LEN('Translation-EN'!C2776)&gt;0,'Translation-EN'!C2776,"")</f>
        <v>C537</v>
      </c>
      <c r="D2776" s="888" t="str">
        <f>IF(LEN('Translation-EN'!D2776)&gt;0,'Translation-EN'!D2776,"")</f>
        <v/>
      </c>
      <c r="E2776" s="893" t="str">
        <f>$E$2773</f>
        <v>ARMCA</v>
      </c>
      <c r="I2776" s="888"/>
      <c r="J2776" s="888"/>
      <c r="K2776" s="888"/>
      <c r="L2776" s="888"/>
      <c r="M2776" s="888"/>
      <c r="N2776" s="888"/>
      <c r="O2776" s="888"/>
      <c r="P2776" s="888"/>
      <c r="Q2776" s="888"/>
      <c r="R2776" s="888"/>
    </row>
    <row r="2777" spans="1:18" s="893" customFormat="1" x14ac:dyDescent="0.3">
      <c r="A2777" s="888" t="str">
        <f>IF(LEN('Translation-EN'!A2777)&gt;0,'Translation-EN'!A2777,"")</f>
        <v>Range</v>
      </c>
      <c r="B2777" s="888" t="str">
        <f>IF(LEN('Translation-EN'!B2777)&gt;0,'Translation-EN'!B2777,"")</f>
        <v>Master sheet</v>
      </c>
      <c r="C2777" s="888" t="str">
        <f>IF(LEN('Translation-EN'!C2777)&gt;0,'Translation-EN'!C2777,"")</f>
        <v>D537</v>
      </c>
      <c r="D2777" s="888" t="str">
        <f>IF(LEN('Translation-EN'!D2777)&gt;0,'Translation-EN'!D2777,"")</f>
        <v/>
      </c>
      <c r="E2777" s="893" t="str">
        <f>$E$2774</f>
        <v>Can. Moyenne Alberta</v>
      </c>
      <c r="I2777" s="888"/>
      <c r="J2777" s="888"/>
      <c r="K2777" s="888"/>
      <c r="L2777" s="888"/>
      <c r="M2777" s="888"/>
      <c r="N2777" s="888"/>
      <c r="O2777" s="888"/>
      <c r="P2777" s="888"/>
      <c r="Q2777" s="888"/>
      <c r="R2777" s="888"/>
    </row>
    <row r="2778" spans="1:18" s="893" customFormat="1" x14ac:dyDescent="0.3">
      <c r="A2778" s="888" t="str">
        <f>IF(LEN('Translation-EN'!A2778)&gt;0,'Translation-EN'!A2778,"")</f>
        <v>Range</v>
      </c>
      <c r="B2778" s="888" t="str">
        <f>IF(LEN('Translation-EN'!B2778)&gt;0,'Translation-EN'!B2778,"")</f>
        <v>Master sheet</v>
      </c>
      <c r="C2778" s="888" t="str">
        <f>IF(LEN('Translation-EN'!C2778)&gt;0,'Translation-EN'!C2778,"")</f>
        <v>B538</v>
      </c>
      <c r="D2778" s="888" t="str">
        <f>IF(LEN('Translation-EN'!D2778)&gt;0,'Translation-EN'!D2778,"")</f>
        <v/>
      </c>
      <c r="E2778" s="893" t="str">
        <f>$E$2505</f>
        <v>Béton - 25 MPa, 20% FA, GU</v>
      </c>
      <c r="I2778" s="888"/>
      <c r="J2778" s="888"/>
      <c r="K2778" s="888"/>
      <c r="L2778" s="888"/>
      <c r="M2778" s="888"/>
      <c r="N2778" s="888"/>
      <c r="O2778" s="888"/>
      <c r="P2778" s="888"/>
      <c r="Q2778" s="888"/>
      <c r="R2778" s="888"/>
    </row>
    <row r="2779" spans="1:18" s="893" customFormat="1" x14ac:dyDescent="0.3">
      <c r="A2779" s="888" t="str">
        <f>IF(LEN('Translation-EN'!A2779)&gt;0,'Translation-EN'!A2779,"")</f>
        <v>Range</v>
      </c>
      <c r="B2779" s="888" t="str">
        <f>IF(LEN('Translation-EN'!B2779)&gt;0,'Translation-EN'!B2779,"")</f>
        <v>Master sheet</v>
      </c>
      <c r="C2779" s="888" t="str">
        <f>IF(LEN('Translation-EN'!C2779)&gt;0,'Translation-EN'!C2779,"")</f>
        <v>C538</v>
      </c>
      <c r="D2779" s="888" t="str">
        <f>IF(LEN('Translation-EN'!D2779)&gt;0,'Translation-EN'!D2779,"")</f>
        <v/>
      </c>
      <c r="E2779" s="893" t="str">
        <f>$E$2773</f>
        <v>ARMCA</v>
      </c>
      <c r="I2779" s="888"/>
      <c r="J2779" s="888"/>
      <c r="K2779" s="888"/>
      <c r="L2779" s="888"/>
      <c r="M2779" s="888"/>
      <c r="N2779" s="888"/>
      <c r="O2779" s="888"/>
      <c r="P2779" s="888"/>
      <c r="Q2779" s="888"/>
      <c r="R2779" s="888"/>
    </row>
    <row r="2780" spans="1:18" s="893" customFormat="1" x14ac:dyDescent="0.3">
      <c r="A2780" s="888" t="str">
        <f>IF(LEN('Translation-EN'!A2780)&gt;0,'Translation-EN'!A2780,"")</f>
        <v>Range</v>
      </c>
      <c r="B2780" s="888" t="str">
        <f>IF(LEN('Translation-EN'!B2780)&gt;0,'Translation-EN'!B2780,"")</f>
        <v>Master sheet</v>
      </c>
      <c r="C2780" s="888" t="str">
        <f>IF(LEN('Translation-EN'!C2780)&gt;0,'Translation-EN'!C2780,"")</f>
        <v>D538</v>
      </c>
      <c r="D2780" s="888" t="str">
        <f>IF(LEN('Translation-EN'!D2780)&gt;0,'Translation-EN'!D2780,"")</f>
        <v/>
      </c>
      <c r="E2780" s="893" t="str">
        <f>$E$2774</f>
        <v>Can. Moyenne Alberta</v>
      </c>
      <c r="I2780" s="888"/>
      <c r="J2780" s="888"/>
      <c r="K2780" s="888"/>
      <c r="L2780" s="888"/>
      <c r="M2780" s="888"/>
      <c r="N2780" s="888"/>
      <c r="O2780" s="888"/>
      <c r="P2780" s="888"/>
      <c r="Q2780" s="888"/>
      <c r="R2780" s="888"/>
    </row>
    <row r="2781" spans="1:18" s="893" customFormat="1" x14ac:dyDescent="0.3">
      <c r="A2781" s="888" t="str">
        <f>IF(LEN('Translation-EN'!A2781)&gt;0,'Translation-EN'!A2781,"")</f>
        <v>Range</v>
      </c>
      <c r="B2781" s="888" t="str">
        <f>IF(LEN('Translation-EN'!B2781)&gt;0,'Translation-EN'!B2781,"")</f>
        <v>Master sheet</v>
      </c>
      <c r="C2781" s="888" t="str">
        <f>IF(LEN('Translation-EN'!C2781)&gt;0,'Translation-EN'!C2781,"")</f>
        <v>B539</v>
      </c>
      <c r="D2781" s="888" t="str">
        <f>IF(LEN('Translation-EN'!D2781)&gt;0,'Translation-EN'!D2781,"")</f>
        <v/>
      </c>
      <c r="E2781" s="893" t="str">
        <f>$E$2571</f>
        <v>Béton - 30 MPa, GU</v>
      </c>
      <c r="I2781" s="888"/>
      <c r="J2781" s="888"/>
      <c r="K2781" s="888"/>
      <c r="L2781" s="888"/>
      <c r="M2781" s="888"/>
      <c r="N2781" s="888"/>
      <c r="O2781" s="888"/>
      <c r="P2781" s="888"/>
      <c r="Q2781" s="888"/>
      <c r="R2781" s="888"/>
    </row>
    <row r="2782" spans="1:18" s="893" customFormat="1" x14ac:dyDescent="0.3">
      <c r="A2782" s="888" t="str">
        <f>IF(LEN('Translation-EN'!A2782)&gt;0,'Translation-EN'!A2782,"")</f>
        <v>Range</v>
      </c>
      <c r="B2782" s="888" t="str">
        <f>IF(LEN('Translation-EN'!B2782)&gt;0,'Translation-EN'!B2782,"")</f>
        <v>Master sheet</v>
      </c>
      <c r="C2782" s="888" t="str">
        <f>IF(LEN('Translation-EN'!C2782)&gt;0,'Translation-EN'!C2782,"")</f>
        <v>C539</v>
      </c>
      <c r="D2782" s="888" t="str">
        <f>IF(LEN('Translation-EN'!D2782)&gt;0,'Translation-EN'!D2782,"")</f>
        <v/>
      </c>
      <c r="E2782" s="893" t="str">
        <f>$E$2773</f>
        <v>ARMCA</v>
      </c>
      <c r="I2782" s="888"/>
      <c r="J2782" s="888"/>
      <c r="K2782" s="888"/>
      <c r="L2782" s="888"/>
      <c r="M2782" s="888"/>
      <c r="N2782" s="888"/>
      <c r="O2782" s="888"/>
      <c r="P2782" s="888"/>
      <c r="Q2782" s="888"/>
      <c r="R2782" s="888"/>
    </row>
    <row r="2783" spans="1:18" s="893" customFormat="1" x14ac:dyDescent="0.3">
      <c r="A2783" s="888" t="str">
        <f>IF(LEN('Translation-EN'!A2783)&gt;0,'Translation-EN'!A2783,"")</f>
        <v>Range</v>
      </c>
      <c r="B2783" s="888" t="str">
        <f>IF(LEN('Translation-EN'!B2783)&gt;0,'Translation-EN'!B2783,"")</f>
        <v>Master sheet</v>
      </c>
      <c r="C2783" s="888" t="str">
        <f>IF(LEN('Translation-EN'!C2783)&gt;0,'Translation-EN'!C2783,"")</f>
        <v>D539</v>
      </c>
      <c r="D2783" s="888" t="str">
        <f>IF(LEN('Translation-EN'!D2783)&gt;0,'Translation-EN'!D2783,"")</f>
        <v/>
      </c>
      <c r="E2783" s="893" t="str">
        <f>$E$2774</f>
        <v>Can. Moyenne Alberta</v>
      </c>
      <c r="I2783" s="888"/>
      <c r="J2783" s="888"/>
      <c r="K2783" s="888"/>
      <c r="L2783" s="888"/>
      <c r="M2783" s="888"/>
      <c r="N2783" s="888"/>
      <c r="O2783" s="888"/>
      <c r="P2783" s="888"/>
      <c r="Q2783" s="888"/>
      <c r="R2783" s="888"/>
    </row>
    <row r="2784" spans="1:18" s="893" customFormat="1" x14ac:dyDescent="0.3">
      <c r="A2784" s="888" t="str">
        <f>IF(LEN('Translation-EN'!A2784)&gt;0,'Translation-EN'!A2784,"")</f>
        <v>Range</v>
      </c>
      <c r="B2784" s="888" t="str">
        <f>IF(LEN('Translation-EN'!B2784)&gt;0,'Translation-EN'!B2784,"")</f>
        <v>Master sheet</v>
      </c>
      <c r="C2784" s="888" t="str">
        <f>IF(LEN('Translation-EN'!C2784)&gt;0,'Translation-EN'!C2784,"")</f>
        <v>B540</v>
      </c>
      <c r="D2784" s="888" t="str">
        <f>IF(LEN('Translation-EN'!D2784)&gt;0,'Translation-EN'!D2784,"")</f>
        <v/>
      </c>
      <c r="E2784" s="893" t="str">
        <f>$E$2520</f>
        <v>Béton -  30 MPa, 10% FA, GU</v>
      </c>
      <c r="I2784" s="888"/>
      <c r="J2784" s="888"/>
      <c r="K2784" s="888"/>
      <c r="L2784" s="888"/>
      <c r="M2784" s="888"/>
      <c r="N2784" s="888"/>
      <c r="O2784" s="888"/>
      <c r="P2784" s="888"/>
      <c r="Q2784" s="888"/>
      <c r="R2784" s="888"/>
    </row>
    <row r="2785" spans="1:18" s="893" customFormat="1" x14ac:dyDescent="0.3">
      <c r="A2785" s="888" t="str">
        <f>IF(LEN('Translation-EN'!A2785)&gt;0,'Translation-EN'!A2785,"")</f>
        <v>Range</v>
      </c>
      <c r="B2785" s="888" t="str">
        <f>IF(LEN('Translation-EN'!B2785)&gt;0,'Translation-EN'!B2785,"")</f>
        <v>Master sheet</v>
      </c>
      <c r="C2785" s="888" t="str">
        <f>IF(LEN('Translation-EN'!C2785)&gt;0,'Translation-EN'!C2785,"")</f>
        <v>C540</v>
      </c>
      <c r="D2785" s="888" t="str">
        <f>IF(LEN('Translation-EN'!D2785)&gt;0,'Translation-EN'!D2785,"")</f>
        <v/>
      </c>
      <c r="E2785" s="893" t="str">
        <f>$E$2773</f>
        <v>ARMCA</v>
      </c>
      <c r="I2785" s="888"/>
      <c r="J2785" s="888"/>
      <c r="K2785" s="888"/>
      <c r="L2785" s="888"/>
      <c r="M2785" s="888"/>
      <c r="N2785" s="888"/>
      <c r="O2785" s="888"/>
      <c r="P2785" s="888"/>
      <c r="Q2785" s="888"/>
      <c r="R2785" s="888"/>
    </row>
    <row r="2786" spans="1:18" s="893" customFormat="1" x14ac:dyDescent="0.3">
      <c r="A2786" s="888" t="str">
        <f>IF(LEN('Translation-EN'!A2786)&gt;0,'Translation-EN'!A2786,"")</f>
        <v>Range</v>
      </c>
      <c r="B2786" s="888" t="str">
        <f>IF(LEN('Translation-EN'!B2786)&gt;0,'Translation-EN'!B2786,"")</f>
        <v>Master sheet</v>
      </c>
      <c r="C2786" s="888" t="str">
        <f>IF(LEN('Translation-EN'!C2786)&gt;0,'Translation-EN'!C2786,"")</f>
        <v>D540</v>
      </c>
      <c r="D2786" s="888" t="str">
        <f>IF(LEN('Translation-EN'!D2786)&gt;0,'Translation-EN'!D2786,"")</f>
        <v/>
      </c>
      <c r="E2786" s="1004" t="str">
        <f>$E$2774</f>
        <v>Can. Moyenne Alberta</v>
      </c>
      <c r="I2786" s="888"/>
      <c r="J2786" s="888"/>
      <c r="K2786" s="888"/>
      <c r="L2786" s="888"/>
      <c r="M2786" s="888"/>
      <c r="N2786" s="888"/>
      <c r="O2786" s="888"/>
      <c r="P2786" s="888"/>
      <c r="Q2786" s="888"/>
      <c r="R2786" s="888"/>
    </row>
    <row r="2787" spans="1:18" s="893" customFormat="1" x14ac:dyDescent="0.3">
      <c r="A2787" s="888" t="str">
        <f>IF(LEN('Translation-EN'!A2787)&gt;0,'Translation-EN'!A2787,"")</f>
        <v>Range</v>
      </c>
      <c r="B2787" s="888" t="str">
        <f>IF(LEN('Translation-EN'!B2787)&gt;0,'Translation-EN'!B2787,"")</f>
        <v>Master sheet</v>
      </c>
      <c r="C2787" s="888" t="str">
        <f>IF(LEN('Translation-EN'!C2787)&gt;0,'Translation-EN'!C2787,"")</f>
        <v>B541</v>
      </c>
      <c r="D2787" s="888" t="str">
        <f>IF(LEN('Translation-EN'!D2787)&gt;0,'Translation-EN'!D2787,"")</f>
        <v/>
      </c>
      <c r="E2787" s="1003" t="str">
        <f>$E$2526</f>
        <v>Béton - 30 MPa, 20% FA, GU</v>
      </c>
      <c r="I2787" s="888"/>
      <c r="J2787" s="888"/>
      <c r="K2787" s="888"/>
      <c r="L2787" s="888"/>
      <c r="M2787" s="888"/>
      <c r="N2787" s="888"/>
      <c r="O2787" s="888"/>
      <c r="P2787" s="888"/>
      <c r="Q2787" s="888"/>
      <c r="R2787" s="888"/>
    </row>
    <row r="2788" spans="1:18" s="893" customFormat="1" x14ac:dyDescent="0.3">
      <c r="A2788" s="888" t="str">
        <f>IF(LEN('Translation-EN'!A2788)&gt;0,'Translation-EN'!A2788,"")</f>
        <v>Range</v>
      </c>
      <c r="B2788" s="888" t="str">
        <f>IF(LEN('Translation-EN'!B2788)&gt;0,'Translation-EN'!B2788,"")</f>
        <v>Master sheet</v>
      </c>
      <c r="C2788" s="888" t="str">
        <f>IF(LEN('Translation-EN'!C2788)&gt;0,'Translation-EN'!C2788,"")</f>
        <v>C541</v>
      </c>
      <c r="D2788" s="888" t="str">
        <f>IF(LEN('Translation-EN'!D2788)&gt;0,'Translation-EN'!D2788,"")</f>
        <v/>
      </c>
      <c r="E2788" s="1003" t="str">
        <f>$E$2773</f>
        <v>ARMCA</v>
      </c>
      <c r="I2788" s="888"/>
      <c r="J2788" s="888"/>
      <c r="K2788" s="888"/>
      <c r="L2788" s="888"/>
      <c r="M2788" s="888"/>
      <c r="N2788" s="888"/>
      <c r="O2788" s="888"/>
      <c r="P2788" s="888"/>
      <c r="Q2788" s="888"/>
      <c r="R2788" s="888"/>
    </row>
    <row r="2789" spans="1:18" s="893" customFormat="1" x14ac:dyDescent="0.3">
      <c r="A2789" s="888" t="str">
        <f>IF(LEN('Translation-EN'!A2789)&gt;0,'Translation-EN'!A2789,"")</f>
        <v>Range</v>
      </c>
      <c r="B2789" s="888" t="str">
        <f>IF(LEN('Translation-EN'!B2789)&gt;0,'Translation-EN'!B2789,"")</f>
        <v>Master sheet</v>
      </c>
      <c r="C2789" s="888" t="str">
        <f>IF(LEN('Translation-EN'!C2789)&gt;0,'Translation-EN'!C2789,"")</f>
        <v>D541</v>
      </c>
      <c r="D2789" s="888" t="str">
        <f>IF(LEN('Translation-EN'!D2789)&gt;0,'Translation-EN'!D2789,"")</f>
        <v/>
      </c>
      <c r="E2789" s="1003" t="str">
        <f>$E$2774</f>
        <v>Can. Moyenne Alberta</v>
      </c>
      <c r="I2789" s="888"/>
      <c r="J2789" s="888"/>
      <c r="K2789" s="888"/>
      <c r="L2789" s="888"/>
      <c r="M2789" s="888"/>
      <c r="N2789" s="888"/>
      <c r="O2789" s="888"/>
      <c r="P2789" s="888"/>
      <c r="Q2789" s="888"/>
      <c r="R2789" s="888"/>
    </row>
    <row r="2790" spans="1:18" s="893" customFormat="1" x14ac:dyDescent="0.3">
      <c r="A2790" s="888" t="str">
        <f>IF(LEN('Translation-EN'!A2790)&gt;0,'Translation-EN'!A2790,"")</f>
        <v>Range</v>
      </c>
      <c r="B2790" s="888" t="str">
        <f>IF(LEN('Translation-EN'!B2790)&gt;0,'Translation-EN'!B2790,"")</f>
        <v>Master sheet</v>
      </c>
      <c r="C2790" s="888" t="str">
        <f>IF(LEN('Translation-EN'!C2790)&gt;0,'Translation-EN'!C2790,"")</f>
        <v>B542</v>
      </c>
      <c r="D2790" s="888" t="str">
        <f>IF(LEN('Translation-EN'!D2790)&gt;0,'Translation-EN'!D2790,"")</f>
        <v/>
      </c>
      <c r="E2790" s="1003" t="str">
        <f>$E$2586</f>
        <v>Béton - 35 MPa, GU</v>
      </c>
      <c r="I2790" s="888"/>
      <c r="J2790" s="888"/>
      <c r="K2790" s="888"/>
      <c r="L2790" s="888"/>
      <c r="M2790" s="888"/>
      <c r="N2790" s="888"/>
      <c r="O2790" s="888"/>
      <c r="P2790" s="888"/>
      <c r="Q2790" s="888"/>
      <c r="R2790" s="888"/>
    </row>
    <row r="2791" spans="1:18" s="893" customFormat="1" x14ac:dyDescent="0.3">
      <c r="A2791" s="888" t="str">
        <f>IF(LEN('Translation-EN'!A2791)&gt;0,'Translation-EN'!A2791,"")</f>
        <v>Range</v>
      </c>
      <c r="B2791" s="888" t="str">
        <f>IF(LEN('Translation-EN'!B2791)&gt;0,'Translation-EN'!B2791,"")</f>
        <v>Master sheet</v>
      </c>
      <c r="C2791" s="888" t="str">
        <f>IF(LEN('Translation-EN'!C2791)&gt;0,'Translation-EN'!C2791,"")</f>
        <v>C542</v>
      </c>
      <c r="D2791" s="888" t="str">
        <f>IF(LEN('Translation-EN'!D2791)&gt;0,'Translation-EN'!D2791,"")</f>
        <v/>
      </c>
      <c r="E2791" s="893" t="str">
        <f>$E$2773</f>
        <v>ARMCA</v>
      </c>
      <c r="I2791" s="888"/>
      <c r="J2791" s="888"/>
      <c r="K2791" s="888"/>
      <c r="L2791" s="888"/>
      <c r="M2791" s="888"/>
      <c r="N2791" s="888"/>
      <c r="O2791" s="888"/>
      <c r="P2791" s="888"/>
      <c r="Q2791" s="888"/>
      <c r="R2791" s="888"/>
    </row>
    <row r="2792" spans="1:18" s="893" customFormat="1" x14ac:dyDescent="0.3">
      <c r="A2792" s="888" t="str">
        <f>IF(LEN('Translation-EN'!A2792)&gt;0,'Translation-EN'!A2792,"")</f>
        <v>Range</v>
      </c>
      <c r="B2792" s="888" t="str">
        <f>IF(LEN('Translation-EN'!B2792)&gt;0,'Translation-EN'!B2792,"")</f>
        <v>Master sheet</v>
      </c>
      <c r="C2792" s="888" t="str">
        <f>IF(LEN('Translation-EN'!C2792)&gt;0,'Translation-EN'!C2792,"")</f>
        <v>D542</v>
      </c>
      <c r="D2792" s="888" t="str">
        <f>IF(LEN('Translation-EN'!D2792)&gt;0,'Translation-EN'!D2792,"")</f>
        <v/>
      </c>
      <c r="E2792" s="893" t="str">
        <f>$E$2774</f>
        <v>Can. Moyenne Alberta</v>
      </c>
      <c r="I2792" s="888"/>
      <c r="J2792" s="888"/>
      <c r="K2792" s="888"/>
      <c r="L2792" s="888"/>
      <c r="M2792" s="888"/>
      <c r="N2792" s="888"/>
      <c r="O2792" s="888"/>
      <c r="P2792" s="888"/>
      <c r="Q2792" s="888"/>
      <c r="R2792" s="888"/>
    </row>
    <row r="2793" spans="1:18" s="893" customFormat="1" x14ac:dyDescent="0.3">
      <c r="A2793" s="888" t="str">
        <f>IF(LEN('Translation-EN'!A2793)&gt;0,'Translation-EN'!A2793,"")</f>
        <v>Range</v>
      </c>
      <c r="B2793" s="888" t="str">
        <f>IF(LEN('Translation-EN'!B2793)&gt;0,'Translation-EN'!B2793,"")</f>
        <v>Master sheet</v>
      </c>
      <c r="C2793" s="888" t="str">
        <f>IF(LEN('Translation-EN'!C2793)&gt;0,'Translation-EN'!C2793,"")</f>
        <v>B543</v>
      </c>
      <c r="D2793" s="888" t="str">
        <f>IF(LEN('Translation-EN'!D2793)&gt;0,'Translation-EN'!D2793,"")</f>
        <v/>
      </c>
      <c r="E2793" s="893" t="str">
        <f>$E$2541</f>
        <v>Béton -  35 MPa, 10% FA, GU</v>
      </c>
      <c r="I2793" s="888"/>
      <c r="J2793" s="888"/>
      <c r="K2793" s="888"/>
      <c r="L2793" s="888"/>
      <c r="M2793" s="888"/>
      <c r="N2793" s="888"/>
      <c r="O2793" s="888"/>
      <c r="P2793" s="888"/>
      <c r="Q2793" s="888"/>
      <c r="R2793" s="888"/>
    </row>
    <row r="2794" spans="1:18" s="893" customFormat="1" x14ac:dyDescent="0.3">
      <c r="A2794" s="888" t="str">
        <f>IF(LEN('Translation-EN'!A2794)&gt;0,'Translation-EN'!A2794,"")</f>
        <v>Range</v>
      </c>
      <c r="B2794" s="888" t="str">
        <f>IF(LEN('Translation-EN'!B2794)&gt;0,'Translation-EN'!B2794,"")</f>
        <v>Master sheet</v>
      </c>
      <c r="C2794" s="888" t="str">
        <f>IF(LEN('Translation-EN'!C2794)&gt;0,'Translation-EN'!C2794,"")</f>
        <v>C543</v>
      </c>
      <c r="D2794" s="888" t="str">
        <f>IF(LEN('Translation-EN'!D2794)&gt;0,'Translation-EN'!D2794,"")</f>
        <v/>
      </c>
      <c r="E2794" s="893" t="str">
        <f>$E$2773</f>
        <v>ARMCA</v>
      </c>
      <c r="I2794" s="888"/>
      <c r="J2794" s="888"/>
      <c r="K2794" s="888"/>
      <c r="L2794" s="888"/>
      <c r="M2794" s="888"/>
      <c r="N2794" s="888"/>
      <c r="O2794" s="888"/>
      <c r="P2794" s="888"/>
      <c r="Q2794" s="888"/>
      <c r="R2794" s="888"/>
    </row>
    <row r="2795" spans="1:18" s="893" customFormat="1" x14ac:dyDescent="0.3">
      <c r="A2795" s="888" t="str">
        <f>IF(LEN('Translation-EN'!A2795)&gt;0,'Translation-EN'!A2795,"")</f>
        <v>Range</v>
      </c>
      <c r="B2795" s="888" t="str">
        <f>IF(LEN('Translation-EN'!B2795)&gt;0,'Translation-EN'!B2795,"")</f>
        <v>Master sheet</v>
      </c>
      <c r="C2795" s="888" t="str">
        <f>IF(LEN('Translation-EN'!C2795)&gt;0,'Translation-EN'!C2795,"")</f>
        <v>D543</v>
      </c>
      <c r="D2795" s="888" t="str">
        <f>IF(LEN('Translation-EN'!D2795)&gt;0,'Translation-EN'!D2795,"")</f>
        <v/>
      </c>
      <c r="E2795" s="893" t="str">
        <f>$E$2774</f>
        <v>Can. Moyenne Alberta</v>
      </c>
      <c r="I2795" s="888"/>
      <c r="J2795" s="888"/>
      <c r="K2795" s="888"/>
      <c r="L2795" s="888"/>
      <c r="M2795" s="888"/>
      <c r="N2795" s="888"/>
      <c r="O2795" s="888"/>
      <c r="P2795" s="888"/>
      <c r="Q2795" s="888"/>
      <c r="R2795" s="888"/>
    </row>
    <row r="2796" spans="1:18" s="893" customFormat="1" x14ac:dyDescent="0.3">
      <c r="A2796" s="888" t="str">
        <f>IF(LEN('Translation-EN'!A2796)&gt;0,'Translation-EN'!A2796,"")</f>
        <v>Range</v>
      </c>
      <c r="B2796" s="888" t="str">
        <f>IF(LEN('Translation-EN'!B2796)&gt;0,'Translation-EN'!B2796,"")</f>
        <v>Master sheet</v>
      </c>
      <c r="C2796" s="888" t="str">
        <f>IF(LEN('Translation-EN'!C2796)&gt;0,'Translation-EN'!C2796,"")</f>
        <v>B544</v>
      </c>
      <c r="D2796" s="888" t="str">
        <f>IF(LEN('Translation-EN'!D2796)&gt;0,'Translation-EN'!D2796,"")</f>
        <v/>
      </c>
      <c r="E2796" s="893" t="str">
        <f>$E$2547</f>
        <v>Béton - 35 MPa, 20% FA, GU</v>
      </c>
      <c r="I2796" s="888"/>
      <c r="J2796" s="888"/>
      <c r="K2796" s="888"/>
      <c r="L2796" s="888"/>
      <c r="M2796" s="888"/>
      <c r="N2796" s="888"/>
      <c r="O2796" s="888"/>
      <c r="P2796" s="888"/>
      <c r="Q2796" s="888"/>
      <c r="R2796" s="888"/>
    </row>
    <row r="2797" spans="1:18" s="893" customFormat="1" x14ac:dyDescent="0.3">
      <c r="A2797" s="888" t="str">
        <f>IF(LEN('Translation-EN'!A2797)&gt;0,'Translation-EN'!A2797,"")</f>
        <v>Range</v>
      </c>
      <c r="B2797" s="888" t="str">
        <f>IF(LEN('Translation-EN'!B2797)&gt;0,'Translation-EN'!B2797,"")</f>
        <v>Master sheet</v>
      </c>
      <c r="C2797" s="888" t="str">
        <f>IF(LEN('Translation-EN'!C2797)&gt;0,'Translation-EN'!C2797,"")</f>
        <v>C544</v>
      </c>
      <c r="D2797" s="888" t="str">
        <f>IF(LEN('Translation-EN'!D2797)&gt;0,'Translation-EN'!D2797,"")</f>
        <v/>
      </c>
      <c r="E2797" s="893" t="str">
        <f>$E$2773</f>
        <v>ARMCA</v>
      </c>
      <c r="I2797" s="888"/>
      <c r="J2797" s="888"/>
      <c r="K2797" s="888"/>
      <c r="L2797" s="888"/>
      <c r="M2797" s="888"/>
      <c r="N2797" s="888"/>
      <c r="O2797" s="888"/>
      <c r="P2797" s="888"/>
      <c r="Q2797" s="888"/>
      <c r="R2797" s="888"/>
    </row>
    <row r="2798" spans="1:18" s="893" customFormat="1" x14ac:dyDescent="0.3">
      <c r="A2798" s="888" t="str">
        <f>IF(LEN('Translation-EN'!A2798)&gt;0,'Translation-EN'!A2798,"")</f>
        <v>Range</v>
      </c>
      <c r="B2798" s="888" t="str">
        <f>IF(LEN('Translation-EN'!B2798)&gt;0,'Translation-EN'!B2798,"")</f>
        <v>Master sheet</v>
      </c>
      <c r="C2798" s="888" t="str">
        <f>IF(LEN('Translation-EN'!C2798)&gt;0,'Translation-EN'!C2798,"")</f>
        <v>D544</v>
      </c>
      <c r="D2798" s="888" t="str">
        <f>IF(LEN('Translation-EN'!D2798)&gt;0,'Translation-EN'!D2798,"")</f>
        <v/>
      </c>
      <c r="E2798" s="893" t="str">
        <f>$E$2774</f>
        <v>Can. Moyenne Alberta</v>
      </c>
      <c r="I2798" s="888"/>
      <c r="J2798" s="888"/>
      <c r="K2798" s="888"/>
      <c r="L2798" s="888"/>
      <c r="M2798" s="888"/>
      <c r="N2798" s="888"/>
      <c r="O2798" s="888"/>
      <c r="P2798" s="888"/>
      <c r="Q2798" s="888"/>
      <c r="R2798" s="888"/>
    </row>
    <row r="2799" spans="1:18" s="893" customFormat="1" x14ac:dyDescent="0.3">
      <c r="A2799" s="888" t="str">
        <f>IF(LEN('Translation-EN'!A2799)&gt;0,'Translation-EN'!A2799,"")</f>
        <v>Range</v>
      </c>
      <c r="B2799" s="888" t="str">
        <f>IF(LEN('Translation-EN'!B2799)&gt;0,'Translation-EN'!B2799,"")</f>
        <v>Master sheet</v>
      </c>
      <c r="C2799" s="888" t="str">
        <f>IF(LEN('Translation-EN'!C2799)&gt;0,'Translation-EN'!C2799,"")</f>
        <v>B545</v>
      </c>
      <c r="D2799" s="888" t="str">
        <f>IF(LEN('Translation-EN'!D2799)&gt;0,'Translation-EN'!D2799,"")</f>
        <v/>
      </c>
      <c r="E2799" s="893" t="str">
        <f>$E$2335</f>
        <v>Revêtement de plancher en vinyle</v>
      </c>
      <c r="I2799" s="888"/>
      <c r="J2799" s="888"/>
      <c r="K2799" s="888"/>
      <c r="L2799" s="888"/>
      <c r="M2799" s="888"/>
      <c r="N2799" s="888"/>
      <c r="O2799" s="888"/>
      <c r="P2799" s="888"/>
      <c r="Q2799" s="888"/>
      <c r="R2799" s="888"/>
    </row>
    <row r="2800" spans="1:18" s="893" customFormat="1" x14ac:dyDescent="0.3">
      <c r="A2800" s="888" t="str">
        <f>IF(LEN('Translation-EN'!A2800)&gt;0,'Translation-EN'!A2800,"")</f>
        <v>Range</v>
      </c>
      <c r="B2800" s="888" t="str">
        <f>IF(LEN('Translation-EN'!B2800)&gt;0,'Translation-EN'!B2800,"")</f>
        <v>Master sheet</v>
      </c>
      <c r="C2800" s="888" t="str">
        <f>IF(LEN('Translation-EN'!C2800)&gt;0,'Translation-EN'!C2800,"")</f>
        <v>C545</v>
      </c>
      <c r="D2800" s="888" t="str">
        <f>IF(LEN('Translation-EN'!D2800)&gt;0,'Translation-EN'!D2800,"")</f>
        <v/>
      </c>
      <c r="E2800" s="893" t="s">
        <v>6535</v>
      </c>
      <c r="I2800" s="888"/>
      <c r="J2800" s="888"/>
      <c r="K2800" s="888"/>
      <c r="L2800" s="888"/>
      <c r="M2800" s="888"/>
      <c r="N2800" s="888"/>
      <c r="O2800" s="888"/>
      <c r="P2800" s="888"/>
      <c r="Q2800" s="888"/>
      <c r="R2800" s="888"/>
    </row>
    <row r="2801" spans="1:18" s="893" customFormat="1" x14ac:dyDescent="0.3">
      <c r="A2801" s="888" t="str">
        <f>IF(LEN('Translation-EN'!A2801)&gt;0,'Translation-EN'!A2801,"")</f>
        <v>Range</v>
      </c>
      <c r="B2801" s="888" t="str">
        <f>IF(LEN('Translation-EN'!B2801)&gt;0,'Translation-EN'!B2801,"")</f>
        <v>Master sheet</v>
      </c>
      <c r="C2801" s="888" t="str">
        <f>IF(LEN('Translation-EN'!C2801)&gt;0,'Translation-EN'!C2801,"")</f>
        <v>D545</v>
      </c>
      <c r="D2801" s="888" t="str">
        <f>IF(LEN('Translation-EN'!D2801)&gt;0,'Translation-EN'!D2801,"")</f>
        <v/>
      </c>
      <c r="E2801" s="893" t="s">
        <v>6536</v>
      </c>
      <c r="I2801" s="888"/>
      <c r="J2801" s="888"/>
      <c r="K2801" s="888"/>
      <c r="L2801" s="888"/>
      <c r="M2801" s="888"/>
      <c r="N2801" s="888"/>
      <c r="O2801" s="888"/>
      <c r="P2801" s="888"/>
      <c r="Q2801" s="888"/>
      <c r="R2801" s="888"/>
    </row>
    <row r="2802" spans="1:18" s="893" customFormat="1" x14ac:dyDescent="0.3">
      <c r="A2802" s="888" t="str">
        <f>IF(LEN('Translation-EN'!A2802)&gt;0,'Translation-EN'!A2802,"")</f>
        <v>Range</v>
      </c>
      <c r="B2802" s="888" t="str">
        <f>IF(LEN('Translation-EN'!B2802)&gt;0,'Translation-EN'!B2802,"")</f>
        <v>Master sheet</v>
      </c>
      <c r="C2802" s="888" t="str">
        <f>IF(LEN('Translation-EN'!C2802)&gt;0,'Translation-EN'!C2802,"")</f>
        <v>B546</v>
      </c>
      <c r="D2802" s="888" t="str">
        <f>IF(LEN('Translation-EN'!D2802)&gt;0,'Translation-EN'!D2802,"")</f>
        <v/>
      </c>
      <c r="E2802" s="893" t="str">
        <f>$E$2027</f>
        <v>Revêtement de plancher en linoléum</v>
      </c>
      <c r="I2802" s="888"/>
      <c r="J2802" s="888"/>
      <c r="K2802" s="888"/>
      <c r="L2802" s="888"/>
      <c r="M2802" s="888"/>
      <c r="N2802" s="888"/>
      <c r="O2802" s="888"/>
      <c r="P2802" s="888"/>
      <c r="Q2802" s="888"/>
      <c r="R2802" s="888"/>
    </row>
    <row r="2803" spans="1:18" s="893" customFormat="1" x14ac:dyDescent="0.3">
      <c r="A2803" s="888" t="str">
        <f>IF(LEN('Translation-EN'!A2803)&gt;0,'Translation-EN'!A2803,"")</f>
        <v>Range</v>
      </c>
      <c r="B2803" s="888" t="str">
        <f>IF(LEN('Translation-EN'!B2803)&gt;0,'Translation-EN'!B2803,"")</f>
        <v>Master sheet</v>
      </c>
      <c r="C2803" s="888" t="str">
        <f>IF(LEN('Translation-EN'!C2803)&gt;0,'Translation-EN'!C2803,"")</f>
        <v>C546</v>
      </c>
      <c r="D2803" s="888" t="str">
        <f>IF(LEN('Translation-EN'!D2803)&gt;0,'Translation-EN'!D2803,"")</f>
        <v/>
      </c>
      <c r="E2803" s="893" t="str">
        <f>$E$2044</f>
        <v>Gerflor</v>
      </c>
      <c r="I2803" s="888"/>
      <c r="J2803" s="888"/>
      <c r="K2803" s="888"/>
      <c r="L2803" s="888"/>
      <c r="M2803" s="888"/>
      <c r="N2803" s="888"/>
      <c r="O2803" s="888"/>
      <c r="P2803" s="888"/>
      <c r="Q2803" s="888"/>
      <c r="R2803" s="888"/>
    </row>
    <row r="2804" spans="1:18" s="893" customFormat="1" x14ac:dyDescent="0.3">
      <c r="A2804" s="888" t="str">
        <f>IF(LEN('Translation-EN'!A2804)&gt;0,'Translation-EN'!A2804,"")</f>
        <v>Range</v>
      </c>
      <c r="B2804" s="888" t="str">
        <f>IF(LEN('Translation-EN'!B2804)&gt;0,'Translation-EN'!B2804,"")</f>
        <v>Master sheet</v>
      </c>
      <c r="C2804" s="888" t="str">
        <f>IF(LEN('Translation-EN'!C2804)&gt;0,'Translation-EN'!C2804,"")</f>
        <v>D546</v>
      </c>
      <c r="D2804" s="888" t="str">
        <f>IF(LEN('Translation-EN'!D2804)&gt;0,'Translation-EN'!D2804,"")</f>
        <v/>
      </c>
      <c r="E2804" s="893" t="s">
        <v>6537</v>
      </c>
      <c r="I2804" s="888"/>
      <c r="J2804" s="888"/>
      <c r="K2804" s="888"/>
      <c r="L2804" s="888"/>
      <c r="M2804" s="888"/>
      <c r="N2804" s="888"/>
      <c r="O2804" s="888"/>
      <c r="P2804" s="888"/>
      <c r="Q2804" s="888"/>
      <c r="R2804" s="888"/>
    </row>
    <row r="2805" spans="1:18" s="893" customFormat="1" x14ac:dyDescent="0.3">
      <c r="A2805" s="888" t="str">
        <f>IF(LEN('Translation-EN'!A2805)&gt;0,'Translation-EN'!A2805,"")</f>
        <v>Range</v>
      </c>
      <c r="B2805" s="888" t="str">
        <f>IF(LEN('Translation-EN'!B2805)&gt;0,'Translation-EN'!B2805,"")</f>
        <v>Master sheet</v>
      </c>
      <c r="C2805" s="888" t="str">
        <f>IF(LEN('Translation-EN'!C2805)&gt;0,'Translation-EN'!C2805,"")</f>
        <v>E546</v>
      </c>
      <c r="D2805" s="888" t="str">
        <f>IF(LEN('Translation-EN'!D2805)&gt;0,'Translation-EN'!D2805,"")</f>
        <v/>
      </c>
      <c r="E2805" s="893" t="str">
        <f>$E$2034</f>
        <v>linoléum en feuille de 2,5 mm</v>
      </c>
      <c r="I2805" s="888"/>
      <c r="J2805" s="888"/>
      <c r="K2805" s="888"/>
      <c r="L2805" s="888"/>
      <c r="M2805" s="888"/>
      <c r="N2805" s="888"/>
      <c r="O2805" s="888"/>
      <c r="P2805" s="888"/>
      <c r="Q2805" s="888"/>
      <c r="R2805" s="888"/>
    </row>
    <row r="2806" spans="1:18" s="893" customFormat="1" x14ac:dyDescent="0.3">
      <c r="A2806" s="888" t="str">
        <f>IF(LEN('Translation-EN'!A2806)&gt;0,'Translation-EN'!A2806,"")</f>
        <v>Range</v>
      </c>
      <c r="B2806" s="888" t="str">
        <f>IF(LEN('Translation-EN'!B2806)&gt;0,'Translation-EN'!B2806,"")</f>
        <v>Master sheet</v>
      </c>
      <c r="C2806" s="888" t="str">
        <f>IF(LEN('Translation-EN'!C2806)&gt;0,'Translation-EN'!C2806,"")</f>
        <v>B547</v>
      </c>
      <c r="D2806" s="888" t="str">
        <f>IF(LEN('Translation-EN'!D2806)&gt;0,'Translation-EN'!D2806,"")</f>
        <v/>
      </c>
      <c r="E2806" s="893" t="str">
        <f>$E$1908</f>
        <v>Fibre de verre en vrac</v>
      </c>
      <c r="I2806" s="888"/>
      <c r="J2806" s="888"/>
      <c r="K2806" s="888"/>
      <c r="L2806" s="888"/>
      <c r="M2806" s="888"/>
      <c r="N2806" s="888"/>
      <c r="O2806" s="888"/>
      <c r="P2806" s="888"/>
      <c r="Q2806" s="888"/>
      <c r="R2806" s="888"/>
    </row>
    <row r="2807" spans="1:18" s="893" customFormat="1" x14ac:dyDescent="0.3">
      <c r="A2807" s="888" t="str">
        <f>IF(LEN('Translation-EN'!A2807)&gt;0,'Translation-EN'!A2807,"")</f>
        <v>Range</v>
      </c>
      <c r="B2807" s="888" t="str">
        <f>IF(LEN('Translation-EN'!B2807)&gt;0,'Translation-EN'!B2807,"")</f>
        <v>Master sheet</v>
      </c>
      <c r="C2807" s="888" t="str">
        <f>IF(LEN('Translation-EN'!C2807)&gt;0,'Translation-EN'!C2807,"")</f>
        <v>C547</v>
      </c>
      <c r="D2807" s="888" t="str">
        <f>IF(LEN('Translation-EN'!D2807)&gt;0,'Translation-EN'!D2807,"")</f>
        <v/>
      </c>
      <c r="E2807" s="893" t="str">
        <f>$E$1898</f>
        <v>Johns Manville</v>
      </c>
      <c r="I2807" s="888"/>
      <c r="J2807" s="888"/>
      <c r="K2807" s="888"/>
      <c r="L2807" s="888"/>
      <c r="M2807" s="888"/>
      <c r="N2807" s="888"/>
      <c r="O2807" s="888"/>
      <c r="P2807" s="888"/>
      <c r="Q2807" s="888"/>
      <c r="R2807" s="888"/>
    </row>
    <row r="2808" spans="1:18" s="893" customFormat="1" x14ac:dyDescent="0.3">
      <c r="A2808" s="888" t="str">
        <f>IF(LEN('Translation-EN'!A2808)&gt;0,'Translation-EN'!A2808,"")</f>
        <v>Range</v>
      </c>
      <c r="B2808" s="888" t="str">
        <f>IF(LEN('Translation-EN'!B2808)&gt;0,'Translation-EN'!B2808,"")</f>
        <v>Master sheet</v>
      </c>
      <c r="C2808" s="888" t="str">
        <f>IF(LEN('Translation-EN'!C2808)&gt;0,'Translation-EN'!C2808,"")</f>
        <v>D547</v>
      </c>
      <c r="D2808" s="888" t="str">
        <f>IF(LEN('Translation-EN'!D2808)&gt;0,'Translation-EN'!D2808,"")</f>
        <v/>
      </c>
      <c r="E2808" s="893" t="s">
        <v>6538</v>
      </c>
      <c r="I2808" s="888"/>
      <c r="J2808" s="888"/>
      <c r="K2808" s="888"/>
      <c r="L2808" s="888"/>
      <c r="M2808" s="888"/>
      <c r="N2808" s="888"/>
      <c r="O2808" s="888"/>
      <c r="P2808" s="888"/>
      <c r="Q2808" s="888"/>
      <c r="R2808" s="888"/>
    </row>
    <row r="2809" spans="1:18" s="893" customFormat="1" x14ac:dyDescent="0.3">
      <c r="A2809" s="888" t="str">
        <f>IF(LEN('Translation-EN'!A2809)&gt;0,'Translation-EN'!A2809,"")</f>
        <v>Range</v>
      </c>
      <c r="B2809" s="888" t="str">
        <f>IF(LEN('Translation-EN'!B2809)&gt;0,'Translation-EN'!B2809,"")</f>
        <v>Master sheet</v>
      </c>
      <c r="C2809" s="888" t="str">
        <f>IF(LEN('Translation-EN'!C2809)&gt;0,'Translation-EN'!C2809,"")</f>
        <v>E547</v>
      </c>
      <c r="D2809" s="888" t="str">
        <f>IF(LEN('Translation-EN'!D2809)&gt;0,'Translation-EN'!D2809,"")</f>
        <v/>
      </c>
      <c r="E2809" s="893" t="s">
        <v>6539</v>
      </c>
      <c r="I2809" s="888"/>
      <c r="J2809" s="888"/>
      <c r="K2809" s="888"/>
      <c r="L2809" s="888"/>
      <c r="M2809" s="888"/>
      <c r="N2809" s="888"/>
      <c r="O2809" s="888"/>
      <c r="P2809" s="888"/>
      <c r="Q2809" s="888"/>
      <c r="R2809" s="888"/>
    </row>
    <row r="2810" spans="1:18" s="893" customFormat="1" x14ac:dyDescent="0.3">
      <c r="A2810" s="888" t="str">
        <f>IF(LEN('Translation-EN'!A2810)&gt;0,'Translation-EN'!A2810,"")</f>
        <v>Range</v>
      </c>
      <c r="B2810" s="888" t="str">
        <f>IF(LEN('Translation-EN'!B2810)&gt;0,'Translation-EN'!B2810,"")</f>
        <v>Master sheet</v>
      </c>
      <c r="C2810" s="888" t="str">
        <f>IF(LEN('Translation-EN'!C2810)&gt;0,'Translation-EN'!C2810,"")</f>
        <v>B548</v>
      </c>
      <c r="D2810" s="888" t="str">
        <f>IF(LEN('Translation-EN'!D2810)&gt;0,'Translation-EN'!D2810,"")</f>
        <v/>
      </c>
      <c r="E2810" s="893" t="str">
        <f>$E$2355</f>
        <v>Fenêtre – sous-fenêtre double</v>
      </c>
      <c r="I2810" s="888"/>
      <c r="J2810" s="888"/>
      <c r="K2810" s="888"/>
      <c r="L2810" s="888"/>
      <c r="M2810" s="888"/>
      <c r="N2810" s="888"/>
      <c r="O2810" s="888"/>
      <c r="P2810" s="888"/>
      <c r="Q2810" s="888"/>
      <c r="R2810" s="888"/>
    </row>
    <row r="2811" spans="1:18" x14ac:dyDescent="0.3">
      <c r="A2811" s="888" t="str">
        <f>IF(LEN('Translation-EN'!A2811)&gt;0,'Translation-EN'!A2811,"")</f>
        <v>Range</v>
      </c>
      <c r="B2811" s="888" t="str">
        <f>IF(LEN('Translation-EN'!B2811)&gt;0,'Translation-EN'!B2811,"")</f>
        <v>Master sheet</v>
      </c>
      <c r="C2811" s="888" t="str">
        <f>IF(LEN('Translation-EN'!C2811)&gt;0,'Translation-EN'!C2811,"")</f>
        <v>C548</v>
      </c>
      <c r="D2811" s="888" t="str">
        <f>IF(LEN('Translation-EN'!D2811)&gt;0,'Translation-EN'!D2811,"")</f>
        <v/>
      </c>
      <c r="E2811" s="1056" t="s">
        <v>687</v>
      </c>
    </row>
    <row r="2812" spans="1:18" ht="15" customHeight="1" x14ac:dyDescent="0.3">
      <c r="A2812" s="888" t="str">
        <f>IF(LEN('Translation-EN'!A2812)&gt;0,'Translation-EN'!A2812,"")</f>
        <v>Range</v>
      </c>
      <c r="B2812" s="888" t="str">
        <f>IF(LEN('Translation-EN'!B2812)&gt;0,'Translation-EN'!B2812,"")</f>
        <v>Master sheet</v>
      </c>
      <c r="C2812" s="888" t="str">
        <f>IF(LEN('Translation-EN'!C2812)&gt;0,'Translation-EN'!C2812,"")</f>
        <v>D548</v>
      </c>
      <c r="D2812" s="888" t="str">
        <f>IF(LEN('Translation-EN'!D2812)&gt;0,'Translation-EN'!D2812,"")</f>
        <v/>
      </c>
      <c r="E2812" s="888" t="s">
        <v>6540</v>
      </c>
      <c r="F2812" s="888"/>
    </row>
    <row r="2813" spans="1:18" x14ac:dyDescent="0.3">
      <c r="A2813" s="888" t="str">
        <f>IF(LEN('Translation-EN'!A2813)&gt;0,'Translation-EN'!A2813,"")</f>
        <v>Range</v>
      </c>
      <c r="B2813" s="888" t="str">
        <f>IF(LEN('Translation-EN'!B2813)&gt;0,'Translation-EN'!B2813,"")</f>
        <v>Master sheet</v>
      </c>
      <c r="C2813" s="888" t="str">
        <f>IF(LEN('Translation-EN'!C2813)&gt;0,'Translation-EN'!C2813,"")</f>
        <v>E548</v>
      </c>
      <c r="D2813" s="888" t="str">
        <f>IF(LEN('Translation-EN'!D2813)&gt;0,'Translation-EN'!D2813,"")</f>
        <v/>
      </c>
      <c r="E2813" s="888" t="str">
        <f>$E$2362</f>
        <v>Charpente en bois, revêtement en aluminium</v>
      </c>
      <c r="F2813" s="888"/>
    </row>
    <row r="2814" spans="1:18" x14ac:dyDescent="0.3">
      <c r="A2814" s="888" t="str">
        <f>IF(LEN('Translation-EN'!A2814)&gt;0,'Translation-EN'!A2814,"")</f>
        <v>Range</v>
      </c>
      <c r="B2814" s="888" t="str">
        <f>IF(LEN('Translation-EN'!B2814)&gt;0,'Translation-EN'!B2814,"")</f>
        <v>Master sheet</v>
      </c>
      <c r="C2814" s="888" t="str">
        <f>IF(LEN('Translation-EN'!C2814)&gt;0,'Translation-EN'!C2814,"")</f>
        <v>B549</v>
      </c>
      <c r="D2814" s="888" t="str">
        <f>IF(LEN('Translation-EN'!D2814)&gt;0,'Translation-EN'!D2814,"")</f>
        <v/>
      </c>
      <c r="E2814" s="888" t="str">
        <f>$E$1845</f>
        <v>Cloisons sèches 1/2 po</v>
      </c>
      <c r="F2814" s="888"/>
    </row>
    <row r="2815" spans="1:18" x14ac:dyDescent="0.3">
      <c r="A2815" s="888" t="str">
        <f>IF(LEN('Translation-EN'!A2815)&gt;0,'Translation-EN'!A2815,"")</f>
        <v>Range</v>
      </c>
      <c r="B2815" s="888" t="str">
        <f>IF(LEN('Translation-EN'!B2815)&gt;0,'Translation-EN'!B2815,"")</f>
        <v>Master sheet</v>
      </c>
      <c r="C2815" s="888" t="str">
        <f>IF(LEN('Translation-EN'!C2815)&gt;0,'Translation-EN'!C2815,"")</f>
        <v>C549</v>
      </c>
      <c r="D2815" s="888" t="str">
        <f>IF(LEN('Translation-EN'!D2815)&gt;0,'Translation-EN'!D2815,"")</f>
        <v/>
      </c>
      <c r="E2815" s="888" t="s">
        <v>3628</v>
      </c>
      <c r="F2815" s="888"/>
    </row>
    <row r="2816" spans="1:18" x14ac:dyDescent="0.3">
      <c r="A2816" s="888" t="str">
        <f>IF(LEN('Translation-EN'!A2816)&gt;0,'Translation-EN'!A2816,"")</f>
        <v>Range</v>
      </c>
      <c r="B2816" s="888" t="str">
        <f>IF(LEN('Translation-EN'!B2816)&gt;0,'Translation-EN'!B2816,"")</f>
        <v>Master sheet</v>
      </c>
      <c r="C2816" s="888" t="str">
        <f>IF(LEN('Translation-EN'!C2816)&gt;0,'Translation-EN'!C2816,"")</f>
        <v>D549</v>
      </c>
      <c r="D2816" s="888" t="str">
        <f>IF(LEN('Translation-EN'!D2816)&gt;0,'Translation-EN'!D2816,"")</f>
        <v/>
      </c>
      <c r="E2816" s="888" t="s">
        <v>6541</v>
      </c>
      <c r="F2816" s="888"/>
    </row>
    <row r="2817" spans="1:6" x14ac:dyDescent="0.3">
      <c r="A2817" s="888" t="str">
        <f>IF(LEN('Translation-EN'!A2817)&gt;0,'Translation-EN'!A2817,"")</f>
        <v>Range</v>
      </c>
      <c r="B2817" s="888" t="str">
        <f>IF(LEN('Translation-EN'!B2817)&gt;0,'Translation-EN'!B2817,"")</f>
        <v>Master sheet</v>
      </c>
      <c r="C2817" s="888" t="str">
        <f>IF(LEN('Translation-EN'!C2817)&gt;0,'Translation-EN'!C2817,"")</f>
        <v>B550</v>
      </c>
      <c r="D2817" s="888" t="str">
        <f>IF(LEN('Translation-EN'!D2817)&gt;0,'Translation-EN'!D2817,"")</f>
        <v/>
      </c>
      <c r="E2817" s="888" t="s">
        <v>6542</v>
      </c>
      <c r="F2817" s="888" t="s">
        <v>3345</v>
      </c>
    </row>
    <row r="2818" spans="1:6" x14ac:dyDescent="0.3">
      <c r="A2818" s="888" t="str">
        <f>IF(LEN('Translation-EN'!A2818)&gt;0,'Translation-EN'!A2818,"")</f>
        <v>Range</v>
      </c>
      <c r="B2818" s="888" t="str">
        <f>IF(LEN('Translation-EN'!B2818)&gt;0,'Translation-EN'!B2818,"")</f>
        <v>Master sheet</v>
      </c>
      <c r="C2818" s="888" t="str">
        <f>IF(LEN('Translation-EN'!C2818)&gt;0,'Translation-EN'!C2818,"")</f>
        <v>C550</v>
      </c>
      <c r="D2818" s="888" t="str">
        <f>IF(LEN('Translation-EN'!D2818)&gt;0,'Translation-EN'!D2818,"")</f>
        <v/>
      </c>
      <c r="E2818" s="888" t="str">
        <f>$E$2815</f>
        <v>National Gypsum</v>
      </c>
      <c r="F2818" s="888"/>
    </row>
    <row r="2819" spans="1:6" x14ac:dyDescent="0.3">
      <c r="A2819" s="888" t="str">
        <f>IF(LEN('Translation-EN'!A2819)&gt;0,'Translation-EN'!A2819,"")</f>
        <v>Range</v>
      </c>
      <c r="B2819" s="888" t="str">
        <f>IF(LEN('Translation-EN'!B2819)&gt;0,'Translation-EN'!B2819,"")</f>
        <v>Master sheet</v>
      </c>
      <c r="C2819" s="888" t="str">
        <f>IF(LEN('Translation-EN'!C2819)&gt;0,'Translation-EN'!C2819,"")</f>
        <v>D550</v>
      </c>
      <c r="D2819" s="888" t="str">
        <f>IF(LEN('Translation-EN'!D2819)&gt;0,'Translation-EN'!D2819,"")</f>
        <v/>
      </c>
      <c r="E2819" s="888" t="s">
        <v>6543</v>
      </c>
      <c r="F2819" s="893" t="s">
        <v>2900</v>
      </c>
    </row>
    <row r="2820" spans="1:6" x14ac:dyDescent="0.3">
      <c r="A2820" s="888" t="str">
        <f>IF(LEN('Translation-EN'!A2820)&gt;0,'Translation-EN'!A2820,"")</f>
        <v>Range</v>
      </c>
      <c r="B2820" s="888" t="str">
        <f>IF(LEN('Translation-EN'!B2820)&gt;0,'Translation-EN'!B2820,"")</f>
        <v>Master sheet</v>
      </c>
      <c r="C2820" s="888" t="str">
        <f>IF(LEN('Translation-EN'!C2820)&gt;0,'Translation-EN'!C2820,"")</f>
        <v>E550</v>
      </c>
      <c r="D2820" s="888" t="str">
        <f>IF(LEN('Translation-EN'!D2820)&gt;0,'Translation-EN'!D2820,"")</f>
        <v/>
      </c>
      <c r="E2820" s="888" t="str">
        <f>$E$1854</f>
        <v>5/8'' type X</v>
      </c>
      <c r="F2820" s="888"/>
    </row>
    <row r="2821" spans="1:6" x14ac:dyDescent="0.3">
      <c r="A2821" s="888" t="str">
        <f>IF(LEN('Translation-EN'!A2821)&gt;0,'Translation-EN'!A2821,"")</f>
        <v>Range</v>
      </c>
      <c r="B2821" s="888" t="str">
        <f>IF(LEN('Translation-EN'!B2821)&gt;0,'Translation-EN'!B2821,"")</f>
        <v>Master sheet</v>
      </c>
      <c r="C2821" s="888" t="str">
        <f>IF(LEN('Translation-EN'!C2821)&gt;0,'Translation-EN'!C2821,"")</f>
        <v>B551</v>
      </c>
      <c r="D2821" s="888" t="str">
        <f>IF(LEN('Translation-EN'!D2821)&gt;0,'Translation-EN'!D2821,"")</f>
        <v/>
      </c>
      <c r="E2821" s="888" t="str">
        <f>$E$1640</f>
        <v>Tapis</v>
      </c>
      <c r="F2821" s="888" t="s">
        <v>3345</v>
      </c>
    </row>
    <row r="2822" spans="1:6" x14ac:dyDescent="0.3">
      <c r="A2822" s="888" t="str">
        <f>IF(LEN('Translation-EN'!A2822)&gt;0,'Translation-EN'!A2822,"")</f>
        <v>Range</v>
      </c>
      <c r="B2822" s="888" t="str">
        <f>IF(LEN('Translation-EN'!B2822)&gt;0,'Translation-EN'!B2822,"")</f>
        <v>Master sheet</v>
      </c>
      <c r="C2822" s="888" t="str">
        <f>IF(LEN('Translation-EN'!C2822)&gt;0,'Translation-EN'!C2822,"")</f>
        <v>C551</v>
      </c>
      <c r="D2822" s="888" t="str">
        <f>IF(LEN('Translation-EN'!D2822)&gt;0,'Translation-EN'!D2822,"")</f>
        <v/>
      </c>
      <c r="E2822" s="888" t="s">
        <v>3635</v>
      </c>
      <c r="F2822" s="888"/>
    </row>
    <row r="2823" spans="1:6" x14ac:dyDescent="0.3">
      <c r="A2823" s="888" t="str">
        <f>IF(LEN('Translation-EN'!A2823)&gt;0,'Translation-EN'!A2823,"")</f>
        <v>Range</v>
      </c>
      <c r="B2823" s="888" t="str">
        <f>IF(LEN('Translation-EN'!B2823)&gt;0,'Translation-EN'!B2823,"")</f>
        <v>Master sheet</v>
      </c>
      <c r="C2823" s="888" t="str">
        <f>IF(LEN('Translation-EN'!C2823)&gt;0,'Translation-EN'!C2823,"")</f>
        <v>D551</v>
      </c>
      <c r="D2823" s="888" t="str">
        <f>IF(LEN('Translation-EN'!D2823)&gt;0,'Translation-EN'!D2823,"")</f>
        <v/>
      </c>
      <c r="E2823" s="888" t="s">
        <v>6544</v>
      </c>
      <c r="F2823" s="888" t="s">
        <v>3404</v>
      </c>
    </row>
    <row r="2824" spans="1:6" x14ac:dyDescent="0.3">
      <c r="A2824" s="888" t="str">
        <f>IF(LEN('Translation-EN'!A2824)&gt;0,'Translation-EN'!A2824,"")</f>
        <v>Range</v>
      </c>
      <c r="B2824" s="888" t="str">
        <f>IF(LEN('Translation-EN'!B2824)&gt;0,'Translation-EN'!B2824,"")</f>
        <v>Master sheet</v>
      </c>
      <c r="C2824" s="888" t="str">
        <f>IF(LEN('Translation-EN'!C2824)&gt;0,'Translation-EN'!C2824,"")</f>
        <v>E551</v>
      </c>
      <c r="D2824" s="888" t="str">
        <f>IF(LEN('Translation-EN'!D2824)&gt;0,'Translation-EN'!D2824,"")</f>
        <v/>
      </c>
      <c r="E2824" s="1057" t="s">
        <v>6545</v>
      </c>
      <c r="F2824" s="888"/>
    </row>
    <row r="2825" spans="1:6" x14ac:dyDescent="0.3">
      <c r="A2825" s="888" t="str">
        <f>IF(LEN('Translation-EN'!A2825)&gt;0,'Translation-EN'!A2825,"")</f>
        <v>Range</v>
      </c>
      <c r="B2825" s="888" t="str">
        <f>IF(LEN('Translation-EN'!B2825)&gt;0,'Translation-EN'!B2825,"")</f>
        <v>Master sheet</v>
      </c>
      <c r="C2825" s="888" t="str">
        <f>IF(LEN('Translation-EN'!C2825)&gt;0,'Translation-EN'!C2825,"")</f>
        <v>B552</v>
      </c>
      <c r="D2825" s="888" t="str">
        <f>IF(LEN('Translation-EN'!D2825)&gt;0,'Translation-EN'!D2825,"")</f>
        <v/>
      </c>
      <c r="E2825" s="1057" t="str">
        <f>$E$2335</f>
        <v>Revêtement de plancher en vinyle</v>
      </c>
      <c r="F2825" s="888"/>
    </row>
    <row r="2826" spans="1:6" x14ac:dyDescent="0.3">
      <c r="A2826" s="888" t="str">
        <f>IF(LEN('Translation-EN'!A2826)&gt;0,'Translation-EN'!A2826,"")</f>
        <v>Range</v>
      </c>
      <c r="B2826" s="888" t="str">
        <f>IF(LEN('Translation-EN'!B2826)&gt;0,'Translation-EN'!B2826,"")</f>
        <v>Master sheet</v>
      </c>
      <c r="C2826" s="888" t="str">
        <f>IF(LEN('Translation-EN'!C2826)&gt;0,'Translation-EN'!C2826,"")</f>
        <v>C552</v>
      </c>
      <c r="D2826" s="888" t="str">
        <f>IF(LEN('Translation-EN'!D2826)&gt;0,'Translation-EN'!D2826,"")</f>
        <v/>
      </c>
      <c r="E2826" s="888" t="s">
        <v>3639</v>
      </c>
      <c r="F2826" s="888"/>
    </row>
    <row r="2827" spans="1:6" x14ac:dyDescent="0.3">
      <c r="A2827" s="888" t="str">
        <f>IF(LEN('Translation-EN'!A2827)&gt;0,'Translation-EN'!A2827,"")</f>
        <v>Range</v>
      </c>
      <c r="B2827" s="888" t="str">
        <f>IF(LEN('Translation-EN'!B2827)&gt;0,'Translation-EN'!B2827,"")</f>
        <v>Master sheet</v>
      </c>
      <c r="C2827" s="888" t="str">
        <f>IF(LEN('Translation-EN'!C2827)&gt;0,'Translation-EN'!C2827,"")</f>
        <v>D552</v>
      </c>
      <c r="D2827" s="888" t="str">
        <f>IF(LEN('Translation-EN'!D2827)&gt;0,'Translation-EN'!D2827,"")</f>
        <v/>
      </c>
      <c r="E2827" s="888" t="str">
        <f>$E$2801</f>
        <v>Carreau de vinyle de luxe</v>
      </c>
      <c r="F2827" s="888"/>
    </row>
    <row r="2828" spans="1:6" x14ac:dyDescent="0.3">
      <c r="A2828" s="888" t="str">
        <f>IF(LEN('Translation-EN'!A2828)&gt;0,'Translation-EN'!A2828,"")</f>
        <v>Range</v>
      </c>
      <c r="B2828" s="888" t="str">
        <f>IF(LEN('Translation-EN'!B2828)&gt;0,'Translation-EN'!B2828,"")</f>
        <v>Master sheet</v>
      </c>
      <c r="C2828" s="888" t="str">
        <f>IF(LEN('Translation-EN'!C2828)&gt;0,'Translation-EN'!C2828,"")</f>
        <v>E552</v>
      </c>
      <c r="D2828" s="888" t="str">
        <f>IF(LEN('Translation-EN'!D2828)&gt;0,'Translation-EN'!D2828,"")</f>
        <v/>
      </c>
      <c r="E2828" s="888" t="s">
        <v>6546</v>
      </c>
      <c r="F2828" s="888"/>
    </row>
    <row r="2829" spans="1:6" x14ac:dyDescent="0.3">
      <c r="A2829" s="888" t="str">
        <f>IF(LEN('Translation-EN'!A2829)&gt;0,'Translation-EN'!A2829,"")</f>
        <v>Range</v>
      </c>
      <c r="B2829" s="888" t="str">
        <f>IF(LEN('Translation-EN'!B2829)&gt;0,'Translation-EN'!B2829,"")</f>
        <v>Master sheet</v>
      </c>
      <c r="C2829" s="888" t="str">
        <f>IF(LEN('Translation-EN'!C2829)&gt;0,'Translation-EN'!C2829,"")</f>
        <v>B553</v>
      </c>
      <c r="D2829" s="888" t="str">
        <f>IF(LEN('Translation-EN'!D2829)&gt;0,'Translation-EN'!D2829,"")</f>
        <v/>
      </c>
      <c r="E2829" s="888" t="str">
        <f>$E$1569</f>
        <v>Bardeaux d’asphalte</v>
      </c>
      <c r="F2829" s="888"/>
    </row>
    <row r="2830" spans="1:6" x14ac:dyDescent="0.3">
      <c r="A2830" s="888" t="str">
        <f>IF(LEN('Translation-EN'!A2830)&gt;0,'Translation-EN'!A2830,"")</f>
        <v>Range</v>
      </c>
      <c r="B2830" s="888" t="str">
        <f>IF(LEN('Translation-EN'!B2830)&gt;0,'Translation-EN'!B2830,"")</f>
        <v>Master sheet</v>
      </c>
      <c r="C2830" s="888" t="str">
        <f>IF(LEN('Translation-EN'!C2830)&gt;0,'Translation-EN'!C2830,"")</f>
        <v>C553</v>
      </c>
      <c r="D2830" s="888" t="str">
        <f>IF(LEN('Translation-EN'!D2830)&gt;0,'Translation-EN'!D2830,"")</f>
        <v/>
      </c>
      <c r="E2830" s="888" t="str">
        <f>$E$1594</f>
        <v>GAF</v>
      </c>
      <c r="F2830" s="888"/>
    </row>
    <row r="2831" spans="1:6" x14ac:dyDescent="0.3">
      <c r="A2831" s="888" t="str">
        <f>IF(LEN('Translation-EN'!A2831)&gt;0,'Translation-EN'!A2831,"")</f>
        <v>Range</v>
      </c>
      <c r="B2831" s="888" t="str">
        <f>IF(LEN('Translation-EN'!B2831)&gt;0,'Translation-EN'!B2831,"")</f>
        <v>Master sheet</v>
      </c>
      <c r="C2831" s="888" t="str">
        <f>IF(LEN('Translation-EN'!C2831)&gt;0,'Translation-EN'!C2831,"")</f>
        <v>D553</v>
      </c>
      <c r="D2831" s="888" t="str">
        <f>IF(LEN('Translation-EN'!D2831)&gt;0,'Translation-EN'!D2831,"")</f>
        <v/>
      </c>
      <c r="E2831" s="888" t="s">
        <v>6547</v>
      </c>
      <c r="F2831" s="888"/>
    </row>
    <row r="2832" spans="1:6" x14ac:dyDescent="0.3">
      <c r="A2832" s="888" t="str">
        <f>IF(LEN('Translation-EN'!A2832)&gt;0,'Translation-EN'!A2832,"")</f>
        <v>Range</v>
      </c>
      <c r="B2832" s="888" t="str">
        <f>IF(LEN('Translation-EN'!B2832)&gt;0,'Translation-EN'!B2832,"")</f>
        <v>Master sheet</v>
      </c>
      <c r="C2832" s="888" t="str">
        <f>IF(LEN('Translation-EN'!C2832)&gt;0,'Translation-EN'!C2832,"")</f>
        <v>B554</v>
      </c>
      <c r="D2832" s="888" t="str">
        <f>IF(LEN('Translation-EN'!D2832)&gt;0,'Translation-EN'!D2832,"")</f>
        <v/>
      </c>
      <c r="E2832" s="888" t="str">
        <f>$E$2027</f>
        <v>Revêtement de plancher en linoléum</v>
      </c>
    </row>
    <row r="2833" spans="1:7" x14ac:dyDescent="0.3">
      <c r="A2833" s="888" t="str">
        <f>IF(LEN('Translation-EN'!A2833)&gt;0,'Translation-EN'!A2833,"")</f>
        <v>Range</v>
      </c>
      <c r="B2833" s="888" t="str">
        <f>IF(LEN('Translation-EN'!B2833)&gt;0,'Translation-EN'!B2833,"")</f>
        <v>Master sheet</v>
      </c>
      <c r="C2833" s="888" t="str">
        <f>IF(LEN('Translation-EN'!C2833)&gt;0,'Translation-EN'!C2833,"")</f>
        <v>C554</v>
      </c>
      <c r="D2833" s="888" t="str">
        <f>IF(LEN('Translation-EN'!D2833)&gt;0,'Translation-EN'!D2833,"")</f>
        <v/>
      </c>
      <c r="E2833" s="888" t="str">
        <f>$E$2826</f>
        <v>Mannington</v>
      </c>
    </row>
    <row r="2834" spans="1:7" x14ac:dyDescent="0.3">
      <c r="A2834" s="888" t="str">
        <f>IF(LEN('Translation-EN'!A2834)&gt;0,'Translation-EN'!A2834,"")</f>
        <v>Range</v>
      </c>
      <c r="B2834" s="888" t="str">
        <f>IF(LEN('Translation-EN'!B2834)&gt;0,'Translation-EN'!B2834,"")</f>
        <v>Master sheet</v>
      </c>
      <c r="C2834" s="888" t="str">
        <f>IF(LEN('Translation-EN'!C2834)&gt;0,'Translation-EN'!C2834,"")</f>
        <v>D554</v>
      </c>
      <c r="D2834" s="888" t="str">
        <f>IF(LEN('Translation-EN'!D2834)&gt;0,'Translation-EN'!D2834,"")</f>
        <v/>
      </c>
      <c r="E2834" s="888" t="s">
        <v>6548</v>
      </c>
    </row>
    <row r="2835" spans="1:7" ht="27" customHeight="1" x14ac:dyDescent="0.3">
      <c r="A2835" s="888" t="str">
        <f>IF(LEN('Translation-EN'!A2835)&gt;0,'Translation-EN'!A2835,"")</f>
        <v>Range</v>
      </c>
      <c r="B2835" s="888" t="str">
        <f>IF(LEN('Translation-EN'!B2835)&gt;0,'Translation-EN'!B2835,"")</f>
        <v>Master sheet</v>
      </c>
      <c r="C2835" s="888" t="str">
        <f>IF(LEN('Translation-EN'!C2835)&gt;0,'Translation-EN'!C2835,"")</f>
        <v>E554</v>
      </c>
      <c r="D2835" s="888" t="str">
        <f>IF(LEN('Translation-EN'!D2835)&gt;0,'Translation-EN'!D2835,"")</f>
        <v/>
      </c>
      <c r="E2835" s="1058" t="s">
        <v>6549</v>
      </c>
    </row>
    <row r="2836" spans="1:7" ht="93.75" customHeight="1" x14ac:dyDescent="0.3">
      <c r="A2836" s="888" t="str">
        <f>IF(LEN('Translation-EN'!A2836)&gt;0,'Translation-EN'!A2836,"")</f>
        <v>Range</v>
      </c>
      <c r="B2836" s="888" t="str">
        <f>IF(LEN('Translation-EN'!B2836)&gt;0,'Translation-EN'!B2836,"")</f>
        <v>Master sheet</v>
      </c>
      <c r="C2836" s="888" t="str">
        <f>IF(LEN('Translation-EN'!C2836)&gt;0,'Translation-EN'!C2836,"")</f>
        <v>B555</v>
      </c>
      <c r="D2836" s="888" t="str">
        <f>IF(LEN('Translation-EN'!D2836)&gt;0,'Translation-EN'!D2836,"")</f>
        <v/>
      </c>
      <c r="E2836" s="1059" t="str">
        <f>$E$1681</f>
        <v>Carreaux en céramique</v>
      </c>
    </row>
    <row r="2837" spans="1:7" x14ac:dyDescent="0.3">
      <c r="A2837" s="888" t="str">
        <f>IF(LEN('Translation-EN'!A2837)&gt;0,'Translation-EN'!A2837,"")</f>
        <v>Range</v>
      </c>
      <c r="B2837" s="888" t="str">
        <f>IF(LEN('Translation-EN'!B2837)&gt;0,'Translation-EN'!B2837,"")</f>
        <v>Master sheet</v>
      </c>
      <c r="C2837" s="888" t="str">
        <f>IF(LEN('Translation-EN'!C2837)&gt;0,'Translation-EN'!C2837,"")</f>
        <v>C555</v>
      </c>
      <c r="D2837" s="888" t="str">
        <f>IF(LEN('Translation-EN'!D2837)&gt;0,'Translation-EN'!D2837,"")</f>
        <v/>
      </c>
      <c r="E2837" s="1059" t="s">
        <v>3649</v>
      </c>
    </row>
    <row r="2838" spans="1:7" x14ac:dyDescent="0.3">
      <c r="A2838" s="888" t="str">
        <f>IF(LEN('Translation-EN'!A2838)&gt;0,'Translation-EN'!A2838,"")</f>
        <v>Range</v>
      </c>
      <c r="B2838" s="888" t="str">
        <f>IF(LEN('Translation-EN'!B2838)&gt;0,'Translation-EN'!B2838,"")</f>
        <v>Master sheet</v>
      </c>
      <c r="C2838" s="888" t="str">
        <f>IF(LEN('Translation-EN'!C2838)&gt;0,'Translation-EN'!C2838,"")</f>
        <v>D555</v>
      </c>
      <c r="D2838" s="888" t="str">
        <f>IF(LEN('Translation-EN'!D2838)&gt;0,'Translation-EN'!D2838,"")</f>
        <v/>
      </c>
      <c r="E2838" s="1058" t="s">
        <v>6550</v>
      </c>
    </row>
    <row r="2839" spans="1:7" x14ac:dyDescent="0.3">
      <c r="A2839" s="888" t="str">
        <f>IF(LEN('Translation-EN'!A2839)&gt;0,'Translation-EN'!A2839,"")</f>
        <v>Range</v>
      </c>
      <c r="B2839" s="888" t="str">
        <f>IF(LEN('Translation-EN'!B2839)&gt;0,'Translation-EN'!B2839,"")</f>
        <v>Master sheet</v>
      </c>
      <c r="C2839" s="888" t="str">
        <f>IF(LEN('Translation-EN'!C2839)&gt;0,'Translation-EN'!C2839,"")</f>
        <v>E555</v>
      </c>
      <c r="D2839" s="888" t="str">
        <f>IF(LEN('Translation-EN'!D2839)&gt;0,'Translation-EN'!D2839,"")</f>
        <v/>
      </c>
      <c r="E2839" s="1058" t="s">
        <v>6551</v>
      </c>
    </row>
    <row r="2840" spans="1:7" x14ac:dyDescent="0.3">
      <c r="A2840" s="888" t="str">
        <f>IF(LEN('Translation-EN'!A2840)&gt;0,'Translation-EN'!A2840,"")</f>
        <v>Range</v>
      </c>
      <c r="B2840" s="888" t="str">
        <f>IF(LEN('Translation-EN'!B2840)&gt;0,'Translation-EN'!B2840,"")</f>
        <v>Master sheet</v>
      </c>
      <c r="C2840" s="888" t="str">
        <f>IF(LEN('Translation-EN'!C2840)&gt;0,'Translation-EN'!C2840,"")</f>
        <v>B556</v>
      </c>
      <c r="D2840" s="888" t="str">
        <f>IF(LEN('Translation-EN'!D2840)&gt;0,'Translation-EN'!D2840,"")</f>
        <v/>
      </c>
      <c r="E2840" s="1060" t="str">
        <f>$E$1681</f>
        <v>Carreaux en céramique</v>
      </c>
      <c r="F2840" s="1060"/>
      <c r="G2840" s="1060"/>
    </row>
    <row r="2841" spans="1:7" x14ac:dyDescent="0.3">
      <c r="A2841" s="888" t="str">
        <f>IF(LEN('Translation-EN'!A2841)&gt;0,'Translation-EN'!A2841,"")</f>
        <v>Range</v>
      </c>
      <c r="B2841" s="888" t="str">
        <f>IF(LEN('Translation-EN'!B2841)&gt;0,'Translation-EN'!B2841,"")</f>
        <v>Master sheet</v>
      </c>
      <c r="C2841" s="888" t="str">
        <f>IF(LEN('Translation-EN'!C2841)&gt;0,'Translation-EN'!C2841,"")</f>
        <v>C556</v>
      </c>
      <c r="D2841" s="888" t="str">
        <f>IF(LEN('Translation-EN'!D2841)&gt;0,'Translation-EN'!D2841,"")</f>
        <v/>
      </c>
      <c r="E2841" s="893" t="s">
        <v>3654</v>
      </c>
    </row>
    <row r="2842" spans="1:7" x14ac:dyDescent="0.3">
      <c r="A2842" s="888" t="str">
        <f>IF(LEN('Translation-EN'!A2842)&gt;0,'Translation-EN'!A2842,"")</f>
        <v>Range</v>
      </c>
      <c r="B2842" s="888" t="str">
        <f>IF(LEN('Translation-EN'!B2842)&gt;0,'Translation-EN'!B2842,"")</f>
        <v>Master sheet</v>
      </c>
      <c r="C2842" s="888" t="str">
        <f>IF(LEN('Translation-EN'!C2842)&gt;0,'Translation-EN'!C2842,"")</f>
        <v>D556</v>
      </c>
      <c r="D2842" s="888" t="str">
        <f>IF(LEN('Translation-EN'!D2842)&gt;0,'Translation-EN'!D2842,"")</f>
        <v/>
      </c>
      <c r="E2842" s="893" t="s">
        <v>6552</v>
      </c>
    </row>
    <row r="2843" spans="1:7" x14ac:dyDescent="0.3">
      <c r="A2843" s="888" t="str">
        <f>IF(LEN('Translation-EN'!A2843)&gt;0,'Translation-EN'!A2843,"")</f>
        <v>Range</v>
      </c>
      <c r="B2843" s="888" t="str">
        <f>IF(LEN('Translation-EN'!B2843)&gt;0,'Translation-EN'!B2843,"")</f>
        <v>Master sheet</v>
      </c>
      <c r="C2843" s="888" t="str">
        <f>IF(LEN('Translation-EN'!C2843)&gt;0,'Translation-EN'!C2843,"")</f>
        <v>E556</v>
      </c>
      <c r="D2843" s="888" t="str">
        <f>IF(LEN('Translation-EN'!D2843)&gt;0,'Translation-EN'!D2843,"")</f>
        <v/>
      </c>
      <c r="E2843" s="893" t="str">
        <f>$E$2839</f>
        <v>Grade standard et second</v>
      </c>
    </row>
    <row r="2844" spans="1:7" x14ac:dyDescent="0.3">
      <c r="A2844" s="888" t="str">
        <f>IF(LEN('Translation-EN'!A2844)&gt;0,'Translation-EN'!A2844,"")</f>
        <v>Range</v>
      </c>
      <c r="B2844" s="888" t="str">
        <f>IF(LEN('Translation-EN'!B2844)&gt;0,'Translation-EN'!B2844,"")</f>
        <v>Master sheet</v>
      </c>
      <c r="C2844" s="888" t="str">
        <f>IF(LEN('Translation-EN'!C2844)&gt;0,'Translation-EN'!C2844,"")</f>
        <v>B557</v>
      </c>
      <c r="D2844" s="888" t="str">
        <f>IF(LEN('Translation-EN'!D2844)&gt;0,'Translation-EN'!D2844,"")</f>
        <v/>
      </c>
      <c r="E2844" s="893" t="s">
        <v>6553</v>
      </c>
    </row>
    <row r="2845" spans="1:7" x14ac:dyDescent="0.3">
      <c r="A2845" s="888" t="str">
        <f>IF(LEN('Translation-EN'!A2845)&gt;0,'Translation-EN'!A2845,"")</f>
        <v>Range</v>
      </c>
      <c r="B2845" s="888" t="str">
        <f>IF(LEN('Translation-EN'!B2845)&gt;0,'Translation-EN'!B2845,"")</f>
        <v>Master sheet</v>
      </c>
      <c r="C2845" s="888" t="str">
        <f>IF(LEN('Translation-EN'!C2845)&gt;0,'Translation-EN'!C2845,"")</f>
        <v>C557</v>
      </c>
      <c r="D2845" s="888" t="str">
        <f>IF(LEN('Translation-EN'!D2845)&gt;0,'Translation-EN'!D2845,"")</f>
        <v/>
      </c>
      <c r="E2845" s="893" t="s">
        <v>3657</v>
      </c>
    </row>
    <row r="2846" spans="1:7" x14ac:dyDescent="0.3">
      <c r="A2846" s="888" t="str">
        <f>IF(LEN('Translation-EN'!A2846)&gt;0,'Translation-EN'!A2846,"")</f>
        <v>Range</v>
      </c>
      <c r="B2846" s="888" t="str">
        <f>IF(LEN('Translation-EN'!B2846)&gt;0,'Translation-EN'!B2846,"")</f>
        <v>Master sheet</v>
      </c>
      <c r="C2846" s="888" t="str">
        <f>IF(LEN('Translation-EN'!C2846)&gt;0,'Translation-EN'!C2846,"")</f>
        <v>D557</v>
      </c>
      <c r="D2846" s="888" t="str">
        <f>IF(LEN('Translation-EN'!D2846)&gt;0,'Translation-EN'!D2846,"")</f>
        <v/>
      </c>
      <c r="E2846" s="893" t="s">
        <v>6554</v>
      </c>
    </row>
    <row r="2847" spans="1:7" x14ac:dyDescent="0.3">
      <c r="A2847" s="888" t="str">
        <f>IF(LEN('Translation-EN'!A2847)&gt;0,'Translation-EN'!A2847,"")</f>
        <v>Range</v>
      </c>
      <c r="B2847" s="888" t="str">
        <f>IF(LEN('Translation-EN'!B2847)&gt;0,'Translation-EN'!B2847,"")</f>
        <v>Master sheet</v>
      </c>
      <c r="C2847" s="888" t="str">
        <f>IF(LEN('Translation-EN'!C2847)&gt;0,'Translation-EN'!C2847,"")</f>
        <v>B560</v>
      </c>
      <c r="D2847" s="888" t="str">
        <f>IF(LEN('Translation-EN'!D2847)&gt;0,'Translation-EN'!D2847,"")</f>
        <v/>
      </c>
      <c r="E2847" s="893" t="str">
        <f>$E$2844</f>
        <v>Bardage en fibrociment</v>
      </c>
    </row>
    <row r="2848" spans="1:7" x14ac:dyDescent="0.3">
      <c r="A2848" s="888" t="str">
        <f>IF(LEN('Translation-EN'!A2848)&gt;0,'Translation-EN'!A2848,"")</f>
        <v>Range</v>
      </c>
      <c r="B2848" s="888" t="str">
        <f>IF(LEN('Translation-EN'!B2848)&gt;0,'Translation-EN'!B2848,"")</f>
        <v>Master sheet</v>
      </c>
      <c r="C2848" s="888" t="str">
        <f>IF(LEN('Translation-EN'!C2848)&gt;0,'Translation-EN'!C2848,"")</f>
        <v>C560</v>
      </c>
      <c r="D2848" s="888" t="str">
        <f>IF(LEN('Translation-EN'!D2848)&gt;0,'Translation-EN'!D2848,"")</f>
        <v/>
      </c>
      <c r="E2848" s="893" t="str">
        <f>$E$2845</f>
        <v>Equitone</v>
      </c>
    </row>
    <row r="2849" spans="1:5" x14ac:dyDescent="0.3">
      <c r="A2849" s="888" t="str">
        <f>IF(LEN('Translation-EN'!A2849)&gt;0,'Translation-EN'!A2849,"")</f>
        <v>Range</v>
      </c>
      <c r="B2849" s="888" t="str">
        <f>IF(LEN('Translation-EN'!B2849)&gt;0,'Translation-EN'!B2849,"")</f>
        <v>Master sheet</v>
      </c>
      <c r="C2849" s="888" t="str">
        <f>IF(LEN('Translation-EN'!C2849)&gt;0,'Translation-EN'!C2849,"")</f>
        <v>D560</v>
      </c>
      <c r="D2849" s="888" t="str">
        <f>IF(LEN('Translation-EN'!D2849)&gt;0,'Translation-EN'!D2849,"")</f>
        <v/>
      </c>
      <c r="E2849" s="893" t="s">
        <v>6555</v>
      </c>
    </row>
    <row r="2850" spans="1:5" x14ac:dyDescent="0.3">
      <c r="A2850" s="888" t="str">
        <f>IF(LEN('Translation-EN'!A2850)&gt;0,'Translation-EN'!A2850,"")</f>
        <v>Range</v>
      </c>
      <c r="B2850" s="888" t="str">
        <f>IF(LEN('Translation-EN'!B2850)&gt;0,'Translation-EN'!B2850,"")</f>
        <v>Master sheet</v>
      </c>
      <c r="C2850" s="888" t="str">
        <f>IF(LEN('Translation-EN'!C2850)&gt;0,'Translation-EN'!C2850,"")</f>
        <v>E560</v>
      </c>
      <c r="D2850" s="888" t="str">
        <f>IF(LEN('Translation-EN'!D2850)&gt;0,'Translation-EN'!D2850,"")</f>
        <v/>
      </c>
      <c r="E2850" s="893" t="s">
        <v>4520</v>
      </c>
    </row>
    <row r="2851" spans="1:5" x14ac:dyDescent="0.3">
      <c r="A2851" s="888" t="str">
        <f>IF(LEN('Translation-EN'!A2851)&gt;0,'Translation-EN'!A2851,"")</f>
        <v>Range</v>
      </c>
      <c r="B2851" s="888" t="str">
        <f>IF(LEN('Translation-EN'!B2851)&gt;0,'Translation-EN'!B2851,"")</f>
        <v>Master sheet</v>
      </c>
      <c r="C2851" s="888" t="str">
        <f>IF(LEN('Translation-EN'!C2851)&gt;0,'Translation-EN'!C2851,"")</f>
        <v>B561</v>
      </c>
      <c r="D2851" s="888" t="str">
        <f>IF(LEN('Translation-EN'!D2851)&gt;0,'Translation-EN'!D2851,"")</f>
        <v/>
      </c>
      <c r="E2851" s="893" t="s">
        <v>6556</v>
      </c>
    </row>
    <row r="2852" spans="1:5" x14ac:dyDescent="0.3">
      <c r="A2852" s="888" t="str">
        <f>IF(LEN('Translation-EN'!A2852)&gt;0,'Translation-EN'!A2852,"")</f>
        <v>Range</v>
      </c>
      <c r="B2852" s="888" t="str">
        <f>IF(LEN('Translation-EN'!B2852)&gt;0,'Translation-EN'!B2852,"")</f>
        <v>Master sheet</v>
      </c>
      <c r="C2852" s="888" t="str">
        <f>IF(LEN('Translation-EN'!C2852)&gt;0,'Translation-EN'!C2852,"")</f>
        <v>C561</v>
      </c>
      <c r="D2852" s="888" t="str">
        <f>IF(LEN('Translation-EN'!D2852)&gt;0,'Translation-EN'!D2852,"")</f>
        <v/>
      </c>
      <c r="E2852" s="893" t="s">
        <v>3666</v>
      </c>
    </row>
    <row r="2853" spans="1:5" x14ac:dyDescent="0.3">
      <c r="A2853" s="888" t="str">
        <f>IF(LEN('Translation-EN'!A2853)&gt;0,'Translation-EN'!A2853,"")</f>
        <v>Range</v>
      </c>
      <c r="B2853" s="888" t="str">
        <f>IF(LEN('Translation-EN'!B2853)&gt;0,'Translation-EN'!B2853,"")</f>
        <v>Master sheet</v>
      </c>
      <c r="C2853" s="888" t="str">
        <f>IF(LEN('Translation-EN'!C2853)&gt;0,'Translation-EN'!C2853,"")</f>
        <v>D561</v>
      </c>
      <c r="D2853" s="888" t="str">
        <f>IF(LEN('Translation-EN'!D2853)&gt;0,'Translation-EN'!D2853,"")</f>
        <v/>
      </c>
      <c r="E2853" s="893" t="s">
        <v>6557</v>
      </c>
    </row>
    <row r="2854" spans="1:5" x14ac:dyDescent="0.3">
      <c r="A2854" s="888" t="str">
        <f>IF(LEN('Translation-EN'!A2854)&gt;0,'Translation-EN'!A2854,"")</f>
        <v>Range</v>
      </c>
      <c r="B2854" s="888" t="str">
        <f>IF(LEN('Translation-EN'!B2854)&gt;0,'Translation-EN'!B2854,"")</f>
        <v>Master sheet</v>
      </c>
      <c r="C2854" s="888" t="str">
        <f>IF(LEN('Translation-EN'!C2854)&gt;0,'Translation-EN'!C2854,"")</f>
        <v>E561</v>
      </c>
      <c r="D2854" s="888" t="str">
        <f>IF(LEN('Translation-EN'!D2854)&gt;0,'Translation-EN'!D2854,"")</f>
        <v/>
      </c>
      <c r="E2854" s="893" t="s">
        <v>6558</v>
      </c>
    </row>
    <row r="2855" spans="1:5" x14ac:dyDescent="0.3">
      <c r="A2855" s="888" t="str">
        <f>IF(LEN('Translation-EN'!A2855)&gt;0,'Translation-EN'!A2855,"")</f>
        <v>Range</v>
      </c>
      <c r="B2855" s="888" t="str">
        <f>IF(LEN('Translation-EN'!B2855)&gt;0,'Translation-EN'!B2855,"")</f>
        <v>Master sheet</v>
      </c>
      <c r="C2855" s="888" t="str">
        <f>IF(LEN('Translation-EN'!C2855)&gt;0,'Translation-EN'!C2855,"")</f>
        <v>B562</v>
      </c>
      <c r="D2855" s="888" t="str">
        <f>IF(LEN('Translation-EN'!D2855)&gt;0,'Translation-EN'!D2855,"")</f>
        <v/>
      </c>
      <c r="E2855" s="893" t="str">
        <f>$E$1617</f>
        <v>Brique, argile</v>
      </c>
    </row>
    <row r="2856" spans="1:5" x14ac:dyDescent="0.3">
      <c r="A2856" s="888" t="str">
        <f>IF(LEN('Translation-EN'!A2856)&gt;0,'Translation-EN'!A2856,"")</f>
        <v>Range</v>
      </c>
      <c r="B2856" s="888" t="str">
        <f>IF(LEN('Translation-EN'!B2856)&gt;0,'Translation-EN'!B2856,"")</f>
        <v>Master sheet</v>
      </c>
      <c r="C2856" s="888" t="str">
        <f>IF(LEN('Translation-EN'!C2856)&gt;0,'Translation-EN'!C2856,"")</f>
        <v>C562</v>
      </c>
      <c r="D2856" s="888" t="str">
        <f>IF(LEN('Translation-EN'!D2856)&gt;0,'Translation-EN'!D2856,"")</f>
        <v/>
      </c>
      <c r="E2856" s="893" t="s">
        <v>3673</v>
      </c>
    </row>
    <row r="2857" spans="1:5" x14ac:dyDescent="0.3">
      <c r="A2857" s="888" t="str">
        <f>IF(LEN('Translation-EN'!A2857)&gt;0,'Translation-EN'!A2857,"")</f>
        <v>Range</v>
      </c>
      <c r="B2857" s="888" t="str">
        <f>IF(LEN('Translation-EN'!B2857)&gt;0,'Translation-EN'!B2857,"")</f>
        <v>Master sheet</v>
      </c>
      <c r="C2857" s="888" t="str">
        <f>IF(LEN('Translation-EN'!C2857)&gt;0,'Translation-EN'!C2857,"")</f>
        <v>D562</v>
      </c>
      <c r="D2857" s="888" t="str">
        <f>IF(LEN('Translation-EN'!D2857)&gt;0,'Translation-EN'!D2857,"")</f>
        <v/>
      </c>
      <c r="E2857" s="893" t="s">
        <v>6559</v>
      </c>
    </row>
    <row r="2858" spans="1:5" x14ac:dyDescent="0.3">
      <c r="A2858" s="888" t="str">
        <f>IF(LEN('Translation-EN'!A2858)&gt;0,'Translation-EN'!A2858,"")</f>
        <v>Range</v>
      </c>
      <c r="B2858" s="888" t="str">
        <f>IF(LEN('Translation-EN'!B2858)&gt;0,'Translation-EN'!B2858,"")</f>
        <v>Master sheet</v>
      </c>
      <c r="C2858" s="888" t="str">
        <f>IF(LEN('Translation-EN'!C2858)&gt;0,'Translation-EN'!C2858,"")</f>
        <v>E562</v>
      </c>
      <c r="D2858" s="888" t="str">
        <f>IF(LEN('Translation-EN'!D2858)&gt;0,'Translation-EN'!D2858,"")</f>
        <v/>
      </c>
      <c r="E2858" s="893" t="s">
        <v>6560</v>
      </c>
    </row>
    <row r="2859" spans="1:5" x14ac:dyDescent="0.3">
      <c r="A2859" s="888" t="str">
        <f>IF(LEN('Translation-EN'!A2859)&gt;0,'Translation-EN'!A2859,"")</f>
        <v>Range</v>
      </c>
      <c r="B2859" s="888" t="str">
        <f>IF(LEN('Translation-EN'!B2859)&gt;0,'Translation-EN'!B2859,"")</f>
        <v>Master sheet</v>
      </c>
      <c r="C2859" s="888" t="str">
        <f>IF(LEN('Translation-EN'!C2859)&gt;0,'Translation-EN'!C2859,"")</f>
        <v>B563</v>
      </c>
      <c r="D2859" s="888" t="str">
        <f>IF(LEN('Translation-EN'!D2859)&gt;0,'Translation-EN'!D2859,"")</f>
        <v/>
      </c>
      <c r="E2859" s="893" t="str">
        <f>$E$1617</f>
        <v>Brique, argile</v>
      </c>
    </row>
    <row r="2860" spans="1:5" x14ac:dyDescent="0.3">
      <c r="A2860" s="888" t="str">
        <f>IF(LEN('Translation-EN'!A2860)&gt;0,'Translation-EN'!A2860,"")</f>
        <v>Range</v>
      </c>
      <c r="B2860" s="888" t="str">
        <f>IF(LEN('Translation-EN'!B2860)&gt;0,'Translation-EN'!B2860,"")</f>
        <v>Master sheet</v>
      </c>
      <c r="C2860" s="888" t="str">
        <f>IF(LEN('Translation-EN'!C2860)&gt;0,'Translation-EN'!C2860,"")</f>
        <v>C563</v>
      </c>
      <c r="D2860" s="888" t="str">
        <f>IF(LEN('Translation-EN'!D2860)&gt;0,'Translation-EN'!D2860,"")</f>
        <v/>
      </c>
      <c r="E2860" s="893" t="str">
        <f>$E$2856</f>
        <v>SHAW</v>
      </c>
    </row>
    <row r="2861" spans="1:5" x14ac:dyDescent="0.3">
      <c r="A2861" s="888" t="str">
        <f>IF(LEN('Translation-EN'!A2861)&gt;0,'Translation-EN'!A2861,"")</f>
        <v>Range</v>
      </c>
      <c r="B2861" s="888" t="str">
        <f>IF(LEN('Translation-EN'!B2861)&gt;0,'Translation-EN'!B2861,"")</f>
        <v>Master sheet</v>
      </c>
      <c r="C2861" s="888" t="str">
        <f>IF(LEN('Translation-EN'!C2861)&gt;0,'Translation-EN'!C2861,"")</f>
        <v>D563</v>
      </c>
      <c r="D2861" s="888" t="str">
        <f>IF(LEN('Translation-EN'!D2861)&gt;0,'Translation-EN'!D2861,"")</f>
        <v/>
      </c>
      <c r="E2861" s="1061" t="str">
        <f>$E$1627</f>
        <v>Brique moyenne de façade</v>
      </c>
    </row>
    <row r="2862" spans="1:5" x14ac:dyDescent="0.3">
      <c r="A2862" s="888" t="str">
        <f>IF(LEN('Translation-EN'!A2862)&gt;0,'Translation-EN'!A2862,"")</f>
        <v>Range</v>
      </c>
      <c r="B2862" s="888" t="str">
        <f>IF(LEN('Translation-EN'!B2862)&gt;0,'Translation-EN'!B2862,"")</f>
        <v>Master sheet</v>
      </c>
      <c r="C2862" s="888" t="str">
        <f>IF(LEN('Translation-EN'!C2862)&gt;0,'Translation-EN'!C2862,"")</f>
        <v>E563</v>
      </c>
      <c r="D2862" s="888" t="str">
        <f>IF(LEN('Translation-EN'!D2862)&gt;0,'Translation-EN'!D2862,"")</f>
        <v/>
      </c>
      <c r="E2862" s="1061" t="str">
        <f>$E$1620</f>
        <v xml:space="preserve">3-5/8 po x 2-3/4 po x 7-5/8 po (92 x 70 x 194 mm), mortier de 3/8 po inclus3-5/8 po x 2-3/4 po x 7-5/8 po (92 x 70 x 194 mm) avec mortier de 3/8 po </v>
      </c>
    </row>
    <row r="2863" spans="1:5" x14ac:dyDescent="0.3">
      <c r="A2863" s="888" t="str">
        <f>IF(LEN('Translation-EN'!A2863)&gt;0,'Translation-EN'!A2863,"")</f>
        <v>Range</v>
      </c>
      <c r="B2863" s="888" t="str">
        <f>IF(LEN('Translation-EN'!B2863)&gt;0,'Translation-EN'!B2863,"")</f>
        <v>Master sheet</v>
      </c>
      <c r="C2863" s="888" t="str">
        <f>IF(LEN('Translation-EN'!C2863)&gt;0,'Translation-EN'!C2863,"")</f>
        <v>B564</v>
      </c>
      <c r="D2863" s="888" t="str">
        <f>IF(LEN('Translation-EN'!D2863)&gt;0,'Translation-EN'!D2863,"")</f>
        <v/>
      </c>
      <c r="E2863" s="893" t="str">
        <f>$E$2238</f>
        <v>Barre d’armature</v>
      </c>
    </row>
    <row r="2864" spans="1:5" x14ac:dyDescent="0.3">
      <c r="A2864" s="888" t="str">
        <f>IF(LEN('Translation-EN'!A2864)&gt;0,'Translation-EN'!A2864,"")</f>
        <v>Range</v>
      </c>
      <c r="B2864" s="888" t="str">
        <f>IF(LEN('Translation-EN'!B2864)&gt;0,'Translation-EN'!B2864,"")</f>
        <v>Master sheet</v>
      </c>
      <c r="C2864" s="888" t="str">
        <f>IF(LEN('Translation-EN'!C2864)&gt;0,'Translation-EN'!C2864,"")</f>
        <v>C564</v>
      </c>
      <c r="D2864" s="888" t="str">
        <f>IF(LEN('Translation-EN'!D2864)&gt;0,'Translation-EN'!D2864,"")</f>
        <v/>
      </c>
      <c r="E2864" s="893" t="s">
        <v>3677</v>
      </c>
    </row>
    <row r="2865" spans="1:5" x14ac:dyDescent="0.3">
      <c r="A2865" s="888" t="str">
        <f>IF(LEN('Translation-EN'!A2865)&gt;0,'Translation-EN'!A2865,"")</f>
        <v>Range</v>
      </c>
      <c r="B2865" s="888" t="str">
        <f>IF(LEN('Translation-EN'!B2865)&gt;0,'Translation-EN'!B2865,"")</f>
        <v>Master sheet</v>
      </c>
      <c r="C2865" s="888" t="str">
        <f>IF(LEN('Translation-EN'!C2865)&gt;0,'Translation-EN'!C2865,"")</f>
        <v>D564</v>
      </c>
      <c r="D2865" s="888" t="str">
        <f>IF(LEN('Translation-EN'!D2865)&gt;0,'Translation-EN'!D2865,"")</f>
        <v/>
      </c>
      <c r="E2865" s="893" t="s">
        <v>6561</v>
      </c>
    </row>
    <row r="2866" spans="1:5" x14ac:dyDescent="0.3">
      <c r="A2866" s="888" t="str">
        <f>IF(LEN('Translation-EN'!A2866)&gt;0,'Translation-EN'!A2866,"")</f>
        <v>Range</v>
      </c>
      <c r="B2866" s="888" t="str">
        <f>IF(LEN('Translation-EN'!B2866)&gt;0,'Translation-EN'!B2866,"")</f>
        <v>Master sheet</v>
      </c>
      <c r="C2866" s="888" t="str">
        <f>IF(LEN('Translation-EN'!C2866)&gt;0,'Translation-EN'!C2866,"")</f>
        <v>B565</v>
      </c>
      <c r="D2866" s="888" t="str">
        <f>IF(LEN('Translation-EN'!D2866)&gt;0,'Translation-EN'!D2866,"")</f>
        <v/>
      </c>
      <c r="E2866" s="893" t="str">
        <f>$E$2238</f>
        <v>Barre d’armature</v>
      </c>
    </row>
    <row r="2867" spans="1:5" x14ac:dyDescent="0.3">
      <c r="A2867" s="888" t="str">
        <f>IF(LEN('Translation-EN'!A2867)&gt;0,'Translation-EN'!A2867,"")</f>
        <v>Range</v>
      </c>
      <c r="B2867" s="888" t="str">
        <f>IF(LEN('Translation-EN'!B2867)&gt;0,'Translation-EN'!B2867,"")</f>
        <v>Master sheet</v>
      </c>
      <c r="C2867" s="888" t="str">
        <f>IF(LEN('Translation-EN'!C2867)&gt;0,'Translation-EN'!C2867,"")</f>
        <v>C565</v>
      </c>
      <c r="D2867" s="888" t="str">
        <f>IF(LEN('Translation-EN'!D2867)&gt;0,'Translation-EN'!D2867,"")</f>
        <v/>
      </c>
      <c r="E2867" s="893" t="str">
        <f>$E$2864</f>
        <v>Nucor Corporation</v>
      </c>
    </row>
    <row r="2868" spans="1:5" x14ac:dyDescent="0.3">
      <c r="A2868" s="888" t="str">
        <f>IF(LEN('Translation-EN'!A2868)&gt;0,'Translation-EN'!A2868,"")</f>
        <v>Range</v>
      </c>
      <c r="B2868" s="888" t="str">
        <f>IF(LEN('Translation-EN'!B2868)&gt;0,'Translation-EN'!B2868,"")</f>
        <v>Master sheet</v>
      </c>
      <c r="C2868" s="888" t="str">
        <f>IF(LEN('Translation-EN'!C2868)&gt;0,'Translation-EN'!C2868,"")</f>
        <v>D565</v>
      </c>
      <c r="D2868" s="888" t="str">
        <f>IF(LEN('Translation-EN'!D2868)&gt;0,'Translation-EN'!D2868,"")</f>
        <v/>
      </c>
      <c r="E2868" s="893" t="str">
        <f>$E$2865</f>
        <v>Dimensions canadiennes</v>
      </c>
    </row>
    <row r="2869" spans="1:5" x14ac:dyDescent="0.3">
      <c r="A2869" s="888" t="str">
        <f>IF(LEN('Translation-EN'!A2869)&gt;0,'Translation-EN'!A2869,"")</f>
        <v>Range</v>
      </c>
      <c r="B2869" s="888" t="str">
        <f>IF(LEN('Translation-EN'!B2869)&gt;0,'Translation-EN'!B2869,"")</f>
        <v>Master sheet</v>
      </c>
      <c r="C2869" s="888" t="str">
        <f>IF(LEN('Translation-EN'!C2869)&gt;0,'Translation-EN'!C2869,"")</f>
        <v>B566</v>
      </c>
      <c r="D2869" s="888" t="str">
        <f>IF(LEN('Translation-EN'!D2869)&gt;0,'Translation-EN'!D2869,"")</f>
        <v/>
      </c>
      <c r="E2869" s="893" t="str">
        <f>$E$2238</f>
        <v>Barre d’armature</v>
      </c>
    </row>
    <row r="2870" spans="1:5" x14ac:dyDescent="0.3">
      <c r="A2870" s="888" t="str">
        <f>IF(LEN('Translation-EN'!A2870)&gt;0,'Translation-EN'!A2870,"")</f>
        <v>Range</v>
      </c>
      <c r="B2870" s="888" t="str">
        <f>IF(LEN('Translation-EN'!B2870)&gt;0,'Translation-EN'!B2870,"")</f>
        <v>Master sheet</v>
      </c>
      <c r="C2870" s="888" t="str">
        <f>IF(LEN('Translation-EN'!C2870)&gt;0,'Translation-EN'!C2870,"")</f>
        <v>C566</v>
      </c>
      <c r="D2870" s="888" t="str">
        <f>IF(LEN('Translation-EN'!D2870)&gt;0,'Translation-EN'!D2870,"")</f>
        <v/>
      </c>
      <c r="E2870" s="893" t="str">
        <f>$E$2864</f>
        <v>Nucor Corporation</v>
      </c>
    </row>
    <row r="2871" spans="1:5" x14ac:dyDescent="0.3">
      <c r="A2871" s="888" t="str">
        <f>IF(LEN('Translation-EN'!A2871)&gt;0,'Translation-EN'!A2871,"")</f>
        <v>Range</v>
      </c>
      <c r="B2871" s="888" t="str">
        <f>IF(LEN('Translation-EN'!B2871)&gt;0,'Translation-EN'!B2871,"")</f>
        <v>Master sheet</v>
      </c>
      <c r="C2871" s="888" t="str">
        <f>IF(LEN('Translation-EN'!C2871)&gt;0,'Translation-EN'!C2871,"")</f>
        <v>D566</v>
      </c>
      <c r="D2871" s="888" t="str">
        <f>IF(LEN('Translation-EN'!D2871)&gt;0,'Translation-EN'!D2871,"")</f>
        <v/>
      </c>
      <c r="E2871" s="893" t="str">
        <f>$E$2865</f>
        <v>Dimensions canadiennes</v>
      </c>
    </row>
    <row r="2872" spans="1:5" x14ac:dyDescent="0.3">
      <c r="A2872" s="888" t="str">
        <f>IF(LEN('Translation-EN'!A2872)&gt;0,'Translation-EN'!A2872,"")</f>
        <v>Range</v>
      </c>
      <c r="B2872" s="888" t="str">
        <f>IF(LEN('Translation-EN'!B2872)&gt;0,'Translation-EN'!B2872,"")</f>
        <v>Master sheet</v>
      </c>
      <c r="C2872" s="888" t="str">
        <f>IF(LEN('Translation-EN'!C2872)&gt;0,'Translation-EN'!C2872,"")</f>
        <v>B567</v>
      </c>
      <c r="D2872" s="888" t="str">
        <f>IF(LEN('Translation-EN'!D2872)&gt;0,'Translation-EN'!D2872,"")</f>
        <v/>
      </c>
      <c r="E2872" s="1018" t="str">
        <f>$E$2238</f>
        <v>Barre d’armature</v>
      </c>
    </row>
    <row r="2873" spans="1:5" x14ac:dyDescent="0.3">
      <c r="A2873" s="888" t="str">
        <f>IF(LEN('Translation-EN'!A2873)&gt;0,'Translation-EN'!A2873,"")</f>
        <v>Range</v>
      </c>
      <c r="B2873" s="888" t="str">
        <f>IF(LEN('Translation-EN'!B2873)&gt;0,'Translation-EN'!B2873,"")</f>
        <v>Master sheet</v>
      </c>
      <c r="C2873" s="888" t="str">
        <f>IF(LEN('Translation-EN'!C2873)&gt;0,'Translation-EN'!C2873,"")</f>
        <v>C567</v>
      </c>
      <c r="D2873" s="888" t="str">
        <f>IF(LEN('Translation-EN'!D2873)&gt;0,'Translation-EN'!D2873,"")</f>
        <v/>
      </c>
      <c r="E2873" s="893" t="s">
        <v>6562</v>
      </c>
    </row>
    <row r="2874" spans="1:5" x14ac:dyDescent="0.3">
      <c r="A2874" s="888" t="str">
        <f>IF(LEN('Translation-EN'!A2874)&gt;0,'Translation-EN'!A2874,"")</f>
        <v>Range</v>
      </c>
      <c r="B2874" s="888" t="str">
        <f>IF(LEN('Translation-EN'!B2874)&gt;0,'Translation-EN'!B2874,"")</f>
        <v>Master sheet</v>
      </c>
      <c r="C2874" s="888" t="str">
        <f>IF(LEN('Translation-EN'!C2874)&gt;0,'Translation-EN'!C2874,"")</f>
        <v>D567</v>
      </c>
      <c r="D2874" s="888" t="str">
        <f>IF(LEN('Translation-EN'!D2874)&gt;0,'Translation-EN'!D2874,"")</f>
        <v/>
      </c>
      <c r="E2874" s="893" t="str">
        <f>$E$2865</f>
        <v>Dimensions canadiennes</v>
      </c>
    </row>
    <row r="2875" spans="1:5" x14ac:dyDescent="0.3">
      <c r="A2875" s="888" t="str">
        <f>IF(LEN('Translation-EN'!A2875)&gt;0,'Translation-EN'!A2875,"")</f>
        <v>Range</v>
      </c>
      <c r="B2875" s="888" t="str">
        <f>IF(LEN('Translation-EN'!B2875)&gt;0,'Translation-EN'!B2875,"")</f>
        <v>Master sheet</v>
      </c>
      <c r="C2875" s="888" t="str">
        <f>IF(LEN('Translation-EN'!C2875)&gt;0,'Translation-EN'!C2875,"")</f>
        <v>B568</v>
      </c>
      <c r="D2875" s="888" t="str">
        <f>IF(LEN('Translation-EN'!D2875)&gt;0,'Translation-EN'!D2875,"")</f>
        <v/>
      </c>
      <c r="E2875" s="1018" t="str">
        <f>$E$2238</f>
        <v>Barre d’armature</v>
      </c>
    </row>
    <row r="2876" spans="1:5" x14ac:dyDescent="0.3">
      <c r="A2876" s="888" t="str">
        <f>IF(LEN('Translation-EN'!A2876)&gt;0,'Translation-EN'!A2876,"")</f>
        <v>Range</v>
      </c>
      <c r="B2876" s="888" t="str">
        <f>IF(LEN('Translation-EN'!B2876)&gt;0,'Translation-EN'!B2876,"")</f>
        <v>Master sheet</v>
      </c>
      <c r="C2876" s="888" t="str">
        <f>IF(LEN('Translation-EN'!C2876)&gt;0,'Translation-EN'!C2876,"")</f>
        <v>C568</v>
      </c>
      <c r="D2876" s="888" t="str">
        <f>IF(LEN('Translation-EN'!D2876)&gt;0,'Translation-EN'!D2876,"")</f>
        <v/>
      </c>
      <c r="E2876" s="893" t="str">
        <f>$E$2873</f>
        <v>ArcelorMittal Produits longs Canada</v>
      </c>
    </row>
    <row r="2877" spans="1:5" x14ac:dyDescent="0.3">
      <c r="A2877" s="888" t="str">
        <f>IF(LEN('Translation-EN'!A2877)&gt;0,'Translation-EN'!A2877,"")</f>
        <v>Range</v>
      </c>
      <c r="B2877" s="888" t="str">
        <f>IF(LEN('Translation-EN'!B2877)&gt;0,'Translation-EN'!B2877,"")</f>
        <v>Master sheet</v>
      </c>
      <c r="C2877" s="888" t="str">
        <f>IF(LEN('Translation-EN'!C2877)&gt;0,'Translation-EN'!C2877,"")</f>
        <v>D568</v>
      </c>
      <c r="D2877" s="888" t="str">
        <f>IF(LEN('Translation-EN'!D2877)&gt;0,'Translation-EN'!D2877,"")</f>
        <v/>
      </c>
      <c r="E2877" s="893" t="str">
        <f>$E$2865</f>
        <v>Dimensions canadiennes</v>
      </c>
    </row>
    <row r="2878" spans="1:5" x14ac:dyDescent="0.3">
      <c r="A2878" s="888" t="str">
        <f>IF(LEN('Translation-EN'!A2878)&gt;0,'Translation-EN'!A2878,"")</f>
        <v>Range</v>
      </c>
      <c r="B2878" s="888" t="str">
        <f>IF(LEN('Translation-EN'!B2878)&gt;0,'Translation-EN'!B2878,"")</f>
        <v>Master sheet</v>
      </c>
      <c r="C2878" s="888" t="str">
        <f>IF(LEN('Translation-EN'!C2878)&gt;0,'Translation-EN'!C2878,"")</f>
        <v>B569</v>
      </c>
      <c r="D2878" s="888" t="str">
        <f>IF(LEN('Translation-EN'!D2878)&gt;0,'Translation-EN'!D2878,"")</f>
        <v/>
      </c>
      <c r="E2878" s="893" t="str">
        <f>$E$2238</f>
        <v>Barre d’armature</v>
      </c>
    </row>
    <row r="2879" spans="1:5" x14ac:dyDescent="0.3">
      <c r="A2879" s="888" t="str">
        <f>IF(LEN('Translation-EN'!A2879)&gt;0,'Translation-EN'!A2879,"")</f>
        <v>Range</v>
      </c>
      <c r="B2879" s="888" t="str">
        <f>IF(LEN('Translation-EN'!B2879)&gt;0,'Translation-EN'!B2879,"")</f>
        <v>Master sheet</v>
      </c>
      <c r="C2879" s="888" t="str">
        <f>IF(LEN('Translation-EN'!C2879)&gt;0,'Translation-EN'!C2879,"")</f>
        <v>C569</v>
      </c>
      <c r="D2879" s="888" t="str">
        <f>IF(LEN('Translation-EN'!D2879)&gt;0,'Translation-EN'!D2879,"")</f>
        <v/>
      </c>
      <c r="E2879" s="893" t="str">
        <f>$E$2873</f>
        <v>ArcelorMittal Produits longs Canada</v>
      </c>
    </row>
    <row r="2880" spans="1:5" x14ac:dyDescent="0.3">
      <c r="A2880" s="888" t="str">
        <f>IF(LEN('Translation-EN'!A2880)&gt;0,'Translation-EN'!A2880,"")</f>
        <v>Range</v>
      </c>
      <c r="B2880" s="888" t="str">
        <f>IF(LEN('Translation-EN'!B2880)&gt;0,'Translation-EN'!B2880,"")</f>
        <v>Master sheet</v>
      </c>
      <c r="C2880" s="888" t="str">
        <f>IF(LEN('Translation-EN'!C2880)&gt;0,'Translation-EN'!C2880,"")</f>
        <v>D569</v>
      </c>
      <c r="D2880" s="888" t="str">
        <f>IF(LEN('Translation-EN'!D2880)&gt;0,'Translation-EN'!D2880,"")</f>
        <v/>
      </c>
      <c r="E2880" s="893" t="str">
        <f>$E$2865</f>
        <v>Dimensions canadiennes</v>
      </c>
    </row>
    <row r="2881" spans="1:5" x14ac:dyDescent="0.3">
      <c r="A2881" s="888" t="str">
        <f>IF(LEN('Translation-EN'!A2881)&gt;0,'Translation-EN'!A2881,"")</f>
        <v>Range</v>
      </c>
      <c r="B2881" s="888" t="str">
        <f>IF(LEN('Translation-EN'!B2881)&gt;0,'Translation-EN'!B2881,"")</f>
        <v>Master sheet</v>
      </c>
      <c r="C2881" s="888" t="str">
        <f>IF(LEN('Translation-EN'!C2881)&gt;0,'Translation-EN'!C2881,"")</f>
        <v>B570</v>
      </c>
      <c r="D2881" s="888" t="str">
        <f>IF(LEN('Translation-EN'!D2881)&gt;0,'Translation-EN'!D2881,"")</f>
        <v/>
      </c>
      <c r="E2881" s="893" t="str">
        <f>$E$2385</f>
        <v>Panneau de fibres de bois</v>
      </c>
    </row>
    <row r="2882" spans="1:5" x14ac:dyDescent="0.3">
      <c r="A2882" s="888" t="str">
        <f>IF(LEN('Translation-EN'!A2882)&gt;0,'Translation-EN'!A2882,"")</f>
        <v>Range</v>
      </c>
      <c r="B2882" s="888" t="str">
        <f>IF(LEN('Translation-EN'!B2882)&gt;0,'Translation-EN'!B2882,"")</f>
        <v>Master sheet</v>
      </c>
      <c r="C2882" s="888" t="str">
        <f>IF(LEN('Translation-EN'!C2882)&gt;0,'Translation-EN'!C2882,"")</f>
        <v>C570</v>
      </c>
      <c r="D2882" s="888" t="str">
        <f>IF(LEN('Translation-EN'!D2882)&gt;0,'Translation-EN'!D2882,"")</f>
        <v/>
      </c>
      <c r="E2882" s="893" t="s">
        <v>3687</v>
      </c>
    </row>
    <row r="2883" spans="1:5" x14ac:dyDescent="0.3">
      <c r="A2883" s="888" t="str">
        <f>IF(LEN('Translation-EN'!A2883)&gt;0,'Translation-EN'!A2883,"")</f>
        <v>Range</v>
      </c>
      <c r="B2883" s="888" t="str">
        <f>IF(LEN('Translation-EN'!B2883)&gt;0,'Translation-EN'!B2883,"")</f>
        <v>Master sheet</v>
      </c>
      <c r="C2883" s="888" t="str">
        <f>IF(LEN('Translation-EN'!C2883)&gt;0,'Translation-EN'!C2883,"")</f>
        <v>D570</v>
      </c>
      <c r="D2883" s="888" t="str">
        <f>IF(LEN('Translation-EN'!D2883)&gt;0,'Translation-EN'!D2883,"")</f>
        <v/>
      </c>
      <c r="E2883" s="893" t="s">
        <v>6563</v>
      </c>
    </row>
    <row r="2884" spans="1:5" x14ac:dyDescent="0.3">
      <c r="A2884" s="888" t="str">
        <f>IF(LEN('Translation-EN'!A2884)&gt;0,'Translation-EN'!A2884,"")</f>
        <v>Range</v>
      </c>
      <c r="B2884" s="888" t="str">
        <f>IF(LEN('Translation-EN'!B2884)&gt;0,'Translation-EN'!B2884,"")</f>
        <v>Master sheet</v>
      </c>
      <c r="C2884" s="888" t="str">
        <f>IF(LEN('Translation-EN'!C2884)&gt;0,'Translation-EN'!C2884,"")</f>
        <v>B573</v>
      </c>
      <c r="D2884" s="888" t="str">
        <f>IF(LEN('Translation-EN'!D2884)&gt;0,'Translation-EN'!D2884,"")</f>
        <v/>
      </c>
      <c r="E2884" s="893" t="str">
        <f>$E$2478</f>
        <v>Panneau en mousse XPS</v>
      </c>
    </row>
    <row r="2885" spans="1:5" x14ac:dyDescent="0.3">
      <c r="A2885" s="888" t="str">
        <f>IF(LEN('Translation-EN'!A2885)&gt;0,'Translation-EN'!A2885,"")</f>
        <v>Range</v>
      </c>
      <c r="B2885" s="888" t="str">
        <f>IF(LEN('Translation-EN'!B2885)&gt;0,'Translation-EN'!B2885,"")</f>
        <v>Master sheet</v>
      </c>
      <c r="C2885" s="888" t="str">
        <f>IF(LEN('Translation-EN'!C2885)&gt;0,'Translation-EN'!C2885,"")</f>
        <v>C573</v>
      </c>
      <c r="D2885" s="888" t="str">
        <f>IF(LEN('Translation-EN'!D2885)&gt;0,'Translation-EN'!D2885,"")</f>
        <v/>
      </c>
      <c r="E2885" s="893" t="s">
        <v>3689</v>
      </c>
    </row>
    <row r="2886" spans="1:5" x14ac:dyDescent="0.3">
      <c r="A2886" s="888" t="str">
        <f>IF(LEN('Translation-EN'!A2886)&gt;0,'Translation-EN'!A2886,"")</f>
        <v>Range</v>
      </c>
      <c r="B2886" s="888" t="str">
        <f>IF(LEN('Translation-EN'!B2886)&gt;0,'Translation-EN'!B2886,"")</f>
        <v>Master sheet</v>
      </c>
      <c r="C2886" s="888" t="str">
        <f>IF(LEN('Translation-EN'!C2886)&gt;0,'Translation-EN'!C2886,"")</f>
        <v>D573</v>
      </c>
      <c r="D2886" s="888" t="str">
        <f>IF(LEN('Translation-EN'!D2886)&gt;0,'Translation-EN'!D2886,"")</f>
        <v/>
      </c>
      <c r="E2886" s="893" t="s">
        <v>6564</v>
      </c>
    </row>
    <row r="2887" spans="1:5" x14ac:dyDescent="0.3">
      <c r="A2887" s="888" t="str">
        <f>IF(LEN('Translation-EN'!A2887)&gt;0,'Translation-EN'!A2887,"")</f>
        <v>Range</v>
      </c>
      <c r="B2887" s="888" t="str">
        <f>IF(LEN('Translation-EN'!B2887)&gt;0,'Translation-EN'!B2887,"")</f>
        <v>Master sheet</v>
      </c>
      <c r="C2887" s="888" t="str">
        <f>IF(LEN('Translation-EN'!C2887)&gt;0,'Translation-EN'!C2887,"")</f>
        <v>B574</v>
      </c>
      <c r="D2887" s="888" t="str">
        <f>IF(LEN('Translation-EN'!D2887)&gt;0,'Translation-EN'!D2887,"")</f>
        <v/>
      </c>
      <c r="E2887" s="893" t="str">
        <f>$E$2478</f>
        <v>Panneau en mousse XPS</v>
      </c>
    </row>
    <row r="2888" spans="1:5" x14ac:dyDescent="0.3">
      <c r="A2888" s="888" t="str">
        <f>IF(LEN('Translation-EN'!A2888)&gt;0,'Translation-EN'!A2888,"")</f>
        <v>Range</v>
      </c>
      <c r="B2888" s="888" t="str">
        <f>IF(LEN('Translation-EN'!B2888)&gt;0,'Translation-EN'!B2888,"")</f>
        <v>Master sheet</v>
      </c>
      <c r="C2888" s="888" t="str">
        <f>IF(LEN('Translation-EN'!C2888)&gt;0,'Translation-EN'!C2888,"")</f>
        <v>C574</v>
      </c>
      <c r="D2888" s="888" t="str">
        <f>IF(LEN('Translation-EN'!D2888)&gt;0,'Translation-EN'!D2888,"")</f>
        <v/>
      </c>
      <c r="E2888" s="893" t="s">
        <v>3697</v>
      </c>
    </row>
    <row r="2889" spans="1:5" x14ac:dyDescent="0.3">
      <c r="A2889" s="888" t="str">
        <f>IF(LEN('Translation-EN'!A2889)&gt;0,'Translation-EN'!A2889,"")</f>
        <v>Range</v>
      </c>
      <c r="B2889" s="888" t="str">
        <f>IF(LEN('Translation-EN'!B2889)&gt;0,'Translation-EN'!B2889,"")</f>
        <v>Master sheet</v>
      </c>
      <c r="C2889" s="888" t="str">
        <f>IF(LEN('Translation-EN'!C2889)&gt;0,'Translation-EN'!C2889,"")</f>
        <v>D574</v>
      </c>
      <c r="D2889" s="888" t="str">
        <f>IF(LEN('Translation-EN'!D2889)&gt;0,'Translation-EN'!D2889,"")</f>
        <v/>
      </c>
      <c r="E2889" s="893" t="s">
        <v>3775</v>
      </c>
    </row>
    <row r="2890" spans="1:5" x14ac:dyDescent="0.3">
      <c r="A2890" s="888" t="str">
        <f>IF(LEN('Translation-EN'!A2890)&gt;0,'Translation-EN'!A2890,"")</f>
        <v>Range</v>
      </c>
      <c r="B2890" s="888" t="str">
        <f>IF(LEN('Translation-EN'!B2890)&gt;0,'Translation-EN'!B2890,"")</f>
        <v>Master sheet</v>
      </c>
      <c r="C2890" s="888" t="str">
        <f>IF(LEN('Translation-EN'!C2890)&gt;0,'Translation-EN'!C2890,"")</f>
        <v>B580</v>
      </c>
      <c r="D2890" s="888" t="str">
        <f>IF(LEN('Translation-EN'!D2890)&gt;0,'Translation-EN'!D2890,"")</f>
        <v/>
      </c>
      <c r="E2890" s="893" t="s">
        <v>6565</v>
      </c>
    </row>
    <row r="2891" spans="1:5" x14ac:dyDescent="0.3">
      <c r="A2891" s="888" t="str">
        <f>IF(LEN('Translation-EN'!A2891)&gt;0,'Translation-EN'!A2891,"")</f>
        <v>Range</v>
      </c>
      <c r="B2891" s="888" t="str">
        <f>IF(LEN('Translation-EN'!B2891)&gt;0,'Translation-EN'!B2891,"")</f>
        <v>Master sheet</v>
      </c>
      <c r="C2891" s="888" t="str">
        <f>IF(LEN('Translation-EN'!C2891)&gt;0,'Translation-EN'!C2891,"")</f>
        <v>C580</v>
      </c>
      <c r="D2891" s="888" t="str">
        <f>IF(LEN('Translation-EN'!D2891)&gt;0,'Translation-EN'!D2891,"")</f>
        <v/>
      </c>
      <c r="E2891" s="893" t="s">
        <v>504</v>
      </c>
    </row>
    <row r="2892" spans="1:5" x14ac:dyDescent="0.3">
      <c r="A2892" s="888" t="str">
        <f>IF(LEN('Translation-EN'!A2892)&gt;0,'Translation-EN'!A2892,"")</f>
        <v>Range</v>
      </c>
      <c r="B2892" s="888" t="str">
        <f>IF(LEN('Translation-EN'!B2892)&gt;0,'Translation-EN'!B2892,"")</f>
        <v>Master sheet</v>
      </c>
      <c r="C2892" s="888" t="str">
        <f>IF(LEN('Translation-EN'!C2892)&gt;0,'Translation-EN'!C2892,"")</f>
        <v>D580</v>
      </c>
      <c r="D2892" s="888" t="str">
        <f>IF(LEN('Translation-EN'!D2892)&gt;0,'Translation-EN'!D2892,"")</f>
        <v/>
      </c>
      <c r="E2892" s="1018" t="s">
        <v>3710</v>
      </c>
    </row>
    <row r="2893" spans="1:5" x14ac:dyDescent="0.3">
      <c r="A2893" s="888" t="str">
        <f>IF(LEN('Translation-EN'!A2893)&gt;0,'Translation-EN'!A2893,"")</f>
        <v>Range</v>
      </c>
      <c r="B2893" s="888" t="str">
        <f>IF(LEN('Translation-EN'!B2893)&gt;0,'Translation-EN'!B2893,"")</f>
        <v>Master sheet</v>
      </c>
      <c r="C2893" s="888" t="str">
        <f>IF(LEN('Translation-EN'!C2893)&gt;0,'Translation-EN'!C2893,"")</f>
        <v>B581</v>
      </c>
      <c r="D2893" s="888" t="str">
        <f>IF(LEN('Translation-EN'!D2893)&gt;0,'Translation-EN'!D2893,"")</f>
        <v/>
      </c>
      <c r="E2893" s="893" t="str">
        <f>$E$2218</f>
        <v>Polyiso – panneaux muraux</v>
      </c>
    </row>
    <row r="2894" spans="1:5" x14ac:dyDescent="0.3">
      <c r="A2894" s="888" t="str">
        <f>IF(LEN('Translation-EN'!A2894)&gt;0,'Translation-EN'!A2894,"")</f>
        <v>Range</v>
      </c>
      <c r="B2894" s="888" t="str">
        <f>IF(LEN('Translation-EN'!B2894)&gt;0,'Translation-EN'!B2894,"")</f>
        <v>Master sheet</v>
      </c>
      <c r="C2894" s="888" t="str">
        <f>IF(LEN('Translation-EN'!C2894)&gt;0,'Translation-EN'!C2894,"")</f>
        <v>C581</v>
      </c>
      <c r="D2894" s="888" t="str">
        <f>IF(LEN('Translation-EN'!D2894)&gt;0,'Translation-EN'!D2894,"")</f>
        <v/>
      </c>
      <c r="E2894" s="893" t="str">
        <f>$E$2885</f>
        <v>DuPont</v>
      </c>
    </row>
    <row r="2895" spans="1:5" x14ac:dyDescent="0.3">
      <c r="A2895" s="888" t="str">
        <f>IF(LEN('Translation-EN'!A2895)&gt;0,'Translation-EN'!A2895,"")</f>
        <v>Range</v>
      </c>
      <c r="B2895" s="888" t="str">
        <f>IF(LEN('Translation-EN'!B2895)&gt;0,'Translation-EN'!B2895,"")</f>
        <v>Master sheet</v>
      </c>
      <c r="C2895" s="888" t="str">
        <f>IF(LEN('Translation-EN'!C2895)&gt;0,'Translation-EN'!C2895,"")</f>
        <v>D581</v>
      </c>
      <c r="D2895" s="888" t="str">
        <f>IF(LEN('Translation-EN'!D2895)&gt;0,'Translation-EN'!D2895,"")</f>
        <v/>
      </c>
      <c r="E2895" s="893" t="s">
        <v>3712</v>
      </c>
    </row>
    <row r="2896" spans="1:5" x14ac:dyDescent="0.3">
      <c r="A2896" s="888" t="str">
        <f>IF(LEN('Translation-EN'!A2896)&gt;0,'Translation-EN'!A2896,"")</f>
        <v>Range</v>
      </c>
      <c r="B2896" s="888" t="str">
        <f>IF(LEN('Translation-EN'!B2896)&gt;0,'Translation-EN'!B2896,"")</f>
        <v>Master sheet</v>
      </c>
      <c r="C2896" s="888" t="str">
        <f>IF(LEN('Translation-EN'!C2896)&gt;0,'Translation-EN'!C2896,"")</f>
        <v>B582</v>
      </c>
      <c r="D2896" s="888" t="str">
        <f>IF(LEN('Translation-EN'!D2896)&gt;0,'Translation-EN'!D2896,"")</f>
        <v/>
      </c>
      <c r="E2896" s="893" t="str">
        <f>$E$2013</f>
        <v>Bois en placage stratifié</v>
      </c>
    </row>
    <row r="2897" spans="1:5" x14ac:dyDescent="0.3">
      <c r="A2897" s="888" t="str">
        <f>IF(LEN('Translation-EN'!A2897)&gt;0,'Translation-EN'!A2897,"")</f>
        <v>Range</v>
      </c>
      <c r="B2897" s="888" t="str">
        <f>IF(LEN('Translation-EN'!B2897)&gt;0,'Translation-EN'!B2897,"")</f>
        <v>Master sheet</v>
      </c>
      <c r="C2897" s="888" t="str">
        <f>IF(LEN('Translation-EN'!C2897)&gt;0,'Translation-EN'!C2897,"")</f>
        <v>C582</v>
      </c>
      <c r="D2897" s="888" t="str">
        <f>IF(LEN('Translation-EN'!D2897)&gt;0,'Translation-EN'!D2897,"")</f>
        <v/>
      </c>
      <c r="E2897" s="893" t="s">
        <v>3714</v>
      </c>
    </row>
    <row r="2898" spans="1:5" x14ac:dyDescent="0.3">
      <c r="A2898" s="888" t="str">
        <f>IF(LEN('Translation-EN'!A2898)&gt;0,'Translation-EN'!A2898,"")</f>
        <v>Range</v>
      </c>
      <c r="B2898" s="888" t="str">
        <f>IF(LEN('Translation-EN'!B2898)&gt;0,'Translation-EN'!B2898,"")</f>
        <v>Master sheet</v>
      </c>
      <c r="C2898" s="888" t="str">
        <f>IF(LEN('Translation-EN'!C2898)&gt;0,'Translation-EN'!C2898,"")</f>
        <v>D582</v>
      </c>
      <c r="D2898" s="888" t="str">
        <f>IF(LEN('Translation-EN'!D2898)&gt;0,'Translation-EN'!D2898,"")</f>
        <v/>
      </c>
      <c r="E2898" s="893" t="s">
        <v>3715</v>
      </c>
    </row>
    <row r="2899" spans="1:5" x14ac:dyDescent="0.3">
      <c r="A2899" s="888" t="str">
        <f>IF(LEN('Translation-EN'!A2899)&gt;0,'Translation-EN'!A2899,"")</f>
        <v>Range</v>
      </c>
      <c r="B2899" s="888" t="str">
        <f>IF(LEN('Translation-EN'!B2899)&gt;0,'Translation-EN'!B2899,"")</f>
        <v>Master sheet</v>
      </c>
      <c r="C2899" s="888" t="str">
        <f>IF(LEN('Translation-EN'!C2899)&gt;0,'Translation-EN'!C2899,"")</f>
        <v>B583</v>
      </c>
      <c r="D2899" s="888" t="str">
        <f>IF(LEN('Translation-EN'!D2899)&gt;0,'Translation-EN'!D2899,"")</f>
        <v/>
      </c>
      <c r="E2899" s="893" t="s">
        <v>6566</v>
      </c>
    </row>
    <row r="2900" spans="1:5" x14ac:dyDescent="0.3">
      <c r="A2900" s="888" t="str">
        <f>IF(LEN('Translation-EN'!A2900)&gt;0,'Translation-EN'!A2900,"")</f>
        <v>Range</v>
      </c>
      <c r="B2900" s="888" t="str">
        <f>IF(LEN('Translation-EN'!B2900)&gt;0,'Translation-EN'!B2900,"")</f>
        <v>Master sheet</v>
      </c>
      <c r="C2900" s="888" t="str">
        <f>IF(LEN('Translation-EN'!C2900)&gt;0,'Translation-EN'!C2900,"")</f>
        <v>C583</v>
      </c>
      <c r="D2900" s="888" t="str">
        <f>IF(LEN('Translation-EN'!D2900)&gt;0,'Translation-EN'!D2900,"")</f>
        <v/>
      </c>
      <c r="E2900" s="893" t="s">
        <v>3717</v>
      </c>
    </row>
    <row r="2901" spans="1:5" x14ac:dyDescent="0.3">
      <c r="A2901" s="888" t="str">
        <f>IF(LEN('Translation-EN'!A2901)&gt;0,'Translation-EN'!A2901,"")</f>
        <v>Range</v>
      </c>
      <c r="B2901" s="888" t="str">
        <f>IF(LEN('Translation-EN'!B2901)&gt;0,'Translation-EN'!B2901,"")</f>
        <v>Master sheet</v>
      </c>
      <c r="C2901" s="888" t="str">
        <f>IF(LEN('Translation-EN'!C2901)&gt;0,'Translation-EN'!C2901,"")</f>
        <v>D583</v>
      </c>
      <c r="D2901" s="888" t="str">
        <f>IF(LEN('Translation-EN'!D2901)&gt;0,'Translation-EN'!D2901,"")</f>
        <v/>
      </c>
      <c r="E2901" s="893" t="s">
        <v>6567</v>
      </c>
    </row>
    <row r="2902" spans="1:5" x14ac:dyDescent="0.3">
      <c r="A2902" s="888" t="str">
        <f>IF(LEN('Translation-EN'!A2902)&gt;0,'Translation-EN'!A2902,"")</f>
        <v>Range</v>
      </c>
      <c r="B2902" s="888" t="str">
        <f>IF(LEN('Translation-EN'!B2902)&gt;0,'Translation-EN'!B2902,"")</f>
        <v>Master sheet</v>
      </c>
      <c r="C2902" s="888" t="str">
        <f>IF(LEN('Translation-EN'!C2902)&gt;0,'Translation-EN'!C2902,"")</f>
        <v>B584</v>
      </c>
      <c r="D2902" s="888" t="str">
        <f>IF(LEN('Translation-EN'!D2902)&gt;0,'Translation-EN'!D2902,"")</f>
        <v/>
      </c>
      <c r="E2902" s="893" t="str">
        <f>$E$2218</f>
        <v>Polyiso – panneaux muraux</v>
      </c>
    </row>
    <row r="2903" spans="1:5" x14ac:dyDescent="0.3">
      <c r="A2903" s="888" t="str">
        <f>IF(LEN('Translation-EN'!A2903)&gt;0,'Translation-EN'!A2903,"")</f>
        <v>Range</v>
      </c>
      <c r="B2903" s="888" t="str">
        <f>IF(LEN('Translation-EN'!B2903)&gt;0,'Translation-EN'!B2903,"")</f>
        <v>Master sheet</v>
      </c>
      <c r="C2903" s="888" t="str">
        <f>IF(LEN('Translation-EN'!C2903)&gt;0,'Translation-EN'!C2903,"")</f>
        <v>C584</v>
      </c>
      <c r="D2903" s="888" t="str">
        <f>IF(LEN('Translation-EN'!D2903)&gt;0,'Translation-EN'!D2903,"")</f>
        <v/>
      </c>
      <c r="E2903" s="1018" t="str">
        <f>$E$2180</f>
        <v>PIMA</v>
      </c>
    </row>
    <row r="2904" spans="1:5" x14ac:dyDescent="0.3">
      <c r="A2904" s="888" t="str">
        <f>IF(LEN('Translation-EN'!A2904)&gt;0,'Translation-EN'!A2904,"")</f>
        <v>Range</v>
      </c>
      <c r="B2904" s="888" t="str">
        <f>IF(LEN('Translation-EN'!B2904)&gt;0,'Translation-EN'!B2904,"")</f>
        <v>Master sheet</v>
      </c>
      <c r="C2904" s="888" t="str">
        <f>IF(LEN('Translation-EN'!C2904)&gt;0,'Translation-EN'!C2904,"")</f>
        <v>D584</v>
      </c>
      <c r="D2904" s="888" t="str">
        <f>IF(LEN('Translation-EN'!D2904)&gt;0,'Translation-EN'!D2904,"")</f>
        <v/>
      </c>
      <c r="E2904" s="893" t="str">
        <f>$E$2181</f>
        <v>Inclus: Atlas, Firestone, GAF, Johns Manville, Rmax, Carlisle, Iko, Soprema</v>
      </c>
    </row>
    <row r="2905" spans="1:5" x14ac:dyDescent="0.3">
      <c r="A2905" s="888" t="str">
        <f>IF(LEN('Translation-EN'!A2905)&gt;0,'Translation-EN'!A2905,"")</f>
        <v>Range</v>
      </c>
      <c r="B2905" s="888" t="str">
        <f>IF(LEN('Translation-EN'!B2905)&gt;0,'Translation-EN'!B2905,"")</f>
        <v>Master sheet</v>
      </c>
      <c r="C2905" s="888" t="str">
        <f>IF(LEN('Translation-EN'!C2905)&gt;0,'Translation-EN'!C2905,"")</f>
        <v>B585</v>
      </c>
      <c r="D2905" s="888" t="str">
        <f>IF(LEN('Translation-EN'!D2905)&gt;0,'Translation-EN'!D2905,"")</f>
        <v/>
      </c>
      <c r="E2905" s="893" t="s">
        <v>6568</v>
      </c>
    </row>
    <row r="2906" spans="1:5" x14ac:dyDescent="0.3">
      <c r="A2906" s="888" t="str">
        <f>IF(LEN('Translation-EN'!A2906)&gt;0,'Translation-EN'!A2906,"")</f>
        <v>Range</v>
      </c>
      <c r="B2906" s="888" t="str">
        <f>IF(LEN('Translation-EN'!B2906)&gt;0,'Translation-EN'!B2906,"")</f>
        <v>Master sheet</v>
      </c>
      <c r="C2906" s="888" t="str">
        <f>IF(LEN('Translation-EN'!C2906)&gt;0,'Translation-EN'!C2906,"")</f>
        <v>C585</v>
      </c>
      <c r="D2906" s="888" t="str">
        <f>IF(LEN('Translation-EN'!D2906)&gt;0,'Translation-EN'!D2906,"")</f>
        <v/>
      </c>
      <c r="E2906" s="893" t="s">
        <v>3780</v>
      </c>
    </row>
    <row r="2907" spans="1:5" x14ac:dyDescent="0.3">
      <c r="A2907" s="888" t="str">
        <f>IF(LEN('Translation-EN'!A2907)&gt;0,'Translation-EN'!A2907,"")</f>
        <v>Range</v>
      </c>
      <c r="B2907" s="888" t="str">
        <f>IF(LEN('Translation-EN'!B2907)&gt;0,'Translation-EN'!B2907,"")</f>
        <v>Master sheet</v>
      </c>
      <c r="C2907" s="888" t="str">
        <f>IF(LEN('Translation-EN'!C2907)&gt;0,'Translation-EN'!C2907,"")</f>
        <v>D585</v>
      </c>
      <c r="D2907" s="888" t="str">
        <f>IF(LEN('Translation-EN'!D2907)&gt;0,'Translation-EN'!D2907,"")</f>
        <v/>
      </c>
      <c r="E2907" s="1018" t="s">
        <v>6569</v>
      </c>
    </row>
    <row r="2908" spans="1:5" x14ac:dyDescent="0.3">
      <c r="A2908" s="888" t="str">
        <f>IF(LEN('Translation-EN'!A2908)&gt;0,'Translation-EN'!A2908,"")</f>
        <v>Range</v>
      </c>
      <c r="B2908" s="888" t="str">
        <f>IF(LEN('Translation-EN'!B2908)&gt;0,'Translation-EN'!B2908,"")</f>
        <v>Master sheet</v>
      </c>
      <c r="C2908" s="888" t="str">
        <f>IF(LEN('Translation-EN'!C2908)&gt;0,'Translation-EN'!C2908,"")</f>
        <v>B589</v>
      </c>
      <c r="D2908" s="888" t="str">
        <f>IF(LEN('Translation-EN'!D2908)&gt;0,'Translation-EN'!D2908,"")</f>
        <v/>
      </c>
      <c r="E2908" s="893" t="s">
        <v>6570</v>
      </c>
    </row>
    <row r="2909" spans="1:5" x14ac:dyDescent="0.3">
      <c r="A2909" s="888" t="str">
        <f>IF(LEN('Translation-EN'!A2909)&gt;0,'Translation-EN'!A2909,"")</f>
        <v>Range</v>
      </c>
      <c r="B2909" s="888" t="str">
        <f>IF(LEN('Translation-EN'!B2909)&gt;0,'Translation-EN'!B2909,"")</f>
        <v>Master sheet</v>
      </c>
      <c r="C2909" s="888" t="str">
        <f>IF(LEN('Translation-EN'!C2909)&gt;0,'Translation-EN'!C2909,"")</f>
        <v>C589</v>
      </c>
      <c r="D2909" s="888" t="str">
        <f>IF(LEN('Translation-EN'!D2909)&gt;0,'Translation-EN'!D2909,"")</f>
        <v/>
      </c>
      <c r="E2909" s="893" t="str">
        <f>$E$2117</f>
        <v>LP</v>
      </c>
    </row>
    <row r="2910" spans="1:5" x14ac:dyDescent="0.3">
      <c r="A2910" s="888" t="str">
        <f>IF(LEN('Translation-EN'!A2910)&gt;0,'Translation-EN'!A2910,"")</f>
        <v>Range</v>
      </c>
      <c r="B2910" s="888" t="str">
        <f>IF(LEN('Translation-EN'!B2910)&gt;0,'Translation-EN'!B2910,"")</f>
        <v>Master sheet</v>
      </c>
      <c r="C2910" s="888" t="str">
        <f>IF(LEN('Translation-EN'!C2910)&gt;0,'Translation-EN'!C2910,"")</f>
        <v>D589</v>
      </c>
      <c r="D2910" s="888" t="str">
        <f>IF(LEN('Translation-EN'!D2910)&gt;0,'Translation-EN'!D2910,"")</f>
        <v/>
      </c>
      <c r="E2910" s="893" t="s">
        <v>3726</v>
      </c>
    </row>
    <row r="2911" spans="1:5" x14ac:dyDescent="0.3">
      <c r="A2911" s="888" t="str">
        <f>IF(LEN('Translation-EN'!A2911)&gt;0,'Translation-EN'!A2911,"")</f>
        <v>Range</v>
      </c>
      <c r="B2911" s="888" t="str">
        <f>IF(LEN('Translation-EN'!B2911)&gt;0,'Translation-EN'!B2911,"")</f>
        <v>Master sheet</v>
      </c>
      <c r="C2911" s="888" t="str">
        <f>IF(LEN('Translation-EN'!C2911)&gt;0,'Translation-EN'!C2911,"")</f>
        <v>E589</v>
      </c>
      <c r="D2911" s="888" t="str">
        <f>IF(LEN('Translation-EN'!D2911)&gt;0,'Translation-EN'!D2911,"")</f>
        <v/>
      </c>
      <c r="E2911" s="893" t="s">
        <v>6571</v>
      </c>
    </row>
    <row r="2912" spans="1:5" x14ac:dyDescent="0.3">
      <c r="A2912" s="888" t="str">
        <f>IF(LEN('Translation-EN'!A2912)&gt;0,'Translation-EN'!A2912,"")</f>
        <v>Range</v>
      </c>
      <c r="B2912" s="888" t="str">
        <f>IF(LEN('Translation-EN'!B2912)&gt;0,'Translation-EN'!B2912,"")</f>
        <v>Master sheet</v>
      </c>
      <c r="C2912" s="888" t="str">
        <f>IF(LEN('Translation-EN'!C2912)&gt;0,'Translation-EN'!C2912,"")</f>
        <v>B590</v>
      </c>
      <c r="D2912" s="888" t="str">
        <f>IF(LEN('Translation-EN'!D2912)&gt;0,'Translation-EN'!D2912,"")</f>
        <v/>
      </c>
      <c r="E2912" s="893" t="str">
        <f>$E$2908</f>
        <v>Bardage et moulures en bois d'ingénierie</v>
      </c>
    </row>
    <row r="2913" spans="1:5" x14ac:dyDescent="0.3">
      <c r="A2913" s="888" t="str">
        <f>IF(LEN('Translation-EN'!A2913)&gt;0,'Translation-EN'!A2913,"")</f>
        <v>Range</v>
      </c>
      <c r="B2913" s="888" t="str">
        <f>IF(LEN('Translation-EN'!B2913)&gt;0,'Translation-EN'!B2913,"")</f>
        <v>Master sheet</v>
      </c>
      <c r="C2913" s="888" t="str">
        <f>IF(LEN('Translation-EN'!C2913)&gt;0,'Translation-EN'!C2913,"")</f>
        <v>C590</v>
      </c>
      <c r="D2913" s="888" t="str">
        <f>IF(LEN('Translation-EN'!D2913)&gt;0,'Translation-EN'!D2913,"")</f>
        <v/>
      </c>
      <c r="E2913" s="893" t="str">
        <f>$E$2117</f>
        <v>LP</v>
      </c>
    </row>
    <row r="2914" spans="1:5" x14ac:dyDescent="0.3">
      <c r="A2914" s="888" t="str">
        <f>IF(LEN('Translation-EN'!A2914)&gt;0,'Translation-EN'!A2914,"")</f>
        <v>Range</v>
      </c>
      <c r="B2914" s="888" t="str">
        <f>IF(LEN('Translation-EN'!B2914)&gt;0,'Translation-EN'!B2914,"")</f>
        <v>Master sheet</v>
      </c>
      <c r="C2914" s="888" t="str">
        <f>IF(LEN('Translation-EN'!C2914)&gt;0,'Translation-EN'!C2914,"")</f>
        <v>D590</v>
      </c>
      <c r="D2914" s="888" t="str">
        <f>IF(LEN('Translation-EN'!D2914)&gt;0,'Translation-EN'!D2914,"")</f>
        <v/>
      </c>
      <c r="E2914" s="893" t="str">
        <f>$E$2910</f>
        <v>SmartSide</v>
      </c>
    </row>
    <row r="2915" spans="1:5" x14ac:dyDescent="0.3">
      <c r="A2915" s="888" t="str">
        <f>IF(LEN('Translation-EN'!A2915)&gt;0,'Translation-EN'!A2915,"")</f>
        <v>Range</v>
      </c>
      <c r="B2915" s="888" t="str">
        <f>IF(LEN('Translation-EN'!B2915)&gt;0,'Translation-EN'!B2915,"")</f>
        <v>Master sheet</v>
      </c>
      <c r="C2915" s="888" t="str">
        <f>IF(LEN('Translation-EN'!C2915)&gt;0,'Translation-EN'!C2915,"")</f>
        <v>E590</v>
      </c>
      <c r="D2915" s="888" t="str">
        <f>IF(LEN('Translation-EN'!D2915)&gt;0,'Translation-EN'!D2915,"")</f>
        <v/>
      </c>
      <c r="E2915" s="893" t="s">
        <v>6572</v>
      </c>
    </row>
    <row r="2916" spans="1:5" x14ac:dyDescent="0.3">
      <c r="A2916" s="888" t="str">
        <f>IF(LEN('Translation-EN'!A2916)&gt;0,'Translation-EN'!A2916,"")</f>
        <v>Range</v>
      </c>
      <c r="B2916" s="888" t="str">
        <f>IF(LEN('Translation-EN'!B2916)&gt;0,'Translation-EN'!B2916,"")</f>
        <v>Master sheet</v>
      </c>
      <c r="C2916" s="888" t="str">
        <f>IF(LEN('Translation-EN'!C2916)&gt;0,'Translation-EN'!C2916,"")</f>
        <v>B591</v>
      </c>
      <c r="D2916" s="888" t="str">
        <f>IF(LEN('Translation-EN'!D2916)&gt;0,'Translation-EN'!D2916,"")</f>
        <v/>
      </c>
      <c r="E2916" s="1047" t="str">
        <f>$E$2908</f>
        <v>Bardage et moulures en bois d'ingénierie</v>
      </c>
    </row>
    <row r="2917" spans="1:5" x14ac:dyDescent="0.3">
      <c r="A2917" s="888" t="str">
        <f>IF(LEN('Translation-EN'!A2917)&gt;0,'Translation-EN'!A2917,"")</f>
        <v>Range</v>
      </c>
      <c r="B2917" s="888" t="str">
        <f>IF(LEN('Translation-EN'!B2917)&gt;0,'Translation-EN'!B2917,"")</f>
        <v>Master sheet</v>
      </c>
      <c r="C2917" s="888" t="str">
        <f>IF(LEN('Translation-EN'!C2917)&gt;0,'Translation-EN'!C2917,"")</f>
        <v>C591</v>
      </c>
      <c r="D2917" s="888" t="str">
        <f>IF(LEN('Translation-EN'!D2917)&gt;0,'Translation-EN'!D2917,"")</f>
        <v/>
      </c>
      <c r="E2917" s="893" t="str">
        <f>$E$2117</f>
        <v>LP</v>
      </c>
    </row>
    <row r="2918" spans="1:5" x14ac:dyDescent="0.3">
      <c r="A2918" s="888" t="str">
        <f>IF(LEN('Translation-EN'!A2918)&gt;0,'Translation-EN'!A2918,"")</f>
        <v>Range</v>
      </c>
      <c r="B2918" s="888" t="str">
        <f>IF(LEN('Translation-EN'!B2918)&gt;0,'Translation-EN'!B2918,"")</f>
        <v>Master sheet</v>
      </c>
      <c r="C2918" s="888" t="str">
        <f>IF(LEN('Translation-EN'!C2918)&gt;0,'Translation-EN'!C2918,"")</f>
        <v>D591</v>
      </c>
      <c r="D2918" s="888" t="str">
        <f>IF(LEN('Translation-EN'!D2918)&gt;0,'Translation-EN'!D2918,"")</f>
        <v/>
      </c>
      <c r="E2918" s="893" t="str">
        <f>$E$2910</f>
        <v>SmartSide</v>
      </c>
    </row>
    <row r="2919" spans="1:5" x14ac:dyDescent="0.3">
      <c r="A2919" s="888" t="str">
        <f>IF(LEN('Translation-EN'!A2919)&gt;0,'Translation-EN'!A2919,"")</f>
        <v>Range</v>
      </c>
      <c r="B2919" s="888" t="str">
        <f>IF(LEN('Translation-EN'!B2919)&gt;0,'Translation-EN'!B2919,"")</f>
        <v>Master sheet</v>
      </c>
      <c r="C2919" s="888" t="str">
        <f>IF(LEN('Translation-EN'!C2919)&gt;0,'Translation-EN'!C2919,"")</f>
        <v>E591</v>
      </c>
      <c r="D2919" s="888" t="str">
        <f>IF(LEN('Translation-EN'!D2919)&gt;0,'Translation-EN'!D2919,"")</f>
        <v/>
      </c>
      <c r="E2919" s="893" t="s">
        <v>6573</v>
      </c>
    </row>
    <row r="2920" spans="1:5" x14ac:dyDescent="0.3">
      <c r="A2920" s="888" t="str">
        <f>IF(LEN('Translation-EN'!A2920)&gt;0,'Translation-EN'!A2920,"")</f>
        <v>Range</v>
      </c>
      <c r="B2920" s="888" t="str">
        <f>IF(LEN('Translation-EN'!B2920)&gt;0,'Translation-EN'!B2920,"")</f>
        <v>Master sheet</v>
      </c>
      <c r="C2920" s="888" t="str">
        <f>IF(LEN('Translation-EN'!C2920)&gt;0,'Translation-EN'!C2920,"")</f>
        <v>B592</v>
      </c>
      <c r="D2920" s="888" t="str">
        <f>IF(LEN('Translation-EN'!D2920)&gt;0,'Translation-EN'!D2920,"")</f>
        <v/>
      </c>
      <c r="E2920" s="893" t="str">
        <f>$E$2908</f>
        <v>Bardage et moulures en bois d'ingénierie</v>
      </c>
    </row>
    <row r="2921" spans="1:5" x14ac:dyDescent="0.3">
      <c r="A2921" s="888" t="str">
        <f>IF(LEN('Translation-EN'!A2921)&gt;0,'Translation-EN'!A2921,"")</f>
        <v>Range</v>
      </c>
      <c r="B2921" s="888" t="str">
        <f>IF(LEN('Translation-EN'!B2921)&gt;0,'Translation-EN'!B2921,"")</f>
        <v>Master sheet</v>
      </c>
      <c r="C2921" s="888" t="str">
        <f>IF(LEN('Translation-EN'!C2921)&gt;0,'Translation-EN'!C2921,"")</f>
        <v>C592</v>
      </c>
      <c r="D2921" s="888" t="str">
        <f>IF(LEN('Translation-EN'!D2921)&gt;0,'Translation-EN'!D2921,"")</f>
        <v/>
      </c>
      <c r="E2921" s="893" t="str">
        <f>$E$2117</f>
        <v>LP</v>
      </c>
    </row>
    <row r="2922" spans="1:5" x14ac:dyDescent="0.3">
      <c r="A2922" s="888" t="str">
        <f>IF(LEN('Translation-EN'!A2922)&gt;0,'Translation-EN'!A2922,"")</f>
        <v>Range</v>
      </c>
      <c r="B2922" s="888" t="str">
        <f>IF(LEN('Translation-EN'!B2922)&gt;0,'Translation-EN'!B2922,"")</f>
        <v>Master sheet</v>
      </c>
      <c r="C2922" s="888" t="str">
        <f>IF(LEN('Translation-EN'!C2922)&gt;0,'Translation-EN'!C2922,"")</f>
        <v>D592</v>
      </c>
      <c r="D2922" s="888" t="str">
        <f>IF(LEN('Translation-EN'!D2922)&gt;0,'Translation-EN'!D2922,"")</f>
        <v/>
      </c>
      <c r="E2922" s="893" t="s">
        <v>6574</v>
      </c>
    </row>
    <row r="2923" spans="1:5" x14ac:dyDescent="0.3">
      <c r="A2923" s="888" t="str">
        <f>IF(LEN('Translation-EN'!A2923)&gt;0,'Translation-EN'!A2923,"")</f>
        <v>Range</v>
      </c>
      <c r="B2923" s="888" t="str">
        <f>IF(LEN('Translation-EN'!B2923)&gt;0,'Translation-EN'!B2923,"")</f>
        <v>Master sheet</v>
      </c>
      <c r="C2923" s="888" t="str">
        <f>IF(LEN('Translation-EN'!C2923)&gt;0,'Translation-EN'!C2923,"")</f>
        <v>E592</v>
      </c>
      <c r="D2923" s="888" t="str">
        <f>IF(LEN('Translation-EN'!D2923)&gt;0,'Translation-EN'!D2923,"")</f>
        <v/>
      </c>
      <c r="E2923" s="893" t="s">
        <v>6575</v>
      </c>
    </row>
    <row r="2924" spans="1:5" x14ac:dyDescent="0.3">
      <c r="A2924" s="888" t="str">
        <f>IF(LEN('Translation-EN'!A2924)&gt;0,'Translation-EN'!A2924,"")</f>
        <v>Range</v>
      </c>
      <c r="B2924" s="888" t="str">
        <f>IF(LEN('Translation-EN'!B2924)&gt;0,'Translation-EN'!B2924,"")</f>
        <v>Master sheet</v>
      </c>
      <c r="C2924" s="888" t="str">
        <f>IF(LEN('Translation-EN'!C2924)&gt;0,'Translation-EN'!C2924,"")</f>
        <v>B593</v>
      </c>
      <c r="D2924" s="888" t="str">
        <f>IF(LEN('Translation-EN'!D2924)&gt;0,'Translation-EN'!D2924,"")</f>
        <v/>
      </c>
      <c r="E2924" s="893" t="str">
        <f>$E$2908</f>
        <v>Bardage et moulures en bois d'ingénierie</v>
      </c>
    </row>
    <row r="2925" spans="1:5" x14ac:dyDescent="0.3">
      <c r="A2925" s="888" t="str">
        <f>IF(LEN('Translation-EN'!A2925)&gt;0,'Translation-EN'!A2925,"")</f>
        <v>Range</v>
      </c>
      <c r="B2925" s="888" t="str">
        <f>IF(LEN('Translation-EN'!B2925)&gt;0,'Translation-EN'!B2925,"")</f>
        <v>Master sheet</v>
      </c>
      <c r="C2925" s="888" t="str">
        <f>IF(LEN('Translation-EN'!C2925)&gt;0,'Translation-EN'!C2925,"")</f>
        <v>C593</v>
      </c>
      <c r="D2925" s="888" t="str">
        <f>IF(LEN('Translation-EN'!D2925)&gt;0,'Translation-EN'!D2925,"")</f>
        <v/>
      </c>
      <c r="E2925" s="893" t="str">
        <f>$E$2117</f>
        <v>LP</v>
      </c>
    </row>
    <row r="2926" spans="1:5" x14ac:dyDescent="0.3">
      <c r="A2926" s="888" t="str">
        <f>IF(LEN('Translation-EN'!A2926)&gt;0,'Translation-EN'!A2926,"")</f>
        <v>Range</v>
      </c>
      <c r="B2926" s="888" t="str">
        <f>IF(LEN('Translation-EN'!B2926)&gt;0,'Translation-EN'!B2926,"")</f>
        <v>Master sheet</v>
      </c>
      <c r="C2926" s="888" t="str">
        <f>IF(LEN('Translation-EN'!C2926)&gt;0,'Translation-EN'!C2926,"")</f>
        <v>D593</v>
      </c>
      <c r="D2926" s="888" t="str">
        <f>IF(LEN('Translation-EN'!D2926)&gt;0,'Translation-EN'!D2926,"")</f>
        <v/>
      </c>
      <c r="E2926" s="893" t="s">
        <v>4536</v>
      </c>
    </row>
    <row r="2927" spans="1:5" x14ac:dyDescent="0.3">
      <c r="A2927" s="888" t="str">
        <f>IF(LEN('Translation-EN'!A2927)&gt;0,'Translation-EN'!A2927,"")</f>
        <v>Range</v>
      </c>
      <c r="B2927" s="888" t="str">
        <f>IF(LEN('Translation-EN'!B2927)&gt;0,'Translation-EN'!B2927,"")</f>
        <v>Master sheet</v>
      </c>
      <c r="C2927" s="888" t="str">
        <f>IF(LEN('Translation-EN'!C2927)&gt;0,'Translation-EN'!C2927,"")</f>
        <v>E593</v>
      </c>
      <c r="D2927" s="888" t="str">
        <f>IF(LEN('Translation-EN'!D2927)&gt;0,'Translation-EN'!D2927,"")</f>
        <v/>
      </c>
      <c r="E2927" s="893" t="s">
        <v>6576</v>
      </c>
    </row>
    <row r="2928" spans="1:5" x14ac:dyDescent="0.3">
      <c r="A2928" s="888" t="str">
        <f>IF(LEN('Translation-EN'!A2928)&gt;0,'Translation-EN'!A2928,"")</f>
        <v>Range</v>
      </c>
      <c r="B2928" s="888" t="str">
        <f>IF(LEN('Translation-EN'!B2928)&gt;0,'Translation-EN'!B2928,"")</f>
        <v>Master sheet</v>
      </c>
      <c r="C2928" s="888" t="str">
        <f>IF(LEN('Translation-EN'!C2928)&gt;0,'Translation-EN'!C2928,"")</f>
        <v>B594</v>
      </c>
      <c r="D2928" s="888" t="str">
        <f>IF(LEN('Translation-EN'!D2928)&gt;0,'Translation-EN'!D2928,"")</f>
        <v/>
      </c>
      <c r="E2928" s="893" t="str">
        <f>$E$2355</f>
        <v>Fenêtre – sous-fenêtre double</v>
      </c>
    </row>
    <row r="2929" spans="1:5" x14ac:dyDescent="0.3">
      <c r="A2929" s="888" t="str">
        <f>IF(LEN('Translation-EN'!A2929)&gt;0,'Translation-EN'!A2929,"")</f>
        <v>Range</v>
      </c>
      <c r="B2929" s="888" t="str">
        <f>IF(LEN('Translation-EN'!B2929)&gt;0,'Translation-EN'!B2929,"")</f>
        <v>Master sheet</v>
      </c>
      <c r="C2929" s="888" t="str">
        <f>IF(LEN('Translation-EN'!C2929)&gt;0,'Translation-EN'!C2929,"")</f>
        <v>C594</v>
      </c>
      <c r="D2929" s="888" t="str">
        <f>IF(LEN('Translation-EN'!D2929)&gt;0,'Translation-EN'!D2929,"")</f>
        <v/>
      </c>
      <c r="E2929" s="893" t="s">
        <v>3736</v>
      </c>
    </row>
    <row r="2930" spans="1:5" x14ac:dyDescent="0.3">
      <c r="A2930" s="888" t="str">
        <f>IF(LEN('Translation-EN'!A2930)&gt;0,'Translation-EN'!A2930,"")</f>
        <v>Range</v>
      </c>
      <c r="B2930" s="888" t="str">
        <f>IF(LEN('Translation-EN'!B2930)&gt;0,'Translation-EN'!B2930,"")</f>
        <v>Master sheet</v>
      </c>
      <c r="C2930" s="888" t="str">
        <f>IF(LEN('Translation-EN'!C2930)&gt;0,'Translation-EN'!C2930,"")</f>
        <v>D594</v>
      </c>
      <c r="D2930" s="888" t="str">
        <f>IF(LEN('Translation-EN'!D2930)&gt;0,'Translation-EN'!D2930,"")</f>
        <v/>
      </c>
      <c r="E2930" s="893" t="s">
        <v>6577</v>
      </c>
    </row>
    <row r="2931" spans="1:5" x14ac:dyDescent="0.3">
      <c r="A2931" s="888" t="str">
        <f>IF(LEN('Translation-EN'!A2931)&gt;0,'Translation-EN'!A2931,"")</f>
        <v>Range</v>
      </c>
      <c r="B2931" s="888" t="str">
        <f>IF(LEN('Translation-EN'!B2931)&gt;0,'Translation-EN'!B2931,"")</f>
        <v>Master sheet</v>
      </c>
      <c r="C2931" s="888" t="str">
        <f>IF(LEN('Translation-EN'!C2931)&gt;0,'Translation-EN'!C2931,"")</f>
        <v>E594</v>
      </c>
      <c r="D2931" s="888" t="str">
        <f>IF(LEN('Translation-EN'!D2931)&gt;0,'Translation-EN'!D2931,"")</f>
        <v/>
      </c>
      <c r="E2931" s="893" t="str">
        <f>$E$2356</f>
        <v>Cadre en fibre de verre</v>
      </c>
    </row>
    <row r="2932" spans="1:5" x14ac:dyDescent="0.3">
      <c r="A2932" s="888" t="str">
        <f>IF(LEN('Translation-EN'!A2932)&gt;0,'Translation-EN'!A2932,"")</f>
        <v>Range</v>
      </c>
      <c r="B2932" s="888" t="str">
        <f>IF(LEN('Translation-EN'!B2932)&gt;0,'Translation-EN'!B2932,"")</f>
        <v>Master sheet</v>
      </c>
      <c r="C2932" s="888" t="str">
        <f>IF(LEN('Translation-EN'!C2932)&gt;0,'Translation-EN'!C2932,"")</f>
        <v>B596</v>
      </c>
      <c r="D2932" s="888" t="str">
        <f>IF(LEN('Translation-EN'!D2932)&gt;0,'Translation-EN'!D2932,"")</f>
        <v/>
      </c>
      <c r="E2932" s="893" t="str">
        <f>$E$1957</f>
        <v>Panneaux de gypse – matelas de verre</v>
      </c>
    </row>
    <row r="2933" spans="1:5" x14ac:dyDescent="0.3">
      <c r="A2933" s="888" t="str">
        <f>IF(LEN('Translation-EN'!A2933)&gt;0,'Translation-EN'!A2933,"")</f>
        <v>Range</v>
      </c>
      <c r="B2933" s="888" t="str">
        <f>IF(LEN('Translation-EN'!B2933)&gt;0,'Translation-EN'!B2933,"")</f>
        <v>Master sheet</v>
      </c>
      <c r="C2933" s="888" t="str">
        <f>IF(LEN('Translation-EN'!C2933)&gt;0,'Translation-EN'!C2933,"")</f>
        <v>C596</v>
      </c>
      <c r="D2933" s="888" t="str">
        <f>IF(LEN('Translation-EN'!D2933)&gt;0,'Translation-EN'!D2933,"")</f>
        <v/>
      </c>
      <c r="E2933" s="893" t="str">
        <f>$E$1894</f>
        <v>CertainTeed</v>
      </c>
    </row>
    <row r="2934" spans="1:5" x14ac:dyDescent="0.3">
      <c r="A2934" s="888" t="str">
        <f>IF(LEN('Translation-EN'!A2934)&gt;0,'Translation-EN'!A2934,"")</f>
        <v>Range</v>
      </c>
      <c r="B2934" s="888" t="str">
        <f>IF(LEN('Translation-EN'!B2934)&gt;0,'Translation-EN'!B2934,"")</f>
        <v>Master sheet</v>
      </c>
      <c r="C2934" s="888" t="str">
        <f>IF(LEN('Translation-EN'!C2934)&gt;0,'Translation-EN'!C2934,"")</f>
        <v>D596</v>
      </c>
      <c r="D2934" s="888" t="str">
        <f>IF(LEN('Translation-EN'!D2934)&gt;0,'Translation-EN'!D2934,"")</f>
        <v/>
      </c>
      <c r="E2934" s="893" t="s">
        <v>6578</v>
      </c>
    </row>
    <row r="2935" spans="1:5" x14ac:dyDescent="0.3">
      <c r="A2935" s="888" t="str">
        <f>IF(LEN('Translation-EN'!A2935)&gt;0,'Translation-EN'!A2935,"")</f>
        <v>Range</v>
      </c>
      <c r="B2935" s="888" t="str">
        <f>IF(LEN('Translation-EN'!B2935)&gt;0,'Translation-EN'!B2935,"")</f>
        <v>Master sheet</v>
      </c>
      <c r="C2935" s="888" t="str">
        <f>IF(LEN('Translation-EN'!C2935)&gt;0,'Translation-EN'!C2935,"")</f>
        <v>B597</v>
      </c>
      <c r="D2935" s="888" t="str">
        <f>IF(LEN('Translation-EN'!D2935)&gt;0,'Translation-EN'!D2935,"")</f>
        <v/>
      </c>
      <c r="E2935" s="893" t="str">
        <f>$E$1957</f>
        <v>Panneaux de gypse – matelas de verre</v>
      </c>
    </row>
    <row r="2936" spans="1:5" x14ac:dyDescent="0.3">
      <c r="A2936" s="888" t="str">
        <f>IF(LEN('Translation-EN'!A2936)&gt;0,'Translation-EN'!A2936,"")</f>
        <v>Range</v>
      </c>
      <c r="B2936" s="888" t="str">
        <f>IF(LEN('Translation-EN'!B2936)&gt;0,'Translation-EN'!B2936,"")</f>
        <v>Master sheet</v>
      </c>
      <c r="C2936" s="888" t="str">
        <f>IF(LEN('Translation-EN'!C2936)&gt;0,'Translation-EN'!C2936,"")</f>
        <v>C597</v>
      </c>
      <c r="D2936" s="888" t="str">
        <f>IF(LEN('Translation-EN'!D2936)&gt;0,'Translation-EN'!D2936,"")</f>
        <v/>
      </c>
      <c r="E2936" s="893" t="str">
        <f>$E$1961</f>
        <v>Georgia-Pacific</v>
      </c>
    </row>
    <row r="2937" spans="1:5" x14ac:dyDescent="0.3">
      <c r="A2937" s="888" t="str">
        <f>IF(LEN('Translation-EN'!A2937)&gt;0,'Translation-EN'!A2937,"")</f>
        <v>Range</v>
      </c>
      <c r="B2937" s="888" t="str">
        <f>IF(LEN('Translation-EN'!B2937)&gt;0,'Translation-EN'!B2937,"")</f>
        <v>Master sheet</v>
      </c>
      <c r="C2937" s="888" t="str">
        <f>IF(LEN('Translation-EN'!C2937)&gt;0,'Translation-EN'!C2937,"")</f>
        <v>D597</v>
      </c>
      <c r="D2937" s="888" t="str">
        <f>IF(LEN('Translation-EN'!D2937)&gt;0,'Translation-EN'!D2937,"")</f>
        <v/>
      </c>
      <c r="E2937" s="893" t="str">
        <f>$E$1962</f>
        <v>DensGlass Sheathing</v>
      </c>
    </row>
    <row r="2938" spans="1:5" x14ac:dyDescent="0.3">
      <c r="A2938" s="888" t="str">
        <f>IF(LEN('Translation-EN'!A2938)&gt;0,'Translation-EN'!A2938,"")</f>
        <v>Range</v>
      </c>
      <c r="B2938" s="888" t="str">
        <f>IF(LEN('Translation-EN'!B2938)&gt;0,'Translation-EN'!B2938,"")</f>
        <v>Master sheet</v>
      </c>
      <c r="C2938" s="888" t="str">
        <f>IF(LEN('Translation-EN'!C2938)&gt;0,'Translation-EN'!C2938,"")</f>
        <v>B598</v>
      </c>
      <c r="D2938" s="888" t="str">
        <f>IF(LEN('Translation-EN'!D2938)&gt;0,'Translation-EN'!D2938,"")</f>
        <v/>
      </c>
      <c r="E2938" s="893" t="str">
        <f>$E$1957</f>
        <v>Panneaux de gypse – matelas de verre</v>
      </c>
    </row>
    <row r="2939" spans="1:5" x14ac:dyDescent="0.3">
      <c r="A2939" s="888" t="str">
        <f>IF(LEN('Translation-EN'!A2939)&gt;0,'Translation-EN'!A2939,"")</f>
        <v>Range</v>
      </c>
      <c r="B2939" s="888" t="str">
        <f>IF(LEN('Translation-EN'!B2939)&gt;0,'Translation-EN'!B2939,"")</f>
        <v>Master sheet</v>
      </c>
      <c r="C2939" s="888" t="str">
        <f>IF(LEN('Translation-EN'!C2939)&gt;0,'Translation-EN'!C2939,"")</f>
        <v>C598</v>
      </c>
      <c r="D2939" s="888" t="str">
        <f>IF(LEN('Translation-EN'!D2939)&gt;0,'Translation-EN'!D2939,"")</f>
        <v/>
      </c>
      <c r="E2939" s="893" t="str">
        <f>$E$1958</f>
        <v>Association du gypse</v>
      </c>
    </row>
    <row r="2940" spans="1:5" x14ac:dyDescent="0.3">
      <c r="A2940" s="888" t="str">
        <f>IF(LEN('Translation-EN'!A2940)&gt;0,'Translation-EN'!A2940,"")</f>
        <v>Range</v>
      </c>
      <c r="B2940" s="888" t="str">
        <f>IF(LEN('Translation-EN'!B2940)&gt;0,'Translation-EN'!B2940,"")</f>
        <v>Master sheet</v>
      </c>
      <c r="C2940" s="888" t="str">
        <f>IF(LEN('Translation-EN'!C2940)&gt;0,'Translation-EN'!C2940,"")</f>
        <v>D598</v>
      </c>
      <c r="D2940" s="888" t="str">
        <f>IF(LEN('Translation-EN'!D2940)&gt;0,'Translation-EN'!D2940,"")</f>
        <v/>
      </c>
      <c r="E2940" s="893" t="str">
        <f>$E$1959</f>
        <v>Moyenne de l'industrie nord-américaine</v>
      </c>
    </row>
    <row r="2941" spans="1:5" x14ac:dyDescent="0.3">
      <c r="A2941" s="888" t="str">
        <f>IF(LEN('Translation-EN'!A2941)&gt;0,'Translation-EN'!A2941,"")</f>
        <v>Range</v>
      </c>
      <c r="B2941" s="888" t="str">
        <f>IF(LEN('Translation-EN'!B2941)&gt;0,'Translation-EN'!B2941,"")</f>
        <v>Master sheet</v>
      </c>
      <c r="C2941" s="888" t="str">
        <f>IF(LEN('Translation-EN'!C2941)&gt;0,'Translation-EN'!C2941,"")</f>
        <v>E598</v>
      </c>
      <c r="D2941" s="888" t="str">
        <f>IF(LEN('Translation-EN'!D2941)&gt;0,'Translation-EN'!D2941,"")</f>
        <v/>
      </c>
      <c r="E2941" s="893" t="s">
        <v>4542</v>
      </c>
    </row>
    <row r="2942" spans="1:5" x14ac:dyDescent="0.3">
      <c r="A2942" s="888" t="str">
        <f>IF(LEN('Translation-EN'!A2942)&gt;0,'Translation-EN'!A2942,"")</f>
        <v>Range</v>
      </c>
      <c r="B2942" s="888" t="str">
        <f>IF(LEN('Translation-EN'!B2942)&gt;0,'Translation-EN'!B2942,"")</f>
        <v>Master sheet</v>
      </c>
      <c r="C2942" s="888" t="str">
        <f>IF(LEN('Translation-EN'!C2942)&gt;0,'Translation-EN'!C2942,"")</f>
        <v>B601</v>
      </c>
      <c r="D2942" s="888" t="str">
        <f>IF(LEN('Translation-EN'!D2942)&gt;0,'Translation-EN'!D2942,"")</f>
        <v/>
      </c>
      <c r="E2942" s="893" t="str">
        <f>$E$2844</f>
        <v>Bardage en fibrociment</v>
      </c>
    </row>
    <row r="2943" spans="1:5" x14ac:dyDescent="0.3">
      <c r="A2943" s="888" t="str">
        <f>IF(LEN('Translation-EN'!A2943)&gt;0,'Translation-EN'!A2943,"")</f>
        <v>Range</v>
      </c>
      <c r="B2943" s="888" t="str">
        <f>IF(LEN('Translation-EN'!B2943)&gt;0,'Translation-EN'!B2943,"")</f>
        <v>Master sheet</v>
      </c>
      <c r="C2943" s="888" t="str">
        <f>IF(LEN('Translation-EN'!C2943)&gt;0,'Translation-EN'!C2943,"")</f>
        <v>C601</v>
      </c>
      <c r="D2943" s="888" t="str">
        <f>IF(LEN('Translation-EN'!D2943)&gt;0,'Translation-EN'!D2943,"")</f>
        <v/>
      </c>
      <c r="E2943" s="893" t="s">
        <v>3742</v>
      </c>
    </row>
    <row r="2944" spans="1:5" x14ac:dyDescent="0.3">
      <c r="A2944" s="888" t="str">
        <f>IF(LEN('Translation-EN'!A2944)&gt;0,'Translation-EN'!A2944,"")</f>
        <v>Range</v>
      </c>
      <c r="B2944" s="888" t="str">
        <f>IF(LEN('Translation-EN'!B2944)&gt;0,'Translation-EN'!B2944,"")</f>
        <v>Master sheet</v>
      </c>
      <c r="C2944" s="888" t="str">
        <f>IF(LEN('Translation-EN'!C2944)&gt;0,'Translation-EN'!C2944,"")</f>
        <v>D601</v>
      </c>
      <c r="D2944" s="888" t="str">
        <f>IF(LEN('Translation-EN'!D2944)&gt;0,'Translation-EN'!D2944,"")</f>
        <v/>
      </c>
      <c r="E2944" s="893" t="s">
        <v>4543</v>
      </c>
    </row>
    <row r="2945" spans="1:5" x14ac:dyDescent="0.3">
      <c r="A2945" s="888" t="str">
        <f>IF(LEN('Translation-EN'!A2945)&gt;0,'Translation-EN'!A2945,"")</f>
        <v>Range</v>
      </c>
      <c r="B2945" s="888" t="str">
        <f>IF(LEN('Translation-EN'!B2945)&gt;0,'Translation-EN'!B2945,"")</f>
        <v>Master sheet</v>
      </c>
      <c r="C2945" s="888" t="str">
        <f>IF(LEN('Translation-EN'!C2945)&gt;0,'Translation-EN'!C2945,"")</f>
        <v>B602</v>
      </c>
      <c r="D2945" s="888" t="str">
        <f>IF(LEN('Translation-EN'!D2945)&gt;0,'Translation-EN'!D2945,"")</f>
        <v/>
      </c>
      <c r="E2945" s="893" t="str">
        <f>$E$2844</f>
        <v>Bardage en fibrociment</v>
      </c>
    </row>
    <row r="2946" spans="1:5" x14ac:dyDescent="0.3">
      <c r="A2946" s="888" t="str">
        <f>IF(LEN('Translation-EN'!A2946)&gt;0,'Translation-EN'!A2946,"")</f>
        <v>Range</v>
      </c>
      <c r="B2946" s="888" t="str">
        <f>IF(LEN('Translation-EN'!B2946)&gt;0,'Translation-EN'!B2946,"")</f>
        <v>Master sheet</v>
      </c>
      <c r="C2946" s="888" t="str">
        <f>IF(LEN('Translation-EN'!C2946)&gt;0,'Translation-EN'!C2946,"")</f>
        <v>C602</v>
      </c>
      <c r="D2946" s="888" t="str">
        <f>IF(LEN('Translation-EN'!D2946)&gt;0,'Translation-EN'!D2946,"")</f>
        <v/>
      </c>
      <c r="E2946" s="893" t="str">
        <f>$E$2943</f>
        <v>James Hardie</v>
      </c>
    </row>
    <row r="2947" spans="1:5" x14ac:dyDescent="0.3">
      <c r="A2947" s="888" t="str">
        <f>IF(LEN('Translation-EN'!A2947)&gt;0,'Translation-EN'!A2947,"")</f>
        <v>Range</v>
      </c>
      <c r="B2947" s="888" t="str">
        <f>IF(LEN('Translation-EN'!B2947)&gt;0,'Translation-EN'!B2947,"")</f>
        <v>Master sheet</v>
      </c>
      <c r="C2947" s="888" t="str">
        <f>IF(LEN('Translation-EN'!C2947)&gt;0,'Translation-EN'!C2947,"")</f>
        <v>D602</v>
      </c>
      <c r="D2947" s="888" t="str">
        <f>IF(LEN('Translation-EN'!D2947)&gt;0,'Translation-EN'!D2947,"")</f>
        <v/>
      </c>
      <c r="E2947" s="893" t="s">
        <v>4546</v>
      </c>
    </row>
    <row r="2948" spans="1:5" x14ac:dyDescent="0.3">
      <c r="A2948" s="888" t="str">
        <f>IF(LEN('Translation-EN'!A2948)&gt;0,'Translation-EN'!A2948,"")</f>
        <v>Range</v>
      </c>
      <c r="B2948" s="888" t="str">
        <f>IF(LEN('Translation-EN'!B2948)&gt;0,'Translation-EN'!B2948,"")</f>
        <v>Master sheet</v>
      </c>
      <c r="C2948" s="888" t="str">
        <f>IF(LEN('Translation-EN'!C2948)&gt;0,'Translation-EN'!C2948,"")</f>
        <v>B603</v>
      </c>
      <c r="D2948" s="888" t="str">
        <f>IF(LEN('Translation-EN'!D2948)&gt;0,'Translation-EN'!D2948,"")</f>
        <v/>
      </c>
      <c r="E2948" s="893" t="str">
        <f>$E$2844</f>
        <v>Bardage en fibrociment</v>
      </c>
    </row>
    <row r="2949" spans="1:5" x14ac:dyDescent="0.3">
      <c r="A2949" s="888" t="str">
        <f>IF(LEN('Translation-EN'!A2949)&gt;0,'Translation-EN'!A2949,"")</f>
        <v>Range</v>
      </c>
      <c r="B2949" s="888" t="str">
        <f>IF(LEN('Translation-EN'!B2949)&gt;0,'Translation-EN'!B2949,"")</f>
        <v>Master sheet</v>
      </c>
      <c r="C2949" s="888" t="str">
        <f>IF(LEN('Translation-EN'!C2949)&gt;0,'Translation-EN'!C2949,"")</f>
        <v>C603</v>
      </c>
      <c r="D2949" s="888" t="str">
        <f>IF(LEN('Translation-EN'!D2949)&gt;0,'Translation-EN'!D2949,"")</f>
        <v/>
      </c>
      <c r="E2949" s="893" t="str">
        <f>$E$2943</f>
        <v>James Hardie</v>
      </c>
    </row>
    <row r="2950" spans="1:5" x14ac:dyDescent="0.3">
      <c r="A2950" s="888" t="str">
        <f>IF(LEN('Translation-EN'!A2950)&gt;0,'Translation-EN'!A2950,"")</f>
        <v>Range</v>
      </c>
      <c r="B2950" s="888" t="str">
        <f>IF(LEN('Translation-EN'!B2950)&gt;0,'Translation-EN'!B2950,"")</f>
        <v>Master sheet</v>
      </c>
      <c r="C2950" s="888" t="str">
        <f>IF(LEN('Translation-EN'!C2950)&gt;0,'Translation-EN'!C2950,"")</f>
        <v>D603</v>
      </c>
      <c r="D2950" s="888" t="str">
        <f>IF(LEN('Translation-EN'!D2950)&gt;0,'Translation-EN'!D2950,"")</f>
        <v/>
      </c>
      <c r="E2950" s="893" t="s">
        <v>6579</v>
      </c>
    </row>
    <row r="2951" spans="1:5" x14ac:dyDescent="0.3">
      <c r="A2951" s="888" t="str">
        <f>IF(LEN('Translation-EN'!A2951)&gt;0,'Translation-EN'!A2951,"")</f>
        <v>Range</v>
      </c>
      <c r="B2951" s="888" t="str">
        <f>IF(LEN('Translation-EN'!B2951)&gt;0,'Translation-EN'!B2951,"")</f>
        <v>Master sheet</v>
      </c>
      <c r="C2951" s="888" t="str">
        <f>IF(LEN('Translation-EN'!C2951)&gt;0,'Translation-EN'!C2951,"")</f>
        <v>E603</v>
      </c>
      <c r="D2951" s="888" t="str">
        <f>IF(LEN('Translation-EN'!D2951)&gt;0,'Translation-EN'!D2951,"")</f>
        <v/>
      </c>
      <c r="E2951" s="893" t="s">
        <v>6580</v>
      </c>
    </row>
    <row r="2952" spans="1:5" x14ac:dyDescent="0.3">
      <c r="A2952" s="888" t="str">
        <f>IF(LEN('Translation-EN'!A2952)&gt;0,'Translation-EN'!A2952,"")</f>
        <v>Range</v>
      </c>
      <c r="B2952" s="888" t="str">
        <f>IF(LEN('Translation-EN'!B2952)&gt;0,'Translation-EN'!B2952,"")</f>
        <v>Master sheet</v>
      </c>
      <c r="C2952" s="888" t="str">
        <f>IF(LEN('Translation-EN'!C2952)&gt;0,'Translation-EN'!C2952,"")</f>
        <v>B604</v>
      </c>
      <c r="D2952" s="888" t="str">
        <f>IF(LEN('Translation-EN'!D2952)&gt;0,'Translation-EN'!D2952,"")</f>
        <v/>
      </c>
      <c r="E2952" s="893" t="str">
        <f>$E$2844</f>
        <v>Bardage en fibrociment</v>
      </c>
    </row>
    <row r="2953" spans="1:5" x14ac:dyDescent="0.3">
      <c r="A2953" s="888" t="str">
        <f>IF(LEN('Translation-EN'!A2953)&gt;0,'Translation-EN'!A2953,"")</f>
        <v>Range</v>
      </c>
      <c r="B2953" s="888" t="str">
        <f>IF(LEN('Translation-EN'!B2953)&gt;0,'Translation-EN'!B2953,"")</f>
        <v>Master sheet</v>
      </c>
      <c r="C2953" s="888" t="str">
        <f>IF(LEN('Translation-EN'!C2953)&gt;0,'Translation-EN'!C2953,"")</f>
        <v>C604</v>
      </c>
      <c r="D2953" s="888" t="str">
        <f>IF(LEN('Translation-EN'!D2953)&gt;0,'Translation-EN'!D2953,"")</f>
        <v/>
      </c>
      <c r="E2953" s="893" t="str">
        <f>$E$2943</f>
        <v>James Hardie</v>
      </c>
    </row>
    <row r="2954" spans="1:5" x14ac:dyDescent="0.3">
      <c r="A2954" s="888" t="str">
        <f>IF(LEN('Translation-EN'!A2954)&gt;0,'Translation-EN'!A2954,"")</f>
        <v>Range</v>
      </c>
      <c r="B2954" s="888" t="str">
        <f>IF(LEN('Translation-EN'!B2954)&gt;0,'Translation-EN'!B2954,"")</f>
        <v>Master sheet</v>
      </c>
      <c r="C2954" s="888" t="str">
        <f>IF(LEN('Translation-EN'!C2954)&gt;0,'Translation-EN'!C2954,"")</f>
        <v>D604</v>
      </c>
      <c r="D2954" s="888" t="str">
        <f>IF(LEN('Translation-EN'!D2954)&gt;0,'Translation-EN'!D2954,"")</f>
        <v/>
      </c>
      <c r="E2954" s="893" t="s">
        <v>4549</v>
      </c>
    </row>
    <row r="2955" spans="1:5" x14ac:dyDescent="0.3">
      <c r="A2955" s="888" t="str">
        <f>IF(LEN('Translation-EN'!A2955)&gt;0,'Translation-EN'!A2955,"")</f>
        <v>Range</v>
      </c>
      <c r="B2955" s="888" t="str">
        <f>IF(LEN('Translation-EN'!B2955)&gt;0,'Translation-EN'!B2955,"")</f>
        <v>Master sheet</v>
      </c>
      <c r="C2955" s="888" t="str">
        <f>IF(LEN('Translation-EN'!C2955)&gt;0,'Translation-EN'!C2955,"")</f>
        <v>E604</v>
      </c>
      <c r="D2955" s="888" t="str">
        <f>IF(LEN('Translation-EN'!D2955)&gt;0,'Translation-EN'!D2955,"")</f>
        <v/>
      </c>
      <c r="E2955" s="893" t="str">
        <f>$E$2951</f>
        <v>6,3 mm</v>
      </c>
    </row>
    <row r="2956" spans="1:5" x14ac:dyDescent="0.3">
      <c r="A2956" s="888" t="str">
        <f>IF(LEN('Translation-EN'!A2956)&gt;0,'Translation-EN'!A2956,"")</f>
        <v>Range</v>
      </c>
      <c r="B2956" s="888" t="str">
        <f>IF(LEN('Translation-EN'!B2956)&gt;0,'Translation-EN'!B2956,"")</f>
        <v>Master sheet</v>
      </c>
      <c r="C2956" s="888" t="str">
        <f>IF(LEN('Translation-EN'!C2956)&gt;0,'Translation-EN'!C2956,"")</f>
        <v>B605</v>
      </c>
      <c r="D2956" s="888" t="str">
        <f>IF(LEN('Translation-EN'!D2956)&gt;0,'Translation-EN'!D2956,"")</f>
        <v/>
      </c>
      <c r="E2956" s="893" t="s">
        <v>6581</v>
      </c>
    </row>
    <row r="2957" spans="1:5" x14ac:dyDescent="0.3">
      <c r="A2957" s="888" t="str">
        <f>IF(LEN('Translation-EN'!A2957)&gt;0,'Translation-EN'!A2957,"")</f>
        <v>Range</v>
      </c>
      <c r="B2957" s="888" t="str">
        <f>IF(LEN('Translation-EN'!B2957)&gt;0,'Translation-EN'!B2957,"")</f>
        <v>Master sheet</v>
      </c>
      <c r="C2957" s="888" t="str">
        <f>IF(LEN('Translation-EN'!C2957)&gt;0,'Translation-EN'!C2957,"")</f>
        <v>C605</v>
      </c>
      <c r="D2957" s="888" t="str">
        <f>IF(LEN('Translation-EN'!D2957)&gt;0,'Translation-EN'!D2957,"")</f>
        <v/>
      </c>
      <c r="E2957" s="893" t="str">
        <f>$E$1902</f>
        <v>NAIMA</v>
      </c>
    </row>
    <row r="2958" spans="1:5" x14ac:dyDescent="0.3">
      <c r="A2958" s="888" t="str">
        <f>IF(LEN('Translation-EN'!A2958)&gt;0,'Translation-EN'!A2958,"")</f>
        <v>Range</v>
      </c>
      <c r="B2958" s="888" t="str">
        <f>IF(LEN('Translation-EN'!B2958)&gt;0,'Translation-EN'!B2958,"")</f>
        <v>Master sheet</v>
      </c>
      <c r="C2958" s="888" t="str">
        <f>IF(LEN('Translation-EN'!C2958)&gt;0,'Translation-EN'!C2958,"")</f>
        <v>D605</v>
      </c>
      <c r="D2958" s="888" t="str">
        <f>IF(LEN('Translation-EN'!D2958)&gt;0,'Translation-EN'!D2958,"")</f>
        <v/>
      </c>
      <c r="E2958" s="893" t="s">
        <v>6582</v>
      </c>
    </row>
    <row r="2959" spans="1:5" x14ac:dyDescent="0.3">
      <c r="A2959" s="888" t="str">
        <f>IF(LEN('Translation-EN'!A2959)&gt;0,'Translation-EN'!A2959,"")</f>
        <v>Range</v>
      </c>
      <c r="B2959" s="888" t="str">
        <f>IF(LEN('Translation-EN'!B2959)&gt;0,'Translation-EN'!B2959,"")</f>
        <v>Master sheet</v>
      </c>
      <c r="C2959" s="888" t="str">
        <f>IF(LEN('Translation-EN'!C2959)&gt;0,'Translation-EN'!C2959,"")</f>
        <v>E605</v>
      </c>
      <c r="D2959" s="888" t="str">
        <f>IF(LEN('Translation-EN'!D2959)&gt;0,'Translation-EN'!D2959,"")</f>
        <v/>
      </c>
      <c r="E2959" s="893" t="s">
        <v>6583</v>
      </c>
    </row>
    <row r="2960" spans="1:5" x14ac:dyDescent="0.3">
      <c r="A2960" s="888" t="str">
        <f>IF(LEN('Translation-EN'!A2960)&gt;0,'Translation-EN'!A2960,"")</f>
        <v>Range</v>
      </c>
      <c r="B2960" s="888" t="str">
        <f>IF(LEN('Translation-EN'!B2960)&gt;0,'Translation-EN'!B2960,"")</f>
        <v>Master sheet</v>
      </c>
      <c r="C2960" s="888" t="str">
        <f>IF(LEN('Translation-EN'!C2960)&gt;0,'Translation-EN'!C2960,"")</f>
        <v>B606</v>
      </c>
      <c r="D2960" s="888" t="str">
        <f>IF(LEN('Translation-EN'!D2960)&gt;0,'Translation-EN'!D2960,"")</f>
        <v/>
      </c>
      <c r="E2960" s="893" t="s">
        <v>6584</v>
      </c>
    </row>
    <row r="2961" spans="1:5" x14ac:dyDescent="0.3">
      <c r="A2961" s="888" t="str">
        <f>IF(LEN('Translation-EN'!A2961)&gt;0,'Translation-EN'!A2961,"")</f>
        <v>Range</v>
      </c>
      <c r="B2961" s="888" t="str">
        <f>IF(LEN('Translation-EN'!B2961)&gt;0,'Translation-EN'!B2961,"")</f>
        <v>Master sheet</v>
      </c>
      <c r="C2961" s="888" t="str">
        <f>IF(LEN('Translation-EN'!C2961)&gt;0,'Translation-EN'!C2961,"")</f>
        <v>C606</v>
      </c>
      <c r="D2961" s="888" t="str">
        <f>IF(LEN('Translation-EN'!D2961)&gt;0,'Translation-EN'!D2961,"")</f>
        <v/>
      </c>
      <c r="E2961" s="893" t="s">
        <v>6585</v>
      </c>
    </row>
    <row r="2962" spans="1:5" x14ac:dyDescent="0.3">
      <c r="A2962" s="888" t="str">
        <f>IF(LEN('Translation-EN'!A2962)&gt;0,'Translation-EN'!A2962,"")</f>
        <v>Range</v>
      </c>
      <c r="B2962" s="888" t="str">
        <f>IF(LEN('Translation-EN'!B2962)&gt;0,'Translation-EN'!B2962,"")</f>
        <v>Master sheet</v>
      </c>
      <c r="C2962" s="888" t="str">
        <f>IF(LEN('Translation-EN'!C2962)&gt;0,'Translation-EN'!C2962,"")</f>
        <v>D606</v>
      </c>
      <c r="D2962" s="888" t="str">
        <f>IF(LEN('Translation-EN'!D2962)&gt;0,'Translation-EN'!D2962,"")</f>
        <v/>
      </c>
      <c r="E2962" s="893" t="s">
        <v>6586</v>
      </c>
    </row>
    <row r="2963" spans="1:5" x14ac:dyDescent="0.3">
      <c r="A2963" s="888" t="str">
        <f>IF(LEN('Translation-EN'!A2963)&gt;0,'Translation-EN'!A2963,"")</f>
        <v>Range</v>
      </c>
      <c r="B2963" s="888" t="str">
        <f>IF(LEN('Translation-EN'!B2963)&gt;0,'Translation-EN'!B2963,"")</f>
        <v>Master sheet</v>
      </c>
      <c r="C2963" s="888" t="str">
        <f>IF(LEN('Translation-EN'!C2963)&gt;0,'Translation-EN'!C2963,"")</f>
        <v>E606</v>
      </c>
      <c r="D2963" s="888" t="str">
        <f>IF(LEN('Translation-EN'!D2963)&gt;0,'Translation-EN'!D2963,"")</f>
        <v/>
      </c>
      <c r="E2963" s="893" t="s">
        <v>6587</v>
      </c>
    </row>
    <row r="2964" spans="1:5" x14ac:dyDescent="0.3">
      <c r="A2964" s="888" t="str">
        <f>IF(LEN('Translation-EN'!A2964)&gt;0,'Translation-EN'!A2964,"")</f>
        <v>Range</v>
      </c>
      <c r="B2964" s="888" t="str">
        <f>IF(LEN('Translation-EN'!B2964)&gt;0,'Translation-EN'!B2964,"")</f>
        <v>Master sheet</v>
      </c>
      <c r="C2964" s="888" t="str">
        <f>IF(LEN('Translation-EN'!C2964)&gt;0,'Translation-EN'!C2964,"")</f>
        <v>B607</v>
      </c>
      <c r="D2964" s="888" t="str">
        <f>IF(LEN('Translation-EN'!D2964)&gt;0,'Translation-EN'!D2964,"")</f>
        <v/>
      </c>
      <c r="E2964" s="893" t="str">
        <f>$E$2960</f>
        <v>Fenêtre à double vitrage</v>
      </c>
    </row>
    <row r="2965" spans="1:5" x14ac:dyDescent="0.3">
      <c r="A2965" s="888" t="str">
        <f>IF(LEN('Translation-EN'!A2965)&gt;0,'Translation-EN'!A2965,"")</f>
        <v>Range</v>
      </c>
      <c r="B2965" s="888" t="str">
        <f>IF(LEN('Translation-EN'!B2965)&gt;0,'Translation-EN'!B2965,"")</f>
        <v>Master sheet</v>
      </c>
      <c r="C2965" s="888" t="str">
        <f>IF(LEN('Translation-EN'!C2965)&gt;0,'Translation-EN'!C2965,"")</f>
        <v>C607</v>
      </c>
      <c r="D2965" s="888" t="str">
        <f>IF(LEN('Translation-EN'!D2965)&gt;0,'Translation-EN'!D2965,"")</f>
        <v/>
      </c>
      <c r="E2965" s="893" t="s">
        <v>4559</v>
      </c>
    </row>
    <row r="2966" spans="1:5" x14ac:dyDescent="0.3">
      <c r="A2966" s="888" t="str">
        <f>IF(LEN('Translation-EN'!A2966)&gt;0,'Translation-EN'!A2966,"")</f>
        <v>Range</v>
      </c>
      <c r="B2966" s="888" t="str">
        <f>IF(LEN('Translation-EN'!B2966)&gt;0,'Translation-EN'!B2966,"")</f>
        <v>Master sheet</v>
      </c>
      <c r="C2966" s="888" t="str">
        <f>IF(LEN('Translation-EN'!C2966)&gt;0,'Translation-EN'!C2966,"")</f>
        <v>D607</v>
      </c>
      <c r="D2966" s="888" t="str">
        <f>IF(LEN('Translation-EN'!D2966)&gt;0,'Translation-EN'!D2966,"")</f>
        <v/>
      </c>
      <c r="E2966" s="893" t="s">
        <v>6588</v>
      </c>
    </row>
    <row r="2967" spans="1:5" x14ac:dyDescent="0.3">
      <c r="A2967" s="888" t="str">
        <f>IF(LEN('Translation-EN'!A2967)&gt;0,'Translation-EN'!A2967,"")</f>
        <v>Range</v>
      </c>
      <c r="B2967" s="888" t="str">
        <f>IF(LEN('Translation-EN'!B2967)&gt;0,'Translation-EN'!B2967,"")</f>
        <v>Master sheet</v>
      </c>
      <c r="C2967" s="888" t="str">
        <f>IF(LEN('Translation-EN'!C2967)&gt;0,'Translation-EN'!C2967,"")</f>
        <v>E607</v>
      </c>
      <c r="D2967" s="888" t="str">
        <f>IF(LEN('Translation-EN'!D2967)&gt;0,'Translation-EN'!D2967,"")</f>
        <v/>
      </c>
      <c r="E2967" s="893" t="str">
        <f>$E$2963</f>
        <v>Cadre en aluminium</v>
      </c>
    </row>
    <row r="2968" spans="1:5" x14ac:dyDescent="0.3">
      <c r="A2968" s="888" t="str">
        <f>IF(LEN('Translation-EN'!A2968)&gt;0,'Translation-EN'!A2968,"")</f>
        <v>Range</v>
      </c>
      <c r="B2968" s="888" t="str">
        <f>IF(LEN('Translation-EN'!B2968)&gt;0,'Translation-EN'!B2968,"")</f>
        <v>Master sheet</v>
      </c>
      <c r="C2968" s="888" t="str">
        <f>IF(LEN('Translation-EN'!C2968)&gt;0,'Translation-EN'!C2968,"")</f>
        <v>B608</v>
      </c>
      <c r="D2968" s="888" t="str">
        <f>IF(LEN('Translation-EN'!D2968)&gt;0,'Translation-EN'!D2968,"")</f>
        <v/>
      </c>
      <c r="E2968" s="893" t="str">
        <f>$E$2960</f>
        <v>Fenêtre à double vitrage</v>
      </c>
    </row>
    <row r="2969" spans="1:5" x14ac:dyDescent="0.3">
      <c r="A2969" s="888" t="str">
        <f>IF(LEN('Translation-EN'!A2969)&gt;0,'Translation-EN'!A2969,"")</f>
        <v>Range</v>
      </c>
      <c r="B2969" s="888" t="str">
        <f>IF(LEN('Translation-EN'!B2969)&gt;0,'Translation-EN'!B2969,"")</f>
        <v>Master sheet</v>
      </c>
      <c r="C2969" s="888" t="str">
        <f>IF(LEN('Translation-EN'!C2969)&gt;0,'Translation-EN'!C2969,"")</f>
        <v>C608</v>
      </c>
      <c r="D2969" s="888" t="str">
        <f>IF(LEN('Translation-EN'!D2969)&gt;0,'Translation-EN'!D2969,"")</f>
        <v/>
      </c>
      <c r="E2969" s="893" t="s">
        <v>4561</v>
      </c>
    </row>
    <row r="2970" spans="1:5" x14ac:dyDescent="0.3">
      <c r="A2970" s="888" t="str">
        <f>IF(LEN('Translation-EN'!A2970)&gt;0,'Translation-EN'!A2970,"")</f>
        <v>Range</v>
      </c>
      <c r="B2970" s="888" t="str">
        <f>IF(LEN('Translation-EN'!B2970)&gt;0,'Translation-EN'!B2970,"")</f>
        <v>Master sheet</v>
      </c>
      <c r="C2970" s="888" t="str">
        <f>IF(LEN('Translation-EN'!C2970)&gt;0,'Translation-EN'!C2970,"")</f>
        <v>D608</v>
      </c>
      <c r="D2970" s="888" t="str">
        <f>IF(LEN('Translation-EN'!D2970)&gt;0,'Translation-EN'!D2970,"")</f>
        <v/>
      </c>
      <c r="E2970" s="893" t="s">
        <v>6589</v>
      </c>
    </row>
    <row r="2971" spans="1:5" x14ac:dyDescent="0.3">
      <c r="A2971" s="888" t="str">
        <f>IF(LEN('Translation-EN'!A2971)&gt;0,'Translation-EN'!A2971,"")</f>
        <v>Range</v>
      </c>
      <c r="B2971" s="888" t="str">
        <f>IF(LEN('Translation-EN'!B2971)&gt;0,'Translation-EN'!B2971,"")</f>
        <v>Master sheet</v>
      </c>
      <c r="C2971" s="888" t="str">
        <f>IF(LEN('Translation-EN'!C2971)&gt;0,'Translation-EN'!C2971,"")</f>
        <v>E608</v>
      </c>
      <c r="D2971" s="888" t="str">
        <f>IF(LEN('Translation-EN'!D2971)&gt;0,'Translation-EN'!D2971,"")</f>
        <v/>
      </c>
      <c r="E2971" s="893" t="str">
        <f>$E$2963</f>
        <v>Cadre en aluminium</v>
      </c>
    </row>
    <row r="2972" spans="1:5" x14ac:dyDescent="0.3">
      <c r="A2972" s="888" t="str">
        <f>IF(LEN('Translation-EN'!A2972)&gt;0,'Translation-EN'!A2972,"")</f>
        <v>Range</v>
      </c>
      <c r="B2972" s="888" t="str">
        <f>IF(LEN('Translation-EN'!B2972)&gt;0,'Translation-EN'!B2972,"")</f>
        <v>Master sheet</v>
      </c>
      <c r="C2972" s="888" t="str">
        <f>IF(LEN('Translation-EN'!C2972)&gt;0,'Translation-EN'!C2972,"")</f>
        <v>B609</v>
      </c>
      <c r="D2972" s="888" t="str">
        <f>IF(LEN('Translation-EN'!D2972)&gt;0,'Translation-EN'!D2972,"")</f>
        <v/>
      </c>
      <c r="E2972" s="893" t="str">
        <f>$E$2960</f>
        <v>Fenêtre à double vitrage</v>
      </c>
    </row>
    <row r="2973" spans="1:5" x14ac:dyDescent="0.3">
      <c r="A2973" s="888" t="str">
        <f>IF(LEN('Translation-EN'!A2973)&gt;0,'Translation-EN'!A2973,"")</f>
        <v>Range</v>
      </c>
      <c r="B2973" s="888" t="str">
        <f>IF(LEN('Translation-EN'!B2973)&gt;0,'Translation-EN'!B2973,"")</f>
        <v>Master sheet</v>
      </c>
      <c r="C2973" s="888" t="str">
        <f>IF(LEN('Translation-EN'!C2973)&gt;0,'Translation-EN'!C2973,"")</f>
        <v>C609</v>
      </c>
      <c r="D2973" s="888" t="str">
        <f>IF(LEN('Translation-EN'!D2973)&gt;0,'Translation-EN'!D2973,"")</f>
        <v/>
      </c>
      <c r="E2973" s="893" t="str">
        <f>$E$2969</f>
        <v>EFCO</v>
      </c>
    </row>
    <row r="2974" spans="1:5" x14ac:dyDescent="0.3">
      <c r="A2974" s="888" t="str">
        <f>IF(LEN('Translation-EN'!A2974)&gt;0,'Translation-EN'!A2974,"")</f>
        <v>Range</v>
      </c>
      <c r="B2974" s="888" t="str">
        <f>IF(LEN('Translation-EN'!B2974)&gt;0,'Translation-EN'!B2974,"")</f>
        <v>Master sheet</v>
      </c>
      <c r="C2974" s="888" t="str">
        <f>IF(LEN('Translation-EN'!C2974)&gt;0,'Translation-EN'!C2974,"")</f>
        <v>D609</v>
      </c>
      <c r="D2974" s="888" t="str">
        <f>IF(LEN('Translation-EN'!D2974)&gt;0,'Translation-EN'!D2974,"")</f>
        <v/>
      </c>
      <c r="E2974" s="893" t="s">
        <v>6590</v>
      </c>
    </row>
    <row r="2975" spans="1:5" x14ac:dyDescent="0.3">
      <c r="A2975" s="888" t="str">
        <f>IF(LEN('Translation-EN'!A2975)&gt;0,'Translation-EN'!A2975,"")</f>
        <v>Range</v>
      </c>
      <c r="B2975" s="888" t="str">
        <f>IF(LEN('Translation-EN'!B2975)&gt;0,'Translation-EN'!B2975,"")</f>
        <v>Master sheet</v>
      </c>
      <c r="C2975" s="888" t="str">
        <f>IF(LEN('Translation-EN'!C2975)&gt;0,'Translation-EN'!C2975,"")</f>
        <v>E609</v>
      </c>
      <c r="D2975" s="888" t="str">
        <f>IF(LEN('Translation-EN'!D2975)&gt;0,'Translation-EN'!D2975,"")</f>
        <v/>
      </c>
      <c r="E2975" s="893" t="str">
        <f>$E$2963</f>
        <v>Cadre en aluminium</v>
      </c>
    </row>
    <row r="2976" spans="1:5" x14ac:dyDescent="0.3">
      <c r="A2976" s="888" t="str">
        <f>IF(LEN('Translation-EN'!A2976)&gt;0,'Translation-EN'!A2976,"")</f>
        <v>Range</v>
      </c>
      <c r="B2976" s="888" t="str">
        <f>IF(LEN('Translation-EN'!B2976)&gt;0,'Translation-EN'!B2976,"")</f>
        <v>Master sheet</v>
      </c>
      <c r="C2976" s="888" t="str">
        <f>IF(LEN('Translation-EN'!C2976)&gt;0,'Translation-EN'!C2976,"")</f>
        <v>B610</v>
      </c>
      <c r="D2976" s="888" t="str">
        <f>IF(LEN('Translation-EN'!D2976)&gt;0,'Translation-EN'!D2976,"")</f>
        <v/>
      </c>
      <c r="E2976" s="893" t="str">
        <f>$E$2960</f>
        <v>Fenêtre à double vitrage</v>
      </c>
    </row>
    <row r="2977" spans="1:5" x14ac:dyDescent="0.3">
      <c r="A2977" s="888" t="str">
        <f>IF(LEN('Translation-EN'!A2977)&gt;0,'Translation-EN'!A2977,"")</f>
        <v>Range</v>
      </c>
      <c r="B2977" s="888" t="str">
        <f>IF(LEN('Translation-EN'!B2977)&gt;0,'Translation-EN'!B2977,"")</f>
        <v>Master sheet</v>
      </c>
      <c r="C2977" s="888" t="str">
        <f>IF(LEN('Translation-EN'!C2977)&gt;0,'Translation-EN'!C2977,"")</f>
        <v>C610</v>
      </c>
      <c r="D2977" s="888" t="str">
        <f>IF(LEN('Translation-EN'!D2977)&gt;0,'Translation-EN'!D2977,"")</f>
        <v/>
      </c>
      <c r="E2977" s="893" t="s">
        <v>4564</v>
      </c>
    </row>
    <row r="2978" spans="1:5" x14ac:dyDescent="0.3">
      <c r="A2978" s="888" t="str">
        <f>IF(LEN('Translation-EN'!A2978)&gt;0,'Translation-EN'!A2978,"")</f>
        <v>Range</v>
      </c>
      <c r="B2978" s="888" t="str">
        <f>IF(LEN('Translation-EN'!B2978)&gt;0,'Translation-EN'!B2978,"")</f>
        <v>Master sheet</v>
      </c>
      <c r="C2978" s="888" t="str">
        <f>IF(LEN('Translation-EN'!C2978)&gt;0,'Translation-EN'!C2978,"")</f>
        <v>D610</v>
      </c>
      <c r="D2978" s="888" t="str">
        <f>IF(LEN('Translation-EN'!D2978)&gt;0,'Translation-EN'!D2978,"")</f>
        <v/>
      </c>
      <c r="E2978" s="893" t="s">
        <v>6591</v>
      </c>
    </row>
    <row r="2979" spans="1:5" x14ac:dyDescent="0.3">
      <c r="A2979" s="888" t="str">
        <f>IF(LEN('Translation-EN'!A2979)&gt;0,'Translation-EN'!A2979,"")</f>
        <v>Range</v>
      </c>
      <c r="B2979" s="888" t="str">
        <f>IF(LEN('Translation-EN'!B2979)&gt;0,'Translation-EN'!B2979,"")</f>
        <v>Master sheet</v>
      </c>
      <c r="C2979" s="888" t="str">
        <f>IF(LEN('Translation-EN'!C2979)&gt;0,'Translation-EN'!C2979,"")</f>
        <v>E610</v>
      </c>
      <c r="D2979" s="888" t="str">
        <f>IF(LEN('Translation-EN'!D2979)&gt;0,'Translation-EN'!D2979,"")</f>
        <v/>
      </c>
      <c r="E2979" s="893" t="str">
        <f>$E$2963</f>
        <v>Cadre en aluminium</v>
      </c>
    </row>
    <row r="2980" spans="1:5" x14ac:dyDescent="0.3">
      <c r="A2980" s="888" t="str">
        <f>IF(LEN('Translation-EN'!A2980)&gt;0,'Translation-EN'!A2980,"")</f>
        <v>Range</v>
      </c>
      <c r="B2980" s="888" t="str">
        <f>IF(LEN('Translation-EN'!B2980)&gt;0,'Translation-EN'!B2980,"")</f>
        <v>Master sheet</v>
      </c>
      <c r="C2980" s="888" t="str">
        <f>IF(LEN('Translation-EN'!C2980)&gt;0,'Translation-EN'!C2980,"")</f>
        <v>B611</v>
      </c>
      <c r="D2980" s="888" t="str">
        <f>IF(LEN('Translation-EN'!D2980)&gt;0,'Translation-EN'!D2980,"")</f>
        <v/>
      </c>
      <c r="E2980" s="893" t="str">
        <f>$E$2960</f>
        <v>Fenêtre à double vitrage</v>
      </c>
    </row>
    <row r="2981" spans="1:5" x14ac:dyDescent="0.3">
      <c r="A2981" s="888" t="str">
        <f>IF(LEN('Translation-EN'!A2981)&gt;0,'Translation-EN'!A2981,"")</f>
        <v>Range</v>
      </c>
      <c r="B2981" s="888" t="str">
        <f>IF(LEN('Translation-EN'!B2981)&gt;0,'Translation-EN'!B2981,"")</f>
        <v>Master sheet</v>
      </c>
      <c r="C2981" s="888" t="str">
        <f>IF(LEN('Translation-EN'!C2981)&gt;0,'Translation-EN'!C2981,"")</f>
        <v>C611</v>
      </c>
      <c r="D2981" s="888" t="str">
        <f>IF(LEN('Translation-EN'!D2981)&gt;0,'Translation-EN'!D2981,"")</f>
        <v/>
      </c>
      <c r="E2981" s="893" t="str">
        <f>$E$2977</f>
        <v>Kawneer</v>
      </c>
    </row>
    <row r="2982" spans="1:5" x14ac:dyDescent="0.3">
      <c r="A2982" s="888" t="str">
        <f>IF(LEN('Translation-EN'!A2982)&gt;0,'Translation-EN'!A2982,"")</f>
        <v>Range</v>
      </c>
      <c r="B2982" s="888" t="str">
        <f>IF(LEN('Translation-EN'!B2982)&gt;0,'Translation-EN'!B2982,"")</f>
        <v>Master sheet</v>
      </c>
      <c r="C2982" s="888" t="str">
        <f>IF(LEN('Translation-EN'!C2982)&gt;0,'Translation-EN'!C2982,"")</f>
        <v>D611</v>
      </c>
      <c r="D2982" s="888" t="str">
        <f>IF(LEN('Translation-EN'!D2982)&gt;0,'Translation-EN'!D2982,"")</f>
        <v/>
      </c>
      <c r="E2982" s="893" t="s">
        <v>6592</v>
      </c>
    </row>
    <row r="2983" spans="1:5" x14ac:dyDescent="0.3">
      <c r="A2983" s="888" t="str">
        <f>IF(LEN('Translation-EN'!A2983)&gt;0,'Translation-EN'!A2983,"")</f>
        <v>Range</v>
      </c>
      <c r="B2983" s="888" t="str">
        <f>IF(LEN('Translation-EN'!B2983)&gt;0,'Translation-EN'!B2983,"")</f>
        <v>Master sheet</v>
      </c>
      <c r="C2983" s="888" t="str">
        <f>IF(LEN('Translation-EN'!C2983)&gt;0,'Translation-EN'!C2983,"")</f>
        <v>E611</v>
      </c>
      <c r="D2983" s="888" t="str">
        <f>IF(LEN('Translation-EN'!D2983)&gt;0,'Translation-EN'!D2983,"")</f>
        <v/>
      </c>
      <c r="E2983" s="893" t="str">
        <f>$E$2963</f>
        <v>Cadre en aluminium</v>
      </c>
    </row>
    <row r="2984" spans="1:5" x14ac:dyDescent="0.3">
      <c r="A2984" s="888" t="str">
        <f>IF(LEN('Translation-EN'!A2984)&gt;0,'Translation-EN'!A2984,"")</f>
        <v>Range</v>
      </c>
      <c r="B2984" s="888" t="str">
        <f>IF(LEN('Translation-EN'!B2984)&gt;0,'Translation-EN'!B2984,"")</f>
        <v>Master sheet</v>
      </c>
      <c r="C2984" s="888" t="str">
        <f>IF(LEN('Translation-EN'!C2984)&gt;0,'Translation-EN'!C2984,"")</f>
        <v>B612</v>
      </c>
      <c r="D2984" s="888" t="str">
        <f>IF(LEN('Translation-EN'!D2984)&gt;0,'Translation-EN'!D2984,"")</f>
        <v/>
      </c>
      <c r="E2984" s="893" t="str">
        <f>$E$2960</f>
        <v>Fenêtre à double vitrage</v>
      </c>
    </row>
    <row r="2985" spans="1:5" x14ac:dyDescent="0.3">
      <c r="A2985" s="888" t="str">
        <f>IF(LEN('Translation-EN'!A2985)&gt;0,'Translation-EN'!A2985,"")</f>
        <v>Range</v>
      </c>
      <c r="B2985" s="888" t="str">
        <f>IF(LEN('Translation-EN'!B2985)&gt;0,'Translation-EN'!B2985,"")</f>
        <v>Master sheet</v>
      </c>
      <c r="C2985" s="888" t="str">
        <f>IF(LEN('Translation-EN'!C2985)&gt;0,'Translation-EN'!C2985,"")</f>
        <v>C612</v>
      </c>
      <c r="D2985" s="888" t="str">
        <f>IF(LEN('Translation-EN'!D2985)&gt;0,'Translation-EN'!D2985,"")</f>
        <v/>
      </c>
      <c r="E2985" s="893" t="s">
        <v>4569</v>
      </c>
    </row>
    <row r="2986" spans="1:5" x14ac:dyDescent="0.3">
      <c r="A2986" s="888" t="str">
        <f>IF(LEN('Translation-EN'!A2986)&gt;0,'Translation-EN'!A2986,"")</f>
        <v>Range</v>
      </c>
      <c r="B2986" s="888" t="str">
        <f>IF(LEN('Translation-EN'!B2986)&gt;0,'Translation-EN'!B2986,"")</f>
        <v>Master sheet</v>
      </c>
      <c r="C2986" s="888" t="str">
        <f>IF(LEN('Translation-EN'!C2986)&gt;0,'Translation-EN'!C2986,"")</f>
        <v>D612</v>
      </c>
      <c r="D2986" s="888" t="str">
        <f>IF(LEN('Translation-EN'!D2986)&gt;0,'Translation-EN'!D2986,"")</f>
        <v/>
      </c>
      <c r="E2986" s="893" t="s">
        <v>6593</v>
      </c>
    </row>
    <row r="2987" spans="1:5" x14ac:dyDescent="0.3">
      <c r="A2987" s="888" t="str">
        <f>IF(LEN('Translation-EN'!A2987)&gt;0,'Translation-EN'!A2987,"")</f>
        <v>Range</v>
      </c>
      <c r="B2987" s="888" t="str">
        <f>IF(LEN('Translation-EN'!B2987)&gt;0,'Translation-EN'!B2987,"")</f>
        <v>Master sheet</v>
      </c>
      <c r="C2987" s="888" t="str">
        <f>IF(LEN('Translation-EN'!C2987)&gt;0,'Translation-EN'!C2987,"")</f>
        <v>E612</v>
      </c>
      <c r="D2987" s="888" t="str">
        <f>IF(LEN('Translation-EN'!D2987)&gt;0,'Translation-EN'!D2987,"")</f>
        <v/>
      </c>
      <c r="E2987" s="893" t="str">
        <f>$E$2963</f>
        <v>Cadre en aluminium</v>
      </c>
    </row>
    <row r="2988" spans="1:5" x14ac:dyDescent="0.3">
      <c r="A2988" s="888" t="str">
        <f>IF(LEN('Translation-EN'!A2988)&gt;0,'Translation-EN'!A2988,"")</f>
        <v>Range</v>
      </c>
      <c r="B2988" s="888" t="str">
        <f>IF(LEN('Translation-EN'!B2988)&gt;0,'Translation-EN'!B2988,"")</f>
        <v>Master sheet</v>
      </c>
      <c r="C2988" s="888" t="str">
        <f>IF(LEN('Translation-EN'!C2988)&gt;0,'Translation-EN'!C2988,"")</f>
        <v>B613</v>
      </c>
      <c r="D2988" s="888" t="str">
        <f>IF(LEN('Translation-EN'!D2988)&gt;0,'Translation-EN'!D2988,"")</f>
        <v/>
      </c>
      <c r="E2988" s="893" t="str">
        <f>$E$2960</f>
        <v>Fenêtre à double vitrage</v>
      </c>
    </row>
    <row r="2989" spans="1:5" x14ac:dyDescent="0.3">
      <c r="A2989" s="888" t="str">
        <f>IF(LEN('Translation-EN'!A2989)&gt;0,'Translation-EN'!A2989,"")</f>
        <v>Range</v>
      </c>
      <c r="B2989" s="888" t="str">
        <f>IF(LEN('Translation-EN'!B2989)&gt;0,'Translation-EN'!B2989,"")</f>
        <v>Master sheet</v>
      </c>
      <c r="C2989" s="888" t="str">
        <f>IF(LEN('Translation-EN'!C2989)&gt;0,'Translation-EN'!C2989,"")</f>
        <v>C613</v>
      </c>
      <c r="D2989" s="888" t="str">
        <f>IF(LEN('Translation-EN'!D2989)&gt;0,'Translation-EN'!D2989,"")</f>
        <v/>
      </c>
      <c r="E2989" s="893" t="str">
        <f>$E$2985</f>
        <v>Wasau</v>
      </c>
    </row>
    <row r="2990" spans="1:5" x14ac:dyDescent="0.3">
      <c r="A2990" s="888" t="str">
        <f>IF(LEN('Translation-EN'!A2990)&gt;0,'Translation-EN'!A2990,"")</f>
        <v>Range</v>
      </c>
      <c r="B2990" s="888" t="str">
        <f>IF(LEN('Translation-EN'!B2990)&gt;0,'Translation-EN'!B2990,"")</f>
        <v>Master sheet</v>
      </c>
      <c r="C2990" s="888" t="str">
        <f>IF(LEN('Translation-EN'!C2990)&gt;0,'Translation-EN'!C2990,"")</f>
        <v>D613</v>
      </c>
      <c r="D2990" s="888" t="str">
        <f>IF(LEN('Translation-EN'!D2990)&gt;0,'Translation-EN'!D2990,"")</f>
        <v/>
      </c>
      <c r="E2990" s="893" t="s">
        <v>6594</v>
      </c>
    </row>
    <row r="2991" spans="1:5" x14ac:dyDescent="0.3">
      <c r="A2991" s="888" t="str">
        <f>IF(LEN('Translation-EN'!A2991)&gt;0,'Translation-EN'!A2991,"")</f>
        <v>Range</v>
      </c>
      <c r="B2991" s="888" t="str">
        <f>IF(LEN('Translation-EN'!B2991)&gt;0,'Translation-EN'!B2991,"")</f>
        <v>Master sheet</v>
      </c>
      <c r="C2991" s="888" t="str">
        <f>IF(LEN('Translation-EN'!C2991)&gt;0,'Translation-EN'!C2991,"")</f>
        <v>E613</v>
      </c>
      <c r="D2991" s="888" t="str">
        <f>IF(LEN('Translation-EN'!D2991)&gt;0,'Translation-EN'!D2991,"")</f>
        <v/>
      </c>
      <c r="E2991" s="893" t="str">
        <f>$E$2963</f>
        <v>Cadre en aluminium</v>
      </c>
    </row>
    <row r="2992" spans="1:5" x14ac:dyDescent="0.3">
      <c r="A2992" s="888" t="str">
        <f>IF(LEN('Translation-EN'!A2992)&gt;0,'Translation-EN'!A2992,"")</f>
        <v>Range</v>
      </c>
      <c r="B2992" s="888" t="str">
        <f>IF(LEN('Translation-EN'!B2992)&gt;0,'Translation-EN'!B2992,"")</f>
        <v>Master sheet</v>
      </c>
      <c r="C2992" s="888" t="str">
        <f>IF(LEN('Translation-EN'!C2992)&gt;0,'Translation-EN'!C2992,"")</f>
        <v>B614</v>
      </c>
      <c r="D2992" s="888" t="str">
        <f>IF(LEN('Translation-EN'!D2992)&gt;0,'Translation-EN'!D2992,"")</f>
        <v/>
      </c>
      <c r="E2992" s="893" t="s">
        <v>6595</v>
      </c>
    </row>
    <row r="2993" spans="1:5" x14ac:dyDescent="0.3">
      <c r="A2993" s="888" t="str">
        <f>IF(LEN('Translation-EN'!A2993)&gt;0,'Translation-EN'!A2993,"")</f>
        <v>Range</v>
      </c>
      <c r="B2993" s="888" t="str">
        <f>IF(LEN('Translation-EN'!B2993)&gt;0,'Translation-EN'!B2993,"")</f>
        <v>Master sheet</v>
      </c>
      <c r="C2993" s="888" t="str">
        <f>IF(LEN('Translation-EN'!C2993)&gt;0,'Translation-EN'!C2993,"")</f>
        <v>C614</v>
      </c>
      <c r="D2993" s="888" t="str">
        <f>IF(LEN('Translation-EN'!D2993)&gt;0,'Translation-EN'!D2993,"")</f>
        <v/>
      </c>
      <c r="E2993" s="893" t="s">
        <v>4595</v>
      </c>
    </row>
    <row r="2994" spans="1:5" x14ac:dyDescent="0.3">
      <c r="A2994" s="888" t="str">
        <f>IF(LEN('Translation-EN'!A2994)&gt;0,'Translation-EN'!A2994,"")</f>
        <v>Range</v>
      </c>
      <c r="B2994" s="888" t="str">
        <f>IF(LEN('Translation-EN'!B2994)&gt;0,'Translation-EN'!B2994,"")</f>
        <v>Master sheet</v>
      </c>
      <c r="C2994" s="888" t="str">
        <f>IF(LEN('Translation-EN'!C2994)&gt;0,'Translation-EN'!C2994,"")</f>
        <v>D614</v>
      </c>
      <c r="D2994" s="888" t="str">
        <f>IF(LEN('Translation-EN'!D2994)&gt;0,'Translation-EN'!D2994,"")</f>
        <v/>
      </c>
      <c r="E2994" s="893" t="s">
        <v>6596</v>
      </c>
    </row>
    <row r="2995" spans="1:5" x14ac:dyDescent="0.3">
      <c r="A2995" s="888" t="str">
        <f>IF(LEN('Translation-EN'!A2995)&gt;0,'Translation-EN'!A2995,"")</f>
        <v>Range</v>
      </c>
      <c r="B2995" s="888" t="str">
        <f>IF(LEN('Translation-EN'!B2995)&gt;0,'Translation-EN'!B2995,"")</f>
        <v>Master sheet</v>
      </c>
      <c r="C2995" s="888" t="str">
        <f>IF(LEN('Translation-EN'!C2995)&gt;0,'Translation-EN'!C2995,"")</f>
        <v>E614</v>
      </c>
      <c r="D2995" s="888" t="str">
        <f>IF(LEN('Translation-EN'!D2995)&gt;0,'Translation-EN'!D2995,"")</f>
        <v/>
      </c>
      <c r="E2995" s="893" t="s">
        <v>6597</v>
      </c>
    </row>
    <row r="2996" spans="1:5" x14ac:dyDescent="0.3">
      <c r="A2996" s="888" t="str">
        <f>IF(LEN('Translation-EN'!A2996)&gt;0,'Translation-EN'!A2996,"")</f>
        <v>Range</v>
      </c>
      <c r="B2996" s="888" t="str">
        <f>IF(LEN('Translation-EN'!B2996)&gt;0,'Translation-EN'!B2996,"")</f>
        <v>Master sheet</v>
      </c>
      <c r="C2996" s="888" t="str">
        <f>IF(LEN('Translation-EN'!C2996)&gt;0,'Translation-EN'!C2996,"")</f>
        <v>B615</v>
      </c>
      <c r="D2996" s="888" t="str">
        <f>IF(LEN('Translation-EN'!D2996)&gt;0,'Translation-EN'!D2996,"")</f>
        <v/>
      </c>
      <c r="E2996" s="893" t="s">
        <v>6598</v>
      </c>
    </row>
    <row r="2997" spans="1:5" x14ac:dyDescent="0.3">
      <c r="A2997" s="888" t="str">
        <f>IF(LEN('Translation-EN'!A2997)&gt;0,'Translation-EN'!A2997,"")</f>
        <v>Range</v>
      </c>
      <c r="B2997" s="888" t="str">
        <f>IF(LEN('Translation-EN'!B2997)&gt;0,'Translation-EN'!B2997,"")</f>
        <v>Master sheet</v>
      </c>
      <c r="C2997" s="888" t="str">
        <f>IF(LEN('Translation-EN'!C2997)&gt;0,'Translation-EN'!C2997,"")</f>
        <v>C615</v>
      </c>
      <c r="D2997" s="888" t="str">
        <f>IF(LEN('Translation-EN'!D2997)&gt;0,'Translation-EN'!D2997,"")</f>
        <v/>
      </c>
      <c r="E2997" s="893" t="str">
        <f>$E$2993</f>
        <v>Rothoblaas</v>
      </c>
    </row>
    <row r="2998" spans="1:5" x14ac:dyDescent="0.3">
      <c r="A2998" s="888" t="str">
        <f>IF(LEN('Translation-EN'!A2998)&gt;0,'Translation-EN'!A2998,"")</f>
        <v>Range</v>
      </c>
      <c r="B2998" s="888" t="str">
        <f>IF(LEN('Translation-EN'!B2998)&gt;0,'Translation-EN'!B2998,"")</f>
        <v>Master sheet</v>
      </c>
      <c r="C2998" s="888" t="str">
        <f>IF(LEN('Translation-EN'!C2998)&gt;0,'Translation-EN'!C2998,"")</f>
        <v>D615</v>
      </c>
      <c r="D2998" s="888" t="str">
        <f>IF(LEN('Translation-EN'!D2998)&gt;0,'Translation-EN'!D2998,"")</f>
        <v/>
      </c>
      <c r="E2998" s="893" t="s">
        <v>6599</v>
      </c>
    </row>
    <row r="2999" spans="1:5" x14ac:dyDescent="0.3">
      <c r="A2999" s="888" t="str">
        <f>IF(LEN('Translation-EN'!A2999)&gt;0,'Translation-EN'!A2999,"")</f>
        <v>Range</v>
      </c>
      <c r="B2999" s="888" t="str">
        <f>IF(LEN('Translation-EN'!B2999)&gt;0,'Translation-EN'!B2999,"")</f>
        <v>Master sheet</v>
      </c>
      <c r="C2999" s="888" t="str">
        <f>IF(LEN('Translation-EN'!C2999)&gt;0,'Translation-EN'!C2999,"")</f>
        <v>E615</v>
      </c>
      <c r="D2999" s="888" t="str">
        <f>IF(LEN('Translation-EN'!D2999)&gt;0,'Translation-EN'!D2999,"")</f>
        <v/>
      </c>
      <c r="E2999" s="893" t="s">
        <v>6600</v>
      </c>
    </row>
    <row r="3000" spans="1:5" x14ac:dyDescent="0.3">
      <c r="A3000" s="888" t="str">
        <f>IF(LEN('Translation-EN'!A3000)&gt;0,'Translation-EN'!A3000,"")</f>
        <v>Range</v>
      </c>
      <c r="B3000" s="888" t="str">
        <f>IF(LEN('Translation-EN'!B3000)&gt;0,'Translation-EN'!B3000,"")</f>
        <v>Master sheet</v>
      </c>
      <c r="C3000" s="888" t="str">
        <f>IF(LEN('Translation-EN'!C3000)&gt;0,'Translation-EN'!C3000,"")</f>
        <v>B616</v>
      </c>
      <c r="D3000" s="888" t="str">
        <f>IF(LEN('Translation-EN'!D3000)&gt;0,'Translation-EN'!D3000,"")</f>
        <v/>
      </c>
      <c r="E3000" s="893" t="str">
        <f>$E$2996</f>
        <v>Barrière mur et toit, int. &amp; ext., feuille</v>
      </c>
    </row>
    <row r="3001" spans="1:5" x14ac:dyDescent="0.3">
      <c r="A3001" s="888" t="str">
        <f>IF(LEN('Translation-EN'!A3001)&gt;0,'Translation-EN'!A3001,"")</f>
        <v>Range</v>
      </c>
      <c r="B3001" s="888" t="str">
        <f>IF(LEN('Translation-EN'!B3001)&gt;0,'Translation-EN'!B3001,"")</f>
        <v>Master sheet</v>
      </c>
      <c r="C3001" s="888" t="str">
        <f>IF(LEN('Translation-EN'!C3001)&gt;0,'Translation-EN'!C3001,"")</f>
        <v>C616</v>
      </c>
      <c r="D3001" s="888" t="str">
        <f>IF(LEN('Translation-EN'!D3001)&gt;0,'Translation-EN'!D3001,"")</f>
        <v/>
      </c>
      <c r="E3001" s="893" t="str">
        <f>$E$2993</f>
        <v>Rothoblaas</v>
      </c>
    </row>
    <row r="3002" spans="1:5" x14ac:dyDescent="0.3">
      <c r="A3002" s="888" t="str">
        <f>IF(LEN('Translation-EN'!A3002)&gt;0,'Translation-EN'!A3002,"")</f>
        <v>Range</v>
      </c>
      <c r="B3002" s="888" t="str">
        <f>IF(LEN('Translation-EN'!B3002)&gt;0,'Translation-EN'!B3002,"")</f>
        <v>Master sheet</v>
      </c>
      <c r="C3002" s="888" t="str">
        <f>IF(LEN('Translation-EN'!C3002)&gt;0,'Translation-EN'!C3002,"")</f>
        <v>D616</v>
      </c>
      <c r="D3002" s="888" t="str">
        <f>IF(LEN('Translation-EN'!D3002)&gt;0,'Translation-EN'!D3002,"")</f>
        <v/>
      </c>
      <c r="E3002" s="893" t="s">
        <v>6601</v>
      </c>
    </row>
    <row r="3003" spans="1:5" x14ac:dyDescent="0.3">
      <c r="A3003" s="888" t="str">
        <f>IF(LEN('Translation-EN'!A3003)&gt;0,'Translation-EN'!A3003,"")</f>
        <v>Range</v>
      </c>
      <c r="B3003" s="888" t="str">
        <f>IF(LEN('Translation-EN'!B3003)&gt;0,'Translation-EN'!B3003,"")</f>
        <v>Master sheet</v>
      </c>
      <c r="C3003" s="888" t="str">
        <f>IF(LEN('Translation-EN'!C3003)&gt;0,'Translation-EN'!C3003,"")</f>
        <v>E616</v>
      </c>
      <c r="D3003" s="888" t="str">
        <f>IF(LEN('Translation-EN'!D3003)&gt;0,'Translation-EN'!D3003,"")</f>
        <v/>
      </c>
      <c r="E3003" s="893" t="str">
        <f>$E$2999</f>
        <v>0,5 mm</v>
      </c>
    </row>
    <row r="3004" spans="1:5" x14ac:dyDescent="0.3">
      <c r="A3004" s="888" t="str">
        <f>IF(LEN('Translation-EN'!A3004)&gt;0,'Translation-EN'!A3004,"")</f>
        <v>Range</v>
      </c>
      <c r="B3004" s="888" t="str">
        <f>IF(LEN('Translation-EN'!B3004)&gt;0,'Translation-EN'!B3004,"")</f>
        <v>Master sheet</v>
      </c>
      <c r="C3004" s="888" t="str">
        <f>IF(LEN('Translation-EN'!C3004)&gt;0,'Translation-EN'!C3004,"")</f>
        <v>B617</v>
      </c>
      <c r="D3004" s="888" t="str">
        <f>IF(LEN('Translation-EN'!D3004)&gt;0,'Translation-EN'!D3004,"")</f>
        <v/>
      </c>
      <c r="E3004" s="893" t="str">
        <f>$E$2996</f>
        <v>Barrière mur et toit, int. &amp; ext., feuille</v>
      </c>
    </row>
    <row r="3005" spans="1:5" x14ac:dyDescent="0.3">
      <c r="A3005" s="888" t="str">
        <f>IF(LEN('Translation-EN'!A3005)&gt;0,'Translation-EN'!A3005,"")</f>
        <v>Range</v>
      </c>
      <c r="B3005" s="888" t="str">
        <f>IF(LEN('Translation-EN'!B3005)&gt;0,'Translation-EN'!B3005,"")</f>
        <v>Master sheet</v>
      </c>
      <c r="C3005" s="888" t="str">
        <f>IF(LEN('Translation-EN'!C3005)&gt;0,'Translation-EN'!C3005,"")</f>
        <v>C617</v>
      </c>
      <c r="D3005" s="888" t="str">
        <f>IF(LEN('Translation-EN'!D3005)&gt;0,'Translation-EN'!D3005,"")</f>
        <v/>
      </c>
      <c r="E3005" s="893" t="str">
        <f>$E$2993</f>
        <v>Rothoblaas</v>
      </c>
    </row>
    <row r="3006" spans="1:5" x14ac:dyDescent="0.3">
      <c r="A3006" s="888" t="str">
        <f>IF(LEN('Translation-EN'!A3006)&gt;0,'Translation-EN'!A3006,"")</f>
        <v>Range</v>
      </c>
      <c r="B3006" s="888" t="str">
        <f>IF(LEN('Translation-EN'!B3006)&gt;0,'Translation-EN'!B3006,"")</f>
        <v>Master sheet</v>
      </c>
      <c r="C3006" s="888" t="str">
        <f>IF(LEN('Translation-EN'!C3006)&gt;0,'Translation-EN'!C3006,"")</f>
        <v>D617</v>
      </c>
      <c r="D3006" s="888" t="str">
        <f>IF(LEN('Translation-EN'!D3006)&gt;0,'Translation-EN'!D3006,"")</f>
        <v/>
      </c>
      <c r="E3006" s="893" t="s">
        <v>6602</v>
      </c>
    </row>
    <row r="3007" spans="1:5" x14ac:dyDescent="0.3">
      <c r="A3007" s="888" t="str">
        <f>IF(LEN('Translation-EN'!A3007)&gt;0,'Translation-EN'!A3007,"")</f>
        <v>Range</v>
      </c>
      <c r="B3007" s="888" t="str">
        <f>IF(LEN('Translation-EN'!B3007)&gt;0,'Translation-EN'!B3007,"")</f>
        <v>Master sheet</v>
      </c>
      <c r="C3007" s="888" t="str">
        <f>IF(LEN('Translation-EN'!C3007)&gt;0,'Translation-EN'!C3007,"")</f>
        <v>E617</v>
      </c>
      <c r="D3007" s="888" t="str">
        <f>IF(LEN('Translation-EN'!D3007)&gt;0,'Translation-EN'!D3007,"")</f>
        <v/>
      </c>
      <c r="E3007" s="893" t="s">
        <v>6603</v>
      </c>
    </row>
    <row r="3008" spans="1:5" x14ac:dyDescent="0.3">
      <c r="A3008" s="888" t="str">
        <f>IF(LEN('Translation-EN'!A3008)&gt;0,'Translation-EN'!A3008,"")</f>
        <v>Range</v>
      </c>
      <c r="B3008" s="888" t="str">
        <f>IF(LEN('Translation-EN'!B3008)&gt;0,'Translation-EN'!B3008,"")</f>
        <v>Master sheet</v>
      </c>
      <c r="C3008" s="888" t="str">
        <f>IF(LEN('Translation-EN'!C3008)&gt;0,'Translation-EN'!C3008,"")</f>
        <v>B618</v>
      </c>
      <c r="D3008" s="888" t="str">
        <f>IF(LEN('Translation-EN'!D3008)&gt;0,'Translation-EN'!D3008,"")</f>
        <v/>
      </c>
      <c r="E3008" s="893" t="s">
        <v>6604</v>
      </c>
    </row>
    <row r="3009" spans="1:5" x14ac:dyDescent="0.3">
      <c r="A3009" s="888" t="str">
        <f>IF(LEN('Translation-EN'!A3009)&gt;0,'Translation-EN'!A3009,"")</f>
        <v>Range</v>
      </c>
      <c r="B3009" s="888" t="str">
        <f>IF(LEN('Translation-EN'!B3009)&gt;0,'Translation-EN'!B3009,"")</f>
        <v>Master sheet</v>
      </c>
      <c r="C3009" s="888" t="str">
        <f>IF(LEN('Translation-EN'!C3009)&gt;0,'Translation-EN'!C3009,"")</f>
        <v>C618</v>
      </c>
      <c r="D3009" s="888" t="str">
        <f>IF(LEN('Translation-EN'!D3009)&gt;0,'Translation-EN'!D3009,"")</f>
        <v/>
      </c>
      <c r="E3009" s="893" t="str">
        <f>$E$2993</f>
        <v>Rothoblaas</v>
      </c>
    </row>
    <row r="3010" spans="1:5" x14ac:dyDescent="0.3">
      <c r="A3010" s="888" t="str">
        <f>IF(LEN('Translation-EN'!A3010)&gt;0,'Translation-EN'!A3010,"")</f>
        <v>Range</v>
      </c>
      <c r="B3010" s="888" t="str">
        <f>IF(LEN('Translation-EN'!B3010)&gt;0,'Translation-EN'!B3010,"")</f>
        <v>Master sheet</v>
      </c>
      <c r="C3010" s="888" t="str">
        <f>IF(LEN('Translation-EN'!C3010)&gt;0,'Translation-EN'!C3010,"")</f>
        <v>D618</v>
      </c>
      <c r="D3010" s="888" t="str">
        <f>IF(LEN('Translation-EN'!D3010)&gt;0,'Translation-EN'!D3010,"")</f>
        <v/>
      </c>
      <c r="E3010" s="893" t="s">
        <v>4615</v>
      </c>
    </row>
    <row r="3011" spans="1:5" x14ac:dyDescent="0.3">
      <c r="A3011" s="888" t="str">
        <f>IF(LEN('Translation-EN'!A3011)&gt;0,'Translation-EN'!A3011,"")</f>
        <v>Range</v>
      </c>
      <c r="B3011" s="888" t="str">
        <f>IF(LEN('Translation-EN'!B3011)&gt;0,'Translation-EN'!B3011,"")</f>
        <v>Master sheet</v>
      </c>
      <c r="C3011" s="888" t="str">
        <f>IF(LEN('Translation-EN'!C3011)&gt;0,'Translation-EN'!C3011,"")</f>
        <v>E618</v>
      </c>
      <c r="D3011" s="888" t="str">
        <f>IF(LEN('Translation-EN'!D3011)&gt;0,'Translation-EN'!D3011,"")</f>
        <v/>
      </c>
      <c r="E3011" s="893" t="s">
        <v>6605</v>
      </c>
    </row>
    <row r="3012" spans="1:5" x14ac:dyDescent="0.3">
      <c r="A3012" s="888" t="str">
        <f>IF(LEN('Translation-EN'!A3012)&gt;0,'Translation-EN'!A3012,"")</f>
        <v>Range</v>
      </c>
      <c r="B3012" s="888" t="str">
        <f>IF(LEN('Translation-EN'!B3012)&gt;0,'Translation-EN'!B3012,"")</f>
        <v>Master sheet</v>
      </c>
      <c r="C3012" s="888" t="str">
        <f>IF(LEN('Translation-EN'!C3012)&gt;0,'Translation-EN'!C3012,"")</f>
        <v>B619</v>
      </c>
      <c r="D3012" s="888" t="str">
        <f>IF(LEN('Translation-EN'!D3012)&gt;0,'Translation-EN'!D3012,"")</f>
        <v/>
      </c>
      <c r="E3012" s="893" t="str">
        <f>$E$3008</f>
        <v>Barrière mur intérieur, feuille</v>
      </c>
    </row>
    <row r="3013" spans="1:5" x14ac:dyDescent="0.3">
      <c r="A3013" s="888" t="str">
        <f>IF(LEN('Translation-EN'!A3013)&gt;0,'Translation-EN'!A3013,"")</f>
        <v>Range</v>
      </c>
      <c r="B3013" s="888" t="str">
        <f>IF(LEN('Translation-EN'!B3013)&gt;0,'Translation-EN'!B3013,"")</f>
        <v>Master sheet</v>
      </c>
      <c r="C3013" s="888" t="str">
        <f>IF(LEN('Translation-EN'!C3013)&gt;0,'Translation-EN'!C3013,"")</f>
        <v>C619</v>
      </c>
      <c r="D3013" s="888" t="str">
        <f>IF(LEN('Translation-EN'!D3013)&gt;0,'Translation-EN'!D3013,"")</f>
        <v/>
      </c>
      <c r="E3013" s="893" t="str">
        <f>$E$2993</f>
        <v>Rothoblaas</v>
      </c>
    </row>
    <row r="3014" spans="1:5" x14ac:dyDescent="0.3">
      <c r="A3014" s="888" t="str">
        <f>IF(LEN('Translation-EN'!A3014)&gt;0,'Translation-EN'!A3014,"")</f>
        <v>Range</v>
      </c>
      <c r="B3014" s="888" t="str">
        <f>IF(LEN('Translation-EN'!B3014)&gt;0,'Translation-EN'!B3014,"")</f>
        <v>Master sheet</v>
      </c>
      <c r="C3014" s="888" t="str">
        <f>IF(LEN('Translation-EN'!C3014)&gt;0,'Translation-EN'!C3014,"")</f>
        <v>D619</v>
      </c>
      <c r="D3014" s="888" t="str">
        <f>IF(LEN('Translation-EN'!D3014)&gt;0,'Translation-EN'!D3014,"")</f>
        <v/>
      </c>
      <c r="E3014" s="893" t="s">
        <v>6606</v>
      </c>
    </row>
    <row r="3015" spans="1:5" x14ac:dyDescent="0.3">
      <c r="A3015" s="888" t="str">
        <f>IF(LEN('Translation-EN'!A3015)&gt;0,'Translation-EN'!A3015,"")</f>
        <v>Range</v>
      </c>
      <c r="B3015" s="888" t="str">
        <f>IF(LEN('Translation-EN'!B3015)&gt;0,'Translation-EN'!B3015,"")</f>
        <v>Master sheet</v>
      </c>
      <c r="C3015" s="888" t="str">
        <f>IF(LEN('Translation-EN'!C3015)&gt;0,'Translation-EN'!C3015,"")</f>
        <v>E619</v>
      </c>
      <c r="D3015" s="888" t="str">
        <f>IF(LEN('Translation-EN'!D3015)&gt;0,'Translation-EN'!D3015,"")</f>
        <v/>
      </c>
      <c r="E3015" s="893" t="s">
        <v>6607</v>
      </c>
    </row>
    <row r="3016" spans="1:5" x14ac:dyDescent="0.3">
      <c r="A3016" s="888" t="str">
        <f>IF(LEN('Translation-EN'!A3016)&gt;0,'Translation-EN'!A3016,"")</f>
        <v>Range</v>
      </c>
      <c r="B3016" s="888" t="str">
        <f>IF(LEN('Translation-EN'!B3016)&gt;0,'Translation-EN'!B3016,"")</f>
        <v>Master sheet</v>
      </c>
      <c r="C3016" s="888" t="str">
        <f>IF(LEN('Translation-EN'!C3016)&gt;0,'Translation-EN'!C3016,"")</f>
        <v>B620</v>
      </c>
      <c r="D3016" s="888" t="str">
        <f>IF(LEN('Translation-EN'!D3016)&gt;0,'Translation-EN'!D3016,"")</f>
        <v/>
      </c>
      <c r="E3016" s="893" t="s">
        <v>6608</v>
      </c>
    </row>
    <row r="3017" spans="1:5" x14ac:dyDescent="0.3">
      <c r="A3017" s="888" t="str">
        <f>IF(LEN('Translation-EN'!A3017)&gt;0,'Translation-EN'!A3017,"")</f>
        <v>Range</v>
      </c>
      <c r="B3017" s="888" t="str">
        <f>IF(LEN('Translation-EN'!B3017)&gt;0,'Translation-EN'!B3017,"")</f>
        <v>Master sheet</v>
      </c>
      <c r="C3017" s="888" t="str">
        <f>IF(LEN('Translation-EN'!C3017)&gt;0,'Translation-EN'!C3017,"")</f>
        <v>C620</v>
      </c>
      <c r="D3017" s="888" t="str">
        <f>IF(LEN('Translation-EN'!D3017)&gt;0,'Translation-EN'!D3017,"")</f>
        <v/>
      </c>
      <c r="E3017" s="893" t="str">
        <f>$E$2993</f>
        <v>Rothoblaas</v>
      </c>
    </row>
    <row r="3018" spans="1:5" x14ac:dyDescent="0.3">
      <c r="A3018" s="888" t="str">
        <f>IF(LEN('Translation-EN'!A3018)&gt;0,'Translation-EN'!A3018,"")</f>
        <v>Range</v>
      </c>
      <c r="B3018" s="888" t="str">
        <f>IF(LEN('Translation-EN'!B3018)&gt;0,'Translation-EN'!B3018,"")</f>
        <v>Master sheet</v>
      </c>
      <c r="C3018" s="888" t="str">
        <f>IF(LEN('Translation-EN'!C3018)&gt;0,'Translation-EN'!C3018,"")</f>
        <v>D620</v>
      </c>
      <c r="D3018" s="888" t="str">
        <f>IF(LEN('Translation-EN'!D3018)&gt;0,'Translation-EN'!D3018,"")</f>
        <v/>
      </c>
      <c r="E3018" s="893" t="s">
        <v>6609</v>
      </c>
    </row>
    <row r="3019" spans="1:5" x14ac:dyDescent="0.3">
      <c r="A3019" s="888" t="str">
        <f>IF(LEN('Translation-EN'!A3019)&gt;0,'Translation-EN'!A3019,"")</f>
        <v>Range</v>
      </c>
      <c r="B3019" s="888" t="str">
        <f>IF(LEN('Translation-EN'!B3019)&gt;0,'Translation-EN'!B3019,"")</f>
        <v>Master sheet</v>
      </c>
      <c r="C3019" s="888" t="str">
        <f>IF(LEN('Translation-EN'!C3019)&gt;0,'Translation-EN'!C3019,"")</f>
        <v>E620</v>
      </c>
      <c r="D3019" s="888" t="str">
        <f>IF(LEN('Translation-EN'!D3019)&gt;0,'Translation-EN'!D3019,"")</f>
        <v/>
      </c>
      <c r="E3019" s="893" t="s">
        <v>6610</v>
      </c>
    </row>
    <row r="3020" spans="1:5" x14ac:dyDescent="0.3">
      <c r="A3020" s="888" t="str">
        <f>IF(LEN('Translation-EN'!A3020)&gt;0,'Translation-EN'!A3020,"")</f>
        <v>Range</v>
      </c>
      <c r="B3020" s="888" t="str">
        <f>IF(LEN('Translation-EN'!B3020)&gt;0,'Translation-EN'!B3020,"")</f>
        <v>Master sheet</v>
      </c>
      <c r="C3020" s="888" t="str">
        <f>IF(LEN('Translation-EN'!C3020)&gt;0,'Translation-EN'!C3020,"")</f>
        <v>B621</v>
      </c>
      <c r="D3020" s="888" t="str">
        <f>IF(LEN('Translation-EN'!D3020)&gt;0,'Translation-EN'!D3020,"")</f>
        <v/>
      </c>
      <c r="E3020" s="893" t="s">
        <v>6611</v>
      </c>
    </row>
    <row r="3021" spans="1:5" x14ac:dyDescent="0.3">
      <c r="A3021" s="888" t="str">
        <f>IF(LEN('Translation-EN'!A3021)&gt;0,'Translation-EN'!A3021,"")</f>
        <v>Range</v>
      </c>
      <c r="B3021" s="888" t="str">
        <f>IF(LEN('Translation-EN'!B3021)&gt;0,'Translation-EN'!B3021,"")</f>
        <v>Master sheet</v>
      </c>
      <c r="C3021" s="888" t="str">
        <f>IF(LEN('Translation-EN'!C3021)&gt;0,'Translation-EN'!C3021,"")</f>
        <v>C621</v>
      </c>
      <c r="D3021" s="888" t="str">
        <f>IF(LEN('Translation-EN'!D3021)&gt;0,'Translation-EN'!D3021,"")</f>
        <v/>
      </c>
      <c r="E3021" s="893" t="s">
        <v>4629</v>
      </c>
    </row>
    <row r="3022" spans="1:5" x14ac:dyDescent="0.3">
      <c r="A3022" s="888" t="str">
        <f>IF(LEN('Translation-EN'!A3022)&gt;0,'Translation-EN'!A3022,"")</f>
        <v>Range</v>
      </c>
      <c r="B3022" s="888" t="str">
        <f>IF(LEN('Translation-EN'!B3022)&gt;0,'Translation-EN'!B3022,"")</f>
        <v>Master sheet</v>
      </c>
      <c r="C3022" s="888" t="str">
        <f>IF(LEN('Translation-EN'!C3022)&gt;0,'Translation-EN'!C3022,"")</f>
        <v>D621</v>
      </c>
      <c r="D3022" s="888" t="str">
        <f>IF(LEN('Translation-EN'!D3022)&gt;0,'Translation-EN'!D3022,"")</f>
        <v/>
      </c>
      <c r="E3022" s="893" t="s">
        <v>6612</v>
      </c>
    </row>
    <row r="3023" spans="1:5" x14ac:dyDescent="0.3">
      <c r="A3023" s="888" t="str">
        <f>IF(LEN('Translation-EN'!A3023)&gt;0,'Translation-EN'!A3023,"")</f>
        <v>Range</v>
      </c>
      <c r="B3023" s="888" t="str">
        <f>IF(LEN('Translation-EN'!B3023)&gt;0,'Translation-EN'!B3023,"")</f>
        <v>Master sheet</v>
      </c>
      <c r="C3023" s="888" t="str">
        <f>IF(LEN('Translation-EN'!C3023)&gt;0,'Translation-EN'!C3023,"")</f>
        <v>B622</v>
      </c>
      <c r="D3023" s="888" t="str">
        <f>IF(LEN('Translation-EN'!D3023)&gt;0,'Translation-EN'!D3023,"")</f>
        <v/>
      </c>
      <c r="E3023" s="893" t="s">
        <v>6613</v>
      </c>
    </row>
    <row r="3024" spans="1:5" x14ac:dyDescent="0.3">
      <c r="A3024" s="888" t="str">
        <f>IF(LEN('Translation-EN'!A3024)&gt;0,'Translation-EN'!A3024,"")</f>
        <v>Range</v>
      </c>
      <c r="B3024" s="888" t="str">
        <f>IF(LEN('Translation-EN'!B3024)&gt;0,'Translation-EN'!B3024,"")</f>
        <v>Master sheet</v>
      </c>
      <c r="C3024" s="888" t="str">
        <f>IF(LEN('Translation-EN'!C3024)&gt;0,'Translation-EN'!C3024,"")</f>
        <v>C622</v>
      </c>
      <c r="D3024" s="888" t="str">
        <f>IF(LEN('Translation-EN'!D3024)&gt;0,'Translation-EN'!D3024,"")</f>
        <v/>
      </c>
      <c r="E3024" s="893" t="str">
        <f>$E$2172</f>
        <v>Carlisle</v>
      </c>
    </row>
    <row r="3025" spans="1:5" x14ac:dyDescent="0.3">
      <c r="A3025" s="888" t="str">
        <f>IF(LEN('Translation-EN'!A3025)&gt;0,'Translation-EN'!A3025,"")</f>
        <v>Range</v>
      </c>
      <c r="B3025" s="888" t="str">
        <f>IF(LEN('Translation-EN'!B3025)&gt;0,'Translation-EN'!B3025,"")</f>
        <v>Master sheet</v>
      </c>
      <c r="C3025" s="888" t="str">
        <f>IF(LEN('Translation-EN'!C3025)&gt;0,'Translation-EN'!C3025,"")</f>
        <v>D622</v>
      </c>
      <c r="D3025" s="888" t="str">
        <f>IF(LEN('Translation-EN'!D3025)&gt;0,'Translation-EN'!D3025,"")</f>
        <v/>
      </c>
      <c r="E3025" s="893" t="s">
        <v>6614</v>
      </c>
    </row>
    <row r="3026" spans="1:5" x14ac:dyDescent="0.3">
      <c r="A3026" s="888" t="str">
        <f>IF(LEN('Translation-EN'!A3026)&gt;0,'Translation-EN'!A3026,"")</f>
        <v>Range</v>
      </c>
      <c r="B3026" s="888" t="str">
        <f>IF(LEN('Translation-EN'!B3026)&gt;0,'Translation-EN'!B3026,"")</f>
        <v>Master sheet</v>
      </c>
      <c r="C3026" s="888" t="str">
        <f>IF(LEN('Translation-EN'!C3026)&gt;0,'Translation-EN'!C3026,"")</f>
        <v>E622</v>
      </c>
      <c r="D3026" s="888" t="str">
        <f>IF(LEN('Translation-EN'!D3026)&gt;0,'Translation-EN'!D3026,"")</f>
        <v/>
      </c>
      <c r="E3026" s="893" t="s">
        <v>4637</v>
      </c>
    </row>
    <row r="3027" spans="1:5" x14ac:dyDescent="0.3">
      <c r="A3027" s="888" t="str">
        <f>IF(LEN('Translation-EN'!A3027)&gt;0,'Translation-EN'!A3027,"")</f>
        <v>Range</v>
      </c>
      <c r="B3027" s="888" t="str">
        <f>IF(LEN('Translation-EN'!B3027)&gt;0,'Translation-EN'!B3027,"")</f>
        <v>Master sheet</v>
      </c>
      <c r="C3027" s="888" t="str">
        <f>IF(LEN('Translation-EN'!C3027)&gt;0,'Translation-EN'!C3027,"")</f>
        <v>B623</v>
      </c>
      <c r="D3027" s="888" t="str">
        <f>IF(LEN('Translation-EN'!D3027)&gt;0,'Translation-EN'!D3027,"")</f>
        <v/>
      </c>
      <c r="E3027" s="893" t="s">
        <v>6615</v>
      </c>
    </row>
    <row r="3028" spans="1:5" x14ac:dyDescent="0.3">
      <c r="A3028" s="888" t="str">
        <f>IF(LEN('Translation-EN'!A3028)&gt;0,'Translation-EN'!A3028,"")</f>
        <v>Range</v>
      </c>
      <c r="B3028" s="888" t="str">
        <f>IF(LEN('Translation-EN'!B3028)&gt;0,'Translation-EN'!B3028,"")</f>
        <v>Master sheet</v>
      </c>
      <c r="C3028" s="888" t="str">
        <f>IF(LEN('Translation-EN'!C3028)&gt;0,'Translation-EN'!C3028,"")</f>
        <v>C623</v>
      </c>
      <c r="D3028" s="888" t="str">
        <f>IF(LEN('Translation-EN'!D3028)&gt;0,'Translation-EN'!D3028,"")</f>
        <v/>
      </c>
      <c r="E3028" s="893" t="s">
        <v>139</v>
      </c>
    </row>
    <row r="3029" spans="1:5" x14ac:dyDescent="0.3">
      <c r="A3029" s="888" t="str">
        <f>IF(LEN('Translation-EN'!A3029)&gt;0,'Translation-EN'!A3029,"")</f>
        <v>Range</v>
      </c>
      <c r="B3029" s="888" t="str">
        <f>IF(LEN('Translation-EN'!B3029)&gt;0,'Translation-EN'!B3029,"")</f>
        <v>Master sheet</v>
      </c>
      <c r="C3029" s="888" t="str">
        <f>IF(LEN('Translation-EN'!C3029)&gt;0,'Translation-EN'!C3029,"")</f>
        <v>D623</v>
      </c>
      <c r="D3029" s="888" t="str">
        <f>IF(LEN('Translation-EN'!D3029)&gt;0,'Translation-EN'!D3029,"")</f>
        <v/>
      </c>
      <c r="E3029" s="893" t="s">
        <v>6616</v>
      </c>
    </row>
    <row r="3030" spans="1:5" x14ac:dyDescent="0.3">
      <c r="A3030" s="888" t="str">
        <f>IF(LEN('Translation-EN'!A3030)&gt;0,'Translation-EN'!A3030,"")</f>
        <v>Range</v>
      </c>
      <c r="B3030" s="888" t="str">
        <f>IF(LEN('Translation-EN'!B3030)&gt;0,'Translation-EN'!B3030,"")</f>
        <v>Master sheet</v>
      </c>
      <c r="C3030" s="888" t="str">
        <f>IF(LEN('Translation-EN'!C3030)&gt;0,'Translation-EN'!C3030,"")</f>
        <v>B624</v>
      </c>
      <c r="D3030" s="888" t="str">
        <f>IF(LEN('Translation-EN'!D3030)&gt;0,'Translation-EN'!D3030,"")</f>
        <v/>
      </c>
      <c r="E3030" s="893" t="str">
        <f>$E$3027</f>
        <v>Barrière mur et toit, ext., feuille</v>
      </c>
    </row>
    <row r="3031" spans="1:5" x14ac:dyDescent="0.3">
      <c r="A3031" s="888" t="str">
        <f>IF(LEN('Translation-EN'!A3031)&gt;0,'Translation-EN'!A3031,"")</f>
        <v>Range</v>
      </c>
      <c r="B3031" s="888" t="str">
        <f>IF(LEN('Translation-EN'!B3031)&gt;0,'Translation-EN'!B3031,"")</f>
        <v>Master sheet</v>
      </c>
      <c r="C3031" s="888" t="str">
        <f>IF(LEN('Translation-EN'!C3031)&gt;0,'Translation-EN'!C3031,"")</f>
        <v>C624</v>
      </c>
      <c r="D3031" s="888" t="str">
        <f>IF(LEN('Translation-EN'!D3031)&gt;0,'Translation-EN'!D3031,"")</f>
        <v/>
      </c>
      <c r="E3031" s="893" t="str">
        <f>$E$3021</f>
        <v>Partel</v>
      </c>
    </row>
    <row r="3032" spans="1:5" x14ac:dyDescent="0.3">
      <c r="A3032" s="888" t="str">
        <f>IF(LEN('Translation-EN'!A3032)&gt;0,'Translation-EN'!A3032,"")</f>
        <v>Range</v>
      </c>
      <c r="B3032" s="888" t="str">
        <f>IF(LEN('Translation-EN'!B3032)&gt;0,'Translation-EN'!B3032,"")</f>
        <v>Master sheet</v>
      </c>
      <c r="C3032" s="888" t="str">
        <f>IF(LEN('Translation-EN'!C3032)&gt;0,'Translation-EN'!C3032,"")</f>
        <v>D624</v>
      </c>
      <c r="D3032" s="888" t="str">
        <f>IF(LEN('Translation-EN'!D3032)&gt;0,'Translation-EN'!D3032,"")</f>
        <v/>
      </c>
      <c r="E3032" s="893" t="s">
        <v>6617</v>
      </c>
    </row>
    <row r="3033" spans="1:5" x14ac:dyDescent="0.3">
      <c r="A3033" s="888" t="str">
        <f>IF(LEN('Translation-EN'!A3033)&gt;0,'Translation-EN'!A3033,"")</f>
        <v>Range</v>
      </c>
      <c r="B3033" s="888" t="str">
        <f>IF(LEN('Translation-EN'!B3033)&gt;0,'Translation-EN'!B3033,"")</f>
        <v>Master sheet</v>
      </c>
      <c r="C3033" s="888" t="str">
        <f>IF(LEN('Translation-EN'!C3033)&gt;0,'Translation-EN'!C3033,"")</f>
        <v>B625</v>
      </c>
      <c r="D3033" s="888" t="str">
        <f>IF(LEN('Translation-EN'!D3033)&gt;0,'Translation-EN'!D3033,"")</f>
        <v/>
      </c>
      <c r="E3033" s="893" t="s">
        <v>6618</v>
      </c>
    </row>
    <row r="3034" spans="1:5" x14ac:dyDescent="0.3">
      <c r="A3034" s="888" t="str">
        <f>IF(LEN('Translation-EN'!A3034)&gt;0,'Translation-EN'!A3034,"")</f>
        <v>Range</v>
      </c>
      <c r="B3034" s="888" t="str">
        <f>IF(LEN('Translation-EN'!B3034)&gt;0,'Translation-EN'!B3034,"")</f>
        <v>Master sheet</v>
      </c>
      <c r="C3034" s="888" t="str">
        <f>IF(LEN('Translation-EN'!C3034)&gt;0,'Translation-EN'!C3034,"")</f>
        <v>C625</v>
      </c>
      <c r="D3034" s="888" t="str">
        <f>IF(LEN('Translation-EN'!D3034)&gt;0,'Translation-EN'!D3034,"")</f>
        <v/>
      </c>
      <c r="E3034" s="893" t="s">
        <v>146</v>
      </c>
    </row>
    <row r="3035" spans="1:5" x14ac:dyDescent="0.3">
      <c r="A3035" s="888" t="str">
        <f>IF(LEN('Translation-EN'!A3035)&gt;0,'Translation-EN'!A3035,"")</f>
        <v>Range</v>
      </c>
      <c r="B3035" s="888" t="str">
        <f>IF(LEN('Translation-EN'!B3035)&gt;0,'Translation-EN'!B3035,"")</f>
        <v>Master sheet</v>
      </c>
      <c r="C3035" s="888" t="str">
        <f>IF(LEN('Translation-EN'!C3035)&gt;0,'Translation-EN'!C3035,"")</f>
        <v>D625</v>
      </c>
      <c r="D3035" s="888" t="str">
        <f>IF(LEN('Translation-EN'!D3035)&gt;0,'Translation-EN'!D3035,"")</f>
        <v/>
      </c>
      <c r="E3035" s="893" t="s">
        <v>6619</v>
      </c>
    </row>
    <row r="3036" spans="1:5" x14ac:dyDescent="0.3">
      <c r="A3036" s="888" t="str">
        <f>IF(LEN('Translation-EN'!A3036)&gt;0,'Translation-EN'!A3036,"")</f>
        <v>Range</v>
      </c>
      <c r="B3036" s="888" t="str">
        <f>IF(LEN('Translation-EN'!B3036)&gt;0,'Translation-EN'!B3036,"")</f>
        <v>Master sheet</v>
      </c>
      <c r="C3036" s="888" t="str">
        <f>IF(LEN('Translation-EN'!C3036)&gt;0,'Translation-EN'!C3036,"")</f>
        <v>E625</v>
      </c>
      <c r="D3036" s="888" t="str">
        <f>IF(LEN('Translation-EN'!D3036)&gt;0,'Translation-EN'!D3036,"")</f>
        <v/>
      </c>
      <c r="E3036" s="893" t="s">
        <v>4653</v>
      </c>
    </row>
    <row r="3037" spans="1:5" x14ac:dyDescent="0.3">
      <c r="A3037" s="888" t="str">
        <f>IF(LEN('Translation-EN'!A3037)&gt;0,'Translation-EN'!A3037,"")</f>
        <v>Range</v>
      </c>
      <c r="B3037" s="888" t="str">
        <f>IF(LEN('Translation-EN'!B3037)&gt;0,'Translation-EN'!B3037,"")</f>
        <v>Master sheet</v>
      </c>
      <c r="C3037" s="888" t="str">
        <f>IF(LEN('Translation-EN'!C3037)&gt;0,'Translation-EN'!C3037,"")</f>
        <v>B626</v>
      </c>
      <c r="D3037" s="888" t="str">
        <f>IF(LEN('Translation-EN'!D3037)&gt;0,'Translation-EN'!D3037,"")</f>
        <v/>
      </c>
      <c r="E3037" s="893" t="str">
        <f>$E$3033</f>
        <v>Barrière mur ext., autocollante</v>
      </c>
    </row>
    <row r="3038" spans="1:5" x14ac:dyDescent="0.3">
      <c r="A3038" s="888" t="str">
        <f>IF(LEN('Translation-EN'!A3038)&gt;0,'Translation-EN'!A3038,"")</f>
        <v>Range</v>
      </c>
      <c r="B3038" s="888" t="str">
        <f>IF(LEN('Translation-EN'!B3038)&gt;0,'Translation-EN'!B3038,"")</f>
        <v>Master sheet</v>
      </c>
      <c r="C3038" s="888" t="str">
        <f>IF(LEN('Translation-EN'!C3038)&gt;0,'Translation-EN'!C3038,"")</f>
        <v>C626</v>
      </c>
      <c r="D3038" s="888" t="str">
        <f>IF(LEN('Translation-EN'!D3038)&gt;0,'Translation-EN'!D3038,"")</f>
        <v/>
      </c>
      <c r="E3038" s="893" t="str">
        <f>$E$2888</f>
        <v>Soprema</v>
      </c>
    </row>
    <row r="3039" spans="1:5" x14ac:dyDescent="0.3">
      <c r="A3039" s="888" t="str">
        <f>IF(LEN('Translation-EN'!A3039)&gt;0,'Translation-EN'!A3039,"")</f>
        <v>Range</v>
      </c>
      <c r="B3039" s="888" t="str">
        <f>IF(LEN('Translation-EN'!B3039)&gt;0,'Translation-EN'!B3039,"")</f>
        <v>Master sheet</v>
      </c>
      <c r="C3039" s="888" t="str">
        <f>IF(LEN('Translation-EN'!C3039)&gt;0,'Translation-EN'!C3039,"")</f>
        <v>D626</v>
      </c>
      <c r="D3039" s="888" t="str">
        <f>IF(LEN('Translation-EN'!D3039)&gt;0,'Translation-EN'!D3039,"")</f>
        <v/>
      </c>
      <c r="E3039" s="893" t="s">
        <v>6620</v>
      </c>
    </row>
    <row r="3040" spans="1:5" x14ac:dyDescent="0.3">
      <c r="A3040" s="888" t="str">
        <f>IF(LEN('Translation-EN'!A3040)&gt;0,'Translation-EN'!A3040,"")</f>
        <v>Range</v>
      </c>
      <c r="B3040" s="888" t="str">
        <f>IF(LEN('Translation-EN'!B3040)&gt;0,'Translation-EN'!B3040,"")</f>
        <v>Master sheet</v>
      </c>
      <c r="C3040" s="888" t="str">
        <f>IF(LEN('Translation-EN'!C3040)&gt;0,'Translation-EN'!C3040,"")</f>
        <v>E626</v>
      </c>
      <c r="D3040" s="888" t="str">
        <f>IF(LEN('Translation-EN'!D3040)&gt;0,'Translation-EN'!D3040,"")</f>
        <v/>
      </c>
      <c r="E3040" s="893" t="str">
        <f>$E$3019</f>
        <v>1,0 mm</v>
      </c>
    </row>
    <row r="3041" spans="1:5" x14ac:dyDescent="0.3">
      <c r="A3041" s="888" t="str">
        <f>IF(LEN('Translation-EN'!A3041)&gt;0,'Translation-EN'!A3041,"")</f>
        <v>Range</v>
      </c>
      <c r="B3041" s="888" t="str">
        <f>IF(LEN('Translation-EN'!B3041)&gt;0,'Translation-EN'!B3041,"")</f>
        <v>Master sheet</v>
      </c>
      <c r="C3041" s="888" t="str">
        <f>IF(LEN('Translation-EN'!C3041)&gt;0,'Translation-EN'!C3041,"")</f>
        <v>B627</v>
      </c>
      <c r="D3041" s="888" t="str">
        <f>IF(LEN('Translation-EN'!D3041)&gt;0,'Translation-EN'!D3041,"")</f>
        <v/>
      </c>
      <c r="E3041" s="893" t="str">
        <f>$E$3033</f>
        <v>Barrière mur ext., autocollante</v>
      </c>
    </row>
    <row r="3042" spans="1:5" x14ac:dyDescent="0.3">
      <c r="A3042" s="888" t="str">
        <f>IF(LEN('Translation-EN'!A3042)&gt;0,'Translation-EN'!A3042,"")</f>
        <v>Range</v>
      </c>
      <c r="B3042" s="888" t="str">
        <f>IF(LEN('Translation-EN'!B3042)&gt;0,'Translation-EN'!B3042,"")</f>
        <v>Master sheet</v>
      </c>
      <c r="C3042" s="888" t="str">
        <f>IF(LEN('Translation-EN'!C3042)&gt;0,'Translation-EN'!C3042,"")</f>
        <v>C627</v>
      </c>
      <c r="D3042" s="888" t="str">
        <f>IF(LEN('Translation-EN'!D3042)&gt;0,'Translation-EN'!D3042,"")</f>
        <v/>
      </c>
      <c r="E3042" s="893" t="str">
        <f>$E$2888</f>
        <v>Soprema</v>
      </c>
    </row>
    <row r="3043" spans="1:5" x14ac:dyDescent="0.3">
      <c r="A3043" s="888" t="str">
        <f>IF(LEN('Translation-EN'!A3043)&gt;0,'Translation-EN'!A3043,"")</f>
        <v>Range</v>
      </c>
      <c r="B3043" s="888" t="str">
        <f>IF(LEN('Translation-EN'!B3043)&gt;0,'Translation-EN'!B3043,"")</f>
        <v>Master sheet</v>
      </c>
      <c r="C3043" s="888" t="str">
        <f>IF(LEN('Translation-EN'!C3043)&gt;0,'Translation-EN'!C3043,"")</f>
        <v>D627</v>
      </c>
      <c r="D3043" s="888" t="str">
        <f>IF(LEN('Translation-EN'!D3043)&gt;0,'Translation-EN'!D3043,"")</f>
        <v/>
      </c>
      <c r="E3043" s="893" t="s">
        <v>4662</v>
      </c>
    </row>
    <row r="3044" spans="1:5" x14ac:dyDescent="0.3">
      <c r="A3044" s="888" t="str">
        <f>IF(LEN('Translation-EN'!A3044)&gt;0,'Translation-EN'!A3044,"")</f>
        <v>Range</v>
      </c>
      <c r="B3044" s="888" t="str">
        <f>IF(LEN('Translation-EN'!B3044)&gt;0,'Translation-EN'!B3044,"")</f>
        <v>Master sheet</v>
      </c>
      <c r="C3044" s="888" t="str">
        <f>IF(LEN('Translation-EN'!C3044)&gt;0,'Translation-EN'!C3044,"")</f>
        <v>E627</v>
      </c>
      <c r="D3044" s="888" t="str">
        <f>IF(LEN('Translation-EN'!D3044)&gt;0,'Translation-EN'!D3044,"")</f>
        <v/>
      </c>
      <c r="E3044" s="893" t="s">
        <v>6621</v>
      </c>
    </row>
    <row r="3045" spans="1:5" x14ac:dyDescent="0.3">
      <c r="A3045" s="888" t="str">
        <f>IF(LEN('Translation-EN'!A3045)&gt;0,'Translation-EN'!A3045,"")</f>
        <v>Range</v>
      </c>
      <c r="B3045" s="888" t="str">
        <f>IF(LEN('Translation-EN'!B3045)&gt;0,'Translation-EN'!B3045,"")</f>
        <v>Master sheet</v>
      </c>
      <c r="C3045" s="888" t="str">
        <f>IF(LEN('Translation-EN'!C3045)&gt;0,'Translation-EN'!C3045,"")</f>
        <v>B628</v>
      </c>
      <c r="D3045" s="888" t="str">
        <f>IF(LEN('Translation-EN'!D3045)&gt;0,'Translation-EN'!D3045,"")</f>
        <v/>
      </c>
      <c r="E3045" s="893" t="str">
        <f>$E$3033</f>
        <v>Barrière mur ext., autocollante</v>
      </c>
    </row>
    <row r="3046" spans="1:5" x14ac:dyDescent="0.3">
      <c r="A3046" s="888" t="str">
        <f>IF(LEN('Translation-EN'!A3046)&gt;0,'Translation-EN'!A3046,"")</f>
        <v>Range</v>
      </c>
      <c r="B3046" s="888" t="str">
        <f>IF(LEN('Translation-EN'!B3046)&gt;0,'Translation-EN'!B3046,"")</f>
        <v>Master sheet</v>
      </c>
      <c r="C3046" s="888" t="str">
        <f>IF(LEN('Translation-EN'!C3046)&gt;0,'Translation-EN'!C3046,"")</f>
        <v>C628</v>
      </c>
      <c r="D3046" s="888" t="str">
        <f>IF(LEN('Translation-EN'!D3046)&gt;0,'Translation-EN'!D3046,"")</f>
        <v/>
      </c>
      <c r="E3046" s="893" t="str">
        <f>$E$2888</f>
        <v>Soprema</v>
      </c>
    </row>
    <row r="3047" spans="1:5" x14ac:dyDescent="0.3">
      <c r="A3047" s="888" t="str">
        <f>IF(LEN('Translation-EN'!A3047)&gt;0,'Translation-EN'!A3047,"")</f>
        <v>Range</v>
      </c>
      <c r="B3047" s="888" t="str">
        <f>IF(LEN('Translation-EN'!B3047)&gt;0,'Translation-EN'!B3047,"")</f>
        <v>Master sheet</v>
      </c>
      <c r="C3047" s="888" t="str">
        <f>IF(LEN('Translation-EN'!C3047)&gt;0,'Translation-EN'!C3047,"")</f>
        <v>D628</v>
      </c>
      <c r="D3047" s="888" t="str">
        <f>IF(LEN('Translation-EN'!D3047)&gt;0,'Translation-EN'!D3047,"")</f>
        <v/>
      </c>
      <c r="E3047" s="893" t="s">
        <v>6622</v>
      </c>
    </row>
    <row r="3048" spans="1:5" x14ac:dyDescent="0.3">
      <c r="A3048" s="888" t="str">
        <f>IF(LEN('Translation-EN'!A3048)&gt;0,'Translation-EN'!A3048,"")</f>
        <v>Range</v>
      </c>
      <c r="B3048" s="888" t="str">
        <f>IF(LEN('Translation-EN'!B3048)&gt;0,'Translation-EN'!B3048,"")</f>
        <v>Master sheet</v>
      </c>
      <c r="C3048" s="888" t="str">
        <f>IF(LEN('Translation-EN'!C3048)&gt;0,'Translation-EN'!C3048,"")</f>
        <v>E628</v>
      </c>
      <c r="D3048" s="888" t="str">
        <f>IF(LEN('Translation-EN'!D3048)&gt;0,'Translation-EN'!D3048,"")</f>
        <v/>
      </c>
      <c r="E3048" s="893" t="str">
        <f>$E$3019</f>
        <v>1,0 mm</v>
      </c>
    </row>
    <row r="3049" spans="1:5" x14ac:dyDescent="0.3">
      <c r="A3049" s="888" t="str">
        <f>IF(LEN('Translation-EN'!A3049)&gt;0,'Translation-EN'!A3049,"")</f>
        <v>Range</v>
      </c>
      <c r="B3049" s="888" t="str">
        <f>IF(LEN('Translation-EN'!B3049)&gt;0,'Translation-EN'!B3049,"")</f>
        <v>Master sheet</v>
      </c>
      <c r="C3049" s="888" t="str">
        <f>IF(LEN('Translation-EN'!C3049)&gt;0,'Translation-EN'!C3049,"")</f>
        <v>B629</v>
      </c>
      <c r="D3049" s="888" t="str">
        <f>IF(LEN('Translation-EN'!D3049)&gt;0,'Translation-EN'!D3049,"")</f>
        <v/>
      </c>
      <c r="E3049" s="893" t="str">
        <f>$E$3033</f>
        <v>Barrière mur ext., autocollante</v>
      </c>
    </row>
    <row r="3050" spans="1:5" x14ac:dyDescent="0.3">
      <c r="A3050" s="888" t="str">
        <f>IF(LEN('Translation-EN'!A3050)&gt;0,'Translation-EN'!A3050,"")</f>
        <v>Range</v>
      </c>
      <c r="B3050" s="888" t="str">
        <f>IF(LEN('Translation-EN'!B3050)&gt;0,'Translation-EN'!B3050,"")</f>
        <v>Master sheet</v>
      </c>
      <c r="C3050" s="888" t="str">
        <f>IF(LEN('Translation-EN'!C3050)&gt;0,'Translation-EN'!C3050,"")</f>
        <v>C629</v>
      </c>
      <c r="D3050" s="888" t="str">
        <f>IF(LEN('Translation-EN'!D3050)&gt;0,'Translation-EN'!D3050,"")</f>
        <v/>
      </c>
      <c r="E3050" s="893" t="str">
        <f>$E$2888</f>
        <v>Soprema</v>
      </c>
    </row>
    <row r="3051" spans="1:5" x14ac:dyDescent="0.3">
      <c r="A3051" s="888" t="str">
        <f>IF(LEN('Translation-EN'!A3051)&gt;0,'Translation-EN'!A3051,"")</f>
        <v>Range</v>
      </c>
      <c r="B3051" s="888" t="str">
        <f>IF(LEN('Translation-EN'!B3051)&gt;0,'Translation-EN'!B3051,"")</f>
        <v>Master sheet</v>
      </c>
      <c r="C3051" s="888" t="str">
        <f>IF(LEN('Translation-EN'!C3051)&gt;0,'Translation-EN'!C3051,"")</f>
        <v>D629</v>
      </c>
      <c r="D3051" s="888" t="str">
        <f>IF(LEN('Translation-EN'!D3051)&gt;0,'Translation-EN'!D3051,"")</f>
        <v/>
      </c>
      <c r="E3051" s="893" t="s">
        <v>6623</v>
      </c>
    </row>
    <row r="3052" spans="1:5" x14ac:dyDescent="0.3">
      <c r="A3052" s="888" t="str">
        <f>IF(LEN('Translation-EN'!A3052)&gt;0,'Translation-EN'!A3052,"")</f>
        <v>Range</v>
      </c>
      <c r="B3052" s="888" t="str">
        <f>IF(LEN('Translation-EN'!B3052)&gt;0,'Translation-EN'!B3052,"")</f>
        <v>Master sheet</v>
      </c>
      <c r="C3052" s="888" t="str">
        <f>IF(LEN('Translation-EN'!C3052)&gt;0,'Translation-EN'!C3052,"")</f>
        <v>E629</v>
      </c>
      <c r="D3052" s="888" t="str">
        <f>IF(LEN('Translation-EN'!D3052)&gt;0,'Translation-EN'!D3052,"")</f>
        <v/>
      </c>
      <c r="E3052" s="893" t="str">
        <f>$E$3007</f>
        <v>0,8 mm</v>
      </c>
    </row>
    <row r="3053" spans="1:5" x14ac:dyDescent="0.3">
      <c r="A3053" s="888" t="str">
        <f>IF(LEN('Translation-EN'!A3053)&gt;0,'Translation-EN'!A3053,"")</f>
        <v>Range</v>
      </c>
      <c r="B3053" s="888" t="str">
        <f>IF(LEN('Translation-EN'!B3053)&gt;0,'Translation-EN'!B3053,"")</f>
        <v>Master sheet</v>
      </c>
      <c r="C3053" s="888" t="str">
        <f>IF(LEN('Translation-EN'!C3053)&gt;0,'Translation-EN'!C3053,"")</f>
        <v>B630</v>
      </c>
      <c r="D3053" s="888" t="str">
        <f>IF(LEN('Translation-EN'!D3053)&gt;0,'Translation-EN'!D3053,"")</f>
        <v/>
      </c>
      <c r="E3053" s="893" t="s">
        <v>6624</v>
      </c>
    </row>
    <row r="3054" spans="1:5" x14ac:dyDescent="0.3">
      <c r="A3054" s="888" t="str">
        <f>IF(LEN('Translation-EN'!A3054)&gt;0,'Translation-EN'!A3054,"")</f>
        <v>Range</v>
      </c>
      <c r="B3054" s="888" t="str">
        <f>IF(LEN('Translation-EN'!B3054)&gt;0,'Translation-EN'!B3054,"")</f>
        <v>Master sheet</v>
      </c>
      <c r="C3054" s="888" t="str">
        <f>IF(LEN('Translation-EN'!C3054)&gt;0,'Translation-EN'!C3054,"")</f>
        <v>C630</v>
      </c>
      <c r="D3054" s="888" t="str">
        <f>IF(LEN('Translation-EN'!D3054)&gt;0,'Translation-EN'!D3054,"")</f>
        <v/>
      </c>
      <c r="E3054" s="893" t="str">
        <f>$E$3034</f>
        <v>GCP</v>
      </c>
    </row>
    <row r="3055" spans="1:5" x14ac:dyDescent="0.3">
      <c r="A3055" s="888" t="str">
        <f>IF(LEN('Translation-EN'!A3055)&gt;0,'Translation-EN'!A3055,"")</f>
        <v>Range</v>
      </c>
      <c r="B3055" s="888" t="str">
        <f>IF(LEN('Translation-EN'!B3055)&gt;0,'Translation-EN'!B3055,"")</f>
        <v>Master sheet</v>
      </c>
      <c r="C3055" s="888" t="str">
        <f>IF(LEN('Translation-EN'!C3055)&gt;0,'Translation-EN'!C3055,"")</f>
        <v>D630</v>
      </c>
      <c r="D3055" s="888" t="str">
        <f>IF(LEN('Translation-EN'!D3055)&gt;0,'Translation-EN'!D3055,"")</f>
        <v/>
      </c>
      <c r="E3055" s="893" t="s">
        <v>6625</v>
      </c>
    </row>
    <row r="3056" spans="1:5" x14ac:dyDescent="0.3">
      <c r="A3056" s="888" t="str">
        <f>IF(LEN('Translation-EN'!A3056)&gt;0,'Translation-EN'!A3056,"")</f>
        <v>Range</v>
      </c>
      <c r="B3056" s="888" t="str">
        <f>IF(LEN('Translation-EN'!B3056)&gt;0,'Translation-EN'!B3056,"")</f>
        <v>Master sheet</v>
      </c>
      <c r="C3056" s="888" t="str">
        <f>IF(LEN('Translation-EN'!C3056)&gt;0,'Translation-EN'!C3056,"")</f>
        <v>E630</v>
      </c>
      <c r="D3056" s="888" t="str">
        <f>IF(LEN('Translation-EN'!D3056)&gt;0,'Translation-EN'!D3056,"")</f>
        <v/>
      </c>
      <c r="E3056" s="893" t="str">
        <f>$E$3036</f>
        <v>1 mm</v>
      </c>
    </row>
    <row r="3057" spans="1:5" x14ac:dyDescent="0.3">
      <c r="A3057" s="888" t="str">
        <f>IF(LEN('Translation-EN'!A3057)&gt;0,'Translation-EN'!A3057,"")</f>
        <v>Range</v>
      </c>
      <c r="B3057" s="888" t="str">
        <f>IF(LEN('Translation-EN'!B3057)&gt;0,'Translation-EN'!B3057,"")</f>
        <v>Master sheet</v>
      </c>
      <c r="C3057" s="888" t="str">
        <f>IF(LEN('Translation-EN'!C3057)&gt;0,'Translation-EN'!C3057,"")</f>
        <v>B631</v>
      </c>
      <c r="D3057" s="888" t="str">
        <f>IF(LEN('Translation-EN'!D3057)&gt;0,'Translation-EN'!D3057,"")</f>
        <v/>
      </c>
      <c r="E3057" s="893" t="str">
        <f>$E$3053</f>
        <v>Barrière mur ext., application liquide</v>
      </c>
    </row>
    <row r="3058" spans="1:5" x14ac:dyDescent="0.3">
      <c r="A3058" s="888" t="str">
        <f>IF(LEN('Translation-EN'!A3058)&gt;0,'Translation-EN'!A3058,"")</f>
        <v>Range</v>
      </c>
      <c r="B3058" s="888" t="str">
        <f>IF(LEN('Translation-EN'!B3058)&gt;0,'Translation-EN'!B3058,"")</f>
        <v>Master sheet</v>
      </c>
      <c r="C3058" s="888" t="str">
        <f>IF(LEN('Translation-EN'!C3058)&gt;0,'Translation-EN'!C3058,"")</f>
        <v>C631</v>
      </c>
      <c r="D3058" s="888" t="str">
        <f>IF(LEN('Translation-EN'!D3058)&gt;0,'Translation-EN'!D3058,"")</f>
        <v/>
      </c>
      <c r="E3058" s="893" t="str">
        <f>$E$3034</f>
        <v>GCP</v>
      </c>
    </row>
    <row r="3059" spans="1:5" x14ac:dyDescent="0.3">
      <c r="A3059" s="888" t="str">
        <f>IF(LEN('Translation-EN'!A3059)&gt;0,'Translation-EN'!A3059,"")</f>
        <v>Range</v>
      </c>
      <c r="B3059" s="888" t="str">
        <f>IF(LEN('Translation-EN'!B3059)&gt;0,'Translation-EN'!B3059,"")</f>
        <v>Master sheet</v>
      </c>
      <c r="C3059" s="888" t="str">
        <f>IF(LEN('Translation-EN'!C3059)&gt;0,'Translation-EN'!C3059,"")</f>
        <v>D631</v>
      </c>
      <c r="D3059" s="888" t="str">
        <f>IF(LEN('Translation-EN'!D3059)&gt;0,'Translation-EN'!D3059,"")</f>
        <v/>
      </c>
      <c r="E3059" s="893" t="s">
        <v>4682</v>
      </c>
    </row>
    <row r="3060" spans="1:5" x14ac:dyDescent="0.3">
      <c r="A3060" s="888" t="str">
        <f>IF(LEN('Translation-EN'!A3060)&gt;0,'Translation-EN'!A3060,"")</f>
        <v>Range</v>
      </c>
      <c r="B3060" s="888" t="str">
        <f>IF(LEN('Translation-EN'!B3060)&gt;0,'Translation-EN'!B3060,"")</f>
        <v>Master sheet</v>
      </c>
      <c r="C3060" s="888" t="str">
        <f>IF(LEN('Translation-EN'!C3060)&gt;0,'Translation-EN'!C3060,"")</f>
        <v>E631</v>
      </c>
      <c r="D3060" s="888" t="str">
        <f>IF(LEN('Translation-EN'!D3060)&gt;0,'Translation-EN'!D3060,"")</f>
        <v/>
      </c>
      <c r="E3060" s="893" t="s">
        <v>6626</v>
      </c>
    </row>
    <row r="3061" spans="1:5" x14ac:dyDescent="0.3">
      <c r="A3061" s="888" t="str">
        <f>IF(LEN('Translation-EN'!A3061)&gt;0,'Translation-EN'!A3061,"")</f>
        <v>Range</v>
      </c>
      <c r="B3061" s="888" t="str">
        <f>IF(LEN('Translation-EN'!B3061)&gt;0,'Translation-EN'!B3061,"")</f>
        <v>Master sheet</v>
      </c>
      <c r="C3061" s="888" t="str">
        <f>IF(LEN('Translation-EN'!C3061)&gt;0,'Translation-EN'!C3061,"")</f>
        <v>B632</v>
      </c>
      <c r="D3061" s="888" t="str">
        <f>IF(LEN('Translation-EN'!D3061)&gt;0,'Translation-EN'!D3061,"")</f>
        <v/>
      </c>
      <c r="E3061" s="893" t="str">
        <f>$E$3053</f>
        <v>Barrière mur ext., application liquide</v>
      </c>
    </row>
    <row r="3062" spans="1:5" x14ac:dyDescent="0.3">
      <c r="A3062" s="888" t="str">
        <f>IF(LEN('Translation-EN'!A3062)&gt;0,'Translation-EN'!A3062,"")</f>
        <v>Range</v>
      </c>
      <c r="B3062" s="888" t="str">
        <f>IF(LEN('Translation-EN'!B3062)&gt;0,'Translation-EN'!B3062,"")</f>
        <v>Master sheet</v>
      </c>
      <c r="C3062" s="888" t="str">
        <f>IF(LEN('Translation-EN'!C3062)&gt;0,'Translation-EN'!C3062,"")</f>
        <v>C632</v>
      </c>
      <c r="D3062" s="888" t="str">
        <f>IF(LEN('Translation-EN'!D3062)&gt;0,'Translation-EN'!D3062,"")</f>
        <v/>
      </c>
      <c r="E3062" s="893" t="str">
        <f>$E$3034</f>
        <v>GCP</v>
      </c>
    </row>
    <row r="3063" spans="1:5" x14ac:dyDescent="0.3">
      <c r="A3063" s="888" t="str">
        <f>IF(LEN('Translation-EN'!A3063)&gt;0,'Translation-EN'!A3063,"")</f>
        <v>Range</v>
      </c>
      <c r="B3063" s="888" t="str">
        <f>IF(LEN('Translation-EN'!B3063)&gt;0,'Translation-EN'!B3063,"")</f>
        <v>Master sheet</v>
      </c>
      <c r="C3063" s="888" t="str">
        <f>IF(LEN('Translation-EN'!C3063)&gt;0,'Translation-EN'!C3063,"")</f>
        <v>D632</v>
      </c>
      <c r="D3063" s="888" t="str">
        <f>IF(LEN('Translation-EN'!D3063)&gt;0,'Translation-EN'!D3063,"")</f>
        <v/>
      </c>
      <c r="E3063" s="893" t="s">
        <v>4685</v>
      </c>
    </row>
    <row r="3064" spans="1:5" x14ac:dyDescent="0.3">
      <c r="A3064" s="888" t="str">
        <f>IF(LEN('Translation-EN'!A3064)&gt;0,'Translation-EN'!A3064,"")</f>
        <v>Range</v>
      </c>
      <c r="B3064" s="888" t="str">
        <f>IF(LEN('Translation-EN'!B3064)&gt;0,'Translation-EN'!B3064,"")</f>
        <v>Master sheet</v>
      </c>
      <c r="C3064" s="888" t="str">
        <f>IF(LEN('Translation-EN'!C3064)&gt;0,'Translation-EN'!C3064,"")</f>
        <v>E632</v>
      </c>
      <c r="D3064" s="888" t="str">
        <f>IF(LEN('Translation-EN'!D3064)&gt;0,'Translation-EN'!D3064,"")</f>
        <v/>
      </c>
      <c r="E3064" s="893" t="s">
        <v>6627</v>
      </c>
    </row>
    <row r="3065" spans="1:5" x14ac:dyDescent="0.3">
      <c r="A3065" s="888" t="str">
        <f>IF(LEN('Translation-EN'!A3065)&gt;0,'Translation-EN'!A3065,"")</f>
        <v>Range</v>
      </c>
      <c r="B3065" s="888" t="str">
        <f>IF(LEN('Translation-EN'!B3065)&gt;0,'Translation-EN'!B3065,"")</f>
        <v>Master sheet</v>
      </c>
      <c r="C3065" s="888" t="str">
        <f>IF(LEN('Translation-EN'!C3065)&gt;0,'Translation-EN'!C3065,"")</f>
        <v>B633</v>
      </c>
      <c r="D3065" s="888" t="str">
        <f>IF(LEN('Translation-EN'!D3065)&gt;0,'Translation-EN'!D3065,"")</f>
        <v/>
      </c>
      <c r="E3065" s="893" t="s">
        <v>6628</v>
      </c>
    </row>
    <row r="3066" spans="1:5" x14ac:dyDescent="0.3">
      <c r="A3066" s="888" t="str">
        <f>IF(LEN('Translation-EN'!A3066)&gt;0,'Translation-EN'!A3066,"")</f>
        <v>Range</v>
      </c>
      <c r="B3066" s="888" t="str">
        <f>IF(LEN('Translation-EN'!B3066)&gt;0,'Translation-EN'!B3066,"")</f>
        <v>Master sheet</v>
      </c>
      <c r="C3066" s="888" t="str">
        <f>IF(LEN('Translation-EN'!C3066)&gt;0,'Translation-EN'!C3066,"")</f>
        <v>C633</v>
      </c>
      <c r="D3066" s="888" t="str">
        <f>IF(LEN('Translation-EN'!D3066)&gt;0,'Translation-EN'!D3066,"")</f>
        <v/>
      </c>
      <c r="E3066" s="893" t="str">
        <f>$E$3034</f>
        <v>GCP</v>
      </c>
    </row>
    <row r="3067" spans="1:5" x14ac:dyDescent="0.3">
      <c r="A3067" s="888" t="str">
        <f>IF(LEN('Translation-EN'!A3067)&gt;0,'Translation-EN'!A3067,"")</f>
        <v>Range</v>
      </c>
      <c r="B3067" s="888" t="str">
        <f>IF(LEN('Translation-EN'!B3067)&gt;0,'Translation-EN'!B3067,"")</f>
        <v>Master sheet</v>
      </c>
      <c r="C3067" s="888" t="str">
        <f>IF(LEN('Translation-EN'!C3067)&gt;0,'Translation-EN'!C3067,"")</f>
        <v>D633</v>
      </c>
      <c r="D3067" s="888" t="str">
        <f>IF(LEN('Translation-EN'!D3067)&gt;0,'Translation-EN'!D3067,"")</f>
        <v/>
      </c>
      <c r="E3067" s="893" t="s">
        <v>6629</v>
      </c>
    </row>
    <row r="3068" spans="1:5" x14ac:dyDescent="0.3">
      <c r="A3068" s="888" t="str">
        <f>IF(LEN('Translation-EN'!A3068)&gt;0,'Translation-EN'!A3068,"")</f>
        <v>Range</v>
      </c>
      <c r="B3068" s="888" t="str">
        <f>IF(LEN('Translation-EN'!B3068)&gt;0,'Translation-EN'!B3068,"")</f>
        <v>Master sheet</v>
      </c>
      <c r="C3068" s="888" t="str">
        <f>IF(LEN('Translation-EN'!C3068)&gt;0,'Translation-EN'!C3068,"")</f>
        <v>E633</v>
      </c>
      <c r="D3068" s="888" t="str">
        <f>IF(LEN('Translation-EN'!D3068)&gt;0,'Translation-EN'!D3068,"")</f>
        <v/>
      </c>
      <c r="E3068" s="893" t="s">
        <v>6630</v>
      </c>
    </row>
    <row r="3069" spans="1:5" x14ac:dyDescent="0.3">
      <c r="A3069" s="888" t="str">
        <f>IF(LEN('Translation-EN'!A3069)&gt;0,'Translation-EN'!A3069,"")</f>
        <v>Range</v>
      </c>
      <c r="B3069" s="888" t="str">
        <f>IF(LEN('Translation-EN'!B3069)&gt;0,'Translation-EN'!B3069,"")</f>
        <v>Master sheet</v>
      </c>
      <c r="C3069" s="888" t="str">
        <f>IF(LEN('Translation-EN'!C3069)&gt;0,'Translation-EN'!C3069,"")</f>
        <v>B634</v>
      </c>
      <c r="D3069" s="888" t="str">
        <f>IF(LEN('Translation-EN'!D3069)&gt;0,'Translation-EN'!D3069,"")</f>
        <v/>
      </c>
      <c r="E3069" s="893" t="str">
        <f>$E$3053</f>
        <v>Barrière mur ext., application liquide</v>
      </c>
    </row>
    <row r="3070" spans="1:5" x14ac:dyDescent="0.3">
      <c r="A3070" s="888" t="str">
        <f>IF(LEN('Translation-EN'!A3070)&gt;0,'Translation-EN'!A3070,"")</f>
        <v>Range</v>
      </c>
      <c r="B3070" s="888" t="str">
        <f>IF(LEN('Translation-EN'!B3070)&gt;0,'Translation-EN'!B3070,"")</f>
        <v>Master sheet</v>
      </c>
      <c r="C3070" s="888" t="str">
        <f>IF(LEN('Translation-EN'!C3070)&gt;0,'Translation-EN'!C3070,"")</f>
        <v>C634</v>
      </c>
      <c r="D3070" s="888" t="str">
        <f>IF(LEN('Translation-EN'!D3070)&gt;0,'Translation-EN'!D3070,"")</f>
        <v/>
      </c>
      <c r="E3070" s="893" t="str">
        <f>$E$2888</f>
        <v>Soprema</v>
      </c>
    </row>
    <row r="3071" spans="1:5" x14ac:dyDescent="0.3">
      <c r="A3071" s="888" t="str">
        <f>IF(LEN('Translation-EN'!A3071)&gt;0,'Translation-EN'!A3071,"")</f>
        <v>Range</v>
      </c>
      <c r="B3071" s="888" t="str">
        <f>IF(LEN('Translation-EN'!B3071)&gt;0,'Translation-EN'!B3071,"")</f>
        <v>Master sheet</v>
      </c>
      <c r="C3071" s="888" t="str">
        <f>IF(LEN('Translation-EN'!C3071)&gt;0,'Translation-EN'!C3071,"")</f>
        <v>D634</v>
      </c>
      <c r="D3071" s="888" t="str">
        <f>IF(LEN('Translation-EN'!D3071)&gt;0,'Translation-EN'!D3071,"")</f>
        <v/>
      </c>
      <c r="E3071" s="893" t="s">
        <v>6631</v>
      </c>
    </row>
    <row r="3072" spans="1:5" x14ac:dyDescent="0.3">
      <c r="A3072" s="888" t="str">
        <f>IF(LEN('Translation-EN'!A3072)&gt;0,'Translation-EN'!A3072,"")</f>
        <v>Range</v>
      </c>
      <c r="B3072" s="888" t="str">
        <f>IF(LEN('Translation-EN'!B3072)&gt;0,'Translation-EN'!B3072,"")</f>
        <v>Master sheet</v>
      </c>
      <c r="C3072" s="888" t="str">
        <f>IF(LEN('Translation-EN'!C3072)&gt;0,'Translation-EN'!C3072,"")</f>
        <v>B635</v>
      </c>
      <c r="D3072" s="888" t="str">
        <f>IF(LEN('Translation-EN'!D3072)&gt;0,'Translation-EN'!D3072,"")</f>
        <v/>
      </c>
      <c r="E3072" s="893" t="str">
        <f>$E$3053</f>
        <v>Barrière mur ext., application liquide</v>
      </c>
    </row>
    <row r="3073" spans="1:5" x14ac:dyDescent="0.3">
      <c r="A3073" s="888" t="str">
        <f>IF(LEN('Translation-EN'!A3073)&gt;0,'Translation-EN'!A3073,"")</f>
        <v>Range</v>
      </c>
      <c r="B3073" s="888" t="str">
        <f>IF(LEN('Translation-EN'!B3073)&gt;0,'Translation-EN'!B3073,"")</f>
        <v>Master sheet</v>
      </c>
      <c r="C3073" s="888" t="str">
        <f>IF(LEN('Translation-EN'!C3073)&gt;0,'Translation-EN'!C3073,"")</f>
        <v>C635</v>
      </c>
      <c r="D3073" s="888" t="str">
        <f>IF(LEN('Translation-EN'!D3073)&gt;0,'Translation-EN'!D3073,"")</f>
        <v/>
      </c>
      <c r="E3073" s="893" t="str">
        <f>$E$2888</f>
        <v>Soprema</v>
      </c>
    </row>
    <row r="3074" spans="1:5" x14ac:dyDescent="0.3">
      <c r="A3074" s="888" t="str">
        <f>IF(LEN('Translation-EN'!A3074)&gt;0,'Translation-EN'!A3074,"")</f>
        <v>Range</v>
      </c>
      <c r="B3074" s="888" t="str">
        <f>IF(LEN('Translation-EN'!B3074)&gt;0,'Translation-EN'!B3074,"")</f>
        <v>Master sheet</v>
      </c>
      <c r="C3074" s="888" t="str">
        <f>IF(LEN('Translation-EN'!C3074)&gt;0,'Translation-EN'!C3074,"")</f>
        <v>D635</v>
      </c>
      <c r="D3074" s="888" t="str">
        <f>IF(LEN('Translation-EN'!D3074)&gt;0,'Translation-EN'!D3074,"")</f>
        <v/>
      </c>
      <c r="E3074" s="893" t="s">
        <v>4698</v>
      </c>
    </row>
    <row r="3075" spans="1:5" x14ac:dyDescent="0.3">
      <c r="A3075" s="888" t="str">
        <f>IF(LEN('Translation-EN'!A3075)&gt;0,'Translation-EN'!A3075,"")</f>
        <v>Range</v>
      </c>
      <c r="B3075" s="888" t="str">
        <f>IF(LEN('Translation-EN'!B3075)&gt;0,'Translation-EN'!B3075,"")</f>
        <v>Master sheet</v>
      </c>
      <c r="C3075" s="888" t="str">
        <f>IF(LEN('Translation-EN'!C3075)&gt;0,'Translation-EN'!C3075,"")</f>
        <v>E635</v>
      </c>
      <c r="D3075" s="888" t="str">
        <f>IF(LEN('Translation-EN'!D3075)&gt;0,'Translation-EN'!D3075,"")</f>
        <v/>
      </c>
      <c r="E3075" s="893" t="str">
        <f>$E$3044</f>
        <v>0,6 mm</v>
      </c>
    </row>
    <row r="3076" spans="1:5" x14ac:dyDescent="0.3">
      <c r="A3076" s="888" t="str">
        <f>IF(LEN('Translation-EN'!A3076)&gt;0,'Translation-EN'!A3076,"")</f>
        <v>Range</v>
      </c>
      <c r="B3076" s="888" t="str">
        <f>IF(LEN('Translation-EN'!B3076)&gt;0,'Translation-EN'!B3076,"")</f>
        <v>Master sheet</v>
      </c>
      <c r="C3076" s="888" t="str">
        <f>IF(LEN('Translation-EN'!C3076)&gt;0,'Translation-EN'!C3076,"")</f>
        <v>B636</v>
      </c>
      <c r="D3076" s="888" t="str">
        <f>IF(LEN('Translation-EN'!D3076)&gt;0,'Translation-EN'!D3076,"")</f>
        <v/>
      </c>
      <c r="E3076" s="893" t="s">
        <v>6632</v>
      </c>
    </row>
    <row r="3077" spans="1:5" x14ac:dyDescent="0.3">
      <c r="A3077" s="888" t="str">
        <f>IF(LEN('Translation-EN'!A3077)&gt;0,'Translation-EN'!A3077,"")</f>
        <v>Range</v>
      </c>
      <c r="B3077" s="888" t="str">
        <f>IF(LEN('Translation-EN'!B3077)&gt;0,'Translation-EN'!B3077,"")</f>
        <v>Master sheet</v>
      </c>
      <c r="C3077" s="888" t="str">
        <f>IF(LEN('Translation-EN'!C3077)&gt;0,'Translation-EN'!C3077,"")</f>
        <v>C636</v>
      </c>
      <c r="D3077" s="888" t="str">
        <f>IF(LEN('Translation-EN'!D3077)&gt;0,'Translation-EN'!D3077,"")</f>
        <v/>
      </c>
      <c r="E3077" s="893" t="str">
        <f>$E$2172</f>
        <v>Carlisle</v>
      </c>
    </row>
    <row r="3078" spans="1:5" x14ac:dyDescent="0.3">
      <c r="A3078" s="888" t="str">
        <f>IF(LEN('Translation-EN'!A3078)&gt;0,'Translation-EN'!A3078,"")</f>
        <v>Range</v>
      </c>
      <c r="B3078" s="888" t="str">
        <f>IF(LEN('Translation-EN'!B3078)&gt;0,'Translation-EN'!B3078,"")</f>
        <v>Master sheet</v>
      </c>
      <c r="C3078" s="888" t="str">
        <f>IF(LEN('Translation-EN'!C3078)&gt;0,'Translation-EN'!C3078,"")</f>
        <v>D636</v>
      </c>
      <c r="D3078" s="888" t="str">
        <f>IF(LEN('Translation-EN'!D3078)&gt;0,'Translation-EN'!D3078,"")</f>
        <v/>
      </c>
      <c r="E3078" s="893" t="s">
        <v>4704</v>
      </c>
    </row>
    <row r="3079" spans="1:5" x14ac:dyDescent="0.3">
      <c r="A3079" s="888" t="str">
        <f>IF(LEN('Translation-EN'!A3079)&gt;0,'Translation-EN'!A3079,"")</f>
        <v>Range</v>
      </c>
      <c r="B3079" s="888" t="str">
        <f>IF(LEN('Translation-EN'!B3079)&gt;0,'Translation-EN'!B3079,"")</f>
        <v>Master sheet</v>
      </c>
      <c r="C3079" s="888" t="str">
        <f>IF(LEN('Translation-EN'!C3079)&gt;0,'Translation-EN'!C3079,"")</f>
        <v>B637</v>
      </c>
      <c r="D3079" s="888" t="str">
        <f>IF(LEN('Translation-EN'!D3079)&gt;0,'Translation-EN'!D3079,"")</f>
        <v/>
      </c>
      <c r="E3079" s="893" t="s">
        <v>6633</v>
      </c>
    </row>
    <row r="3080" spans="1:5" x14ac:dyDescent="0.3">
      <c r="A3080" s="888" t="str">
        <f>IF(LEN('Translation-EN'!A3080)&gt;0,'Translation-EN'!A3080,"")</f>
        <v>Range</v>
      </c>
      <c r="B3080" s="888" t="str">
        <f>IF(LEN('Translation-EN'!B3080)&gt;0,'Translation-EN'!B3080,"")</f>
        <v>Master sheet</v>
      </c>
      <c r="C3080" s="888" t="str">
        <f>IF(LEN('Translation-EN'!C3080)&gt;0,'Translation-EN'!C3080,"")</f>
        <v>C637</v>
      </c>
      <c r="D3080" s="888" t="str">
        <f>IF(LEN('Translation-EN'!D3080)&gt;0,'Translation-EN'!D3080,"")</f>
        <v/>
      </c>
      <c r="E3080" s="893" t="str">
        <f>$E$2172</f>
        <v>Carlisle</v>
      </c>
    </row>
    <row r="3081" spans="1:5" x14ac:dyDescent="0.3">
      <c r="A3081" s="888" t="str">
        <f>IF(LEN('Translation-EN'!A3081)&gt;0,'Translation-EN'!A3081,"")</f>
        <v>Range</v>
      </c>
      <c r="B3081" s="888" t="str">
        <f>IF(LEN('Translation-EN'!B3081)&gt;0,'Translation-EN'!B3081,"")</f>
        <v>Master sheet</v>
      </c>
      <c r="C3081" s="888" t="str">
        <f>IF(LEN('Translation-EN'!C3081)&gt;0,'Translation-EN'!C3081,"")</f>
        <v>D637</v>
      </c>
      <c r="D3081" s="888" t="str">
        <f>IF(LEN('Translation-EN'!D3081)&gt;0,'Translation-EN'!D3081,"")</f>
        <v/>
      </c>
      <c r="E3081" s="893" t="s">
        <v>4710</v>
      </c>
    </row>
    <row r="3082" spans="1:5" x14ac:dyDescent="0.3">
      <c r="A3082" s="888" t="str">
        <f>IF(LEN('Translation-EN'!A3082)&gt;0,'Translation-EN'!A3082,"")</f>
        <v>Range</v>
      </c>
      <c r="B3082" s="888" t="str">
        <f>IF(LEN('Translation-EN'!B3082)&gt;0,'Translation-EN'!B3082,"")</f>
        <v>Master sheet</v>
      </c>
      <c r="C3082" s="888" t="str">
        <f>IF(LEN('Translation-EN'!C3082)&gt;0,'Translation-EN'!C3082,"")</f>
        <v>B638</v>
      </c>
      <c r="D3082" s="888" t="str">
        <f>IF(LEN('Translation-EN'!D3082)&gt;0,'Translation-EN'!D3082,"")</f>
        <v/>
      </c>
      <c r="E3082" s="893" t="str">
        <f>$E$2992</f>
        <v>Barrière pour murs et plafonds intérieurs, feuille</v>
      </c>
    </row>
    <row r="3083" spans="1:5" x14ac:dyDescent="0.3">
      <c r="A3083" s="888" t="str">
        <f>IF(LEN('Translation-EN'!A3083)&gt;0,'Translation-EN'!A3083,"")</f>
        <v>Range</v>
      </c>
      <c r="B3083" s="888" t="str">
        <f>IF(LEN('Translation-EN'!B3083)&gt;0,'Translation-EN'!B3083,"")</f>
        <v>Master sheet</v>
      </c>
      <c r="C3083" s="888" t="str">
        <f>IF(LEN('Translation-EN'!C3083)&gt;0,'Translation-EN'!C3083,"")</f>
        <v>C638</v>
      </c>
      <c r="D3083" s="888" t="str">
        <f>IF(LEN('Translation-EN'!D3083)&gt;0,'Translation-EN'!D3083,"")</f>
        <v/>
      </c>
      <c r="E3083" s="893" t="str">
        <f>$E$3021</f>
        <v>Partel</v>
      </c>
    </row>
    <row r="3084" spans="1:5" x14ac:dyDescent="0.3">
      <c r="A3084" s="888" t="str">
        <f>IF(LEN('Translation-EN'!A3084)&gt;0,'Translation-EN'!A3084,"")</f>
        <v>Range</v>
      </c>
      <c r="B3084" s="888" t="str">
        <f>IF(LEN('Translation-EN'!B3084)&gt;0,'Translation-EN'!B3084,"")</f>
        <v>Master sheet</v>
      </c>
      <c r="C3084" s="888" t="str">
        <f>IF(LEN('Translation-EN'!C3084)&gt;0,'Translation-EN'!C3084,"")</f>
        <v>D638</v>
      </c>
      <c r="D3084" s="888" t="str">
        <f>IF(LEN('Translation-EN'!D3084)&gt;0,'Translation-EN'!D3084,"")</f>
        <v/>
      </c>
      <c r="E3084" s="893" t="s">
        <v>6634</v>
      </c>
    </row>
    <row r="3085" spans="1:5" x14ac:dyDescent="0.3">
      <c r="A3085" s="888" t="str">
        <f>IF(LEN('Translation-EN'!A3085)&gt;0,'Translation-EN'!A3085,"")</f>
        <v>Range</v>
      </c>
      <c r="B3085" s="888" t="str">
        <f>IF(LEN('Translation-EN'!B3085)&gt;0,'Translation-EN'!B3085,"")</f>
        <v>Master sheet</v>
      </c>
      <c r="C3085" s="888" t="str">
        <f>IF(LEN('Translation-EN'!C3085)&gt;0,'Translation-EN'!C3085,"")</f>
        <v>B639</v>
      </c>
      <c r="D3085" s="888" t="str">
        <f>IF(LEN('Translation-EN'!D3085)&gt;0,'Translation-EN'!D3085,"")</f>
        <v/>
      </c>
      <c r="E3085" s="893" t="str">
        <f>$E$2992</f>
        <v>Barrière pour murs et plafonds intérieurs, feuille</v>
      </c>
    </row>
    <row r="3086" spans="1:5" x14ac:dyDescent="0.3">
      <c r="A3086" s="888" t="str">
        <f>IF(LEN('Translation-EN'!A3086)&gt;0,'Translation-EN'!A3086,"")</f>
        <v>Range</v>
      </c>
      <c r="B3086" s="888" t="str">
        <f>IF(LEN('Translation-EN'!B3086)&gt;0,'Translation-EN'!B3086,"")</f>
        <v>Master sheet</v>
      </c>
      <c r="C3086" s="888" t="str">
        <f>IF(LEN('Translation-EN'!C3086)&gt;0,'Translation-EN'!C3086,"")</f>
        <v>C639</v>
      </c>
      <c r="D3086" s="888" t="str">
        <f>IF(LEN('Translation-EN'!D3086)&gt;0,'Translation-EN'!D3086,"")</f>
        <v/>
      </c>
      <c r="E3086" s="893" t="str">
        <f>$E$3021</f>
        <v>Partel</v>
      </c>
    </row>
    <row r="3087" spans="1:5" x14ac:dyDescent="0.3">
      <c r="A3087" s="888" t="str">
        <f>IF(LEN('Translation-EN'!A3087)&gt;0,'Translation-EN'!A3087,"")</f>
        <v>Range</v>
      </c>
      <c r="B3087" s="888" t="str">
        <f>IF(LEN('Translation-EN'!B3087)&gt;0,'Translation-EN'!B3087,"")</f>
        <v>Master sheet</v>
      </c>
      <c r="C3087" s="888" t="str">
        <f>IF(LEN('Translation-EN'!C3087)&gt;0,'Translation-EN'!C3087,"")</f>
        <v>D639</v>
      </c>
      <c r="D3087" s="888" t="str">
        <f>IF(LEN('Translation-EN'!D3087)&gt;0,'Translation-EN'!D3087,"")</f>
        <v/>
      </c>
      <c r="E3087" s="893" t="s">
        <v>6635</v>
      </c>
    </row>
    <row r="3088" spans="1:5" x14ac:dyDescent="0.3">
      <c r="A3088" s="888" t="str">
        <f>IF(LEN('Translation-EN'!A3088)&gt;0,'Translation-EN'!A3088,"")</f>
        <v>Range</v>
      </c>
      <c r="B3088" s="888" t="str">
        <f>IF(LEN('Translation-EN'!B3088)&gt;0,'Translation-EN'!B3088,"")</f>
        <v>Master sheet</v>
      </c>
      <c r="C3088" s="888" t="str">
        <f>IF(LEN('Translation-EN'!C3088)&gt;0,'Translation-EN'!C3088,"")</f>
        <v>B640</v>
      </c>
      <c r="D3088" s="888" t="str">
        <f>IF(LEN('Translation-EN'!D3088)&gt;0,'Translation-EN'!D3088,"")</f>
        <v/>
      </c>
      <c r="E3088" s="893" t="str">
        <f>$E$2992</f>
        <v>Barrière pour murs et plafonds intérieurs, feuille</v>
      </c>
    </row>
    <row r="3089" spans="1:5" x14ac:dyDescent="0.3">
      <c r="A3089" s="888" t="str">
        <f>IF(LEN('Translation-EN'!A3089)&gt;0,'Translation-EN'!A3089,"")</f>
        <v>Range</v>
      </c>
      <c r="B3089" s="888" t="str">
        <f>IF(LEN('Translation-EN'!B3089)&gt;0,'Translation-EN'!B3089,"")</f>
        <v>Master sheet</v>
      </c>
      <c r="C3089" s="888" t="str">
        <f>IF(LEN('Translation-EN'!C3089)&gt;0,'Translation-EN'!C3089,"")</f>
        <v>C640</v>
      </c>
      <c r="D3089" s="888" t="str">
        <f>IF(LEN('Translation-EN'!D3089)&gt;0,'Translation-EN'!D3089,"")</f>
        <v/>
      </c>
      <c r="E3089" s="893" t="str">
        <f>$E$2993</f>
        <v>Rothoblaas</v>
      </c>
    </row>
    <row r="3090" spans="1:5" x14ac:dyDescent="0.3">
      <c r="A3090" s="888" t="str">
        <f>IF(LEN('Translation-EN'!A3090)&gt;0,'Translation-EN'!A3090,"")</f>
        <v>Range</v>
      </c>
      <c r="B3090" s="888" t="str">
        <f>IF(LEN('Translation-EN'!B3090)&gt;0,'Translation-EN'!B3090,"")</f>
        <v>Master sheet</v>
      </c>
      <c r="C3090" s="888" t="str">
        <f>IF(LEN('Translation-EN'!C3090)&gt;0,'Translation-EN'!C3090,"")</f>
        <v>D640</v>
      </c>
      <c r="D3090" s="888" t="str">
        <f>IF(LEN('Translation-EN'!D3090)&gt;0,'Translation-EN'!D3090,"")</f>
        <v/>
      </c>
      <c r="E3090" s="893" t="s">
        <v>6636</v>
      </c>
    </row>
    <row r="3091" spans="1:5" x14ac:dyDescent="0.3">
      <c r="A3091" s="888" t="str">
        <f>IF(LEN('Translation-EN'!A3091)&gt;0,'Translation-EN'!A3091,"")</f>
        <v>Range</v>
      </c>
      <c r="B3091" s="888" t="str">
        <f>IF(LEN('Translation-EN'!B3091)&gt;0,'Translation-EN'!B3091,"")</f>
        <v>Master sheet</v>
      </c>
      <c r="C3091" s="888" t="str">
        <f>IF(LEN('Translation-EN'!C3091)&gt;0,'Translation-EN'!C3091,"")</f>
        <v>E640</v>
      </c>
      <c r="D3091" s="888" t="str">
        <f>IF(LEN('Translation-EN'!D3091)&gt;0,'Translation-EN'!D3091,"")</f>
        <v/>
      </c>
      <c r="E3091" s="893" t="s">
        <v>6637</v>
      </c>
    </row>
    <row r="3092" spans="1:5" x14ac:dyDescent="0.3">
      <c r="A3092" s="888" t="str">
        <f>IF(LEN('Translation-EN'!A3092)&gt;0,'Translation-EN'!A3092,"")</f>
        <v>Range</v>
      </c>
      <c r="B3092" s="888" t="str">
        <f>IF(LEN('Translation-EN'!B3092)&gt;0,'Translation-EN'!B3092,"")</f>
        <v>Master sheet</v>
      </c>
      <c r="C3092" s="888" t="str">
        <f>IF(LEN('Translation-EN'!C3092)&gt;0,'Translation-EN'!C3092,"")</f>
        <v>B641</v>
      </c>
      <c r="D3092" s="888" t="str">
        <f>IF(LEN('Translation-EN'!D3092)&gt;0,'Translation-EN'!D3092,"")</f>
        <v/>
      </c>
      <c r="E3092" s="893" t="str">
        <f>$E$2992</f>
        <v>Barrière pour murs et plafonds intérieurs, feuille</v>
      </c>
    </row>
    <row r="3093" spans="1:5" x14ac:dyDescent="0.3">
      <c r="A3093" s="888" t="str">
        <f>IF(LEN('Translation-EN'!A3093)&gt;0,'Translation-EN'!A3093,"")</f>
        <v>Range</v>
      </c>
      <c r="B3093" s="888" t="str">
        <f>IF(LEN('Translation-EN'!B3093)&gt;0,'Translation-EN'!B3093,"")</f>
        <v>Master sheet</v>
      </c>
      <c r="C3093" s="888" t="str">
        <f>IF(LEN('Translation-EN'!C3093)&gt;0,'Translation-EN'!C3093,"")</f>
        <v>C641</v>
      </c>
      <c r="D3093" s="888" t="str">
        <f>IF(LEN('Translation-EN'!D3093)&gt;0,'Translation-EN'!D3093,"")</f>
        <v/>
      </c>
      <c r="E3093" s="893" t="str">
        <f>$E$2993</f>
        <v>Rothoblaas</v>
      </c>
    </row>
    <row r="3094" spans="1:5" x14ac:dyDescent="0.3">
      <c r="A3094" s="888" t="str">
        <f>IF(LEN('Translation-EN'!A3094)&gt;0,'Translation-EN'!A3094,"")</f>
        <v>Range</v>
      </c>
      <c r="B3094" s="888" t="str">
        <f>IF(LEN('Translation-EN'!B3094)&gt;0,'Translation-EN'!B3094,"")</f>
        <v>Master sheet</v>
      </c>
      <c r="C3094" s="888" t="str">
        <f>IF(LEN('Translation-EN'!C3094)&gt;0,'Translation-EN'!C3094,"")</f>
        <v>D641</v>
      </c>
      <c r="D3094" s="888" t="str">
        <f>IF(LEN('Translation-EN'!D3094)&gt;0,'Translation-EN'!D3094,"")</f>
        <v/>
      </c>
      <c r="E3094" s="893" t="s">
        <v>6638</v>
      </c>
    </row>
    <row r="3095" spans="1:5" x14ac:dyDescent="0.3">
      <c r="A3095" s="888" t="str">
        <f>IF(LEN('Translation-EN'!A3095)&gt;0,'Translation-EN'!A3095,"")</f>
        <v>Range</v>
      </c>
      <c r="B3095" s="888" t="str">
        <f>IF(LEN('Translation-EN'!B3095)&gt;0,'Translation-EN'!B3095,"")</f>
        <v>Master sheet</v>
      </c>
      <c r="C3095" s="888" t="str">
        <f>IF(LEN('Translation-EN'!C3095)&gt;0,'Translation-EN'!C3095,"")</f>
        <v>E641</v>
      </c>
      <c r="D3095" s="888" t="str">
        <f>IF(LEN('Translation-EN'!D3095)&gt;0,'Translation-EN'!D3095,"")</f>
        <v/>
      </c>
      <c r="E3095" s="893" t="s">
        <v>6639</v>
      </c>
    </row>
    <row r="3096" spans="1:5" x14ac:dyDescent="0.3">
      <c r="A3096" s="888" t="str">
        <f>IF(LEN('Translation-EN'!A3096)&gt;0,'Translation-EN'!A3096,"")</f>
        <v>Range</v>
      </c>
      <c r="B3096" s="888" t="str">
        <f>IF(LEN('Translation-EN'!B3096)&gt;0,'Translation-EN'!B3096,"")</f>
        <v>Master sheet</v>
      </c>
      <c r="C3096" s="888" t="str">
        <f>IF(LEN('Translation-EN'!C3096)&gt;0,'Translation-EN'!C3096,"")</f>
        <v>B642</v>
      </c>
      <c r="D3096" s="888" t="str">
        <f>IF(LEN('Translation-EN'!D3096)&gt;0,'Translation-EN'!D3096,"")</f>
        <v/>
      </c>
      <c r="E3096" s="893" t="str">
        <f>$E$2992</f>
        <v>Barrière pour murs et plafonds intérieurs, feuille</v>
      </c>
    </row>
    <row r="3097" spans="1:5" x14ac:dyDescent="0.3">
      <c r="A3097" s="888" t="str">
        <f>IF(LEN('Translation-EN'!A3097)&gt;0,'Translation-EN'!A3097,"")</f>
        <v>Range</v>
      </c>
      <c r="B3097" s="888" t="str">
        <f>IF(LEN('Translation-EN'!B3097)&gt;0,'Translation-EN'!B3097,"")</f>
        <v>Master sheet</v>
      </c>
      <c r="C3097" s="888" t="str">
        <f>IF(LEN('Translation-EN'!C3097)&gt;0,'Translation-EN'!C3097,"")</f>
        <v>C642</v>
      </c>
      <c r="D3097" s="888" t="str">
        <f>IF(LEN('Translation-EN'!D3097)&gt;0,'Translation-EN'!D3097,"")</f>
        <v/>
      </c>
      <c r="E3097" s="893" t="s">
        <v>4724</v>
      </c>
    </row>
    <row r="3098" spans="1:5" x14ac:dyDescent="0.3">
      <c r="A3098" s="888" t="str">
        <f>IF(LEN('Translation-EN'!A3098)&gt;0,'Translation-EN'!A3098,"")</f>
        <v>Range</v>
      </c>
      <c r="B3098" s="888" t="str">
        <f>IF(LEN('Translation-EN'!B3098)&gt;0,'Translation-EN'!B3098,"")</f>
        <v>Master sheet</v>
      </c>
      <c r="C3098" s="888" t="str">
        <f>IF(LEN('Translation-EN'!C3098)&gt;0,'Translation-EN'!C3098,"")</f>
        <v>D642</v>
      </c>
      <c r="D3098" s="888" t="str">
        <f>IF(LEN('Translation-EN'!D3098)&gt;0,'Translation-EN'!D3098,"")</f>
        <v/>
      </c>
      <c r="E3098" s="893" t="s">
        <v>6640</v>
      </c>
    </row>
    <row r="3099" spans="1:5" x14ac:dyDescent="0.3">
      <c r="A3099" s="888" t="str">
        <f>IF(LEN('Translation-EN'!A3099)&gt;0,'Translation-EN'!A3099,"")</f>
        <v>Range</v>
      </c>
      <c r="B3099" s="888" t="str">
        <f>IF(LEN('Translation-EN'!B3099)&gt;0,'Translation-EN'!B3099,"")</f>
        <v>Master sheet</v>
      </c>
      <c r="C3099" s="888" t="str">
        <f>IF(LEN('Translation-EN'!C3099)&gt;0,'Translation-EN'!C3099,"")</f>
        <v>B643</v>
      </c>
      <c r="D3099" s="888" t="str">
        <f>IF(LEN('Translation-EN'!D3099)&gt;0,'Translation-EN'!D3099,"")</f>
        <v/>
      </c>
      <c r="E3099" s="893" t="s">
        <v>6641</v>
      </c>
    </row>
    <row r="3100" spans="1:5" x14ac:dyDescent="0.3">
      <c r="A3100" s="888" t="str">
        <f>IF(LEN('Translation-EN'!A3100)&gt;0,'Translation-EN'!A3100,"")</f>
        <v>Range</v>
      </c>
      <c r="B3100" s="888" t="str">
        <f>IF(LEN('Translation-EN'!B3100)&gt;0,'Translation-EN'!B3100,"")</f>
        <v>Master sheet</v>
      </c>
      <c r="C3100" s="888" t="str">
        <f>IF(LEN('Translation-EN'!C3100)&gt;0,'Translation-EN'!C3100,"")</f>
        <v>D643</v>
      </c>
      <c r="D3100" s="888" t="str">
        <f>IF(LEN('Translation-EN'!D3100)&gt;0,'Translation-EN'!D3100,"")</f>
        <v/>
      </c>
      <c r="E3100" s="893" t="s">
        <v>6642</v>
      </c>
    </row>
    <row r="3101" spans="1:5" x14ac:dyDescent="0.3">
      <c r="A3101" s="888" t="str">
        <f>IF(LEN('Translation-EN'!A3101)&gt;0,'Translation-EN'!A3101,"")</f>
        <v>Range</v>
      </c>
      <c r="B3101" s="888" t="str">
        <f>IF(LEN('Translation-EN'!B3101)&gt;0,'Translation-EN'!B3101,"")</f>
        <v>Master sheet</v>
      </c>
      <c r="C3101" s="888" t="str">
        <f>IF(LEN('Translation-EN'!C3101)&gt;0,'Translation-EN'!C3101,"")</f>
        <v>E643</v>
      </c>
      <c r="D3101" s="888" t="str">
        <f>IF(LEN('Translation-EN'!D3101)&gt;0,'Translation-EN'!D3101,"")</f>
        <v/>
      </c>
      <c r="E3101" s="893" t="s">
        <v>4731</v>
      </c>
    </row>
    <row r="3102" spans="1:5" x14ac:dyDescent="0.3">
      <c r="A3102" s="888" t="str">
        <f>IF(LEN('Translation-EN'!A3102)&gt;0,'Translation-EN'!A3102,"")</f>
        <v>Range</v>
      </c>
      <c r="B3102" s="888" t="str">
        <f>IF(LEN('Translation-EN'!B3102)&gt;0,'Translation-EN'!B3102,"")</f>
        <v>Master sheet</v>
      </c>
      <c r="C3102" s="888" t="str">
        <f>IF(LEN('Translation-EN'!C3102)&gt;0,'Translation-EN'!C3102,"")</f>
        <v>B644</v>
      </c>
      <c r="D3102" s="888" t="str">
        <f>IF(LEN('Translation-EN'!D3102)&gt;0,'Translation-EN'!D3102,"")</f>
        <v/>
      </c>
      <c r="E3102" s="893" t="str">
        <f>$E$3099</f>
        <v>Barrière, feuille</v>
      </c>
    </row>
    <row r="3103" spans="1:5" x14ac:dyDescent="0.3">
      <c r="A3103" s="888" t="str">
        <f>IF(LEN('Translation-EN'!A3103)&gt;0,'Translation-EN'!A3103,"")</f>
        <v>Range</v>
      </c>
      <c r="B3103" s="888" t="str">
        <f>IF(LEN('Translation-EN'!B3103)&gt;0,'Translation-EN'!B3103,"")</f>
        <v>Master sheet</v>
      </c>
      <c r="C3103" s="888" t="str">
        <f>IF(LEN('Translation-EN'!C3103)&gt;0,'Translation-EN'!C3103,"")</f>
        <v>D644</v>
      </c>
      <c r="D3103" s="888" t="str">
        <f>IF(LEN('Translation-EN'!D3103)&gt;0,'Translation-EN'!D3103,"")</f>
        <v/>
      </c>
      <c r="E3103" s="893" t="str">
        <f>$E$3100</f>
        <v>Feuille de polyéthylène</v>
      </c>
    </row>
    <row r="3104" spans="1:5" x14ac:dyDescent="0.3">
      <c r="A3104" s="888" t="str">
        <f>IF(LEN('Translation-EN'!A3104)&gt;0,'Translation-EN'!A3104,"")</f>
        <v>Range</v>
      </c>
      <c r="B3104" s="888" t="str">
        <f>IF(LEN('Translation-EN'!B3104)&gt;0,'Translation-EN'!B3104,"")</f>
        <v>Master sheet</v>
      </c>
      <c r="C3104" s="888" t="str">
        <f>IF(LEN('Translation-EN'!C3104)&gt;0,'Translation-EN'!C3104,"")</f>
        <v>E644</v>
      </c>
      <c r="D3104" s="888" t="str">
        <f>IF(LEN('Translation-EN'!D3104)&gt;0,'Translation-EN'!D3104,"")</f>
        <v/>
      </c>
      <c r="E3104" s="893" t="s">
        <v>4736</v>
      </c>
    </row>
    <row r="3105" spans="1:5" x14ac:dyDescent="0.3">
      <c r="A3105" s="888" t="str">
        <f>IF(LEN('Translation-EN'!A3105)&gt;0,'Translation-EN'!A3105,"")</f>
        <v>Range</v>
      </c>
      <c r="B3105" s="888" t="str">
        <f>IF(LEN('Translation-EN'!B3105)&gt;0,'Translation-EN'!B3105,"")</f>
        <v>Master sheet</v>
      </c>
      <c r="C3105" s="888" t="str">
        <f>IF(LEN('Translation-EN'!C3105)&gt;0,'Translation-EN'!C3105,"")</f>
        <v>B645</v>
      </c>
      <c r="D3105" s="888" t="str">
        <f>IF(LEN('Translation-EN'!D3105)&gt;0,'Translation-EN'!D3105,"")</f>
        <v/>
      </c>
      <c r="E3105" s="893" t="s">
        <v>6643</v>
      </c>
    </row>
    <row r="3106" spans="1:5" x14ac:dyDescent="0.3">
      <c r="A3106" s="888" t="str">
        <f>IF(LEN('Translation-EN'!A3106)&gt;0,'Translation-EN'!A3106,"")</f>
        <v>Range</v>
      </c>
      <c r="B3106" s="888" t="str">
        <f>IF(LEN('Translation-EN'!B3106)&gt;0,'Translation-EN'!B3106,"")</f>
        <v>Master sheet</v>
      </c>
      <c r="C3106" s="888" t="str">
        <f>IF(LEN('Translation-EN'!C3106)&gt;0,'Translation-EN'!C3106,"")</f>
        <v>C645</v>
      </c>
      <c r="D3106" s="888" t="str">
        <f>IF(LEN('Translation-EN'!D3106)&gt;0,'Translation-EN'!D3106,"")</f>
        <v/>
      </c>
      <c r="E3106" s="893" t="str">
        <f>$E$1598</f>
        <v>Owens Corning</v>
      </c>
    </row>
    <row r="3107" spans="1:5" x14ac:dyDescent="0.3">
      <c r="A3107" s="888" t="str">
        <f>IF(LEN('Translation-EN'!A3107)&gt;0,'Translation-EN'!A3107,"")</f>
        <v>Range</v>
      </c>
      <c r="B3107" s="888" t="str">
        <f>IF(LEN('Translation-EN'!B3107)&gt;0,'Translation-EN'!B3107,"")</f>
        <v>Master sheet</v>
      </c>
      <c r="C3107" s="888" t="str">
        <f>IF(LEN('Translation-EN'!C3107)&gt;0,'Translation-EN'!C3107,"")</f>
        <v>D645</v>
      </c>
      <c r="D3107" s="888" t="str">
        <f>IF(LEN('Translation-EN'!D3107)&gt;0,'Translation-EN'!D3107,"")</f>
        <v/>
      </c>
      <c r="E3107" s="893" t="s">
        <v>4808</v>
      </c>
    </row>
    <row r="3108" spans="1:5" x14ac:dyDescent="0.3">
      <c r="A3108" s="888" t="str">
        <f>IF(LEN('Translation-EN'!A3108)&gt;0,'Translation-EN'!A3108,"")</f>
        <v>Range</v>
      </c>
      <c r="B3108" s="888" t="str">
        <f>IF(LEN('Translation-EN'!B3108)&gt;0,'Translation-EN'!B3108,"")</f>
        <v>Master sheet</v>
      </c>
      <c r="C3108" s="888" t="str">
        <f>IF(LEN('Translation-EN'!C3108)&gt;0,'Translation-EN'!C3108,"")</f>
        <v>E645</v>
      </c>
      <c r="D3108" s="888" t="str">
        <f>IF(LEN('Translation-EN'!D3108)&gt;0,'Translation-EN'!D3108,"")</f>
        <v/>
      </c>
      <c r="E3108" s="893" t="s">
        <v>6644</v>
      </c>
    </row>
    <row r="3109" spans="1:5" x14ac:dyDescent="0.3">
      <c r="A3109" s="888" t="str">
        <f>IF(LEN('Translation-EN'!A3109)&gt;0,'Translation-EN'!A3109,"")</f>
        <v>Range</v>
      </c>
      <c r="B3109" s="888" t="str">
        <f>IF(LEN('Translation-EN'!B3109)&gt;0,'Translation-EN'!B3109,"")</f>
        <v>Master sheet</v>
      </c>
      <c r="C3109" s="888" t="str">
        <f>IF(LEN('Translation-EN'!C3109)&gt;0,'Translation-EN'!C3109,"")</f>
        <v>B646</v>
      </c>
      <c r="D3109" s="888" t="str">
        <f>IF(LEN('Translation-EN'!D3109)&gt;0,'Translation-EN'!D3109,"")</f>
        <v/>
      </c>
      <c r="E3109" s="893" t="str">
        <f>$E$3105</f>
        <v>Natte de laine minérale</v>
      </c>
    </row>
    <row r="3110" spans="1:5" x14ac:dyDescent="0.3">
      <c r="A3110" s="888" t="str">
        <f>IF(LEN('Translation-EN'!A3110)&gt;0,'Translation-EN'!A3110,"")</f>
        <v>Range</v>
      </c>
      <c r="B3110" s="888" t="str">
        <f>IF(LEN('Translation-EN'!B3110)&gt;0,'Translation-EN'!B3110,"")</f>
        <v>Master sheet</v>
      </c>
      <c r="C3110" s="888" t="str">
        <f>IF(LEN('Translation-EN'!C3110)&gt;0,'Translation-EN'!C3110,"")</f>
        <v>C646</v>
      </c>
      <c r="D3110" s="888" t="str">
        <f>IF(LEN('Translation-EN'!D3110)&gt;0,'Translation-EN'!D3110,"")</f>
        <v/>
      </c>
      <c r="E3110" s="893" t="str">
        <f>$E$1598</f>
        <v>Owens Corning</v>
      </c>
    </row>
    <row r="3111" spans="1:5" x14ac:dyDescent="0.3">
      <c r="A3111" s="888" t="str">
        <f>IF(LEN('Translation-EN'!A3111)&gt;0,'Translation-EN'!A3111,"")</f>
        <v>Range</v>
      </c>
      <c r="B3111" s="888" t="str">
        <f>IF(LEN('Translation-EN'!B3111)&gt;0,'Translation-EN'!B3111,"")</f>
        <v>Master sheet</v>
      </c>
      <c r="C3111" s="888" t="str">
        <f>IF(LEN('Translation-EN'!C3111)&gt;0,'Translation-EN'!C3111,"")</f>
        <v>D646</v>
      </c>
      <c r="D3111" s="888" t="str">
        <f>IF(LEN('Translation-EN'!D3111)&gt;0,'Translation-EN'!D3111,"")</f>
        <v/>
      </c>
      <c r="E3111" s="893" t="s">
        <v>6645</v>
      </c>
    </row>
    <row r="3112" spans="1:5" x14ac:dyDescent="0.3">
      <c r="A3112" s="888" t="str">
        <f>IF(LEN('Translation-EN'!A3112)&gt;0,'Translation-EN'!A3112,"")</f>
        <v>Range</v>
      </c>
      <c r="B3112" s="888" t="str">
        <f>IF(LEN('Translation-EN'!B3112)&gt;0,'Translation-EN'!B3112,"")</f>
        <v>Master sheet</v>
      </c>
      <c r="C3112" s="888" t="str">
        <f>IF(LEN('Translation-EN'!C3112)&gt;0,'Translation-EN'!C3112,"")</f>
        <v>E646</v>
      </c>
      <c r="D3112" s="888" t="str">
        <f>IF(LEN('Translation-EN'!D3112)&gt;0,'Translation-EN'!D3112,"")</f>
        <v/>
      </c>
      <c r="E3112" s="893" t="s">
        <v>6646</v>
      </c>
    </row>
    <row r="3113" spans="1:5" x14ac:dyDescent="0.3">
      <c r="A3113" s="888" t="str">
        <f>IF(LEN('Translation-EN'!A3113)&gt;0,'Translation-EN'!A3113,"")</f>
        <v>Range</v>
      </c>
      <c r="B3113" s="888" t="str">
        <f>IF(LEN('Translation-EN'!B3113)&gt;0,'Translation-EN'!B3113,"")</f>
        <v>Master sheet</v>
      </c>
      <c r="C3113" s="888" t="str">
        <f>IF(LEN('Translation-EN'!C3113)&gt;0,'Translation-EN'!C3113,"")</f>
        <v>B647</v>
      </c>
      <c r="D3113" s="888" t="str">
        <f>IF(LEN('Translation-EN'!D3113)&gt;0,'Translation-EN'!D3113,"")</f>
        <v/>
      </c>
      <c r="E3113" s="893" t="str">
        <f>$E$3105</f>
        <v>Natte de laine minérale</v>
      </c>
    </row>
    <row r="3114" spans="1:5" x14ac:dyDescent="0.3">
      <c r="A3114" s="888" t="str">
        <f>IF(LEN('Translation-EN'!A3114)&gt;0,'Translation-EN'!A3114,"")</f>
        <v>Range</v>
      </c>
      <c r="B3114" s="888" t="str">
        <f>IF(LEN('Translation-EN'!B3114)&gt;0,'Translation-EN'!B3114,"")</f>
        <v>Master sheet</v>
      </c>
      <c r="C3114" s="888" t="str">
        <f>IF(LEN('Translation-EN'!C3114)&gt;0,'Translation-EN'!C3114,"")</f>
        <v>C647</v>
      </c>
      <c r="D3114" s="888" t="str">
        <f>IF(LEN('Translation-EN'!D3114)&gt;0,'Translation-EN'!D3114,"")</f>
        <v/>
      </c>
      <c r="E3114" s="893" t="str">
        <f>$E$1598</f>
        <v>Owens Corning</v>
      </c>
    </row>
    <row r="3115" spans="1:5" x14ac:dyDescent="0.3">
      <c r="A3115" s="888" t="str">
        <f>IF(LEN('Translation-EN'!A3115)&gt;0,'Translation-EN'!A3115,"")</f>
        <v>Range</v>
      </c>
      <c r="B3115" s="888" t="str">
        <f>IF(LEN('Translation-EN'!B3115)&gt;0,'Translation-EN'!B3115,"")</f>
        <v>Master sheet</v>
      </c>
      <c r="C3115" s="888" t="str">
        <f>IF(LEN('Translation-EN'!C3115)&gt;0,'Translation-EN'!C3115,"")</f>
        <v>D647</v>
      </c>
      <c r="D3115" s="888" t="str">
        <f>IF(LEN('Translation-EN'!D3115)&gt;0,'Translation-EN'!D3115,"")</f>
        <v/>
      </c>
      <c r="E3115" s="893" t="s">
        <v>6647</v>
      </c>
    </row>
    <row r="3116" spans="1:5" x14ac:dyDescent="0.3">
      <c r="A3116" s="888" t="str">
        <f>IF(LEN('Translation-EN'!A3116)&gt;0,'Translation-EN'!A3116,"")</f>
        <v>Range</v>
      </c>
      <c r="B3116" s="888" t="str">
        <f>IF(LEN('Translation-EN'!B3116)&gt;0,'Translation-EN'!B3116,"")</f>
        <v>Master sheet</v>
      </c>
      <c r="C3116" s="888" t="str">
        <f>IF(LEN('Translation-EN'!C3116)&gt;0,'Translation-EN'!C3116,"")</f>
        <v>E647</v>
      </c>
      <c r="D3116" s="888" t="str">
        <f>IF(LEN('Translation-EN'!D3116)&gt;0,'Translation-EN'!D3116,"")</f>
        <v/>
      </c>
      <c r="E3116" s="893" t="str">
        <f>$E$3112</f>
        <v>R 4,2/po</v>
      </c>
    </row>
    <row r="3117" spans="1:5" x14ac:dyDescent="0.3">
      <c r="A3117" s="888" t="str">
        <f>IF(LEN('Translation-EN'!A3117)&gt;0,'Translation-EN'!A3117,"")</f>
        <v>Range</v>
      </c>
      <c r="B3117" s="888" t="str">
        <f>IF(LEN('Translation-EN'!B3117)&gt;0,'Translation-EN'!B3117,"")</f>
        <v>Master sheet</v>
      </c>
      <c r="C3117" s="888" t="str">
        <f>IF(LEN('Translation-EN'!C3117)&gt;0,'Translation-EN'!C3117,"")</f>
        <v>B648</v>
      </c>
      <c r="D3117" s="888" t="str">
        <f>IF(LEN('Translation-EN'!D3117)&gt;0,'Translation-EN'!D3117,"")</f>
        <v/>
      </c>
      <c r="E3117" s="893" t="str">
        <f>$E$3105</f>
        <v>Natte de laine minérale</v>
      </c>
    </row>
    <row r="3118" spans="1:5" x14ac:dyDescent="0.3">
      <c r="A3118" s="888" t="str">
        <f>IF(LEN('Translation-EN'!A3118)&gt;0,'Translation-EN'!A3118,"")</f>
        <v>Range</v>
      </c>
      <c r="B3118" s="888" t="str">
        <f>IF(LEN('Translation-EN'!B3118)&gt;0,'Translation-EN'!B3118,"")</f>
        <v>Master sheet</v>
      </c>
      <c r="C3118" s="888" t="str">
        <f>IF(LEN('Translation-EN'!C3118)&gt;0,'Translation-EN'!C3118,"")</f>
        <v>C648</v>
      </c>
      <c r="D3118" s="888" t="str">
        <f>IF(LEN('Translation-EN'!D3118)&gt;0,'Translation-EN'!D3118,"")</f>
        <v/>
      </c>
      <c r="E3118" s="893" t="str">
        <f>$E$1598</f>
        <v>Owens Corning</v>
      </c>
    </row>
    <row r="3119" spans="1:5" x14ac:dyDescent="0.3">
      <c r="A3119" s="888" t="str">
        <f>IF(LEN('Translation-EN'!A3119)&gt;0,'Translation-EN'!A3119,"")</f>
        <v>Range</v>
      </c>
      <c r="B3119" s="888" t="str">
        <f>IF(LEN('Translation-EN'!B3119)&gt;0,'Translation-EN'!B3119,"")</f>
        <v>Master sheet</v>
      </c>
      <c r="C3119" s="888" t="str">
        <f>IF(LEN('Translation-EN'!C3119)&gt;0,'Translation-EN'!C3119,"")</f>
        <v>D648</v>
      </c>
      <c r="D3119" s="888" t="str">
        <f>IF(LEN('Translation-EN'!D3119)&gt;0,'Translation-EN'!D3119,"")</f>
        <v/>
      </c>
      <c r="E3119" s="893" t="s">
        <v>6648</v>
      </c>
    </row>
    <row r="3120" spans="1:5" x14ac:dyDescent="0.3">
      <c r="A3120" s="888" t="str">
        <f>IF(LEN('Translation-EN'!A3120)&gt;0,'Translation-EN'!A3120,"")</f>
        <v>Range</v>
      </c>
      <c r="B3120" s="888" t="str">
        <f>IF(LEN('Translation-EN'!B3120)&gt;0,'Translation-EN'!B3120,"")</f>
        <v>Master sheet</v>
      </c>
      <c r="C3120" s="888" t="str">
        <f>IF(LEN('Translation-EN'!C3120)&gt;0,'Translation-EN'!C3120,"")</f>
        <v>E648</v>
      </c>
      <c r="D3120" s="888" t="str">
        <f>IF(LEN('Translation-EN'!D3120)&gt;0,'Translation-EN'!D3120,"")</f>
        <v/>
      </c>
      <c r="E3120" s="893" t="str">
        <f>$E$1935</f>
        <v>R 4,0/po</v>
      </c>
    </row>
    <row r="3121" spans="1:5" x14ac:dyDescent="0.3">
      <c r="A3121" s="888" t="str">
        <f>IF(LEN('Translation-EN'!A3121)&gt;0,'Translation-EN'!A3121,"")</f>
        <v>Range</v>
      </c>
      <c r="B3121" s="888" t="str">
        <f>IF(LEN('Translation-EN'!B3121)&gt;0,'Translation-EN'!B3121,"")</f>
        <v>Master sheet</v>
      </c>
      <c r="C3121" s="888" t="str">
        <f>IF(LEN('Translation-EN'!C3121)&gt;0,'Translation-EN'!C3121,"")</f>
        <v>B649</v>
      </c>
      <c r="D3121" s="888" t="str">
        <f>IF(LEN('Translation-EN'!D3121)&gt;0,'Translation-EN'!D3121,"")</f>
        <v/>
      </c>
      <c r="E3121" s="893" t="str">
        <f>$E$2890</f>
        <v>Panneau de laine minérale</v>
      </c>
    </row>
    <row r="3122" spans="1:5" x14ac:dyDescent="0.3">
      <c r="A3122" s="888" t="str">
        <f>IF(LEN('Translation-EN'!A3122)&gt;0,'Translation-EN'!A3122,"")</f>
        <v>Range</v>
      </c>
      <c r="B3122" s="888" t="str">
        <f>IF(LEN('Translation-EN'!B3122)&gt;0,'Translation-EN'!B3122,"")</f>
        <v>Master sheet</v>
      </c>
      <c r="C3122" s="888" t="str">
        <f>IF(LEN('Translation-EN'!C3122)&gt;0,'Translation-EN'!C3122,"")</f>
        <v>C649</v>
      </c>
      <c r="D3122" s="888" t="str">
        <f>IF(LEN('Translation-EN'!D3122)&gt;0,'Translation-EN'!D3122,"")</f>
        <v/>
      </c>
      <c r="E3122" s="893" t="str">
        <f>$E$1598</f>
        <v>Owens Corning</v>
      </c>
    </row>
    <row r="3123" spans="1:5" x14ac:dyDescent="0.3">
      <c r="A3123" s="888" t="str">
        <f>IF(LEN('Translation-EN'!A3123)&gt;0,'Translation-EN'!A3123,"")</f>
        <v>Range</v>
      </c>
      <c r="B3123" s="888" t="str">
        <f>IF(LEN('Translation-EN'!B3123)&gt;0,'Translation-EN'!B3123,"")</f>
        <v>Master sheet</v>
      </c>
      <c r="C3123" s="888" t="str">
        <f>IF(LEN('Translation-EN'!C3123)&gt;0,'Translation-EN'!C3123,"")</f>
        <v>D649</v>
      </c>
      <c r="D3123" s="888" t="str">
        <f>IF(LEN('Translation-EN'!D3123)&gt;0,'Translation-EN'!D3123,"")</f>
        <v/>
      </c>
      <c r="E3123" s="893" t="s">
        <v>4830</v>
      </c>
    </row>
    <row r="3124" spans="1:5" x14ac:dyDescent="0.3">
      <c r="A3124" s="888" t="str">
        <f>IF(LEN('Translation-EN'!A3124)&gt;0,'Translation-EN'!A3124,"")</f>
        <v>Range</v>
      </c>
      <c r="B3124" s="888" t="str">
        <f>IF(LEN('Translation-EN'!B3124)&gt;0,'Translation-EN'!B3124,"")</f>
        <v>Master sheet</v>
      </c>
      <c r="C3124" s="888" t="str">
        <f>IF(LEN('Translation-EN'!C3124)&gt;0,'Translation-EN'!C3124,"")</f>
        <v>E649</v>
      </c>
      <c r="D3124" s="888" t="str">
        <f>IF(LEN('Translation-EN'!D3124)&gt;0,'Translation-EN'!D3124,"")</f>
        <v/>
      </c>
      <c r="E3124" s="893" t="str">
        <f>$E$3112</f>
        <v>R 4,2/po</v>
      </c>
    </row>
    <row r="3125" spans="1:5" x14ac:dyDescent="0.3">
      <c r="A3125" s="888" t="str">
        <f>IF(LEN('Translation-EN'!A3125)&gt;0,'Translation-EN'!A3125,"")</f>
        <v>Range</v>
      </c>
      <c r="B3125" s="888" t="str">
        <f>IF(LEN('Translation-EN'!B3125)&gt;0,'Translation-EN'!B3125,"")</f>
        <v>Master sheet</v>
      </c>
      <c r="C3125" s="888" t="str">
        <f>IF(LEN('Translation-EN'!C3125)&gt;0,'Translation-EN'!C3125,"")</f>
        <v>B650</v>
      </c>
      <c r="D3125" s="888" t="str">
        <f>IF(LEN('Translation-EN'!D3125)&gt;0,'Translation-EN'!D3125,"")</f>
        <v/>
      </c>
      <c r="E3125" s="893" t="str">
        <f>$E$2890</f>
        <v>Panneau de laine minérale</v>
      </c>
    </row>
    <row r="3126" spans="1:5" x14ac:dyDescent="0.3">
      <c r="A3126" s="888" t="str">
        <f>IF(LEN('Translation-EN'!A3126)&gt;0,'Translation-EN'!A3126,"")</f>
        <v>Range</v>
      </c>
      <c r="B3126" s="888" t="str">
        <f>IF(LEN('Translation-EN'!B3126)&gt;0,'Translation-EN'!B3126,"")</f>
        <v>Master sheet</v>
      </c>
      <c r="C3126" s="888" t="str">
        <f>IF(LEN('Translation-EN'!C3126)&gt;0,'Translation-EN'!C3126,"")</f>
        <v>C650</v>
      </c>
      <c r="D3126" s="888" t="str">
        <f>IF(LEN('Translation-EN'!D3126)&gt;0,'Translation-EN'!D3126,"")</f>
        <v/>
      </c>
      <c r="E3126" s="893" t="str">
        <f>$E$1598</f>
        <v>Owens Corning</v>
      </c>
    </row>
    <row r="3127" spans="1:5" x14ac:dyDescent="0.3">
      <c r="A3127" s="888" t="str">
        <f>IF(LEN('Translation-EN'!A3127)&gt;0,'Translation-EN'!A3127,"")</f>
        <v>Range</v>
      </c>
      <c r="B3127" s="888" t="str">
        <f>IF(LEN('Translation-EN'!B3127)&gt;0,'Translation-EN'!B3127,"")</f>
        <v>Master sheet</v>
      </c>
      <c r="C3127" s="888" t="str">
        <f>IF(LEN('Translation-EN'!C3127)&gt;0,'Translation-EN'!C3127,"")</f>
        <v>D650</v>
      </c>
      <c r="D3127" s="888" t="str">
        <f>IF(LEN('Translation-EN'!D3127)&gt;0,'Translation-EN'!D3127,"")</f>
        <v/>
      </c>
      <c r="E3127" s="893" t="s">
        <v>4834</v>
      </c>
    </row>
    <row r="3128" spans="1:5" x14ac:dyDescent="0.3">
      <c r="A3128" s="888" t="str">
        <f>IF(LEN('Translation-EN'!A3128)&gt;0,'Translation-EN'!A3128,"")</f>
        <v>Range</v>
      </c>
      <c r="B3128" s="888" t="str">
        <f>IF(LEN('Translation-EN'!B3128)&gt;0,'Translation-EN'!B3128,"")</f>
        <v>Master sheet</v>
      </c>
      <c r="C3128" s="888" t="str">
        <f>IF(LEN('Translation-EN'!C3128)&gt;0,'Translation-EN'!C3128,"")</f>
        <v>E650</v>
      </c>
      <c r="D3128" s="888" t="str">
        <f>IF(LEN('Translation-EN'!D3128)&gt;0,'Translation-EN'!D3128,"")</f>
        <v/>
      </c>
      <c r="E3128" s="893" t="str">
        <f>$E$3112</f>
        <v>R 4,2/po</v>
      </c>
    </row>
    <row r="3129" spans="1:5" x14ac:dyDescent="0.3">
      <c r="A3129" s="888" t="str">
        <f>IF(LEN('Translation-EN'!A3129)&gt;0,'Translation-EN'!A3129,"")</f>
        <v>Range</v>
      </c>
      <c r="B3129" s="888" t="str">
        <f>IF(LEN('Translation-EN'!B3129)&gt;0,'Translation-EN'!B3129,"")</f>
        <v>Master sheet</v>
      </c>
      <c r="C3129" s="888" t="str">
        <f>IF(LEN('Translation-EN'!C3129)&gt;0,'Translation-EN'!C3129,"")</f>
        <v>B651</v>
      </c>
      <c r="D3129" s="888" t="str">
        <f>IF(LEN('Translation-EN'!D3129)&gt;0,'Translation-EN'!D3129,"")</f>
        <v/>
      </c>
      <c r="E3129" s="893" t="str">
        <f>$E$2890</f>
        <v>Panneau de laine minérale</v>
      </c>
    </row>
    <row r="3130" spans="1:5" x14ac:dyDescent="0.3">
      <c r="A3130" s="888" t="str">
        <f>IF(LEN('Translation-EN'!A3130)&gt;0,'Translation-EN'!A3130,"")</f>
        <v>Range</v>
      </c>
      <c r="B3130" s="888" t="str">
        <f>IF(LEN('Translation-EN'!B3130)&gt;0,'Translation-EN'!B3130,"")</f>
        <v>Master sheet</v>
      </c>
      <c r="C3130" s="888" t="str">
        <f>IF(LEN('Translation-EN'!C3130)&gt;0,'Translation-EN'!C3130,"")</f>
        <v>C651</v>
      </c>
      <c r="D3130" s="888" t="str">
        <f>IF(LEN('Translation-EN'!D3130)&gt;0,'Translation-EN'!D3130,"")</f>
        <v/>
      </c>
      <c r="E3130" s="893" t="str">
        <f>$E$1598</f>
        <v>Owens Corning</v>
      </c>
    </row>
    <row r="3131" spans="1:5" x14ac:dyDescent="0.3">
      <c r="A3131" s="888" t="str">
        <f>IF(LEN('Translation-EN'!A3131)&gt;0,'Translation-EN'!A3131,"")</f>
        <v>Range</v>
      </c>
      <c r="B3131" s="888" t="str">
        <f>IF(LEN('Translation-EN'!B3131)&gt;0,'Translation-EN'!B3131,"")</f>
        <v>Master sheet</v>
      </c>
      <c r="C3131" s="888" t="str">
        <f>IF(LEN('Translation-EN'!C3131)&gt;0,'Translation-EN'!C3131,"")</f>
        <v>D651</v>
      </c>
      <c r="D3131" s="888" t="str">
        <f>IF(LEN('Translation-EN'!D3131)&gt;0,'Translation-EN'!D3131,"")</f>
        <v/>
      </c>
      <c r="E3131" s="893" t="s">
        <v>4836</v>
      </c>
    </row>
    <row r="3132" spans="1:5" x14ac:dyDescent="0.3">
      <c r="A3132" s="888" t="str">
        <f>IF(LEN('Translation-EN'!A3132)&gt;0,'Translation-EN'!A3132,"")</f>
        <v>Range</v>
      </c>
      <c r="B3132" s="888" t="str">
        <f>IF(LEN('Translation-EN'!B3132)&gt;0,'Translation-EN'!B3132,"")</f>
        <v>Master sheet</v>
      </c>
      <c r="C3132" s="888" t="str">
        <f>IF(LEN('Translation-EN'!C3132)&gt;0,'Translation-EN'!C3132,"")</f>
        <v>E651</v>
      </c>
      <c r="D3132" s="888" t="str">
        <f>IF(LEN('Translation-EN'!D3132)&gt;0,'Translation-EN'!D3132,"")</f>
        <v/>
      </c>
      <c r="E3132" s="893" t="s">
        <v>6649</v>
      </c>
    </row>
    <row r="3133" spans="1:5" x14ac:dyDescent="0.3">
      <c r="A3133" s="888" t="str">
        <f>IF(LEN('Translation-EN'!A3133)&gt;0,'Translation-EN'!A3133,"")</f>
        <v>Range</v>
      </c>
      <c r="B3133" s="888" t="str">
        <f>IF(LEN('Translation-EN'!B3133)&gt;0,'Translation-EN'!B3133,"")</f>
        <v>Master sheet</v>
      </c>
      <c r="C3133" s="888" t="str">
        <f>IF(LEN('Translation-EN'!C3133)&gt;0,'Translation-EN'!C3133,"")</f>
        <v>B652</v>
      </c>
      <c r="D3133" s="888" t="str">
        <f>IF(LEN('Translation-EN'!D3133)&gt;0,'Translation-EN'!D3133,"")</f>
        <v/>
      </c>
      <c r="E3133" s="893" t="str">
        <f>$E$3105</f>
        <v>Natte de laine minérale</v>
      </c>
    </row>
    <row r="3134" spans="1:5" x14ac:dyDescent="0.3">
      <c r="A3134" s="888" t="str">
        <f>IF(LEN('Translation-EN'!A3134)&gt;0,'Translation-EN'!A3134,"")</f>
        <v>Range</v>
      </c>
      <c r="B3134" s="888" t="str">
        <f>IF(LEN('Translation-EN'!B3134)&gt;0,'Translation-EN'!B3134,"")</f>
        <v>Master sheet</v>
      </c>
      <c r="C3134" s="888" t="str">
        <f>IF(LEN('Translation-EN'!C3134)&gt;0,'Translation-EN'!C3134,"")</f>
        <v>C652</v>
      </c>
      <c r="D3134" s="888" t="str">
        <f>IF(LEN('Translation-EN'!D3134)&gt;0,'Translation-EN'!D3134,"")</f>
        <v/>
      </c>
      <c r="E3134" s="893" t="str">
        <f>$E$2891</f>
        <v>Rockwool</v>
      </c>
    </row>
    <row r="3135" spans="1:5" x14ac:dyDescent="0.3">
      <c r="A3135" s="888" t="str">
        <f>IF(LEN('Translation-EN'!A3135)&gt;0,'Translation-EN'!A3135,"")</f>
        <v>Range</v>
      </c>
      <c r="B3135" s="888" t="str">
        <f>IF(LEN('Translation-EN'!B3135)&gt;0,'Translation-EN'!B3135,"")</f>
        <v>Master sheet</v>
      </c>
      <c r="C3135" s="888" t="str">
        <f>IF(LEN('Translation-EN'!C3135)&gt;0,'Translation-EN'!C3135,"")</f>
        <v>D652</v>
      </c>
      <c r="D3135" s="888" t="str">
        <f>IF(LEN('Translation-EN'!D3135)&gt;0,'Translation-EN'!D3135,"")</f>
        <v/>
      </c>
      <c r="E3135" s="893" t="s">
        <v>4841</v>
      </c>
    </row>
    <row r="3136" spans="1:5" x14ac:dyDescent="0.3">
      <c r="A3136" s="888" t="str">
        <f>IF(LEN('Translation-EN'!A3136)&gt;0,'Translation-EN'!A3136,"")</f>
        <v>Range</v>
      </c>
      <c r="B3136" s="888" t="str">
        <f>IF(LEN('Translation-EN'!B3136)&gt;0,'Translation-EN'!B3136,"")</f>
        <v>Master sheet</v>
      </c>
      <c r="C3136" s="888" t="str">
        <f>IF(LEN('Translation-EN'!C3136)&gt;0,'Translation-EN'!C3136,"")</f>
        <v>E652</v>
      </c>
      <c r="D3136" s="888" t="str">
        <f>IF(LEN('Translation-EN'!D3136)&gt;0,'Translation-EN'!D3136,"")</f>
        <v/>
      </c>
      <c r="E3136" s="893" t="str">
        <f>$E$3112</f>
        <v>R 4,2/po</v>
      </c>
    </row>
    <row r="3137" spans="1:5" x14ac:dyDescent="0.3">
      <c r="A3137" s="888" t="str">
        <f>IF(LEN('Translation-EN'!A3137)&gt;0,'Translation-EN'!A3137,"")</f>
        <v>Range</v>
      </c>
      <c r="B3137" s="888" t="str">
        <f>IF(LEN('Translation-EN'!B3137)&gt;0,'Translation-EN'!B3137,"")</f>
        <v>Master sheet</v>
      </c>
      <c r="C3137" s="888" t="str">
        <f>IF(LEN('Translation-EN'!C3137)&gt;0,'Translation-EN'!C3137,"")</f>
        <v>B653</v>
      </c>
      <c r="D3137" s="888" t="str">
        <f>IF(LEN('Translation-EN'!D3137)&gt;0,'Translation-EN'!D3137,"")</f>
        <v/>
      </c>
      <c r="E3137" s="893" t="str">
        <f>$E$3105</f>
        <v>Natte de laine minérale</v>
      </c>
    </row>
    <row r="3138" spans="1:5" x14ac:dyDescent="0.3">
      <c r="A3138" s="888" t="str">
        <f>IF(LEN('Translation-EN'!A3138)&gt;0,'Translation-EN'!A3138,"")</f>
        <v>Range</v>
      </c>
      <c r="B3138" s="888" t="str">
        <f>IF(LEN('Translation-EN'!B3138)&gt;0,'Translation-EN'!B3138,"")</f>
        <v>Master sheet</v>
      </c>
      <c r="C3138" s="888" t="str">
        <f>IF(LEN('Translation-EN'!C3138)&gt;0,'Translation-EN'!C3138,"")</f>
        <v>C653</v>
      </c>
      <c r="D3138" s="888" t="str">
        <f>IF(LEN('Translation-EN'!D3138)&gt;0,'Translation-EN'!D3138,"")</f>
        <v/>
      </c>
      <c r="E3138" s="893" t="str">
        <f>$E$2891</f>
        <v>Rockwool</v>
      </c>
    </row>
    <row r="3139" spans="1:5" x14ac:dyDescent="0.3">
      <c r="A3139" s="888" t="str">
        <f>IF(LEN('Translation-EN'!A3139)&gt;0,'Translation-EN'!A3139,"")</f>
        <v>Range</v>
      </c>
      <c r="B3139" s="888" t="str">
        <f>IF(LEN('Translation-EN'!B3139)&gt;0,'Translation-EN'!B3139,"")</f>
        <v>Master sheet</v>
      </c>
      <c r="C3139" s="888" t="str">
        <f>IF(LEN('Translation-EN'!C3139)&gt;0,'Translation-EN'!C3139,"")</f>
        <v>D653</v>
      </c>
      <c r="D3139" s="888" t="str">
        <f>IF(LEN('Translation-EN'!D3139)&gt;0,'Translation-EN'!D3139,"")</f>
        <v/>
      </c>
      <c r="E3139" s="893" t="s">
        <v>6650</v>
      </c>
    </row>
    <row r="3140" spans="1:5" x14ac:dyDescent="0.3">
      <c r="A3140" s="888" t="str">
        <f>IF(LEN('Translation-EN'!A3140)&gt;0,'Translation-EN'!A3140,"")</f>
        <v>Range</v>
      </c>
      <c r="B3140" s="888" t="str">
        <f>IF(LEN('Translation-EN'!B3140)&gt;0,'Translation-EN'!B3140,"")</f>
        <v>Master sheet</v>
      </c>
      <c r="C3140" s="888" t="str">
        <f>IF(LEN('Translation-EN'!C3140)&gt;0,'Translation-EN'!C3140,"")</f>
        <v>E653</v>
      </c>
      <c r="D3140" s="888" t="str">
        <f>IF(LEN('Translation-EN'!D3140)&gt;0,'Translation-EN'!D3140,"")</f>
        <v/>
      </c>
      <c r="E3140" s="893" t="str">
        <f>$E$1935</f>
        <v>R 4,0/po</v>
      </c>
    </row>
    <row r="3141" spans="1:5" x14ac:dyDescent="0.3">
      <c r="A3141" s="888" t="str">
        <f>IF(LEN('Translation-EN'!A3141)&gt;0,'Translation-EN'!A3141,"")</f>
        <v>Range</v>
      </c>
      <c r="B3141" s="888" t="str">
        <f>IF(LEN('Translation-EN'!B3141)&gt;0,'Translation-EN'!B3141,"")</f>
        <v>Master sheet</v>
      </c>
      <c r="C3141" s="888" t="str">
        <f>IF(LEN('Translation-EN'!C3141)&gt;0,'Translation-EN'!C3141,"")</f>
        <v>B654</v>
      </c>
      <c r="D3141" s="888" t="str">
        <f>IF(LEN('Translation-EN'!D3141)&gt;0,'Translation-EN'!D3141,"")</f>
        <v/>
      </c>
      <c r="E3141" s="893" t="str">
        <f>$E$3105</f>
        <v>Natte de laine minérale</v>
      </c>
    </row>
    <row r="3142" spans="1:5" x14ac:dyDescent="0.3">
      <c r="A3142" s="888" t="str">
        <f>IF(LEN('Translation-EN'!A3142)&gt;0,'Translation-EN'!A3142,"")</f>
        <v>Range</v>
      </c>
      <c r="B3142" s="888" t="str">
        <f>IF(LEN('Translation-EN'!B3142)&gt;0,'Translation-EN'!B3142,"")</f>
        <v>Master sheet</v>
      </c>
      <c r="C3142" s="888" t="str">
        <f>IF(LEN('Translation-EN'!C3142)&gt;0,'Translation-EN'!C3142,"")</f>
        <v>C654</v>
      </c>
      <c r="D3142" s="888" t="str">
        <f>IF(LEN('Translation-EN'!D3142)&gt;0,'Translation-EN'!D3142,"")</f>
        <v/>
      </c>
      <c r="E3142" s="893" t="str">
        <f>$E$2891</f>
        <v>Rockwool</v>
      </c>
    </row>
    <row r="3143" spans="1:5" x14ac:dyDescent="0.3">
      <c r="A3143" s="888" t="str">
        <f>IF(LEN('Translation-EN'!A3143)&gt;0,'Translation-EN'!A3143,"")</f>
        <v>Range</v>
      </c>
      <c r="B3143" s="888" t="str">
        <f>IF(LEN('Translation-EN'!B3143)&gt;0,'Translation-EN'!B3143,"")</f>
        <v>Master sheet</v>
      </c>
      <c r="C3143" s="888" t="str">
        <f>IF(LEN('Translation-EN'!C3143)&gt;0,'Translation-EN'!C3143,"")</f>
        <v>D654</v>
      </c>
      <c r="D3143" s="888" t="str">
        <f>IF(LEN('Translation-EN'!D3143)&gt;0,'Translation-EN'!D3143,"")</f>
        <v/>
      </c>
      <c r="E3143" s="893" t="s">
        <v>6651</v>
      </c>
    </row>
    <row r="3144" spans="1:5" x14ac:dyDescent="0.3">
      <c r="A3144" s="888" t="str">
        <f>IF(LEN('Translation-EN'!A3144)&gt;0,'Translation-EN'!A3144,"")</f>
        <v>Range</v>
      </c>
      <c r="B3144" s="888" t="str">
        <f>IF(LEN('Translation-EN'!B3144)&gt;0,'Translation-EN'!B3144,"")</f>
        <v>Master sheet</v>
      </c>
      <c r="C3144" s="888" t="str">
        <f>IF(LEN('Translation-EN'!C3144)&gt;0,'Translation-EN'!C3144,"")</f>
        <v>E654</v>
      </c>
      <c r="D3144" s="888" t="str">
        <f>IF(LEN('Translation-EN'!D3144)&gt;0,'Translation-EN'!D3144,"")</f>
        <v/>
      </c>
      <c r="E3144" s="893" t="s">
        <v>6652</v>
      </c>
    </row>
    <row r="3145" spans="1:5" x14ac:dyDescent="0.3">
      <c r="A3145" s="888" t="str">
        <f>IF(LEN('Translation-EN'!A3145)&gt;0,'Translation-EN'!A3145,"")</f>
        <v>Range</v>
      </c>
      <c r="B3145" s="888" t="str">
        <f>IF(LEN('Translation-EN'!B3145)&gt;0,'Translation-EN'!B3145,"")</f>
        <v>Master sheet</v>
      </c>
      <c r="C3145" s="888" t="str">
        <f>IF(LEN('Translation-EN'!C3145)&gt;0,'Translation-EN'!C3145,"")</f>
        <v>B655</v>
      </c>
      <c r="D3145" s="888" t="str">
        <f>IF(LEN('Translation-EN'!D3145)&gt;0,'Translation-EN'!D3145,"")</f>
        <v/>
      </c>
      <c r="E3145" s="893" t="str">
        <f>$E$2890</f>
        <v>Panneau de laine minérale</v>
      </c>
    </row>
    <row r="3146" spans="1:5" x14ac:dyDescent="0.3">
      <c r="A3146" s="888" t="str">
        <f>IF(LEN('Translation-EN'!A3146)&gt;0,'Translation-EN'!A3146,"")</f>
        <v>Range</v>
      </c>
      <c r="B3146" s="888" t="str">
        <f>IF(LEN('Translation-EN'!B3146)&gt;0,'Translation-EN'!B3146,"")</f>
        <v>Master sheet</v>
      </c>
      <c r="C3146" s="888" t="str">
        <f>IF(LEN('Translation-EN'!C3146)&gt;0,'Translation-EN'!C3146,"")</f>
        <v>C655</v>
      </c>
      <c r="D3146" s="888" t="str">
        <f>IF(LEN('Translation-EN'!D3146)&gt;0,'Translation-EN'!D3146,"")</f>
        <v/>
      </c>
      <c r="E3146" s="893" t="str">
        <f>$E$2891</f>
        <v>Rockwool</v>
      </c>
    </row>
    <row r="3147" spans="1:5" x14ac:dyDescent="0.3">
      <c r="A3147" s="888" t="str">
        <f>IF(LEN('Translation-EN'!A3147)&gt;0,'Translation-EN'!A3147,"")</f>
        <v>Range</v>
      </c>
      <c r="B3147" s="888" t="str">
        <f>IF(LEN('Translation-EN'!B3147)&gt;0,'Translation-EN'!B3147,"")</f>
        <v>Master sheet</v>
      </c>
      <c r="C3147" s="888" t="str">
        <f>IF(LEN('Translation-EN'!C3147)&gt;0,'Translation-EN'!C3147,"")</f>
        <v>D655</v>
      </c>
      <c r="D3147" s="888" t="str">
        <f>IF(LEN('Translation-EN'!D3147)&gt;0,'Translation-EN'!D3147,"")</f>
        <v/>
      </c>
      <c r="E3147" s="893" t="s">
        <v>4852</v>
      </c>
    </row>
    <row r="3148" spans="1:5" x14ac:dyDescent="0.3">
      <c r="A3148" s="888" t="str">
        <f>IF(LEN('Translation-EN'!A3148)&gt;0,'Translation-EN'!A3148,"")</f>
        <v>Range</v>
      </c>
      <c r="B3148" s="888" t="str">
        <f>IF(LEN('Translation-EN'!B3148)&gt;0,'Translation-EN'!B3148,"")</f>
        <v>Master sheet</v>
      </c>
      <c r="C3148" s="888" t="str">
        <f>IF(LEN('Translation-EN'!C3148)&gt;0,'Translation-EN'!C3148,"")</f>
        <v>E655</v>
      </c>
      <c r="D3148" s="888" t="str">
        <f>IF(LEN('Translation-EN'!D3148)&gt;0,'Translation-EN'!D3148,"")</f>
        <v/>
      </c>
      <c r="E3148" s="893" t="str">
        <f>$E$3132</f>
        <v>R 4,3/po</v>
      </c>
    </row>
    <row r="3149" spans="1:5" x14ac:dyDescent="0.3">
      <c r="A3149" s="888" t="str">
        <f>IF(LEN('Translation-EN'!A3149)&gt;0,'Translation-EN'!A3149,"")</f>
        <v>Range</v>
      </c>
      <c r="B3149" s="888" t="str">
        <f>IF(LEN('Translation-EN'!B3149)&gt;0,'Translation-EN'!B3149,"")</f>
        <v>Master sheet</v>
      </c>
      <c r="C3149" s="888" t="str">
        <f>IF(LEN('Translation-EN'!C3149)&gt;0,'Translation-EN'!C3149,"")</f>
        <v>B656</v>
      </c>
      <c r="D3149" s="888" t="str">
        <f>IF(LEN('Translation-EN'!D3149)&gt;0,'Translation-EN'!D3149,"")</f>
        <v/>
      </c>
      <c r="E3149" s="893" t="str">
        <f>$E$2890</f>
        <v>Panneau de laine minérale</v>
      </c>
    </row>
    <row r="3150" spans="1:5" x14ac:dyDescent="0.3">
      <c r="A3150" s="888" t="str">
        <f>IF(LEN('Translation-EN'!A3150)&gt;0,'Translation-EN'!A3150,"")</f>
        <v>Range</v>
      </c>
      <c r="B3150" s="888" t="str">
        <f>IF(LEN('Translation-EN'!B3150)&gt;0,'Translation-EN'!B3150,"")</f>
        <v>Master sheet</v>
      </c>
      <c r="C3150" s="888" t="str">
        <f>IF(LEN('Translation-EN'!C3150)&gt;0,'Translation-EN'!C3150,"")</f>
        <v>C656</v>
      </c>
      <c r="D3150" s="888" t="str">
        <f>IF(LEN('Translation-EN'!D3150)&gt;0,'Translation-EN'!D3150,"")</f>
        <v/>
      </c>
      <c r="E3150" s="893" t="str">
        <f>$E$2891</f>
        <v>Rockwool</v>
      </c>
    </row>
    <row r="3151" spans="1:5" x14ac:dyDescent="0.3">
      <c r="A3151" s="888" t="str">
        <f>IF(LEN('Translation-EN'!A3151)&gt;0,'Translation-EN'!A3151,"")</f>
        <v>Range</v>
      </c>
      <c r="B3151" s="888" t="str">
        <f>IF(LEN('Translation-EN'!B3151)&gt;0,'Translation-EN'!B3151,"")</f>
        <v>Master sheet</v>
      </c>
      <c r="C3151" s="888" t="str">
        <f>IF(LEN('Translation-EN'!C3151)&gt;0,'Translation-EN'!C3151,"")</f>
        <v>D656</v>
      </c>
      <c r="D3151" s="888" t="str">
        <f>IF(LEN('Translation-EN'!D3151)&gt;0,'Translation-EN'!D3151,"")</f>
        <v/>
      </c>
      <c r="E3151" s="893" t="s">
        <v>4855</v>
      </c>
    </row>
    <row r="3152" spans="1:5" x14ac:dyDescent="0.3">
      <c r="A3152" s="888" t="str">
        <f>IF(LEN('Translation-EN'!A3152)&gt;0,'Translation-EN'!A3152,"")</f>
        <v>Range</v>
      </c>
      <c r="B3152" s="888" t="str">
        <f>IF(LEN('Translation-EN'!B3152)&gt;0,'Translation-EN'!B3152,"")</f>
        <v>Master sheet</v>
      </c>
      <c r="C3152" s="888" t="str">
        <f>IF(LEN('Translation-EN'!C3152)&gt;0,'Translation-EN'!C3152,"")</f>
        <v>E656</v>
      </c>
      <c r="D3152" s="888" t="str">
        <f>IF(LEN('Translation-EN'!D3152)&gt;0,'Translation-EN'!D3152,"")</f>
        <v/>
      </c>
      <c r="E3152" s="893" t="str">
        <f>$E$1935</f>
        <v>R 4,0/po</v>
      </c>
    </row>
    <row r="3153" spans="1:5" x14ac:dyDescent="0.3">
      <c r="A3153" s="888" t="str">
        <f>IF(LEN('Translation-EN'!A3153)&gt;0,'Translation-EN'!A3153,"")</f>
        <v>Range</v>
      </c>
      <c r="B3153" s="888" t="str">
        <f>IF(LEN('Translation-EN'!B3153)&gt;0,'Translation-EN'!B3153,"")</f>
        <v>Master sheet</v>
      </c>
      <c r="C3153" s="888" t="str">
        <f>IF(LEN('Translation-EN'!C3153)&gt;0,'Translation-EN'!C3153,"")</f>
        <v>B657</v>
      </c>
      <c r="D3153" s="888" t="str">
        <f>IF(LEN('Translation-EN'!D3153)&gt;0,'Translation-EN'!D3153,"")</f>
        <v/>
      </c>
      <c r="E3153" s="893" t="str">
        <f>$E$2890</f>
        <v>Panneau de laine minérale</v>
      </c>
    </row>
    <row r="3154" spans="1:5" x14ac:dyDescent="0.3">
      <c r="A3154" s="888" t="str">
        <f>IF(LEN('Translation-EN'!A3154)&gt;0,'Translation-EN'!A3154,"")</f>
        <v>Range</v>
      </c>
      <c r="B3154" s="888" t="str">
        <f>IF(LEN('Translation-EN'!B3154)&gt;0,'Translation-EN'!B3154,"")</f>
        <v>Master sheet</v>
      </c>
      <c r="C3154" s="888" t="str">
        <f>IF(LEN('Translation-EN'!C3154)&gt;0,'Translation-EN'!C3154,"")</f>
        <v>C657</v>
      </c>
      <c r="D3154" s="888" t="str">
        <f>IF(LEN('Translation-EN'!D3154)&gt;0,'Translation-EN'!D3154,"")</f>
        <v/>
      </c>
      <c r="E3154" s="893" t="str">
        <f>$E$2891</f>
        <v>Rockwool</v>
      </c>
    </row>
    <row r="3155" spans="1:5" x14ac:dyDescent="0.3">
      <c r="A3155" s="888" t="str">
        <f>IF(LEN('Translation-EN'!A3155)&gt;0,'Translation-EN'!A3155,"")</f>
        <v>Range</v>
      </c>
      <c r="B3155" s="888" t="str">
        <f>IF(LEN('Translation-EN'!B3155)&gt;0,'Translation-EN'!B3155,"")</f>
        <v>Master sheet</v>
      </c>
      <c r="C3155" s="888" t="str">
        <f>IF(LEN('Translation-EN'!C3155)&gt;0,'Translation-EN'!C3155,"")</f>
        <v>D657</v>
      </c>
      <c r="D3155" s="888" t="str">
        <f>IF(LEN('Translation-EN'!D3155)&gt;0,'Translation-EN'!D3155,"")</f>
        <v/>
      </c>
      <c r="E3155" s="893" t="str">
        <f>$E$2892</f>
        <v>Comfortboard 80</v>
      </c>
    </row>
    <row r="3156" spans="1:5" x14ac:dyDescent="0.3">
      <c r="A3156" s="888" t="str">
        <f>IF(LEN('Translation-EN'!A3156)&gt;0,'Translation-EN'!A3156,"")</f>
        <v>Range</v>
      </c>
      <c r="B3156" s="888" t="str">
        <f>IF(LEN('Translation-EN'!B3156)&gt;0,'Translation-EN'!B3156,"")</f>
        <v>Master sheet</v>
      </c>
      <c r="C3156" s="888" t="str">
        <f>IF(LEN('Translation-EN'!C3156)&gt;0,'Translation-EN'!C3156,"")</f>
        <v>E657</v>
      </c>
      <c r="D3156" s="888" t="str">
        <f>IF(LEN('Translation-EN'!D3156)&gt;0,'Translation-EN'!D3156,"")</f>
        <v/>
      </c>
      <c r="E3156" s="893" t="str">
        <f>$E$3112</f>
        <v>R 4,2/po</v>
      </c>
    </row>
    <row r="3157" spans="1:5" x14ac:dyDescent="0.3">
      <c r="A3157" s="888" t="str">
        <f>IF(LEN('Translation-EN'!A3157)&gt;0,'Translation-EN'!A3157,"")</f>
        <v>Range</v>
      </c>
      <c r="B3157" s="888" t="str">
        <f>IF(LEN('Translation-EN'!B3157)&gt;0,'Translation-EN'!B3157,"")</f>
        <v>Master sheet</v>
      </c>
      <c r="C3157" s="888" t="str">
        <f>IF(LEN('Translation-EN'!C3157)&gt;0,'Translation-EN'!C3157,"")</f>
        <v>B658</v>
      </c>
      <c r="D3157" s="888" t="str">
        <f>IF(LEN('Translation-EN'!D3157)&gt;0,'Translation-EN'!D3157,"")</f>
        <v/>
      </c>
      <c r="E3157" s="893" t="str">
        <f>$E$2890</f>
        <v>Panneau de laine minérale</v>
      </c>
    </row>
    <row r="3158" spans="1:5" x14ac:dyDescent="0.3">
      <c r="A3158" s="888" t="str">
        <f>IF(LEN('Translation-EN'!A3158)&gt;0,'Translation-EN'!A3158,"")</f>
        <v>Range</v>
      </c>
      <c r="B3158" s="888" t="str">
        <f>IF(LEN('Translation-EN'!B3158)&gt;0,'Translation-EN'!B3158,"")</f>
        <v>Master sheet</v>
      </c>
      <c r="C3158" s="888" t="str">
        <f>IF(LEN('Translation-EN'!C3158)&gt;0,'Translation-EN'!C3158,"")</f>
        <v>C658</v>
      </c>
      <c r="D3158" s="888" t="str">
        <f>IF(LEN('Translation-EN'!D3158)&gt;0,'Translation-EN'!D3158,"")</f>
        <v/>
      </c>
      <c r="E3158" s="893" t="str">
        <f>$E$2891</f>
        <v>Rockwool</v>
      </c>
    </row>
    <row r="3159" spans="1:5" x14ac:dyDescent="0.3">
      <c r="A3159" s="888" t="str">
        <f>IF(LEN('Translation-EN'!A3159)&gt;0,'Translation-EN'!A3159,"")</f>
        <v>Range</v>
      </c>
      <c r="B3159" s="888" t="str">
        <f>IF(LEN('Translation-EN'!B3159)&gt;0,'Translation-EN'!B3159,"")</f>
        <v>Master sheet</v>
      </c>
      <c r="C3159" s="888" t="str">
        <f>IF(LEN('Translation-EN'!C3159)&gt;0,'Translation-EN'!C3159,"")</f>
        <v>D658</v>
      </c>
      <c r="D3159" s="888" t="str">
        <f>IF(LEN('Translation-EN'!D3159)&gt;0,'Translation-EN'!D3159,"")</f>
        <v/>
      </c>
      <c r="E3159" s="893" t="s">
        <v>4859</v>
      </c>
    </row>
    <row r="3160" spans="1:5" x14ac:dyDescent="0.3">
      <c r="A3160" s="888" t="str">
        <f>IF(LEN('Translation-EN'!A3160)&gt;0,'Translation-EN'!A3160,"")</f>
        <v>Range</v>
      </c>
      <c r="B3160" s="888" t="str">
        <f>IF(LEN('Translation-EN'!B3160)&gt;0,'Translation-EN'!B3160,"")</f>
        <v>Master sheet</v>
      </c>
      <c r="C3160" s="888" t="str">
        <f>IF(LEN('Translation-EN'!C3160)&gt;0,'Translation-EN'!C3160,"")</f>
        <v>E658</v>
      </c>
      <c r="D3160" s="888" t="str">
        <f>IF(LEN('Translation-EN'!D3160)&gt;0,'Translation-EN'!D3160,"")</f>
        <v/>
      </c>
      <c r="E3160" s="893" t="str">
        <f>$E$3132</f>
        <v>R 4,3/po</v>
      </c>
    </row>
    <row r="3161" spans="1:5" x14ac:dyDescent="0.3">
      <c r="A3161" s="888" t="str">
        <f>IF(LEN('Translation-EN'!A3161)&gt;0,'Translation-EN'!A3161,"")</f>
        <v>Range</v>
      </c>
      <c r="B3161" s="888" t="str">
        <f>IF(LEN('Translation-EN'!B3161)&gt;0,'Translation-EN'!B3161,"")</f>
        <v>Master sheet</v>
      </c>
      <c r="C3161" s="888" t="str">
        <f>IF(LEN('Translation-EN'!C3161)&gt;0,'Translation-EN'!C3161,"")</f>
        <v>B659</v>
      </c>
      <c r="D3161" s="888" t="str">
        <f>IF(LEN('Translation-EN'!D3161)&gt;0,'Translation-EN'!D3161,"")</f>
        <v/>
      </c>
      <c r="E3161" s="893" t="str">
        <f>$E$3105</f>
        <v>Natte de laine minérale</v>
      </c>
    </row>
    <row r="3162" spans="1:5" x14ac:dyDescent="0.3">
      <c r="A3162" s="888" t="str">
        <f>IF(LEN('Translation-EN'!A3162)&gt;0,'Translation-EN'!A3162,"")</f>
        <v>Range</v>
      </c>
      <c r="B3162" s="888" t="str">
        <f>IF(LEN('Translation-EN'!B3162)&gt;0,'Translation-EN'!B3162,"")</f>
        <v>Master sheet</v>
      </c>
      <c r="C3162" s="888" t="str">
        <f>IF(LEN('Translation-EN'!C3162)&gt;0,'Translation-EN'!C3162,"")</f>
        <v>C659</v>
      </c>
      <c r="D3162" s="888" t="str">
        <f>IF(LEN('Translation-EN'!D3162)&gt;0,'Translation-EN'!D3162,"")</f>
        <v/>
      </c>
      <c r="E3162" s="893" t="str">
        <f>$E$2891</f>
        <v>Rockwool</v>
      </c>
    </row>
    <row r="3163" spans="1:5" x14ac:dyDescent="0.3">
      <c r="A3163" s="888" t="str">
        <f>IF(LEN('Translation-EN'!A3163)&gt;0,'Translation-EN'!A3163,"")</f>
        <v>Range</v>
      </c>
      <c r="B3163" s="888" t="str">
        <f>IF(LEN('Translation-EN'!B3163)&gt;0,'Translation-EN'!B3163,"")</f>
        <v>Master sheet</v>
      </c>
      <c r="C3163" s="888" t="str">
        <f>IF(LEN('Translation-EN'!C3163)&gt;0,'Translation-EN'!C3163,"")</f>
        <v>D659</v>
      </c>
      <c r="D3163" s="888" t="str">
        <f>IF(LEN('Translation-EN'!D3163)&gt;0,'Translation-EN'!D3163,"")</f>
        <v/>
      </c>
      <c r="E3163" s="893" t="s">
        <v>4861</v>
      </c>
    </row>
    <row r="3164" spans="1:5" x14ac:dyDescent="0.3">
      <c r="A3164" s="888" t="str">
        <f>IF(LEN('Translation-EN'!A3164)&gt;0,'Translation-EN'!A3164,"")</f>
        <v>Range</v>
      </c>
      <c r="B3164" s="888" t="str">
        <f>IF(LEN('Translation-EN'!B3164)&gt;0,'Translation-EN'!B3164,"")</f>
        <v>Master sheet</v>
      </c>
      <c r="C3164" s="888" t="str">
        <f>IF(LEN('Translation-EN'!C3164)&gt;0,'Translation-EN'!C3164,"")</f>
        <v>E659</v>
      </c>
      <c r="D3164" s="888" t="str">
        <f>IF(LEN('Translation-EN'!D3164)&gt;0,'Translation-EN'!D3164,"")</f>
        <v/>
      </c>
      <c r="E3164" s="893" t="str">
        <f>$E$1935</f>
        <v>R 4,0/po</v>
      </c>
    </row>
    <row r="3165" spans="1:5" x14ac:dyDescent="0.3">
      <c r="A3165" s="888" t="str">
        <f>IF(LEN('Translation-EN'!A3165)&gt;0,'Translation-EN'!A3165,"")</f>
        <v>Range</v>
      </c>
      <c r="B3165" s="888" t="str">
        <f>IF(LEN('Translation-EN'!B3165)&gt;0,'Translation-EN'!B3165,"")</f>
        <v>Master sheet</v>
      </c>
      <c r="C3165" s="888" t="str">
        <f>IF(LEN('Translation-EN'!C3165)&gt;0,'Translation-EN'!C3165,"")</f>
        <v>B660</v>
      </c>
      <c r="D3165" s="888" t="str">
        <f>IF(LEN('Translation-EN'!D3165)&gt;0,'Translation-EN'!D3165,"")</f>
        <v/>
      </c>
      <c r="E3165" s="893" t="s">
        <v>6653</v>
      </c>
    </row>
    <row r="3166" spans="1:5" x14ac:dyDescent="0.3">
      <c r="A3166" s="888" t="str">
        <f>IF(LEN('Translation-EN'!A3166)&gt;0,'Translation-EN'!A3166,"")</f>
        <v>Range</v>
      </c>
      <c r="B3166" s="888" t="str">
        <f>IF(LEN('Translation-EN'!B3166)&gt;0,'Translation-EN'!B3166,"")</f>
        <v>Master sheet</v>
      </c>
      <c r="C3166" s="888" t="str">
        <f>IF(LEN('Translation-EN'!C3166)&gt;0,'Translation-EN'!C3166,"")</f>
        <v>C660</v>
      </c>
      <c r="D3166" s="888" t="str">
        <f>IF(LEN('Translation-EN'!D3166)&gt;0,'Translation-EN'!D3166,"")</f>
        <v/>
      </c>
      <c r="E3166" s="893" t="s">
        <v>6654</v>
      </c>
    </row>
    <row r="3167" spans="1:5" x14ac:dyDescent="0.3">
      <c r="A3167" s="888" t="str">
        <f>IF(LEN('Translation-EN'!A3167)&gt;0,'Translation-EN'!A3167,"")</f>
        <v>Range</v>
      </c>
      <c r="B3167" s="888" t="str">
        <f>IF(LEN('Translation-EN'!B3167)&gt;0,'Translation-EN'!B3167,"")</f>
        <v>Master sheet</v>
      </c>
      <c r="C3167" s="888" t="str">
        <f>IF(LEN('Translation-EN'!C3167)&gt;0,'Translation-EN'!C3167,"")</f>
        <v>E660</v>
      </c>
      <c r="D3167" s="888" t="str">
        <f>IF(LEN('Translation-EN'!D3167)&gt;0,'Translation-EN'!D3167,"")</f>
        <v/>
      </c>
      <c r="E3167" s="893" t="s">
        <v>6655</v>
      </c>
    </row>
    <row r="3168" spans="1:5" x14ac:dyDescent="0.3">
      <c r="A3168" s="888" t="str">
        <f>IF(LEN('Translation-EN'!A3168)&gt;0,'Translation-EN'!A3168,"")</f>
        <v>Range</v>
      </c>
      <c r="B3168" s="888" t="str">
        <f>IF(LEN('Translation-EN'!B3168)&gt;0,'Translation-EN'!B3168,"")</f>
        <v>Master sheet</v>
      </c>
      <c r="C3168" s="888" t="str">
        <f>IF(LEN('Translation-EN'!C3168)&gt;0,'Translation-EN'!C3168,"")</f>
        <v>B661</v>
      </c>
      <c r="D3168" s="888" t="str">
        <f>IF(LEN('Translation-EN'!D3168)&gt;0,'Translation-EN'!D3168,"")</f>
        <v/>
      </c>
      <c r="E3168" s="893" t="s">
        <v>6656</v>
      </c>
    </row>
    <row r="3169" spans="1:5" x14ac:dyDescent="0.3">
      <c r="A3169" s="888" t="str">
        <f>IF(LEN('Translation-EN'!A3169)&gt;0,'Translation-EN'!A3169,"")</f>
        <v>Range</v>
      </c>
      <c r="B3169" s="888" t="str">
        <f>IF(LEN('Translation-EN'!B3169)&gt;0,'Translation-EN'!B3169,"")</f>
        <v>Master sheet</v>
      </c>
      <c r="C3169" s="888" t="str">
        <f>IF(LEN('Translation-EN'!C3169)&gt;0,'Translation-EN'!C3169,"")</f>
        <v>C661</v>
      </c>
      <c r="D3169" s="888" t="str">
        <f>IF(LEN('Translation-EN'!D3169)&gt;0,'Translation-EN'!D3169,"")</f>
        <v/>
      </c>
      <c r="E3169" s="893" t="str">
        <f>$E$2245</f>
        <v>Institut du couvre-sol résilient</v>
      </c>
    </row>
    <row r="3170" spans="1:5" x14ac:dyDescent="0.3">
      <c r="A3170" s="888" t="str">
        <f>IF(LEN('Translation-EN'!A3170)&gt;0,'Translation-EN'!A3170,"")</f>
        <v>Range</v>
      </c>
      <c r="B3170" s="888" t="str">
        <f>IF(LEN('Translation-EN'!B3170)&gt;0,'Translation-EN'!B3170,"")</f>
        <v>Master sheet</v>
      </c>
      <c r="C3170" s="888" t="str">
        <f>IF(LEN('Translation-EN'!C3170)&gt;0,'Translation-EN'!C3170,"")</f>
        <v>D661</v>
      </c>
      <c r="D3170" s="888" t="str">
        <f>IF(LEN('Translation-EN'!D3170)&gt;0,'Translation-EN'!D3170,"")</f>
        <v/>
      </c>
      <c r="E3170" s="893" t="s">
        <v>6657</v>
      </c>
    </row>
    <row r="3171" spans="1:5" x14ac:dyDescent="0.3">
      <c r="A3171" s="888" t="str">
        <f>IF(LEN('Translation-EN'!A3171)&gt;0,'Translation-EN'!A3171,"")</f>
        <v>Range</v>
      </c>
      <c r="B3171" s="888" t="str">
        <f>IF(LEN('Translation-EN'!B3171)&gt;0,'Translation-EN'!B3171,"")</f>
        <v>Master sheet</v>
      </c>
      <c r="C3171" s="888" t="str">
        <f>IF(LEN('Translation-EN'!C3171)&gt;0,'Translation-EN'!C3171,"")</f>
        <v>E661</v>
      </c>
      <c r="D3171" s="888" t="str">
        <f>IF(LEN('Translation-EN'!D3171)&gt;0,'Translation-EN'!D3171,"")</f>
        <v/>
      </c>
      <c r="E3171" s="893" t="s">
        <v>6658</v>
      </c>
    </row>
    <row r="3172" spans="1:5" x14ac:dyDescent="0.3">
      <c r="A3172" s="888" t="str">
        <f>IF(LEN('Translation-EN'!A3172)&gt;0,'Translation-EN'!A3172,"")</f>
        <v>Range</v>
      </c>
      <c r="B3172" s="888" t="str">
        <f>IF(LEN('Translation-EN'!B3172)&gt;0,'Translation-EN'!B3172,"")</f>
        <v>Master sheet</v>
      </c>
      <c r="C3172" s="888" t="str">
        <f>IF(LEN('Translation-EN'!C3172)&gt;0,'Translation-EN'!C3172,"")</f>
        <v>B662</v>
      </c>
      <c r="D3172" s="888" t="str">
        <f>IF(LEN('Translation-EN'!D3172)&gt;0,'Translation-EN'!D3172,"")</f>
        <v/>
      </c>
      <c r="E3172" s="893" t="str">
        <f>$E$3168</f>
        <v>Carreau vinyle de luxe</v>
      </c>
    </row>
    <row r="3173" spans="1:5" x14ac:dyDescent="0.3">
      <c r="A3173" s="888" t="str">
        <f>IF(LEN('Translation-EN'!A3173)&gt;0,'Translation-EN'!A3173,"")</f>
        <v>Range</v>
      </c>
      <c r="B3173" s="888" t="str">
        <f>IF(LEN('Translation-EN'!B3173)&gt;0,'Translation-EN'!B3173,"")</f>
        <v>Master sheet</v>
      </c>
      <c r="C3173" s="888" t="str">
        <f>IF(LEN('Translation-EN'!C3173)&gt;0,'Translation-EN'!C3173,"")</f>
        <v>C662</v>
      </c>
      <c r="D3173" s="888" t="str">
        <f>IF(LEN('Translation-EN'!D3173)&gt;0,'Translation-EN'!D3173,"")</f>
        <v/>
      </c>
      <c r="E3173" s="893" t="str">
        <f>$E$2245</f>
        <v>Institut du couvre-sol résilient</v>
      </c>
    </row>
    <row r="3174" spans="1:5" x14ac:dyDescent="0.3">
      <c r="A3174" s="888" t="str">
        <f>IF(LEN('Translation-EN'!A3174)&gt;0,'Translation-EN'!A3174,"")</f>
        <v>Range</v>
      </c>
      <c r="B3174" s="888" t="str">
        <f>IF(LEN('Translation-EN'!B3174)&gt;0,'Translation-EN'!B3174,"")</f>
        <v>Master sheet</v>
      </c>
      <c r="C3174" s="888" t="str">
        <f>IF(LEN('Translation-EN'!C3174)&gt;0,'Translation-EN'!C3174,"")</f>
        <v>D662</v>
      </c>
      <c r="D3174" s="888" t="str">
        <f>IF(LEN('Translation-EN'!D3174)&gt;0,'Translation-EN'!D3174,"")</f>
        <v/>
      </c>
      <c r="E3174" s="893" t="s">
        <v>6659</v>
      </c>
    </row>
    <row r="3175" spans="1:5" x14ac:dyDescent="0.3">
      <c r="A3175" s="888" t="str">
        <f>IF(LEN('Translation-EN'!A3175)&gt;0,'Translation-EN'!A3175,"")</f>
        <v>Range</v>
      </c>
      <c r="B3175" s="888" t="str">
        <f>IF(LEN('Translation-EN'!B3175)&gt;0,'Translation-EN'!B3175,"")</f>
        <v>Master sheet</v>
      </c>
      <c r="C3175" s="888" t="str">
        <f>IF(LEN('Translation-EN'!C3175)&gt;0,'Translation-EN'!C3175,"")</f>
        <v>E662</v>
      </c>
      <c r="D3175" s="888" t="str">
        <f>IF(LEN('Translation-EN'!D3175)&gt;0,'Translation-EN'!D3175,"")</f>
        <v/>
      </c>
      <c r="E3175" s="893" t="s">
        <v>6660</v>
      </c>
    </row>
    <row r="3176" spans="1:5" x14ac:dyDescent="0.3">
      <c r="A3176" s="888" t="str">
        <f>IF(LEN('Translation-EN'!A3176)&gt;0,'Translation-EN'!A3176,"")</f>
        <v>Range</v>
      </c>
      <c r="B3176" s="888" t="str">
        <f>IF(LEN('Translation-EN'!B3176)&gt;0,'Translation-EN'!B3176,"")</f>
        <v>Master sheet</v>
      </c>
      <c r="C3176" s="888" t="str">
        <f>IF(LEN('Translation-EN'!C3176)&gt;0,'Translation-EN'!C3176,"")</f>
        <v>B663</v>
      </c>
      <c r="D3176" s="888" t="str">
        <f>IF(LEN('Translation-EN'!D3176)&gt;0,'Translation-EN'!D3176,"")</f>
        <v/>
      </c>
      <c r="E3176" s="893" t="str">
        <f>$E$2335</f>
        <v>Revêtement de plancher en vinyle</v>
      </c>
    </row>
    <row r="3177" spans="1:5" x14ac:dyDescent="0.3">
      <c r="A3177" s="888" t="str">
        <f>IF(LEN('Translation-EN'!A3177)&gt;0,'Translation-EN'!A3177,"")</f>
        <v>Range</v>
      </c>
      <c r="B3177" s="888" t="str">
        <f>IF(LEN('Translation-EN'!B3177)&gt;0,'Translation-EN'!B3177,"")</f>
        <v>Master sheet</v>
      </c>
      <c r="C3177" s="888" t="str">
        <f>IF(LEN('Translation-EN'!C3177)&gt;0,'Translation-EN'!C3177,"")</f>
        <v>C663</v>
      </c>
      <c r="D3177" s="888" t="str">
        <f>IF(LEN('Translation-EN'!D3177)&gt;0,'Translation-EN'!D3177,"")</f>
        <v/>
      </c>
      <c r="E3177" s="893" t="str">
        <f>$E$2245</f>
        <v>Institut du couvre-sol résilient</v>
      </c>
    </row>
    <row r="3178" spans="1:5" x14ac:dyDescent="0.3">
      <c r="A3178" s="888" t="str">
        <f>IF(LEN('Translation-EN'!A3178)&gt;0,'Translation-EN'!A3178,"")</f>
        <v>Range</v>
      </c>
      <c r="B3178" s="888" t="str">
        <f>IF(LEN('Translation-EN'!B3178)&gt;0,'Translation-EN'!B3178,"")</f>
        <v>Master sheet</v>
      </c>
      <c r="C3178" s="888" t="str">
        <f>IF(LEN('Translation-EN'!C3178)&gt;0,'Translation-EN'!C3178,"")</f>
        <v>D663</v>
      </c>
      <c r="D3178" s="888" t="str">
        <f>IF(LEN('Translation-EN'!D3178)&gt;0,'Translation-EN'!D3178,"")</f>
        <v/>
      </c>
      <c r="E3178" s="893" t="s">
        <v>6661</v>
      </c>
    </row>
    <row r="3179" spans="1:5" x14ac:dyDescent="0.3">
      <c r="A3179" s="888" t="str">
        <f>IF(LEN('Translation-EN'!A3179)&gt;0,'Translation-EN'!A3179,"")</f>
        <v>Range</v>
      </c>
      <c r="B3179" s="888" t="str">
        <f>IF(LEN('Translation-EN'!B3179)&gt;0,'Translation-EN'!B3179,"")</f>
        <v>Master sheet</v>
      </c>
      <c r="C3179" s="888" t="str">
        <f>IF(LEN('Translation-EN'!C3179)&gt;0,'Translation-EN'!C3179,"")</f>
        <v>E663</v>
      </c>
      <c r="D3179" s="888" t="str">
        <f>IF(LEN('Translation-EN'!D3179)&gt;0,'Translation-EN'!D3179,"")</f>
        <v/>
      </c>
      <c r="E3179" s="893" t="s">
        <v>6662</v>
      </c>
    </row>
    <row r="3180" spans="1:5" x14ac:dyDescent="0.3">
      <c r="A3180" s="888" t="str">
        <f>IF(LEN('Translation-EN'!A3180)&gt;0,'Translation-EN'!A3180,"")</f>
        <v>Range</v>
      </c>
      <c r="B3180" s="888" t="str">
        <f>IF(LEN('Translation-EN'!B3180)&gt;0,'Translation-EN'!B3180,"")</f>
        <v>Master sheet</v>
      </c>
      <c r="C3180" s="888" t="str">
        <f>IF(LEN('Translation-EN'!C3180)&gt;0,'Translation-EN'!C3180,"")</f>
        <v>B664</v>
      </c>
      <c r="D3180" s="888" t="str">
        <f>IF(LEN('Translation-EN'!D3180)&gt;0,'Translation-EN'!D3180,"")</f>
        <v/>
      </c>
      <c r="E3180" s="893" t="s">
        <v>6663</v>
      </c>
    </row>
    <row r="3181" spans="1:5" x14ac:dyDescent="0.3">
      <c r="A3181" s="888" t="str">
        <f>IF(LEN('Translation-EN'!A3181)&gt;0,'Translation-EN'!A3181,"")</f>
        <v>Range</v>
      </c>
      <c r="B3181" s="888" t="str">
        <f>IF(LEN('Translation-EN'!B3181)&gt;0,'Translation-EN'!B3181,"")</f>
        <v>Master sheet</v>
      </c>
      <c r="C3181" s="888" t="str">
        <f>IF(LEN('Translation-EN'!C3181)&gt;0,'Translation-EN'!C3181,"")</f>
        <v>C664</v>
      </c>
      <c r="D3181" s="888" t="str">
        <f>IF(LEN('Translation-EN'!D3181)&gt;0,'Translation-EN'!D3181,"")</f>
        <v/>
      </c>
      <c r="E3181" s="893" t="s">
        <v>4903</v>
      </c>
    </row>
    <row r="3182" spans="1:5" x14ac:dyDescent="0.3">
      <c r="A3182" s="888" t="str">
        <f>IF(LEN('Translation-EN'!A3182)&gt;0,'Translation-EN'!A3182,"")</f>
        <v>Range</v>
      </c>
      <c r="B3182" s="888" t="str">
        <f>IF(LEN('Translation-EN'!B3182)&gt;0,'Translation-EN'!B3182,"")</f>
        <v>Master sheet</v>
      </c>
      <c r="C3182" s="888" t="str">
        <f>IF(LEN('Translation-EN'!C3182)&gt;0,'Translation-EN'!C3182,"")</f>
        <v>D664</v>
      </c>
      <c r="D3182" s="888" t="str">
        <f>IF(LEN('Translation-EN'!D3182)&gt;0,'Translation-EN'!D3182,"")</f>
        <v/>
      </c>
      <c r="E3182" s="893" t="s">
        <v>6664</v>
      </c>
    </row>
    <row r="3183" spans="1:5" x14ac:dyDescent="0.3">
      <c r="A3183" s="888" t="str">
        <f>IF(LEN('Translation-EN'!A3183)&gt;0,'Translation-EN'!A3183,"")</f>
        <v>Range</v>
      </c>
      <c r="B3183" s="888" t="str">
        <f>IF(LEN('Translation-EN'!B3183)&gt;0,'Translation-EN'!B3183,"")</f>
        <v>Master sheet</v>
      </c>
      <c r="C3183" s="888" t="str">
        <f>IF(LEN('Translation-EN'!C3183)&gt;0,'Translation-EN'!C3183,"")</f>
        <v>E664</v>
      </c>
      <c r="D3183" s="888" t="str">
        <f>IF(LEN('Translation-EN'!D3183)&gt;0,'Translation-EN'!D3183,"")</f>
        <v/>
      </c>
      <c r="E3183" s="893" t="s">
        <v>6665</v>
      </c>
    </row>
    <row r="3184" spans="1:5" x14ac:dyDescent="0.3">
      <c r="A3184" s="888" t="str">
        <f>IF(LEN('Translation-EN'!A3184)&gt;0,'Translation-EN'!A3184,"")</f>
        <v>Range</v>
      </c>
      <c r="B3184" s="888" t="str">
        <f>IF(LEN('Translation-EN'!B3184)&gt;0,'Translation-EN'!B3184,"")</f>
        <v>Master sheet</v>
      </c>
      <c r="C3184" s="888" t="str">
        <f>IF(LEN('Translation-EN'!C3184)&gt;0,'Translation-EN'!C3184,"")</f>
        <v>B665</v>
      </c>
      <c r="D3184" s="888" t="str">
        <f>IF(LEN('Translation-EN'!D3184)&gt;0,'Translation-EN'!D3184,"")</f>
        <v/>
      </c>
      <c r="E3184" s="893" t="str">
        <f>$E$3180</f>
        <v>Panneaux SIP – mousse EPS &amp; OSB</v>
      </c>
    </row>
    <row r="3185" spans="1:5" x14ac:dyDescent="0.3">
      <c r="A3185" s="888" t="str">
        <f>IF(LEN('Translation-EN'!A3185)&gt;0,'Translation-EN'!A3185,"")</f>
        <v>Range</v>
      </c>
      <c r="B3185" s="888" t="str">
        <f>IF(LEN('Translation-EN'!B3185)&gt;0,'Translation-EN'!B3185,"")</f>
        <v>Master sheet</v>
      </c>
      <c r="C3185" s="888" t="str">
        <f>IF(LEN('Translation-EN'!C3185)&gt;0,'Translation-EN'!C3185,"")</f>
        <v>C665</v>
      </c>
      <c r="D3185" s="888" t="str">
        <f>IF(LEN('Translation-EN'!D3185)&gt;0,'Translation-EN'!D3185,"")</f>
        <v/>
      </c>
      <c r="E3185" s="893" t="str">
        <f>$E$3181</f>
        <v>SIPA</v>
      </c>
    </row>
    <row r="3186" spans="1:5" x14ac:dyDescent="0.3">
      <c r="A3186" s="888" t="str">
        <f>IF(LEN('Translation-EN'!A3186)&gt;0,'Translation-EN'!A3186,"")</f>
        <v>Range</v>
      </c>
      <c r="B3186" s="888" t="str">
        <f>IF(LEN('Translation-EN'!B3186)&gt;0,'Translation-EN'!B3186,"")</f>
        <v>Master sheet</v>
      </c>
      <c r="C3186" s="888" t="str">
        <f>IF(LEN('Translation-EN'!C3186)&gt;0,'Translation-EN'!C3186,"")</f>
        <v>D665</v>
      </c>
      <c r="D3186" s="888" t="str">
        <f>IF(LEN('Translation-EN'!D3186)&gt;0,'Translation-EN'!D3186,"")</f>
        <v/>
      </c>
      <c r="E3186" s="893" t="str">
        <f>$E$3182</f>
        <v>Inclut : ACME Panel, Enercept, Extreme Panel Technologies, FischerSIPS, Insulspan, Lamit, PorterCorp, Preflex, Premier Building Systems, Thermafoam R-Control, Urban Industries</v>
      </c>
    </row>
    <row r="3187" spans="1:5" x14ac:dyDescent="0.3">
      <c r="A3187" s="888" t="str">
        <f>IF(LEN('Translation-EN'!A3187)&gt;0,'Translation-EN'!A3187,"")</f>
        <v>Range</v>
      </c>
      <c r="B3187" s="888" t="str">
        <f>IF(LEN('Translation-EN'!B3187)&gt;0,'Translation-EN'!B3187,"")</f>
        <v>Master sheet</v>
      </c>
      <c r="C3187" s="888" t="str">
        <f>IF(LEN('Translation-EN'!C3187)&gt;0,'Translation-EN'!C3187,"")</f>
        <v>E665</v>
      </c>
      <c r="D3187" s="888" t="str">
        <f>IF(LEN('Translation-EN'!D3187)&gt;0,'Translation-EN'!D3187,"")</f>
        <v/>
      </c>
      <c r="E3187" s="893" t="s">
        <v>6666</v>
      </c>
    </row>
    <row r="3188" spans="1:5" x14ac:dyDescent="0.3">
      <c r="A3188" s="888" t="str">
        <f>IF(LEN('Translation-EN'!A3188)&gt;0,'Translation-EN'!A3188,"")</f>
        <v>Range</v>
      </c>
      <c r="B3188" s="888" t="str">
        <f>IF(LEN('Translation-EN'!B3188)&gt;0,'Translation-EN'!B3188,"")</f>
        <v>Master sheet</v>
      </c>
      <c r="C3188" s="888" t="str">
        <f>IF(LEN('Translation-EN'!C3188)&gt;0,'Translation-EN'!C3188,"")</f>
        <v>B666</v>
      </c>
      <c r="D3188" s="888" t="str">
        <f>IF(LEN('Translation-EN'!D3188)&gt;0,'Translation-EN'!D3188,"")</f>
        <v/>
      </c>
      <c r="E3188" s="893" t="str">
        <f>$E$3180</f>
        <v>Panneaux SIP – mousse EPS &amp; OSB</v>
      </c>
    </row>
    <row r="3189" spans="1:5" x14ac:dyDescent="0.3">
      <c r="A3189" s="888" t="str">
        <f>IF(LEN('Translation-EN'!A3189)&gt;0,'Translation-EN'!A3189,"")</f>
        <v>Range</v>
      </c>
      <c r="B3189" s="888" t="str">
        <f>IF(LEN('Translation-EN'!B3189)&gt;0,'Translation-EN'!B3189,"")</f>
        <v>Master sheet</v>
      </c>
      <c r="C3189" s="888" t="str">
        <f>IF(LEN('Translation-EN'!C3189)&gt;0,'Translation-EN'!C3189,"")</f>
        <v>C666</v>
      </c>
      <c r="D3189" s="888" t="str">
        <f>IF(LEN('Translation-EN'!D3189)&gt;0,'Translation-EN'!D3189,"")</f>
        <v/>
      </c>
      <c r="E3189" s="893" t="str">
        <f>$E$3181</f>
        <v>SIPA</v>
      </c>
    </row>
    <row r="3190" spans="1:5" x14ac:dyDescent="0.3">
      <c r="A3190" s="888" t="str">
        <f>IF(LEN('Translation-EN'!A3190)&gt;0,'Translation-EN'!A3190,"")</f>
        <v>Range</v>
      </c>
      <c r="B3190" s="888" t="str">
        <f>IF(LEN('Translation-EN'!B3190)&gt;0,'Translation-EN'!B3190,"")</f>
        <v>Master sheet</v>
      </c>
      <c r="C3190" s="888" t="str">
        <f>IF(LEN('Translation-EN'!C3190)&gt;0,'Translation-EN'!C3190,"")</f>
        <v>D666</v>
      </c>
      <c r="D3190" s="888" t="str">
        <f>IF(LEN('Translation-EN'!D3190)&gt;0,'Translation-EN'!D3190,"")</f>
        <v/>
      </c>
      <c r="E3190" s="893" t="str">
        <f>$E$3182</f>
        <v>Inclut : ACME Panel, Enercept, Extreme Panel Technologies, FischerSIPS, Insulspan, Lamit, PorterCorp, Preflex, Premier Building Systems, Thermafoam R-Control, Urban Industries</v>
      </c>
    </row>
    <row r="3191" spans="1:5" x14ac:dyDescent="0.3">
      <c r="A3191" s="888" t="str">
        <f>IF(LEN('Translation-EN'!A3191)&gt;0,'Translation-EN'!A3191,"")</f>
        <v>Range</v>
      </c>
      <c r="B3191" s="888" t="str">
        <f>IF(LEN('Translation-EN'!B3191)&gt;0,'Translation-EN'!B3191,"")</f>
        <v>Master sheet</v>
      </c>
      <c r="C3191" s="888" t="str">
        <f>IF(LEN('Translation-EN'!C3191)&gt;0,'Translation-EN'!C3191,"")</f>
        <v>E666</v>
      </c>
      <c r="D3191" s="888" t="str">
        <f>IF(LEN('Translation-EN'!D3191)&gt;0,'Translation-EN'!D3191,"")</f>
        <v/>
      </c>
      <c r="E3191" s="893" t="s">
        <v>6667</v>
      </c>
    </row>
    <row r="3192" spans="1:5" x14ac:dyDescent="0.3">
      <c r="A3192" s="888" t="str">
        <f>IF(LEN('Translation-EN'!A3192)&gt;0,'Translation-EN'!A3192,"")</f>
        <v>Range</v>
      </c>
      <c r="B3192" s="888" t="str">
        <f>IF(LEN('Translation-EN'!B3192)&gt;0,'Translation-EN'!B3192,"")</f>
        <v>Master sheet</v>
      </c>
      <c r="C3192" s="888" t="str">
        <f>IF(LEN('Translation-EN'!C3192)&gt;0,'Translation-EN'!C3192,"")</f>
        <v>B667</v>
      </c>
      <c r="D3192" s="888" t="str">
        <f>IF(LEN('Translation-EN'!D3192)&gt;0,'Translation-EN'!D3192,"")</f>
        <v/>
      </c>
      <c r="E3192" s="893" t="str">
        <f>$E$3180</f>
        <v>Panneaux SIP – mousse EPS &amp; OSB</v>
      </c>
    </row>
    <row r="3193" spans="1:5" x14ac:dyDescent="0.3">
      <c r="A3193" s="888" t="str">
        <f>IF(LEN('Translation-EN'!A3193)&gt;0,'Translation-EN'!A3193,"")</f>
        <v>Range</v>
      </c>
      <c r="B3193" s="888" t="str">
        <f>IF(LEN('Translation-EN'!B3193)&gt;0,'Translation-EN'!B3193,"")</f>
        <v>Master sheet</v>
      </c>
      <c r="C3193" s="888" t="str">
        <f>IF(LEN('Translation-EN'!C3193)&gt;0,'Translation-EN'!C3193,"")</f>
        <v>C667</v>
      </c>
      <c r="D3193" s="888" t="str">
        <f>IF(LEN('Translation-EN'!D3193)&gt;0,'Translation-EN'!D3193,"")</f>
        <v/>
      </c>
      <c r="E3193" s="893" t="str">
        <f>$E$3181</f>
        <v>SIPA</v>
      </c>
    </row>
    <row r="3194" spans="1:5" x14ac:dyDescent="0.3">
      <c r="A3194" s="888" t="str">
        <f>IF(LEN('Translation-EN'!A3194)&gt;0,'Translation-EN'!A3194,"")</f>
        <v>Range</v>
      </c>
      <c r="B3194" s="888" t="str">
        <f>IF(LEN('Translation-EN'!B3194)&gt;0,'Translation-EN'!B3194,"")</f>
        <v>Master sheet</v>
      </c>
      <c r="C3194" s="888" t="str">
        <f>IF(LEN('Translation-EN'!C3194)&gt;0,'Translation-EN'!C3194,"")</f>
        <v>D667</v>
      </c>
      <c r="D3194" s="888" t="str">
        <f>IF(LEN('Translation-EN'!D3194)&gt;0,'Translation-EN'!D3194,"")</f>
        <v/>
      </c>
      <c r="E3194" s="893" t="str">
        <f>$E$3182</f>
        <v>Inclut : ACME Panel, Enercept, Extreme Panel Technologies, FischerSIPS, Insulspan, Lamit, PorterCorp, Preflex, Premier Building Systems, Thermafoam R-Control, Urban Industries</v>
      </c>
    </row>
    <row r="3195" spans="1:5" x14ac:dyDescent="0.3">
      <c r="A3195" s="888" t="str">
        <f>IF(LEN('Translation-EN'!A3195)&gt;0,'Translation-EN'!A3195,"")</f>
        <v>Range</v>
      </c>
      <c r="B3195" s="888" t="str">
        <f>IF(LEN('Translation-EN'!B3195)&gt;0,'Translation-EN'!B3195,"")</f>
        <v>Master sheet</v>
      </c>
      <c r="C3195" s="888" t="str">
        <f>IF(LEN('Translation-EN'!C3195)&gt;0,'Translation-EN'!C3195,"")</f>
        <v>E667</v>
      </c>
      <c r="D3195" s="888" t="str">
        <f>IF(LEN('Translation-EN'!D3195)&gt;0,'Translation-EN'!D3195,"")</f>
        <v/>
      </c>
      <c r="E3195" s="893" t="s">
        <v>6668</v>
      </c>
    </row>
    <row r="3196" spans="1:5" x14ac:dyDescent="0.3">
      <c r="A3196" s="888" t="str">
        <f>IF(LEN('Translation-EN'!A3196)&gt;0,'Translation-EN'!A3196,"")</f>
        <v>Range</v>
      </c>
      <c r="B3196" s="888" t="str">
        <f>IF(LEN('Translation-EN'!B3196)&gt;0,'Translation-EN'!B3196,"")</f>
        <v>Master sheet</v>
      </c>
      <c r="C3196" s="888" t="str">
        <f>IF(LEN('Translation-EN'!C3196)&gt;0,'Translation-EN'!C3196,"")</f>
        <v>B668</v>
      </c>
      <c r="D3196" s="888" t="str">
        <f>IF(LEN('Translation-EN'!D3196)&gt;0,'Translation-EN'!D3196,"")</f>
        <v/>
      </c>
      <c r="E3196" s="893" t="str">
        <f>$E$3180</f>
        <v>Panneaux SIP – mousse EPS &amp; OSB</v>
      </c>
    </row>
    <row r="3197" spans="1:5" x14ac:dyDescent="0.3">
      <c r="A3197" s="888" t="str">
        <f>IF(LEN('Translation-EN'!A3197)&gt;0,'Translation-EN'!A3197,"")</f>
        <v>Range</v>
      </c>
      <c r="B3197" s="888" t="str">
        <f>IF(LEN('Translation-EN'!B3197)&gt;0,'Translation-EN'!B3197,"")</f>
        <v>Master sheet</v>
      </c>
      <c r="C3197" s="888" t="str">
        <f>IF(LEN('Translation-EN'!C3197)&gt;0,'Translation-EN'!C3197,"")</f>
        <v>C668</v>
      </c>
      <c r="D3197" s="888" t="str">
        <f>IF(LEN('Translation-EN'!D3197)&gt;0,'Translation-EN'!D3197,"")</f>
        <v/>
      </c>
      <c r="E3197" s="893" t="str">
        <f>$E$3181</f>
        <v>SIPA</v>
      </c>
    </row>
    <row r="3198" spans="1:5" x14ac:dyDescent="0.3">
      <c r="A3198" s="888" t="str">
        <f>IF(LEN('Translation-EN'!A3198)&gt;0,'Translation-EN'!A3198,"")</f>
        <v>Range</v>
      </c>
      <c r="B3198" s="888" t="str">
        <f>IF(LEN('Translation-EN'!B3198)&gt;0,'Translation-EN'!B3198,"")</f>
        <v>Master sheet</v>
      </c>
      <c r="C3198" s="888" t="str">
        <f>IF(LEN('Translation-EN'!C3198)&gt;0,'Translation-EN'!C3198,"")</f>
        <v>D668</v>
      </c>
      <c r="D3198" s="888" t="str">
        <f>IF(LEN('Translation-EN'!D3198)&gt;0,'Translation-EN'!D3198,"")</f>
        <v/>
      </c>
      <c r="E3198" s="893" t="str">
        <f>$E$3182</f>
        <v>Inclut : ACME Panel, Enercept, Extreme Panel Technologies, FischerSIPS, Insulspan, Lamit, PorterCorp, Preflex, Premier Building Systems, Thermafoam R-Control, Urban Industries</v>
      </c>
    </row>
    <row r="3199" spans="1:5" x14ac:dyDescent="0.3">
      <c r="A3199" s="888" t="str">
        <f>IF(LEN('Translation-EN'!A3199)&gt;0,'Translation-EN'!A3199,"")</f>
        <v>Range</v>
      </c>
      <c r="B3199" s="888" t="str">
        <f>IF(LEN('Translation-EN'!B3199)&gt;0,'Translation-EN'!B3199,"")</f>
        <v>Master sheet</v>
      </c>
      <c r="C3199" s="888" t="str">
        <f>IF(LEN('Translation-EN'!C3199)&gt;0,'Translation-EN'!C3199,"")</f>
        <v>E668</v>
      </c>
      <c r="D3199" s="888" t="str">
        <f>IF(LEN('Translation-EN'!D3199)&gt;0,'Translation-EN'!D3199,"")</f>
        <v/>
      </c>
      <c r="E3199" s="893" t="s">
        <v>6669</v>
      </c>
    </row>
    <row r="3200" spans="1:5" x14ac:dyDescent="0.3">
      <c r="A3200" s="888" t="str">
        <f>IF(LEN('Translation-EN'!A3200)&gt;0,'Translation-EN'!A3200,"")</f>
        <v>Range</v>
      </c>
      <c r="B3200" s="888" t="str">
        <f>IF(LEN('Translation-EN'!B3200)&gt;0,'Translation-EN'!B3200,"")</f>
        <v>Master sheet</v>
      </c>
      <c r="C3200" s="888" t="str">
        <f>IF(LEN('Translation-EN'!C3200)&gt;0,'Translation-EN'!C3200,"")</f>
        <v>AR2</v>
      </c>
      <c r="D3200" s="888" t="str">
        <f>IF(LEN('Translation-EN'!D3200)&gt;0,'Translation-EN'!D3200,"")</f>
        <v/>
      </c>
      <c r="E3200" s="893" t="s">
        <v>6670</v>
      </c>
    </row>
    <row r="3201" spans="1:5" x14ac:dyDescent="0.3">
      <c r="A3201" s="888" t="str">
        <f>IF(LEN('Translation-EN'!A3201)&gt;0,'Translation-EN'!A3201,"")</f>
        <v>Range</v>
      </c>
      <c r="B3201" s="888" t="str">
        <f>IF(LEN('Translation-EN'!B3201)&gt;0,'Translation-EN'!B3201,"")</f>
        <v>Master sheet</v>
      </c>
      <c r="C3201" s="888" t="str">
        <f>IF(LEN('Translation-EN'!C3201)&gt;0,'Translation-EN'!C3201,"")</f>
        <v>AR3</v>
      </c>
      <c r="D3201" s="888" t="str">
        <f>IF(LEN('Translation-EN'!D3201)&gt;0,'Translation-EN'!D3201,"")</f>
        <v/>
      </c>
      <c r="E3201" s="893" t="s">
        <v>6671</v>
      </c>
    </row>
    <row r="3202" spans="1:5" x14ac:dyDescent="0.3">
      <c r="A3202" s="888" t="str">
        <f>IF(LEN('Translation-EN'!A3202)&gt;0,'Translation-EN'!A3202,"")</f>
        <v>Formula</v>
      </c>
      <c r="B3202" s="888" t="str">
        <f>IF(LEN('Translation-EN'!B3202)&gt;0,'Translation-EN'!B3202,"")</f>
        <v>_Master sheet</v>
      </c>
      <c r="C3202" s="888" t="str">
        <f>IF(LEN('Translation-EN'!C3202)&gt;0,'Translation-EN'!C3202,"")</f>
        <v>AR4</v>
      </c>
      <c r="D3202" s="888">
        <f>IF(LEN('Translation-EN'!D3202)&gt;0,'Translation-EN'!D3202,"")</f>
        <v>1</v>
      </c>
      <c r="E3202" s="893" t="s">
        <v>6672</v>
      </c>
    </row>
    <row r="3203" spans="1:5" x14ac:dyDescent="0.3">
      <c r="A3203" s="888" t="str">
        <f>IF(LEN('Translation-EN'!A3203)&gt;0,'Translation-EN'!A3203,"")</f>
        <v>Formula</v>
      </c>
      <c r="B3203" s="888" t="str">
        <f>IF(LEN('Translation-EN'!B3203)&gt;0,'Translation-EN'!B3203,"")</f>
        <v>_Master sheet</v>
      </c>
      <c r="C3203" s="888" t="str">
        <f>IF(LEN('Translation-EN'!C3203)&gt;0,'Translation-EN'!C3203,"")</f>
        <v>AR5</v>
      </c>
      <c r="D3203" s="888">
        <f>IF(LEN('Translation-EN'!D3203)&gt;0,'Translation-EN'!D3203,"")</f>
        <v>1</v>
      </c>
      <c r="E3203" s="893" t="str">
        <f t="shared" ref="E3203:E3212" si="1">$E$3202</f>
        <v>Expiré</v>
      </c>
    </row>
    <row r="3204" spans="1:5" x14ac:dyDescent="0.3">
      <c r="A3204" s="888" t="str">
        <f>IF(LEN('Translation-EN'!A3204)&gt;0,'Translation-EN'!A3204,"")</f>
        <v>Formula</v>
      </c>
      <c r="B3204" s="888" t="str">
        <f>IF(LEN('Translation-EN'!B3204)&gt;0,'Translation-EN'!B3204,"")</f>
        <v>_Master sheet</v>
      </c>
      <c r="C3204" s="888" t="str">
        <f>IF(LEN('Translation-EN'!C3204)&gt;0,'Translation-EN'!C3204,"")</f>
        <v>AR22</v>
      </c>
      <c r="D3204" s="888">
        <f>IF(LEN('Translation-EN'!D3204)&gt;0,'Translation-EN'!D3204,"")</f>
        <v>1</v>
      </c>
      <c r="E3204" s="893" t="str">
        <f t="shared" si="1"/>
        <v>Expiré</v>
      </c>
    </row>
    <row r="3205" spans="1:5" x14ac:dyDescent="0.3">
      <c r="A3205" s="888" t="str">
        <f>IF(LEN('Translation-EN'!A3205)&gt;0,'Translation-EN'!A3205,"")</f>
        <v>Formula</v>
      </c>
      <c r="B3205" s="888" t="str">
        <f>IF(LEN('Translation-EN'!B3205)&gt;0,'Translation-EN'!B3205,"")</f>
        <v>_Master sheet</v>
      </c>
      <c r="C3205" s="888" t="str">
        <f>IF(LEN('Translation-EN'!C3205)&gt;0,'Translation-EN'!C3205,"")</f>
        <v>AR23</v>
      </c>
      <c r="D3205" s="888">
        <f>IF(LEN('Translation-EN'!D3205)&gt;0,'Translation-EN'!D3205,"")</f>
        <v>1</v>
      </c>
      <c r="E3205" s="893" t="str">
        <f t="shared" si="1"/>
        <v>Expiré</v>
      </c>
    </row>
    <row r="3206" spans="1:5" x14ac:dyDescent="0.3">
      <c r="A3206" s="888" t="str">
        <f>IF(LEN('Translation-EN'!A3206)&gt;0,'Translation-EN'!A3206,"")</f>
        <v>Formula</v>
      </c>
      <c r="B3206" s="888" t="str">
        <f>IF(LEN('Translation-EN'!B3206)&gt;0,'Translation-EN'!B3206,"")</f>
        <v>_Master sheet</v>
      </c>
      <c r="C3206" s="888" t="str">
        <f>IF(LEN('Translation-EN'!C3206)&gt;0,'Translation-EN'!C3206,"")</f>
        <v>AR24</v>
      </c>
      <c r="D3206" s="888">
        <f>IF(LEN('Translation-EN'!D3206)&gt;0,'Translation-EN'!D3206,"")</f>
        <v>1</v>
      </c>
      <c r="E3206" s="893" t="str">
        <f t="shared" si="1"/>
        <v>Expiré</v>
      </c>
    </row>
    <row r="3207" spans="1:5" x14ac:dyDescent="0.3">
      <c r="A3207" s="888" t="str">
        <f>IF(LEN('Translation-EN'!A3207)&gt;0,'Translation-EN'!A3207,"")</f>
        <v>Formula</v>
      </c>
      <c r="B3207" s="888" t="str">
        <f>IF(LEN('Translation-EN'!B3207)&gt;0,'Translation-EN'!B3207,"")</f>
        <v>_Master sheet</v>
      </c>
      <c r="C3207" s="888" t="str">
        <f>IF(LEN('Translation-EN'!C3207)&gt;0,'Translation-EN'!C3207,"")</f>
        <v>AR25</v>
      </c>
      <c r="D3207" s="888">
        <f>IF(LEN('Translation-EN'!D3207)&gt;0,'Translation-EN'!D3207,"")</f>
        <v>1</v>
      </c>
      <c r="E3207" s="893" t="str">
        <f t="shared" si="1"/>
        <v>Expiré</v>
      </c>
    </row>
    <row r="3208" spans="1:5" x14ac:dyDescent="0.3">
      <c r="A3208" s="888" t="str">
        <f>IF(LEN('Translation-EN'!A3208)&gt;0,'Translation-EN'!A3208,"")</f>
        <v>Formula</v>
      </c>
      <c r="B3208" s="888" t="str">
        <f>IF(LEN('Translation-EN'!B3208)&gt;0,'Translation-EN'!B3208,"")</f>
        <v>_Master sheet</v>
      </c>
      <c r="C3208" s="888" t="str">
        <f>IF(LEN('Translation-EN'!C3208)&gt;0,'Translation-EN'!C3208,"")</f>
        <v>AR29</v>
      </c>
      <c r="D3208" s="888">
        <f>IF(LEN('Translation-EN'!D3208)&gt;0,'Translation-EN'!D3208,"")</f>
        <v>1</v>
      </c>
      <c r="E3208" s="893" t="str">
        <f t="shared" si="1"/>
        <v>Expiré</v>
      </c>
    </row>
    <row r="3209" spans="1:5" x14ac:dyDescent="0.3">
      <c r="A3209" s="888" t="str">
        <f>IF(LEN('Translation-EN'!A3209)&gt;0,'Translation-EN'!A3209,"")</f>
        <v>Formula</v>
      </c>
      <c r="B3209" s="888" t="str">
        <f>IF(LEN('Translation-EN'!B3209)&gt;0,'Translation-EN'!B3209,"")</f>
        <v>_Master sheet</v>
      </c>
      <c r="C3209" s="888" t="str">
        <f>IF(LEN('Translation-EN'!C3209)&gt;0,'Translation-EN'!C3209,"")</f>
        <v>AR34</v>
      </c>
      <c r="D3209" s="888">
        <f>IF(LEN('Translation-EN'!D3209)&gt;0,'Translation-EN'!D3209,"")</f>
        <v>1</v>
      </c>
      <c r="E3209" s="893" t="str">
        <f t="shared" si="1"/>
        <v>Expiré</v>
      </c>
    </row>
    <row r="3210" spans="1:5" x14ac:dyDescent="0.3">
      <c r="A3210" s="888" t="str">
        <f>IF(LEN('Translation-EN'!A3210)&gt;0,'Translation-EN'!A3210,"")</f>
        <v>Formula</v>
      </c>
      <c r="B3210" s="888" t="str">
        <f>IF(LEN('Translation-EN'!B3210)&gt;0,'Translation-EN'!B3210,"")</f>
        <v>_Master sheet</v>
      </c>
      <c r="C3210" s="888" t="str">
        <f>IF(LEN('Translation-EN'!C3210)&gt;0,'Translation-EN'!C3210,"")</f>
        <v>AR35</v>
      </c>
      <c r="D3210" s="888">
        <f>IF(LEN('Translation-EN'!D3210)&gt;0,'Translation-EN'!D3210,"")</f>
        <v>1</v>
      </c>
      <c r="E3210" s="893" t="str">
        <f t="shared" si="1"/>
        <v>Expiré</v>
      </c>
    </row>
    <row r="3211" spans="1:5" x14ac:dyDescent="0.3">
      <c r="A3211" s="888" t="str">
        <f>IF(LEN('Translation-EN'!A3211)&gt;0,'Translation-EN'!A3211,"")</f>
        <v>Formula</v>
      </c>
      <c r="B3211" s="888" t="str">
        <f>IF(LEN('Translation-EN'!B3211)&gt;0,'Translation-EN'!B3211,"")</f>
        <v>_Master sheet</v>
      </c>
      <c r="C3211" s="888" t="str">
        <f>IF(LEN('Translation-EN'!C3211)&gt;0,'Translation-EN'!C3211,"")</f>
        <v>AR36</v>
      </c>
      <c r="D3211" s="888">
        <f>IF(LEN('Translation-EN'!D3211)&gt;0,'Translation-EN'!D3211,"")</f>
        <v>1</v>
      </c>
      <c r="E3211" s="893" t="str">
        <f t="shared" si="1"/>
        <v>Expiré</v>
      </c>
    </row>
    <row r="3212" spans="1:5" x14ac:dyDescent="0.3">
      <c r="A3212" s="888" t="str">
        <f>IF(LEN('Translation-EN'!A3212)&gt;0,'Translation-EN'!A3212,"")</f>
        <v>Formula</v>
      </c>
      <c r="B3212" s="888" t="str">
        <f>IF(LEN('Translation-EN'!B3212)&gt;0,'Translation-EN'!B3212,"")</f>
        <v>_Master sheet</v>
      </c>
      <c r="C3212" s="888" t="str">
        <f>IF(LEN('Translation-EN'!C3212)&gt;0,'Translation-EN'!C3212,"")</f>
        <v>AR37</v>
      </c>
      <c r="D3212" s="888">
        <f>IF(LEN('Translation-EN'!D3212)&gt;0,'Translation-EN'!D3212,"")</f>
        <v>1</v>
      </c>
      <c r="E3212" s="893" t="str">
        <f t="shared" si="1"/>
        <v>Expiré</v>
      </c>
    </row>
    <row r="3213" spans="1:5" x14ac:dyDescent="0.3">
      <c r="A3213" s="888" t="str">
        <f>IF(LEN('Translation-EN'!A3213)&gt;0,'Translation-EN'!A3213,"")</f>
        <v>Range</v>
      </c>
      <c r="B3213" s="888" t="str">
        <f>IF(LEN('Translation-EN'!B3213)&gt;0,'Translation-EN'!B3213,"")</f>
        <v>Master sheet</v>
      </c>
      <c r="C3213" s="888" t="str">
        <f>IF(LEN('Translation-EN'!C3213)&gt;0,'Translation-EN'!C3213,"")</f>
        <v>AR38</v>
      </c>
      <c r="D3213" s="888" t="str">
        <f>IF(LEN('Translation-EN'!D3213)&gt;0,'Translation-EN'!D3213,"")</f>
        <v/>
      </c>
      <c r="E3213" s="893" t="s">
        <v>6673</v>
      </c>
    </row>
    <row r="3214" spans="1:5" x14ac:dyDescent="0.3">
      <c r="A3214" s="888" t="str">
        <f>IF(LEN('Translation-EN'!A3214)&gt;0,'Translation-EN'!A3214,"")</f>
        <v>Range</v>
      </c>
      <c r="B3214" s="888" t="str">
        <f>IF(LEN('Translation-EN'!B3214)&gt;0,'Translation-EN'!B3214,"")</f>
        <v>Master sheet</v>
      </c>
      <c r="C3214" s="888" t="str">
        <f>IF(LEN('Translation-EN'!C3214)&gt;0,'Translation-EN'!C3214,"")</f>
        <v>AR39</v>
      </c>
      <c r="D3214" s="888" t="str">
        <f>IF(LEN('Translation-EN'!D3214)&gt;0,'Translation-EN'!D3214,"")</f>
        <v/>
      </c>
      <c r="E3214" s="893" t="str">
        <f>$E$3213</f>
        <v>Moyenne multi-DEP, EC3 Tool</v>
      </c>
    </row>
    <row r="3215" spans="1:5" x14ac:dyDescent="0.3">
      <c r="A3215" s="888" t="str">
        <f>IF(LEN('Translation-EN'!A3215)&gt;0,'Translation-EN'!A3215,"")</f>
        <v>Range</v>
      </c>
      <c r="B3215" s="888" t="str">
        <f>IF(LEN('Translation-EN'!B3215)&gt;0,'Translation-EN'!B3215,"")</f>
        <v>Master sheet</v>
      </c>
      <c r="C3215" s="888" t="str">
        <f>IF(LEN('Translation-EN'!C3215)&gt;0,'Translation-EN'!C3215,"")</f>
        <v>AR40</v>
      </c>
      <c r="D3215" s="888" t="str">
        <f>IF(LEN('Translation-EN'!D3215)&gt;0,'Translation-EN'!D3215,"")</f>
        <v/>
      </c>
      <c r="E3215" s="893" t="str">
        <f>$E$3213</f>
        <v>Moyenne multi-DEP, EC3 Tool</v>
      </c>
    </row>
    <row r="3216" spans="1:5" x14ac:dyDescent="0.3">
      <c r="A3216" s="888" t="str">
        <f>IF(LEN('Translation-EN'!A3216)&gt;0,'Translation-EN'!A3216,"")</f>
        <v>Formula</v>
      </c>
      <c r="B3216" s="888" t="str">
        <f>IF(LEN('Translation-EN'!B3216)&gt;0,'Translation-EN'!B3216,"")</f>
        <v>_Master sheet</v>
      </c>
      <c r="C3216" s="888" t="str">
        <f>IF(LEN('Translation-EN'!C3216)&gt;0,'Translation-EN'!C3216,"")</f>
        <v>AR42</v>
      </c>
      <c r="D3216" s="888">
        <f>IF(LEN('Translation-EN'!D3216)&gt;0,'Translation-EN'!D3216,"")</f>
        <v>1</v>
      </c>
      <c r="E3216" s="893" t="str">
        <f t="shared" ref="E3216:E3225" si="2">$E$3202</f>
        <v>Expiré</v>
      </c>
    </row>
    <row r="3217" spans="1:5" x14ac:dyDescent="0.3">
      <c r="A3217" s="888" t="str">
        <f>IF(LEN('Translation-EN'!A3217)&gt;0,'Translation-EN'!A3217,"")</f>
        <v>Formula</v>
      </c>
      <c r="B3217" s="888" t="str">
        <f>IF(LEN('Translation-EN'!B3217)&gt;0,'Translation-EN'!B3217,"")</f>
        <v>_Master sheet</v>
      </c>
      <c r="C3217" s="888" t="str">
        <f>IF(LEN('Translation-EN'!C3217)&gt;0,'Translation-EN'!C3217,"")</f>
        <v>AR43</v>
      </c>
      <c r="D3217" s="888">
        <f>IF(LEN('Translation-EN'!D3217)&gt;0,'Translation-EN'!D3217,"")</f>
        <v>1</v>
      </c>
      <c r="E3217" s="893" t="str">
        <f t="shared" si="2"/>
        <v>Expiré</v>
      </c>
    </row>
    <row r="3218" spans="1:5" x14ac:dyDescent="0.3">
      <c r="A3218" s="888" t="str">
        <f>IF(LEN('Translation-EN'!A3218)&gt;0,'Translation-EN'!A3218,"")</f>
        <v>Formula</v>
      </c>
      <c r="B3218" s="888" t="str">
        <f>IF(LEN('Translation-EN'!B3218)&gt;0,'Translation-EN'!B3218,"")</f>
        <v>_Master sheet</v>
      </c>
      <c r="C3218" s="888" t="str">
        <f>IF(LEN('Translation-EN'!C3218)&gt;0,'Translation-EN'!C3218,"")</f>
        <v>AR44</v>
      </c>
      <c r="D3218" s="888">
        <f>IF(LEN('Translation-EN'!D3218)&gt;0,'Translation-EN'!D3218,"")</f>
        <v>1</v>
      </c>
      <c r="E3218" s="893" t="str">
        <f t="shared" si="2"/>
        <v>Expiré</v>
      </c>
    </row>
    <row r="3219" spans="1:5" x14ac:dyDescent="0.3">
      <c r="A3219" s="888" t="str">
        <f>IF(LEN('Translation-EN'!A3219)&gt;0,'Translation-EN'!A3219,"")</f>
        <v>Formula</v>
      </c>
      <c r="B3219" s="888" t="str">
        <f>IF(LEN('Translation-EN'!B3219)&gt;0,'Translation-EN'!B3219,"")</f>
        <v>_Master sheet</v>
      </c>
      <c r="C3219" s="888" t="str">
        <f>IF(LEN('Translation-EN'!C3219)&gt;0,'Translation-EN'!C3219,"")</f>
        <v>AR45</v>
      </c>
      <c r="D3219" s="888">
        <f>IF(LEN('Translation-EN'!D3219)&gt;0,'Translation-EN'!D3219,"")</f>
        <v>1</v>
      </c>
      <c r="E3219" s="893" t="str">
        <f t="shared" si="2"/>
        <v>Expiré</v>
      </c>
    </row>
    <row r="3220" spans="1:5" x14ac:dyDescent="0.3">
      <c r="A3220" s="888" t="str">
        <f>IF(LEN('Translation-EN'!A3220)&gt;0,'Translation-EN'!A3220,"")</f>
        <v>Formula</v>
      </c>
      <c r="B3220" s="888" t="str">
        <f>IF(LEN('Translation-EN'!B3220)&gt;0,'Translation-EN'!B3220,"")</f>
        <v>_Master sheet</v>
      </c>
      <c r="C3220" s="888" t="str">
        <f>IF(LEN('Translation-EN'!C3220)&gt;0,'Translation-EN'!C3220,"")</f>
        <v>AR46</v>
      </c>
      <c r="D3220" s="888">
        <f>IF(LEN('Translation-EN'!D3220)&gt;0,'Translation-EN'!D3220,"")</f>
        <v>1</v>
      </c>
      <c r="E3220" s="893" t="str">
        <f t="shared" si="2"/>
        <v>Expiré</v>
      </c>
    </row>
    <row r="3221" spans="1:5" x14ac:dyDescent="0.3">
      <c r="A3221" s="888" t="str">
        <f>IF(LEN('Translation-EN'!A3221)&gt;0,'Translation-EN'!A3221,"")</f>
        <v>Formula</v>
      </c>
      <c r="B3221" s="888" t="str">
        <f>IF(LEN('Translation-EN'!B3221)&gt;0,'Translation-EN'!B3221,"")</f>
        <v>_Master sheet</v>
      </c>
      <c r="C3221" s="888" t="str">
        <f>IF(LEN('Translation-EN'!C3221)&gt;0,'Translation-EN'!C3221,"")</f>
        <v>AR47</v>
      </c>
      <c r="D3221" s="888">
        <f>IF(LEN('Translation-EN'!D3221)&gt;0,'Translation-EN'!D3221,"")</f>
        <v>1</v>
      </c>
      <c r="E3221" s="893" t="str">
        <f t="shared" si="2"/>
        <v>Expiré</v>
      </c>
    </row>
    <row r="3222" spans="1:5" x14ac:dyDescent="0.3">
      <c r="A3222" s="888" t="str">
        <f>IF(LEN('Translation-EN'!A3222)&gt;0,'Translation-EN'!A3222,"")</f>
        <v>Formula</v>
      </c>
      <c r="B3222" s="888" t="str">
        <f>IF(LEN('Translation-EN'!B3222)&gt;0,'Translation-EN'!B3222,"")</f>
        <v>_Master sheet</v>
      </c>
      <c r="C3222" s="888" t="str">
        <f>IF(LEN('Translation-EN'!C3222)&gt;0,'Translation-EN'!C3222,"")</f>
        <v>AR48</v>
      </c>
      <c r="D3222" s="888">
        <f>IF(LEN('Translation-EN'!D3222)&gt;0,'Translation-EN'!D3222,"")</f>
        <v>1</v>
      </c>
      <c r="E3222" s="893" t="str">
        <f t="shared" si="2"/>
        <v>Expiré</v>
      </c>
    </row>
    <row r="3223" spans="1:5" x14ac:dyDescent="0.3">
      <c r="A3223" s="888" t="str">
        <f>IF(LEN('Translation-EN'!A3223)&gt;0,'Translation-EN'!A3223,"")</f>
        <v>Formula</v>
      </c>
      <c r="B3223" s="888" t="str">
        <f>IF(LEN('Translation-EN'!B3223)&gt;0,'Translation-EN'!B3223,"")</f>
        <v>_Master sheet</v>
      </c>
      <c r="C3223" s="888" t="str">
        <f>IF(LEN('Translation-EN'!C3223)&gt;0,'Translation-EN'!C3223,"")</f>
        <v>AR49</v>
      </c>
      <c r="D3223" s="888">
        <f>IF(LEN('Translation-EN'!D3223)&gt;0,'Translation-EN'!D3223,"")</f>
        <v>1</v>
      </c>
      <c r="E3223" s="893" t="str">
        <f t="shared" si="2"/>
        <v>Expiré</v>
      </c>
    </row>
    <row r="3224" spans="1:5" x14ac:dyDescent="0.3">
      <c r="A3224" s="888" t="str">
        <f>IF(LEN('Translation-EN'!A3224)&gt;0,'Translation-EN'!A3224,"")</f>
        <v>Formula</v>
      </c>
      <c r="B3224" s="888" t="str">
        <f>IF(LEN('Translation-EN'!B3224)&gt;0,'Translation-EN'!B3224,"")</f>
        <v>_Master sheet</v>
      </c>
      <c r="C3224" s="888" t="str">
        <f>IF(LEN('Translation-EN'!C3224)&gt;0,'Translation-EN'!C3224,"")</f>
        <v>AR50</v>
      </c>
      <c r="D3224" s="888">
        <f>IF(LEN('Translation-EN'!D3224)&gt;0,'Translation-EN'!D3224,"")</f>
        <v>1</v>
      </c>
      <c r="E3224" s="893" t="str">
        <f t="shared" si="2"/>
        <v>Expiré</v>
      </c>
    </row>
    <row r="3225" spans="1:5" x14ac:dyDescent="0.3">
      <c r="A3225" s="888" t="str">
        <f>IF(LEN('Translation-EN'!A3225)&gt;0,'Translation-EN'!A3225,"")</f>
        <v>Formula</v>
      </c>
      <c r="B3225" s="888" t="str">
        <f>IF(LEN('Translation-EN'!B3225)&gt;0,'Translation-EN'!B3225,"")</f>
        <v>_Master sheet</v>
      </c>
      <c r="C3225" s="888" t="str">
        <f>IF(LEN('Translation-EN'!C3225)&gt;0,'Translation-EN'!C3225,"")</f>
        <v>AR53</v>
      </c>
      <c r="D3225" s="888">
        <f>IF(LEN('Translation-EN'!D3225)&gt;0,'Translation-EN'!D3225,"")</f>
        <v>1</v>
      </c>
      <c r="E3225" s="893" t="str">
        <f t="shared" si="2"/>
        <v>Expiré</v>
      </c>
    </row>
    <row r="3226" spans="1:5" x14ac:dyDescent="0.3">
      <c r="A3226" s="888" t="str">
        <f>IF(LEN('Translation-EN'!A3226)&gt;0,'Translation-EN'!A3226,"")</f>
        <v>Range</v>
      </c>
      <c r="B3226" s="888" t="str">
        <f>IF(LEN('Translation-EN'!B3226)&gt;0,'Translation-EN'!B3226,"")</f>
        <v>Master sheet</v>
      </c>
      <c r="C3226" s="888" t="str">
        <f>IF(LEN('Translation-EN'!C3226)&gt;0,'Translation-EN'!C3226,"")</f>
        <v>AR57</v>
      </c>
      <c r="D3226" s="888" t="str">
        <f>IF(LEN('Translation-EN'!D3226)&gt;0,'Translation-EN'!D3226,"")</f>
        <v/>
      </c>
      <c r="E3226" s="893" t="s">
        <v>6674</v>
      </c>
    </row>
    <row r="3227" spans="1:5" x14ac:dyDescent="0.3">
      <c r="A3227" s="888" t="str">
        <f>IF(LEN('Translation-EN'!A3227)&gt;0,'Translation-EN'!A3227,"")</f>
        <v>Formula</v>
      </c>
      <c r="B3227" s="888" t="str">
        <f>IF(LEN('Translation-EN'!B3227)&gt;0,'Translation-EN'!B3227,"")</f>
        <v>_Master sheet</v>
      </c>
      <c r="C3227" s="888" t="str">
        <f>IF(LEN('Translation-EN'!C3227)&gt;0,'Translation-EN'!C3227,"")</f>
        <v>AR58</v>
      </c>
      <c r="D3227" s="888">
        <f>IF(LEN('Translation-EN'!D3227)&gt;0,'Translation-EN'!D3227,"")</f>
        <v>1</v>
      </c>
      <c r="E3227" s="893" t="str">
        <f>$E$3202</f>
        <v>Expiré</v>
      </c>
    </row>
    <row r="3228" spans="1:5" x14ac:dyDescent="0.3">
      <c r="A3228" s="888" t="str">
        <f>IF(LEN('Translation-EN'!A3228)&gt;0,'Translation-EN'!A3228,"")</f>
        <v>Range</v>
      </c>
      <c r="B3228" s="888" t="str">
        <f>IF(LEN('Translation-EN'!B3228)&gt;0,'Translation-EN'!B3228,"")</f>
        <v>Master sheet</v>
      </c>
      <c r="C3228" s="888" t="str">
        <f>IF(LEN('Translation-EN'!C3228)&gt;0,'Translation-EN'!C3228,"")</f>
        <v>AR73</v>
      </c>
      <c r="D3228" s="888" t="str">
        <f>IF(LEN('Translation-EN'!D3228)&gt;0,'Translation-EN'!D3228,"")</f>
        <v/>
      </c>
      <c r="E3228" s="893" t="s">
        <v>6675</v>
      </c>
    </row>
    <row r="3229" spans="1:5" x14ac:dyDescent="0.3">
      <c r="A3229" s="888" t="str">
        <f>IF(LEN('Translation-EN'!A3229)&gt;0,'Translation-EN'!A3229,"")</f>
        <v>Range</v>
      </c>
      <c r="B3229" s="888" t="str">
        <f>IF(LEN('Translation-EN'!B3229)&gt;0,'Translation-EN'!B3229,"")</f>
        <v>Master sheet</v>
      </c>
      <c r="C3229" s="888" t="str">
        <f>IF(LEN('Translation-EN'!C3229)&gt;0,'Translation-EN'!C3229,"")</f>
        <v>AR74</v>
      </c>
      <c r="D3229" s="888" t="str">
        <f>IF(LEN('Translation-EN'!D3229)&gt;0,'Translation-EN'!D3229,"")</f>
        <v/>
      </c>
      <c r="E3229" s="893" t="str">
        <f>$E$3228</f>
        <v>ACV révisée par les pairs</v>
      </c>
    </row>
    <row r="3230" spans="1:5" x14ac:dyDescent="0.3">
      <c r="A3230" s="888" t="str">
        <f>IF(LEN('Translation-EN'!A3230)&gt;0,'Translation-EN'!A3230,"")</f>
        <v>Range</v>
      </c>
      <c r="B3230" s="888" t="str">
        <f>IF(LEN('Translation-EN'!B3230)&gt;0,'Translation-EN'!B3230,"")</f>
        <v>Master sheet</v>
      </c>
      <c r="C3230" s="888" t="str">
        <f>IF(LEN('Translation-EN'!C3230)&gt;0,'Translation-EN'!C3230,"")</f>
        <v>AR75</v>
      </c>
      <c r="D3230" s="888" t="str">
        <f>IF(LEN('Translation-EN'!D3230)&gt;0,'Translation-EN'!D3230,"")</f>
        <v/>
      </c>
      <c r="E3230" s="893" t="s">
        <v>6676</v>
      </c>
    </row>
    <row r="3231" spans="1:5" x14ac:dyDescent="0.3">
      <c r="A3231" s="888" t="str">
        <f>IF(LEN('Translation-EN'!A3231)&gt;0,'Translation-EN'!A3231,"")</f>
        <v>Range</v>
      </c>
      <c r="B3231" s="888" t="str">
        <f>IF(LEN('Translation-EN'!B3231)&gt;0,'Translation-EN'!B3231,"")</f>
        <v>Master sheet</v>
      </c>
      <c r="C3231" s="888" t="str">
        <f>IF(LEN('Translation-EN'!C3231)&gt;0,'Translation-EN'!C3231,"")</f>
        <v>AR76</v>
      </c>
      <c r="D3231" s="888" t="str">
        <f>IF(LEN('Translation-EN'!D3231)&gt;0,'Translation-EN'!D3231,"")</f>
        <v/>
      </c>
      <c r="E3231" s="893" t="s">
        <v>6677</v>
      </c>
    </row>
    <row r="3232" spans="1:5" x14ac:dyDescent="0.3">
      <c r="A3232" s="888" t="str">
        <f>IF(LEN('Translation-EN'!A3232)&gt;0,'Translation-EN'!A3232,"")</f>
        <v>Range</v>
      </c>
      <c r="B3232" s="888" t="str">
        <f>IF(LEN('Translation-EN'!B3232)&gt;0,'Translation-EN'!B3232,"")</f>
        <v>Master sheet</v>
      </c>
      <c r="C3232" s="888" t="str">
        <f>IF(LEN('Translation-EN'!C3232)&gt;0,'Translation-EN'!C3232,"")</f>
        <v>AR77</v>
      </c>
      <c r="D3232" s="888" t="str">
        <f>IF(LEN('Translation-EN'!D3232)&gt;0,'Translation-EN'!D3232,"")</f>
        <v/>
      </c>
      <c r="E3232" s="893" t="str">
        <f>$E$3231</f>
        <v>ACV révisée par les pairs, 2019</v>
      </c>
    </row>
    <row r="3233" spans="1:5" x14ac:dyDescent="0.3">
      <c r="A3233" s="888" t="str">
        <f>IF(LEN('Translation-EN'!A3233)&gt;0,'Translation-EN'!A3233,"")</f>
        <v>Range</v>
      </c>
      <c r="B3233" s="888" t="str">
        <f>IF(LEN('Translation-EN'!B3233)&gt;0,'Translation-EN'!B3233,"")</f>
        <v>Master sheet</v>
      </c>
      <c r="C3233" s="888" t="str">
        <f>IF(LEN('Translation-EN'!C3233)&gt;0,'Translation-EN'!C3233,"")</f>
        <v>AR78</v>
      </c>
      <c r="D3233" s="888" t="str">
        <f>IF(LEN('Translation-EN'!D3233)&gt;0,'Translation-EN'!D3233,"")</f>
        <v/>
      </c>
      <c r="E3233" s="893" t="str">
        <f>$E$3231</f>
        <v>ACV révisée par les pairs, 2019</v>
      </c>
    </row>
    <row r="3234" spans="1:5" x14ac:dyDescent="0.3">
      <c r="A3234" s="888" t="str">
        <f>IF(LEN('Translation-EN'!A3234)&gt;0,'Translation-EN'!A3234,"")</f>
        <v>Formula</v>
      </c>
      <c r="B3234" s="888" t="str">
        <f>IF(LEN('Translation-EN'!B3234)&gt;0,'Translation-EN'!B3234,"")</f>
        <v>_Master sheet</v>
      </c>
      <c r="C3234" s="888" t="str">
        <f>IF(LEN('Translation-EN'!C3234)&gt;0,'Translation-EN'!C3234,"")</f>
        <v>AR79</v>
      </c>
      <c r="D3234" s="888">
        <f>IF(LEN('Translation-EN'!D3234)&gt;0,'Translation-EN'!D3234,"")</f>
        <v>1</v>
      </c>
      <c r="E3234" s="893" t="str">
        <f t="shared" ref="E3234:E3272" si="3">$E$3202</f>
        <v>Expiré</v>
      </c>
    </row>
    <row r="3235" spans="1:5" x14ac:dyDescent="0.3">
      <c r="A3235" s="888" t="str">
        <f>IF(LEN('Translation-EN'!A3235)&gt;0,'Translation-EN'!A3235,"")</f>
        <v>Formula</v>
      </c>
      <c r="B3235" s="888" t="str">
        <f>IF(LEN('Translation-EN'!B3235)&gt;0,'Translation-EN'!B3235,"")</f>
        <v>_Master sheet</v>
      </c>
      <c r="C3235" s="888" t="str">
        <f>IF(LEN('Translation-EN'!C3235)&gt;0,'Translation-EN'!C3235,"")</f>
        <v>AR80</v>
      </c>
      <c r="D3235" s="888">
        <f>IF(LEN('Translation-EN'!D3235)&gt;0,'Translation-EN'!D3235,"")</f>
        <v>1</v>
      </c>
      <c r="E3235" s="893" t="str">
        <f t="shared" si="3"/>
        <v>Expiré</v>
      </c>
    </row>
    <row r="3236" spans="1:5" x14ac:dyDescent="0.3">
      <c r="A3236" s="888" t="str">
        <f>IF(LEN('Translation-EN'!A3236)&gt;0,'Translation-EN'!A3236,"")</f>
        <v>Formula</v>
      </c>
      <c r="B3236" s="888" t="str">
        <f>IF(LEN('Translation-EN'!B3236)&gt;0,'Translation-EN'!B3236,"")</f>
        <v>_Master sheet</v>
      </c>
      <c r="C3236" s="888" t="str">
        <f>IF(LEN('Translation-EN'!C3236)&gt;0,'Translation-EN'!C3236,"")</f>
        <v>AR81</v>
      </c>
      <c r="D3236" s="888">
        <f>IF(LEN('Translation-EN'!D3236)&gt;0,'Translation-EN'!D3236,"")</f>
        <v>1</v>
      </c>
      <c r="E3236" s="893" t="str">
        <f t="shared" si="3"/>
        <v>Expiré</v>
      </c>
    </row>
    <row r="3237" spans="1:5" x14ac:dyDescent="0.3">
      <c r="A3237" s="888" t="str">
        <f>IF(LEN('Translation-EN'!A3237)&gt;0,'Translation-EN'!A3237,"")</f>
        <v>Formula</v>
      </c>
      <c r="B3237" s="888" t="str">
        <f>IF(LEN('Translation-EN'!B3237)&gt;0,'Translation-EN'!B3237,"")</f>
        <v>_Master sheet</v>
      </c>
      <c r="C3237" s="888" t="str">
        <f>IF(LEN('Translation-EN'!C3237)&gt;0,'Translation-EN'!C3237,"")</f>
        <v>AR82</v>
      </c>
      <c r="D3237" s="888">
        <f>IF(LEN('Translation-EN'!D3237)&gt;0,'Translation-EN'!D3237,"")</f>
        <v>1</v>
      </c>
      <c r="E3237" s="893" t="str">
        <f t="shared" si="3"/>
        <v>Expiré</v>
      </c>
    </row>
    <row r="3238" spans="1:5" x14ac:dyDescent="0.3">
      <c r="A3238" s="888" t="str">
        <f>IF(LEN('Translation-EN'!A3238)&gt;0,'Translation-EN'!A3238,"")</f>
        <v>Formula</v>
      </c>
      <c r="B3238" s="888" t="str">
        <f>IF(LEN('Translation-EN'!B3238)&gt;0,'Translation-EN'!B3238,"")</f>
        <v>_Master sheet</v>
      </c>
      <c r="C3238" s="888" t="str">
        <f>IF(LEN('Translation-EN'!C3238)&gt;0,'Translation-EN'!C3238,"")</f>
        <v>AR83</v>
      </c>
      <c r="D3238" s="888">
        <f>IF(LEN('Translation-EN'!D3238)&gt;0,'Translation-EN'!D3238,"")</f>
        <v>1</v>
      </c>
      <c r="E3238" s="893" t="str">
        <f t="shared" si="3"/>
        <v>Expiré</v>
      </c>
    </row>
    <row r="3239" spans="1:5" x14ac:dyDescent="0.3">
      <c r="A3239" s="888" t="str">
        <f>IF(LEN('Translation-EN'!A3239)&gt;0,'Translation-EN'!A3239,"")</f>
        <v>Formula</v>
      </c>
      <c r="B3239" s="888" t="str">
        <f>IF(LEN('Translation-EN'!B3239)&gt;0,'Translation-EN'!B3239,"")</f>
        <v>_Master sheet</v>
      </c>
      <c r="C3239" s="888" t="str">
        <f>IF(LEN('Translation-EN'!C3239)&gt;0,'Translation-EN'!C3239,"")</f>
        <v>AR84</v>
      </c>
      <c r="D3239" s="888">
        <f>IF(LEN('Translation-EN'!D3239)&gt;0,'Translation-EN'!D3239,"")</f>
        <v>1</v>
      </c>
      <c r="E3239" s="893" t="str">
        <f t="shared" si="3"/>
        <v>Expiré</v>
      </c>
    </row>
    <row r="3240" spans="1:5" x14ac:dyDescent="0.3">
      <c r="A3240" s="888" t="str">
        <f>IF(LEN('Translation-EN'!A3240)&gt;0,'Translation-EN'!A3240,"")</f>
        <v>Formula</v>
      </c>
      <c r="B3240" s="888" t="str">
        <f>IF(LEN('Translation-EN'!B3240)&gt;0,'Translation-EN'!B3240,"")</f>
        <v>_Master sheet</v>
      </c>
      <c r="C3240" s="888" t="str">
        <f>IF(LEN('Translation-EN'!C3240)&gt;0,'Translation-EN'!C3240,"")</f>
        <v>AR85</v>
      </c>
      <c r="D3240" s="888">
        <f>IF(LEN('Translation-EN'!D3240)&gt;0,'Translation-EN'!D3240,"")</f>
        <v>1</v>
      </c>
      <c r="E3240" s="893" t="str">
        <f t="shared" si="3"/>
        <v>Expiré</v>
      </c>
    </row>
    <row r="3241" spans="1:5" x14ac:dyDescent="0.3">
      <c r="A3241" s="888" t="str">
        <f>IF(LEN('Translation-EN'!A3241)&gt;0,'Translation-EN'!A3241,"")</f>
        <v>Formula</v>
      </c>
      <c r="B3241" s="888" t="str">
        <f>IF(LEN('Translation-EN'!B3241)&gt;0,'Translation-EN'!B3241,"")</f>
        <v>_Master sheet</v>
      </c>
      <c r="C3241" s="888" t="str">
        <f>IF(LEN('Translation-EN'!C3241)&gt;0,'Translation-EN'!C3241,"")</f>
        <v>AR86</v>
      </c>
      <c r="D3241" s="888">
        <f>IF(LEN('Translation-EN'!D3241)&gt;0,'Translation-EN'!D3241,"")</f>
        <v>1</v>
      </c>
      <c r="E3241" s="893" t="str">
        <f t="shared" si="3"/>
        <v>Expiré</v>
      </c>
    </row>
    <row r="3242" spans="1:5" x14ac:dyDescent="0.3">
      <c r="A3242" s="888" t="str">
        <f>IF(LEN('Translation-EN'!A3242)&gt;0,'Translation-EN'!A3242,"")</f>
        <v>Formula</v>
      </c>
      <c r="B3242" s="888" t="str">
        <f>IF(LEN('Translation-EN'!B3242)&gt;0,'Translation-EN'!B3242,"")</f>
        <v>_Master sheet</v>
      </c>
      <c r="C3242" s="888" t="str">
        <f>IF(LEN('Translation-EN'!C3242)&gt;0,'Translation-EN'!C3242,"")</f>
        <v>AR87</v>
      </c>
      <c r="D3242" s="888">
        <f>IF(LEN('Translation-EN'!D3242)&gt;0,'Translation-EN'!D3242,"")</f>
        <v>1</v>
      </c>
      <c r="E3242" s="893" t="str">
        <f t="shared" si="3"/>
        <v>Expiré</v>
      </c>
    </row>
    <row r="3243" spans="1:5" x14ac:dyDescent="0.3">
      <c r="A3243" s="888" t="str">
        <f>IF(LEN('Translation-EN'!A3243)&gt;0,'Translation-EN'!A3243,"")</f>
        <v>Formula</v>
      </c>
      <c r="B3243" s="888" t="str">
        <f>IF(LEN('Translation-EN'!B3243)&gt;0,'Translation-EN'!B3243,"")</f>
        <v>_Master sheet</v>
      </c>
      <c r="C3243" s="888" t="str">
        <f>IF(LEN('Translation-EN'!C3243)&gt;0,'Translation-EN'!C3243,"")</f>
        <v>AR88</v>
      </c>
      <c r="D3243" s="888">
        <f>IF(LEN('Translation-EN'!D3243)&gt;0,'Translation-EN'!D3243,"")</f>
        <v>1</v>
      </c>
      <c r="E3243" s="893" t="str">
        <f t="shared" si="3"/>
        <v>Expiré</v>
      </c>
    </row>
    <row r="3244" spans="1:5" x14ac:dyDescent="0.3">
      <c r="A3244" s="888" t="str">
        <f>IF(LEN('Translation-EN'!A3244)&gt;0,'Translation-EN'!A3244,"")</f>
        <v>Formula</v>
      </c>
      <c r="B3244" s="888" t="str">
        <f>IF(LEN('Translation-EN'!B3244)&gt;0,'Translation-EN'!B3244,"")</f>
        <v>_Master sheet</v>
      </c>
      <c r="C3244" s="888" t="str">
        <f>IF(LEN('Translation-EN'!C3244)&gt;0,'Translation-EN'!C3244,"")</f>
        <v>AR89</v>
      </c>
      <c r="D3244" s="888">
        <f>IF(LEN('Translation-EN'!D3244)&gt;0,'Translation-EN'!D3244,"")</f>
        <v>1</v>
      </c>
      <c r="E3244" s="893" t="str">
        <f t="shared" si="3"/>
        <v>Expiré</v>
      </c>
    </row>
    <row r="3245" spans="1:5" x14ac:dyDescent="0.3">
      <c r="A3245" s="888" t="str">
        <f>IF(LEN('Translation-EN'!A3245)&gt;0,'Translation-EN'!A3245,"")</f>
        <v>Formula</v>
      </c>
      <c r="B3245" s="888" t="str">
        <f>IF(LEN('Translation-EN'!B3245)&gt;0,'Translation-EN'!B3245,"")</f>
        <v>_Master sheet</v>
      </c>
      <c r="C3245" s="888" t="str">
        <f>IF(LEN('Translation-EN'!C3245)&gt;0,'Translation-EN'!C3245,"")</f>
        <v>AR90</v>
      </c>
      <c r="D3245" s="888">
        <f>IF(LEN('Translation-EN'!D3245)&gt;0,'Translation-EN'!D3245,"")</f>
        <v>1</v>
      </c>
      <c r="E3245" s="893" t="str">
        <f t="shared" si="3"/>
        <v>Expiré</v>
      </c>
    </row>
    <row r="3246" spans="1:5" x14ac:dyDescent="0.3">
      <c r="A3246" s="888" t="str">
        <f>IF(LEN('Translation-EN'!A3246)&gt;0,'Translation-EN'!A3246,"")</f>
        <v>Formula</v>
      </c>
      <c r="B3246" s="888" t="str">
        <f>IF(LEN('Translation-EN'!B3246)&gt;0,'Translation-EN'!B3246,"")</f>
        <v>_Master sheet</v>
      </c>
      <c r="C3246" s="888" t="str">
        <f>IF(LEN('Translation-EN'!C3246)&gt;0,'Translation-EN'!C3246,"")</f>
        <v>AR91</v>
      </c>
      <c r="D3246" s="888">
        <f>IF(LEN('Translation-EN'!D3246)&gt;0,'Translation-EN'!D3246,"")</f>
        <v>1</v>
      </c>
      <c r="E3246" s="893" t="str">
        <f t="shared" si="3"/>
        <v>Expiré</v>
      </c>
    </row>
    <row r="3247" spans="1:5" x14ac:dyDescent="0.3">
      <c r="A3247" s="888" t="str">
        <f>IF(LEN('Translation-EN'!A3247)&gt;0,'Translation-EN'!A3247,"")</f>
        <v>Formula</v>
      </c>
      <c r="B3247" s="888" t="str">
        <f>IF(LEN('Translation-EN'!B3247)&gt;0,'Translation-EN'!B3247,"")</f>
        <v>_Master sheet</v>
      </c>
      <c r="C3247" s="888" t="str">
        <f>IF(LEN('Translation-EN'!C3247)&gt;0,'Translation-EN'!C3247,"")</f>
        <v>AR92</v>
      </c>
      <c r="D3247" s="888">
        <f>IF(LEN('Translation-EN'!D3247)&gt;0,'Translation-EN'!D3247,"")</f>
        <v>1</v>
      </c>
      <c r="E3247" s="893" t="str">
        <f t="shared" si="3"/>
        <v>Expiré</v>
      </c>
    </row>
    <row r="3248" spans="1:5" x14ac:dyDescent="0.3">
      <c r="A3248" s="888" t="str">
        <f>IF(LEN('Translation-EN'!A3248)&gt;0,'Translation-EN'!A3248,"")</f>
        <v>Formula</v>
      </c>
      <c r="B3248" s="888" t="str">
        <f>IF(LEN('Translation-EN'!B3248)&gt;0,'Translation-EN'!B3248,"")</f>
        <v>_Master sheet</v>
      </c>
      <c r="C3248" s="888" t="str">
        <f>IF(LEN('Translation-EN'!C3248)&gt;0,'Translation-EN'!C3248,"")</f>
        <v>AR93</v>
      </c>
      <c r="D3248" s="888">
        <f>IF(LEN('Translation-EN'!D3248)&gt;0,'Translation-EN'!D3248,"")</f>
        <v>1</v>
      </c>
      <c r="E3248" s="893" t="str">
        <f t="shared" si="3"/>
        <v>Expiré</v>
      </c>
    </row>
    <row r="3249" spans="1:5" x14ac:dyDescent="0.3">
      <c r="A3249" s="888" t="str">
        <f>IF(LEN('Translation-EN'!A3249)&gt;0,'Translation-EN'!A3249,"")</f>
        <v>Formula</v>
      </c>
      <c r="B3249" s="888" t="str">
        <f>IF(LEN('Translation-EN'!B3249)&gt;0,'Translation-EN'!B3249,"")</f>
        <v>_Master sheet</v>
      </c>
      <c r="C3249" s="888" t="str">
        <f>IF(LEN('Translation-EN'!C3249)&gt;0,'Translation-EN'!C3249,"")</f>
        <v>AR94</v>
      </c>
      <c r="D3249" s="888">
        <f>IF(LEN('Translation-EN'!D3249)&gt;0,'Translation-EN'!D3249,"")</f>
        <v>1</v>
      </c>
      <c r="E3249" s="893" t="str">
        <f t="shared" si="3"/>
        <v>Expiré</v>
      </c>
    </row>
    <row r="3250" spans="1:5" x14ac:dyDescent="0.3">
      <c r="A3250" s="888" t="str">
        <f>IF(LEN('Translation-EN'!A3250)&gt;0,'Translation-EN'!A3250,"")</f>
        <v>Formula</v>
      </c>
      <c r="B3250" s="888" t="str">
        <f>IF(LEN('Translation-EN'!B3250)&gt;0,'Translation-EN'!B3250,"")</f>
        <v>_Master sheet</v>
      </c>
      <c r="C3250" s="888" t="str">
        <f>IF(LEN('Translation-EN'!C3250)&gt;0,'Translation-EN'!C3250,"")</f>
        <v>AR95</v>
      </c>
      <c r="D3250" s="888">
        <f>IF(LEN('Translation-EN'!D3250)&gt;0,'Translation-EN'!D3250,"")</f>
        <v>1</v>
      </c>
      <c r="E3250" s="893" t="str">
        <f t="shared" si="3"/>
        <v>Expiré</v>
      </c>
    </row>
    <row r="3251" spans="1:5" x14ac:dyDescent="0.3">
      <c r="A3251" s="888" t="str">
        <f>IF(LEN('Translation-EN'!A3251)&gt;0,'Translation-EN'!A3251,"")</f>
        <v>Formula</v>
      </c>
      <c r="B3251" s="888" t="str">
        <f>IF(LEN('Translation-EN'!B3251)&gt;0,'Translation-EN'!B3251,"")</f>
        <v>_Master sheet</v>
      </c>
      <c r="C3251" s="888" t="str">
        <f>IF(LEN('Translation-EN'!C3251)&gt;0,'Translation-EN'!C3251,"")</f>
        <v>AR96</v>
      </c>
      <c r="D3251" s="888">
        <f>IF(LEN('Translation-EN'!D3251)&gt;0,'Translation-EN'!D3251,"")</f>
        <v>1</v>
      </c>
      <c r="E3251" s="893" t="str">
        <f t="shared" si="3"/>
        <v>Expiré</v>
      </c>
    </row>
    <row r="3252" spans="1:5" x14ac:dyDescent="0.3">
      <c r="A3252" s="888" t="str">
        <f>IF(LEN('Translation-EN'!A3252)&gt;0,'Translation-EN'!A3252,"")</f>
        <v>Formula</v>
      </c>
      <c r="B3252" s="888" t="str">
        <f>IF(LEN('Translation-EN'!B3252)&gt;0,'Translation-EN'!B3252,"")</f>
        <v>_Master sheet</v>
      </c>
      <c r="C3252" s="888" t="str">
        <f>IF(LEN('Translation-EN'!C3252)&gt;0,'Translation-EN'!C3252,"")</f>
        <v>AR97</v>
      </c>
      <c r="D3252" s="888">
        <f>IF(LEN('Translation-EN'!D3252)&gt;0,'Translation-EN'!D3252,"")</f>
        <v>1</v>
      </c>
      <c r="E3252" s="893" t="str">
        <f t="shared" si="3"/>
        <v>Expiré</v>
      </c>
    </row>
    <row r="3253" spans="1:5" x14ac:dyDescent="0.3">
      <c r="A3253" s="888" t="str">
        <f>IF(LEN('Translation-EN'!A3253)&gt;0,'Translation-EN'!A3253,"")</f>
        <v>Formula</v>
      </c>
      <c r="B3253" s="888" t="str">
        <f>IF(LEN('Translation-EN'!B3253)&gt;0,'Translation-EN'!B3253,"")</f>
        <v>_Master sheet</v>
      </c>
      <c r="C3253" s="888" t="str">
        <f>IF(LEN('Translation-EN'!C3253)&gt;0,'Translation-EN'!C3253,"")</f>
        <v>AR98</v>
      </c>
      <c r="D3253" s="888">
        <f>IF(LEN('Translation-EN'!D3253)&gt;0,'Translation-EN'!D3253,"")</f>
        <v>1</v>
      </c>
      <c r="E3253" s="893" t="str">
        <f t="shared" si="3"/>
        <v>Expiré</v>
      </c>
    </row>
    <row r="3254" spans="1:5" x14ac:dyDescent="0.3">
      <c r="A3254" s="888" t="str">
        <f>IF(LEN('Translation-EN'!A3254)&gt;0,'Translation-EN'!A3254,"")</f>
        <v>Formula</v>
      </c>
      <c r="B3254" s="888" t="str">
        <f>IF(LEN('Translation-EN'!B3254)&gt;0,'Translation-EN'!B3254,"")</f>
        <v>_Master sheet</v>
      </c>
      <c r="C3254" s="888" t="str">
        <f>IF(LEN('Translation-EN'!C3254)&gt;0,'Translation-EN'!C3254,"")</f>
        <v>AR99</v>
      </c>
      <c r="D3254" s="888">
        <f>IF(LEN('Translation-EN'!D3254)&gt;0,'Translation-EN'!D3254,"")</f>
        <v>1</v>
      </c>
      <c r="E3254" s="893" t="str">
        <f t="shared" si="3"/>
        <v>Expiré</v>
      </c>
    </row>
    <row r="3255" spans="1:5" x14ac:dyDescent="0.3">
      <c r="A3255" s="888" t="str">
        <f>IF(LEN('Translation-EN'!A3255)&gt;0,'Translation-EN'!A3255,"")</f>
        <v>Formula</v>
      </c>
      <c r="B3255" s="888" t="str">
        <f>IF(LEN('Translation-EN'!B3255)&gt;0,'Translation-EN'!B3255,"")</f>
        <v>_Master sheet</v>
      </c>
      <c r="C3255" s="888" t="str">
        <f>IF(LEN('Translation-EN'!C3255)&gt;0,'Translation-EN'!C3255,"")</f>
        <v>AR100</v>
      </c>
      <c r="D3255" s="888">
        <f>IF(LEN('Translation-EN'!D3255)&gt;0,'Translation-EN'!D3255,"")</f>
        <v>1</v>
      </c>
      <c r="E3255" s="893" t="str">
        <f t="shared" si="3"/>
        <v>Expiré</v>
      </c>
    </row>
    <row r="3256" spans="1:5" x14ac:dyDescent="0.3">
      <c r="A3256" s="888" t="str">
        <f>IF(LEN('Translation-EN'!A3256)&gt;0,'Translation-EN'!A3256,"")</f>
        <v>Formula</v>
      </c>
      <c r="B3256" s="888" t="str">
        <f>IF(LEN('Translation-EN'!B3256)&gt;0,'Translation-EN'!B3256,"")</f>
        <v>_Master sheet</v>
      </c>
      <c r="C3256" s="888" t="str">
        <f>IF(LEN('Translation-EN'!C3256)&gt;0,'Translation-EN'!C3256,"")</f>
        <v>AR101</v>
      </c>
      <c r="D3256" s="888">
        <f>IF(LEN('Translation-EN'!D3256)&gt;0,'Translation-EN'!D3256,"")</f>
        <v>1</v>
      </c>
      <c r="E3256" s="893" t="str">
        <f t="shared" si="3"/>
        <v>Expiré</v>
      </c>
    </row>
    <row r="3257" spans="1:5" x14ac:dyDescent="0.3">
      <c r="A3257" s="888" t="str">
        <f>IF(LEN('Translation-EN'!A3257)&gt;0,'Translation-EN'!A3257,"")</f>
        <v>Formula</v>
      </c>
      <c r="B3257" s="888" t="str">
        <f>IF(LEN('Translation-EN'!B3257)&gt;0,'Translation-EN'!B3257,"")</f>
        <v>_Master sheet</v>
      </c>
      <c r="C3257" s="888" t="str">
        <f>IF(LEN('Translation-EN'!C3257)&gt;0,'Translation-EN'!C3257,"")</f>
        <v>AR102</v>
      </c>
      <c r="D3257" s="888">
        <f>IF(LEN('Translation-EN'!D3257)&gt;0,'Translation-EN'!D3257,"")</f>
        <v>1</v>
      </c>
      <c r="E3257" s="893" t="str">
        <f t="shared" si="3"/>
        <v>Expiré</v>
      </c>
    </row>
    <row r="3258" spans="1:5" x14ac:dyDescent="0.3">
      <c r="A3258" s="888" t="str">
        <f>IF(LEN('Translation-EN'!A3258)&gt;0,'Translation-EN'!A3258,"")</f>
        <v>Formula</v>
      </c>
      <c r="B3258" s="888" t="str">
        <f>IF(LEN('Translation-EN'!B3258)&gt;0,'Translation-EN'!B3258,"")</f>
        <v>_Master sheet</v>
      </c>
      <c r="C3258" s="888" t="str">
        <f>IF(LEN('Translation-EN'!C3258)&gt;0,'Translation-EN'!C3258,"")</f>
        <v>AR106</v>
      </c>
      <c r="D3258" s="888">
        <f>IF(LEN('Translation-EN'!D3258)&gt;0,'Translation-EN'!D3258,"")</f>
        <v>1</v>
      </c>
      <c r="E3258" s="893" t="str">
        <f t="shared" si="3"/>
        <v>Expiré</v>
      </c>
    </row>
    <row r="3259" spans="1:5" x14ac:dyDescent="0.3">
      <c r="A3259" s="888" t="str">
        <f>IF(LEN('Translation-EN'!A3259)&gt;0,'Translation-EN'!A3259,"")</f>
        <v>Formula</v>
      </c>
      <c r="B3259" s="888" t="str">
        <f>IF(LEN('Translation-EN'!B3259)&gt;0,'Translation-EN'!B3259,"")</f>
        <v>_Master sheet</v>
      </c>
      <c r="C3259" s="888" t="str">
        <f>IF(LEN('Translation-EN'!C3259)&gt;0,'Translation-EN'!C3259,"")</f>
        <v>AR113</v>
      </c>
      <c r="D3259" s="888">
        <f>IF(LEN('Translation-EN'!D3259)&gt;0,'Translation-EN'!D3259,"")</f>
        <v>1</v>
      </c>
      <c r="E3259" s="893" t="str">
        <f t="shared" si="3"/>
        <v>Expiré</v>
      </c>
    </row>
    <row r="3260" spans="1:5" x14ac:dyDescent="0.3">
      <c r="A3260" s="888" t="str">
        <f>IF(LEN('Translation-EN'!A3260)&gt;0,'Translation-EN'!A3260,"")</f>
        <v>Formula</v>
      </c>
      <c r="B3260" s="888" t="str">
        <f>IF(LEN('Translation-EN'!B3260)&gt;0,'Translation-EN'!B3260,"")</f>
        <v>_Master sheet</v>
      </c>
      <c r="C3260" s="888" t="str">
        <f>IF(LEN('Translation-EN'!C3260)&gt;0,'Translation-EN'!C3260,"")</f>
        <v>AR114</v>
      </c>
      <c r="D3260" s="888">
        <f>IF(LEN('Translation-EN'!D3260)&gt;0,'Translation-EN'!D3260,"")</f>
        <v>1</v>
      </c>
      <c r="E3260" s="893" t="str">
        <f t="shared" si="3"/>
        <v>Expiré</v>
      </c>
    </row>
    <row r="3261" spans="1:5" x14ac:dyDescent="0.3">
      <c r="A3261" s="888" t="str">
        <f>IF(LEN('Translation-EN'!A3261)&gt;0,'Translation-EN'!A3261,"")</f>
        <v>Formula</v>
      </c>
      <c r="B3261" s="888" t="str">
        <f>IF(LEN('Translation-EN'!B3261)&gt;0,'Translation-EN'!B3261,"")</f>
        <v>_Master sheet</v>
      </c>
      <c r="C3261" s="888" t="str">
        <f>IF(LEN('Translation-EN'!C3261)&gt;0,'Translation-EN'!C3261,"")</f>
        <v>AR118</v>
      </c>
      <c r="D3261" s="888">
        <f>IF(LEN('Translation-EN'!D3261)&gt;0,'Translation-EN'!D3261,"")</f>
        <v>1</v>
      </c>
      <c r="E3261" s="893" t="str">
        <f t="shared" si="3"/>
        <v>Expiré</v>
      </c>
    </row>
    <row r="3262" spans="1:5" x14ac:dyDescent="0.3">
      <c r="A3262" s="888" t="str">
        <f>IF(LEN('Translation-EN'!A3262)&gt;0,'Translation-EN'!A3262,"")</f>
        <v>Formula</v>
      </c>
      <c r="B3262" s="888" t="str">
        <f>IF(LEN('Translation-EN'!B3262)&gt;0,'Translation-EN'!B3262,"")</f>
        <v>_Master sheet</v>
      </c>
      <c r="C3262" s="888" t="str">
        <f>IF(LEN('Translation-EN'!C3262)&gt;0,'Translation-EN'!C3262,"")</f>
        <v>AR119</v>
      </c>
      <c r="D3262" s="888">
        <f>IF(LEN('Translation-EN'!D3262)&gt;0,'Translation-EN'!D3262,"")</f>
        <v>1</v>
      </c>
      <c r="E3262" s="893" t="str">
        <f t="shared" si="3"/>
        <v>Expiré</v>
      </c>
    </row>
    <row r="3263" spans="1:5" x14ac:dyDescent="0.3">
      <c r="A3263" s="888" t="str">
        <f>IF(LEN('Translation-EN'!A3263)&gt;0,'Translation-EN'!A3263,"")</f>
        <v>Formula</v>
      </c>
      <c r="B3263" s="888" t="str">
        <f>IF(LEN('Translation-EN'!B3263)&gt;0,'Translation-EN'!B3263,"")</f>
        <v>_Master sheet</v>
      </c>
      <c r="C3263" s="888" t="str">
        <f>IF(LEN('Translation-EN'!C3263)&gt;0,'Translation-EN'!C3263,"")</f>
        <v>AR122</v>
      </c>
      <c r="D3263" s="888">
        <f>IF(LEN('Translation-EN'!D3263)&gt;0,'Translation-EN'!D3263,"")</f>
        <v>1</v>
      </c>
      <c r="E3263" s="893" t="str">
        <f t="shared" si="3"/>
        <v>Expiré</v>
      </c>
    </row>
    <row r="3264" spans="1:5" x14ac:dyDescent="0.3">
      <c r="A3264" s="888" t="str">
        <f>IF(LEN('Translation-EN'!A3264)&gt;0,'Translation-EN'!A3264,"")</f>
        <v>Formula</v>
      </c>
      <c r="B3264" s="888" t="str">
        <f>IF(LEN('Translation-EN'!B3264)&gt;0,'Translation-EN'!B3264,"")</f>
        <v>_Master sheet</v>
      </c>
      <c r="C3264" s="888" t="str">
        <f>IF(LEN('Translation-EN'!C3264)&gt;0,'Translation-EN'!C3264,"")</f>
        <v>AR135</v>
      </c>
      <c r="D3264" s="888">
        <f>IF(LEN('Translation-EN'!D3264)&gt;0,'Translation-EN'!D3264,"")</f>
        <v>1</v>
      </c>
      <c r="E3264" s="893" t="str">
        <f t="shared" si="3"/>
        <v>Expiré</v>
      </c>
    </row>
    <row r="3265" spans="1:5" x14ac:dyDescent="0.3">
      <c r="A3265" s="888" t="str">
        <f>IF(LEN('Translation-EN'!A3265)&gt;0,'Translation-EN'!A3265,"")</f>
        <v>Formula</v>
      </c>
      <c r="B3265" s="888" t="str">
        <f>IF(LEN('Translation-EN'!B3265)&gt;0,'Translation-EN'!B3265,"")</f>
        <v>_Master sheet</v>
      </c>
      <c r="C3265" s="888" t="str">
        <f>IF(LEN('Translation-EN'!C3265)&gt;0,'Translation-EN'!C3265,"")</f>
        <v>AR136</v>
      </c>
      <c r="D3265" s="888">
        <f>IF(LEN('Translation-EN'!D3265)&gt;0,'Translation-EN'!D3265,"")</f>
        <v>1</v>
      </c>
      <c r="E3265" s="893" t="str">
        <f t="shared" si="3"/>
        <v>Expiré</v>
      </c>
    </row>
    <row r="3266" spans="1:5" x14ac:dyDescent="0.3">
      <c r="A3266" s="888" t="str">
        <f>IF(LEN('Translation-EN'!A3266)&gt;0,'Translation-EN'!A3266,"")</f>
        <v>Formula</v>
      </c>
      <c r="B3266" s="888" t="str">
        <f>IF(LEN('Translation-EN'!B3266)&gt;0,'Translation-EN'!B3266,"")</f>
        <v>_Master sheet</v>
      </c>
      <c r="C3266" s="888" t="str">
        <f>IF(LEN('Translation-EN'!C3266)&gt;0,'Translation-EN'!C3266,"")</f>
        <v>AR140</v>
      </c>
      <c r="D3266" s="888">
        <f>IF(LEN('Translation-EN'!D3266)&gt;0,'Translation-EN'!D3266,"")</f>
        <v>1</v>
      </c>
      <c r="E3266" s="893" t="str">
        <f t="shared" si="3"/>
        <v>Expiré</v>
      </c>
    </row>
    <row r="3267" spans="1:5" x14ac:dyDescent="0.3">
      <c r="A3267" s="888" t="str">
        <f>IF(LEN('Translation-EN'!A3267)&gt;0,'Translation-EN'!A3267,"")</f>
        <v>Formula</v>
      </c>
      <c r="B3267" s="888" t="str">
        <f>IF(LEN('Translation-EN'!B3267)&gt;0,'Translation-EN'!B3267,"")</f>
        <v>_Master sheet</v>
      </c>
      <c r="C3267" s="888" t="str">
        <f>IF(LEN('Translation-EN'!C3267)&gt;0,'Translation-EN'!C3267,"")</f>
        <v>AR146</v>
      </c>
      <c r="D3267" s="888">
        <f>IF(LEN('Translation-EN'!D3267)&gt;0,'Translation-EN'!D3267,"")</f>
        <v>1</v>
      </c>
      <c r="E3267" s="893" t="str">
        <f t="shared" si="3"/>
        <v>Expiré</v>
      </c>
    </row>
    <row r="3268" spans="1:5" x14ac:dyDescent="0.3">
      <c r="A3268" s="888" t="str">
        <f>IF(LEN('Translation-EN'!A3268)&gt;0,'Translation-EN'!A3268,"")</f>
        <v>Formula</v>
      </c>
      <c r="B3268" s="888" t="str">
        <f>IF(LEN('Translation-EN'!B3268)&gt;0,'Translation-EN'!B3268,"")</f>
        <v>_Master sheet</v>
      </c>
      <c r="C3268" s="888" t="str">
        <f>IF(LEN('Translation-EN'!C3268)&gt;0,'Translation-EN'!C3268,"")</f>
        <v>AR160</v>
      </c>
      <c r="D3268" s="888">
        <f>IF(LEN('Translation-EN'!D3268)&gt;0,'Translation-EN'!D3268,"")</f>
        <v>1</v>
      </c>
      <c r="E3268" s="893" t="str">
        <f t="shared" si="3"/>
        <v>Expiré</v>
      </c>
    </row>
    <row r="3269" spans="1:5" x14ac:dyDescent="0.3">
      <c r="A3269" s="888" t="str">
        <f>IF(LEN('Translation-EN'!A3269)&gt;0,'Translation-EN'!A3269,"")</f>
        <v>Formula</v>
      </c>
      <c r="B3269" s="888" t="str">
        <f>IF(LEN('Translation-EN'!B3269)&gt;0,'Translation-EN'!B3269,"")</f>
        <v>_Master sheet</v>
      </c>
      <c r="C3269" s="888" t="str">
        <f>IF(LEN('Translation-EN'!C3269)&gt;0,'Translation-EN'!C3269,"")</f>
        <v>AR161</v>
      </c>
      <c r="D3269" s="888">
        <f>IF(LEN('Translation-EN'!D3269)&gt;0,'Translation-EN'!D3269,"")</f>
        <v>1</v>
      </c>
      <c r="E3269" s="893" t="str">
        <f t="shared" si="3"/>
        <v>Expiré</v>
      </c>
    </row>
    <row r="3270" spans="1:5" x14ac:dyDescent="0.3">
      <c r="A3270" s="888" t="str">
        <f>IF(LEN('Translation-EN'!A3270)&gt;0,'Translation-EN'!A3270,"")</f>
        <v>Formula</v>
      </c>
      <c r="B3270" s="888" t="str">
        <f>IF(LEN('Translation-EN'!B3270)&gt;0,'Translation-EN'!B3270,"")</f>
        <v>_Master sheet</v>
      </c>
      <c r="C3270" s="888" t="str">
        <f>IF(LEN('Translation-EN'!C3270)&gt;0,'Translation-EN'!C3270,"")</f>
        <v>AR170</v>
      </c>
      <c r="D3270" s="888">
        <f>IF(LEN('Translation-EN'!D3270)&gt;0,'Translation-EN'!D3270,"")</f>
        <v>1</v>
      </c>
      <c r="E3270" s="893" t="str">
        <f t="shared" si="3"/>
        <v>Expiré</v>
      </c>
    </row>
    <row r="3271" spans="1:5" x14ac:dyDescent="0.3">
      <c r="A3271" s="888" t="str">
        <f>IF(LEN('Translation-EN'!A3271)&gt;0,'Translation-EN'!A3271,"")</f>
        <v>Formula</v>
      </c>
      <c r="B3271" s="888" t="str">
        <f>IF(LEN('Translation-EN'!B3271)&gt;0,'Translation-EN'!B3271,"")</f>
        <v>_Master sheet</v>
      </c>
      <c r="C3271" s="888" t="str">
        <f>IF(LEN('Translation-EN'!C3271)&gt;0,'Translation-EN'!C3271,"")</f>
        <v>AR172</v>
      </c>
      <c r="D3271" s="888">
        <f>IF(LEN('Translation-EN'!D3271)&gt;0,'Translation-EN'!D3271,"")</f>
        <v>1</v>
      </c>
      <c r="E3271" s="893" t="str">
        <f t="shared" si="3"/>
        <v>Expiré</v>
      </c>
    </row>
    <row r="3272" spans="1:5" x14ac:dyDescent="0.3">
      <c r="A3272" s="888" t="str">
        <f>IF(LEN('Translation-EN'!A3272)&gt;0,'Translation-EN'!A3272,"")</f>
        <v>Formula</v>
      </c>
      <c r="B3272" s="888" t="str">
        <f>IF(LEN('Translation-EN'!B3272)&gt;0,'Translation-EN'!B3272,"")</f>
        <v>_Master sheet</v>
      </c>
      <c r="C3272" s="888" t="str">
        <f>IF(LEN('Translation-EN'!C3272)&gt;0,'Translation-EN'!C3272,"")</f>
        <v>AR176</v>
      </c>
      <c r="D3272" s="888">
        <f>IF(LEN('Translation-EN'!D3272)&gt;0,'Translation-EN'!D3272,"")</f>
        <v>1</v>
      </c>
      <c r="E3272" s="893" t="str">
        <f t="shared" si="3"/>
        <v>Expiré</v>
      </c>
    </row>
    <row r="3273" spans="1:5" x14ac:dyDescent="0.3">
      <c r="A3273" s="888" t="str">
        <f>IF(LEN('Translation-EN'!A3273)&gt;0,'Translation-EN'!A3273,"")</f>
        <v>Range</v>
      </c>
      <c r="B3273" s="888" t="str">
        <f>IF(LEN('Translation-EN'!B3273)&gt;0,'Translation-EN'!B3273,"")</f>
        <v>Master sheet</v>
      </c>
      <c r="C3273" s="888" t="str">
        <f>IF(LEN('Translation-EN'!C3273)&gt;0,'Translation-EN'!C3273,"")</f>
        <v>AR187</v>
      </c>
      <c r="D3273" s="888" t="str">
        <f>IF(LEN('Translation-EN'!D3273)&gt;0,'Translation-EN'!D3273,"")</f>
        <v/>
      </c>
      <c r="E3273" s="893" t="s">
        <v>6678</v>
      </c>
    </row>
    <row r="3274" spans="1:5" x14ac:dyDescent="0.3">
      <c r="A3274" s="888" t="str">
        <f>IF(LEN('Translation-EN'!A3274)&gt;0,'Translation-EN'!A3274,"")</f>
        <v>Range</v>
      </c>
      <c r="B3274" s="888" t="str">
        <f>IF(LEN('Translation-EN'!B3274)&gt;0,'Translation-EN'!B3274,"")</f>
        <v>Master sheet</v>
      </c>
      <c r="C3274" s="888" t="str">
        <f>IF(LEN('Translation-EN'!C3274)&gt;0,'Translation-EN'!C3274,"")</f>
        <v>AR188</v>
      </c>
      <c r="D3274" s="888" t="str">
        <f>IF(LEN('Translation-EN'!D3274)&gt;0,'Translation-EN'!D3274,"")</f>
        <v/>
      </c>
      <c r="E3274" s="893" t="s">
        <v>6679</v>
      </c>
    </row>
    <row r="3275" spans="1:5" x14ac:dyDescent="0.3">
      <c r="A3275" s="888" t="str">
        <f>IF(LEN('Translation-EN'!A3275)&gt;0,'Translation-EN'!A3275,"")</f>
        <v>Formula</v>
      </c>
      <c r="B3275" s="888" t="str">
        <f>IF(LEN('Translation-EN'!B3275)&gt;0,'Translation-EN'!B3275,"")</f>
        <v>_Master sheet</v>
      </c>
      <c r="C3275" s="888" t="str">
        <f>IF(LEN('Translation-EN'!C3275)&gt;0,'Translation-EN'!C3275,"")</f>
        <v>AR191</v>
      </c>
      <c r="D3275" s="888">
        <f>IF(LEN('Translation-EN'!D3275)&gt;0,'Translation-EN'!D3275,"")</f>
        <v>1</v>
      </c>
      <c r="E3275" s="893" t="str">
        <f t="shared" ref="E3275:E3281" si="4">$E$3202</f>
        <v>Expiré</v>
      </c>
    </row>
    <row r="3276" spans="1:5" x14ac:dyDescent="0.3">
      <c r="A3276" s="888" t="str">
        <f>IF(LEN('Translation-EN'!A3276)&gt;0,'Translation-EN'!A3276,"")</f>
        <v>Formula</v>
      </c>
      <c r="B3276" s="888" t="str">
        <f>IF(LEN('Translation-EN'!B3276)&gt;0,'Translation-EN'!B3276,"")</f>
        <v>_Master sheet</v>
      </c>
      <c r="C3276" s="888" t="str">
        <f>IF(LEN('Translation-EN'!C3276)&gt;0,'Translation-EN'!C3276,"")</f>
        <v>AR192</v>
      </c>
      <c r="D3276" s="888">
        <f>IF(LEN('Translation-EN'!D3276)&gt;0,'Translation-EN'!D3276,"")</f>
        <v>1</v>
      </c>
      <c r="E3276" s="893" t="str">
        <f t="shared" si="4"/>
        <v>Expiré</v>
      </c>
    </row>
    <row r="3277" spans="1:5" x14ac:dyDescent="0.3">
      <c r="A3277" s="888" t="str">
        <f>IF(LEN('Translation-EN'!A3277)&gt;0,'Translation-EN'!A3277,"")</f>
        <v>Formula</v>
      </c>
      <c r="B3277" s="888" t="str">
        <f>IF(LEN('Translation-EN'!B3277)&gt;0,'Translation-EN'!B3277,"")</f>
        <v>_Master sheet</v>
      </c>
      <c r="C3277" s="888" t="str">
        <f>IF(LEN('Translation-EN'!C3277)&gt;0,'Translation-EN'!C3277,"")</f>
        <v>AR205</v>
      </c>
      <c r="D3277" s="888">
        <f>IF(LEN('Translation-EN'!D3277)&gt;0,'Translation-EN'!D3277,"")</f>
        <v>1</v>
      </c>
      <c r="E3277" s="893" t="str">
        <f t="shared" si="4"/>
        <v>Expiré</v>
      </c>
    </row>
    <row r="3278" spans="1:5" x14ac:dyDescent="0.3">
      <c r="A3278" s="888" t="str">
        <f>IF(LEN('Translation-EN'!A3278)&gt;0,'Translation-EN'!A3278,"")</f>
        <v>Formula</v>
      </c>
      <c r="B3278" s="888" t="str">
        <f>IF(LEN('Translation-EN'!B3278)&gt;0,'Translation-EN'!B3278,"")</f>
        <v>_Master sheet</v>
      </c>
      <c r="C3278" s="888" t="str">
        <f>IF(LEN('Translation-EN'!C3278)&gt;0,'Translation-EN'!C3278,"")</f>
        <v>AR206</v>
      </c>
      <c r="D3278" s="888">
        <f>IF(LEN('Translation-EN'!D3278)&gt;0,'Translation-EN'!D3278,"")</f>
        <v>1</v>
      </c>
      <c r="E3278" s="893" t="str">
        <f t="shared" si="4"/>
        <v>Expiré</v>
      </c>
    </row>
    <row r="3279" spans="1:5" x14ac:dyDescent="0.3">
      <c r="A3279" s="888" t="str">
        <f>IF(LEN('Translation-EN'!A3279)&gt;0,'Translation-EN'!A3279,"")</f>
        <v>Formula</v>
      </c>
      <c r="B3279" s="888" t="str">
        <f>IF(LEN('Translation-EN'!B3279)&gt;0,'Translation-EN'!B3279,"")</f>
        <v>_Master sheet</v>
      </c>
      <c r="C3279" s="888" t="str">
        <f>IF(LEN('Translation-EN'!C3279)&gt;0,'Translation-EN'!C3279,"")</f>
        <v>AR209</v>
      </c>
      <c r="D3279" s="888">
        <f>IF(LEN('Translation-EN'!D3279)&gt;0,'Translation-EN'!D3279,"")</f>
        <v>1</v>
      </c>
      <c r="E3279" s="893" t="str">
        <f t="shared" si="4"/>
        <v>Expiré</v>
      </c>
    </row>
    <row r="3280" spans="1:5" x14ac:dyDescent="0.3">
      <c r="A3280" s="888" t="str">
        <f>IF(LEN('Translation-EN'!A3280)&gt;0,'Translation-EN'!A3280,"")</f>
        <v>Formula</v>
      </c>
      <c r="B3280" s="888" t="str">
        <f>IF(LEN('Translation-EN'!B3280)&gt;0,'Translation-EN'!B3280,"")</f>
        <v>_Master sheet</v>
      </c>
      <c r="C3280" s="888" t="str">
        <f>IF(LEN('Translation-EN'!C3280)&gt;0,'Translation-EN'!C3280,"")</f>
        <v>AR210</v>
      </c>
      <c r="D3280" s="888">
        <f>IF(LEN('Translation-EN'!D3280)&gt;0,'Translation-EN'!D3280,"")</f>
        <v>1</v>
      </c>
      <c r="E3280" s="893" t="str">
        <f t="shared" si="4"/>
        <v>Expiré</v>
      </c>
    </row>
    <row r="3281" spans="1:5" x14ac:dyDescent="0.3">
      <c r="A3281" s="888" t="str">
        <f>IF(LEN('Translation-EN'!A3281)&gt;0,'Translation-EN'!A3281,"")</f>
        <v>Formula</v>
      </c>
      <c r="B3281" s="888" t="str">
        <f>IF(LEN('Translation-EN'!B3281)&gt;0,'Translation-EN'!B3281,"")</f>
        <v>_Master sheet</v>
      </c>
      <c r="C3281" s="888" t="str">
        <f>IF(LEN('Translation-EN'!C3281)&gt;0,'Translation-EN'!C3281,"")</f>
        <v>AR211</v>
      </c>
      <c r="D3281" s="888">
        <f>IF(LEN('Translation-EN'!D3281)&gt;0,'Translation-EN'!D3281,"")</f>
        <v>1</v>
      </c>
      <c r="E3281" s="893" t="str">
        <f t="shared" si="4"/>
        <v>Expiré</v>
      </c>
    </row>
    <row r="3282" spans="1:5" x14ac:dyDescent="0.3">
      <c r="A3282" s="888" t="str">
        <f>IF(LEN('Translation-EN'!A3282)&gt;0,'Translation-EN'!A3282,"")</f>
        <v>Range</v>
      </c>
      <c r="B3282" s="888" t="str">
        <f>IF(LEN('Translation-EN'!B3282)&gt;0,'Translation-EN'!B3282,"")</f>
        <v>Master sheet</v>
      </c>
      <c r="C3282" s="888" t="str">
        <f>IF(LEN('Translation-EN'!C3282)&gt;0,'Translation-EN'!C3282,"")</f>
        <v>AR219</v>
      </c>
      <c r="D3282" s="888" t="str">
        <f>IF(LEN('Translation-EN'!D3282)&gt;0,'Translation-EN'!D3282,"")</f>
        <v/>
      </c>
      <c r="E3282" s="893" t="s">
        <v>6680</v>
      </c>
    </row>
    <row r="3283" spans="1:5" x14ac:dyDescent="0.3">
      <c r="A3283" s="888" t="str">
        <f>IF(LEN('Translation-EN'!A3283)&gt;0,'Translation-EN'!A3283,"")</f>
        <v>Formula</v>
      </c>
      <c r="B3283" s="888" t="str">
        <f>IF(LEN('Translation-EN'!B3283)&gt;0,'Translation-EN'!B3283,"")</f>
        <v>_Master sheet</v>
      </c>
      <c r="C3283" s="888" t="str">
        <f>IF(LEN('Translation-EN'!C3283)&gt;0,'Translation-EN'!C3283,"")</f>
        <v>AR222</v>
      </c>
      <c r="D3283" s="888">
        <f>IF(LEN('Translation-EN'!D3283)&gt;0,'Translation-EN'!D3283,"")</f>
        <v>1</v>
      </c>
      <c r="E3283" s="893" t="str">
        <f>$E$3202</f>
        <v>Expiré</v>
      </c>
    </row>
    <row r="3284" spans="1:5" x14ac:dyDescent="0.3">
      <c r="A3284" s="888" t="str">
        <f>IF(LEN('Translation-EN'!A3284)&gt;0,'Translation-EN'!A3284,"")</f>
        <v>Formula</v>
      </c>
      <c r="B3284" s="888" t="str">
        <f>IF(LEN('Translation-EN'!B3284)&gt;0,'Translation-EN'!B3284,"")</f>
        <v>_Master sheet</v>
      </c>
      <c r="C3284" s="888" t="str">
        <f>IF(LEN('Translation-EN'!C3284)&gt;0,'Translation-EN'!C3284,"")</f>
        <v>AR225</v>
      </c>
      <c r="D3284" s="888">
        <f>IF(LEN('Translation-EN'!D3284)&gt;0,'Translation-EN'!D3284,"")</f>
        <v>1</v>
      </c>
      <c r="E3284" s="893" t="str">
        <f>$E$3202</f>
        <v>Expiré</v>
      </c>
    </row>
    <row r="3285" spans="1:5" x14ac:dyDescent="0.3">
      <c r="A3285" s="888" t="str">
        <f>IF(LEN('Translation-EN'!A3285)&gt;0,'Translation-EN'!A3285,"")</f>
        <v>Range</v>
      </c>
      <c r="B3285" s="888" t="str">
        <f>IF(LEN('Translation-EN'!B3285)&gt;0,'Translation-EN'!B3285,"")</f>
        <v>Master sheet</v>
      </c>
      <c r="C3285" s="888" t="str">
        <f>IF(LEN('Translation-EN'!C3285)&gt;0,'Translation-EN'!C3285,"")</f>
        <v>AR235</v>
      </c>
      <c r="D3285" s="888" t="str">
        <f>IF(LEN('Translation-EN'!D3285)&gt;0,'Translation-EN'!D3285,"")</f>
        <v/>
      </c>
      <c r="E3285" s="893" t="s">
        <v>6681</v>
      </c>
    </row>
    <row r="3286" spans="1:5" x14ac:dyDescent="0.3">
      <c r="A3286" s="888" t="str">
        <f>IF(LEN('Translation-EN'!A3286)&gt;0,'Translation-EN'!A3286,"")</f>
        <v>Formula</v>
      </c>
      <c r="B3286" s="888" t="str">
        <f>IF(LEN('Translation-EN'!B3286)&gt;0,'Translation-EN'!B3286,"")</f>
        <v>_Master sheet</v>
      </c>
      <c r="C3286" s="888" t="str">
        <f>IF(LEN('Translation-EN'!C3286)&gt;0,'Translation-EN'!C3286,"")</f>
        <v>AR236</v>
      </c>
      <c r="D3286" s="888">
        <f>IF(LEN('Translation-EN'!D3286)&gt;0,'Translation-EN'!D3286,"")</f>
        <v>1</v>
      </c>
      <c r="E3286" s="893" t="str">
        <f t="shared" ref="E3286:E3295" si="5">$E$3202</f>
        <v>Expiré</v>
      </c>
    </row>
    <row r="3287" spans="1:5" x14ac:dyDescent="0.3">
      <c r="A3287" s="888" t="str">
        <f>IF(LEN('Translation-EN'!A3287)&gt;0,'Translation-EN'!A3287,"")</f>
        <v>Formula</v>
      </c>
      <c r="B3287" s="888" t="str">
        <f>IF(LEN('Translation-EN'!B3287)&gt;0,'Translation-EN'!B3287,"")</f>
        <v>_Master sheet</v>
      </c>
      <c r="C3287" s="888" t="str">
        <f>IF(LEN('Translation-EN'!C3287)&gt;0,'Translation-EN'!C3287,"")</f>
        <v>AR237</v>
      </c>
      <c r="D3287" s="888">
        <f>IF(LEN('Translation-EN'!D3287)&gt;0,'Translation-EN'!D3287,"")</f>
        <v>1</v>
      </c>
      <c r="E3287" s="893" t="str">
        <f t="shared" si="5"/>
        <v>Expiré</v>
      </c>
    </row>
    <row r="3288" spans="1:5" x14ac:dyDescent="0.3">
      <c r="A3288" s="888" t="str">
        <f>IF(LEN('Translation-EN'!A3288)&gt;0,'Translation-EN'!A3288,"")</f>
        <v>Formula</v>
      </c>
      <c r="B3288" s="888" t="str">
        <f>IF(LEN('Translation-EN'!B3288)&gt;0,'Translation-EN'!B3288,"")</f>
        <v>_Master sheet</v>
      </c>
      <c r="C3288" s="888" t="str">
        <f>IF(LEN('Translation-EN'!C3288)&gt;0,'Translation-EN'!C3288,"")</f>
        <v>AR238</v>
      </c>
      <c r="D3288" s="888">
        <f>IF(LEN('Translation-EN'!D3288)&gt;0,'Translation-EN'!D3288,"")</f>
        <v>1</v>
      </c>
      <c r="E3288" s="893" t="str">
        <f t="shared" si="5"/>
        <v>Expiré</v>
      </c>
    </row>
    <row r="3289" spans="1:5" x14ac:dyDescent="0.3">
      <c r="A3289" s="888" t="str">
        <f>IF(LEN('Translation-EN'!A3289)&gt;0,'Translation-EN'!A3289,"")</f>
        <v>Formula</v>
      </c>
      <c r="B3289" s="888" t="str">
        <f>IF(LEN('Translation-EN'!B3289)&gt;0,'Translation-EN'!B3289,"")</f>
        <v>_Master sheet</v>
      </c>
      <c r="C3289" s="888" t="str">
        <f>IF(LEN('Translation-EN'!C3289)&gt;0,'Translation-EN'!C3289,"")</f>
        <v>AR242</v>
      </c>
      <c r="D3289" s="888">
        <f>IF(LEN('Translation-EN'!D3289)&gt;0,'Translation-EN'!D3289,"")</f>
        <v>1</v>
      </c>
      <c r="E3289" s="893" t="str">
        <f t="shared" si="5"/>
        <v>Expiré</v>
      </c>
    </row>
    <row r="3290" spans="1:5" x14ac:dyDescent="0.3">
      <c r="A3290" s="888" t="str">
        <f>IF(LEN('Translation-EN'!A3290)&gt;0,'Translation-EN'!A3290,"")</f>
        <v>Formula</v>
      </c>
      <c r="B3290" s="888" t="str">
        <f>IF(LEN('Translation-EN'!B3290)&gt;0,'Translation-EN'!B3290,"")</f>
        <v>_Master sheet</v>
      </c>
      <c r="C3290" s="888" t="str">
        <f>IF(LEN('Translation-EN'!C3290)&gt;0,'Translation-EN'!C3290,"")</f>
        <v>AR248</v>
      </c>
      <c r="D3290" s="888">
        <f>IF(LEN('Translation-EN'!D3290)&gt;0,'Translation-EN'!D3290,"")</f>
        <v>1</v>
      </c>
      <c r="E3290" s="893" t="str">
        <f t="shared" si="5"/>
        <v>Expiré</v>
      </c>
    </row>
    <row r="3291" spans="1:5" x14ac:dyDescent="0.3">
      <c r="A3291" s="888" t="str">
        <f>IF(LEN('Translation-EN'!A3291)&gt;0,'Translation-EN'!A3291,"")</f>
        <v>Formula</v>
      </c>
      <c r="B3291" s="888" t="str">
        <f>IF(LEN('Translation-EN'!B3291)&gt;0,'Translation-EN'!B3291,"")</f>
        <v>_Master sheet</v>
      </c>
      <c r="C3291" s="888" t="str">
        <f>IF(LEN('Translation-EN'!C3291)&gt;0,'Translation-EN'!C3291,"")</f>
        <v>AR251</v>
      </c>
      <c r="D3291" s="888">
        <f>IF(LEN('Translation-EN'!D3291)&gt;0,'Translation-EN'!D3291,"")</f>
        <v>1</v>
      </c>
      <c r="E3291" s="893" t="str">
        <f t="shared" si="5"/>
        <v>Expiré</v>
      </c>
    </row>
    <row r="3292" spans="1:5" x14ac:dyDescent="0.3">
      <c r="A3292" s="888" t="str">
        <f>IF(LEN('Translation-EN'!A3292)&gt;0,'Translation-EN'!A3292,"")</f>
        <v>Formula</v>
      </c>
      <c r="B3292" s="888" t="str">
        <f>IF(LEN('Translation-EN'!B3292)&gt;0,'Translation-EN'!B3292,"")</f>
        <v>_Master sheet</v>
      </c>
      <c r="C3292" s="888" t="str">
        <f>IF(LEN('Translation-EN'!C3292)&gt;0,'Translation-EN'!C3292,"")</f>
        <v>AR252</v>
      </c>
      <c r="D3292" s="888">
        <f>IF(LEN('Translation-EN'!D3292)&gt;0,'Translation-EN'!D3292,"")</f>
        <v>1</v>
      </c>
      <c r="E3292" s="893" t="str">
        <f t="shared" si="5"/>
        <v>Expiré</v>
      </c>
    </row>
    <row r="3293" spans="1:5" x14ac:dyDescent="0.3">
      <c r="A3293" s="888" t="str">
        <f>IF(LEN('Translation-EN'!A3293)&gt;0,'Translation-EN'!A3293,"")</f>
        <v>Formula</v>
      </c>
      <c r="B3293" s="888" t="str">
        <f>IF(LEN('Translation-EN'!B3293)&gt;0,'Translation-EN'!B3293,"")</f>
        <v>_Master sheet</v>
      </c>
      <c r="C3293" s="888" t="str">
        <f>IF(LEN('Translation-EN'!C3293)&gt;0,'Translation-EN'!C3293,"")</f>
        <v>AR253</v>
      </c>
      <c r="D3293" s="888">
        <f>IF(LEN('Translation-EN'!D3293)&gt;0,'Translation-EN'!D3293,"")</f>
        <v>1</v>
      </c>
      <c r="E3293" s="893" t="str">
        <f t="shared" si="5"/>
        <v>Expiré</v>
      </c>
    </row>
    <row r="3294" spans="1:5" x14ac:dyDescent="0.3">
      <c r="A3294" s="888" t="str">
        <f>IF(LEN('Translation-EN'!A3294)&gt;0,'Translation-EN'!A3294,"")</f>
        <v>Formula</v>
      </c>
      <c r="B3294" s="888" t="str">
        <f>IF(LEN('Translation-EN'!B3294)&gt;0,'Translation-EN'!B3294,"")</f>
        <v>_Master sheet</v>
      </c>
      <c r="C3294" s="888" t="str">
        <f>IF(LEN('Translation-EN'!C3294)&gt;0,'Translation-EN'!C3294,"")</f>
        <v>AR279</v>
      </c>
      <c r="D3294" s="888">
        <f>IF(LEN('Translation-EN'!D3294)&gt;0,'Translation-EN'!D3294,"")</f>
        <v>1</v>
      </c>
      <c r="E3294" s="893" t="str">
        <f t="shared" si="5"/>
        <v>Expiré</v>
      </c>
    </row>
    <row r="3295" spans="1:5" x14ac:dyDescent="0.3">
      <c r="A3295" s="888" t="str">
        <f>IF(LEN('Translation-EN'!A3295)&gt;0,'Translation-EN'!A3295,"")</f>
        <v>Formula</v>
      </c>
      <c r="B3295" s="888" t="str">
        <f>IF(LEN('Translation-EN'!B3295)&gt;0,'Translation-EN'!B3295,"")</f>
        <v>_Master sheet</v>
      </c>
      <c r="C3295" s="888" t="str">
        <f>IF(LEN('Translation-EN'!C3295)&gt;0,'Translation-EN'!C3295,"")</f>
        <v>AR284</v>
      </c>
      <c r="D3295" s="888">
        <f>IF(LEN('Translation-EN'!D3295)&gt;0,'Translation-EN'!D3295,"")</f>
        <v>1</v>
      </c>
      <c r="E3295" s="893" t="str">
        <f t="shared" si="5"/>
        <v>Expiré</v>
      </c>
    </row>
    <row r="3296" spans="1:5" x14ac:dyDescent="0.3">
      <c r="A3296" s="888" t="str">
        <f>IF(LEN('Translation-EN'!A3296)&gt;0,'Translation-EN'!A3296,"")</f>
        <v>Range</v>
      </c>
      <c r="B3296" s="888" t="str">
        <f>IF(LEN('Translation-EN'!B3296)&gt;0,'Translation-EN'!B3296,"")</f>
        <v>Master sheet</v>
      </c>
      <c r="C3296" s="888" t="str">
        <f>IF(LEN('Translation-EN'!C3296)&gt;0,'Translation-EN'!C3296,"")</f>
        <v>AR293</v>
      </c>
      <c r="D3296" s="888" t="str">
        <f>IF(LEN('Translation-EN'!D3296)&gt;0,'Translation-EN'!D3296,"")</f>
        <v/>
      </c>
      <c r="E3296" s="893" t="s">
        <v>6682</v>
      </c>
    </row>
    <row r="3297" spans="1:5" x14ac:dyDescent="0.3">
      <c r="A3297" s="888" t="str">
        <f>IF(LEN('Translation-EN'!A3297)&gt;0,'Translation-EN'!A3297,"")</f>
        <v>Formula</v>
      </c>
      <c r="B3297" s="888" t="str">
        <f>IF(LEN('Translation-EN'!B3297)&gt;0,'Translation-EN'!B3297,"")</f>
        <v>_Master sheet</v>
      </c>
      <c r="C3297" s="888" t="str">
        <f>IF(LEN('Translation-EN'!C3297)&gt;0,'Translation-EN'!C3297,"")</f>
        <v>AR287</v>
      </c>
      <c r="D3297" s="888">
        <f>IF(LEN('Translation-EN'!D3297)&gt;0,'Translation-EN'!D3297,"")</f>
        <v>1</v>
      </c>
      <c r="E3297" s="893" t="str">
        <f>$E$3202</f>
        <v>Expiré</v>
      </c>
    </row>
    <row r="3298" spans="1:5" x14ac:dyDescent="0.3">
      <c r="A3298" s="888" t="str">
        <f>IF(LEN('Translation-EN'!A3298)&gt;0,'Translation-EN'!A3298,"")</f>
        <v>Range</v>
      </c>
      <c r="B3298" s="888" t="str">
        <f>IF(LEN('Translation-EN'!B3298)&gt;0,'Translation-EN'!B3298,"")</f>
        <v>Master sheet</v>
      </c>
      <c r="C3298" s="888" t="str">
        <f>IF(LEN('Translation-EN'!C3298)&gt;0,'Translation-EN'!C3298,"")</f>
        <v>AR295</v>
      </c>
      <c r="D3298" s="888" t="str">
        <f>IF(LEN('Translation-EN'!D3298)&gt;0,'Translation-EN'!D3298,"")</f>
        <v/>
      </c>
      <c r="E3298" s="893" t="str">
        <f>$E$3228</f>
        <v>ACV révisée par les pairs</v>
      </c>
    </row>
    <row r="3299" spans="1:5" x14ac:dyDescent="0.3">
      <c r="A3299" s="888" t="str">
        <f>IF(LEN('Translation-EN'!A3299)&gt;0,'Translation-EN'!A3299,"")</f>
        <v>Range</v>
      </c>
      <c r="B3299" s="888" t="str">
        <f>IF(LEN('Translation-EN'!B3299)&gt;0,'Translation-EN'!B3299,"")</f>
        <v>Master sheet</v>
      </c>
      <c r="C3299" s="888" t="str">
        <f>IF(LEN('Translation-EN'!C3299)&gt;0,'Translation-EN'!C3299,"")</f>
        <v>AR296</v>
      </c>
      <c r="D3299" s="888" t="str">
        <f>IF(LEN('Translation-EN'!D3299)&gt;0,'Translation-EN'!D3299,"")</f>
        <v/>
      </c>
      <c r="E3299" s="893" t="str">
        <f>$E$3296</f>
        <v>Base de données ICE (R.-U.)</v>
      </c>
    </row>
    <row r="3300" spans="1:5" x14ac:dyDescent="0.3">
      <c r="A3300" s="888" t="str">
        <f>IF(LEN('Translation-EN'!A3300)&gt;0,'Translation-EN'!A3300,"")</f>
        <v>Range</v>
      </c>
      <c r="B3300" s="888" t="str">
        <f>IF(LEN('Translation-EN'!B3300)&gt;0,'Translation-EN'!B3300,"")</f>
        <v>Master sheet</v>
      </c>
      <c r="C3300" s="888" t="str">
        <f>IF(LEN('Translation-EN'!C3300)&gt;0,'Translation-EN'!C3300,"")</f>
        <v>AR297</v>
      </c>
      <c r="D3300" s="888" t="str">
        <f>IF(LEN('Translation-EN'!D3300)&gt;0,'Translation-EN'!D3300,"")</f>
        <v/>
      </c>
      <c r="E3300" s="893" t="str">
        <f>$E$3296</f>
        <v>Base de données ICE (R.-U.)</v>
      </c>
    </row>
    <row r="3301" spans="1:5" x14ac:dyDescent="0.3">
      <c r="A3301" s="888" t="str">
        <f>IF(LEN('Translation-EN'!A3301)&gt;0,'Translation-EN'!A3301,"")</f>
        <v>Formula</v>
      </c>
      <c r="B3301" s="888" t="str">
        <f>IF(LEN('Translation-EN'!B3301)&gt;0,'Translation-EN'!B3301,"")</f>
        <v>_Master sheet</v>
      </c>
      <c r="C3301" s="888" t="str">
        <f>IF(LEN('Translation-EN'!C3301)&gt;0,'Translation-EN'!C3301,"")</f>
        <v>AR296</v>
      </c>
      <c r="D3301" s="888">
        <f>IF(LEN('Translation-EN'!D3301)&gt;0,'Translation-EN'!D3301,"")</f>
        <v>1</v>
      </c>
      <c r="E3301" s="893" t="str">
        <f>$E$3202</f>
        <v>Expiré</v>
      </c>
    </row>
    <row r="3302" spans="1:5" x14ac:dyDescent="0.3">
      <c r="A3302" s="888" t="str">
        <f>IF(LEN('Translation-EN'!A3302)&gt;0,'Translation-EN'!A3302,"")</f>
        <v>Formula</v>
      </c>
      <c r="B3302" s="888" t="str">
        <f>IF(LEN('Translation-EN'!B3302)&gt;0,'Translation-EN'!B3302,"")</f>
        <v>_Master sheet</v>
      </c>
      <c r="C3302" s="888" t="str">
        <f>IF(LEN('Translation-EN'!C3302)&gt;0,'Translation-EN'!C3302,"")</f>
        <v>AR297</v>
      </c>
      <c r="D3302" s="888">
        <f>IF(LEN('Translation-EN'!D3302)&gt;0,'Translation-EN'!D3302,"")</f>
        <v>1</v>
      </c>
      <c r="E3302" s="893" t="str">
        <f>$E$3202</f>
        <v>Expiré</v>
      </c>
    </row>
    <row r="3303" spans="1:5" x14ac:dyDescent="0.3">
      <c r="A3303" s="888" t="str">
        <f>IF(LEN('Translation-EN'!A3303)&gt;0,'Translation-EN'!A3303,"")</f>
        <v>Formula</v>
      </c>
      <c r="B3303" s="888" t="str">
        <f>IF(LEN('Translation-EN'!B3303)&gt;0,'Translation-EN'!B3303,"")</f>
        <v>_Master sheet</v>
      </c>
      <c r="C3303" s="888" t="str">
        <f>IF(LEN('Translation-EN'!C3303)&gt;0,'Translation-EN'!C3303,"")</f>
        <v>AR298</v>
      </c>
      <c r="D3303" s="888">
        <f>IF(LEN('Translation-EN'!D3303)&gt;0,'Translation-EN'!D3303,"")</f>
        <v>1</v>
      </c>
      <c r="E3303" s="893" t="str">
        <f>$E$3202</f>
        <v>Expiré</v>
      </c>
    </row>
    <row r="3304" spans="1:5" x14ac:dyDescent="0.3">
      <c r="A3304" s="888" t="str">
        <f>IF(LEN('Translation-EN'!A3304)&gt;0,'Translation-EN'!A3304,"")</f>
        <v>Range</v>
      </c>
      <c r="B3304" s="888" t="str">
        <f>IF(LEN('Translation-EN'!B3304)&gt;0,'Translation-EN'!B3304,"")</f>
        <v>Master sheet</v>
      </c>
      <c r="C3304" s="888" t="str">
        <f>IF(LEN('Translation-EN'!C3304)&gt;0,'Translation-EN'!C3304,"")</f>
        <v>AR306</v>
      </c>
      <c r="D3304" s="888" t="str">
        <f>IF(LEN('Translation-EN'!D3304)&gt;0,'Translation-EN'!D3304,"")</f>
        <v/>
      </c>
      <c r="E3304" s="893" t="s">
        <v>1200</v>
      </c>
    </row>
    <row r="3305" spans="1:5" x14ac:dyDescent="0.3">
      <c r="A3305" s="888" t="str">
        <f>IF(LEN('Translation-EN'!A3305)&gt;0,'Translation-EN'!A3305,"")</f>
        <v>Formula</v>
      </c>
      <c r="B3305" s="888" t="str">
        <f>IF(LEN('Translation-EN'!B3305)&gt;0,'Translation-EN'!B3305,"")</f>
        <v>_Master sheet</v>
      </c>
      <c r="C3305" s="888" t="str">
        <f>IF(LEN('Translation-EN'!C3305)&gt;0,'Translation-EN'!C3305,"")</f>
        <v>AR301</v>
      </c>
      <c r="D3305" s="888">
        <f>IF(LEN('Translation-EN'!D3305)&gt;0,'Translation-EN'!D3305,"")</f>
        <v>1</v>
      </c>
      <c r="E3305" s="893" t="str">
        <f t="shared" ref="E3305:E3319" si="6">$E$3202</f>
        <v>Expiré</v>
      </c>
    </row>
    <row r="3306" spans="1:5" x14ac:dyDescent="0.3">
      <c r="A3306" s="888" t="str">
        <f>IF(LEN('Translation-EN'!A3306)&gt;0,'Translation-EN'!A3306,"")</f>
        <v>Formula</v>
      </c>
      <c r="B3306" s="888" t="str">
        <f>IF(LEN('Translation-EN'!B3306)&gt;0,'Translation-EN'!B3306,"")</f>
        <v>_Master sheet</v>
      </c>
      <c r="C3306" s="888" t="str">
        <f>IF(LEN('Translation-EN'!C3306)&gt;0,'Translation-EN'!C3306,"")</f>
        <v>AR304</v>
      </c>
      <c r="D3306" s="888">
        <f>IF(LEN('Translation-EN'!D3306)&gt;0,'Translation-EN'!D3306,"")</f>
        <v>1</v>
      </c>
      <c r="E3306" s="893" t="str">
        <f t="shared" si="6"/>
        <v>Expiré</v>
      </c>
    </row>
    <row r="3307" spans="1:5" x14ac:dyDescent="0.3">
      <c r="A3307" s="888" t="str">
        <f>IF(LEN('Translation-EN'!A3307)&gt;0,'Translation-EN'!A3307,"")</f>
        <v>Formula</v>
      </c>
      <c r="B3307" s="888" t="str">
        <f>IF(LEN('Translation-EN'!B3307)&gt;0,'Translation-EN'!B3307,"")</f>
        <v>_Master sheet</v>
      </c>
      <c r="C3307" s="888" t="str">
        <f>IF(LEN('Translation-EN'!C3307)&gt;0,'Translation-EN'!C3307,"")</f>
        <v>AR307</v>
      </c>
      <c r="D3307" s="888">
        <f>IF(LEN('Translation-EN'!D3307)&gt;0,'Translation-EN'!D3307,"")</f>
        <v>1</v>
      </c>
      <c r="E3307" s="893" t="str">
        <f t="shared" si="6"/>
        <v>Expiré</v>
      </c>
    </row>
    <row r="3308" spans="1:5" x14ac:dyDescent="0.3">
      <c r="A3308" s="888" t="str">
        <f>IF(LEN('Translation-EN'!A3308)&gt;0,'Translation-EN'!A3308,"")</f>
        <v>Formula</v>
      </c>
      <c r="B3308" s="888" t="str">
        <f>IF(LEN('Translation-EN'!B3308)&gt;0,'Translation-EN'!B3308,"")</f>
        <v>_Master sheet</v>
      </c>
      <c r="C3308" s="888" t="str">
        <f>IF(LEN('Translation-EN'!C3308)&gt;0,'Translation-EN'!C3308,"")</f>
        <v>AR329</v>
      </c>
      <c r="D3308" s="888">
        <f>IF(LEN('Translation-EN'!D3308)&gt;0,'Translation-EN'!D3308,"")</f>
        <v>1</v>
      </c>
      <c r="E3308" s="893" t="str">
        <f t="shared" si="6"/>
        <v>Expiré</v>
      </c>
    </row>
    <row r="3309" spans="1:5" x14ac:dyDescent="0.3">
      <c r="A3309" s="888" t="str">
        <f>IF(LEN('Translation-EN'!A3309)&gt;0,'Translation-EN'!A3309,"")</f>
        <v>Formula</v>
      </c>
      <c r="B3309" s="888" t="str">
        <f>IF(LEN('Translation-EN'!B3309)&gt;0,'Translation-EN'!B3309,"")</f>
        <v>_Master sheet</v>
      </c>
      <c r="C3309" s="888" t="str">
        <f>IF(LEN('Translation-EN'!C3309)&gt;0,'Translation-EN'!C3309,"")</f>
        <v>AR330</v>
      </c>
      <c r="D3309" s="888">
        <f>IF(LEN('Translation-EN'!D3309)&gt;0,'Translation-EN'!D3309,"")</f>
        <v>1</v>
      </c>
      <c r="E3309" s="893" t="str">
        <f t="shared" si="6"/>
        <v>Expiré</v>
      </c>
    </row>
    <row r="3310" spans="1:5" x14ac:dyDescent="0.3">
      <c r="A3310" s="888" t="str">
        <f>IF(LEN('Translation-EN'!A3310)&gt;0,'Translation-EN'!A3310,"")</f>
        <v>Formula</v>
      </c>
      <c r="B3310" s="888" t="str">
        <f>IF(LEN('Translation-EN'!B3310)&gt;0,'Translation-EN'!B3310,"")</f>
        <v>_Master sheet</v>
      </c>
      <c r="C3310" s="888" t="str">
        <f>IF(LEN('Translation-EN'!C3310)&gt;0,'Translation-EN'!C3310,"")</f>
        <v>AR332</v>
      </c>
      <c r="D3310" s="888">
        <f>IF(LEN('Translation-EN'!D3310)&gt;0,'Translation-EN'!D3310,"")</f>
        <v>1</v>
      </c>
      <c r="E3310" s="893" t="str">
        <f t="shared" si="6"/>
        <v>Expiré</v>
      </c>
    </row>
    <row r="3311" spans="1:5" x14ac:dyDescent="0.3">
      <c r="A3311" s="888" t="str">
        <f>IF(LEN('Translation-EN'!A3311)&gt;0,'Translation-EN'!A3311,"")</f>
        <v>Formula</v>
      </c>
      <c r="B3311" s="888" t="str">
        <f>IF(LEN('Translation-EN'!B3311)&gt;0,'Translation-EN'!B3311,"")</f>
        <v>_Master sheet</v>
      </c>
      <c r="C3311" s="888" t="str">
        <f>IF(LEN('Translation-EN'!C3311)&gt;0,'Translation-EN'!C3311,"")</f>
        <v>AR335</v>
      </c>
      <c r="D3311" s="888">
        <f>IF(LEN('Translation-EN'!D3311)&gt;0,'Translation-EN'!D3311,"")</f>
        <v>1</v>
      </c>
      <c r="E3311" s="893" t="str">
        <f t="shared" si="6"/>
        <v>Expiré</v>
      </c>
    </row>
    <row r="3312" spans="1:5" x14ac:dyDescent="0.3">
      <c r="A3312" s="888" t="str">
        <f>IF(LEN('Translation-EN'!A3312)&gt;0,'Translation-EN'!A3312,"")</f>
        <v>Formula</v>
      </c>
      <c r="B3312" s="888" t="str">
        <f>IF(LEN('Translation-EN'!B3312)&gt;0,'Translation-EN'!B3312,"")</f>
        <v>_Master sheet</v>
      </c>
      <c r="C3312" s="888" t="str">
        <f>IF(LEN('Translation-EN'!C3312)&gt;0,'Translation-EN'!C3312,"")</f>
        <v>AR337</v>
      </c>
      <c r="D3312" s="888">
        <f>IF(LEN('Translation-EN'!D3312)&gt;0,'Translation-EN'!D3312,"")</f>
        <v>1</v>
      </c>
      <c r="E3312" s="893" t="str">
        <f t="shared" si="6"/>
        <v>Expiré</v>
      </c>
    </row>
    <row r="3313" spans="1:5" x14ac:dyDescent="0.3">
      <c r="A3313" s="888" t="str">
        <f>IF(LEN('Translation-EN'!A3313)&gt;0,'Translation-EN'!A3313,"")</f>
        <v>Formula</v>
      </c>
      <c r="B3313" s="888" t="str">
        <f>IF(LEN('Translation-EN'!B3313)&gt;0,'Translation-EN'!B3313,"")</f>
        <v>_Master sheet</v>
      </c>
      <c r="C3313" s="888" t="str">
        <f>IF(LEN('Translation-EN'!C3313)&gt;0,'Translation-EN'!C3313,"")</f>
        <v>AR339</v>
      </c>
      <c r="D3313" s="888">
        <f>IF(LEN('Translation-EN'!D3313)&gt;0,'Translation-EN'!D3313,"")</f>
        <v>1</v>
      </c>
      <c r="E3313" s="893" t="str">
        <f t="shared" si="6"/>
        <v>Expiré</v>
      </c>
    </row>
    <row r="3314" spans="1:5" x14ac:dyDescent="0.3">
      <c r="A3314" s="888" t="str">
        <f>IF(LEN('Translation-EN'!A3314)&gt;0,'Translation-EN'!A3314,"")</f>
        <v>Formula</v>
      </c>
      <c r="B3314" s="888" t="str">
        <f>IF(LEN('Translation-EN'!B3314)&gt;0,'Translation-EN'!B3314,"")</f>
        <v>_Master sheet</v>
      </c>
      <c r="C3314" s="888" t="str">
        <f>IF(LEN('Translation-EN'!C3314)&gt;0,'Translation-EN'!C3314,"")</f>
        <v>AR342</v>
      </c>
      <c r="D3314" s="888">
        <f>IF(LEN('Translation-EN'!D3314)&gt;0,'Translation-EN'!D3314,"")</f>
        <v>1</v>
      </c>
      <c r="E3314" s="893" t="str">
        <f t="shared" si="6"/>
        <v>Expiré</v>
      </c>
    </row>
    <row r="3315" spans="1:5" x14ac:dyDescent="0.3">
      <c r="A3315" s="888" t="str">
        <f>IF(LEN('Translation-EN'!A3315)&gt;0,'Translation-EN'!A3315,"")</f>
        <v>Formula</v>
      </c>
      <c r="B3315" s="888" t="str">
        <f>IF(LEN('Translation-EN'!B3315)&gt;0,'Translation-EN'!B3315,"")</f>
        <v>_Master sheet</v>
      </c>
      <c r="C3315" s="888" t="str">
        <f>IF(LEN('Translation-EN'!C3315)&gt;0,'Translation-EN'!C3315,"")</f>
        <v>AR346</v>
      </c>
      <c r="D3315" s="888">
        <f>IF(LEN('Translation-EN'!D3315)&gt;0,'Translation-EN'!D3315,"")</f>
        <v>1</v>
      </c>
      <c r="E3315" s="893" t="str">
        <f t="shared" si="6"/>
        <v>Expiré</v>
      </c>
    </row>
    <row r="3316" spans="1:5" x14ac:dyDescent="0.3">
      <c r="A3316" s="888" t="str">
        <f>IF(LEN('Translation-EN'!A3316)&gt;0,'Translation-EN'!A3316,"")</f>
        <v>Formula</v>
      </c>
      <c r="B3316" s="888" t="str">
        <f>IF(LEN('Translation-EN'!B3316)&gt;0,'Translation-EN'!B3316,"")</f>
        <v>_Master sheet</v>
      </c>
      <c r="C3316" s="888" t="str">
        <f>IF(LEN('Translation-EN'!C3316)&gt;0,'Translation-EN'!C3316,"")</f>
        <v>AR351</v>
      </c>
      <c r="D3316" s="888">
        <f>IF(LEN('Translation-EN'!D3316)&gt;0,'Translation-EN'!D3316,"")</f>
        <v>1</v>
      </c>
      <c r="E3316" s="893" t="str">
        <f t="shared" si="6"/>
        <v>Expiré</v>
      </c>
    </row>
    <row r="3317" spans="1:5" x14ac:dyDescent="0.3">
      <c r="A3317" s="888" t="str">
        <f>IF(LEN('Translation-EN'!A3317)&gt;0,'Translation-EN'!A3317,"")</f>
        <v>Formula</v>
      </c>
      <c r="B3317" s="888" t="str">
        <f>IF(LEN('Translation-EN'!B3317)&gt;0,'Translation-EN'!B3317,"")</f>
        <v>_Master sheet</v>
      </c>
      <c r="C3317" s="888" t="str">
        <f>IF(LEN('Translation-EN'!C3317)&gt;0,'Translation-EN'!C3317,"")</f>
        <v>AR352</v>
      </c>
      <c r="D3317" s="888">
        <f>IF(LEN('Translation-EN'!D3317)&gt;0,'Translation-EN'!D3317,"")</f>
        <v>1</v>
      </c>
      <c r="E3317" s="893" t="str">
        <f t="shared" si="6"/>
        <v>Expiré</v>
      </c>
    </row>
    <row r="3318" spans="1:5" x14ac:dyDescent="0.3">
      <c r="A3318" s="888" t="str">
        <f>IF(LEN('Translation-EN'!A3318)&gt;0,'Translation-EN'!A3318,"")</f>
        <v>Formula</v>
      </c>
      <c r="B3318" s="888" t="str">
        <f>IF(LEN('Translation-EN'!B3318)&gt;0,'Translation-EN'!B3318,"")</f>
        <v>_Master sheet</v>
      </c>
      <c r="C3318" s="888" t="str">
        <f>IF(LEN('Translation-EN'!C3318)&gt;0,'Translation-EN'!C3318,"")</f>
        <v>AR356</v>
      </c>
      <c r="D3318" s="888">
        <f>IF(LEN('Translation-EN'!D3318)&gt;0,'Translation-EN'!D3318,"")</f>
        <v>1</v>
      </c>
      <c r="E3318" s="893" t="str">
        <f t="shared" si="6"/>
        <v>Expiré</v>
      </c>
    </row>
    <row r="3319" spans="1:5" x14ac:dyDescent="0.3">
      <c r="A3319" s="888" t="str">
        <f>IF(LEN('Translation-EN'!A3319)&gt;0,'Translation-EN'!A3319,"")</f>
        <v>Formula</v>
      </c>
      <c r="B3319" s="888" t="str">
        <f>IF(LEN('Translation-EN'!B3319)&gt;0,'Translation-EN'!B3319,"")</f>
        <v>_Master sheet</v>
      </c>
      <c r="C3319" s="888" t="str">
        <f>IF(LEN('Translation-EN'!C3319)&gt;0,'Translation-EN'!C3319,"")</f>
        <v>AR357</v>
      </c>
      <c r="D3319" s="888">
        <f>IF(LEN('Translation-EN'!D3319)&gt;0,'Translation-EN'!D3319,"")</f>
        <v>1</v>
      </c>
      <c r="E3319" s="893" t="str">
        <f t="shared" si="6"/>
        <v>Expiré</v>
      </c>
    </row>
    <row r="3320" spans="1:5" x14ac:dyDescent="0.3">
      <c r="A3320" s="888" t="str">
        <f>IF(LEN('Translation-EN'!A3320)&gt;0,'Translation-EN'!A3320,"")</f>
        <v>Range</v>
      </c>
      <c r="B3320" s="888" t="str">
        <f>IF(LEN('Translation-EN'!B3320)&gt;0,'Translation-EN'!B3320,"")</f>
        <v>Master sheet</v>
      </c>
      <c r="C3320" s="888" t="str">
        <f>IF(LEN('Translation-EN'!C3320)&gt;0,'Translation-EN'!C3320,"")</f>
        <v>AR370</v>
      </c>
      <c r="D3320" s="888" t="str">
        <f>IF(LEN('Translation-EN'!D3320)&gt;0,'Translation-EN'!D3320,"")</f>
        <v/>
      </c>
      <c r="E3320" s="893" t="s">
        <v>6683</v>
      </c>
    </row>
    <row r="3321" spans="1:5" x14ac:dyDescent="0.3">
      <c r="A3321" s="888" t="str">
        <f>IF(LEN('Translation-EN'!A3321)&gt;0,'Translation-EN'!A3321,"")</f>
        <v>Range</v>
      </c>
      <c r="B3321" s="888" t="str">
        <f>IF(LEN('Translation-EN'!B3321)&gt;0,'Translation-EN'!B3321,"")</f>
        <v>Master sheet</v>
      </c>
      <c r="C3321" s="888" t="str">
        <f>IF(LEN('Translation-EN'!C3321)&gt;0,'Translation-EN'!C3321,"")</f>
        <v>AR372</v>
      </c>
      <c r="D3321" s="888" t="str">
        <f>IF(LEN('Translation-EN'!D3321)&gt;0,'Translation-EN'!D3321,"")</f>
        <v/>
      </c>
      <c r="E3321" s="893" t="str">
        <f t="shared" ref="E3321:E3327" si="7">$E$3320</f>
        <v>Étude BfCA (Tally)</v>
      </c>
    </row>
    <row r="3322" spans="1:5" x14ac:dyDescent="0.3">
      <c r="A3322" s="888" t="str">
        <f>IF(LEN('Translation-EN'!A3322)&gt;0,'Translation-EN'!A3322,"")</f>
        <v>Range</v>
      </c>
      <c r="B3322" s="888" t="str">
        <f>IF(LEN('Translation-EN'!B3322)&gt;0,'Translation-EN'!B3322,"")</f>
        <v>Master sheet</v>
      </c>
      <c r="C3322" s="888" t="str">
        <f>IF(LEN('Translation-EN'!C3322)&gt;0,'Translation-EN'!C3322,"")</f>
        <v>AR374</v>
      </c>
      <c r="D3322" s="888" t="str">
        <f>IF(LEN('Translation-EN'!D3322)&gt;0,'Translation-EN'!D3322,"")</f>
        <v/>
      </c>
      <c r="E3322" s="893" t="str">
        <f t="shared" si="7"/>
        <v>Étude BfCA (Tally)</v>
      </c>
    </row>
    <row r="3323" spans="1:5" x14ac:dyDescent="0.3">
      <c r="A3323" s="888" t="str">
        <f>IF(LEN('Translation-EN'!A3323)&gt;0,'Translation-EN'!A3323,"")</f>
        <v>Range</v>
      </c>
      <c r="B3323" s="888" t="str">
        <f>IF(LEN('Translation-EN'!B3323)&gt;0,'Translation-EN'!B3323,"")</f>
        <v>Master sheet</v>
      </c>
      <c r="C3323" s="888" t="str">
        <f>IF(LEN('Translation-EN'!C3323)&gt;0,'Translation-EN'!C3323,"")</f>
        <v>AR376</v>
      </c>
      <c r="D3323" s="888" t="str">
        <f>IF(LEN('Translation-EN'!D3323)&gt;0,'Translation-EN'!D3323,"")</f>
        <v/>
      </c>
      <c r="E3323" s="893" t="str">
        <f t="shared" si="7"/>
        <v>Étude BfCA (Tally)</v>
      </c>
    </row>
    <row r="3324" spans="1:5" x14ac:dyDescent="0.3">
      <c r="A3324" s="888" t="str">
        <f>IF(LEN('Translation-EN'!A3324)&gt;0,'Translation-EN'!A3324,"")</f>
        <v>Range</v>
      </c>
      <c r="B3324" s="888" t="str">
        <f>IF(LEN('Translation-EN'!B3324)&gt;0,'Translation-EN'!B3324,"")</f>
        <v>Master sheet</v>
      </c>
      <c r="C3324" s="888" t="str">
        <f>IF(LEN('Translation-EN'!C3324)&gt;0,'Translation-EN'!C3324,"")</f>
        <v>AR377</v>
      </c>
      <c r="D3324" s="888" t="str">
        <f>IF(LEN('Translation-EN'!D3324)&gt;0,'Translation-EN'!D3324,"")</f>
        <v/>
      </c>
      <c r="E3324" s="893" t="str">
        <f t="shared" si="7"/>
        <v>Étude BfCA (Tally)</v>
      </c>
    </row>
    <row r="3325" spans="1:5" x14ac:dyDescent="0.3">
      <c r="A3325" s="888" t="str">
        <f>IF(LEN('Translation-EN'!A3325)&gt;0,'Translation-EN'!A3325,"")</f>
        <v>Range</v>
      </c>
      <c r="B3325" s="888" t="str">
        <f>IF(LEN('Translation-EN'!B3325)&gt;0,'Translation-EN'!B3325,"")</f>
        <v>Master sheet</v>
      </c>
      <c r="C3325" s="888" t="str">
        <f>IF(LEN('Translation-EN'!C3325)&gt;0,'Translation-EN'!C3325,"")</f>
        <v>AR378</v>
      </c>
      <c r="D3325" s="888" t="str">
        <f>IF(LEN('Translation-EN'!D3325)&gt;0,'Translation-EN'!D3325,"")</f>
        <v/>
      </c>
      <c r="E3325" s="893" t="str">
        <f t="shared" si="7"/>
        <v>Étude BfCA (Tally)</v>
      </c>
    </row>
    <row r="3326" spans="1:5" x14ac:dyDescent="0.3">
      <c r="A3326" s="888" t="str">
        <f>IF(LEN('Translation-EN'!A3326)&gt;0,'Translation-EN'!A3326,"")</f>
        <v>Range</v>
      </c>
      <c r="B3326" s="888" t="str">
        <f>IF(LEN('Translation-EN'!B3326)&gt;0,'Translation-EN'!B3326,"")</f>
        <v>Master sheet</v>
      </c>
      <c r="C3326" s="888" t="str">
        <f>IF(LEN('Translation-EN'!C3326)&gt;0,'Translation-EN'!C3326,"")</f>
        <v>AR380</v>
      </c>
      <c r="D3326" s="888" t="str">
        <f>IF(LEN('Translation-EN'!D3326)&gt;0,'Translation-EN'!D3326,"")</f>
        <v/>
      </c>
      <c r="E3326" s="893" t="str">
        <f t="shared" si="7"/>
        <v>Étude BfCA (Tally)</v>
      </c>
    </row>
    <row r="3327" spans="1:5" x14ac:dyDescent="0.3">
      <c r="A3327" s="888" t="str">
        <f>IF(LEN('Translation-EN'!A3327)&gt;0,'Translation-EN'!A3327,"")</f>
        <v>Range</v>
      </c>
      <c r="B3327" s="888" t="str">
        <f>IF(LEN('Translation-EN'!B3327)&gt;0,'Translation-EN'!B3327,"")</f>
        <v>Master sheet</v>
      </c>
      <c r="C3327" s="888" t="str">
        <f>IF(LEN('Translation-EN'!C3327)&gt;0,'Translation-EN'!C3327,"")</f>
        <v>AR382</v>
      </c>
      <c r="D3327" s="888" t="str">
        <f>IF(LEN('Translation-EN'!D3327)&gt;0,'Translation-EN'!D3327,"")</f>
        <v/>
      </c>
      <c r="E3327" s="893" t="str">
        <f t="shared" si="7"/>
        <v>Étude BfCA (Tally)</v>
      </c>
    </row>
    <row r="3328" spans="1:5" x14ac:dyDescent="0.3">
      <c r="A3328" s="888" t="str">
        <f>IF(LEN('Translation-EN'!A3328)&gt;0,'Translation-EN'!A3328,"")</f>
        <v>Range</v>
      </c>
      <c r="B3328" s="888" t="str">
        <f>IF(LEN('Translation-EN'!B3328)&gt;0,'Translation-EN'!B3328,"")</f>
        <v>Master sheet</v>
      </c>
      <c r="C3328" s="888" t="str">
        <f>IF(LEN('Translation-EN'!C3328)&gt;0,'Translation-EN'!C3328,"")</f>
        <v>AR384</v>
      </c>
      <c r="D3328" s="888" t="str">
        <f>IF(LEN('Translation-EN'!D3328)&gt;0,'Translation-EN'!D3328,"")</f>
        <v/>
      </c>
      <c r="E3328" s="893" t="s">
        <v>6684</v>
      </c>
    </row>
    <row r="3329" spans="1:5" x14ac:dyDescent="0.3">
      <c r="A3329" s="888" t="str">
        <f>IF(LEN('Translation-EN'!A3329)&gt;0,'Translation-EN'!A3329,"")</f>
        <v>Range</v>
      </c>
      <c r="B3329" s="888" t="str">
        <f>IF(LEN('Translation-EN'!B3329)&gt;0,'Translation-EN'!B3329,"")</f>
        <v>Master sheet</v>
      </c>
      <c r="C3329" s="888" t="str">
        <f>IF(LEN('Translation-EN'!C3329)&gt;0,'Translation-EN'!C3329,"")</f>
        <v>AR385</v>
      </c>
      <c r="D3329" s="888" t="str">
        <f>IF(LEN('Translation-EN'!D3329)&gt;0,'Translation-EN'!D3329,"")</f>
        <v/>
      </c>
      <c r="E3329" s="893" t="str">
        <f>$E$3328</f>
        <v>ACV indépendante</v>
      </c>
    </row>
    <row r="3330" spans="1:5" x14ac:dyDescent="0.3">
      <c r="A3330" s="888" t="str">
        <f>IF(LEN('Translation-EN'!A3330)&gt;0,'Translation-EN'!A3330,"")</f>
        <v>Formula</v>
      </c>
      <c r="B3330" s="888" t="str">
        <f>IF(LEN('Translation-EN'!B3330)&gt;0,'Translation-EN'!B3330,"")</f>
        <v>_Master sheet</v>
      </c>
      <c r="C3330" s="888" t="str">
        <f>IF(LEN('Translation-EN'!C3330)&gt;0,'Translation-EN'!C3330,"")</f>
        <v>AR379</v>
      </c>
      <c r="D3330" s="888">
        <f>IF(LEN('Translation-EN'!D3330)&gt;0,'Translation-EN'!D3330,"")</f>
        <v>1</v>
      </c>
      <c r="E3330" s="893" t="str">
        <f t="shared" ref="E3330:E3338" si="8">$E$3202</f>
        <v>Expiré</v>
      </c>
    </row>
    <row r="3331" spans="1:5" x14ac:dyDescent="0.3">
      <c r="A3331" s="888" t="str">
        <f>IF(LEN('Translation-EN'!A3331)&gt;0,'Translation-EN'!A3331,"")</f>
        <v>Formula</v>
      </c>
      <c r="B3331" s="888" t="str">
        <f>IF(LEN('Translation-EN'!B3331)&gt;0,'Translation-EN'!B3331,"")</f>
        <v>_Master sheet</v>
      </c>
      <c r="C3331" s="888" t="str">
        <f>IF(LEN('Translation-EN'!C3331)&gt;0,'Translation-EN'!C3331,"")</f>
        <v>AR386</v>
      </c>
      <c r="D3331" s="888">
        <f>IF(LEN('Translation-EN'!D3331)&gt;0,'Translation-EN'!D3331,"")</f>
        <v>1</v>
      </c>
      <c r="E3331" s="893" t="str">
        <f t="shared" si="8"/>
        <v>Expiré</v>
      </c>
    </row>
    <row r="3332" spans="1:5" x14ac:dyDescent="0.3">
      <c r="A3332" s="888" t="str">
        <f>IF(LEN('Translation-EN'!A3332)&gt;0,'Translation-EN'!A3332,"")</f>
        <v>Formula</v>
      </c>
      <c r="B3332" s="888" t="str">
        <f>IF(LEN('Translation-EN'!B3332)&gt;0,'Translation-EN'!B3332,"")</f>
        <v>_Master sheet</v>
      </c>
      <c r="C3332" s="888" t="str">
        <f>IF(LEN('Translation-EN'!C3332)&gt;0,'Translation-EN'!C3332,"")</f>
        <v>AR398</v>
      </c>
      <c r="D3332" s="888">
        <f>IF(LEN('Translation-EN'!D3332)&gt;0,'Translation-EN'!D3332,"")</f>
        <v>1</v>
      </c>
      <c r="E3332" s="893" t="str">
        <f t="shared" si="8"/>
        <v>Expiré</v>
      </c>
    </row>
    <row r="3333" spans="1:5" x14ac:dyDescent="0.3">
      <c r="A3333" s="888" t="str">
        <f>IF(LEN('Translation-EN'!A3333)&gt;0,'Translation-EN'!A3333,"")</f>
        <v>Formula</v>
      </c>
      <c r="B3333" s="888" t="str">
        <f>IF(LEN('Translation-EN'!B3333)&gt;0,'Translation-EN'!B3333,"")</f>
        <v>_Master sheet</v>
      </c>
      <c r="C3333" s="888" t="str">
        <f>IF(LEN('Translation-EN'!C3333)&gt;0,'Translation-EN'!C3333,"")</f>
        <v>AR399</v>
      </c>
      <c r="D3333" s="888">
        <f>IF(LEN('Translation-EN'!D3333)&gt;0,'Translation-EN'!D3333,"")</f>
        <v>1</v>
      </c>
      <c r="E3333" s="893" t="str">
        <f t="shared" si="8"/>
        <v>Expiré</v>
      </c>
    </row>
    <row r="3334" spans="1:5" x14ac:dyDescent="0.3">
      <c r="A3334" s="888" t="str">
        <f>IF(LEN('Translation-EN'!A3334)&gt;0,'Translation-EN'!A3334,"")</f>
        <v>Formula</v>
      </c>
      <c r="B3334" s="888" t="str">
        <f>IF(LEN('Translation-EN'!B3334)&gt;0,'Translation-EN'!B3334,"")</f>
        <v>_Master sheet</v>
      </c>
      <c r="C3334" s="888" t="str">
        <f>IF(LEN('Translation-EN'!C3334)&gt;0,'Translation-EN'!C3334,"")</f>
        <v>AR400</v>
      </c>
      <c r="D3334" s="888">
        <f>IF(LEN('Translation-EN'!D3334)&gt;0,'Translation-EN'!D3334,"")</f>
        <v>1</v>
      </c>
      <c r="E3334" s="893" t="str">
        <f t="shared" si="8"/>
        <v>Expiré</v>
      </c>
    </row>
    <row r="3335" spans="1:5" x14ac:dyDescent="0.3">
      <c r="A3335" s="888" t="str">
        <f>IF(LEN('Translation-EN'!A3335)&gt;0,'Translation-EN'!A3335,"")</f>
        <v>Formula</v>
      </c>
      <c r="B3335" s="888" t="str">
        <f>IF(LEN('Translation-EN'!B3335)&gt;0,'Translation-EN'!B3335,"")</f>
        <v>_Master sheet</v>
      </c>
      <c r="C3335" s="888" t="str">
        <f>IF(LEN('Translation-EN'!C3335)&gt;0,'Translation-EN'!C3335,"")</f>
        <v>AR408</v>
      </c>
      <c r="D3335" s="888">
        <f>IF(LEN('Translation-EN'!D3335)&gt;0,'Translation-EN'!D3335,"")</f>
        <v>1</v>
      </c>
      <c r="E3335" s="893" t="str">
        <f t="shared" si="8"/>
        <v>Expiré</v>
      </c>
    </row>
    <row r="3336" spans="1:5" x14ac:dyDescent="0.3">
      <c r="A3336" s="888" t="str">
        <f>IF(LEN('Translation-EN'!A3336)&gt;0,'Translation-EN'!A3336,"")</f>
        <v>Formula</v>
      </c>
      <c r="B3336" s="888" t="str">
        <f>IF(LEN('Translation-EN'!B3336)&gt;0,'Translation-EN'!B3336,"")</f>
        <v>_Master sheet</v>
      </c>
      <c r="C3336" s="888" t="str">
        <f>IF(LEN('Translation-EN'!C3336)&gt;0,'Translation-EN'!C3336,"")</f>
        <v>AR409</v>
      </c>
      <c r="D3336" s="888">
        <f>IF(LEN('Translation-EN'!D3336)&gt;0,'Translation-EN'!D3336,"")</f>
        <v>1</v>
      </c>
      <c r="E3336" s="893" t="str">
        <f t="shared" si="8"/>
        <v>Expiré</v>
      </c>
    </row>
    <row r="3337" spans="1:5" x14ac:dyDescent="0.3">
      <c r="A3337" s="888" t="str">
        <f>IF(LEN('Translation-EN'!A3337)&gt;0,'Translation-EN'!A3337,"")</f>
        <v>Formula</v>
      </c>
      <c r="B3337" s="888" t="str">
        <f>IF(LEN('Translation-EN'!B3337)&gt;0,'Translation-EN'!B3337,"")</f>
        <v>_Master sheet</v>
      </c>
      <c r="C3337" s="888" t="str">
        <f>IF(LEN('Translation-EN'!C3337)&gt;0,'Translation-EN'!C3337,"")</f>
        <v>AR411</v>
      </c>
      <c r="D3337" s="888">
        <f>IF(LEN('Translation-EN'!D3337)&gt;0,'Translation-EN'!D3337,"")</f>
        <v>1</v>
      </c>
      <c r="E3337" s="893" t="str">
        <f t="shared" si="8"/>
        <v>Expiré</v>
      </c>
    </row>
    <row r="3338" spans="1:5" x14ac:dyDescent="0.3">
      <c r="A3338" s="888" t="str">
        <f>IF(LEN('Translation-EN'!A3338)&gt;0,'Translation-EN'!A3338,"")</f>
        <v>Formula</v>
      </c>
      <c r="B3338" s="888" t="str">
        <f>IF(LEN('Translation-EN'!B3338)&gt;0,'Translation-EN'!B3338,"")</f>
        <v>_Master sheet</v>
      </c>
      <c r="C3338" s="888" t="str">
        <f>IF(LEN('Translation-EN'!C3338)&gt;0,'Translation-EN'!C3338,"")</f>
        <v>AR412</v>
      </c>
      <c r="D3338" s="888">
        <f>IF(LEN('Translation-EN'!D3338)&gt;0,'Translation-EN'!D3338,"")</f>
        <v>1</v>
      </c>
      <c r="E3338" s="893" t="str">
        <f t="shared" si="8"/>
        <v>Expiré</v>
      </c>
    </row>
    <row r="3339" spans="1:5" x14ac:dyDescent="0.3">
      <c r="A3339" s="888" t="str">
        <f>IF(LEN('Translation-EN'!A3339)&gt;0,'Translation-EN'!A3339,"")</f>
        <v>Range</v>
      </c>
      <c r="B3339" s="888" t="str">
        <f>IF(LEN('Translation-EN'!B3339)&gt;0,'Translation-EN'!B3339,"")</f>
        <v>Master sheet</v>
      </c>
      <c r="C3339" s="888" t="str">
        <f>IF(LEN('Translation-EN'!C3339)&gt;0,'Translation-EN'!C3339,"")</f>
        <v>AR431</v>
      </c>
      <c r="D3339" s="888" t="str">
        <f>IF(LEN('Translation-EN'!D3339)&gt;0,'Translation-EN'!D3339,"")</f>
        <v/>
      </c>
      <c r="E3339" s="893" t="str">
        <f>$E$3304</f>
        <v>A1-B1</v>
      </c>
    </row>
    <row r="3340" spans="1:5" x14ac:dyDescent="0.3">
      <c r="A3340" s="888" t="str">
        <f>IF(LEN('Translation-EN'!A3340)&gt;0,'Translation-EN'!A3340,"")</f>
        <v>Formula</v>
      </c>
      <c r="B3340" s="888" t="str">
        <f>IF(LEN('Translation-EN'!B3340)&gt;0,'Translation-EN'!B3340,"")</f>
        <v>_Master sheet</v>
      </c>
      <c r="C3340" s="888" t="str">
        <f>IF(LEN('Translation-EN'!C3340)&gt;0,'Translation-EN'!C3340,"")</f>
        <v>AR416</v>
      </c>
      <c r="D3340" s="888">
        <f>IF(LEN('Translation-EN'!D3340)&gt;0,'Translation-EN'!D3340,"")</f>
        <v>1</v>
      </c>
      <c r="E3340" s="893" t="str">
        <f>$E$3202</f>
        <v>Expiré</v>
      </c>
    </row>
    <row r="3341" spans="1:5" x14ac:dyDescent="0.3">
      <c r="A3341" s="888" t="str">
        <f>IF(LEN('Translation-EN'!A3341)&gt;0,'Translation-EN'!A3341,"")</f>
        <v>Formula</v>
      </c>
      <c r="B3341" s="888" t="str">
        <f>IF(LEN('Translation-EN'!B3341)&gt;0,'Translation-EN'!B3341,"")</f>
        <v>_Master sheet</v>
      </c>
      <c r="C3341" s="888" t="str">
        <f>IF(LEN('Translation-EN'!C3341)&gt;0,'Translation-EN'!C3341,"")</f>
        <v>AR417</v>
      </c>
      <c r="D3341" s="888">
        <f>IF(LEN('Translation-EN'!D3341)&gt;0,'Translation-EN'!D3341,"")</f>
        <v>1</v>
      </c>
      <c r="E3341" s="893" t="str">
        <f>$E$3202</f>
        <v>Expiré</v>
      </c>
    </row>
    <row r="3342" spans="1:5" x14ac:dyDescent="0.3">
      <c r="A3342" s="888" t="str">
        <f>IF(LEN('Translation-EN'!A3342)&gt;0,'Translation-EN'!A3342,"")</f>
        <v>Formula</v>
      </c>
      <c r="B3342" s="888" t="str">
        <f>IF(LEN('Translation-EN'!B3342)&gt;0,'Translation-EN'!B3342,"")</f>
        <v>_Master sheet</v>
      </c>
      <c r="C3342" s="888" t="str">
        <f>IF(LEN('Translation-EN'!C3342)&gt;0,'Translation-EN'!C3342,"")</f>
        <v>AR418</v>
      </c>
      <c r="D3342" s="888">
        <f>IF(LEN('Translation-EN'!D3342)&gt;0,'Translation-EN'!D3342,"")</f>
        <v>1</v>
      </c>
      <c r="E3342" s="893" t="str">
        <f>$E$3202</f>
        <v>Expiré</v>
      </c>
    </row>
    <row r="3343" spans="1:5" x14ac:dyDescent="0.3">
      <c r="A3343" s="888" t="str">
        <f>IF(LEN('Translation-EN'!A3343)&gt;0,'Translation-EN'!A3343,"")</f>
        <v>Formula</v>
      </c>
      <c r="B3343" s="888" t="str">
        <f>IF(LEN('Translation-EN'!B3343)&gt;0,'Translation-EN'!B3343,"")</f>
        <v>_Master sheet</v>
      </c>
      <c r="C3343" s="888" t="str">
        <f>IF(LEN('Translation-EN'!C3343)&gt;0,'Translation-EN'!C3343,"")</f>
        <v>AR419</v>
      </c>
      <c r="D3343" s="888">
        <f>IF(LEN('Translation-EN'!D3343)&gt;0,'Translation-EN'!D3343,"")</f>
        <v>1</v>
      </c>
      <c r="E3343" s="893" t="str">
        <f>$E$3202</f>
        <v>Expiré</v>
      </c>
    </row>
    <row r="3344" spans="1:5" x14ac:dyDescent="0.3">
      <c r="A3344" s="888" t="str">
        <f>IF(LEN('Translation-EN'!A3344)&gt;0,'Translation-EN'!A3344,"")</f>
        <v>Formula</v>
      </c>
      <c r="B3344" s="888" t="str">
        <f>IF(LEN('Translation-EN'!B3344)&gt;0,'Translation-EN'!B3344,"")</f>
        <v>_Master sheet</v>
      </c>
      <c r="C3344" s="888" t="str">
        <f>IF(LEN('Translation-EN'!C3344)&gt;0,'Translation-EN'!C3344,"")</f>
        <v>AR420</v>
      </c>
      <c r="D3344" s="888">
        <f>IF(LEN('Translation-EN'!D3344)&gt;0,'Translation-EN'!D3344,"")</f>
        <v>1</v>
      </c>
      <c r="E3344" s="893" t="str">
        <f>$E$3202</f>
        <v>Expiré</v>
      </c>
    </row>
    <row r="3345" spans="1:5" x14ac:dyDescent="0.3">
      <c r="A3345" s="888" t="str">
        <f>IF(LEN('Translation-EN'!A3345)&gt;0,'Translation-EN'!A3345,"")</f>
        <v>Range</v>
      </c>
      <c r="B3345" s="888" t="str">
        <f>IF(LEN('Translation-EN'!B3345)&gt;0,'Translation-EN'!B3345,"")</f>
        <v>Master sheet</v>
      </c>
      <c r="C3345" s="888" t="str">
        <f>IF(LEN('Translation-EN'!C3345)&gt;0,'Translation-EN'!C3345,"")</f>
        <v>AR437</v>
      </c>
      <c r="D3345" s="888" t="str">
        <f>IF(LEN('Translation-EN'!D3345)&gt;0,'Translation-EN'!D3345,"")</f>
        <v/>
      </c>
      <c r="E3345" s="893" t="s">
        <v>6685</v>
      </c>
    </row>
    <row r="3346" spans="1:5" x14ac:dyDescent="0.3">
      <c r="A3346" s="888" t="str">
        <f>IF(LEN('Translation-EN'!A3346)&gt;0,'Translation-EN'!A3346,"")</f>
        <v>Range</v>
      </c>
      <c r="B3346" s="888" t="str">
        <f>IF(LEN('Translation-EN'!B3346)&gt;0,'Translation-EN'!B3346,"")</f>
        <v>Master sheet</v>
      </c>
      <c r="C3346" s="888" t="str">
        <f>IF(LEN('Translation-EN'!C3346)&gt;0,'Translation-EN'!C3346,"")</f>
        <v>AR438</v>
      </c>
      <c r="D3346" s="888" t="str">
        <f>IF(LEN('Translation-EN'!D3346)&gt;0,'Translation-EN'!D3346,"")</f>
        <v/>
      </c>
      <c r="E3346" s="893" t="str">
        <f>$E$3345</f>
        <v>ACV composite</v>
      </c>
    </row>
    <row r="3347" spans="1:5" x14ac:dyDescent="0.3">
      <c r="A3347" s="888" t="str">
        <f>IF(LEN('Translation-EN'!A3347)&gt;0,'Translation-EN'!A3347,"")</f>
        <v>Range</v>
      </c>
      <c r="B3347" s="888" t="str">
        <f>IF(LEN('Translation-EN'!B3347)&gt;0,'Translation-EN'!B3347,"")</f>
        <v>Master sheet</v>
      </c>
      <c r="C3347" s="888" t="str">
        <f>IF(LEN('Translation-EN'!C3347)&gt;0,'Translation-EN'!C3347,"")</f>
        <v>AR439</v>
      </c>
      <c r="D3347" s="888" t="str">
        <f>IF(LEN('Translation-EN'!D3347)&gt;0,'Translation-EN'!D3347,"")</f>
        <v/>
      </c>
      <c r="E3347" s="893" t="str">
        <f>$E$3345</f>
        <v>ACV composite</v>
      </c>
    </row>
    <row r="3348" spans="1:5" x14ac:dyDescent="0.3">
      <c r="A3348" s="888" t="str">
        <f>IF(LEN('Translation-EN'!A3348)&gt;0,'Translation-EN'!A3348,"")</f>
        <v>Range</v>
      </c>
      <c r="B3348" s="888" t="str">
        <f>IF(LEN('Translation-EN'!B3348)&gt;0,'Translation-EN'!B3348,"")</f>
        <v>Master sheet</v>
      </c>
      <c r="C3348" s="888" t="str">
        <f>IF(LEN('Translation-EN'!C3348)&gt;0,'Translation-EN'!C3348,"")</f>
        <v>AR440</v>
      </c>
      <c r="D3348" s="888" t="str">
        <f>IF(LEN('Translation-EN'!D3348)&gt;0,'Translation-EN'!D3348,"")</f>
        <v/>
      </c>
      <c r="E3348" s="893" t="str">
        <f>$E$3345</f>
        <v>ACV composite</v>
      </c>
    </row>
    <row r="3349" spans="1:5" x14ac:dyDescent="0.3">
      <c r="A3349" s="888" t="str">
        <f>IF(LEN('Translation-EN'!A3349)&gt;0,'Translation-EN'!A3349,"")</f>
        <v>Formula</v>
      </c>
      <c r="B3349" s="888" t="str">
        <f>IF(LEN('Translation-EN'!B3349)&gt;0,'Translation-EN'!B3349,"")</f>
        <v>_Master sheet</v>
      </c>
      <c r="C3349" s="888" t="str">
        <f>IF(LEN('Translation-EN'!C3349)&gt;0,'Translation-EN'!C3349,"")</f>
        <v>AR425</v>
      </c>
      <c r="D3349" s="888">
        <f>IF(LEN('Translation-EN'!D3349)&gt;0,'Translation-EN'!D3349,"")</f>
        <v>1</v>
      </c>
      <c r="E3349" s="893" t="str">
        <f>$E$3202</f>
        <v>Expiré</v>
      </c>
    </row>
    <row r="3350" spans="1:5" x14ac:dyDescent="0.3">
      <c r="A3350" s="888" t="str">
        <f>IF(LEN('Translation-EN'!A3350)&gt;0,'Translation-EN'!A3350,"")</f>
        <v>Range</v>
      </c>
      <c r="B3350" s="888" t="str">
        <f>IF(LEN('Translation-EN'!B3350)&gt;0,'Translation-EN'!B3350,"")</f>
        <v>Master sheet</v>
      </c>
      <c r="C3350" s="888" t="str">
        <f>IF(LEN('Translation-EN'!C3350)&gt;0,'Translation-EN'!C3350,"")</f>
        <v>AR442</v>
      </c>
      <c r="D3350" s="888" t="str">
        <f>IF(LEN('Translation-EN'!D3350)&gt;0,'Translation-EN'!D3350,"")</f>
        <v/>
      </c>
      <c r="E3350" s="893" t="str">
        <f>$E$3345</f>
        <v>ACV composite</v>
      </c>
    </row>
    <row r="3351" spans="1:5" x14ac:dyDescent="0.3">
      <c r="A3351" s="888" t="str">
        <f>IF(LEN('Translation-EN'!A3351)&gt;0,'Translation-EN'!A3351,"")</f>
        <v>Formula</v>
      </c>
      <c r="B3351" s="888" t="str">
        <f>IF(LEN('Translation-EN'!B3351)&gt;0,'Translation-EN'!B3351,"")</f>
        <v>_Master sheet</v>
      </c>
      <c r="C3351" s="888" t="str">
        <f>IF(LEN('Translation-EN'!C3351)&gt;0,'Translation-EN'!C3351,"")</f>
        <v>AR427</v>
      </c>
      <c r="D3351" s="888">
        <f>IF(LEN('Translation-EN'!D3351)&gt;0,'Translation-EN'!D3351,"")</f>
        <v>1</v>
      </c>
      <c r="E3351" s="893" t="str">
        <f t="shared" ref="E3351:E3382" si="9">$E$3202</f>
        <v>Expiré</v>
      </c>
    </row>
    <row r="3352" spans="1:5" x14ac:dyDescent="0.3">
      <c r="A3352" s="888" t="str">
        <f>IF(LEN('Translation-EN'!A3352)&gt;0,'Translation-EN'!A3352,"")</f>
        <v>Formula</v>
      </c>
      <c r="B3352" s="888" t="str">
        <f>IF(LEN('Translation-EN'!B3352)&gt;0,'Translation-EN'!B3352,"")</f>
        <v>_Master sheet</v>
      </c>
      <c r="C3352" s="888" t="str">
        <f>IF(LEN('Translation-EN'!C3352)&gt;0,'Translation-EN'!C3352,"")</f>
        <v>AR428</v>
      </c>
      <c r="D3352" s="888">
        <f>IF(LEN('Translation-EN'!D3352)&gt;0,'Translation-EN'!D3352,"")</f>
        <v>1</v>
      </c>
      <c r="E3352" s="893" t="str">
        <f t="shared" si="9"/>
        <v>Expiré</v>
      </c>
    </row>
    <row r="3353" spans="1:5" x14ac:dyDescent="0.3">
      <c r="A3353" s="888" t="str">
        <f>IF(LEN('Translation-EN'!A3353)&gt;0,'Translation-EN'!A3353,"")</f>
        <v>Formula</v>
      </c>
      <c r="B3353" s="888" t="str">
        <f>IF(LEN('Translation-EN'!B3353)&gt;0,'Translation-EN'!B3353,"")</f>
        <v>_Master sheet</v>
      </c>
      <c r="C3353" s="888" t="str">
        <f>IF(LEN('Translation-EN'!C3353)&gt;0,'Translation-EN'!C3353,"")</f>
        <v>AR429</v>
      </c>
      <c r="D3353" s="888">
        <f>IF(LEN('Translation-EN'!D3353)&gt;0,'Translation-EN'!D3353,"")</f>
        <v>1</v>
      </c>
      <c r="E3353" s="893" t="str">
        <f t="shared" si="9"/>
        <v>Expiré</v>
      </c>
    </row>
    <row r="3354" spans="1:5" x14ac:dyDescent="0.3">
      <c r="A3354" s="888" t="str">
        <f>IF(LEN('Translation-EN'!A3354)&gt;0,'Translation-EN'!A3354,"")</f>
        <v>Formula</v>
      </c>
      <c r="B3354" s="888" t="str">
        <f>IF(LEN('Translation-EN'!B3354)&gt;0,'Translation-EN'!B3354,"")</f>
        <v>_Master sheet</v>
      </c>
      <c r="C3354" s="888" t="str">
        <f>IF(LEN('Translation-EN'!C3354)&gt;0,'Translation-EN'!C3354,"")</f>
        <v>AR430</v>
      </c>
      <c r="D3354" s="888">
        <f>IF(LEN('Translation-EN'!D3354)&gt;0,'Translation-EN'!D3354,"")</f>
        <v>1</v>
      </c>
      <c r="E3354" s="893" t="str">
        <f t="shared" si="9"/>
        <v>Expiré</v>
      </c>
    </row>
    <row r="3355" spans="1:5" x14ac:dyDescent="0.3">
      <c r="A3355" s="888" t="str">
        <f>IF(LEN('Translation-EN'!A3355)&gt;0,'Translation-EN'!A3355,"")</f>
        <v>Formula</v>
      </c>
      <c r="B3355" s="888" t="str">
        <f>IF(LEN('Translation-EN'!B3355)&gt;0,'Translation-EN'!B3355,"")</f>
        <v>_Master sheet</v>
      </c>
      <c r="C3355" s="888" t="str">
        <f>IF(LEN('Translation-EN'!C3355)&gt;0,'Translation-EN'!C3355,"")</f>
        <v>AR431</v>
      </c>
      <c r="D3355" s="888">
        <f>IF(LEN('Translation-EN'!D3355)&gt;0,'Translation-EN'!D3355,"")</f>
        <v>1</v>
      </c>
      <c r="E3355" s="893" t="str">
        <f t="shared" si="9"/>
        <v>Expiré</v>
      </c>
    </row>
    <row r="3356" spans="1:5" x14ac:dyDescent="0.3">
      <c r="A3356" s="888" t="str">
        <f>IF(LEN('Translation-EN'!A3356)&gt;0,'Translation-EN'!A3356,"")</f>
        <v>Formula</v>
      </c>
      <c r="B3356" s="888" t="str">
        <f>IF(LEN('Translation-EN'!B3356)&gt;0,'Translation-EN'!B3356,"")</f>
        <v>_Master sheet</v>
      </c>
      <c r="C3356" s="888" t="str">
        <f>IF(LEN('Translation-EN'!C3356)&gt;0,'Translation-EN'!C3356,"")</f>
        <v>AR432</v>
      </c>
      <c r="D3356" s="888">
        <f>IF(LEN('Translation-EN'!D3356)&gt;0,'Translation-EN'!D3356,"")</f>
        <v>1</v>
      </c>
      <c r="E3356" s="893" t="str">
        <f t="shared" si="9"/>
        <v>Expiré</v>
      </c>
    </row>
    <row r="3357" spans="1:5" x14ac:dyDescent="0.3">
      <c r="A3357" s="888" t="str">
        <f>IF(LEN('Translation-EN'!A3357)&gt;0,'Translation-EN'!A3357,"")</f>
        <v>Formula</v>
      </c>
      <c r="B3357" s="888" t="str">
        <f>IF(LEN('Translation-EN'!B3357)&gt;0,'Translation-EN'!B3357,"")</f>
        <v>_Master sheet</v>
      </c>
      <c r="C3357" s="888" t="str">
        <f>IF(LEN('Translation-EN'!C3357)&gt;0,'Translation-EN'!C3357,"")</f>
        <v>AR433</v>
      </c>
      <c r="D3357" s="888">
        <f>IF(LEN('Translation-EN'!D3357)&gt;0,'Translation-EN'!D3357,"")</f>
        <v>1</v>
      </c>
      <c r="E3357" s="893" t="str">
        <f t="shared" si="9"/>
        <v>Expiré</v>
      </c>
    </row>
    <row r="3358" spans="1:5" x14ac:dyDescent="0.3">
      <c r="A3358" s="888" t="str">
        <f>IF(LEN('Translation-EN'!A3358)&gt;0,'Translation-EN'!A3358,"")</f>
        <v>Formula</v>
      </c>
      <c r="B3358" s="888" t="str">
        <f>IF(LEN('Translation-EN'!B3358)&gt;0,'Translation-EN'!B3358,"")</f>
        <v>_Master sheet</v>
      </c>
      <c r="C3358" s="888" t="str">
        <f>IF(LEN('Translation-EN'!C3358)&gt;0,'Translation-EN'!C3358,"")</f>
        <v>AR434</v>
      </c>
      <c r="D3358" s="888">
        <f>IF(LEN('Translation-EN'!D3358)&gt;0,'Translation-EN'!D3358,"")</f>
        <v>1</v>
      </c>
      <c r="E3358" s="893" t="str">
        <f t="shared" si="9"/>
        <v>Expiré</v>
      </c>
    </row>
    <row r="3359" spans="1:5" x14ac:dyDescent="0.3">
      <c r="A3359" s="888" t="str">
        <f>IF(LEN('Translation-EN'!A3359)&gt;0,'Translation-EN'!A3359,"")</f>
        <v>Formula</v>
      </c>
      <c r="B3359" s="888" t="str">
        <f>IF(LEN('Translation-EN'!B3359)&gt;0,'Translation-EN'!B3359,"")</f>
        <v>_Master sheet</v>
      </c>
      <c r="C3359" s="888" t="str">
        <f>IF(LEN('Translation-EN'!C3359)&gt;0,'Translation-EN'!C3359,"")</f>
        <v>AR435</v>
      </c>
      <c r="D3359" s="888">
        <f>IF(LEN('Translation-EN'!D3359)&gt;0,'Translation-EN'!D3359,"")</f>
        <v>1</v>
      </c>
      <c r="E3359" s="893" t="str">
        <f t="shared" si="9"/>
        <v>Expiré</v>
      </c>
    </row>
    <row r="3360" spans="1:5" x14ac:dyDescent="0.3">
      <c r="A3360" s="888" t="str">
        <f>IF(LEN('Translation-EN'!A3360)&gt;0,'Translation-EN'!A3360,"")</f>
        <v>Formula</v>
      </c>
      <c r="B3360" s="888" t="str">
        <f>IF(LEN('Translation-EN'!B3360)&gt;0,'Translation-EN'!B3360,"")</f>
        <v>_Master sheet</v>
      </c>
      <c r="C3360" s="888" t="str">
        <f>IF(LEN('Translation-EN'!C3360)&gt;0,'Translation-EN'!C3360,"")</f>
        <v>AR436</v>
      </c>
      <c r="D3360" s="888">
        <f>IF(LEN('Translation-EN'!D3360)&gt;0,'Translation-EN'!D3360,"")</f>
        <v>1</v>
      </c>
      <c r="E3360" s="893" t="str">
        <f t="shared" si="9"/>
        <v>Expiré</v>
      </c>
    </row>
    <row r="3361" spans="1:5" x14ac:dyDescent="0.3">
      <c r="A3361" s="888" t="str">
        <f>IF(LEN('Translation-EN'!A3361)&gt;0,'Translation-EN'!A3361,"")</f>
        <v>Formula</v>
      </c>
      <c r="B3361" s="888" t="str">
        <f>IF(LEN('Translation-EN'!B3361)&gt;0,'Translation-EN'!B3361,"")</f>
        <v>_Master sheet</v>
      </c>
      <c r="C3361" s="888" t="str">
        <f>IF(LEN('Translation-EN'!C3361)&gt;0,'Translation-EN'!C3361,"")</f>
        <v>AR437</v>
      </c>
      <c r="D3361" s="888">
        <f>IF(LEN('Translation-EN'!D3361)&gt;0,'Translation-EN'!D3361,"")</f>
        <v>1</v>
      </c>
      <c r="E3361" s="893" t="str">
        <f t="shared" si="9"/>
        <v>Expiré</v>
      </c>
    </row>
    <row r="3362" spans="1:5" x14ac:dyDescent="0.3">
      <c r="A3362" s="888" t="str">
        <f>IF(LEN('Translation-EN'!A3362)&gt;0,'Translation-EN'!A3362,"")</f>
        <v>Formula</v>
      </c>
      <c r="B3362" s="888" t="str">
        <f>IF(LEN('Translation-EN'!B3362)&gt;0,'Translation-EN'!B3362,"")</f>
        <v>_Master sheet</v>
      </c>
      <c r="C3362" s="888" t="str">
        <f>IF(LEN('Translation-EN'!C3362)&gt;0,'Translation-EN'!C3362,"")</f>
        <v>AR438</v>
      </c>
      <c r="D3362" s="888">
        <f>IF(LEN('Translation-EN'!D3362)&gt;0,'Translation-EN'!D3362,"")</f>
        <v>1</v>
      </c>
      <c r="E3362" s="893" t="str">
        <f t="shared" si="9"/>
        <v>Expiré</v>
      </c>
    </row>
    <row r="3363" spans="1:5" x14ac:dyDescent="0.3">
      <c r="A3363" s="888" t="str">
        <f>IF(LEN('Translation-EN'!A3363)&gt;0,'Translation-EN'!A3363,"")</f>
        <v>Formula</v>
      </c>
      <c r="B3363" s="888" t="str">
        <f>IF(LEN('Translation-EN'!B3363)&gt;0,'Translation-EN'!B3363,"")</f>
        <v>_Master sheet</v>
      </c>
      <c r="C3363" s="888" t="str">
        <f>IF(LEN('Translation-EN'!C3363)&gt;0,'Translation-EN'!C3363,"")</f>
        <v>AR439</v>
      </c>
      <c r="D3363" s="888">
        <f>IF(LEN('Translation-EN'!D3363)&gt;0,'Translation-EN'!D3363,"")</f>
        <v>1</v>
      </c>
      <c r="E3363" s="893" t="str">
        <f t="shared" si="9"/>
        <v>Expiré</v>
      </c>
    </row>
    <row r="3364" spans="1:5" x14ac:dyDescent="0.3">
      <c r="A3364" s="888" t="str">
        <f>IF(LEN('Translation-EN'!A3364)&gt;0,'Translation-EN'!A3364,"")</f>
        <v>Formula</v>
      </c>
      <c r="B3364" s="888" t="str">
        <f>IF(LEN('Translation-EN'!B3364)&gt;0,'Translation-EN'!B3364,"")</f>
        <v>_Master sheet</v>
      </c>
      <c r="C3364" s="888" t="str">
        <f>IF(LEN('Translation-EN'!C3364)&gt;0,'Translation-EN'!C3364,"")</f>
        <v>AR440</v>
      </c>
      <c r="D3364" s="888">
        <f>IF(LEN('Translation-EN'!D3364)&gt;0,'Translation-EN'!D3364,"")</f>
        <v>1</v>
      </c>
      <c r="E3364" s="893" t="str">
        <f t="shared" si="9"/>
        <v>Expiré</v>
      </c>
    </row>
    <row r="3365" spans="1:5" x14ac:dyDescent="0.3">
      <c r="A3365" s="888" t="str">
        <f>IF(LEN('Translation-EN'!A3365)&gt;0,'Translation-EN'!A3365,"")</f>
        <v>Formula</v>
      </c>
      <c r="B3365" s="888" t="str">
        <f>IF(LEN('Translation-EN'!B3365)&gt;0,'Translation-EN'!B3365,"")</f>
        <v>_Master sheet</v>
      </c>
      <c r="C3365" s="888" t="str">
        <f>IF(LEN('Translation-EN'!C3365)&gt;0,'Translation-EN'!C3365,"")</f>
        <v>AR441</v>
      </c>
      <c r="D3365" s="888">
        <f>IF(LEN('Translation-EN'!D3365)&gt;0,'Translation-EN'!D3365,"")</f>
        <v>1</v>
      </c>
      <c r="E3365" s="893" t="str">
        <f t="shared" si="9"/>
        <v>Expiré</v>
      </c>
    </row>
    <row r="3366" spans="1:5" x14ac:dyDescent="0.3">
      <c r="A3366" s="888" t="str">
        <f>IF(LEN('Translation-EN'!A3366)&gt;0,'Translation-EN'!A3366,"")</f>
        <v>Formula</v>
      </c>
      <c r="B3366" s="888" t="str">
        <f>IF(LEN('Translation-EN'!B3366)&gt;0,'Translation-EN'!B3366,"")</f>
        <v>_Master sheet</v>
      </c>
      <c r="C3366" s="888" t="str">
        <f>IF(LEN('Translation-EN'!C3366)&gt;0,'Translation-EN'!C3366,"")</f>
        <v>AR442</v>
      </c>
      <c r="D3366" s="888">
        <f>IF(LEN('Translation-EN'!D3366)&gt;0,'Translation-EN'!D3366,"")</f>
        <v>1</v>
      </c>
      <c r="E3366" s="893" t="str">
        <f t="shared" si="9"/>
        <v>Expiré</v>
      </c>
    </row>
    <row r="3367" spans="1:5" x14ac:dyDescent="0.3">
      <c r="A3367" s="888" t="str">
        <f>IF(LEN('Translation-EN'!A3367)&gt;0,'Translation-EN'!A3367,"")</f>
        <v>Formula</v>
      </c>
      <c r="B3367" s="888" t="str">
        <f>IF(LEN('Translation-EN'!B3367)&gt;0,'Translation-EN'!B3367,"")</f>
        <v>_Master sheet</v>
      </c>
      <c r="C3367" s="888" t="str">
        <f>IF(LEN('Translation-EN'!C3367)&gt;0,'Translation-EN'!C3367,"")</f>
        <v>AR443</v>
      </c>
      <c r="D3367" s="888">
        <f>IF(LEN('Translation-EN'!D3367)&gt;0,'Translation-EN'!D3367,"")</f>
        <v>1</v>
      </c>
      <c r="E3367" s="893" t="str">
        <f t="shared" si="9"/>
        <v>Expiré</v>
      </c>
    </row>
    <row r="3368" spans="1:5" x14ac:dyDescent="0.3">
      <c r="A3368" s="888" t="str">
        <f>IF(LEN('Translation-EN'!A3368)&gt;0,'Translation-EN'!A3368,"")</f>
        <v>Formula</v>
      </c>
      <c r="B3368" s="888" t="str">
        <f>IF(LEN('Translation-EN'!B3368)&gt;0,'Translation-EN'!B3368,"")</f>
        <v>_Master sheet</v>
      </c>
      <c r="C3368" s="888" t="str">
        <f>IF(LEN('Translation-EN'!C3368)&gt;0,'Translation-EN'!C3368,"")</f>
        <v>AR444</v>
      </c>
      <c r="D3368" s="888">
        <f>IF(LEN('Translation-EN'!D3368)&gt;0,'Translation-EN'!D3368,"")</f>
        <v>1</v>
      </c>
      <c r="E3368" s="893" t="str">
        <f t="shared" si="9"/>
        <v>Expiré</v>
      </c>
    </row>
    <row r="3369" spans="1:5" x14ac:dyDescent="0.3">
      <c r="A3369" s="888" t="str">
        <f>IF(LEN('Translation-EN'!A3369)&gt;0,'Translation-EN'!A3369,"")</f>
        <v>Formula</v>
      </c>
      <c r="B3369" s="888" t="str">
        <f>IF(LEN('Translation-EN'!B3369)&gt;0,'Translation-EN'!B3369,"")</f>
        <v>_Master sheet</v>
      </c>
      <c r="C3369" s="888" t="str">
        <f>IF(LEN('Translation-EN'!C3369)&gt;0,'Translation-EN'!C3369,"")</f>
        <v>AR445</v>
      </c>
      <c r="D3369" s="888">
        <f>IF(LEN('Translation-EN'!D3369)&gt;0,'Translation-EN'!D3369,"")</f>
        <v>1</v>
      </c>
      <c r="E3369" s="893" t="str">
        <f t="shared" si="9"/>
        <v>Expiré</v>
      </c>
    </row>
    <row r="3370" spans="1:5" x14ac:dyDescent="0.3">
      <c r="A3370" s="888" t="str">
        <f>IF(LEN('Translation-EN'!A3370)&gt;0,'Translation-EN'!A3370,"")</f>
        <v>Formula</v>
      </c>
      <c r="B3370" s="888" t="str">
        <f>IF(LEN('Translation-EN'!B3370)&gt;0,'Translation-EN'!B3370,"")</f>
        <v>_Master sheet</v>
      </c>
      <c r="C3370" s="888" t="str">
        <f>IF(LEN('Translation-EN'!C3370)&gt;0,'Translation-EN'!C3370,"")</f>
        <v>AR446</v>
      </c>
      <c r="D3370" s="888">
        <f>IF(LEN('Translation-EN'!D3370)&gt;0,'Translation-EN'!D3370,"")</f>
        <v>1</v>
      </c>
      <c r="E3370" s="893" t="str">
        <f t="shared" si="9"/>
        <v>Expiré</v>
      </c>
    </row>
    <row r="3371" spans="1:5" x14ac:dyDescent="0.3">
      <c r="A3371" s="888" t="str">
        <f>IF(LEN('Translation-EN'!A3371)&gt;0,'Translation-EN'!A3371,"")</f>
        <v>Formula</v>
      </c>
      <c r="B3371" s="888" t="str">
        <f>IF(LEN('Translation-EN'!B3371)&gt;0,'Translation-EN'!B3371,"")</f>
        <v>_Master sheet</v>
      </c>
      <c r="C3371" s="888" t="str">
        <f>IF(LEN('Translation-EN'!C3371)&gt;0,'Translation-EN'!C3371,"")</f>
        <v>AR447</v>
      </c>
      <c r="D3371" s="888">
        <f>IF(LEN('Translation-EN'!D3371)&gt;0,'Translation-EN'!D3371,"")</f>
        <v>1</v>
      </c>
      <c r="E3371" s="893" t="str">
        <f t="shared" si="9"/>
        <v>Expiré</v>
      </c>
    </row>
    <row r="3372" spans="1:5" x14ac:dyDescent="0.3">
      <c r="A3372" s="888" t="str">
        <f>IF(LEN('Translation-EN'!A3372)&gt;0,'Translation-EN'!A3372,"")</f>
        <v>Formula</v>
      </c>
      <c r="B3372" s="888" t="str">
        <f>IF(LEN('Translation-EN'!B3372)&gt;0,'Translation-EN'!B3372,"")</f>
        <v>_Master sheet</v>
      </c>
      <c r="C3372" s="888" t="str">
        <f>IF(LEN('Translation-EN'!C3372)&gt;0,'Translation-EN'!C3372,"")</f>
        <v>AR448</v>
      </c>
      <c r="D3372" s="888">
        <f>IF(LEN('Translation-EN'!D3372)&gt;0,'Translation-EN'!D3372,"")</f>
        <v>1</v>
      </c>
      <c r="E3372" s="893" t="str">
        <f t="shared" si="9"/>
        <v>Expiré</v>
      </c>
    </row>
    <row r="3373" spans="1:5" x14ac:dyDescent="0.3">
      <c r="A3373" s="888" t="str">
        <f>IF(LEN('Translation-EN'!A3373)&gt;0,'Translation-EN'!A3373,"")</f>
        <v>Formula</v>
      </c>
      <c r="B3373" s="888" t="str">
        <f>IF(LEN('Translation-EN'!B3373)&gt;0,'Translation-EN'!B3373,"")</f>
        <v>_Master sheet</v>
      </c>
      <c r="C3373" s="888" t="str">
        <f>IF(LEN('Translation-EN'!C3373)&gt;0,'Translation-EN'!C3373,"")</f>
        <v>AR449</v>
      </c>
      <c r="D3373" s="888">
        <f>IF(LEN('Translation-EN'!D3373)&gt;0,'Translation-EN'!D3373,"")</f>
        <v>1</v>
      </c>
      <c r="E3373" s="893" t="str">
        <f t="shared" si="9"/>
        <v>Expiré</v>
      </c>
    </row>
    <row r="3374" spans="1:5" x14ac:dyDescent="0.3">
      <c r="A3374" s="888" t="str">
        <f>IF(LEN('Translation-EN'!A3374)&gt;0,'Translation-EN'!A3374,"")</f>
        <v>Formula</v>
      </c>
      <c r="B3374" s="888" t="str">
        <f>IF(LEN('Translation-EN'!B3374)&gt;0,'Translation-EN'!B3374,"")</f>
        <v>_Master sheet</v>
      </c>
      <c r="C3374" s="888" t="str">
        <f>IF(LEN('Translation-EN'!C3374)&gt;0,'Translation-EN'!C3374,"")</f>
        <v>AR450</v>
      </c>
      <c r="D3374" s="888">
        <f>IF(LEN('Translation-EN'!D3374)&gt;0,'Translation-EN'!D3374,"")</f>
        <v>1</v>
      </c>
      <c r="E3374" s="893" t="str">
        <f t="shared" si="9"/>
        <v>Expiré</v>
      </c>
    </row>
    <row r="3375" spans="1:5" x14ac:dyDescent="0.3">
      <c r="A3375" s="888" t="str">
        <f>IF(LEN('Translation-EN'!A3375)&gt;0,'Translation-EN'!A3375,"")</f>
        <v>Formula</v>
      </c>
      <c r="B3375" s="888" t="str">
        <f>IF(LEN('Translation-EN'!B3375)&gt;0,'Translation-EN'!B3375,"")</f>
        <v>_Master sheet</v>
      </c>
      <c r="C3375" s="888" t="str">
        <f>IF(LEN('Translation-EN'!C3375)&gt;0,'Translation-EN'!C3375,"")</f>
        <v>AR451</v>
      </c>
      <c r="D3375" s="888">
        <f>IF(LEN('Translation-EN'!D3375)&gt;0,'Translation-EN'!D3375,"")</f>
        <v>1</v>
      </c>
      <c r="E3375" s="893" t="str">
        <f t="shared" si="9"/>
        <v>Expiré</v>
      </c>
    </row>
    <row r="3376" spans="1:5" x14ac:dyDescent="0.3">
      <c r="A3376" s="888" t="str">
        <f>IF(LEN('Translation-EN'!A3376)&gt;0,'Translation-EN'!A3376,"")</f>
        <v>Formula</v>
      </c>
      <c r="B3376" s="888" t="str">
        <f>IF(LEN('Translation-EN'!B3376)&gt;0,'Translation-EN'!B3376,"")</f>
        <v>_Master sheet</v>
      </c>
      <c r="C3376" s="888" t="str">
        <f>IF(LEN('Translation-EN'!C3376)&gt;0,'Translation-EN'!C3376,"")</f>
        <v>AR452</v>
      </c>
      <c r="D3376" s="888">
        <f>IF(LEN('Translation-EN'!D3376)&gt;0,'Translation-EN'!D3376,"")</f>
        <v>1</v>
      </c>
      <c r="E3376" s="893" t="str">
        <f t="shared" si="9"/>
        <v>Expiré</v>
      </c>
    </row>
    <row r="3377" spans="1:5" x14ac:dyDescent="0.3">
      <c r="A3377" s="888" t="str">
        <f>IF(LEN('Translation-EN'!A3377)&gt;0,'Translation-EN'!A3377,"")</f>
        <v>Formula</v>
      </c>
      <c r="B3377" s="888" t="str">
        <f>IF(LEN('Translation-EN'!B3377)&gt;0,'Translation-EN'!B3377,"")</f>
        <v>_Master sheet</v>
      </c>
      <c r="C3377" s="888" t="str">
        <f>IF(LEN('Translation-EN'!C3377)&gt;0,'Translation-EN'!C3377,"")</f>
        <v>AR453</v>
      </c>
      <c r="D3377" s="888">
        <f>IF(LEN('Translation-EN'!D3377)&gt;0,'Translation-EN'!D3377,"")</f>
        <v>1</v>
      </c>
      <c r="E3377" s="893" t="str">
        <f t="shared" si="9"/>
        <v>Expiré</v>
      </c>
    </row>
    <row r="3378" spans="1:5" x14ac:dyDescent="0.3">
      <c r="A3378" s="888" t="str">
        <f>IF(LEN('Translation-EN'!A3378)&gt;0,'Translation-EN'!A3378,"")</f>
        <v>Formula</v>
      </c>
      <c r="B3378" s="888" t="str">
        <f>IF(LEN('Translation-EN'!B3378)&gt;0,'Translation-EN'!B3378,"")</f>
        <v>_Master sheet</v>
      </c>
      <c r="C3378" s="888" t="str">
        <f>IF(LEN('Translation-EN'!C3378)&gt;0,'Translation-EN'!C3378,"")</f>
        <v>AR454</v>
      </c>
      <c r="D3378" s="888">
        <f>IF(LEN('Translation-EN'!D3378)&gt;0,'Translation-EN'!D3378,"")</f>
        <v>1</v>
      </c>
      <c r="E3378" s="893" t="str">
        <f t="shared" si="9"/>
        <v>Expiré</v>
      </c>
    </row>
    <row r="3379" spans="1:5" x14ac:dyDescent="0.3">
      <c r="A3379" s="888" t="str">
        <f>IF(LEN('Translation-EN'!A3379)&gt;0,'Translation-EN'!A3379,"")</f>
        <v>Formula</v>
      </c>
      <c r="B3379" s="888" t="str">
        <f>IF(LEN('Translation-EN'!B3379)&gt;0,'Translation-EN'!B3379,"")</f>
        <v>_Master sheet</v>
      </c>
      <c r="C3379" s="888" t="str">
        <f>IF(LEN('Translation-EN'!C3379)&gt;0,'Translation-EN'!C3379,"")</f>
        <v>AR455</v>
      </c>
      <c r="D3379" s="888">
        <f>IF(LEN('Translation-EN'!D3379)&gt;0,'Translation-EN'!D3379,"")</f>
        <v>1</v>
      </c>
      <c r="E3379" s="893" t="str">
        <f t="shared" si="9"/>
        <v>Expiré</v>
      </c>
    </row>
    <row r="3380" spans="1:5" x14ac:dyDescent="0.3">
      <c r="A3380" s="888" t="str">
        <f>IF(LEN('Translation-EN'!A3380)&gt;0,'Translation-EN'!A3380,"")</f>
        <v>Formula</v>
      </c>
      <c r="B3380" s="888" t="str">
        <f>IF(LEN('Translation-EN'!B3380)&gt;0,'Translation-EN'!B3380,"")</f>
        <v>_Master sheet</v>
      </c>
      <c r="C3380" s="888" t="str">
        <f>IF(LEN('Translation-EN'!C3380)&gt;0,'Translation-EN'!C3380,"")</f>
        <v>AR456</v>
      </c>
      <c r="D3380" s="888">
        <f>IF(LEN('Translation-EN'!D3380)&gt;0,'Translation-EN'!D3380,"")</f>
        <v>1</v>
      </c>
      <c r="E3380" s="893" t="str">
        <f t="shared" si="9"/>
        <v>Expiré</v>
      </c>
    </row>
    <row r="3381" spans="1:5" x14ac:dyDescent="0.3">
      <c r="A3381" s="888" t="str">
        <f>IF(LEN('Translation-EN'!A3381)&gt;0,'Translation-EN'!A3381,"")</f>
        <v>Formula</v>
      </c>
      <c r="B3381" s="888" t="str">
        <f>IF(LEN('Translation-EN'!B3381)&gt;0,'Translation-EN'!B3381,"")</f>
        <v>_Master sheet</v>
      </c>
      <c r="C3381" s="888" t="str">
        <f>IF(LEN('Translation-EN'!C3381)&gt;0,'Translation-EN'!C3381,"")</f>
        <v>AR457</v>
      </c>
      <c r="D3381" s="888">
        <f>IF(LEN('Translation-EN'!D3381)&gt;0,'Translation-EN'!D3381,"")</f>
        <v>1</v>
      </c>
      <c r="E3381" s="893" t="str">
        <f t="shared" si="9"/>
        <v>Expiré</v>
      </c>
    </row>
    <row r="3382" spans="1:5" x14ac:dyDescent="0.3">
      <c r="A3382" s="888" t="str">
        <f>IF(LEN('Translation-EN'!A3382)&gt;0,'Translation-EN'!A3382,"")</f>
        <v>Formula</v>
      </c>
      <c r="B3382" s="888" t="str">
        <f>IF(LEN('Translation-EN'!B3382)&gt;0,'Translation-EN'!B3382,"")</f>
        <v>_Master sheet</v>
      </c>
      <c r="C3382" s="888" t="str">
        <f>IF(LEN('Translation-EN'!C3382)&gt;0,'Translation-EN'!C3382,"")</f>
        <v>AR458</v>
      </c>
      <c r="D3382" s="888">
        <f>IF(LEN('Translation-EN'!D3382)&gt;0,'Translation-EN'!D3382,"")</f>
        <v>1</v>
      </c>
      <c r="E3382" s="893" t="str">
        <f t="shared" si="9"/>
        <v>Expiré</v>
      </c>
    </row>
    <row r="3383" spans="1:5" x14ac:dyDescent="0.3">
      <c r="A3383" s="888" t="str">
        <f>IF(LEN('Translation-EN'!A3383)&gt;0,'Translation-EN'!A3383,"")</f>
        <v>Formula</v>
      </c>
      <c r="B3383" s="888" t="str">
        <f>IF(LEN('Translation-EN'!B3383)&gt;0,'Translation-EN'!B3383,"")</f>
        <v>_Master sheet</v>
      </c>
      <c r="C3383" s="888" t="str">
        <f>IF(LEN('Translation-EN'!C3383)&gt;0,'Translation-EN'!C3383,"")</f>
        <v>AR459</v>
      </c>
      <c r="D3383" s="888">
        <f>IF(LEN('Translation-EN'!D3383)&gt;0,'Translation-EN'!D3383,"")</f>
        <v>1</v>
      </c>
      <c r="E3383" s="893" t="str">
        <f t="shared" ref="E3383:E3414" si="10">$E$3202</f>
        <v>Expiré</v>
      </c>
    </row>
    <row r="3384" spans="1:5" x14ac:dyDescent="0.3">
      <c r="A3384" s="888" t="str">
        <f>IF(LEN('Translation-EN'!A3384)&gt;0,'Translation-EN'!A3384,"")</f>
        <v>Formula</v>
      </c>
      <c r="B3384" s="888" t="str">
        <f>IF(LEN('Translation-EN'!B3384)&gt;0,'Translation-EN'!B3384,"")</f>
        <v>_Master sheet</v>
      </c>
      <c r="C3384" s="888" t="str">
        <f>IF(LEN('Translation-EN'!C3384)&gt;0,'Translation-EN'!C3384,"")</f>
        <v>AR460</v>
      </c>
      <c r="D3384" s="888">
        <f>IF(LEN('Translation-EN'!D3384)&gt;0,'Translation-EN'!D3384,"")</f>
        <v>1</v>
      </c>
      <c r="E3384" s="893" t="str">
        <f t="shared" si="10"/>
        <v>Expiré</v>
      </c>
    </row>
    <row r="3385" spans="1:5" x14ac:dyDescent="0.3">
      <c r="A3385" s="888" t="str">
        <f>IF(LEN('Translation-EN'!A3385)&gt;0,'Translation-EN'!A3385,"")</f>
        <v>Formula</v>
      </c>
      <c r="B3385" s="888" t="str">
        <f>IF(LEN('Translation-EN'!B3385)&gt;0,'Translation-EN'!B3385,"")</f>
        <v>_Master sheet</v>
      </c>
      <c r="C3385" s="888" t="str">
        <f>IF(LEN('Translation-EN'!C3385)&gt;0,'Translation-EN'!C3385,"")</f>
        <v>AR461</v>
      </c>
      <c r="D3385" s="888">
        <f>IF(LEN('Translation-EN'!D3385)&gt;0,'Translation-EN'!D3385,"")</f>
        <v>1</v>
      </c>
      <c r="E3385" s="893" t="str">
        <f t="shared" si="10"/>
        <v>Expiré</v>
      </c>
    </row>
    <row r="3386" spans="1:5" x14ac:dyDescent="0.3">
      <c r="A3386" s="888" t="str">
        <f>IF(LEN('Translation-EN'!A3386)&gt;0,'Translation-EN'!A3386,"")</f>
        <v>Formula</v>
      </c>
      <c r="B3386" s="888" t="str">
        <f>IF(LEN('Translation-EN'!B3386)&gt;0,'Translation-EN'!B3386,"")</f>
        <v>_Master sheet</v>
      </c>
      <c r="C3386" s="888" t="str">
        <f>IF(LEN('Translation-EN'!C3386)&gt;0,'Translation-EN'!C3386,"")</f>
        <v>AR462</v>
      </c>
      <c r="D3386" s="888">
        <f>IF(LEN('Translation-EN'!D3386)&gt;0,'Translation-EN'!D3386,"")</f>
        <v>1</v>
      </c>
      <c r="E3386" s="893" t="str">
        <f t="shared" si="10"/>
        <v>Expiré</v>
      </c>
    </row>
    <row r="3387" spans="1:5" x14ac:dyDescent="0.3">
      <c r="A3387" s="888" t="str">
        <f>IF(LEN('Translation-EN'!A3387)&gt;0,'Translation-EN'!A3387,"")</f>
        <v>Formula</v>
      </c>
      <c r="B3387" s="888" t="str">
        <f>IF(LEN('Translation-EN'!B3387)&gt;0,'Translation-EN'!B3387,"")</f>
        <v>_Master sheet</v>
      </c>
      <c r="C3387" s="888" t="str">
        <f>IF(LEN('Translation-EN'!C3387)&gt;0,'Translation-EN'!C3387,"")</f>
        <v>AR463</v>
      </c>
      <c r="D3387" s="888">
        <f>IF(LEN('Translation-EN'!D3387)&gt;0,'Translation-EN'!D3387,"")</f>
        <v>1</v>
      </c>
      <c r="E3387" s="893" t="str">
        <f t="shared" si="10"/>
        <v>Expiré</v>
      </c>
    </row>
    <row r="3388" spans="1:5" x14ac:dyDescent="0.3">
      <c r="A3388" s="888" t="str">
        <f>IF(LEN('Translation-EN'!A3388)&gt;0,'Translation-EN'!A3388,"")</f>
        <v>Formula</v>
      </c>
      <c r="B3388" s="888" t="str">
        <f>IF(LEN('Translation-EN'!B3388)&gt;0,'Translation-EN'!B3388,"")</f>
        <v>_Master sheet</v>
      </c>
      <c r="C3388" s="888" t="str">
        <f>IF(LEN('Translation-EN'!C3388)&gt;0,'Translation-EN'!C3388,"")</f>
        <v>AR464</v>
      </c>
      <c r="D3388" s="888">
        <f>IF(LEN('Translation-EN'!D3388)&gt;0,'Translation-EN'!D3388,"")</f>
        <v>1</v>
      </c>
      <c r="E3388" s="893" t="str">
        <f t="shared" si="10"/>
        <v>Expiré</v>
      </c>
    </row>
    <row r="3389" spans="1:5" x14ac:dyDescent="0.3">
      <c r="A3389" s="888" t="str">
        <f>IF(LEN('Translation-EN'!A3389)&gt;0,'Translation-EN'!A3389,"")</f>
        <v>Formula</v>
      </c>
      <c r="B3389" s="888" t="str">
        <f>IF(LEN('Translation-EN'!B3389)&gt;0,'Translation-EN'!B3389,"")</f>
        <v>_Master sheet</v>
      </c>
      <c r="C3389" s="888" t="str">
        <f>IF(LEN('Translation-EN'!C3389)&gt;0,'Translation-EN'!C3389,"")</f>
        <v>AR465</v>
      </c>
      <c r="D3389" s="888">
        <f>IF(LEN('Translation-EN'!D3389)&gt;0,'Translation-EN'!D3389,"")</f>
        <v>1</v>
      </c>
      <c r="E3389" s="893" t="str">
        <f t="shared" si="10"/>
        <v>Expiré</v>
      </c>
    </row>
    <row r="3390" spans="1:5" x14ac:dyDescent="0.3">
      <c r="A3390" s="888" t="str">
        <f>IF(LEN('Translation-EN'!A3390)&gt;0,'Translation-EN'!A3390,"")</f>
        <v>Formula</v>
      </c>
      <c r="B3390" s="888" t="str">
        <f>IF(LEN('Translation-EN'!B3390)&gt;0,'Translation-EN'!B3390,"")</f>
        <v>_Master sheet</v>
      </c>
      <c r="C3390" s="888" t="str">
        <f>IF(LEN('Translation-EN'!C3390)&gt;0,'Translation-EN'!C3390,"")</f>
        <v>AR466</v>
      </c>
      <c r="D3390" s="888">
        <f>IF(LEN('Translation-EN'!D3390)&gt;0,'Translation-EN'!D3390,"")</f>
        <v>1</v>
      </c>
      <c r="E3390" s="893" t="str">
        <f t="shared" si="10"/>
        <v>Expiré</v>
      </c>
    </row>
    <row r="3391" spans="1:5" x14ac:dyDescent="0.3">
      <c r="A3391" s="888" t="str">
        <f>IF(LEN('Translation-EN'!A3391)&gt;0,'Translation-EN'!A3391,"")</f>
        <v>Formula</v>
      </c>
      <c r="B3391" s="888" t="str">
        <f>IF(LEN('Translation-EN'!B3391)&gt;0,'Translation-EN'!B3391,"")</f>
        <v>_Master sheet</v>
      </c>
      <c r="C3391" s="888" t="str">
        <f>IF(LEN('Translation-EN'!C3391)&gt;0,'Translation-EN'!C3391,"")</f>
        <v>AR467</v>
      </c>
      <c r="D3391" s="888">
        <f>IF(LEN('Translation-EN'!D3391)&gt;0,'Translation-EN'!D3391,"")</f>
        <v>1</v>
      </c>
      <c r="E3391" s="893" t="str">
        <f t="shared" si="10"/>
        <v>Expiré</v>
      </c>
    </row>
    <row r="3392" spans="1:5" x14ac:dyDescent="0.3">
      <c r="A3392" s="888" t="str">
        <f>IF(LEN('Translation-EN'!A3392)&gt;0,'Translation-EN'!A3392,"")</f>
        <v>Formula</v>
      </c>
      <c r="B3392" s="888" t="str">
        <f>IF(LEN('Translation-EN'!B3392)&gt;0,'Translation-EN'!B3392,"")</f>
        <v>_Master sheet</v>
      </c>
      <c r="C3392" s="888" t="str">
        <f>IF(LEN('Translation-EN'!C3392)&gt;0,'Translation-EN'!C3392,"")</f>
        <v>AR468</v>
      </c>
      <c r="D3392" s="888">
        <f>IF(LEN('Translation-EN'!D3392)&gt;0,'Translation-EN'!D3392,"")</f>
        <v>1</v>
      </c>
      <c r="E3392" s="893" t="str">
        <f t="shared" si="10"/>
        <v>Expiré</v>
      </c>
    </row>
    <row r="3393" spans="1:5" x14ac:dyDescent="0.3">
      <c r="A3393" s="888" t="str">
        <f>IF(LEN('Translation-EN'!A3393)&gt;0,'Translation-EN'!A3393,"")</f>
        <v>Formula</v>
      </c>
      <c r="B3393" s="888" t="str">
        <f>IF(LEN('Translation-EN'!B3393)&gt;0,'Translation-EN'!B3393,"")</f>
        <v>_Master sheet</v>
      </c>
      <c r="C3393" s="888" t="str">
        <f>IF(LEN('Translation-EN'!C3393)&gt;0,'Translation-EN'!C3393,"")</f>
        <v>AR469</v>
      </c>
      <c r="D3393" s="888">
        <f>IF(LEN('Translation-EN'!D3393)&gt;0,'Translation-EN'!D3393,"")</f>
        <v>1</v>
      </c>
      <c r="E3393" s="893" t="str">
        <f t="shared" si="10"/>
        <v>Expiré</v>
      </c>
    </row>
    <row r="3394" spans="1:5" x14ac:dyDescent="0.3">
      <c r="A3394" s="888" t="str">
        <f>IF(LEN('Translation-EN'!A3394)&gt;0,'Translation-EN'!A3394,"")</f>
        <v>Formula</v>
      </c>
      <c r="B3394" s="888" t="str">
        <f>IF(LEN('Translation-EN'!B3394)&gt;0,'Translation-EN'!B3394,"")</f>
        <v>_Master sheet</v>
      </c>
      <c r="C3394" s="888" t="str">
        <f>IF(LEN('Translation-EN'!C3394)&gt;0,'Translation-EN'!C3394,"")</f>
        <v>AR470</v>
      </c>
      <c r="D3394" s="888">
        <f>IF(LEN('Translation-EN'!D3394)&gt;0,'Translation-EN'!D3394,"")</f>
        <v>1</v>
      </c>
      <c r="E3394" s="893" t="str">
        <f t="shared" si="10"/>
        <v>Expiré</v>
      </c>
    </row>
    <row r="3395" spans="1:5" x14ac:dyDescent="0.3">
      <c r="A3395" s="888" t="str">
        <f>IF(LEN('Translation-EN'!A3395)&gt;0,'Translation-EN'!A3395,"")</f>
        <v>Formula</v>
      </c>
      <c r="B3395" s="888" t="str">
        <f>IF(LEN('Translation-EN'!B3395)&gt;0,'Translation-EN'!B3395,"")</f>
        <v>_Master sheet</v>
      </c>
      <c r="C3395" s="888" t="str">
        <f>IF(LEN('Translation-EN'!C3395)&gt;0,'Translation-EN'!C3395,"")</f>
        <v>AR471</v>
      </c>
      <c r="D3395" s="888">
        <f>IF(LEN('Translation-EN'!D3395)&gt;0,'Translation-EN'!D3395,"")</f>
        <v>1</v>
      </c>
      <c r="E3395" s="893" t="str">
        <f t="shared" si="10"/>
        <v>Expiré</v>
      </c>
    </row>
    <row r="3396" spans="1:5" x14ac:dyDescent="0.3">
      <c r="A3396" s="888" t="str">
        <f>IF(LEN('Translation-EN'!A3396)&gt;0,'Translation-EN'!A3396,"")</f>
        <v>Formula</v>
      </c>
      <c r="B3396" s="888" t="str">
        <f>IF(LEN('Translation-EN'!B3396)&gt;0,'Translation-EN'!B3396,"")</f>
        <v>_Master sheet</v>
      </c>
      <c r="C3396" s="888" t="str">
        <f>IF(LEN('Translation-EN'!C3396)&gt;0,'Translation-EN'!C3396,"")</f>
        <v>AR472</v>
      </c>
      <c r="D3396" s="888">
        <f>IF(LEN('Translation-EN'!D3396)&gt;0,'Translation-EN'!D3396,"")</f>
        <v>1</v>
      </c>
      <c r="E3396" s="893" t="str">
        <f t="shared" si="10"/>
        <v>Expiré</v>
      </c>
    </row>
    <row r="3397" spans="1:5" x14ac:dyDescent="0.3">
      <c r="A3397" s="888" t="str">
        <f>IF(LEN('Translation-EN'!A3397)&gt;0,'Translation-EN'!A3397,"")</f>
        <v>Formula</v>
      </c>
      <c r="B3397" s="888" t="str">
        <f>IF(LEN('Translation-EN'!B3397)&gt;0,'Translation-EN'!B3397,"")</f>
        <v>_Master sheet</v>
      </c>
      <c r="C3397" s="888" t="str">
        <f>IF(LEN('Translation-EN'!C3397)&gt;0,'Translation-EN'!C3397,"")</f>
        <v>AR473</v>
      </c>
      <c r="D3397" s="888">
        <f>IF(LEN('Translation-EN'!D3397)&gt;0,'Translation-EN'!D3397,"")</f>
        <v>1</v>
      </c>
      <c r="E3397" s="893" t="str">
        <f t="shared" si="10"/>
        <v>Expiré</v>
      </c>
    </row>
    <row r="3398" spans="1:5" x14ac:dyDescent="0.3">
      <c r="A3398" s="888" t="str">
        <f>IF(LEN('Translation-EN'!A3398)&gt;0,'Translation-EN'!A3398,"")</f>
        <v>Formula</v>
      </c>
      <c r="B3398" s="888" t="str">
        <f>IF(LEN('Translation-EN'!B3398)&gt;0,'Translation-EN'!B3398,"")</f>
        <v>_Master sheet</v>
      </c>
      <c r="C3398" s="888" t="str">
        <f>IF(LEN('Translation-EN'!C3398)&gt;0,'Translation-EN'!C3398,"")</f>
        <v>AR474</v>
      </c>
      <c r="D3398" s="888">
        <f>IF(LEN('Translation-EN'!D3398)&gt;0,'Translation-EN'!D3398,"")</f>
        <v>1</v>
      </c>
      <c r="E3398" s="893" t="str">
        <f t="shared" si="10"/>
        <v>Expiré</v>
      </c>
    </row>
    <row r="3399" spans="1:5" x14ac:dyDescent="0.3">
      <c r="A3399" s="888" t="str">
        <f>IF(LEN('Translation-EN'!A3399)&gt;0,'Translation-EN'!A3399,"")</f>
        <v>Formula</v>
      </c>
      <c r="B3399" s="888" t="str">
        <f>IF(LEN('Translation-EN'!B3399)&gt;0,'Translation-EN'!B3399,"")</f>
        <v>_Master sheet</v>
      </c>
      <c r="C3399" s="888" t="str">
        <f>IF(LEN('Translation-EN'!C3399)&gt;0,'Translation-EN'!C3399,"")</f>
        <v>AR475</v>
      </c>
      <c r="D3399" s="888">
        <f>IF(LEN('Translation-EN'!D3399)&gt;0,'Translation-EN'!D3399,"")</f>
        <v>1</v>
      </c>
      <c r="E3399" s="893" t="str">
        <f t="shared" si="10"/>
        <v>Expiré</v>
      </c>
    </row>
    <row r="3400" spans="1:5" x14ac:dyDescent="0.3">
      <c r="A3400" s="888" t="str">
        <f>IF(LEN('Translation-EN'!A3400)&gt;0,'Translation-EN'!A3400,"")</f>
        <v>Formula</v>
      </c>
      <c r="B3400" s="888" t="str">
        <f>IF(LEN('Translation-EN'!B3400)&gt;0,'Translation-EN'!B3400,"")</f>
        <v>_Master sheet</v>
      </c>
      <c r="C3400" s="888" t="str">
        <f>IF(LEN('Translation-EN'!C3400)&gt;0,'Translation-EN'!C3400,"")</f>
        <v>AR476</v>
      </c>
      <c r="D3400" s="888">
        <f>IF(LEN('Translation-EN'!D3400)&gt;0,'Translation-EN'!D3400,"")</f>
        <v>1</v>
      </c>
      <c r="E3400" s="893" t="str">
        <f t="shared" si="10"/>
        <v>Expiré</v>
      </c>
    </row>
    <row r="3401" spans="1:5" x14ac:dyDescent="0.3">
      <c r="A3401" s="888" t="str">
        <f>IF(LEN('Translation-EN'!A3401)&gt;0,'Translation-EN'!A3401,"")</f>
        <v>Formula</v>
      </c>
      <c r="B3401" s="888" t="str">
        <f>IF(LEN('Translation-EN'!B3401)&gt;0,'Translation-EN'!B3401,"")</f>
        <v>_Master sheet</v>
      </c>
      <c r="C3401" s="888" t="str">
        <f>IF(LEN('Translation-EN'!C3401)&gt;0,'Translation-EN'!C3401,"")</f>
        <v>AR477</v>
      </c>
      <c r="D3401" s="888">
        <f>IF(LEN('Translation-EN'!D3401)&gt;0,'Translation-EN'!D3401,"")</f>
        <v>1</v>
      </c>
      <c r="E3401" s="893" t="str">
        <f t="shared" si="10"/>
        <v>Expiré</v>
      </c>
    </row>
    <row r="3402" spans="1:5" x14ac:dyDescent="0.3">
      <c r="A3402" s="888" t="str">
        <f>IF(LEN('Translation-EN'!A3402)&gt;0,'Translation-EN'!A3402,"")</f>
        <v>Formula</v>
      </c>
      <c r="B3402" s="888" t="str">
        <f>IF(LEN('Translation-EN'!B3402)&gt;0,'Translation-EN'!B3402,"")</f>
        <v>_Master sheet</v>
      </c>
      <c r="C3402" s="888" t="str">
        <f>IF(LEN('Translation-EN'!C3402)&gt;0,'Translation-EN'!C3402,"")</f>
        <v>AR478</v>
      </c>
      <c r="D3402" s="888">
        <f>IF(LEN('Translation-EN'!D3402)&gt;0,'Translation-EN'!D3402,"")</f>
        <v>1</v>
      </c>
      <c r="E3402" s="893" t="str">
        <f t="shared" si="10"/>
        <v>Expiré</v>
      </c>
    </row>
    <row r="3403" spans="1:5" x14ac:dyDescent="0.3">
      <c r="A3403" s="888" t="str">
        <f>IF(LEN('Translation-EN'!A3403)&gt;0,'Translation-EN'!A3403,"")</f>
        <v>Formula</v>
      </c>
      <c r="B3403" s="888" t="str">
        <f>IF(LEN('Translation-EN'!B3403)&gt;0,'Translation-EN'!B3403,"")</f>
        <v>_Master sheet</v>
      </c>
      <c r="C3403" s="888" t="str">
        <f>IF(LEN('Translation-EN'!C3403)&gt;0,'Translation-EN'!C3403,"")</f>
        <v>AR479</v>
      </c>
      <c r="D3403" s="888">
        <f>IF(LEN('Translation-EN'!D3403)&gt;0,'Translation-EN'!D3403,"")</f>
        <v>1</v>
      </c>
      <c r="E3403" s="893" t="str">
        <f t="shared" si="10"/>
        <v>Expiré</v>
      </c>
    </row>
    <row r="3404" spans="1:5" x14ac:dyDescent="0.3">
      <c r="A3404" s="888" t="str">
        <f>IF(LEN('Translation-EN'!A3404)&gt;0,'Translation-EN'!A3404,"")</f>
        <v>Formula</v>
      </c>
      <c r="B3404" s="888" t="str">
        <f>IF(LEN('Translation-EN'!B3404)&gt;0,'Translation-EN'!B3404,"")</f>
        <v>_Master sheet</v>
      </c>
      <c r="C3404" s="888" t="str">
        <f>IF(LEN('Translation-EN'!C3404)&gt;0,'Translation-EN'!C3404,"")</f>
        <v>AR480</v>
      </c>
      <c r="D3404" s="888">
        <f>IF(LEN('Translation-EN'!D3404)&gt;0,'Translation-EN'!D3404,"")</f>
        <v>1</v>
      </c>
      <c r="E3404" s="893" t="str">
        <f t="shared" si="10"/>
        <v>Expiré</v>
      </c>
    </row>
    <row r="3405" spans="1:5" x14ac:dyDescent="0.3">
      <c r="A3405" s="888" t="str">
        <f>IF(LEN('Translation-EN'!A3405)&gt;0,'Translation-EN'!A3405,"")</f>
        <v>Formula</v>
      </c>
      <c r="B3405" s="888" t="str">
        <f>IF(LEN('Translation-EN'!B3405)&gt;0,'Translation-EN'!B3405,"")</f>
        <v>_Master sheet</v>
      </c>
      <c r="C3405" s="888" t="str">
        <f>IF(LEN('Translation-EN'!C3405)&gt;0,'Translation-EN'!C3405,"")</f>
        <v>AR481</v>
      </c>
      <c r="D3405" s="888">
        <f>IF(LEN('Translation-EN'!D3405)&gt;0,'Translation-EN'!D3405,"")</f>
        <v>1</v>
      </c>
      <c r="E3405" s="893" t="str">
        <f t="shared" si="10"/>
        <v>Expiré</v>
      </c>
    </row>
    <row r="3406" spans="1:5" x14ac:dyDescent="0.3">
      <c r="A3406" s="888" t="str">
        <f>IF(LEN('Translation-EN'!A3406)&gt;0,'Translation-EN'!A3406,"")</f>
        <v>Formula</v>
      </c>
      <c r="B3406" s="888" t="str">
        <f>IF(LEN('Translation-EN'!B3406)&gt;0,'Translation-EN'!B3406,"")</f>
        <v>_Master sheet</v>
      </c>
      <c r="C3406" s="888" t="str">
        <f>IF(LEN('Translation-EN'!C3406)&gt;0,'Translation-EN'!C3406,"")</f>
        <v>AR482</v>
      </c>
      <c r="D3406" s="888">
        <f>IF(LEN('Translation-EN'!D3406)&gt;0,'Translation-EN'!D3406,"")</f>
        <v>1</v>
      </c>
      <c r="E3406" s="893" t="str">
        <f t="shared" si="10"/>
        <v>Expiré</v>
      </c>
    </row>
    <row r="3407" spans="1:5" x14ac:dyDescent="0.3">
      <c r="A3407" s="888" t="str">
        <f>IF(LEN('Translation-EN'!A3407)&gt;0,'Translation-EN'!A3407,"")</f>
        <v>Formula</v>
      </c>
      <c r="B3407" s="888" t="str">
        <f>IF(LEN('Translation-EN'!B3407)&gt;0,'Translation-EN'!B3407,"")</f>
        <v>_Master sheet</v>
      </c>
      <c r="C3407" s="888" t="str">
        <f>IF(LEN('Translation-EN'!C3407)&gt;0,'Translation-EN'!C3407,"")</f>
        <v>AR483</v>
      </c>
      <c r="D3407" s="888">
        <f>IF(LEN('Translation-EN'!D3407)&gt;0,'Translation-EN'!D3407,"")</f>
        <v>1</v>
      </c>
      <c r="E3407" s="893" t="str">
        <f t="shared" si="10"/>
        <v>Expiré</v>
      </c>
    </row>
    <row r="3408" spans="1:5" x14ac:dyDescent="0.3">
      <c r="A3408" s="888" t="str">
        <f>IF(LEN('Translation-EN'!A3408)&gt;0,'Translation-EN'!A3408,"")</f>
        <v>Formula</v>
      </c>
      <c r="B3408" s="888" t="str">
        <f>IF(LEN('Translation-EN'!B3408)&gt;0,'Translation-EN'!B3408,"")</f>
        <v>_Master sheet</v>
      </c>
      <c r="C3408" s="888" t="str">
        <f>IF(LEN('Translation-EN'!C3408)&gt;0,'Translation-EN'!C3408,"")</f>
        <v>AR484</v>
      </c>
      <c r="D3408" s="888">
        <f>IF(LEN('Translation-EN'!D3408)&gt;0,'Translation-EN'!D3408,"")</f>
        <v>1</v>
      </c>
      <c r="E3408" s="893" t="str">
        <f t="shared" si="10"/>
        <v>Expiré</v>
      </c>
    </row>
    <row r="3409" spans="1:5" x14ac:dyDescent="0.3">
      <c r="A3409" s="888" t="str">
        <f>IF(LEN('Translation-EN'!A3409)&gt;0,'Translation-EN'!A3409,"")</f>
        <v>Formula</v>
      </c>
      <c r="B3409" s="888" t="str">
        <f>IF(LEN('Translation-EN'!B3409)&gt;0,'Translation-EN'!B3409,"")</f>
        <v>_Master sheet</v>
      </c>
      <c r="C3409" s="888" t="str">
        <f>IF(LEN('Translation-EN'!C3409)&gt;0,'Translation-EN'!C3409,"")</f>
        <v>AR485</v>
      </c>
      <c r="D3409" s="888">
        <f>IF(LEN('Translation-EN'!D3409)&gt;0,'Translation-EN'!D3409,"")</f>
        <v>1</v>
      </c>
      <c r="E3409" s="893" t="str">
        <f t="shared" si="10"/>
        <v>Expiré</v>
      </c>
    </row>
    <row r="3410" spans="1:5" x14ac:dyDescent="0.3">
      <c r="A3410" s="888" t="str">
        <f>IF(LEN('Translation-EN'!A3410)&gt;0,'Translation-EN'!A3410,"")</f>
        <v>Formula</v>
      </c>
      <c r="B3410" s="888" t="str">
        <f>IF(LEN('Translation-EN'!B3410)&gt;0,'Translation-EN'!B3410,"")</f>
        <v>_Master sheet</v>
      </c>
      <c r="C3410" s="888" t="str">
        <f>IF(LEN('Translation-EN'!C3410)&gt;0,'Translation-EN'!C3410,"")</f>
        <v>AR486</v>
      </c>
      <c r="D3410" s="888">
        <f>IF(LEN('Translation-EN'!D3410)&gt;0,'Translation-EN'!D3410,"")</f>
        <v>1</v>
      </c>
      <c r="E3410" s="893" t="str">
        <f t="shared" si="10"/>
        <v>Expiré</v>
      </c>
    </row>
    <row r="3411" spans="1:5" x14ac:dyDescent="0.3">
      <c r="A3411" s="888" t="str">
        <f>IF(LEN('Translation-EN'!A3411)&gt;0,'Translation-EN'!A3411,"")</f>
        <v>Formula</v>
      </c>
      <c r="B3411" s="888" t="str">
        <f>IF(LEN('Translation-EN'!B3411)&gt;0,'Translation-EN'!B3411,"")</f>
        <v>_Master sheet</v>
      </c>
      <c r="C3411" s="888" t="str">
        <f>IF(LEN('Translation-EN'!C3411)&gt;0,'Translation-EN'!C3411,"")</f>
        <v>AR487</v>
      </c>
      <c r="D3411" s="888">
        <f>IF(LEN('Translation-EN'!D3411)&gt;0,'Translation-EN'!D3411,"")</f>
        <v>1</v>
      </c>
      <c r="E3411" s="893" t="str">
        <f t="shared" si="10"/>
        <v>Expiré</v>
      </c>
    </row>
    <row r="3412" spans="1:5" x14ac:dyDescent="0.3">
      <c r="A3412" s="888" t="str">
        <f>IF(LEN('Translation-EN'!A3412)&gt;0,'Translation-EN'!A3412,"")</f>
        <v>Formula</v>
      </c>
      <c r="B3412" s="888" t="str">
        <f>IF(LEN('Translation-EN'!B3412)&gt;0,'Translation-EN'!B3412,"")</f>
        <v>_Master sheet</v>
      </c>
      <c r="C3412" s="888" t="str">
        <f>IF(LEN('Translation-EN'!C3412)&gt;0,'Translation-EN'!C3412,"")</f>
        <v>AR488</v>
      </c>
      <c r="D3412" s="888">
        <f>IF(LEN('Translation-EN'!D3412)&gt;0,'Translation-EN'!D3412,"")</f>
        <v>1</v>
      </c>
      <c r="E3412" s="893" t="str">
        <f t="shared" si="10"/>
        <v>Expiré</v>
      </c>
    </row>
    <row r="3413" spans="1:5" x14ac:dyDescent="0.3">
      <c r="A3413" s="888" t="str">
        <f>IF(LEN('Translation-EN'!A3413)&gt;0,'Translation-EN'!A3413,"")</f>
        <v>Formula</v>
      </c>
      <c r="B3413" s="888" t="str">
        <f>IF(LEN('Translation-EN'!B3413)&gt;0,'Translation-EN'!B3413,"")</f>
        <v>_Master sheet</v>
      </c>
      <c r="C3413" s="888" t="str">
        <f>IF(LEN('Translation-EN'!C3413)&gt;0,'Translation-EN'!C3413,"")</f>
        <v>AR489</v>
      </c>
      <c r="D3413" s="888">
        <f>IF(LEN('Translation-EN'!D3413)&gt;0,'Translation-EN'!D3413,"")</f>
        <v>1</v>
      </c>
      <c r="E3413" s="893" t="str">
        <f t="shared" si="10"/>
        <v>Expiré</v>
      </c>
    </row>
    <row r="3414" spans="1:5" x14ac:dyDescent="0.3">
      <c r="A3414" s="888" t="str">
        <f>IF(LEN('Translation-EN'!A3414)&gt;0,'Translation-EN'!A3414,"")</f>
        <v>Formula</v>
      </c>
      <c r="B3414" s="888" t="str">
        <f>IF(LEN('Translation-EN'!B3414)&gt;0,'Translation-EN'!B3414,"")</f>
        <v>_Master sheet</v>
      </c>
      <c r="C3414" s="888" t="str">
        <f>IF(LEN('Translation-EN'!C3414)&gt;0,'Translation-EN'!C3414,"")</f>
        <v>AR490</v>
      </c>
      <c r="D3414" s="888">
        <f>IF(LEN('Translation-EN'!D3414)&gt;0,'Translation-EN'!D3414,"")</f>
        <v>1</v>
      </c>
      <c r="E3414" s="893" t="str">
        <f t="shared" si="10"/>
        <v>Expiré</v>
      </c>
    </row>
    <row r="3415" spans="1:5" x14ac:dyDescent="0.3">
      <c r="A3415" s="888" t="str">
        <f>IF(LEN('Translation-EN'!A3415)&gt;0,'Translation-EN'!A3415,"")</f>
        <v>Formula</v>
      </c>
      <c r="B3415" s="888" t="str">
        <f>IF(LEN('Translation-EN'!B3415)&gt;0,'Translation-EN'!B3415,"")</f>
        <v>_Master sheet</v>
      </c>
      <c r="C3415" s="888" t="str">
        <f>IF(LEN('Translation-EN'!C3415)&gt;0,'Translation-EN'!C3415,"")</f>
        <v>AR491</v>
      </c>
      <c r="D3415" s="888">
        <f>IF(LEN('Translation-EN'!D3415)&gt;0,'Translation-EN'!D3415,"")</f>
        <v>1</v>
      </c>
      <c r="E3415" s="893" t="str">
        <f t="shared" ref="E3415:E3446" si="11">$E$3202</f>
        <v>Expiré</v>
      </c>
    </row>
    <row r="3416" spans="1:5" x14ac:dyDescent="0.3">
      <c r="A3416" s="888" t="str">
        <f>IF(LEN('Translation-EN'!A3416)&gt;0,'Translation-EN'!A3416,"")</f>
        <v>Formula</v>
      </c>
      <c r="B3416" s="888" t="str">
        <f>IF(LEN('Translation-EN'!B3416)&gt;0,'Translation-EN'!B3416,"")</f>
        <v>_Master sheet</v>
      </c>
      <c r="C3416" s="888" t="str">
        <f>IF(LEN('Translation-EN'!C3416)&gt;0,'Translation-EN'!C3416,"")</f>
        <v>AR492</v>
      </c>
      <c r="D3416" s="888">
        <f>IF(LEN('Translation-EN'!D3416)&gt;0,'Translation-EN'!D3416,"")</f>
        <v>1</v>
      </c>
      <c r="E3416" s="893" t="str">
        <f t="shared" si="11"/>
        <v>Expiré</v>
      </c>
    </row>
    <row r="3417" spans="1:5" x14ac:dyDescent="0.3">
      <c r="A3417" s="888" t="str">
        <f>IF(LEN('Translation-EN'!A3417)&gt;0,'Translation-EN'!A3417,"")</f>
        <v>Formula</v>
      </c>
      <c r="B3417" s="888" t="str">
        <f>IF(LEN('Translation-EN'!B3417)&gt;0,'Translation-EN'!B3417,"")</f>
        <v>_Master sheet</v>
      </c>
      <c r="C3417" s="888" t="str">
        <f>IF(LEN('Translation-EN'!C3417)&gt;0,'Translation-EN'!C3417,"")</f>
        <v>AR493</v>
      </c>
      <c r="D3417" s="888">
        <f>IF(LEN('Translation-EN'!D3417)&gt;0,'Translation-EN'!D3417,"")</f>
        <v>1</v>
      </c>
      <c r="E3417" s="893" t="str">
        <f t="shared" si="11"/>
        <v>Expiré</v>
      </c>
    </row>
    <row r="3418" spans="1:5" x14ac:dyDescent="0.3">
      <c r="A3418" s="888" t="str">
        <f>IF(LEN('Translation-EN'!A3418)&gt;0,'Translation-EN'!A3418,"")</f>
        <v>Formula</v>
      </c>
      <c r="B3418" s="888" t="str">
        <f>IF(LEN('Translation-EN'!B3418)&gt;0,'Translation-EN'!B3418,"")</f>
        <v>_Master sheet</v>
      </c>
      <c r="C3418" s="888" t="str">
        <f>IF(LEN('Translation-EN'!C3418)&gt;0,'Translation-EN'!C3418,"")</f>
        <v>AR494</v>
      </c>
      <c r="D3418" s="888">
        <f>IF(LEN('Translation-EN'!D3418)&gt;0,'Translation-EN'!D3418,"")</f>
        <v>1</v>
      </c>
      <c r="E3418" s="893" t="str">
        <f t="shared" si="11"/>
        <v>Expiré</v>
      </c>
    </row>
    <row r="3419" spans="1:5" x14ac:dyDescent="0.3">
      <c r="A3419" s="888" t="str">
        <f>IF(LEN('Translation-EN'!A3419)&gt;0,'Translation-EN'!A3419,"")</f>
        <v>Formula</v>
      </c>
      <c r="B3419" s="888" t="str">
        <f>IF(LEN('Translation-EN'!B3419)&gt;0,'Translation-EN'!B3419,"")</f>
        <v>_Master sheet</v>
      </c>
      <c r="C3419" s="888" t="str">
        <f>IF(LEN('Translation-EN'!C3419)&gt;0,'Translation-EN'!C3419,"")</f>
        <v>AR495</v>
      </c>
      <c r="D3419" s="888">
        <f>IF(LEN('Translation-EN'!D3419)&gt;0,'Translation-EN'!D3419,"")</f>
        <v>1</v>
      </c>
      <c r="E3419" s="893" t="str">
        <f t="shared" si="11"/>
        <v>Expiré</v>
      </c>
    </row>
    <row r="3420" spans="1:5" x14ac:dyDescent="0.3">
      <c r="A3420" s="888" t="str">
        <f>IF(LEN('Translation-EN'!A3420)&gt;0,'Translation-EN'!A3420,"")</f>
        <v>Formula</v>
      </c>
      <c r="B3420" s="888" t="str">
        <f>IF(LEN('Translation-EN'!B3420)&gt;0,'Translation-EN'!B3420,"")</f>
        <v>_Master sheet</v>
      </c>
      <c r="C3420" s="888" t="str">
        <f>IF(LEN('Translation-EN'!C3420)&gt;0,'Translation-EN'!C3420,"")</f>
        <v>AR496</v>
      </c>
      <c r="D3420" s="888">
        <f>IF(LEN('Translation-EN'!D3420)&gt;0,'Translation-EN'!D3420,"")</f>
        <v>1</v>
      </c>
      <c r="E3420" s="893" t="str">
        <f t="shared" si="11"/>
        <v>Expiré</v>
      </c>
    </row>
    <row r="3421" spans="1:5" x14ac:dyDescent="0.3">
      <c r="A3421" s="888" t="str">
        <f>IF(LEN('Translation-EN'!A3421)&gt;0,'Translation-EN'!A3421,"")</f>
        <v>Formula</v>
      </c>
      <c r="B3421" s="888" t="str">
        <f>IF(LEN('Translation-EN'!B3421)&gt;0,'Translation-EN'!B3421,"")</f>
        <v>_Master sheet</v>
      </c>
      <c r="C3421" s="888" t="str">
        <f>IF(LEN('Translation-EN'!C3421)&gt;0,'Translation-EN'!C3421,"")</f>
        <v>AR497</v>
      </c>
      <c r="D3421" s="888">
        <f>IF(LEN('Translation-EN'!D3421)&gt;0,'Translation-EN'!D3421,"")</f>
        <v>1</v>
      </c>
      <c r="E3421" s="893" t="str">
        <f t="shared" si="11"/>
        <v>Expiré</v>
      </c>
    </row>
    <row r="3422" spans="1:5" x14ac:dyDescent="0.3">
      <c r="A3422" s="888" t="str">
        <f>IF(LEN('Translation-EN'!A3422)&gt;0,'Translation-EN'!A3422,"")</f>
        <v>Formula</v>
      </c>
      <c r="B3422" s="888" t="str">
        <f>IF(LEN('Translation-EN'!B3422)&gt;0,'Translation-EN'!B3422,"")</f>
        <v>_Master sheet</v>
      </c>
      <c r="C3422" s="888" t="str">
        <f>IF(LEN('Translation-EN'!C3422)&gt;0,'Translation-EN'!C3422,"")</f>
        <v>AR498</v>
      </c>
      <c r="D3422" s="888">
        <f>IF(LEN('Translation-EN'!D3422)&gt;0,'Translation-EN'!D3422,"")</f>
        <v>1</v>
      </c>
      <c r="E3422" s="893" t="str">
        <f t="shared" si="11"/>
        <v>Expiré</v>
      </c>
    </row>
    <row r="3423" spans="1:5" x14ac:dyDescent="0.3">
      <c r="A3423" s="888" t="str">
        <f>IF(LEN('Translation-EN'!A3423)&gt;0,'Translation-EN'!A3423,"")</f>
        <v>Formula</v>
      </c>
      <c r="B3423" s="888" t="str">
        <f>IF(LEN('Translation-EN'!B3423)&gt;0,'Translation-EN'!B3423,"")</f>
        <v>_Master sheet</v>
      </c>
      <c r="C3423" s="888" t="str">
        <f>IF(LEN('Translation-EN'!C3423)&gt;0,'Translation-EN'!C3423,"")</f>
        <v>AR499</v>
      </c>
      <c r="D3423" s="888">
        <f>IF(LEN('Translation-EN'!D3423)&gt;0,'Translation-EN'!D3423,"")</f>
        <v>1</v>
      </c>
      <c r="E3423" s="893" t="str">
        <f t="shared" si="11"/>
        <v>Expiré</v>
      </c>
    </row>
    <row r="3424" spans="1:5" x14ac:dyDescent="0.3">
      <c r="A3424" s="888" t="str">
        <f>IF(LEN('Translation-EN'!A3424)&gt;0,'Translation-EN'!A3424,"")</f>
        <v>Formula</v>
      </c>
      <c r="B3424" s="888" t="str">
        <f>IF(LEN('Translation-EN'!B3424)&gt;0,'Translation-EN'!B3424,"")</f>
        <v>_Master sheet</v>
      </c>
      <c r="C3424" s="888" t="str">
        <f>IF(LEN('Translation-EN'!C3424)&gt;0,'Translation-EN'!C3424,"")</f>
        <v>AR500</v>
      </c>
      <c r="D3424" s="888">
        <f>IF(LEN('Translation-EN'!D3424)&gt;0,'Translation-EN'!D3424,"")</f>
        <v>1</v>
      </c>
      <c r="E3424" s="893" t="str">
        <f t="shared" si="11"/>
        <v>Expiré</v>
      </c>
    </row>
    <row r="3425" spans="1:5" x14ac:dyDescent="0.3">
      <c r="A3425" s="888" t="str">
        <f>IF(LEN('Translation-EN'!A3425)&gt;0,'Translation-EN'!A3425,"")</f>
        <v>Formula</v>
      </c>
      <c r="B3425" s="888" t="str">
        <f>IF(LEN('Translation-EN'!B3425)&gt;0,'Translation-EN'!B3425,"")</f>
        <v>_Master sheet</v>
      </c>
      <c r="C3425" s="888" t="str">
        <f>IF(LEN('Translation-EN'!C3425)&gt;0,'Translation-EN'!C3425,"")</f>
        <v>AR501</v>
      </c>
      <c r="D3425" s="888">
        <f>IF(LEN('Translation-EN'!D3425)&gt;0,'Translation-EN'!D3425,"")</f>
        <v>1</v>
      </c>
      <c r="E3425" s="893" t="str">
        <f t="shared" si="11"/>
        <v>Expiré</v>
      </c>
    </row>
    <row r="3426" spans="1:5" x14ac:dyDescent="0.3">
      <c r="A3426" s="888" t="str">
        <f>IF(LEN('Translation-EN'!A3426)&gt;0,'Translation-EN'!A3426,"")</f>
        <v>Formula</v>
      </c>
      <c r="B3426" s="888" t="str">
        <f>IF(LEN('Translation-EN'!B3426)&gt;0,'Translation-EN'!B3426,"")</f>
        <v>_Master sheet</v>
      </c>
      <c r="C3426" s="888" t="str">
        <f>IF(LEN('Translation-EN'!C3426)&gt;0,'Translation-EN'!C3426,"")</f>
        <v>AR502</v>
      </c>
      <c r="D3426" s="888">
        <f>IF(LEN('Translation-EN'!D3426)&gt;0,'Translation-EN'!D3426,"")</f>
        <v>1</v>
      </c>
      <c r="E3426" s="893" t="str">
        <f t="shared" si="11"/>
        <v>Expiré</v>
      </c>
    </row>
    <row r="3427" spans="1:5" x14ac:dyDescent="0.3">
      <c r="A3427" s="888" t="str">
        <f>IF(LEN('Translation-EN'!A3427)&gt;0,'Translation-EN'!A3427,"")</f>
        <v>Formula</v>
      </c>
      <c r="B3427" s="888" t="str">
        <f>IF(LEN('Translation-EN'!B3427)&gt;0,'Translation-EN'!B3427,"")</f>
        <v>_Master sheet</v>
      </c>
      <c r="C3427" s="888" t="str">
        <f>IF(LEN('Translation-EN'!C3427)&gt;0,'Translation-EN'!C3427,"")</f>
        <v>AR503</v>
      </c>
      <c r="D3427" s="888">
        <f>IF(LEN('Translation-EN'!D3427)&gt;0,'Translation-EN'!D3427,"")</f>
        <v>1</v>
      </c>
      <c r="E3427" s="893" t="str">
        <f t="shared" si="11"/>
        <v>Expiré</v>
      </c>
    </row>
    <row r="3428" spans="1:5" x14ac:dyDescent="0.3">
      <c r="A3428" s="888" t="str">
        <f>IF(LEN('Translation-EN'!A3428)&gt;0,'Translation-EN'!A3428,"")</f>
        <v>Formula</v>
      </c>
      <c r="B3428" s="888" t="str">
        <f>IF(LEN('Translation-EN'!B3428)&gt;0,'Translation-EN'!B3428,"")</f>
        <v>_Master sheet</v>
      </c>
      <c r="C3428" s="888" t="str">
        <f>IF(LEN('Translation-EN'!C3428)&gt;0,'Translation-EN'!C3428,"")</f>
        <v>AR504</v>
      </c>
      <c r="D3428" s="888">
        <f>IF(LEN('Translation-EN'!D3428)&gt;0,'Translation-EN'!D3428,"")</f>
        <v>1</v>
      </c>
      <c r="E3428" s="893" t="str">
        <f t="shared" si="11"/>
        <v>Expiré</v>
      </c>
    </row>
    <row r="3429" spans="1:5" x14ac:dyDescent="0.3">
      <c r="A3429" s="888" t="str">
        <f>IF(LEN('Translation-EN'!A3429)&gt;0,'Translation-EN'!A3429,"")</f>
        <v>Formula</v>
      </c>
      <c r="B3429" s="888" t="str">
        <f>IF(LEN('Translation-EN'!B3429)&gt;0,'Translation-EN'!B3429,"")</f>
        <v>_Master sheet</v>
      </c>
      <c r="C3429" s="888" t="str">
        <f>IF(LEN('Translation-EN'!C3429)&gt;0,'Translation-EN'!C3429,"")</f>
        <v>AR505</v>
      </c>
      <c r="D3429" s="888">
        <f>IF(LEN('Translation-EN'!D3429)&gt;0,'Translation-EN'!D3429,"")</f>
        <v>1</v>
      </c>
      <c r="E3429" s="893" t="str">
        <f t="shared" si="11"/>
        <v>Expiré</v>
      </c>
    </row>
    <row r="3430" spans="1:5" x14ac:dyDescent="0.3">
      <c r="A3430" s="888" t="str">
        <f>IF(LEN('Translation-EN'!A3430)&gt;0,'Translation-EN'!A3430,"")</f>
        <v>Formula</v>
      </c>
      <c r="B3430" s="888" t="str">
        <f>IF(LEN('Translation-EN'!B3430)&gt;0,'Translation-EN'!B3430,"")</f>
        <v>_Master sheet</v>
      </c>
      <c r="C3430" s="888" t="str">
        <f>IF(LEN('Translation-EN'!C3430)&gt;0,'Translation-EN'!C3430,"")</f>
        <v>AR506</v>
      </c>
      <c r="D3430" s="888">
        <f>IF(LEN('Translation-EN'!D3430)&gt;0,'Translation-EN'!D3430,"")</f>
        <v>1</v>
      </c>
      <c r="E3430" s="893" t="str">
        <f t="shared" si="11"/>
        <v>Expiré</v>
      </c>
    </row>
    <row r="3431" spans="1:5" x14ac:dyDescent="0.3">
      <c r="A3431" s="888" t="str">
        <f>IF(LEN('Translation-EN'!A3431)&gt;0,'Translation-EN'!A3431,"")</f>
        <v>Formula</v>
      </c>
      <c r="B3431" s="888" t="str">
        <f>IF(LEN('Translation-EN'!B3431)&gt;0,'Translation-EN'!B3431,"")</f>
        <v>_Master sheet</v>
      </c>
      <c r="C3431" s="888" t="str">
        <f>IF(LEN('Translation-EN'!C3431)&gt;0,'Translation-EN'!C3431,"")</f>
        <v>AR507</v>
      </c>
      <c r="D3431" s="888">
        <f>IF(LEN('Translation-EN'!D3431)&gt;0,'Translation-EN'!D3431,"")</f>
        <v>1</v>
      </c>
      <c r="E3431" s="893" t="str">
        <f t="shared" si="11"/>
        <v>Expiré</v>
      </c>
    </row>
    <row r="3432" spans="1:5" x14ac:dyDescent="0.3">
      <c r="A3432" s="888" t="str">
        <f>IF(LEN('Translation-EN'!A3432)&gt;0,'Translation-EN'!A3432,"")</f>
        <v>Formula</v>
      </c>
      <c r="B3432" s="888" t="str">
        <f>IF(LEN('Translation-EN'!B3432)&gt;0,'Translation-EN'!B3432,"")</f>
        <v>_Master sheet</v>
      </c>
      <c r="C3432" s="888" t="str">
        <f>IF(LEN('Translation-EN'!C3432)&gt;0,'Translation-EN'!C3432,"")</f>
        <v>AR508</v>
      </c>
      <c r="D3432" s="888">
        <f>IF(LEN('Translation-EN'!D3432)&gt;0,'Translation-EN'!D3432,"")</f>
        <v>1</v>
      </c>
      <c r="E3432" s="893" t="str">
        <f t="shared" si="11"/>
        <v>Expiré</v>
      </c>
    </row>
    <row r="3433" spans="1:5" x14ac:dyDescent="0.3">
      <c r="A3433" s="888" t="str">
        <f>IF(LEN('Translation-EN'!A3433)&gt;0,'Translation-EN'!A3433,"")</f>
        <v>Formula</v>
      </c>
      <c r="B3433" s="888" t="str">
        <f>IF(LEN('Translation-EN'!B3433)&gt;0,'Translation-EN'!B3433,"")</f>
        <v>_Master sheet</v>
      </c>
      <c r="C3433" s="888" t="str">
        <f>IF(LEN('Translation-EN'!C3433)&gt;0,'Translation-EN'!C3433,"")</f>
        <v>AR509</v>
      </c>
      <c r="D3433" s="888">
        <f>IF(LEN('Translation-EN'!D3433)&gt;0,'Translation-EN'!D3433,"")</f>
        <v>1</v>
      </c>
      <c r="E3433" s="893" t="str">
        <f t="shared" si="11"/>
        <v>Expiré</v>
      </c>
    </row>
    <row r="3434" spans="1:5" x14ac:dyDescent="0.3">
      <c r="A3434" s="888" t="str">
        <f>IF(LEN('Translation-EN'!A3434)&gt;0,'Translation-EN'!A3434,"")</f>
        <v>Formula</v>
      </c>
      <c r="B3434" s="888" t="str">
        <f>IF(LEN('Translation-EN'!B3434)&gt;0,'Translation-EN'!B3434,"")</f>
        <v>_Master sheet</v>
      </c>
      <c r="C3434" s="888" t="str">
        <f>IF(LEN('Translation-EN'!C3434)&gt;0,'Translation-EN'!C3434,"")</f>
        <v>AR510</v>
      </c>
      <c r="D3434" s="888">
        <f>IF(LEN('Translation-EN'!D3434)&gt;0,'Translation-EN'!D3434,"")</f>
        <v>1</v>
      </c>
      <c r="E3434" s="893" t="str">
        <f t="shared" si="11"/>
        <v>Expiré</v>
      </c>
    </row>
    <row r="3435" spans="1:5" x14ac:dyDescent="0.3">
      <c r="A3435" s="888" t="str">
        <f>IF(LEN('Translation-EN'!A3435)&gt;0,'Translation-EN'!A3435,"")</f>
        <v>Formula</v>
      </c>
      <c r="B3435" s="888" t="str">
        <f>IF(LEN('Translation-EN'!B3435)&gt;0,'Translation-EN'!B3435,"")</f>
        <v>_Master sheet</v>
      </c>
      <c r="C3435" s="888" t="str">
        <f>IF(LEN('Translation-EN'!C3435)&gt;0,'Translation-EN'!C3435,"")</f>
        <v>AR511</v>
      </c>
      <c r="D3435" s="888">
        <f>IF(LEN('Translation-EN'!D3435)&gt;0,'Translation-EN'!D3435,"")</f>
        <v>1</v>
      </c>
      <c r="E3435" s="893" t="str">
        <f t="shared" si="11"/>
        <v>Expiré</v>
      </c>
    </row>
    <row r="3436" spans="1:5" x14ac:dyDescent="0.3">
      <c r="A3436" s="888" t="str">
        <f>IF(LEN('Translation-EN'!A3436)&gt;0,'Translation-EN'!A3436,"")</f>
        <v>Formula</v>
      </c>
      <c r="B3436" s="888" t="str">
        <f>IF(LEN('Translation-EN'!B3436)&gt;0,'Translation-EN'!B3436,"")</f>
        <v>_Master sheet</v>
      </c>
      <c r="C3436" s="888" t="str">
        <f>IF(LEN('Translation-EN'!C3436)&gt;0,'Translation-EN'!C3436,"")</f>
        <v>AR512</v>
      </c>
      <c r="D3436" s="888">
        <f>IF(LEN('Translation-EN'!D3436)&gt;0,'Translation-EN'!D3436,"")</f>
        <v>1</v>
      </c>
      <c r="E3436" s="893" t="str">
        <f t="shared" si="11"/>
        <v>Expiré</v>
      </c>
    </row>
    <row r="3437" spans="1:5" x14ac:dyDescent="0.3">
      <c r="A3437" s="888" t="str">
        <f>IF(LEN('Translation-EN'!A3437)&gt;0,'Translation-EN'!A3437,"")</f>
        <v>Formula</v>
      </c>
      <c r="B3437" s="888" t="str">
        <f>IF(LEN('Translation-EN'!B3437)&gt;0,'Translation-EN'!B3437,"")</f>
        <v>_Master sheet</v>
      </c>
      <c r="C3437" s="888" t="str">
        <f>IF(LEN('Translation-EN'!C3437)&gt;0,'Translation-EN'!C3437,"")</f>
        <v>AR513</v>
      </c>
      <c r="D3437" s="888">
        <f>IF(LEN('Translation-EN'!D3437)&gt;0,'Translation-EN'!D3437,"")</f>
        <v>1</v>
      </c>
      <c r="E3437" s="893" t="str">
        <f t="shared" si="11"/>
        <v>Expiré</v>
      </c>
    </row>
    <row r="3438" spans="1:5" x14ac:dyDescent="0.3">
      <c r="A3438" s="888" t="str">
        <f>IF(LEN('Translation-EN'!A3438)&gt;0,'Translation-EN'!A3438,"")</f>
        <v>Formula</v>
      </c>
      <c r="B3438" s="888" t="str">
        <f>IF(LEN('Translation-EN'!B3438)&gt;0,'Translation-EN'!B3438,"")</f>
        <v>_Master sheet</v>
      </c>
      <c r="C3438" s="888" t="str">
        <f>IF(LEN('Translation-EN'!C3438)&gt;0,'Translation-EN'!C3438,"")</f>
        <v>AR514</v>
      </c>
      <c r="D3438" s="888">
        <f>IF(LEN('Translation-EN'!D3438)&gt;0,'Translation-EN'!D3438,"")</f>
        <v>1</v>
      </c>
      <c r="E3438" s="893" t="str">
        <f t="shared" si="11"/>
        <v>Expiré</v>
      </c>
    </row>
    <row r="3439" spans="1:5" x14ac:dyDescent="0.3">
      <c r="A3439" s="888" t="str">
        <f>IF(LEN('Translation-EN'!A3439)&gt;0,'Translation-EN'!A3439,"")</f>
        <v>Formula</v>
      </c>
      <c r="B3439" s="888" t="str">
        <f>IF(LEN('Translation-EN'!B3439)&gt;0,'Translation-EN'!B3439,"")</f>
        <v>_Master sheet</v>
      </c>
      <c r="C3439" s="888" t="str">
        <f>IF(LEN('Translation-EN'!C3439)&gt;0,'Translation-EN'!C3439,"")</f>
        <v>AR515</v>
      </c>
      <c r="D3439" s="888">
        <f>IF(LEN('Translation-EN'!D3439)&gt;0,'Translation-EN'!D3439,"")</f>
        <v>1</v>
      </c>
      <c r="E3439" s="893" t="str">
        <f t="shared" si="11"/>
        <v>Expiré</v>
      </c>
    </row>
    <row r="3440" spans="1:5" x14ac:dyDescent="0.3">
      <c r="A3440" s="888" t="str">
        <f>IF(LEN('Translation-EN'!A3440)&gt;0,'Translation-EN'!A3440,"")</f>
        <v>Formula</v>
      </c>
      <c r="B3440" s="888" t="str">
        <f>IF(LEN('Translation-EN'!B3440)&gt;0,'Translation-EN'!B3440,"")</f>
        <v>_Master sheet</v>
      </c>
      <c r="C3440" s="888" t="str">
        <f>IF(LEN('Translation-EN'!C3440)&gt;0,'Translation-EN'!C3440,"")</f>
        <v>AR516</v>
      </c>
      <c r="D3440" s="888">
        <f>IF(LEN('Translation-EN'!D3440)&gt;0,'Translation-EN'!D3440,"")</f>
        <v>1</v>
      </c>
      <c r="E3440" s="893" t="str">
        <f t="shared" si="11"/>
        <v>Expiré</v>
      </c>
    </row>
    <row r="3441" spans="1:5" x14ac:dyDescent="0.3">
      <c r="A3441" s="888" t="str">
        <f>IF(LEN('Translation-EN'!A3441)&gt;0,'Translation-EN'!A3441,"")</f>
        <v>Formula</v>
      </c>
      <c r="B3441" s="888" t="str">
        <f>IF(LEN('Translation-EN'!B3441)&gt;0,'Translation-EN'!B3441,"")</f>
        <v>_Master sheet</v>
      </c>
      <c r="C3441" s="888" t="str">
        <f>IF(LEN('Translation-EN'!C3441)&gt;0,'Translation-EN'!C3441,"")</f>
        <v>AR517</v>
      </c>
      <c r="D3441" s="888">
        <f>IF(LEN('Translation-EN'!D3441)&gt;0,'Translation-EN'!D3441,"")</f>
        <v>1</v>
      </c>
      <c r="E3441" s="893" t="str">
        <f t="shared" si="11"/>
        <v>Expiré</v>
      </c>
    </row>
    <row r="3442" spans="1:5" x14ac:dyDescent="0.3">
      <c r="A3442" s="888" t="str">
        <f>IF(LEN('Translation-EN'!A3442)&gt;0,'Translation-EN'!A3442,"")</f>
        <v>Formula</v>
      </c>
      <c r="B3442" s="888" t="str">
        <f>IF(LEN('Translation-EN'!B3442)&gt;0,'Translation-EN'!B3442,"")</f>
        <v>_Master sheet</v>
      </c>
      <c r="C3442" s="888" t="str">
        <f>IF(LEN('Translation-EN'!C3442)&gt;0,'Translation-EN'!C3442,"")</f>
        <v>AR518</v>
      </c>
      <c r="D3442" s="888">
        <f>IF(LEN('Translation-EN'!D3442)&gt;0,'Translation-EN'!D3442,"")</f>
        <v>1</v>
      </c>
      <c r="E3442" s="893" t="str">
        <f t="shared" si="11"/>
        <v>Expiré</v>
      </c>
    </row>
    <row r="3443" spans="1:5" x14ac:dyDescent="0.3">
      <c r="A3443" s="888" t="str">
        <f>IF(LEN('Translation-EN'!A3443)&gt;0,'Translation-EN'!A3443,"")</f>
        <v>Formula</v>
      </c>
      <c r="B3443" s="888" t="str">
        <f>IF(LEN('Translation-EN'!B3443)&gt;0,'Translation-EN'!B3443,"")</f>
        <v>_Master sheet</v>
      </c>
      <c r="C3443" s="888" t="str">
        <f>IF(LEN('Translation-EN'!C3443)&gt;0,'Translation-EN'!C3443,"")</f>
        <v>AR519</v>
      </c>
      <c r="D3443" s="888">
        <f>IF(LEN('Translation-EN'!D3443)&gt;0,'Translation-EN'!D3443,"")</f>
        <v>1</v>
      </c>
      <c r="E3443" s="893" t="str">
        <f t="shared" si="11"/>
        <v>Expiré</v>
      </c>
    </row>
    <row r="3444" spans="1:5" x14ac:dyDescent="0.3">
      <c r="A3444" s="888" t="str">
        <f>IF(LEN('Translation-EN'!A3444)&gt;0,'Translation-EN'!A3444,"")</f>
        <v>Formula</v>
      </c>
      <c r="B3444" s="888" t="str">
        <f>IF(LEN('Translation-EN'!B3444)&gt;0,'Translation-EN'!B3444,"")</f>
        <v>_Master sheet</v>
      </c>
      <c r="C3444" s="888" t="str">
        <f>IF(LEN('Translation-EN'!C3444)&gt;0,'Translation-EN'!C3444,"")</f>
        <v>AR520</v>
      </c>
      <c r="D3444" s="888">
        <f>IF(LEN('Translation-EN'!D3444)&gt;0,'Translation-EN'!D3444,"")</f>
        <v>1</v>
      </c>
      <c r="E3444" s="893" t="str">
        <f t="shared" si="11"/>
        <v>Expiré</v>
      </c>
    </row>
    <row r="3445" spans="1:5" x14ac:dyDescent="0.3">
      <c r="A3445" s="888" t="str">
        <f>IF(LEN('Translation-EN'!A3445)&gt;0,'Translation-EN'!A3445,"")</f>
        <v>Formula</v>
      </c>
      <c r="B3445" s="888" t="str">
        <f>IF(LEN('Translation-EN'!B3445)&gt;0,'Translation-EN'!B3445,"")</f>
        <v>_Master sheet</v>
      </c>
      <c r="C3445" s="888" t="str">
        <f>IF(LEN('Translation-EN'!C3445)&gt;0,'Translation-EN'!C3445,"")</f>
        <v>AR521</v>
      </c>
      <c r="D3445" s="888">
        <f>IF(LEN('Translation-EN'!D3445)&gt;0,'Translation-EN'!D3445,"")</f>
        <v>1</v>
      </c>
      <c r="E3445" s="893" t="str">
        <f t="shared" si="11"/>
        <v>Expiré</v>
      </c>
    </row>
    <row r="3446" spans="1:5" x14ac:dyDescent="0.3">
      <c r="A3446" s="888" t="str">
        <f>IF(LEN('Translation-EN'!A3446)&gt;0,'Translation-EN'!A3446,"")</f>
        <v>Formula</v>
      </c>
      <c r="B3446" s="888" t="str">
        <f>IF(LEN('Translation-EN'!B3446)&gt;0,'Translation-EN'!B3446,"")</f>
        <v>_Master sheet</v>
      </c>
      <c r="C3446" s="888" t="str">
        <f>IF(LEN('Translation-EN'!C3446)&gt;0,'Translation-EN'!C3446,"")</f>
        <v>AR522</v>
      </c>
      <c r="D3446" s="888">
        <f>IF(LEN('Translation-EN'!D3446)&gt;0,'Translation-EN'!D3446,"")</f>
        <v>1</v>
      </c>
      <c r="E3446" s="893" t="str">
        <f t="shared" si="11"/>
        <v>Expiré</v>
      </c>
    </row>
    <row r="3447" spans="1:5" x14ac:dyDescent="0.3">
      <c r="A3447" s="888" t="str">
        <f>IF(LEN('Translation-EN'!A3447)&gt;0,'Translation-EN'!A3447,"")</f>
        <v>Formula</v>
      </c>
      <c r="B3447" s="888" t="str">
        <f>IF(LEN('Translation-EN'!B3447)&gt;0,'Translation-EN'!B3447,"")</f>
        <v>_Master sheet</v>
      </c>
      <c r="C3447" s="888" t="str">
        <f>IF(LEN('Translation-EN'!C3447)&gt;0,'Translation-EN'!C3447,"")</f>
        <v>AR523</v>
      </c>
      <c r="D3447" s="888">
        <f>IF(LEN('Translation-EN'!D3447)&gt;0,'Translation-EN'!D3447,"")</f>
        <v>1</v>
      </c>
      <c r="E3447" s="893" t="str">
        <f t="shared" ref="E3447:E3475" si="12">$E$3202</f>
        <v>Expiré</v>
      </c>
    </row>
    <row r="3448" spans="1:5" x14ac:dyDescent="0.3">
      <c r="A3448" s="888" t="str">
        <f>IF(LEN('Translation-EN'!A3448)&gt;0,'Translation-EN'!A3448,"")</f>
        <v>Formula</v>
      </c>
      <c r="B3448" s="888" t="str">
        <f>IF(LEN('Translation-EN'!B3448)&gt;0,'Translation-EN'!B3448,"")</f>
        <v>_Master sheet</v>
      </c>
      <c r="C3448" s="888" t="str">
        <f>IF(LEN('Translation-EN'!C3448)&gt;0,'Translation-EN'!C3448,"")</f>
        <v>AR524</v>
      </c>
      <c r="D3448" s="888">
        <f>IF(LEN('Translation-EN'!D3448)&gt;0,'Translation-EN'!D3448,"")</f>
        <v>1</v>
      </c>
      <c r="E3448" s="893" t="str">
        <f t="shared" si="12"/>
        <v>Expiré</v>
      </c>
    </row>
    <row r="3449" spans="1:5" x14ac:dyDescent="0.3">
      <c r="A3449" s="888" t="str">
        <f>IF(LEN('Translation-EN'!A3449)&gt;0,'Translation-EN'!A3449,"")</f>
        <v>Formula</v>
      </c>
      <c r="B3449" s="888" t="str">
        <f>IF(LEN('Translation-EN'!B3449)&gt;0,'Translation-EN'!B3449,"")</f>
        <v>_Master sheet</v>
      </c>
      <c r="C3449" s="888" t="str">
        <f>IF(LEN('Translation-EN'!C3449)&gt;0,'Translation-EN'!C3449,"")</f>
        <v>AR525</v>
      </c>
      <c r="D3449" s="888">
        <f>IF(LEN('Translation-EN'!D3449)&gt;0,'Translation-EN'!D3449,"")</f>
        <v>1</v>
      </c>
      <c r="E3449" s="893" t="str">
        <f t="shared" si="12"/>
        <v>Expiré</v>
      </c>
    </row>
    <row r="3450" spans="1:5" x14ac:dyDescent="0.3">
      <c r="A3450" s="888" t="str">
        <f>IF(LEN('Translation-EN'!A3450)&gt;0,'Translation-EN'!A3450,"")</f>
        <v>Formula</v>
      </c>
      <c r="B3450" s="888" t="str">
        <f>IF(LEN('Translation-EN'!B3450)&gt;0,'Translation-EN'!B3450,"")</f>
        <v>_Master sheet</v>
      </c>
      <c r="C3450" s="888" t="str">
        <f>IF(LEN('Translation-EN'!C3450)&gt;0,'Translation-EN'!C3450,"")</f>
        <v>AR526</v>
      </c>
      <c r="D3450" s="888">
        <f>IF(LEN('Translation-EN'!D3450)&gt;0,'Translation-EN'!D3450,"")</f>
        <v>1</v>
      </c>
      <c r="E3450" s="893" t="str">
        <f t="shared" si="12"/>
        <v>Expiré</v>
      </c>
    </row>
    <row r="3451" spans="1:5" x14ac:dyDescent="0.3">
      <c r="A3451" s="888" t="str">
        <f>IF(LEN('Translation-EN'!A3451)&gt;0,'Translation-EN'!A3451,"")</f>
        <v>Formula</v>
      </c>
      <c r="B3451" s="888" t="str">
        <f>IF(LEN('Translation-EN'!B3451)&gt;0,'Translation-EN'!B3451,"")</f>
        <v>_Master sheet</v>
      </c>
      <c r="C3451" s="888" t="str">
        <f>IF(LEN('Translation-EN'!C3451)&gt;0,'Translation-EN'!C3451,"")</f>
        <v>AR527</v>
      </c>
      <c r="D3451" s="888">
        <f>IF(LEN('Translation-EN'!D3451)&gt;0,'Translation-EN'!D3451,"")</f>
        <v>1</v>
      </c>
      <c r="E3451" s="893" t="str">
        <f t="shared" si="12"/>
        <v>Expiré</v>
      </c>
    </row>
    <row r="3452" spans="1:5" x14ac:dyDescent="0.3">
      <c r="A3452" s="888" t="str">
        <f>IF(LEN('Translation-EN'!A3452)&gt;0,'Translation-EN'!A3452,"")</f>
        <v>Formula</v>
      </c>
      <c r="B3452" s="888" t="str">
        <f>IF(LEN('Translation-EN'!B3452)&gt;0,'Translation-EN'!B3452,"")</f>
        <v>_Master sheet</v>
      </c>
      <c r="C3452" s="888" t="str">
        <f>IF(LEN('Translation-EN'!C3452)&gt;0,'Translation-EN'!C3452,"")</f>
        <v>AR528</v>
      </c>
      <c r="D3452" s="888">
        <f>IF(LEN('Translation-EN'!D3452)&gt;0,'Translation-EN'!D3452,"")</f>
        <v>1</v>
      </c>
      <c r="E3452" s="893" t="str">
        <f t="shared" si="12"/>
        <v>Expiré</v>
      </c>
    </row>
    <row r="3453" spans="1:5" x14ac:dyDescent="0.3">
      <c r="A3453" s="888" t="str">
        <f>IF(LEN('Translation-EN'!A3453)&gt;0,'Translation-EN'!A3453,"")</f>
        <v>Formula</v>
      </c>
      <c r="B3453" s="888" t="str">
        <f>IF(LEN('Translation-EN'!B3453)&gt;0,'Translation-EN'!B3453,"")</f>
        <v>_Master sheet</v>
      </c>
      <c r="C3453" s="888" t="str">
        <f>IF(LEN('Translation-EN'!C3453)&gt;0,'Translation-EN'!C3453,"")</f>
        <v>AR529</v>
      </c>
      <c r="D3453" s="888">
        <f>IF(LEN('Translation-EN'!D3453)&gt;0,'Translation-EN'!D3453,"")</f>
        <v>1</v>
      </c>
      <c r="E3453" s="893" t="str">
        <f t="shared" si="12"/>
        <v>Expiré</v>
      </c>
    </row>
    <row r="3454" spans="1:5" x14ac:dyDescent="0.3">
      <c r="A3454" s="888" t="str">
        <f>IF(LEN('Translation-EN'!A3454)&gt;0,'Translation-EN'!A3454,"")</f>
        <v>Formula</v>
      </c>
      <c r="B3454" s="888" t="str">
        <f>IF(LEN('Translation-EN'!B3454)&gt;0,'Translation-EN'!B3454,"")</f>
        <v>_Master sheet</v>
      </c>
      <c r="C3454" s="888" t="str">
        <f>IF(LEN('Translation-EN'!C3454)&gt;0,'Translation-EN'!C3454,"")</f>
        <v>AR530</v>
      </c>
      <c r="D3454" s="888">
        <f>IF(LEN('Translation-EN'!D3454)&gt;0,'Translation-EN'!D3454,"")</f>
        <v>1</v>
      </c>
      <c r="E3454" s="893" t="str">
        <f t="shared" si="12"/>
        <v>Expiré</v>
      </c>
    </row>
    <row r="3455" spans="1:5" x14ac:dyDescent="0.3">
      <c r="A3455" s="888" t="str">
        <f>IF(LEN('Translation-EN'!A3455)&gt;0,'Translation-EN'!A3455,"")</f>
        <v>Formula</v>
      </c>
      <c r="B3455" s="888" t="str">
        <f>IF(LEN('Translation-EN'!B3455)&gt;0,'Translation-EN'!B3455,"")</f>
        <v>_Master sheet</v>
      </c>
      <c r="C3455" s="888" t="str">
        <f>IF(LEN('Translation-EN'!C3455)&gt;0,'Translation-EN'!C3455,"")</f>
        <v>AR531</v>
      </c>
      <c r="D3455" s="888">
        <f>IF(LEN('Translation-EN'!D3455)&gt;0,'Translation-EN'!D3455,"")</f>
        <v>1</v>
      </c>
      <c r="E3455" s="893" t="str">
        <f t="shared" si="12"/>
        <v>Expiré</v>
      </c>
    </row>
    <row r="3456" spans="1:5" x14ac:dyDescent="0.3">
      <c r="A3456" s="888" t="str">
        <f>IF(LEN('Translation-EN'!A3456)&gt;0,'Translation-EN'!A3456,"")</f>
        <v>Formula</v>
      </c>
      <c r="B3456" s="888" t="str">
        <f>IF(LEN('Translation-EN'!B3456)&gt;0,'Translation-EN'!B3456,"")</f>
        <v>_Master sheet</v>
      </c>
      <c r="C3456" s="888" t="str">
        <f>IF(LEN('Translation-EN'!C3456)&gt;0,'Translation-EN'!C3456,"")</f>
        <v>AR532</v>
      </c>
      <c r="D3456" s="888">
        <f>IF(LEN('Translation-EN'!D3456)&gt;0,'Translation-EN'!D3456,"")</f>
        <v>1</v>
      </c>
      <c r="E3456" s="893" t="str">
        <f t="shared" si="12"/>
        <v>Expiré</v>
      </c>
    </row>
    <row r="3457" spans="1:5" x14ac:dyDescent="0.3">
      <c r="A3457" s="888" t="str">
        <f>IF(LEN('Translation-EN'!A3457)&gt;0,'Translation-EN'!A3457,"")</f>
        <v>Formula</v>
      </c>
      <c r="B3457" s="888" t="str">
        <f>IF(LEN('Translation-EN'!B3457)&gt;0,'Translation-EN'!B3457,"")</f>
        <v>_Master sheet</v>
      </c>
      <c r="C3457" s="888" t="str">
        <f>IF(LEN('Translation-EN'!C3457)&gt;0,'Translation-EN'!C3457,"")</f>
        <v>AR533</v>
      </c>
      <c r="D3457" s="888">
        <f>IF(LEN('Translation-EN'!D3457)&gt;0,'Translation-EN'!D3457,"")</f>
        <v>1</v>
      </c>
      <c r="E3457" s="893" t="str">
        <f t="shared" si="12"/>
        <v>Expiré</v>
      </c>
    </row>
    <row r="3458" spans="1:5" x14ac:dyDescent="0.3">
      <c r="A3458" s="888" t="str">
        <f>IF(LEN('Translation-EN'!A3458)&gt;0,'Translation-EN'!A3458,"")</f>
        <v>Formula</v>
      </c>
      <c r="B3458" s="888" t="str">
        <f>IF(LEN('Translation-EN'!B3458)&gt;0,'Translation-EN'!B3458,"")</f>
        <v>_Master sheet</v>
      </c>
      <c r="C3458" s="888" t="str">
        <f>IF(LEN('Translation-EN'!C3458)&gt;0,'Translation-EN'!C3458,"")</f>
        <v>AR534</v>
      </c>
      <c r="D3458" s="888">
        <f>IF(LEN('Translation-EN'!D3458)&gt;0,'Translation-EN'!D3458,"")</f>
        <v>1</v>
      </c>
      <c r="E3458" s="893" t="str">
        <f t="shared" si="12"/>
        <v>Expiré</v>
      </c>
    </row>
    <row r="3459" spans="1:5" x14ac:dyDescent="0.3">
      <c r="A3459" s="888" t="str">
        <f>IF(LEN('Translation-EN'!A3459)&gt;0,'Translation-EN'!A3459,"")</f>
        <v>Formula</v>
      </c>
      <c r="B3459" s="888" t="str">
        <f>IF(LEN('Translation-EN'!B3459)&gt;0,'Translation-EN'!B3459,"")</f>
        <v>_Master sheet</v>
      </c>
      <c r="C3459" s="888" t="str">
        <f>IF(LEN('Translation-EN'!C3459)&gt;0,'Translation-EN'!C3459,"")</f>
        <v>AR535</v>
      </c>
      <c r="D3459" s="888">
        <f>IF(LEN('Translation-EN'!D3459)&gt;0,'Translation-EN'!D3459,"")</f>
        <v>1</v>
      </c>
      <c r="E3459" s="893" t="str">
        <f t="shared" si="12"/>
        <v>Expiré</v>
      </c>
    </row>
    <row r="3460" spans="1:5" x14ac:dyDescent="0.3">
      <c r="A3460" s="888" t="str">
        <f>IF(LEN('Translation-EN'!A3460)&gt;0,'Translation-EN'!A3460,"")</f>
        <v>Formula</v>
      </c>
      <c r="B3460" s="888" t="str">
        <f>IF(LEN('Translation-EN'!B3460)&gt;0,'Translation-EN'!B3460,"")</f>
        <v>_Master sheet</v>
      </c>
      <c r="C3460" s="888" t="str">
        <f>IF(LEN('Translation-EN'!C3460)&gt;0,'Translation-EN'!C3460,"")</f>
        <v>AR536</v>
      </c>
      <c r="D3460" s="888">
        <f>IF(LEN('Translation-EN'!D3460)&gt;0,'Translation-EN'!D3460,"")</f>
        <v>1</v>
      </c>
      <c r="E3460" s="893" t="str">
        <f t="shared" si="12"/>
        <v>Expiré</v>
      </c>
    </row>
    <row r="3461" spans="1:5" x14ac:dyDescent="0.3">
      <c r="A3461" s="888" t="str">
        <f>IF(LEN('Translation-EN'!A3461)&gt;0,'Translation-EN'!A3461,"")</f>
        <v>Formula</v>
      </c>
      <c r="B3461" s="888" t="str">
        <f>IF(LEN('Translation-EN'!B3461)&gt;0,'Translation-EN'!B3461,"")</f>
        <v>_Master sheet</v>
      </c>
      <c r="C3461" s="888" t="str">
        <f>IF(LEN('Translation-EN'!C3461)&gt;0,'Translation-EN'!C3461,"")</f>
        <v>AR537</v>
      </c>
      <c r="D3461" s="888">
        <f>IF(LEN('Translation-EN'!D3461)&gt;0,'Translation-EN'!D3461,"")</f>
        <v>1</v>
      </c>
      <c r="E3461" s="893" t="str">
        <f t="shared" si="12"/>
        <v>Expiré</v>
      </c>
    </row>
    <row r="3462" spans="1:5" x14ac:dyDescent="0.3">
      <c r="A3462" s="888" t="str">
        <f>IF(LEN('Translation-EN'!A3462)&gt;0,'Translation-EN'!A3462,"")</f>
        <v>Formula</v>
      </c>
      <c r="B3462" s="888" t="str">
        <f>IF(LEN('Translation-EN'!B3462)&gt;0,'Translation-EN'!B3462,"")</f>
        <v>_Master sheet</v>
      </c>
      <c r="C3462" s="888" t="str">
        <f>IF(LEN('Translation-EN'!C3462)&gt;0,'Translation-EN'!C3462,"")</f>
        <v>AR538</v>
      </c>
      <c r="D3462" s="888">
        <f>IF(LEN('Translation-EN'!D3462)&gt;0,'Translation-EN'!D3462,"")</f>
        <v>1</v>
      </c>
      <c r="E3462" s="893" t="str">
        <f t="shared" si="12"/>
        <v>Expiré</v>
      </c>
    </row>
    <row r="3463" spans="1:5" x14ac:dyDescent="0.3">
      <c r="A3463" s="888" t="str">
        <f>IF(LEN('Translation-EN'!A3463)&gt;0,'Translation-EN'!A3463,"")</f>
        <v>Formula</v>
      </c>
      <c r="B3463" s="888" t="str">
        <f>IF(LEN('Translation-EN'!B3463)&gt;0,'Translation-EN'!B3463,"")</f>
        <v>_Master sheet</v>
      </c>
      <c r="C3463" s="888" t="str">
        <f>IF(LEN('Translation-EN'!C3463)&gt;0,'Translation-EN'!C3463,"")</f>
        <v>AR539</v>
      </c>
      <c r="D3463" s="888">
        <f>IF(LEN('Translation-EN'!D3463)&gt;0,'Translation-EN'!D3463,"")</f>
        <v>1</v>
      </c>
      <c r="E3463" s="893" t="str">
        <f t="shared" si="12"/>
        <v>Expiré</v>
      </c>
    </row>
    <row r="3464" spans="1:5" x14ac:dyDescent="0.3">
      <c r="A3464" s="888" t="str">
        <f>IF(LEN('Translation-EN'!A3464)&gt;0,'Translation-EN'!A3464,"")</f>
        <v>Formula</v>
      </c>
      <c r="B3464" s="888" t="str">
        <f>IF(LEN('Translation-EN'!B3464)&gt;0,'Translation-EN'!B3464,"")</f>
        <v>_Master sheet</v>
      </c>
      <c r="C3464" s="888" t="str">
        <f>IF(LEN('Translation-EN'!C3464)&gt;0,'Translation-EN'!C3464,"")</f>
        <v>AR540</v>
      </c>
      <c r="D3464" s="888">
        <f>IF(LEN('Translation-EN'!D3464)&gt;0,'Translation-EN'!D3464,"")</f>
        <v>1</v>
      </c>
      <c r="E3464" s="893" t="str">
        <f t="shared" si="12"/>
        <v>Expiré</v>
      </c>
    </row>
    <row r="3465" spans="1:5" x14ac:dyDescent="0.3">
      <c r="A3465" s="888" t="str">
        <f>IF(LEN('Translation-EN'!A3465)&gt;0,'Translation-EN'!A3465,"")</f>
        <v>Formula</v>
      </c>
      <c r="B3465" s="888" t="str">
        <f>IF(LEN('Translation-EN'!B3465)&gt;0,'Translation-EN'!B3465,"")</f>
        <v>_Master sheet</v>
      </c>
      <c r="C3465" s="888" t="str">
        <f>IF(LEN('Translation-EN'!C3465)&gt;0,'Translation-EN'!C3465,"")</f>
        <v>AR541</v>
      </c>
      <c r="D3465" s="888">
        <f>IF(LEN('Translation-EN'!D3465)&gt;0,'Translation-EN'!D3465,"")</f>
        <v>1</v>
      </c>
      <c r="E3465" s="893" t="str">
        <f t="shared" si="12"/>
        <v>Expiré</v>
      </c>
    </row>
    <row r="3466" spans="1:5" x14ac:dyDescent="0.3">
      <c r="A3466" s="888" t="str">
        <f>IF(LEN('Translation-EN'!A3466)&gt;0,'Translation-EN'!A3466,"")</f>
        <v>Formula</v>
      </c>
      <c r="B3466" s="888" t="str">
        <f>IF(LEN('Translation-EN'!B3466)&gt;0,'Translation-EN'!B3466,"")</f>
        <v>_Master sheet</v>
      </c>
      <c r="C3466" s="888" t="str">
        <f>IF(LEN('Translation-EN'!C3466)&gt;0,'Translation-EN'!C3466,"")</f>
        <v>AR545</v>
      </c>
      <c r="D3466" s="888">
        <f>IF(LEN('Translation-EN'!D3466)&gt;0,'Translation-EN'!D3466,"")</f>
        <v>1</v>
      </c>
      <c r="E3466" s="893" t="str">
        <f t="shared" si="12"/>
        <v>Expiré</v>
      </c>
    </row>
    <row r="3467" spans="1:5" x14ac:dyDescent="0.3">
      <c r="A3467" s="888" t="str">
        <f>IF(LEN('Translation-EN'!A3467)&gt;0,'Translation-EN'!A3467,"")</f>
        <v>Formula</v>
      </c>
      <c r="B3467" s="888" t="str">
        <f>IF(LEN('Translation-EN'!B3467)&gt;0,'Translation-EN'!B3467,"")</f>
        <v>_Master sheet</v>
      </c>
      <c r="C3467" s="888" t="str">
        <f>IF(LEN('Translation-EN'!C3467)&gt;0,'Translation-EN'!C3467,"")</f>
        <v>AR546</v>
      </c>
      <c r="D3467" s="888">
        <f>IF(LEN('Translation-EN'!D3467)&gt;0,'Translation-EN'!D3467,"")</f>
        <v>1</v>
      </c>
      <c r="E3467" s="893" t="str">
        <f t="shared" si="12"/>
        <v>Expiré</v>
      </c>
    </row>
    <row r="3468" spans="1:5" x14ac:dyDescent="0.3">
      <c r="A3468" s="888" t="str">
        <f>IF(LEN('Translation-EN'!A3468)&gt;0,'Translation-EN'!A3468,"")</f>
        <v>Formula</v>
      </c>
      <c r="B3468" s="888" t="str">
        <f>IF(LEN('Translation-EN'!B3468)&gt;0,'Translation-EN'!B3468,"")</f>
        <v>_Master sheet</v>
      </c>
      <c r="C3468" s="888" t="str">
        <f>IF(LEN('Translation-EN'!C3468)&gt;0,'Translation-EN'!C3468,"")</f>
        <v>AR547</v>
      </c>
      <c r="D3468" s="888">
        <f>IF(LEN('Translation-EN'!D3468)&gt;0,'Translation-EN'!D3468,"")</f>
        <v>1</v>
      </c>
      <c r="E3468" s="893" t="str">
        <f t="shared" si="12"/>
        <v>Expiré</v>
      </c>
    </row>
    <row r="3469" spans="1:5" x14ac:dyDescent="0.3">
      <c r="A3469" s="888" t="str">
        <f>IF(LEN('Translation-EN'!A3469)&gt;0,'Translation-EN'!A3469,"")</f>
        <v>Formula</v>
      </c>
      <c r="B3469" s="888" t="str">
        <f>IF(LEN('Translation-EN'!B3469)&gt;0,'Translation-EN'!B3469,"")</f>
        <v>_Master sheet</v>
      </c>
      <c r="C3469" s="888" t="str">
        <f>IF(LEN('Translation-EN'!C3469)&gt;0,'Translation-EN'!C3469,"")</f>
        <v>AR548</v>
      </c>
      <c r="D3469" s="888">
        <f>IF(LEN('Translation-EN'!D3469)&gt;0,'Translation-EN'!D3469,"")</f>
        <v>1</v>
      </c>
      <c r="E3469" s="893" t="str">
        <f t="shared" si="12"/>
        <v>Expiré</v>
      </c>
    </row>
    <row r="3470" spans="1:5" x14ac:dyDescent="0.3">
      <c r="A3470" s="888" t="str">
        <f>IF(LEN('Translation-EN'!A3470)&gt;0,'Translation-EN'!A3470,"")</f>
        <v>Formula</v>
      </c>
      <c r="B3470" s="888" t="str">
        <f>IF(LEN('Translation-EN'!B3470)&gt;0,'Translation-EN'!B3470,"")</f>
        <v>_Master sheet</v>
      </c>
      <c r="C3470" s="888" t="str">
        <f>IF(LEN('Translation-EN'!C3470)&gt;0,'Translation-EN'!C3470,"")</f>
        <v>AR549</v>
      </c>
      <c r="D3470" s="888">
        <f>IF(LEN('Translation-EN'!D3470)&gt;0,'Translation-EN'!D3470,"")</f>
        <v>1</v>
      </c>
      <c r="E3470" s="893" t="str">
        <f t="shared" si="12"/>
        <v>Expiré</v>
      </c>
    </row>
    <row r="3471" spans="1:5" x14ac:dyDescent="0.3">
      <c r="A3471" s="888" t="str">
        <f>IF(LEN('Translation-EN'!A3471)&gt;0,'Translation-EN'!A3471,"")</f>
        <v>Formula</v>
      </c>
      <c r="B3471" s="888" t="str">
        <f>IF(LEN('Translation-EN'!B3471)&gt;0,'Translation-EN'!B3471,"")</f>
        <v>_Master sheet</v>
      </c>
      <c r="C3471" s="888" t="str">
        <f>IF(LEN('Translation-EN'!C3471)&gt;0,'Translation-EN'!C3471,"")</f>
        <v>AR550</v>
      </c>
      <c r="D3471" s="888">
        <f>IF(LEN('Translation-EN'!D3471)&gt;0,'Translation-EN'!D3471,"")</f>
        <v>1</v>
      </c>
      <c r="E3471" s="893" t="str">
        <f t="shared" si="12"/>
        <v>Expiré</v>
      </c>
    </row>
    <row r="3472" spans="1:5" x14ac:dyDescent="0.3">
      <c r="A3472" s="888" t="str">
        <f>IF(LEN('Translation-EN'!A3472)&gt;0,'Translation-EN'!A3472,"")</f>
        <v>Formula</v>
      </c>
      <c r="B3472" s="888" t="str">
        <f>IF(LEN('Translation-EN'!B3472)&gt;0,'Translation-EN'!B3472,"")</f>
        <v>_Master sheet</v>
      </c>
      <c r="C3472" s="888" t="str">
        <f>IF(LEN('Translation-EN'!C3472)&gt;0,'Translation-EN'!C3472,"")</f>
        <v>AR551</v>
      </c>
      <c r="D3472" s="888">
        <f>IF(LEN('Translation-EN'!D3472)&gt;0,'Translation-EN'!D3472,"")</f>
        <v>1</v>
      </c>
      <c r="E3472" s="893" t="str">
        <f t="shared" si="12"/>
        <v>Expiré</v>
      </c>
    </row>
    <row r="3473" spans="1:5" x14ac:dyDescent="0.3">
      <c r="A3473" s="888" t="str">
        <f>IF(LEN('Translation-EN'!A3473)&gt;0,'Translation-EN'!A3473,"")</f>
        <v>Formula</v>
      </c>
      <c r="B3473" s="888" t="str">
        <f>IF(LEN('Translation-EN'!B3473)&gt;0,'Translation-EN'!B3473,"")</f>
        <v>_Master sheet</v>
      </c>
      <c r="C3473" s="888" t="str">
        <f>IF(LEN('Translation-EN'!C3473)&gt;0,'Translation-EN'!C3473,"")</f>
        <v>AR552</v>
      </c>
      <c r="D3473" s="888">
        <f>IF(LEN('Translation-EN'!D3473)&gt;0,'Translation-EN'!D3473,"")</f>
        <v>1</v>
      </c>
      <c r="E3473" s="893" t="str">
        <f t="shared" si="12"/>
        <v>Expiré</v>
      </c>
    </row>
    <row r="3474" spans="1:5" x14ac:dyDescent="0.3">
      <c r="A3474" s="888" t="str">
        <f>IF(LEN('Translation-EN'!A3474)&gt;0,'Translation-EN'!A3474,"")</f>
        <v>Formula</v>
      </c>
      <c r="B3474" s="888" t="str">
        <f>IF(LEN('Translation-EN'!B3474)&gt;0,'Translation-EN'!B3474,"")</f>
        <v>_Master sheet</v>
      </c>
      <c r="C3474" s="888" t="str">
        <f>IF(LEN('Translation-EN'!C3474)&gt;0,'Translation-EN'!C3474,"")</f>
        <v>AR553</v>
      </c>
      <c r="D3474" s="888">
        <f>IF(LEN('Translation-EN'!D3474)&gt;0,'Translation-EN'!D3474,"")</f>
        <v>1</v>
      </c>
      <c r="E3474" s="893" t="str">
        <f t="shared" si="12"/>
        <v>Expiré</v>
      </c>
    </row>
    <row r="3475" spans="1:5" x14ac:dyDescent="0.3">
      <c r="A3475" s="888" t="str">
        <f>IF(LEN('Translation-EN'!A3475)&gt;0,'Translation-EN'!A3475,"")</f>
        <v>Formula</v>
      </c>
      <c r="B3475" s="888" t="str">
        <f>IF(LEN('Translation-EN'!B3475)&gt;0,'Translation-EN'!B3475,"")</f>
        <v>_Master sheet</v>
      </c>
      <c r="C3475" s="888" t="str">
        <f>IF(LEN('Translation-EN'!C3475)&gt;0,'Translation-EN'!C3475,"")</f>
        <v>AR554</v>
      </c>
      <c r="D3475" s="888">
        <f>IF(LEN('Translation-EN'!D3475)&gt;0,'Translation-EN'!D3475,"")</f>
        <v>1</v>
      </c>
      <c r="E3475" s="893" t="str">
        <f t="shared" si="12"/>
        <v>Expiré</v>
      </c>
    </row>
    <row r="3476" spans="1:5" x14ac:dyDescent="0.3">
      <c r="A3476" s="888" t="str">
        <f>IF(LEN('Translation-EN'!A3476)&gt;0,'Translation-EN'!A3476,"")</f>
        <v>Range</v>
      </c>
      <c r="B3476" s="888" t="str">
        <f>IF(LEN('Translation-EN'!B3476)&gt;0,'Translation-EN'!B3476,"")</f>
        <v>Master sheet</v>
      </c>
      <c r="C3476" s="888" t="str">
        <f>IF(LEN('Translation-EN'!C3476)&gt;0,'Translation-EN'!C3476,"")</f>
        <v>AR573</v>
      </c>
      <c r="D3476" s="888" t="str">
        <f>IF(LEN('Translation-EN'!D3476)&gt;0,'Translation-EN'!D3476,"")</f>
        <v/>
      </c>
      <c r="E3476" s="893" t="str">
        <f>$E$3304</f>
        <v>A1-B1</v>
      </c>
    </row>
    <row r="3477" spans="1:5" x14ac:dyDescent="0.3">
      <c r="A3477" s="888" t="str">
        <f>IF(LEN('Translation-EN'!A3477)&gt;0,'Translation-EN'!A3477,"")</f>
        <v>Range</v>
      </c>
      <c r="B3477" s="888" t="str">
        <f>IF(LEN('Translation-EN'!B3477)&gt;0,'Translation-EN'!B3477,"")</f>
        <v>Master sheet</v>
      </c>
      <c r="C3477" s="888" t="str">
        <f>IF(LEN('Translation-EN'!C3477)&gt;0,'Translation-EN'!C3477,"")</f>
        <v>AR574</v>
      </c>
      <c r="D3477" s="888" t="str">
        <f>IF(LEN('Translation-EN'!D3477)&gt;0,'Translation-EN'!D3477,"")</f>
        <v/>
      </c>
      <c r="E3477" s="893" t="str">
        <f>$E$3304</f>
        <v>A1-B1</v>
      </c>
    </row>
    <row r="3478" spans="1:5" x14ac:dyDescent="0.3">
      <c r="A3478" s="888" t="str">
        <f>IF(LEN('Translation-EN'!A3478)&gt;0,'Translation-EN'!A3478,"")</f>
        <v>Formula</v>
      </c>
      <c r="B3478" s="888" t="str">
        <f>IF(LEN('Translation-EN'!B3478)&gt;0,'Translation-EN'!B3478,"")</f>
        <v>_Master sheet</v>
      </c>
      <c r="C3478" s="888" t="str">
        <f>IF(LEN('Translation-EN'!C3478)&gt;0,'Translation-EN'!C3478,"")</f>
        <v>AR564</v>
      </c>
      <c r="D3478" s="888">
        <f>IF(LEN('Translation-EN'!D3478)&gt;0,'Translation-EN'!D3478,"")</f>
        <v>1</v>
      </c>
      <c r="E3478" s="893" t="str">
        <f>$E$3202</f>
        <v>Expiré</v>
      </c>
    </row>
    <row r="3479" spans="1:5" x14ac:dyDescent="0.3">
      <c r="A3479" s="888" t="str">
        <f>IF(LEN('Translation-EN'!A3479)&gt;0,'Translation-EN'!A3479,"")</f>
        <v>Formula</v>
      </c>
      <c r="B3479" s="888" t="str">
        <f>IF(LEN('Translation-EN'!B3479)&gt;0,'Translation-EN'!B3479,"")</f>
        <v>_Master sheet</v>
      </c>
      <c r="C3479" s="888" t="str">
        <f>IF(LEN('Translation-EN'!C3479)&gt;0,'Translation-EN'!C3479,"")</f>
        <v>AR565</v>
      </c>
      <c r="D3479" s="888">
        <f>IF(LEN('Translation-EN'!D3479)&gt;0,'Translation-EN'!D3479,"")</f>
        <v>1</v>
      </c>
      <c r="E3479" s="893" t="str">
        <f>$E$3202</f>
        <v>Expiré</v>
      </c>
    </row>
    <row r="3480" spans="1:5" x14ac:dyDescent="0.3">
      <c r="A3480" s="888" t="str">
        <f>IF(LEN('Translation-EN'!A3480)&gt;0,'Translation-EN'!A3480,"")</f>
        <v>Formula</v>
      </c>
      <c r="B3480" s="888" t="str">
        <f>IF(LEN('Translation-EN'!B3480)&gt;0,'Translation-EN'!B3480,"")</f>
        <v>_Master sheet</v>
      </c>
      <c r="C3480" s="888" t="str">
        <f>IF(LEN('Translation-EN'!C3480)&gt;0,'Translation-EN'!C3480,"")</f>
        <v>AR566</v>
      </c>
      <c r="D3480" s="888">
        <f>IF(LEN('Translation-EN'!D3480)&gt;0,'Translation-EN'!D3480,"")</f>
        <v>1</v>
      </c>
      <c r="E3480" s="893" t="str">
        <f>$E$3202</f>
        <v>Expiré</v>
      </c>
    </row>
    <row r="3481" spans="1:5" x14ac:dyDescent="0.3">
      <c r="A3481" s="888" t="str">
        <f>IF(LEN('Translation-EN'!A3481)&gt;0,'Translation-EN'!A3481,"")</f>
        <v>Range</v>
      </c>
      <c r="B3481" s="888" t="str">
        <f>IF(LEN('Translation-EN'!B3481)&gt;0,'Translation-EN'!B3481,"")</f>
        <v>Master sheet</v>
      </c>
      <c r="C3481" s="888" t="str">
        <f>IF(LEN('Translation-EN'!C3481)&gt;0,'Translation-EN'!C3481,"")</f>
        <v>AR583</v>
      </c>
      <c r="D3481" s="888" t="str">
        <f>IF(LEN('Translation-EN'!D3481)&gt;0,'Translation-EN'!D3481,"")</f>
        <v/>
      </c>
      <c r="E3481" s="893" t="str">
        <f>$E$3304</f>
        <v>A1-B1</v>
      </c>
    </row>
    <row r="3482" spans="1:5" x14ac:dyDescent="0.3">
      <c r="A3482" s="888" t="str">
        <f>IF(LEN('Translation-EN'!A3482)&gt;0,'Translation-EN'!A3482,"")</f>
        <v>Formula</v>
      </c>
      <c r="B3482" s="888" t="str">
        <f>IF(LEN('Translation-EN'!B3482)&gt;0,'Translation-EN'!B3482,"")</f>
        <v>_Master sheet</v>
      </c>
      <c r="C3482" s="888" t="str">
        <f>IF(LEN('Translation-EN'!C3482)&gt;0,'Translation-EN'!C3482,"")</f>
        <v>AR568</v>
      </c>
      <c r="D3482" s="888">
        <f>IF(LEN('Translation-EN'!D3482)&gt;0,'Translation-EN'!D3482,"")</f>
        <v>1</v>
      </c>
      <c r="E3482" s="893" t="str">
        <f>$E$3202</f>
        <v>Expiré</v>
      </c>
    </row>
    <row r="3483" spans="1:5" x14ac:dyDescent="0.3">
      <c r="A3483" s="888" t="str">
        <f>IF(LEN('Translation-EN'!A3483)&gt;0,'Translation-EN'!A3483,"")</f>
        <v>Formula</v>
      </c>
      <c r="B3483" s="888" t="str">
        <f>IF(LEN('Translation-EN'!B3483)&gt;0,'Translation-EN'!B3483,"")</f>
        <v>_Master sheet</v>
      </c>
      <c r="C3483" s="888" t="str">
        <f>IF(LEN('Translation-EN'!C3483)&gt;0,'Translation-EN'!C3483,"")</f>
        <v>AR569</v>
      </c>
      <c r="D3483" s="888">
        <f>IF(LEN('Translation-EN'!D3483)&gt;0,'Translation-EN'!D3483,"")</f>
        <v>1</v>
      </c>
      <c r="E3483" s="893" t="str">
        <f>$E$3202</f>
        <v>Expiré</v>
      </c>
    </row>
    <row r="3484" spans="1:5" x14ac:dyDescent="0.3">
      <c r="A3484" s="888" t="str">
        <f>IF(LEN('Translation-EN'!A3484)&gt;0,'Translation-EN'!A3484,"")</f>
        <v>Formula</v>
      </c>
      <c r="B3484" s="888" t="str">
        <f>IF(LEN('Translation-EN'!B3484)&gt;0,'Translation-EN'!B3484,"")</f>
        <v>_Master sheet</v>
      </c>
      <c r="C3484" s="888" t="str">
        <f>IF(LEN('Translation-EN'!C3484)&gt;0,'Translation-EN'!C3484,"")</f>
        <v>AR578</v>
      </c>
      <c r="D3484" s="888">
        <f>IF(LEN('Translation-EN'!D3484)&gt;0,'Translation-EN'!D3484,"")</f>
        <v>1</v>
      </c>
      <c r="E3484" s="893" t="str">
        <f>$E$3202</f>
        <v>Expiré</v>
      </c>
    </row>
    <row r="3485" spans="1:5" x14ac:dyDescent="0.3">
      <c r="A3485" s="888" t="str">
        <f>IF(LEN('Translation-EN'!A3485)&gt;0,'Translation-EN'!A3485,"")</f>
        <v>Formula</v>
      </c>
      <c r="B3485" s="888" t="str">
        <f>IF(LEN('Translation-EN'!B3485)&gt;0,'Translation-EN'!B3485,"")</f>
        <v>_Master sheet</v>
      </c>
      <c r="C3485" s="888" t="str">
        <f>IF(LEN('Translation-EN'!C3485)&gt;0,'Translation-EN'!C3485,"")</f>
        <v>AR580</v>
      </c>
      <c r="D3485" s="888">
        <f>IF(LEN('Translation-EN'!D3485)&gt;0,'Translation-EN'!D3485,"")</f>
        <v>1</v>
      </c>
      <c r="E3485" s="893" t="str">
        <f>$E$3202</f>
        <v>Expiré</v>
      </c>
    </row>
    <row r="3486" spans="1:5" x14ac:dyDescent="0.3">
      <c r="A3486" s="888" t="str">
        <f>IF(LEN('Translation-EN'!A3486)&gt;0,'Translation-EN'!A3486,"")</f>
        <v>Range</v>
      </c>
      <c r="B3486" s="888" t="str">
        <f>IF(LEN('Translation-EN'!B3486)&gt;0,'Translation-EN'!B3486,"")</f>
        <v>Energy GHG</v>
      </c>
      <c r="C3486" s="888" t="str">
        <f>IF(LEN('Translation-EN'!C3486)&gt;0,'Translation-EN'!C3486,"")</f>
        <v>C1</v>
      </c>
      <c r="D3486" s="888" t="str">
        <f>IF(LEN('Translation-EN'!D3486)&gt;0,'Translation-EN'!D3486,"")</f>
        <v/>
      </c>
      <c r="E3486" s="995" t="str">
        <f>$E$1407</f>
        <v>Province</v>
      </c>
    </row>
    <row r="3487" spans="1:5" x14ac:dyDescent="0.3">
      <c r="A3487" s="888" t="str">
        <f>IF(LEN('Translation-EN'!A3487)&gt;0,'Translation-EN'!A3487,"")</f>
        <v>Range</v>
      </c>
      <c r="B3487" s="888" t="str">
        <f>IF(LEN('Translation-EN'!B3487)&gt;0,'Translation-EN'!B3487,"")</f>
        <v>Energy GHG</v>
      </c>
      <c r="C3487" s="888" t="str">
        <f>IF(LEN('Translation-EN'!C3487)&gt;0,'Translation-EN'!C3487,"")</f>
        <v>D1</v>
      </c>
      <c r="D3487" s="888" t="str">
        <f>IF(LEN('Translation-EN'!D3487)&gt;0,'Translation-EN'!D3487,"")</f>
        <v/>
      </c>
      <c r="E3487" s="893" t="s">
        <v>3269</v>
      </c>
    </row>
    <row r="3488" spans="1:5" x14ac:dyDescent="0.3">
      <c r="A3488" s="888" t="str">
        <f>IF(LEN('Translation-EN'!A3488)&gt;0,'Translation-EN'!A3488,"")</f>
        <v>Range</v>
      </c>
      <c r="B3488" s="888" t="str">
        <f>IF(LEN('Translation-EN'!B3488)&gt;0,'Translation-EN'!B3488,"")</f>
        <v>Energy GHG</v>
      </c>
      <c r="C3488" s="888" t="str">
        <f>IF(LEN('Translation-EN'!C3488)&gt;0,'Translation-EN'!C3488,"")</f>
        <v>E1</v>
      </c>
      <c r="D3488" s="888" t="str">
        <f>IF(LEN('Translation-EN'!D3488)&gt;0,'Translation-EN'!D3488,"")</f>
        <v/>
      </c>
      <c r="E3488" s="893" t="s">
        <v>3270</v>
      </c>
    </row>
    <row r="3489" spans="1:5" x14ac:dyDescent="0.3">
      <c r="A3489" s="888" t="str">
        <f>IF(LEN('Translation-EN'!A3489)&gt;0,'Translation-EN'!A3489,"")</f>
        <v>Range</v>
      </c>
      <c r="B3489" s="888" t="str">
        <f>IF(LEN('Translation-EN'!B3489)&gt;0,'Translation-EN'!B3489,"")</f>
        <v>Energy GHG</v>
      </c>
      <c r="C3489" s="888" t="str">
        <f>IF(LEN('Translation-EN'!C3489)&gt;0,'Translation-EN'!C3489,"")</f>
        <v>F1</v>
      </c>
      <c r="D3489" s="888" t="str">
        <f>IF(LEN('Translation-EN'!D3489)&gt;0,'Translation-EN'!D3489,"")</f>
        <v/>
      </c>
      <c r="E3489" s="893" t="s">
        <v>3271</v>
      </c>
    </row>
    <row r="3490" spans="1:5" x14ac:dyDescent="0.3">
      <c r="A3490" s="888" t="str">
        <f>IF(LEN('Translation-EN'!A3490)&gt;0,'Translation-EN'!A3490,"")</f>
        <v>Range</v>
      </c>
      <c r="B3490" s="888" t="str">
        <f>IF(LEN('Translation-EN'!B3490)&gt;0,'Translation-EN'!B3490,"")</f>
        <v>Energy GHG</v>
      </c>
      <c r="C3490" s="888" t="str">
        <f>IF(LEN('Translation-EN'!C3490)&gt;0,'Translation-EN'!C3490,"")</f>
        <v>G1</v>
      </c>
      <c r="D3490" s="888" t="str">
        <f>IF(LEN('Translation-EN'!D3490)&gt;0,'Translation-EN'!D3490,"")</f>
        <v/>
      </c>
      <c r="E3490" s="893" t="s">
        <v>3272</v>
      </c>
    </row>
    <row r="3491" spans="1:5" x14ac:dyDescent="0.3">
      <c r="A3491" s="888" t="str">
        <f>IF(LEN('Translation-EN'!A3491)&gt;0,'Translation-EN'!A3491,"")</f>
        <v>Range</v>
      </c>
      <c r="B3491" s="888" t="str">
        <f>IF(LEN('Translation-EN'!B3491)&gt;0,'Translation-EN'!B3491,"")</f>
        <v>Energy GHG</v>
      </c>
      <c r="C3491" s="888" t="str">
        <f>IF(LEN('Translation-EN'!C3491)&gt;0,'Translation-EN'!C3491,"")</f>
        <v>H1</v>
      </c>
      <c r="D3491" s="888" t="str">
        <f>IF(LEN('Translation-EN'!D3491)&gt;0,'Translation-EN'!D3491,"")</f>
        <v/>
      </c>
      <c r="E3491" s="893" t="s">
        <v>3273</v>
      </c>
    </row>
    <row r="3492" spans="1:5" x14ac:dyDescent="0.3">
      <c r="A3492" s="888" t="str">
        <f>IF(LEN('Translation-EN'!A3492)&gt;0,'Translation-EN'!A3492,"")</f>
        <v>Range</v>
      </c>
      <c r="B3492" s="888" t="str">
        <f>IF(LEN('Translation-EN'!B3492)&gt;0,'Translation-EN'!B3492,"")</f>
        <v>Energy GHG</v>
      </c>
      <c r="C3492" s="888" t="str">
        <f>IF(LEN('Translation-EN'!C3492)&gt;0,'Translation-EN'!C3492,"")</f>
        <v>C2</v>
      </c>
      <c r="D3492" s="888" t="str">
        <f>IF(LEN('Translation-EN'!D3492)&gt;0,'Translation-EN'!D3492,"")</f>
        <v/>
      </c>
      <c r="E3492" s="893" t="s">
        <v>3274</v>
      </c>
    </row>
    <row r="3493" spans="1:5" x14ac:dyDescent="0.3">
      <c r="A3493" s="888" t="str">
        <f>IF(LEN('Translation-EN'!A3493)&gt;0,'Translation-EN'!A3493,"")</f>
        <v>Range</v>
      </c>
      <c r="B3493" s="888" t="str">
        <f>IF(LEN('Translation-EN'!B3493)&gt;0,'Translation-EN'!B3493,"")</f>
        <v>Energy GHG</v>
      </c>
      <c r="C3493" s="888" t="str">
        <f>IF(LEN('Translation-EN'!C3493)&gt;0,'Translation-EN'!C3493,"")</f>
        <v>C3</v>
      </c>
      <c r="D3493" s="888" t="str">
        <f>IF(LEN('Translation-EN'!D3493)&gt;0,'Translation-EN'!D3493,"")</f>
        <v/>
      </c>
      <c r="E3493" s="893" t="s">
        <v>3275</v>
      </c>
    </row>
    <row r="3494" spans="1:5" x14ac:dyDescent="0.3">
      <c r="A3494" s="888" t="str">
        <f>IF(LEN('Translation-EN'!A3494)&gt;0,'Translation-EN'!A3494,"")</f>
        <v>Range</v>
      </c>
      <c r="B3494" s="888" t="str">
        <f>IF(LEN('Translation-EN'!B3494)&gt;0,'Translation-EN'!B3494,"")</f>
        <v>Energy GHG</v>
      </c>
      <c r="C3494" s="888" t="str">
        <f>IF(LEN('Translation-EN'!C3494)&gt;0,'Translation-EN'!C3494,"")</f>
        <v>C4</v>
      </c>
      <c r="D3494" s="888" t="str">
        <f>IF(LEN('Translation-EN'!D3494)&gt;0,'Translation-EN'!D3494,"")</f>
        <v/>
      </c>
      <c r="E3494" s="893" t="s">
        <v>3276</v>
      </c>
    </row>
    <row r="3495" spans="1:5" x14ac:dyDescent="0.3">
      <c r="A3495" s="888" t="str">
        <f>IF(LEN('Translation-EN'!A3495)&gt;0,'Translation-EN'!A3495,"")</f>
        <v>Range</v>
      </c>
      <c r="B3495" s="888" t="str">
        <f>IF(LEN('Translation-EN'!B3495)&gt;0,'Translation-EN'!B3495,"")</f>
        <v>Energy GHG</v>
      </c>
      <c r="C3495" s="888" t="str">
        <f>IF(LEN('Translation-EN'!C3495)&gt;0,'Translation-EN'!C3495,"")</f>
        <v>C5</v>
      </c>
      <c r="D3495" s="888" t="str">
        <f>IF(LEN('Translation-EN'!D3495)&gt;0,'Translation-EN'!D3495,"")</f>
        <v/>
      </c>
      <c r="E3495" s="1011" t="str">
        <f>$E$2433</f>
        <v>Nouveau-Brunswick</v>
      </c>
    </row>
    <row r="3496" spans="1:5" x14ac:dyDescent="0.3">
      <c r="A3496" s="888" t="str">
        <f>IF(LEN('Translation-EN'!A3496)&gt;0,'Translation-EN'!A3496,"")</f>
        <v>Range</v>
      </c>
      <c r="B3496" s="888" t="str">
        <f>IF(LEN('Translation-EN'!B3496)&gt;0,'Translation-EN'!B3496,"")</f>
        <v>Energy GHG</v>
      </c>
      <c r="C3496" s="888" t="str">
        <f>IF(LEN('Translation-EN'!C3496)&gt;0,'Translation-EN'!C3496,"")</f>
        <v>C6</v>
      </c>
      <c r="D3496" s="888" t="str">
        <f>IF(LEN('Translation-EN'!D3496)&gt;0,'Translation-EN'!D3496,"")</f>
        <v/>
      </c>
      <c r="E3496" s="1011" t="str">
        <f>$E$2430</f>
        <v>Québec</v>
      </c>
    </row>
    <row r="3497" spans="1:5" x14ac:dyDescent="0.3">
      <c r="A3497" s="888" t="str">
        <f>IF(LEN('Translation-EN'!A3497)&gt;0,'Translation-EN'!A3497,"")</f>
        <v>Range</v>
      </c>
      <c r="B3497" s="888" t="str">
        <f>IF(LEN('Translation-EN'!B3497)&gt;0,'Translation-EN'!B3497,"")</f>
        <v>Energy GHG</v>
      </c>
      <c r="C3497" s="888" t="str">
        <f>IF(LEN('Translation-EN'!C3497)&gt;0,'Translation-EN'!C3497,"")</f>
        <v>C7</v>
      </c>
      <c r="D3497" s="888" t="str">
        <f>IF(LEN('Translation-EN'!D3497)&gt;0,'Translation-EN'!D3497,"")</f>
        <v/>
      </c>
      <c r="E3497" s="1011" t="str">
        <f>$E$1956</f>
        <v>Ontario</v>
      </c>
    </row>
    <row r="3498" spans="1:5" x14ac:dyDescent="0.3">
      <c r="A3498" s="888" t="str">
        <f>IF(LEN('Translation-EN'!A3498)&gt;0,'Translation-EN'!A3498,"")</f>
        <v>Range</v>
      </c>
      <c r="B3498" s="888" t="str">
        <f>IF(LEN('Translation-EN'!B3498)&gt;0,'Translation-EN'!B3498,"")</f>
        <v>Energy GHG</v>
      </c>
      <c r="C3498" s="888" t="str">
        <f>IF(LEN('Translation-EN'!C3498)&gt;0,'Translation-EN'!C3498,"")</f>
        <v>C8</v>
      </c>
      <c r="D3498" s="888" t="str">
        <f>IF(LEN('Translation-EN'!D3498)&gt;0,'Translation-EN'!D3498,"")</f>
        <v/>
      </c>
      <c r="E3498" s="893" t="s">
        <v>1209</v>
      </c>
    </row>
    <row r="3499" spans="1:5" x14ac:dyDescent="0.3">
      <c r="A3499" s="888" t="str">
        <f>IF(LEN('Translation-EN'!A3499)&gt;0,'Translation-EN'!A3499,"")</f>
        <v>Range</v>
      </c>
      <c r="B3499" s="888" t="str">
        <f>IF(LEN('Translation-EN'!B3499)&gt;0,'Translation-EN'!B3499,"")</f>
        <v>Energy GHG</v>
      </c>
      <c r="C3499" s="888" t="str">
        <f>IF(LEN('Translation-EN'!C3499)&gt;0,'Translation-EN'!C3499,"")</f>
        <v>C9</v>
      </c>
      <c r="D3499" s="888" t="str">
        <f>IF(LEN('Translation-EN'!D3499)&gt;0,'Translation-EN'!D3499,"")</f>
        <v/>
      </c>
      <c r="E3499" s="893" t="s">
        <v>1208</v>
      </c>
    </row>
    <row r="3500" spans="1:5" x14ac:dyDescent="0.3">
      <c r="A3500" s="888" t="str">
        <f>IF(LEN('Translation-EN'!A3500)&gt;0,'Translation-EN'!A3500,"")</f>
        <v>Range</v>
      </c>
      <c r="B3500" s="888" t="str">
        <f>IF(LEN('Translation-EN'!B3500)&gt;0,'Translation-EN'!B3500,"")</f>
        <v>Energy GHG</v>
      </c>
      <c r="C3500" s="888" t="str">
        <f>IF(LEN('Translation-EN'!C3500)&gt;0,'Translation-EN'!C3500,"")</f>
        <v>C10</v>
      </c>
      <c r="D3500" s="888" t="str">
        <f>IF(LEN('Translation-EN'!D3500)&gt;0,'Translation-EN'!D3500,"")</f>
        <v/>
      </c>
      <c r="E3500" s="1011" t="str">
        <f>$E$1953</f>
        <v>Alberta</v>
      </c>
    </row>
    <row r="3501" spans="1:5" x14ac:dyDescent="0.3">
      <c r="A3501" s="888" t="str">
        <f>IF(LEN('Translation-EN'!A3501)&gt;0,'Translation-EN'!A3501,"")</f>
        <v>Range</v>
      </c>
      <c r="B3501" s="888" t="str">
        <f>IF(LEN('Translation-EN'!B3501)&gt;0,'Translation-EN'!B3501,"")</f>
        <v>Energy GHG</v>
      </c>
      <c r="C3501" s="888" t="str">
        <f>IF(LEN('Translation-EN'!C3501)&gt;0,'Translation-EN'!C3501,"")</f>
        <v>C11</v>
      </c>
      <c r="D3501" s="888" t="str">
        <f>IF(LEN('Translation-EN'!D3501)&gt;0,'Translation-EN'!D3501,"")</f>
        <v/>
      </c>
      <c r="E3501" s="1011" t="str">
        <f>$E$2421</f>
        <v>Colombie-Britannique</v>
      </c>
    </row>
    <row r="3502" spans="1:5" x14ac:dyDescent="0.3">
      <c r="A3502" s="888" t="str">
        <f>IF(LEN('Translation-EN'!A3502)&gt;0,'Translation-EN'!A3502,"")</f>
        <v>Range</v>
      </c>
      <c r="B3502" s="888" t="str">
        <f>IF(LEN('Translation-EN'!B3502)&gt;0,'Translation-EN'!B3502,"")</f>
        <v>Energy GHG</v>
      </c>
      <c r="C3502" s="888" t="str">
        <f>IF(LEN('Translation-EN'!C3502)&gt;0,'Translation-EN'!C3502,"")</f>
        <v>C12</v>
      </c>
      <c r="D3502" s="888" t="str">
        <f>IF(LEN('Translation-EN'!D3502)&gt;0,'Translation-EN'!D3502,"")</f>
        <v/>
      </c>
      <c r="E3502" s="893" t="s">
        <v>1205</v>
      </c>
    </row>
    <row r="3503" spans="1:5" x14ac:dyDescent="0.3">
      <c r="A3503" s="888" t="str">
        <f>IF(LEN('Translation-EN'!A3503)&gt;0,'Translation-EN'!A3503,"")</f>
        <v>Range</v>
      </c>
      <c r="B3503" s="888" t="str">
        <f>IF(LEN('Translation-EN'!B3503)&gt;0,'Translation-EN'!B3503,"")</f>
        <v>Energy GHG</v>
      </c>
      <c r="C3503" s="888" t="str">
        <f>IF(LEN('Translation-EN'!C3503)&gt;0,'Translation-EN'!C3503,"")</f>
        <v>C13</v>
      </c>
      <c r="D3503" s="888" t="str">
        <f>IF(LEN('Translation-EN'!D3503)&gt;0,'Translation-EN'!D3503,"")</f>
        <v/>
      </c>
      <c r="E3503" s="893" t="s">
        <v>3280</v>
      </c>
    </row>
    <row r="3504" spans="1:5" x14ac:dyDescent="0.3">
      <c r="A3504" s="888" t="str">
        <f>IF(LEN('Translation-EN'!A3504)&gt;0,'Translation-EN'!A3504,"")</f>
        <v>Range</v>
      </c>
      <c r="B3504" s="888" t="str">
        <f>IF(LEN('Translation-EN'!B3504)&gt;0,'Translation-EN'!B3504,"")</f>
        <v>Energy GHG</v>
      </c>
      <c r="C3504" s="888" t="str">
        <f>IF(LEN('Translation-EN'!C3504)&gt;0,'Translation-EN'!C3504,"")</f>
        <v>C14</v>
      </c>
      <c r="D3504" s="888" t="str">
        <f>IF(LEN('Translation-EN'!D3504)&gt;0,'Translation-EN'!D3504,"")</f>
        <v/>
      </c>
      <c r="E3504" s="893" t="s">
        <v>1202</v>
      </c>
    </row>
    <row r="3505" spans="1:5" x14ac:dyDescent="0.3">
      <c r="A3505" s="888" t="str">
        <f>IF(LEN('Translation-EN'!A3505)&gt;0,'Translation-EN'!A3505,"")</f>
        <v>Range</v>
      </c>
      <c r="B3505" s="888" t="str">
        <f>IF(LEN('Translation-EN'!B3505)&gt;0,'Translation-EN'!B3505,"")</f>
        <v>Energy GHG</v>
      </c>
      <c r="C3505" s="888" t="str">
        <f>IF(LEN('Translation-EN'!C3505)&gt;0,'Translation-EN'!C3505,"")</f>
        <v>C15</v>
      </c>
      <c r="D3505" s="888" t="str">
        <f>IF(LEN('Translation-EN'!D3505)&gt;0,'Translation-EN'!D3505,"")</f>
        <v/>
      </c>
      <c r="E3505" s="893" t="s">
        <v>3281</v>
      </c>
    </row>
    <row r="3506" spans="1:5" x14ac:dyDescent="0.3">
      <c r="A3506" s="888" t="str">
        <f>IF(LEN('Translation-EN'!A3506)&gt;0,'Translation-EN'!A3506,"")</f>
        <v>Range</v>
      </c>
      <c r="B3506" s="888" t="str">
        <f>IF(LEN('Translation-EN'!B3506)&gt;0,'Translation-EN'!B3506,"")</f>
        <v>Energy GHG</v>
      </c>
      <c r="C3506" s="888" t="str">
        <f>IF(LEN('Translation-EN'!C3506)&gt;0,'Translation-EN'!C3506,"")</f>
        <v>C16</v>
      </c>
      <c r="D3506" s="888" t="str">
        <f>IF(LEN('Translation-EN'!D3506)&gt;0,'Translation-EN'!D3506,"")</f>
        <v/>
      </c>
      <c r="E3506" s="893" t="s">
        <v>3282</v>
      </c>
    </row>
    <row r="3507" spans="1:5" x14ac:dyDescent="0.3">
      <c r="A3507" s="888" t="str">
        <f>IF(LEN('Translation-EN'!A3507)&gt;0,'Translation-EN'!A3507,"")</f>
        <v>Range</v>
      </c>
      <c r="B3507" s="888" t="str">
        <f>IF(LEN('Translation-EN'!B3507)&gt;0,'Translation-EN'!B3507,"")</f>
        <v>Energy GHG</v>
      </c>
      <c r="C3507" s="888" t="str">
        <f>IF(LEN('Translation-EN'!C3507)&gt;0,'Translation-EN'!C3507,"")</f>
        <v>C17</v>
      </c>
      <c r="D3507" s="888" t="str">
        <f>IF(LEN('Translation-EN'!D3507)&gt;0,'Translation-EN'!D3507,"")</f>
        <v/>
      </c>
      <c r="E3507" s="893" t="s">
        <v>3283</v>
      </c>
    </row>
    <row r="3508" spans="1:5" x14ac:dyDescent="0.3">
      <c r="A3508" s="888" t="str">
        <f>IF(LEN('Translation-EN'!A3508)&gt;0,'Translation-EN'!A3508,"")</f>
        <v>Range</v>
      </c>
      <c r="B3508" s="888" t="str">
        <f>IF(LEN('Translation-EN'!B3508)&gt;0,'Translation-EN'!B3508,"")</f>
        <v>Energy GHG</v>
      </c>
      <c r="C3508" s="888" t="str">
        <f>IF(LEN('Translation-EN'!C3508)&gt;0,'Translation-EN'!C3508,"")</f>
        <v>C19</v>
      </c>
      <c r="D3508" s="888" t="str">
        <f>IF(LEN('Translation-EN'!D3508)&gt;0,'Translation-EN'!D3508,"")</f>
        <v/>
      </c>
      <c r="E3508" s="893" t="s">
        <v>3284</v>
      </c>
    </row>
    <row r="3509" spans="1:5" x14ac:dyDescent="0.3">
      <c r="A3509" s="888" t="str">
        <f>IF(LEN('Translation-EN'!A3509)&gt;0,'Translation-EN'!A3509,"")</f>
        <v>Range</v>
      </c>
      <c r="B3509" s="888" t="str">
        <f>IF(LEN('Translation-EN'!B3509)&gt;0,'Translation-EN'!B3509,"")</f>
        <v>Energy GHG</v>
      </c>
      <c r="C3509" s="888" t="str">
        <f>IF(LEN('Translation-EN'!C3509)&gt;0,'Translation-EN'!C3509,"")</f>
        <v>A20</v>
      </c>
      <c r="D3509" s="888" t="str">
        <f>IF(LEN('Translation-EN'!D3509)&gt;0,'Translation-EN'!D3509,"")</f>
        <v/>
      </c>
      <c r="E3509" s="893" t="s">
        <v>3285</v>
      </c>
    </row>
    <row r="3510" spans="1:5" x14ac:dyDescent="0.3">
      <c r="A3510" s="888" t="str">
        <f>IF(LEN('Translation-EN'!A3510)&gt;0,'Translation-EN'!A3510,"")</f>
        <v>Range</v>
      </c>
      <c r="B3510" s="888" t="str">
        <f>IF(LEN('Translation-EN'!B3510)&gt;0,'Translation-EN'!B3510,"")</f>
        <v>Energy GHG</v>
      </c>
      <c r="C3510" s="888" t="str">
        <f>IF(LEN('Translation-EN'!C3510)&gt;0,'Translation-EN'!C3510,"")</f>
        <v>C20</v>
      </c>
      <c r="D3510" s="888" t="str">
        <f>IF(LEN('Translation-EN'!D3510)&gt;0,'Translation-EN'!D3510,"")</f>
        <v/>
      </c>
      <c r="E3510" s="893" t="str">
        <f>$E$3486</f>
        <v>Province</v>
      </c>
    </row>
    <row r="3511" spans="1:5" x14ac:dyDescent="0.3">
      <c r="A3511" s="888" t="str">
        <f>IF(LEN('Translation-EN'!A3511)&gt;0,'Translation-EN'!A3511,"")</f>
        <v>Range</v>
      </c>
      <c r="B3511" s="888" t="str">
        <f>IF(LEN('Translation-EN'!B3511)&gt;0,'Translation-EN'!B3511,"")</f>
        <v>Energy GHG</v>
      </c>
      <c r="C3511" s="888" t="str">
        <f>IF(LEN('Translation-EN'!C3511)&gt;0,'Translation-EN'!C3511,"")</f>
        <v>D20</v>
      </c>
      <c r="D3511" s="888" t="str">
        <f>IF(LEN('Translation-EN'!D3511)&gt;0,'Translation-EN'!D3511,"")</f>
        <v/>
      </c>
      <c r="E3511" s="1004" t="str">
        <f>$E$1456</f>
        <v>Électricité</v>
      </c>
    </row>
    <row r="3512" spans="1:5" x14ac:dyDescent="0.3">
      <c r="A3512" s="888" t="str">
        <f>IF(LEN('Translation-EN'!A3512)&gt;0,'Translation-EN'!A3512,"")</f>
        <v>Range</v>
      </c>
      <c r="B3512" s="888" t="str">
        <f>IF(LEN('Translation-EN'!B3512)&gt;0,'Translation-EN'!B3512,"")</f>
        <v>Energy GHG</v>
      </c>
      <c r="C3512" s="888" t="str">
        <f>IF(LEN('Translation-EN'!C3512)&gt;0,'Translation-EN'!C3512,"")</f>
        <v>E20</v>
      </c>
      <c r="D3512" s="888" t="str">
        <f>IF(LEN('Translation-EN'!D3512)&gt;0,'Translation-EN'!D3512,"")</f>
        <v/>
      </c>
      <c r="E3512" s="1003" t="str">
        <f>$E$1457</f>
        <v>Gaz naturel</v>
      </c>
    </row>
    <row r="3513" spans="1:5" x14ac:dyDescent="0.3">
      <c r="A3513" s="888" t="str">
        <f>IF(LEN('Translation-EN'!A3513)&gt;0,'Translation-EN'!A3513,"")</f>
        <v>Range</v>
      </c>
      <c r="B3513" s="888" t="str">
        <f>IF(LEN('Translation-EN'!B3513)&gt;0,'Translation-EN'!B3513,"")</f>
        <v>Energy GHG</v>
      </c>
      <c r="C3513" s="888" t="str">
        <f>IF(LEN('Translation-EN'!C3513)&gt;0,'Translation-EN'!C3513,"")</f>
        <v>F20</v>
      </c>
      <c r="D3513" s="888" t="str">
        <f>IF(LEN('Translation-EN'!D3513)&gt;0,'Translation-EN'!D3513,"")</f>
        <v/>
      </c>
      <c r="E3513" s="1003" t="str">
        <f>$E$1458</f>
        <v>Mazout</v>
      </c>
    </row>
    <row r="3514" spans="1:5" x14ac:dyDescent="0.3">
      <c r="A3514" s="888" t="str">
        <f>IF(LEN('Translation-EN'!A3514)&gt;0,'Translation-EN'!A3514,"")</f>
        <v>Range</v>
      </c>
      <c r="B3514" s="888" t="str">
        <f>IF(LEN('Translation-EN'!B3514)&gt;0,'Translation-EN'!B3514,"")</f>
        <v>Energy GHG</v>
      </c>
      <c r="C3514" s="888" t="str">
        <f>IF(LEN('Translation-EN'!C3514)&gt;0,'Translation-EN'!C3514,"")</f>
        <v>G20</v>
      </c>
      <c r="D3514" s="888" t="str">
        <f>IF(LEN('Translation-EN'!D3514)&gt;0,'Translation-EN'!D3514,"")</f>
        <v/>
      </c>
      <c r="E3514" s="1003" t="str">
        <f>$E$1459</f>
        <v>Propane</v>
      </c>
    </row>
    <row r="3515" spans="1:5" x14ac:dyDescent="0.3">
      <c r="A3515" s="888" t="str">
        <f>IF(LEN('Translation-EN'!A3515)&gt;0,'Translation-EN'!A3515,"")</f>
        <v>Range</v>
      </c>
      <c r="B3515" s="888" t="str">
        <f>IF(LEN('Translation-EN'!B3515)&gt;0,'Translation-EN'!B3515,"")</f>
        <v>Energy GHG</v>
      </c>
      <c r="C3515" s="888" t="str">
        <f>IF(LEN('Translation-EN'!C3515)&gt;0,'Translation-EN'!C3515,"")</f>
        <v>H20</v>
      </c>
      <c r="D3515" s="888" t="str">
        <f>IF(LEN('Translation-EN'!D3515)&gt;0,'Translation-EN'!D3515,"")</f>
        <v/>
      </c>
      <c r="E3515" s="1003" t="str">
        <f>$E$1460</f>
        <v>Bois</v>
      </c>
    </row>
    <row r="3516" spans="1:5" x14ac:dyDescent="0.3">
      <c r="A3516" s="888" t="str">
        <f>IF(LEN('Translation-EN'!A3516)&gt;0,'Translation-EN'!A3516,"")</f>
        <v>Range</v>
      </c>
      <c r="B3516" s="888" t="str">
        <f>IF(LEN('Translation-EN'!B3516)&gt;0,'Translation-EN'!B3516,"")</f>
        <v>Energy GHG</v>
      </c>
      <c r="C3516" s="888" t="str">
        <f>IF(LEN('Translation-EN'!C3516)&gt;0,'Translation-EN'!C3516,"")</f>
        <v>I20</v>
      </c>
      <c r="D3516" s="888" t="str">
        <f>IF(LEN('Translation-EN'!D3516)&gt;0,'Translation-EN'!D3516,"")</f>
        <v/>
      </c>
      <c r="E3516" s="893" t="str">
        <f>$E$1449</f>
        <v>Total</v>
      </c>
    </row>
    <row r="3517" spans="1:5" x14ac:dyDescent="0.3">
      <c r="A3517" s="888" t="str">
        <f>IF(LEN('Translation-EN'!A3517)&gt;0,'Translation-EN'!A3517,"")</f>
        <v>Range</v>
      </c>
      <c r="B3517" s="888" t="str">
        <f>IF(LEN('Translation-EN'!B3517)&gt;0,'Translation-EN'!B3517,"")</f>
        <v>Energy GHG</v>
      </c>
      <c r="C3517" s="888" t="str">
        <f>IF(LEN('Translation-EN'!C3517)&gt;0,'Translation-EN'!C3517,"")</f>
        <v>A21</v>
      </c>
      <c r="D3517" s="888" t="str">
        <f>IF(LEN('Translation-EN'!D3517)&gt;0,'Translation-EN'!D3517,"")</f>
        <v/>
      </c>
      <c r="E3517" s="893" t="s">
        <v>3289</v>
      </c>
    </row>
    <row r="3518" spans="1:5" x14ac:dyDescent="0.3">
      <c r="A3518" s="888" t="str">
        <f>IF(LEN('Translation-EN'!A3518)&gt;0,'Translation-EN'!A3518,"")</f>
        <v>Range</v>
      </c>
      <c r="B3518" s="888" t="str">
        <f>IF(LEN('Translation-EN'!B3518)&gt;0,'Translation-EN'!B3518,"")</f>
        <v>Energy GHG</v>
      </c>
      <c r="C3518" s="888" t="str">
        <f>IF(LEN('Translation-EN'!C3518)&gt;0,'Translation-EN'!C3518,"")</f>
        <v>C21</v>
      </c>
      <c r="D3518" s="888" t="str">
        <f>IF(LEN('Translation-EN'!D3518)&gt;0,'Translation-EN'!D3518,"")</f>
        <v/>
      </c>
      <c r="E3518" s="893" t="str">
        <f>$E$3492</f>
        <v>Terre-Neuve-et-Labrador</v>
      </c>
    </row>
    <row r="3519" spans="1:5" x14ac:dyDescent="0.3">
      <c r="A3519" s="888" t="str">
        <f>IF(LEN('Translation-EN'!A3519)&gt;0,'Translation-EN'!A3519,"")</f>
        <v>Range</v>
      </c>
      <c r="B3519" s="888" t="str">
        <f>IF(LEN('Translation-EN'!B3519)&gt;0,'Translation-EN'!B3519,"")</f>
        <v>Energy GHG</v>
      </c>
      <c r="C3519" s="888" t="str">
        <f>IF(LEN('Translation-EN'!C3519)&gt;0,'Translation-EN'!C3519,"")</f>
        <v>A22</v>
      </c>
      <c r="D3519" s="888" t="str">
        <f>IF(LEN('Translation-EN'!D3519)&gt;0,'Translation-EN'!D3519,"")</f>
        <v/>
      </c>
      <c r="E3519" s="893" t="s">
        <v>3290</v>
      </c>
    </row>
    <row r="3520" spans="1:5" x14ac:dyDescent="0.3">
      <c r="A3520" s="888" t="str">
        <f>IF(LEN('Translation-EN'!A3520)&gt;0,'Translation-EN'!A3520,"")</f>
        <v>Range</v>
      </c>
      <c r="B3520" s="888" t="str">
        <f>IF(LEN('Translation-EN'!B3520)&gt;0,'Translation-EN'!B3520,"")</f>
        <v>Energy GHG</v>
      </c>
      <c r="C3520" s="888" t="str">
        <f>IF(LEN('Translation-EN'!C3520)&gt;0,'Translation-EN'!C3520,"")</f>
        <v>C22</v>
      </c>
      <c r="D3520" s="888" t="str">
        <f>IF(LEN('Translation-EN'!D3520)&gt;0,'Translation-EN'!D3520,"")</f>
        <v/>
      </c>
      <c r="E3520" s="893" t="str">
        <f>$E$3493</f>
        <v>Île-du-Prince-Édouard</v>
      </c>
    </row>
    <row r="3521" spans="1:5" x14ac:dyDescent="0.3">
      <c r="A3521" s="888" t="str">
        <f>IF(LEN('Translation-EN'!A3521)&gt;0,'Translation-EN'!A3521,"")</f>
        <v>Range</v>
      </c>
      <c r="B3521" s="888" t="str">
        <f>IF(LEN('Translation-EN'!B3521)&gt;0,'Translation-EN'!B3521,"")</f>
        <v>Energy GHG</v>
      </c>
      <c r="C3521" s="888" t="str">
        <f>IF(LEN('Translation-EN'!C3521)&gt;0,'Translation-EN'!C3521,"")</f>
        <v>A23</v>
      </c>
      <c r="D3521" s="888" t="str">
        <f>IF(LEN('Translation-EN'!D3521)&gt;0,'Translation-EN'!D3521,"")</f>
        <v/>
      </c>
      <c r="E3521" s="893" t="s">
        <v>3291</v>
      </c>
    </row>
    <row r="3522" spans="1:5" x14ac:dyDescent="0.3">
      <c r="A3522" s="888" t="str">
        <f>IF(LEN('Translation-EN'!A3522)&gt;0,'Translation-EN'!A3522,"")</f>
        <v>Range</v>
      </c>
      <c r="B3522" s="888" t="str">
        <f>IF(LEN('Translation-EN'!B3522)&gt;0,'Translation-EN'!B3522,"")</f>
        <v>Energy GHG</v>
      </c>
      <c r="C3522" s="888" t="str">
        <f>IF(LEN('Translation-EN'!C3522)&gt;0,'Translation-EN'!C3522,"")</f>
        <v>C23</v>
      </c>
      <c r="D3522" s="888" t="str">
        <f>IF(LEN('Translation-EN'!D3522)&gt;0,'Translation-EN'!D3522,"")</f>
        <v/>
      </c>
      <c r="E3522" s="893" t="str">
        <f>$E$3494</f>
        <v>Nouvelle-Écosse</v>
      </c>
    </row>
    <row r="3523" spans="1:5" x14ac:dyDescent="0.3">
      <c r="A3523" s="888" t="str">
        <f>IF(LEN('Translation-EN'!A3523)&gt;0,'Translation-EN'!A3523,"")</f>
        <v>Range</v>
      </c>
      <c r="B3523" s="888" t="str">
        <f>IF(LEN('Translation-EN'!B3523)&gt;0,'Translation-EN'!B3523,"")</f>
        <v>Energy GHG</v>
      </c>
      <c r="C3523" s="888" t="str">
        <f>IF(LEN('Translation-EN'!C3523)&gt;0,'Translation-EN'!C3523,"")</f>
        <v>A24</v>
      </c>
      <c r="D3523" s="888" t="str">
        <f>IF(LEN('Translation-EN'!D3523)&gt;0,'Translation-EN'!D3523,"")</f>
        <v/>
      </c>
      <c r="E3523" s="893" t="s">
        <v>1213</v>
      </c>
    </row>
    <row r="3524" spans="1:5" x14ac:dyDescent="0.3">
      <c r="A3524" s="888" t="str">
        <f>IF(LEN('Translation-EN'!A3524)&gt;0,'Translation-EN'!A3524,"")</f>
        <v>Range</v>
      </c>
      <c r="B3524" s="888" t="str">
        <f>IF(LEN('Translation-EN'!B3524)&gt;0,'Translation-EN'!B3524,"")</f>
        <v>Energy GHG</v>
      </c>
      <c r="C3524" s="888" t="str">
        <f>IF(LEN('Translation-EN'!C3524)&gt;0,'Translation-EN'!C3524,"")</f>
        <v>C24</v>
      </c>
      <c r="D3524" s="888" t="str">
        <f>IF(LEN('Translation-EN'!D3524)&gt;0,'Translation-EN'!D3524,"")</f>
        <v/>
      </c>
      <c r="E3524" s="1011" t="str">
        <f>$E$2433</f>
        <v>Nouveau-Brunswick</v>
      </c>
    </row>
    <row r="3525" spans="1:5" x14ac:dyDescent="0.3">
      <c r="A3525" s="888" t="str">
        <f>IF(LEN('Translation-EN'!A3525)&gt;0,'Translation-EN'!A3525,"")</f>
        <v>Range</v>
      </c>
      <c r="B3525" s="888" t="str">
        <f>IF(LEN('Translation-EN'!B3525)&gt;0,'Translation-EN'!B3525,"")</f>
        <v>Energy GHG</v>
      </c>
      <c r="C3525" s="888" t="str">
        <f>IF(LEN('Translation-EN'!C3525)&gt;0,'Translation-EN'!C3525,"")</f>
        <v>A25</v>
      </c>
      <c r="D3525" s="888" t="str">
        <f>IF(LEN('Translation-EN'!D3525)&gt;0,'Translation-EN'!D3525,"")</f>
        <v/>
      </c>
      <c r="E3525" s="893" t="s">
        <v>3292</v>
      </c>
    </row>
    <row r="3526" spans="1:5" x14ac:dyDescent="0.3">
      <c r="A3526" s="888" t="str">
        <f>IF(LEN('Translation-EN'!A3526)&gt;0,'Translation-EN'!A3526,"")</f>
        <v>Range</v>
      </c>
      <c r="B3526" s="888" t="str">
        <f>IF(LEN('Translation-EN'!B3526)&gt;0,'Translation-EN'!B3526,"")</f>
        <v>Energy GHG</v>
      </c>
      <c r="C3526" s="888" t="str">
        <f>IF(LEN('Translation-EN'!C3526)&gt;0,'Translation-EN'!C3526,"")</f>
        <v>C25</v>
      </c>
      <c r="D3526" s="888" t="str">
        <f>IF(LEN('Translation-EN'!D3526)&gt;0,'Translation-EN'!D3526,"")</f>
        <v/>
      </c>
      <c r="E3526" s="1011" t="str">
        <f>$E$2430</f>
        <v>Québec</v>
      </c>
    </row>
    <row r="3527" spans="1:5" x14ac:dyDescent="0.3">
      <c r="A3527" s="888" t="str">
        <f>IF(LEN('Translation-EN'!A3527)&gt;0,'Translation-EN'!A3527,"")</f>
        <v>Range</v>
      </c>
      <c r="B3527" s="888" t="str">
        <f>IF(LEN('Translation-EN'!B3527)&gt;0,'Translation-EN'!B3527,"")</f>
        <v>Energy GHG</v>
      </c>
      <c r="C3527" s="888" t="str">
        <f>IF(LEN('Translation-EN'!C3527)&gt;0,'Translation-EN'!C3527,"")</f>
        <v>C26</v>
      </c>
      <c r="D3527" s="888" t="str">
        <f>IF(LEN('Translation-EN'!D3527)&gt;0,'Translation-EN'!D3527,"")</f>
        <v/>
      </c>
      <c r="E3527" s="1011" t="str">
        <f>$E$1956</f>
        <v>Ontario</v>
      </c>
    </row>
    <row r="3528" spans="1:5" x14ac:dyDescent="0.3">
      <c r="A3528" s="888" t="str">
        <f>IF(LEN('Translation-EN'!A3528)&gt;0,'Translation-EN'!A3528,"")</f>
        <v>Range</v>
      </c>
      <c r="B3528" s="888" t="str">
        <f>IF(LEN('Translation-EN'!B3528)&gt;0,'Translation-EN'!B3528,"")</f>
        <v>Energy GHG</v>
      </c>
      <c r="C3528" s="888" t="str">
        <f>IF(LEN('Translation-EN'!C3528)&gt;0,'Translation-EN'!C3528,"")</f>
        <v>C27</v>
      </c>
      <c r="D3528" s="888" t="str">
        <f>IF(LEN('Translation-EN'!D3528)&gt;0,'Translation-EN'!D3528,"")</f>
        <v/>
      </c>
      <c r="E3528" s="893" t="str">
        <f>$E$3498</f>
        <v>Manitoba</v>
      </c>
    </row>
    <row r="3529" spans="1:5" x14ac:dyDescent="0.3">
      <c r="A3529" s="888" t="str">
        <f>IF(LEN('Translation-EN'!A3529)&gt;0,'Translation-EN'!A3529,"")</f>
        <v>Range</v>
      </c>
      <c r="B3529" s="888" t="str">
        <f>IF(LEN('Translation-EN'!B3529)&gt;0,'Translation-EN'!B3529,"")</f>
        <v>Energy GHG</v>
      </c>
      <c r="C3529" s="888" t="str">
        <f>IF(LEN('Translation-EN'!C3529)&gt;0,'Translation-EN'!C3529,"")</f>
        <v>A28</v>
      </c>
      <c r="D3529" s="888" t="str">
        <f>IF(LEN('Translation-EN'!D3529)&gt;0,'Translation-EN'!D3529,"")</f>
        <v/>
      </c>
      <c r="E3529" s="1021" t="str">
        <f>$E$59</f>
        <v>Émissions provenant de matériaux</v>
      </c>
    </row>
    <row r="3530" spans="1:5" x14ac:dyDescent="0.3">
      <c r="A3530" s="888" t="str">
        <f>IF(LEN('Translation-EN'!A3530)&gt;0,'Translation-EN'!A3530,"")</f>
        <v>Range</v>
      </c>
      <c r="B3530" s="888" t="str">
        <f>IF(LEN('Translation-EN'!B3530)&gt;0,'Translation-EN'!B3530,"")</f>
        <v>Energy GHG</v>
      </c>
      <c r="C3530" s="888" t="str">
        <f>IF(LEN('Translation-EN'!C3530)&gt;0,'Translation-EN'!C3530,"")</f>
        <v>C28</v>
      </c>
      <c r="D3530" s="888" t="str">
        <f>IF(LEN('Translation-EN'!D3530)&gt;0,'Translation-EN'!D3530,"")</f>
        <v/>
      </c>
      <c r="E3530" s="893" t="str">
        <f>$E$3499</f>
        <v>Saskatchewan</v>
      </c>
    </row>
    <row r="3531" spans="1:5" x14ac:dyDescent="0.3">
      <c r="A3531" s="888" t="str">
        <f>IF(LEN('Translation-EN'!A3531)&gt;0,'Translation-EN'!A3531,"")</f>
        <v>Range</v>
      </c>
      <c r="B3531" s="888" t="str">
        <f>IF(LEN('Translation-EN'!B3531)&gt;0,'Translation-EN'!B3531,"")</f>
        <v>Energy GHG</v>
      </c>
      <c r="C3531" s="888" t="str">
        <f>IF(LEN('Translation-EN'!C3531)&gt;0,'Translation-EN'!C3531,"")</f>
        <v>C29</v>
      </c>
      <c r="D3531" s="888" t="str">
        <f>IF(LEN('Translation-EN'!D3531)&gt;0,'Translation-EN'!D3531,"")</f>
        <v/>
      </c>
      <c r="E3531" s="1011" t="str">
        <f>$E$1953</f>
        <v>Alberta</v>
      </c>
    </row>
    <row r="3532" spans="1:5" x14ac:dyDescent="0.3">
      <c r="A3532" s="888" t="str">
        <f>IF(LEN('Translation-EN'!A3532)&gt;0,'Translation-EN'!A3532,"")</f>
        <v>Range</v>
      </c>
      <c r="B3532" s="888" t="str">
        <f>IF(LEN('Translation-EN'!B3532)&gt;0,'Translation-EN'!B3532,"")</f>
        <v>Energy GHG</v>
      </c>
      <c r="C3532" s="888" t="str">
        <f>IF(LEN('Translation-EN'!C3532)&gt;0,'Translation-EN'!C3532,"")</f>
        <v>C30</v>
      </c>
      <c r="D3532" s="888" t="str">
        <f>IF(LEN('Translation-EN'!D3532)&gt;0,'Translation-EN'!D3532,"")</f>
        <v/>
      </c>
      <c r="E3532" s="1011" t="str">
        <f>$E$2421</f>
        <v>Colombie-Britannique</v>
      </c>
    </row>
    <row r="3533" spans="1:5" x14ac:dyDescent="0.3">
      <c r="A3533" s="888" t="str">
        <f>IF(LEN('Translation-EN'!A3533)&gt;0,'Translation-EN'!A3533,"")</f>
        <v>Range</v>
      </c>
      <c r="B3533" s="888" t="str">
        <f>IF(LEN('Translation-EN'!B3533)&gt;0,'Translation-EN'!B3533,"")</f>
        <v>Energy GHG</v>
      </c>
      <c r="C3533" s="888" t="str">
        <f>IF(LEN('Translation-EN'!C3533)&gt;0,'Translation-EN'!C3533,"")</f>
        <v>C31</v>
      </c>
      <c r="D3533" s="888" t="str">
        <f>IF(LEN('Translation-EN'!D3533)&gt;0,'Translation-EN'!D3533,"")</f>
        <v/>
      </c>
      <c r="E3533" s="893" t="str">
        <f>$E$3502</f>
        <v>Yukon</v>
      </c>
    </row>
    <row r="3534" spans="1:5" x14ac:dyDescent="0.3">
      <c r="A3534" s="888" t="str">
        <f>IF(LEN('Translation-EN'!A3534)&gt;0,'Translation-EN'!A3534,"")</f>
        <v>Range</v>
      </c>
      <c r="B3534" s="888" t="str">
        <f>IF(LEN('Translation-EN'!B3534)&gt;0,'Translation-EN'!B3534,"")</f>
        <v>Energy GHG</v>
      </c>
      <c r="C3534" s="888" t="str">
        <f>IF(LEN('Translation-EN'!C3534)&gt;0,'Translation-EN'!C3534,"")</f>
        <v>A32</v>
      </c>
      <c r="D3534" s="888" t="str">
        <f>IF(LEN('Translation-EN'!D3534)&gt;0,'Translation-EN'!D3534,"")</f>
        <v/>
      </c>
      <c r="E3534" s="893" t="s">
        <v>3293</v>
      </c>
    </row>
    <row r="3535" spans="1:5" x14ac:dyDescent="0.3">
      <c r="A3535" s="888" t="str">
        <f>IF(LEN('Translation-EN'!A3535)&gt;0,'Translation-EN'!A3535,"")</f>
        <v>Range</v>
      </c>
      <c r="B3535" s="888" t="str">
        <f>IF(LEN('Translation-EN'!B3535)&gt;0,'Translation-EN'!B3535,"")</f>
        <v>Energy GHG</v>
      </c>
      <c r="C3535" s="888" t="str">
        <f>IF(LEN('Translation-EN'!C3535)&gt;0,'Translation-EN'!C3535,"")</f>
        <v>C32</v>
      </c>
      <c r="D3535" s="888" t="str">
        <f>IF(LEN('Translation-EN'!D3535)&gt;0,'Translation-EN'!D3535,"")</f>
        <v/>
      </c>
      <c r="E3535" s="893" t="str">
        <f>$E$3503</f>
        <v>Territoires du Nord-Ouest</v>
      </c>
    </row>
    <row r="3536" spans="1:5" x14ac:dyDescent="0.3">
      <c r="A3536" s="888" t="str">
        <f>IF(LEN('Translation-EN'!A3536)&gt;0,'Translation-EN'!A3536,"")</f>
        <v>Range</v>
      </c>
      <c r="B3536" s="888" t="str">
        <f>IF(LEN('Translation-EN'!B3536)&gt;0,'Translation-EN'!B3536,"")</f>
        <v>Energy GHG</v>
      </c>
      <c r="C3536" s="888" t="str">
        <f>IF(LEN('Translation-EN'!C3536)&gt;0,'Translation-EN'!C3536,"")</f>
        <v>C33</v>
      </c>
      <c r="D3536" s="888" t="str">
        <f>IF(LEN('Translation-EN'!D3536)&gt;0,'Translation-EN'!D3536,"")</f>
        <v/>
      </c>
      <c r="E3536" s="893" t="str">
        <f>$E$3504</f>
        <v>Nunavut</v>
      </c>
    </row>
    <row r="3537" spans="1:6" ht="138.6" x14ac:dyDescent="0.3">
      <c r="A3537" s="888" t="str">
        <f>IF(LEN('Translation-EN'!A3537)&gt;0,'Translation-EN'!A3537,"")</f>
        <v>Shape</v>
      </c>
      <c r="B3537" s="888" t="str">
        <f>IF(LEN('Translation-EN'!B3537)&gt;0,'Translation-EN'!B3537,"")</f>
        <v>Introduction</v>
      </c>
      <c r="C3537" s="888" t="str">
        <f>IF(LEN('Translation-EN'!C3537)&gt;0,'Translation-EN'!C3537,"")</f>
        <v>TextBox 8</v>
      </c>
      <c r="D3537" s="888" t="b">
        <f>IF(LEN('Translation-EN'!D3537)&gt;0,'Translation-EN'!D3537,"")</f>
        <v>1</v>
      </c>
      <c r="E3537" s="1056" t="s">
        <v>3294</v>
      </c>
    </row>
    <row r="3538" spans="1:6" x14ac:dyDescent="0.3">
      <c r="A3538" s="888" t="str">
        <f>IF(LEN('Translation-EN'!A3538)&gt;0,'Translation-EN'!A3538,"")</f>
        <v>MsgBox</v>
      </c>
      <c r="B3538" s="888" t="str">
        <f>IF(LEN('Translation-EN'!B3538)&gt;0,'Translation-EN'!B3538,"")</f>
        <v/>
      </c>
      <c r="C3538" s="888" t="str">
        <f>IF(LEN('Translation-EN'!C3538)&gt;0,'Translation-EN'!C3538,"")</f>
        <v>msgBVT</v>
      </c>
      <c r="D3538" s="888" t="str">
        <f>IF(LEN('Translation-EN'!D3538)&gt;0,'Translation-EN'!D3538,"")</f>
        <v/>
      </c>
      <c r="E3538" s="888" t="s">
        <v>3339</v>
      </c>
    </row>
    <row r="3539" spans="1:6" x14ac:dyDescent="0.3">
      <c r="A3539" s="888" t="str">
        <f>IF(LEN('Translation-EN'!A3539)&gt;0,'Translation-EN'!A3539,"")</f>
        <v>MsgBox</v>
      </c>
      <c r="B3539" s="888" t="str">
        <f>IF(LEN('Translation-EN'!B3539)&gt;0,'Translation-EN'!B3539,"")</f>
        <v/>
      </c>
      <c r="C3539" s="888" t="str">
        <f>IF(LEN('Translation-EN'!C3539)&gt;0,'Translation-EN'!C3539,"")</f>
        <v>msgCTR</v>
      </c>
      <c r="D3539" s="888" t="str">
        <f>IF(LEN('Translation-EN'!D3539)&gt;0,'Translation-EN'!D3539,"")</f>
        <v/>
      </c>
      <c r="E3539" s="888" t="s">
        <v>3340</v>
      </c>
    </row>
    <row r="3540" spans="1:6" x14ac:dyDescent="0.3">
      <c r="A3540" s="888" t="str">
        <f>IF(LEN('Translation-EN'!A3540)&gt;0,'Translation-EN'!A3540,"")</f>
        <v>MsgBox</v>
      </c>
      <c r="B3540" s="888" t="str">
        <f>IF(LEN('Translation-EN'!B3540)&gt;0,'Translation-EN'!B3540,"")</f>
        <v/>
      </c>
      <c r="C3540" s="888" t="str">
        <f>IF(LEN('Translation-EN'!C3540)&gt;0,'Translation-EN'!C3540,"")</f>
        <v>msgVIU</v>
      </c>
      <c r="D3540" s="888" t="str">
        <f>IF(LEN('Translation-EN'!D3540)&gt;0,'Translation-EN'!D3540,"")</f>
        <v/>
      </c>
      <c r="E3540" s="888" t="s">
        <v>3341</v>
      </c>
    </row>
    <row r="3541" spans="1:6" x14ac:dyDescent="0.3">
      <c r="A3541" s="888" t="str">
        <f>IF(LEN('Translation-EN'!A3541)&gt;0,'Translation-EN'!A3541,"")</f>
        <v>MsgBox</v>
      </c>
      <c r="B3541" s="888" t="str">
        <f>IF(LEN('Translation-EN'!B3541)&gt;0,'Translation-EN'!B3541,"")</f>
        <v/>
      </c>
      <c r="C3541" s="888" t="str">
        <f>IF(LEN('Translation-EN'!C3541)&gt;0,'Translation-EN'!C3541,"")</f>
        <v>msgXRT</v>
      </c>
      <c r="D3541" s="888" t="str">
        <f>IF(LEN('Translation-EN'!D3541)&gt;0,'Translation-EN'!D3541,"")</f>
        <v/>
      </c>
      <c r="E3541" s="888" t="s">
        <v>3342</v>
      </c>
    </row>
    <row r="3542" spans="1:6" x14ac:dyDescent="0.3">
      <c r="A3542" s="888" t="str">
        <f>IF(LEN('Translation-EN'!A3542)&gt;0,'Translation-EN'!A3542,"")</f>
        <v>MsgBox</v>
      </c>
      <c r="B3542" s="888" t="str">
        <f>IF(LEN('Translation-EN'!B3542)&gt;0,'Translation-EN'!B3542,"")</f>
        <v/>
      </c>
      <c r="C3542" s="888" t="str">
        <f>IF(LEN('Translation-EN'!C3542)&gt;0,'Translation-EN'!C3542,"")</f>
        <v>msgCTI</v>
      </c>
      <c r="D3542" s="888" t="str">
        <f>IF(LEN('Translation-EN'!D3542)&gt;0,'Translation-EN'!D3542,"")</f>
        <v/>
      </c>
      <c r="E3542" s="888" t="s">
        <v>3343</v>
      </c>
    </row>
    <row r="3543" spans="1:6" x14ac:dyDescent="0.3">
      <c r="A3543" s="888" t="str">
        <f>IF(LEN('Translation-EN'!A3543)&gt;0,'Translation-EN'!A3543,"")</f>
        <v>MsgBox</v>
      </c>
      <c r="B3543" s="888" t="str">
        <f>IF(LEN('Translation-EN'!B3543)&gt;0,'Translation-EN'!B3543,"")</f>
        <v/>
      </c>
      <c r="C3543" s="888" t="str">
        <f>IF(LEN('Translation-EN'!C3543)&gt;0,'Translation-EN'!C3543,"")</f>
        <v>msgMTD</v>
      </c>
      <c r="D3543" s="888" t="str">
        <f>IF(LEN('Translation-EN'!D3543)&gt;0,'Translation-EN'!D3543,"")</f>
        <v/>
      </c>
      <c r="E3543" s="888" t="s">
        <v>3344</v>
      </c>
      <c r="F3543" s="893" t="s">
        <v>3345</v>
      </c>
    </row>
    <row r="3544" spans="1:6" x14ac:dyDescent="0.3">
      <c r="A3544" s="888" t="str">
        <f>IF(LEN('Translation-EN'!A3544)&gt;0,'Translation-EN'!A3544,"")</f>
        <v>MsgBox</v>
      </c>
      <c r="B3544" s="888" t="str">
        <f>IF(LEN('Translation-EN'!B3544)&gt;0,'Translation-EN'!B3544,"")</f>
        <v/>
      </c>
      <c r="C3544" s="888" t="str">
        <f>IF(LEN('Translation-EN'!C3544)&gt;0,'Translation-EN'!C3544,"")</f>
        <v>msgUOQ</v>
      </c>
      <c r="D3544" s="888" t="str">
        <f>IF(LEN('Translation-EN'!D3544)&gt;0,'Translation-EN'!D3544,"")</f>
        <v/>
      </c>
      <c r="E3544" s="888" t="s">
        <v>3346</v>
      </c>
    </row>
    <row r="3545" spans="1:6" x14ac:dyDescent="0.3">
      <c r="A3545" s="888" t="str">
        <f>IF(LEN('Translation-EN'!A3545)&gt;0,'Translation-EN'!A3545,"")</f>
        <v>MsgBox</v>
      </c>
      <c r="B3545" s="888" t="str">
        <f>IF(LEN('Translation-EN'!B3545)&gt;0,'Translation-EN'!B3545,"")</f>
        <v/>
      </c>
      <c r="C3545" s="888" t="str">
        <f>IF(LEN('Translation-EN'!C3545)&gt;0,'Translation-EN'!C3545,"")</f>
        <v>msgVCU</v>
      </c>
      <c r="D3545" s="888" t="str">
        <f>IF(LEN('Translation-EN'!D3545)&gt;0,'Translation-EN'!D3545,"")</f>
        <v/>
      </c>
      <c r="E3545" s="888" t="s">
        <v>3347</v>
      </c>
      <c r="F3545" s="893" t="s">
        <v>2900</v>
      </c>
    </row>
    <row r="3546" spans="1:6" x14ac:dyDescent="0.3">
      <c r="A3546" s="888" t="str">
        <f>IF(LEN('Translation-EN'!A3546)&gt;0,'Translation-EN'!A3546,"")</f>
        <v>MsgBox</v>
      </c>
      <c r="B3546" s="888" t="str">
        <f>IF(LEN('Translation-EN'!B3546)&gt;0,'Translation-EN'!B3546,"")</f>
        <v/>
      </c>
      <c r="C3546" s="888" t="str">
        <f>IF(LEN('Translation-EN'!C3546)&gt;0,'Translation-EN'!C3546,"")</f>
        <v>msgUIM</v>
      </c>
      <c r="D3546" s="888" t="str">
        <f>IF(LEN('Translation-EN'!D3546)&gt;0,'Translation-EN'!D3546,"")</f>
        <v/>
      </c>
      <c r="E3546" s="888" t="s">
        <v>3348</v>
      </c>
    </row>
    <row r="3547" spans="1:6" x14ac:dyDescent="0.3">
      <c r="A3547" s="888" t="str">
        <f>IF(LEN('Translation-EN'!A3547)&gt;0,'Translation-EN'!A3547,"")</f>
        <v>MsgBox</v>
      </c>
      <c r="B3547" s="888" t="str">
        <f>IF(LEN('Translation-EN'!B3547)&gt;0,'Translation-EN'!B3547,"")</f>
        <v/>
      </c>
      <c r="C3547" s="888" t="str">
        <f>IF(LEN('Translation-EN'!C3547)&gt;0,'Translation-EN'!C3547,"")</f>
        <v>msgFVT</v>
      </c>
      <c r="D3547" s="888" t="str">
        <f>IF(LEN('Translation-EN'!D3547)&gt;0,'Translation-EN'!D3547,"")</f>
        <v/>
      </c>
      <c r="E3547" s="888" t="s">
        <v>3349</v>
      </c>
      <c r="F3547" s="893" t="s">
        <v>3345</v>
      </c>
    </row>
    <row r="3548" spans="1:6" x14ac:dyDescent="0.3">
      <c r="A3548" s="888" t="str">
        <f>IF(LEN('Translation-EN'!A3548)&gt;0,'Translation-EN'!A3548,"")</f>
        <v>MsgBox</v>
      </c>
      <c r="B3548" s="888" t="str">
        <f>IF(LEN('Translation-EN'!B3548)&gt;0,'Translation-EN'!B3548,"")</f>
        <v/>
      </c>
      <c r="C3548" s="888" t="str">
        <f>IF(LEN('Translation-EN'!C3548)&gt;0,'Translation-EN'!C3548,"")</f>
        <v>msgEVU</v>
      </c>
      <c r="D3548" s="888" t="str">
        <f>IF(LEN('Translation-EN'!D3548)&gt;0,'Translation-EN'!D3548,"")</f>
        <v/>
      </c>
      <c r="E3548" s="888" t="s">
        <v>3405</v>
      </c>
    </row>
    <row r="3549" spans="1:6" x14ac:dyDescent="0.3">
      <c r="A3549" s="888" t="str">
        <f>IF(LEN('Translation-EN'!A3549)&gt;0,'Translation-EN'!A3549,"")</f>
        <v>MsgBox</v>
      </c>
      <c r="B3549" s="888" t="str">
        <f>IF(LEN('Translation-EN'!B3549)&gt;0,'Translation-EN'!B3549,"")</f>
        <v/>
      </c>
      <c r="C3549" s="888" t="str">
        <f>IF(LEN('Translation-EN'!C3549)&gt;0,'Translation-EN'!C3549,"")</f>
        <v>msgVRG</v>
      </c>
      <c r="D3549" s="888" t="str">
        <f>IF(LEN('Translation-EN'!D3549)&gt;0,'Translation-EN'!D3549,"")</f>
        <v/>
      </c>
      <c r="E3549" s="1062" t="s">
        <v>3402</v>
      </c>
      <c r="F3549" s="893" t="s">
        <v>3404</v>
      </c>
    </row>
    <row r="3550" spans="1:6" x14ac:dyDescent="0.3">
      <c r="A3550" s="888" t="str">
        <f>IF(LEN('Translation-EN'!A3550)&gt;0,'Translation-EN'!A3550,"")</f>
        <v>MsgBox</v>
      </c>
      <c r="B3550" s="888" t="str">
        <f>IF(LEN('Translation-EN'!B3550)&gt;0,'Translation-EN'!B3550,"")</f>
        <v/>
      </c>
      <c r="C3550" s="888" t="str">
        <f>IF(LEN('Translation-EN'!C3550)&gt;0,'Translation-EN'!C3550,"")</f>
        <v>msgCYT</v>
      </c>
      <c r="D3550" s="888" t="str">
        <f>IF(LEN('Translation-EN'!D3550)&gt;0,'Translation-EN'!D3550,"")</f>
        <v/>
      </c>
      <c r="E3550" s="1057" t="s">
        <v>4027</v>
      </c>
    </row>
    <row r="3551" spans="1:6" x14ac:dyDescent="0.3">
      <c r="A3551" s="888" t="str">
        <f>IF(LEN('Translation-EN'!A3551)&gt;0,'Translation-EN'!A3551,"")</f>
        <v>MsgBox</v>
      </c>
      <c r="B3551" s="888" t="str">
        <f>IF(LEN('Translation-EN'!B3551)&gt;0,'Translation-EN'!B3551,"")</f>
        <v/>
      </c>
      <c r="C3551" s="888" t="str">
        <f>IF(LEN('Translation-EN'!C3551)&gt;0,'Translation-EN'!C3551,"")</f>
        <v>msgNTR</v>
      </c>
      <c r="D3551" s="888" t="str">
        <f>IF(LEN('Translation-EN'!D3551)&gt;0,'Translation-EN'!D3551,"")</f>
        <v/>
      </c>
      <c r="E3551" s="1057" t="s">
        <v>4028</v>
      </c>
    </row>
    <row r="3552" spans="1:6" x14ac:dyDescent="0.3">
      <c r="A3552" s="888" t="str">
        <f>IF(LEN('Translation-EN'!A3552)&gt;0,'Translation-EN'!A3552,"")</f>
        <v>MsgBox</v>
      </c>
      <c r="B3552" s="888" t="str">
        <f>IF(LEN('Translation-EN'!B3552)&gt;0,'Translation-EN'!B3552,"")</f>
        <v/>
      </c>
      <c r="C3552" s="888" t="str">
        <f>IF(LEN('Translation-EN'!C3552)&gt;0,'Translation-EN'!C3552,"")</f>
        <v>msgWNK</v>
      </c>
      <c r="D3552" s="888" t="str">
        <f>IF(LEN('Translation-EN'!D3552)&gt;0,'Translation-EN'!D3552,"")</f>
        <v/>
      </c>
      <c r="E3552" s="1063" t="s">
        <v>7181</v>
      </c>
      <c r="F3552" s="893" t="s">
        <v>3404</v>
      </c>
    </row>
    <row r="3553" spans="1:6" x14ac:dyDescent="0.3">
      <c r="A3553" s="888" t="str">
        <f>IF(LEN('Translation-EN'!A3553)&gt;0,'Translation-EN'!A3553,"")</f>
        <v>MsgBox</v>
      </c>
      <c r="B3553" s="888" t="str">
        <f>IF(LEN('Translation-EN'!B3553)&gt;0,'Translation-EN'!B3553,"")</f>
        <v/>
      </c>
      <c r="C3553" s="888" t="str">
        <f>IF(LEN('Translation-EN'!C3553)&gt;0,'Translation-EN'!C3553,"")</f>
        <v>msgWNL</v>
      </c>
      <c r="D3553" s="888" t="str">
        <f>IF(LEN('Translation-EN'!D3553)&gt;0,'Translation-EN'!D3553,"")</f>
        <v/>
      </c>
      <c r="E3553" s="1063" t="s">
        <v>7182</v>
      </c>
      <c r="F3553" s="893" t="s">
        <v>3404</v>
      </c>
    </row>
    <row r="3554" spans="1:6" x14ac:dyDescent="0.3">
      <c r="A3554" s="888" t="str">
        <f>IF(LEN('Translation-EN'!A3554)&gt;0,'Translation-EN'!A3554,"")</f>
        <v>Forms</v>
      </c>
      <c r="B3554" s="888" t="str">
        <f>IF(LEN('Translation-EN'!B3554)&gt;0,'Translation-EN'!B3554,"")</f>
        <v/>
      </c>
      <c r="C3554" s="888" t="str">
        <f>IF(LEN('Translation-EN'!C3554)&gt;0,'Translation-EN'!C3554,"")</f>
        <v>frmSelectScenario</v>
      </c>
      <c r="D3554" s="888" t="str">
        <f>IF(LEN('Translation-EN'!D3554)&gt;0,'Translation-EN'!D3554,"")</f>
        <v/>
      </c>
      <c r="E3554" s="888" t="s">
        <v>3350</v>
      </c>
    </row>
    <row r="3555" spans="1:6" x14ac:dyDescent="0.3">
      <c r="A3555" s="888" t="str">
        <f>IF(LEN('Translation-EN'!A3555)&gt;0,'Translation-EN'!A3555,"")</f>
        <v>Forms</v>
      </c>
      <c r="B3555" s="888" t="str">
        <f>IF(LEN('Translation-EN'!B3555)&gt;0,'Translation-EN'!B3555,"")</f>
        <v/>
      </c>
      <c r="C3555" s="888" t="str">
        <f>IF(LEN('Translation-EN'!C3555)&gt;0,'Translation-EN'!C3555,"")</f>
        <v>lblSelectScenToDelete</v>
      </c>
      <c r="D3555" s="888" t="str">
        <f>IF(LEN('Translation-EN'!D3555)&gt;0,'Translation-EN'!D3555,"")</f>
        <v>delete</v>
      </c>
      <c r="E3555" s="888" t="s">
        <v>3351</v>
      </c>
    </row>
    <row r="3556" spans="1:6" x14ac:dyDescent="0.3">
      <c r="A3556" s="888" t="str">
        <f>IF(LEN('Translation-EN'!A3556)&gt;0,'Translation-EN'!A3556,"")</f>
        <v>Forms</v>
      </c>
      <c r="B3556" s="888" t="str">
        <f>IF(LEN('Translation-EN'!B3556)&gt;0,'Translation-EN'!B3556,"")</f>
        <v/>
      </c>
      <c r="C3556" s="888" t="str">
        <f>IF(LEN('Translation-EN'!C3556)&gt;0,'Translation-EN'!C3556,"")</f>
        <v>lblSelectScenToDelete</v>
      </c>
      <c r="D3556" s="888" t="str">
        <f>IF(LEN('Translation-EN'!D3556)&gt;0,'Translation-EN'!D3556,"")</f>
        <v>restore</v>
      </c>
      <c r="E3556" s="888" t="s">
        <v>3352</v>
      </c>
    </row>
    <row r="3557" spans="1:6" x14ac:dyDescent="0.3">
      <c r="A3557" s="888" t="str">
        <f>IF(LEN('Translation-EN'!A3557)&gt;0,'Translation-EN'!A3557,"")</f>
        <v>Forms</v>
      </c>
      <c r="B3557" s="888" t="str">
        <f>IF(LEN('Translation-EN'!B3557)&gt;0,'Translation-EN'!B3557,"")</f>
        <v/>
      </c>
      <c r="C3557" s="888" t="str">
        <f>IF(LEN('Translation-EN'!C3557)&gt;0,'Translation-EN'!C3557,"")</f>
        <v>cmdCancel</v>
      </c>
      <c r="D3557" s="888" t="str">
        <f>IF(LEN('Translation-EN'!D3557)&gt;0,'Translation-EN'!D3557,"")</f>
        <v/>
      </c>
      <c r="E3557" s="888" t="s">
        <v>3353</v>
      </c>
    </row>
    <row r="3558" spans="1:6" x14ac:dyDescent="0.3">
      <c r="A3558" s="888" t="str">
        <f>IF(LEN('Translation-EN'!A3558)&gt;0,'Translation-EN'!A3558,"")</f>
        <v>Forms</v>
      </c>
      <c r="B3558" s="888" t="str">
        <f>IF(LEN('Translation-EN'!B3558)&gt;0,'Translation-EN'!B3558,"")</f>
        <v/>
      </c>
      <c r="C3558" s="888" t="str">
        <f>IF(LEN('Translation-EN'!C3558)&gt;0,'Translation-EN'!C3558,"")</f>
        <v>cmdOk</v>
      </c>
      <c r="D3558" s="888" t="str">
        <f>IF(LEN('Translation-EN'!D3558)&gt;0,'Translation-EN'!D3558,"")</f>
        <v/>
      </c>
      <c r="E3558" s="888" t="s">
        <v>3354</v>
      </c>
    </row>
    <row r="3559" spans="1:6" x14ac:dyDescent="0.3">
      <c r="A3559" s="888" t="str">
        <f>IF(LEN('Translation-EN'!A3559)&gt;0,'Translation-EN'!A3559,"")</f>
        <v>Forms</v>
      </c>
      <c r="B3559" s="888" t="str">
        <f>IF(LEN('Translation-EN'!B3559)&gt;0,'Translation-EN'!B3559,"")</f>
        <v/>
      </c>
      <c r="C3559" s="888" t="str">
        <f>IF(LEN('Translation-EN'!C3559)&gt;0,'Translation-EN'!C3559,"")</f>
        <v>lblWaitMessage</v>
      </c>
      <c r="D3559" s="888" t="str">
        <f>IF(LEN('Translation-EN'!D3559)&gt;0,'Translation-EN'!D3559,"")</f>
        <v/>
      </c>
      <c r="E3559" s="888" t="s">
        <v>3390</v>
      </c>
    </row>
    <row r="3560" spans="1:6" x14ac:dyDescent="0.3">
      <c r="A3560" s="888" t="str">
        <f>IF(LEN('Translation-EN'!A3560)&gt;0,'Translation-EN'!A3560,"")</f>
        <v>Validation.InputMessage</v>
      </c>
      <c r="B3560" s="888" t="str">
        <f>IF(LEN('Translation-EN'!B3560)&gt;0,'Translation-EN'!B3560,"")</f>
        <v>User-Defined</v>
      </c>
      <c r="C3560" s="888" t="str">
        <f>IF(LEN('Translation-EN'!C3560)&gt;0,'Translation-EN'!C3560,"")</f>
        <v>D19</v>
      </c>
      <c r="D3560" s="888" t="str">
        <f>IF(LEN('Translation-EN'!D3560)&gt;0,'Translation-EN'!D3560,"")</f>
        <v/>
      </c>
      <c r="E3560" s="888" t="s">
        <v>3355</v>
      </c>
    </row>
    <row r="3561" spans="1:6" x14ac:dyDescent="0.3">
      <c r="A3561" s="888" t="str">
        <f>IF(LEN('Translation-EN'!A3561)&gt;0,'Translation-EN'!A3561,"")</f>
        <v>Validation.InputMessage</v>
      </c>
      <c r="B3561" s="888" t="str">
        <f>IF(LEN('Translation-EN'!B3561)&gt;0,'Translation-EN'!B3561,"")</f>
        <v>User-Defined</v>
      </c>
      <c r="C3561" s="888" t="str">
        <f>IF(LEN('Translation-EN'!C3561)&gt;0,'Translation-EN'!C3561,"")</f>
        <v>D20</v>
      </c>
      <c r="D3561" s="888" t="str">
        <f>IF(LEN('Translation-EN'!D3561)&gt;0,'Translation-EN'!D3561,"")</f>
        <v/>
      </c>
      <c r="E3561" s="888" t="str">
        <f>$E$3560</f>
        <v>Sélectionnez l'isolation parmi la liste déroulante, entrez la valeur R (à gauche, en unités impériales) et la superficie (à droite, en mètres carrés).</v>
      </c>
    </row>
    <row r="3562" spans="1:6" x14ac:dyDescent="0.3">
      <c r="A3562" s="888" t="str">
        <f>IF(LEN('Translation-EN'!A3562)&gt;0,'Translation-EN'!A3562,"")</f>
        <v>Validation.InputMessage</v>
      </c>
      <c r="B3562" s="888" t="str">
        <f>IF(LEN('Translation-EN'!B3562)&gt;0,'Translation-EN'!B3562,"")</f>
        <v>User-Defined</v>
      </c>
      <c r="C3562" s="888" t="str">
        <f>IF(LEN('Translation-EN'!C3562)&gt;0,'Translation-EN'!C3562,"")</f>
        <v>D21</v>
      </c>
      <c r="D3562" s="888" t="str">
        <f>IF(LEN('Translation-EN'!D3562)&gt;0,'Translation-EN'!D3562,"")</f>
        <v/>
      </c>
      <c r="E3562" s="888" t="str">
        <f>$E$3560</f>
        <v>Sélectionnez l'isolation parmi la liste déroulante, entrez la valeur R (à gauche, en unités impériales) et la superficie (à droite, en mètres carrés).</v>
      </c>
    </row>
    <row r="3563" spans="1:6" ht="57.6" x14ac:dyDescent="0.3">
      <c r="A3563" s="888" t="str">
        <f>IF(LEN('Translation-EN'!A3563)&gt;0,'Translation-EN'!A3563,"")</f>
        <v>Validation.InputMessage</v>
      </c>
      <c r="B3563" s="888" t="str">
        <f>IF(LEN('Translation-EN'!B3563)&gt;0,'Translation-EN'!B3563,"")</f>
        <v>Energy GHG</v>
      </c>
      <c r="C3563" s="888" t="str">
        <f>IF(LEN('Translation-EN'!C3563)&gt;0,'Translation-EN'!C3563,"")</f>
        <v>D15</v>
      </c>
      <c r="D3563" s="888" t="str">
        <f>IF(LEN('Translation-EN'!D3563)&gt;0,'Translation-EN'!D3563,"")</f>
        <v/>
      </c>
      <c r="E3563" s="1058" t="s">
        <v>3373</v>
      </c>
    </row>
    <row r="3564" spans="1:6" x14ac:dyDescent="0.3">
      <c r="A3564" s="888" t="str">
        <f>IF(LEN('Translation-EN'!A3564)&gt;0,'Translation-EN'!A3564,"")</f>
        <v>Validation.InputMessage</v>
      </c>
      <c r="B3564" s="888" t="str">
        <f>IF(LEN('Translation-EN'!B3564)&gt;0,'Translation-EN'!B3564,"")</f>
        <v>Energy GHG</v>
      </c>
      <c r="C3564" s="888" t="str">
        <f>IF(LEN('Translation-EN'!C3564)&gt;0,'Translation-EN'!C3564,"")</f>
        <v>E15</v>
      </c>
      <c r="D3564" s="888" t="str">
        <f>IF(LEN('Translation-EN'!D3564)&gt;0,'Translation-EN'!D3564,"")</f>
        <v/>
      </c>
      <c r="E3564" s="1059" t="str">
        <f>$E$3563</f>
        <v>Sélectionnez une province dont vous voulez remplacer le facteur de GES, puis entrez la nouvelle valeur de l'intensité des GES dans la cellule correspondante ci-dessous.
Note : un seul type de carburant d'une province peut être remplacé à la fois.</v>
      </c>
    </row>
    <row r="3565" spans="1:6" x14ac:dyDescent="0.3">
      <c r="A3565" s="888" t="str">
        <f>IF(LEN('Translation-EN'!A3565)&gt;0,'Translation-EN'!A3565,"")</f>
        <v>Validation.InputMessage</v>
      </c>
      <c r="B3565" s="888" t="str">
        <f>IF(LEN('Translation-EN'!B3565)&gt;0,'Translation-EN'!B3565,"")</f>
        <v>Energy GHG</v>
      </c>
      <c r="C3565" s="888" t="str">
        <f>IF(LEN('Translation-EN'!C3565)&gt;0,'Translation-EN'!C3565,"")</f>
        <v>F15</v>
      </c>
      <c r="D3565" s="888" t="str">
        <f>IF(LEN('Translation-EN'!D3565)&gt;0,'Translation-EN'!D3565,"")</f>
        <v/>
      </c>
      <c r="E3565" s="1059" t="str">
        <f>$E$3563</f>
        <v>Sélectionnez une province dont vous voulez remplacer le facteur de GES, puis entrez la nouvelle valeur de l'intensité des GES dans la cellule correspondante ci-dessous.
Note : un seul type de carburant d'une province peut être remplacé à la fois.</v>
      </c>
    </row>
    <row r="3566" spans="1:6" x14ac:dyDescent="0.3">
      <c r="A3566" s="888" t="str">
        <f>IF(LEN('Translation-EN'!A3566)&gt;0,'Translation-EN'!A3566,"")</f>
        <v>Validation.InputMessage</v>
      </c>
      <c r="B3566" s="888" t="str">
        <f>IF(LEN('Translation-EN'!B3566)&gt;0,'Translation-EN'!B3566,"")</f>
        <v>Energy GHG</v>
      </c>
      <c r="C3566" s="888" t="str">
        <f>IF(LEN('Translation-EN'!C3566)&gt;0,'Translation-EN'!C3566,"")</f>
        <v>G15</v>
      </c>
      <c r="D3566" s="888" t="str">
        <f>IF(LEN('Translation-EN'!D3566)&gt;0,'Translation-EN'!D3566,"")</f>
        <v/>
      </c>
      <c r="E3566" s="1059" t="str">
        <f>$E$3563</f>
        <v>Sélectionnez une province dont vous voulez remplacer le facteur de GES, puis entrez la nouvelle valeur de l'intensité des GES dans la cellule correspondante ci-dessous.
Note : un seul type de carburant d'une province peut être remplacé à la fois.</v>
      </c>
    </row>
    <row r="3567" spans="1:6" x14ac:dyDescent="0.3">
      <c r="A3567" s="888" t="str">
        <f>IF(LEN('Translation-EN'!A3567)&gt;0,'Translation-EN'!A3567,"")</f>
        <v>Validation.InputMessage</v>
      </c>
      <c r="B3567" s="888" t="str">
        <f>IF(LEN('Translation-EN'!B3567)&gt;0,'Translation-EN'!B3567,"")</f>
        <v>Energy GHG</v>
      </c>
      <c r="C3567" s="888" t="str">
        <f>IF(LEN('Translation-EN'!C3567)&gt;0,'Translation-EN'!C3567,"")</f>
        <v>H15</v>
      </c>
      <c r="D3567" s="888" t="str">
        <f>IF(LEN('Translation-EN'!D3567)&gt;0,'Translation-EN'!D3567,"")</f>
        <v/>
      </c>
      <c r="E3567" s="1059" t="str">
        <f>$E$3563</f>
        <v>Sélectionnez une province dont vous voulez remplacer le facteur de GES, puis entrez la nouvelle valeur de l'intensité des GES dans la cellule correspondante ci-dessous.
Note : un seul type de carburant d'une province peut être remplacé à la fois.</v>
      </c>
    </row>
    <row r="3568" spans="1:6" x14ac:dyDescent="0.3">
      <c r="A3568" s="888" t="str">
        <f>IF(LEN('Translation-EN'!A3568)&gt;0,'Translation-EN'!A3568,"")</f>
        <v>Validation.InputMessage</v>
      </c>
      <c r="B3568" s="888" t="str">
        <f>IF(LEN('Translation-EN'!B3568)&gt;0,'Translation-EN'!B3568,"")</f>
        <v>Energy GHG</v>
      </c>
      <c r="C3568" s="888" t="str">
        <f>IF(LEN('Translation-EN'!C3568)&gt;0,'Translation-EN'!C3568,"")</f>
        <v>D17</v>
      </c>
      <c r="D3568" s="888" t="str">
        <f>IF(LEN('Translation-EN'!D3568)&gt;0,'Translation-EN'!D3568,"")</f>
        <v/>
      </c>
      <c r="E3568" s="1060" t="s">
        <v>3356</v>
      </c>
    </row>
    <row r="3569" spans="1:5" x14ac:dyDescent="0.3">
      <c r="A3569" s="888" t="str">
        <f>IF(LEN('Translation-EN'!A3569)&gt;0,'Translation-EN'!A3569,"")</f>
        <v>Validation.InputMessage</v>
      </c>
      <c r="B3569" s="888" t="str">
        <f>IF(LEN('Translation-EN'!B3569)&gt;0,'Translation-EN'!B3569,"")</f>
        <v>Energy GHG</v>
      </c>
      <c r="C3569" s="888" t="str">
        <f>IF(LEN('Translation-EN'!C3569)&gt;0,'Translation-EN'!C3569,"")</f>
        <v>E17</v>
      </c>
      <c r="D3569" s="888" t="str">
        <f>IF(LEN('Translation-EN'!D3569)&gt;0,'Translation-EN'!D3569,"")</f>
        <v/>
      </c>
      <c r="E3569" s="893" t="str">
        <f>$E$3568</f>
        <v>Indiquez la source d'information utilisée pour la valeur de remplacement. Un lien Internet est préférable, s'il est disponible.</v>
      </c>
    </row>
    <row r="3570" spans="1:5" x14ac:dyDescent="0.3">
      <c r="A3570" s="888" t="str">
        <f>IF(LEN('Translation-EN'!A3570)&gt;0,'Translation-EN'!A3570,"")</f>
        <v>Validation.InputMessage</v>
      </c>
      <c r="B3570" s="888" t="str">
        <f>IF(LEN('Translation-EN'!B3570)&gt;0,'Translation-EN'!B3570,"")</f>
        <v>Energy GHG</v>
      </c>
      <c r="C3570" s="888" t="str">
        <f>IF(LEN('Translation-EN'!C3570)&gt;0,'Translation-EN'!C3570,"")</f>
        <v>F17</v>
      </c>
      <c r="D3570" s="888" t="str">
        <f>IF(LEN('Translation-EN'!D3570)&gt;0,'Translation-EN'!D3570,"")</f>
        <v/>
      </c>
      <c r="E3570" s="893" t="str">
        <f>$E$3568</f>
        <v>Indiquez la source d'information utilisée pour la valeur de remplacement. Un lien Internet est préférable, s'il est disponible.</v>
      </c>
    </row>
    <row r="3571" spans="1:5" x14ac:dyDescent="0.3">
      <c r="A3571" s="888" t="str">
        <f>IF(LEN('Translation-EN'!A3571)&gt;0,'Translation-EN'!A3571,"")</f>
        <v>Validation.InputMessage</v>
      </c>
      <c r="B3571" s="888" t="str">
        <f>IF(LEN('Translation-EN'!B3571)&gt;0,'Translation-EN'!B3571,"")</f>
        <v>Energy GHG</v>
      </c>
      <c r="C3571" s="888" t="str">
        <f>IF(LEN('Translation-EN'!C3571)&gt;0,'Translation-EN'!C3571,"")</f>
        <v>G17</v>
      </c>
      <c r="D3571" s="888" t="str">
        <f>IF(LEN('Translation-EN'!D3571)&gt;0,'Translation-EN'!D3571,"")</f>
        <v/>
      </c>
      <c r="E3571" s="893" t="str">
        <f>$E$3568</f>
        <v>Indiquez la source d'information utilisée pour la valeur de remplacement. Un lien Internet est préférable, s'il est disponible.</v>
      </c>
    </row>
    <row r="3572" spans="1:5" x14ac:dyDescent="0.3">
      <c r="A3572" s="888" t="str">
        <f>IF(LEN('Translation-EN'!A3572)&gt;0,'Translation-EN'!A3572,"")</f>
        <v>Validation.InputMessage</v>
      </c>
      <c r="B3572" s="888" t="str">
        <f>IF(LEN('Translation-EN'!B3572)&gt;0,'Translation-EN'!B3572,"")</f>
        <v>Energy GHG</v>
      </c>
      <c r="C3572" s="888" t="str">
        <f>IF(LEN('Translation-EN'!C3572)&gt;0,'Translation-EN'!C3572,"")</f>
        <v>H17</v>
      </c>
      <c r="D3572" s="888" t="str">
        <f>IF(LEN('Translation-EN'!D3572)&gt;0,'Translation-EN'!D3572,"")</f>
        <v/>
      </c>
      <c r="E3572" s="893" t="str">
        <f>$E$3568</f>
        <v>Indiquez la source d'information utilisée pour la valeur de remplacement. Un lien Internet est préférable, s'il est disponible.</v>
      </c>
    </row>
    <row r="3573" spans="1:5" x14ac:dyDescent="0.3">
      <c r="A3573" s="888" t="str">
        <f>IF(LEN('Translation-EN'!A3573)&gt;0,'Translation-EN'!A3573,"")</f>
        <v>Shape</v>
      </c>
      <c r="B3573" s="888" t="str">
        <f>IF(LEN('Translation-EN'!B3573)&gt;0,'Translation-EN'!B3573,"")</f>
        <v>Footings &amp; Slabs</v>
      </c>
      <c r="C3573" s="888" t="str">
        <f>IF(LEN('Translation-EN'!C3573)&gt;0,'Translation-EN'!C3573,"")</f>
        <v>Rounded Rectangle 2||Rectangle: Rounded Corners 2</v>
      </c>
      <c r="D3573" s="888" t="str">
        <f>IF(LEN('Translation-EN'!D3573)&gt;0,'Translation-EN'!D3573,"")</f>
        <v/>
      </c>
      <c r="E3573" s="893" t="s">
        <v>3401</v>
      </c>
    </row>
    <row r="3574" spans="1:5" x14ac:dyDescent="0.3">
      <c r="A3574" s="888" t="str">
        <f>IF(LEN('Translation-EN'!A3574)&gt;0,'Translation-EN'!A3574,"")</f>
        <v>Shape</v>
      </c>
      <c r="B3574" s="888" t="str">
        <f>IF(LEN('Translation-EN'!B3574)&gt;0,'Translation-EN'!B3574,"")</f>
        <v>Foundation Walls</v>
      </c>
      <c r="C3574" s="888" t="str">
        <f>IF(LEN('Translation-EN'!C3574)&gt;0,'Translation-EN'!C3574,"")</f>
        <v>Rounded Rectangle 1||Rectangle: Rounded Corners 1</v>
      </c>
      <c r="D3574" s="888" t="str">
        <f>IF(LEN('Translation-EN'!D3574)&gt;0,'Translation-EN'!D3574,"")</f>
        <v/>
      </c>
      <c r="E3574" s="893" t="str">
        <f>$E$3573</f>
        <v>Effacer cette fiche seulement</v>
      </c>
    </row>
    <row r="3575" spans="1:5" x14ac:dyDescent="0.3">
      <c r="A3575" s="888" t="str">
        <f>IF(LEN('Translation-EN'!A3575)&gt;0,'Translation-EN'!A3575,"")</f>
        <v>Shape</v>
      </c>
      <c r="B3575" s="888" t="str">
        <f>IF(LEN('Translation-EN'!B3575)&gt;0,'Translation-EN'!B3575,"")</f>
        <v>Structural Elements</v>
      </c>
      <c r="C3575" s="888" t="str">
        <f>IF(LEN('Translation-EN'!C3575)&gt;0,'Translation-EN'!C3575,"")</f>
        <v>Rounded Rectangle 1||Rectangle: Rounded Corners 1</v>
      </c>
      <c r="D3575" s="888" t="str">
        <f>IF(LEN('Translation-EN'!D3575)&gt;0,'Translation-EN'!D3575,"")</f>
        <v/>
      </c>
      <c r="E3575" s="893" t="str">
        <f t="shared" ref="E3575:E3586" si="13">$E$3573</f>
        <v>Effacer cette fiche seulement</v>
      </c>
    </row>
    <row r="3576" spans="1:5" x14ac:dyDescent="0.3">
      <c r="A3576" s="888" t="str">
        <f>IF(LEN('Translation-EN'!A3576)&gt;0,'Translation-EN'!A3576,"")</f>
        <v>Shape</v>
      </c>
      <c r="B3576" s="888" t="str">
        <f>IF(LEN('Translation-EN'!B3576)&gt;0,'Translation-EN'!B3576,"")</f>
        <v>Ext. Walls</v>
      </c>
      <c r="C3576" s="888" t="str">
        <f>IF(LEN('Translation-EN'!C3576)&gt;0,'Translation-EN'!C3576,"")</f>
        <v>Rounded Rectangle 1||Rectangle: Rounded Corners 1</v>
      </c>
      <c r="D3576" s="888" t="str">
        <f>IF(LEN('Translation-EN'!D3576)&gt;0,'Translation-EN'!D3576,"")</f>
        <v/>
      </c>
      <c r="E3576" s="893" t="str">
        <f t="shared" si="13"/>
        <v>Effacer cette fiche seulement</v>
      </c>
    </row>
    <row r="3577" spans="1:5" x14ac:dyDescent="0.3">
      <c r="A3577" s="888" t="str">
        <f>IF(LEN('Translation-EN'!A3577)&gt;0,'Translation-EN'!A3577,"")</f>
        <v>Shape</v>
      </c>
      <c r="B3577" s="888" t="str">
        <f>IF(LEN('Translation-EN'!B3577)&gt;0,'Translation-EN'!B3577,"")</f>
        <v>Ext. Wall Systems</v>
      </c>
      <c r="C3577" s="888" t="str">
        <f>IF(LEN('Translation-EN'!C3577)&gt;0,'Translation-EN'!C3577,"")</f>
        <v>Rounded Rectangle 1||Rectangle: Rounded Corners 1</v>
      </c>
      <c r="D3577" s="888" t="str">
        <f>IF(LEN('Translation-EN'!D3577)&gt;0,'Translation-EN'!D3577,"")</f>
        <v/>
      </c>
      <c r="E3577" s="893" t="str">
        <f t="shared" si="13"/>
        <v>Effacer cette fiche seulement</v>
      </c>
    </row>
    <row r="3578" spans="1:5" x14ac:dyDescent="0.3">
      <c r="A3578" s="888" t="str">
        <f>IF(LEN('Translation-EN'!A3578)&gt;0,'Translation-EN'!A3578,"")</f>
        <v>Shape</v>
      </c>
      <c r="B3578" s="888" t="str">
        <f>IF(LEN('Translation-EN'!B3578)&gt;0,'Translation-EN'!B3578,"")</f>
        <v>Party Walls</v>
      </c>
      <c r="C3578" s="888" t="str">
        <f>IF(LEN('Translation-EN'!C3578)&gt;0,'Translation-EN'!C3578,"")</f>
        <v>Rounded Rectangle 1||Rectangle: Rounded Corners 1</v>
      </c>
      <c r="D3578" s="888" t="str">
        <f>IF(LEN('Translation-EN'!D3578)&gt;0,'Translation-EN'!D3578,"")</f>
        <v/>
      </c>
      <c r="E3578" s="893" t="str">
        <f t="shared" si="13"/>
        <v>Effacer cette fiche seulement</v>
      </c>
    </row>
    <row r="3579" spans="1:5" x14ac:dyDescent="0.3">
      <c r="A3579" s="888" t="str">
        <f>IF(LEN('Translation-EN'!A3579)&gt;0,'Translation-EN'!A3579,"")</f>
        <v>Shape</v>
      </c>
      <c r="B3579" s="888" t="str">
        <f>IF(LEN('Translation-EN'!B3579)&gt;0,'Translation-EN'!B3579,"")</f>
        <v>Cladding</v>
      </c>
      <c r="C3579" s="888" t="str">
        <f>IF(LEN('Translation-EN'!C3579)&gt;0,'Translation-EN'!C3579,"")</f>
        <v>Rounded Rectangle 1||Rectangle: Rounded Corners 1</v>
      </c>
      <c r="D3579" s="888" t="str">
        <f>IF(LEN('Translation-EN'!D3579)&gt;0,'Translation-EN'!D3579,"")</f>
        <v/>
      </c>
      <c r="E3579" s="893" t="str">
        <f t="shared" si="13"/>
        <v>Effacer cette fiche seulement</v>
      </c>
    </row>
    <row r="3580" spans="1:5" x14ac:dyDescent="0.3">
      <c r="A3580" s="888" t="str">
        <f>IF(LEN('Translation-EN'!A3580)&gt;0,'Translation-EN'!A3580,"")</f>
        <v>Shape</v>
      </c>
      <c r="B3580" s="888" t="str">
        <f>IF(LEN('Translation-EN'!B3580)&gt;0,'Translation-EN'!B3580,"")</f>
        <v>Windows</v>
      </c>
      <c r="C3580" s="888" t="str">
        <f>IF(LEN('Translation-EN'!C3580)&gt;0,'Translation-EN'!C3580,"")</f>
        <v>Rounded Rectangle 1||Rectangle: Rounded Corners 1</v>
      </c>
      <c r="D3580" s="888" t="str">
        <f>IF(LEN('Translation-EN'!D3580)&gt;0,'Translation-EN'!D3580,"")</f>
        <v/>
      </c>
      <c r="E3580" s="893" t="str">
        <f t="shared" si="13"/>
        <v>Effacer cette fiche seulement</v>
      </c>
    </row>
    <row r="3581" spans="1:5" x14ac:dyDescent="0.3">
      <c r="A3581" s="888" t="str">
        <f>IF(LEN('Translation-EN'!A3581)&gt;0,'Translation-EN'!A3581,"")</f>
        <v>Shape</v>
      </c>
      <c r="B3581" s="888" t="str">
        <f>IF(LEN('Translation-EN'!B3581)&gt;0,'Translation-EN'!B3581,"")</f>
        <v>Int. Walls</v>
      </c>
      <c r="C3581" s="888" t="str">
        <f>IF(LEN('Translation-EN'!C3581)&gt;0,'Translation-EN'!C3581,"")</f>
        <v>Rounded Rectangle 1||Rectangle: Rounded Corners 1</v>
      </c>
      <c r="D3581" s="888" t="str">
        <f>IF(LEN('Translation-EN'!D3581)&gt;0,'Translation-EN'!D3581,"")</f>
        <v/>
      </c>
      <c r="E3581" s="893" t="str">
        <f t="shared" si="13"/>
        <v>Effacer cette fiche seulement</v>
      </c>
    </row>
    <row r="3582" spans="1:5" x14ac:dyDescent="0.3">
      <c r="A3582" s="888" t="str">
        <f>IF(LEN('Translation-EN'!A3582)&gt;0,'Translation-EN'!A3582,"")</f>
        <v>Shape</v>
      </c>
      <c r="B3582" s="888" t="str">
        <f>IF(LEN('Translation-EN'!B3582)&gt;0,'Translation-EN'!B3582,"")</f>
        <v>Floors</v>
      </c>
      <c r="C3582" s="888" t="str">
        <f>IF(LEN('Translation-EN'!C3582)&gt;0,'Translation-EN'!C3582,"")</f>
        <v>Rounded Rectangle 1||Rectangle: Rounded Corners 1</v>
      </c>
      <c r="D3582" s="888" t="str">
        <f>IF(LEN('Translation-EN'!D3582)&gt;0,'Translation-EN'!D3582,"")</f>
        <v/>
      </c>
      <c r="E3582" s="893" t="str">
        <f t="shared" si="13"/>
        <v>Effacer cette fiche seulement</v>
      </c>
    </row>
    <row r="3583" spans="1:5" x14ac:dyDescent="0.3">
      <c r="A3583" s="888" t="str">
        <f>IF(LEN('Translation-EN'!A3583)&gt;0,'Translation-EN'!A3583,"")</f>
        <v>Shape</v>
      </c>
      <c r="B3583" s="888" t="str">
        <f>IF(LEN('Translation-EN'!B3583)&gt;0,'Translation-EN'!B3583,"")</f>
        <v>Ceilings</v>
      </c>
      <c r="C3583" s="888" t="str">
        <f>IF(LEN('Translation-EN'!C3583)&gt;0,'Translation-EN'!C3583,"")</f>
        <v>Rounded Rectangle 1||Rectangle: Rounded Corners 1</v>
      </c>
      <c r="D3583" s="888" t="str">
        <f>IF(LEN('Translation-EN'!D3583)&gt;0,'Translation-EN'!D3583,"")</f>
        <v/>
      </c>
      <c r="E3583" s="893" t="str">
        <f t="shared" si="13"/>
        <v>Effacer cette fiche seulement</v>
      </c>
    </row>
    <row r="3584" spans="1:5" x14ac:dyDescent="0.3">
      <c r="A3584" s="888" t="str">
        <f>IF(LEN('Translation-EN'!A3584)&gt;0,'Translation-EN'!A3584,"")</f>
        <v>Shape</v>
      </c>
      <c r="B3584" s="888" t="str">
        <f>IF(LEN('Translation-EN'!B3584)&gt;0,'Translation-EN'!B3584,"")</f>
        <v>Roof</v>
      </c>
      <c r="C3584" s="888" t="str">
        <f>IF(LEN('Translation-EN'!C3584)&gt;0,'Translation-EN'!C3584,"")</f>
        <v>Rounded Rectangle 1||Rectangle: Rounded Corners 1</v>
      </c>
      <c r="D3584" s="888" t="str">
        <f>IF(LEN('Translation-EN'!D3584)&gt;0,'Translation-EN'!D3584,"")</f>
        <v/>
      </c>
      <c r="E3584" s="893" t="str">
        <f t="shared" si="13"/>
        <v>Effacer cette fiche seulement</v>
      </c>
    </row>
    <row r="3585" spans="1:5" x14ac:dyDescent="0.3">
      <c r="A3585" s="888" t="str">
        <f>IF(LEN('Translation-EN'!A3585)&gt;0,'Translation-EN'!A3585,"")</f>
        <v>Shape</v>
      </c>
      <c r="B3585" s="888" t="str">
        <f>IF(LEN('Translation-EN'!B3585)&gt;0,'Translation-EN'!B3585,"")</f>
        <v>Garage</v>
      </c>
      <c r="C3585" s="888" t="str">
        <f>IF(LEN('Translation-EN'!C3585)&gt;0,'Translation-EN'!C3585,"")</f>
        <v>Rounded Rectangle 1||Rectangle: Rounded Corners 1</v>
      </c>
      <c r="D3585" s="888" t="str">
        <f>IF(LEN('Translation-EN'!D3585)&gt;0,'Translation-EN'!D3585,"")</f>
        <v/>
      </c>
      <c r="E3585" s="893" t="str">
        <f t="shared" si="13"/>
        <v>Effacer cette fiche seulement</v>
      </c>
    </row>
    <row r="3586" spans="1:5" x14ac:dyDescent="0.3">
      <c r="A3586" s="888" t="str">
        <f>IF(LEN('Translation-EN'!A3586)&gt;0,'Translation-EN'!A3586,"")</f>
        <v>Shape</v>
      </c>
      <c r="B3586" s="888" t="str">
        <f>IF(LEN('Translation-EN'!B3586)&gt;0,'Translation-EN'!B3586,"")</f>
        <v>User-Defined</v>
      </c>
      <c r="C3586" s="888" t="str">
        <f>IF(LEN('Translation-EN'!C3586)&gt;0,'Translation-EN'!C3586,"")</f>
        <v>Rounded Rectangle 1||Rectangle: Rounded Corners 1</v>
      </c>
      <c r="D3586" s="888" t="str">
        <f>IF(LEN('Translation-EN'!D3586)&gt;0,'Translation-EN'!D3586,"")</f>
        <v/>
      </c>
      <c r="E3586" s="893" t="str">
        <f t="shared" si="13"/>
        <v>Effacer cette fiche seulement</v>
      </c>
    </row>
    <row r="3587" spans="1:5" x14ac:dyDescent="0.3">
      <c r="A3587" s="888" t="str">
        <f>IF(LEN('Translation-EN'!A3587)&gt;0,'Translation-EN'!A3587,"")</f>
        <v>MsgBox</v>
      </c>
      <c r="B3587" s="888" t="str">
        <f>IF(LEN('Translation-EN'!B3587)&gt;0,'Translation-EN'!B3587,"")</f>
        <v/>
      </c>
      <c r="C3587" s="888" t="str">
        <f>IF(LEN('Translation-EN'!C3587)&gt;0,'Translation-EN'!C3587,"")</f>
        <v>msgWZR</v>
      </c>
      <c r="D3587" s="888" t="str">
        <f>IF(LEN('Translation-EN'!D3587)&gt;0,'Translation-EN'!D3587,"")</f>
        <v/>
      </c>
      <c r="E3587" s="893" t="s">
        <v>4953</v>
      </c>
    </row>
    <row r="3588" spans="1:5" x14ac:dyDescent="0.3">
      <c r="A3588" s="888" t="str">
        <f>IF(LEN('Translation-EN'!A3588)&gt;0,'Translation-EN'!A3588,"")</f>
        <v>MsgBox</v>
      </c>
      <c r="B3588" s="888" t="str">
        <f>IF(LEN('Translation-EN'!B3588)&gt;0,'Translation-EN'!B3588,"")</f>
        <v/>
      </c>
      <c r="C3588" s="888" t="str">
        <f>IF(LEN('Translation-EN'!C3588)&gt;0,'Translation-EN'!C3588,"")</f>
        <v>msgWZS</v>
      </c>
      <c r="D3588" s="888" t="str">
        <f>IF(LEN('Translation-EN'!D3588)&gt;0,'Translation-EN'!D3588,"")</f>
        <v/>
      </c>
      <c r="E3588" s="893" t="s">
        <v>4954</v>
      </c>
    </row>
    <row r="3589" spans="1:5" x14ac:dyDescent="0.3">
      <c r="A3589" s="888" t="str">
        <f>IF(LEN('Translation-EN'!A3589)&gt;0,'Translation-EN'!A3589,"")</f>
        <v>MsgBox</v>
      </c>
      <c r="B3589" s="888" t="str">
        <f>IF(LEN('Translation-EN'!B3589)&gt;0,'Translation-EN'!B3589,"")</f>
        <v/>
      </c>
      <c r="C3589" s="888" t="str">
        <f>IF(LEN('Translation-EN'!C3589)&gt;0,'Translation-EN'!C3589,"")</f>
        <v>msgWZT</v>
      </c>
      <c r="D3589" s="888" t="str">
        <f>IF(LEN('Translation-EN'!D3589)&gt;0,'Translation-EN'!D3589,"")</f>
        <v/>
      </c>
      <c r="E3589" s="1061" t="s">
        <v>4955</v>
      </c>
    </row>
    <row r="3590" spans="1:5" x14ac:dyDescent="0.3">
      <c r="A3590" s="888" t="str">
        <f>IF(LEN('Translation-EN'!A3590)&gt;0,'Translation-EN'!A3590,"")</f>
        <v>MsgBox</v>
      </c>
      <c r="B3590" s="888" t="str">
        <f>IF(LEN('Translation-EN'!B3590)&gt;0,'Translation-EN'!B3590,"")</f>
        <v/>
      </c>
      <c r="C3590" s="888" t="str">
        <f>IF(LEN('Translation-EN'!C3590)&gt;0,'Translation-EN'!C3590,"")</f>
        <v>msgWZU</v>
      </c>
      <c r="D3590" s="888" t="str">
        <f>IF(LEN('Translation-EN'!D3590)&gt;0,'Translation-EN'!D3590,"")</f>
        <v/>
      </c>
      <c r="E3590" s="1061" t="s">
        <v>4956</v>
      </c>
    </row>
    <row r="3591" spans="1:5" x14ac:dyDescent="0.3">
      <c r="A3591" s="888" t="str">
        <f>IF(LEN('Translation-EN'!A3591)&gt;0,'Translation-EN'!A3591,"")</f>
        <v>Range</v>
      </c>
      <c r="B3591" s="888" t="str">
        <f>IF(LEN('Translation-EN'!B3591)&gt;0,'Translation-EN'!B3591,"")</f>
        <v>NBC Emissions Factors</v>
      </c>
      <c r="C3591" s="888" t="str">
        <f>IF(LEN('Translation-EN'!C3591)&gt;0,'Translation-EN'!C3591,"")</f>
        <v>A1</v>
      </c>
      <c r="D3591" s="888" t="str">
        <f>IF(LEN('Translation-EN'!D3591)&gt;0,'Translation-EN'!D3591,"")</f>
        <v/>
      </c>
      <c r="E3591" s="893" t="s">
        <v>4957</v>
      </c>
    </row>
    <row r="3592" spans="1:5" x14ac:dyDescent="0.3">
      <c r="A3592" s="888" t="str">
        <f>IF(LEN('Translation-EN'!A3592)&gt;0,'Translation-EN'!A3592,"")</f>
        <v>Range</v>
      </c>
      <c r="B3592" s="888" t="str">
        <f>IF(LEN('Translation-EN'!B3592)&gt;0,'Translation-EN'!B3592,"")</f>
        <v>NBC Emissions Factors</v>
      </c>
      <c r="C3592" s="888" t="str">
        <f>IF(LEN('Translation-EN'!C3592)&gt;0,'Translation-EN'!C3592,"")</f>
        <v>A2</v>
      </c>
      <c r="D3592" s="888" t="str">
        <f>IF(LEN('Translation-EN'!D3592)&gt;0,'Translation-EN'!D3592,"")</f>
        <v/>
      </c>
      <c r="E3592" s="893" t="s">
        <v>4958</v>
      </c>
    </row>
    <row r="3593" spans="1:5" x14ac:dyDescent="0.3">
      <c r="A3593" s="888" t="str">
        <f>IF(LEN('Translation-EN'!A3593)&gt;0,'Translation-EN'!A3593,"")</f>
        <v>Range</v>
      </c>
      <c r="B3593" s="888" t="str">
        <f>IF(LEN('Translation-EN'!B3593)&gt;0,'Translation-EN'!B3593,"")</f>
        <v>NBC Emissions Factors</v>
      </c>
      <c r="C3593" s="888" t="str">
        <f>IF(LEN('Translation-EN'!C3593)&gt;0,'Translation-EN'!C3593,"")</f>
        <v>B2</v>
      </c>
      <c r="D3593" s="888" t="str">
        <f>IF(LEN('Translation-EN'!D3593)&gt;0,'Translation-EN'!D3593,"")</f>
        <v/>
      </c>
      <c r="E3593" s="893" t="s">
        <v>4959</v>
      </c>
    </row>
    <row r="3594" spans="1:5" x14ac:dyDescent="0.3">
      <c r="A3594" s="888" t="str">
        <f>IF(LEN('Translation-EN'!A3594)&gt;0,'Translation-EN'!A3594,"")</f>
        <v>Range</v>
      </c>
      <c r="B3594" s="888" t="str">
        <f>IF(LEN('Translation-EN'!B3594)&gt;0,'Translation-EN'!B3594,"")</f>
        <v>NBC Emissions Factors</v>
      </c>
      <c r="C3594" s="888" t="str">
        <f>IF(LEN('Translation-EN'!C3594)&gt;0,'Translation-EN'!C3594,"")</f>
        <v>B3</v>
      </c>
      <c r="D3594" s="888" t="str">
        <f>IF(LEN('Translation-EN'!D3594)&gt;0,'Translation-EN'!D3594,"")</f>
        <v/>
      </c>
      <c r="E3594" s="893" t="s">
        <v>3286</v>
      </c>
    </row>
    <row r="3595" spans="1:5" x14ac:dyDescent="0.3">
      <c r="A3595" s="888" t="str">
        <f>IF(LEN('Translation-EN'!A3595)&gt;0,'Translation-EN'!A3595,"")</f>
        <v>Range</v>
      </c>
      <c r="B3595" s="888" t="str">
        <f>IF(LEN('Translation-EN'!B3595)&gt;0,'Translation-EN'!B3595,"")</f>
        <v>NBC Emissions Factors</v>
      </c>
      <c r="C3595" s="888" t="str">
        <f>IF(LEN('Translation-EN'!C3595)&gt;0,'Translation-EN'!C3595,"")</f>
        <v>C3</v>
      </c>
      <c r="D3595" s="888" t="str">
        <f>IF(LEN('Translation-EN'!D3595)&gt;0,'Translation-EN'!D3595,"")</f>
        <v/>
      </c>
      <c r="E3595" s="893" t="s">
        <v>4960</v>
      </c>
    </row>
    <row r="3596" spans="1:5" x14ac:dyDescent="0.3">
      <c r="A3596" s="888" t="str">
        <f>IF(LEN('Translation-EN'!A3596)&gt;0,'Translation-EN'!A3596,"")</f>
        <v>Range</v>
      </c>
      <c r="B3596" s="888" t="str">
        <f>IF(LEN('Translation-EN'!B3596)&gt;0,'Translation-EN'!B3596,"")</f>
        <v>NBC Emissions Factors</v>
      </c>
      <c r="C3596" s="888" t="str">
        <f>IF(LEN('Translation-EN'!C3596)&gt;0,'Translation-EN'!C3596,"")</f>
        <v>E3</v>
      </c>
      <c r="D3596" s="888" t="str">
        <f>IF(LEN('Translation-EN'!D3596)&gt;0,'Translation-EN'!D3596,"")</f>
        <v/>
      </c>
      <c r="E3596" s="893" t="s">
        <v>3287</v>
      </c>
    </row>
    <row r="3597" spans="1:5" x14ac:dyDescent="0.3">
      <c r="A3597" s="888" t="str">
        <f>IF(LEN('Translation-EN'!A3597)&gt;0,'Translation-EN'!A3597,"")</f>
        <v>Range</v>
      </c>
      <c r="B3597" s="888" t="str">
        <f>IF(LEN('Translation-EN'!B3597)&gt;0,'Translation-EN'!B3597,"")</f>
        <v>NBC Emissions Factors</v>
      </c>
      <c r="C3597" s="888" t="str">
        <f>IF(LEN('Translation-EN'!C3597)&gt;0,'Translation-EN'!C3597,"")</f>
        <v>F3</v>
      </c>
      <c r="D3597" s="888" t="str">
        <f>IF(LEN('Translation-EN'!D3597)&gt;0,'Translation-EN'!D3597,"")</f>
        <v/>
      </c>
      <c r="E3597" s="893" t="s">
        <v>1222</v>
      </c>
    </row>
    <row r="3598" spans="1:5" x14ac:dyDescent="0.3">
      <c r="A3598" s="888" t="str">
        <f>IF(LEN('Translation-EN'!A3598)&gt;0,'Translation-EN'!A3598,"")</f>
        <v>Range</v>
      </c>
      <c r="B3598" s="888" t="str">
        <f>IF(LEN('Translation-EN'!B3598)&gt;0,'Translation-EN'!B3598,"")</f>
        <v>NBC Emissions Factors</v>
      </c>
      <c r="C3598" s="888" t="str">
        <f>IF(LEN('Translation-EN'!C3598)&gt;0,'Translation-EN'!C3598,"")</f>
        <v>G3</v>
      </c>
      <c r="D3598" s="888" t="str">
        <f>IF(LEN('Translation-EN'!D3598)&gt;0,'Translation-EN'!D3598,"")</f>
        <v/>
      </c>
      <c r="E3598" s="893" t="s">
        <v>4800</v>
      </c>
    </row>
    <row r="3599" spans="1:5" ht="15.6" x14ac:dyDescent="0.35">
      <c r="A3599" s="888" t="str">
        <f>IF(LEN('Translation-EN'!A3599)&gt;0,'Translation-EN'!A3599,"")</f>
        <v>Range</v>
      </c>
      <c r="B3599" s="888" t="str">
        <f>IF(LEN('Translation-EN'!B3599)&gt;0,'Translation-EN'!B3599,"")</f>
        <v>NBC Emissions Factors</v>
      </c>
      <c r="C3599" s="888" t="str">
        <f>IF(LEN('Translation-EN'!C3599)&gt;0,'Translation-EN'!C3599,"")</f>
        <v>B4</v>
      </c>
      <c r="D3599" s="888" t="b">
        <f>IF(LEN('Translation-EN'!D3599)&gt;0,'Translation-EN'!D3599,"")</f>
        <v>1</v>
      </c>
      <c r="E3599" s="1064" t="s">
        <v>7520</v>
      </c>
    </row>
    <row r="3600" spans="1:5" x14ac:dyDescent="0.3">
      <c r="A3600" s="888" t="str">
        <f>IF(LEN('Translation-EN'!A3600)&gt;0,'Translation-EN'!A3600,"")</f>
        <v>Range</v>
      </c>
      <c r="B3600" s="888" t="str">
        <f>IF(LEN('Translation-EN'!B3600)&gt;0,'Translation-EN'!B3600,"")</f>
        <v>NBC Emissions Factors</v>
      </c>
      <c r="C3600" s="888" t="str">
        <f>IF(LEN('Translation-EN'!C3600)&gt;0,'Translation-EN'!C3600,"")</f>
        <v>C4</v>
      </c>
      <c r="D3600" s="888" t="b">
        <f>IF(LEN('Translation-EN'!D3600)&gt;0,'Translation-EN'!D3600,"")</f>
        <v>1</v>
      </c>
      <c r="E3600" s="1018" t="str">
        <f>$E$3599</f>
        <v>(g CO2é/kWh)</v>
      </c>
    </row>
    <row r="3601" spans="1:5" ht="15.6" x14ac:dyDescent="0.35">
      <c r="A3601" s="888" t="str">
        <f>IF(LEN('Translation-EN'!A3601)&gt;0,'Translation-EN'!A3601,"")</f>
        <v>Range</v>
      </c>
      <c r="B3601" s="888" t="str">
        <f>IF(LEN('Translation-EN'!B3601)&gt;0,'Translation-EN'!B3601,"")</f>
        <v>NBC Emissions Factors</v>
      </c>
      <c r="C3601" s="888" t="str">
        <f>IF(LEN('Translation-EN'!C3601)&gt;0,'Translation-EN'!C3601,"")</f>
        <v>D4</v>
      </c>
      <c r="D3601" s="888" t="b">
        <f>IF(LEN('Translation-EN'!D3601)&gt;0,'Translation-EN'!D3601,"")</f>
        <v>1</v>
      </c>
      <c r="E3601" s="1064" t="s">
        <v>7521</v>
      </c>
    </row>
    <row r="3602" spans="1:5" ht="15.6" x14ac:dyDescent="0.35">
      <c r="A3602" s="888" t="str">
        <f>IF(LEN('Translation-EN'!A3602)&gt;0,'Translation-EN'!A3602,"")</f>
        <v>Range</v>
      </c>
      <c r="B3602" s="888" t="str">
        <f>IF(LEN('Translation-EN'!B3602)&gt;0,'Translation-EN'!B3602,"")</f>
        <v>NBC Emissions Factors</v>
      </c>
      <c r="C3602" s="888" t="str">
        <f>IF(LEN('Translation-EN'!C3602)&gt;0,'Translation-EN'!C3602,"")</f>
        <v>E4</v>
      </c>
      <c r="D3602" s="888" t="b">
        <f>IF(LEN('Translation-EN'!D3602)&gt;0,'Translation-EN'!D3602,"")</f>
        <v>1</v>
      </c>
      <c r="E3602" s="1064" t="s">
        <v>7519</v>
      </c>
    </row>
    <row r="3603" spans="1:5" x14ac:dyDescent="0.3">
      <c r="A3603" s="888" t="str">
        <f>IF(LEN('Translation-EN'!A3603)&gt;0,'Translation-EN'!A3603,"")</f>
        <v>Range</v>
      </c>
      <c r="B3603" s="888" t="str">
        <f>IF(LEN('Translation-EN'!B3603)&gt;0,'Translation-EN'!B3603,"")</f>
        <v>NBC Emissions Factors</v>
      </c>
      <c r="C3603" s="888" t="str">
        <f>IF(LEN('Translation-EN'!C3603)&gt;0,'Translation-EN'!C3603,"")</f>
        <v>F4</v>
      </c>
      <c r="D3603" s="888" t="b">
        <f>IF(LEN('Translation-EN'!D3603)&gt;0,'Translation-EN'!D3603,"")</f>
        <v>1</v>
      </c>
      <c r="E3603" s="1018" t="str">
        <f>$E$3602</f>
        <v>(g CO2é/L)</v>
      </c>
    </row>
    <row r="3604" spans="1:5" ht="15.6" x14ac:dyDescent="0.35">
      <c r="A3604" s="888" t="str">
        <f>IF(LEN('Translation-EN'!A3604)&gt;0,'Translation-EN'!A3604,"")</f>
        <v>Range</v>
      </c>
      <c r="B3604" s="888" t="str">
        <f>IF(LEN('Translation-EN'!B3604)&gt;0,'Translation-EN'!B3604,"")</f>
        <v>NBC Emissions Factors</v>
      </c>
      <c r="C3604" s="888" t="str">
        <f>IF(LEN('Translation-EN'!C3604)&gt;0,'Translation-EN'!C3604,"")</f>
        <v>G4</v>
      </c>
      <c r="D3604" s="888" t="b">
        <f>IF(LEN('Translation-EN'!D3604)&gt;0,'Translation-EN'!D3604,"")</f>
        <v>1</v>
      </c>
      <c r="E3604" s="1064" t="s">
        <v>7518</v>
      </c>
    </row>
    <row r="3605" spans="1:5" x14ac:dyDescent="0.3">
      <c r="A3605" s="888" t="str">
        <f>IF(LEN('Translation-EN'!A3605)&gt;0,'Translation-EN'!A3605,"")</f>
        <v>Range</v>
      </c>
      <c r="B3605" s="888" t="str">
        <f>IF(LEN('Translation-EN'!B3605)&gt;0,'Translation-EN'!B3605,"")</f>
        <v>NBC Emissions Factors</v>
      </c>
      <c r="C3605" s="888" t="str">
        <f>IF(LEN('Translation-EN'!C3605)&gt;0,'Translation-EN'!C3605,"")</f>
        <v>A5</v>
      </c>
      <c r="D3605" s="888" t="str">
        <f>IF(LEN('Translation-EN'!D3605)&gt;0,'Translation-EN'!D3605,"")</f>
        <v/>
      </c>
      <c r="E3605" s="1011" t="str">
        <f>$E$1953</f>
        <v>Alberta</v>
      </c>
    </row>
    <row r="3606" spans="1:5" x14ac:dyDescent="0.3">
      <c r="A3606" s="888" t="str">
        <f>IF(LEN('Translation-EN'!A3606)&gt;0,'Translation-EN'!A3606,"")</f>
        <v>Range</v>
      </c>
      <c r="B3606" s="888" t="str">
        <f>IF(LEN('Translation-EN'!B3606)&gt;0,'Translation-EN'!B3606,"")</f>
        <v>NBC Emissions Factors</v>
      </c>
      <c r="C3606" s="888" t="str">
        <f>IF(LEN('Translation-EN'!C3606)&gt;0,'Translation-EN'!C3606,"")</f>
        <v>A6</v>
      </c>
      <c r="D3606" s="888" t="str">
        <f>IF(LEN('Translation-EN'!D3606)&gt;0,'Translation-EN'!D3606,"")</f>
        <v/>
      </c>
      <c r="E3606" s="1011" t="str">
        <f>$E$2421</f>
        <v>Colombie-Britannique</v>
      </c>
    </row>
    <row r="3607" spans="1:5" x14ac:dyDescent="0.3">
      <c r="A3607" s="888" t="str">
        <f>IF(LEN('Translation-EN'!A3607)&gt;0,'Translation-EN'!A3607,"")</f>
        <v>Range</v>
      </c>
      <c r="B3607" s="888" t="str">
        <f>IF(LEN('Translation-EN'!B3607)&gt;0,'Translation-EN'!B3607,"")</f>
        <v>NBC Emissions Factors</v>
      </c>
      <c r="C3607" s="888" t="str">
        <f>IF(LEN('Translation-EN'!C3607)&gt;0,'Translation-EN'!C3607,"")</f>
        <v>A7</v>
      </c>
      <c r="D3607" s="888" t="str">
        <f>IF(LEN('Translation-EN'!D3607)&gt;0,'Translation-EN'!D3607,"")</f>
        <v/>
      </c>
      <c r="E3607" s="893" t="str">
        <f>$E$3498</f>
        <v>Manitoba</v>
      </c>
    </row>
    <row r="3608" spans="1:5" x14ac:dyDescent="0.3">
      <c r="A3608" s="888" t="str">
        <f>IF(LEN('Translation-EN'!A3608)&gt;0,'Translation-EN'!A3608,"")</f>
        <v>Range</v>
      </c>
      <c r="B3608" s="888" t="str">
        <f>IF(LEN('Translation-EN'!B3608)&gt;0,'Translation-EN'!B3608,"")</f>
        <v>NBC Emissions Factors</v>
      </c>
      <c r="C3608" s="888" t="str">
        <f>IF(LEN('Translation-EN'!C3608)&gt;0,'Translation-EN'!C3608,"")</f>
        <v>A8</v>
      </c>
      <c r="D3608" s="888" t="str">
        <f>IF(LEN('Translation-EN'!D3608)&gt;0,'Translation-EN'!D3608,"")</f>
        <v/>
      </c>
      <c r="E3608" s="1011" t="str">
        <f>$E$2433</f>
        <v>Nouveau-Brunswick</v>
      </c>
    </row>
    <row r="3609" spans="1:5" x14ac:dyDescent="0.3">
      <c r="A3609" s="888" t="str">
        <f>IF(LEN('Translation-EN'!A3609)&gt;0,'Translation-EN'!A3609,"")</f>
        <v>Range</v>
      </c>
      <c r="B3609" s="888" t="str">
        <f>IF(LEN('Translation-EN'!B3609)&gt;0,'Translation-EN'!B3609,"")</f>
        <v>NBC Emissions Factors</v>
      </c>
      <c r="C3609" s="888" t="str">
        <f>IF(LEN('Translation-EN'!C3609)&gt;0,'Translation-EN'!C3609,"")</f>
        <v>A9</v>
      </c>
      <c r="D3609" s="888" t="str">
        <f>IF(LEN('Translation-EN'!D3609)&gt;0,'Translation-EN'!D3609,"")</f>
        <v/>
      </c>
      <c r="E3609" s="893" t="str">
        <f>$E$3492</f>
        <v>Terre-Neuve-et-Labrador</v>
      </c>
    </row>
    <row r="3610" spans="1:5" x14ac:dyDescent="0.3">
      <c r="A3610" s="888" t="str">
        <f>IF(LEN('Translation-EN'!A3610)&gt;0,'Translation-EN'!A3610,"")</f>
        <v>Range</v>
      </c>
      <c r="B3610" s="888" t="str">
        <f>IF(LEN('Translation-EN'!B3610)&gt;0,'Translation-EN'!B3610,"")</f>
        <v>NBC Emissions Factors</v>
      </c>
      <c r="C3610" s="888" t="str">
        <f>IF(LEN('Translation-EN'!C3610)&gt;0,'Translation-EN'!C3610,"")</f>
        <v>A10</v>
      </c>
      <c r="D3610" s="888" t="str">
        <f>IF(LEN('Translation-EN'!D3610)&gt;0,'Translation-EN'!D3610,"")</f>
        <v/>
      </c>
      <c r="E3610" s="893" t="str">
        <f>$E$3503</f>
        <v>Territoires du Nord-Ouest</v>
      </c>
    </row>
    <row r="3611" spans="1:5" x14ac:dyDescent="0.3">
      <c r="A3611" s="888" t="str">
        <f>IF(LEN('Translation-EN'!A3611)&gt;0,'Translation-EN'!A3611,"")</f>
        <v>Range</v>
      </c>
      <c r="B3611" s="888" t="str">
        <f>IF(LEN('Translation-EN'!B3611)&gt;0,'Translation-EN'!B3611,"")</f>
        <v>NBC Emissions Factors</v>
      </c>
      <c r="C3611" s="888" t="str">
        <f>IF(LEN('Translation-EN'!C3611)&gt;0,'Translation-EN'!C3611,"")</f>
        <v>A11</v>
      </c>
      <c r="D3611" s="888" t="str">
        <f>IF(LEN('Translation-EN'!D3611)&gt;0,'Translation-EN'!D3611,"")</f>
        <v/>
      </c>
      <c r="E3611" s="893" t="str">
        <f>$E$3494</f>
        <v>Nouvelle-Écosse</v>
      </c>
    </row>
    <row r="3612" spans="1:5" x14ac:dyDescent="0.3">
      <c r="A3612" s="888" t="str">
        <f>IF(LEN('Translation-EN'!A3612)&gt;0,'Translation-EN'!A3612,"")</f>
        <v>Range</v>
      </c>
      <c r="B3612" s="888" t="str">
        <f>IF(LEN('Translation-EN'!B3612)&gt;0,'Translation-EN'!B3612,"")</f>
        <v>NBC Emissions Factors</v>
      </c>
      <c r="C3612" s="888" t="str">
        <f>IF(LEN('Translation-EN'!C3612)&gt;0,'Translation-EN'!C3612,"")</f>
        <v>A12</v>
      </c>
      <c r="D3612" s="888" t="str">
        <f>IF(LEN('Translation-EN'!D3612)&gt;0,'Translation-EN'!D3612,"")</f>
        <v/>
      </c>
      <c r="E3612" s="893" t="str">
        <f>$E$3504</f>
        <v>Nunavut</v>
      </c>
    </row>
    <row r="3613" spans="1:5" x14ac:dyDescent="0.3">
      <c r="A3613" s="888" t="str">
        <f>IF(LEN('Translation-EN'!A3613)&gt;0,'Translation-EN'!A3613,"")</f>
        <v>Range</v>
      </c>
      <c r="B3613" s="888" t="str">
        <f>IF(LEN('Translation-EN'!B3613)&gt;0,'Translation-EN'!B3613,"")</f>
        <v>NBC Emissions Factors</v>
      </c>
      <c r="C3613" s="888" t="str">
        <f>IF(LEN('Translation-EN'!C3613)&gt;0,'Translation-EN'!C3613,"")</f>
        <v>A13</v>
      </c>
      <c r="D3613" s="888" t="str">
        <f>IF(LEN('Translation-EN'!D3613)&gt;0,'Translation-EN'!D3613,"")</f>
        <v/>
      </c>
      <c r="E3613" s="1011" t="str">
        <f>$E$1956</f>
        <v>Ontario</v>
      </c>
    </row>
    <row r="3614" spans="1:5" x14ac:dyDescent="0.3">
      <c r="A3614" s="888" t="str">
        <f>IF(LEN('Translation-EN'!A3614)&gt;0,'Translation-EN'!A3614,"")</f>
        <v>Range</v>
      </c>
      <c r="B3614" s="888" t="str">
        <f>IF(LEN('Translation-EN'!B3614)&gt;0,'Translation-EN'!B3614,"")</f>
        <v>NBC Emissions Factors</v>
      </c>
      <c r="C3614" s="888" t="str">
        <f>IF(LEN('Translation-EN'!C3614)&gt;0,'Translation-EN'!C3614,"")</f>
        <v>A14</v>
      </c>
      <c r="D3614" s="888" t="str">
        <f>IF(LEN('Translation-EN'!D3614)&gt;0,'Translation-EN'!D3614,"")</f>
        <v/>
      </c>
      <c r="E3614" s="893" t="str">
        <f>$E$3493</f>
        <v>Île-du-Prince-Édouard</v>
      </c>
    </row>
    <row r="3615" spans="1:5" x14ac:dyDescent="0.3">
      <c r="A3615" s="888" t="str">
        <f>IF(LEN('Translation-EN'!A3615)&gt;0,'Translation-EN'!A3615,"")</f>
        <v>Range</v>
      </c>
      <c r="B3615" s="888" t="str">
        <f>IF(LEN('Translation-EN'!B3615)&gt;0,'Translation-EN'!B3615,"")</f>
        <v>NBC Emissions Factors</v>
      </c>
      <c r="C3615" s="888" t="str">
        <f>IF(LEN('Translation-EN'!C3615)&gt;0,'Translation-EN'!C3615,"")</f>
        <v>A15</v>
      </c>
      <c r="D3615" s="888" t="str">
        <f>IF(LEN('Translation-EN'!D3615)&gt;0,'Translation-EN'!D3615,"")</f>
        <v/>
      </c>
      <c r="E3615" s="1011" t="str">
        <f>$E$2430</f>
        <v>Québec</v>
      </c>
    </row>
    <row r="3616" spans="1:5" x14ac:dyDescent="0.3">
      <c r="A3616" s="888" t="str">
        <f>IF(LEN('Translation-EN'!A3616)&gt;0,'Translation-EN'!A3616,"")</f>
        <v>Range</v>
      </c>
      <c r="B3616" s="888" t="str">
        <f>IF(LEN('Translation-EN'!B3616)&gt;0,'Translation-EN'!B3616,"")</f>
        <v>NBC Emissions Factors</v>
      </c>
      <c r="C3616" s="888" t="str">
        <f>IF(LEN('Translation-EN'!C3616)&gt;0,'Translation-EN'!C3616,"")</f>
        <v>A16</v>
      </c>
      <c r="D3616" s="888" t="str">
        <f>IF(LEN('Translation-EN'!D3616)&gt;0,'Translation-EN'!D3616,"")</f>
        <v/>
      </c>
      <c r="E3616" s="893" t="str">
        <f>$E$3499</f>
        <v>Saskatchewan</v>
      </c>
    </row>
    <row r="3617" spans="1:5" x14ac:dyDescent="0.3">
      <c r="A3617" s="888" t="str">
        <f>IF(LEN('Translation-EN'!A3617)&gt;0,'Translation-EN'!A3617,"")</f>
        <v>Range</v>
      </c>
      <c r="B3617" s="888" t="str">
        <f>IF(LEN('Translation-EN'!B3617)&gt;0,'Translation-EN'!B3617,"")</f>
        <v>NBC Emissions Factors</v>
      </c>
      <c r="C3617" s="888" t="str">
        <f>IF(LEN('Translation-EN'!C3617)&gt;0,'Translation-EN'!C3617,"")</f>
        <v>A17</v>
      </c>
      <c r="D3617" s="888" t="str">
        <f>IF(LEN('Translation-EN'!D3617)&gt;0,'Translation-EN'!D3617,"")</f>
        <v/>
      </c>
      <c r="E3617" s="893" t="str">
        <f>$E$3502</f>
        <v>Yukon</v>
      </c>
    </row>
    <row r="3618" spans="1:5" x14ac:dyDescent="0.3">
      <c r="A3618" s="888" t="str">
        <f>IF(LEN('Translation-EN'!A3618)&gt;0,'Translation-EN'!A3618,"")</f>
        <v>Range</v>
      </c>
      <c r="B3618" s="888" t="str">
        <f>IF(LEN('Translation-EN'!B3618)&gt;0,'Translation-EN'!B3618,"")</f>
        <v>H2K Emissions Factors</v>
      </c>
      <c r="C3618" s="888" t="str">
        <f>IF(LEN('Translation-EN'!C3618)&gt;0,'Translation-EN'!C3618,"")</f>
        <v>A1</v>
      </c>
      <c r="D3618" s="888" t="str">
        <f>IF(LEN('Translation-EN'!D3618)&gt;0,'Translation-EN'!D3618,"")</f>
        <v/>
      </c>
      <c r="E3618" s="893" t="s">
        <v>4963</v>
      </c>
    </row>
    <row r="3619" spans="1:5" x14ac:dyDescent="0.3">
      <c r="A3619" s="888" t="str">
        <f>IF(LEN('Translation-EN'!A3619)&gt;0,'Translation-EN'!A3619,"")</f>
        <v>Range</v>
      </c>
      <c r="B3619" s="888" t="str">
        <f>IF(LEN('Translation-EN'!B3619)&gt;0,'Translation-EN'!B3619,"")</f>
        <v>H2K Emissions Factors</v>
      </c>
      <c r="C3619" s="888" t="str">
        <f>IF(LEN('Translation-EN'!C3619)&gt;0,'Translation-EN'!C3619,"")</f>
        <v>A2</v>
      </c>
      <c r="D3619" s="888" t="str">
        <f>IF(LEN('Translation-EN'!D3619)&gt;0,'Translation-EN'!D3619,"")</f>
        <v/>
      </c>
      <c r="E3619" s="893" t="str">
        <f>$E$3592</f>
        <v>Province/ Territoire</v>
      </c>
    </row>
    <row r="3620" spans="1:5" x14ac:dyDescent="0.3">
      <c r="A3620" s="888" t="str">
        <f>IF(LEN('Translation-EN'!A3620)&gt;0,'Translation-EN'!A3620,"")</f>
        <v>Range</v>
      </c>
      <c r="B3620" s="888" t="str">
        <f>IF(LEN('Translation-EN'!B3620)&gt;0,'Translation-EN'!B3620,"")</f>
        <v>H2K Emissions Factors</v>
      </c>
      <c r="C3620" s="888" t="str">
        <f>IF(LEN('Translation-EN'!C3620)&gt;0,'Translation-EN'!C3620,"")</f>
        <v>B2</v>
      </c>
      <c r="D3620" s="888" t="str">
        <f>IF(LEN('Translation-EN'!D3620)&gt;0,'Translation-EN'!D3620,"")</f>
        <v/>
      </c>
      <c r="E3620" s="1018" t="str">
        <f>$E$3593</f>
        <v>Facteurs d’émission GES</v>
      </c>
    </row>
    <row r="3621" spans="1:5" x14ac:dyDescent="0.3">
      <c r="A3621" s="888" t="str">
        <f>IF(LEN('Translation-EN'!A3621)&gt;0,'Translation-EN'!A3621,"")</f>
        <v>Range</v>
      </c>
      <c r="B3621" s="888" t="str">
        <f>IF(LEN('Translation-EN'!B3621)&gt;0,'Translation-EN'!B3621,"")</f>
        <v>H2K Emissions Factors</v>
      </c>
      <c r="C3621" s="888" t="str">
        <f>IF(LEN('Translation-EN'!C3621)&gt;0,'Translation-EN'!C3621,"")</f>
        <v>B3</v>
      </c>
      <c r="D3621" s="888" t="str">
        <f>IF(LEN('Translation-EN'!D3621)&gt;0,'Translation-EN'!D3621,"")</f>
        <v/>
      </c>
      <c r="E3621" s="893" t="str">
        <f>$E$3594</f>
        <v>Électricité</v>
      </c>
    </row>
    <row r="3622" spans="1:5" x14ac:dyDescent="0.3">
      <c r="A3622" s="888" t="str">
        <f>IF(LEN('Translation-EN'!A3622)&gt;0,'Translation-EN'!A3622,"")</f>
        <v>Range</v>
      </c>
      <c r="B3622" s="888" t="str">
        <f>IF(LEN('Translation-EN'!B3622)&gt;0,'Translation-EN'!B3622,"")</f>
        <v>H2K Emissions Factors</v>
      </c>
      <c r="C3622" s="888" t="str">
        <f>IF(LEN('Translation-EN'!C3622)&gt;0,'Translation-EN'!C3622,"")</f>
        <v>D3</v>
      </c>
      <c r="D3622" s="888" t="str">
        <f>IF(LEN('Translation-EN'!D3622)&gt;0,'Translation-EN'!D3622,"")</f>
        <v/>
      </c>
      <c r="E3622" s="893" t="str">
        <f>$E$3595</f>
        <v>Gaz de réseau (gaz naturel)</v>
      </c>
    </row>
    <row r="3623" spans="1:5" x14ac:dyDescent="0.3">
      <c r="A3623" s="888" t="str">
        <f>IF(LEN('Translation-EN'!A3623)&gt;0,'Translation-EN'!A3623,"")</f>
        <v>Range</v>
      </c>
      <c r="B3623" s="888" t="str">
        <f>IF(LEN('Translation-EN'!B3623)&gt;0,'Translation-EN'!B3623,"")</f>
        <v>H2K Emissions Factors</v>
      </c>
      <c r="C3623" s="888" t="str">
        <f>IF(LEN('Translation-EN'!C3623)&gt;0,'Translation-EN'!C3623,"")</f>
        <v>E3</v>
      </c>
      <c r="D3623" s="888" t="str">
        <f>IF(LEN('Translation-EN'!D3623)&gt;0,'Translation-EN'!D3623,"")</f>
        <v/>
      </c>
      <c r="E3623" s="893" t="str">
        <f>$E$3596</f>
        <v>Mazout</v>
      </c>
    </row>
    <row r="3624" spans="1:5" x14ac:dyDescent="0.3">
      <c r="A3624" s="888" t="str">
        <f>IF(LEN('Translation-EN'!A3624)&gt;0,'Translation-EN'!A3624,"")</f>
        <v>Range</v>
      </c>
      <c r="B3624" s="888" t="str">
        <f>IF(LEN('Translation-EN'!B3624)&gt;0,'Translation-EN'!B3624,"")</f>
        <v>H2K Emissions Factors</v>
      </c>
      <c r="C3624" s="888" t="str">
        <f>IF(LEN('Translation-EN'!C3624)&gt;0,'Translation-EN'!C3624,"")</f>
        <v>F3</v>
      </c>
      <c r="D3624" s="888" t="str">
        <f>IF(LEN('Translation-EN'!D3624)&gt;0,'Translation-EN'!D3624,"")</f>
        <v/>
      </c>
      <c r="E3624" s="1065" t="str">
        <f>$E$3597</f>
        <v>Propane</v>
      </c>
    </row>
    <row r="3625" spans="1:5" x14ac:dyDescent="0.3">
      <c r="A3625" s="888" t="str">
        <f>IF(LEN('Translation-EN'!A3625)&gt;0,'Translation-EN'!A3625,"")</f>
        <v>Range</v>
      </c>
      <c r="B3625" s="888" t="str">
        <f>IF(LEN('Translation-EN'!B3625)&gt;0,'Translation-EN'!B3625,"")</f>
        <v>H2K Emissions Factors</v>
      </c>
      <c r="C3625" s="888" t="str">
        <f>IF(LEN('Translation-EN'!C3625)&gt;0,'Translation-EN'!C3625,"")</f>
        <v>G3</v>
      </c>
      <c r="D3625" s="888" t="str">
        <f>IF(LEN('Translation-EN'!D3625)&gt;0,'Translation-EN'!D3625,"")</f>
        <v/>
      </c>
      <c r="E3625" s="893" t="str">
        <f>$E$3515</f>
        <v>Bois</v>
      </c>
    </row>
    <row r="3626" spans="1:5" x14ac:dyDescent="0.3">
      <c r="A3626" s="888" t="str">
        <f>IF(LEN('Translation-EN'!A3626)&gt;0,'Translation-EN'!A3626,"")</f>
        <v>Range</v>
      </c>
      <c r="B3626" s="888" t="str">
        <f>IF(LEN('Translation-EN'!B3626)&gt;0,'Translation-EN'!B3626,"")</f>
        <v>H2K Emissions Factors</v>
      </c>
      <c r="C3626" s="888" t="str">
        <f>IF(LEN('Translation-EN'!C3626)&gt;0,'Translation-EN'!C3626,"")</f>
        <v>B4</v>
      </c>
      <c r="D3626" s="888" t="b">
        <f>IF(LEN('Translation-EN'!D3626)&gt;0,'Translation-EN'!D3626,"")</f>
        <v>1</v>
      </c>
      <c r="E3626" s="893" t="str">
        <f>$E$3599</f>
        <v>(g CO2é/kWh)</v>
      </c>
    </row>
    <row r="3627" spans="1:5" x14ac:dyDescent="0.3">
      <c r="A3627" s="888" t="str">
        <f>IF(LEN('Translation-EN'!A3627)&gt;0,'Translation-EN'!A3627,"")</f>
        <v>Range</v>
      </c>
      <c r="B3627" s="888" t="str">
        <f>IF(LEN('Translation-EN'!B3627)&gt;0,'Translation-EN'!B3627,"")</f>
        <v>H2K Emissions Factors</v>
      </c>
      <c r="C3627" s="888" t="str">
        <f>IF(LEN('Translation-EN'!C3627)&gt;0,'Translation-EN'!C3627,"")</f>
        <v>D4</v>
      </c>
      <c r="D3627" s="888" t="b">
        <f>IF(LEN('Translation-EN'!D3627)&gt;0,'Translation-EN'!D3627,"")</f>
        <v>1</v>
      </c>
      <c r="E3627" s="893" t="str">
        <f>$E$3601</f>
        <v>(g CO2é/m³)</v>
      </c>
    </row>
    <row r="3628" spans="1:5" x14ac:dyDescent="0.3">
      <c r="A3628" s="888" t="str">
        <f>IF(LEN('Translation-EN'!A3628)&gt;0,'Translation-EN'!A3628,"")</f>
        <v>Range</v>
      </c>
      <c r="B3628" s="888" t="str">
        <f>IF(LEN('Translation-EN'!B3628)&gt;0,'Translation-EN'!B3628,"")</f>
        <v>H2K Emissions Factors</v>
      </c>
      <c r="C3628" s="888" t="str">
        <f>IF(LEN('Translation-EN'!C3628)&gt;0,'Translation-EN'!C3628,"")</f>
        <v>E4</v>
      </c>
      <c r="D3628" s="888" t="b">
        <f>IF(LEN('Translation-EN'!D3628)&gt;0,'Translation-EN'!D3628,"")</f>
        <v>1</v>
      </c>
      <c r="E3628" s="893" t="str">
        <f>$E$3602</f>
        <v>(g CO2é/L)</v>
      </c>
    </row>
    <row r="3629" spans="1:5" x14ac:dyDescent="0.3">
      <c r="A3629" s="888" t="str">
        <f>IF(LEN('Translation-EN'!A3629)&gt;0,'Translation-EN'!A3629,"")</f>
        <v>Range</v>
      </c>
      <c r="B3629" s="888" t="str">
        <f>IF(LEN('Translation-EN'!B3629)&gt;0,'Translation-EN'!B3629,"")</f>
        <v>H2K Emissions Factors</v>
      </c>
      <c r="C3629" s="888" t="str">
        <f>IF(LEN('Translation-EN'!C3629)&gt;0,'Translation-EN'!C3629,"")</f>
        <v>F4</v>
      </c>
      <c r="D3629" s="888" t="b">
        <f>IF(LEN('Translation-EN'!D3629)&gt;0,'Translation-EN'!D3629,"")</f>
        <v>1</v>
      </c>
      <c r="E3629" s="893" t="str">
        <f>$E$3602</f>
        <v>(g CO2é/L)</v>
      </c>
    </row>
    <row r="3630" spans="1:5" ht="15.6" x14ac:dyDescent="0.35">
      <c r="A3630" s="888" t="str">
        <f>IF(LEN('Translation-EN'!A3630)&gt;0,'Translation-EN'!A3630,"")</f>
        <v>Range</v>
      </c>
      <c r="B3630" s="888" t="str">
        <f>IF(LEN('Translation-EN'!B3630)&gt;0,'Translation-EN'!B3630,"")</f>
        <v>H2K Emissions Factors</v>
      </c>
      <c r="C3630" s="888" t="str">
        <f>IF(LEN('Translation-EN'!C3630)&gt;0,'Translation-EN'!C3630,"")</f>
        <v>G4</v>
      </c>
      <c r="D3630" s="888" t="b">
        <f>IF(LEN('Translation-EN'!D3630)&gt;0,'Translation-EN'!D3630,"")</f>
        <v>1</v>
      </c>
      <c r="E3630" s="1064" t="s">
        <v>7517</v>
      </c>
    </row>
    <row r="3631" spans="1:5" x14ac:dyDescent="0.3">
      <c r="A3631" s="888" t="str">
        <f>IF(LEN('Translation-EN'!A3631)&gt;0,'Translation-EN'!A3631,"")</f>
        <v>Range</v>
      </c>
      <c r="B3631" s="888" t="str">
        <f>IF(LEN('Translation-EN'!B3631)&gt;0,'Translation-EN'!B3631,"")</f>
        <v>H2K Emissions Factors</v>
      </c>
      <c r="C3631" s="888" t="str">
        <f>IF(LEN('Translation-EN'!C3631)&gt;0,'Translation-EN'!C3631,"")</f>
        <v>A5</v>
      </c>
      <c r="D3631" s="888" t="str">
        <f>IF(LEN('Translation-EN'!D3631)&gt;0,'Translation-EN'!D3631,"")</f>
        <v/>
      </c>
      <c r="E3631" s="1011" t="str">
        <f>$E$1953</f>
        <v>Alberta</v>
      </c>
    </row>
    <row r="3632" spans="1:5" x14ac:dyDescent="0.3">
      <c r="A3632" s="888" t="str">
        <f>IF(LEN('Translation-EN'!A3632)&gt;0,'Translation-EN'!A3632,"")</f>
        <v>Range</v>
      </c>
      <c r="B3632" s="888" t="str">
        <f>IF(LEN('Translation-EN'!B3632)&gt;0,'Translation-EN'!B3632,"")</f>
        <v>H2K Emissions Factors</v>
      </c>
      <c r="C3632" s="888" t="str">
        <f>IF(LEN('Translation-EN'!C3632)&gt;0,'Translation-EN'!C3632,"")</f>
        <v>A6</v>
      </c>
      <c r="D3632" s="888" t="str">
        <f>IF(LEN('Translation-EN'!D3632)&gt;0,'Translation-EN'!D3632,"")</f>
        <v/>
      </c>
      <c r="E3632" s="1011" t="str">
        <f>$E$2421</f>
        <v>Colombie-Britannique</v>
      </c>
    </row>
    <row r="3633" spans="1:5" x14ac:dyDescent="0.3">
      <c r="A3633" s="888" t="str">
        <f>IF(LEN('Translation-EN'!A3633)&gt;0,'Translation-EN'!A3633,"")</f>
        <v>Range</v>
      </c>
      <c r="B3633" s="888" t="str">
        <f>IF(LEN('Translation-EN'!B3633)&gt;0,'Translation-EN'!B3633,"")</f>
        <v>H2K Emissions Factors</v>
      </c>
      <c r="C3633" s="888" t="str">
        <f>IF(LEN('Translation-EN'!C3633)&gt;0,'Translation-EN'!C3633,"")</f>
        <v>A7</v>
      </c>
      <c r="D3633" s="888" t="str">
        <f>IF(LEN('Translation-EN'!D3633)&gt;0,'Translation-EN'!D3633,"")</f>
        <v/>
      </c>
      <c r="E3633" s="893" t="str">
        <f>$E$3498</f>
        <v>Manitoba</v>
      </c>
    </row>
    <row r="3634" spans="1:5" x14ac:dyDescent="0.3">
      <c r="A3634" s="888" t="str">
        <f>IF(LEN('Translation-EN'!A3634)&gt;0,'Translation-EN'!A3634,"")</f>
        <v>Range</v>
      </c>
      <c r="B3634" s="888" t="str">
        <f>IF(LEN('Translation-EN'!B3634)&gt;0,'Translation-EN'!B3634,"")</f>
        <v>H2K Emissions Factors</v>
      </c>
      <c r="C3634" s="888" t="str">
        <f>IF(LEN('Translation-EN'!C3634)&gt;0,'Translation-EN'!C3634,"")</f>
        <v>A8</v>
      </c>
      <c r="D3634" s="888" t="str">
        <f>IF(LEN('Translation-EN'!D3634)&gt;0,'Translation-EN'!D3634,"")</f>
        <v/>
      </c>
      <c r="E3634" s="1011" t="str">
        <f>$E$2433</f>
        <v>Nouveau-Brunswick</v>
      </c>
    </row>
    <row r="3635" spans="1:5" x14ac:dyDescent="0.3">
      <c r="A3635" s="888" t="str">
        <f>IF(LEN('Translation-EN'!A3635)&gt;0,'Translation-EN'!A3635,"")</f>
        <v>Range</v>
      </c>
      <c r="B3635" s="888" t="str">
        <f>IF(LEN('Translation-EN'!B3635)&gt;0,'Translation-EN'!B3635,"")</f>
        <v>H2K Emissions Factors</v>
      </c>
      <c r="C3635" s="888" t="str">
        <f>IF(LEN('Translation-EN'!C3635)&gt;0,'Translation-EN'!C3635,"")</f>
        <v>A9</v>
      </c>
      <c r="D3635" s="888" t="str">
        <f>IF(LEN('Translation-EN'!D3635)&gt;0,'Translation-EN'!D3635,"")</f>
        <v/>
      </c>
      <c r="E3635" s="1018" t="str">
        <f>$E$3492</f>
        <v>Terre-Neuve-et-Labrador</v>
      </c>
    </row>
    <row r="3636" spans="1:5" x14ac:dyDescent="0.3">
      <c r="A3636" s="888" t="str">
        <f>IF(LEN('Translation-EN'!A3636)&gt;0,'Translation-EN'!A3636,"")</f>
        <v>Range</v>
      </c>
      <c r="B3636" s="888" t="str">
        <f>IF(LEN('Translation-EN'!B3636)&gt;0,'Translation-EN'!B3636,"")</f>
        <v>H2K Emissions Factors</v>
      </c>
      <c r="C3636" s="888" t="str">
        <f>IF(LEN('Translation-EN'!C3636)&gt;0,'Translation-EN'!C3636,"")</f>
        <v>A10</v>
      </c>
      <c r="D3636" s="888" t="str">
        <f>IF(LEN('Translation-EN'!D3636)&gt;0,'Translation-EN'!D3636,"")</f>
        <v/>
      </c>
      <c r="E3636" s="893" t="str">
        <f>$E$3503</f>
        <v>Territoires du Nord-Ouest</v>
      </c>
    </row>
    <row r="3637" spans="1:5" x14ac:dyDescent="0.3">
      <c r="A3637" s="888" t="str">
        <f>IF(LEN('Translation-EN'!A3637)&gt;0,'Translation-EN'!A3637,"")</f>
        <v>Range</v>
      </c>
      <c r="B3637" s="888" t="str">
        <f>IF(LEN('Translation-EN'!B3637)&gt;0,'Translation-EN'!B3637,"")</f>
        <v>H2K Emissions Factors</v>
      </c>
      <c r="C3637" s="888" t="str">
        <f>IF(LEN('Translation-EN'!C3637)&gt;0,'Translation-EN'!C3637,"")</f>
        <v>A11</v>
      </c>
      <c r="D3637" s="888" t="str">
        <f>IF(LEN('Translation-EN'!D3637)&gt;0,'Translation-EN'!D3637,"")</f>
        <v/>
      </c>
      <c r="E3637" s="893" t="str">
        <f>$E$3494</f>
        <v>Nouvelle-Écosse</v>
      </c>
    </row>
    <row r="3638" spans="1:5" x14ac:dyDescent="0.3">
      <c r="A3638" s="888" t="str">
        <f>IF(LEN('Translation-EN'!A3638)&gt;0,'Translation-EN'!A3638,"")</f>
        <v>Range</v>
      </c>
      <c r="B3638" s="888" t="str">
        <f>IF(LEN('Translation-EN'!B3638)&gt;0,'Translation-EN'!B3638,"")</f>
        <v>H2K Emissions Factors</v>
      </c>
      <c r="C3638" s="888" t="str">
        <f>IF(LEN('Translation-EN'!C3638)&gt;0,'Translation-EN'!C3638,"")</f>
        <v>A12</v>
      </c>
      <c r="D3638" s="888" t="str">
        <f>IF(LEN('Translation-EN'!D3638)&gt;0,'Translation-EN'!D3638,"")</f>
        <v/>
      </c>
      <c r="E3638" s="893" t="str">
        <f>$E$3504</f>
        <v>Nunavut</v>
      </c>
    </row>
    <row r="3639" spans="1:5" x14ac:dyDescent="0.3">
      <c r="A3639" s="888" t="str">
        <f>IF(LEN('Translation-EN'!A3639)&gt;0,'Translation-EN'!A3639,"")</f>
        <v>Range</v>
      </c>
      <c r="B3639" s="888" t="str">
        <f>IF(LEN('Translation-EN'!B3639)&gt;0,'Translation-EN'!B3639,"")</f>
        <v>H2K Emissions Factors</v>
      </c>
      <c r="C3639" s="888" t="str">
        <f>IF(LEN('Translation-EN'!C3639)&gt;0,'Translation-EN'!C3639,"")</f>
        <v>A13</v>
      </c>
      <c r="D3639" s="888" t="str">
        <f>IF(LEN('Translation-EN'!D3639)&gt;0,'Translation-EN'!D3639,"")</f>
        <v/>
      </c>
      <c r="E3639" s="1011" t="str">
        <f>$E$1956</f>
        <v>Ontario</v>
      </c>
    </row>
    <row r="3640" spans="1:5" x14ac:dyDescent="0.3">
      <c r="A3640" s="888" t="str">
        <f>IF(LEN('Translation-EN'!A3640)&gt;0,'Translation-EN'!A3640,"")</f>
        <v>Range</v>
      </c>
      <c r="B3640" s="888" t="str">
        <f>IF(LEN('Translation-EN'!B3640)&gt;0,'Translation-EN'!B3640,"")</f>
        <v>H2K Emissions Factors</v>
      </c>
      <c r="C3640" s="888" t="str">
        <f>IF(LEN('Translation-EN'!C3640)&gt;0,'Translation-EN'!C3640,"")</f>
        <v>A14</v>
      </c>
      <c r="D3640" s="888" t="str">
        <f>IF(LEN('Translation-EN'!D3640)&gt;0,'Translation-EN'!D3640,"")</f>
        <v/>
      </c>
      <c r="E3640" s="893" t="str">
        <f>$E$3493</f>
        <v>Île-du-Prince-Édouard</v>
      </c>
    </row>
    <row r="3641" spans="1:5" x14ac:dyDescent="0.3">
      <c r="A3641" s="888" t="str">
        <f>IF(LEN('Translation-EN'!A3641)&gt;0,'Translation-EN'!A3641,"")</f>
        <v>Range</v>
      </c>
      <c r="B3641" s="888" t="str">
        <f>IF(LEN('Translation-EN'!B3641)&gt;0,'Translation-EN'!B3641,"")</f>
        <v>H2K Emissions Factors</v>
      </c>
      <c r="C3641" s="888" t="str">
        <f>IF(LEN('Translation-EN'!C3641)&gt;0,'Translation-EN'!C3641,"")</f>
        <v>A15</v>
      </c>
      <c r="D3641" s="888" t="str">
        <f>IF(LEN('Translation-EN'!D3641)&gt;0,'Translation-EN'!D3641,"")</f>
        <v/>
      </c>
      <c r="E3641" s="1011" t="str">
        <f>$E$2430</f>
        <v>Québec</v>
      </c>
    </row>
    <row r="3642" spans="1:5" x14ac:dyDescent="0.3">
      <c r="A3642" s="888" t="str">
        <f>IF(LEN('Translation-EN'!A3642)&gt;0,'Translation-EN'!A3642,"")</f>
        <v>Range</v>
      </c>
      <c r="B3642" s="888" t="str">
        <f>IF(LEN('Translation-EN'!B3642)&gt;0,'Translation-EN'!B3642,"")</f>
        <v>H2K Emissions Factors</v>
      </c>
      <c r="C3642" s="888" t="str">
        <f>IF(LEN('Translation-EN'!C3642)&gt;0,'Translation-EN'!C3642,"")</f>
        <v>A16</v>
      </c>
      <c r="D3642" s="888" t="str">
        <f>IF(LEN('Translation-EN'!D3642)&gt;0,'Translation-EN'!D3642,"")</f>
        <v/>
      </c>
      <c r="E3642" s="893" t="str">
        <f>$E$3499</f>
        <v>Saskatchewan</v>
      </c>
    </row>
    <row r="3643" spans="1:5" x14ac:dyDescent="0.3">
      <c r="A3643" s="888" t="str">
        <f>IF(LEN('Translation-EN'!A3643)&gt;0,'Translation-EN'!A3643,"")</f>
        <v>Range</v>
      </c>
      <c r="B3643" s="888" t="str">
        <f>IF(LEN('Translation-EN'!B3643)&gt;0,'Translation-EN'!B3643,"")</f>
        <v>H2K Emissions Factors</v>
      </c>
      <c r="C3643" s="888" t="str">
        <f>IF(LEN('Translation-EN'!C3643)&gt;0,'Translation-EN'!C3643,"")</f>
        <v>A17</v>
      </c>
      <c r="D3643" s="888" t="str">
        <f>IF(LEN('Translation-EN'!D3643)&gt;0,'Translation-EN'!D3643,"")</f>
        <v/>
      </c>
      <c r="E3643" s="893" t="str">
        <f>$E$3502</f>
        <v>Yukon</v>
      </c>
    </row>
    <row r="3644" spans="1:5" x14ac:dyDescent="0.3">
      <c r="A3644" s="888" t="str">
        <f>IF(LEN('Translation-EN'!A3644)&gt;0,'Translation-EN'!A3644,"")</f>
        <v/>
      </c>
      <c r="B3644" s="888" t="str">
        <f>IF(LEN('Translation-EN'!B3644)&gt;0,'Translation-EN'!B3644,"")</f>
        <v/>
      </c>
      <c r="C3644" s="888" t="str">
        <f>IF(LEN('Translation-EN'!C3644)&gt;0,'Translation-EN'!C3644,"")</f>
        <v/>
      </c>
      <c r="D3644" s="888" t="str">
        <f>IF(LEN('Translation-EN'!D3644)&gt;0,'Translation-EN'!D3644,"")</f>
        <v/>
      </c>
    </row>
    <row r="3645" spans="1:5" x14ac:dyDescent="0.3">
      <c r="A3645" s="888" t="str">
        <f>IF(LEN('Translation-EN'!A3645)&gt;0,'Translation-EN'!A3645,"")</f>
        <v/>
      </c>
      <c r="B3645" s="888" t="str">
        <f>IF(LEN('Translation-EN'!B3645)&gt;0,'Translation-EN'!B3645,"")</f>
        <v/>
      </c>
      <c r="C3645" s="888" t="str">
        <f>IF(LEN('Translation-EN'!C3645)&gt;0,'Translation-EN'!C3645,"")</f>
        <v/>
      </c>
      <c r="D3645" s="888" t="str">
        <f>IF(LEN('Translation-EN'!D3645)&gt;0,'Translation-EN'!D3645,"")</f>
        <v/>
      </c>
      <c r="E3645" s="1065"/>
    </row>
    <row r="3646" spans="1:5" x14ac:dyDescent="0.3">
      <c r="A3646" s="888" t="str">
        <f>IF(LEN('Translation-EN'!A3646)&gt;0,'Translation-EN'!A3646,"")</f>
        <v/>
      </c>
      <c r="B3646" s="888" t="str">
        <f>IF(LEN('Translation-EN'!B3646)&gt;0,'Translation-EN'!B3646,"")</f>
        <v/>
      </c>
      <c r="C3646" s="888" t="str">
        <f>IF(LEN('Translation-EN'!C3646)&gt;0,'Translation-EN'!C3646,"")</f>
        <v/>
      </c>
      <c r="D3646" s="888" t="str">
        <f>IF(LEN('Translation-EN'!D3646)&gt;0,'Translation-EN'!D3646,"")</f>
        <v/>
      </c>
    </row>
    <row r="3647" spans="1:5" x14ac:dyDescent="0.3">
      <c r="A3647" s="888" t="str">
        <f>IF(LEN('Translation-EN'!A3647)&gt;0,'Translation-EN'!A3647,"")</f>
        <v/>
      </c>
      <c r="B3647" s="888" t="str">
        <f>IF(LEN('Translation-EN'!B3647)&gt;0,'Translation-EN'!B3647,"")</f>
        <v/>
      </c>
      <c r="C3647" s="888" t="str">
        <f>IF(LEN('Translation-EN'!C3647)&gt;0,'Translation-EN'!C3647,"")</f>
        <v/>
      </c>
      <c r="D3647" s="888" t="str">
        <f>IF(LEN('Translation-EN'!D3647)&gt;0,'Translation-EN'!D3647,"")</f>
        <v/>
      </c>
    </row>
  </sheetData>
  <sheetProtection algorithmName="SHA-512" hashValue="LAXmQFcUDNFmCEIU22iRuU+XHi1HVqQOA2tJyhkj7finVi4r15Vax8wZvdq/213MCdadQh5nnm5ObFFeiD5LIA==" saltValue="9aHA9gVHnrXlqQofaWJYbA==" spinCount="100000" sheet="1" objects="1" scenarios="1"/>
  <mergeCells count="131">
    <mergeCell ref="E313:F319"/>
    <mergeCell ref="E373:E374"/>
    <mergeCell ref="E375:E376"/>
    <mergeCell ref="E377:E378"/>
    <mergeCell ref="E379:E380"/>
    <mergeCell ref="E403:E404"/>
    <mergeCell ref="E405:E406"/>
    <mergeCell ref="E263:E264"/>
    <mergeCell ref="E368:S368"/>
    <mergeCell ref="E267:E268"/>
    <mergeCell ref="E383:E384"/>
    <mergeCell ref="E265:F266"/>
    <mergeCell ref="E381:F382"/>
    <mergeCell ref="E398:S398"/>
    <mergeCell ref="E155:G155"/>
    <mergeCell ref="E166:P166"/>
    <mergeCell ref="E174:E175"/>
    <mergeCell ref="E176:E177"/>
    <mergeCell ref="E178:E179"/>
    <mergeCell ref="E180:E181"/>
    <mergeCell ref="E257:E258"/>
    <mergeCell ref="E259:E260"/>
    <mergeCell ref="E261:E262"/>
    <mergeCell ref="E184:E185"/>
    <mergeCell ref="E169:S169"/>
    <mergeCell ref="E252:S252"/>
    <mergeCell ref="E182:F183"/>
    <mergeCell ref="E1:F1"/>
    <mergeCell ref="G1:H1"/>
    <mergeCell ref="E5:M9"/>
    <mergeCell ref="E14:F14"/>
    <mergeCell ref="E15:F15"/>
    <mergeCell ref="E149:J149"/>
    <mergeCell ref="E30:L31"/>
    <mergeCell ref="E32:G32"/>
    <mergeCell ref="E36:L38"/>
    <mergeCell ref="E43:L46"/>
    <mergeCell ref="E62:E63"/>
    <mergeCell ref="E64:E65"/>
    <mergeCell ref="E72:L72"/>
    <mergeCell ref="E73:G73"/>
    <mergeCell ref="E140:J140"/>
    <mergeCell ref="E16:F16"/>
    <mergeCell ref="E123:S123"/>
    <mergeCell ref="E125:P125"/>
    <mergeCell ref="E41:F41"/>
    <mergeCell ref="E87:F87"/>
    <mergeCell ref="E71:F71"/>
    <mergeCell ref="E66:F66"/>
    <mergeCell ref="E67:F67"/>
    <mergeCell ref="E1338:L1338"/>
    <mergeCell ref="E1243:F1243"/>
    <mergeCell ref="E1249:E1250"/>
    <mergeCell ref="E1251:E1252"/>
    <mergeCell ref="E1253:E1254"/>
    <mergeCell ref="E1255:E1256"/>
    <mergeCell ref="E1283:H1283"/>
    <mergeCell ref="E1242:L1242"/>
    <mergeCell ref="E934:E935"/>
    <mergeCell ref="E936:E937"/>
    <mergeCell ref="E938:E939"/>
    <mergeCell ref="E940:E941"/>
    <mergeCell ref="E1032:E1033"/>
    <mergeCell ref="E1034:E1035"/>
    <mergeCell ref="E1036:E1037"/>
    <mergeCell ref="E1038:E1039"/>
    <mergeCell ref="E1241:H1241"/>
    <mergeCell ref="E1042:E1043"/>
    <mergeCell ref="E1027:S1027"/>
    <mergeCell ref="E1315:E1316"/>
    <mergeCell ref="E944:E945"/>
    <mergeCell ref="E1259:E1260"/>
    <mergeCell ref="E942:F943"/>
    <mergeCell ref="E1040:F1041"/>
    <mergeCell ref="E510:E511"/>
    <mergeCell ref="E512:E513"/>
    <mergeCell ref="E531:F537"/>
    <mergeCell ref="E552:E553"/>
    <mergeCell ref="E554:E555"/>
    <mergeCell ref="E556:E557"/>
    <mergeCell ref="E558:E559"/>
    <mergeCell ref="E828:E829"/>
    <mergeCell ref="E766:E767"/>
    <mergeCell ref="E768:E769"/>
    <mergeCell ref="E819:S819"/>
    <mergeCell ref="E757:S757"/>
    <mergeCell ref="E770:F771"/>
    <mergeCell ref="E697:E698"/>
    <mergeCell ref="E1257:F1258"/>
    <mergeCell ref="E746:F747"/>
    <mergeCell ref="E929:S929"/>
    <mergeCell ref="E748:E749"/>
    <mergeCell ref="E908:E909"/>
    <mergeCell ref="E914:E915"/>
    <mergeCell ref="E910:E911"/>
    <mergeCell ref="E824:E825"/>
    <mergeCell ref="E764:E765"/>
    <mergeCell ref="E762:E763"/>
    <mergeCell ref="E772:E773"/>
    <mergeCell ref="E834:E835"/>
    <mergeCell ref="E826:E827"/>
    <mergeCell ref="E830:E831"/>
    <mergeCell ref="E904:E905"/>
    <mergeCell ref="E906:E907"/>
    <mergeCell ref="E899:S899"/>
    <mergeCell ref="E832:F833"/>
    <mergeCell ref="E912:F913"/>
    <mergeCell ref="E407:E408"/>
    <mergeCell ref="E409:E410"/>
    <mergeCell ref="E413:E414"/>
    <mergeCell ref="E740:E741"/>
    <mergeCell ref="E733:S733"/>
    <mergeCell ref="E742:E743"/>
    <mergeCell ref="E744:E745"/>
    <mergeCell ref="E703:E704"/>
    <mergeCell ref="E701:F702"/>
    <mergeCell ref="E699:E700"/>
    <mergeCell ref="E738:E739"/>
    <mergeCell ref="E411:F412"/>
    <mergeCell ref="E514:F515"/>
    <mergeCell ref="E560:F561"/>
    <mergeCell ref="E516:E517"/>
    <mergeCell ref="E562:E563"/>
    <mergeCell ref="E547:S547"/>
    <mergeCell ref="E676:F681"/>
    <mergeCell ref="E688:S688"/>
    <mergeCell ref="E501:S501"/>
    <mergeCell ref="E693:E694"/>
    <mergeCell ref="E695:E696"/>
    <mergeCell ref="E506:E507"/>
    <mergeCell ref="E508:E509"/>
  </mergeCells>
  <dataValidations disablePrompts="1" count="1">
    <dataValidation type="list" allowBlank="1" showInputMessage="1" showErrorMessage="1" sqref="N4:N25" xr:uid="{700DAA7A-64FF-4BF4-AA70-3EC799972558}">
      <formula1>"Button,CheckBox,MsgBox,Range,Range-List"</formula1>
    </dataValidation>
  </dataValidations>
  <pageMargins left="0.7" right="0.7" top="0.75" bottom="0.75" header="0.3" footer="0.3"/>
  <pageSetup orientation="portrait" r:id="rId1"/>
  <headerFooter>
    <oddHeader>&amp;R&amp;"Aptos"&amp;12&amp;K000000 UNCLASSIFIED - NON CLASSIFIÉ&amp;1#_x000D_</oddHeader>
  </headerFooter>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897538-3AC1-4DC7-BB98-6195DF082DD0}">
  <sheetPr codeName="Sheet39">
    <tabColor theme="9"/>
  </sheetPr>
  <dimension ref="A1:AG130"/>
  <sheetViews>
    <sheetView showGridLines="0" showWhiteSpace="0" view="pageLayout" zoomScaleNormal="100" workbookViewId="0"/>
  </sheetViews>
  <sheetFormatPr defaultColWidth="11.54296875" defaultRowHeight="15" x14ac:dyDescent="0.25"/>
  <cols>
    <col min="1" max="1" width="3.90625" style="429" customWidth="1"/>
    <col min="2" max="2" width="13.54296875" style="429" customWidth="1"/>
    <col min="3" max="3" width="8.453125" style="429" customWidth="1"/>
    <col min="4" max="4" width="10.453125" style="429" customWidth="1"/>
    <col min="5" max="5" width="1.90625" style="429" customWidth="1"/>
    <col min="6" max="6" width="7.54296875" style="429" customWidth="1"/>
    <col min="7" max="7" width="7.81640625" style="1066" customWidth="1"/>
    <col min="8" max="8" width="1.36328125" style="1066" customWidth="1"/>
    <col min="9" max="9" width="3.81640625" style="429" customWidth="1"/>
    <col min="10" max="10" width="9.6328125" style="429" customWidth="1"/>
    <col min="11" max="11" width="8.90625" style="429" customWidth="1"/>
    <col min="12" max="12" width="8" style="429" customWidth="1"/>
    <col min="13" max="13" width="11.54296875" style="429"/>
    <col min="14" max="14" width="2.6328125" style="429" customWidth="1"/>
    <col min="15" max="15" width="29.90625" style="429" customWidth="1"/>
    <col min="16" max="16" width="11.54296875" style="429"/>
    <col min="17" max="17" width="16.1796875" style="429" customWidth="1"/>
    <col min="18" max="18" width="13.453125" style="429" customWidth="1"/>
    <col min="19" max="19" width="11.54296875" style="429" customWidth="1"/>
    <col min="20" max="20" width="43.453125" style="429" bestFit="1" customWidth="1"/>
    <col min="21" max="21" width="24.36328125" style="429" bestFit="1" customWidth="1"/>
    <col min="22" max="22" width="2" style="429" bestFit="1" customWidth="1"/>
    <col min="23" max="24" width="12.08984375" style="429" bestFit="1" customWidth="1"/>
    <col min="25" max="25" width="5.453125" style="429" bestFit="1" customWidth="1"/>
    <col min="26" max="28" width="12.08984375" style="429" bestFit="1" customWidth="1"/>
    <col min="29" max="29" width="6.453125" style="429" bestFit="1" customWidth="1"/>
    <col min="30" max="30" width="12.08984375" style="429" bestFit="1" customWidth="1"/>
    <col min="31" max="31" width="11.08984375" style="429" bestFit="1" customWidth="1"/>
    <col min="32" max="32" width="23.54296875" style="429" bestFit="1" customWidth="1"/>
    <col min="33" max="33" width="10.08984375" style="429" bestFit="1" customWidth="1"/>
    <col min="34" max="34" width="11.08984375" style="429" bestFit="1" customWidth="1"/>
    <col min="35" max="16384" width="11.54296875" style="429"/>
  </cols>
  <sheetData>
    <row r="1" spans="1:18" ht="25.2" customHeight="1" x14ac:dyDescent="0.25">
      <c r="A1" s="386">
        <v>1</v>
      </c>
    </row>
    <row r="2" spans="1:18" ht="43.2" customHeight="1" x14ac:dyDescent="0.25">
      <c r="A2" s="1703" t="s">
        <v>1794</v>
      </c>
      <c r="B2" s="1703"/>
      <c r="C2" s="1703"/>
      <c r="D2" s="1703"/>
      <c r="E2" s="1703"/>
      <c r="F2" s="1703"/>
      <c r="G2" s="1703"/>
      <c r="H2" s="1703"/>
      <c r="I2" s="1752" t="s">
        <v>1754</v>
      </c>
      <c r="J2" s="1752"/>
      <c r="K2" s="1752"/>
      <c r="L2" s="1752"/>
    </row>
    <row r="3" spans="1:18" ht="30.15" customHeight="1" x14ac:dyDescent="0.45">
      <c r="B3" s="1067" t="s">
        <v>1629</v>
      </c>
      <c r="M3" s="1719"/>
      <c r="N3" s="1719"/>
    </row>
    <row r="4" spans="1:18" ht="3.15" customHeight="1" x14ac:dyDescent="0.25">
      <c r="B4" s="1068"/>
      <c r="M4" s="510"/>
      <c r="N4" s="1069"/>
    </row>
    <row r="5" spans="1:18" ht="13.95" customHeight="1" x14ac:dyDescent="0.25">
      <c r="F5" s="1720" t="s">
        <v>1619</v>
      </c>
      <c r="G5" s="1720"/>
      <c r="H5" s="1722"/>
      <c r="I5" s="1722"/>
      <c r="J5" s="1722"/>
      <c r="K5" s="1722"/>
      <c r="L5" s="1070"/>
      <c r="M5" s="1070"/>
      <c r="N5" s="1721"/>
    </row>
    <row r="6" spans="1:18" ht="13.95" customHeight="1" x14ac:dyDescent="0.25">
      <c r="F6" s="1705" t="s">
        <v>1630</v>
      </c>
      <c r="G6" s="1705"/>
      <c r="H6" s="1710"/>
      <c r="I6" s="1710"/>
      <c r="J6" s="1710"/>
      <c r="K6" s="1710"/>
      <c r="L6" s="1070"/>
      <c r="M6" s="316"/>
      <c r="N6" s="1721"/>
    </row>
    <row r="7" spans="1:18" ht="13.95" customHeight="1" x14ac:dyDescent="0.35">
      <c r="F7" s="1705" t="s">
        <v>1550</v>
      </c>
      <c r="G7" s="1705"/>
      <c r="H7" s="1710"/>
      <c r="I7" s="1710"/>
      <c r="J7" s="1710"/>
      <c r="K7" s="1710"/>
      <c r="L7" s="1070"/>
      <c r="M7" s="521"/>
      <c r="N7" s="521"/>
    </row>
    <row r="8" spans="1:18" ht="13.95" customHeight="1" x14ac:dyDescent="0.25">
      <c r="F8" s="1705" t="s">
        <v>1753</v>
      </c>
      <c r="G8" s="1705"/>
      <c r="H8" s="1710"/>
      <c r="I8" s="1710"/>
      <c r="J8" s="1710"/>
      <c r="K8" s="1710"/>
      <c r="L8" s="1070"/>
      <c r="M8" s="1071"/>
      <c r="N8" s="1704"/>
    </row>
    <row r="9" spans="1:18" ht="13.95" customHeight="1" x14ac:dyDescent="0.25">
      <c r="F9" s="1705" t="s">
        <v>1620</v>
      </c>
      <c r="G9" s="1705"/>
      <c r="H9" s="1710"/>
      <c r="I9" s="1710"/>
      <c r="J9" s="1710"/>
      <c r="K9" s="1710"/>
      <c r="L9" s="1070"/>
      <c r="M9" s="1071"/>
      <c r="N9" s="1704"/>
      <c r="R9" s="1072"/>
    </row>
    <row r="10" spans="1:18" ht="42.6" customHeight="1" x14ac:dyDescent="0.25">
      <c r="E10" s="1073"/>
      <c r="F10" s="1711" t="s">
        <v>4936</v>
      </c>
      <c r="G10" s="1711"/>
      <c r="H10" s="1711"/>
      <c r="I10" s="1711"/>
      <c r="J10" s="1711"/>
      <c r="K10" s="1711"/>
      <c r="L10" s="1070"/>
      <c r="M10" s="1074"/>
      <c r="N10" s="1075"/>
    </row>
    <row r="11" spans="1:18" s="1073" customFormat="1" ht="9" customHeight="1" x14ac:dyDescent="0.25">
      <c r="F11" s="1076"/>
      <c r="G11" s="1076"/>
      <c r="H11" s="1076"/>
      <c r="I11" s="1077"/>
      <c r="J11" s="1076"/>
      <c r="K11" s="1076"/>
    </row>
    <row r="12" spans="1:18" s="1073" customFormat="1" ht="14.25" customHeight="1" thickBot="1" x14ac:dyDescent="0.3">
      <c r="F12" s="1718" t="s">
        <v>1617</v>
      </c>
      <c r="G12" s="1718"/>
      <c r="H12" s="1078"/>
      <c r="I12" s="1078"/>
      <c r="J12" s="1718" t="s">
        <v>1618</v>
      </c>
      <c r="K12" s="1718"/>
      <c r="L12" s="1078"/>
    </row>
    <row r="13" spans="1:18" ht="45.6" customHeight="1" thickBot="1" x14ac:dyDescent="0.3">
      <c r="F13" s="972" t="s">
        <v>4974</v>
      </c>
      <c r="G13" s="973" t="s">
        <v>7160</v>
      </c>
      <c r="H13" s="1078"/>
      <c r="I13" s="1078"/>
      <c r="J13" s="974" t="s">
        <v>4939</v>
      </c>
      <c r="K13" s="975" t="s">
        <v>4935</v>
      </c>
      <c r="L13" s="1078"/>
    </row>
    <row r="14" spans="1:18" ht="22.2" customHeight="1" x14ac:dyDescent="0.25">
      <c r="B14" s="976" t="s">
        <v>4074</v>
      </c>
      <c r="C14" s="1079">
        <f>'USER INPUT SHEET'!$O$21</f>
        <v>0</v>
      </c>
      <c r="D14" s="977" t="s">
        <v>5020</v>
      </c>
      <c r="F14" s="1712">
        <f>REVIEW!$E$1/1000</f>
        <v>0</v>
      </c>
      <c r="G14" s="1715">
        <f>REVIEW!$F$1/1000</f>
        <v>0</v>
      </c>
      <c r="H14" s="1078"/>
      <c r="I14" s="1078"/>
      <c r="J14" s="1739">
        <f>'USER INPUT SHEET'!N16</f>
        <v>0</v>
      </c>
      <c r="K14" s="1726">
        <f>'USER INPUT SHEET'!O16</f>
        <v>0</v>
      </c>
      <c r="L14" s="1078"/>
    </row>
    <row r="15" spans="1:18" ht="12" customHeight="1" x14ac:dyDescent="0.25">
      <c r="B15" s="1706" t="s">
        <v>4077</v>
      </c>
      <c r="C15" s="1708" t="str">
        <f>IFERROR('USER INPUT SHEET'!$N$21/'USER INPUT SHEET'!$D$23,"")</f>
        <v/>
      </c>
      <c r="D15" s="1677" t="s">
        <v>4968</v>
      </c>
      <c r="F15" s="1713"/>
      <c r="G15" s="1716"/>
      <c r="H15" s="1078"/>
      <c r="I15" s="1078"/>
      <c r="J15" s="1740"/>
      <c r="K15" s="1726"/>
      <c r="L15" s="1078"/>
    </row>
    <row r="16" spans="1:18" ht="12.6" customHeight="1" thickBot="1" x14ac:dyDescent="0.3">
      <c r="B16" s="1707"/>
      <c r="C16" s="1709"/>
      <c r="D16" s="1678"/>
      <c r="E16" s="1080"/>
      <c r="F16" s="1714"/>
      <c r="G16" s="1717"/>
      <c r="H16" s="1078"/>
      <c r="I16" s="1078"/>
      <c r="J16" s="1741"/>
      <c r="K16" s="1727"/>
      <c r="L16" s="1078"/>
    </row>
    <row r="17" spans="1:12" ht="9" customHeight="1" x14ac:dyDescent="0.25">
      <c r="B17" s="1081"/>
      <c r="C17" s="1082"/>
      <c r="D17" s="1080"/>
      <c r="E17" s="1080"/>
      <c r="F17" s="1083"/>
      <c r="G17" s="1083"/>
      <c r="H17" s="1078"/>
      <c r="I17" s="1083"/>
      <c r="J17" s="1737" t="s">
        <v>6782</v>
      </c>
      <c r="K17" s="1760" t="str">
        <f>IF(LEN('USER INPUT SHEET'!P17)&gt;0,'USER INPUT SHEET'!P17,"")</f>
        <v>No</v>
      </c>
      <c r="L17" s="1078"/>
    </row>
    <row r="18" spans="1:12" ht="19.2" customHeight="1" thickBot="1" x14ac:dyDescent="0.5">
      <c r="B18" s="1067" t="s">
        <v>1638</v>
      </c>
      <c r="C18" s="1082"/>
      <c r="D18" s="1080"/>
      <c r="E18" s="1080"/>
      <c r="F18" s="1083"/>
      <c r="G18" s="1083"/>
      <c r="H18" s="1083"/>
      <c r="I18" s="1083"/>
      <c r="J18" s="1738"/>
      <c r="K18" s="1761"/>
      <c r="L18" s="1078"/>
    </row>
    <row r="19" spans="1:12" ht="59.4" customHeight="1" x14ac:dyDescent="0.25">
      <c r="B19" s="1736" t="s">
        <v>3486</v>
      </c>
      <c r="C19" s="1736"/>
      <c r="D19" s="1736"/>
      <c r="E19" s="1736"/>
      <c r="F19" s="1736"/>
      <c r="G19" s="1736"/>
      <c r="H19" s="1736"/>
      <c r="I19" s="1736"/>
      <c r="J19" s="1736"/>
      <c r="K19" s="1736"/>
      <c r="L19" s="396"/>
    </row>
    <row r="20" spans="1:12" ht="8.4" customHeight="1" x14ac:dyDescent="0.25"/>
    <row r="21" spans="1:12" ht="22.2" customHeight="1" x14ac:dyDescent="0.4">
      <c r="A21" s="1084"/>
      <c r="B21" s="1085" t="s">
        <v>4072</v>
      </c>
      <c r="C21" s="1086"/>
      <c r="D21" s="1086"/>
      <c r="E21" s="1087"/>
      <c r="F21" s="1087"/>
      <c r="G21" s="1087"/>
      <c r="H21" s="1087"/>
      <c r="I21" s="1087"/>
      <c r="J21" s="1087"/>
      <c r="K21" s="1087"/>
      <c r="L21" s="1084"/>
    </row>
    <row r="22" spans="1:12" ht="6.6" customHeight="1" thickBot="1" x14ac:dyDescent="0.3"/>
    <row r="23" spans="1:12" x14ac:dyDescent="0.25">
      <c r="B23" s="1728" t="s">
        <v>4085</v>
      </c>
      <c r="C23" s="1729"/>
      <c r="D23" s="1729"/>
      <c r="E23" s="1729"/>
      <c r="F23" s="1729"/>
      <c r="G23" s="1729"/>
      <c r="H23" s="1729"/>
      <c r="I23" s="1729"/>
      <c r="J23" s="1729"/>
      <c r="K23" s="1730"/>
    </row>
    <row r="24" spans="1:12" x14ac:dyDescent="0.25">
      <c r="B24" s="1731"/>
      <c r="C24" s="1732"/>
      <c r="D24" s="1732"/>
      <c r="E24" s="1732"/>
      <c r="F24" s="1732"/>
      <c r="G24" s="1732"/>
      <c r="H24" s="1732"/>
      <c r="I24" s="1732"/>
      <c r="J24" s="1732"/>
      <c r="K24" s="1733"/>
    </row>
    <row r="25" spans="1:12" x14ac:dyDescent="0.25">
      <c r="B25" s="1731"/>
      <c r="C25" s="1732"/>
      <c r="D25" s="1732"/>
      <c r="E25" s="1732"/>
      <c r="F25" s="1732"/>
      <c r="G25" s="1732"/>
      <c r="H25" s="1732"/>
      <c r="I25" s="1732"/>
      <c r="J25" s="1732"/>
      <c r="K25" s="1733"/>
    </row>
    <row r="26" spans="1:12" x14ac:dyDescent="0.25">
      <c r="B26" s="1731"/>
      <c r="C26" s="1732"/>
      <c r="D26" s="1732"/>
      <c r="E26" s="1732"/>
      <c r="F26" s="1732"/>
      <c r="G26" s="1732"/>
      <c r="H26" s="1732"/>
      <c r="I26" s="1732"/>
      <c r="J26" s="1732"/>
      <c r="K26" s="1733"/>
    </row>
    <row r="27" spans="1:12" ht="15" customHeight="1" x14ac:dyDescent="0.25">
      <c r="B27" s="1734" t="s">
        <v>4086</v>
      </c>
      <c r="C27" s="1735"/>
      <c r="D27" s="1735"/>
      <c r="E27" s="1088"/>
      <c r="F27" s="1724"/>
      <c r="G27" s="1724"/>
      <c r="H27" s="1724"/>
      <c r="I27" s="1724"/>
      <c r="J27" s="1724"/>
      <c r="K27" s="1725"/>
    </row>
    <row r="28" spans="1:12" ht="15" customHeight="1" x14ac:dyDescent="0.25">
      <c r="B28" s="1723" t="s">
        <v>4087</v>
      </c>
      <c r="C28" s="1415"/>
      <c r="D28" s="1415"/>
      <c r="E28" s="1089"/>
      <c r="F28" s="1724"/>
      <c r="G28" s="1724"/>
      <c r="H28" s="1724"/>
      <c r="I28" s="1724"/>
      <c r="J28" s="1724"/>
      <c r="K28" s="1725"/>
    </row>
    <row r="29" spans="1:12" ht="15" customHeight="1" x14ac:dyDescent="0.25">
      <c r="B29" s="1723" t="s">
        <v>4088</v>
      </c>
      <c r="C29" s="1415"/>
      <c r="D29" s="1415"/>
      <c r="E29" s="1089"/>
      <c r="F29" s="1724"/>
      <c r="G29" s="1724"/>
      <c r="H29" s="1724"/>
      <c r="I29" s="1724"/>
      <c r="J29" s="1724"/>
      <c r="K29" s="1725"/>
    </row>
    <row r="30" spans="1:12" ht="15" customHeight="1" x14ac:dyDescent="0.25">
      <c r="B30" s="1723" t="s">
        <v>4089</v>
      </c>
      <c r="C30" s="1415"/>
      <c r="D30" s="1415"/>
      <c r="E30" s="1089"/>
      <c r="F30" s="1724"/>
      <c r="G30" s="1724"/>
      <c r="H30" s="1724"/>
      <c r="I30" s="1724"/>
      <c r="J30" s="1724"/>
      <c r="K30" s="1725"/>
    </row>
    <row r="31" spans="1:12" ht="15" customHeight="1" x14ac:dyDescent="0.25">
      <c r="B31" s="1723" t="s">
        <v>4090</v>
      </c>
      <c r="C31" s="1415"/>
      <c r="D31" s="1415"/>
      <c r="E31" s="1089"/>
      <c r="F31" s="1724"/>
      <c r="G31" s="1724"/>
      <c r="H31" s="1724"/>
      <c r="I31" s="1724"/>
      <c r="J31" s="1724"/>
      <c r="K31" s="1725"/>
    </row>
    <row r="32" spans="1:12" ht="15" customHeight="1" x14ac:dyDescent="0.25">
      <c r="B32" s="1723" t="s">
        <v>4091</v>
      </c>
      <c r="C32" s="1415"/>
      <c r="D32" s="1415"/>
      <c r="E32" s="1089"/>
      <c r="F32" s="1724"/>
      <c r="G32" s="1724"/>
      <c r="H32" s="1724"/>
      <c r="I32" s="1724"/>
      <c r="J32" s="1724"/>
      <c r="K32" s="1725"/>
    </row>
    <row r="33" spans="1:12" ht="15" customHeight="1" x14ac:dyDescent="0.25">
      <c r="B33" s="1723" t="s">
        <v>4092</v>
      </c>
      <c r="C33" s="1415"/>
      <c r="D33" s="1415"/>
      <c r="E33" s="1089"/>
      <c r="F33" s="1724"/>
      <c r="G33" s="1724"/>
      <c r="H33" s="1724"/>
      <c r="I33" s="1724"/>
      <c r="J33" s="1724"/>
      <c r="K33" s="1725"/>
    </row>
    <row r="34" spans="1:12" ht="15" customHeight="1" x14ac:dyDescent="0.25">
      <c r="B34" s="1764" t="s">
        <v>4093</v>
      </c>
      <c r="C34" s="1765"/>
      <c r="D34" s="1765"/>
      <c r="E34" s="1090"/>
      <c r="F34" s="1724"/>
      <c r="G34" s="1724"/>
      <c r="H34" s="1724"/>
      <c r="I34" s="1724"/>
      <c r="J34" s="1724"/>
      <c r="K34" s="1725"/>
    </row>
    <row r="35" spans="1:12" ht="15" customHeight="1" x14ac:dyDescent="0.25">
      <c r="B35" s="1091" t="s">
        <v>4094</v>
      </c>
      <c r="C35" s="1089"/>
      <c r="K35" s="1092"/>
    </row>
    <row r="36" spans="1:12" s="457" customFormat="1" ht="27.45" customHeight="1" x14ac:dyDescent="0.25">
      <c r="B36" s="1766" t="s">
        <v>5114</v>
      </c>
      <c r="C36" s="1767"/>
      <c r="D36" s="1767"/>
      <c r="E36" s="1767"/>
      <c r="F36" s="1767"/>
      <c r="G36" s="1767"/>
      <c r="H36" s="1767"/>
      <c r="I36" s="1767"/>
      <c r="J36" s="1767"/>
      <c r="K36" s="1768"/>
    </row>
    <row r="37" spans="1:12" ht="15" customHeight="1" x14ac:dyDescent="0.25">
      <c r="B37" s="1091" t="s">
        <v>4096</v>
      </c>
      <c r="C37" s="1089"/>
      <c r="K37" s="1092"/>
    </row>
    <row r="38" spans="1:12" ht="15" customHeight="1" x14ac:dyDescent="0.25">
      <c r="B38" s="1091" t="s">
        <v>4097</v>
      </c>
      <c r="C38" s="1089"/>
      <c r="K38" s="1092"/>
    </row>
    <row r="39" spans="1:12" ht="15" customHeight="1" x14ac:dyDescent="0.25">
      <c r="B39" s="1091" t="s">
        <v>4943</v>
      </c>
      <c r="C39" s="1089"/>
      <c r="K39" s="1092"/>
    </row>
    <row r="40" spans="1:12" ht="15" customHeight="1" x14ac:dyDescent="0.25">
      <c r="B40" s="1766" t="s">
        <v>4099</v>
      </c>
      <c r="C40" s="1767"/>
      <c r="D40" s="1767"/>
      <c r="E40" s="1767"/>
      <c r="F40" s="1767"/>
      <c r="G40" s="1767"/>
      <c r="H40" s="1767"/>
      <c r="I40" s="1767"/>
      <c r="J40" s="1767"/>
      <c r="K40" s="1768"/>
    </row>
    <row r="41" spans="1:12" ht="15" customHeight="1" thickBot="1" x14ac:dyDescent="0.3">
      <c r="B41" s="1769"/>
      <c r="C41" s="1770"/>
      <c r="D41" s="1770"/>
      <c r="E41" s="1770"/>
      <c r="F41" s="1770"/>
      <c r="G41" s="1770"/>
      <c r="H41" s="1770"/>
      <c r="I41" s="1770"/>
      <c r="J41" s="1770"/>
      <c r="K41" s="1771"/>
    </row>
    <row r="42" spans="1:12" ht="15" customHeight="1" x14ac:dyDescent="0.25">
      <c r="B42" s="1093"/>
      <c r="C42" s="1093"/>
      <c r="D42" s="1093"/>
      <c r="E42" s="1093"/>
      <c r="F42" s="1093"/>
      <c r="G42" s="1093"/>
      <c r="H42" s="1093"/>
      <c r="I42" s="1093"/>
      <c r="J42" s="1093"/>
      <c r="K42" s="1093"/>
    </row>
    <row r="43" spans="1:12" ht="15" customHeight="1" x14ac:dyDescent="0.25">
      <c r="B43" s="1093"/>
      <c r="C43" s="1093"/>
      <c r="D43" s="1093"/>
      <c r="E43" s="1093"/>
      <c r="F43" s="1093"/>
      <c r="G43" s="1093"/>
      <c r="H43" s="1093"/>
      <c r="I43" s="1093"/>
      <c r="J43" s="1093"/>
      <c r="K43" s="1093"/>
    </row>
    <row r="44" spans="1:12" ht="15" customHeight="1" x14ac:dyDescent="0.25">
      <c r="B44" s="1093"/>
      <c r="C44" s="1093"/>
      <c r="D44" s="1093"/>
      <c r="E44" s="1093"/>
      <c r="F44" s="1093"/>
      <c r="G44" s="1093"/>
      <c r="H44" s="1093"/>
      <c r="I44" s="1093"/>
      <c r="J44" s="1093"/>
      <c r="K44" s="1093"/>
    </row>
    <row r="45" spans="1:12" ht="28.5" customHeight="1" x14ac:dyDescent="0.4">
      <c r="A45" s="1094"/>
      <c r="B45" s="1094"/>
      <c r="C45" s="1094"/>
      <c r="D45" s="1094"/>
      <c r="E45" s="1094"/>
      <c r="F45" s="1094"/>
      <c r="G45" s="1094"/>
      <c r="H45" s="1094"/>
      <c r="I45" s="1094"/>
      <c r="J45" s="1094"/>
      <c r="K45" s="1094"/>
      <c r="L45" s="1094"/>
    </row>
    <row r="46" spans="1:12" ht="15" customHeight="1" x14ac:dyDescent="0.25">
      <c r="B46" s="1093"/>
      <c r="C46" s="1093"/>
      <c r="D46" s="1093"/>
      <c r="E46" s="1093"/>
      <c r="F46" s="1093"/>
      <c r="G46" s="1093"/>
      <c r="H46" s="1093"/>
      <c r="I46" s="1093"/>
      <c r="J46" s="1093"/>
      <c r="K46" s="1093"/>
    </row>
    <row r="47" spans="1:12" ht="15" customHeight="1" x14ac:dyDescent="0.25">
      <c r="B47" s="1093"/>
      <c r="C47" s="1093"/>
      <c r="D47" s="1093"/>
      <c r="E47" s="1093"/>
      <c r="F47" s="1093"/>
      <c r="G47" s="1093"/>
      <c r="H47" s="1093"/>
      <c r="I47" s="1093"/>
      <c r="J47" s="1093"/>
      <c r="K47" s="1093"/>
    </row>
    <row r="48" spans="1:12" ht="15" customHeight="1" x14ac:dyDescent="0.25">
      <c r="B48" s="1093"/>
      <c r="C48" s="1093"/>
      <c r="D48" s="1093"/>
      <c r="E48" s="1093"/>
      <c r="F48" s="1093"/>
      <c r="G48" s="1093"/>
      <c r="H48" s="1093"/>
      <c r="I48" s="1093"/>
      <c r="J48" s="1093"/>
      <c r="K48" s="1093"/>
    </row>
    <row r="49" spans="2:11" ht="15" customHeight="1" x14ac:dyDescent="0.25">
      <c r="B49" s="1093"/>
      <c r="C49" s="1093"/>
      <c r="D49" s="1093"/>
      <c r="E49" s="1093"/>
      <c r="F49" s="1093"/>
      <c r="G49" s="1093"/>
      <c r="H49" s="1093"/>
      <c r="I49" s="1093"/>
      <c r="J49" s="1093"/>
      <c r="K49" s="1093"/>
    </row>
    <row r="50" spans="2:11" ht="15" customHeight="1" x14ac:dyDescent="0.25">
      <c r="B50" s="1093"/>
      <c r="C50" s="1093"/>
      <c r="D50" s="1093"/>
      <c r="E50" s="1093"/>
      <c r="F50" s="1093"/>
      <c r="G50" s="1093"/>
      <c r="H50" s="1093"/>
      <c r="I50" s="1093"/>
      <c r="J50" s="1093"/>
      <c r="K50" s="1093"/>
    </row>
    <row r="51" spans="2:11" ht="15" customHeight="1" x14ac:dyDescent="0.25">
      <c r="B51" s="1093"/>
      <c r="C51" s="1093"/>
      <c r="D51" s="1093"/>
      <c r="E51" s="1093"/>
      <c r="F51" s="1093"/>
      <c r="G51" s="1093"/>
      <c r="H51" s="1093"/>
      <c r="I51" s="1093"/>
      <c r="J51" s="1093"/>
      <c r="K51" s="1093"/>
    </row>
    <row r="52" spans="2:11" ht="15" customHeight="1" x14ac:dyDescent="0.25">
      <c r="B52" s="1093"/>
      <c r="C52" s="1093"/>
      <c r="D52" s="1093"/>
      <c r="E52" s="1093"/>
      <c r="F52" s="1093"/>
      <c r="G52" s="1093"/>
      <c r="H52" s="1093"/>
      <c r="I52" s="1093"/>
      <c r="J52" s="1093"/>
      <c r="K52" s="1093"/>
    </row>
    <row r="53" spans="2:11" ht="15" customHeight="1" x14ac:dyDescent="0.25">
      <c r="B53" s="1093"/>
      <c r="C53" s="1093"/>
      <c r="D53" s="1093"/>
      <c r="E53" s="1093"/>
      <c r="F53" s="1093"/>
      <c r="G53" s="1093"/>
      <c r="H53" s="1093"/>
      <c r="I53" s="1093"/>
      <c r="J53" s="1093"/>
      <c r="K53" s="1093"/>
    </row>
    <row r="54" spans="2:11" ht="15" customHeight="1" x14ac:dyDescent="0.25">
      <c r="B54" s="1093"/>
      <c r="C54" s="1093"/>
      <c r="D54" s="1093"/>
      <c r="E54" s="1093"/>
      <c r="F54" s="1093"/>
      <c r="G54" s="1093"/>
      <c r="H54" s="1093"/>
      <c r="I54" s="1093"/>
      <c r="J54" s="1093"/>
      <c r="K54" s="1093"/>
    </row>
    <row r="55" spans="2:11" ht="15" customHeight="1" x14ac:dyDescent="0.25">
      <c r="B55" s="1093"/>
      <c r="C55" s="1093"/>
      <c r="D55" s="1093"/>
      <c r="E55" s="1093"/>
      <c r="F55" s="1093"/>
      <c r="G55" s="1093"/>
      <c r="H55" s="1093"/>
      <c r="I55" s="1093"/>
      <c r="J55" s="1093"/>
      <c r="K55" s="1093"/>
    </row>
    <row r="56" spans="2:11" ht="15" customHeight="1" x14ac:dyDescent="0.25">
      <c r="B56" s="1093"/>
      <c r="C56" s="1093"/>
      <c r="D56" s="1093"/>
      <c r="E56" s="1093"/>
      <c r="F56" s="1093"/>
      <c r="G56" s="1093"/>
      <c r="H56" s="1093"/>
      <c r="I56" s="1093"/>
      <c r="J56" s="1093"/>
      <c r="K56" s="1093"/>
    </row>
    <row r="57" spans="2:11" ht="15" customHeight="1" x14ac:dyDescent="0.25">
      <c r="B57" s="1093"/>
      <c r="C57" s="1093"/>
      <c r="D57" s="1093"/>
      <c r="E57" s="1093"/>
      <c r="F57" s="1093"/>
      <c r="G57" s="1093"/>
      <c r="H57" s="1093"/>
      <c r="I57" s="1093"/>
      <c r="J57" s="1093"/>
      <c r="K57" s="1093"/>
    </row>
    <row r="58" spans="2:11" ht="15" customHeight="1" x14ac:dyDescent="0.25">
      <c r="B58" s="1093"/>
      <c r="C58" s="1093"/>
      <c r="D58" s="1093"/>
      <c r="E58" s="1093"/>
      <c r="F58" s="1093"/>
      <c r="G58" s="1093"/>
      <c r="H58" s="1093"/>
      <c r="I58" s="1093"/>
      <c r="J58" s="1093"/>
      <c r="K58" s="1093"/>
    </row>
    <row r="59" spans="2:11" ht="27.75" customHeight="1" x14ac:dyDescent="0.25"/>
    <row r="60" spans="2:11" ht="15" customHeight="1" x14ac:dyDescent="0.25">
      <c r="B60" s="1093"/>
      <c r="C60" s="1093"/>
      <c r="D60" s="1093"/>
      <c r="E60" s="1093"/>
      <c r="F60" s="1093"/>
      <c r="G60" s="1093"/>
      <c r="H60" s="1093"/>
      <c r="I60" s="1093"/>
      <c r="J60" s="1093"/>
      <c r="K60" s="1093"/>
    </row>
    <row r="61" spans="2:11" ht="15" customHeight="1" x14ac:dyDescent="0.25"/>
    <row r="62" spans="2:11" ht="15" customHeight="1" x14ac:dyDescent="0.25">
      <c r="B62" s="499"/>
      <c r="C62" s="1095"/>
      <c r="D62" s="499"/>
    </row>
    <row r="63" spans="2:11" ht="15" customHeight="1" x14ac:dyDescent="0.25"/>
    <row r="64" spans="2:11" ht="15" customHeight="1" x14ac:dyDescent="0.25"/>
    <row r="65" spans="2:11" ht="15" customHeight="1" x14ac:dyDescent="0.25"/>
    <row r="66" spans="2:11" ht="15" customHeight="1" x14ac:dyDescent="0.25"/>
    <row r="67" spans="2:11" ht="15" customHeight="1" x14ac:dyDescent="0.25"/>
    <row r="68" spans="2:11" ht="15" customHeight="1" x14ac:dyDescent="0.25">
      <c r="B68" s="386"/>
    </row>
    <row r="69" spans="2:11" ht="15" customHeight="1" x14ac:dyDescent="0.25"/>
    <row r="70" spans="2:11" ht="15" customHeight="1" x14ac:dyDescent="0.25"/>
    <row r="71" spans="2:11" ht="15" customHeight="1" x14ac:dyDescent="0.25"/>
    <row r="72" spans="2:11" ht="15" customHeight="1" x14ac:dyDescent="0.25"/>
    <row r="73" spans="2:11" ht="15" customHeight="1" x14ac:dyDescent="0.25"/>
    <row r="74" spans="2:11" ht="15" customHeight="1" x14ac:dyDescent="0.25"/>
    <row r="75" spans="2:11" ht="42" customHeight="1" x14ac:dyDescent="0.3">
      <c r="B75" s="1753" t="s">
        <v>4787</v>
      </c>
      <c r="C75" s="1753"/>
      <c r="D75" s="1753"/>
      <c r="E75" s="1753"/>
      <c r="F75" s="1753"/>
      <c r="G75" s="1753"/>
      <c r="H75" s="1753"/>
      <c r="I75" s="1753"/>
      <c r="J75" s="1753"/>
      <c r="K75" s="1753"/>
    </row>
    <row r="76" spans="2:11" ht="15" customHeight="1" x14ac:dyDescent="0.25">
      <c r="B76" s="1754" t="s">
        <v>4788</v>
      </c>
      <c r="C76" s="1754"/>
      <c r="D76" s="1754"/>
      <c r="E76" s="1754"/>
      <c r="F76" s="1754"/>
      <c r="G76" s="1754"/>
      <c r="H76" s="1754"/>
      <c r="I76" s="1754"/>
      <c r="J76" s="1754"/>
      <c r="K76" s="1754"/>
    </row>
    <row r="77" spans="2:11" ht="15" customHeight="1" x14ac:dyDescent="0.25">
      <c r="B77" s="1754" t="s">
        <v>4789</v>
      </c>
      <c r="C77" s="1754"/>
      <c r="D77" s="1754"/>
      <c r="E77" s="1754"/>
      <c r="F77" s="1754"/>
      <c r="G77" s="1754"/>
      <c r="H77" s="1754"/>
      <c r="I77" s="1754"/>
      <c r="J77" s="1754"/>
      <c r="K77" s="1754"/>
    </row>
    <row r="78" spans="2:11" ht="33" customHeight="1" x14ac:dyDescent="0.25">
      <c r="B78" s="1755" t="s">
        <v>4790</v>
      </c>
      <c r="C78" s="1755"/>
      <c r="D78" s="1755"/>
      <c r="E78" s="1755"/>
      <c r="F78" s="1755"/>
      <c r="G78" s="1755"/>
      <c r="H78" s="1755"/>
      <c r="I78" s="1755"/>
      <c r="J78" s="1755"/>
      <c r="K78" s="1755"/>
    </row>
    <row r="79" spans="2:11" ht="15" customHeight="1" x14ac:dyDescent="0.25">
      <c r="B79" s="1096" t="s">
        <v>4791</v>
      </c>
    </row>
    <row r="80" spans="2:11" ht="36.75" customHeight="1" x14ac:dyDescent="0.25">
      <c r="B80" s="1756" t="s">
        <v>4792</v>
      </c>
      <c r="C80" s="1756"/>
      <c r="D80" s="1756"/>
      <c r="E80" s="1756"/>
      <c r="F80" s="1756"/>
      <c r="G80" s="1756"/>
      <c r="H80" s="1756"/>
      <c r="I80" s="1756"/>
      <c r="J80" s="1756"/>
      <c r="K80" s="1756"/>
    </row>
    <row r="81" spans="1:33" ht="48" customHeight="1" x14ac:dyDescent="0.25">
      <c r="B81" s="1755" t="s">
        <v>4793</v>
      </c>
      <c r="C81" s="1755"/>
      <c r="D81" s="1755"/>
      <c r="E81" s="1755"/>
      <c r="F81" s="1755"/>
      <c r="G81" s="1755"/>
      <c r="H81" s="1755"/>
      <c r="I81" s="1755"/>
      <c r="J81" s="1755"/>
      <c r="K81" s="1755"/>
    </row>
    <row r="82" spans="1:33" ht="51" customHeight="1" x14ac:dyDescent="0.25">
      <c r="B82" s="1755" t="s">
        <v>4794</v>
      </c>
      <c r="C82" s="1755"/>
      <c r="D82" s="1755"/>
      <c r="E82" s="1755"/>
      <c r="F82" s="1755"/>
      <c r="G82" s="1755"/>
      <c r="H82" s="1755"/>
      <c r="I82" s="1755"/>
      <c r="J82" s="1755"/>
      <c r="K82" s="1755"/>
    </row>
    <row r="83" spans="1:33" ht="15" customHeight="1" x14ac:dyDescent="0.25"/>
    <row r="84" spans="1:33" ht="15" customHeight="1" x14ac:dyDescent="0.25"/>
    <row r="85" spans="1:33" ht="15" customHeight="1" x14ac:dyDescent="0.25"/>
    <row r="86" spans="1:33" ht="28.2" customHeight="1" x14ac:dyDescent="0.25">
      <c r="G86" s="429"/>
      <c r="H86" s="429"/>
      <c r="I86" s="1066"/>
    </row>
    <row r="87" spans="1:33" ht="29.25" customHeight="1" x14ac:dyDescent="0.4">
      <c r="A87" s="1094"/>
      <c r="B87" s="1094" t="s">
        <v>1551</v>
      </c>
      <c r="C87" s="1094"/>
      <c r="D87" s="1094"/>
      <c r="E87" s="1094"/>
      <c r="F87" s="1094"/>
      <c r="G87" s="1094"/>
      <c r="H87" s="1094"/>
      <c r="I87" s="1094"/>
      <c r="J87" s="1094"/>
      <c r="K87" s="1094"/>
      <c r="L87" s="1094"/>
    </row>
    <row r="88" spans="1:33" ht="36.75" customHeight="1" x14ac:dyDescent="0.45">
      <c r="B88" s="1067" t="s">
        <v>1755</v>
      </c>
    </row>
    <row r="89" spans="1:33" ht="8.4" customHeight="1" x14ac:dyDescent="0.25">
      <c r="T89" s="499"/>
      <c r="U89" s="499"/>
    </row>
    <row r="91" spans="1:33" x14ac:dyDescent="0.25">
      <c r="S91" s="499"/>
      <c r="T91" s="499"/>
      <c r="U91" s="499"/>
      <c r="V91" s="499"/>
      <c r="W91" s="499"/>
      <c r="X91" s="499"/>
      <c r="Y91" s="499"/>
      <c r="Z91" s="499"/>
      <c r="AA91" s="499"/>
      <c r="AB91" s="499"/>
      <c r="AC91" s="499"/>
      <c r="AD91" s="499"/>
      <c r="AE91" s="499"/>
      <c r="AF91" s="499"/>
      <c r="AG91" s="499"/>
    </row>
    <row r="92" spans="1:33" x14ac:dyDescent="0.25">
      <c r="S92" s="499"/>
      <c r="T92" s="499"/>
      <c r="U92" s="499"/>
      <c r="V92" s="499"/>
      <c r="W92" s="499"/>
      <c r="X92" s="499"/>
      <c r="Y92" s="499"/>
      <c r="Z92" s="499"/>
      <c r="AA92" s="499"/>
      <c r="AB92" s="499"/>
      <c r="AC92" s="499"/>
      <c r="AD92" s="499"/>
      <c r="AE92" s="499"/>
      <c r="AF92" s="499"/>
      <c r="AG92" s="499"/>
    </row>
    <row r="93" spans="1:33" x14ac:dyDescent="0.25">
      <c r="S93" s="499"/>
      <c r="T93" s="499"/>
      <c r="U93" s="499"/>
      <c r="V93" s="499"/>
      <c r="W93" s="499"/>
      <c r="X93" s="499"/>
      <c r="Y93" s="499"/>
      <c r="Z93" s="499"/>
      <c r="AA93" s="499"/>
      <c r="AB93" s="499"/>
      <c r="AC93" s="499"/>
      <c r="AD93" s="499"/>
      <c r="AE93" s="499"/>
      <c r="AF93" s="499"/>
      <c r="AG93" s="499"/>
    </row>
    <row r="94" spans="1:33" x14ac:dyDescent="0.25">
      <c r="S94" s="499"/>
      <c r="T94" s="499"/>
      <c r="U94" s="499"/>
      <c r="V94" s="499"/>
      <c r="W94" s="499"/>
      <c r="X94" s="499"/>
      <c r="Y94" s="499"/>
      <c r="Z94" s="499"/>
      <c r="AA94" s="499"/>
      <c r="AB94" s="499"/>
      <c r="AC94" s="499"/>
      <c r="AD94" s="499"/>
    </row>
    <row r="95" spans="1:33" x14ac:dyDescent="0.25">
      <c r="S95" s="499"/>
      <c r="T95" s="499"/>
      <c r="U95" s="499"/>
      <c r="V95" s="499"/>
      <c r="W95" s="499"/>
      <c r="X95" s="499"/>
      <c r="Y95" s="499"/>
      <c r="Z95" s="499"/>
      <c r="AA95" s="499"/>
      <c r="AB95" s="499"/>
      <c r="AC95" s="499"/>
      <c r="AD95" s="499"/>
    </row>
    <row r="96" spans="1:33" x14ac:dyDescent="0.25">
      <c r="S96" s="499"/>
      <c r="T96" s="499"/>
      <c r="U96" s="499"/>
      <c r="V96" s="499"/>
      <c r="W96" s="499"/>
      <c r="X96" s="499"/>
      <c r="Y96" s="499"/>
      <c r="Z96" s="499"/>
      <c r="AA96" s="499"/>
      <c r="AB96" s="499"/>
      <c r="AC96" s="499"/>
      <c r="AD96" s="499"/>
    </row>
    <row r="97" spans="2:31" x14ac:dyDescent="0.25">
      <c r="S97" s="499"/>
      <c r="T97" s="499"/>
      <c r="U97" s="499"/>
      <c r="V97" s="499"/>
      <c r="W97" s="499"/>
      <c r="X97" s="499"/>
      <c r="Y97" s="499"/>
      <c r="Z97" s="499"/>
      <c r="AA97" s="499"/>
      <c r="AB97" s="499"/>
      <c r="AC97" s="499"/>
      <c r="AD97" s="499"/>
    </row>
    <row r="98" spans="2:31" x14ac:dyDescent="0.25">
      <c r="S98" s="499"/>
      <c r="T98" s="499"/>
      <c r="U98" s="499"/>
      <c r="V98" s="499"/>
      <c r="W98" s="499"/>
      <c r="X98" s="499"/>
      <c r="Y98" s="499"/>
      <c r="Z98" s="499"/>
      <c r="AA98" s="499"/>
      <c r="AB98" s="499"/>
      <c r="AC98" s="499"/>
      <c r="AD98" s="499"/>
    </row>
    <row r="99" spans="2:31" x14ac:dyDescent="0.25">
      <c r="S99" s="499"/>
      <c r="T99" s="499"/>
      <c r="U99" s="499"/>
      <c r="V99" s="499"/>
      <c r="W99" s="499"/>
      <c r="X99" s="499"/>
      <c r="Y99" s="499"/>
      <c r="Z99" s="499"/>
      <c r="AA99" s="499"/>
      <c r="AB99" s="499"/>
      <c r="AC99" s="499"/>
      <c r="AD99" s="499"/>
    </row>
    <row r="100" spans="2:31" x14ac:dyDescent="0.25">
      <c r="S100" s="499"/>
      <c r="T100" s="499"/>
      <c r="U100" s="499"/>
      <c r="V100" s="499"/>
      <c r="W100" s="499"/>
      <c r="X100" s="499"/>
      <c r="Y100" s="499"/>
      <c r="Z100" s="499"/>
      <c r="AA100" s="499"/>
      <c r="AB100" s="499"/>
      <c r="AC100" s="499"/>
      <c r="AD100" s="499"/>
    </row>
    <row r="101" spans="2:31" x14ac:dyDescent="0.25">
      <c r="S101" s="499"/>
      <c r="T101" s="499"/>
      <c r="U101" s="499"/>
      <c r="V101" s="499"/>
      <c r="W101" s="499"/>
      <c r="X101" s="499"/>
      <c r="Y101" s="499"/>
      <c r="Z101" s="499"/>
      <c r="AA101" s="499"/>
      <c r="AB101" s="499"/>
      <c r="AC101" s="499"/>
      <c r="AD101" s="499"/>
    </row>
    <row r="102" spans="2:31" x14ac:dyDescent="0.25">
      <c r="S102" s="499"/>
      <c r="T102" s="499"/>
      <c r="U102" s="499"/>
      <c r="V102" s="499"/>
      <c r="W102" s="499"/>
      <c r="X102" s="499"/>
      <c r="Y102" s="499"/>
      <c r="Z102" s="499"/>
      <c r="AA102" s="499"/>
      <c r="AB102" s="499"/>
      <c r="AC102" s="499"/>
      <c r="AD102" s="499"/>
    </row>
    <row r="103" spans="2:31" x14ac:dyDescent="0.25">
      <c r="S103" s="499"/>
      <c r="T103" s="499"/>
      <c r="U103" s="499"/>
      <c r="V103" s="499"/>
      <c r="W103" s="499"/>
      <c r="X103" s="499"/>
      <c r="Y103" s="499"/>
      <c r="Z103" s="499"/>
      <c r="AA103" s="499"/>
      <c r="AB103" s="499"/>
      <c r="AC103" s="499"/>
      <c r="AD103" s="499"/>
    </row>
    <row r="104" spans="2:31" x14ac:dyDescent="0.25">
      <c r="S104" s="499"/>
      <c r="T104" s="499"/>
      <c r="U104" s="499"/>
      <c r="V104" s="499"/>
      <c r="W104" s="499"/>
      <c r="X104" s="499"/>
      <c r="Y104" s="499"/>
      <c r="Z104" s="499"/>
      <c r="AA104" s="499"/>
      <c r="AB104" s="499"/>
      <c r="AC104" s="499"/>
      <c r="AD104" s="499"/>
    </row>
    <row r="105" spans="2:31" ht="19.649999999999999" customHeight="1" x14ac:dyDescent="0.25">
      <c r="T105" s="499"/>
      <c r="U105" s="499"/>
      <c r="V105" s="499"/>
      <c r="W105" s="499"/>
      <c r="X105" s="499"/>
      <c r="Y105" s="499"/>
      <c r="Z105" s="499"/>
      <c r="AA105" s="499"/>
      <c r="AB105" s="499"/>
      <c r="AC105" s="499"/>
      <c r="AD105" s="499"/>
      <c r="AE105" s="499"/>
    </row>
    <row r="106" spans="2:31" ht="36.75" customHeight="1" x14ac:dyDescent="0.45">
      <c r="B106" s="1067" t="s">
        <v>4940</v>
      </c>
      <c r="T106" s="499"/>
      <c r="U106" s="499"/>
      <c r="V106" s="499"/>
      <c r="W106" s="499"/>
      <c r="X106" s="499"/>
      <c r="Y106" s="499"/>
      <c r="Z106" s="499"/>
      <c r="AA106" s="499"/>
      <c r="AB106" s="499"/>
      <c r="AC106" s="499"/>
      <c r="AD106" s="499"/>
      <c r="AE106" s="499"/>
    </row>
    <row r="107" spans="2:31" ht="8.4" customHeight="1" x14ac:dyDescent="0.25">
      <c r="T107" s="499"/>
      <c r="U107" s="499"/>
      <c r="V107" s="499"/>
    </row>
    <row r="108" spans="2:31" ht="15.6" x14ac:dyDescent="0.3">
      <c r="B108" s="1097" t="s">
        <v>1631</v>
      </c>
      <c r="C108" s="983" t="s">
        <v>1637</v>
      </c>
      <c r="D108" s="983"/>
      <c r="E108" s="1745" t="s">
        <v>1107</v>
      </c>
      <c r="F108" s="1745"/>
      <c r="G108" s="1745" t="s">
        <v>103</v>
      </c>
      <c r="H108" s="1745"/>
      <c r="I108" s="1745"/>
      <c r="J108" s="1745"/>
      <c r="K108" s="1746"/>
      <c r="T108" s="499"/>
      <c r="U108" s="499"/>
      <c r="V108" s="499"/>
    </row>
    <row r="109" spans="2:31" x14ac:dyDescent="0.25">
      <c r="B109" s="1098">
        <v>1</v>
      </c>
      <c r="C109" s="1747" t="str">
        <f>Data!$M3</f>
        <v xml:space="preserve"> </v>
      </c>
      <c r="D109" s="1747"/>
      <c r="E109" s="1762" t="str">
        <f>Data!N3</f>
        <v/>
      </c>
      <c r="F109" s="1763"/>
      <c r="G109" s="1750" t="str">
        <f>Data!P3</f>
        <v/>
      </c>
      <c r="H109" s="1750"/>
      <c r="I109" s="1750"/>
      <c r="J109" s="1750"/>
      <c r="K109" s="1099"/>
    </row>
    <row r="110" spans="2:31" x14ac:dyDescent="0.25">
      <c r="B110" s="1100">
        <v>2</v>
      </c>
      <c r="C110" s="1748" t="str">
        <f>Data!$M4</f>
        <v xml:space="preserve"> </v>
      </c>
      <c r="D110" s="1751"/>
      <c r="E110" s="1758" t="str">
        <f>Data!N4</f>
        <v/>
      </c>
      <c r="F110" s="1751"/>
      <c r="G110" s="1743" t="str">
        <f>Data!P4</f>
        <v/>
      </c>
      <c r="H110" s="1743"/>
      <c r="I110" s="1743"/>
      <c r="J110" s="1743"/>
      <c r="K110" s="1099"/>
    </row>
    <row r="111" spans="2:31" x14ac:dyDescent="0.25">
      <c r="B111" s="1098">
        <v>3</v>
      </c>
      <c r="C111" s="1748" t="str">
        <f>Data!$M5</f>
        <v xml:space="preserve"> </v>
      </c>
      <c r="D111" s="1751"/>
      <c r="E111" s="1758" t="str">
        <f>Data!N5</f>
        <v/>
      </c>
      <c r="F111" s="1751"/>
      <c r="G111" s="1743" t="str">
        <f>Data!P5</f>
        <v/>
      </c>
      <c r="H111" s="1743"/>
      <c r="I111" s="1743"/>
      <c r="J111" s="1743"/>
      <c r="K111" s="1099"/>
    </row>
    <row r="112" spans="2:31" x14ac:dyDescent="0.25">
      <c r="B112" s="1100">
        <v>4</v>
      </c>
      <c r="C112" s="1748" t="str">
        <f>Data!$M6</f>
        <v xml:space="preserve"> </v>
      </c>
      <c r="D112" s="1751"/>
      <c r="E112" s="1758" t="str">
        <f>Data!N6</f>
        <v/>
      </c>
      <c r="F112" s="1751"/>
      <c r="G112" s="1743" t="str">
        <f>Data!P6</f>
        <v/>
      </c>
      <c r="H112" s="1743"/>
      <c r="I112" s="1743"/>
      <c r="J112" s="1743"/>
      <c r="K112" s="1099"/>
    </row>
    <row r="113" spans="2:12" x14ac:dyDescent="0.25">
      <c r="B113" s="1098">
        <v>5</v>
      </c>
      <c r="C113" s="1748" t="str">
        <f>Data!$M7</f>
        <v xml:space="preserve"> </v>
      </c>
      <c r="D113" s="1751"/>
      <c r="E113" s="1758" t="str">
        <f>Data!N7</f>
        <v/>
      </c>
      <c r="F113" s="1751"/>
      <c r="G113" s="1743" t="str">
        <f>Data!P7</f>
        <v/>
      </c>
      <c r="H113" s="1743"/>
      <c r="I113" s="1743"/>
      <c r="J113" s="1743"/>
      <c r="K113" s="1099"/>
    </row>
    <row r="114" spans="2:12" x14ac:dyDescent="0.25">
      <c r="B114" s="1100">
        <v>6</v>
      </c>
      <c r="C114" s="1748" t="str">
        <f>Data!$M8</f>
        <v xml:space="preserve"> </v>
      </c>
      <c r="D114" s="1751"/>
      <c r="E114" s="1758" t="str">
        <f>Data!N8</f>
        <v/>
      </c>
      <c r="F114" s="1751"/>
      <c r="G114" s="1743" t="str">
        <f>Data!P8</f>
        <v/>
      </c>
      <c r="H114" s="1743"/>
      <c r="I114" s="1743"/>
      <c r="J114" s="1743"/>
      <c r="K114" s="1099"/>
    </row>
    <row r="115" spans="2:12" x14ac:dyDescent="0.25">
      <c r="B115" s="1102">
        <v>7</v>
      </c>
      <c r="C115" s="1749" t="str">
        <f>Data!$M9</f>
        <v xml:space="preserve"> </v>
      </c>
      <c r="D115" s="1757"/>
      <c r="E115" s="1759" t="str">
        <f>Data!N9</f>
        <v/>
      </c>
      <c r="F115" s="1757"/>
      <c r="G115" s="1744" t="str">
        <f>Data!P9</f>
        <v/>
      </c>
      <c r="H115" s="1744"/>
      <c r="I115" s="1744"/>
      <c r="J115" s="1744"/>
      <c r="K115" s="1104"/>
    </row>
    <row r="116" spans="2:12" x14ac:dyDescent="0.25">
      <c r="B116" s="1105"/>
      <c r="C116" s="1106"/>
      <c r="D116" s="1106"/>
      <c r="E116" s="1101"/>
      <c r="F116" s="1107"/>
      <c r="G116" s="1101"/>
      <c r="H116" s="1101"/>
      <c r="I116" s="1101"/>
      <c r="J116" s="1101"/>
      <c r="K116" s="1107"/>
    </row>
    <row r="117" spans="2:12" ht="17.399999999999999" x14ac:dyDescent="0.45">
      <c r="B117" s="1067" t="s">
        <v>4084</v>
      </c>
      <c r="C117" s="1106"/>
      <c r="D117" s="1106"/>
      <c r="E117" s="1101"/>
      <c r="F117" s="1107"/>
      <c r="G117" s="1101"/>
      <c r="H117" s="1101"/>
      <c r="I117" s="1101"/>
      <c r="J117" s="1101"/>
      <c r="K117" s="1107"/>
    </row>
    <row r="118" spans="2:12" ht="15.6" x14ac:dyDescent="0.3">
      <c r="B118" s="1097" t="s">
        <v>1631</v>
      </c>
      <c r="C118" s="983" t="s">
        <v>1637</v>
      </c>
      <c r="D118" s="983"/>
      <c r="E118" s="1745" t="s">
        <v>1107</v>
      </c>
      <c r="F118" s="1745"/>
      <c r="G118" s="1745" t="s">
        <v>103</v>
      </c>
      <c r="H118" s="1745"/>
      <c r="I118" s="1745"/>
      <c r="J118" s="1745"/>
      <c r="K118" s="1746"/>
    </row>
    <row r="119" spans="2:12" x14ac:dyDescent="0.25">
      <c r="B119" s="1098">
        <v>1</v>
      </c>
      <c r="C119" s="1747" t="str">
        <f>Data!$M11</f>
        <v xml:space="preserve"> </v>
      </c>
      <c r="D119" s="1747"/>
      <c r="E119" s="1101" t="str">
        <f>Data!N11</f>
        <v/>
      </c>
      <c r="F119" s="1107"/>
      <c r="G119" s="1750" t="str">
        <f>Data!P11</f>
        <v/>
      </c>
      <c r="H119" s="1750"/>
      <c r="I119" s="1750"/>
      <c r="J119" s="1750"/>
      <c r="K119" s="1099"/>
    </row>
    <row r="120" spans="2:12" x14ac:dyDescent="0.25">
      <c r="B120" s="1100">
        <v>2</v>
      </c>
      <c r="C120" s="1748" t="str">
        <f>Data!$M12</f>
        <v xml:space="preserve"> </v>
      </c>
      <c r="D120" s="1748"/>
      <c r="E120" s="1101" t="str">
        <f>Data!N12</f>
        <v/>
      </c>
      <c r="F120" s="1107"/>
      <c r="G120" s="1743" t="str">
        <f>Data!P12</f>
        <v/>
      </c>
      <c r="H120" s="1743"/>
      <c r="I120" s="1743"/>
      <c r="J120" s="1743"/>
      <c r="K120" s="1099"/>
    </row>
    <row r="121" spans="2:12" x14ac:dyDescent="0.25">
      <c r="B121" s="1102">
        <v>3</v>
      </c>
      <c r="C121" s="1749" t="str">
        <f>Data!$M13</f>
        <v xml:space="preserve"> </v>
      </c>
      <c r="D121" s="1749"/>
      <c r="E121" s="1103" t="str">
        <f>Data!N13</f>
        <v/>
      </c>
      <c r="F121" s="1108"/>
      <c r="G121" s="1744" t="str">
        <f>Data!P13</f>
        <v/>
      </c>
      <c r="H121" s="1744"/>
      <c r="I121" s="1744"/>
      <c r="J121" s="1744"/>
      <c r="K121" s="1104"/>
    </row>
    <row r="122" spans="2:12" x14ac:dyDescent="0.25">
      <c r="B122" s="1109"/>
      <c r="L122" s="1109"/>
    </row>
    <row r="129" spans="3:11" x14ac:dyDescent="0.25">
      <c r="C129" s="1742" t="s">
        <v>4901</v>
      </c>
      <c r="D129" s="1742"/>
      <c r="E129" s="1742"/>
      <c r="F129" s="1742"/>
      <c r="G129" s="1742"/>
      <c r="H129" s="1742"/>
      <c r="I129" s="1742"/>
      <c r="J129" s="1742"/>
      <c r="K129" s="1742"/>
    </row>
    <row r="130" spans="3:11" x14ac:dyDescent="0.25">
      <c r="C130" s="1742" t="s">
        <v>4900</v>
      </c>
      <c r="D130" s="1742"/>
      <c r="E130" s="1742"/>
      <c r="F130" s="1742"/>
      <c r="G130" s="1742"/>
      <c r="H130" s="1742"/>
      <c r="I130" s="1742"/>
      <c r="J130" s="1742"/>
      <c r="K130" s="1742"/>
    </row>
  </sheetData>
  <sheetProtection algorithmName="SHA-512" hashValue="1l0SI92ZPIheMZyOWCXDIQ2N5MVbioJ90+/e25iaulm+P7IeHb9RkfQN+6we0PlyPeo+3Hm8/tEfp2mEZL3ddg==" saltValue="wEZ5xEdr2vuWnvZC+WvqdA==" spinCount="100000" sheet="1" scenarios="1"/>
  <dataConsolidate/>
  <mergeCells count="87">
    <mergeCell ref="B33:D33"/>
    <mergeCell ref="F33:K33"/>
    <mergeCell ref="K17:K18"/>
    <mergeCell ref="C111:D111"/>
    <mergeCell ref="G110:J110"/>
    <mergeCell ref="C109:D109"/>
    <mergeCell ref="C110:D110"/>
    <mergeCell ref="E109:F109"/>
    <mergeCell ref="E110:F110"/>
    <mergeCell ref="B34:D34"/>
    <mergeCell ref="F34:K34"/>
    <mergeCell ref="B40:K41"/>
    <mergeCell ref="B36:K36"/>
    <mergeCell ref="E108:F108"/>
    <mergeCell ref="G108:K108"/>
    <mergeCell ref="B82:K82"/>
    <mergeCell ref="C115:D115"/>
    <mergeCell ref="E111:F111"/>
    <mergeCell ref="E112:F112"/>
    <mergeCell ref="E113:F113"/>
    <mergeCell ref="E114:F114"/>
    <mergeCell ref="E115:F115"/>
    <mergeCell ref="I2:L2"/>
    <mergeCell ref="C114:D114"/>
    <mergeCell ref="G111:J111"/>
    <mergeCell ref="B75:K75"/>
    <mergeCell ref="B76:K76"/>
    <mergeCell ref="B77:K77"/>
    <mergeCell ref="B78:K78"/>
    <mergeCell ref="B80:K80"/>
    <mergeCell ref="B81:K81"/>
    <mergeCell ref="B30:D30"/>
    <mergeCell ref="F30:K30"/>
    <mergeCell ref="B31:D31"/>
    <mergeCell ref="F31:K31"/>
    <mergeCell ref="B32:D32"/>
    <mergeCell ref="F32:K32"/>
    <mergeCell ref="G109:J109"/>
    <mergeCell ref="C129:K129"/>
    <mergeCell ref="C130:K130"/>
    <mergeCell ref="G112:J112"/>
    <mergeCell ref="G113:J113"/>
    <mergeCell ref="G114:J114"/>
    <mergeCell ref="G115:J115"/>
    <mergeCell ref="E118:F118"/>
    <mergeCell ref="G118:K118"/>
    <mergeCell ref="C119:D119"/>
    <mergeCell ref="C120:D120"/>
    <mergeCell ref="C121:D121"/>
    <mergeCell ref="G119:J119"/>
    <mergeCell ref="G120:J120"/>
    <mergeCell ref="G121:J121"/>
    <mergeCell ref="C112:D112"/>
    <mergeCell ref="C113:D113"/>
    <mergeCell ref="B29:D29"/>
    <mergeCell ref="F29:K29"/>
    <mergeCell ref="K14:K16"/>
    <mergeCell ref="B23:K26"/>
    <mergeCell ref="B27:D27"/>
    <mergeCell ref="F27:K27"/>
    <mergeCell ref="B28:D28"/>
    <mergeCell ref="B19:K19"/>
    <mergeCell ref="F28:K28"/>
    <mergeCell ref="J17:J18"/>
    <mergeCell ref="J14:J16"/>
    <mergeCell ref="N5:N6"/>
    <mergeCell ref="F6:G6"/>
    <mergeCell ref="F7:G7"/>
    <mergeCell ref="H5:K5"/>
    <mergeCell ref="H6:K6"/>
    <mergeCell ref="H7:K7"/>
    <mergeCell ref="A2:H2"/>
    <mergeCell ref="N8:N9"/>
    <mergeCell ref="F9:G9"/>
    <mergeCell ref="B15:B16"/>
    <mergeCell ref="C15:C16"/>
    <mergeCell ref="D15:D16"/>
    <mergeCell ref="F8:G8"/>
    <mergeCell ref="H8:K8"/>
    <mergeCell ref="H9:K9"/>
    <mergeCell ref="F10:K10"/>
    <mergeCell ref="F14:F16"/>
    <mergeCell ref="G14:G16"/>
    <mergeCell ref="F12:G12"/>
    <mergeCell ref="J12:K12"/>
    <mergeCell ref="M3:N3"/>
    <mergeCell ref="F5:G5"/>
  </mergeCells>
  <conditionalFormatting sqref="C116:D117 C109:C115 C119:C121">
    <cfRule type="dataBar" priority="1">
      <dataBar>
        <cfvo type="min"/>
        <cfvo type="max"/>
        <color rgb="FFF1975A"/>
      </dataBar>
      <extLst>
        <ext xmlns:x14="http://schemas.microsoft.com/office/spreadsheetml/2009/9/main" uri="{B025F937-C7B1-47D3-B67F-A62EFF666E3E}">
          <x14:id>{EE289616-69B1-4499-8FF5-F4C4C044EF39}</x14:id>
        </ext>
      </extLst>
    </cfRule>
  </conditionalFormatting>
  <printOptions horizontalCentered="1" verticalCentered="1"/>
  <pageMargins left="3.937007874015748E-2" right="3.937007874015748E-2" top="3.937007874015748E-2" bottom="3.937007874015748E-2" header="0.31496062992125984" footer="0.31496062992125984"/>
  <pageSetup fitToWidth="0" fitToHeight="0" orientation="portrait" r:id="rId1"/>
  <headerFooter scaleWithDoc="0" alignWithMargins="0">
    <oddHeader>&amp;R&amp;"Aptos"&amp;12&amp;K000000 UNCLASSIFIED - NON CLASSIFIÉ&amp;1#_x000D_</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360449" r:id="rId4" name="optionH2K">
              <controlPr locked="0" defaultSize="0" autoFill="0" autoLine="0" autoPict="0" macro="[0]!OptionH2K_Clicked">
                <anchor moveWithCells="1">
                  <from>
                    <xdr:col>1</xdr:col>
                    <xdr:colOff>129540</xdr:colOff>
                    <xdr:row>62</xdr:row>
                    <xdr:rowOff>175260</xdr:rowOff>
                  </from>
                  <to>
                    <xdr:col>2</xdr:col>
                    <xdr:colOff>281940</xdr:colOff>
                    <xdr:row>64</xdr:row>
                    <xdr:rowOff>99060</xdr:rowOff>
                  </to>
                </anchor>
              </controlPr>
            </control>
          </mc:Choice>
        </mc:AlternateContent>
        <mc:AlternateContent xmlns:mc="http://schemas.openxmlformats.org/markup-compatibility/2006">
          <mc:Choice Requires="x14">
            <control shapeId="360450" r:id="rId5" name="optionNBC">
              <controlPr locked="0" defaultSize="0" autoFill="0" autoLine="0" autoPict="0" macro="[0]!OptionNBC_Clicked">
                <anchor moveWithCells="1">
                  <from>
                    <xdr:col>3</xdr:col>
                    <xdr:colOff>289560</xdr:colOff>
                    <xdr:row>62</xdr:row>
                    <xdr:rowOff>175260</xdr:rowOff>
                  </from>
                  <to>
                    <xdr:col>5</xdr:col>
                    <xdr:colOff>556260</xdr:colOff>
                    <xdr:row>64</xdr:row>
                    <xdr:rowOff>99060</xdr:rowOff>
                  </to>
                </anchor>
              </controlPr>
            </control>
          </mc:Choice>
        </mc:AlternateContent>
        <mc:AlternateContent xmlns:mc="http://schemas.openxmlformats.org/markup-compatibility/2006">
          <mc:Choice Requires="x14">
            <control shapeId="360451" r:id="rId6" name="optionUserOverride">
              <controlPr locked="0" defaultSize="0" autoFill="0" autoLine="0" autoPict="0" macro="[0]!OptionUserOverride_Clicked">
                <anchor moveWithCells="1">
                  <from>
                    <xdr:col>6</xdr:col>
                    <xdr:colOff>647700</xdr:colOff>
                    <xdr:row>62</xdr:row>
                    <xdr:rowOff>182880</xdr:rowOff>
                  </from>
                  <to>
                    <xdr:col>10</xdr:col>
                    <xdr:colOff>22860</xdr:colOff>
                    <xdr:row>64</xdr:row>
                    <xdr:rowOff>106680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EE289616-69B1-4499-8FF5-F4C4C044EF39}">
            <x14:dataBar minLength="0" maxLength="100" gradient="0" direction="leftToRight">
              <x14:cfvo type="autoMin"/>
              <x14:cfvo type="autoMax"/>
              <x14:negativeFillColor rgb="FF92D050"/>
              <x14:axisColor rgb="FF000000"/>
            </x14:dataBar>
          </x14:cfRule>
          <xm:sqref>C116:D117 C109:C115 C119:C121</xm:sqref>
        </x14:conditionalFormatting>
      </x14:conditionalFormattings>
    </ext>
  </extLs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3">
    <tabColor theme="9"/>
  </sheetPr>
  <dimension ref="A1:AG105"/>
  <sheetViews>
    <sheetView showGridLines="0" view="pageLayout" zoomScale="80" zoomScaleNormal="100" zoomScaleSheetLayoutView="50" zoomScalePageLayoutView="80" workbookViewId="0">
      <selection activeCell="C105" sqref="C105:K105"/>
    </sheetView>
  </sheetViews>
  <sheetFormatPr defaultColWidth="11.54296875" defaultRowHeight="15" x14ac:dyDescent="0.25"/>
  <cols>
    <col min="1" max="1" width="3.90625" style="619" customWidth="1"/>
    <col min="2" max="2" width="12.6328125" style="619" customWidth="1"/>
    <col min="3" max="3" width="9.6328125" style="619" customWidth="1"/>
    <col min="4" max="4" width="10.453125" style="619" customWidth="1"/>
    <col min="5" max="5" width="1.90625" style="619" customWidth="1"/>
    <col min="6" max="6" width="7.54296875" style="619" customWidth="1"/>
    <col min="7" max="7" width="7.81640625" style="710" customWidth="1"/>
    <col min="8" max="8" width="6.81640625" style="710" customWidth="1"/>
    <col min="9" max="9" width="6.81640625" style="619" customWidth="1"/>
    <col min="10" max="10" width="1.453125" style="619" customWidth="1"/>
    <col min="11" max="11" width="8.90625" style="619" customWidth="1"/>
    <col min="12" max="12" width="8" style="619" customWidth="1"/>
    <col min="13" max="13" width="11.54296875" style="619"/>
    <col min="14" max="14" width="2.6328125" style="619" customWidth="1"/>
    <col min="15" max="15" width="29.90625" style="619" customWidth="1"/>
    <col min="16" max="16" width="11.54296875" style="619"/>
    <col min="17" max="17" width="16.1796875" style="619" customWidth="1"/>
    <col min="18" max="18" width="13.453125" style="619" customWidth="1"/>
    <col min="19" max="19" width="11.54296875" style="619" customWidth="1"/>
    <col min="20" max="20" width="43.453125" style="619" bestFit="1" customWidth="1"/>
    <col min="21" max="21" width="24.36328125" style="619" bestFit="1" customWidth="1"/>
    <col min="22" max="22" width="2" style="619" bestFit="1" customWidth="1"/>
    <col min="23" max="24" width="12.08984375" style="619" bestFit="1" customWidth="1"/>
    <col min="25" max="25" width="5.453125" style="619" bestFit="1" customWidth="1"/>
    <col min="26" max="28" width="12.08984375" style="619" bestFit="1" customWidth="1"/>
    <col min="29" max="29" width="6.453125" style="619" bestFit="1" customWidth="1"/>
    <col min="30" max="30" width="12.08984375" style="619" bestFit="1" customWidth="1"/>
    <col min="31" max="31" width="11.08984375" style="619" bestFit="1" customWidth="1"/>
    <col min="32" max="32" width="23.54296875" style="619" bestFit="1" customWidth="1"/>
    <col min="33" max="33" width="10.08984375" style="619" bestFit="1" customWidth="1"/>
    <col min="34" max="34" width="11.08984375" style="619" bestFit="1" customWidth="1"/>
    <col min="35" max="16384" width="11.54296875" style="619"/>
  </cols>
  <sheetData>
    <row r="1" spans="1:18" ht="25.2" customHeight="1" x14ac:dyDescent="0.25"/>
    <row r="2" spans="1:18" ht="36" customHeight="1" x14ac:dyDescent="0.25">
      <c r="A2" s="1110" t="s">
        <v>1794</v>
      </c>
      <c r="B2" s="1110"/>
      <c r="C2" s="1110"/>
      <c r="D2" s="1110"/>
      <c r="E2" s="1110"/>
      <c r="F2" s="1110"/>
      <c r="G2" s="1110"/>
      <c r="H2" s="1110"/>
      <c r="I2" s="1110"/>
      <c r="J2" s="1752" t="s">
        <v>1754</v>
      </c>
      <c r="K2" s="1752"/>
      <c r="L2" s="1752"/>
    </row>
    <row r="3" spans="1:18" ht="30.15" customHeight="1" x14ac:dyDescent="0.45">
      <c r="B3" s="1111" t="s">
        <v>1629</v>
      </c>
      <c r="M3" s="1719"/>
      <c r="N3" s="1719"/>
    </row>
    <row r="4" spans="1:18" ht="3.15" customHeight="1" x14ac:dyDescent="0.25">
      <c r="B4" s="1112"/>
      <c r="M4" s="510"/>
      <c r="N4" s="1069"/>
    </row>
    <row r="5" spans="1:18" ht="13.95" customHeight="1" x14ac:dyDescent="0.25">
      <c r="B5" s="624"/>
      <c r="C5" s="624"/>
      <c r="D5" s="624"/>
      <c r="E5" s="624"/>
      <c r="F5" s="1802" t="s">
        <v>1619</v>
      </c>
      <c r="G5" s="1802"/>
      <c r="H5" s="1113"/>
      <c r="I5" s="1803"/>
      <c r="J5" s="1803"/>
      <c r="K5" s="1803"/>
      <c r="L5" s="1803"/>
      <c r="M5" s="1114"/>
      <c r="N5" s="1721"/>
    </row>
    <row r="6" spans="1:18" ht="13.95" customHeight="1" x14ac:dyDescent="0.25">
      <c r="B6" s="624"/>
      <c r="C6" s="624"/>
      <c r="D6" s="624"/>
      <c r="E6" s="624"/>
      <c r="F6" s="1793" t="s">
        <v>1630</v>
      </c>
      <c r="G6" s="1793"/>
      <c r="H6" s="1115"/>
      <c r="I6" s="1803"/>
      <c r="J6" s="1803"/>
      <c r="K6" s="1803"/>
      <c r="L6" s="1803"/>
      <c r="M6" s="316"/>
      <c r="N6" s="1721"/>
    </row>
    <row r="7" spans="1:18" ht="13.95" customHeight="1" x14ac:dyDescent="0.35">
      <c r="B7" s="624"/>
      <c r="C7" s="624"/>
      <c r="D7" s="624"/>
      <c r="E7" s="624"/>
      <c r="F7" s="1793" t="s">
        <v>1550</v>
      </c>
      <c r="G7" s="1793"/>
      <c r="H7" s="1115"/>
      <c r="I7" s="1803"/>
      <c r="J7" s="1803"/>
      <c r="K7" s="1803"/>
      <c r="L7" s="1803"/>
      <c r="M7" s="521"/>
      <c r="N7" s="521"/>
    </row>
    <row r="8" spans="1:18" ht="13.95" customHeight="1" x14ac:dyDescent="0.25">
      <c r="B8" s="624"/>
      <c r="C8" s="624"/>
      <c r="D8" s="624"/>
      <c r="E8" s="624"/>
      <c r="F8" s="1793" t="s">
        <v>1753</v>
      </c>
      <c r="G8" s="1793"/>
      <c r="H8" s="1115"/>
      <c r="I8" s="1803"/>
      <c r="J8" s="1803"/>
      <c r="K8" s="1803"/>
      <c r="L8" s="1803"/>
      <c r="M8" s="1071"/>
      <c r="N8" s="1704"/>
    </row>
    <row r="9" spans="1:18" ht="13.95" customHeight="1" x14ac:dyDescent="0.25">
      <c r="B9" s="624"/>
      <c r="C9" s="624"/>
      <c r="D9" s="624"/>
      <c r="E9" s="624"/>
      <c r="F9" s="1793" t="s">
        <v>1620</v>
      </c>
      <c r="G9" s="1793"/>
      <c r="H9" s="1115"/>
      <c r="I9" s="1803"/>
      <c r="J9" s="1803"/>
      <c r="K9" s="1803"/>
      <c r="L9" s="1803"/>
      <c r="M9" s="1071"/>
      <c r="N9" s="1704"/>
      <c r="Q9" s="770"/>
      <c r="R9" s="1116"/>
    </row>
    <row r="10" spans="1:18" ht="56.4" customHeight="1" x14ac:dyDescent="0.25">
      <c r="B10" s="624"/>
      <c r="C10" s="624"/>
      <c r="D10" s="624"/>
      <c r="E10" s="847"/>
      <c r="F10" s="1804" t="s">
        <v>4073</v>
      </c>
      <c r="G10" s="1804"/>
      <c r="H10" s="1804"/>
      <c r="I10" s="1804"/>
      <c r="J10" s="1804"/>
      <c r="K10" s="1804"/>
      <c r="L10" s="1804"/>
      <c r="M10" s="1074"/>
      <c r="N10" s="1075"/>
    </row>
    <row r="11" spans="1:18" s="846" customFormat="1" ht="9" customHeight="1" x14ac:dyDescent="0.25">
      <c r="B11" s="847"/>
      <c r="C11" s="847"/>
      <c r="D11" s="847"/>
      <c r="E11" s="847"/>
      <c r="F11" s="1076"/>
      <c r="G11" s="1076"/>
      <c r="H11" s="1076"/>
      <c r="I11" s="1117"/>
      <c r="J11" s="1076"/>
      <c r="K11" s="1076"/>
    </row>
    <row r="12" spans="1:18" s="846" customFormat="1" ht="14.25" customHeight="1" thickBot="1" x14ac:dyDescent="0.3">
      <c r="B12" s="847"/>
      <c r="C12" s="847"/>
      <c r="D12" s="847"/>
      <c r="E12" s="847"/>
      <c r="F12" s="1800" t="s">
        <v>1617</v>
      </c>
      <c r="G12" s="1800"/>
      <c r="H12" s="1800"/>
      <c r="I12" s="1800"/>
      <c r="J12" s="1118"/>
      <c r="K12" s="1800" t="s">
        <v>1618</v>
      </c>
      <c r="L12" s="1800"/>
    </row>
    <row r="13" spans="1:18" ht="45.6" customHeight="1" thickBot="1" x14ac:dyDescent="0.3">
      <c r="B13" s="624"/>
      <c r="C13" s="624"/>
      <c r="D13" s="624"/>
      <c r="E13" s="624"/>
      <c r="F13" s="1119" t="s">
        <v>4079</v>
      </c>
      <c r="G13" s="1120" t="s">
        <v>4078</v>
      </c>
      <c r="H13" s="1120" t="s">
        <v>4080</v>
      </c>
      <c r="I13" s="1121" t="s">
        <v>4081</v>
      </c>
      <c r="J13" s="1118"/>
      <c r="K13" s="1122" t="s">
        <v>2379</v>
      </c>
      <c r="L13" s="1123" t="s">
        <v>2380</v>
      </c>
    </row>
    <row r="14" spans="1:18" ht="22.2" customHeight="1" x14ac:dyDescent="0.25">
      <c r="B14" s="1124" t="s">
        <v>4074</v>
      </c>
      <c r="C14" s="1125">
        <f>'USER INPUT SHEET'!$O$21</f>
        <v>0</v>
      </c>
      <c r="D14" s="1126" t="s">
        <v>4075</v>
      </c>
      <c r="E14" s="624"/>
      <c r="F14" s="1805">
        <f>'USER INPUT SHEET'!$N$21</f>
        <v>0</v>
      </c>
      <c r="G14" s="1811">
        <f>REVIEW!$E$1</f>
        <v>0</v>
      </c>
      <c r="H14" s="1811">
        <f>REVIEW!$F$1</f>
        <v>0</v>
      </c>
      <c r="I14" s="1813">
        <f>REVIEW!$G$1</f>
        <v>0</v>
      </c>
      <c r="J14" s="1118"/>
      <c r="K14" s="1809">
        <f>'USER INPUT SHEET'!N16</f>
        <v>0</v>
      </c>
      <c r="L14" s="1726">
        <f>'USER INPUT SHEET'!O16</f>
        <v>0</v>
      </c>
    </row>
    <row r="15" spans="1:18" ht="12" customHeight="1" x14ac:dyDescent="0.25">
      <c r="B15" s="1127" t="s">
        <v>4076</v>
      </c>
      <c r="C15" s="1128" t="str">
        <f>IFERROR('USER INPUT SHEET'!$N$21/('USER INPUT SHEET'!$D$20 + 'USER INPUT SHEET'!$D$21  + 'USER INPUT SHEET'!$D$51),"")</f>
        <v/>
      </c>
      <c r="D15" s="1129" t="s">
        <v>4075</v>
      </c>
      <c r="E15" s="624"/>
      <c r="F15" s="1806"/>
      <c r="G15" s="1811"/>
      <c r="H15" s="1811"/>
      <c r="I15" s="1813"/>
      <c r="J15" s="1130"/>
      <c r="K15" s="1809"/>
      <c r="L15" s="1726"/>
    </row>
    <row r="16" spans="1:18" ht="12.6" customHeight="1" thickBot="1" x14ac:dyDescent="0.3">
      <c r="B16" s="1131" t="s">
        <v>4077</v>
      </c>
      <c r="C16" s="1132" t="str">
        <f>IFERROR('USER INPUT SHEET'!$N$21/'USER INPUT SHEET'!$D$23,"")</f>
        <v/>
      </c>
      <c r="D16" s="1133" t="s">
        <v>4075</v>
      </c>
      <c r="E16" s="1134"/>
      <c r="F16" s="1807"/>
      <c r="G16" s="1812"/>
      <c r="H16" s="1812"/>
      <c r="I16" s="1814"/>
      <c r="J16" s="1134"/>
      <c r="K16" s="1810"/>
      <c r="L16" s="1727"/>
    </row>
    <row r="17" spans="2:11" ht="22.5" customHeight="1" x14ac:dyDescent="0.45">
      <c r="B17" s="1111" t="s">
        <v>1636</v>
      </c>
    </row>
    <row r="18" spans="2:11" ht="8.4" hidden="1" customHeight="1" x14ac:dyDescent="0.25"/>
    <row r="25" spans="2:11" ht="127.65" customHeight="1" x14ac:dyDescent="0.25"/>
    <row r="26" spans="2:11" ht="9.4499999999999993" customHeight="1" x14ac:dyDescent="0.25"/>
    <row r="27" spans="2:11" ht="20.85" customHeight="1" x14ac:dyDescent="0.25">
      <c r="B27" s="1135" t="s">
        <v>1621</v>
      </c>
      <c r="C27" s="1136"/>
      <c r="D27" s="1136"/>
      <c r="E27" s="1136"/>
      <c r="F27" s="1136"/>
      <c r="G27" s="1137"/>
      <c r="H27" s="1137"/>
      <c r="I27" s="1136"/>
      <c r="J27" s="1136"/>
      <c r="K27" s="1136"/>
    </row>
    <row r="28" spans="2:11" ht="169.2" customHeight="1" x14ac:dyDescent="0.25">
      <c r="B28" s="1798" t="s">
        <v>3495</v>
      </c>
      <c r="C28" s="1798"/>
      <c r="D28" s="1798"/>
      <c r="E28" s="1798"/>
      <c r="F28" s="1798"/>
      <c r="G28" s="1798"/>
      <c r="H28" s="1798"/>
      <c r="I28" s="1798"/>
      <c r="J28" s="1798"/>
      <c r="K28" s="1798"/>
    </row>
    <row r="29" spans="2:11" hidden="1" x14ac:dyDescent="0.25">
      <c r="E29" s="1138"/>
      <c r="F29" s="1138"/>
    </row>
    <row r="30" spans="2:11" ht="0.75" hidden="1" customHeight="1" x14ac:dyDescent="0.25">
      <c r="K30" s="1139"/>
    </row>
    <row r="31" spans="2:11" ht="9" customHeight="1" x14ac:dyDescent="0.25">
      <c r="C31" s="1797"/>
      <c r="D31" s="1797"/>
      <c r="E31" s="1797"/>
      <c r="F31" s="1797"/>
      <c r="G31" s="1797"/>
      <c r="H31" s="1797"/>
      <c r="I31" s="1797"/>
      <c r="J31" s="1797"/>
      <c r="K31" s="1139"/>
    </row>
    <row r="32" spans="2:11" ht="28.2" customHeight="1" x14ac:dyDescent="0.25">
      <c r="G32" s="619"/>
      <c r="H32" s="619"/>
      <c r="I32" s="710"/>
    </row>
    <row r="33" spans="1:33" ht="29.25" customHeight="1" x14ac:dyDescent="0.4">
      <c r="A33" s="1094"/>
      <c r="B33" s="1094" t="s">
        <v>1551</v>
      </c>
      <c r="C33" s="1094"/>
      <c r="D33" s="1094"/>
      <c r="E33" s="1094"/>
      <c r="F33" s="1094"/>
      <c r="G33" s="1094"/>
      <c r="H33" s="1094"/>
      <c r="I33" s="1094"/>
      <c r="J33" s="1094"/>
      <c r="K33" s="1094"/>
      <c r="L33" s="1094"/>
    </row>
    <row r="34" spans="1:33" ht="36.75" customHeight="1" x14ac:dyDescent="0.45">
      <c r="B34" s="1111" t="s">
        <v>1755</v>
      </c>
    </row>
    <row r="35" spans="1:33" ht="8.4" customHeight="1" x14ac:dyDescent="0.25">
      <c r="T35"/>
      <c r="U35"/>
    </row>
    <row r="37" spans="1:33" x14ac:dyDescent="0.25">
      <c r="S37"/>
      <c r="T37"/>
      <c r="U37"/>
      <c r="V37"/>
      <c r="W37"/>
      <c r="X37"/>
      <c r="Y37"/>
      <c r="Z37"/>
      <c r="AA37"/>
      <c r="AB37"/>
      <c r="AC37"/>
      <c r="AD37"/>
      <c r="AE37"/>
      <c r="AF37"/>
      <c r="AG37"/>
    </row>
    <row r="38" spans="1:33" x14ac:dyDescent="0.25">
      <c r="S38"/>
      <c r="T38"/>
      <c r="U38"/>
      <c r="V38"/>
      <c r="W38"/>
      <c r="X38"/>
      <c r="Y38"/>
      <c r="Z38"/>
      <c r="AA38"/>
      <c r="AB38"/>
      <c r="AC38"/>
      <c r="AD38"/>
      <c r="AE38"/>
      <c r="AF38"/>
      <c r="AG38"/>
    </row>
    <row r="39" spans="1:33" x14ac:dyDescent="0.25">
      <c r="S39"/>
      <c r="T39"/>
      <c r="U39"/>
      <c r="V39"/>
      <c r="W39"/>
      <c r="X39"/>
      <c r="Y39"/>
      <c r="Z39"/>
      <c r="AA39"/>
      <c r="AB39"/>
      <c r="AC39"/>
      <c r="AD39"/>
      <c r="AE39"/>
      <c r="AF39"/>
      <c r="AG39"/>
    </row>
    <row r="40" spans="1:33" x14ac:dyDescent="0.25">
      <c r="S40"/>
      <c r="T40"/>
      <c r="U40"/>
      <c r="V40"/>
      <c r="W40"/>
      <c r="X40"/>
      <c r="Y40"/>
      <c r="Z40"/>
      <c r="AA40"/>
      <c r="AB40"/>
      <c r="AC40"/>
      <c r="AD40"/>
    </row>
    <row r="41" spans="1:33" x14ac:dyDescent="0.25">
      <c r="S41"/>
      <c r="T41"/>
      <c r="U41"/>
      <c r="V41"/>
      <c r="W41"/>
      <c r="X41"/>
      <c r="Y41"/>
      <c r="Z41"/>
      <c r="AA41"/>
      <c r="AB41"/>
      <c r="AC41"/>
      <c r="AD41"/>
    </row>
    <row r="42" spans="1:33" x14ac:dyDescent="0.25">
      <c r="S42"/>
      <c r="T42"/>
      <c r="U42"/>
      <c r="V42"/>
      <c r="W42"/>
      <c r="X42"/>
      <c r="Y42"/>
      <c r="Z42"/>
      <c r="AA42"/>
      <c r="AB42"/>
      <c r="AC42"/>
      <c r="AD42"/>
    </row>
    <row r="43" spans="1:33" x14ac:dyDescent="0.25">
      <c r="S43"/>
      <c r="T43"/>
      <c r="U43"/>
      <c r="V43"/>
      <c r="W43"/>
      <c r="X43"/>
      <c r="Y43"/>
      <c r="Z43"/>
      <c r="AA43"/>
      <c r="AB43"/>
      <c r="AC43"/>
      <c r="AD43"/>
    </row>
    <row r="44" spans="1:33" x14ac:dyDescent="0.25">
      <c r="S44"/>
      <c r="T44"/>
      <c r="U44"/>
      <c r="V44"/>
      <c r="W44"/>
      <c r="X44"/>
      <c r="Y44"/>
      <c r="Z44"/>
      <c r="AA44"/>
      <c r="AB44"/>
      <c r="AC44"/>
      <c r="AD44"/>
    </row>
    <row r="45" spans="1:33" x14ac:dyDescent="0.25">
      <c r="S45"/>
      <c r="T45"/>
      <c r="U45"/>
      <c r="V45"/>
      <c r="W45"/>
      <c r="X45"/>
      <c r="Y45"/>
      <c r="Z45"/>
      <c r="AA45"/>
      <c r="AB45"/>
      <c r="AC45"/>
      <c r="AD45"/>
    </row>
    <row r="46" spans="1:33" x14ac:dyDescent="0.25">
      <c r="S46"/>
      <c r="T46"/>
      <c r="U46"/>
      <c r="V46"/>
      <c r="W46"/>
      <c r="X46"/>
      <c r="Y46"/>
      <c r="Z46"/>
      <c r="AA46"/>
      <c r="AB46"/>
      <c r="AC46"/>
      <c r="AD46"/>
    </row>
    <row r="47" spans="1:33" x14ac:dyDescent="0.25">
      <c r="S47"/>
      <c r="T47"/>
      <c r="U47"/>
      <c r="V47"/>
      <c r="W47"/>
      <c r="X47"/>
      <c r="Y47"/>
      <c r="Z47"/>
      <c r="AA47"/>
      <c r="AB47"/>
      <c r="AC47"/>
      <c r="AD47"/>
    </row>
    <row r="48" spans="1:33" x14ac:dyDescent="0.25">
      <c r="S48"/>
      <c r="T48"/>
      <c r="U48"/>
      <c r="V48"/>
      <c r="W48"/>
      <c r="X48"/>
      <c r="Y48"/>
      <c r="Z48"/>
      <c r="AA48"/>
      <c r="AB48"/>
      <c r="AC48"/>
      <c r="AD48"/>
    </row>
    <row r="49" spans="1:31" x14ac:dyDescent="0.25">
      <c r="S49"/>
      <c r="T49"/>
      <c r="U49"/>
      <c r="V49"/>
      <c r="W49"/>
      <c r="X49"/>
      <c r="Y49"/>
      <c r="Z49"/>
      <c r="AA49"/>
      <c r="AB49"/>
      <c r="AC49"/>
      <c r="AD49"/>
    </row>
    <row r="50" spans="1:31" x14ac:dyDescent="0.25">
      <c r="S50"/>
      <c r="T50"/>
      <c r="U50"/>
      <c r="V50"/>
      <c r="W50"/>
      <c r="X50"/>
      <c r="Y50"/>
      <c r="Z50"/>
      <c r="AA50"/>
      <c r="AB50"/>
      <c r="AC50"/>
      <c r="AD50"/>
    </row>
    <row r="51" spans="1:31" ht="19.649999999999999" customHeight="1" x14ac:dyDescent="0.25">
      <c r="T51"/>
      <c r="U51"/>
      <c r="V51"/>
      <c r="W51"/>
      <c r="X51"/>
      <c r="Y51"/>
      <c r="Z51"/>
      <c r="AA51"/>
      <c r="AB51"/>
      <c r="AC51"/>
      <c r="AD51"/>
      <c r="AE51"/>
    </row>
    <row r="52" spans="1:31" ht="36.75" customHeight="1" x14ac:dyDescent="0.45">
      <c r="B52" s="1111" t="s">
        <v>4083</v>
      </c>
      <c r="T52"/>
      <c r="U52"/>
      <c r="V52"/>
      <c r="W52"/>
      <c r="X52"/>
      <c r="Y52"/>
      <c r="Z52"/>
      <c r="AA52"/>
      <c r="AB52"/>
      <c r="AC52"/>
      <c r="AD52"/>
      <c r="AE52"/>
    </row>
    <row r="53" spans="1:31" ht="8.4" customHeight="1" x14ac:dyDescent="0.25">
      <c r="T53"/>
      <c r="U53"/>
      <c r="V53"/>
    </row>
    <row r="54" spans="1:31" ht="15.6" x14ac:dyDescent="0.3">
      <c r="A54" s="624"/>
      <c r="B54" s="1140" t="s">
        <v>1631</v>
      </c>
      <c r="C54" s="1141" t="s">
        <v>1637</v>
      </c>
      <c r="D54" s="1141"/>
      <c r="E54" s="1794" t="s">
        <v>1107</v>
      </c>
      <c r="F54" s="1794"/>
      <c r="G54" s="1794" t="s">
        <v>103</v>
      </c>
      <c r="H54" s="1794"/>
      <c r="I54" s="1794"/>
      <c r="J54" s="1794"/>
      <c r="K54" s="1795"/>
      <c r="L54" s="624"/>
      <c r="T54"/>
      <c r="U54"/>
      <c r="V54"/>
    </row>
    <row r="55" spans="1:31" x14ac:dyDescent="0.25">
      <c r="A55" s="624"/>
      <c r="B55" s="1142">
        <v>1</v>
      </c>
      <c r="C55" s="1143" t="str">
        <f>Data!$M3</f>
        <v xml:space="preserve"> </v>
      </c>
      <c r="D55" s="1143"/>
      <c r="E55" s="1144" t="str">
        <f>Data!N3</f>
        <v/>
      </c>
      <c r="F55" s="1145"/>
      <c r="G55" s="1799" t="str">
        <f>Data!P3</f>
        <v/>
      </c>
      <c r="H55" s="1799"/>
      <c r="I55" s="1799"/>
      <c r="J55" s="1799"/>
      <c r="K55" s="1146"/>
      <c r="L55" s="624"/>
    </row>
    <row r="56" spans="1:31" x14ac:dyDescent="0.25">
      <c r="A56" s="624"/>
      <c r="B56" s="1147">
        <v>2</v>
      </c>
      <c r="C56" s="1143" t="str">
        <f>Data!$M4</f>
        <v xml:space="preserve"> </v>
      </c>
      <c r="D56" s="1143"/>
      <c r="E56" s="1144" t="str">
        <f>Data!N4</f>
        <v/>
      </c>
      <c r="F56" s="1145"/>
      <c r="G56" s="1801" t="str">
        <f>Data!P4</f>
        <v/>
      </c>
      <c r="H56" s="1801"/>
      <c r="I56" s="1801"/>
      <c r="J56" s="1801"/>
      <c r="K56" s="1146"/>
      <c r="L56" s="624"/>
    </row>
    <row r="57" spans="1:31" x14ac:dyDescent="0.25">
      <c r="A57" s="624"/>
      <c r="B57" s="1142">
        <v>3</v>
      </c>
      <c r="C57" s="1143" t="str">
        <f>Data!$M5</f>
        <v xml:space="preserve"> </v>
      </c>
      <c r="D57" s="1143"/>
      <c r="E57" s="1144" t="str">
        <f>Data!N5</f>
        <v/>
      </c>
      <c r="F57" s="1145"/>
      <c r="G57" s="1801" t="str">
        <f>Data!P5</f>
        <v/>
      </c>
      <c r="H57" s="1801"/>
      <c r="I57" s="1801"/>
      <c r="J57" s="1801"/>
      <c r="K57" s="1146"/>
      <c r="L57" s="624"/>
    </row>
    <row r="58" spans="1:31" x14ac:dyDescent="0.25">
      <c r="A58" s="624"/>
      <c r="B58" s="1147">
        <v>4</v>
      </c>
      <c r="C58" s="1143" t="str">
        <f>Data!$M6</f>
        <v xml:space="preserve"> </v>
      </c>
      <c r="D58" s="1143"/>
      <c r="E58" s="1144" t="str">
        <f>Data!N6</f>
        <v/>
      </c>
      <c r="F58" s="1145"/>
      <c r="G58" s="1801" t="str">
        <f>Data!P6</f>
        <v/>
      </c>
      <c r="H58" s="1801"/>
      <c r="I58" s="1801"/>
      <c r="J58" s="1801"/>
      <c r="K58" s="1146"/>
      <c r="L58" s="624"/>
    </row>
    <row r="59" spans="1:31" x14ac:dyDescent="0.25">
      <c r="A59" s="624"/>
      <c r="B59" s="1142">
        <v>5</v>
      </c>
      <c r="C59" s="1143" t="str">
        <f>Data!$M7</f>
        <v xml:space="preserve"> </v>
      </c>
      <c r="D59" s="1143"/>
      <c r="E59" s="1144" t="str">
        <f>Data!N7</f>
        <v/>
      </c>
      <c r="F59" s="1145"/>
      <c r="G59" s="1801" t="str">
        <f>Data!P7</f>
        <v/>
      </c>
      <c r="H59" s="1801"/>
      <c r="I59" s="1801"/>
      <c r="J59" s="1801"/>
      <c r="K59" s="1146"/>
      <c r="L59" s="624"/>
    </row>
    <row r="60" spans="1:31" x14ac:dyDescent="0.25">
      <c r="A60" s="624"/>
      <c r="B60" s="1147">
        <v>6</v>
      </c>
      <c r="C60" s="1143" t="str">
        <f>Data!$M8</f>
        <v xml:space="preserve"> </v>
      </c>
      <c r="D60" s="1143"/>
      <c r="E60" s="1144" t="str">
        <f>Data!N8</f>
        <v/>
      </c>
      <c r="F60" s="1145"/>
      <c r="G60" s="1801" t="str">
        <f>Data!P8</f>
        <v/>
      </c>
      <c r="H60" s="1801"/>
      <c r="I60" s="1801"/>
      <c r="J60" s="1801"/>
      <c r="K60" s="1146"/>
      <c r="L60" s="624"/>
    </row>
    <row r="61" spans="1:31" x14ac:dyDescent="0.25">
      <c r="A61" s="624"/>
      <c r="B61" s="1148">
        <v>7</v>
      </c>
      <c r="C61" s="1149" t="str">
        <f>Data!$M9</f>
        <v xml:space="preserve"> </v>
      </c>
      <c r="D61" s="1149"/>
      <c r="E61" s="1150" t="str">
        <f>Data!N9</f>
        <v/>
      </c>
      <c r="F61" s="1151"/>
      <c r="G61" s="1808" t="str">
        <f>Data!P9</f>
        <v/>
      </c>
      <c r="H61" s="1808"/>
      <c r="I61" s="1808"/>
      <c r="J61" s="1808"/>
      <c r="K61" s="1152"/>
      <c r="L61" s="624"/>
    </row>
    <row r="62" spans="1:31" x14ac:dyDescent="0.25">
      <c r="A62" s="624"/>
      <c r="B62" s="1153"/>
      <c r="C62" s="1143"/>
      <c r="D62" s="1143"/>
      <c r="E62" s="1144"/>
      <c r="F62" s="1145"/>
      <c r="G62" s="1144"/>
      <c r="H62" s="1144"/>
      <c r="I62" s="1144"/>
      <c r="J62" s="1144"/>
      <c r="K62" s="1145"/>
      <c r="L62" s="624"/>
    </row>
    <row r="63" spans="1:31" ht="17.399999999999999" x14ac:dyDescent="0.45">
      <c r="A63" s="624"/>
      <c r="B63" s="1111" t="s">
        <v>4084</v>
      </c>
      <c r="C63" s="1143"/>
      <c r="D63" s="1143"/>
      <c r="E63" s="1144"/>
      <c r="F63" s="1145"/>
      <c r="G63" s="1144"/>
      <c r="H63" s="1144"/>
      <c r="I63" s="1144"/>
      <c r="J63" s="1144"/>
      <c r="K63" s="1145"/>
      <c r="L63" s="624"/>
    </row>
    <row r="64" spans="1:31" ht="15.6" x14ac:dyDescent="0.3">
      <c r="A64" s="624"/>
      <c r="B64" s="1140" t="s">
        <v>1631</v>
      </c>
      <c r="C64" s="1141" t="s">
        <v>1637</v>
      </c>
      <c r="D64" s="1141"/>
      <c r="E64" s="1794" t="s">
        <v>1107</v>
      </c>
      <c r="F64" s="1794"/>
      <c r="G64" s="1794" t="s">
        <v>103</v>
      </c>
      <c r="H64" s="1794"/>
      <c r="I64" s="1794"/>
      <c r="J64" s="1794"/>
      <c r="K64" s="1795"/>
      <c r="L64" s="624"/>
    </row>
    <row r="65" spans="1:12" x14ac:dyDescent="0.25">
      <c r="A65" s="624"/>
      <c r="B65" s="1142">
        <v>1</v>
      </c>
      <c r="C65" s="1143" t="str">
        <f>Data!$M13</f>
        <v xml:space="preserve"> </v>
      </c>
      <c r="D65" s="1143"/>
      <c r="E65" s="1144" t="str">
        <f>Data!N13</f>
        <v/>
      </c>
      <c r="F65" s="1145"/>
      <c r="G65" s="1799" t="str">
        <f>Data!P13</f>
        <v/>
      </c>
      <c r="H65" s="1799"/>
      <c r="I65" s="1799"/>
      <c r="J65" s="1799"/>
      <c r="K65" s="1146"/>
      <c r="L65" s="624"/>
    </row>
    <row r="66" spans="1:12" x14ac:dyDescent="0.25">
      <c r="A66" s="624"/>
      <c r="B66" s="1147">
        <v>2</v>
      </c>
      <c r="C66" s="1143">
        <f>Data!$M14</f>
        <v>0</v>
      </c>
      <c r="D66" s="1143"/>
      <c r="E66" s="1144">
        <f>Data!N14</f>
        <v>0</v>
      </c>
      <c r="F66" s="1145"/>
      <c r="G66" s="1801">
        <f>Data!P14</f>
        <v>0</v>
      </c>
      <c r="H66" s="1801"/>
      <c r="I66" s="1801"/>
      <c r="J66" s="1801"/>
      <c r="K66" s="1146"/>
      <c r="L66" s="624"/>
    </row>
    <row r="67" spans="1:12" x14ac:dyDescent="0.25">
      <c r="A67" s="624"/>
      <c r="B67" s="1148">
        <v>3</v>
      </c>
      <c r="C67" s="1149">
        <f>Data!$M15</f>
        <v>0</v>
      </c>
      <c r="D67" s="1149"/>
      <c r="E67" s="1150" t="str">
        <f>Data!N15</f>
        <v>Section</v>
      </c>
      <c r="F67" s="1151"/>
      <c r="G67" s="1808">
        <f>Data!P15</f>
        <v>0</v>
      </c>
      <c r="H67" s="1808"/>
      <c r="I67" s="1808"/>
      <c r="J67" s="1808"/>
      <c r="K67" s="1152"/>
      <c r="L67" s="624"/>
    </row>
    <row r="68" spans="1:12" ht="24.6" customHeight="1" x14ac:dyDescent="0.45">
      <c r="B68" s="1111" t="s">
        <v>1638</v>
      </c>
    </row>
    <row r="69" spans="1:12" ht="8.4" customHeight="1" x14ac:dyDescent="0.25"/>
    <row r="70" spans="1:12" ht="144.6" customHeight="1" x14ac:dyDescent="0.25">
      <c r="B70" s="1796" t="s">
        <v>3486</v>
      </c>
      <c r="C70" s="1796"/>
      <c r="D70" s="1796"/>
      <c r="E70" s="1796"/>
      <c r="F70" s="1796"/>
      <c r="G70" s="1796"/>
      <c r="H70" s="1796"/>
      <c r="I70" s="1796"/>
      <c r="J70" s="1796"/>
      <c r="K70" s="1796"/>
      <c r="L70" s="1154"/>
    </row>
    <row r="71" spans="1:12" x14ac:dyDescent="0.25">
      <c r="B71" s="1154"/>
      <c r="L71" s="1154"/>
    </row>
    <row r="72" spans="1:12" x14ac:dyDescent="0.25">
      <c r="B72" s="1154"/>
      <c r="L72" s="1154"/>
    </row>
    <row r="73" spans="1:12" ht="28.2" customHeight="1" x14ac:dyDescent="0.25">
      <c r="G73" s="619"/>
      <c r="H73" s="619"/>
      <c r="I73" s="710"/>
    </row>
    <row r="74" spans="1:12" ht="29.25" customHeight="1" x14ac:dyDescent="0.4">
      <c r="A74" s="1094"/>
      <c r="B74" s="1094"/>
      <c r="C74" s="1155" t="s">
        <v>4072</v>
      </c>
      <c r="D74" s="1155"/>
      <c r="E74" s="1094"/>
      <c r="F74" s="1094"/>
      <c r="G74" s="1094"/>
      <c r="H74" s="1094"/>
      <c r="I74" s="1094"/>
      <c r="J74" s="1094"/>
      <c r="K74" s="1094"/>
      <c r="L74" s="1094"/>
    </row>
    <row r="75" spans="1:12" x14ac:dyDescent="0.25">
      <c r="B75" s="1154"/>
      <c r="C75" s="1154"/>
      <c r="D75" s="1154"/>
      <c r="E75" s="1154"/>
      <c r="F75" s="1154"/>
      <c r="G75" s="1154"/>
      <c r="H75" s="1154"/>
      <c r="I75" s="1154"/>
      <c r="J75" s="1154"/>
      <c r="K75" s="1154"/>
      <c r="L75" s="1154"/>
    </row>
    <row r="76" spans="1:12" ht="15.6" thickBot="1" x14ac:dyDescent="0.3">
      <c r="B76" s="1154"/>
      <c r="C76" s="1154"/>
      <c r="D76" s="1154"/>
      <c r="E76" s="1154"/>
      <c r="F76" s="1154"/>
      <c r="G76" s="1154"/>
      <c r="H76" s="1154"/>
      <c r="I76" s="1154"/>
      <c r="J76" s="1154"/>
      <c r="K76" s="1154"/>
      <c r="L76" s="1154"/>
    </row>
    <row r="77" spans="1:12" ht="15" customHeight="1" x14ac:dyDescent="0.25">
      <c r="B77" s="1780" t="s">
        <v>4085</v>
      </c>
      <c r="C77" s="1781"/>
      <c r="D77" s="1781"/>
      <c r="E77" s="1781"/>
      <c r="F77" s="1781"/>
      <c r="G77" s="1781"/>
      <c r="H77" s="1781"/>
      <c r="I77" s="1781"/>
      <c r="J77" s="1781"/>
      <c r="K77" s="1782"/>
    </row>
    <row r="78" spans="1:12" x14ac:dyDescent="0.25">
      <c r="B78" s="1783"/>
      <c r="C78" s="1784"/>
      <c r="D78" s="1784"/>
      <c r="E78" s="1784"/>
      <c r="F78" s="1784"/>
      <c r="G78" s="1784"/>
      <c r="H78" s="1784"/>
      <c r="I78" s="1784"/>
      <c r="J78" s="1784"/>
      <c r="K78" s="1785"/>
    </row>
    <row r="79" spans="1:12" x14ac:dyDescent="0.25">
      <c r="B79" s="1783"/>
      <c r="C79" s="1784"/>
      <c r="D79" s="1784"/>
      <c r="E79" s="1784"/>
      <c r="F79" s="1784"/>
      <c r="G79" s="1784"/>
      <c r="H79" s="1784"/>
      <c r="I79" s="1784"/>
      <c r="J79" s="1784"/>
      <c r="K79" s="1785"/>
    </row>
    <row r="80" spans="1:12" x14ac:dyDescent="0.25">
      <c r="B80" s="1783"/>
      <c r="C80" s="1784"/>
      <c r="D80" s="1784"/>
      <c r="E80" s="1784"/>
      <c r="F80" s="1784"/>
      <c r="G80" s="1784"/>
      <c r="H80" s="1784"/>
      <c r="I80" s="1784"/>
      <c r="J80" s="1784"/>
      <c r="K80" s="1785"/>
    </row>
    <row r="81" spans="2:11" x14ac:dyDescent="0.25">
      <c r="B81" s="1786" t="s">
        <v>4086</v>
      </c>
      <c r="C81" s="1787"/>
      <c r="D81" s="1787"/>
      <c r="E81" s="1156"/>
      <c r="F81" s="1772"/>
      <c r="G81" s="1772"/>
      <c r="H81" s="1772"/>
      <c r="I81" s="1772"/>
      <c r="J81" s="1772"/>
      <c r="K81" s="1773"/>
    </row>
    <row r="82" spans="2:11" x14ac:dyDescent="0.25">
      <c r="B82" s="1788" t="s">
        <v>4087</v>
      </c>
      <c r="C82" s="1789"/>
      <c r="D82" s="1789"/>
      <c r="E82" s="1130"/>
      <c r="F82" s="1772"/>
      <c r="G82" s="1772"/>
      <c r="H82" s="1772"/>
      <c r="I82" s="1772"/>
      <c r="J82" s="1772"/>
      <c r="K82" s="1773"/>
    </row>
    <row r="83" spans="2:11" x14ac:dyDescent="0.25">
      <c r="B83" s="1788" t="s">
        <v>4088</v>
      </c>
      <c r="C83" s="1789"/>
      <c r="D83" s="1789"/>
      <c r="E83" s="1130"/>
      <c r="F83" s="1772"/>
      <c r="G83" s="1772"/>
      <c r="H83" s="1772"/>
      <c r="I83" s="1772"/>
      <c r="J83" s="1772"/>
      <c r="K83" s="1773"/>
    </row>
    <row r="84" spans="2:11" x14ac:dyDescent="0.25">
      <c r="B84" s="1788" t="s">
        <v>4089</v>
      </c>
      <c r="C84" s="1789"/>
      <c r="D84" s="1789"/>
      <c r="E84" s="1130"/>
      <c r="F84" s="1772"/>
      <c r="G84" s="1772"/>
      <c r="H84" s="1772"/>
      <c r="I84" s="1772"/>
      <c r="J84" s="1772"/>
      <c r="K84" s="1773"/>
    </row>
    <row r="85" spans="2:11" x14ac:dyDescent="0.25">
      <c r="B85" s="1788" t="s">
        <v>4090</v>
      </c>
      <c r="C85" s="1789"/>
      <c r="D85" s="1789"/>
      <c r="E85" s="1130"/>
      <c r="F85" s="1772"/>
      <c r="G85" s="1772"/>
      <c r="H85" s="1772"/>
      <c r="I85" s="1772"/>
      <c r="J85" s="1772"/>
      <c r="K85" s="1773"/>
    </row>
    <row r="86" spans="2:11" x14ac:dyDescent="0.25">
      <c r="B86" s="1788" t="s">
        <v>4091</v>
      </c>
      <c r="C86" s="1789"/>
      <c r="D86" s="1789"/>
      <c r="E86" s="1130"/>
      <c r="F86" s="1772"/>
      <c r="G86" s="1772"/>
      <c r="H86" s="1772"/>
      <c r="I86" s="1772"/>
      <c r="J86" s="1772"/>
      <c r="K86" s="1773"/>
    </row>
    <row r="87" spans="2:11" x14ac:dyDescent="0.25">
      <c r="B87" s="1788" t="s">
        <v>4092</v>
      </c>
      <c r="C87" s="1789"/>
      <c r="D87" s="1789"/>
      <c r="E87" s="1130"/>
      <c r="F87" s="1772"/>
      <c r="G87" s="1772"/>
      <c r="H87" s="1772"/>
      <c r="I87" s="1772"/>
      <c r="J87" s="1772"/>
      <c r="K87" s="1773"/>
    </row>
    <row r="88" spans="2:11" x14ac:dyDescent="0.25">
      <c r="B88" s="1790" t="s">
        <v>4093</v>
      </c>
      <c r="C88" s="1791"/>
      <c r="D88" s="1791"/>
      <c r="E88" s="1157"/>
      <c r="F88" s="1772"/>
      <c r="G88" s="1772"/>
      <c r="H88" s="1772"/>
      <c r="I88" s="1772"/>
      <c r="J88" s="1772"/>
      <c r="K88" s="1773"/>
    </row>
    <row r="89" spans="2:11" x14ac:dyDescent="0.25">
      <c r="B89" s="1158" t="s">
        <v>4094</v>
      </c>
      <c r="C89" s="1130"/>
      <c r="D89" s="624"/>
      <c r="E89" s="624"/>
      <c r="F89" s="624"/>
      <c r="G89" s="1159"/>
      <c r="H89" s="1159"/>
      <c r="I89" s="624"/>
      <c r="J89" s="624"/>
      <c r="K89" s="1160"/>
    </row>
    <row r="90" spans="2:11" x14ac:dyDescent="0.25">
      <c r="B90" s="1158" t="s">
        <v>4095</v>
      </c>
      <c r="C90" s="1130"/>
      <c r="D90" s="624"/>
      <c r="E90" s="624"/>
      <c r="F90" s="624"/>
      <c r="G90" s="1159"/>
      <c r="H90" s="1159"/>
      <c r="I90" s="624"/>
      <c r="J90" s="624"/>
      <c r="K90" s="1160"/>
    </row>
    <row r="91" spans="2:11" x14ac:dyDescent="0.25">
      <c r="B91" s="1158" t="s">
        <v>4096</v>
      </c>
      <c r="C91" s="1130"/>
      <c r="D91" s="624"/>
      <c r="E91" s="624"/>
      <c r="F91" s="624"/>
      <c r="G91" s="1159"/>
      <c r="H91" s="1159"/>
      <c r="I91" s="624"/>
      <c r="J91" s="624"/>
      <c r="K91" s="1160"/>
    </row>
    <row r="92" spans="2:11" x14ac:dyDescent="0.25">
      <c r="B92" s="1158" t="s">
        <v>4097</v>
      </c>
      <c r="C92" s="1130"/>
      <c r="D92" s="624"/>
      <c r="E92" s="624"/>
      <c r="F92" s="624"/>
      <c r="G92" s="1159"/>
      <c r="H92" s="1159"/>
      <c r="I92" s="624"/>
      <c r="J92" s="624"/>
      <c r="K92" s="1160"/>
    </row>
    <row r="93" spans="2:11" x14ac:dyDescent="0.25">
      <c r="B93" s="1158" t="s">
        <v>4098</v>
      </c>
      <c r="C93" s="1130"/>
      <c r="D93" s="624"/>
      <c r="E93" s="624"/>
      <c r="F93" s="624"/>
      <c r="G93" s="1159"/>
      <c r="H93" s="1159"/>
      <c r="I93" s="624"/>
      <c r="J93" s="624"/>
      <c r="K93" s="1160"/>
    </row>
    <row r="94" spans="2:11" x14ac:dyDescent="0.25">
      <c r="B94" s="1774" t="s">
        <v>4099</v>
      </c>
      <c r="C94" s="1775"/>
      <c r="D94" s="1775"/>
      <c r="E94" s="1775"/>
      <c r="F94" s="1775"/>
      <c r="G94" s="1775"/>
      <c r="H94" s="1775"/>
      <c r="I94" s="1775"/>
      <c r="J94" s="1775"/>
      <c r="K94" s="1776"/>
    </row>
    <row r="95" spans="2:11" ht="15.6" thickBot="1" x14ac:dyDescent="0.3">
      <c r="B95" s="1777"/>
      <c r="C95" s="1778"/>
      <c r="D95" s="1778"/>
      <c r="E95" s="1778"/>
      <c r="F95" s="1778"/>
      <c r="G95" s="1778"/>
      <c r="H95" s="1778"/>
      <c r="I95" s="1778"/>
      <c r="J95" s="1778"/>
      <c r="K95" s="1779"/>
    </row>
    <row r="104" spans="3:11" x14ac:dyDescent="0.25">
      <c r="C104" s="1792" t="s">
        <v>4033</v>
      </c>
      <c r="D104" s="1792"/>
      <c r="E104" s="1792"/>
      <c r="F104" s="1792"/>
      <c r="G104" s="1792"/>
      <c r="H104" s="1792"/>
      <c r="I104" s="1792"/>
      <c r="J104" s="1792"/>
      <c r="K104" s="1792"/>
    </row>
    <row r="105" spans="3:11" x14ac:dyDescent="0.25">
      <c r="C105" s="1792" t="s">
        <v>4034</v>
      </c>
      <c r="D105" s="1792"/>
      <c r="E105" s="1792"/>
      <c r="F105" s="1792"/>
      <c r="G105" s="1792"/>
      <c r="H105" s="1792"/>
      <c r="I105" s="1792"/>
      <c r="J105" s="1792"/>
      <c r="K105" s="1792"/>
    </row>
  </sheetData>
  <sheetProtection algorithmName="SHA-512" hashValue="zDY8QT7s0u4JKSf5WPgab1OwLy+GVjmNkDDJFtYJbcP9auiimj16EPe5RoRox6AtET7s/vOn5bMiZlxBJ9dBMg==" saltValue="OKmXHwbKV9Vmf6ZsPsuX3w==" spinCount="100000" sheet="1" objects="1" scenarios="1"/>
  <dataConsolidate/>
  <mergeCells count="60">
    <mergeCell ref="E64:F64"/>
    <mergeCell ref="G64:K64"/>
    <mergeCell ref="G65:J65"/>
    <mergeCell ref="G66:J66"/>
    <mergeCell ref="G67:J67"/>
    <mergeCell ref="F10:L10"/>
    <mergeCell ref="I9:L9"/>
    <mergeCell ref="F14:F16"/>
    <mergeCell ref="G61:J61"/>
    <mergeCell ref="K12:L12"/>
    <mergeCell ref="K14:K16"/>
    <mergeCell ref="L14:L16"/>
    <mergeCell ref="G14:G16"/>
    <mergeCell ref="H14:H16"/>
    <mergeCell ref="I14:I16"/>
    <mergeCell ref="G59:J59"/>
    <mergeCell ref="G60:J60"/>
    <mergeCell ref="M3:N3"/>
    <mergeCell ref="N5:N6"/>
    <mergeCell ref="N8:N9"/>
    <mergeCell ref="F5:G5"/>
    <mergeCell ref="F6:G6"/>
    <mergeCell ref="F7:G7"/>
    <mergeCell ref="F8:G8"/>
    <mergeCell ref="I5:L5"/>
    <mergeCell ref="I6:L6"/>
    <mergeCell ref="I7:L7"/>
    <mergeCell ref="I8:L8"/>
    <mergeCell ref="B88:D88"/>
    <mergeCell ref="F85:K85"/>
    <mergeCell ref="C104:K104"/>
    <mergeCell ref="C105:K105"/>
    <mergeCell ref="J2:L2"/>
    <mergeCell ref="F9:G9"/>
    <mergeCell ref="G54:K54"/>
    <mergeCell ref="E54:F54"/>
    <mergeCell ref="B70:K70"/>
    <mergeCell ref="C31:J31"/>
    <mergeCell ref="B28:K28"/>
    <mergeCell ref="G55:J55"/>
    <mergeCell ref="F12:I12"/>
    <mergeCell ref="G56:J56"/>
    <mergeCell ref="G57:J57"/>
    <mergeCell ref="G58:J58"/>
    <mergeCell ref="F86:K86"/>
    <mergeCell ref="F87:K87"/>
    <mergeCell ref="F88:K88"/>
    <mergeCell ref="B94:K95"/>
    <mergeCell ref="B77:K80"/>
    <mergeCell ref="B81:D81"/>
    <mergeCell ref="B82:D82"/>
    <mergeCell ref="B83:D83"/>
    <mergeCell ref="B84:D84"/>
    <mergeCell ref="F81:K81"/>
    <mergeCell ref="F82:K82"/>
    <mergeCell ref="F83:K83"/>
    <mergeCell ref="F84:K84"/>
    <mergeCell ref="B85:D85"/>
    <mergeCell ref="B86:D86"/>
    <mergeCell ref="B87:D87"/>
  </mergeCells>
  <phoneticPr fontId="146" type="noConversion"/>
  <conditionalFormatting sqref="C55:D63 C65:D67">
    <cfRule type="dataBar" priority="1036">
      <dataBar>
        <cfvo type="min"/>
        <cfvo type="max"/>
        <color rgb="FFF1975A"/>
      </dataBar>
      <extLst>
        <ext xmlns:x14="http://schemas.microsoft.com/office/spreadsheetml/2009/9/main" uri="{B025F937-C7B1-47D3-B67F-A62EFF666E3E}">
          <x14:id>{4B624B0A-BBCA-46FD-931E-7EA31CDFC320}</x14:id>
        </ext>
      </extLst>
    </cfRule>
  </conditionalFormatting>
  <printOptions horizontalCentered="1" verticalCentered="1"/>
  <pageMargins left="3.937007874015748E-2" right="3.937007874015748E-2" top="3.937007874015748E-2" bottom="3.937007874015748E-2" header="0.31496062992125984" footer="0.31496062992125984"/>
  <pageSetup fitToWidth="0" fitToHeight="0" orientation="portrait" r:id="rId1"/>
  <headerFooter scaleWithDoc="0" alignWithMargins="0">
    <oddHeader>&amp;R&amp;"Aptos"&amp;12&amp;K000000 UNCLASSIFIED - NON CLASSIFIÉ&amp;1#_x000D_</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342017" r:id="rId4" name="Option Button 1">
              <controlPr defaultSize="0" autoFill="0" autoLine="0" autoPict="0">
                <anchor moveWithCells="1">
                  <from>
                    <xdr:col>14</xdr:col>
                    <xdr:colOff>312420</xdr:colOff>
                    <xdr:row>27</xdr:row>
                    <xdr:rowOff>342900</xdr:rowOff>
                  </from>
                  <to>
                    <xdr:col>14</xdr:col>
                    <xdr:colOff>2293620</xdr:colOff>
                    <xdr:row>27</xdr:row>
                    <xdr:rowOff>563880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4B624B0A-BBCA-46FD-931E-7EA31CDFC320}">
            <x14:dataBar minLength="0" maxLength="100" gradient="0" direction="leftToRight">
              <x14:cfvo type="autoMin"/>
              <x14:cfvo type="autoMax"/>
              <x14:negativeFillColor rgb="FF92D050"/>
              <x14:axisColor rgb="FF000000"/>
            </x14:dataBar>
          </x14:cfRule>
          <xm:sqref>C55:D63 C65:D67</xm:sqref>
        </x14:conditionalFormatting>
      </x14:conditionalFormatting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7">
    <tabColor theme="9"/>
  </sheetPr>
  <dimension ref="A1:AL109"/>
  <sheetViews>
    <sheetView zoomScale="80" zoomScaleNormal="80" workbookViewId="0"/>
  </sheetViews>
  <sheetFormatPr defaultColWidth="8.90625" defaultRowHeight="15" x14ac:dyDescent="0.25"/>
  <cols>
    <col min="1" max="1" width="2.54296875" customWidth="1"/>
    <col min="2" max="2" width="20.81640625" customWidth="1"/>
    <col min="3" max="14" width="14.6328125" customWidth="1"/>
  </cols>
  <sheetData>
    <row r="1" spans="1:38" ht="51.75" customHeight="1" x14ac:dyDescent="0.25">
      <c r="A1" s="619"/>
      <c r="B1" s="619"/>
      <c r="C1" s="619"/>
      <c r="D1" s="619"/>
      <c r="E1" s="619"/>
      <c r="F1" s="619"/>
      <c r="G1" s="619"/>
      <c r="H1" s="619"/>
      <c r="I1" s="619"/>
      <c r="J1" s="619"/>
      <c r="K1" s="619"/>
      <c r="L1" s="619"/>
      <c r="M1" s="619"/>
      <c r="N1" s="619"/>
      <c r="O1" s="619"/>
      <c r="P1" s="619"/>
      <c r="Q1" s="619"/>
      <c r="R1" s="619"/>
      <c r="S1" s="619"/>
      <c r="T1" s="619"/>
      <c r="U1" s="619"/>
      <c r="V1" s="619"/>
      <c r="W1" s="619"/>
      <c r="X1" s="619"/>
      <c r="Y1" s="619"/>
      <c r="Z1" s="619"/>
      <c r="AA1" s="619"/>
      <c r="AB1" s="619"/>
      <c r="AC1" s="619"/>
      <c r="AD1" s="619"/>
      <c r="AE1" s="619"/>
      <c r="AF1" s="619"/>
      <c r="AG1" s="619"/>
      <c r="AH1" s="619"/>
      <c r="AI1" s="619"/>
      <c r="AJ1" s="619"/>
      <c r="AK1" s="619"/>
      <c r="AL1" s="619"/>
    </row>
    <row r="2" spans="1:38" ht="30.15" customHeight="1" x14ac:dyDescent="0.4">
      <c r="A2" s="619"/>
      <c r="B2" s="619"/>
      <c r="C2" s="1094" t="s">
        <v>1758</v>
      </c>
      <c r="D2" s="1094"/>
      <c r="E2" s="1094"/>
      <c r="F2" s="1094"/>
      <c r="G2" s="1094"/>
      <c r="H2" s="1094"/>
      <c r="I2" s="1094"/>
      <c r="J2" s="1094"/>
      <c r="K2" s="1094"/>
      <c r="L2" s="1094"/>
      <c r="M2" s="1094"/>
      <c r="N2" s="1094"/>
      <c r="O2" s="619"/>
      <c r="P2" s="619"/>
      <c r="Q2" s="619"/>
      <c r="R2" s="619"/>
      <c r="S2" s="619"/>
      <c r="T2" s="619"/>
      <c r="U2" s="619"/>
      <c r="V2" s="619"/>
      <c r="W2" s="619"/>
      <c r="X2" s="619"/>
      <c r="Y2" s="619"/>
      <c r="Z2" s="619"/>
      <c r="AA2" s="619"/>
      <c r="AB2" s="619"/>
      <c r="AC2" s="619"/>
      <c r="AD2" s="619"/>
      <c r="AE2" s="619"/>
      <c r="AF2" s="619"/>
      <c r="AG2" s="619"/>
      <c r="AH2" s="619"/>
      <c r="AI2" s="619"/>
      <c r="AJ2" s="619"/>
      <c r="AK2" s="619"/>
      <c r="AL2" s="619"/>
    </row>
    <row r="3" spans="1:38" ht="15.75" customHeight="1" x14ac:dyDescent="0.25">
      <c r="A3" s="619"/>
      <c r="B3" s="619"/>
      <c r="C3" s="1825" t="s">
        <v>1756</v>
      </c>
      <c r="D3" s="1161"/>
      <c r="E3" s="1826" t="s">
        <v>3444</v>
      </c>
      <c r="F3" s="1826"/>
      <c r="G3" s="1826"/>
      <c r="H3" s="1826"/>
      <c r="I3" s="1826"/>
      <c r="J3" s="1826"/>
      <c r="K3" s="1826"/>
      <c r="L3" s="1826"/>
      <c r="M3" s="1826"/>
      <c r="N3" s="1162"/>
      <c r="O3" s="619"/>
      <c r="P3" s="619"/>
      <c r="Q3" s="619"/>
      <c r="R3" s="619"/>
      <c r="S3" s="619"/>
      <c r="T3" s="619"/>
      <c r="U3" s="619"/>
      <c r="V3" s="619"/>
      <c r="W3" s="619"/>
      <c r="X3" s="619"/>
      <c r="Y3" s="619"/>
      <c r="Z3" s="619"/>
      <c r="AA3" s="619"/>
      <c r="AB3" s="619"/>
      <c r="AC3" s="619"/>
      <c r="AD3" s="619"/>
      <c r="AE3" s="619"/>
      <c r="AF3" s="619"/>
      <c r="AG3" s="619"/>
      <c r="AH3" s="619"/>
      <c r="AI3" s="619"/>
      <c r="AJ3" s="619"/>
      <c r="AK3" s="619"/>
      <c r="AL3" s="619"/>
    </row>
    <row r="4" spans="1:38" ht="15" customHeight="1" x14ac:dyDescent="0.25">
      <c r="A4" s="619"/>
      <c r="B4" s="619"/>
      <c r="C4" s="1825"/>
      <c r="D4" s="1161"/>
      <c r="E4" s="1827" t="s">
        <v>3445</v>
      </c>
      <c r="F4" s="1827"/>
      <c r="G4" s="1828"/>
      <c r="H4" s="1828"/>
      <c r="I4" s="1828"/>
      <c r="J4" s="1828"/>
      <c r="K4" s="1828"/>
      <c r="L4" s="1828"/>
      <c r="M4" s="1828"/>
      <c r="N4" s="1164"/>
      <c r="O4" s="619"/>
      <c r="P4" s="619"/>
      <c r="Q4" s="619"/>
      <c r="R4" s="619"/>
      <c r="S4" s="619"/>
      <c r="T4" s="619"/>
      <c r="U4" s="619"/>
      <c r="V4" s="619"/>
      <c r="W4" s="619"/>
      <c r="X4" s="619"/>
      <c r="Y4" s="619"/>
      <c r="Z4" s="619"/>
      <c r="AA4" s="619"/>
      <c r="AB4" s="619"/>
      <c r="AC4" s="619"/>
      <c r="AD4" s="619"/>
      <c r="AE4" s="619"/>
      <c r="AF4" s="619"/>
      <c r="AG4" s="619"/>
      <c r="AH4" s="619"/>
      <c r="AI4" s="619"/>
      <c r="AJ4" s="619"/>
      <c r="AK4" s="619"/>
      <c r="AL4" s="619"/>
    </row>
    <row r="5" spans="1:38" ht="15" customHeight="1" x14ac:dyDescent="0.25">
      <c r="A5" s="619"/>
      <c r="B5" s="619"/>
      <c r="C5" s="1825"/>
      <c r="D5" s="1161"/>
      <c r="E5" s="1829" t="s">
        <v>3482</v>
      </c>
      <c r="F5" s="1829"/>
      <c r="G5" s="1829"/>
      <c r="H5" s="1829"/>
      <c r="I5" s="1829"/>
      <c r="J5" s="1829"/>
      <c r="K5" s="1829"/>
      <c r="L5" s="1829"/>
      <c r="M5" s="1829"/>
      <c r="N5" s="1165"/>
      <c r="O5" s="619"/>
      <c r="P5" s="619"/>
      <c r="Q5" s="619"/>
      <c r="R5" s="619"/>
      <c r="S5" s="619"/>
      <c r="T5" s="619"/>
      <c r="U5" s="619"/>
      <c r="V5" s="619"/>
      <c r="W5" s="619"/>
      <c r="X5" s="619"/>
      <c r="Y5" s="619"/>
      <c r="Z5" s="619"/>
      <c r="AA5" s="619"/>
      <c r="AB5" s="619"/>
      <c r="AC5" s="619"/>
      <c r="AD5" s="619"/>
      <c r="AE5" s="619"/>
      <c r="AF5" s="619"/>
      <c r="AG5" s="619"/>
      <c r="AH5" s="619"/>
      <c r="AI5" s="619"/>
      <c r="AJ5" s="619"/>
      <c r="AK5" s="619"/>
      <c r="AL5" s="619"/>
    </row>
    <row r="6" spans="1:38" ht="30.75" customHeight="1" x14ac:dyDescent="0.25">
      <c r="A6" s="619"/>
      <c r="B6" s="619"/>
      <c r="C6" s="1825"/>
      <c r="D6" s="1161"/>
      <c r="E6" s="1829" t="s">
        <v>3446</v>
      </c>
      <c r="F6" s="1829"/>
      <c r="G6" s="1829"/>
      <c r="H6" s="1829"/>
      <c r="I6" s="1829"/>
      <c r="J6" s="1829"/>
      <c r="K6" s="1829"/>
      <c r="L6" s="1829"/>
      <c r="M6" s="1829"/>
      <c r="N6" s="1165"/>
      <c r="O6" s="619"/>
      <c r="P6" s="619"/>
      <c r="Q6" s="619"/>
      <c r="R6" s="619"/>
      <c r="S6" s="619"/>
      <c r="T6" s="619"/>
      <c r="U6" s="619"/>
      <c r="V6" s="619"/>
      <c r="W6" s="619"/>
      <c r="X6" s="619"/>
      <c r="Y6" s="619"/>
      <c r="Z6" s="619"/>
      <c r="AA6" s="619"/>
      <c r="AB6" s="619"/>
      <c r="AC6" s="619"/>
      <c r="AD6" s="619"/>
      <c r="AE6" s="619"/>
      <c r="AF6" s="619"/>
      <c r="AG6" s="619"/>
      <c r="AH6" s="619"/>
      <c r="AI6" s="619"/>
      <c r="AJ6" s="619"/>
      <c r="AK6" s="619"/>
      <c r="AL6" s="619"/>
    </row>
    <row r="7" spans="1:38" ht="15.75" customHeight="1" x14ac:dyDescent="0.25">
      <c r="A7" s="619"/>
      <c r="B7" s="619"/>
      <c r="C7" s="1825"/>
      <c r="D7" s="1161"/>
      <c r="E7" s="1827" t="s">
        <v>3447</v>
      </c>
      <c r="F7" s="1827"/>
      <c r="G7" s="1827"/>
      <c r="H7" s="1827"/>
      <c r="I7" s="1827"/>
      <c r="J7" s="1827"/>
      <c r="K7" s="1827"/>
      <c r="L7" s="1827"/>
      <c r="M7" s="1827"/>
      <c r="N7" s="1163"/>
      <c r="O7" s="619"/>
      <c r="P7" s="619"/>
      <c r="Q7" s="619"/>
      <c r="R7" s="619"/>
      <c r="S7" s="619"/>
      <c r="T7" s="619"/>
      <c r="U7" s="619"/>
      <c r="V7" s="619"/>
      <c r="W7" s="619"/>
      <c r="X7" s="619"/>
      <c r="Y7" s="619"/>
      <c r="Z7" s="619"/>
      <c r="AA7" s="619"/>
      <c r="AB7" s="619"/>
      <c r="AC7" s="619"/>
      <c r="AD7" s="619"/>
      <c r="AE7" s="619"/>
      <c r="AF7" s="619"/>
      <c r="AG7" s="619"/>
      <c r="AH7" s="619"/>
      <c r="AI7" s="619"/>
      <c r="AJ7" s="619"/>
      <c r="AK7" s="619"/>
      <c r="AL7" s="619"/>
    </row>
    <row r="8" spans="1:38" x14ac:dyDescent="0.25">
      <c r="A8" s="619"/>
      <c r="B8" s="619"/>
      <c r="C8" s="619"/>
      <c r="D8" s="619"/>
      <c r="E8" s="619"/>
      <c r="F8" s="619"/>
      <c r="G8" s="619"/>
      <c r="H8" s="619"/>
      <c r="I8" s="619"/>
      <c r="J8" s="619"/>
      <c r="K8" s="619"/>
      <c r="L8" s="619"/>
      <c r="M8" s="619"/>
      <c r="N8" s="619"/>
      <c r="O8" s="619"/>
      <c r="P8" s="619"/>
      <c r="Q8" s="619"/>
      <c r="R8" s="619"/>
      <c r="S8" s="619"/>
      <c r="T8" s="619"/>
      <c r="U8" s="619"/>
      <c r="V8" s="619"/>
      <c r="W8" s="619"/>
      <c r="X8" s="619"/>
      <c r="Y8" s="619"/>
      <c r="Z8" s="619"/>
      <c r="AA8" s="619"/>
      <c r="AB8" s="619"/>
      <c r="AC8" s="619"/>
      <c r="AD8" s="619"/>
      <c r="AE8" s="619"/>
      <c r="AF8" s="619"/>
      <c r="AG8" s="619"/>
      <c r="AH8" s="619"/>
      <c r="AI8" s="619"/>
      <c r="AJ8" s="619"/>
      <c r="AK8" s="619"/>
      <c r="AL8" s="619"/>
    </row>
    <row r="9" spans="1:38" ht="33.75" customHeight="1" x14ac:dyDescent="0.25">
      <c r="A9" s="619"/>
      <c r="B9" s="1166"/>
      <c r="C9" s="1823" t="s">
        <v>3406</v>
      </c>
      <c r="D9" s="1824"/>
      <c r="E9" s="1823" t="s">
        <v>3406</v>
      </c>
      <c r="F9" s="1824"/>
      <c r="G9" s="1823" t="s">
        <v>3406</v>
      </c>
      <c r="H9" s="1824"/>
      <c r="I9" s="1823" t="s">
        <v>3406</v>
      </c>
      <c r="J9" s="1824"/>
      <c r="K9" s="1823" t="s">
        <v>3406</v>
      </c>
      <c r="L9" s="1824"/>
      <c r="M9" s="1823" t="s">
        <v>3406</v>
      </c>
      <c r="N9" s="1824"/>
      <c r="O9" s="619"/>
      <c r="P9" s="619"/>
      <c r="Q9" s="619"/>
      <c r="R9" s="619"/>
      <c r="S9" s="619"/>
      <c r="T9" s="619"/>
      <c r="U9" s="619"/>
      <c r="V9" s="619"/>
      <c r="W9" s="619"/>
      <c r="X9" s="619"/>
      <c r="Y9" s="619"/>
      <c r="Z9" s="619"/>
      <c r="AA9" s="619"/>
      <c r="AB9" s="619"/>
      <c r="AC9" s="619"/>
      <c r="AD9" s="619"/>
      <c r="AE9" s="619"/>
      <c r="AF9" s="619"/>
      <c r="AG9" s="619"/>
      <c r="AH9" s="619"/>
      <c r="AI9" s="619"/>
      <c r="AJ9" s="619"/>
      <c r="AK9" s="619"/>
      <c r="AL9" s="619"/>
    </row>
    <row r="10" spans="1:38" ht="61.5" customHeight="1" thickBot="1" x14ac:dyDescent="0.3">
      <c r="A10" s="619"/>
      <c r="B10" s="1167" t="s">
        <v>108</v>
      </c>
      <c r="C10" s="1815" t="s">
        <v>3475</v>
      </c>
      <c r="D10" s="1816"/>
      <c r="E10" s="1815" t="s">
        <v>3475</v>
      </c>
      <c r="F10" s="1816"/>
      <c r="G10" s="1815" t="s">
        <v>3475</v>
      </c>
      <c r="H10" s="1816"/>
      <c r="I10" s="1815" t="s">
        <v>3475</v>
      </c>
      <c r="J10" s="1816"/>
      <c r="K10" s="1815" t="s">
        <v>3475</v>
      </c>
      <c r="L10" s="1816"/>
      <c r="M10" s="1815" t="s">
        <v>3475</v>
      </c>
      <c r="N10" s="1816"/>
      <c r="O10" s="619"/>
      <c r="P10" s="619"/>
      <c r="Q10" s="619"/>
      <c r="R10" s="619"/>
      <c r="S10" s="619"/>
      <c r="T10" s="619"/>
      <c r="U10" s="619"/>
      <c r="V10" s="619"/>
      <c r="W10" s="619"/>
      <c r="X10" s="619"/>
      <c r="Y10" s="619"/>
      <c r="Z10" s="619"/>
      <c r="AA10" s="619"/>
      <c r="AB10" s="619"/>
      <c r="AC10" s="619"/>
      <c r="AD10" s="619"/>
      <c r="AE10" s="619"/>
      <c r="AF10" s="619"/>
      <c r="AG10" s="619"/>
      <c r="AH10" s="619"/>
      <c r="AI10" s="619"/>
      <c r="AJ10" s="619"/>
      <c r="AK10" s="619"/>
      <c r="AL10" s="619"/>
    </row>
    <row r="11" spans="1:38" ht="15.6" x14ac:dyDescent="0.25">
      <c r="A11" s="619"/>
      <c r="B11" s="1168" t="s">
        <v>2400</v>
      </c>
      <c r="C11" s="1817"/>
      <c r="D11" s="1818"/>
      <c r="E11" s="1817"/>
      <c r="F11" s="1818"/>
      <c r="G11" s="1817"/>
      <c r="H11" s="1818"/>
      <c r="I11" s="1817"/>
      <c r="J11" s="1818"/>
      <c r="K11" s="1817"/>
      <c r="L11" s="1818"/>
      <c r="M11" s="1817"/>
      <c r="N11" s="1818"/>
      <c r="O11" s="619"/>
      <c r="P11" s="619"/>
      <c r="Q11" s="619"/>
      <c r="R11" s="619"/>
      <c r="S11" s="619"/>
      <c r="T11" s="619"/>
      <c r="U11" s="619"/>
      <c r="V11" s="619"/>
      <c r="W11" s="619"/>
      <c r="X11" s="619"/>
      <c r="Y11" s="619"/>
      <c r="Z11" s="619"/>
      <c r="AA11" s="619"/>
      <c r="AB11" s="619"/>
      <c r="AC11" s="619"/>
      <c r="AD11" s="619"/>
      <c r="AE11" s="619"/>
      <c r="AF11" s="619"/>
      <c r="AG11" s="619"/>
      <c r="AH11" s="619"/>
      <c r="AI11" s="619"/>
      <c r="AJ11" s="619"/>
      <c r="AK11" s="619"/>
      <c r="AL11" s="619"/>
    </row>
    <row r="12" spans="1:38" ht="33" thickBot="1" x14ac:dyDescent="0.3">
      <c r="A12" s="619"/>
      <c r="B12" s="1169" t="s">
        <v>7213</v>
      </c>
      <c r="C12" s="1819"/>
      <c r="D12" s="1820"/>
      <c r="E12" s="1819"/>
      <c r="F12" s="1820"/>
      <c r="G12" s="1819"/>
      <c r="H12" s="1820"/>
      <c r="I12" s="1819"/>
      <c r="J12" s="1820"/>
      <c r="K12" s="1819"/>
      <c r="L12" s="1820"/>
      <c r="M12" s="1819"/>
      <c r="N12" s="1820"/>
      <c r="O12" s="619"/>
      <c r="P12" s="619"/>
      <c r="Q12" s="619"/>
      <c r="R12" s="619"/>
      <c r="S12" s="619"/>
      <c r="T12" s="619"/>
      <c r="U12" s="619"/>
      <c r="V12" s="619"/>
      <c r="W12" s="619"/>
      <c r="X12" s="619"/>
      <c r="Y12" s="619"/>
      <c r="Z12" s="619"/>
      <c r="AA12" s="619"/>
      <c r="AB12" s="619"/>
      <c r="AC12" s="619"/>
      <c r="AD12" s="619"/>
      <c r="AE12" s="619"/>
      <c r="AF12" s="619"/>
      <c r="AG12" s="619"/>
      <c r="AH12" s="619"/>
      <c r="AI12" s="619"/>
      <c r="AJ12" s="619"/>
      <c r="AK12" s="619"/>
      <c r="AL12" s="619"/>
    </row>
    <row r="13" spans="1:38" ht="15" customHeight="1" x14ac:dyDescent="0.25">
      <c r="A13" s="619"/>
      <c r="B13" s="1170" t="s">
        <v>7286</v>
      </c>
      <c r="C13" s="1821"/>
      <c r="D13" s="1822"/>
      <c r="E13" s="1821"/>
      <c r="F13" s="1822"/>
      <c r="G13" s="1821"/>
      <c r="H13" s="1822"/>
      <c r="I13" s="1821"/>
      <c r="J13" s="1822"/>
      <c r="K13" s="1821"/>
      <c r="L13" s="1822"/>
      <c r="M13" s="1821"/>
      <c r="N13" s="1822"/>
      <c r="O13" s="619"/>
      <c r="P13" s="619"/>
      <c r="Q13" s="619"/>
      <c r="R13" s="619"/>
      <c r="S13" s="619"/>
      <c r="T13" s="619"/>
      <c r="U13" s="619"/>
      <c r="V13" s="619"/>
      <c r="W13" s="619"/>
      <c r="X13" s="619"/>
      <c r="Y13" s="619"/>
      <c r="Z13" s="619"/>
      <c r="AA13" s="619"/>
      <c r="AB13" s="619"/>
      <c r="AC13" s="619"/>
      <c r="AD13" s="619"/>
      <c r="AE13" s="619"/>
      <c r="AF13" s="619"/>
      <c r="AG13" s="619"/>
      <c r="AH13" s="619"/>
      <c r="AI13" s="619"/>
      <c r="AJ13" s="619"/>
      <c r="AK13" s="619"/>
      <c r="AL13" s="619"/>
    </row>
    <row r="14" spans="1:38" x14ac:dyDescent="0.25">
      <c r="A14" s="619"/>
      <c r="B14" s="1171" t="s">
        <v>7287</v>
      </c>
      <c r="C14" s="1172"/>
      <c r="D14" s="1173"/>
      <c r="E14" s="1172"/>
      <c r="F14" s="1173"/>
      <c r="G14" s="1172"/>
      <c r="H14" s="1173"/>
      <c r="I14" s="1172"/>
      <c r="J14" s="1173"/>
      <c r="K14" s="1172"/>
      <c r="L14" s="1173"/>
      <c r="M14" s="1172"/>
      <c r="N14" s="1173"/>
      <c r="O14" s="619"/>
      <c r="P14" s="619"/>
      <c r="Q14" s="619"/>
      <c r="R14" s="619"/>
      <c r="S14" s="619"/>
      <c r="T14" s="619"/>
      <c r="U14" s="619"/>
      <c r="V14" s="619"/>
      <c r="W14" s="619"/>
      <c r="X14" s="619"/>
      <c r="Y14" s="619"/>
      <c r="Z14" s="619"/>
      <c r="AA14" s="619"/>
      <c r="AB14" s="619"/>
      <c r="AC14" s="619"/>
      <c r="AD14" s="619"/>
      <c r="AE14" s="619"/>
      <c r="AF14" s="619"/>
      <c r="AG14" s="619"/>
      <c r="AH14" s="619"/>
      <c r="AI14" s="619"/>
      <c r="AJ14" s="619"/>
      <c r="AK14" s="619"/>
      <c r="AL14" s="619"/>
    </row>
    <row r="15" spans="1:38" x14ac:dyDescent="0.25">
      <c r="A15" s="619"/>
      <c r="B15" s="1174" t="s">
        <v>7288</v>
      </c>
      <c r="C15" s="1832"/>
      <c r="D15" s="1833"/>
      <c r="E15" s="1832"/>
      <c r="F15" s="1833"/>
      <c r="G15" s="1832"/>
      <c r="H15" s="1833"/>
      <c r="I15" s="1832"/>
      <c r="J15" s="1833"/>
      <c r="K15" s="1832"/>
      <c r="L15" s="1833"/>
      <c r="M15" s="1832"/>
      <c r="N15" s="1833"/>
      <c r="O15" s="619"/>
      <c r="P15" s="619"/>
      <c r="Q15" s="619"/>
      <c r="R15" s="619"/>
      <c r="S15" s="619"/>
      <c r="T15" s="619"/>
      <c r="U15" s="619"/>
      <c r="V15" s="619"/>
      <c r="W15" s="619"/>
      <c r="X15" s="619"/>
      <c r="Y15" s="619"/>
      <c r="Z15" s="619"/>
      <c r="AA15" s="619"/>
      <c r="AB15" s="619"/>
      <c r="AC15" s="619"/>
      <c r="AD15" s="619"/>
      <c r="AE15" s="619"/>
      <c r="AF15" s="619"/>
      <c r="AG15" s="619"/>
      <c r="AH15" s="619"/>
      <c r="AI15" s="619"/>
      <c r="AJ15" s="619"/>
      <c r="AK15" s="619"/>
      <c r="AL15" s="619"/>
    </row>
    <row r="16" spans="1:38" ht="15.6" x14ac:dyDescent="0.25">
      <c r="A16" s="619"/>
      <c r="B16" s="996" t="s">
        <v>5146</v>
      </c>
      <c r="C16" s="1834"/>
      <c r="D16" s="1835"/>
      <c r="E16" s="1834"/>
      <c r="F16" s="1835"/>
      <c r="G16" s="1834"/>
      <c r="H16" s="1835"/>
      <c r="I16" s="1834"/>
      <c r="J16" s="1835"/>
      <c r="K16" s="1834"/>
      <c r="L16" s="1835"/>
      <c r="M16" s="1834"/>
      <c r="N16" s="1835"/>
      <c r="O16" s="619"/>
      <c r="P16" s="619"/>
      <c r="Q16" s="619"/>
      <c r="R16" s="619"/>
      <c r="S16" s="619"/>
      <c r="T16" s="619"/>
      <c r="U16" s="619"/>
      <c r="V16" s="619"/>
      <c r="W16" s="619"/>
      <c r="X16" s="619"/>
      <c r="Y16" s="619"/>
      <c r="Z16" s="619"/>
      <c r="AA16" s="619"/>
      <c r="AB16" s="619"/>
      <c r="AC16" s="619"/>
      <c r="AD16" s="619"/>
      <c r="AE16" s="619"/>
      <c r="AF16" s="619"/>
      <c r="AG16" s="619"/>
      <c r="AH16" s="619"/>
      <c r="AI16" s="619"/>
      <c r="AJ16" s="619"/>
      <c r="AK16" s="619"/>
      <c r="AL16" s="619"/>
    </row>
    <row r="17" spans="1:38" x14ac:dyDescent="0.25">
      <c r="A17" s="619"/>
      <c r="B17" s="996" t="s">
        <v>1118</v>
      </c>
      <c r="C17" s="1834"/>
      <c r="D17" s="1835"/>
      <c r="E17" s="1834"/>
      <c r="F17" s="1835"/>
      <c r="G17" s="1834"/>
      <c r="H17" s="1835"/>
      <c r="I17" s="1834"/>
      <c r="J17" s="1835"/>
      <c r="K17" s="1834"/>
      <c r="L17" s="1835"/>
      <c r="M17" s="1834"/>
      <c r="N17" s="1835"/>
      <c r="O17" s="619"/>
      <c r="P17" s="619"/>
      <c r="Q17" s="619"/>
      <c r="R17" s="619"/>
      <c r="S17" s="619"/>
      <c r="T17" s="619"/>
      <c r="U17" s="619"/>
      <c r="V17" s="619"/>
      <c r="W17" s="619"/>
      <c r="X17" s="619"/>
      <c r="Y17" s="619"/>
      <c r="Z17" s="619"/>
      <c r="AA17" s="619"/>
      <c r="AB17" s="619"/>
      <c r="AC17" s="619"/>
      <c r="AD17" s="619"/>
      <c r="AE17" s="619"/>
      <c r="AF17" s="619"/>
      <c r="AG17" s="619"/>
      <c r="AH17" s="619"/>
      <c r="AI17" s="619"/>
      <c r="AJ17" s="619"/>
      <c r="AK17" s="619"/>
      <c r="AL17" s="619"/>
    </row>
    <row r="18" spans="1:38" x14ac:dyDescent="0.25">
      <c r="A18" s="619"/>
      <c r="B18" s="996" t="s">
        <v>1119</v>
      </c>
      <c r="C18" s="1834"/>
      <c r="D18" s="1835"/>
      <c r="E18" s="1834"/>
      <c r="F18" s="1835"/>
      <c r="G18" s="1834"/>
      <c r="H18" s="1835"/>
      <c r="I18" s="1834"/>
      <c r="J18" s="1835"/>
      <c r="K18" s="1834"/>
      <c r="L18" s="1835"/>
      <c r="M18" s="1834"/>
      <c r="N18" s="1835"/>
      <c r="O18" s="619"/>
      <c r="P18" s="619"/>
      <c r="Q18" s="619"/>
      <c r="R18" s="619"/>
      <c r="S18" s="619"/>
      <c r="T18" s="619"/>
      <c r="U18" s="619"/>
      <c r="V18" s="619"/>
      <c r="W18" s="619"/>
      <c r="X18" s="619"/>
      <c r="Y18" s="619"/>
      <c r="Z18" s="619"/>
      <c r="AA18" s="619"/>
      <c r="AB18" s="619"/>
      <c r="AC18" s="619"/>
      <c r="AD18" s="619"/>
      <c r="AE18" s="619"/>
      <c r="AF18" s="619"/>
      <c r="AG18" s="619"/>
      <c r="AH18" s="619"/>
      <c r="AI18" s="619"/>
      <c r="AJ18" s="619"/>
      <c r="AK18" s="619"/>
      <c r="AL18" s="619"/>
    </row>
    <row r="19" spans="1:38" x14ac:dyDescent="0.25">
      <c r="A19" s="619"/>
      <c r="B19" s="996" t="s">
        <v>1120</v>
      </c>
      <c r="C19" s="1175"/>
      <c r="D19" s="1176"/>
      <c r="E19" s="1175"/>
      <c r="F19" s="1176"/>
      <c r="G19" s="1175"/>
      <c r="H19" s="1176"/>
      <c r="I19" s="1175"/>
      <c r="J19" s="1176"/>
      <c r="K19" s="1175"/>
      <c r="L19" s="1176"/>
      <c r="M19" s="1175"/>
      <c r="N19" s="1176"/>
      <c r="O19" s="619"/>
      <c r="P19" s="619"/>
      <c r="Q19" s="619"/>
      <c r="R19" s="619"/>
      <c r="S19" s="619"/>
      <c r="T19" s="619"/>
      <c r="U19" s="619"/>
      <c r="V19" s="619"/>
      <c r="W19" s="619"/>
      <c r="X19" s="619"/>
      <c r="Y19" s="619"/>
      <c r="Z19" s="619"/>
      <c r="AA19" s="619"/>
      <c r="AB19" s="619"/>
      <c r="AC19" s="619"/>
      <c r="AD19" s="619"/>
      <c r="AE19" s="619"/>
      <c r="AF19" s="619"/>
      <c r="AG19" s="619"/>
      <c r="AH19" s="619"/>
      <c r="AI19" s="619"/>
      <c r="AJ19" s="619"/>
      <c r="AK19" s="619"/>
      <c r="AL19" s="619"/>
    </row>
    <row r="20" spans="1:38" ht="15" customHeight="1" thickBot="1" x14ac:dyDescent="0.3">
      <c r="A20" s="619"/>
      <c r="B20" s="1177" t="s">
        <v>7289</v>
      </c>
      <c r="C20" s="1836"/>
      <c r="D20" s="1837"/>
      <c r="E20" s="1836"/>
      <c r="F20" s="1837"/>
      <c r="G20" s="1836"/>
      <c r="H20" s="1837"/>
      <c r="I20" s="1836"/>
      <c r="J20" s="1837"/>
      <c r="K20" s="1836"/>
      <c r="L20" s="1837"/>
      <c r="M20" s="1836"/>
      <c r="N20" s="1837"/>
      <c r="O20" s="619"/>
      <c r="P20" s="619"/>
      <c r="Q20" s="619"/>
      <c r="R20" s="619"/>
      <c r="S20" s="619"/>
      <c r="T20" s="619"/>
      <c r="U20" s="619"/>
      <c r="V20" s="619"/>
      <c r="W20" s="619"/>
      <c r="X20" s="619"/>
      <c r="Y20" s="619"/>
      <c r="Z20" s="619"/>
      <c r="AA20" s="619"/>
      <c r="AB20" s="619"/>
      <c r="AC20" s="619"/>
      <c r="AD20" s="619"/>
      <c r="AE20" s="619"/>
      <c r="AF20" s="619"/>
      <c r="AG20" s="619"/>
      <c r="AH20" s="619"/>
      <c r="AI20" s="619"/>
      <c r="AJ20" s="619"/>
      <c r="AK20" s="619"/>
      <c r="AL20" s="619"/>
    </row>
    <row r="21" spans="1:38" x14ac:dyDescent="0.25">
      <c r="A21" s="619"/>
      <c r="B21" s="1178" t="s">
        <v>1226</v>
      </c>
      <c r="C21" s="1830"/>
      <c r="D21" s="1831"/>
      <c r="E21" s="1830"/>
      <c r="F21" s="1831"/>
      <c r="G21" s="1830"/>
      <c r="H21" s="1831"/>
      <c r="I21" s="1830"/>
      <c r="J21" s="1831"/>
      <c r="K21" s="1830"/>
      <c r="L21" s="1831"/>
      <c r="M21" s="1830"/>
      <c r="N21" s="1831"/>
      <c r="O21" s="619"/>
      <c r="P21" s="619"/>
      <c r="Q21" s="619"/>
      <c r="R21" s="619"/>
      <c r="S21" s="619"/>
      <c r="T21" s="619"/>
      <c r="U21" s="619"/>
      <c r="V21" s="619"/>
      <c r="W21" s="619"/>
      <c r="X21" s="619"/>
      <c r="Y21" s="619"/>
      <c r="Z21" s="619"/>
      <c r="AA21" s="619"/>
      <c r="AB21" s="619"/>
      <c r="AC21" s="619"/>
      <c r="AD21" s="619"/>
      <c r="AE21" s="619"/>
      <c r="AF21" s="619"/>
      <c r="AG21" s="619"/>
      <c r="AH21" s="619"/>
      <c r="AI21" s="619"/>
      <c r="AJ21" s="619"/>
      <c r="AK21" s="619"/>
      <c r="AL21" s="619"/>
    </row>
    <row r="22" spans="1:38" hidden="1" x14ac:dyDescent="0.25">
      <c r="A22" s="619"/>
      <c r="B22" s="1179"/>
      <c r="C22" s="1838" t="str">
        <f>IF(C9="Name of Scenario Here","", C9)</f>
        <v/>
      </c>
      <c r="D22" s="1839"/>
      <c r="E22" s="1838" t="str">
        <f>IF(E9="Name of Scenario Here","", E9)</f>
        <v/>
      </c>
      <c r="F22" s="1839"/>
      <c r="G22" s="1838" t="str">
        <f>IF(G9="Name of Scenario Here","", G9)</f>
        <v/>
      </c>
      <c r="H22" s="1839"/>
      <c r="I22" s="1838" t="str">
        <f>IF(I9="Name of Scenario Here","", I9)</f>
        <v/>
      </c>
      <c r="J22" s="1839"/>
      <c r="K22" s="1838" t="str">
        <f>IF(K9="Name of Scenario Here","", K9)</f>
        <v/>
      </c>
      <c r="L22" s="1839"/>
      <c r="M22" s="1838" t="str">
        <f>IF(M9="Name of Scenario Here","", M9)</f>
        <v/>
      </c>
      <c r="N22" s="1839"/>
      <c r="O22" s="619"/>
      <c r="P22" s="619"/>
      <c r="Q22" s="619"/>
      <c r="R22" s="619"/>
      <c r="S22" s="619"/>
      <c r="T22" s="619"/>
      <c r="U22" s="619"/>
      <c r="V22" s="619"/>
      <c r="W22" s="619"/>
      <c r="X22" s="619"/>
      <c r="Y22" s="619"/>
      <c r="Z22" s="619"/>
      <c r="AA22" s="619"/>
      <c r="AB22" s="619"/>
      <c r="AC22" s="619"/>
      <c r="AD22" s="619"/>
      <c r="AE22" s="619"/>
      <c r="AF22" s="619"/>
      <c r="AG22" s="619"/>
      <c r="AH22" s="619"/>
      <c r="AI22" s="619"/>
      <c r="AJ22" s="619"/>
      <c r="AK22" s="619"/>
      <c r="AL22" s="619"/>
    </row>
    <row r="23" spans="1:38" x14ac:dyDescent="0.25">
      <c r="A23" s="619"/>
      <c r="B23" s="1179"/>
      <c r="C23" s="1180" t="str">
        <f>IF(C22="","",IF(LOWER(Setting!rng_language)="english","EMISSIONS","ÉMISSIONS"))</f>
        <v/>
      </c>
      <c r="D23" s="1181" t="str">
        <f>IF(C22="","",IF(LOWER(Setting!rng_language)="english","STORAGE","STOCKAGE"))</f>
        <v/>
      </c>
      <c r="E23" s="1180" t="str">
        <f>IF(E22="","",IF(LOWER(Setting!rng_language)="english","EMISSIONS","ÉMISSIONS"))</f>
        <v/>
      </c>
      <c r="F23" s="1181" t="str">
        <f>IF(E22="","",IF(LOWER(Setting!rng_language)="english","STORAGE","STOCKAGE"))</f>
        <v/>
      </c>
      <c r="G23" s="1180" t="str">
        <f>IF(G22="","",IF(LOWER(Setting!rng_language)="english","EMISSIONS","ÉMISSIONS"))</f>
        <v/>
      </c>
      <c r="H23" s="1181" t="str">
        <f>IF(G22="","",IF(LOWER(Setting!rng_language)="english","STORAGE","STOCKAGE"))</f>
        <v/>
      </c>
      <c r="I23" s="1180" t="str">
        <f>IF(I22="","",IF(LOWER(Setting!rng_language)="english","EMISSIONS","ÉMISSIONS"))</f>
        <v/>
      </c>
      <c r="J23" s="1181" t="str">
        <f>IF(I22="","",IF(LOWER(Setting!rng_language)="english","STORAGE","STOCKAGE"))</f>
        <v/>
      </c>
      <c r="K23" s="1180" t="str">
        <f>IF(K22="","",IF(LOWER(Setting!rng_language)="english","EMISSIONS","ÉMISSIONS"))</f>
        <v/>
      </c>
      <c r="L23" s="1181" t="str">
        <f>IF(K22="","",IF(LOWER(Setting!rng_language)="english","STORAGE","STOCKAGE"))</f>
        <v/>
      </c>
      <c r="M23" s="1180" t="str">
        <f>IF(M22="","",IF(LOWER(Setting!rng_language)="english","EMISSIONS","ÉMISSIONS"))</f>
        <v/>
      </c>
      <c r="N23" s="1181" t="str">
        <f>IF(M22="","",IF(LOWER(Setting!rng_language)="english","STORAGE","STOCKAGE"))</f>
        <v/>
      </c>
      <c r="O23" s="619"/>
      <c r="P23" s="619"/>
      <c r="Q23" s="619"/>
      <c r="R23" s="619"/>
      <c r="S23" s="619"/>
      <c r="T23" s="619"/>
      <c r="U23" s="619"/>
      <c r="V23" s="619"/>
      <c r="W23" s="619"/>
      <c r="X23" s="619"/>
      <c r="Y23" s="619"/>
      <c r="Z23" s="619"/>
      <c r="AA23" s="619"/>
      <c r="AB23" s="619"/>
      <c r="AC23" s="619"/>
      <c r="AD23" s="619"/>
      <c r="AE23" s="619"/>
      <c r="AF23" s="619"/>
      <c r="AG23" s="619"/>
      <c r="AH23" s="619"/>
      <c r="AI23" s="619"/>
      <c r="AJ23" s="619"/>
      <c r="AK23" s="619"/>
      <c r="AL23" s="619"/>
    </row>
    <row r="24" spans="1:38" ht="15.6" customHeight="1" x14ac:dyDescent="0.25">
      <c r="A24" s="619"/>
      <c r="B24" s="999" t="s">
        <v>7214</v>
      </c>
      <c r="C24" s="1182"/>
      <c r="D24" s="1182"/>
      <c r="E24" s="1182"/>
      <c r="F24" s="1182"/>
      <c r="G24" s="1182"/>
      <c r="H24" s="1182"/>
      <c r="I24" s="1182"/>
      <c r="J24" s="1182"/>
      <c r="K24" s="1182"/>
      <c r="L24" s="1182"/>
      <c r="M24" s="1182"/>
      <c r="N24" s="1182"/>
      <c r="O24" s="619"/>
      <c r="P24" s="619"/>
      <c r="Q24" s="619"/>
      <c r="R24" s="619"/>
      <c r="S24" s="619"/>
      <c r="T24" s="619"/>
      <c r="U24" s="619"/>
      <c r="V24" s="619"/>
      <c r="W24" s="619"/>
      <c r="X24" s="619"/>
      <c r="Y24" s="619"/>
      <c r="Z24" s="619"/>
      <c r="AA24" s="619"/>
      <c r="AB24" s="619"/>
      <c r="AC24" s="619"/>
      <c r="AD24" s="619"/>
      <c r="AE24" s="619"/>
      <c r="AF24" s="619"/>
      <c r="AG24" s="619"/>
      <c r="AH24" s="619"/>
      <c r="AI24" s="619"/>
      <c r="AJ24" s="619"/>
      <c r="AK24" s="619"/>
      <c r="AL24" s="619"/>
    </row>
    <row r="25" spans="1:38" ht="15.6" customHeight="1" x14ac:dyDescent="0.25">
      <c r="A25" s="619"/>
      <c r="B25" s="1000" t="s">
        <v>7215</v>
      </c>
      <c r="C25" s="1182"/>
      <c r="D25" s="1182"/>
      <c r="E25" s="1182"/>
      <c r="F25" s="1182"/>
      <c r="G25" s="1182"/>
      <c r="H25" s="1182"/>
      <c r="I25" s="1182"/>
      <c r="J25" s="1182"/>
      <c r="K25" s="1182"/>
      <c r="L25" s="1182"/>
      <c r="M25" s="1182"/>
      <c r="N25" s="1182"/>
      <c r="O25" s="619"/>
      <c r="P25" s="619"/>
      <c r="Q25" s="619"/>
      <c r="R25" s="619"/>
      <c r="S25" s="619"/>
      <c r="T25" s="619"/>
      <c r="U25" s="619"/>
      <c r="V25" s="619"/>
      <c r="W25" s="619"/>
      <c r="X25" s="619"/>
      <c r="Y25" s="619"/>
      <c r="Z25" s="619"/>
      <c r="AA25" s="619"/>
      <c r="AB25" s="619"/>
      <c r="AC25" s="619"/>
      <c r="AD25" s="619"/>
      <c r="AE25" s="619"/>
      <c r="AF25" s="619"/>
      <c r="AG25" s="619"/>
      <c r="AH25" s="619"/>
      <c r="AI25" s="619"/>
      <c r="AJ25" s="619"/>
      <c r="AK25" s="619"/>
      <c r="AL25" s="619"/>
    </row>
    <row r="26" spans="1:38" ht="27" customHeight="1" x14ac:dyDescent="0.25">
      <c r="A26" s="619"/>
      <c r="B26" s="1000" t="s">
        <v>7216</v>
      </c>
      <c r="C26" s="1182"/>
      <c r="D26" s="1182"/>
      <c r="E26" s="1182"/>
      <c r="F26" s="1182"/>
      <c r="G26" s="1182"/>
      <c r="H26" s="1182"/>
      <c r="I26" s="1182"/>
      <c r="J26" s="1182"/>
      <c r="K26" s="1182"/>
      <c r="L26" s="1182"/>
      <c r="M26" s="1182"/>
      <c r="N26" s="1182"/>
      <c r="O26" s="619"/>
      <c r="P26" s="619"/>
      <c r="Q26" s="619"/>
      <c r="R26" s="619"/>
      <c r="S26" s="619"/>
      <c r="T26" s="619"/>
      <c r="U26" s="619"/>
      <c r="V26" s="619"/>
      <c r="W26" s="619"/>
      <c r="X26" s="619"/>
      <c r="Y26" s="619"/>
      <c r="Z26" s="619"/>
      <c r="AA26" s="619"/>
      <c r="AB26" s="619"/>
      <c r="AC26" s="619"/>
      <c r="AD26" s="619"/>
      <c r="AE26" s="619"/>
      <c r="AF26" s="619"/>
      <c r="AG26" s="619"/>
      <c r="AH26" s="619"/>
      <c r="AI26" s="619"/>
      <c r="AJ26" s="619"/>
      <c r="AK26" s="619"/>
      <c r="AL26" s="619"/>
    </row>
    <row r="27" spans="1:38" ht="15.6" x14ac:dyDescent="0.25">
      <c r="A27" s="619"/>
      <c r="B27" s="1000" t="s">
        <v>7217</v>
      </c>
      <c r="C27" s="1182"/>
      <c r="D27" s="1182"/>
      <c r="E27" s="1182"/>
      <c r="F27" s="1182"/>
      <c r="G27" s="1182"/>
      <c r="H27" s="1182"/>
      <c r="I27" s="1182"/>
      <c r="J27" s="1182"/>
      <c r="K27" s="1182"/>
      <c r="L27" s="1182"/>
      <c r="M27" s="1182"/>
      <c r="N27" s="1182"/>
      <c r="O27" s="619"/>
      <c r="P27" s="619"/>
      <c r="Q27" s="619"/>
      <c r="R27" s="619"/>
      <c r="S27" s="619"/>
      <c r="T27" s="619"/>
      <c r="U27" s="619"/>
      <c r="V27" s="619"/>
      <c r="W27" s="619"/>
      <c r="X27" s="619"/>
      <c r="Y27" s="619"/>
      <c r="Z27" s="619"/>
      <c r="AA27" s="619"/>
      <c r="AB27" s="619"/>
      <c r="AC27" s="619"/>
      <c r="AD27" s="619"/>
      <c r="AE27" s="619"/>
      <c r="AF27" s="619"/>
      <c r="AG27" s="619"/>
      <c r="AH27" s="619"/>
      <c r="AI27" s="619"/>
      <c r="AJ27" s="619"/>
      <c r="AK27" s="619"/>
      <c r="AL27" s="619"/>
    </row>
    <row r="28" spans="1:38" ht="15.6" customHeight="1" x14ac:dyDescent="0.25">
      <c r="A28" s="619"/>
      <c r="B28" s="1000" t="s">
        <v>7218</v>
      </c>
      <c r="C28" s="1182"/>
      <c r="D28" s="1182"/>
      <c r="E28" s="1182"/>
      <c r="F28" s="1182"/>
      <c r="G28" s="1182"/>
      <c r="H28" s="1182"/>
      <c r="I28" s="1182"/>
      <c r="J28" s="1182"/>
      <c r="K28" s="1182"/>
      <c r="L28" s="1182"/>
      <c r="M28" s="1182"/>
      <c r="N28" s="1182"/>
      <c r="O28" s="619"/>
      <c r="P28" s="619"/>
      <c r="Q28" s="619"/>
      <c r="R28" s="619"/>
      <c r="S28" s="619"/>
      <c r="T28" s="619"/>
      <c r="U28" s="619"/>
      <c r="V28" s="619"/>
      <c r="W28" s="619"/>
      <c r="X28" s="619"/>
      <c r="Y28" s="619"/>
      <c r="Z28" s="619"/>
      <c r="AA28" s="619"/>
      <c r="AB28" s="619"/>
      <c r="AC28" s="619"/>
      <c r="AD28" s="619"/>
      <c r="AE28" s="619"/>
      <c r="AF28" s="619"/>
      <c r="AG28" s="619"/>
      <c r="AH28" s="619"/>
      <c r="AI28" s="619"/>
      <c r="AJ28" s="619"/>
      <c r="AK28" s="619"/>
      <c r="AL28" s="619"/>
    </row>
    <row r="29" spans="1:38" ht="15.6" x14ac:dyDescent="0.25">
      <c r="A29" s="619"/>
      <c r="B29" s="1000" t="s">
        <v>7227</v>
      </c>
      <c r="C29" s="1182"/>
      <c r="D29" s="1182"/>
      <c r="E29" s="1182"/>
      <c r="F29" s="1182"/>
      <c r="G29" s="1182"/>
      <c r="H29" s="1182"/>
      <c r="I29" s="1182"/>
      <c r="J29" s="1182"/>
      <c r="K29" s="1182"/>
      <c r="L29" s="1182"/>
      <c r="M29" s="1182"/>
      <c r="N29" s="1182"/>
      <c r="O29" s="619"/>
      <c r="P29" s="619"/>
      <c r="Q29" s="619"/>
      <c r="R29" s="619"/>
      <c r="S29" s="619"/>
      <c r="T29" s="619"/>
      <c r="U29" s="619"/>
      <c r="V29" s="619"/>
      <c r="W29" s="619"/>
      <c r="X29" s="619"/>
      <c r="Y29" s="619"/>
      <c r="Z29" s="619"/>
      <c r="AA29" s="619"/>
      <c r="AB29" s="619"/>
      <c r="AC29" s="619"/>
      <c r="AD29" s="619"/>
      <c r="AE29" s="619"/>
      <c r="AF29" s="619"/>
      <c r="AG29" s="619"/>
      <c r="AH29" s="619"/>
      <c r="AI29" s="619"/>
      <c r="AJ29" s="619"/>
      <c r="AK29" s="619"/>
      <c r="AL29" s="619"/>
    </row>
    <row r="30" spans="1:38" ht="15" customHeight="1" x14ac:dyDescent="0.25">
      <c r="A30" s="619"/>
      <c r="B30" s="1000" t="s">
        <v>7226</v>
      </c>
      <c r="C30" s="1182"/>
      <c r="D30" s="1182"/>
      <c r="E30" s="1182"/>
      <c r="F30" s="1182"/>
      <c r="G30" s="1182"/>
      <c r="H30" s="1182"/>
      <c r="I30" s="1182"/>
      <c r="J30" s="1182"/>
      <c r="K30" s="1182"/>
      <c r="L30" s="1182"/>
      <c r="M30" s="1182"/>
      <c r="N30" s="1182"/>
      <c r="O30" s="619"/>
      <c r="P30" s="619"/>
      <c r="Q30" s="619"/>
      <c r="R30" s="619"/>
      <c r="S30" s="619"/>
      <c r="T30" s="619"/>
      <c r="U30" s="619"/>
      <c r="V30" s="619"/>
      <c r="W30" s="619"/>
      <c r="X30" s="619"/>
      <c r="Y30" s="619"/>
      <c r="Z30" s="619"/>
      <c r="AA30" s="619"/>
      <c r="AB30" s="619"/>
      <c r="AC30" s="619"/>
      <c r="AD30" s="619"/>
      <c r="AE30" s="619"/>
      <c r="AF30" s="619"/>
      <c r="AG30" s="619"/>
      <c r="AH30" s="619"/>
      <c r="AI30" s="619"/>
      <c r="AJ30" s="619"/>
      <c r="AK30" s="619"/>
      <c r="AL30" s="619"/>
    </row>
    <row r="31" spans="1:38" ht="15" customHeight="1" x14ac:dyDescent="0.25">
      <c r="A31" s="619"/>
      <c r="B31" s="1000" t="s">
        <v>7225</v>
      </c>
      <c r="C31" s="1182"/>
      <c r="D31" s="1182"/>
      <c r="E31" s="1182"/>
      <c r="F31" s="1182"/>
      <c r="G31" s="1182"/>
      <c r="H31" s="1182"/>
      <c r="I31" s="1182"/>
      <c r="J31" s="1182"/>
      <c r="K31" s="1182"/>
      <c r="L31" s="1182"/>
      <c r="M31" s="1182"/>
      <c r="N31" s="1182"/>
      <c r="O31" s="619"/>
      <c r="P31" s="619"/>
      <c r="Q31" s="619"/>
      <c r="R31" s="619"/>
      <c r="S31" s="619"/>
      <c r="T31" s="619"/>
      <c r="U31" s="619"/>
      <c r="V31" s="619"/>
      <c r="W31" s="619"/>
      <c r="X31" s="619"/>
      <c r="Y31" s="619"/>
      <c r="Z31" s="619"/>
      <c r="AA31" s="619"/>
      <c r="AB31" s="619"/>
      <c r="AC31" s="619"/>
      <c r="AD31" s="619"/>
      <c r="AE31" s="619"/>
      <c r="AF31" s="619"/>
      <c r="AG31" s="619"/>
      <c r="AH31" s="619"/>
      <c r="AI31" s="619"/>
      <c r="AJ31" s="619"/>
      <c r="AK31" s="619"/>
      <c r="AL31" s="619"/>
    </row>
    <row r="32" spans="1:38" ht="15" customHeight="1" x14ac:dyDescent="0.25">
      <c r="A32" s="619"/>
      <c r="B32" s="1000" t="s">
        <v>7224</v>
      </c>
      <c r="C32" s="1182"/>
      <c r="D32" s="1182"/>
      <c r="E32" s="1182"/>
      <c r="F32" s="1182"/>
      <c r="G32" s="1182"/>
      <c r="H32" s="1182"/>
      <c r="I32" s="1182"/>
      <c r="J32" s="1182"/>
      <c r="K32" s="1182"/>
      <c r="L32" s="1182"/>
      <c r="M32" s="1182"/>
      <c r="N32" s="1182"/>
      <c r="O32" s="619"/>
      <c r="P32" s="619"/>
      <c r="Q32" s="619"/>
      <c r="R32" s="619"/>
      <c r="S32" s="619"/>
      <c r="T32" s="619"/>
      <c r="U32" s="619"/>
      <c r="V32" s="619"/>
      <c r="W32" s="619"/>
      <c r="X32" s="619"/>
      <c r="Y32" s="619"/>
      <c r="Z32" s="619"/>
      <c r="AA32" s="619"/>
      <c r="AB32" s="619"/>
      <c r="AC32" s="619"/>
      <c r="AD32" s="619"/>
      <c r="AE32" s="619"/>
      <c r="AF32" s="619"/>
      <c r="AG32" s="619"/>
      <c r="AH32" s="619"/>
      <c r="AI32" s="619"/>
      <c r="AJ32" s="619"/>
      <c r="AK32" s="619"/>
      <c r="AL32" s="619"/>
    </row>
    <row r="33" spans="1:38" ht="15" customHeight="1" x14ac:dyDescent="0.25">
      <c r="A33" s="619"/>
      <c r="B33" s="1000" t="s">
        <v>7223</v>
      </c>
      <c r="C33" s="1182"/>
      <c r="D33" s="1182"/>
      <c r="E33" s="1182"/>
      <c r="F33" s="1182"/>
      <c r="G33" s="1182"/>
      <c r="H33" s="1182"/>
      <c r="I33" s="1182"/>
      <c r="J33" s="1182"/>
      <c r="K33" s="1182"/>
      <c r="L33" s="1182"/>
      <c r="M33" s="1182"/>
      <c r="N33" s="1182"/>
      <c r="O33" s="619"/>
      <c r="P33" s="619"/>
      <c r="Q33" s="619"/>
      <c r="R33" s="619"/>
      <c r="S33" s="619"/>
      <c r="T33" s="619"/>
      <c r="U33" s="619"/>
      <c r="V33" s="619"/>
      <c r="W33" s="619"/>
      <c r="X33" s="619"/>
      <c r="Y33" s="619"/>
      <c r="Z33" s="619"/>
      <c r="AA33" s="619"/>
      <c r="AB33" s="619"/>
      <c r="AC33" s="619"/>
      <c r="AD33" s="619"/>
      <c r="AE33" s="619"/>
      <c r="AF33" s="619"/>
      <c r="AG33" s="619"/>
      <c r="AH33" s="619"/>
      <c r="AI33" s="619"/>
      <c r="AJ33" s="619"/>
      <c r="AK33" s="619"/>
      <c r="AL33" s="619"/>
    </row>
    <row r="34" spans="1:38" ht="15" customHeight="1" x14ac:dyDescent="0.25">
      <c r="A34" s="619"/>
      <c r="B34" s="1000" t="s">
        <v>7222</v>
      </c>
      <c r="C34" s="1182"/>
      <c r="D34" s="1182"/>
      <c r="E34" s="1182"/>
      <c r="F34" s="1182"/>
      <c r="G34" s="1182"/>
      <c r="H34" s="1182"/>
      <c r="I34" s="1182"/>
      <c r="J34" s="1182"/>
      <c r="K34" s="1182"/>
      <c r="L34" s="1182"/>
      <c r="M34" s="1182"/>
      <c r="N34" s="1182"/>
      <c r="O34" s="619"/>
      <c r="P34" s="619"/>
      <c r="Q34" s="619"/>
      <c r="R34" s="619"/>
      <c r="S34" s="619"/>
      <c r="T34" s="619"/>
      <c r="U34" s="619"/>
      <c r="V34" s="619"/>
      <c r="W34" s="619"/>
      <c r="X34" s="619"/>
      <c r="Y34" s="619"/>
      <c r="Z34" s="619"/>
      <c r="AA34" s="619"/>
      <c r="AB34" s="619"/>
      <c r="AC34" s="619"/>
      <c r="AD34" s="619"/>
      <c r="AE34" s="619"/>
      <c r="AF34" s="619"/>
      <c r="AG34" s="619"/>
      <c r="AH34" s="619"/>
      <c r="AI34" s="619"/>
      <c r="AJ34" s="619"/>
      <c r="AK34" s="619"/>
      <c r="AL34" s="619"/>
    </row>
    <row r="35" spans="1:38" ht="15.6" x14ac:dyDescent="0.25">
      <c r="A35" s="619"/>
      <c r="B35" s="1000" t="s">
        <v>7221</v>
      </c>
      <c r="C35" s="1182"/>
      <c r="D35" s="1182"/>
      <c r="E35" s="1182"/>
      <c r="F35" s="1182"/>
      <c r="G35" s="1182"/>
      <c r="H35" s="1182"/>
      <c r="I35" s="1182"/>
      <c r="J35" s="1182"/>
      <c r="K35" s="1182"/>
      <c r="L35" s="1182"/>
      <c r="M35" s="1182"/>
      <c r="N35" s="1182"/>
      <c r="O35" s="619"/>
      <c r="P35" s="619"/>
      <c r="Q35" s="619"/>
      <c r="R35" s="619"/>
      <c r="S35" s="619"/>
      <c r="T35" s="619"/>
      <c r="U35" s="619"/>
      <c r="V35" s="619"/>
      <c r="W35" s="619"/>
      <c r="X35" s="619"/>
      <c r="Y35" s="619"/>
      <c r="Z35" s="619"/>
      <c r="AA35" s="619"/>
      <c r="AB35" s="619"/>
      <c r="AC35" s="619"/>
      <c r="AD35" s="619"/>
      <c r="AE35" s="619"/>
      <c r="AF35" s="619"/>
      <c r="AG35" s="619"/>
      <c r="AH35" s="619"/>
      <c r="AI35" s="619"/>
      <c r="AJ35" s="619"/>
      <c r="AK35" s="619"/>
      <c r="AL35" s="619"/>
    </row>
    <row r="36" spans="1:38" ht="15.6" x14ac:dyDescent="0.25">
      <c r="A36" s="619"/>
      <c r="B36" s="1000" t="s">
        <v>7220</v>
      </c>
      <c r="C36" s="1182"/>
      <c r="D36" s="1182"/>
      <c r="E36" s="1182"/>
      <c r="F36" s="1182"/>
      <c r="G36" s="1182"/>
      <c r="H36" s="1182"/>
      <c r="I36" s="1182"/>
      <c r="J36" s="1182"/>
      <c r="K36" s="1182"/>
      <c r="L36" s="1182"/>
      <c r="M36" s="1182"/>
      <c r="N36" s="1182"/>
      <c r="O36" s="619"/>
      <c r="P36" s="619"/>
      <c r="Q36" s="619"/>
      <c r="R36" s="619"/>
      <c r="S36" s="619"/>
      <c r="T36" s="619"/>
      <c r="U36" s="619"/>
      <c r="V36" s="619"/>
      <c r="W36" s="619"/>
      <c r="X36" s="619"/>
      <c r="Y36" s="619"/>
      <c r="Z36" s="619"/>
      <c r="AA36" s="619"/>
      <c r="AB36" s="619"/>
      <c r="AC36" s="619"/>
      <c r="AD36" s="619"/>
      <c r="AE36" s="619"/>
      <c r="AF36" s="619"/>
      <c r="AG36" s="619"/>
      <c r="AH36" s="619"/>
      <c r="AI36" s="619"/>
      <c r="AJ36" s="619"/>
      <c r="AK36" s="619"/>
      <c r="AL36" s="619"/>
    </row>
    <row r="37" spans="1:38" ht="15.6" x14ac:dyDescent="0.25">
      <c r="A37" s="619"/>
      <c r="B37" s="1000" t="s">
        <v>7219</v>
      </c>
      <c r="C37" s="1182"/>
      <c r="D37" s="1182"/>
      <c r="E37" s="1182"/>
      <c r="F37" s="1182"/>
      <c r="G37" s="1182"/>
      <c r="H37" s="1182"/>
      <c r="I37" s="1182"/>
      <c r="J37" s="1182"/>
      <c r="K37" s="1182"/>
      <c r="L37" s="1182"/>
      <c r="M37" s="1182"/>
      <c r="N37" s="1182"/>
      <c r="O37" s="619"/>
      <c r="P37" s="619"/>
      <c r="Q37" s="619"/>
      <c r="R37" s="619"/>
      <c r="S37" s="619"/>
      <c r="T37" s="619"/>
      <c r="U37" s="619"/>
      <c r="V37" s="619"/>
      <c r="W37" s="619"/>
      <c r="X37" s="619"/>
      <c r="Y37" s="619"/>
      <c r="Z37" s="619"/>
      <c r="AA37" s="619"/>
      <c r="AB37" s="619"/>
      <c r="AC37" s="619"/>
      <c r="AD37" s="619"/>
      <c r="AE37" s="619"/>
      <c r="AF37" s="619"/>
      <c r="AG37" s="619"/>
      <c r="AH37" s="619"/>
      <c r="AI37" s="619"/>
      <c r="AJ37" s="619"/>
      <c r="AK37" s="619"/>
      <c r="AL37" s="619"/>
    </row>
    <row r="38" spans="1:38" x14ac:dyDescent="0.25">
      <c r="A38" s="619"/>
      <c r="B38" s="619"/>
      <c r="C38" s="619"/>
      <c r="D38" s="619"/>
      <c r="E38" s="619"/>
      <c r="F38" s="619"/>
      <c r="G38" s="619"/>
      <c r="H38" s="619"/>
      <c r="I38" s="619"/>
      <c r="J38" s="619"/>
      <c r="K38" s="619"/>
      <c r="L38" s="619"/>
      <c r="M38" s="619"/>
      <c r="N38" s="619"/>
      <c r="O38" s="619"/>
      <c r="P38" s="619"/>
      <c r="Q38" s="619"/>
      <c r="R38" s="619"/>
      <c r="S38" s="619"/>
      <c r="T38" s="619"/>
      <c r="U38" s="619"/>
      <c r="V38" s="619"/>
      <c r="W38" s="619"/>
      <c r="X38" s="619"/>
      <c r="Y38" s="619"/>
      <c r="Z38" s="619"/>
      <c r="AA38" s="619"/>
      <c r="AB38" s="619"/>
      <c r="AC38" s="619"/>
      <c r="AD38" s="619"/>
      <c r="AE38" s="619"/>
      <c r="AF38" s="619"/>
      <c r="AG38" s="619"/>
      <c r="AH38" s="619"/>
      <c r="AI38" s="619"/>
      <c r="AJ38" s="619"/>
      <c r="AK38" s="619"/>
      <c r="AL38" s="619"/>
    </row>
    <row r="39" spans="1:38" hidden="1" x14ac:dyDescent="0.25">
      <c r="A39" s="619"/>
      <c r="B39" s="1183" t="str">
        <f>B24</f>
        <v>Footings &amp; Slabs (kg CO2e)</v>
      </c>
      <c r="C39" s="710">
        <f>C24</f>
        <v>0</v>
      </c>
      <c r="D39" s="710">
        <f>-D24</f>
        <v>0</v>
      </c>
      <c r="E39" s="710">
        <f>E24</f>
        <v>0</v>
      </c>
      <c r="F39" s="710">
        <f>-F24</f>
        <v>0</v>
      </c>
      <c r="G39" s="710">
        <f>G24</f>
        <v>0</v>
      </c>
      <c r="H39" s="710">
        <f>-H24</f>
        <v>0</v>
      </c>
      <c r="I39" s="710">
        <f>I24</f>
        <v>0</v>
      </c>
      <c r="J39" s="710">
        <f>-J24</f>
        <v>0</v>
      </c>
      <c r="K39" s="710">
        <f>K24</f>
        <v>0</v>
      </c>
      <c r="L39" s="710">
        <f>-L24</f>
        <v>0</v>
      </c>
      <c r="M39" s="710">
        <f>M24</f>
        <v>0</v>
      </c>
      <c r="N39" s="710">
        <f>-N24</f>
        <v>0</v>
      </c>
      <c r="O39" s="619"/>
      <c r="P39" s="619"/>
      <c r="Q39" s="619"/>
      <c r="R39" s="619"/>
      <c r="S39" s="619"/>
      <c r="T39" s="619"/>
      <c r="U39" s="619"/>
      <c r="V39" s="619"/>
      <c r="W39" s="619"/>
      <c r="X39" s="619"/>
      <c r="Y39" s="619"/>
      <c r="Z39" s="619"/>
      <c r="AA39" s="619"/>
      <c r="AB39" s="619"/>
      <c r="AC39" s="619"/>
      <c r="AD39" s="619"/>
      <c r="AE39" s="619"/>
      <c r="AF39" s="619"/>
      <c r="AG39" s="619"/>
      <c r="AH39" s="619"/>
      <c r="AI39" s="619"/>
      <c r="AJ39" s="619"/>
      <c r="AK39" s="619"/>
      <c r="AL39" s="619"/>
    </row>
    <row r="40" spans="1:38" hidden="1" x14ac:dyDescent="0.25">
      <c r="A40" s="619"/>
      <c r="B40" s="1183" t="str">
        <f t="shared" ref="B40:C52" si="0">B25</f>
        <v>Foundation Walls (kg CO2e)</v>
      </c>
      <c r="C40" s="710">
        <f t="shared" si="0"/>
        <v>0</v>
      </c>
      <c r="D40" s="710">
        <f t="shared" ref="D40:F52" si="1">-D25</f>
        <v>0</v>
      </c>
      <c r="E40" s="710">
        <f t="shared" ref="E40" si="2">E25</f>
        <v>0</v>
      </c>
      <c r="F40" s="710">
        <f t="shared" si="1"/>
        <v>0</v>
      </c>
      <c r="G40" s="710">
        <f t="shared" ref="G40" si="3">G25</f>
        <v>0</v>
      </c>
      <c r="H40" s="710">
        <f t="shared" ref="H40" si="4">-H25</f>
        <v>0</v>
      </c>
      <c r="I40" s="710">
        <f t="shared" ref="I40" si="5">I25</f>
        <v>0</v>
      </c>
      <c r="J40" s="710">
        <f t="shared" ref="J40" si="6">-J25</f>
        <v>0</v>
      </c>
      <c r="K40" s="710">
        <f t="shared" ref="K40" si="7">K25</f>
        <v>0</v>
      </c>
      <c r="L40" s="710">
        <f t="shared" ref="L40" si="8">-L25</f>
        <v>0</v>
      </c>
      <c r="M40" s="710">
        <f t="shared" ref="M40" si="9">M25</f>
        <v>0</v>
      </c>
      <c r="N40" s="710">
        <f t="shared" ref="N40" si="10">-N25</f>
        <v>0</v>
      </c>
      <c r="O40" s="619"/>
      <c r="P40" s="619"/>
      <c r="Q40" s="619"/>
      <c r="R40" s="619"/>
      <c r="S40" s="619"/>
      <c r="T40" s="619"/>
      <c r="U40" s="619"/>
      <c r="V40" s="619"/>
      <c r="W40" s="619"/>
      <c r="X40" s="619"/>
      <c r="Y40" s="619"/>
      <c r="Z40" s="619"/>
      <c r="AA40" s="619"/>
      <c r="AB40" s="619"/>
      <c r="AC40" s="619"/>
      <c r="AD40" s="619"/>
      <c r="AE40" s="619"/>
      <c r="AF40" s="619"/>
      <c r="AG40" s="619"/>
      <c r="AH40" s="619"/>
      <c r="AI40" s="619"/>
      <c r="AJ40" s="619"/>
      <c r="AK40" s="619"/>
      <c r="AL40" s="619"/>
    </row>
    <row r="41" spans="1:38" hidden="1" x14ac:dyDescent="0.25">
      <c r="A41" s="619"/>
      <c r="B41" s="1183" t="str">
        <f t="shared" si="0"/>
        <v>Structural Elements (kg CO2e)</v>
      </c>
      <c r="C41" s="710">
        <f t="shared" si="0"/>
        <v>0</v>
      </c>
      <c r="D41" s="710">
        <f t="shared" si="1"/>
        <v>0</v>
      </c>
      <c r="E41" s="710">
        <f t="shared" ref="E41" si="11">E26</f>
        <v>0</v>
      </c>
      <c r="F41" s="710">
        <f t="shared" si="1"/>
        <v>0</v>
      </c>
      <c r="G41" s="710">
        <f t="shared" ref="G41" si="12">G26</f>
        <v>0</v>
      </c>
      <c r="H41" s="710">
        <f t="shared" ref="H41" si="13">-H26</f>
        <v>0</v>
      </c>
      <c r="I41" s="710">
        <f t="shared" ref="I41" si="14">I26</f>
        <v>0</v>
      </c>
      <c r="J41" s="710">
        <f t="shared" ref="J41" si="15">-J26</f>
        <v>0</v>
      </c>
      <c r="K41" s="710">
        <f t="shared" ref="K41" si="16">K26</f>
        <v>0</v>
      </c>
      <c r="L41" s="710">
        <f t="shared" ref="L41" si="17">-L26</f>
        <v>0</v>
      </c>
      <c r="M41" s="710">
        <f t="shared" ref="M41" si="18">M26</f>
        <v>0</v>
      </c>
      <c r="N41" s="710">
        <f t="shared" ref="N41" si="19">-N26</f>
        <v>0</v>
      </c>
      <c r="O41" s="619"/>
      <c r="P41" s="619"/>
      <c r="Q41" s="619"/>
      <c r="R41" s="619"/>
      <c r="S41" s="619"/>
      <c r="T41" s="619"/>
      <c r="U41" s="619"/>
      <c r="V41" s="619"/>
      <c r="W41" s="619"/>
      <c r="X41" s="619"/>
      <c r="Y41" s="619"/>
      <c r="Z41" s="619"/>
      <c r="AA41" s="619"/>
      <c r="AB41" s="619"/>
      <c r="AC41" s="619"/>
      <c r="AD41" s="619"/>
      <c r="AE41" s="619"/>
      <c r="AF41" s="619"/>
      <c r="AG41" s="619"/>
      <c r="AH41" s="619"/>
      <c r="AI41" s="619"/>
      <c r="AJ41" s="619"/>
      <c r="AK41" s="619"/>
      <c r="AL41" s="619"/>
    </row>
    <row r="42" spans="1:38" hidden="1" x14ac:dyDescent="0.25">
      <c r="A42" s="619"/>
      <c r="B42" s="1183" t="str">
        <f t="shared" si="0"/>
        <v>Ext. Walls (kg CO2e / m2)</v>
      </c>
      <c r="C42" s="710">
        <f t="shared" si="0"/>
        <v>0</v>
      </c>
      <c r="D42" s="710">
        <f t="shared" si="1"/>
        <v>0</v>
      </c>
      <c r="E42" s="710">
        <f t="shared" ref="E42" si="20">E27</f>
        <v>0</v>
      </c>
      <c r="F42" s="710">
        <f t="shared" si="1"/>
        <v>0</v>
      </c>
      <c r="G42" s="710">
        <f t="shared" ref="G42" si="21">G27</f>
        <v>0</v>
      </c>
      <c r="H42" s="710">
        <f t="shared" ref="H42" si="22">-H27</f>
        <v>0</v>
      </c>
      <c r="I42" s="710">
        <f t="shared" ref="I42" si="23">I27</f>
        <v>0</v>
      </c>
      <c r="J42" s="710">
        <f t="shared" ref="J42" si="24">-J27</f>
        <v>0</v>
      </c>
      <c r="K42" s="710">
        <f t="shared" ref="K42" si="25">K27</f>
        <v>0</v>
      </c>
      <c r="L42" s="710">
        <f t="shared" ref="L42" si="26">-L27</f>
        <v>0</v>
      </c>
      <c r="M42" s="710">
        <f t="shared" ref="M42" si="27">M27</f>
        <v>0</v>
      </c>
      <c r="N42" s="710">
        <f t="shared" ref="N42" si="28">-N27</f>
        <v>0</v>
      </c>
      <c r="O42" s="619"/>
      <c r="P42" s="619"/>
      <c r="Q42" s="619"/>
      <c r="R42" s="619"/>
      <c r="S42" s="619"/>
      <c r="T42" s="619"/>
      <c r="U42" s="619"/>
      <c r="V42" s="619"/>
      <c r="W42" s="619"/>
      <c r="X42" s="619"/>
      <c r="Y42" s="619"/>
      <c r="Z42" s="619"/>
      <c r="AA42" s="619"/>
      <c r="AB42" s="619"/>
      <c r="AC42" s="619"/>
      <c r="AD42" s="619"/>
      <c r="AE42" s="619"/>
      <c r="AF42" s="619"/>
      <c r="AG42" s="619"/>
      <c r="AH42" s="619"/>
      <c r="AI42" s="619"/>
      <c r="AJ42" s="619"/>
      <c r="AK42" s="619"/>
      <c r="AL42" s="619"/>
    </row>
    <row r="43" spans="1:38" hidden="1" x14ac:dyDescent="0.25">
      <c r="A43" s="619"/>
      <c r="B43" s="1183" t="str">
        <f t="shared" si="0"/>
        <v>Ext. Wall Systems (kg CO2e)</v>
      </c>
      <c r="C43" s="710">
        <f t="shared" si="0"/>
        <v>0</v>
      </c>
      <c r="D43" s="710">
        <f t="shared" si="1"/>
        <v>0</v>
      </c>
      <c r="E43" s="710">
        <f t="shared" ref="E43" si="29">E28</f>
        <v>0</v>
      </c>
      <c r="F43" s="710">
        <f t="shared" si="1"/>
        <v>0</v>
      </c>
      <c r="G43" s="710">
        <f t="shared" ref="G43" si="30">G28</f>
        <v>0</v>
      </c>
      <c r="H43" s="710">
        <f t="shared" ref="H43" si="31">-H28</f>
        <v>0</v>
      </c>
      <c r="I43" s="710">
        <f t="shared" ref="I43" si="32">I28</f>
        <v>0</v>
      </c>
      <c r="J43" s="710">
        <f t="shared" ref="J43" si="33">-J28</f>
        <v>0</v>
      </c>
      <c r="K43" s="710">
        <f t="shared" ref="K43" si="34">K28</f>
        <v>0</v>
      </c>
      <c r="L43" s="710">
        <f t="shared" ref="L43" si="35">-L28</f>
        <v>0</v>
      </c>
      <c r="M43" s="710">
        <f t="shared" ref="M43" si="36">M28</f>
        <v>0</v>
      </c>
      <c r="N43" s="710">
        <f t="shared" ref="N43" si="37">-N28</f>
        <v>0</v>
      </c>
      <c r="O43" s="619"/>
      <c r="P43" s="619"/>
      <c r="Q43" s="619"/>
      <c r="R43" s="619"/>
      <c r="S43" s="619"/>
      <c r="T43" s="619"/>
      <c r="U43" s="619"/>
      <c r="V43" s="619"/>
      <c r="W43" s="619"/>
      <c r="X43" s="619"/>
      <c r="Y43" s="619"/>
      <c r="Z43" s="619"/>
      <c r="AA43" s="619"/>
      <c r="AB43" s="619"/>
      <c r="AC43" s="619"/>
      <c r="AD43" s="619"/>
      <c r="AE43" s="619"/>
      <c r="AF43" s="619"/>
      <c r="AG43" s="619"/>
      <c r="AH43" s="619"/>
      <c r="AI43" s="619"/>
      <c r="AJ43" s="619"/>
      <c r="AK43" s="619"/>
      <c r="AL43" s="619"/>
    </row>
    <row r="44" spans="1:38" hidden="1" x14ac:dyDescent="0.25">
      <c r="A44" s="619"/>
      <c r="B44" s="1183" t="str">
        <f t="shared" si="0"/>
        <v>Party Walls (kg CO2e)</v>
      </c>
      <c r="C44" s="710">
        <f t="shared" si="0"/>
        <v>0</v>
      </c>
      <c r="D44" s="710">
        <f t="shared" si="1"/>
        <v>0</v>
      </c>
      <c r="E44" s="710">
        <f t="shared" ref="E44" si="38">E29</f>
        <v>0</v>
      </c>
      <c r="F44" s="710">
        <f t="shared" si="1"/>
        <v>0</v>
      </c>
      <c r="G44" s="710">
        <f t="shared" ref="G44" si="39">G29</f>
        <v>0</v>
      </c>
      <c r="H44" s="710">
        <f t="shared" ref="H44" si="40">-H29</f>
        <v>0</v>
      </c>
      <c r="I44" s="710">
        <f t="shared" ref="I44" si="41">I29</f>
        <v>0</v>
      </c>
      <c r="J44" s="710">
        <f t="shared" ref="J44" si="42">-J29</f>
        <v>0</v>
      </c>
      <c r="K44" s="710">
        <f t="shared" ref="K44" si="43">K29</f>
        <v>0</v>
      </c>
      <c r="L44" s="710">
        <f t="shared" ref="L44" si="44">-L29</f>
        <v>0</v>
      </c>
      <c r="M44" s="710">
        <f t="shared" ref="M44" si="45">M29</f>
        <v>0</v>
      </c>
      <c r="N44" s="710">
        <f t="shared" ref="N44" si="46">-N29</f>
        <v>0</v>
      </c>
      <c r="O44" s="619"/>
      <c r="P44" s="619"/>
      <c r="Q44" s="619"/>
      <c r="R44" s="619"/>
      <c r="S44" s="619"/>
      <c r="T44" s="619"/>
      <c r="U44" s="619"/>
      <c r="V44" s="619"/>
      <c r="W44" s="619"/>
      <c r="X44" s="619"/>
      <c r="Y44" s="619"/>
      <c r="Z44" s="619"/>
      <c r="AA44" s="619"/>
      <c r="AB44" s="619"/>
      <c r="AC44" s="619"/>
      <c r="AD44" s="619"/>
      <c r="AE44" s="619"/>
      <c r="AF44" s="619"/>
      <c r="AG44" s="619"/>
      <c r="AH44" s="619"/>
      <c r="AI44" s="619"/>
      <c r="AJ44" s="619"/>
      <c r="AK44" s="619"/>
      <c r="AL44" s="619"/>
    </row>
    <row r="45" spans="1:38" hidden="1" x14ac:dyDescent="0.25">
      <c r="A45" s="619"/>
      <c r="B45" s="1183" t="str">
        <f t="shared" si="0"/>
        <v>Cladding (kg CO2e)</v>
      </c>
      <c r="C45" s="710">
        <f t="shared" si="0"/>
        <v>0</v>
      </c>
      <c r="D45" s="710">
        <f t="shared" si="1"/>
        <v>0</v>
      </c>
      <c r="E45" s="710">
        <f t="shared" ref="E45" si="47">E30</f>
        <v>0</v>
      </c>
      <c r="F45" s="710">
        <f t="shared" si="1"/>
        <v>0</v>
      </c>
      <c r="G45" s="710">
        <f t="shared" ref="G45" si="48">G30</f>
        <v>0</v>
      </c>
      <c r="H45" s="710">
        <f t="shared" ref="H45" si="49">-H30</f>
        <v>0</v>
      </c>
      <c r="I45" s="710">
        <f t="shared" ref="I45" si="50">I30</f>
        <v>0</v>
      </c>
      <c r="J45" s="710">
        <f t="shared" ref="J45" si="51">-J30</f>
        <v>0</v>
      </c>
      <c r="K45" s="710">
        <f t="shared" ref="K45" si="52">K30</f>
        <v>0</v>
      </c>
      <c r="L45" s="710">
        <f t="shared" ref="L45" si="53">-L30</f>
        <v>0</v>
      </c>
      <c r="M45" s="710">
        <f t="shared" ref="M45" si="54">M30</f>
        <v>0</v>
      </c>
      <c r="N45" s="710">
        <f t="shared" ref="N45" si="55">-N30</f>
        <v>0</v>
      </c>
      <c r="O45" s="619"/>
      <c r="P45" s="619"/>
      <c r="Q45" s="619"/>
      <c r="R45" s="619"/>
      <c r="S45" s="619"/>
      <c r="T45" s="619"/>
      <c r="U45" s="619"/>
      <c r="V45" s="619"/>
      <c r="W45" s="619"/>
      <c r="X45" s="619"/>
      <c r="Y45" s="619"/>
      <c r="Z45" s="619"/>
      <c r="AA45" s="619"/>
      <c r="AB45" s="619"/>
      <c r="AC45" s="619"/>
      <c r="AD45" s="619"/>
      <c r="AE45" s="619"/>
      <c r="AF45" s="619"/>
      <c r="AG45" s="619"/>
      <c r="AH45" s="619"/>
      <c r="AI45" s="619"/>
      <c r="AJ45" s="619"/>
      <c r="AK45" s="619"/>
      <c r="AL45" s="619"/>
    </row>
    <row r="46" spans="1:38" hidden="1" x14ac:dyDescent="0.25">
      <c r="A46" s="619"/>
      <c r="B46" s="1183" t="str">
        <f t="shared" si="0"/>
        <v>Windows (kg CO2e)</v>
      </c>
      <c r="C46" s="710">
        <f t="shared" si="0"/>
        <v>0</v>
      </c>
      <c r="D46" s="710">
        <f t="shared" si="1"/>
        <v>0</v>
      </c>
      <c r="E46" s="710">
        <f t="shared" ref="E46" si="56">E31</f>
        <v>0</v>
      </c>
      <c r="F46" s="710">
        <f t="shared" si="1"/>
        <v>0</v>
      </c>
      <c r="G46" s="710">
        <f t="shared" ref="G46" si="57">G31</f>
        <v>0</v>
      </c>
      <c r="H46" s="710">
        <f t="shared" ref="H46" si="58">-H31</f>
        <v>0</v>
      </c>
      <c r="I46" s="710">
        <f t="shared" ref="I46" si="59">I31</f>
        <v>0</v>
      </c>
      <c r="J46" s="710">
        <f t="shared" ref="J46" si="60">-J31</f>
        <v>0</v>
      </c>
      <c r="K46" s="710">
        <f t="shared" ref="K46" si="61">K31</f>
        <v>0</v>
      </c>
      <c r="L46" s="710">
        <f t="shared" ref="L46" si="62">-L31</f>
        <v>0</v>
      </c>
      <c r="M46" s="710">
        <f t="shared" ref="M46" si="63">M31</f>
        <v>0</v>
      </c>
      <c r="N46" s="710">
        <f t="shared" ref="N46" si="64">-N31</f>
        <v>0</v>
      </c>
      <c r="O46" s="619"/>
      <c r="P46" s="619"/>
      <c r="Q46" s="619"/>
      <c r="R46" s="619"/>
      <c r="S46" s="619"/>
      <c r="T46" s="619"/>
      <c r="U46" s="619"/>
      <c r="V46" s="619"/>
      <c r="W46" s="619"/>
      <c r="X46" s="619"/>
      <c r="Y46" s="619"/>
      <c r="Z46" s="619"/>
      <c r="AA46" s="619"/>
      <c r="AB46" s="619"/>
      <c r="AC46" s="619"/>
      <c r="AD46" s="619"/>
      <c r="AE46" s="619"/>
      <c r="AF46" s="619"/>
      <c r="AG46" s="619"/>
      <c r="AH46" s="619"/>
      <c r="AI46" s="619"/>
      <c r="AJ46" s="619"/>
      <c r="AK46" s="619"/>
      <c r="AL46" s="619"/>
    </row>
    <row r="47" spans="1:38" hidden="1" x14ac:dyDescent="0.25">
      <c r="A47" s="619"/>
      <c r="B47" s="1183" t="str">
        <f t="shared" si="0"/>
        <v>Int. Walls (kg CO2e)</v>
      </c>
      <c r="C47" s="710">
        <f t="shared" si="0"/>
        <v>0</v>
      </c>
      <c r="D47" s="710">
        <f t="shared" si="1"/>
        <v>0</v>
      </c>
      <c r="E47" s="710">
        <f t="shared" ref="E47" si="65">E32</f>
        <v>0</v>
      </c>
      <c r="F47" s="710">
        <f t="shared" si="1"/>
        <v>0</v>
      </c>
      <c r="G47" s="710">
        <f t="shared" ref="G47" si="66">G32</f>
        <v>0</v>
      </c>
      <c r="H47" s="710">
        <f t="shared" ref="H47" si="67">-H32</f>
        <v>0</v>
      </c>
      <c r="I47" s="710">
        <f t="shared" ref="I47" si="68">I32</f>
        <v>0</v>
      </c>
      <c r="J47" s="710">
        <f t="shared" ref="J47" si="69">-J32</f>
        <v>0</v>
      </c>
      <c r="K47" s="710">
        <f t="shared" ref="K47" si="70">K32</f>
        <v>0</v>
      </c>
      <c r="L47" s="710">
        <f t="shared" ref="L47" si="71">-L32</f>
        <v>0</v>
      </c>
      <c r="M47" s="710">
        <f t="shared" ref="M47" si="72">M32</f>
        <v>0</v>
      </c>
      <c r="N47" s="710">
        <f t="shared" ref="N47" si="73">-N32</f>
        <v>0</v>
      </c>
      <c r="O47" s="619"/>
      <c r="P47" s="619"/>
      <c r="Q47" s="619"/>
      <c r="R47" s="619"/>
      <c r="S47" s="619"/>
      <c r="T47" s="619"/>
      <c r="U47" s="619"/>
      <c r="V47" s="619"/>
      <c r="W47" s="619"/>
      <c r="X47" s="619"/>
      <c r="Y47" s="619"/>
      <c r="Z47" s="619"/>
      <c r="AA47" s="619"/>
      <c r="AB47" s="619"/>
      <c r="AC47" s="619"/>
      <c r="AD47" s="619"/>
      <c r="AE47" s="619"/>
      <c r="AF47" s="619"/>
      <c r="AG47" s="619"/>
      <c r="AH47" s="619"/>
      <c r="AI47" s="619"/>
      <c r="AJ47" s="619"/>
      <c r="AK47" s="619"/>
      <c r="AL47" s="619"/>
    </row>
    <row r="48" spans="1:38" hidden="1" x14ac:dyDescent="0.25">
      <c r="A48" s="619"/>
      <c r="B48" s="1183" t="str">
        <f t="shared" si="0"/>
        <v>Floors (kg CO2e)</v>
      </c>
      <c r="C48" s="710">
        <f t="shared" si="0"/>
        <v>0</v>
      </c>
      <c r="D48" s="710">
        <f t="shared" si="1"/>
        <v>0</v>
      </c>
      <c r="E48" s="710">
        <f t="shared" ref="E48" si="74">E33</f>
        <v>0</v>
      </c>
      <c r="F48" s="710">
        <f t="shared" si="1"/>
        <v>0</v>
      </c>
      <c r="G48" s="710">
        <f t="shared" ref="G48" si="75">G33</f>
        <v>0</v>
      </c>
      <c r="H48" s="710">
        <f t="shared" ref="H48" si="76">-H33</f>
        <v>0</v>
      </c>
      <c r="I48" s="710">
        <f t="shared" ref="I48" si="77">I33</f>
        <v>0</v>
      </c>
      <c r="J48" s="710">
        <f t="shared" ref="J48" si="78">-J33</f>
        <v>0</v>
      </c>
      <c r="K48" s="710">
        <f t="shared" ref="K48" si="79">K33</f>
        <v>0</v>
      </c>
      <c r="L48" s="710">
        <f t="shared" ref="L48" si="80">-L33</f>
        <v>0</v>
      </c>
      <c r="M48" s="710">
        <f t="shared" ref="M48" si="81">M33</f>
        <v>0</v>
      </c>
      <c r="N48" s="710">
        <f t="shared" ref="N48" si="82">-N33</f>
        <v>0</v>
      </c>
      <c r="O48" s="619"/>
      <c r="P48" s="619"/>
      <c r="Q48" s="619"/>
      <c r="R48" s="619"/>
      <c r="S48" s="619"/>
      <c r="T48" s="619"/>
      <c r="U48" s="619"/>
      <c r="V48" s="619"/>
      <c r="W48" s="619"/>
      <c r="X48" s="619"/>
      <c r="Y48" s="619"/>
      <c r="Z48" s="619"/>
      <c r="AA48" s="619"/>
      <c r="AB48" s="619"/>
      <c r="AC48" s="619"/>
      <c r="AD48" s="619"/>
      <c r="AE48" s="619"/>
      <c r="AF48" s="619"/>
      <c r="AG48" s="619"/>
      <c r="AH48" s="619"/>
      <c r="AI48" s="619"/>
      <c r="AJ48" s="619"/>
      <c r="AK48" s="619"/>
      <c r="AL48" s="619"/>
    </row>
    <row r="49" spans="1:38" hidden="1" x14ac:dyDescent="0.25">
      <c r="A49" s="619"/>
      <c r="B49" s="1183" t="str">
        <f t="shared" si="0"/>
        <v>Ceilings (kg CO2e)</v>
      </c>
      <c r="C49" s="710">
        <f t="shared" si="0"/>
        <v>0</v>
      </c>
      <c r="D49" s="710">
        <f t="shared" si="1"/>
        <v>0</v>
      </c>
      <c r="E49" s="710">
        <f t="shared" ref="E49" si="83">E34</f>
        <v>0</v>
      </c>
      <c r="F49" s="710">
        <f t="shared" si="1"/>
        <v>0</v>
      </c>
      <c r="G49" s="710">
        <f t="shared" ref="G49" si="84">G34</f>
        <v>0</v>
      </c>
      <c r="H49" s="710">
        <f t="shared" ref="H49" si="85">-H34</f>
        <v>0</v>
      </c>
      <c r="I49" s="710">
        <f t="shared" ref="I49" si="86">I34</f>
        <v>0</v>
      </c>
      <c r="J49" s="710">
        <f t="shared" ref="J49" si="87">-J34</f>
        <v>0</v>
      </c>
      <c r="K49" s="710">
        <f t="shared" ref="K49" si="88">K34</f>
        <v>0</v>
      </c>
      <c r="L49" s="710">
        <f t="shared" ref="L49" si="89">-L34</f>
        <v>0</v>
      </c>
      <c r="M49" s="710">
        <f t="shared" ref="M49" si="90">M34</f>
        <v>0</v>
      </c>
      <c r="N49" s="710">
        <f t="shared" ref="N49" si="91">-N34</f>
        <v>0</v>
      </c>
      <c r="O49" s="619"/>
      <c r="P49" s="619"/>
      <c r="Q49" s="619"/>
      <c r="R49" s="619"/>
      <c r="S49" s="619"/>
      <c r="T49" s="619"/>
      <c r="U49" s="619"/>
      <c r="V49" s="619"/>
      <c r="W49" s="619"/>
      <c r="X49" s="619"/>
      <c r="Y49" s="619"/>
      <c r="Z49" s="619"/>
      <c r="AA49" s="619"/>
      <c r="AB49" s="619"/>
      <c r="AC49" s="619"/>
      <c r="AD49" s="619"/>
      <c r="AE49" s="619"/>
      <c r="AF49" s="619"/>
      <c r="AG49" s="619"/>
      <c r="AH49" s="619"/>
      <c r="AI49" s="619"/>
      <c r="AJ49" s="619"/>
      <c r="AK49" s="619"/>
      <c r="AL49" s="619"/>
    </row>
    <row r="50" spans="1:38" hidden="1" x14ac:dyDescent="0.25">
      <c r="A50" s="619"/>
      <c r="B50" s="1183" t="str">
        <f t="shared" si="0"/>
        <v>Roof (kg CO2e)</v>
      </c>
      <c r="C50" s="710">
        <f t="shared" si="0"/>
        <v>0</v>
      </c>
      <c r="D50" s="710">
        <f t="shared" si="1"/>
        <v>0</v>
      </c>
      <c r="E50" s="710">
        <f t="shared" ref="E50" si="92">E35</f>
        <v>0</v>
      </c>
      <c r="F50" s="710">
        <f t="shared" si="1"/>
        <v>0</v>
      </c>
      <c r="G50" s="710">
        <f t="shared" ref="G50" si="93">G35</f>
        <v>0</v>
      </c>
      <c r="H50" s="710">
        <f t="shared" ref="H50" si="94">-H35</f>
        <v>0</v>
      </c>
      <c r="I50" s="710">
        <f t="shared" ref="I50" si="95">I35</f>
        <v>0</v>
      </c>
      <c r="J50" s="710">
        <f t="shared" ref="J50" si="96">-J35</f>
        <v>0</v>
      </c>
      <c r="K50" s="710">
        <f t="shared" ref="K50" si="97">K35</f>
        <v>0</v>
      </c>
      <c r="L50" s="710">
        <f t="shared" ref="L50" si="98">-L35</f>
        <v>0</v>
      </c>
      <c r="M50" s="710">
        <f t="shared" ref="M50" si="99">M35</f>
        <v>0</v>
      </c>
      <c r="N50" s="710">
        <f t="shared" ref="N50" si="100">-N35</f>
        <v>0</v>
      </c>
      <c r="O50" s="619"/>
      <c r="P50" s="619"/>
      <c r="Q50" s="619"/>
      <c r="R50" s="619"/>
      <c r="S50" s="619"/>
      <c r="T50" s="619"/>
      <c r="U50" s="619"/>
      <c r="V50" s="619"/>
      <c r="W50" s="619"/>
      <c r="X50" s="619"/>
      <c r="Y50" s="619"/>
      <c r="Z50" s="619"/>
      <c r="AA50" s="619"/>
      <c r="AB50" s="619"/>
      <c r="AC50" s="619"/>
      <c r="AD50" s="619"/>
      <c r="AE50" s="619"/>
      <c r="AF50" s="619"/>
      <c r="AG50" s="619"/>
      <c r="AH50" s="619"/>
      <c r="AI50" s="619"/>
      <c r="AJ50" s="619"/>
      <c r="AK50" s="619"/>
      <c r="AL50" s="619"/>
    </row>
    <row r="51" spans="1:38" hidden="1" x14ac:dyDescent="0.25">
      <c r="A51" s="619"/>
      <c r="B51" s="1183" t="str">
        <f t="shared" si="0"/>
        <v>Garage (kg CO2e)</v>
      </c>
      <c r="C51" s="710">
        <f t="shared" si="0"/>
        <v>0</v>
      </c>
      <c r="D51" s="710">
        <f t="shared" si="1"/>
        <v>0</v>
      </c>
      <c r="E51" s="710">
        <f t="shared" ref="E51" si="101">E36</f>
        <v>0</v>
      </c>
      <c r="F51" s="710">
        <f t="shared" si="1"/>
        <v>0</v>
      </c>
      <c r="G51" s="710">
        <f t="shared" ref="G51" si="102">G36</f>
        <v>0</v>
      </c>
      <c r="H51" s="710">
        <f t="shared" ref="H51" si="103">-H36</f>
        <v>0</v>
      </c>
      <c r="I51" s="710">
        <f t="shared" ref="I51" si="104">I36</f>
        <v>0</v>
      </c>
      <c r="J51" s="710">
        <f t="shared" ref="J51" si="105">-J36</f>
        <v>0</v>
      </c>
      <c r="K51" s="710">
        <f t="shared" ref="K51" si="106">K36</f>
        <v>0</v>
      </c>
      <c r="L51" s="710">
        <f t="shared" ref="L51" si="107">-L36</f>
        <v>0</v>
      </c>
      <c r="M51" s="710">
        <f t="shared" ref="M51" si="108">M36</f>
        <v>0</v>
      </c>
      <c r="N51" s="710">
        <f t="shared" ref="N51" si="109">-N36</f>
        <v>0</v>
      </c>
      <c r="O51" s="619"/>
      <c r="P51" s="619"/>
      <c r="Q51" s="619"/>
      <c r="R51" s="619"/>
      <c r="S51" s="619"/>
      <c r="T51" s="619"/>
      <c r="U51" s="619"/>
      <c r="V51" s="619"/>
      <c r="W51" s="619"/>
      <c r="X51" s="619"/>
      <c r="Y51" s="619"/>
      <c r="Z51" s="619"/>
      <c r="AA51" s="619"/>
      <c r="AB51" s="619"/>
      <c r="AC51" s="619"/>
      <c r="AD51" s="619"/>
      <c r="AE51" s="619"/>
      <c r="AF51" s="619"/>
      <c r="AG51" s="619"/>
      <c r="AH51" s="619"/>
      <c r="AI51" s="619"/>
      <c r="AJ51" s="619"/>
      <c r="AK51" s="619"/>
      <c r="AL51" s="619"/>
    </row>
    <row r="52" spans="1:38" hidden="1" x14ac:dyDescent="0.25">
      <c r="A52" s="619"/>
      <c r="B52" s="1183" t="str">
        <f t="shared" si="0"/>
        <v>User-Defined (kg CO2e)</v>
      </c>
      <c r="C52" s="710">
        <f t="shared" si="0"/>
        <v>0</v>
      </c>
      <c r="D52" s="710">
        <f t="shared" si="1"/>
        <v>0</v>
      </c>
      <c r="E52" s="710">
        <f t="shared" ref="E52" si="110">E37</f>
        <v>0</v>
      </c>
      <c r="F52" s="710">
        <f t="shared" si="1"/>
        <v>0</v>
      </c>
      <c r="G52" s="710">
        <f t="shared" ref="G52" si="111">G37</f>
        <v>0</v>
      </c>
      <c r="H52" s="710">
        <f t="shared" ref="H52" si="112">-H37</f>
        <v>0</v>
      </c>
      <c r="I52" s="710">
        <f t="shared" ref="I52" si="113">I37</f>
        <v>0</v>
      </c>
      <c r="J52" s="710">
        <f t="shared" ref="J52" si="114">-J37</f>
        <v>0</v>
      </c>
      <c r="K52" s="710">
        <f t="shared" ref="K52" si="115">K37</f>
        <v>0</v>
      </c>
      <c r="L52" s="710">
        <f t="shared" ref="L52" si="116">-L37</f>
        <v>0</v>
      </c>
      <c r="M52" s="710">
        <f t="shared" ref="M52" si="117">M37</f>
        <v>0</v>
      </c>
      <c r="N52" s="710">
        <f t="shared" ref="N52" si="118">-N37</f>
        <v>0</v>
      </c>
      <c r="O52" s="619"/>
      <c r="P52" s="619"/>
      <c r="Q52" s="619"/>
      <c r="R52" s="619"/>
      <c r="S52" s="619"/>
      <c r="T52" s="619"/>
      <c r="U52" s="619"/>
      <c r="V52" s="619"/>
      <c r="W52" s="619"/>
      <c r="X52" s="619"/>
      <c r="Y52" s="619"/>
      <c r="Z52" s="619"/>
      <c r="AA52" s="619"/>
      <c r="AB52" s="619"/>
      <c r="AC52" s="619"/>
      <c r="AD52" s="619"/>
      <c r="AE52" s="619"/>
      <c r="AF52" s="619"/>
      <c r="AG52" s="619"/>
      <c r="AH52" s="619"/>
      <c r="AI52" s="619"/>
      <c r="AJ52" s="619"/>
      <c r="AK52" s="619"/>
      <c r="AL52" s="619"/>
    </row>
    <row r="53" spans="1:38" x14ac:dyDescent="0.25">
      <c r="A53" s="619"/>
      <c r="B53" s="619"/>
      <c r="C53" s="619"/>
      <c r="D53" s="619"/>
      <c r="E53" s="619"/>
      <c r="F53" s="619"/>
      <c r="G53" s="619"/>
      <c r="H53" s="619"/>
      <c r="I53" s="619"/>
      <c r="J53" s="619"/>
      <c r="K53" s="619"/>
      <c r="L53" s="619"/>
      <c r="M53" s="619"/>
      <c r="N53" s="619"/>
      <c r="O53" s="619"/>
      <c r="P53" s="619"/>
      <c r="Q53" s="619"/>
      <c r="R53" s="619"/>
      <c r="S53" s="619"/>
      <c r="T53" s="619"/>
      <c r="U53" s="619"/>
      <c r="V53" s="619"/>
      <c r="W53" s="619"/>
      <c r="X53" s="619"/>
      <c r="Y53" s="619"/>
      <c r="Z53" s="619"/>
      <c r="AA53" s="619"/>
      <c r="AB53" s="619"/>
      <c r="AC53" s="619"/>
      <c r="AD53" s="619"/>
      <c r="AE53" s="619"/>
      <c r="AF53" s="619"/>
      <c r="AG53" s="619"/>
      <c r="AH53" s="619"/>
      <c r="AI53" s="619"/>
      <c r="AJ53" s="619"/>
      <c r="AK53" s="619"/>
      <c r="AL53" s="619"/>
    </row>
    <row r="54" spans="1:38" x14ac:dyDescent="0.25">
      <c r="A54" s="619"/>
      <c r="B54" s="619"/>
      <c r="C54" s="619"/>
      <c r="D54" s="619"/>
      <c r="E54" s="619"/>
      <c r="F54" s="619"/>
      <c r="G54" s="619"/>
      <c r="H54" s="619"/>
      <c r="I54" s="619"/>
      <c r="J54" s="619"/>
      <c r="K54" s="619"/>
      <c r="L54" s="619"/>
      <c r="M54" s="619"/>
      <c r="N54" s="619"/>
      <c r="O54" s="619"/>
      <c r="P54" s="619"/>
      <c r="Q54" s="619"/>
      <c r="R54" s="619"/>
      <c r="S54" s="619"/>
      <c r="T54" s="619"/>
      <c r="U54" s="619"/>
      <c r="V54" s="619"/>
      <c r="W54" s="619"/>
      <c r="X54" s="619"/>
      <c r="Y54" s="619"/>
      <c r="Z54" s="619"/>
      <c r="AA54" s="619"/>
      <c r="AB54" s="619"/>
      <c r="AC54" s="619"/>
      <c r="AD54" s="619"/>
      <c r="AE54" s="619"/>
      <c r="AF54" s="619"/>
      <c r="AG54" s="619"/>
      <c r="AH54" s="619"/>
      <c r="AI54" s="619"/>
      <c r="AJ54" s="619"/>
      <c r="AK54" s="619"/>
      <c r="AL54" s="619"/>
    </row>
    <row r="55" spans="1:38" x14ac:dyDescent="0.25">
      <c r="A55" s="619"/>
      <c r="B55" s="619"/>
      <c r="C55" s="619"/>
      <c r="D55" s="619"/>
      <c r="E55" s="619"/>
      <c r="F55" s="619"/>
      <c r="G55" s="619"/>
      <c r="H55" s="619"/>
      <c r="I55" s="619"/>
      <c r="J55" s="619"/>
      <c r="K55" s="619"/>
      <c r="L55" s="619"/>
      <c r="M55" s="619"/>
      <c r="N55" s="619"/>
      <c r="O55" s="619"/>
      <c r="P55" s="619"/>
      <c r="Q55" s="619"/>
      <c r="R55" s="619"/>
      <c r="S55" s="619"/>
      <c r="T55" s="619"/>
      <c r="U55" s="619"/>
      <c r="V55" s="619"/>
      <c r="W55" s="619"/>
      <c r="X55" s="619"/>
      <c r="Y55" s="619"/>
      <c r="Z55" s="619"/>
      <c r="AA55" s="619"/>
      <c r="AB55" s="619"/>
      <c r="AC55" s="619"/>
      <c r="AD55" s="619"/>
      <c r="AE55" s="619"/>
      <c r="AF55" s="619"/>
      <c r="AG55" s="619"/>
      <c r="AH55" s="619"/>
      <c r="AI55" s="619"/>
      <c r="AJ55" s="619"/>
      <c r="AK55" s="619"/>
      <c r="AL55" s="619"/>
    </row>
    <row r="56" spans="1:38" x14ac:dyDescent="0.25">
      <c r="A56" s="619"/>
      <c r="B56" s="619"/>
      <c r="C56" s="619"/>
      <c r="D56" s="619"/>
      <c r="E56" s="619"/>
      <c r="F56" s="619"/>
      <c r="G56" s="619"/>
      <c r="H56" s="619"/>
      <c r="I56" s="619"/>
      <c r="J56" s="619"/>
      <c r="K56" s="619"/>
      <c r="L56" s="619"/>
      <c r="M56" s="619"/>
      <c r="N56" s="619"/>
      <c r="O56" s="619"/>
      <c r="P56" s="619"/>
      <c r="Q56" s="619"/>
      <c r="R56" s="619"/>
      <c r="S56" s="619"/>
      <c r="T56" s="619"/>
      <c r="U56" s="619"/>
      <c r="V56" s="619"/>
      <c r="W56" s="619"/>
      <c r="X56" s="619"/>
      <c r="Y56" s="619"/>
      <c r="Z56" s="619"/>
      <c r="AA56" s="619"/>
      <c r="AB56" s="619"/>
      <c r="AC56" s="619"/>
      <c r="AD56" s="619"/>
      <c r="AE56" s="619"/>
      <c r="AF56" s="619"/>
      <c r="AG56" s="619"/>
      <c r="AH56" s="619"/>
      <c r="AI56" s="619"/>
      <c r="AJ56" s="619"/>
      <c r="AK56" s="619"/>
      <c r="AL56" s="619"/>
    </row>
    <row r="57" spans="1:38" x14ac:dyDescent="0.25">
      <c r="A57" s="619"/>
      <c r="B57" s="619"/>
      <c r="C57" s="619"/>
      <c r="D57" s="619"/>
      <c r="E57" s="619"/>
      <c r="F57" s="619"/>
      <c r="G57" s="619"/>
      <c r="H57" s="619"/>
      <c r="I57" s="619"/>
      <c r="J57" s="619"/>
      <c r="K57" s="619"/>
      <c r="L57" s="619"/>
      <c r="M57" s="619"/>
      <c r="N57" s="619"/>
      <c r="O57" s="619"/>
      <c r="P57" s="619"/>
      <c r="Q57" s="619"/>
      <c r="R57" s="619"/>
      <c r="S57" s="619"/>
      <c r="T57" s="619"/>
      <c r="U57" s="619"/>
      <c r="V57" s="619"/>
      <c r="W57" s="619"/>
      <c r="X57" s="619"/>
      <c r="Y57" s="619"/>
      <c r="Z57" s="619"/>
      <c r="AA57" s="619"/>
      <c r="AB57" s="619"/>
      <c r="AC57" s="619"/>
      <c r="AD57" s="619"/>
      <c r="AE57" s="619"/>
      <c r="AF57" s="619"/>
      <c r="AG57" s="619"/>
      <c r="AH57" s="619"/>
      <c r="AI57" s="619"/>
      <c r="AJ57" s="619"/>
      <c r="AK57" s="619"/>
      <c r="AL57" s="619"/>
    </row>
    <row r="58" spans="1:38" x14ac:dyDescent="0.25">
      <c r="A58" s="619"/>
      <c r="B58" s="619"/>
      <c r="C58" s="619"/>
      <c r="D58" s="619"/>
      <c r="E58" s="619"/>
      <c r="F58" s="619"/>
      <c r="G58" s="619"/>
      <c r="H58" s="619"/>
      <c r="I58" s="619"/>
      <c r="J58" s="619"/>
      <c r="K58" s="619"/>
      <c r="L58" s="619"/>
      <c r="M58" s="619"/>
      <c r="N58" s="619"/>
      <c r="O58" s="619"/>
      <c r="P58" s="619"/>
      <c r="Q58" s="619"/>
      <c r="R58" s="619"/>
      <c r="S58" s="619"/>
      <c r="T58" s="619"/>
      <c r="U58" s="619"/>
      <c r="V58" s="619"/>
      <c r="W58" s="619"/>
      <c r="X58" s="619"/>
      <c r="Y58" s="619"/>
      <c r="Z58" s="619"/>
      <c r="AA58" s="619"/>
      <c r="AB58" s="619"/>
      <c r="AC58" s="619"/>
      <c r="AD58" s="619"/>
      <c r="AE58" s="619"/>
      <c r="AF58" s="619"/>
      <c r="AG58" s="619"/>
      <c r="AH58" s="619"/>
      <c r="AI58" s="619"/>
      <c r="AJ58" s="619"/>
      <c r="AK58" s="619"/>
      <c r="AL58" s="619"/>
    </row>
    <row r="59" spans="1:38" x14ac:dyDescent="0.25">
      <c r="A59" s="619"/>
      <c r="B59" s="619"/>
      <c r="C59" s="619"/>
      <c r="D59" s="619"/>
      <c r="E59" s="619"/>
      <c r="F59" s="619"/>
      <c r="G59" s="619"/>
      <c r="H59" s="619"/>
      <c r="I59" s="619"/>
      <c r="J59" s="619"/>
      <c r="K59" s="619"/>
      <c r="L59" s="619"/>
      <c r="M59" s="619"/>
      <c r="N59" s="619"/>
      <c r="O59" s="619"/>
      <c r="P59" s="619"/>
      <c r="Q59" s="619"/>
      <c r="R59" s="619"/>
      <c r="S59" s="619"/>
      <c r="T59" s="619"/>
      <c r="U59" s="619"/>
      <c r="V59" s="619"/>
      <c r="W59" s="619"/>
      <c r="X59" s="619"/>
      <c r="Y59" s="619"/>
      <c r="Z59" s="619"/>
      <c r="AA59" s="619"/>
      <c r="AB59" s="619"/>
      <c r="AC59" s="619"/>
      <c r="AD59" s="619"/>
      <c r="AE59" s="619"/>
      <c r="AF59" s="619"/>
      <c r="AG59" s="619"/>
      <c r="AH59" s="619"/>
      <c r="AI59" s="619"/>
      <c r="AJ59" s="619"/>
      <c r="AK59" s="619"/>
      <c r="AL59" s="619"/>
    </row>
    <row r="60" spans="1:38" x14ac:dyDescent="0.25">
      <c r="A60" s="619"/>
      <c r="B60" s="619"/>
      <c r="C60" s="619"/>
      <c r="D60" s="619"/>
      <c r="E60" s="619"/>
      <c r="F60" s="619"/>
      <c r="G60" s="619"/>
      <c r="H60" s="619"/>
      <c r="I60" s="619"/>
      <c r="J60" s="619"/>
      <c r="K60" s="619"/>
      <c r="L60" s="619"/>
      <c r="M60" s="619"/>
      <c r="N60" s="619"/>
      <c r="O60" s="619"/>
      <c r="P60" s="619"/>
      <c r="Q60" s="619"/>
      <c r="R60" s="619"/>
      <c r="S60" s="619"/>
      <c r="T60" s="619"/>
      <c r="U60" s="619"/>
      <c r="V60" s="619"/>
      <c r="W60" s="619"/>
      <c r="X60" s="619"/>
      <c r="Y60" s="619"/>
      <c r="Z60" s="619"/>
      <c r="AA60" s="619"/>
      <c r="AB60" s="619"/>
      <c r="AC60" s="619"/>
      <c r="AD60" s="619"/>
      <c r="AE60" s="619"/>
      <c r="AF60" s="619"/>
      <c r="AG60" s="619"/>
      <c r="AH60" s="619"/>
      <c r="AI60" s="619"/>
      <c r="AJ60" s="619"/>
      <c r="AK60" s="619"/>
      <c r="AL60" s="619"/>
    </row>
    <row r="61" spans="1:38" x14ac:dyDescent="0.25">
      <c r="A61" s="619"/>
      <c r="B61" s="619"/>
      <c r="C61" s="619"/>
      <c r="D61" s="619"/>
      <c r="E61" s="619"/>
      <c r="F61" s="619"/>
      <c r="G61" s="619"/>
      <c r="H61" s="619"/>
      <c r="I61" s="619"/>
      <c r="J61" s="619"/>
      <c r="K61" s="619"/>
      <c r="L61" s="619"/>
      <c r="M61" s="619"/>
      <c r="N61" s="619"/>
      <c r="O61" s="619"/>
      <c r="P61" s="619"/>
      <c r="Q61" s="619"/>
      <c r="R61" s="619"/>
      <c r="S61" s="619"/>
      <c r="T61" s="619"/>
      <c r="U61" s="619"/>
      <c r="V61" s="619"/>
      <c r="W61" s="619"/>
      <c r="X61" s="619"/>
      <c r="Y61" s="619"/>
      <c r="Z61" s="619"/>
      <c r="AA61" s="619"/>
      <c r="AB61" s="619"/>
      <c r="AC61" s="619"/>
      <c r="AD61" s="619"/>
      <c r="AE61" s="619"/>
      <c r="AF61" s="619"/>
      <c r="AG61" s="619"/>
      <c r="AH61" s="619"/>
      <c r="AI61" s="619"/>
      <c r="AJ61" s="619"/>
      <c r="AK61" s="619"/>
      <c r="AL61" s="619"/>
    </row>
    <row r="62" spans="1:38" x14ac:dyDescent="0.25">
      <c r="A62" s="619"/>
      <c r="B62" s="619"/>
      <c r="C62" s="619"/>
      <c r="D62" s="619"/>
      <c r="E62" s="619"/>
      <c r="F62" s="619"/>
      <c r="G62" s="619"/>
      <c r="H62" s="619"/>
      <c r="I62" s="619"/>
      <c r="J62" s="619"/>
      <c r="K62" s="619"/>
      <c r="L62" s="619"/>
      <c r="M62" s="619"/>
      <c r="N62" s="619"/>
      <c r="O62" s="619"/>
      <c r="P62" s="619"/>
      <c r="Q62" s="619"/>
      <c r="R62" s="619"/>
      <c r="S62" s="619"/>
      <c r="T62" s="619"/>
      <c r="U62" s="619"/>
      <c r="V62" s="619"/>
      <c r="W62" s="619"/>
      <c r="X62" s="619"/>
      <c r="Y62" s="619"/>
      <c r="Z62" s="619"/>
      <c r="AA62" s="619"/>
      <c r="AB62" s="619"/>
      <c r="AC62" s="619"/>
      <c r="AD62" s="619"/>
      <c r="AE62" s="619"/>
      <c r="AF62" s="619"/>
      <c r="AG62" s="619"/>
      <c r="AH62" s="619"/>
      <c r="AI62" s="619"/>
      <c r="AJ62" s="619"/>
      <c r="AK62" s="619"/>
      <c r="AL62" s="619"/>
    </row>
    <row r="63" spans="1:38" x14ac:dyDescent="0.25">
      <c r="A63" s="619"/>
      <c r="B63" s="619"/>
      <c r="C63" s="619"/>
      <c r="D63" s="619"/>
      <c r="E63" s="619"/>
      <c r="F63" s="619"/>
      <c r="G63" s="619"/>
      <c r="H63" s="619"/>
      <c r="I63" s="619"/>
      <c r="J63" s="619"/>
      <c r="K63" s="619"/>
      <c r="L63" s="619"/>
      <c r="M63" s="619"/>
      <c r="N63" s="619"/>
      <c r="O63" s="619"/>
      <c r="P63" s="619"/>
      <c r="Q63" s="619"/>
      <c r="R63" s="619"/>
      <c r="S63" s="619"/>
      <c r="T63" s="619"/>
      <c r="U63" s="619"/>
      <c r="V63" s="619"/>
      <c r="W63" s="619"/>
      <c r="X63" s="619"/>
      <c r="Y63" s="619"/>
      <c r="Z63" s="619"/>
      <c r="AA63" s="619"/>
      <c r="AB63" s="619"/>
      <c r="AC63" s="619"/>
      <c r="AD63" s="619"/>
      <c r="AE63" s="619"/>
      <c r="AF63" s="619"/>
      <c r="AG63" s="619"/>
      <c r="AH63" s="619"/>
      <c r="AI63" s="619"/>
      <c r="AJ63" s="619"/>
      <c r="AK63" s="619"/>
      <c r="AL63" s="619"/>
    </row>
    <row r="64" spans="1:38" x14ac:dyDescent="0.25">
      <c r="A64" s="619"/>
      <c r="B64" s="619"/>
      <c r="C64" s="619"/>
      <c r="D64" s="619"/>
      <c r="E64" s="619"/>
      <c r="F64" s="619"/>
      <c r="G64" s="619"/>
      <c r="H64" s="619"/>
      <c r="I64" s="619"/>
      <c r="J64" s="619"/>
      <c r="K64" s="619"/>
      <c r="L64" s="619"/>
      <c r="M64" s="619"/>
      <c r="N64" s="619"/>
      <c r="O64" s="619"/>
      <c r="P64" s="619"/>
      <c r="Q64" s="619"/>
      <c r="R64" s="619"/>
      <c r="S64" s="619"/>
      <c r="T64" s="619"/>
      <c r="U64" s="619"/>
      <c r="V64" s="619"/>
      <c r="W64" s="619"/>
      <c r="X64" s="619"/>
      <c r="Y64" s="619"/>
      <c r="Z64" s="619"/>
      <c r="AA64" s="619"/>
      <c r="AB64" s="619"/>
      <c r="AC64" s="619"/>
      <c r="AD64" s="619"/>
      <c r="AE64" s="619"/>
      <c r="AF64" s="619"/>
      <c r="AG64" s="619"/>
      <c r="AH64" s="619"/>
      <c r="AI64" s="619"/>
      <c r="AJ64" s="619"/>
      <c r="AK64" s="619"/>
      <c r="AL64" s="619"/>
    </row>
    <row r="65" spans="1:38" x14ac:dyDescent="0.25">
      <c r="A65" s="619"/>
      <c r="B65" s="619"/>
      <c r="C65" s="619"/>
      <c r="D65" s="619"/>
      <c r="E65" s="619"/>
      <c r="F65" s="619"/>
      <c r="G65" s="619"/>
      <c r="H65" s="619"/>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619"/>
      <c r="AG65" s="619"/>
      <c r="AH65" s="619"/>
      <c r="AI65" s="619"/>
      <c r="AJ65" s="619"/>
      <c r="AK65" s="619"/>
      <c r="AL65" s="619"/>
    </row>
    <row r="66" spans="1:38" x14ac:dyDescent="0.25">
      <c r="A66" s="619"/>
      <c r="B66" s="619"/>
      <c r="C66" s="619"/>
      <c r="D66" s="619"/>
      <c r="E66" s="619"/>
      <c r="F66" s="619"/>
      <c r="G66" s="619"/>
      <c r="H66" s="619"/>
      <c r="I66" s="619"/>
      <c r="J66" s="619"/>
      <c r="K66" s="619"/>
      <c r="L66" s="619"/>
      <c r="M66" s="619"/>
      <c r="N66" s="619"/>
      <c r="O66" s="619"/>
      <c r="P66" s="619"/>
      <c r="Q66" s="619"/>
      <c r="R66" s="619"/>
      <c r="S66" s="619"/>
      <c r="T66" s="619"/>
      <c r="U66" s="619"/>
      <c r="V66" s="619"/>
      <c r="W66" s="619"/>
      <c r="X66" s="619"/>
      <c r="Y66" s="619"/>
      <c r="Z66" s="619"/>
      <c r="AA66" s="619"/>
      <c r="AB66" s="619"/>
      <c r="AC66" s="619"/>
      <c r="AD66" s="619"/>
      <c r="AE66" s="619"/>
      <c r="AF66" s="619"/>
      <c r="AG66" s="619"/>
      <c r="AH66" s="619"/>
      <c r="AI66" s="619"/>
      <c r="AJ66" s="619"/>
      <c r="AK66" s="619"/>
      <c r="AL66" s="619"/>
    </row>
    <row r="67" spans="1:38" x14ac:dyDescent="0.25">
      <c r="A67" s="619"/>
      <c r="B67" s="619"/>
      <c r="C67" s="619"/>
      <c r="D67" s="619"/>
      <c r="E67" s="619"/>
      <c r="F67" s="619"/>
      <c r="G67" s="619"/>
      <c r="H67" s="619"/>
      <c r="I67" s="619"/>
      <c r="J67" s="619"/>
      <c r="K67" s="619"/>
      <c r="L67" s="619"/>
      <c r="M67" s="619"/>
      <c r="N67" s="619"/>
      <c r="O67" s="619"/>
      <c r="P67" s="619"/>
      <c r="Q67" s="619"/>
      <c r="R67" s="619"/>
      <c r="S67" s="619"/>
      <c r="T67" s="619"/>
      <c r="U67" s="619"/>
      <c r="V67" s="619"/>
      <c r="W67" s="619"/>
      <c r="X67" s="619"/>
      <c r="Y67" s="619"/>
      <c r="Z67" s="619"/>
      <c r="AA67" s="619"/>
      <c r="AB67" s="619"/>
      <c r="AC67" s="619"/>
      <c r="AD67" s="619"/>
      <c r="AE67" s="619"/>
      <c r="AF67" s="619"/>
      <c r="AG67" s="619"/>
      <c r="AH67" s="619"/>
      <c r="AI67" s="619"/>
      <c r="AJ67" s="619"/>
      <c r="AK67" s="619"/>
      <c r="AL67" s="619"/>
    </row>
    <row r="68" spans="1:38" ht="111" customHeight="1" x14ac:dyDescent="0.25">
      <c r="A68" s="619"/>
      <c r="B68" s="619"/>
      <c r="C68" s="619"/>
      <c r="D68" s="619"/>
      <c r="E68" s="619"/>
      <c r="F68" s="619"/>
      <c r="G68" s="619"/>
      <c r="H68" s="619"/>
      <c r="I68" s="619"/>
      <c r="J68" s="619"/>
      <c r="K68" s="619"/>
      <c r="L68" s="619"/>
      <c r="M68" s="619"/>
      <c r="N68" s="619"/>
      <c r="O68" s="619"/>
      <c r="P68" s="619"/>
      <c r="Q68" s="619"/>
      <c r="R68" s="619"/>
      <c r="S68" s="619"/>
      <c r="T68" s="619"/>
      <c r="U68" s="619"/>
      <c r="V68" s="619"/>
      <c r="W68" s="619"/>
      <c r="X68" s="619"/>
      <c r="Y68" s="619"/>
      <c r="Z68" s="619"/>
      <c r="AA68" s="619"/>
      <c r="AB68" s="619"/>
      <c r="AC68" s="619"/>
      <c r="AD68" s="619"/>
      <c r="AE68" s="619"/>
      <c r="AF68" s="619"/>
      <c r="AG68" s="619"/>
      <c r="AH68" s="619"/>
      <c r="AI68" s="619"/>
      <c r="AJ68" s="619"/>
      <c r="AK68" s="619"/>
      <c r="AL68" s="619"/>
    </row>
    <row r="69" spans="1:38" ht="15.6" x14ac:dyDescent="0.3">
      <c r="A69" s="619"/>
      <c r="B69" s="706" t="s">
        <v>4901</v>
      </c>
      <c r="C69" s="619"/>
      <c r="D69" s="619"/>
      <c r="E69" s="619"/>
      <c r="F69" s="619"/>
      <c r="G69" s="619"/>
      <c r="H69" s="619"/>
      <c r="I69" s="619"/>
      <c r="J69" s="619"/>
      <c r="K69" s="619"/>
      <c r="L69" s="619"/>
      <c r="M69" s="619"/>
      <c r="N69" s="619"/>
      <c r="O69" s="619"/>
      <c r="P69" s="619"/>
      <c r="Q69" s="619"/>
      <c r="R69" s="619"/>
      <c r="S69" s="619"/>
      <c r="T69" s="619"/>
      <c r="U69" s="619"/>
      <c r="V69" s="619"/>
      <c r="W69" s="619"/>
      <c r="X69" s="619"/>
      <c r="Y69" s="619"/>
      <c r="Z69" s="619"/>
      <c r="AA69" s="619"/>
      <c r="AB69" s="619"/>
      <c r="AC69" s="619"/>
      <c r="AD69" s="619"/>
      <c r="AE69" s="619"/>
      <c r="AF69" s="619"/>
      <c r="AG69" s="619"/>
      <c r="AH69" s="619"/>
      <c r="AI69" s="619"/>
      <c r="AJ69" s="619"/>
      <c r="AK69" s="619"/>
      <c r="AL69" s="619"/>
    </row>
    <row r="70" spans="1:38" ht="15.6" x14ac:dyDescent="0.3">
      <c r="A70" s="619"/>
      <c r="B70" s="706" t="s">
        <v>4900</v>
      </c>
      <c r="C70" s="619"/>
      <c r="D70" s="619"/>
      <c r="E70" s="619"/>
      <c r="F70" s="619"/>
      <c r="G70" s="619"/>
      <c r="H70" s="619"/>
      <c r="I70" s="619"/>
      <c r="J70" s="619"/>
      <c r="K70" s="619"/>
      <c r="L70" s="619"/>
      <c r="M70" s="619"/>
      <c r="N70" s="619"/>
      <c r="O70" s="619"/>
      <c r="P70" s="619"/>
      <c r="Q70" s="619"/>
      <c r="R70" s="619"/>
      <c r="S70" s="619"/>
      <c r="T70" s="619"/>
      <c r="U70" s="619"/>
      <c r="V70" s="619"/>
      <c r="W70" s="619"/>
      <c r="X70" s="619"/>
      <c r="Y70" s="619"/>
      <c r="Z70" s="619"/>
      <c r="AA70" s="619"/>
      <c r="AB70" s="619"/>
      <c r="AC70" s="619"/>
      <c r="AD70" s="619"/>
      <c r="AE70" s="619"/>
      <c r="AF70" s="619"/>
      <c r="AG70" s="619"/>
      <c r="AH70" s="619"/>
      <c r="AI70" s="619"/>
      <c r="AJ70" s="619"/>
      <c r="AK70" s="619"/>
      <c r="AL70" s="619"/>
    </row>
    <row r="71" spans="1:38" x14ac:dyDescent="0.25">
      <c r="A71" s="619"/>
      <c r="B71" s="619"/>
      <c r="C71" s="619"/>
      <c r="D71" s="619"/>
      <c r="E71" s="619"/>
      <c r="F71" s="619"/>
      <c r="G71" s="619"/>
      <c r="H71" s="619"/>
      <c r="I71" s="619"/>
      <c r="J71" s="619"/>
      <c r="K71" s="619"/>
      <c r="L71" s="619"/>
      <c r="M71" s="619"/>
      <c r="N71" s="619"/>
      <c r="O71" s="619"/>
      <c r="P71" s="619"/>
      <c r="Q71" s="619"/>
      <c r="R71" s="619"/>
      <c r="S71" s="619"/>
      <c r="T71" s="619"/>
      <c r="U71" s="619"/>
      <c r="V71" s="619"/>
      <c r="W71" s="619"/>
      <c r="X71" s="619"/>
      <c r="Y71" s="619"/>
      <c r="Z71" s="619"/>
      <c r="AA71" s="619"/>
      <c r="AB71" s="619"/>
      <c r="AC71" s="619"/>
      <c r="AD71" s="619"/>
      <c r="AE71" s="619"/>
      <c r="AF71" s="619"/>
      <c r="AG71" s="619"/>
      <c r="AH71" s="619"/>
      <c r="AI71" s="619"/>
      <c r="AJ71" s="619"/>
      <c r="AK71" s="619"/>
      <c r="AL71" s="619"/>
    </row>
    <row r="72" spans="1:38" x14ac:dyDescent="0.25">
      <c r="A72" s="619"/>
      <c r="B72" s="619"/>
      <c r="C72" s="619"/>
      <c r="D72" s="619"/>
      <c r="E72" s="619"/>
      <c r="F72" s="619"/>
      <c r="G72" s="619"/>
      <c r="H72" s="619"/>
      <c r="I72" s="619"/>
      <c r="J72" s="619"/>
      <c r="K72" s="619"/>
      <c r="L72" s="619"/>
      <c r="M72" s="619"/>
      <c r="N72" s="619"/>
      <c r="O72" s="619"/>
      <c r="P72" s="619"/>
      <c r="Q72" s="619"/>
      <c r="R72" s="619"/>
      <c r="S72" s="619"/>
      <c r="T72" s="619"/>
      <c r="U72" s="619"/>
      <c r="V72" s="619"/>
      <c r="W72" s="619"/>
      <c r="X72" s="619"/>
      <c r="Y72" s="619"/>
      <c r="Z72" s="619"/>
      <c r="AA72" s="619"/>
      <c r="AB72" s="619"/>
      <c r="AC72" s="619"/>
      <c r="AD72" s="619"/>
      <c r="AE72" s="619"/>
      <c r="AF72" s="619"/>
      <c r="AG72" s="619"/>
      <c r="AH72" s="619"/>
      <c r="AI72" s="619"/>
      <c r="AJ72" s="619"/>
      <c r="AK72" s="619"/>
      <c r="AL72" s="619"/>
    </row>
    <row r="73" spans="1:38" x14ac:dyDescent="0.25">
      <c r="A73" s="619"/>
      <c r="B73" s="619"/>
      <c r="C73" s="619"/>
      <c r="D73" s="619"/>
      <c r="E73" s="619"/>
      <c r="F73" s="619"/>
      <c r="G73" s="619"/>
      <c r="H73" s="619"/>
      <c r="I73" s="619"/>
      <c r="J73" s="619"/>
      <c r="K73" s="619"/>
      <c r="L73" s="619"/>
      <c r="M73" s="619"/>
      <c r="N73" s="619"/>
      <c r="O73" s="619"/>
      <c r="P73" s="619"/>
      <c r="Q73" s="619"/>
      <c r="R73" s="619"/>
      <c r="S73" s="619"/>
      <c r="T73" s="619"/>
      <c r="U73" s="619"/>
      <c r="V73" s="619"/>
      <c r="W73" s="619"/>
      <c r="X73" s="619"/>
      <c r="Y73" s="619"/>
      <c r="Z73" s="619"/>
      <c r="AA73" s="619"/>
      <c r="AB73" s="619"/>
      <c r="AC73" s="619"/>
      <c r="AD73" s="619"/>
      <c r="AE73" s="619"/>
      <c r="AF73" s="619"/>
      <c r="AG73" s="619"/>
      <c r="AH73" s="619"/>
      <c r="AI73" s="619"/>
      <c r="AJ73" s="619"/>
      <c r="AK73" s="619"/>
      <c r="AL73" s="619"/>
    </row>
    <row r="74" spans="1:38" x14ac:dyDescent="0.25">
      <c r="A74" s="619"/>
      <c r="B74" s="619"/>
      <c r="C74" s="619"/>
      <c r="D74" s="619"/>
      <c r="E74" s="619"/>
      <c r="F74" s="619"/>
      <c r="G74" s="619"/>
      <c r="H74" s="619"/>
      <c r="I74" s="619"/>
      <c r="J74" s="619"/>
      <c r="K74" s="619"/>
      <c r="L74" s="619"/>
      <c r="M74" s="619"/>
      <c r="N74" s="619"/>
      <c r="O74" s="619"/>
      <c r="P74" s="619"/>
      <c r="Q74" s="619"/>
      <c r="R74" s="619"/>
      <c r="S74" s="619"/>
      <c r="T74" s="619"/>
      <c r="U74" s="619"/>
      <c r="V74" s="619"/>
      <c r="W74" s="619"/>
      <c r="X74" s="619"/>
      <c r="Y74" s="619"/>
      <c r="Z74" s="619"/>
      <c r="AA74" s="619"/>
      <c r="AB74" s="619"/>
      <c r="AC74" s="619"/>
      <c r="AD74" s="619"/>
      <c r="AE74" s="619"/>
      <c r="AF74" s="619"/>
      <c r="AG74" s="619"/>
      <c r="AH74" s="619"/>
      <c r="AI74" s="619"/>
      <c r="AJ74" s="619"/>
      <c r="AK74" s="619"/>
      <c r="AL74" s="619"/>
    </row>
    <row r="75" spans="1:38" x14ac:dyDescent="0.25">
      <c r="A75" s="619"/>
      <c r="B75" s="619"/>
      <c r="C75" s="619"/>
      <c r="D75" s="619"/>
      <c r="E75" s="619"/>
      <c r="F75" s="619"/>
      <c r="G75" s="619"/>
      <c r="H75" s="619"/>
      <c r="I75" s="619"/>
      <c r="J75" s="619"/>
      <c r="K75" s="619"/>
      <c r="L75" s="619"/>
      <c r="M75" s="619"/>
      <c r="N75" s="619"/>
      <c r="O75" s="619"/>
      <c r="P75" s="619"/>
      <c r="Q75" s="619"/>
      <c r="R75" s="619"/>
      <c r="S75" s="619"/>
      <c r="T75" s="619"/>
      <c r="U75" s="619"/>
      <c r="V75" s="619"/>
      <c r="W75" s="619"/>
      <c r="X75" s="619"/>
      <c r="Y75" s="619"/>
      <c r="Z75" s="619"/>
      <c r="AA75" s="619"/>
      <c r="AB75" s="619"/>
      <c r="AC75" s="619"/>
      <c r="AD75" s="619"/>
      <c r="AE75" s="619"/>
      <c r="AF75" s="619"/>
      <c r="AG75" s="619"/>
      <c r="AH75" s="619"/>
      <c r="AI75" s="619"/>
      <c r="AJ75" s="619"/>
      <c r="AK75" s="619"/>
      <c r="AL75" s="619"/>
    </row>
    <row r="76" spans="1:38" x14ac:dyDescent="0.25">
      <c r="A76" s="619"/>
      <c r="B76" s="619"/>
      <c r="C76" s="619"/>
      <c r="D76" s="619"/>
      <c r="E76" s="619"/>
      <c r="F76" s="619"/>
      <c r="G76" s="619"/>
      <c r="H76" s="619"/>
      <c r="I76" s="619"/>
      <c r="J76" s="619"/>
      <c r="K76" s="619"/>
      <c r="L76" s="619"/>
      <c r="M76" s="619"/>
      <c r="N76" s="619"/>
      <c r="O76" s="619"/>
      <c r="P76" s="619"/>
      <c r="Q76" s="619"/>
      <c r="R76" s="619"/>
      <c r="S76" s="619"/>
      <c r="T76" s="619"/>
      <c r="U76" s="619"/>
      <c r="V76" s="619"/>
      <c r="W76" s="619"/>
      <c r="X76" s="619"/>
      <c r="Y76" s="619"/>
      <c r="Z76" s="619"/>
      <c r="AA76" s="619"/>
      <c r="AB76" s="619"/>
      <c r="AC76" s="619"/>
      <c r="AD76" s="619"/>
      <c r="AE76" s="619"/>
      <c r="AF76" s="619"/>
      <c r="AG76" s="619"/>
      <c r="AH76" s="619"/>
      <c r="AI76" s="619"/>
      <c r="AJ76" s="619"/>
      <c r="AK76" s="619"/>
      <c r="AL76" s="619"/>
    </row>
    <row r="77" spans="1:38" x14ac:dyDescent="0.25">
      <c r="A77" s="619"/>
      <c r="B77" s="619"/>
      <c r="C77" s="619"/>
      <c r="D77" s="619"/>
      <c r="E77" s="619"/>
      <c r="F77" s="619"/>
      <c r="G77" s="619"/>
      <c r="H77" s="619"/>
      <c r="I77" s="619"/>
      <c r="J77" s="619"/>
      <c r="K77" s="619"/>
      <c r="L77" s="619"/>
      <c r="M77" s="619"/>
      <c r="N77" s="619"/>
      <c r="O77" s="619"/>
      <c r="P77" s="619"/>
      <c r="Q77" s="619"/>
      <c r="R77" s="619"/>
      <c r="S77" s="619"/>
      <c r="T77" s="619"/>
      <c r="U77" s="619"/>
      <c r="V77" s="619"/>
      <c r="W77" s="619"/>
      <c r="X77" s="619"/>
      <c r="Y77" s="619"/>
      <c r="Z77" s="619"/>
      <c r="AA77" s="619"/>
      <c r="AB77" s="619"/>
      <c r="AC77" s="619"/>
      <c r="AD77" s="619"/>
      <c r="AE77" s="619"/>
      <c r="AF77" s="619"/>
      <c r="AG77" s="619"/>
      <c r="AH77" s="619"/>
      <c r="AI77" s="619"/>
      <c r="AJ77" s="619"/>
      <c r="AK77" s="619"/>
      <c r="AL77" s="619"/>
    </row>
    <row r="78" spans="1:38" x14ac:dyDescent="0.25">
      <c r="A78" s="619"/>
      <c r="B78" s="619"/>
      <c r="C78" s="619"/>
      <c r="D78" s="619"/>
      <c r="E78" s="619"/>
      <c r="F78" s="619"/>
      <c r="G78" s="619"/>
      <c r="H78" s="619"/>
      <c r="I78" s="619"/>
      <c r="J78" s="619"/>
      <c r="K78" s="619"/>
      <c r="L78" s="619"/>
      <c r="M78" s="619"/>
      <c r="N78" s="619"/>
      <c r="O78" s="619"/>
      <c r="P78" s="619"/>
      <c r="Q78" s="619"/>
      <c r="R78" s="619"/>
      <c r="S78" s="619"/>
      <c r="T78" s="619"/>
      <c r="U78" s="619"/>
      <c r="V78" s="619"/>
      <c r="W78" s="619"/>
      <c r="X78" s="619"/>
      <c r="Y78" s="619"/>
      <c r="Z78" s="619"/>
      <c r="AA78" s="619"/>
      <c r="AB78" s="619"/>
      <c r="AC78" s="619"/>
      <c r="AD78" s="619"/>
      <c r="AE78" s="619"/>
      <c r="AF78" s="619"/>
      <c r="AG78" s="619"/>
      <c r="AH78" s="619"/>
      <c r="AI78" s="619"/>
      <c r="AJ78" s="619"/>
      <c r="AK78" s="619"/>
      <c r="AL78" s="619"/>
    </row>
    <row r="79" spans="1:38" x14ac:dyDescent="0.25">
      <c r="A79" s="619"/>
      <c r="B79" s="619"/>
      <c r="C79" s="619"/>
      <c r="D79" s="619"/>
      <c r="E79" s="619"/>
      <c r="F79" s="619"/>
      <c r="G79" s="619"/>
      <c r="H79" s="619"/>
      <c r="I79" s="619"/>
      <c r="J79" s="619"/>
      <c r="K79" s="619"/>
      <c r="L79" s="619"/>
      <c r="M79" s="619"/>
      <c r="N79" s="619"/>
      <c r="O79" s="619"/>
      <c r="P79" s="619"/>
      <c r="Q79" s="619"/>
      <c r="R79" s="619"/>
      <c r="S79" s="619"/>
      <c r="T79" s="619"/>
      <c r="U79" s="619"/>
      <c r="V79" s="619"/>
      <c r="W79" s="619"/>
      <c r="X79" s="619"/>
      <c r="Y79" s="619"/>
      <c r="Z79" s="619"/>
      <c r="AA79" s="619"/>
      <c r="AB79" s="619"/>
      <c r="AC79" s="619"/>
      <c r="AD79" s="619"/>
      <c r="AE79" s="619"/>
      <c r="AF79" s="619"/>
      <c r="AG79" s="619"/>
      <c r="AH79" s="619"/>
      <c r="AI79" s="619"/>
      <c r="AJ79" s="619"/>
      <c r="AK79" s="619"/>
      <c r="AL79" s="619"/>
    </row>
    <row r="80" spans="1:38" x14ac:dyDescent="0.25">
      <c r="A80" s="619"/>
      <c r="B80" s="619"/>
      <c r="C80" s="619"/>
      <c r="D80" s="619"/>
      <c r="E80" s="619"/>
      <c r="F80" s="619"/>
      <c r="G80" s="619"/>
      <c r="H80" s="619"/>
      <c r="I80" s="619"/>
      <c r="J80" s="619"/>
      <c r="K80" s="619"/>
      <c r="L80" s="619"/>
      <c r="M80" s="619"/>
      <c r="N80" s="619"/>
      <c r="O80" s="619"/>
      <c r="P80" s="619"/>
      <c r="Q80" s="619"/>
      <c r="R80" s="619"/>
      <c r="S80" s="619"/>
      <c r="T80" s="619"/>
      <c r="U80" s="619"/>
      <c r="V80" s="619"/>
      <c r="W80" s="619"/>
      <c r="X80" s="619"/>
      <c r="Y80" s="619"/>
      <c r="Z80" s="619"/>
      <c r="AA80" s="619"/>
      <c r="AB80" s="619"/>
      <c r="AC80" s="619"/>
      <c r="AD80" s="619"/>
      <c r="AE80" s="619"/>
      <c r="AF80" s="619"/>
      <c r="AG80" s="619"/>
      <c r="AH80" s="619"/>
      <c r="AI80" s="619"/>
      <c r="AJ80" s="619"/>
      <c r="AK80" s="619"/>
      <c r="AL80" s="619"/>
    </row>
    <row r="81" spans="1:38" x14ac:dyDescent="0.25">
      <c r="A81" s="619"/>
      <c r="B81" s="619"/>
      <c r="C81" s="619"/>
      <c r="D81" s="619"/>
      <c r="E81" s="619"/>
      <c r="F81" s="619"/>
      <c r="G81" s="619"/>
      <c r="H81" s="619"/>
      <c r="I81" s="619"/>
      <c r="J81" s="619"/>
      <c r="K81" s="619"/>
      <c r="L81" s="619"/>
      <c r="M81" s="619"/>
      <c r="N81" s="619"/>
      <c r="O81" s="619"/>
      <c r="P81" s="619"/>
      <c r="Q81" s="619"/>
      <c r="R81" s="619"/>
      <c r="S81" s="619"/>
      <c r="T81" s="619"/>
      <c r="U81" s="619"/>
      <c r="V81" s="619"/>
      <c r="W81" s="619"/>
      <c r="X81" s="619"/>
      <c r="Y81" s="619"/>
      <c r="Z81" s="619"/>
      <c r="AA81" s="619"/>
      <c r="AB81" s="619"/>
      <c r="AC81" s="619"/>
      <c r="AD81" s="619"/>
      <c r="AE81" s="619"/>
      <c r="AF81" s="619"/>
      <c r="AG81" s="619"/>
      <c r="AH81" s="619"/>
      <c r="AI81" s="619"/>
      <c r="AJ81" s="619"/>
      <c r="AK81" s="619"/>
      <c r="AL81" s="619"/>
    </row>
    <row r="82" spans="1:38" x14ac:dyDescent="0.25">
      <c r="A82" s="619"/>
      <c r="B82" s="619"/>
      <c r="C82" s="619"/>
      <c r="D82" s="619"/>
      <c r="E82" s="619"/>
      <c r="F82" s="619"/>
      <c r="G82" s="619"/>
      <c r="H82" s="619"/>
      <c r="I82" s="619"/>
      <c r="J82" s="619"/>
      <c r="K82" s="619"/>
      <c r="L82" s="619"/>
      <c r="M82" s="619"/>
      <c r="N82" s="619"/>
      <c r="O82" s="619"/>
      <c r="P82" s="619"/>
      <c r="Q82" s="619"/>
      <c r="R82" s="619"/>
      <c r="S82" s="619"/>
      <c r="T82" s="619"/>
      <c r="U82" s="619"/>
      <c r="V82" s="619"/>
      <c r="W82" s="619"/>
      <c r="X82" s="619"/>
      <c r="Y82" s="619"/>
      <c r="Z82" s="619"/>
      <c r="AA82" s="619"/>
      <c r="AB82" s="619"/>
      <c r="AC82" s="619"/>
      <c r="AD82" s="619"/>
      <c r="AE82" s="619"/>
      <c r="AF82" s="619"/>
      <c r="AG82" s="619"/>
      <c r="AH82" s="619"/>
      <c r="AI82" s="619"/>
      <c r="AJ82" s="619"/>
      <c r="AK82" s="619"/>
      <c r="AL82" s="619"/>
    </row>
    <row r="83" spans="1:38" x14ac:dyDescent="0.25">
      <c r="A83" s="619"/>
      <c r="B83" s="619"/>
      <c r="C83" s="619"/>
      <c r="D83" s="619"/>
      <c r="E83" s="619"/>
      <c r="F83" s="619"/>
      <c r="G83" s="619"/>
      <c r="H83" s="619"/>
      <c r="I83" s="619"/>
      <c r="J83" s="619"/>
      <c r="K83" s="619"/>
      <c r="L83" s="619"/>
      <c r="M83" s="619"/>
      <c r="N83" s="619"/>
      <c r="O83" s="619"/>
      <c r="P83" s="619"/>
      <c r="Q83" s="619"/>
      <c r="R83" s="619"/>
      <c r="S83" s="619"/>
      <c r="T83" s="619"/>
      <c r="U83" s="619"/>
      <c r="V83" s="619"/>
      <c r="W83" s="619"/>
      <c r="X83" s="619"/>
      <c r="Y83" s="619"/>
      <c r="Z83" s="619"/>
      <c r="AA83" s="619"/>
      <c r="AB83" s="619"/>
      <c r="AC83" s="619"/>
      <c r="AD83" s="619"/>
      <c r="AE83" s="619"/>
      <c r="AF83" s="619"/>
      <c r="AG83" s="619"/>
      <c r="AH83" s="619"/>
      <c r="AI83" s="619"/>
      <c r="AJ83" s="619"/>
      <c r="AK83" s="619"/>
      <c r="AL83" s="619"/>
    </row>
    <row r="84" spans="1:38" x14ac:dyDescent="0.25">
      <c r="A84" s="619"/>
      <c r="B84" s="619"/>
      <c r="C84" s="619"/>
      <c r="D84" s="619"/>
      <c r="E84" s="619"/>
      <c r="F84" s="619"/>
      <c r="G84" s="619"/>
      <c r="H84" s="619"/>
      <c r="I84" s="619"/>
      <c r="J84" s="619"/>
      <c r="K84" s="619"/>
      <c r="L84" s="619"/>
      <c r="M84" s="619"/>
      <c r="N84" s="619"/>
      <c r="O84" s="619"/>
      <c r="P84" s="619"/>
      <c r="Q84" s="619"/>
      <c r="R84" s="619"/>
      <c r="S84" s="619"/>
      <c r="T84" s="619"/>
      <c r="U84" s="619"/>
      <c r="V84" s="619"/>
      <c r="W84" s="619"/>
      <c r="X84" s="619"/>
      <c r="Y84" s="619"/>
      <c r="Z84" s="619"/>
      <c r="AA84" s="619"/>
      <c r="AB84" s="619"/>
      <c r="AC84" s="619"/>
      <c r="AD84" s="619"/>
      <c r="AE84" s="619"/>
      <c r="AF84" s="619"/>
      <c r="AG84" s="619"/>
      <c r="AH84" s="619"/>
      <c r="AI84" s="619"/>
      <c r="AJ84" s="619"/>
      <c r="AK84" s="619"/>
      <c r="AL84" s="619"/>
    </row>
    <row r="85" spans="1:38" x14ac:dyDescent="0.25">
      <c r="A85" s="619"/>
      <c r="B85" s="619"/>
      <c r="C85" s="619"/>
      <c r="D85" s="619"/>
      <c r="E85" s="619"/>
      <c r="F85" s="619"/>
      <c r="G85" s="619"/>
      <c r="H85" s="619"/>
      <c r="I85" s="619"/>
      <c r="J85" s="619"/>
      <c r="K85" s="619"/>
      <c r="L85" s="619"/>
      <c r="M85" s="619"/>
      <c r="N85" s="619"/>
      <c r="O85" s="619"/>
      <c r="P85" s="619"/>
      <c r="Q85" s="619"/>
      <c r="R85" s="619"/>
      <c r="S85" s="619"/>
      <c r="T85" s="619"/>
      <c r="U85" s="619"/>
      <c r="V85" s="619"/>
      <c r="W85" s="619"/>
      <c r="X85" s="619"/>
      <c r="Y85" s="619"/>
      <c r="Z85" s="619"/>
      <c r="AA85" s="619"/>
      <c r="AB85" s="619"/>
      <c r="AC85" s="619"/>
      <c r="AD85" s="619"/>
      <c r="AE85" s="619"/>
      <c r="AF85" s="619"/>
      <c r="AG85" s="619"/>
      <c r="AH85" s="619"/>
      <c r="AI85" s="619"/>
      <c r="AJ85" s="619"/>
      <c r="AK85" s="619"/>
      <c r="AL85" s="619"/>
    </row>
    <row r="86" spans="1:38" x14ac:dyDescent="0.25">
      <c r="A86" s="619"/>
      <c r="B86" s="619"/>
      <c r="C86" s="619"/>
      <c r="D86" s="619"/>
      <c r="E86" s="619"/>
      <c r="F86" s="619"/>
      <c r="G86" s="619"/>
      <c r="H86" s="619"/>
      <c r="I86" s="619"/>
      <c r="J86" s="619"/>
      <c r="K86" s="619"/>
      <c r="L86" s="619"/>
      <c r="M86" s="619"/>
      <c r="N86" s="619"/>
      <c r="O86" s="619"/>
      <c r="P86" s="619"/>
      <c r="Q86" s="619"/>
      <c r="R86" s="619"/>
      <c r="S86" s="619"/>
      <c r="T86" s="619"/>
      <c r="U86" s="619"/>
      <c r="V86" s="619"/>
      <c r="W86" s="619"/>
      <c r="X86" s="619"/>
      <c r="Y86" s="619"/>
      <c r="Z86" s="619"/>
      <c r="AA86" s="619"/>
      <c r="AB86" s="619"/>
      <c r="AC86" s="619"/>
      <c r="AD86" s="619"/>
      <c r="AE86" s="619"/>
      <c r="AF86" s="619"/>
      <c r="AG86" s="619"/>
      <c r="AH86" s="619"/>
      <c r="AI86" s="619"/>
      <c r="AJ86" s="619"/>
      <c r="AK86" s="619"/>
      <c r="AL86" s="619"/>
    </row>
    <row r="87" spans="1:38" x14ac:dyDescent="0.25">
      <c r="A87" s="619"/>
      <c r="B87" s="619"/>
      <c r="C87" s="619"/>
      <c r="D87" s="619"/>
      <c r="E87" s="619"/>
      <c r="F87" s="619"/>
      <c r="G87" s="619"/>
      <c r="H87" s="619"/>
      <c r="I87" s="619"/>
      <c r="J87" s="619"/>
      <c r="K87" s="619"/>
      <c r="L87" s="619"/>
      <c r="M87" s="619"/>
      <c r="N87" s="619"/>
      <c r="O87" s="619"/>
      <c r="P87" s="619"/>
      <c r="Q87" s="619"/>
      <c r="R87" s="619"/>
      <c r="S87" s="619"/>
      <c r="T87" s="619"/>
      <c r="U87" s="619"/>
      <c r="V87" s="619"/>
      <c r="W87" s="619"/>
      <c r="X87" s="619"/>
      <c r="Y87" s="619"/>
      <c r="Z87" s="619"/>
      <c r="AA87" s="619"/>
      <c r="AB87" s="619"/>
      <c r="AC87" s="619"/>
      <c r="AD87" s="619"/>
      <c r="AE87" s="619"/>
      <c r="AF87" s="619"/>
      <c r="AG87" s="619"/>
      <c r="AH87" s="619"/>
      <c r="AI87" s="619"/>
      <c r="AJ87" s="619"/>
      <c r="AK87" s="619"/>
      <c r="AL87" s="619"/>
    </row>
    <row r="88" spans="1:38" x14ac:dyDescent="0.25">
      <c r="A88" s="619"/>
      <c r="B88" s="619"/>
      <c r="C88" s="619"/>
      <c r="D88" s="619"/>
      <c r="E88" s="619"/>
      <c r="F88" s="619"/>
      <c r="G88" s="619"/>
      <c r="H88" s="619"/>
      <c r="I88" s="619"/>
      <c r="J88" s="619"/>
      <c r="K88" s="619"/>
      <c r="L88" s="619"/>
      <c r="M88" s="619"/>
      <c r="N88" s="619"/>
      <c r="O88" s="619"/>
      <c r="P88" s="619"/>
      <c r="Q88" s="619"/>
      <c r="R88" s="619"/>
      <c r="S88" s="619"/>
      <c r="T88" s="619"/>
      <c r="U88" s="619"/>
      <c r="V88" s="619"/>
      <c r="W88" s="619"/>
      <c r="X88" s="619"/>
      <c r="Y88" s="619"/>
      <c r="Z88" s="619"/>
      <c r="AA88" s="619"/>
      <c r="AB88" s="619"/>
      <c r="AC88" s="619"/>
      <c r="AD88" s="619"/>
      <c r="AE88" s="619"/>
      <c r="AF88" s="619"/>
      <c r="AG88" s="619"/>
      <c r="AH88" s="619"/>
      <c r="AI88" s="619"/>
      <c r="AJ88" s="619"/>
      <c r="AK88" s="619"/>
      <c r="AL88" s="619"/>
    </row>
    <row r="89" spans="1:38" x14ac:dyDescent="0.25">
      <c r="A89" s="619"/>
      <c r="B89" s="619"/>
      <c r="C89" s="619"/>
      <c r="D89" s="619"/>
      <c r="E89" s="619"/>
      <c r="F89" s="619"/>
      <c r="G89" s="619"/>
      <c r="H89" s="619"/>
      <c r="I89" s="619"/>
      <c r="J89" s="619"/>
      <c r="K89" s="619"/>
      <c r="L89" s="619"/>
      <c r="M89" s="619"/>
      <c r="N89" s="619"/>
      <c r="O89" s="619"/>
      <c r="P89" s="619"/>
      <c r="Q89" s="619"/>
      <c r="R89" s="619"/>
      <c r="S89" s="619"/>
      <c r="T89" s="619"/>
      <c r="U89" s="619"/>
      <c r="V89" s="619"/>
      <c r="W89" s="619"/>
      <c r="X89" s="619"/>
      <c r="Y89" s="619"/>
      <c r="Z89" s="619"/>
      <c r="AA89" s="619"/>
      <c r="AB89" s="619"/>
      <c r="AC89" s="619"/>
      <c r="AD89" s="619"/>
      <c r="AE89" s="619"/>
      <c r="AF89" s="619"/>
      <c r="AG89" s="619"/>
      <c r="AH89" s="619"/>
      <c r="AI89" s="619"/>
      <c r="AJ89" s="619"/>
      <c r="AK89" s="619"/>
      <c r="AL89" s="619"/>
    </row>
    <row r="90" spans="1:38" x14ac:dyDescent="0.25">
      <c r="A90" s="619"/>
      <c r="B90" s="619"/>
      <c r="C90" s="619"/>
      <c r="D90" s="619"/>
      <c r="E90" s="619"/>
      <c r="F90" s="619"/>
      <c r="G90" s="619"/>
      <c r="H90" s="619"/>
      <c r="I90" s="619"/>
      <c r="J90" s="619"/>
      <c r="K90" s="619"/>
      <c r="L90" s="619"/>
      <c r="M90" s="619"/>
      <c r="N90" s="619"/>
      <c r="O90" s="619"/>
      <c r="P90" s="619"/>
      <c r="Q90" s="619"/>
      <c r="R90" s="619"/>
      <c r="S90" s="619"/>
      <c r="T90" s="619"/>
      <c r="U90" s="619"/>
      <c r="V90" s="619"/>
      <c r="W90" s="619"/>
      <c r="X90" s="619"/>
      <c r="Y90" s="619"/>
      <c r="Z90" s="619"/>
      <c r="AA90" s="619"/>
      <c r="AB90" s="619"/>
      <c r="AC90" s="619"/>
      <c r="AD90" s="619"/>
      <c r="AE90" s="619"/>
      <c r="AF90" s="619"/>
      <c r="AG90" s="619"/>
      <c r="AH90" s="619"/>
      <c r="AI90" s="619"/>
      <c r="AJ90" s="619"/>
      <c r="AK90" s="619"/>
      <c r="AL90" s="619"/>
    </row>
    <row r="91" spans="1:38" x14ac:dyDescent="0.25">
      <c r="A91" s="619"/>
      <c r="B91" s="619"/>
      <c r="C91" s="619"/>
      <c r="D91" s="619"/>
      <c r="E91" s="619"/>
      <c r="F91" s="619"/>
      <c r="G91" s="619"/>
      <c r="H91" s="619"/>
      <c r="I91" s="619"/>
      <c r="J91" s="619"/>
      <c r="K91" s="619"/>
      <c r="L91" s="619"/>
      <c r="M91" s="619"/>
      <c r="N91" s="619"/>
      <c r="O91" s="619"/>
      <c r="P91" s="619"/>
      <c r="Q91" s="619"/>
      <c r="R91" s="619"/>
      <c r="S91" s="619"/>
      <c r="T91" s="619"/>
      <c r="U91" s="619"/>
      <c r="V91" s="619"/>
      <c r="W91" s="619"/>
      <c r="X91" s="619"/>
      <c r="Y91" s="619"/>
      <c r="Z91" s="619"/>
      <c r="AA91" s="619"/>
      <c r="AB91" s="619"/>
      <c r="AC91" s="619"/>
      <c r="AD91" s="619"/>
      <c r="AE91" s="619"/>
      <c r="AF91" s="619"/>
      <c r="AG91" s="619"/>
      <c r="AH91" s="619"/>
      <c r="AI91" s="619"/>
      <c r="AJ91" s="619"/>
      <c r="AK91" s="619"/>
      <c r="AL91" s="619"/>
    </row>
    <row r="92" spans="1:38" x14ac:dyDescent="0.25">
      <c r="A92" s="619"/>
      <c r="B92" s="619"/>
      <c r="C92" s="619"/>
      <c r="D92" s="619"/>
      <c r="E92" s="619"/>
      <c r="F92" s="619"/>
      <c r="G92" s="619"/>
      <c r="H92" s="619"/>
      <c r="I92" s="619"/>
      <c r="J92" s="619"/>
      <c r="K92" s="619"/>
      <c r="L92" s="619"/>
      <c r="M92" s="619"/>
      <c r="N92" s="619"/>
      <c r="O92" s="619"/>
      <c r="P92" s="619"/>
      <c r="Q92" s="619"/>
      <c r="R92" s="619"/>
      <c r="S92" s="619"/>
      <c r="T92" s="619"/>
      <c r="U92" s="619"/>
      <c r="V92" s="619"/>
      <c r="W92" s="619"/>
      <c r="X92" s="619"/>
      <c r="Y92" s="619"/>
      <c r="Z92" s="619"/>
      <c r="AA92" s="619"/>
      <c r="AB92" s="619"/>
      <c r="AC92" s="619"/>
      <c r="AD92" s="619"/>
      <c r="AE92" s="619"/>
      <c r="AF92" s="619"/>
      <c r="AG92" s="619"/>
      <c r="AH92" s="619"/>
      <c r="AI92" s="619"/>
      <c r="AJ92" s="619"/>
      <c r="AK92" s="619"/>
      <c r="AL92" s="619"/>
    </row>
    <row r="93" spans="1:38" x14ac:dyDescent="0.25">
      <c r="A93" s="619"/>
      <c r="B93" s="619"/>
      <c r="C93" s="619"/>
      <c r="D93" s="619"/>
      <c r="E93" s="619"/>
      <c r="F93" s="619"/>
      <c r="G93" s="619"/>
      <c r="H93" s="619"/>
      <c r="I93" s="619"/>
      <c r="J93" s="619"/>
      <c r="K93" s="619"/>
      <c r="L93" s="619"/>
      <c r="M93" s="619"/>
      <c r="N93" s="619"/>
      <c r="O93" s="619"/>
      <c r="P93" s="619"/>
      <c r="Q93" s="619"/>
      <c r="R93" s="619"/>
      <c r="S93" s="619"/>
      <c r="T93" s="619"/>
      <c r="U93" s="619"/>
      <c r="V93" s="619"/>
      <c r="W93" s="619"/>
      <c r="X93" s="619"/>
      <c r="Y93" s="619"/>
      <c r="Z93" s="619"/>
      <c r="AA93" s="619"/>
      <c r="AB93" s="619"/>
      <c r="AC93" s="619"/>
      <c r="AD93" s="619"/>
      <c r="AE93" s="619"/>
      <c r="AF93" s="619"/>
      <c r="AG93" s="619"/>
      <c r="AH93" s="619"/>
      <c r="AI93" s="619"/>
      <c r="AJ93" s="619"/>
      <c r="AK93" s="619"/>
      <c r="AL93" s="619"/>
    </row>
    <row r="94" spans="1:38" x14ac:dyDescent="0.25">
      <c r="A94" s="619"/>
      <c r="B94" s="619"/>
      <c r="C94" s="619"/>
      <c r="D94" s="619"/>
      <c r="E94" s="619"/>
      <c r="F94" s="619"/>
      <c r="G94" s="619"/>
      <c r="H94" s="619"/>
      <c r="I94" s="619"/>
      <c r="J94" s="619"/>
      <c r="K94" s="619"/>
      <c r="L94" s="619"/>
      <c r="M94" s="619"/>
      <c r="N94" s="619"/>
      <c r="O94" s="619"/>
      <c r="P94" s="619"/>
      <c r="Q94" s="619"/>
      <c r="R94" s="619"/>
      <c r="S94" s="619"/>
      <c r="T94" s="619"/>
      <c r="U94" s="619"/>
      <c r="V94" s="619"/>
      <c r="W94" s="619"/>
      <c r="X94" s="619"/>
      <c r="Y94" s="619"/>
      <c r="Z94" s="619"/>
      <c r="AA94" s="619"/>
      <c r="AB94" s="619"/>
      <c r="AC94" s="619"/>
      <c r="AD94" s="619"/>
      <c r="AE94" s="619"/>
      <c r="AF94" s="619"/>
      <c r="AG94" s="619"/>
      <c r="AH94" s="619"/>
      <c r="AI94" s="619"/>
      <c r="AJ94" s="619"/>
      <c r="AK94" s="619"/>
      <c r="AL94" s="619"/>
    </row>
    <row r="95" spans="1:38" x14ac:dyDescent="0.25">
      <c r="A95" s="619"/>
      <c r="B95" s="619"/>
      <c r="C95" s="619"/>
      <c r="D95" s="619"/>
      <c r="E95" s="619"/>
      <c r="F95" s="619"/>
      <c r="G95" s="619"/>
      <c r="H95" s="619"/>
      <c r="I95" s="619"/>
      <c r="J95" s="619"/>
      <c r="K95" s="619"/>
      <c r="L95" s="619"/>
      <c r="M95" s="619"/>
      <c r="N95" s="619"/>
      <c r="O95" s="619"/>
      <c r="P95" s="619"/>
      <c r="Q95" s="619"/>
      <c r="R95" s="619"/>
      <c r="S95" s="619"/>
      <c r="T95" s="619"/>
      <c r="U95" s="619"/>
      <c r="V95" s="619"/>
      <c r="W95" s="619"/>
      <c r="X95" s="619"/>
      <c r="Y95" s="619"/>
      <c r="Z95" s="619"/>
      <c r="AA95" s="619"/>
      <c r="AB95" s="619"/>
      <c r="AC95" s="619"/>
      <c r="AD95" s="619"/>
      <c r="AE95" s="619"/>
      <c r="AF95" s="619"/>
      <c r="AG95" s="619"/>
      <c r="AH95" s="619"/>
      <c r="AI95" s="619"/>
      <c r="AJ95" s="619"/>
      <c r="AK95" s="619"/>
      <c r="AL95" s="619"/>
    </row>
    <row r="96" spans="1:38" x14ac:dyDescent="0.25">
      <c r="A96" s="619"/>
      <c r="B96" s="619"/>
      <c r="C96" s="619"/>
      <c r="D96" s="619"/>
      <c r="E96" s="619"/>
      <c r="F96" s="619"/>
      <c r="G96" s="619"/>
      <c r="H96" s="619"/>
      <c r="I96" s="619"/>
      <c r="J96" s="619"/>
      <c r="K96" s="619"/>
      <c r="L96" s="619"/>
      <c r="M96" s="619"/>
      <c r="N96" s="619"/>
      <c r="O96" s="619"/>
      <c r="P96" s="619"/>
      <c r="Q96" s="619"/>
      <c r="R96" s="619"/>
      <c r="S96" s="619"/>
      <c r="T96" s="619"/>
      <c r="U96" s="619"/>
      <c r="V96" s="619"/>
      <c r="W96" s="619"/>
      <c r="X96" s="619"/>
      <c r="Y96" s="619"/>
      <c r="Z96" s="619"/>
      <c r="AA96" s="619"/>
      <c r="AB96" s="619"/>
      <c r="AC96" s="619"/>
      <c r="AD96" s="619"/>
      <c r="AE96" s="619"/>
      <c r="AF96" s="619"/>
      <c r="AG96" s="619"/>
      <c r="AH96" s="619"/>
      <c r="AI96" s="619"/>
      <c r="AJ96" s="619"/>
      <c r="AK96" s="619"/>
      <c r="AL96" s="619"/>
    </row>
    <row r="97" spans="1:38" x14ac:dyDescent="0.25">
      <c r="A97" s="619"/>
      <c r="B97" s="619"/>
      <c r="C97" s="619"/>
      <c r="D97" s="619"/>
      <c r="E97" s="619"/>
      <c r="F97" s="619"/>
      <c r="G97" s="619"/>
      <c r="H97" s="619"/>
      <c r="I97" s="619"/>
      <c r="J97" s="619"/>
      <c r="K97" s="619"/>
      <c r="L97" s="619"/>
      <c r="M97" s="619"/>
      <c r="N97" s="619"/>
      <c r="O97" s="619"/>
      <c r="P97" s="619"/>
      <c r="Q97" s="619"/>
      <c r="R97" s="619"/>
      <c r="S97" s="619"/>
      <c r="T97" s="619"/>
      <c r="U97" s="619"/>
      <c r="V97" s="619"/>
      <c r="W97" s="619"/>
      <c r="X97" s="619"/>
      <c r="Y97" s="619"/>
      <c r="Z97" s="619"/>
      <c r="AA97" s="619"/>
      <c r="AB97" s="619"/>
      <c r="AC97" s="619"/>
      <c r="AD97" s="619"/>
      <c r="AE97" s="619"/>
      <c r="AF97" s="619"/>
      <c r="AG97" s="619"/>
      <c r="AH97" s="619"/>
      <c r="AI97" s="619"/>
      <c r="AJ97" s="619"/>
      <c r="AK97" s="619"/>
      <c r="AL97" s="619"/>
    </row>
    <row r="98" spans="1:38" x14ac:dyDescent="0.25">
      <c r="A98" s="619"/>
      <c r="B98" s="619"/>
      <c r="C98" s="619"/>
      <c r="D98" s="619"/>
      <c r="E98" s="619"/>
      <c r="F98" s="619"/>
      <c r="G98" s="619"/>
      <c r="H98" s="619"/>
      <c r="I98" s="619"/>
      <c r="J98" s="619"/>
      <c r="K98" s="619"/>
      <c r="L98" s="619"/>
      <c r="M98" s="619"/>
      <c r="N98" s="619"/>
      <c r="O98" s="619"/>
      <c r="P98" s="619"/>
      <c r="Q98" s="619"/>
      <c r="R98" s="619"/>
      <c r="S98" s="619"/>
      <c r="T98" s="619"/>
      <c r="U98" s="619"/>
      <c r="V98" s="619"/>
      <c r="W98" s="619"/>
      <c r="X98" s="619"/>
      <c r="Y98" s="619"/>
      <c r="Z98" s="619"/>
      <c r="AA98" s="619"/>
      <c r="AB98" s="619"/>
      <c r="AC98" s="619"/>
      <c r="AD98" s="619"/>
      <c r="AE98" s="619"/>
      <c r="AF98" s="619"/>
      <c r="AG98" s="619"/>
      <c r="AH98" s="619"/>
      <c r="AI98" s="619"/>
      <c r="AJ98" s="619"/>
      <c r="AK98" s="619"/>
      <c r="AL98" s="619"/>
    </row>
    <row r="99" spans="1:38" x14ac:dyDescent="0.25">
      <c r="A99" s="619"/>
      <c r="B99" s="619"/>
      <c r="C99" s="619"/>
      <c r="D99" s="619"/>
      <c r="E99" s="619"/>
      <c r="F99" s="619"/>
      <c r="G99" s="619"/>
      <c r="H99" s="619"/>
      <c r="I99" s="619"/>
      <c r="J99" s="619"/>
      <c r="K99" s="619"/>
      <c r="L99" s="619"/>
      <c r="M99" s="619"/>
      <c r="N99" s="619"/>
      <c r="O99" s="619"/>
      <c r="P99" s="619"/>
      <c r="Q99" s="619"/>
      <c r="R99" s="619"/>
      <c r="S99" s="619"/>
      <c r="T99" s="619"/>
      <c r="U99" s="619"/>
      <c r="V99" s="619"/>
      <c r="W99" s="619"/>
      <c r="X99" s="619"/>
      <c r="Y99" s="619"/>
      <c r="Z99" s="619"/>
      <c r="AA99" s="619"/>
      <c r="AB99" s="619"/>
      <c r="AC99" s="619"/>
      <c r="AD99" s="619"/>
      <c r="AE99" s="619"/>
      <c r="AF99" s="619"/>
      <c r="AG99" s="619"/>
      <c r="AH99" s="619"/>
      <c r="AI99" s="619"/>
      <c r="AJ99" s="619"/>
      <c r="AK99" s="619"/>
      <c r="AL99" s="619"/>
    </row>
    <row r="100" spans="1:38" x14ac:dyDescent="0.25">
      <c r="A100" s="619"/>
      <c r="B100" s="619"/>
      <c r="C100" s="619"/>
      <c r="D100" s="619"/>
      <c r="E100" s="619"/>
      <c r="F100" s="619"/>
      <c r="G100" s="619"/>
      <c r="H100" s="619"/>
      <c r="I100" s="619"/>
      <c r="J100" s="619"/>
      <c r="K100" s="619"/>
      <c r="L100" s="619"/>
      <c r="M100" s="619"/>
      <c r="N100" s="619"/>
      <c r="O100" s="619"/>
      <c r="P100" s="619"/>
      <c r="Q100" s="619"/>
      <c r="R100" s="619"/>
      <c r="S100" s="619"/>
      <c r="T100" s="619"/>
      <c r="U100" s="619"/>
      <c r="V100" s="619"/>
      <c r="W100" s="619"/>
      <c r="X100" s="619"/>
      <c r="Y100" s="619"/>
      <c r="Z100" s="619"/>
      <c r="AA100" s="619"/>
      <c r="AB100" s="619"/>
      <c r="AC100" s="619"/>
      <c r="AD100" s="619"/>
      <c r="AE100" s="619"/>
      <c r="AF100" s="619"/>
      <c r="AG100" s="619"/>
      <c r="AH100" s="619"/>
      <c r="AI100" s="619"/>
      <c r="AJ100" s="619"/>
      <c r="AK100" s="619"/>
      <c r="AL100" s="619"/>
    </row>
    <row r="101" spans="1:38" x14ac:dyDescent="0.25">
      <c r="A101" s="619"/>
      <c r="B101" s="619"/>
      <c r="C101" s="619"/>
      <c r="D101" s="619"/>
      <c r="E101" s="619"/>
      <c r="F101" s="619"/>
      <c r="G101" s="619"/>
      <c r="H101" s="619"/>
      <c r="I101" s="619"/>
      <c r="J101" s="619"/>
      <c r="K101" s="619"/>
      <c r="L101" s="619"/>
      <c r="M101" s="619"/>
      <c r="N101" s="619"/>
      <c r="O101" s="619"/>
      <c r="P101" s="619"/>
      <c r="Q101" s="619"/>
      <c r="R101" s="619"/>
      <c r="S101" s="619"/>
      <c r="T101" s="619"/>
      <c r="U101" s="619"/>
      <c r="V101" s="619"/>
      <c r="W101" s="619"/>
      <c r="X101" s="619"/>
      <c r="Y101" s="619"/>
      <c r="Z101" s="619"/>
      <c r="AA101" s="619"/>
      <c r="AB101" s="619"/>
      <c r="AC101" s="619"/>
      <c r="AD101" s="619"/>
      <c r="AE101" s="619"/>
      <c r="AF101" s="619"/>
      <c r="AG101" s="619"/>
      <c r="AH101" s="619"/>
      <c r="AI101" s="619"/>
      <c r="AJ101" s="619"/>
      <c r="AK101" s="619"/>
      <c r="AL101" s="619"/>
    </row>
    <row r="102" spans="1:38" x14ac:dyDescent="0.25">
      <c r="A102" s="619"/>
      <c r="B102" s="619"/>
      <c r="C102" s="619"/>
      <c r="D102" s="619"/>
      <c r="E102" s="619"/>
      <c r="F102" s="619"/>
      <c r="G102" s="619"/>
      <c r="H102" s="619"/>
      <c r="I102" s="619"/>
      <c r="J102" s="619"/>
      <c r="K102" s="619"/>
      <c r="L102" s="619"/>
      <c r="M102" s="619"/>
      <c r="N102" s="619"/>
      <c r="O102" s="619"/>
      <c r="P102" s="619"/>
      <c r="Q102" s="619"/>
      <c r="R102" s="619"/>
      <c r="S102" s="619"/>
      <c r="T102" s="619"/>
      <c r="U102" s="619"/>
      <c r="V102" s="619"/>
      <c r="W102" s="619"/>
      <c r="X102" s="619"/>
      <c r="Y102" s="619"/>
      <c r="Z102" s="619"/>
      <c r="AA102" s="619"/>
      <c r="AB102" s="619"/>
      <c r="AC102" s="619"/>
      <c r="AD102" s="619"/>
      <c r="AE102" s="619"/>
      <c r="AF102" s="619"/>
      <c r="AG102" s="619"/>
      <c r="AH102" s="619"/>
      <c r="AI102" s="619"/>
      <c r="AJ102" s="619"/>
      <c r="AK102" s="619"/>
      <c r="AL102" s="619"/>
    </row>
    <row r="103" spans="1:38" x14ac:dyDescent="0.25">
      <c r="A103" s="619"/>
      <c r="B103" s="619"/>
      <c r="C103" s="619"/>
      <c r="D103" s="619"/>
      <c r="E103" s="619"/>
      <c r="F103" s="619"/>
      <c r="G103" s="619"/>
      <c r="H103" s="619"/>
      <c r="I103" s="619"/>
      <c r="J103" s="619"/>
      <c r="K103" s="619"/>
      <c r="L103" s="619"/>
      <c r="M103" s="619"/>
      <c r="N103" s="619"/>
      <c r="O103" s="619"/>
      <c r="P103" s="619"/>
      <c r="Q103" s="619"/>
      <c r="R103" s="619"/>
      <c r="S103" s="619"/>
      <c r="T103" s="619"/>
      <c r="U103" s="619"/>
      <c r="V103" s="619"/>
      <c r="W103" s="619"/>
      <c r="X103" s="619"/>
      <c r="Y103" s="619"/>
      <c r="Z103" s="619"/>
      <c r="AA103" s="619"/>
      <c r="AB103" s="619"/>
      <c r="AC103" s="619"/>
      <c r="AD103" s="619"/>
      <c r="AE103" s="619"/>
      <c r="AF103" s="619"/>
      <c r="AG103" s="619"/>
      <c r="AH103" s="619"/>
      <c r="AI103" s="619"/>
      <c r="AJ103" s="619"/>
      <c r="AK103" s="619"/>
      <c r="AL103" s="619"/>
    </row>
    <row r="104" spans="1:38" x14ac:dyDescent="0.25">
      <c r="A104" s="619"/>
      <c r="B104" s="619"/>
      <c r="C104" s="619"/>
      <c r="D104" s="619"/>
      <c r="E104" s="619"/>
      <c r="F104" s="619"/>
      <c r="G104" s="619"/>
      <c r="H104" s="619"/>
      <c r="I104" s="619"/>
      <c r="J104" s="619"/>
      <c r="K104" s="619"/>
      <c r="L104" s="619"/>
      <c r="M104" s="619"/>
      <c r="N104" s="619"/>
      <c r="O104" s="619"/>
      <c r="P104" s="619"/>
      <c r="Q104" s="619"/>
      <c r="R104" s="619"/>
      <c r="S104" s="619"/>
      <c r="T104" s="619"/>
      <c r="U104" s="619"/>
      <c r="V104" s="619"/>
      <c r="W104" s="619"/>
      <c r="X104" s="619"/>
      <c r="Y104" s="619"/>
      <c r="Z104" s="619"/>
      <c r="AA104" s="619"/>
      <c r="AB104" s="619"/>
      <c r="AC104" s="619"/>
      <c r="AD104" s="619"/>
      <c r="AE104" s="619"/>
      <c r="AF104" s="619"/>
      <c r="AG104" s="619"/>
      <c r="AH104" s="619"/>
      <c r="AI104" s="619"/>
      <c r="AJ104" s="619"/>
      <c r="AK104" s="619"/>
      <c r="AL104" s="619"/>
    </row>
    <row r="105" spans="1:38" x14ac:dyDescent="0.25">
      <c r="A105" s="619"/>
      <c r="B105" s="619"/>
      <c r="C105" s="619"/>
      <c r="D105" s="619"/>
      <c r="E105" s="619"/>
      <c r="F105" s="619"/>
      <c r="G105" s="619"/>
      <c r="H105" s="619"/>
      <c r="I105" s="619"/>
      <c r="J105" s="619"/>
      <c r="K105" s="619"/>
      <c r="L105" s="619"/>
      <c r="M105" s="619"/>
      <c r="N105" s="619"/>
      <c r="O105" s="619"/>
      <c r="P105" s="619"/>
      <c r="Q105" s="619"/>
      <c r="R105" s="619"/>
      <c r="S105" s="619"/>
      <c r="T105" s="619"/>
      <c r="U105" s="619"/>
      <c r="V105" s="619"/>
      <c r="W105" s="619"/>
      <c r="X105" s="619"/>
      <c r="Y105" s="619"/>
      <c r="Z105" s="619"/>
      <c r="AA105" s="619"/>
      <c r="AB105" s="619"/>
      <c r="AC105" s="619"/>
      <c r="AD105" s="619"/>
      <c r="AE105" s="619"/>
      <c r="AF105" s="619"/>
      <c r="AG105" s="619"/>
      <c r="AH105" s="619"/>
      <c r="AI105" s="619"/>
      <c r="AJ105" s="619"/>
      <c r="AK105" s="619"/>
      <c r="AL105" s="619"/>
    </row>
    <row r="106" spans="1:38" x14ac:dyDescent="0.25">
      <c r="A106" s="619"/>
      <c r="B106" s="619"/>
      <c r="C106" s="619"/>
      <c r="D106" s="619"/>
      <c r="E106" s="619"/>
      <c r="F106" s="619"/>
      <c r="G106" s="619"/>
      <c r="H106" s="619"/>
      <c r="I106" s="619"/>
      <c r="J106" s="619"/>
      <c r="K106" s="619"/>
      <c r="L106" s="619"/>
      <c r="M106" s="619"/>
      <c r="N106" s="619"/>
      <c r="O106" s="619"/>
      <c r="P106" s="619"/>
      <c r="Q106" s="619"/>
      <c r="R106" s="619"/>
      <c r="S106" s="619"/>
      <c r="T106" s="619"/>
      <c r="U106" s="619"/>
      <c r="V106" s="619"/>
      <c r="W106" s="619"/>
      <c r="X106" s="619"/>
      <c r="Y106" s="619"/>
      <c r="Z106" s="619"/>
      <c r="AA106" s="619"/>
      <c r="AB106" s="619"/>
      <c r="AC106" s="619"/>
      <c r="AD106" s="619"/>
      <c r="AE106" s="619"/>
      <c r="AF106" s="619"/>
      <c r="AG106" s="619"/>
      <c r="AH106" s="619"/>
      <c r="AI106" s="619"/>
      <c r="AJ106" s="619"/>
      <c r="AK106" s="619"/>
      <c r="AL106" s="619"/>
    </row>
    <row r="107" spans="1:38" x14ac:dyDescent="0.25">
      <c r="A107" s="619"/>
      <c r="B107" s="619"/>
      <c r="C107" s="619"/>
      <c r="D107" s="619"/>
      <c r="E107" s="619"/>
      <c r="F107" s="619"/>
      <c r="G107" s="619"/>
      <c r="H107" s="619"/>
      <c r="I107" s="619"/>
      <c r="J107" s="619"/>
      <c r="K107" s="619"/>
      <c r="L107" s="619"/>
      <c r="M107" s="619"/>
      <c r="N107" s="619"/>
      <c r="O107" s="619"/>
      <c r="P107" s="619"/>
      <c r="Q107" s="619"/>
      <c r="R107" s="619"/>
      <c r="S107" s="619"/>
      <c r="T107" s="619"/>
      <c r="U107" s="619"/>
      <c r="V107" s="619"/>
      <c r="W107" s="619"/>
      <c r="X107" s="619"/>
      <c r="Y107" s="619"/>
      <c r="Z107" s="619"/>
      <c r="AA107" s="619"/>
      <c r="AB107" s="619"/>
      <c r="AC107" s="619"/>
      <c r="AD107" s="619"/>
      <c r="AE107" s="619"/>
      <c r="AF107" s="619"/>
      <c r="AG107" s="619"/>
      <c r="AH107" s="619"/>
      <c r="AI107" s="619"/>
      <c r="AJ107" s="619"/>
      <c r="AK107" s="619"/>
      <c r="AL107" s="619"/>
    </row>
    <row r="108" spans="1:38" x14ac:dyDescent="0.25">
      <c r="A108" s="619"/>
      <c r="B108" s="619"/>
      <c r="C108" s="619"/>
      <c r="D108" s="619"/>
      <c r="E108" s="619"/>
      <c r="F108" s="619"/>
      <c r="G108" s="619"/>
      <c r="H108" s="619"/>
      <c r="I108" s="619"/>
      <c r="J108" s="619"/>
      <c r="K108" s="619"/>
      <c r="L108" s="619"/>
      <c r="M108" s="619"/>
      <c r="N108" s="619"/>
      <c r="O108" s="619"/>
      <c r="P108" s="619"/>
      <c r="Q108" s="619"/>
      <c r="R108" s="619"/>
      <c r="S108" s="619"/>
      <c r="T108" s="619"/>
      <c r="U108" s="619"/>
      <c r="V108" s="619"/>
      <c r="W108" s="619"/>
      <c r="X108" s="619"/>
      <c r="Y108" s="619"/>
      <c r="Z108" s="619"/>
      <c r="AA108" s="619"/>
      <c r="AB108" s="619"/>
      <c r="AC108" s="619"/>
      <c r="AD108" s="619"/>
      <c r="AE108" s="619"/>
      <c r="AF108" s="619"/>
      <c r="AG108" s="619"/>
      <c r="AH108" s="619"/>
      <c r="AI108" s="619"/>
      <c r="AJ108" s="619"/>
      <c r="AK108" s="619"/>
      <c r="AL108" s="619"/>
    </row>
    <row r="109" spans="1:38" x14ac:dyDescent="0.25">
      <c r="W109" s="619"/>
      <c r="X109" s="619"/>
      <c r="Y109" s="619"/>
      <c r="Z109" s="619"/>
      <c r="AA109" s="619"/>
      <c r="AB109" s="619"/>
      <c r="AC109" s="619"/>
      <c r="AD109" s="619"/>
      <c r="AE109" s="619"/>
      <c r="AF109" s="619"/>
      <c r="AG109" s="619"/>
      <c r="AH109" s="619"/>
      <c r="AI109" s="619"/>
      <c r="AJ109" s="619"/>
      <c r="AK109" s="619"/>
      <c r="AL109" s="619"/>
    </row>
  </sheetData>
  <sheetProtection algorithmName="SHA-512" hashValue="mAqH22eXr/YhEmNtO4XMOK/fSWZWeO5SqWdoMtLKeVHFXTrMjgQIsqoNps4aCrHX9uEET7HanW/binVOQxCsJQ==" saltValue="eyv1dX6mQfvz2iT4mMAMQQ==" spinCount="100000" sheet="1" objects="1" scenarios="1"/>
  <mergeCells count="78">
    <mergeCell ref="M22:N22"/>
    <mergeCell ref="C22:D22"/>
    <mergeCell ref="E22:F22"/>
    <mergeCell ref="G22:H22"/>
    <mergeCell ref="I22:J22"/>
    <mergeCell ref="K22:L22"/>
    <mergeCell ref="I18:J18"/>
    <mergeCell ref="I20:J20"/>
    <mergeCell ref="I21:J21"/>
    <mergeCell ref="M10:N10"/>
    <mergeCell ref="M11:N11"/>
    <mergeCell ref="M12:N12"/>
    <mergeCell ref="M13:N13"/>
    <mergeCell ref="M16:N16"/>
    <mergeCell ref="M15:N15"/>
    <mergeCell ref="M17:N17"/>
    <mergeCell ref="M18:N18"/>
    <mergeCell ref="M20:N20"/>
    <mergeCell ref="M21:N21"/>
    <mergeCell ref="I15:J15"/>
    <mergeCell ref="K15:L15"/>
    <mergeCell ref="G21:H21"/>
    <mergeCell ref="K10:L10"/>
    <mergeCell ref="K11:L11"/>
    <mergeCell ref="K12:L12"/>
    <mergeCell ref="K13:L13"/>
    <mergeCell ref="K16:L16"/>
    <mergeCell ref="I10:J10"/>
    <mergeCell ref="I11:J11"/>
    <mergeCell ref="I12:J12"/>
    <mergeCell ref="I13:J13"/>
    <mergeCell ref="I16:J16"/>
    <mergeCell ref="K17:L17"/>
    <mergeCell ref="K18:L18"/>
    <mergeCell ref="K20:L20"/>
    <mergeCell ref="K21:L21"/>
    <mergeCell ref="I17:J17"/>
    <mergeCell ref="G16:H16"/>
    <mergeCell ref="G15:H15"/>
    <mergeCell ref="G17:H17"/>
    <mergeCell ref="G18:H18"/>
    <mergeCell ref="G20:H20"/>
    <mergeCell ref="E17:F17"/>
    <mergeCell ref="E18:F18"/>
    <mergeCell ref="E20:F20"/>
    <mergeCell ref="E21:F21"/>
    <mergeCell ref="C16:D16"/>
    <mergeCell ref="C17:D17"/>
    <mergeCell ref="C18:D18"/>
    <mergeCell ref="C20:D20"/>
    <mergeCell ref="E10:F10"/>
    <mergeCell ref="E11:F11"/>
    <mergeCell ref="E12:F12"/>
    <mergeCell ref="E13:F13"/>
    <mergeCell ref="E16:F16"/>
    <mergeCell ref="E15:F15"/>
    <mergeCell ref="C10:D10"/>
    <mergeCell ref="C11:D11"/>
    <mergeCell ref="C12:D12"/>
    <mergeCell ref="C13:D13"/>
    <mergeCell ref="C21:D21"/>
    <mergeCell ref="C15:D15"/>
    <mergeCell ref="E9:F9"/>
    <mergeCell ref="G9:H9"/>
    <mergeCell ref="I9:J9"/>
    <mergeCell ref="K9:L9"/>
    <mergeCell ref="C3:C7"/>
    <mergeCell ref="E3:M3"/>
    <mergeCell ref="E4:M4"/>
    <mergeCell ref="E5:M5"/>
    <mergeCell ref="E6:M6"/>
    <mergeCell ref="E7:M7"/>
    <mergeCell ref="C9:D9"/>
    <mergeCell ref="G10:H10"/>
    <mergeCell ref="G11:H11"/>
    <mergeCell ref="G12:H12"/>
    <mergeCell ref="G13:H13"/>
    <mergeCell ref="M9:N9"/>
  </mergeCells>
  <pageMargins left="0.7" right="0.7" top="0.75" bottom="0.75" header="0.3" footer="0.3"/>
  <pageSetup orientation="portrait" r:id="rId1"/>
  <headerFooter>
    <oddHeader>&amp;R&amp;"Aptos"&amp;12&amp;K000000 UNCLASSIFIED - NON CLASSIFIÉ&amp;1#_x000D_</oddHeader>
  </headerFooter>
  <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8"/>
  <dimension ref="A1:D7604"/>
  <sheetViews>
    <sheetView workbookViewId="0">
      <selection activeCell="I21" sqref="I21"/>
    </sheetView>
  </sheetViews>
  <sheetFormatPr defaultColWidth="8.90625" defaultRowHeight="15" x14ac:dyDescent="0.25"/>
  <cols>
    <col min="1" max="1" width="14.453125" customWidth="1"/>
  </cols>
  <sheetData>
    <row r="1" spans="1:4" x14ac:dyDescent="0.25">
      <c r="A1" s="1184"/>
      <c r="B1" t="s">
        <v>1761</v>
      </c>
      <c r="C1" t="s">
        <v>1762</v>
      </c>
      <c r="D1" t="s">
        <v>1763</v>
      </c>
    </row>
    <row r="3" spans="1:4" x14ac:dyDescent="0.25">
      <c r="B3" t="s">
        <v>1022</v>
      </c>
      <c r="C3">
        <v>5</v>
      </c>
      <c r="D3">
        <v>5</v>
      </c>
    </row>
    <row r="4" spans="1:4" x14ac:dyDescent="0.25">
      <c r="B4" t="s">
        <v>1022</v>
      </c>
      <c r="C4">
        <v>5</v>
      </c>
      <c r="D4">
        <v>6</v>
      </c>
    </row>
    <row r="5" spans="1:4" x14ac:dyDescent="0.25">
      <c r="B5" t="s">
        <v>1022</v>
      </c>
      <c r="C5">
        <v>7</v>
      </c>
      <c r="D5">
        <v>6</v>
      </c>
    </row>
    <row r="6" spans="1:4" x14ac:dyDescent="0.25">
      <c r="B6" t="s">
        <v>1022</v>
      </c>
      <c r="C6">
        <v>7</v>
      </c>
      <c r="D6">
        <v>8</v>
      </c>
    </row>
    <row r="7" spans="1:4" x14ac:dyDescent="0.25">
      <c r="B7" t="s">
        <v>1022</v>
      </c>
      <c r="C7">
        <v>7</v>
      </c>
      <c r="D7">
        <v>13</v>
      </c>
    </row>
    <row r="8" spans="1:4" x14ac:dyDescent="0.25">
      <c r="B8" t="s">
        <v>1022</v>
      </c>
      <c r="C8">
        <v>7</v>
      </c>
      <c r="D8">
        <v>14</v>
      </c>
    </row>
    <row r="9" spans="1:4" x14ac:dyDescent="0.25">
      <c r="B9" t="s">
        <v>1022</v>
      </c>
      <c r="C9">
        <v>10</v>
      </c>
      <c r="D9">
        <v>6</v>
      </c>
    </row>
    <row r="10" spans="1:4" x14ac:dyDescent="0.25">
      <c r="B10" t="s">
        <v>1022</v>
      </c>
      <c r="C10">
        <v>10</v>
      </c>
      <c r="D10">
        <v>8</v>
      </c>
    </row>
    <row r="11" spans="1:4" x14ac:dyDescent="0.25">
      <c r="B11" t="s">
        <v>1022</v>
      </c>
      <c r="C11">
        <v>10</v>
      </c>
      <c r="D11">
        <v>13</v>
      </c>
    </row>
    <row r="12" spans="1:4" x14ac:dyDescent="0.25">
      <c r="B12" t="s">
        <v>1022</v>
      </c>
      <c r="C12">
        <v>10</v>
      </c>
      <c r="D12">
        <v>14</v>
      </c>
    </row>
    <row r="13" spans="1:4" x14ac:dyDescent="0.25">
      <c r="B13" t="s">
        <v>1022</v>
      </c>
      <c r="C13">
        <v>11</v>
      </c>
      <c r="D13">
        <v>6</v>
      </c>
    </row>
    <row r="14" spans="1:4" x14ac:dyDescent="0.25">
      <c r="B14" t="s">
        <v>1022</v>
      </c>
      <c r="C14">
        <v>11</v>
      </c>
      <c r="D14">
        <v>8</v>
      </c>
    </row>
    <row r="15" spans="1:4" x14ac:dyDescent="0.25">
      <c r="B15" t="s">
        <v>1022</v>
      </c>
      <c r="C15">
        <v>11</v>
      </c>
      <c r="D15">
        <v>13</v>
      </c>
    </row>
    <row r="16" spans="1:4" x14ac:dyDescent="0.25">
      <c r="B16" t="s">
        <v>1022</v>
      </c>
      <c r="C16">
        <v>11</v>
      </c>
      <c r="D16">
        <v>14</v>
      </c>
    </row>
    <row r="17" spans="2:4" x14ac:dyDescent="0.25">
      <c r="B17" t="s">
        <v>1022</v>
      </c>
      <c r="C17">
        <v>12</v>
      </c>
      <c r="D17">
        <v>6</v>
      </c>
    </row>
    <row r="18" spans="2:4" x14ac:dyDescent="0.25">
      <c r="B18" t="s">
        <v>1022</v>
      </c>
      <c r="C18">
        <v>12</v>
      </c>
      <c r="D18">
        <v>8</v>
      </c>
    </row>
    <row r="19" spans="2:4" x14ac:dyDescent="0.25">
      <c r="B19" t="s">
        <v>1022</v>
      </c>
      <c r="C19">
        <v>12</v>
      </c>
      <c r="D19">
        <v>13</v>
      </c>
    </row>
    <row r="20" spans="2:4" x14ac:dyDescent="0.25">
      <c r="B20" t="s">
        <v>1022</v>
      </c>
      <c r="C20">
        <v>12</v>
      </c>
      <c r="D20">
        <v>14</v>
      </c>
    </row>
    <row r="21" spans="2:4" x14ac:dyDescent="0.25">
      <c r="B21" t="s">
        <v>1022</v>
      </c>
      <c r="C21">
        <v>13</v>
      </c>
      <c r="D21">
        <v>6</v>
      </c>
    </row>
    <row r="22" spans="2:4" x14ac:dyDescent="0.25">
      <c r="B22" t="s">
        <v>1022</v>
      </c>
      <c r="C22">
        <v>13</v>
      </c>
      <c r="D22">
        <v>8</v>
      </c>
    </row>
    <row r="23" spans="2:4" x14ac:dyDescent="0.25">
      <c r="B23" t="s">
        <v>1022</v>
      </c>
      <c r="C23">
        <v>13</v>
      </c>
      <c r="D23">
        <v>13</v>
      </c>
    </row>
    <row r="24" spans="2:4" x14ac:dyDescent="0.25">
      <c r="B24" t="s">
        <v>1022</v>
      </c>
      <c r="C24">
        <v>13</v>
      </c>
      <c r="D24">
        <v>14</v>
      </c>
    </row>
    <row r="25" spans="2:4" x14ac:dyDescent="0.25">
      <c r="B25" t="s">
        <v>1022</v>
      </c>
      <c r="C25">
        <v>14</v>
      </c>
      <c r="D25">
        <v>6</v>
      </c>
    </row>
    <row r="26" spans="2:4" x14ac:dyDescent="0.25">
      <c r="B26" t="s">
        <v>1022</v>
      </c>
      <c r="C26">
        <v>14</v>
      </c>
      <c r="D26">
        <v>8</v>
      </c>
    </row>
    <row r="27" spans="2:4" x14ac:dyDescent="0.25">
      <c r="B27" t="s">
        <v>1022</v>
      </c>
      <c r="C27">
        <v>14</v>
      </c>
      <c r="D27">
        <v>13</v>
      </c>
    </row>
    <row r="28" spans="2:4" x14ac:dyDescent="0.25">
      <c r="B28" t="s">
        <v>1022</v>
      </c>
      <c r="C28">
        <v>14</v>
      </c>
      <c r="D28">
        <v>14</v>
      </c>
    </row>
    <row r="29" spans="2:4" x14ac:dyDescent="0.25">
      <c r="B29" t="s">
        <v>1022</v>
      </c>
      <c r="C29">
        <v>15</v>
      </c>
      <c r="D29">
        <v>6</v>
      </c>
    </row>
    <row r="30" spans="2:4" x14ac:dyDescent="0.25">
      <c r="B30" t="s">
        <v>1022</v>
      </c>
      <c r="C30">
        <v>15</v>
      </c>
      <c r="D30">
        <v>8</v>
      </c>
    </row>
    <row r="31" spans="2:4" x14ac:dyDescent="0.25">
      <c r="B31" t="s">
        <v>1022</v>
      </c>
      <c r="C31">
        <v>15</v>
      </c>
      <c r="D31">
        <v>13</v>
      </c>
    </row>
    <row r="32" spans="2:4" x14ac:dyDescent="0.25">
      <c r="B32" t="s">
        <v>1022</v>
      </c>
      <c r="C32">
        <v>15</v>
      </c>
      <c r="D32">
        <v>14</v>
      </c>
    </row>
    <row r="33" spans="2:4" x14ac:dyDescent="0.25">
      <c r="B33" t="s">
        <v>1022</v>
      </c>
      <c r="C33">
        <v>16</v>
      </c>
      <c r="D33">
        <v>6</v>
      </c>
    </row>
    <row r="34" spans="2:4" x14ac:dyDescent="0.25">
      <c r="B34" t="s">
        <v>1022</v>
      </c>
      <c r="C34">
        <v>16</v>
      </c>
      <c r="D34">
        <v>8</v>
      </c>
    </row>
    <row r="35" spans="2:4" x14ac:dyDescent="0.25">
      <c r="B35" t="s">
        <v>1022</v>
      </c>
      <c r="C35">
        <v>16</v>
      </c>
      <c r="D35">
        <v>13</v>
      </c>
    </row>
    <row r="36" spans="2:4" x14ac:dyDescent="0.25">
      <c r="B36" t="s">
        <v>1022</v>
      </c>
      <c r="C36">
        <v>16</v>
      </c>
      <c r="D36">
        <v>14</v>
      </c>
    </row>
    <row r="37" spans="2:4" x14ac:dyDescent="0.25">
      <c r="B37" t="s">
        <v>1022</v>
      </c>
      <c r="C37">
        <v>18</v>
      </c>
      <c r="D37">
        <v>6</v>
      </c>
    </row>
    <row r="38" spans="2:4" x14ac:dyDescent="0.25">
      <c r="B38" t="s">
        <v>1022</v>
      </c>
      <c r="C38">
        <v>18</v>
      </c>
      <c r="D38">
        <v>8</v>
      </c>
    </row>
    <row r="39" spans="2:4" x14ac:dyDescent="0.25">
      <c r="B39" t="s">
        <v>1022</v>
      </c>
      <c r="C39">
        <v>18</v>
      </c>
      <c r="D39">
        <v>13</v>
      </c>
    </row>
    <row r="40" spans="2:4" x14ac:dyDescent="0.25">
      <c r="B40" t="s">
        <v>1022</v>
      </c>
      <c r="C40">
        <v>18</v>
      </c>
      <c r="D40">
        <v>14</v>
      </c>
    </row>
    <row r="41" spans="2:4" x14ac:dyDescent="0.25">
      <c r="B41" t="s">
        <v>1022</v>
      </c>
      <c r="C41">
        <v>19</v>
      </c>
      <c r="D41">
        <v>6</v>
      </c>
    </row>
    <row r="42" spans="2:4" x14ac:dyDescent="0.25">
      <c r="B42" t="s">
        <v>1022</v>
      </c>
      <c r="C42">
        <v>19</v>
      </c>
      <c r="D42">
        <v>8</v>
      </c>
    </row>
    <row r="43" spans="2:4" x14ac:dyDescent="0.25">
      <c r="B43" t="s">
        <v>1022</v>
      </c>
      <c r="C43">
        <v>19</v>
      </c>
      <c r="D43">
        <v>13</v>
      </c>
    </row>
    <row r="44" spans="2:4" x14ac:dyDescent="0.25">
      <c r="B44" t="s">
        <v>1022</v>
      </c>
      <c r="C44">
        <v>19</v>
      </c>
      <c r="D44">
        <v>14</v>
      </c>
    </row>
    <row r="45" spans="2:4" x14ac:dyDescent="0.25">
      <c r="B45" t="s">
        <v>1022</v>
      </c>
      <c r="C45">
        <v>20</v>
      </c>
      <c r="D45">
        <v>6</v>
      </c>
    </row>
    <row r="46" spans="2:4" x14ac:dyDescent="0.25">
      <c r="B46" t="s">
        <v>1022</v>
      </c>
      <c r="C46">
        <v>20</v>
      </c>
      <c r="D46">
        <v>8</v>
      </c>
    </row>
    <row r="47" spans="2:4" x14ac:dyDescent="0.25">
      <c r="B47" t="s">
        <v>1022</v>
      </c>
      <c r="C47">
        <v>20</v>
      </c>
      <c r="D47">
        <v>13</v>
      </c>
    </row>
    <row r="48" spans="2:4" x14ac:dyDescent="0.25">
      <c r="B48" t="s">
        <v>1022</v>
      </c>
      <c r="C48">
        <v>20</v>
      </c>
      <c r="D48">
        <v>14</v>
      </c>
    </row>
    <row r="49" spans="2:4" x14ac:dyDescent="0.25">
      <c r="B49" t="s">
        <v>1022</v>
      </c>
      <c r="C49">
        <v>21</v>
      </c>
      <c r="D49">
        <v>6</v>
      </c>
    </row>
    <row r="50" spans="2:4" x14ac:dyDescent="0.25">
      <c r="B50" t="s">
        <v>1022</v>
      </c>
      <c r="C50">
        <v>21</v>
      </c>
      <c r="D50">
        <v>8</v>
      </c>
    </row>
    <row r="51" spans="2:4" x14ac:dyDescent="0.25">
      <c r="B51" t="s">
        <v>1022</v>
      </c>
      <c r="C51">
        <v>21</v>
      </c>
      <c r="D51">
        <v>13</v>
      </c>
    </row>
    <row r="52" spans="2:4" x14ac:dyDescent="0.25">
      <c r="B52" t="s">
        <v>1022</v>
      </c>
      <c r="C52">
        <v>21</v>
      </c>
      <c r="D52">
        <v>14</v>
      </c>
    </row>
    <row r="53" spans="2:4" x14ac:dyDescent="0.25">
      <c r="B53" t="s">
        <v>1022</v>
      </c>
      <c r="C53">
        <v>22</v>
      </c>
      <c r="D53">
        <v>6</v>
      </c>
    </row>
    <row r="54" spans="2:4" x14ac:dyDescent="0.25">
      <c r="B54" t="s">
        <v>1022</v>
      </c>
      <c r="C54">
        <v>22</v>
      </c>
      <c r="D54">
        <v>8</v>
      </c>
    </row>
    <row r="55" spans="2:4" x14ac:dyDescent="0.25">
      <c r="B55" t="s">
        <v>1022</v>
      </c>
      <c r="C55">
        <v>22</v>
      </c>
      <c r="D55">
        <v>13</v>
      </c>
    </row>
    <row r="56" spans="2:4" x14ac:dyDescent="0.25">
      <c r="B56" t="s">
        <v>1022</v>
      </c>
      <c r="C56">
        <v>22</v>
      </c>
      <c r="D56">
        <v>14</v>
      </c>
    </row>
    <row r="57" spans="2:4" x14ac:dyDescent="0.25">
      <c r="B57" t="s">
        <v>1022</v>
      </c>
      <c r="C57">
        <v>23</v>
      </c>
      <c r="D57">
        <v>6</v>
      </c>
    </row>
    <row r="58" spans="2:4" x14ac:dyDescent="0.25">
      <c r="B58" t="s">
        <v>1022</v>
      </c>
      <c r="C58">
        <v>23</v>
      </c>
      <c r="D58">
        <v>8</v>
      </c>
    </row>
    <row r="59" spans="2:4" x14ac:dyDescent="0.25">
      <c r="B59" t="s">
        <v>1022</v>
      </c>
      <c r="C59">
        <v>23</v>
      </c>
      <c r="D59">
        <v>13</v>
      </c>
    </row>
    <row r="60" spans="2:4" x14ac:dyDescent="0.25">
      <c r="B60" t="s">
        <v>1022</v>
      </c>
      <c r="C60">
        <v>23</v>
      </c>
      <c r="D60">
        <v>14</v>
      </c>
    </row>
    <row r="61" spans="2:4" x14ac:dyDescent="0.25">
      <c r="B61" t="s">
        <v>1022</v>
      </c>
      <c r="C61">
        <v>24</v>
      </c>
      <c r="D61">
        <v>6</v>
      </c>
    </row>
    <row r="62" spans="2:4" x14ac:dyDescent="0.25">
      <c r="B62" t="s">
        <v>1022</v>
      </c>
      <c r="C62">
        <v>24</v>
      </c>
      <c r="D62">
        <v>8</v>
      </c>
    </row>
    <row r="63" spans="2:4" x14ac:dyDescent="0.25">
      <c r="B63" t="s">
        <v>1022</v>
      </c>
      <c r="C63">
        <v>24</v>
      </c>
      <c r="D63">
        <v>13</v>
      </c>
    </row>
    <row r="64" spans="2:4" x14ac:dyDescent="0.25">
      <c r="B64" t="s">
        <v>1022</v>
      </c>
      <c r="C64">
        <v>24</v>
      </c>
      <c r="D64">
        <v>14</v>
      </c>
    </row>
    <row r="65" spans="2:4" x14ac:dyDescent="0.25">
      <c r="B65" t="s">
        <v>1022</v>
      </c>
      <c r="C65">
        <v>26</v>
      </c>
      <c r="D65">
        <v>6</v>
      </c>
    </row>
    <row r="66" spans="2:4" x14ac:dyDescent="0.25">
      <c r="B66" t="s">
        <v>1022</v>
      </c>
      <c r="C66">
        <v>26</v>
      </c>
      <c r="D66">
        <v>8</v>
      </c>
    </row>
    <row r="67" spans="2:4" x14ac:dyDescent="0.25">
      <c r="B67" t="s">
        <v>1022</v>
      </c>
      <c r="C67">
        <v>26</v>
      </c>
      <c r="D67">
        <v>13</v>
      </c>
    </row>
    <row r="68" spans="2:4" x14ac:dyDescent="0.25">
      <c r="B68" t="s">
        <v>1022</v>
      </c>
      <c r="C68">
        <v>26</v>
      </c>
      <c r="D68">
        <v>14</v>
      </c>
    </row>
    <row r="69" spans="2:4" x14ac:dyDescent="0.25">
      <c r="B69" t="s">
        <v>1022</v>
      </c>
      <c r="C69">
        <v>27</v>
      </c>
      <c r="D69">
        <v>6</v>
      </c>
    </row>
    <row r="70" spans="2:4" x14ac:dyDescent="0.25">
      <c r="B70" t="s">
        <v>1022</v>
      </c>
      <c r="C70">
        <v>27</v>
      </c>
      <c r="D70">
        <v>8</v>
      </c>
    </row>
    <row r="71" spans="2:4" x14ac:dyDescent="0.25">
      <c r="B71" t="s">
        <v>1022</v>
      </c>
      <c r="C71">
        <v>27</v>
      </c>
      <c r="D71">
        <v>13</v>
      </c>
    </row>
    <row r="72" spans="2:4" x14ac:dyDescent="0.25">
      <c r="B72" t="s">
        <v>1022</v>
      </c>
      <c r="C72">
        <v>27</v>
      </c>
      <c r="D72">
        <v>14</v>
      </c>
    </row>
    <row r="73" spans="2:4" x14ac:dyDescent="0.25">
      <c r="B73" t="s">
        <v>1022</v>
      </c>
      <c r="C73">
        <v>28</v>
      </c>
      <c r="D73">
        <v>6</v>
      </c>
    </row>
    <row r="74" spans="2:4" x14ac:dyDescent="0.25">
      <c r="B74" t="s">
        <v>1022</v>
      </c>
      <c r="C74">
        <v>28</v>
      </c>
      <c r="D74">
        <v>8</v>
      </c>
    </row>
    <row r="75" spans="2:4" x14ac:dyDescent="0.25">
      <c r="B75" t="s">
        <v>1022</v>
      </c>
      <c r="C75">
        <v>28</v>
      </c>
      <c r="D75">
        <v>13</v>
      </c>
    </row>
    <row r="76" spans="2:4" x14ac:dyDescent="0.25">
      <c r="B76" t="s">
        <v>1022</v>
      </c>
      <c r="C76">
        <v>28</v>
      </c>
      <c r="D76">
        <v>14</v>
      </c>
    </row>
    <row r="77" spans="2:4" x14ac:dyDescent="0.25">
      <c r="B77" t="s">
        <v>1022</v>
      </c>
      <c r="C77">
        <v>29</v>
      </c>
      <c r="D77">
        <v>6</v>
      </c>
    </row>
    <row r="78" spans="2:4" x14ac:dyDescent="0.25">
      <c r="B78" t="s">
        <v>1022</v>
      </c>
      <c r="C78">
        <v>29</v>
      </c>
      <c r="D78">
        <v>8</v>
      </c>
    </row>
    <row r="79" spans="2:4" x14ac:dyDescent="0.25">
      <c r="B79" t="s">
        <v>1022</v>
      </c>
      <c r="C79">
        <v>29</v>
      </c>
      <c r="D79">
        <v>13</v>
      </c>
    </row>
    <row r="80" spans="2:4" x14ac:dyDescent="0.25">
      <c r="B80" t="s">
        <v>1022</v>
      </c>
      <c r="C80">
        <v>29</v>
      </c>
      <c r="D80">
        <v>14</v>
      </c>
    </row>
    <row r="81" spans="2:4" x14ac:dyDescent="0.25">
      <c r="B81" t="s">
        <v>1022</v>
      </c>
      <c r="C81">
        <v>30</v>
      </c>
      <c r="D81">
        <v>6</v>
      </c>
    </row>
    <row r="82" spans="2:4" x14ac:dyDescent="0.25">
      <c r="B82" t="s">
        <v>1022</v>
      </c>
      <c r="C82">
        <v>30</v>
      </c>
      <c r="D82">
        <v>8</v>
      </c>
    </row>
    <row r="83" spans="2:4" x14ac:dyDescent="0.25">
      <c r="B83" t="s">
        <v>1022</v>
      </c>
      <c r="C83">
        <v>30</v>
      </c>
      <c r="D83">
        <v>13</v>
      </c>
    </row>
    <row r="84" spans="2:4" x14ac:dyDescent="0.25">
      <c r="B84" t="s">
        <v>1022</v>
      </c>
      <c r="C84">
        <v>30</v>
      </c>
      <c r="D84">
        <v>14</v>
      </c>
    </row>
    <row r="85" spans="2:4" x14ac:dyDescent="0.25">
      <c r="B85" t="s">
        <v>1022</v>
      </c>
      <c r="C85">
        <v>31</v>
      </c>
      <c r="D85">
        <v>6</v>
      </c>
    </row>
    <row r="86" spans="2:4" x14ac:dyDescent="0.25">
      <c r="B86" t="s">
        <v>1022</v>
      </c>
      <c r="C86">
        <v>31</v>
      </c>
      <c r="D86">
        <v>8</v>
      </c>
    </row>
    <row r="87" spans="2:4" x14ac:dyDescent="0.25">
      <c r="B87" t="s">
        <v>1022</v>
      </c>
      <c r="C87">
        <v>31</v>
      </c>
      <c r="D87">
        <v>13</v>
      </c>
    </row>
    <row r="88" spans="2:4" x14ac:dyDescent="0.25">
      <c r="B88" t="s">
        <v>1022</v>
      </c>
      <c r="C88">
        <v>31</v>
      </c>
      <c r="D88">
        <v>14</v>
      </c>
    </row>
    <row r="89" spans="2:4" x14ac:dyDescent="0.25">
      <c r="B89" t="s">
        <v>1022</v>
      </c>
      <c r="C89">
        <v>32</v>
      </c>
      <c r="D89">
        <v>6</v>
      </c>
    </row>
    <row r="90" spans="2:4" x14ac:dyDescent="0.25">
      <c r="B90" t="s">
        <v>1022</v>
      </c>
      <c r="C90">
        <v>32</v>
      </c>
      <c r="D90">
        <v>8</v>
      </c>
    </row>
    <row r="91" spans="2:4" x14ac:dyDescent="0.25">
      <c r="B91" t="s">
        <v>1022</v>
      </c>
      <c r="C91">
        <v>32</v>
      </c>
      <c r="D91">
        <v>13</v>
      </c>
    </row>
    <row r="92" spans="2:4" x14ac:dyDescent="0.25">
      <c r="B92" t="s">
        <v>1022</v>
      </c>
      <c r="C92">
        <v>32</v>
      </c>
      <c r="D92">
        <v>14</v>
      </c>
    </row>
    <row r="93" spans="2:4" x14ac:dyDescent="0.25">
      <c r="B93" t="s">
        <v>1022</v>
      </c>
      <c r="C93">
        <v>33</v>
      </c>
      <c r="D93">
        <v>5</v>
      </c>
    </row>
    <row r="94" spans="2:4" x14ac:dyDescent="0.25">
      <c r="B94" t="s">
        <v>1022</v>
      </c>
      <c r="C94">
        <v>35</v>
      </c>
      <c r="D94">
        <v>6</v>
      </c>
    </row>
    <row r="95" spans="2:4" x14ac:dyDescent="0.25">
      <c r="B95" t="s">
        <v>1022</v>
      </c>
      <c r="C95">
        <v>35</v>
      </c>
      <c r="D95">
        <v>8</v>
      </c>
    </row>
    <row r="96" spans="2:4" x14ac:dyDescent="0.25">
      <c r="B96" t="s">
        <v>1022</v>
      </c>
      <c r="C96">
        <v>35</v>
      </c>
      <c r="D96">
        <v>13</v>
      </c>
    </row>
    <row r="97" spans="2:4" x14ac:dyDescent="0.25">
      <c r="B97" t="s">
        <v>1022</v>
      </c>
      <c r="C97">
        <v>35</v>
      </c>
      <c r="D97">
        <v>14</v>
      </c>
    </row>
    <row r="98" spans="2:4" x14ac:dyDescent="0.25">
      <c r="B98" t="s">
        <v>1022</v>
      </c>
      <c r="C98">
        <v>36</v>
      </c>
      <c r="D98">
        <v>6</v>
      </c>
    </row>
    <row r="99" spans="2:4" x14ac:dyDescent="0.25">
      <c r="B99" t="s">
        <v>1022</v>
      </c>
      <c r="C99">
        <v>36</v>
      </c>
      <c r="D99">
        <v>8</v>
      </c>
    </row>
    <row r="100" spans="2:4" x14ac:dyDescent="0.25">
      <c r="B100" t="s">
        <v>1022</v>
      </c>
      <c r="C100">
        <v>36</v>
      </c>
      <c r="D100">
        <v>13</v>
      </c>
    </row>
    <row r="101" spans="2:4" x14ac:dyDescent="0.25">
      <c r="B101" t="s">
        <v>1022</v>
      </c>
      <c r="C101">
        <v>36</v>
      </c>
      <c r="D101">
        <v>14</v>
      </c>
    </row>
    <row r="102" spans="2:4" x14ac:dyDescent="0.25">
      <c r="B102" t="s">
        <v>1022</v>
      </c>
      <c r="C102">
        <v>37</v>
      </c>
      <c r="D102">
        <v>6</v>
      </c>
    </row>
    <row r="103" spans="2:4" x14ac:dyDescent="0.25">
      <c r="B103" t="s">
        <v>1022</v>
      </c>
      <c r="C103">
        <v>37</v>
      </c>
      <c r="D103">
        <v>8</v>
      </c>
    </row>
    <row r="104" spans="2:4" x14ac:dyDescent="0.25">
      <c r="B104" t="s">
        <v>1022</v>
      </c>
      <c r="C104">
        <v>37</v>
      </c>
      <c r="D104">
        <v>13</v>
      </c>
    </row>
    <row r="105" spans="2:4" x14ac:dyDescent="0.25">
      <c r="B105" t="s">
        <v>1022</v>
      </c>
      <c r="C105">
        <v>37</v>
      </c>
      <c r="D105">
        <v>14</v>
      </c>
    </row>
    <row r="106" spans="2:4" x14ac:dyDescent="0.25">
      <c r="B106" t="s">
        <v>1022</v>
      </c>
      <c r="C106">
        <v>38</v>
      </c>
      <c r="D106">
        <v>6</v>
      </c>
    </row>
    <row r="107" spans="2:4" x14ac:dyDescent="0.25">
      <c r="B107" t="s">
        <v>1022</v>
      </c>
      <c r="C107">
        <v>38</v>
      </c>
      <c r="D107">
        <v>8</v>
      </c>
    </row>
    <row r="108" spans="2:4" x14ac:dyDescent="0.25">
      <c r="B108" t="s">
        <v>1022</v>
      </c>
      <c r="C108">
        <v>38</v>
      </c>
      <c r="D108">
        <v>13</v>
      </c>
    </row>
    <row r="109" spans="2:4" x14ac:dyDescent="0.25">
      <c r="B109" t="s">
        <v>1022</v>
      </c>
      <c r="C109">
        <v>38</v>
      </c>
      <c r="D109">
        <v>14</v>
      </c>
    </row>
    <row r="110" spans="2:4" x14ac:dyDescent="0.25">
      <c r="B110" t="s">
        <v>1022</v>
      </c>
      <c r="C110">
        <v>39</v>
      </c>
      <c r="D110">
        <v>6</v>
      </c>
    </row>
    <row r="111" spans="2:4" x14ac:dyDescent="0.25">
      <c r="B111" t="s">
        <v>1022</v>
      </c>
      <c r="C111">
        <v>39</v>
      </c>
      <c r="D111">
        <v>8</v>
      </c>
    </row>
    <row r="112" spans="2:4" x14ac:dyDescent="0.25">
      <c r="B112" t="s">
        <v>1022</v>
      </c>
      <c r="C112">
        <v>39</v>
      </c>
      <c r="D112">
        <v>13</v>
      </c>
    </row>
    <row r="113" spans="2:4" x14ac:dyDescent="0.25">
      <c r="B113" t="s">
        <v>1022</v>
      </c>
      <c r="C113">
        <v>39</v>
      </c>
      <c r="D113">
        <v>14</v>
      </c>
    </row>
    <row r="114" spans="2:4" x14ac:dyDescent="0.25">
      <c r="B114" t="s">
        <v>1022</v>
      </c>
      <c r="C114">
        <v>40</v>
      </c>
      <c r="D114">
        <v>5</v>
      </c>
    </row>
    <row r="115" spans="2:4" x14ac:dyDescent="0.25">
      <c r="B115" t="s">
        <v>1022</v>
      </c>
      <c r="C115">
        <v>42</v>
      </c>
      <c r="D115">
        <v>6</v>
      </c>
    </row>
    <row r="116" spans="2:4" x14ac:dyDescent="0.25">
      <c r="B116" t="s">
        <v>1022</v>
      </c>
      <c r="C116">
        <v>42</v>
      </c>
      <c r="D116">
        <v>8</v>
      </c>
    </row>
    <row r="117" spans="2:4" x14ac:dyDescent="0.25">
      <c r="B117" t="s">
        <v>1022</v>
      </c>
      <c r="C117">
        <v>42</v>
      </c>
      <c r="D117">
        <v>13</v>
      </c>
    </row>
    <row r="118" spans="2:4" x14ac:dyDescent="0.25">
      <c r="B118" t="s">
        <v>1022</v>
      </c>
      <c r="C118">
        <v>42</v>
      </c>
      <c r="D118">
        <v>14</v>
      </c>
    </row>
    <row r="119" spans="2:4" x14ac:dyDescent="0.25">
      <c r="B119" t="s">
        <v>1022</v>
      </c>
      <c r="C119">
        <v>43</v>
      </c>
      <c r="D119">
        <v>6</v>
      </c>
    </row>
    <row r="120" spans="2:4" x14ac:dyDescent="0.25">
      <c r="B120" t="s">
        <v>1022</v>
      </c>
      <c r="C120">
        <v>43</v>
      </c>
      <c r="D120">
        <v>8</v>
      </c>
    </row>
    <row r="121" spans="2:4" x14ac:dyDescent="0.25">
      <c r="B121" t="s">
        <v>1022</v>
      </c>
      <c r="C121">
        <v>43</v>
      </c>
      <c r="D121">
        <v>13</v>
      </c>
    </row>
    <row r="122" spans="2:4" x14ac:dyDescent="0.25">
      <c r="B122" t="s">
        <v>1022</v>
      </c>
      <c r="C122">
        <v>43</v>
      </c>
      <c r="D122">
        <v>14</v>
      </c>
    </row>
    <row r="123" spans="2:4" x14ac:dyDescent="0.25">
      <c r="B123" t="s">
        <v>1022</v>
      </c>
      <c r="C123">
        <v>44</v>
      </c>
      <c r="D123">
        <v>5</v>
      </c>
    </row>
    <row r="124" spans="2:4" x14ac:dyDescent="0.25">
      <c r="B124" t="s">
        <v>1022</v>
      </c>
      <c r="C124">
        <v>46</v>
      </c>
      <c r="D124">
        <v>6</v>
      </c>
    </row>
    <row r="125" spans="2:4" x14ac:dyDescent="0.25">
      <c r="B125" t="s">
        <v>1022</v>
      </c>
      <c r="C125">
        <v>46</v>
      </c>
      <c r="D125">
        <v>8</v>
      </c>
    </row>
    <row r="126" spans="2:4" x14ac:dyDescent="0.25">
      <c r="B126" t="s">
        <v>1022</v>
      </c>
      <c r="C126">
        <v>46</v>
      </c>
      <c r="D126">
        <v>13</v>
      </c>
    </row>
    <row r="127" spans="2:4" x14ac:dyDescent="0.25">
      <c r="B127" t="s">
        <v>1022</v>
      </c>
      <c r="C127">
        <v>46</v>
      </c>
      <c r="D127">
        <v>14</v>
      </c>
    </row>
    <row r="128" spans="2:4" x14ac:dyDescent="0.25">
      <c r="B128" t="s">
        <v>1022</v>
      </c>
      <c r="C128">
        <v>47</v>
      </c>
      <c r="D128">
        <v>5</v>
      </c>
    </row>
    <row r="129" spans="2:4" x14ac:dyDescent="0.25">
      <c r="B129" t="s">
        <v>1022</v>
      </c>
      <c r="C129">
        <v>47</v>
      </c>
      <c r="D129">
        <v>6</v>
      </c>
    </row>
    <row r="130" spans="2:4" x14ac:dyDescent="0.25">
      <c r="B130" t="s">
        <v>1022</v>
      </c>
      <c r="C130">
        <v>49</v>
      </c>
      <c r="D130">
        <v>6</v>
      </c>
    </row>
    <row r="131" spans="2:4" x14ac:dyDescent="0.25">
      <c r="B131" t="s">
        <v>1022</v>
      </c>
      <c r="C131">
        <v>49</v>
      </c>
      <c r="D131">
        <v>8</v>
      </c>
    </row>
    <row r="132" spans="2:4" x14ac:dyDescent="0.25">
      <c r="B132" t="s">
        <v>1022</v>
      </c>
      <c r="C132">
        <v>49</v>
      </c>
      <c r="D132">
        <v>13</v>
      </c>
    </row>
    <row r="133" spans="2:4" x14ac:dyDescent="0.25">
      <c r="B133" t="s">
        <v>1022</v>
      </c>
      <c r="C133">
        <v>49</v>
      </c>
      <c r="D133">
        <v>14</v>
      </c>
    </row>
    <row r="134" spans="2:4" x14ac:dyDescent="0.25">
      <c r="B134" t="s">
        <v>1022</v>
      </c>
      <c r="C134">
        <v>50</v>
      </c>
      <c r="D134">
        <v>6</v>
      </c>
    </row>
    <row r="135" spans="2:4" x14ac:dyDescent="0.25">
      <c r="B135" t="s">
        <v>1022</v>
      </c>
      <c r="C135">
        <v>50</v>
      </c>
      <c r="D135">
        <v>8</v>
      </c>
    </row>
    <row r="136" spans="2:4" x14ac:dyDescent="0.25">
      <c r="B136" t="s">
        <v>1022</v>
      </c>
      <c r="C136">
        <v>50</v>
      </c>
      <c r="D136">
        <v>13</v>
      </c>
    </row>
    <row r="137" spans="2:4" x14ac:dyDescent="0.25">
      <c r="B137" t="s">
        <v>1022</v>
      </c>
      <c r="C137">
        <v>50</v>
      </c>
      <c r="D137">
        <v>14</v>
      </c>
    </row>
    <row r="138" spans="2:4" x14ac:dyDescent="0.25">
      <c r="B138" t="s">
        <v>1022</v>
      </c>
      <c r="C138">
        <v>51</v>
      </c>
      <c r="D138">
        <v>6</v>
      </c>
    </row>
    <row r="139" spans="2:4" x14ac:dyDescent="0.25">
      <c r="B139" t="s">
        <v>1022</v>
      </c>
      <c r="C139">
        <v>51</v>
      </c>
      <c r="D139">
        <v>8</v>
      </c>
    </row>
    <row r="140" spans="2:4" x14ac:dyDescent="0.25">
      <c r="B140" t="s">
        <v>1022</v>
      </c>
      <c r="C140">
        <v>51</v>
      </c>
      <c r="D140">
        <v>13</v>
      </c>
    </row>
    <row r="141" spans="2:4" x14ac:dyDescent="0.25">
      <c r="B141" t="s">
        <v>1022</v>
      </c>
      <c r="C141">
        <v>51</v>
      </c>
      <c r="D141">
        <v>14</v>
      </c>
    </row>
    <row r="142" spans="2:4" x14ac:dyDescent="0.25">
      <c r="B142" t="s">
        <v>1022</v>
      </c>
      <c r="C142">
        <v>52</v>
      </c>
      <c r="D142">
        <v>6</v>
      </c>
    </row>
    <row r="143" spans="2:4" x14ac:dyDescent="0.25">
      <c r="B143" t="s">
        <v>1022</v>
      </c>
      <c r="C143">
        <v>52</v>
      </c>
      <c r="D143">
        <v>8</v>
      </c>
    </row>
    <row r="144" spans="2:4" x14ac:dyDescent="0.25">
      <c r="B144" t="s">
        <v>1022</v>
      </c>
      <c r="C144">
        <v>52</v>
      </c>
      <c r="D144">
        <v>13</v>
      </c>
    </row>
    <row r="145" spans="2:4" x14ac:dyDescent="0.25">
      <c r="B145" t="s">
        <v>1022</v>
      </c>
      <c r="C145">
        <v>52</v>
      </c>
      <c r="D145">
        <v>14</v>
      </c>
    </row>
    <row r="146" spans="2:4" x14ac:dyDescent="0.25">
      <c r="B146" t="s">
        <v>1022</v>
      </c>
      <c r="C146">
        <v>53</v>
      </c>
      <c r="D146">
        <v>6</v>
      </c>
    </row>
    <row r="147" spans="2:4" x14ac:dyDescent="0.25">
      <c r="B147" t="s">
        <v>1022</v>
      </c>
      <c r="C147">
        <v>53</v>
      </c>
      <c r="D147">
        <v>8</v>
      </c>
    </row>
    <row r="148" spans="2:4" x14ac:dyDescent="0.25">
      <c r="B148" t="s">
        <v>1022</v>
      </c>
      <c r="C148">
        <v>53</v>
      </c>
      <c r="D148">
        <v>13</v>
      </c>
    </row>
    <row r="149" spans="2:4" x14ac:dyDescent="0.25">
      <c r="B149" t="s">
        <v>1022</v>
      </c>
      <c r="C149">
        <v>53</v>
      </c>
      <c r="D149">
        <v>14</v>
      </c>
    </row>
    <row r="150" spans="2:4" x14ac:dyDescent="0.25">
      <c r="B150" t="s">
        <v>1022</v>
      </c>
      <c r="C150">
        <v>54</v>
      </c>
      <c r="D150">
        <v>6</v>
      </c>
    </row>
    <row r="151" spans="2:4" x14ac:dyDescent="0.25">
      <c r="B151" t="s">
        <v>1022</v>
      </c>
      <c r="C151">
        <v>54</v>
      </c>
      <c r="D151">
        <v>8</v>
      </c>
    </row>
    <row r="152" spans="2:4" x14ac:dyDescent="0.25">
      <c r="B152" t="s">
        <v>1022</v>
      </c>
      <c r="C152">
        <v>54</v>
      </c>
      <c r="D152">
        <v>13</v>
      </c>
    </row>
    <row r="153" spans="2:4" x14ac:dyDescent="0.25">
      <c r="B153" t="s">
        <v>1022</v>
      </c>
      <c r="C153">
        <v>54</v>
      </c>
      <c r="D153">
        <v>14</v>
      </c>
    </row>
    <row r="154" spans="2:4" x14ac:dyDescent="0.25">
      <c r="B154" t="s">
        <v>1022</v>
      </c>
      <c r="C154">
        <v>55</v>
      </c>
      <c r="D154">
        <v>6</v>
      </c>
    </row>
    <row r="155" spans="2:4" x14ac:dyDescent="0.25">
      <c r="B155" t="s">
        <v>1022</v>
      </c>
      <c r="C155">
        <v>55</v>
      </c>
      <c r="D155">
        <v>8</v>
      </c>
    </row>
    <row r="156" spans="2:4" x14ac:dyDescent="0.25">
      <c r="B156" t="s">
        <v>1022</v>
      </c>
      <c r="C156">
        <v>55</v>
      </c>
      <c r="D156">
        <v>13</v>
      </c>
    </row>
    <row r="157" spans="2:4" x14ac:dyDescent="0.25">
      <c r="B157" t="s">
        <v>1022</v>
      </c>
      <c r="C157">
        <v>55</v>
      </c>
      <c r="D157">
        <v>14</v>
      </c>
    </row>
    <row r="158" spans="2:4" x14ac:dyDescent="0.25">
      <c r="B158" t="s">
        <v>1022</v>
      </c>
      <c r="C158">
        <v>57</v>
      </c>
      <c r="D158">
        <v>6</v>
      </c>
    </row>
    <row r="159" spans="2:4" x14ac:dyDescent="0.25">
      <c r="B159" t="s">
        <v>1022</v>
      </c>
      <c r="C159">
        <v>57</v>
      </c>
      <c r="D159">
        <v>8</v>
      </c>
    </row>
    <row r="160" spans="2:4" x14ac:dyDescent="0.25">
      <c r="B160" t="s">
        <v>1022</v>
      </c>
      <c r="C160">
        <v>57</v>
      </c>
      <c r="D160">
        <v>13</v>
      </c>
    </row>
    <row r="161" spans="2:4" x14ac:dyDescent="0.25">
      <c r="B161" t="s">
        <v>1022</v>
      </c>
      <c r="C161">
        <v>57</v>
      </c>
      <c r="D161">
        <v>14</v>
      </c>
    </row>
    <row r="162" spans="2:4" x14ac:dyDescent="0.25">
      <c r="B162" t="s">
        <v>1022</v>
      </c>
      <c r="C162">
        <v>58</v>
      </c>
      <c r="D162">
        <v>6</v>
      </c>
    </row>
    <row r="163" spans="2:4" x14ac:dyDescent="0.25">
      <c r="B163" t="s">
        <v>1022</v>
      </c>
      <c r="C163">
        <v>58</v>
      </c>
      <c r="D163">
        <v>8</v>
      </c>
    </row>
    <row r="164" spans="2:4" x14ac:dyDescent="0.25">
      <c r="B164" t="s">
        <v>1022</v>
      </c>
      <c r="C164">
        <v>58</v>
      </c>
      <c r="D164">
        <v>13</v>
      </c>
    </row>
    <row r="165" spans="2:4" x14ac:dyDescent="0.25">
      <c r="B165" t="s">
        <v>1022</v>
      </c>
      <c r="C165">
        <v>58</v>
      </c>
      <c r="D165">
        <v>14</v>
      </c>
    </row>
    <row r="166" spans="2:4" x14ac:dyDescent="0.25">
      <c r="B166" t="s">
        <v>1022</v>
      </c>
      <c r="C166">
        <v>59</v>
      </c>
      <c r="D166">
        <v>6</v>
      </c>
    </row>
    <row r="167" spans="2:4" x14ac:dyDescent="0.25">
      <c r="B167" t="s">
        <v>1022</v>
      </c>
      <c r="C167">
        <v>59</v>
      </c>
      <c r="D167">
        <v>8</v>
      </c>
    </row>
    <row r="168" spans="2:4" x14ac:dyDescent="0.25">
      <c r="B168" t="s">
        <v>1022</v>
      </c>
      <c r="C168">
        <v>59</v>
      </c>
      <c r="D168">
        <v>13</v>
      </c>
    </row>
    <row r="169" spans="2:4" x14ac:dyDescent="0.25">
      <c r="B169" t="s">
        <v>1022</v>
      </c>
      <c r="C169">
        <v>59</v>
      </c>
      <c r="D169">
        <v>14</v>
      </c>
    </row>
    <row r="170" spans="2:4" x14ac:dyDescent="0.25">
      <c r="B170" t="s">
        <v>1022</v>
      </c>
      <c r="C170">
        <v>60</v>
      </c>
      <c r="D170">
        <v>6</v>
      </c>
    </row>
    <row r="171" spans="2:4" x14ac:dyDescent="0.25">
      <c r="B171" t="s">
        <v>1022</v>
      </c>
      <c r="C171">
        <v>60</v>
      </c>
      <c r="D171">
        <v>8</v>
      </c>
    </row>
    <row r="172" spans="2:4" x14ac:dyDescent="0.25">
      <c r="B172" t="s">
        <v>1022</v>
      </c>
      <c r="C172">
        <v>60</v>
      </c>
      <c r="D172">
        <v>13</v>
      </c>
    </row>
    <row r="173" spans="2:4" x14ac:dyDescent="0.25">
      <c r="B173" t="s">
        <v>1022</v>
      </c>
      <c r="C173">
        <v>60</v>
      </c>
      <c r="D173">
        <v>14</v>
      </c>
    </row>
    <row r="174" spans="2:4" x14ac:dyDescent="0.25">
      <c r="B174" t="s">
        <v>1022</v>
      </c>
      <c r="C174">
        <v>61</v>
      </c>
      <c r="D174">
        <v>6</v>
      </c>
    </row>
    <row r="175" spans="2:4" x14ac:dyDescent="0.25">
      <c r="B175" t="s">
        <v>1022</v>
      </c>
      <c r="C175">
        <v>61</v>
      </c>
      <c r="D175">
        <v>8</v>
      </c>
    </row>
    <row r="176" spans="2:4" x14ac:dyDescent="0.25">
      <c r="B176" t="s">
        <v>1022</v>
      </c>
      <c r="C176">
        <v>61</v>
      </c>
      <c r="D176">
        <v>13</v>
      </c>
    </row>
    <row r="177" spans="2:4" x14ac:dyDescent="0.25">
      <c r="B177" t="s">
        <v>1022</v>
      </c>
      <c r="C177">
        <v>61</v>
      </c>
      <c r="D177">
        <v>14</v>
      </c>
    </row>
    <row r="178" spans="2:4" x14ac:dyDescent="0.25">
      <c r="B178" t="s">
        <v>1022</v>
      </c>
      <c r="C178">
        <v>62</v>
      </c>
      <c r="D178">
        <v>6</v>
      </c>
    </row>
    <row r="179" spans="2:4" x14ac:dyDescent="0.25">
      <c r="B179" t="s">
        <v>1022</v>
      </c>
      <c r="C179">
        <v>62</v>
      </c>
      <c r="D179">
        <v>8</v>
      </c>
    </row>
    <row r="180" spans="2:4" x14ac:dyDescent="0.25">
      <c r="B180" t="s">
        <v>1022</v>
      </c>
      <c r="C180">
        <v>62</v>
      </c>
      <c r="D180">
        <v>13</v>
      </c>
    </row>
    <row r="181" spans="2:4" x14ac:dyDescent="0.25">
      <c r="B181" t="s">
        <v>1022</v>
      </c>
      <c r="C181">
        <v>62</v>
      </c>
      <c r="D181">
        <v>14</v>
      </c>
    </row>
    <row r="182" spans="2:4" x14ac:dyDescent="0.25">
      <c r="B182" t="s">
        <v>1022</v>
      </c>
      <c r="C182">
        <v>63</v>
      </c>
      <c r="D182">
        <v>6</v>
      </c>
    </row>
    <row r="183" spans="2:4" x14ac:dyDescent="0.25">
      <c r="B183" t="s">
        <v>1022</v>
      </c>
      <c r="C183">
        <v>63</v>
      </c>
      <c r="D183">
        <v>8</v>
      </c>
    </row>
    <row r="184" spans="2:4" x14ac:dyDescent="0.25">
      <c r="B184" t="s">
        <v>1022</v>
      </c>
      <c r="C184">
        <v>63</v>
      </c>
      <c r="D184">
        <v>13</v>
      </c>
    </row>
    <row r="185" spans="2:4" x14ac:dyDescent="0.25">
      <c r="B185" t="s">
        <v>1022</v>
      </c>
      <c r="C185">
        <v>63</v>
      </c>
      <c r="D185">
        <v>14</v>
      </c>
    </row>
    <row r="186" spans="2:4" x14ac:dyDescent="0.25">
      <c r="B186" t="s">
        <v>1022</v>
      </c>
      <c r="C186">
        <v>65</v>
      </c>
      <c r="D186">
        <v>6</v>
      </c>
    </row>
    <row r="187" spans="2:4" x14ac:dyDescent="0.25">
      <c r="B187" t="s">
        <v>1022</v>
      </c>
      <c r="C187">
        <v>65</v>
      </c>
      <c r="D187">
        <v>8</v>
      </c>
    </row>
    <row r="188" spans="2:4" x14ac:dyDescent="0.25">
      <c r="B188" t="s">
        <v>1022</v>
      </c>
      <c r="C188">
        <v>65</v>
      </c>
      <c r="D188">
        <v>13</v>
      </c>
    </row>
    <row r="189" spans="2:4" x14ac:dyDescent="0.25">
      <c r="B189" t="s">
        <v>1022</v>
      </c>
      <c r="C189">
        <v>65</v>
      </c>
      <c r="D189">
        <v>14</v>
      </c>
    </row>
    <row r="190" spans="2:4" x14ac:dyDescent="0.25">
      <c r="B190" t="s">
        <v>1022</v>
      </c>
      <c r="C190">
        <v>66</v>
      </c>
      <c r="D190">
        <v>6</v>
      </c>
    </row>
    <row r="191" spans="2:4" x14ac:dyDescent="0.25">
      <c r="B191" t="s">
        <v>1022</v>
      </c>
      <c r="C191">
        <v>66</v>
      </c>
      <c r="D191">
        <v>8</v>
      </c>
    </row>
    <row r="192" spans="2:4" x14ac:dyDescent="0.25">
      <c r="B192" t="s">
        <v>1022</v>
      </c>
      <c r="C192">
        <v>66</v>
      </c>
      <c r="D192">
        <v>13</v>
      </c>
    </row>
    <row r="193" spans="2:4" x14ac:dyDescent="0.25">
      <c r="B193" t="s">
        <v>1022</v>
      </c>
      <c r="C193">
        <v>66</v>
      </c>
      <c r="D193">
        <v>14</v>
      </c>
    </row>
    <row r="194" spans="2:4" x14ac:dyDescent="0.25">
      <c r="B194" t="s">
        <v>1022</v>
      </c>
      <c r="C194">
        <v>67</v>
      </c>
      <c r="D194">
        <v>6</v>
      </c>
    </row>
    <row r="195" spans="2:4" x14ac:dyDescent="0.25">
      <c r="B195" t="s">
        <v>1022</v>
      </c>
      <c r="C195">
        <v>67</v>
      </c>
      <c r="D195">
        <v>8</v>
      </c>
    </row>
    <row r="196" spans="2:4" x14ac:dyDescent="0.25">
      <c r="B196" t="s">
        <v>1022</v>
      </c>
      <c r="C196">
        <v>67</v>
      </c>
      <c r="D196">
        <v>13</v>
      </c>
    </row>
    <row r="197" spans="2:4" x14ac:dyDescent="0.25">
      <c r="B197" t="s">
        <v>1022</v>
      </c>
      <c r="C197">
        <v>67</v>
      </c>
      <c r="D197">
        <v>14</v>
      </c>
    </row>
    <row r="198" spans="2:4" x14ac:dyDescent="0.25">
      <c r="B198" t="s">
        <v>1022</v>
      </c>
      <c r="C198">
        <v>68</v>
      </c>
      <c r="D198">
        <v>6</v>
      </c>
    </row>
    <row r="199" spans="2:4" x14ac:dyDescent="0.25">
      <c r="B199" t="s">
        <v>1022</v>
      </c>
      <c r="C199">
        <v>68</v>
      </c>
      <c r="D199">
        <v>8</v>
      </c>
    </row>
    <row r="200" spans="2:4" x14ac:dyDescent="0.25">
      <c r="B200" t="s">
        <v>1022</v>
      </c>
      <c r="C200">
        <v>68</v>
      </c>
      <c r="D200">
        <v>13</v>
      </c>
    </row>
    <row r="201" spans="2:4" x14ac:dyDescent="0.25">
      <c r="B201" t="s">
        <v>1022</v>
      </c>
      <c r="C201">
        <v>68</v>
      </c>
      <c r="D201">
        <v>14</v>
      </c>
    </row>
    <row r="202" spans="2:4" x14ac:dyDescent="0.25">
      <c r="B202" t="s">
        <v>1022</v>
      </c>
      <c r="C202">
        <v>69</v>
      </c>
      <c r="D202">
        <v>6</v>
      </c>
    </row>
    <row r="203" spans="2:4" x14ac:dyDescent="0.25">
      <c r="B203" t="s">
        <v>1022</v>
      </c>
      <c r="C203">
        <v>69</v>
      </c>
      <c r="D203">
        <v>8</v>
      </c>
    </row>
    <row r="204" spans="2:4" x14ac:dyDescent="0.25">
      <c r="B204" t="s">
        <v>1022</v>
      </c>
      <c r="C204">
        <v>69</v>
      </c>
      <c r="D204">
        <v>13</v>
      </c>
    </row>
    <row r="205" spans="2:4" x14ac:dyDescent="0.25">
      <c r="B205" t="s">
        <v>1022</v>
      </c>
      <c r="C205">
        <v>69</v>
      </c>
      <c r="D205">
        <v>14</v>
      </c>
    </row>
    <row r="206" spans="2:4" x14ac:dyDescent="0.25">
      <c r="B206" t="s">
        <v>1022</v>
      </c>
      <c r="C206">
        <v>70</v>
      </c>
      <c r="D206">
        <v>6</v>
      </c>
    </row>
    <row r="207" spans="2:4" x14ac:dyDescent="0.25">
      <c r="B207" t="s">
        <v>1022</v>
      </c>
      <c r="C207">
        <v>70</v>
      </c>
      <c r="D207">
        <v>8</v>
      </c>
    </row>
    <row r="208" spans="2:4" x14ac:dyDescent="0.25">
      <c r="B208" t="s">
        <v>1022</v>
      </c>
      <c r="C208">
        <v>70</v>
      </c>
      <c r="D208">
        <v>13</v>
      </c>
    </row>
    <row r="209" spans="2:4" x14ac:dyDescent="0.25">
      <c r="B209" t="s">
        <v>1022</v>
      </c>
      <c r="C209">
        <v>70</v>
      </c>
      <c r="D209">
        <v>14</v>
      </c>
    </row>
    <row r="210" spans="2:4" x14ac:dyDescent="0.25">
      <c r="B210" t="s">
        <v>1022</v>
      </c>
      <c r="C210">
        <v>71</v>
      </c>
      <c r="D210">
        <v>6</v>
      </c>
    </row>
    <row r="211" spans="2:4" x14ac:dyDescent="0.25">
      <c r="B211" t="s">
        <v>1022</v>
      </c>
      <c r="C211">
        <v>71</v>
      </c>
      <c r="D211">
        <v>8</v>
      </c>
    </row>
    <row r="212" spans="2:4" x14ac:dyDescent="0.25">
      <c r="B212" t="s">
        <v>1022</v>
      </c>
      <c r="C212">
        <v>71</v>
      </c>
      <c r="D212">
        <v>13</v>
      </c>
    </row>
    <row r="213" spans="2:4" x14ac:dyDescent="0.25">
      <c r="B213" t="s">
        <v>1022</v>
      </c>
      <c r="C213">
        <v>71</v>
      </c>
      <c r="D213">
        <v>14</v>
      </c>
    </row>
    <row r="214" spans="2:4" x14ac:dyDescent="0.25">
      <c r="B214" t="s">
        <v>1022</v>
      </c>
      <c r="C214">
        <v>74</v>
      </c>
      <c r="D214">
        <v>6</v>
      </c>
    </row>
    <row r="215" spans="2:4" x14ac:dyDescent="0.25">
      <c r="B215" t="s">
        <v>1022</v>
      </c>
      <c r="C215">
        <v>74</v>
      </c>
      <c r="D215">
        <v>8</v>
      </c>
    </row>
    <row r="216" spans="2:4" x14ac:dyDescent="0.25">
      <c r="B216" t="s">
        <v>1022</v>
      </c>
      <c r="C216">
        <v>74</v>
      </c>
      <c r="D216">
        <v>13</v>
      </c>
    </row>
    <row r="217" spans="2:4" x14ac:dyDescent="0.25">
      <c r="B217" t="s">
        <v>1022</v>
      </c>
      <c r="C217">
        <v>74</v>
      </c>
      <c r="D217">
        <v>14</v>
      </c>
    </row>
    <row r="218" spans="2:4" x14ac:dyDescent="0.25">
      <c r="B218" t="s">
        <v>1022</v>
      </c>
      <c r="C218">
        <v>75</v>
      </c>
      <c r="D218">
        <v>5</v>
      </c>
    </row>
    <row r="219" spans="2:4" x14ac:dyDescent="0.25">
      <c r="B219" t="s">
        <v>1022</v>
      </c>
      <c r="C219">
        <v>76</v>
      </c>
      <c r="D219">
        <v>5</v>
      </c>
    </row>
    <row r="220" spans="2:4" x14ac:dyDescent="0.25">
      <c r="B220" t="s">
        <v>1022</v>
      </c>
      <c r="C220">
        <v>77</v>
      </c>
      <c r="D220">
        <v>6</v>
      </c>
    </row>
    <row r="221" spans="2:4" x14ac:dyDescent="0.25">
      <c r="B221" t="s">
        <v>1022</v>
      </c>
      <c r="C221">
        <v>77</v>
      </c>
      <c r="D221">
        <v>8</v>
      </c>
    </row>
    <row r="222" spans="2:4" x14ac:dyDescent="0.25">
      <c r="B222" t="s">
        <v>1022</v>
      </c>
      <c r="C222">
        <v>77</v>
      </c>
      <c r="D222">
        <v>13</v>
      </c>
    </row>
    <row r="223" spans="2:4" x14ac:dyDescent="0.25">
      <c r="B223" t="s">
        <v>1022</v>
      </c>
      <c r="C223">
        <v>77</v>
      </c>
      <c r="D223">
        <v>14</v>
      </c>
    </row>
    <row r="224" spans="2:4" x14ac:dyDescent="0.25">
      <c r="B224" t="s">
        <v>1022</v>
      </c>
      <c r="C224">
        <v>78</v>
      </c>
      <c r="D224">
        <v>6</v>
      </c>
    </row>
    <row r="225" spans="2:4" x14ac:dyDescent="0.25">
      <c r="B225" t="s">
        <v>1022</v>
      </c>
      <c r="C225">
        <v>78</v>
      </c>
      <c r="D225">
        <v>8</v>
      </c>
    </row>
    <row r="226" spans="2:4" x14ac:dyDescent="0.25">
      <c r="B226" t="s">
        <v>1022</v>
      </c>
      <c r="C226">
        <v>78</v>
      </c>
      <c r="D226">
        <v>13</v>
      </c>
    </row>
    <row r="227" spans="2:4" x14ac:dyDescent="0.25">
      <c r="B227" t="s">
        <v>1022</v>
      </c>
      <c r="C227">
        <v>78</v>
      </c>
      <c r="D227">
        <v>14</v>
      </c>
    </row>
    <row r="228" spans="2:4" x14ac:dyDescent="0.25">
      <c r="B228" t="s">
        <v>1022</v>
      </c>
      <c r="C228">
        <v>79</v>
      </c>
      <c r="D228">
        <v>6</v>
      </c>
    </row>
    <row r="229" spans="2:4" x14ac:dyDescent="0.25">
      <c r="B229" t="s">
        <v>1022</v>
      </c>
      <c r="C229">
        <v>79</v>
      </c>
      <c r="D229">
        <v>8</v>
      </c>
    </row>
    <row r="230" spans="2:4" x14ac:dyDescent="0.25">
      <c r="B230" t="s">
        <v>1022</v>
      </c>
      <c r="C230">
        <v>79</v>
      </c>
      <c r="D230">
        <v>13</v>
      </c>
    </row>
    <row r="231" spans="2:4" x14ac:dyDescent="0.25">
      <c r="B231" t="s">
        <v>1022</v>
      </c>
      <c r="C231">
        <v>79</v>
      </c>
      <c r="D231">
        <v>14</v>
      </c>
    </row>
    <row r="232" spans="2:4" x14ac:dyDescent="0.25">
      <c r="B232" t="s">
        <v>1022</v>
      </c>
      <c r="C232">
        <v>80</v>
      </c>
      <c r="D232">
        <v>6</v>
      </c>
    </row>
    <row r="233" spans="2:4" x14ac:dyDescent="0.25">
      <c r="B233" t="s">
        <v>1022</v>
      </c>
      <c r="C233">
        <v>80</v>
      </c>
      <c r="D233">
        <v>8</v>
      </c>
    </row>
    <row r="234" spans="2:4" x14ac:dyDescent="0.25">
      <c r="B234" t="s">
        <v>1022</v>
      </c>
      <c r="C234">
        <v>80</v>
      </c>
      <c r="D234">
        <v>13</v>
      </c>
    </row>
    <row r="235" spans="2:4" x14ac:dyDescent="0.25">
      <c r="B235" t="s">
        <v>1022</v>
      </c>
      <c r="C235">
        <v>80</v>
      </c>
      <c r="D235">
        <v>14</v>
      </c>
    </row>
    <row r="236" spans="2:4" x14ac:dyDescent="0.25">
      <c r="B236" t="s">
        <v>1022</v>
      </c>
      <c r="C236">
        <v>81</v>
      </c>
      <c r="D236">
        <v>6</v>
      </c>
    </row>
    <row r="237" spans="2:4" x14ac:dyDescent="0.25">
      <c r="B237" t="s">
        <v>1022</v>
      </c>
      <c r="C237">
        <v>81</v>
      </c>
      <c r="D237">
        <v>8</v>
      </c>
    </row>
    <row r="238" spans="2:4" x14ac:dyDescent="0.25">
      <c r="B238" t="s">
        <v>1022</v>
      </c>
      <c r="C238">
        <v>81</v>
      </c>
      <c r="D238">
        <v>13</v>
      </c>
    </row>
    <row r="239" spans="2:4" x14ac:dyDescent="0.25">
      <c r="B239" t="s">
        <v>1022</v>
      </c>
      <c r="C239">
        <v>81</v>
      </c>
      <c r="D239">
        <v>14</v>
      </c>
    </row>
    <row r="240" spans="2:4" x14ac:dyDescent="0.25">
      <c r="B240" t="s">
        <v>1022</v>
      </c>
      <c r="C240">
        <v>82</v>
      </c>
      <c r="D240">
        <v>6</v>
      </c>
    </row>
    <row r="241" spans="2:4" x14ac:dyDescent="0.25">
      <c r="B241" t="s">
        <v>1022</v>
      </c>
      <c r="C241">
        <v>82</v>
      </c>
      <c r="D241">
        <v>8</v>
      </c>
    </row>
    <row r="242" spans="2:4" x14ac:dyDescent="0.25">
      <c r="B242" t="s">
        <v>1022</v>
      </c>
      <c r="C242">
        <v>82</v>
      </c>
      <c r="D242">
        <v>13</v>
      </c>
    </row>
    <row r="243" spans="2:4" x14ac:dyDescent="0.25">
      <c r="B243" t="s">
        <v>1022</v>
      </c>
      <c r="C243">
        <v>82</v>
      </c>
      <c r="D243">
        <v>14</v>
      </c>
    </row>
    <row r="244" spans="2:4" x14ac:dyDescent="0.25">
      <c r="B244" t="s">
        <v>1022</v>
      </c>
      <c r="C244">
        <v>83</v>
      </c>
      <c r="D244">
        <v>6</v>
      </c>
    </row>
    <row r="245" spans="2:4" x14ac:dyDescent="0.25">
      <c r="B245" t="s">
        <v>1022</v>
      </c>
      <c r="C245">
        <v>83</v>
      </c>
      <c r="D245">
        <v>8</v>
      </c>
    </row>
    <row r="246" spans="2:4" x14ac:dyDescent="0.25">
      <c r="B246" t="s">
        <v>1022</v>
      </c>
      <c r="C246">
        <v>83</v>
      </c>
      <c r="D246">
        <v>13</v>
      </c>
    </row>
    <row r="247" spans="2:4" x14ac:dyDescent="0.25">
      <c r="B247" t="s">
        <v>1022</v>
      </c>
      <c r="C247">
        <v>83</v>
      </c>
      <c r="D247">
        <v>14</v>
      </c>
    </row>
    <row r="248" spans="2:4" x14ac:dyDescent="0.25">
      <c r="B248" t="s">
        <v>1022</v>
      </c>
      <c r="C248">
        <v>84</v>
      </c>
      <c r="D248">
        <v>6</v>
      </c>
    </row>
    <row r="249" spans="2:4" x14ac:dyDescent="0.25">
      <c r="B249" t="s">
        <v>1022</v>
      </c>
      <c r="C249">
        <v>84</v>
      </c>
      <c r="D249">
        <v>8</v>
      </c>
    </row>
    <row r="250" spans="2:4" x14ac:dyDescent="0.25">
      <c r="B250" t="s">
        <v>1022</v>
      </c>
      <c r="C250">
        <v>84</v>
      </c>
      <c r="D250">
        <v>13</v>
      </c>
    </row>
    <row r="251" spans="2:4" x14ac:dyDescent="0.25">
      <c r="B251" t="s">
        <v>1022</v>
      </c>
      <c r="C251">
        <v>84</v>
      </c>
      <c r="D251">
        <v>14</v>
      </c>
    </row>
    <row r="252" spans="2:4" x14ac:dyDescent="0.25">
      <c r="B252" t="s">
        <v>1022</v>
      </c>
      <c r="C252">
        <v>85</v>
      </c>
      <c r="D252">
        <v>6</v>
      </c>
    </row>
    <row r="253" spans="2:4" x14ac:dyDescent="0.25">
      <c r="B253" t="s">
        <v>1022</v>
      </c>
      <c r="C253">
        <v>85</v>
      </c>
      <c r="D253">
        <v>8</v>
      </c>
    </row>
    <row r="254" spans="2:4" x14ac:dyDescent="0.25">
      <c r="B254" t="s">
        <v>1022</v>
      </c>
      <c r="C254">
        <v>85</v>
      </c>
      <c r="D254">
        <v>13</v>
      </c>
    </row>
    <row r="255" spans="2:4" x14ac:dyDescent="0.25">
      <c r="B255" t="s">
        <v>1022</v>
      </c>
      <c r="C255">
        <v>85</v>
      </c>
      <c r="D255">
        <v>14</v>
      </c>
    </row>
    <row r="256" spans="2:4" x14ac:dyDescent="0.25">
      <c r="B256" t="s">
        <v>1022</v>
      </c>
      <c r="C256">
        <v>86</v>
      </c>
      <c r="D256">
        <v>5</v>
      </c>
    </row>
    <row r="257" spans="2:4" x14ac:dyDescent="0.25">
      <c r="B257" t="s">
        <v>1022</v>
      </c>
      <c r="C257">
        <v>87</v>
      </c>
      <c r="D257">
        <v>6</v>
      </c>
    </row>
    <row r="258" spans="2:4" x14ac:dyDescent="0.25">
      <c r="B258" t="s">
        <v>1022</v>
      </c>
      <c r="C258">
        <v>87</v>
      </c>
      <c r="D258">
        <v>8</v>
      </c>
    </row>
    <row r="259" spans="2:4" x14ac:dyDescent="0.25">
      <c r="B259" t="s">
        <v>1022</v>
      </c>
      <c r="C259">
        <v>87</v>
      </c>
      <c r="D259">
        <v>13</v>
      </c>
    </row>
    <row r="260" spans="2:4" x14ac:dyDescent="0.25">
      <c r="B260" t="s">
        <v>1022</v>
      </c>
      <c r="C260">
        <v>87</v>
      </c>
      <c r="D260">
        <v>14</v>
      </c>
    </row>
    <row r="261" spans="2:4" x14ac:dyDescent="0.25">
      <c r="B261" t="s">
        <v>1022</v>
      </c>
      <c r="C261">
        <v>88</v>
      </c>
      <c r="D261">
        <v>6</v>
      </c>
    </row>
    <row r="262" spans="2:4" x14ac:dyDescent="0.25">
      <c r="B262" t="s">
        <v>1022</v>
      </c>
      <c r="C262">
        <v>88</v>
      </c>
      <c r="D262">
        <v>8</v>
      </c>
    </row>
    <row r="263" spans="2:4" x14ac:dyDescent="0.25">
      <c r="B263" t="s">
        <v>1022</v>
      </c>
      <c r="C263">
        <v>88</v>
      </c>
      <c r="D263">
        <v>13</v>
      </c>
    </row>
    <row r="264" spans="2:4" x14ac:dyDescent="0.25">
      <c r="B264" t="s">
        <v>1022</v>
      </c>
      <c r="C264">
        <v>88</v>
      </c>
      <c r="D264">
        <v>14</v>
      </c>
    </row>
    <row r="265" spans="2:4" x14ac:dyDescent="0.25">
      <c r="B265" t="s">
        <v>1022</v>
      </c>
      <c r="C265">
        <v>89</v>
      </c>
      <c r="D265">
        <v>6</v>
      </c>
    </row>
    <row r="266" spans="2:4" x14ac:dyDescent="0.25">
      <c r="B266" t="s">
        <v>1022</v>
      </c>
      <c r="C266">
        <v>89</v>
      </c>
      <c r="D266">
        <v>8</v>
      </c>
    </row>
    <row r="267" spans="2:4" x14ac:dyDescent="0.25">
      <c r="B267" t="s">
        <v>1022</v>
      </c>
      <c r="C267">
        <v>89</v>
      </c>
      <c r="D267">
        <v>13</v>
      </c>
    </row>
    <row r="268" spans="2:4" x14ac:dyDescent="0.25">
      <c r="B268" t="s">
        <v>1022</v>
      </c>
      <c r="C268">
        <v>89</v>
      </c>
      <c r="D268">
        <v>14</v>
      </c>
    </row>
    <row r="269" spans="2:4" x14ac:dyDescent="0.25">
      <c r="B269" t="s">
        <v>1022</v>
      </c>
      <c r="C269">
        <v>90</v>
      </c>
      <c r="D269">
        <v>6</v>
      </c>
    </row>
    <row r="270" spans="2:4" x14ac:dyDescent="0.25">
      <c r="B270" t="s">
        <v>1022</v>
      </c>
      <c r="C270">
        <v>90</v>
      </c>
      <c r="D270">
        <v>8</v>
      </c>
    </row>
    <row r="271" spans="2:4" x14ac:dyDescent="0.25">
      <c r="B271" t="s">
        <v>1022</v>
      </c>
      <c r="C271">
        <v>90</v>
      </c>
      <c r="D271">
        <v>13</v>
      </c>
    </row>
    <row r="272" spans="2:4" x14ac:dyDescent="0.25">
      <c r="B272" t="s">
        <v>1022</v>
      </c>
      <c r="C272">
        <v>90</v>
      </c>
      <c r="D272">
        <v>14</v>
      </c>
    </row>
    <row r="273" spans="2:4" x14ac:dyDescent="0.25">
      <c r="B273" t="s">
        <v>1022</v>
      </c>
      <c r="C273">
        <v>91</v>
      </c>
      <c r="D273">
        <v>5</v>
      </c>
    </row>
    <row r="274" spans="2:4" x14ac:dyDescent="0.25">
      <c r="B274" t="s">
        <v>1022</v>
      </c>
      <c r="C274">
        <v>92</v>
      </c>
      <c r="D274">
        <v>6</v>
      </c>
    </row>
    <row r="275" spans="2:4" x14ac:dyDescent="0.25">
      <c r="B275" t="s">
        <v>1022</v>
      </c>
      <c r="C275">
        <v>92</v>
      </c>
      <c r="D275">
        <v>8</v>
      </c>
    </row>
    <row r="276" spans="2:4" x14ac:dyDescent="0.25">
      <c r="B276" t="s">
        <v>1022</v>
      </c>
      <c r="C276">
        <v>92</v>
      </c>
      <c r="D276">
        <v>13</v>
      </c>
    </row>
    <row r="277" spans="2:4" x14ac:dyDescent="0.25">
      <c r="B277" t="s">
        <v>1022</v>
      </c>
      <c r="C277">
        <v>92</v>
      </c>
      <c r="D277">
        <v>14</v>
      </c>
    </row>
    <row r="278" spans="2:4" x14ac:dyDescent="0.25">
      <c r="B278" t="s">
        <v>1022</v>
      </c>
      <c r="C278">
        <v>93</v>
      </c>
      <c r="D278">
        <v>6</v>
      </c>
    </row>
    <row r="279" spans="2:4" x14ac:dyDescent="0.25">
      <c r="B279" t="s">
        <v>1022</v>
      </c>
      <c r="C279">
        <v>93</v>
      </c>
      <c r="D279">
        <v>8</v>
      </c>
    </row>
    <row r="280" spans="2:4" x14ac:dyDescent="0.25">
      <c r="B280" t="s">
        <v>1022</v>
      </c>
      <c r="C280">
        <v>93</v>
      </c>
      <c r="D280">
        <v>13</v>
      </c>
    </row>
    <row r="281" spans="2:4" x14ac:dyDescent="0.25">
      <c r="B281" t="s">
        <v>1022</v>
      </c>
      <c r="C281">
        <v>93</v>
      </c>
      <c r="D281">
        <v>14</v>
      </c>
    </row>
    <row r="282" spans="2:4" x14ac:dyDescent="0.25">
      <c r="B282" t="s">
        <v>1022</v>
      </c>
      <c r="C282">
        <v>94</v>
      </c>
      <c r="D282">
        <v>6</v>
      </c>
    </row>
    <row r="283" spans="2:4" x14ac:dyDescent="0.25">
      <c r="B283" t="s">
        <v>1022</v>
      </c>
      <c r="C283">
        <v>94</v>
      </c>
      <c r="D283">
        <v>8</v>
      </c>
    </row>
    <row r="284" spans="2:4" x14ac:dyDescent="0.25">
      <c r="B284" t="s">
        <v>1022</v>
      </c>
      <c r="C284">
        <v>94</v>
      </c>
      <c r="D284">
        <v>13</v>
      </c>
    </row>
    <row r="285" spans="2:4" x14ac:dyDescent="0.25">
      <c r="B285" t="s">
        <v>1022</v>
      </c>
      <c r="C285">
        <v>94</v>
      </c>
      <c r="D285">
        <v>14</v>
      </c>
    </row>
    <row r="286" spans="2:4" x14ac:dyDescent="0.25">
      <c r="B286" t="s">
        <v>1022</v>
      </c>
      <c r="C286">
        <v>95</v>
      </c>
      <c r="D286">
        <v>6</v>
      </c>
    </row>
    <row r="287" spans="2:4" x14ac:dyDescent="0.25">
      <c r="B287" t="s">
        <v>1022</v>
      </c>
      <c r="C287">
        <v>95</v>
      </c>
      <c r="D287">
        <v>8</v>
      </c>
    </row>
    <row r="288" spans="2:4" x14ac:dyDescent="0.25">
      <c r="B288" t="s">
        <v>1022</v>
      </c>
      <c r="C288">
        <v>95</v>
      </c>
      <c r="D288">
        <v>13</v>
      </c>
    </row>
    <row r="289" spans="2:4" x14ac:dyDescent="0.25">
      <c r="B289" t="s">
        <v>1022</v>
      </c>
      <c r="C289">
        <v>95</v>
      </c>
      <c r="D289">
        <v>14</v>
      </c>
    </row>
    <row r="290" spans="2:4" x14ac:dyDescent="0.25">
      <c r="B290" t="s">
        <v>1022</v>
      </c>
      <c r="C290">
        <v>96</v>
      </c>
      <c r="D290">
        <v>6</v>
      </c>
    </row>
    <row r="291" spans="2:4" x14ac:dyDescent="0.25">
      <c r="B291" t="s">
        <v>1022</v>
      </c>
      <c r="C291">
        <v>96</v>
      </c>
      <c r="D291">
        <v>8</v>
      </c>
    </row>
    <row r="292" spans="2:4" x14ac:dyDescent="0.25">
      <c r="B292" t="s">
        <v>1022</v>
      </c>
      <c r="C292">
        <v>96</v>
      </c>
      <c r="D292">
        <v>13</v>
      </c>
    </row>
    <row r="293" spans="2:4" x14ac:dyDescent="0.25">
      <c r="B293" t="s">
        <v>1022</v>
      </c>
      <c r="C293">
        <v>96</v>
      </c>
      <c r="D293">
        <v>14</v>
      </c>
    </row>
    <row r="294" spans="2:4" x14ac:dyDescent="0.25">
      <c r="B294" t="s">
        <v>1022</v>
      </c>
      <c r="C294">
        <v>97</v>
      </c>
      <c r="D294">
        <v>5</v>
      </c>
    </row>
    <row r="295" spans="2:4" x14ac:dyDescent="0.25">
      <c r="B295" t="s">
        <v>1022</v>
      </c>
      <c r="C295">
        <v>98</v>
      </c>
      <c r="D295">
        <v>6</v>
      </c>
    </row>
    <row r="296" spans="2:4" x14ac:dyDescent="0.25">
      <c r="B296" t="s">
        <v>1022</v>
      </c>
      <c r="C296">
        <v>98</v>
      </c>
      <c r="D296">
        <v>8</v>
      </c>
    </row>
    <row r="297" spans="2:4" x14ac:dyDescent="0.25">
      <c r="B297" t="s">
        <v>1022</v>
      </c>
      <c r="C297">
        <v>98</v>
      </c>
      <c r="D297">
        <v>13</v>
      </c>
    </row>
    <row r="298" spans="2:4" x14ac:dyDescent="0.25">
      <c r="B298" t="s">
        <v>1022</v>
      </c>
      <c r="C298">
        <v>98</v>
      </c>
      <c r="D298">
        <v>14</v>
      </c>
    </row>
    <row r="299" spans="2:4" x14ac:dyDescent="0.25">
      <c r="B299" t="s">
        <v>1022</v>
      </c>
      <c r="C299">
        <v>99</v>
      </c>
      <c r="D299">
        <v>5</v>
      </c>
    </row>
    <row r="300" spans="2:4" x14ac:dyDescent="0.25">
      <c r="B300" t="s">
        <v>1022</v>
      </c>
      <c r="C300">
        <v>100</v>
      </c>
      <c r="D300">
        <v>6</v>
      </c>
    </row>
    <row r="301" spans="2:4" x14ac:dyDescent="0.25">
      <c r="B301" t="s">
        <v>1022</v>
      </c>
      <c r="C301">
        <v>100</v>
      </c>
      <c r="D301">
        <v>8</v>
      </c>
    </row>
    <row r="302" spans="2:4" x14ac:dyDescent="0.25">
      <c r="B302" t="s">
        <v>1022</v>
      </c>
      <c r="C302">
        <v>100</v>
      </c>
      <c r="D302">
        <v>13</v>
      </c>
    </row>
    <row r="303" spans="2:4" x14ac:dyDescent="0.25">
      <c r="B303" t="s">
        <v>1022</v>
      </c>
      <c r="C303">
        <v>100</v>
      </c>
      <c r="D303">
        <v>14</v>
      </c>
    </row>
    <row r="304" spans="2:4" x14ac:dyDescent="0.25">
      <c r="B304" t="s">
        <v>1022</v>
      </c>
      <c r="C304">
        <v>101</v>
      </c>
      <c r="D304">
        <v>6</v>
      </c>
    </row>
    <row r="305" spans="2:4" x14ac:dyDescent="0.25">
      <c r="B305" t="s">
        <v>1022</v>
      </c>
      <c r="C305">
        <v>101</v>
      </c>
      <c r="D305">
        <v>8</v>
      </c>
    </row>
    <row r="306" spans="2:4" x14ac:dyDescent="0.25">
      <c r="B306" t="s">
        <v>1022</v>
      </c>
      <c r="C306">
        <v>101</v>
      </c>
      <c r="D306">
        <v>13</v>
      </c>
    </row>
    <row r="307" spans="2:4" x14ac:dyDescent="0.25">
      <c r="B307" t="s">
        <v>1022</v>
      </c>
      <c r="C307">
        <v>101</v>
      </c>
      <c r="D307">
        <v>14</v>
      </c>
    </row>
    <row r="308" spans="2:4" x14ac:dyDescent="0.25">
      <c r="B308" t="s">
        <v>1022</v>
      </c>
      <c r="C308">
        <v>102</v>
      </c>
      <c r="D308">
        <v>6</v>
      </c>
    </row>
    <row r="309" spans="2:4" x14ac:dyDescent="0.25">
      <c r="B309" t="s">
        <v>1022</v>
      </c>
      <c r="C309">
        <v>102</v>
      </c>
      <c r="D309">
        <v>8</v>
      </c>
    </row>
    <row r="310" spans="2:4" x14ac:dyDescent="0.25">
      <c r="B310" t="s">
        <v>1022</v>
      </c>
      <c r="C310">
        <v>102</v>
      </c>
      <c r="D310">
        <v>13</v>
      </c>
    </row>
    <row r="311" spans="2:4" x14ac:dyDescent="0.25">
      <c r="B311" t="s">
        <v>1022</v>
      </c>
      <c r="C311">
        <v>102</v>
      </c>
      <c r="D311">
        <v>14</v>
      </c>
    </row>
    <row r="312" spans="2:4" x14ac:dyDescent="0.25">
      <c r="B312" t="s">
        <v>1022</v>
      </c>
      <c r="C312">
        <v>103</v>
      </c>
      <c r="D312">
        <v>6</v>
      </c>
    </row>
    <row r="313" spans="2:4" x14ac:dyDescent="0.25">
      <c r="B313" t="s">
        <v>1022</v>
      </c>
      <c r="C313">
        <v>103</v>
      </c>
      <c r="D313">
        <v>8</v>
      </c>
    </row>
    <row r="314" spans="2:4" x14ac:dyDescent="0.25">
      <c r="B314" t="s">
        <v>1022</v>
      </c>
      <c r="C314">
        <v>103</v>
      </c>
      <c r="D314">
        <v>13</v>
      </c>
    </row>
    <row r="315" spans="2:4" x14ac:dyDescent="0.25">
      <c r="B315" t="s">
        <v>1022</v>
      </c>
      <c r="C315">
        <v>103</v>
      </c>
      <c r="D315">
        <v>14</v>
      </c>
    </row>
    <row r="316" spans="2:4" x14ac:dyDescent="0.25">
      <c r="B316" t="s">
        <v>1022</v>
      </c>
      <c r="C316">
        <v>104</v>
      </c>
      <c r="D316">
        <v>6</v>
      </c>
    </row>
    <row r="317" spans="2:4" x14ac:dyDescent="0.25">
      <c r="B317" t="s">
        <v>1022</v>
      </c>
      <c r="C317">
        <v>104</v>
      </c>
      <c r="D317">
        <v>8</v>
      </c>
    </row>
    <row r="318" spans="2:4" x14ac:dyDescent="0.25">
      <c r="B318" t="s">
        <v>1022</v>
      </c>
      <c r="C318">
        <v>104</v>
      </c>
      <c r="D318">
        <v>13</v>
      </c>
    </row>
    <row r="319" spans="2:4" x14ac:dyDescent="0.25">
      <c r="B319" t="s">
        <v>1022</v>
      </c>
      <c r="C319">
        <v>104</v>
      </c>
      <c r="D319">
        <v>14</v>
      </c>
    </row>
    <row r="320" spans="2:4" x14ac:dyDescent="0.25">
      <c r="B320" t="s">
        <v>1022</v>
      </c>
      <c r="C320">
        <v>105</v>
      </c>
      <c r="D320">
        <v>5</v>
      </c>
    </row>
    <row r="321" spans="2:4" x14ac:dyDescent="0.25">
      <c r="B321" t="s">
        <v>1022</v>
      </c>
      <c r="C321">
        <v>106</v>
      </c>
      <c r="D321">
        <v>6</v>
      </c>
    </row>
    <row r="322" spans="2:4" x14ac:dyDescent="0.25">
      <c r="B322" t="s">
        <v>1022</v>
      </c>
      <c r="C322">
        <v>106</v>
      </c>
      <c r="D322">
        <v>8</v>
      </c>
    </row>
    <row r="323" spans="2:4" x14ac:dyDescent="0.25">
      <c r="B323" t="s">
        <v>1022</v>
      </c>
      <c r="C323">
        <v>106</v>
      </c>
      <c r="D323">
        <v>13</v>
      </c>
    </row>
    <row r="324" spans="2:4" x14ac:dyDescent="0.25">
      <c r="B324" t="s">
        <v>1022</v>
      </c>
      <c r="C324">
        <v>106</v>
      </c>
      <c r="D324">
        <v>14</v>
      </c>
    </row>
    <row r="325" spans="2:4" x14ac:dyDescent="0.25">
      <c r="B325" t="s">
        <v>1022</v>
      </c>
      <c r="C325">
        <v>109</v>
      </c>
      <c r="D325">
        <v>6</v>
      </c>
    </row>
    <row r="326" spans="2:4" x14ac:dyDescent="0.25">
      <c r="B326" t="s">
        <v>1022</v>
      </c>
      <c r="C326">
        <v>109</v>
      </c>
      <c r="D326">
        <v>8</v>
      </c>
    </row>
    <row r="327" spans="2:4" x14ac:dyDescent="0.25">
      <c r="B327" t="s">
        <v>1022</v>
      </c>
      <c r="C327">
        <v>109</v>
      </c>
      <c r="D327">
        <v>13</v>
      </c>
    </row>
    <row r="328" spans="2:4" x14ac:dyDescent="0.25">
      <c r="B328" t="s">
        <v>1022</v>
      </c>
      <c r="C328">
        <v>109</v>
      </c>
      <c r="D328">
        <v>14</v>
      </c>
    </row>
    <row r="329" spans="2:4" x14ac:dyDescent="0.25">
      <c r="B329" t="s">
        <v>1022</v>
      </c>
      <c r="C329">
        <v>110</v>
      </c>
      <c r="D329">
        <v>6</v>
      </c>
    </row>
    <row r="330" spans="2:4" x14ac:dyDescent="0.25">
      <c r="B330" t="s">
        <v>1022</v>
      </c>
      <c r="C330">
        <v>110</v>
      </c>
      <c r="D330">
        <v>8</v>
      </c>
    </row>
    <row r="331" spans="2:4" x14ac:dyDescent="0.25">
      <c r="B331" t="s">
        <v>1022</v>
      </c>
      <c r="C331">
        <v>110</v>
      </c>
      <c r="D331">
        <v>13</v>
      </c>
    </row>
    <row r="332" spans="2:4" x14ac:dyDescent="0.25">
      <c r="B332" t="s">
        <v>1022</v>
      </c>
      <c r="C332">
        <v>110</v>
      </c>
      <c r="D332">
        <v>14</v>
      </c>
    </row>
    <row r="333" spans="2:4" x14ac:dyDescent="0.25">
      <c r="B333" t="s">
        <v>1022</v>
      </c>
      <c r="C333">
        <v>112</v>
      </c>
      <c r="D333">
        <v>6</v>
      </c>
    </row>
    <row r="334" spans="2:4" x14ac:dyDescent="0.25">
      <c r="B334" t="s">
        <v>1022</v>
      </c>
      <c r="C334">
        <v>112</v>
      </c>
      <c r="D334">
        <v>8</v>
      </c>
    </row>
    <row r="335" spans="2:4" x14ac:dyDescent="0.25">
      <c r="B335" t="s">
        <v>1022</v>
      </c>
      <c r="C335">
        <v>112</v>
      </c>
      <c r="D335">
        <v>13</v>
      </c>
    </row>
    <row r="336" spans="2:4" x14ac:dyDescent="0.25">
      <c r="B336" t="s">
        <v>1022</v>
      </c>
      <c r="C336">
        <v>112</v>
      </c>
      <c r="D336">
        <v>14</v>
      </c>
    </row>
    <row r="337" spans="2:4" x14ac:dyDescent="0.25">
      <c r="B337" t="s">
        <v>1022</v>
      </c>
      <c r="C337">
        <v>115</v>
      </c>
      <c r="D337">
        <v>6</v>
      </c>
    </row>
    <row r="338" spans="2:4" x14ac:dyDescent="0.25">
      <c r="B338" t="s">
        <v>1022</v>
      </c>
      <c r="C338">
        <v>115</v>
      </c>
      <c r="D338">
        <v>8</v>
      </c>
    </row>
    <row r="339" spans="2:4" x14ac:dyDescent="0.25">
      <c r="B339" t="s">
        <v>1022</v>
      </c>
      <c r="C339">
        <v>115</v>
      </c>
      <c r="D339">
        <v>13</v>
      </c>
    </row>
    <row r="340" spans="2:4" x14ac:dyDescent="0.25">
      <c r="B340" t="s">
        <v>1022</v>
      </c>
      <c r="C340">
        <v>115</v>
      </c>
      <c r="D340">
        <v>14</v>
      </c>
    </row>
    <row r="341" spans="2:4" x14ac:dyDescent="0.25">
      <c r="B341" t="s">
        <v>1022</v>
      </c>
      <c r="C341">
        <v>116</v>
      </c>
      <c r="D341">
        <v>6</v>
      </c>
    </row>
    <row r="342" spans="2:4" x14ac:dyDescent="0.25">
      <c r="B342" t="s">
        <v>1022</v>
      </c>
      <c r="C342">
        <v>116</v>
      </c>
      <c r="D342">
        <v>8</v>
      </c>
    </row>
    <row r="343" spans="2:4" x14ac:dyDescent="0.25">
      <c r="B343" t="s">
        <v>1022</v>
      </c>
      <c r="C343">
        <v>116</v>
      </c>
      <c r="D343">
        <v>13</v>
      </c>
    </row>
    <row r="344" spans="2:4" x14ac:dyDescent="0.25">
      <c r="B344" t="s">
        <v>1022</v>
      </c>
      <c r="C344">
        <v>116</v>
      </c>
      <c r="D344">
        <v>14</v>
      </c>
    </row>
    <row r="345" spans="2:4" x14ac:dyDescent="0.25">
      <c r="B345" t="s">
        <v>1022</v>
      </c>
      <c r="C345">
        <v>117</v>
      </c>
      <c r="D345">
        <v>6</v>
      </c>
    </row>
    <row r="346" spans="2:4" x14ac:dyDescent="0.25">
      <c r="B346" t="s">
        <v>1022</v>
      </c>
      <c r="C346">
        <v>117</v>
      </c>
      <c r="D346">
        <v>8</v>
      </c>
    </row>
    <row r="347" spans="2:4" x14ac:dyDescent="0.25">
      <c r="B347" t="s">
        <v>1022</v>
      </c>
      <c r="C347">
        <v>117</v>
      </c>
      <c r="D347">
        <v>13</v>
      </c>
    </row>
    <row r="348" spans="2:4" x14ac:dyDescent="0.25">
      <c r="B348" t="s">
        <v>1022</v>
      </c>
      <c r="C348">
        <v>117</v>
      </c>
      <c r="D348">
        <v>14</v>
      </c>
    </row>
    <row r="349" spans="2:4" x14ac:dyDescent="0.25">
      <c r="B349" t="s">
        <v>1022</v>
      </c>
      <c r="C349">
        <v>118</v>
      </c>
      <c r="D349">
        <v>6</v>
      </c>
    </row>
    <row r="350" spans="2:4" x14ac:dyDescent="0.25">
      <c r="B350" t="s">
        <v>1022</v>
      </c>
      <c r="C350">
        <v>118</v>
      </c>
      <c r="D350">
        <v>8</v>
      </c>
    </row>
    <row r="351" spans="2:4" x14ac:dyDescent="0.25">
      <c r="B351" t="s">
        <v>1022</v>
      </c>
      <c r="C351">
        <v>118</v>
      </c>
      <c r="D351">
        <v>13</v>
      </c>
    </row>
    <row r="352" spans="2:4" x14ac:dyDescent="0.25">
      <c r="B352" t="s">
        <v>1022</v>
      </c>
      <c r="C352">
        <v>118</v>
      </c>
      <c r="D352">
        <v>14</v>
      </c>
    </row>
    <row r="353" spans="2:4" x14ac:dyDescent="0.25">
      <c r="B353" t="s">
        <v>1022</v>
      </c>
      <c r="C353">
        <v>120</v>
      </c>
      <c r="D353">
        <v>6</v>
      </c>
    </row>
    <row r="354" spans="2:4" x14ac:dyDescent="0.25">
      <c r="B354" t="s">
        <v>1022</v>
      </c>
      <c r="C354">
        <v>120</v>
      </c>
      <c r="D354">
        <v>8</v>
      </c>
    </row>
    <row r="355" spans="2:4" x14ac:dyDescent="0.25">
      <c r="B355" t="s">
        <v>1022</v>
      </c>
      <c r="C355">
        <v>120</v>
      </c>
      <c r="D355">
        <v>13</v>
      </c>
    </row>
    <row r="356" spans="2:4" x14ac:dyDescent="0.25">
      <c r="B356" t="s">
        <v>1022</v>
      </c>
      <c r="C356">
        <v>120</v>
      </c>
      <c r="D356">
        <v>14</v>
      </c>
    </row>
    <row r="357" spans="2:4" x14ac:dyDescent="0.25">
      <c r="B357" t="s">
        <v>1022</v>
      </c>
      <c r="C357">
        <v>121</v>
      </c>
      <c r="D357">
        <v>6</v>
      </c>
    </row>
    <row r="358" spans="2:4" x14ac:dyDescent="0.25">
      <c r="B358" t="s">
        <v>1022</v>
      </c>
      <c r="C358">
        <v>121</v>
      </c>
      <c r="D358">
        <v>8</v>
      </c>
    </row>
    <row r="359" spans="2:4" x14ac:dyDescent="0.25">
      <c r="B359" t="s">
        <v>1022</v>
      </c>
      <c r="C359">
        <v>121</v>
      </c>
      <c r="D359">
        <v>13</v>
      </c>
    </row>
    <row r="360" spans="2:4" x14ac:dyDescent="0.25">
      <c r="B360" t="s">
        <v>1022</v>
      </c>
      <c r="C360">
        <v>121</v>
      </c>
      <c r="D360">
        <v>14</v>
      </c>
    </row>
    <row r="361" spans="2:4" x14ac:dyDescent="0.25">
      <c r="B361" t="s">
        <v>1022</v>
      </c>
      <c r="C361">
        <v>122</v>
      </c>
      <c r="D361">
        <v>6</v>
      </c>
    </row>
    <row r="362" spans="2:4" x14ac:dyDescent="0.25">
      <c r="B362" t="s">
        <v>1022</v>
      </c>
      <c r="C362">
        <v>122</v>
      </c>
      <c r="D362">
        <v>8</v>
      </c>
    </row>
    <row r="363" spans="2:4" x14ac:dyDescent="0.25">
      <c r="B363" t="s">
        <v>1022</v>
      </c>
      <c r="C363">
        <v>122</v>
      </c>
      <c r="D363">
        <v>13</v>
      </c>
    </row>
    <row r="364" spans="2:4" x14ac:dyDescent="0.25">
      <c r="B364" t="s">
        <v>1022</v>
      </c>
      <c r="C364">
        <v>122</v>
      </c>
      <c r="D364">
        <v>14</v>
      </c>
    </row>
    <row r="365" spans="2:4" x14ac:dyDescent="0.25">
      <c r="B365" t="s">
        <v>1022</v>
      </c>
      <c r="C365">
        <v>123</v>
      </c>
      <c r="D365">
        <v>6</v>
      </c>
    </row>
    <row r="366" spans="2:4" x14ac:dyDescent="0.25">
      <c r="B366" t="s">
        <v>1022</v>
      </c>
      <c r="C366">
        <v>123</v>
      </c>
      <c r="D366">
        <v>8</v>
      </c>
    </row>
    <row r="367" spans="2:4" x14ac:dyDescent="0.25">
      <c r="B367" t="s">
        <v>1022</v>
      </c>
      <c r="C367">
        <v>123</v>
      </c>
      <c r="D367">
        <v>13</v>
      </c>
    </row>
    <row r="368" spans="2:4" x14ac:dyDescent="0.25">
      <c r="B368" t="s">
        <v>1022</v>
      </c>
      <c r="C368">
        <v>123</v>
      </c>
      <c r="D368">
        <v>14</v>
      </c>
    </row>
    <row r="369" spans="2:4" x14ac:dyDescent="0.25">
      <c r="B369" t="s">
        <v>1022</v>
      </c>
      <c r="C369">
        <v>124</v>
      </c>
      <c r="D369">
        <v>6</v>
      </c>
    </row>
    <row r="370" spans="2:4" x14ac:dyDescent="0.25">
      <c r="B370" t="s">
        <v>1022</v>
      </c>
      <c r="C370">
        <v>124</v>
      </c>
      <c r="D370">
        <v>8</v>
      </c>
    </row>
    <row r="371" spans="2:4" x14ac:dyDescent="0.25">
      <c r="B371" t="s">
        <v>1022</v>
      </c>
      <c r="C371">
        <v>124</v>
      </c>
      <c r="D371">
        <v>13</v>
      </c>
    </row>
    <row r="372" spans="2:4" x14ac:dyDescent="0.25">
      <c r="B372" t="s">
        <v>1022</v>
      </c>
      <c r="C372">
        <v>124</v>
      </c>
      <c r="D372">
        <v>14</v>
      </c>
    </row>
    <row r="373" spans="2:4" x14ac:dyDescent="0.25">
      <c r="B373" t="s">
        <v>1022</v>
      </c>
      <c r="C373">
        <v>125</v>
      </c>
      <c r="D373">
        <v>6</v>
      </c>
    </row>
    <row r="374" spans="2:4" x14ac:dyDescent="0.25">
      <c r="B374" t="s">
        <v>1022</v>
      </c>
      <c r="C374">
        <v>125</v>
      </c>
      <c r="D374">
        <v>8</v>
      </c>
    </row>
    <row r="375" spans="2:4" x14ac:dyDescent="0.25">
      <c r="B375" t="s">
        <v>1022</v>
      </c>
      <c r="C375">
        <v>125</v>
      </c>
      <c r="D375">
        <v>13</v>
      </c>
    </row>
    <row r="376" spans="2:4" x14ac:dyDescent="0.25">
      <c r="B376" t="s">
        <v>1022</v>
      </c>
      <c r="C376">
        <v>125</v>
      </c>
      <c r="D376">
        <v>14</v>
      </c>
    </row>
    <row r="377" spans="2:4" x14ac:dyDescent="0.25">
      <c r="B377" t="s">
        <v>1022</v>
      </c>
      <c r="C377">
        <v>126</v>
      </c>
      <c r="D377">
        <v>6</v>
      </c>
    </row>
    <row r="378" spans="2:4" x14ac:dyDescent="0.25">
      <c r="B378" t="s">
        <v>1022</v>
      </c>
      <c r="C378">
        <v>126</v>
      </c>
      <c r="D378">
        <v>8</v>
      </c>
    </row>
    <row r="379" spans="2:4" x14ac:dyDescent="0.25">
      <c r="B379" t="s">
        <v>1022</v>
      </c>
      <c r="C379">
        <v>126</v>
      </c>
      <c r="D379">
        <v>13</v>
      </c>
    </row>
    <row r="380" spans="2:4" x14ac:dyDescent="0.25">
      <c r="B380" t="s">
        <v>1022</v>
      </c>
      <c r="C380">
        <v>126</v>
      </c>
      <c r="D380">
        <v>14</v>
      </c>
    </row>
    <row r="381" spans="2:4" x14ac:dyDescent="0.25">
      <c r="B381" t="s">
        <v>1022</v>
      </c>
      <c r="C381">
        <v>127</v>
      </c>
      <c r="D381">
        <v>6</v>
      </c>
    </row>
    <row r="382" spans="2:4" x14ac:dyDescent="0.25">
      <c r="B382" t="s">
        <v>1022</v>
      </c>
      <c r="C382">
        <v>127</v>
      </c>
      <c r="D382">
        <v>8</v>
      </c>
    </row>
    <row r="383" spans="2:4" x14ac:dyDescent="0.25">
      <c r="B383" t="s">
        <v>1022</v>
      </c>
      <c r="C383">
        <v>127</v>
      </c>
      <c r="D383">
        <v>13</v>
      </c>
    </row>
    <row r="384" spans="2:4" x14ac:dyDescent="0.25">
      <c r="B384" t="s">
        <v>1022</v>
      </c>
      <c r="C384">
        <v>127</v>
      </c>
      <c r="D384">
        <v>14</v>
      </c>
    </row>
    <row r="385" spans="2:4" x14ac:dyDescent="0.25">
      <c r="B385" t="s">
        <v>1022</v>
      </c>
      <c r="C385">
        <v>129</v>
      </c>
      <c r="D385">
        <v>6</v>
      </c>
    </row>
    <row r="386" spans="2:4" x14ac:dyDescent="0.25">
      <c r="B386" t="s">
        <v>1022</v>
      </c>
      <c r="C386">
        <v>129</v>
      </c>
      <c r="D386">
        <v>8</v>
      </c>
    </row>
    <row r="387" spans="2:4" x14ac:dyDescent="0.25">
      <c r="B387" t="s">
        <v>1022</v>
      </c>
      <c r="C387">
        <v>129</v>
      </c>
      <c r="D387">
        <v>13</v>
      </c>
    </row>
    <row r="388" spans="2:4" x14ac:dyDescent="0.25">
      <c r="B388" t="s">
        <v>1022</v>
      </c>
      <c r="C388">
        <v>129</v>
      </c>
      <c r="D388">
        <v>14</v>
      </c>
    </row>
    <row r="389" spans="2:4" x14ac:dyDescent="0.25">
      <c r="B389" t="s">
        <v>1022</v>
      </c>
      <c r="C389">
        <v>131</v>
      </c>
      <c r="D389">
        <v>6</v>
      </c>
    </row>
    <row r="390" spans="2:4" x14ac:dyDescent="0.25">
      <c r="B390" t="s">
        <v>1022</v>
      </c>
      <c r="C390">
        <v>131</v>
      </c>
      <c r="D390">
        <v>8</v>
      </c>
    </row>
    <row r="391" spans="2:4" x14ac:dyDescent="0.25">
      <c r="B391" t="s">
        <v>1022</v>
      </c>
      <c r="C391">
        <v>131</v>
      </c>
      <c r="D391">
        <v>13</v>
      </c>
    </row>
    <row r="392" spans="2:4" x14ac:dyDescent="0.25">
      <c r="B392" t="s">
        <v>1022</v>
      </c>
      <c r="C392">
        <v>131</v>
      </c>
      <c r="D392">
        <v>14</v>
      </c>
    </row>
    <row r="393" spans="2:4" x14ac:dyDescent="0.25">
      <c r="B393" t="s">
        <v>1022</v>
      </c>
      <c r="C393">
        <v>133</v>
      </c>
      <c r="D393">
        <v>6</v>
      </c>
    </row>
    <row r="394" spans="2:4" x14ac:dyDescent="0.25">
      <c r="B394" t="s">
        <v>1022</v>
      </c>
      <c r="C394">
        <v>133</v>
      </c>
      <c r="D394">
        <v>8</v>
      </c>
    </row>
    <row r="395" spans="2:4" x14ac:dyDescent="0.25">
      <c r="B395" t="s">
        <v>1022</v>
      </c>
      <c r="C395">
        <v>133</v>
      </c>
      <c r="D395">
        <v>13</v>
      </c>
    </row>
    <row r="396" spans="2:4" x14ac:dyDescent="0.25">
      <c r="B396" t="s">
        <v>1022</v>
      </c>
      <c r="C396">
        <v>133</v>
      </c>
      <c r="D396">
        <v>14</v>
      </c>
    </row>
    <row r="397" spans="2:4" x14ac:dyDescent="0.25">
      <c r="B397" t="s">
        <v>1022</v>
      </c>
      <c r="C397">
        <v>134</v>
      </c>
      <c r="D397">
        <v>6</v>
      </c>
    </row>
    <row r="398" spans="2:4" x14ac:dyDescent="0.25">
      <c r="B398" t="s">
        <v>1022</v>
      </c>
      <c r="C398">
        <v>134</v>
      </c>
      <c r="D398">
        <v>8</v>
      </c>
    </row>
    <row r="399" spans="2:4" x14ac:dyDescent="0.25">
      <c r="B399" t="s">
        <v>1022</v>
      </c>
      <c r="C399">
        <v>134</v>
      </c>
      <c r="D399">
        <v>13</v>
      </c>
    </row>
    <row r="400" spans="2:4" x14ac:dyDescent="0.25">
      <c r="B400" t="s">
        <v>1022</v>
      </c>
      <c r="C400">
        <v>134</v>
      </c>
      <c r="D400">
        <v>14</v>
      </c>
    </row>
    <row r="401" spans="2:4" x14ac:dyDescent="0.25">
      <c r="B401" t="s">
        <v>1022</v>
      </c>
      <c r="C401">
        <v>135</v>
      </c>
      <c r="D401">
        <v>6</v>
      </c>
    </row>
    <row r="402" spans="2:4" x14ac:dyDescent="0.25">
      <c r="B402" t="s">
        <v>1022</v>
      </c>
      <c r="C402">
        <v>135</v>
      </c>
      <c r="D402">
        <v>8</v>
      </c>
    </row>
    <row r="403" spans="2:4" x14ac:dyDescent="0.25">
      <c r="B403" t="s">
        <v>1022</v>
      </c>
      <c r="C403">
        <v>135</v>
      </c>
      <c r="D403">
        <v>13</v>
      </c>
    </row>
    <row r="404" spans="2:4" x14ac:dyDescent="0.25">
      <c r="B404" t="s">
        <v>1022</v>
      </c>
      <c r="C404">
        <v>135</v>
      </c>
      <c r="D404">
        <v>14</v>
      </c>
    </row>
    <row r="405" spans="2:4" x14ac:dyDescent="0.25">
      <c r="B405" t="s">
        <v>1022</v>
      </c>
      <c r="C405">
        <v>136</v>
      </c>
      <c r="D405">
        <v>6</v>
      </c>
    </row>
    <row r="406" spans="2:4" x14ac:dyDescent="0.25">
      <c r="B406" t="s">
        <v>1022</v>
      </c>
      <c r="C406">
        <v>136</v>
      </c>
      <c r="D406">
        <v>8</v>
      </c>
    </row>
    <row r="407" spans="2:4" x14ac:dyDescent="0.25">
      <c r="B407" t="s">
        <v>1022</v>
      </c>
      <c r="C407">
        <v>136</v>
      </c>
      <c r="D407">
        <v>13</v>
      </c>
    </row>
    <row r="408" spans="2:4" x14ac:dyDescent="0.25">
      <c r="B408" t="s">
        <v>1022</v>
      </c>
      <c r="C408">
        <v>136</v>
      </c>
      <c r="D408">
        <v>14</v>
      </c>
    </row>
    <row r="409" spans="2:4" x14ac:dyDescent="0.25">
      <c r="B409" t="s">
        <v>1022</v>
      </c>
      <c r="C409">
        <v>137</v>
      </c>
      <c r="D409">
        <v>6</v>
      </c>
    </row>
    <row r="410" spans="2:4" x14ac:dyDescent="0.25">
      <c r="B410" t="s">
        <v>1022</v>
      </c>
      <c r="C410">
        <v>137</v>
      </c>
      <c r="D410">
        <v>8</v>
      </c>
    </row>
    <row r="411" spans="2:4" x14ac:dyDescent="0.25">
      <c r="B411" t="s">
        <v>1022</v>
      </c>
      <c r="C411">
        <v>137</v>
      </c>
      <c r="D411">
        <v>13</v>
      </c>
    </row>
    <row r="412" spans="2:4" x14ac:dyDescent="0.25">
      <c r="B412" t="s">
        <v>1022</v>
      </c>
      <c r="C412">
        <v>137</v>
      </c>
      <c r="D412">
        <v>14</v>
      </c>
    </row>
    <row r="413" spans="2:4" x14ac:dyDescent="0.25">
      <c r="B413" t="s">
        <v>1022</v>
      </c>
      <c r="C413">
        <v>138</v>
      </c>
      <c r="D413">
        <v>6</v>
      </c>
    </row>
    <row r="414" spans="2:4" x14ac:dyDescent="0.25">
      <c r="B414" t="s">
        <v>1022</v>
      </c>
      <c r="C414">
        <v>138</v>
      </c>
      <c r="D414">
        <v>8</v>
      </c>
    </row>
    <row r="415" spans="2:4" x14ac:dyDescent="0.25">
      <c r="B415" t="s">
        <v>1022</v>
      </c>
      <c r="C415">
        <v>138</v>
      </c>
      <c r="D415">
        <v>13</v>
      </c>
    </row>
    <row r="416" spans="2:4" x14ac:dyDescent="0.25">
      <c r="B416" t="s">
        <v>1022</v>
      </c>
      <c r="C416">
        <v>138</v>
      </c>
      <c r="D416">
        <v>14</v>
      </c>
    </row>
    <row r="417" spans="2:4" x14ac:dyDescent="0.25">
      <c r="B417" t="s">
        <v>1022</v>
      </c>
      <c r="C417">
        <v>140</v>
      </c>
      <c r="D417">
        <v>6</v>
      </c>
    </row>
    <row r="418" spans="2:4" x14ac:dyDescent="0.25">
      <c r="B418" t="s">
        <v>1022</v>
      </c>
      <c r="C418">
        <v>140</v>
      </c>
      <c r="D418">
        <v>8</v>
      </c>
    </row>
    <row r="419" spans="2:4" x14ac:dyDescent="0.25">
      <c r="B419" t="s">
        <v>1022</v>
      </c>
      <c r="C419">
        <v>140</v>
      </c>
      <c r="D419">
        <v>13</v>
      </c>
    </row>
    <row r="420" spans="2:4" x14ac:dyDescent="0.25">
      <c r="B420" t="s">
        <v>1022</v>
      </c>
      <c r="C420">
        <v>140</v>
      </c>
      <c r="D420">
        <v>14</v>
      </c>
    </row>
    <row r="421" spans="2:4" x14ac:dyDescent="0.25">
      <c r="B421" t="s">
        <v>1022</v>
      </c>
      <c r="C421">
        <v>142</v>
      </c>
      <c r="D421">
        <v>6</v>
      </c>
    </row>
    <row r="422" spans="2:4" x14ac:dyDescent="0.25">
      <c r="B422" t="s">
        <v>1022</v>
      </c>
      <c r="C422">
        <v>142</v>
      </c>
      <c r="D422">
        <v>8</v>
      </c>
    </row>
    <row r="423" spans="2:4" x14ac:dyDescent="0.25">
      <c r="B423" t="s">
        <v>1022</v>
      </c>
      <c r="C423">
        <v>142</v>
      </c>
      <c r="D423">
        <v>13</v>
      </c>
    </row>
    <row r="424" spans="2:4" x14ac:dyDescent="0.25">
      <c r="B424" t="s">
        <v>1022</v>
      </c>
      <c r="C424">
        <v>142</v>
      </c>
      <c r="D424">
        <v>14</v>
      </c>
    </row>
    <row r="425" spans="2:4" x14ac:dyDescent="0.25">
      <c r="B425" t="s">
        <v>1096</v>
      </c>
      <c r="C425">
        <v>5</v>
      </c>
      <c r="D425">
        <v>5</v>
      </c>
    </row>
    <row r="426" spans="2:4" x14ac:dyDescent="0.25">
      <c r="B426" t="s">
        <v>1096</v>
      </c>
      <c r="C426">
        <v>5</v>
      </c>
      <c r="D426">
        <v>6</v>
      </c>
    </row>
    <row r="427" spans="2:4" x14ac:dyDescent="0.25">
      <c r="B427" t="s">
        <v>1096</v>
      </c>
      <c r="C427">
        <v>7</v>
      </c>
      <c r="D427">
        <v>6</v>
      </c>
    </row>
    <row r="428" spans="2:4" x14ac:dyDescent="0.25">
      <c r="B428" t="s">
        <v>1096</v>
      </c>
      <c r="C428">
        <v>7</v>
      </c>
      <c r="D428">
        <v>8</v>
      </c>
    </row>
    <row r="429" spans="2:4" x14ac:dyDescent="0.25">
      <c r="B429" t="s">
        <v>1096</v>
      </c>
      <c r="C429">
        <v>7</v>
      </c>
      <c r="D429">
        <v>13</v>
      </c>
    </row>
    <row r="430" spans="2:4" x14ac:dyDescent="0.25">
      <c r="B430" t="s">
        <v>1096</v>
      </c>
      <c r="C430">
        <v>7</v>
      </c>
      <c r="D430">
        <v>14</v>
      </c>
    </row>
    <row r="431" spans="2:4" x14ac:dyDescent="0.25">
      <c r="B431" t="s">
        <v>1096</v>
      </c>
      <c r="C431">
        <v>8</v>
      </c>
      <c r="D431">
        <v>6</v>
      </c>
    </row>
    <row r="432" spans="2:4" x14ac:dyDescent="0.25">
      <c r="B432" t="s">
        <v>1096</v>
      </c>
      <c r="C432">
        <v>8</v>
      </c>
      <c r="D432">
        <v>8</v>
      </c>
    </row>
    <row r="433" spans="2:4" x14ac:dyDescent="0.25">
      <c r="B433" t="s">
        <v>1096</v>
      </c>
      <c r="C433">
        <v>8</v>
      </c>
      <c r="D433">
        <v>13</v>
      </c>
    </row>
    <row r="434" spans="2:4" x14ac:dyDescent="0.25">
      <c r="B434" t="s">
        <v>1096</v>
      </c>
      <c r="C434">
        <v>8</v>
      </c>
      <c r="D434">
        <v>14</v>
      </c>
    </row>
    <row r="435" spans="2:4" x14ac:dyDescent="0.25">
      <c r="B435" t="s">
        <v>1096</v>
      </c>
      <c r="C435">
        <v>9</v>
      </c>
      <c r="D435">
        <v>6</v>
      </c>
    </row>
    <row r="436" spans="2:4" x14ac:dyDescent="0.25">
      <c r="B436" t="s">
        <v>1096</v>
      </c>
      <c r="C436">
        <v>9</v>
      </c>
      <c r="D436">
        <v>8</v>
      </c>
    </row>
    <row r="437" spans="2:4" x14ac:dyDescent="0.25">
      <c r="B437" t="s">
        <v>1096</v>
      </c>
      <c r="C437">
        <v>9</v>
      </c>
      <c r="D437">
        <v>13</v>
      </c>
    </row>
    <row r="438" spans="2:4" x14ac:dyDescent="0.25">
      <c r="B438" t="s">
        <v>1096</v>
      </c>
      <c r="C438">
        <v>9</v>
      </c>
      <c r="D438">
        <v>14</v>
      </c>
    </row>
    <row r="439" spans="2:4" x14ac:dyDescent="0.25">
      <c r="B439" t="s">
        <v>1096</v>
      </c>
      <c r="C439">
        <v>10</v>
      </c>
      <c r="D439">
        <v>6</v>
      </c>
    </row>
    <row r="440" spans="2:4" x14ac:dyDescent="0.25">
      <c r="B440" t="s">
        <v>1096</v>
      </c>
      <c r="C440">
        <v>10</v>
      </c>
      <c r="D440">
        <v>8</v>
      </c>
    </row>
    <row r="441" spans="2:4" x14ac:dyDescent="0.25">
      <c r="B441" t="s">
        <v>1096</v>
      </c>
      <c r="C441">
        <v>10</v>
      </c>
      <c r="D441">
        <v>13</v>
      </c>
    </row>
    <row r="442" spans="2:4" x14ac:dyDescent="0.25">
      <c r="B442" t="s">
        <v>1096</v>
      </c>
      <c r="C442">
        <v>10</v>
      </c>
      <c r="D442">
        <v>14</v>
      </c>
    </row>
    <row r="443" spans="2:4" x14ac:dyDescent="0.25">
      <c r="B443" t="s">
        <v>1096</v>
      </c>
      <c r="C443">
        <v>11</v>
      </c>
      <c r="D443">
        <v>6</v>
      </c>
    </row>
    <row r="444" spans="2:4" x14ac:dyDescent="0.25">
      <c r="B444" t="s">
        <v>1096</v>
      </c>
      <c r="C444">
        <v>11</v>
      </c>
      <c r="D444">
        <v>8</v>
      </c>
    </row>
    <row r="445" spans="2:4" x14ac:dyDescent="0.25">
      <c r="B445" t="s">
        <v>1096</v>
      </c>
      <c r="C445">
        <v>11</v>
      </c>
      <c r="D445">
        <v>13</v>
      </c>
    </row>
    <row r="446" spans="2:4" x14ac:dyDescent="0.25">
      <c r="B446" t="s">
        <v>1096</v>
      </c>
      <c r="C446">
        <v>11</v>
      </c>
      <c r="D446">
        <v>14</v>
      </c>
    </row>
    <row r="447" spans="2:4" x14ac:dyDescent="0.25">
      <c r="B447" t="s">
        <v>1096</v>
      </c>
      <c r="C447">
        <v>12</v>
      </c>
      <c r="D447">
        <v>6</v>
      </c>
    </row>
    <row r="448" spans="2:4" x14ac:dyDescent="0.25">
      <c r="B448" t="s">
        <v>1096</v>
      </c>
      <c r="C448">
        <v>12</v>
      </c>
      <c r="D448">
        <v>8</v>
      </c>
    </row>
    <row r="449" spans="2:4" x14ac:dyDescent="0.25">
      <c r="B449" t="s">
        <v>1096</v>
      </c>
      <c r="C449">
        <v>12</v>
      </c>
      <c r="D449">
        <v>13</v>
      </c>
    </row>
    <row r="450" spans="2:4" x14ac:dyDescent="0.25">
      <c r="B450" t="s">
        <v>1096</v>
      </c>
      <c r="C450">
        <v>12</v>
      </c>
      <c r="D450">
        <v>14</v>
      </c>
    </row>
    <row r="451" spans="2:4" x14ac:dyDescent="0.25">
      <c r="B451" t="s">
        <v>1096</v>
      </c>
      <c r="C451">
        <v>13</v>
      </c>
      <c r="D451">
        <v>6</v>
      </c>
    </row>
    <row r="452" spans="2:4" x14ac:dyDescent="0.25">
      <c r="B452" t="s">
        <v>1096</v>
      </c>
      <c r="C452">
        <v>13</v>
      </c>
      <c r="D452">
        <v>8</v>
      </c>
    </row>
    <row r="453" spans="2:4" x14ac:dyDescent="0.25">
      <c r="B453" t="s">
        <v>1096</v>
      </c>
      <c r="C453">
        <v>13</v>
      </c>
      <c r="D453">
        <v>13</v>
      </c>
    </row>
    <row r="454" spans="2:4" x14ac:dyDescent="0.25">
      <c r="B454" t="s">
        <v>1096</v>
      </c>
      <c r="C454">
        <v>13</v>
      </c>
      <c r="D454">
        <v>14</v>
      </c>
    </row>
    <row r="455" spans="2:4" x14ac:dyDescent="0.25">
      <c r="B455" t="s">
        <v>1096</v>
      </c>
      <c r="C455">
        <v>15</v>
      </c>
      <c r="D455">
        <v>6</v>
      </c>
    </row>
    <row r="456" spans="2:4" x14ac:dyDescent="0.25">
      <c r="B456" t="s">
        <v>1096</v>
      </c>
      <c r="C456">
        <v>15</v>
      </c>
      <c r="D456">
        <v>8</v>
      </c>
    </row>
    <row r="457" spans="2:4" x14ac:dyDescent="0.25">
      <c r="B457" t="s">
        <v>1096</v>
      </c>
      <c r="C457">
        <v>15</v>
      </c>
      <c r="D457">
        <v>13</v>
      </c>
    </row>
    <row r="458" spans="2:4" x14ac:dyDescent="0.25">
      <c r="B458" t="s">
        <v>1096</v>
      </c>
      <c r="C458">
        <v>15</v>
      </c>
      <c r="D458">
        <v>14</v>
      </c>
    </row>
    <row r="459" spans="2:4" x14ac:dyDescent="0.25">
      <c r="B459" t="s">
        <v>1096</v>
      </c>
      <c r="C459">
        <v>16</v>
      </c>
      <c r="D459">
        <v>6</v>
      </c>
    </row>
    <row r="460" spans="2:4" x14ac:dyDescent="0.25">
      <c r="B460" t="s">
        <v>1096</v>
      </c>
      <c r="C460">
        <v>16</v>
      </c>
      <c r="D460">
        <v>8</v>
      </c>
    </row>
    <row r="461" spans="2:4" x14ac:dyDescent="0.25">
      <c r="B461" t="s">
        <v>1096</v>
      </c>
      <c r="C461">
        <v>16</v>
      </c>
      <c r="D461">
        <v>13</v>
      </c>
    </row>
    <row r="462" spans="2:4" x14ac:dyDescent="0.25">
      <c r="B462" t="s">
        <v>1096</v>
      </c>
      <c r="C462">
        <v>16</v>
      </c>
      <c r="D462">
        <v>14</v>
      </c>
    </row>
    <row r="463" spans="2:4" x14ac:dyDescent="0.25">
      <c r="B463" t="s">
        <v>1096</v>
      </c>
      <c r="C463">
        <v>17</v>
      </c>
      <c r="D463">
        <v>6</v>
      </c>
    </row>
    <row r="464" spans="2:4" x14ac:dyDescent="0.25">
      <c r="B464" t="s">
        <v>1096</v>
      </c>
      <c r="C464">
        <v>17</v>
      </c>
      <c r="D464">
        <v>8</v>
      </c>
    </row>
    <row r="465" spans="2:4" x14ac:dyDescent="0.25">
      <c r="B465" t="s">
        <v>1096</v>
      </c>
      <c r="C465">
        <v>17</v>
      </c>
      <c r="D465">
        <v>13</v>
      </c>
    </row>
    <row r="466" spans="2:4" x14ac:dyDescent="0.25">
      <c r="B466" t="s">
        <v>1096</v>
      </c>
      <c r="C466">
        <v>17</v>
      </c>
      <c r="D466">
        <v>14</v>
      </c>
    </row>
    <row r="467" spans="2:4" x14ac:dyDescent="0.25">
      <c r="B467" t="s">
        <v>1096</v>
      </c>
      <c r="C467">
        <v>18</v>
      </c>
      <c r="D467">
        <v>6</v>
      </c>
    </row>
    <row r="468" spans="2:4" x14ac:dyDescent="0.25">
      <c r="B468" t="s">
        <v>1096</v>
      </c>
      <c r="C468">
        <v>18</v>
      </c>
      <c r="D468">
        <v>8</v>
      </c>
    </row>
    <row r="469" spans="2:4" x14ac:dyDescent="0.25">
      <c r="B469" t="s">
        <v>1096</v>
      </c>
      <c r="C469">
        <v>18</v>
      </c>
      <c r="D469">
        <v>13</v>
      </c>
    </row>
    <row r="470" spans="2:4" x14ac:dyDescent="0.25">
      <c r="B470" t="s">
        <v>1096</v>
      </c>
      <c r="C470">
        <v>18</v>
      </c>
      <c r="D470">
        <v>14</v>
      </c>
    </row>
    <row r="471" spans="2:4" x14ac:dyDescent="0.25">
      <c r="B471" t="s">
        <v>1096</v>
      </c>
      <c r="C471">
        <v>19</v>
      </c>
      <c r="D471">
        <v>6</v>
      </c>
    </row>
    <row r="472" spans="2:4" x14ac:dyDescent="0.25">
      <c r="B472" t="s">
        <v>1096</v>
      </c>
      <c r="C472">
        <v>19</v>
      </c>
      <c r="D472">
        <v>8</v>
      </c>
    </row>
    <row r="473" spans="2:4" x14ac:dyDescent="0.25">
      <c r="B473" t="s">
        <v>1096</v>
      </c>
      <c r="C473">
        <v>19</v>
      </c>
      <c r="D473">
        <v>13</v>
      </c>
    </row>
    <row r="474" spans="2:4" x14ac:dyDescent="0.25">
      <c r="B474" t="s">
        <v>1096</v>
      </c>
      <c r="C474">
        <v>19</v>
      </c>
      <c r="D474">
        <v>14</v>
      </c>
    </row>
    <row r="475" spans="2:4" x14ac:dyDescent="0.25">
      <c r="B475" t="s">
        <v>1096</v>
      </c>
      <c r="C475">
        <v>20</v>
      </c>
      <c r="D475">
        <v>6</v>
      </c>
    </row>
    <row r="476" spans="2:4" x14ac:dyDescent="0.25">
      <c r="B476" t="s">
        <v>1096</v>
      </c>
      <c r="C476">
        <v>20</v>
      </c>
      <c r="D476">
        <v>8</v>
      </c>
    </row>
    <row r="477" spans="2:4" x14ac:dyDescent="0.25">
      <c r="B477" t="s">
        <v>1096</v>
      </c>
      <c r="C477">
        <v>20</v>
      </c>
      <c r="D477">
        <v>13</v>
      </c>
    </row>
    <row r="478" spans="2:4" x14ac:dyDescent="0.25">
      <c r="B478" t="s">
        <v>1096</v>
      </c>
      <c r="C478">
        <v>20</v>
      </c>
      <c r="D478">
        <v>14</v>
      </c>
    </row>
    <row r="479" spans="2:4" x14ac:dyDescent="0.25">
      <c r="B479" t="s">
        <v>1096</v>
      </c>
      <c r="C479">
        <v>21</v>
      </c>
      <c r="D479">
        <v>6</v>
      </c>
    </row>
    <row r="480" spans="2:4" x14ac:dyDescent="0.25">
      <c r="B480" t="s">
        <v>1096</v>
      </c>
      <c r="C480">
        <v>21</v>
      </c>
      <c r="D480">
        <v>8</v>
      </c>
    </row>
    <row r="481" spans="2:4" x14ac:dyDescent="0.25">
      <c r="B481" t="s">
        <v>1096</v>
      </c>
      <c r="C481">
        <v>21</v>
      </c>
      <c r="D481">
        <v>13</v>
      </c>
    </row>
    <row r="482" spans="2:4" x14ac:dyDescent="0.25">
      <c r="B482" t="s">
        <v>1096</v>
      </c>
      <c r="C482">
        <v>21</v>
      </c>
      <c r="D482">
        <v>14</v>
      </c>
    </row>
    <row r="483" spans="2:4" x14ac:dyDescent="0.25">
      <c r="B483" t="s">
        <v>1096</v>
      </c>
      <c r="C483">
        <v>23</v>
      </c>
      <c r="D483">
        <v>6</v>
      </c>
    </row>
    <row r="484" spans="2:4" x14ac:dyDescent="0.25">
      <c r="B484" t="s">
        <v>1096</v>
      </c>
      <c r="C484">
        <v>23</v>
      </c>
      <c r="D484">
        <v>8</v>
      </c>
    </row>
    <row r="485" spans="2:4" x14ac:dyDescent="0.25">
      <c r="B485" t="s">
        <v>1096</v>
      </c>
      <c r="C485">
        <v>23</v>
      </c>
      <c r="D485">
        <v>13</v>
      </c>
    </row>
    <row r="486" spans="2:4" x14ac:dyDescent="0.25">
      <c r="B486" t="s">
        <v>1096</v>
      </c>
      <c r="C486">
        <v>23</v>
      </c>
      <c r="D486">
        <v>14</v>
      </c>
    </row>
    <row r="487" spans="2:4" x14ac:dyDescent="0.25">
      <c r="B487" t="s">
        <v>1096</v>
      </c>
      <c r="C487">
        <v>24</v>
      </c>
      <c r="D487">
        <v>6</v>
      </c>
    </row>
    <row r="488" spans="2:4" x14ac:dyDescent="0.25">
      <c r="B488" t="s">
        <v>1096</v>
      </c>
      <c r="C488">
        <v>24</v>
      </c>
      <c r="D488">
        <v>8</v>
      </c>
    </row>
    <row r="489" spans="2:4" x14ac:dyDescent="0.25">
      <c r="B489" t="s">
        <v>1096</v>
      </c>
      <c r="C489">
        <v>24</v>
      </c>
      <c r="D489">
        <v>13</v>
      </c>
    </row>
    <row r="490" spans="2:4" x14ac:dyDescent="0.25">
      <c r="B490" t="s">
        <v>1096</v>
      </c>
      <c r="C490">
        <v>24</v>
      </c>
      <c r="D490">
        <v>14</v>
      </c>
    </row>
    <row r="491" spans="2:4" x14ac:dyDescent="0.25">
      <c r="B491" t="s">
        <v>1096</v>
      </c>
      <c r="C491">
        <v>25</v>
      </c>
      <c r="D491">
        <v>6</v>
      </c>
    </row>
    <row r="492" spans="2:4" x14ac:dyDescent="0.25">
      <c r="B492" t="s">
        <v>1096</v>
      </c>
      <c r="C492">
        <v>25</v>
      </c>
      <c r="D492">
        <v>8</v>
      </c>
    </row>
    <row r="493" spans="2:4" x14ac:dyDescent="0.25">
      <c r="B493" t="s">
        <v>1096</v>
      </c>
      <c r="C493">
        <v>25</v>
      </c>
      <c r="D493">
        <v>13</v>
      </c>
    </row>
    <row r="494" spans="2:4" x14ac:dyDescent="0.25">
      <c r="B494" t="s">
        <v>1096</v>
      </c>
      <c r="C494">
        <v>25</v>
      </c>
      <c r="D494">
        <v>14</v>
      </c>
    </row>
    <row r="495" spans="2:4" x14ac:dyDescent="0.25">
      <c r="B495" t="s">
        <v>1096</v>
      </c>
      <c r="C495">
        <v>26</v>
      </c>
      <c r="D495">
        <v>6</v>
      </c>
    </row>
    <row r="496" spans="2:4" x14ac:dyDescent="0.25">
      <c r="B496" t="s">
        <v>1096</v>
      </c>
      <c r="C496">
        <v>26</v>
      </c>
      <c r="D496">
        <v>8</v>
      </c>
    </row>
    <row r="497" spans="2:4" x14ac:dyDescent="0.25">
      <c r="B497" t="s">
        <v>1096</v>
      </c>
      <c r="C497">
        <v>26</v>
      </c>
      <c r="D497">
        <v>13</v>
      </c>
    </row>
    <row r="498" spans="2:4" x14ac:dyDescent="0.25">
      <c r="B498" t="s">
        <v>1096</v>
      </c>
      <c r="C498">
        <v>26</v>
      </c>
      <c r="D498">
        <v>14</v>
      </c>
    </row>
    <row r="499" spans="2:4" x14ac:dyDescent="0.25">
      <c r="B499" t="s">
        <v>1096</v>
      </c>
      <c r="C499">
        <v>27</v>
      </c>
      <c r="D499">
        <v>6</v>
      </c>
    </row>
    <row r="500" spans="2:4" x14ac:dyDescent="0.25">
      <c r="B500" t="s">
        <v>1096</v>
      </c>
      <c r="C500">
        <v>27</v>
      </c>
      <c r="D500">
        <v>8</v>
      </c>
    </row>
    <row r="501" spans="2:4" x14ac:dyDescent="0.25">
      <c r="B501" t="s">
        <v>1096</v>
      </c>
      <c r="C501">
        <v>27</v>
      </c>
      <c r="D501">
        <v>13</v>
      </c>
    </row>
    <row r="502" spans="2:4" x14ac:dyDescent="0.25">
      <c r="B502" t="s">
        <v>1096</v>
      </c>
      <c r="C502">
        <v>27</v>
      </c>
      <c r="D502">
        <v>14</v>
      </c>
    </row>
    <row r="503" spans="2:4" x14ac:dyDescent="0.25">
      <c r="B503" t="s">
        <v>1096</v>
      </c>
      <c r="C503">
        <v>28</v>
      </c>
      <c r="D503">
        <v>6</v>
      </c>
    </row>
    <row r="504" spans="2:4" x14ac:dyDescent="0.25">
      <c r="B504" t="s">
        <v>1096</v>
      </c>
      <c r="C504">
        <v>28</v>
      </c>
      <c r="D504">
        <v>8</v>
      </c>
    </row>
    <row r="505" spans="2:4" x14ac:dyDescent="0.25">
      <c r="B505" t="s">
        <v>1096</v>
      </c>
      <c r="C505">
        <v>28</v>
      </c>
      <c r="D505">
        <v>13</v>
      </c>
    </row>
    <row r="506" spans="2:4" x14ac:dyDescent="0.25">
      <c r="B506" t="s">
        <v>1096</v>
      </c>
      <c r="C506">
        <v>28</v>
      </c>
      <c r="D506">
        <v>14</v>
      </c>
    </row>
    <row r="507" spans="2:4" x14ac:dyDescent="0.25">
      <c r="B507" t="s">
        <v>1096</v>
      </c>
      <c r="C507">
        <v>29</v>
      </c>
      <c r="D507">
        <v>6</v>
      </c>
    </row>
    <row r="508" spans="2:4" x14ac:dyDescent="0.25">
      <c r="B508" t="s">
        <v>1096</v>
      </c>
      <c r="C508">
        <v>29</v>
      </c>
      <c r="D508">
        <v>8</v>
      </c>
    </row>
    <row r="509" spans="2:4" x14ac:dyDescent="0.25">
      <c r="B509" t="s">
        <v>1096</v>
      </c>
      <c r="C509">
        <v>29</v>
      </c>
      <c r="D509">
        <v>13</v>
      </c>
    </row>
    <row r="510" spans="2:4" x14ac:dyDescent="0.25">
      <c r="B510" t="s">
        <v>1096</v>
      </c>
      <c r="C510">
        <v>29</v>
      </c>
      <c r="D510">
        <v>14</v>
      </c>
    </row>
    <row r="511" spans="2:4" x14ac:dyDescent="0.25">
      <c r="B511" t="s">
        <v>1096</v>
      </c>
      <c r="C511">
        <v>30</v>
      </c>
      <c r="D511">
        <v>5</v>
      </c>
    </row>
    <row r="512" spans="2:4" x14ac:dyDescent="0.25">
      <c r="B512" t="s">
        <v>1096</v>
      </c>
      <c r="C512">
        <v>32</v>
      </c>
      <c r="D512">
        <v>6</v>
      </c>
    </row>
    <row r="513" spans="2:4" x14ac:dyDescent="0.25">
      <c r="B513" t="s">
        <v>1096</v>
      </c>
      <c r="C513">
        <v>32</v>
      </c>
      <c r="D513">
        <v>8</v>
      </c>
    </row>
    <row r="514" spans="2:4" x14ac:dyDescent="0.25">
      <c r="B514" t="s">
        <v>1096</v>
      </c>
      <c r="C514">
        <v>32</v>
      </c>
      <c r="D514">
        <v>13</v>
      </c>
    </row>
    <row r="515" spans="2:4" x14ac:dyDescent="0.25">
      <c r="B515" t="s">
        <v>1096</v>
      </c>
      <c r="C515">
        <v>32</v>
      </c>
      <c r="D515">
        <v>14</v>
      </c>
    </row>
    <row r="516" spans="2:4" x14ac:dyDescent="0.25">
      <c r="B516" t="s">
        <v>1096</v>
      </c>
      <c r="C516">
        <v>33</v>
      </c>
      <c r="D516">
        <v>6</v>
      </c>
    </row>
    <row r="517" spans="2:4" x14ac:dyDescent="0.25">
      <c r="B517" t="s">
        <v>1096</v>
      </c>
      <c r="C517">
        <v>33</v>
      </c>
      <c r="D517">
        <v>8</v>
      </c>
    </row>
    <row r="518" spans="2:4" x14ac:dyDescent="0.25">
      <c r="B518" t="s">
        <v>1096</v>
      </c>
      <c r="C518">
        <v>33</v>
      </c>
      <c r="D518">
        <v>13</v>
      </c>
    </row>
    <row r="519" spans="2:4" x14ac:dyDescent="0.25">
      <c r="B519" t="s">
        <v>1096</v>
      </c>
      <c r="C519">
        <v>33</v>
      </c>
      <c r="D519">
        <v>14</v>
      </c>
    </row>
    <row r="520" spans="2:4" x14ac:dyDescent="0.25">
      <c r="B520" t="s">
        <v>1096</v>
      </c>
      <c r="C520">
        <v>34</v>
      </c>
      <c r="D520">
        <v>6</v>
      </c>
    </row>
    <row r="521" spans="2:4" x14ac:dyDescent="0.25">
      <c r="B521" t="s">
        <v>1096</v>
      </c>
      <c r="C521">
        <v>34</v>
      </c>
      <c r="D521">
        <v>8</v>
      </c>
    </row>
    <row r="522" spans="2:4" x14ac:dyDescent="0.25">
      <c r="B522" t="s">
        <v>1096</v>
      </c>
      <c r="C522">
        <v>34</v>
      </c>
      <c r="D522">
        <v>13</v>
      </c>
    </row>
    <row r="523" spans="2:4" x14ac:dyDescent="0.25">
      <c r="B523" t="s">
        <v>1096</v>
      </c>
      <c r="C523">
        <v>34</v>
      </c>
      <c r="D523">
        <v>14</v>
      </c>
    </row>
    <row r="524" spans="2:4" x14ac:dyDescent="0.25">
      <c r="B524" t="s">
        <v>1096</v>
      </c>
      <c r="C524">
        <v>35</v>
      </c>
      <c r="D524">
        <v>6</v>
      </c>
    </row>
    <row r="525" spans="2:4" x14ac:dyDescent="0.25">
      <c r="B525" t="s">
        <v>1096</v>
      </c>
      <c r="C525">
        <v>35</v>
      </c>
      <c r="D525">
        <v>8</v>
      </c>
    </row>
    <row r="526" spans="2:4" x14ac:dyDescent="0.25">
      <c r="B526" t="s">
        <v>1096</v>
      </c>
      <c r="C526">
        <v>35</v>
      </c>
      <c r="D526">
        <v>13</v>
      </c>
    </row>
    <row r="527" spans="2:4" x14ac:dyDescent="0.25">
      <c r="B527" t="s">
        <v>1096</v>
      </c>
      <c r="C527">
        <v>35</v>
      </c>
      <c r="D527">
        <v>14</v>
      </c>
    </row>
    <row r="528" spans="2:4" x14ac:dyDescent="0.25">
      <c r="B528" t="s">
        <v>1096</v>
      </c>
      <c r="C528">
        <v>36</v>
      </c>
      <c r="D528">
        <v>6</v>
      </c>
    </row>
    <row r="529" spans="2:4" x14ac:dyDescent="0.25">
      <c r="B529" t="s">
        <v>1096</v>
      </c>
      <c r="C529">
        <v>36</v>
      </c>
      <c r="D529">
        <v>8</v>
      </c>
    </row>
    <row r="530" spans="2:4" x14ac:dyDescent="0.25">
      <c r="B530" t="s">
        <v>1096</v>
      </c>
      <c r="C530">
        <v>36</v>
      </c>
      <c r="D530">
        <v>13</v>
      </c>
    </row>
    <row r="531" spans="2:4" x14ac:dyDescent="0.25">
      <c r="B531" t="s">
        <v>1096</v>
      </c>
      <c r="C531">
        <v>36</v>
      </c>
      <c r="D531">
        <v>14</v>
      </c>
    </row>
    <row r="532" spans="2:4" x14ac:dyDescent="0.25">
      <c r="B532" t="s">
        <v>1096</v>
      </c>
      <c r="C532">
        <v>39</v>
      </c>
      <c r="D532">
        <v>6</v>
      </c>
    </row>
    <row r="533" spans="2:4" x14ac:dyDescent="0.25">
      <c r="B533" t="s">
        <v>1096</v>
      </c>
      <c r="C533">
        <v>39</v>
      </c>
      <c r="D533">
        <v>8</v>
      </c>
    </row>
    <row r="534" spans="2:4" x14ac:dyDescent="0.25">
      <c r="B534" t="s">
        <v>1096</v>
      </c>
      <c r="C534">
        <v>39</v>
      </c>
      <c r="D534">
        <v>13</v>
      </c>
    </row>
    <row r="535" spans="2:4" x14ac:dyDescent="0.25">
      <c r="B535" t="s">
        <v>1096</v>
      </c>
      <c r="C535">
        <v>39</v>
      </c>
      <c r="D535">
        <v>14</v>
      </c>
    </row>
    <row r="536" spans="2:4" x14ac:dyDescent="0.25">
      <c r="B536" t="s">
        <v>1096</v>
      </c>
      <c r="C536">
        <v>40</v>
      </c>
      <c r="D536">
        <v>6</v>
      </c>
    </row>
    <row r="537" spans="2:4" x14ac:dyDescent="0.25">
      <c r="B537" t="s">
        <v>1096</v>
      </c>
      <c r="C537">
        <v>40</v>
      </c>
      <c r="D537">
        <v>8</v>
      </c>
    </row>
    <row r="538" spans="2:4" x14ac:dyDescent="0.25">
      <c r="B538" t="s">
        <v>1096</v>
      </c>
      <c r="C538">
        <v>40</v>
      </c>
      <c r="D538">
        <v>13</v>
      </c>
    </row>
    <row r="539" spans="2:4" x14ac:dyDescent="0.25">
      <c r="B539" t="s">
        <v>1096</v>
      </c>
      <c r="C539">
        <v>40</v>
      </c>
      <c r="D539">
        <v>14</v>
      </c>
    </row>
    <row r="540" spans="2:4" x14ac:dyDescent="0.25">
      <c r="B540" t="s">
        <v>1096</v>
      </c>
      <c r="C540">
        <v>41</v>
      </c>
      <c r="D540">
        <v>6</v>
      </c>
    </row>
    <row r="541" spans="2:4" x14ac:dyDescent="0.25">
      <c r="B541" t="s">
        <v>1096</v>
      </c>
      <c r="C541">
        <v>41</v>
      </c>
      <c r="D541">
        <v>8</v>
      </c>
    </row>
    <row r="542" spans="2:4" x14ac:dyDescent="0.25">
      <c r="B542" t="s">
        <v>1096</v>
      </c>
      <c r="C542">
        <v>41</v>
      </c>
      <c r="D542">
        <v>13</v>
      </c>
    </row>
    <row r="543" spans="2:4" x14ac:dyDescent="0.25">
      <c r="B543" t="s">
        <v>1096</v>
      </c>
      <c r="C543">
        <v>41</v>
      </c>
      <c r="D543">
        <v>14</v>
      </c>
    </row>
    <row r="544" spans="2:4" x14ac:dyDescent="0.25">
      <c r="B544" t="s">
        <v>1096</v>
      </c>
      <c r="C544">
        <v>42</v>
      </c>
      <c r="D544">
        <v>6</v>
      </c>
    </row>
    <row r="545" spans="2:4" x14ac:dyDescent="0.25">
      <c r="B545" t="s">
        <v>1096</v>
      </c>
      <c r="C545">
        <v>42</v>
      </c>
      <c r="D545">
        <v>8</v>
      </c>
    </row>
    <row r="546" spans="2:4" x14ac:dyDescent="0.25">
      <c r="B546" t="s">
        <v>1096</v>
      </c>
      <c r="C546">
        <v>42</v>
      </c>
      <c r="D546">
        <v>13</v>
      </c>
    </row>
    <row r="547" spans="2:4" x14ac:dyDescent="0.25">
      <c r="B547" t="s">
        <v>1096</v>
      </c>
      <c r="C547">
        <v>42</v>
      </c>
      <c r="D547">
        <v>14</v>
      </c>
    </row>
    <row r="548" spans="2:4" x14ac:dyDescent="0.25">
      <c r="B548" t="s">
        <v>1096</v>
      </c>
      <c r="C548">
        <v>43</v>
      </c>
      <c r="D548">
        <v>6</v>
      </c>
    </row>
    <row r="549" spans="2:4" x14ac:dyDescent="0.25">
      <c r="B549" t="s">
        <v>1096</v>
      </c>
      <c r="C549">
        <v>43</v>
      </c>
      <c r="D549">
        <v>8</v>
      </c>
    </row>
    <row r="550" spans="2:4" x14ac:dyDescent="0.25">
      <c r="B550" t="s">
        <v>1096</v>
      </c>
      <c r="C550">
        <v>43</v>
      </c>
      <c r="D550">
        <v>13</v>
      </c>
    </row>
    <row r="551" spans="2:4" x14ac:dyDescent="0.25">
      <c r="B551" t="s">
        <v>1096</v>
      </c>
      <c r="C551">
        <v>43</v>
      </c>
      <c r="D551">
        <v>14</v>
      </c>
    </row>
    <row r="552" spans="2:4" x14ac:dyDescent="0.25">
      <c r="B552" t="s">
        <v>1096</v>
      </c>
      <c r="C552">
        <v>44</v>
      </c>
      <c r="D552">
        <v>6</v>
      </c>
    </row>
    <row r="553" spans="2:4" x14ac:dyDescent="0.25">
      <c r="B553" t="s">
        <v>1096</v>
      </c>
      <c r="C553">
        <v>44</v>
      </c>
      <c r="D553">
        <v>8</v>
      </c>
    </row>
    <row r="554" spans="2:4" x14ac:dyDescent="0.25">
      <c r="B554" t="s">
        <v>1096</v>
      </c>
      <c r="C554">
        <v>44</v>
      </c>
      <c r="D554">
        <v>13</v>
      </c>
    </row>
    <row r="555" spans="2:4" x14ac:dyDescent="0.25">
      <c r="B555" t="s">
        <v>1096</v>
      </c>
      <c r="C555">
        <v>44</v>
      </c>
      <c r="D555">
        <v>14</v>
      </c>
    </row>
    <row r="556" spans="2:4" x14ac:dyDescent="0.25">
      <c r="B556" t="s">
        <v>1096</v>
      </c>
      <c r="C556">
        <v>45</v>
      </c>
      <c r="D556">
        <v>6</v>
      </c>
    </row>
    <row r="557" spans="2:4" x14ac:dyDescent="0.25">
      <c r="B557" t="s">
        <v>1096</v>
      </c>
      <c r="C557">
        <v>45</v>
      </c>
      <c r="D557">
        <v>8</v>
      </c>
    </row>
    <row r="558" spans="2:4" x14ac:dyDescent="0.25">
      <c r="B558" t="s">
        <v>1096</v>
      </c>
      <c r="C558">
        <v>45</v>
      </c>
      <c r="D558">
        <v>13</v>
      </c>
    </row>
    <row r="559" spans="2:4" x14ac:dyDescent="0.25">
      <c r="B559" t="s">
        <v>1096</v>
      </c>
      <c r="C559">
        <v>45</v>
      </c>
      <c r="D559">
        <v>14</v>
      </c>
    </row>
    <row r="560" spans="2:4" x14ac:dyDescent="0.25">
      <c r="B560" t="s">
        <v>1096</v>
      </c>
      <c r="C560">
        <v>47</v>
      </c>
      <c r="D560">
        <v>6</v>
      </c>
    </row>
    <row r="561" spans="2:4" x14ac:dyDescent="0.25">
      <c r="B561" t="s">
        <v>1096</v>
      </c>
      <c r="C561">
        <v>47</v>
      </c>
      <c r="D561">
        <v>8</v>
      </c>
    </row>
    <row r="562" spans="2:4" x14ac:dyDescent="0.25">
      <c r="B562" t="s">
        <v>1096</v>
      </c>
      <c r="C562">
        <v>47</v>
      </c>
      <c r="D562">
        <v>13</v>
      </c>
    </row>
    <row r="563" spans="2:4" x14ac:dyDescent="0.25">
      <c r="B563" t="s">
        <v>1096</v>
      </c>
      <c r="C563">
        <v>47</v>
      </c>
      <c r="D563">
        <v>14</v>
      </c>
    </row>
    <row r="564" spans="2:4" x14ac:dyDescent="0.25">
      <c r="B564" t="s">
        <v>1096</v>
      </c>
      <c r="C564">
        <v>48</v>
      </c>
      <c r="D564">
        <v>5</v>
      </c>
    </row>
    <row r="565" spans="2:4" x14ac:dyDescent="0.25">
      <c r="B565" t="s">
        <v>1096</v>
      </c>
      <c r="C565">
        <v>49</v>
      </c>
      <c r="D565">
        <v>5</v>
      </c>
    </row>
    <row r="566" spans="2:4" x14ac:dyDescent="0.25">
      <c r="B566" t="s">
        <v>1096</v>
      </c>
      <c r="C566">
        <v>50</v>
      </c>
      <c r="D566">
        <v>6</v>
      </c>
    </row>
    <row r="567" spans="2:4" x14ac:dyDescent="0.25">
      <c r="B567" t="s">
        <v>1096</v>
      </c>
      <c r="C567">
        <v>50</v>
      </c>
      <c r="D567">
        <v>8</v>
      </c>
    </row>
    <row r="568" spans="2:4" x14ac:dyDescent="0.25">
      <c r="B568" t="s">
        <v>1096</v>
      </c>
      <c r="C568">
        <v>50</v>
      </c>
      <c r="D568">
        <v>13</v>
      </c>
    </row>
    <row r="569" spans="2:4" x14ac:dyDescent="0.25">
      <c r="B569" t="s">
        <v>1096</v>
      </c>
      <c r="C569">
        <v>50</v>
      </c>
      <c r="D569">
        <v>14</v>
      </c>
    </row>
    <row r="570" spans="2:4" x14ac:dyDescent="0.25">
      <c r="B570" t="s">
        <v>1096</v>
      </c>
      <c r="C570">
        <v>51</v>
      </c>
      <c r="D570">
        <v>6</v>
      </c>
    </row>
    <row r="571" spans="2:4" x14ac:dyDescent="0.25">
      <c r="B571" t="s">
        <v>1096</v>
      </c>
      <c r="C571">
        <v>51</v>
      </c>
      <c r="D571">
        <v>8</v>
      </c>
    </row>
    <row r="572" spans="2:4" x14ac:dyDescent="0.25">
      <c r="B572" t="s">
        <v>1096</v>
      </c>
      <c r="C572">
        <v>51</v>
      </c>
      <c r="D572">
        <v>13</v>
      </c>
    </row>
    <row r="573" spans="2:4" x14ac:dyDescent="0.25">
      <c r="B573" t="s">
        <v>1096</v>
      </c>
      <c r="C573">
        <v>51</v>
      </c>
      <c r="D573">
        <v>14</v>
      </c>
    </row>
    <row r="574" spans="2:4" x14ac:dyDescent="0.25">
      <c r="B574" t="s">
        <v>1096</v>
      </c>
      <c r="C574">
        <v>52</v>
      </c>
      <c r="D574">
        <v>6</v>
      </c>
    </row>
    <row r="575" spans="2:4" x14ac:dyDescent="0.25">
      <c r="B575" t="s">
        <v>1096</v>
      </c>
      <c r="C575">
        <v>52</v>
      </c>
      <c r="D575">
        <v>8</v>
      </c>
    </row>
    <row r="576" spans="2:4" x14ac:dyDescent="0.25">
      <c r="B576" t="s">
        <v>1096</v>
      </c>
      <c r="C576">
        <v>52</v>
      </c>
      <c r="D576">
        <v>13</v>
      </c>
    </row>
    <row r="577" spans="2:4" x14ac:dyDescent="0.25">
      <c r="B577" t="s">
        <v>1096</v>
      </c>
      <c r="C577">
        <v>52</v>
      </c>
      <c r="D577">
        <v>14</v>
      </c>
    </row>
    <row r="578" spans="2:4" x14ac:dyDescent="0.25">
      <c r="B578" t="s">
        <v>1096</v>
      </c>
      <c r="C578">
        <v>53</v>
      </c>
      <c r="D578">
        <v>6</v>
      </c>
    </row>
    <row r="579" spans="2:4" x14ac:dyDescent="0.25">
      <c r="B579" t="s">
        <v>1096</v>
      </c>
      <c r="C579">
        <v>53</v>
      </c>
      <c r="D579">
        <v>8</v>
      </c>
    </row>
    <row r="580" spans="2:4" x14ac:dyDescent="0.25">
      <c r="B580" t="s">
        <v>1096</v>
      </c>
      <c r="C580">
        <v>53</v>
      </c>
      <c r="D580">
        <v>13</v>
      </c>
    </row>
    <row r="581" spans="2:4" x14ac:dyDescent="0.25">
      <c r="B581" t="s">
        <v>1096</v>
      </c>
      <c r="C581">
        <v>53</v>
      </c>
      <c r="D581">
        <v>14</v>
      </c>
    </row>
    <row r="582" spans="2:4" x14ac:dyDescent="0.25">
      <c r="B582" t="s">
        <v>1096</v>
      </c>
      <c r="C582">
        <v>54</v>
      </c>
      <c r="D582">
        <v>6</v>
      </c>
    </row>
    <row r="583" spans="2:4" x14ac:dyDescent="0.25">
      <c r="B583" t="s">
        <v>1096</v>
      </c>
      <c r="C583">
        <v>54</v>
      </c>
      <c r="D583">
        <v>8</v>
      </c>
    </row>
    <row r="584" spans="2:4" x14ac:dyDescent="0.25">
      <c r="B584" t="s">
        <v>1096</v>
      </c>
      <c r="C584">
        <v>54</v>
      </c>
      <c r="D584">
        <v>13</v>
      </c>
    </row>
    <row r="585" spans="2:4" x14ac:dyDescent="0.25">
      <c r="B585" t="s">
        <v>1096</v>
      </c>
      <c r="C585">
        <v>54</v>
      </c>
      <c r="D585">
        <v>14</v>
      </c>
    </row>
    <row r="586" spans="2:4" x14ac:dyDescent="0.25">
      <c r="B586" t="s">
        <v>1096</v>
      </c>
      <c r="C586">
        <v>55</v>
      </c>
      <c r="D586">
        <v>6</v>
      </c>
    </row>
    <row r="587" spans="2:4" x14ac:dyDescent="0.25">
      <c r="B587" t="s">
        <v>1096</v>
      </c>
      <c r="C587">
        <v>55</v>
      </c>
      <c r="D587">
        <v>8</v>
      </c>
    </row>
    <row r="588" spans="2:4" x14ac:dyDescent="0.25">
      <c r="B588" t="s">
        <v>1096</v>
      </c>
      <c r="C588">
        <v>55</v>
      </c>
      <c r="D588">
        <v>13</v>
      </c>
    </row>
    <row r="589" spans="2:4" x14ac:dyDescent="0.25">
      <c r="B589" t="s">
        <v>1096</v>
      </c>
      <c r="C589">
        <v>55</v>
      </c>
      <c r="D589">
        <v>14</v>
      </c>
    </row>
    <row r="590" spans="2:4" x14ac:dyDescent="0.25">
      <c r="B590" t="s">
        <v>1096</v>
      </c>
      <c r="C590">
        <v>56</v>
      </c>
      <c r="D590">
        <v>6</v>
      </c>
    </row>
    <row r="591" spans="2:4" x14ac:dyDescent="0.25">
      <c r="B591" t="s">
        <v>1096</v>
      </c>
      <c r="C591">
        <v>56</v>
      </c>
      <c r="D591">
        <v>8</v>
      </c>
    </row>
    <row r="592" spans="2:4" x14ac:dyDescent="0.25">
      <c r="B592" t="s">
        <v>1096</v>
      </c>
      <c r="C592">
        <v>56</v>
      </c>
      <c r="D592">
        <v>13</v>
      </c>
    </row>
    <row r="593" spans="2:4" x14ac:dyDescent="0.25">
      <c r="B593" t="s">
        <v>1096</v>
      </c>
      <c r="C593">
        <v>56</v>
      </c>
      <c r="D593">
        <v>14</v>
      </c>
    </row>
    <row r="594" spans="2:4" x14ac:dyDescent="0.25">
      <c r="B594" t="s">
        <v>1096</v>
      </c>
      <c r="C594">
        <v>57</v>
      </c>
      <c r="D594">
        <v>6</v>
      </c>
    </row>
    <row r="595" spans="2:4" x14ac:dyDescent="0.25">
      <c r="B595" t="s">
        <v>1096</v>
      </c>
      <c r="C595">
        <v>57</v>
      </c>
      <c r="D595">
        <v>8</v>
      </c>
    </row>
    <row r="596" spans="2:4" x14ac:dyDescent="0.25">
      <c r="B596" t="s">
        <v>1096</v>
      </c>
      <c r="C596">
        <v>57</v>
      </c>
      <c r="D596">
        <v>13</v>
      </c>
    </row>
    <row r="597" spans="2:4" x14ac:dyDescent="0.25">
      <c r="B597" t="s">
        <v>1096</v>
      </c>
      <c r="C597">
        <v>57</v>
      </c>
      <c r="D597">
        <v>14</v>
      </c>
    </row>
    <row r="598" spans="2:4" x14ac:dyDescent="0.25">
      <c r="B598" t="s">
        <v>1096</v>
      </c>
      <c r="C598">
        <v>58</v>
      </c>
      <c r="D598">
        <v>6</v>
      </c>
    </row>
    <row r="599" spans="2:4" x14ac:dyDescent="0.25">
      <c r="B599" t="s">
        <v>1096</v>
      </c>
      <c r="C599">
        <v>58</v>
      </c>
      <c r="D599">
        <v>8</v>
      </c>
    </row>
    <row r="600" spans="2:4" x14ac:dyDescent="0.25">
      <c r="B600" t="s">
        <v>1096</v>
      </c>
      <c r="C600">
        <v>58</v>
      </c>
      <c r="D600">
        <v>13</v>
      </c>
    </row>
    <row r="601" spans="2:4" x14ac:dyDescent="0.25">
      <c r="B601" t="s">
        <v>1096</v>
      </c>
      <c r="C601">
        <v>58</v>
      </c>
      <c r="D601">
        <v>14</v>
      </c>
    </row>
    <row r="602" spans="2:4" x14ac:dyDescent="0.25">
      <c r="B602" t="s">
        <v>1096</v>
      </c>
      <c r="C602">
        <v>59</v>
      </c>
      <c r="D602">
        <v>5</v>
      </c>
    </row>
    <row r="603" spans="2:4" x14ac:dyDescent="0.25">
      <c r="B603" t="s">
        <v>1096</v>
      </c>
      <c r="C603">
        <v>60</v>
      </c>
      <c r="D603">
        <v>6</v>
      </c>
    </row>
    <row r="604" spans="2:4" x14ac:dyDescent="0.25">
      <c r="B604" t="s">
        <v>1096</v>
      </c>
      <c r="C604">
        <v>60</v>
      </c>
      <c r="D604">
        <v>8</v>
      </c>
    </row>
    <row r="605" spans="2:4" x14ac:dyDescent="0.25">
      <c r="B605" t="s">
        <v>1096</v>
      </c>
      <c r="C605">
        <v>60</v>
      </c>
      <c r="D605">
        <v>13</v>
      </c>
    </row>
    <row r="606" spans="2:4" x14ac:dyDescent="0.25">
      <c r="B606" t="s">
        <v>1096</v>
      </c>
      <c r="C606">
        <v>60</v>
      </c>
      <c r="D606">
        <v>14</v>
      </c>
    </row>
    <row r="607" spans="2:4" x14ac:dyDescent="0.25">
      <c r="B607" t="s">
        <v>1096</v>
      </c>
      <c r="C607">
        <v>61</v>
      </c>
      <c r="D607">
        <v>6</v>
      </c>
    </row>
    <row r="608" spans="2:4" x14ac:dyDescent="0.25">
      <c r="B608" t="s">
        <v>1096</v>
      </c>
      <c r="C608">
        <v>61</v>
      </c>
      <c r="D608">
        <v>8</v>
      </c>
    </row>
    <row r="609" spans="2:4" x14ac:dyDescent="0.25">
      <c r="B609" t="s">
        <v>1096</v>
      </c>
      <c r="C609">
        <v>61</v>
      </c>
      <c r="D609">
        <v>13</v>
      </c>
    </row>
    <row r="610" spans="2:4" x14ac:dyDescent="0.25">
      <c r="B610" t="s">
        <v>1096</v>
      </c>
      <c r="C610">
        <v>61</v>
      </c>
      <c r="D610">
        <v>14</v>
      </c>
    </row>
    <row r="611" spans="2:4" x14ac:dyDescent="0.25">
      <c r="B611" t="s">
        <v>1096</v>
      </c>
      <c r="C611">
        <v>62</v>
      </c>
      <c r="D611">
        <v>6</v>
      </c>
    </row>
    <row r="612" spans="2:4" x14ac:dyDescent="0.25">
      <c r="B612" t="s">
        <v>1096</v>
      </c>
      <c r="C612">
        <v>62</v>
      </c>
      <c r="D612">
        <v>8</v>
      </c>
    </row>
    <row r="613" spans="2:4" x14ac:dyDescent="0.25">
      <c r="B613" t="s">
        <v>1096</v>
      </c>
      <c r="C613">
        <v>62</v>
      </c>
      <c r="D613">
        <v>13</v>
      </c>
    </row>
    <row r="614" spans="2:4" x14ac:dyDescent="0.25">
      <c r="B614" t="s">
        <v>1096</v>
      </c>
      <c r="C614">
        <v>62</v>
      </c>
      <c r="D614">
        <v>14</v>
      </c>
    </row>
    <row r="615" spans="2:4" x14ac:dyDescent="0.25">
      <c r="B615" t="s">
        <v>1096</v>
      </c>
      <c r="C615">
        <v>63</v>
      </c>
      <c r="D615">
        <v>6</v>
      </c>
    </row>
    <row r="616" spans="2:4" x14ac:dyDescent="0.25">
      <c r="B616" t="s">
        <v>1096</v>
      </c>
      <c r="C616">
        <v>63</v>
      </c>
      <c r="D616">
        <v>8</v>
      </c>
    </row>
    <row r="617" spans="2:4" x14ac:dyDescent="0.25">
      <c r="B617" t="s">
        <v>1096</v>
      </c>
      <c r="C617">
        <v>63</v>
      </c>
      <c r="D617">
        <v>13</v>
      </c>
    </row>
    <row r="618" spans="2:4" x14ac:dyDescent="0.25">
      <c r="B618" t="s">
        <v>1096</v>
      </c>
      <c r="C618">
        <v>63</v>
      </c>
      <c r="D618">
        <v>14</v>
      </c>
    </row>
    <row r="619" spans="2:4" x14ac:dyDescent="0.25">
      <c r="B619" t="s">
        <v>1096</v>
      </c>
      <c r="C619">
        <v>64</v>
      </c>
      <c r="D619">
        <v>5</v>
      </c>
    </row>
    <row r="620" spans="2:4" x14ac:dyDescent="0.25">
      <c r="B620" t="s">
        <v>1096</v>
      </c>
      <c r="C620">
        <v>65</v>
      </c>
      <c r="D620">
        <v>6</v>
      </c>
    </row>
    <row r="621" spans="2:4" x14ac:dyDescent="0.25">
      <c r="B621" t="s">
        <v>1096</v>
      </c>
      <c r="C621">
        <v>65</v>
      </c>
      <c r="D621">
        <v>8</v>
      </c>
    </row>
    <row r="622" spans="2:4" x14ac:dyDescent="0.25">
      <c r="B622" t="s">
        <v>1096</v>
      </c>
      <c r="C622">
        <v>65</v>
      </c>
      <c r="D622">
        <v>13</v>
      </c>
    </row>
    <row r="623" spans="2:4" x14ac:dyDescent="0.25">
      <c r="B623" t="s">
        <v>1096</v>
      </c>
      <c r="C623">
        <v>65</v>
      </c>
      <c r="D623">
        <v>14</v>
      </c>
    </row>
    <row r="624" spans="2:4" x14ac:dyDescent="0.25">
      <c r="B624" t="s">
        <v>1096</v>
      </c>
      <c r="C624">
        <v>66</v>
      </c>
      <c r="D624">
        <v>6</v>
      </c>
    </row>
    <row r="625" spans="2:4" x14ac:dyDescent="0.25">
      <c r="B625" t="s">
        <v>1096</v>
      </c>
      <c r="C625">
        <v>66</v>
      </c>
      <c r="D625">
        <v>8</v>
      </c>
    </row>
    <row r="626" spans="2:4" x14ac:dyDescent="0.25">
      <c r="B626" t="s">
        <v>1096</v>
      </c>
      <c r="C626">
        <v>66</v>
      </c>
      <c r="D626">
        <v>13</v>
      </c>
    </row>
    <row r="627" spans="2:4" x14ac:dyDescent="0.25">
      <c r="B627" t="s">
        <v>1096</v>
      </c>
      <c r="C627">
        <v>66</v>
      </c>
      <c r="D627">
        <v>14</v>
      </c>
    </row>
    <row r="628" spans="2:4" x14ac:dyDescent="0.25">
      <c r="B628" t="s">
        <v>1096</v>
      </c>
      <c r="C628">
        <v>67</v>
      </c>
      <c r="D628">
        <v>6</v>
      </c>
    </row>
    <row r="629" spans="2:4" x14ac:dyDescent="0.25">
      <c r="B629" t="s">
        <v>1096</v>
      </c>
      <c r="C629">
        <v>67</v>
      </c>
      <c r="D629">
        <v>8</v>
      </c>
    </row>
    <row r="630" spans="2:4" x14ac:dyDescent="0.25">
      <c r="B630" t="s">
        <v>1096</v>
      </c>
      <c r="C630">
        <v>67</v>
      </c>
      <c r="D630">
        <v>13</v>
      </c>
    </row>
    <row r="631" spans="2:4" x14ac:dyDescent="0.25">
      <c r="B631" t="s">
        <v>1096</v>
      </c>
      <c r="C631">
        <v>67</v>
      </c>
      <c r="D631">
        <v>14</v>
      </c>
    </row>
    <row r="632" spans="2:4" x14ac:dyDescent="0.25">
      <c r="B632" t="s">
        <v>1096</v>
      </c>
      <c r="C632">
        <v>68</v>
      </c>
      <c r="D632">
        <v>6</v>
      </c>
    </row>
    <row r="633" spans="2:4" x14ac:dyDescent="0.25">
      <c r="B633" t="s">
        <v>1096</v>
      </c>
      <c r="C633">
        <v>68</v>
      </c>
      <c r="D633">
        <v>8</v>
      </c>
    </row>
    <row r="634" spans="2:4" x14ac:dyDescent="0.25">
      <c r="B634" t="s">
        <v>1096</v>
      </c>
      <c r="C634">
        <v>68</v>
      </c>
      <c r="D634">
        <v>13</v>
      </c>
    </row>
    <row r="635" spans="2:4" x14ac:dyDescent="0.25">
      <c r="B635" t="s">
        <v>1096</v>
      </c>
      <c r="C635">
        <v>68</v>
      </c>
      <c r="D635">
        <v>14</v>
      </c>
    </row>
    <row r="636" spans="2:4" x14ac:dyDescent="0.25">
      <c r="B636" t="s">
        <v>1096</v>
      </c>
      <c r="C636">
        <v>69</v>
      </c>
      <c r="D636">
        <v>5</v>
      </c>
    </row>
    <row r="637" spans="2:4" x14ac:dyDescent="0.25">
      <c r="B637" t="s">
        <v>1096</v>
      </c>
      <c r="C637">
        <v>70</v>
      </c>
      <c r="D637">
        <v>6</v>
      </c>
    </row>
    <row r="638" spans="2:4" x14ac:dyDescent="0.25">
      <c r="B638" t="s">
        <v>1096</v>
      </c>
      <c r="C638">
        <v>70</v>
      </c>
      <c r="D638">
        <v>8</v>
      </c>
    </row>
    <row r="639" spans="2:4" x14ac:dyDescent="0.25">
      <c r="B639" t="s">
        <v>1096</v>
      </c>
      <c r="C639">
        <v>70</v>
      </c>
      <c r="D639">
        <v>13</v>
      </c>
    </row>
    <row r="640" spans="2:4" x14ac:dyDescent="0.25">
      <c r="B640" t="s">
        <v>1096</v>
      </c>
      <c r="C640">
        <v>70</v>
      </c>
      <c r="D640">
        <v>14</v>
      </c>
    </row>
    <row r="641" spans="2:4" x14ac:dyDescent="0.25">
      <c r="B641" t="s">
        <v>1096</v>
      </c>
      <c r="C641">
        <v>71</v>
      </c>
      <c r="D641">
        <v>6</v>
      </c>
    </row>
    <row r="642" spans="2:4" x14ac:dyDescent="0.25">
      <c r="B642" t="s">
        <v>1096</v>
      </c>
      <c r="C642">
        <v>71</v>
      </c>
      <c r="D642">
        <v>8</v>
      </c>
    </row>
    <row r="643" spans="2:4" x14ac:dyDescent="0.25">
      <c r="B643" t="s">
        <v>1096</v>
      </c>
      <c r="C643">
        <v>71</v>
      </c>
      <c r="D643">
        <v>13</v>
      </c>
    </row>
    <row r="644" spans="2:4" x14ac:dyDescent="0.25">
      <c r="B644" t="s">
        <v>1096</v>
      </c>
      <c r="C644">
        <v>71</v>
      </c>
      <c r="D644">
        <v>14</v>
      </c>
    </row>
    <row r="645" spans="2:4" x14ac:dyDescent="0.25">
      <c r="B645" t="s">
        <v>1096</v>
      </c>
      <c r="C645">
        <v>72</v>
      </c>
      <c r="D645">
        <v>6</v>
      </c>
    </row>
    <row r="646" spans="2:4" x14ac:dyDescent="0.25">
      <c r="B646" t="s">
        <v>1096</v>
      </c>
      <c r="C646">
        <v>72</v>
      </c>
      <c r="D646">
        <v>8</v>
      </c>
    </row>
    <row r="647" spans="2:4" x14ac:dyDescent="0.25">
      <c r="B647" t="s">
        <v>1096</v>
      </c>
      <c r="C647">
        <v>72</v>
      </c>
      <c r="D647">
        <v>13</v>
      </c>
    </row>
    <row r="648" spans="2:4" x14ac:dyDescent="0.25">
      <c r="B648" t="s">
        <v>1096</v>
      </c>
      <c r="C648">
        <v>72</v>
      </c>
      <c r="D648">
        <v>14</v>
      </c>
    </row>
    <row r="649" spans="2:4" x14ac:dyDescent="0.25">
      <c r="B649" t="s">
        <v>1096</v>
      </c>
      <c r="C649">
        <v>73</v>
      </c>
      <c r="D649">
        <v>6</v>
      </c>
    </row>
    <row r="650" spans="2:4" x14ac:dyDescent="0.25">
      <c r="B650" t="s">
        <v>1096</v>
      </c>
      <c r="C650">
        <v>73</v>
      </c>
      <c r="D650">
        <v>8</v>
      </c>
    </row>
    <row r="651" spans="2:4" x14ac:dyDescent="0.25">
      <c r="B651" t="s">
        <v>1096</v>
      </c>
      <c r="C651">
        <v>73</v>
      </c>
      <c r="D651">
        <v>13</v>
      </c>
    </row>
    <row r="652" spans="2:4" x14ac:dyDescent="0.25">
      <c r="B652" t="s">
        <v>1096</v>
      </c>
      <c r="C652">
        <v>73</v>
      </c>
      <c r="D652">
        <v>14</v>
      </c>
    </row>
    <row r="653" spans="2:4" x14ac:dyDescent="0.25">
      <c r="B653" t="s">
        <v>1096</v>
      </c>
      <c r="C653">
        <v>74</v>
      </c>
      <c r="D653">
        <v>6</v>
      </c>
    </row>
    <row r="654" spans="2:4" x14ac:dyDescent="0.25">
      <c r="B654" t="s">
        <v>1096</v>
      </c>
      <c r="C654">
        <v>74</v>
      </c>
      <c r="D654">
        <v>8</v>
      </c>
    </row>
    <row r="655" spans="2:4" x14ac:dyDescent="0.25">
      <c r="B655" t="s">
        <v>1096</v>
      </c>
      <c r="C655">
        <v>74</v>
      </c>
      <c r="D655">
        <v>13</v>
      </c>
    </row>
    <row r="656" spans="2:4" x14ac:dyDescent="0.25">
      <c r="B656" t="s">
        <v>1096</v>
      </c>
      <c r="C656">
        <v>74</v>
      </c>
      <c r="D656">
        <v>14</v>
      </c>
    </row>
    <row r="657" spans="2:4" x14ac:dyDescent="0.25">
      <c r="B657" t="s">
        <v>1096</v>
      </c>
      <c r="C657">
        <v>75</v>
      </c>
      <c r="D657">
        <v>6</v>
      </c>
    </row>
    <row r="658" spans="2:4" x14ac:dyDescent="0.25">
      <c r="B658" t="s">
        <v>1096</v>
      </c>
      <c r="C658">
        <v>75</v>
      </c>
      <c r="D658">
        <v>8</v>
      </c>
    </row>
    <row r="659" spans="2:4" x14ac:dyDescent="0.25">
      <c r="B659" t="s">
        <v>1096</v>
      </c>
      <c r="C659">
        <v>75</v>
      </c>
      <c r="D659">
        <v>13</v>
      </c>
    </row>
    <row r="660" spans="2:4" x14ac:dyDescent="0.25">
      <c r="B660" t="s">
        <v>1096</v>
      </c>
      <c r="C660">
        <v>75</v>
      </c>
      <c r="D660">
        <v>14</v>
      </c>
    </row>
    <row r="661" spans="2:4" x14ac:dyDescent="0.25">
      <c r="B661" t="s">
        <v>1096</v>
      </c>
      <c r="C661">
        <v>76</v>
      </c>
      <c r="D661">
        <v>6</v>
      </c>
    </row>
    <row r="662" spans="2:4" x14ac:dyDescent="0.25">
      <c r="B662" t="s">
        <v>1096</v>
      </c>
      <c r="C662">
        <v>76</v>
      </c>
      <c r="D662">
        <v>8</v>
      </c>
    </row>
    <row r="663" spans="2:4" x14ac:dyDescent="0.25">
      <c r="B663" t="s">
        <v>1096</v>
      </c>
      <c r="C663">
        <v>76</v>
      </c>
      <c r="D663">
        <v>13</v>
      </c>
    </row>
    <row r="664" spans="2:4" x14ac:dyDescent="0.25">
      <c r="B664" t="s">
        <v>1096</v>
      </c>
      <c r="C664">
        <v>76</v>
      </c>
      <c r="D664">
        <v>14</v>
      </c>
    </row>
    <row r="665" spans="2:4" x14ac:dyDescent="0.25">
      <c r="B665" t="s">
        <v>1096</v>
      </c>
      <c r="C665">
        <v>77</v>
      </c>
      <c r="D665">
        <v>6</v>
      </c>
    </row>
    <row r="666" spans="2:4" x14ac:dyDescent="0.25">
      <c r="B666" t="s">
        <v>1096</v>
      </c>
      <c r="C666">
        <v>77</v>
      </c>
      <c r="D666">
        <v>8</v>
      </c>
    </row>
    <row r="667" spans="2:4" x14ac:dyDescent="0.25">
      <c r="B667" t="s">
        <v>1096</v>
      </c>
      <c r="C667">
        <v>77</v>
      </c>
      <c r="D667">
        <v>13</v>
      </c>
    </row>
    <row r="668" spans="2:4" x14ac:dyDescent="0.25">
      <c r="B668" t="s">
        <v>1096</v>
      </c>
      <c r="C668">
        <v>77</v>
      </c>
      <c r="D668">
        <v>14</v>
      </c>
    </row>
    <row r="669" spans="2:4" x14ac:dyDescent="0.25">
      <c r="B669" t="s">
        <v>1096</v>
      </c>
      <c r="C669">
        <v>78</v>
      </c>
      <c r="D669">
        <v>6</v>
      </c>
    </row>
    <row r="670" spans="2:4" x14ac:dyDescent="0.25">
      <c r="B670" t="s">
        <v>1096</v>
      </c>
      <c r="C670">
        <v>78</v>
      </c>
      <c r="D670">
        <v>8</v>
      </c>
    </row>
    <row r="671" spans="2:4" x14ac:dyDescent="0.25">
      <c r="B671" t="s">
        <v>1096</v>
      </c>
      <c r="C671">
        <v>78</v>
      </c>
      <c r="D671">
        <v>13</v>
      </c>
    </row>
    <row r="672" spans="2:4" x14ac:dyDescent="0.25">
      <c r="B672" t="s">
        <v>1096</v>
      </c>
      <c r="C672">
        <v>78</v>
      </c>
      <c r="D672">
        <v>14</v>
      </c>
    </row>
    <row r="673" spans="2:4" x14ac:dyDescent="0.25">
      <c r="B673" t="s">
        <v>1096</v>
      </c>
      <c r="C673">
        <v>79</v>
      </c>
      <c r="D673">
        <v>5</v>
      </c>
    </row>
    <row r="674" spans="2:4" x14ac:dyDescent="0.25">
      <c r="B674" t="s">
        <v>1096</v>
      </c>
      <c r="C674">
        <v>80</v>
      </c>
      <c r="D674">
        <v>6</v>
      </c>
    </row>
    <row r="675" spans="2:4" x14ac:dyDescent="0.25">
      <c r="B675" t="s">
        <v>1096</v>
      </c>
      <c r="C675">
        <v>80</v>
      </c>
      <c r="D675">
        <v>8</v>
      </c>
    </row>
    <row r="676" spans="2:4" x14ac:dyDescent="0.25">
      <c r="B676" t="s">
        <v>1096</v>
      </c>
      <c r="C676">
        <v>80</v>
      </c>
      <c r="D676">
        <v>13</v>
      </c>
    </row>
    <row r="677" spans="2:4" x14ac:dyDescent="0.25">
      <c r="B677" t="s">
        <v>1096</v>
      </c>
      <c r="C677">
        <v>80</v>
      </c>
      <c r="D677">
        <v>14</v>
      </c>
    </row>
    <row r="678" spans="2:4" x14ac:dyDescent="0.25">
      <c r="B678" t="s">
        <v>1096</v>
      </c>
      <c r="C678">
        <v>81</v>
      </c>
      <c r="D678">
        <v>6</v>
      </c>
    </row>
    <row r="679" spans="2:4" x14ac:dyDescent="0.25">
      <c r="B679" t="s">
        <v>1096</v>
      </c>
      <c r="C679">
        <v>81</v>
      </c>
      <c r="D679">
        <v>8</v>
      </c>
    </row>
    <row r="680" spans="2:4" x14ac:dyDescent="0.25">
      <c r="B680" t="s">
        <v>1096</v>
      </c>
      <c r="C680">
        <v>81</v>
      </c>
      <c r="D680">
        <v>13</v>
      </c>
    </row>
    <row r="681" spans="2:4" x14ac:dyDescent="0.25">
      <c r="B681" t="s">
        <v>1096</v>
      </c>
      <c r="C681">
        <v>81</v>
      </c>
      <c r="D681">
        <v>14</v>
      </c>
    </row>
    <row r="682" spans="2:4" x14ac:dyDescent="0.25">
      <c r="B682" t="s">
        <v>1096</v>
      </c>
      <c r="C682">
        <v>82</v>
      </c>
      <c r="D682">
        <v>6</v>
      </c>
    </row>
    <row r="683" spans="2:4" x14ac:dyDescent="0.25">
      <c r="B683" t="s">
        <v>1096</v>
      </c>
      <c r="C683">
        <v>82</v>
      </c>
      <c r="D683">
        <v>8</v>
      </c>
    </row>
    <row r="684" spans="2:4" x14ac:dyDescent="0.25">
      <c r="B684" t="s">
        <v>1096</v>
      </c>
      <c r="C684">
        <v>82</v>
      </c>
      <c r="D684">
        <v>13</v>
      </c>
    </row>
    <row r="685" spans="2:4" x14ac:dyDescent="0.25">
      <c r="B685" t="s">
        <v>1096</v>
      </c>
      <c r="C685">
        <v>82</v>
      </c>
      <c r="D685">
        <v>14</v>
      </c>
    </row>
    <row r="686" spans="2:4" x14ac:dyDescent="0.25">
      <c r="B686" t="s">
        <v>1096</v>
      </c>
      <c r="C686">
        <v>83</v>
      </c>
      <c r="D686">
        <v>5</v>
      </c>
    </row>
    <row r="687" spans="2:4" x14ac:dyDescent="0.25">
      <c r="B687" t="s">
        <v>1096</v>
      </c>
      <c r="C687">
        <v>84</v>
      </c>
      <c r="D687">
        <v>6</v>
      </c>
    </row>
    <row r="688" spans="2:4" x14ac:dyDescent="0.25">
      <c r="B688" t="s">
        <v>1096</v>
      </c>
      <c r="C688">
        <v>84</v>
      </c>
      <c r="D688">
        <v>8</v>
      </c>
    </row>
    <row r="689" spans="2:4" x14ac:dyDescent="0.25">
      <c r="B689" t="s">
        <v>1096</v>
      </c>
      <c r="C689">
        <v>84</v>
      </c>
      <c r="D689">
        <v>13</v>
      </c>
    </row>
    <row r="690" spans="2:4" x14ac:dyDescent="0.25">
      <c r="B690" t="s">
        <v>1096</v>
      </c>
      <c r="C690">
        <v>84</v>
      </c>
      <c r="D690">
        <v>14</v>
      </c>
    </row>
    <row r="691" spans="2:4" x14ac:dyDescent="0.25">
      <c r="B691" t="s">
        <v>1096</v>
      </c>
      <c r="C691">
        <v>85</v>
      </c>
      <c r="D691">
        <v>5</v>
      </c>
    </row>
    <row r="692" spans="2:4" x14ac:dyDescent="0.25">
      <c r="B692" t="s">
        <v>1096</v>
      </c>
      <c r="C692">
        <v>86</v>
      </c>
      <c r="D692">
        <v>6</v>
      </c>
    </row>
    <row r="693" spans="2:4" x14ac:dyDescent="0.25">
      <c r="B693" t="s">
        <v>1096</v>
      </c>
      <c r="C693">
        <v>86</v>
      </c>
      <c r="D693">
        <v>8</v>
      </c>
    </row>
    <row r="694" spans="2:4" x14ac:dyDescent="0.25">
      <c r="B694" t="s">
        <v>1096</v>
      </c>
      <c r="C694">
        <v>86</v>
      </c>
      <c r="D694">
        <v>13</v>
      </c>
    </row>
    <row r="695" spans="2:4" x14ac:dyDescent="0.25">
      <c r="B695" t="s">
        <v>1096</v>
      </c>
      <c r="C695">
        <v>86</v>
      </c>
      <c r="D695">
        <v>14</v>
      </c>
    </row>
    <row r="696" spans="2:4" x14ac:dyDescent="0.25">
      <c r="B696" t="s">
        <v>1096</v>
      </c>
      <c r="C696">
        <v>87</v>
      </c>
      <c r="D696">
        <v>6</v>
      </c>
    </row>
    <row r="697" spans="2:4" x14ac:dyDescent="0.25">
      <c r="B697" t="s">
        <v>1096</v>
      </c>
      <c r="C697">
        <v>87</v>
      </c>
      <c r="D697">
        <v>8</v>
      </c>
    </row>
    <row r="698" spans="2:4" x14ac:dyDescent="0.25">
      <c r="B698" t="s">
        <v>1096</v>
      </c>
      <c r="C698">
        <v>87</v>
      </c>
      <c r="D698">
        <v>13</v>
      </c>
    </row>
    <row r="699" spans="2:4" x14ac:dyDescent="0.25">
      <c r="B699" t="s">
        <v>1096</v>
      </c>
      <c r="C699">
        <v>87</v>
      </c>
      <c r="D699">
        <v>14</v>
      </c>
    </row>
    <row r="700" spans="2:4" x14ac:dyDescent="0.25">
      <c r="B700" t="s">
        <v>1096</v>
      </c>
      <c r="C700">
        <v>88</v>
      </c>
      <c r="D700">
        <v>5</v>
      </c>
    </row>
    <row r="701" spans="2:4" x14ac:dyDescent="0.25">
      <c r="B701" t="s">
        <v>1096</v>
      </c>
      <c r="C701">
        <v>89</v>
      </c>
      <c r="D701">
        <v>6</v>
      </c>
    </row>
    <row r="702" spans="2:4" x14ac:dyDescent="0.25">
      <c r="B702" t="s">
        <v>1096</v>
      </c>
      <c r="C702">
        <v>89</v>
      </c>
      <c r="D702">
        <v>8</v>
      </c>
    </row>
    <row r="703" spans="2:4" x14ac:dyDescent="0.25">
      <c r="B703" t="s">
        <v>1096</v>
      </c>
      <c r="C703">
        <v>89</v>
      </c>
      <c r="D703">
        <v>13</v>
      </c>
    </row>
    <row r="704" spans="2:4" x14ac:dyDescent="0.25">
      <c r="B704" t="s">
        <v>1096</v>
      </c>
      <c r="C704">
        <v>89</v>
      </c>
      <c r="D704">
        <v>14</v>
      </c>
    </row>
    <row r="705" spans="2:4" x14ac:dyDescent="0.25">
      <c r="B705" t="s">
        <v>1096</v>
      </c>
      <c r="C705">
        <v>91</v>
      </c>
      <c r="D705">
        <v>6</v>
      </c>
    </row>
    <row r="706" spans="2:4" x14ac:dyDescent="0.25">
      <c r="B706" t="s">
        <v>1096</v>
      </c>
      <c r="C706">
        <v>91</v>
      </c>
      <c r="D706">
        <v>8</v>
      </c>
    </row>
    <row r="707" spans="2:4" x14ac:dyDescent="0.25">
      <c r="B707" t="s">
        <v>1096</v>
      </c>
      <c r="C707">
        <v>91</v>
      </c>
      <c r="D707">
        <v>13</v>
      </c>
    </row>
    <row r="708" spans="2:4" x14ac:dyDescent="0.25">
      <c r="B708" t="s">
        <v>1096</v>
      </c>
      <c r="C708">
        <v>91</v>
      </c>
      <c r="D708">
        <v>14</v>
      </c>
    </row>
    <row r="709" spans="2:4" x14ac:dyDescent="0.25">
      <c r="B709" t="s">
        <v>1096</v>
      </c>
      <c r="C709">
        <v>93</v>
      </c>
      <c r="D709">
        <v>6</v>
      </c>
    </row>
    <row r="710" spans="2:4" x14ac:dyDescent="0.25">
      <c r="B710" t="s">
        <v>1096</v>
      </c>
      <c r="C710">
        <v>93</v>
      </c>
      <c r="D710">
        <v>8</v>
      </c>
    </row>
    <row r="711" spans="2:4" x14ac:dyDescent="0.25">
      <c r="B711" t="s">
        <v>1096</v>
      </c>
      <c r="C711">
        <v>93</v>
      </c>
      <c r="D711">
        <v>13</v>
      </c>
    </row>
    <row r="712" spans="2:4" x14ac:dyDescent="0.25">
      <c r="B712" t="s">
        <v>1096</v>
      </c>
      <c r="C712">
        <v>93</v>
      </c>
      <c r="D712">
        <v>14</v>
      </c>
    </row>
    <row r="713" spans="2:4" x14ac:dyDescent="0.25">
      <c r="B713" t="s">
        <v>1096</v>
      </c>
      <c r="C713">
        <v>94</v>
      </c>
      <c r="D713">
        <v>6</v>
      </c>
    </row>
    <row r="714" spans="2:4" x14ac:dyDescent="0.25">
      <c r="B714" t="s">
        <v>1096</v>
      </c>
      <c r="C714">
        <v>94</v>
      </c>
      <c r="D714">
        <v>8</v>
      </c>
    </row>
    <row r="715" spans="2:4" x14ac:dyDescent="0.25">
      <c r="B715" t="s">
        <v>1096</v>
      </c>
      <c r="C715">
        <v>94</v>
      </c>
      <c r="D715">
        <v>13</v>
      </c>
    </row>
    <row r="716" spans="2:4" x14ac:dyDescent="0.25">
      <c r="B716" t="s">
        <v>1096</v>
      </c>
      <c r="C716">
        <v>94</v>
      </c>
      <c r="D716">
        <v>14</v>
      </c>
    </row>
    <row r="717" spans="2:4" x14ac:dyDescent="0.25">
      <c r="B717" t="s">
        <v>1096</v>
      </c>
      <c r="C717">
        <v>95</v>
      </c>
      <c r="D717">
        <v>6</v>
      </c>
    </row>
    <row r="718" spans="2:4" x14ac:dyDescent="0.25">
      <c r="B718" t="s">
        <v>1096</v>
      </c>
      <c r="C718">
        <v>95</v>
      </c>
      <c r="D718">
        <v>8</v>
      </c>
    </row>
    <row r="719" spans="2:4" x14ac:dyDescent="0.25">
      <c r="B719" t="s">
        <v>1096</v>
      </c>
      <c r="C719">
        <v>95</v>
      </c>
      <c r="D719">
        <v>13</v>
      </c>
    </row>
    <row r="720" spans="2:4" x14ac:dyDescent="0.25">
      <c r="B720" t="s">
        <v>1096</v>
      </c>
      <c r="C720">
        <v>95</v>
      </c>
      <c r="D720">
        <v>14</v>
      </c>
    </row>
    <row r="721" spans="2:4" x14ac:dyDescent="0.25">
      <c r="B721" t="s">
        <v>1096</v>
      </c>
      <c r="C721">
        <v>96</v>
      </c>
      <c r="D721">
        <v>6</v>
      </c>
    </row>
    <row r="722" spans="2:4" x14ac:dyDescent="0.25">
      <c r="B722" t="s">
        <v>1096</v>
      </c>
      <c r="C722">
        <v>96</v>
      </c>
      <c r="D722">
        <v>8</v>
      </c>
    </row>
    <row r="723" spans="2:4" x14ac:dyDescent="0.25">
      <c r="B723" t="s">
        <v>1096</v>
      </c>
      <c r="C723">
        <v>96</v>
      </c>
      <c r="D723">
        <v>13</v>
      </c>
    </row>
    <row r="724" spans="2:4" x14ac:dyDescent="0.25">
      <c r="B724" t="s">
        <v>1096</v>
      </c>
      <c r="C724">
        <v>96</v>
      </c>
      <c r="D724">
        <v>14</v>
      </c>
    </row>
    <row r="725" spans="2:4" x14ac:dyDescent="0.25">
      <c r="B725" t="s">
        <v>1096</v>
      </c>
      <c r="C725">
        <v>97</v>
      </c>
      <c r="D725">
        <v>6</v>
      </c>
    </row>
    <row r="726" spans="2:4" x14ac:dyDescent="0.25">
      <c r="B726" t="s">
        <v>1096</v>
      </c>
      <c r="C726">
        <v>97</v>
      </c>
      <c r="D726">
        <v>8</v>
      </c>
    </row>
    <row r="727" spans="2:4" x14ac:dyDescent="0.25">
      <c r="B727" t="s">
        <v>1096</v>
      </c>
      <c r="C727">
        <v>97</v>
      </c>
      <c r="D727">
        <v>13</v>
      </c>
    </row>
    <row r="728" spans="2:4" x14ac:dyDescent="0.25">
      <c r="B728" t="s">
        <v>1096</v>
      </c>
      <c r="C728">
        <v>97</v>
      </c>
      <c r="D728">
        <v>14</v>
      </c>
    </row>
    <row r="729" spans="2:4" x14ac:dyDescent="0.25">
      <c r="B729" t="s">
        <v>1096</v>
      </c>
      <c r="C729">
        <v>98</v>
      </c>
      <c r="D729">
        <v>6</v>
      </c>
    </row>
    <row r="730" spans="2:4" x14ac:dyDescent="0.25">
      <c r="B730" t="s">
        <v>1096</v>
      </c>
      <c r="C730">
        <v>98</v>
      </c>
      <c r="D730">
        <v>8</v>
      </c>
    </row>
    <row r="731" spans="2:4" x14ac:dyDescent="0.25">
      <c r="B731" t="s">
        <v>1096</v>
      </c>
      <c r="C731">
        <v>98</v>
      </c>
      <c r="D731">
        <v>13</v>
      </c>
    </row>
    <row r="732" spans="2:4" x14ac:dyDescent="0.25">
      <c r="B732" t="s">
        <v>1096</v>
      </c>
      <c r="C732">
        <v>98</v>
      </c>
      <c r="D732">
        <v>14</v>
      </c>
    </row>
    <row r="733" spans="2:4" x14ac:dyDescent="0.25">
      <c r="B733" t="s">
        <v>1096</v>
      </c>
      <c r="C733">
        <v>99</v>
      </c>
      <c r="D733">
        <v>6</v>
      </c>
    </row>
    <row r="734" spans="2:4" x14ac:dyDescent="0.25">
      <c r="B734" t="s">
        <v>1096</v>
      </c>
      <c r="C734">
        <v>99</v>
      </c>
      <c r="D734">
        <v>8</v>
      </c>
    </row>
    <row r="735" spans="2:4" x14ac:dyDescent="0.25">
      <c r="B735" t="s">
        <v>1096</v>
      </c>
      <c r="C735">
        <v>99</v>
      </c>
      <c r="D735">
        <v>13</v>
      </c>
    </row>
    <row r="736" spans="2:4" x14ac:dyDescent="0.25">
      <c r="B736" t="s">
        <v>1096</v>
      </c>
      <c r="C736">
        <v>99</v>
      </c>
      <c r="D736">
        <v>14</v>
      </c>
    </row>
    <row r="737" spans="2:4" x14ac:dyDescent="0.25">
      <c r="B737" t="s">
        <v>1096</v>
      </c>
      <c r="C737">
        <v>101</v>
      </c>
      <c r="D737">
        <v>6</v>
      </c>
    </row>
    <row r="738" spans="2:4" x14ac:dyDescent="0.25">
      <c r="B738" t="s">
        <v>1096</v>
      </c>
      <c r="C738">
        <v>101</v>
      </c>
      <c r="D738">
        <v>8</v>
      </c>
    </row>
    <row r="739" spans="2:4" x14ac:dyDescent="0.25">
      <c r="B739" t="s">
        <v>1096</v>
      </c>
      <c r="C739">
        <v>101</v>
      </c>
      <c r="D739">
        <v>13</v>
      </c>
    </row>
    <row r="740" spans="2:4" x14ac:dyDescent="0.25">
      <c r="B740" t="s">
        <v>1096</v>
      </c>
      <c r="C740">
        <v>101</v>
      </c>
      <c r="D740">
        <v>14</v>
      </c>
    </row>
    <row r="741" spans="2:4" x14ac:dyDescent="0.25">
      <c r="B741" t="s">
        <v>1096</v>
      </c>
      <c r="C741">
        <v>102</v>
      </c>
      <c r="D741">
        <v>6</v>
      </c>
    </row>
    <row r="742" spans="2:4" x14ac:dyDescent="0.25">
      <c r="B742" t="s">
        <v>1096</v>
      </c>
      <c r="C742">
        <v>102</v>
      </c>
      <c r="D742">
        <v>8</v>
      </c>
    </row>
    <row r="743" spans="2:4" x14ac:dyDescent="0.25">
      <c r="B743" t="s">
        <v>1096</v>
      </c>
      <c r="C743">
        <v>102</v>
      </c>
      <c r="D743">
        <v>13</v>
      </c>
    </row>
    <row r="744" spans="2:4" x14ac:dyDescent="0.25">
      <c r="B744" t="s">
        <v>1096</v>
      </c>
      <c r="C744">
        <v>102</v>
      </c>
      <c r="D744">
        <v>14</v>
      </c>
    </row>
    <row r="745" spans="2:4" x14ac:dyDescent="0.25">
      <c r="B745" t="s">
        <v>1096</v>
      </c>
      <c r="C745">
        <v>103</v>
      </c>
      <c r="D745">
        <v>6</v>
      </c>
    </row>
    <row r="746" spans="2:4" x14ac:dyDescent="0.25">
      <c r="B746" t="s">
        <v>1096</v>
      </c>
      <c r="C746">
        <v>103</v>
      </c>
      <c r="D746">
        <v>8</v>
      </c>
    </row>
    <row r="747" spans="2:4" x14ac:dyDescent="0.25">
      <c r="B747" t="s">
        <v>1096</v>
      </c>
      <c r="C747">
        <v>103</v>
      </c>
      <c r="D747">
        <v>13</v>
      </c>
    </row>
    <row r="748" spans="2:4" x14ac:dyDescent="0.25">
      <c r="B748" t="s">
        <v>1096</v>
      </c>
      <c r="C748">
        <v>103</v>
      </c>
      <c r="D748">
        <v>14</v>
      </c>
    </row>
    <row r="749" spans="2:4" x14ac:dyDescent="0.25">
      <c r="B749" t="s">
        <v>1096</v>
      </c>
      <c r="C749">
        <v>104</v>
      </c>
      <c r="D749">
        <v>6</v>
      </c>
    </row>
    <row r="750" spans="2:4" x14ac:dyDescent="0.25">
      <c r="B750" t="s">
        <v>1096</v>
      </c>
      <c r="C750">
        <v>104</v>
      </c>
      <c r="D750">
        <v>8</v>
      </c>
    </row>
    <row r="751" spans="2:4" x14ac:dyDescent="0.25">
      <c r="B751" t="s">
        <v>1096</v>
      </c>
      <c r="C751">
        <v>104</v>
      </c>
      <c r="D751">
        <v>13</v>
      </c>
    </row>
    <row r="752" spans="2:4" x14ac:dyDescent="0.25">
      <c r="B752" t="s">
        <v>1096</v>
      </c>
      <c r="C752">
        <v>104</v>
      </c>
      <c r="D752">
        <v>14</v>
      </c>
    </row>
    <row r="753" spans="2:4" x14ac:dyDescent="0.25">
      <c r="B753" t="s">
        <v>1096</v>
      </c>
      <c r="C753">
        <v>105</v>
      </c>
      <c r="D753">
        <v>6</v>
      </c>
    </row>
    <row r="754" spans="2:4" x14ac:dyDescent="0.25">
      <c r="B754" t="s">
        <v>1096</v>
      </c>
      <c r="C754">
        <v>105</v>
      </c>
      <c r="D754">
        <v>8</v>
      </c>
    </row>
    <row r="755" spans="2:4" x14ac:dyDescent="0.25">
      <c r="B755" t="s">
        <v>1096</v>
      </c>
      <c r="C755">
        <v>105</v>
      </c>
      <c r="D755">
        <v>13</v>
      </c>
    </row>
    <row r="756" spans="2:4" x14ac:dyDescent="0.25">
      <c r="B756" t="s">
        <v>1096</v>
      </c>
      <c r="C756">
        <v>105</v>
      </c>
      <c r="D756">
        <v>14</v>
      </c>
    </row>
    <row r="757" spans="2:4" x14ac:dyDescent="0.25">
      <c r="B757" t="s">
        <v>1096</v>
      </c>
      <c r="C757">
        <v>106</v>
      </c>
      <c r="D757">
        <v>6</v>
      </c>
    </row>
    <row r="758" spans="2:4" x14ac:dyDescent="0.25">
      <c r="B758" t="s">
        <v>1096</v>
      </c>
      <c r="C758">
        <v>106</v>
      </c>
      <c r="D758">
        <v>8</v>
      </c>
    </row>
    <row r="759" spans="2:4" x14ac:dyDescent="0.25">
      <c r="B759" t="s">
        <v>1096</v>
      </c>
      <c r="C759">
        <v>106</v>
      </c>
      <c r="D759">
        <v>13</v>
      </c>
    </row>
    <row r="760" spans="2:4" x14ac:dyDescent="0.25">
      <c r="B760" t="s">
        <v>1096</v>
      </c>
      <c r="C760">
        <v>106</v>
      </c>
      <c r="D760">
        <v>14</v>
      </c>
    </row>
    <row r="761" spans="2:4" x14ac:dyDescent="0.25">
      <c r="B761" t="s">
        <v>1096</v>
      </c>
      <c r="C761">
        <v>107</v>
      </c>
      <c r="D761">
        <v>6</v>
      </c>
    </row>
    <row r="762" spans="2:4" x14ac:dyDescent="0.25">
      <c r="B762" t="s">
        <v>1096</v>
      </c>
      <c r="C762">
        <v>107</v>
      </c>
      <c r="D762">
        <v>8</v>
      </c>
    </row>
    <row r="763" spans="2:4" x14ac:dyDescent="0.25">
      <c r="B763" t="s">
        <v>1096</v>
      </c>
      <c r="C763">
        <v>107</v>
      </c>
      <c r="D763">
        <v>13</v>
      </c>
    </row>
    <row r="764" spans="2:4" x14ac:dyDescent="0.25">
      <c r="B764" t="s">
        <v>1096</v>
      </c>
      <c r="C764">
        <v>107</v>
      </c>
      <c r="D764">
        <v>14</v>
      </c>
    </row>
    <row r="765" spans="2:4" x14ac:dyDescent="0.25">
      <c r="B765" t="s">
        <v>1096</v>
      </c>
      <c r="C765">
        <v>109</v>
      </c>
      <c r="D765">
        <v>6</v>
      </c>
    </row>
    <row r="766" spans="2:4" x14ac:dyDescent="0.25">
      <c r="B766" t="s">
        <v>1096</v>
      </c>
      <c r="C766">
        <v>109</v>
      </c>
      <c r="D766">
        <v>8</v>
      </c>
    </row>
    <row r="767" spans="2:4" x14ac:dyDescent="0.25">
      <c r="B767" t="s">
        <v>1096</v>
      </c>
      <c r="C767">
        <v>109</v>
      </c>
      <c r="D767">
        <v>13</v>
      </c>
    </row>
    <row r="768" spans="2:4" x14ac:dyDescent="0.25">
      <c r="B768" t="s">
        <v>1096</v>
      </c>
      <c r="C768">
        <v>109</v>
      </c>
      <c r="D768">
        <v>14</v>
      </c>
    </row>
    <row r="769" spans="2:4" x14ac:dyDescent="0.25">
      <c r="B769" t="s">
        <v>1096</v>
      </c>
      <c r="C769">
        <v>110</v>
      </c>
      <c r="D769">
        <v>6</v>
      </c>
    </row>
    <row r="770" spans="2:4" x14ac:dyDescent="0.25">
      <c r="B770" t="s">
        <v>1096</v>
      </c>
      <c r="C770">
        <v>110</v>
      </c>
      <c r="D770">
        <v>8</v>
      </c>
    </row>
    <row r="771" spans="2:4" x14ac:dyDescent="0.25">
      <c r="B771" t="s">
        <v>1096</v>
      </c>
      <c r="C771">
        <v>110</v>
      </c>
      <c r="D771">
        <v>13</v>
      </c>
    </row>
    <row r="772" spans="2:4" x14ac:dyDescent="0.25">
      <c r="B772" t="s">
        <v>1096</v>
      </c>
      <c r="C772">
        <v>110</v>
      </c>
      <c r="D772">
        <v>14</v>
      </c>
    </row>
    <row r="773" spans="2:4" x14ac:dyDescent="0.25">
      <c r="B773" t="s">
        <v>1096</v>
      </c>
      <c r="C773">
        <v>111</v>
      </c>
      <c r="D773">
        <v>6</v>
      </c>
    </row>
    <row r="774" spans="2:4" x14ac:dyDescent="0.25">
      <c r="B774" t="s">
        <v>1096</v>
      </c>
      <c r="C774">
        <v>111</v>
      </c>
      <c r="D774">
        <v>8</v>
      </c>
    </row>
    <row r="775" spans="2:4" x14ac:dyDescent="0.25">
      <c r="B775" t="s">
        <v>1096</v>
      </c>
      <c r="C775">
        <v>111</v>
      </c>
      <c r="D775">
        <v>13</v>
      </c>
    </row>
    <row r="776" spans="2:4" x14ac:dyDescent="0.25">
      <c r="B776" t="s">
        <v>1096</v>
      </c>
      <c r="C776">
        <v>111</v>
      </c>
      <c r="D776">
        <v>14</v>
      </c>
    </row>
    <row r="777" spans="2:4" x14ac:dyDescent="0.25">
      <c r="B777" t="s">
        <v>1096</v>
      </c>
      <c r="C777">
        <v>112</v>
      </c>
      <c r="D777">
        <v>6</v>
      </c>
    </row>
    <row r="778" spans="2:4" x14ac:dyDescent="0.25">
      <c r="B778" t="s">
        <v>1096</v>
      </c>
      <c r="C778">
        <v>112</v>
      </c>
      <c r="D778">
        <v>8</v>
      </c>
    </row>
    <row r="779" spans="2:4" x14ac:dyDescent="0.25">
      <c r="B779" t="s">
        <v>1096</v>
      </c>
      <c r="C779">
        <v>112</v>
      </c>
      <c r="D779">
        <v>13</v>
      </c>
    </row>
    <row r="780" spans="2:4" x14ac:dyDescent="0.25">
      <c r="B780" t="s">
        <v>1096</v>
      </c>
      <c r="C780">
        <v>112</v>
      </c>
      <c r="D780">
        <v>14</v>
      </c>
    </row>
    <row r="781" spans="2:4" x14ac:dyDescent="0.25">
      <c r="B781" t="s">
        <v>1096</v>
      </c>
      <c r="C781">
        <v>113</v>
      </c>
      <c r="D781">
        <v>6</v>
      </c>
    </row>
    <row r="782" spans="2:4" x14ac:dyDescent="0.25">
      <c r="B782" t="s">
        <v>1096</v>
      </c>
      <c r="C782">
        <v>113</v>
      </c>
      <c r="D782">
        <v>8</v>
      </c>
    </row>
    <row r="783" spans="2:4" x14ac:dyDescent="0.25">
      <c r="B783" t="s">
        <v>1096</v>
      </c>
      <c r="C783">
        <v>113</v>
      </c>
      <c r="D783">
        <v>13</v>
      </c>
    </row>
    <row r="784" spans="2:4" x14ac:dyDescent="0.25">
      <c r="B784" t="s">
        <v>1096</v>
      </c>
      <c r="C784">
        <v>113</v>
      </c>
      <c r="D784">
        <v>14</v>
      </c>
    </row>
    <row r="785" spans="2:4" x14ac:dyDescent="0.25">
      <c r="B785" t="s">
        <v>1096</v>
      </c>
      <c r="C785">
        <v>114</v>
      </c>
      <c r="D785">
        <v>6</v>
      </c>
    </row>
    <row r="786" spans="2:4" x14ac:dyDescent="0.25">
      <c r="B786" t="s">
        <v>1096</v>
      </c>
      <c r="C786">
        <v>114</v>
      </c>
      <c r="D786">
        <v>8</v>
      </c>
    </row>
    <row r="787" spans="2:4" x14ac:dyDescent="0.25">
      <c r="B787" t="s">
        <v>1096</v>
      </c>
      <c r="C787">
        <v>114</v>
      </c>
      <c r="D787">
        <v>13</v>
      </c>
    </row>
    <row r="788" spans="2:4" x14ac:dyDescent="0.25">
      <c r="B788" t="s">
        <v>1096</v>
      </c>
      <c r="C788">
        <v>114</v>
      </c>
      <c r="D788">
        <v>14</v>
      </c>
    </row>
    <row r="789" spans="2:4" x14ac:dyDescent="0.25">
      <c r="B789" t="s">
        <v>1096</v>
      </c>
      <c r="C789">
        <v>115</v>
      </c>
      <c r="D789">
        <v>6</v>
      </c>
    </row>
    <row r="790" spans="2:4" x14ac:dyDescent="0.25">
      <c r="B790" t="s">
        <v>1096</v>
      </c>
      <c r="C790">
        <v>115</v>
      </c>
      <c r="D790">
        <v>8</v>
      </c>
    </row>
    <row r="791" spans="2:4" x14ac:dyDescent="0.25">
      <c r="B791" t="s">
        <v>1096</v>
      </c>
      <c r="C791">
        <v>115</v>
      </c>
      <c r="D791">
        <v>13</v>
      </c>
    </row>
    <row r="792" spans="2:4" x14ac:dyDescent="0.25">
      <c r="B792" t="s">
        <v>1096</v>
      </c>
      <c r="C792">
        <v>115</v>
      </c>
      <c r="D792">
        <v>14</v>
      </c>
    </row>
    <row r="793" spans="2:4" x14ac:dyDescent="0.25">
      <c r="B793" t="s">
        <v>1096</v>
      </c>
      <c r="C793">
        <v>117</v>
      </c>
      <c r="D793">
        <v>6</v>
      </c>
    </row>
    <row r="794" spans="2:4" x14ac:dyDescent="0.25">
      <c r="B794" t="s">
        <v>1096</v>
      </c>
      <c r="C794">
        <v>117</v>
      </c>
      <c r="D794">
        <v>8</v>
      </c>
    </row>
    <row r="795" spans="2:4" x14ac:dyDescent="0.25">
      <c r="B795" t="s">
        <v>1096</v>
      </c>
      <c r="C795">
        <v>117</v>
      </c>
      <c r="D795">
        <v>13</v>
      </c>
    </row>
    <row r="796" spans="2:4" x14ac:dyDescent="0.25">
      <c r="B796" t="s">
        <v>1096</v>
      </c>
      <c r="C796">
        <v>117</v>
      </c>
      <c r="D796">
        <v>14</v>
      </c>
    </row>
    <row r="797" spans="2:4" x14ac:dyDescent="0.25">
      <c r="B797" t="s">
        <v>1096</v>
      </c>
      <c r="C797">
        <v>118</v>
      </c>
      <c r="D797">
        <v>6</v>
      </c>
    </row>
    <row r="798" spans="2:4" x14ac:dyDescent="0.25">
      <c r="B798" t="s">
        <v>1096</v>
      </c>
      <c r="C798">
        <v>118</v>
      </c>
      <c r="D798">
        <v>8</v>
      </c>
    </row>
    <row r="799" spans="2:4" x14ac:dyDescent="0.25">
      <c r="B799" t="s">
        <v>1096</v>
      </c>
      <c r="C799">
        <v>118</v>
      </c>
      <c r="D799">
        <v>13</v>
      </c>
    </row>
    <row r="800" spans="2:4" x14ac:dyDescent="0.25">
      <c r="B800" t="s">
        <v>1096</v>
      </c>
      <c r="C800">
        <v>118</v>
      </c>
      <c r="D800">
        <v>14</v>
      </c>
    </row>
    <row r="801" spans="2:4" x14ac:dyDescent="0.25">
      <c r="B801" t="s">
        <v>1096</v>
      </c>
      <c r="C801">
        <v>119</v>
      </c>
      <c r="D801">
        <v>6</v>
      </c>
    </row>
    <row r="802" spans="2:4" x14ac:dyDescent="0.25">
      <c r="B802" t="s">
        <v>1096</v>
      </c>
      <c r="C802">
        <v>119</v>
      </c>
      <c r="D802">
        <v>8</v>
      </c>
    </row>
    <row r="803" spans="2:4" x14ac:dyDescent="0.25">
      <c r="B803" t="s">
        <v>1096</v>
      </c>
      <c r="C803">
        <v>119</v>
      </c>
      <c r="D803">
        <v>13</v>
      </c>
    </row>
    <row r="804" spans="2:4" x14ac:dyDescent="0.25">
      <c r="B804" t="s">
        <v>1096</v>
      </c>
      <c r="C804">
        <v>119</v>
      </c>
      <c r="D804">
        <v>14</v>
      </c>
    </row>
    <row r="805" spans="2:4" x14ac:dyDescent="0.25">
      <c r="B805" t="s">
        <v>1096</v>
      </c>
      <c r="C805">
        <v>120</v>
      </c>
      <c r="D805">
        <v>6</v>
      </c>
    </row>
    <row r="806" spans="2:4" x14ac:dyDescent="0.25">
      <c r="B806" t="s">
        <v>1096</v>
      </c>
      <c r="C806">
        <v>120</v>
      </c>
      <c r="D806">
        <v>8</v>
      </c>
    </row>
    <row r="807" spans="2:4" x14ac:dyDescent="0.25">
      <c r="B807" t="s">
        <v>1096</v>
      </c>
      <c r="C807">
        <v>120</v>
      </c>
      <c r="D807">
        <v>13</v>
      </c>
    </row>
    <row r="808" spans="2:4" x14ac:dyDescent="0.25">
      <c r="B808" t="s">
        <v>1096</v>
      </c>
      <c r="C808">
        <v>120</v>
      </c>
      <c r="D808">
        <v>14</v>
      </c>
    </row>
    <row r="809" spans="2:4" x14ac:dyDescent="0.25">
      <c r="B809" t="s">
        <v>1096</v>
      </c>
      <c r="C809">
        <v>122</v>
      </c>
      <c r="D809">
        <v>6</v>
      </c>
    </row>
    <row r="810" spans="2:4" x14ac:dyDescent="0.25">
      <c r="B810" t="s">
        <v>1096</v>
      </c>
      <c r="C810">
        <v>122</v>
      </c>
      <c r="D810">
        <v>8</v>
      </c>
    </row>
    <row r="811" spans="2:4" x14ac:dyDescent="0.25">
      <c r="B811" t="s">
        <v>1096</v>
      </c>
      <c r="C811">
        <v>122</v>
      </c>
      <c r="D811">
        <v>13</v>
      </c>
    </row>
    <row r="812" spans="2:4" x14ac:dyDescent="0.25">
      <c r="B812" t="s">
        <v>1096</v>
      </c>
      <c r="C812">
        <v>122</v>
      </c>
      <c r="D812">
        <v>14</v>
      </c>
    </row>
    <row r="813" spans="2:4" x14ac:dyDescent="0.25">
      <c r="B813" t="s">
        <v>1096</v>
      </c>
      <c r="C813">
        <v>123</v>
      </c>
      <c r="D813">
        <v>6</v>
      </c>
    </row>
    <row r="814" spans="2:4" x14ac:dyDescent="0.25">
      <c r="B814" t="s">
        <v>1096</v>
      </c>
      <c r="C814">
        <v>123</v>
      </c>
      <c r="D814">
        <v>8</v>
      </c>
    </row>
    <row r="815" spans="2:4" x14ac:dyDescent="0.25">
      <c r="B815" t="s">
        <v>1096</v>
      </c>
      <c r="C815">
        <v>123</v>
      </c>
      <c r="D815">
        <v>13</v>
      </c>
    </row>
    <row r="816" spans="2:4" x14ac:dyDescent="0.25">
      <c r="B816" t="s">
        <v>1096</v>
      </c>
      <c r="C816">
        <v>123</v>
      </c>
      <c r="D816">
        <v>14</v>
      </c>
    </row>
    <row r="817" spans="2:4" x14ac:dyDescent="0.25">
      <c r="B817" t="s">
        <v>1096</v>
      </c>
      <c r="C817">
        <v>124</v>
      </c>
      <c r="D817">
        <v>6</v>
      </c>
    </row>
    <row r="818" spans="2:4" x14ac:dyDescent="0.25">
      <c r="B818" t="s">
        <v>1096</v>
      </c>
      <c r="C818">
        <v>124</v>
      </c>
      <c r="D818">
        <v>8</v>
      </c>
    </row>
    <row r="819" spans="2:4" x14ac:dyDescent="0.25">
      <c r="B819" t="s">
        <v>1096</v>
      </c>
      <c r="C819">
        <v>124</v>
      </c>
      <c r="D819">
        <v>13</v>
      </c>
    </row>
    <row r="820" spans="2:4" x14ac:dyDescent="0.25">
      <c r="B820" t="s">
        <v>1096</v>
      </c>
      <c r="C820">
        <v>124</v>
      </c>
      <c r="D820">
        <v>14</v>
      </c>
    </row>
    <row r="821" spans="2:4" x14ac:dyDescent="0.25">
      <c r="B821" t="s">
        <v>1096</v>
      </c>
      <c r="C821">
        <v>125</v>
      </c>
      <c r="D821">
        <v>6</v>
      </c>
    </row>
    <row r="822" spans="2:4" x14ac:dyDescent="0.25">
      <c r="B822" t="s">
        <v>1096</v>
      </c>
      <c r="C822">
        <v>125</v>
      </c>
      <c r="D822">
        <v>8</v>
      </c>
    </row>
    <row r="823" spans="2:4" x14ac:dyDescent="0.25">
      <c r="B823" t="s">
        <v>1096</v>
      </c>
      <c r="C823">
        <v>125</v>
      </c>
      <c r="D823">
        <v>13</v>
      </c>
    </row>
    <row r="824" spans="2:4" x14ac:dyDescent="0.25">
      <c r="B824" t="s">
        <v>1096</v>
      </c>
      <c r="C824">
        <v>125</v>
      </c>
      <c r="D824">
        <v>14</v>
      </c>
    </row>
    <row r="825" spans="2:4" x14ac:dyDescent="0.25">
      <c r="B825" t="s">
        <v>1096</v>
      </c>
      <c r="C825">
        <v>126</v>
      </c>
      <c r="D825">
        <v>6</v>
      </c>
    </row>
    <row r="826" spans="2:4" x14ac:dyDescent="0.25">
      <c r="B826" t="s">
        <v>1096</v>
      </c>
      <c r="C826">
        <v>126</v>
      </c>
      <c r="D826">
        <v>8</v>
      </c>
    </row>
    <row r="827" spans="2:4" x14ac:dyDescent="0.25">
      <c r="B827" t="s">
        <v>1096</v>
      </c>
      <c r="C827">
        <v>126</v>
      </c>
      <c r="D827">
        <v>13</v>
      </c>
    </row>
    <row r="828" spans="2:4" x14ac:dyDescent="0.25">
      <c r="B828" t="s">
        <v>1096</v>
      </c>
      <c r="C828">
        <v>126</v>
      </c>
      <c r="D828">
        <v>14</v>
      </c>
    </row>
    <row r="829" spans="2:4" x14ac:dyDescent="0.25">
      <c r="B829" t="s">
        <v>1096</v>
      </c>
      <c r="C829">
        <v>127</v>
      </c>
      <c r="D829">
        <v>6</v>
      </c>
    </row>
    <row r="830" spans="2:4" x14ac:dyDescent="0.25">
      <c r="B830" t="s">
        <v>1096</v>
      </c>
      <c r="C830">
        <v>127</v>
      </c>
      <c r="D830">
        <v>8</v>
      </c>
    </row>
    <row r="831" spans="2:4" x14ac:dyDescent="0.25">
      <c r="B831" t="s">
        <v>1096</v>
      </c>
      <c r="C831">
        <v>127</v>
      </c>
      <c r="D831">
        <v>13</v>
      </c>
    </row>
    <row r="832" spans="2:4" x14ac:dyDescent="0.25">
      <c r="B832" t="s">
        <v>1096</v>
      </c>
      <c r="C832">
        <v>127</v>
      </c>
      <c r="D832">
        <v>14</v>
      </c>
    </row>
    <row r="833" spans="2:4" x14ac:dyDescent="0.25">
      <c r="B833" t="s">
        <v>1096</v>
      </c>
      <c r="C833">
        <v>128</v>
      </c>
      <c r="D833">
        <v>6</v>
      </c>
    </row>
    <row r="834" spans="2:4" x14ac:dyDescent="0.25">
      <c r="B834" t="s">
        <v>1096</v>
      </c>
      <c r="C834">
        <v>128</v>
      </c>
      <c r="D834">
        <v>8</v>
      </c>
    </row>
    <row r="835" spans="2:4" x14ac:dyDescent="0.25">
      <c r="B835" t="s">
        <v>1096</v>
      </c>
      <c r="C835">
        <v>128</v>
      </c>
      <c r="D835">
        <v>13</v>
      </c>
    </row>
    <row r="836" spans="2:4" x14ac:dyDescent="0.25">
      <c r="B836" t="s">
        <v>1096</v>
      </c>
      <c r="C836">
        <v>128</v>
      </c>
      <c r="D836">
        <v>14</v>
      </c>
    </row>
    <row r="837" spans="2:4" x14ac:dyDescent="0.25">
      <c r="B837" t="s">
        <v>1096</v>
      </c>
      <c r="C837">
        <v>130</v>
      </c>
      <c r="D837">
        <v>6</v>
      </c>
    </row>
    <row r="838" spans="2:4" x14ac:dyDescent="0.25">
      <c r="B838" t="s">
        <v>1096</v>
      </c>
      <c r="C838">
        <v>130</v>
      </c>
      <c r="D838">
        <v>8</v>
      </c>
    </row>
    <row r="839" spans="2:4" x14ac:dyDescent="0.25">
      <c r="B839" t="s">
        <v>1096</v>
      </c>
      <c r="C839">
        <v>130</v>
      </c>
      <c r="D839">
        <v>13</v>
      </c>
    </row>
    <row r="840" spans="2:4" x14ac:dyDescent="0.25">
      <c r="B840" t="s">
        <v>1096</v>
      </c>
      <c r="C840">
        <v>130</v>
      </c>
      <c r="D840">
        <v>14</v>
      </c>
    </row>
    <row r="841" spans="2:4" x14ac:dyDescent="0.25">
      <c r="B841" t="s">
        <v>1096</v>
      </c>
      <c r="C841">
        <v>131</v>
      </c>
      <c r="D841">
        <v>6</v>
      </c>
    </row>
    <row r="842" spans="2:4" x14ac:dyDescent="0.25">
      <c r="B842" t="s">
        <v>1096</v>
      </c>
      <c r="C842">
        <v>131</v>
      </c>
      <c r="D842">
        <v>8</v>
      </c>
    </row>
    <row r="843" spans="2:4" x14ac:dyDescent="0.25">
      <c r="B843" t="s">
        <v>1096</v>
      </c>
      <c r="C843">
        <v>131</v>
      </c>
      <c r="D843">
        <v>13</v>
      </c>
    </row>
    <row r="844" spans="2:4" x14ac:dyDescent="0.25">
      <c r="B844" t="s">
        <v>1096</v>
      </c>
      <c r="C844">
        <v>131</v>
      </c>
      <c r="D844">
        <v>14</v>
      </c>
    </row>
    <row r="845" spans="2:4" x14ac:dyDescent="0.25">
      <c r="B845" t="s">
        <v>1096</v>
      </c>
      <c r="C845">
        <v>132</v>
      </c>
      <c r="D845">
        <v>6</v>
      </c>
    </row>
    <row r="846" spans="2:4" x14ac:dyDescent="0.25">
      <c r="B846" t="s">
        <v>1096</v>
      </c>
      <c r="C846">
        <v>132</v>
      </c>
      <c r="D846">
        <v>8</v>
      </c>
    </row>
    <row r="847" spans="2:4" x14ac:dyDescent="0.25">
      <c r="B847" t="s">
        <v>1096</v>
      </c>
      <c r="C847">
        <v>132</v>
      </c>
      <c r="D847">
        <v>13</v>
      </c>
    </row>
    <row r="848" spans="2:4" x14ac:dyDescent="0.25">
      <c r="B848" t="s">
        <v>1096</v>
      </c>
      <c r="C848">
        <v>132</v>
      </c>
      <c r="D848">
        <v>14</v>
      </c>
    </row>
    <row r="849" spans="2:4" x14ac:dyDescent="0.25">
      <c r="B849" t="s">
        <v>1096</v>
      </c>
      <c r="C849">
        <v>133</v>
      </c>
      <c r="D849">
        <v>6</v>
      </c>
    </row>
    <row r="850" spans="2:4" x14ac:dyDescent="0.25">
      <c r="B850" t="s">
        <v>1096</v>
      </c>
      <c r="C850">
        <v>133</v>
      </c>
      <c r="D850">
        <v>8</v>
      </c>
    </row>
    <row r="851" spans="2:4" x14ac:dyDescent="0.25">
      <c r="B851" t="s">
        <v>1096</v>
      </c>
      <c r="C851">
        <v>133</v>
      </c>
      <c r="D851">
        <v>13</v>
      </c>
    </row>
    <row r="852" spans="2:4" x14ac:dyDescent="0.25">
      <c r="B852" t="s">
        <v>1096</v>
      </c>
      <c r="C852">
        <v>133</v>
      </c>
      <c r="D852">
        <v>14</v>
      </c>
    </row>
    <row r="853" spans="2:4" x14ac:dyDescent="0.25">
      <c r="B853" t="s">
        <v>1096</v>
      </c>
      <c r="C853">
        <v>134</v>
      </c>
      <c r="D853">
        <v>6</v>
      </c>
    </row>
    <row r="854" spans="2:4" x14ac:dyDescent="0.25">
      <c r="B854" t="s">
        <v>1096</v>
      </c>
      <c r="C854">
        <v>134</v>
      </c>
      <c r="D854">
        <v>8</v>
      </c>
    </row>
    <row r="855" spans="2:4" x14ac:dyDescent="0.25">
      <c r="B855" t="s">
        <v>1096</v>
      </c>
      <c r="C855">
        <v>134</v>
      </c>
      <c r="D855">
        <v>13</v>
      </c>
    </row>
    <row r="856" spans="2:4" x14ac:dyDescent="0.25">
      <c r="B856" t="s">
        <v>1096</v>
      </c>
      <c r="C856">
        <v>134</v>
      </c>
      <c r="D856">
        <v>14</v>
      </c>
    </row>
    <row r="857" spans="2:4" x14ac:dyDescent="0.25">
      <c r="B857" t="s">
        <v>1096</v>
      </c>
      <c r="C857">
        <v>135</v>
      </c>
      <c r="D857">
        <v>6</v>
      </c>
    </row>
    <row r="858" spans="2:4" x14ac:dyDescent="0.25">
      <c r="B858" t="s">
        <v>1096</v>
      </c>
      <c r="C858">
        <v>135</v>
      </c>
      <c r="D858">
        <v>8</v>
      </c>
    </row>
    <row r="859" spans="2:4" x14ac:dyDescent="0.25">
      <c r="B859" t="s">
        <v>1096</v>
      </c>
      <c r="C859">
        <v>135</v>
      </c>
      <c r="D859">
        <v>13</v>
      </c>
    </row>
    <row r="860" spans="2:4" x14ac:dyDescent="0.25">
      <c r="B860" t="s">
        <v>1096</v>
      </c>
      <c r="C860">
        <v>135</v>
      </c>
      <c r="D860">
        <v>14</v>
      </c>
    </row>
    <row r="861" spans="2:4" x14ac:dyDescent="0.25">
      <c r="B861" t="s">
        <v>1096</v>
      </c>
      <c r="C861">
        <v>136</v>
      </c>
      <c r="D861">
        <v>6</v>
      </c>
    </row>
    <row r="862" spans="2:4" x14ac:dyDescent="0.25">
      <c r="B862" t="s">
        <v>1096</v>
      </c>
      <c r="C862">
        <v>136</v>
      </c>
      <c r="D862">
        <v>8</v>
      </c>
    </row>
    <row r="863" spans="2:4" x14ac:dyDescent="0.25">
      <c r="B863" t="s">
        <v>1096</v>
      </c>
      <c r="C863">
        <v>136</v>
      </c>
      <c r="D863">
        <v>13</v>
      </c>
    </row>
    <row r="864" spans="2:4" x14ac:dyDescent="0.25">
      <c r="B864" t="s">
        <v>1096</v>
      </c>
      <c r="C864">
        <v>136</v>
      </c>
      <c r="D864">
        <v>14</v>
      </c>
    </row>
    <row r="865" spans="2:4" x14ac:dyDescent="0.25">
      <c r="B865" t="s">
        <v>1096</v>
      </c>
      <c r="C865">
        <v>138</v>
      </c>
      <c r="D865">
        <v>6</v>
      </c>
    </row>
    <row r="866" spans="2:4" x14ac:dyDescent="0.25">
      <c r="B866" t="s">
        <v>1096</v>
      </c>
      <c r="C866">
        <v>138</v>
      </c>
      <c r="D866">
        <v>8</v>
      </c>
    </row>
    <row r="867" spans="2:4" x14ac:dyDescent="0.25">
      <c r="B867" t="s">
        <v>1096</v>
      </c>
      <c r="C867">
        <v>138</v>
      </c>
      <c r="D867">
        <v>13</v>
      </c>
    </row>
    <row r="868" spans="2:4" x14ac:dyDescent="0.25">
      <c r="B868" t="s">
        <v>1096</v>
      </c>
      <c r="C868">
        <v>138</v>
      </c>
      <c r="D868">
        <v>14</v>
      </c>
    </row>
    <row r="869" spans="2:4" x14ac:dyDescent="0.25">
      <c r="B869" t="s">
        <v>1096</v>
      </c>
      <c r="C869">
        <v>139</v>
      </c>
      <c r="D869">
        <v>6</v>
      </c>
    </row>
    <row r="870" spans="2:4" x14ac:dyDescent="0.25">
      <c r="B870" t="s">
        <v>1096</v>
      </c>
      <c r="C870">
        <v>139</v>
      </c>
      <c r="D870">
        <v>8</v>
      </c>
    </row>
    <row r="871" spans="2:4" x14ac:dyDescent="0.25">
      <c r="B871" t="s">
        <v>1096</v>
      </c>
      <c r="C871">
        <v>139</v>
      </c>
      <c r="D871">
        <v>13</v>
      </c>
    </row>
    <row r="872" spans="2:4" x14ac:dyDescent="0.25">
      <c r="B872" t="s">
        <v>1096</v>
      </c>
      <c r="C872">
        <v>139</v>
      </c>
      <c r="D872">
        <v>14</v>
      </c>
    </row>
    <row r="873" spans="2:4" x14ac:dyDescent="0.25">
      <c r="B873" t="s">
        <v>1096</v>
      </c>
      <c r="C873">
        <v>140</v>
      </c>
      <c r="D873">
        <v>6</v>
      </c>
    </row>
    <row r="874" spans="2:4" x14ac:dyDescent="0.25">
      <c r="B874" t="s">
        <v>1096</v>
      </c>
      <c r="C874">
        <v>140</v>
      </c>
      <c r="D874">
        <v>8</v>
      </c>
    </row>
    <row r="875" spans="2:4" x14ac:dyDescent="0.25">
      <c r="B875" t="s">
        <v>1096</v>
      </c>
      <c r="C875">
        <v>140</v>
      </c>
      <c r="D875">
        <v>13</v>
      </c>
    </row>
    <row r="876" spans="2:4" x14ac:dyDescent="0.25">
      <c r="B876" t="s">
        <v>1096</v>
      </c>
      <c r="C876">
        <v>140</v>
      </c>
      <c r="D876">
        <v>14</v>
      </c>
    </row>
    <row r="877" spans="2:4" x14ac:dyDescent="0.25">
      <c r="B877" t="s">
        <v>1096</v>
      </c>
      <c r="C877">
        <v>141</v>
      </c>
      <c r="D877">
        <v>6</v>
      </c>
    </row>
    <row r="878" spans="2:4" x14ac:dyDescent="0.25">
      <c r="B878" t="s">
        <v>1096</v>
      </c>
      <c r="C878">
        <v>141</v>
      </c>
      <c r="D878">
        <v>8</v>
      </c>
    </row>
    <row r="879" spans="2:4" x14ac:dyDescent="0.25">
      <c r="B879" t="s">
        <v>1096</v>
      </c>
      <c r="C879">
        <v>141</v>
      </c>
      <c r="D879">
        <v>13</v>
      </c>
    </row>
    <row r="880" spans="2:4" x14ac:dyDescent="0.25">
      <c r="B880" t="s">
        <v>1096</v>
      </c>
      <c r="C880">
        <v>141</v>
      </c>
      <c r="D880">
        <v>14</v>
      </c>
    </row>
    <row r="881" spans="2:4" x14ac:dyDescent="0.25">
      <c r="B881" t="s">
        <v>1096</v>
      </c>
      <c r="C881">
        <v>142</v>
      </c>
      <c r="D881">
        <v>6</v>
      </c>
    </row>
    <row r="882" spans="2:4" x14ac:dyDescent="0.25">
      <c r="B882" t="s">
        <v>1096</v>
      </c>
      <c r="C882">
        <v>142</v>
      </c>
      <c r="D882">
        <v>8</v>
      </c>
    </row>
    <row r="883" spans="2:4" x14ac:dyDescent="0.25">
      <c r="B883" t="s">
        <v>1096</v>
      </c>
      <c r="C883">
        <v>142</v>
      </c>
      <c r="D883">
        <v>13</v>
      </c>
    </row>
    <row r="884" spans="2:4" x14ac:dyDescent="0.25">
      <c r="B884" t="s">
        <v>1096</v>
      </c>
      <c r="C884">
        <v>142</v>
      </c>
      <c r="D884">
        <v>14</v>
      </c>
    </row>
    <row r="885" spans="2:4" x14ac:dyDescent="0.25">
      <c r="B885" t="s">
        <v>1096</v>
      </c>
      <c r="C885">
        <v>143</v>
      </c>
      <c r="D885">
        <v>6</v>
      </c>
    </row>
    <row r="886" spans="2:4" x14ac:dyDescent="0.25">
      <c r="B886" t="s">
        <v>1096</v>
      </c>
      <c r="C886">
        <v>143</v>
      </c>
      <c r="D886">
        <v>8</v>
      </c>
    </row>
    <row r="887" spans="2:4" x14ac:dyDescent="0.25">
      <c r="B887" t="s">
        <v>1096</v>
      </c>
      <c r="C887">
        <v>143</v>
      </c>
      <c r="D887">
        <v>13</v>
      </c>
    </row>
    <row r="888" spans="2:4" x14ac:dyDescent="0.25">
      <c r="B888" t="s">
        <v>1096</v>
      </c>
      <c r="C888">
        <v>143</v>
      </c>
      <c r="D888">
        <v>14</v>
      </c>
    </row>
    <row r="889" spans="2:4" x14ac:dyDescent="0.25">
      <c r="B889" t="s">
        <v>1096</v>
      </c>
      <c r="C889">
        <v>144</v>
      </c>
      <c r="D889">
        <v>6</v>
      </c>
    </row>
    <row r="890" spans="2:4" x14ac:dyDescent="0.25">
      <c r="B890" t="s">
        <v>1096</v>
      </c>
      <c r="C890">
        <v>144</v>
      </c>
      <c r="D890">
        <v>8</v>
      </c>
    </row>
    <row r="891" spans="2:4" x14ac:dyDescent="0.25">
      <c r="B891" t="s">
        <v>1096</v>
      </c>
      <c r="C891">
        <v>144</v>
      </c>
      <c r="D891">
        <v>13</v>
      </c>
    </row>
    <row r="892" spans="2:4" x14ac:dyDescent="0.25">
      <c r="B892" t="s">
        <v>1096</v>
      </c>
      <c r="C892">
        <v>144</v>
      </c>
      <c r="D892">
        <v>14</v>
      </c>
    </row>
    <row r="893" spans="2:4" x14ac:dyDescent="0.25">
      <c r="B893" t="s">
        <v>1096</v>
      </c>
      <c r="C893">
        <v>145</v>
      </c>
      <c r="D893">
        <v>5</v>
      </c>
    </row>
    <row r="894" spans="2:4" x14ac:dyDescent="0.25">
      <c r="B894" t="s">
        <v>1096</v>
      </c>
      <c r="C894">
        <v>147</v>
      </c>
      <c r="D894">
        <v>6</v>
      </c>
    </row>
    <row r="895" spans="2:4" x14ac:dyDescent="0.25">
      <c r="B895" t="s">
        <v>1096</v>
      </c>
      <c r="C895">
        <v>147</v>
      </c>
      <c r="D895">
        <v>8</v>
      </c>
    </row>
    <row r="896" spans="2:4" x14ac:dyDescent="0.25">
      <c r="B896" t="s">
        <v>1096</v>
      </c>
      <c r="C896">
        <v>147</v>
      </c>
      <c r="D896">
        <v>13</v>
      </c>
    </row>
    <row r="897" spans="2:4" x14ac:dyDescent="0.25">
      <c r="B897" t="s">
        <v>1096</v>
      </c>
      <c r="C897">
        <v>147</v>
      </c>
      <c r="D897">
        <v>14</v>
      </c>
    </row>
    <row r="898" spans="2:4" x14ac:dyDescent="0.25">
      <c r="B898" t="s">
        <v>1096</v>
      </c>
      <c r="C898">
        <v>148</v>
      </c>
      <c r="D898">
        <v>6</v>
      </c>
    </row>
    <row r="899" spans="2:4" x14ac:dyDescent="0.25">
      <c r="B899" t="s">
        <v>1096</v>
      </c>
      <c r="C899">
        <v>148</v>
      </c>
      <c r="D899">
        <v>8</v>
      </c>
    </row>
    <row r="900" spans="2:4" x14ac:dyDescent="0.25">
      <c r="B900" t="s">
        <v>1096</v>
      </c>
      <c r="C900">
        <v>148</v>
      </c>
      <c r="D900">
        <v>13</v>
      </c>
    </row>
    <row r="901" spans="2:4" x14ac:dyDescent="0.25">
      <c r="B901" t="s">
        <v>1096</v>
      </c>
      <c r="C901">
        <v>148</v>
      </c>
      <c r="D901">
        <v>14</v>
      </c>
    </row>
    <row r="902" spans="2:4" x14ac:dyDescent="0.25">
      <c r="B902" t="s">
        <v>1096</v>
      </c>
      <c r="C902">
        <v>149</v>
      </c>
      <c r="D902">
        <v>6</v>
      </c>
    </row>
    <row r="903" spans="2:4" x14ac:dyDescent="0.25">
      <c r="B903" t="s">
        <v>1096</v>
      </c>
      <c r="C903">
        <v>149</v>
      </c>
      <c r="D903">
        <v>8</v>
      </c>
    </row>
    <row r="904" spans="2:4" x14ac:dyDescent="0.25">
      <c r="B904" t="s">
        <v>1096</v>
      </c>
      <c r="C904">
        <v>149</v>
      </c>
      <c r="D904">
        <v>13</v>
      </c>
    </row>
    <row r="905" spans="2:4" x14ac:dyDescent="0.25">
      <c r="B905" t="s">
        <v>1096</v>
      </c>
      <c r="C905">
        <v>149</v>
      </c>
      <c r="D905">
        <v>14</v>
      </c>
    </row>
    <row r="906" spans="2:4" x14ac:dyDescent="0.25">
      <c r="B906" t="s">
        <v>1096</v>
      </c>
      <c r="C906">
        <v>150</v>
      </c>
      <c r="D906">
        <v>6</v>
      </c>
    </row>
    <row r="907" spans="2:4" x14ac:dyDescent="0.25">
      <c r="B907" t="s">
        <v>1096</v>
      </c>
      <c r="C907">
        <v>150</v>
      </c>
      <c r="D907">
        <v>8</v>
      </c>
    </row>
    <row r="908" spans="2:4" x14ac:dyDescent="0.25">
      <c r="B908" t="s">
        <v>1096</v>
      </c>
      <c r="C908">
        <v>150</v>
      </c>
      <c r="D908">
        <v>13</v>
      </c>
    </row>
    <row r="909" spans="2:4" x14ac:dyDescent="0.25">
      <c r="B909" t="s">
        <v>1096</v>
      </c>
      <c r="C909">
        <v>150</v>
      </c>
      <c r="D909">
        <v>14</v>
      </c>
    </row>
    <row r="910" spans="2:4" x14ac:dyDescent="0.25">
      <c r="B910" t="s">
        <v>1096</v>
      </c>
      <c r="C910">
        <v>151</v>
      </c>
      <c r="D910">
        <v>6</v>
      </c>
    </row>
    <row r="911" spans="2:4" x14ac:dyDescent="0.25">
      <c r="B911" t="s">
        <v>1096</v>
      </c>
      <c r="C911">
        <v>151</v>
      </c>
      <c r="D911">
        <v>8</v>
      </c>
    </row>
    <row r="912" spans="2:4" x14ac:dyDescent="0.25">
      <c r="B912" t="s">
        <v>1096</v>
      </c>
      <c r="C912">
        <v>151</v>
      </c>
      <c r="D912">
        <v>13</v>
      </c>
    </row>
    <row r="913" spans="2:4" x14ac:dyDescent="0.25">
      <c r="B913" t="s">
        <v>1096</v>
      </c>
      <c r="C913">
        <v>151</v>
      </c>
      <c r="D913">
        <v>14</v>
      </c>
    </row>
    <row r="914" spans="2:4" x14ac:dyDescent="0.25">
      <c r="B914" t="s">
        <v>1096</v>
      </c>
      <c r="C914">
        <v>152</v>
      </c>
      <c r="D914">
        <v>6</v>
      </c>
    </row>
    <row r="915" spans="2:4" x14ac:dyDescent="0.25">
      <c r="B915" t="s">
        <v>1096</v>
      </c>
      <c r="C915">
        <v>152</v>
      </c>
      <c r="D915">
        <v>8</v>
      </c>
    </row>
    <row r="916" spans="2:4" x14ac:dyDescent="0.25">
      <c r="B916" t="s">
        <v>1096</v>
      </c>
      <c r="C916">
        <v>152</v>
      </c>
      <c r="D916">
        <v>13</v>
      </c>
    </row>
    <row r="917" spans="2:4" x14ac:dyDescent="0.25">
      <c r="B917" t="s">
        <v>1096</v>
      </c>
      <c r="C917">
        <v>152</v>
      </c>
      <c r="D917">
        <v>14</v>
      </c>
    </row>
    <row r="918" spans="2:4" x14ac:dyDescent="0.25">
      <c r="B918" t="s">
        <v>1096</v>
      </c>
      <c r="C918">
        <v>154</v>
      </c>
      <c r="D918">
        <v>6</v>
      </c>
    </row>
    <row r="919" spans="2:4" x14ac:dyDescent="0.25">
      <c r="B919" t="s">
        <v>1096</v>
      </c>
      <c r="C919">
        <v>154</v>
      </c>
      <c r="D919">
        <v>8</v>
      </c>
    </row>
    <row r="920" spans="2:4" x14ac:dyDescent="0.25">
      <c r="B920" t="s">
        <v>1096</v>
      </c>
      <c r="C920">
        <v>154</v>
      </c>
      <c r="D920">
        <v>13</v>
      </c>
    </row>
    <row r="921" spans="2:4" x14ac:dyDescent="0.25">
      <c r="B921" t="s">
        <v>1096</v>
      </c>
      <c r="C921">
        <v>154</v>
      </c>
      <c r="D921">
        <v>14</v>
      </c>
    </row>
    <row r="922" spans="2:4" x14ac:dyDescent="0.25">
      <c r="B922" t="s">
        <v>1096</v>
      </c>
      <c r="C922">
        <v>155</v>
      </c>
      <c r="D922">
        <v>6</v>
      </c>
    </row>
    <row r="923" spans="2:4" x14ac:dyDescent="0.25">
      <c r="B923" t="s">
        <v>1096</v>
      </c>
      <c r="C923">
        <v>155</v>
      </c>
      <c r="D923">
        <v>8</v>
      </c>
    </row>
    <row r="924" spans="2:4" x14ac:dyDescent="0.25">
      <c r="B924" t="s">
        <v>1096</v>
      </c>
      <c r="C924">
        <v>155</v>
      </c>
      <c r="D924">
        <v>13</v>
      </c>
    </row>
    <row r="925" spans="2:4" x14ac:dyDescent="0.25">
      <c r="B925" t="s">
        <v>1096</v>
      </c>
      <c r="C925">
        <v>155</v>
      </c>
      <c r="D925">
        <v>14</v>
      </c>
    </row>
    <row r="926" spans="2:4" x14ac:dyDescent="0.25">
      <c r="B926" t="s">
        <v>1096</v>
      </c>
      <c r="C926">
        <v>156</v>
      </c>
      <c r="D926">
        <v>6</v>
      </c>
    </row>
    <row r="927" spans="2:4" x14ac:dyDescent="0.25">
      <c r="B927" t="s">
        <v>1096</v>
      </c>
      <c r="C927">
        <v>156</v>
      </c>
      <c r="D927">
        <v>8</v>
      </c>
    </row>
    <row r="928" spans="2:4" x14ac:dyDescent="0.25">
      <c r="B928" t="s">
        <v>1096</v>
      </c>
      <c r="C928">
        <v>156</v>
      </c>
      <c r="D928">
        <v>13</v>
      </c>
    </row>
    <row r="929" spans="2:4" x14ac:dyDescent="0.25">
      <c r="B929" t="s">
        <v>1096</v>
      </c>
      <c r="C929">
        <v>156</v>
      </c>
      <c r="D929">
        <v>14</v>
      </c>
    </row>
    <row r="930" spans="2:4" x14ac:dyDescent="0.25">
      <c r="B930" t="s">
        <v>1096</v>
      </c>
      <c r="C930">
        <v>157</v>
      </c>
      <c r="D930">
        <v>6</v>
      </c>
    </row>
    <row r="931" spans="2:4" x14ac:dyDescent="0.25">
      <c r="B931" t="s">
        <v>1096</v>
      </c>
      <c r="C931">
        <v>157</v>
      </c>
      <c r="D931">
        <v>8</v>
      </c>
    </row>
    <row r="932" spans="2:4" x14ac:dyDescent="0.25">
      <c r="B932" t="s">
        <v>1096</v>
      </c>
      <c r="C932">
        <v>157</v>
      </c>
      <c r="D932">
        <v>13</v>
      </c>
    </row>
    <row r="933" spans="2:4" x14ac:dyDescent="0.25">
      <c r="B933" t="s">
        <v>1096</v>
      </c>
      <c r="C933">
        <v>157</v>
      </c>
      <c r="D933">
        <v>14</v>
      </c>
    </row>
    <row r="934" spans="2:4" x14ac:dyDescent="0.25">
      <c r="B934" t="s">
        <v>1096</v>
      </c>
      <c r="C934">
        <v>158</v>
      </c>
      <c r="D934">
        <v>6</v>
      </c>
    </row>
    <row r="935" spans="2:4" x14ac:dyDescent="0.25">
      <c r="B935" t="s">
        <v>1096</v>
      </c>
      <c r="C935">
        <v>158</v>
      </c>
      <c r="D935">
        <v>8</v>
      </c>
    </row>
    <row r="936" spans="2:4" x14ac:dyDescent="0.25">
      <c r="B936" t="s">
        <v>1096</v>
      </c>
      <c r="C936">
        <v>158</v>
      </c>
      <c r="D936">
        <v>13</v>
      </c>
    </row>
    <row r="937" spans="2:4" x14ac:dyDescent="0.25">
      <c r="B937" t="s">
        <v>1096</v>
      </c>
      <c r="C937">
        <v>158</v>
      </c>
      <c r="D937">
        <v>14</v>
      </c>
    </row>
    <row r="938" spans="2:4" x14ac:dyDescent="0.25">
      <c r="B938" t="s">
        <v>1096</v>
      </c>
      <c r="C938">
        <v>159</v>
      </c>
      <c r="D938">
        <v>6</v>
      </c>
    </row>
    <row r="939" spans="2:4" x14ac:dyDescent="0.25">
      <c r="B939" t="s">
        <v>1096</v>
      </c>
      <c r="C939">
        <v>159</v>
      </c>
      <c r="D939">
        <v>8</v>
      </c>
    </row>
    <row r="940" spans="2:4" x14ac:dyDescent="0.25">
      <c r="B940" t="s">
        <v>1096</v>
      </c>
      <c r="C940">
        <v>159</v>
      </c>
      <c r="D940">
        <v>13</v>
      </c>
    </row>
    <row r="941" spans="2:4" x14ac:dyDescent="0.25">
      <c r="B941" t="s">
        <v>1096</v>
      </c>
      <c r="C941">
        <v>159</v>
      </c>
      <c r="D941">
        <v>14</v>
      </c>
    </row>
    <row r="942" spans="2:4" x14ac:dyDescent="0.25">
      <c r="B942" t="s">
        <v>1096</v>
      </c>
      <c r="C942">
        <v>161</v>
      </c>
      <c r="D942">
        <v>6</v>
      </c>
    </row>
    <row r="943" spans="2:4" x14ac:dyDescent="0.25">
      <c r="B943" t="s">
        <v>1096</v>
      </c>
      <c r="C943">
        <v>161</v>
      </c>
      <c r="D943">
        <v>8</v>
      </c>
    </row>
    <row r="944" spans="2:4" x14ac:dyDescent="0.25">
      <c r="B944" t="s">
        <v>1096</v>
      </c>
      <c r="C944">
        <v>161</v>
      </c>
      <c r="D944">
        <v>13</v>
      </c>
    </row>
    <row r="945" spans="2:4" x14ac:dyDescent="0.25">
      <c r="B945" t="s">
        <v>1096</v>
      </c>
      <c r="C945">
        <v>161</v>
      </c>
      <c r="D945">
        <v>14</v>
      </c>
    </row>
    <row r="946" spans="2:4" x14ac:dyDescent="0.25">
      <c r="B946" t="s">
        <v>1096</v>
      </c>
      <c r="C946">
        <v>162</v>
      </c>
      <c r="D946">
        <v>6</v>
      </c>
    </row>
    <row r="947" spans="2:4" x14ac:dyDescent="0.25">
      <c r="B947" t="s">
        <v>1096</v>
      </c>
      <c r="C947">
        <v>162</v>
      </c>
      <c r="D947">
        <v>8</v>
      </c>
    </row>
    <row r="948" spans="2:4" x14ac:dyDescent="0.25">
      <c r="B948" t="s">
        <v>1096</v>
      </c>
      <c r="C948">
        <v>162</v>
      </c>
      <c r="D948">
        <v>13</v>
      </c>
    </row>
    <row r="949" spans="2:4" x14ac:dyDescent="0.25">
      <c r="B949" t="s">
        <v>1096</v>
      </c>
      <c r="C949">
        <v>162</v>
      </c>
      <c r="D949">
        <v>14</v>
      </c>
    </row>
    <row r="950" spans="2:4" x14ac:dyDescent="0.25">
      <c r="B950" t="s">
        <v>1096</v>
      </c>
      <c r="C950">
        <v>163</v>
      </c>
      <c r="D950">
        <v>6</v>
      </c>
    </row>
    <row r="951" spans="2:4" x14ac:dyDescent="0.25">
      <c r="B951" t="s">
        <v>1096</v>
      </c>
      <c r="C951">
        <v>163</v>
      </c>
      <c r="D951">
        <v>8</v>
      </c>
    </row>
    <row r="952" spans="2:4" x14ac:dyDescent="0.25">
      <c r="B952" t="s">
        <v>1096</v>
      </c>
      <c r="C952">
        <v>163</v>
      </c>
      <c r="D952">
        <v>13</v>
      </c>
    </row>
    <row r="953" spans="2:4" x14ac:dyDescent="0.25">
      <c r="B953" t="s">
        <v>1096</v>
      </c>
      <c r="C953">
        <v>163</v>
      </c>
      <c r="D953">
        <v>14</v>
      </c>
    </row>
    <row r="954" spans="2:4" x14ac:dyDescent="0.25">
      <c r="B954" t="s">
        <v>1096</v>
      </c>
      <c r="C954">
        <v>164</v>
      </c>
      <c r="D954">
        <v>6</v>
      </c>
    </row>
    <row r="955" spans="2:4" x14ac:dyDescent="0.25">
      <c r="B955" t="s">
        <v>1096</v>
      </c>
      <c r="C955">
        <v>164</v>
      </c>
      <c r="D955">
        <v>8</v>
      </c>
    </row>
    <row r="956" spans="2:4" x14ac:dyDescent="0.25">
      <c r="B956" t="s">
        <v>1096</v>
      </c>
      <c r="C956">
        <v>164</v>
      </c>
      <c r="D956">
        <v>13</v>
      </c>
    </row>
    <row r="957" spans="2:4" x14ac:dyDescent="0.25">
      <c r="B957" t="s">
        <v>1096</v>
      </c>
      <c r="C957">
        <v>164</v>
      </c>
      <c r="D957">
        <v>14</v>
      </c>
    </row>
    <row r="958" spans="2:4" x14ac:dyDescent="0.25">
      <c r="B958" t="s">
        <v>1096</v>
      </c>
      <c r="C958">
        <v>165</v>
      </c>
      <c r="D958">
        <v>6</v>
      </c>
    </row>
    <row r="959" spans="2:4" x14ac:dyDescent="0.25">
      <c r="B959" t="s">
        <v>1096</v>
      </c>
      <c r="C959">
        <v>165</v>
      </c>
      <c r="D959">
        <v>8</v>
      </c>
    </row>
    <row r="960" spans="2:4" x14ac:dyDescent="0.25">
      <c r="B960" t="s">
        <v>1096</v>
      </c>
      <c r="C960">
        <v>165</v>
      </c>
      <c r="D960">
        <v>13</v>
      </c>
    </row>
    <row r="961" spans="2:4" x14ac:dyDescent="0.25">
      <c r="B961" t="s">
        <v>1096</v>
      </c>
      <c r="C961">
        <v>165</v>
      </c>
      <c r="D961">
        <v>14</v>
      </c>
    </row>
    <row r="962" spans="2:4" x14ac:dyDescent="0.25">
      <c r="B962" t="s">
        <v>1096</v>
      </c>
      <c r="C962">
        <v>166</v>
      </c>
      <c r="D962">
        <v>6</v>
      </c>
    </row>
    <row r="963" spans="2:4" x14ac:dyDescent="0.25">
      <c r="B963" t="s">
        <v>1096</v>
      </c>
      <c r="C963">
        <v>166</v>
      </c>
      <c r="D963">
        <v>8</v>
      </c>
    </row>
    <row r="964" spans="2:4" x14ac:dyDescent="0.25">
      <c r="B964" t="s">
        <v>1096</v>
      </c>
      <c r="C964">
        <v>166</v>
      </c>
      <c r="D964">
        <v>13</v>
      </c>
    </row>
    <row r="965" spans="2:4" x14ac:dyDescent="0.25">
      <c r="B965" t="s">
        <v>1096</v>
      </c>
      <c r="C965">
        <v>166</v>
      </c>
      <c r="D965">
        <v>14</v>
      </c>
    </row>
    <row r="966" spans="2:4" x14ac:dyDescent="0.25">
      <c r="B966" t="s">
        <v>1096</v>
      </c>
      <c r="C966">
        <v>168</v>
      </c>
      <c r="D966">
        <v>6</v>
      </c>
    </row>
    <row r="967" spans="2:4" x14ac:dyDescent="0.25">
      <c r="B967" t="s">
        <v>1096</v>
      </c>
      <c r="C967">
        <v>168</v>
      </c>
      <c r="D967">
        <v>8</v>
      </c>
    </row>
    <row r="968" spans="2:4" x14ac:dyDescent="0.25">
      <c r="B968" t="s">
        <v>1096</v>
      </c>
      <c r="C968">
        <v>168</v>
      </c>
      <c r="D968">
        <v>13</v>
      </c>
    </row>
    <row r="969" spans="2:4" x14ac:dyDescent="0.25">
      <c r="B969" t="s">
        <v>1096</v>
      </c>
      <c r="C969">
        <v>168</v>
      </c>
      <c r="D969">
        <v>14</v>
      </c>
    </row>
    <row r="970" spans="2:4" x14ac:dyDescent="0.25">
      <c r="B970" t="s">
        <v>1096</v>
      </c>
      <c r="C970">
        <v>169</v>
      </c>
      <c r="D970">
        <v>6</v>
      </c>
    </row>
    <row r="971" spans="2:4" x14ac:dyDescent="0.25">
      <c r="B971" t="s">
        <v>1096</v>
      </c>
      <c r="C971">
        <v>169</v>
      </c>
      <c r="D971">
        <v>8</v>
      </c>
    </row>
    <row r="972" spans="2:4" x14ac:dyDescent="0.25">
      <c r="B972" t="s">
        <v>1096</v>
      </c>
      <c r="C972">
        <v>169</v>
      </c>
      <c r="D972">
        <v>13</v>
      </c>
    </row>
    <row r="973" spans="2:4" x14ac:dyDescent="0.25">
      <c r="B973" t="s">
        <v>1096</v>
      </c>
      <c r="C973">
        <v>169</v>
      </c>
      <c r="D973">
        <v>14</v>
      </c>
    </row>
    <row r="974" spans="2:4" x14ac:dyDescent="0.25">
      <c r="B974" t="s">
        <v>1096</v>
      </c>
      <c r="C974">
        <v>170</v>
      </c>
      <c r="D974">
        <v>6</v>
      </c>
    </row>
    <row r="975" spans="2:4" x14ac:dyDescent="0.25">
      <c r="B975" t="s">
        <v>1096</v>
      </c>
      <c r="C975">
        <v>170</v>
      </c>
      <c r="D975">
        <v>8</v>
      </c>
    </row>
    <row r="976" spans="2:4" x14ac:dyDescent="0.25">
      <c r="B976" t="s">
        <v>1096</v>
      </c>
      <c r="C976">
        <v>170</v>
      </c>
      <c r="D976">
        <v>13</v>
      </c>
    </row>
    <row r="977" spans="2:4" x14ac:dyDescent="0.25">
      <c r="B977" t="s">
        <v>1096</v>
      </c>
      <c r="C977">
        <v>170</v>
      </c>
      <c r="D977">
        <v>14</v>
      </c>
    </row>
    <row r="978" spans="2:4" x14ac:dyDescent="0.25">
      <c r="B978" t="s">
        <v>1096</v>
      </c>
      <c r="C978">
        <v>171</v>
      </c>
      <c r="D978">
        <v>6</v>
      </c>
    </row>
    <row r="979" spans="2:4" x14ac:dyDescent="0.25">
      <c r="B979" t="s">
        <v>1096</v>
      </c>
      <c r="C979">
        <v>171</v>
      </c>
      <c r="D979">
        <v>8</v>
      </c>
    </row>
    <row r="980" spans="2:4" x14ac:dyDescent="0.25">
      <c r="B980" t="s">
        <v>1096</v>
      </c>
      <c r="C980">
        <v>171</v>
      </c>
      <c r="D980">
        <v>13</v>
      </c>
    </row>
    <row r="981" spans="2:4" x14ac:dyDescent="0.25">
      <c r="B981" t="s">
        <v>1096</v>
      </c>
      <c r="C981">
        <v>171</v>
      </c>
      <c r="D981">
        <v>14</v>
      </c>
    </row>
    <row r="982" spans="2:4" x14ac:dyDescent="0.25">
      <c r="B982" t="s">
        <v>1096</v>
      </c>
      <c r="C982">
        <v>172</v>
      </c>
      <c r="D982">
        <v>6</v>
      </c>
    </row>
    <row r="983" spans="2:4" x14ac:dyDescent="0.25">
      <c r="B983" t="s">
        <v>1096</v>
      </c>
      <c r="C983">
        <v>172</v>
      </c>
      <c r="D983">
        <v>8</v>
      </c>
    </row>
    <row r="984" spans="2:4" x14ac:dyDescent="0.25">
      <c r="B984" t="s">
        <v>1096</v>
      </c>
      <c r="C984">
        <v>172</v>
      </c>
      <c r="D984">
        <v>13</v>
      </c>
    </row>
    <row r="985" spans="2:4" x14ac:dyDescent="0.25">
      <c r="B985" t="s">
        <v>1096</v>
      </c>
      <c r="C985">
        <v>172</v>
      </c>
      <c r="D985">
        <v>14</v>
      </c>
    </row>
    <row r="986" spans="2:4" x14ac:dyDescent="0.25">
      <c r="B986" t="s">
        <v>1096</v>
      </c>
      <c r="C986">
        <v>173</v>
      </c>
      <c r="D986">
        <v>6</v>
      </c>
    </row>
    <row r="987" spans="2:4" x14ac:dyDescent="0.25">
      <c r="B987" t="s">
        <v>1096</v>
      </c>
      <c r="C987">
        <v>173</v>
      </c>
      <c r="D987">
        <v>8</v>
      </c>
    </row>
    <row r="988" spans="2:4" x14ac:dyDescent="0.25">
      <c r="B988" t="s">
        <v>1096</v>
      </c>
      <c r="C988">
        <v>173</v>
      </c>
      <c r="D988">
        <v>13</v>
      </c>
    </row>
    <row r="989" spans="2:4" x14ac:dyDescent="0.25">
      <c r="B989" t="s">
        <v>1096</v>
      </c>
      <c r="C989">
        <v>173</v>
      </c>
      <c r="D989">
        <v>14</v>
      </c>
    </row>
    <row r="990" spans="2:4" x14ac:dyDescent="0.25">
      <c r="B990" t="s">
        <v>1096</v>
      </c>
      <c r="C990">
        <v>174</v>
      </c>
      <c r="D990">
        <v>5</v>
      </c>
    </row>
    <row r="991" spans="2:4" x14ac:dyDescent="0.25">
      <c r="B991" t="s">
        <v>1096</v>
      </c>
      <c r="C991">
        <v>176</v>
      </c>
      <c r="D991">
        <v>6</v>
      </c>
    </row>
    <row r="992" spans="2:4" x14ac:dyDescent="0.25">
      <c r="B992" t="s">
        <v>1096</v>
      </c>
      <c r="C992">
        <v>176</v>
      </c>
      <c r="D992">
        <v>8</v>
      </c>
    </row>
    <row r="993" spans="2:4" x14ac:dyDescent="0.25">
      <c r="B993" t="s">
        <v>1096</v>
      </c>
      <c r="C993">
        <v>176</v>
      </c>
      <c r="D993">
        <v>13</v>
      </c>
    </row>
    <row r="994" spans="2:4" x14ac:dyDescent="0.25">
      <c r="B994" t="s">
        <v>1096</v>
      </c>
      <c r="C994">
        <v>176</v>
      </c>
      <c r="D994">
        <v>14</v>
      </c>
    </row>
    <row r="995" spans="2:4" x14ac:dyDescent="0.25">
      <c r="B995" t="s">
        <v>1096</v>
      </c>
      <c r="C995">
        <v>177</v>
      </c>
      <c r="D995">
        <v>5</v>
      </c>
    </row>
    <row r="996" spans="2:4" x14ac:dyDescent="0.25">
      <c r="B996" t="s">
        <v>1096</v>
      </c>
      <c r="C996">
        <v>178</v>
      </c>
      <c r="D996">
        <v>5</v>
      </c>
    </row>
    <row r="997" spans="2:4" x14ac:dyDescent="0.25">
      <c r="B997" t="s">
        <v>1096</v>
      </c>
      <c r="C997">
        <v>179</v>
      </c>
      <c r="D997">
        <v>6</v>
      </c>
    </row>
    <row r="998" spans="2:4" x14ac:dyDescent="0.25">
      <c r="B998" t="s">
        <v>1096</v>
      </c>
      <c r="C998">
        <v>179</v>
      </c>
      <c r="D998">
        <v>8</v>
      </c>
    </row>
    <row r="999" spans="2:4" x14ac:dyDescent="0.25">
      <c r="B999" t="s">
        <v>1096</v>
      </c>
      <c r="C999">
        <v>179</v>
      </c>
      <c r="D999">
        <v>13</v>
      </c>
    </row>
    <row r="1000" spans="2:4" x14ac:dyDescent="0.25">
      <c r="B1000" t="s">
        <v>1096</v>
      </c>
      <c r="C1000">
        <v>179</v>
      </c>
      <c r="D1000">
        <v>14</v>
      </c>
    </row>
    <row r="1001" spans="2:4" x14ac:dyDescent="0.25">
      <c r="B1001" t="s">
        <v>1096</v>
      </c>
      <c r="C1001">
        <v>180</v>
      </c>
      <c r="D1001">
        <v>6</v>
      </c>
    </row>
    <row r="1002" spans="2:4" x14ac:dyDescent="0.25">
      <c r="B1002" t="s">
        <v>1096</v>
      </c>
      <c r="C1002">
        <v>180</v>
      </c>
      <c r="D1002">
        <v>8</v>
      </c>
    </row>
    <row r="1003" spans="2:4" x14ac:dyDescent="0.25">
      <c r="B1003" t="s">
        <v>1096</v>
      </c>
      <c r="C1003">
        <v>180</v>
      </c>
      <c r="D1003">
        <v>13</v>
      </c>
    </row>
    <row r="1004" spans="2:4" x14ac:dyDescent="0.25">
      <c r="B1004" t="s">
        <v>1096</v>
      </c>
      <c r="C1004">
        <v>180</v>
      </c>
      <c r="D1004">
        <v>14</v>
      </c>
    </row>
    <row r="1005" spans="2:4" x14ac:dyDescent="0.25">
      <c r="B1005" t="s">
        <v>1096</v>
      </c>
      <c r="C1005">
        <v>181</v>
      </c>
      <c r="D1005">
        <v>5</v>
      </c>
    </row>
    <row r="1006" spans="2:4" x14ac:dyDescent="0.25">
      <c r="B1006" t="s">
        <v>1096</v>
      </c>
      <c r="C1006">
        <v>182</v>
      </c>
      <c r="D1006">
        <v>6</v>
      </c>
    </row>
    <row r="1007" spans="2:4" x14ac:dyDescent="0.25">
      <c r="B1007" t="s">
        <v>1096</v>
      </c>
      <c r="C1007">
        <v>182</v>
      </c>
      <c r="D1007">
        <v>8</v>
      </c>
    </row>
    <row r="1008" spans="2:4" x14ac:dyDescent="0.25">
      <c r="B1008" t="s">
        <v>1096</v>
      </c>
      <c r="C1008">
        <v>182</v>
      </c>
      <c r="D1008">
        <v>13</v>
      </c>
    </row>
    <row r="1009" spans="2:4" x14ac:dyDescent="0.25">
      <c r="B1009" t="s">
        <v>1096</v>
      </c>
      <c r="C1009">
        <v>182</v>
      </c>
      <c r="D1009">
        <v>14</v>
      </c>
    </row>
    <row r="1010" spans="2:4" x14ac:dyDescent="0.25">
      <c r="B1010" t="s">
        <v>1096</v>
      </c>
      <c r="C1010">
        <v>183</v>
      </c>
      <c r="D1010">
        <v>6</v>
      </c>
    </row>
    <row r="1011" spans="2:4" x14ac:dyDescent="0.25">
      <c r="B1011" t="s">
        <v>1096</v>
      </c>
      <c r="C1011">
        <v>183</v>
      </c>
      <c r="D1011">
        <v>8</v>
      </c>
    </row>
    <row r="1012" spans="2:4" x14ac:dyDescent="0.25">
      <c r="B1012" t="s">
        <v>1096</v>
      </c>
      <c r="C1012">
        <v>183</v>
      </c>
      <c r="D1012">
        <v>13</v>
      </c>
    </row>
    <row r="1013" spans="2:4" x14ac:dyDescent="0.25">
      <c r="B1013" t="s">
        <v>1096</v>
      </c>
      <c r="C1013">
        <v>183</v>
      </c>
      <c r="D1013">
        <v>14</v>
      </c>
    </row>
    <row r="1014" spans="2:4" x14ac:dyDescent="0.25">
      <c r="B1014" t="s">
        <v>1096</v>
      </c>
      <c r="C1014">
        <v>184</v>
      </c>
      <c r="D1014">
        <v>6</v>
      </c>
    </row>
    <row r="1015" spans="2:4" x14ac:dyDescent="0.25">
      <c r="B1015" t="s">
        <v>1096</v>
      </c>
      <c r="C1015">
        <v>184</v>
      </c>
      <c r="D1015">
        <v>8</v>
      </c>
    </row>
    <row r="1016" spans="2:4" x14ac:dyDescent="0.25">
      <c r="B1016" t="s">
        <v>1096</v>
      </c>
      <c r="C1016">
        <v>184</v>
      </c>
      <c r="D1016">
        <v>13</v>
      </c>
    </row>
    <row r="1017" spans="2:4" x14ac:dyDescent="0.25">
      <c r="B1017" t="s">
        <v>1096</v>
      </c>
      <c r="C1017">
        <v>184</v>
      </c>
      <c r="D1017">
        <v>14</v>
      </c>
    </row>
    <row r="1018" spans="2:4" x14ac:dyDescent="0.25">
      <c r="B1018" t="s">
        <v>1096</v>
      </c>
      <c r="C1018">
        <v>185</v>
      </c>
      <c r="D1018">
        <v>6</v>
      </c>
    </row>
    <row r="1019" spans="2:4" x14ac:dyDescent="0.25">
      <c r="B1019" t="s">
        <v>1096</v>
      </c>
      <c r="C1019">
        <v>185</v>
      </c>
      <c r="D1019">
        <v>8</v>
      </c>
    </row>
    <row r="1020" spans="2:4" x14ac:dyDescent="0.25">
      <c r="B1020" t="s">
        <v>1096</v>
      </c>
      <c r="C1020">
        <v>185</v>
      </c>
      <c r="D1020">
        <v>13</v>
      </c>
    </row>
    <row r="1021" spans="2:4" x14ac:dyDescent="0.25">
      <c r="B1021" t="s">
        <v>1096</v>
      </c>
      <c r="C1021">
        <v>185</v>
      </c>
      <c r="D1021">
        <v>14</v>
      </c>
    </row>
    <row r="1022" spans="2:4" x14ac:dyDescent="0.25">
      <c r="B1022" t="s">
        <v>1096</v>
      </c>
      <c r="C1022">
        <v>186</v>
      </c>
      <c r="D1022">
        <v>5</v>
      </c>
    </row>
    <row r="1023" spans="2:4" x14ac:dyDescent="0.25">
      <c r="B1023" t="s">
        <v>1096</v>
      </c>
      <c r="C1023">
        <v>187</v>
      </c>
      <c r="D1023">
        <v>6</v>
      </c>
    </row>
    <row r="1024" spans="2:4" x14ac:dyDescent="0.25">
      <c r="B1024" t="s">
        <v>1096</v>
      </c>
      <c r="C1024">
        <v>187</v>
      </c>
      <c r="D1024">
        <v>8</v>
      </c>
    </row>
    <row r="1025" spans="2:4" x14ac:dyDescent="0.25">
      <c r="B1025" t="s">
        <v>1096</v>
      </c>
      <c r="C1025">
        <v>187</v>
      </c>
      <c r="D1025">
        <v>13</v>
      </c>
    </row>
    <row r="1026" spans="2:4" x14ac:dyDescent="0.25">
      <c r="B1026" t="s">
        <v>1096</v>
      </c>
      <c r="C1026">
        <v>187</v>
      </c>
      <c r="D1026">
        <v>14</v>
      </c>
    </row>
    <row r="1027" spans="2:4" x14ac:dyDescent="0.25">
      <c r="B1027" t="s">
        <v>1096</v>
      </c>
      <c r="C1027">
        <v>188</v>
      </c>
      <c r="D1027">
        <v>6</v>
      </c>
    </row>
    <row r="1028" spans="2:4" x14ac:dyDescent="0.25">
      <c r="B1028" t="s">
        <v>1096</v>
      </c>
      <c r="C1028">
        <v>188</v>
      </c>
      <c r="D1028">
        <v>8</v>
      </c>
    </row>
    <row r="1029" spans="2:4" x14ac:dyDescent="0.25">
      <c r="B1029" t="s">
        <v>1096</v>
      </c>
      <c r="C1029">
        <v>188</v>
      </c>
      <c r="D1029">
        <v>13</v>
      </c>
    </row>
    <row r="1030" spans="2:4" x14ac:dyDescent="0.25">
      <c r="B1030" t="s">
        <v>1096</v>
      </c>
      <c r="C1030">
        <v>188</v>
      </c>
      <c r="D1030">
        <v>14</v>
      </c>
    </row>
    <row r="1031" spans="2:4" x14ac:dyDescent="0.25">
      <c r="B1031" t="s">
        <v>1096</v>
      </c>
      <c r="C1031">
        <v>189</v>
      </c>
      <c r="D1031">
        <v>6</v>
      </c>
    </row>
    <row r="1032" spans="2:4" x14ac:dyDescent="0.25">
      <c r="B1032" t="s">
        <v>1096</v>
      </c>
      <c r="C1032">
        <v>189</v>
      </c>
      <c r="D1032">
        <v>8</v>
      </c>
    </row>
    <row r="1033" spans="2:4" x14ac:dyDescent="0.25">
      <c r="B1033" t="s">
        <v>1096</v>
      </c>
      <c r="C1033">
        <v>189</v>
      </c>
      <c r="D1033">
        <v>13</v>
      </c>
    </row>
    <row r="1034" spans="2:4" x14ac:dyDescent="0.25">
      <c r="B1034" t="s">
        <v>1096</v>
      </c>
      <c r="C1034">
        <v>189</v>
      </c>
      <c r="D1034">
        <v>14</v>
      </c>
    </row>
    <row r="1035" spans="2:4" x14ac:dyDescent="0.25">
      <c r="B1035" t="s">
        <v>1096</v>
      </c>
      <c r="C1035">
        <v>190</v>
      </c>
      <c r="D1035">
        <v>6</v>
      </c>
    </row>
    <row r="1036" spans="2:4" x14ac:dyDescent="0.25">
      <c r="B1036" t="s">
        <v>1096</v>
      </c>
      <c r="C1036">
        <v>190</v>
      </c>
      <c r="D1036">
        <v>8</v>
      </c>
    </row>
    <row r="1037" spans="2:4" x14ac:dyDescent="0.25">
      <c r="B1037" t="s">
        <v>1096</v>
      </c>
      <c r="C1037">
        <v>190</v>
      </c>
      <c r="D1037">
        <v>13</v>
      </c>
    </row>
    <row r="1038" spans="2:4" x14ac:dyDescent="0.25">
      <c r="B1038" t="s">
        <v>1096</v>
      </c>
      <c r="C1038">
        <v>190</v>
      </c>
      <c r="D1038">
        <v>14</v>
      </c>
    </row>
    <row r="1039" spans="2:4" x14ac:dyDescent="0.25">
      <c r="B1039" t="s">
        <v>1096</v>
      </c>
      <c r="C1039">
        <v>191</v>
      </c>
      <c r="D1039">
        <v>5</v>
      </c>
    </row>
    <row r="1040" spans="2:4" x14ac:dyDescent="0.25">
      <c r="B1040" t="s">
        <v>1096</v>
      </c>
      <c r="C1040">
        <v>192</v>
      </c>
      <c r="D1040">
        <v>6</v>
      </c>
    </row>
    <row r="1041" spans="2:4" x14ac:dyDescent="0.25">
      <c r="B1041" t="s">
        <v>1096</v>
      </c>
      <c r="C1041">
        <v>192</v>
      </c>
      <c r="D1041">
        <v>8</v>
      </c>
    </row>
    <row r="1042" spans="2:4" x14ac:dyDescent="0.25">
      <c r="B1042" t="s">
        <v>1096</v>
      </c>
      <c r="C1042">
        <v>192</v>
      </c>
      <c r="D1042">
        <v>13</v>
      </c>
    </row>
    <row r="1043" spans="2:4" x14ac:dyDescent="0.25">
      <c r="B1043" t="s">
        <v>1096</v>
      </c>
      <c r="C1043">
        <v>192</v>
      </c>
      <c r="D1043">
        <v>14</v>
      </c>
    </row>
    <row r="1044" spans="2:4" x14ac:dyDescent="0.25">
      <c r="B1044" t="s">
        <v>1096</v>
      </c>
      <c r="C1044">
        <v>193</v>
      </c>
      <c r="D1044">
        <v>6</v>
      </c>
    </row>
    <row r="1045" spans="2:4" x14ac:dyDescent="0.25">
      <c r="B1045" t="s">
        <v>1096</v>
      </c>
      <c r="C1045">
        <v>193</v>
      </c>
      <c r="D1045">
        <v>8</v>
      </c>
    </row>
    <row r="1046" spans="2:4" x14ac:dyDescent="0.25">
      <c r="B1046" t="s">
        <v>1096</v>
      </c>
      <c r="C1046">
        <v>193</v>
      </c>
      <c r="D1046">
        <v>13</v>
      </c>
    </row>
    <row r="1047" spans="2:4" x14ac:dyDescent="0.25">
      <c r="B1047" t="s">
        <v>1096</v>
      </c>
      <c r="C1047">
        <v>193</v>
      </c>
      <c r="D1047">
        <v>14</v>
      </c>
    </row>
    <row r="1048" spans="2:4" x14ac:dyDescent="0.25">
      <c r="B1048" t="s">
        <v>1096</v>
      </c>
      <c r="C1048">
        <v>194</v>
      </c>
      <c r="D1048">
        <v>6</v>
      </c>
    </row>
    <row r="1049" spans="2:4" x14ac:dyDescent="0.25">
      <c r="B1049" t="s">
        <v>1096</v>
      </c>
      <c r="C1049">
        <v>194</v>
      </c>
      <c r="D1049">
        <v>8</v>
      </c>
    </row>
    <row r="1050" spans="2:4" x14ac:dyDescent="0.25">
      <c r="B1050" t="s">
        <v>1096</v>
      </c>
      <c r="C1050">
        <v>194</v>
      </c>
      <c r="D1050">
        <v>13</v>
      </c>
    </row>
    <row r="1051" spans="2:4" x14ac:dyDescent="0.25">
      <c r="B1051" t="s">
        <v>1096</v>
      </c>
      <c r="C1051">
        <v>194</v>
      </c>
      <c r="D1051">
        <v>14</v>
      </c>
    </row>
    <row r="1052" spans="2:4" x14ac:dyDescent="0.25">
      <c r="B1052" t="s">
        <v>1096</v>
      </c>
      <c r="C1052">
        <v>195</v>
      </c>
      <c r="D1052">
        <v>6</v>
      </c>
    </row>
    <row r="1053" spans="2:4" x14ac:dyDescent="0.25">
      <c r="B1053" t="s">
        <v>1096</v>
      </c>
      <c r="C1053">
        <v>195</v>
      </c>
      <c r="D1053">
        <v>8</v>
      </c>
    </row>
    <row r="1054" spans="2:4" x14ac:dyDescent="0.25">
      <c r="B1054" t="s">
        <v>1096</v>
      </c>
      <c r="C1054">
        <v>195</v>
      </c>
      <c r="D1054">
        <v>13</v>
      </c>
    </row>
    <row r="1055" spans="2:4" x14ac:dyDescent="0.25">
      <c r="B1055" t="s">
        <v>1096</v>
      </c>
      <c r="C1055">
        <v>195</v>
      </c>
      <c r="D1055">
        <v>14</v>
      </c>
    </row>
    <row r="1056" spans="2:4" x14ac:dyDescent="0.25">
      <c r="B1056" t="s">
        <v>1096</v>
      </c>
      <c r="C1056">
        <v>196</v>
      </c>
      <c r="D1056">
        <v>6</v>
      </c>
    </row>
    <row r="1057" spans="2:4" x14ac:dyDescent="0.25">
      <c r="B1057" t="s">
        <v>1096</v>
      </c>
      <c r="C1057">
        <v>196</v>
      </c>
      <c r="D1057">
        <v>8</v>
      </c>
    </row>
    <row r="1058" spans="2:4" x14ac:dyDescent="0.25">
      <c r="B1058" t="s">
        <v>1096</v>
      </c>
      <c r="C1058">
        <v>196</v>
      </c>
      <c r="D1058">
        <v>13</v>
      </c>
    </row>
    <row r="1059" spans="2:4" x14ac:dyDescent="0.25">
      <c r="B1059" t="s">
        <v>1096</v>
      </c>
      <c r="C1059">
        <v>196</v>
      </c>
      <c r="D1059">
        <v>14</v>
      </c>
    </row>
    <row r="1060" spans="2:4" x14ac:dyDescent="0.25">
      <c r="B1060" t="s">
        <v>1096</v>
      </c>
      <c r="C1060">
        <v>197</v>
      </c>
      <c r="D1060">
        <v>6</v>
      </c>
    </row>
    <row r="1061" spans="2:4" x14ac:dyDescent="0.25">
      <c r="B1061" t="s">
        <v>1096</v>
      </c>
      <c r="C1061">
        <v>197</v>
      </c>
      <c r="D1061">
        <v>8</v>
      </c>
    </row>
    <row r="1062" spans="2:4" x14ac:dyDescent="0.25">
      <c r="B1062" t="s">
        <v>1096</v>
      </c>
      <c r="C1062">
        <v>197</v>
      </c>
      <c r="D1062">
        <v>13</v>
      </c>
    </row>
    <row r="1063" spans="2:4" x14ac:dyDescent="0.25">
      <c r="B1063" t="s">
        <v>1096</v>
      </c>
      <c r="C1063">
        <v>197</v>
      </c>
      <c r="D1063">
        <v>14</v>
      </c>
    </row>
    <row r="1064" spans="2:4" x14ac:dyDescent="0.25">
      <c r="B1064" t="s">
        <v>1096</v>
      </c>
      <c r="C1064">
        <v>198</v>
      </c>
      <c r="D1064">
        <v>6</v>
      </c>
    </row>
    <row r="1065" spans="2:4" x14ac:dyDescent="0.25">
      <c r="B1065" t="s">
        <v>1096</v>
      </c>
      <c r="C1065">
        <v>198</v>
      </c>
      <c r="D1065">
        <v>8</v>
      </c>
    </row>
    <row r="1066" spans="2:4" x14ac:dyDescent="0.25">
      <c r="B1066" t="s">
        <v>1096</v>
      </c>
      <c r="C1066">
        <v>198</v>
      </c>
      <c r="D1066">
        <v>13</v>
      </c>
    </row>
    <row r="1067" spans="2:4" x14ac:dyDescent="0.25">
      <c r="B1067" t="s">
        <v>1096</v>
      </c>
      <c r="C1067">
        <v>198</v>
      </c>
      <c r="D1067">
        <v>14</v>
      </c>
    </row>
    <row r="1068" spans="2:4" x14ac:dyDescent="0.25">
      <c r="B1068" t="s">
        <v>1096</v>
      </c>
      <c r="C1068">
        <v>199</v>
      </c>
      <c r="D1068">
        <v>5</v>
      </c>
    </row>
    <row r="1069" spans="2:4" x14ac:dyDescent="0.25">
      <c r="B1069" t="s">
        <v>1096</v>
      </c>
      <c r="C1069">
        <v>200</v>
      </c>
      <c r="D1069">
        <v>6</v>
      </c>
    </row>
    <row r="1070" spans="2:4" x14ac:dyDescent="0.25">
      <c r="B1070" t="s">
        <v>1096</v>
      </c>
      <c r="C1070">
        <v>200</v>
      </c>
      <c r="D1070">
        <v>8</v>
      </c>
    </row>
    <row r="1071" spans="2:4" x14ac:dyDescent="0.25">
      <c r="B1071" t="s">
        <v>1096</v>
      </c>
      <c r="C1071">
        <v>200</v>
      </c>
      <c r="D1071">
        <v>13</v>
      </c>
    </row>
    <row r="1072" spans="2:4" x14ac:dyDescent="0.25">
      <c r="B1072" t="s">
        <v>1096</v>
      </c>
      <c r="C1072">
        <v>200</v>
      </c>
      <c r="D1072">
        <v>14</v>
      </c>
    </row>
    <row r="1073" spans="2:4" x14ac:dyDescent="0.25">
      <c r="B1073" t="s">
        <v>1096</v>
      </c>
      <c r="C1073">
        <v>201</v>
      </c>
      <c r="D1073">
        <v>5</v>
      </c>
    </row>
    <row r="1074" spans="2:4" x14ac:dyDescent="0.25">
      <c r="B1074" t="s">
        <v>1096</v>
      </c>
      <c r="C1074">
        <v>202</v>
      </c>
      <c r="D1074">
        <v>6</v>
      </c>
    </row>
    <row r="1075" spans="2:4" x14ac:dyDescent="0.25">
      <c r="B1075" t="s">
        <v>1096</v>
      </c>
      <c r="C1075">
        <v>202</v>
      </c>
      <c r="D1075">
        <v>8</v>
      </c>
    </row>
    <row r="1076" spans="2:4" x14ac:dyDescent="0.25">
      <c r="B1076" t="s">
        <v>1096</v>
      </c>
      <c r="C1076">
        <v>202</v>
      </c>
      <c r="D1076">
        <v>13</v>
      </c>
    </row>
    <row r="1077" spans="2:4" x14ac:dyDescent="0.25">
      <c r="B1077" t="s">
        <v>1096</v>
      </c>
      <c r="C1077">
        <v>202</v>
      </c>
      <c r="D1077">
        <v>14</v>
      </c>
    </row>
    <row r="1078" spans="2:4" x14ac:dyDescent="0.25">
      <c r="B1078" t="s">
        <v>1096</v>
      </c>
      <c r="C1078">
        <v>203</v>
      </c>
      <c r="D1078">
        <v>6</v>
      </c>
    </row>
    <row r="1079" spans="2:4" x14ac:dyDescent="0.25">
      <c r="B1079" t="s">
        <v>1096</v>
      </c>
      <c r="C1079">
        <v>203</v>
      </c>
      <c r="D1079">
        <v>8</v>
      </c>
    </row>
    <row r="1080" spans="2:4" x14ac:dyDescent="0.25">
      <c r="B1080" t="s">
        <v>1096</v>
      </c>
      <c r="C1080">
        <v>203</v>
      </c>
      <c r="D1080">
        <v>13</v>
      </c>
    </row>
    <row r="1081" spans="2:4" x14ac:dyDescent="0.25">
      <c r="B1081" t="s">
        <v>1096</v>
      </c>
      <c r="C1081">
        <v>203</v>
      </c>
      <c r="D1081">
        <v>14</v>
      </c>
    </row>
    <row r="1082" spans="2:4" x14ac:dyDescent="0.25">
      <c r="B1082" t="s">
        <v>1096</v>
      </c>
      <c r="C1082">
        <v>204</v>
      </c>
      <c r="D1082">
        <v>6</v>
      </c>
    </row>
    <row r="1083" spans="2:4" x14ac:dyDescent="0.25">
      <c r="B1083" t="s">
        <v>1096</v>
      </c>
      <c r="C1083">
        <v>204</v>
      </c>
      <c r="D1083">
        <v>8</v>
      </c>
    </row>
    <row r="1084" spans="2:4" x14ac:dyDescent="0.25">
      <c r="B1084" t="s">
        <v>1096</v>
      </c>
      <c r="C1084">
        <v>204</v>
      </c>
      <c r="D1084">
        <v>13</v>
      </c>
    </row>
    <row r="1085" spans="2:4" x14ac:dyDescent="0.25">
      <c r="B1085" t="s">
        <v>1096</v>
      </c>
      <c r="C1085">
        <v>204</v>
      </c>
      <c r="D1085">
        <v>14</v>
      </c>
    </row>
    <row r="1086" spans="2:4" x14ac:dyDescent="0.25">
      <c r="B1086" t="s">
        <v>1096</v>
      </c>
      <c r="C1086">
        <v>205</v>
      </c>
      <c r="D1086">
        <v>6</v>
      </c>
    </row>
    <row r="1087" spans="2:4" x14ac:dyDescent="0.25">
      <c r="B1087" t="s">
        <v>1096</v>
      </c>
      <c r="C1087">
        <v>205</v>
      </c>
      <c r="D1087">
        <v>8</v>
      </c>
    </row>
    <row r="1088" spans="2:4" x14ac:dyDescent="0.25">
      <c r="B1088" t="s">
        <v>1096</v>
      </c>
      <c r="C1088">
        <v>205</v>
      </c>
      <c r="D1088">
        <v>13</v>
      </c>
    </row>
    <row r="1089" spans="2:4" x14ac:dyDescent="0.25">
      <c r="B1089" t="s">
        <v>1096</v>
      </c>
      <c r="C1089">
        <v>205</v>
      </c>
      <c r="D1089">
        <v>14</v>
      </c>
    </row>
    <row r="1090" spans="2:4" x14ac:dyDescent="0.25">
      <c r="B1090" t="s">
        <v>1096</v>
      </c>
      <c r="C1090">
        <v>206</v>
      </c>
      <c r="D1090">
        <v>6</v>
      </c>
    </row>
    <row r="1091" spans="2:4" x14ac:dyDescent="0.25">
      <c r="B1091" t="s">
        <v>1096</v>
      </c>
      <c r="C1091">
        <v>206</v>
      </c>
      <c r="D1091">
        <v>8</v>
      </c>
    </row>
    <row r="1092" spans="2:4" x14ac:dyDescent="0.25">
      <c r="B1092" t="s">
        <v>1096</v>
      </c>
      <c r="C1092">
        <v>206</v>
      </c>
      <c r="D1092">
        <v>13</v>
      </c>
    </row>
    <row r="1093" spans="2:4" x14ac:dyDescent="0.25">
      <c r="B1093" t="s">
        <v>1096</v>
      </c>
      <c r="C1093">
        <v>206</v>
      </c>
      <c r="D1093">
        <v>14</v>
      </c>
    </row>
    <row r="1094" spans="2:4" x14ac:dyDescent="0.25">
      <c r="B1094" t="s">
        <v>1096</v>
      </c>
      <c r="C1094">
        <v>207</v>
      </c>
      <c r="D1094">
        <v>5</v>
      </c>
    </row>
    <row r="1095" spans="2:4" x14ac:dyDescent="0.25">
      <c r="B1095" t="s">
        <v>1096</v>
      </c>
      <c r="C1095">
        <v>208</v>
      </c>
      <c r="D1095">
        <v>6</v>
      </c>
    </row>
    <row r="1096" spans="2:4" x14ac:dyDescent="0.25">
      <c r="B1096" t="s">
        <v>1096</v>
      </c>
      <c r="C1096">
        <v>208</v>
      </c>
      <c r="D1096">
        <v>8</v>
      </c>
    </row>
    <row r="1097" spans="2:4" x14ac:dyDescent="0.25">
      <c r="B1097" t="s">
        <v>1096</v>
      </c>
      <c r="C1097">
        <v>208</v>
      </c>
      <c r="D1097">
        <v>13</v>
      </c>
    </row>
    <row r="1098" spans="2:4" x14ac:dyDescent="0.25">
      <c r="B1098" t="s">
        <v>1096</v>
      </c>
      <c r="C1098">
        <v>208</v>
      </c>
      <c r="D1098">
        <v>14</v>
      </c>
    </row>
    <row r="1099" spans="2:4" x14ac:dyDescent="0.25">
      <c r="B1099" t="s">
        <v>1096</v>
      </c>
      <c r="C1099">
        <v>209</v>
      </c>
      <c r="D1099">
        <v>6</v>
      </c>
    </row>
    <row r="1100" spans="2:4" x14ac:dyDescent="0.25">
      <c r="B1100" t="s">
        <v>1096</v>
      </c>
      <c r="C1100">
        <v>209</v>
      </c>
      <c r="D1100">
        <v>8</v>
      </c>
    </row>
    <row r="1101" spans="2:4" x14ac:dyDescent="0.25">
      <c r="B1101" t="s">
        <v>1096</v>
      </c>
      <c r="C1101">
        <v>209</v>
      </c>
      <c r="D1101">
        <v>13</v>
      </c>
    </row>
    <row r="1102" spans="2:4" x14ac:dyDescent="0.25">
      <c r="B1102" t="s">
        <v>1096</v>
      </c>
      <c r="C1102">
        <v>209</v>
      </c>
      <c r="D1102">
        <v>14</v>
      </c>
    </row>
    <row r="1103" spans="2:4" x14ac:dyDescent="0.25">
      <c r="B1103" t="s">
        <v>1096</v>
      </c>
      <c r="C1103">
        <v>210</v>
      </c>
      <c r="D1103">
        <v>6</v>
      </c>
    </row>
    <row r="1104" spans="2:4" x14ac:dyDescent="0.25">
      <c r="B1104" t="s">
        <v>1096</v>
      </c>
      <c r="C1104">
        <v>210</v>
      </c>
      <c r="D1104">
        <v>8</v>
      </c>
    </row>
    <row r="1105" spans="2:4" x14ac:dyDescent="0.25">
      <c r="B1105" t="s">
        <v>1096</v>
      </c>
      <c r="C1105">
        <v>210</v>
      </c>
      <c r="D1105">
        <v>13</v>
      </c>
    </row>
    <row r="1106" spans="2:4" x14ac:dyDescent="0.25">
      <c r="B1106" t="s">
        <v>1096</v>
      </c>
      <c r="C1106">
        <v>210</v>
      </c>
      <c r="D1106">
        <v>14</v>
      </c>
    </row>
    <row r="1107" spans="2:4" x14ac:dyDescent="0.25">
      <c r="B1107" t="s">
        <v>1096</v>
      </c>
      <c r="C1107">
        <v>211</v>
      </c>
      <c r="D1107">
        <v>5</v>
      </c>
    </row>
    <row r="1108" spans="2:4" x14ac:dyDescent="0.25">
      <c r="B1108" t="s">
        <v>1096</v>
      </c>
      <c r="C1108">
        <v>212</v>
      </c>
      <c r="D1108">
        <v>6</v>
      </c>
    </row>
    <row r="1109" spans="2:4" x14ac:dyDescent="0.25">
      <c r="B1109" t="s">
        <v>1096</v>
      </c>
      <c r="C1109">
        <v>212</v>
      </c>
      <c r="D1109">
        <v>8</v>
      </c>
    </row>
    <row r="1110" spans="2:4" x14ac:dyDescent="0.25">
      <c r="B1110" t="s">
        <v>1096</v>
      </c>
      <c r="C1110">
        <v>212</v>
      </c>
      <c r="D1110">
        <v>13</v>
      </c>
    </row>
    <row r="1111" spans="2:4" x14ac:dyDescent="0.25">
      <c r="B1111" t="s">
        <v>1096</v>
      </c>
      <c r="C1111">
        <v>212</v>
      </c>
      <c r="D1111">
        <v>14</v>
      </c>
    </row>
    <row r="1112" spans="2:4" x14ac:dyDescent="0.25">
      <c r="B1112" t="s">
        <v>1096</v>
      </c>
      <c r="C1112">
        <v>213</v>
      </c>
      <c r="D1112">
        <v>6</v>
      </c>
    </row>
    <row r="1113" spans="2:4" x14ac:dyDescent="0.25">
      <c r="B1113" t="s">
        <v>1096</v>
      </c>
      <c r="C1113">
        <v>213</v>
      </c>
      <c r="D1113">
        <v>8</v>
      </c>
    </row>
    <row r="1114" spans="2:4" x14ac:dyDescent="0.25">
      <c r="B1114" t="s">
        <v>1096</v>
      </c>
      <c r="C1114">
        <v>213</v>
      </c>
      <c r="D1114">
        <v>13</v>
      </c>
    </row>
    <row r="1115" spans="2:4" x14ac:dyDescent="0.25">
      <c r="B1115" t="s">
        <v>1096</v>
      </c>
      <c r="C1115">
        <v>213</v>
      </c>
      <c r="D1115">
        <v>14</v>
      </c>
    </row>
    <row r="1116" spans="2:4" x14ac:dyDescent="0.25">
      <c r="B1116" t="s">
        <v>1096</v>
      </c>
      <c r="C1116">
        <v>214</v>
      </c>
      <c r="D1116">
        <v>6</v>
      </c>
    </row>
    <row r="1117" spans="2:4" x14ac:dyDescent="0.25">
      <c r="B1117" t="s">
        <v>1096</v>
      </c>
      <c r="C1117">
        <v>214</v>
      </c>
      <c r="D1117">
        <v>8</v>
      </c>
    </row>
    <row r="1118" spans="2:4" x14ac:dyDescent="0.25">
      <c r="B1118" t="s">
        <v>1096</v>
      </c>
      <c r="C1118">
        <v>214</v>
      </c>
      <c r="D1118">
        <v>13</v>
      </c>
    </row>
    <row r="1119" spans="2:4" x14ac:dyDescent="0.25">
      <c r="B1119" t="s">
        <v>1096</v>
      </c>
      <c r="C1119">
        <v>214</v>
      </c>
      <c r="D1119">
        <v>14</v>
      </c>
    </row>
    <row r="1120" spans="2:4" x14ac:dyDescent="0.25">
      <c r="B1120" t="s">
        <v>1096</v>
      </c>
      <c r="C1120">
        <v>215</v>
      </c>
      <c r="D1120">
        <v>6</v>
      </c>
    </row>
    <row r="1121" spans="2:4" x14ac:dyDescent="0.25">
      <c r="B1121" t="s">
        <v>1096</v>
      </c>
      <c r="C1121">
        <v>215</v>
      </c>
      <c r="D1121">
        <v>8</v>
      </c>
    </row>
    <row r="1122" spans="2:4" x14ac:dyDescent="0.25">
      <c r="B1122" t="s">
        <v>1096</v>
      </c>
      <c r="C1122">
        <v>215</v>
      </c>
      <c r="D1122">
        <v>13</v>
      </c>
    </row>
    <row r="1123" spans="2:4" x14ac:dyDescent="0.25">
      <c r="B1123" t="s">
        <v>1096</v>
      </c>
      <c r="C1123">
        <v>215</v>
      </c>
      <c r="D1123">
        <v>14</v>
      </c>
    </row>
    <row r="1124" spans="2:4" x14ac:dyDescent="0.25">
      <c r="B1124" t="s">
        <v>1096</v>
      </c>
      <c r="C1124">
        <v>216</v>
      </c>
      <c r="D1124">
        <v>6</v>
      </c>
    </row>
    <row r="1125" spans="2:4" x14ac:dyDescent="0.25">
      <c r="B1125" t="s">
        <v>1096</v>
      </c>
      <c r="C1125">
        <v>216</v>
      </c>
      <c r="D1125">
        <v>8</v>
      </c>
    </row>
    <row r="1126" spans="2:4" x14ac:dyDescent="0.25">
      <c r="B1126" t="s">
        <v>1096</v>
      </c>
      <c r="C1126">
        <v>216</v>
      </c>
      <c r="D1126">
        <v>13</v>
      </c>
    </row>
    <row r="1127" spans="2:4" x14ac:dyDescent="0.25">
      <c r="B1127" t="s">
        <v>1096</v>
      </c>
      <c r="C1127">
        <v>216</v>
      </c>
      <c r="D1127">
        <v>14</v>
      </c>
    </row>
    <row r="1128" spans="2:4" x14ac:dyDescent="0.25">
      <c r="B1128" t="s">
        <v>1096</v>
      </c>
      <c r="C1128">
        <v>217</v>
      </c>
      <c r="D1128">
        <v>6</v>
      </c>
    </row>
    <row r="1129" spans="2:4" x14ac:dyDescent="0.25">
      <c r="B1129" t="s">
        <v>1096</v>
      </c>
      <c r="C1129">
        <v>217</v>
      </c>
      <c r="D1129">
        <v>8</v>
      </c>
    </row>
    <row r="1130" spans="2:4" x14ac:dyDescent="0.25">
      <c r="B1130" t="s">
        <v>1096</v>
      </c>
      <c r="C1130">
        <v>217</v>
      </c>
      <c r="D1130">
        <v>13</v>
      </c>
    </row>
    <row r="1131" spans="2:4" x14ac:dyDescent="0.25">
      <c r="B1131" t="s">
        <v>1096</v>
      </c>
      <c r="C1131">
        <v>217</v>
      </c>
      <c r="D1131">
        <v>14</v>
      </c>
    </row>
    <row r="1132" spans="2:4" x14ac:dyDescent="0.25">
      <c r="B1132" t="s">
        <v>1096</v>
      </c>
      <c r="C1132">
        <v>218</v>
      </c>
      <c r="D1132">
        <v>6</v>
      </c>
    </row>
    <row r="1133" spans="2:4" x14ac:dyDescent="0.25">
      <c r="B1133" t="s">
        <v>1096</v>
      </c>
      <c r="C1133">
        <v>218</v>
      </c>
      <c r="D1133">
        <v>8</v>
      </c>
    </row>
    <row r="1134" spans="2:4" x14ac:dyDescent="0.25">
      <c r="B1134" t="s">
        <v>1096</v>
      </c>
      <c r="C1134">
        <v>218</v>
      </c>
      <c r="D1134">
        <v>13</v>
      </c>
    </row>
    <row r="1135" spans="2:4" x14ac:dyDescent="0.25">
      <c r="B1135" t="s">
        <v>1096</v>
      </c>
      <c r="C1135">
        <v>218</v>
      </c>
      <c r="D1135">
        <v>14</v>
      </c>
    </row>
    <row r="1136" spans="2:4" x14ac:dyDescent="0.25">
      <c r="B1136" t="s">
        <v>1096</v>
      </c>
      <c r="C1136">
        <v>219</v>
      </c>
      <c r="D1136">
        <v>6</v>
      </c>
    </row>
    <row r="1137" spans="2:4" x14ac:dyDescent="0.25">
      <c r="B1137" t="s">
        <v>1096</v>
      </c>
      <c r="C1137">
        <v>219</v>
      </c>
      <c r="D1137">
        <v>8</v>
      </c>
    </row>
    <row r="1138" spans="2:4" x14ac:dyDescent="0.25">
      <c r="B1138" t="s">
        <v>1096</v>
      </c>
      <c r="C1138">
        <v>219</v>
      </c>
      <c r="D1138">
        <v>13</v>
      </c>
    </row>
    <row r="1139" spans="2:4" x14ac:dyDescent="0.25">
      <c r="B1139" t="s">
        <v>1096</v>
      </c>
      <c r="C1139">
        <v>219</v>
      </c>
      <c r="D1139">
        <v>14</v>
      </c>
    </row>
    <row r="1140" spans="2:4" x14ac:dyDescent="0.25">
      <c r="B1140" t="s">
        <v>1096</v>
      </c>
      <c r="C1140">
        <v>222</v>
      </c>
      <c r="D1140">
        <v>6</v>
      </c>
    </row>
    <row r="1141" spans="2:4" x14ac:dyDescent="0.25">
      <c r="B1141" t="s">
        <v>1096</v>
      </c>
      <c r="C1141">
        <v>222</v>
      </c>
      <c r="D1141">
        <v>8</v>
      </c>
    </row>
    <row r="1142" spans="2:4" x14ac:dyDescent="0.25">
      <c r="B1142" t="s">
        <v>1096</v>
      </c>
      <c r="C1142">
        <v>222</v>
      </c>
      <c r="D1142">
        <v>13</v>
      </c>
    </row>
    <row r="1143" spans="2:4" x14ac:dyDescent="0.25">
      <c r="B1143" t="s">
        <v>1096</v>
      </c>
      <c r="C1143">
        <v>222</v>
      </c>
      <c r="D1143">
        <v>14</v>
      </c>
    </row>
    <row r="1144" spans="2:4" x14ac:dyDescent="0.25">
      <c r="B1144" t="s">
        <v>1096</v>
      </c>
      <c r="C1144">
        <v>223</v>
      </c>
      <c r="D1144">
        <v>6</v>
      </c>
    </row>
    <row r="1145" spans="2:4" x14ac:dyDescent="0.25">
      <c r="B1145" t="s">
        <v>1096</v>
      </c>
      <c r="C1145">
        <v>223</v>
      </c>
      <c r="D1145">
        <v>8</v>
      </c>
    </row>
    <row r="1146" spans="2:4" x14ac:dyDescent="0.25">
      <c r="B1146" t="s">
        <v>1096</v>
      </c>
      <c r="C1146">
        <v>223</v>
      </c>
      <c r="D1146">
        <v>13</v>
      </c>
    </row>
    <row r="1147" spans="2:4" x14ac:dyDescent="0.25">
      <c r="B1147" t="s">
        <v>1096</v>
      </c>
      <c r="C1147">
        <v>223</v>
      </c>
      <c r="D1147">
        <v>14</v>
      </c>
    </row>
    <row r="1148" spans="2:4" x14ac:dyDescent="0.25">
      <c r="B1148" t="s">
        <v>1096</v>
      </c>
      <c r="C1148">
        <v>224</v>
      </c>
      <c r="D1148">
        <v>6</v>
      </c>
    </row>
    <row r="1149" spans="2:4" x14ac:dyDescent="0.25">
      <c r="B1149" t="s">
        <v>1096</v>
      </c>
      <c r="C1149">
        <v>224</v>
      </c>
      <c r="D1149">
        <v>8</v>
      </c>
    </row>
    <row r="1150" spans="2:4" x14ac:dyDescent="0.25">
      <c r="B1150" t="s">
        <v>1096</v>
      </c>
      <c r="C1150">
        <v>224</v>
      </c>
      <c r="D1150">
        <v>13</v>
      </c>
    </row>
    <row r="1151" spans="2:4" x14ac:dyDescent="0.25">
      <c r="B1151" t="s">
        <v>1096</v>
      </c>
      <c r="C1151">
        <v>224</v>
      </c>
      <c r="D1151">
        <v>14</v>
      </c>
    </row>
    <row r="1152" spans="2:4" x14ac:dyDescent="0.25">
      <c r="B1152" t="s">
        <v>1096</v>
      </c>
      <c r="C1152">
        <v>225</v>
      </c>
      <c r="D1152">
        <v>6</v>
      </c>
    </row>
    <row r="1153" spans="2:4" x14ac:dyDescent="0.25">
      <c r="B1153" t="s">
        <v>1096</v>
      </c>
      <c r="C1153">
        <v>225</v>
      </c>
      <c r="D1153">
        <v>8</v>
      </c>
    </row>
    <row r="1154" spans="2:4" x14ac:dyDescent="0.25">
      <c r="B1154" t="s">
        <v>1096</v>
      </c>
      <c r="C1154">
        <v>225</v>
      </c>
      <c r="D1154">
        <v>13</v>
      </c>
    </row>
    <row r="1155" spans="2:4" x14ac:dyDescent="0.25">
      <c r="B1155" t="s">
        <v>1096</v>
      </c>
      <c r="C1155">
        <v>225</v>
      </c>
      <c r="D1155">
        <v>14</v>
      </c>
    </row>
    <row r="1156" spans="2:4" x14ac:dyDescent="0.25">
      <c r="B1156" t="s">
        <v>1096</v>
      </c>
      <c r="C1156">
        <v>226</v>
      </c>
      <c r="D1156">
        <v>6</v>
      </c>
    </row>
    <row r="1157" spans="2:4" x14ac:dyDescent="0.25">
      <c r="B1157" t="s">
        <v>1096</v>
      </c>
      <c r="C1157">
        <v>226</v>
      </c>
      <c r="D1157">
        <v>8</v>
      </c>
    </row>
    <row r="1158" spans="2:4" x14ac:dyDescent="0.25">
      <c r="B1158" t="s">
        <v>1096</v>
      </c>
      <c r="C1158">
        <v>226</v>
      </c>
      <c r="D1158">
        <v>13</v>
      </c>
    </row>
    <row r="1159" spans="2:4" x14ac:dyDescent="0.25">
      <c r="B1159" t="s">
        <v>1096</v>
      </c>
      <c r="C1159">
        <v>226</v>
      </c>
      <c r="D1159">
        <v>14</v>
      </c>
    </row>
    <row r="1160" spans="2:4" x14ac:dyDescent="0.25">
      <c r="B1160" t="s">
        <v>1096</v>
      </c>
      <c r="C1160">
        <v>227</v>
      </c>
      <c r="D1160">
        <v>6</v>
      </c>
    </row>
    <row r="1161" spans="2:4" x14ac:dyDescent="0.25">
      <c r="B1161" t="s">
        <v>1096</v>
      </c>
      <c r="C1161">
        <v>227</v>
      </c>
      <c r="D1161">
        <v>8</v>
      </c>
    </row>
    <row r="1162" spans="2:4" x14ac:dyDescent="0.25">
      <c r="B1162" t="s">
        <v>1096</v>
      </c>
      <c r="C1162">
        <v>227</v>
      </c>
      <c r="D1162">
        <v>13</v>
      </c>
    </row>
    <row r="1163" spans="2:4" x14ac:dyDescent="0.25">
      <c r="B1163" t="s">
        <v>1096</v>
      </c>
      <c r="C1163">
        <v>227</v>
      </c>
      <c r="D1163">
        <v>14</v>
      </c>
    </row>
    <row r="1164" spans="2:4" x14ac:dyDescent="0.25">
      <c r="B1164" t="s">
        <v>1096</v>
      </c>
      <c r="C1164">
        <v>228</v>
      </c>
      <c r="D1164">
        <v>6</v>
      </c>
    </row>
    <row r="1165" spans="2:4" x14ac:dyDescent="0.25">
      <c r="B1165" t="s">
        <v>1096</v>
      </c>
      <c r="C1165">
        <v>228</v>
      </c>
      <c r="D1165">
        <v>8</v>
      </c>
    </row>
    <row r="1166" spans="2:4" x14ac:dyDescent="0.25">
      <c r="B1166" t="s">
        <v>1096</v>
      </c>
      <c r="C1166">
        <v>228</v>
      </c>
      <c r="D1166">
        <v>13</v>
      </c>
    </row>
    <row r="1167" spans="2:4" x14ac:dyDescent="0.25">
      <c r="B1167" t="s">
        <v>1096</v>
      </c>
      <c r="C1167">
        <v>228</v>
      </c>
      <c r="D1167">
        <v>14</v>
      </c>
    </row>
    <row r="1168" spans="2:4" x14ac:dyDescent="0.25">
      <c r="B1168" t="s">
        <v>1096</v>
      </c>
      <c r="C1168">
        <v>229</v>
      </c>
      <c r="D1168">
        <v>6</v>
      </c>
    </row>
    <row r="1169" spans="2:4" x14ac:dyDescent="0.25">
      <c r="B1169" t="s">
        <v>1096</v>
      </c>
      <c r="C1169">
        <v>229</v>
      </c>
      <c r="D1169">
        <v>8</v>
      </c>
    </row>
    <row r="1170" spans="2:4" x14ac:dyDescent="0.25">
      <c r="B1170" t="s">
        <v>1096</v>
      </c>
      <c r="C1170">
        <v>229</v>
      </c>
      <c r="D1170">
        <v>13</v>
      </c>
    </row>
    <row r="1171" spans="2:4" x14ac:dyDescent="0.25">
      <c r="B1171" t="s">
        <v>1096</v>
      </c>
      <c r="C1171">
        <v>229</v>
      </c>
      <c r="D1171">
        <v>14</v>
      </c>
    </row>
    <row r="1172" spans="2:4" x14ac:dyDescent="0.25">
      <c r="B1172" t="s">
        <v>1096</v>
      </c>
      <c r="C1172">
        <v>230</v>
      </c>
      <c r="D1172">
        <v>6</v>
      </c>
    </row>
    <row r="1173" spans="2:4" x14ac:dyDescent="0.25">
      <c r="B1173" t="s">
        <v>1096</v>
      </c>
      <c r="C1173">
        <v>230</v>
      </c>
      <c r="D1173">
        <v>8</v>
      </c>
    </row>
    <row r="1174" spans="2:4" x14ac:dyDescent="0.25">
      <c r="B1174" t="s">
        <v>1096</v>
      </c>
      <c r="C1174">
        <v>230</v>
      </c>
      <c r="D1174">
        <v>13</v>
      </c>
    </row>
    <row r="1175" spans="2:4" x14ac:dyDescent="0.25">
      <c r="B1175" t="s">
        <v>1096</v>
      </c>
      <c r="C1175">
        <v>230</v>
      </c>
      <c r="D1175">
        <v>14</v>
      </c>
    </row>
    <row r="1176" spans="2:4" x14ac:dyDescent="0.25">
      <c r="B1176" t="s">
        <v>1096</v>
      </c>
      <c r="C1176">
        <v>231</v>
      </c>
      <c r="D1176">
        <v>6</v>
      </c>
    </row>
    <row r="1177" spans="2:4" x14ac:dyDescent="0.25">
      <c r="B1177" t="s">
        <v>1096</v>
      </c>
      <c r="C1177">
        <v>231</v>
      </c>
      <c r="D1177">
        <v>8</v>
      </c>
    </row>
    <row r="1178" spans="2:4" x14ac:dyDescent="0.25">
      <c r="B1178" t="s">
        <v>1096</v>
      </c>
      <c r="C1178">
        <v>231</v>
      </c>
      <c r="D1178">
        <v>13</v>
      </c>
    </row>
    <row r="1179" spans="2:4" x14ac:dyDescent="0.25">
      <c r="B1179" t="s">
        <v>1096</v>
      </c>
      <c r="C1179">
        <v>231</v>
      </c>
      <c r="D1179">
        <v>14</v>
      </c>
    </row>
    <row r="1180" spans="2:4" x14ac:dyDescent="0.25">
      <c r="B1180" t="s">
        <v>1096</v>
      </c>
      <c r="C1180">
        <v>232</v>
      </c>
      <c r="D1180">
        <v>6</v>
      </c>
    </row>
    <row r="1181" spans="2:4" x14ac:dyDescent="0.25">
      <c r="B1181" t="s">
        <v>1096</v>
      </c>
      <c r="C1181">
        <v>232</v>
      </c>
      <c r="D1181">
        <v>8</v>
      </c>
    </row>
    <row r="1182" spans="2:4" x14ac:dyDescent="0.25">
      <c r="B1182" t="s">
        <v>1096</v>
      </c>
      <c r="C1182">
        <v>232</v>
      </c>
      <c r="D1182">
        <v>13</v>
      </c>
    </row>
    <row r="1183" spans="2:4" x14ac:dyDescent="0.25">
      <c r="B1183" t="s">
        <v>1096</v>
      </c>
      <c r="C1183">
        <v>232</v>
      </c>
      <c r="D1183">
        <v>14</v>
      </c>
    </row>
    <row r="1184" spans="2:4" x14ac:dyDescent="0.25">
      <c r="B1184" t="s">
        <v>1096</v>
      </c>
      <c r="C1184">
        <v>233</v>
      </c>
      <c r="D1184">
        <v>6</v>
      </c>
    </row>
    <row r="1185" spans="2:4" x14ac:dyDescent="0.25">
      <c r="B1185" t="s">
        <v>1096</v>
      </c>
      <c r="C1185">
        <v>233</v>
      </c>
      <c r="D1185">
        <v>8</v>
      </c>
    </row>
    <row r="1186" spans="2:4" x14ac:dyDescent="0.25">
      <c r="B1186" t="s">
        <v>1096</v>
      </c>
      <c r="C1186">
        <v>233</v>
      </c>
      <c r="D1186">
        <v>13</v>
      </c>
    </row>
    <row r="1187" spans="2:4" x14ac:dyDescent="0.25">
      <c r="B1187" t="s">
        <v>1096</v>
      </c>
      <c r="C1187">
        <v>233</v>
      </c>
      <c r="D1187">
        <v>14</v>
      </c>
    </row>
    <row r="1188" spans="2:4" x14ac:dyDescent="0.25">
      <c r="B1188" t="s">
        <v>1096</v>
      </c>
      <c r="C1188">
        <v>235</v>
      </c>
      <c r="D1188">
        <v>6</v>
      </c>
    </row>
    <row r="1189" spans="2:4" x14ac:dyDescent="0.25">
      <c r="B1189" t="s">
        <v>1096</v>
      </c>
      <c r="C1189">
        <v>235</v>
      </c>
      <c r="D1189">
        <v>8</v>
      </c>
    </row>
    <row r="1190" spans="2:4" x14ac:dyDescent="0.25">
      <c r="B1190" t="s">
        <v>1096</v>
      </c>
      <c r="C1190">
        <v>235</v>
      </c>
      <c r="D1190">
        <v>13</v>
      </c>
    </row>
    <row r="1191" spans="2:4" x14ac:dyDescent="0.25">
      <c r="B1191" t="s">
        <v>1096</v>
      </c>
      <c r="C1191">
        <v>235</v>
      </c>
      <c r="D1191">
        <v>14</v>
      </c>
    </row>
    <row r="1192" spans="2:4" x14ac:dyDescent="0.25">
      <c r="B1192" t="s">
        <v>1096</v>
      </c>
      <c r="C1192">
        <v>236</v>
      </c>
      <c r="D1192">
        <v>6</v>
      </c>
    </row>
    <row r="1193" spans="2:4" x14ac:dyDescent="0.25">
      <c r="B1193" t="s">
        <v>1096</v>
      </c>
      <c r="C1193">
        <v>236</v>
      </c>
      <c r="D1193">
        <v>8</v>
      </c>
    </row>
    <row r="1194" spans="2:4" x14ac:dyDescent="0.25">
      <c r="B1194" t="s">
        <v>1096</v>
      </c>
      <c r="C1194">
        <v>236</v>
      </c>
      <c r="D1194">
        <v>13</v>
      </c>
    </row>
    <row r="1195" spans="2:4" x14ac:dyDescent="0.25">
      <c r="B1195" t="s">
        <v>1096</v>
      </c>
      <c r="C1195">
        <v>236</v>
      </c>
      <c r="D1195">
        <v>14</v>
      </c>
    </row>
    <row r="1196" spans="2:4" x14ac:dyDescent="0.25">
      <c r="B1196" t="s">
        <v>1096</v>
      </c>
      <c r="C1196">
        <v>237</v>
      </c>
      <c r="D1196">
        <v>6</v>
      </c>
    </row>
    <row r="1197" spans="2:4" x14ac:dyDescent="0.25">
      <c r="B1197" t="s">
        <v>1096</v>
      </c>
      <c r="C1197">
        <v>237</v>
      </c>
      <c r="D1197">
        <v>8</v>
      </c>
    </row>
    <row r="1198" spans="2:4" x14ac:dyDescent="0.25">
      <c r="B1198" t="s">
        <v>1096</v>
      </c>
      <c r="C1198">
        <v>237</v>
      </c>
      <c r="D1198">
        <v>13</v>
      </c>
    </row>
    <row r="1199" spans="2:4" x14ac:dyDescent="0.25">
      <c r="B1199" t="s">
        <v>1096</v>
      </c>
      <c r="C1199">
        <v>237</v>
      </c>
      <c r="D1199">
        <v>14</v>
      </c>
    </row>
    <row r="1200" spans="2:4" x14ac:dyDescent="0.25">
      <c r="B1200" t="s">
        <v>1096</v>
      </c>
      <c r="C1200">
        <v>238</v>
      </c>
      <c r="D1200">
        <v>6</v>
      </c>
    </row>
    <row r="1201" spans="2:4" x14ac:dyDescent="0.25">
      <c r="B1201" t="s">
        <v>1096</v>
      </c>
      <c r="C1201">
        <v>238</v>
      </c>
      <c r="D1201">
        <v>8</v>
      </c>
    </row>
    <row r="1202" spans="2:4" x14ac:dyDescent="0.25">
      <c r="B1202" t="s">
        <v>1096</v>
      </c>
      <c r="C1202">
        <v>238</v>
      </c>
      <c r="D1202">
        <v>13</v>
      </c>
    </row>
    <row r="1203" spans="2:4" x14ac:dyDescent="0.25">
      <c r="B1203" t="s">
        <v>1096</v>
      </c>
      <c r="C1203">
        <v>238</v>
      </c>
      <c r="D1203">
        <v>14</v>
      </c>
    </row>
    <row r="1204" spans="2:4" x14ac:dyDescent="0.25">
      <c r="B1204" t="s">
        <v>1096</v>
      </c>
      <c r="C1204">
        <v>239</v>
      </c>
      <c r="D1204">
        <v>6</v>
      </c>
    </row>
    <row r="1205" spans="2:4" x14ac:dyDescent="0.25">
      <c r="B1205" t="s">
        <v>1096</v>
      </c>
      <c r="C1205">
        <v>239</v>
      </c>
      <c r="D1205">
        <v>8</v>
      </c>
    </row>
    <row r="1206" spans="2:4" x14ac:dyDescent="0.25">
      <c r="B1206" t="s">
        <v>1096</v>
      </c>
      <c r="C1206">
        <v>239</v>
      </c>
      <c r="D1206">
        <v>13</v>
      </c>
    </row>
    <row r="1207" spans="2:4" x14ac:dyDescent="0.25">
      <c r="B1207" t="s">
        <v>1096</v>
      </c>
      <c r="C1207">
        <v>239</v>
      </c>
      <c r="D1207">
        <v>14</v>
      </c>
    </row>
    <row r="1208" spans="2:4" x14ac:dyDescent="0.25">
      <c r="B1208" t="s">
        <v>1096</v>
      </c>
      <c r="C1208">
        <v>241</v>
      </c>
      <c r="D1208">
        <v>6</v>
      </c>
    </row>
    <row r="1209" spans="2:4" x14ac:dyDescent="0.25">
      <c r="B1209" t="s">
        <v>1096</v>
      </c>
      <c r="C1209">
        <v>241</v>
      </c>
      <c r="D1209">
        <v>8</v>
      </c>
    </row>
    <row r="1210" spans="2:4" x14ac:dyDescent="0.25">
      <c r="B1210" t="s">
        <v>1096</v>
      </c>
      <c r="C1210">
        <v>241</v>
      </c>
      <c r="D1210">
        <v>13</v>
      </c>
    </row>
    <row r="1211" spans="2:4" x14ac:dyDescent="0.25">
      <c r="B1211" t="s">
        <v>1096</v>
      </c>
      <c r="C1211">
        <v>241</v>
      </c>
      <c r="D1211">
        <v>14</v>
      </c>
    </row>
    <row r="1212" spans="2:4" x14ac:dyDescent="0.25">
      <c r="B1212" t="s">
        <v>1096</v>
      </c>
      <c r="C1212">
        <v>242</v>
      </c>
      <c r="D1212">
        <v>6</v>
      </c>
    </row>
    <row r="1213" spans="2:4" x14ac:dyDescent="0.25">
      <c r="B1213" t="s">
        <v>1096</v>
      </c>
      <c r="C1213">
        <v>242</v>
      </c>
      <c r="D1213">
        <v>8</v>
      </c>
    </row>
    <row r="1214" spans="2:4" x14ac:dyDescent="0.25">
      <c r="B1214" t="s">
        <v>1096</v>
      </c>
      <c r="C1214">
        <v>242</v>
      </c>
      <c r="D1214">
        <v>13</v>
      </c>
    </row>
    <row r="1215" spans="2:4" x14ac:dyDescent="0.25">
      <c r="B1215" t="s">
        <v>1096</v>
      </c>
      <c r="C1215">
        <v>242</v>
      </c>
      <c r="D1215">
        <v>14</v>
      </c>
    </row>
    <row r="1216" spans="2:4" x14ac:dyDescent="0.25">
      <c r="B1216" t="s">
        <v>1096</v>
      </c>
      <c r="C1216">
        <v>243</v>
      </c>
      <c r="D1216">
        <v>6</v>
      </c>
    </row>
    <row r="1217" spans="2:4" x14ac:dyDescent="0.25">
      <c r="B1217" t="s">
        <v>1096</v>
      </c>
      <c r="C1217">
        <v>243</v>
      </c>
      <c r="D1217">
        <v>8</v>
      </c>
    </row>
    <row r="1218" spans="2:4" x14ac:dyDescent="0.25">
      <c r="B1218" t="s">
        <v>1096</v>
      </c>
      <c r="C1218">
        <v>243</v>
      </c>
      <c r="D1218">
        <v>13</v>
      </c>
    </row>
    <row r="1219" spans="2:4" x14ac:dyDescent="0.25">
      <c r="B1219" t="s">
        <v>1096</v>
      </c>
      <c r="C1219">
        <v>243</v>
      </c>
      <c r="D1219">
        <v>14</v>
      </c>
    </row>
    <row r="1220" spans="2:4" x14ac:dyDescent="0.25">
      <c r="B1220" t="s">
        <v>1096</v>
      </c>
      <c r="C1220">
        <v>246</v>
      </c>
      <c r="D1220">
        <v>6</v>
      </c>
    </row>
    <row r="1221" spans="2:4" x14ac:dyDescent="0.25">
      <c r="B1221" t="s">
        <v>1096</v>
      </c>
      <c r="C1221">
        <v>246</v>
      </c>
      <c r="D1221">
        <v>8</v>
      </c>
    </row>
    <row r="1222" spans="2:4" x14ac:dyDescent="0.25">
      <c r="B1222" t="s">
        <v>1096</v>
      </c>
      <c r="C1222">
        <v>246</v>
      </c>
      <c r="D1222">
        <v>13</v>
      </c>
    </row>
    <row r="1223" spans="2:4" x14ac:dyDescent="0.25">
      <c r="B1223" t="s">
        <v>1096</v>
      </c>
      <c r="C1223">
        <v>246</v>
      </c>
      <c r="D1223">
        <v>14</v>
      </c>
    </row>
    <row r="1224" spans="2:4" x14ac:dyDescent="0.25">
      <c r="B1224" t="s">
        <v>1096</v>
      </c>
      <c r="C1224">
        <v>247</v>
      </c>
      <c r="D1224">
        <v>6</v>
      </c>
    </row>
    <row r="1225" spans="2:4" x14ac:dyDescent="0.25">
      <c r="B1225" t="s">
        <v>1096</v>
      </c>
      <c r="C1225">
        <v>247</v>
      </c>
      <c r="D1225">
        <v>8</v>
      </c>
    </row>
    <row r="1226" spans="2:4" x14ac:dyDescent="0.25">
      <c r="B1226" t="s">
        <v>1096</v>
      </c>
      <c r="C1226">
        <v>247</v>
      </c>
      <c r="D1226">
        <v>13</v>
      </c>
    </row>
    <row r="1227" spans="2:4" x14ac:dyDescent="0.25">
      <c r="B1227" t="s">
        <v>1096</v>
      </c>
      <c r="C1227">
        <v>247</v>
      </c>
      <c r="D1227">
        <v>14</v>
      </c>
    </row>
    <row r="1228" spans="2:4" x14ac:dyDescent="0.25">
      <c r="B1228" t="s">
        <v>1096</v>
      </c>
      <c r="C1228">
        <v>248</v>
      </c>
      <c r="D1228">
        <v>6</v>
      </c>
    </row>
    <row r="1229" spans="2:4" x14ac:dyDescent="0.25">
      <c r="B1229" t="s">
        <v>1096</v>
      </c>
      <c r="C1229">
        <v>248</v>
      </c>
      <c r="D1229">
        <v>8</v>
      </c>
    </row>
    <row r="1230" spans="2:4" x14ac:dyDescent="0.25">
      <c r="B1230" t="s">
        <v>1096</v>
      </c>
      <c r="C1230">
        <v>248</v>
      </c>
      <c r="D1230">
        <v>13</v>
      </c>
    </row>
    <row r="1231" spans="2:4" x14ac:dyDescent="0.25">
      <c r="B1231" t="s">
        <v>1096</v>
      </c>
      <c r="C1231">
        <v>248</v>
      </c>
      <c r="D1231">
        <v>14</v>
      </c>
    </row>
    <row r="1232" spans="2:4" x14ac:dyDescent="0.25">
      <c r="B1232" t="s">
        <v>1096</v>
      </c>
      <c r="C1232">
        <v>250</v>
      </c>
      <c r="D1232">
        <v>6</v>
      </c>
    </row>
    <row r="1233" spans="2:4" x14ac:dyDescent="0.25">
      <c r="B1233" t="s">
        <v>1096</v>
      </c>
      <c r="C1233">
        <v>250</v>
      </c>
      <c r="D1233">
        <v>8</v>
      </c>
    </row>
    <row r="1234" spans="2:4" x14ac:dyDescent="0.25">
      <c r="B1234" t="s">
        <v>1096</v>
      </c>
      <c r="C1234">
        <v>250</v>
      </c>
      <c r="D1234">
        <v>13</v>
      </c>
    </row>
    <row r="1235" spans="2:4" x14ac:dyDescent="0.25">
      <c r="B1235" t="s">
        <v>1096</v>
      </c>
      <c r="C1235">
        <v>250</v>
      </c>
      <c r="D1235">
        <v>14</v>
      </c>
    </row>
    <row r="1236" spans="2:4" x14ac:dyDescent="0.25">
      <c r="B1236" t="s">
        <v>1096</v>
      </c>
      <c r="C1236">
        <v>251</v>
      </c>
      <c r="D1236">
        <v>6</v>
      </c>
    </row>
    <row r="1237" spans="2:4" x14ac:dyDescent="0.25">
      <c r="B1237" t="s">
        <v>1096</v>
      </c>
      <c r="C1237">
        <v>251</v>
      </c>
      <c r="D1237">
        <v>8</v>
      </c>
    </row>
    <row r="1238" spans="2:4" x14ac:dyDescent="0.25">
      <c r="B1238" t="s">
        <v>1096</v>
      </c>
      <c r="C1238">
        <v>251</v>
      </c>
      <c r="D1238">
        <v>13</v>
      </c>
    </row>
    <row r="1239" spans="2:4" x14ac:dyDescent="0.25">
      <c r="B1239" t="s">
        <v>1096</v>
      </c>
      <c r="C1239">
        <v>251</v>
      </c>
      <c r="D1239">
        <v>14</v>
      </c>
    </row>
    <row r="1240" spans="2:4" x14ac:dyDescent="0.25">
      <c r="B1240" t="s">
        <v>1096</v>
      </c>
      <c r="C1240">
        <v>252</v>
      </c>
      <c r="D1240">
        <v>6</v>
      </c>
    </row>
    <row r="1241" spans="2:4" x14ac:dyDescent="0.25">
      <c r="B1241" t="s">
        <v>1096</v>
      </c>
      <c r="C1241">
        <v>252</v>
      </c>
      <c r="D1241">
        <v>8</v>
      </c>
    </row>
    <row r="1242" spans="2:4" x14ac:dyDescent="0.25">
      <c r="B1242" t="s">
        <v>1096</v>
      </c>
      <c r="C1242">
        <v>252</v>
      </c>
      <c r="D1242">
        <v>13</v>
      </c>
    </row>
    <row r="1243" spans="2:4" x14ac:dyDescent="0.25">
      <c r="B1243" t="s">
        <v>1096</v>
      </c>
      <c r="C1243">
        <v>252</v>
      </c>
      <c r="D1243">
        <v>14</v>
      </c>
    </row>
    <row r="1244" spans="2:4" x14ac:dyDescent="0.25">
      <c r="B1244" t="s">
        <v>1096</v>
      </c>
      <c r="C1244">
        <v>253</v>
      </c>
      <c r="D1244">
        <v>6</v>
      </c>
    </row>
    <row r="1245" spans="2:4" x14ac:dyDescent="0.25">
      <c r="B1245" t="s">
        <v>1096</v>
      </c>
      <c r="C1245">
        <v>253</v>
      </c>
      <c r="D1245">
        <v>8</v>
      </c>
    </row>
    <row r="1246" spans="2:4" x14ac:dyDescent="0.25">
      <c r="B1246" t="s">
        <v>1096</v>
      </c>
      <c r="C1246">
        <v>253</v>
      </c>
      <c r="D1246">
        <v>13</v>
      </c>
    </row>
    <row r="1247" spans="2:4" x14ac:dyDescent="0.25">
      <c r="B1247" t="s">
        <v>1096</v>
      </c>
      <c r="C1247">
        <v>253</v>
      </c>
      <c r="D1247">
        <v>14</v>
      </c>
    </row>
    <row r="1248" spans="2:4" x14ac:dyDescent="0.25">
      <c r="B1248" t="s">
        <v>1096</v>
      </c>
      <c r="C1248">
        <v>255</v>
      </c>
      <c r="D1248">
        <v>6</v>
      </c>
    </row>
    <row r="1249" spans="2:4" x14ac:dyDescent="0.25">
      <c r="B1249" t="s">
        <v>1096</v>
      </c>
      <c r="C1249">
        <v>255</v>
      </c>
      <c r="D1249">
        <v>8</v>
      </c>
    </row>
    <row r="1250" spans="2:4" x14ac:dyDescent="0.25">
      <c r="B1250" t="s">
        <v>1096</v>
      </c>
      <c r="C1250">
        <v>255</v>
      </c>
      <c r="D1250">
        <v>13</v>
      </c>
    </row>
    <row r="1251" spans="2:4" x14ac:dyDescent="0.25">
      <c r="B1251" t="s">
        <v>1096</v>
      </c>
      <c r="C1251">
        <v>255</v>
      </c>
      <c r="D1251">
        <v>14</v>
      </c>
    </row>
    <row r="1252" spans="2:4" x14ac:dyDescent="0.25">
      <c r="B1252" t="s">
        <v>1096</v>
      </c>
      <c r="C1252">
        <v>256</v>
      </c>
      <c r="D1252">
        <v>6</v>
      </c>
    </row>
    <row r="1253" spans="2:4" x14ac:dyDescent="0.25">
      <c r="B1253" t="s">
        <v>1096</v>
      </c>
      <c r="C1253">
        <v>256</v>
      </c>
      <c r="D1253">
        <v>8</v>
      </c>
    </row>
    <row r="1254" spans="2:4" x14ac:dyDescent="0.25">
      <c r="B1254" t="s">
        <v>1096</v>
      </c>
      <c r="C1254">
        <v>256</v>
      </c>
      <c r="D1254">
        <v>13</v>
      </c>
    </row>
    <row r="1255" spans="2:4" x14ac:dyDescent="0.25">
      <c r="B1255" t="s">
        <v>1096</v>
      </c>
      <c r="C1255">
        <v>256</v>
      </c>
      <c r="D1255">
        <v>14</v>
      </c>
    </row>
    <row r="1256" spans="2:4" x14ac:dyDescent="0.25">
      <c r="B1256" t="s">
        <v>1096</v>
      </c>
      <c r="C1256">
        <v>257</v>
      </c>
      <c r="D1256">
        <v>6</v>
      </c>
    </row>
    <row r="1257" spans="2:4" x14ac:dyDescent="0.25">
      <c r="B1257" t="s">
        <v>1096</v>
      </c>
      <c r="C1257">
        <v>257</v>
      </c>
      <c r="D1257">
        <v>8</v>
      </c>
    </row>
    <row r="1258" spans="2:4" x14ac:dyDescent="0.25">
      <c r="B1258" t="s">
        <v>1096</v>
      </c>
      <c r="C1258">
        <v>257</v>
      </c>
      <c r="D1258">
        <v>13</v>
      </c>
    </row>
    <row r="1259" spans="2:4" x14ac:dyDescent="0.25">
      <c r="B1259" t="s">
        <v>1096</v>
      </c>
      <c r="C1259">
        <v>257</v>
      </c>
      <c r="D1259">
        <v>14</v>
      </c>
    </row>
    <row r="1260" spans="2:4" x14ac:dyDescent="0.25">
      <c r="B1260" t="s">
        <v>1096</v>
      </c>
      <c r="C1260">
        <v>258</v>
      </c>
      <c r="D1260">
        <v>6</v>
      </c>
    </row>
    <row r="1261" spans="2:4" x14ac:dyDescent="0.25">
      <c r="B1261" t="s">
        <v>1096</v>
      </c>
      <c r="C1261">
        <v>258</v>
      </c>
      <c r="D1261">
        <v>8</v>
      </c>
    </row>
    <row r="1262" spans="2:4" x14ac:dyDescent="0.25">
      <c r="B1262" t="s">
        <v>1096</v>
      </c>
      <c r="C1262">
        <v>258</v>
      </c>
      <c r="D1262">
        <v>13</v>
      </c>
    </row>
    <row r="1263" spans="2:4" x14ac:dyDescent="0.25">
      <c r="B1263" t="s">
        <v>1096</v>
      </c>
      <c r="C1263">
        <v>258</v>
      </c>
      <c r="D1263">
        <v>14</v>
      </c>
    </row>
    <row r="1264" spans="2:4" x14ac:dyDescent="0.25">
      <c r="B1264" t="s">
        <v>1096</v>
      </c>
      <c r="C1264">
        <v>259</v>
      </c>
      <c r="D1264">
        <v>6</v>
      </c>
    </row>
    <row r="1265" spans="2:4" x14ac:dyDescent="0.25">
      <c r="B1265" t="s">
        <v>1096</v>
      </c>
      <c r="C1265">
        <v>259</v>
      </c>
      <c r="D1265">
        <v>8</v>
      </c>
    </row>
    <row r="1266" spans="2:4" x14ac:dyDescent="0.25">
      <c r="B1266" t="s">
        <v>1096</v>
      </c>
      <c r="C1266">
        <v>259</v>
      </c>
      <c r="D1266">
        <v>13</v>
      </c>
    </row>
    <row r="1267" spans="2:4" x14ac:dyDescent="0.25">
      <c r="B1267" t="s">
        <v>1096</v>
      </c>
      <c r="C1267">
        <v>259</v>
      </c>
      <c r="D1267">
        <v>14</v>
      </c>
    </row>
    <row r="1268" spans="2:4" x14ac:dyDescent="0.25">
      <c r="B1268" t="s">
        <v>1096</v>
      </c>
      <c r="C1268">
        <v>260</v>
      </c>
      <c r="D1268">
        <v>6</v>
      </c>
    </row>
    <row r="1269" spans="2:4" x14ac:dyDescent="0.25">
      <c r="B1269" t="s">
        <v>1096</v>
      </c>
      <c r="C1269">
        <v>260</v>
      </c>
      <c r="D1269">
        <v>8</v>
      </c>
    </row>
    <row r="1270" spans="2:4" x14ac:dyDescent="0.25">
      <c r="B1270" t="s">
        <v>1096</v>
      </c>
      <c r="C1270">
        <v>260</v>
      </c>
      <c r="D1270">
        <v>13</v>
      </c>
    </row>
    <row r="1271" spans="2:4" x14ac:dyDescent="0.25">
      <c r="B1271" t="s">
        <v>1096</v>
      </c>
      <c r="C1271">
        <v>260</v>
      </c>
      <c r="D1271">
        <v>14</v>
      </c>
    </row>
    <row r="1272" spans="2:4" x14ac:dyDescent="0.25">
      <c r="B1272" t="s">
        <v>1096</v>
      </c>
      <c r="C1272">
        <v>261</v>
      </c>
      <c r="D1272">
        <v>6</v>
      </c>
    </row>
    <row r="1273" spans="2:4" x14ac:dyDescent="0.25">
      <c r="B1273" t="s">
        <v>1096</v>
      </c>
      <c r="C1273">
        <v>261</v>
      </c>
      <c r="D1273">
        <v>8</v>
      </c>
    </row>
    <row r="1274" spans="2:4" x14ac:dyDescent="0.25">
      <c r="B1274" t="s">
        <v>1096</v>
      </c>
      <c r="C1274">
        <v>261</v>
      </c>
      <c r="D1274">
        <v>13</v>
      </c>
    </row>
    <row r="1275" spans="2:4" x14ac:dyDescent="0.25">
      <c r="B1275" t="s">
        <v>1096</v>
      </c>
      <c r="C1275">
        <v>261</v>
      </c>
      <c r="D1275">
        <v>14</v>
      </c>
    </row>
    <row r="1276" spans="2:4" x14ac:dyDescent="0.25">
      <c r="B1276" t="s">
        <v>1096</v>
      </c>
      <c r="C1276">
        <v>262</v>
      </c>
      <c r="D1276">
        <v>6</v>
      </c>
    </row>
    <row r="1277" spans="2:4" x14ac:dyDescent="0.25">
      <c r="B1277" t="s">
        <v>1096</v>
      </c>
      <c r="C1277">
        <v>262</v>
      </c>
      <c r="D1277">
        <v>8</v>
      </c>
    </row>
    <row r="1278" spans="2:4" x14ac:dyDescent="0.25">
      <c r="B1278" t="s">
        <v>1096</v>
      </c>
      <c r="C1278">
        <v>262</v>
      </c>
      <c r="D1278">
        <v>13</v>
      </c>
    </row>
    <row r="1279" spans="2:4" x14ac:dyDescent="0.25">
      <c r="B1279" t="s">
        <v>1096</v>
      </c>
      <c r="C1279">
        <v>262</v>
      </c>
      <c r="D1279">
        <v>14</v>
      </c>
    </row>
    <row r="1280" spans="2:4" x14ac:dyDescent="0.25">
      <c r="B1280" t="s">
        <v>1096</v>
      </c>
      <c r="C1280">
        <v>263</v>
      </c>
      <c r="D1280">
        <v>6</v>
      </c>
    </row>
    <row r="1281" spans="2:4" x14ac:dyDescent="0.25">
      <c r="B1281" t="s">
        <v>1096</v>
      </c>
      <c r="C1281">
        <v>263</v>
      </c>
      <c r="D1281">
        <v>8</v>
      </c>
    </row>
    <row r="1282" spans="2:4" x14ac:dyDescent="0.25">
      <c r="B1282" t="s">
        <v>1096</v>
      </c>
      <c r="C1282">
        <v>263</v>
      </c>
      <c r="D1282">
        <v>13</v>
      </c>
    </row>
    <row r="1283" spans="2:4" x14ac:dyDescent="0.25">
      <c r="B1283" t="s">
        <v>1096</v>
      </c>
      <c r="C1283">
        <v>263</v>
      </c>
      <c r="D1283">
        <v>14</v>
      </c>
    </row>
    <row r="1284" spans="2:4" x14ac:dyDescent="0.25">
      <c r="B1284" t="s">
        <v>1096</v>
      </c>
      <c r="C1284">
        <v>264</v>
      </c>
      <c r="D1284">
        <v>6</v>
      </c>
    </row>
    <row r="1285" spans="2:4" x14ac:dyDescent="0.25">
      <c r="B1285" t="s">
        <v>1096</v>
      </c>
      <c r="C1285">
        <v>264</v>
      </c>
      <c r="D1285">
        <v>8</v>
      </c>
    </row>
    <row r="1286" spans="2:4" x14ac:dyDescent="0.25">
      <c r="B1286" t="s">
        <v>1096</v>
      </c>
      <c r="C1286">
        <v>264</v>
      </c>
      <c r="D1286">
        <v>13</v>
      </c>
    </row>
    <row r="1287" spans="2:4" x14ac:dyDescent="0.25">
      <c r="B1287" t="s">
        <v>1096</v>
      </c>
      <c r="C1287">
        <v>264</v>
      </c>
      <c r="D1287">
        <v>14</v>
      </c>
    </row>
    <row r="1288" spans="2:4" x14ac:dyDescent="0.25">
      <c r="B1288" t="s">
        <v>1096</v>
      </c>
      <c r="C1288">
        <v>265</v>
      </c>
      <c r="D1288">
        <v>6</v>
      </c>
    </row>
    <row r="1289" spans="2:4" x14ac:dyDescent="0.25">
      <c r="B1289" t="s">
        <v>1096</v>
      </c>
      <c r="C1289">
        <v>265</v>
      </c>
      <c r="D1289">
        <v>8</v>
      </c>
    </row>
    <row r="1290" spans="2:4" x14ac:dyDescent="0.25">
      <c r="B1290" t="s">
        <v>1096</v>
      </c>
      <c r="C1290">
        <v>265</v>
      </c>
      <c r="D1290">
        <v>13</v>
      </c>
    </row>
    <row r="1291" spans="2:4" x14ac:dyDescent="0.25">
      <c r="B1291" t="s">
        <v>1096</v>
      </c>
      <c r="C1291">
        <v>265</v>
      </c>
      <c r="D1291">
        <v>14</v>
      </c>
    </row>
    <row r="1292" spans="2:4" x14ac:dyDescent="0.25">
      <c r="B1292" t="s">
        <v>1096</v>
      </c>
      <c r="C1292">
        <v>266</v>
      </c>
      <c r="D1292">
        <v>6</v>
      </c>
    </row>
    <row r="1293" spans="2:4" x14ac:dyDescent="0.25">
      <c r="B1293" t="s">
        <v>1096</v>
      </c>
      <c r="C1293">
        <v>266</v>
      </c>
      <c r="D1293">
        <v>8</v>
      </c>
    </row>
    <row r="1294" spans="2:4" x14ac:dyDescent="0.25">
      <c r="B1294" t="s">
        <v>1096</v>
      </c>
      <c r="C1294">
        <v>266</v>
      </c>
      <c r="D1294">
        <v>13</v>
      </c>
    </row>
    <row r="1295" spans="2:4" x14ac:dyDescent="0.25">
      <c r="B1295" t="s">
        <v>1096</v>
      </c>
      <c r="C1295">
        <v>266</v>
      </c>
      <c r="D1295">
        <v>14</v>
      </c>
    </row>
    <row r="1296" spans="2:4" x14ac:dyDescent="0.25">
      <c r="B1296" t="s">
        <v>1096</v>
      </c>
      <c r="C1296">
        <v>267</v>
      </c>
      <c r="D1296">
        <v>6</v>
      </c>
    </row>
    <row r="1297" spans="2:4" x14ac:dyDescent="0.25">
      <c r="B1297" t="s">
        <v>1096</v>
      </c>
      <c r="C1297">
        <v>267</v>
      </c>
      <c r="D1297">
        <v>8</v>
      </c>
    </row>
    <row r="1298" spans="2:4" x14ac:dyDescent="0.25">
      <c r="B1298" t="s">
        <v>1096</v>
      </c>
      <c r="C1298">
        <v>267</v>
      </c>
      <c r="D1298">
        <v>13</v>
      </c>
    </row>
    <row r="1299" spans="2:4" x14ac:dyDescent="0.25">
      <c r="B1299" t="s">
        <v>1096</v>
      </c>
      <c r="C1299">
        <v>267</v>
      </c>
      <c r="D1299">
        <v>14</v>
      </c>
    </row>
    <row r="1300" spans="2:4" x14ac:dyDescent="0.25">
      <c r="B1300" t="s">
        <v>1096</v>
      </c>
      <c r="C1300">
        <v>268</v>
      </c>
      <c r="D1300">
        <v>6</v>
      </c>
    </row>
    <row r="1301" spans="2:4" x14ac:dyDescent="0.25">
      <c r="B1301" t="s">
        <v>1096</v>
      </c>
      <c r="C1301">
        <v>268</v>
      </c>
      <c r="D1301">
        <v>8</v>
      </c>
    </row>
    <row r="1302" spans="2:4" x14ac:dyDescent="0.25">
      <c r="B1302" t="s">
        <v>1096</v>
      </c>
      <c r="C1302">
        <v>268</v>
      </c>
      <c r="D1302">
        <v>13</v>
      </c>
    </row>
    <row r="1303" spans="2:4" x14ac:dyDescent="0.25">
      <c r="B1303" t="s">
        <v>1096</v>
      </c>
      <c r="C1303">
        <v>268</v>
      </c>
      <c r="D1303">
        <v>14</v>
      </c>
    </row>
    <row r="1304" spans="2:4" x14ac:dyDescent="0.25">
      <c r="B1304" t="s">
        <v>1096</v>
      </c>
      <c r="C1304">
        <v>269</v>
      </c>
      <c r="D1304">
        <v>6</v>
      </c>
    </row>
    <row r="1305" spans="2:4" x14ac:dyDescent="0.25">
      <c r="B1305" t="s">
        <v>1096</v>
      </c>
      <c r="C1305">
        <v>269</v>
      </c>
      <c r="D1305">
        <v>8</v>
      </c>
    </row>
    <row r="1306" spans="2:4" x14ac:dyDescent="0.25">
      <c r="B1306" t="s">
        <v>1096</v>
      </c>
      <c r="C1306">
        <v>269</v>
      </c>
      <c r="D1306">
        <v>13</v>
      </c>
    </row>
    <row r="1307" spans="2:4" x14ac:dyDescent="0.25">
      <c r="B1307" t="s">
        <v>1096</v>
      </c>
      <c r="C1307">
        <v>269</v>
      </c>
      <c r="D1307">
        <v>14</v>
      </c>
    </row>
    <row r="1308" spans="2:4" x14ac:dyDescent="0.25">
      <c r="B1308" t="s">
        <v>1096</v>
      </c>
      <c r="C1308">
        <v>270</v>
      </c>
      <c r="D1308">
        <v>6</v>
      </c>
    </row>
    <row r="1309" spans="2:4" x14ac:dyDescent="0.25">
      <c r="B1309" t="s">
        <v>1096</v>
      </c>
      <c r="C1309">
        <v>270</v>
      </c>
      <c r="D1309">
        <v>8</v>
      </c>
    </row>
    <row r="1310" spans="2:4" x14ac:dyDescent="0.25">
      <c r="B1310" t="s">
        <v>1096</v>
      </c>
      <c r="C1310">
        <v>270</v>
      </c>
      <c r="D1310">
        <v>13</v>
      </c>
    </row>
    <row r="1311" spans="2:4" x14ac:dyDescent="0.25">
      <c r="B1311" t="s">
        <v>1096</v>
      </c>
      <c r="C1311">
        <v>270</v>
      </c>
      <c r="D1311">
        <v>14</v>
      </c>
    </row>
    <row r="1312" spans="2:4" x14ac:dyDescent="0.25">
      <c r="B1312" t="s">
        <v>1096</v>
      </c>
      <c r="C1312">
        <v>271</v>
      </c>
      <c r="D1312">
        <v>6</v>
      </c>
    </row>
    <row r="1313" spans="2:4" x14ac:dyDescent="0.25">
      <c r="B1313" t="s">
        <v>1096</v>
      </c>
      <c r="C1313">
        <v>271</v>
      </c>
      <c r="D1313">
        <v>8</v>
      </c>
    </row>
    <row r="1314" spans="2:4" x14ac:dyDescent="0.25">
      <c r="B1314" t="s">
        <v>1096</v>
      </c>
      <c r="C1314">
        <v>271</v>
      </c>
      <c r="D1314">
        <v>13</v>
      </c>
    </row>
    <row r="1315" spans="2:4" x14ac:dyDescent="0.25">
      <c r="B1315" t="s">
        <v>1096</v>
      </c>
      <c r="C1315">
        <v>271</v>
      </c>
      <c r="D1315">
        <v>14</v>
      </c>
    </row>
    <row r="1316" spans="2:4" x14ac:dyDescent="0.25">
      <c r="B1316" t="s">
        <v>1096</v>
      </c>
      <c r="C1316">
        <v>272</v>
      </c>
      <c r="D1316">
        <v>6</v>
      </c>
    </row>
    <row r="1317" spans="2:4" x14ac:dyDescent="0.25">
      <c r="B1317" t="s">
        <v>1096</v>
      </c>
      <c r="C1317">
        <v>272</v>
      </c>
      <c r="D1317">
        <v>8</v>
      </c>
    </row>
    <row r="1318" spans="2:4" x14ac:dyDescent="0.25">
      <c r="B1318" t="s">
        <v>1096</v>
      </c>
      <c r="C1318">
        <v>272</v>
      </c>
      <c r="D1318">
        <v>13</v>
      </c>
    </row>
    <row r="1319" spans="2:4" x14ac:dyDescent="0.25">
      <c r="B1319" t="s">
        <v>1096</v>
      </c>
      <c r="C1319">
        <v>272</v>
      </c>
      <c r="D1319">
        <v>14</v>
      </c>
    </row>
    <row r="1320" spans="2:4" x14ac:dyDescent="0.25">
      <c r="B1320" t="s">
        <v>1095</v>
      </c>
      <c r="C1320">
        <v>7</v>
      </c>
      <c r="D1320">
        <v>6</v>
      </c>
    </row>
    <row r="1321" spans="2:4" x14ac:dyDescent="0.25">
      <c r="B1321" t="s">
        <v>1095</v>
      </c>
      <c r="C1321">
        <v>7</v>
      </c>
      <c r="D1321">
        <v>8</v>
      </c>
    </row>
    <row r="1322" spans="2:4" x14ac:dyDescent="0.25">
      <c r="B1322" t="s">
        <v>1095</v>
      </c>
      <c r="C1322">
        <v>7</v>
      </c>
      <c r="D1322">
        <v>13</v>
      </c>
    </row>
    <row r="1323" spans="2:4" x14ac:dyDescent="0.25">
      <c r="B1323" t="s">
        <v>1095</v>
      </c>
      <c r="C1323">
        <v>7</v>
      </c>
      <c r="D1323">
        <v>14</v>
      </c>
    </row>
    <row r="1324" spans="2:4" x14ac:dyDescent="0.25">
      <c r="B1324" t="s">
        <v>1095</v>
      </c>
      <c r="C1324">
        <v>8</v>
      </c>
      <c r="D1324">
        <v>6</v>
      </c>
    </row>
    <row r="1325" spans="2:4" x14ac:dyDescent="0.25">
      <c r="B1325" t="s">
        <v>1095</v>
      </c>
      <c r="C1325">
        <v>8</v>
      </c>
      <c r="D1325">
        <v>8</v>
      </c>
    </row>
    <row r="1326" spans="2:4" x14ac:dyDescent="0.25">
      <c r="B1326" t="s">
        <v>1095</v>
      </c>
      <c r="C1326">
        <v>8</v>
      </c>
      <c r="D1326">
        <v>13</v>
      </c>
    </row>
    <row r="1327" spans="2:4" x14ac:dyDescent="0.25">
      <c r="B1327" t="s">
        <v>1095</v>
      </c>
      <c r="C1327">
        <v>8</v>
      </c>
      <c r="D1327">
        <v>14</v>
      </c>
    </row>
    <row r="1328" spans="2:4" x14ac:dyDescent="0.25">
      <c r="B1328" t="s">
        <v>1095</v>
      </c>
      <c r="C1328">
        <v>9</v>
      </c>
      <c r="D1328">
        <v>6</v>
      </c>
    </row>
    <row r="1329" spans="2:4" x14ac:dyDescent="0.25">
      <c r="B1329" t="s">
        <v>1095</v>
      </c>
      <c r="C1329">
        <v>9</v>
      </c>
      <c r="D1329">
        <v>8</v>
      </c>
    </row>
    <row r="1330" spans="2:4" x14ac:dyDescent="0.25">
      <c r="B1330" t="s">
        <v>1095</v>
      </c>
      <c r="C1330">
        <v>9</v>
      </c>
      <c r="D1330">
        <v>13</v>
      </c>
    </row>
    <row r="1331" spans="2:4" x14ac:dyDescent="0.25">
      <c r="B1331" t="s">
        <v>1095</v>
      </c>
      <c r="C1331">
        <v>9</v>
      </c>
      <c r="D1331">
        <v>14</v>
      </c>
    </row>
    <row r="1332" spans="2:4" x14ac:dyDescent="0.25">
      <c r="B1332" t="s">
        <v>1095</v>
      </c>
      <c r="C1332">
        <v>10</v>
      </c>
      <c r="D1332">
        <v>6</v>
      </c>
    </row>
    <row r="1333" spans="2:4" x14ac:dyDescent="0.25">
      <c r="B1333" t="s">
        <v>1095</v>
      </c>
      <c r="C1333">
        <v>10</v>
      </c>
      <c r="D1333">
        <v>8</v>
      </c>
    </row>
    <row r="1334" spans="2:4" x14ac:dyDescent="0.25">
      <c r="B1334" t="s">
        <v>1095</v>
      </c>
      <c r="C1334">
        <v>10</v>
      </c>
      <c r="D1334">
        <v>13</v>
      </c>
    </row>
    <row r="1335" spans="2:4" x14ac:dyDescent="0.25">
      <c r="B1335" t="s">
        <v>1095</v>
      </c>
      <c r="C1335">
        <v>10</v>
      </c>
      <c r="D1335">
        <v>14</v>
      </c>
    </row>
    <row r="1336" spans="2:4" x14ac:dyDescent="0.25">
      <c r="B1336" t="s">
        <v>1095</v>
      </c>
      <c r="C1336">
        <v>11</v>
      </c>
      <c r="D1336">
        <v>6</v>
      </c>
    </row>
    <row r="1337" spans="2:4" x14ac:dyDescent="0.25">
      <c r="B1337" t="s">
        <v>1095</v>
      </c>
      <c r="C1337">
        <v>11</v>
      </c>
      <c r="D1337">
        <v>8</v>
      </c>
    </row>
    <row r="1338" spans="2:4" x14ac:dyDescent="0.25">
      <c r="B1338" t="s">
        <v>1095</v>
      </c>
      <c r="C1338">
        <v>11</v>
      </c>
      <c r="D1338">
        <v>13</v>
      </c>
    </row>
    <row r="1339" spans="2:4" x14ac:dyDescent="0.25">
      <c r="B1339" t="s">
        <v>1095</v>
      </c>
      <c r="C1339">
        <v>11</v>
      </c>
      <c r="D1339">
        <v>14</v>
      </c>
    </row>
    <row r="1340" spans="2:4" x14ac:dyDescent="0.25">
      <c r="B1340" t="s">
        <v>1095</v>
      </c>
      <c r="C1340">
        <v>12</v>
      </c>
      <c r="D1340">
        <v>6</v>
      </c>
    </row>
    <row r="1341" spans="2:4" x14ac:dyDescent="0.25">
      <c r="B1341" t="s">
        <v>1095</v>
      </c>
      <c r="C1341">
        <v>12</v>
      </c>
      <c r="D1341">
        <v>8</v>
      </c>
    </row>
    <row r="1342" spans="2:4" x14ac:dyDescent="0.25">
      <c r="B1342" t="s">
        <v>1095</v>
      </c>
      <c r="C1342">
        <v>12</v>
      </c>
      <c r="D1342">
        <v>13</v>
      </c>
    </row>
    <row r="1343" spans="2:4" x14ac:dyDescent="0.25">
      <c r="B1343" t="s">
        <v>1095</v>
      </c>
      <c r="C1343">
        <v>12</v>
      </c>
      <c r="D1343">
        <v>14</v>
      </c>
    </row>
    <row r="1344" spans="2:4" x14ac:dyDescent="0.25">
      <c r="B1344" t="s">
        <v>1095</v>
      </c>
      <c r="C1344">
        <v>13</v>
      </c>
      <c r="D1344">
        <v>6</v>
      </c>
    </row>
    <row r="1345" spans="2:4" x14ac:dyDescent="0.25">
      <c r="B1345" t="s">
        <v>1095</v>
      </c>
      <c r="C1345">
        <v>13</v>
      </c>
      <c r="D1345">
        <v>8</v>
      </c>
    </row>
    <row r="1346" spans="2:4" x14ac:dyDescent="0.25">
      <c r="B1346" t="s">
        <v>1095</v>
      </c>
      <c r="C1346">
        <v>13</v>
      </c>
      <c r="D1346">
        <v>13</v>
      </c>
    </row>
    <row r="1347" spans="2:4" x14ac:dyDescent="0.25">
      <c r="B1347" t="s">
        <v>1095</v>
      </c>
      <c r="C1347">
        <v>13</v>
      </c>
      <c r="D1347">
        <v>14</v>
      </c>
    </row>
    <row r="1348" spans="2:4" x14ac:dyDescent="0.25">
      <c r="B1348" t="s">
        <v>1095</v>
      </c>
      <c r="C1348">
        <v>14</v>
      </c>
      <c r="D1348">
        <v>6</v>
      </c>
    </row>
    <row r="1349" spans="2:4" x14ac:dyDescent="0.25">
      <c r="B1349" t="s">
        <v>1095</v>
      </c>
      <c r="C1349">
        <v>14</v>
      </c>
      <c r="D1349">
        <v>8</v>
      </c>
    </row>
    <row r="1350" spans="2:4" x14ac:dyDescent="0.25">
      <c r="B1350" t="s">
        <v>1095</v>
      </c>
      <c r="C1350">
        <v>14</v>
      </c>
      <c r="D1350">
        <v>13</v>
      </c>
    </row>
    <row r="1351" spans="2:4" x14ac:dyDescent="0.25">
      <c r="B1351" t="s">
        <v>1095</v>
      </c>
      <c r="C1351">
        <v>14</v>
      </c>
      <c r="D1351">
        <v>14</v>
      </c>
    </row>
    <row r="1352" spans="2:4" x14ac:dyDescent="0.25">
      <c r="B1352" t="s">
        <v>1095</v>
      </c>
      <c r="C1352">
        <v>15</v>
      </c>
      <c r="D1352">
        <v>6</v>
      </c>
    </row>
    <row r="1353" spans="2:4" x14ac:dyDescent="0.25">
      <c r="B1353" t="s">
        <v>1095</v>
      </c>
      <c r="C1353">
        <v>15</v>
      </c>
      <c r="D1353">
        <v>8</v>
      </c>
    </row>
    <row r="1354" spans="2:4" x14ac:dyDescent="0.25">
      <c r="B1354" t="s">
        <v>1095</v>
      </c>
      <c r="C1354">
        <v>15</v>
      </c>
      <c r="D1354">
        <v>13</v>
      </c>
    </row>
    <row r="1355" spans="2:4" x14ac:dyDescent="0.25">
      <c r="B1355" t="s">
        <v>1095</v>
      </c>
      <c r="C1355">
        <v>15</v>
      </c>
      <c r="D1355">
        <v>14</v>
      </c>
    </row>
    <row r="1356" spans="2:4" x14ac:dyDescent="0.25">
      <c r="B1356" t="s">
        <v>1095</v>
      </c>
      <c r="C1356">
        <v>16</v>
      </c>
      <c r="D1356">
        <v>6</v>
      </c>
    </row>
    <row r="1357" spans="2:4" x14ac:dyDescent="0.25">
      <c r="B1357" t="s">
        <v>1095</v>
      </c>
      <c r="C1357">
        <v>16</v>
      </c>
      <c r="D1357">
        <v>8</v>
      </c>
    </row>
    <row r="1358" spans="2:4" x14ac:dyDescent="0.25">
      <c r="B1358" t="s">
        <v>1095</v>
      </c>
      <c r="C1358">
        <v>16</v>
      </c>
      <c r="D1358">
        <v>13</v>
      </c>
    </row>
    <row r="1359" spans="2:4" x14ac:dyDescent="0.25">
      <c r="B1359" t="s">
        <v>1095</v>
      </c>
      <c r="C1359">
        <v>16</v>
      </c>
      <c r="D1359">
        <v>14</v>
      </c>
    </row>
    <row r="1360" spans="2:4" x14ac:dyDescent="0.25">
      <c r="B1360" t="s">
        <v>1095</v>
      </c>
      <c r="C1360">
        <v>17</v>
      </c>
      <c r="D1360">
        <v>6</v>
      </c>
    </row>
    <row r="1361" spans="2:4" x14ac:dyDescent="0.25">
      <c r="B1361" t="s">
        <v>1095</v>
      </c>
      <c r="C1361">
        <v>17</v>
      </c>
      <c r="D1361">
        <v>8</v>
      </c>
    </row>
    <row r="1362" spans="2:4" x14ac:dyDescent="0.25">
      <c r="B1362" t="s">
        <v>1095</v>
      </c>
      <c r="C1362">
        <v>17</v>
      </c>
      <c r="D1362">
        <v>13</v>
      </c>
    </row>
    <row r="1363" spans="2:4" x14ac:dyDescent="0.25">
      <c r="B1363" t="s">
        <v>1095</v>
      </c>
      <c r="C1363">
        <v>17</v>
      </c>
      <c r="D1363">
        <v>14</v>
      </c>
    </row>
    <row r="1364" spans="2:4" x14ac:dyDescent="0.25">
      <c r="B1364" t="s">
        <v>1095</v>
      </c>
      <c r="C1364">
        <v>18</v>
      </c>
      <c r="D1364">
        <v>6</v>
      </c>
    </row>
    <row r="1365" spans="2:4" x14ac:dyDescent="0.25">
      <c r="B1365" t="s">
        <v>1095</v>
      </c>
      <c r="C1365">
        <v>18</v>
      </c>
      <c r="D1365">
        <v>8</v>
      </c>
    </row>
    <row r="1366" spans="2:4" x14ac:dyDescent="0.25">
      <c r="B1366" t="s">
        <v>1095</v>
      </c>
      <c r="C1366">
        <v>18</v>
      </c>
      <c r="D1366">
        <v>13</v>
      </c>
    </row>
    <row r="1367" spans="2:4" x14ac:dyDescent="0.25">
      <c r="B1367" t="s">
        <v>1095</v>
      </c>
      <c r="C1367">
        <v>18</v>
      </c>
      <c r="D1367">
        <v>14</v>
      </c>
    </row>
    <row r="1368" spans="2:4" x14ac:dyDescent="0.25">
      <c r="B1368" t="s">
        <v>1095</v>
      </c>
      <c r="C1368">
        <v>19</v>
      </c>
      <c r="D1368">
        <v>6</v>
      </c>
    </row>
    <row r="1369" spans="2:4" x14ac:dyDescent="0.25">
      <c r="B1369" t="s">
        <v>1095</v>
      </c>
      <c r="C1369">
        <v>19</v>
      </c>
      <c r="D1369">
        <v>8</v>
      </c>
    </row>
    <row r="1370" spans="2:4" x14ac:dyDescent="0.25">
      <c r="B1370" t="s">
        <v>1095</v>
      </c>
      <c r="C1370">
        <v>19</v>
      </c>
      <c r="D1370">
        <v>13</v>
      </c>
    </row>
    <row r="1371" spans="2:4" x14ac:dyDescent="0.25">
      <c r="B1371" t="s">
        <v>1095</v>
      </c>
      <c r="C1371">
        <v>19</v>
      </c>
      <c r="D1371">
        <v>14</v>
      </c>
    </row>
    <row r="1372" spans="2:4" x14ac:dyDescent="0.25">
      <c r="B1372" t="s">
        <v>1095</v>
      </c>
      <c r="C1372">
        <v>20</v>
      </c>
      <c r="D1372">
        <v>6</v>
      </c>
    </row>
    <row r="1373" spans="2:4" x14ac:dyDescent="0.25">
      <c r="B1373" t="s">
        <v>1095</v>
      </c>
      <c r="C1373">
        <v>20</v>
      </c>
      <c r="D1373">
        <v>8</v>
      </c>
    </row>
    <row r="1374" spans="2:4" x14ac:dyDescent="0.25">
      <c r="B1374" t="s">
        <v>1095</v>
      </c>
      <c r="C1374">
        <v>20</v>
      </c>
      <c r="D1374">
        <v>13</v>
      </c>
    </row>
    <row r="1375" spans="2:4" x14ac:dyDescent="0.25">
      <c r="B1375" t="s">
        <v>1095</v>
      </c>
      <c r="C1375">
        <v>20</v>
      </c>
      <c r="D1375">
        <v>14</v>
      </c>
    </row>
    <row r="1376" spans="2:4" x14ac:dyDescent="0.25">
      <c r="B1376" t="s">
        <v>1095</v>
      </c>
      <c r="C1376">
        <v>21</v>
      </c>
      <c r="D1376">
        <v>6</v>
      </c>
    </row>
    <row r="1377" spans="2:4" x14ac:dyDescent="0.25">
      <c r="B1377" t="s">
        <v>1095</v>
      </c>
      <c r="C1377">
        <v>21</v>
      </c>
      <c r="D1377">
        <v>8</v>
      </c>
    </row>
    <row r="1378" spans="2:4" x14ac:dyDescent="0.25">
      <c r="B1378" t="s">
        <v>1095</v>
      </c>
      <c r="C1378">
        <v>21</v>
      </c>
      <c r="D1378">
        <v>13</v>
      </c>
    </row>
    <row r="1379" spans="2:4" x14ac:dyDescent="0.25">
      <c r="B1379" t="s">
        <v>1095</v>
      </c>
      <c r="C1379">
        <v>21</v>
      </c>
      <c r="D1379">
        <v>14</v>
      </c>
    </row>
    <row r="1380" spans="2:4" x14ac:dyDescent="0.25">
      <c r="B1380" t="s">
        <v>1095</v>
      </c>
      <c r="C1380">
        <v>22</v>
      </c>
      <c r="D1380">
        <v>6</v>
      </c>
    </row>
    <row r="1381" spans="2:4" x14ac:dyDescent="0.25">
      <c r="B1381" t="s">
        <v>1095</v>
      </c>
      <c r="C1381">
        <v>22</v>
      </c>
      <c r="D1381">
        <v>8</v>
      </c>
    </row>
    <row r="1382" spans="2:4" x14ac:dyDescent="0.25">
      <c r="B1382" t="s">
        <v>1095</v>
      </c>
      <c r="C1382">
        <v>22</v>
      </c>
      <c r="D1382">
        <v>13</v>
      </c>
    </row>
    <row r="1383" spans="2:4" x14ac:dyDescent="0.25">
      <c r="B1383" t="s">
        <v>1095</v>
      </c>
      <c r="C1383">
        <v>22</v>
      </c>
      <c r="D1383">
        <v>14</v>
      </c>
    </row>
    <row r="1384" spans="2:4" x14ac:dyDescent="0.25">
      <c r="B1384" t="s">
        <v>1095</v>
      </c>
      <c r="C1384">
        <v>23</v>
      </c>
      <c r="D1384">
        <v>6</v>
      </c>
    </row>
    <row r="1385" spans="2:4" x14ac:dyDescent="0.25">
      <c r="B1385" t="s">
        <v>1095</v>
      </c>
      <c r="C1385">
        <v>23</v>
      </c>
      <c r="D1385">
        <v>8</v>
      </c>
    </row>
    <row r="1386" spans="2:4" x14ac:dyDescent="0.25">
      <c r="B1386" t="s">
        <v>1095</v>
      </c>
      <c r="C1386">
        <v>23</v>
      </c>
      <c r="D1386">
        <v>13</v>
      </c>
    </row>
    <row r="1387" spans="2:4" x14ac:dyDescent="0.25">
      <c r="B1387" t="s">
        <v>1095</v>
      </c>
      <c r="C1387">
        <v>23</v>
      </c>
      <c r="D1387">
        <v>14</v>
      </c>
    </row>
    <row r="1388" spans="2:4" x14ac:dyDescent="0.25">
      <c r="B1388" t="s">
        <v>1095</v>
      </c>
      <c r="C1388">
        <v>24</v>
      </c>
      <c r="D1388">
        <v>6</v>
      </c>
    </row>
    <row r="1389" spans="2:4" x14ac:dyDescent="0.25">
      <c r="B1389" t="s">
        <v>1095</v>
      </c>
      <c r="C1389">
        <v>24</v>
      </c>
      <c r="D1389">
        <v>8</v>
      </c>
    </row>
    <row r="1390" spans="2:4" x14ac:dyDescent="0.25">
      <c r="B1390" t="s">
        <v>1095</v>
      </c>
      <c r="C1390">
        <v>24</v>
      </c>
      <c r="D1390">
        <v>13</v>
      </c>
    </row>
    <row r="1391" spans="2:4" x14ac:dyDescent="0.25">
      <c r="B1391" t="s">
        <v>1095</v>
      </c>
      <c r="C1391">
        <v>24</v>
      </c>
      <c r="D1391">
        <v>14</v>
      </c>
    </row>
    <row r="1392" spans="2:4" x14ac:dyDescent="0.25">
      <c r="B1392" t="s">
        <v>1095</v>
      </c>
      <c r="C1392">
        <v>25</v>
      </c>
      <c r="D1392">
        <v>6</v>
      </c>
    </row>
    <row r="1393" spans="2:4" x14ac:dyDescent="0.25">
      <c r="B1393" t="s">
        <v>1095</v>
      </c>
      <c r="C1393">
        <v>25</v>
      </c>
      <c r="D1393">
        <v>8</v>
      </c>
    </row>
    <row r="1394" spans="2:4" x14ac:dyDescent="0.25">
      <c r="B1394" t="s">
        <v>1095</v>
      </c>
      <c r="C1394">
        <v>25</v>
      </c>
      <c r="D1394">
        <v>13</v>
      </c>
    </row>
    <row r="1395" spans="2:4" x14ac:dyDescent="0.25">
      <c r="B1395" t="s">
        <v>1095</v>
      </c>
      <c r="C1395">
        <v>25</v>
      </c>
      <c r="D1395">
        <v>14</v>
      </c>
    </row>
    <row r="1396" spans="2:4" x14ac:dyDescent="0.25">
      <c r="B1396" t="s">
        <v>1095</v>
      </c>
      <c r="C1396">
        <v>28</v>
      </c>
      <c r="D1396">
        <v>4</v>
      </c>
    </row>
    <row r="1397" spans="2:4" x14ac:dyDescent="0.25">
      <c r="B1397" t="s">
        <v>1095</v>
      </c>
      <c r="C1397">
        <v>28</v>
      </c>
      <c r="D1397">
        <v>6</v>
      </c>
    </row>
    <row r="1398" spans="2:4" x14ac:dyDescent="0.25">
      <c r="B1398" t="s">
        <v>1095</v>
      </c>
      <c r="C1398">
        <v>28</v>
      </c>
      <c r="D1398">
        <v>8</v>
      </c>
    </row>
    <row r="1399" spans="2:4" x14ac:dyDescent="0.25">
      <c r="B1399" t="s">
        <v>1095</v>
      </c>
      <c r="C1399">
        <v>28</v>
      </c>
      <c r="D1399">
        <v>13</v>
      </c>
    </row>
    <row r="1400" spans="2:4" x14ac:dyDescent="0.25">
      <c r="B1400" t="s">
        <v>1095</v>
      </c>
      <c r="C1400">
        <v>28</v>
      </c>
      <c r="D1400">
        <v>14</v>
      </c>
    </row>
    <row r="1401" spans="2:4" x14ac:dyDescent="0.25">
      <c r="B1401" t="s">
        <v>1095</v>
      </c>
      <c r="C1401">
        <v>29</v>
      </c>
      <c r="D1401">
        <v>4</v>
      </c>
    </row>
    <row r="1402" spans="2:4" x14ac:dyDescent="0.25">
      <c r="B1402" t="s">
        <v>1095</v>
      </c>
      <c r="C1402">
        <v>29</v>
      </c>
      <c r="D1402">
        <v>6</v>
      </c>
    </row>
    <row r="1403" spans="2:4" x14ac:dyDescent="0.25">
      <c r="B1403" t="s">
        <v>1095</v>
      </c>
      <c r="C1403">
        <v>29</v>
      </c>
      <c r="D1403">
        <v>8</v>
      </c>
    </row>
    <row r="1404" spans="2:4" x14ac:dyDescent="0.25">
      <c r="B1404" t="s">
        <v>1095</v>
      </c>
      <c r="C1404">
        <v>29</v>
      </c>
      <c r="D1404">
        <v>13</v>
      </c>
    </row>
    <row r="1405" spans="2:4" x14ac:dyDescent="0.25">
      <c r="B1405" t="s">
        <v>1095</v>
      </c>
      <c r="C1405">
        <v>29</v>
      </c>
      <c r="D1405">
        <v>14</v>
      </c>
    </row>
    <row r="1406" spans="2:4" x14ac:dyDescent="0.25">
      <c r="B1406" t="s">
        <v>1095</v>
      </c>
      <c r="C1406">
        <v>30</v>
      </c>
      <c r="D1406">
        <v>4</v>
      </c>
    </row>
    <row r="1407" spans="2:4" x14ac:dyDescent="0.25">
      <c r="B1407" t="s">
        <v>1095</v>
      </c>
      <c r="C1407">
        <v>30</v>
      </c>
      <c r="D1407">
        <v>6</v>
      </c>
    </row>
    <row r="1408" spans="2:4" x14ac:dyDescent="0.25">
      <c r="B1408" t="s">
        <v>1095</v>
      </c>
      <c r="C1408">
        <v>30</v>
      </c>
      <c r="D1408">
        <v>8</v>
      </c>
    </row>
    <row r="1409" spans="2:4" x14ac:dyDescent="0.25">
      <c r="B1409" t="s">
        <v>1095</v>
      </c>
      <c r="C1409">
        <v>30</v>
      </c>
      <c r="D1409">
        <v>13</v>
      </c>
    </row>
    <row r="1410" spans="2:4" x14ac:dyDescent="0.25">
      <c r="B1410" t="s">
        <v>1095</v>
      </c>
      <c r="C1410">
        <v>30</v>
      </c>
      <c r="D1410">
        <v>14</v>
      </c>
    </row>
    <row r="1411" spans="2:4" x14ac:dyDescent="0.25">
      <c r="B1411" t="s">
        <v>1095</v>
      </c>
      <c r="C1411">
        <v>31</v>
      </c>
      <c r="D1411">
        <v>4</v>
      </c>
    </row>
    <row r="1412" spans="2:4" x14ac:dyDescent="0.25">
      <c r="B1412" t="s">
        <v>1095</v>
      </c>
      <c r="C1412">
        <v>31</v>
      </c>
      <c r="D1412">
        <v>6</v>
      </c>
    </row>
    <row r="1413" spans="2:4" x14ac:dyDescent="0.25">
      <c r="B1413" t="s">
        <v>1095</v>
      </c>
      <c r="C1413">
        <v>31</v>
      </c>
      <c r="D1413">
        <v>8</v>
      </c>
    </row>
    <row r="1414" spans="2:4" x14ac:dyDescent="0.25">
      <c r="B1414" t="s">
        <v>1095</v>
      </c>
      <c r="C1414">
        <v>31</v>
      </c>
      <c r="D1414">
        <v>13</v>
      </c>
    </row>
    <row r="1415" spans="2:4" x14ac:dyDescent="0.25">
      <c r="B1415" t="s">
        <v>1095</v>
      </c>
      <c r="C1415">
        <v>31</v>
      </c>
      <c r="D1415">
        <v>14</v>
      </c>
    </row>
    <row r="1416" spans="2:4" x14ac:dyDescent="0.25">
      <c r="B1416" t="s">
        <v>1095</v>
      </c>
      <c r="C1416">
        <v>32</v>
      </c>
      <c r="D1416">
        <v>4</v>
      </c>
    </row>
    <row r="1417" spans="2:4" x14ac:dyDescent="0.25">
      <c r="B1417" t="s">
        <v>1095</v>
      </c>
      <c r="C1417">
        <v>32</v>
      </c>
      <c r="D1417">
        <v>6</v>
      </c>
    </row>
    <row r="1418" spans="2:4" x14ac:dyDescent="0.25">
      <c r="B1418" t="s">
        <v>1095</v>
      </c>
      <c r="C1418">
        <v>32</v>
      </c>
      <c r="D1418">
        <v>8</v>
      </c>
    </row>
    <row r="1419" spans="2:4" x14ac:dyDescent="0.25">
      <c r="B1419" t="s">
        <v>1095</v>
      </c>
      <c r="C1419">
        <v>32</v>
      </c>
      <c r="D1419">
        <v>13</v>
      </c>
    </row>
    <row r="1420" spans="2:4" x14ac:dyDescent="0.25">
      <c r="B1420" t="s">
        <v>1095</v>
      </c>
      <c r="C1420">
        <v>32</v>
      </c>
      <c r="D1420">
        <v>14</v>
      </c>
    </row>
    <row r="1421" spans="2:4" x14ac:dyDescent="0.25">
      <c r="B1421" t="s">
        <v>1095</v>
      </c>
      <c r="C1421">
        <v>33</v>
      </c>
      <c r="D1421">
        <v>4</v>
      </c>
    </row>
    <row r="1422" spans="2:4" x14ac:dyDescent="0.25">
      <c r="B1422" t="s">
        <v>1095</v>
      </c>
      <c r="C1422">
        <v>33</v>
      </c>
      <c r="D1422">
        <v>6</v>
      </c>
    </row>
    <row r="1423" spans="2:4" x14ac:dyDescent="0.25">
      <c r="B1423" t="s">
        <v>1095</v>
      </c>
      <c r="C1423">
        <v>33</v>
      </c>
      <c r="D1423">
        <v>8</v>
      </c>
    </row>
    <row r="1424" spans="2:4" x14ac:dyDescent="0.25">
      <c r="B1424" t="s">
        <v>1095</v>
      </c>
      <c r="C1424">
        <v>33</v>
      </c>
      <c r="D1424">
        <v>13</v>
      </c>
    </row>
    <row r="1425" spans="2:4" x14ac:dyDescent="0.25">
      <c r="B1425" t="s">
        <v>1095</v>
      </c>
      <c r="C1425">
        <v>33</v>
      </c>
      <c r="D1425">
        <v>14</v>
      </c>
    </row>
    <row r="1426" spans="2:4" x14ac:dyDescent="0.25">
      <c r="B1426" t="s">
        <v>1095</v>
      </c>
      <c r="C1426">
        <v>34</v>
      </c>
      <c r="D1426">
        <v>4</v>
      </c>
    </row>
    <row r="1427" spans="2:4" x14ac:dyDescent="0.25">
      <c r="B1427" t="s">
        <v>1095</v>
      </c>
      <c r="C1427">
        <v>34</v>
      </c>
      <c r="D1427">
        <v>6</v>
      </c>
    </row>
    <row r="1428" spans="2:4" x14ac:dyDescent="0.25">
      <c r="B1428" t="s">
        <v>1095</v>
      </c>
      <c r="C1428">
        <v>34</v>
      </c>
      <c r="D1428">
        <v>8</v>
      </c>
    </row>
    <row r="1429" spans="2:4" x14ac:dyDescent="0.25">
      <c r="B1429" t="s">
        <v>1095</v>
      </c>
      <c r="C1429">
        <v>34</v>
      </c>
      <c r="D1429">
        <v>13</v>
      </c>
    </row>
    <row r="1430" spans="2:4" x14ac:dyDescent="0.25">
      <c r="B1430" t="s">
        <v>1095</v>
      </c>
      <c r="C1430">
        <v>34</v>
      </c>
      <c r="D1430">
        <v>14</v>
      </c>
    </row>
    <row r="1431" spans="2:4" x14ac:dyDescent="0.25">
      <c r="B1431" t="s">
        <v>1095</v>
      </c>
      <c r="C1431">
        <v>35</v>
      </c>
      <c r="D1431">
        <v>4</v>
      </c>
    </row>
    <row r="1432" spans="2:4" x14ac:dyDescent="0.25">
      <c r="B1432" t="s">
        <v>1095</v>
      </c>
      <c r="C1432">
        <v>35</v>
      </c>
      <c r="D1432">
        <v>6</v>
      </c>
    </row>
    <row r="1433" spans="2:4" x14ac:dyDescent="0.25">
      <c r="B1433" t="s">
        <v>1095</v>
      </c>
      <c r="C1433">
        <v>35</v>
      </c>
      <c r="D1433">
        <v>8</v>
      </c>
    </row>
    <row r="1434" spans="2:4" x14ac:dyDescent="0.25">
      <c r="B1434" t="s">
        <v>1095</v>
      </c>
      <c r="C1434">
        <v>35</v>
      </c>
      <c r="D1434">
        <v>13</v>
      </c>
    </row>
    <row r="1435" spans="2:4" x14ac:dyDescent="0.25">
      <c r="B1435" t="s">
        <v>1095</v>
      </c>
      <c r="C1435">
        <v>35</v>
      </c>
      <c r="D1435">
        <v>14</v>
      </c>
    </row>
    <row r="1436" spans="2:4" x14ac:dyDescent="0.25">
      <c r="B1436" t="s">
        <v>1095</v>
      </c>
      <c r="C1436">
        <v>36</v>
      </c>
      <c r="D1436">
        <v>4</v>
      </c>
    </row>
    <row r="1437" spans="2:4" x14ac:dyDescent="0.25">
      <c r="B1437" t="s">
        <v>1095</v>
      </c>
      <c r="C1437">
        <v>36</v>
      </c>
      <c r="D1437">
        <v>6</v>
      </c>
    </row>
    <row r="1438" spans="2:4" x14ac:dyDescent="0.25">
      <c r="B1438" t="s">
        <v>1095</v>
      </c>
      <c r="C1438">
        <v>36</v>
      </c>
      <c r="D1438">
        <v>8</v>
      </c>
    </row>
    <row r="1439" spans="2:4" x14ac:dyDescent="0.25">
      <c r="B1439" t="s">
        <v>1095</v>
      </c>
      <c r="C1439">
        <v>36</v>
      </c>
      <c r="D1439">
        <v>13</v>
      </c>
    </row>
    <row r="1440" spans="2:4" x14ac:dyDescent="0.25">
      <c r="B1440" t="s">
        <v>1095</v>
      </c>
      <c r="C1440">
        <v>36</v>
      </c>
      <c r="D1440">
        <v>14</v>
      </c>
    </row>
    <row r="1441" spans="2:4" x14ac:dyDescent="0.25">
      <c r="B1441" t="s">
        <v>1095</v>
      </c>
      <c r="C1441">
        <v>37</v>
      </c>
      <c r="D1441">
        <v>4</v>
      </c>
    </row>
    <row r="1442" spans="2:4" x14ac:dyDescent="0.25">
      <c r="B1442" t="s">
        <v>1095</v>
      </c>
      <c r="C1442">
        <v>37</v>
      </c>
      <c r="D1442">
        <v>6</v>
      </c>
    </row>
    <row r="1443" spans="2:4" x14ac:dyDescent="0.25">
      <c r="B1443" t="s">
        <v>1095</v>
      </c>
      <c r="C1443">
        <v>37</v>
      </c>
      <c r="D1443">
        <v>8</v>
      </c>
    </row>
    <row r="1444" spans="2:4" x14ac:dyDescent="0.25">
      <c r="B1444" t="s">
        <v>1095</v>
      </c>
      <c r="C1444">
        <v>37</v>
      </c>
      <c r="D1444">
        <v>13</v>
      </c>
    </row>
    <row r="1445" spans="2:4" x14ac:dyDescent="0.25">
      <c r="B1445" t="s">
        <v>1095</v>
      </c>
      <c r="C1445">
        <v>37</v>
      </c>
      <c r="D1445">
        <v>14</v>
      </c>
    </row>
    <row r="1446" spans="2:4" x14ac:dyDescent="0.25">
      <c r="B1446" t="s">
        <v>1094</v>
      </c>
      <c r="C1446">
        <v>5</v>
      </c>
      <c r="D1446">
        <v>5</v>
      </c>
    </row>
    <row r="1447" spans="2:4" x14ac:dyDescent="0.25">
      <c r="B1447" t="s">
        <v>1094</v>
      </c>
      <c r="C1447">
        <v>7</v>
      </c>
      <c r="D1447">
        <v>6</v>
      </c>
    </row>
    <row r="1448" spans="2:4" x14ac:dyDescent="0.25">
      <c r="B1448" t="s">
        <v>1094</v>
      </c>
      <c r="C1448">
        <v>7</v>
      </c>
      <c r="D1448">
        <v>8</v>
      </c>
    </row>
    <row r="1449" spans="2:4" x14ac:dyDescent="0.25">
      <c r="B1449" t="s">
        <v>1094</v>
      </c>
      <c r="C1449">
        <v>7</v>
      </c>
      <c r="D1449">
        <v>13</v>
      </c>
    </row>
    <row r="1450" spans="2:4" x14ac:dyDescent="0.25">
      <c r="B1450" t="s">
        <v>1094</v>
      </c>
      <c r="C1450">
        <v>7</v>
      </c>
      <c r="D1450">
        <v>14</v>
      </c>
    </row>
    <row r="1451" spans="2:4" x14ac:dyDescent="0.25">
      <c r="B1451" t="s">
        <v>1094</v>
      </c>
      <c r="C1451">
        <v>8</v>
      </c>
      <c r="D1451">
        <v>6</v>
      </c>
    </row>
    <row r="1452" spans="2:4" x14ac:dyDescent="0.25">
      <c r="B1452" t="s">
        <v>1094</v>
      </c>
      <c r="C1452">
        <v>8</v>
      </c>
      <c r="D1452">
        <v>8</v>
      </c>
    </row>
    <row r="1453" spans="2:4" x14ac:dyDescent="0.25">
      <c r="B1453" t="s">
        <v>1094</v>
      </c>
      <c r="C1453">
        <v>8</v>
      </c>
      <c r="D1453">
        <v>13</v>
      </c>
    </row>
    <row r="1454" spans="2:4" x14ac:dyDescent="0.25">
      <c r="B1454" t="s">
        <v>1094</v>
      </c>
      <c r="C1454">
        <v>8</v>
      </c>
      <c r="D1454">
        <v>14</v>
      </c>
    </row>
    <row r="1455" spans="2:4" x14ac:dyDescent="0.25">
      <c r="B1455" t="s">
        <v>1094</v>
      </c>
      <c r="C1455">
        <v>9</v>
      </c>
      <c r="D1455">
        <v>6</v>
      </c>
    </row>
    <row r="1456" spans="2:4" x14ac:dyDescent="0.25">
      <c r="B1456" t="s">
        <v>1094</v>
      </c>
      <c r="C1456">
        <v>9</v>
      </c>
      <c r="D1456">
        <v>8</v>
      </c>
    </row>
    <row r="1457" spans="2:4" x14ac:dyDescent="0.25">
      <c r="B1457" t="s">
        <v>1094</v>
      </c>
      <c r="C1457">
        <v>9</v>
      </c>
      <c r="D1457">
        <v>13</v>
      </c>
    </row>
    <row r="1458" spans="2:4" x14ac:dyDescent="0.25">
      <c r="B1458" t="s">
        <v>1094</v>
      </c>
      <c r="C1458">
        <v>9</v>
      </c>
      <c r="D1458">
        <v>14</v>
      </c>
    </row>
    <row r="1459" spans="2:4" x14ac:dyDescent="0.25">
      <c r="B1459" t="s">
        <v>1094</v>
      </c>
      <c r="C1459">
        <v>10</v>
      </c>
      <c r="D1459">
        <v>6</v>
      </c>
    </row>
    <row r="1460" spans="2:4" x14ac:dyDescent="0.25">
      <c r="B1460" t="s">
        <v>1094</v>
      </c>
      <c r="C1460">
        <v>10</v>
      </c>
      <c r="D1460">
        <v>8</v>
      </c>
    </row>
    <row r="1461" spans="2:4" x14ac:dyDescent="0.25">
      <c r="B1461" t="s">
        <v>1094</v>
      </c>
      <c r="C1461">
        <v>10</v>
      </c>
      <c r="D1461">
        <v>13</v>
      </c>
    </row>
    <row r="1462" spans="2:4" x14ac:dyDescent="0.25">
      <c r="B1462" t="s">
        <v>1094</v>
      </c>
      <c r="C1462">
        <v>10</v>
      </c>
      <c r="D1462">
        <v>14</v>
      </c>
    </row>
    <row r="1463" spans="2:4" x14ac:dyDescent="0.25">
      <c r="B1463" t="s">
        <v>1094</v>
      </c>
      <c r="C1463">
        <v>11</v>
      </c>
      <c r="D1463">
        <v>6</v>
      </c>
    </row>
    <row r="1464" spans="2:4" x14ac:dyDescent="0.25">
      <c r="B1464" t="s">
        <v>1094</v>
      </c>
      <c r="C1464">
        <v>11</v>
      </c>
      <c r="D1464">
        <v>8</v>
      </c>
    </row>
    <row r="1465" spans="2:4" x14ac:dyDescent="0.25">
      <c r="B1465" t="s">
        <v>1094</v>
      </c>
      <c r="C1465">
        <v>11</v>
      </c>
      <c r="D1465">
        <v>13</v>
      </c>
    </row>
    <row r="1466" spans="2:4" x14ac:dyDescent="0.25">
      <c r="B1466" t="s">
        <v>1094</v>
      </c>
      <c r="C1466">
        <v>11</v>
      </c>
      <c r="D1466">
        <v>14</v>
      </c>
    </row>
    <row r="1467" spans="2:4" x14ac:dyDescent="0.25">
      <c r="B1467" t="s">
        <v>1094</v>
      </c>
      <c r="C1467">
        <v>12</v>
      </c>
      <c r="D1467">
        <v>6</v>
      </c>
    </row>
    <row r="1468" spans="2:4" x14ac:dyDescent="0.25">
      <c r="B1468" t="s">
        <v>1094</v>
      </c>
      <c r="C1468">
        <v>12</v>
      </c>
      <c r="D1468">
        <v>8</v>
      </c>
    </row>
    <row r="1469" spans="2:4" x14ac:dyDescent="0.25">
      <c r="B1469" t="s">
        <v>1094</v>
      </c>
      <c r="C1469">
        <v>12</v>
      </c>
      <c r="D1469">
        <v>13</v>
      </c>
    </row>
    <row r="1470" spans="2:4" x14ac:dyDescent="0.25">
      <c r="B1470" t="s">
        <v>1094</v>
      </c>
      <c r="C1470">
        <v>12</v>
      </c>
      <c r="D1470">
        <v>14</v>
      </c>
    </row>
    <row r="1471" spans="2:4" x14ac:dyDescent="0.25">
      <c r="B1471" t="s">
        <v>1094</v>
      </c>
      <c r="C1471">
        <v>14</v>
      </c>
      <c r="D1471">
        <v>6</v>
      </c>
    </row>
    <row r="1472" spans="2:4" x14ac:dyDescent="0.25">
      <c r="B1472" t="s">
        <v>1094</v>
      </c>
      <c r="C1472">
        <v>14</v>
      </c>
      <c r="D1472">
        <v>8</v>
      </c>
    </row>
    <row r="1473" spans="2:4" x14ac:dyDescent="0.25">
      <c r="B1473" t="s">
        <v>1094</v>
      </c>
      <c r="C1473">
        <v>14</v>
      </c>
      <c r="D1473">
        <v>13</v>
      </c>
    </row>
    <row r="1474" spans="2:4" x14ac:dyDescent="0.25">
      <c r="B1474" t="s">
        <v>1094</v>
      </c>
      <c r="C1474">
        <v>14</v>
      </c>
      <c r="D1474">
        <v>14</v>
      </c>
    </row>
    <row r="1475" spans="2:4" x14ac:dyDescent="0.25">
      <c r="B1475" t="s">
        <v>1094</v>
      </c>
      <c r="C1475">
        <v>15</v>
      </c>
      <c r="D1475">
        <v>6</v>
      </c>
    </row>
    <row r="1476" spans="2:4" x14ac:dyDescent="0.25">
      <c r="B1476" t="s">
        <v>1094</v>
      </c>
      <c r="C1476">
        <v>15</v>
      </c>
      <c r="D1476">
        <v>8</v>
      </c>
    </row>
    <row r="1477" spans="2:4" x14ac:dyDescent="0.25">
      <c r="B1477" t="s">
        <v>1094</v>
      </c>
      <c r="C1477">
        <v>15</v>
      </c>
      <c r="D1477">
        <v>13</v>
      </c>
    </row>
    <row r="1478" spans="2:4" x14ac:dyDescent="0.25">
      <c r="B1478" t="s">
        <v>1094</v>
      </c>
      <c r="C1478">
        <v>15</v>
      </c>
      <c r="D1478">
        <v>14</v>
      </c>
    </row>
    <row r="1479" spans="2:4" x14ac:dyDescent="0.25">
      <c r="B1479" t="s">
        <v>1094</v>
      </c>
      <c r="C1479">
        <v>16</v>
      </c>
      <c r="D1479">
        <v>6</v>
      </c>
    </row>
    <row r="1480" spans="2:4" x14ac:dyDescent="0.25">
      <c r="B1480" t="s">
        <v>1094</v>
      </c>
      <c r="C1480">
        <v>16</v>
      </c>
      <c r="D1480">
        <v>8</v>
      </c>
    </row>
    <row r="1481" spans="2:4" x14ac:dyDescent="0.25">
      <c r="B1481" t="s">
        <v>1094</v>
      </c>
      <c r="C1481">
        <v>16</v>
      </c>
      <c r="D1481">
        <v>13</v>
      </c>
    </row>
    <row r="1482" spans="2:4" x14ac:dyDescent="0.25">
      <c r="B1482" t="s">
        <v>1094</v>
      </c>
      <c r="C1482">
        <v>16</v>
      </c>
      <c r="D1482">
        <v>14</v>
      </c>
    </row>
    <row r="1483" spans="2:4" x14ac:dyDescent="0.25">
      <c r="B1483" t="s">
        <v>1094</v>
      </c>
      <c r="C1483">
        <v>17</v>
      </c>
      <c r="D1483">
        <v>6</v>
      </c>
    </row>
    <row r="1484" spans="2:4" x14ac:dyDescent="0.25">
      <c r="B1484" t="s">
        <v>1094</v>
      </c>
      <c r="C1484">
        <v>17</v>
      </c>
      <c r="D1484">
        <v>8</v>
      </c>
    </row>
    <row r="1485" spans="2:4" x14ac:dyDescent="0.25">
      <c r="B1485" t="s">
        <v>1094</v>
      </c>
      <c r="C1485">
        <v>17</v>
      </c>
      <c r="D1485">
        <v>13</v>
      </c>
    </row>
    <row r="1486" spans="2:4" x14ac:dyDescent="0.25">
      <c r="B1486" t="s">
        <v>1094</v>
      </c>
      <c r="C1486">
        <v>17</v>
      </c>
      <c r="D1486">
        <v>14</v>
      </c>
    </row>
    <row r="1487" spans="2:4" x14ac:dyDescent="0.25">
      <c r="B1487" t="s">
        <v>1094</v>
      </c>
      <c r="C1487">
        <v>18</v>
      </c>
      <c r="D1487">
        <v>6</v>
      </c>
    </row>
    <row r="1488" spans="2:4" x14ac:dyDescent="0.25">
      <c r="B1488" t="s">
        <v>1094</v>
      </c>
      <c r="C1488">
        <v>18</v>
      </c>
      <c r="D1488">
        <v>8</v>
      </c>
    </row>
    <row r="1489" spans="2:4" x14ac:dyDescent="0.25">
      <c r="B1489" t="s">
        <v>1094</v>
      </c>
      <c r="C1489">
        <v>18</v>
      </c>
      <c r="D1489">
        <v>13</v>
      </c>
    </row>
    <row r="1490" spans="2:4" x14ac:dyDescent="0.25">
      <c r="B1490" t="s">
        <v>1094</v>
      </c>
      <c r="C1490">
        <v>18</v>
      </c>
      <c r="D1490">
        <v>14</v>
      </c>
    </row>
    <row r="1491" spans="2:4" x14ac:dyDescent="0.25">
      <c r="B1491" t="s">
        <v>1094</v>
      </c>
      <c r="C1491">
        <v>19</v>
      </c>
      <c r="D1491">
        <v>6</v>
      </c>
    </row>
    <row r="1492" spans="2:4" x14ac:dyDescent="0.25">
      <c r="B1492" t="s">
        <v>1094</v>
      </c>
      <c r="C1492">
        <v>19</v>
      </c>
      <c r="D1492">
        <v>8</v>
      </c>
    </row>
    <row r="1493" spans="2:4" x14ac:dyDescent="0.25">
      <c r="B1493" t="s">
        <v>1094</v>
      </c>
      <c r="C1493">
        <v>19</v>
      </c>
      <c r="D1493">
        <v>13</v>
      </c>
    </row>
    <row r="1494" spans="2:4" x14ac:dyDescent="0.25">
      <c r="B1494" t="s">
        <v>1094</v>
      </c>
      <c r="C1494">
        <v>19</v>
      </c>
      <c r="D1494">
        <v>14</v>
      </c>
    </row>
    <row r="1495" spans="2:4" x14ac:dyDescent="0.25">
      <c r="B1495" t="s">
        <v>1094</v>
      </c>
      <c r="C1495">
        <v>21</v>
      </c>
      <c r="D1495">
        <v>6</v>
      </c>
    </row>
    <row r="1496" spans="2:4" x14ac:dyDescent="0.25">
      <c r="B1496" t="s">
        <v>1094</v>
      </c>
      <c r="C1496">
        <v>21</v>
      </c>
      <c r="D1496">
        <v>8</v>
      </c>
    </row>
    <row r="1497" spans="2:4" x14ac:dyDescent="0.25">
      <c r="B1497" t="s">
        <v>1094</v>
      </c>
      <c r="C1497">
        <v>21</v>
      </c>
      <c r="D1497">
        <v>13</v>
      </c>
    </row>
    <row r="1498" spans="2:4" x14ac:dyDescent="0.25">
      <c r="B1498" t="s">
        <v>1094</v>
      </c>
      <c r="C1498">
        <v>21</v>
      </c>
      <c r="D1498">
        <v>14</v>
      </c>
    </row>
    <row r="1499" spans="2:4" x14ac:dyDescent="0.25">
      <c r="B1499" t="s">
        <v>1094</v>
      </c>
      <c r="C1499">
        <v>22</v>
      </c>
      <c r="D1499">
        <v>6</v>
      </c>
    </row>
    <row r="1500" spans="2:4" x14ac:dyDescent="0.25">
      <c r="B1500" t="s">
        <v>1094</v>
      </c>
      <c r="C1500">
        <v>22</v>
      </c>
      <c r="D1500">
        <v>8</v>
      </c>
    </row>
    <row r="1501" spans="2:4" x14ac:dyDescent="0.25">
      <c r="B1501" t="s">
        <v>1094</v>
      </c>
      <c r="C1501">
        <v>22</v>
      </c>
      <c r="D1501">
        <v>13</v>
      </c>
    </row>
    <row r="1502" spans="2:4" x14ac:dyDescent="0.25">
      <c r="B1502" t="s">
        <v>1094</v>
      </c>
      <c r="C1502">
        <v>22</v>
      </c>
      <c r="D1502">
        <v>14</v>
      </c>
    </row>
    <row r="1503" spans="2:4" x14ac:dyDescent="0.25">
      <c r="B1503" t="s">
        <v>1094</v>
      </c>
      <c r="C1503">
        <v>23</v>
      </c>
      <c r="D1503">
        <v>6</v>
      </c>
    </row>
    <row r="1504" spans="2:4" x14ac:dyDescent="0.25">
      <c r="B1504" t="s">
        <v>1094</v>
      </c>
      <c r="C1504">
        <v>23</v>
      </c>
      <c r="D1504">
        <v>8</v>
      </c>
    </row>
    <row r="1505" spans="2:4" x14ac:dyDescent="0.25">
      <c r="B1505" t="s">
        <v>1094</v>
      </c>
      <c r="C1505">
        <v>23</v>
      </c>
      <c r="D1505">
        <v>13</v>
      </c>
    </row>
    <row r="1506" spans="2:4" x14ac:dyDescent="0.25">
      <c r="B1506" t="s">
        <v>1094</v>
      </c>
      <c r="C1506">
        <v>23</v>
      </c>
      <c r="D1506">
        <v>14</v>
      </c>
    </row>
    <row r="1507" spans="2:4" x14ac:dyDescent="0.25">
      <c r="B1507" t="s">
        <v>1094</v>
      </c>
      <c r="C1507">
        <v>24</v>
      </c>
      <c r="D1507">
        <v>6</v>
      </c>
    </row>
    <row r="1508" spans="2:4" x14ac:dyDescent="0.25">
      <c r="B1508" t="s">
        <v>1094</v>
      </c>
      <c r="C1508">
        <v>24</v>
      </c>
      <c r="D1508">
        <v>8</v>
      </c>
    </row>
    <row r="1509" spans="2:4" x14ac:dyDescent="0.25">
      <c r="B1509" t="s">
        <v>1094</v>
      </c>
      <c r="C1509">
        <v>24</v>
      </c>
      <c r="D1509">
        <v>13</v>
      </c>
    </row>
    <row r="1510" spans="2:4" x14ac:dyDescent="0.25">
      <c r="B1510" t="s">
        <v>1094</v>
      </c>
      <c r="C1510">
        <v>24</v>
      </c>
      <c r="D1510">
        <v>14</v>
      </c>
    </row>
    <row r="1511" spans="2:4" x14ac:dyDescent="0.25">
      <c r="B1511" t="s">
        <v>1094</v>
      </c>
      <c r="C1511">
        <v>25</v>
      </c>
      <c r="D1511">
        <v>6</v>
      </c>
    </row>
    <row r="1512" spans="2:4" x14ac:dyDescent="0.25">
      <c r="B1512" t="s">
        <v>1094</v>
      </c>
      <c r="C1512">
        <v>25</v>
      </c>
      <c r="D1512">
        <v>8</v>
      </c>
    </row>
    <row r="1513" spans="2:4" x14ac:dyDescent="0.25">
      <c r="B1513" t="s">
        <v>1094</v>
      </c>
      <c r="C1513">
        <v>25</v>
      </c>
      <c r="D1513">
        <v>13</v>
      </c>
    </row>
    <row r="1514" spans="2:4" x14ac:dyDescent="0.25">
      <c r="B1514" t="s">
        <v>1094</v>
      </c>
      <c r="C1514">
        <v>25</v>
      </c>
      <c r="D1514">
        <v>14</v>
      </c>
    </row>
    <row r="1515" spans="2:4" x14ac:dyDescent="0.25">
      <c r="B1515" t="s">
        <v>1094</v>
      </c>
      <c r="C1515">
        <v>26</v>
      </c>
      <c r="D1515">
        <v>6</v>
      </c>
    </row>
    <row r="1516" spans="2:4" x14ac:dyDescent="0.25">
      <c r="B1516" t="s">
        <v>1094</v>
      </c>
      <c r="C1516">
        <v>26</v>
      </c>
      <c r="D1516">
        <v>8</v>
      </c>
    </row>
    <row r="1517" spans="2:4" x14ac:dyDescent="0.25">
      <c r="B1517" t="s">
        <v>1094</v>
      </c>
      <c r="C1517">
        <v>26</v>
      </c>
      <c r="D1517">
        <v>13</v>
      </c>
    </row>
    <row r="1518" spans="2:4" x14ac:dyDescent="0.25">
      <c r="B1518" t="s">
        <v>1094</v>
      </c>
      <c r="C1518">
        <v>26</v>
      </c>
      <c r="D1518">
        <v>14</v>
      </c>
    </row>
    <row r="1519" spans="2:4" x14ac:dyDescent="0.25">
      <c r="B1519" t="s">
        <v>1094</v>
      </c>
      <c r="C1519">
        <v>28</v>
      </c>
      <c r="D1519">
        <v>6</v>
      </c>
    </row>
    <row r="1520" spans="2:4" x14ac:dyDescent="0.25">
      <c r="B1520" t="s">
        <v>1094</v>
      </c>
      <c r="C1520">
        <v>28</v>
      </c>
      <c r="D1520">
        <v>8</v>
      </c>
    </row>
    <row r="1521" spans="2:4" x14ac:dyDescent="0.25">
      <c r="B1521" t="s">
        <v>1094</v>
      </c>
      <c r="C1521">
        <v>28</v>
      </c>
      <c r="D1521">
        <v>13</v>
      </c>
    </row>
    <row r="1522" spans="2:4" x14ac:dyDescent="0.25">
      <c r="B1522" t="s">
        <v>1094</v>
      </c>
      <c r="C1522">
        <v>28</v>
      </c>
      <c r="D1522">
        <v>14</v>
      </c>
    </row>
    <row r="1523" spans="2:4" x14ac:dyDescent="0.25">
      <c r="B1523" t="s">
        <v>1094</v>
      </c>
      <c r="C1523">
        <v>29</v>
      </c>
      <c r="D1523">
        <v>6</v>
      </c>
    </row>
    <row r="1524" spans="2:4" x14ac:dyDescent="0.25">
      <c r="B1524" t="s">
        <v>1094</v>
      </c>
      <c r="C1524">
        <v>29</v>
      </c>
      <c r="D1524">
        <v>8</v>
      </c>
    </row>
    <row r="1525" spans="2:4" x14ac:dyDescent="0.25">
      <c r="B1525" t="s">
        <v>1094</v>
      </c>
      <c r="C1525">
        <v>29</v>
      </c>
      <c r="D1525">
        <v>13</v>
      </c>
    </row>
    <row r="1526" spans="2:4" x14ac:dyDescent="0.25">
      <c r="B1526" t="s">
        <v>1094</v>
      </c>
      <c r="C1526">
        <v>29</v>
      </c>
      <c r="D1526">
        <v>14</v>
      </c>
    </row>
    <row r="1527" spans="2:4" x14ac:dyDescent="0.25">
      <c r="B1527" t="s">
        <v>1094</v>
      </c>
      <c r="C1527">
        <v>30</v>
      </c>
      <c r="D1527">
        <v>6</v>
      </c>
    </row>
    <row r="1528" spans="2:4" x14ac:dyDescent="0.25">
      <c r="B1528" t="s">
        <v>1094</v>
      </c>
      <c r="C1528">
        <v>30</v>
      </c>
      <c r="D1528">
        <v>8</v>
      </c>
    </row>
    <row r="1529" spans="2:4" x14ac:dyDescent="0.25">
      <c r="B1529" t="s">
        <v>1094</v>
      </c>
      <c r="C1529">
        <v>30</v>
      </c>
      <c r="D1529">
        <v>13</v>
      </c>
    </row>
    <row r="1530" spans="2:4" x14ac:dyDescent="0.25">
      <c r="B1530" t="s">
        <v>1094</v>
      </c>
      <c r="C1530">
        <v>30</v>
      </c>
      <c r="D1530">
        <v>14</v>
      </c>
    </row>
    <row r="1531" spans="2:4" x14ac:dyDescent="0.25">
      <c r="B1531" t="s">
        <v>1094</v>
      </c>
      <c r="C1531">
        <v>31</v>
      </c>
      <c r="D1531">
        <v>6</v>
      </c>
    </row>
    <row r="1532" spans="2:4" x14ac:dyDescent="0.25">
      <c r="B1532" t="s">
        <v>1094</v>
      </c>
      <c r="C1532">
        <v>31</v>
      </c>
      <c r="D1532">
        <v>8</v>
      </c>
    </row>
    <row r="1533" spans="2:4" x14ac:dyDescent="0.25">
      <c r="B1533" t="s">
        <v>1094</v>
      </c>
      <c r="C1533">
        <v>31</v>
      </c>
      <c r="D1533">
        <v>13</v>
      </c>
    </row>
    <row r="1534" spans="2:4" x14ac:dyDescent="0.25">
      <c r="B1534" t="s">
        <v>1094</v>
      </c>
      <c r="C1534">
        <v>31</v>
      </c>
      <c r="D1534">
        <v>14</v>
      </c>
    </row>
    <row r="1535" spans="2:4" x14ac:dyDescent="0.25">
      <c r="B1535" t="s">
        <v>1094</v>
      </c>
      <c r="C1535">
        <v>32</v>
      </c>
      <c r="D1535">
        <v>6</v>
      </c>
    </row>
    <row r="1536" spans="2:4" x14ac:dyDescent="0.25">
      <c r="B1536" t="s">
        <v>1094</v>
      </c>
      <c r="C1536">
        <v>32</v>
      </c>
      <c r="D1536">
        <v>8</v>
      </c>
    </row>
    <row r="1537" spans="2:4" x14ac:dyDescent="0.25">
      <c r="B1537" t="s">
        <v>1094</v>
      </c>
      <c r="C1537">
        <v>32</v>
      </c>
      <c r="D1537">
        <v>13</v>
      </c>
    </row>
    <row r="1538" spans="2:4" x14ac:dyDescent="0.25">
      <c r="B1538" t="s">
        <v>1094</v>
      </c>
      <c r="C1538">
        <v>32</v>
      </c>
      <c r="D1538">
        <v>14</v>
      </c>
    </row>
    <row r="1539" spans="2:4" x14ac:dyDescent="0.25">
      <c r="B1539" t="s">
        <v>1094</v>
      </c>
      <c r="C1539">
        <v>33</v>
      </c>
      <c r="D1539">
        <v>6</v>
      </c>
    </row>
    <row r="1540" spans="2:4" x14ac:dyDescent="0.25">
      <c r="B1540" t="s">
        <v>1094</v>
      </c>
      <c r="C1540">
        <v>33</v>
      </c>
      <c r="D1540">
        <v>8</v>
      </c>
    </row>
    <row r="1541" spans="2:4" x14ac:dyDescent="0.25">
      <c r="B1541" t="s">
        <v>1094</v>
      </c>
      <c r="C1541">
        <v>33</v>
      </c>
      <c r="D1541">
        <v>13</v>
      </c>
    </row>
    <row r="1542" spans="2:4" x14ac:dyDescent="0.25">
      <c r="B1542" t="s">
        <v>1094</v>
      </c>
      <c r="C1542">
        <v>33</v>
      </c>
      <c r="D1542">
        <v>14</v>
      </c>
    </row>
    <row r="1543" spans="2:4" x14ac:dyDescent="0.25">
      <c r="B1543" t="s">
        <v>1094</v>
      </c>
      <c r="C1543">
        <v>34</v>
      </c>
      <c r="D1543">
        <v>5</v>
      </c>
    </row>
    <row r="1544" spans="2:4" x14ac:dyDescent="0.25">
      <c r="B1544" t="s">
        <v>1094</v>
      </c>
      <c r="C1544">
        <v>36</v>
      </c>
      <c r="D1544">
        <v>6</v>
      </c>
    </row>
    <row r="1545" spans="2:4" x14ac:dyDescent="0.25">
      <c r="B1545" t="s">
        <v>1094</v>
      </c>
      <c r="C1545">
        <v>36</v>
      </c>
      <c r="D1545">
        <v>8</v>
      </c>
    </row>
    <row r="1546" spans="2:4" x14ac:dyDescent="0.25">
      <c r="B1546" t="s">
        <v>1094</v>
      </c>
      <c r="C1546">
        <v>36</v>
      </c>
      <c r="D1546">
        <v>13</v>
      </c>
    </row>
    <row r="1547" spans="2:4" x14ac:dyDescent="0.25">
      <c r="B1547" t="s">
        <v>1094</v>
      </c>
      <c r="C1547">
        <v>36</v>
      </c>
      <c r="D1547">
        <v>14</v>
      </c>
    </row>
    <row r="1548" spans="2:4" x14ac:dyDescent="0.25">
      <c r="B1548" t="s">
        <v>1094</v>
      </c>
      <c r="C1548">
        <v>37</v>
      </c>
      <c r="D1548">
        <v>6</v>
      </c>
    </row>
    <row r="1549" spans="2:4" x14ac:dyDescent="0.25">
      <c r="B1549" t="s">
        <v>1094</v>
      </c>
      <c r="C1549">
        <v>37</v>
      </c>
      <c r="D1549">
        <v>8</v>
      </c>
    </row>
    <row r="1550" spans="2:4" x14ac:dyDescent="0.25">
      <c r="B1550" t="s">
        <v>1094</v>
      </c>
      <c r="C1550">
        <v>37</v>
      </c>
      <c r="D1550">
        <v>13</v>
      </c>
    </row>
    <row r="1551" spans="2:4" x14ac:dyDescent="0.25">
      <c r="B1551" t="s">
        <v>1094</v>
      </c>
      <c r="C1551">
        <v>37</v>
      </c>
      <c r="D1551">
        <v>14</v>
      </c>
    </row>
    <row r="1552" spans="2:4" x14ac:dyDescent="0.25">
      <c r="B1552" t="s">
        <v>1094</v>
      </c>
      <c r="C1552">
        <v>38</v>
      </c>
      <c r="D1552">
        <v>6</v>
      </c>
    </row>
    <row r="1553" spans="2:4" x14ac:dyDescent="0.25">
      <c r="B1553" t="s">
        <v>1094</v>
      </c>
      <c r="C1553">
        <v>38</v>
      </c>
      <c r="D1553">
        <v>8</v>
      </c>
    </row>
    <row r="1554" spans="2:4" x14ac:dyDescent="0.25">
      <c r="B1554" t="s">
        <v>1094</v>
      </c>
      <c r="C1554">
        <v>38</v>
      </c>
      <c r="D1554">
        <v>13</v>
      </c>
    </row>
    <row r="1555" spans="2:4" x14ac:dyDescent="0.25">
      <c r="B1555" t="s">
        <v>1094</v>
      </c>
      <c r="C1555">
        <v>38</v>
      </c>
      <c r="D1555">
        <v>14</v>
      </c>
    </row>
    <row r="1556" spans="2:4" x14ac:dyDescent="0.25">
      <c r="B1556" t="s">
        <v>1094</v>
      </c>
      <c r="C1556">
        <v>39</v>
      </c>
      <c r="D1556">
        <v>6</v>
      </c>
    </row>
    <row r="1557" spans="2:4" x14ac:dyDescent="0.25">
      <c r="B1557" t="s">
        <v>1094</v>
      </c>
      <c r="C1557">
        <v>39</v>
      </c>
      <c r="D1557">
        <v>8</v>
      </c>
    </row>
    <row r="1558" spans="2:4" x14ac:dyDescent="0.25">
      <c r="B1558" t="s">
        <v>1094</v>
      </c>
      <c r="C1558">
        <v>39</v>
      </c>
      <c r="D1558">
        <v>13</v>
      </c>
    </row>
    <row r="1559" spans="2:4" x14ac:dyDescent="0.25">
      <c r="B1559" t="s">
        <v>1094</v>
      </c>
      <c r="C1559">
        <v>39</v>
      </c>
      <c r="D1559">
        <v>14</v>
      </c>
    </row>
    <row r="1560" spans="2:4" x14ac:dyDescent="0.25">
      <c r="B1560" t="s">
        <v>1094</v>
      </c>
      <c r="C1560">
        <v>40</v>
      </c>
      <c r="D1560">
        <v>5</v>
      </c>
    </row>
    <row r="1561" spans="2:4" x14ac:dyDescent="0.25">
      <c r="B1561" t="s">
        <v>1094</v>
      </c>
      <c r="C1561">
        <v>41</v>
      </c>
      <c r="D1561">
        <v>6</v>
      </c>
    </row>
    <row r="1562" spans="2:4" x14ac:dyDescent="0.25">
      <c r="B1562" t="s">
        <v>1094</v>
      </c>
      <c r="C1562">
        <v>41</v>
      </c>
      <c r="D1562">
        <v>8</v>
      </c>
    </row>
    <row r="1563" spans="2:4" x14ac:dyDescent="0.25">
      <c r="B1563" t="s">
        <v>1094</v>
      </c>
      <c r="C1563">
        <v>41</v>
      </c>
      <c r="D1563">
        <v>13</v>
      </c>
    </row>
    <row r="1564" spans="2:4" x14ac:dyDescent="0.25">
      <c r="B1564" t="s">
        <v>1094</v>
      </c>
      <c r="C1564">
        <v>41</v>
      </c>
      <c r="D1564">
        <v>14</v>
      </c>
    </row>
    <row r="1565" spans="2:4" x14ac:dyDescent="0.25">
      <c r="B1565" t="s">
        <v>1094</v>
      </c>
      <c r="C1565">
        <v>42</v>
      </c>
      <c r="D1565">
        <v>6</v>
      </c>
    </row>
    <row r="1566" spans="2:4" x14ac:dyDescent="0.25">
      <c r="B1566" t="s">
        <v>1094</v>
      </c>
      <c r="C1566">
        <v>42</v>
      </c>
      <c r="D1566">
        <v>8</v>
      </c>
    </row>
    <row r="1567" spans="2:4" x14ac:dyDescent="0.25">
      <c r="B1567" t="s">
        <v>1094</v>
      </c>
      <c r="C1567">
        <v>42</v>
      </c>
      <c r="D1567">
        <v>13</v>
      </c>
    </row>
    <row r="1568" spans="2:4" x14ac:dyDescent="0.25">
      <c r="B1568" t="s">
        <v>1094</v>
      </c>
      <c r="C1568">
        <v>42</v>
      </c>
      <c r="D1568">
        <v>14</v>
      </c>
    </row>
    <row r="1569" spans="2:4" x14ac:dyDescent="0.25">
      <c r="B1569" t="s">
        <v>1094</v>
      </c>
      <c r="C1569">
        <v>45</v>
      </c>
      <c r="D1569">
        <v>6</v>
      </c>
    </row>
    <row r="1570" spans="2:4" x14ac:dyDescent="0.25">
      <c r="B1570" t="s">
        <v>1094</v>
      </c>
      <c r="C1570">
        <v>45</v>
      </c>
      <c r="D1570">
        <v>8</v>
      </c>
    </row>
    <row r="1571" spans="2:4" x14ac:dyDescent="0.25">
      <c r="B1571" t="s">
        <v>1094</v>
      </c>
      <c r="C1571">
        <v>45</v>
      </c>
      <c r="D1571">
        <v>13</v>
      </c>
    </row>
    <row r="1572" spans="2:4" x14ac:dyDescent="0.25">
      <c r="B1572" t="s">
        <v>1094</v>
      </c>
      <c r="C1572">
        <v>45</v>
      </c>
      <c r="D1572">
        <v>14</v>
      </c>
    </row>
    <row r="1573" spans="2:4" x14ac:dyDescent="0.25">
      <c r="B1573" t="s">
        <v>1094</v>
      </c>
      <c r="C1573">
        <v>46</v>
      </c>
      <c r="D1573">
        <v>6</v>
      </c>
    </row>
    <row r="1574" spans="2:4" x14ac:dyDescent="0.25">
      <c r="B1574" t="s">
        <v>1094</v>
      </c>
      <c r="C1574">
        <v>46</v>
      </c>
      <c r="D1574">
        <v>8</v>
      </c>
    </row>
    <row r="1575" spans="2:4" x14ac:dyDescent="0.25">
      <c r="B1575" t="s">
        <v>1094</v>
      </c>
      <c r="C1575">
        <v>46</v>
      </c>
      <c r="D1575">
        <v>13</v>
      </c>
    </row>
    <row r="1576" spans="2:4" x14ac:dyDescent="0.25">
      <c r="B1576" t="s">
        <v>1094</v>
      </c>
      <c r="C1576">
        <v>46</v>
      </c>
      <c r="D1576">
        <v>14</v>
      </c>
    </row>
    <row r="1577" spans="2:4" x14ac:dyDescent="0.25">
      <c r="B1577" t="s">
        <v>1094</v>
      </c>
      <c r="C1577">
        <v>47</v>
      </c>
      <c r="D1577">
        <v>6</v>
      </c>
    </row>
    <row r="1578" spans="2:4" x14ac:dyDescent="0.25">
      <c r="B1578" t="s">
        <v>1094</v>
      </c>
      <c r="C1578">
        <v>47</v>
      </c>
      <c r="D1578">
        <v>8</v>
      </c>
    </row>
    <row r="1579" spans="2:4" x14ac:dyDescent="0.25">
      <c r="B1579" t="s">
        <v>1094</v>
      </c>
      <c r="C1579">
        <v>47</v>
      </c>
      <c r="D1579">
        <v>13</v>
      </c>
    </row>
    <row r="1580" spans="2:4" x14ac:dyDescent="0.25">
      <c r="B1580" t="s">
        <v>1094</v>
      </c>
      <c r="C1580">
        <v>47</v>
      </c>
      <c r="D1580">
        <v>14</v>
      </c>
    </row>
    <row r="1581" spans="2:4" x14ac:dyDescent="0.25">
      <c r="B1581" t="s">
        <v>1094</v>
      </c>
      <c r="C1581">
        <v>50</v>
      </c>
      <c r="D1581">
        <v>6</v>
      </c>
    </row>
    <row r="1582" spans="2:4" x14ac:dyDescent="0.25">
      <c r="B1582" t="s">
        <v>1094</v>
      </c>
      <c r="C1582">
        <v>50</v>
      </c>
      <c r="D1582">
        <v>8</v>
      </c>
    </row>
    <row r="1583" spans="2:4" x14ac:dyDescent="0.25">
      <c r="B1583" t="s">
        <v>1094</v>
      </c>
      <c r="C1583">
        <v>50</v>
      </c>
      <c r="D1583">
        <v>13</v>
      </c>
    </row>
    <row r="1584" spans="2:4" x14ac:dyDescent="0.25">
      <c r="B1584" t="s">
        <v>1094</v>
      </c>
      <c r="C1584">
        <v>50</v>
      </c>
      <c r="D1584">
        <v>14</v>
      </c>
    </row>
    <row r="1585" spans="2:4" x14ac:dyDescent="0.25">
      <c r="B1585" t="s">
        <v>1094</v>
      </c>
      <c r="C1585">
        <v>51</v>
      </c>
      <c r="D1585">
        <v>6</v>
      </c>
    </row>
    <row r="1586" spans="2:4" x14ac:dyDescent="0.25">
      <c r="B1586" t="s">
        <v>1094</v>
      </c>
      <c r="C1586">
        <v>51</v>
      </c>
      <c r="D1586">
        <v>8</v>
      </c>
    </row>
    <row r="1587" spans="2:4" x14ac:dyDescent="0.25">
      <c r="B1587" t="s">
        <v>1094</v>
      </c>
      <c r="C1587">
        <v>51</v>
      </c>
      <c r="D1587">
        <v>13</v>
      </c>
    </row>
    <row r="1588" spans="2:4" x14ac:dyDescent="0.25">
      <c r="B1588" t="s">
        <v>1094</v>
      </c>
      <c r="C1588">
        <v>51</v>
      </c>
      <c r="D1588">
        <v>14</v>
      </c>
    </row>
    <row r="1589" spans="2:4" x14ac:dyDescent="0.25">
      <c r="B1589" t="s">
        <v>1094</v>
      </c>
      <c r="C1589">
        <v>52</v>
      </c>
      <c r="D1589">
        <v>6</v>
      </c>
    </row>
    <row r="1590" spans="2:4" x14ac:dyDescent="0.25">
      <c r="B1590" t="s">
        <v>1094</v>
      </c>
      <c r="C1590">
        <v>52</v>
      </c>
      <c r="D1590">
        <v>8</v>
      </c>
    </row>
    <row r="1591" spans="2:4" x14ac:dyDescent="0.25">
      <c r="B1591" t="s">
        <v>1094</v>
      </c>
      <c r="C1591">
        <v>52</v>
      </c>
      <c r="D1591">
        <v>13</v>
      </c>
    </row>
    <row r="1592" spans="2:4" x14ac:dyDescent="0.25">
      <c r="B1592" t="s">
        <v>1094</v>
      </c>
      <c r="C1592">
        <v>52</v>
      </c>
      <c r="D1592">
        <v>14</v>
      </c>
    </row>
    <row r="1593" spans="2:4" x14ac:dyDescent="0.25">
      <c r="B1593" t="s">
        <v>1094</v>
      </c>
      <c r="C1593">
        <v>53</v>
      </c>
      <c r="D1593">
        <v>6</v>
      </c>
    </row>
    <row r="1594" spans="2:4" x14ac:dyDescent="0.25">
      <c r="B1594" t="s">
        <v>1094</v>
      </c>
      <c r="C1594">
        <v>53</v>
      </c>
      <c r="D1594">
        <v>8</v>
      </c>
    </row>
    <row r="1595" spans="2:4" x14ac:dyDescent="0.25">
      <c r="B1595" t="s">
        <v>1094</v>
      </c>
      <c r="C1595">
        <v>53</v>
      </c>
      <c r="D1595">
        <v>13</v>
      </c>
    </row>
    <row r="1596" spans="2:4" x14ac:dyDescent="0.25">
      <c r="B1596" t="s">
        <v>1094</v>
      </c>
      <c r="C1596">
        <v>53</v>
      </c>
      <c r="D1596">
        <v>14</v>
      </c>
    </row>
    <row r="1597" spans="2:4" x14ac:dyDescent="0.25">
      <c r="B1597" t="s">
        <v>1094</v>
      </c>
      <c r="C1597">
        <v>54</v>
      </c>
      <c r="D1597">
        <v>6</v>
      </c>
    </row>
    <row r="1598" spans="2:4" x14ac:dyDescent="0.25">
      <c r="B1598" t="s">
        <v>1094</v>
      </c>
      <c r="C1598">
        <v>54</v>
      </c>
      <c r="D1598">
        <v>8</v>
      </c>
    </row>
    <row r="1599" spans="2:4" x14ac:dyDescent="0.25">
      <c r="B1599" t="s">
        <v>1094</v>
      </c>
      <c r="C1599">
        <v>54</v>
      </c>
      <c r="D1599">
        <v>13</v>
      </c>
    </row>
    <row r="1600" spans="2:4" x14ac:dyDescent="0.25">
      <c r="B1600" t="s">
        <v>1094</v>
      </c>
      <c r="C1600">
        <v>54</v>
      </c>
      <c r="D1600">
        <v>14</v>
      </c>
    </row>
    <row r="1601" spans="2:4" x14ac:dyDescent="0.25">
      <c r="B1601" t="s">
        <v>1094</v>
      </c>
      <c r="C1601">
        <v>55</v>
      </c>
      <c r="D1601">
        <v>6</v>
      </c>
    </row>
    <row r="1602" spans="2:4" x14ac:dyDescent="0.25">
      <c r="B1602" t="s">
        <v>1094</v>
      </c>
      <c r="C1602">
        <v>55</v>
      </c>
      <c r="D1602">
        <v>8</v>
      </c>
    </row>
    <row r="1603" spans="2:4" x14ac:dyDescent="0.25">
      <c r="B1603" t="s">
        <v>1094</v>
      </c>
      <c r="C1603">
        <v>55</v>
      </c>
      <c r="D1603">
        <v>13</v>
      </c>
    </row>
    <row r="1604" spans="2:4" x14ac:dyDescent="0.25">
      <c r="B1604" t="s">
        <v>1094</v>
      </c>
      <c r="C1604">
        <v>55</v>
      </c>
      <c r="D1604">
        <v>14</v>
      </c>
    </row>
    <row r="1605" spans="2:4" x14ac:dyDescent="0.25">
      <c r="B1605" t="s">
        <v>1094</v>
      </c>
      <c r="C1605">
        <v>56</v>
      </c>
      <c r="D1605">
        <v>6</v>
      </c>
    </row>
    <row r="1606" spans="2:4" x14ac:dyDescent="0.25">
      <c r="B1606" t="s">
        <v>1094</v>
      </c>
      <c r="C1606">
        <v>56</v>
      </c>
      <c r="D1606">
        <v>8</v>
      </c>
    </row>
    <row r="1607" spans="2:4" x14ac:dyDescent="0.25">
      <c r="B1607" t="s">
        <v>1094</v>
      </c>
      <c r="C1607">
        <v>56</v>
      </c>
      <c r="D1607">
        <v>13</v>
      </c>
    </row>
    <row r="1608" spans="2:4" x14ac:dyDescent="0.25">
      <c r="B1608" t="s">
        <v>1094</v>
      </c>
      <c r="C1608">
        <v>56</v>
      </c>
      <c r="D1608">
        <v>14</v>
      </c>
    </row>
    <row r="1609" spans="2:4" x14ac:dyDescent="0.25">
      <c r="B1609" t="s">
        <v>1094</v>
      </c>
      <c r="C1609">
        <v>57</v>
      </c>
      <c r="D1609">
        <v>5</v>
      </c>
    </row>
    <row r="1610" spans="2:4" x14ac:dyDescent="0.25">
      <c r="B1610" t="s">
        <v>1094</v>
      </c>
      <c r="C1610">
        <v>59</v>
      </c>
      <c r="D1610">
        <v>6</v>
      </c>
    </row>
    <row r="1611" spans="2:4" x14ac:dyDescent="0.25">
      <c r="B1611" t="s">
        <v>1094</v>
      </c>
      <c r="C1611">
        <v>59</v>
      </c>
      <c r="D1611">
        <v>8</v>
      </c>
    </row>
    <row r="1612" spans="2:4" x14ac:dyDescent="0.25">
      <c r="B1612" t="s">
        <v>1094</v>
      </c>
      <c r="C1612">
        <v>59</v>
      </c>
      <c r="D1612">
        <v>13</v>
      </c>
    </row>
    <row r="1613" spans="2:4" x14ac:dyDescent="0.25">
      <c r="B1613" t="s">
        <v>1094</v>
      </c>
      <c r="C1613">
        <v>59</v>
      </c>
      <c r="D1613">
        <v>14</v>
      </c>
    </row>
    <row r="1614" spans="2:4" x14ac:dyDescent="0.25">
      <c r="B1614" t="s">
        <v>1094</v>
      </c>
      <c r="C1614">
        <v>60</v>
      </c>
      <c r="D1614">
        <v>6</v>
      </c>
    </row>
    <row r="1615" spans="2:4" x14ac:dyDescent="0.25">
      <c r="B1615" t="s">
        <v>1094</v>
      </c>
      <c r="C1615">
        <v>60</v>
      </c>
      <c r="D1615">
        <v>8</v>
      </c>
    </row>
    <row r="1616" spans="2:4" x14ac:dyDescent="0.25">
      <c r="B1616" t="s">
        <v>1094</v>
      </c>
      <c r="C1616">
        <v>60</v>
      </c>
      <c r="D1616">
        <v>13</v>
      </c>
    </row>
    <row r="1617" spans="2:4" x14ac:dyDescent="0.25">
      <c r="B1617" t="s">
        <v>1094</v>
      </c>
      <c r="C1617">
        <v>60</v>
      </c>
      <c r="D1617">
        <v>14</v>
      </c>
    </row>
    <row r="1618" spans="2:4" x14ac:dyDescent="0.25">
      <c r="B1618" t="s">
        <v>1094</v>
      </c>
      <c r="C1618">
        <v>61</v>
      </c>
      <c r="D1618">
        <v>6</v>
      </c>
    </row>
    <row r="1619" spans="2:4" x14ac:dyDescent="0.25">
      <c r="B1619" t="s">
        <v>1094</v>
      </c>
      <c r="C1619">
        <v>61</v>
      </c>
      <c r="D1619">
        <v>8</v>
      </c>
    </row>
    <row r="1620" spans="2:4" x14ac:dyDescent="0.25">
      <c r="B1620" t="s">
        <v>1094</v>
      </c>
      <c r="C1620">
        <v>61</v>
      </c>
      <c r="D1620">
        <v>13</v>
      </c>
    </row>
    <row r="1621" spans="2:4" x14ac:dyDescent="0.25">
      <c r="B1621" t="s">
        <v>1094</v>
      </c>
      <c r="C1621">
        <v>61</v>
      </c>
      <c r="D1621">
        <v>14</v>
      </c>
    </row>
    <row r="1622" spans="2:4" x14ac:dyDescent="0.25">
      <c r="B1622" t="s">
        <v>1094</v>
      </c>
      <c r="C1622">
        <v>62</v>
      </c>
      <c r="D1622">
        <v>6</v>
      </c>
    </row>
    <row r="1623" spans="2:4" x14ac:dyDescent="0.25">
      <c r="B1623" t="s">
        <v>1094</v>
      </c>
      <c r="C1623">
        <v>62</v>
      </c>
      <c r="D1623">
        <v>8</v>
      </c>
    </row>
    <row r="1624" spans="2:4" x14ac:dyDescent="0.25">
      <c r="B1624" t="s">
        <v>1094</v>
      </c>
      <c r="C1624">
        <v>62</v>
      </c>
      <c r="D1624">
        <v>13</v>
      </c>
    </row>
    <row r="1625" spans="2:4" x14ac:dyDescent="0.25">
      <c r="B1625" t="s">
        <v>1094</v>
      </c>
      <c r="C1625">
        <v>62</v>
      </c>
      <c r="D1625">
        <v>14</v>
      </c>
    </row>
    <row r="1626" spans="2:4" x14ac:dyDescent="0.25">
      <c r="B1626" t="s">
        <v>1094</v>
      </c>
      <c r="C1626">
        <v>63</v>
      </c>
      <c r="D1626">
        <v>6</v>
      </c>
    </row>
    <row r="1627" spans="2:4" x14ac:dyDescent="0.25">
      <c r="B1627" t="s">
        <v>1094</v>
      </c>
      <c r="C1627">
        <v>63</v>
      </c>
      <c r="D1627">
        <v>8</v>
      </c>
    </row>
    <row r="1628" spans="2:4" x14ac:dyDescent="0.25">
      <c r="B1628" t="s">
        <v>1094</v>
      </c>
      <c r="C1628">
        <v>63</v>
      </c>
      <c r="D1628">
        <v>13</v>
      </c>
    </row>
    <row r="1629" spans="2:4" x14ac:dyDescent="0.25">
      <c r="B1629" t="s">
        <v>1094</v>
      </c>
      <c r="C1629">
        <v>63</v>
      </c>
      <c r="D1629">
        <v>14</v>
      </c>
    </row>
    <row r="1630" spans="2:4" x14ac:dyDescent="0.25">
      <c r="B1630" t="s">
        <v>1094</v>
      </c>
      <c r="C1630">
        <v>64</v>
      </c>
      <c r="D1630">
        <v>6</v>
      </c>
    </row>
    <row r="1631" spans="2:4" x14ac:dyDescent="0.25">
      <c r="B1631" t="s">
        <v>1094</v>
      </c>
      <c r="C1631">
        <v>64</v>
      </c>
      <c r="D1631">
        <v>8</v>
      </c>
    </row>
    <row r="1632" spans="2:4" x14ac:dyDescent="0.25">
      <c r="B1632" t="s">
        <v>1094</v>
      </c>
      <c r="C1632">
        <v>64</v>
      </c>
      <c r="D1632">
        <v>13</v>
      </c>
    </row>
    <row r="1633" spans="2:4" x14ac:dyDescent="0.25">
      <c r="B1633" t="s">
        <v>1094</v>
      </c>
      <c r="C1633">
        <v>64</v>
      </c>
      <c r="D1633">
        <v>14</v>
      </c>
    </row>
    <row r="1634" spans="2:4" x14ac:dyDescent="0.25">
      <c r="B1634" t="s">
        <v>1094</v>
      </c>
      <c r="C1634">
        <v>65</v>
      </c>
      <c r="D1634">
        <v>6</v>
      </c>
    </row>
    <row r="1635" spans="2:4" x14ac:dyDescent="0.25">
      <c r="B1635" t="s">
        <v>1094</v>
      </c>
      <c r="C1635">
        <v>65</v>
      </c>
      <c r="D1635">
        <v>8</v>
      </c>
    </row>
    <row r="1636" spans="2:4" x14ac:dyDescent="0.25">
      <c r="B1636" t="s">
        <v>1094</v>
      </c>
      <c r="C1636">
        <v>65</v>
      </c>
      <c r="D1636">
        <v>13</v>
      </c>
    </row>
    <row r="1637" spans="2:4" x14ac:dyDescent="0.25">
      <c r="B1637" t="s">
        <v>1094</v>
      </c>
      <c r="C1637">
        <v>65</v>
      </c>
      <c r="D1637">
        <v>14</v>
      </c>
    </row>
    <row r="1638" spans="2:4" x14ac:dyDescent="0.25">
      <c r="B1638" t="s">
        <v>1094</v>
      </c>
      <c r="C1638">
        <v>67</v>
      </c>
      <c r="D1638">
        <v>6</v>
      </c>
    </row>
    <row r="1639" spans="2:4" x14ac:dyDescent="0.25">
      <c r="B1639" t="s">
        <v>1094</v>
      </c>
      <c r="C1639">
        <v>67</v>
      </c>
      <c r="D1639">
        <v>8</v>
      </c>
    </row>
    <row r="1640" spans="2:4" x14ac:dyDescent="0.25">
      <c r="B1640" t="s">
        <v>1094</v>
      </c>
      <c r="C1640">
        <v>67</v>
      </c>
      <c r="D1640">
        <v>13</v>
      </c>
    </row>
    <row r="1641" spans="2:4" x14ac:dyDescent="0.25">
      <c r="B1641" t="s">
        <v>1094</v>
      </c>
      <c r="C1641">
        <v>67</v>
      </c>
      <c r="D1641">
        <v>14</v>
      </c>
    </row>
    <row r="1642" spans="2:4" x14ac:dyDescent="0.25">
      <c r="B1642" t="s">
        <v>1094</v>
      </c>
      <c r="C1642">
        <v>68</v>
      </c>
      <c r="D1642">
        <v>6</v>
      </c>
    </row>
    <row r="1643" spans="2:4" x14ac:dyDescent="0.25">
      <c r="B1643" t="s">
        <v>1094</v>
      </c>
      <c r="C1643">
        <v>68</v>
      </c>
      <c r="D1643">
        <v>8</v>
      </c>
    </row>
    <row r="1644" spans="2:4" x14ac:dyDescent="0.25">
      <c r="B1644" t="s">
        <v>1094</v>
      </c>
      <c r="C1644">
        <v>68</v>
      </c>
      <c r="D1644">
        <v>13</v>
      </c>
    </row>
    <row r="1645" spans="2:4" x14ac:dyDescent="0.25">
      <c r="B1645" t="s">
        <v>1094</v>
      </c>
      <c r="C1645">
        <v>68</v>
      </c>
      <c r="D1645">
        <v>14</v>
      </c>
    </row>
    <row r="1646" spans="2:4" x14ac:dyDescent="0.25">
      <c r="B1646" t="s">
        <v>1094</v>
      </c>
      <c r="C1646">
        <v>69</v>
      </c>
      <c r="D1646">
        <v>6</v>
      </c>
    </row>
    <row r="1647" spans="2:4" x14ac:dyDescent="0.25">
      <c r="B1647" t="s">
        <v>1094</v>
      </c>
      <c r="C1647">
        <v>69</v>
      </c>
      <c r="D1647">
        <v>8</v>
      </c>
    </row>
    <row r="1648" spans="2:4" x14ac:dyDescent="0.25">
      <c r="B1648" t="s">
        <v>1094</v>
      </c>
      <c r="C1648">
        <v>69</v>
      </c>
      <c r="D1648">
        <v>13</v>
      </c>
    </row>
    <row r="1649" spans="2:4" x14ac:dyDescent="0.25">
      <c r="B1649" t="s">
        <v>1094</v>
      </c>
      <c r="C1649">
        <v>69</v>
      </c>
      <c r="D1649">
        <v>14</v>
      </c>
    </row>
    <row r="1650" spans="2:4" x14ac:dyDescent="0.25">
      <c r="B1650" t="s">
        <v>1094</v>
      </c>
      <c r="C1650">
        <v>70</v>
      </c>
      <c r="D1650">
        <v>6</v>
      </c>
    </row>
    <row r="1651" spans="2:4" x14ac:dyDescent="0.25">
      <c r="B1651" t="s">
        <v>1094</v>
      </c>
      <c r="C1651">
        <v>70</v>
      </c>
      <c r="D1651">
        <v>8</v>
      </c>
    </row>
    <row r="1652" spans="2:4" x14ac:dyDescent="0.25">
      <c r="B1652" t="s">
        <v>1094</v>
      </c>
      <c r="C1652">
        <v>70</v>
      </c>
      <c r="D1652">
        <v>13</v>
      </c>
    </row>
    <row r="1653" spans="2:4" x14ac:dyDescent="0.25">
      <c r="B1653" t="s">
        <v>1094</v>
      </c>
      <c r="C1653">
        <v>70</v>
      </c>
      <c r="D1653">
        <v>14</v>
      </c>
    </row>
    <row r="1654" spans="2:4" x14ac:dyDescent="0.25">
      <c r="B1654" t="s">
        <v>1094</v>
      </c>
      <c r="C1654">
        <v>71</v>
      </c>
      <c r="D1654">
        <v>6</v>
      </c>
    </row>
    <row r="1655" spans="2:4" x14ac:dyDescent="0.25">
      <c r="B1655" t="s">
        <v>1094</v>
      </c>
      <c r="C1655">
        <v>71</v>
      </c>
      <c r="D1655">
        <v>8</v>
      </c>
    </row>
    <row r="1656" spans="2:4" x14ac:dyDescent="0.25">
      <c r="B1656" t="s">
        <v>1094</v>
      </c>
      <c r="C1656">
        <v>71</v>
      </c>
      <c r="D1656">
        <v>13</v>
      </c>
    </row>
    <row r="1657" spans="2:4" x14ac:dyDescent="0.25">
      <c r="B1657" t="s">
        <v>1094</v>
      </c>
      <c r="C1657">
        <v>71</v>
      </c>
      <c r="D1657">
        <v>14</v>
      </c>
    </row>
    <row r="1658" spans="2:4" x14ac:dyDescent="0.25">
      <c r="B1658" t="s">
        <v>1094</v>
      </c>
      <c r="C1658">
        <v>72</v>
      </c>
      <c r="D1658">
        <v>6</v>
      </c>
    </row>
    <row r="1659" spans="2:4" x14ac:dyDescent="0.25">
      <c r="B1659" t="s">
        <v>1094</v>
      </c>
      <c r="C1659">
        <v>72</v>
      </c>
      <c r="D1659">
        <v>8</v>
      </c>
    </row>
    <row r="1660" spans="2:4" x14ac:dyDescent="0.25">
      <c r="B1660" t="s">
        <v>1094</v>
      </c>
      <c r="C1660">
        <v>72</v>
      </c>
      <c r="D1660">
        <v>13</v>
      </c>
    </row>
    <row r="1661" spans="2:4" x14ac:dyDescent="0.25">
      <c r="B1661" t="s">
        <v>1094</v>
      </c>
      <c r="C1661">
        <v>72</v>
      </c>
      <c r="D1661">
        <v>14</v>
      </c>
    </row>
    <row r="1662" spans="2:4" x14ac:dyDescent="0.25">
      <c r="B1662" t="s">
        <v>1094</v>
      </c>
      <c r="C1662">
        <v>73</v>
      </c>
      <c r="D1662">
        <v>6</v>
      </c>
    </row>
    <row r="1663" spans="2:4" x14ac:dyDescent="0.25">
      <c r="B1663" t="s">
        <v>1094</v>
      </c>
      <c r="C1663">
        <v>73</v>
      </c>
      <c r="D1663">
        <v>8</v>
      </c>
    </row>
    <row r="1664" spans="2:4" x14ac:dyDescent="0.25">
      <c r="B1664" t="s">
        <v>1094</v>
      </c>
      <c r="C1664">
        <v>73</v>
      </c>
      <c r="D1664">
        <v>13</v>
      </c>
    </row>
    <row r="1665" spans="2:4" x14ac:dyDescent="0.25">
      <c r="B1665" t="s">
        <v>1094</v>
      </c>
      <c r="C1665">
        <v>73</v>
      </c>
      <c r="D1665">
        <v>14</v>
      </c>
    </row>
    <row r="1666" spans="2:4" x14ac:dyDescent="0.25">
      <c r="B1666" t="s">
        <v>1094</v>
      </c>
      <c r="C1666">
        <v>76</v>
      </c>
      <c r="D1666">
        <v>6</v>
      </c>
    </row>
    <row r="1667" spans="2:4" x14ac:dyDescent="0.25">
      <c r="B1667" t="s">
        <v>1094</v>
      </c>
      <c r="C1667">
        <v>76</v>
      </c>
      <c r="D1667">
        <v>8</v>
      </c>
    </row>
    <row r="1668" spans="2:4" x14ac:dyDescent="0.25">
      <c r="B1668" t="s">
        <v>1094</v>
      </c>
      <c r="C1668">
        <v>76</v>
      </c>
      <c r="D1668">
        <v>13</v>
      </c>
    </row>
    <row r="1669" spans="2:4" x14ac:dyDescent="0.25">
      <c r="B1669" t="s">
        <v>1094</v>
      </c>
      <c r="C1669">
        <v>76</v>
      </c>
      <c r="D1669">
        <v>14</v>
      </c>
    </row>
    <row r="1670" spans="2:4" x14ac:dyDescent="0.25">
      <c r="B1670" t="s">
        <v>1094</v>
      </c>
      <c r="C1670">
        <v>77</v>
      </c>
      <c r="D1670">
        <v>6</v>
      </c>
    </row>
    <row r="1671" spans="2:4" x14ac:dyDescent="0.25">
      <c r="B1671" t="s">
        <v>1094</v>
      </c>
      <c r="C1671">
        <v>77</v>
      </c>
      <c r="D1671">
        <v>8</v>
      </c>
    </row>
    <row r="1672" spans="2:4" x14ac:dyDescent="0.25">
      <c r="B1672" t="s">
        <v>1094</v>
      </c>
      <c r="C1672">
        <v>77</v>
      </c>
      <c r="D1672">
        <v>13</v>
      </c>
    </row>
    <row r="1673" spans="2:4" x14ac:dyDescent="0.25">
      <c r="B1673" t="s">
        <v>1094</v>
      </c>
      <c r="C1673">
        <v>77</v>
      </c>
      <c r="D1673">
        <v>14</v>
      </c>
    </row>
    <row r="1674" spans="2:4" x14ac:dyDescent="0.25">
      <c r="B1674" t="s">
        <v>1094</v>
      </c>
      <c r="C1674">
        <v>78</v>
      </c>
      <c r="D1674">
        <v>6</v>
      </c>
    </row>
    <row r="1675" spans="2:4" x14ac:dyDescent="0.25">
      <c r="B1675" t="s">
        <v>1094</v>
      </c>
      <c r="C1675">
        <v>78</v>
      </c>
      <c r="D1675">
        <v>8</v>
      </c>
    </row>
    <row r="1676" spans="2:4" x14ac:dyDescent="0.25">
      <c r="B1676" t="s">
        <v>1094</v>
      </c>
      <c r="C1676">
        <v>78</v>
      </c>
      <c r="D1676">
        <v>13</v>
      </c>
    </row>
    <row r="1677" spans="2:4" x14ac:dyDescent="0.25">
      <c r="B1677" t="s">
        <v>1094</v>
      </c>
      <c r="C1677">
        <v>78</v>
      </c>
      <c r="D1677">
        <v>14</v>
      </c>
    </row>
    <row r="1678" spans="2:4" x14ac:dyDescent="0.25">
      <c r="B1678" t="s">
        <v>1094</v>
      </c>
      <c r="C1678">
        <v>79</v>
      </c>
      <c r="D1678">
        <v>6</v>
      </c>
    </row>
    <row r="1679" spans="2:4" x14ac:dyDescent="0.25">
      <c r="B1679" t="s">
        <v>1094</v>
      </c>
      <c r="C1679">
        <v>79</v>
      </c>
      <c r="D1679">
        <v>8</v>
      </c>
    </row>
    <row r="1680" spans="2:4" x14ac:dyDescent="0.25">
      <c r="B1680" t="s">
        <v>1094</v>
      </c>
      <c r="C1680">
        <v>79</v>
      </c>
      <c r="D1680">
        <v>13</v>
      </c>
    </row>
    <row r="1681" spans="2:4" x14ac:dyDescent="0.25">
      <c r="B1681" t="s">
        <v>1094</v>
      </c>
      <c r="C1681">
        <v>79</v>
      </c>
      <c r="D1681">
        <v>14</v>
      </c>
    </row>
    <row r="1682" spans="2:4" x14ac:dyDescent="0.25">
      <c r="B1682" t="s">
        <v>1094</v>
      </c>
      <c r="C1682">
        <v>80</v>
      </c>
      <c r="D1682">
        <v>6</v>
      </c>
    </row>
    <row r="1683" spans="2:4" x14ac:dyDescent="0.25">
      <c r="B1683" t="s">
        <v>1094</v>
      </c>
      <c r="C1683">
        <v>80</v>
      </c>
      <c r="D1683">
        <v>8</v>
      </c>
    </row>
    <row r="1684" spans="2:4" x14ac:dyDescent="0.25">
      <c r="B1684" t="s">
        <v>1094</v>
      </c>
      <c r="C1684">
        <v>80</v>
      </c>
      <c r="D1684">
        <v>13</v>
      </c>
    </row>
    <row r="1685" spans="2:4" x14ac:dyDescent="0.25">
      <c r="B1685" t="s">
        <v>1094</v>
      </c>
      <c r="C1685">
        <v>80</v>
      </c>
      <c r="D1685">
        <v>14</v>
      </c>
    </row>
    <row r="1686" spans="2:4" x14ac:dyDescent="0.25">
      <c r="B1686" t="s">
        <v>1094</v>
      </c>
      <c r="C1686">
        <v>81</v>
      </c>
      <c r="D1686">
        <v>6</v>
      </c>
    </row>
    <row r="1687" spans="2:4" x14ac:dyDescent="0.25">
      <c r="B1687" t="s">
        <v>1094</v>
      </c>
      <c r="C1687">
        <v>81</v>
      </c>
      <c r="D1687">
        <v>8</v>
      </c>
    </row>
    <row r="1688" spans="2:4" x14ac:dyDescent="0.25">
      <c r="B1688" t="s">
        <v>1094</v>
      </c>
      <c r="C1688">
        <v>81</v>
      </c>
      <c r="D1688">
        <v>13</v>
      </c>
    </row>
    <row r="1689" spans="2:4" x14ac:dyDescent="0.25">
      <c r="B1689" t="s">
        <v>1094</v>
      </c>
      <c r="C1689">
        <v>81</v>
      </c>
      <c r="D1689">
        <v>14</v>
      </c>
    </row>
    <row r="1690" spans="2:4" x14ac:dyDescent="0.25">
      <c r="B1690" t="s">
        <v>1094</v>
      </c>
      <c r="C1690">
        <v>82</v>
      </c>
      <c r="D1690">
        <v>6</v>
      </c>
    </row>
    <row r="1691" spans="2:4" x14ac:dyDescent="0.25">
      <c r="B1691" t="s">
        <v>1094</v>
      </c>
      <c r="C1691">
        <v>82</v>
      </c>
      <c r="D1691">
        <v>8</v>
      </c>
    </row>
    <row r="1692" spans="2:4" x14ac:dyDescent="0.25">
      <c r="B1692" t="s">
        <v>1094</v>
      </c>
      <c r="C1692">
        <v>82</v>
      </c>
      <c r="D1692">
        <v>13</v>
      </c>
    </row>
    <row r="1693" spans="2:4" x14ac:dyDescent="0.25">
      <c r="B1693" t="s">
        <v>1094</v>
      </c>
      <c r="C1693">
        <v>82</v>
      </c>
      <c r="D1693">
        <v>14</v>
      </c>
    </row>
    <row r="1694" spans="2:4" x14ac:dyDescent="0.25">
      <c r="B1694" t="s">
        <v>1094</v>
      </c>
      <c r="C1694">
        <v>83</v>
      </c>
      <c r="D1694">
        <v>6</v>
      </c>
    </row>
    <row r="1695" spans="2:4" x14ac:dyDescent="0.25">
      <c r="B1695" t="s">
        <v>1094</v>
      </c>
      <c r="C1695">
        <v>83</v>
      </c>
      <c r="D1695">
        <v>8</v>
      </c>
    </row>
    <row r="1696" spans="2:4" x14ac:dyDescent="0.25">
      <c r="B1696" t="s">
        <v>1094</v>
      </c>
      <c r="C1696">
        <v>83</v>
      </c>
      <c r="D1696">
        <v>13</v>
      </c>
    </row>
    <row r="1697" spans="2:4" x14ac:dyDescent="0.25">
      <c r="B1697" t="s">
        <v>1094</v>
      </c>
      <c r="C1697">
        <v>83</v>
      </c>
      <c r="D1697">
        <v>14</v>
      </c>
    </row>
    <row r="1698" spans="2:4" x14ac:dyDescent="0.25">
      <c r="B1698" t="s">
        <v>1094</v>
      </c>
      <c r="C1698">
        <v>85</v>
      </c>
      <c r="D1698">
        <v>6</v>
      </c>
    </row>
    <row r="1699" spans="2:4" x14ac:dyDescent="0.25">
      <c r="B1699" t="s">
        <v>1094</v>
      </c>
      <c r="C1699">
        <v>85</v>
      </c>
      <c r="D1699">
        <v>8</v>
      </c>
    </row>
    <row r="1700" spans="2:4" x14ac:dyDescent="0.25">
      <c r="B1700" t="s">
        <v>1094</v>
      </c>
      <c r="C1700">
        <v>85</v>
      </c>
      <c r="D1700">
        <v>13</v>
      </c>
    </row>
    <row r="1701" spans="2:4" x14ac:dyDescent="0.25">
      <c r="B1701" t="s">
        <v>1094</v>
      </c>
      <c r="C1701">
        <v>85</v>
      </c>
      <c r="D1701">
        <v>14</v>
      </c>
    </row>
    <row r="1702" spans="2:4" x14ac:dyDescent="0.25">
      <c r="B1702" t="s">
        <v>1094</v>
      </c>
      <c r="C1702">
        <v>86</v>
      </c>
      <c r="D1702">
        <v>6</v>
      </c>
    </row>
    <row r="1703" spans="2:4" x14ac:dyDescent="0.25">
      <c r="B1703" t="s">
        <v>1094</v>
      </c>
      <c r="C1703">
        <v>86</v>
      </c>
      <c r="D1703">
        <v>8</v>
      </c>
    </row>
    <row r="1704" spans="2:4" x14ac:dyDescent="0.25">
      <c r="B1704" t="s">
        <v>1094</v>
      </c>
      <c r="C1704">
        <v>86</v>
      </c>
      <c r="D1704">
        <v>13</v>
      </c>
    </row>
    <row r="1705" spans="2:4" x14ac:dyDescent="0.25">
      <c r="B1705" t="s">
        <v>1094</v>
      </c>
      <c r="C1705">
        <v>86</v>
      </c>
      <c r="D1705">
        <v>14</v>
      </c>
    </row>
    <row r="1706" spans="2:4" x14ac:dyDescent="0.25">
      <c r="B1706" t="s">
        <v>1094</v>
      </c>
      <c r="C1706">
        <v>87</v>
      </c>
      <c r="D1706">
        <v>6</v>
      </c>
    </row>
    <row r="1707" spans="2:4" x14ac:dyDescent="0.25">
      <c r="B1707" t="s">
        <v>1094</v>
      </c>
      <c r="C1707">
        <v>87</v>
      </c>
      <c r="D1707">
        <v>8</v>
      </c>
    </row>
    <row r="1708" spans="2:4" x14ac:dyDescent="0.25">
      <c r="B1708" t="s">
        <v>1094</v>
      </c>
      <c r="C1708">
        <v>87</v>
      </c>
      <c r="D1708">
        <v>13</v>
      </c>
    </row>
    <row r="1709" spans="2:4" x14ac:dyDescent="0.25">
      <c r="B1709" t="s">
        <v>1094</v>
      </c>
      <c r="C1709">
        <v>87</v>
      </c>
      <c r="D1709">
        <v>14</v>
      </c>
    </row>
    <row r="1710" spans="2:4" x14ac:dyDescent="0.25">
      <c r="B1710" t="s">
        <v>1094</v>
      </c>
      <c r="C1710">
        <v>88</v>
      </c>
      <c r="D1710">
        <v>6</v>
      </c>
    </row>
    <row r="1711" spans="2:4" x14ac:dyDescent="0.25">
      <c r="B1711" t="s">
        <v>1094</v>
      </c>
      <c r="C1711">
        <v>88</v>
      </c>
      <c r="D1711">
        <v>8</v>
      </c>
    </row>
    <row r="1712" spans="2:4" x14ac:dyDescent="0.25">
      <c r="B1712" t="s">
        <v>1094</v>
      </c>
      <c r="C1712">
        <v>88</v>
      </c>
      <c r="D1712">
        <v>13</v>
      </c>
    </row>
    <row r="1713" spans="2:4" x14ac:dyDescent="0.25">
      <c r="B1713" t="s">
        <v>1094</v>
      </c>
      <c r="C1713">
        <v>88</v>
      </c>
      <c r="D1713">
        <v>14</v>
      </c>
    </row>
    <row r="1714" spans="2:4" x14ac:dyDescent="0.25">
      <c r="B1714" t="s">
        <v>1094</v>
      </c>
      <c r="C1714">
        <v>90</v>
      </c>
      <c r="D1714">
        <v>6</v>
      </c>
    </row>
    <row r="1715" spans="2:4" x14ac:dyDescent="0.25">
      <c r="B1715" t="s">
        <v>1094</v>
      </c>
      <c r="C1715">
        <v>90</v>
      </c>
      <c r="D1715">
        <v>8</v>
      </c>
    </row>
    <row r="1716" spans="2:4" x14ac:dyDescent="0.25">
      <c r="B1716" t="s">
        <v>1094</v>
      </c>
      <c r="C1716">
        <v>90</v>
      </c>
      <c r="D1716">
        <v>13</v>
      </c>
    </row>
    <row r="1717" spans="2:4" x14ac:dyDescent="0.25">
      <c r="B1717" t="s">
        <v>1094</v>
      </c>
      <c r="C1717">
        <v>90</v>
      </c>
      <c r="D1717">
        <v>14</v>
      </c>
    </row>
    <row r="1718" spans="2:4" x14ac:dyDescent="0.25">
      <c r="B1718" t="s">
        <v>1094</v>
      </c>
      <c r="C1718">
        <v>91</v>
      </c>
      <c r="D1718">
        <v>6</v>
      </c>
    </row>
    <row r="1719" spans="2:4" x14ac:dyDescent="0.25">
      <c r="B1719" t="s">
        <v>1094</v>
      </c>
      <c r="C1719">
        <v>91</v>
      </c>
      <c r="D1719">
        <v>8</v>
      </c>
    </row>
    <row r="1720" spans="2:4" x14ac:dyDescent="0.25">
      <c r="B1720" t="s">
        <v>1094</v>
      </c>
      <c r="C1720">
        <v>91</v>
      </c>
      <c r="D1720">
        <v>13</v>
      </c>
    </row>
    <row r="1721" spans="2:4" x14ac:dyDescent="0.25">
      <c r="B1721" t="s">
        <v>1094</v>
      </c>
      <c r="C1721">
        <v>91</v>
      </c>
      <c r="D1721">
        <v>14</v>
      </c>
    </row>
    <row r="1722" spans="2:4" x14ac:dyDescent="0.25">
      <c r="B1722" t="s">
        <v>1094</v>
      </c>
      <c r="C1722">
        <v>92</v>
      </c>
      <c r="D1722">
        <v>6</v>
      </c>
    </row>
    <row r="1723" spans="2:4" x14ac:dyDescent="0.25">
      <c r="B1723" t="s">
        <v>1094</v>
      </c>
      <c r="C1723">
        <v>92</v>
      </c>
      <c r="D1723">
        <v>8</v>
      </c>
    </row>
    <row r="1724" spans="2:4" x14ac:dyDescent="0.25">
      <c r="B1724" t="s">
        <v>1094</v>
      </c>
      <c r="C1724">
        <v>92</v>
      </c>
      <c r="D1724">
        <v>13</v>
      </c>
    </row>
    <row r="1725" spans="2:4" x14ac:dyDescent="0.25">
      <c r="B1725" t="s">
        <v>1094</v>
      </c>
      <c r="C1725">
        <v>92</v>
      </c>
      <c r="D1725">
        <v>14</v>
      </c>
    </row>
    <row r="1726" spans="2:4" x14ac:dyDescent="0.25">
      <c r="B1726" t="s">
        <v>1094</v>
      </c>
      <c r="C1726">
        <v>93</v>
      </c>
      <c r="D1726">
        <v>6</v>
      </c>
    </row>
    <row r="1727" spans="2:4" x14ac:dyDescent="0.25">
      <c r="B1727" t="s">
        <v>1094</v>
      </c>
      <c r="C1727">
        <v>93</v>
      </c>
      <c r="D1727">
        <v>8</v>
      </c>
    </row>
    <row r="1728" spans="2:4" x14ac:dyDescent="0.25">
      <c r="B1728" t="s">
        <v>1094</v>
      </c>
      <c r="C1728">
        <v>93</v>
      </c>
      <c r="D1728">
        <v>13</v>
      </c>
    </row>
    <row r="1729" spans="2:4" x14ac:dyDescent="0.25">
      <c r="B1729" t="s">
        <v>1094</v>
      </c>
      <c r="C1729">
        <v>93</v>
      </c>
      <c r="D1729">
        <v>14</v>
      </c>
    </row>
    <row r="1730" spans="2:4" x14ac:dyDescent="0.25">
      <c r="B1730" t="s">
        <v>1094</v>
      </c>
      <c r="C1730">
        <v>94</v>
      </c>
      <c r="D1730">
        <v>6</v>
      </c>
    </row>
    <row r="1731" spans="2:4" x14ac:dyDescent="0.25">
      <c r="B1731" t="s">
        <v>1094</v>
      </c>
      <c r="C1731">
        <v>94</v>
      </c>
      <c r="D1731">
        <v>8</v>
      </c>
    </row>
    <row r="1732" spans="2:4" x14ac:dyDescent="0.25">
      <c r="B1732" t="s">
        <v>1094</v>
      </c>
      <c r="C1732">
        <v>94</v>
      </c>
      <c r="D1732">
        <v>13</v>
      </c>
    </row>
    <row r="1733" spans="2:4" x14ac:dyDescent="0.25">
      <c r="B1733" t="s">
        <v>1094</v>
      </c>
      <c r="C1733">
        <v>94</v>
      </c>
      <c r="D1733">
        <v>14</v>
      </c>
    </row>
    <row r="1734" spans="2:4" x14ac:dyDescent="0.25">
      <c r="B1734" t="s">
        <v>1094</v>
      </c>
      <c r="C1734">
        <v>95</v>
      </c>
      <c r="D1734">
        <v>6</v>
      </c>
    </row>
    <row r="1735" spans="2:4" x14ac:dyDescent="0.25">
      <c r="B1735" t="s">
        <v>1094</v>
      </c>
      <c r="C1735">
        <v>95</v>
      </c>
      <c r="D1735">
        <v>8</v>
      </c>
    </row>
    <row r="1736" spans="2:4" x14ac:dyDescent="0.25">
      <c r="B1736" t="s">
        <v>1094</v>
      </c>
      <c r="C1736">
        <v>95</v>
      </c>
      <c r="D1736">
        <v>13</v>
      </c>
    </row>
    <row r="1737" spans="2:4" x14ac:dyDescent="0.25">
      <c r="B1737" t="s">
        <v>1094</v>
      </c>
      <c r="C1737">
        <v>95</v>
      </c>
      <c r="D1737">
        <v>14</v>
      </c>
    </row>
    <row r="1738" spans="2:4" x14ac:dyDescent="0.25">
      <c r="B1738" t="s">
        <v>1094</v>
      </c>
      <c r="C1738">
        <v>96</v>
      </c>
      <c r="D1738">
        <v>6</v>
      </c>
    </row>
    <row r="1739" spans="2:4" x14ac:dyDescent="0.25">
      <c r="B1739" t="s">
        <v>1094</v>
      </c>
      <c r="C1739">
        <v>96</v>
      </c>
      <c r="D1739">
        <v>8</v>
      </c>
    </row>
    <row r="1740" spans="2:4" x14ac:dyDescent="0.25">
      <c r="B1740" t="s">
        <v>1094</v>
      </c>
      <c r="C1740">
        <v>96</v>
      </c>
      <c r="D1740">
        <v>13</v>
      </c>
    </row>
    <row r="1741" spans="2:4" x14ac:dyDescent="0.25">
      <c r="B1741" t="s">
        <v>1094</v>
      </c>
      <c r="C1741">
        <v>96</v>
      </c>
      <c r="D1741">
        <v>14</v>
      </c>
    </row>
    <row r="1742" spans="2:4" x14ac:dyDescent="0.25">
      <c r="B1742" t="s">
        <v>1094</v>
      </c>
      <c r="C1742">
        <v>97</v>
      </c>
      <c r="D1742">
        <v>6</v>
      </c>
    </row>
    <row r="1743" spans="2:4" x14ac:dyDescent="0.25">
      <c r="B1743" t="s">
        <v>1094</v>
      </c>
      <c r="C1743">
        <v>97</v>
      </c>
      <c r="D1743">
        <v>8</v>
      </c>
    </row>
    <row r="1744" spans="2:4" x14ac:dyDescent="0.25">
      <c r="B1744" t="s">
        <v>1094</v>
      </c>
      <c r="C1744">
        <v>97</v>
      </c>
      <c r="D1744">
        <v>13</v>
      </c>
    </row>
    <row r="1745" spans="2:4" x14ac:dyDescent="0.25">
      <c r="B1745" t="s">
        <v>1094</v>
      </c>
      <c r="C1745">
        <v>97</v>
      </c>
      <c r="D1745">
        <v>14</v>
      </c>
    </row>
    <row r="1746" spans="2:4" x14ac:dyDescent="0.25">
      <c r="B1746" t="s">
        <v>1094</v>
      </c>
      <c r="C1746">
        <v>98</v>
      </c>
      <c r="D1746">
        <v>6</v>
      </c>
    </row>
    <row r="1747" spans="2:4" x14ac:dyDescent="0.25">
      <c r="B1747" t="s">
        <v>1094</v>
      </c>
      <c r="C1747">
        <v>98</v>
      </c>
      <c r="D1747">
        <v>8</v>
      </c>
    </row>
    <row r="1748" spans="2:4" x14ac:dyDescent="0.25">
      <c r="B1748" t="s">
        <v>1094</v>
      </c>
      <c r="C1748">
        <v>98</v>
      </c>
      <c r="D1748">
        <v>13</v>
      </c>
    </row>
    <row r="1749" spans="2:4" x14ac:dyDescent="0.25">
      <c r="B1749" t="s">
        <v>1094</v>
      </c>
      <c r="C1749">
        <v>98</v>
      </c>
      <c r="D1749">
        <v>14</v>
      </c>
    </row>
    <row r="1750" spans="2:4" x14ac:dyDescent="0.25">
      <c r="B1750" t="s">
        <v>1094</v>
      </c>
      <c r="C1750">
        <v>100</v>
      </c>
      <c r="D1750">
        <v>6</v>
      </c>
    </row>
    <row r="1751" spans="2:4" x14ac:dyDescent="0.25">
      <c r="B1751" t="s">
        <v>1094</v>
      </c>
      <c r="C1751">
        <v>100</v>
      </c>
      <c r="D1751">
        <v>8</v>
      </c>
    </row>
    <row r="1752" spans="2:4" x14ac:dyDescent="0.25">
      <c r="B1752" t="s">
        <v>1094</v>
      </c>
      <c r="C1752">
        <v>100</v>
      </c>
      <c r="D1752">
        <v>13</v>
      </c>
    </row>
    <row r="1753" spans="2:4" x14ac:dyDescent="0.25">
      <c r="B1753" t="s">
        <v>1094</v>
      </c>
      <c r="C1753">
        <v>100</v>
      </c>
      <c r="D1753">
        <v>14</v>
      </c>
    </row>
    <row r="1754" spans="2:4" x14ac:dyDescent="0.25">
      <c r="B1754" t="s">
        <v>1094</v>
      </c>
      <c r="C1754">
        <v>101</v>
      </c>
      <c r="D1754">
        <v>6</v>
      </c>
    </row>
    <row r="1755" spans="2:4" x14ac:dyDescent="0.25">
      <c r="B1755" t="s">
        <v>1094</v>
      </c>
      <c r="C1755">
        <v>101</v>
      </c>
      <c r="D1755">
        <v>8</v>
      </c>
    </row>
    <row r="1756" spans="2:4" x14ac:dyDescent="0.25">
      <c r="B1756" t="s">
        <v>1094</v>
      </c>
      <c r="C1756">
        <v>101</v>
      </c>
      <c r="D1756">
        <v>13</v>
      </c>
    </row>
    <row r="1757" spans="2:4" x14ac:dyDescent="0.25">
      <c r="B1757" t="s">
        <v>1094</v>
      </c>
      <c r="C1757">
        <v>101</v>
      </c>
      <c r="D1757">
        <v>14</v>
      </c>
    </row>
    <row r="1758" spans="2:4" x14ac:dyDescent="0.25">
      <c r="B1758" t="s">
        <v>1094</v>
      </c>
      <c r="C1758">
        <v>102</v>
      </c>
      <c r="D1758">
        <v>6</v>
      </c>
    </row>
    <row r="1759" spans="2:4" x14ac:dyDescent="0.25">
      <c r="B1759" t="s">
        <v>1094</v>
      </c>
      <c r="C1759">
        <v>102</v>
      </c>
      <c r="D1759">
        <v>8</v>
      </c>
    </row>
    <row r="1760" spans="2:4" x14ac:dyDescent="0.25">
      <c r="B1760" t="s">
        <v>1094</v>
      </c>
      <c r="C1760">
        <v>102</v>
      </c>
      <c r="D1760">
        <v>13</v>
      </c>
    </row>
    <row r="1761" spans="2:4" x14ac:dyDescent="0.25">
      <c r="B1761" t="s">
        <v>1094</v>
      </c>
      <c r="C1761">
        <v>102</v>
      </c>
      <c r="D1761">
        <v>14</v>
      </c>
    </row>
    <row r="1762" spans="2:4" x14ac:dyDescent="0.25">
      <c r="B1762" t="s">
        <v>1094</v>
      </c>
      <c r="C1762">
        <v>103</v>
      </c>
      <c r="D1762">
        <v>6</v>
      </c>
    </row>
    <row r="1763" spans="2:4" x14ac:dyDescent="0.25">
      <c r="B1763" t="s">
        <v>1094</v>
      </c>
      <c r="C1763">
        <v>103</v>
      </c>
      <c r="D1763">
        <v>8</v>
      </c>
    </row>
    <row r="1764" spans="2:4" x14ac:dyDescent="0.25">
      <c r="B1764" t="s">
        <v>1094</v>
      </c>
      <c r="C1764">
        <v>103</v>
      </c>
      <c r="D1764">
        <v>13</v>
      </c>
    </row>
    <row r="1765" spans="2:4" x14ac:dyDescent="0.25">
      <c r="B1765" t="s">
        <v>1094</v>
      </c>
      <c r="C1765">
        <v>103</v>
      </c>
      <c r="D1765">
        <v>14</v>
      </c>
    </row>
    <row r="1766" spans="2:4" x14ac:dyDescent="0.25">
      <c r="B1766" t="s">
        <v>1094</v>
      </c>
      <c r="C1766">
        <v>104</v>
      </c>
      <c r="D1766">
        <v>6</v>
      </c>
    </row>
    <row r="1767" spans="2:4" x14ac:dyDescent="0.25">
      <c r="B1767" t="s">
        <v>1094</v>
      </c>
      <c r="C1767">
        <v>104</v>
      </c>
      <c r="D1767">
        <v>8</v>
      </c>
    </row>
    <row r="1768" spans="2:4" x14ac:dyDescent="0.25">
      <c r="B1768" t="s">
        <v>1094</v>
      </c>
      <c r="C1768">
        <v>104</v>
      </c>
      <c r="D1768">
        <v>13</v>
      </c>
    </row>
    <row r="1769" spans="2:4" x14ac:dyDescent="0.25">
      <c r="B1769" t="s">
        <v>1094</v>
      </c>
      <c r="C1769">
        <v>104</v>
      </c>
      <c r="D1769">
        <v>14</v>
      </c>
    </row>
    <row r="1770" spans="2:4" x14ac:dyDescent="0.25">
      <c r="B1770" t="s">
        <v>1094</v>
      </c>
      <c r="C1770">
        <v>105</v>
      </c>
      <c r="D1770">
        <v>6</v>
      </c>
    </row>
    <row r="1771" spans="2:4" x14ac:dyDescent="0.25">
      <c r="B1771" t="s">
        <v>1094</v>
      </c>
      <c r="C1771">
        <v>105</v>
      </c>
      <c r="D1771">
        <v>8</v>
      </c>
    </row>
    <row r="1772" spans="2:4" x14ac:dyDescent="0.25">
      <c r="B1772" t="s">
        <v>1094</v>
      </c>
      <c r="C1772">
        <v>105</v>
      </c>
      <c r="D1772">
        <v>13</v>
      </c>
    </row>
    <row r="1773" spans="2:4" x14ac:dyDescent="0.25">
      <c r="B1773" t="s">
        <v>1094</v>
      </c>
      <c r="C1773">
        <v>105</v>
      </c>
      <c r="D1773">
        <v>14</v>
      </c>
    </row>
    <row r="1774" spans="2:4" x14ac:dyDescent="0.25">
      <c r="B1774" t="s">
        <v>1094</v>
      </c>
      <c r="C1774">
        <v>107</v>
      </c>
      <c r="D1774">
        <v>6</v>
      </c>
    </row>
    <row r="1775" spans="2:4" x14ac:dyDescent="0.25">
      <c r="B1775" t="s">
        <v>1094</v>
      </c>
      <c r="C1775">
        <v>107</v>
      </c>
      <c r="D1775">
        <v>8</v>
      </c>
    </row>
    <row r="1776" spans="2:4" x14ac:dyDescent="0.25">
      <c r="B1776" t="s">
        <v>1094</v>
      </c>
      <c r="C1776">
        <v>107</v>
      </c>
      <c r="D1776">
        <v>13</v>
      </c>
    </row>
    <row r="1777" spans="2:4" x14ac:dyDescent="0.25">
      <c r="B1777" t="s">
        <v>1094</v>
      </c>
      <c r="C1777">
        <v>107</v>
      </c>
      <c r="D1777">
        <v>14</v>
      </c>
    </row>
    <row r="1778" spans="2:4" x14ac:dyDescent="0.25">
      <c r="B1778" t="s">
        <v>1094</v>
      </c>
      <c r="C1778">
        <v>108</v>
      </c>
      <c r="D1778">
        <v>6</v>
      </c>
    </row>
    <row r="1779" spans="2:4" x14ac:dyDescent="0.25">
      <c r="B1779" t="s">
        <v>1094</v>
      </c>
      <c r="C1779">
        <v>108</v>
      </c>
      <c r="D1779">
        <v>8</v>
      </c>
    </row>
    <row r="1780" spans="2:4" x14ac:dyDescent="0.25">
      <c r="B1780" t="s">
        <v>1094</v>
      </c>
      <c r="C1780">
        <v>108</v>
      </c>
      <c r="D1780">
        <v>13</v>
      </c>
    </row>
    <row r="1781" spans="2:4" x14ac:dyDescent="0.25">
      <c r="B1781" t="s">
        <v>1094</v>
      </c>
      <c r="C1781">
        <v>108</v>
      </c>
      <c r="D1781">
        <v>14</v>
      </c>
    </row>
    <row r="1782" spans="2:4" x14ac:dyDescent="0.25">
      <c r="B1782" t="s">
        <v>1094</v>
      </c>
      <c r="C1782">
        <v>111</v>
      </c>
      <c r="D1782">
        <v>6</v>
      </c>
    </row>
    <row r="1783" spans="2:4" x14ac:dyDescent="0.25">
      <c r="B1783" t="s">
        <v>1094</v>
      </c>
      <c r="C1783">
        <v>111</v>
      </c>
      <c r="D1783">
        <v>8</v>
      </c>
    </row>
    <row r="1784" spans="2:4" x14ac:dyDescent="0.25">
      <c r="B1784" t="s">
        <v>1094</v>
      </c>
      <c r="C1784">
        <v>111</v>
      </c>
      <c r="D1784">
        <v>13</v>
      </c>
    </row>
    <row r="1785" spans="2:4" x14ac:dyDescent="0.25">
      <c r="B1785" t="s">
        <v>1094</v>
      </c>
      <c r="C1785">
        <v>111</v>
      </c>
      <c r="D1785">
        <v>14</v>
      </c>
    </row>
    <row r="1786" spans="2:4" x14ac:dyDescent="0.25">
      <c r="B1786" t="s">
        <v>1094</v>
      </c>
      <c r="C1786">
        <v>112</v>
      </c>
      <c r="D1786">
        <v>6</v>
      </c>
    </row>
    <row r="1787" spans="2:4" x14ac:dyDescent="0.25">
      <c r="B1787" t="s">
        <v>1094</v>
      </c>
      <c r="C1787">
        <v>112</v>
      </c>
      <c r="D1787">
        <v>8</v>
      </c>
    </row>
    <row r="1788" spans="2:4" x14ac:dyDescent="0.25">
      <c r="B1788" t="s">
        <v>1094</v>
      </c>
      <c r="C1788">
        <v>112</v>
      </c>
      <c r="D1788">
        <v>13</v>
      </c>
    </row>
    <row r="1789" spans="2:4" x14ac:dyDescent="0.25">
      <c r="B1789" t="s">
        <v>1094</v>
      </c>
      <c r="C1789">
        <v>112</v>
      </c>
      <c r="D1789">
        <v>14</v>
      </c>
    </row>
    <row r="1790" spans="2:4" x14ac:dyDescent="0.25">
      <c r="B1790" t="s">
        <v>1094</v>
      </c>
      <c r="C1790">
        <v>113</v>
      </c>
      <c r="D1790">
        <v>6</v>
      </c>
    </row>
    <row r="1791" spans="2:4" x14ac:dyDescent="0.25">
      <c r="B1791" t="s">
        <v>1094</v>
      </c>
      <c r="C1791">
        <v>113</v>
      </c>
      <c r="D1791">
        <v>8</v>
      </c>
    </row>
    <row r="1792" spans="2:4" x14ac:dyDescent="0.25">
      <c r="B1792" t="s">
        <v>1094</v>
      </c>
      <c r="C1792">
        <v>113</v>
      </c>
      <c r="D1792">
        <v>13</v>
      </c>
    </row>
    <row r="1793" spans="2:4" x14ac:dyDescent="0.25">
      <c r="B1793" t="s">
        <v>1094</v>
      </c>
      <c r="C1793">
        <v>113</v>
      </c>
      <c r="D1793">
        <v>14</v>
      </c>
    </row>
    <row r="1794" spans="2:4" x14ac:dyDescent="0.25">
      <c r="B1794" t="s">
        <v>1094</v>
      </c>
      <c r="C1794">
        <v>114</v>
      </c>
      <c r="D1794">
        <v>6</v>
      </c>
    </row>
    <row r="1795" spans="2:4" x14ac:dyDescent="0.25">
      <c r="B1795" t="s">
        <v>1094</v>
      </c>
      <c r="C1795">
        <v>114</v>
      </c>
      <c r="D1795">
        <v>8</v>
      </c>
    </row>
    <row r="1796" spans="2:4" x14ac:dyDescent="0.25">
      <c r="B1796" t="s">
        <v>1094</v>
      </c>
      <c r="C1796">
        <v>114</v>
      </c>
      <c r="D1796">
        <v>13</v>
      </c>
    </row>
    <row r="1797" spans="2:4" x14ac:dyDescent="0.25">
      <c r="B1797" t="s">
        <v>1094</v>
      </c>
      <c r="C1797">
        <v>114</v>
      </c>
      <c r="D1797">
        <v>14</v>
      </c>
    </row>
    <row r="1798" spans="2:4" x14ac:dyDescent="0.25">
      <c r="B1798" t="s">
        <v>1094</v>
      </c>
      <c r="C1798">
        <v>115</v>
      </c>
      <c r="D1798">
        <v>6</v>
      </c>
    </row>
    <row r="1799" spans="2:4" x14ac:dyDescent="0.25">
      <c r="B1799" t="s">
        <v>1094</v>
      </c>
      <c r="C1799">
        <v>115</v>
      </c>
      <c r="D1799">
        <v>8</v>
      </c>
    </row>
    <row r="1800" spans="2:4" x14ac:dyDescent="0.25">
      <c r="B1800" t="s">
        <v>1094</v>
      </c>
      <c r="C1800">
        <v>115</v>
      </c>
      <c r="D1800">
        <v>13</v>
      </c>
    </row>
    <row r="1801" spans="2:4" x14ac:dyDescent="0.25">
      <c r="B1801" t="s">
        <v>1094</v>
      </c>
      <c r="C1801">
        <v>115</v>
      </c>
      <c r="D1801">
        <v>14</v>
      </c>
    </row>
    <row r="1802" spans="2:4" x14ac:dyDescent="0.25">
      <c r="B1802" t="s">
        <v>1094</v>
      </c>
      <c r="C1802">
        <v>116</v>
      </c>
      <c r="D1802">
        <v>6</v>
      </c>
    </row>
    <row r="1803" spans="2:4" x14ac:dyDescent="0.25">
      <c r="B1803" t="s">
        <v>1094</v>
      </c>
      <c r="C1803">
        <v>116</v>
      </c>
      <c r="D1803">
        <v>8</v>
      </c>
    </row>
    <row r="1804" spans="2:4" x14ac:dyDescent="0.25">
      <c r="B1804" t="s">
        <v>1094</v>
      </c>
      <c r="C1804">
        <v>116</v>
      </c>
      <c r="D1804">
        <v>13</v>
      </c>
    </row>
    <row r="1805" spans="2:4" x14ac:dyDescent="0.25">
      <c r="B1805" t="s">
        <v>1094</v>
      </c>
      <c r="C1805">
        <v>116</v>
      </c>
      <c r="D1805">
        <v>14</v>
      </c>
    </row>
    <row r="1806" spans="2:4" x14ac:dyDescent="0.25">
      <c r="B1806" t="s">
        <v>1094</v>
      </c>
      <c r="C1806">
        <v>117</v>
      </c>
      <c r="D1806">
        <v>6</v>
      </c>
    </row>
    <row r="1807" spans="2:4" x14ac:dyDescent="0.25">
      <c r="B1807" t="s">
        <v>1094</v>
      </c>
      <c r="C1807">
        <v>117</v>
      </c>
      <c r="D1807">
        <v>8</v>
      </c>
    </row>
    <row r="1808" spans="2:4" x14ac:dyDescent="0.25">
      <c r="B1808" t="s">
        <v>1094</v>
      </c>
      <c r="C1808">
        <v>117</v>
      </c>
      <c r="D1808">
        <v>13</v>
      </c>
    </row>
    <row r="1809" spans="2:4" x14ac:dyDescent="0.25">
      <c r="B1809" t="s">
        <v>1094</v>
      </c>
      <c r="C1809">
        <v>117</v>
      </c>
      <c r="D1809">
        <v>14</v>
      </c>
    </row>
    <row r="1810" spans="2:4" x14ac:dyDescent="0.25">
      <c r="B1810" t="s">
        <v>1094</v>
      </c>
      <c r="C1810">
        <v>119</v>
      </c>
      <c r="D1810">
        <v>6</v>
      </c>
    </row>
    <row r="1811" spans="2:4" x14ac:dyDescent="0.25">
      <c r="B1811" t="s">
        <v>1094</v>
      </c>
      <c r="C1811">
        <v>119</v>
      </c>
      <c r="D1811">
        <v>8</v>
      </c>
    </row>
    <row r="1812" spans="2:4" x14ac:dyDescent="0.25">
      <c r="B1812" t="s">
        <v>1094</v>
      </c>
      <c r="C1812">
        <v>119</v>
      </c>
      <c r="D1812">
        <v>13</v>
      </c>
    </row>
    <row r="1813" spans="2:4" x14ac:dyDescent="0.25">
      <c r="B1813" t="s">
        <v>1094</v>
      </c>
      <c r="C1813">
        <v>119</v>
      </c>
      <c r="D1813">
        <v>14</v>
      </c>
    </row>
    <row r="1814" spans="2:4" x14ac:dyDescent="0.25">
      <c r="B1814" t="s">
        <v>1094</v>
      </c>
      <c r="C1814">
        <v>120</v>
      </c>
      <c r="D1814">
        <v>6</v>
      </c>
    </row>
    <row r="1815" spans="2:4" x14ac:dyDescent="0.25">
      <c r="B1815" t="s">
        <v>1094</v>
      </c>
      <c r="C1815">
        <v>120</v>
      </c>
      <c r="D1815">
        <v>8</v>
      </c>
    </row>
    <row r="1816" spans="2:4" x14ac:dyDescent="0.25">
      <c r="B1816" t="s">
        <v>1094</v>
      </c>
      <c r="C1816">
        <v>120</v>
      </c>
      <c r="D1816">
        <v>13</v>
      </c>
    </row>
    <row r="1817" spans="2:4" x14ac:dyDescent="0.25">
      <c r="B1817" t="s">
        <v>1094</v>
      </c>
      <c r="C1817">
        <v>120</v>
      </c>
      <c r="D1817">
        <v>14</v>
      </c>
    </row>
    <row r="1818" spans="2:4" x14ac:dyDescent="0.25">
      <c r="B1818" t="s">
        <v>1094</v>
      </c>
      <c r="C1818">
        <v>121</v>
      </c>
      <c r="D1818">
        <v>6</v>
      </c>
    </row>
    <row r="1819" spans="2:4" x14ac:dyDescent="0.25">
      <c r="B1819" t="s">
        <v>1094</v>
      </c>
      <c r="C1819">
        <v>121</v>
      </c>
      <c r="D1819">
        <v>8</v>
      </c>
    </row>
    <row r="1820" spans="2:4" x14ac:dyDescent="0.25">
      <c r="B1820" t="s">
        <v>1094</v>
      </c>
      <c r="C1820">
        <v>121</v>
      </c>
      <c r="D1820">
        <v>13</v>
      </c>
    </row>
    <row r="1821" spans="2:4" x14ac:dyDescent="0.25">
      <c r="B1821" t="s">
        <v>1094</v>
      </c>
      <c r="C1821">
        <v>121</v>
      </c>
      <c r="D1821">
        <v>14</v>
      </c>
    </row>
    <row r="1822" spans="2:4" x14ac:dyDescent="0.25">
      <c r="B1822" t="s">
        <v>1094</v>
      </c>
      <c r="C1822">
        <v>122</v>
      </c>
      <c r="D1822">
        <v>6</v>
      </c>
    </row>
    <row r="1823" spans="2:4" x14ac:dyDescent="0.25">
      <c r="B1823" t="s">
        <v>1094</v>
      </c>
      <c r="C1823">
        <v>122</v>
      </c>
      <c r="D1823">
        <v>8</v>
      </c>
    </row>
    <row r="1824" spans="2:4" x14ac:dyDescent="0.25">
      <c r="B1824" t="s">
        <v>1094</v>
      </c>
      <c r="C1824">
        <v>122</v>
      </c>
      <c r="D1824">
        <v>13</v>
      </c>
    </row>
    <row r="1825" spans="2:4" x14ac:dyDescent="0.25">
      <c r="B1825" t="s">
        <v>1094</v>
      </c>
      <c r="C1825">
        <v>122</v>
      </c>
      <c r="D1825">
        <v>14</v>
      </c>
    </row>
    <row r="1826" spans="2:4" x14ac:dyDescent="0.25">
      <c r="B1826" t="s">
        <v>1094</v>
      </c>
      <c r="C1826">
        <v>123</v>
      </c>
      <c r="D1826">
        <v>6</v>
      </c>
    </row>
    <row r="1827" spans="2:4" x14ac:dyDescent="0.25">
      <c r="B1827" t="s">
        <v>1094</v>
      </c>
      <c r="C1827">
        <v>123</v>
      </c>
      <c r="D1827">
        <v>8</v>
      </c>
    </row>
    <row r="1828" spans="2:4" x14ac:dyDescent="0.25">
      <c r="B1828" t="s">
        <v>1094</v>
      </c>
      <c r="C1828">
        <v>123</v>
      </c>
      <c r="D1828">
        <v>13</v>
      </c>
    </row>
    <row r="1829" spans="2:4" x14ac:dyDescent="0.25">
      <c r="B1829" t="s">
        <v>1094</v>
      </c>
      <c r="C1829">
        <v>123</v>
      </c>
      <c r="D1829">
        <v>14</v>
      </c>
    </row>
    <row r="1830" spans="2:4" x14ac:dyDescent="0.25">
      <c r="B1830" t="s">
        <v>1094</v>
      </c>
      <c r="C1830">
        <v>125</v>
      </c>
      <c r="D1830">
        <v>6</v>
      </c>
    </row>
    <row r="1831" spans="2:4" x14ac:dyDescent="0.25">
      <c r="B1831" t="s">
        <v>1094</v>
      </c>
      <c r="C1831">
        <v>125</v>
      </c>
      <c r="D1831">
        <v>8</v>
      </c>
    </row>
    <row r="1832" spans="2:4" x14ac:dyDescent="0.25">
      <c r="B1832" t="s">
        <v>1094</v>
      </c>
      <c r="C1832">
        <v>125</v>
      </c>
      <c r="D1832">
        <v>13</v>
      </c>
    </row>
    <row r="1833" spans="2:4" x14ac:dyDescent="0.25">
      <c r="B1833" t="s">
        <v>1094</v>
      </c>
      <c r="C1833">
        <v>125</v>
      </c>
      <c r="D1833">
        <v>14</v>
      </c>
    </row>
    <row r="1834" spans="2:4" x14ac:dyDescent="0.25">
      <c r="B1834" t="s">
        <v>1094</v>
      </c>
      <c r="C1834">
        <v>126</v>
      </c>
      <c r="D1834">
        <v>6</v>
      </c>
    </row>
    <row r="1835" spans="2:4" x14ac:dyDescent="0.25">
      <c r="B1835" t="s">
        <v>1094</v>
      </c>
      <c r="C1835">
        <v>126</v>
      </c>
      <c r="D1835">
        <v>8</v>
      </c>
    </row>
    <row r="1836" spans="2:4" x14ac:dyDescent="0.25">
      <c r="B1836" t="s">
        <v>1094</v>
      </c>
      <c r="C1836">
        <v>126</v>
      </c>
      <c r="D1836">
        <v>13</v>
      </c>
    </row>
    <row r="1837" spans="2:4" x14ac:dyDescent="0.25">
      <c r="B1837" t="s">
        <v>1094</v>
      </c>
      <c r="C1837">
        <v>126</v>
      </c>
      <c r="D1837">
        <v>14</v>
      </c>
    </row>
    <row r="1838" spans="2:4" x14ac:dyDescent="0.25">
      <c r="B1838" t="s">
        <v>1094</v>
      </c>
      <c r="C1838">
        <v>127</v>
      </c>
      <c r="D1838">
        <v>6</v>
      </c>
    </row>
    <row r="1839" spans="2:4" x14ac:dyDescent="0.25">
      <c r="B1839" t="s">
        <v>1094</v>
      </c>
      <c r="C1839">
        <v>127</v>
      </c>
      <c r="D1839">
        <v>8</v>
      </c>
    </row>
    <row r="1840" spans="2:4" x14ac:dyDescent="0.25">
      <c r="B1840" t="s">
        <v>1094</v>
      </c>
      <c r="C1840">
        <v>127</v>
      </c>
      <c r="D1840">
        <v>13</v>
      </c>
    </row>
    <row r="1841" spans="2:4" x14ac:dyDescent="0.25">
      <c r="B1841" t="s">
        <v>1094</v>
      </c>
      <c r="C1841">
        <v>127</v>
      </c>
      <c r="D1841">
        <v>14</v>
      </c>
    </row>
    <row r="1842" spans="2:4" x14ac:dyDescent="0.25">
      <c r="B1842" t="s">
        <v>1094</v>
      </c>
      <c r="C1842">
        <v>128</v>
      </c>
      <c r="D1842">
        <v>6</v>
      </c>
    </row>
    <row r="1843" spans="2:4" x14ac:dyDescent="0.25">
      <c r="B1843" t="s">
        <v>1094</v>
      </c>
      <c r="C1843">
        <v>128</v>
      </c>
      <c r="D1843">
        <v>8</v>
      </c>
    </row>
    <row r="1844" spans="2:4" x14ac:dyDescent="0.25">
      <c r="B1844" t="s">
        <v>1094</v>
      </c>
      <c r="C1844">
        <v>128</v>
      </c>
      <c r="D1844">
        <v>13</v>
      </c>
    </row>
    <row r="1845" spans="2:4" x14ac:dyDescent="0.25">
      <c r="B1845" t="s">
        <v>1094</v>
      </c>
      <c r="C1845">
        <v>128</v>
      </c>
      <c r="D1845">
        <v>14</v>
      </c>
    </row>
    <row r="1846" spans="2:4" x14ac:dyDescent="0.25">
      <c r="B1846" t="s">
        <v>1094</v>
      </c>
      <c r="C1846">
        <v>129</v>
      </c>
      <c r="D1846">
        <v>6</v>
      </c>
    </row>
    <row r="1847" spans="2:4" x14ac:dyDescent="0.25">
      <c r="B1847" t="s">
        <v>1094</v>
      </c>
      <c r="C1847">
        <v>129</v>
      </c>
      <c r="D1847">
        <v>8</v>
      </c>
    </row>
    <row r="1848" spans="2:4" x14ac:dyDescent="0.25">
      <c r="B1848" t="s">
        <v>1094</v>
      </c>
      <c r="C1848">
        <v>129</v>
      </c>
      <c r="D1848">
        <v>13</v>
      </c>
    </row>
    <row r="1849" spans="2:4" x14ac:dyDescent="0.25">
      <c r="B1849" t="s">
        <v>1094</v>
      </c>
      <c r="C1849">
        <v>129</v>
      </c>
      <c r="D1849">
        <v>14</v>
      </c>
    </row>
    <row r="1850" spans="2:4" x14ac:dyDescent="0.25">
      <c r="B1850" t="s">
        <v>1094</v>
      </c>
      <c r="C1850">
        <v>130</v>
      </c>
      <c r="D1850">
        <v>6</v>
      </c>
    </row>
    <row r="1851" spans="2:4" x14ac:dyDescent="0.25">
      <c r="B1851" t="s">
        <v>1094</v>
      </c>
      <c r="C1851">
        <v>130</v>
      </c>
      <c r="D1851">
        <v>8</v>
      </c>
    </row>
    <row r="1852" spans="2:4" x14ac:dyDescent="0.25">
      <c r="B1852" t="s">
        <v>1094</v>
      </c>
      <c r="C1852">
        <v>130</v>
      </c>
      <c r="D1852">
        <v>13</v>
      </c>
    </row>
    <row r="1853" spans="2:4" x14ac:dyDescent="0.25">
      <c r="B1853" t="s">
        <v>1094</v>
      </c>
      <c r="C1853">
        <v>130</v>
      </c>
      <c r="D1853">
        <v>14</v>
      </c>
    </row>
    <row r="1854" spans="2:4" x14ac:dyDescent="0.25">
      <c r="B1854" t="s">
        <v>1094</v>
      </c>
      <c r="C1854">
        <v>131</v>
      </c>
      <c r="D1854">
        <v>6</v>
      </c>
    </row>
    <row r="1855" spans="2:4" x14ac:dyDescent="0.25">
      <c r="B1855" t="s">
        <v>1094</v>
      </c>
      <c r="C1855">
        <v>131</v>
      </c>
      <c r="D1855">
        <v>8</v>
      </c>
    </row>
    <row r="1856" spans="2:4" x14ac:dyDescent="0.25">
      <c r="B1856" t="s">
        <v>1094</v>
      </c>
      <c r="C1856">
        <v>131</v>
      </c>
      <c r="D1856">
        <v>13</v>
      </c>
    </row>
    <row r="1857" spans="2:4" x14ac:dyDescent="0.25">
      <c r="B1857" t="s">
        <v>1094</v>
      </c>
      <c r="C1857">
        <v>131</v>
      </c>
      <c r="D1857">
        <v>14</v>
      </c>
    </row>
    <row r="1858" spans="2:4" x14ac:dyDescent="0.25">
      <c r="B1858" t="s">
        <v>1094</v>
      </c>
      <c r="C1858">
        <v>132</v>
      </c>
      <c r="D1858">
        <v>6</v>
      </c>
    </row>
    <row r="1859" spans="2:4" x14ac:dyDescent="0.25">
      <c r="B1859" t="s">
        <v>1094</v>
      </c>
      <c r="C1859">
        <v>132</v>
      </c>
      <c r="D1859">
        <v>8</v>
      </c>
    </row>
    <row r="1860" spans="2:4" x14ac:dyDescent="0.25">
      <c r="B1860" t="s">
        <v>1094</v>
      </c>
      <c r="C1860">
        <v>132</v>
      </c>
      <c r="D1860">
        <v>13</v>
      </c>
    </row>
    <row r="1861" spans="2:4" x14ac:dyDescent="0.25">
      <c r="B1861" t="s">
        <v>1094</v>
      </c>
      <c r="C1861">
        <v>132</v>
      </c>
      <c r="D1861">
        <v>14</v>
      </c>
    </row>
    <row r="1862" spans="2:4" x14ac:dyDescent="0.25">
      <c r="B1862" t="s">
        <v>1094</v>
      </c>
      <c r="C1862">
        <v>134</v>
      </c>
      <c r="D1862">
        <v>6</v>
      </c>
    </row>
    <row r="1863" spans="2:4" x14ac:dyDescent="0.25">
      <c r="B1863" t="s">
        <v>1094</v>
      </c>
      <c r="C1863">
        <v>134</v>
      </c>
      <c r="D1863">
        <v>8</v>
      </c>
    </row>
    <row r="1864" spans="2:4" x14ac:dyDescent="0.25">
      <c r="B1864" t="s">
        <v>1094</v>
      </c>
      <c r="C1864">
        <v>134</v>
      </c>
      <c r="D1864">
        <v>13</v>
      </c>
    </row>
    <row r="1865" spans="2:4" x14ac:dyDescent="0.25">
      <c r="B1865" t="s">
        <v>1094</v>
      </c>
      <c r="C1865">
        <v>134</v>
      </c>
      <c r="D1865">
        <v>14</v>
      </c>
    </row>
    <row r="1866" spans="2:4" x14ac:dyDescent="0.25">
      <c r="B1866" t="s">
        <v>1094</v>
      </c>
      <c r="C1866">
        <v>135</v>
      </c>
      <c r="D1866">
        <v>6</v>
      </c>
    </row>
    <row r="1867" spans="2:4" x14ac:dyDescent="0.25">
      <c r="B1867" t="s">
        <v>1094</v>
      </c>
      <c r="C1867">
        <v>135</v>
      </c>
      <c r="D1867">
        <v>8</v>
      </c>
    </row>
    <row r="1868" spans="2:4" x14ac:dyDescent="0.25">
      <c r="B1868" t="s">
        <v>1094</v>
      </c>
      <c r="C1868">
        <v>135</v>
      </c>
      <c r="D1868">
        <v>13</v>
      </c>
    </row>
    <row r="1869" spans="2:4" x14ac:dyDescent="0.25">
      <c r="B1869" t="s">
        <v>1094</v>
      </c>
      <c r="C1869">
        <v>135</v>
      </c>
      <c r="D1869">
        <v>14</v>
      </c>
    </row>
    <row r="1870" spans="2:4" x14ac:dyDescent="0.25">
      <c r="B1870" t="s">
        <v>1094</v>
      </c>
      <c r="C1870">
        <v>136</v>
      </c>
      <c r="D1870">
        <v>6</v>
      </c>
    </row>
    <row r="1871" spans="2:4" x14ac:dyDescent="0.25">
      <c r="B1871" t="s">
        <v>1094</v>
      </c>
      <c r="C1871">
        <v>136</v>
      </c>
      <c r="D1871">
        <v>8</v>
      </c>
    </row>
    <row r="1872" spans="2:4" x14ac:dyDescent="0.25">
      <c r="B1872" t="s">
        <v>1094</v>
      </c>
      <c r="C1872">
        <v>136</v>
      </c>
      <c r="D1872">
        <v>13</v>
      </c>
    </row>
    <row r="1873" spans="2:4" x14ac:dyDescent="0.25">
      <c r="B1873" t="s">
        <v>1094</v>
      </c>
      <c r="C1873">
        <v>136</v>
      </c>
      <c r="D1873">
        <v>14</v>
      </c>
    </row>
    <row r="1874" spans="2:4" x14ac:dyDescent="0.25">
      <c r="B1874" t="s">
        <v>1094</v>
      </c>
      <c r="C1874">
        <v>137</v>
      </c>
      <c r="D1874">
        <v>6</v>
      </c>
    </row>
    <row r="1875" spans="2:4" x14ac:dyDescent="0.25">
      <c r="B1875" t="s">
        <v>1094</v>
      </c>
      <c r="C1875">
        <v>137</v>
      </c>
      <c r="D1875">
        <v>8</v>
      </c>
    </row>
    <row r="1876" spans="2:4" x14ac:dyDescent="0.25">
      <c r="B1876" t="s">
        <v>1094</v>
      </c>
      <c r="C1876">
        <v>137</v>
      </c>
      <c r="D1876">
        <v>13</v>
      </c>
    </row>
    <row r="1877" spans="2:4" x14ac:dyDescent="0.25">
      <c r="B1877" t="s">
        <v>1094</v>
      </c>
      <c r="C1877">
        <v>137</v>
      </c>
      <c r="D1877">
        <v>14</v>
      </c>
    </row>
    <row r="1878" spans="2:4" x14ac:dyDescent="0.25">
      <c r="B1878" t="s">
        <v>1094</v>
      </c>
      <c r="C1878">
        <v>138</v>
      </c>
      <c r="D1878">
        <v>6</v>
      </c>
    </row>
    <row r="1879" spans="2:4" x14ac:dyDescent="0.25">
      <c r="B1879" t="s">
        <v>1094</v>
      </c>
      <c r="C1879">
        <v>138</v>
      </c>
      <c r="D1879">
        <v>8</v>
      </c>
    </row>
    <row r="1880" spans="2:4" x14ac:dyDescent="0.25">
      <c r="B1880" t="s">
        <v>1094</v>
      </c>
      <c r="C1880">
        <v>138</v>
      </c>
      <c r="D1880">
        <v>13</v>
      </c>
    </row>
    <row r="1881" spans="2:4" x14ac:dyDescent="0.25">
      <c r="B1881" t="s">
        <v>1094</v>
      </c>
      <c r="C1881">
        <v>138</v>
      </c>
      <c r="D1881">
        <v>14</v>
      </c>
    </row>
    <row r="1882" spans="2:4" x14ac:dyDescent="0.25">
      <c r="B1882" t="s">
        <v>1094</v>
      </c>
      <c r="C1882">
        <v>139</v>
      </c>
      <c r="D1882">
        <v>6</v>
      </c>
    </row>
    <row r="1883" spans="2:4" x14ac:dyDescent="0.25">
      <c r="B1883" t="s">
        <v>1094</v>
      </c>
      <c r="C1883">
        <v>139</v>
      </c>
      <c r="D1883">
        <v>8</v>
      </c>
    </row>
    <row r="1884" spans="2:4" x14ac:dyDescent="0.25">
      <c r="B1884" t="s">
        <v>1094</v>
      </c>
      <c r="C1884">
        <v>139</v>
      </c>
      <c r="D1884">
        <v>13</v>
      </c>
    </row>
    <row r="1885" spans="2:4" x14ac:dyDescent="0.25">
      <c r="B1885" t="s">
        <v>1094</v>
      </c>
      <c r="C1885">
        <v>139</v>
      </c>
      <c r="D1885">
        <v>14</v>
      </c>
    </row>
    <row r="1886" spans="2:4" x14ac:dyDescent="0.25">
      <c r="B1886" t="s">
        <v>1094</v>
      </c>
      <c r="C1886">
        <v>140</v>
      </c>
      <c r="D1886">
        <v>6</v>
      </c>
    </row>
    <row r="1887" spans="2:4" x14ac:dyDescent="0.25">
      <c r="B1887" t="s">
        <v>1094</v>
      </c>
      <c r="C1887">
        <v>140</v>
      </c>
      <c r="D1887">
        <v>8</v>
      </c>
    </row>
    <row r="1888" spans="2:4" x14ac:dyDescent="0.25">
      <c r="B1888" t="s">
        <v>1094</v>
      </c>
      <c r="C1888">
        <v>140</v>
      </c>
      <c r="D1888">
        <v>13</v>
      </c>
    </row>
    <row r="1889" spans="2:4" x14ac:dyDescent="0.25">
      <c r="B1889" t="s">
        <v>1094</v>
      </c>
      <c r="C1889">
        <v>140</v>
      </c>
      <c r="D1889">
        <v>14</v>
      </c>
    </row>
    <row r="1890" spans="2:4" x14ac:dyDescent="0.25">
      <c r="B1890" t="s">
        <v>1094</v>
      </c>
      <c r="C1890">
        <v>141</v>
      </c>
      <c r="D1890">
        <v>6</v>
      </c>
    </row>
    <row r="1891" spans="2:4" x14ac:dyDescent="0.25">
      <c r="B1891" t="s">
        <v>1094</v>
      </c>
      <c r="C1891">
        <v>141</v>
      </c>
      <c r="D1891">
        <v>8</v>
      </c>
    </row>
    <row r="1892" spans="2:4" x14ac:dyDescent="0.25">
      <c r="B1892" t="s">
        <v>1094</v>
      </c>
      <c r="C1892">
        <v>141</v>
      </c>
      <c r="D1892">
        <v>13</v>
      </c>
    </row>
    <row r="1893" spans="2:4" x14ac:dyDescent="0.25">
      <c r="B1893" t="s">
        <v>1094</v>
      </c>
      <c r="C1893">
        <v>141</v>
      </c>
      <c r="D1893">
        <v>14</v>
      </c>
    </row>
    <row r="1894" spans="2:4" x14ac:dyDescent="0.25">
      <c r="B1894" t="s">
        <v>1094</v>
      </c>
      <c r="C1894">
        <v>143</v>
      </c>
      <c r="D1894">
        <v>6</v>
      </c>
    </row>
    <row r="1895" spans="2:4" x14ac:dyDescent="0.25">
      <c r="B1895" t="s">
        <v>1094</v>
      </c>
      <c r="C1895">
        <v>143</v>
      </c>
      <c r="D1895">
        <v>8</v>
      </c>
    </row>
    <row r="1896" spans="2:4" x14ac:dyDescent="0.25">
      <c r="B1896" t="s">
        <v>1094</v>
      </c>
      <c r="C1896">
        <v>143</v>
      </c>
      <c r="D1896">
        <v>13</v>
      </c>
    </row>
    <row r="1897" spans="2:4" x14ac:dyDescent="0.25">
      <c r="B1897" t="s">
        <v>1094</v>
      </c>
      <c r="C1897">
        <v>143</v>
      </c>
      <c r="D1897">
        <v>14</v>
      </c>
    </row>
    <row r="1898" spans="2:4" x14ac:dyDescent="0.25">
      <c r="B1898" t="s">
        <v>1094</v>
      </c>
      <c r="C1898">
        <v>144</v>
      </c>
      <c r="D1898">
        <v>6</v>
      </c>
    </row>
    <row r="1899" spans="2:4" x14ac:dyDescent="0.25">
      <c r="B1899" t="s">
        <v>1094</v>
      </c>
      <c r="C1899">
        <v>144</v>
      </c>
      <c r="D1899">
        <v>8</v>
      </c>
    </row>
    <row r="1900" spans="2:4" x14ac:dyDescent="0.25">
      <c r="B1900" t="s">
        <v>1094</v>
      </c>
      <c r="C1900">
        <v>144</v>
      </c>
      <c r="D1900">
        <v>13</v>
      </c>
    </row>
    <row r="1901" spans="2:4" x14ac:dyDescent="0.25">
      <c r="B1901" t="s">
        <v>1094</v>
      </c>
      <c r="C1901">
        <v>144</v>
      </c>
      <c r="D1901">
        <v>14</v>
      </c>
    </row>
    <row r="1902" spans="2:4" x14ac:dyDescent="0.25">
      <c r="B1902" t="s">
        <v>1094</v>
      </c>
      <c r="C1902">
        <v>145</v>
      </c>
      <c r="D1902">
        <v>6</v>
      </c>
    </row>
    <row r="1903" spans="2:4" x14ac:dyDescent="0.25">
      <c r="B1903" t="s">
        <v>1094</v>
      </c>
      <c r="C1903">
        <v>145</v>
      </c>
      <c r="D1903">
        <v>8</v>
      </c>
    </row>
    <row r="1904" spans="2:4" x14ac:dyDescent="0.25">
      <c r="B1904" t="s">
        <v>1094</v>
      </c>
      <c r="C1904">
        <v>145</v>
      </c>
      <c r="D1904">
        <v>13</v>
      </c>
    </row>
    <row r="1905" spans="2:4" x14ac:dyDescent="0.25">
      <c r="B1905" t="s">
        <v>1094</v>
      </c>
      <c r="C1905">
        <v>145</v>
      </c>
      <c r="D1905">
        <v>14</v>
      </c>
    </row>
    <row r="1906" spans="2:4" x14ac:dyDescent="0.25">
      <c r="B1906" t="s">
        <v>1094</v>
      </c>
      <c r="C1906">
        <v>146</v>
      </c>
      <c r="D1906">
        <v>6</v>
      </c>
    </row>
    <row r="1907" spans="2:4" x14ac:dyDescent="0.25">
      <c r="B1907" t="s">
        <v>1094</v>
      </c>
      <c r="C1907">
        <v>146</v>
      </c>
      <c r="D1907">
        <v>8</v>
      </c>
    </row>
    <row r="1908" spans="2:4" x14ac:dyDescent="0.25">
      <c r="B1908" t="s">
        <v>1094</v>
      </c>
      <c r="C1908">
        <v>146</v>
      </c>
      <c r="D1908">
        <v>13</v>
      </c>
    </row>
    <row r="1909" spans="2:4" x14ac:dyDescent="0.25">
      <c r="B1909" t="s">
        <v>1094</v>
      </c>
      <c r="C1909">
        <v>146</v>
      </c>
      <c r="D1909">
        <v>14</v>
      </c>
    </row>
    <row r="1910" spans="2:4" x14ac:dyDescent="0.25">
      <c r="B1910" t="s">
        <v>1094</v>
      </c>
      <c r="C1910">
        <v>147</v>
      </c>
      <c r="D1910">
        <v>6</v>
      </c>
    </row>
    <row r="1911" spans="2:4" x14ac:dyDescent="0.25">
      <c r="B1911" t="s">
        <v>1094</v>
      </c>
      <c r="C1911">
        <v>147</v>
      </c>
      <c r="D1911">
        <v>8</v>
      </c>
    </row>
    <row r="1912" spans="2:4" x14ac:dyDescent="0.25">
      <c r="B1912" t="s">
        <v>1094</v>
      </c>
      <c r="C1912">
        <v>147</v>
      </c>
      <c r="D1912">
        <v>13</v>
      </c>
    </row>
    <row r="1913" spans="2:4" x14ac:dyDescent="0.25">
      <c r="B1913" t="s">
        <v>1094</v>
      </c>
      <c r="C1913">
        <v>147</v>
      </c>
      <c r="D1913">
        <v>14</v>
      </c>
    </row>
    <row r="1914" spans="2:4" x14ac:dyDescent="0.25">
      <c r="B1914" t="s">
        <v>1094</v>
      </c>
      <c r="C1914">
        <v>148</v>
      </c>
      <c r="D1914">
        <v>6</v>
      </c>
    </row>
    <row r="1915" spans="2:4" x14ac:dyDescent="0.25">
      <c r="B1915" t="s">
        <v>1094</v>
      </c>
      <c r="C1915">
        <v>148</v>
      </c>
      <c r="D1915">
        <v>8</v>
      </c>
    </row>
    <row r="1916" spans="2:4" x14ac:dyDescent="0.25">
      <c r="B1916" t="s">
        <v>1094</v>
      </c>
      <c r="C1916">
        <v>148</v>
      </c>
      <c r="D1916">
        <v>13</v>
      </c>
    </row>
    <row r="1917" spans="2:4" x14ac:dyDescent="0.25">
      <c r="B1917" t="s">
        <v>1094</v>
      </c>
      <c r="C1917">
        <v>148</v>
      </c>
      <c r="D1917">
        <v>14</v>
      </c>
    </row>
    <row r="1918" spans="2:4" x14ac:dyDescent="0.25">
      <c r="B1918" t="s">
        <v>1094</v>
      </c>
      <c r="C1918">
        <v>149</v>
      </c>
      <c r="D1918">
        <v>6</v>
      </c>
    </row>
    <row r="1919" spans="2:4" x14ac:dyDescent="0.25">
      <c r="B1919" t="s">
        <v>1094</v>
      </c>
      <c r="C1919">
        <v>149</v>
      </c>
      <c r="D1919">
        <v>8</v>
      </c>
    </row>
    <row r="1920" spans="2:4" x14ac:dyDescent="0.25">
      <c r="B1920" t="s">
        <v>1094</v>
      </c>
      <c r="C1920">
        <v>149</v>
      </c>
      <c r="D1920">
        <v>13</v>
      </c>
    </row>
    <row r="1921" spans="2:4" x14ac:dyDescent="0.25">
      <c r="B1921" t="s">
        <v>1094</v>
      </c>
      <c r="C1921">
        <v>149</v>
      </c>
      <c r="D1921">
        <v>14</v>
      </c>
    </row>
    <row r="1922" spans="2:4" x14ac:dyDescent="0.25">
      <c r="B1922" t="s">
        <v>1094</v>
      </c>
      <c r="C1922">
        <v>150</v>
      </c>
      <c r="D1922">
        <v>6</v>
      </c>
    </row>
    <row r="1923" spans="2:4" x14ac:dyDescent="0.25">
      <c r="B1923" t="s">
        <v>1094</v>
      </c>
      <c r="C1923">
        <v>150</v>
      </c>
      <c r="D1923">
        <v>8</v>
      </c>
    </row>
    <row r="1924" spans="2:4" x14ac:dyDescent="0.25">
      <c r="B1924" t="s">
        <v>1094</v>
      </c>
      <c r="C1924">
        <v>150</v>
      </c>
      <c r="D1924">
        <v>13</v>
      </c>
    </row>
    <row r="1925" spans="2:4" x14ac:dyDescent="0.25">
      <c r="B1925" t="s">
        <v>1094</v>
      </c>
      <c r="C1925">
        <v>150</v>
      </c>
      <c r="D1925">
        <v>14</v>
      </c>
    </row>
    <row r="1926" spans="2:4" x14ac:dyDescent="0.25">
      <c r="B1926" t="s">
        <v>1094</v>
      </c>
      <c r="C1926">
        <v>151</v>
      </c>
      <c r="D1926">
        <v>5</v>
      </c>
    </row>
    <row r="1927" spans="2:4" x14ac:dyDescent="0.25">
      <c r="B1927" t="s">
        <v>1094</v>
      </c>
      <c r="C1927">
        <v>152</v>
      </c>
      <c r="D1927">
        <v>5</v>
      </c>
    </row>
    <row r="1928" spans="2:4" x14ac:dyDescent="0.25">
      <c r="B1928" t="s">
        <v>1094</v>
      </c>
      <c r="C1928">
        <v>153</v>
      </c>
      <c r="D1928">
        <v>6</v>
      </c>
    </row>
    <row r="1929" spans="2:4" x14ac:dyDescent="0.25">
      <c r="B1929" t="s">
        <v>1094</v>
      </c>
      <c r="C1929">
        <v>153</v>
      </c>
      <c r="D1929">
        <v>8</v>
      </c>
    </row>
    <row r="1930" spans="2:4" x14ac:dyDescent="0.25">
      <c r="B1930" t="s">
        <v>1094</v>
      </c>
      <c r="C1930">
        <v>153</v>
      </c>
      <c r="D1930">
        <v>13</v>
      </c>
    </row>
    <row r="1931" spans="2:4" x14ac:dyDescent="0.25">
      <c r="B1931" t="s">
        <v>1094</v>
      </c>
      <c r="C1931">
        <v>153</v>
      </c>
      <c r="D1931">
        <v>14</v>
      </c>
    </row>
    <row r="1932" spans="2:4" x14ac:dyDescent="0.25">
      <c r="B1932" t="s">
        <v>1094</v>
      </c>
      <c r="C1932">
        <v>154</v>
      </c>
      <c r="D1932">
        <v>6</v>
      </c>
    </row>
    <row r="1933" spans="2:4" x14ac:dyDescent="0.25">
      <c r="B1933" t="s">
        <v>1094</v>
      </c>
      <c r="C1933">
        <v>154</v>
      </c>
      <c r="D1933">
        <v>8</v>
      </c>
    </row>
    <row r="1934" spans="2:4" x14ac:dyDescent="0.25">
      <c r="B1934" t="s">
        <v>1094</v>
      </c>
      <c r="C1934">
        <v>154</v>
      </c>
      <c r="D1934">
        <v>13</v>
      </c>
    </row>
    <row r="1935" spans="2:4" x14ac:dyDescent="0.25">
      <c r="B1935" t="s">
        <v>1094</v>
      </c>
      <c r="C1935">
        <v>154</v>
      </c>
      <c r="D1935">
        <v>14</v>
      </c>
    </row>
    <row r="1936" spans="2:4" x14ac:dyDescent="0.25">
      <c r="B1936" t="s">
        <v>1094</v>
      </c>
      <c r="C1936">
        <v>155</v>
      </c>
      <c r="D1936">
        <v>6</v>
      </c>
    </row>
    <row r="1937" spans="2:4" x14ac:dyDescent="0.25">
      <c r="B1937" t="s">
        <v>1094</v>
      </c>
      <c r="C1937">
        <v>155</v>
      </c>
      <c r="D1937">
        <v>8</v>
      </c>
    </row>
    <row r="1938" spans="2:4" x14ac:dyDescent="0.25">
      <c r="B1938" t="s">
        <v>1094</v>
      </c>
      <c r="C1938">
        <v>155</v>
      </c>
      <c r="D1938">
        <v>13</v>
      </c>
    </row>
    <row r="1939" spans="2:4" x14ac:dyDescent="0.25">
      <c r="B1939" t="s">
        <v>1094</v>
      </c>
      <c r="C1939">
        <v>155</v>
      </c>
      <c r="D1939">
        <v>14</v>
      </c>
    </row>
    <row r="1940" spans="2:4" x14ac:dyDescent="0.25">
      <c r="B1940" t="s">
        <v>1094</v>
      </c>
      <c r="C1940">
        <v>156</v>
      </c>
      <c r="D1940">
        <v>6</v>
      </c>
    </row>
    <row r="1941" spans="2:4" x14ac:dyDescent="0.25">
      <c r="B1941" t="s">
        <v>1094</v>
      </c>
      <c r="C1941">
        <v>156</v>
      </c>
      <c r="D1941">
        <v>8</v>
      </c>
    </row>
    <row r="1942" spans="2:4" x14ac:dyDescent="0.25">
      <c r="B1942" t="s">
        <v>1094</v>
      </c>
      <c r="C1942">
        <v>156</v>
      </c>
      <c r="D1942">
        <v>13</v>
      </c>
    </row>
    <row r="1943" spans="2:4" x14ac:dyDescent="0.25">
      <c r="B1943" t="s">
        <v>1094</v>
      </c>
      <c r="C1943">
        <v>156</v>
      </c>
      <c r="D1943">
        <v>14</v>
      </c>
    </row>
    <row r="1944" spans="2:4" x14ac:dyDescent="0.25">
      <c r="B1944" t="s">
        <v>1094</v>
      </c>
      <c r="C1944">
        <v>157</v>
      </c>
      <c r="D1944">
        <v>5</v>
      </c>
    </row>
    <row r="1945" spans="2:4" x14ac:dyDescent="0.25">
      <c r="B1945" t="s">
        <v>1094</v>
      </c>
      <c r="C1945">
        <v>158</v>
      </c>
      <c r="D1945">
        <v>6</v>
      </c>
    </row>
    <row r="1946" spans="2:4" x14ac:dyDescent="0.25">
      <c r="B1946" t="s">
        <v>1094</v>
      </c>
      <c r="C1946">
        <v>158</v>
      </c>
      <c r="D1946">
        <v>8</v>
      </c>
    </row>
    <row r="1947" spans="2:4" x14ac:dyDescent="0.25">
      <c r="B1947" t="s">
        <v>1094</v>
      </c>
      <c r="C1947">
        <v>158</v>
      </c>
      <c r="D1947">
        <v>13</v>
      </c>
    </row>
    <row r="1948" spans="2:4" x14ac:dyDescent="0.25">
      <c r="B1948" t="s">
        <v>1094</v>
      </c>
      <c r="C1948">
        <v>158</v>
      </c>
      <c r="D1948">
        <v>14</v>
      </c>
    </row>
    <row r="1949" spans="2:4" x14ac:dyDescent="0.25">
      <c r="B1949" t="s">
        <v>1094</v>
      </c>
      <c r="C1949">
        <v>159</v>
      </c>
      <c r="D1949">
        <v>6</v>
      </c>
    </row>
    <row r="1950" spans="2:4" x14ac:dyDescent="0.25">
      <c r="B1950" t="s">
        <v>1094</v>
      </c>
      <c r="C1950">
        <v>159</v>
      </c>
      <c r="D1950">
        <v>8</v>
      </c>
    </row>
    <row r="1951" spans="2:4" x14ac:dyDescent="0.25">
      <c r="B1951" t="s">
        <v>1094</v>
      </c>
      <c r="C1951">
        <v>159</v>
      </c>
      <c r="D1951">
        <v>13</v>
      </c>
    </row>
    <row r="1952" spans="2:4" x14ac:dyDescent="0.25">
      <c r="B1952" t="s">
        <v>1094</v>
      </c>
      <c r="C1952">
        <v>159</v>
      </c>
      <c r="D1952">
        <v>14</v>
      </c>
    </row>
    <row r="1953" spans="2:4" x14ac:dyDescent="0.25">
      <c r="B1953" t="s">
        <v>1094</v>
      </c>
      <c r="C1953">
        <v>160</v>
      </c>
      <c r="D1953">
        <v>6</v>
      </c>
    </row>
    <row r="1954" spans="2:4" x14ac:dyDescent="0.25">
      <c r="B1954" t="s">
        <v>1094</v>
      </c>
      <c r="C1954">
        <v>160</v>
      </c>
      <c r="D1954">
        <v>8</v>
      </c>
    </row>
    <row r="1955" spans="2:4" x14ac:dyDescent="0.25">
      <c r="B1955" t="s">
        <v>1094</v>
      </c>
      <c r="C1955">
        <v>160</v>
      </c>
      <c r="D1955">
        <v>13</v>
      </c>
    </row>
    <row r="1956" spans="2:4" x14ac:dyDescent="0.25">
      <c r="B1956" t="s">
        <v>1094</v>
      </c>
      <c r="C1956">
        <v>160</v>
      </c>
      <c r="D1956">
        <v>14</v>
      </c>
    </row>
    <row r="1957" spans="2:4" x14ac:dyDescent="0.25">
      <c r="B1957" t="s">
        <v>1094</v>
      </c>
      <c r="C1957">
        <v>161</v>
      </c>
      <c r="D1957">
        <v>6</v>
      </c>
    </row>
    <row r="1958" spans="2:4" x14ac:dyDescent="0.25">
      <c r="B1958" t="s">
        <v>1094</v>
      </c>
      <c r="C1958">
        <v>161</v>
      </c>
      <c r="D1958">
        <v>8</v>
      </c>
    </row>
    <row r="1959" spans="2:4" x14ac:dyDescent="0.25">
      <c r="B1959" t="s">
        <v>1094</v>
      </c>
      <c r="C1959">
        <v>161</v>
      </c>
      <c r="D1959">
        <v>13</v>
      </c>
    </row>
    <row r="1960" spans="2:4" x14ac:dyDescent="0.25">
      <c r="B1960" t="s">
        <v>1094</v>
      </c>
      <c r="C1960">
        <v>161</v>
      </c>
      <c r="D1960">
        <v>14</v>
      </c>
    </row>
    <row r="1961" spans="2:4" x14ac:dyDescent="0.25">
      <c r="B1961" t="s">
        <v>1094</v>
      </c>
      <c r="C1961">
        <v>162</v>
      </c>
      <c r="D1961">
        <v>6</v>
      </c>
    </row>
    <row r="1962" spans="2:4" x14ac:dyDescent="0.25">
      <c r="B1962" t="s">
        <v>1094</v>
      </c>
      <c r="C1962">
        <v>162</v>
      </c>
      <c r="D1962">
        <v>8</v>
      </c>
    </row>
    <row r="1963" spans="2:4" x14ac:dyDescent="0.25">
      <c r="B1963" t="s">
        <v>1094</v>
      </c>
      <c r="C1963">
        <v>162</v>
      </c>
      <c r="D1963">
        <v>13</v>
      </c>
    </row>
    <row r="1964" spans="2:4" x14ac:dyDescent="0.25">
      <c r="B1964" t="s">
        <v>1094</v>
      </c>
      <c r="C1964">
        <v>162</v>
      </c>
      <c r="D1964">
        <v>14</v>
      </c>
    </row>
    <row r="1965" spans="2:4" x14ac:dyDescent="0.25">
      <c r="B1965" t="s">
        <v>1094</v>
      </c>
      <c r="C1965">
        <v>163</v>
      </c>
      <c r="D1965">
        <v>5</v>
      </c>
    </row>
    <row r="1966" spans="2:4" x14ac:dyDescent="0.25">
      <c r="B1966" t="s">
        <v>1094</v>
      </c>
      <c r="C1966">
        <v>164</v>
      </c>
      <c r="D1966">
        <v>6</v>
      </c>
    </row>
    <row r="1967" spans="2:4" x14ac:dyDescent="0.25">
      <c r="B1967" t="s">
        <v>1094</v>
      </c>
      <c r="C1967">
        <v>164</v>
      </c>
      <c r="D1967">
        <v>8</v>
      </c>
    </row>
    <row r="1968" spans="2:4" x14ac:dyDescent="0.25">
      <c r="B1968" t="s">
        <v>1094</v>
      </c>
      <c r="C1968">
        <v>164</v>
      </c>
      <c r="D1968">
        <v>13</v>
      </c>
    </row>
    <row r="1969" spans="2:4" x14ac:dyDescent="0.25">
      <c r="B1969" t="s">
        <v>1094</v>
      </c>
      <c r="C1969">
        <v>164</v>
      </c>
      <c r="D1969">
        <v>14</v>
      </c>
    </row>
    <row r="1970" spans="2:4" x14ac:dyDescent="0.25">
      <c r="B1970" t="s">
        <v>1094</v>
      </c>
      <c r="C1970">
        <v>165</v>
      </c>
      <c r="D1970">
        <v>6</v>
      </c>
    </row>
    <row r="1971" spans="2:4" x14ac:dyDescent="0.25">
      <c r="B1971" t="s">
        <v>1094</v>
      </c>
      <c r="C1971">
        <v>165</v>
      </c>
      <c r="D1971">
        <v>8</v>
      </c>
    </row>
    <row r="1972" spans="2:4" x14ac:dyDescent="0.25">
      <c r="B1972" t="s">
        <v>1094</v>
      </c>
      <c r="C1972">
        <v>165</v>
      </c>
      <c r="D1972">
        <v>13</v>
      </c>
    </row>
    <row r="1973" spans="2:4" x14ac:dyDescent="0.25">
      <c r="B1973" t="s">
        <v>1094</v>
      </c>
      <c r="C1973">
        <v>165</v>
      </c>
      <c r="D1973">
        <v>14</v>
      </c>
    </row>
    <row r="1974" spans="2:4" x14ac:dyDescent="0.25">
      <c r="B1974" t="s">
        <v>1094</v>
      </c>
      <c r="C1974">
        <v>166</v>
      </c>
      <c r="D1974">
        <v>6</v>
      </c>
    </row>
    <row r="1975" spans="2:4" x14ac:dyDescent="0.25">
      <c r="B1975" t="s">
        <v>1094</v>
      </c>
      <c r="C1975">
        <v>166</v>
      </c>
      <c r="D1975">
        <v>8</v>
      </c>
    </row>
    <row r="1976" spans="2:4" x14ac:dyDescent="0.25">
      <c r="B1976" t="s">
        <v>1094</v>
      </c>
      <c r="C1976">
        <v>166</v>
      </c>
      <c r="D1976">
        <v>13</v>
      </c>
    </row>
    <row r="1977" spans="2:4" x14ac:dyDescent="0.25">
      <c r="B1977" t="s">
        <v>1094</v>
      </c>
      <c r="C1977">
        <v>166</v>
      </c>
      <c r="D1977">
        <v>14</v>
      </c>
    </row>
    <row r="1978" spans="2:4" x14ac:dyDescent="0.25">
      <c r="B1978" t="s">
        <v>1094</v>
      </c>
      <c r="C1978">
        <v>167</v>
      </c>
      <c r="D1978">
        <v>6</v>
      </c>
    </row>
    <row r="1979" spans="2:4" x14ac:dyDescent="0.25">
      <c r="B1979" t="s">
        <v>1094</v>
      </c>
      <c r="C1979">
        <v>167</v>
      </c>
      <c r="D1979">
        <v>8</v>
      </c>
    </row>
    <row r="1980" spans="2:4" x14ac:dyDescent="0.25">
      <c r="B1980" t="s">
        <v>1094</v>
      </c>
      <c r="C1980">
        <v>167</v>
      </c>
      <c r="D1980">
        <v>13</v>
      </c>
    </row>
    <row r="1981" spans="2:4" x14ac:dyDescent="0.25">
      <c r="B1981" t="s">
        <v>1094</v>
      </c>
      <c r="C1981">
        <v>167</v>
      </c>
      <c r="D1981">
        <v>14</v>
      </c>
    </row>
    <row r="1982" spans="2:4" x14ac:dyDescent="0.25">
      <c r="B1982" t="s">
        <v>1094</v>
      </c>
      <c r="C1982">
        <v>168</v>
      </c>
      <c r="D1982">
        <v>6</v>
      </c>
    </row>
    <row r="1983" spans="2:4" x14ac:dyDescent="0.25">
      <c r="B1983" t="s">
        <v>1094</v>
      </c>
      <c r="C1983">
        <v>168</v>
      </c>
      <c r="D1983">
        <v>8</v>
      </c>
    </row>
    <row r="1984" spans="2:4" x14ac:dyDescent="0.25">
      <c r="B1984" t="s">
        <v>1094</v>
      </c>
      <c r="C1984">
        <v>168</v>
      </c>
      <c r="D1984">
        <v>13</v>
      </c>
    </row>
    <row r="1985" spans="2:4" x14ac:dyDescent="0.25">
      <c r="B1985" t="s">
        <v>1094</v>
      </c>
      <c r="C1985">
        <v>168</v>
      </c>
      <c r="D1985">
        <v>14</v>
      </c>
    </row>
    <row r="1986" spans="2:4" x14ac:dyDescent="0.25">
      <c r="B1986" t="s">
        <v>1094</v>
      </c>
      <c r="C1986">
        <v>169</v>
      </c>
      <c r="D1986">
        <v>6</v>
      </c>
    </row>
    <row r="1987" spans="2:4" x14ac:dyDescent="0.25">
      <c r="B1987" t="s">
        <v>1094</v>
      </c>
      <c r="C1987">
        <v>169</v>
      </c>
      <c r="D1987">
        <v>8</v>
      </c>
    </row>
    <row r="1988" spans="2:4" x14ac:dyDescent="0.25">
      <c r="B1988" t="s">
        <v>1094</v>
      </c>
      <c r="C1988">
        <v>169</v>
      </c>
      <c r="D1988">
        <v>13</v>
      </c>
    </row>
    <row r="1989" spans="2:4" x14ac:dyDescent="0.25">
      <c r="B1989" t="s">
        <v>1094</v>
      </c>
      <c r="C1989">
        <v>169</v>
      </c>
      <c r="D1989">
        <v>14</v>
      </c>
    </row>
    <row r="1990" spans="2:4" x14ac:dyDescent="0.25">
      <c r="B1990" t="s">
        <v>1094</v>
      </c>
      <c r="C1990">
        <v>170</v>
      </c>
      <c r="D1990">
        <v>5</v>
      </c>
    </row>
    <row r="1991" spans="2:4" x14ac:dyDescent="0.25">
      <c r="B1991" t="s">
        <v>1094</v>
      </c>
      <c r="C1991">
        <v>171</v>
      </c>
      <c r="D1991">
        <v>6</v>
      </c>
    </row>
    <row r="1992" spans="2:4" x14ac:dyDescent="0.25">
      <c r="B1992" t="s">
        <v>1094</v>
      </c>
      <c r="C1992">
        <v>171</v>
      </c>
      <c r="D1992">
        <v>8</v>
      </c>
    </row>
    <row r="1993" spans="2:4" x14ac:dyDescent="0.25">
      <c r="B1993" t="s">
        <v>1094</v>
      </c>
      <c r="C1993">
        <v>171</v>
      </c>
      <c r="D1993">
        <v>13</v>
      </c>
    </row>
    <row r="1994" spans="2:4" x14ac:dyDescent="0.25">
      <c r="B1994" t="s">
        <v>1094</v>
      </c>
      <c r="C1994">
        <v>171</v>
      </c>
      <c r="D1994">
        <v>14</v>
      </c>
    </row>
    <row r="1995" spans="2:4" x14ac:dyDescent="0.25">
      <c r="B1995" t="s">
        <v>1094</v>
      </c>
      <c r="C1995">
        <v>172</v>
      </c>
      <c r="D1995">
        <v>5</v>
      </c>
    </row>
    <row r="1996" spans="2:4" x14ac:dyDescent="0.25">
      <c r="B1996" t="s">
        <v>1094</v>
      </c>
      <c r="C1996">
        <v>173</v>
      </c>
      <c r="D1996">
        <v>6</v>
      </c>
    </row>
    <row r="1997" spans="2:4" x14ac:dyDescent="0.25">
      <c r="B1997" t="s">
        <v>1094</v>
      </c>
      <c r="C1997">
        <v>173</v>
      </c>
      <c r="D1997">
        <v>8</v>
      </c>
    </row>
    <row r="1998" spans="2:4" x14ac:dyDescent="0.25">
      <c r="B1998" t="s">
        <v>1094</v>
      </c>
      <c r="C1998">
        <v>173</v>
      </c>
      <c r="D1998">
        <v>13</v>
      </c>
    </row>
    <row r="1999" spans="2:4" x14ac:dyDescent="0.25">
      <c r="B1999" t="s">
        <v>1094</v>
      </c>
      <c r="C1999">
        <v>173</v>
      </c>
      <c r="D1999">
        <v>14</v>
      </c>
    </row>
    <row r="2000" spans="2:4" x14ac:dyDescent="0.25">
      <c r="B2000" t="s">
        <v>1094</v>
      </c>
      <c r="C2000">
        <v>174</v>
      </c>
      <c r="D2000">
        <v>6</v>
      </c>
    </row>
    <row r="2001" spans="2:4" x14ac:dyDescent="0.25">
      <c r="B2001" t="s">
        <v>1094</v>
      </c>
      <c r="C2001">
        <v>174</v>
      </c>
      <c r="D2001">
        <v>8</v>
      </c>
    </row>
    <row r="2002" spans="2:4" x14ac:dyDescent="0.25">
      <c r="B2002" t="s">
        <v>1094</v>
      </c>
      <c r="C2002">
        <v>174</v>
      </c>
      <c r="D2002">
        <v>13</v>
      </c>
    </row>
    <row r="2003" spans="2:4" x14ac:dyDescent="0.25">
      <c r="B2003" t="s">
        <v>1094</v>
      </c>
      <c r="C2003">
        <v>174</v>
      </c>
      <c r="D2003">
        <v>14</v>
      </c>
    </row>
    <row r="2004" spans="2:4" x14ac:dyDescent="0.25">
      <c r="B2004" t="s">
        <v>1094</v>
      </c>
      <c r="C2004">
        <v>175</v>
      </c>
      <c r="D2004">
        <v>6</v>
      </c>
    </row>
    <row r="2005" spans="2:4" x14ac:dyDescent="0.25">
      <c r="B2005" t="s">
        <v>1094</v>
      </c>
      <c r="C2005">
        <v>175</v>
      </c>
      <c r="D2005">
        <v>8</v>
      </c>
    </row>
    <row r="2006" spans="2:4" x14ac:dyDescent="0.25">
      <c r="B2006" t="s">
        <v>1094</v>
      </c>
      <c r="C2006">
        <v>175</v>
      </c>
      <c r="D2006">
        <v>13</v>
      </c>
    </row>
    <row r="2007" spans="2:4" x14ac:dyDescent="0.25">
      <c r="B2007" t="s">
        <v>1094</v>
      </c>
      <c r="C2007">
        <v>175</v>
      </c>
      <c r="D2007">
        <v>14</v>
      </c>
    </row>
    <row r="2008" spans="2:4" x14ac:dyDescent="0.25">
      <c r="B2008" t="s">
        <v>1094</v>
      </c>
      <c r="C2008">
        <v>176</v>
      </c>
      <c r="D2008">
        <v>6</v>
      </c>
    </row>
    <row r="2009" spans="2:4" x14ac:dyDescent="0.25">
      <c r="B2009" t="s">
        <v>1094</v>
      </c>
      <c r="C2009">
        <v>176</v>
      </c>
      <c r="D2009">
        <v>8</v>
      </c>
    </row>
    <row r="2010" spans="2:4" x14ac:dyDescent="0.25">
      <c r="B2010" t="s">
        <v>1094</v>
      </c>
      <c r="C2010">
        <v>176</v>
      </c>
      <c r="D2010">
        <v>13</v>
      </c>
    </row>
    <row r="2011" spans="2:4" x14ac:dyDescent="0.25">
      <c r="B2011" t="s">
        <v>1094</v>
      </c>
      <c r="C2011">
        <v>176</v>
      </c>
      <c r="D2011">
        <v>14</v>
      </c>
    </row>
    <row r="2012" spans="2:4" x14ac:dyDescent="0.25">
      <c r="B2012" t="s">
        <v>1094</v>
      </c>
      <c r="C2012">
        <v>177</v>
      </c>
      <c r="D2012">
        <v>5</v>
      </c>
    </row>
    <row r="2013" spans="2:4" x14ac:dyDescent="0.25">
      <c r="B2013" t="s">
        <v>1094</v>
      </c>
      <c r="C2013">
        <v>178</v>
      </c>
      <c r="D2013">
        <v>6</v>
      </c>
    </row>
    <row r="2014" spans="2:4" x14ac:dyDescent="0.25">
      <c r="B2014" t="s">
        <v>1094</v>
      </c>
      <c r="C2014">
        <v>178</v>
      </c>
      <c r="D2014">
        <v>8</v>
      </c>
    </row>
    <row r="2015" spans="2:4" x14ac:dyDescent="0.25">
      <c r="B2015" t="s">
        <v>1094</v>
      </c>
      <c r="C2015">
        <v>178</v>
      </c>
      <c r="D2015">
        <v>13</v>
      </c>
    </row>
    <row r="2016" spans="2:4" x14ac:dyDescent="0.25">
      <c r="B2016" t="s">
        <v>1094</v>
      </c>
      <c r="C2016">
        <v>178</v>
      </c>
      <c r="D2016">
        <v>14</v>
      </c>
    </row>
    <row r="2017" spans="2:4" x14ac:dyDescent="0.25">
      <c r="B2017" t="s">
        <v>1094</v>
      </c>
      <c r="C2017">
        <v>179</v>
      </c>
      <c r="D2017">
        <v>6</v>
      </c>
    </row>
    <row r="2018" spans="2:4" x14ac:dyDescent="0.25">
      <c r="B2018" t="s">
        <v>1094</v>
      </c>
      <c r="C2018">
        <v>179</v>
      </c>
      <c r="D2018">
        <v>8</v>
      </c>
    </row>
    <row r="2019" spans="2:4" x14ac:dyDescent="0.25">
      <c r="B2019" t="s">
        <v>1094</v>
      </c>
      <c r="C2019">
        <v>179</v>
      </c>
      <c r="D2019">
        <v>13</v>
      </c>
    </row>
    <row r="2020" spans="2:4" x14ac:dyDescent="0.25">
      <c r="B2020" t="s">
        <v>1094</v>
      </c>
      <c r="C2020">
        <v>179</v>
      </c>
      <c r="D2020">
        <v>14</v>
      </c>
    </row>
    <row r="2021" spans="2:4" x14ac:dyDescent="0.25">
      <c r="B2021" t="s">
        <v>1094</v>
      </c>
      <c r="C2021">
        <v>180</v>
      </c>
      <c r="D2021">
        <v>6</v>
      </c>
    </row>
    <row r="2022" spans="2:4" x14ac:dyDescent="0.25">
      <c r="B2022" t="s">
        <v>1094</v>
      </c>
      <c r="C2022">
        <v>180</v>
      </c>
      <c r="D2022">
        <v>8</v>
      </c>
    </row>
    <row r="2023" spans="2:4" x14ac:dyDescent="0.25">
      <c r="B2023" t="s">
        <v>1094</v>
      </c>
      <c r="C2023">
        <v>180</v>
      </c>
      <c r="D2023">
        <v>13</v>
      </c>
    </row>
    <row r="2024" spans="2:4" x14ac:dyDescent="0.25">
      <c r="B2024" t="s">
        <v>1094</v>
      </c>
      <c r="C2024">
        <v>180</v>
      </c>
      <c r="D2024">
        <v>14</v>
      </c>
    </row>
    <row r="2025" spans="2:4" x14ac:dyDescent="0.25">
      <c r="B2025" t="s">
        <v>1094</v>
      </c>
      <c r="C2025">
        <v>181</v>
      </c>
      <c r="D2025">
        <v>5</v>
      </c>
    </row>
    <row r="2026" spans="2:4" x14ac:dyDescent="0.25">
      <c r="B2026" t="s">
        <v>1094</v>
      </c>
      <c r="C2026">
        <v>182</v>
      </c>
      <c r="D2026">
        <v>6</v>
      </c>
    </row>
    <row r="2027" spans="2:4" x14ac:dyDescent="0.25">
      <c r="B2027" t="s">
        <v>1094</v>
      </c>
      <c r="C2027">
        <v>182</v>
      </c>
      <c r="D2027">
        <v>8</v>
      </c>
    </row>
    <row r="2028" spans="2:4" x14ac:dyDescent="0.25">
      <c r="B2028" t="s">
        <v>1094</v>
      </c>
      <c r="C2028">
        <v>182</v>
      </c>
      <c r="D2028">
        <v>13</v>
      </c>
    </row>
    <row r="2029" spans="2:4" x14ac:dyDescent="0.25">
      <c r="B2029" t="s">
        <v>1094</v>
      </c>
      <c r="C2029">
        <v>182</v>
      </c>
      <c r="D2029">
        <v>14</v>
      </c>
    </row>
    <row r="2030" spans="2:4" x14ac:dyDescent="0.25">
      <c r="B2030" t="s">
        <v>1094</v>
      </c>
      <c r="C2030">
        <v>183</v>
      </c>
      <c r="D2030">
        <v>6</v>
      </c>
    </row>
    <row r="2031" spans="2:4" x14ac:dyDescent="0.25">
      <c r="B2031" t="s">
        <v>1094</v>
      </c>
      <c r="C2031">
        <v>183</v>
      </c>
      <c r="D2031">
        <v>8</v>
      </c>
    </row>
    <row r="2032" spans="2:4" x14ac:dyDescent="0.25">
      <c r="B2032" t="s">
        <v>1094</v>
      </c>
      <c r="C2032">
        <v>183</v>
      </c>
      <c r="D2032">
        <v>13</v>
      </c>
    </row>
    <row r="2033" spans="2:4" x14ac:dyDescent="0.25">
      <c r="B2033" t="s">
        <v>1094</v>
      </c>
      <c r="C2033">
        <v>183</v>
      </c>
      <c r="D2033">
        <v>14</v>
      </c>
    </row>
    <row r="2034" spans="2:4" x14ac:dyDescent="0.25">
      <c r="B2034" t="s">
        <v>1094</v>
      </c>
      <c r="C2034">
        <v>184</v>
      </c>
      <c r="D2034">
        <v>6</v>
      </c>
    </row>
    <row r="2035" spans="2:4" x14ac:dyDescent="0.25">
      <c r="B2035" t="s">
        <v>1094</v>
      </c>
      <c r="C2035">
        <v>184</v>
      </c>
      <c r="D2035">
        <v>8</v>
      </c>
    </row>
    <row r="2036" spans="2:4" x14ac:dyDescent="0.25">
      <c r="B2036" t="s">
        <v>1094</v>
      </c>
      <c r="C2036">
        <v>184</v>
      </c>
      <c r="D2036">
        <v>13</v>
      </c>
    </row>
    <row r="2037" spans="2:4" x14ac:dyDescent="0.25">
      <c r="B2037" t="s">
        <v>1094</v>
      </c>
      <c r="C2037">
        <v>184</v>
      </c>
      <c r="D2037">
        <v>14</v>
      </c>
    </row>
    <row r="2038" spans="2:4" x14ac:dyDescent="0.25">
      <c r="B2038" t="s">
        <v>1094</v>
      </c>
      <c r="C2038">
        <v>185</v>
      </c>
      <c r="D2038">
        <v>6</v>
      </c>
    </row>
    <row r="2039" spans="2:4" x14ac:dyDescent="0.25">
      <c r="B2039" t="s">
        <v>1094</v>
      </c>
      <c r="C2039">
        <v>185</v>
      </c>
      <c r="D2039">
        <v>8</v>
      </c>
    </row>
    <row r="2040" spans="2:4" x14ac:dyDescent="0.25">
      <c r="B2040" t="s">
        <v>1094</v>
      </c>
      <c r="C2040">
        <v>185</v>
      </c>
      <c r="D2040">
        <v>13</v>
      </c>
    </row>
    <row r="2041" spans="2:4" x14ac:dyDescent="0.25">
      <c r="B2041" t="s">
        <v>1094</v>
      </c>
      <c r="C2041">
        <v>185</v>
      </c>
      <c r="D2041">
        <v>14</v>
      </c>
    </row>
    <row r="2042" spans="2:4" x14ac:dyDescent="0.25">
      <c r="B2042" t="s">
        <v>1094</v>
      </c>
      <c r="C2042">
        <v>186</v>
      </c>
      <c r="D2042">
        <v>5</v>
      </c>
    </row>
    <row r="2043" spans="2:4" x14ac:dyDescent="0.25">
      <c r="B2043" t="s">
        <v>1094</v>
      </c>
      <c r="C2043">
        <v>187</v>
      </c>
      <c r="D2043">
        <v>6</v>
      </c>
    </row>
    <row r="2044" spans="2:4" x14ac:dyDescent="0.25">
      <c r="B2044" t="s">
        <v>1094</v>
      </c>
      <c r="C2044">
        <v>187</v>
      </c>
      <c r="D2044">
        <v>8</v>
      </c>
    </row>
    <row r="2045" spans="2:4" x14ac:dyDescent="0.25">
      <c r="B2045" t="s">
        <v>1094</v>
      </c>
      <c r="C2045">
        <v>187</v>
      </c>
      <c r="D2045">
        <v>13</v>
      </c>
    </row>
    <row r="2046" spans="2:4" x14ac:dyDescent="0.25">
      <c r="B2046" t="s">
        <v>1094</v>
      </c>
      <c r="C2046">
        <v>187</v>
      </c>
      <c r="D2046">
        <v>14</v>
      </c>
    </row>
    <row r="2047" spans="2:4" x14ac:dyDescent="0.25">
      <c r="B2047" t="s">
        <v>1094</v>
      </c>
      <c r="C2047">
        <v>188</v>
      </c>
      <c r="D2047">
        <v>6</v>
      </c>
    </row>
    <row r="2048" spans="2:4" x14ac:dyDescent="0.25">
      <c r="B2048" t="s">
        <v>1094</v>
      </c>
      <c r="C2048">
        <v>188</v>
      </c>
      <c r="D2048">
        <v>8</v>
      </c>
    </row>
    <row r="2049" spans="2:4" x14ac:dyDescent="0.25">
      <c r="B2049" t="s">
        <v>1094</v>
      </c>
      <c r="C2049">
        <v>188</v>
      </c>
      <c r="D2049">
        <v>13</v>
      </c>
    </row>
    <row r="2050" spans="2:4" x14ac:dyDescent="0.25">
      <c r="B2050" t="s">
        <v>1094</v>
      </c>
      <c r="C2050">
        <v>188</v>
      </c>
      <c r="D2050">
        <v>14</v>
      </c>
    </row>
    <row r="2051" spans="2:4" x14ac:dyDescent="0.25">
      <c r="B2051" t="s">
        <v>1094</v>
      </c>
      <c r="C2051">
        <v>189</v>
      </c>
      <c r="D2051">
        <v>5</v>
      </c>
    </row>
    <row r="2052" spans="2:4" x14ac:dyDescent="0.25">
      <c r="B2052" t="s">
        <v>1094</v>
      </c>
      <c r="C2052">
        <v>190</v>
      </c>
      <c r="D2052">
        <v>6</v>
      </c>
    </row>
    <row r="2053" spans="2:4" x14ac:dyDescent="0.25">
      <c r="B2053" t="s">
        <v>1094</v>
      </c>
      <c r="C2053">
        <v>190</v>
      </c>
      <c r="D2053">
        <v>8</v>
      </c>
    </row>
    <row r="2054" spans="2:4" x14ac:dyDescent="0.25">
      <c r="B2054" t="s">
        <v>1094</v>
      </c>
      <c r="C2054">
        <v>190</v>
      </c>
      <c r="D2054">
        <v>13</v>
      </c>
    </row>
    <row r="2055" spans="2:4" x14ac:dyDescent="0.25">
      <c r="B2055" t="s">
        <v>1094</v>
      </c>
      <c r="C2055">
        <v>190</v>
      </c>
      <c r="D2055">
        <v>14</v>
      </c>
    </row>
    <row r="2056" spans="2:4" x14ac:dyDescent="0.25">
      <c r="B2056" t="s">
        <v>1094</v>
      </c>
      <c r="C2056">
        <v>191</v>
      </c>
      <c r="D2056">
        <v>5</v>
      </c>
    </row>
    <row r="2057" spans="2:4" x14ac:dyDescent="0.25">
      <c r="B2057" t="s">
        <v>1094</v>
      </c>
      <c r="C2057">
        <v>192</v>
      </c>
      <c r="D2057">
        <v>6</v>
      </c>
    </row>
    <row r="2058" spans="2:4" x14ac:dyDescent="0.25">
      <c r="B2058" t="s">
        <v>1094</v>
      </c>
      <c r="C2058">
        <v>192</v>
      </c>
      <c r="D2058">
        <v>8</v>
      </c>
    </row>
    <row r="2059" spans="2:4" x14ac:dyDescent="0.25">
      <c r="B2059" t="s">
        <v>1094</v>
      </c>
      <c r="C2059">
        <v>192</v>
      </c>
      <c r="D2059">
        <v>13</v>
      </c>
    </row>
    <row r="2060" spans="2:4" x14ac:dyDescent="0.25">
      <c r="B2060" t="s">
        <v>1094</v>
      </c>
      <c r="C2060">
        <v>192</v>
      </c>
      <c r="D2060">
        <v>14</v>
      </c>
    </row>
    <row r="2061" spans="2:4" x14ac:dyDescent="0.25">
      <c r="B2061" t="s">
        <v>1094</v>
      </c>
      <c r="C2061">
        <v>193</v>
      </c>
      <c r="D2061">
        <v>6</v>
      </c>
    </row>
    <row r="2062" spans="2:4" x14ac:dyDescent="0.25">
      <c r="B2062" t="s">
        <v>1094</v>
      </c>
      <c r="C2062">
        <v>193</v>
      </c>
      <c r="D2062">
        <v>8</v>
      </c>
    </row>
    <row r="2063" spans="2:4" x14ac:dyDescent="0.25">
      <c r="B2063" t="s">
        <v>1094</v>
      </c>
      <c r="C2063">
        <v>193</v>
      </c>
      <c r="D2063">
        <v>13</v>
      </c>
    </row>
    <row r="2064" spans="2:4" x14ac:dyDescent="0.25">
      <c r="B2064" t="s">
        <v>1094</v>
      </c>
      <c r="C2064">
        <v>193</v>
      </c>
      <c r="D2064">
        <v>14</v>
      </c>
    </row>
    <row r="2065" spans="2:4" x14ac:dyDescent="0.25">
      <c r="B2065" t="s">
        <v>1094</v>
      </c>
      <c r="C2065">
        <v>194</v>
      </c>
      <c r="D2065">
        <v>6</v>
      </c>
    </row>
    <row r="2066" spans="2:4" x14ac:dyDescent="0.25">
      <c r="B2066" t="s">
        <v>1094</v>
      </c>
      <c r="C2066">
        <v>194</v>
      </c>
      <c r="D2066">
        <v>8</v>
      </c>
    </row>
    <row r="2067" spans="2:4" x14ac:dyDescent="0.25">
      <c r="B2067" t="s">
        <v>1094</v>
      </c>
      <c r="C2067">
        <v>194</v>
      </c>
      <c r="D2067">
        <v>13</v>
      </c>
    </row>
    <row r="2068" spans="2:4" x14ac:dyDescent="0.25">
      <c r="B2068" t="s">
        <v>1094</v>
      </c>
      <c r="C2068">
        <v>194</v>
      </c>
      <c r="D2068">
        <v>14</v>
      </c>
    </row>
    <row r="2069" spans="2:4" x14ac:dyDescent="0.25">
      <c r="B2069" t="s">
        <v>1094</v>
      </c>
      <c r="C2069">
        <v>195</v>
      </c>
      <c r="D2069">
        <v>6</v>
      </c>
    </row>
    <row r="2070" spans="2:4" x14ac:dyDescent="0.25">
      <c r="B2070" t="s">
        <v>1094</v>
      </c>
      <c r="C2070">
        <v>195</v>
      </c>
      <c r="D2070">
        <v>8</v>
      </c>
    </row>
    <row r="2071" spans="2:4" x14ac:dyDescent="0.25">
      <c r="B2071" t="s">
        <v>1094</v>
      </c>
      <c r="C2071">
        <v>195</v>
      </c>
      <c r="D2071">
        <v>13</v>
      </c>
    </row>
    <row r="2072" spans="2:4" x14ac:dyDescent="0.25">
      <c r="B2072" t="s">
        <v>1094</v>
      </c>
      <c r="C2072">
        <v>195</v>
      </c>
      <c r="D2072">
        <v>14</v>
      </c>
    </row>
    <row r="2073" spans="2:4" x14ac:dyDescent="0.25">
      <c r="B2073" t="s">
        <v>1094</v>
      </c>
      <c r="C2073">
        <v>196</v>
      </c>
      <c r="D2073">
        <v>6</v>
      </c>
    </row>
    <row r="2074" spans="2:4" x14ac:dyDescent="0.25">
      <c r="B2074" t="s">
        <v>1094</v>
      </c>
      <c r="C2074">
        <v>196</v>
      </c>
      <c r="D2074">
        <v>8</v>
      </c>
    </row>
    <row r="2075" spans="2:4" x14ac:dyDescent="0.25">
      <c r="B2075" t="s">
        <v>1094</v>
      </c>
      <c r="C2075">
        <v>196</v>
      </c>
      <c r="D2075">
        <v>13</v>
      </c>
    </row>
    <row r="2076" spans="2:4" x14ac:dyDescent="0.25">
      <c r="B2076" t="s">
        <v>1094</v>
      </c>
      <c r="C2076">
        <v>196</v>
      </c>
      <c r="D2076">
        <v>14</v>
      </c>
    </row>
    <row r="2077" spans="2:4" x14ac:dyDescent="0.25">
      <c r="B2077" t="s">
        <v>1094</v>
      </c>
      <c r="C2077">
        <v>197</v>
      </c>
      <c r="D2077">
        <v>6</v>
      </c>
    </row>
    <row r="2078" spans="2:4" x14ac:dyDescent="0.25">
      <c r="B2078" t="s">
        <v>1094</v>
      </c>
      <c r="C2078">
        <v>197</v>
      </c>
      <c r="D2078">
        <v>8</v>
      </c>
    </row>
    <row r="2079" spans="2:4" x14ac:dyDescent="0.25">
      <c r="B2079" t="s">
        <v>1094</v>
      </c>
      <c r="C2079">
        <v>197</v>
      </c>
      <c r="D2079">
        <v>13</v>
      </c>
    </row>
    <row r="2080" spans="2:4" x14ac:dyDescent="0.25">
      <c r="B2080" t="s">
        <v>1094</v>
      </c>
      <c r="C2080">
        <v>197</v>
      </c>
      <c r="D2080">
        <v>14</v>
      </c>
    </row>
    <row r="2081" spans="2:4" x14ac:dyDescent="0.25">
      <c r="B2081" t="s">
        <v>1094</v>
      </c>
      <c r="C2081">
        <v>198</v>
      </c>
      <c r="D2081">
        <v>6</v>
      </c>
    </row>
    <row r="2082" spans="2:4" x14ac:dyDescent="0.25">
      <c r="B2082" t="s">
        <v>1094</v>
      </c>
      <c r="C2082">
        <v>198</v>
      </c>
      <c r="D2082">
        <v>8</v>
      </c>
    </row>
    <row r="2083" spans="2:4" x14ac:dyDescent="0.25">
      <c r="B2083" t="s">
        <v>1094</v>
      </c>
      <c r="C2083">
        <v>198</v>
      </c>
      <c r="D2083">
        <v>13</v>
      </c>
    </row>
    <row r="2084" spans="2:4" x14ac:dyDescent="0.25">
      <c r="B2084" t="s">
        <v>1094</v>
      </c>
      <c r="C2084">
        <v>198</v>
      </c>
      <c r="D2084">
        <v>14</v>
      </c>
    </row>
    <row r="2085" spans="2:4" x14ac:dyDescent="0.25">
      <c r="B2085" t="s">
        <v>1094</v>
      </c>
      <c r="C2085">
        <v>199</v>
      </c>
      <c r="D2085">
        <v>6</v>
      </c>
    </row>
    <row r="2086" spans="2:4" x14ac:dyDescent="0.25">
      <c r="B2086" t="s">
        <v>1094</v>
      </c>
      <c r="C2086">
        <v>199</v>
      </c>
      <c r="D2086">
        <v>8</v>
      </c>
    </row>
    <row r="2087" spans="2:4" x14ac:dyDescent="0.25">
      <c r="B2087" t="s">
        <v>1094</v>
      </c>
      <c r="C2087">
        <v>199</v>
      </c>
      <c r="D2087">
        <v>13</v>
      </c>
    </row>
    <row r="2088" spans="2:4" x14ac:dyDescent="0.25">
      <c r="B2088" t="s">
        <v>1094</v>
      </c>
      <c r="C2088">
        <v>199</v>
      </c>
      <c r="D2088">
        <v>14</v>
      </c>
    </row>
    <row r="2089" spans="2:4" x14ac:dyDescent="0.25">
      <c r="B2089" t="s">
        <v>1094</v>
      </c>
      <c r="C2089">
        <v>200</v>
      </c>
      <c r="D2089">
        <v>5</v>
      </c>
    </row>
    <row r="2090" spans="2:4" x14ac:dyDescent="0.25">
      <c r="B2090" t="s">
        <v>1094</v>
      </c>
      <c r="C2090">
        <v>201</v>
      </c>
      <c r="D2090">
        <v>5</v>
      </c>
    </row>
    <row r="2091" spans="2:4" x14ac:dyDescent="0.25">
      <c r="B2091" t="s">
        <v>1094</v>
      </c>
      <c r="C2091">
        <v>202</v>
      </c>
      <c r="D2091">
        <v>6</v>
      </c>
    </row>
    <row r="2092" spans="2:4" x14ac:dyDescent="0.25">
      <c r="B2092" t="s">
        <v>1094</v>
      </c>
      <c r="C2092">
        <v>202</v>
      </c>
      <c r="D2092">
        <v>8</v>
      </c>
    </row>
    <row r="2093" spans="2:4" x14ac:dyDescent="0.25">
      <c r="B2093" t="s">
        <v>1094</v>
      </c>
      <c r="C2093">
        <v>202</v>
      </c>
      <c r="D2093">
        <v>13</v>
      </c>
    </row>
    <row r="2094" spans="2:4" x14ac:dyDescent="0.25">
      <c r="B2094" t="s">
        <v>1094</v>
      </c>
      <c r="C2094">
        <v>202</v>
      </c>
      <c r="D2094">
        <v>14</v>
      </c>
    </row>
    <row r="2095" spans="2:4" x14ac:dyDescent="0.25">
      <c r="B2095" t="s">
        <v>1094</v>
      </c>
      <c r="C2095">
        <v>203</v>
      </c>
      <c r="D2095">
        <v>6</v>
      </c>
    </row>
    <row r="2096" spans="2:4" x14ac:dyDescent="0.25">
      <c r="B2096" t="s">
        <v>1094</v>
      </c>
      <c r="C2096">
        <v>203</v>
      </c>
      <c r="D2096">
        <v>8</v>
      </c>
    </row>
    <row r="2097" spans="2:4" x14ac:dyDescent="0.25">
      <c r="B2097" t="s">
        <v>1094</v>
      </c>
      <c r="C2097">
        <v>203</v>
      </c>
      <c r="D2097">
        <v>13</v>
      </c>
    </row>
    <row r="2098" spans="2:4" x14ac:dyDescent="0.25">
      <c r="B2098" t="s">
        <v>1094</v>
      </c>
      <c r="C2098">
        <v>203</v>
      </c>
      <c r="D2098">
        <v>14</v>
      </c>
    </row>
    <row r="2099" spans="2:4" x14ac:dyDescent="0.25">
      <c r="B2099" t="s">
        <v>1094</v>
      </c>
      <c r="C2099">
        <v>204</v>
      </c>
      <c r="D2099">
        <v>6</v>
      </c>
    </row>
    <row r="2100" spans="2:4" x14ac:dyDescent="0.25">
      <c r="B2100" t="s">
        <v>1094</v>
      </c>
      <c r="C2100">
        <v>204</v>
      </c>
      <c r="D2100">
        <v>8</v>
      </c>
    </row>
    <row r="2101" spans="2:4" x14ac:dyDescent="0.25">
      <c r="B2101" t="s">
        <v>1094</v>
      </c>
      <c r="C2101">
        <v>204</v>
      </c>
      <c r="D2101">
        <v>13</v>
      </c>
    </row>
    <row r="2102" spans="2:4" x14ac:dyDescent="0.25">
      <c r="B2102" t="s">
        <v>1094</v>
      </c>
      <c r="C2102">
        <v>204</v>
      </c>
      <c r="D2102">
        <v>14</v>
      </c>
    </row>
    <row r="2103" spans="2:4" x14ac:dyDescent="0.25">
      <c r="B2103" t="s">
        <v>1094</v>
      </c>
      <c r="C2103">
        <v>205</v>
      </c>
      <c r="D2103">
        <v>6</v>
      </c>
    </row>
    <row r="2104" spans="2:4" x14ac:dyDescent="0.25">
      <c r="B2104" t="s">
        <v>1094</v>
      </c>
      <c r="C2104">
        <v>205</v>
      </c>
      <c r="D2104">
        <v>8</v>
      </c>
    </row>
    <row r="2105" spans="2:4" x14ac:dyDescent="0.25">
      <c r="B2105" t="s">
        <v>1094</v>
      </c>
      <c r="C2105">
        <v>205</v>
      </c>
      <c r="D2105">
        <v>13</v>
      </c>
    </row>
    <row r="2106" spans="2:4" x14ac:dyDescent="0.25">
      <c r="B2106" t="s">
        <v>1094</v>
      </c>
      <c r="C2106">
        <v>205</v>
      </c>
      <c r="D2106">
        <v>14</v>
      </c>
    </row>
    <row r="2107" spans="2:4" x14ac:dyDescent="0.25">
      <c r="B2107" t="s">
        <v>1094</v>
      </c>
      <c r="C2107">
        <v>206</v>
      </c>
      <c r="D2107">
        <v>6</v>
      </c>
    </row>
    <row r="2108" spans="2:4" x14ac:dyDescent="0.25">
      <c r="B2108" t="s">
        <v>1094</v>
      </c>
      <c r="C2108">
        <v>206</v>
      </c>
      <c r="D2108">
        <v>8</v>
      </c>
    </row>
    <row r="2109" spans="2:4" x14ac:dyDescent="0.25">
      <c r="B2109" t="s">
        <v>1094</v>
      </c>
      <c r="C2109">
        <v>206</v>
      </c>
      <c r="D2109">
        <v>13</v>
      </c>
    </row>
    <row r="2110" spans="2:4" x14ac:dyDescent="0.25">
      <c r="B2110" t="s">
        <v>1094</v>
      </c>
      <c r="C2110">
        <v>206</v>
      </c>
      <c r="D2110">
        <v>14</v>
      </c>
    </row>
    <row r="2111" spans="2:4" x14ac:dyDescent="0.25">
      <c r="B2111" t="s">
        <v>1094</v>
      </c>
      <c r="C2111">
        <v>207</v>
      </c>
      <c r="D2111">
        <v>6</v>
      </c>
    </row>
    <row r="2112" spans="2:4" x14ac:dyDescent="0.25">
      <c r="B2112" t="s">
        <v>1094</v>
      </c>
      <c r="C2112">
        <v>207</v>
      </c>
      <c r="D2112">
        <v>8</v>
      </c>
    </row>
    <row r="2113" spans="2:4" x14ac:dyDescent="0.25">
      <c r="B2113" t="s">
        <v>1094</v>
      </c>
      <c r="C2113">
        <v>207</v>
      </c>
      <c r="D2113">
        <v>13</v>
      </c>
    </row>
    <row r="2114" spans="2:4" x14ac:dyDescent="0.25">
      <c r="B2114" t="s">
        <v>1094</v>
      </c>
      <c r="C2114">
        <v>207</v>
      </c>
      <c r="D2114">
        <v>14</v>
      </c>
    </row>
    <row r="2115" spans="2:4" x14ac:dyDescent="0.25">
      <c r="B2115" t="s">
        <v>1094</v>
      </c>
      <c r="C2115">
        <v>208</v>
      </c>
      <c r="D2115">
        <v>6</v>
      </c>
    </row>
    <row r="2116" spans="2:4" x14ac:dyDescent="0.25">
      <c r="B2116" t="s">
        <v>1094</v>
      </c>
      <c r="C2116">
        <v>208</v>
      </c>
      <c r="D2116">
        <v>8</v>
      </c>
    </row>
    <row r="2117" spans="2:4" x14ac:dyDescent="0.25">
      <c r="B2117" t="s">
        <v>1094</v>
      </c>
      <c r="C2117">
        <v>208</v>
      </c>
      <c r="D2117">
        <v>13</v>
      </c>
    </row>
    <row r="2118" spans="2:4" x14ac:dyDescent="0.25">
      <c r="B2118" t="s">
        <v>1094</v>
      </c>
      <c r="C2118">
        <v>208</v>
      </c>
      <c r="D2118">
        <v>14</v>
      </c>
    </row>
    <row r="2119" spans="2:4" x14ac:dyDescent="0.25">
      <c r="B2119" t="s">
        <v>1094</v>
      </c>
      <c r="C2119">
        <v>209</v>
      </c>
      <c r="D2119">
        <v>6</v>
      </c>
    </row>
    <row r="2120" spans="2:4" x14ac:dyDescent="0.25">
      <c r="B2120" t="s">
        <v>1094</v>
      </c>
      <c r="C2120">
        <v>209</v>
      </c>
      <c r="D2120">
        <v>8</v>
      </c>
    </row>
    <row r="2121" spans="2:4" x14ac:dyDescent="0.25">
      <c r="B2121" t="s">
        <v>1094</v>
      </c>
      <c r="C2121">
        <v>209</v>
      </c>
      <c r="D2121">
        <v>13</v>
      </c>
    </row>
    <row r="2122" spans="2:4" x14ac:dyDescent="0.25">
      <c r="B2122" t="s">
        <v>1094</v>
      </c>
      <c r="C2122">
        <v>209</v>
      </c>
      <c r="D2122">
        <v>14</v>
      </c>
    </row>
    <row r="2123" spans="2:4" x14ac:dyDescent="0.25">
      <c r="B2123" t="s">
        <v>1094</v>
      </c>
      <c r="C2123">
        <v>210</v>
      </c>
      <c r="D2123">
        <v>6</v>
      </c>
    </row>
    <row r="2124" spans="2:4" x14ac:dyDescent="0.25">
      <c r="B2124" t="s">
        <v>1094</v>
      </c>
      <c r="C2124">
        <v>210</v>
      </c>
      <c r="D2124">
        <v>8</v>
      </c>
    </row>
    <row r="2125" spans="2:4" x14ac:dyDescent="0.25">
      <c r="B2125" t="s">
        <v>1094</v>
      </c>
      <c r="C2125">
        <v>210</v>
      </c>
      <c r="D2125">
        <v>13</v>
      </c>
    </row>
    <row r="2126" spans="2:4" x14ac:dyDescent="0.25">
      <c r="B2126" t="s">
        <v>1094</v>
      </c>
      <c r="C2126">
        <v>210</v>
      </c>
      <c r="D2126">
        <v>14</v>
      </c>
    </row>
    <row r="2127" spans="2:4" x14ac:dyDescent="0.25">
      <c r="B2127" t="s">
        <v>1094</v>
      </c>
      <c r="C2127">
        <v>211</v>
      </c>
      <c r="D2127">
        <v>5</v>
      </c>
    </row>
    <row r="2128" spans="2:4" x14ac:dyDescent="0.25">
      <c r="B2128" t="s">
        <v>1094</v>
      </c>
      <c r="C2128">
        <v>212</v>
      </c>
      <c r="D2128">
        <v>6</v>
      </c>
    </row>
    <row r="2129" spans="2:4" x14ac:dyDescent="0.25">
      <c r="B2129" t="s">
        <v>1094</v>
      </c>
      <c r="C2129">
        <v>212</v>
      </c>
      <c r="D2129">
        <v>8</v>
      </c>
    </row>
    <row r="2130" spans="2:4" x14ac:dyDescent="0.25">
      <c r="B2130" t="s">
        <v>1094</v>
      </c>
      <c r="C2130">
        <v>212</v>
      </c>
      <c r="D2130">
        <v>13</v>
      </c>
    </row>
    <row r="2131" spans="2:4" x14ac:dyDescent="0.25">
      <c r="B2131" t="s">
        <v>1094</v>
      </c>
      <c r="C2131">
        <v>212</v>
      </c>
      <c r="D2131">
        <v>14</v>
      </c>
    </row>
    <row r="2132" spans="2:4" x14ac:dyDescent="0.25">
      <c r="B2132" t="s">
        <v>1094</v>
      </c>
      <c r="C2132">
        <v>213</v>
      </c>
      <c r="D2132">
        <v>6</v>
      </c>
    </row>
    <row r="2133" spans="2:4" x14ac:dyDescent="0.25">
      <c r="B2133" t="s">
        <v>1094</v>
      </c>
      <c r="C2133">
        <v>213</v>
      </c>
      <c r="D2133">
        <v>8</v>
      </c>
    </row>
    <row r="2134" spans="2:4" x14ac:dyDescent="0.25">
      <c r="B2134" t="s">
        <v>1094</v>
      </c>
      <c r="C2134">
        <v>213</v>
      </c>
      <c r="D2134">
        <v>13</v>
      </c>
    </row>
    <row r="2135" spans="2:4" x14ac:dyDescent="0.25">
      <c r="B2135" t="s">
        <v>1094</v>
      </c>
      <c r="C2135">
        <v>213</v>
      </c>
      <c r="D2135">
        <v>14</v>
      </c>
    </row>
    <row r="2136" spans="2:4" x14ac:dyDescent="0.25">
      <c r="B2136" t="s">
        <v>1094</v>
      </c>
      <c r="C2136">
        <v>214</v>
      </c>
      <c r="D2136">
        <v>6</v>
      </c>
    </row>
    <row r="2137" spans="2:4" x14ac:dyDescent="0.25">
      <c r="B2137" t="s">
        <v>1094</v>
      </c>
      <c r="C2137">
        <v>214</v>
      </c>
      <c r="D2137">
        <v>8</v>
      </c>
    </row>
    <row r="2138" spans="2:4" x14ac:dyDescent="0.25">
      <c r="B2138" t="s">
        <v>1094</v>
      </c>
      <c r="C2138">
        <v>214</v>
      </c>
      <c r="D2138">
        <v>13</v>
      </c>
    </row>
    <row r="2139" spans="2:4" x14ac:dyDescent="0.25">
      <c r="B2139" t="s">
        <v>1094</v>
      </c>
      <c r="C2139">
        <v>214</v>
      </c>
      <c r="D2139">
        <v>14</v>
      </c>
    </row>
    <row r="2140" spans="2:4" x14ac:dyDescent="0.25">
      <c r="B2140" t="s">
        <v>1094</v>
      </c>
      <c r="C2140">
        <v>215</v>
      </c>
      <c r="D2140">
        <v>6</v>
      </c>
    </row>
    <row r="2141" spans="2:4" x14ac:dyDescent="0.25">
      <c r="B2141" t="s">
        <v>1094</v>
      </c>
      <c r="C2141">
        <v>215</v>
      </c>
      <c r="D2141">
        <v>8</v>
      </c>
    </row>
    <row r="2142" spans="2:4" x14ac:dyDescent="0.25">
      <c r="B2142" t="s">
        <v>1094</v>
      </c>
      <c r="C2142">
        <v>215</v>
      </c>
      <c r="D2142">
        <v>13</v>
      </c>
    </row>
    <row r="2143" spans="2:4" x14ac:dyDescent="0.25">
      <c r="B2143" t="s">
        <v>1094</v>
      </c>
      <c r="C2143">
        <v>215</v>
      </c>
      <c r="D2143">
        <v>14</v>
      </c>
    </row>
    <row r="2144" spans="2:4" x14ac:dyDescent="0.25">
      <c r="B2144" t="s">
        <v>1094</v>
      </c>
      <c r="C2144">
        <v>216</v>
      </c>
      <c r="D2144">
        <v>6</v>
      </c>
    </row>
    <row r="2145" spans="2:4" x14ac:dyDescent="0.25">
      <c r="B2145" t="s">
        <v>1094</v>
      </c>
      <c r="C2145">
        <v>216</v>
      </c>
      <c r="D2145">
        <v>8</v>
      </c>
    </row>
    <row r="2146" spans="2:4" x14ac:dyDescent="0.25">
      <c r="B2146" t="s">
        <v>1094</v>
      </c>
      <c r="C2146">
        <v>216</v>
      </c>
      <c r="D2146">
        <v>13</v>
      </c>
    </row>
    <row r="2147" spans="2:4" x14ac:dyDescent="0.25">
      <c r="B2147" t="s">
        <v>1094</v>
      </c>
      <c r="C2147">
        <v>216</v>
      </c>
      <c r="D2147">
        <v>14</v>
      </c>
    </row>
    <row r="2148" spans="2:4" x14ac:dyDescent="0.25">
      <c r="B2148" t="s">
        <v>1094</v>
      </c>
      <c r="C2148">
        <v>217</v>
      </c>
      <c r="D2148">
        <v>6</v>
      </c>
    </row>
    <row r="2149" spans="2:4" x14ac:dyDescent="0.25">
      <c r="B2149" t="s">
        <v>1094</v>
      </c>
      <c r="C2149">
        <v>217</v>
      </c>
      <c r="D2149">
        <v>8</v>
      </c>
    </row>
    <row r="2150" spans="2:4" x14ac:dyDescent="0.25">
      <c r="B2150" t="s">
        <v>1094</v>
      </c>
      <c r="C2150">
        <v>217</v>
      </c>
      <c r="D2150">
        <v>13</v>
      </c>
    </row>
    <row r="2151" spans="2:4" x14ac:dyDescent="0.25">
      <c r="B2151" t="s">
        <v>1094</v>
      </c>
      <c r="C2151">
        <v>217</v>
      </c>
      <c r="D2151">
        <v>14</v>
      </c>
    </row>
    <row r="2152" spans="2:4" x14ac:dyDescent="0.25">
      <c r="B2152" t="s">
        <v>1094</v>
      </c>
      <c r="C2152">
        <v>218</v>
      </c>
      <c r="D2152">
        <v>6</v>
      </c>
    </row>
    <row r="2153" spans="2:4" x14ac:dyDescent="0.25">
      <c r="B2153" t="s">
        <v>1094</v>
      </c>
      <c r="C2153">
        <v>218</v>
      </c>
      <c r="D2153">
        <v>8</v>
      </c>
    </row>
    <row r="2154" spans="2:4" x14ac:dyDescent="0.25">
      <c r="B2154" t="s">
        <v>1094</v>
      </c>
      <c r="C2154">
        <v>218</v>
      </c>
      <c r="D2154">
        <v>13</v>
      </c>
    </row>
    <row r="2155" spans="2:4" x14ac:dyDescent="0.25">
      <c r="B2155" t="s">
        <v>1094</v>
      </c>
      <c r="C2155">
        <v>218</v>
      </c>
      <c r="D2155">
        <v>14</v>
      </c>
    </row>
    <row r="2156" spans="2:4" x14ac:dyDescent="0.25">
      <c r="B2156" t="s">
        <v>1094</v>
      </c>
      <c r="C2156">
        <v>219</v>
      </c>
      <c r="D2156">
        <v>6</v>
      </c>
    </row>
    <row r="2157" spans="2:4" x14ac:dyDescent="0.25">
      <c r="B2157" t="s">
        <v>1094</v>
      </c>
      <c r="C2157">
        <v>219</v>
      </c>
      <c r="D2157">
        <v>8</v>
      </c>
    </row>
    <row r="2158" spans="2:4" x14ac:dyDescent="0.25">
      <c r="B2158" t="s">
        <v>1094</v>
      </c>
      <c r="C2158">
        <v>219</v>
      </c>
      <c r="D2158">
        <v>13</v>
      </c>
    </row>
    <row r="2159" spans="2:4" x14ac:dyDescent="0.25">
      <c r="B2159" t="s">
        <v>1094</v>
      </c>
      <c r="C2159">
        <v>219</v>
      </c>
      <c r="D2159">
        <v>14</v>
      </c>
    </row>
    <row r="2160" spans="2:4" x14ac:dyDescent="0.25">
      <c r="B2160" t="s">
        <v>1094</v>
      </c>
      <c r="C2160">
        <v>220</v>
      </c>
      <c r="D2160">
        <v>6</v>
      </c>
    </row>
    <row r="2161" spans="2:4" x14ac:dyDescent="0.25">
      <c r="B2161" t="s">
        <v>1094</v>
      </c>
      <c r="C2161">
        <v>220</v>
      </c>
      <c r="D2161">
        <v>8</v>
      </c>
    </row>
    <row r="2162" spans="2:4" x14ac:dyDescent="0.25">
      <c r="B2162" t="s">
        <v>1094</v>
      </c>
      <c r="C2162">
        <v>220</v>
      </c>
      <c r="D2162">
        <v>13</v>
      </c>
    </row>
    <row r="2163" spans="2:4" x14ac:dyDescent="0.25">
      <c r="B2163" t="s">
        <v>1094</v>
      </c>
      <c r="C2163">
        <v>220</v>
      </c>
      <c r="D2163">
        <v>14</v>
      </c>
    </row>
    <row r="2164" spans="2:4" x14ac:dyDescent="0.25">
      <c r="B2164" t="s">
        <v>1094</v>
      </c>
      <c r="C2164">
        <v>221</v>
      </c>
      <c r="D2164">
        <v>6</v>
      </c>
    </row>
    <row r="2165" spans="2:4" x14ac:dyDescent="0.25">
      <c r="B2165" t="s">
        <v>1094</v>
      </c>
      <c r="C2165">
        <v>221</v>
      </c>
      <c r="D2165">
        <v>8</v>
      </c>
    </row>
    <row r="2166" spans="2:4" x14ac:dyDescent="0.25">
      <c r="B2166" t="s">
        <v>1094</v>
      </c>
      <c r="C2166">
        <v>221</v>
      </c>
      <c r="D2166">
        <v>13</v>
      </c>
    </row>
    <row r="2167" spans="2:4" x14ac:dyDescent="0.25">
      <c r="B2167" t="s">
        <v>1094</v>
      </c>
      <c r="C2167">
        <v>221</v>
      </c>
      <c r="D2167">
        <v>14</v>
      </c>
    </row>
    <row r="2168" spans="2:4" x14ac:dyDescent="0.25">
      <c r="B2168" t="s">
        <v>1094</v>
      </c>
      <c r="C2168">
        <v>222</v>
      </c>
      <c r="D2168">
        <v>5</v>
      </c>
    </row>
    <row r="2169" spans="2:4" x14ac:dyDescent="0.25">
      <c r="B2169" t="s">
        <v>1094</v>
      </c>
      <c r="C2169">
        <v>223</v>
      </c>
      <c r="D2169">
        <v>6</v>
      </c>
    </row>
    <row r="2170" spans="2:4" x14ac:dyDescent="0.25">
      <c r="B2170" t="s">
        <v>1094</v>
      </c>
      <c r="C2170">
        <v>223</v>
      </c>
      <c r="D2170">
        <v>8</v>
      </c>
    </row>
    <row r="2171" spans="2:4" x14ac:dyDescent="0.25">
      <c r="B2171" t="s">
        <v>1094</v>
      </c>
      <c r="C2171">
        <v>223</v>
      </c>
      <c r="D2171">
        <v>13</v>
      </c>
    </row>
    <row r="2172" spans="2:4" x14ac:dyDescent="0.25">
      <c r="B2172" t="s">
        <v>1094</v>
      </c>
      <c r="C2172">
        <v>223</v>
      </c>
      <c r="D2172">
        <v>14</v>
      </c>
    </row>
    <row r="2173" spans="2:4" x14ac:dyDescent="0.25">
      <c r="B2173" t="s">
        <v>1094</v>
      </c>
      <c r="C2173">
        <v>224</v>
      </c>
      <c r="D2173">
        <v>6</v>
      </c>
    </row>
    <row r="2174" spans="2:4" x14ac:dyDescent="0.25">
      <c r="B2174" t="s">
        <v>1094</v>
      </c>
      <c r="C2174">
        <v>224</v>
      </c>
      <c r="D2174">
        <v>8</v>
      </c>
    </row>
    <row r="2175" spans="2:4" x14ac:dyDescent="0.25">
      <c r="B2175" t="s">
        <v>1094</v>
      </c>
      <c r="C2175">
        <v>224</v>
      </c>
      <c r="D2175">
        <v>13</v>
      </c>
    </row>
    <row r="2176" spans="2:4" x14ac:dyDescent="0.25">
      <c r="B2176" t="s">
        <v>1094</v>
      </c>
      <c r="C2176">
        <v>224</v>
      </c>
      <c r="D2176">
        <v>14</v>
      </c>
    </row>
    <row r="2177" spans="2:4" x14ac:dyDescent="0.25">
      <c r="B2177" t="s">
        <v>1094</v>
      </c>
      <c r="C2177">
        <v>225</v>
      </c>
      <c r="D2177">
        <v>6</v>
      </c>
    </row>
    <row r="2178" spans="2:4" x14ac:dyDescent="0.25">
      <c r="B2178" t="s">
        <v>1094</v>
      </c>
      <c r="C2178">
        <v>225</v>
      </c>
      <c r="D2178">
        <v>8</v>
      </c>
    </row>
    <row r="2179" spans="2:4" x14ac:dyDescent="0.25">
      <c r="B2179" t="s">
        <v>1094</v>
      </c>
      <c r="C2179">
        <v>225</v>
      </c>
      <c r="D2179">
        <v>13</v>
      </c>
    </row>
    <row r="2180" spans="2:4" x14ac:dyDescent="0.25">
      <c r="B2180" t="s">
        <v>1094</v>
      </c>
      <c r="C2180">
        <v>225</v>
      </c>
      <c r="D2180">
        <v>14</v>
      </c>
    </row>
    <row r="2181" spans="2:4" x14ac:dyDescent="0.25">
      <c r="B2181" t="s">
        <v>1094</v>
      </c>
      <c r="C2181">
        <v>226</v>
      </c>
      <c r="D2181">
        <v>6</v>
      </c>
    </row>
    <row r="2182" spans="2:4" x14ac:dyDescent="0.25">
      <c r="B2182" t="s">
        <v>1094</v>
      </c>
      <c r="C2182">
        <v>226</v>
      </c>
      <c r="D2182">
        <v>8</v>
      </c>
    </row>
    <row r="2183" spans="2:4" x14ac:dyDescent="0.25">
      <c r="B2183" t="s">
        <v>1094</v>
      </c>
      <c r="C2183">
        <v>226</v>
      </c>
      <c r="D2183">
        <v>13</v>
      </c>
    </row>
    <row r="2184" spans="2:4" x14ac:dyDescent="0.25">
      <c r="B2184" t="s">
        <v>1094</v>
      </c>
      <c r="C2184">
        <v>226</v>
      </c>
      <c r="D2184">
        <v>14</v>
      </c>
    </row>
    <row r="2185" spans="2:4" x14ac:dyDescent="0.25">
      <c r="B2185" t="s">
        <v>1094</v>
      </c>
      <c r="C2185">
        <v>227</v>
      </c>
      <c r="D2185">
        <v>5</v>
      </c>
    </row>
    <row r="2186" spans="2:4" x14ac:dyDescent="0.25">
      <c r="B2186" t="s">
        <v>1094</v>
      </c>
      <c r="C2186">
        <v>228</v>
      </c>
      <c r="D2186">
        <v>6</v>
      </c>
    </row>
    <row r="2187" spans="2:4" x14ac:dyDescent="0.25">
      <c r="B2187" t="s">
        <v>1094</v>
      </c>
      <c r="C2187">
        <v>228</v>
      </c>
      <c r="D2187">
        <v>8</v>
      </c>
    </row>
    <row r="2188" spans="2:4" x14ac:dyDescent="0.25">
      <c r="B2188" t="s">
        <v>1094</v>
      </c>
      <c r="C2188">
        <v>228</v>
      </c>
      <c r="D2188">
        <v>13</v>
      </c>
    </row>
    <row r="2189" spans="2:4" x14ac:dyDescent="0.25">
      <c r="B2189" t="s">
        <v>1094</v>
      </c>
      <c r="C2189">
        <v>228</v>
      </c>
      <c r="D2189">
        <v>14</v>
      </c>
    </row>
    <row r="2190" spans="2:4" x14ac:dyDescent="0.25">
      <c r="B2190" t="s">
        <v>1094</v>
      </c>
      <c r="C2190">
        <v>229</v>
      </c>
      <c r="D2190">
        <v>6</v>
      </c>
    </row>
    <row r="2191" spans="2:4" x14ac:dyDescent="0.25">
      <c r="B2191" t="s">
        <v>1094</v>
      </c>
      <c r="C2191">
        <v>229</v>
      </c>
      <c r="D2191">
        <v>8</v>
      </c>
    </row>
    <row r="2192" spans="2:4" x14ac:dyDescent="0.25">
      <c r="B2192" t="s">
        <v>1094</v>
      </c>
      <c r="C2192">
        <v>229</v>
      </c>
      <c r="D2192">
        <v>13</v>
      </c>
    </row>
    <row r="2193" spans="2:4" x14ac:dyDescent="0.25">
      <c r="B2193" t="s">
        <v>1094</v>
      </c>
      <c r="C2193">
        <v>229</v>
      </c>
      <c r="D2193">
        <v>14</v>
      </c>
    </row>
    <row r="2194" spans="2:4" x14ac:dyDescent="0.25">
      <c r="B2194" t="s">
        <v>1094</v>
      </c>
      <c r="C2194">
        <v>230</v>
      </c>
      <c r="D2194">
        <v>6</v>
      </c>
    </row>
    <row r="2195" spans="2:4" x14ac:dyDescent="0.25">
      <c r="B2195" t="s">
        <v>1094</v>
      </c>
      <c r="C2195">
        <v>230</v>
      </c>
      <c r="D2195">
        <v>8</v>
      </c>
    </row>
    <row r="2196" spans="2:4" x14ac:dyDescent="0.25">
      <c r="B2196" t="s">
        <v>1094</v>
      </c>
      <c r="C2196">
        <v>230</v>
      </c>
      <c r="D2196">
        <v>13</v>
      </c>
    </row>
    <row r="2197" spans="2:4" x14ac:dyDescent="0.25">
      <c r="B2197" t="s">
        <v>1094</v>
      </c>
      <c r="C2197">
        <v>230</v>
      </c>
      <c r="D2197">
        <v>14</v>
      </c>
    </row>
    <row r="2198" spans="2:4" x14ac:dyDescent="0.25">
      <c r="B2198" t="s">
        <v>1094</v>
      </c>
      <c r="C2198">
        <v>231</v>
      </c>
      <c r="D2198">
        <v>6</v>
      </c>
    </row>
    <row r="2199" spans="2:4" x14ac:dyDescent="0.25">
      <c r="B2199" t="s">
        <v>1094</v>
      </c>
      <c r="C2199">
        <v>231</v>
      </c>
      <c r="D2199">
        <v>8</v>
      </c>
    </row>
    <row r="2200" spans="2:4" x14ac:dyDescent="0.25">
      <c r="B2200" t="s">
        <v>1094</v>
      </c>
      <c r="C2200">
        <v>231</v>
      </c>
      <c r="D2200">
        <v>13</v>
      </c>
    </row>
    <row r="2201" spans="2:4" x14ac:dyDescent="0.25">
      <c r="B2201" t="s">
        <v>1094</v>
      </c>
      <c r="C2201">
        <v>231</v>
      </c>
      <c r="D2201">
        <v>14</v>
      </c>
    </row>
    <row r="2202" spans="2:4" x14ac:dyDescent="0.25">
      <c r="B2202" t="s">
        <v>1094</v>
      </c>
      <c r="C2202">
        <v>232</v>
      </c>
      <c r="D2202">
        <v>5</v>
      </c>
    </row>
    <row r="2203" spans="2:4" x14ac:dyDescent="0.25">
      <c r="B2203" t="s">
        <v>1094</v>
      </c>
      <c r="C2203">
        <v>233</v>
      </c>
      <c r="D2203">
        <v>6</v>
      </c>
    </row>
    <row r="2204" spans="2:4" x14ac:dyDescent="0.25">
      <c r="B2204" t="s">
        <v>1094</v>
      </c>
      <c r="C2204">
        <v>233</v>
      </c>
      <c r="D2204">
        <v>8</v>
      </c>
    </row>
    <row r="2205" spans="2:4" x14ac:dyDescent="0.25">
      <c r="B2205" t="s">
        <v>1094</v>
      </c>
      <c r="C2205">
        <v>233</v>
      </c>
      <c r="D2205">
        <v>13</v>
      </c>
    </row>
    <row r="2206" spans="2:4" x14ac:dyDescent="0.25">
      <c r="B2206" t="s">
        <v>1094</v>
      </c>
      <c r="C2206">
        <v>233</v>
      </c>
      <c r="D2206">
        <v>14</v>
      </c>
    </row>
    <row r="2207" spans="2:4" x14ac:dyDescent="0.25">
      <c r="B2207" t="s">
        <v>1094</v>
      </c>
      <c r="C2207">
        <v>234</v>
      </c>
      <c r="D2207">
        <v>6</v>
      </c>
    </row>
    <row r="2208" spans="2:4" x14ac:dyDescent="0.25">
      <c r="B2208" t="s">
        <v>1094</v>
      </c>
      <c r="C2208">
        <v>234</v>
      </c>
      <c r="D2208">
        <v>8</v>
      </c>
    </row>
    <row r="2209" spans="2:4" x14ac:dyDescent="0.25">
      <c r="B2209" t="s">
        <v>1094</v>
      </c>
      <c r="C2209">
        <v>234</v>
      </c>
      <c r="D2209">
        <v>13</v>
      </c>
    </row>
    <row r="2210" spans="2:4" x14ac:dyDescent="0.25">
      <c r="B2210" t="s">
        <v>1094</v>
      </c>
      <c r="C2210">
        <v>234</v>
      </c>
      <c r="D2210">
        <v>14</v>
      </c>
    </row>
    <row r="2211" spans="2:4" x14ac:dyDescent="0.25">
      <c r="B2211" t="s">
        <v>1094</v>
      </c>
      <c r="C2211">
        <v>235</v>
      </c>
      <c r="D2211">
        <v>6</v>
      </c>
    </row>
    <row r="2212" spans="2:4" x14ac:dyDescent="0.25">
      <c r="B2212" t="s">
        <v>1094</v>
      </c>
      <c r="C2212">
        <v>235</v>
      </c>
      <c r="D2212">
        <v>8</v>
      </c>
    </row>
    <row r="2213" spans="2:4" x14ac:dyDescent="0.25">
      <c r="B2213" t="s">
        <v>1094</v>
      </c>
      <c r="C2213">
        <v>235</v>
      </c>
      <c r="D2213">
        <v>13</v>
      </c>
    </row>
    <row r="2214" spans="2:4" x14ac:dyDescent="0.25">
      <c r="B2214" t="s">
        <v>1094</v>
      </c>
      <c r="C2214">
        <v>235</v>
      </c>
      <c r="D2214">
        <v>14</v>
      </c>
    </row>
    <row r="2215" spans="2:4" x14ac:dyDescent="0.25">
      <c r="B2215" t="s">
        <v>1094</v>
      </c>
      <c r="C2215">
        <v>236</v>
      </c>
      <c r="D2215">
        <v>6</v>
      </c>
    </row>
    <row r="2216" spans="2:4" x14ac:dyDescent="0.25">
      <c r="B2216" t="s">
        <v>1094</v>
      </c>
      <c r="C2216">
        <v>236</v>
      </c>
      <c r="D2216">
        <v>8</v>
      </c>
    </row>
    <row r="2217" spans="2:4" x14ac:dyDescent="0.25">
      <c r="B2217" t="s">
        <v>1094</v>
      </c>
      <c r="C2217">
        <v>236</v>
      </c>
      <c r="D2217">
        <v>13</v>
      </c>
    </row>
    <row r="2218" spans="2:4" x14ac:dyDescent="0.25">
      <c r="B2218" t="s">
        <v>1094</v>
      </c>
      <c r="C2218">
        <v>236</v>
      </c>
      <c r="D2218">
        <v>14</v>
      </c>
    </row>
    <row r="2219" spans="2:4" x14ac:dyDescent="0.25">
      <c r="B2219" t="s">
        <v>1094</v>
      </c>
      <c r="C2219">
        <v>237</v>
      </c>
      <c r="D2219">
        <v>6</v>
      </c>
    </row>
    <row r="2220" spans="2:4" x14ac:dyDescent="0.25">
      <c r="B2220" t="s">
        <v>1094</v>
      </c>
      <c r="C2220">
        <v>237</v>
      </c>
      <c r="D2220">
        <v>8</v>
      </c>
    </row>
    <row r="2221" spans="2:4" x14ac:dyDescent="0.25">
      <c r="B2221" t="s">
        <v>1094</v>
      </c>
      <c r="C2221">
        <v>237</v>
      </c>
      <c r="D2221">
        <v>13</v>
      </c>
    </row>
    <row r="2222" spans="2:4" x14ac:dyDescent="0.25">
      <c r="B2222" t="s">
        <v>1094</v>
      </c>
      <c r="C2222">
        <v>237</v>
      </c>
      <c r="D2222">
        <v>14</v>
      </c>
    </row>
    <row r="2223" spans="2:4" x14ac:dyDescent="0.25">
      <c r="B2223" t="s">
        <v>1094</v>
      </c>
      <c r="C2223">
        <v>238</v>
      </c>
      <c r="D2223">
        <v>6</v>
      </c>
    </row>
    <row r="2224" spans="2:4" x14ac:dyDescent="0.25">
      <c r="B2224" t="s">
        <v>1094</v>
      </c>
      <c r="C2224">
        <v>238</v>
      </c>
      <c r="D2224">
        <v>8</v>
      </c>
    </row>
    <row r="2225" spans="2:4" x14ac:dyDescent="0.25">
      <c r="B2225" t="s">
        <v>1094</v>
      </c>
      <c r="C2225">
        <v>238</v>
      </c>
      <c r="D2225">
        <v>13</v>
      </c>
    </row>
    <row r="2226" spans="2:4" x14ac:dyDescent="0.25">
      <c r="B2226" t="s">
        <v>1094</v>
      </c>
      <c r="C2226">
        <v>238</v>
      </c>
      <c r="D2226">
        <v>14</v>
      </c>
    </row>
    <row r="2227" spans="2:4" x14ac:dyDescent="0.25">
      <c r="B2227" t="s">
        <v>1094</v>
      </c>
      <c r="C2227">
        <v>239</v>
      </c>
      <c r="D2227">
        <v>6</v>
      </c>
    </row>
    <row r="2228" spans="2:4" x14ac:dyDescent="0.25">
      <c r="B2228" t="s">
        <v>1094</v>
      </c>
      <c r="C2228">
        <v>239</v>
      </c>
      <c r="D2228">
        <v>8</v>
      </c>
    </row>
    <row r="2229" spans="2:4" x14ac:dyDescent="0.25">
      <c r="B2229" t="s">
        <v>1094</v>
      </c>
      <c r="C2229">
        <v>239</v>
      </c>
      <c r="D2229">
        <v>13</v>
      </c>
    </row>
    <row r="2230" spans="2:4" x14ac:dyDescent="0.25">
      <c r="B2230" t="s">
        <v>1094</v>
      </c>
      <c r="C2230">
        <v>239</v>
      </c>
      <c r="D2230">
        <v>14</v>
      </c>
    </row>
    <row r="2231" spans="2:4" x14ac:dyDescent="0.25">
      <c r="B2231" t="s">
        <v>1094</v>
      </c>
      <c r="C2231">
        <v>240</v>
      </c>
      <c r="D2231">
        <v>6</v>
      </c>
    </row>
    <row r="2232" spans="2:4" x14ac:dyDescent="0.25">
      <c r="B2232" t="s">
        <v>1094</v>
      </c>
      <c r="C2232">
        <v>240</v>
      </c>
      <c r="D2232">
        <v>8</v>
      </c>
    </row>
    <row r="2233" spans="2:4" x14ac:dyDescent="0.25">
      <c r="B2233" t="s">
        <v>1094</v>
      </c>
      <c r="C2233">
        <v>240</v>
      </c>
      <c r="D2233">
        <v>13</v>
      </c>
    </row>
    <row r="2234" spans="2:4" x14ac:dyDescent="0.25">
      <c r="B2234" t="s">
        <v>1094</v>
      </c>
      <c r="C2234">
        <v>240</v>
      </c>
      <c r="D2234">
        <v>14</v>
      </c>
    </row>
    <row r="2235" spans="2:4" x14ac:dyDescent="0.25">
      <c r="B2235" t="s">
        <v>1094</v>
      </c>
      <c r="C2235">
        <v>241</v>
      </c>
      <c r="D2235">
        <v>6</v>
      </c>
    </row>
    <row r="2236" spans="2:4" x14ac:dyDescent="0.25">
      <c r="B2236" t="s">
        <v>1094</v>
      </c>
      <c r="C2236">
        <v>241</v>
      </c>
      <c r="D2236">
        <v>8</v>
      </c>
    </row>
    <row r="2237" spans="2:4" x14ac:dyDescent="0.25">
      <c r="B2237" t="s">
        <v>1094</v>
      </c>
      <c r="C2237">
        <v>241</v>
      </c>
      <c r="D2237">
        <v>13</v>
      </c>
    </row>
    <row r="2238" spans="2:4" x14ac:dyDescent="0.25">
      <c r="B2238" t="s">
        <v>1094</v>
      </c>
      <c r="C2238">
        <v>241</v>
      </c>
      <c r="D2238">
        <v>14</v>
      </c>
    </row>
    <row r="2239" spans="2:4" x14ac:dyDescent="0.25">
      <c r="B2239" t="s">
        <v>1094</v>
      </c>
      <c r="C2239">
        <v>242</v>
      </c>
      <c r="D2239">
        <v>5</v>
      </c>
    </row>
    <row r="2240" spans="2:4" x14ac:dyDescent="0.25">
      <c r="B2240" t="s">
        <v>1094</v>
      </c>
      <c r="C2240">
        <v>243</v>
      </c>
      <c r="D2240">
        <v>6</v>
      </c>
    </row>
    <row r="2241" spans="2:4" x14ac:dyDescent="0.25">
      <c r="B2241" t="s">
        <v>1094</v>
      </c>
      <c r="C2241">
        <v>243</v>
      </c>
      <c r="D2241">
        <v>8</v>
      </c>
    </row>
    <row r="2242" spans="2:4" x14ac:dyDescent="0.25">
      <c r="B2242" t="s">
        <v>1094</v>
      </c>
      <c r="C2242">
        <v>243</v>
      </c>
      <c r="D2242">
        <v>13</v>
      </c>
    </row>
    <row r="2243" spans="2:4" x14ac:dyDescent="0.25">
      <c r="B2243" t="s">
        <v>1094</v>
      </c>
      <c r="C2243">
        <v>243</v>
      </c>
      <c r="D2243">
        <v>14</v>
      </c>
    </row>
    <row r="2244" spans="2:4" x14ac:dyDescent="0.25">
      <c r="B2244" t="s">
        <v>1094</v>
      </c>
      <c r="C2244">
        <v>244</v>
      </c>
      <c r="D2244">
        <v>5</v>
      </c>
    </row>
    <row r="2245" spans="2:4" x14ac:dyDescent="0.25">
      <c r="B2245" t="s">
        <v>1094</v>
      </c>
      <c r="C2245">
        <v>245</v>
      </c>
      <c r="D2245">
        <v>6</v>
      </c>
    </row>
    <row r="2246" spans="2:4" x14ac:dyDescent="0.25">
      <c r="B2246" t="s">
        <v>1094</v>
      </c>
      <c r="C2246">
        <v>245</v>
      </c>
      <c r="D2246">
        <v>8</v>
      </c>
    </row>
    <row r="2247" spans="2:4" x14ac:dyDescent="0.25">
      <c r="B2247" t="s">
        <v>1094</v>
      </c>
      <c r="C2247">
        <v>245</v>
      </c>
      <c r="D2247">
        <v>13</v>
      </c>
    </row>
    <row r="2248" spans="2:4" x14ac:dyDescent="0.25">
      <c r="B2248" t="s">
        <v>1094</v>
      </c>
      <c r="C2248">
        <v>245</v>
      </c>
      <c r="D2248">
        <v>14</v>
      </c>
    </row>
    <row r="2249" spans="2:4" x14ac:dyDescent="0.25">
      <c r="B2249" t="s">
        <v>1097</v>
      </c>
      <c r="C2249">
        <v>6</v>
      </c>
      <c r="D2249">
        <v>6</v>
      </c>
    </row>
    <row r="2250" spans="2:4" x14ac:dyDescent="0.25">
      <c r="B2250" t="s">
        <v>1097</v>
      </c>
      <c r="C2250">
        <v>6</v>
      </c>
      <c r="D2250">
        <v>8</v>
      </c>
    </row>
    <row r="2251" spans="2:4" x14ac:dyDescent="0.25">
      <c r="B2251" t="s">
        <v>1097</v>
      </c>
      <c r="C2251">
        <v>6</v>
      </c>
      <c r="D2251">
        <v>13</v>
      </c>
    </row>
    <row r="2252" spans="2:4" x14ac:dyDescent="0.25">
      <c r="B2252" t="s">
        <v>1097</v>
      </c>
      <c r="C2252">
        <v>6</v>
      </c>
      <c r="D2252">
        <v>14</v>
      </c>
    </row>
    <row r="2253" spans="2:4" x14ac:dyDescent="0.25">
      <c r="B2253" t="s">
        <v>1097</v>
      </c>
      <c r="C2253">
        <v>8</v>
      </c>
      <c r="D2253">
        <v>6</v>
      </c>
    </row>
    <row r="2254" spans="2:4" x14ac:dyDescent="0.25">
      <c r="B2254" t="s">
        <v>1097</v>
      </c>
      <c r="C2254">
        <v>8</v>
      </c>
      <c r="D2254">
        <v>8</v>
      </c>
    </row>
    <row r="2255" spans="2:4" x14ac:dyDescent="0.25">
      <c r="B2255" t="s">
        <v>1097</v>
      </c>
      <c r="C2255">
        <v>8</v>
      </c>
      <c r="D2255">
        <v>13</v>
      </c>
    </row>
    <row r="2256" spans="2:4" x14ac:dyDescent="0.25">
      <c r="B2256" t="s">
        <v>1097</v>
      </c>
      <c r="C2256">
        <v>8</v>
      </c>
      <c r="D2256">
        <v>14</v>
      </c>
    </row>
    <row r="2257" spans="2:4" x14ac:dyDescent="0.25">
      <c r="B2257" t="s">
        <v>1097</v>
      </c>
      <c r="C2257">
        <v>9</v>
      </c>
      <c r="D2257">
        <v>6</v>
      </c>
    </row>
    <row r="2258" spans="2:4" x14ac:dyDescent="0.25">
      <c r="B2258" t="s">
        <v>1097</v>
      </c>
      <c r="C2258">
        <v>9</v>
      </c>
      <c r="D2258">
        <v>8</v>
      </c>
    </row>
    <row r="2259" spans="2:4" x14ac:dyDescent="0.25">
      <c r="B2259" t="s">
        <v>1097</v>
      </c>
      <c r="C2259">
        <v>9</v>
      </c>
      <c r="D2259">
        <v>13</v>
      </c>
    </row>
    <row r="2260" spans="2:4" x14ac:dyDescent="0.25">
      <c r="B2260" t="s">
        <v>1097</v>
      </c>
      <c r="C2260">
        <v>9</v>
      </c>
      <c r="D2260">
        <v>14</v>
      </c>
    </row>
    <row r="2261" spans="2:4" x14ac:dyDescent="0.25">
      <c r="B2261" t="s">
        <v>1097</v>
      </c>
      <c r="C2261">
        <v>10</v>
      </c>
      <c r="D2261">
        <v>6</v>
      </c>
    </row>
    <row r="2262" spans="2:4" x14ac:dyDescent="0.25">
      <c r="B2262" t="s">
        <v>1097</v>
      </c>
      <c r="C2262">
        <v>10</v>
      </c>
      <c r="D2262">
        <v>8</v>
      </c>
    </row>
    <row r="2263" spans="2:4" x14ac:dyDescent="0.25">
      <c r="B2263" t="s">
        <v>1097</v>
      </c>
      <c r="C2263">
        <v>10</v>
      </c>
      <c r="D2263">
        <v>13</v>
      </c>
    </row>
    <row r="2264" spans="2:4" x14ac:dyDescent="0.25">
      <c r="B2264" t="s">
        <v>1097</v>
      </c>
      <c r="C2264">
        <v>10</v>
      </c>
      <c r="D2264">
        <v>14</v>
      </c>
    </row>
    <row r="2265" spans="2:4" x14ac:dyDescent="0.25">
      <c r="B2265" t="s">
        <v>1097</v>
      </c>
      <c r="C2265">
        <v>11</v>
      </c>
      <c r="D2265">
        <v>6</v>
      </c>
    </row>
    <row r="2266" spans="2:4" x14ac:dyDescent="0.25">
      <c r="B2266" t="s">
        <v>1097</v>
      </c>
      <c r="C2266">
        <v>11</v>
      </c>
      <c r="D2266">
        <v>8</v>
      </c>
    </row>
    <row r="2267" spans="2:4" x14ac:dyDescent="0.25">
      <c r="B2267" t="s">
        <v>1097</v>
      </c>
      <c r="C2267">
        <v>11</v>
      </c>
      <c r="D2267">
        <v>13</v>
      </c>
    </row>
    <row r="2268" spans="2:4" x14ac:dyDescent="0.25">
      <c r="B2268" t="s">
        <v>1097</v>
      </c>
      <c r="C2268">
        <v>11</v>
      </c>
      <c r="D2268">
        <v>14</v>
      </c>
    </row>
    <row r="2269" spans="2:4" x14ac:dyDescent="0.25">
      <c r="B2269" t="s">
        <v>1097</v>
      </c>
      <c r="C2269">
        <v>12</v>
      </c>
      <c r="D2269">
        <v>6</v>
      </c>
    </row>
    <row r="2270" spans="2:4" x14ac:dyDescent="0.25">
      <c r="B2270" t="s">
        <v>1097</v>
      </c>
      <c r="C2270">
        <v>12</v>
      </c>
      <c r="D2270">
        <v>8</v>
      </c>
    </row>
    <row r="2271" spans="2:4" x14ac:dyDescent="0.25">
      <c r="B2271" t="s">
        <v>1097</v>
      </c>
      <c r="C2271">
        <v>12</v>
      </c>
      <c r="D2271">
        <v>13</v>
      </c>
    </row>
    <row r="2272" spans="2:4" x14ac:dyDescent="0.25">
      <c r="B2272" t="s">
        <v>1097</v>
      </c>
      <c r="C2272">
        <v>12</v>
      </c>
      <c r="D2272">
        <v>14</v>
      </c>
    </row>
    <row r="2273" spans="2:4" x14ac:dyDescent="0.25">
      <c r="B2273" t="s">
        <v>1097</v>
      </c>
      <c r="C2273">
        <v>13</v>
      </c>
      <c r="D2273">
        <v>6</v>
      </c>
    </row>
    <row r="2274" spans="2:4" x14ac:dyDescent="0.25">
      <c r="B2274" t="s">
        <v>1097</v>
      </c>
      <c r="C2274">
        <v>13</v>
      </c>
      <c r="D2274">
        <v>8</v>
      </c>
    </row>
    <row r="2275" spans="2:4" x14ac:dyDescent="0.25">
      <c r="B2275" t="s">
        <v>1097</v>
      </c>
      <c r="C2275">
        <v>13</v>
      </c>
      <c r="D2275">
        <v>13</v>
      </c>
    </row>
    <row r="2276" spans="2:4" x14ac:dyDescent="0.25">
      <c r="B2276" t="s">
        <v>1097</v>
      </c>
      <c r="C2276">
        <v>13</v>
      </c>
      <c r="D2276">
        <v>14</v>
      </c>
    </row>
    <row r="2277" spans="2:4" x14ac:dyDescent="0.25">
      <c r="B2277" t="s">
        <v>1097</v>
      </c>
      <c r="C2277">
        <v>14</v>
      </c>
      <c r="D2277">
        <v>6</v>
      </c>
    </row>
    <row r="2278" spans="2:4" x14ac:dyDescent="0.25">
      <c r="B2278" t="s">
        <v>1097</v>
      </c>
      <c r="C2278">
        <v>14</v>
      </c>
      <c r="D2278">
        <v>8</v>
      </c>
    </row>
    <row r="2279" spans="2:4" x14ac:dyDescent="0.25">
      <c r="B2279" t="s">
        <v>1097</v>
      </c>
      <c r="C2279">
        <v>14</v>
      </c>
      <c r="D2279">
        <v>13</v>
      </c>
    </row>
    <row r="2280" spans="2:4" x14ac:dyDescent="0.25">
      <c r="B2280" t="s">
        <v>1097</v>
      </c>
      <c r="C2280">
        <v>14</v>
      </c>
      <c r="D2280">
        <v>14</v>
      </c>
    </row>
    <row r="2281" spans="2:4" x14ac:dyDescent="0.25">
      <c r="B2281" t="s">
        <v>1097</v>
      </c>
      <c r="C2281">
        <v>16</v>
      </c>
      <c r="D2281">
        <v>6</v>
      </c>
    </row>
    <row r="2282" spans="2:4" x14ac:dyDescent="0.25">
      <c r="B2282" t="s">
        <v>1097</v>
      </c>
      <c r="C2282">
        <v>16</v>
      </c>
      <c r="D2282">
        <v>8</v>
      </c>
    </row>
    <row r="2283" spans="2:4" x14ac:dyDescent="0.25">
      <c r="B2283" t="s">
        <v>1097</v>
      </c>
      <c r="C2283">
        <v>16</v>
      </c>
      <c r="D2283">
        <v>13</v>
      </c>
    </row>
    <row r="2284" spans="2:4" x14ac:dyDescent="0.25">
      <c r="B2284" t="s">
        <v>1097</v>
      </c>
      <c r="C2284">
        <v>16</v>
      </c>
      <c r="D2284">
        <v>14</v>
      </c>
    </row>
    <row r="2285" spans="2:4" x14ac:dyDescent="0.25">
      <c r="B2285" t="s">
        <v>1097</v>
      </c>
      <c r="C2285">
        <v>17</v>
      </c>
      <c r="D2285">
        <v>6</v>
      </c>
    </row>
    <row r="2286" spans="2:4" x14ac:dyDescent="0.25">
      <c r="B2286" t="s">
        <v>1097</v>
      </c>
      <c r="C2286">
        <v>17</v>
      </c>
      <c r="D2286">
        <v>8</v>
      </c>
    </row>
    <row r="2287" spans="2:4" x14ac:dyDescent="0.25">
      <c r="B2287" t="s">
        <v>1097</v>
      </c>
      <c r="C2287">
        <v>17</v>
      </c>
      <c r="D2287">
        <v>13</v>
      </c>
    </row>
    <row r="2288" spans="2:4" x14ac:dyDescent="0.25">
      <c r="B2288" t="s">
        <v>1097</v>
      </c>
      <c r="C2288">
        <v>17</v>
      </c>
      <c r="D2288">
        <v>14</v>
      </c>
    </row>
    <row r="2289" spans="2:4" x14ac:dyDescent="0.25">
      <c r="B2289" t="s">
        <v>1097</v>
      </c>
      <c r="C2289">
        <v>18</v>
      </c>
      <c r="D2289">
        <v>6</v>
      </c>
    </row>
    <row r="2290" spans="2:4" x14ac:dyDescent="0.25">
      <c r="B2290" t="s">
        <v>1097</v>
      </c>
      <c r="C2290">
        <v>18</v>
      </c>
      <c r="D2290">
        <v>8</v>
      </c>
    </row>
    <row r="2291" spans="2:4" x14ac:dyDescent="0.25">
      <c r="B2291" t="s">
        <v>1097</v>
      </c>
      <c r="C2291">
        <v>18</v>
      </c>
      <c r="D2291">
        <v>13</v>
      </c>
    </row>
    <row r="2292" spans="2:4" x14ac:dyDescent="0.25">
      <c r="B2292" t="s">
        <v>1097</v>
      </c>
      <c r="C2292">
        <v>18</v>
      </c>
      <c r="D2292">
        <v>14</v>
      </c>
    </row>
    <row r="2293" spans="2:4" x14ac:dyDescent="0.25">
      <c r="B2293" t="s">
        <v>1097</v>
      </c>
      <c r="C2293">
        <v>19</v>
      </c>
      <c r="D2293">
        <v>6</v>
      </c>
    </row>
    <row r="2294" spans="2:4" x14ac:dyDescent="0.25">
      <c r="B2294" t="s">
        <v>1097</v>
      </c>
      <c r="C2294">
        <v>19</v>
      </c>
      <c r="D2294">
        <v>8</v>
      </c>
    </row>
    <row r="2295" spans="2:4" x14ac:dyDescent="0.25">
      <c r="B2295" t="s">
        <v>1097</v>
      </c>
      <c r="C2295">
        <v>19</v>
      </c>
      <c r="D2295">
        <v>13</v>
      </c>
    </row>
    <row r="2296" spans="2:4" x14ac:dyDescent="0.25">
      <c r="B2296" t="s">
        <v>1097</v>
      </c>
      <c r="C2296">
        <v>19</v>
      </c>
      <c r="D2296">
        <v>14</v>
      </c>
    </row>
    <row r="2297" spans="2:4" x14ac:dyDescent="0.25">
      <c r="B2297" t="s">
        <v>1097</v>
      </c>
      <c r="C2297">
        <v>20</v>
      </c>
      <c r="D2297">
        <v>6</v>
      </c>
    </row>
    <row r="2298" spans="2:4" x14ac:dyDescent="0.25">
      <c r="B2298" t="s">
        <v>1097</v>
      </c>
      <c r="C2298">
        <v>20</v>
      </c>
      <c r="D2298">
        <v>8</v>
      </c>
    </row>
    <row r="2299" spans="2:4" x14ac:dyDescent="0.25">
      <c r="B2299" t="s">
        <v>1097</v>
      </c>
      <c r="C2299">
        <v>20</v>
      </c>
      <c r="D2299">
        <v>13</v>
      </c>
    </row>
    <row r="2300" spans="2:4" x14ac:dyDescent="0.25">
      <c r="B2300" t="s">
        <v>1097</v>
      </c>
      <c r="C2300">
        <v>20</v>
      </c>
      <c r="D2300">
        <v>14</v>
      </c>
    </row>
    <row r="2301" spans="2:4" x14ac:dyDescent="0.25">
      <c r="B2301" t="s">
        <v>1097</v>
      </c>
      <c r="C2301">
        <v>21</v>
      </c>
      <c r="D2301">
        <v>6</v>
      </c>
    </row>
    <row r="2302" spans="2:4" x14ac:dyDescent="0.25">
      <c r="B2302" t="s">
        <v>1097</v>
      </c>
      <c r="C2302">
        <v>21</v>
      </c>
      <c r="D2302">
        <v>8</v>
      </c>
    </row>
    <row r="2303" spans="2:4" x14ac:dyDescent="0.25">
      <c r="B2303" t="s">
        <v>1097</v>
      </c>
      <c r="C2303">
        <v>21</v>
      </c>
      <c r="D2303">
        <v>13</v>
      </c>
    </row>
    <row r="2304" spans="2:4" x14ac:dyDescent="0.25">
      <c r="B2304" t="s">
        <v>1097</v>
      </c>
      <c r="C2304">
        <v>21</v>
      </c>
      <c r="D2304">
        <v>14</v>
      </c>
    </row>
    <row r="2305" spans="1:4" x14ac:dyDescent="0.25">
      <c r="B2305" t="s">
        <v>1097</v>
      </c>
      <c r="C2305">
        <v>22</v>
      </c>
      <c r="D2305">
        <v>6</v>
      </c>
    </row>
    <row r="2306" spans="1:4" x14ac:dyDescent="0.25">
      <c r="B2306" t="s">
        <v>1097</v>
      </c>
      <c r="C2306">
        <v>22</v>
      </c>
      <c r="D2306">
        <v>8</v>
      </c>
    </row>
    <row r="2307" spans="1:4" x14ac:dyDescent="0.25">
      <c r="B2307" t="s">
        <v>1097</v>
      </c>
      <c r="C2307">
        <v>22</v>
      </c>
      <c r="D2307">
        <v>13</v>
      </c>
    </row>
    <row r="2308" spans="1:4" x14ac:dyDescent="0.25">
      <c r="B2308" t="s">
        <v>1097</v>
      </c>
      <c r="C2308">
        <v>22</v>
      </c>
      <c r="D2308">
        <v>14</v>
      </c>
    </row>
    <row r="2309" spans="1:4" x14ac:dyDescent="0.25">
      <c r="B2309" t="s">
        <v>1097</v>
      </c>
      <c r="C2309">
        <v>24</v>
      </c>
      <c r="D2309">
        <v>6</v>
      </c>
    </row>
    <row r="2310" spans="1:4" x14ac:dyDescent="0.25">
      <c r="B2310" t="s">
        <v>1097</v>
      </c>
      <c r="C2310">
        <v>24</v>
      </c>
      <c r="D2310">
        <v>8</v>
      </c>
    </row>
    <row r="2311" spans="1:4" x14ac:dyDescent="0.25">
      <c r="B2311" t="s">
        <v>1097</v>
      </c>
      <c r="C2311">
        <v>24</v>
      </c>
      <c r="D2311">
        <v>13</v>
      </c>
    </row>
    <row r="2312" spans="1:4" x14ac:dyDescent="0.25">
      <c r="B2312" t="s">
        <v>1097</v>
      </c>
      <c r="C2312">
        <v>24</v>
      </c>
      <c r="D2312">
        <v>14</v>
      </c>
    </row>
    <row r="2313" spans="1:4" ht="15.6" x14ac:dyDescent="0.3">
      <c r="A2313" s="706"/>
      <c r="B2313" t="s">
        <v>1097</v>
      </c>
      <c r="C2313">
        <v>25</v>
      </c>
      <c r="D2313">
        <v>6</v>
      </c>
    </row>
    <row r="2314" spans="1:4" ht="15.6" x14ac:dyDescent="0.3">
      <c r="A2314" s="706"/>
      <c r="B2314" t="s">
        <v>1097</v>
      </c>
      <c r="C2314">
        <v>25</v>
      </c>
      <c r="D2314">
        <v>8</v>
      </c>
    </row>
    <row r="2315" spans="1:4" x14ac:dyDescent="0.25">
      <c r="B2315" t="s">
        <v>1097</v>
      </c>
      <c r="C2315">
        <v>25</v>
      </c>
      <c r="D2315">
        <v>13</v>
      </c>
    </row>
    <row r="2316" spans="1:4" x14ac:dyDescent="0.25">
      <c r="B2316" t="s">
        <v>1097</v>
      </c>
      <c r="C2316">
        <v>25</v>
      </c>
      <c r="D2316">
        <v>14</v>
      </c>
    </row>
    <row r="2317" spans="1:4" x14ac:dyDescent="0.25">
      <c r="B2317" t="s">
        <v>1097</v>
      </c>
      <c r="C2317">
        <v>26</v>
      </c>
      <c r="D2317">
        <v>6</v>
      </c>
    </row>
    <row r="2318" spans="1:4" x14ac:dyDescent="0.25">
      <c r="B2318" t="s">
        <v>1097</v>
      </c>
      <c r="C2318">
        <v>26</v>
      </c>
      <c r="D2318">
        <v>8</v>
      </c>
    </row>
    <row r="2319" spans="1:4" x14ac:dyDescent="0.25">
      <c r="B2319" t="s">
        <v>1097</v>
      </c>
      <c r="C2319">
        <v>26</v>
      </c>
      <c r="D2319">
        <v>13</v>
      </c>
    </row>
    <row r="2320" spans="1:4" x14ac:dyDescent="0.25">
      <c r="B2320" t="s">
        <v>1097</v>
      </c>
      <c r="C2320">
        <v>26</v>
      </c>
      <c r="D2320">
        <v>14</v>
      </c>
    </row>
    <row r="2321" spans="2:4" x14ac:dyDescent="0.25">
      <c r="B2321" t="s">
        <v>1097</v>
      </c>
      <c r="C2321">
        <v>27</v>
      </c>
      <c r="D2321">
        <v>6</v>
      </c>
    </row>
    <row r="2322" spans="2:4" x14ac:dyDescent="0.25">
      <c r="B2322" t="s">
        <v>1097</v>
      </c>
      <c r="C2322">
        <v>27</v>
      </c>
      <c r="D2322">
        <v>8</v>
      </c>
    </row>
    <row r="2323" spans="2:4" x14ac:dyDescent="0.25">
      <c r="B2323" t="s">
        <v>1097</v>
      </c>
      <c r="C2323">
        <v>27</v>
      </c>
      <c r="D2323">
        <v>13</v>
      </c>
    </row>
    <row r="2324" spans="2:4" x14ac:dyDescent="0.25">
      <c r="B2324" t="s">
        <v>1097</v>
      </c>
      <c r="C2324">
        <v>27</v>
      </c>
      <c r="D2324">
        <v>14</v>
      </c>
    </row>
    <row r="2325" spans="2:4" x14ac:dyDescent="0.25">
      <c r="B2325" t="s">
        <v>1097</v>
      </c>
      <c r="C2325">
        <v>28</v>
      </c>
      <c r="D2325">
        <v>6</v>
      </c>
    </row>
    <row r="2326" spans="2:4" x14ac:dyDescent="0.25">
      <c r="B2326" t="s">
        <v>1097</v>
      </c>
      <c r="C2326">
        <v>28</v>
      </c>
      <c r="D2326">
        <v>8</v>
      </c>
    </row>
    <row r="2327" spans="2:4" x14ac:dyDescent="0.25">
      <c r="B2327" t="s">
        <v>1097</v>
      </c>
      <c r="C2327">
        <v>28</v>
      </c>
      <c r="D2327">
        <v>13</v>
      </c>
    </row>
    <row r="2328" spans="2:4" x14ac:dyDescent="0.25">
      <c r="B2328" t="s">
        <v>1097</v>
      </c>
      <c r="C2328">
        <v>28</v>
      </c>
      <c r="D2328">
        <v>14</v>
      </c>
    </row>
    <row r="2329" spans="2:4" x14ac:dyDescent="0.25">
      <c r="B2329" t="s">
        <v>1097</v>
      </c>
      <c r="C2329">
        <v>29</v>
      </c>
      <c r="D2329">
        <v>6</v>
      </c>
    </row>
    <row r="2330" spans="2:4" x14ac:dyDescent="0.25">
      <c r="B2330" t="s">
        <v>1097</v>
      </c>
      <c r="C2330">
        <v>29</v>
      </c>
      <c r="D2330">
        <v>8</v>
      </c>
    </row>
    <row r="2331" spans="2:4" x14ac:dyDescent="0.25">
      <c r="B2331" t="s">
        <v>1097</v>
      </c>
      <c r="C2331">
        <v>29</v>
      </c>
      <c r="D2331">
        <v>13</v>
      </c>
    </row>
    <row r="2332" spans="2:4" x14ac:dyDescent="0.25">
      <c r="B2332" t="s">
        <v>1097</v>
      </c>
      <c r="C2332">
        <v>29</v>
      </c>
      <c r="D2332">
        <v>14</v>
      </c>
    </row>
    <row r="2333" spans="2:4" x14ac:dyDescent="0.25">
      <c r="B2333" t="s">
        <v>1097</v>
      </c>
      <c r="C2333">
        <v>30</v>
      </c>
      <c r="D2333">
        <v>6</v>
      </c>
    </row>
    <row r="2334" spans="2:4" x14ac:dyDescent="0.25">
      <c r="B2334" t="s">
        <v>1097</v>
      </c>
      <c r="C2334">
        <v>30</v>
      </c>
      <c r="D2334">
        <v>8</v>
      </c>
    </row>
    <row r="2335" spans="2:4" x14ac:dyDescent="0.25">
      <c r="B2335" t="s">
        <v>1097</v>
      </c>
      <c r="C2335">
        <v>30</v>
      </c>
      <c r="D2335">
        <v>13</v>
      </c>
    </row>
    <row r="2336" spans="2:4" x14ac:dyDescent="0.25">
      <c r="B2336" t="s">
        <v>1097</v>
      </c>
      <c r="C2336">
        <v>30</v>
      </c>
      <c r="D2336">
        <v>14</v>
      </c>
    </row>
    <row r="2337" spans="2:4" x14ac:dyDescent="0.25">
      <c r="B2337" t="s">
        <v>1097</v>
      </c>
      <c r="C2337">
        <v>32</v>
      </c>
      <c r="D2337">
        <v>6</v>
      </c>
    </row>
    <row r="2338" spans="2:4" x14ac:dyDescent="0.25">
      <c r="B2338" t="s">
        <v>1097</v>
      </c>
      <c r="C2338">
        <v>32</v>
      </c>
      <c r="D2338">
        <v>8</v>
      </c>
    </row>
    <row r="2339" spans="2:4" x14ac:dyDescent="0.25">
      <c r="B2339" t="s">
        <v>1097</v>
      </c>
      <c r="C2339">
        <v>32</v>
      </c>
      <c r="D2339">
        <v>13</v>
      </c>
    </row>
    <row r="2340" spans="2:4" x14ac:dyDescent="0.25">
      <c r="B2340" t="s">
        <v>1097</v>
      </c>
      <c r="C2340">
        <v>32</v>
      </c>
      <c r="D2340">
        <v>14</v>
      </c>
    </row>
    <row r="2341" spans="2:4" x14ac:dyDescent="0.25">
      <c r="B2341" t="s">
        <v>1097</v>
      </c>
      <c r="C2341">
        <v>33</v>
      </c>
      <c r="D2341">
        <v>6</v>
      </c>
    </row>
    <row r="2342" spans="2:4" x14ac:dyDescent="0.25">
      <c r="B2342" t="s">
        <v>1097</v>
      </c>
      <c r="C2342">
        <v>33</v>
      </c>
      <c r="D2342">
        <v>8</v>
      </c>
    </row>
    <row r="2343" spans="2:4" x14ac:dyDescent="0.25">
      <c r="B2343" t="s">
        <v>1097</v>
      </c>
      <c r="C2343">
        <v>33</v>
      </c>
      <c r="D2343">
        <v>13</v>
      </c>
    </row>
    <row r="2344" spans="2:4" x14ac:dyDescent="0.25">
      <c r="B2344" t="s">
        <v>1097</v>
      </c>
      <c r="C2344">
        <v>33</v>
      </c>
      <c r="D2344">
        <v>14</v>
      </c>
    </row>
    <row r="2345" spans="2:4" x14ac:dyDescent="0.25">
      <c r="B2345" t="s">
        <v>1097</v>
      </c>
      <c r="C2345">
        <v>34</v>
      </c>
      <c r="D2345">
        <v>6</v>
      </c>
    </row>
    <row r="2346" spans="2:4" x14ac:dyDescent="0.25">
      <c r="B2346" t="s">
        <v>1097</v>
      </c>
      <c r="C2346">
        <v>34</v>
      </c>
      <c r="D2346">
        <v>8</v>
      </c>
    </row>
    <row r="2347" spans="2:4" x14ac:dyDescent="0.25">
      <c r="B2347" t="s">
        <v>1097</v>
      </c>
      <c r="C2347">
        <v>34</v>
      </c>
      <c r="D2347">
        <v>13</v>
      </c>
    </row>
    <row r="2348" spans="2:4" x14ac:dyDescent="0.25">
      <c r="B2348" t="s">
        <v>1097</v>
      </c>
      <c r="C2348">
        <v>34</v>
      </c>
      <c r="D2348">
        <v>14</v>
      </c>
    </row>
    <row r="2349" spans="2:4" x14ac:dyDescent="0.25">
      <c r="B2349" t="s">
        <v>1097</v>
      </c>
      <c r="C2349">
        <v>35</v>
      </c>
      <c r="D2349">
        <v>6</v>
      </c>
    </row>
    <row r="2350" spans="2:4" x14ac:dyDescent="0.25">
      <c r="B2350" t="s">
        <v>1097</v>
      </c>
      <c r="C2350">
        <v>35</v>
      </c>
      <c r="D2350">
        <v>8</v>
      </c>
    </row>
    <row r="2351" spans="2:4" x14ac:dyDescent="0.25">
      <c r="B2351" t="s">
        <v>1097</v>
      </c>
      <c r="C2351">
        <v>35</v>
      </c>
      <c r="D2351">
        <v>13</v>
      </c>
    </row>
    <row r="2352" spans="2:4" x14ac:dyDescent="0.25">
      <c r="B2352" t="s">
        <v>1097</v>
      </c>
      <c r="C2352">
        <v>35</v>
      </c>
      <c r="D2352">
        <v>14</v>
      </c>
    </row>
    <row r="2353" spans="2:4" x14ac:dyDescent="0.25">
      <c r="B2353" t="s">
        <v>1097</v>
      </c>
      <c r="C2353">
        <v>37</v>
      </c>
      <c r="D2353">
        <v>6</v>
      </c>
    </row>
    <row r="2354" spans="2:4" x14ac:dyDescent="0.25">
      <c r="B2354" t="s">
        <v>1097</v>
      </c>
      <c r="C2354">
        <v>37</v>
      </c>
      <c r="D2354">
        <v>8</v>
      </c>
    </row>
    <row r="2355" spans="2:4" x14ac:dyDescent="0.25">
      <c r="B2355" t="s">
        <v>1097</v>
      </c>
      <c r="C2355">
        <v>37</v>
      </c>
      <c r="D2355">
        <v>13</v>
      </c>
    </row>
    <row r="2356" spans="2:4" x14ac:dyDescent="0.25">
      <c r="B2356" t="s">
        <v>1097</v>
      </c>
      <c r="C2356">
        <v>37</v>
      </c>
      <c r="D2356">
        <v>14</v>
      </c>
    </row>
    <row r="2357" spans="2:4" x14ac:dyDescent="0.25">
      <c r="B2357" t="s">
        <v>1097</v>
      </c>
      <c r="C2357">
        <v>38</v>
      </c>
      <c r="D2357">
        <v>6</v>
      </c>
    </row>
    <row r="2358" spans="2:4" x14ac:dyDescent="0.25">
      <c r="B2358" t="s">
        <v>1097</v>
      </c>
      <c r="C2358">
        <v>38</v>
      </c>
      <c r="D2358">
        <v>8</v>
      </c>
    </row>
    <row r="2359" spans="2:4" x14ac:dyDescent="0.25">
      <c r="B2359" t="s">
        <v>1097</v>
      </c>
      <c r="C2359">
        <v>38</v>
      </c>
      <c r="D2359">
        <v>13</v>
      </c>
    </row>
    <row r="2360" spans="2:4" x14ac:dyDescent="0.25">
      <c r="B2360" t="s">
        <v>1097</v>
      </c>
      <c r="C2360">
        <v>38</v>
      </c>
      <c r="D2360">
        <v>14</v>
      </c>
    </row>
    <row r="2361" spans="2:4" x14ac:dyDescent="0.25">
      <c r="B2361" t="s">
        <v>1097</v>
      </c>
      <c r="C2361">
        <v>39</v>
      </c>
      <c r="D2361">
        <v>6</v>
      </c>
    </row>
    <row r="2362" spans="2:4" x14ac:dyDescent="0.25">
      <c r="B2362" t="s">
        <v>1097</v>
      </c>
      <c r="C2362">
        <v>39</v>
      </c>
      <c r="D2362">
        <v>8</v>
      </c>
    </row>
    <row r="2363" spans="2:4" x14ac:dyDescent="0.25">
      <c r="B2363" t="s">
        <v>1097</v>
      </c>
      <c r="C2363">
        <v>39</v>
      </c>
      <c r="D2363">
        <v>13</v>
      </c>
    </row>
    <row r="2364" spans="2:4" x14ac:dyDescent="0.25">
      <c r="B2364" t="s">
        <v>1097</v>
      </c>
      <c r="C2364">
        <v>39</v>
      </c>
      <c r="D2364">
        <v>14</v>
      </c>
    </row>
    <row r="2365" spans="2:4" x14ac:dyDescent="0.25">
      <c r="B2365" t="s">
        <v>1097</v>
      </c>
      <c r="C2365">
        <v>40</v>
      </c>
      <c r="D2365">
        <v>6</v>
      </c>
    </row>
    <row r="2366" spans="2:4" x14ac:dyDescent="0.25">
      <c r="B2366" t="s">
        <v>1097</v>
      </c>
      <c r="C2366">
        <v>40</v>
      </c>
      <c r="D2366">
        <v>8</v>
      </c>
    </row>
    <row r="2367" spans="2:4" x14ac:dyDescent="0.25">
      <c r="B2367" t="s">
        <v>1097</v>
      </c>
      <c r="C2367">
        <v>40</v>
      </c>
      <c r="D2367">
        <v>13</v>
      </c>
    </row>
    <row r="2368" spans="2:4" x14ac:dyDescent="0.25">
      <c r="B2368" t="s">
        <v>1097</v>
      </c>
      <c r="C2368">
        <v>40</v>
      </c>
      <c r="D2368">
        <v>14</v>
      </c>
    </row>
    <row r="2369" spans="2:4" x14ac:dyDescent="0.25">
      <c r="B2369" t="s">
        <v>1097</v>
      </c>
      <c r="C2369">
        <v>41</v>
      </c>
      <c r="D2369">
        <v>6</v>
      </c>
    </row>
    <row r="2370" spans="2:4" x14ac:dyDescent="0.25">
      <c r="B2370" t="s">
        <v>1097</v>
      </c>
      <c r="C2370">
        <v>41</v>
      </c>
      <c r="D2370">
        <v>8</v>
      </c>
    </row>
    <row r="2371" spans="2:4" x14ac:dyDescent="0.25">
      <c r="B2371" t="s">
        <v>1097</v>
      </c>
      <c r="C2371">
        <v>41</v>
      </c>
      <c r="D2371">
        <v>13</v>
      </c>
    </row>
    <row r="2372" spans="2:4" x14ac:dyDescent="0.25">
      <c r="B2372" t="s">
        <v>1097</v>
      </c>
      <c r="C2372">
        <v>41</v>
      </c>
      <c r="D2372">
        <v>14</v>
      </c>
    </row>
    <row r="2373" spans="2:4" x14ac:dyDescent="0.25">
      <c r="B2373" t="s">
        <v>1097</v>
      </c>
      <c r="C2373">
        <v>42</v>
      </c>
      <c r="D2373">
        <v>6</v>
      </c>
    </row>
    <row r="2374" spans="2:4" x14ac:dyDescent="0.25">
      <c r="B2374" t="s">
        <v>1097</v>
      </c>
      <c r="C2374">
        <v>42</v>
      </c>
      <c r="D2374">
        <v>8</v>
      </c>
    </row>
    <row r="2375" spans="2:4" x14ac:dyDescent="0.25">
      <c r="B2375" t="s">
        <v>1097</v>
      </c>
      <c r="C2375">
        <v>42</v>
      </c>
      <c r="D2375">
        <v>13</v>
      </c>
    </row>
    <row r="2376" spans="2:4" x14ac:dyDescent="0.25">
      <c r="B2376" t="s">
        <v>1097</v>
      </c>
      <c r="C2376">
        <v>42</v>
      </c>
      <c r="D2376">
        <v>14</v>
      </c>
    </row>
    <row r="2377" spans="2:4" x14ac:dyDescent="0.25">
      <c r="B2377" t="s">
        <v>1097</v>
      </c>
      <c r="C2377">
        <v>43</v>
      </c>
      <c r="D2377">
        <v>6</v>
      </c>
    </row>
    <row r="2378" spans="2:4" x14ac:dyDescent="0.25">
      <c r="B2378" t="s">
        <v>1097</v>
      </c>
      <c r="C2378">
        <v>43</v>
      </c>
      <c r="D2378">
        <v>8</v>
      </c>
    </row>
    <row r="2379" spans="2:4" x14ac:dyDescent="0.25">
      <c r="B2379" t="s">
        <v>1097</v>
      </c>
      <c r="C2379">
        <v>43</v>
      </c>
      <c r="D2379">
        <v>13</v>
      </c>
    </row>
    <row r="2380" spans="2:4" x14ac:dyDescent="0.25">
      <c r="B2380" t="s">
        <v>1097</v>
      </c>
      <c r="C2380">
        <v>43</v>
      </c>
      <c r="D2380">
        <v>14</v>
      </c>
    </row>
    <row r="2381" spans="2:4" x14ac:dyDescent="0.25">
      <c r="B2381" t="s">
        <v>1097</v>
      </c>
      <c r="C2381">
        <v>45</v>
      </c>
      <c r="D2381">
        <v>6</v>
      </c>
    </row>
    <row r="2382" spans="2:4" x14ac:dyDescent="0.25">
      <c r="B2382" t="s">
        <v>1097</v>
      </c>
      <c r="C2382">
        <v>45</v>
      </c>
      <c r="D2382">
        <v>8</v>
      </c>
    </row>
    <row r="2383" spans="2:4" x14ac:dyDescent="0.25">
      <c r="B2383" t="s">
        <v>1097</v>
      </c>
      <c r="C2383">
        <v>45</v>
      </c>
      <c r="D2383">
        <v>13</v>
      </c>
    </row>
    <row r="2384" spans="2:4" x14ac:dyDescent="0.25">
      <c r="B2384" t="s">
        <v>1097</v>
      </c>
      <c r="C2384">
        <v>45</v>
      </c>
      <c r="D2384">
        <v>14</v>
      </c>
    </row>
    <row r="2385" spans="2:4" x14ac:dyDescent="0.25">
      <c r="B2385" t="s">
        <v>1097</v>
      </c>
      <c r="C2385">
        <v>46</v>
      </c>
      <c r="D2385">
        <v>6</v>
      </c>
    </row>
    <row r="2386" spans="2:4" x14ac:dyDescent="0.25">
      <c r="B2386" t="s">
        <v>1097</v>
      </c>
      <c r="C2386">
        <v>46</v>
      </c>
      <c r="D2386">
        <v>8</v>
      </c>
    </row>
    <row r="2387" spans="2:4" x14ac:dyDescent="0.25">
      <c r="B2387" t="s">
        <v>1097</v>
      </c>
      <c r="C2387">
        <v>46</v>
      </c>
      <c r="D2387">
        <v>13</v>
      </c>
    </row>
    <row r="2388" spans="2:4" x14ac:dyDescent="0.25">
      <c r="B2388" t="s">
        <v>1097</v>
      </c>
      <c r="C2388">
        <v>46</v>
      </c>
      <c r="D2388">
        <v>14</v>
      </c>
    </row>
    <row r="2389" spans="2:4" x14ac:dyDescent="0.25">
      <c r="B2389" t="s">
        <v>1097</v>
      </c>
      <c r="C2389">
        <v>47</v>
      </c>
      <c r="D2389">
        <v>6</v>
      </c>
    </row>
    <row r="2390" spans="2:4" x14ac:dyDescent="0.25">
      <c r="B2390" t="s">
        <v>1097</v>
      </c>
      <c r="C2390">
        <v>47</v>
      </c>
      <c r="D2390">
        <v>8</v>
      </c>
    </row>
    <row r="2391" spans="2:4" x14ac:dyDescent="0.25">
      <c r="B2391" t="s">
        <v>1097</v>
      </c>
      <c r="C2391">
        <v>47</v>
      </c>
      <c r="D2391">
        <v>13</v>
      </c>
    </row>
    <row r="2392" spans="2:4" x14ac:dyDescent="0.25">
      <c r="B2392" t="s">
        <v>1097</v>
      </c>
      <c r="C2392">
        <v>47</v>
      </c>
      <c r="D2392">
        <v>14</v>
      </c>
    </row>
    <row r="2393" spans="2:4" x14ac:dyDescent="0.25">
      <c r="B2393" t="s">
        <v>1097</v>
      </c>
      <c r="C2393">
        <v>48</v>
      </c>
      <c r="D2393">
        <v>6</v>
      </c>
    </row>
    <row r="2394" spans="2:4" x14ac:dyDescent="0.25">
      <c r="B2394" t="s">
        <v>1097</v>
      </c>
      <c r="C2394">
        <v>48</v>
      </c>
      <c r="D2394">
        <v>8</v>
      </c>
    </row>
    <row r="2395" spans="2:4" x14ac:dyDescent="0.25">
      <c r="B2395" t="s">
        <v>1097</v>
      </c>
      <c r="C2395">
        <v>48</v>
      </c>
      <c r="D2395">
        <v>13</v>
      </c>
    </row>
    <row r="2396" spans="2:4" x14ac:dyDescent="0.25">
      <c r="B2396" t="s">
        <v>1097</v>
      </c>
      <c r="C2396">
        <v>48</v>
      </c>
      <c r="D2396">
        <v>14</v>
      </c>
    </row>
    <row r="2397" spans="2:4" x14ac:dyDescent="0.25">
      <c r="B2397" t="s">
        <v>1097</v>
      </c>
      <c r="C2397">
        <v>49</v>
      </c>
      <c r="D2397">
        <v>6</v>
      </c>
    </row>
    <row r="2398" spans="2:4" x14ac:dyDescent="0.25">
      <c r="B2398" t="s">
        <v>1097</v>
      </c>
      <c r="C2398">
        <v>49</v>
      </c>
      <c r="D2398">
        <v>8</v>
      </c>
    </row>
    <row r="2399" spans="2:4" x14ac:dyDescent="0.25">
      <c r="B2399" t="s">
        <v>1097</v>
      </c>
      <c r="C2399">
        <v>49</v>
      </c>
      <c r="D2399">
        <v>13</v>
      </c>
    </row>
    <row r="2400" spans="2:4" x14ac:dyDescent="0.25">
      <c r="B2400" t="s">
        <v>1097</v>
      </c>
      <c r="C2400">
        <v>49</v>
      </c>
      <c r="D2400">
        <v>14</v>
      </c>
    </row>
    <row r="2401" spans="2:4" x14ac:dyDescent="0.25">
      <c r="B2401" t="s">
        <v>1097</v>
      </c>
      <c r="C2401">
        <v>50</v>
      </c>
      <c r="D2401">
        <v>6</v>
      </c>
    </row>
    <row r="2402" spans="2:4" x14ac:dyDescent="0.25">
      <c r="B2402" t="s">
        <v>1097</v>
      </c>
      <c r="C2402">
        <v>50</v>
      </c>
      <c r="D2402">
        <v>8</v>
      </c>
    </row>
    <row r="2403" spans="2:4" x14ac:dyDescent="0.25">
      <c r="B2403" t="s">
        <v>1097</v>
      </c>
      <c r="C2403">
        <v>50</v>
      </c>
      <c r="D2403">
        <v>13</v>
      </c>
    </row>
    <row r="2404" spans="2:4" x14ac:dyDescent="0.25">
      <c r="B2404" t="s">
        <v>1097</v>
      </c>
      <c r="C2404">
        <v>50</v>
      </c>
      <c r="D2404">
        <v>14</v>
      </c>
    </row>
    <row r="2405" spans="2:4" x14ac:dyDescent="0.25">
      <c r="B2405" t="s">
        <v>1097</v>
      </c>
      <c r="C2405">
        <v>51</v>
      </c>
      <c r="D2405">
        <v>6</v>
      </c>
    </row>
    <row r="2406" spans="2:4" x14ac:dyDescent="0.25">
      <c r="B2406" t="s">
        <v>1097</v>
      </c>
      <c r="C2406">
        <v>51</v>
      </c>
      <c r="D2406">
        <v>8</v>
      </c>
    </row>
    <row r="2407" spans="2:4" x14ac:dyDescent="0.25">
      <c r="B2407" t="s">
        <v>1097</v>
      </c>
      <c r="C2407">
        <v>51</v>
      </c>
      <c r="D2407">
        <v>13</v>
      </c>
    </row>
    <row r="2408" spans="2:4" x14ac:dyDescent="0.25">
      <c r="B2408" t="s">
        <v>1097</v>
      </c>
      <c r="C2408">
        <v>51</v>
      </c>
      <c r="D2408">
        <v>14</v>
      </c>
    </row>
    <row r="2409" spans="2:4" x14ac:dyDescent="0.25">
      <c r="B2409" t="s">
        <v>1097</v>
      </c>
      <c r="C2409">
        <v>53</v>
      </c>
      <c r="D2409">
        <v>6</v>
      </c>
    </row>
    <row r="2410" spans="2:4" x14ac:dyDescent="0.25">
      <c r="B2410" t="s">
        <v>1097</v>
      </c>
      <c r="C2410">
        <v>53</v>
      </c>
      <c r="D2410">
        <v>8</v>
      </c>
    </row>
    <row r="2411" spans="2:4" x14ac:dyDescent="0.25">
      <c r="B2411" t="s">
        <v>1097</v>
      </c>
      <c r="C2411">
        <v>53</v>
      </c>
      <c r="D2411">
        <v>13</v>
      </c>
    </row>
    <row r="2412" spans="2:4" x14ac:dyDescent="0.25">
      <c r="B2412" t="s">
        <v>1097</v>
      </c>
      <c r="C2412">
        <v>53</v>
      </c>
      <c r="D2412">
        <v>14</v>
      </c>
    </row>
    <row r="2413" spans="2:4" x14ac:dyDescent="0.25">
      <c r="B2413" t="s">
        <v>1097</v>
      </c>
      <c r="C2413">
        <v>54</v>
      </c>
      <c r="D2413">
        <v>6</v>
      </c>
    </row>
    <row r="2414" spans="2:4" x14ac:dyDescent="0.25">
      <c r="B2414" t="s">
        <v>1097</v>
      </c>
      <c r="C2414">
        <v>54</v>
      </c>
      <c r="D2414">
        <v>8</v>
      </c>
    </row>
    <row r="2415" spans="2:4" x14ac:dyDescent="0.25">
      <c r="B2415" t="s">
        <v>1097</v>
      </c>
      <c r="C2415">
        <v>54</v>
      </c>
      <c r="D2415">
        <v>13</v>
      </c>
    </row>
    <row r="2416" spans="2:4" x14ac:dyDescent="0.25">
      <c r="B2416" t="s">
        <v>1097</v>
      </c>
      <c r="C2416">
        <v>54</v>
      </c>
      <c r="D2416">
        <v>14</v>
      </c>
    </row>
    <row r="2417" spans="2:4" x14ac:dyDescent="0.25">
      <c r="B2417" t="s">
        <v>1097</v>
      </c>
      <c r="C2417">
        <v>55</v>
      </c>
      <c r="D2417">
        <v>6</v>
      </c>
    </row>
    <row r="2418" spans="2:4" x14ac:dyDescent="0.25">
      <c r="B2418" t="s">
        <v>1097</v>
      </c>
      <c r="C2418">
        <v>55</v>
      </c>
      <c r="D2418">
        <v>8</v>
      </c>
    </row>
    <row r="2419" spans="2:4" x14ac:dyDescent="0.25">
      <c r="B2419" t="s">
        <v>1097</v>
      </c>
      <c r="C2419">
        <v>55</v>
      </c>
      <c r="D2419">
        <v>13</v>
      </c>
    </row>
    <row r="2420" spans="2:4" x14ac:dyDescent="0.25">
      <c r="B2420" t="s">
        <v>1097</v>
      </c>
      <c r="C2420">
        <v>55</v>
      </c>
      <c r="D2420">
        <v>14</v>
      </c>
    </row>
    <row r="2421" spans="2:4" x14ac:dyDescent="0.25">
      <c r="B2421" t="s">
        <v>1097</v>
      </c>
      <c r="C2421">
        <v>56</v>
      </c>
      <c r="D2421">
        <v>6</v>
      </c>
    </row>
    <row r="2422" spans="2:4" x14ac:dyDescent="0.25">
      <c r="B2422" t="s">
        <v>1097</v>
      </c>
      <c r="C2422">
        <v>56</v>
      </c>
      <c r="D2422">
        <v>8</v>
      </c>
    </row>
    <row r="2423" spans="2:4" x14ac:dyDescent="0.25">
      <c r="B2423" t="s">
        <v>1097</v>
      </c>
      <c r="C2423">
        <v>56</v>
      </c>
      <c r="D2423">
        <v>13</v>
      </c>
    </row>
    <row r="2424" spans="2:4" x14ac:dyDescent="0.25">
      <c r="B2424" t="s">
        <v>1097</v>
      </c>
      <c r="C2424">
        <v>56</v>
      </c>
      <c r="D2424">
        <v>14</v>
      </c>
    </row>
    <row r="2425" spans="2:4" x14ac:dyDescent="0.25">
      <c r="B2425" t="s">
        <v>1097</v>
      </c>
      <c r="C2425">
        <v>57</v>
      </c>
      <c r="D2425">
        <v>6</v>
      </c>
    </row>
    <row r="2426" spans="2:4" x14ac:dyDescent="0.25">
      <c r="B2426" t="s">
        <v>1097</v>
      </c>
      <c r="C2426">
        <v>57</v>
      </c>
      <c r="D2426">
        <v>8</v>
      </c>
    </row>
    <row r="2427" spans="2:4" x14ac:dyDescent="0.25">
      <c r="B2427" t="s">
        <v>1097</v>
      </c>
      <c r="C2427">
        <v>57</v>
      </c>
      <c r="D2427">
        <v>13</v>
      </c>
    </row>
    <row r="2428" spans="2:4" x14ac:dyDescent="0.25">
      <c r="B2428" t="s">
        <v>1097</v>
      </c>
      <c r="C2428">
        <v>57</v>
      </c>
      <c r="D2428">
        <v>14</v>
      </c>
    </row>
    <row r="2429" spans="2:4" x14ac:dyDescent="0.25">
      <c r="B2429" t="s">
        <v>1097</v>
      </c>
      <c r="C2429">
        <v>58</v>
      </c>
      <c r="D2429">
        <v>6</v>
      </c>
    </row>
    <row r="2430" spans="2:4" x14ac:dyDescent="0.25">
      <c r="B2430" t="s">
        <v>1097</v>
      </c>
      <c r="C2430">
        <v>58</v>
      </c>
      <c r="D2430">
        <v>8</v>
      </c>
    </row>
    <row r="2431" spans="2:4" x14ac:dyDescent="0.25">
      <c r="B2431" t="s">
        <v>1097</v>
      </c>
      <c r="C2431">
        <v>58</v>
      </c>
      <c r="D2431">
        <v>13</v>
      </c>
    </row>
    <row r="2432" spans="2:4" x14ac:dyDescent="0.25">
      <c r="B2432" t="s">
        <v>1097</v>
      </c>
      <c r="C2432">
        <v>58</v>
      </c>
      <c r="D2432">
        <v>14</v>
      </c>
    </row>
    <row r="2433" spans="2:4" x14ac:dyDescent="0.25">
      <c r="B2433" t="s">
        <v>1097</v>
      </c>
      <c r="C2433">
        <v>59</v>
      </c>
      <c r="D2433">
        <v>6</v>
      </c>
    </row>
    <row r="2434" spans="2:4" x14ac:dyDescent="0.25">
      <c r="B2434" t="s">
        <v>1097</v>
      </c>
      <c r="C2434">
        <v>59</v>
      </c>
      <c r="D2434">
        <v>8</v>
      </c>
    </row>
    <row r="2435" spans="2:4" x14ac:dyDescent="0.25">
      <c r="B2435" t="s">
        <v>1097</v>
      </c>
      <c r="C2435">
        <v>59</v>
      </c>
      <c r="D2435">
        <v>13</v>
      </c>
    </row>
    <row r="2436" spans="2:4" x14ac:dyDescent="0.25">
      <c r="B2436" t="s">
        <v>1097</v>
      </c>
      <c r="C2436">
        <v>59</v>
      </c>
      <c r="D2436">
        <v>14</v>
      </c>
    </row>
    <row r="2437" spans="2:4" x14ac:dyDescent="0.25">
      <c r="B2437" t="s">
        <v>1097</v>
      </c>
      <c r="C2437">
        <v>62</v>
      </c>
      <c r="D2437">
        <v>6</v>
      </c>
    </row>
    <row r="2438" spans="2:4" x14ac:dyDescent="0.25">
      <c r="B2438" t="s">
        <v>1097</v>
      </c>
      <c r="C2438">
        <v>62</v>
      </c>
      <c r="D2438">
        <v>8</v>
      </c>
    </row>
    <row r="2439" spans="2:4" x14ac:dyDescent="0.25">
      <c r="B2439" t="s">
        <v>1097</v>
      </c>
      <c r="C2439">
        <v>62</v>
      </c>
      <c r="D2439">
        <v>13</v>
      </c>
    </row>
    <row r="2440" spans="2:4" x14ac:dyDescent="0.25">
      <c r="B2440" t="s">
        <v>1097</v>
      </c>
      <c r="C2440">
        <v>62</v>
      </c>
      <c r="D2440">
        <v>14</v>
      </c>
    </row>
    <row r="2441" spans="2:4" x14ac:dyDescent="0.25">
      <c r="B2441" t="s">
        <v>1097</v>
      </c>
      <c r="C2441">
        <v>63</v>
      </c>
      <c r="D2441">
        <v>6</v>
      </c>
    </row>
    <row r="2442" spans="2:4" x14ac:dyDescent="0.25">
      <c r="B2442" t="s">
        <v>1097</v>
      </c>
      <c r="C2442">
        <v>63</v>
      </c>
      <c r="D2442">
        <v>8</v>
      </c>
    </row>
    <row r="2443" spans="2:4" x14ac:dyDescent="0.25">
      <c r="B2443" t="s">
        <v>1097</v>
      </c>
      <c r="C2443">
        <v>63</v>
      </c>
      <c r="D2443">
        <v>13</v>
      </c>
    </row>
    <row r="2444" spans="2:4" x14ac:dyDescent="0.25">
      <c r="B2444" t="s">
        <v>1097</v>
      </c>
      <c r="C2444">
        <v>63</v>
      </c>
      <c r="D2444">
        <v>14</v>
      </c>
    </row>
    <row r="2445" spans="2:4" x14ac:dyDescent="0.25">
      <c r="B2445" t="s">
        <v>1097</v>
      </c>
      <c r="C2445">
        <v>65</v>
      </c>
      <c r="D2445">
        <v>6</v>
      </c>
    </row>
    <row r="2446" spans="2:4" x14ac:dyDescent="0.25">
      <c r="B2446" t="s">
        <v>1097</v>
      </c>
      <c r="C2446">
        <v>65</v>
      </c>
      <c r="D2446">
        <v>8</v>
      </c>
    </row>
    <row r="2447" spans="2:4" x14ac:dyDescent="0.25">
      <c r="B2447" t="s">
        <v>1097</v>
      </c>
      <c r="C2447">
        <v>65</v>
      </c>
      <c r="D2447">
        <v>13</v>
      </c>
    </row>
    <row r="2448" spans="2:4" x14ac:dyDescent="0.25">
      <c r="B2448" t="s">
        <v>1097</v>
      </c>
      <c r="C2448">
        <v>65</v>
      </c>
      <c r="D2448">
        <v>14</v>
      </c>
    </row>
    <row r="2449" spans="2:4" x14ac:dyDescent="0.25">
      <c r="B2449" t="s">
        <v>1097</v>
      </c>
      <c r="C2449">
        <v>66</v>
      </c>
      <c r="D2449">
        <v>6</v>
      </c>
    </row>
    <row r="2450" spans="2:4" x14ac:dyDescent="0.25">
      <c r="B2450" t="s">
        <v>1097</v>
      </c>
      <c r="C2450">
        <v>66</v>
      </c>
      <c r="D2450">
        <v>8</v>
      </c>
    </row>
    <row r="2451" spans="2:4" x14ac:dyDescent="0.25">
      <c r="B2451" t="s">
        <v>1097</v>
      </c>
      <c r="C2451">
        <v>66</v>
      </c>
      <c r="D2451">
        <v>13</v>
      </c>
    </row>
    <row r="2452" spans="2:4" x14ac:dyDescent="0.25">
      <c r="B2452" t="s">
        <v>1097</v>
      </c>
      <c r="C2452">
        <v>66</v>
      </c>
      <c r="D2452">
        <v>14</v>
      </c>
    </row>
    <row r="2453" spans="2:4" x14ac:dyDescent="0.25">
      <c r="B2453" t="s">
        <v>1097</v>
      </c>
      <c r="C2453">
        <v>67</v>
      </c>
      <c r="D2453">
        <v>6</v>
      </c>
    </row>
    <row r="2454" spans="2:4" x14ac:dyDescent="0.25">
      <c r="B2454" t="s">
        <v>1097</v>
      </c>
      <c r="C2454">
        <v>67</v>
      </c>
      <c r="D2454">
        <v>8</v>
      </c>
    </row>
    <row r="2455" spans="2:4" x14ac:dyDescent="0.25">
      <c r="B2455" t="s">
        <v>1097</v>
      </c>
      <c r="C2455">
        <v>67</v>
      </c>
      <c r="D2455">
        <v>13</v>
      </c>
    </row>
    <row r="2456" spans="2:4" x14ac:dyDescent="0.25">
      <c r="B2456" t="s">
        <v>1097</v>
      </c>
      <c r="C2456">
        <v>67</v>
      </c>
      <c r="D2456">
        <v>14</v>
      </c>
    </row>
    <row r="2457" spans="2:4" x14ac:dyDescent="0.25">
      <c r="B2457" t="s">
        <v>1097</v>
      </c>
      <c r="C2457">
        <v>68</v>
      </c>
      <c r="D2457">
        <v>6</v>
      </c>
    </row>
    <row r="2458" spans="2:4" x14ac:dyDescent="0.25">
      <c r="B2458" t="s">
        <v>1097</v>
      </c>
      <c r="C2458">
        <v>68</v>
      </c>
      <c r="D2458">
        <v>8</v>
      </c>
    </row>
    <row r="2459" spans="2:4" x14ac:dyDescent="0.25">
      <c r="B2459" t="s">
        <v>1097</v>
      </c>
      <c r="C2459">
        <v>68</v>
      </c>
      <c r="D2459">
        <v>13</v>
      </c>
    </row>
    <row r="2460" spans="2:4" x14ac:dyDescent="0.25">
      <c r="B2460" t="s">
        <v>1097</v>
      </c>
      <c r="C2460">
        <v>68</v>
      </c>
      <c r="D2460">
        <v>14</v>
      </c>
    </row>
    <row r="2461" spans="2:4" x14ac:dyDescent="0.25">
      <c r="B2461" t="s">
        <v>1097</v>
      </c>
      <c r="C2461">
        <v>69</v>
      </c>
      <c r="D2461">
        <v>6</v>
      </c>
    </row>
    <row r="2462" spans="2:4" x14ac:dyDescent="0.25">
      <c r="B2462" t="s">
        <v>1097</v>
      </c>
      <c r="C2462">
        <v>69</v>
      </c>
      <c r="D2462">
        <v>8</v>
      </c>
    </row>
    <row r="2463" spans="2:4" x14ac:dyDescent="0.25">
      <c r="B2463" t="s">
        <v>1097</v>
      </c>
      <c r="C2463">
        <v>69</v>
      </c>
      <c r="D2463">
        <v>13</v>
      </c>
    </row>
    <row r="2464" spans="2:4" x14ac:dyDescent="0.25">
      <c r="B2464" t="s">
        <v>1097</v>
      </c>
      <c r="C2464">
        <v>69</v>
      </c>
      <c r="D2464">
        <v>14</v>
      </c>
    </row>
    <row r="2465" spans="2:4" x14ac:dyDescent="0.25">
      <c r="B2465" t="s">
        <v>1696</v>
      </c>
      <c r="C2465">
        <v>6</v>
      </c>
      <c r="D2465">
        <v>5</v>
      </c>
    </row>
    <row r="2466" spans="2:4" x14ac:dyDescent="0.25">
      <c r="B2466" t="s">
        <v>1696</v>
      </c>
      <c r="C2466">
        <v>8</v>
      </c>
      <c r="D2466">
        <v>6</v>
      </c>
    </row>
    <row r="2467" spans="2:4" x14ac:dyDescent="0.25">
      <c r="B2467" t="s">
        <v>1696</v>
      </c>
      <c r="C2467">
        <v>8</v>
      </c>
      <c r="D2467">
        <v>8</v>
      </c>
    </row>
    <row r="2468" spans="2:4" x14ac:dyDescent="0.25">
      <c r="B2468" t="s">
        <v>1696</v>
      </c>
      <c r="C2468">
        <v>8</v>
      </c>
      <c r="D2468">
        <v>13</v>
      </c>
    </row>
    <row r="2469" spans="2:4" x14ac:dyDescent="0.25">
      <c r="B2469" t="s">
        <v>1696</v>
      </c>
      <c r="C2469">
        <v>8</v>
      </c>
      <c r="D2469">
        <v>14</v>
      </c>
    </row>
    <row r="2470" spans="2:4" x14ac:dyDescent="0.25">
      <c r="B2470" t="s">
        <v>1696</v>
      </c>
      <c r="C2470">
        <v>9</v>
      </c>
      <c r="D2470">
        <v>6</v>
      </c>
    </row>
    <row r="2471" spans="2:4" x14ac:dyDescent="0.25">
      <c r="B2471" t="s">
        <v>1696</v>
      </c>
      <c r="C2471">
        <v>9</v>
      </c>
      <c r="D2471">
        <v>8</v>
      </c>
    </row>
    <row r="2472" spans="2:4" x14ac:dyDescent="0.25">
      <c r="B2472" t="s">
        <v>1696</v>
      </c>
      <c r="C2472">
        <v>9</v>
      </c>
      <c r="D2472">
        <v>13</v>
      </c>
    </row>
    <row r="2473" spans="2:4" x14ac:dyDescent="0.25">
      <c r="B2473" t="s">
        <v>1696</v>
      </c>
      <c r="C2473">
        <v>9</v>
      </c>
      <c r="D2473">
        <v>14</v>
      </c>
    </row>
    <row r="2474" spans="2:4" x14ac:dyDescent="0.25">
      <c r="B2474" t="s">
        <v>1696</v>
      </c>
      <c r="C2474">
        <v>10</v>
      </c>
      <c r="D2474">
        <v>6</v>
      </c>
    </row>
    <row r="2475" spans="2:4" x14ac:dyDescent="0.25">
      <c r="B2475" t="s">
        <v>1696</v>
      </c>
      <c r="C2475">
        <v>10</v>
      </c>
      <c r="D2475">
        <v>8</v>
      </c>
    </row>
    <row r="2476" spans="2:4" x14ac:dyDescent="0.25">
      <c r="B2476" t="s">
        <v>1696</v>
      </c>
      <c r="C2476">
        <v>10</v>
      </c>
      <c r="D2476">
        <v>13</v>
      </c>
    </row>
    <row r="2477" spans="2:4" x14ac:dyDescent="0.25">
      <c r="B2477" t="s">
        <v>1696</v>
      </c>
      <c r="C2477">
        <v>10</v>
      </c>
      <c r="D2477">
        <v>14</v>
      </c>
    </row>
    <row r="2478" spans="2:4" x14ac:dyDescent="0.25">
      <c r="B2478" t="s">
        <v>1696</v>
      </c>
      <c r="C2478">
        <v>11</v>
      </c>
      <c r="D2478">
        <v>6</v>
      </c>
    </row>
    <row r="2479" spans="2:4" x14ac:dyDescent="0.25">
      <c r="B2479" t="s">
        <v>1696</v>
      </c>
      <c r="C2479">
        <v>11</v>
      </c>
      <c r="D2479">
        <v>8</v>
      </c>
    </row>
    <row r="2480" spans="2:4" x14ac:dyDescent="0.25">
      <c r="B2480" t="s">
        <v>1696</v>
      </c>
      <c r="C2480">
        <v>11</v>
      </c>
      <c r="D2480">
        <v>13</v>
      </c>
    </row>
    <row r="2481" spans="2:4" x14ac:dyDescent="0.25">
      <c r="B2481" t="s">
        <v>1696</v>
      </c>
      <c r="C2481">
        <v>11</v>
      </c>
      <c r="D2481">
        <v>14</v>
      </c>
    </row>
    <row r="2482" spans="2:4" x14ac:dyDescent="0.25">
      <c r="B2482" t="s">
        <v>1696</v>
      </c>
      <c r="C2482">
        <v>12</v>
      </c>
      <c r="D2482">
        <v>6</v>
      </c>
    </row>
    <row r="2483" spans="2:4" x14ac:dyDescent="0.25">
      <c r="B2483" t="s">
        <v>1696</v>
      </c>
      <c r="C2483">
        <v>12</v>
      </c>
      <c r="D2483">
        <v>8</v>
      </c>
    </row>
    <row r="2484" spans="2:4" x14ac:dyDescent="0.25">
      <c r="B2484" t="s">
        <v>1696</v>
      </c>
      <c r="C2484">
        <v>12</v>
      </c>
      <c r="D2484">
        <v>13</v>
      </c>
    </row>
    <row r="2485" spans="2:4" x14ac:dyDescent="0.25">
      <c r="B2485" t="s">
        <v>1696</v>
      </c>
      <c r="C2485">
        <v>12</v>
      </c>
      <c r="D2485">
        <v>14</v>
      </c>
    </row>
    <row r="2486" spans="2:4" x14ac:dyDescent="0.25">
      <c r="B2486" t="s">
        <v>1696</v>
      </c>
      <c r="C2486">
        <v>13</v>
      </c>
      <c r="D2486">
        <v>6</v>
      </c>
    </row>
    <row r="2487" spans="2:4" x14ac:dyDescent="0.25">
      <c r="B2487" t="s">
        <v>1696</v>
      </c>
      <c r="C2487">
        <v>13</v>
      </c>
      <c r="D2487">
        <v>8</v>
      </c>
    </row>
    <row r="2488" spans="2:4" x14ac:dyDescent="0.25">
      <c r="B2488" t="s">
        <v>1696</v>
      </c>
      <c r="C2488">
        <v>13</v>
      </c>
      <c r="D2488">
        <v>13</v>
      </c>
    </row>
    <row r="2489" spans="2:4" x14ac:dyDescent="0.25">
      <c r="B2489" t="s">
        <v>1696</v>
      </c>
      <c r="C2489">
        <v>13</v>
      </c>
      <c r="D2489">
        <v>14</v>
      </c>
    </row>
    <row r="2490" spans="2:4" x14ac:dyDescent="0.25">
      <c r="B2490" t="s">
        <v>1696</v>
      </c>
      <c r="C2490">
        <v>15</v>
      </c>
      <c r="D2490">
        <v>6</v>
      </c>
    </row>
    <row r="2491" spans="2:4" x14ac:dyDescent="0.25">
      <c r="B2491" t="s">
        <v>1696</v>
      </c>
      <c r="C2491">
        <v>15</v>
      </c>
      <c r="D2491">
        <v>8</v>
      </c>
    </row>
    <row r="2492" spans="2:4" x14ac:dyDescent="0.25">
      <c r="B2492" t="s">
        <v>1696</v>
      </c>
      <c r="C2492">
        <v>15</v>
      </c>
      <c r="D2492">
        <v>13</v>
      </c>
    </row>
    <row r="2493" spans="2:4" x14ac:dyDescent="0.25">
      <c r="B2493" t="s">
        <v>1696</v>
      </c>
      <c r="C2493">
        <v>15</v>
      </c>
      <c r="D2493">
        <v>14</v>
      </c>
    </row>
    <row r="2494" spans="2:4" x14ac:dyDescent="0.25">
      <c r="B2494" t="s">
        <v>1696</v>
      </c>
      <c r="C2494">
        <v>16</v>
      </c>
      <c r="D2494">
        <v>6</v>
      </c>
    </row>
    <row r="2495" spans="2:4" x14ac:dyDescent="0.25">
      <c r="B2495" t="s">
        <v>1696</v>
      </c>
      <c r="C2495">
        <v>16</v>
      </c>
      <c r="D2495">
        <v>8</v>
      </c>
    </row>
    <row r="2496" spans="2:4" x14ac:dyDescent="0.25">
      <c r="B2496" t="s">
        <v>1696</v>
      </c>
      <c r="C2496">
        <v>16</v>
      </c>
      <c r="D2496">
        <v>13</v>
      </c>
    </row>
    <row r="2497" spans="2:4" x14ac:dyDescent="0.25">
      <c r="B2497" t="s">
        <v>1696</v>
      </c>
      <c r="C2497">
        <v>16</v>
      </c>
      <c r="D2497">
        <v>14</v>
      </c>
    </row>
    <row r="2498" spans="2:4" x14ac:dyDescent="0.25">
      <c r="B2498" t="s">
        <v>1696</v>
      </c>
      <c r="C2498">
        <v>17</v>
      </c>
      <c r="D2498">
        <v>6</v>
      </c>
    </row>
    <row r="2499" spans="2:4" x14ac:dyDescent="0.25">
      <c r="B2499" t="s">
        <v>1696</v>
      </c>
      <c r="C2499">
        <v>17</v>
      </c>
      <c r="D2499">
        <v>8</v>
      </c>
    </row>
    <row r="2500" spans="2:4" x14ac:dyDescent="0.25">
      <c r="B2500" t="s">
        <v>1696</v>
      </c>
      <c r="C2500">
        <v>17</v>
      </c>
      <c r="D2500">
        <v>13</v>
      </c>
    </row>
    <row r="2501" spans="2:4" x14ac:dyDescent="0.25">
      <c r="B2501" t="s">
        <v>1696</v>
      </c>
      <c r="C2501">
        <v>17</v>
      </c>
      <c r="D2501">
        <v>14</v>
      </c>
    </row>
    <row r="2502" spans="2:4" x14ac:dyDescent="0.25">
      <c r="B2502" t="s">
        <v>1696</v>
      </c>
      <c r="C2502">
        <v>18</v>
      </c>
      <c r="D2502">
        <v>6</v>
      </c>
    </row>
    <row r="2503" spans="2:4" x14ac:dyDescent="0.25">
      <c r="B2503" t="s">
        <v>1696</v>
      </c>
      <c r="C2503">
        <v>18</v>
      </c>
      <c r="D2503">
        <v>8</v>
      </c>
    </row>
    <row r="2504" spans="2:4" x14ac:dyDescent="0.25">
      <c r="B2504" t="s">
        <v>1696</v>
      </c>
      <c r="C2504">
        <v>18</v>
      </c>
      <c r="D2504">
        <v>13</v>
      </c>
    </row>
    <row r="2505" spans="2:4" x14ac:dyDescent="0.25">
      <c r="B2505" t="s">
        <v>1696</v>
      </c>
      <c r="C2505">
        <v>18</v>
      </c>
      <c r="D2505">
        <v>14</v>
      </c>
    </row>
    <row r="2506" spans="2:4" x14ac:dyDescent="0.25">
      <c r="B2506" t="s">
        <v>1696</v>
      </c>
      <c r="C2506">
        <v>19</v>
      </c>
      <c r="D2506">
        <v>6</v>
      </c>
    </row>
    <row r="2507" spans="2:4" x14ac:dyDescent="0.25">
      <c r="B2507" t="s">
        <v>1696</v>
      </c>
      <c r="C2507">
        <v>19</v>
      </c>
      <c r="D2507">
        <v>8</v>
      </c>
    </row>
    <row r="2508" spans="2:4" x14ac:dyDescent="0.25">
      <c r="B2508" t="s">
        <v>1696</v>
      </c>
      <c r="C2508">
        <v>19</v>
      </c>
      <c r="D2508">
        <v>13</v>
      </c>
    </row>
    <row r="2509" spans="2:4" x14ac:dyDescent="0.25">
      <c r="B2509" t="s">
        <v>1696</v>
      </c>
      <c r="C2509">
        <v>19</v>
      </c>
      <c r="D2509">
        <v>14</v>
      </c>
    </row>
    <row r="2510" spans="2:4" x14ac:dyDescent="0.25">
      <c r="B2510" t="s">
        <v>1696</v>
      </c>
      <c r="C2510">
        <v>20</v>
      </c>
      <c r="D2510">
        <v>6</v>
      </c>
    </row>
    <row r="2511" spans="2:4" x14ac:dyDescent="0.25">
      <c r="B2511" t="s">
        <v>1696</v>
      </c>
      <c r="C2511">
        <v>20</v>
      </c>
      <c r="D2511">
        <v>8</v>
      </c>
    </row>
    <row r="2512" spans="2:4" x14ac:dyDescent="0.25">
      <c r="B2512" t="s">
        <v>1696</v>
      </c>
      <c r="C2512">
        <v>20</v>
      </c>
      <c r="D2512">
        <v>13</v>
      </c>
    </row>
    <row r="2513" spans="2:4" x14ac:dyDescent="0.25">
      <c r="B2513" t="s">
        <v>1696</v>
      </c>
      <c r="C2513">
        <v>20</v>
      </c>
      <c r="D2513">
        <v>14</v>
      </c>
    </row>
    <row r="2514" spans="2:4" x14ac:dyDescent="0.25">
      <c r="B2514" t="s">
        <v>1696</v>
      </c>
      <c r="C2514">
        <v>22</v>
      </c>
      <c r="D2514">
        <v>6</v>
      </c>
    </row>
    <row r="2515" spans="2:4" x14ac:dyDescent="0.25">
      <c r="B2515" t="s">
        <v>1696</v>
      </c>
      <c r="C2515">
        <v>22</v>
      </c>
      <c r="D2515">
        <v>8</v>
      </c>
    </row>
    <row r="2516" spans="2:4" x14ac:dyDescent="0.25">
      <c r="B2516" t="s">
        <v>1696</v>
      </c>
      <c r="C2516">
        <v>22</v>
      </c>
      <c r="D2516">
        <v>13</v>
      </c>
    </row>
    <row r="2517" spans="2:4" x14ac:dyDescent="0.25">
      <c r="B2517" t="s">
        <v>1696</v>
      </c>
      <c r="C2517">
        <v>22</v>
      </c>
      <c r="D2517">
        <v>14</v>
      </c>
    </row>
    <row r="2518" spans="2:4" x14ac:dyDescent="0.25">
      <c r="B2518" t="s">
        <v>1696</v>
      </c>
      <c r="C2518">
        <v>23</v>
      </c>
      <c r="D2518">
        <v>6</v>
      </c>
    </row>
    <row r="2519" spans="2:4" x14ac:dyDescent="0.25">
      <c r="B2519" t="s">
        <v>1696</v>
      </c>
      <c r="C2519">
        <v>23</v>
      </c>
      <c r="D2519">
        <v>8</v>
      </c>
    </row>
    <row r="2520" spans="2:4" x14ac:dyDescent="0.25">
      <c r="B2520" t="s">
        <v>1696</v>
      </c>
      <c r="C2520">
        <v>23</v>
      </c>
      <c r="D2520">
        <v>13</v>
      </c>
    </row>
    <row r="2521" spans="2:4" x14ac:dyDescent="0.25">
      <c r="B2521" t="s">
        <v>1696</v>
      </c>
      <c r="C2521">
        <v>23</v>
      </c>
      <c r="D2521">
        <v>14</v>
      </c>
    </row>
    <row r="2522" spans="2:4" x14ac:dyDescent="0.25">
      <c r="B2522" t="s">
        <v>1696</v>
      </c>
      <c r="C2522">
        <v>24</v>
      </c>
      <c r="D2522">
        <v>6</v>
      </c>
    </row>
    <row r="2523" spans="2:4" x14ac:dyDescent="0.25">
      <c r="B2523" t="s">
        <v>1696</v>
      </c>
      <c r="C2523">
        <v>24</v>
      </c>
      <c r="D2523">
        <v>8</v>
      </c>
    </row>
    <row r="2524" spans="2:4" x14ac:dyDescent="0.25">
      <c r="B2524" t="s">
        <v>1696</v>
      </c>
      <c r="C2524">
        <v>24</v>
      </c>
      <c r="D2524">
        <v>13</v>
      </c>
    </row>
    <row r="2525" spans="2:4" x14ac:dyDescent="0.25">
      <c r="B2525" t="s">
        <v>1696</v>
      </c>
      <c r="C2525">
        <v>24</v>
      </c>
      <c r="D2525">
        <v>14</v>
      </c>
    </row>
    <row r="2526" spans="2:4" x14ac:dyDescent="0.25">
      <c r="B2526" t="s">
        <v>1696</v>
      </c>
      <c r="C2526">
        <v>25</v>
      </c>
      <c r="D2526">
        <v>6</v>
      </c>
    </row>
    <row r="2527" spans="2:4" x14ac:dyDescent="0.25">
      <c r="B2527" t="s">
        <v>1696</v>
      </c>
      <c r="C2527">
        <v>25</v>
      </c>
      <c r="D2527">
        <v>8</v>
      </c>
    </row>
    <row r="2528" spans="2:4" x14ac:dyDescent="0.25">
      <c r="B2528" t="s">
        <v>1696</v>
      </c>
      <c r="C2528">
        <v>25</v>
      </c>
      <c r="D2528">
        <v>13</v>
      </c>
    </row>
    <row r="2529" spans="2:4" x14ac:dyDescent="0.25">
      <c r="B2529" t="s">
        <v>1696</v>
      </c>
      <c r="C2529">
        <v>25</v>
      </c>
      <c r="D2529">
        <v>14</v>
      </c>
    </row>
    <row r="2530" spans="2:4" x14ac:dyDescent="0.25">
      <c r="B2530" t="s">
        <v>1696</v>
      </c>
      <c r="C2530">
        <v>26</v>
      </c>
      <c r="D2530">
        <v>6</v>
      </c>
    </row>
    <row r="2531" spans="2:4" x14ac:dyDescent="0.25">
      <c r="B2531" t="s">
        <v>1696</v>
      </c>
      <c r="C2531">
        <v>26</v>
      </c>
      <c r="D2531">
        <v>8</v>
      </c>
    </row>
    <row r="2532" spans="2:4" x14ac:dyDescent="0.25">
      <c r="B2532" t="s">
        <v>1696</v>
      </c>
      <c r="C2532">
        <v>26</v>
      </c>
      <c r="D2532">
        <v>13</v>
      </c>
    </row>
    <row r="2533" spans="2:4" x14ac:dyDescent="0.25">
      <c r="B2533" t="s">
        <v>1696</v>
      </c>
      <c r="C2533">
        <v>26</v>
      </c>
      <c r="D2533">
        <v>14</v>
      </c>
    </row>
    <row r="2534" spans="2:4" x14ac:dyDescent="0.25">
      <c r="B2534" t="s">
        <v>1696</v>
      </c>
      <c r="C2534">
        <v>27</v>
      </c>
      <c r="D2534">
        <v>6</v>
      </c>
    </row>
    <row r="2535" spans="2:4" x14ac:dyDescent="0.25">
      <c r="B2535" t="s">
        <v>1696</v>
      </c>
      <c r="C2535">
        <v>27</v>
      </c>
      <c r="D2535">
        <v>8</v>
      </c>
    </row>
    <row r="2536" spans="2:4" x14ac:dyDescent="0.25">
      <c r="B2536" t="s">
        <v>1696</v>
      </c>
      <c r="C2536">
        <v>27</v>
      </c>
      <c r="D2536">
        <v>13</v>
      </c>
    </row>
    <row r="2537" spans="2:4" x14ac:dyDescent="0.25">
      <c r="B2537" t="s">
        <v>1696</v>
      </c>
      <c r="C2537">
        <v>27</v>
      </c>
      <c r="D2537">
        <v>14</v>
      </c>
    </row>
    <row r="2538" spans="2:4" x14ac:dyDescent="0.25">
      <c r="B2538" t="s">
        <v>1696</v>
      </c>
      <c r="C2538">
        <v>29</v>
      </c>
      <c r="D2538">
        <v>6</v>
      </c>
    </row>
    <row r="2539" spans="2:4" x14ac:dyDescent="0.25">
      <c r="B2539" t="s">
        <v>1696</v>
      </c>
      <c r="C2539">
        <v>29</v>
      </c>
      <c r="D2539">
        <v>8</v>
      </c>
    </row>
    <row r="2540" spans="2:4" x14ac:dyDescent="0.25">
      <c r="B2540" t="s">
        <v>1696</v>
      </c>
      <c r="C2540">
        <v>29</v>
      </c>
      <c r="D2540">
        <v>13</v>
      </c>
    </row>
    <row r="2541" spans="2:4" x14ac:dyDescent="0.25">
      <c r="B2541" t="s">
        <v>1696</v>
      </c>
      <c r="C2541">
        <v>29</v>
      </c>
      <c r="D2541">
        <v>14</v>
      </c>
    </row>
    <row r="2542" spans="2:4" x14ac:dyDescent="0.25">
      <c r="B2542" t="s">
        <v>1696</v>
      </c>
      <c r="C2542">
        <v>30</v>
      </c>
      <c r="D2542">
        <v>6</v>
      </c>
    </row>
    <row r="2543" spans="2:4" x14ac:dyDescent="0.25">
      <c r="B2543" t="s">
        <v>1696</v>
      </c>
      <c r="C2543">
        <v>30</v>
      </c>
      <c r="D2543">
        <v>8</v>
      </c>
    </row>
    <row r="2544" spans="2:4" x14ac:dyDescent="0.25">
      <c r="B2544" t="s">
        <v>1696</v>
      </c>
      <c r="C2544">
        <v>30</v>
      </c>
      <c r="D2544">
        <v>13</v>
      </c>
    </row>
    <row r="2545" spans="2:4" x14ac:dyDescent="0.25">
      <c r="B2545" t="s">
        <v>1696</v>
      </c>
      <c r="C2545">
        <v>30</v>
      </c>
      <c r="D2545">
        <v>14</v>
      </c>
    </row>
    <row r="2546" spans="2:4" x14ac:dyDescent="0.25">
      <c r="B2546" t="s">
        <v>1696</v>
      </c>
      <c r="C2546">
        <v>31</v>
      </c>
      <c r="D2546">
        <v>6</v>
      </c>
    </row>
    <row r="2547" spans="2:4" x14ac:dyDescent="0.25">
      <c r="B2547" t="s">
        <v>1696</v>
      </c>
      <c r="C2547">
        <v>31</v>
      </c>
      <c r="D2547">
        <v>8</v>
      </c>
    </row>
    <row r="2548" spans="2:4" x14ac:dyDescent="0.25">
      <c r="B2548" t="s">
        <v>1696</v>
      </c>
      <c r="C2548">
        <v>31</v>
      </c>
      <c r="D2548">
        <v>13</v>
      </c>
    </row>
    <row r="2549" spans="2:4" x14ac:dyDescent="0.25">
      <c r="B2549" t="s">
        <v>1696</v>
      </c>
      <c r="C2549">
        <v>31</v>
      </c>
      <c r="D2549">
        <v>14</v>
      </c>
    </row>
    <row r="2550" spans="2:4" x14ac:dyDescent="0.25">
      <c r="B2550" t="s">
        <v>1696</v>
      </c>
      <c r="C2550">
        <v>32</v>
      </c>
      <c r="D2550">
        <v>6</v>
      </c>
    </row>
    <row r="2551" spans="2:4" x14ac:dyDescent="0.25">
      <c r="B2551" t="s">
        <v>1696</v>
      </c>
      <c r="C2551">
        <v>32</v>
      </c>
      <c r="D2551">
        <v>8</v>
      </c>
    </row>
    <row r="2552" spans="2:4" x14ac:dyDescent="0.25">
      <c r="B2552" t="s">
        <v>1696</v>
      </c>
      <c r="C2552">
        <v>32</v>
      </c>
      <c r="D2552">
        <v>13</v>
      </c>
    </row>
    <row r="2553" spans="2:4" x14ac:dyDescent="0.25">
      <c r="B2553" t="s">
        <v>1696</v>
      </c>
      <c r="C2553">
        <v>32</v>
      </c>
      <c r="D2553">
        <v>14</v>
      </c>
    </row>
    <row r="2554" spans="2:4" x14ac:dyDescent="0.25">
      <c r="B2554" t="s">
        <v>1696</v>
      </c>
      <c r="C2554">
        <v>33</v>
      </c>
      <c r="D2554">
        <v>6</v>
      </c>
    </row>
    <row r="2555" spans="2:4" x14ac:dyDescent="0.25">
      <c r="B2555" t="s">
        <v>1696</v>
      </c>
      <c r="C2555">
        <v>33</v>
      </c>
      <c r="D2555">
        <v>8</v>
      </c>
    </row>
    <row r="2556" spans="2:4" x14ac:dyDescent="0.25">
      <c r="B2556" t="s">
        <v>1696</v>
      </c>
      <c r="C2556">
        <v>33</v>
      </c>
      <c r="D2556">
        <v>13</v>
      </c>
    </row>
    <row r="2557" spans="2:4" x14ac:dyDescent="0.25">
      <c r="B2557" t="s">
        <v>1696</v>
      </c>
      <c r="C2557">
        <v>33</v>
      </c>
      <c r="D2557">
        <v>14</v>
      </c>
    </row>
    <row r="2558" spans="2:4" x14ac:dyDescent="0.25">
      <c r="B2558" t="s">
        <v>1696</v>
      </c>
      <c r="C2558">
        <v>34</v>
      </c>
      <c r="D2558">
        <v>6</v>
      </c>
    </row>
    <row r="2559" spans="2:4" x14ac:dyDescent="0.25">
      <c r="B2559" t="s">
        <v>1696</v>
      </c>
      <c r="C2559">
        <v>34</v>
      </c>
      <c r="D2559">
        <v>8</v>
      </c>
    </row>
    <row r="2560" spans="2:4" x14ac:dyDescent="0.25">
      <c r="B2560" t="s">
        <v>1696</v>
      </c>
      <c r="C2560">
        <v>34</v>
      </c>
      <c r="D2560">
        <v>13</v>
      </c>
    </row>
    <row r="2561" spans="2:4" x14ac:dyDescent="0.25">
      <c r="B2561" t="s">
        <v>1696</v>
      </c>
      <c r="C2561">
        <v>34</v>
      </c>
      <c r="D2561">
        <v>14</v>
      </c>
    </row>
    <row r="2562" spans="2:4" x14ac:dyDescent="0.25">
      <c r="B2562" t="s">
        <v>1696</v>
      </c>
      <c r="C2562">
        <v>35</v>
      </c>
      <c r="D2562">
        <v>5</v>
      </c>
    </row>
    <row r="2563" spans="2:4" x14ac:dyDescent="0.25">
      <c r="B2563" t="s">
        <v>1696</v>
      </c>
      <c r="C2563">
        <v>37</v>
      </c>
      <c r="D2563">
        <v>6</v>
      </c>
    </row>
    <row r="2564" spans="2:4" x14ac:dyDescent="0.25">
      <c r="B2564" t="s">
        <v>1696</v>
      </c>
      <c r="C2564">
        <v>37</v>
      </c>
      <c r="D2564">
        <v>8</v>
      </c>
    </row>
    <row r="2565" spans="2:4" x14ac:dyDescent="0.25">
      <c r="B2565" t="s">
        <v>1696</v>
      </c>
      <c r="C2565">
        <v>37</v>
      </c>
      <c r="D2565">
        <v>13</v>
      </c>
    </row>
    <row r="2566" spans="2:4" x14ac:dyDescent="0.25">
      <c r="B2566" t="s">
        <v>1696</v>
      </c>
      <c r="C2566">
        <v>37</v>
      </c>
      <c r="D2566">
        <v>14</v>
      </c>
    </row>
    <row r="2567" spans="2:4" x14ac:dyDescent="0.25">
      <c r="B2567" t="s">
        <v>1696</v>
      </c>
      <c r="C2567">
        <v>38</v>
      </c>
      <c r="D2567">
        <v>6</v>
      </c>
    </row>
    <row r="2568" spans="2:4" x14ac:dyDescent="0.25">
      <c r="B2568" t="s">
        <v>1696</v>
      </c>
      <c r="C2568">
        <v>38</v>
      </c>
      <c r="D2568">
        <v>8</v>
      </c>
    </row>
    <row r="2569" spans="2:4" x14ac:dyDescent="0.25">
      <c r="B2569" t="s">
        <v>1696</v>
      </c>
      <c r="C2569">
        <v>38</v>
      </c>
      <c r="D2569">
        <v>13</v>
      </c>
    </row>
    <row r="2570" spans="2:4" x14ac:dyDescent="0.25">
      <c r="B2570" t="s">
        <v>1696</v>
      </c>
      <c r="C2570">
        <v>38</v>
      </c>
      <c r="D2570">
        <v>14</v>
      </c>
    </row>
    <row r="2571" spans="2:4" x14ac:dyDescent="0.25">
      <c r="B2571" t="s">
        <v>1696</v>
      </c>
      <c r="C2571">
        <v>39</v>
      </c>
      <c r="D2571">
        <v>6</v>
      </c>
    </row>
    <row r="2572" spans="2:4" x14ac:dyDescent="0.25">
      <c r="B2572" t="s">
        <v>1696</v>
      </c>
      <c r="C2572">
        <v>39</v>
      </c>
      <c r="D2572">
        <v>8</v>
      </c>
    </row>
    <row r="2573" spans="2:4" x14ac:dyDescent="0.25">
      <c r="B2573" t="s">
        <v>1696</v>
      </c>
      <c r="C2573">
        <v>39</v>
      </c>
      <c r="D2573">
        <v>13</v>
      </c>
    </row>
    <row r="2574" spans="2:4" x14ac:dyDescent="0.25">
      <c r="B2574" t="s">
        <v>1696</v>
      </c>
      <c r="C2574">
        <v>39</v>
      </c>
      <c r="D2574">
        <v>14</v>
      </c>
    </row>
    <row r="2575" spans="2:4" x14ac:dyDescent="0.25">
      <c r="B2575" t="s">
        <v>1696</v>
      </c>
      <c r="C2575">
        <v>41</v>
      </c>
      <c r="D2575">
        <v>6</v>
      </c>
    </row>
    <row r="2576" spans="2:4" x14ac:dyDescent="0.25">
      <c r="B2576" t="s">
        <v>1696</v>
      </c>
      <c r="C2576">
        <v>41</v>
      </c>
      <c r="D2576">
        <v>8</v>
      </c>
    </row>
    <row r="2577" spans="2:4" x14ac:dyDescent="0.25">
      <c r="B2577" t="s">
        <v>1696</v>
      </c>
      <c r="C2577">
        <v>41</v>
      </c>
      <c r="D2577">
        <v>13</v>
      </c>
    </row>
    <row r="2578" spans="2:4" x14ac:dyDescent="0.25">
      <c r="B2578" t="s">
        <v>1696</v>
      </c>
      <c r="C2578">
        <v>41</v>
      </c>
      <c r="D2578">
        <v>14</v>
      </c>
    </row>
    <row r="2579" spans="2:4" x14ac:dyDescent="0.25">
      <c r="B2579" t="s">
        <v>1696</v>
      </c>
      <c r="C2579">
        <v>42</v>
      </c>
      <c r="D2579">
        <v>6</v>
      </c>
    </row>
    <row r="2580" spans="2:4" x14ac:dyDescent="0.25">
      <c r="B2580" t="s">
        <v>1696</v>
      </c>
      <c r="C2580">
        <v>42</v>
      </c>
      <c r="D2580">
        <v>8</v>
      </c>
    </row>
    <row r="2581" spans="2:4" x14ac:dyDescent="0.25">
      <c r="B2581" t="s">
        <v>1696</v>
      </c>
      <c r="C2581">
        <v>42</v>
      </c>
      <c r="D2581">
        <v>13</v>
      </c>
    </row>
    <row r="2582" spans="2:4" x14ac:dyDescent="0.25">
      <c r="B2582" t="s">
        <v>1696</v>
      </c>
      <c r="C2582">
        <v>42</v>
      </c>
      <c r="D2582">
        <v>14</v>
      </c>
    </row>
    <row r="2583" spans="2:4" x14ac:dyDescent="0.25">
      <c r="B2583" t="s">
        <v>1696</v>
      </c>
      <c r="C2583">
        <v>43</v>
      </c>
      <c r="D2583">
        <v>6</v>
      </c>
    </row>
    <row r="2584" spans="2:4" x14ac:dyDescent="0.25">
      <c r="B2584" t="s">
        <v>1696</v>
      </c>
      <c r="C2584">
        <v>43</v>
      </c>
      <c r="D2584">
        <v>8</v>
      </c>
    </row>
    <row r="2585" spans="2:4" x14ac:dyDescent="0.25">
      <c r="B2585" t="s">
        <v>1696</v>
      </c>
      <c r="C2585">
        <v>43</v>
      </c>
      <c r="D2585">
        <v>13</v>
      </c>
    </row>
    <row r="2586" spans="2:4" x14ac:dyDescent="0.25">
      <c r="B2586" t="s">
        <v>1696</v>
      </c>
      <c r="C2586">
        <v>43</v>
      </c>
      <c r="D2586">
        <v>14</v>
      </c>
    </row>
    <row r="2587" spans="2:4" x14ac:dyDescent="0.25">
      <c r="B2587" t="s">
        <v>1696</v>
      </c>
      <c r="C2587">
        <v>44</v>
      </c>
      <c r="D2587">
        <v>6</v>
      </c>
    </row>
    <row r="2588" spans="2:4" x14ac:dyDescent="0.25">
      <c r="B2588" t="s">
        <v>1696</v>
      </c>
      <c r="C2588">
        <v>44</v>
      </c>
      <c r="D2588">
        <v>8</v>
      </c>
    </row>
    <row r="2589" spans="2:4" x14ac:dyDescent="0.25">
      <c r="B2589" t="s">
        <v>1696</v>
      </c>
      <c r="C2589">
        <v>44</v>
      </c>
      <c r="D2589">
        <v>13</v>
      </c>
    </row>
    <row r="2590" spans="2:4" x14ac:dyDescent="0.25">
      <c r="B2590" t="s">
        <v>1696</v>
      </c>
      <c r="C2590">
        <v>44</v>
      </c>
      <c r="D2590">
        <v>14</v>
      </c>
    </row>
    <row r="2591" spans="2:4" x14ac:dyDescent="0.25">
      <c r="B2591" t="s">
        <v>1696</v>
      </c>
      <c r="C2591">
        <v>47</v>
      </c>
      <c r="D2591">
        <v>6</v>
      </c>
    </row>
    <row r="2592" spans="2:4" x14ac:dyDescent="0.25">
      <c r="B2592" t="s">
        <v>1696</v>
      </c>
      <c r="C2592">
        <v>47</v>
      </c>
      <c r="D2592">
        <v>8</v>
      </c>
    </row>
    <row r="2593" spans="2:4" x14ac:dyDescent="0.25">
      <c r="B2593" t="s">
        <v>1696</v>
      </c>
      <c r="C2593">
        <v>47</v>
      </c>
      <c r="D2593">
        <v>13</v>
      </c>
    </row>
    <row r="2594" spans="2:4" x14ac:dyDescent="0.25">
      <c r="B2594" t="s">
        <v>1696</v>
      </c>
      <c r="C2594">
        <v>47</v>
      </c>
      <c r="D2594">
        <v>14</v>
      </c>
    </row>
    <row r="2595" spans="2:4" x14ac:dyDescent="0.25">
      <c r="B2595" t="s">
        <v>1696</v>
      </c>
      <c r="C2595">
        <v>48</v>
      </c>
      <c r="D2595">
        <v>6</v>
      </c>
    </row>
    <row r="2596" spans="2:4" x14ac:dyDescent="0.25">
      <c r="B2596" t="s">
        <v>1696</v>
      </c>
      <c r="C2596">
        <v>48</v>
      </c>
      <c r="D2596">
        <v>8</v>
      </c>
    </row>
    <row r="2597" spans="2:4" x14ac:dyDescent="0.25">
      <c r="B2597" t="s">
        <v>1696</v>
      </c>
      <c r="C2597">
        <v>48</v>
      </c>
      <c r="D2597">
        <v>13</v>
      </c>
    </row>
    <row r="2598" spans="2:4" x14ac:dyDescent="0.25">
      <c r="B2598" t="s">
        <v>1696</v>
      </c>
      <c r="C2598">
        <v>48</v>
      </c>
      <c r="D2598">
        <v>14</v>
      </c>
    </row>
    <row r="2599" spans="2:4" x14ac:dyDescent="0.25">
      <c r="B2599" t="s">
        <v>1696</v>
      </c>
      <c r="C2599">
        <v>49</v>
      </c>
      <c r="D2599">
        <v>6</v>
      </c>
    </row>
    <row r="2600" spans="2:4" x14ac:dyDescent="0.25">
      <c r="B2600" t="s">
        <v>1696</v>
      </c>
      <c r="C2600">
        <v>49</v>
      </c>
      <c r="D2600">
        <v>8</v>
      </c>
    </row>
    <row r="2601" spans="2:4" x14ac:dyDescent="0.25">
      <c r="B2601" t="s">
        <v>1696</v>
      </c>
      <c r="C2601">
        <v>49</v>
      </c>
      <c r="D2601">
        <v>13</v>
      </c>
    </row>
    <row r="2602" spans="2:4" x14ac:dyDescent="0.25">
      <c r="B2602" t="s">
        <v>1696</v>
      </c>
      <c r="C2602">
        <v>49</v>
      </c>
      <c r="D2602">
        <v>14</v>
      </c>
    </row>
    <row r="2603" spans="2:4" x14ac:dyDescent="0.25">
      <c r="B2603" t="s">
        <v>1696</v>
      </c>
      <c r="C2603">
        <v>50</v>
      </c>
      <c r="D2603">
        <v>6</v>
      </c>
    </row>
    <row r="2604" spans="2:4" x14ac:dyDescent="0.25">
      <c r="B2604" t="s">
        <v>1696</v>
      </c>
      <c r="C2604">
        <v>50</v>
      </c>
      <c r="D2604">
        <v>8</v>
      </c>
    </row>
    <row r="2605" spans="2:4" x14ac:dyDescent="0.25">
      <c r="B2605" t="s">
        <v>1696</v>
      </c>
      <c r="C2605">
        <v>50</v>
      </c>
      <c r="D2605">
        <v>13</v>
      </c>
    </row>
    <row r="2606" spans="2:4" x14ac:dyDescent="0.25">
      <c r="B2606" t="s">
        <v>1696</v>
      </c>
      <c r="C2606">
        <v>50</v>
      </c>
      <c r="D2606">
        <v>14</v>
      </c>
    </row>
    <row r="2607" spans="2:4" x14ac:dyDescent="0.25">
      <c r="B2607" t="s">
        <v>1696</v>
      </c>
      <c r="C2607">
        <v>51</v>
      </c>
      <c r="D2607">
        <v>6</v>
      </c>
    </row>
    <row r="2608" spans="2:4" x14ac:dyDescent="0.25">
      <c r="B2608" t="s">
        <v>1696</v>
      </c>
      <c r="C2608">
        <v>51</v>
      </c>
      <c r="D2608">
        <v>8</v>
      </c>
    </row>
    <row r="2609" spans="2:4" x14ac:dyDescent="0.25">
      <c r="B2609" t="s">
        <v>1696</v>
      </c>
      <c r="C2609">
        <v>51</v>
      </c>
      <c r="D2609">
        <v>13</v>
      </c>
    </row>
    <row r="2610" spans="2:4" x14ac:dyDescent="0.25">
      <c r="B2610" t="s">
        <v>1696</v>
      </c>
      <c r="C2610">
        <v>51</v>
      </c>
      <c r="D2610">
        <v>14</v>
      </c>
    </row>
    <row r="2611" spans="2:4" x14ac:dyDescent="0.25">
      <c r="B2611" t="s">
        <v>1696</v>
      </c>
      <c r="C2611">
        <v>52</v>
      </c>
      <c r="D2611">
        <v>6</v>
      </c>
    </row>
    <row r="2612" spans="2:4" x14ac:dyDescent="0.25">
      <c r="B2612" t="s">
        <v>1696</v>
      </c>
      <c r="C2612">
        <v>52</v>
      </c>
      <c r="D2612">
        <v>8</v>
      </c>
    </row>
    <row r="2613" spans="2:4" x14ac:dyDescent="0.25">
      <c r="B2613" t="s">
        <v>1696</v>
      </c>
      <c r="C2613">
        <v>52</v>
      </c>
      <c r="D2613">
        <v>13</v>
      </c>
    </row>
    <row r="2614" spans="2:4" x14ac:dyDescent="0.25">
      <c r="B2614" t="s">
        <v>1696</v>
      </c>
      <c r="C2614">
        <v>52</v>
      </c>
      <c r="D2614">
        <v>14</v>
      </c>
    </row>
    <row r="2615" spans="2:4" x14ac:dyDescent="0.25">
      <c r="B2615" t="s">
        <v>1696</v>
      </c>
      <c r="C2615">
        <v>53</v>
      </c>
      <c r="D2615">
        <v>6</v>
      </c>
    </row>
    <row r="2616" spans="2:4" x14ac:dyDescent="0.25">
      <c r="B2616" t="s">
        <v>1696</v>
      </c>
      <c r="C2616">
        <v>53</v>
      </c>
      <c r="D2616">
        <v>8</v>
      </c>
    </row>
    <row r="2617" spans="2:4" x14ac:dyDescent="0.25">
      <c r="B2617" t="s">
        <v>1696</v>
      </c>
      <c r="C2617">
        <v>53</v>
      </c>
      <c r="D2617">
        <v>13</v>
      </c>
    </row>
    <row r="2618" spans="2:4" x14ac:dyDescent="0.25">
      <c r="B2618" t="s">
        <v>1696</v>
      </c>
      <c r="C2618">
        <v>53</v>
      </c>
      <c r="D2618">
        <v>14</v>
      </c>
    </row>
    <row r="2619" spans="2:4" x14ac:dyDescent="0.25">
      <c r="B2619" t="s">
        <v>1696</v>
      </c>
      <c r="C2619">
        <v>54</v>
      </c>
      <c r="D2619">
        <v>5</v>
      </c>
    </row>
    <row r="2620" spans="2:4" x14ac:dyDescent="0.25">
      <c r="B2620" t="s">
        <v>1696</v>
      </c>
      <c r="C2620">
        <v>56</v>
      </c>
      <c r="D2620">
        <v>6</v>
      </c>
    </row>
    <row r="2621" spans="2:4" x14ac:dyDescent="0.25">
      <c r="B2621" t="s">
        <v>1696</v>
      </c>
      <c r="C2621">
        <v>56</v>
      </c>
      <c r="D2621">
        <v>8</v>
      </c>
    </row>
    <row r="2622" spans="2:4" x14ac:dyDescent="0.25">
      <c r="B2622" t="s">
        <v>1696</v>
      </c>
      <c r="C2622">
        <v>56</v>
      </c>
      <c r="D2622">
        <v>13</v>
      </c>
    </row>
    <row r="2623" spans="2:4" x14ac:dyDescent="0.25">
      <c r="B2623" t="s">
        <v>1696</v>
      </c>
      <c r="C2623">
        <v>56</v>
      </c>
      <c r="D2623">
        <v>14</v>
      </c>
    </row>
    <row r="2624" spans="2:4" x14ac:dyDescent="0.25">
      <c r="B2624" t="s">
        <v>1696</v>
      </c>
      <c r="C2624">
        <v>57</v>
      </c>
      <c r="D2624">
        <v>6</v>
      </c>
    </row>
    <row r="2625" spans="2:4" x14ac:dyDescent="0.25">
      <c r="B2625" t="s">
        <v>1696</v>
      </c>
      <c r="C2625">
        <v>57</v>
      </c>
      <c r="D2625">
        <v>8</v>
      </c>
    </row>
    <row r="2626" spans="2:4" x14ac:dyDescent="0.25">
      <c r="B2626" t="s">
        <v>1696</v>
      </c>
      <c r="C2626">
        <v>57</v>
      </c>
      <c r="D2626">
        <v>13</v>
      </c>
    </row>
    <row r="2627" spans="2:4" x14ac:dyDescent="0.25">
      <c r="B2627" t="s">
        <v>1696</v>
      </c>
      <c r="C2627">
        <v>57</v>
      </c>
      <c r="D2627">
        <v>14</v>
      </c>
    </row>
    <row r="2628" spans="2:4" x14ac:dyDescent="0.25">
      <c r="B2628" t="s">
        <v>1696</v>
      </c>
      <c r="C2628">
        <v>58</v>
      </c>
      <c r="D2628">
        <v>6</v>
      </c>
    </row>
    <row r="2629" spans="2:4" x14ac:dyDescent="0.25">
      <c r="B2629" t="s">
        <v>1696</v>
      </c>
      <c r="C2629">
        <v>58</v>
      </c>
      <c r="D2629">
        <v>8</v>
      </c>
    </row>
    <row r="2630" spans="2:4" x14ac:dyDescent="0.25">
      <c r="B2630" t="s">
        <v>1696</v>
      </c>
      <c r="C2630">
        <v>58</v>
      </c>
      <c r="D2630">
        <v>13</v>
      </c>
    </row>
    <row r="2631" spans="2:4" x14ac:dyDescent="0.25">
      <c r="B2631" t="s">
        <v>1696</v>
      </c>
      <c r="C2631">
        <v>58</v>
      </c>
      <c r="D2631">
        <v>14</v>
      </c>
    </row>
    <row r="2632" spans="2:4" x14ac:dyDescent="0.25">
      <c r="B2632" t="s">
        <v>1696</v>
      </c>
      <c r="C2632">
        <v>59</v>
      </c>
      <c r="D2632">
        <v>6</v>
      </c>
    </row>
    <row r="2633" spans="2:4" x14ac:dyDescent="0.25">
      <c r="B2633" t="s">
        <v>1696</v>
      </c>
      <c r="C2633">
        <v>59</v>
      </c>
      <c r="D2633">
        <v>8</v>
      </c>
    </row>
    <row r="2634" spans="2:4" x14ac:dyDescent="0.25">
      <c r="B2634" t="s">
        <v>1696</v>
      </c>
      <c r="C2634">
        <v>59</v>
      </c>
      <c r="D2634">
        <v>13</v>
      </c>
    </row>
    <row r="2635" spans="2:4" x14ac:dyDescent="0.25">
      <c r="B2635" t="s">
        <v>1696</v>
      </c>
      <c r="C2635">
        <v>59</v>
      </c>
      <c r="D2635">
        <v>14</v>
      </c>
    </row>
    <row r="2636" spans="2:4" x14ac:dyDescent="0.25">
      <c r="B2636" t="s">
        <v>1696</v>
      </c>
      <c r="C2636">
        <v>60</v>
      </c>
      <c r="D2636">
        <v>6</v>
      </c>
    </row>
    <row r="2637" spans="2:4" x14ac:dyDescent="0.25">
      <c r="B2637" t="s">
        <v>1696</v>
      </c>
      <c r="C2637">
        <v>60</v>
      </c>
      <c r="D2637">
        <v>8</v>
      </c>
    </row>
    <row r="2638" spans="2:4" x14ac:dyDescent="0.25">
      <c r="B2638" t="s">
        <v>1696</v>
      </c>
      <c r="C2638">
        <v>60</v>
      </c>
      <c r="D2638">
        <v>13</v>
      </c>
    </row>
    <row r="2639" spans="2:4" x14ac:dyDescent="0.25">
      <c r="B2639" t="s">
        <v>1696</v>
      </c>
      <c r="C2639">
        <v>60</v>
      </c>
      <c r="D2639">
        <v>14</v>
      </c>
    </row>
    <row r="2640" spans="2:4" x14ac:dyDescent="0.25">
      <c r="B2640" t="s">
        <v>1696</v>
      </c>
      <c r="C2640">
        <v>61</v>
      </c>
      <c r="D2640">
        <v>6</v>
      </c>
    </row>
    <row r="2641" spans="2:4" x14ac:dyDescent="0.25">
      <c r="B2641" t="s">
        <v>1696</v>
      </c>
      <c r="C2641">
        <v>61</v>
      </c>
      <c r="D2641">
        <v>8</v>
      </c>
    </row>
    <row r="2642" spans="2:4" x14ac:dyDescent="0.25">
      <c r="B2642" t="s">
        <v>1696</v>
      </c>
      <c r="C2642">
        <v>61</v>
      </c>
      <c r="D2642">
        <v>13</v>
      </c>
    </row>
    <row r="2643" spans="2:4" x14ac:dyDescent="0.25">
      <c r="B2643" t="s">
        <v>1696</v>
      </c>
      <c r="C2643">
        <v>61</v>
      </c>
      <c r="D2643">
        <v>14</v>
      </c>
    </row>
    <row r="2644" spans="2:4" x14ac:dyDescent="0.25">
      <c r="B2644" t="s">
        <v>1696</v>
      </c>
      <c r="C2644">
        <v>62</v>
      </c>
      <c r="D2644">
        <v>6</v>
      </c>
    </row>
    <row r="2645" spans="2:4" x14ac:dyDescent="0.25">
      <c r="B2645" t="s">
        <v>1696</v>
      </c>
      <c r="C2645">
        <v>62</v>
      </c>
      <c r="D2645">
        <v>8</v>
      </c>
    </row>
    <row r="2646" spans="2:4" x14ac:dyDescent="0.25">
      <c r="B2646" t="s">
        <v>1696</v>
      </c>
      <c r="C2646">
        <v>62</v>
      </c>
      <c r="D2646">
        <v>13</v>
      </c>
    </row>
    <row r="2647" spans="2:4" x14ac:dyDescent="0.25">
      <c r="B2647" t="s">
        <v>1696</v>
      </c>
      <c r="C2647">
        <v>62</v>
      </c>
      <c r="D2647">
        <v>14</v>
      </c>
    </row>
    <row r="2648" spans="2:4" x14ac:dyDescent="0.25">
      <c r="B2648" t="s">
        <v>1696</v>
      </c>
      <c r="C2648">
        <v>64</v>
      </c>
      <c r="D2648">
        <v>6</v>
      </c>
    </row>
    <row r="2649" spans="2:4" x14ac:dyDescent="0.25">
      <c r="B2649" t="s">
        <v>1696</v>
      </c>
      <c r="C2649">
        <v>64</v>
      </c>
      <c r="D2649">
        <v>8</v>
      </c>
    </row>
    <row r="2650" spans="2:4" x14ac:dyDescent="0.25">
      <c r="B2650" t="s">
        <v>1696</v>
      </c>
      <c r="C2650">
        <v>64</v>
      </c>
      <c r="D2650">
        <v>13</v>
      </c>
    </row>
    <row r="2651" spans="2:4" x14ac:dyDescent="0.25">
      <c r="B2651" t="s">
        <v>1696</v>
      </c>
      <c r="C2651">
        <v>64</v>
      </c>
      <c r="D2651">
        <v>14</v>
      </c>
    </row>
    <row r="2652" spans="2:4" x14ac:dyDescent="0.25">
      <c r="B2652" t="s">
        <v>1696</v>
      </c>
      <c r="C2652">
        <v>65</v>
      </c>
      <c r="D2652">
        <v>6</v>
      </c>
    </row>
    <row r="2653" spans="2:4" x14ac:dyDescent="0.25">
      <c r="B2653" t="s">
        <v>1696</v>
      </c>
      <c r="C2653">
        <v>65</v>
      </c>
      <c r="D2653">
        <v>8</v>
      </c>
    </row>
    <row r="2654" spans="2:4" x14ac:dyDescent="0.25">
      <c r="B2654" t="s">
        <v>1696</v>
      </c>
      <c r="C2654">
        <v>65</v>
      </c>
      <c r="D2654">
        <v>13</v>
      </c>
    </row>
    <row r="2655" spans="2:4" x14ac:dyDescent="0.25">
      <c r="B2655" t="s">
        <v>1696</v>
      </c>
      <c r="C2655">
        <v>65</v>
      </c>
      <c r="D2655">
        <v>14</v>
      </c>
    </row>
    <row r="2656" spans="2:4" x14ac:dyDescent="0.25">
      <c r="B2656" t="s">
        <v>1696</v>
      </c>
      <c r="C2656">
        <v>66</v>
      </c>
      <c r="D2656">
        <v>6</v>
      </c>
    </row>
    <row r="2657" spans="2:4" x14ac:dyDescent="0.25">
      <c r="B2657" t="s">
        <v>1696</v>
      </c>
      <c r="C2657">
        <v>66</v>
      </c>
      <c r="D2657">
        <v>8</v>
      </c>
    </row>
    <row r="2658" spans="2:4" x14ac:dyDescent="0.25">
      <c r="B2658" t="s">
        <v>1696</v>
      </c>
      <c r="C2658">
        <v>66</v>
      </c>
      <c r="D2658">
        <v>13</v>
      </c>
    </row>
    <row r="2659" spans="2:4" x14ac:dyDescent="0.25">
      <c r="B2659" t="s">
        <v>1696</v>
      </c>
      <c r="C2659">
        <v>66</v>
      </c>
      <c r="D2659">
        <v>14</v>
      </c>
    </row>
    <row r="2660" spans="2:4" x14ac:dyDescent="0.25">
      <c r="B2660" t="s">
        <v>1696</v>
      </c>
      <c r="C2660">
        <v>67</v>
      </c>
      <c r="D2660">
        <v>6</v>
      </c>
    </row>
    <row r="2661" spans="2:4" x14ac:dyDescent="0.25">
      <c r="B2661" t="s">
        <v>1696</v>
      </c>
      <c r="C2661">
        <v>67</v>
      </c>
      <c r="D2661">
        <v>8</v>
      </c>
    </row>
    <row r="2662" spans="2:4" x14ac:dyDescent="0.25">
      <c r="B2662" t="s">
        <v>1696</v>
      </c>
      <c r="C2662">
        <v>67</v>
      </c>
      <c r="D2662">
        <v>13</v>
      </c>
    </row>
    <row r="2663" spans="2:4" x14ac:dyDescent="0.25">
      <c r="B2663" t="s">
        <v>1696</v>
      </c>
      <c r="C2663">
        <v>67</v>
      </c>
      <c r="D2663">
        <v>14</v>
      </c>
    </row>
    <row r="2664" spans="2:4" x14ac:dyDescent="0.25">
      <c r="B2664" t="s">
        <v>1696</v>
      </c>
      <c r="C2664">
        <v>68</v>
      </c>
      <c r="D2664">
        <v>6</v>
      </c>
    </row>
    <row r="2665" spans="2:4" x14ac:dyDescent="0.25">
      <c r="B2665" t="s">
        <v>1696</v>
      </c>
      <c r="C2665">
        <v>68</v>
      </c>
      <c r="D2665">
        <v>8</v>
      </c>
    </row>
    <row r="2666" spans="2:4" x14ac:dyDescent="0.25">
      <c r="B2666" t="s">
        <v>1696</v>
      </c>
      <c r="C2666">
        <v>68</v>
      </c>
      <c r="D2666">
        <v>13</v>
      </c>
    </row>
    <row r="2667" spans="2:4" x14ac:dyDescent="0.25">
      <c r="B2667" t="s">
        <v>1696</v>
      </c>
      <c r="C2667">
        <v>68</v>
      </c>
      <c r="D2667">
        <v>14</v>
      </c>
    </row>
    <row r="2668" spans="2:4" x14ac:dyDescent="0.25">
      <c r="B2668" t="s">
        <v>1696</v>
      </c>
      <c r="C2668">
        <v>69</v>
      </c>
      <c r="D2668">
        <v>6</v>
      </c>
    </row>
    <row r="2669" spans="2:4" x14ac:dyDescent="0.25">
      <c r="B2669" t="s">
        <v>1696</v>
      </c>
      <c r="C2669">
        <v>69</v>
      </c>
      <c r="D2669">
        <v>8</v>
      </c>
    </row>
    <row r="2670" spans="2:4" x14ac:dyDescent="0.25">
      <c r="B2670" t="s">
        <v>1696</v>
      </c>
      <c r="C2670">
        <v>69</v>
      </c>
      <c r="D2670">
        <v>13</v>
      </c>
    </row>
    <row r="2671" spans="2:4" x14ac:dyDescent="0.25">
      <c r="B2671" t="s">
        <v>1696</v>
      </c>
      <c r="C2671">
        <v>69</v>
      </c>
      <c r="D2671">
        <v>14</v>
      </c>
    </row>
    <row r="2672" spans="2:4" x14ac:dyDescent="0.25">
      <c r="B2672" t="s">
        <v>1696</v>
      </c>
      <c r="C2672">
        <v>70</v>
      </c>
      <c r="D2672">
        <v>6</v>
      </c>
    </row>
    <row r="2673" spans="2:4" x14ac:dyDescent="0.25">
      <c r="B2673" t="s">
        <v>1696</v>
      </c>
      <c r="C2673">
        <v>70</v>
      </c>
      <c r="D2673">
        <v>8</v>
      </c>
    </row>
    <row r="2674" spans="2:4" x14ac:dyDescent="0.25">
      <c r="B2674" t="s">
        <v>1696</v>
      </c>
      <c r="C2674">
        <v>70</v>
      </c>
      <c r="D2674">
        <v>13</v>
      </c>
    </row>
    <row r="2675" spans="2:4" x14ac:dyDescent="0.25">
      <c r="B2675" t="s">
        <v>1696</v>
      </c>
      <c r="C2675">
        <v>70</v>
      </c>
      <c r="D2675">
        <v>14</v>
      </c>
    </row>
    <row r="2676" spans="2:4" x14ac:dyDescent="0.25">
      <c r="B2676" t="s">
        <v>1696</v>
      </c>
      <c r="C2676">
        <v>73</v>
      </c>
      <c r="D2676">
        <v>6</v>
      </c>
    </row>
    <row r="2677" spans="2:4" x14ac:dyDescent="0.25">
      <c r="B2677" t="s">
        <v>1696</v>
      </c>
      <c r="C2677">
        <v>73</v>
      </c>
      <c r="D2677">
        <v>8</v>
      </c>
    </row>
    <row r="2678" spans="2:4" x14ac:dyDescent="0.25">
      <c r="B2678" t="s">
        <v>1696</v>
      </c>
      <c r="C2678">
        <v>73</v>
      </c>
      <c r="D2678">
        <v>13</v>
      </c>
    </row>
    <row r="2679" spans="2:4" x14ac:dyDescent="0.25">
      <c r="B2679" t="s">
        <v>1696</v>
      </c>
      <c r="C2679">
        <v>73</v>
      </c>
      <c r="D2679">
        <v>14</v>
      </c>
    </row>
    <row r="2680" spans="2:4" x14ac:dyDescent="0.25">
      <c r="B2680" t="s">
        <v>1696</v>
      </c>
      <c r="C2680">
        <v>74</v>
      </c>
      <c r="D2680">
        <v>6</v>
      </c>
    </row>
    <row r="2681" spans="2:4" x14ac:dyDescent="0.25">
      <c r="B2681" t="s">
        <v>1696</v>
      </c>
      <c r="C2681">
        <v>74</v>
      </c>
      <c r="D2681">
        <v>8</v>
      </c>
    </row>
    <row r="2682" spans="2:4" x14ac:dyDescent="0.25">
      <c r="B2682" t="s">
        <v>1696</v>
      </c>
      <c r="C2682">
        <v>74</v>
      </c>
      <c r="D2682">
        <v>13</v>
      </c>
    </row>
    <row r="2683" spans="2:4" x14ac:dyDescent="0.25">
      <c r="B2683" t="s">
        <v>1696</v>
      </c>
      <c r="C2683">
        <v>74</v>
      </c>
      <c r="D2683">
        <v>14</v>
      </c>
    </row>
    <row r="2684" spans="2:4" x14ac:dyDescent="0.25">
      <c r="B2684" t="s">
        <v>1696</v>
      </c>
      <c r="C2684">
        <v>75</v>
      </c>
      <c r="D2684">
        <v>6</v>
      </c>
    </row>
    <row r="2685" spans="2:4" x14ac:dyDescent="0.25">
      <c r="B2685" t="s">
        <v>1696</v>
      </c>
      <c r="C2685">
        <v>75</v>
      </c>
      <c r="D2685">
        <v>8</v>
      </c>
    </row>
    <row r="2686" spans="2:4" x14ac:dyDescent="0.25">
      <c r="B2686" t="s">
        <v>1696</v>
      </c>
      <c r="C2686">
        <v>75</v>
      </c>
      <c r="D2686">
        <v>13</v>
      </c>
    </row>
    <row r="2687" spans="2:4" x14ac:dyDescent="0.25">
      <c r="B2687" t="s">
        <v>1696</v>
      </c>
      <c r="C2687">
        <v>75</v>
      </c>
      <c r="D2687">
        <v>14</v>
      </c>
    </row>
    <row r="2688" spans="2:4" x14ac:dyDescent="0.25">
      <c r="B2688" t="s">
        <v>1696</v>
      </c>
      <c r="C2688">
        <v>76</v>
      </c>
      <c r="D2688">
        <v>6</v>
      </c>
    </row>
    <row r="2689" spans="2:4" x14ac:dyDescent="0.25">
      <c r="B2689" t="s">
        <v>1696</v>
      </c>
      <c r="C2689">
        <v>76</v>
      </c>
      <c r="D2689">
        <v>8</v>
      </c>
    </row>
    <row r="2690" spans="2:4" x14ac:dyDescent="0.25">
      <c r="B2690" t="s">
        <v>1696</v>
      </c>
      <c r="C2690">
        <v>76</v>
      </c>
      <c r="D2690">
        <v>13</v>
      </c>
    </row>
    <row r="2691" spans="2:4" x14ac:dyDescent="0.25">
      <c r="B2691" t="s">
        <v>1696</v>
      </c>
      <c r="C2691">
        <v>76</v>
      </c>
      <c r="D2691">
        <v>14</v>
      </c>
    </row>
    <row r="2692" spans="2:4" x14ac:dyDescent="0.25">
      <c r="B2692" t="s">
        <v>1696</v>
      </c>
      <c r="C2692">
        <v>77</v>
      </c>
      <c r="D2692">
        <v>6</v>
      </c>
    </row>
    <row r="2693" spans="2:4" x14ac:dyDescent="0.25">
      <c r="B2693" t="s">
        <v>1696</v>
      </c>
      <c r="C2693">
        <v>77</v>
      </c>
      <c r="D2693">
        <v>8</v>
      </c>
    </row>
    <row r="2694" spans="2:4" x14ac:dyDescent="0.25">
      <c r="B2694" t="s">
        <v>1696</v>
      </c>
      <c r="C2694">
        <v>77</v>
      </c>
      <c r="D2694">
        <v>13</v>
      </c>
    </row>
    <row r="2695" spans="2:4" x14ac:dyDescent="0.25">
      <c r="B2695" t="s">
        <v>1696</v>
      </c>
      <c r="C2695">
        <v>77</v>
      </c>
      <c r="D2695">
        <v>14</v>
      </c>
    </row>
    <row r="2696" spans="2:4" x14ac:dyDescent="0.25">
      <c r="B2696" t="s">
        <v>1696</v>
      </c>
      <c r="C2696">
        <v>78</v>
      </c>
      <c r="D2696">
        <v>6</v>
      </c>
    </row>
    <row r="2697" spans="2:4" x14ac:dyDescent="0.25">
      <c r="B2697" t="s">
        <v>1696</v>
      </c>
      <c r="C2697">
        <v>78</v>
      </c>
      <c r="D2697">
        <v>8</v>
      </c>
    </row>
    <row r="2698" spans="2:4" x14ac:dyDescent="0.25">
      <c r="B2698" t="s">
        <v>1696</v>
      </c>
      <c r="C2698">
        <v>78</v>
      </c>
      <c r="D2698">
        <v>13</v>
      </c>
    </row>
    <row r="2699" spans="2:4" x14ac:dyDescent="0.25">
      <c r="B2699" t="s">
        <v>1696</v>
      </c>
      <c r="C2699">
        <v>78</v>
      </c>
      <c r="D2699">
        <v>14</v>
      </c>
    </row>
    <row r="2700" spans="2:4" x14ac:dyDescent="0.25">
      <c r="B2700" t="s">
        <v>1696</v>
      </c>
      <c r="C2700">
        <v>79</v>
      </c>
      <c r="D2700">
        <v>6</v>
      </c>
    </row>
    <row r="2701" spans="2:4" x14ac:dyDescent="0.25">
      <c r="B2701" t="s">
        <v>1696</v>
      </c>
      <c r="C2701">
        <v>79</v>
      </c>
      <c r="D2701">
        <v>8</v>
      </c>
    </row>
    <row r="2702" spans="2:4" x14ac:dyDescent="0.25">
      <c r="B2702" t="s">
        <v>1696</v>
      </c>
      <c r="C2702">
        <v>79</v>
      </c>
      <c r="D2702">
        <v>13</v>
      </c>
    </row>
    <row r="2703" spans="2:4" x14ac:dyDescent="0.25">
      <c r="B2703" t="s">
        <v>1696</v>
      </c>
      <c r="C2703">
        <v>79</v>
      </c>
      <c r="D2703">
        <v>14</v>
      </c>
    </row>
    <row r="2704" spans="2:4" x14ac:dyDescent="0.25">
      <c r="B2704" t="s">
        <v>1696</v>
      </c>
      <c r="C2704">
        <v>81</v>
      </c>
      <c r="D2704">
        <v>6</v>
      </c>
    </row>
    <row r="2705" spans="2:4" x14ac:dyDescent="0.25">
      <c r="B2705" t="s">
        <v>1696</v>
      </c>
      <c r="C2705">
        <v>81</v>
      </c>
      <c r="D2705">
        <v>8</v>
      </c>
    </row>
    <row r="2706" spans="2:4" x14ac:dyDescent="0.25">
      <c r="B2706" t="s">
        <v>1696</v>
      </c>
      <c r="C2706">
        <v>81</v>
      </c>
      <c r="D2706">
        <v>13</v>
      </c>
    </row>
    <row r="2707" spans="2:4" x14ac:dyDescent="0.25">
      <c r="B2707" t="s">
        <v>1696</v>
      </c>
      <c r="C2707">
        <v>81</v>
      </c>
      <c r="D2707">
        <v>14</v>
      </c>
    </row>
    <row r="2708" spans="2:4" x14ac:dyDescent="0.25">
      <c r="B2708" t="s">
        <v>1696</v>
      </c>
      <c r="C2708">
        <v>82</v>
      </c>
      <c r="D2708">
        <v>6</v>
      </c>
    </row>
    <row r="2709" spans="2:4" x14ac:dyDescent="0.25">
      <c r="B2709" t="s">
        <v>1696</v>
      </c>
      <c r="C2709">
        <v>82</v>
      </c>
      <c r="D2709">
        <v>8</v>
      </c>
    </row>
    <row r="2710" spans="2:4" x14ac:dyDescent="0.25">
      <c r="B2710" t="s">
        <v>1696</v>
      </c>
      <c r="C2710">
        <v>82</v>
      </c>
      <c r="D2710">
        <v>13</v>
      </c>
    </row>
    <row r="2711" spans="2:4" x14ac:dyDescent="0.25">
      <c r="B2711" t="s">
        <v>1696</v>
      </c>
      <c r="C2711">
        <v>82</v>
      </c>
      <c r="D2711">
        <v>14</v>
      </c>
    </row>
    <row r="2712" spans="2:4" x14ac:dyDescent="0.25">
      <c r="B2712" t="s">
        <v>1696</v>
      </c>
      <c r="C2712">
        <v>83</v>
      </c>
      <c r="D2712">
        <v>6</v>
      </c>
    </row>
    <row r="2713" spans="2:4" x14ac:dyDescent="0.25">
      <c r="B2713" t="s">
        <v>1696</v>
      </c>
      <c r="C2713">
        <v>83</v>
      </c>
      <c r="D2713">
        <v>8</v>
      </c>
    </row>
    <row r="2714" spans="2:4" x14ac:dyDescent="0.25">
      <c r="B2714" t="s">
        <v>1696</v>
      </c>
      <c r="C2714">
        <v>83</v>
      </c>
      <c r="D2714">
        <v>13</v>
      </c>
    </row>
    <row r="2715" spans="2:4" x14ac:dyDescent="0.25">
      <c r="B2715" t="s">
        <v>1696</v>
      </c>
      <c r="C2715">
        <v>83</v>
      </c>
      <c r="D2715">
        <v>14</v>
      </c>
    </row>
    <row r="2716" spans="2:4" x14ac:dyDescent="0.25">
      <c r="B2716" t="s">
        <v>1696</v>
      </c>
      <c r="C2716">
        <v>84</v>
      </c>
      <c r="D2716">
        <v>6</v>
      </c>
    </row>
    <row r="2717" spans="2:4" x14ac:dyDescent="0.25">
      <c r="B2717" t="s">
        <v>1696</v>
      </c>
      <c r="C2717">
        <v>84</v>
      </c>
      <c r="D2717">
        <v>8</v>
      </c>
    </row>
    <row r="2718" spans="2:4" x14ac:dyDescent="0.25">
      <c r="B2718" t="s">
        <v>1696</v>
      </c>
      <c r="C2718">
        <v>84</v>
      </c>
      <c r="D2718">
        <v>13</v>
      </c>
    </row>
    <row r="2719" spans="2:4" x14ac:dyDescent="0.25">
      <c r="B2719" t="s">
        <v>1696</v>
      </c>
      <c r="C2719">
        <v>84</v>
      </c>
      <c r="D2719">
        <v>14</v>
      </c>
    </row>
    <row r="2720" spans="2:4" x14ac:dyDescent="0.25">
      <c r="B2720" t="s">
        <v>1696</v>
      </c>
      <c r="C2720">
        <v>85</v>
      </c>
      <c r="D2720">
        <v>6</v>
      </c>
    </row>
    <row r="2721" spans="2:4" x14ac:dyDescent="0.25">
      <c r="B2721" t="s">
        <v>1696</v>
      </c>
      <c r="C2721">
        <v>85</v>
      </c>
      <c r="D2721">
        <v>8</v>
      </c>
    </row>
    <row r="2722" spans="2:4" x14ac:dyDescent="0.25">
      <c r="B2722" t="s">
        <v>1696</v>
      </c>
      <c r="C2722">
        <v>85</v>
      </c>
      <c r="D2722">
        <v>13</v>
      </c>
    </row>
    <row r="2723" spans="2:4" x14ac:dyDescent="0.25">
      <c r="B2723" t="s">
        <v>1696</v>
      </c>
      <c r="C2723">
        <v>85</v>
      </c>
      <c r="D2723">
        <v>14</v>
      </c>
    </row>
    <row r="2724" spans="2:4" x14ac:dyDescent="0.25">
      <c r="B2724" t="s">
        <v>1696</v>
      </c>
      <c r="C2724">
        <v>87</v>
      </c>
      <c r="D2724">
        <v>6</v>
      </c>
    </row>
    <row r="2725" spans="2:4" x14ac:dyDescent="0.25">
      <c r="B2725" t="s">
        <v>1696</v>
      </c>
      <c r="C2725">
        <v>87</v>
      </c>
      <c r="D2725">
        <v>8</v>
      </c>
    </row>
    <row r="2726" spans="2:4" x14ac:dyDescent="0.25">
      <c r="B2726" t="s">
        <v>1696</v>
      </c>
      <c r="C2726">
        <v>87</v>
      </c>
      <c r="D2726">
        <v>13</v>
      </c>
    </row>
    <row r="2727" spans="2:4" x14ac:dyDescent="0.25">
      <c r="B2727" t="s">
        <v>1696</v>
      </c>
      <c r="C2727">
        <v>87</v>
      </c>
      <c r="D2727">
        <v>14</v>
      </c>
    </row>
    <row r="2728" spans="2:4" x14ac:dyDescent="0.25">
      <c r="B2728" t="s">
        <v>1696</v>
      </c>
      <c r="C2728">
        <v>88</v>
      </c>
      <c r="D2728">
        <v>6</v>
      </c>
    </row>
    <row r="2729" spans="2:4" x14ac:dyDescent="0.25">
      <c r="B2729" t="s">
        <v>1696</v>
      </c>
      <c r="C2729">
        <v>88</v>
      </c>
      <c r="D2729">
        <v>8</v>
      </c>
    </row>
    <row r="2730" spans="2:4" x14ac:dyDescent="0.25">
      <c r="B2730" t="s">
        <v>1696</v>
      </c>
      <c r="C2730">
        <v>88</v>
      </c>
      <c r="D2730">
        <v>13</v>
      </c>
    </row>
    <row r="2731" spans="2:4" x14ac:dyDescent="0.25">
      <c r="B2731" t="s">
        <v>1696</v>
      </c>
      <c r="C2731">
        <v>88</v>
      </c>
      <c r="D2731">
        <v>14</v>
      </c>
    </row>
    <row r="2732" spans="2:4" x14ac:dyDescent="0.25">
      <c r="B2732" t="s">
        <v>1696</v>
      </c>
      <c r="C2732">
        <v>89</v>
      </c>
      <c r="D2732">
        <v>6</v>
      </c>
    </row>
    <row r="2733" spans="2:4" x14ac:dyDescent="0.25">
      <c r="B2733" t="s">
        <v>1696</v>
      </c>
      <c r="C2733">
        <v>89</v>
      </c>
      <c r="D2733">
        <v>8</v>
      </c>
    </row>
    <row r="2734" spans="2:4" x14ac:dyDescent="0.25">
      <c r="B2734" t="s">
        <v>1696</v>
      </c>
      <c r="C2734">
        <v>89</v>
      </c>
      <c r="D2734">
        <v>13</v>
      </c>
    </row>
    <row r="2735" spans="2:4" x14ac:dyDescent="0.25">
      <c r="B2735" t="s">
        <v>1696</v>
      </c>
      <c r="C2735">
        <v>89</v>
      </c>
      <c r="D2735">
        <v>14</v>
      </c>
    </row>
    <row r="2736" spans="2:4" x14ac:dyDescent="0.25">
      <c r="B2736" t="s">
        <v>1696</v>
      </c>
      <c r="C2736">
        <v>90</v>
      </c>
      <c r="D2736">
        <v>6</v>
      </c>
    </row>
    <row r="2737" spans="2:4" x14ac:dyDescent="0.25">
      <c r="B2737" t="s">
        <v>1696</v>
      </c>
      <c r="C2737">
        <v>90</v>
      </c>
      <c r="D2737">
        <v>8</v>
      </c>
    </row>
    <row r="2738" spans="2:4" x14ac:dyDescent="0.25">
      <c r="B2738" t="s">
        <v>1696</v>
      </c>
      <c r="C2738">
        <v>90</v>
      </c>
      <c r="D2738">
        <v>13</v>
      </c>
    </row>
    <row r="2739" spans="2:4" x14ac:dyDescent="0.25">
      <c r="B2739" t="s">
        <v>1696</v>
      </c>
      <c r="C2739">
        <v>90</v>
      </c>
      <c r="D2739">
        <v>14</v>
      </c>
    </row>
    <row r="2740" spans="2:4" x14ac:dyDescent="0.25">
      <c r="B2740" t="s">
        <v>1696</v>
      </c>
      <c r="C2740">
        <v>91</v>
      </c>
      <c r="D2740">
        <v>6</v>
      </c>
    </row>
    <row r="2741" spans="2:4" x14ac:dyDescent="0.25">
      <c r="B2741" t="s">
        <v>1696</v>
      </c>
      <c r="C2741">
        <v>91</v>
      </c>
      <c r="D2741">
        <v>8</v>
      </c>
    </row>
    <row r="2742" spans="2:4" x14ac:dyDescent="0.25">
      <c r="B2742" t="s">
        <v>1696</v>
      </c>
      <c r="C2742">
        <v>91</v>
      </c>
      <c r="D2742">
        <v>13</v>
      </c>
    </row>
    <row r="2743" spans="2:4" x14ac:dyDescent="0.25">
      <c r="B2743" t="s">
        <v>1696</v>
      </c>
      <c r="C2743">
        <v>91</v>
      </c>
      <c r="D2743">
        <v>14</v>
      </c>
    </row>
    <row r="2744" spans="2:4" x14ac:dyDescent="0.25">
      <c r="B2744" t="s">
        <v>1696</v>
      </c>
      <c r="C2744">
        <v>92</v>
      </c>
      <c r="D2744">
        <v>6</v>
      </c>
    </row>
    <row r="2745" spans="2:4" x14ac:dyDescent="0.25">
      <c r="B2745" t="s">
        <v>1696</v>
      </c>
      <c r="C2745">
        <v>92</v>
      </c>
      <c r="D2745">
        <v>8</v>
      </c>
    </row>
    <row r="2746" spans="2:4" x14ac:dyDescent="0.25">
      <c r="B2746" t="s">
        <v>1696</v>
      </c>
      <c r="C2746">
        <v>92</v>
      </c>
      <c r="D2746">
        <v>13</v>
      </c>
    </row>
    <row r="2747" spans="2:4" x14ac:dyDescent="0.25">
      <c r="B2747" t="s">
        <v>1696</v>
      </c>
      <c r="C2747">
        <v>92</v>
      </c>
      <c r="D2747">
        <v>14</v>
      </c>
    </row>
    <row r="2748" spans="2:4" x14ac:dyDescent="0.25">
      <c r="B2748" t="s">
        <v>1696</v>
      </c>
      <c r="C2748">
        <v>93</v>
      </c>
      <c r="D2748">
        <v>6</v>
      </c>
    </row>
    <row r="2749" spans="2:4" x14ac:dyDescent="0.25">
      <c r="B2749" t="s">
        <v>1696</v>
      </c>
      <c r="C2749">
        <v>93</v>
      </c>
      <c r="D2749">
        <v>8</v>
      </c>
    </row>
    <row r="2750" spans="2:4" x14ac:dyDescent="0.25">
      <c r="B2750" t="s">
        <v>1696</v>
      </c>
      <c r="C2750">
        <v>93</v>
      </c>
      <c r="D2750">
        <v>13</v>
      </c>
    </row>
    <row r="2751" spans="2:4" x14ac:dyDescent="0.25">
      <c r="B2751" t="s">
        <v>1696</v>
      </c>
      <c r="C2751">
        <v>93</v>
      </c>
      <c r="D2751">
        <v>14</v>
      </c>
    </row>
    <row r="2752" spans="2:4" x14ac:dyDescent="0.25">
      <c r="B2752" t="s">
        <v>1696</v>
      </c>
      <c r="C2752">
        <v>94</v>
      </c>
      <c r="D2752">
        <v>6</v>
      </c>
    </row>
    <row r="2753" spans="2:4" x14ac:dyDescent="0.25">
      <c r="B2753" t="s">
        <v>1696</v>
      </c>
      <c r="C2753">
        <v>94</v>
      </c>
      <c r="D2753">
        <v>8</v>
      </c>
    </row>
    <row r="2754" spans="2:4" x14ac:dyDescent="0.25">
      <c r="B2754" t="s">
        <v>1696</v>
      </c>
      <c r="C2754">
        <v>94</v>
      </c>
      <c r="D2754">
        <v>13</v>
      </c>
    </row>
    <row r="2755" spans="2:4" x14ac:dyDescent="0.25">
      <c r="B2755" t="s">
        <v>1696</v>
      </c>
      <c r="C2755">
        <v>94</v>
      </c>
      <c r="D2755">
        <v>14</v>
      </c>
    </row>
    <row r="2756" spans="2:4" x14ac:dyDescent="0.25">
      <c r="B2756" t="s">
        <v>1696</v>
      </c>
      <c r="C2756">
        <v>96</v>
      </c>
      <c r="D2756">
        <v>6</v>
      </c>
    </row>
    <row r="2757" spans="2:4" x14ac:dyDescent="0.25">
      <c r="B2757" t="s">
        <v>1696</v>
      </c>
      <c r="C2757">
        <v>96</v>
      </c>
      <c r="D2757">
        <v>8</v>
      </c>
    </row>
    <row r="2758" spans="2:4" x14ac:dyDescent="0.25">
      <c r="B2758" t="s">
        <v>1696</v>
      </c>
      <c r="C2758">
        <v>96</v>
      </c>
      <c r="D2758">
        <v>13</v>
      </c>
    </row>
    <row r="2759" spans="2:4" x14ac:dyDescent="0.25">
      <c r="B2759" t="s">
        <v>1696</v>
      </c>
      <c r="C2759">
        <v>96</v>
      </c>
      <c r="D2759">
        <v>14</v>
      </c>
    </row>
    <row r="2760" spans="2:4" x14ac:dyDescent="0.25">
      <c r="B2760" t="s">
        <v>1696</v>
      </c>
      <c r="C2760">
        <v>97</v>
      </c>
      <c r="D2760">
        <v>6</v>
      </c>
    </row>
    <row r="2761" spans="2:4" x14ac:dyDescent="0.25">
      <c r="B2761" t="s">
        <v>1696</v>
      </c>
      <c r="C2761">
        <v>97</v>
      </c>
      <c r="D2761">
        <v>8</v>
      </c>
    </row>
    <row r="2762" spans="2:4" x14ac:dyDescent="0.25">
      <c r="B2762" t="s">
        <v>1696</v>
      </c>
      <c r="C2762">
        <v>97</v>
      </c>
      <c r="D2762">
        <v>13</v>
      </c>
    </row>
    <row r="2763" spans="2:4" x14ac:dyDescent="0.25">
      <c r="B2763" t="s">
        <v>1696</v>
      </c>
      <c r="C2763">
        <v>97</v>
      </c>
      <c r="D2763">
        <v>14</v>
      </c>
    </row>
    <row r="2764" spans="2:4" x14ac:dyDescent="0.25">
      <c r="B2764" t="s">
        <v>1696</v>
      </c>
      <c r="C2764">
        <v>98</v>
      </c>
      <c r="D2764">
        <v>6</v>
      </c>
    </row>
    <row r="2765" spans="2:4" x14ac:dyDescent="0.25">
      <c r="B2765" t="s">
        <v>1696</v>
      </c>
      <c r="C2765">
        <v>98</v>
      </c>
      <c r="D2765">
        <v>8</v>
      </c>
    </row>
    <row r="2766" spans="2:4" x14ac:dyDescent="0.25">
      <c r="B2766" t="s">
        <v>1696</v>
      </c>
      <c r="C2766">
        <v>98</v>
      </c>
      <c r="D2766">
        <v>13</v>
      </c>
    </row>
    <row r="2767" spans="2:4" x14ac:dyDescent="0.25">
      <c r="B2767" t="s">
        <v>1696</v>
      </c>
      <c r="C2767">
        <v>98</v>
      </c>
      <c r="D2767">
        <v>14</v>
      </c>
    </row>
    <row r="2768" spans="2:4" x14ac:dyDescent="0.25">
      <c r="B2768" t="s">
        <v>1696</v>
      </c>
      <c r="C2768">
        <v>99</v>
      </c>
      <c r="D2768">
        <v>6</v>
      </c>
    </row>
    <row r="2769" spans="2:4" x14ac:dyDescent="0.25">
      <c r="B2769" t="s">
        <v>1696</v>
      </c>
      <c r="C2769">
        <v>99</v>
      </c>
      <c r="D2769">
        <v>8</v>
      </c>
    </row>
    <row r="2770" spans="2:4" x14ac:dyDescent="0.25">
      <c r="B2770" t="s">
        <v>1696</v>
      </c>
      <c r="C2770">
        <v>99</v>
      </c>
      <c r="D2770">
        <v>13</v>
      </c>
    </row>
    <row r="2771" spans="2:4" x14ac:dyDescent="0.25">
      <c r="B2771" t="s">
        <v>1696</v>
      </c>
      <c r="C2771">
        <v>99</v>
      </c>
      <c r="D2771">
        <v>14</v>
      </c>
    </row>
    <row r="2772" spans="2:4" x14ac:dyDescent="0.25">
      <c r="B2772" t="s">
        <v>1696</v>
      </c>
      <c r="C2772">
        <v>100</v>
      </c>
      <c r="D2772">
        <v>6</v>
      </c>
    </row>
    <row r="2773" spans="2:4" x14ac:dyDescent="0.25">
      <c r="B2773" t="s">
        <v>1696</v>
      </c>
      <c r="C2773">
        <v>100</v>
      </c>
      <c r="D2773">
        <v>8</v>
      </c>
    </row>
    <row r="2774" spans="2:4" x14ac:dyDescent="0.25">
      <c r="B2774" t="s">
        <v>1696</v>
      </c>
      <c r="C2774">
        <v>100</v>
      </c>
      <c r="D2774">
        <v>13</v>
      </c>
    </row>
    <row r="2775" spans="2:4" x14ac:dyDescent="0.25">
      <c r="B2775" t="s">
        <v>1696</v>
      </c>
      <c r="C2775">
        <v>100</v>
      </c>
      <c r="D2775">
        <v>14</v>
      </c>
    </row>
    <row r="2776" spans="2:4" x14ac:dyDescent="0.25">
      <c r="B2776" t="s">
        <v>1696</v>
      </c>
      <c r="C2776">
        <v>101</v>
      </c>
      <c r="D2776">
        <v>6</v>
      </c>
    </row>
    <row r="2777" spans="2:4" x14ac:dyDescent="0.25">
      <c r="B2777" t="s">
        <v>1696</v>
      </c>
      <c r="C2777">
        <v>101</v>
      </c>
      <c r="D2777">
        <v>8</v>
      </c>
    </row>
    <row r="2778" spans="2:4" x14ac:dyDescent="0.25">
      <c r="B2778" t="s">
        <v>1696</v>
      </c>
      <c r="C2778">
        <v>101</v>
      </c>
      <c r="D2778">
        <v>13</v>
      </c>
    </row>
    <row r="2779" spans="2:4" x14ac:dyDescent="0.25">
      <c r="B2779" t="s">
        <v>1696</v>
      </c>
      <c r="C2779">
        <v>101</v>
      </c>
      <c r="D2779">
        <v>14</v>
      </c>
    </row>
    <row r="2780" spans="2:4" x14ac:dyDescent="0.25">
      <c r="B2780" t="s">
        <v>1696</v>
      </c>
      <c r="C2780">
        <v>102</v>
      </c>
      <c r="D2780">
        <v>6</v>
      </c>
    </row>
    <row r="2781" spans="2:4" x14ac:dyDescent="0.25">
      <c r="B2781" t="s">
        <v>1696</v>
      </c>
      <c r="C2781">
        <v>102</v>
      </c>
      <c r="D2781">
        <v>8</v>
      </c>
    </row>
    <row r="2782" spans="2:4" x14ac:dyDescent="0.25">
      <c r="B2782" t="s">
        <v>1696</v>
      </c>
      <c r="C2782">
        <v>102</v>
      </c>
      <c r="D2782">
        <v>13</v>
      </c>
    </row>
    <row r="2783" spans="2:4" x14ac:dyDescent="0.25">
      <c r="B2783" t="s">
        <v>1696</v>
      </c>
      <c r="C2783">
        <v>102</v>
      </c>
      <c r="D2783">
        <v>14</v>
      </c>
    </row>
    <row r="2784" spans="2:4" x14ac:dyDescent="0.25">
      <c r="B2784" t="s">
        <v>1696</v>
      </c>
      <c r="C2784">
        <v>103</v>
      </c>
      <c r="D2784">
        <v>6</v>
      </c>
    </row>
    <row r="2785" spans="2:4" x14ac:dyDescent="0.25">
      <c r="B2785" t="s">
        <v>1696</v>
      </c>
      <c r="C2785">
        <v>103</v>
      </c>
      <c r="D2785">
        <v>8</v>
      </c>
    </row>
    <row r="2786" spans="2:4" x14ac:dyDescent="0.25">
      <c r="B2786" t="s">
        <v>1696</v>
      </c>
      <c r="C2786">
        <v>103</v>
      </c>
      <c r="D2786">
        <v>13</v>
      </c>
    </row>
    <row r="2787" spans="2:4" x14ac:dyDescent="0.25">
      <c r="B2787" t="s">
        <v>1696</v>
      </c>
      <c r="C2787">
        <v>103</v>
      </c>
      <c r="D2787">
        <v>14</v>
      </c>
    </row>
    <row r="2788" spans="2:4" x14ac:dyDescent="0.25">
      <c r="B2788" t="s">
        <v>1696</v>
      </c>
      <c r="C2788">
        <v>105</v>
      </c>
      <c r="D2788">
        <v>6</v>
      </c>
    </row>
    <row r="2789" spans="2:4" x14ac:dyDescent="0.25">
      <c r="B2789" t="s">
        <v>1696</v>
      </c>
      <c r="C2789">
        <v>105</v>
      </c>
      <c r="D2789">
        <v>8</v>
      </c>
    </row>
    <row r="2790" spans="2:4" x14ac:dyDescent="0.25">
      <c r="B2790" t="s">
        <v>1696</v>
      </c>
      <c r="C2790">
        <v>105</v>
      </c>
      <c r="D2790">
        <v>13</v>
      </c>
    </row>
    <row r="2791" spans="2:4" x14ac:dyDescent="0.25">
      <c r="B2791" t="s">
        <v>1696</v>
      </c>
      <c r="C2791">
        <v>105</v>
      </c>
      <c r="D2791">
        <v>14</v>
      </c>
    </row>
    <row r="2792" spans="2:4" x14ac:dyDescent="0.25">
      <c r="B2792" t="s">
        <v>1696</v>
      </c>
      <c r="C2792">
        <v>106</v>
      </c>
      <c r="D2792">
        <v>6</v>
      </c>
    </row>
    <row r="2793" spans="2:4" x14ac:dyDescent="0.25">
      <c r="B2793" t="s">
        <v>1696</v>
      </c>
      <c r="C2793">
        <v>106</v>
      </c>
      <c r="D2793">
        <v>8</v>
      </c>
    </row>
    <row r="2794" spans="2:4" x14ac:dyDescent="0.25">
      <c r="B2794" t="s">
        <v>1696</v>
      </c>
      <c r="C2794">
        <v>106</v>
      </c>
      <c r="D2794">
        <v>13</v>
      </c>
    </row>
    <row r="2795" spans="2:4" x14ac:dyDescent="0.25">
      <c r="B2795" t="s">
        <v>1696</v>
      </c>
      <c r="C2795">
        <v>106</v>
      </c>
      <c r="D2795">
        <v>14</v>
      </c>
    </row>
    <row r="2796" spans="2:4" x14ac:dyDescent="0.25">
      <c r="B2796" t="s">
        <v>1696</v>
      </c>
      <c r="C2796">
        <v>107</v>
      </c>
      <c r="D2796">
        <v>6</v>
      </c>
    </row>
    <row r="2797" spans="2:4" x14ac:dyDescent="0.25">
      <c r="B2797" t="s">
        <v>1696</v>
      </c>
      <c r="C2797">
        <v>107</v>
      </c>
      <c r="D2797">
        <v>8</v>
      </c>
    </row>
    <row r="2798" spans="2:4" x14ac:dyDescent="0.25">
      <c r="B2798" t="s">
        <v>1696</v>
      </c>
      <c r="C2798">
        <v>107</v>
      </c>
      <c r="D2798">
        <v>13</v>
      </c>
    </row>
    <row r="2799" spans="2:4" x14ac:dyDescent="0.25">
      <c r="B2799" t="s">
        <v>1696</v>
      </c>
      <c r="C2799">
        <v>107</v>
      </c>
      <c r="D2799">
        <v>14</v>
      </c>
    </row>
    <row r="2800" spans="2:4" x14ac:dyDescent="0.25">
      <c r="B2800" t="s">
        <v>1696</v>
      </c>
      <c r="C2800">
        <v>108</v>
      </c>
      <c r="D2800">
        <v>6</v>
      </c>
    </row>
    <row r="2801" spans="2:4" x14ac:dyDescent="0.25">
      <c r="B2801" t="s">
        <v>1696</v>
      </c>
      <c r="C2801">
        <v>108</v>
      </c>
      <c r="D2801">
        <v>8</v>
      </c>
    </row>
    <row r="2802" spans="2:4" x14ac:dyDescent="0.25">
      <c r="B2802" t="s">
        <v>1696</v>
      </c>
      <c r="C2802">
        <v>108</v>
      </c>
      <c r="D2802">
        <v>13</v>
      </c>
    </row>
    <row r="2803" spans="2:4" x14ac:dyDescent="0.25">
      <c r="B2803" t="s">
        <v>1696</v>
      </c>
      <c r="C2803">
        <v>108</v>
      </c>
      <c r="D2803">
        <v>14</v>
      </c>
    </row>
    <row r="2804" spans="2:4" x14ac:dyDescent="0.25">
      <c r="B2804" t="s">
        <v>1696</v>
      </c>
      <c r="C2804">
        <v>109</v>
      </c>
      <c r="D2804">
        <v>6</v>
      </c>
    </row>
    <row r="2805" spans="2:4" x14ac:dyDescent="0.25">
      <c r="B2805" t="s">
        <v>1696</v>
      </c>
      <c r="C2805">
        <v>109</v>
      </c>
      <c r="D2805">
        <v>8</v>
      </c>
    </row>
    <row r="2806" spans="2:4" x14ac:dyDescent="0.25">
      <c r="B2806" t="s">
        <v>1696</v>
      </c>
      <c r="C2806">
        <v>109</v>
      </c>
      <c r="D2806">
        <v>13</v>
      </c>
    </row>
    <row r="2807" spans="2:4" x14ac:dyDescent="0.25">
      <c r="B2807" t="s">
        <v>1696</v>
      </c>
      <c r="C2807">
        <v>109</v>
      </c>
      <c r="D2807">
        <v>14</v>
      </c>
    </row>
    <row r="2808" spans="2:4" x14ac:dyDescent="0.25">
      <c r="B2808" t="s">
        <v>1696</v>
      </c>
      <c r="C2808">
        <v>110</v>
      </c>
      <c r="D2808">
        <v>6</v>
      </c>
    </row>
    <row r="2809" spans="2:4" x14ac:dyDescent="0.25">
      <c r="B2809" t="s">
        <v>1696</v>
      </c>
      <c r="C2809">
        <v>110</v>
      </c>
      <c r="D2809">
        <v>8</v>
      </c>
    </row>
    <row r="2810" spans="2:4" x14ac:dyDescent="0.25">
      <c r="B2810" t="s">
        <v>1696</v>
      </c>
      <c r="C2810">
        <v>110</v>
      </c>
      <c r="D2810">
        <v>13</v>
      </c>
    </row>
    <row r="2811" spans="2:4" x14ac:dyDescent="0.25">
      <c r="B2811" t="s">
        <v>1696</v>
      </c>
      <c r="C2811">
        <v>110</v>
      </c>
      <c r="D2811">
        <v>14</v>
      </c>
    </row>
    <row r="2812" spans="2:4" x14ac:dyDescent="0.25">
      <c r="B2812" t="s">
        <v>1696</v>
      </c>
      <c r="C2812">
        <v>111</v>
      </c>
      <c r="D2812">
        <v>6</v>
      </c>
    </row>
    <row r="2813" spans="2:4" x14ac:dyDescent="0.25">
      <c r="B2813" t="s">
        <v>1696</v>
      </c>
      <c r="C2813">
        <v>111</v>
      </c>
      <c r="D2813">
        <v>8</v>
      </c>
    </row>
    <row r="2814" spans="2:4" x14ac:dyDescent="0.25">
      <c r="B2814" t="s">
        <v>1696</v>
      </c>
      <c r="C2814">
        <v>111</v>
      </c>
      <c r="D2814">
        <v>13</v>
      </c>
    </row>
    <row r="2815" spans="2:4" x14ac:dyDescent="0.25">
      <c r="B2815" t="s">
        <v>1696</v>
      </c>
      <c r="C2815">
        <v>111</v>
      </c>
      <c r="D2815">
        <v>14</v>
      </c>
    </row>
    <row r="2816" spans="2:4" x14ac:dyDescent="0.25">
      <c r="B2816" t="s">
        <v>1696</v>
      </c>
      <c r="C2816">
        <v>112</v>
      </c>
      <c r="D2816">
        <v>6</v>
      </c>
    </row>
    <row r="2817" spans="2:4" x14ac:dyDescent="0.25">
      <c r="B2817" t="s">
        <v>1696</v>
      </c>
      <c r="C2817">
        <v>112</v>
      </c>
      <c r="D2817">
        <v>8</v>
      </c>
    </row>
    <row r="2818" spans="2:4" x14ac:dyDescent="0.25">
      <c r="B2818" t="s">
        <v>1696</v>
      </c>
      <c r="C2818">
        <v>112</v>
      </c>
      <c r="D2818">
        <v>13</v>
      </c>
    </row>
    <row r="2819" spans="2:4" x14ac:dyDescent="0.25">
      <c r="B2819" t="s">
        <v>1696</v>
      </c>
      <c r="C2819">
        <v>112</v>
      </c>
      <c r="D2819">
        <v>14</v>
      </c>
    </row>
    <row r="2820" spans="2:4" x14ac:dyDescent="0.25">
      <c r="B2820" t="s">
        <v>1696</v>
      </c>
      <c r="C2820">
        <v>113</v>
      </c>
      <c r="D2820">
        <v>5</v>
      </c>
    </row>
    <row r="2821" spans="2:4" x14ac:dyDescent="0.25">
      <c r="B2821" t="s">
        <v>1696</v>
      </c>
      <c r="C2821">
        <v>114</v>
      </c>
      <c r="D2821">
        <v>5</v>
      </c>
    </row>
    <row r="2822" spans="2:4" x14ac:dyDescent="0.25">
      <c r="B2822" t="s">
        <v>1696</v>
      </c>
      <c r="C2822">
        <v>115</v>
      </c>
      <c r="D2822">
        <v>6</v>
      </c>
    </row>
    <row r="2823" spans="2:4" x14ac:dyDescent="0.25">
      <c r="B2823" t="s">
        <v>1696</v>
      </c>
      <c r="C2823">
        <v>115</v>
      </c>
      <c r="D2823">
        <v>8</v>
      </c>
    </row>
    <row r="2824" spans="2:4" x14ac:dyDescent="0.25">
      <c r="B2824" t="s">
        <v>1696</v>
      </c>
      <c r="C2824">
        <v>115</v>
      </c>
      <c r="D2824">
        <v>13</v>
      </c>
    </row>
    <row r="2825" spans="2:4" x14ac:dyDescent="0.25">
      <c r="B2825" t="s">
        <v>1696</v>
      </c>
      <c r="C2825">
        <v>115</v>
      </c>
      <c r="D2825">
        <v>14</v>
      </c>
    </row>
    <row r="2826" spans="2:4" x14ac:dyDescent="0.25">
      <c r="B2826" t="s">
        <v>1696</v>
      </c>
      <c r="C2826">
        <v>116</v>
      </c>
      <c r="D2826">
        <v>6</v>
      </c>
    </row>
    <row r="2827" spans="2:4" x14ac:dyDescent="0.25">
      <c r="B2827" t="s">
        <v>1696</v>
      </c>
      <c r="C2827">
        <v>116</v>
      </c>
      <c r="D2827">
        <v>8</v>
      </c>
    </row>
    <row r="2828" spans="2:4" x14ac:dyDescent="0.25">
      <c r="B2828" t="s">
        <v>1696</v>
      </c>
      <c r="C2828">
        <v>116</v>
      </c>
      <c r="D2828">
        <v>13</v>
      </c>
    </row>
    <row r="2829" spans="2:4" x14ac:dyDescent="0.25">
      <c r="B2829" t="s">
        <v>1696</v>
      </c>
      <c r="C2829">
        <v>116</v>
      </c>
      <c r="D2829">
        <v>14</v>
      </c>
    </row>
    <row r="2830" spans="2:4" x14ac:dyDescent="0.25">
      <c r="B2830" t="s">
        <v>1696</v>
      </c>
      <c r="C2830">
        <v>117</v>
      </c>
      <c r="D2830">
        <v>6</v>
      </c>
    </row>
    <row r="2831" spans="2:4" x14ac:dyDescent="0.25">
      <c r="B2831" t="s">
        <v>1696</v>
      </c>
      <c r="C2831">
        <v>117</v>
      </c>
      <c r="D2831">
        <v>8</v>
      </c>
    </row>
    <row r="2832" spans="2:4" x14ac:dyDescent="0.25">
      <c r="B2832" t="s">
        <v>1696</v>
      </c>
      <c r="C2832">
        <v>117</v>
      </c>
      <c r="D2832">
        <v>13</v>
      </c>
    </row>
    <row r="2833" spans="2:4" x14ac:dyDescent="0.25">
      <c r="B2833" t="s">
        <v>1696</v>
      </c>
      <c r="C2833">
        <v>117</v>
      </c>
      <c r="D2833">
        <v>14</v>
      </c>
    </row>
    <row r="2834" spans="2:4" x14ac:dyDescent="0.25">
      <c r="B2834" t="s">
        <v>1696</v>
      </c>
      <c r="C2834">
        <v>118</v>
      </c>
      <c r="D2834">
        <v>6</v>
      </c>
    </row>
    <row r="2835" spans="2:4" x14ac:dyDescent="0.25">
      <c r="B2835" t="s">
        <v>1696</v>
      </c>
      <c r="C2835">
        <v>118</v>
      </c>
      <c r="D2835">
        <v>8</v>
      </c>
    </row>
    <row r="2836" spans="2:4" x14ac:dyDescent="0.25">
      <c r="B2836" t="s">
        <v>1696</v>
      </c>
      <c r="C2836">
        <v>118</v>
      </c>
      <c r="D2836">
        <v>13</v>
      </c>
    </row>
    <row r="2837" spans="2:4" x14ac:dyDescent="0.25">
      <c r="B2837" t="s">
        <v>1696</v>
      </c>
      <c r="C2837">
        <v>118</v>
      </c>
      <c r="D2837">
        <v>14</v>
      </c>
    </row>
    <row r="2838" spans="2:4" x14ac:dyDescent="0.25">
      <c r="B2838" t="s">
        <v>1696</v>
      </c>
      <c r="C2838">
        <v>119</v>
      </c>
      <c r="D2838">
        <v>5</v>
      </c>
    </row>
    <row r="2839" spans="2:4" x14ac:dyDescent="0.25">
      <c r="B2839" t="s">
        <v>1696</v>
      </c>
      <c r="C2839">
        <v>120</v>
      </c>
      <c r="D2839">
        <v>6</v>
      </c>
    </row>
    <row r="2840" spans="2:4" x14ac:dyDescent="0.25">
      <c r="B2840" t="s">
        <v>1696</v>
      </c>
      <c r="C2840">
        <v>120</v>
      </c>
      <c r="D2840">
        <v>8</v>
      </c>
    </row>
    <row r="2841" spans="2:4" x14ac:dyDescent="0.25">
      <c r="B2841" t="s">
        <v>1696</v>
      </c>
      <c r="C2841">
        <v>120</v>
      </c>
      <c r="D2841">
        <v>13</v>
      </c>
    </row>
    <row r="2842" spans="2:4" x14ac:dyDescent="0.25">
      <c r="B2842" t="s">
        <v>1696</v>
      </c>
      <c r="C2842">
        <v>120</v>
      </c>
      <c r="D2842">
        <v>14</v>
      </c>
    </row>
    <row r="2843" spans="2:4" x14ac:dyDescent="0.25">
      <c r="B2843" t="s">
        <v>1696</v>
      </c>
      <c r="C2843">
        <v>121</v>
      </c>
      <c r="D2843">
        <v>6</v>
      </c>
    </row>
    <row r="2844" spans="2:4" x14ac:dyDescent="0.25">
      <c r="B2844" t="s">
        <v>1696</v>
      </c>
      <c r="C2844">
        <v>121</v>
      </c>
      <c r="D2844">
        <v>8</v>
      </c>
    </row>
    <row r="2845" spans="2:4" x14ac:dyDescent="0.25">
      <c r="B2845" t="s">
        <v>1696</v>
      </c>
      <c r="C2845">
        <v>121</v>
      </c>
      <c r="D2845">
        <v>13</v>
      </c>
    </row>
    <row r="2846" spans="2:4" x14ac:dyDescent="0.25">
      <c r="B2846" t="s">
        <v>1696</v>
      </c>
      <c r="C2846">
        <v>121</v>
      </c>
      <c r="D2846">
        <v>14</v>
      </c>
    </row>
    <row r="2847" spans="2:4" x14ac:dyDescent="0.25">
      <c r="B2847" t="s">
        <v>1696</v>
      </c>
      <c r="C2847">
        <v>122</v>
      </c>
      <c r="D2847">
        <v>6</v>
      </c>
    </row>
    <row r="2848" spans="2:4" x14ac:dyDescent="0.25">
      <c r="B2848" t="s">
        <v>1696</v>
      </c>
      <c r="C2848">
        <v>122</v>
      </c>
      <c r="D2848">
        <v>8</v>
      </c>
    </row>
    <row r="2849" spans="2:4" x14ac:dyDescent="0.25">
      <c r="B2849" t="s">
        <v>1696</v>
      </c>
      <c r="C2849">
        <v>122</v>
      </c>
      <c r="D2849">
        <v>13</v>
      </c>
    </row>
    <row r="2850" spans="2:4" x14ac:dyDescent="0.25">
      <c r="B2850" t="s">
        <v>1696</v>
      </c>
      <c r="C2850">
        <v>122</v>
      </c>
      <c r="D2850">
        <v>14</v>
      </c>
    </row>
    <row r="2851" spans="2:4" x14ac:dyDescent="0.25">
      <c r="B2851" t="s">
        <v>1696</v>
      </c>
      <c r="C2851">
        <v>123</v>
      </c>
      <c r="D2851">
        <v>6</v>
      </c>
    </row>
    <row r="2852" spans="2:4" x14ac:dyDescent="0.25">
      <c r="B2852" t="s">
        <v>1696</v>
      </c>
      <c r="C2852">
        <v>123</v>
      </c>
      <c r="D2852">
        <v>8</v>
      </c>
    </row>
    <row r="2853" spans="2:4" x14ac:dyDescent="0.25">
      <c r="B2853" t="s">
        <v>1696</v>
      </c>
      <c r="C2853">
        <v>123</v>
      </c>
      <c r="D2853">
        <v>13</v>
      </c>
    </row>
    <row r="2854" spans="2:4" x14ac:dyDescent="0.25">
      <c r="B2854" t="s">
        <v>1696</v>
      </c>
      <c r="C2854">
        <v>123</v>
      </c>
      <c r="D2854">
        <v>14</v>
      </c>
    </row>
    <row r="2855" spans="2:4" x14ac:dyDescent="0.25">
      <c r="B2855" t="s">
        <v>1696</v>
      </c>
      <c r="C2855">
        <v>124</v>
      </c>
      <c r="D2855">
        <v>6</v>
      </c>
    </row>
    <row r="2856" spans="2:4" x14ac:dyDescent="0.25">
      <c r="B2856" t="s">
        <v>1696</v>
      </c>
      <c r="C2856">
        <v>124</v>
      </c>
      <c r="D2856">
        <v>8</v>
      </c>
    </row>
    <row r="2857" spans="2:4" x14ac:dyDescent="0.25">
      <c r="B2857" t="s">
        <v>1696</v>
      </c>
      <c r="C2857">
        <v>124</v>
      </c>
      <c r="D2857">
        <v>13</v>
      </c>
    </row>
    <row r="2858" spans="2:4" x14ac:dyDescent="0.25">
      <c r="B2858" t="s">
        <v>1696</v>
      </c>
      <c r="C2858">
        <v>124</v>
      </c>
      <c r="D2858">
        <v>14</v>
      </c>
    </row>
    <row r="2859" spans="2:4" x14ac:dyDescent="0.25">
      <c r="B2859" t="s">
        <v>1696</v>
      </c>
      <c r="C2859">
        <v>125</v>
      </c>
      <c r="D2859">
        <v>5</v>
      </c>
    </row>
    <row r="2860" spans="2:4" x14ac:dyDescent="0.25">
      <c r="B2860" t="s">
        <v>1696</v>
      </c>
      <c r="C2860">
        <v>126</v>
      </c>
      <c r="D2860">
        <v>6</v>
      </c>
    </row>
    <row r="2861" spans="2:4" x14ac:dyDescent="0.25">
      <c r="B2861" t="s">
        <v>1696</v>
      </c>
      <c r="C2861">
        <v>126</v>
      </c>
      <c r="D2861">
        <v>8</v>
      </c>
    </row>
    <row r="2862" spans="2:4" x14ac:dyDescent="0.25">
      <c r="B2862" t="s">
        <v>1696</v>
      </c>
      <c r="C2862">
        <v>126</v>
      </c>
      <c r="D2862">
        <v>13</v>
      </c>
    </row>
    <row r="2863" spans="2:4" x14ac:dyDescent="0.25">
      <c r="B2863" t="s">
        <v>1696</v>
      </c>
      <c r="C2863">
        <v>126</v>
      </c>
      <c r="D2863">
        <v>14</v>
      </c>
    </row>
    <row r="2864" spans="2:4" x14ac:dyDescent="0.25">
      <c r="B2864" t="s">
        <v>1696</v>
      </c>
      <c r="C2864">
        <v>127</v>
      </c>
      <c r="D2864">
        <v>6</v>
      </c>
    </row>
    <row r="2865" spans="2:4" x14ac:dyDescent="0.25">
      <c r="B2865" t="s">
        <v>1696</v>
      </c>
      <c r="C2865">
        <v>127</v>
      </c>
      <c r="D2865">
        <v>8</v>
      </c>
    </row>
    <row r="2866" spans="2:4" x14ac:dyDescent="0.25">
      <c r="B2866" t="s">
        <v>1696</v>
      </c>
      <c r="C2866">
        <v>127</v>
      </c>
      <c r="D2866">
        <v>13</v>
      </c>
    </row>
    <row r="2867" spans="2:4" x14ac:dyDescent="0.25">
      <c r="B2867" t="s">
        <v>1696</v>
      </c>
      <c r="C2867">
        <v>127</v>
      </c>
      <c r="D2867">
        <v>14</v>
      </c>
    </row>
    <row r="2868" spans="2:4" x14ac:dyDescent="0.25">
      <c r="B2868" t="s">
        <v>1696</v>
      </c>
      <c r="C2868">
        <v>128</v>
      </c>
      <c r="D2868">
        <v>5</v>
      </c>
    </row>
    <row r="2869" spans="2:4" x14ac:dyDescent="0.25">
      <c r="B2869" t="s">
        <v>1696</v>
      </c>
      <c r="C2869">
        <v>129</v>
      </c>
      <c r="D2869">
        <v>6</v>
      </c>
    </row>
    <row r="2870" spans="2:4" x14ac:dyDescent="0.25">
      <c r="B2870" t="s">
        <v>1696</v>
      </c>
      <c r="C2870">
        <v>129</v>
      </c>
      <c r="D2870">
        <v>8</v>
      </c>
    </row>
    <row r="2871" spans="2:4" x14ac:dyDescent="0.25">
      <c r="B2871" t="s">
        <v>1696</v>
      </c>
      <c r="C2871">
        <v>129</v>
      </c>
      <c r="D2871">
        <v>13</v>
      </c>
    </row>
    <row r="2872" spans="2:4" x14ac:dyDescent="0.25">
      <c r="B2872" t="s">
        <v>1696</v>
      </c>
      <c r="C2872">
        <v>129</v>
      </c>
      <c r="D2872">
        <v>14</v>
      </c>
    </row>
    <row r="2873" spans="2:4" x14ac:dyDescent="0.25">
      <c r="B2873" t="s">
        <v>1696</v>
      </c>
      <c r="C2873">
        <v>130</v>
      </c>
      <c r="D2873">
        <v>5</v>
      </c>
    </row>
    <row r="2874" spans="2:4" x14ac:dyDescent="0.25">
      <c r="B2874" t="s">
        <v>1696</v>
      </c>
      <c r="C2874">
        <v>131</v>
      </c>
      <c r="D2874">
        <v>6</v>
      </c>
    </row>
    <row r="2875" spans="2:4" x14ac:dyDescent="0.25">
      <c r="B2875" t="s">
        <v>1696</v>
      </c>
      <c r="C2875">
        <v>131</v>
      </c>
      <c r="D2875">
        <v>8</v>
      </c>
    </row>
    <row r="2876" spans="2:4" x14ac:dyDescent="0.25">
      <c r="B2876" t="s">
        <v>1696</v>
      </c>
      <c r="C2876">
        <v>131</v>
      </c>
      <c r="D2876">
        <v>13</v>
      </c>
    </row>
    <row r="2877" spans="2:4" x14ac:dyDescent="0.25">
      <c r="B2877" t="s">
        <v>1696</v>
      </c>
      <c r="C2877">
        <v>131</v>
      </c>
      <c r="D2877">
        <v>14</v>
      </c>
    </row>
    <row r="2878" spans="2:4" x14ac:dyDescent="0.25">
      <c r="B2878" t="s">
        <v>1696</v>
      </c>
      <c r="C2878">
        <v>132</v>
      </c>
      <c r="D2878">
        <v>6</v>
      </c>
    </row>
    <row r="2879" spans="2:4" x14ac:dyDescent="0.25">
      <c r="B2879" t="s">
        <v>1696</v>
      </c>
      <c r="C2879">
        <v>132</v>
      </c>
      <c r="D2879">
        <v>8</v>
      </c>
    </row>
    <row r="2880" spans="2:4" x14ac:dyDescent="0.25">
      <c r="B2880" t="s">
        <v>1696</v>
      </c>
      <c r="C2880">
        <v>132</v>
      </c>
      <c r="D2880">
        <v>13</v>
      </c>
    </row>
    <row r="2881" spans="2:4" x14ac:dyDescent="0.25">
      <c r="B2881" t="s">
        <v>1696</v>
      </c>
      <c r="C2881">
        <v>132</v>
      </c>
      <c r="D2881">
        <v>14</v>
      </c>
    </row>
    <row r="2882" spans="2:4" x14ac:dyDescent="0.25">
      <c r="B2882" t="s">
        <v>1696</v>
      </c>
      <c r="C2882">
        <v>133</v>
      </c>
      <c r="D2882">
        <v>6</v>
      </c>
    </row>
    <row r="2883" spans="2:4" x14ac:dyDescent="0.25">
      <c r="B2883" t="s">
        <v>1696</v>
      </c>
      <c r="C2883">
        <v>133</v>
      </c>
      <c r="D2883">
        <v>8</v>
      </c>
    </row>
    <row r="2884" spans="2:4" x14ac:dyDescent="0.25">
      <c r="B2884" t="s">
        <v>1696</v>
      </c>
      <c r="C2884">
        <v>133</v>
      </c>
      <c r="D2884">
        <v>13</v>
      </c>
    </row>
    <row r="2885" spans="2:4" x14ac:dyDescent="0.25">
      <c r="B2885" t="s">
        <v>1696</v>
      </c>
      <c r="C2885">
        <v>133</v>
      </c>
      <c r="D2885">
        <v>14</v>
      </c>
    </row>
    <row r="2886" spans="2:4" x14ac:dyDescent="0.25">
      <c r="B2886" t="s">
        <v>1696</v>
      </c>
      <c r="C2886">
        <v>134</v>
      </c>
      <c r="D2886">
        <v>6</v>
      </c>
    </row>
    <row r="2887" spans="2:4" x14ac:dyDescent="0.25">
      <c r="B2887" t="s">
        <v>1696</v>
      </c>
      <c r="C2887">
        <v>134</v>
      </c>
      <c r="D2887">
        <v>8</v>
      </c>
    </row>
    <row r="2888" spans="2:4" x14ac:dyDescent="0.25">
      <c r="B2888" t="s">
        <v>1696</v>
      </c>
      <c r="C2888">
        <v>134</v>
      </c>
      <c r="D2888">
        <v>13</v>
      </c>
    </row>
    <row r="2889" spans="2:4" x14ac:dyDescent="0.25">
      <c r="B2889" t="s">
        <v>1696</v>
      </c>
      <c r="C2889">
        <v>134</v>
      </c>
      <c r="D2889">
        <v>14</v>
      </c>
    </row>
    <row r="2890" spans="2:4" x14ac:dyDescent="0.25">
      <c r="B2890" t="s">
        <v>1696</v>
      </c>
      <c r="C2890">
        <v>135</v>
      </c>
      <c r="D2890">
        <v>5</v>
      </c>
    </row>
    <row r="2891" spans="2:4" x14ac:dyDescent="0.25">
      <c r="B2891" t="s">
        <v>1696</v>
      </c>
      <c r="C2891">
        <v>136</v>
      </c>
      <c r="D2891">
        <v>6</v>
      </c>
    </row>
    <row r="2892" spans="2:4" x14ac:dyDescent="0.25">
      <c r="B2892" t="s">
        <v>1696</v>
      </c>
      <c r="C2892">
        <v>136</v>
      </c>
      <c r="D2892">
        <v>8</v>
      </c>
    </row>
    <row r="2893" spans="2:4" x14ac:dyDescent="0.25">
      <c r="B2893" t="s">
        <v>1696</v>
      </c>
      <c r="C2893">
        <v>136</v>
      </c>
      <c r="D2893">
        <v>13</v>
      </c>
    </row>
    <row r="2894" spans="2:4" x14ac:dyDescent="0.25">
      <c r="B2894" t="s">
        <v>1696</v>
      </c>
      <c r="C2894">
        <v>136</v>
      </c>
      <c r="D2894">
        <v>14</v>
      </c>
    </row>
    <row r="2895" spans="2:4" x14ac:dyDescent="0.25">
      <c r="B2895" t="s">
        <v>1696</v>
      </c>
      <c r="C2895">
        <v>137</v>
      </c>
      <c r="D2895">
        <v>6</v>
      </c>
    </row>
    <row r="2896" spans="2:4" x14ac:dyDescent="0.25">
      <c r="B2896" t="s">
        <v>1696</v>
      </c>
      <c r="C2896">
        <v>137</v>
      </c>
      <c r="D2896">
        <v>8</v>
      </c>
    </row>
    <row r="2897" spans="2:4" x14ac:dyDescent="0.25">
      <c r="B2897" t="s">
        <v>1696</v>
      </c>
      <c r="C2897">
        <v>137</v>
      </c>
      <c r="D2897">
        <v>13</v>
      </c>
    </row>
    <row r="2898" spans="2:4" x14ac:dyDescent="0.25">
      <c r="B2898" t="s">
        <v>1696</v>
      </c>
      <c r="C2898">
        <v>137</v>
      </c>
      <c r="D2898">
        <v>14</v>
      </c>
    </row>
    <row r="2899" spans="2:4" x14ac:dyDescent="0.25">
      <c r="B2899" t="s">
        <v>1696</v>
      </c>
      <c r="C2899">
        <v>138</v>
      </c>
      <c r="D2899">
        <v>6</v>
      </c>
    </row>
    <row r="2900" spans="2:4" x14ac:dyDescent="0.25">
      <c r="B2900" t="s">
        <v>1696</v>
      </c>
      <c r="C2900">
        <v>138</v>
      </c>
      <c r="D2900">
        <v>8</v>
      </c>
    </row>
    <row r="2901" spans="2:4" x14ac:dyDescent="0.25">
      <c r="B2901" t="s">
        <v>1696</v>
      </c>
      <c r="C2901">
        <v>138</v>
      </c>
      <c r="D2901">
        <v>13</v>
      </c>
    </row>
    <row r="2902" spans="2:4" x14ac:dyDescent="0.25">
      <c r="B2902" t="s">
        <v>1696</v>
      </c>
      <c r="C2902">
        <v>138</v>
      </c>
      <c r="D2902">
        <v>14</v>
      </c>
    </row>
    <row r="2903" spans="2:4" x14ac:dyDescent="0.25">
      <c r="B2903" t="s">
        <v>1696</v>
      </c>
      <c r="C2903">
        <v>139</v>
      </c>
      <c r="D2903">
        <v>5</v>
      </c>
    </row>
    <row r="2904" spans="2:4" x14ac:dyDescent="0.25">
      <c r="B2904" t="s">
        <v>1696</v>
      </c>
      <c r="C2904">
        <v>140</v>
      </c>
      <c r="D2904">
        <v>6</v>
      </c>
    </row>
    <row r="2905" spans="2:4" x14ac:dyDescent="0.25">
      <c r="B2905" t="s">
        <v>1696</v>
      </c>
      <c r="C2905">
        <v>140</v>
      </c>
      <c r="D2905">
        <v>8</v>
      </c>
    </row>
    <row r="2906" spans="2:4" x14ac:dyDescent="0.25">
      <c r="B2906" t="s">
        <v>1696</v>
      </c>
      <c r="C2906">
        <v>140</v>
      </c>
      <c r="D2906">
        <v>13</v>
      </c>
    </row>
    <row r="2907" spans="2:4" x14ac:dyDescent="0.25">
      <c r="B2907" t="s">
        <v>1696</v>
      </c>
      <c r="C2907">
        <v>140</v>
      </c>
      <c r="D2907">
        <v>14</v>
      </c>
    </row>
    <row r="2908" spans="2:4" x14ac:dyDescent="0.25">
      <c r="B2908" t="s">
        <v>1696</v>
      </c>
      <c r="C2908">
        <v>141</v>
      </c>
      <c r="D2908">
        <v>6</v>
      </c>
    </row>
    <row r="2909" spans="2:4" x14ac:dyDescent="0.25">
      <c r="B2909" t="s">
        <v>1696</v>
      </c>
      <c r="C2909">
        <v>141</v>
      </c>
      <c r="D2909">
        <v>8</v>
      </c>
    </row>
    <row r="2910" spans="2:4" x14ac:dyDescent="0.25">
      <c r="B2910" t="s">
        <v>1696</v>
      </c>
      <c r="C2910">
        <v>141</v>
      </c>
      <c r="D2910">
        <v>13</v>
      </c>
    </row>
    <row r="2911" spans="2:4" x14ac:dyDescent="0.25">
      <c r="B2911" t="s">
        <v>1696</v>
      </c>
      <c r="C2911">
        <v>141</v>
      </c>
      <c r="D2911">
        <v>14</v>
      </c>
    </row>
    <row r="2912" spans="2:4" x14ac:dyDescent="0.25">
      <c r="B2912" t="s">
        <v>1696</v>
      </c>
      <c r="C2912">
        <v>142</v>
      </c>
      <c r="D2912">
        <v>6</v>
      </c>
    </row>
    <row r="2913" spans="2:4" x14ac:dyDescent="0.25">
      <c r="B2913" t="s">
        <v>1696</v>
      </c>
      <c r="C2913">
        <v>142</v>
      </c>
      <c r="D2913">
        <v>8</v>
      </c>
    </row>
    <row r="2914" spans="2:4" x14ac:dyDescent="0.25">
      <c r="B2914" t="s">
        <v>1696</v>
      </c>
      <c r="C2914">
        <v>142</v>
      </c>
      <c r="D2914">
        <v>13</v>
      </c>
    </row>
    <row r="2915" spans="2:4" x14ac:dyDescent="0.25">
      <c r="B2915" t="s">
        <v>1696</v>
      </c>
      <c r="C2915">
        <v>142</v>
      </c>
      <c r="D2915">
        <v>14</v>
      </c>
    </row>
    <row r="2916" spans="2:4" x14ac:dyDescent="0.25">
      <c r="B2916" t="s">
        <v>1696</v>
      </c>
      <c r="C2916">
        <v>143</v>
      </c>
      <c r="D2916">
        <v>6</v>
      </c>
    </row>
    <row r="2917" spans="2:4" x14ac:dyDescent="0.25">
      <c r="B2917" t="s">
        <v>1696</v>
      </c>
      <c r="C2917">
        <v>143</v>
      </c>
      <c r="D2917">
        <v>8</v>
      </c>
    </row>
    <row r="2918" spans="2:4" x14ac:dyDescent="0.25">
      <c r="B2918" t="s">
        <v>1696</v>
      </c>
      <c r="C2918">
        <v>143</v>
      </c>
      <c r="D2918">
        <v>13</v>
      </c>
    </row>
    <row r="2919" spans="2:4" x14ac:dyDescent="0.25">
      <c r="B2919" t="s">
        <v>1696</v>
      </c>
      <c r="C2919">
        <v>143</v>
      </c>
      <c r="D2919">
        <v>14</v>
      </c>
    </row>
    <row r="2920" spans="2:4" x14ac:dyDescent="0.25">
      <c r="B2920" t="s">
        <v>1696</v>
      </c>
      <c r="C2920">
        <v>144</v>
      </c>
      <c r="D2920">
        <v>5</v>
      </c>
    </row>
    <row r="2921" spans="2:4" x14ac:dyDescent="0.25">
      <c r="B2921" t="s">
        <v>1696</v>
      </c>
      <c r="C2921">
        <v>145</v>
      </c>
      <c r="D2921">
        <v>6</v>
      </c>
    </row>
    <row r="2922" spans="2:4" x14ac:dyDescent="0.25">
      <c r="B2922" t="s">
        <v>1696</v>
      </c>
      <c r="C2922">
        <v>145</v>
      </c>
      <c r="D2922">
        <v>8</v>
      </c>
    </row>
    <row r="2923" spans="2:4" x14ac:dyDescent="0.25">
      <c r="B2923" t="s">
        <v>1696</v>
      </c>
      <c r="C2923">
        <v>145</v>
      </c>
      <c r="D2923">
        <v>13</v>
      </c>
    </row>
    <row r="2924" spans="2:4" x14ac:dyDescent="0.25">
      <c r="B2924" t="s">
        <v>1696</v>
      </c>
      <c r="C2924">
        <v>145</v>
      </c>
      <c r="D2924">
        <v>14</v>
      </c>
    </row>
    <row r="2925" spans="2:4" x14ac:dyDescent="0.25">
      <c r="B2925" t="s">
        <v>1696</v>
      </c>
      <c r="C2925">
        <v>146</v>
      </c>
      <c r="D2925">
        <v>6</v>
      </c>
    </row>
    <row r="2926" spans="2:4" x14ac:dyDescent="0.25">
      <c r="B2926" t="s">
        <v>1696</v>
      </c>
      <c r="C2926">
        <v>146</v>
      </c>
      <c r="D2926">
        <v>8</v>
      </c>
    </row>
    <row r="2927" spans="2:4" x14ac:dyDescent="0.25">
      <c r="B2927" t="s">
        <v>1696</v>
      </c>
      <c r="C2927">
        <v>146</v>
      </c>
      <c r="D2927">
        <v>13</v>
      </c>
    </row>
    <row r="2928" spans="2:4" x14ac:dyDescent="0.25">
      <c r="B2928" t="s">
        <v>1696</v>
      </c>
      <c r="C2928">
        <v>146</v>
      </c>
      <c r="D2928">
        <v>14</v>
      </c>
    </row>
    <row r="2929" spans="2:4" x14ac:dyDescent="0.25">
      <c r="B2929" t="s">
        <v>1696</v>
      </c>
      <c r="C2929">
        <v>147</v>
      </c>
      <c r="D2929">
        <v>5</v>
      </c>
    </row>
    <row r="2930" spans="2:4" x14ac:dyDescent="0.25">
      <c r="B2930" t="s">
        <v>1696</v>
      </c>
      <c r="C2930">
        <v>148</v>
      </c>
      <c r="D2930">
        <v>6</v>
      </c>
    </row>
    <row r="2931" spans="2:4" x14ac:dyDescent="0.25">
      <c r="B2931" t="s">
        <v>1696</v>
      </c>
      <c r="C2931">
        <v>148</v>
      </c>
      <c r="D2931">
        <v>8</v>
      </c>
    </row>
    <row r="2932" spans="2:4" x14ac:dyDescent="0.25">
      <c r="B2932" t="s">
        <v>1696</v>
      </c>
      <c r="C2932">
        <v>148</v>
      </c>
      <c r="D2932">
        <v>13</v>
      </c>
    </row>
    <row r="2933" spans="2:4" x14ac:dyDescent="0.25">
      <c r="B2933" t="s">
        <v>1696</v>
      </c>
      <c r="C2933">
        <v>148</v>
      </c>
      <c r="D2933">
        <v>14</v>
      </c>
    </row>
    <row r="2934" spans="2:4" x14ac:dyDescent="0.25">
      <c r="B2934" t="s">
        <v>1696</v>
      </c>
      <c r="C2934">
        <v>149</v>
      </c>
      <c r="D2934">
        <v>5</v>
      </c>
    </row>
    <row r="2935" spans="2:4" x14ac:dyDescent="0.25">
      <c r="B2935" t="s">
        <v>1696</v>
      </c>
      <c r="C2935">
        <v>150</v>
      </c>
      <c r="D2935">
        <v>6</v>
      </c>
    </row>
    <row r="2936" spans="2:4" x14ac:dyDescent="0.25">
      <c r="B2936" t="s">
        <v>1696</v>
      </c>
      <c r="C2936">
        <v>150</v>
      </c>
      <c r="D2936">
        <v>8</v>
      </c>
    </row>
    <row r="2937" spans="2:4" x14ac:dyDescent="0.25">
      <c r="B2937" t="s">
        <v>1696</v>
      </c>
      <c r="C2937">
        <v>150</v>
      </c>
      <c r="D2937">
        <v>13</v>
      </c>
    </row>
    <row r="2938" spans="2:4" x14ac:dyDescent="0.25">
      <c r="B2938" t="s">
        <v>1696</v>
      </c>
      <c r="C2938">
        <v>150</v>
      </c>
      <c r="D2938">
        <v>14</v>
      </c>
    </row>
    <row r="2939" spans="2:4" x14ac:dyDescent="0.25">
      <c r="B2939" t="s">
        <v>1696</v>
      </c>
      <c r="C2939">
        <v>151</v>
      </c>
      <c r="D2939">
        <v>6</v>
      </c>
    </row>
    <row r="2940" spans="2:4" x14ac:dyDescent="0.25">
      <c r="B2940" t="s">
        <v>1696</v>
      </c>
      <c r="C2940">
        <v>151</v>
      </c>
      <c r="D2940">
        <v>8</v>
      </c>
    </row>
    <row r="2941" spans="2:4" x14ac:dyDescent="0.25">
      <c r="B2941" t="s">
        <v>1696</v>
      </c>
      <c r="C2941">
        <v>151</v>
      </c>
      <c r="D2941">
        <v>13</v>
      </c>
    </row>
    <row r="2942" spans="2:4" x14ac:dyDescent="0.25">
      <c r="B2942" t="s">
        <v>1696</v>
      </c>
      <c r="C2942">
        <v>151</v>
      </c>
      <c r="D2942">
        <v>14</v>
      </c>
    </row>
    <row r="2943" spans="2:4" x14ac:dyDescent="0.25">
      <c r="B2943" t="s">
        <v>1696</v>
      </c>
      <c r="C2943">
        <v>152</v>
      </c>
      <c r="D2943">
        <v>6</v>
      </c>
    </row>
    <row r="2944" spans="2:4" x14ac:dyDescent="0.25">
      <c r="B2944" t="s">
        <v>1696</v>
      </c>
      <c r="C2944">
        <v>152</v>
      </c>
      <c r="D2944">
        <v>8</v>
      </c>
    </row>
    <row r="2945" spans="2:4" x14ac:dyDescent="0.25">
      <c r="B2945" t="s">
        <v>1696</v>
      </c>
      <c r="C2945">
        <v>152</v>
      </c>
      <c r="D2945">
        <v>13</v>
      </c>
    </row>
    <row r="2946" spans="2:4" x14ac:dyDescent="0.25">
      <c r="B2946" t="s">
        <v>1696</v>
      </c>
      <c r="C2946">
        <v>152</v>
      </c>
      <c r="D2946">
        <v>14</v>
      </c>
    </row>
    <row r="2947" spans="2:4" x14ac:dyDescent="0.25">
      <c r="B2947" t="s">
        <v>1696</v>
      </c>
      <c r="C2947">
        <v>153</v>
      </c>
      <c r="D2947">
        <v>6</v>
      </c>
    </row>
    <row r="2948" spans="2:4" x14ac:dyDescent="0.25">
      <c r="B2948" t="s">
        <v>1696</v>
      </c>
      <c r="C2948">
        <v>153</v>
      </c>
      <c r="D2948">
        <v>8</v>
      </c>
    </row>
    <row r="2949" spans="2:4" x14ac:dyDescent="0.25">
      <c r="B2949" t="s">
        <v>1696</v>
      </c>
      <c r="C2949">
        <v>153</v>
      </c>
      <c r="D2949">
        <v>13</v>
      </c>
    </row>
    <row r="2950" spans="2:4" x14ac:dyDescent="0.25">
      <c r="B2950" t="s">
        <v>1696</v>
      </c>
      <c r="C2950">
        <v>153</v>
      </c>
      <c r="D2950">
        <v>14</v>
      </c>
    </row>
    <row r="2951" spans="2:4" x14ac:dyDescent="0.25">
      <c r="B2951" t="s">
        <v>1696</v>
      </c>
      <c r="C2951">
        <v>154</v>
      </c>
      <c r="D2951">
        <v>6</v>
      </c>
    </row>
    <row r="2952" spans="2:4" x14ac:dyDescent="0.25">
      <c r="B2952" t="s">
        <v>1696</v>
      </c>
      <c r="C2952">
        <v>154</v>
      </c>
      <c r="D2952">
        <v>8</v>
      </c>
    </row>
    <row r="2953" spans="2:4" x14ac:dyDescent="0.25">
      <c r="B2953" t="s">
        <v>1696</v>
      </c>
      <c r="C2953">
        <v>154</v>
      </c>
      <c r="D2953">
        <v>13</v>
      </c>
    </row>
    <row r="2954" spans="2:4" x14ac:dyDescent="0.25">
      <c r="B2954" t="s">
        <v>1696</v>
      </c>
      <c r="C2954">
        <v>154</v>
      </c>
      <c r="D2954">
        <v>14</v>
      </c>
    </row>
    <row r="2955" spans="2:4" x14ac:dyDescent="0.25">
      <c r="B2955" t="s">
        <v>1696</v>
      </c>
      <c r="C2955">
        <v>155</v>
      </c>
      <c r="D2955">
        <v>6</v>
      </c>
    </row>
    <row r="2956" spans="2:4" x14ac:dyDescent="0.25">
      <c r="B2956" t="s">
        <v>1696</v>
      </c>
      <c r="C2956">
        <v>155</v>
      </c>
      <c r="D2956">
        <v>8</v>
      </c>
    </row>
    <row r="2957" spans="2:4" x14ac:dyDescent="0.25">
      <c r="B2957" t="s">
        <v>1696</v>
      </c>
      <c r="C2957">
        <v>155</v>
      </c>
      <c r="D2957">
        <v>13</v>
      </c>
    </row>
    <row r="2958" spans="2:4" x14ac:dyDescent="0.25">
      <c r="B2958" t="s">
        <v>1696</v>
      </c>
      <c r="C2958">
        <v>155</v>
      </c>
      <c r="D2958">
        <v>14</v>
      </c>
    </row>
    <row r="2959" spans="2:4" x14ac:dyDescent="0.25">
      <c r="B2959" t="s">
        <v>1696</v>
      </c>
      <c r="C2959">
        <v>156</v>
      </c>
      <c r="D2959">
        <v>6</v>
      </c>
    </row>
    <row r="2960" spans="2:4" x14ac:dyDescent="0.25">
      <c r="B2960" t="s">
        <v>1696</v>
      </c>
      <c r="C2960">
        <v>156</v>
      </c>
      <c r="D2960">
        <v>8</v>
      </c>
    </row>
    <row r="2961" spans="2:4" x14ac:dyDescent="0.25">
      <c r="B2961" t="s">
        <v>1696</v>
      </c>
      <c r="C2961">
        <v>156</v>
      </c>
      <c r="D2961">
        <v>13</v>
      </c>
    </row>
    <row r="2962" spans="2:4" x14ac:dyDescent="0.25">
      <c r="B2962" t="s">
        <v>1696</v>
      </c>
      <c r="C2962">
        <v>156</v>
      </c>
      <c r="D2962">
        <v>14</v>
      </c>
    </row>
    <row r="2963" spans="2:4" x14ac:dyDescent="0.25">
      <c r="B2963" t="s">
        <v>1696</v>
      </c>
      <c r="C2963">
        <v>157</v>
      </c>
      <c r="D2963">
        <v>6</v>
      </c>
    </row>
    <row r="2964" spans="2:4" x14ac:dyDescent="0.25">
      <c r="B2964" t="s">
        <v>1696</v>
      </c>
      <c r="C2964">
        <v>157</v>
      </c>
      <c r="D2964">
        <v>8</v>
      </c>
    </row>
    <row r="2965" spans="2:4" x14ac:dyDescent="0.25">
      <c r="B2965" t="s">
        <v>1696</v>
      </c>
      <c r="C2965">
        <v>157</v>
      </c>
      <c r="D2965">
        <v>13</v>
      </c>
    </row>
    <row r="2966" spans="2:4" x14ac:dyDescent="0.25">
      <c r="B2966" t="s">
        <v>1696</v>
      </c>
      <c r="C2966">
        <v>157</v>
      </c>
      <c r="D2966">
        <v>14</v>
      </c>
    </row>
    <row r="2967" spans="2:4" x14ac:dyDescent="0.25">
      <c r="B2967" t="s">
        <v>1696</v>
      </c>
      <c r="C2967">
        <v>158</v>
      </c>
      <c r="D2967">
        <v>5</v>
      </c>
    </row>
    <row r="2968" spans="2:4" x14ac:dyDescent="0.25">
      <c r="B2968" t="s">
        <v>1696</v>
      </c>
      <c r="C2968">
        <v>159</v>
      </c>
      <c r="D2968">
        <v>5</v>
      </c>
    </row>
    <row r="2969" spans="2:4" x14ac:dyDescent="0.25">
      <c r="B2969" t="s">
        <v>1696</v>
      </c>
      <c r="C2969">
        <v>160</v>
      </c>
      <c r="D2969">
        <v>6</v>
      </c>
    </row>
    <row r="2970" spans="2:4" x14ac:dyDescent="0.25">
      <c r="B2970" t="s">
        <v>1696</v>
      </c>
      <c r="C2970">
        <v>160</v>
      </c>
      <c r="D2970">
        <v>8</v>
      </c>
    </row>
    <row r="2971" spans="2:4" x14ac:dyDescent="0.25">
      <c r="B2971" t="s">
        <v>1696</v>
      </c>
      <c r="C2971">
        <v>160</v>
      </c>
      <c r="D2971">
        <v>13</v>
      </c>
    </row>
    <row r="2972" spans="2:4" x14ac:dyDescent="0.25">
      <c r="B2972" t="s">
        <v>1696</v>
      </c>
      <c r="C2972">
        <v>160</v>
      </c>
      <c r="D2972">
        <v>14</v>
      </c>
    </row>
    <row r="2973" spans="2:4" x14ac:dyDescent="0.25">
      <c r="B2973" t="s">
        <v>1696</v>
      </c>
      <c r="C2973">
        <v>161</v>
      </c>
      <c r="D2973">
        <v>6</v>
      </c>
    </row>
    <row r="2974" spans="2:4" x14ac:dyDescent="0.25">
      <c r="B2974" t="s">
        <v>1696</v>
      </c>
      <c r="C2974">
        <v>161</v>
      </c>
      <c r="D2974">
        <v>8</v>
      </c>
    </row>
    <row r="2975" spans="2:4" x14ac:dyDescent="0.25">
      <c r="B2975" t="s">
        <v>1696</v>
      </c>
      <c r="C2975">
        <v>161</v>
      </c>
      <c r="D2975">
        <v>13</v>
      </c>
    </row>
    <row r="2976" spans="2:4" x14ac:dyDescent="0.25">
      <c r="B2976" t="s">
        <v>1696</v>
      </c>
      <c r="C2976">
        <v>161</v>
      </c>
      <c r="D2976">
        <v>14</v>
      </c>
    </row>
    <row r="2977" spans="2:4" x14ac:dyDescent="0.25">
      <c r="B2977" t="s">
        <v>1696</v>
      </c>
      <c r="C2977">
        <v>162</v>
      </c>
      <c r="D2977">
        <v>6</v>
      </c>
    </row>
    <row r="2978" spans="2:4" x14ac:dyDescent="0.25">
      <c r="B2978" t="s">
        <v>1696</v>
      </c>
      <c r="C2978">
        <v>162</v>
      </c>
      <c r="D2978">
        <v>8</v>
      </c>
    </row>
    <row r="2979" spans="2:4" x14ac:dyDescent="0.25">
      <c r="B2979" t="s">
        <v>1696</v>
      </c>
      <c r="C2979">
        <v>162</v>
      </c>
      <c r="D2979">
        <v>13</v>
      </c>
    </row>
    <row r="2980" spans="2:4" x14ac:dyDescent="0.25">
      <c r="B2980" t="s">
        <v>1696</v>
      </c>
      <c r="C2980">
        <v>162</v>
      </c>
      <c r="D2980">
        <v>14</v>
      </c>
    </row>
    <row r="2981" spans="2:4" x14ac:dyDescent="0.25">
      <c r="B2981" t="s">
        <v>1696</v>
      </c>
      <c r="C2981">
        <v>163</v>
      </c>
      <c r="D2981">
        <v>6</v>
      </c>
    </row>
    <row r="2982" spans="2:4" x14ac:dyDescent="0.25">
      <c r="B2982" t="s">
        <v>1696</v>
      </c>
      <c r="C2982">
        <v>163</v>
      </c>
      <c r="D2982">
        <v>8</v>
      </c>
    </row>
    <row r="2983" spans="2:4" x14ac:dyDescent="0.25">
      <c r="B2983" t="s">
        <v>1696</v>
      </c>
      <c r="C2983">
        <v>163</v>
      </c>
      <c r="D2983">
        <v>13</v>
      </c>
    </row>
    <row r="2984" spans="2:4" x14ac:dyDescent="0.25">
      <c r="B2984" t="s">
        <v>1696</v>
      </c>
      <c r="C2984">
        <v>163</v>
      </c>
      <c r="D2984">
        <v>14</v>
      </c>
    </row>
    <row r="2985" spans="2:4" x14ac:dyDescent="0.25">
      <c r="B2985" t="s">
        <v>1696</v>
      </c>
      <c r="C2985">
        <v>164</v>
      </c>
      <c r="D2985">
        <v>6</v>
      </c>
    </row>
    <row r="2986" spans="2:4" x14ac:dyDescent="0.25">
      <c r="B2986" t="s">
        <v>1696</v>
      </c>
      <c r="C2986">
        <v>164</v>
      </c>
      <c r="D2986">
        <v>8</v>
      </c>
    </row>
    <row r="2987" spans="2:4" x14ac:dyDescent="0.25">
      <c r="B2987" t="s">
        <v>1696</v>
      </c>
      <c r="C2987">
        <v>164</v>
      </c>
      <c r="D2987">
        <v>13</v>
      </c>
    </row>
    <row r="2988" spans="2:4" x14ac:dyDescent="0.25">
      <c r="B2988" t="s">
        <v>1696</v>
      </c>
      <c r="C2988">
        <v>164</v>
      </c>
      <c r="D2988">
        <v>14</v>
      </c>
    </row>
    <row r="2989" spans="2:4" x14ac:dyDescent="0.25">
      <c r="B2989" t="s">
        <v>1696</v>
      </c>
      <c r="C2989">
        <v>165</v>
      </c>
      <c r="D2989">
        <v>6</v>
      </c>
    </row>
    <row r="2990" spans="2:4" x14ac:dyDescent="0.25">
      <c r="B2990" t="s">
        <v>1696</v>
      </c>
      <c r="C2990">
        <v>165</v>
      </c>
      <c r="D2990">
        <v>8</v>
      </c>
    </row>
    <row r="2991" spans="2:4" x14ac:dyDescent="0.25">
      <c r="B2991" t="s">
        <v>1696</v>
      </c>
      <c r="C2991">
        <v>165</v>
      </c>
      <c r="D2991">
        <v>13</v>
      </c>
    </row>
    <row r="2992" spans="2:4" x14ac:dyDescent="0.25">
      <c r="B2992" t="s">
        <v>1696</v>
      </c>
      <c r="C2992">
        <v>165</v>
      </c>
      <c r="D2992">
        <v>14</v>
      </c>
    </row>
    <row r="2993" spans="2:4" x14ac:dyDescent="0.25">
      <c r="B2993" t="s">
        <v>1696</v>
      </c>
      <c r="C2993">
        <v>166</v>
      </c>
      <c r="D2993">
        <v>6</v>
      </c>
    </row>
    <row r="2994" spans="2:4" x14ac:dyDescent="0.25">
      <c r="B2994" t="s">
        <v>1696</v>
      </c>
      <c r="C2994">
        <v>166</v>
      </c>
      <c r="D2994">
        <v>8</v>
      </c>
    </row>
    <row r="2995" spans="2:4" x14ac:dyDescent="0.25">
      <c r="B2995" t="s">
        <v>1696</v>
      </c>
      <c r="C2995">
        <v>166</v>
      </c>
      <c r="D2995">
        <v>13</v>
      </c>
    </row>
    <row r="2996" spans="2:4" x14ac:dyDescent="0.25">
      <c r="B2996" t="s">
        <v>1696</v>
      </c>
      <c r="C2996">
        <v>166</v>
      </c>
      <c r="D2996">
        <v>14</v>
      </c>
    </row>
    <row r="2997" spans="2:4" x14ac:dyDescent="0.25">
      <c r="B2997" t="s">
        <v>1696</v>
      </c>
      <c r="C2997">
        <v>167</v>
      </c>
      <c r="D2997">
        <v>6</v>
      </c>
    </row>
    <row r="2998" spans="2:4" x14ac:dyDescent="0.25">
      <c r="B2998" t="s">
        <v>1696</v>
      </c>
      <c r="C2998">
        <v>167</v>
      </c>
      <c r="D2998">
        <v>8</v>
      </c>
    </row>
    <row r="2999" spans="2:4" x14ac:dyDescent="0.25">
      <c r="B2999" t="s">
        <v>1696</v>
      </c>
      <c r="C2999">
        <v>167</v>
      </c>
      <c r="D2999">
        <v>13</v>
      </c>
    </row>
    <row r="3000" spans="2:4" x14ac:dyDescent="0.25">
      <c r="B3000" t="s">
        <v>1696</v>
      </c>
      <c r="C3000">
        <v>167</v>
      </c>
      <c r="D3000">
        <v>14</v>
      </c>
    </row>
    <row r="3001" spans="2:4" x14ac:dyDescent="0.25">
      <c r="B3001" t="s">
        <v>1696</v>
      </c>
      <c r="C3001">
        <v>168</v>
      </c>
      <c r="D3001">
        <v>6</v>
      </c>
    </row>
    <row r="3002" spans="2:4" x14ac:dyDescent="0.25">
      <c r="B3002" t="s">
        <v>1696</v>
      </c>
      <c r="C3002">
        <v>168</v>
      </c>
      <c r="D3002">
        <v>8</v>
      </c>
    </row>
    <row r="3003" spans="2:4" x14ac:dyDescent="0.25">
      <c r="B3003" t="s">
        <v>1696</v>
      </c>
      <c r="C3003">
        <v>168</v>
      </c>
      <c r="D3003">
        <v>13</v>
      </c>
    </row>
    <row r="3004" spans="2:4" x14ac:dyDescent="0.25">
      <c r="B3004" t="s">
        <v>1696</v>
      </c>
      <c r="C3004">
        <v>168</v>
      </c>
      <c r="D3004">
        <v>14</v>
      </c>
    </row>
    <row r="3005" spans="2:4" x14ac:dyDescent="0.25">
      <c r="B3005" t="s">
        <v>1696</v>
      </c>
      <c r="C3005">
        <v>169</v>
      </c>
      <c r="D3005">
        <v>5</v>
      </c>
    </row>
    <row r="3006" spans="2:4" x14ac:dyDescent="0.25">
      <c r="B3006" t="s">
        <v>1696</v>
      </c>
      <c r="C3006">
        <v>170</v>
      </c>
      <c r="D3006">
        <v>6</v>
      </c>
    </row>
    <row r="3007" spans="2:4" x14ac:dyDescent="0.25">
      <c r="B3007" t="s">
        <v>1696</v>
      </c>
      <c r="C3007">
        <v>170</v>
      </c>
      <c r="D3007">
        <v>8</v>
      </c>
    </row>
    <row r="3008" spans="2:4" x14ac:dyDescent="0.25">
      <c r="B3008" t="s">
        <v>1696</v>
      </c>
      <c r="C3008">
        <v>170</v>
      </c>
      <c r="D3008">
        <v>13</v>
      </c>
    </row>
    <row r="3009" spans="2:4" x14ac:dyDescent="0.25">
      <c r="B3009" t="s">
        <v>1696</v>
      </c>
      <c r="C3009">
        <v>170</v>
      </c>
      <c r="D3009">
        <v>14</v>
      </c>
    </row>
    <row r="3010" spans="2:4" x14ac:dyDescent="0.25">
      <c r="B3010" t="s">
        <v>1696</v>
      </c>
      <c r="C3010">
        <v>171</v>
      </c>
      <c r="D3010">
        <v>6</v>
      </c>
    </row>
    <row r="3011" spans="2:4" x14ac:dyDescent="0.25">
      <c r="B3011" t="s">
        <v>1696</v>
      </c>
      <c r="C3011">
        <v>171</v>
      </c>
      <c r="D3011">
        <v>8</v>
      </c>
    </row>
    <row r="3012" spans="2:4" x14ac:dyDescent="0.25">
      <c r="B3012" t="s">
        <v>1696</v>
      </c>
      <c r="C3012">
        <v>171</v>
      </c>
      <c r="D3012">
        <v>13</v>
      </c>
    </row>
    <row r="3013" spans="2:4" x14ac:dyDescent="0.25">
      <c r="B3013" t="s">
        <v>1696</v>
      </c>
      <c r="C3013">
        <v>171</v>
      </c>
      <c r="D3013">
        <v>14</v>
      </c>
    </row>
    <row r="3014" spans="2:4" x14ac:dyDescent="0.25">
      <c r="B3014" t="s">
        <v>1696</v>
      </c>
      <c r="C3014">
        <v>172</v>
      </c>
      <c r="D3014">
        <v>6</v>
      </c>
    </row>
    <row r="3015" spans="2:4" x14ac:dyDescent="0.25">
      <c r="B3015" t="s">
        <v>1696</v>
      </c>
      <c r="C3015">
        <v>172</v>
      </c>
      <c r="D3015">
        <v>8</v>
      </c>
    </row>
    <row r="3016" spans="2:4" x14ac:dyDescent="0.25">
      <c r="B3016" t="s">
        <v>1696</v>
      </c>
      <c r="C3016">
        <v>172</v>
      </c>
      <c r="D3016">
        <v>13</v>
      </c>
    </row>
    <row r="3017" spans="2:4" x14ac:dyDescent="0.25">
      <c r="B3017" t="s">
        <v>1696</v>
      </c>
      <c r="C3017">
        <v>172</v>
      </c>
      <c r="D3017">
        <v>14</v>
      </c>
    </row>
    <row r="3018" spans="2:4" x14ac:dyDescent="0.25">
      <c r="B3018" t="s">
        <v>1696</v>
      </c>
      <c r="C3018">
        <v>173</v>
      </c>
      <c r="D3018">
        <v>6</v>
      </c>
    </row>
    <row r="3019" spans="2:4" x14ac:dyDescent="0.25">
      <c r="B3019" t="s">
        <v>1696</v>
      </c>
      <c r="C3019">
        <v>173</v>
      </c>
      <c r="D3019">
        <v>8</v>
      </c>
    </row>
    <row r="3020" spans="2:4" x14ac:dyDescent="0.25">
      <c r="B3020" t="s">
        <v>1696</v>
      </c>
      <c r="C3020">
        <v>173</v>
      </c>
      <c r="D3020">
        <v>13</v>
      </c>
    </row>
    <row r="3021" spans="2:4" x14ac:dyDescent="0.25">
      <c r="B3021" t="s">
        <v>1696</v>
      </c>
      <c r="C3021">
        <v>173</v>
      </c>
      <c r="D3021">
        <v>14</v>
      </c>
    </row>
    <row r="3022" spans="2:4" x14ac:dyDescent="0.25">
      <c r="B3022" t="s">
        <v>1696</v>
      </c>
      <c r="C3022">
        <v>174</v>
      </c>
      <c r="D3022">
        <v>6</v>
      </c>
    </row>
    <row r="3023" spans="2:4" x14ac:dyDescent="0.25">
      <c r="B3023" t="s">
        <v>1696</v>
      </c>
      <c r="C3023">
        <v>174</v>
      </c>
      <c r="D3023">
        <v>8</v>
      </c>
    </row>
    <row r="3024" spans="2:4" x14ac:dyDescent="0.25">
      <c r="B3024" t="s">
        <v>1696</v>
      </c>
      <c r="C3024">
        <v>174</v>
      </c>
      <c r="D3024">
        <v>13</v>
      </c>
    </row>
    <row r="3025" spans="2:4" x14ac:dyDescent="0.25">
      <c r="B3025" t="s">
        <v>1696</v>
      </c>
      <c r="C3025">
        <v>174</v>
      </c>
      <c r="D3025">
        <v>14</v>
      </c>
    </row>
    <row r="3026" spans="2:4" x14ac:dyDescent="0.25">
      <c r="B3026" t="s">
        <v>1696</v>
      </c>
      <c r="C3026">
        <v>175</v>
      </c>
      <c r="D3026">
        <v>6</v>
      </c>
    </row>
    <row r="3027" spans="2:4" x14ac:dyDescent="0.25">
      <c r="B3027" t="s">
        <v>1696</v>
      </c>
      <c r="C3027">
        <v>175</v>
      </c>
      <c r="D3027">
        <v>8</v>
      </c>
    </row>
    <row r="3028" spans="2:4" x14ac:dyDescent="0.25">
      <c r="B3028" t="s">
        <v>1696</v>
      </c>
      <c r="C3028">
        <v>175</v>
      </c>
      <c r="D3028">
        <v>13</v>
      </c>
    </row>
    <row r="3029" spans="2:4" x14ac:dyDescent="0.25">
      <c r="B3029" t="s">
        <v>1696</v>
      </c>
      <c r="C3029">
        <v>175</v>
      </c>
      <c r="D3029">
        <v>14</v>
      </c>
    </row>
    <row r="3030" spans="2:4" x14ac:dyDescent="0.25">
      <c r="B3030" t="s">
        <v>1696</v>
      </c>
      <c r="C3030">
        <v>176</v>
      </c>
      <c r="D3030">
        <v>6</v>
      </c>
    </row>
    <row r="3031" spans="2:4" x14ac:dyDescent="0.25">
      <c r="B3031" t="s">
        <v>1696</v>
      </c>
      <c r="C3031">
        <v>176</v>
      </c>
      <c r="D3031">
        <v>8</v>
      </c>
    </row>
    <row r="3032" spans="2:4" x14ac:dyDescent="0.25">
      <c r="B3032" t="s">
        <v>1696</v>
      </c>
      <c r="C3032">
        <v>176</v>
      </c>
      <c r="D3032">
        <v>13</v>
      </c>
    </row>
    <row r="3033" spans="2:4" x14ac:dyDescent="0.25">
      <c r="B3033" t="s">
        <v>1696</v>
      </c>
      <c r="C3033">
        <v>176</v>
      </c>
      <c r="D3033">
        <v>14</v>
      </c>
    </row>
    <row r="3034" spans="2:4" x14ac:dyDescent="0.25">
      <c r="B3034" t="s">
        <v>1696</v>
      </c>
      <c r="C3034">
        <v>177</v>
      </c>
      <c r="D3034">
        <v>6</v>
      </c>
    </row>
    <row r="3035" spans="2:4" x14ac:dyDescent="0.25">
      <c r="B3035" t="s">
        <v>1696</v>
      </c>
      <c r="C3035">
        <v>177</v>
      </c>
      <c r="D3035">
        <v>8</v>
      </c>
    </row>
    <row r="3036" spans="2:4" x14ac:dyDescent="0.25">
      <c r="B3036" t="s">
        <v>1696</v>
      </c>
      <c r="C3036">
        <v>177</v>
      </c>
      <c r="D3036">
        <v>13</v>
      </c>
    </row>
    <row r="3037" spans="2:4" x14ac:dyDescent="0.25">
      <c r="B3037" t="s">
        <v>1696</v>
      </c>
      <c r="C3037">
        <v>177</v>
      </c>
      <c r="D3037">
        <v>14</v>
      </c>
    </row>
    <row r="3038" spans="2:4" x14ac:dyDescent="0.25">
      <c r="B3038" t="s">
        <v>1696</v>
      </c>
      <c r="C3038">
        <v>178</v>
      </c>
      <c r="D3038">
        <v>6</v>
      </c>
    </row>
    <row r="3039" spans="2:4" x14ac:dyDescent="0.25">
      <c r="B3039" t="s">
        <v>1696</v>
      </c>
      <c r="C3039">
        <v>178</v>
      </c>
      <c r="D3039">
        <v>8</v>
      </c>
    </row>
    <row r="3040" spans="2:4" x14ac:dyDescent="0.25">
      <c r="B3040" t="s">
        <v>1696</v>
      </c>
      <c r="C3040">
        <v>178</v>
      </c>
      <c r="D3040">
        <v>13</v>
      </c>
    </row>
    <row r="3041" spans="2:4" x14ac:dyDescent="0.25">
      <c r="B3041" t="s">
        <v>1696</v>
      </c>
      <c r="C3041">
        <v>178</v>
      </c>
      <c r="D3041">
        <v>14</v>
      </c>
    </row>
    <row r="3042" spans="2:4" x14ac:dyDescent="0.25">
      <c r="B3042" t="s">
        <v>1696</v>
      </c>
      <c r="C3042">
        <v>179</v>
      </c>
      <c r="D3042">
        <v>6</v>
      </c>
    </row>
    <row r="3043" spans="2:4" x14ac:dyDescent="0.25">
      <c r="B3043" t="s">
        <v>1696</v>
      </c>
      <c r="C3043">
        <v>179</v>
      </c>
      <c r="D3043">
        <v>8</v>
      </c>
    </row>
    <row r="3044" spans="2:4" x14ac:dyDescent="0.25">
      <c r="B3044" t="s">
        <v>1696</v>
      </c>
      <c r="C3044">
        <v>179</v>
      </c>
      <c r="D3044">
        <v>13</v>
      </c>
    </row>
    <row r="3045" spans="2:4" x14ac:dyDescent="0.25">
      <c r="B3045" t="s">
        <v>1696</v>
      </c>
      <c r="C3045">
        <v>179</v>
      </c>
      <c r="D3045">
        <v>14</v>
      </c>
    </row>
    <row r="3046" spans="2:4" x14ac:dyDescent="0.25">
      <c r="B3046" t="s">
        <v>1696</v>
      </c>
      <c r="C3046">
        <v>180</v>
      </c>
      <c r="D3046">
        <v>5</v>
      </c>
    </row>
    <row r="3047" spans="2:4" x14ac:dyDescent="0.25">
      <c r="B3047" t="s">
        <v>1696</v>
      </c>
      <c r="C3047">
        <v>181</v>
      </c>
      <c r="D3047">
        <v>6</v>
      </c>
    </row>
    <row r="3048" spans="2:4" x14ac:dyDescent="0.25">
      <c r="B3048" t="s">
        <v>1696</v>
      </c>
      <c r="C3048">
        <v>181</v>
      </c>
      <c r="D3048">
        <v>8</v>
      </c>
    </row>
    <row r="3049" spans="2:4" x14ac:dyDescent="0.25">
      <c r="B3049" t="s">
        <v>1696</v>
      </c>
      <c r="C3049">
        <v>181</v>
      </c>
      <c r="D3049">
        <v>13</v>
      </c>
    </row>
    <row r="3050" spans="2:4" x14ac:dyDescent="0.25">
      <c r="B3050" t="s">
        <v>1696</v>
      </c>
      <c r="C3050">
        <v>181</v>
      </c>
      <c r="D3050">
        <v>14</v>
      </c>
    </row>
    <row r="3051" spans="2:4" x14ac:dyDescent="0.25">
      <c r="B3051" t="s">
        <v>1696</v>
      </c>
      <c r="C3051">
        <v>182</v>
      </c>
      <c r="D3051">
        <v>6</v>
      </c>
    </row>
    <row r="3052" spans="2:4" x14ac:dyDescent="0.25">
      <c r="B3052" t="s">
        <v>1696</v>
      </c>
      <c r="C3052">
        <v>182</v>
      </c>
      <c r="D3052">
        <v>8</v>
      </c>
    </row>
    <row r="3053" spans="2:4" x14ac:dyDescent="0.25">
      <c r="B3053" t="s">
        <v>1696</v>
      </c>
      <c r="C3053">
        <v>182</v>
      </c>
      <c r="D3053">
        <v>13</v>
      </c>
    </row>
    <row r="3054" spans="2:4" x14ac:dyDescent="0.25">
      <c r="B3054" t="s">
        <v>1696</v>
      </c>
      <c r="C3054">
        <v>182</v>
      </c>
      <c r="D3054">
        <v>14</v>
      </c>
    </row>
    <row r="3055" spans="2:4" x14ac:dyDescent="0.25">
      <c r="B3055" t="s">
        <v>1696</v>
      </c>
      <c r="C3055">
        <v>183</v>
      </c>
      <c r="D3055">
        <v>6</v>
      </c>
    </row>
    <row r="3056" spans="2:4" x14ac:dyDescent="0.25">
      <c r="B3056" t="s">
        <v>1696</v>
      </c>
      <c r="C3056">
        <v>183</v>
      </c>
      <c r="D3056">
        <v>8</v>
      </c>
    </row>
    <row r="3057" spans="2:4" x14ac:dyDescent="0.25">
      <c r="B3057" t="s">
        <v>1696</v>
      </c>
      <c r="C3057">
        <v>183</v>
      </c>
      <c r="D3057">
        <v>13</v>
      </c>
    </row>
    <row r="3058" spans="2:4" x14ac:dyDescent="0.25">
      <c r="B3058" t="s">
        <v>1696</v>
      </c>
      <c r="C3058">
        <v>183</v>
      </c>
      <c r="D3058">
        <v>14</v>
      </c>
    </row>
    <row r="3059" spans="2:4" x14ac:dyDescent="0.25">
      <c r="B3059" t="s">
        <v>1696</v>
      </c>
      <c r="C3059">
        <v>184</v>
      </c>
      <c r="D3059">
        <v>6</v>
      </c>
    </row>
    <row r="3060" spans="2:4" x14ac:dyDescent="0.25">
      <c r="B3060" t="s">
        <v>1696</v>
      </c>
      <c r="C3060">
        <v>184</v>
      </c>
      <c r="D3060">
        <v>8</v>
      </c>
    </row>
    <row r="3061" spans="2:4" x14ac:dyDescent="0.25">
      <c r="B3061" t="s">
        <v>1696</v>
      </c>
      <c r="C3061">
        <v>184</v>
      </c>
      <c r="D3061">
        <v>13</v>
      </c>
    </row>
    <row r="3062" spans="2:4" x14ac:dyDescent="0.25">
      <c r="B3062" t="s">
        <v>1696</v>
      </c>
      <c r="C3062">
        <v>184</v>
      </c>
      <c r="D3062">
        <v>14</v>
      </c>
    </row>
    <row r="3063" spans="2:4" x14ac:dyDescent="0.25">
      <c r="B3063" t="s">
        <v>1696</v>
      </c>
      <c r="C3063">
        <v>185</v>
      </c>
      <c r="D3063">
        <v>5</v>
      </c>
    </row>
    <row r="3064" spans="2:4" x14ac:dyDescent="0.25">
      <c r="B3064" t="s">
        <v>1696</v>
      </c>
      <c r="C3064">
        <v>186</v>
      </c>
      <c r="D3064">
        <v>6</v>
      </c>
    </row>
    <row r="3065" spans="2:4" x14ac:dyDescent="0.25">
      <c r="B3065" t="s">
        <v>1696</v>
      </c>
      <c r="C3065">
        <v>186</v>
      </c>
      <c r="D3065">
        <v>8</v>
      </c>
    </row>
    <row r="3066" spans="2:4" x14ac:dyDescent="0.25">
      <c r="B3066" t="s">
        <v>1696</v>
      </c>
      <c r="C3066">
        <v>186</v>
      </c>
      <c r="D3066">
        <v>13</v>
      </c>
    </row>
    <row r="3067" spans="2:4" x14ac:dyDescent="0.25">
      <c r="B3067" t="s">
        <v>1696</v>
      </c>
      <c r="C3067">
        <v>186</v>
      </c>
      <c r="D3067">
        <v>14</v>
      </c>
    </row>
    <row r="3068" spans="2:4" x14ac:dyDescent="0.25">
      <c r="B3068" t="s">
        <v>1696</v>
      </c>
      <c r="C3068">
        <v>187</v>
      </c>
      <c r="D3068">
        <v>6</v>
      </c>
    </row>
    <row r="3069" spans="2:4" x14ac:dyDescent="0.25">
      <c r="B3069" t="s">
        <v>1696</v>
      </c>
      <c r="C3069">
        <v>187</v>
      </c>
      <c r="D3069">
        <v>8</v>
      </c>
    </row>
    <row r="3070" spans="2:4" x14ac:dyDescent="0.25">
      <c r="B3070" t="s">
        <v>1696</v>
      </c>
      <c r="C3070">
        <v>187</v>
      </c>
      <c r="D3070">
        <v>13</v>
      </c>
    </row>
    <row r="3071" spans="2:4" x14ac:dyDescent="0.25">
      <c r="B3071" t="s">
        <v>1696</v>
      </c>
      <c r="C3071">
        <v>187</v>
      </c>
      <c r="D3071">
        <v>14</v>
      </c>
    </row>
    <row r="3072" spans="2:4" x14ac:dyDescent="0.25">
      <c r="B3072" t="s">
        <v>1696</v>
      </c>
      <c r="C3072">
        <v>188</v>
      </c>
      <c r="D3072">
        <v>6</v>
      </c>
    </row>
    <row r="3073" spans="2:4" x14ac:dyDescent="0.25">
      <c r="B3073" t="s">
        <v>1696</v>
      </c>
      <c r="C3073">
        <v>188</v>
      </c>
      <c r="D3073">
        <v>8</v>
      </c>
    </row>
    <row r="3074" spans="2:4" x14ac:dyDescent="0.25">
      <c r="B3074" t="s">
        <v>1696</v>
      </c>
      <c r="C3074">
        <v>188</v>
      </c>
      <c r="D3074">
        <v>13</v>
      </c>
    </row>
    <row r="3075" spans="2:4" x14ac:dyDescent="0.25">
      <c r="B3075" t="s">
        <v>1696</v>
      </c>
      <c r="C3075">
        <v>188</v>
      </c>
      <c r="D3075">
        <v>14</v>
      </c>
    </row>
    <row r="3076" spans="2:4" x14ac:dyDescent="0.25">
      <c r="B3076" t="s">
        <v>1696</v>
      </c>
      <c r="C3076">
        <v>189</v>
      </c>
      <c r="D3076">
        <v>6</v>
      </c>
    </row>
    <row r="3077" spans="2:4" x14ac:dyDescent="0.25">
      <c r="B3077" t="s">
        <v>1696</v>
      </c>
      <c r="C3077">
        <v>189</v>
      </c>
      <c r="D3077">
        <v>8</v>
      </c>
    </row>
    <row r="3078" spans="2:4" x14ac:dyDescent="0.25">
      <c r="B3078" t="s">
        <v>1696</v>
      </c>
      <c r="C3078">
        <v>189</v>
      </c>
      <c r="D3078">
        <v>13</v>
      </c>
    </row>
    <row r="3079" spans="2:4" x14ac:dyDescent="0.25">
      <c r="B3079" t="s">
        <v>1696</v>
      </c>
      <c r="C3079">
        <v>189</v>
      </c>
      <c r="D3079">
        <v>14</v>
      </c>
    </row>
    <row r="3080" spans="2:4" x14ac:dyDescent="0.25">
      <c r="B3080" t="s">
        <v>1696</v>
      </c>
      <c r="C3080">
        <v>190</v>
      </c>
      <c r="D3080">
        <v>5</v>
      </c>
    </row>
    <row r="3081" spans="2:4" x14ac:dyDescent="0.25">
      <c r="B3081" t="s">
        <v>1696</v>
      </c>
      <c r="C3081">
        <v>191</v>
      </c>
      <c r="D3081">
        <v>6</v>
      </c>
    </row>
    <row r="3082" spans="2:4" x14ac:dyDescent="0.25">
      <c r="B3082" t="s">
        <v>1696</v>
      </c>
      <c r="C3082">
        <v>191</v>
      </c>
      <c r="D3082">
        <v>8</v>
      </c>
    </row>
    <row r="3083" spans="2:4" x14ac:dyDescent="0.25">
      <c r="B3083" t="s">
        <v>1696</v>
      </c>
      <c r="C3083">
        <v>191</v>
      </c>
      <c r="D3083">
        <v>13</v>
      </c>
    </row>
    <row r="3084" spans="2:4" x14ac:dyDescent="0.25">
      <c r="B3084" t="s">
        <v>1696</v>
      </c>
      <c r="C3084">
        <v>191</v>
      </c>
      <c r="D3084">
        <v>14</v>
      </c>
    </row>
    <row r="3085" spans="2:4" x14ac:dyDescent="0.25">
      <c r="B3085" t="s">
        <v>1696</v>
      </c>
      <c r="C3085">
        <v>192</v>
      </c>
      <c r="D3085">
        <v>5</v>
      </c>
    </row>
    <row r="3086" spans="2:4" x14ac:dyDescent="0.25">
      <c r="B3086" t="s">
        <v>1696</v>
      </c>
      <c r="C3086">
        <v>193</v>
      </c>
      <c r="D3086">
        <v>6</v>
      </c>
    </row>
    <row r="3087" spans="2:4" x14ac:dyDescent="0.25">
      <c r="B3087" t="s">
        <v>1696</v>
      </c>
      <c r="C3087">
        <v>193</v>
      </c>
      <c r="D3087">
        <v>8</v>
      </c>
    </row>
    <row r="3088" spans="2:4" x14ac:dyDescent="0.25">
      <c r="B3088" t="s">
        <v>1696</v>
      </c>
      <c r="C3088">
        <v>193</v>
      </c>
      <c r="D3088">
        <v>13</v>
      </c>
    </row>
    <row r="3089" spans="2:4" x14ac:dyDescent="0.25">
      <c r="B3089" t="s">
        <v>1696</v>
      </c>
      <c r="C3089">
        <v>193</v>
      </c>
      <c r="D3089">
        <v>14</v>
      </c>
    </row>
    <row r="3090" spans="2:4" x14ac:dyDescent="0.25">
      <c r="B3090" t="s">
        <v>1696</v>
      </c>
      <c r="C3090">
        <v>196</v>
      </c>
      <c r="D3090">
        <v>6</v>
      </c>
    </row>
    <row r="3091" spans="2:4" x14ac:dyDescent="0.25">
      <c r="B3091" t="s">
        <v>1696</v>
      </c>
      <c r="C3091">
        <v>196</v>
      </c>
      <c r="D3091">
        <v>8</v>
      </c>
    </row>
    <row r="3092" spans="2:4" x14ac:dyDescent="0.25">
      <c r="B3092" t="s">
        <v>1696</v>
      </c>
      <c r="C3092">
        <v>196</v>
      </c>
      <c r="D3092">
        <v>13</v>
      </c>
    </row>
    <row r="3093" spans="2:4" x14ac:dyDescent="0.25">
      <c r="B3093" t="s">
        <v>1696</v>
      </c>
      <c r="C3093">
        <v>196</v>
      </c>
      <c r="D3093">
        <v>14</v>
      </c>
    </row>
    <row r="3094" spans="2:4" x14ac:dyDescent="0.25">
      <c r="B3094" t="s">
        <v>1696</v>
      </c>
      <c r="C3094">
        <v>197</v>
      </c>
      <c r="D3094">
        <v>6</v>
      </c>
    </row>
    <row r="3095" spans="2:4" x14ac:dyDescent="0.25">
      <c r="B3095" t="s">
        <v>1696</v>
      </c>
      <c r="C3095">
        <v>197</v>
      </c>
      <c r="D3095">
        <v>8</v>
      </c>
    </row>
    <row r="3096" spans="2:4" x14ac:dyDescent="0.25">
      <c r="B3096" t="s">
        <v>1696</v>
      </c>
      <c r="C3096">
        <v>197</v>
      </c>
      <c r="D3096">
        <v>13</v>
      </c>
    </row>
    <row r="3097" spans="2:4" x14ac:dyDescent="0.25">
      <c r="B3097" t="s">
        <v>1696</v>
      </c>
      <c r="C3097">
        <v>197</v>
      </c>
      <c r="D3097">
        <v>14</v>
      </c>
    </row>
    <row r="3098" spans="2:4" x14ac:dyDescent="0.25">
      <c r="B3098" t="s">
        <v>1696</v>
      </c>
      <c r="C3098">
        <v>198</v>
      </c>
      <c r="D3098">
        <v>6</v>
      </c>
    </row>
    <row r="3099" spans="2:4" x14ac:dyDescent="0.25">
      <c r="B3099" t="s">
        <v>1696</v>
      </c>
      <c r="C3099">
        <v>198</v>
      </c>
      <c r="D3099">
        <v>8</v>
      </c>
    </row>
    <row r="3100" spans="2:4" x14ac:dyDescent="0.25">
      <c r="B3100" t="s">
        <v>1696</v>
      </c>
      <c r="C3100">
        <v>198</v>
      </c>
      <c r="D3100">
        <v>13</v>
      </c>
    </row>
    <row r="3101" spans="2:4" x14ac:dyDescent="0.25">
      <c r="B3101" t="s">
        <v>1696</v>
      </c>
      <c r="C3101">
        <v>198</v>
      </c>
      <c r="D3101">
        <v>14</v>
      </c>
    </row>
    <row r="3102" spans="2:4" x14ac:dyDescent="0.25">
      <c r="B3102" t="s">
        <v>1696</v>
      </c>
      <c r="C3102">
        <v>200</v>
      </c>
      <c r="D3102">
        <v>6</v>
      </c>
    </row>
    <row r="3103" spans="2:4" x14ac:dyDescent="0.25">
      <c r="B3103" t="s">
        <v>1696</v>
      </c>
      <c r="C3103">
        <v>200</v>
      </c>
      <c r="D3103">
        <v>8</v>
      </c>
    </row>
    <row r="3104" spans="2:4" x14ac:dyDescent="0.25">
      <c r="B3104" t="s">
        <v>1696</v>
      </c>
      <c r="C3104">
        <v>200</v>
      </c>
      <c r="D3104">
        <v>13</v>
      </c>
    </row>
    <row r="3105" spans="2:4" x14ac:dyDescent="0.25">
      <c r="B3105" t="s">
        <v>1696</v>
      </c>
      <c r="C3105">
        <v>200</v>
      </c>
      <c r="D3105">
        <v>14</v>
      </c>
    </row>
    <row r="3106" spans="2:4" x14ac:dyDescent="0.25">
      <c r="B3106" t="s">
        <v>1696</v>
      </c>
      <c r="C3106">
        <v>201</v>
      </c>
      <c r="D3106">
        <v>6</v>
      </c>
    </row>
    <row r="3107" spans="2:4" x14ac:dyDescent="0.25">
      <c r="B3107" t="s">
        <v>1696</v>
      </c>
      <c r="C3107">
        <v>201</v>
      </c>
      <c r="D3107">
        <v>8</v>
      </c>
    </row>
    <row r="3108" spans="2:4" x14ac:dyDescent="0.25">
      <c r="B3108" t="s">
        <v>1696</v>
      </c>
      <c r="C3108">
        <v>201</v>
      </c>
      <c r="D3108">
        <v>13</v>
      </c>
    </row>
    <row r="3109" spans="2:4" x14ac:dyDescent="0.25">
      <c r="B3109" t="s">
        <v>1696</v>
      </c>
      <c r="C3109">
        <v>201</v>
      </c>
      <c r="D3109">
        <v>14</v>
      </c>
    </row>
    <row r="3110" spans="2:4" x14ac:dyDescent="0.25">
      <c r="B3110" t="s">
        <v>1696</v>
      </c>
      <c r="C3110">
        <v>202</v>
      </c>
      <c r="D3110">
        <v>6</v>
      </c>
    </row>
    <row r="3111" spans="2:4" x14ac:dyDescent="0.25">
      <c r="B3111" t="s">
        <v>1696</v>
      </c>
      <c r="C3111">
        <v>202</v>
      </c>
      <c r="D3111">
        <v>8</v>
      </c>
    </row>
    <row r="3112" spans="2:4" x14ac:dyDescent="0.25">
      <c r="B3112" t="s">
        <v>1696</v>
      </c>
      <c r="C3112">
        <v>202</v>
      </c>
      <c r="D3112">
        <v>13</v>
      </c>
    </row>
    <row r="3113" spans="2:4" x14ac:dyDescent="0.25">
      <c r="B3113" t="s">
        <v>1696</v>
      </c>
      <c r="C3113">
        <v>202</v>
      </c>
      <c r="D3113">
        <v>14</v>
      </c>
    </row>
    <row r="3114" spans="2:4" x14ac:dyDescent="0.25">
      <c r="B3114" t="s">
        <v>1696</v>
      </c>
      <c r="C3114">
        <v>203</v>
      </c>
      <c r="D3114">
        <v>6</v>
      </c>
    </row>
    <row r="3115" spans="2:4" x14ac:dyDescent="0.25">
      <c r="B3115" t="s">
        <v>1696</v>
      </c>
      <c r="C3115">
        <v>203</v>
      </c>
      <c r="D3115">
        <v>8</v>
      </c>
    </row>
    <row r="3116" spans="2:4" x14ac:dyDescent="0.25">
      <c r="B3116" t="s">
        <v>1696</v>
      </c>
      <c r="C3116">
        <v>203</v>
      </c>
      <c r="D3116">
        <v>13</v>
      </c>
    </row>
    <row r="3117" spans="2:4" x14ac:dyDescent="0.25">
      <c r="B3117" t="s">
        <v>1696</v>
      </c>
      <c r="C3117">
        <v>203</v>
      </c>
      <c r="D3117">
        <v>14</v>
      </c>
    </row>
    <row r="3118" spans="2:4" x14ac:dyDescent="0.25">
      <c r="B3118" t="s">
        <v>1696</v>
      </c>
      <c r="C3118">
        <v>205</v>
      </c>
      <c r="D3118">
        <v>6</v>
      </c>
    </row>
    <row r="3119" spans="2:4" x14ac:dyDescent="0.25">
      <c r="B3119" t="s">
        <v>1696</v>
      </c>
      <c r="C3119">
        <v>205</v>
      </c>
      <c r="D3119">
        <v>8</v>
      </c>
    </row>
    <row r="3120" spans="2:4" x14ac:dyDescent="0.25">
      <c r="B3120" t="s">
        <v>1696</v>
      </c>
      <c r="C3120">
        <v>205</v>
      </c>
      <c r="D3120">
        <v>13</v>
      </c>
    </row>
    <row r="3121" spans="2:4" x14ac:dyDescent="0.25">
      <c r="B3121" t="s">
        <v>1696</v>
      </c>
      <c r="C3121">
        <v>205</v>
      </c>
      <c r="D3121">
        <v>14</v>
      </c>
    </row>
    <row r="3122" spans="2:4" x14ac:dyDescent="0.25">
      <c r="B3122" t="s">
        <v>1696</v>
      </c>
      <c r="C3122">
        <v>206</v>
      </c>
      <c r="D3122">
        <v>6</v>
      </c>
    </row>
    <row r="3123" spans="2:4" x14ac:dyDescent="0.25">
      <c r="B3123" t="s">
        <v>1696</v>
      </c>
      <c r="C3123">
        <v>206</v>
      </c>
      <c r="D3123">
        <v>8</v>
      </c>
    </row>
    <row r="3124" spans="2:4" x14ac:dyDescent="0.25">
      <c r="B3124" t="s">
        <v>1696</v>
      </c>
      <c r="C3124">
        <v>206</v>
      </c>
      <c r="D3124">
        <v>13</v>
      </c>
    </row>
    <row r="3125" spans="2:4" x14ac:dyDescent="0.25">
      <c r="B3125" t="s">
        <v>1696</v>
      </c>
      <c r="C3125">
        <v>206</v>
      </c>
      <c r="D3125">
        <v>14</v>
      </c>
    </row>
    <row r="3126" spans="2:4" x14ac:dyDescent="0.25">
      <c r="B3126" t="s">
        <v>1696</v>
      </c>
      <c r="C3126">
        <v>207</v>
      </c>
      <c r="D3126">
        <v>6</v>
      </c>
    </row>
    <row r="3127" spans="2:4" x14ac:dyDescent="0.25">
      <c r="B3127" t="s">
        <v>1696</v>
      </c>
      <c r="C3127">
        <v>207</v>
      </c>
      <c r="D3127">
        <v>8</v>
      </c>
    </row>
    <row r="3128" spans="2:4" x14ac:dyDescent="0.25">
      <c r="B3128" t="s">
        <v>1696</v>
      </c>
      <c r="C3128">
        <v>207</v>
      </c>
      <c r="D3128">
        <v>13</v>
      </c>
    </row>
    <row r="3129" spans="2:4" x14ac:dyDescent="0.25">
      <c r="B3129" t="s">
        <v>1696</v>
      </c>
      <c r="C3129">
        <v>207</v>
      </c>
      <c r="D3129">
        <v>14</v>
      </c>
    </row>
    <row r="3130" spans="2:4" x14ac:dyDescent="0.25">
      <c r="B3130" t="s">
        <v>1696</v>
      </c>
      <c r="C3130">
        <v>208</v>
      </c>
      <c r="D3130">
        <v>6</v>
      </c>
    </row>
    <row r="3131" spans="2:4" x14ac:dyDescent="0.25">
      <c r="B3131" t="s">
        <v>1696</v>
      </c>
      <c r="C3131">
        <v>208</v>
      </c>
      <c r="D3131">
        <v>8</v>
      </c>
    </row>
    <row r="3132" spans="2:4" x14ac:dyDescent="0.25">
      <c r="B3132" t="s">
        <v>1696</v>
      </c>
      <c r="C3132">
        <v>208</v>
      </c>
      <c r="D3132">
        <v>13</v>
      </c>
    </row>
    <row r="3133" spans="2:4" x14ac:dyDescent="0.25">
      <c r="B3133" t="s">
        <v>1696</v>
      </c>
      <c r="C3133">
        <v>208</v>
      </c>
      <c r="D3133">
        <v>14</v>
      </c>
    </row>
    <row r="3134" spans="2:4" x14ac:dyDescent="0.25">
      <c r="B3134" t="s">
        <v>1696</v>
      </c>
      <c r="C3134">
        <v>209</v>
      </c>
      <c r="D3134">
        <v>6</v>
      </c>
    </row>
    <row r="3135" spans="2:4" x14ac:dyDescent="0.25">
      <c r="B3135" t="s">
        <v>1696</v>
      </c>
      <c r="C3135">
        <v>209</v>
      </c>
      <c r="D3135">
        <v>8</v>
      </c>
    </row>
    <row r="3136" spans="2:4" x14ac:dyDescent="0.25">
      <c r="B3136" t="s">
        <v>1696</v>
      </c>
      <c r="C3136">
        <v>209</v>
      </c>
      <c r="D3136">
        <v>13</v>
      </c>
    </row>
    <row r="3137" spans="2:4" x14ac:dyDescent="0.25">
      <c r="B3137" t="s">
        <v>1696</v>
      </c>
      <c r="C3137">
        <v>209</v>
      </c>
      <c r="D3137">
        <v>14</v>
      </c>
    </row>
    <row r="3138" spans="2:4" x14ac:dyDescent="0.25">
      <c r="B3138" t="s">
        <v>1696</v>
      </c>
      <c r="C3138">
        <v>210</v>
      </c>
      <c r="D3138">
        <v>6</v>
      </c>
    </row>
    <row r="3139" spans="2:4" x14ac:dyDescent="0.25">
      <c r="B3139" t="s">
        <v>1696</v>
      </c>
      <c r="C3139">
        <v>210</v>
      </c>
      <c r="D3139">
        <v>8</v>
      </c>
    </row>
    <row r="3140" spans="2:4" x14ac:dyDescent="0.25">
      <c r="B3140" t="s">
        <v>1696</v>
      </c>
      <c r="C3140">
        <v>210</v>
      </c>
      <c r="D3140">
        <v>13</v>
      </c>
    </row>
    <row r="3141" spans="2:4" x14ac:dyDescent="0.25">
      <c r="B3141" t="s">
        <v>1696</v>
      </c>
      <c r="C3141">
        <v>210</v>
      </c>
      <c r="D3141">
        <v>14</v>
      </c>
    </row>
    <row r="3142" spans="2:4" x14ac:dyDescent="0.25">
      <c r="B3142" t="s">
        <v>1696</v>
      </c>
      <c r="C3142">
        <v>211</v>
      </c>
      <c r="D3142">
        <v>6</v>
      </c>
    </row>
    <row r="3143" spans="2:4" x14ac:dyDescent="0.25">
      <c r="B3143" t="s">
        <v>1696</v>
      </c>
      <c r="C3143">
        <v>211</v>
      </c>
      <c r="D3143">
        <v>8</v>
      </c>
    </row>
    <row r="3144" spans="2:4" x14ac:dyDescent="0.25">
      <c r="B3144" t="s">
        <v>1696</v>
      </c>
      <c r="C3144">
        <v>211</v>
      </c>
      <c r="D3144">
        <v>13</v>
      </c>
    </row>
    <row r="3145" spans="2:4" x14ac:dyDescent="0.25">
      <c r="B3145" t="s">
        <v>1696</v>
      </c>
      <c r="C3145">
        <v>211</v>
      </c>
      <c r="D3145">
        <v>14</v>
      </c>
    </row>
    <row r="3146" spans="2:4" x14ac:dyDescent="0.25">
      <c r="B3146" t="s">
        <v>1696</v>
      </c>
      <c r="C3146">
        <v>212</v>
      </c>
      <c r="D3146">
        <v>6</v>
      </c>
    </row>
    <row r="3147" spans="2:4" x14ac:dyDescent="0.25">
      <c r="B3147" t="s">
        <v>1696</v>
      </c>
      <c r="C3147">
        <v>212</v>
      </c>
      <c r="D3147">
        <v>8</v>
      </c>
    </row>
    <row r="3148" spans="2:4" x14ac:dyDescent="0.25">
      <c r="B3148" t="s">
        <v>1696</v>
      </c>
      <c r="C3148">
        <v>212</v>
      </c>
      <c r="D3148">
        <v>13</v>
      </c>
    </row>
    <row r="3149" spans="2:4" x14ac:dyDescent="0.25">
      <c r="B3149" t="s">
        <v>1696</v>
      </c>
      <c r="C3149">
        <v>212</v>
      </c>
      <c r="D3149">
        <v>14</v>
      </c>
    </row>
    <row r="3150" spans="2:4" x14ac:dyDescent="0.25">
      <c r="B3150" t="s">
        <v>1696</v>
      </c>
      <c r="C3150">
        <v>213</v>
      </c>
      <c r="D3150">
        <v>6</v>
      </c>
    </row>
    <row r="3151" spans="2:4" x14ac:dyDescent="0.25">
      <c r="B3151" t="s">
        <v>1696</v>
      </c>
      <c r="C3151">
        <v>213</v>
      </c>
      <c r="D3151">
        <v>8</v>
      </c>
    </row>
    <row r="3152" spans="2:4" x14ac:dyDescent="0.25">
      <c r="B3152" t="s">
        <v>1696</v>
      </c>
      <c r="C3152">
        <v>213</v>
      </c>
      <c r="D3152">
        <v>13</v>
      </c>
    </row>
    <row r="3153" spans="2:4" x14ac:dyDescent="0.25">
      <c r="B3153" t="s">
        <v>1696</v>
      </c>
      <c r="C3153">
        <v>213</v>
      </c>
      <c r="D3153">
        <v>14</v>
      </c>
    </row>
    <row r="3154" spans="2:4" x14ac:dyDescent="0.25">
      <c r="B3154" t="s">
        <v>1696</v>
      </c>
      <c r="C3154">
        <v>214</v>
      </c>
      <c r="D3154">
        <v>6</v>
      </c>
    </row>
    <row r="3155" spans="2:4" x14ac:dyDescent="0.25">
      <c r="B3155" t="s">
        <v>1696</v>
      </c>
      <c r="C3155">
        <v>214</v>
      </c>
      <c r="D3155">
        <v>8</v>
      </c>
    </row>
    <row r="3156" spans="2:4" x14ac:dyDescent="0.25">
      <c r="B3156" t="s">
        <v>1696</v>
      </c>
      <c r="C3156">
        <v>214</v>
      </c>
      <c r="D3156">
        <v>13</v>
      </c>
    </row>
    <row r="3157" spans="2:4" x14ac:dyDescent="0.25">
      <c r="B3157" t="s">
        <v>1696</v>
      </c>
      <c r="C3157">
        <v>214</v>
      </c>
      <c r="D3157">
        <v>14</v>
      </c>
    </row>
    <row r="3158" spans="2:4" x14ac:dyDescent="0.25">
      <c r="B3158" t="s">
        <v>1696</v>
      </c>
      <c r="C3158">
        <v>215</v>
      </c>
      <c r="D3158">
        <v>6</v>
      </c>
    </row>
    <row r="3159" spans="2:4" x14ac:dyDescent="0.25">
      <c r="B3159" t="s">
        <v>1696</v>
      </c>
      <c r="C3159">
        <v>215</v>
      </c>
      <c r="D3159">
        <v>8</v>
      </c>
    </row>
    <row r="3160" spans="2:4" x14ac:dyDescent="0.25">
      <c r="B3160" t="s">
        <v>1696</v>
      </c>
      <c r="C3160">
        <v>215</v>
      </c>
      <c r="D3160">
        <v>13</v>
      </c>
    </row>
    <row r="3161" spans="2:4" x14ac:dyDescent="0.25">
      <c r="B3161" t="s">
        <v>1696</v>
      </c>
      <c r="C3161">
        <v>215</v>
      </c>
      <c r="D3161">
        <v>14</v>
      </c>
    </row>
    <row r="3162" spans="2:4" x14ac:dyDescent="0.25">
      <c r="B3162" t="s">
        <v>1696</v>
      </c>
      <c r="C3162">
        <v>216</v>
      </c>
      <c r="D3162">
        <v>6</v>
      </c>
    </row>
    <row r="3163" spans="2:4" x14ac:dyDescent="0.25">
      <c r="B3163" t="s">
        <v>1696</v>
      </c>
      <c r="C3163">
        <v>216</v>
      </c>
      <c r="D3163">
        <v>8</v>
      </c>
    </row>
    <row r="3164" spans="2:4" x14ac:dyDescent="0.25">
      <c r="B3164" t="s">
        <v>1696</v>
      </c>
      <c r="C3164">
        <v>216</v>
      </c>
      <c r="D3164">
        <v>13</v>
      </c>
    </row>
    <row r="3165" spans="2:4" x14ac:dyDescent="0.25">
      <c r="B3165" t="s">
        <v>1696</v>
      </c>
      <c r="C3165">
        <v>216</v>
      </c>
      <c r="D3165">
        <v>14</v>
      </c>
    </row>
    <row r="3166" spans="2:4" x14ac:dyDescent="0.25">
      <c r="B3166" t="s">
        <v>1696</v>
      </c>
      <c r="C3166">
        <v>217</v>
      </c>
      <c r="D3166">
        <v>6</v>
      </c>
    </row>
    <row r="3167" spans="2:4" x14ac:dyDescent="0.25">
      <c r="B3167" t="s">
        <v>1696</v>
      </c>
      <c r="C3167">
        <v>217</v>
      </c>
      <c r="D3167">
        <v>8</v>
      </c>
    </row>
    <row r="3168" spans="2:4" x14ac:dyDescent="0.25">
      <c r="B3168" t="s">
        <v>1696</v>
      </c>
      <c r="C3168">
        <v>217</v>
      </c>
      <c r="D3168">
        <v>13</v>
      </c>
    </row>
    <row r="3169" spans="2:4" x14ac:dyDescent="0.25">
      <c r="B3169" t="s">
        <v>1696</v>
      </c>
      <c r="C3169">
        <v>217</v>
      </c>
      <c r="D3169">
        <v>14</v>
      </c>
    </row>
    <row r="3170" spans="2:4" x14ac:dyDescent="0.25">
      <c r="B3170" t="s">
        <v>1696</v>
      </c>
      <c r="C3170">
        <v>220</v>
      </c>
      <c r="D3170">
        <v>6</v>
      </c>
    </row>
    <row r="3171" spans="2:4" x14ac:dyDescent="0.25">
      <c r="B3171" t="s">
        <v>1696</v>
      </c>
      <c r="C3171">
        <v>220</v>
      </c>
      <c r="D3171">
        <v>8</v>
      </c>
    </row>
    <row r="3172" spans="2:4" x14ac:dyDescent="0.25">
      <c r="B3172" t="s">
        <v>1696</v>
      </c>
      <c r="C3172">
        <v>220</v>
      </c>
      <c r="D3172">
        <v>13</v>
      </c>
    </row>
    <row r="3173" spans="2:4" x14ac:dyDescent="0.25">
      <c r="B3173" t="s">
        <v>1696</v>
      </c>
      <c r="C3173">
        <v>220</v>
      </c>
      <c r="D3173">
        <v>14</v>
      </c>
    </row>
    <row r="3174" spans="2:4" x14ac:dyDescent="0.25">
      <c r="B3174" t="s">
        <v>1696</v>
      </c>
      <c r="C3174">
        <v>221</v>
      </c>
      <c r="D3174">
        <v>6</v>
      </c>
    </row>
    <row r="3175" spans="2:4" x14ac:dyDescent="0.25">
      <c r="B3175" t="s">
        <v>1696</v>
      </c>
      <c r="C3175">
        <v>221</v>
      </c>
      <c r="D3175">
        <v>8</v>
      </c>
    </row>
    <row r="3176" spans="2:4" x14ac:dyDescent="0.25">
      <c r="B3176" t="s">
        <v>1696</v>
      </c>
      <c r="C3176">
        <v>221</v>
      </c>
      <c r="D3176">
        <v>13</v>
      </c>
    </row>
    <row r="3177" spans="2:4" x14ac:dyDescent="0.25">
      <c r="B3177" t="s">
        <v>1696</v>
      </c>
      <c r="C3177">
        <v>221</v>
      </c>
      <c r="D3177">
        <v>14</v>
      </c>
    </row>
    <row r="3178" spans="2:4" x14ac:dyDescent="0.25">
      <c r="B3178" t="s">
        <v>1696</v>
      </c>
      <c r="C3178">
        <v>222</v>
      </c>
      <c r="D3178">
        <v>6</v>
      </c>
    </row>
    <row r="3179" spans="2:4" x14ac:dyDescent="0.25">
      <c r="B3179" t="s">
        <v>1696</v>
      </c>
      <c r="C3179">
        <v>222</v>
      </c>
      <c r="D3179">
        <v>8</v>
      </c>
    </row>
    <row r="3180" spans="2:4" x14ac:dyDescent="0.25">
      <c r="B3180" t="s">
        <v>1696</v>
      </c>
      <c r="C3180">
        <v>222</v>
      </c>
      <c r="D3180">
        <v>13</v>
      </c>
    </row>
    <row r="3181" spans="2:4" x14ac:dyDescent="0.25">
      <c r="B3181" t="s">
        <v>1696</v>
      </c>
      <c r="C3181">
        <v>222</v>
      </c>
      <c r="D3181">
        <v>14</v>
      </c>
    </row>
    <row r="3182" spans="2:4" x14ac:dyDescent="0.25">
      <c r="B3182" t="s">
        <v>1696</v>
      </c>
      <c r="C3182">
        <v>223</v>
      </c>
      <c r="D3182">
        <v>6</v>
      </c>
    </row>
    <row r="3183" spans="2:4" x14ac:dyDescent="0.25">
      <c r="B3183" t="s">
        <v>1696</v>
      </c>
      <c r="C3183">
        <v>223</v>
      </c>
      <c r="D3183">
        <v>8</v>
      </c>
    </row>
    <row r="3184" spans="2:4" x14ac:dyDescent="0.25">
      <c r="B3184" t="s">
        <v>1696</v>
      </c>
      <c r="C3184">
        <v>223</v>
      </c>
      <c r="D3184">
        <v>13</v>
      </c>
    </row>
    <row r="3185" spans="2:4" x14ac:dyDescent="0.25">
      <c r="B3185" t="s">
        <v>1696</v>
      </c>
      <c r="C3185">
        <v>223</v>
      </c>
      <c r="D3185">
        <v>14</v>
      </c>
    </row>
    <row r="3186" spans="2:4" x14ac:dyDescent="0.25">
      <c r="B3186" t="s">
        <v>1696</v>
      </c>
      <c r="C3186">
        <v>224</v>
      </c>
      <c r="D3186">
        <v>6</v>
      </c>
    </row>
    <row r="3187" spans="2:4" x14ac:dyDescent="0.25">
      <c r="B3187" t="s">
        <v>1696</v>
      </c>
      <c r="C3187">
        <v>224</v>
      </c>
      <c r="D3187">
        <v>8</v>
      </c>
    </row>
    <row r="3188" spans="2:4" x14ac:dyDescent="0.25">
      <c r="B3188" t="s">
        <v>1696</v>
      </c>
      <c r="C3188">
        <v>224</v>
      </c>
      <c r="D3188">
        <v>13</v>
      </c>
    </row>
    <row r="3189" spans="2:4" x14ac:dyDescent="0.25">
      <c r="B3189" t="s">
        <v>1696</v>
      </c>
      <c r="C3189">
        <v>224</v>
      </c>
      <c r="D3189">
        <v>14</v>
      </c>
    </row>
    <row r="3190" spans="2:4" x14ac:dyDescent="0.25">
      <c r="B3190" t="s">
        <v>1696</v>
      </c>
      <c r="C3190">
        <v>225</v>
      </c>
      <c r="D3190">
        <v>6</v>
      </c>
    </row>
    <row r="3191" spans="2:4" x14ac:dyDescent="0.25">
      <c r="B3191" t="s">
        <v>1696</v>
      </c>
      <c r="C3191">
        <v>225</v>
      </c>
      <c r="D3191">
        <v>8</v>
      </c>
    </row>
    <row r="3192" spans="2:4" x14ac:dyDescent="0.25">
      <c r="B3192" t="s">
        <v>1696</v>
      </c>
      <c r="C3192">
        <v>225</v>
      </c>
      <c r="D3192">
        <v>13</v>
      </c>
    </row>
    <row r="3193" spans="2:4" x14ac:dyDescent="0.25">
      <c r="B3193" t="s">
        <v>1696</v>
      </c>
      <c r="C3193">
        <v>225</v>
      </c>
      <c r="D3193">
        <v>14</v>
      </c>
    </row>
    <row r="3194" spans="2:4" x14ac:dyDescent="0.25">
      <c r="B3194" t="s">
        <v>1696</v>
      </c>
      <c r="C3194">
        <v>226</v>
      </c>
      <c r="D3194">
        <v>6</v>
      </c>
    </row>
    <row r="3195" spans="2:4" x14ac:dyDescent="0.25">
      <c r="B3195" t="s">
        <v>1696</v>
      </c>
      <c r="C3195">
        <v>226</v>
      </c>
      <c r="D3195">
        <v>8</v>
      </c>
    </row>
    <row r="3196" spans="2:4" x14ac:dyDescent="0.25">
      <c r="B3196" t="s">
        <v>1696</v>
      </c>
      <c r="C3196">
        <v>226</v>
      </c>
      <c r="D3196">
        <v>13</v>
      </c>
    </row>
    <row r="3197" spans="2:4" x14ac:dyDescent="0.25">
      <c r="B3197" t="s">
        <v>1696</v>
      </c>
      <c r="C3197">
        <v>226</v>
      </c>
      <c r="D3197">
        <v>14</v>
      </c>
    </row>
    <row r="3198" spans="2:4" x14ac:dyDescent="0.25">
      <c r="B3198" t="s">
        <v>1696</v>
      </c>
      <c r="C3198">
        <v>227</v>
      </c>
      <c r="D3198">
        <v>6</v>
      </c>
    </row>
    <row r="3199" spans="2:4" x14ac:dyDescent="0.25">
      <c r="B3199" t="s">
        <v>1696</v>
      </c>
      <c r="C3199">
        <v>227</v>
      </c>
      <c r="D3199">
        <v>8</v>
      </c>
    </row>
    <row r="3200" spans="2:4" x14ac:dyDescent="0.25">
      <c r="B3200" t="s">
        <v>1696</v>
      </c>
      <c r="C3200">
        <v>227</v>
      </c>
      <c r="D3200">
        <v>13</v>
      </c>
    </row>
    <row r="3201" spans="2:4" x14ac:dyDescent="0.25">
      <c r="B3201" t="s">
        <v>1696</v>
      </c>
      <c r="C3201">
        <v>227</v>
      </c>
      <c r="D3201">
        <v>14</v>
      </c>
    </row>
    <row r="3202" spans="2:4" x14ac:dyDescent="0.25">
      <c r="B3202" t="s">
        <v>1696</v>
      </c>
      <c r="C3202">
        <v>229</v>
      </c>
      <c r="D3202">
        <v>6</v>
      </c>
    </row>
    <row r="3203" spans="2:4" x14ac:dyDescent="0.25">
      <c r="B3203" t="s">
        <v>1696</v>
      </c>
      <c r="C3203">
        <v>229</v>
      </c>
      <c r="D3203">
        <v>8</v>
      </c>
    </row>
    <row r="3204" spans="2:4" x14ac:dyDescent="0.25">
      <c r="B3204" t="s">
        <v>1696</v>
      </c>
      <c r="C3204">
        <v>229</v>
      </c>
      <c r="D3204">
        <v>13</v>
      </c>
    </row>
    <row r="3205" spans="2:4" x14ac:dyDescent="0.25">
      <c r="B3205" t="s">
        <v>1696</v>
      </c>
      <c r="C3205">
        <v>229</v>
      </c>
      <c r="D3205">
        <v>14</v>
      </c>
    </row>
    <row r="3206" spans="2:4" x14ac:dyDescent="0.25">
      <c r="B3206" t="s">
        <v>1696</v>
      </c>
      <c r="C3206">
        <v>230</v>
      </c>
      <c r="D3206">
        <v>6</v>
      </c>
    </row>
    <row r="3207" spans="2:4" x14ac:dyDescent="0.25">
      <c r="B3207" t="s">
        <v>1696</v>
      </c>
      <c r="C3207">
        <v>230</v>
      </c>
      <c r="D3207">
        <v>8</v>
      </c>
    </row>
    <row r="3208" spans="2:4" x14ac:dyDescent="0.25">
      <c r="B3208" t="s">
        <v>1696</v>
      </c>
      <c r="C3208">
        <v>230</v>
      </c>
      <c r="D3208">
        <v>13</v>
      </c>
    </row>
    <row r="3209" spans="2:4" x14ac:dyDescent="0.25">
      <c r="B3209" t="s">
        <v>1696</v>
      </c>
      <c r="C3209">
        <v>230</v>
      </c>
      <c r="D3209">
        <v>14</v>
      </c>
    </row>
    <row r="3210" spans="2:4" x14ac:dyDescent="0.25">
      <c r="B3210" t="s">
        <v>1696</v>
      </c>
      <c r="C3210">
        <v>231</v>
      </c>
      <c r="D3210">
        <v>6</v>
      </c>
    </row>
    <row r="3211" spans="2:4" x14ac:dyDescent="0.25">
      <c r="B3211" t="s">
        <v>1696</v>
      </c>
      <c r="C3211">
        <v>231</v>
      </c>
      <c r="D3211">
        <v>8</v>
      </c>
    </row>
    <row r="3212" spans="2:4" x14ac:dyDescent="0.25">
      <c r="B3212" t="s">
        <v>1696</v>
      </c>
      <c r="C3212">
        <v>231</v>
      </c>
      <c r="D3212">
        <v>13</v>
      </c>
    </row>
    <row r="3213" spans="2:4" x14ac:dyDescent="0.25">
      <c r="B3213" t="s">
        <v>1696</v>
      </c>
      <c r="C3213">
        <v>231</v>
      </c>
      <c r="D3213">
        <v>14</v>
      </c>
    </row>
    <row r="3214" spans="2:4" x14ac:dyDescent="0.25">
      <c r="B3214" t="s">
        <v>1696</v>
      </c>
      <c r="C3214">
        <v>232</v>
      </c>
      <c r="D3214">
        <v>6</v>
      </c>
    </row>
    <row r="3215" spans="2:4" x14ac:dyDescent="0.25">
      <c r="B3215" t="s">
        <v>1696</v>
      </c>
      <c r="C3215">
        <v>232</v>
      </c>
      <c r="D3215">
        <v>8</v>
      </c>
    </row>
    <row r="3216" spans="2:4" x14ac:dyDescent="0.25">
      <c r="B3216" t="s">
        <v>1696</v>
      </c>
      <c r="C3216">
        <v>232</v>
      </c>
      <c r="D3216">
        <v>13</v>
      </c>
    </row>
    <row r="3217" spans="2:4" x14ac:dyDescent="0.25">
      <c r="B3217" t="s">
        <v>1696</v>
      </c>
      <c r="C3217">
        <v>232</v>
      </c>
      <c r="D3217">
        <v>14</v>
      </c>
    </row>
    <row r="3218" spans="2:4" x14ac:dyDescent="0.25">
      <c r="B3218" t="s">
        <v>1696</v>
      </c>
      <c r="C3218">
        <v>234</v>
      </c>
      <c r="D3218">
        <v>6</v>
      </c>
    </row>
    <row r="3219" spans="2:4" x14ac:dyDescent="0.25">
      <c r="B3219" t="s">
        <v>1696</v>
      </c>
      <c r="C3219">
        <v>234</v>
      </c>
      <c r="D3219">
        <v>8</v>
      </c>
    </row>
    <row r="3220" spans="2:4" x14ac:dyDescent="0.25">
      <c r="B3220" t="s">
        <v>1696</v>
      </c>
      <c r="C3220">
        <v>234</v>
      </c>
      <c r="D3220">
        <v>13</v>
      </c>
    </row>
    <row r="3221" spans="2:4" x14ac:dyDescent="0.25">
      <c r="B3221" t="s">
        <v>1696</v>
      </c>
      <c r="C3221">
        <v>234</v>
      </c>
      <c r="D3221">
        <v>14</v>
      </c>
    </row>
    <row r="3222" spans="2:4" x14ac:dyDescent="0.25">
      <c r="B3222" t="s">
        <v>1696</v>
      </c>
      <c r="C3222">
        <v>235</v>
      </c>
      <c r="D3222">
        <v>6</v>
      </c>
    </row>
    <row r="3223" spans="2:4" x14ac:dyDescent="0.25">
      <c r="B3223" t="s">
        <v>1696</v>
      </c>
      <c r="C3223">
        <v>235</v>
      </c>
      <c r="D3223">
        <v>8</v>
      </c>
    </row>
    <row r="3224" spans="2:4" x14ac:dyDescent="0.25">
      <c r="B3224" t="s">
        <v>1696</v>
      </c>
      <c r="C3224">
        <v>235</v>
      </c>
      <c r="D3224">
        <v>13</v>
      </c>
    </row>
    <row r="3225" spans="2:4" x14ac:dyDescent="0.25">
      <c r="B3225" t="s">
        <v>1696</v>
      </c>
      <c r="C3225">
        <v>235</v>
      </c>
      <c r="D3225">
        <v>14</v>
      </c>
    </row>
    <row r="3226" spans="2:4" x14ac:dyDescent="0.25">
      <c r="B3226" t="s">
        <v>1696</v>
      </c>
      <c r="C3226">
        <v>236</v>
      </c>
      <c r="D3226">
        <v>6</v>
      </c>
    </row>
    <row r="3227" spans="2:4" x14ac:dyDescent="0.25">
      <c r="B3227" t="s">
        <v>1696</v>
      </c>
      <c r="C3227">
        <v>236</v>
      </c>
      <c r="D3227">
        <v>8</v>
      </c>
    </row>
    <row r="3228" spans="2:4" x14ac:dyDescent="0.25">
      <c r="B3228" t="s">
        <v>1696</v>
      </c>
      <c r="C3228">
        <v>236</v>
      </c>
      <c r="D3228">
        <v>13</v>
      </c>
    </row>
    <row r="3229" spans="2:4" x14ac:dyDescent="0.25">
      <c r="B3229" t="s">
        <v>1696</v>
      </c>
      <c r="C3229">
        <v>236</v>
      </c>
      <c r="D3229">
        <v>14</v>
      </c>
    </row>
    <row r="3230" spans="2:4" x14ac:dyDescent="0.25">
      <c r="B3230" t="s">
        <v>1696</v>
      </c>
      <c r="C3230">
        <v>237</v>
      </c>
      <c r="D3230">
        <v>6</v>
      </c>
    </row>
    <row r="3231" spans="2:4" x14ac:dyDescent="0.25">
      <c r="B3231" t="s">
        <v>1696</v>
      </c>
      <c r="C3231">
        <v>237</v>
      </c>
      <c r="D3231">
        <v>8</v>
      </c>
    </row>
    <row r="3232" spans="2:4" x14ac:dyDescent="0.25">
      <c r="B3232" t="s">
        <v>1696</v>
      </c>
      <c r="C3232">
        <v>237</v>
      </c>
      <c r="D3232">
        <v>13</v>
      </c>
    </row>
    <row r="3233" spans="2:4" x14ac:dyDescent="0.25">
      <c r="B3233" t="s">
        <v>1696</v>
      </c>
      <c r="C3233">
        <v>237</v>
      </c>
      <c r="D3233">
        <v>14</v>
      </c>
    </row>
    <row r="3234" spans="2:4" x14ac:dyDescent="0.25">
      <c r="B3234" t="s">
        <v>1696</v>
      </c>
      <c r="C3234">
        <v>238</v>
      </c>
      <c r="D3234">
        <v>6</v>
      </c>
    </row>
    <row r="3235" spans="2:4" x14ac:dyDescent="0.25">
      <c r="B3235" t="s">
        <v>1696</v>
      </c>
      <c r="C3235">
        <v>238</v>
      </c>
      <c r="D3235">
        <v>8</v>
      </c>
    </row>
    <row r="3236" spans="2:4" x14ac:dyDescent="0.25">
      <c r="B3236" t="s">
        <v>1696</v>
      </c>
      <c r="C3236">
        <v>238</v>
      </c>
      <c r="D3236">
        <v>13</v>
      </c>
    </row>
    <row r="3237" spans="2:4" x14ac:dyDescent="0.25">
      <c r="B3237" t="s">
        <v>1696</v>
      </c>
      <c r="C3237">
        <v>238</v>
      </c>
      <c r="D3237">
        <v>14</v>
      </c>
    </row>
    <row r="3238" spans="2:4" x14ac:dyDescent="0.25">
      <c r="B3238" t="s">
        <v>1696</v>
      </c>
      <c r="C3238">
        <v>239</v>
      </c>
      <c r="D3238">
        <v>6</v>
      </c>
    </row>
    <row r="3239" spans="2:4" x14ac:dyDescent="0.25">
      <c r="B3239" t="s">
        <v>1696</v>
      </c>
      <c r="C3239">
        <v>239</v>
      </c>
      <c r="D3239">
        <v>8</v>
      </c>
    </row>
    <row r="3240" spans="2:4" x14ac:dyDescent="0.25">
      <c r="B3240" t="s">
        <v>1696</v>
      </c>
      <c r="C3240">
        <v>239</v>
      </c>
      <c r="D3240">
        <v>13</v>
      </c>
    </row>
    <row r="3241" spans="2:4" x14ac:dyDescent="0.25">
      <c r="B3241" t="s">
        <v>1696</v>
      </c>
      <c r="C3241">
        <v>239</v>
      </c>
      <c r="D3241">
        <v>14</v>
      </c>
    </row>
    <row r="3242" spans="2:4" x14ac:dyDescent="0.25">
      <c r="B3242" t="s">
        <v>1696</v>
      </c>
      <c r="C3242">
        <v>240</v>
      </c>
      <c r="D3242">
        <v>6</v>
      </c>
    </row>
    <row r="3243" spans="2:4" x14ac:dyDescent="0.25">
      <c r="B3243" t="s">
        <v>1696</v>
      </c>
      <c r="C3243">
        <v>240</v>
      </c>
      <c r="D3243">
        <v>8</v>
      </c>
    </row>
    <row r="3244" spans="2:4" x14ac:dyDescent="0.25">
      <c r="B3244" t="s">
        <v>1696</v>
      </c>
      <c r="C3244">
        <v>240</v>
      </c>
      <c r="D3244">
        <v>13</v>
      </c>
    </row>
    <row r="3245" spans="2:4" x14ac:dyDescent="0.25">
      <c r="B3245" t="s">
        <v>1696</v>
      </c>
      <c r="C3245">
        <v>240</v>
      </c>
      <c r="D3245">
        <v>14</v>
      </c>
    </row>
    <row r="3246" spans="2:4" x14ac:dyDescent="0.25">
      <c r="B3246" t="s">
        <v>1696</v>
      </c>
      <c r="C3246">
        <v>241</v>
      </c>
      <c r="D3246">
        <v>6</v>
      </c>
    </row>
    <row r="3247" spans="2:4" x14ac:dyDescent="0.25">
      <c r="B3247" t="s">
        <v>1696</v>
      </c>
      <c r="C3247">
        <v>241</v>
      </c>
      <c r="D3247">
        <v>8</v>
      </c>
    </row>
    <row r="3248" spans="2:4" x14ac:dyDescent="0.25">
      <c r="B3248" t="s">
        <v>1696</v>
      </c>
      <c r="C3248">
        <v>241</v>
      </c>
      <c r="D3248">
        <v>13</v>
      </c>
    </row>
    <row r="3249" spans="2:4" x14ac:dyDescent="0.25">
      <c r="B3249" t="s">
        <v>1696</v>
      </c>
      <c r="C3249">
        <v>241</v>
      </c>
      <c r="D3249">
        <v>14</v>
      </c>
    </row>
    <row r="3250" spans="2:4" x14ac:dyDescent="0.25">
      <c r="B3250" t="s">
        <v>1696</v>
      </c>
      <c r="C3250">
        <v>242</v>
      </c>
      <c r="D3250">
        <v>6</v>
      </c>
    </row>
    <row r="3251" spans="2:4" x14ac:dyDescent="0.25">
      <c r="B3251" t="s">
        <v>1696</v>
      </c>
      <c r="C3251">
        <v>242</v>
      </c>
      <c r="D3251">
        <v>8</v>
      </c>
    </row>
    <row r="3252" spans="2:4" x14ac:dyDescent="0.25">
      <c r="B3252" t="s">
        <v>1696</v>
      </c>
      <c r="C3252">
        <v>242</v>
      </c>
      <c r="D3252">
        <v>13</v>
      </c>
    </row>
    <row r="3253" spans="2:4" x14ac:dyDescent="0.25">
      <c r="B3253" t="s">
        <v>1696</v>
      </c>
      <c r="C3253">
        <v>242</v>
      </c>
      <c r="D3253">
        <v>14</v>
      </c>
    </row>
    <row r="3254" spans="2:4" x14ac:dyDescent="0.25">
      <c r="B3254" t="s">
        <v>1696</v>
      </c>
      <c r="C3254">
        <v>244</v>
      </c>
      <c r="D3254">
        <v>6</v>
      </c>
    </row>
    <row r="3255" spans="2:4" x14ac:dyDescent="0.25">
      <c r="B3255" t="s">
        <v>1696</v>
      </c>
      <c r="C3255">
        <v>244</v>
      </c>
      <c r="D3255">
        <v>8</v>
      </c>
    </row>
    <row r="3256" spans="2:4" x14ac:dyDescent="0.25">
      <c r="B3256" t="s">
        <v>1696</v>
      </c>
      <c r="C3256">
        <v>244</v>
      </c>
      <c r="D3256">
        <v>13</v>
      </c>
    </row>
    <row r="3257" spans="2:4" x14ac:dyDescent="0.25">
      <c r="B3257" t="s">
        <v>1696</v>
      </c>
      <c r="C3257">
        <v>244</v>
      </c>
      <c r="D3257">
        <v>14</v>
      </c>
    </row>
    <row r="3258" spans="2:4" x14ac:dyDescent="0.25">
      <c r="B3258" t="s">
        <v>1696</v>
      </c>
      <c r="C3258">
        <v>245</v>
      </c>
      <c r="D3258">
        <v>6</v>
      </c>
    </row>
    <row r="3259" spans="2:4" x14ac:dyDescent="0.25">
      <c r="B3259" t="s">
        <v>1696</v>
      </c>
      <c r="C3259">
        <v>245</v>
      </c>
      <c r="D3259">
        <v>8</v>
      </c>
    </row>
    <row r="3260" spans="2:4" x14ac:dyDescent="0.25">
      <c r="B3260" t="s">
        <v>1696</v>
      </c>
      <c r="C3260">
        <v>245</v>
      </c>
      <c r="D3260">
        <v>13</v>
      </c>
    </row>
    <row r="3261" spans="2:4" x14ac:dyDescent="0.25">
      <c r="B3261" t="s">
        <v>1696</v>
      </c>
      <c r="C3261">
        <v>245</v>
      </c>
      <c r="D3261">
        <v>14</v>
      </c>
    </row>
    <row r="3262" spans="2:4" x14ac:dyDescent="0.25">
      <c r="B3262" t="s">
        <v>1696</v>
      </c>
      <c r="C3262">
        <v>246</v>
      </c>
      <c r="D3262">
        <v>6</v>
      </c>
    </row>
    <row r="3263" spans="2:4" x14ac:dyDescent="0.25">
      <c r="B3263" t="s">
        <v>1696</v>
      </c>
      <c r="C3263">
        <v>246</v>
      </c>
      <c r="D3263">
        <v>8</v>
      </c>
    </row>
    <row r="3264" spans="2:4" x14ac:dyDescent="0.25">
      <c r="B3264" t="s">
        <v>1696</v>
      </c>
      <c r="C3264">
        <v>246</v>
      </c>
      <c r="D3264">
        <v>13</v>
      </c>
    </row>
    <row r="3265" spans="2:4" x14ac:dyDescent="0.25">
      <c r="B3265" t="s">
        <v>1696</v>
      </c>
      <c r="C3265">
        <v>246</v>
      </c>
      <c r="D3265">
        <v>14</v>
      </c>
    </row>
    <row r="3266" spans="2:4" x14ac:dyDescent="0.25">
      <c r="B3266" t="s">
        <v>1696</v>
      </c>
      <c r="C3266">
        <v>247</v>
      </c>
      <c r="D3266">
        <v>6</v>
      </c>
    </row>
    <row r="3267" spans="2:4" x14ac:dyDescent="0.25">
      <c r="B3267" t="s">
        <v>1696</v>
      </c>
      <c r="C3267">
        <v>247</v>
      </c>
      <c r="D3267">
        <v>8</v>
      </c>
    </row>
    <row r="3268" spans="2:4" x14ac:dyDescent="0.25">
      <c r="B3268" t="s">
        <v>1696</v>
      </c>
      <c r="C3268">
        <v>247</v>
      </c>
      <c r="D3268">
        <v>13</v>
      </c>
    </row>
    <row r="3269" spans="2:4" x14ac:dyDescent="0.25">
      <c r="B3269" t="s">
        <v>1696</v>
      </c>
      <c r="C3269">
        <v>247</v>
      </c>
      <c r="D3269">
        <v>14</v>
      </c>
    </row>
    <row r="3270" spans="2:4" x14ac:dyDescent="0.25">
      <c r="B3270" t="s">
        <v>1696</v>
      </c>
      <c r="C3270">
        <v>248</v>
      </c>
      <c r="D3270">
        <v>6</v>
      </c>
    </row>
    <row r="3271" spans="2:4" x14ac:dyDescent="0.25">
      <c r="B3271" t="s">
        <v>1696</v>
      </c>
      <c r="C3271">
        <v>248</v>
      </c>
      <c r="D3271">
        <v>8</v>
      </c>
    </row>
    <row r="3272" spans="2:4" x14ac:dyDescent="0.25">
      <c r="B3272" t="s">
        <v>1696</v>
      </c>
      <c r="C3272">
        <v>248</v>
      </c>
      <c r="D3272">
        <v>13</v>
      </c>
    </row>
    <row r="3273" spans="2:4" x14ac:dyDescent="0.25">
      <c r="B3273" t="s">
        <v>1696</v>
      </c>
      <c r="C3273">
        <v>248</v>
      </c>
      <c r="D3273">
        <v>14</v>
      </c>
    </row>
    <row r="3274" spans="2:4" x14ac:dyDescent="0.25">
      <c r="B3274" t="s">
        <v>1696</v>
      </c>
      <c r="C3274">
        <v>249</v>
      </c>
      <c r="D3274">
        <v>6</v>
      </c>
    </row>
    <row r="3275" spans="2:4" x14ac:dyDescent="0.25">
      <c r="B3275" t="s">
        <v>1696</v>
      </c>
      <c r="C3275">
        <v>249</v>
      </c>
      <c r="D3275">
        <v>8</v>
      </c>
    </row>
    <row r="3276" spans="2:4" x14ac:dyDescent="0.25">
      <c r="B3276" t="s">
        <v>1696</v>
      </c>
      <c r="C3276">
        <v>249</v>
      </c>
      <c r="D3276">
        <v>13</v>
      </c>
    </row>
    <row r="3277" spans="2:4" x14ac:dyDescent="0.25">
      <c r="B3277" t="s">
        <v>1696</v>
      </c>
      <c r="C3277">
        <v>249</v>
      </c>
      <c r="D3277">
        <v>14</v>
      </c>
    </row>
    <row r="3278" spans="2:4" x14ac:dyDescent="0.25">
      <c r="B3278" t="s">
        <v>1696</v>
      </c>
      <c r="C3278">
        <v>251</v>
      </c>
      <c r="D3278">
        <v>6</v>
      </c>
    </row>
    <row r="3279" spans="2:4" x14ac:dyDescent="0.25">
      <c r="B3279" t="s">
        <v>1696</v>
      </c>
      <c r="C3279">
        <v>251</v>
      </c>
      <c r="D3279">
        <v>8</v>
      </c>
    </row>
    <row r="3280" spans="2:4" x14ac:dyDescent="0.25">
      <c r="B3280" t="s">
        <v>1696</v>
      </c>
      <c r="C3280">
        <v>251</v>
      </c>
      <c r="D3280">
        <v>13</v>
      </c>
    </row>
    <row r="3281" spans="2:4" x14ac:dyDescent="0.25">
      <c r="B3281" t="s">
        <v>1696</v>
      </c>
      <c r="C3281">
        <v>251</v>
      </c>
      <c r="D3281">
        <v>14</v>
      </c>
    </row>
    <row r="3282" spans="2:4" x14ac:dyDescent="0.25">
      <c r="B3282" t="s">
        <v>1696</v>
      </c>
      <c r="C3282">
        <v>252</v>
      </c>
      <c r="D3282">
        <v>6</v>
      </c>
    </row>
    <row r="3283" spans="2:4" x14ac:dyDescent="0.25">
      <c r="B3283" t="s">
        <v>1696</v>
      </c>
      <c r="C3283">
        <v>252</v>
      </c>
      <c r="D3283">
        <v>8</v>
      </c>
    </row>
    <row r="3284" spans="2:4" x14ac:dyDescent="0.25">
      <c r="B3284" t="s">
        <v>1696</v>
      </c>
      <c r="C3284">
        <v>252</v>
      </c>
      <c r="D3284">
        <v>13</v>
      </c>
    </row>
    <row r="3285" spans="2:4" x14ac:dyDescent="0.25">
      <c r="B3285" t="s">
        <v>1696</v>
      </c>
      <c r="C3285">
        <v>252</v>
      </c>
      <c r="D3285">
        <v>14</v>
      </c>
    </row>
    <row r="3286" spans="2:4" x14ac:dyDescent="0.25">
      <c r="B3286" t="s">
        <v>1696</v>
      </c>
      <c r="C3286">
        <v>254</v>
      </c>
      <c r="D3286">
        <v>6</v>
      </c>
    </row>
    <row r="3287" spans="2:4" x14ac:dyDescent="0.25">
      <c r="B3287" t="s">
        <v>1696</v>
      </c>
      <c r="C3287">
        <v>254</v>
      </c>
      <c r="D3287">
        <v>8</v>
      </c>
    </row>
    <row r="3288" spans="2:4" x14ac:dyDescent="0.25">
      <c r="B3288" t="s">
        <v>1696</v>
      </c>
      <c r="C3288">
        <v>254</v>
      </c>
      <c r="D3288">
        <v>13</v>
      </c>
    </row>
    <row r="3289" spans="2:4" x14ac:dyDescent="0.25">
      <c r="B3289" t="s">
        <v>1696</v>
      </c>
      <c r="C3289">
        <v>254</v>
      </c>
      <c r="D3289">
        <v>14</v>
      </c>
    </row>
    <row r="3290" spans="2:4" x14ac:dyDescent="0.25">
      <c r="B3290" t="s">
        <v>1696</v>
      </c>
      <c r="C3290">
        <v>256</v>
      </c>
      <c r="D3290">
        <v>6</v>
      </c>
    </row>
    <row r="3291" spans="2:4" x14ac:dyDescent="0.25">
      <c r="B3291" t="s">
        <v>1696</v>
      </c>
      <c r="C3291">
        <v>256</v>
      </c>
      <c r="D3291">
        <v>8</v>
      </c>
    </row>
    <row r="3292" spans="2:4" x14ac:dyDescent="0.25">
      <c r="B3292" t="s">
        <v>1696</v>
      </c>
      <c r="C3292">
        <v>256</v>
      </c>
      <c r="D3292">
        <v>13</v>
      </c>
    </row>
    <row r="3293" spans="2:4" x14ac:dyDescent="0.25">
      <c r="B3293" t="s">
        <v>1696</v>
      </c>
      <c r="C3293">
        <v>256</v>
      </c>
      <c r="D3293">
        <v>14</v>
      </c>
    </row>
    <row r="3294" spans="2:4" x14ac:dyDescent="0.25">
      <c r="B3294" t="s">
        <v>1696</v>
      </c>
      <c r="C3294">
        <v>257</v>
      </c>
      <c r="D3294">
        <v>6</v>
      </c>
    </row>
    <row r="3295" spans="2:4" x14ac:dyDescent="0.25">
      <c r="B3295" t="s">
        <v>1696</v>
      </c>
      <c r="C3295">
        <v>257</v>
      </c>
      <c r="D3295">
        <v>8</v>
      </c>
    </row>
    <row r="3296" spans="2:4" x14ac:dyDescent="0.25">
      <c r="B3296" t="s">
        <v>1696</v>
      </c>
      <c r="C3296">
        <v>257</v>
      </c>
      <c r="D3296">
        <v>13</v>
      </c>
    </row>
    <row r="3297" spans="2:4" x14ac:dyDescent="0.25">
      <c r="B3297" t="s">
        <v>1696</v>
      </c>
      <c r="C3297">
        <v>257</v>
      </c>
      <c r="D3297">
        <v>14</v>
      </c>
    </row>
    <row r="3298" spans="2:4" x14ac:dyDescent="0.25">
      <c r="B3298" t="s">
        <v>1696</v>
      </c>
      <c r="C3298">
        <v>258</v>
      </c>
      <c r="D3298">
        <v>6</v>
      </c>
    </row>
    <row r="3299" spans="2:4" x14ac:dyDescent="0.25">
      <c r="B3299" t="s">
        <v>1696</v>
      </c>
      <c r="C3299">
        <v>258</v>
      </c>
      <c r="D3299">
        <v>8</v>
      </c>
    </row>
    <row r="3300" spans="2:4" x14ac:dyDescent="0.25">
      <c r="B3300" t="s">
        <v>1696</v>
      </c>
      <c r="C3300">
        <v>258</v>
      </c>
      <c r="D3300">
        <v>13</v>
      </c>
    </row>
    <row r="3301" spans="2:4" x14ac:dyDescent="0.25">
      <c r="B3301" t="s">
        <v>1696</v>
      </c>
      <c r="C3301">
        <v>258</v>
      </c>
      <c r="D3301">
        <v>14</v>
      </c>
    </row>
    <row r="3302" spans="2:4" x14ac:dyDescent="0.25">
      <c r="B3302" t="s">
        <v>1696</v>
      </c>
      <c r="C3302">
        <v>259</v>
      </c>
      <c r="D3302">
        <v>6</v>
      </c>
    </row>
    <row r="3303" spans="2:4" x14ac:dyDescent="0.25">
      <c r="B3303" t="s">
        <v>1696</v>
      </c>
      <c r="C3303">
        <v>259</v>
      </c>
      <c r="D3303">
        <v>8</v>
      </c>
    </row>
    <row r="3304" spans="2:4" x14ac:dyDescent="0.25">
      <c r="B3304" t="s">
        <v>1696</v>
      </c>
      <c r="C3304">
        <v>259</v>
      </c>
      <c r="D3304">
        <v>13</v>
      </c>
    </row>
    <row r="3305" spans="2:4" x14ac:dyDescent="0.25">
      <c r="B3305" t="s">
        <v>1696</v>
      </c>
      <c r="C3305">
        <v>259</v>
      </c>
      <c r="D3305">
        <v>14</v>
      </c>
    </row>
    <row r="3306" spans="2:4" x14ac:dyDescent="0.25">
      <c r="B3306" t="s">
        <v>1696</v>
      </c>
      <c r="C3306">
        <v>260</v>
      </c>
      <c r="D3306">
        <v>6</v>
      </c>
    </row>
    <row r="3307" spans="2:4" x14ac:dyDescent="0.25">
      <c r="B3307" t="s">
        <v>1696</v>
      </c>
      <c r="C3307">
        <v>260</v>
      </c>
      <c r="D3307">
        <v>8</v>
      </c>
    </row>
    <row r="3308" spans="2:4" x14ac:dyDescent="0.25">
      <c r="B3308" t="s">
        <v>1696</v>
      </c>
      <c r="C3308">
        <v>260</v>
      </c>
      <c r="D3308">
        <v>13</v>
      </c>
    </row>
    <row r="3309" spans="2:4" x14ac:dyDescent="0.25">
      <c r="B3309" t="s">
        <v>1696</v>
      </c>
      <c r="C3309">
        <v>260</v>
      </c>
      <c r="D3309">
        <v>14</v>
      </c>
    </row>
    <row r="3310" spans="2:4" x14ac:dyDescent="0.25">
      <c r="B3310" t="s">
        <v>1696</v>
      </c>
      <c r="C3310">
        <v>261</v>
      </c>
      <c r="D3310">
        <v>6</v>
      </c>
    </row>
    <row r="3311" spans="2:4" x14ac:dyDescent="0.25">
      <c r="B3311" t="s">
        <v>1696</v>
      </c>
      <c r="C3311">
        <v>261</v>
      </c>
      <c r="D3311">
        <v>8</v>
      </c>
    </row>
    <row r="3312" spans="2:4" x14ac:dyDescent="0.25">
      <c r="B3312" t="s">
        <v>1696</v>
      </c>
      <c r="C3312">
        <v>261</v>
      </c>
      <c r="D3312">
        <v>13</v>
      </c>
    </row>
    <row r="3313" spans="2:4" x14ac:dyDescent="0.25">
      <c r="B3313" t="s">
        <v>1696</v>
      </c>
      <c r="C3313">
        <v>261</v>
      </c>
      <c r="D3313">
        <v>14</v>
      </c>
    </row>
    <row r="3314" spans="2:4" x14ac:dyDescent="0.25">
      <c r="B3314" t="s">
        <v>1696</v>
      </c>
      <c r="C3314">
        <v>262</v>
      </c>
      <c r="D3314">
        <v>6</v>
      </c>
    </row>
    <row r="3315" spans="2:4" x14ac:dyDescent="0.25">
      <c r="B3315" t="s">
        <v>1696</v>
      </c>
      <c r="C3315">
        <v>262</v>
      </c>
      <c r="D3315">
        <v>8</v>
      </c>
    </row>
    <row r="3316" spans="2:4" x14ac:dyDescent="0.25">
      <c r="B3316" t="s">
        <v>1696</v>
      </c>
      <c r="C3316">
        <v>262</v>
      </c>
      <c r="D3316">
        <v>13</v>
      </c>
    </row>
    <row r="3317" spans="2:4" x14ac:dyDescent="0.25">
      <c r="B3317" t="s">
        <v>1696</v>
      </c>
      <c r="C3317">
        <v>262</v>
      </c>
      <c r="D3317">
        <v>14</v>
      </c>
    </row>
    <row r="3318" spans="2:4" x14ac:dyDescent="0.25">
      <c r="B3318" t="s">
        <v>1696</v>
      </c>
      <c r="C3318">
        <v>264</v>
      </c>
      <c r="D3318">
        <v>6</v>
      </c>
    </row>
    <row r="3319" spans="2:4" x14ac:dyDescent="0.25">
      <c r="B3319" t="s">
        <v>1696</v>
      </c>
      <c r="C3319">
        <v>264</v>
      </c>
      <c r="D3319">
        <v>8</v>
      </c>
    </row>
    <row r="3320" spans="2:4" x14ac:dyDescent="0.25">
      <c r="B3320" t="s">
        <v>1696</v>
      </c>
      <c r="C3320">
        <v>264</v>
      </c>
      <c r="D3320">
        <v>13</v>
      </c>
    </row>
    <row r="3321" spans="2:4" x14ac:dyDescent="0.25">
      <c r="B3321" t="s">
        <v>1696</v>
      </c>
      <c r="C3321">
        <v>264</v>
      </c>
      <c r="D3321">
        <v>14</v>
      </c>
    </row>
    <row r="3322" spans="2:4" x14ac:dyDescent="0.25">
      <c r="B3322" t="s">
        <v>1696</v>
      </c>
      <c r="C3322">
        <v>265</v>
      </c>
      <c r="D3322">
        <v>6</v>
      </c>
    </row>
    <row r="3323" spans="2:4" x14ac:dyDescent="0.25">
      <c r="B3323" t="s">
        <v>1696</v>
      </c>
      <c r="C3323">
        <v>265</v>
      </c>
      <c r="D3323">
        <v>8</v>
      </c>
    </row>
    <row r="3324" spans="2:4" x14ac:dyDescent="0.25">
      <c r="B3324" t="s">
        <v>1696</v>
      </c>
      <c r="C3324">
        <v>265</v>
      </c>
      <c r="D3324">
        <v>13</v>
      </c>
    </row>
    <row r="3325" spans="2:4" x14ac:dyDescent="0.25">
      <c r="B3325" t="s">
        <v>1696</v>
      </c>
      <c r="C3325">
        <v>265</v>
      </c>
      <c r="D3325">
        <v>14</v>
      </c>
    </row>
    <row r="3326" spans="2:4" x14ac:dyDescent="0.25">
      <c r="B3326" t="s">
        <v>1696</v>
      </c>
      <c r="C3326">
        <v>266</v>
      </c>
      <c r="D3326">
        <v>6</v>
      </c>
    </row>
    <row r="3327" spans="2:4" x14ac:dyDescent="0.25">
      <c r="B3327" t="s">
        <v>1696</v>
      </c>
      <c r="C3327">
        <v>266</v>
      </c>
      <c r="D3327">
        <v>8</v>
      </c>
    </row>
    <row r="3328" spans="2:4" x14ac:dyDescent="0.25">
      <c r="B3328" t="s">
        <v>1696</v>
      </c>
      <c r="C3328">
        <v>266</v>
      </c>
      <c r="D3328">
        <v>13</v>
      </c>
    </row>
    <row r="3329" spans="2:4" x14ac:dyDescent="0.25">
      <c r="B3329" t="s">
        <v>1696</v>
      </c>
      <c r="C3329">
        <v>266</v>
      </c>
      <c r="D3329">
        <v>14</v>
      </c>
    </row>
    <row r="3330" spans="2:4" x14ac:dyDescent="0.25">
      <c r="B3330" t="s">
        <v>1696</v>
      </c>
      <c r="C3330">
        <v>267</v>
      </c>
      <c r="D3330">
        <v>6</v>
      </c>
    </row>
    <row r="3331" spans="2:4" x14ac:dyDescent="0.25">
      <c r="B3331" t="s">
        <v>1696</v>
      </c>
      <c r="C3331">
        <v>267</v>
      </c>
      <c r="D3331">
        <v>8</v>
      </c>
    </row>
    <row r="3332" spans="2:4" x14ac:dyDescent="0.25">
      <c r="B3332" t="s">
        <v>1696</v>
      </c>
      <c r="C3332">
        <v>267</v>
      </c>
      <c r="D3332">
        <v>13</v>
      </c>
    </row>
    <row r="3333" spans="2:4" x14ac:dyDescent="0.25">
      <c r="B3333" t="s">
        <v>1696</v>
      </c>
      <c r="C3333">
        <v>267</v>
      </c>
      <c r="D3333">
        <v>14</v>
      </c>
    </row>
    <row r="3334" spans="2:4" x14ac:dyDescent="0.25">
      <c r="B3334" t="s">
        <v>1696</v>
      </c>
      <c r="C3334">
        <v>268</v>
      </c>
      <c r="D3334">
        <v>6</v>
      </c>
    </row>
    <row r="3335" spans="2:4" x14ac:dyDescent="0.25">
      <c r="B3335" t="s">
        <v>1696</v>
      </c>
      <c r="C3335">
        <v>268</v>
      </c>
      <c r="D3335">
        <v>8</v>
      </c>
    </row>
    <row r="3336" spans="2:4" x14ac:dyDescent="0.25">
      <c r="B3336" t="s">
        <v>1696</v>
      </c>
      <c r="C3336">
        <v>268</v>
      </c>
      <c r="D3336">
        <v>13</v>
      </c>
    </row>
    <row r="3337" spans="2:4" x14ac:dyDescent="0.25">
      <c r="B3337" t="s">
        <v>1696</v>
      </c>
      <c r="C3337">
        <v>268</v>
      </c>
      <c r="D3337">
        <v>14</v>
      </c>
    </row>
    <row r="3338" spans="2:4" x14ac:dyDescent="0.25">
      <c r="B3338" t="s">
        <v>1696</v>
      </c>
      <c r="C3338">
        <v>269</v>
      </c>
      <c r="D3338">
        <v>6</v>
      </c>
    </row>
    <row r="3339" spans="2:4" x14ac:dyDescent="0.25">
      <c r="B3339" t="s">
        <v>1696</v>
      </c>
      <c r="C3339">
        <v>269</v>
      </c>
      <c r="D3339">
        <v>8</v>
      </c>
    </row>
    <row r="3340" spans="2:4" x14ac:dyDescent="0.25">
      <c r="B3340" t="s">
        <v>1696</v>
      </c>
      <c r="C3340">
        <v>269</v>
      </c>
      <c r="D3340">
        <v>13</v>
      </c>
    </row>
    <row r="3341" spans="2:4" x14ac:dyDescent="0.25">
      <c r="B3341" t="s">
        <v>1696</v>
      </c>
      <c r="C3341">
        <v>269</v>
      </c>
      <c r="D3341">
        <v>14</v>
      </c>
    </row>
    <row r="3342" spans="2:4" x14ac:dyDescent="0.25">
      <c r="B3342" t="s">
        <v>1696</v>
      </c>
      <c r="C3342">
        <v>270</v>
      </c>
      <c r="D3342">
        <v>6</v>
      </c>
    </row>
    <row r="3343" spans="2:4" x14ac:dyDescent="0.25">
      <c r="B3343" t="s">
        <v>1696</v>
      </c>
      <c r="C3343">
        <v>270</v>
      </c>
      <c r="D3343">
        <v>8</v>
      </c>
    </row>
    <row r="3344" spans="2:4" x14ac:dyDescent="0.25">
      <c r="B3344" t="s">
        <v>1696</v>
      </c>
      <c r="C3344">
        <v>270</v>
      </c>
      <c r="D3344">
        <v>13</v>
      </c>
    </row>
    <row r="3345" spans="2:4" x14ac:dyDescent="0.25">
      <c r="B3345" t="s">
        <v>1696</v>
      </c>
      <c r="C3345">
        <v>270</v>
      </c>
      <c r="D3345">
        <v>14</v>
      </c>
    </row>
    <row r="3346" spans="2:4" x14ac:dyDescent="0.25">
      <c r="B3346" t="s">
        <v>1696</v>
      </c>
      <c r="C3346">
        <v>272</v>
      </c>
      <c r="D3346">
        <v>6</v>
      </c>
    </row>
    <row r="3347" spans="2:4" x14ac:dyDescent="0.25">
      <c r="B3347" t="s">
        <v>1696</v>
      </c>
      <c r="C3347">
        <v>272</v>
      </c>
      <c r="D3347">
        <v>8</v>
      </c>
    </row>
    <row r="3348" spans="2:4" x14ac:dyDescent="0.25">
      <c r="B3348" t="s">
        <v>1696</v>
      </c>
      <c r="C3348">
        <v>272</v>
      </c>
      <c r="D3348">
        <v>13</v>
      </c>
    </row>
    <row r="3349" spans="2:4" x14ac:dyDescent="0.25">
      <c r="B3349" t="s">
        <v>1696</v>
      </c>
      <c r="C3349">
        <v>272</v>
      </c>
      <c r="D3349">
        <v>14</v>
      </c>
    </row>
    <row r="3350" spans="2:4" x14ac:dyDescent="0.25">
      <c r="B3350" t="s">
        <v>1696</v>
      </c>
      <c r="C3350">
        <v>273</v>
      </c>
      <c r="D3350">
        <v>6</v>
      </c>
    </row>
    <row r="3351" spans="2:4" x14ac:dyDescent="0.25">
      <c r="B3351" t="s">
        <v>1696</v>
      </c>
      <c r="C3351">
        <v>273</v>
      </c>
      <c r="D3351">
        <v>8</v>
      </c>
    </row>
    <row r="3352" spans="2:4" x14ac:dyDescent="0.25">
      <c r="B3352" t="s">
        <v>1696</v>
      </c>
      <c r="C3352">
        <v>273</v>
      </c>
      <c r="D3352">
        <v>13</v>
      </c>
    </row>
    <row r="3353" spans="2:4" x14ac:dyDescent="0.25">
      <c r="B3353" t="s">
        <v>1696</v>
      </c>
      <c r="C3353">
        <v>273</v>
      </c>
      <c r="D3353">
        <v>14</v>
      </c>
    </row>
    <row r="3354" spans="2:4" x14ac:dyDescent="0.25">
      <c r="B3354" t="s">
        <v>1696</v>
      </c>
      <c r="C3354">
        <v>274</v>
      </c>
      <c r="D3354">
        <v>6</v>
      </c>
    </row>
    <row r="3355" spans="2:4" x14ac:dyDescent="0.25">
      <c r="B3355" t="s">
        <v>1696</v>
      </c>
      <c r="C3355">
        <v>274</v>
      </c>
      <c r="D3355">
        <v>8</v>
      </c>
    </row>
    <row r="3356" spans="2:4" x14ac:dyDescent="0.25">
      <c r="B3356" t="s">
        <v>1696</v>
      </c>
      <c r="C3356">
        <v>274</v>
      </c>
      <c r="D3356">
        <v>13</v>
      </c>
    </row>
    <row r="3357" spans="2:4" x14ac:dyDescent="0.25">
      <c r="B3357" t="s">
        <v>1696</v>
      </c>
      <c r="C3357">
        <v>274</v>
      </c>
      <c r="D3357">
        <v>14</v>
      </c>
    </row>
    <row r="3358" spans="2:4" x14ac:dyDescent="0.25">
      <c r="B3358" t="s">
        <v>1696</v>
      </c>
      <c r="C3358">
        <v>275</v>
      </c>
      <c r="D3358">
        <v>6</v>
      </c>
    </row>
    <row r="3359" spans="2:4" x14ac:dyDescent="0.25">
      <c r="B3359" t="s">
        <v>1696</v>
      </c>
      <c r="C3359">
        <v>275</v>
      </c>
      <c r="D3359">
        <v>8</v>
      </c>
    </row>
    <row r="3360" spans="2:4" x14ac:dyDescent="0.25">
      <c r="B3360" t="s">
        <v>1696</v>
      </c>
      <c r="C3360">
        <v>275</v>
      </c>
      <c r="D3360">
        <v>13</v>
      </c>
    </row>
    <row r="3361" spans="2:4" x14ac:dyDescent="0.25">
      <c r="B3361" t="s">
        <v>1696</v>
      </c>
      <c r="C3361">
        <v>275</v>
      </c>
      <c r="D3361">
        <v>14</v>
      </c>
    </row>
    <row r="3362" spans="2:4" x14ac:dyDescent="0.25">
      <c r="B3362" t="s">
        <v>1696</v>
      </c>
      <c r="C3362">
        <v>276</v>
      </c>
      <c r="D3362">
        <v>6</v>
      </c>
    </row>
    <row r="3363" spans="2:4" x14ac:dyDescent="0.25">
      <c r="B3363" t="s">
        <v>1696</v>
      </c>
      <c r="C3363">
        <v>276</v>
      </c>
      <c r="D3363">
        <v>8</v>
      </c>
    </row>
    <row r="3364" spans="2:4" x14ac:dyDescent="0.25">
      <c r="B3364" t="s">
        <v>1696</v>
      </c>
      <c r="C3364">
        <v>276</v>
      </c>
      <c r="D3364">
        <v>13</v>
      </c>
    </row>
    <row r="3365" spans="2:4" x14ac:dyDescent="0.25">
      <c r="B3365" t="s">
        <v>1696</v>
      </c>
      <c r="C3365">
        <v>276</v>
      </c>
      <c r="D3365">
        <v>14</v>
      </c>
    </row>
    <row r="3366" spans="2:4" x14ac:dyDescent="0.25">
      <c r="B3366" t="s">
        <v>1696</v>
      </c>
      <c r="C3366">
        <v>277</v>
      </c>
      <c r="D3366">
        <v>6</v>
      </c>
    </row>
    <row r="3367" spans="2:4" x14ac:dyDescent="0.25">
      <c r="B3367" t="s">
        <v>1696</v>
      </c>
      <c r="C3367">
        <v>277</v>
      </c>
      <c r="D3367">
        <v>8</v>
      </c>
    </row>
    <row r="3368" spans="2:4" x14ac:dyDescent="0.25">
      <c r="B3368" t="s">
        <v>1696</v>
      </c>
      <c r="C3368">
        <v>277</v>
      </c>
      <c r="D3368">
        <v>13</v>
      </c>
    </row>
    <row r="3369" spans="2:4" x14ac:dyDescent="0.25">
      <c r="B3369" t="s">
        <v>1696</v>
      </c>
      <c r="C3369">
        <v>277</v>
      </c>
      <c r="D3369">
        <v>14</v>
      </c>
    </row>
    <row r="3370" spans="2:4" x14ac:dyDescent="0.25">
      <c r="B3370" t="s">
        <v>1696</v>
      </c>
      <c r="C3370">
        <v>278</v>
      </c>
      <c r="D3370">
        <v>6</v>
      </c>
    </row>
    <row r="3371" spans="2:4" x14ac:dyDescent="0.25">
      <c r="B3371" t="s">
        <v>1696</v>
      </c>
      <c r="C3371">
        <v>278</v>
      </c>
      <c r="D3371">
        <v>8</v>
      </c>
    </row>
    <row r="3372" spans="2:4" x14ac:dyDescent="0.25">
      <c r="B3372" t="s">
        <v>1696</v>
      </c>
      <c r="C3372">
        <v>278</v>
      </c>
      <c r="D3372">
        <v>13</v>
      </c>
    </row>
    <row r="3373" spans="2:4" x14ac:dyDescent="0.25">
      <c r="B3373" t="s">
        <v>1696</v>
      </c>
      <c r="C3373">
        <v>278</v>
      </c>
      <c r="D3373">
        <v>14</v>
      </c>
    </row>
    <row r="3374" spans="2:4" x14ac:dyDescent="0.25">
      <c r="B3374" t="s">
        <v>1696</v>
      </c>
      <c r="C3374">
        <v>280</v>
      </c>
      <c r="D3374">
        <v>6</v>
      </c>
    </row>
    <row r="3375" spans="2:4" x14ac:dyDescent="0.25">
      <c r="B3375" t="s">
        <v>1696</v>
      </c>
      <c r="C3375">
        <v>280</v>
      </c>
      <c r="D3375">
        <v>8</v>
      </c>
    </row>
    <row r="3376" spans="2:4" x14ac:dyDescent="0.25">
      <c r="B3376" t="s">
        <v>1696</v>
      </c>
      <c r="C3376">
        <v>280</v>
      </c>
      <c r="D3376">
        <v>13</v>
      </c>
    </row>
    <row r="3377" spans="2:4" x14ac:dyDescent="0.25">
      <c r="B3377" t="s">
        <v>1696</v>
      </c>
      <c r="C3377">
        <v>280</v>
      </c>
      <c r="D3377">
        <v>14</v>
      </c>
    </row>
    <row r="3378" spans="2:4" x14ac:dyDescent="0.25">
      <c r="B3378" t="s">
        <v>1696</v>
      </c>
      <c r="C3378">
        <v>281</v>
      </c>
      <c r="D3378">
        <v>6</v>
      </c>
    </row>
    <row r="3379" spans="2:4" x14ac:dyDescent="0.25">
      <c r="B3379" t="s">
        <v>1696</v>
      </c>
      <c r="C3379">
        <v>281</v>
      </c>
      <c r="D3379">
        <v>8</v>
      </c>
    </row>
    <row r="3380" spans="2:4" x14ac:dyDescent="0.25">
      <c r="B3380" t="s">
        <v>1696</v>
      </c>
      <c r="C3380">
        <v>281</v>
      </c>
      <c r="D3380">
        <v>13</v>
      </c>
    </row>
    <row r="3381" spans="2:4" x14ac:dyDescent="0.25">
      <c r="B3381" t="s">
        <v>1696</v>
      </c>
      <c r="C3381">
        <v>281</v>
      </c>
      <c r="D3381">
        <v>14</v>
      </c>
    </row>
    <row r="3382" spans="2:4" x14ac:dyDescent="0.25">
      <c r="B3382" t="s">
        <v>1696</v>
      </c>
      <c r="C3382">
        <v>282</v>
      </c>
      <c r="D3382">
        <v>6</v>
      </c>
    </row>
    <row r="3383" spans="2:4" x14ac:dyDescent="0.25">
      <c r="B3383" t="s">
        <v>1696</v>
      </c>
      <c r="C3383">
        <v>282</v>
      </c>
      <c r="D3383">
        <v>8</v>
      </c>
    </row>
    <row r="3384" spans="2:4" x14ac:dyDescent="0.25">
      <c r="B3384" t="s">
        <v>1696</v>
      </c>
      <c r="C3384">
        <v>282</v>
      </c>
      <c r="D3384">
        <v>13</v>
      </c>
    </row>
    <row r="3385" spans="2:4" x14ac:dyDescent="0.25">
      <c r="B3385" t="s">
        <v>1696</v>
      </c>
      <c r="C3385">
        <v>282</v>
      </c>
      <c r="D3385">
        <v>14</v>
      </c>
    </row>
    <row r="3386" spans="2:4" x14ac:dyDescent="0.25">
      <c r="B3386" t="s">
        <v>1696</v>
      </c>
      <c r="C3386">
        <v>283</v>
      </c>
      <c r="D3386">
        <v>6</v>
      </c>
    </row>
    <row r="3387" spans="2:4" x14ac:dyDescent="0.25">
      <c r="B3387" t="s">
        <v>1696</v>
      </c>
      <c r="C3387">
        <v>283</v>
      </c>
      <c r="D3387">
        <v>8</v>
      </c>
    </row>
    <row r="3388" spans="2:4" x14ac:dyDescent="0.25">
      <c r="B3388" t="s">
        <v>1696</v>
      </c>
      <c r="C3388">
        <v>283</v>
      </c>
      <c r="D3388">
        <v>13</v>
      </c>
    </row>
    <row r="3389" spans="2:4" x14ac:dyDescent="0.25">
      <c r="B3389" t="s">
        <v>1696</v>
      </c>
      <c r="C3389">
        <v>283</v>
      </c>
      <c r="D3389">
        <v>14</v>
      </c>
    </row>
    <row r="3390" spans="2:4" x14ac:dyDescent="0.25">
      <c r="B3390" t="s">
        <v>1696</v>
      </c>
      <c r="C3390">
        <v>285</v>
      </c>
      <c r="D3390">
        <v>6</v>
      </c>
    </row>
    <row r="3391" spans="2:4" x14ac:dyDescent="0.25">
      <c r="B3391" t="s">
        <v>1696</v>
      </c>
      <c r="C3391">
        <v>285</v>
      </c>
      <c r="D3391">
        <v>8</v>
      </c>
    </row>
    <row r="3392" spans="2:4" x14ac:dyDescent="0.25">
      <c r="B3392" t="s">
        <v>1696</v>
      </c>
      <c r="C3392">
        <v>285</v>
      </c>
      <c r="D3392">
        <v>13</v>
      </c>
    </row>
    <row r="3393" spans="2:4" x14ac:dyDescent="0.25">
      <c r="B3393" t="s">
        <v>1696</v>
      </c>
      <c r="C3393">
        <v>285</v>
      </c>
      <c r="D3393">
        <v>14</v>
      </c>
    </row>
    <row r="3394" spans="2:4" x14ac:dyDescent="0.25">
      <c r="B3394" t="s">
        <v>1696</v>
      </c>
      <c r="C3394">
        <v>286</v>
      </c>
      <c r="D3394">
        <v>6</v>
      </c>
    </row>
    <row r="3395" spans="2:4" x14ac:dyDescent="0.25">
      <c r="B3395" t="s">
        <v>1696</v>
      </c>
      <c r="C3395">
        <v>286</v>
      </c>
      <c r="D3395">
        <v>8</v>
      </c>
    </row>
    <row r="3396" spans="2:4" x14ac:dyDescent="0.25">
      <c r="B3396" t="s">
        <v>1696</v>
      </c>
      <c r="C3396">
        <v>286</v>
      </c>
      <c r="D3396">
        <v>13</v>
      </c>
    </row>
    <row r="3397" spans="2:4" x14ac:dyDescent="0.25">
      <c r="B3397" t="s">
        <v>1696</v>
      </c>
      <c r="C3397">
        <v>286</v>
      </c>
      <c r="D3397">
        <v>14</v>
      </c>
    </row>
    <row r="3398" spans="2:4" x14ac:dyDescent="0.25">
      <c r="B3398" t="s">
        <v>1696</v>
      </c>
      <c r="C3398">
        <v>287</v>
      </c>
      <c r="D3398">
        <v>6</v>
      </c>
    </row>
    <row r="3399" spans="2:4" x14ac:dyDescent="0.25">
      <c r="B3399" t="s">
        <v>1696</v>
      </c>
      <c r="C3399">
        <v>287</v>
      </c>
      <c r="D3399">
        <v>8</v>
      </c>
    </row>
    <row r="3400" spans="2:4" x14ac:dyDescent="0.25">
      <c r="B3400" t="s">
        <v>1696</v>
      </c>
      <c r="C3400">
        <v>287</v>
      </c>
      <c r="D3400">
        <v>13</v>
      </c>
    </row>
    <row r="3401" spans="2:4" x14ac:dyDescent="0.25">
      <c r="B3401" t="s">
        <v>1696</v>
      </c>
      <c r="C3401">
        <v>287</v>
      </c>
      <c r="D3401">
        <v>14</v>
      </c>
    </row>
    <row r="3402" spans="2:4" x14ac:dyDescent="0.25">
      <c r="B3402" t="s">
        <v>1696</v>
      </c>
      <c r="C3402">
        <v>288</v>
      </c>
      <c r="D3402">
        <v>6</v>
      </c>
    </row>
    <row r="3403" spans="2:4" x14ac:dyDescent="0.25">
      <c r="B3403" t="s">
        <v>1696</v>
      </c>
      <c r="C3403">
        <v>288</v>
      </c>
      <c r="D3403">
        <v>8</v>
      </c>
    </row>
    <row r="3404" spans="2:4" x14ac:dyDescent="0.25">
      <c r="B3404" t="s">
        <v>1696</v>
      </c>
      <c r="C3404">
        <v>288</v>
      </c>
      <c r="D3404">
        <v>13</v>
      </c>
    </row>
    <row r="3405" spans="2:4" x14ac:dyDescent="0.25">
      <c r="B3405" t="s">
        <v>1696</v>
      </c>
      <c r="C3405">
        <v>288</v>
      </c>
      <c r="D3405">
        <v>14</v>
      </c>
    </row>
    <row r="3406" spans="2:4" x14ac:dyDescent="0.25">
      <c r="B3406" t="s">
        <v>1696</v>
      </c>
      <c r="C3406">
        <v>289</v>
      </c>
      <c r="D3406">
        <v>6</v>
      </c>
    </row>
    <row r="3407" spans="2:4" x14ac:dyDescent="0.25">
      <c r="B3407" t="s">
        <v>1696</v>
      </c>
      <c r="C3407">
        <v>289</v>
      </c>
      <c r="D3407">
        <v>8</v>
      </c>
    </row>
    <row r="3408" spans="2:4" x14ac:dyDescent="0.25">
      <c r="B3408" t="s">
        <v>1696</v>
      </c>
      <c r="C3408">
        <v>289</v>
      </c>
      <c r="D3408">
        <v>13</v>
      </c>
    </row>
    <row r="3409" spans="2:4" x14ac:dyDescent="0.25">
      <c r="B3409" t="s">
        <v>1696</v>
      </c>
      <c r="C3409">
        <v>289</v>
      </c>
      <c r="D3409">
        <v>14</v>
      </c>
    </row>
    <row r="3410" spans="2:4" x14ac:dyDescent="0.25">
      <c r="B3410" t="s">
        <v>1696</v>
      </c>
      <c r="C3410">
        <v>290</v>
      </c>
      <c r="D3410">
        <v>6</v>
      </c>
    </row>
    <row r="3411" spans="2:4" x14ac:dyDescent="0.25">
      <c r="B3411" t="s">
        <v>1696</v>
      </c>
      <c r="C3411">
        <v>290</v>
      </c>
      <c r="D3411">
        <v>8</v>
      </c>
    </row>
    <row r="3412" spans="2:4" x14ac:dyDescent="0.25">
      <c r="B3412" t="s">
        <v>1696</v>
      </c>
      <c r="C3412">
        <v>290</v>
      </c>
      <c r="D3412">
        <v>13</v>
      </c>
    </row>
    <row r="3413" spans="2:4" x14ac:dyDescent="0.25">
      <c r="B3413" t="s">
        <v>1696</v>
      </c>
      <c r="C3413">
        <v>290</v>
      </c>
      <c r="D3413">
        <v>14</v>
      </c>
    </row>
    <row r="3414" spans="2:4" x14ac:dyDescent="0.25">
      <c r="B3414" t="s">
        <v>1696</v>
      </c>
      <c r="C3414">
        <v>291</v>
      </c>
      <c r="D3414">
        <v>6</v>
      </c>
    </row>
    <row r="3415" spans="2:4" x14ac:dyDescent="0.25">
      <c r="B3415" t="s">
        <v>1696</v>
      </c>
      <c r="C3415">
        <v>291</v>
      </c>
      <c r="D3415">
        <v>8</v>
      </c>
    </row>
    <row r="3416" spans="2:4" x14ac:dyDescent="0.25">
      <c r="B3416" t="s">
        <v>1696</v>
      </c>
      <c r="C3416">
        <v>291</v>
      </c>
      <c r="D3416">
        <v>13</v>
      </c>
    </row>
    <row r="3417" spans="2:4" x14ac:dyDescent="0.25">
      <c r="B3417" t="s">
        <v>1696</v>
      </c>
      <c r="C3417">
        <v>291</v>
      </c>
      <c r="D3417">
        <v>14</v>
      </c>
    </row>
    <row r="3418" spans="2:4" x14ac:dyDescent="0.25">
      <c r="B3418" t="s">
        <v>1696</v>
      </c>
      <c r="C3418">
        <v>293</v>
      </c>
      <c r="D3418">
        <v>6</v>
      </c>
    </row>
    <row r="3419" spans="2:4" x14ac:dyDescent="0.25">
      <c r="B3419" t="s">
        <v>1696</v>
      </c>
      <c r="C3419">
        <v>293</v>
      </c>
      <c r="D3419">
        <v>8</v>
      </c>
    </row>
    <row r="3420" spans="2:4" x14ac:dyDescent="0.25">
      <c r="B3420" t="s">
        <v>1696</v>
      </c>
      <c r="C3420">
        <v>293</v>
      </c>
      <c r="D3420">
        <v>13</v>
      </c>
    </row>
    <row r="3421" spans="2:4" x14ac:dyDescent="0.25">
      <c r="B3421" t="s">
        <v>1696</v>
      </c>
      <c r="C3421">
        <v>293</v>
      </c>
      <c r="D3421">
        <v>14</v>
      </c>
    </row>
    <row r="3422" spans="2:4" x14ac:dyDescent="0.25">
      <c r="B3422" t="s">
        <v>1696</v>
      </c>
      <c r="C3422">
        <v>294</v>
      </c>
      <c r="D3422">
        <v>6</v>
      </c>
    </row>
    <row r="3423" spans="2:4" x14ac:dyDescent="0.25">
      <c r="B3423" t="s">
        <v>1696</v>
      </c>
      <c r="C3423">
        <v>294</v>
      </c>
      <c r="D3423">
        <v>8</v>
      </c>
    </row>
    <row r="3424" spans="2:4" x14ac:dyDescent="0.25">
      <c r="B3424" t="s">
        <v>1696</v>
      </c>
      <c r="C3424">
        <v>294</v>
      </c>
      <c r="D3424">
        <v>13</v>
      </c>
    </row>
    <row r="3425" spans="2:4" x14ac:dyDescent="0.25">
      <c r="B3425" t="s">
        <v>1696</v>
      </c>
      <c r="C3425">
        <v>294</v>
      </c>
      <c r="D3425">
        <v>14</v>
      </c>
    </row>
    <row r="3426" spans="2:4" x14ac:dyDescent="0.25">
      <c r="B3426" t="s">
        <v>1696</v>
      </c>
      <c r="C3426">
        <v>295</v>
      </c>
      <c r="D3426">
        <v>6</v>
      </c>
    </row>
    <row r="3427" spans="2:4" x14ac:dyDescent="0.25">
      <c r="B3427" t="s">
        <v>1696</v>
      </c>
      <c r="C3427">
        <v>295</v>
      </c>
      <c r="D3427">
        <v>8</v>
      </c>
    </row>
    <row r="3428" spans="2:4" x14ac:dyDescent="0.25">
      <c r="B3428" t="s">
        <v>1696</v>
      </c>
      <c r="C3428">
        <v>295</v>
      </c>
      <c r="D3428">
        <v>13</v>
      </c>
    </row>
    <row r="3429" spans="2:4" x14ac:dyDescent="0.25">
      <c r="B3429" t="s">
        <v>1696</v>
      </c>
      <c r="C3429">
        <v>295</v>
      </c>
      <c r="D3429">
        <v>14</v>
      </c>
    </row>
    <row r="3430" spans="2:4" x14ac:dyDescent="0.25">
      <c r="B3430" t="s">
        <v>1696</v>
      </c>
      <c r="C3430">
        <v>296</v>
      </c>
      <c r="D3430">
        <v>6</v>
      </c>
    </row>
    <row r="3431" spans="2:4" x14ac:dyDescent="0.25">
      <c r="B3431" t="s">
        <v>1696</v>
      </c>
      <c r="C3431">
        <v>296</v>
      </c>
      <c r="D3431">
        <v>8</v>
      </c>
    </row>
    <row r="3432" spans="2:4" x14ac:dyDescent="0.25">
      <c r="B3432" t="s">
        <v>1696</v>
      </c>
      <c r="C3432">
        <v>296</v>
      </c>
      <c r="D3432">
        <v>13</v>
      </c>
    </row>
    <row r="3433" spans="2:4" x14ac:dyDescent="0.25">
      <c r="B3433" t="s">
        <v>1696</v>
      </c>
      <c r="C3433">
        <v>296</v>
      </c>
      <c r="D3433">
        <v>14</v>
      </c>
    </row>
    <row r="3434" spans="2:4" x14ac:dyDescent="0.25">
      <c r="B3434" t="s">
        <v>1696</v>
      </c>
      <c r="C3434">
        <v>297</v>
      </c>
      <c r="D3434">
        <v>6</v>
      </c>
    </row>
    <row r="3435" spans="2:4" x14ac:dyDescent="0.25">
      <c r="B3435" t="s">
        <v>1696</v>
      </c>
      <c r="C3435">
        <v>297</v>
      </c>
      <c r="D3435">
        <v>8</v>
      </c>
    </row>
    <row r="3436" spans="2:4" x14ac:dyDescent="0.25">
      <c r="B3436" t="s">
        <v>1696</v>
      </c>
      <c r="C3436">
        <v>297</v>
      </c>
      <c r="D3436">
        <v>13</v>
      </c>
    </row>
    <row r="3437" spans="2:4" x14ac:dyDescent="0.25">
      <c r="B3437" t="s">
        <v>1696</v>
      </c>
      <c r="C3437">
        <v>297</v>
      </c>
      <c r="D3437">
        <v>14</v>
      </c>
    </row>
    <row r="3438" spans="2:4" x14ac:dyDescent="0.25">
      <c r="B3438" t="s">
        <v>1696</v>
      </c>
      <c r="C3438">
        <v>298</v>
      </c>
      <c r="D3438">
        <v>6</v>
      </c>
    </row>
    <row r="3439" spans="2:4" x14ac:dyDescent="0.25">
      <c r="B3439" t="s">
        <v>1696</v>
      </c>
      <c r="C3439">
        <v>298</v>
      </c>
      <c r="D3439">
        <v>8</v>
      </c>
    </row>
    <row r="3440" spans="2:4" x14ac:dyDescent="0.25">
      <c r="B3440" t="s">
        <v>1696</v>
      </c>
      <c r="C3440">
        <v>298</v>
      </c>
      <c r="D3440">
        <v>13</v>
      </c>
    </row>
    <row r="3441" spans="2:4" x14ac:dyDescent="0.25">
      <c r="B3441" t="s">
        <v>1696</v>
      </c>
      <c r="C3441">
        <v>298</v>
      </c>
      <c r="D3441">
        <v>14</v>
      </c>
    </row>
    <row r="3442" spans="2:4" x14ac:dyDescent="0.25">
      <c r="B3442" t="s">
        <v>1696</v>
      </c>
      <c r="C3442">
        <v>299</v>
      </c>
      <c r="D3442">
        <v>6</v>
      </c>
    </row>
    <row r="3443" spans="2:4" x14ac:dyDescent="0.25">
      <c r="B3443" t="s">
        <v>1696</v>
      </c>
      <c r="C3443">
        <v>299</v>
      </c>
      <c r="D3443">
        <v>8</v>
      </c>
    </row>
    <row r="3444" spans="2:4" x14ac:dyDescent="0.25">
      <c r="B3444" t="s">
        <v>1696</v>
      </c>
      <c r="C3444">
        <v>299</v>
      </c>
      <c r="D3444">
        <v>13</v>
      </c>
    </row>
    <row r="3445" spans="2:4" x14ac:dyDescent="0.25">
      <c r="B3445" t="s">
        <v>1696</v>
      </c>
      <c r="C3445">
        <v>299</v>
      </c>
      <c r="D3445">
        <v>14</v>
      </c>
    </row>
    <row r="3446" spans="2:4" x14ac:dyDescent="0.25">
      <c r="B3446" t="s">
        <v>1696</v>
      </c>
      <c r="C3446">
        <v>301</v>
      </c>
      <c r="D3446">
        <v>6</v>
      </c>
    </row>
    <row r="3447" spans="2:4" x14ac:dyDescent="0.25">
      <c r="B3447" t="s">
        <v>1696</v>
      </c>
      <c r="C3447">
        <v>301</v>
      </c>
      <c r="D3447">
        <v>8</v>
      </c>
    </row>
    <row r="3448" spans="2:4" x14ac:dyDescent="0.25">
      <c r="B3448" t="s">
        <v>1696</v>
      </c>
      <c r="C3448">
        <v>301</v>
      </c>
      <c r="D3448">
        <v>13</v>
      </c>
    </row>
    <row r="3449" spans="2:4" x14ac:dyDescent="0.25">
      <c r="B3449" t="s">
        <v>1696</v>
      </c>
      <c r="C3449">
        <v>301</v>
      </c>
      <c r="D3449">
        <v>14</v>
      </c>
    </row>
    <row r="3450" spans="2:4" x14ac:dyDescent="0.25">
      <c r="B3450" t="s">
        <v>1696</v>
      </c>
      <c r="C3450">
        <v>302</v>
      </c>
      <c r="D3450">
        <v>6</v>
      </c>
    </row>
    <row r="3451" spans="2:4" x14ac:dyDescent="0.25">
      <c r="B3451" t="s">
        <v>1696</v>
      </c>
      <c r="C3451">
        <v>302</v>
      </c>
      <c r="D3451">
        <v>8</v>
      </c>
    </row>
    <row r="3452" spans="2:4" x14ac:dyDescent="0.25">
      <c r="B3452" t="s">
        <v>1696</v>
      </c>
      <c r="C3452">
        <v>302</v>
      </c>
      <c r="D3452">
        <v>13</v>
      </c>
    </row>
    <row r="3453" spans="2:4" x14ac:dyDescent="0.25">
      <c r="B3453" t="s">
        <v>1696</v>
      </c>
      <c r="C3453">
        <v>302</v>
      </c>
      <c r="D3453">
        <v>14</v>
      </c>
    </row>
    <row r="3454" spans="2:4" x14ac:dyDescent="0.25">
      <c r="B3454" t="s">
        <v>1696</v>
      </c>
      <c r="C3454">
        <v>303</v>
      </c>
      <c r="D3454">
        <v>6</v>
      </c>
    </row>
    <row r="3455" spans="2:4" x14ac:dyDescent="0.25">
      <c r="B3455" t="s">
        <v>1696</v>
      </c>
      <c r="C3455">
        <v>303</v>
      </c>
      <c r="D3455">
        <v>8</v>
      </c>
    </row>
    <row r="3456" spans="2:4" x14ac:dyDescent="0.25">
      <c r="B3456" t="s">
        <v>1696</v>
      </c>
      <c r="C3456">
        <v>303</v>
      </c>
      <c r="D3456">
        <v>13</v>
      </c>
    </row>
    <row r="3457" spans="2:4" x14ac:dyDescent="0.25">
      <c r="B3457" t="s">
        <v>1696</v>
      </c>
      <c r="C3457">
        <v>303</v>
      </c>
      <c r="D3457">
        <v>14</v>
      </c>
    </row>
    <row r="3458" spans="2:4" x14ac:dyDescent="0.25">
      <c r="B3458" t="s">
        <v>1696</v>
      </c>
      <c r="C3458">
        <v>304</v>
      </c>
      <c r="D3458">
        <v>6</v>
      </c>
    </row>
    <row r="3459" spans="2:4" x14ac:dyDescent="0.25">
      <c r="B3459" t="s">
        <v>1696</v>
      </c>
      <c r="C3459">
        <v>304</v>
      </c>
      <c r="D3459">
        <v>8</v>
      </c>
    </row>
    <row r="3460" spans="2:4" x14ac:dyDescent="0.25">
      <c r="B3460" t="s">
        <v>1696</v>
      </c>
      <c r="C3460">
        <v>304</v>
      </c>
      <c r="D3460">
        <v>13</v>
      </c>
    </row>
    <row r="3461" spans="2:4" x14ac:dyDescent="0.25">
      <c r="B3461" t="s">
        <v>1696</v>
      </c>
      <c r="C3461">
        <v>304</v>
      </c>
      <c r="D3461">
        <v>14</v>
      </c>
    </row>
    <row r="3462" spans="2:4" x14ac:dyDescent="0.25">
      <c r="B3462" t="s">
        <v>1696</v>
      </c>
      <c r="C3462">
        <v>305</v>
      </c>
      <c r="D3462">
        <v>6</v>
      </c>
    </row>
    <row r="3463" spans="2:4" x14ac:dyDescent="0.25">
      <c r="B3463" t="s">
        <v>1696</v>
      </c>
      <c r="C3463">
        <v>305</v>
      </c>
      <c r="D3463">
        <v>8</v>
      </c>
    </row>
    <row r="3464" spans="2:4" x14ac:dyDescent="0.25">
      <c r="B3464" t="s">
        <v>1696</v>
      </c>
      <c r="C3464">
        <v>305</v>
      </c>
      <c r="D3464">
        <v>13</v>
      </c>
    </row>
    <row r="3465" spans="2:4" x14ac:dyDescent="0.25">
      <c r="B3465" t="s">
        <v>1696</v>
      </c>
      <c r="C3465">
        <v>305</v>
      </c>
      <c r="D3465">
        <v>14</v>
      </c>
    </row>
    <row r="3466" spans="2:4" x14ac:dyDescent="0.25">
      <c r="B3466" t="s">
        <v>1696</v>
      </c>
      <c r="C3466">
        <v>306</v>
      </c>
      <c r="D3466">
        <v>6</v>
      </c>
    </row>
    <row r="3467" spans="2:4" x14ac:dyDescent="0.25">
      <c r="B3467" t="s">
        <v>1696</v>
      </c>
      <c r="C3467">
        <v>306</v>
      </c>
      <c r="D3467">
        <v>8</v>
      </c>
    </row>
    <row r="3468" spans="2:4" x14ac:dyDescent="0.25">
      <c r="B3468" t="s">
        <v>1696</v>
      </c>
      <c r="C3468">
        <v>306</v>
      </c>
      <c r="D3468">
        <v>13</v>
      </c>
    </row>
    <row r="3469" spans="2:4" x14ac:dyDescent="0.25">
      <c r="B3469" t="s">
        <v>1696</v>
      </c>
      <c r="C3469">
        <v>306</v>
      </c>
      <c r="D3469">
        <v>14</v>
      </c>
    </row>
    <row r="3470" spans="2:4" x14ac:dyDescent="0.25">
      <c r="B3470" t="s">
        <v>1696</v>
      </c>
      <c r="C3470">
        <v>307</v>
      </c>
      <c r="D3470">
        <v>6</v>
      </c>
    </row>
    <row r="3471" spans="2:4" x14ac:dyDescent="0.25">
      <c r="B3471" t="s">
        <v>1696</v>
      </c>
      <c r="C3471">
        <v>307</v>
      </c>
      <c r="D3471">
        <v>8</v>
      </c>
    </row>
    <row r="3472" spans="2:4" x14ac:dyDescent="0.25">
      <c r="B3472" t="s">
        <v>1696</v>
      </c>
      <c r="C3472">
        <v>307</v>
      </c>
      <c r="D3472">
        <v>13</v>
      </c>
    </row>
    <row r="3473" spans="2:4" x14ac:dyDescent="0.25">
      <c r="B3473" t="s">
        <v>1696</v>
      </c>
      <c r="C3473">
        <v>307</v>
      </c>
      <c r="D3473">
        <v>14</v>
      </c>
    </row>
    <row r="3474" spans="2:4" x14ac:dyDescent="0.25">
      <c r="B3474" t="s">
        <v>1098</v>
      </c>
      <c r="C3474">
        <v>7</v>
      </c>
      <c r="D3474">
        <v>6</v>
      </c>
    </row>
    <row r="3475" spans="2:4" x14ac:dyDescent="0.25">
      <c r="B3475" t="s">
        <v>1098</v>
      </c>
      <c r="C3475">
        <v>7</v>
      </c>
      <c r="D3475">
        <v>8</v>
      </c>
    </row>
    <row r="3476" spans="2:4" x14ac:dyDescent="0.25">
      <c r="B3476" t="s">
        <v>1098</v>
      </c>
      <c r="C3476">
        <v>7</v>
      </c>
      <c r="D3476">
        <v>13</v>
      </c>
    </row>
    <row r="3477" spans="2:4" x14ac:dyDescent="0.25">
      <c r="B3477" t="s">
        <v>1098</v>
      </c>
      <c r="C3477">
        <v>7</v>
      </c>
      <c r="D3477">
        <v>14</v>
      </c>
    </row>
    <row r="3478" spans="2:4" x14ac:dyDescent="0.25">
      <c r="B3478" t="s">
        <v>1098</v>
      </c>
      <c r="C3478">
        <v>8</v>
      </c>
      <c r="D3478">
        <v>6</v>
      </c>
    </row>
    <row r="3479" spans="2:4" x14ac:dyDescent="0.25">
      <c r="B3479" t="s">
        <v>1098</v>
      </c>
      <c r="C3479">
        <v>8</v>
      </c>
      <c r="D3479">
        <v>8</v>
      </c>
    </row>
    <row r="3480" spans="2:4" x14ac:dyDescent="0.25">
      <c r="B3480" t="s">
        <v>1098</v>
      </c>
      <c r="C3480">
        <v>8</v>
      </c>
      <c r="D3480">
        <v>13</v>
      </c>
    </row>
    <row r="3481" spans="2:4" x14ac:dyDescent="0.25">
      <c r="B3481" t="s">
        <v>1098</v>
      </c>
      <c r="C3481">
        <v>8</v>
      </c>
      <c r="D3481">
        <v>14</v>
      </c>
    </row>
    <row r="3482" spans="2:4" x14ac:dyDescent="0.25">
      <c r="B3482" t="s">
        <v>1098</v>
      </c>
      <c r="C3482">
        <v>9</v>
      </c>
      <c r="D3482">
        <v>6</v>
      </c>
    </row>
    <row r="3483" spans="2:4" x14ac:dyDescent="0.25">
      <c r="B3483" t="s">
        <v>1098</v>
      </c>
      <c r="C3483">
        <v>9</v>
      </c>
      <c r="D3483">
        <v>8</v>
      </c>
    </row>
    <row r="3484" spans="2:4" x14ac:dyDescent="0.25">
      <c r="B3484" t="s">
        <v>1098</v>
      </c>
      <c r="C3484">
        <v>9</v>
      </c>
      <c r="D3484">
        <v>13</v>
      </c>
    </row>
    <row r="3485" spans="2:4" x14ac:dyDescent="0.25">
      <c r="B3485" t="s">
        <v>1098</v>
      </c>
      <c r="C3485">
        <v>9</v>
      </c>
      <c r="D3485">
        <v>14</v>
      </c>
    </row>
    <row r="3486" spans="2:4" x14ac:dyDescent="0.25">
      <c r="B3486" t="s">
        <v>1098</v>
      </c>
      <c r="C3486">
        <v>10</v>
      </c>
      <c r="D3486">
        <v>6</v>
      </c>
    </row>
    <row r="3487" spans="2:4" x14ac:dyDescent="0.25">
      <c r="B3487" t="s">
        <v>1098</v>
      </c>
      <c r="C3487">
        <v>10</v>
      </c>
      <c r="D3487">
        <v>8</v>
      </c>
    </row>
    <row r="3488" spans="2:4" x14ac:dyDescent="0.25">
      <c r="B3488" t="s">
        <v>1098</v>
      </c>
      <c r="C3488">
        <v>10</v>
      </c>
      <c r="D3488">
        <v>13</v>
      </c>
    </row>
    <row r="3489" spans="2:4" x14ac:dyDescent="0.25">
      <c r="B3489" t="s">
        <v>1098</v>
      </c>
      <c r="C3489">
        <v>10</v>
      </c>
      <c r="D3489">
        <v>14</v>
      </c>
    </row>
    <row r="3490" spans="2:4" x14ac:dyDescent="0.25">
      <c r="B3490" t="s">
        <v>1098</v>
      </c>
      <c r="C3490">
        <v>11</v>
      </c>
      <c r="D3490">
        <v>6</v>
      </c>
    </row>
    <row r="3491" spans="2:4" x14ac:dyDescent="0.25">
      <c r="B3491" t="s">
        <v>1098</v>
      </c>
      <c r="C3491">
        <v>11</v>
      </c>
      <c r="D3491">
        <v>8</v>
      </c>
    </row>
    <row r="3492" spans="2:4" x14ac:dyDescent="0.25">
      <c r="B3492" t="s">
        <v>1098</v>
      </c>
      <c r="C3492">
        <v>11</v>
      </c>
      <c r="D3492">
        <v>13</v>
      </c>
    </row>
    <row r="3493" spans="2:4" x14ac:dyDescent="0.25">
      <c r="B3493" t="s">
        <v>1098</v>
      </c>
      <c r="C3493">
        <v>11</v>
      </c>
      <c r="D3493">
        <v>14</v>
      </c>
    </row>
    <row r="3494" spans="2:4" x14ac:dyDescent="0.25">
      <c r="B3494" t="s">
        <v>1098</v>
      </c>
      <c r="C3494">
        <v>12</v>
      </c>
      <c r="D3494">
        <v>6</v>
      </c>
    </row>
    <row r="3495" spans="2:4" x14ac:dyDescent="0.25">
      <c r="B3495" t="s">
        <v>1098</v>
      </c>
      <c r="C3495">
        <v>12</v>
      </c>
      <c r="D3495">
        <v>8</v>
      </c>
    </row>
    <row r="3496" spans="2:4" x14ac:dyDescent="0.25">
      <c r="B3496" t="s">
        <v>1098</v>
      </c>
      <c r="C3496">
        <v>12</v>
      </c>
      <c r="D3496">
        <v>13</v>
      </c>
    </row>
    <row r="3497" spans="2:4" x14ac:dyDescent="0.25">
      <c r="B3497" t="s">
        <v>1098</v>
      </c>
      <c r="C3497">
        <v>12</v>
      </c>
      <c r="D3497">
        <v>14</v>
      </c>
    </row>
    <row r="3498" spans="2:4" x14ac:dyDescent="0.25">
      <c r="B3498" t="s">
        <v>1098</v>
      </c>
      <c r="C3498">
        <v>13</v>
      </c>
      <c r="D3498">
        <v>6</v>
      </c>
    </row>
    <row r="3499" spans="2:4" x14ac:dyDescent="0.25">
      <c r="B3499" t="s">
        <v>1098</v>
      </c>
      <c r="C3499">
        <v>13</v>
      </c>
      <c r="D3499">
        <v>8</v>
      </c>
    </row>
    <row r="3500" spans="2:4" x14ac:dyDescent="0.25">
      <c r="B3500" t="s">
        <v>1098</v>
      </c>
      <c r="C3500">
        <v>13</v>
      </c>
      <c r="D3500">
        <v>13</v>
      </c>
    </row>
    <row r="3501" spans="2:4" x14ac:dyDescent="0.25">
      <c r="B3501" t="s">
        <v>1098</v>
      </c>
      <c r="C3501">
        <v>13</v>
      </c>
      <c r="D3501">
        <v>14</v>
      </c>
    </row>
    <row r="3502" spans="2:4" x14ac:dyDescent="0.25">
      <c r="B3502" t="s">
        <v>1098</v>
      </c>
      <c r="C3502">
        <v>15</v>
      </c>
      <c r="D3502">
        <v>6</v>
      </c>
    </row>
    <row r="3503" spans="2:4" x14ac:dyDescent="0.25">
      <c r="B3503" t="s">
        <v>1098</v>
      </c>
      <c r="C3503">
        <v>15</v>
      </c>
      <c r="D3503">
        <v>8</v>
      </c>
    </row>
    <row r="3504" spans="2:4" x14ac:dyDescent="0.25">
      <c r="B3504" t="s">
        <v>1098</v>
      </c>
      <c r="C3504">
        <v>15</v>
      </c>
      <c r="D3504">
        <v>13</v>
      </c>
    </row>
    <row r="3505" spans="2:4" x14ac:dyDescent="0.25">
      <c r="B3505" t="s">
        <v>1098</v>
      </c>
      <c r="C3505">
        <v>15</v>
      </c>
      <c r="D3505">
        <v>14</v>
      </c>
    </row>
    <row r="3506" spans="2:4" x14ac:dyDescent="0.25">
      <c r="B3506" t="s">
        <v>1098</v>
      </c>
      <c r="C3506">
        <v>16</v>
      </c>
      <c r="D3506">
        <v>6</v>
      </c>
    </row>
    <row r="3507" spans="2:4" x14ac:dyDescent="0.25">
      <c r="B3507" t="s">
        <v>1098</v>
      </c>
      <c r="C3507">
        <v>16</v>
      </c>
      <c r="D3507">
        <v>8</v>
      </c>
    </row>
    <row r="3508" spans="2:4" x14ac:dyDescent="0.25">
      <c r="B3508" t="s">
        <v>1098</v>
      </c>
      <c r="C3508">
        <v>16</v>
      </c>
      <c r="D3508">
        <v>13</v>
      </c>
    </row>
    <row r="3509" spans="2:4" x14ac:dyDescent="0.25">
      <c r="B3509" t="s">
        <v>1098</v>
      </c>
      <c r="C3509">
        <v>16</v>
      </c>
      <c r="D3509">
        <v>14</v>
      </c>
    </row>
    <row r="3510" spans="2:4" x14ac:dyDescent="0.25">
      <c r="B3510" t="s">
        <v>1098</v>
      </c>
      <c r="C3510">
        <v>17</v>
      </c>
      <c r="D3510">
        <v>6</v>
      </c>
    </row>
    <row r="3511" spans="2:4" x14ac:dyDescent="0.25">
      <c r="B3511" t="s">
        <v>1098</v>
      </c>
      <c r="C3511">
        <v>17</v>
      </c>
      <c r="D3511">
        <v>8</v>
      </c>
    </row>
    <row r="3512" spans="2:4" x14ac:dyDescent="0.25">
      <c r="B3512" t="s">
        <v>1098</v>
      </c>
      <c r="C3512">
        <v>17</v>
      </c>
      <c r="D3512">
        <v>13</v>
      </c>
    </row>
    <row r="3513" spans="2:4" x14ac:dyDescent="0.25">
      <c r="B3513" t="s">
        <v>1098</v>
      </c>
      <c r="C3513">
        <v>17</v>
      </c>
      <c r="D3513">
        <v>14</v>
      </c>
    </row>
    <row r="3514" spans="2:4" x14ac:dyDescent="0.25">
      <c r="B3514" t="s">
        <v>1098</v>
      </c>
      <c r="C3514">
        <v>18</v>
      </c>
      <c r="D3514">
        <v>6</v>
      </c>
    </row>
    <row r="3515" spans="2:4" x14ac:dyDescent="0.25">
      <c r="B3515" t="s">
        <v>1098</v>
      </c>
      <c r="C3515">
        <v>18</v>
      </c>
      <c r="D3515">
        <v>8</v>
      </c>
    </row>
    <row r="3516" spans="2:4" x14ac:dyDescent="0.25">
      <c r="B3516" t="s">
        <v>1098</v>
      </c>
      <c r="C3516">
        <v>18</v>
      </c>
      <c r="D3516">
        <v>13</v>
      </c>
    </row>
    <row r="3517" spans="2:4" x14ac:dyDescent="0.25">
      <c r="B3517" t="s">
        <v>1098</v>
      </c>
      <c r="C3517">
        <v>18</v>
      </c>
      <c r="D3517">
        <v>14</v>
      </c>
    </row>
    <row r="3518" spans="2:4" x14ac:dyDescent="0.25">
      <c r="B3518" t="s">
        <v>1098</v>
      </c>
      <c r="C3518">
        <v>19</v>
      </c>
      <c r="D3518">
        <v>6</v>
      </c>
    </row>
    <row r="3519" spans="2:4" x14ac:dyDescent="0.25">
      <c r="B3519" t="s">
        <v>1098</v>
      </c>
      <c r="C3519">
        <v>19</v>
      </c>
      <c r="D3519">
        <v>8</v>
      </c>
    </row>
    <row r="3520" spans="2:4" x14ac:dyDescent="0.25">
      <c r="B3520" t="s">
        <v>1098</v>
      </c>
      <c r="C3520">
        <v>19</v>
      </c>
      <c r="D3520">
        <v>13</v>
      </c>
    </row>
    <row r="3521" spans="2:4" x14ac:dyDescent="0.25">
      <c r="B3521" t="s">
        <v>1098</v>
      </c>
      <c r="C3521">
        <v>19</v>
      </c>
      <c r="D3521">
        <v>14</v>
      </c>
    </row>
    <row r="3522" spans="2:4" x14ac:dyDescent="0.25">
      <c r="B3522" t="s">
        <v>1098</v>
      </c>
      <c r="C3522">
        <v>20</v>
      </c>
      <c r="D3522">
        <v>6</v>
      </c>
    </row>
    <row r="3523" spans="2:4" x14ac:dyDescent="0.25">
      <c r="B3523" t="s">
        <v>1098</v>
      </c>
      <c r="C3523">
        <v>20</v>
      </c>
      <c r="D3523">
        <v>8</v>
      </c>
    </row>
    <row r="3524" spans="2:4" x14ac:dyDescent="0.25">
      <c r="B3524" t="s">
        <v>1098</v>
      </c>
      <c r="C3524">
        <v>20</v>
      </c>
      <c r="D3524">
        <v>13</v>
      </c>
    </row>
    <row r="3525" spans="2:4" x14ac:dyDescent="0.25">
      <c r="B3525" t="s">
        <v>1098</v>
      </c>
      <c r="C3525">
        <v>20</v>
      </c>
      <c r="D3525">
        <v>14</v>
      </c>
    </row>
    <row r="3526" spans="2:4" x14ac:dyDescent="0.25">
      <c r="B3526" t="s">
        <v>1098</v>
      </c>
      <c r="C3526">
        <v>21</v>
      </c>
      <c r="D3526">
        <v>6</v>
      </c>
    </row>
    <row r="3527" spans="2:4" x14ac:dyDescent="0.25">
      <c r="B3527" t="s">
        <v>1098</v>
      </c>
      <c r="C3527">
        <v>21</v>
      </c>
      <c r="D3527">
        <v>8</v>
      </c>
    </row>
    <row r="3528" spans="2:4" x14ac:dyDescent="0.25">
      <c r="B3528" t="s">
        <v>1098</v>
      </c>
      <c r="C3528">
        <v>21</v>
      </c>
      <c r="D3528">
        <v>13</v>
      </c>
    </row>
    <row r="3529" spans="2:4" x14ac:dyDescent="0.25">
      <c r="B3529" t="s">
        <v>1098</v>
      </c>
      <c r="C3529">
        <v>21</v>
      </c>
      <c r="D3529">
        <v>14</v>
      </c>
    </row>
    <row r="3530" spans="2:4" x14ac:dyDescent="0.25">
      <c r="B3530" t="s">
        <v>1098</v>
      </c>
      <c r="C3530">
        <v>23</v>
      </c>
      <c r="D3530">
        <v>6</v>
      </c>
    </row>
    <row r="3531" spans="2:4" x14ac:dyDescent="0.25">
      <c r="B3531" t="s">
        <v>1098</v>
      </c>
      <c r="C3531">
        <v>23</v>
      </c>
      <c r="D3531">
        <v>8</v>
      </c>
    </row>
    <row r="3532" spans="2:4" x14ac:dyDescent="0.25">
      <c r="B3532" t="s">
        <v>1098</v>
      </c>
      <c r="C3532">
        <v>23</v>
      </c>
      <c r="D3532">
        <v>13</v>
      </c>
    </row>
    <row r="3533" spans="2:4" x14ac:dyDescent="0.25">
      <c r="B3533" t="s">
        <v>1098</v>
      </c>
      <c r="C3533">
        <v>23</v>
      </c>
      <c r="D3533">
        <v>14</v>
      </c>
    </row>
    <row r="3534" spans="2:4" x14ac:dyDescent="0.25">
      <c r="B3534" t="s">
        <v>1098</v>
      </c>
      <c r="C3534">
        <v>24</v>
      </c>
      <c r="D3534">
        <v>6</v>
      </c>
    </row>
    <row r="3535" spans="2:4" x14ac:dyDescent="0.25">
      <c r="B3535" t="s">
        <v>1098</v>
      </c>
      <c r="C3535">
        <v>24</v>
      </c>
      <c r="D3535">
        <v>8</v>
      </c>
    </row>
    <row r="3536" spans="2:4" x14ac:dyDescent="0.25">
      <c r="B3536" t="s">
        <v>1098</v>
      </c>
      <c r="C3536">
        <v>24</v>
      </c>
      <c r="D3536">
        <v>13</v>
      </c>
    </row>
    <row r="3537" spans="2:4" x14ac:dyDescent="0.25">
      <c r="B3537" t="s">
        <v>1098</v>
      </c>
      <c r="C3537">
        <v>24</v>
      </c>
      <c r="D3537">
        <v>14</v>
      </c>
    </row>
    <row r="3538" spans="2:4" x14ac:dyDescent="0.25">
      <c r="B3538" t="s">
        <v>1098</v>
      </c>
      <c r="C3538">
        <v>25</v>
      </c>
      <c r="D3538">
        <v>6</v>
      </c>
    </row>
    <row r="3539" spans="2:4" x14ac:dyDescent="0.25">
      <c r="B3539" t="s">
        <v>1098</v>
      </c>
      <c r="C3539">
        <v>25</v>
      </c>
      <c r="D3539">
        <v>8</v>
      </c>
    </row>
    <row r="3540" spans="2:4" x14ac:dyDescent="0.25">
      <c r="B3540" t="s">
        <v>1098</v>
      </c>
      <c r="C3540">
        <v>25</v>
      </c>
      <c r="D3540">
        <v>13</v>
      </c>
    </row>
    <row r="3541" spans="2:4" x14ac:dyDescent="0.25">
      <c r="B3541" t="s">
        <v>1098</v>
      </c>
      <c r="C3541">
        <v>25</v>
      </c>
      <c r="D3541">
        <v>14</v>
      </c>
    </row>
    <row r="3542" spans="2:4" x14ac:dyDescent="0.25">
      <c r="B3542" t="s">
        <v>1098</v>
      </c>
      <c r="C3542">
        <v>26</v>
      </c>
      <c r="D3542">
        <v>6</v>
      </c>
    </row>
    <row r="3543" spans="2:4" x14ac:dyDescent="0.25">
      <c r="B3543" t="s">
        <v>1098</v>
      </c>
      <c r="C3543">
        <v>26</v>
      </c>
      <c r="D3543">
        <v>8</v>
      </c>
    </row>
    <row r="3544" spans="2:4" x14ac:dyDescent="0.25">
      <c r="B3544" t="s">
        <v>1098</v>
      </c>
      <c r="C3544">
        <v>26</v>
      </c>
      <c r="D3544">
        <v>13</v>
      </c>
    </row>
    <row r="3545" spans="2:4" x14ac:dyDescent="0.25">
      <c r="B3545" t="s">
        <v>1098</v>
      </c>
      <c r="C3545">
        <v>26</v>
      </c>
      <c r="D3545">
        <v>14</v>
      </c>
    </row>
    <row r="3546" spans="2:4" x14ac:dyDescent="0.25">
      <c r="B3546" t="s">
        <v>1098</v>
      </c>
      <c r="C3546">
        <v>27</v>
      </c>
      <c r="D3546">
        <v>6</v>
      </c>
    </row>
    <row r="3547" spans="2:4" x14ac:dyDescent="0.25">
      <c r="B3547" t="s">
        <v>1098</v>
      </c>
      <c r="C3547">
        <v>27</v>
      </c>
      <c r="D3547">
        <v>8</v>
      </c>
    </row>
    <row r="3548" spans="2:4" x14ac:dyDescent="0.25">
      <c r="B3548" t="s">
        <v>1098</v>
      </c>
      <c r="C3548">
        <v>27</v>
      </c>
      <c r="D3548">
        <v>13</v>
      </c>
    </row>
    <row r="3549" spans="2:4" x14ac:dyDescent="0.25">
      <c r="B3549" t="s">
        <v>1098</v>
      </c>
      <c r="C3549">
        <v>27</v>
      </c>
      <c r="D3549">
        <v>14</v>
      </c>
    </row>
    <row r="3550" spans="2:4" x14ac:dyDescent="0.25">
      <c r="B3550" t="s">
        <v>1098</v>
      </c>
      <c r="C3550">
        <v>28</v>
      </c>
      <c r="D3550">
        <v>6</v>
      </c>
    </row>
    <row r="3551" spans="2:4" x14ac:dyDescent="0.25">
      <c r="B3551" t="s">
        <v>1098</v>
      </c>
      <c r="C3551">
        <v>28</v>
      </c>
      <c r="D3551">
        <v>8</v>
      </c>
    </row>
    <row r="3552" spans="2:4" x14ac:dyDescent="0.25">
      <c r="B3552" t="s">
        <v>1098</v>
      </c>
      <c r="C3552">
        <v>28</v>
      </c>
      <c r="D3552">
        <v>13</v>
      </c>
    </row>
    <row r="3553" spans="2:4" x14ac:dyDescent="0.25">
      <c r="B3553" t="s">
        <v>1098</v>
      </c>
      <c r="C3553">
        <v>28</v>
      </c>
      <c r="D3553">
        <v>14</v>
      </c>
    </row>
    <row r="3554" spans="2:4" x14ac:dyDescent="0.25">
      <c r="B3554" t="s">
        <v>1098</v>
      </c>
      <c r="C3554">
        <v>29</v>
      </c>
      <c r="D3554">
        <v>6</v>
      </c>
    </row>
    <row r="3555" spans="2:4" x14ac:dyDescent="0.25">
      <c r="B3555" t="s">
        <v>1098</v>
      </c>
      <c r="C3555">
        <v>29</v>
      </c>
      <c r="D3555">
        <v>8</v>
      </c>
    </row>
    <row r="3556" spans="2:4" x14ac:dyDescent="0.25">
      <c r="B3556" t="s">
        <v>1098</v>
      </c>
      <c r="C3556">
        <v>29</v>
      </c>
      <c r="D3556">
        <v>13</v>
      </c>
    </row>
    <row r="3557" spans="2:4" x14ac:dyDescent="0.25">
      <c r="B3557" t="s">
        <v>1098</v>
      </c>
      <c r="C3557">
        <v>29</v>
      </c>
      <c r="D3557">
        <v>14</v>
      </c>
    </row>
    <row r="3558" spans="2:4" x14ac:dyDescent="0.25">
      <c r="B3558" t="s">
        <v>1098</v>
      </c>
      <c r="C3558">
        <v>31</v>
      </c>
      <c r="D3558">
        <v>6</v>
      </c>
    </row>
    <row r="3559" spans="2:4" x14ac:dyDescent="0.25">
      <c r="B3559" t="s">
        <v>1098</v>
      </c>
      <c r="C3559">
        <v>31</v>
      </c>
      <c r="D3559">
        <v>8</v>
      </c>
    </row>
    <row r="3560" spans="2:4" x14ac:dyDescent="0.25">
      <c r="B3560" t="s">
        <v>1098</v>
      </c>
      <c r="C3560">
        <v>31</v>
      </c>
      <c r="D3560">
        <v>13</v>
      </c>
    </row>
    <row r="3561" spans="2:4" x14ac:dyDescent="0.25">
      <c r="B3561" t="s">
        <v>1098</v>
      </c>
      <c r="C3561">
        <v>31</v>
      </c>
      <c r="D3561">
        <v>14</v>
      </c>
    </row>
    <row r="3562" spans="2:4" x14ac:dyDescent="0.25">
      <c r="B3562" t="s">
        <v>1098</v>
      </c>
      <c r="C3562">
        <v>33</v>
      </c>
      <c r="D3562">
        <v>6</v>
      </c>
    </row>
    <row r="3563" spans="2:4" x14ac:dyDescent="0.25">
      <c r="B3563" t="s">
        <v>1098</v>
      </c>
      <c r="C3563">
        <v>33</v>
      </c>
      <c r="D3563">
        <v>8</v>
      </c>
    </row>
    <row r="3564" spans="2:4" x14ac:dyDescent="0.25">
      <c r="B3564" t="s">
        <v>1098</v>
      </c>
      <c r="C3564">
        <v>33</v>
      </c>
      <c r="D3564">
        <v>13</v>
      </c>
    </row>
    <row r="3565" spans="2:4" x14ac:dyDescent="0.25">
      <c r="B3565" t="s">
        <v>1098</v>
      </c>
      <c r="C3565">
        <v>33</v>
      </c>
      <c r="D3565">
        <v>14</v>
      </c>
    </row>
    <row r="3566" spans="2:4" x14ac:dyDescent="0.25">
      <c r="B3566" t="s">
        <v>1098</v>
      </c>
      <c r="C3566">
        <v>35</v>
      </c>
      <c r="D3566">
        <v>6</v>
      </c>
    </row>
    <row r="3567" spans="2:4" x14ac:dyDescent="0.25">
      <c r="B3567" t="s">
        <v>1098</v>
      </c>
      <c r="C3567">
        <v>35</v>
      </c>
      <c r="D3567">
        <v>8</v>
      </c>
    </row>
    <row r="3568" spans="2:4" x14ac:dyDescent="0.25">
      <c r="B3568" t="s">
        <v>1098</v>
      </c>
      <c r="C3568">
        <v>35</v>
      </c>
      <c r="D3568">
        <v>13</v>
      </c>
    </row>
    <row r="3569" spans="2:4" x14ac:dyDescent="0.25">
      <c r="B3569" t="s">
        <v>1098</v>
      </c>
      <c r="C3569">
        <v>35</v>
      </c>
      <c r="D3569">
        <v>14</v>
      </c>
    </row>
    <row r="3570" spans="2:4" x14ac:dyDescent="0.25">
      <c r="B3570" t="s">
        <v>1098</v>
      </c>
      <c r="C3570">
        <v>36</v>
      </c>
      <c r="D3570">
        <v>6</v>
      </c>
    </row>
    <row r="3571" spans="2:4" x14ac:dyDescent="0.25">
      <c r="B3571" t="s">
        <v>1098</v>
      </c>
      <c r="C3571">
        <v>36</v>
      </c>
      <c r="D3571">
        <v>8</v>
      </c>
    </row>
    <row r="3572" spans="2:4" x14ac:dyDescent="0.25">
      <c r="B3572" t="s">
        <v>1098</v>
      </c>
      <c r="C3572">
        <v>36</v>
      </c>
      <c r="D3572">
        <v>13</v>
      </c>
    </row>
    <row r="3573" spans="2:4" x14ac:dyDescent="0.25">
      <c r="B3573" t="s">
        <v>1098</v>
      </c>
      <c r="C3573">
        <v>36</v>
      </c>
      <c r="D3573">
        <v>14</v>
      </c>
    </row>
    <row r="3574" spans="2:4" x14ac:dyDescent="0.25">
      <c r="B3574" t="s">
        <v>1098</v>
      </c>
      <c r="C3574">
        <v>37</v>
      </c>
      <c r="D3574">
        <v>6</v>
      </c>
    </row>
    <row r="3575" spans="2:4" x14ac:dyDescent="0.25">
      <c r="B3575" t="s">
        <v>1098</v>
      </c>
      <c r="C3575">
        <v>37</v>
      </c>
      <c r="D3575">
        <v>8</v>
      </c>
    </row>
    <row r="3576" spans="2:4" x14ac:dyDescent="0.25">
      <c r="B3576" t="s">
        <v>1098</v>
      </c>
      <c r="C3576">
        <v>37</v>
      </c>
      <c r="D3576">
        <v>13</v>
      </c>
    </row>
    <row r="3577" spans="2:4" x14ac:dyDescent="0.25">
      <c r="B3577" t="s">
        <v>1098</v>
      </c>
      <c r="C3577">
        <v>37</v>
      </c>
      <c r="D3577">
        <v>14</v>
      </c>
    </row>
    <row r="3578" spans="2:4" x14ac:dyDescent="0.25">
      <c r="B3578" t="s">
        <v>1098</v>
      </c>
      <c r="C3578">
        <v>38</v>
      </c>
      <c r="D3578">
        <v>6</v>
      </c>
    </row>
    <row r="3579" spans="2:4" x14ac:dyDescent="0.25">
      <c r="B3579" t="s">
        <v>1098</v>
      </c>
      <c r="C3579">
        <v>38</v>
      </c>
      <c r="D3579">
        <v>8</v>
      </c>
    </row>
    <row r="3580" spans="2:4" x14ac:dyDescent="0.25">
      <c r="B3580" t="s">
        <v>1098</v>
      </c>
      <c r="C3580">
        <v>38</v>
      </c>
      <c r="D3580">
        <v>13</v>
      </c>
    </row>
    <row r="3581" spans="2:4" x14ac:dyDescent="0.25">
      <c r="B3581" t="s">
        <v>1098</v>
      </c>
      <c r="C3581">
        <v>38</v>
      </c>
      <c r="D3581">
        <v>14</v>
      </c>
    </row>
    <row r="3582" spans="2:4" x14ac:dyDescent="0.25">
      <c r="B3582" t="s">
        <v>1098</v>
      </c>
      <c r="C3582">
        <v>39</v>
      </c>
      <c r="D3582">
        <v>6</v>
      </c>
    </row>
    <row r="3583" spans="2:4" x14ac:dyDescent="0.25">
      <c r="B3583" t="s">
        <v>1098</v>
      </c>
      <c r="C3583">
        <v>39</v>
      </c>
      <c r="D3583">
        <v>8</v>
      </c>
    </row>
    <row r="3584" spans="2:4" x14ac:dyDescent="0.25">
      <c r="B3584" t="s">
        <v>1098</v>
      </c>
      <c r="C3584">
        <v>39</v>
      </c>
      <c r="D3584">
        <v>13</v>
      </c>
    </row>
    <row r="3585" spans="2:4" x14ac:dyDescent="0.25">
      <c r="B3585" t="s">
        <v>1098</v>
      </c>
      <c r="C3585">
        <v>39</v>
      </c>
      <c r="D3585">
        <v>14</v>
      </c>
    </row>
    <row r="3586" spans="2:4" x14ac:dyDescent="0.25">
      <c r="B3586" t="s">
        <v>1098</v>
      </c>
      <c r="C3586">
        <v>40</v>
      </c>
      <c r="D3586">
        <v>6</v>
      </c>
    </row>
    <row r="3587" spans="2:4" x14ac:dyDescent="0.25">
      <c r="B3587" t="s">
        <v>1098</v>
      </c>
      <c r="C3587">
        <v>40</v>
      </c>
      <c r="D3587">
        <v>8</v>
      </c>
    </row>
    <row r="3588" spans="2:4" x14ac:dyDescent="0.25">
      <c r="B3588" t="s">
        <v>1098</v>
      </c>
      <c r="C3588">
        <v>40</v>
      </c>
      <c r="D3588">
        <v>13</v>
      </c>
    </row>
    <row r="3589" spans="2:4" x14ac:dyDescent="0.25">
      <c r="B3589" t="s">
        <v>1098</v>
      </c>
      <c r="C3589">
        <v>40</v>
      </c>
      <c r="D3589">
        <v>14</v>
      </c>
    </row>
    <row r="3590" spans="2:4" x14ac:dyDescent="0.25">
      <c r="B3590" t="s">
        <v>1098</v>
      </c>
      <c r="C3590">
        <v>41</v>
      </c>
      <c r="D3590">
        <v>6</v>
      </c>
    </row>
    <row r="3591" spans="2:4" x14ac:dyDescent="0.25">
      <c r="B3591" t="s">
        <v>1098</v>
      </c>
      <c r="C3591">
        <v>41</v>
      </c>
      <c r="D3591">
        <v>8</v>
      </c>
    </row>
    <row r="3592" spans="2:4" x14ac:dyDescent="0.25">
      <c r="B3592" t="s">
        <v>1098</v>
      </c>
      <c r="C3592">
        <v>41</v>
      </c>
      <c r="D3592">
        <v>13</v>
      </c>
    </row>
    <row r="3593" spans="2:4" x14ac:dyDescent="0.25">
      <c r="B3593" t="s">
        <v>1098</v>
      </c>
      <c r="C3593">
        <v>41</v>
      </c>
      <c r="D3593">
        <v>14</v>
      </c>
    </row>
    <row r="3594" spans="2:4" x14ac:dyDescent="0.25">
      <c r="B3594" t="s">
        <v>1098</v>
      </c>
      <c r="C3594">
        <v>43</v>
      </c>
      <c r="D3594">
        <v>6</v>
      </c>
    </row>
    <row r="3595" spans="2:4" x14ac:dyDescent="0.25">
      <c r="B3595" t="s">
        <v>1098</v>
      </c>
      <c r="C3595">
        <v>43</v>
      </c>
      <c r="D3595">
        <v>8</v>
      </c>
    </row>
    <row r="3596" spans="2:4" x14ac:dyDescent="0.25">
      <c r="B3596" t="s">
        <v>1098</v>
      </c>
      <c r="C3596">
        <v>43</v>
      </c>
      <c r="D3596">
        <v>13</v>
      </c>
    </row>
    <row r="3597" spans="2:4" x14ac:dyDescent="0.25">
      <c r="B3597" t="s">
        <v>1098</v>
      </c>
      <c r="C3597">
        <v>43</v>
      </c>
      <c r="D3597">
        <v>14</v>
      </c>
    </row>
    <row r="3598" spans="2:4" x14ac:dyDescent="0.25">
      <c r="B3598" t="s">
        <v>1098</v>
      </c>
      <c r="C3598">
        <v>44</v>
      </c>
      <c r="D3598">
        <v>6</v>
      </c>
    </row>
    <row r="3599" spans="2:4" x14ac:dyDescent="0.25">
      <c r="B3599" t="s">
        <v>1098</v>
      </c>
      <c r="C3599">
        <v>44</v>
      </c>
      <c r="D3599">
        <v>8</v>
      </c>
    </row>
    <row r="3600" spans="2:4" x14ac:dyDescent="0.25">
      <c r="B3600" t="s">
        <v>1098</v>
      </c>
      <c r="C3600">
        <v>44</v>
      </c>
      <c r="D3600">
        <v>13</v>
      </c>
    </row>
    <row r="3601" spans="2:4" x14ac:dyDescent="0.25">
      <c r="B3601" t="s">
        <v>1098</v>
      </c>
      <c r="C3601">
        <v>44</v>
      </c>
      <c r="D3601">
        <v>14</v>
      </c>
    </row>
    <row r="3602" spans="2:4" x14ac:dyDescent="0.25">
      <c r="B3602" t="s">
        <v>1098</v>
      </c>
      <c r="C3602">
        <v>45</v>
      </c>
      <c r="D3602">
        <v>6</v>
      </c>
    </row>
    <row r="3603" spans="2:4" x14ac:dyDescent="0.25">
      <c r="B3603" t="s">
        <v>1098</v>
      </c>
      <c r="C3603">
        <v>45</v>
      </c>
      <c r="D3603">
        <v>8</v>
      </c>
    </row>
    <row r="3604" spans="2:4" x14ac:dyDescent="0.25">
      <c r="B3604" t="s">
        <v>1098</v>
      </c>
      <c r="C3604">
        <v>45</v>
      </c>
      <c r="D3604">
        <v>13</v>
      </c>
    </row>
    <row r="3605" spans="2:4" x14ac:dyDescent="0.25">
      <c r="B3605" t="s">
        <v>1098</v>
      </c>
      <c r="C3605">
        <v>45</v>
      </c>
      <c r="D3605">
        <v>14</v>
      </c>
    </row>
    <row r="3606" spans="2:4" x14ac:dyDescent="0.25">
      <c r="B3606" t="s">
        <v>1098</v>
      </c>
      <c r="C3606">
        <v>47</v>
      </c>
      <c r="D3606">
        <v>6</v>
      </c>
    </row>
    <row r="3607" spans="2:4" x14ac:dyDescent="0.25">
      <c r="B3607" t="s">
        <v>1098</v>
      </c>
      <c r="C3607">
        <v>47</v>
      </c>
      <c r="D3607">
        <v>8</v>
      </c>
    </row>
    <row r="3608" spans="2:4" x14ac:dyDescent="0.25">
      <c r="B3608" t="s">
        <v>1098</v>
      </c>
      <c r="C3608">
        <v>47</v>
      </c>
      <c r="D3608">
        <v>13</v>
      </c>
    </row>
    <row r="3609" spans="2:4" x14ac:dyDescent="0.25">
      <c r="B3609" t="s">
        <v>1098</v>
      </c>
      <c r="C3609">
        <v>47</v>
      </c>
      <c r="D3609">
        <v>14</v>
      </c>
    </row>
    <row r="3610" spans="2:4" x14ac:dyDescent="0.25">
      <c r="B3610" t="s">
        <v>1098</v>
      </c>
      <c r="C3610">
        <v>48</v>
      </c>
      <c r="D3610">
        <v>6</v>
      </c>
    </row>
    <row r="3611" spans="2:4" x14ac:dyDescent="0.25">
      <c r="B3611" t="s">
        <v>1098</v>
      </c>
      <c r="C3611">
        <v>48</v>
      </c>
      <c r="D3611">
        <v>8</v>
      </c>
    </row>
    <row r="3612" spans="2:4" x14ac:dyDescent="0.25">
      <c r="B3612" t="s">
        <v>1098</v>
      </c>
      <c r="C3612">
        <v>48</v>
      </c>
      <c r="D3612">
        <v>13</v>
      </c>
    </row>
    <row r="3613" spans="2:4" x14ac:dyDescent="0.25">
      <c r="B3613" t="s">
        <v>1098</v>
      </c>
      <c r="C3613">
        <v>48</v>
      </c>
      <c r="D3613">
        <v>14</v>
      </c>
    </row>
    <row r="3614" spans="2:4" x14ac:dyDescent="0.25">
      <c r="B3614" t="s">
        <v>1098</v>
      </c>
      <c r="C3614">
        <v>49</v>
      </c>
      <c r="D3614">
        <v>6</v>
      </c>
    </row>
    <row r="3615" spans="2:4" x14ac:dyDescent="0.25">
      <c r="B3615" t="s">
        <v>1098</v>
      </c>
      <c r="C3615">
        <v>49</v>
      </c>
      <c r="D3615">
        <v>8</v>
      </c>
    </row>
    <row r="3616" spans="2:4" x14ac:dyDescent="0.25">
      <c r="B3616" t="s">
        <v>1098</v>
      </c>
      <c r="C3616">
        <v>49</v>
      </c>
      <c r="D3616">
        <v>13</v>
      </c>
    </row>
    <row r="3617" spans="2:4" x14ac:dyDescent="0.25">
      <c r="B3617" t="s">
        <v>1098</v>
      </c>
      <c r="C3617">
        <v>49</v>
      </c>
      <c r="D3617">
        <v>14</v>
      </c>
    </row>
    <row r="3618" spans="2:4" x14ac:dyDescent="0.25">
      <c r="B3618" t="s">
        <v>1098</v>
      </c>
      <c r="C3618">
        <v>50</v>
      </c>
      <c r="D3618">
        <v>6</v>
      </c>
    </row>
    <row r="3619" spans="2:4" x14ac:dyDescent="0.25">
      <c r="B3619" t="s">
        <v>1098</v>
      </c>
      <c r="C3619">
        <v>50</v>
      </c>
      <c r="D3619">
        <v>8</v>
      </c>
    </row>
    <row r="3620" spans="2:4" x14ac:dyDescent="0.25">
      <c r="B3620" t="s">
        <v>1098</v>
      </c>
      <c r="C3620">
        <v>50</v>
      </c>
      <c r="D3620">
        <v>13</v>
      </c>
    </row>
    <row r="3621" spans="2:4" x14ac:dyDescent="0.25">
      <c r="B3621" t="s">
        <v>1098</v>
      </c>
      <c r="C3621">
        <v>50</v>
      </c>
      <c r="D3621">
        <v>14</v>
      </c>
    </row>
    <row r="3622" spans="2:4" x14ac:dyDescent="0.25">
      <c r="B3622" t="s">
        <v>1098</v>
      </c>
      <c r="C3622">
        <v>52</v>
      </c>
      <c r="D3622">
        <v>6</v>
      </c>
    </row>
    <row r="3623" spans="2:4" x14ac:dyDescent="0.25">
      <c r="B3623" t="s">
        <v>1098</v>
      </c>
      <c r="C3623">
        <v>52</v>
      </c>
      <c r="D3623">
        <v>8</v>
      </c>
    </row>
    <row r="3624" spans="2:4" x14ac:dyDescent="0.25">
      <c r="B3624" t="s">
        <v>1098</v>
      </c>
      <c r="C3624">
        <v>52</v>
      </c>
      <c r="D3624">
        <v>13</v>
      </c>
    </row>
    <row r="3625" spans="2:4" x14ac:dyDescent="0.25">
      <c r="B3625" t="s">
        <v>1098</v>
      </c>
      <c r="C3625">
        <v>52</v>
      </c>
      <c r="D3625">
        <v>14</v>
      </c>
    </row>
    <row r="3626" spans="2:4" x14ac:dyDescent="0.25">
      <c r="B3626" t="s">
        <v>1098</v>
      </c>
      <c r="C3626">
        <v>53</v>
      </c>
      <c r="D3626">
        <v>6</v>
      </c>
    </row>
    <row r="3627" spans="2:4" x14ac:dyDescent="0.25">
      <c r="B3627" t="s">
        <v>1098</v>
      </c>
      <c r="C3627">
        <v>53</v>
      </c>
      <c r="D3627">
        <v>8</v>
      </c>
    </row>
    <row r="3628" spans="2:4" x14ac:dyDescent="0.25">
      <c r="B3628" t="s">
        <v>1098</v>
      </c>
      <c r="C3628">
        <v>53</v>
      </c>
      <c r="D3628">
        <v>13</v>
      </c>
    </row>
    <row r="3629" spans="2:4" x14ac:dyDescent="0.25">
      <c r="B3629" t="s">
        <v>1098</v>
      </c>
      <c r="C3629">
        <v>53</v>
      </c>
      <c r="D3629">
        <v>14</v>
      </c>
    </row>
    <row r="3630" spans="2:4" x14ac:dyDescent="0.25">
      <c r="B3630" t="s">
        <v>1098</v>
      </c>
      <c r="C3630">
        <v>54</v>
      </c>
      <c r="D3630">
        <v>6</v>
      </c>
    </row>
    <row r="3631" spans="2:4" x14ac:dyDescent="0.25">
      <c r="B3631" t="s">
        <v>1098</v>
      </c>
      <c r="C3631">
        <v>54</v>
      </c>
      <c r="D3631">
        <v>8</v>
      </c>
    </row>
    <row r="3632" spans="2:4" x14ac:dyDescent="0.25">
      <c r="B3632" t="s">
        <v>1098</v>
      </c>
      <c r="C3632">
        <v>54</v>
      </c>
      <c r="D3632">
        <v>13</v>
      </c>
    </row>
    <row r="3633" spans="2:4" x14ac:dyDescent="0.25">
      <c r="B3633" t="s">
        <v>1098</v>
      </c>
      <c r="C3633">
        <v>54</v>
      </c>
      <c r="D3633">
        <v>14</v>
      </c>
    </row>
    <row r="3634" spans="2:4" x14ac:dyDescent="0.25">
      <c r="B3634" t="s">
        <v>1098</v>
      </c>
      <c r="C3634">
        <v>55</v>
      </c>
      <c r="D3634">
        <v>6</v>
      </c>
    </row>
    <row r="3635" spans="2:4" x14ac:dyDescent="0.25">
      <c r="B3635" t="s">
        <v>1098</v>
      </c>
      <c r="C3635">
        <v>55</v>
      </c>
      <c r="D3635">
        <v>8</v>
      </c>
    </row>
    <row r="3636" spans="2:4" x14ac:dyDescent="0.25">
      <c r="B3636" t="s">
        <v>1098</v>
      </c>
      <c r="C3636">
        <v>55</v>
      </c>
      <c r="D3636">
        <v>13</v>
      </c>
    </row>
    <row r="3637" spans="2:4" x14ac:dyDescent="0.25">
      <c r="B3637" t="s">
        <v>1098</v>
      </c>
      <c r="C3637">
        <v>55</v>
      </c>
      <c r="D3637">
        <v>14</v>
      </c>
    </row>
    <row r="3638" spans="2:4" x14ac:dyDescent="0.25">
      <c r="B3638" t="s">
        <v>1098</v>
      </c>
      <c r="C3638">
        <v>56</v>
      </c>
      <c r="D3638">
        <v>6</v>
      </c>
    </row>
    <row r="3639" spans="2:4" x14ac:dyDescent="0.25">
      <c r="B3639" t="s">
        <v>1098</v>
      </c>
      <c r="C3639">
        <v>56</v>
      </c>
      <c r="D3639">
        <v>8</v>
      </c>
    </row>
    <row r="3640" spans="2:4" x14ac:dyDescent="0.25">
      <c r="B3640" t="s">
        <v>1098</v>
      </c>
      <c r="C3640">
        <v>56</v>
      </c>
      <c r="D3640">
        <v>13</v>
      </c>
    </row>
    <row r="3641" spans="2:4" x14ac:dyDescent="0.25">
      <c r="B3641" t="s">
        <v>1098</v>
      </c>
      <c r="C3641">
        <v>56</v>
      </c>
      <c r="D3641">
        <v>14</v>
      </c>
    </row>
    <row r="3642" spans="2:4" x14ac:dyDescent="0.25">
      <c r="B3642" t="s">
        <v>1098</v>
      </c>
      <c r="C3642">
        <v>57</v>
      </c>
      <c r="D3642">
        <v>5</v>
      </c>
    </row>
    <row r="3643" spans="2:4" x14ac:dyDescent="0.25">
      <c r="B3643" t="s">
        <v>1098</v>
      </c>
      <c r="C3643">
        <v>59</v>
      </c>
      <c r="D3643">
        <v>6</v>
      </c>
    </row>
    <row r="3644" spans="2:4" x14ac:dyDescent="0.25">
      <c r="B3644" t="s">
        <v>1098</v>
      </c>
      <c r="C3644">
        <v>59</v>
      </c>
      <c r="D3644">
        <v>8</v>
      </c>
    </row>
    <row r="3645" spans="2:4" x14ac:dyDescent="0.25">
      <c r="B3645" t="s">
        <v>1098</v>
      </c>
      <c r="C3645">
        <v>59</v>
      </c>
      <c r="D3645">
        <v>13</v>
      </c>
    </row>
    <row r="3646" spans="2:4" x14ac:dyDescent="0.25">
      <c r="B3646" t="s">
        <v>1098</v>
      </c>
      <c r="C3646">
        <v>59</v>
      </c>
      <c r="D3646">
        <v>14</v>
      </c>
    </row>
    <row r="3647" spans="2:4" x14ac:dyDescent="0.25">
      <c r="B3647" t="s">
        <v>1098</v>
      </c>
      <c r="C3647">
        <v>60</v>
      </c>
      <c r="D3647">
        <v>6</v>
      </c>
    </row>
    <row r="3648" spans="2:4" x14ac:dyDescent="0.25">
      <c r="B3648" t="s">
        <v>1098</v>
      </c>
      <c r="C3648">
        <v>60</v>
      </c>
      <c r="D3648">
        <v>8</v>
      </c>
    </row>
    <row r="3649" spans="2:4" x14ac:dyDescent="0.25">
      <c r="B3649" t="s">
        <v>1098</v>
      </c>
      <c r="C3649">
        <v>60</v>
      </c>
      <c r="D3649">
        <v>13</v>
      </c>
    </row>
    <row r="3650" spans="2:4" x14ac:dyDescent="0.25">
      <c r="B3650" t="s">
        <v>1098</v>
      </c>
      <c r="C3650">
        <v>60</v>
      </c>
      <c r="D3650">
        <v>14</v>
      </c>
    </row>
    <row r="3651" spans="2:4" x14ac:dyDescent="0.25">
      <c r="B3651" t="s">
        <v>1098</v>
      </c>
      <c r="C3651">
        <v>61</v>
      </c>
      <c r="D3651">
        <v>6</v>
      </c>
    </row>
    <row r="3652" spans="2:4" x14ac:dyDescent="0.25">
      <c r="B3652" t="s">
        <v>1098</v>
      </c>
      <c r="C3652">
        <v>61</v>
      </c>
      <c r="D3652">
        <v>8</v>
      </c>
    </row>
    <row r="3653" spans="2:4" x14ac:dyDescent="0.25">
      <c r="B3653" t="s">
        <v>1098</v>
      </c>
      <c r="C3653">
        <v>61</v>
      </c>
      <c r="D3653">
        <v>13</v>
      </c>
    </row>
    <row r="3654" spans="2:4" x14ac:dyDescent="0.25">
      <c r="B3654" t="s">
        <v>1098</v>
      </c>
      <c r="C3654">
        <v>61</v>
      </c>
      <c r="D3654">
        <v>14</v>
      </c>
    </row>
    <row r="3655" spans="2:4" x14ac:dyDescent="0.25">
      <c r="B3655" t="s">
        <v>1098</v>
      </c>
      <c r="C3655">
        <v>62</v>
      </c>
      <c r="D3655">
        <v>6</v>
      </c>
    </row>
    <row r="3656" spans="2:4" x14ac:dyDescent="0.25">
      <c r="B3656" t="s">
        <v>1098</v>
      </c>
      <c r="C3656">
        <v>62</v>
      </c>
      <c r="D3656">
        <v>8</v>
      </c>
    </row>
    <row r="3657" spans="2:4" x14ac:dyDescent="0.25">
      <c r="B3657" t="s">
        <v>1098</v>
      </c>
      <c r="C3657">
        <v>62</v>
      </c>
      <c r="D3657">
        <v>13</v>
      </c>
    </row>
    <row r="3658" spans="2:4" x14ac:dyDescent="0.25">
      <c r="B3658" t="s">
        <v>1098</v>
      </c>
      <c r="C3658">
        <v>62</v>
      </c>
      <c r="D3658">
        <v>14</v>
      </c>
    </row>
    <row r="3659" spans="2:4" x14ac:dyDescent="0.25">
      <c r="B3659" t="s">
        <v>1098</v>
      </c>
      <c r="C3659">
        <v>63</v>
      </c>
      <c r="D3659">
        <v>6</v>
      </c>
    </row>
    <row r="3660" spans="2:4" x14ac:dyDescent="0.25">
      <c r="B3660" t="s">
        <v>1098</v>
      </c>
      <c r="C3660">
        <v>63</v>
      </c>
      <c r="D3660">
        <v>8</v>
      </c>
    </row>
    <row r="3661" spans="2:4" x14ac:dyDescent="0.25">
      <c r="B3661" t="s">
        <v>1098</v>
      </c>
      <c r="C3661">
        <v>63</v>
      </c>
      <c r="D3661">
        <v>13</v>
      </c>
    </row>
    <row r="3662" spans="2:4" x14ac:dyDescent="0.25">
      <c r="B3662" t="s">
        <v>1098</v>
      </c>
      <c r="C3662">
        <v>63</v>
      </c>
      <c r="D3662">
        <v>14</v>
      </c>
    </row>
    <row r="3663" spans="2:4" x14ac:dyDescent="0.25">
      <c r="B3663" t="s">
        <v>1098</v>
      </c>
      <c r="C3663">
        <v>64</v>
      </c>
      <c r="D3663">
        <v>6</v>
      </c>
    </row>
    <row r="3664" spans="2:4" x14ac:dyDescent="0.25">
      <c r="B3664" t="s">
        <v>1098</v>
      </c>
      <c r="C3664">
        <v>64</v>
      </c>
      <c r="D3664">
        <v>8</v>
      </c>
    </row>
    <row r="3665" spans="2:4" x14ac:dyDescent="0.25">
      <c r="B3665" t="s">
        <v>1098</v>
      </c>
      <c r="C3665">
        <v>64</v>
      </c>
      <c r="D3665">
        <v>13</v>
      </c>
    </row>
    <row r="3666" spans="2:4" x14ac:dyDescent="0.25">
      <c r="B3666" t="s">
        <v>1098</v>
      </c>
      <c r="C3666">
        <v>64</v>
      </c>
      <c r="D3666">
        <v>14</v>
      </c>
    </row>
    <row r="3667" spans="2:4" x14ac:dyDescent="0.25">
      <c r="B3667" t="s">
        <v>1098</v>
      </c>
      <c r="C3667">
        <v>66</v>
      </c>
      <c r="D3667">
        <v>6</v>
      </c>
    </row>
    <row r="3668" spans="2:4" x14ac:dyDescent="0.25">
      <c r="B3668" t="s">
        <v>1098</v>
      </c>
      <c r="C3668">
        <v>66</v>
      </c>
      <c r="D3668">
        <v>8</v>
      </c>
    </row>
    <row r="3669" spans="2:4" x14ac:dyDescent="0.25">
      <c r="B3669" t="s">
        <v>1098</v>
      </c>
      <c r="C3669">
        <v>66</v>
      </c>
      <c r="D3669">
        <v>13</v>
      </c>
    </row>
    <row r="3670" spans="2:4" x14ac:dyDescent="0.25">
      <c r="B3670" t="s">
        <v>1098</v>
      </c>
      <c r="C3670">
        <v>66</v>
      </c>
      <c r="D3670">
        <v>14</v>
      </c>
    </row>
    <row r="3671" spans="2:4" x14ac:dyDescent="0.25">
      <c r="B3671" t="s">
        <v>1098</v>
      </c>
      <c r="C3671">
        <v>67</v>
      </c>
      <c r="D3671">
        <v>6</v>
      </c>
    </row>
    <row r="3672" spans="2:4" x14ac:dyDescent="0.25">
      <c r="B3672" t="s">
        <v>1098</v>
      </c>
      <c r="C3672">
        <v>67</v>
      </c>
      <c r="D3672">
        <v>8</v>
      </c>
    </row>
    <row r="3673" spans="2:4" x14ac:dyDescent="0.25">
      <c r="B3673" t="s">
        <v>1098</v>
      </c>
      <c r="C3673">
        <v>67</v>
      </c>
      <c r="D3673">
        <v>13</v>
      </c>
    </row>
    <row r="3674" spans="2:4" x14ac:dyDescent="0.25">
      <c r="B3674" t="s">
        <v>1098</v>
      </c>
      <c r="C3674">
        <v>67</v>
      </c>
      <c r="D3674">
        <v>14</v>
      </c>
    </row>
    <row r="3675" spans="2:4" x14ac:dyDescent="0.25">
      <c r="B3675" t="s">
        <v>1098</v>
      </c>
      <c r="C3675">
        <v>68</v>
      </c>
      <c r="D3675">
        <v>6</v>
      </c>
    </row>
    <row r="3676" spans="2:4" x14ac:dyDescent="0.25">
      <c r="B3676" t="s">
        <v>1098</v>
      </c>
      <c r="C3676">
        <v>68</v>
      </c>
      <c r="D3676">
        <v>8</v>
      </c>
    </row>
    <row r="3677" spans="2:4" x14ac:dyDescent="0.25">
      <c r="B3677" t="s">
        <v>1098</v>
      </c>
      <c r="C3677">
        <v>68</v>
      </c>
      <c r="D3677">
        <v>13</v>
      </c>
    </row>
    <row r="3678" spans="2:4" x14ac:dyDescent="0.25">
      <c r="B3678" t="s">
        <v>1098</v>
      </c>
      <c r="C3678">
        <v>68</v>
      </c>
      <c r="D3678">
        <v>14</v>
      </c>
    </row>
    <row r="3679" spans="2:4" x14ac:dyDescent="0.25">
      <c r="B3679" t="s">
        <v>1098</v>
      </c>
      <c r="C3679">
        <v>69</v>
      </c>
      <c r="D3679">
        <v>6</v>
      </c>
    </row>
    <row r="3680" spans="2:4" x14ac:dyDescent="0.25">
      <c r="B3680" t="s">
        <v>1098</v>
      </c>
      <c r="C3680">
        <v>69</v>
      </c>
      <c r="D3680">
        <v>8</v>
      </c>
    </row>
    <row r="3681" spans="2:4" x14ac:dyDescent="0.25">
      <c r="B3681" t="s">
        <v>1098</v>
      </c>
      <c r="C3681">
        <v>69</v>
      </c>
      <c r="D3681">
        <v>13</v>
      </c>
    </row>
    <row r="3682" spans="2:4" x14ac:dyDescent="0.25">
      <c r="B3682" t="s">
        <v>1098</v>
      </c>
      <c r="C3682">
        <v>69</v>
      </c>
      <c r="D3682">
        <v>14</v>
      </c>
    </row>
    <row r="3683" spans="2:4" x14ac:dyDescent="0.25">
      <c r="B3683" t="s">
        <v>1098</v>
      </c>
      <c r="C3683">
        <v>70</v>
      </c>
      <c r="D3683">
        <v>6</v>
      </c>
    </row>
    <row r="3684" spans="2:4" x14ac:dyDescent="0.25">
      <c r="B3684" t="s">
        <v>1098</v>
      </c>
      <c r="C3684">
        <v>70</v>
      </c>
      <c r="D3684">
        <v>8</v>
      </c>
    </row>
    <row r="3685" spans="2:4" x14ac:dyDescent="0.25">
      <c r="B3685" t="s">
        <v>1098</v>
      </c>
      <c r="C3685">
        <v>70</v>
      </c>
      <c r="D3685">
        <v>13</v>
      </c>
    </row>
    <row r="3686" spans="2:4" x14ac:dyDescent="0.25">
      <c r="B3686" t="s">
        <v>1098</v>
      </c>
      <c r="C3686">
        <v>70</v>
      </c>
      <c r="D3686">
        <v>14</v>
      </c>
    </row>
    <row r="3687" spans="2:4" x14ac:dyDescent="0.25">
      <c r="B3687" t="s">
        <v>1098</v>
      </c>
      <c r="C3687">
        <v>71</v>
      </c>
      <c r="D3687">
        <v>6</v>
      </c>
    </row>
    <row r="3688" spans="2:4" x14ac:dyDescent="0.25">
      <c r="B3688" t="s">
        <v>1098</v>
      </c>
      <c r="C3688">
        <v>71</v>
      </c>
      <c r="D3688">
        <v>8</v>
      </c>
    </row>
    <row r="3689" spans="2:4" x14ac:dyDescent="0.25">
      <c r="B3689" t="s">
        <v>1098</v>
      </c>
      <c r="C3689">
        <v>71</v>
      </c>
      <c r="D3689">
        <v>13</v>
      </c>
    </row>
    <row r="3690" spans="2:4" x14ac:dyDescent="0.25">
      <c r="B3690" t="s">
        <v>1098</v>
      </c>
      <c r="C3690">
        <v>71</v>
      </c>
      <c r="D3690">
        <v>14</v>
      </c>
    </row>
    <row r="3691" spans="2:4" x14ac:dyDescent="0.25">
      <c r="B3691" t="s">
        <v>1098</v>
      </c>
      <c r="C3691">
        <v>74</v>
      </c>
      <c r="D3691">
        <v>6</v>
      </c>
    </row>
    <row r="3692" spans="2:4" x14ac:dyDescent="0.25">
      <c r="B3692" t="s">
        <v>1098</v>
      </c>
      <c r="C3692">
        <v>74</v>
      </c>
      <c r="D3692">
        <v>8</v>
      </c>
    </row>
    <row r="3693" spans="2:4" x14ac:dyDescent="0.25">
      <c r="B3693" t="s">
        <v>1098</v>
      </c>
      <c r="C3693">
        <v>74</v>
      </c>
      <c r="D3693">
        <v>13</v>
      </c>
    </row>
    <row r="3694" spans="2:4" x14ac:dyDescent="0.25">
      <c r="B3694" t="s">
        <v>1098</v>
      </c>
      <c r="C3694">
        <v>74</v>
      </c>
      <c r="D3694">
        <v>14</v>
      </c>
    </row>
    <row r="3695" spans="2:4" x14ac:dyDescent="0.25">
      <c r="B3695" t="s">
        <v>1098</v>
      </c>
      <c r="C3695">
        <v>75</v>
      </c>
      <c r="D3695">
        <v>6</v>
      </c>
    </row>
    <row r="3696" spans="2:4" x14ac:dyDescent="0.25">
      <c r="B3696" t="s">
        <v>1098</v>
      </c>
      <c r="C3696">
        <v>75</v>
      </c>
      <c r="D3696">
        <v>8</v>
      </c>
    </row>
    <row r="3697" spans="2:4" x14ac:dyDescent="0.25">
      <c r="B3697" t="s">
        <v>1098</v>
      </c>
      <c r="C3697">
        <v>75</v>
      </c>
      <c r="D3697">
        <v>13</v>
      </c>
    </row>
    <row r="3698" spans="2:4" x14ac:dyDescent="0.25">
      <c r="B3698" t="s">
        <v>1098</v>
      </c>
      <c r="C3698">
        <v>75</v>
      </c>
      <c r="D3698">
        <v>14</v>
      </c>
    </row>
    <row r="3699" spans="2:4" x14ac:dyDescent="0.25">
      <c r="B3699" t="s">
        <v>1098</v>
      </c>
      <c r="C3699">
        <v>76</v>
      </c>
      <c r="D3699">
        <v>6</v>
      </c>
    </row>
    <row r="3700" spans="2:4" x14ac:dyDescent="0.25">
      <c r="B3700" t="s">
        <v>1098</v>
      </c>
      <c r="C3700">
        <v>76</v>
      </c>
      <c r="D3700">
        <v>8</v>
      </c>
    </row>
    <row r="3701" spans="2:4" x14ac:dyDescent="0.25">
      <c r="B3701" t="s">
        <v>1098</v>
      </c>
      <c r="C3701">
        <v>76</v>
      </c>
      <c r="D3701">
        <v>13</v>
      </c>
    </row>
    <row r="3702" spans="2:4" x14ac:dyDescent="0.25">
      <c r="B3702" t="s">
        <v>1098</v>
      </c>
      <c r="C3702">
        <v>76</v>
      </c>
      <c r="D3702">
        <v>14</v>
      </c>
    </row>
    <row r="3703" spans="2:4" x14ac:dyDescent="0.25">
      <c r="B3703" t="s">
        <v>1098</v>
      </c>
      <c r="C3703">
        <v>78</v>
      </c>
      <c r="D3703">
        <v>6</v>
      </c>
    </row>
    <row r="3704" spans="2:4" x14ac:dyDescent="0.25">
      <c r="B3704" t="s">
        <v>1098</v>
      </c>
      <c r="C3704">
        <v>78</v>
      </c>
      <c r="D3704">
        <v>8</v>
      </c>
    </row>
    <row r="3705" spans="2:4" x14ac:dyDescent="0.25">
      <c r="B3705" t="s">
        <v>1098</v>
      </c>
      <c r="C3705">
        <v>78</v>
      </c>
      <c r="D3705">
        <v>13</v>
      </c>
    </row>
    <row r="3706" spans="2:4" x14ac:dyDescent="0.25">
      <c r="B3706" t="s">
        <v>1098</v>
      </c>
      <c r="C3706">
        <v>78</v>
      </c>
      <c r="D3706">
        <v>14</v>
      </c>
    </row>
    <row r="3707" spans="2:4" x14ac:dyDescent="0.25">
      <c r="B3707" t="s">
        <v>1098</v>
      </c>
      <c r="C3707">
        <v>79</v>
      </c>
      <c r="D3707">
        <v>6</v>
      </c>
    </row>
    <row r="3708" spans="2:4" x14ac:dyDescent="0.25">
      <c r="B3708" t="s">
        <v>1098</v>
      </c>
      <c r="C3708">
        <v>79</v>
      </c>
      <c r="D3708">
        <v>8</v>
      </c>
    </row>
    <row r="3709" spans="2:4" x14ac:dyDescent="0.25">
      <c r="B3709" t="s">
        <v>1098</v>
      </c>
      <c r="C3709">
        <v>79</v>
      </c>
      <c r="D3709">
        <v>13</v>
      </c>
    </row>
    <row r="3710" spans="2:4" x14ac:dyDescent="0.25">
      <c r="B3710" t="s">
        <v>1098</v>
      </c>
      <c r="C3710">
        <v>79</v>
      </c>
      <c r="D3710">
        <v>14</v>
      </c>
    </row>
    <row r="3711" spans="2:4" x14ac:dyDescent="0.25">
      <c r="B3711" t="s">
        <v>1098</v>
      </c>
      <c r="C3711">
        <v>80</v>
      </c>
      <c r="D3711">
        <v>6</v>
      </c>
    </row>
    <row r="3712" spans="2:4" x14ac:dyDescent="0.25">
      <c r="B3712" t="s">
        <v>1098</v>
      </c>
      <c r="C3712">
        <v>80</v>
      </c>
      <c r="D3712">
        <v>8</v>
      </c>
    </row>
    <row r="3713" spans="2:4" x14ac:dyDescent="0.25">
      <c r="B3713" t="s">
        <v>1098</v>
      </c>
      <c r="C3713">
        <v>80</v>
      </c>
      <c r="D3713">
        <v>13</v>
      </c>
    </row>
    <row r="3714" spans="2:4" x14ac:dyDescent="0.25">
      <c r="B3714" t="s">
        <v>1098</v>
      </c>
      <c r="C3714">
        <v>80</v>
      </c>
      <c r="D3714">
        <v>14</v>
      </c>
    </row>
    <row r="3715" spans="2:4" x14ac:dyDescent="0.25">
      <c r="B3715" t="s">
        <v>1098</v>
      </c>
      <c r="C3715">
        <v>81</v>
      </c>
      <c r="D3715">
        <v>6</v>
      </c>
    </row>
    <row r="3716" spans="2:4" x14ac:dyDescent="0.25">
      <c r="B3716" t="s">
        <v>1098</v>
      </c>
      <c r="C3716">
        <v>81</v>
      </c>
      <c r="D3716">
        <v>8</v>
      </c>
    </row>
    <row r="3717" spans="2:4" x14ac:dyDescent="0.25">
      <c r="B3717" t="s">
        <v>1098</v>
      </c>
      <c r="C3717">
        <v>81</v>
      </c>
      <c r="D3717">
        <v>13</v>
      </c>
    </row>
    <row r="3718" spans="2:4" x14ac:dyDescent="0.25">
      <c r="B3718" t="s">
        <v>1098</v>
      </c>
      <c r="C3718">
        <v>81</v>
      </c>
      <c r="D3718">
        <v>14</v>
      </c>
    </row>
    <row r="3719" spans="2:4" x14ac:dyDescent="0.25">
      <c r="B3719" t="s">
        <v>1098</v>
      </c>
      <c r="C3719">
        <v>83</v>
      </c>
      <c r="D3719">
        <v>6</v>
      </c>
    </row>
    <row r="3720" spans="2:4" x14ac:dyDescent="0.25">
      <c r="B3720" t="s">
        <v>1098</v>
      </c>
      <c r="C3720">
        <v>83</v>
      </c>
      <c r="D3720">
        <v>8</v>
      </c>
    </row>
    <row r="3721" spans="2:4" x14ac:dyDescent="0.25">
      <c r="B3721" t="s">
        <v>1098</v>
      </c>
      <c r="C3721">
        <v>83</v>
      </c>
      <c r="D3721">
        <v>13</v>
      </c>
    </row>
    <row r="3722" spans="2:4" x14ac:dyDescent="0.25">
      <c r="B3722" t="s">
        <v>1098</v>
      </c>
      <c r="C3722">
        <v>83</v>
      </c>
      <c r="D3722">
        <v>14</v>
      </c>
    </row>
    <row r="3723" spans="2:4" x14ac:dyDescent="0.25">
      <c r="B3723" t="s">
        <v>1098</v>
      </c>
      <c r="C3723">
        <v>84</v>
      </c>
      <c r="D3723">
        <v>6</v>
      </c>
    </row>
    <row r="3724" spans="2:4" x14ac:dyDescent="0.25">
      <c r="B3724" t="s">
        <v>1098</v>
      </c>
      <c r="C3724">
        <v>84</v>
      </c>
      <c r="D3724">
        <v>8</v>
      </c>
    </row>
    <row r="3725" spans="2:4" x14ac:dyDescent="0.25">
      <c r="B3725" t="s">
        <v>1098</v>
      </c>
      <c r="C3725">
        <v>84</v>
      </c>
      <c r="D3725">
        <v>13</v>
      </c>
    </row>
    <row r="3726" spans="2:4" x14ac:dyDescent="0.25">
      <c r="B3726" t="s">
        <v>1098</v>
      </c>
      <c r="C3726">
        <v>84</v>
      </c>
      <c r="D3726">
        <v>14</v>
      </c>
    </row>
    <row r="3727" spans="2:4" x14ac:dyDescent="0.25">
      <c r="B3727" t="s">
        <v>1098</v>
      </c>
      <c r="C3727">
        <v>85</v>
      </c>
      <c r="D3727">
        <v>6</v>
      </c>
    </row>
    <row r="3728" spans="2:4" x14ac:dyDescent="0.25">
      <c r="B3728" t="s">
        <v>1098</v>
      </c>
      <c r="C3728">
        <v>85</v>
      </c>
      <c r="D3728">
        <v>8</v>
      </c>
    </row>
    <row r="3729" spans="2:4" x14ac:dyDescent="0.25">
      <c r="B3729" t="s">
        <v>1098</v>
      </c>
      <c r="C3729">
        <v>85</v>
      </c>
      <c r="D3729">
        <v>13</v>
      </c>
    </row>
    <row r="3730" spans="2:4" x14ac:dyDescent="0.25">
      <c r="B3730" t="s">
        <v>1098</v>
      </c>
      <c r="C3730">
        <v>85</v>
      </c>
      <c r="D3730">
        <v>14</v>
      </c>
    </row>
    <row r="3731" spans="2:4" x14ac:dyDescent="0.25">
      <c r="B3731" t="s">
        <v>1098</v>
      </c>
      <c r="C3731">
        <v>86</v>
      </c>
      <c r="D3731">
        <v>6</v>
      </c>
    </row>
    <row r="3732" spans="2:4" x14ac:dyDescent="0.25">
      <c r="B3732" t="s">
        <v>1098</v>
      </c>
      <c r="C3732">
        <v>86</v>
      </c>
      <c r="D3732">
        <v>8</v>
      </c>
    </row>
    <row r="3733" spans="2:4" x14ac:dyDescent="0.25">
      <c r="B3733" t="s">
        <v>1098</v>
      </c>
      <c r="C3733">
        <v>86</v>
      </c>
      <c r="D3733">
        <v>13</v>
      </c>
    </row>
    <row r="3734" spans="2:4" x14ac:dyDescent="0.25">
      <c r="B3734" t="s">
        <v>1098</v>
      </c>
      <c r="C3734">
        <v>86</v>
      </c>
      <c r="D3734">
        <v>14</v>
      </c>
    </row>
    <row r="3735" spans="2:4" x14ac:dyDescent="0.25">
      <c r="B3735" t="s">
        <v>1098</v>
      </c>
      <c r="C3735">
        <v>87</v>
      </c>
      <c r="D3735">
        <v>6</v>
      </c>
    </row>
    <row r="3736" spans="2:4" x14ac:dyDescent="0.25">
      <c r="B3736" t="s">
        <v>1098</v>
      </c>
      <c r="C3736">
        <v>87</v>
      </c>
      <c r="D3736">
        <v>8</v>
      </c>
    </row>
    <row r="3737" spans="2:4" x14ac:dyDescent="0.25">
      <c r="B3737" t="s">
        <v>1098</v>
      </c>
      <c r="C3737">
        <v>87</v>
      </c>
      <c r="D3737">
        <v>13</v>
      </c>
    </row>
    <row r="3738" spans="2:4" x14ac:dyDescent="0.25">
      <c r="B3738" t="s">
        <v>1098</v>
      </c>
      <c r="C3738">
        <v>87</v>
      </c>
      <c r="D3738">
        <v>14</v>
      </c>
    </row>
    <row r="3739" spans="2:4" x14ac:dyDescent="0.25">
      <c r="B3739" t="s">
        <v>1098</v>
      </c>
      <c r="C3739">
        <v>88</v>
      </c>
      <c r="D3739">
        <v>6</v>
      </c>
    </row>
    <row r="3740" spans="2:4" x14ac:dyDescent="0.25">
      <c r="B3740" t="s">
        <v>1098</v>
      </c>
      <c r="C3740">
        <v>88</v>
      </c>
      <c r="D3740">
        <v>8</v>
      </c>
    </row>
    <row r="3741" spans="2:4" x14ac:dyDescent="0.25">
      <c r="B3741" t="s">
        <v>1098</v>
      </c>
      <c r="C3741">
        <v>88</v>
      </c>
      <c r="D3741">
        <v>13</v>
      </c>
    </row>
    <row r="3742" spans="2:4" x14ac:dyDescent="0.25">
      <c r="B3742" t="s">
        <v>1098</v>
      </c>
      <c r="C3742">
        <v>88</v>
      </c>
      <c r="D3742">
        <v>14</v>
      </c>
    </row>
    <row r="3743" spans="2:4" x14ac:dyDescent="0.25">
      <c r="B3743" t="s">
        <v>1098</v>
      </c>
      <c r="C3743">
        <v>89</v>
      </c>
      <c r="D3743">
        <v>6</v>
      </c>
    </row>
    <row r="3744" spans="2:4" x14ac:dyDescent="0.25">
      <c r="B3744" t="s">
        <v>1098</v>
      </c>
      <c r="C3744">
        <v>89</v>
      </c>
      <c r="D3744">
        <v>8</v>
      </c>
    </row>
    <row r="3745" spans="2:4" x14ac:dyDescent="0.25">
      <c r="B3745" t="s">
        <v>1098</v>
      </c>
      <c r="C3745">
        <v>89</v>
      </c>
      <c r="D3745">
        <v>13</v>
      </c>
    </row>
    <row r="3746" spans="2:4" x14ac:dyDescent="0.25">
      <c r="B3746" t="s">
        <v>1098</v>
      </c>
      <c r="C3746">
        <v>89</v>
      </c>
      <c r="D3746">
        <v>14</v>
      </c>
    </row>
    <row r="3747" spans="2:4" x14ac:dyDescent="0.25">
      <c r="B3747" t="s">
        <v>1098</v>
      </c>
      <c r="C3747">
        <v>90</v>
      </c>
      <c r="D3747">
        <v>6</v>
      </c>
    </row>
    <row r="3748" spans="2:4" x14ac:dyDescent="0.25">
      <c r="B3748" t="s">
        <v>1098</v>
      </c>
      <c r="C3748">
        <v>90</v>
      </c>
      <c r="D3748">
        <v>8</v>
      </c>
    </row>
    <row r="3749" spans="2:4" x14ac:dyDescent="0.25">
      <c r="B3749" t="s">
        <v>1098</v>
      </c>
      <c r="C3749">
        <v>90</v>
      </c>
      <c r="D3749">
        <v>13</v>
      </c>
    </row>
    <row r="3750" spans="2:4" x14ac:dyDescent="0.25">
      <c r="B3750" t="s">
        <v>1098</v>
      </c>
      <c r="C3750">
        <v>90</v>
      </c>
      <c r="D3750">
        <v>14</v>
      </c>
    </row>
    <row r="3751" spans="2:4" x14ac:dyDescent="0.25">
      <c r="B3751" t="s">
        <v>1098</v>
      </c>
      <c r="C3751">
        <v>91</v>
      </c>
      <c r="D3751">
        <v>6</v>
      </c>
    </row>
    <row r="3752" spans="2:4" x14ac:dyDescent="0.25">
      <c r="B3752" t="s">
        <v>1098</v>
      </c>
      <c r="C3752">
        <v>91</v>
      </c>
      <c r="D3752">
        <v>8</v>
      </c>
    </row>
    <row r="3753" spans="2:4" x14ac:dyDescent="0.25">
      <c r="B3753" t="s">
        <v>1098</v>
      </c>
      <c r="C3753">
        <v>91</v>
      </c>
      <c r="D3753">
        <v>13</v>
      </c>
    </row>
    <row r="3754" spans="2:4" x14ac:dyDescent="0.25">
      <c r="B3754" t="s">
        <v>1098</v>
      </c>
      <c r="C3754">
        <v>91</v>
      </c>
      <c r="D3754">
        <v>14</v>
      </c>
    </row>
    <row r="3755" spans="2:4" x14ac:dyDescent="0.25">
      <c r="B3755" t="s">
        <v>1098</v>
      </c>
      <c r="C3755">
        <v>92</v>
      </c>
      <c r="D3755">
        <v>6</v>
      </c>
    </row>
    <row r="3756" spans="2:4" x14ac:dyDescent="0.25">
      <c r="B3756" t="s">
        <v>1098</v>
      </c>
      <c r="C3756">
        <v>92</v>
      </c>
      <c r="D3756">
        <v>8</v>
      </c>
    </row>
    <row r="3757" spans="2:4" x14ac:dyDescent="0.25">
      <c r="B3757" t="s">
        <v>1098</v>
      </c>
      <c r="C3757">
        <v>92</v>
      </c>
      <c r="D3757">
        <v>13</v>
      </c>
    </row>
    <row r="3758" spans="2:4" x14ac:dyDescent="0.25">
      <c r="B3758" t="s">
        <v>1098</v>
      </c>
      <c r="C3758">
        <v>92</v>
      </c>
      <c r="D3758">
        <v>14</v>
      </c>
    </row>
    <row r="3759" spans="2:4" x14ac:dyDescent="0.25">
      <c r="B3759" t="s">
        <v>1098</v>
      </c>
      <c r="C3759">
        <v>93</v>
      </c>
      <c r="D3759">
        <v>6</v>
      </c>
    </row>
    <row r="3760" spans="2:4" x14ac:dyDescent="0.25">
      <c r="B3760" t="s">
        <v>1098</v>
      </c>
      <c r="C3760">
        <v>93</v>
      </c>
      <c r="D3760">
        <v>8</v>
      </c>
    </row>
    <row r="3761" spans="2:4" x14ac:dyDescent="0.25">
      <c r="B3761" t="s">
        <v>1098</v>
      </c>
      <c r="C3761">
        <v>93</v>
      </c>
      <c r="D3761">
        <v>13</v>
      </c>
    </row>
    <row r="3762" spans="2:4" x14ac:dyDescent="0.25">
      <c r="B3762" t="s">
        <v>1098</v>
      </c>
      <c r="C3762">
        <v>93</v>
      </c>
      <c r="D3762">
        <v>14</v>
      </c>
    </row>
    <row r="3763" spans="2:4" x14ac:dyDescent="0.25">
      <c r="B3763" t="s">
        <v>1098</v>
      </c>
      <c r="C3763">
        <v>94</v>
      </c>
      <c r="D3763">
        <v>6</v>
      </c>
    </row>
    <row r="3764" spans="2:4" x14ac:dyDescent="0.25">
      <c r="B3764" t="s">
        <v>1098</v>
      </c>
      <c r="C3764">
        <v>94</v>
      </c>
      <c r="D3764">
        <v>8</v>
      </c>
    </row>
    <row r="3765" spans="2:4" x14ac:dyDescent="0.25">
      <c r="B3765" t="s">
        <v>1098</v>
      </c>
      <c r="C3765">
        <v>94</v>
      </c>
      <c r="D3765">
        <v>13</v>
      </c>
    </row>
    <row r="3766" spans="2:4" x14ac:dyDescent="0.25">
      <c r="B3766" t="s">
        <v>1098</v>
      </c>
      <c r="C3766">
        <v>94</v>
      </c>
      <c r="D3766">
        <v>14</v>
      </c>
    </row>
    <row r="3767" spans="2:4" x14ac:dyDescent="0.25">
      <c r="B3767" t="s">
        <v>1098</v>
      </c>
      <c r="C3767">
        <v>95</v>
      </c>
      <c r="D3767">
        <v>6</v>
      </c>
    </row>
    <row r="3768" spans="2:4" x14ac:dyDescent="0.25">
      <c r="B3768" t="s">
        <v>1098</v>
      </c>
      <c r="C3768">
        <v>95</v>
      </c>
      <c r="D3768">
        <v>8</v>
      </c>
    </row>
    <row r="3769" spans="2:4" x14ac:dyDescent="0.25">
      <c r="B3769" t="s">
        <v>1098</v>
      </c>
      <c r="C3769">
        <v>95</v>
      </c>
      <c r="D3769">
        <v>13</v>
      </c>
    </row>
    <row r="3770" spans="2:4" x14ac:dyDescent="0.25">
      <c r="B3770" t="s">
        <v>1098</v>
      </c>
      <c r="C3770">
        <v>95</v>
      </c>
      <c r="D3770">
        <v>14</v>
      </c>
    </row>
    <row r="3771" spans="2:4" x14ac:dyDescent="0.25">
      <c r="B3771" t="s">
        <v>9</v>
      </c>
      <c r="C3771">
        <v>6</v>
      </c>
      <c r="D3771">
        <v>6</v>
      </c>
    </row>
    <row r="3772" spans="2:4" x14ac:dyDescent="0.25">
      <c r="B3772" t="s">
        <v>9</v>
      </c>
      <c r="C3772">
        <v>6</v>
      </c>
      <c r="D3772">
        <v>8</v>
      </c>
    </row>
    <row r="3773" spans="2:4" x14ac:dyDescent="0.25">
      <c r="B3773" t="s">
        <v>9</v>
      </c>
      <c r="C3773">
        <v>6</v>
      </c>
      <c r="D3773">
        <v>13</v>
      </c>
    </row>
    <row r="3774" spans="2:4" x14ac:dyDescent="0.25">
      <c r="B3774" t="s">
        <v>9</v>
      </c>
      <c r="C3774">
        <v>6</v>
      </c>
      <c r="D3774">
        <v>14</v>
      </c>
    </row>
    <row r="3775" spans="2:4" x14ac:dyDescent="0.25">
      <c r="B3775" t="s">
        <v>9</v>
      </c>
      <c r="C3775">
        <v>7</v>
      </c>
      <c r="D3775">
        <v>6</v>
      </c>
    </row>
    <row r="3776" spans="2:4" x14ac:dyDescent="0.25">
      <c r="B3776" t="s">
        <v>9</v>
      </c>
      <c r="C3776">
        <v>7</v>
      </c>
      <c r="D3776">
        <v>8</v>
      </c>
    </row>
    <row r="3777" spans="2:4" x14ac:dyDescent="0.25">
      <c r="B3777" t="s">
        <v>9</v>
      </c>
      <c r="C3777">
        <v>7</v>
      </c>
      <c r="D3777">
        <v>13</v>
      </c>
    </row>
    <row r="3778" spans="2:4" x14ac:dyDescent="0.25">
      <c r="B3778" t="s">
        <v>9</v>
      </c>
      <c r="C3778">
        <v>7</v>
      </c>
      <c r="D3778">
        <v>14</v>
      </c>
    </row>
    <row r="3779" spans="2:4" x14ac:dyDescent="0.25">
      <c r="B3779" t="s">
        <v>9</v>
      </c>
      <c r="C3779">
        <v>8</v>
      </c>
      <c r="D3779">
        <v>6</v>
      </c>
    </row>
    <row r="3780" spans="2:4" x14ac:dyDescent="0.25">
      <c r="B3780" t="s">
        <v>9</v>
      </c>
      <c r="C3780">
        <v>8</v>
      </c>
      <c r="D3780">
        <v>8</v>
      </c>
    </row>
    <row r="3781" spans="2:4" x14ac:dyDescent="0.25">
      <c r="B3781" t="s">
        <v>9</v>
      </c>
      <c r="C3781">
        <v>8</v>
      </c>
      <c r="D3781">
        <v>13</v>
      </c>
    </row>
    <row r="3782" spans="2:4" x14ac:dyDescent="0.25">
      <c r="B3782" t="s">
        <v>9</v>
      </c>
      <c r="C3782">
        <v>8</v>
      </c>
      <c r="D3782">
        <v>14</v>
      </c>
    </row>
    <row r="3783" spans="2:4" x14ac:dyDescent="0.25">
      <c r="B3783" t="s">
        <v>9</v>
      </c>
      <c r="C3783">
        <v>9</v>
      </c>
      <c r="D3783">
        <v>6</v>
      </c>
    </row>
    <row r="3784" spans="2:4" x14ac:dyDescent="0.25">
      <c r="B3784" t="s">
        <v>9</v>
      </c>
      <c r="C3784">
        <v>9</v>
      </c>
      <c r="D3784">
        <v>8</v>
      </c>
    </row>
    <row r="3785" spans="2:4" x14ac:dyDescent="0.25">
      <c r="B3785" t="s">
        <v>9</v>
      </c>
      <c r="C3785">
        <v>9</v>
      </c>
      <c r="D3785">
        <v>13</v>
      </c>
    </row>
    <row r="3786" spans="2:4" x14ac:dyDescent="0.25">
      <c r="B3786" t="s">
        <v>9</v>
      </c>
      <c r="C3786">
        <v>9</v>
      </c>
      <c r="D3786">
        <v>14</v>
      </c>
    </row>
    <row r="3787" spans="2:4" x14ac:dyDescent="0.25">
      <c r="B3787" t="s">
        <v>9</v>
      </c>
      <c r="C3787">
        <v>11</v>
      </c>
      <c r="D3787">
        <v>6</v>
      </c>
    </row>
    <row r="3788" spans="2:4" x14ac:dyDescent="0.25">
      <c r="B3788" t="s">
        <v>9</v>
      </c>
      <c r="C3788">
        <v>11</v>
      </c>
      <c r="D3788">
        <v>8</v>
      </c>
    </row>
    <row r="3789" spans="2:4" x14ac:dyDescent="0.25">
      <c r="B3789" t="s">
        <v>9</v>
      </c>
      <c r="C3789">
        <v>11</v>
      </c>
      <c r="D3789">
        <v>13</v>
      </c>
    </row>
    <row r="3790" spans="2:4" x14ac:dyDescent="0.25">
      <c r="B3790" t="s">
        <v>9</v>
      </c>
      <c r="C3790">
        <v>11</v>
      </c>
      <c r="D3790">
        <v>14</v>
      </c>
    </row>
    <row r="3791" spans="2:4" x14ac:dyDescent="0.25">
      <c r="B3791" t="s">
        <v>9</v>
      </c>
      <c r="C3791">
        <v>12</v>
      </c>
      <c r="D3791">
        <v>6</v>
      </c>
    </row>
    <row r="3792" spans="2:4" x14ac:dyDescent="0.25">
      <c r="B3792" t="s">
        <v>9</v>
      </c>
      <c r="C3792">
        <v>12</v>
      </c>
      <c r="D3792">
        <v>8</v>
      </c>
    </row>
    <row r="3793" spans="2:4" x14ac:dyDescent="0.25">
      <c r="B3793" t="s">
        <v>9</v>
      </c>
      <c r="C3793">
        <v>12</v>
      </c>
      <c r="D3793">
        <v>13</v>
      </c>
    </row>
    <row r="3794" spans="2:4" x14ac:dyDescent="0.25">
      <c r="B3794" t="s">
        <v>9</v>
      </c>
      <c r="C3794">
        <v>12</v>
      </c>
      <c r="D3794">
        <v>14</v>
      </c>
    </row>
    <row r="3795" spans="2:4" x14ac:dyDescent="0.25">
      <c r="B3795" t="s">
        <v>9</v>
      </c>
      <c r="C3795">
        <v>13</v>
      </c>
      <c r="D3795">
        <v>6</v>
      </c>
    </row>
    <row r="3796" spans="2:4" x14ac:dyDescent="0.25">
      <c r="B3796" t="s">
        <v>9</v>
      </c>
      <c r="C3796">
        <v>13</v>
      </c>
      <c r="D3796">
        <v>8</v>
      </c>
    </row>
    <row r="3797" spans="2:4" x14ac:dyDescent="0.25">
      <c r="B3797" t="s">
        <v>9</v>
      </c>
      <c r="C3797">
        <v>13</v>
      </c>
      <c r="D3797">
        <v>13</v>
      </c>
    </row>
    <row r="3798" spans="2:4" x14ac:dyDescent="0.25">
      <c r="B3798" t="s">
        <v>9</v>
      </c>
      <c r="C3798">
        <v>13</v>
      </c>
      <c r="D3798">
        <v>14</v>
      </c>
    </row>
    <row r="3799" spans="2:4" x14ac:dyDescent="0.25">
      <c r="B3799" t="s">
        <v>9</v>
      </c>
      <c r="C3799">
        <v>14</v>
      </c>
      <c r="D3799">
        <v>6</v>
      </c>
    </row>
    <row r="3800" spans="2:4" x14ac:dyDescent="0.25">
      <c r="B3800" t="s">
        <v>9</v>
      </c>
      <c r="C3800">
        <v>14</v>
      </c>
      <c r="D3800">
        <v>8</v>
      </c>
    </row>
    <row r="3801" spans="2:4" x14ac:dyDescent="0.25">
      <c r="B3801" t="s">
        <v>9</v>
      </c>
      <c r="C3801">
        <v>14</v>
      </c>
      <c r="D3801">
        <v>13</v>
      </c>
    </row>
    <row r="3802" spans="2:4" x14ac:dyDescent="0.25">
      <c r="B3802" t="s">
        <v>9</v>
      </c>
      <c r="C3802">
        <v>14</v>
      </c>
      <c r="D3802">
        <v>14</v>
      </c>
    </row>
    <row r="3803" spans="2:4" x14ac:dyDescent="0.25">
      <c r="B3803" t="s">
        <v>9</v>
      </c>
      <c r="C3803">
        <v>16</v>
      </c>
      <c r="D3803">
        <v>6</v>
      </c>
    </row>
    <row r="3804" spans="2:4" x14ac:dyDescent="0.25">
      <c r="B3804" t="s">
        <v>9</v>
      </c>
      <c r="C3804">
        <v>16</v>
      </c>
      <c r="D3804">
        <v>8</v>
      </c>
    </row>
    <row r="3805" spans="2:4" x14ac:dyDescent="0.25">
      <c r="B3805" t="s">
        <v>9</v>
      </c>
      <c r="C3805">
        <v>16</v>
      </c>
      <c r="D3805">
        <v>13</v>
      </c>
    </row>
    <row r="3806" spans="2:4" x14ac:dyDescent="0.25">
      <c r="B3806" t="s">
        <v>9</v>
      </c>
      <c r="C3806">
        <v>16</v>
      </c>
      <c r="D3806">
        <v>14</v>
      </c>
    </row>
    <row r="3807" spans="2:4" x14ac:dyDescent="0.25">
      <c r="B3807" t="s">
        <v>9</v>
      </c>
      <c r="C3807">
        <v>17</v>
      </c>
      <c r="D3807">
        <v>6</v>
      </c>
    </row>
    <row r="3808" spans="2:4" x14ac:dyDescent="0.25">
      <c r="B3808" t="s">
        <v>9</v>
      </c>
      <c r="C3808">
        <v>17</v>
      </c>
      <c r="D3808">
        <v>8</v>
      </c>
    </row>
    <row r="3809" spans="2:4" x14ac:dyDescent="0.25">
      <c r="B3809" t="s">
        <v>9</v>
      </c>
      <c r="C3809">
        <v>17</v>
      </c>
      <c r="D3809">
        <v>13</v>
      </c>
    </row>
    <row r="3810" spans="2:4" x14ac:dyDescent="0.25">
      <c r="B3810" t="s">
        <v>9</v>
      </c>
      <c r="C3810">
        <v>17</v>
      </c>
      <c r="D3810">
        <v>14</v>
      </c>
    </row>
    <row r="3811" spans="2:4" x14ac:dyDescent="0.25">
      <c r="B3811" t="s">
        <v>9</v>
      </c>
      <c r="C3811">
        <v>18</v>
      </c>
      <c r="D3811">
        <v>6</v>
      </c>
    </row>
    <row r="3812" spans="2:4" x14ac:dyDescent="0.25">
      <c r="B3812" t="s">
        <v>9</v>
      </c>
      <c r="C3812">
        <v>18</v>
      </c>
      <c r="D3812">
        <v>8</v>
      </c>
    </row>
    <row r="3813" spans="2:4" x14ac:dyDescent="0.25">
      <c r="B3813" t="s">
        <v>9</v>
      </c>
      <c r="C3813">
        <v>18</v>
      </c>
      <c r="D3813">
        <v>13</v>
      </c>
    </row>
    <row r="3814" spans="2:4" x14ac:dyDescent="0.25">
      <c r="B3814" t="s">
        <v>9</v>
      </c>
      <c r="C3814">
        <v>18</v>
      </c>
      <c r="D3814">
        <v>14</v>
      </c>
    </row>
    <row r="3815" spans="2:4" x14ac:dyDescent="0.25">
      <c r="B3815" t="s">
        <v>9</v>
      </c>
      <c r="C3815">
        <v>19</v>
      </c>
      <c r="D3815">
        <v>6</v>
      </c>
    </row>
    <row r="3816" spans="2:4" x14ac:dyDescent="0.25">
      <c r="B3816" t="s">
        <v>9</v>
      </c>
      <c r="C3816">
        <v>19</v>
      </c>
      <c r="D3816">
        <v>8</v>
      </c>
    </row>
    <row r="3817" spans="2:4" x14ac:dyDescent="0.25">
      <c r="B3817" t="s">
        <v>9</v>
      </c>
      <c r="C3817">
        <v>19</v>
      </c>
      <c r="D3817">
        <v>13</v>
      </c>
    </row>
    <row r="3818" spans="2:4" x14ac:dyDescent="0.25">
      <c r="B3818" t="s">
        <v>9</v>
      </c>
      <c r="C3818">
        <v>19</v>
      </c>
      <c r="D3818">
        <v>14</v>
      </c>
    </row>
    <row r="3819" spans="2:4" x14ac:dyDescent="0.25">
      <c r="B3819" t="s">
        <v>9</v>
      </c>
      <c r="C3819">
        <v>20</v>
      </c>
      <c r="D3819">
        <v>6</v>
      </c>
    </row>
    <row r="3820" spans="2:4" x14ac:dyDescent="0.25">
      <c r="B3820" t="s">
        <v>9</v>
      </c>
      <c r="C3820">
        <v>20</v>
      </c>
      <c r="D3820">
        <v>8</v>
      </c>
    </row>
    <row r="3821" spans="2:4" x14ac:dyDescent="0.25">
      <c r="B3821" t="s">
        <v>9</v>
      </c>
      <c r="C3821">
        <v>20</v>
      </c>
      <c r="D3821">
        <v>13</v>
      </c>
    </row>
    <row r="3822" spans="2:4" x14ac:dyDescent="0.25">
      <c r="B3822" t="s">
        <v>9</v>
      </c>
      <c r="C3822">
        <v>20</v>
      </c>
      <c r="D3822">
        <v>14</v>
      </c>
    </row>
    <row r="3823" spans="2:4" x14ac:dyDescent="0.25">
      <c r="B3823" t="s">
        <v>9</v>
      </c>
      <c r="C3823">
        <v>21</v>
      </c>
      <c r="D3823">
        <v>6</v>
      </c>
    </row>
    <row r="3824" spans="2:4" x14ac:dyDescent="0.25">
      <c r="B3824" t="s">
        <v>9</v>
      </c>
      <c r="C3824">
        <v>21</v>
      </c>
      <c r="D3824">
        <v>8</v>
      </c>
    </row>
    <row r="3825" spans="2:4" x14ac:dyDescent="0.25">
      <c r="B3825" t="s">
        <v>9</v>
      </c>
      <c r="C3825">
        <v>21</v>
      </c>
      <c r="D3825">
        <v>13</v>
      </c>
    </row>
    <row r="3826" spans="2:4" x14ac:dyDescent="0.25">
      <c r="B3826" t="s">
        <v>9</v>
      </c>
      <c r="C3826">
        <v>21</v>
      </c>
      <c r="D3826">
        <v>14</v>
      </c>
    </row>
    <row r="3827" spans="2:4" x14ac:dyDescent="0.25">
      <c r="B3827" t="s">
        <v>9</v>
      </c>
      <c r="C3827">
        <v>22</v>
      </c>
      <c r="D3827">
        <v>6</v>
      </c>
    </row>
    <row r="3828" spans="2:4" x14ac:dyDescent="0.25">
      <c r="B3828" t="s">
        <v>9</v>
      </c>
      <c r="C3828">
        <v>22</v>
      </c>
      <c r="D3828">
        <v>8</v>
      </c>
    </row>
    <row r="3829" spans="2:4" x14ac:dyDescent="0.25">
      <c r="B3829" t="s">
        <v>9</v>
      </c>
      <c r="C3829">
        <v>22</v>
      </c>
      <c r="D3829">
        <v>13</v>
      </c>
    </row>
    <row r="3830" spans="2:4" x14ac:dyDescent="0.25">
      <c r="B3830" t="s">
        <v>9</v>
      </c>
      <c r="C3830">
        <v>22</v>
      </c>
      <c r="D3830">
        <v>14</v>
      </c>
    </row>
    <row r="3831" spans="2:4" x14ac:dyDescent="0.25">
      <c r="B3831" t="s">
        <v>9</v>
      </c>
      <c r="C3831">
        <v>23</v>
      </c>
      <c r="D3831">
        <v>6</v>
      </c>
    </row>
    <row r="3832" spans="2:4" x14ac:dyDescent="0.25">
      <c r="B3832" t="s">
        <v>9</v>
      </c>
      <c r="C3832">
        <v>23</v>
      </c>
      <c r="D3832">
        <v>8</v>
      </c>
    </row>
    <row r="3833" spans="2:4" x14ac:dyDescent="0.25">
      <c r="B3833" t="s">
        <v>9</v>
      </c>
      <c r="C3833">
        <v>23</v>
      </c>
      <c r="D3833">
        <v>13</v>
      </c>
    </row>
    <row r="3834" spans="2:4" x14ac:dyDescent="0.25">
      <c r="B3834" t="s">
        <v>9</v>
      </c>
      <c r="C3834">
        <v>23</v>
      </c>
      <c r="D3834">
        <v>14</v>
      </c>
    </row>
    <row r="3835" spans="2:4" x14ac:dyDescent="0.25">
      <c r="B3835" t="s">
        <v>9</v>
      </c>
      <c r="C3835">
        <v>24</v>
      </c>
      <c r="D3835">
        <v>6</v>
      </c>
    </row>
    <row r="3836" spans="2:4" x14ac:dyDescent="0.25">
      <c r="B3836" t="s">
        <v>9</v>
      </c>
      <c r="C3836">
        <v>24</v>
      </c>
      <c r="D3836">
        <v>8</v>
      </c>
    </row>
    <row r="3837" spans="2:4" x14ac:dyDescent="0.25">
      <c r="B3837" t="s">
        <v>9</v>
      </c>
      <c r="C3837">
        <v>24</v>
      </c>
      <c r="D3837">
        <v>13</v>
      </c>
    </row>
    <row r="3838" spans="2:4" x14ac:dyDescent="0.25">
      <c r="B3838" t="s">
        <v>9</v>
      </c>
      <c r="C3838">
        <v>24</v>
      </c>
      <c r="D3838">
        <v>14</v>
      </c>
    </row>
    <row r="3839" spans="2:4" x14ac:dyDescent="0.25">
      <c r="B3839" t="s">
        <v>9</v>
      </c>
      <c r="C3839">
        <v>25</v>
      </c>
      <c r="D3839">
        <v>6</v>
      </c>
    </row>
    <row r="3840" spans="2:4" x14ac:dyDescent="0.25">
      <c r="B3840" t="s">
        <v>9</v>
      </c>
      <c r="C3840">
        <v>25</v>
      </c>
      <c r="D3840">
        <v>8</v>
      </c>
    </row>
    <row r="3841" spans="2:4" x14ac:dyDescent="0.25">
      <c r="B3841" t="s">
        <v>9</v>
      </c>
      <c r="C3841">
        <v>25</v>
      </c>
      <c r="D3841">
        <v>13</v>
      </c>
    </row>
    <row r="3842" spans="2:4" x14ac:dyDescent="0.25">
      <c r="B3842" t="s">
        <v>9</v>
      </c>
      <c r="C3842">
        <v>25</v>
      </c>
      <c r="D3842">
        <v>14</v>
      </c>
    </row>
    <row r="3843" spans="2:4" x14ac:dyDescent="0.25">
      <c r="B3843" t="s">
        <v>1099</v>
      </c>
      <c r="C3843">
        <v>5</v>
      </c>
      <c r="D3843">
        <v>5</v>
      </c>
    </row>
    <row r="3844" spans="2:4" x14ac:dyDescent="0.25">
      <c r="B3844" t="s">
        <v>1099</v>
      </c>
      <c r="C3844">
        <v>7</v>
      </c>
      <c r="D3844">
        <v>6</v>
      </c>
    </row>
    <row r="3845" spans="2:4" x14ac:dyDescent="0.25">
      <c r="B3845" t="s">
        <v>1099</v>
      </c>
      <c r="C3845">
        <v>7</v>
      </c>
      <c r="D3845">
        <v>8</v>
      </c>
    </row>
    <row r="3846" spans="2:4" x14ac:dyDescent="0.25">
      <c r="B3846" t="s">
        <v>1099</v>
      </c>
      <c r="C3846">
        <v>7</v>
      </c>
      <c r="D3846">
        <v>13</v>
      </c>
    </row>
    <row r="3847" spans="2:4" x14ac:dyDescent="0.25">
      <c r="B3847" t="s">
        <v>1099</v>
      </c>
      <c r="C3847">
        <v>7</v>
      </c>
      <c r="D3847">
        <v>14</v>
      </c>
    </row>
    <row r="3848" spans="2:4" x14ac:dyDescent="0.25">
      <c r="B3848" t="s">
        <v>1099</v>
      </c>
      <c r="C3848">
        <v>8</v>
      </c>
      <c r="D3848">
        <v>6</v>
      </c>
    </row>
    <row r="3849" spans="2:4" x14ac:dyDescent="0.25">
      <c r="B3849" t="s">
        <v>1099</v>
      </c>
      <c r="C3849">
        <v>8</v>
      </c>
      <c r="D3849">
        <v>8</v>
      </c>
    </row>
    <row r="3850" spans="2:4" x14ac:dyDescent="0.25">
      <c r="B3850" t="s">
        <v>1099</v>
      </c>
      <c r="C3850">
        <v>8</v>
      </c>
      <c r="D3850">
        <v>13</v>
      </c>
    </row>
    <row r="3851" spans="2:4" x14ac:dyDescent="0.25">
      <c r="B3851" t="s">
        <v>1099</v>
      </c>
      <c r="C3851">
        <v>8</v>
      </c>
      <c r="D3851">
        <v>14</v>
      </c>
    </row>
    <row r="3852" spans="2:4" x14ac:dyDescent="0.25">
      <c r="B3852" t="s">
        <v>1099</v>
      </c>
      <c r="C3852">
        <v>9</v>
      </c>
      <c r="D3852">
        <v>6</v>
      </c>
    </row>
    <row r="3853" spans="2:4" x14ac:dyDescent="0.25">
      <c r="B3853" t="s">
        <v>1099</v>
      </c>
      <c r="C3853">
        <v>9</v>
      </c>
      <c r="D3853">
        <v>8</v>
      </c>
    </row>
    <row r="3854" spans="2:4" x14ac:dyDescent="0.25">
      <c r="B3854" t="s">
        <v>1099</v>
      </c>
      <c r="C3854">
        <v>9</v>
      </c>
      <c r="D3854">
        <v>13</v>
      </c>
    </row>
    <row r="3855" spans="2:4" x14ac:dyDescent="0.25">
      <c r="B3855" t="s">
        <v>1099</v>
      </c>
      <c r="C3855">
        <v>9</v>
      </c>
      <c r="D3855">
        <v>14</v>
      </c>
    </row>
    <row r="3856" spans="2:4" x14ac:dyDescent="0.25">
      <c r="B3856" t="s">
        <v>1099</v>
      </c>
      <c r="C3856">
        <v>10</v>
      </c>
      <c r="D3856">
        <v>6</v>
      </c>
    </row>
    <row r="3857" spans="2:4" x14ac:dyDescent="0.25">
      <c r="B3857" t="s">
        <v>1099</v>
      </c>
      <c r="C3857">
        <v>10</v>
      </c>
      <c r="D3857">
        <v>8</v>
      </c>
    </row>
    <row r="3858" spans="2:4" x14ac:dyDescent="0.25">
      <c r="B3858" t="s">
        <v>1099</v>
      </c>
      <c r="C3858">
        <v>10</v>
      </c>
      <c r="D3858">
        <v>13</v>
      </c>
    </row>
    <row r="3859" spans="2:4" x14ac:dyDescent="0.25">
      <c r="B3859" t="s">
        <v>1099</v>
      </c>
      <c r="C3859">
        <v>10</v>
      </c>
      <c r="D3859">
        <v>14</v>
      </c>
    </row>
    <row r="3860" spans="2:4" x14ac:dyDescent="0.25">
      <c r="B3860" t="s">
        <v>1099</v>
      </c>
      <c r="C3860">
        <v>11</v>
      </c>
      <c r="D3860">
        <v>6</v>
      </c>
    </row>
    <row r="3861" spans="2:4" x14ac:dyDescent="0.25">
      <c r="B3861" t="s">
        <v>1099</v>
      </c>
      <c r="C3861">
        <v>11</v>
      </c>
      <c r="D3861">
        <v>8</v>
      </c>
    </row>
    <row r="3862" spans="2:4" x14ac:dyDescent="0.25">
      <c r="B3862" t="s">
        <v>1099</v>
      </c>
      <c r="C3862">
        <v>11</v>
      </c>
      <c r="D3862">
        <v>13</v>
      </c>
    </row>
    <row r="3863" spans="2:4" x14ac:dyDescent="0.25">
      <c r="B3863" t="s">
        <v>1099</v>
      </c>
      <c r="C3863">
        <v>11</v>
      </c>
      <c r="D3863">
        <v>14</v>
      </c>
    </row>
    <row r="3864" spans="2:4" x14ac:dyDescent="0.25">
      <c r="B3864" t="s">
        <v>1099</v>
      </c>
      <c r="C3864">
        <v>12</v>
      </c>
      <c r="D3864">
        <v>6</v>
      </c>
    </row>
    <row r="3865" spans="2:4" x14ac:dyDescent="0.25">
      <c r="B3865" t="s">
        <v>1099</v>
      </c>
      <c r="C3865">
        <v>12</v>
      </c>
      <c r="D3865">
        <v>8</v>
      </c>
    </row>
    <row r="3866" spans="2:4" x14ac:dyDescent="0.25">
      <c r="B3866" t="s">
        <v>1099</v>
      </c>
      <c r="C3866">
        <v>12</v>
      </c>
      <c r="D3866">
        <v>13</v>
      </c>
    </row>
    <row r="3867" spans="2:4" x14ac:dyDescent="0.25">
      <c r="B3867" t="s">
        <v>1099</v>
      </c>
      <c r="C3867">
        <v>12</v>
      </c>
      <c r="D3867">
        <v>14</v>
      </c>
    </row>
    <row r="3868" spans="2:4" x14ac:dyDescent="0.25">
      <c r="B3868" t="s">
        <v>1099</v>
      </c>
      <c r="C3868">
        <v>14</v>
      </c>
      <c r="D3868">
        <v>6</v>
      </c>
    </row>
    <row r="3869" spans="2:4" x14ac:dyDescent="0.25">
      <c r="B3869" t="s">
        <v>1099</v>
      </c>
      <c r="C3869">
        <v>14</v>
      </c>
      <c r="D3869">
        <v>8</v>
      </c>
    </row>
    <row r="3870" spans="2:4" x14ac:dyDescent="0.25">
      <c r="B3870" t="s">
        <v>1099</v>
      </c>
      <c r="C3870">
        <v>14</v>
      </c>
      <c r="D3870">
        <v>13</v>
      </c>
    </row>
    <row r="3871" spans="2:4" x14ac:dyDescent="0.25">
      <c r="B3871" t="s">
        <v>1099</v>
      </c>
      <c r="C3871">
        <v>14</v>
      </c>
      <c r="D3871">
        <v>14</v>
      </c>
    </row>
    <row r="3872" spans="2:4" x14ac:dyDescent="0.25">
      <c r="B3872" t="s">
        <v>1099</v>
      </c>
      <c r="C3872">
        <v>15</v>
      </c>
      <c r="D3872">
        <v>6</v>
      </c>
    </row>
    <row r="3873" spans="2:4" x14ac:dyDescent="0.25">
      <c r="B3873" t="s">
        <v>1099</v>
      </c>
      <c r="C3873">
        <v>15</v>
      </c>
      <c r="D3873">
        <v>8</v>
      </c>
    </row>
    <row r="3874" spans="2:4" x14ac:dyDescent="0.25">
      <c r="B3874" t="s">
        <v>1099</v>
      </c>
      <c r="C3874">
        <v>15</v>
      </c>
      <c r="D3874">
        <v>13</v>
      </c>
    </row>
    <row r="3875" spans="2:4" x14ac:dyDescent="0.25">
      <c r="B3875" t="s">
        <v>1099</v>
      </c>
      <c r="C3875">
        <v>15</v>
      </c>
      <c r="D3875">
        <v>14</v>
      </c>
    </row>
    <row r="3876" spans="2:4" x14ac:dyDescent="0.25">
      <c r="B3876" t="s">
        <v>1099</v>
      </c>
      <c r="C3876">
        <v>16</v>
      </c>
      <c r="D3876">
        <v>6</v>
      </c>
    </row>
    <row r="3877" spans="2:4" x14ac:dyDescent="0.25">
      <c r="B3877" t="s">
        <v>1099</v>
      </c>
      <c r="C3877">
        <v>16</v>
      </c>
      <c r="D3877">
        <v>8</v>
      </c>
    </row>
    <row r="3878" spans="2:4" x14ac:dyDescent="0.25">
      <c r="B3878" t="s">
        <v>1099</v>
      </c>
      <c r="C3878">
        <v>16</v>
      </c>
      <c r="D3878">
        <v>13</v>
      </c>
    </row>
    <row r="3879" spans="2:4" x14ac:dyDescent="0.25">
      <c r="B3879" t="s">
        <v>1099</v>
      </c>
      <c r="C3879">
        <v>16</v>
      </c>
      <c r="D3879">
        <v>14</v>
      </c>
    </row>
    <row r="3880" spans="2:4" x14ac:dyDescent="0.25">
      <c r="B3880" t="s">
        <v>1099</v>
      </c>
      <c r="C3880">
        <v>17</v>
      </c>
      <c r="D3880">
        <v>6</v>
      </c>
    </row>
    <row r="3881" spans="2:4" x14ac:dyDescent="0.25">
      <c r="B3881" t="s">
        <v>1099</v>
      </c>
      <c r="C3881">
        <v>17</v>
      </c>
      <c r="D3881">
        <v>8</v>
      </c>
    </row>
    <row r="3882" spans="2:4" x14ac:dyDescent="0.25">
      <c r="B3882" t="s">
        <v>1099</v>
      </c>
      <c r="C3882">
        <v>17</v>
      </c>
      <c r="D3882">
        <v>13</v>
      </c>
    </row>
    <row r="3883" spans="2:4" x14ac:dyDescent="0.25">
      <c r="B3883" t="s">
        <v>1099</v>
      </c>
      <c r="C3883">
        <v>17</v>
      </c>
      <c r="D3883">
        <v>14</v>
      </c>
    </row>
    <row r="3884" spans="2:4" x14ac:dyDescent="0.25">
      <c r="B3884" t="s">
        <v>1099</v>
      </c>
      <c r="C3884">
        <v>18</v>
      </c>
      <c r="D3884">
        <v>6</v>
      </c>
    </row>
    <row r="3885" spans="2:4" x14ac:dyDescent="0.25">
      <c r="B3885" t="s">
        <v>1099</v>
      </c>
      <c r="C3885">
        <v>18</v>
      </c>
      <c r="D3885">
        <v>8</v>
      </c>
    </row>
    <row r="3886" spans="2:4" x14ac:dyDescent="0.25">
      <c r="B3886" t="s">
        <v>1099</v>
      </c>
      <c r="C3886">
        <v>18</v>
      </c>
      <c r="D3886">
        <v>13</v>
      </c>
    </row>
    <row r="3887" spans="2:4" x14ac:dyDescent="0.25">
      <c r="B3887" t="s">
        <v>1099</v>
      </c>
      <c r="C3887">
        <v>18</v>
      </c>
      <c r="D3887">
        <v>14</v>
      </c>
    </row>
    <row r="3888" spans="2:4" x14ac:dyDescent="0.25">
      <c r="B3888" t="s">
        <v>1099</v>
      </c>
      <c r="C3888">
        <v>19</v>
      </c>
      <c r="D3888">
        <v>6</v>
      </c>
    </row>
    <row r="3889" spans="2:4" x14ac:dyDescent="0.25">
      <c r="B3889" t="s">
        <v>1099</v>
      </c>
      <c r="C3889">
        <v>19</v>
      </c>
      <c r="D3889">
        <v>8</v>
      </c>
    </row>
    <row r="3890" spans="2:4" x14ac:dyDescent="0.25">
      <c r="B3890" t="s">
        <v>1099</v>
      </c>
      <c r="C3890">
        <v>19</v>
      </c>
      <c r="D3890">
        <v>13</v>
      </c>
    </row>
    <row r="3891" spans="2:4" x14ac:dyDescent="0.25">
      <c r="B3891" t="s">
        <v>1099</v>
      </c>
      <c r="C3891">
        <v>19</v>
      </c>
      <c r="D3891">
        <v>14</v>
      </c>
    </row>
    <row r="3892" spans="2:4" x14ac:dyDescent="0.25">
      <c r="B3892" t="s">
        <v>1099</v>
      </c>
      <c r="C3892">
        <v>21</v>
      </c>
      <c r="D3892">
        <v>6</v>
      </c>
    </row>
    <row r="3893" spans="2:4" x14ac:dyDescent="0.25">
      <c r="B3893" t="s">
        <v>1099</v>
      </c>
      <c r="C3893">
        <v>21</v>
      </c>
      <c r="D3893">
        <v>8</v>
      </c>
    </row>
    <row r="3894" spans="2:4" x14ac:dyDescent="0.25">
      <c r="B3894" t="s">
        <v>1099</v>
      </c>
      <c r="C3894">
        <v>21</v>
      </c>
      <c r="D3894">
        <v>13</v>
      </c>
    </row>
    <row r="3895" spans="2:4" x14ac:dyDescent="0.25">
      <c r="B3895" t="s">
        <v>1099</v>
      </c>
      <c r="C3895">
        <v>21</v>
      </c>
      <c r="D3895">
        <v>14</v>
      </c>
    </row>
    <row r="3896" spans="2:4" x14ac:dyDescent="0.25">
      <c r="B3896" t="s">
        <v>1099</v>
      </c>
      <c r="C3896">
        <v>22</v>
      </c>
      <c r="D3896">
        <v>6</v>
      </c>
    </row>
    <row r="3897" spans="2:4" x14ac:dyDescent="0.25">
      <c r="B3897" t="s">
        <v>1099</v>
      </c>
      <c r="C3897">
        <v>22</v>
      </c>
      <c r="D3897">
        <v>8</v>
      </c>
    </row>
    <row r="3898" spans="2:4" x14ac:dyDescent="0.25">
      <c r="B3898" t="s">
        <v>1099</v>
      </c>
      <c r="C3898">
        <v>22</v>
      </c>
      <c r="D3898">
        <v>13</v>
      </c>
    </row>
    <row r="3899" spans="2:4" x14ac:dyDescent="0.25">
      <c r="B3899" t="s">
        <v>1099</v>
      </c>
      <c r="C3899">
        <v>22</v>
      </c>
      <c r="D3899">
        <v>14</v>
      </c>
    </row>
    <row r="3900" spans="2:4" x14ac:dyDescent="0.25">
      <c r="B3900" t="s">
        <v>1099</v>
      </c>
      <c r="C3900">
        <v>23</v>
      </c>
      <c r="D3900">
        <v>6</v>
      </c>
    </row>
    <row r="3901" spans="2:4" x14ac:dyDescent="0.25">
      <c r="B3901" t="s">
        <v>1099</v>
      </c>
      <c r="C3901">
        <v>23</v>
      </c>
      <c r="D3901">
        <v>8</v>
      </c>
    </row>
    <row r="3902" spans="2:4" x14ac:dyDescent="0.25">
      <c r="B3902" t="s">
        <v>1099</v>
      </c>
      <c r="C3902">
        <v>23</v>
      </c>
      <c r="D3902">
        <v>13</v>
      </c>
    </row>
    <row r="3903" spans="2:4" x14ac:dyDescent="0.25">
      <c r="B3903" t="s">
        <v>1099</v>
      </c>
      <c r="C3903">
        <v>23</v>
      </c>
      <c r="D3903">
        <v>14</v>
      </c>
    </row>
    <row r="3904" spans="2:4" x14ac:dyDescent="0.25">
      <c r="B3904" t="s">
        <v>1099</v>
      </c>
      <c r="C3904">
        <v>24</v>
      </c>
      <c r="D3904">
        <v>6</v>
      </c>
    </row>
    <row r="3905" spans="2:4" x14ac:dyDescent="0.25">
      <c r="B3905" t="s">
        <v>1099</v>
      </c>
      <c r="C3905">
        <v>24</v>
      </c>
      <c r="D3905">
        <v>8</v>
      </c>
    </row>
    <row r="3906" spans="2:4" x14ac:dyDescent="0.25">
      <c r="B3906" t="s">
        <v>1099</v>
      </c>
      <c r="C3906">
        <v>24</v>
      </c>
      <c r="D3906">
        <v>13</v>
      </c>
    </row>
    <row r="3907" spans="2:4" x14ac:dyDescent="0.25">
      <c r="B3907" t="s">
        <v>1099</v>
      </c>
      <c r="C3907">
        <v>24</v>
      </c>
      <c r="D3907">
        <v>14</v>
      </c>
    </row>
    <row r="3908" spans="2:4" x14ac:dyDescent="0.25">
      <c r="B3908" t="s">
        <v>1099</v>
      </c>
      <c r="C3908">
        <v>25</v>
      </c>
      <c r="D3908">
        <v>6</v>
      </c>
    </row>
    <row r="3909" spans="2:4" x14ac:dyDescent="0.25">
      <c r="B3909" t="s">
        <v>1099</v>
      </c>
      <c r="C3909">
        <v>25</v>
      </c>
      <c r="D3909">
        <v>8</v>
      </c>
    </row>
    <row r="3910" spans="2:4" x14ac:dyDescent="0.25">
      <c r="B3910" t="s">
        <v>1099</v>
      </c>
      <c r="C3910">
        <v>25</v>
      </c>
      <c r="D3910">
        <v>13</v>
      </c>
    </row>
    <row r="3911" spans="2:4" x14ac:dyDescent="0.25">
      <c r="B3911" t="s">
        <v>1099</v>
      </c>
      <c r="C3911">
        <v>25</v>
      </c>
      <c r="D3911">
        <v>14</v>
      </c>
    </row>
    <row r="3912" spans="2:4" x14ac:dyDescent="0.25">
      <c r="B3912" t="s">
        <v>1099</v>
      </c>
      <c r="C3912">
        <v>26</v>
      </c>
      <c r="D3912">
        <v>6</v>
      </c>
    </row>
    <row r="3913" spans="2:4" x14ac:dyDescent="0.25">
      <c r="B3913" t="s">
        <v>1099</v>
      </c>
      <c r="C3913">
        <v>26</v>
      </c>
      <c r="D3913">
        <v>8</v>
      </c>
    </row>
    <row r="3914" spans="2:4" x14ac:dyDescent="0.25">
      <c r="B3914" t="s">
        <v>1099</v>
      </c>
      <c r="C3914">
        <v>26</v>
      </c>
      <c r="D3914">
        <v>13</v>
      </c>
    </row>
    <row r="3915" spans="2:4" x14ac:dyDescent="0.25">
      <c r="B3915" t="s">
        <v>1099</v>
      </c>
      <c r="C3915">
        <v>26</v>
      </c>
      <c r="D3915">
        <v>14</v>
      </c>
    </row>
    <row r="3916" spans="2:4" x14ac:dyDescent="0.25">
      <c r="B3916" t="s">
        <v>1099</v>
      </c>
      <c r="C3916">
        <v>27</v>
      </c>
      <c r="D3916">
        <v>5</v>
      </c>
    </row>
    <row r="3917" spans="2:4" x14ac:dyDescent="0.25">
      <c r="B3917" t="s">
        <v>1099</v>
      </c>
      <c r="C3917">
        <v>29</v>
      </c>
      <c r="D3917">
        <v>6</v>
      </c>
    </row>
    <row r="3918" spans="2:4" x14ac:dyDescent="0.25">
      <c r="B3918" t="s">
        <v>1099</v>
      </c>
      <c r="C3918">
        <v>29</v>
      </c>
      <c r="D3918">
        <v>8</v>
      </c>
    </row>
    <row r="3919" spans="2:4" x14ac:dyDescent="0.25">
      <c r="B3919" t="s">
        <v>1099</v>
      </c>
      <c r="C3919">
        <v>29</v>
      </c>
      <c r="D3919">
        <v>13</v>
      </c>
    </row>
    <row r="3920" spans="2:4" x14ac:dyDescent="0.25">
      <c r="B3920" t="s">
        <v>1099</v>
      </c>
      <c r="C3920">
        <v>29</v>
      </c>
      <c r="D3920">
        <v>14</v>
      </c>
    </row>
    <row r="3921" spans="2:4" x14ac:dyDescent="0.25">
      <c r="B3921" t="s">
        <v>1099</v>
      </c>
      <c r="C3921">
        <v>30</v>
      </c>
      <c r="D3921">
        <v>6</v>
      </c>
    </row>
    <row r="3922" spans="2:4" x14ac:dyDescent="0.25">
      <c r="B3922" t="s">
        <v>1099</v>
      </c>
      <c r="C3922">
        <v>30</v>
      </c>
      <c r="D3922">
        <v>8</v>
      </c>
    </row>
    <row r="3923" spans="2:4" x14ac:dyDescent="0.25">
      <c r="B3923" t="s">
        <v>1099</v>
      </c>
      <c r="C3923">
        <v>30</v>
      </c>
      <c r="D3923">
        <v>13</v>
      </c>
    </row>
    <row r="3924" spans="2:4" x14ac:dyDescent="0.25">
      <c r="B3924" t="s">
        <v>1099</v>
      </c>
      <c r="C3924">
        <v>30</v>
      </c>
      <c r="D3924">
        <v>14</v>
      </c>
    </row>
    <row r="3925" spans="2:4" x14ac:dyDescent="0.25">
      <c r="B3925" t="s">
        <v>1099</v>
      </c>
      <c r="C3925">
        <v>31</v>
      </c>
      <c r="D3925">
        <v>6</v>
      </c>
    </row>
    <row r="3926" spans="2:4" x14ac:dyDescent="0.25">
      <c r="B3926" t="s">
        <v>1099</v>
      </c>
      <c r="C3926">
        <v>31</v>
      </c>
      <c r="D3926">
        <v>8</v>
      </c>
    </row>
    <row r="3927" spans="2:4" x14ac:dyDescent="0.25">
      <c r="B3927" t="s">
        <v>1099</v>
      </c>
      <c r="C3927">
        <v>31</v>
      </c>
      <c r="D3927">
        <v>13</v>
      </c>
    </row>
    <row r="3928" spans="2:4" x14ac:dyDescent="0.25">
      <c r="B3928" t="s">
        <v>1099</v>
      </c>
      <c r="C3928">
        <v>31</v>
      </c>
      <c r="D3928">
        <v>14</v>
      </c>
    </row>
    <row r="3929" spans="2:4" x14ac:dyDescent="0.25">
      <c r="B3929" t="s">
        <v>1099</v>
      </c>
      <c r="C3929">
        <v>34</v>
      </c>
      <c r="D3929">
        <v>6</v>
      </c>
    </row>
    <row r="3930" spans="2:4" x14ac:dyDescent="0.25">
      <c r="B3930" t="s">
        <v>1099</v>
      </c>
      <c r="C3930">
        <v>34</v>
      </c>
      <c r="D3930">
        <v>8</v>
      </c>
    </row>
    <row r="3931" spans="2:4" x14ac:dyDescent="0.25">
      <c r="B3931" t="s">
        <v>1099</v>
      </c>
      <c r="C3931">
        <v>34</v>
      </c>
      <c r="D3931">
        <v>13</v>
      </c>
    </row>
    <row r="3932" spans="2:4" x14ac:dyDescent="0.25">
      <c r="B3932" t="s">
        <v>1099</v>
      </c>
      <c r="C3932">
        <v>34</v>
      </c>
      <c r="D3932">
        <v>14</v>
      </c>
    </row>
    <row r="3933" spans="2:4" x14ac:dyDescent="0.25">
      <c r="B3933" t="s">
        <v>1099</v>
      </c>
      <c r="C3933">
        <v>35</v>
      </c>
      <c r="D3933">
        <v>6</v>
      </c>
    </row>
    <row r="3934" spans="2:4" x14ac:dyDescent="0.25">
      <c r="B3934" t="s">
        <v>1099</v>
      </c>
      <c r="C3934">
        <v>35</v>
      </c>
      <c r="D3934">
        <v>8</v>
      </c>
    </row>
    <row r="3935" spans="2:4" x14ac:dyDescent="0.25">
      <c r="B3935" t="s">
        <v>1099</v>
      </c>
      <c r="C3935">
        <v>35</v>
      </c>
      <c r="D3935">
        <v>13</v>
      </c>
    </row>
    <row r="3936" spans="2:4" x14ac:dyDescent="0.25">
      <c r="B3936" t="s">
        <v>1099</v>
      </c>
      <c r="C3936">
        <v>35</v>
      </c>
      <c r="D3936">
        <v>14</v>
      </c>
    </row>
    <row r="3937" spans="2:4" x14ac:dyDescent="0.25">
      <c r="B3937" t="s">
        <v>1099</v>
      </c>
      <c r="C3937">
        <v>36</v>
      </c>
      <c r="D3937">
        <v>6</v>
      </c>
    </row>
    <row r="3938" spans="2:4" x14ac:dyDescent="0.25">
      <c r="B3938" t="s">
        <v>1099</v>
      </c>
      <c r="C3938">
        <v>36</v>
      </c>
      <c r="D3938">
        <v>8</v>
      </c>
    </row>
    <row r="3939" spans="2:4" x14ac:dyDescent="0.25">
      <c r="B3939" t="s">
        <v>1099</v>
      </c>
      <c r="C3939">
        <v>36</v>
      </c>
      <c r="D3939">
        <v>13</v>
      </c>
    </row>
    <row r="3940" spans="2:4" x14ac:dyDescent="0.25">
      <c r="B3940" t="s">
        <v>1099</v>
      </c>
      <c r="C3940">
        <v>36</v>
      </c>
      <c r="D3940">
        <v>14</v>
      </c>
    </row>
    <row r="3941" spans="2:4" x14ac:dyDescent="0.25">
      <c r="B3941" t="s">
        <v>1099</v>
      </c>
      <c r="C3941">
        <v>38</v>
      </c>
      <c r="D3941">
        <v>6</v>
      </c>
    </row>
    <row r="3942" spans="2:4" x14ac:dyDescent="0.25">
      <c r="B3942" t="s">
        <v>1099</v>
      </c>
      <c r="C3942">
        <v>38</v>
      </c>
      <c r="D3942">
        <v>8</v>
      </c>
    </row>
    <row r="3943" spans="2:4" x14ac:dyDescent="0.25">
      <c r="B3943" t="s">
        <v>1099</v>
      </c>
      <c r="C3943">
        <v>38</v>
      </c>
      <c r="D3943">
        <v>13</v>
      </c>
    </row>
    <row r="3944" spans="2:4" x14ac:dyDescent="0.25">
      <c r="B3944" t="s">
        <v>1099</v>
      </c>
      <c r="C3944">
        <v>38</v>
      </c>
      <c r="D3944">
        <v>14</v>
      </c>
    </row>
    <row r="3945" spans="2:4" x14ac:dyDescent="0.25">
      <c r="B3945" t="s">
        <v>1099</v>
      </c>
      <c r="C3945">
        <v>39</v>
      </c>
      <c r="D3945">
        <v>6</v>
      </c>
    </row>
    <row r="3946" spans="2:4" x14ac:dyDescent="0.25">
      <c r="B3946" t="s">
        <v>1099</v>
      </c>
      <c r="C3946">
        <v>39</v>
      </c>
      <c r="D3946">
        <v>8</v>
      </c>
    </row>
    <row r="3947" spans="2:4" x14ac:dyDescent="0.25">
      <c r="B3947" t="s">
        <v>1099</v>
      </c>
      <c r="C3947">
        <v>39</v>
      </c>
      <c r="D3947">
        <v>13</v>
      </c>
    </row>
    <row r="3948" spans="2:4" x14ac:dyDescent="0.25">
      <c r="B3948" t="s">
        <v>1099</v>
      </c>
      <c r="C3948">
        <v>39</v>
      </c>
      <c r="D3948">
        <v>14</v>
      </c>
    </row>
    <row r="3949" spans="2:4" x14ac:dyDescent="0.25">
      <c r="B3949" t="s">
        <v>1099</v>
      </c>
      <c r="C3949">
        <v>40</v>
      </c>
      <c r="D3949">
        <v>6</v>
      </c>
    </row>
    <row r="3950" spans="2:4" x14ac:dyDescent="0.25">
      <c r="B3950" t="s">
        <v>1099</v>
      </c>
      <c r="C3950">
        <v>40</v>
      </c>
      <c r="D3950">
        <v>8</v>
      </c>
    </row>
    <row r="3951" spans="2:4" x14ac:dyDescent="0.25">
      <c r="B3951" t="s">
        <v>1099</v>
      </c>
      <c r="C3951">
        <v>40</v>
      </c>
      <c r="D3951">
        <v>13</v>
      </c>
    </row>
    <row r="3952" spans="2:4" x14ac:dyDescent="0.25">
      <c r="B3952" t="s">
        <v>1099</v>
      </c>
      <c r="C3952">
        <v>40</v>
      </c>
      <c r="D3952">
        <v>14</v>
      </c>
    </row>
    <row r="3953" spans="2:4" x14ac:dyDescent="0.25">
      <c r="B3953" t="s">
        <v>1099</v>
      </c>
      <c r="C3953">
        <v>41</v>
      </c>
      <c r="D3953">
        <v>6</v>
      </c>
    </row>
    <row r="3954" spans="2:4" x14ac:dyDescent="0.25">
      <c r="B3954" t="s">
        <v>1099</v>
      </c>
      <c r="C3954">
        <v>41</v>
      </c>
      <c r="D3954">
        <v>8</v>
      </c>
    </row>
    <row r="3955" spans="2:4" x14ac:dyDescent="0.25">
      <c r="B3955" t="s">
        <v>1099</v>
      </c>
      <c r="C3955">
        <v>41</v>
      </c>
      <c r="D3955">
        <v>13</v>
      </c>
    </row>
    <row r="3956" spans="2:4" x14ac:dyDescent="0.25">
      <c r="B3956" t="s">
        <v>1099</v>
      </c>
      <c r="C3956">
        <v>41</v>
      </c>
      <c r="D3956">
        <v>14</v>
      </c>
    </row>
    <row r="3957" spans="2:4" x14ac:dyDescent="0.25">
      <c r="B3957" t="s">
        <v>1099</v>
      </c>
      <c r="C3957">
        <v>43</v>
      </c>
      <c r="D3957">
        <v>6</v>
      </c>
    </row>
    <row r="3958" spans="2:4" x14ac:dyDescent="0.25">
      <c r="B3958" t="s">
        <v>1099</v>
      </c>
      <c r="C3958">
        <v>43</v>
      </c>
      <c r="D3958">
        <v>8</v>
      </c>
    </row>
    <row r="3959" spans="2:4" x14ac:dyDescent="0.25">
      <c r="B3959" t="s">
        <v>1099</v>
      </c>
      <c r="C3959">
        <v>43</v>
      </c>
      <c r="D3959">
        <v>13</v>
      </c>
    </row>
    <row r="3960" spans="2:4" x14ac:dyDescent="0.25">
      <c r="B3960" t="s">
        <v>1099</v>
      </c>
      <c r="C3960">
        <v>43</v>
      </c>
      <c r="D3960">
        <v>14</v>
      </c>
    </row>
    <row r="3961" spans="2:4" x14ac:dyDescent="0.25">
      <c r="B3961" t="s">
        <v>1099</v>
      </c>
      <c r="C3961">
        <v>44</v>
      </c>
      <c r="D3961">
        <v>6</v>
      </c>
    </row>
    <row r="3962" spans="2:4" x14ac:dyDescent="0.25">
      <c r="B3962" t="s">
        <v>1099</v>
      </c>
      <c r="C3962">
        <v>44</v>
      </c>
      <c r="D3962">
        <v>8</v>
      </c>
    </row>
    <row r="3963" spans="2:4" x14ac:dyDescent="0.25">
      <c r="B3963" t="s">
        <v>1099</v>
      </c>
      <c r="C3963">
        <v>44</v>
      </c>
      <c r="D3963">
        <v>13</v>
      </c>
    </row>
    <row r="3964" spans="2:4" x14ac:dyDescent="0.25">
      <c r="B3964" t="s">
        <v>1099</v>
      </c>
      <c r="C3964">
        <v>44</v>
      </c>
      <c r="D3964">
        <v>14</v>
      </c>
    </row>
    <row r="3965" spans="2:4" x14ac:dyDescent="0.25">
      <c r="B3965" t="s">
        <v>1099</v>
      </c>
      <c r="C3965">
        <v>45</v>
      </c>
      <c r="D3965">
        <v>6</v>
      </c>
    </row>
    <row r="3966" spans="2:4" x14ac:dyDescent="0.25">
      <c r="B3966" t="s">
        <v>1099</v>
      </c>
      <c r="C3966">
        <v>45</v>
      </c>
      <c r="D3966">
        <v>8</v>
      </c>
    </row>
    <row r="3967" spans="2:4" x14ac:dyDescent="0.25">
      <c r="B3967" t="s">
        <v>1099</v>
      </c>
      <c r="C3967">
        <v>45</v>
      </c>
      <c r="D3967">
        <v>13</v>
      </c>
    </row>
    <row r="3968" spans="2:4" x14ac:dyDescent="0.25">
      <c r="B3968" t="s">
        <v>1099</v>
      </c>
      <c r="C3968">
        <v>45</v>
      </c>
      <c r="D3968">
        <v>14</v>
      </c>
    </row>
    <row r="3969" spans="2:4" x14ac:dyDescent="0.25">
      <c r="B3969" t="s">
        <v>1099</v>
      </c>
      <c r="C3969">
        <v>46</v>
      </c>
      <c r="D3969">
        <v>6</v>
      </c>
    </row>
    <row r="3970" spans="2:4" x14ac:dyDescent="0.25">
      <c r="B3970" t="s">
        <v>1099</v>
      </c>
      <c r="C3970">
        <v>46</v>
      </c>
      <c r="D3970">
        <v>8</v>
      </c>
    </row>
    <row r="3971" spans="2:4" x14ac:dyDescent="0.25">
      <c r="B3971" t="s">
        <v>1099</v>
      </c>
      <c r="C3971">
        <v>46</v>
      </c>
      <c r="D3971">
        <v>13</v>
      </c>
    </row>
    <row r="3972" spans="2:4" x14ac:dyDescent="0.25">
      <c r="B3972" t="s">
        <v>1099</v>
      </c>
      <c r="C3972">
        <v>46</v>
      </c>
      <c r="D3972">
        <v>14</v>
      </c>
    </row>
    <row r="3973" spans="2:4" x14ac:dyDescent="0.25">
      <c r="B3973" t="s">
        <v>1099</v>
      </c>
      <c r="C3973">
        <v>47</v>
      </c>
      <c r="D3973">
        <v>6</v>
      </c>
    </row>
    <row r="3974" spans="2:4" x14ac:dyDescent="0.25">
      <c r="B3974" t="s">
        <v>1099</v>
      </c>
      <c r="C3974">
        <v>47</v>
      </c>
      <c r="D3974">
        <v>8</v>
      </c>
    </row>
    <row r="3975" spans="2:4" x14ac:dyDescent="0.25">
      <c r="B3975" t="s">
        <v>1099</v>
      </c>
      <c r="C3975">
        <v>47</v>
      </c>
      <c r="D3975">
        <v>13</v>
      </c>
    </row>
    <row r="3976" spans="2:4" x14ac:dyDescent="0.25">
      <c r="B3976" t="s">
        <v>1099</v>
      </c>
      <c r="C3976">
        <v>47</v>
      </c>
      <c r="D3976">
        <v>14</v>
      </c>
    </row>
    <row r="3977" spans="2:4" x14ac:dyDescent="0.25">
      <c r="B3977" t="s">
        <v>1099</v>
      </c>
      <c r="C3977">
        <v>48</v>
      </c>
      <c r="D3977">
        <v>6</v>
      </c>
    </row>
    <row r="3978" spans="2:4" x14ac:dyDescent="0.25">
      <c r="B3978" t="s">
        <v>1099</v>
      </c>
      <c r="C3978">
        <v>48</v>
      </c>
      <c r="D3978">
        <v>8</v>
      </c>
    </row>
    <row r="3979" spans="2:4" x14ac:dyDescent="0.25">
      <c r="B3979" t="s">
        <v>1099</v>
      </c>
      <c r="C3979">
        <v>48</v>
      </c>
      <c r="D3979">
        <v>13</v>
      </c>
    </row>
    <row r="3980" spans="2:4" x14ac:dyDescent="0.25">
      <c r="B3980" t="s">
        <v>1099</v>
      </c>
      <c r="C3980">
        <v>48</v>
      </c>
      <c r="D3980">
        <v>14</v>
      </c>
    </row>
    <row r="3981" spans="2:4" x14ac:dyDescent="0.25">
      <c r="B3981" t="s">
        <v>1099</v>
      </c>
      <c r="C3981">
        <v>49</v>
      </c>
      <c r="D3981">
        <v>6</v>
      </c>
    </row>
    <row r="3982" spans="2:4" x14ac:dyDescent="0.25">
      <c r="B3982" t="s">
        <v>1099</v>
      </c>
      <c r="C3982">
        <v>49</v>
      </c>
      <c r="D3982">
        <v>8</v>
      </c>
    </row>
    <row r="3983" spans="2:4" x14ac:dyDescent="0.25">
      <c r="B3983" t="s">
        <v>1099</v>
      </c>
      <c r="C3983">
        <v>49</v>
      </c>
      <c r="D3983">
        <v>13</v>
      </c>
    </row>
    <row r="3984" spans="2:4" x14ac:dyDescent="0.25">
      <c r="B3984" t="s">
        <v>1099</v>
      </c>
      <c r="C3984">
        <v>49</v>
      </c>
      <c r="D3984">
        <v>14</v>
      </c>
    </row>
    <row r="3985" spans="2:4" x14ac:dyDescent="0.25">
      <c r="B3985" t="s">
        <v>1099</v>
      </c>
      <c r="C3985">
        <v>50</v>
      </c>
      <c r="D3985">
        <v>6</v>
      </c>
    </row>
    <row r="3986" spans="2:4" x14ac:dyDescent="0.25">
      <c r="B3986" t="s">
        <v>1099</v>
      </c>
      <c r="C3986">
        <v>50</v>
      </c>
      <c r="D3986">
        <v>8</v>
      </c>
    </row>
    <row r="3987" spans="2:4" x14ac:dyDescent="0.25">
      <c r="B3987" t="s">
        <v>1099</v>
      </c>
      <c r="C3987">
        <v>50</v>
      </c>
      <c r="D3987">
        <v>13</v>
      </c>
    </row>
    <row r="3988" spans="2:4" x14ac:dyDescent="0.25">
      <c r="B3988" t="s">
        <v>1099</v>
      </c>
      <c r="C3988">
        <v>50</v>
      </c>
      <c r="D3988">
        <v>14</v>
      </c>
    </row>
    <row r="3989" spans="2:4" x14ac:dyDescent="0.25">
      <c r="B3989" t="s">
        <v>1099</v>
      </c>
      <c r="C3989">
        <v>51</v>
      </c>
      <c r="D3989">
        <v>6</v>
      </c>
    </row>
    <row r="3990" spans="2:4" x14ac:dyDescent="0.25">
      <c r="B3990" t="s">
        <v>1099</v>
      </c>
      <c r="C3990">
        <v>51</v>
      </c>
      <c r="D3990">
        <v>8</v>
      </c>
    </row>
    <row r="3991" spans="2:4" x14ac:dyDescent="0.25">
      <c r="B3991" t="s">
        <v>1099</v>
      </c>
      <c r="C3991">
        <v>51</v>
      </c>
      <c r="D3991">
        <v>13</v>
      </c>
    </row>
    <row r="3992" spans="2:4" x14ac:dyDescent="0.25">
      <c r="B3992" t="s">
        <v>1099</v>
      </c>
      <c r="C3992">
        <v>51</v>
      </c>
      <c r="D3992">
        <v>14</v>
      </c>
    </row>
    <row r="3993" spans="2:4" x14ac:dyDescent="0.25">
      <c r="B3993" t="s">
        <v>1099</v>
      </c>
      <c r="C3993">
        <v>52</v>
      </c>
      <c r="D3993">
        <v>6</v>
      </c>
    </row>
    <row r="3994" spans="2:4" x14ac:dyDescent="0.25">
      <c r="B3994" t="s">
        <v>1099</v>
      </c>
      <c r="C3994">
        <v>52</v>
      </c>
      <c r="D3994">
        <v>8</v>
      </c>
    </row>
    <row r="3995" spans="2:4" x14ac:dyDescent="0.25">
      <c r="B3995" t="s">
        <v>1099</v>
      </c>
      <c r="C3995">
        <v>52</v>
      </c>
      <c r="D3995">
        <v>13</v>
      </c>
    </row>
    <row r="3996" spans="2:4" x14ac:dyDescent="0.25">
      <c r="B3996" t="s">
        <v>1099</v>
      </c>
      <c r="C3996">
        <v>52</v>
      </c>
      <c r="D3996">
        <v>14</v>
      </c>
    </row>
    <row r="3997" spans="2:4" x14ac:dyDescent="0.25">
      <c r="B3997" t="s">
        <v>1099</v>
      </c>
      <c r="C3997">
        <v>53</v>
      </c>
      <c r="D3997">
        <v>6</v>
      </c>
    </row>
    <row r="3998" spans="2:4" x14ac:dyDescent="0.25">
      <c r="B3998" t="s">
        <v>1099</v>
      </c>
      <c r="C3998">
        <v>53</v>
      </c>
      <c r="D3998">
        <v>8</v>
      </c>
    </row>
    <row r="3999" spans="2:4" x14ac:dyDescent="0.25">
      <c r="B3999" t="s">
        <v>1099</v>
      </c>
      <c r="C3999">
        <v>53</v>
      </c>
      <c r="D3999">
        <v>13</v>
      </c>
    </row>
    <row r="4000" spans="2:4" x14ac:dyDescent="0.25">
      <c r="B4000" t="s">
        <v>1099</v>
      </c>
      <c r="C4000">
        <v>53</v>
      </c>
      <c r="D4000">
        <v>14</v>
      </c>
    </row>
    <row r="4001" spans="2:4" x14ac:dyDescent="0.25">
      <c r="B4001" t="s">
        <v>1099</v>
      </c>
      <c r="C4001">
        <v>54</v>
      </c>
      <c r="D4001">
        <v>6</v>
      </c>
    </row>
    <row r="4002" spans="2:4" x14ac:dyDescent="0.25">
      <c r="B4002" t="s">
        <v>1099</v>
      </c>
      <c r="C4002">
        <v>54</v>
      </c>
      <c r="D4002">
        <v>8</v>
      </c>
    </row>
    <row r="4003" spans="2:4" x14ac:dyDescent="0.25">
      <c r="B4003" t="s">
        <v>1099</v>
      </c>
      <c r="C4003">
        <v>54</v>
      </c>
      <c r="D4003">
        <v>13</v>
      </c>
    </row>
    <row r="4004" spans="2:4" x14ac:dyDescent="0.25">
      <c r="B4004" t="s">
        <v>1099</v>
      </c>
      <c r="C4004">
        <v>54</v>
      </c>
      <c r="D4004">
        <v>14</v>
      </c>
    </row>
    <row r="4005" spans="2:4" x14ac:dyDescent="0.25">
      <c r="B4005" t="s">
        <v>1099</v>
      </c>
      <c r="C4005">
        <v>55</v>
      </c>
      <c r="D4005">
        <v>6</v>
      </c>
    </row>
    <row r="4006" spans="2:4" x14ac:dyDescent="0.25">
      <c r="B4006" t="s">
        <v>1099</v>
      </c>
      <c r="C4006">
        <v>55</v>
      </c>
      <c r="D4006">
        <v>8</v>
      </c>
    </row>
    <row r="4007" spans="2:4" x14ac:dyDescent="0.25">
      <c r="B4007" t="s">
        <v>1099</v>
      </c>
      <c r="C4007">
        <v>55</v>
      </c>
      <c r="D4007">
        <v>13</v>
      </c>
    </row>
    <row r="4008" spans="2:4" x14ac:dyDescent="0.25">
      <c r="B4008" t="s">
        <v>1099</v>
      </c>
      <c r="C4008">
        <v>55</v>
      </c>
      <c r="D4008">
        <v>14</v>
      </c>
    </row>
    <row r="4009" spans="2:4" x14ac:dyDescent="0.25">
      <c r="B4009" t="s">
        <v>1099</v>
      </c>
      <c r="C4009">
        <v>56</v>
      </c>
      <c r="D4009">
        <v>5</v>
      </c>
    </row>
    <row r="4010" spans="2:4" x14ac:dyDescent="0.25">
      <c r="B4010" t="s">
        <v>1099</v>
      </c>
      <c r="C4010">
        <v>57</v>
      </c>
      <c r="D4010">
        <v>5</v>
      </c>
    </row>
    <row r="4011" spans="2:4" x14ac:dyDescent="0.25">
      <c r="B4011" t="s">
        <v>1099</v>
      </c>
      <c r="C4011">
        <v>58</v>
      </c>
      <c r="D4011">
        <v>6</v>
      </c>
    </row>
    <row r="4012" spans="2:4" x14ac:dyDescent="0.25">
      <c r="B4012" t="s">
        <v>1099</v>
      </c>
      <c r="C4012">
        <v>58</v>
      </c>
      <c r="D4012">
        <v>8</v>
      </c>
    </row>
    <row r="4013" spans="2:4" x14ac:dyDescent="0.25">
      <c r="B4013" t="s">
        <v>1099</v>
      </c>
      <c r="C4013">
        <v>58</v>
      </c>
      <c r="D4013">
        <v>13</v>
      </c>
    </row>
    <row r="4014" spans="2:4" x14ac:dyDescent="0.25">
      <c r="B4014" t="s">
        <v>1099</v>
      </c>
      <c r="C4014">
        <v>58</v>
      </c>
      <c r="D4014">
        <v>14</v>
      </c>
    </row>
    <row r="4015" spans="2:4" x14ac:dyDescent="0.25">
      <c r="B4015" t="s">
        <v>1099</v>
      </c>
      <c r="C4015">
        <v>59</v>
      </c>
      <c r="D4015">
        <v>6</v>
      </c>
    </row>
    <row r="4016" spans="2:4" x14ac:dyDescent="0.25">
      <c r="B4016" t="s">
        <v>1099</v>
      </c>
      <c r="C4016">
        <v>59</v>
      </c>
      <c r="D4016">
        <v>8</v>
      </c>
    </row>
    <row r="4017" spans="2:4" x14ac:dyDescent="0.25">
      <c r="B4017" t="s">
        <v>1099</v>
      </c>
      <c r="C4017">
        <v>59</v>
      </c>
      <c r="D4017">
        <v>13</v>
      </c>
    </row>
    <row r="4018" spans="2:4" x14ac:dyDescent="0.25">
      <c r="B4018" t="s">
        <v>1099</v>
      </c>
      <c r="C4018">
        <v>59</v>
      </c>
      <c r="D4018">
        <v>14</v>
      </c>
    </row>
    <row r="4019" spans="2:4" x14ac:dyDescent="0.25">
      <c r="B4019" t="s">
        <v>1099</v>
      </c>
      <c r="C4019">
        <v>60</v>
      </c>
      <c r="D4019">
        <v>6</v>
      </c>
    </row>
    <row r="4020" spans="2:4" x14ac:dyDescent="0.25">
      <c r="B4020" t="s">
        <v>1099</v>
      </c>
      <c r="C4020">
        <v>60</v>
      </c>
      <c r="D4020">
        <v>8</v>
      </c>
    </row>
    <row r="4021" spans="2:4" x14ac:dyDescent="0.25">
      <c r="B4021" t="s">
        <v>1099</v>
      </c>
      <c r="C4021">
        <v>60</v>
      </c>
      <c r="D4021">
        <v>13</v>
      </c>
    </row>
    <row r="4022" spans="2:4" x14ac:dyDescent="0.25">
      <c r="B4022" t="s">
        <v>1099</v>
      </c>
      <c r="C4022">
        <v>60</v>
      </c>
      <c r="D4022">
        <v>14</v>
      </c>
    </row>
    <row r="4023" spans="2:4" x14ac:dyDescent="0.25">
      <c r="B4023" t="s">
        <v>1099</v>
      </c>
      <c r="C4023">
        <v>61</v>
      </c>
      <c r="D4023">
        <v>6</v>
      </c>
    </row>
    <row r="4024" spans="2:4" x14ac:dyDescent="0.25">
      <c r="B4024" t="s">
        <v>1099</v>
      </c>
      <c r="C4024">
        <v>61</v>
      </c>
      <c r="D4024">
        <v>8</v>
      </c>
    </row>
    <row r="4025" spans="2:4" x14ac:dyDescent="0.25">
      <c r="B4025" t="s">
        <v>1099</v>
      </c>
      <c r="C4025">
        <v>61</v>
      </c>
      <c r="D4025">
        <v>13</v>
      </c>
    </row>
    <row r="4026" spans="2:4" x14ac:dyDescent="0.25">
      <c r="B4026" t="s">
        <v>1099</v>
      </c>
      <c r="C4026">
        <v>61</v>
      </c>
      <c r="D4026">
        <v>14</v>
      </c>
    </row>
    <row r="4027" spans="2:4" x14ac:dyDescent="0.25">
      <c r="B4027" t="s">
        <v>1099</v>
      </c>
      <c r="C4027">
        <v>62</v>
      </c>
      <c r="D4027">
        <v>5</v>
      </c>
    </row>
    <row r="4028" spans="2:4" x14ac:dyDescent="0.25">
      <c r="B4028" t="s">
        <v>1099</v>
      </c>
      <c r="C4028">
        <v>63</v>
      </c>
      <c r="D4028">
        <v>6</v>
      </c>
    </row>
    <row r="4029" spans="2:4" x14ac:dyDescent="0.25">
      <c r="B4029" t="s">
        <v>1099</v>
      </c>
      <c r="C4029">
        <v>63</v>
      </c>
      <c r="D4029">
        <v>8</v>
      </c>
    </row>
    <row r="4030" spans="2:4" x14ac:dyDescent="0.25">
      <c r="B4030" t="s">
        <v>1099</v>
      </c>
      <c r="C4030">
        <v>63</v>
      </c>
      <c r="D4030">
        <v>13</v>
      </c>
    </row>
    <row r="4031" spans="2:4" x14ac:dyDescent="0.25">
      <c r="B4031" t="s">
        <v>1099</v>
      </c>
      <c r="C4031">
        <v>63</v>
      </c>
      <c r="D4031">
        <v>14</v>
      </c>
    </row>
    <row r="4032" spans="2:4" x14ac:dyDescent="0.25">
      <c r="B4032" t="s">
        <v>1099</v>
      </c>
      <c r="C4032">
        <v>64</v>
      </c>
      <c r="D4032">
        <v>6</v>
      </c>
    </row>
    <row r="4033" spans="2:4" x14ac:dyDescent="0.25">
      <c r="B4033" t="s">
        <v>1099</v>
      </c>
      <c r="C4033">
        <v>64</v>
      </c>
      <c r="D4033">
        <v>8</v>
      </c>
    </row>
    <row r="4034" spans="2:4" x14ac:dyDescent="0.25">
      <c r="B4034" t="s">
        <v>1099</v>
      </c>
      <c r="C4034">
        <v>64</v>
      </c>
      <c r="D4034">
        <v>13</v>
      </c>
    </row>
    <row r="4035" spans="2:4" x14ac:dyDescent="0.25">
      <c r="B4035" t="s">
        <v>1099</v>
      </c>
      <c r="C4035">
        <v>64</v>
      </c>
      <c r="D4035">
        <v>14</v>
      </c>
    </row>
    <row r="4036" spans="2:4" x14ac:dyDescent="0.25">
      <c r="B4036" t="s">
        <v>1099</v>
      </c>
      <c r="C4036">
        <v>65</v>
      </c>
      <c r="D4036">
        <v>6</v>
      </c>
    </row>
    <row r="4037" spans="2:4" x14ac:dyDescent="0.25">
      <c r="B4037" t="s">
        <v>1099</v>
      </c>
      <c r="C4037">
        <v>65</v>
      </c>
      <c r="D4037">
        <v>8</v>
      </c>
    </row>
    <row r="4038" spans="2:4" x14ac:dyDescent="0.25">
      <c r="B4038" t="s">
        <v>1099</v>
      </c>
      <c r="C4038">
        <v>65</v>
      </c>
      <c r="D4038">
        <v>13</v>
      </c>
    </row>
    <row r="4039" spans="2:4" x14ac:dyDescent="0.25">
      <c r="B4039" t="s">
        <v>1099</v>
      </c>
      <c r="C4039">
        <v>65</v>
      </c>
      <c r="D4039">
        <v>14</v>
      </c>
    </row>
    <row r="4040" spans="2:4" x14ac:dyDescent="0.25">
      <c r="B4040" t="s">
        <v>1099</v>
      </c>
      <c r="C4040">
        <v>66</v>
      </c>
      <c r="D4040">
        <v>5</v>
      </c>
    </row>
    <row r="4041" spans="2:4" x14ac:dyDescent="0.25">
      <c r="B4041" t="s">
        <v>1099</v>
      </c>
      <c r="C4041">
        <v>67</v>
      </c>
      <c r="D4041">
        <v>6</v>
      </c>
    </row>
    <row r="4042" spans="2:4" x14ac:dyDescent="0.25">
      <c r="B4042" t="s">
        <v>1099</v>
      </c>
      <c r="C4042">
        <v>67</v>
      </c>
      <c r="D4042">
        <v>8</v>
      </c>
    </row>
    <row r="4043" spans="2:4" x14ac:dyDescent="0.25">
      <c r="B4043" t="s">
        <v>1099</v>
      </c>
      <c r="C4043">
        <v>67</v>
      </c>
      <c r="D4043">
        <v>13</v>
      </c>
    </row>
    <row r="4044" spans="2:4" x14ac:dyDescent="0.25">
      <c r="B4044" t="s">
        <v>1099</v>
      </c>
      <c r="C4044">
        <v>67</v>
      </c>
      <c r="D4044">
        <v>14</v>
      </c>
    </row>
    <row r="4045" spans="2:4" x14ac:dyDescent="0.25">
      <c r="B4045" t="s">
        <v>1099</v>
      </c>
      <c r="C4045">
        <v>68</v>
      </c>
      <c r="D4045">
        <v>6</v>
      </c>
    </row>
    <row r="4046" spans="2:4" x14ac:dyDescent="0.25">
      <c r="B4046" t="s">
        <v>1099</v>
      </c>
      <c r="C4046">
        <v>68</v>
      </c>
      <c r="D4046">
        <v>8</v>
      </c>
    </row>
    <row r="4047" spans="2:4" x14ac:dyDescent="0.25">
      <c r="B4047" t="s">
        <v>1099</v>
      </c>
      <c r="C4047">
        <v>68</v>
      </c>
      <c r="D4047">
        <v>13</v>
      </c>
    </row>
    <row r="4048" spans="2:4" x14ac:dyDescent="0.25">
      <c r="B4048" t="s">
        <v>1099</v>
      </c>
      <c r="C4048">
        <v>68</v>
      </c>
      <c r="D4048">
        <v>14</v>
      </c>
    </row>
    <row r="4049" spans="2:4" x14ac:dyDescent="0.25">
      <c r="B4049" t="s">
        <v>1099</v>
      </c>
      <c r="C4049">
        <v>69</v>
      </c>
      <c r="D4049">
        <v>5</v>
      </c>
    </row>
    <row r="4050" spans="2:4" x14ac:dyDescent="0.25">
      <c r="B4050" t="s">
        <v>1099</v>
      </c>
      <c r="C4050">
        <v>70</v>
      </c>
      <c r="D4050">
        <v>6</v>
      </c>
    </row>
    <row r="4051" spans="2:4" x14ac:dyDescent="0.25">
      <c r="B4051" t="s">
        <v>1099</v>
      </c>
      <c r="C4051">
        <v>70</v>
      </c>
      <c r="D4051">
        <v>8</v>
      </c>
    </row>
    <row r="4052" spans="2:4" x14ac:dyDescent="0.25">
      <c r="B4052" t="s">
        <v>1099</v>
      </c>
      <c r="C4052">
        <v>70</v>
      </c>
      <c r="D4052">
        <v>13</v>
      </c>
    </row>
    <row r="4053" spans="2:4" x14ac:dyDescent="0.25">
      <c r="B4053" t="s">
        <v>1099</v>
      </c>
      <c r="C4053">
        <v>70</v>
      </c>
      <c r="D4053">
        <v>14</v>
      </c>
    </row>
    <row r="4054" spans="2:4" x14ac:dyDescent="0.25">
      <c r="B4054" t="s">
        <v>1099</v>
      </c>
      <c r="C4054">
        <v>71</v>
      </c>
      <c r="D4054">
        <v>6</v>
      </c>
    </row>
    <row r="4055" spans="2:4" x14ac:dyDescent="0.25">
      <c r="B4055" t="s">
        <v>1099</v>
      </c>
      <c r="C4055">
        <v>71</v>
      </c>
      <c r="D4055">
        <v>8</v>
      </c>
    </row>
    <row r="4056" spans="2:4" x14ac:dyDescent="0.25">
      <c r="B4056" t="s">
        <v>1099</v>
      </c>
      <c r="C4056">
        <v>71</v>
      </c>
      <c r="D4056">
        <v>13</v>
      </c>
    </row>
    <row r="4057" spans="2:4" x14ac:dyDescent="0.25">
      <c r="B4057" t="s">
        <v>1099</v>
      </c>
      <c r="C4057">
        <v>71</v>
      </c>
      <c r="D4057">
        <v>14</v>
      </c>
    </row>
    <row r="4058" spans="2:4" x14ac:dyDescent="0.25">
      <c r="B4058" t="s">
        <v>1099</v>
      </c>
      <c r="C4058">
        <v>72</v>
      </c>
      <c r="D4058">
        <v>6</v>
      </c>
    </row>
    <row r="4059" spans="2:4" x14ac:dyDescent="0.25">
      <c r="B4059" t="s">
        <v>1099</v>
      </c>
      <c r="C4059">
        <v>72</v>
      </c>
      <c r="D4059">
        <v>8</v>
      </c>
    </row>
    <row r="4060" spans="2:4" x14ac:dyDescent="0.25">
      <c r="B4060" t="s">
        <v>1099</v>
      </c>
      <c r="C4060">
        <v>72</v>
      </c>
      <c r="D4060">
        <v>13</v>
      </c>
    </row>
    <row r="4061" spans="2:4" x14ac:dyDescent="0.25">
      <c r="B4061" t="s">
        <v>1099</v>
      </c>
      <c r="C4061">
        <v>72</v>
      </c>
      <c r="D4061">
        <v>14</v>
      </c>
    </row>
    <row r="4062" spans="2:4" x14ac:dyDescent="0.25">
      <c r="B4062" t="s">
        <v>1099</v>
      </c>
      <c r="C4062">
        <v>73</v>
      </c>
      <c r="D4062">
        <v>6</v>
      </c>
    </row>
    <row r="4063" spans="2:4" x14ac:dyDescent="0.25">
      <c r="B4063" t="s">
        <v>1099</v>
      </c>
      <c r="C4063">
        <v>73</v>
      </c>
      <c r="D4063">
        <v>8</v>
      </c>
    </row>
    <row r="4064" spans="2:4" x14ac:dyDescent="0.25">
      <c r="B4064" t="s">
        <v>1099</v>
      </c>
      <c r="C4064">
        <v>73</v>
      </c>
      <c r="D4064">
        <v>13</v>
      </c>
    </row>
    <row r="4065" spans="2:4" x14ac:dyDescent="0.25">
      <c r="B4065" t="s">
        <v>1099</v>
      </c>
      <c r="C4065">
        <v>73</v>
      </c>
      <c r="D4065">
        <v>14</v>
      </c>
    </row>
    <row r="4066" spans="2:4" x14ac:dyDescent="0.25">
      <c r="B4066" t="s">
        <v>1099</v>
      </c>
      <c r="C4066">
        <v>74</v>
      </c>
      <c r="D4066">
        <v>5</v>
      </c>
    </row>
    <row r="4067" spans="2:4" x14ac:dyDescent="0.25">
      <c r="B4067" t="s">
        <v>1099</v>
      </c>
      <c r="C4067">
        <v>75</v>
      </c>
      <c r="D4067">
        <v>6</v>
      </c>
    </row>
    <row r="4068" spans="2:4" x14ac:dyDescent="0.25">
      <c r="B4068" t="s">
        <v>1099</v>
      </c>
      <c r="C4068">
        <v>75</v>
      </c>
      <c r="D4068">
        <v>8</v>
      </c>
    </row>
    <row r="4069" spans="2:4" x14ac:dyDescent="0.25">
      <c r="B4069" t="s">
        <v>1099</v>
      </c>
      <c r="C4069">
        <v>75</v>
      </c>
      <c r="D4069">
        <v>13</v>
      </c>
    </row>
    <row r="4070" spans="2:4" x14ac:dyDescent="0.25">
      <c r="B4070" t="s">
        <v>1099</v>
      </c>
      <c r="C4070">
        <v>75</v>
      </c>
      <c r="D4070">
        <v>14</v>
      </c>
    </row>
    <row r="4071" spans="2:4" x14ac:dyDescent="0.25">
      <c r="B4071" t="s">
        <v>1099</v>
      </c>
      <c r="C4071">
        <v>76</v>
      </c>
      <c r="D4071">
        <v>6</v>
      </c>
    </row>
    <row r="4072" spans="2:4" x14ac:dyDescent="0.25">
      <c r="B4072" t="s">
        <v>1099</v>
      </c>
      <c r="C4072">
        <v>76</v>
      </c>
      <c r="D4072">
        <v>8</v>
      </c>
    </row>
    <row r="4073" spans="2:4" x14ac:dyDescent="0.25">
      <c r="B4073" t="s">
        <v>1099</v>
      </c>
      <c r="C4073">
        <v>76</v>
      </c>
      <c r="D4073">
        <v>13</v>
      </c>
    </row>
    <row r="4074" spans="2:4" x14ac:dyDescent="0.25">
      <c r="B4074" t="s">
        <v>1099</v>
      </c>
      <c r="C4074">
        <v>76</v>
      </c>
      <c r="D4074">
        <v>14</v>
      </c>
    </row>
    <row r="4075" spans="2:4" x14ac:dyDescent="0.25">
      <c r="B4075" t="s">
        <v>1099</v>
      </c>
      <c r="C4075">
        <v>77</v>
      </c>
      <c r="D4075">
        <v>6</v>
      </c>
    </row>
    <row r="4076" spans="2:4" x14ac:dyDescent="0.25">
      <c r="B4076" t="s">
        <v>1099</v>
      </c>
      <c r="C4076">
        <v>77</v>
      </c>
      <c r="D4076">
        <v>8</v>
      </c>
    </row>
    <row r="4077" spans="2:4" x14ac:dyDescent="0.25">
      <c r="B4077" t="s">
        <v>1099</v>
      </c>
      <c r="C4077">
        <v>77</v>
      </c>
      <c r="D4077">
        <v>13</v>
      </c>
    </row>
    <row r="4078" spans="2:4" x14ac:dyDescent="0.25">
      <c r="B4078" t="s">
        <v>1099</v>
      </c>
      <c r="C4078">
        <v>77</v>
      </c>
      <c r="D4078">
        <v>14</v>
      </c>
    </row>
    <row r="4079" spans="2:4" x14ac:dyDescent="0.25">
      <c r="B4079" t="s">
        <v>1099</v>
      </c>
      <c r="C4079">
        <v>78</v>
      </c>
      <c r="D4079">
        <v>5</v>
      </c>
    </row>
    <row r="4080" spans="2:4" x14ac:dyDescent="0.25">
      <c r="B4080" t="s">
        <v>1099</v>
      </c>
      <c r="C4080">
        <v>79</v>
      </c>
      <c r="D4080">
        <v>6</v>
      </c>
    </row>
    <row r="4081" spans="2:4" x14ac:dyDescent="0.25">
      <c r="B4081" t="s">
        <v>1099</v>
      </c>
      <c r="C4081">
        <v>79</v>
      </c>
      <c r="D4081">
        <v>8</v>
      </c>
    </row>
    <row r="4082" spans="2:4" x14ac:dyDescent="0.25">
      <c r="B4082" t="s">
        <v>1099</v>
      </c>
      <c r="C4082">
        <v>79</v>
      </c>
      <c r="D4082">
        <v>13</v>
      </c>
    </row>
    <row r="4083" spans="2:4" x14ac:dyDescent="0.25">
      <c r="B4083" t="s">
        <v>1099</v>
      </c>
      <c r="C4083">
        <v>79</v>
      </c>
      <c r="D4083">
        <v>14</v>
      </c>
    </row>
    <row r="4084" spans="2:4" x14ac:dyDescent="0.25">
      <c r="B4084" t="s">
        <v>1099</v>
      </c>
      <c r="C4084">
        <v>80</v>
      </c>
      <c r="D4084">
        <v>6</v>
      </c>
    </row>
    <row r="4085" spans="2:4" x14ac:dyDescent="0.25">
      <c r="B4085" t="s">
        <v>1099</v>
      </c>
      <c r="C4085">
        <v>80</v>
      </c>
      <c r="D4085">
        <v>8</v>
      </c>
    </row>
    <row r="4086" spans="2:4" x14ac:dyDescent="0.25">
      <c r="B4086" t="s">
        <v>1099</v>
      </c>
      <c r="C4086">
        <v>80</v>
      </c>
      <c r="D4086">
        <v>13</v>
      </c>
    </row>
    <row r="4087" spans="2:4" x14ac:dyDescent="0.25">
      <c r="B4087" t="s">
        <v>1099</v>
      </c>
      <c r="C4087">
        <v>80</v>
      </c>
      <c r="D4087">
        <v>14</v>
      </c>
    </row>
    <row r="4088" spans="2:4" x14ac:dyDescent="0.25">
      <c r="B4088" t="s">
        <v>1099</v>
      </c>
      <c r="C4088">
        <v>81</v>
      </c>
      <c r="D4088">
        <v>6</v>
      </c>
    </row>
    <row r="4089" spans="2:4" x14ac:dyDescent="0.25">
      <c r="B4089" t="s">
        <v>1099</v>
      </c>
      <c r="C4089">
        <v>81</v>
      </c>
      <c r="D4089">
        <v>8</v>
      </c>
    </row>
    <row r="4090" spans="2:4" x14ac:dyDescent="0.25">
      <c r="B4090" t="s">
        <v>1099</v>
      </c>
      <c r="C4090">
        <v>81</v>
      </c>
      <c r="D4090">
        <v>13</v>
      </c>
    </row>
    <row r="4091" spans="2:4" x14ac:dyDescent="0.25">
      <c r="B4091" t="s">
        <v>1099</v>
      </c>
      <c r="C4091">
        <v>81</v>
      </c>
      <c r="D4091">
        <v>14</v>
      </c>
    </row>
    <row r="4092" spans="2:4" x14ac:dyDescent="0.25">
      <c r="B4092" t="s">
        <v>1099</v>
      </c>
      <c r="C4092">
        <v>82</v>
      </c>
      <c r="D4092">
        <v>6</v>
      </c>
    </row>
    <row r="4093" spans="2:4" x14ac:dyDescent="0.25">
      <c r="B4093" t="s">
        <v>1099</v>
      </c>
      <c r="C4093">
        <v>82</v>
      </c>
      <c r="D4093">
        <v>8</v>
      </c>
    </row>
    <row r="4094" spans="2:4" x14ac:dyDescent="0.25">
      <c r="B4094" t="s">
        <v>1099</v>
      </c>
      <c r="C4094">
        <v>82</v>
      </c>
      <c r="D4094">
        <v>13</v>
      </c>
    </row>
    <row r="4095" spans="2:4" x14ac:dyDescent="0.25">
      <c r="B4095" t="s">
        <v>1099</v>
      </c>
      <c r="C4095">
        <v>82</v>
      </c>
      <c r="D4095">
        <v>14</v>
      </c>
    </row>
    <row r="4096" spans="2:4" x14ac:dyDescent="0.25">
      <c r="B4096" t="s">
        <v>1099</v>
      </c>
      <c r="C4096">
        <v>83</v>
      </c>
      <c r="D4096">
        <v>5</v>
      </c>
    </row>
    <row r="4097" spans="2:4" x14ac:dyDescent="0.25">
      <c r="B4097" t="s">
        <v>1099</v>
      </c>
      <c r="C4097">
        <v>84</v>
      </c>
      <c r="D4097">
        <v>6</v>
      </c>
    </row>
    <row r="4098" spans="2:4" x14ac:dyDescent="0.25">
      <c r="B4098" t="s">
        <v>1099</v>
      </c>
      <c r="C4098">
        <v>84</v>
      </c>
      <c r="D4098">
        <v>8</v>
      </c>
    </row>
    <row r="4099" spans="2:4" x14ac:dyDescent="0.25">
      <c r="B4099" t="s">
        <v>1099</v>
      </c>
      <c r="C4099">
        <v>84</v>
      </c>
      <c r="D4099">
        <v>13</v>
      </c>
    </row>
    <row r="4100" spans="2:4" x14ac:dyDescent="0.25">
      <c r="B4100" t="s">
        <v>1099</v>
      </c>
      <c r="C4100">
        <v>84</v>
      </c>
      <c r="D4100">
        <v>14</v>
      </c>
    </row>
    <row r="4101" spans="2:4" x14ac:dyDescent="0.25">
      <c r="B4101" t="s">
        <v>1099</v>
      </c>
      <c r="C4101">
        <v>85</v>
      </c>
      <c r="D4101">
        <v>6</v>
      </c>
    </row>
    <row r="4102" spans="2:4" x14ac:dyDescent="0.25">
      <c r="B4102" t="s">
        <v>1099</v>
      </c>
      <c r="C4102">
        <v>85</v>
      </c>
      <c r="D4102">
        <v>8</v>
      </c>
    </row>
    <row r="4103" spans="2:4" x14ac:dyDescent="0.25">
      <c r="B4103" t="s">
        <v>1099</v>
      </c>
      <c r="C4103">
        <v>85</v>
      </c>
      <c r="D4103">
        <v>13</v>
      </c>
    </row>
    <row r="4104" spans="2:4" x14ac:dyDescent="0.25">
      <c r="B4104" t="s">
        <v>1099</v>
      </c>
      <c r="C4104">
        <v>85</v>
      </c>
      <c r="D4104">
        <v>14</v>
      </c>
    </row>
    <row r="4105" spans="2:4" x14ac:dyDescent="0.25">
      <c r="B4105" t="s">
        <v>1099</v>
      </c>
      <c r="C4105">
        <v>86</v>
      </c>
      <c r="D4105">
        <v>5</v>
      </c>
    </row>
    <row r="4106" spans="2:4" x14ac:dyDescent="0.25">
      <c r="B4106" t="s">
        <v>1099</v>
      </c>
      <c r="C4106">
        <v>87</v>
      </c>
      <c r="D4106">
        <v>6</v>
      </c>
    </row>
    <row r="4107" spans="2:4" x14ac:dyDescent="0.25">
      <c r="B4107" t="s">
        <v>1099</v>
      </c>
      <c r="C4107">
        <v>87</v>
      </c>
      <c r="D4107">
        <v>8</v>
      </c>
    </row>
    <row r="4108" spans="2:4" x14ac:dyDescent="0.25">
      <c r="B4108" t="s">
        <v>1099</v>
      </c>
      <c r="C4108">
        <v>87</v>
      </c>
      <c r="D4108">
        <v>13</v>
      </c>
    </row>
    <row r="4109" spans="2:4" x14ac:dyDescent="0.25">
      <c r="B4109" t="s">
        <v>1099</v>
      </c>
      <c r="C4109">
        <v>87</v>
      </c>
      <c r="D4109">
        <v>14</v>
      </c>
    </row>
    <row r="4110" spans="2:4" x14ac:dyDescent="0.25">
      <c r="B4110" t="s">
        <v>1099</v>
      </c>
      <c r="C4110">
        <v>88</v>
      </c>
      <c r="D4110">
        <v>5</v>
      </c>
    </row>
    <row r="4111" spans="2:4" x14ac:dyDescent="0.25">
      <c r="B4111" t="s">
        <v>1099</v>
      </c>
      <c r="C4111">
        <v>89</v>
      </c>
      <c r="D4111">
        <v>6</v>
      </c>
    </row>
    <row r="4112" spans="2:4" x14ac:dyDescent="0.25">
      <c r="B4112" t="s">
        <v>1099</v>
      </c>
      <c r="C4112">
        <v>89</v>
      </c>
      <c r="D4112">
        <v>8</v>
      </c>
    </row>
    <row r="4113" spans="2:4" x14ac:dyDescent="0.25">
      <c r="B4113" t="s">
        <v>1099</v>
      </c>
      <c r="C4113">
        <v>89</v>
      </c>
      <c r="D4113">
        <v>13</v>
      </c>
    </row>
    <row r="4114" spans="2:4" x14ac:dyDescent="0.25">
      <c r="B4114" t="s">
        <v>1099</v>
      </c>
      <c r="C4114">
        <v>89</v>
      </c>
      <c r="D4114">
        <v>14</v>
      </c>
    </row>
    <row r="4115" spans="2:4" x14ac:dyDescent="0.25">
      <c r="B4115" t="s">
        <v>1099</v>
      </c>
      <c r="C4115">
        <v>90</v>
      </c>
      <c r="D4115">
        <v>6</v>
      </c>
    </row>
    <row r="4116" spans="2:4" x14ac:dyDescent="0.25">
      <c r="B4116" t="s">
        <v>1099</v>
      </c>
      <c r="C4116">
        <v>90</v>
      </c>
      <c r="D4116">
        <v>8</v>
      </c>
    </row>
    <row r="4117" spans="2:4" x14ac:dyDescent="0.25">
      <c r="B4117" t="s">
        <v>1099</v>
      </c>
      <c r="C4117">
        <v>90</v>
      </c>
      <c r="D4117">
        <v>13</v>
      </c>
    </row>
    <row r="4118" spans="2:4" x14ac:dyDescent="0.25">
      <c r="B4118" t="s">
        <v>1099</v>
      </c>
      <c r="C4118">
        <v>90</v>
      </c>
      <c r="D4118">
        <v>14</v>
      </c>
    </row>
    <row r="4119" spans="2:4" x14ac:dyDescent="0.25">
      <c r="B4119" t="s">
        <v>1099</v>
      </c>
      <c r="C4119">
        <v>91</v>
      </c>
      <c r="D4119">
        <v>6</v>
      </c>
    </row>
    <row r="4120" spans="2:4" x14ac:dyDescent="0.25">
      <c r="B4120" t="s">
        <v>1099</v>
      </c>
      <c r="C4120">
        <v>91</v>
      </c>
      <c r="D4120">
        <v>8</v>
      </c>
    </row>
    <row r="4121" spans="2:4" x14ac:dyDescent="0.25">
      <c r="B4121" t="s">
        <v>1099</v>
      </c>
      <c r="C4121">
        <v>91</v>
      </c>
      <c r="D4121">
        <v>13</v>
      </c>
    </row>
    <row r="4122" spans="2:4" x14ac:dyDescent="0.25">
      <c r="B4122" t="s">
        <v>1099</v>
      </c>
      <c r="C4122">
        <v>91</v>
      </c>
      <c r="D4122">
        <v>14</v>
      </c>
    </row>
    <row r="4123" spans="2:4" x14ac:dyDescent="0.25">
      <c r="B4123" t="s">
        <v>1099</v>
      </c>
      <c r="C4123">
        <v>92</v>
      </c>
      <c r="D4123">
        <v>6</v>
      </c>
    </row>
    <row r="4124" spans="2:4" x14ac:dyDescent="0.25">
      <c r="B4124" t="s">
        <v>1099</v>
      </c>
      <c r="C4124">
        <v>92</v>
      </c>
      <c r="D4124">
        <v>8</v>
      </c>
    </row>
    <row r="4125" spans="2:4" x14ac:dyDescent="0.25">
      <c r="B4125" t="s">
        <v>1099</v>
      </c>
      <c r="C4125">
        <v>92</v>
      </c>
      <c r="D4125">
        <v>13</v>
      </c>
    </row>
    <row r="4126" spans="2:4" x14ac:dyDescent="0.25">
      <c r="B4126" t="s">
        <v>1099</v>
      </c>
      <c r="C4126">
        <v>92</v>
      </c>
      <c r="D4126">
        <v>14</v>
      </c>
    </row>
    <row r="4127" spans="2:4" x14ac:dyDescent="0.25">
      <c r="B4127" t="s">
        <v>1099</v>
      </c>
      <c r="C4127">
        <v>93</v>
      </c>
      <c r="D4127">
        <v>6</v>
      </c>
    </row>
    <row r="4128" spans="2:4" x14ac:dyDescent="0.25">
      <c r="B4128" t="s">
        <v>1099</v>
      </c>
      <c r="C4128">
        <v>93</v>
      </c>
      <c r="D4128">
        <v>8</v>
      </c>
    </row>
    <row r="4129" spans="2:4" x14ac:dyDescent="0.25">
      <c r="B4129" t="s">
        <v>1099</v>
      </c>
      <c r="C4129">
        <v>93</v>
      </c>
      <c r="D4129">
        <v>13</v>
      </c>
    </row>
    <row r="4130" spans="2:4" x14ac:dyDescent="0.25">
      <c r="B4130" t="s">
        <v>1099</v>
      </c>
      <c r="C4130">
        <v>93</v>
      </c>
      <c r="D4130">
        <v>14</v>
      </c>
    </row>
    <row r="4131" spans="2:4" x14ac:dyDescent="0.25">
      <c r="B4131" t="s">
        <v>1099</v>
      </c>
      <c r="C4131">
        <v>94</v>
      </c>
      <c r="D4131">
        <v>6</v>
      </c>
    </row>
    <row r="4132" spans="2:4" x14ac:dyDescent="0.25">
      <c r="B4132" t="s">
        <v>1099</v>
      </c>
      <c r="C4132">
        <v>94</v>
      </c>
      <c r="D4132">
        <v>8</v>
      </c>
    </row>
    <row r="4133" spans="2:4" x14ac:dyDescent="0.25">
      <c r="B4133" t="s">
        <v>1099</v>
      </c>
      <c r="C4133">
        <v>94</v>
      </c>
      <c r="D4133">
        <v>13</v>
      </c>
    </row>
    <row r="4134" spans="2:4" x14ac:dyDescent="0.25">
      <c r="B4134" t="s">
        <v>1099</v>
      </c>
      <c r="C4134">
        <v>94</v>
      </c>
      <c r="D4134">
        <v>14</v>
      </c>
    </row>
    <row r="4135" spans="2:4" x14ac:dyDescent="0.25">
      <c r="B4135" t="s">
        <v>1099</v>
      </c>
      <c r="C4135">
        <v>95</v>
      </c>
      <c r="D4135">
        <v>6</v>
      </c>
    </row>
    <row r="4136" spans="2:4" x14ac:dyDescent="0.25">
      <c r="B4136" t="s">
        <v>1099</v>
      </c>
      <c r="C4136">
        <v>95</v>
      </c>
      <c r="D4136">
        <v>8</v>
      </c>
    </row>
    <row r="4137" spans="2:4" x14ac:dyDescent="0.25">
      <c r="B4137" t="s">
        <v>1099</v>
      </c>
      <c r="C4137">
        <v>95</v>
      </c>
      <c r="D4137">
        <v>13</v>
      </c>
    </row>
    <row r="4138" spans="2:4" x14ac:dyDescent="0.25">
      <c r="B4138" t="s">
        <v>1099</v>
      </c>
      <c r="C4138">
        <v>95</v>
      </c>
      <c r="D4138">
        <v>14</v>
      </c>
    </row>
    <row r="4139" spans="2:4" x14ac:dyDescent="0.25">
      <c r="B4139" t="s">
        <v>1099</v>
      </c>
      <c r="C4139">
        <v>96</v>
      </c>
      <c r="D4139">
        <v>6</v>
      </c>
    </row>
    <row r="4140" spans="2:4" x14ac:dyDescent="0.25">
      <c r="B4140" t="s">
        <v>1099</v>
      </c>
      <c r="C4140">
        <v>96</v>
      </c>
      <c r="D4140">
        <v>8</v>
      </c>
    </row>
    <row r="4141" spans="2:4" x14ac:dyDescent="0.25">
      <c r="B4141" t="s">
        <v>1099</v>
      </c>
      <c r="C4141">
        <v>96</v>
      </c>
      <c r="D4141">
        <v>13</v>
      </c>
    </row>
    <row r="4142" spans="2:4" x14ac:dyDescent="0.25">
      <c r="B4142" t="s">
        <v>1099</v>
      </c>
      <c r="C4142">
        <v>96</v>
      </c>
      <c r="D4142">
        <v>14</v>
      </c>
    </row>
    <row r="4143" spans="2:4" x14ac:dyDescent="0.25">
      <c r="B4143" t="s">
        <v>1100</v>
      </c>
      <c r="C4143">
        <v>5</v>
      </c>
      <c r="D4143">
        <v>5</v>
      </c>
    </row>
    <row r="4144" spans="2:4" x14ac:dyDescent="0.25">
      <c r="B4144" t="s">
        <v>1100</v>
      </c>
      <c r="C4144">
        <v>7</v>
      </c>
      <c r="D4144">
        <v>6</v>
      </c>
    </row>
    <row r="4145" spans="2:4" x14ac:dyDescent="0.25">
      <c r="B4145" t="s">
        <v>1100</v>
      </c>
      <c r="C4145">
        <v>7</v>
      </c>
      <c r="D4145">
        <v>8</v>
      </c>
    </row>
    <row r="4146" spans="2:4" x14ac:dyDescent="0.25">
      <c r="B4146" t="s">
        <v>1100</v>
      </c>
      <c r="C4146">
        <v>7</v>
      </c>
      <c r="D4146">
        <v>13</v>
      </c>
    </row>
    <row r="4147" spans="2:4" x14ac:dyDescent="0.25">
      <c r="B4147" t="s">
        <v>1100</v>
      </c>
      <c r="C4147">
        <v>7</v>
      </c>
      <c r="D4147">
        <v>14</v>
      </c>
    </row>
    <row r="4148" spans="2:4" x14ac:dyDescent="0.25">
      <c r="B4148" t="s">
        <v>1100</v>
      </c>
      <c r="C4148">
        <v>8</v>
      </c>
      <c r="D4148">
        <v>6</v>
      </c>
    </row>
    <row r="4149" spans="2:4" x14ac:dyDescent="0.25">
      <c r="B4149" t="s">
        <v>1100</v>
      </c>
      <c r="C4149">
        <v>8</v>
      </c>
      <c r="D4149">
        <v>8</v>
      </c>
    </row>
    <row r="4150" spans="2:4" x14ac:dyDescent="0.25">
      <c r="B4150" t="s">
        <v>1100</v>
      </c>
      <c r="C4150">
        <v>8</v>
      </c>
      <c r="D4150">
        <v>13</v>
      </c>
    </row>
    <row r="4151" spans="2:4" x14ac:dyDescent="0.25">
      <c r="B4151" t="s">
        <v>1100</v>
      </c>
      <c r="C4151">
        <v>8</v>
      </c>
      <c r="D4151">
        <v>14</v>
      </c>
    </row>
    <row r="4152" spans="2:4" x14ac:dyDescent="0.25">
      <c r="B4152" t="s">
        <v>1100</v>
      </c>
      <c r="C4152">
        <v>9</v>
      </c>
      <c r="D4152">
        <v>6</v>
      </c>
    </row>
    <row r="4153" spans="2:4" x14ac:dyDescent="0.25">
      <c r="B4153" t="s">
        <v>1100</v>
      </c>
      <c r="C4153">
        <v>9</v>
      </c>
      <c r="D4153">
        <v>8</v>
      </c>
    </row>
    <row r="4154" spans="2:4" x14ac:dyDescent="0.25">
      <c r="B4154" t="s">
        <v>1100</v>
      </c>
      <c r="C4154">
        <v>9</v>
      </c>
      <c r="D4154">
        <v>13</v>
      </c>
    </row>
    <row r="4155" spans="2:4" x14ac:dyDescent="0.25">
      <c r="B4155" t="s">
        <v>1100</v>
      </c>
      <c r="C4155">
        <v>9</v>
      </c>
      <c r="D4155">
        <v>14</v>
      </c>
    </row>
    <row r="4156" spans="2:4" x14ac:dyDescent="0.25">
      <c r="B4156" t="s">
        <v>1100</v>
      </c>
      <c r="C4156">
        <v>10</v>
      </c>
      <c r="D4156">
        <v>6</v>
      </c>
    </row>
    <row r="4157" spans="2:4" x14ac:dyDescent="0.25">
      <c r="B4157" t="s">
        <v>1100</v>
      </c>
      <c r="C4157">
        <v>10</v>
      </c>
      <c r="D4157">
        <v>8</v>
      </c>
    </row>
    <row r="4158" spans="2:4" x14ac:dyDescent="0.25">
      <c r="B4158" t="s">
        <v>1100</v>
      </c>
      <c r="C4158">
        <v>10</v>
      </c>
      <c r="D4158">
        <v>13</v>
      </c>
    </row>
    <row r="4159" spans="2:4" x14ac:dyDescent="0.25">
      <c r="B4159" t="s">
        <v>1100</v>
      </c>
      <c r="C4159">
        <v>10</v>
      </c>
      <c r="D4159">
        <v>14</v>
      </c>
    </row>
    <row r="4160" spans="2:4" x14ac:dyDescent="0.25">
      <c r="B4160" t="s">
        <v>1100</v>
      </c>
      <c r="C4160">
        <v>11</v>
      </c>
      <c r="D4160">
        <v>6</v>
      </c>
    </row>
    <row r="4161" spans="2:4" x14ac:dyDescent="0.25">
      <c r="B4161" t="s">
        <v>1100</v>
      </c>
      <c r="C4161">
        <v>11</v>
      </c>
      <c r="D4161">
        <v>8</v>
      </c>
    </row>
    <row r="4162" spans="2:4" x14ac:dyDescent="0.25">
      <c r="B4162" t="s">
        <v>1100</v>
      </c>
      <c r="C4162">
        <v>11</v>
      </c>
      <c r="D4162">
        <v>13</v>
      </c>
    </row>
    <row r="4163" spans="2:4" x14ac:dyDescent="0.25">
      <c r="B4163" t="s">
        <v>1100</v>
      </c>
      <c r="C4163">
        <v>11</v>
      </c>
      <c r="D4163">
        <v>14</v>
      </c>
    </row>
    <row r="4164" spans="2:4" x14ac:dyDescent="0.25">
      <c r="B4164" t="s">
        <v>1100</v>
      </c>
      <c r="C4164">
        <v>12</v>
      </c>
      <c r="D4164">
        <v>6</v>
      </c>
    </row>
    <row r="4165" spans="2:4" x14ac:dyDescent="0.25">
      <c r="B4165" t="s">
        <v>1100</v>
      </c>
      <c r="C4165">
        <v>12</v>
      </c>
      <c r="D4165">
        <v>8</v>
      </c>
    </row>
    <row r="4166" spans="2:4" x14ac:dyDescent="0.25">
      <c r="B4166" t="s">
        <v>1100</v>
      </c>
      <c r="C4166">
        <v>12</v>
      </c>
      <c r="D4166">
        <v>13</v>
      </c>
    </row>
    <row r="4167" spans="2:4" x14ac:dyDescent="0.25">
      <c r="B4167" t="s">
        <v>1100</v>
      </c>
      <c r="C4167">
        <v>12</v>
      </c>
      <c r="D4167">
        <v>14</v>
      </c>
    </row>
    <row r="4168" spans="2:4" x14ac:dyDescent="0.25">
      <c r="B4168" t="s">
        <v>1100</v>
      </c>
      <c r="C4168">
        <v>14</v>
      </c>
      <c r="D4168">
        <v>6</v>
      </c>
    </row>
    <row r="4169" spans="2:4" x14ac:dyDescent="0.25">
      <c r="B4169" t="s">
        <v>1100</v>
      </c>
      <c r="C4169">
        <v>14</v>
      </c>
      <c r="D4169">
        <v>8</v>
      </c>
    </row>
    <row r="4170" spans="2:4" x14ac:dyDescent="0.25">
      <c r="B4170" t="s">
        <v>1100</v>
      </c>
      <c r="C4170">
        <v>14</v>
      </c>
      <c r="D4170">
        <v>13</v>
      </c>
    </row>
    <row r="4171" spans="2:4" x14ac:dyDescent="0.25">
      <c r="B4171" t="s">
        <v>1100</v>
      </c>
      <c r="C4171">
        <v>14</v>
      </c>
      <c r="D4171">
        <v>14</v>
      </c>
    </row>
    <row r="4172" spans="2:4" x14ac:dyDescent="0.25">
      <c r="B4172" t="s">
        <v>1100</v>
      </c>
      <c r="C4172">
        <v>15</v>
      </c>
      <c r="D4172">
        <v>6</v>
      </c>
    </row>
    <row r="4173" spans="2:4" x14ac:dyDescent="0.25">
      <c r="B4173" t="s">
        <v>1100</v>
      </c>
      <c r="C4173">
        <v>15</v>
      </c>
      <c r="D4173">
        <v>8</v>
      </c>
    </row>
    <row r="4174" spans="2:4" x14ac:dyDescent="0.25">
      <c r="B4174" t="s">
        <v>1100</v>
      </c>
      <c r="C4174">
        <v>15</v>
      </c>
      <c r="D4174">
        <v>13</v>
      </c>
    </row>
    <row r="4175" spans="2:4" x14ac:dyDescent="0.25">
      <c r="B4175" t="s">
        <v>1100</v>
      </c>
      <c r="C4175">
        <v>15</v>
      </c>
      <c r="D4175">
        <v>14</v>
      </c>
    </row>
    <row r="4176" spans="2:4" x14ac:dyDescent="0.25">
      <c r="B4176" t="s">
        <v>1100</v>
      </c>
      <c r="C4176">
        <v>16</v>
      </c>
      <c r="D4176">
        <v>6</v>
      </c>
    </row>
    <row r="4177" spans="2:4" x14ac:dyDescent="0.25">
      <c r="B4177" t="s">
        <v>1100</v>
      </c>
      <c r="C4177">
        <v>16</v>
      </c>
      <c r="D4177">
        <v>8</v>
      </c>
    </row>
    <row r="4178" spans="2:4" x14ac:dyDescent="0.25">
      <c r="B4178" t="s">
        <v>1100</v>
      </c>
      <c r="C4178">
        <v>16</v>
      </c>
      <c r="D4178">
        <v>13</v>
      </c>
    </row>
    <row r="4179" spans="2:4" x14ac:dyDescent="0.25">
      <c r="B4179" t="s">
        <v>1100</v>
      </c>
      <c r="C4179">
        <v>16</v>
      </c>
      <c r="D4179">
        <v>14</v>
      </c>
    </row>
    <row r="4180" spans="2:4" x14ac:dyDescent="0.25">
      <c r="B4180" t="s">
        <v>1100</v>
      </c>
      <c r="C4180">
        <v>17</v>
      </c>
      <c r="D4180">
        <v>6</v>
      </c>
    </row>
    <row r="4181" spans="2:4" x14ac:dyDescent="0.25">
      <c r="B4181" t="s">
        <v>1100</v>
      </c>
      <c r="C4181">
        <v>17</v>
      </c>
      <c r="D4181">
        <v>8</v>
      </c>
    </row>
    <row r="4182" spans="2:4" x14ac:dyDescent="0.25">
      <c r="B4182" t="s">
        <v>1100</v>
      </c>
      <c r="C4182">
        <v>17</v>
      </c>
      <c r="D4182">
        <v>13</v>
      </c>
    </row>
    <row r="4183" spans="2:4" x14ac:dyDescent="0.25">
      <c r="B4183" t="s">
        <v>1100</v>
      </c>
      <c r="C4183">
        <v>17</v>
      </c>
      <c r="D4183">
        <v>14</v>
      </c>
    </row>
    <row r="4184" spans="2:4" x14ac:dyDescent="0.25">
      <c r="B4184" t="s">
        <v>1100</v>
      </c>
      <c r="C4184">
        <v>18</v>
      </c>
      <c r="D4184">
        <v>6</v>
      </c>
    </row>
    <row r="4185" spans="2:4" x14ac:dyDescent="0.25">
      <c r="B4185" t="s">
        <v>1100</v>
      </c>
      <c r="C4185">
        <v>18</v>
      </c>
      <c r="D4185">
        <v>8</v>
      </c>
    </row>
    <row r="4186" spans="2:4" x14ac:dyDescent="0.25">
      <c r="B4186" t="s">
        <v>1100</v>
      </c>
      <c r="C4186">
        <v>18</v>
      </c>
      <c r="D4186">
        <v>13</v>
      </c>
    </row>
    <row r="4187" spans="2:4" x14ac:dyDescent="0.25">
      <c r="B4187" t="s">
        <v>1100</v>
      </c>
      <c r="C4187">
        <v>18</v>
      </c>
      <c r="D4187">
        <v>14</v>
      </c>
    </row>
    <row r="4188" spans="2:4" x14ac:dyDescent="0.25">
      <c r="B4188" t="s">
        <v>1100</v>
      </c>
      <c r="C4188">
        <v>19</v>
      </c>
      <c r="D4188">
        <v>6</v>
      </c>
    </row>
    <row r="4189" spans="2:4" x14ac:dyDescent="0.25">
      <c r="B4189" t="s">
        <v>1100</v>
      </c>
      <c r="C4189">
        <v>19</v>
      </c>
      <c r="D4189">
        <v>8</v>
      </c>
    </row>
    <row r="4190" spans="2:4" x14ac:dyDescent="0.25">
      <c r="B4190" t="s">
        <v>1100</v>
      </c>
      <c r="C4190">
        <v>19</v>
      </c>
      <c r="D4190">
        <v>13</v>
      </c>
    </row>
    <row r="4191" spans="2:4" x14ac:dyDescent="0.25">
      <c r="B4191" t="s">
        <v>1100</v>
      </c>
      <c r="C4191">
        <v>19</v>
      </c>
      <c r="D4191">
        <v>14</v>
      </c>
    </row>
    <row r="4192" spans="2:4" x14ac:dyDescent="0.25">
      <c r="B4192" t="s">
        <v>1100</v>
      </c>
      <c r="C4192">
        <v>21</v>
      </c>
      <c r="D4192">
        <v>6</v>
      </c>
    </row>
    <row r="4193" spans="2:4" x14ac:dyDescent="0.25">
      <c r="B4193" t="s">
        <v>1100</v>
      </c>
      <c r="C4193">
        <v>21</v>
      </c>
      <c r="D4193">
        <v>8</v>
      </c>
    </row>
    <row r="4194" spans="2:4" x14ac:dyDescent="0.25">
      <c r="B4194" t="s">
        <v>1100</v>
      </c>
      <c r="C4194">
        <v>21</v>
      </c>
      <c r="D4194">
        <v>13</v>
      </c>
    </row>
    <row r="4195" spans="2:4" x14ac:dyDescent="0.25">
      <c r="B4195" t="s">
        <v>1100</v>
      </c>
      <c r="C4195">
        <v>21</v>
      </c>
      <c r="D4195">
        <v>14</v>
      </c>
    </row>
    <row r="4196" spans="2:4" x14ac:dyDescent="0.25">
      <c r="B4196" t="s">
        <v>1100</v>
      </c>
      <c r="C4196">
        <v>22</v>
      </c>
      <c r="D4196">
        <v>6</v>
      </c>
    </row>
    <row r="4197" spans="2:4" x14ac:dyDescent="0.25">
      <c r="B4197" t="s">
        <v>1100</v>
      </c>
      <c r="C4197">
        <v>22</v>
      </c>
      <c r="D4197">
        <v>8</v>
      </c>
    </row>
    <row r="4198" spans="2:4" x14ac:dyDescent="0.25">
      <c r="B4198" t="s">
        <v>1100</v>
      </c>
      <c r="C4198">
        <v>22</v>
      </c>
      <c r="D4198">
        <v>13</v>
      </c>
    </row>
    <row r="4199" spans="2:4" x14ac:dyDescent="0.25">
      <c r="B4199" t="s">
        <v>1100</v>
      </c>
      <c r="C4199">
        <v>22</v>
      </c>
      <c r="D4199">
        <v>14</v>
      </c>
    </row>
    <row r="4200" spans="2:4" x14ac:dyDescent="0.25">
      <c r="B4200" t="s">
        <v>1100</v>
      </c>
      <c r="C4200">
        <v>23</v>
      </c>
      <c r="D4200">
        <v>6</v>
      </c>
    </row>
    <row r="4201" spans="2:4" x14ac:dyDescent="0.25">
      <c r="B4201" t="s">
        <v>1100</v>
      </c>
      <c r="C4201">
        <v>23</v>
      </c>
      <c r="D4201">
        <v>8</v>
      </c>
    </row>
    <row r="4202" spans="2:4" x14ac:dyDescent="0.25">
      <c r="B4202" t="s">
        <v>1100</v>
      </c>
      <c r="C4202">
        <v>23</v>
      </c>
      <c r="D4202">
        <v>13</v>
      </c>
    </row>
    <row r="4203" spans="2:4" x14ac:dyDescent="0.25">
      <c r="B4203" t="s">
        <v>1100</v>
      </c>
      <c r="C4203">
        <v>23</v>
      </c>
      <c r="D4203">
        <v>14</v>
      </c>
    </row>
    <row r="4204" spans="2:4" x14ac:dyDescent="0.25">
      <c r="B4204" t="s">
        <v>1100</v>
      </c>
      <c r="C4204">
        <v>24</v>
      </c>
      <c r="D4204">
        <v>6</v>
      </c>
    </row>
    <row r="4205" spans="2:4" x14ac:dyDescent="0.25">
      <c r="B4205" t="s">
        <v>1100</v>
      </c>
      <c r="C4205">
        <v>24</v>
      </c>
      <c r="D4205">
        <v>8</v>
      </c>
    </row>
    <row r="4206" spans="2:4" x14ac:dyDescent="0.25">
      <c r="B4206" t="s">
        <v>1100</v>
      </c>
      <c r="C4206">
        <v>24</v>
      </c>
      <c r="D4206">
        <v>13</v>
      </c>
    </row>
    <row r="4207" spans="2:4" x14ac:dyDescent="0.25">
      <c r="B4207" t="s">
        <v>1100</v>
      </c>
      <c r="C4207">
        <v>24</v>
      </c>
      <c r="D4207">
        <v>14</v>
      </c>
    </row>
    <row r="4208" spans="2:4" x14ac:dyDescent="0.25">
      <c r="B4208" t="s">
        <v>1100</v>
      </c>
      <c r="C4208">
        <v>25</v>
      </c>
      <c r="D4208">
        <v>6</v>
      </c>
    </row>
    <row r="4209" spans="2:4" x14ac:dyDescent="0.25">
      <c r="B4209" t="s">
        <v>1100</v>
      </c>
      <c r="C4209">
        <v>25</v>
      </c>
      <c r="D4209">
        <v>8</v>
      </c>
    </row>
    <row r="4210" spans="2:4" x14ac:dyDescent="0.25">
      <c r="B4210" t="s">
        <v>1100</v>
      </c>
      <c r="C4210">
        <v>25</v>
      </c>
      <c r="D4210">
        <v>13</v>
      </c>
    </row>
    <row r="4211" spans="2:4" x14ac:dyDescent="0.25">
      <c r="B4211" t="s">
        <v>1100</v>
      </c>
      <c r="C4211">
        <v>25</v>
      </c>
      <c r="D4211">
        <v>14</v>
      </c>
    </row>
    <row r="4212" spans="2:4" x14ac:dyDescent="0.25">
      <c r="B4212" t="s">
        <v>1100</v>
      </c>
      <c r="C4212">
        <v>26</v>
      </c>
      <c r="D4212">
        <v>6</v>
      </c>
    </row>
    <row r="4213" spans="2:4" x14ac:dyDescent="0.25">
      <c r="B4213" t="s">
        <v>1100</v>
      </c>
      <c r="C4213">
        <v>26</v>
      </c>
      <c r="D4213">
        <v>8</v>
      </c>
    </row>
    <row r="4214" spans="2:4" x14ac:dyDescent="0.25">
      <c r="B4214" t="s">
        <v>1100</v>
      </c>
      <c r="C4214">
        <v>26</v>
      </c>
      <c r="D4214">
        <v>13</v>
      </c>
    </row>
    <row r="4215" spans="2:4" x14ac:dyDescent="0.25">
      <c r="B4215" t="s">
        <v>1100</v>
      </c>
      <c r="C4215">
        <v>26</v>
      </c>
      <c r="D4215">
        <v>14</v>
      </c>
    </row>
    <row r="4216" spans="2:4" x14ac:dyDescent="0.25">
      <c r="B4216" t="s">
        <v>1100</v>
      </c>
      <c r="C4216">
        <v>28</v>
      </c>
      <c r="D4216">
        <v>6</v>
      </c>
    </row>
    <row r="4217" spans="2:4" x14ac:dyDescent="0.25">
      <c r="B4217" t="s">
        <v>1100</v>
      </c>
      <c r="C4217">
        <v>28</v>
      </c>
      <c r="D4217">
        <v>8</v>
      </c>
    </row>
    <row r="4218" spans="2:4" x14ac:dyDescent="0.25">
      <c r="B4218" t="s">
        <v>1100</v>
      </c>
      <c r="C4218">
        <v>28</v>
      </c>
      <c r="D4218">
        <v>13</v>
      </c>
    </row>
    <row r="4219" spans="2:4" x14ac:dyDescent="0.25">
      <c r="B4219" t="s">
        <v>1100</v>
      </c>
      <c r="C4219">
        <v>28</v>
      </c>
      <c r="D4219">
        <v>14</v>
      </c>
    </row>
    <row r="4220" spans="2:4" x14ac:dyDescent="0.25">
      <c r="B4220" t="s">
        <v>1100</v>
      </c>
      <c r="C4220">
        <v>29</v>
      </c>
      <c r="D4220">
        <v>6</v>
      </c>
    </row>
    <row r="4221" spans="2:4" x14ac:dyDescent="0.25">
      <c r="B4221" t="s">
        <v>1100</v>
      </c>
      <c r="C4221">
        <v>29</v>
      </c>
      <c r="D4221">
        <v>8</v>
      </c>
    </row>
    <row r="4222" spans="2:4" x14ac:dyDescent="0.25">
      <c r="B4222" t="s">
        <v>1100</v>
      </c>
      <c r="C4222">
        <v>29</v>
      </c>
      <c r="D4222">
        <v>13</v>
      </c>
    </row>
    <row r="4223" spans="2:4" x14ac:dyDescent="0.25">
      <c r="B4223" t="s">
        <v>1100</v>
      </c>
      <c r="C4223">
        <v>29</v>
      </c>
      <c r="D4223">
        <v>14</v>
      </c>
    </row>
    <row r="4224" spans="2:4" x14ac:dyDescent="0.25">
      <c r="B4224" t="s">
        <v>1100</v>
      </c>
      <c r="C4224">
        <v>30</v>
      </c>
      <c r="D4224">
        <v>6</v>
      </c>
    </row>
    <row r="4225" spans="2:4" x14ac:dyDescent="0.25">
      <c r="B4225" t="s">
        <v>1100</v>
      </c>
      <c r="C4225">
        <v>30</v>
      </c>
      <c r="D4225">
        <v>8</v>
      </c>
    </row>
    <row r="4226" spans="2:4" x14ac:dyDescent="0.25">
      <c r="B4226" t="s">
        <v>1100</v>
      </c>
      <c r="C4226">
        <v>30</v>
      </c>
      <c r="D4226">
        <v>13</v>
      </c>
    </row>
    <row r="4227" spans="2:4" x14ac:dyDescent="0.25">
      <c r="B4227" t="s">
        <v>1100</v>
      </c>
      <c r="C4227">
        <v>30</v>
      </c>
      <c r="D4227">
        <v>14</v>
      </c>
    </row>
    <row r="4228" spans="2:4" x14ac:dyDescent="0.25">
      <c r="B4228" t="s">
        <v>1100</v>
      </c>
      <c r="C4228">
        <v>31</v>
      </c>
      <c r="D4228">
        <v>6</v>
      </c>
    </row>
    <row r="4229" spans="2:4" x14ac:dyDescent="0.25">
      <c r="B4229" t="s">
        <v>1100</v>
      </c>
      <c r="C4229">
        <v>31</v>
      </c>
      <c r="D4229">
        <v>8</v>
      </c>
    </row>
    <row r="4230" spans="2:4" x14ac:dyDescent="0.25">
      <c r="B4230" t="s">
        <v>1100</v>
      </c>
      <c r="C4230">
        <v>31</v>
      </c>
      <c r="D4230">
        <v>13</v>
      </c>
    </row>
    <row r="4231" spans="2:4" x14ac:dyDescent="0.25">
      <c r="B4231" t="s">
        <v>1100</v>
      </c>
      <c r="C4231">
        <v>31</v>
      </c>
      <c r="D4231">
        <v>14</v>
      </c>
    </row>
    <row r="4232" spans="2:4" x14ac:dyDescent="0.25">
      <c r="B4232" t="s">
        <v>1100</v>
      </c>
      <c r="C4232">
        <v>32</v>
      </c>
      <c r="D4232">
        <v>6</v>
      </c>
    </row>
    <row r="4233" spans="2:4" x14ac:dyDescent="0.25">
      <c r="B4233" t="s">
        <v>1100</v>
      </c>
      <c r="C4233">
        <v>32</v>
      </c>
      <c r="D4233">
        <v>8</v>
      </c>
    </row>
    <row r="4234" spans="2:4" x14ac:dyDescent="0.25">
      <c r="B4234" t="s">
        <v>1100</v>
      </c>
      <c r="C4234">
        <v>32</v>
      </c>
      <c r="D4234">
        <v>13</v>
      </c>
    </row>
    <row r="4235" spans="2:4" x14ac:dyDescent="0.25">
      <c r="B4235" t="s">
        <v>1100</v>
      </c>
      <c r="C4235">
        <v>32</v>
      </c>
      <c r="D4235">
        <v>14</v>
      </c>
    </row>
    <row r="4236" spans="2:4" x14ac:dyDescent="0.25">
      <c r="B4236" t="s">
        <v>1100</v>
      </c>
      <c r="C4236">
        <v>33</v>
      </c>
      <c r="D4236">
        <v>6</v>
      </c>
    </row>
    <row r="4237" spans="2:4" x14ac:dyDescent="0.25">
      <c r="B4237" t="s">
        <v>1100</v>
      </c>
      <c r="C4237">
        <v>33</v>
      </c>
      <c r="D4237">
        <v>8</v>
      </c>
    </row>
    <row r="4238" spans="2:4" x14ac:dyDescent="0.25">
      <c r="B4238" t="s">
        <v>1100</v>
      </c>
      <c r="C4238">
        <v>33</v>
      </c>
      <c r="D4238">
        <v>13</v>
      </c>
    </row>
    <row r="4239" spans="2:4" x14ac:dyDescent="0.25">
      <c r="B4239" t="s">
        <v>1100</v>
      </c>
      <c r="C4239">
        <v>33</v>
      </c>
      <c r="D4239">
        <v>14</v>
      </c>
    </row>
    <row r="4240" spans="2:4" x14ac:dyDescent="0.25">
      <c r="B4240" t="s">
        <v>1100</v>
      </c>
      <c r="C4240">
        <v>34</v>
      </c>
      <c r="D4240">
        <v>6</v>
      </c>
    </row>
    <row r="4241" spans="2:4" x14ac:dyDescent="0.25">
      <c r="B4241" t="s">
        <v>1100</v>
      </c>
      <c r="C4241">
        <v>34</v>
      </c>
      <c r="D4241">
        <v>8</v>
      </c>
    </row>
    <row r="4242" spans="2:4" x14ac:dyDescent="0.25">
      <c r="B4242" t="s">
        <v>1100</v>
      </c>
      <c r="C4242">
        <v>34</v>
      </c>
      <c r="D4242">
        <v>13</v>
      </c>
    </row>
    <row r="4243" spans="2:4" x14ac:dyDescent="0.25">
      <c r="B4243" t="s">
        <v>1100</v>
      </c>
      <c r="C4243">
        <v>34</v>
      </c>
      <c r="D4243">
        <v>14</v>
      </c>
    </row>
    <row r="4244" spans="2:4" x14ac:dyDescent="0.25">
      <c r="B4244" t="s">
        <v>1100</v>
      </c>
      <c r="C4244">
        <v>35</v>
      </c>
      <c r="D4244">
        <v>6</v>
      </c>
    </row>
    <row r="4245" spans="2:4" x14ac:dyDescent="0.25">
      <c r="B4245" t="s">
        <v>1100</v>
      </c>
      <c r="C4245">
        <v>35</v>
      </c>
      <c r="D4245">
        <v>8</v>
      </c>
    </row>
    <row r="4246" spans="2:4" x14ac:dyDescent="0.25">
      <c r="B4246" t="s">
        <v>1100</v>
      </c>
      <c r="C4246">
        <v>35</v>
      </c>
      <c r="D4246">
        <v>13</v>
      </c>
    </row>
    <row r="4247" spans="2:4" x14ac:dyDescent="0.25">
      <c r="B4247" t="s">
        <v>1100</v>
      </c>
      <c r="C4247">
        <v>35</v>
      </c>
      <c r="D4247">
        <v>14</v>
      </c>
    </row>
    <row r="4248" spans="2:4" x14ac:dyDescent="0.25">
      <c r="B4248" t="s">
        <v>1100</v>
      </c>
      <c r="C4248">
        <v>36</v>
      </c>
      <c r="D4248">
        <v>6</v>
      </c>
    </row>
    <row r="4249" spans="2:4" x14ac:dyDescent="0.25">
      <c r="B4249" t="s">
        <v>1100</v>
      </c>
      <c r="C4249">
        <v>36</v>
      </c>
      <c r="D4249">
        <v>8</v>
      </c>
    </row>
    <row r="4250" spans="2:4" x14ac:dyDescent="0.25">
      <c r="B4250" t="s">
        <v>1100</v>
      </c>
      <c r="C4250">
        <v>36</v>
      </c>
      <c r="D4250">
        <v>13</v>
      </c>
    </row>
    <row r="4251" spans="2:4" x14ac:dyDescent="0.25">
      <c r="B4251" t="s">
        <v>1100</v>
      </c>
      <c r="C4251">
        <v>36</v>
      </c>
      <c r="D4251">
        <v>14</v>
      </c>
    </row>
    <row r="4252" spans="2:4" x14ac:dyDescent="0.25">
      <c r="B4252" t="s">
        <v>1100</v>
      </c>
      <c r="C4252">
        <v>38</v>
      </c>
      <c r="D4252">
        <v>6</v>
      </c>
    </row>
    <row r="4253" spans="2:4" x14ac:dyDescent="0.25">
      <c r="B4253" t="s">
        <v>1100</v>
      </c>
      <c r="C4253">
        <v>38</v>
      </c>
      <c r="D4253">
        <v>8</v>
      </c>
    </row>
    <row r="4254" spans="2:4" x14ac:dyDescent="0.25">
      <c r="B4254" t="s">
        <v>1100</v>
      </c>
      <c r="C4254">
        <v>38</v>
      </c>
      <c r="D4254">
        <v>13</v>
      </c>
    </row>
    <row r="4255" spans="2:4" x14ac:dyDescent="0.25">
      <c r="B4255" t="s">
        <v>1100</v>
      </c>
      <c r="C4255">
        <v>38</v>
      </c>
      <c r="D4255">
        <v>14</v>
      </c>
    </row>
    <row r="4256" spans="2:4" x14ac:dyDescent="0.25">
      <c r="B4256" t="s">
        <v>1100</v>
      </c>
      <c r="C4256">
        <v>39</v>
      </c>
      <c r="D4256">
        <v>5</v>
      </c>
    </row>
    <row r="4257" spans="2:4" x14ac:dyDescent="0.25">
      <c r="B4257" t="s">
        <v>1100</v>
      </c>
      <c r="C4257">
        <v>41</v>
      </c>
      <c r="D4257">
        <v>6</v>
      </c>
    </row>
    <row r="4258" spans="2:4" x14ac:dyDescent="0.25">
      <c r="B4258" t="s">
        <v>1100</v>
      </c>
      <c r="C4258">
        <v>41</v>
      </c>
      <c r="D4258">
        <v>8</v>
      </c>
    </row>
    <row r="4259" spans="2:4" x14ac:dyDescent="0.25">
      <c r="B4259" t="s">
        <v>1100</v>
      </c>
      <c r="C4259">
        <v>41</v>
      </c>
      <c r="D4259">
        <v>13</v>
      </c>
    </row>
    <row r="4260" spans="2:4" x14ac:dyDescent="0.25">
      <c r="B4260" t="s">
        <v>1100</v>
      </c>
      <c r="C4260">
        <v>41</v>
      </c>
      <c r="D4260">
        <v>14</v>
      </c>
    </row>
    <row r="4261" spans="2:4" x14ac:dyDescent="0.25">
      <c r="B4261" t="s">
        <v>1100</v>
      </c>
      <c r="C4261">
        <v>43</v>
      </c>
      <c r="D4261">
        <v>6</v>
      </c>
    </row>
    <row r="4262" spans="2:4" x14ac:dyDescent="0.25">
      <c r="B4262" t="s">
        <v>1100</v>
      </c>
      <c r="C4262">
        <v>43</v>
      </c>
      <c r="D4262">
        <v>8</v>
      </c>
    </row>
    <row r="4263" spans="2:4" x14ac:dyDescent="0.25">
      <c r="B4263" t="s">
        <v>1100</v>
      </c>
      <c r="C4263">
        <v>43</v>
      </c>
      <c r="D4263">
        <v>13</v>
      </c>
    </row>
    <row r="4264" spans="2:4" x14ac:dyDescent="0.25">
      <c r="B4264" t="s">
        <v>1100</v>
      </c>
      <c r="C4264">
        <v>43</v>
      </c>
      <c r="D4264">
        <v>14</v>
      </c>
    </row>
    <row r="4265" spans="2:4" x14ac:dyDescent="0.25">
      <c r="B4265" t="s">
        <v>1100</v>
      </c>
      <c r="C4265">
        <v>44</v>
      </c>
      <c r="D4265">
        <v>6</v>
      </c>
    </row>
    <row r="4266" spans="2:4" x14ac:dyDescent="0.25">
      <c r="B4266" t="s">
        <v>1100</v>
      </c>
      <c r="C4266">
        <v>44</v>
      </c>
      <c r="D4266">
        <v>8</v>
      </c>
    </row>
    <row r="4267" spans="2:4" x14ac:dyDescent="0.25">
      <c r="B4267" t="s">
        <v>1100</v>
      </c>
      <c r="C4267">
        <v>44</v>
      </c>
      <c r="D4267">
        <v>13</v>
      </c>
    </row>
    <row r="4268" spans="2:4" x14ac:dyDescent="0.25">
      <c r="B4268" t="s">
        <v>1100</v>
      </c>
      <c r="C4268">
        <v>44</v>
      </c>
      <c r="D4268">
        <v>14</v>
      </c>
    </row>
    <row r="4269" spans="2:4" x14ac:dyDescent="0.25">
      <c r="B4269" t="s">
        <v>1100</v>
      </c>
      <c r="C4269">
        <v>45</v>
      </c>
      <c r="D4269">
        <v>6</v>
      </c>
    </row>
    <row r="4270" spans="2:4" x14ac:dyDescent="0.25">
      <c r="B4270" t="s">
        <v>1100</v>
      </c>
      <c r="C4270">
        <v>45</v>
      </c>
      <c r="D4270">
        <v>8</v>
      </c>
    </row>
    <row r="4271" spans="2:4" x14ac:dyDescent="0.25">
      <c r="B4271" t="s">
        <v>1100</v>
      </c>
      <c r="C4271">
        <v>45</v>
      </c>
      <c r="D4271">
        <v>13</v>
      </c>
    </row>
    <row r="4272" spans="2:4" x14ac:dyDescent="0.25">
      <c r="B4272" t="s">
        <v>1100</v>
      </c>
      <c r="C4272">
        <v>45</v>
      </c>
      <c r="D4272">
        <v>14</v>
      </c>
    </row>
    <row r="4273" spans="2:4" x14ac:dyDescent="0.25">
      <c r="B4273" t="s">
        <v>1100</v>
      </c>
      <c r="C4273">
        <v>46</v>
      </c>
      <c r="D4273">
        <v>6</v>
      </c>
    </row>
    <row r="4274" spans="2:4" x14ac:dyDescent="0.25">
      <c r="B4274" t="s">
        <v>1100</v>
      </c>
      <c r="C4274">
        <v>46</v>
      </c>
      <c r="D4274">
        <v>8</v>
      </c>
    </row>
    <row r="4275" spans="2:4" x14ac:dyDescent="0.25">
      <c r="B4275" t="s">
        <v>1100</v>
      </c>
      <c r="C4275">
        <v>46</v>
      </c>
      <c r="D4275">
        <v>13</v>
      </c>
    </row>
    <row r="4276" spans="2:4" x14ac:dyDescent="0.25">
      <c r="B4276" t="s">
        <v>1100</v>
      </c>
      <c r="C4276">
        <v>46</v>
      </c>
      <c r="D4276">
        <v>14</v>
      </c>
    </row>
    <row r="4277" spans="2:4" x14ac:dyDescent="0.25">
      <c r="B4277" t="s">
        <v>1100</v>
      </c>
      <c r="C4277">
        <v>47</v>
      </c>
      <c r="D4277">
        <v>6</v>
      </c>
    </row>
    <row r="4278" spans="2:4" x14ac:dyDescent="0.25">
      <c r="B4278" t="s">
        <v>1100</v>
      </c>
      <c r="C4278">
        <v>47</v>
      </c>
      <c r="D4278">
        <v>8</v>
      </c>
    </row>
    <row r="4279" spans="2:4" x14ac:dyDescent="0.25">
      <c r="B4279" t="s">
        <v>1100</v>
      </c>
      <c r="C4279">
        <v>47</v>
      </c>
      <c r="D4279">
        <v>13</v>
      </c>
    </row>
    <row r="4280" spans="2:4" x14ac:dyDescent="0.25">
      <c r="B4280" t="s">
        <v>1100</v>
      </c>
      <c r="C4280">
        <v>47</v>
      </c>
      <c r="D4280">
        <v>14</v>
      </c>
    </row>
    <row r="4281" spans="2:4" x14ac:dyDescent="0.25">
      <c r="B4281" t="s">
        <v>1100</v>
      </c>
      <c r="C4281">
        <v>48</v>
      </c>
      <c r="D4281">
        <v>6</v>
      </c>
    </row>
    <row r="4282" spans="2:4" x14ac:dyDescent="0.25">
      <c r="B4282" t="s">
        <v>1100</v>
      </c>
      <c r="C4282">
        <v>48</v>
      </c>
      <c r="D4282">
        <v>8</v>
      </c>
    </row>
    <row r="4283" spans="2:4" x14ac:dyDescent="0.25">
      <c r="B4283" t="s">
        <v>1100</v>
      </c>
      <c r="C4283">
        <v>48</v>
      </c>
      <c r="D4283">
        <v>13</v>
      </c>
    </row>
    <row r="4284" spans="2:4" x14ac:dyDescent="0.25">
      <c r="B4284" t="s">
        <v>1100</v>
      </c>
      <c r="C4284">
        <v>48</v>
      </c>
      <c r="D4284">
        <v>14</v>
      </c>
    </row>
    <row r="4285" spans="2:4" x14ac:dyDescent="0.25">
      <c r="B4285" t="s">
        <v>1100</v>
      </c>
      <c r="C4285">
        <v>49</v>
      </c>
      <c r="D4285">
        <v>6</v>
      </c>
    </row>
    <row r="4286" spans="2:4" x14ac:dyDescent="0.25">
      <c r="B4286" t="s">
        <v>1100</v>
      </c>
      <c r="C4286">
        <v>49</v>
      </c>
      <c r="D4286">
        <v>8</v>
      </c>
    </row>
    <row r="4287" spans="2:4" x14ac:dyDescent="0.25">
      <c r="B4287" t="s">
        <v>1100</v>
      </c>
      <c r="C4287">
        <v>49</v>
      </c>
      <c r="D4287">
        <v>13</v>
      </c>
    </row>
    <row r="4288" spans="2:4" x14ac:dyDescent="0.25">
      <c r="B4288" t="s">
        <v>1100</v>
      </c>
      <c r="C4288">
        <v>49</v>
      </c>
      <c r="D4288">
        <v>14</v>
      </c>
    </row>
    <row r="4289" spans="2:4" x14ac:dyDescent="0.25">
      <c r="B4289" t="s">
        <v>1100</v>
      </c>
      <c r="C4289">
        <v>50</v>
      </c>
      <c r="D4289">
        <v>6</v>
      </c>
    </row>
    <row r="4290" spans="2:4" x14ac:dyDescent="0.25">
      <c r="B4290" t="s">
        <v>1100</v>
      </c>
      <c r="C4290">
        <v>50</v>
      </c>
      <c r="D4290">
        <v>8</v>
      </c>
    </row>
    <row r="4291" spans="2:4" x14ac:dyDescent="0.25">
      <c r="B4291" t="s">
        <v>1100</v>
      </c>
      <c r="C4291">
        <v>50</v>
      </c>
      <c r="D4291">
        <v>13</v>
      </c>
    </row>
    <row r="4292" spans="2:4" x14ac:dyDescent="0.25">
      <c r="B4292" t="s">
        <v>1100</v>
      </c>
      <c r="C4292">
        <v>50</v>
      </c>
      <c r="D4292">
        <v>14</v>
      </c>
    </row>
    <row r="4293" spans="2:4" x14ac:dyDescent="0.25">
      <c r="B4293" t="s">
        <v>1100</v>
      </c>
      <c r="C4293">
        <v>51</v>
      </c>
      <c r="D4293">
        <v>6</v>
      </c>
    </row>
    <row r="4294" spans="2:4" x14ac:dyDescent="0.25">
      <c r="B4294" t="s">
        <v>1100</v>
      </c>
      <c r="C4294">
        <v>51</v>
      </c>
      <c r="D4294">
        <v>8</v>
      </c>
    </row>
    <row r="4295" spans="2:4" x14ac:dyDescent="0.25">
      <c r="B4295" t="s">
        <v>1100</v>
      </c>
      <c r="C4295">
        <v>51</v>
      </c>
      <c r="D4295">
        <v>13</v>
      </c>
    </row>
    <row r="4296" spans="2:4" x14ac:dyDescent="0.25">
      <c r="B4296" t="s">
        <v>1100</v>
      </c>
      <c r="C4296">
        <v>51</v>
      </c>
      <c r="D4296">
        <v>14</v>
      </c>
    </row>
    <row r="4297" spans="2:4" x14ac:dyDescent="0.25">
      <c r="B4297" t="s">
        <v>1100</v>
      </c>
      <c r="C4297">
        <v>52</v>
      </c>
      <c r="D4297">
        <v>6</v>
      </c>
    </row>
    <row r="4298" spans="2:4" x14ac:dyDescent="0.25">
      <c r="B4298" t="s">
        <v>1100</v>
      </c>
      <c r="C4298">
        <v>52</v>
      </c>
      <c r="D4298">
        <v>8</v>
      </c>
    </row>
    <row r="4299" spans="2:4" x14ac:dyDescent="0.25">
      <c r="B4299" t="s">
        <v>1100</v>
      </c>
      <c r="C4299">
        <v>52</v>
      </c>
      <c r="D4299">
        <v>13</v>
      </c>
    </row>
    <row r="4300" spans="2:4" x14ac:dyDescent="0.25">
      <c r="B4300" t="s">
        <v>1100</v>
      </c>
      <c r="C4300">
        <v>52</v>
      </c>
      <c r="D4300">
        <v>14</v>
      </c>
    </row>
    <row r="4301" spans="2:4" x14ac:dyDescent="0.25">
      <c r="B4301" t="s">
        <v>1100</v>
      </c>
      <c r="C4301">
        <v>53</v>
      </c>
      <c r="D4301">
        <v>6</v>
      </c>
    </row>
    <row r="4302" spans="2:4" x14ac:dyDescent="0.25">
      <c r="B4302" t="s">
        <v>1100</v>
      </c>
      <c r="C4302">
        <v>53</v>
      </c>
      <c r="D4302">
        <v>8</v>
      </c>
    </row>
    <row r="4303" spans="2:4" x14ac:dyDescent="0.25">
      <c r="B4303" t="s">
        <v>1100</v>
      </c>
      <c r="C4303">
        <v>53</v>
      </c>
      <c r="D4303">
        <v>13</v>
      </c>
    </row>
    <row r="4304" spans="2:4" x14ac:dyDescent="0.25">
      <c r="B4304" t="s">
        <v>1100</v>
      </c>
      <c r="C4304">
        <v>53</v>
      </c>
      <c r="D4304">
        <v>14</v>
      </c>
    </row>
    <row r="4305" spans="2:4" x14ac:dyDescent="0.25">
      <c r="B4305" t="s">
        <v>1100</v>
      </c>
      <c r="C4305">
        <v>54</v>
      </c>
      <c r="D4305">
        <v>6</v>
      </c>
    </row>
    <row r="4306" spans="2:4" x14ac:dyDescent="0.25">
      <c r="B4306" t="s">
        <v>1100</v>
      </c>
      <c r="C4306">
        <v>54</v>
      </c>
      <c r="D4306">
        <v>8</v>
      </c>
    </row>
    <row r="4307" spans="2:4" x14ac:dyDescent="0.25">
      <c r="B4307" t="s">
        <v>1100</v>
      </c>
      <c r="C4307">
        <v>54</v>
      </c>
      <c r="D4307">
        <v>13</v>
      </c>
    </row>
    <row r="4308" spans="2:4" x14ac:dyDescent="0.25">
      <c r="B4308" t="s">
        <v>1100</v>
      </c>
      <c r="C4308">
        <v>54</v>
      </c>
      <c r="D4308">
        <v>14</v>
      </c>
    </row>
    <row r="4309" spans="2:4" x14ac:dyDescent="0.25">
      <c r="B4309" t="s">
        <v>1100</v>
      </c>
      <c r="C4309">
        <v>55</v>
      </c>
      <c r="D4309">
        <v>6</v>
      </c>
    </row>
    <row r="4310" spans="2:4" x14ac:dyDescent="0.25">
      <c r="B4310" t="s">
        <v>1100</v>
      </c>
      <c r="C4310">
        <v>55</v>
      </c>
      <c r="D4310">
        <v>8</v>
      </c>
    </row>
    <row r="4311" spans="2:4" x14ac:dyDescent="0.25">
      <c r="B4311" t="s">
        <v>1100</v>
      </c>
      <c r="C4311">
        <v>55</v>
      </c>
      <c r="D4311">
        <v>13</v>
      </c>
    </row>
    <row r="4312" spans="2:4" x14ac:dyDescent="0.25">
      <c r="B4312" t="s">
        <v>1100</v>
      </c>
      <c r="C4312">
        <v>55</v>
      </c>
      <c r="D4312">
        <v>14</v>
      </c>
    </row>
    <row r="4313" spans="2:4" x14ac:dyDescent="0.25">
      <c r="B4313" t="s">
        <v>1100</v>
      </c>
      <c r="C4313">
        <v>56</v>
      </c>
      <c r="D4313">
        <v>6</v>
      </c>
    </row>
    <row r="4314" spans="2:4" x14ac:dyDescent="0.25">
      <c r="B4314" t="s">
        <v>1100</v>
      </c>
      <c r="C4314">
        <v>56</v>
      </c>
      <c r="D4314">
        <v>8</v>
      </c>
    </row>
    <row r="4315" spans="2:4" x14ac:dyDescent="0.25">
      <c r="B4315" t="s">
        <v>1100</v>
      </c>
      <c r="C4315">
        <v>56</v>
      </c>
      <c r="D4315">
        <v>13</v>
      </c>
    </row>
    <row r="4316" spans="2:4" x14ac:dyDescent="0.25">
      <c r="B4316" t="s">
        <v>1100</v>
      </c>
      <c r="C4316">
        <v>56</v>
      </c>
      <c r="D4316">
        <v>14</v>
      </c>
    </row>
    <row r="4317" spans="2:4" x14ac:dyDescent="0.25">
      <c r="B4317" t="s">
        <v>1100</v>
      </c>
      <c r="C4317">
        <v>57</v>
      </c>
      <c r="D4317">
        <v>6</v>
      </c>
    </row>
    <row r="4318" spans="2:4" x14ac:dyDescent="0.25">
      <c r="B4318" t="s">
        <v>1100</v>
      </c>
      <c r="C4318">
        <v>57</v>
      </c>
      <c r="D4318">
        <v>8</v>
      </c>
    </row>
    <row r="4319" spans="2:4" x14ac:dyDescent="0.25">
      <c r="B4319" t="s">
        <v>1100</v>
      </c>
      <c r="C4319">
        <v>57</v>
      </c>
      <c r="D4319">
        <v>13</v>
      </c>
    </row>
    <row r="4320" spans="2:4" x14ac:dyDescent="0.25">
      <c r="B4320" t="s">
        <v>1100</v>
      </c>
      <c r="C4320">
        <v>57</v>
      </c>
      <c r="D4320">
        <v>14</v>
      </c>
    </row>
    <row r="4321" spans="2:4" x14ac:dyDescent="0.25">
      <c r="B4321" t="s">
        <v>1100</v>
      </c>
      <c r="C4321">
        <v>58</v>
      </c>
      <c r="D4321">
        <v>6</v>
      </c>
    </row>
    <row r="4322" spans="2:4" x14ac:dyDescent="0.25">
      <c r="B4322" t="s">
        <v>1100</v>
      </c>
      <c r="C4322">
        <v>58</v>
      </c>
      <c r="D4322">
        <v>8</v>
      </c>
    </row>
    <row r="4323" spans="2:4" x14ac:dyDescent="0.25">
      <c r="B4323" t="s">
        <v>1100</v>
      </c>
      <c r="C4323">
        <v>58</v>
      </c>
      <c r="D4323">
        <v>13</v>
      </c>
    </row>
    <row r="4324" spans="2:4" x14ac:dyDescent="0.25">
      <c r="B4324" t="s">
        <v>1100</v>
      </c>
      <c r="C4324">
        <v>58</v>
      </c>
      <c r="D4324">
        <v>14</v>
      </c>
    </row>
    <row r="4325" spans="2:4" x14ac:dyDescent="0.25">
      <c r="B4325" t="s">
        <v>1100</v>
      </c>
      <c r="C4325">
        <v>59</v>
      </c>
      <c r="D4325">
        <v>6</v>
      </c>
    </row>
    <row r="4326" spans="2:4" x14ac:dyDescent="0.25">
      <c r="B4326" t="s">
        <v>1100</v>
      </c>
      <c r="C4326">
        <v>59</v>
      </c>
      <c r="D4326">
        <v>8</v>
      </c>
    </row>
    <row r="4327" spans="2:4" x14ac:dyDescent="0.25">
      <c r="B4327" t="s">
        <v>1100</v>
      </c>
      <c r="C4327">
        <v>59</v>
      </c>
      <c r="D4327">
        <v>13</v>
      </c>
    </row>
    <row r="4328" spans="2:4" x14ac:dyDescent="0.25">
      <c r="B4328" t="s">
        <v>1100</v>
      </c>
      <c r="C4328">
        <v>59</v>
      </c>
      <c r="D4328">
        <v>14</v>
      </c>
    </row>
    <row r="4329" spans="2:4" x14ac:dyDescent="0.25">
      <c r="B4329" t="s">
        <v>1100</v>
      </c>
      <c r="C4329">
        <v>60</v>
      </c>
      <c r="D4329">
        <v>6</v>
      </c>
    </row>
    <row r="4330" spans="2:4" x14ac:dyDescent="0.25">
      <c r="B4330" t="s">
        <v>1100</v>
      </c>
      <c r="C4330">
        <v>60</v>
      </c>
      <c r="D4330">
        <v>8</v>
      </c>
    </row>
    <row r="4331" spans="2:4" x14ac:dyDescent="0.25">
      <c r="B4331" t="s">
        <v>1100</v>
      </c>
      <c r="C4331">
        <v>60</v>
      </c>
      <c r="D4331">
        <v>13</v>
      </c>
    </row>
    <row r="4332" spans="2:4" x14ac:dyDescent="0.25">
      <c r="B4332" t="s">
        <v>1100</v>
      </c>
      <c r="C4332">
        <v>60</v>
      </c>
      <c r="D4332">
        <v>14</v>
      </c>
    </row>
    <row r="4333" spans="2:4" x14ac:dyDescent="0.25">
      <c r="B4333" t="s">
        <v>1100</v>
      </c>
      <c r="C4333">
        <v>61</v>
      </c>
      <c r="D4333">
        <v>6</v>
      </c>
    </row>
    <row r="4334" spans="2:4" x14ac:dyDescent="0.25">
      <c r="B4334" t="s">
        <v>1100</v>
      </c>
      <c r="C4334">
        <v>61</v>
      </c>
      <c r="D4334">
        <v>8</v>
      </c>
    </row>
    <row r="4335" spans="2:4" x14ac:dyDescent="0.25">
      <c r="B4335" t="s">
        <v>1100</v>
      </c>
      <c r="C4335">
        <v>61</v>
      </c>
      <c r="D4335">
        <v>13</v>
      </c>
    </row>
    <row r="4336" spans="2:4" x14ac:dyDescent="0.25">
      <c r="B4336" t="s">
        <v>1100</v>
      </c>
      <c r="C4336">
        <v>61</v>
      </c>
      <c r="D4336">
        <v>14</v>
      </c>
    </row>
    <row r="4337" spans="2:4" x14ac:dyDescent="0.25">
      <c r="B4337" t="s">
        <v>1100</v>
      </c>
      <c r="C4337">
        <v>64</v>
      </c>
      <c r="D4337">
        <v>6</v>
      </c>
    </row>
    <row r="4338" spans="2:4" x14ac:dyDescent="0.25">
      <c r="B4338" t="s">
        <v>1100</v>
      </c>
      <c r="C4338">
        <v>64</v>
      </c>
      <c r="D4338">
        <v>8</v>
      </c>
    </row>
    <row r="4339" spans="2:4" x14ac:dyDescent="0.25">
      <c r="B4339" t="s">
        <v>1100</v>
      </c>
      <c r="C4339">
        <v>64</v>
      </c>
      <c r="D4339">
        <v>13</v>
      </c>
    </row>
    <row r="4340" spans="2:4" x14ac:dyDescent="0.25">
      <c r="B4340" t="s">
        <v>1100</v>
      </c>
      <c r="C4340">
        <v>64</v>
      </c>
      <c r="D4340">
        <v>14</v>
      </c>
    </row>
    <row r="4341" spans="2:4" x14ac:dyDescent="0.25">
      <c r="B4341" t="s">
        <v>1100</v>
      </c>
      <c r="C4341">
        <v>65</v>
      </c>
      <c r="D4341">
        <v>6</v>
      </c>
    </row>
    <row r="4342" spans="2:4" x14ac:dyDescent="0.25">
      <c r="B4342" t="s">
        <v>1100</v>
      </c>
      <c r="C4342">
        <v>65</v>
      </c>
      <c r="D4342">
        <v>8</v>
      </c>
    </row>
    <row r="4343" spans="2:4" x14ac:dyDescent="0.25">
      <c r="B4343" t="s">
        <v>1100</v>
      </c>
      <c r="C4343">
        <v>65</v>
      </c>
      <c r="D4343">
        <v>13</v>
      </c>
    </row>
    <row r="4344" spans="2:4" x14ac:dyDescent="0.25">
      <c r="B4344" t="s">
        <v>1100</v>
      </c>
      <c r="C4344">
        <v>65</v>
      </c>
      <c r="D4344">
        <v>14</v>
      </c>
    </row>
    <row r="4345" spans="2:4" x14ac:dyDescent="0.25">
      <c r="B4345" t="s">
        <v>1100</v>
      </c>
      <c r="C4345">
        <v>66</v>
      </c>
      <c r="D4345">
        <v>6</v>
      </c>
    </row>
    <row r="4346" spans="2:4" x14ac:dyDescent="0.25">
      <c r="B4346" t="s">
        <v>1100</v>
      </c>
      <c r="C4346">
        <v>66</v>
      </c>
      <c r="D4346">
        <v>8</v>
      </c>
    </row>
    <row r="4347" spans="2:4" x14ac:dyDescent="0.25">
      <c r="B4347" t="s">
        <v>1100</v>
      </c>
      <c r="C4347">
        <v>66</v>
      </c>
      <c r="D4347">
        <v>13</v>
      </c>
    </row>
    <row r="4348" spans="2:4" x14ac:dyDescent="0.25">
      <c r="B4348" t="s">
        <v>1100</v>
      </c>
      <c r="C4348">
        <v>66</v>
      </c>
      <c r="D4348">
        <v>14</v>
      </c>
    </row>
    <row r="4349" spans="2:4" x14ac:dyDescent="0.25">
      <c r="B4349" t="s">
        <v>1100</v>
      </c>
      <c r="C4349">
        <v>67</v>
      </c>
      <c r="D4349">
        <v>6</v>
      </c>
    </row>
    <row r="4350" spans="2:4" x14ac:dyDescent="0.25">
      <c r="B4350" t="s">
        <v>1100</v>
      </c>
      <c r="C4350">
        <v>67</v>
      </c>
      <c r="D4350">
        <v>8</v>
      </c>
    </row>
    <row r="4351" spans="2:4" x14ac:dyDescent="0.25">
      <c r="B4351" t="s">
        <v>1100</v>
      </c>
      <c r="C4351">
        <v>67</v>
      </c>
      <c r="D4351">
        <v>13</v>
      </c>
    </row>
    <row r="4352" spans="2:4" x14ac:dyDescent="0.25">
      <c r="B4352" t="s">
        <v>1100</v>
      </c>
      <c r="C4352">
        <v>67</v>
      </c>
      <c r="D4352">
        <v>14</v>
      </c>
    </row>
    <row r="4353" spans="2:4" x14ac:dyDescent="0.25">
      <c r="B4353" t="s">
        <v>1100</v>
      </c>
      <c r="C4353">
        <v>68</v>
      </c>
      <c r="D4353">
        <v>6</v>
      </c>
    </row>
    <row r="4354" spans="2:4" x14ac:dyDescent="0.25">
      <c r="B4354" t="s">
        <v>1100</v>
      </c>
      <c r="C4354">
        <v>68</v>
      </c>
      <c r="D4354">
        <v>8</v>
      </c>
    </row>
    <row r="4355" spans="2:4" x14ac:dyDescent="0.25">
      <c r="B4355" t="s">
        <v>1100</v>
      </c>
      <c r="C4355">
        <v>68</v>
      </c>
      <c r="D4355">
        <v>13</v>
      </c>
    </row>
    <row r="4356" spans="2:4" x14ac:dyDescent="0.25">
      <c r="B4356" t="s">
        <v>1100</v>
      </c>
      <c r="C4356">
        <v>68</v>
      </c>
      <c r="D4356">
        <v>14</v>
      </c>
    </row>
    <row r="4357" spans="2:4" x14ac:dyDescent="0.25">
      <c r="B4357" t="s">
        <v>1100</v>
      </c>
      <c r="C4357">
        <v>69</v>
      </c>
      <c r="D4357">
        <v>6</v>
      </c>
    </row>
    <row r="4358" spans="2:4" x14ac:dyDescent="0.25">
      <c r="B4358" t="s">
        <v>1100</v>
      </c>
      <c r="C4358">
        <v>69</v>
      </c>
      <c r="D4358">
        <v>8</v>
      </c>
    </row>
    <row r="4359" spans="2:4" x14ac:dyDescent="0.25">
      <c r="B4359" t="s">
        <v>1100</v>
      </c>
      <c r="C4359">
        <v>69</v>
      </c>
      <c r="D4359">
        <v>13</v>
      </c>
    </row>
    <row r="4360" spans="2:4" x14ac:dyDescent="0.25">
      <c r="B4360" t="s">
        <v>1100</v>
      </c>
      <c r="C4360">
        <v>69</v>
      </c>
      <c r="D4360">
        <v>14</v>
      </c>
    </row>
    <row r="4361" spans="2:4" x14ac:dyDescent="0.25">
      <c r="B4361" t="s">
        <v>1100</v>
      </c>
      <c r="C4361">
        <v>70</v>
      </c>
      <c r="D4361">
        <v>6</v>
      </c>
    </row>
    <row r="4362" spans="2:4" x14ac:dyDescent="0.25">
      <c r="B4362" t="s">
        <v>1100</v>
      </c>
      <c r="C4362">
        <v>70</v>
      </c>
      <c r="D4362">
        <v>8</v>
      </c>
    </row>
    <row r="4363" spans="2:4" x14ac:dyDescent="0.25">
      <c r="B4363" t="s">
        <v>1100</v>
      </c>
      <c r="C4363">
        <v>70</v>
      </c>
      <c r="D4363">
        <v>13</v>
      </c>
    </row>
    <row r="4364" spans="2:4" x14ac:dyDescent="0.25">
      <c r="B4364" t="s">
        <v>1100</v>
      </c>
      <c r="C4364">
        <v>70</v>
      </c>
      <c r="D4364">
        <v>14</v>
      </c>
    </row>
    <row r="4365" spans="2:4" x14ac:dyDescent="0.25">
      <c r="B4365" t="s">
        <v>1100</v>
      </c>
      <c r="C4365">
        <v>71</v>
      </c>
      <c r="D4365">
        <v>6</v>
      </c>
    </row>
    <row r="4366" spans="2:4" x14ac:dyDescent="0.25">
      <c r="B4366" t="s">
        <v>1100</v>
      </c>
      <c r="C4366">
        <v>71</v>
      </c>
      <c r="D4366">
        <v>8</v>
      </c>
    </row>
    <row r="4367" spans="2:4" x14ac:dyDescent="0.25">
      <c r="B4367" t="s">
        <v>1100</v>
      </c>
      <c r="C4367">
        <v>71</v>
      </c>
      <c r="D4367">
        <v>13</v>
      </c>
    </row>
    <row r="4368" spans="2:4" x14ac:dyDescent="0.25">
      <c r="B4368" t="s">
        <v>1100</v>
      </c>
      <c r="C4368">
        <v>71</v>
      </c>
      <c r="D4368">
        <v>14</v>
      </c>
    </row>
    <row r="4369" spans="2:4" x14ac:dyDescent="0.25">
      <c r="B4369" t="s">
        <v>1100</v>
      </c>
      <c r="C4369">
        <v>74</v>
      </c>
      <c r="D4369">
        <v>6</v>
      </c>
    </row>
    <row r="4370" spans="2:4" x14ac:dyDescent="0.25">
      <c r="B4370" t="s">
        <v>1100</v>
      </c>
      <c r="C4370">
        <v>74</v>
      </c>
      <c r="D4370">
        <v>8</v>
      </c>
    </row>
    <row r="4371" spans="2:4" x14ac:dyDescent="0.25">
      <c r="B4371" t="s">
        <v>1100</v>
      </c>
      <c r="C4371">
        <v>74</v>
      </c>
      <c r="D4371">
        <v>13</v>
      </c>
    </row>
    <row r="4372" spans="2:4" x14ac:dyDescent="0.25">
      <c r="B4372" t="s">
        <v>1100</v>
      </c>
      <c r="C4372">
        <v>74</v>
      </c>
      <c r="D4372">
        <v>14</v>
      </c>
    </row>
    <row r="4373" spans="2:4" x14ac:dyDescent="0.25">
      <c r="B4373" t="s">
        <v>1100</v>
      </c>
      <c r="C4373">
        <v>77</v>
      </c>
      <c r="D4373">
        <v>6</v>
      </c>
    </row>
    <row r="4374" spans="2:4" x14ac:dyDescent="0.25">
      <c r="B4374" t="s">
        <v>1100</v>
      </c>
      <c r="C4374">
        <v>77</v>
      </c>
      <c r="D4374">
        <v>8</v>
      </c>
    </row>
    <row r="4375" spans="2:4" x14ac:dyDescent="0.25">
      <c r="B4375" t="s">
        <v>1100</v>
      </c>
      <c r="C4375">
        <v>77</v>
      </c>
      <c r="D4375">
        <v>13</v>
      </c>
    </row>
    <row r="4376" spans="2:4" x14ac:dyDescent="0.25">
      <c r="B4376" t="s">
        <v>1100</v>
      </c>
      <c r="C4376">
        <v>77</v>
      </c>
      <c r="D4376">
        <v>14</v>
      </c>
    </row>
    <row r="4377" spans="2:4" x14ac:dyDescent="0.25">
      <c r="B4377" t="s">
        <v>1100</v>
      </c>
      <c r="C4377">
        <v>78</v>
      </c>
      <c r="D4377">
        <v>6</v>
      </c>
    </row>
    <row r="4378" spans="2:4" x14ac:dyDescent="0.25">
      <c r="B4378" t="s">
        <v>1100</v>
      </c>
      <c r="C4378">
        <v>78</v>
      </c>
      <c r="D4378">
        <v>8</v>
      </c>
    </row>
    <row r="4379" spans="2:4" x14ac:dyDescent="0.25">
      <c r="B4379" t="s">
        <v>1100</v>
      </c>
      <c r="C4379">
        <v>78</v>
      </c>
      <c r="D4379">
        <v>13</v>
      </c>
    </row>
    <row r="4380" spans="2:4" x14ac:dyDescent="0.25">
      <c r="B4380" t="s">
        <v>1100</v>
      </c>
      <c r="C4380">
        <v>78</v>
      </c>
      <c r="D4380">
        <v>14</v>
      </c>
    </row>
    <row r="4381" spans="2:4" x14ac:dyDescent="0.25">
      <c r="B4381" t="s">
        <v>1100</v>
      </c>
      <c r="C4381">
        <v>79</v>
      </c>
      <c r="D4381">
        <v>6</v>
      </c>
    </row>
    <row r="4382" spans="2:4" x14ac:dyDescent="0.25">
      <c r="B4382" t="s">
        <v>1100</v>
      </c>
      <c r="C4382">
        <v>79</v>
      </c>
      <c r="D4382">
        <v>8</v>
      </c>
    </row>
    <row r="4383" spans="2:4" x14ac:dyDescent="0.25">
      <c r="B4383" t="s">
        <v>1100</v>
      </c>
      <c r="C4383">
        <v>79</v>
      </c>
      <c r="D4383">
        <v>13</v>
      </c>
    </row>
    <row r="4384" spans="2:4" x14ac:dyDescent="0.25">
      <c r="B4384" t="s">
        <v>1100</v>
      </c>
      <c r="C4384">
        <v>79</v>
      </c>
      <c r="D4384">
        <v>14</v>
      </c>
    </row>
    <row r="4385" spans="2:4" x14ac:dyDescent="0.25">
      <c r="B4385" t="s">
        <v>1100</v>
      </c>
      <c r="C4385">
        <v>80</v>
      </c>
      <c r="D4385">
        <v>6</v>
      </c>
    </row>
    <row r="4386" spans="2:4" x14ac:dyDescent="0.25">
      <c r="B4386" t="s">
        <v>1100</v>
      </c>
      <c r="C4386">
        <v>80</v>
      </c>
      <c r="D4386">
        <v>8</v>
      </c>
    </row>
    <row r="4387" spans="2:4" x14ac:dyDescent="0.25">
      <c r="B4387" t="s">
        <v>1100</v>
      </c>
      <c r="C4387">
        <v>80</v>
      </c>
      <c r="D4387">
        <v>13</v>
      </c>
    </row>
    <row r="4388" spans="2:4" x14ac:dyDescent="0.25">
      <c r="B4388" t="s">
        <v>1100</v>
      </c>
      <c r="C4388">
        <v>80</v>
      </c>
      <c r="D4388">
        <v>14</v>
      </c>
    </row>
    <row r="4389" spans="2:4" x14ac:dyDescent="0.25">
      <c r="B4389" t="s">
        <v>1100</v>
      </c>
      <c r="C4389">
        <v>82</v>
      </c>
      <c r="D4389">
        <v>6</v>
      </c>
    </row>
    <row r="4390" spans="2:4" x14ac:dyDescent="0.25">
      <c r="B4390" t="s">
        <v>1100</v>
      </c>
      <c r="C4390">
        <v>82</v>
      </c>
      <c r="D4390">
        <v>8</v>
      </c>
    </row>
    <row r="4391" spans="2:4" x14ac:dyDescent="0.25">
      <c r="B4391" t="s">
        <v>1100</v>
      </c>
      <c r="C4391">
        <v>82</v>
      </c>
      <c r="D4391">
        <v>13</v>
      </c>
    </row>
    <row r="4392" spans="2:4" x14ac:dyDescent="0.25">
      <c r="B4392" t="s">
        <v>1100</v>
      </c>
      <c r="C4392">
        <v>82</v>
      </c>
      <c r="D4392">
        <v>14</v>
      </c>
    </row>
    <row r="4393" spans="2:4" x14ac:dyDescent="0.25">
      <c r="B4393" t="s">
        <v>1100</v>
      </c>
      <c r="C4393">
        <v>83</v>
      </c>
      <c r="D4393">
        <v>6</v>
      </c>
    </row>
    <row r="4394" spans="2:4" x14ac:dyDescent="0.25">
      <c r="B4394" t="s">
        <v>1100</v>
      </c>
      <c r="C4394">
        <v>83</v>
      </c>
      <c r="D4394">
        <v>8</v>
      </c>
    </row>
    <row r="4395" spans="2:4" x14ac:dyDescent="0.25">
      <c r="B4395" t="s">
        <v>1100</v>
      </c>
      <c r="C4395">
        <v>83</v>
      </c>
      <c r="D4395">
        <v>13</v>
      </c>
    </row>
    <row r="4396" spans="2:4" x14ac:dyDescent="0.25">
      <c r="B4396" t="s">
        <v>1100</v>
      </c>
      <c r="C4396">
        <v>83</v>
      </c>
      <c r="D4396">
        <v>14</v>
      </c>
    </row>
    <row r="4397" spans="2:4" x14ac:dyDescent="0.25">
      <c r="B4397" t="s">
        <v>1100</v>
      </c>
      <c r="C4397">
        <v>84</v>
      </c>
      <c r="D4397">
        <v>6</v>
      </c>
    </row>
    <row r="4398" spans="2:4" x14ac:dyDescent="0.25">
      <c r="B4398" t="s">
        <v>1100</v>
      </c>
      <c r="C4398">
        <v>84</v>
      </c>
      <c r="D4398">
        <v>8</v>
      </c>
    </row>
    <row r="4399" spans="2:4" x14ac:dyDescent="0.25">
      <c r="B4399" t="s">
        <v>1100</v>
      </c>
      <c r="C4399">
        <v>84</v>
      </c>
      <c r="D4399">
        <v>13</v>
      </c>
    </row>
    <row r="4400" spans="2:4" x14ac:dyDescent="0.25">
      <c r="B4400" t="s">
        <v>1100</v>
      </c>
      <c r="C4400">
        <v>84</v>
      </c>
      <c r="D4400">
        <v>14</v>
      </c>
    </row>
    <row r="4401" spans="2:4" x14ac:dyDescent="0.25">
      <c r="B4401" t="s">
        <v>1100</v>
      </c>
      <c r="C4401">
        <v>85</v>
      </c>
      <c r="D4401">
        <v>6</v>
      </c>
    </row>
    <row r="4402" spans="2:4" x14ac:dyDescent="0.25">
      <c r="B4402" t="s">
        <v>1100</v>
      </c>
      <c r="C4402">
        <v>85</v>
      </c>
      <c r="D4402">
        <v>8</v>
      </c>
    </row>
    <row r="4403" spans="2:4" x14ac:dyDescent="0.25">
      <c r="B4403" t="s">
        <v>1100</v>
      </c>
      <c r="C4403">
        <v>85</v>
      </c>
      <c r="D4403">
        <v>13</v>
      </c>
    </row>
    <row r="4404" spans="2:4" x14ac:dyDescent="0.25">
      <c r="B4404" t="s">
        <v>1100</v>
      </c>
      <c r="C4404">
        <v>85</v>
      </c>
      <c r="D4404">
        <v>14</v>
      </c>
    </row>
    <row r="4405" spans="2:4" x14ac:dyDescent="0.25">
      <c r="B4405" t="s">
        <v>1100</v>
      </c>
      <c r="C4405">
        <v>86</v>
      </c>
      <c r="D4405">
        <v>6</v>
      </c>
    </row>
    <row r="4406" spans="2:4" x14ac:dyDescent="0.25">
      <c r="B4406" t="s">
        <v>1100</v>
      </c>
      <c r="C4406">
        <v>86</v>
      </c>
      <c r="D4406">
        <v>8</v>
      </c>
    </row>
    <row r="4407" spans="2:4" x14ac:dyDescent="0.25">
      <c r="B4407" t="s">
        <v>1100</v>
      </c>
      <c r="C4407">
        <v>86</v>
      </c>
      <c r="D4407">
        <v>13</v>
      </c>
    </row>
    <row r="4408" spans="2:4" x14ac:dyDescent="0.25">
      <c r="B4408" t="s">
        <v>1100</v>
      </c>
      <c r="C4408">
        <v>86</v>
      </c>
      <c r="D4408">
        <v>14</v>
      </c>
    </row>
    <row r="4409" spans="2:4" x14ac:dyDescent="0.25">
      <c r="B4409" t="s">
        <v>1100</v>
      </c>
      <c r="C4409">
        <v>87</v>
      </c>
      <c r="D4409">
        <v>6</v>
      </c>
    </row>
    <row r="4410" spans="2:4" x14ac:dyDescent="0.25">
      <c r="B4410" t="s">
        <v>1100</v>
      </c>
      <c r="C4410">
        <v>87</v>
      </c>
      <c r="D4410">
        <v>8</v>
      </c>
    </row>
    <row r="4411" spans="2:4" x14ac:dyDescent="0.25">
      <c r="B4411" t="s">
        <v>1100</v>
      </c>
      <c r="C4411">
        <v>87</v>
      </c>
      <c r="D4411">
        <v>13</v>
      </c>
    </row>
    <row r="4412" spans="2:4" x14ac:dyDescent="0.25">
      <c r="B4412" t="s">
        <v>1100</v>
      </c>
      <c r="C4412">
        <v>87</v>
      </c>
      <c r="D4412">
        <v>14</v>
      </c>
    </row>
    <row r="4413" spans="2:4" x14ac:dyDescent="0.25">
      <c r="B4413" t="s">
        <v>1100</v>
      </c>
      <c r="C4413">
        <v>88</v>
      </c>
      <c r="D4413">
        <v>6</v>
      </c>
    </row>
    <row r="4414" spans="2:4" x14ac:dyDescent="0.25">
      <c r="B4414" t="s">
        <v>1100</v>
      </c>
      <c r="C4414">
        <v>88</v>
      </c>
      <c r="D4414">
        <v>8</v>
      </c>
    </row>
    <row r="4415" spans="2:4" x14ac:dyDescent="0.25">
      <c r="B4415" t="s">
        <v>1100</v>
      </c>
      <c r="C4415">
        <v>88</v>
      </c>
      <c r="D4415">
        <v>13</v>
      </c>
    </row>
    <row r="4416" spans="2:4" x14ac:dyDescent="0.25">
      <c r="B4416" t="s">
        <v>1100</v>
      </c>
      <c r="C4416">
        <v>88</v>
      </c>
      <c r="D4416">
        <v>14</v>
      </c>
    </row>
    <row r="4417" spans="2:4" x14ac:dyDescent="0.25">
      <c r="B4417" t="s">
        <v>1100</v>
      </c>
      <c r="C4417">
        <v>89</v>
      </c>
      <c r="D4417">
        <v>6</v>
      </c>
    </row>
    <row r="4418" spans="2:4" x14ac:dyDescent="0.25">
      <c r="B4418" t="s">
        <v>1100</v>
      </c>
      <c r="C4418">
        <v>89</v>
      </c>
      <c r="D4418">
        <v>8</v>
      </c>
    </row>
    <row r="4419" spans="2:4" x14ac:dyDescent="0.25">
      <c r="B4419" t="s">
        <v>1100</v>
      </c>
      <c r="C4419">
        <v>89</v>
      </c>
      <c r="D4419">
        <v>13</v>
      </c>
    </row>
    <row r="4420" spans="2:4" x14ac:dyDescent="0.25">
      <c r="B4420" t="s">
        <v>1100</v>
      </c>
      <c r="C4420">
        <v>89</v>
      </c>
      <c r="D4420">
        <v>14</v>
      </c>
    </row>
    <row r="4421" spans="2:4" x14ac:dyDescent="0.25">
      <c r="B4421" t="s">
        <v>1100</v>
      </c>
      <c r="C4421">
        <v>91</v>
      </c>
      <c r="D4421">
        <v>6</v>
      </c>
    </row>
    <row r="4422" spans="2:4" x14ac:dyDescent="0.25">
      <c r="B4422" t="s">
        <v>1100</v>
      </c>
      <c r="C4422">
        <v>91</v>
      </c>
      <c r="D4422">
        <v>8</v>
      </c>
    </row>
    <row r="4423" spans="2:4" x14ac:dyDescent="0.25">
      <c r="B4423" t="s">
        <v>1100</v>
      </c>
      <c r="C4423">
        <v>91</v>
      </c>
      <c r="D4423">
        <v>13</v>
      </c>
    </row>
    <row r="4424" spans="2:4" x14ac:dyDescent="0.25">
      <c r="B4424" t="s">
        <v>1100</v>
      </c>
      <c r="C4424">
        <v>91</v>
      </c>
      <c r="D4424">
        <v>14</v>
      </c>
    </row>
    <row r="4425" spans="2:4" x14ac:dyDescent="0.25">
      <c r="B4425" t="s">
        <v>1100</v>
      </c>
      <c r="C4425">
        <v>93</v>
      </c>
      <c r="D4425">
        <v>6</v>
      </c>
    </row>
    <row r="4426" spans="2:4" x14ac:dyDescent="0.25">
      <c r="B4426" t="s">
        <v>1100</v>
      </c>
      <c r="C4426">
        <v>93</v>
      </c>
      <c r="D4426">
        <v>8</v>
      </c>
    </row>
    <row r="4427" spans="2:4" x14ac:dyDescent="0.25">
      <c r="B4427" t="s">
        <v>1100</v>
      </c>
      <c r="C4427">
        <v>93</v>
      </c>
      <c r="D4427">
        <v>13</v>
      </c>
    </row>
    <row r="4428" spans="2:4" x14ac:dyDescent="0.25">
      <c r="B4428" t="s">
        <v>1100</v>
      </c>
      <c r="C4428">
        <v>93</v>
      </c>
      <c r="D4428">
        <v>14</v>
      </c>
    </row>
    <row r="4429" spans="2:4" x14ac:dyDescent="0.25">
      <c r="B4429" t="s">
        <v>1100</v>
      </c>
      <c r="C4429">
        <v>95</v>
      </c>
      <c r="D4429">
        <v>6</v>
      </c>
    </row>
    <row r="4430" spans="2:4" x14ac:dyDescent="0.25">
      <c r="B4430" t="s">
        <v>1100</v>
      </c>
      <c r="C4430">
        <v>95</v>
      </c>
      <c r="D4430">
        <v>8</v>
      </c>
    </row>
    <row r="4431" spans="2:4" x14ac:dyDescent="0.25">
      <c r="B4431" t="s">
        <v>1100</v>
      </c>
      <c r="C4431">
        <v>95</v>
      </c>
      <c r="D4431">
        <v>13</v>
      </c>
    </row>
    <row r="4432" spans="2:4" x14ac:dyDescent="0.25">
      <c r="B4432" t="s">
        <v>1100</v>
      </c>
      <c r="C4432">
        <v>95</v>
      </c>
      <c r="D4432">
        <v>14</v>
      </c>
    </row>
    <row r="4433" spans="2:4" x14ac:dyDescent="0.25">
      <c r="B4433" t="s">
        <v>1100</v>
      </c>
      <c r="C4433">
        <v>96</v>
      </c>
      <c r="D4433">
        <v>6</v>
      </c>
    </row>
    <row r="4434" spans="2:4" x14ac:dyDescent="0.25">
      <c r="B4434" t="s">
        <v>1100</v>
      </c>
      <c r="C4434">
        <v>96</v>
      </c>
      <c r="D4434">
        <v>8</v>
      </c>
    </row>
    <row r="4435" spans="2:4" x14ac:dyDescent="0.25">
      <c r="B4435" t="s">
        <v>1100</v>
      </c>
      <c r="C4435">
        <v>96</v>
      </c>
      <c r="D4435">
        <v>13</v>
      </c>
    </row>
    <row r="4436" spans="2:4" x14ac:dyDescent="0.25">
      <c r="B4436" t="s">
        <v>1100</v>
      </c>
      <c r="C4436">
        <v>96</v>
      </c>
      <c r="D4436">
        <v>14</v>
      </c>
    </row>
    <row r="4437" spans="2:4" x14ac:dyDescent="0.25">
      <c r="B4437" t="s">
        <v>1100</v>
      </c>
      <c r="C4437">
        <v>97</v>
      </c>
      <c r="D4437">
        <v>6</v>
      </c>
    </row>
    <row r="4438" spans="2:4" x14ac:dyDescent="0.25">
      <c r="B4438" t="s">
        <v>1100</v>
      </c>
      <c r="C4438">
        <v>97</v>
      </c>
      <c r="D4438">
        <v>8</v>
      </c>
    </row>
    <row r="4439" spans="2:4" x14ac:dyDescent="0.25">
      <c r="B4439" t="s">
        <v>1100</v>
      </c>
      <c r="C4439">
        <v>97</v>
      </c>
      <c r="D4439">
        <v>13</v>
      </c>
    </row>
    <row r="4440" spans="2:4" x14ac:dyDescent="0.25">
      <c r="B4440" t="s">
        <v>1100</v>
      </c>
      <c r="C4440">
        <v>97</v>
      </c>
      <c r="D4440">
        <v>14</v>
      </c>
    </row>
    <row r="4441" spans="2:4" x14ac:dyDescent="0.25">
      <c r="B4441" t="s">
        <v>1100</v>
      </c>
      <c r="C4441">
        <v>98</v>
      </c>
      <c r="D4441">
        <v>6</v>
      </c>
    </row>
    <row r="4442" spans="2:4" x14ac:dyDescent="0.25">
      <c r="B4442" t="s">
        <v>1100</v>
      </c>
      <c r="C4442">
        <v>98</v>
      </c>
      <c r="D4442">
        <v>8</v>
      </c>
    </row>
    <row r="4443" spans="2:4" x14ac:dyDescent="0.25">
      <c r="B4443" t="s">
        <v>1100</v>
      </c>
      <c r="C4443">
        <v>98</v>
      </c>
      <c r="D4443">
        <v>13</v>
      </c>
    </row>
    <row r="4444" spans="2:4" x14ac:dyDescent="0.25">
      <c r="B4444" t="s">
        <v>1100</v>
      </c>
      <c r="C4444">
        <v>98</v>
      </c>
      <c r="D4444">
        <v>14</v>
      </c>
    </row>
    <row r="4445" spans="2:4" x14ac:dyDescent="0.25">
      <c r="B4445" t="s">
        <v>1100</v>
      </c>
      <c r="C4445">
        <v>99</v>
      </c>
      <c r="D4445">
        <v>6</v>
      </c>
    </row>
    <row r="4446" spans="2:4" x14ac:dyDescent="0.25">
      <c r="B4446" t="s">
        <v>1100</v>
      </c>
      <c r="C4446">
        <v>99</v>
      </c>
      <c r="D4446">
        <v>8</v>
      </c>
    </row>
    <row r="4447" spans="2:4" x14ac:dyDescent="0.25">
      <c r="B4447" t="s">
        <v>1100</v>
      </c>
      <c r="C4447">
        <v>99</v>
      </c>
      <c r="D4447">
        <v>13</v>
      </c>
    </row>
    <row r="4448" spans="2:4" x14ac:dyDescent="0.25">
      <c r="B4448" t="s">
        <v>1100</v>
      </c>
      <c r="C4448">
        <v>99</v>
      </c>
      <c r="D4448">
        <v>14</v>
      </c>
    </row>
    <row r="4449" spans="2:4" x14ac:dyDescent="0.25">
      <c r="B4449" t="s">
        <v>1100</v>
      </c>
      <c r="C4449">
        <v>101</v>
      </c>
      <c r="D4449">
        <v>6</v>
      </c>
    </row>
    <row r="4450" spans="2:4" x14ac:dyDescent="0.25">
      <c r="B4450" t="s">
        <v>1100</v>
      </c>
      <c r="C4450">
        <v>101</v>
      </c>
      <c r="D4450">
        <v>8</v>
      </c>
    </row>
    <row r="4451" spans="2:4" x14ac:dyDescent="0.25">
      <c r="B4451" t="s">
        <v>1100</v>
      </c>
      <c r="C4451">
        <v>101</v>
      </c>
      <c r="D4451">
        <v>13</v>
      </c>
    </row>
    <row r="4452" spans="2:4" x14ac:dyDescent="0.25">
      <c r="B4452" t="s">
        <v>1100</v>
      </c>
      <c r="C4452">
        <v>101</v>
      </c>
      <c r="D4452">
        <v>14</v>
      </c>
    </row>
    <row r="4453" spans="2:4" x14ac:dyDescent="0.25">
      <c r="B4453" t="s">
        <v>1100</v>
      </c>
      <c r="C4453">
        <v>103</v>
      </c>
      <c r="D4453">
        <v>6</v>
      </c>
    </row>
    <row r="4454" spans="2:4" x14ac:dyDescent="0.25">
      <c r="B4454" t="s">
        <v>1100</v>
      </c>
      <c r="C4454">
        <v>103</v>
      </c>
      <c r="D4454">
        <v>8</v>
      </c>
    </row>
    <row r="4455" spans="2:4" x14ac:dyDescent="0.25">
      <c r="B4455" t="s">
        <v>1100</v>
      </c>
      <c r="C4455">
        <v>103</v>
      </c>
      <c r="D4455">
        <v>13</v>
      </c>
    </row>
    <row r="4456" spans="2:4" x14ac:dyDescent="0.25">
      <c r="B4456" t="s">
        <v>1100</v>
      </c>
      <c r="C4456">
        <v>103</v>
      </c>
      <c r="D4456">
        <v>14</v>
      </c>
    </row>
    <row r="4457" spans="2:4" x14ac:dyDescent="0.25">
      <c r="B4457" t="s">
        <v>1100</v>
      </c>
      <c r="C4457">
        <v>105</v>
      </c>
      <c r="D4457">
        <v>6</v>
      </c>
    </row>
    <row r="4458" spans="2:4" x14ac:dyDescent="0.25">
      <c r="B4458" t="s">
        <v>1100</v>
      </c>
      <c r="C4458">
        <v>105</v>
      </c>
      <c r="D4458">
        <v>8</v>
      </c>
    </row>
    <row r="4459" spans="2:4" x14ac:dyDescent="0.25">
      <c r="B4459" t="s">
        <v>1100</v>
      </c>
      <c r="C4459">
        <v>105</v>
      </c>
      <c r="D4459">
        <v>13</v>
      </c>
    </row>
    <row r="4460" spans="2:4" x14ac:dyDescent="0.25">
      <c r="B4460" t="s">
        <v>1100</v>
      </c>
      <c r="C4460">
        <v>105</v>
      </c>
      <c r="D4460">
        <v>14</v>
      </c>
    </row>
    <row r="4461" spans="2:4" x14ac:dyDescent="0.25">
      <c r="B4461" t="s">
        <v>1100</v>
      </c>
      <c r="C4461">
        <v>106</v>
      </c>
      <c r="D4461">
        <v>6</v>
      </c>
    </row>
    <row r="4462" spans="2:4" x14ac:dyDescent="0.25">
      <c r="B4462" t="s">
        <v>1100</v>
      </c>
      <c r="C4462">
        <v>106</v>
      </c>
      <c r="D4462">
        <v>8</v>
      </c>
    </row>
    <row r="4463" spans="2:4" x14ac:dyDescent="0.25">
      <c r="B4463" t="s">
        <v>1100</v>
      </c>
      <c r="C4463">
        <v>106</v>
      </c>
      <c r="D4463">
        <v>13</v>
      </c>
    </row>
    <row r="4464" spans="2:4" x14ac:dyDescent="0.25">
      <c r="B4464" t="s">
        <v>1100</v>
      </c>
      <c r="C4464">
        <v>106</v>
      </c>
      <c r="D4464">
        <v>14</v>
      </c>
    </row>
    <row r="4465" spans="2:4" x14ac:dyDescent="0.25">
      <c r="B4465" t="s">
        <v>1100</v>
      </c>
      <c r="C4465">
        <v>107</v>
      </c>
      <c r="D4465">
        <v>5</v>
      </c>
    </row>
    <row r="4466" spans="2:4" x14ac:dyDescent="0.25">
      <c r="B4466" t="s">
        <v>1100</v>
      </c>
      <c r="C4466">
        <v>108</v>
      </c>
      <c r="D4466">
        <v>5</v>
      </c>
    </row>
    <row r="4467" spans="2:4" x14ac:dyDescent="0.25">
      <c r="B4467" t="s">
        <v>1100</v>
      </c>
      <c r="C4467">
        <v>109</v>
      </c>
      <c r="D4467">
        <v>6</v>
      </c>
    </row>
    <row r="4468" spans="2:4" x14ac:dyDescent="0.25">
      <c r="B4468" t="s">
        <v>1100</v>
      </c>
      <c r="C4468">
        <v>109</v>
      </c>
      <c r="D4468">
        <v>8</v>
      </c>
    </row>
    <row r="4469" spans="2:4" x14ac:dyDescent="0.25">
      <c r="B4469" t="s">
        <v>1100</v>
      </c>
      <c r="C4469">
        <v>109</v>
      </c>
      <c r="D4469">
        <v>13</v>
      </c>
    </row>
    <row r="4470" spans="2:4" x14ac:dyDescent="0.25">
      <c r="B4470" t="s">
        <v>1100</v>
      </c>
      <c r="C4470">
        <v>109</v>
      </c>
      <c r="D4470">
        <v>14</v>
      </c>
    </row>
    <row r="4471" spans="2:4" x14ac:dyDescent="0.25">
      <c r="B4471" t="s">
        <v>1100</v>
      </c>
      <c r="C4471">
        <v>110</v>
      </c>
      <c r="D4471">
        <v>6</v>
      </c>
    </row>
    <row r="4472" spans="2:4" x14ac:dyDescent="0.25">
      <c r="B4472" t="s">
        <v>1100</v>
      </c>
      <c r="C4472">
        <v>110</v>
      </c>
      <c r="D4472">
        <v>8</v>
      </c>
    </row>
    <row r="4473" spans="2:4" x14ac:dyDescent="0.25">
      <c r="B4473" t="s">
        <v>1100</v>
      </c>
      <c r="C4473">
        <v>110</v>
      </c>
      <c r="D4473">
        <v>13</v>
      </c>
    </row>
    <row r="4474" spans="2:4" x14ac:dyDescent="0.25">
      <c r="B4474" t="s">
        <v>1100</v>
      </c>
      <c r="C4474">
        <v>110</v>
      </c>
      <c r="D4474">
        <v>14</v>
      </c>
    </row>
    <row r="4475" spans="2:4" x14ac:dyDescent="0.25">
      <c r="B4475" t="s">
        <v>1100</v>
      </c>
      <c r="C4475">
        <v>111</v>
      </c>
      <c r="D4475">
        <v>6</v>
      </c>
    </row>
    <row r="4476" spans="2:4" x14ac:dyDescent="0.25">
      <c r="B4476" t="s">
        <v>1100</v>
      </c>
      <c r="C4476">
        <v>111</v>
      </c>
      <c r="D4476">
        <v>8</v>
      </c>
    </row>
    <row r="4477" spans="2:4" x14ac:dyDescent="0.25">
      <c r="B4477" t="s">
        <v>1100</v>
      </c>
      <c r="C4477">
        <v>111</v>
      </c>
      <c r="D4477">
        <v>13</v>
      </c>
    </row>
    <row r="4478" spans="2:4" x14ac:dyDescent="0.25">
      <c r="B4478" t="s">
        <v>1100</v>
      </c>
      <c r="C4478">
        <v>111</v>
      </c>
      <c r="D4478">
        <v>14</v>
      </c>
    </row>
    <row r="4479" spans="2:4" x14ac:dyDescent="0.25">
      <c r="B4479" t="s">
        <v>1100</v>
      </c>
      <c r="C4479">
        <v>112</v>
      </c>
      <c r="D4479">
        <v>6</v>
      </c>
    </row>
    <row r="4480" spans="2:4" x14ac:dyDescent="0.25">
      <c r="B4480" t="s">
        <v>1100</v>
      </c>
      <c r="C4480">
        <v>112</v>
      </c>
      <c r="D4480">
        <v>8</v>
      </c>
    </row>
    <row r="4481" spans="2:4" x14ac:dyDescent="0.25">
      <c r="B4481" t="s">
        <v>1100</v>
      </c>
      <c r="C4481">
        <v>112</v>
      </c>
      <c r="D4481">
        <v>13</v>
      </c>
    </row>
    <row r="4482" spans="2:4" x14ac:dyDescent="0.25">
      <c r="B4482" t="s">
        <v>1100</v>
      </c>
      <c r="C4482">
        <v>112</v>
      </c>
      <c r="D4482">
        <v>14</v>
      </c>
    </row>
    <row r="4483" spans="2:4" x14ac:dyDescent="0.25">
      <c r="B4483" t="s">
        <v>1100</v>
      </c>
      <c r="C4483">
        <v>113</v>
      </c>
      <c r="D4483">
        <v>5</v>
      </c>
    </row>
    <row r="4484" spans="2:4" x14ac:dyDescent="0.25">
      <c r="B4484" t="s">
        <v>1100</v>
      </c>
      <c r="C4484">
        <v>114</v>
      </c>
      <c r="D4484">
        <v>6</v>
      </c>
    </row>
    <row r="4485" spans="2:4" x14ac:dyDescent="0.25">
      <c r="B4485" t="s">
        <v>1100</v>
      </c>
      <c r="C4485">
        <v>114</v>
      </c>
      <c r="D4485">
        <v>8</v>
      </c>
    </row>
    <row r="4486" spans="2:4" x14ac:dyDescent="0.25">
      <c r="B4486" t="s">
        <v>1100</v>
      </c>
      <c r="C4486">
        <v>114</v>
      </c>
      <c r="D4486">
        <v>13</v>
      </c>
    </row>
    <row r="4487" spans="2:4" x14ac:dyDescent="0.25">
      <c r="B4487" t="s">
        <v>1100</v>
      </c>
      <c r="C4487">
        <v>114</v>
      </c>
      <c r="D4487">
        <v>14</v>
      </c>
    </row>
    <row r="4488" spans="2:4" x14ac:dyDescent="0.25">
      <c r="B4488" t="s">
        <v>1100</v>
      </c>
      <c r="C4488">
        <v>115</v>
      </c>
      <c r="D4488">
        <v>6</v>
      </c>
    </row>
    <row r="4489" spans="2:4" x14ac:dyDescent="0.25">
      <c r="B4489" t="s">
        <v>1100</v>
      </c>
      <c r="C4489">
        <v>115</v>
      </c>
      <c r="D4489">
        <v>8</v>
      </c>
    </row>
    <row r="4490" spans="2:4" x14ac:dyDescent="0.25">
      <c r="B4490" t="s">
        <v>1100</v>
      </c>
      <c r="C4490">
        <v>115</v>
      </c>
      <c r="D4490">
        <v>13</v>
      </c>
    </row>
    <row r="4491" spans="2:4" x14ac:dyDescent="0.25">
      <c r="B4491" t="s">
        <v>1100</v>
      </c>
      <c r="C4491">
        <v>115</v>
      </c>
      <c r="D4491">
        <v>14</v>
      </c>
    </row>
    <row r="4492" spans="2:4" x14ac:dyDescent="0.25">
      <c r="B4492" t="s">
        <v>1100</v>
      </c>
      <c r="C4492">
        <v>116</v>
      </c>
      <c r="D4492">
        <v>6</v>
      </c>
    </row>
    <row r="4493" spans="2:4" x14ac:dyDescent="0.25">
      <c r="B4493" t="s">
        <v>1100</v>
      </c>
      <c r="C4493">
        <v>116</v>
      </c>
      <c r="D4493">
        <v>8</v>
      </c>
    </row>
    <row r="4494" spans="2:4" x14ac:dyDescent="0.25">
      <c r="B4494" t="s">
        <v>1100</v>
      </c>
      <c r="C4494">
        <v>116</v>
      </c>
      <c r="D4494">
        <v>13</v>
      </c>
    </row>
    <row r="4495" spans="2:4" x14ac:dyDescent="0.25">
      <c r="B4495" t="s">
        <v>1100</v>
      </c>
      <c r="C4495">
        <v>116</v>
      </c>
      <c r="D4495">
        <v>14</v>
      </c>
    </row>
    <row r="4496" spans="2:4" x14ac:dyDescent="0.25">
      <c r="B4496" t="s">
        <v>1100</v>
      </c>
      <c r="C4496">
        <v>117</v>
      </c>
      <c r="D4496">
        <v>6</v>
      </c>
    </row>
    <row r="4497" spans="2:4" x14ac:dyDescent="0.25">
      <c r="B4497" t="s">
        <v>1100</v>
      </c>
      <c r="C4497">
        <v>117</v>
      </c>
      <c r="D4497">
        <v>8</v>
      </c>
    </row>
    <row r="4498" spans="2:4" x14ac:dyDescent="0.25">
      <c r="B4498" t="s">
        <v>1100</v>
      </c>
      <c r="C4498">
        <v>117</v>
      </c>
      <c r="D4498">
        <v>13</v>
      </c>
    </row>
    <row r="4499" spans="2:4" x14ac:dyDescent="0.25">
      <c r="B4499" t="s">
        <v>1100</v>
      </c>
      <c r="C4499">
        <v>117</v>
      </c>
      <c r="D4499">
        <v>14</v>
      </c>
    </row>
    <row r="4500" spans="2:4" x14ac:dyDescent="0.25">
      <c r="B4500" t="s">
        <v>1100</v>
      </c>
      <c r="C4500">
        <v>118</v>
      </c>
      <c r="D4500">
        <v>6</v>
      </c>
    </row>
    <row r="4501" spans="2:4" x14ac:dyDescent="0.25">
      <c r="B4501" t="s">
        <v>1100</v>
      </c>
      <c r="C4501">
        <v>118</v>
      </c>
      <c r="D4501">
        <v>8</v>
      </c>
    </row>
    <row r="4502" spans="2:4" x14ac:dyDescent="0.25">
      <c r="B4502" t="s">
        <v>1100</v>
      </c>
      <c r="C4502">
        <v>118</v>
      </c>
      <c r="D4502">
        <v>13</v>
      </c>
    </row>
    <row r="4503" spans="2:4" x14ac:dyDescent="0.25">
      <c r="B4503" t="s">
        <v>1100</v>
      </c>
      <c r="C4503">
        <v>118</v>
      </c>
      <c r="D4503">
        <v>14</v>
      </c>
    </row>
    <row r="4504" spans="2:4" x14ac:dyDescent="0.25">
      <c r="B4504" t="s">
        <v>1100</v>
      </c>
      <c r="C4504">
        <v>119</v>
      </c>
      <c r="D4504">
        <v>5</v>
      </c>
    </row>
    <row r="4505" spans="2:4" x14ac:dyDescent="0.25">
      <c r="B4505" t="s">
        <v>1100</v>
      </c>
      <c r="C4505">
        <v>120</v>
      </c>
      <c r="D4505">
        <v>6</v>
      </c>
    </row>
    <row r="4506" spans="2:4" x14ac:dyDescent="0.25">
      <c r="B4506" t="s">
        <v>1100</v>
      </c>
      <c r="C4506">
        <v>120</v>
      </c>
      <c r="D4506">
        <v>8</v>
      </c>
    </row>
    <row r="4507" spans="2:4" x14ac:dyDescent="0.25">
      <c r="B4507" t="s">
        <v>1100</v>
      </c>
      <c r="C4507">
        <v>120</v>
      </c>
      <c r="D4507">
        <v>13</v>
      </c>
    </row>
    <row r="4508" spans="2:4" x14ac:dyDescent="0.25">
      <c r="B4508" t="s">
        <v>1100</v>
      </c>
      <c r="C4508">
        <v>120</v>
      </c>
      <c r="D4508">
        <v>14</v>
      </c>
    </row>
    <row r="4509" spans="2:4" x14ac:dyDescent="0.25">
      <c r="B4509" t="s">
        <v>1100</v>
      </c>
      <c r="C4509">
        <v>121</v>
      </c>
      <c r="D4509">
        <v>6</v>
      </c>
    </row>
    <row r="4510" spans="2:4" x14ac:dyDescent="0.25">
      <c r="B4510" t="s">
        <v>1100</v>
      </c>
      <c r="C4510">
        <v>121</v>
      </c>
      <c r="D4510">
        <v>8</v>
      </c>
    </row>
    <row r="4511" spans="2:4" x14ac:dyDescent="0.25">
      <c r="B4511" t="s">
        <v>1100</v>
      </c>
      <c r="C4511">
        <v>121</v>
      </c>
      <c r="D4511">
        <v>13</v>
      </c>
    </row>
    <row r="4512" spans="2:4" x14ac:dyDescent="0.25">
      <c r="B4512" t="s">
        <v>1100</v>
      </c>
      <c r="C4512">
        <v>121</v>
      </c>
      <c r="D4512">
        <v>14</v>
      </c>
    </row>
    <row r="4513" spans="2:4" x14ac:dyDescent="0.25">
      <c r="B4513" t="s">
        <v>1100</v>
      </c>
      <c r="C4513">
        <v>122</v>
      </c>
      <c r="D4513">
        <v>6</v>
      </c>
    </row>
    <row r="4514" spans="2:4" x14ac:dyDescent="0.25">
      <c r="B4514" t="s">
        <v>1100</v>
      </c>
      <c r="C4514">
        <v>122</v>
      </c>
      <c r="D4514">
        <v>8</v>
      </c>
    </row>
    <row r="4515" spans="2:4" x14ac:dyDescent="0.25">
      <c r="B4515" t="s">
        <v>1100</v>
      </c>
      <c r="C4515">
        <v>122</v>
      </c>
      <c r="D4515">
        <v>13</v>
      </c>
    </row>
    <row r="4516" spans="2:4" x14ac:dyDescent="0.25">
      <c r="B4516" t="s">
        <v>1100</v>
      </c>
      <c r="C4516">
        <v>122</v>
      </c>
      <c r="D4516">
        <v>14</v>
      </c>
    </row>
    <row r="4517" spans="2:4" x14ac:dyDescent="0.25">
      <c r="B4517" t="s">
        <v>1100</v>
      </c>
      <c r="C4517">
        <v>123</v>
      </c>
      <c r="D4517">
        <v>6</v>
      </c>
    </row>
    <row r="4518" spans="2:4" x14ac:dyDescent="0.25">
      <c r="B4518" t="s">
        <v>1100</v>
      </c>
      <c r="C4518">
        <v>123</v>
      </c>
      <c r="D4518">
        <v>8</v>
      </c>
    </row>
    <row r="4519" spans="2:4" x14ac:dyDescent="0.25">
      <c r="B4519" t="s">
        <v>1100</v>
      </c>
      <c r="C4519">
        <v>123</v>
      </c>
      <c r="D4519">
        <v>13</v>
      </c>
    </row>
    <row r="4520" spans="2:4" x14ac:dyDescent="0.25">
      <c r="B4520" t="s">
        <v>1100</v>
      </c>
      <c r="C4520">
        <v>123</v>
      </c>
      <c r="D4520">
        <v>14</v>
      </c>
    </row>
    <row r="4521" spans="2:4" x14ac:dyDescent="0.25">
      <c r="B4521" t="s">
        <v>1100</v>
      </c>
      <c r="C4521">
        <v>124</v>
      </c>
      <c r="D4521">
        <v>6</v>
      </c>
    </row>
    <row r="4522" spans="2:4" x14ac:dyDescent="0.25">
      <c r="B4522" t="s">
        <v>1100</v>
      </c>
      <c r="C4522">
        <v>124</v>
      </c>
      <c r="D4522">
        <v>8</v>
      </c>
    </row>
    <row r="4523" spans="2:4" x14ac:dyDescent="0.25">
      <c r="B4523" t="s">
        <v>1100</v>
      </c>
      <c r="C4523">
        <v>124</v>
      </c>
      <c r="D4523">
        <v>13</v>
      </c>
    </row>
    <row r="4524" spans="2:4" x14ac:dyDescent="0.25">
      <c r="B4524" t="s">
        <v>1100</v>
      </c>
      <c r="C4524">
        <v>124</v>
      </c>
      <c r="D4524">
        <v>14</v>
      </c>
    </row>
    <row r="4525" spans="2:4" x14ac:dyDescent="0.25">
      <c r="B4525" t="s">
        <v>1100</v>
      </c>
      <c r="C4525">
        <v>125</v>
      </c>
      <c r="D4525">
        <v>6</v>
      </c>
    </row>
    <row r="4526" spans="2:4" x14ac:dyDescent="0.25">
      <c r="B4526" t="s">
        <v>1100</v>
      </c>
      <c r="C4526">
        <v>125</v>
      </c>
      <c r="D4526">
        <v>8</v>
      </c>
    </row>
    <row r="4527" spans="2:4" x14ac:dyDescent="0.25">
      <c r="B4527" t="s">
        <v>1100</v>
      </c>
      <c r="C4527">
        <v>125</v>
      </c>
      <c r="D4527">
        <v>13</v>
      </c>
    </row>
    <row r="4528" spans="2:4" x14ac:dyDescent="0.25">
      <c r="B4528" t="s">
        <v>1100</v>
      </c>
      <c r="C4528">
        <v>125</v>
      </c>
      <c r="D4528">
        <v>14</v>
      </c>
    </row>
    <row r="4529" spans="2:4" x14ac:dyDescent="0.25">
      <c r="B4529" t="s">
        <v>1100</v>
      </c>
      <c r="C4529">
        <v>126</v>
      </c>
      <c r="D4529">
        <v>6</v>
      </c>
    </row>
    <row r="4530" spans="2:4" x14ac:dyDescent="0.25">
      <c r="B4530" t="s">
        <v>1100</v>
      </c>
      <c r="C4530">
        <v>126</v>
      </c>
      <c r="D4530">
        <v>8</v>
      </c>
    </row>
    <row r="4531" spans="2:4" x14ac:dyDescent="0.25">
      <c r="B4531" t="s">
        <v>1100</v>
      </c>
      <c r="C4531">
        <v>126</v>
      </c>
      <c r="D4531">
        <v>13</v>
      </c>
    </row>
    <row r="4532" spans="2:4" x14ac:dyDescent="0.25">
      <c r="B4532" t="s">
        <v>1100</v>
      </c>
      <c r="C4532">
        <v>126</v>
      </c>
      <c r="D4532">
        <v>14</v>
      </c>
    </row>
    <row r="4533" spans="2:4" x14ac:dyDescent="0.25">
      <c r="B4533" t="s">
        <v>1100</v>
      </c>
      <c r="C4533">
        <v>127</v>
      </c>
      <c r="D4533">
        <v>5</v>
      </c>
    </row>
    <row r="4534" spans="2:4" x14ac:dyDescent="0.25">
      <c r="B4534" t="s">
        <v>1100</v>
      </c>
      <c r="C4534">
        <v>128</v>
      </c>
      <c r="D4534">
        <v>6</v>
      </c>
    </row>
    <row r="4535" spans="2:4" x14ac:dyDescent="0.25">
      <c r="B4535" t="s">
        <v>1100</v>
      </c>
      <c r="C4535">
        <v>128</v>
      </c>
      <c r="D4535">
        <v>8</v>
      </c>
    </row>
    <row r="4536" spans="2:4" x14ac:dyDescent="0.25">
      <c r="B4536" t="s">
        <v>1100</v>
      </c>
      <c r="C4536">
        <v>128</v>
      </c>
      <c r="D4536">
        <v>13</v>
      </c>
    </row>
    <row r="4537" spans="2:4" x14ac:dyDescent="0.25">
      <c r="B4537" t="s">
        <v>1100</v>
      </c>
      <c r="C4537">
        <v>128</v>
      </c>
      <c r="D4537">
        <v>14</v>
      </c>
    </row>
    <row r="4538" spans="2:4" x14ac:dyDescent="0.25">
      <c r="B4538" t="s">
        <v>1100</v>
      </c>
      <c r="C4538">
        <v>129</v>
      </c>
      <c r="D4538">
        <v>5</v>
      </c>
    </row>
    <row r="4539" spans="2:4" x14ac:dyDescent="0.25">
      <c r="B4539" t="s">
        <v>1100</v>
      </c>
      <c r="C4539">
        <v>130</v>
      </c>
      <c r="D4539">
        <v>6</v>
      </c>
    </row>
    <row r="4540" spans="2:4" x14ac:dyDescent="0.25">
      <c r="B4540" t="s">
        <v>1100</v>
      </c>
      <c r="C4540">
        <v>130</v>
      </c>
      <c r="D4540">
        <v>8</v>
      </c>
    </row>
    <row r="4541" spans="2:4" x14ac:dyDescent="0.25">
      <c r="B4541" t="s">
        <v>1100</v>
      </c>
      <c r="C4541">
        <v>130</v>
      </c>
      <c r="D4541">
        <v>13</v>
      </c>
    </row>
    <row r="4542" spans="2:4" x14ac:dyDescent="0.25">
      <c r="B4542" t="s">
        <v>1100</v>
      </c>
      <c r="C4542">
        <v>130</v>
      </c>
      <c r="D4542">
        <v>14</v>
      </c>
    </row>
    <row r="4543" spans="2:4" x14ac:dyDescent="0.25">
      <c r="B4543" t="s">
        <v>1100</v>
      </c>
      <c r="C4543">
        <v>131</v>
      </c>
      <c r="D4543">
        <v>6</v>
      </c>
    </row>
    <row r="4544" spans="2:4" x14ac:dyDescent="0.25">
      <c r="B4544" t="s">
        <v>1100</v>
      </c>
      <c r="C4544">
        <v>131</v>
      </c>
      <c r="D4544">
        <v>8</v>
      </c>
    </row>
    <row r="4545" spans="2:4" x14ac:dyDescent="0.25">
      <c r="B4545" t="s">
        <v>1100</v>
      </c>
      <c r="C4545">
        <v>131</v>
      </c>
      <c r="D4545">
        <v>13</v>
      </c>
    </row>
    <row r="4546" spans="2:4" x14ac:dyDescent="0.25">
      <c r="B4546" t="s">
        <v>1100</v>
      </c>
      <c r="C4546">
        <v>131</v>
      </c>
      <c r="D4546">
        <v>14</v>
      </c>
    </row>
    <row r="4547" spans="2:4" x14ac:dyDescent="0.25">
      <c r="B4547" t="s">
        <v>1100</v>
      </c>
      <c r="C4547">
        <v>132</v>
      </c>
      <c r="D4547">
        <v>5</v>
      </c>
    </row>
    <row r="4548" spans="2:4" x14ac:dyDescent="0.25">
      <c r="B4548" t="s">
        <v>1100</v>
      </c>
      <c r="C4548">
        <v>133</v>
      </c>
      <c r="D4548">
        <v>6</v>
      </c>
    </row>
    <row r="4549" spans="2:4" x14ac:dyDescent="0.25">
      <c r="B4549" t="s">
        <v>1100</v>
      </c>
      <c r="C4549">
        <v>133</v>
      </c>
      <c r="D4549">
        <v>8</v>
      </c>
    </row>
    <row r="4550" spans="2:4" x14ac:dyDescent="0.25">
      <c r="B4550" t="s">
        <v>1100</v>
      </c>
      <c r="C4550">
        <v>133</v>
      </c>
      <c r="D4550">
        <v>13</v>
      </c>
    </row>
    <row r="4551" spans="2:4" x14ac:dyDescent="0.25">
      <c r="B4551" t="s">
        <v>1100</v>
      </c>
      <c r="C4551">
        <v>133</v>
      </c>
      <c r="D4551">
        <v>14</v>
      </c>
    </row>
    <row r="4552" spans="2:4" x14ac:dyDescent="0.25">
      <c r="B4552" t="s">
        <v>1100</v>
      </c>
      <c r="C4552">
        <v>134</v>
      </c>
      <c r="D4552">
        <v>5</v>
      </c>
    </row>
    <row r="4553" spans="2:4" x14ac:dyDescent="0.25">
      <c r="B4553" t="s">
        <v>1100</v>
      </c>
      <c r="C4553">
        <v>135</v>
      </c>
      <c r="D4553">
        <v>6</v>
      </c>
    </row>
    <row r="4554" spans="2:4" x14ac:dyDescent="0.25">
      <c r="B4554" t="s">
        <v>1100</v>
      </c>
      <c r="C4554">
        <v>135</v>
      </c>
      <c r="D4554">
        <v>8</v>
      </c>
    </row>
    <row r="4555" spans="2:4" x14ac:dyDescent="0.25">
      <c r="B4555" t="s">
        <v>1100</v>
      </c>
      <c r="C4555">
        <v>135</v>
      </c>
      <c r="D4555">
        <v>13</v>
      </c>
    </row>
    <row r="4556" spans="2:4" x14ac:dyDescent="0.25">
      <c r="B4556" t="s">
        <v>1100</v>
      </c>
      <c r="C4556">
        <v>135</v>
      </c>
      <c r="D4556">
        <v>14</v>
      </c>
    </row>
    <row r="4557" spans="2:4" x14ac:dyDescent="0.25">
      <c r="B4557" t="s">
        <v>1100</v>
      </c>
      <c r="C4557">
        <v>136</v>
      </c>
      <c r="D4557">
        <v>6</v>
      </c>
    </row>
    <row r="4558" spans="2:4" x14ac:dyDescent="0.25">
      <c r="B4558" t="s">
        <v>1100</v>
      </c>
      <c r="C4558">
        <v>136</v>
      </c>
      <c r="D4558">
        <v>8</v>
      </c>
    </row>
    <row r="4559" spans="2:4" x14ac:dyDescent="0.25">
      <c r="B4559" t="s">
        <v>1100</v>
      </c>
      <c r="C4559">
        <v>136</v>
      </c>
      <c r="D4559">
        <v>13</v>
      </c>
    </row>
    <row r="4560" spans="2:4" x14ac:dyDescent="0.25">
      <c r="B4560" t="s">
        <v>1100</v>
      </c>
      <c r="C4560">
        <v>136</v>
      </c>
      <c r="D4560">
        <v>14</v>
      </c>
    </row>
    <row r="4561" spans="2:4" x14ac:dyDescent="0.25">
      <c r="B4561" t="s">
        <v>1100</v>
      </c>
      <c r="C4561">
        <v>137</v>
      </c>
      <c r="D4561">
        <v>6</v>
      </c>
    </row>
    <row r="4562" spans="2:4" x14ac:dyDescent="0.25">
      <c r="B4562" t="s">
        <v>1100</v>
      </c>
      <c r="C4562">
        <v>137</v>
      </c>
      <c r="D4562">
        <v>8</v>
      </c>
    </row>
    <row r="4563" spans="2:4" x14ac:dyDescent="0.25">
      <c r="B4563" t="s">
        <v>1100</v>
      </c>
      <c r="C4563">
        <v>137</v>
      </c>
      <c r="D4563">
        <v>13</v>
      </c>
    </row>
    <row r="4564" spans="2:4" x14ac:dyDescent="0.25">
      <c r="B4564" t="s">
        <v>1100</v>
      </c>
      <c r="C4564">
        <v>137</v>
      </c>
      <c r="D4564">
        <v>14</v>
      </c>
    </row>
    <row r="4565" spans="2:4" x14ac:dyDescent="0.25">
      <c r="B4565" t="s">
        <v>1100</v>
      </c>
      <c r="C4565">
        <v>138</v>
      </c>
      <c r="D4565">
        <v>6</v>
      </c>
    </row>
    <row r="4566" spans="2:4" x14ac:dyDescent="0.25">
      <c r="B4566" t="s">
        <v>1100</v>
      </c>
      <c r="C4566">
        <v>138</v>
      </c>
      <c r="D4566">
        <v>8</v>
      </c>
    </row>
    <row r="4567" spans="2:4" x14ac:dyDescent="0.25">
      <c r="B4567" t="s">
        <v>1100</v>
      </c>
      <c r="C4567">
        <v>138</v>
      </c>
      <c r="D4567">
        <v>13</v>
      </c>
    </row>
    <row r="4568" spans="2:4" x14ac:dyDescent="0.25">
      <c r="B4568" t="s">
        <v>1100</v>
      </c>
      <c r="C4568">
        <v>138</v>
      </c>
      <c r="D4568">
        <v>14</v>
      </c>
    </row>
    <row r="4569" spans="2:4" x14ac:dyDescent="0.25">
      <c r="B4569" t="s">
        <v>1100</v>
      </c>
      <c r="C4569">
        <v>139</v>
      </c>
      <c r="D4569">
        <v>6</v>
      </c>
    </row>
    <row r="4570" spans="2:4" x14ac:dyDescent="0.25">
      <c r="B4570" t="s">
        <v>1100</v>
      </c>
      <c r="C4570">
        <v>139</v>
      </c>
      <c r="D4570">
        <v>8</v>
      </c>
    </row>
    <row r="4571" spans="2:4" x14ac:dyDescent="0.25">
      <c r="B4571" t="s">
        <v>1100</v>
      </c>
      <c r="C4571">
        <v>139</v>
      </c>
      <c r="D4571">
        <v>13</v>
      </c>
    </row>
    <row r="4572" spans="2:4" x14ac:dyDescent="0.25">
      <c r="B4572" t="s">
        <v>1100</v>
      </c>
      <c r="C4572">
        <v>139</v>
      </c>
      <c r="D4572">
        <v>14</v>
      </c>
    </row>
    <row r="4573" spans="2:4" x14ac:dyDescent="0.25">
      <c r="B4573" t="s">
        <v>1100</v>
      </c>
      <c r="C4573">
        <v>140</v>
      </c>
      <c r="D4573">
        <v>5</v>
      </c>
    </row>
    <row r="4574" spans="2:4" x14ac:dyDescent="0.25">
      <c r="B4574" t="s">
        <v>1100</v>
      </c>
      <c r="C4574">
        <v>141</v>
      </c>
      <c r="D4574">
        <v>6</v>
      </c>
    </row>
    <row r="4575" spans="2:4" x14ac:dyDescent="0.25">
      <c r="B4575" t="s">
        <v>1100</v>
      </c>
      <c r="C4575">
        <v>141</v>
      </c>
      <c r="D4575">
        <v>8</v>
      </c>
    </row>
    <row r="4576" spans="2:4" x14ac:dyDescent="0.25">
      <c r="B4576" t="s">
        <v>1100</v>
      </c>
      <c r="C4576">
        <v>141</v>
      </c>
      <c r="D4576">
        <v>13</v>
      </c>
    </row>
    <row r="4577" spans="2:4" x14ac:dyDescent="0.25">
      <c r="B4577" t="s">
        <v>1100</v>
      </c>
      <c r="C4577">
        <v>141</v>
      </c>
      <c r="D4577">
        <v>14</v>
      </c>
    </row>
    <row r="4578" spans="2:4" x14ac:dyDescent="0.25">
      <c r="B4578" t="s">
        <v>1100</v>
      </c>
      <c r="C4578">
        <v>142</v>
      </c>
      <c r="D4578">
        <v>5</v>
      </c>
    </row>
    <row r="4579" spans="2:4" x14ac:dyDescent="0.25">
      <c r="B4579" t="s">
        <v>1100</v>
      </c>
      <c r="C4579">
        <v>143</v>
      </c>
      <c r="D4579">
        <v>6</v>
      </c>
    </row>
    <row r="4580" spans="2:4" x14ac:dyDescent="0.25">
      <c r="B4580" t="s">
        <v>1100</v>
      </c>
      <c r="C4580">
        <v>143</v>
      </c>
      <c r="D4580">
        <v>8</v>
      </c>
    </row>
    <row r="4581" spans="2:4" x14ac:dyDescent="0.25">
      <c r="B4581" t="s">
        <v>1100</v>
      </c>
      <c r="C4581">
        <v>143</v>
      </c>
      <c r="D4581">
        <v>13</v>
      </c>
    </row>
    <row r="4582" spans="2:4" x14ac:dyDescent="0.25">
      <c r="B4582" t="s">
        <v>1100</v>
      </c>
      <c r="C4582">
        <v>143</v>
      </c>
      <c r="D4582">
        <v>14</v>
      </c>
    </row>
    <row r="4583" spans="2:4" x14ac:dyDescent="0.25">
      <c r="B4583" t="s">
        <v>1100</v>
      </c>
      <c r="C4583">
        <v>144</v>
      </c>
      <c r="D4583">
        <v>6</v>
      </c>
    </row>
    <row r="4584" spans="2:4" x14ac:dyDescent="0.25">
      <c r="B4584" t="s">
        <v>1100</v>
      </c>
      <c r="C4584">
        <v>144</v>
      </c>
      <c r="D4584">
        <v>8</v>
      </c>
    </row>
    <row r="4585" spans="2:4" x14ac:dyDescent="0.25">
      <c r="B4585" t="s">
        <v>1100</v>
      </c>
      <c r="C4585">
        <v>144</v>
      </c>
      <c r="D4585">
        <v>13</v>
      </c>
    </row>
    <row r="4586" spans="2:4" x14ac:dyDescent="0.25">
      <c r="B4586" t="s">
        <v>1100</v>
      </c>
      <c r="C4586">
        <v>144</v>
      </c>
      <c r="D4586">
        <v>14</v>
      </c>
    </row>
    <row r="4587" spans="2:4" x14ac:dyDescent="0.25">
      <c r="B4587" t="s">
        <v>1100</v>
      </c>
      <c r="C4587">
        <v>145</v>
      </c>
      <c r="D4587">
        <v>6</v>
      </c>
    </row>
    <row r="4588" spans="2:4" x14ac:dyDescent="0.25">
      <c r="B4588" t="s">
        <v>1100</v>
      </c>
      <c r="C4588">
        <v>145</v>
      </c>
      <c r="D4588">
        <v>8</v>
      </c>
    </row>
    <row r="4589" spans="2:4" x14ac:dyDescent="0.25">
      <c r="B4589" t="s">
        <v>1100</v>
      </c>
      <c r="C4589">
        <v>145</v>
      </c>
      <c r="D4589">
        <v>13</v>
      </c>
    </row>
    <row r="4590" spans="2:4" x14ac:dyDescent="0.25">
      <c r="B4590" t="s">
        <v>1100</v>
      </c>
      <c r="C4590">
        <v>145</v>
      </c>
      <c r="D4590">
        <v>14</v>
      </c>
    </row>
    <row r="4591" spans="2:4" x14ac:dyDescent="0.25">
      <c r="B4591" t="s">
        <v>1100</v>
      </c>
      <c r="C4591">
        <v>146</v>
      </c>
      <c r="D4591">
        <v>6</v>
      </c>
    </row>
    <row r="4592" spans="2:4" x14ac:dyDescent="0.25">
      <c r="B4592" t="s">
        <v>1100</v>
      </c>
      <c r="C4592">
        <v>146</v>
      </c>
      <c r="D4592">
        <v>8</v>
      </c>
    </row>
    <row r="4593" spans="2:4" x14ac:dyDescent="0.25">
      <c r="B4593" t="s">
        <v>1100</v>
      </c>
      <c r="C4593">
        <v>146</v>
      </c>
      <c r="D4593">
        <v>13</v>
      </c>
    </row>
    <row r="4594" spans="2:4" x14ac:dyDescent="0.25">
      <c r="B4594" t="s">
        <v>1100</v>
      </c>
      <c r="C4594">
        <v>146</v>
      </c>
      <c r="D4594">
        <v>14</v>
      </c>
    </row>
    <row r="4595" spans="2:4" x14ac:dyDescent="0.25">
      <c r="B4595" t="s">
        <v>1100</v>
      </c>
      <c r="C4595">
        <v>147</v>
      </c>
      <c r="D4595">
        <v>6</v>
      </c>
    </row>
    <row r="4596" spans="2:4" x14ac:dyDescent="0.25">
      <c r="B4596" t="s">
        <v>1100</v>
      </c>
      <c r="C4596">
        <v>147</v>
      </c>
      <c r="D4596">
        <v>8</v>
      </c>
    </row>
    <row r="4597" spans="2:4" x14ac:dyDescent="0.25">
      <c r="B4597" t="s">
        <v>1100</v>
      </c>
      <c r="C4597">
        <v>147</v>
      </c>
      <c r="D4597">
        <v>13</v>
      </c>
    </row>
    <row r="4598" spans="2:4" x14ac:dyDescent="0.25">
      <c r="B4598" t="s">
        <v>1100</v>
      </c>
      <c r="C4598">
        <v>147</v>
      </c>
      <c r="D4598">
        <v>14</v>
      </c>
    </row>
    <row r="4599" spans="2:4" x14ac:dyDescent="0.25">
      <c r="B4599" t="s">
        <v>1100</v>
      </c>
      <c r="C4599">
        <v>148</v>
      </c>
      <c r="D4599">
        <v>5</v>
      </c>
    </row>
    <row r="4600" spans="2:4" x14ac:dyDescent="0.25">
      <c r="B4600" t="s">
        <v>1100</v>
      </c>
      <c r="C4600">
        <v>149</v>
      </c>
      <c r="D4600">
        <v>6</v>
      </c>
    </row>
    <row r="4601" spans="2:4" x14ac:dyDescent="0.25">
      <c r="B4601" t="s">
        <v>1100</v>
      </c>
      <c r="C4601">
        <v>149</v>
      </c>
      <c r="D4601">
        <v>8</v>
      </c>
    </row>
    <row r="4602" spans="2:4" x14ac:dyDescent="0.25">
      <c r="B4602" t="s">
        <v>1100</v>
      </c>
      <c r="C4602">
        <v>149</v>
      </c>
      <c r="D4602">
        <v>13</v>
      </c>
    </row>
    <row r="4603" spans="2:4" x14ac:dyDescent="0.25">
      <c r="B4603" t="s">
        <v>1100</v>
      </c>
      <c r="C4603">
        <v>149</v>
      </c>
      <c r="D4603">
        <v>14</v>
      </c>
    </row>
    <row r="4604" spans="2:4" x14ac:dyDescent="0.25">
      <c r="B4604" t="s">
        <v>1100</v>
      </c>
      <c r="C4604">
        <v>150</v>
      </c>
      <c r="D4604">
        <v>6</v>
      </c>
    </row>
    <row r="4605" spans="2:4" x14ac:dyDescent="0.25">
      <c r="B4605" t="s">
        <v>1100</v>
      </c>
      <c r="C4605">
        <v>150</v>
      </c>
      <c r="D4605">
        <v>8</v>
      </c>
    </row>
    <row r="4606" spans="2:4" x14ac:dyDescent="0.25">
      <c r="B4606" t="s">
        <v>1100</v>
      </c>
      <c r="C4606">
        <v>150</v>
      </c>
      <c r="D4606">
        <v>13</v>
      </c>
    </row>
    <row r="4607" spans="2:4" x14ac:dyDescent="0.25">
      <c r="B4607" t="s">
        <v>1100</v>
      </c>
      <c r="C4607">
        <v>150</v>
      </c>
      <c r="D4607">
        <v>14</v>
      </c>
    </row>
    <row r="4608" spans="2:4" x14ac:dyDescent="0.25">
      <c r="B4608" t="s">
        <v>1100</v>
      </c>
      <c r="C4608">
        <v>151</v>
      </c>
      <c r="D4608">
        <v>6</v>
      </c>
    </row>
    <row r="4609" spans="2:4" x14ac:dyDescent="0.25">
      <c r="B4609" t="s">
        <v>1100</v>
      </c>
      <c r="C4609">
        <v>151</v>
      </c>
      <c r="D4609">
        <v>8</v>
      </c>
    </row>
    <row r="4610" spans="2:4" x14ac:dyDescent="0.25">
      <c r="B4610" t="s">
        <v>1100</v>
      </c>
      <c r="C4610">
        <v>151</v>
      </c>
      <c r="D4610">
        <v>13</v>
      </c>
    </row>
    <row r="4611" spans="2:4" x14ac:dyDescent="0.25">
      <c r="B4611" t="s">
        <v>1100</v>
      </c>
      <c r="C4611">
        <v>151</v>
      </c>
      <c r="D4611">
        <v>14</v>
      </c>
    </row>
    <row r="4612" spans="2:4" x14ac:dyDescent="0.25">
      <c r="B4612" t="s">
        <v>1100</v>
      </c>
      <c r="C4612">
        <v>152</v>
      </c>
      <c r="D4612">
        <v>6</v>
      </c>
    </row>
    <row r="4613" spans="2:4" x14ac:dyDescent="0.25">
      <c r="B4613" t="s">
        <v>1100</v>
      </c>
      <c r="C4613">
        <v>152</v>
      </c>
      <c r="D4613">
        <v>8</v>
      </c>
    </row>
    <row r="4614" spans="2:4" x14ac:dyDescent="0.25">
      <c r="B4614" t="s">
        <v>1100</v>
      </c>
      <c r="C4614">
        <v>152</v>
      </c>
      <c r="D4614">
        <v>13</v>
      </c>
    </row>
    <row r="4615" spans="2:4" x14ac:dyDescent="0.25">
      <c r="B4615" t="s">
        <v>1100</v>
      </c>
      <c r="C4615">
        <v>152</v>
      </c>
      <c r="D4615">
        <v>14</v>
      </c>
    </row>
    <row r="4616" spans="2:4" x14ac:dyDescent="0.25">
      <c r="B4616" t="s">
        <v>1100</v>
      </c>
      <c r="C4616">
        <v>153</v>
      </c>
      <c r="D4616">
        <v>6</v>
      </c>
    </row>
    <row r="4617" spans="2:4" x14ac:dyDescent="0.25">
      <c r="B4617" t="s">
        <v>1100</v>
      </c>
      <c r="C4617">
        <v>153</v>
      </c>
      <c r="D4617">
        <v>8</v>
      </c>
    </row>
    <row r="4618" spans="2:4" x14ac:dyDescent="0.25">
      <c r="B4618" t="s">
        <v>1100</v>
      </c>
      <c r="C4618">
        <v>153</v>
      </c>
      <c r="D4618">
        <v>13</v>
      </c>
    </row>
    <row r="4619" spans="2:4" x14ac:dyDescent="0.25">
      <c r="B4619" t="s">
        <v>1100</v>
      </c>
      <c r="C4619">
        <v>153</v>
      </c>
      <c r="D4619">
        <v>14</v>
      </c>
    </row>
    <row r="4620" spans="2:4" x14ac:dyDescent="0.25">
      <c r="B4620" t="s">
        <v>1100</v>
      </c>
      <c r="C4620">
        <v>154</v>
      </c>
      <c r="D4620">
        <v>6</v>
      </c>
    </row>
    <row r="4621" spans="2:4" x14ac:dyDescent="0.25">
      <c r="B4621" t="s">
        <v>1100</v>
      </c>
      <c r="C4621">
        <v>154</v>
      </c>
      <c r="D4621">
        <v>8</v>
      </c>
    </row>
    <row r="4622" spans="2:4" x14ac:dyDescent="0.25">
      <c r="B4622" t="s">
        <v>1100</v>
      </c>
      <c r="C4622">
        <v>154</v>
      </c>
      <c r="D4622">
        <v>13</v>
      </c>
    </row>
    <row r="4623" spans="2:4" x14ac:dyDescent="0.25">
      <c r="B4623" t="s">
        <v>1100</v>
      </c>
      <c r="C4623">
        <v>154</v>
      </c>
      <c r="D4623">
        <v>14</v>
      </c>
    </row>
    <row r="4624" spans="2:4" x14ac:dyDescent="0.25">
      <c r="B4624" t="s">
        <v>1101</v>
      </c>
      <c r="C4624">
        <v>7</v>
      </c>
      <c r="D4624">
        <v>6</v>
      </c>
    </row>
    <row r="4625" spans="2:4" x14ac:dyDescent="0.25">
      <c r="B4625" t="s">
        <v>1101</v>
      </c>
      <c r="C4625">
        <v>7</v>
      </c>
      <c r="D4625">
        <v>8</v>
      </c>
    </row>
    <row r="4626" spans="2:4" x14ac:dyDescent="0.25">
      <c r="B4626" t="s">
        <v>1101</v>
      </c>
      <c r="C4626">
        <v>7</v>
      </c>
      <c r="D4626">
        <v>13</v>
      </c>
    </row>
    <row r="4627" spans="2:4" x14ac:dyDescent="0.25">
      <c r="B4627" t="s">
        <v>1101</v>
      </c>
      <c r="C4627">
        <v>7</v>
      </c>
      <c r="D4627">
        <v>14</v>
      </c>
    </row>
    <row r="4628" spans="2:4" x14ac:dyDescent="0.25">
      <c r="B4628" t="s">
        <v>1101</v>
      </c>
      <c r="C4628">
        <v>8</v>
      </c>
      <c r="D4628">
        <v>6</v>
      </c>
    </row>
    <row r="4629" spans="2:4" x14ac:dyDescent="0.25">
      <c r="B4629" t="s">
        <v>1101</v>
      </c>
      <c r="C4629">
        <v>8</v>
      </c>
      <c r="D4629">
        <v>8</v>
      </c>
    </row>
    <row r="4630" spans="2:4" x14ac:dyDescent="0.25">
      <c r="B4630" t="s">
        <v>1101</v>
      </c>
      <c r="C4630">
        <v>8</v>
      </c>
      <c r="D4630">
        <v>13</v>
      </c>
    </row>
    <row r="4631" spans="2:4" x14ac:dyDescent="0.25">
      <c r="B4631" t="s">
        <v>1101</v>
      </c>
      <c r="C4631">
        <v>8</v>
      </c>
      <c r="D4631">
        <v>14</v>
      </c>
    </row>
    <row r="4632" spans="2:4" x14ac:dyDescent="0.25">
      <c r="B4632" t="s">
        <v>1101</v>
      </c>
      <c r="C4632">
        <v>9</v>
      </c>
      <c r="D4632">
        <v>6</v>
      </c>
    </row>
    <row r="4633" spans="2:4" x14ac:dyDescent="0.25">
      <c r="B4633" t="s">
        <v>1101</v>
      </c>
      <c r="C4633">
        <v>9</v>
      </c>
      <c r="D4633">
        <v>8</v>
      </c>
    </row>
    <row r="4634" spans="2:4" x14ac:dyDescent="0.25">
      <c r="B4634" t="s">
        <v>1101</v>
      </c>
      <c r="C4634">
        <v>9</v>
      </c>
      <c r="D4634">
        <v>13</v>
      </c>
    </row>
    <row r="4635" spans="2:4" x14ac:dyDescent="0.25">
      <c r="B4635" t="s">
        <v>1101</v>
      </c>
      <c r="C4635">
        <v>9</v>
      </c>
      <c r="D4635">
        <v>14</v>
      </c>
    </row>
    <row r="4636" spans="2:4" x14ac:dyDescent="0.25">
      <c r="B4636" t="s">
        <v>1101</v>
      </c>
      <c r="C4636">
        <v>11</v>
      </c>
      <c r="D4636">
        <v>6</v>
      </c>
    </row>
    <row r="4637" spans="2:4" x14ac:dyDescent="0.25">
      <c r="B4637" t="s">
        <v>1101</v>
      </c>
      <c r="C4637">
        <v>11</v>
      </c>
      <c r="D4637">
        <v>8</v>
      </c>
    </row>
    <row r="4638" spans="2:4" x14ac:dyDescent="0.25">
      <c r="B4638" t="s">
        <v>1101</v>
      </c>
      <c r="C4638">
        <v>11</v>
      </c>
      <c r="D4638">
        <v>13</v>
      </c>
    </row>
    <row r="4639" spans="2:4" x14ac:dyDescent="0.25">
      <c r="B4639" t="s">
        <v>1101</v>
      </c>
      <c r="C4639">
        <v>11</v>
      </c>
      <c r="D4639">
        <v>14</v>
      </c>
    </row>
    <row r="4640" spans="2:4" x14ac:dyDescent="0.25">
      <c r="B4640" t="s">
        <v>1101</v>
      </c>
      <c r="C4640">
        <v>12</v>
      </c>
      <c r="D4640">
        <v>6</v>
      </c>
    </row>
    <row r="4641" spans="2:4" x14ac:dyDescent="0.25">
      <c r="B4641" t="s">
        <v>1101</v>
      </c>
      <c r="C4641">
        <v>12</v>
      </c>
      <c r="D4641">
        <v>8</v>
      </c>
    </row>
    <row r="4642" spans="2:4" x14ac:dyDescent="0.25">
      <c r="B4642" t="s">
        <v>1101</v>
      </c>
      <c r="C4642">
        <v>12</v>
      </c>
      <c r="D4642">
        <v>13</v>
      </c>
    </row>
    <row r="4643" spans="2:4" x14ac:dyDescent="0.25">
      <c r="B4643" t="s">
        <v>1101</v>
      </c>
      <c r="C4643">
        <v>12</v>
      </c>
      <c r="D4643">
        <v>14</v>
      </c>
    </row>
    <row r="4644" spans="2:4" x14ac:dyDescent="0.25">
      <c r="B4644" t="s">
        <v>1101</v>
      </c>
      <c r="C4644">
        <v>13</v>
      </c>
      <c r="D4644">
        <v>6</v>
      </c>
    </row>
    <row r="4645" spans="2:4" x14ac:dyDescent="0.25">
      <c r="B4645" t="s">
        <v>1101</v>
      </c>
      <c r="C4645">
        <v>13</v>
      </c>
      <c r="D4645">
        <v>8</v>
      </c>
    </row>
    <row r="4646" spans="2:4" x14ac:dyDescent="0.25">
      <c r="B4646" t="s">
        <v>1101</v>
      </c>
      <c r="C4646">
        <v>13</v>
      </c>
      <c r="D4646">
        <v>13</v>
      </c>
    </row>
    <row r="4647" spans="2:4" x14ac:dyDescent="0.25">
      <c r="B4647" t="s">
        <v>1101</v>
      </c>
      <c r="C4647">
        <v>13</v>
      </c>
      <c r="D4647">
        <v>14</v>
      </c>
    </row>
    <row r="4648" spans="2:4" x14ac:dyDescent="0.25">
      <c r="B4648" t="s">
        <v>1101</v>
      </c>
      <c r="C4648">
        <v>14</v>
      </c>
      <c r="D4648">
        <v>6</v>
      </c>
    </row>
    <row r="4649" spans="2:4" x14ac:dyDescent="0.25">
      <c r="B4649" t="s">
        <v>1101</v>
      </c>
      <c r="C4649">
        <v>14</v>
      </c>
      <c r="D4649">
        <v>8</v>
      </c>
    </row>
    <row r="4650" spans="2:4" x14ac:dyDescent="0.25">
      <c r="B4650" t="s">
        <v>1101</v>
      </c>
      <c r="C4650">
        <v>14</v>
      </c>
      <c r="D4650">
        <v>13</v>
      </c>
    </row>
    <row r="4651" spans="2:4" x14ac:dyDescent="0.25">
      <c r="B4651" t="s">
        <v>1101</v>
      </c>
      <c r="C4651">
        <v>14</v>
      </c>
      <c r="D4651">
        <v>14</v>
      </c>
    </row>
    <row r="4652" spans="2:4" x14ac:dyDescent="0.25">
      <c r="B4652" t="s">
        <v>1101</v>
      </c>
      <c r="C4652">
        <v>16</v>
      </c>
      <c r="D4652">
        <v>6</v>
      </c>
    </row>
    <row r="4653" spans="2:4" x14ac:dyDescent="0.25">
      <c r="B4653" t="s">
        <v>1101</v>
      </c>
      <c r="C4653">
        <v>16</v>
      </c>
      <c r="D4653">
        <v>8</v>
      </c>
    </row>
    <row r="4654" spans="2:4" x14ac:dyDescent="0.25">
      <c r="B4654" t="s">
        <v>1101</v>
      </c>
      <c r="C4654">
        <v>16</v>
      </c>
      <c r="D4654">
        <v>13</v>
      </c>
    </row>
    <row r="4655" spans="2:4" x14ac:dyDescent="0.25">
      <c r="B4655" t="s">
        <v>1101</v>
      </c>
      <c r="C4655">
        <v>16</v>
      </c>
      <c r="D4655">
        <v>14</v>
      </c>
    </row>
    <row r="4656" spans="2:4" x14ac:dyDescent="0.25">
      <c r="B4656" t="s">
        <v>1101</v>
      </c>
      <c r="C4656">
        <v>17</v>
      </c>
      <c r="D4656">
        <v>6</v>
      </c>
    </row>
    <row r="4657" spans="2:4" x14ac:dyDescent="0.25">
      <c r="B4657" t="s">
        <v>1101</v>
      </c>
      <c r="C4657">
        <v>17</v>
      </c>
      <c r="D4657">
        <v>8</v>
      </c>
    </row>
    <row r="4658" spans="2:4" x14ac:dyDescent="0.25">
      <c r="B4658" t="s">
        <v>1101</v>
      </c>
      <c r="C4658">
        <v>17</v>
      </c>
      <c r="D4658">
        <v>13</v>
      </c>
    </row>
    <row r="4659" spans="2:4" x14ac:dyDescent="0.25">
      <c r="B4659" t="s">
        <v>1101</v>
      </c>
      <c r="C4659">
        <v>17</v>
      </c>
      <c r="D4659">
        <v>14</v>
      </c>
    </row>
    <row r="4660" spans="2:4" x14ac:dyDescent="0.25">
      <c r="B4660" t="s">
        <v>1101</v>
      </c>
      <c r="C4660">
        <v>18</v>
      </c>
      <c r="D4660">
        <v>6</v>
      </c>
    </row>
    <row r="4661" spans="2:4" x14ac:dyDescent="0.25">
      <c r="B4661" t="s">
        <v>1101</v>
      </c>
      <c r="C4661">
        <v>18</v>
      </c>
      <c r="D4661">
        <v>8</v>
      </c>
    </row>
    <row r="4662" spans="2:4" x14ac:dyDescent="0.25">
      <c r="B4662" t="s">
        <v>1101</v>
      </c>
      <c r="C4662">
        <v>18</v>
      </c>
      <c r="D4662">
        <v>13</v>
      </c>
    </row>
    <row r="4663" spans="2:4" x14ac:dyDescent="0.25">
      <c r="B4663" t="s">
        <v>1101</v>
      </c>
      <c r="C4663">
        <v>18</v>
      </c>
      <c r="D4663">
        <v>14</v>
      </c>
    </row>
    <row r="4664" spans="2:4" x14ac:dyDescent="0.25">
      <c r="B4664" t="s">
        <v>1101</v>
      </c>
      <c r="C4664">
        <v>19</v>
      </c>
      <c r="D4664">
        <v>6</v>
      </c>
    </row>
    <row r="4665" spans="2:4" x14ac:dyDescent="0.25">
      <c r="B4665" t="s">
        <v>1101</v>
      </c>
      <c r="C4665">
        <v>19</v>
      </c>
      <c r="D4665">
        <v>8</v>
      </c>
    </row>
    <row r="4666" spans="2:4" x14ac:dyDescent="0.25">
      <c r="B4666" t="s">
        <v>1101</v>
      </c>
      <c r="C4666">
        <v>19</v>
      </c>
      <c r="D4666">
        <v>13</v>
      </c>
    </row>
    <row r="4667" spans="2:4" x14ac:dyDescent="0.25">
      <c r="B4667" t="s">
        <v>1101</v>
      </c>
      <c r="C4667">
        <v>19</v>
      </c>
      <c r="D4667">
        <v>14</v>
      </c>
    </row>
    <row r="4668" spans="2:4" x14ac:dyDescent="0.25">
      <c r="B4668" t="s">
        <v>1101</v>
      </c>
      <c r="C4668">
        <v>20</v>
      </c>
      <c r="D4668">
        <v>6</v>
      </c>
    </row>
    <row r="4669" spans="2:4" x14ac:dyDescent="0.25">
      <c r="B4669" t="s">
        <v>1101</v>
      </c>
      <c r="C4669">
        <v>20</v>
      </c>
      <c r="D4669">
        <v>8</v>
      </c>
    </row>
    <row r="4670" spans="2:4" x14ac:dyDescent="0.25">
      <c r="B4670" t="s">
        <v>1101</v>
      </c>
      <c r="C4670">
        <v>20</v>
      </c>
      <c r="D4670">
        <v>13</v>
      </c>
    </row>
    <row r="4671" spans="2:4" x14ac:dyDescent="0.25">
      <c r="B4671" t="s">
        <v>1101</v>
      </c>
      <c r="C4671">
        <v>20</v>
      </c>
      <c r="D4671">
        <v>14</v>
      </c>
    </row>
    <row r="4672" spans="2:4" x14ac:dyDescent="0.25">
      <c r="B4672" t="s">
        <v>1101</v>
      </c>
      <c r="C4672">
        <v>21</v>
      </c>
      <c r="D4672">
        <v>6</v>
      </c>
    </row>
    <row r="4673" spans="2:4" x14ac:dyDescent="0.25">
      <c r="B4673" t="s">
        <v>1101</v>
      </c>
      <c r="C4673">
        <v>21</v>
      </c>
      <c r="D4673">
        <v>8</v>
      </c>
    </row>
    <row r="4674" spans="2:4" x14ac:dyDescent="0.25">
      <c r="B4674" t="s">
        <v>1101</v>
      </c>
      <c r="C4674">
        <v>21</v>
      </c>
      <c r="D4674">
        <v>13</v>
      </c>
    </row>
    <row r="4675" spans="2:4" x14ac:dyDescent="0.25">
      <c r="B4675" t="s">
        <v>1101</v>
      </c>
      <c r="C4675">
        <v>21</v>
      </c>
      <c r="D4675">
        <v>14</v>
      </c>
    </row>
    <row r="4676" spans="2:4" x14ac:dyDescent="0.25">
      <c r="B4676" t="s">
        <v>1101</v>
      </c>
      <c r="C4676">
        <v>22</v>
      </c>
      <c r="D4676">
        <v>6</v>
      </c>
    </row>
    <row r="4677" spans="2:4" x14ac:dyDescent="0.25">
      <c r="B4677" t="s">
        <v>1101</v>
      </c>
      <c r="C4677">
        <v>22</v>
      </c>
      <c r="D4677">
        <v>8</v>
      </c>
    </row>
    <row r="4678" spans="2:4" x14ac:dyDescent="0.25">
      <c r="B4678" t="s">
        <v>1101</v>
      </c>
      <c r="C4678">
        <v>22</v>
      </c>
      <c r="D4678">
        <v>13</v>
      </c>
    </row>
    <row r="4679" spans="2:4" x14ac:dyDescent="0.25">
      <c r="B4679" t="s">
        <v>1101</v>
      </c>
      <c r="C4679">
        <v>22</v>
      </c>
      <c r="D4679">
        <v>14</v>
      </c>
    </row>
    <row r="4680" spans="2:4" x14ac:dyDescent="0.25">
      <c r="B4680" t="s">
        <v>1101</v>
      </c>
      <c r="C4680">
        <v>23</v>
      </c>
      <c r="D4680">
        <v>6</v>
      </c>
    </row>
    <row r="4681" spans="2:4" x14ac:dyDescent="0.25">
      <c r="B4681" t="s">
        <v>1101</v>
      </c>
      <c r="C4681">
        <v>23</v>
      </c>
      <c r="D4681">
        <v>8</v>
      </c>
    </row>
    <row r="4682" spans="2:4" x14ac:dyDescent="0.25">
      <c r="B4682" t="s">
        <v>1101</v>
      </c>
      <c r="C4682">
        <v>23</v>
      </c>
      <c r="D4682">
        <v>13</v>
      </c>
    </row>
    <row r="4683" spans="2:4" x14ac:dyDescent="0.25">
      <c r="B4683" t="s">
        <v>1101</v>
      </c>
      <c r="C4683">
        <v>23</v>
      </c>
      <c r="D4683">
        <v>14</v>
      </c>
    </row>
    <row r="4684" spans="2:4" x14ac:dyDescent="0.25">
      <c r="B4684" t="s">
        <v>1101</v>
      </c>
      <c r="C4684">
        <v>24</v>
      </c>
      <c r="D4684">
        <v>6</v>
      </c>
    </row>
    <row r="4685" spans="2:4" x14ac:dyDescent="0.25">
      <c r="B4685" t="s">
        <v>1101</v>
      </c>
      <c r="C4685">
        <v>24</v>
      </c>
      <c r="D4685">
        <v>8</v>
      </c>
    </row>
    <row r="4686" spans="2:4" x14ac:dyDescent="0.25">
      <c r="B4686" t="s">
        <v>1101</v>
      </c>
      <c r="C4686">
        <v>24</v>
      </c>
      <c r="D4686">
        <v>13</v>
      </c>
    </row>
    <row r="4687" spans="2:4" x14ac:dyDescent="0.25">
      <c r="B4687" t="s">
        <v>1101</v>
      </c>
      <c r="C4687">
        <v>24</v>
      </c>
      <c r="D4687">
        <v>14</v>
      </c>
    </row>
    <row r="4688" spans="2:4" x14ac:dyDescent="0.25">
      <c r="B4688" t="s">
        <v>1101</v>
      </c>
      <c r="C4688">
        <v>25</v>
      </c>
      <c r="D4688">
        <v>6</v>
      </c>
    </row>
    <row r="4689" spans="2:4" x14ac:dyDescent="0.25">
      <c r="B4689" t="s">
        <v>1101</v>
      </c>
      <c r="C4689">
        <v>25</v>
      </c>
      <c r="D4689">
        <v>8</v>
      </c>
    </row>
    <row r="4690" spans="2:4" x14ac:dyDescent="0.25">
      <c r="B4690" t="s">
        <v>1101</v>
      </c>
      <c r="C4690">
        <v>25</v>
      </c>
      <c r="D4690">
        <v>13</v>
      </c>
    </row>
    <row r="4691" spans="2:4" x14ac:dyDescent="0.25">
      <c r="B4691" t="s">
        <v>1101</v>
      </c>
      <c r="C4691">
        <v>25</v>
      </c>
      <c r="D4691">
        <v>14</v>
      </c>
    </row>
    <row r="4692" spans="2:4" x14ac:dyDescent="0.25">
      <c r="B4692" t="s">
        <v>1101</v>
      </c>
      <c r="C4692">
        <v>26</v>
      </c>
      <c r="D4692">
        <v>6</v>
      </c>
    </row>
    <row r="4693" spans="2:4" x14ac:dyDescent="0.25">
      <c r="B4693" t="s">
        <v>1101</v>
      </c>
      <c r="C4693">
        <v>26</v>
      </c>
      <c r="D4693">
        <v>8</v>
      </c>
    </row>
    <row r="4694" spans="2:4" x14ac:dyDescent="0.25">
      <c r="B4694" t="s">
        <v>1101</v>
      </c>
      <c r="C4694">
        <v>26</v>
      </c>
      <c r="D4694">
        <v>13</v>
      </c>
    </row>
    <row r="4695" spans="2:4" x14ac:dyDescent="0.25">
      <c r="B4695" t="s">
        <v>1101</v>
      </c>
      <c r="C4695">
        <v>26</v>
      </c>
      <c r="D4695">
        <v>14</v>
      </c>
    </row>
    <row r="4696" spans="2:4" x14ac:dyDescent="0.25">
      <c r="B4696" t="s">
        <v>1101</v>
      </c>
      <c r="C4696">
        <v>27</v>
      </c>
      <c r="D4696">
        <v>6</v>
      </c>
    </row>
    <row r="4697" spans="2:4" x14ac:dyDescent="0.25">
      <c r="B4697" t="s">
        <v>1101</v>
      </c>
      <c r="C4697">
        <v>27</v>
      </c>
      <c r="D4697">
        <v>8</v>
      </c>
    </row>
    <row r="4698" spans="2:4" x14ac:dyDescent="0.25">
      <c r="B4698" t="s">
        <v>1101</v>
      </c>
      <c r="C4698">
        <v>27</v>
      </c>
      <c r="D4698">
        <v>13</v>
      </c>
    </row>
    <row r="4699" spans="2:4" x14ac:dyDescent="0.25">
      <c r="B4699" t="s">
        <v>1101</v>
      </c>
      <c r="C4699">
        <v>27</v>
      </c>
      <c r="D4699">
        <v>14</v>
      </c>
    </row>
    <row r="4700" spans="2:4" x14ac:dyDescent="0.25">
      <c r="B4700" t="s">
        <v>1101</v>
      </c>
      <c r="C4700">
        <v>30</v>
      </c>
      <c r="D4700">
        <v>6</v>
      </c>
    </row>
    <row r="4701" spans="2:4" x14ac:dyDescent="0.25">
      <c r="B4701" t="s">
        <v>1101</v>
      </c>
      <c r="C4701">
        <v>30</v>
      </c>
      <c r="D4701">
        <v>8</v>
      </c>
    </row>
    <row r="4702" spans="2:4" x14ac:dyDescent="0.25">
      <c r="B4702" t="s">
        <v>1101</v>
      </c>
      <c r="C4702">
        <v>30</v>
      </c>
      <c r="D4702">
        <v>13</v>
      </c>
    </row>
    <row r="4703" spans="2:4" x14ac:dyDescent="0.25">
      <c r="B4703" t="s">
        <v>1101</v>
      </c>
      <c r="C4703">
        <v>30</v>
      </c>
      <c r="D4703">
        <v>14</v>
      </c>
    </row>
    <row r="4704" spans="2:4" x14ac:dyDescent="0.25">
      <c r="B4704" t="s">
        <v>1101</v>
      </c>
      <c r="C4704">
        <v>31</v>
      </c>
      <c r="D4704">
        <v>6</v>
      </c>
    </row>
    <row r="4705" spans="2:4" x14ac:dyDescent="0.25">
      <c r="B4705" t="s">
        <v>1101</v>
      </c>
      <c r="C4705">
        <v>31</v>
      </c>
      <c r="D4705">
        <v>8</v>
      </c>
    </row>
    <row r="4706" spans="2:4" x14ac:dyDescent="0.25">
      <c r="B4706" t="s">
        <v>1101</v>
      </c>
      <c r="C4706">
        <v>31</v>
      </c>
      <c r="D4706">
        <v>13</v>
      </c>
    </row>
    <row r="4707" spans="2:4" x14ac:dyDescent="0.25">
      <c r="B4707" t="s">
        <v>1101</v>
      </c>
      <c r="C4707">
        <v>31</v>
      </c>
      <c r="D4707">
        <v>14</v>
      </c>
    </row>
    <row r="4708" spans="2:4" x14ac:dyDescent="0.25">
      <c r="B4708" t="s">
        <v>1101</v>
      </c>
      <c r="C4708">
        <v>32</v>
      </c>
      <c r="D4708">
        <v>6</v>
      </c>
    </row>
    <row r="4709" spans="2:4" x14ac:dyDescent="0.25">
      <c r="B4709" t="s">
        <v>1101</v>
      </c>
      <c r="C4709">
        <v>32</v>
      </c>
      <c r="D4709">
        <v>8</v>
      </c>
    </row>
    <row r="4710" spans="2:4" x14ac:dyDescent="0.25">
      <c r="B4710" t="s">
        <v>1101</v>
      </c>
      <c r="C4710">
        <v>32</v>
      </c>
      <c r="D4710">
        <v>13</v>
      </c>
    </row>
    <row r="4711" spans="2:4" x14ac:dyDescent="0.25">
      <c r="B4711" t="s">
        <v>1101</v>
      </c>
      <c r="C4711">
        <v>32</v>
      </c>
      <c r="D4711">
        <v>14</v>
      </c>
    </row>
    <row r="4712" spans="2:4" x14ac:dyDescent="0.25">
      <c r="B4712" t="s">
        <v>1101</v>
      </c>
      <c r="C4712">
        <v>33</v>
      </c>
      <c r="D4712">
        <v>6</v>
      </c>
    </row>
    <row r="4713" spans="2:4" x14ac:dyDescent="0.25">
      <c r="B4713" t="s">
        <v>1101</v>
      </c>
      <c r="C4713">
        <v>33</v>
      </c>
      <c r="D4713">
        <v>8</v>
      </c>
    </row>
    <row r="4714" spans="2:4" x14ac:dyDescent="0.25">
      <c r="B4714" t="s">
        <v>1101</v>
      </c>
      <c r="C4714">
        <v>33</v>
      </c>
      <c r="D4714">
        <v>13</v>
      </c>
    </row>
    <row r="4715" spans="2:4" x14ac:dyDescent="0.25">
      <c r="B4715" t="s">
        <v>1101</v>
      </c>
      <c r="C4715">
        <v>33</v>
      </c>
      <c r="D4715">
        <v>14</v>
      </c>
    </row>
    <row r="4716" spans="2:4" x14ac:dyDescent="0.25">
      <c r="B4716" t="s">
        <v>1101</v>
      </c>
      <c r="C4716">
        <v>34</v>
      </c>
      <c r="D4716">
        <v>6</v>
      </c>
    </row>
    <row r="4717" spans="2:4" x14ac:dyDescent="0.25">
      <c r="B4717" t="s">
        <v>1101</v>
      </c>
      <c r="C4717">
        <v>34</v>
      </c>
      <c r="D4717">
        <v>8</v>
      </c>
    </row>
    <row r="4718" spans="2:4" x14ac:dyDescent="0.25">
      <c r="B4718" t="s">
        <v>1101</v>
      </c>
      <c r="C4718">
        <v>34</v>
      </c>
      <c r="D4718">
        <v>13</v>
      </c>
    </row>
    <row r="4719" spans="2:4" x14ac:dyDescent="0.25">
      <c r="B4719" t="s">
        <v>1101</v>
      </c>
      <c r="C4719">
        <v>34</v>
      </c>
      <c r="D4719">
        <v>14</v>
      </c>
    </row>
    <row r="4720" spans="2:4" x14ac:dyDescent="0.25">
      <c r="B4720" t="s">
        <v>1101</v>
      </c>
      <c r="C4720">
        <v>35</v>
      </c>
      <c r="D4720">
        <v>6</v>
      </c>
    </row>
    <row r="4721" spans="2:4" x14ac:dyDescent="0.25">
      <c r="B4721" t="s">
        <v>1101</v>
      </c>
      <c r="C4721">
        <v>35</v>
      </c>
      <c r="D4721">
        <v>8</v>
      </c>
    </row>
    <row r="4722" spans="2:4" x14ac:dyDescent="0.25">
      <c r="B4722" t="s">
        <v>1101</v>
      </c>
      <c r="C4722">
        <v>35</v>
      </c>
      <c r="D4722">
        <v>13</v>
      </c>
    </row>
    <row r="4723" spans="2:4" x14ac:dyDescent="0.25">
      <c r="B4723" t="s">
        <v>1101</v>
      </c>
      <c r="C4723">
        <v>35</v>
      </c>
      <c r="D4723">
        <v>14</v>
      </c>
    </row>
    <row r="4724" spans="2:4" x14ac:dyDescent="0.25">
      <c r="B4724" t="s">
        <v>1101</v>
      </c>
      <c r="C4724">
        <v>36</v>
      </c>
      <c r="D4724">
        <v>6</v>
      </c>
    </row>
    <row r="4725" spans="2:4" x14ac:dyDescent="0.25">
      <c r="B4725" t="s">
        <v>1101</v>
      </c>
      <c r="C4725">
        <v>36</v>
      </c>
      <c r="D4725">
        <v>8</v>
      </c>
    </row>
    <row r="4726" spans="2:4" x14ac:dyDescent="0.25">
      <c r="B4726" t="s">
        <v>1101</v>
      </c>
      <c r="C4726">
        <v>36</v>
      </c>
      <c r="D4726">
        <v>13</v>
      </c>
    </row>
    <row r="4727" spans="2:4" x14ac:dyDescent="0.25">
      <c r="B4727" t="s">
        <v>1101</v>
      </c>
      <c r="C4727">
        <v>36</v>
      </c>
      <c r="D4727">
        <v>14</v>
      </c>
    </row>
    <row r="4728" spans="2:4" x14ac:dyDescent="0.25">
      <c r="B4728" t="s">
        <v>1101</v>
      </c>
      <c r="C4728">
        <v>37</v>
      </c>
      <c r="D4728">
        <v>6</v>
      </c>
    </row>
    <row r="4729" spans="2:4" x14ac:dyDescent="0.25">
      <c r="B4729" t="s">
        <v>1101</v>
      </c>
      <c r="C4729">
        <v>37</v>
      </c>
      <c r="D4729">
        <v>8</v>
      </c>
    </row>
    <row r="4730" spans="2:4" x14ac:dyDescent="0.25">
      <c r="B4730" t="s">
        <v>1101</v>
      </c>
      <c r="C4730">
        <v>37</v>
      </c>
      <c r="D4730">
        <v>13</v>
      </c>
    </row>
    <row r="4731" spans="2:4" x14ac:dyDescent="0.25">
      <c r="B4731" t="s">
        <v>1101</v>
      </c>
      <c r="C4731">
        <v>37</v>
      </c>
      <c r="D4731">
        <v>14</v>
      </c>
    </row>
    <row r="4732" spans="2:4" x14ac:dyDescent="0.25">
      <c r="B4732" t="s">
        <v>1101</v>
      </c>
      <c r="C4732">
        <v>38</v>
      </c>
      <c r="D4732">
        <v>6</v>
      </c>
    </row>
    <row r="4733" spans="2:4" x14ac:dyDescent="0.25">
      <c r="B4733" t="s">
        <v>1101</v>
      </c>
      <c r="C4733">
        <v>38</v>
      </c>
      <c r="D4733">
        <v>8</v>
      </c>
    </row>
    <row r="4734" spans="2:4" x14ac:dyDescent="0.25">
      <c r="B4734" t="s">
        <v>1101</v>
      </c>
      <c r="C4734">
        <v>38</v>
      </c>
      <c r="D4734">
        <v>13</v>
      </c>
    </row>
    <row r="4735" spans="2:4" x14ac:dyDescent="0.25">
      <c r="B4735" t="s">
        <v>1101</v>
      </c>
      <c r="C4735">
        <v>38</v>
      </c>
      <c r="D4735">
        <v>14</v>
      </c>
    </row>
    <row r="4736" spans="2:4" x14ac:dyDescent="0.25">
      <c r="B4736" t="s">
        <v>1102</v>
      </c>
      <c r="C4736">
        <v>5</v>
      </c>
      <c r="D4736">
        <v>5</v>
      </c>
    </row>
    <row r="4737" spans="2:4" x14ac:dyDescent="0.25">
      <c r="B4737" t="s">
        <v>1102</v>
      </c>
      <c r="C4737">
        <v>7</v>
      </c>
      <c r="D4737">
        <v>6</v>
      </c>
    </row>
    <row r="4738" spans="2:4" x14ac:dyDescent="0.25">
      <c r="B4738" t="s">
        <v>1102</v>
      </c>
      <c r="C4738">
        <v>7</v>
      </c>
      <c r="D4738">
        <v>8</v>
      </c>
    </row>
    <row r="4739" spans="2:4" x14ac:dyDescent="0.25">
      <c r="B4739" t="s">
        <v>1102</v>
      </c>
      <c r="C4739">
        <v>7</v>
      </c>
      <c r="D4739">
        <v>13</v>
      </c>
    </row>
    <row r="4740" spans="2:4" x14ac:dyDescent="0.25">
      <c r="B4740" t="s">
        <v>1102</v>
      </c>
      <c r="C4740">
        <v>7</v>
      </c>
      <c r="D4740">
        <v>14</v>
      </c>
    </row>
    <row r="4741" spans="2:4" x14ac:dyDescent="0.25">
      <c r="B4741" t="s">
        <v>1102</v>
      </c>
      <c r="C4741">
        <v>8</v>
      </c>
      <c r="D4741">
        <v>6</v>
      </c>
    </row>
    <row r="4742" spans="2:4" x14ac:dyDescent="0.25">
      <c r="B4742" t="s">
        <v>1102</v>
      </c>
      <c r="C4742">
        <v>8</v>
      </c>
      <c r="D4742">
        <v>8</v>
      </c>
    </row>
    <row r="4743" spans="2:4" x14ac:dyDescent="0.25">
      <c r="B4743" t="s">
        <v>1102</v>
      </c>
      <c r="C4743">
        <v>8</v>
      </c>
      <c r="D4743">
        <v>13</v>
      </c>
    </row>
    <row r="4744" spans="2:4" x14ac:dyDescent="0.25">
      <c r="B4744" t="s">
        <v>1102</v>
      </c>
      <c r="C4744">
        <v>8</v>
      </c>
      <c r="D4744">
        <v>14</v>
      </c>
    </row>
    <row r="4745" spans="2:4" x14ac:dyDescent="0.25">
      <c r="B4745" t="s">
        <v>1102</v>
      </c>
      <c r="C4745">
        <v>9</v>
      </c>
      <c r="D4745">
        <v>6</v>
      </c>
    </row>
    <row r="4746" spans="2:4" x14ac:dyDescent="0.25">
      <c r="B4746" t="s">
        <v>1102</v>
      </c>
      <c r="C4746">
        <v>9</v>
      </c>
      <c r="D4746">
        <v>8</v>
      </c>
    </row>
    <row r="4747" spans="2:4" x14ac:dyDescent="0.25">
      <c r="B4747" t="s">
        <v>1102</v>
      </c>
      <c r="C4747">
        <v>9</v>
      </c>
      <c r="D4747">
        <v>13</v>
      </c>
    </row>
    <row r="4748" spans="2:4" x14ac:dyDescent="0.25">
      <c r="B4748" t="s">
        <v>1102</v>
      </c>
      <c r="C4748">
        <v>9</v>
      </c>
      <c r="D4748">
        <v>14</v>
      </c>
    </row>
    <row r="4749" spans="2:4" x14ac:dyDescent="0.25">
      <c r="B4749" t="s">
        <v>1102</v>
      </c>
      <c r="C4749">
        <v>10</v>
      </c>
      <c r="D4749">
        <v>6</v>
      </c>
    </row>
    <row r="4750" spans="2:4" x14ac:dyDescent="0.25">
      <c r="B4750" t="s">
        <v>1102</v>
      </c>
      <c r="C4750">
        <v>10</v>
      </c>
      <c r="D4750">
        <v>8</v>
      </c>
    </row>
    <row r="4751" spans="2:4" x14ac:dyDescent="0.25">
      <c r="B4751" t="s">
        <v>1102</v>
      </c>
      <c r="C4751">
        <v>10</v>
      </c>
      <c r="D4751">
        <v>13</v>
      </c>
    </row>
    <row r="4752" spans="2:4" x14ac:dyDescent="0.25">
      <c r="B4752" t="s">
        <v>1102</v>
      </c>
      <c r="C4752">
        <v>10</v>
      </c>
      <c r="D4752">
        <v>14</v>
      </c>
    </row>
    <row r="4753" spans="2:4" x14ac:dyDescent="0.25">
      <c r="B4753" t="s">
        <v>1102</v>
      </c>
      <c r="C4753">
        <v>11</v>
      </c>
      <c r="D4753">
        <v>6</v>
      </c>
    </row>
    <row r="4754" spans="2:4" x14ac:dyDescent="0.25">
      <c r="B4754" t="s">
        <v>1102</v>
      </c>
      <c r="C4754">
        <v>11</v>
      </c>
      <c r="D4754">
        <v>8</v>
      </c>
    </row>
    <row r="4755" spans="2:4" x14ac:dyDescent="0.25">
      <c r="B4755" t="s">
        <v>1102</v>
      </c>
      <c r="C4755">
        <v>11</v>
      </c>
      <c r="D4755">
        <v>13</v>
      </c>
    </row>
    <row r="4756" spans="2:4" x14ac:dyDescent="0.25">
      <c r="B4756" t="s">
        <v>1102</v>
      </c>
      <c r="C4756">
        <v>11</v>
      </c>
      <c r="D4756">
        <v>14</v>
      </c>
    </row>
    <row r="4757" spans="2:4" x14ac:dyDescent="0.25">
      <c r="B4757" t="s">
        <v>1102</v>
      </c>
      <c r="C4757">
        <v>12</v>
      </c>
      <c r="D4757">
        <v>6</v>
      </c>
    </row>
    <row r="4758" spans="2:4" x14ac:dyDescent="0.25">
      <c r="B4758" t="s">
        <v>1102</v>
      </c>
      <c r="C4758">
        <v>12</v>
      </c>
      <c r="D4758">
        <v>8</v>
      </c>
    </row>
    <row r="4759" spans="2:4" x14ac:dyDescent="0.25">
      <c r="B4759" t="s">
        <v>1102</v>
      </c>
      <c r="C4759">
        <v>12</v>
      </c>
      <c r="D4759">
        <v>13</v>
      </c>
    </row>
    <row r="4760" spans="2:4" x14ac:dyDescent="0.25">
      <c r="B4760" t="s">
        <v>1102</v>
      </c>
      <c r="C4760">
        <v>12</v>
      </c>
      <c r="D4760">
        <v>14</v>
      </c>
    </row>
    <row r="4761" spans="2:4" x14ac:dyDescent="0.25">
      <c r="B4761" t="s">
        <v>1102</v>
      </c>
      <c r="C4761">
        <v>14</v>
      </c>
      <c r="D4761">
        <v>6</v>
      </c>
    </row>
    <row r="4762" spans="2:4" x14ac:dyDescent="0.25">
      <c r="B4762" t="s">
        <v>1102</v>
      </c>
      <c r="C4762">
        <v>14</v>
      </c>
      <c r="D4762">
        <v>8</v>
      </c>
    </row>
    <row r="4763" spans="2:4" x14ac:dyDescent="0.25">
      <c r="B4763" t="s">
        <v>1102</v>
      </c>
      <c r="C4763">
        <v>14</v>
      </c>
      <c r="D4763">
        <v>13</v>
      </c>
    </row>
    <row r="4764" spans="2:4" x14ac:dyDescent="0.25">
      <c r="B4764" t="s">
        <v>1102</v>
      </c>
      <c r="C4764">
        <v>14</v>
      </c>
      <c r="D4764">
        <v>14</v>
      </c>
    </row>
    <row r="4765" spans="2:4" x14ac:dyDescent="0.25">
      <c r="B4765" t="s">
        <v>1102</v>
      </c>
      <c r="C4765">
        <v>15</v>
      </c>
      <c r="D4765">
        <v>6</v>
      </c>
    </row>
    <row r="4766" spans="2:4" x14ac:dyDescent="0.25">
      <c r="B4766" t="s">
        <v>1102</v>
      </c>
      <c r="C4766">
        <v>15</v>
      </c>
      <c r="D4766">
        <v>8</v>
      </c>
    </row>
    <row r="4767" spans="2:4" x14ac:dyDescent="0.25">
      <c r="B4767" t="s">
        <v>1102</v>
      </c>
      <c r="C4767">
        <v>15</v>
      </c>
      <c r="D4767">
        <v>13</v>
      </c>
    </row>
    <row r="4768" spans="2:4" x14ac:dyDescent="0.25">
      <c r="B4768" t="s">
        <v>1102</v>
      </c>
      <c r="C4768">
        <v>15</v>
      </c>
      <c r="D4768">
        <v>14</v>
      </c>
    </row>
    <row r="4769" spans="2:4" x14ac:dyDescent="0.25">
      <c r="B4769" t="s">
        <v>1102</v>
      </c>
      <c r="C4769">
        <v>16</v>
      </c>
      <c r="D4769">
        <v>6</v>
      </c>
    </row>
    <row r="4770" spans="2:4" x14ac:dyDescent="0.25">
      <c r="B4770" t="s">
        <v>1102</v>
      </c>
      <c r="C4770">
        <v>16</v>
      </c>
      <c r="D4770">
        <v>8</v>
      </c>
    </row>
    <row r="4771" spans="2:4" x14ac:dyDescent="0.25">
      <c r="B4771" t="s">
        <v>1102</v>
      </c>
      <c r="C4771">
        <v>16</v>
      </c>
      <c r="D4771">
        <v>13</v>
      </c>
    </row>
    <row r="4772" spans="2:4" x14ac:dyDescent="0.25">
      <c r="B4772" t="s">
        <v>1102</v>
      </c>
      <c r="C4772">
        <v>16</v>
      </c>
      <c r="D4772">
        <v>14</v>
      </c>
    </row>
    <row r="4773" spans="2:4" x14ac:dyDescent="0.25">
      <c r="B4773" t="s">
        <v>1102</v>
      </c>
      <c r="C4773">
        <v>17</v>
      </c>
      <c r="D4773">
        <v>6</v>
      </c>
    </row>
    <row r="4774" spans="2:4" x14ac:dyDescent="0.25">
      <c r="B4774" t="s">
        <v>1102</v>
      </c>
      <c r="C4774">
        <v>17</v>
      </c>
      <c r="D4774">
        <v>8</v>
      </c>
    </row>
    <row r="4775" spans="2:4" x14ac:dyDescent="0.25">
      <c r="B4775" t="s">
        <v>1102</v>
      </c>
      <c r="C4775">
        <v>17</v>
      </c>
      <c r="D4775">
        <v>13</v>
      </c>
    </row>
    <row r="4776" spans="2:4" x14ac:dyDescent="0.25">
      <c r="B4776" t="s">
        <v>1102</v>
      </c>
      <c r="C4776">
        <v>17</v>
      </c>
      <c r="D4776">
        <v>14</v>
      </c>
    </row>
    <row r="4777" spans="2:4" x14ac:dyDescent="0.25">
      <c r="B4777" t="s">
        <v>1102</v>
      </c>
      <c r="C4777">
        <v>18</v>
      </c>
      <c r="D4777">
        <v>6</v>
      </c>
    </row>
    <row r="4778" spans="2:4" x14ac:dyDescent="0.25">
      <c r="B4778" t="s">
        <v>1102</v>
      </c>
      <c r="C4778">
        <v>18</v>
      </c>
      <c r="D4778">
        <v>8</v>
      </c>
    </row>
    <row r="4779" spans="2:4" x14ac:dyDescent="0.25">
      <c r="B4779" t="s">
        <v>1102</v>
      </c>
      <c r="C4779">
        <v>18</v>
      </c>
      <c r="D4779">
        <v>13</v>
      </c>
    </row>
    <row r="4780" spans="2:4" x14ac:dyDescent="0.25">
      <c r="B4780" t="s">
        <v>1102</v>
      </c>
      <c r="C4780">
        <v>18</v>
      </c>
      <c r="D4780">
        <v>14</v>
      </c>
    </row>
    <row r="4781" spans="2:4" x14ac:dyDescent="0.25">
      <c r="B4781" t="s">
        <v>1102</v>
      </c>
      <c r="C4781">
        <v>19</v>
      </c>
      <c r="D4781">
        <v>6</v>
      </c>
    </row>
    <row r="4782" spans="2:4" x14ac:dyDescent="0.25">
      <c r="B4782" t="s">
        <v>1102</v>
      </c>
      <c r="C4782">
        <v>19</v>
      </c>
      <c r="D4782">
        <v>8</v>
      </c>
    </row>
    <row r="4783" spans="2:4" x14ac:dyDescent="0.25">
      <c r="B4783" t="s">
        <v>1102</v>
      </c>
      <c r="C4783">
        <v>19</v>
      </c>
      <c r="D4783">
        <v>13</v>
      </c>
    </row>
    <row r="4784" spans="2:4" x14ac:dyDescent="0.25">
      <c r="B4784" t="s">
        <v>1102</v>
      </c>
      <c r="C4784">
        <v>19</v>
      </c>
      <c r="D4784">
        <v>14</v>
      </c>
    </row>
    <row r="4785" spans="2:4" x14ac:dyDescent="0.25">
      <c r="B4785" t="s">
        <v>1102</v>
      </c>
      <c r="C4785">
        <v>21</v>
      </c>
      <c r="D4785">
        <v>6</v>
      </c>
    </row>
    <row r="4786" spans="2:4" x14ac:dyDescent="0.25">
      <c r="B4786" t="s">
        <v>1102</v>
      </c>
      <c r="C4786">
        <v>21</v>
      </c>
      <c r="D4786">
        <v>8</v>
      </c>
    </row>
    <row r="4787" spans="2:4" x14ac:dyDescent="0.25">
      <c r="B4787" t="s">
        <v>1102</v>
      </c>
      <c r="C4787">
        <v>21</v>
      </c>
      <c r="D4787">
        <v>13</v>
      </c>
    </row>
    <row r="4788" spans="2:4" x14ac:dyDescent="0.25">
      <c r="B4788" t="s">
        <v>1102</v>
      </c>
      <c r="C4788">
        <v>21</v>
      </c>
      <c r="D4788">
        <v>14</v>
      </c>
    </row>
    <row r="4789" spans="2:4" x14ac:dyDescent="0.25">
      <c r="B4789" t="s">
        <v>1102</v>
      </c>
      <c r="C4789">
        <v>22</v>
      </c>
      <c r="D4789">
        <v>6</v>
      </c>
    </row>
    <row r="4790" spans="2:4" x14ac:dyDescent="0.25">
      <c r="B4790" t="s">
        <v>1102</v>
      </c>
      <c r="C4790">
        <v>22</v>
      </c>
      <c r="D4790">
        <v>8</v>
      </c>
    </row>
    <row r="4791" spans="2:4" x14ac:dyDescent="0.25">
      <c r="B4791" t="s">
        <v>1102</v>
      </c>
      <c r="C4791">
        <v>22</v>
      </c>
      <c r="D4791">
        <v>13</v>
      </c>
    </row>
    <row r="4792" spans="2:4" x14ac:dyDescent="0.25">
      <c r="B4792" t="s">
        <v>1102</v>
      </c>
      <c r="C4792">
        <v>22</v>
      </c>
      <c r="D4792">
        <v>14</v>
      </c>
    </row>
    <row r="4793" spans="2:4" x14ac:dyDescent="0.25">
      <c r="B4793" t="s">
        <v>1102</v>
      </c>
      <c r="C4793">
        <v>23</v>
      </c>
      <c r="D4793">
        <v>6</v>
      </c>
    </row>
    <row r="4794" spans="2:4" x14ac:dyDescent="0.25">
      <c r="B4794" t="s">
        <v>1102</v>
      </c>
      <c r="C4794">
        <v>23</v>
      </c>
      <c r="D4794">
        <v>8</v>
      </c>
    </row>
    <row r="4795" spans="2:4" x14ac:dyDescent="0.25">
      <c r="B4795" t="s">
        <v>1102</v>
      </c>
      <c r="C4795">
        <v>23</v>
      </c>
      <c r="D4795">
        <v>13</v>
      </c>
    </row>
    <row r="4796" spans="2:4" x14ac:dyDescent="0.25">
      <c r="B4796" t="s">
        <v>1102</v>
      </c>
      <c r="C4796">
        <v>23</v>
      </c>
      <c r="D4796">
        <v>14</v>
      </c>
    </row>
    <row r="4797" spans="2:4" x14ac:dyDescent="0.25">
      <c r="B4797" t="s">
        <v>1102</v>
      </c>
      <c r="C4797">
        <v>24</v>
      </c>
      <c r="D4797">
        <v>6</v>
      </c>
    </row>
    <row r="4798" spans="2:4" x14ac:dyDescent="0.25">
      <c r="B4798" t="s">
        <v>1102</v>
      </c>
      <c r="C4798">
        <v>24</v>
      </c>
      <c r="D4798">
        <v>8</v>
      </c>
    </row>
    <row r="4799" spans="2:4" x14ac:dyDescent="0.25">
      <c r="B4799" t="s">
        <v>1102</v>
      </c>
      <c r="C4799">
        <v>24</v>
      </c>
      <c r="D4799">
        <v>13</v>
      </c>
    </row>
    <row r="4800" spans="2:4" x14ac:dyDescent="0.25">
      <c r="B4800" t="s">
        <v>1102</v>
      </c>
      <c r="C4800">
        <v>24</v>
      </c>
      <c r="D4800">
        <v>14</v>
      </c>
    </row>
    <row r="4801" spans="2:4" x14ac:dyDescent="0.25">
      <c r="B4801" t="s">
        <v>1102</v>
      </c>
      <c r="C4801">
        <v>25</v>
      </c>
      <c r="D4801">
        <v>6</v>
      </c>
    </row>
    <row r="4802" spans="2:4" x14ac:dyDescent="0.25">
      <c r="B4802" t="s">
        <v>1102</v>
      </c>
      <c r="C4802">
        <v>25</v>
      </c>
      <c r="D4802">
        <v>8</v>
      </c>
    </row>
    <row r="4803" spans="2:4" x14ac:dyDescent="0.25">
      <c r="B4803" t="s">
        <v>1102</v>
      </c>
      <c r="C4803">
        <v>25</v>
      </c>
      <c r="D4803">
        <v>13</v>
      </c>
    </row>
    <row r="4804" spans="2:4" x14ac:dyDescent="0.25">
      <c r="B4804" t="s">
        <v>1102</v>
      </c>
      <c r="C4804">
        <v>25</v>
      </c>
      <c r="D4804">
        <v>14</v>
      </c>
    </row>
    <row r="4805" spans="2:4" x14ac:dyDescent="0.25">
      <c r="B4805" t="s">
        <v>1102</v>
      </c>
      <c r="C4805">
        <v>26</v>
      </c>
      <c r="D4805">
        <v>6</v>
      </c>
    </row>
    <row r="4806" spans="2:4" x14ac:dyDescent="0.25">
      <c r="B4806" t="s">
        <v>1102</v>
      </c>
      <c r="C4806">
        <v>26</v>
      </c>
      <c r="D4806">
        <v>8</v>
      </c>
    </row>
    <row r="4807" spans="2:4" x14ac:dyDescent="0.25">
      <c r="B4807" t="s">
        <v>1102</v>
      </c>
      <c r="C4807">
        <v>26</v>
      </c>
      <c r="D4807">
        <v>13</v>
      </c>
    </row>
    <row r="4808" spans="2:4" x14ac:dyDescent="0.25">
      <c r="B4808" t="s">
        <v>1102</v>
      </c>
      <c r="C4808">
        <v>26</v>
      </c>
      <c r="D4808">
        <v>14</v>
      </c>
    </row>
    <row r="4809" spans="2:4" x14ac:dyDescent="0.25">
      <c r="B4809" t="s">
        <v>1102</v>
      </c>
      <c r="C4809">
        <v>28</v>
      </c>
      <c r="D4809">
        <v>6</v>
      </c>
    </row>
    <row r="4810" spans="2:4" x14ac:dyDescent="0.25">
      <c r="B4810" t="s">
        <v>1102</v>
      </c>
      <c r="C4810">
        <v>28</v>
      </c>
      <c r="D4810">
        <v>8</v>
      </c>
    </row>
    <row r="4811" spans="2:4" x14ac:dyDescent="0.25">
      <c r="B4811" t="s">
        <v>1102</v>
      </c>
      <c r="C4811">
        <v>28</v>
      </c>
      <c r="D4811">
        <v>13</v>
      </c>
    </row>
    <row r="4812" spans="2:4" x14ac:dyDescent="0.25">
      <c r="B4812" t="s">
        <v>1102</v>
      </c>
      <c r="C4812">
        <v>28</v>
      </c>
      <c r="D4812">
        <v>14</v>
      </c>
    </row>
    <row r="4813" spans="2:4" x14ac:dyDescent="0.25">
      <c r="B4813" t="s">
        <v>1102</v>
      </c>
      <c r="C4813">
        <v>29</v>
      </c>
      <c r="D4813">
        <v>6</v>
      </c>
    </row>
    <row r="4814" spans="2:4" x14ac:dyDescent="0.25">
      <c r="B4814" t="s">
        <v>1102</v>
      </c>
      <c r="C4814">
        <v>29</v>
      </c>
      <c r="D4814">
        <v>8</v>
      </c>
    </row>
    <row r="4815" spans="2:4" x14ac:dyDescent="0.25">
      <c r="B4815" t="s">
        <v>1102</v>
      </c>
      <c r="C4815">
        <v>29</v>
      </c>
      <c r="D4815">
        <v>13</v>
      </c>
    </row>
    <row r="4816" spans="2:4" x14ac:dyDescent="0.25">
      <c r="B4816" t="s">
        <v>1102</v>
      </c>
      <c r="C4816">
        <v>29</v>
      </c>
      <c r="D4816">
        <v>14</v>
      </c>
    </row>
    <row r="4817" spans="2:4" x14ac:dyDescent="0.25">
      <c r="B4817" t="s">
        <v>1102</v>
      </c>
      <c r="C4817">
        <v>30</v>
      </c>
      <c r="D4817">
        <v>6</v>
      </c>
    </row>
    <row r="4818" spans="2:4" x14ac:dyDescent="0.25">
      <c r="B4818" t="s">
        <v>1102</v>
      </c>
      <c r="C4818">
        <v>30</v>
      </c>
      <c r="D4818">
        <v>8</v>
      </c>
    </row>
    <row r="4819" spans="2:4" x14ac:dyDescent="0.25">
      <c r="B4819" t="s">
        <v>1102</v>
      </c>
      <c r="C4819">
        <v>30</v>
      </c>
      <c r="D4819">
        <v>13</v>
      </c>
    </row>
    <row r="4820" spans="2:4" x14ac:dyDescent="0.25">
      <c r="B4820" t="s">
        <v>1102</v>
      </c>
      <c r="C4820">
        <v>30</v>
      </c>
      <c r="D4820">
        <v>14</v>
      </c>
    </row>
    <row r="4821" spans="2:4" x14ac:dyDescent="0.25">
      <c r="B4821" t="s">
        <v>1102</v>
      </c>
      <c r="C4821">
        <v>31</v>
      </c>
      <c r="D4821">
        <v>6</v>
      </c>
    </row>
    <row r="4822" spans="2:4" x14ac:dyDescent="0.25">
      <c r="B4822" t="s">
        <v>1102</v>
      </c>
      <c r="C4822">
        <v>31</v>
      </c>
      <c r="D4822">
        <v>8</v>
      </c>
    </row>
    <row r="4823" spans="2:4" x14ac:dyDescent="0.25">
      <c r="B4823" t="s">
        <v>1102</v>
      </c>
      <c r="C4823">
        <v>31</v>
      </c>
      <c r="D4823">
        <v>13</v>
      </c>
    </row>
    <row r="4824" spans="2:4" x14ac:dyDescent="0.25">
      <c r="B4824" t="s">
        <v>1102</v>
      </c>
      <c r="C4824">
        <v>31</v>
      </c>
      <c r="D4824">
        <v>14</v>
      </c>
    </row>
    <row r="4825" spans="2:4" x14ac:dyDescent="0.25">
      <c r="B4825" t="s">
        <v>1102</v>
      </c>
      <c r="C4825">
        <v>32</v>
      </c>
      <c r="D4825">
        <v>6</v>
      </c>
    </row>
    <row r="4826" spans="2:4" x14ac:dyDescent="0.25">
      <c r="B4826" t="s">
        <v>1102</v>
      </c>
      <c r="C4826">
        <v>32</v>
      </c>
      <c r="D4826">
        <v>8</v>
      </c>
    </row>
    <row r="4827" spans="2:4" x14ac:dyDescent="0.25">
      <c r="B4827" t="s">
        <v>1102</v>
      </c>
      <c r="C4827">
        <v>32</v>
      </c>
      <c r="D4827">
        <v>13</v>
      </c>
    </row>
    <row r="4828" spans="2:4" x14ac:dyDescent="0.25">
      <c r="B4828" t="s">
        <v>1102</v>
      </c>
      <c r="C4828">
        <v>32</v>
      </c>
      <c r="D4828">
        <v>14</v>
      </c>
    </row>
    <row r="4829" spans="2:4" x14ac:dyDescent="0.25">
      <c r="B4829" t="s">
        <v>1102</v>
      </c>
      <c r="C4829">
        <v>33</v>
      </c>
      <c r="D4829">
        <v>6</v>
      </c>
    </row>
    <row r="4830" spans="2:4" x14ac:dyDescent="0.25">
      <c r="B4830" t="s">
        <v>1102</v>
      </c>
      <c r="C4830">
        <v>33</v>
      </c>
      <c r="D4830">
        <v>8</v>
      </c>
    </row>
    <row r="4831" spans="2:4" x14ac:dyDescent="0.25">
      <c r="B4831" t="s">
        <v>1102</v>
      </c>
      <c r="C4831">
        <v>33</v>
      </c>
      <c r="D4831">
        <v>13</v>
      </c>
    </row>
    <row r="4832" spans="2:4" x14ac:dyDescent="0.25">
      <c r="B4832" t="s">
        <v>1102</v>
      </c>
      <c r="C4832">
        <v>33</v>
      </c>
      <c r="D4832">
        <v>14</v>
      </c>
    </row>
    <row r="4833" spans="2:4" x14ac:dyDescent="0.25">
      <c r="B4833" t="s">
        <v>1102</v>
      </c>
      <c r="C4833">
        <v>35</v>
      </c>
      <c r="D4833">
        <v>6</v>
      </c>
    </row>
    <row r="4834" spans="2:4" x14ac:dyDescent="0.25">
      <c r="B4834" t="s">
        <v>1102</v>
      </c>
      <c r="C4834">
        <v>35</v>
      </c>
      <c r="D4834">
        <v>8</v>
      </c>
    </row>
    <row r="4835" spans="2:4" x14ac:dyDescent="0.25">
      <c r="B4835" t="s">
        <v>1102</v>
      </c>
      <c r="C4835">
        <v>35</v>
      </c>
      <c r="D4835">
        <v>13</v>
      </c>
    </row>
    <row r="4836" spans="2:4" x14ac:dyDescent="0.25">
      <c r="B4836" t="s">
        <v>1102</v>
      </c>
      <c r="C4836">
        <v>35</v>
      </c>
      <c r="D4836">
        <v>14</v>
      </c>
    </row>
    <row r="4837" spans="2:4" x14ac:dyDescent="0.25">
      <c r="B4837" t="s">
        <v>1102</v>
      </c>
      <c r="C4837">
        <v>36</v>
      </c>
      <c r="D4837">
        <v>6</v>
      </c>
    </row>
    <row r="4838" spans="2:4" x14ac:dyDescent="0.25">
      <c r="B4838" t="s">
        <v>1102</v>
      </c>
      <c r="C4838">
        <v>36</v>
      </c>
      <c r="D4838">
        <v>8</v>
      </c>
    </row>
    <row r="4839" spans="2:4" x14ac:dyDescent="0.25">
      <c r="B4839" t="s">
        <v>1102</v>
      </c>
      <c r="C4839">
        <v>36</v>
      </c>
      <c r="D4839">
        <v>13</v>
      </c>
    </row>
    <row r="4840" spans="2:4" x14ac:dyDescent="0.25">
      <c r="B4840" t="s">
        <v>1102</v>
      </c>
      <c r="C4840">
        <v>36</v>
      </c>
      <c r="D4840">
        <v>14</v>
      </c>
    </row>
    <row r="4841" spans="2:4" x14ac:dyDescent="0.25">
      <c r="B4841" t="s">
        <v>1102</v>
      </c>
      <c r="C4841">
        <v>37</v>
      </c>
      <c r="D4841">
        <v>6</v>
      </c>
    </row>
    <row r="4842" spans="2:4" x14ac:dyDescent="0.25">
      <c r="B4842" t="s">
        <v>1102</v>
      </c>
      <c r="C4842">
        <v>37</v>
      </c>
      <c r="D4842">
        <v>8</v>
      </c>
    </row>
    <row r="4843" spans="2:4" x14ac:dyDescent="0.25">
      <c r="B4843" t="s">
        <v>1102</v>
      </c>
      <c r="C4843">
        <v>37</v>
      </c>
      <c r="D4843">
        <v>13</v>
      </c>
    </row>
    <row r="4844" spans="2:4" x14ac:dyDescent="0.25">
      <c r="B4844" t="s">
        <v>1102</v>
      </c>
      <c r="C4844">
        <v>37</v>
      </c>
      <c r="D4844">
        <v>14</v>
      </c>
    </row>
    <row r="4845" spans="2:4" x14ac:dyDescent="0.25">
      <c r="B4845" t="s">
        <v>1102</v>
      </c>
      <c r="C4845">
        <v>38</v>
      </c>
      <c r="D4845">
        <v>6</v>
      </c>
    </row>
    <row r="4846" spans="2:4" x14ac:dyDescent="0.25">
      <c r="B4846" t="s">
        <v>1102</v>
      </c>
      <c r="C4846">
        <v>38</v>
      </c>
      <c r="D4846">
        <v>8</v>
      </c>
    </row>
    <row r="4847" spans="2:4" x14ac:dyDescent="0.25">
      <c r="B4847" t="s">
        <v>1102</v>
      </c>
      <c r="C4847">
        <v>38</v>
      </c>
      <c r="D4847">
        <v>13</v>
      </c>
    </row>
    <row r="4848" spans="2:4" x14ac:dyDescent="0.25">
      <c r="B4848" t="s">
        <v>1102</v>
      </c>
      <c r="C4848">
        <v>38</v>
      </c>
      <c r="D4848">
        <v>14</v>
      </c>
    </row>
    <row r="4849" spans="2:4" x14ac:dyDescent="0.25">
      <c r="B4849" t="s">
        <v>1102</v>
      </c>
      <c r="C4849">
        <v>39</v>
      </c>
      <c r="D4849">
        <v>6</v>
      </c>
    </row>
    <row r="4850" spans="2:4" x14ac:dyDescent="0.25">
      <c r="B4850" t="s">
        <v>1102</v>
      </c>
      <c r="C4850">
        <v>39</v>
      </c>
      <c r="D4850">
        <v>8</v>
      </c>
    </row>
    <row r="4851" spans="2:4" x14ac:dyDescent="0.25">
      <c r="B4851" t="s">
        <v>1102</v>
      </c>
      <c r="C4851">
        <v>39</v>
      </c>
      <c r="D4851">
        <v>13</v>
      </c>
    </row>
    <row r="4852" spans="2:4" x14ac:dyDescent="0.25">
      <c r="B4852" t="s">
        <v>1102</v>
      </c>
      <c r="C4852">
        <v>39</v>
      </c>
      <c r="D4852">
        <v>14</v>
      </c>
    </row>
    <row r="4853" spans="2:4" x14ac:dyDescent="0.25">
      <c r="B4853" t="s">
        <v>1102</v>
      </c>
      <c r="C4853">
        <v>40</v>
      </c>
      <c r="D4853">
        <v>6</v>
      </c>
    </row>
    <row r="4854" spans="2:4" x14ac:dyDescent="0.25">
      <c r="B4854" t="s">
        <v>1102</v>
      </c>
      <c r="C4854">
        <v>40</v>
      </c>
      <c r="D4854">
        <v>8</v>
      </c>
    </row>
    <row r="4855" spans="2:4" x14ac:dyDescent="0.25">
      <c r="B4855" t="s">
        <v>1102</v>
      </c>
      <c r="C4855">
        <v>40</v>
      </c>
      <c r="D4855">
        <v>13</v>
      </c>
    </row>
    <row r="4856" spans="2:4" x14ac:dyDescent="0.25">
      <c r="B4856" t="s">
        <v>1102</v>
      </c>
      <c r="C4856">
        <v>40</v>
      </c>
      <c r="D4856">
        <v>14</v>
      </c>
    </row>
    <row r="4857" spans="2:4" x14ac:dyDescent="0.25">
      <c r="B4857" t="s">
        <v>1102</v>
      </c>
      <c r="C4857">
        <v>42</v>
      </c>
      <c r="D4857">
        <v>6</v>
      </c>
    </row>
    <row r="4858" spans="2:4" x14ac:dyDescent="0.25">
      <c r="B4858" t="s">
        <v>1102</v>
      </c>
      <c r="C4858">
        <v>42</v>
      </c>
      <c r="D4858">
        <v>8</v>
      </c>
    </row>
    <row r="4859" spans="2:4" x14ac:dyDescent="0.25">
      <c r="B4859" t="s">
        <v>1102</v>
      </c>
      <c r="C4859">
        <v>42</v>
      </c>
      <c r="D4859">
        <v>13</v>
      </c>
    </row>
    <row r="4860" spans="2:4" x14ac:dyDescent="0.25">
      <c r="B4860" t="s">
        <v>1102</v>
      </c>
      <c r="C4860">
        <v>42</v>
      </c>
      <c r="D4860">
        <v>14</v>
      </c>
    </row>
    <row r="4861" spans="2:4" x14ac:dyDescent="0.25">
      <c r="B4861" t="s">
        <v>1102</v>
      </c>
      <c r="C4861">
        <v>44</v>
      </c>
      <c r="D4861">
        <v>6</v>
      </c>
    </row>
    <row r="4862" spans="2:4" x14ac:dyDescent="0.25">
      <c r="B4862" t="s">
        <v>1102</v>
      </c>
      <c r="C4862">
        <v>44</v>
      </c>
      <c r="D4862">
        <v>8</v>
      </c>
    </row>
    <row r="4863" spans="2:4" x14ac:dyDescent="0.25">
      <c r="B4863" t="s">
        <v>1102</v>
      </c>
      <c r="C4863">
        <v>44</v>
      </c>
      <c r="D4863">
        <v>13</v>
      </c>
    </row>
    <row r="4864" spans="2:4" x14ac:dyDescent="0.25">
      <c r="B4864" t="s">
        <v>1102</v>
      </c>
      <c r="C4864">
        <v>44</v>
      </c>
      <c r="D4864">
        <v>14</v>
      </c>
    </row>
    <row r="4865" spans="2:4" x14ac:dyDescent="0.25">
      <c r="B4865" t="s">
        <v>1102</v>
      </c>
      <c r="C4865">
        <v>45</v>
      </c>
      <c r="D4865">
        <v>6</v>
      </c>
    </row>
    <row r="4866" spans="2:4" x14ac:dyDescent="0.25">
      <c r="B4866" t="s">
        <v>1102</v>
      </c>
      <c r="C4866">
        <v>45</v>
      </c>
      <c r="D4866">
        <v>8</v>
      </c>
    </row>
    <row r="4867" spans="2:4" x14ac:dyDescent="0.25">
      <c r="B4867" t="s">
        <v>1102</v>
      </c>
      <c r="C4867">
        <v>45</v>
      </c>
      <c r="D4867">
        <v>13</v>
      </c>
    </row>
    <row r="4868" spans="2:4" x14ac:dyDescent="0.25">
      <c r="B4868" t="s">
        <v>1102</v>
      </c>
      <c r="C4868">
        <v>45</v>
      </c>
      <c r="D4868">
        <v>14</v>
      </c>
    </row>
    <row r="4869" spans="2:4" x14ac:dyDescent="0.25">
      <c r="B4869" t="s">
        <v>1102</v>
      </c>
      <c r="C4869">
        <v>46</v>
      </c>
      <c r="D4869">
        <v>6</v>
      </c>
    </row>
    <row r="4870" spans="2:4" x14ac:dyDescent="0.25">
      <c r="B4870" t="s">
        <v>1102</v>
      </c>
      <c r="C4870">
        <v>46</v>
      </c>
      <c r="D4870">
        <v>8</v>
      </c>
    </row>
    <row r="4871" spans="2:4" x14ac:dyDescent="0.25">
      <c r="B4871" t="s">
        <v>1102</v>
      </c>
      <c r="C4871">
        <v>46</v>
      </c>
      <c r="D4871">
        <v>13</v>
      </c>
    </row>
    <row r="4872" spans="2:4" x14ac:dyDescent="0.25">
      <c r="B4872" t="s">
        <v>1102</v>
      </c>
      <c r="C4872">
        <v>46</v>
      </c>
      <c r="D4872">
        <v>14</v>
      </c>
    </row>
    <row r="4873" spans="2:4" x14ac:dyDescent="0.25">
      <c r="B4873" t="s">
        <v>1102</v>
      </c>
      <c r="C4873">
        <v>47</v>
      </c>
      <c r="D4873">
        <v>6</v>
      </c>
    </row>
    <row r="4874" spans="2:4" x14ac:dyDescent="0.25">
      <c r="B4874" t="s">
        <v>1102</v>
      </c>
      <c r="C4874">
        <v>47</v>
      </c>
      <c r="D4874">
        <v>8</v>
      </c>
    </row>
    <row r="4875" spans="2:4" x14ac:dyDescent="0.25">
      <c r="B4875" t="s">
        <v>1102</v>
      </c>
      <c r="C4875">
        <v>47</v>
      </c>
      <c r="D4875">
        <v>13</v>
      </c>
    </row>
    <row r="4876" spans="2:4" x14ac:dyDescent="0.25">
      <c r="B4876" t="s">
        <v>1102</v>
      </c>
      <c r="C4876">
        <v>47</v>
      </c>
      <c r="D4876">
        <v>14</v>
      </c>
    </row>
    <row r="4877" spans="2:4" x14ac:dyDescent="0.25">
      <c r="B4877" t="s">
        <v>1102</v>
      </c>
      <c r="C4877">
        <v>48</v>
      </c>
      <c r="D4877">
        <v>6</v>
      </c>
    </row>
    <row r="4878" spans="2:4" x14ac:dyDescent="0.25">
      <c r="B4878" t="s">
        <v>1102</v>
      </c>
      <c r="C4878">
        <v>48</v>
      </c>
      <c r="D4878">
        <v>8</v>
      </c>
    </row>
    <row r="4879" spans="2:4" x14ac:dyDescent="0.25">
      <c r="B4879" t="s">
        <v>1102</v>
      </c>
      <c r="C4879">
        <v>48</v>
      </c>
      <c r="D4879">
        <v>13</v>
      </c>
    </row>
    <row r="4880" spans="2:4" x14ac:dyDescent="0.25">
      <c r="B4880" t="s">
        <v>1102</v>
      </c>
      <c r="C4880">
        <v>48</v>
      </c>
      <c r="D4880">
        <v>14</v>
      </c>
    </row>
    <row r="4881" spans="2:4" x14ac:dyDescent="0.25">
      <c r="B4881" t="s">
        <v>1102</v>
      </c>
      <c r="C4881">
        <v>49</v>
      </c>
      <c r="D4881">
        <v>6</v>
      </c>
    </row>
    <row r="4882" spans="2:4" x14ac:dyDescent="0.25">
      <c r="B4882" t="s">
        <v>1102</v>
      </c>
      <c r="C4882">
        <v>49</v>
      </c>
      <c r="D4882">
        <v>8</v>
      </c>
    </row>
    <row r="4883" spans="2:4" x14ac:dyDescent="0.25">
      <c r="B4883" t="s">
        <v>1102</v>
      </c>
      <c r="C4883">
        <v>49</v>
      </c>
      <c r="D4883">
        <v>13</v>
      </c>
    </row>
    <row r="4884" spans="2:4" x14ac:dyDescent="0.25">
      <c r="B4884" t="s">
        <v>1102</v>
      </c>
      <c r="C4884">
        <v>49</v>
      </c>
      <c r="D4884">
        <v>14</v>
      </c>
    </row>
    <row r="4885" spans="2:4" x14ac:dyDescent="0.25">
      <c r="B4885" t="s">
        <v>1102</v>
      </c>
      <c r="C4885">
        <v>50</v>
      </c>
      <c r="D4885">
        <v>6</v>
      </c>
    </row>
    <row r="4886" spans="2:4" x14ac:dyDescent="0.25">
      <c r="B4886" t="s">
        <v>1102</v>
      </c>
      <c r="C4886">
        <v>50</v>
      </c>
      <c r="D4886">
        <v>8</v>
      </c>
    </row>
    <row r="4887" spans="2:4" x14ac:dyDescent="0.25">
      <c r="B4887" t="s">
        <v>1102</v>
      </c>
      <c r="C4887">
        <v>50</v>
      </c>
      <c r="D4887">
        <v>13</v>
      </c>
    </row>
    <row r="4888" spans="2:4" x14ac:dyDescent="0.25">
      <c r="B4888" t="s">
        <v>1102</v>
      </c>
      <c r="C4888">
        <v>50</v>
      </c>
      <c r="D4888">
        <v>14</v>
      </c>
    </row>
    <row r="4889" spans="2:4" x14ac:dyDescent="0.25">
      <c r="B4889" t="s">
        <v>1102</v>
      </c>
      <c r="C4889">
        <v>51</v>
      </c>
      <c r="D4889">
        <v>6</v>
      </c>
    </row>
    <row r="4890" spans="2:4" x14ac:dyDescent="0.25">
      <c r="B4890" t="s">
        <v>1102</v>
      </c>
      <c r="C4890">
        <v>51</v>
      </c>
      <c r="D4890">
        <v>8</v>
      </c>
    </row>
    <row r="4891" spans="2:4" x14ac:dyDescent="0.25">
      <c r="B4891" t="s">
        <v>1102</v>
      </c>
      <c r="C4891">
        <v>51</v>
      </c>
      <c r="D4891">
        <v>13</v>
      </c>
    </row>
    <row r="4892" spans="2:4" x14ac:dyDescent="0.25">
      <c r="B4892" t="s">
        <v>1102</v>
      </c>
      <c r="C4892">
        <v>51</v>
      </c>
      <c r="D4892">
        <v>14</v>
      </c>
    </row>
    <row r="4893" spans="2:4" x14ac:dyDescent="0.25">
      <c r="B4893" t="s">
        <v>1102</v>
      </c>
      <c r="C4893">
        <v>52</v>
      </c>
      <c r="D4893">
        <v>6</v>
      </c>
    </row>
    <row r="4894" spans="2:4" x14ac:dyDescent="0.25">
      <c r="B4894" t="s">
        <v>1102</v>
      </c>
      <c r="C4894">
        <v>52</v>
      </c>
      <c r="D4894">
        <v>8</v>
      </c>
    </row>
    <row r="4895" spans="2:4" x14ac:dyDescent="0.25">
      <c r="B4895" t="s">
        <v>1102</v>
      </c>
      <c r="C4895">
        <v>52</v>
      </c>
      <c r="D4895">
        <v>13</v>
      </c>
    </row>
    <row r="4896" spans="2:4" x14ac:dyDescent="0.25">
      <c r="B4896" t="s">
        <v>1102</v>
      </c>
      <c r="C4896">
        <v>52</v>
      </c>
      <c r="D4896">
        <v>14</v>
      </c>
    </row>
    <row r="4897" spans="2:4" x14ac:dyDescent="0.25">
      <c r="B4897" t="s">
        <v>1102</v>
      </c>
      <c r="C4897">
        <v>53</v>
      </c>
      <c r="D4897">
        <v>6</v>
      </c>
    </row>
    <row r="4898" spans="2:4" x14ac:dyDescent="0.25">
      <c r="B4898" t="s">
        <v>1102</v>
      </c>
      <c r="C4898">
        <v>53</v>
      </c>
      <c r="D4898">
        <v>8</v>
      </c>
    </row>
    <row r="4899" spans="2:4" x14ac:dyDescent="0.25">
      <c r="B4899" t="s">
        <v>1102</v>
      </c>
      <c r="C4899">
        <v>53</v>
      </c>
      <c r="D4899">
        <v>13</v>
      </c>
    </row>
    <row r="4900" spans="2:4" x14ac:dyDescent="0.25">
      <c r="B4900" t="s">
        <v>1102</v>
      </c>
      <c r="C4900">
        <v>53</v>
      </c>
      <c r="D4900">
        <v>14</v>
      </c>
    </row>
    <row r="4901" spans="2:4" x14ac:dyDescent="0.25">
      <c r="B4901" t="s">
        <v>1102</v>
      </c>
      <c r="C4901">
        <v>56</v>
      </c>
      <c r="D4901">
        <v>6</v>
      </c>
    </row>
    <row r="4902" spans="2:4" x14ac:dyDescent="0.25">
      <c r="B4902" t="s">
        <v>1102</v>
      </c>
      <c r="C4902">
        <v>56</v>
      </c>
      <c r="D4902">
        <v>8</v>
      </c>
    </row>
    <row r="4903" spans="2:4" x14ac:dyDescent="0.25">
      <c r="B4903" t="s">
        <v>1102</v>
      </c>
      <c r="C4903">
        <v>56</v>
      </c>
      <c r="D4903">
        <v>13</v>
      </c>
    </row>
    <row r="4904" spans="2:4" x14ac:dyDescent="0.25">
      <c r="B4904" t="s">
        <v>1102</v>
      </c>
      <c r="C4904">
        <v>56</v>
      </c>
      <c r="D4904">
        <v>14</v>
      </c>
    </row>
    <row r="4905" spans="2:4" x14ac:dyDescent="0.25">
      <c r="B4905" t="s">
        <v>1102</v>
      </c>
      <c r="C4905">
        <v>57</v>
      </c>
      <c r="D4905">
        <v>6</v>
      </c>
    </row>
    <row r="4906" spans="2:4" x14ac:dyDescent="0.25">
      <c r="B4906" t="s">
        <v>1102</v>
      </c>
      <c r="C4906">
        <v>57</v>
      </c>
      <c r="D4906">
        <v>8</v>
      </c>
    </row>
    <row r="4907" spans="2:4" x14ac:dyDescent="0.25">
      <c r="B4907" t="s">
        <v>1102</v>
      </c>
      <c r="C4907">
        <v>57</v>
      </c>
      <c r="D4907">
        <v>13</v>
      </c>
    </row>
    <row r="4908" spans="2:4" x14ac:dyDescent="0.25">
      <c r="B4908" t="s">
        <v>1102</v>
      </c>
      <c r="C4908">
        <v>57</v>
      </c>
      <c r="D4908">
        <v>14</v>
      </c>
    </row>
    <row r="4909" spans="2:4" x14ac:dyDescent="0.25">
      <c r="B4909" t="s">
        <v>1102</v>
      </c>
      <c r="C4909">
        <v>58</v>
      </c>
      <c r="D4909">
        <v>6</v>
      </c>
    </row>
    <row r="4910" spans="2:4" x14ac:dyDescent="0.25">
      <c r="B4910" t="s">
        <v>1102</v>
      </c>
      <c r="C4910">
        <v>58</v>
      </c>
      <c r="D4910">
        <v>8</v>
      </c>
    </row>
    <row r="4911" spans="2:4" x14ac:dyDescent="0.25">
      <c r="B4911" t="s">
        <v>1102</v>
      </c>
      <c r="C4911">
        <v>58</v>
      </c>
      <c r="D4911">
        <v>13</v>
      </c>
    </row>
    <row r="4912" spans="2:4" x14ac:dyDescent="0.25">
      <c r="B4912" t="s">
        <v>1102</v>
      </c>
      <c r="C4912">
        <v>58</v>
      </c>
      <c r="D4912">
        <v>14</v>
      </c>
    </row>
    <row r="4913" spans="2:4" x14ac:dyDescent="0.25">
      <c r="B4913" t="s">
        <v>1102</v>
      </c>
      <c r="C4913">
        <v>60</v>
      </c>
      <c r="D4913">
        <v>6</v>
      </c>
    </row>
    <row r="4914" spans="2:4" x14ac:dyDescent="0.25">
      <c r="B4914" t="s">
        <v>1102</v>
      </c>
      <c r="C4914">
        <v>60</v>
      </c>
      <c r="D4914">
        <v>8</v>
      </c>
    </row>
    <row r="4915" spans="2:4" x14ac:dyDescent="0.25">
      <c r="B4915" t="s">
        <v>1102</v>
      </c>
      <c r="C4915">
        <v>60</v>
      </c>
      <c r="D4915">
        <v>13</v>
      </c>
    </row>
    <row r="4916" spans="2:4" x14ac:dyDescent="0.25">
      <c r="B4916" t="s">
        <v>1102</v>
      </c>
      <c r="C4916">
        <v>60</v>
      </c>
      <c r="D4916">
        <v>14</v>
      </c>
    </row>
    <row r="4917" spans="2:4" x14ac:dyDescent="0.25">
      <c r="B4917" t="s">
        <v>1102</v>
      </c>
      <c r="C4917">
        <v>61</v>
      </c>
      <c r="D4917">
        <v>6</v>
      </c>
    </row>
    <row r="4918" spans="2:4" x14ac:dyDescent="0.25">
      <c r="B4918" t="s">
        <v>1102</v>
      </c>
      <c r="C4918">
        <v>61</v>
      </c>
      <c r="D4918">
        <v>8</v>
      </c>
    </row>
    <row r="4919" spans="2:4" x14ac:dyDescent="0.25">
      <c r="B4919" t="s">
        <v>1102</v>
      </c>
      <c r="C4919">
        <v>61</v>
      </c>
      <c r="D4919">
        <v>13</v>
      </c>
    </row>
    <row r="4920" spans="2:4" x14ac:dyDescent="0.25">
      <c r="B4920" t="s">
        <v>1102</v>
      </c>
      <c r="C4920">
        <v>61</v>
      </c>
      <c r="D4920">
        <v>14</v>
      </c>
    </row>
    <row r="4921" spans="2:4" x14ac:dyDescent="0.25">
      <c r="B4921" t="s">
        <v>1102</v>
      </c>
      <c r="C4921">
        <v>62</v>
      </c>
      <c r="D4921">
        <v>6</v>
      </c>
    </row>
    <row r="4922" spans="2:4" x14ac:dyDescent="0.25">
      <c r="B4922" t="s">
        <v>1102</v>
      </c>
      <c r="C4922">
        <v>62</v>
      </c>
      <c r="D4922">
        <v>8</v>
      </c>
    </row>
    <row r="4923" spans="2:4" x14ac:dyDescent="0.25">
      <c r="B4923" t="s">
        <v>1102</v>
      </c>
      <c r="C4923">
        <v>62</v>
      </c>
      <c r="D4923">
        <v>13</v>
      </c>
    </row>
    <row r="4924" spans="2:4" x14ac:dyDescent="0.25">
      <c r="B4924" t="s">
        <v>1102</v>
      </c>
      <c r="C4924">
        <v>62</v>
      </c>
      <c r="D4924">
        <v>14</v>
      </c>
    </row>
    <row r="4925" spans="2:4" x14ac:dyDescent="0.25">
      <c r="B4925" t="s">
        <v>1102</v>
      </c>
      <c r="C4925">
        <v>64</v>
      </c>
      <c r="D4925">
        <v>6</v>
      </c>
    </row>
    <row r="4926" spans="2:4" x14ac:dyDescent="0.25">
      <c r="B4926" t="s">
        <v>1102</v>
      </c>
      <c r="C4926">
        <v>64</v>
      </c>
      <c r="D4926">
        <v>8</v>
      </c>
    </row>
    <row r="4927" spans="2:4" x14ac:dyDescent="0.25">
      <c r="B4927" t="s">
        <v>1102</v>
      </c>
      <c r="C4927">
        <v>64</v>
      </c>
      <c r="D4927">
        <v>13</v>
      </c>
    </row>
    <row r="4928" spans="2:4" x14ac:dyDescent="0.25">
      <c r="B4928" t="s">
        <v>1102</v>
      </c>
      <c r="C4928">
        <v>64</v>
      </c>
      <c r="D4928">
        <v>14</v>
      </c>
    </row>
    <row r="4929" spans="2:4" x14ac:dyDescent="0.25">
      <c r="B4929" t="s">
        <v>1102</v>
      </c>
      <c r="C4929">
        <v>65</v>
      </c>
      <c r="D4929">
        <v>6</v>
      </c>
    </row>
    <row r="4930" spans="2:4" x14ac:dyDescent="0.25">
      <c r="B4930" t="s">
        <v>1102</v>
      </c>
      <c r="C4930">
        <v>65</v>
      </c>
      <c r="D4930">
        <v>8</v>
      </c>
    </row>
    <row r="4931" spans="2:4" x14ac:dyDescent="0.25">
      <c r="B4931" t="s">
        <v>1102</v>
      </c>
      <c r="C4931">
        <v>65</v>
      </c>
      <c r="D4931">
        <v>13</v>
      </c>
    </row>
    <row r="4932" spans="2:4" x14ac:dyDescent="0.25">
      <c r="B4932" t="s">
        <v>1102</v>
      </c>
      <c r="C4932">
        <v>65</v>
      </c>
      <c r="D4932">
        <v>14</v>
      </c>
    </row>
    <row r="4933" spans="2:4" x14ac:dyDescent="0.25">
      <c r="B4933" t="s">
        <v>1102</v>
      </c>
      <c r="C4933">
        <v>66</v>
      </c>
      <c r="D4933">
        <v>6</v>
      </c>
    </row>
    <row r="4934" spans="2:4" x14ac:dyDescent="0.25">
      <c r="B4934" t="s">
        <v>1102</v>
      </c>
      <c r="C4934">
        <v>66</v>
      </c>
      <c r="D4934">
        <v>8</v>
      </c>
    </row>
    <row r="4935" spans="2:4" x14ac:dyDescent="0.25">
      <c r="B4935" t="s">
        <v>1102</v>
      </c>
      <c r="C4935">
        <v>66</v>
      </c>
      <c r="D4935">
        <v>13</v>
      </c>
    </row>
    <row r="4936" spans="2:4" x14ac:dyDescent="0.25">
      <c r="B4936" t="s">
        <v>1102</v>
      </c>
      <c r="C4936">
        <v>66</v>
      </c>
      <c r="D4936">
        <v>14</v>
      </c>
    </row>
    <row r="4937" spans="2:4" x14ac:dyDescent="0.25">
      <c r="B4937" t="s">
        <v>1102</v>
      </c>
      <c r="C4937">
        <v>67</v>
      </c>
      <c r="D4937">
        <v>6</v>
      </c>
    </row>
    <row r="4938" spans="2:4" x14ac:dyDescent="0.25">
      <c r="B4938" t="s">
        <v>1102</v>
      </c>
      <c r="C4938">
        <v>67</v>
      </c>
      <c r="D4938">
        <v>8</v>
      </c>
    </row>
    <row r="4939" spans="2:4" x14ac:dyDescent="0.25">
      <c r="B4939" t="s">
        <v>1102</v>
      </c>
      <c r="C4939">
        <v>67</v>
      </c>
      <c r="D4939">
        <v>13</v>
      </c>
    </row>
    <row r="4940" spans="2:4" x14ac:dyDescent="0.25">
      <c r="B4940" t="s">
        <v>1102</v>
      </c>
      <c r="C4940">
        <v>67</v>
      </c>
      <c r="D4940">
        <v>14</v>
      </c>
    </row>
    <row r="4941" spans="2:4" x14ac:dyDescent="0.25">
      <c r="B4941" t="s">
        <v>1102</v>
      </c>
      <c r="C4941">
        <v>69</v>
      </c>
      <c r="D4941">
        <v>6</v>
      </c>
    </row>
    <row r="4942" spans="2:4" x14ac:dyDescent="0.25">
      <c r="B4942" t="s">
        <v>1102</v>
      </c>
      <c r="C4942">
        <v>69</v>
      </c>
      <c r="D4942">
        <v>8</v>
      </c>
    </row>
    <row r="4943" spans="2:4" x14ac:dyDescent="0.25">
      <c r="B4943" t="s">
        <v>1102</v>
      </c>
      <c r="C4943">
        <v>69</v>
      </c>
      <c r="D4943">
        <v>13</v>
      </c>
    </row>
    <row r="4944" spans="2:4" x14ac:dyDescent="0.25">
      <c r="B4944" t="s">
        <v>1102</v>
      </c>
      <c r="C4944">
        <v>69</v>
      </c>
      <c r="D4944">
        <v>14</v>
      </c>
    </row>
    <row r="4945" spans="2:4" x14ac:dyDescent="0.25">
      <c r="B4945" t="s">
        <v>1102</v>
      </c>
      <c r="C4945">
        <v>70</v>
      </c>
      <c r="D4945">
        <v>6</v>
      </c>
    </row>
    <row r="4946" spans="2:4" x14ac:dyDescent="0.25">
      <c r="B4946" t="s">
        <v>1102</v>
      </c>
      <c r="C4946">
        <v>70</v>
      </c>
      <c r="D4946">
        <v>8</v>
      </c>
    </row>
    <row r="4947" spans="2:4" x14ac:dyDescent="0.25">
      <c r="B4947" t="s">
        <v>1102</v>
      </c>
      <c r="C4947">
        <v>70</v>
      </c>
      <c r="D4947">
        <v>13</v>
      </c>
    </row>
    <row r="4948" spans="2:4" x14ac:dyDescent="0.25">
      <c r="B4948" t="s">
        <v>1102</v>
      </c>
      <c r="C4948">
        <v>70</v>
      </c>
      <c r="D4948">
        <v>14</v>
      </c>
    </row>
    <row r="4949" spans="2:4" x14ac:dyDescent="0.25">
      <c r="B4949" t="s">
        <v>1102</v>
      </c>
      <c r="C4949">
        <v>71</v>
      </c>
      <c r="D4949">
        <v>6</v>
      </c>
    </row>
    <row r="4950" spans="2:4" x14ac:dyDescent="0.25">
      <c r="B4950" t="s">
        <v>1102</v>
      </c>
      <c r="C4950">
        <v>71</v>
      </c>
      <c r="D4950">
        <v>8</v>
      </c>
    </row>
    <row r="4951" spans="2:4" x14ac:dyDescent="0.25">
      <c r="B4951" t="s">
        <v>1102</v>
      </c>
      <c r="C4951">
        <v>71</v>
      </c>
      <c r="D4951">
        <v>13</v>
      </c>
    </row>
    <row r="4952" spans="2:4" x14ac:dyDescent="0.25">
      <c r="B4952" t="s">
        <v>1102</v>
      </c>
      <c r="C4952">
        <v>71</v>
      </c>
      <c r="D4952">
        <v>14</v>
      </c>
    </row>
    <row r="4953" spans="2:4" x14ac:dyDescent="0.25">
      <c r="B4953" t="s">
        <v>1102</v>
      </c>
      <c r="C4953">
        <v>72</v>
      </c>
      <c r="D4953">
        <v>6</v>
      </c>
    </row>
    <row r="4954" spans="2:4" x14ac:dyDescent="0.25">
      <c r="B4954" t="s">
        <v>1102</v>
      </c>
      <c r="C4954">
        <v>72</v>
      </c>
      <c r="D4954">
        <v>8</v>
      </c>
    </row>
    <row r="4955" spans="2:4" x14ac:dyDescent="0.25">
      <c r="B4955" t="s">
        <v>1102</v>
      </c>
      <c r="C4955">
        <v>72</v>
      </c>
      <c r="D4955">
        <v>13</v>
      </c>
    </row>
    <row r="4956" spans="2:4" x14ac:dyDescent="0.25">
      <c r="B4956" t="s">
        <v>1102</v>
      </c>
      <c r="C4956">
        <v>72</v>
      </c>
      <c r="D4956">
        <v>14</v>
      </c>
    </row>
    <row r="4957" spans="2:4" x14ac:dyDescent="0.25">
      <c r="B4957" t="s">
        <v>1102</v>
      </c>
      <c r="C4957">
        <v>73</v>
      </c>
      <c r="D4957">
        <v>6</v>
      </c>
    </row>
    <row r="4958" spans="2:4" x14ac:dyDescent="0.25">
      <c r="B4958" t="s">
        <v>1102</v>
      </c>
      <c r="C4958">
        <v>73</v>
      </c>
      <c r="D4958">
        <v>8</v>
      </c>
    </row>
    <row r="4959" spans="2:4" x14ac:dyDescent="0.25">
      <c r="B4959" t="s">
        <v>1102</v>
      </c>
      <c r="C4959">
        <v>73</v>
      </c>
      <c r="D4959">
        <v>13</v>
      </c>
    </row>
    <row r="4960" spans="2:4" x14ac:dyDescent="0.25">
      <c r="B4960" t="s">
        <v>1102</v>
      </c>
      <c r="C4960">
        <v>73</v>
      </c>
      <c r="D4960">
        <v>14</v>
      </c>
    </row>
    <row r="4961" spans="2:4" x14ac:dyDescent="0.25">
      <c r="B4961" t="s">
        <v>1102</v>
      </c>
      <c r="C4961">
        <v>74</v>
      </c>
      <c r="D4961">
        <v>6</v>
      </c>
    </row>
    <row r="4962" spans="2:4" x14ac:dyDescent="0.25">
      <c r="B4962" t="s">
        <v>1102</v>
      </c>
      <c r="C4962">
        <v>74</v>
      </c>
      <c r="D4962">
        <v>8</v>
      </c>
    </row>
    <row r="4963" spans="2:4" x14ac:dyDescent="0.25">
      <c r="B4963" t="s">
        <v>1102</v>
      </c>
      <c r="C4963">
        <v>74</v>
      </c>
      <c r="D4963">
        <v>13</v>
      </c>
    </row>
    <row r="4964" spans="2:4" x14ac:dyDescent="0.25">
      <c r="B4964" t="s">
        <v>1102</v>
      </c>
      <c r="C4964">
        <v>74</v>
      </c>
      <c r="D4964">
        <v>14</v>
      </c>
    </row>
    <row r="4965" spans="2:4" x14ac:dyDescent="0.25">
      <c r="B4965" t="s">
        <v>1102</v>
      </c>
      <c r="C4965">
        <v>77</v>
      </c>
      <c r="D4965">
        <v>6</v>
      </c>
    </row>
    <row r="4966" spans="2:4" x14ac:dyDescent="0.25">
      <c r="B4966" t="s">
        <v>1102</v>
      </c>
      <c r="C4966">
        <v>77</v>
      </c>
      <c r="D4966">
        <v>8</v>
      </c>
    </row>
    <row r="4967" spans="2:4" x14ac:dyDescent="0.25">
      <c r="B4967" t="s">
        <v>1102</v>
      </c>
      <c r="C4967">
        <v>77</v>
      </c>
      <c r="D4967">
        <v>13</v>
      </c>
    </row>
    <row r="4968" spans="2:4" x14ac:dyDescent="0.25">
      <c r="B4968" t="s">
        <v>1102</v>
      </c>
      <c r="C4968">
        <v>77</v>
      </c>
      <c r="D4968">
        <v>14</v>
      </c>
    </row>
    <row r="4969" spans="2:4" x14ac:dyDescent="0.25">
      <c r="B4969" t="s">
        <v>1102</v>
      </c>
      <c r="C4969">
        <v>78</v>
      </c>
      <c r="D4969">
        <v>6</v>
      </c>
    </row>
    <row r="4970" spans="2:4" x14ac:dyDescent="0.25">
      <c r="B4970" t="s">
        <v>1102</v>
      </c>
      <c r="C4970">
        <v>78</v>
      </c>
      <c r="D4970">
        <v>8</v>
      </c>
    </row>
    <row r="4971" spans="2:4" x14ac:dyDescent="0.25">
      <c r="B4971" t="s">
        <v>1102</v>
      </c>
      <c r="C4971">
        <v>78</v>
      </c>
      <c r="D4971">
        <v>13</v>
      </c>
    </row>
    <row r="4972" spans="2:4" x14ac:dyDescent="0.25">
      <c r="B4972" t="s">
        <v>1102</v>
      </c>
      <c r="C4972">
        <v>78</v>
      </c>
      <c r="D4972">
        <v>14</v>
      </c>
    </row>
    <row r="4973" spans="2:4" x14ac:dyDescent="0.25">
      <c r="B4973" t="s">
        <v>1102</v>
      </c>
      <c r="C4973">
        <v>79</v>
      </c>
      <c r="D4973">
        <v>6</v>
      </c>
    </row>
    <row r="4974" spans="2:4" x14ac:dyDescent="0.25">
      <c r="B4974" t="s">
        <v>1102</v>
      </c>
      <c r="C4974">
        <v>79</v>
      </c>
      <c r="D4974">
        <v>8</v>
      </c>
    </row>
    <row r="4975" spans="2:4" x14ac:dyDescent="0.25">
      <c r="B4975" t="s">
        <v>1102</v>
      </c>
      <c r="C4975">
        <v>79</v>
      </c>
      <c r="D4975">
        <v>13</v>
      </c>
    </row>
    <row r="4976" spans="2:4" x14ac:dyDescent="0.25">
      <c r="B4976" t="s">
        <v>1102</v>
      </c>
      <c r="C4976">
        <v>79</v>
      </c>
      <c r="D4976">
        <v>14</v>
      </c>
    </row>
    <row r="4977" spans="2:4" x14ac:dyDescent="0.25">
      <c r="B4977" t="s">
        <v>1102</v>
      </c>
      <c r="C4977">
        <v>80</v>
      </c>
      <c r="D4977">
        <v>6</v>
      </c>
    </row>
    <row r="4978" spans="2:4" x14ac:dyDescent="0.25">
      <c r="B4978" t="s">
        <v>1102</v>
      </c>
      <c r="C4978">
        <v>80</v>
      </c>
      <c r="D4978">
        <v>8</v>
      </c>
    </row>
    <row r="4979" spans="2:4" x14ac:dyDescent="0.25">
      <c r="B4979" t="s">
        <v>1102</v>
      </c>
      <c r="C4979">
        <v>80</v>
      </c>
      <c r="D4979">
        <v>13</v>
      </c>
    </row>
    <row r="4980" spans="2:4" x14ac:dyDescent="0.25">
      <c r="B4980" t="s">
        <v>1102</v>
      </c>
      <c r="C4980">
        <v>80</v>
      </c>
      <c r="D4980">
        <v>14</v>
      </c>
    </row>
    <row r="4981" spans="2:4" x14ac:dyDescent="0.25">
      <c r="B4981" t="s">
        <v>1102</v>
      </c>
      <c r="C4981">
        <v>81</v>
      </c>
      <c r="D4981">
        <v>6</v>
      </c>
    </row>
    <row r="4982" spans="2:4" x14ac:dyDescent="0.25">
      <c r="B4982" t="s">
        <v>1102</v>
      </c>
      <c r="C4982">
        <v>81</v>
      </c>
      <c r="D4982">
        <v>8</v>
      </c>
    </row>
    <row r="4983" spans="2:4" x14ac:dyDescent="0.25">
      <c r="B4983" t="s">
        <v>1102</v>
      </c>
      <c r="C4983">
        <v>81</v>
      </c>
      <c r="D4983">
        <v>13</v>
      </c>
    </row>
    <row r="4984" spans="2:4" x14ac:dyDescent="0.25">
      <c r="B4984" t="s">
        <v>1102</v>
      </c>
      <c r="C4984">
        <v>81</v>
      </c>
      <c r="D4984">
        <v>14</v>
      </c>
    </row>
    <row r="4985" spans="2:4" x14ac:dyDescent="0.25">
      <c r="B4985" t="s">
        <v>1102</v>
      </c>
      <c r="C4985">
        <v>82</v>
      </c>
      <c r="D4985">
        <v>6</v>
      </c>
    </row>
    <row r="4986" spans="2:4" x14ac:dyDescent="0.25">
      <c r="B4986" t="s">
        <v>1102</v>
      </c>
      <c r="C4986">
        <v>82</v>
      </c>
      <c r="D4986">
        <v>8</v>
      </c>
    </row>
    <row r="4987" spans="2:4" x14ac:dyDescent="0.25">
      <c r="B4987" t="s">
        <v>1102</v>
      </c>
      <c r="C4987">
        <v>82</v>
      </c>
      <c r="D4987">
        <v>13</v>
      </c>
    </row>
    <row r="4988" spans="2:4" x14ac:dyDescent="0.25">
      <c r="B4988" t="s">
        <v>1102</v>
      </c>
      <c r="C4988">
        <v>82</v>
      </c>
      <c r="D4988">
        <v>14</v>
      </c>
    </row>
    <row r="4989" spans="2:4" x14ac:dyDescent="0.25">
      <c r="B4989" t="s">
        <v>1102</v>
      </c>
      <c r="C4989">
        <v>84</v>
      </c>
      <c r="D4989">
        <v>6</v>
      </c>
    </row>
    <row r="4990" spans="2:4" x14ac:dyDescent="0.25">
      <c r="B4990" t="s">
        <v>1102</v>
      </c>
      <c r="C4990">
        <v>84</v>
      </c>
      <c r="D4990">
        <v>8</v>
      </c>
    </row>
    <row r="4991" spans="2:4" x14ac:dyDescent="0.25">
      <c r="B4991" t="s">
        <v>1102</v>
      </c>
      <c r="C4991">
        <v>84</v>
      </c>
      <c r="D4991">
        <v>13</v>
      </c>
    </row>
    <row r="4992" spans="2:4" x14ac:dyDescent="0.25">
      <c r="B4992" t="s">
        <v>1102</v>
      </c>
      <c r="C4992">
        <v>84</v>
      </c>
      <c r="D4992">
        <v>14</v>
      </c>
    </row>
    <row r="4993" spans="2:4" x14ac:dyDescent="0.25">
      <c r="B4993" t="s">
        <v>1102</v>
      </c>
      <c r="C4993">
        <v>85</v>
      </c>
      <c r="D4993">
        <v>6</v>
      </c>
    </row>
    <row r="4994" spans="2:4" x14ac:dyDescent="0.25">
      <c r="B4994" t="s">
        <v>1102</v>
      </c>
      <c r="C4994">
        <v>85</v>
      </c>
      <c r="D4994">
        <v>8</v>
      </c>
    </row>
    <row r="4995" spans="2:4" x14ac:dyDescent="0.25">
      <c r="B4995" t="s">
        <v>1102</v>
      </c>
      <c r="C4995">
        <v>85</v>
      </c>
      <c r="D4995">
        <v>13</v>
      </c>
    </row>
    <row r="4996" spans="2:4" x14ac:dyDescent="0.25">
      <c r="B4996" t="s">
        <v>1102</v>
      </c>
      <c r="C4996">
        <v>85</v>
      </c>
      <c r="D4996">
        <v>14</v>
      </c>
    </row>
    <row r="4997" spans="2:4" x14ac:dyDescent="0.25">
      <c r="B4997" t="s">
        <v>1102</v>
      </c>
      <c r="C4997">
        <v>86</v>
      </c>
      <c r="D4997">
        <v>6</v>
      </c>
    </row>
    <row r="4998" spans="2:4" x14ac:dyDescent="0.25">
      <c r="B4998" t="s">
        <v>1102</v>
      </c>
      <c r="C4998">
        <v>86</v>
      </c>
      <c r="D4998">
        <v>8</v>
      </c>
    </row>
    <row r="4999" spans="2:4" x14ac:dyDescent="0.25">
      <c r="B4999" t="s">
        <v>1102</v>
      </c>
      <c r="C4999">
        <v>86</v>
      </c>
      <c r="D4999">
        <v>13</v>
      </c>
    </row>
    <row r="5000" spans="2:4" x14ac:dyDescent="0.25">
      <c r="B5000" t="s">
        <v>1102</v>
      </c>
      <c r="C5000">
        <v>86</v>
      </c>
      <c r="D5000">
        <v>14</v>
      </c>
    </row>
    <row r="5001" spans="2:4" x14ac:dyDescent="0.25">
      <c r="B5001" t="s">
        <v>1102</v>
      </c>
      <c r="C5001">
        <v>87</v>
      </c>
      <c r="D5001">
        <v>6</v>
      </c>
    </row>
    <row r="5002" spans="2:4" x14ac:dyDescent="0.25">
      <c r="B5002" t="s">
        <v>1102</v>
      </c>
      <c r="C5002">
        <v>87</v>
      </c>
      <c r="D5002">
        <v>8</v>
      </c>
    </row>
    <row r="5003" spans="2:4" x14ac:dyDescent="0.25">
      <c r="B5003" t="s">
        <v>1102</v>
      </c>
      <c r="C5003">
        <v>87</v>
      </c>
      <c r="D5003">
        <v>13</v>
      </c>
    </row>
    <row r="5004" spans="2:4" x14ac:dyDescent="0.25">
      <c r="B5004" t="s">
        <v>1102</v>
      </c>
      <c r="C5004">
        <v>87</v>
      </c>
      <c r="D5004">
        <v>14</v>
      </c>
    </row>
    <row r="5005" spans="2:4" x14ac:dyDescent="0.25">
      <c r="B5005" t="s">
        <v>1102</v>
      </c>
      <c r="C5005">
        <v>88</v>
      </c>
      <c r="D5005">
        <v>6</v>
      </c>
    </row>
    <row r="5006" spans="2:4" x14ac:dyDescent="0.25">
      <c r="B5006" t="s">
        <v>1102</v>
      </c>
      <c r="C5006">
        <v>88</v>
      </c>
      <c r="D5006">
        <v>8</v>
      </c>
    </row>
    <row r="5007" spans="2:4" x14ac:dyDescent="0.25">
      <c r="B5007" t="s">
        <v>1102</v>
      </c>
      <c r="C5007">
        <v>88</v>
      </c>
      <c r="D5007">
        <v>13</v>
      </c>
    </row>
    <row r="5008" spans="2:4" x14ac:dyDescent="0.25">
      <c r="B5008" t="s">
        <v>1102</v>
      </c>
      <c r="C5008">
        <v>88</v>
      </c>
      <c r="D5008">
        <v>14</v>
      </c>
    </row>
    <row r="5009" spans="2:4" x14ac:dyDescent="0.25">
      <c r="B5009" t="s">
        <v>1102</v>
      </c>
      <c r="C5009">
        <v>89</v>
      </c>
      <c r="D5009">
        <v>6</v>
      </c>
    </row>
    <row r="5010" spans="2:4" x14ac:dyDescent="0.25">
      <c r="B5010" t="s">
        <v>1102</v>
      </c>
      <c r="C5010">
        <v>89</v>
      </c>
      <c r="D5010">
        <v>8</v>
      </c>
    </row>
    <row r="5011" spans="2:4" x14ac:dyDescent="0.25">
      <c r="B5011" t="s">
        <v>1102</v>
      </c>
      <c r="C5011">
        <v>89</v>
      </c>
      <c r="D5011">
        <v>13</v>
      </c>
    </row>
    <row r="5012" spans="2:4" x14ac:dyDescent="0.25">
      <c r="B5012" t="s">
        <v>1102</v>
      </c>
      <c r="C5012">
        <v>89</v>
      </c>
      <c r="D5012">
        <v>14</v>
      </c>
    </row>
    <row r="5013" spans="2:4" x14ac:dyDescent="0.25">
      <c r="B5013" t="s">
        <v>1102</v>
      </c>
      <c r="C5013">
        <v>90</v>
      </c>
      <c r="D5013">
        <v>6</v>
      </c>
    </row>
    <row r="5014" spans="2:4" x14ac:dyDescent="0.25">
      <c r="B5014" t="s">
        <v>1102</v>
      </c>
      <c r="C5014">
        <v>90</v>
      </c>
      <c r="D5014">
        <v>8</v>
      </c>
    </row>
    <row r="5015" spans="2:4" x14ac:dyDescent="0.25">
      <c r="B5015" t="s">
        <v>1102</v>
      </c>
      <c r="C5015">
        <v>90</v>
      </c>
      <c r="D5015">
        <v>13</v>
      </c>
    </row>
    <row r="5016" spans="2:4" x14ac:dyDescent="0.25">
      <c r="B5016" t="s">
        <v>1102</v>
      </c>
      <c r="C5016">
        <v>90</v>
      </c>
      <c r="D5016">
        <v>14</v>
      </c>
    </row>
    <row r="5017" spans="2:4" x14ac:dyDescent="0.25">
      <c r="B5017" t="s">
        <v>1102</v>
      </c>
      <c r="C5017">
        <v>91</v>
      </c>
      <c r="D5017">
        <v>6</v>
      </c>
    </row>
    <row r="5018" spans="2:4" x14ac:dyDescent="0.25">
      <c r="B5018" t="s">
        <v>1102</v>
      </c>
      <c r="C5018">
        <v>91</v>
      </c>
      <c r="D5018">
        <v>8</v>
      </c>
    </row>
    <row r="5019" spans="2:4" x14ac:dyDescent="0.25">
      <c r="B5019" t="s">
        <v>1102</v>
      </c>
      <c r="C5019">
        <v>91</v>
      </c>
      <c r="D5019">
        <v>13</v>
      </c>
    </row>
    <row r="5020" spans="2:4" x14ac:dyDescent="0.25">
      <c r="B5020" t="s">
        <v>1102</v>
      </c>
      <c r="C5020">
        <v>91</v>
      </c>
      <c r="D5020">
        <v>14</v>
      </c>
    </row>
    <row r="5021" spans="2:4" x14ac:dyDescent="0.25">
      <c r="B5021" t="s">
        <v>1102</v>
      </c>
      <c r="C5021">
        <v>93</v>
      </c>
      <c r="D5021">
        <v>6</v>
      </c>
    </row>
    <row r="5022" spans="2:4" x14ac:dyDescent="0.25">
      <c r="B5022" t="s">
        <v>1102</v>
      </c>
      <c r="C5022">
        <v>93</v>
      </c>
      <c r="D5022">
        <v>8</v>
      </c>
    </row>
    <row r="5023" spans="2:4" x14ac:dyDescent="0.25">
      <c r="B5023" t="s">
        <v>1102</v>
      </c>
      <c r="C5023">
        <v>93</v>
      </c>
      <c r="D5023">
        <v>13</v>
      </c>
    </row>
    <row r="5024" spans="2:4" x14ac:dyDescent="0.25">
      <c r="B5024" t="s">
        <v>1102</v>
      </c>
      <c r="C5024">
        <v>93</v>
      </c>
      <c r="D5024">
        <v>14</v>
      </c>
    </row>
    <row r="5025" spans="2:4" x14ac:dyDescent="0.25">
      <c r="B5025" t="s">
        <v>1102</v>
      </c>
      <c r="C5025">
        <v>94</v>
      </c>
      <c r="D5025">
        <v>6</v>
      </c>
    </row>
    <row r="5026" spans="2:4" x14ac:dyDescent="0.25">
      <c r="B5026" t="s">
        <v>1102</v>
      </c>
      <c r="C5026">
        <v>94</v>
      </c>
      <c r="D5026">
        <v>8</v>
      </c>
    </row>
    <row r="5027" spans="2:4" x14ac:dyDescent="0.25">
      <c r="B5027" t="s">
        <v>1102</v>
      </c>
      <c r="C5027">
        <v>94</v>
      </c>
      <c r="D5027">
        <v>13</v>
      </c>
    </row>
    <row r="5028" spans="2:4" x14ac:dyDescent="0.25">
      <c r="B5028" t="s">
        <v>1102</v>
      </c>
      <c r="C5028">
        <v>94</v>
      </c>
      <c r="D5028">
        <v>14</v>
      </c>
    </row>
    <row r="5029" spans="2:4" x14ac:dyDescent="0.25">
      <c r="B5029" t="s">
        <v>1102</v>
      </c>
      <c r="C5029">
        <v>95</v>
      </c>
      <c r="D5029">
        <v>6</v>
      </c>
    </row>
    <row r="5030" spans="2:4" x14ac:dyDescent="0.25">
      <c r="B5030" t="s">
        <v>1102</v>
      </c>
      <c r="C5030">
        <v>95</v>
      </c>
      <c r="D5030">
        <v>8</v>
      </c>
    </row>
    <row r="5031" spans="2:4" x14ac:dyDescent="0.25">
      <c r="B5031" t="s">
        <v>1102</v>
      </c>
      <c r="C5031">
        <v>95</v>
      </c>
      <c r="D5031">
        <v>13</v>
      </c>
    </row>
    <row r="5032" spans="2:4" x14ac:dyDescent="0.25">
      <c r="B5032" t="s">
        <v>1102</v>
      </c>
      <c r="C5032">
        <v>95</v>
      </c>
      <c r="D5032">
        <v>14</v>
      </c>
    </row>
    <row r="5033" spans="2:4" x14ac:dyDescent="0.25">
      <c r="B5033" t="s">
        <v>1102</v>
      </c>
      <c r="C5033">
        <v>96</v>
      </c>
      <c r="D5033">
        <v>5</v>
      </c>
    </row>
    <row r="5034" spans="2:4" x14ac:dyDescent="0.25">
      <c r="B5034" t="s">
        <v>1102</v>
      </c>
      <c r="C5034">
        <v>98</v>
      </c>
      <c r="D5034">
        <v>6</v>
      </c>
    </row>
    <row r="5035" spans="2:4" x14ac:dyDescent="0.25">
      <c r="B5035" t="s">
        <v>1102</v>
      </c>
      <c r="C5035">
        <v>98</v>
      </c>
      <c r="D5035">
        <v>8</v>
      </c>
    </row>
    <row r="5036" spans="2:4" x14ac:dyDescent="0.25">
      <c r="B5036" t="s">
        <v>1102</v>
      </c>
      <c r="C5036">
        <v>98</v>
      </c>
      <c r="D5036">
        <v>13</v>
      </c>
    </row>
    <row r="5037" spans="2:4" x14ac:dyDescent="0.25">
      <c r="B5037" t="s">
        <v>1102</v>
      </c>
      <c r="C5037">
        <v>98</v>
      </c>
      <c r="D5037">
        <v>14</v>
      </c>
    </row>
    <row r="5038" spans="2:4" x14ac:dyDescent="0.25">
      <c r="B5038" t="s">
        <v>1102</v>
      </c>
      <c r="C5038">
        <v>99</v>
      </c>
      <c r="D5038">
        <v>6</v>
      </c>
    </row>
    <row r="5039" spans="2:4" x14ac:dyDescent="0.25">
      <c r="B5039" t="s">
        <v>1102</v>
      </c>
      <c r="C5039">
        <v>99</v>
      </c>
      <c r="D5039">
        <v>8</v>
      </c>
    </row>
    <row r="5040" spans="2:4" x14ac:dyDescent="0.25">
      <c r="B5040" t="s">
        <v>1102</v>
      </c>
      <c r="C5040">
        <v>99</v>
      </c>
      <c r="D5040">
        <v>13</v>
      </c>
    </row>
    <row r="5041" spans="2:4" x14ac:dyDescent="0.25">
      <c r="B5041" t="s">
        <v>1102</v>
      </c>
      <c r="C5041">
        <v>99</v>
      </c>
      <c r="D5041">
        <v>14</v>
      </c>
    </row>
    <row r="5042" spans="2:4" x14ac:dyDescent="0.25">
      <c r="B5042" t="s">
        <v>1102</v>
      </c>
      <c r="C5042">
        <v>100</v>
      </c>
      <c r="D5042">
        <v>6</v>
      </c>
    </row>
    <row r="5043" spans="2:4" x14ac:dyDescent="0.25">
      <c r="B5043" t="s">
        <v>1102</v>
      </c>
      <c r="C5043">
        <v>100</v>
      </c>
      <c r="D5043">
        <v>8</v>
      </c>
    </row>
    <row r="5044" spans="2:4" x14ac:dyDescent="0.25">
      <c r="B5044" t="s">
        <v>1102</v>
      </c>
      <c r="C5044">
        <v>100</v>
      </c>
      <c r="D5044">
        <v>13</v>
      </c>
    </row>
    <row r="5045" spans="2:4" x14ac:dyDescent="0.25">
      <c r="B5045" t="s">
        <v>1102</v>
      </c>
      <c r="C5045">
        <v>100</v>
      </c>
      <c r="D5045">
        <v>14</v>
      </c>
    </row>
    <row r="5046" spans="2:4" x14ac:dyDescent="0.25">
      <c r="B5046" t="s">
        <v>1102</v>
      </c>
      <c r="C5046">
        <v>101</v>
      </c>
      <c r="D5046">
        <v>6</v>
      </c>
    </row>
    <row r="5047" spans="2:4" x14ac:dyDescent="0.25">
      <c r="B5047" t="s">
        <v>1102</v>
      </c>
      <c r="C5047">
        <v>101</v>
      </c>
      <c r="D5047">
        <v>8</v>
      </c>
    </row>
    <row r="5048" spans="2:4" x14ac:dyDescent="0.25">
      <c r="B5048" t="s">
        <v>1102</v>
      </c>
      <c r="C5048">
        <v>101</v>
      </c>
      <c r="D5048">
        <v>13</v>
      </c>
    </row>
    <row r="5049" spans="2:4" x14ac:dyDescent="0.25">
      <c r="B5049" t="s">
        <v>1102</v>
      </c>
      <c r="C5049">
        <v>101</v>
      </c>
      <c r="D5049">
        <v>14</v>
      </c>
    </row>
    <row r="5050" spans="2:4" x14ac:dyDescent="0.25">
      <c r="B5050" t="s">
        <v>1102</v>
      </c>
      <c r="C5050">
        <v>102</v>
      </c>
      <c r="D5050">
        <v>6</v>
      </c>
    </row>
    <row r="5051" spans="2:4" x14ac:dyDescent="0.25">
      <c r="B5051" t="s">
        <v>1102</v>
      </c>
      <c r="C5051">
        <v>102</v>
      </c>
      <c r="D5051">
        <v>8</v>
      </c>
    </row>
    <row r="5052" spans="2:4" x14ac:dyDescent="0.25">
      <c r="B5052" t="s">
        <v>1102</v>
      </c>
      <c r="C5052">
        <v>102</v>
      </c>
      <c r="D5052">
        <v>13</v>
      </c>
    </row>
    <row r="5053" spans="2:4" x14ac:dyDescent="0.25">
      <c r="B5053" t="s">
        <v>1102</v>
      </c>
      <c r="C5053">
        <v>102</v>
      </c>
      <c r="D5053">
        <v>14</v>
      </c>
    </row>
    <row r="5054" spans="2:4" x14ac:dyDescent="0.25">
      <c r="B5054" t="s">
        <v>1102</v>
      </c>
      <c r="C5054">
        <v>103</v>
      </c>
      <c r="D5054">
        <v>6</v>
      </c>
    </row>
    <row r="5055" spans="2:4" x14ac:dyDescent="0.25">
      <c r="B5055" t="s">
        <v>1102</v>
      </c>
      <c r="C5055">
        <v>103</v>
      </c>
      <c r="D5055">
        <v>8</v>
      </c>
    </row>
    <row r="5056" spans="2:4" x14ac:dyDescent="0.25">
      <c r="B5056" t="s">
        <v>1102</v>
      </c>
      <c r="C5056">
        <v>103</v>
      </c>
      <c r="D5056">
        <v>13</v>
      </c>
    </row>
    <row r="5057" spans="2:4" x14ac:dyDescent="0.25">
      <c r="B5057" t="s">
        <v>1102</v>
      </c>
      <c r="C5057">
        <v>103</v>
      </c>
      <c r="D5057">
        <v>14</v>
      </c>
    </row>
    <row r="5058" spans="2:4" x14ac:dyDescent="0.25">
      <c r="B5058" t="s">
        <v>1102</v>
      </c>
      <c r="C5058">
        <v>105</v>
      </c>
      <c r="D5058">
        <v>6</v>
      </c>
    </row>
    <row r="5059" spans="2:4" x14ac:dyDescent="0.25">
      <c r="B5059" t="s">
        <v>1102</v>
      </c>
      <c r="C5059">
        <v>105</v>
      </c>
      <c r="D5059">
        <v>8</v>
      </c>
    </row>
    <row r="5060" spans="2:4" x14ac:dyDescent="0.25">
      <c r="B5060" t="s">
        <v>1102</v>
      </c>
      <c r="C5060">
        <v>105</v>
      </c>
      <c r="D5060">
        <v>13</v>
      </c>
    </row>
    <row r="5061" spans="2:4" x14ac:dyDescent="0.25">
      <c r="B5061" t="s">
        <v>1102</v>
      </c>
      <c r="C5061">
        <v>105</v>
      </c>
      <c r="D5061">
        <v>14</v>
      </c>
    </row>
    <row r="5062" spans="2:4" x14ac:dyDescent="0.25">
      <c r="B5062" t="s">
        <v>1102</v>
      </c>
      <c r="C5062">
        <v>106</v>
      </c>
      <c r="D5062">
        <v>6</v>
      </c>
    </row>
    <row r="5063" spans="2:4" x14ac:dyDescent="0.25">
      <c r="B5063" t="s">
        <v>1102</v>
      </c>
      <c r="C5063">
        <v>106</v>
      </c>
      <c r="D5063">
        <v>8</v>
      </c>
    </row>
    <row r="5064" spans="2:4" x14ac:dyDescent="0.25">
      <c r="B5064" t="s">
        <v>1102</v>
      </c>
      <c r="C5064">
        <v>106</v>
      </c>
      <c r="D5064">
        <v>13</v>
      </c>
    </row>
    <row r="5065" spans="2:4" x14ac:dyDescent="0.25">
      <c r="B5065" t="s">
        <v>1102</v>
      </c>
      <c r="C5065">
        <v>106</v>
      </c>
      <c r="D5065">
        <v>14</v>
      </c>
    </row>
    <row r="5066" spans="2:4" x14ac:dyDescent="0.25">
      <c r="B5066" t="s">
        <v>1102</v>
      </c>
      <c r="C5066">
        <v>107</v>
      </c>
      <c r="D5066">
        <v>6</v>
      </c>
    </row>
    <row r="5067" spans="2:4" x14ac:dyDescent="0.25">
      <c r="B5067" t="s">
        <v>1102</v>
      </c>
      <c r="C5067">
        <v>107</v>
      </c>
      <c r="D5067">
        <v>8</v>
      </c>
    </row>
    <row r="5068" spans="2:4" x14ac:dyDescent="0.25">
      <c r="B5068" t="s">
        <v>1102</v>
      </c>
      <c r="C5068">
        <v>107</v>
      </c>
      <c r="D5068">
        <v>13</v>
      </c>
    </row>
    <row r="5069" spans="2:4" x14ac:dyDescent="0.25">
      <c r="B5069" t="s">
        <v>1102</v>
      </c>
      <c r="C5069">
        <v>107</v>
      </c>
      <c r="D5069">
        <v>14</v>
      </c>
    </row>
    <row r="5070" spans="2:4" x14ac:dyDescent="0.25">
      <c r="B5070" t="s">
        <v>1102</v>
      </c>
      <c r="C5070">
        <v>108</v>
      </c>
      <c r="D5070">
        <v>6</v>
      </c>
    </row>
    <row r="5071" spans="2:4" x14ac:dyDescent="0.25">
      <c r="B5071" t="s">
        <v>1102</v>
      </c>
      <c r="C5071">
        <v>108</v>
      </c>
      <c r="D5071">
        <v>8</v>
      </c>
    </row>
    <row r="5072" spans="2:4" x14ac:dyDescent="0.25">
      <c r="B5072" t="s">
        <v>1102</v>
      </c>
      <c r="C5072">
        <v>108</v>
      </c>
      <c r="D5072">
        <v>13</v>
      </c>
    </row>
    <row r="5073" spans="2:4" x14ac:dyDescent="0.25">
      <c r="B5073" t="s">
        <v>1102</v>
      </c>
      <c r="C5073">
        <v>108</v>
      </c>
      <c r="D5073">
        <v>14</v>
      </c>
    </row>
    <row r="5074" spans="2:4" x14ac:dyDescent="0.25">
      <c r="B5074" t="s">
        <v>1102</v>
      </c>
      <c r="C5074">
        <v>109</v>
      </c>
      <c r="D5074">
        <v>6</v>
      </c>
    </row>
    <row r="5075" spans="2:4" x14ac:dyDescent="0.25">
      <c r="B5075" t="s">
        <v>1102</v>
      </c>
      <c r="C5075">
        <v>109</v>
      </c>
      <c r="D5075">
        <v>8</v>
      </c>
    </row>
    <row r="5076" spans="2:4" x14ac:dyDescent="0.25">
      <c r="B5076" t="s">
        <v>1102</v>
      </c>
      <c r="C5076">
        <v>109</v>
      </c>
      <c r="D5076">
        <v>13</v>
      </c>
    </row>
    <row r="5077" spans="2:4" x14ac:dyDescent="0.25">
      <c r="B5077" t="s">
        <v>1102</v>
      </c>
      <c r="C5077">
        <v>109</v>
      </c>
      <c r="D5077">
        <v>14</v>
      </c>
    </row>
    <row r="5078" spans="2:4" x14ac:dyDescent="0.25">
      <c r="B5078" t="s">
        <v>1102</v>
      </c>
      <c r="C5078">
        <v>110</v>
      </c>
      <c r="D5078">
        <v>6</v>
      </c>
    </row>
    <row r="5079" spans="2:4" x14ac:dyDescent="0.25">
      <c r="B5079" t="s">
        <v>1102</v>
      </c>
      <c r="C5079">
        <v>110</v>
      </c>
      <c r="D5079">
        <v>8</v>
      </c>
    </row>
    <row r="5080" spans="2:4" x14ac:dyDescent="0.25">
      <c r="B5080" t="s">
        <v>1102</v>
      </c>
      <c r="C5080">
        <v>110</v>
      </c>
      <c r="D5080">
        <v>13</v>
      </c>
    </row>
    <row r="5081" spans="2:4" x14ac:dyDescent="0.25">
      <c r="B5081" t="s">
        <v>1102</v>
      </c>
      <c r="C5081">
        <v>110</v>
      </c>
      <c r="D5081">
        <v>14</v>
      </c>
    </row>
    <row r="5082" spans="2:4" x14ac:dyDescent="0.25">
      <c r="B5082" t="s">
        <v>1102</v>
      </c>
      <c r="C5082">
        <v>112</v>
      </c>
      <c r="D5082">
        <v>6</v>
      </c>
    </row>
    <row r="5083" spans="2:4" x14ac:dyDescent="0.25">
      <c r="B5083" t="s">
        <v>1102</v>
      </c>
      <c r="C5083">
        <v>112</v>
      </c>
      <c r="D5083">
        <v>8</v>
      </c>
    </row>
    <row r="5084" spans="2:4" x14ac:dyDescent="0.25">
      <c r="B5084" t="s">
        <v>1102</v>
      </c>
      <c r="C5084">
        <v>112</v>
      </c>
      <c r="D5084">
        <v>13</v>
      </c>
    </row>
    <row r="5085" spans="2:4" x14ac:dyDescent="0.25">
      <c r="B5085" t="s">
        <v>1102</v>
      </c>
      <c r="C5085">
        <v>112</v>
      </c>
      <c r="D5085">
        <v>14</v>
      </c>
    </row>
    <row r="5086" spans="2:4" x14ac:dyDescent="0.25">
      <c r="B5086" t="s">
        <v>1102</v>
      </c>
      <c r="C5086">
        <v>113</v>
      </c>
      <c r="D5086">
        <v>6</v>
      </c>
    </row>
    <row r="5087" spans="2:4" x14ac:dyDescent="0.25">
      <c r="B5087" t="s">
        <v>1102</v>
      </c>
      <c r="C5087">
        <v>113</v>
      </c>
      <c r="D5087">
        <v>8</v>
      </c>
    </row>
    <row r="5088" spans="2:4" x14ac:dyDescent="0.25">
      <c r="B5088" t="s">
        <v>1102</v>
      </c>
      <c r="C5088">
        <v>113</v>
      </c>
      <c r="D5088">
        <v>13</v>
      </c>
    </row>
    <row r="5089" spans="2:4" x14ac:dyDescent="0.25">
      <c r="B5089" t="s">
        <v>1102</v>
      </c>
      <c r="C5089">
        <v>113</v>
      </c>
      <c r="D5089">
        <v>14</v>
      </c>
    </row>
    <row r="5090" spans="2:4" x14ac:dyDescent="0.25">
      <c r="B5090" t="s">
        <v>1102</v>
      </c>
      <c r="C5090">
        <v>114</v>
      </c>
      <c r="D5090">
        <v>6</v>
      </c>
    </row>
    <row r="5091" spans="2:4" x14ac:dyDescent="0.25">
      <c r="B5091" t="s">
        <v>1102</v>
      </c>
      <c r="C5091">
        <v>114</v>
      </c>
      <c r="D5091">
        <v>8</v>
      </c>
    </row>
    <row r="5092" spans="2:4" x14ac:dyDescent="0.25">
      <c r="B5092" t="s">
        <v>1102</v>
      </c>
      <c r="C5092">
        <v>114</v>
      </c>
      <c r="D5092">
        <v>13</v>
      </c>
    </row>
    <row r="5093" spans="2:4" x14ac:dyDescent="0.25">
      <c r="B5093" t="s">
        <v>1102</v>
      </c>
      <c r="C5093">
        <v>114</v>
      </c>
      <c r="D5093">
        <v>14</v>
      </c>
    </row>
    <row r="5094" spans="2:4" x14ac:dyDescent="0.25">
      <c r="B5094" t="s">
        <v>1102</v>
      </c>
      <c r="C5094">
        <v>115</v>
      </c>
      <c r="D5094">
        <v>6</v>
      </c>
    </row>
    <row r="5095" spans="2:4" x14ac:dyDescent="0.25">
      <c r="B5095" t="s">
        <v>1102</v>
      </c>
      <c r="C5095">
        <v>115</v>
      </c>
      <c r="D5095">
        <v>8</v>
      </c>
    </row>
    <row r="5096" spans="2:4" x14ac:dyDescent="0.25">
      <c r="B5096" t="s">
        <v>1102</v>
      </c>
      <c r="C5096">
        <v>115</v>
      </c>
      <c r="D5096">
        <v>13</v>
      </c>
    </row>
    <row r="5097" spans="2:4" x14ac:dyDescent="0.25">
      <c r="B5097" t="s">
        <v>1102</v>
      </c>
      <c r="C5097">
        <v>115</v>
      </c>
      <c r="D5097">
        <v>14</v>
      </c>
    </row>
    <row r="5098" spans="2:4" x14ac:dyDescent="0.25">
      <c r="B5098" t="s">
        <v>1102</v>
      </c>
      <c r="C5098">
        <v>116</v>
      </c>
      <c r="D5098">
        <v>6</v>
      </c>
    </row>
    <row r="5099" spans="2:4" x14ac:dyDescent="0.25">
      <c r="B5099" t="s">
        <v>1102</v>
      </c>
      <c r="C5099">
        <v>116</v>
      </c>
      <c r="D5099">
        <v>8</v>
      </c>
    </row>
    <row r="5100" spans="2:4" x14ac:dyDescent="0.25">
      <c r="B5100" t="s">
        <v>1102</v>
      </c>
      <c r="C5100">
        <v>116</v>
      </c>
      <c r="D5100">
        <v>13</v>
      </c>
    </row>
    <row r="5101" spans="2:4" x14ac:dyDescent="0.25">
      <c r="B5101" t="s">
        <v>1102</v>
      </c>
      <c r="C5101">
        <v>116</v>
      </c>
      <c r="D5101">
        <v>14</v>
      </c>
    </row>
    <row r="5102" spans="2:4" x14ac:dyDescent="0.25">
      <c r="B5102" t="s">
        <v>1102</v>
      </c>
      <c r="C5102">
        <v>117</v>
      </c>
      <c r="D5102">
        <v>6</v>
      </c>
    </row>
    <row r="5103" spans="2:4" x14ac:dyDescent="0.25">
      <c r="B5103" t="s">
        <v>1102</v>
      </c>
      <c r="C5103">
        <v>117</v>
      </c>
      <c r="D5103">
        <v>8</v>
      </c>
    </row>
    <row r="5104" spans="2:4" x14ac:dyDescent="0.25">
      <c r="B5104" t="s">
        <v>1102</v>
      </c>
      <c r="C5104">
        <v>117</v>
      </c>
      <c r="D5104">
        <v>13</v>
      </c>
    </row>
    <row r="5105" spans="2:4" x14ac:dyDescent="0.25">
      <c r="B5105" t="s">
        <v>1102</v>
      </c>
      <c r="C5105">
        <v>117</v>
      </c>
      <c r="D5105">
        <v>14</v>
      </c>
    </row>
    <row r="5106" spans="2:4" x14ac:dyDescent="0.25">
      <c r="B5106" t="s">
        <v>1102</v>
      </c>
      <c r="C5106">
        <v>120</v>
      </c>
      <c r="D5106">
        <v>6</v>
      </c>
    </row>
    <row r="5107" spans="2:4" x14ac:dyDescent="0.25">
      <c r="B5107" t="s">
        <v>1102</v>
      </c>
      <c r="C5107">
        <v>120</v>
      </c>
      <c r="D5107">
        <v>8</v>
      </c>
    </row>
    <row r="5108" spans="2:4" x14ac:dyDescent="0.25">
      <c r="B5108" t="s">
        <v>1102</v>
      </c>
      <c r="C5108">
        <v>120</v>
      </c>
      <c r="D5108">
        <v>13</v>
      </c>
    </row>
    <row r="5109" spans="2:4" x14ac:dyDescent="0.25">
      <c r="B5109" t="s">
        <v>1102</v>
      </c>
      <c r="C5109">
        <v>120</v>
      </c>
      <c r="D5109">
        <v>14</v>
      </c>
    </row>
    <row r="5110" spans="2:4" x14ac:dyDescent="0.25">
      <c r="B5110" t="s">
        <v>1102</v>
      </c>
      <c r="C5110">
        <v>121</v>
      </c>
      <c r="D5110">
        <v>6</v>
      </c>
    </row>
    <row r="5111" spans="2:4" x14ac:dyDescent="0.25">
      <c r="B5111" t="s">
        <v>1102</v>
      </c>
      <c r="C5111">
        <v>121</v>
      </c>
      <c r="D5111">
        <v>8</v>
      </c>
    </row>
    <row r="5112" spans="2:4" x14ac:dyDescent="0.25">
      <c r="B5112" t="s">
        <v>1102</v>
      </c>
      <c r="C5112">
        <v>121</v>
      </c>
      <c r="D5112">
        <v>13</v>
      </c>
    </row>
    <row r="5113" spans="2:4" x14ac:dyDescent="0.25">
      <c r="B5113" t="s">
        <v>1102</v>
      </c>
      <c r="C5113">
        <v>121</v>
      </c>
      <c r="D5113">
        <v>14</v>
      </c>
    </row>
    <row r="5114" spans="2:4" x14ac:dyDescent="0.25">
      <c r="B5114" t="s">
        <v>1102</v>
      </c>
      <c r="C5114">
        <v>122</v>
      </c>
      <c r="D5114">
        <v>6</v>
      </c>
    </row>
    <row r="5115" spans="2:4" x14ac:dyDescent="0.25">
      <c r="B5115" t="s">
        <v>1102</v>
      </c>
      <c r="C5115">
        <v>122</v>
      </c>
      <c r="D5115">
        <v>8</v>
      </c>
    </row>
    <row r="5116" spans="2:4" x14ac:dyDescent="0.25">
      <c r="B5116" t="s">
        <v>1102</v>
      </c>
      <c r="C5116">
        <v>122</v>
      </c>
      <c r="D5116">
        <v>13</v>
      </c>
    </row>
    <row r="5117" spans="2:4" x14ac:dyDescent="0.25">
      <c r="B5117" t="s">
        <v>1102</v>
      </c>
      <c r="C5117">
        <v>122</v>
      </c>
      <c r="D5117">
        <v>14</v>
      </c>
    </row>
    <row r="5118" spans="2:4" x14ac:dyDescent="0.25">
      <c r="B5118" t="s">
        <v>1102</v>
      </c>
      <c r="C5118">
        <v>123</v>
      </c>
      <c r="D5118">
        <v>6</v>
      </c>
    </row>
    <row r="5119" spans="2:4" x14ac:dyDescent="0.25">
      <c r="B5119" t="s">
        <v>1102</v>
      </c>
      <c r="C5119">
        <v>123</v>
      </c>
      <c r="D5119">
        <v>8</v>
      </c>
    </row>
    <row r="5120" spans="2:4" x14ac:dyDescent="0.25">
      <c r="B5120" t="s">
        <v>1102</v>
      </c>
      <c r="C5120">
        <v>123</v>
      </c>
      <c r="D5120">
        <v>13</v>
      </c>
    </row>
    <row r="5121" spans="2:4" x14ac:dyDescent="0.25">
      <c r="B5121" t="s">
        <v>1102</v>
      </c>
      <c r="C5121">
        <v>123</v>
      </c>
      <c r="D5121">
        <v>14</v>
      </c>
    </row>
    <row r="5122" spans="2:4" x14ac:dyDescent="0.25">
      <c r="B5122" t="s">
        <v>1102</v>
      </c>
      <c r="C5122">
        <v>124</v>
      </c>
      <c r="D5122">
        <v>6</v>
      </c>
    </row>
    <row r="5123" spans="2:4" x14ac:dyDescent="0.25">
      <c r="B5123" t="s">
        <v>1102</v>
      </c>
      <c r="C5123">
        <v>124</v>
      </c>
      <c r="D5123">
        <v>8</v>
      </c>
    </row>
    <row r="5124" spans="2:4" x14ac:dyDescent="0.25">
      <c r="B5124" t="s">
        <v>1102</v>
      </c>
      <c r="C5124">
        <v>124</v>
      </c>
      <c r="D5124">
        <v>13</v>
      </c>
    </row>
    <row r="5125" spans="2:4" x14ac:dyDescent="0.25">
      <c r="B5125" t="s">
        <v>1102</v>
      </c>
      <c r="C5125">
        <v>124</v>
      </c>
      <c r="D5125">
        <v>14</v>
      </c>
    </row>
    <row r="5126" spans="2:4" x14ac:dyDescent="0.25">
      <c r="B5126" t="s">
        <v>1102</v>
      </c>
      <c r="C5126">
        <v>125</v>
      </c>
      <c r="D5126">
        <v>6</v>
      </c>
    </row>
    <row r="5127" spans="2:4" x14ac:dyDescent="0.25">
      <c r="B5127" t="s">
        <v>1102</v>
      </c>
      <c r="C5127">
        <v>125</v>
      </c>
      <c r="D5127">
        <v>8</v>
      </c>
    </row>
    <row r="5128" spans="2:4" x14ac:dyDescent="0.25">
      <c r="B5128" t="s">
        <v>1102</v>
      </c>
      <c r="C5128">
        <v>125</v>
      </c>
      <c r="D5128">
        <v>13</v>
      </c>
    </row>
    <row r="5129" spans="2:4" x14ac:dyDescent="0.25">
      <c r="B5129" t="s">
        <v>1102</v>
      </c>
      <c r="C5129">
        <v>125</v>
      </c>
      <c r="D5129">
        <v>14</v>
      </c>
    </row>
    <row r="5130" spans="2:4" x14ac:dyDescent="0.25">
      <c r="B5130" t="s">
        <v>1102</v>
      </c>
      <c r="C5130">
        <v>126</v>
      </c>
      <c r="D5130">
        <v>6</v>
      </c>
    </row>
    <row r="5131" spans="2:4" x14ac:dyDescent="0.25">
      <c r="B5131" t="s">
        <v>1102</v>
      </c>
      <c r="C5131">
        <v>126</v>
      </c>
      <c r="D5131">
        <v>8</v>
      </c>
    </row>
    <row r="5132" spans="2:4" x14ac:dyDescent="0.25">
      <c r="B5132" t="s">
        <v>1102</v>
      </c>
      <c r="C5132">
        <v>126</v>
      </c>
      <c r="D5132">
        <v>13</v>
      </c>
    </row>
    <row r="5133" spans="2:4" x14ac:dyDescent="0.25">
      <c r="B5133" t="s">
        <v>1102</v>
      </c>
      <c r="C5133">
        <v>126</v>
      </c>
      <c r="D5133">
        <v>14</v>
      </c>
    </row>
    <row r="5134" spans="2:4" x14ac:dyDescent="0.25">
      <c r="B5134" t="s">
        <v>1102</v>
      </c>
      <c r="C5134">
        <v>127</v>
      </c>
      <c r="D5134">
        <v>6</v>
      </c>
    </row>
    <row r="5135" spans="2:4" x14ac:dyDescent="0.25">
      <c r="B5135" t="s">
        <v>1102</v>
      </c>
      <c r="C5135">
        <v>127</v>
      </c>
      <c r="D5135">
        <v>8</v>
      </c>
    </row>
    <row r="5136" spans="2:4" x14ac:dyDescent="0.25">
      <c r="B5136" t="s">
        <v>1102</v>
      </c>
      <c r="C5136">
        <v>127</v>
      </c>
      <c r="D5136">
        <v>13</v>
      </c>
    </row>
    <row r="5137" spans="2:4" x14ac:dyDescent="0.25">
      <c r="B5137" t="s">
        <v>1102</v>
      </c>
      <c r="C5137">
        <v>127</v>
      </c>
      <c r="D5137">
        <v>14</v>
      </c>
    </row>
    <row r="5138" spans="2:4" x14ac:dyDescent="0.25">
      <c r="B5138" t="s">
        <v>1102</v>
      </c>
      <c r="C5138">
        <v>128</v>
      </c>
      <c r="D5138">
        <v>6</v>
      </c>
    </row>
    <row r="5139" spans="2:4" x14ac:dyDescent="0.25">
      <c r="B5139" t="s">
        <v>1102</v>
      </c>
      <c r="C5139">
        <v>128</v>
      </c>
      <c r="D5139">
        <v>8</v>
      </c>
    </row>
    <row r="5140" spans="2:4" x14ac:dyDescent="0.25">
      <c r="B5140" t="s">
        <v>1102</v>
      </c>
      <c r="C5140">
        <v>128</v>
      </c>
      <c r="D5140">
        <v>13</v>
      </c>
    </row>
    <row r="5141" spans="2:4" x14ac:dyDescent="0.25">
      <c r="B5141" t="s">
        <v>1102</v>
      </c>
      <c r="C5141">
        <v>128</v>
      </c>
      <c r="D5141">
        <v>14</v>
      </c>
    </row>
    <row r="5142" spans="2:4" x14ac:dyDescent="0.25">
      <c r="B5142" t="s">
        <v>1102</v>
      </c>
      <c r="C5142">
        <v>129</v>
      </c>
      <c r="D5142">
        <v>6</v>
      </c>
    </row>
    <row r="5143" spans="2:4" x14ac:dyDescent="0.25">
      <c r="B5143" t="s">
        <v>1102</v>
      </c>
      <c r="C5143">
        <v>129</v>
      </c>
      <c r="D5143">
        <v>8</v>
      </c>
    </row>
    <row r="5144" spans="2:4" x14ac:dyDescent="0.25">
      <c r="B5144" t="s">
        <v>1102</v>
      </c>
      <c r="C5144">
        <v>129</v>
      </c>
      <c r="D5144">
        <v>13</v>
      </c>
    </row>
    <row r="5145" spans="2:4" x14ac:dyDescent="0.25">
      <c r="B5145" t="s">
        <v>1102</v>
      </c>
      <c r="C5145">
        <v>129</v>
      </c>
      <c r="D5145">
        <v>14</v>
      </c>
    </row>
    <row r="5146" spans="2:4" x14ac:dyDescent="0.25">
      <c r="B5146" t="s">
        <v>1102</v>
      </c>
      <c r="C5146">
        <v>130</v>
      </c>
      <c r="D5146">
        <v>6</v>
      </c>
    </row>
    <row r="5147" spans="2:4" x14ac:dyDescent="0.25">
      <c r="B5147" t="s">
        <v>1102</v>
      </c>
      <c r="C5147">
        <v>130</v>
      </c>
      <c r="D5147">
        <v>8</v>
      </c>
    </row>
    <row r="5148" spans="2:4" x14ac:dyDescent="0.25">
      <c r="B5148" t="s">
        <v>1102</v>
      </c>
      <c r="C5148">
        <v>130</v>
      </c>
      <c r="D5148">
        <v>13</v>
      </c>
    </row>
    <row r="5149" spans="2:4" x14ac:dyDescent="0.25">
      <c r="B5149" t="s">
        <v>1102</v>
      </c>
      <c r="C5149">
        <v>130</v>
      </c>
      <c r="D5149">
        <v>14</v>
      </c>
    </row>
    <row r="5150" spans="2:4" x14ac:dyDescent="0.25">
      <c r="B5150" t="s">
        <v>1102</v>
      </c>
      <c r="C5150">
        <v>131</v>
      </c>
      <c r="D5150">
        <v>6</v>
      </c>
    </row>
    <row r="5151" spans="2:4" x14ac:dyDescent="0.25">
      <c r="B5151" t="s">
        <v>1102</v>
      </c>
      <c r="C5151">
        <v>131</v>
      </c>
      <c r="D5151">
        <v>8</v>
      </c>
    </row>
    <row r="5152" spans="2:4" x14ac:dyDescent="0.25">
      <c r="B5152" t="s">
        <v>1102</v>
      </c>
      <c r="C5152">
        <v>131</v>
      </c>
      <c r="D5152">
        <v>13</v>
      </c>
    </row>
    <row r="5153" spans="2:4" x14ac:dyDescent="0.25">
      <c r="B5153" t="s">
        <v>1102</v>
      </c>
      <c r="C5153">
        <v>131</v>
      </c>
      <c r="D5153">
        <v>14</v>
      </c>
    </row>
    <row r="5154" spans="2:4" x14ac:dyDescent="0.25">
      <c r="B5154" t="s">
        <v>1102</v>
      </c>
      <c r="C5154">
        <v>132</v>
      </c>
      <c r="D5154">
        <v>6</v>
      </c>
    </row>
    <row r="5155" spans="2:4" x14ac:dyDescent="0.25">
      <c r="B5155" t="s">
        <v>1102</v>
      </c>
      <c r="C5155">
        <v>132</v>
      </c>
      <c r="D5155">
        <v>8</v>
      </c>
    </row>
    <row r="5156" spans="2:4" x14ac:dyDescent="0.25">
      <c r="B5156" t="s">
        <v>1102</v>
      </c>
      <c r="C5156">
        <v>132</v>
      </c>
      <c r="D5156">
        <v>13</v>
      </c>
    </row>
    <row r="5157" spans="2:4" x14ac:dyDescent="0.25">
      <c r="B5157" t="s">
        <v>1102</v>
      </c>
      <c r="C5157">
        <v>132</v>
      </c>
      <c r="D5157">
        <v>14</v>
      </c>
    </row>
    <row r="5158" spans="2:4" x14ac:dyDescent="0.25">
      <c r="B5158" t="s">
        <v>1102</v>
      </c>
      <c r="C5158">
        <v>133</v>
      </c>
      <c r="D5158">
        <v>6</v>
      </c>
    </row>
    <row r="5159" spans="2:4" x14ac:dyDescent="0.25">
      <c r="B5159" t="s">
        <v>1102</v>
      </c>
      <c r="C5159">
        <v>133</v>
      </c>
      <c r="D5159">
        <v>8</v>
      </c>
    </row>
    <row r="5160" spans="2:4" x14ac:dyDescent="0.25">
      <c r="B5160" t="s">
        <v>1102</v>
      </c>
      <c r="C5160">
        <v>133</v>
      </c>
      <c r="D5160">
        <v>13</v>
      </c>
    </row>
    <row r="5161" spans="2:4" x14ac:dyDescent="0.25">
      <c r="B5161" t="s">
        <v>1102</v>
      </c>
      <c r="C5161">
        <v>133</v>
      </c>
      <c r="D5161">
        <v>14</v>
      </c>
    </row>
    <row r="5162" spans="2:4" x14ac:dyDescent="0.25">
      <c r="B5162" t="s">
        <v>1102</v>
      </c>
      <c r="C5162">
        <v>135</v>
      </c>
      <c r="D5162">
        <v>6</v>
      </c>
    </row>
    <row r="5163" spans="2:4" x14ac:dyDescent="0.25">
      <c r="B5163" t="s">
        <v>1102</v>
      </c>
      <c r="C5163">
        <v>135</v>
      </c>
      <c r="D5163">
        <v>8</v>
      </c>
    </row>
    <row r="5164" spans="2:4" x14ac:dyDescent="0.25">
      <c r="B5164" t="s">
        <v>1102</v>
      </c>
      <c r="C5164">
        <v>135</v>
      </c>
      <c r="D5164">
        <v>13</v>
      </c>
    </row>
    <row r="5165" spans="2:4" x14ac:dyDescent="0.25">
      <c r="B5165" t="s">
        <v>1102</v>
      </c>
      <c r="C5165">
        <v>135</v>
      </c>
      <c r="D5165">
        <v>14</v>
      </c>
    </row>
    <row r="5166" spans="2:4" x14ac:dyDescent="0.25">
      <c r="B5166" t="s">
        <v>1102</v>
      </c>
      <c r="C5166">
        <v>137</v>
      </c>
      <c r="D5166">
        <v>6</v>
      </c>
    </row>
    <row r="5167" spans="2:4" x14ac:dyDescent="0.25">
      <c r="B5167" t="s">
        <v>1102</v>
      </c>
      <c r="C5167">
        <v>137</v>
      </c>
      <c r="D5167">
        <v>8</v>
      </c>
    </row>
    <row r="5168" spans="2:4" x14ac:dyDescent="0.25">
      <c r="B5168" t="s">
        <v>1102</v>
      </c>
      <c r="C5168">
        <v>137</v>
      </c>
      <c r="D5168">
        <v>13</v>
      </c>
    </row>
    <row r="5169" spans="2:4" x14ac:dyDescent="0.25">
      <c r="B5169" t="s">
        <v>1102</v>
      </c>
      <c r="C5169">
        <v>137</v>
      </c>
      <c r="D5169">
        <v>14</v>
      </c>
    </row>
    <row r="5170" spans="2:4" x14ac:dyDescent="0.25">
      <c r="B5170" t="s">
        <v>1102</v>
      </c>
      <c r="C5170">
        <v>139</v>
      </c>
      <c r="D5170">
        <v>6</v>
      </c>
    </row>
    <row r="5171" spans="2:4" x14ac:dyDescent="0.25">
      <c r="B5171" t="s">
        <v>1102</v>
      </c>
      <c r="C5171">
        <v>139</v>
      </c>
      <c r="D5171">
        <v>8</v>
      </c>
    </row>
    <row r="5172" spans="2:4" x14ac:dyDescent="0.25">
      <c r="B5172" t="s">
        <v>1102</v>
      </c>
      <c r="C5172">
        <v>139</v>
      </c>
      <c r="D5172">
        <v>13</v>
      </c>
    </row>
    <row r="5173" spans="2:4" x14ac:dyDescent="0.25">
      <c r="B5173" t="s">
        <v>1102</v>
      </c>
      <c r="C5173">
        <v>139</v>
      </c>
      <c r="D5173">
        <v>14</v>
      </c>
    </row>
    <row r="5174" spans="2:4" x14ac:dyDescent="0.25">
      <c r="B5174" t="s">
        <v>1102</v>
      </c>
      <c r="C5174">
        <v>140</v>
      </c>
      <c r="D5174">
        <v>6</v>
      </c>
    </row>
    <row r="5175" spans="2:4" x14ac:dyDescent="0.25">
      <c r="B5175" t="s">
        <v>1102</v>
      </c>
      <c r="C5175">
        <v>140</v>
      </c>
      <c r="D5175">
        <v>8</v>
      </c>
    </row>
    <row r="5176" spans="2:4" x14ac:dyDescent="0.25">
      <c r="B5176" t="s">
        <v>1102</v>
      </c>
      <c r="C5176">
        <v>140</v>
      </c>
      <c r="D5176">
        <v>13</v>
      </c>
    </row>
    <row r="5177" spans="2:4" x14ac:dyDescent="0.25">
      <c r="B5177" t="s">
        <v>1102</v>
      </c>
      <c r="C5177">
        <v>140</v>
      </c>
      <c r="D5177">
        <v>14</v>
      </c>
    </row>
    <row r="5178" spans="2:4" x14ac:dyDescent="0.25">
      <c r="B5178" t="s">
        <v>1102</v>
      </c>
      <c r="C5178">
        <v>141</v>
      </c>
      <c r="D5178">
        <v>6</v>
      </c>
    </row>
    <row r="5179" spans="2:4" x14ac:dyDescent="0.25">
      <c r="B5179" t="s">
        <v>1102</v>
      </c>
      <c r="C5179">
        <v>141</v>
      </c>
      <c r="D5179">
        <v>8</v>
      </c>
    </row>
    <row r="5180" spans="2:4" x14ac:dyDescent="0.25">
      <c r="B5180" t="s">
        <v>1102</v>
      </c>
      <c r="C5180">
        <v>141</v>
      </c>
      <c r="D5180">
        <v>13</v>
      </c>
    </row>
    <row r="5181" spans="2:4" x14ac:dyDescent="0.25">
      <c r="B5181" t="s">
        <v>1102</v>
      </c>
      <c r="C5181">
        <v>141</v>
      </c>
      <c r="D5181">
        <v>14</v>
      </c>
    </row>
    <row r="5182" spans="2:4" x14ac:dyDescent="0.25">
      <c r="B5182" t="s">
        <v>1102</v>
      </c>
      <c r="C5182">
        <v>143</v>
      </c>
      <c r="D5182">
        <v>6</v>
      </c>
    </row>
    <row r="5183" spans="2:4" x14ac:dyDescent="0.25">
      <c r="B5183" t="s">
        <v>1102</v>
      </c>
      <c r="C5183">
        <v>143</v>
      </c>
      <c r="D5183">
        <v>8</v>
      </c>
    </row>
    <row r="5184" spans="2:4" x14ac:dyDescent="0.25">
      <c r="B5184" t="s">
        <v>1102</v>
      </c>
      <c r="C5184">
        <v>143</v>
      </c>
      <c r="D5184">
        <v>13</v>
      </c>
    </row>
    <row r="5185" spans="2:4" x14ac:dyDescent="0.25">
      <c r="B5185" t="s">
        <v>1102</v>
      </c>
      <c r="C5185">
        <v>143</v>
      </c>
      <c r="D5185">
        <v>14</v>
      </c>
    </row>
    <row r="5186" spans="2:4" x14ac:dyDescent="0.25">
      <c r="B5186" t="s">
        <v>1102</v>
      </c>
      <c r="C5186">
        <v>144</v>
      </c>
      <c r="D5186">
        <v>5</v>
      </c>
    </row>
    <row r="5187" spans="2:4" x14ac:dyDescent="0.25">
      <c r="B5187" t="s">
        <v>1102</v>
      </c>
      <c r="C5187">
        <v>144</v>
      </c>
      <c r="D5187">
        <v>11</v>
      </c>
    </row>
    <row r="5188" spans="2:4" x14ac:dyDescent="0.25">
      <c r="B5188" t="s">
        <v>1102</v>
      </c>
      <c r="C5188">
        <v>145</v>
      </c>
      <c r="D5188">
        <v>5</v>
      </c>
    </row>
    <row r="5189" spans="2:4" x14ac:dyDescent="0.25">
      <c r="B5189" t="s">
        <v>1102</v>
      </c>
      <c r="C5189">
        <v>146</v>
      </c>
      <c r="D5189">
        <v>6</v>
      </c>
    </row>
    <row r="5190" spans="2:4" x14ac:dyDescent="0.25">
      <c r="B5190" t="s">
        <v>1102</v>
      </c>
      <c r="C5190">
        <v>146</v>
      </c>
      <c r="D5190">
        <v>8</v>
      </c>
    </row>
    <row r="5191" spans="2:4" x14ac:dyDescent="0.25">
      <c r="B5191" t="s">
        <v>1102</v>
      </c>
      <c r="C5191">
        <v>146</v>
      </c>
      <c r="D5191">
        <v>13</v>
      </c>
    </row>
    <row r="5192" spans="2:4" x14ac:dyDescent="0.25">
      <c r="B5192" t="s">
        <v>1102</v>
      </c>
      <c r="C5192">
        <v>146</v>
      </c>
      <c r="D5192">
        <v>14</v>
      </c>
    </row>
    <row r="5193" spans="2:4" x14ac:dyDescent="0.25">
      <c r="B5193" t="s">
        <v>1102</v>
      </c>
      <c r="C5193">
        <v>147</v>
      </c>
      <c r="D5193">
        <v>6</v>
      </c>
    </row>
    <row r="5194" spans="2:4" x14ac:dyDescent="0.25">
      <c r="B5194" t="s">
        <v>1102</v>
      </c>
      <c r="C5194">
        <v>147</v>
      </c>
      <c r="D5194">
        <v>8</v>
      </c>
    </row>
    <row r="5195" spans="2:4" x14ac:dyDescent="0.25">
      <c r="B5195" t="s">
        <v>1102</v>
      </c>
      <c r="C5195">
        <v>147</v>
      </c>
      <c r="D5195">
        <v>13</v>
      </c>
    </row>
    <row r="5196" spans="2:4" x14ac:dyDescent="0.25">
      <c r="B5196" t="s">
        <v>1102</v>
      </c>
      <c r="C5196">
        <v>147</v>
      </c>
      <c r="D5196">
        <v>14</v>
      </c>
    </row>
    <row r="5197" spans="2:4" x14ac:dyDescent="0.25">
      <c r="B5197" t="s">
        <v>1102</v>
      </c>
      <c r="C5197">
        <v>148</v>
      </c>
      <c r="D5197">
        <v>6</v>
      </c>
    </row>
    <row r="5198" spans="2:4" x14ac:dyDescent="0.25">
      <c r="B5198" t="s">
        <v>1102</v>
      </c>
      <c r="C5198">
        <v>148</v>
      </c>
      <c r="D5198">
        <v>8</v>
      </c>
    </row>
    <row r="5199" spans="2:4" x14ac:dyDescent="0.25">
      <c r="B5199" t="s">
        <v>1102</v>
      </c>
      <c r="C5199">
        <v>148</v>
      </c>
      <c r="D5199">
        <v>13</v>
      </c>
    </row>
    <row r="5200" spans="2:4" x14ac:dyDescent="0.25">
      <c r="B5200" t="s">
        <v>1102</v>
      </c>
      <c r="C5200">
        <v>148</v>
      </c>
      <c r="D5200">
        <v>14</v>
      </c>
    </row>
    <row r="5201" spans="2:4" x14ac:dyDescent="0.25">
      <c r="B5201" t="s">
        <v>1102</v>
      </c>
      <c r="C5201">
        <v>149</v>
      </c>
      <c r="D5201">
        <v>6</v>
      </c>
    </row>
    <row r="5202" spans="2:4" x14ac:dyDescent="0.25">
      <c r="B5202" t="s">
        <v>1102</v>
      </c>
      <c r="C5202">
        <v>149</v>
      </c>
      <c r="D5202">
        <v>8</v>
      </c>
    </row>
    <row r="5203" spans="2:4" x14ac:dyDescent="0.25">
      <c r="B5203" t="s">
        <v>1102</v>
      </c>
      <c r="C5203">
        <v>149</v>
      </c>
      <c r="D5203">
        <v>13</v>
      </c>
    </row>
    <row r="5204" spans="2:4" x14ac:dyDescent="0.25">
      <c r="B5204" t="s">
        <v>1102</v>
      </c>
      <c r="C5204">
        <v>149</v>
      </c>
      <c r="D5204">
        <v>14</v>
      </c>
    </row>
    <row r="5205" spans="2:4" x14ac:dyDescent="0.25">
      <c r="B5205" t="s">
        <v>1102</v>
      </c>
      <c r="C5205">
        <v>150</v>
      </c>
      <c r="D5205">
        <v>5</v>
      </c>
    </row>
    <row r="5206" spans="2:4" x14ac:dyDescent="0.25">
      <c r="B5206" t="s">
        <v>1102</v>
      </c>
      <c r="C5206">
        <v>151</v>
      </c>
      <c r="D5206">
        <v>6</v>
      </c>
    </row>
    <row r="5207" spans="2:4" x14ac:dyDescent="0.25">
      <c r="B5207" t="s">
        <v>1102</v>
      </c>
      <c r="C5207">
        <v>151</v>
      </c>
      <c r="D5207">
        <v>8</v>
      </c>
    </row>
    <row r="5208" spans="2:4" x14ac:dyDescent="0.25">
      <c r="B5208" t="s">
        <v>1102</v>
      </c>
      <c r="C5208">
        <v>151</v>
      </c>
      <c r="D5208">
        <v>13</v>
      </c>
    </row>
    <row r="5209" spans="2:4" x14ac:dyDescent="0.25">
      <c r="B5209" t="s">
        <v>1102</v>
      </c>
      <c r="C5209">
        <v>151</v>
      </c>
      <c r="D5209">
        <v>14</v>
      </c>
    </row>
    <row r="5210" spans="2:4" x14ac:dyDescent="0.25">
      <c r="B5210" t="s">
        <v>1102</v>
      </c>
      <c r="C5210">
        <v>152</v>
      </c>
      <c r="D5210">
        <v>6</v>
      </c>
    </row>
    <row r="5211" spans="2:4" x14ac:dyDescent="0.25">
      <c r="B5211" t="s">
        <v>1102</v>
      </c>
      <c r="C5211">
        <v>152</v>
      </c>
      <c r="D5211">
        <v>8</v>
      </c>
    </row>
    <row r="5212" spans="2:4" x14ac:dyDescent="0.25">
      <c r="B5212" t="s">
        <v>1102</v>
      </c>
      <c r="C5212">
        <v>152</v>
      </c>
      <c r="D5212">
        <v>13</v>
      </c>
    </row>
    <row r="5213" spans="2:4" x14ac:dyDescent="0.25">
      <c r="B5213" t="s">
        <v>1102</v>
      </c>
      <c r="C5213">
        <v>152</v>
      </c>
      <c r="D5213">
        <v>14</v>
      </c>
    </row>
    <row r="5214" spans="2:4" x14ac:dyDescent="0.25">
      <c r="B5214" t="s">
        <v>1102</v>
      </c>
      <c r="C5214">
        <v>153</v>
      </c>
      <c r="D5214">
        <v>6</v>
      </c>
    </row>
    <row r="5215" spans="2:4" x14ac:dyDescent="0.25">
      <c r="B5215" t="s">
        <v>1102</v>
      </c>
      <c r="C5215">
        <v>153</v>
      </c>
      <c r="D5215">
        <v>8</v>
      </c>
    </row>
    <row r="5216" spans="2:4" x14ac:dyDescent="0.25">
      <c r="B5216" t="s">
        <v>1102</v>
      </c>
      <c r="C5216">
        <v>153</v>
      </c>
      <c r="D5216">
        <v>13</v>
      </c>
    </row>
    <row r="5217" spans="2:4" x14ac:dyDescent="0.25">
      <c r="B5217" t="s">
        <v>1102</v>
      </c>
      <c r="C5217">
        <v>153</v>
      </c>
      <c r="D5217">
        <v>14</v>
      </c>
    </row>
    <row r="5218" spans="2:4" x14ac:dyDescent="0.25">
      <c r="B5218" t="s">
        <v>1102</v>
      </c>
      <c r="C5218">
        <v>154</v>
      </c>
      <c r="D5218">
        <v>6</v>
      </c>
    </row>
    <row r="5219" spans="2:4" x14ac:dyDescent="0.25">
      <c r="B5219" t="s">
        <v>1102</v>
      </c>
      <c r="C5219">
        <v>154</v>
      </c>
      <c r="D5219">
        <v>8</v>
      </c>
    </row>
    <row r="5220" spans="2:4" x14ac:dyDescent="0.25">
      <c r="B5220" t="s">
        <v>1102</v>
      </c>
      <c r="C5220">
        <v>154</v>
      </c>
      <c r="D5220">
        <v>13</v>
      </c>
    </row>
    <row r="5221" spans="2:4" x14ac:dyDescent="0.25">
      <c r="B5221" t="s">
        <v>1102</v>
      </c>
      <c r="C5221">
        <v>154</v>
      </c>
      <c r="D5221">
        <v>14</v>
      </c>
    </row>
    <row r="5222" spans="2:4" x14ac:dyDescent="0.25">
      <c r="B5222" t="s">
        <v>1102</v>
      </c>
      <c r="C5222">
        <v>155</v>
      </c>
      <c r="D5222">
        <v>6</v>
      </c>
    </row>
    <row r="5223" spans="2:4" x14ac:dyDescent="0.25">
      <c r="B5223" t="s">
        <v>1102</v>
      </c>
      <c r="C5223">
        <v>155</v>
      </c>
      <c r="D5223">
        <v>8</v>
      </c>
    </row>
    <row r="5224" spans="2:4" x14ac:dyDescent="0.25">
      <c r="B5224" t="s">
        <v>1102</v>
      </c>
      <c r="C5224">
        <v>155</v>
      </c>
      <c r="D5224">
        <v>13</v>
      </c>
    </row>
    <row r="5225" spans="2:4" x14ac:dyDescent="0.25">
      <c r="B5225" t="s">
        <v>1102</v>
      </c>
      <c r="C5225">
        <v>155</v>
      </c>
      <c r="D5225">
        <v>14</v>
      </c>
    </row>
    <row r="5226" spans="2:4" x14ac:dyDescent="0.25">
      <c r="B5226" t="s">
        <v>1102</v>
      </c>
      <c r="C5226">
        <v>156</v>
      </c>
      <c r="D5226">
        <v>5</v>
      </c>
    </row>
    <row r="5227" spans="2:4" x14ac:dyDescent="0.25">
      <c r="B5227" t="s">
        <v>1102</v>
      </c>
      <c r="C5227">
        <v>157</v>
      </c>
      <c r="D5227">
        <v>6</v>
      </c>
    </row>
    <row r="5228" spans="2:4" x14ac:dyDescent="0.25">
      <c r="B5228" t="s">
        <v>1102</v>
      </c>
      <c r="C5228">
        <v>157</v>
      </c>
      <c r="D5228">
        <v>8</v>
      </c>
    </row>
    <row r="5229" spans="2:4" x14ac:dyDescent="0.25">
      <c r="B5229" t="s">
        <v>1102</v>
      </c>
      <c r="C5229">
        <v>157</v>
      </c>
      <c r="D5229">
        <v>13</v>
      </c>
    </row>
    <row r="5230" spans="2:4" x14ac:dyDescent="0.25">
      <c r="B5230" t="s">
        <v>1102</v>
      </c>
      <c r="C5230">
        <v>157</v>
      </c>
      <c r="D5230">
        <v>14</v>
      </c>
    </row>
    <row r="5231" spans="2:4" x14ac:dyDescent="0.25">
      <c r="B5231" t="s">
        <v>1102</v>
      </c>
      <c r="C5231">
        <v>158</v>
      </c>
      <c r="D5231">
        <v>6</v>
      </c>
    </row>
    <row r="5232" spans="2:4" x14ac:dyDescent="0.25">
      <c r="B5232" t="s">
        <v>1102</v>
      </c>
      <c r="C5232">
        <v>158</v>
      </c>
      <c r="D5232">
        <v>8</v>
      </c>
    </row>
    <row r="5233" spans="2:4" x14ac:dyDescent="0.25">
      <c r="B5233" t="s">
        <v>1102</v>
      </c>
      <c r="C5233">
        <v>158</v>
      </c>
      <c r="D5233">
        <v>13</v>
      </c>
    </row>
    <row r="5234" spans="2:4" x14ac:dyDescent="0.25">
      <c r="B5234" t="s">
        <v>1102</v>
      </c>
      <c r="C5234">
        <v>158</v>
      </c>
      <c r="D5234">
        <v>14</v>
      </c>
    </row>
    <row r="5235" spans="2:4" x14ac:dyDescent="0.25">
      <c r="B5235" t="s">
        <v>1102</v>
      </c>
      <c r="C5235">
        <v>159</v>
      </c>
      <c r="D5235">
        <v>6</v>
      </c>
    </row>
    <row r="5236" spans="2:4" x14ac:dyDescent="0.25">
      <c r="B5236" t="s">
        <v>1102</v>
      </c>
      <c r="C5236">
        <v>159</v>
      </c>
      <c r="D5236">
        <v>8</v>
      </c>
    </row>
    <row r="5237" spans="2:4" x14ac:dyDescent="0.25">
      <c r="B5237" t="s">
        <v>1102</v>
      </c>
      <c r="C5237">
        <v>159</v>
      </c>
      <c r="D5237">
        <v>13</v>
      </c>
    </row>
    <row r="5238" spans="2:4" x14ac:dyDescent="0.25">
      <c r="B5238" t="s">
        <v>1102</v>
      </c>
      <c r="C5238">
        <v>159</v>
      </c>
      <c r="D5238">
        <v>14</v>
      </c>
    </row>
    <row r="5239" spans="2:4" x14ac:dyDescent="0.25">
      <c r="B5239" t="s">
        <v>1102</v>
      </c>
      <c r="C5239">
        <v>160</v>
      </c>
      <c r="D5239">
        <v>6</v>
      </c>
    </row>
    <row r="5240" spans="2:4" x14ac:dyDescent="0.25">
      <c r="B5240" t="s">
        <v>1102</v>
      </c>
      <c r="C5240">
        <v>160</v>
      </c>
      <c r="D5240">
        <v>8</v>
      </c>
    </row>
    <row r="5241" spans="2:4" x14ac:dyDescent="0.25">
      <c r="B5241" t="s">
        <v>1102</v>
      </c>
      <c r="C5241">
        <v>160</v>
      </c>
      <c r="D5241">
        <v>13</v>
      </c>
    </row>
    <row r="5242" spans="2:4" x14ac:dyDescent="0.25">
      <c r="B5242" t="s">
        <v>1102</v>
      </c>
      <c r="C5242">
        <v>160</v>
      </c>
      <c r="D5242">
        <v>14</v>
      </c>
    </row>
    <row r="5243" spans="2:4" x14ac:dyDescent="0.25">
      <c r="B5243" t="s">
        <v>1102</v>
      </c>
      <c r="C5243">
        <v>161</v>
      </c>
      <c r="D5243">
        <v>6</v>
      </c>
    </row>
    <row r="5244" spans="2:4" x14ac:dyDescent="0.25">
      <c r="B5244" t="s">
        <v>1102</v>
      </c>
      <c r="C5244">
        <v>161</v>
      </c>
      <c r="D5244">
        <v>8</v>
      </c>
    </row>
    <row r="5245" spans="2:4" x14ac:dyDescent="0.25">
      <c r="B5245" t="s">
        <v>1102</v>
      </c>
      <c r="C5245">
        <v>161</v>
      </c>
      <c r="D5245">
        <v>13</v>
      </c>
    </row>
    <row r="5246" spans="2:4" x14ac:dyDescent="0.25">
      <c r="B5246" t="s">
        <v>1102</v>
      </c>
      <c r="C5246">
        <v>161</v>
      </c>
      <c r="D5246">
        <v>14</v>
      </c>
    </row>
    <row r="5247" spans="2:4" x14ac:dyDescent="0.25">
      <c r="B5247" t="s">
        <v>1102</v>
      </c>
      <c r="C5247">
        <v>162</v>
      </c>
      <c r="D5247">
        <v>6</v>
      </c>
    </row>
    <row r="5248" spans="2:4" x14ac:dyDescent="0.25">
      <c r="B5248" t="s">
        <v>1102</v>
      </c>
      <c r="C5248">
        <v>162</v>
      </c>
      <c r="D5248">
        <v>8</v>
      </c>
    </row>
    <row r="5249" spans="2:4" x14ac:dyDescent="0.25">
      <c r="B5249" t="s">
        <v>1102</v>
      </c>
      <c r="C5249">
        <v>162</v>
      </c>
      <c r="D5249">
        <v>13</v>
      </c>
    </row>
    <row r="5250" spans="2:4" x14ac:dyDescent="0.25">
      <c r="B5250" t="s">
        <v>1102</v>
      </c>
      <c r="C5250">
        <v>162</v>
      </c>
      <c r="D5250">
        <v>14</v>
      </c>
    </row>
    <row r="5251" spans="2:4" x14ac:dyDescent="0.25">
      <c r="B5251" t="s">
        <v>1102</v>
      </c>
      <c r="C5251">
        <v>163</v>
      </c>
      <c r="D5251">
        <v>5</v>
      </c>
    </row>
    <row r="5252" spans="2:4" x14ac:dyDescent="0.25">
      <c r="B5252" t="s">
        <v>1102</v>
      </c>
      <c r="C5252">
        <v>164</v>
      </c>
      <c r="D5252">
        <v>6</v>
      </c>
    </row>
    <row r="5253" spans="2:4" x14ac:dyDescent="0.25">
      <c r="B5253" t="s">
        <v>1102</v>
      </c>
      <c r="C5253">
        <v>164</v>
      </c>
      <c r="D5253">
        <v>8</v>
      </c>
    </row>
    <row r="5254" spans="2:4" x14ac:dyDescent="0.25">
      <c r="B5254" t="s">
        <v>1102</v>
      </c>
      <c r="C5254">
        <v>164</v>
      </c>
      <c r="D5254">
        <v>13</v>
      </c>
    </row>
    <row r="5255" spans="2:4" x14ac:dyDescent="0.25">
      <c r="B5255" t="s">
        <v>1102</v>
      </c>
      <c r="C5255">
        <v>164</v>
      </c>
      <c r="D5255">
        <v>14</v>
      </c>
    </row>
    <row r="5256" spans="2:4" x14ac:dyDescent="0.25">
      <c r="B5256" t="s">
        <v>1102</v>
      </c>
      <c r="C5256">
        <v>165</v>
      </c>
      <c r="D5256">
        <v>5</v>
      </c>
    </row>
    <row r="5257" spans="2:4" x14ac:dyDescent="0.25">
      <c r="B5257" t="s">
        <v>1102</v>
      </c>
      <c r="C5257">
        <v>166</v>
      </c>
      <c r="D5257">
        <v>6</v>
      </c>
    </row>
    <row r="5258" spans="2:4" x14ac:dyDescent="0.25">
      <c r="B5258" t="s">
        <v>1102</v>
      </c>
      <c r="C5258">
        <v>166</v>
      </c>
      <c r="D5258">
        <v>8</v>
      </c>
    </row>
    <row r="5259" spans="2:4" x14ac:dyDescent="0.25">
      <c r="B5259" t="s">
        <v>1102</v>
      </c>
      <c r="C5259">
        <v>166</v>
      </c>
      <c r="D5259">
        <v>13</v>
      </c>
    </row>
    <row r="5260" spans="2:4" x14ac:dyDescent="0.25">
      <c r="B5260" t="s">
        <v>1102</v>
      </c>
      <c r="C5260">
        <v>166</v>
      </c>
      <c r="D5260">
        <v>14</v>
      </c>
    </row>
    <row r="5261" spans="2:4" x14ac:dyDescent="0.25">
      <c r="B5261" t="s">
        <v>1102</v>
      </c>
      <c r="C5261">
        <v>167</v>
      </c>
      <c r="D5261">
        <v>6</v>
      </c>
    </row>
    <row r="5262" spans="2:4" x14ac:dyDescent="0.25">
      <c r="B5262" t="s">
        <v>1102</v>
      </c>
      <c r="C5262">
        <v>167</v>
      </c>
      <c r="D5262">
        <v>8</v>
      </c>
    </row>
    <row r="5263" spans="2:4" x14ac:dyDescent="0.25">
      <c r="B5263" t="s">
        <v>1102</v>
      </c>
      <c r="C5263">
        <v>167</v>
      </c>
      <c r="D5263">
        <v>13</v>
      </c>
    </row>
    <row r="5264" spans="2:4" x14ac:dyDescent="0.25">
      <c r="B5264" t="s">
        <v>1102</v>
      </c>
      <c r="C5264">
        <v>167</v>
      </c>
      <c r="D5264">
        <v>14</v>
      </c>
    </row>
    <row r="5265" spans="2:4" x14ac:dyDescent="0.25">
      <c r="B5265" t="s">
        <v>1102</v>
      </c>
      <c r="C5265">
        <v>168</v>
      </c>
      <c r="D5265">
        <v>5</v>
      </c>
    </row>
    <row r="5266" spans="2:4" x14ac:dyDescent="0.25">
      <c r="B5266" t="s">
        <v>1102</v>
      </c>
      <c r="C5266">
        <v>169</v>
      </c>
      <c r="D5266">
        <v>6</v>
      </c>
    </row>
    <row r="5267" spans="2:4" x14ac:dyDescent="0.25">
      <c r="B5267" t="s">
        <v>1102</v>
      </c>
      <c r="C5267">
        <v>169</v>
      </c>
      <c r="D5267">
        <v>8</v>
      </c>
    </row>
    <row r="5268" spans="2:4" x14ac:dyDescent="0.25">
      <c r="B5268" t="s">
        <v>1102</v>
      </c>
      <c r="C5268">
        <v>169</v>
      </c>
      <c r="D5268">
        <v>13</v>
      </c>
    </row>
    <row r="5269" spans="2:4" x14ac:dyDescent="0.25">
      <c r="B5269" t="s">
        <v>1102</v>
      </c>
      <c r="C5269">
        <v>169</v>
      </c>
      <c r="D5269">
        <v>14</v>
      </c>
    </row>
    <row r="5270" spans="2:4" x14ac:dyDescent="0.25">
      <c r="B5270" t="s">
        <v>1102</v>
      </c>
      <c r="C5270">
        <v>170</v>
      </c>
      <c r="D5270">
        <v>5</v>
      </c>
    </row>
    <row r="5271" spans="2:4" x14ac:dyDescent="0.25">
      <c r="B5271" t="s">
        <v>1102</v>
      </c>
      <c r="C5271">
        <v>171</v>
      </c>
      <c r="D5271">
        <v>6</v>
      </c>
    </row>
    <row r="5272" spans="2:4" x14ac:dyDescent="0.25">
      <c r="B5272" t="s">
        <v>1102</v>
      </c>
      <c r="C5272">
        <v>171</v>
      </c>
      <c r="D5272">
        <v>8</v>
      </c>
    </row>
    <row r="5273" spans="2:4" x14ac:dyDescent="0.25">
      <c r="B5273" t="s">
        <v>1102</v>
      </c>
      <c r="C5273">
        <v>171</v>
      </c>
      <c r="D5273">
        <v>13</v>
      </c>
    </row>
    <row r="5274" spans="2:4" x14ac:dyDescent="0.25">
      <c r="B5274" t="s">
        <v>1102</v>
      </c>
      <c r="C5274">
        <v>171</v>
      </c>
      <c r="D5274">
        <v>14</v>
      </c>
    </row>
    <row r="5275" spans="2:4" x14ac:dyDescent="0.25">
      <c r="B5275" t="s">
        <v>1102</v>
      </c>
      <c r="C5275">
        <v>172</v>
      </c>
      <c r="D5275">
        <v>6</v>
      </c>
    </row>
    <row r="5276" spans="2:4" x14ac:dyDescent="0.25">
      <c r="B5276" t="s">
        <v>1102</v>
      </c>
      <c r="C5276">
        <v>172</v>
      </c>
      <c r="D5276">
        <v>8</v>
      </c>
    </row>
    <row r="5277" spans="2:4" x14ac:dyDescent="0.25">
      <c r="B5277" t="s">
        <v>1102</v>
      </c>
      <c r="C5277">
        <v>172</v>
      </c>
      <c r="D5277">
        <v>13</v>
      </c>
    </row>
    <row r="5278" spans="2:4" x14ac:dyDescent="0.25">
      <c r="B5278" t="s">
        <v>1102</v>
      </c>
      <c r="C5278">
        <v>172</v>
      </c>
      <c r="D5278">
        <v>14</v>
      </c>
    </row>
    <row r="5279" spans="2:4" x14ac:dyDescent="0.25">
      <c r="B5279" t="s">
        <v>1102</v>
      </c>
      <c r="C5279">
        <v>173</v>
      </c>
      <c r="D5279">
        <v>6</v>
      </c>
    </row>
    <row r="5280" spans="2:4" x14ac:dyDescent="0.25">
      <c r="B5280" t="s">
        <v>1102</v>
      </c>
      <c r="C5280">
        <v>173</v>
      </c>
      <c r="D5280">
        <v>8</v>
      </c>
    </row>
    <row r="5281" spans="2:4" x14ac:dyDescent="0.25">
      <c r="B5281" t="s">
        <v>1102</v>
      </c>
      <c r="C5281">
        <v>173</v>
      </c>
      <c r="D5281">
        <v>13</v>
      </c>
    </row>
    <row r="5282" spans="2:4" x14ac:dyDescent="0.25">
      <c r="B5282" t="s">
        <v>1102</v>
      </c>
      <c r="C5282">
        <v>173</v>
      </c>
      <c r="D5282">
        <v>14</v>
      </c>
    </row>
    <row r="5283" spans="2:4" x14ac:dyDescent="0.25">
      <c r="B5283" t="s">
        <v>1102</v>
      </c>
      <c r="C5283">
        <v>174</v>
      </c>
      <c r="D5283">
        <v>6</v>
      </c>
    </row>
    <row r="5284" spans="2:4" x14ac:dyDescent="0.25">
      <c r="B5284" t="s">
        <v>1102</v>
      </c>
      <c r="C5284">
        <v>174</v>
      </c>
      <c r="D5284">
        <v>8</v>
      </c>
    </row>
    <row r="5285" spans="2:4" x14ac:dyDescent="0.25">
      <c r="B5285" t="s">
        <v>1102</v>
      </c>
      <c r="C5285">
        <v>174</v>
      </c>
      <c r="D5285">
        <v>13</v>
      </c>
    </row>
    <row r="5286" spans="2:4" x14ac:dyDescent="0.25">
      <c r="B5286" t="s">
        <v>1102</v>
      </c>
      <c r="C5286">
        <v>174</v>
      </c>
      <c r="D5286">
        <v>14</v>
      </c>
    </row>
    <row r="5287" spans="2:4" x14ac:dyDescent="0.25">
      <c r="B5287" t="s">
        <v>1102</v>
      </c>
      <c r="C5287">
        <v>175</v>
      </c>
      <c r="D5287">
        <v>5</v>
      </c>
    </row>
    <row r="5288" spans="2:4" x14ac:dyDescent="0.25">
      <c r="B5288" t="s">
        <v>1102</v>
      </c>
      <c r="C5288">
        <v>176</v>
      </c>
      <c r="D5288">
        <v>6</v>
      </c>
    </row>
    <row r="5289" spans="2:4" x14ac:dyDescent="0.25">
      <c r="B5289" t="s">
        <v>1102</v>
      </c>
      <c r="C5289">
        <v>176</v>
      </c>
      <c r="D5289">
        <v>8</v>
      </c>
    </row>
    <row r="5290" spans="2:4" x14ac:dyDescent="0.25">
      <c r="B5290" t="s">
        <v>1102</v>
      </c>
      <c r="C5290">
        <v>176</v>
      </c>
      <c r="D5290">
        <v>13</v>
      </c>
    </row>
    <row r="5291" spans="2:4" x14ac:dyDescent="0.25">
      <c r="B5291" t="s">
        <v>1102</v>
      </c>
      <c r="C5291">
        <v>176</v>
      </c>
      <c r="D5291">
        <v>14</v>
      </c>
    </row>
    <row r="5292" spans="2:4" x14ac:dyDescent="0.25">
      <c r="B5292" t="s">
        <v>1102</v>
      </c>
      <c r="C5292">
        <v>177</v>
      </c>
      <c r="D5292">
        <v>5</v>
      </c>
    </row>
    <row r="5293" spans="2:4" x14ac:dyDescent="0.25">
      <c r="B5293" t="s">
        <v>1102</v>
      </c>
      <c r="C5293">
        <v>178</v>
      </c>
      <c r="D5293">
        <v>6</v>
      </c>
    </row>
    <row r="5294" spans="2:4" x14ac:dyDescent="0.25">
      <c r="B5294" t="s">
        <v>1102</v>
      </c>
      <c r="C5294">
        <v>178</v>
      </c>
      <c r="D5294">
        <v>8</v>
      </c>
    </row>
    <row r="5295" spans="2:4" x14ac:dyDescent="0.25">
      <c r="B5295" t="s">
        <v>1102</v>
      </c>
      <c r="C5295">
        <v>178</v>
      </c>
      <c r="D5295">
        <v>13</v>
      </c>
    </row>
    <row r="5296" spans="2:4" x14ac:dyDescent="0.25">
      <c r="B5296" t="s">
        <v>1102</v>
      </c>
      <c r="C5296">
        <v>178</v>
      </c>
      <c r="D5296">
        <v>14</v>
      </c>
    </row>
    <row r="5297" spans="2:4" x14ac:dyDescent="0.25">
      <c r="B5297" t="s">
        <v>1102</v>
      </c>
      <c r="C5297">
        <v>179</v>
      </c>
      <c r="D5297">
        <v>6</v>
      </c>
    </row>
    <row r="5298" spans="2:4" x14ac:dyDescent="0.25">
      <c r="B5298" t="s">
        <v>1102</v>
      </c>
      <c r="C5298">
        <v>179</v>
      </c>
      <c r="D5298">
        <v>8</v>
      </c>
    </row>
    <row r="5299" spans="2:4" x14ac:dyDescent="0.25">
      <c r="B5299" t="s">
        <v>1102</v>
      </c>
      <c r="C5299">
        <v>179</v>
      </c>
      <c r="D5299">
        <v>13</v>
      </c>
    </row>
    <row r="5300" spans="2:4" x14ac:dyDescent="0.25">
      <c r="B5300" t="s">
        <v>1102</v>
      </c>
      <c r="C5300">
        <v>179</v>
      </c>
      <c r="D5300">
        <v>14</v>
      </c>
    </row>
    <row r="5301" spans="2:4" x14ac:dyDescent="0.25">
      <c r="B5301" t="s">
        <v>1102</v>
      </c>
      <c r="C5301">
        <v>180</v>
      </c>
      <c r="D5301">
        <v>6</v>
      </c>
    </row>
    <row r="5302" spans="2:4" x14ac:dyDescent="0.25">
      <c r="B5302" t="s">
        <v>1102</v>
      </c>
      <c r="C5302">
        <v>180</v>
      </c>
      <c r="D5302">
        <v>8</v>
      </c>
    </row>
    <row r="5303" spans="2:4" x14ac:dyDescent="0.25">
      <c r="B5303" t="s">
        <v>1102</v>
      </c>
      <c r="C5303">
        <v>180</v>
      </c>
      <c r="D5303">
        <v>13</v>
      </c>
    </row>
    <row r="5304" spans="2:4" x14ac:dyDescent="0.25">
      <c r="B5304" t="s">
        <v>1102</v>
      </c>
      <c r="C5304">
        <v>180</v>
      </c>
      <c r="D5304">
        <v>14</v>
      </c>
    </row>
    <row r="5305" spans="2:4" x14ac:dyDescent="0.25">
      <c r="B5305" t="s">
        <v>1102</v>
      </c>
      <c r="C5305">
        <v>181</v>
      </c>
      <c r="D5305">
        <v>6</v>
      </c>
    </row>
    <row r="5306" spans="2:4" x14ac:dyDescent="0.25">
      <c r="B5306" t="s">
        <v>1102</v>
      </c>
      <c r="C5306">
        <v>181</v>
      </c>
      <c r="D5306">
        <v>8</v>
      </c>
    </row>
    <row r="5307" spans="2:4" x14ac:dyDescent="0.25">
      <c r="B5307" t="s">
        <v>1102</v>
      </c>
      <c r="C5307">
        <v>181</v>
      </c>
      <c r="D5307">
        <v>13</v>
      </c>
    </row>
    <row r="5308" spans="2:4" x14ac:dyDescent="0.25">
      <c r="B5308" t="s">
        <v>1102</v>
      </c>
      <c r="C5308">
        <v>181</v>
      </c>
      <c r="D5308">
        <v>14</v>
      </c>
    </row>
    <row r="5309" spans="2:4" x14ac:dyDescent="0.25">
      <c r="B5309" t="s">
        <v>1102</v>
      </c>
      <c r="C5309">
        <v>182</v>
      </c>
      <c r="D5309">
        <v>6</v>
      </c>
    </row>
    <row r="5310" spans="2:4" x14ac:dyDescent="0.25">
      <c r="B5310" t="s">
        <v>1102</v>
      </c>
      <c r="C5310">
        <v>182</v>
      </c>
      <c r="D5310">
        <v>8</v>
      </c>
    </row>
    <row r="5311" spans="2:4" x14ac:dyDescent="0.25">
      <c r="B5311" t="s">
        <v>1102</v>
      </c>
      <c r="C5311">
        <v>182</v>
      </c>
      <c r="D5311">
        <v>13</v>
      </c>
    </row>
    <row r="5312" spans="2:4" x14ac:dyDescent="0.25">
      <c r="B5312" t="s">
        <v>1102</v>
      </c>
      <c r="C5312">
        <v>182</v>
      </c>
      <c r="D5312">
        <v>14</v>
      </c>
    </row>
    <row r="5313" spans="2:4" x14ac:dyDescent="0.25">
      <c r="B5313" t="s">
        <v>1102</v>
      </c>
      <c r="C5313">
        <v>183</v>
      </c>
      <c r="D5313">
        <v>5</v>
      </c>
    </row>
    <row r="5314" spans="2:4" x14ac:dyDescent="0.25">
      <c r="B5314" t="s">
        <v>1102</v>
      </c>
      <c r="C5314">
        <v>184</v>
      </c>
      <c r="D5314">
        <v>6</v>
      </c>
    </row>
    <row r="5315" spans="2:4" x14ac:dyDescent="0.25">
      <c r="B5315" t="s">
        <v>1102</v>
      </c>
      <c r="C5315">
        <v>184</v>
      </c>
      <c r="D5315">
        <v>8</v>
      </c>
    </row>
    <row r="5316" spans="2:4" x14ac:dyDescent="0.25">
      <c r="B5316" t="s">
        <v>1102</v>
      </c>
      <c r="C5316">
        <v>184</v>
      </c>
      <c r="D5316">
        <v>13</v>
      </c>
    </row>
    <row r="5317" spans="2:4" x14ac:dyDescent="0.25">
      <c r="B5317" t="s">
        <v>1102</v>
      </c>
      <c r="C5317">
        <v>184</v>
      </c>
      <c r="D5317">
        <v>14</v>
      </c>
    </row>
    <row r="5318" spans="2:4" x14ac:dyDescent="0.25">
      <c r="B5318" t="s">
        <v>1102</v>
      </c>
      <c r="C5318">
        <v>185</v>
      </c>
      <c r="D5318">
        <v>6</v>
      </c>
    </row>
    <row r="5319" spans="2:4" x14ac:dyDescent="0.25">
      <c r="B5319" t="s">
        <v>1102</v>
      </c>
      <c r="C5319">
        <v>185</v>
      </c>
      <c r="D5319">
        <v>8</v>
      </c>
    </row>
    <row r="5320" spans="2:4" x14ac:dyDescent="0.25">
      <c r="B5320" t="s">
        <v>1102</v>
      </c>
      <c r="C5320">
        <v>185</v>
      </c>
      <c r="D5320">
        <v>13</v>
      </c>
    </row>
    <row r="5321" spans="2:4" x14ac:dyDescent="0.25">
      <c r="B5321" t="s">
        <v>1102</v>
      </c>
      <c r="C5321">
        <v>185</v>
      </c>
      <c r="D5321">
        <v>14</v>
      </c>
    </row>
    <row r="5322" spans="2:4" x14ac:dyDescent="0.25">
      <c r="B5322" t="s">
        <v>1102</v>
      </c>
      <c r="C5322">
        <v>186</v>
      </c>
      <c r="D5322">
        <v>6</v>
      </c>
    </row>
    <row r="5323" spans="2:4" x14ac:dyDescent="0.25">
      <c r="B5323" t="s">
        <v>1102</v>
      </c>
      <c r="C5323">
        <v>186</v>
      </c>
      <c r="D5323">
        <v>8</v>
      </c>
    </row>
    <row r="5324" spans="2:4" x14ac:dyDescent="0.25">
      <c r="B5324" t="s">
        <v>1102</v>
      </c>
      <c r="C5324">
        <v>186</v>
      </c>
      <c r="D5324">
        <v>13</v>
      </c>
    </row>
    <row r="5325" spans="2:4" x14ac:dyDescent="0.25">
      <c r="B5325" t="s">
        <v>1102</v>
      </c>
      <c r="C5325">
        <v>186</v>
      </c>
      <c r="D5325">
        <v>14</v>
      </c>
    </row>
    <row r="5326" spans="2:4" x14ac:dyDescent="0.25">
      <c r="B5326" t="s">
        <v>1102</v>
      </c>
      <c r="C5326">
        <v>187</v>
      </c>
      <c r="D5326">
        <v>6</v>
      </c>
    </row>
    <row r="5327" spans="2:4" x14ac:dyDescent="0.25">
      <c r="B5327" t="s">
        <v>1102</v>
      </c>
      <c r="C5327">
        <v>187</v>
      </c>
      <c r="D5327">
        <v>8</v>
      </c>
    </row>
    <row r="5328" spans="2:4" x14ac:dyDescent="0.25">
      <c r="B5328" t="s">
        <v>1102</v>
      </c>
      <c r="C5328">
        <v>187</v>
      </c>
      <c r="D5328">
        <v>13</v>
      </c>
    </row>
    <row r="5329" spans="2:4" x14ac:dyDescent="0.25">
      <c r="B5329" t="s">
        <v>1102</v>
      </c>
      <c r="C5329">
        <v>187</v>
      </c>
      <c r="D5329">
        <v>14</v>
      </c>
    </row>
    <row r="5330" spans="2:4" x14ac:dyDescent="0.25">
      <c r="B5330" t="s">
        <v>1102</v>
      </c>
      <c r="C5330">
        <v>188</v>
      </c>
      <c r="D5330">
        <v>6</v>
      </c>
    </row>
    <row r="5331" spans="2:4" x14ac:dyDescent="0.25">
      <c r="B5331" t="s">
        <v>1102</v>
      </c>
      <c r="C5331">
        <v>188</v>
      </c>
      <c r="D5331">
        <v>8</v>
      </c>
    </row>
    <row r="5332" spans="2:4" x14ac:dyDescent="0.25">
      <c r="B5332" t="s">
        <v>1102</v>
      </c>
      <c r="C5332">
        <v>188</v>
      </c>
      <c r="D5332">
        <v>13</v>
      </c>
    </row>
    <row r="5333" spans="2:4" x14ac:dyDescent="0.25">
      <c r="B5333" t="s">
        <v>1102</v>
      </c>
      <c r="C5333">
        <v>188</v>
      </c>
      <c r="D5333">
        <v>14</v>
      </c>
    </row>
    <row r="5334" spans="2:4" x14ac:dyDescent="0.25">
      <c r="B5334" t="s">
        <v>1102</v>
      </c>
      <c r="C5334">
        <v>189</v>
      </c>
      <c r="D5334">
        <v>6</v>
      </c>
    </row>
    <row r="5335" spans="2:4" x14ac:dyDescent="0.25">
      <c r="B5335" t="s">
        <v>1102</v>
      </c>
      <c r="C5335">
        <v>189</v>
      </c>
      <c r="D5335">
        <v>8</v>
      </c>
    </row>
    <row r="5336" spans="2:4" x14ac:dyDescent="0.25">
      <c r="B5336" t="s">
        <v>1102</v>
      </c>
      <c r="C5336">
        <v>189</v>
      </c>
      <c r="D5336">
        <v>13</v>
      </c>
    </row>
    <row r="5337" spans="2:4" x14ac:dyDescent="0.25">
      <c r="B5337" t="s">
        <v>1102</v>
      </c>
      <c r="C5337">
        <v>189</v>
      </c>
      <c r="D5337">
        <v>14</v>
      </c>
    </row>
    <row r="5338" spans="2:4" x14ac:dyDescent="0.25">
      <c r="B5338" t="s">
        <v>1102</v>
      </c>
      <c r="C5338">
        <v>190</v>
      </c>
      <c r="D5338">
        <v>5</v>
      </c>
    </row>
    <row r="5339" spans="2:4" x14ac:dyDescent="0.25">
      <c r="B5339" t="s">
        <v>1102</v>
      </c>
      <c r="C5339">
        <v>190</v>
      </c>
      <c r="D5339">
        <v>11</v>
      </c>
    </row>
    <row r="5340" spans="2:4" x14ac:dyDescent="0.25">
      <c r="B5340" t="s">
        <v>1102</v>
      </c>
      <c r="C5340">
        <v>191</v>
      </c>
      <c r="D5340">
        <v>5</v>
      </c>
    </row>
    <row r="5341" spans="2:4" x14ac:dyDescent="0.25">
      <c r="B5341" t="s">
        <v>1102</v>
      </c>
      <c r="C5341">
        <v>192</v>
      </c>
      <c r="D5341">
        <v>6</v>
      </c>
    </row>
    <row r="5342" spans="2:4" x14ac:dyDescent="0.25">
      <c r="B5342" t="s">
        <v>1102</v>
      </c>
      <c r="C5342">
        <v>192</v>
      </c>
      <c r="D5342">
        <v>8</v>
      </c>
    </row>
    <row r="5343" spans="2:4" x14ac:dyDescent="0.25">
      <c r="B5343" t="s">
        <v>1102</v>
      </c>
      <c r="C5343">
        <v>192</v>
      </c>
      <c r="D5343">
        <v>13</v>
      </c>
    </row>
    <row r="5344" spans="2:4" x14ac:dyDescent="0.25">
      <c r="B5344" t="s">
        <v>1102</v>
      </c>
      <c r="C5344">
        <v>192</v>
      </c>
      <c r="D5344">
        <v>14</v>
      </c>
    </row>
    <row r="5345" spans="2:4" x14ac:dyDescent="0.25">
      <c r="B5345" t="s">
        <v>1102</v>
      </c>
      <c r="C5345">
        <v>193</v>
      </c>
      <c r="D5345">
        <v>6</v>
      </c>
    </row>
    <row r="5346" spans="2:4" x14ac:dyDescent="0.25">
      <c r="B5346" t="s">
        <v>1102</v>
      </c>
      <c r="C5346">
        <v>193</v>
      </c>
      <c r="D5346">
        <v>8</v>
      </c>
    </row>
    <row r="5347" spans="2:4" x14ac:dyDescent="0.25">
      <c r="B5347" t="s">
        <v>1102</v>
      </c>
      <c r="C5347">
        <v>193</v>
      </c>
      <c r="D5347">
        <v>13</v>
      </c>
    </row>
    <row r="5348" spans="2:4" x14ac:dyDescent="0.25">
      <c r="B5348" t="s">
        <v>1102</v>
      </c>
      <c r="C5348">
        <v>193</v>
      </c>
      <c r="D5348">
        <v>14</v>
      </c>
    </row>
    <row r="5349" spans="2:4" x14ac:dyDescent="0.25">
      <c r="B5349" t="s">
        <v>1102</v>
      </c>
      <c r="C5349">
        <v>194</v>
      </c>
      <c r="D5349">
        <v>6</v>
      </c>
    </row>
    <row r="5350" spans="2:4" x14ac:dyDescent="0.25">
      <c r="B5350" t="s">
        <v>1102</v>
      </c>
      <c r="C5350">
        <v>194</v>
      </c>
      <c r="D5350">
        <v>8</v>
      </c>
    </row>
    <row r="5351" spans="2:4" x14ac:dyDescent="0.25">
      <c r="B5351" t="s">
        <v>1102</v>
      </c>
      <c r="C5351">
        <v>194</v>
      </c>
      <c r="D5351">
        <v>13</v>
      </c>
    </row>
    <row r="5352" spans="2:4" x14ac:dyDescent="0.25">
      <c r="B5352" t="s">
        <v>1102</v>
      </c>
      <c r="C5352">
        <v>194</v>
      </c>
      <c r="D5352">
        <v>14</v>
      </c>
    </row>
    <row r="5353" spans="2:4" x14ac:dyDescent="0.25">
      <c r="B5353" t="s">
        <v>1102</v>
      </c>
      <c r="C5353">
        <v>195</v>
      </c>
      <c r="D5353">
        <v>6</v>
      </c>
    </row>
    <row r="5354" spans="2:4" x14ac:dyDescent="0.25">
      <c r="B5354" t="s">
        <v>1102</v>
      </c>
      <c r="C5354">
        <v>195</v>
      </c>
      <c r="D5354">
        <v>8</v>
      </c>
    </row>
    <row r="5355" spans="2:4" x14ac:dyDescent="0.25">
      <c r="B5355" t="s">
        <v>1102</v>
      </c>
      <c r="C5355">
        <v>195</v>
      </c>
      <c r="D5355">
        <v>13</v>
      </c>
    </row>
    <row r="5356" spans="2:4" x14ac:dyDescent="0.25">
      <c r="B5356" t="s">
        <v>1102</v>
      </c>
      <c r="C5356">
        <v>195</v>
      </c>
      <c r="D5356">
        <v>14</v>
      </c>
    </row>
    <row r="5357" spans="2:4" x14ac:dyDescent="0.25">
      <c r="B5357" t="s">
        <v>1102</v>
      </c>
      <c r="C5357">
        <v>196</v>
      </c>
      <c r="D5357">
        <v>6</v>
      </c>
    </row>
    <row r="5358" spans="2:4" x14ac:dyDescent="0.25">
      <c r="B5358" t="s">
        <v>1102</v>
      </c>
      <c r="C5358">
        <v>196</v>
      </c>
      <c r="D5358">
        <v>8</v>
      </c>
    </row>
    <row r="5359" spans="2:4" x14ac:dyDescent="0.25">
      <c r="B5359" t="s">
        <v>1102</v>
      </c>
      <c r="C5359">
        <v>196</v>
      </c>
      <c r="D5359">
        <v>13</v>
      </c>
    </row>
    <row r="5360" spans="2:4" x14ac:dyDescent="0.25">
      <c r="B5360" t="s">
        <v>1102</v>
      </c>
      <c r="C5360">
        <v>196</v>
      </c>
      <c r="D5360">
        <v>14</v>
      </c>
    </row>
    <row r="5361" spans="2:4" x14ac:dyDescent="0.25">
      <c r="B5361" t="s">
        <v>1102</v>
      </c>
      <c r="C5361">
        <v>197</v>
      </c>
      <c r="D5361">
        <v>6</v>
      </c>
    </row>
    <row r="5362" spans="2:4" x14ac:dyDescent="0.25">
      <c r="B5362" t="s">
        <v>1102</v>
      </c>
      <c r="C5362">
        <v>197</v>
      </c>
      <c r="D5362">
        <v>8</v>
      </c>
    </row>
    <row r="5363" spans="2:4" x14ac:dyDescent="0.25">
      <c r="B5363" t="s">
        <v>1102</v>
      </c>
      <c r="C5363">
        <v>197</v>
      </c>
      <c r="D5363">
        <v>13</v>
      </c>
    </row>
    <row r="5364" spans="2:4" x14ac:dyDescent="0.25">
      <c r="B5364" t="s">
        <v>1102</v>
      </c>
      <c r="C5364">
        <v>197</v>
      </c>
      <c r="D5364">
        <v>14</v>
      </c>
    </row>
    <row r="5365" spans="2:4" x14ac:dyDescent="0.25">
      <c r="B5365" t="s">
        <v>1102</v>
      </c>
      <c r="C5365">
        <v>198</v>
      </c>
      <c r="D5365">
        <v>6</v>
      </c>
    </row>
    <row r="5366" spans="2:4" x14ac:dyDescent="0.25">
      <c r="B5366" t="s">
        <v>1102</v>
      </c>
      <c r="C5366">
        <v>198</v>
      </c>
      <c r="D5366">
        <v>8</v>
      </c>
    </row>
    <row r="5367" spans="2:4" x14ac:dyDescent="0.25">
      <c r="B5367" t="s">
        <v>1102</v>
      </c>
      <c r="C5367">
        <v>198</v>
      </c>
      <c r="D5367">
        <v>13</v>
      </c>
    </row>
    <row r="5368" spans="2:4" x14ac:dyDescent="0.25">
      <c r="B5368" t="s">
        <v>1102</v>
      </c>
      <c r="C5368">
        <v>198</v>
      </c>
      <c r="D5368">
        <v>14</v>
      </c>
    </row>
    <row r="5369" spans="2:4" x14ac:dyDescent="0.25">
      <c r="B5369" t="s">
        <v>1102</v>
      </c>
      <c r="C5369">
        <v>199</v>
      </c>
      <c r="D5369">
        <v>6</v>
      </c>
    </row>
    <row r="5370" spans="2:4" x14ac:dyDescent="0.25">
      <c r="B5370" t="s">
        <v>1102</v>
      </c>
      <c r="C5370">
        <v>199</v>
      </c>
      <c r="D5370">
        <v>8</v>
      </c>
    </row>
    <row r="5371" spans="2:4" x14ac:dyDescent="0.25">
      <c r="B5371" t="s">
        <v>1102</v>
      </c>
      <c r="C5371">
        <v>199</v>
      </c>
      <c r="D5371">
        <v>13</v>
      </c>
    </row>
    <row r="5372" spans="2:4" x14ac:dyDescent="0.25">
      <c r="B5372" t="s">
        <v>1102</v>
      </c>
      <c r="C5372">
        <v>199</v>
      </c>
      <c r="D5372">
        <v>14</v>
      </c>
    </row>
    <row r="5373" spans="2:4" x14ac:dyDescent="0.25">
      <c r="B5373" t="s">
        <v>1102</v>
      </c>
      <c r="C5373">
        <v>200</v>
      </c>
      <c r="D5373">
        <v>6</v>
      </c>
    </row>
    <row r="5374" spans="2:4" x14ac:dyDescent="0.25">
      <c r="B5374" t="s">
        <v>1102</v>
      </c>
      <c r="C5374">
        <v>200</v>
      </c>
      <c r="D5374">
        <v>8</v>
      </c>
    </row>
    <row r="5375" spans="2:4" x14ac:dyDescent="0.25">
      <c r="B5375" t="s">
        <v>1102</v>
      </c>
      <c r="C5375">
        <v>200</v>
      </c>
      <c r="D5375">
        <v>13</v>
      </c>
    </row>
    <row r="5376" spans="2:4" x14ac:dyDescent="0.25">
      <c r="B5376" t="s">
        <v>1102</v>
      </c>
      <c r="C5376">
        <v>200</v>
      </c>
      <c r="D5376">
        <v>14</v>
      </c>
    </row>
    <row r="5377" spans="2:4" x14ac:dyDescent="0.25">
      <c r="B5377" t="s">
        <v>1102</v>
      </c>
      <c r="C5377">
        <v>201</v>
      </c>
      <c r="D5377">
        <v>5</v>
      </c>
    </row>
    <row r="5378" spans="2:4" x14ac:dyDescent="0.25">
      <c r="B5378" t="s">
        <v>1102</v>
      </c>
      <c r="C5378">
        <v>202</v>
      </c>
      <c r="D5378">
        <v>6</v>
      </c>
    </row>
    <row r="5379" spans="2:4" x14ac:dyDescent="0.25">
      <c r="B5379" t="s">
        <v>1102</v>
      </c>
      <c r="C5379">
        <v>202</v>
      </c>
      <c r="D5379">
        <v>8</v>
      </c>
    </row>
    <row r="5380" spans="2:4" x14ac:dyDescent="0.25">
      <c r="B5380" t="s">
        <v>1102</v>
      </c>
      <c r="C5380">
        <v>202</v>
      </c>
      <c r="D5380">
        <v>13</v>
      </c>
    </row>
    <row r="5381" spans="2:4" x14ac:dyDescent="0.25">
      <c r="B5381" t="s">
        <v>1102</v>
      </c>
      <c r="C5381">
        <v>202</v>
      </c>
      <c r="D5381">
        <v>14</v>
      </c>
    </row>
    <row r="5382" spans="2:4" x14ac:dyDescent="0.25">
      <c r="B5382" t="s">
        <v>1102</v>
      </c>
      <c r="C5382">
        <v>203</v>
      </c>
      <c r="D5382">
        <v>6</v>
      </c>
    </row>
    <row r="5383" spans="2:4" x14ac:dyDescent="0.25">
      <c r="B5383" t="s">
        <v>1102</v>
      </c>
      <c r="C5383">
        <v>203</v>
      </c>
      <c r="D5383">
        <v>8</v>
      </c>
    </row>
    <row r="5384" spans="2:4" x14ac:dyDescent="0.25">
      <c r="B5384" t="s">
        <v>1102</v>
      </c>
      <c r="C5384">
        <v>203</v>
      </c>
      <c r="D5384">
        <v>13</v>
      </c>
    </row>
    <row r="5385" spans="2:4" x14ac:dyDescent="0.25">
      <c r="B5385" t="s">
        <v>1102</v>
      </c>
      <c r="C5385">
        <v>203</v>
      </c>
      <c r="D5385">
        <v>14</v>
      </c>
    </row>
    <row r="5386" spans="2:4" x14ac:dyDescent="0.25">
      <c r="B5386" t="s">
        <v>1102</v>
      </c>
      <c r="C5386">
        <v>204</v>
      </c>
      <c r="D5386">
        <v>6</v>
      </c>
    </row>
    <row r="5387" spans="2:4" x14ac:dyDescent="0.25">
      <c r="B5387" t="s">
        <v>1102</v>
      </c>
      <c r="C5387">
        <v>204</v>
      </c>
      <c r="D5387">
        <v>8</v>
      </c>
    </row>
    <row r="5388" spans="2:4" x14ac:dyDescent="0.25">
      <c r="B5388" t="s">
        <v>1102</v>
      </c>
      <c r="C5388">
        <v>204</v>
      </c>
      <c r="D5388">
        <v>13</v>
      </c>
    </row>
    <row r="5389" spans="2:4" x14ac:dyDescent="0.25">
      <c r="B5389" t="s">
        <v>1102</v>
      </c>
      <c r="C5389">
        <v>204</v>
      </c>
      <c r="D5389">
        <v>14</v>
      </c>
    </row>
    <row r="5390" spans="2:4" x14ac:dyDescent="0.25">
      <c r="B5390" t="s">
        <v>1102</v>
      </c>
      <c r="C5390">
        <v>205</v>
      </c>
      <c r="D5390">
        <v>6</v>
      </c>
    </row>
    <row r="5391" spans="2:4" x14ac:dyDescent="0.25">
      <c r="B5391" t="s">
        <v>1102</v>
      </c>
      <c r="C5391">
        <v>205</v>
      </c>
      <c r="D5391">
        <v>8</v>
      </c>
    </row>
    <row r="5392" spans="2:4" x14ac:dyDescent="0.25">
      <c r="B5392" t="s">
        <v>1102</v>
      </c>
      <c r="C5392">
        <v>205</v>
      </c>
      <c r="D5392">
        <v>13</v>
      </c>
    </row>
    <row r="5393" spans="2:4" x14ac:dyDescent="0.25">
      <c r="B5393" t="s">
        <v>1102</v>
      </c>
      <c r="C5393">
        <v>205</v>
      </c>
      <c r="D5393">
        <v>14</v>
      </c>
    </row>
    <row r="5394" spans="2:4" x14ac:dyDescent="0.25">
      <c r="B5394" t="s">
        <v>1102</v>
      </c>
      <c r="C5394">
        <v>206</v>
      </c>
      <c r="D5394">
        <v>6</v>
      </c>
    </row>
    <row r="5395" spans="2:4" x14ac:dyDescent="0.25">
      <c r="B5395" t="s">
        <v>1102</v>
      </c>
      <c r="C5395">
        <v>206</v>
      </c>
      <c r="D5395">
        <v>8</v>
      </c>
    </row>
    <row r="5396" spans="2:4" x14ac:dyDescent="0.25">
      <c r="B5396" t="s">
        <v>1102</v>
      </c>
      <c r="C5396">
        <v>206</v>
      </c>
      <c r="D5396">
        <v>13</v>
      </c>
    </row>
    <row r="5397" spans="2:4" x14ac:dyDescent="0.25">
      <c r="B5397" t="s">
        <v>1102</v>
      </c>
      <c r="C5397">
        <v>206</v>
      </c>
      <c r="D5397">
        <v>14</v>
      </c>
    </row>
    <row r="5398" spans="2:4" x14ac:dyDescent="0.25">
      <c r="B5398" t="s">
        <v>1102</v>
      </c>
      <c r="C5398">
        <v>207</v>
      </c>
      <c r="D5398">
        <v>6</v>
      </c>
    </row>
    <row r="5399" spans="2:4" x14ac:dyDescent="0.25">
      <c r="B5399" t="s">
        <v>1102</v>
      </c>
      <c r="C5399">
        <v>207</v>
      </c>
      <c r="D5399">
        <v>8</v>
      </c>
    </row>
    <row r="5400" spans="2:4" x14ac:dyDescent="0.25">
      <c r="B5400" t="s">
        <v>1102</v>
      </c>
      <c r="C5400">
        <v>207</v>
      </c>
      <c r="D5400">
        <v>13</v>
      </c>
    </row>
    <row r="5401" spans="2:4" x14ac:dyDescent="0.25">
      <c r="B5401" t="s">
        <v>1102</v>
      </c>
      <c r="C5401">
        <v>207</v>
      </c>
      <c r="D5401">
        <v>14</v>
      </c>
    </row>
    <row r="5402" spans="2:4" x14ac:dyDescent="0.25">
      <c r="B5402" t="s">
        <v>1102</v>
      </c>
      <c r="C5402">
        <v>208</v>
      </c>
      <c r="D5402">
        <v>6</v>
      </c>
    </row>
    <row r="5403" spans="2:4" x14ac:dyDescent="0.25">
      <c r="B5403" t="s">
        <v>1102</v>
      </c>
      <c r="C5403">
        <v>208</v>
      </c>
      <c r="D5403">
        <v>8</v>
      </c>
    </row>
    <row r="5404" spans="2:4" x14ac:dyDescent="0.25">
      <c r="B5404" t="s">
        <v>1102</v>
      </c>
      <c r="C5404">
        <v>208</v>
      </c>
      <c r="D5404">
        <v>13</v>
      </c>
    </row>
    <row r="5405" spans="2:4" x14ac:dyDescent="0.25">
      <c r="B5405" t="s">
        <v>1102</v>
      </c>
      <c r="C5405">
        <v>208</v>
      </c>
      <c r="D5405">
        <v>14</v>
      </c>
    </row>
    <row r="5406" spans="2:4" x14ac:dyDescent="0.25">
      <c r="B5406" t="s">
        <v>1102</v>
      </c>
      <c r="C5406">
        <v>209</v>
      </c>
      <c r="D5406">
        <v>6</v>
      </c>
    </row>
    <row r="5407" spans="2:4" x14ac:dyDescent="0.25">
      <c r="B5407" t="s">
        <v>1102</v>
      </c>
      <c r="C5407">
        <v>209</v>
      </c>
      <c r="D5407">
        <v>8</v>
      </c>
    </row>
    <row r="5408" spans="2:4" x14ac:dyDescent="0.25">
      <c r="B5408" t="s">
        <v>1102</v>
      </c>
      <c r="C5408">
        <v>209</v>
      </c>
      <c r="D5408">
        <v>13</v>
      </c>
    </row>
    <row r="5409" spans="2:4" x14ac:dyDescent="0.25">
      <c r="B5409" t="s">
        <v>1102</v>
      </c>
      <c r="C5409">
        <v>209</v>
      </c>
      <c r="D5409">
        <v>14</v>
      </c>
    </row>
    <row r="5410" spans="2:4" x14ac:dyDescent="0.25">
      <c r="B5410" t="s">
        <v>1102</v>
      </c>
      <c r="C5410">
        <v>210</v>
      </c>
      <c r="D5410">
        <v>6</v>
      </c>
    </row>
    <row r="5411" spans="2:4" x14ac:dyDescent="0.25">
      <c r="B5411" t="s">
        <v>1102</v>
      </c>
      <c r="C5411">
        <v>210</v>
      </c>
      <c r="D5411">
        <v>8</v>
      </c>
    </row>
    <row r="5412" spans="2:4" x14ac:dyDescent="0.25">
      <c r="B5412" t="s">
        <v>1102</v>
      </c>
      <c r="C5412">
        <v>210</v>
      </c>
      <c r="D5412">
        <v>13</v>
      </c>
    </row>
    <row r="5413" spans="2:4" x14ac:dyDescent="0.25">
      <c r="B5413" t="s">
        <v>1102</v>
      </c>
      <c r="C5413">
        <v>210</v>
      </c>
      <c r="D5413">
        <v>14</v>
      </c>
    </row>
    <row r="5414" spans="2:4" x14ac:dyDescent="0.25">
      <c r="B5414" t="s">
        <v>1102</v>
      </c>
      <c r="C5414">
        <v>211</v>
      </c>
      <c r="D5414">
        <v>6</v>
      </c>
    </row>
    <row r="5415" spans="2:4" x14ac:dyDescent="0.25">
      <c r="B5415" t="s">
        <v>1102</v>
      </c>
      <c r="C5415">
        <v>211</v>
      </c>
      <c r="D5415">
        <v>8</v>
      </c>
    </row>
    <row r="5416" spans="2:4" x14ac:dyDescent="0.25">
      <c r="B5416" t="s">
        <v>1102</v>
      </c>
      <c r="C5416">
        <v>211</v>
      </c>
      <c r="D5416">
        <v>13</v>
      </c>
    </row>
    <row r="5417" spans="2:4" x14ac:dyDescent="0.25">
      <c r="B5417" t="s">
        <v>1102</v>
      </c>
      <c r="C5417">
        <v>211</v>
      </c>
      <c r="D5417">
        <v>14</v>
      </c>
    </row>
    <row r="5418" spans="2:4" x14ac:dyDescent="0.25">
      <c r="B5418" t="s">
        <v>1102</v>
      </c>
      <c r="C5418">
        <v>212</v>
      </c>
      <c r="D5418">
        <v>5</v>
      </c>
    </row>
    <row r="5419" spans="2:4" x14ac:dyDescent="0.25">
      <c r="B5419" t="s">
        <v>1102</v>
      </c>
      <c r="C5419">
        <v>213</v>
      </c>
      <c r="D5419">
        <v>6</v>
      </c>
    </row>
    <row r="5420" spans="2:4" x14ac:dyDescent="0.25">
      <c r="B5420" t="s">
        <v>1102</v>
      </c>
      <c r="C5420">
        <v>213</v>
      </c>
      <c r="D5420">
        <v>8</v>
      </c>
    </row>
    <row r="5421" spans="2:4" x14ac:dyDescent="0.25">
      <c r="B5421" t="s">
        <v>1102</v>
      </c>
      <c r="C5421">
        <v>213</v>
      </c>
      <c r="D5421">
        <v>13</v>
      </c>
    </row>
    <row r="5422" spans="2:4" x14ac:dyDescent="0.25">
      <c r="B5422" t="s">
        <v>1102</v>
      </c>
      <c r="C5422">
        <v>213</v>
      </c>
      <c r="D5422">
        <v>14</v>
      </c>
    </row>
    <row r="5423" spans="2:4" x14ac:dyDescent="0.25">
      <c r="B5423" t="s">
        <v>1102</v>
      </c>
      <c r="C5423">
        <v>214</v>
      </c>
      <c r="D5423">
        <v>6</v>
      </c>
    </row>
    <row r="5424" spans="2:4" x14ac:dyDescent="0.25">
      <c r="B5424" t="s">
        <v>1102</v>
      </c>
      <c r="C5424">
        <v>214</v>
      </c>
      <c r="D5424">
        <v>8</v>
      </c>
    </row>
    <row r="5425" spans="2:4" x14ac:dyDescent="0.25">
      <c r="B5425" t="s">
        <v>1102</v>
      </c>
      <c r="C5425">
        <v>214</v>
      </c>
      <c r="D5425">
        <v>13</v>
      </c>
    </row>
    <row r="5426" spans="2:4" x14ac:dyDescent="0.25">
      <c r="B5426" t="s">
        <v>1102</v>
      </c>
      <c r="C5426">
        <v>214</v>
      </c>
      <c r="D5426">
        <v>14</v>
      </c>
    </row>
    <row r="5427" spans="2:4" x14ac:dyDescent="0.25">
      <c r="B5427" t="s">
        <v>1102</v>
      </c>
      <c r="C5427">
        <v>215</v>
      </c>
      <c r="D5427">
        <v>6</v>
      </c>
    </row>
    <row r="5428" spans="2:4" x14ac:dyDescent="0.25">
      <c r="B5428" t="s">
        <v>1102</v>
      </c>
      <c r="C5428">
        <v>215</v>
      </c>
      <c r="D5428">
        <v>8</v>
      </c>
    </row>
    <row r="5429" spans="2:4" x14ac:dyDescent="0.25">
      <c r="B5429" t="s">
        <v>1102</v>
      </c>
      <c r="C5429">
        <v>215</v>
      </c>
      <c r="D5429">
        <v>13</v>
      </c>
    </row>
    <row r="5430" spans="2:4" x14ac:dyDescent="0.25">
      <c r="B5430" t="s">
        <v>1102</v>
      </c>
      <c r="C5430">
        <v>215</v>
      </c>
      <c r="D5430">
        <v>14</v>
      </c>
    </row>
    <row r="5431" spans="2:4" x14ac:dyDescent="0.25">
      <c r="B5431" t="s">
        <v>1102</v>
      </c>
      <c r="C5431">
        <v>216</v>
      </c>
      <c r="D5431">
        <v>6</v>
      </c>
    </row>
    <row r="5432" spans="2:4" x14ac:dyDescent="0.25">
      <c r="B5432" t="s">
        <v>1102</v>
      </c>
      <c r="C5432">
        <v>216</v>
      </c>
      <c r="D5432">
        <v>8</v>
      </c>
    </row>
    <row r="5433" spans="2:4" x14ac:dyDescent="0.25">
      <c r="B5433" t="s">
        <v>1102</v>
      </c>
      <c r="C5433">
        <v>216</v>
      </c>
      <c r="D5433">
        <v>13</v>
      </c>
    </row>
    <row r="5434" spans="2:4" x14ac:dyDescent="0.25">
      <c r="B5434" t="s">
        <v>1102</v>
      </c>
      <c r="C5434">
        <v>216</v>
      </c>
      <c r="D5434">
        <v>14</v>
      </c>
    </row>
    <row r="5435" spans="2:4" x14ac:dyDescent="0.25">
      <c r="B5435" t="s">
        <v>1102</v>
      </c>
      <c r="C5435">
        <v>217</v>
      </c>
      <c r="D5435">
        <v>5</v>
      </c>
    </row>
    <row r="5436" spans="2:4" x14ac:dyDescent="0.25">
      <c r="B5436" t="s">
        <v>1102</v>
      </c>
      <c r="C5436">
        <v>218</v>
      </c>
      <c r="D5436">
        <v>6</v>
      </c>
    </row>
    <row r="5437" spans="2:4" x14ac:dyDescent="0.25">
      <c r="B5437" t="s">
        <v>1102</v>
      </c>
      <c r="C5437">
        <v>218</v>
      </c>
      <c r="D5437">
        <v>8</v>
      </c>
    </row>
    <row r="5438" spans="2:4" x14ac:dyDescent="0.25">
      <c r="B5438" t="s">
        <v>1102</v>
      </c>
      <c r="C5438">
        <v>218</v>
      </c>
      <c r="D5438">
        <v>13</v>
      </c>
    </row>
    <row r="5439" spans="2:4" x14ac:dyDescent="0.25">
      <c r="B5439" t="s">
        <v>1102</v>
      </c>
      <c r="C5439">
        <v>218</v>
      </c>
      <c r="D5439">
        <v>14</v>
      </c>
    </row>
    <row r="5440" spans="2:4" x14ac:dyDescent="0.25">
      <c r="B5440" t="s">
        <v>1102</v>
      </c>
      <c r="C5440">
        <v>219</v>
      </c>
      <c r="D5440">
        <v>6</v>
      </c>
    </row>
    <row r="5441" spans="2:4" x14ac:dyDescent="0.25">
      <c r="B5441" t="s">
        <v>1102</v>
      </c>
      <c r="C5441">
        <v>219</v>
      </c>
      <c r="D5441">
        <v>8</v>
      </c>
    </row>
    <row r="5442" spans="2:4" x14ac:dyDescent="0.25">
      <c r="B5442" t="s">
        <v>1102</v>
      </c>
      <c r="C5442">
        <v>219</v>
      </c>
      <c r="D5442">
        <v>13</v>
      </c>
    </row>
    <row r="5443" spans="2:4" x14ac:dyDescent="0.25">
      <c r="B5443" t="s">
        <v>1102</v>
      </c>
      <c r="C5443">
        <v>219</v>
      </c>
      <c r="D5443">
        <v>14</v>
      </c>
    </row>
    <row r="5444" spans="2:4" x14ac:dyDescent="0.25">
      <c r="B5444" t="s">
        <v>1102</v>
      </c>
      <c r="C5444">
        <v>220</v>
      </c>
      <c r="D5444">
        <v>6</v>
      </c>
    </row>
    <row r="5445" spans="2:4" x14ac:dyDescent="0.25">
      <c r="B5445" t="s">
        <v>1102</v>
      </c>
      <c r="C5445">
        <v>220</v>
      </c>
      <c r="D5445">
        <v>8</v>
      </c>
    </row>
    <row r="5446" spans="2:4" x14ac:dyDescent="0.25">
      <c r="B5446" t="s">
        <v>1102</v>
      </c>
      <c r="C5446">
        <v>220</v>
      </c>
      <c r="D5446">
        <v>13</v>
      </c>
    </row>
    <row r="5447" spans="2:4" x14ac:dyDescent="0.25">
      <c r="B5447" t="s">
        <v>1102</v>
      </c>
      <c r="C5447">
        <v>220</v>
      </c>
      <c r="D5447">
        <v>14</v>
      </c>
    </row>
    <row r="5448" spans="2:4" x14ac:dyDescent="0.25">
      <c r="B5448" t="s">
        <v>1102</v>
      </c>
      <c r="C5448">
        <v>221</v>
      </c>
      <c r="D5448">
        <v>6</v>
      </c>
    </row>
    <row r="5449" spans="2:4" x14ac:dyDescent="0.25">
      <c r="B5449" t="s">
        <v>1102</v>
      </c>
      <c r="C5449">
        <v>221</v>
      </c>
      <c r="D5449">
        <v>8</v>
      </c>
    </row>
    <row r="5450" spans="2:4" x14ac:dyDescent="0.25">
      <c r="B5450" t="s">
        <v>1102</v>
      </c>
      <c r="C5450">
        <v>221</v>
      </c>
      <c r="D5450">
        <v>13</v>
      </c>
    </row>
    <row r="5451" spans="2:4" x14ac:dyDescent="0.25">
      <c r="B5451" t="s">
        <v>1102</v>
      </c>
      <c r="C5451">
        <v>221</v>
      </c>
      <c r="D5451">
        <v>14</v>
      </c>
    </row>
    <row r="5452" spans="2:4" x14ac:dyDescent="0.25">
      <c r="B5452" t="s">
        <v>1102</v>
      </c>
      <c r="C5452">
        <v>222</v>
      </c>
      <c r="D5452">
        <v>6</v>
      </c>
    </row>
    <row r="5453" spans="2:4" x14ac:dyDescent="0.25">
      <c r="B5453" t="s">
        <v>1102</v>
      </c>
      <c r="C5453">
        <v>222</v>
      </c>
      <c r="D5453">
        <v>8</v>
      </c>
    </row>
    <row r="5454" spans="2:4" x14ac:dyDescent="0.25">
      <c r="B5454" t="s">
        <v>1102</v>
      </c>
      <c r="C5454">
        <v>222</v>
      </c>
      <c r="D5454">
        <v>13</v>
      </c>
    </row>
    <row r="5455" spans="2:4" x14ac:dyDescent="0.25">
      <c r="B5455" t="s">
        <v>1102</v>
      </c>
      <c r="C5455">
        <v>222</v>
      </c>
      <c r="D5455">
        <v>14</v>
      </c>
    </row>
    <row r="5456" spans="2:4" x14ac:dyDescent="0.25">
      <c r="B5456" t="s">
        <v>1102</v>
      </c>
      <c r="C5456">
        <v>223</v>
      </c>
      <c r="D5456">
        <v>6</v>
      </c>
    </row>
    <row r="5457" spans="2:4" x14ac:dyDescent="0.25">
      <c r="B5457" t="s">
        <v>1102</v>
      </c>
      <c r="C5457">
        <v>223</v>
      </c>
      <c r="D5457">
        <v>8</v>
      </c>
    </row>
    <row r="5458" spans="2:4" x14ac:dyDescent="0.25">
      <c r="B5458" t="s">
        <v>1102</v>
      </c>
      <c r="C5458">
        <v>223</v>
      </c>
      <c r="D5458">
        <v>13</v>
      </c>
    </row>
    <row r="5459" spans="2:4" x14ac:dyDescent="0.25">
      <c r="B5459" t="s">
        <v>1102</v>
      </c>
      <c r="C5459">
        <v>223</v>
      </c>
      <c r="D5459">
        <v>14</v>
      </c>
    </row>
    <row r="5460" spans="2:4" x14ac:dyDescent="0.25">
      <c r="B5460" t="s">
        <v>1102</v>
      </c>
      <c r="C5460">
        <v>224</v>
      </c>
      <c r="D5460">
        <v>6</v>
      </c>
    </row>
    <row r="5461" spans="2:4" x14ac:dyDescent="0.25">
      <c r="B5461" t="s">
        <v>1102</v>
      </c>
      <c r="C5461">
        <v>224</v>
      </c>
      <c r="D5461">
        <v>8</v>
      </c>
    </row>
    <row r="5462" spans="2:4" x14ac:dyDescent="0.25">
      <c r="B5462" t="s">
        <v>1102</v>
      </c>
      <c r="C5462">
        <v>224</v>
      </c>
      <c r="D5462">
        <v>13</v>
      </c>
    </row>
    <row r="5463" spans="2:4" x14ac:dyDescent="0.25">
      <c r="B5463" t="s">
        <v>1102</v>
      </c>
      <c r="C5463">
        <v>224</v>
      </c>
      <c r="D5463">
        <v>14</v>
      </c>
    </row>
    <row r="5464" spans="2:4" x14ac:dyDescent="0.25">
      <c r="B5464" t="s">
        <v>1102</v>
      </c>
      <c r="C5464">
        <v>225</v>
      </c>
      <c r="D5464">
        <v>6</v>
      </c>
    </row>
    <row r="5465" spans="2:4" x14ac:dyDescent="0.25">
      <c r="B5465" t="s">
        <v>1102</v>
      </c>
      <c r="C5465">
        <v>225</v>
      </c>
      <c r="D5465">
        <v>8</v>
      </c>
    </row>
    <row r="5466" spans="2:4" x14ac:dyDescent="0.25">
      <c r="B5466" t="s">
        <v>1102</v>
      </c>
      <c r="C5466">
        <v>225</v>
      </c>
      <c r="D5466">
        <v>13</v>
      </c>
    </row>
    <row r="5467" spans="2:4" x14ac:dyDescent="0.25">
      <c r="B5467" t="s">
        <v>1102</v>
      </c>
      <c r="C5467">
        <v>225</v>
      </c>
      <c r="D5467">
        <v>14</v>
      </c>
    </row>
    <row r="5468" spans="2:4" x14ac:dyDescent="0.25">
      <c r="B5468" t="s">
        <v>1102</v>
      </c>
      <c r="C5468">
        <v>226</v>
      </c>
      <c r="D5468">
        <v>6</v>
      </c>
    </row>
    <row r="5469" spans="2:4" x14ac:dyDescent="0.25">
      <c r="B5469" t="s">
        <v>1102</v>
      </c>
      <c r="C5469">
        <v>226</v>
      </c>
      <c r="D5469">
        <v>8</v>
      </c>
    </row>
    <row r="5470" spans="2:4" x14ac:dyDescent="0.25">
      <c r="B5470" t="s">
        <v>1102</v>
      </c>
      <c r="C5470">
        <v>226</v>
      </c>
      <c r="D5470">
        <v>13</v>
      </c>
    </row>
    <row r="5471" spans="2:4" x14ac:dyDescent="0.25">
      <c r="B5471" t="s">
        <v>1102</v>
      </c>
      <c r="C5471">
        <v>226</v>
      </c>
      <c r="D5471">
        <v>14</v>
      </c>
    </row>
    <row r="5472" spans="2:4" x14ac:dyDescent="0.25">
      <c r="B5472" t="s">
        <v>1102</v>
      </c>
      <c r="C5472">
        <v>227</v>
      </c>
      <c r="D5472">
        <v>6</v>
      </c>
    </row>
    <row r="5473" spans="2:4" x14ac:dyDescent="0.25">
      <c r="B5473" t="s">
        <v>1102</v>
      </c>
      <c r="C5473">
        <v>227</v>
      </c>
      <c r="D5473">
        <v>8</v>
      </c>
    </row>
    <row r="5474" spans="2:4" x14ac:dyDescent="0.25">
      <c r="B5474" t="s">
        <v>1102</v>
      </c>
      <c r="C5474">
        <v>227</v>
      </c>
      <c r="D5474">
        <v>13</v>
      </c>
    </row>
    <row r="5475" spans="2:4" x14ac:dyDescent="0.25">
      <c r="B5475" t="s">
        <v>1102</v>
      </c>
      <c r="C5475">
        <v>227</v>
      </c>
      <c r="D5475">
        <v>14</v>
      </c>
    </row>
    <row r="5476" spans="2:4" x14ac:dyDescent="0.25">
      <c r="B5476" t="s">
        <v>1102</v>
      </c>
      <c r="C5476">
        <v>228</v>
      </c>
      <c r="D5476">
        <v>6</v>
      </c>
    </row>
    <row r="5477" spans="2:4" x14ac:dyDescent="0.25">
      <c r="B5477" t="s">
        <v>1102</v>
      </c>
      <c r="C5477">
        <v>228</v>
      </c>
      <c r="D5477">
        <v>8</v>
      </c>
    </row>
    <row r="5478" spans="2:4" x14ac:dyDescent="0.25">
      <c r="B5478" t="s">
        <v>1102</v>
      </c>
      <c r="C5478">
        <v>228</v>
      </c>
      <c r="D5478">
        <v>13</v>
      </c>
    </row>
    <row r="5479" spans="2:4" x14ac:dyDescent="0.25">
      <c r="B5479" t="s">
        <v>1102</v>
      </c>
      <c r="C5479">
        <v>228</v>
      </c>
      <c r="D5479">
        <v>14</v>
      </c>
    </row>
    <row r="5480" spans="2:4" x14ac:dyDescent="0.25">
      <c r="B5480" t="s">
        <v>1102</v>
      </c>
      <c r="C5480">
        <v>229</v>
      </c>
      <c r="D5480">
        <v>6</v>
      </c>
    </row>
    <row r="5481" spans="2:4" x14ac:dyDescent="0.25">
      <c r="B5481" t="s">
        <v>1102</v>
      </c>
      <c r="C5481">
        <v>229</v>
      </c>
      <c r="D5481">
        <v>8</v>
      </c>
    </row>
    <row r="5482" spans="2:4" x14ac:dyDescent="0.25">
      <c r="B5482" t="s">
        <v>1102</v>
      </c>
      <c r="C5482">
        <v>229</v>
      </c>
      <c r="D5482">
        <v>13</v>
      </c>
    </row>
    <row r="5483" spans="2:4" x14ac:dyDescent="0.25">
      <c r="B5483" t="s">
        <v>1102</v>
      </c>
      <c r="C5483">
        <v>229</v>
      </c>
      <c r="D5483">
        <v>14</v>
      </c>
    </row>
    <row r="5484" spans="2:4" x14ac:dyDescent="0.25">
      <c r="B5484" t="s">
        <v>1102</v>
      </c>
      <c r="C5484">
        <v>230</v>
      </c>
      <c r="D5484">
        <v>6</v>
      </c>
    </row>
    <row r="5485" spans="2:4" x14ac:dyDescent="0.25">
      <c r="B5485" t="s">
        <v>1102</v>
      </c>
      <c r="C5485">
        <v>230</v>
      </c>
      <c r="D5485">
        <v>8</v>
      </c>
    </row>
    <row r="5486" spans="2:4" x14ac:dyDescent="0.25">
      <c r="B5486" t="s">
        <v>1102</v>
      </c>
      <c r="C5486">
        <v>230</v>
      </c>
      <c r="D5486">
        <v>13</v>
      </c>
    </row>
    <row r="5487" spans="2:4" x14ac:dyDescent="0.25">
      <c r="B5487" t="s">
        <v>1102</v>
      </c>
      <c r="C5487">
        <v>230</v>
      </c>
      <c r="D5487">
        <v>14</v>
      </c>
    </row>
    <row r="5488" spans="2:4" x14ac:dyDescent="0.25">
      <c r="B5488" t="s">
        <v>1102</v>
      </c>
      <c r="C5488">
        <v>231</v>
      </c>
      <c r="D5488">
        <v>6</v>
      </c>
    </row>
    <row r="5489" spans="2:4" x14ac:dyDescent="0.25">
      <c r="B5489" t="s">
        <v>1102</v>
      </c>
      <c r="C5489">
        <v>231</v>
      </c>
      <c r="D5489">
        <v>8</v>
      </c>
    </row>
    <row r="5490" spans="2:4" x14ac:dyDescent="0.25">
      <c r="B5490" t="s">
        <v>1102</v>
      </c>
      <c r="C5490">
        <v>231</v>
      </c>
      <c r="D5490">
        <v>13</v>
      </c>
    </row>
    <row r="5491" spans="2:4" x14ac:dyDescent="0.25">
      <c r="B5491" t="s">
        <v>1102</v>
      </c>
      <c r="C5491">
        <v>231</v>
      </c>
      <c r="D5491">
        <v>14</v>
      </c>
    </row>
    <row r="5492" spans="2:4" x14ac:dyDescent="0.25">
      <c r="B5492" t="s">
        <v>1102</v>
      </c>
      <c r="C5492">
        <v>232</v>
      </c>
      <c r="D5492">
        <v>6</v>
      </c>
    </row>
    <row r="5493" spans="2:4" x14ac:dyDescent="0.25">
      <c r="B5493" t="s">
        <v>1102</v>
      </c>
      <c r="C5493">
        <v>232</v>
      </c>
      <c r="D5493">
        <v>8</v>
      </c>
    </row>
    <row r="5494" spans="2:4" x14ac:dyDescent="0.25">
      <c r="B5494" t="s">
        <v>1102</v>
      </c>
      <c r="C5494">
        <v>232</v>
      </c>
      <c r="D5494">
        <v>13</v>
      </c>
    </row>
    <row r="5495" spans="2:4" x14ac:dyDescent="0.25">
      <c r="B5495" t="s">
        <v>1102</v>
      </c>
      <c r="C5495">
        <v>232</v>
      </c>
      <c r="D5495">
        <v>14</v>
      </c>
    </row>
    <row r="5496" spans="2:4" x14ac:dyDescent="0.25">
      <c r="B5496" t="s">
        <v>1102</v>
      </c>
      <c r="C5496">
        <v>233</v>
      </c>
      <c r="D5496">
        <v>5</v>
      </c>
    </row>
    <row r="5497" spans="2:4" x14ac:dyDescent="0.25">
      <c r="B5497" t="s">
        <v>1102</v>
      </c>
      <c r="C5497">
        <v>234</v>
      </c>
      <c r="D5497">
        <v>6</v>
      </c>
    </row>
    <row r="5498" spans="2:4" x14ac:dyDescent="0.25">
      <c r="B5498" t="s">
        <v>1102</v>
      </c>
      <c r="C5498">
        <v>234</v>
      </c>
      <c r="D5498">
        <v>8</v>
      </c>
    </row>
    <row r="5499" spans="2:4" x14ac:dyDescent="0.25">
      <c r="B5499" t="s">
        <v>1102</v>
      </c>
      <c r="C5499">
        <v>234</v>
      </c>
      <c r="D5499">
        <v>13</v>
      </c>
    </row>
    <row r="5500" spans="2:4" x14ac:dyDescent="0.25">
      <c r="B5500" t="s">
        <v>1102</v>
      </c>
      <c r="C5500">
        <v>234</v>
      </c>
      <c r="D5500">
        <v>14</v>
      </c>
    </row>
    <row r="5501" spans="2:4" x14ac:dyDescent="0.25">
      <c r="B5501" t="s">
        <v>1102</v>
      </c>
      <c r="C5501">
        <v>235</v>
      </c>
      <c r="D5501">
        <v>6</v>
      </c>
    </row>
    <row r="5502" spans="2:4" x14ac:dyDescent="0.25">
      <c r="B5502" t="s">
        <v>1102</v>
      </c>
      <c r="C5502">
        <v>235</v>
      </c>
      <c r="D5502">
        <v>8</v>
      </c>
    </row>
    <row r="5503" spans="2:4" x14ac:dyDescent="0.25">
      <c r="B5503" t="s">
        <v>1102</v>
      </c>
      <c r="C5503">
        <v>235</v>
      </c>
      <c r="D5503">
        <v>13</v>
      </c>
    </row>
    <row r="5504" spans="2:4" x14ac:dyDescent="0.25">
      <c r="B5504" t="s">
        <v>1102</v>
      </c>
      <c r="C5504">
        <v>235</v>
      </c>
      <c r="D5504">
        <v>14</v>
      </c>
    </row>
    <row r="5505" spans="2:4" x14ac:dyDescent="0.25">
      <c r="B5505" t="s">
        <v>1102</v>
      </c>
      <c r="C5505">
        <v>236</v>
      </c>
      <c r="D5505">
        <v>6</v>
      </c>
    </row>
    <row r="5506" spans="2:4" x14ac:dyDescent="0.25">
      <c r="B5506" t="s">
        <v>1102</v>
      </c>
      <c r="C5506">
        <v>236</v>
      </c>
      <c r="D5506">
        <v>8</v>
      </c>
    </row>
    <row r="5507" spans="2:4" x14ac:dyDescent="0.25">
      <c r="B5507" t="s">
        <v>1102</v>
      </c>
      <c r="C5507">
        <v>236</v>
      </c>
      <c r="D5507">
        <v>13</v>
      </c>
    </row>
    <row r="5508" spans="2:4" x14ac:dyDescent="0.25">
      <c r="B5508" t="s">
        <v>1102</v>
      </c>
      <c r="C5508">
        <v>236</v>
      </c>
      <c r="D5508">
        <v>14</v>
      </c>
    </row>
    <row r="5509" spans="2:4" x14ac:dyDescent="0.25">
      <c r="B5509" t="s">
        <v>1102</v>
      </c>
      <c r="C5509">
        <v>237</v>
      </c>
      <c r="D5509">
        <v>6</v>
      </c>
    </row>
    <row r="5510" spans="2:4" x14ac:dyDescent="0.25">
      <c r="B5510" t="s">
        <v>1102</v>
      </c>
      <c r="C5510">
        <v>237</v>
      </c>
      <c r="D5510">
        <v>8</v>
      </c>
    </row>
    <row r="5511" spans="2:4" x14ac:dyDescent="0.25">
      <c r="B5511" t="s">
        <v>1102</v>
      </c>
      <c r="C5511">
        <v>237</v>
      </c>
      <c r="D5511">
        <v>13</v>
      </c>
    </row>
    <row r="5512" spans="2:4" x14ac:dyDescent="0.25">
      <c r="B5512" t="s">
        <v>1102</v>
      </c>
      <c r="C5512">
        <v>237</v>
      </c>
      <c r="D5512">
        <v>14</v>
      </c>
    </row>
    <row r="5513" spans="2:4" x14ac:dyDescent="0.25">
      <c r="B5513" t="s">
        <v>1102</v>
      </c>
      <c r="C5513">
        <v>238</v>
      </c>
      <c r="D5513">
        <v>5</v>
      </c>
    </row>
    <row r="5514" spans="2:4" x14ac:dyDescent="0.25">
      <c r="B5514" t="s">
        <v>1102</v>
      </c>
      <c r="C5514">
        <v>239</v>
      </c>
      <c r="D5514">
        <v>6</v>
      </c>
    </row>
    <row r="5515" spans="2:4" x14ac:dyDescent="0.25">
      <c r="B5515" t="s">
        <v>1102</v>
      </c>
      <c r="C5515">
        <v>239</v>
      </c>
      <c r="D5515">
        <v>8</v>
      </c>
    </row>
    <row r="5516" spans="2:4" x14ac:dyDescent="0.25">
      <c r="B5516" t="s">
        <v>1102</v>
      </c>
      <c r="C5516">
        <v>239</v>
      </c>
      <c r="D5516">
        <v>13</v>
      </c>
    </row>
    <row r="5517" spans="2:4" x14ac:dyDescent="0.25">
      <c r="B5517" t="s">
        <v>1102</v>
      </c>
      <c r="C5517">
        <v>239</v>
      </c>
      <c r="D5517">
        <v>14</v>
      </c>
    </row>
    <row r="5518" spans="2:4" x14ac:dyDescent="0.25">
      <c r="B5518" t="s">
        <v>1102</v>
      </c>
      <c r="C5518">
        <v>242</v>
      </c>
      <c r="D5518">
        <v>6</v>
      </c>
    </row>
    <row r="5519" spans="2:4" x14ac:dyDescent="0.25">
      <c r="B5519" t="s">
        <v>1102</v>
      </c>
      <c r="C5519">
        <v>242</v>
      </c>
      <c r="D5519">
        <v>8</v>
      </c>
    </row>
    <row r="5520" spans="2:4" x14ac:dyDescent="0.25">
      <c r="B5520" t="s">
        <v>1102</v>
      </c>
      <c r="C5520">
        <v>242</v>
      </c>
      <c r="D5520">
        <v>13</v>
      </c>
    </row>
    <row r="5521" spans="2:4" x14ac:dyDescent="0.25">
      <c r="B5521" t="s">
        <v>1102</v>
      </c>
      <c r="C5521">
        <v>242</v>
      </c>
      <c r="D5521">
        <v>14</v>
      </c>
    </row>
    <row r="5522" spans="2:4" x14ac:dyDescent="0.25">
      <c r="B5522" t="s">
        <v>1102</v>
      </c>
      <c r="C5522">
        <v>243</v>
      </c>
      <c r="D5522">
        <v>6</v>
      </c>
    </row>
    <row r="5523" spans="2:4" x14ac:dyDescent="0.25">
      <c r="B5523" t="s">
        <v>1102</v>
      </c>
      <c r="C5523">
        <v>243</v>
      </c>
      <c r="D5523">
        <v>8</v>
      </c>
    </row>
    <row r="5524" spans="2:4" x14ac:dyDescent="0.25">
      <c r="B5524" t="s">
        <v>1102</v>
      </c>
      <c r="C5524">
        <v>243</v>
      </c>
      <c r="D5524">
        <v>13</v>
      </c>
    </row>
    <row r="5525" spans="2:4" x14ac:dyDescent="0.25">
      <c r="B5525" t="s">
        <v>1102</v>
      </c>
      <c r="C5525">
        <v>243</v>
      </c>
      <c r="D5525">
        <v>14</v>
      </c>
    </row>
    <row r="5526" spans="2:4" x14ac:dyDescent="0.25">
      <c r="B5526" t="s">
        <v>1102</v>
      </c>
      <c r="C5526">
        <v>244</v>
      </c>
      <c r="D5526">
        <v>6</v>
      </c>
    </row>
    <row r="5527" spans="2:4" x14ac:dyDescent="0.25">
      <c r="B5527" t="s">
        <v>1102</v>
      </c>
      <c r="C5527">
        <v>244</v>
      </c>
      <c r="D5527">
        <v>8</v>
      </c>
    </row>
    <row r="5528" spans="2:4" x14ac:dyDescent="0.25">
      <c r="B5528" t="s">
        <v>1102</v>
      </c>
      <c r="C5528">
        <v>244</v>
      </c>
      <c r="D5528">
        <v>13</v>
      </c>
    </row>
    <row r="5529" spans="2:4" x14ac:dyDescent="0.25">
      <c r="B5529" t="s">
        <v>1102</v>
      </c>
      <c r="C5529">
        <v>244</v>
      </c>
      <c r="D5529">
        <v>14</v>
      </c>
    </row>
    <row r="5530" spans="2:4" x14ac:dyDescent="0.25">
      <c r="B5530" t="s">
        <v>1102</v>
      </c>
      <c r="C5530">
        <v>245</v>
      </c>
      <c r="D5530">
        <v>6</v>
      </c>
    </row>
    <row r="5531" spans="2:4" x14ac:dyDescent="0.25">
      <c r="B5531" t="s">
        <v>1102</v>
      </c>
      <c r="C5531">
        <v>245</v>
      </c>
      <c r="D5531">
        <v>8</v>
      </c>
    </row>
    <row r="5532" spans="2:4" x14ac:dyDescent="0.25">
      <c r="B5532" t="s">
        <v>1102</v>
      </c>
      <c r="C5532">
        <v>245</v>
      </c>
      <c r="D5532">
        <v>13</v>
      </c>
    </row>
    <row r="5533" spans="2:4" x14ac:dyDescent="0.25">
      <c r="B5533" t="s">
        <v>1102</v>
      </c>
      <c r="C5533">
        <v>245</v>
      </c>
      <c r="D5533">
        <v>14</v>
      </c>
    </row>
    <row r="5534" spans="2:4" x14ac:dyDescent="0.25">
      <c r="B5534" t="s">
        <v>1102</v>
      </c>
      <c r="C5534">
        <v>246</v>
      </c>
      <c r="D5534">
        <v>6</v>
      </c>
    </row>
    <row r="5535" spans="2:4" x14ac:dyDescent="0.25">
      <c r="B5535" t="s">
        <v>1102</v>
      </c>
      <c r="C5535">
        <v>246</v>
      </c>
      <c r="D5535">
        <v>8</v>
      </c>
    </row>
    <row r="5536" spans="2:4" x14ac:dyDescent="0.25">
      <c r="B5536" t="s">
        <v>1102</v>
      </c>
      <c r="C5536">
        <v>246</v>
      </c>
      <c r="D5536">
        <v>13</v>
      </c>
    </row>
    <row r="5537" spans="2:4" x14ac:dyDescent="0.25">
      <c r="B5537" t="s">
        <v>1102</v>
      </c>
      <c r="C5537">
        <v>246</v>
      </c>
      <c r="D5537">
        <v>14</v>
      </c>
    </row>
    <row r="5538" spans="2:4" x14ac:dyDescent="0.25">
      <c r="B5538" t="s">
        <v>1580</v>
      </c>
      <c r="C5538">
        <v>6</v>
      </c>
      <c r="D5538">
        <v>5</v>
      </c>
    </row>
    <row r="5539" spans="2:4" x14ac:dyDescent="0.25">
      <c r="B5539" t="s">
        <v>1580</v>
      </c>
      <c r="C5539">
        <v>6</v>
      </c>
      <c r="D5539">
        <v>6</v>
      </c>
    </row>
    <row r="5540" spans="2:4" x14ac:dyDescent="0.25">
      <c r="B5540" t="s">
        <v>1580</v>
      </c>
      <c r="C5540">
        <v>8</v>
      </c>
      <c r="D5540">
        <v>6</v>
      </c>
    </row>
    <row r="5541" spans="2:4" x14ac:dyDescent="0.25">
      <c r="B5541" t="s">
        <v>1580</v>
      </c>
      <c r="C5541">
        <v>8</v>
      </c>
      <c r="D5541">
        <v>8</v>
      </c>
    </row>
    <row r="5542" spans="2:4" x14ac:dyDescent="0.25">
      <c r="B5542" t="s">
        <v>1580</v>
      </c>
      <c r="C5542">
        <v>8</v>
      </c>
      <c r="D5542">
        <v>13</v>
      </c>
    </row>
    <row r="5543" spans="2:4" x14ac:dyDescent="0.25">
      <c r="B5543" t="s">
        <v>1580</v>
      </c>
      <c r="C5543">
        <v>8</v>
      </c>
      <c r="D5543">
        <v>14</v>
      </c>
    </row>
    <row r="5544" spans="2:4" x14ac:dyDescent="0.25">
      <c r="B5544" t="s">
        <v>1580</v>
      </c>
      <c r="C5544">
        <v>9</v>
      </c>
      <c r="D5544">
        <v>5</v>
      </c>
    </row>
    <row r="5545" spans="2:4" x14ac:dyDescent="0.25">
      <c r="B5545" t="s">
        <v>1580</v>
      </c>
      <c r="C5545">
        <v>9</v>
      </c>
      <c r="D5545">
        <v>6</v>
      </c>
    </row>
    <row r="5546" spans="2:4" x14ac:dyDescent="0.25">
      <c r="B5546" t="s">
        <v>1580</v>
      </c>
      <c r="C5546">
        <v>11</v>
      </c>
      <c r="D5546">
        <v>6</v>
      </c>
    </row>
    <row r="5547" spans="2:4" x14ac:dyDescent="0.25">
      <c r="B5547" t="s">
        <v>1580</v>
      </c>
      <c r="C5547">
        <v>11</v>
      </c>
      <c r="D5547">
        <v>8</v>
      </c>
    </row>
    <row r="5548" spans="2:4" x14ac:dyDescent="0.25">
      <c r="B5548" t="s">
        <v>1580</v>
      </c>
      <c r="C5548">
        <v>11</v>
      </c>
      <c r="D5548">
        <v>13</v>
      </c>
    </row>
    <row r="5549" spans="2:4" x14ac:dyDescent="0.25">
      <c r="B5549" t="s">
        <v>1580</v>
      </c>
      <c r="C5549">
        <v>11</v>
      </c>
      <c r="D5549">
        <v>14</v>
      </c>
    </row>
    <row r="5550" spans="2:4" x14ac:dyDescent="0.25">
      <c r="B5550" t="s">
        <v>1580</v>
      </c>
      <c r="C5550">
        <v>12</v>
      </c>
      <c r="D5550">
        <v>6</v>
      </c>
    </row>
    <row r="5551" spans="2:4" x14ac:dyDescent="0.25">
      <c r="B5551" t="s">
        <v>1580</v>
      </c>
      <c r="C5551">
        <v>12</v>
      </c>
      <c r="D5551">
        <v>8</v>
      </c>
    </row>
    <row r="5552" spans="2:4" x14ac:dyDescent="0.25">
      <c r="B5552" t="s">
        <v>1580</v>
      </c>
      <c r="C5552">
        <v>12</v>
      </c>
      <c r="D5552">
        <v>13</v>
      </c>
    </row>
    <row r="5553" spans="2:4" x14ac:dyDescent="0.25">
      <c r="B5553" t="s">
        <v>1580</v>
      </c>
      <c r="C5553">
        <v>12</v>
      </c>
      <c r="D5553">
        <v>14</v>
      </c>
    </row>
    <row r="5554" spans="2:4" x14ac:dyDescent="0.25">
      <c r="B5554" t="s">
        <v>1580</v>
      </c>
      <c r="C5554">
        <v>13</v>
      </c>
      <c r="D5554">
        <v>6</v>
      </c>
    </row>
    <row r="5555" spans="2:4" x14ac:dyDescent="0.25">
      <c r="B5555" t="s">
        <v>1580</v>
      </c>
      <c r="C5555">
        <v>13</v>
      </c>
      <c r="D5555">
        <v>8</v>
      </c>
    </row>
    <row r="5556" spans="2:4" x14ac:dyDescent="0.25">
      <c r="B5556" t="s">
        <v>1580</v>
      </c>
      <c r="C5556">
        <v>13</v>
      </c>
      <c r="D5556">
        <v>13</v>
      </c>
    </row>
    <row r="5557" spans="2:4" x14ac:dyDescent="0.25">
      <c r="B5557" t="s">
        <v>1580</v>
      </c>
      <c r="C5557">
        <v>13</v>
      </c>
      <c r="D5557">
        <v>14</v>
      </c>
    </row>
    <row r="5558" spans="2:4" x14ac:dyDescent="0.25">
      <c r="B5558" t="s">
        <v>1580</v>
      </c>
      <c r="C5558">
        <v>14</v>
      </c>
      <c r="D5558">
        <v>6</v>
      </c>
    </row>
    <row r="5559" spans="2:4" x14ac:dyDescent="0.25">
      <c r="B5559" t="s">
        <v>1580</v>
      </c>
      <c r="C5559">
        <v>14</v>
      </c>
      <c r="D5559">
        <v>8</v>
      </c>
    </row>
    <row r="5560" spans="2:4" x14ac:dyDescent="0.25">
      <c r="B5560" t="s">
        <v>1580</v>
      </c>
      <c r="C5560">
        <v>14</v>
      </c>
      <c r="D5560">
        <v>13</v>
      </c>
    </row>
    <row r="5561" spans="2:4" x14ac:dyDescent="0.25">
      <c r="B5561" t="s">
        <v>1580</v>
      </c>
      <c r="C5561">
        <v>14</v>
      </c>
      <c r="D5561">
        <v>14</v>
      </c>
    </row>
    <row r="5562" spans="2:4" x14ac:dyDescent="0.25">
      <c r="B5562" t="s">
        <v>1580</v>
      </c>
      <c r="C5562">
        <v>15</v>
      </c>
      <c r="D5562">
        <v>6</v>
      </c>
    </row>
    <row r="5563" spans="2:4" x14ac:dyDescent="0.25">
      <c r="B5563" t="s">
        <v>1580</v>
      </c>
      <c r="C5563">
        <v>15</v>
      </c>
      <c r="D5563">
        <v>8</v>
      </c>
    </row>
    <row r="5564" spans="2:4" x14ac:dyDescent="0.25">
      <c r="B5564" t="s">
        <v>1580</v>
      </c>
      <c r="C5564">
        <v>15</v>
      </c>
      <c r="D5564">
        <v>13</v>
      </c>
    </row>
    <row r="5565" spans="2:4" x14ac:dyDescent="0.25">
      <c r="B5565" t="s">
        <v>1580</v>
      </c>
      <c r="C5565">
        <v>15</v>
      </c>
      <c r="D5565">
        <v>14</v>
      </c>
    </row>
    <row r="5566" spans="2:4" x14ac:dyDescent="0.25">
      <c r="B5566" t="s">
        <v>1580</v>
      </c>
      <c r="C5566">
        <v>16</v>
      </c>
      <c r="D5566">
        <v>6</v>
      </c>
    </row>
    <row r="5567" spans="2:4" x14ac:dyDescent="0.25">
      <c r="B5567" t="s">
        <v>1580</v>
      </c>
      <c r="C5567">
        <v>16</v>
      </c>
      <c r="D5567">
        <v>8</v>
      </c>
    </row>
    <row r="5568" spans="2:4" x14ac:dyDescent="0.25">
      <c r="B5568" t="s">
        <v>1580</v>
      </c>
      <c r="C5568">
        <v>16</v>
      </c>
      <c r="D5568">
        <v>13</v>
      </c>
    </row>
    <row r="5569" spans="2:4" x14ac:dyDescent="0.25">
      <c r="B5569" t="s">
        <v>1580</v>
      </c>
      <c r="C5569">
        <v>16</v>
      </c>
      <c r="D5569">
        <v>14</v>
      </c>
    </row>
    <row r="5570" spans="2:4" x14ac:dyDescent="0.25">
      <c r="B5570" t="s">
        <v>1580</v>
      </c>
      <c r="C5570">
        <v>17</v>
      </c>
      <c r="D5570">
        <v>6</v>
      </c>
    </row>
    <row r="5571" spans="2:4" x14ac:dyDescent="0.25">
      <c r="B5571" t="s">
        <v>1580</v>
      </c>
      <c r="C5571">
        <v>17</v>
      </c>
      <c r="D5571">
        <v>8</v>
      </c>
    </row>
    <row r="5572" spans="2:4" x14ac:dyDescent="0.25">
      <c r="B5572" t="s">
        <v>1580</v>
      </c>
      <c r="C5572">
        <v>17</v>
      </c>
      <c r="D5572">
        <v>13</v>
      </c>
    </row>
    <row r="5573" spans="2:4" x14ac:dyDescent="0.25">
      <c r="B5573" t="s">
        <v>1580</v>
      </c>
      <c r="C5573">
        <v>17</v>
      </c>
      <c r="D5573">
        <v>14</v>
      </c>
    </row>
    <row r="5574" spans="2:4" x14ac:dyDescent="0.25">
      <c r="B5574" t="s">
        <v>1580</v>
      </c>
      <c r="C5574">
        <v>19</v>
      </c>
      <c r="D5574">
        <v>6</v>
      </c>
    </row>
    <row r="5575" spans="2:4" x14ac:dyDescent="0.25">
      <c r="B5575" t="s">
        <v>1580</v>
      </c>
      <c r="C5575">
        <v>19</v>
      </c>
      <c r="D5575">
        <v>8</v>
      </c>
    </row>
    <row r="5576" spans="2:4" x14ac:dyDescent="0.25">
      <c r="B5576" t="s">
        <v>1580</v>
      </c>
      <c r="C5576">
        <v>19</v>
      </c>
      <c r="D5576">
        <v>13</v>
      </c>
    </row>
    <row r="5577" spans="2:4" x14ac:dyDescent="0.25">
      <c r="B5577" t="s">
        <v>1580</v>
      </c>
      <c r="C5577">
        <v>19</v>
      </c>
      <c r="D5577">
        <v>14</v>
      </c>
    </row>
    <row r="5578" spans="2:4" x14ac:dyDescent="0.25">
      <c r="B5578" t="s">
        <v>1580</v>
      </c>
      <c r="C5578">
        <v>20</v>
      </c>
      <c r="D5578">
        <v>6</v>
      </c>
    </row>
    <row r="5579" spans="2:4" x14ac:dyDescent="0.25">
      <c r="B5579" t="s">
        <v>1580</v>
      </c>
      <c r="C5579">
        <v>20</v>
      </c>
      <c r="D5579">
        <v>8</v>
      </c>
    </row>
    <row r="5580" spans="2:4" x14ac:dyDescent="0.25">
      <c r="B5580" t="s">
        <v>1580</v>
      </c>
      <c r="C5580">
        <v>20</v>
      </c>
      <c r="D5580">
        <v>13</v>
      </c>
    </row>
    <row r="5581" spans="2:4" x14ac:dyDescent="0.25">
      <c r="B5581" t="s">
        <v>1580</v>
      </c>
      <c r="C5581">
        <v>20</v>
      </c>
      <c r="D5581">
        <v>14</v>
      </c>
    </row>
    <row r="5582" spans="2:4" x14ac:dyDescent="0.25">
      <c r="B5582" t="s">
        <v>1580</v>
      </c>
      <c r="C5582">
        <v>21</v>
      </c>
      <c r="D5582">
        <v>6</v>
      </c>
    </row>
    <row r="5583" spans="2:4" x14ac:dyDescent="0.25">
      <c r="B5583" t="s">
        <v>1580</v>
      </c>
      <c r="C5583">
        <v>21</v>
      </c>
      <c r="D5583">
        <v>8</v>
      </c>
    </row>
    <row r="5584" spans="2:4" x14ac:dyDescent="0.25">
      <c r="B5584" t="s">
        <v>1580</v>
      </c>
      <c r="C5584">
        <v>21</v>
      </c>
      <c r="D5584">
        <v>13</v>
      </c>
    </row>
    <row r="5585" spans="2:4" x14ac:dyDescent="0.25">
      <c r="B5585" t="s">
        <v>1580</v>
      </c>
      <c r="C5585">
        <v>21</v>
      </c>
      <c r="D5585">
        <v>14</v>
      </c>
    </row>
    <row r="5586" spans="2:4" x14ac:dyDescent="0.25">
      <c r="B5586" t="s">
        <v>1580</v>
      </c>
      <c r="C5586">
        <v>22</v>
      </c>
      <c r="D5586">
        <v>6</v>
      </c>
    </row>
    <row r="5587" spans="2:4" x14ac:dyDescent="0.25">
      <c r="B5587" t="s">
        <v>1580</v>
      </c>
      <c r="C5587">
        <v>22</v>
      </c>
      <c r="D5587">
        <v>8</v>
      </c>
    </row>
    <row r="5588" spans="2:4" x14ac:dyDescent="0.25">
      <c r="B5588" t="s">
        <v>1580</v>
      </c>
      <c r="C5588">
        <v>22</v>
      </c>
      <c r="D5588">
        <v>13</v>
      </c>
    </row>
    <row r="5589" spans="2:4" x14ac:dyDescent="0.25">
      <c r="B5589" t="s">
        <v>1580</v>
      </c>
      <c r="C5589">
        <v>22</v>
      </c>
      <c r="D5589">
        <v>14</v>
      </c>
    </row>
    <row r="5590" spans="2:4" x14ac:dyDescent="0.25">
      <c r="B5590" t="s">
        <v>1580</v>
      </c>
      <c r="C5590">
        <v>23</v>
      </c>
      <c r="D5590">
        <v>6</v>
      </c>
    </row>
    <row r="5591" spans="2:4" x14ac:dyDescent="0.25">
      <c r="B5591" t="s">
        <v>1580</v>
      </c>
      <c r="C5591">
        <v>23</v>
      </c>
      <c r="D5591">
        <v>8</v>
      </c>
    </row>
    <row r="5592" spans="2:4" x14ac:dyDescent="0.25">
      <c r="B5592" t="s">
        <v>1580</v>
      </c>
      <c r="C5592">
        <v>23</v>
      </c>
      <c r="D5592">
        <v>13</v>
      </c>
    </row>
    <row r="5593" spans="2:4" x14ac:dyDescent="0.25">
      <c r="B5593" t="s">
        <v>1580</v>
      </c>
      <c r="C5593">
        <v>23</v>
      </c>
      <c r="D5593">
        <v>14</v>
      </c>
    </row>
    <row r="5594" spans="2:4" x14ac:dyDescent="0.25">
      <c r="B5594" t="s">
        <v>1580</v>
      </c>
      <c r="C5594">
        <v>24</v>
      </c>
      <c r="D5594">
        <v>6</v>
      </c>
    </row>
    <row r="5595" spans="2:4" x14ac:dyDescent="0.25">
      <c r="B5595" t="s">
        <v>1580</v>
      </c>
      <c r="C5595">
        <v>24</v>
      </c>
      <c r="D5595">
        <v>8</v>
      </c>
    </row>
    <row r="5596" spans="2:4" x14ac:dyDescent="0.25">
      <c r="B5596" t="s">
        <v>1580</v>
      </c>
      <c r="C5596">
        <v>24</v>
      </c>
      <c r="D5596">
        <v>13</v>
      </c>
    </row>
    <row r="5597" spans="2:4" x14ac:dyDescent="0.25">
      <c r="B5597" t="s">
        <v>1580</v>
      </c>
      <c r="C5597">
        <v>24</v>
      </c>
      <c r="D5597">
        <v>14</v>
      </c>
    </row>
    <row r="5598" spans="2:4" x14ac:dyDescent="0.25">
      <c r="B5598" t="s">
        <v>1580</v>
      </c>
      <c r="C5598">
        <v>25</v>
      </c>
      <c r="D5598">
        <v>6</v>
      </c>
    </row>
    <row r="5599" spans="2:4" x14ac:dyDescent="0.25">
      <c r="B5599" t="s">
        <v>1580</v>
      </c>
      <c r="C5599">
        <v>25</v>
      </c>
      <c r="D5599">
        <v>8</v>
      </c>
    </row>
    <row r="5600" spans="2:4" x14ac:dyDescent="0.25">
      <c r="B5600" t="s">
        <v>1580</v>
      </c>
      <c r="C5600">
        <v>25</v>
      </c>
      <c r="D5600">
        <v>13</v>
      </c>
    </row>
    <row r="5601" spans="2:4" x14ac:dyDescent="0.25">
      <c r="B5601" t="s">
        <v>1580</v>
      </c>
      <c r="C5601">
        <v>25</v>
      </c>
      <c r="D5601">
        <v>14</v>
      </c>
    </row>
    <row r="5602" spans="2:4" x14ac:dyDescent="0.25">
      <c r="B5602" t="s">
        <v>1580</v>
      </c>
      <c r="C5602">
        <v>26</v>
      </c>
      <c r="D5602">
        <v>5</v>
      </c>
    </row>
    <row r="5603" spans="2:4" x14ac:dyDescent="0.25">
      <c r="B5603" t="s">
        <v>1580</v>
      </c>
      <c r="C5603">
        <v>28</v>
      </c>
      <c r="D5603">
        <v>6</v>
      </c>
    </row>
    <row r="5604" spans="2:4" x14ac:dyDescent="0.25">
      <c r="B5604" t="s">
        <v>1580</v>
      </c>
      <c r="C5604">
        <v>28</v>
      </c>
      <c r="D5604">
        <v>8</v>
      </c>
    </row>
    <row r="5605" spans="2:4" x14ac:dyDescent="0.25">
      <c r="B5605" t="s">
        <v>1580</v>
      </c>
      <c r="C5605">
        <v>28</v>
      </c>
      <c r="D5605">
        <v>13</v>
      </c>
    </row>
    <row r="5606" spans="2:4" x14ac:dyDescent="0.25">
      <c r="B5606" t="s">
        <v>1580</v>
      </c>
      <c r="C5606">
        <v>28</v>
      </c>
      <c r="D5606">
        <v>14</v>
      </c>
    </row>
    <row r="5607" spans="2:4" x14ac:dyDescent="0.25">
      <c r="B5607" t="s">
        <v>1580</v>
      </c>
      <c r="C5607">
        <v>29</v>
      </c>
      <c r="D5607">
        <v>6</v>
      </c>
    </row>
    <row r="5608" spans="2:4" x14ac:dyDescent="0.25">
      <c r="B5608" t="s">
        <v>1580</v>
      </c>
      <c r="C5608">
        <v>29</v>
      </c>
      <c r="D5608">
        <v>8</v>
      </c>
    </row>
    <row r="5609" spans="2:4" x14ac:dyDescent="0.25">
      <c r="B5609" t="s">
        <v>1580</v>
      </c>
      <c r="C5609">
        <v>29</v>
      </c>
      <c r="D5609">
        <v>13</v>
      </c>
    </row>
    <row r="5610" spans="2:4" x14ac:dyDescent="0.25">
      <c r="B5610" t="s">
        <v>1580</v>
      </c>
      <c r="C5610">
        <v>29</v>
      </c>
      <c r="D5610">
        <v>14</v>
      </c>
    </row>
    <row r="5611" spans="2:4" x14ac:dyDescent="0.25">
      <c r="B5611" t="s">
        <v>1580</v>
      </c>
      <c r="C5611">
        <v>32</v>
      </c>
      <c r="D5611">
        <v>6</v>
      </c>
    </row>
    <row r="5612" spans="2:4" x14ac:dyDescent="0.25">
      <c r="B5612" t="s">
        <v>1580</v>
      </c>
      <c r="C5612">
        <v>32</v>
      </c>
      <c r="D5612">
        <v>8</v>
      </c>
    </row>
    <row r="5613" spans="2:4" x14ac:dyDescent="0.25">
      <c r="B5613" t="s">
        <v>1580</v>
      </c>
      <c r="C5613">
        <v>32</v>
      </c>
      <c r="D5613">
        <v>13</v>
      </c>
    </row>
    <row r="5614" spans="2:4" x14ac:dyDescent="0.25">
      <c r="B5614" t="s">
        <v>1580</v>
      </c>
      <c r="C5614">
        <v>32</v>
      </c>
      <c r="D5614">
        <v>14</v>
      </c>
    </row>
    <row r="5615" spans="2:4" x14ac:dyDescent="0.25">
      <c r="B5615" t="s">
        <v>1580</v>
      </c>
      <c r="C5615">
        <v>33</v>
      </c>
      <c r="D5615">
        <v>6</v>
      </c>
    </row>
    <row r="5616" spans="2:4" x14ac:dyDescent="0.25">
      <c r="B5616" t="s">
        <v>1580</v>
      </c>
      <c r="C5616">
        <v>33</v>
      </c>
      <c r="D5616">
        <v>8</v>
      </c>
    </row>
    <row r="5617" spans="2:4" x14ac:dyDescent="0.25">
      <c r="B5617" t="s">
        <v>1580</v>
      </c>
      <c r="C5617">
        <v>33</v>
      </c>
      <c r="D5617">
        <v>13</v>
      </c>
    </row>
    <row r="5618" spans="2:4" x14ac:dyDescent="0.25">
      <c r="B5618" t="s">
        <v>1580</v>
      </c>
      <c r="C5618">
        <v>33</v>
      </c>
      <c r="D5618">
        <v>14</v>
      </c>
    </row>
    <row r="5619" spans="2:4" x14ac:dyDescent="0.25">
      <c r="B5619" t="s">
        <v>1580</v>
      </c>
      <c r="C5619">
        <v>34</v>
      </c>
      <c r="D5619">
        <v>6</v>
      </c>
    </row>
    <row r="5620" spans="2:4" x14ac:dyDescent="0.25">
      <c r="B5620" t="s">
        <v>1580</v>
      </c>
      <c r="C5620">
        <v>34</v>
      </c>
      <c r="D5620">
        <v>8</v>
      </c>
    </row>
    <row r="5621" spans="2:4" x14ac:dyDescent="0.25">
      <c r="B5621" t="s">
        <v>1580</v>
      </c>
      <c r="C5621">
        <v>34</v>
      </c>
      <c r="D5621">
        <v>13</v>
      </c>
    </row>
    <row r="5622" spans="2:4" x14ac:dyDescent="0.25">
      <c r="B5622" t="s">
        <v>1580</v>
      </c>
      <c r="C5622">
        <v>34</v>
      </c>
      <c r="D5622">
        <v>14</v>
      </c>
    </row>
    <row r="5623" spans="2:4" x14ac:dyDescent="0.25">
      <c r="B5623" t="s">
        <v>1580</v>
      </c>
      <c r="C5623">
        <v>35</v>
      </c>
      <c r="D5623">
        <v>6</v>
      </c>
    </row>
    <row r="5624" spans="2:4" x14ac:dyDescent="0.25">
      <c r="B5624" t="s">
        <v>1580</v>
      </c>
      <c r="C5624">
        <v>35</v>
      </c>
      <c r="D5624">
        <v>8</v>
      </c>
    </row>
    <row r="5625" spans="2:4" x14ac:dyDescent="0.25">
      <c r="B5625" t="s">
        <v>1580</v>
      </c>
      <c r="C5625">
        <v>35</v>
      </c>
      <c r="D5625">
        <v>13</v>
      </c>
    </row>
    <row r="5626" spans="2:4" x14ac:dyDescent="0.25">
      <c r="B5626" t="s">
        <v>1580</v>
      </c>
      <c r="C5626">
        <v>35</v>
      </c>
      <c r="D5626">
        <v>14</v>
      </c>
    </row>
    <row r="5627" spans="2:4" x14ac:dyDescent="0.25">
      <c r="B5627" t="s">
        <v>1580</v>
      </c>
      <c r="C5627">
        <v>36</v>
      </c>
      <c r="D5627">
        <v>6</v>
      </c>
    </row>
    <row r="5628" spans="2:4" x14ac:dyDescent="0.25">
      <c r="B5628" t="s">
        <v>1580</v>
      </c>
      <c r="C5628">
        <v>36</v>
      </c>
      <c r="D5628">
        <v>8</v>
      </c>
    </row>
    <row r="5629" spans="2:4" x14ac:dyDescent="0.25">
      <c r="B5629" t="s">
        <v>1580</v>
      </c>
      <c r="C5629">
        <v>36</v>
      </c>
      <c r="D5629">
        <v>13</v>
      </c>
    </row>
    <row r="5630" spans="2:4" x14ac:dyDescent="0.25">
      <c r="B5630" t="s">
        <v>1580</v>
      </c>
      <c r="C5630">
        <v>36</v>
      </c>
      <c r="D5630">
        <v>14</v>
      </c>
    </row>
    <row r="5631" spans="2:4" x14ac:dyDescent="0.25">
      <c r="B5631" t="s">
        <v>1580</v>
      </c>
      <c r="C5631">
        <v>37</v>
      </c>
      <c r="D5631">
        <v>6</v>
      </c>
    </row>
    <row r="5632" spans="2:4" x14ac:dyDescent="0.25">
      <c r="B5632" t="s">
        <v>1580</v>
      </c>
      <c r="C5632">
        <v>37</v>
      </c>
      <c r="D5632">
        <v>8</v>
      </c>
    </row>
    <row r="5633" spans="2:4" x14ac:dyDescent="0.25">
      <c r="B5633" t="s">
        <v>1580</v>
      </c>
      <c r="C5633">
        <v>37</v>
      </c>
      <c r="D5633">
        <v>13</v>
      </c>
    </row>
    <row r="5634" spans="2:4" x14ac:dyDescent="0.25">
      <c r="B5634" t="s">
        <v>1580</v>
      </c>
      <c r="C5634">
        <v>37</v>
      </c>
      <c r="D5634">
        <v>14</v>
      </c>
    </row>
    <row r="5635" spans="2:4" x14ac:dyDescent="0.25">
      <c r="B5635" t="s">
        <v>1580</v>
      </c>
      <c r="C5635">
        <v>38</v>
      </c>
      <c r="D5635">
        <v>6</v>
      </c>
    </row>
    <row r="5636" spans="2:4" x14ac:dyDescent="0.25">
      <c r="B5636" t="s">
        <v>1580</v>
      </c>
      <c r="C5636">
        <v>38</v>
      </c>
      <c r="D5636">
        <v>8</v>
      </c>
    </row>
    <row r="5637" spans="2:4" x14ac:dyDescent="0.25">
      <c r="B5637" t="s">
        <v>1580</v>
      </c>
      <c r="C5637">
        <v>38</v>
      </c>
      <c r="D5637">
        <v>13</v>
      </c>
    </row>
    <row r="5638" spans="2:4" x14ac:dyDescent="0.25">
      <c r="B5638" t="s">
        <v>1580</v>
      </c>
      <c r="C5638">
        <v>38</v>
      </c>
      <c r="D5638">
        <v>14</v>
      </c>
    </row>
    <row r="5639" spans="2:4" x14ac:dyDescent="0.25">
      <c r="B5639" t="s">
        <v>1580</v>
      </c>
      <c r="C5639">
        <v>40</v>
      </c>
      <c r="D5639">
        <v>6</v>
      </c>
    </row>
    <row r="5640" spans="2:4" x14ac:dyDescent="0.25">
      <c r="B5640" t="s">
        <v>1580</v>
      </c>
      <c r="C5640">
        <v>40</v>
      </c>
      <c r="D5640">
        <v>8</v>
      </c>
    </row>
    <row r="5641" spans="2:4" x14ac:dyDescent="0.25">
      <c r="B5641" t="s">
        <v>1580</v>
      </c>
      <c r="C5641">
        <v>40</v>
      </c>
      <c r="D5641">
        <v>13</v>
      </c>
    </row>
    <row r="5642" spans="2:4" x14ac:dyDescent="0.25">
      <c r="B5642" t="s">
        <v>1580</v>
      </c>
      <c r="C5642">
        <v>40</v>
      </c>
      <c r="D5642">
        <v>14</v>
      </c>
    </row>
    <row r="5643" spans="2:4" x14ac:dyDescent="0.25">
      <c r="B5643" t="s">
        <v>1580</v>
      </c>
      <c r="C5643">
        <v>41</v>
      </c>
      <c r="D5643">
        <v>6</v>
      </c>
    </row>
    <row r="5644" spans="2:4" x14ac:dyDescent="0.25">
      <c r="B5644" t="s">
        <v>1580</v>
      </c>
      <c r="C5644">
        <v>41</v>
      </c>
      <c r="D5644">
        <v>8</v>
      </c>
    </row>
    <row r="5645" spans="2:4" x14ac:dyDescent="0.25">
      <c r="B5645" t="s">
        <v>1580</v>
      </c>
      <c r="C5645">
        <v>41</v>
      </c>
      <c r="D5645">
        <v>13</v>
      </c>
    </row>
    <row r="5646" spans="2:4" x14ac:dyDescent="0.25">
      <c r="B5646" t="s">
        <v>1580</v>
      </c>
      <c r="C5646">
        <v>41</v>
      </c>
      <c r="D5646">
        <v>14</v>
      </c>
    </row>
    <row r="5647" spans="2:4" x14ac:dyDescent="0.25">
      <c r="B5647" t="s">
        <v>1580</v>
      </c>
      <c r="C5647">
        <v>42</v>
      </c>
      <c r="D5647">
        <v>6</v>
      </c>
    </row>
    <row r="5648" spans="2:4" x14ac:dyDescent="0.25">
      <c r="B5648" t="s">
        <v>1580</v>
      </c>
      <c r="C5648">
        <v>42</v>
      </c>
      <c r="D5648">
        <v>8</v>
      </c>
    </row>
    <row r="5649" spans="2:4" x14ac:dyDescent="0.25">
      <c r="B5649" t="s">
        <v>1580</v>
      </c>
      <c r="C5649">
        <v>42</v>
      </c>
      <c r="D5649">
        <v>13</v>
      </c>
    </row>
    <row r="5650" spans="2:4" x14ac:dyDescent="0.25">
      <c r="B5650" t="s">
        <v>1580</v>
      </c>
      <c r="C5650">
        <v>42</v>
      </c>
      <c r="D5650">
        <v>14</v>
      </c>
    </row>
    <row r="5651" spans="2:4" x14ac:dyDescent="0.25">
      <c r="B5651" t="s">
        <v>1580</v>
      </c>
      <c r="C5651">
        <v>43</v>
      </c>
      <c r="D5651">
        <v>6</v>
      </c>
    </row>
    <row r="5652" spans="2:4" x14ac:dyDescent="0.25">
      <c r="B5652" t="s">
        <v>1580</v>
      </c>
      <c r="C5652">
        <v>43</v>
      </c>
      <c r="D5652">
        <v>8</v>
      </c>
    </row>
    <row r="5653" spans="2:4" x14ac:dyDescent="0.25">
      <c r="B5653" t="s">
        <v>1580</v>
      </c>
      <c r="C5653">
        <v>43</v>
      </c>
      <c r="D5653">
        <v>13</v>
      </c>
    </row>
    <row r="5654" spans="2:4" x14ac:dyDescent="0.25">
      <c r="B5654" t="s">
        <v>1580</v>
      </c>
      <c r="C5654">
        <v>43</v>
      </c>
      <c r="D5654">
        <v>14</v>
      </c>
    </row>
    <row r="5655" spans="2:4" x14ac:dyDescent="0.25">
      <c r="B5655" t="s">
        <v>1580</v>
      </c>
      <c r="C5655">
        <v>44</v>
      </c>
      <c r="D5655">
        <v>6</v>
      </c>
    </row>
    <row r="5656" spans="2:4" x14ac:dyDescent="0.25">
      <c r="B5656" t="s">
        <v>1580</v>
      </c>
      <c r="C5656">
        <v>44</v>
      </c>
      <c r="D5656">
        <v>8</v>
      </c>
    </row>
    <row r="5657" spans="2:4" x14ac:dyDescent="0.25">
      <c r="B5657" t="s">
        <v>1580</v>
      </c>
      <c r="C5657">
        <v>44</v>
      </c>
      <c r="D5657">
        <v>13</v>
      </c>
    </row>
    <row r="5658" spans="2:4" x14ac:dyDescent="0.25">
      <c r="B5658" t="s">
        <v>1580</v>
      </c>
      <c r="C5658">
        <v>44</v>
      </c>
      <c r="D5658">
        <v>14</v>
      </c>
    </row>
    <row r="5659" spans="2:4" x14ac:dyDescent="0.25">
      <c r="B5659" t="s">
        <v>1580</v>
      </c>
      <c r="C5659">
        <v>45</v>
      </c>
      <c r="D5659">
        <v>6</v>
      </c>
    </row>
    <row r="5660" spans="2:4" x14ac:dyDescent="0.25">
      <c r="B5660" t="s">
        <v>1580</v>
      </c>
      <c r="C5660">
        <v>45</v>
      </c>
      <c r="D5660">
        <v>8</v>
      </c>
    </row>
    <row r="5661" spans="2:4" x14ac:dyDescent="0.25">
      <c r="B5661" t="s">
        <v>1580</v>
      </c>
      <c r="C5661">
        <v>45</v>
      </c>
      <c r="D5661">
        <v>13</v>
      </c>
    </row>
    <row r="5662" spans="2:4" x14ac:dyDescent="0.25">
      <c r="B5662" t="s">
        <v>1580</v>
      </c>
      <c r="C5662">
        <v>45</v>
      </c>
      <c r="D5662">
        <v>14</v>
      </c>
    </row>
    <row r="5663" spans="2:4" x14ac:dyDescent="0.25">
      <c r="B5663" t="s">
        <v>1580</v>
      </c>
      <c r="C5663">
        <v>46</v>
      </c>
      <c r="D5663">
        <v>6</v>
      </c>
    </row>
    <row r="5664" spans="2:4" x14ac:dyDescent="0.25">
      <c r="B5664" t="s">
        <v>1580</v>
      </c>
      <c r="C5664">
        <v>46</v>
      </c>
      <c r="D5664">
        <v>8</v>
      </c>
    </row>
    <row r="5665" spans="2:4" x14ac:dyDescent="0.25">
      <c r="B5665" t="s">
        <v>1580</v>
      </c>
      <c r="C5665">
        <v>46</v>
      </c>
      <c r="D5665">
        <v>13</v>
      </c>
    </row>
    <row r="5666" spans="2:4" x14ac:dyDescent="0.25">
      <c r="B5666" t="s">
        <v>1580</v>
      </c>
      <c r="C5666">
        <v>46</v>
      </c>
      <c r="D5666">
        <v>14</v>
      </c>
    </row>
    <row r="5667" spans="2:4" x14ac:dyDescent="0.25">
      <c r="B5667" t="s">
        <v>1580</v>
      </c>
      <c r="C5667">
        <v>47</v>
      </c>
      <c r="D5667">
        <v>5</v>
      </c>
    </row>
    <row r="5668" spans="2:4" x14ac:dyDescent="0.25">
      <c r="B5668" t="s">
        <v>1580</v>
      </c>
      <c r="C5668">
        <v>49</v>
      </c>
      <c r="D5668">
        <v>6</v>
      </c>
    </row>
    <row r="5669" spans="2:4" x14ac:dyDescent="0.25">
      <c r="B5669" t="s">
        <v>1580</v>
      </c>
      <c r="C5669">
        <v>49</v>
      </c>
      <c r="D5669">
        <v>8</v>
      </c>
    </row>
    <row r="5670" spans="2:4" x14ac:dyDescent="0.25">
      <c r="B5670" t="s">
        <v>1580</v>
      </c>
      <c r="C5670">
        <v>49</v>
      </c>
      <c r="D5670">
        <v>13</v>
      </c>
    </row>
    <row r="5671" spans="2:4" x14ac:dyDescent="0.25">
      <c r="B5671" t="s">
        <v>1580</v>
      </c>
      <c r="C5671">
        <v>49</v>
      </c>
      <c r="D5671">
        <v>14</v>
      </c>
    </row>
    <row r="5672" spans="2:4" x14ac:dyDescent="0.25">
      <c r="B5672" t="s">
        <v>1580</v>
      </c>
      <c r="C5672">
        <v>50</v>
      </c>
      <c r="D5672">
        <v>6</v>
      </c>
    </row>
    <row r="5673" spans="2:4" x14ac:dyDescent="0.25">
      <c r="B5673" t="s">
        <v>1580</v>
      </c>
      <c r="C5673">
        <v>50</v>
      </c>
      <c r="D5673">
        <v>8</v>
      </c>
    </row>
    <row r="5674" spans="2:4" x14ac:dyDescent="0.25">
      <c r="B5674" t="s">
        <v>1580</v>
      </c>
      <c r="C5674">
        <v>50</v>
      </c>
      <c r="D5674">
        <v>13</v>
      </c>
    </row>
    <row r="5675" spans="2:4" x14ac:dyDescent="0.25">
      <c r="B5675" t="s">
        <v>1580</v>
      </c>
      <c r="C5675">
        <v>50</v>
      </c>
      <c r="D5675">
        <v>14</v>
      </c>
    </row>
    <row r="5676" spans="2:4" x14ac:dyDescent="0.25">
      <c r="B5676" t="s">
        <v>1580</v>
      </c>
      <c r="C5676">
        <v>51</v>
      </c>
      <c r="D5676">
        <v>6</v>
      </c>
    </row>
    <row r="5677" spans="2:4" x14ac:dyDescent="0.25">
      <c r="B5677" t="s">
        <v>1580</v>
      </c>
      <c r="C5677">
        <v>51</v>
      </c>
      <c r="D5677">
        <v>8</v>
      </c>
    </row>
    <row r="5678" spans="2:4" x14ac:dyDescent="0.25">
      <c r="B5678" t="s">
        <v>1580</v>
      </c>
      <c r="C5678">
        <v>51</v>
      </c>
      <c r="D5678">
        <v>13</v>
      </c>
    </row>
    <row r="5679" spans="2:4" x14ac:dyDescent="0.25">
      <c r="B5679" t="s">
        <v>1580</v>
      </c>
      <c r="C5679">
        <v>51</v>
      </c>
      <c r="D5679">
        <v>14</v>
      </c>
    </row>
    <row r="5680" spans="2:4" x14ac:dyDescent="0.25">
      <c r="B5680" t="s">
        <v>1580</v>
      </c>
      <c r="C5680">
        <v>52</v>
      </c>
      <c r="D5680">
        <v>6</v>
      </c>
    </row>
    <row r="5681" spans="2:4" x14ac:dyDescent="0.25">
      <c r="B5681" t="s">
        <v>1580</v>
      </c>
      <c r="C5681">
        <v>52</v>
      </c>
      <c r="D5681">
        <v>8</v>
      </c>
    </row>
    <row r="5682" spans="2:4" x14ac:dyDescent="0.25">
      <c r="B5682" t="s">
        <v>1580</v>
      </c>
      <c r="C5682">
        <v>52</v>
      </c>
      <c r="D5682">
        <v>13</v>
      </c>
    </row>
    <row r="5683" spans="2:4" x14ac:dyDescent="0.25">
      <c r="B5683" t="s">
        <v>1580</v>
      </c>
      <c r="C5683">
        <v>52</v>
      </c>
      <c r="D5683">
        <v>14</v>
      </c>
    </row>
    <row r="5684" spans="2:4" x14ac:dyDescent="0.25">
      <c r="B5684" t="s">
        <v>1580</v>
      </c>
      <c r="C5684">
        <v>53</v>
      </c>
      <c r="D5684">
        <v>6</v>
      </c>
    </row>
    <row r="5685" spans="2:4" x14ac:dyDescent="0.25">
      <c r="B5685" t="s">
        <v>1580</v>
      </c>
      <c r="C5685">
        <v>53</v>
      </c>
      <c r="D5685">
        <v>8</v>
      </c>
    </row>
    <row r="5686" spans="2:4" x14ac:dyDescent="0.25">
      <c r="B5686" t="s">
        <v>1580</v>
      </c>
      <c r="C5686">
        <v>53</v>
      </c>
      <c r="D5686">
        <v>13</v>
      </c>
    </row>
    <row r="5687" spans="2:4" x14ac:dyDescent="0.25">
      <c r="B5687" t="s">
        <v>1580</v>
      </c>
      <c r="C5687">
        <v>53</v>
      </c>
      <c r="D5687">
        <v>14</v>
      </c>
    </row>
    <row r="5688" spans="2:4" x14ac:dyDescent="0.25">
      <c r="B5688" t="s">
        <v>1580</v>
      </c>
      <c r="C5688">
        <v>54</v>
      </c>
      <c r="D5688">
        <v>5</v>
      </c>
    </row>
    <row r="5689" spans="2:4" x14ac:dyDescent="0.25">
      <c r="B5689" t="s">
        <v>1580</v>
      </c>
      <c r="C5689">
        <v>56</v>
      </c>
      <c r="D5689">
        <v>6</v>
      </c>
    </row>
    <row r="5690" spans="2:4" x14ac:dyDescent="0.25">
      <c r="B5690" t="s">
        <v>1580</v>
      </c>
      <c r="C5690">
        <v>56</v>
      </c>
      <c r="D5690">
        <v>8</v>
      </c>
    </row>
    <row r="5691" spans="2:4" x14ac:dyDescent="0.25">
      <c r="B5691" t="s">
        <v>1580</v>
      </c>
      <c r="C5691">
        <v>56</v>
      </c>
      <c r="D5691">
        <v>13</v>
      </c>
    </row>
    <row r="5692" spans="2:4" x14ac:dyDescent="0.25">
      <c r="B5692" t="s">
        <v>1580</v>
      </c>
      <c r="C5692">
        <v>56</v>
      </c>
      <c r="D5692">
        <v>14</v>
      </c>
    </row>
    <row r="5693" spans="2:4" x14ac:dyDescent="0.25">
      <c r="B5693" t="s">
        <v>1580</v>
      </c>
      <c r="C5693">
        <v>58</v>
      </c>
      <c r="D5693">
        <v>5</v>
      </c>
    </row>
    <row r="5694" spans="2:4" x14ac:dyDescent="0.25">
      <c r="B5694" t="s">
        <v>1580</v>
      </c>
      <c r="C5694">
        <v>58</v>
      </c>
      <c r="D5694">
        <v>6</v>
      </c>
    </row>
    <row r="5695" spans="2:4" x14ac:dyDescent="0.25">
      <c r="B5695" t="s">
        <v>1580</v>
      </c>
      <c r="C5695">
        <v>60</v>
      </c>
      <c r="D5695">
        <v>6</v>
      </c>
    </row>
    <row r="5696" spans="2:4" x14ac:dyDescent="0.25">
      <c r="B5696" t="s">
        <v>1580</v>
      </c>
      <c r="C5696">
        <v>60</v>
      </c>
      <c r="D5696">
        <v>8</v>
      </c>
    </row>
    <row r="5697" spans="2:4" x14ac:dyDescent="0.25">
      <c r="B5697" t="s">
        <v>1580</v>
      </c>
      <c r="C5697">
        <v>60</v>
      </c>
      <c r="D5697">
        <v>13</v>
      </c>
    </row>
    <row r="5698" spans="2:4" x14ac:dyDescent="0.25">
      <c r="B5698" t="s">
        <v>1580</v>
      </c>
      <c r="C5698">
        <v>60</v>
      </c>
      <c r="D5698">
        <v>14</v>
      </c>
    </row>
    <row r="5699" spans="2:4" x14ac:dyDescent="0.25">
      <c r="B5699" t="s">
        <v>1580</v>
      </c>
      <c r="C5699">
        <v>61</v>
      </c>
      <c r="D5699">
        <v>6</v>
      </c>
    </row>
    <row r="5700" spans="2:4" x14ac:dyDescent="0.25">
      <c r="B5700" t="s">
        <v>1580</v>
      </c>
      <c r="C5700">
        <v>61</v>
      </c>
      <c r="D5700">
        <v>8</v>
      </c>
    </row>
    <row r="5701" spans="2:4" x14ac:dyDescent="0.25">
      <c r="B5701" t="s">
        <v>1580</v>
      </c>
      <c r="C5701">
        <v>61</v>
      </c>
      <c r="D5701">
        <v>13</v>
      </c>
    </row>
    <row r="5702" spans="2:4" x14ac:dyDescent="0.25">
      <c r="B5702" t="s">
        <v>1580</v>
      </c>
      <c r="C5702">
        <v>61</v>
      </c>
      <c r="D5702">
        <v>14</v>
      </c>
    </row>
    <row r="5703" spans="2:4" x14ac:dyDescent="0.25">
      <c r="B5703" t="s">
        <v>1580</v>
      </c>
      <c r="C5703">
        <v>62</v>
      </c>
      <c r="D5703">
        <v>6</v>
      </c>
    </row>
    <row r="5704" spans="2:4" x14ac:dyDescent="0.25">
      <c r="B5704" t="s">
        <v>1580</v>
      </c>
      <c r="C5704">
        <v>62</v>
      </c>
      <c r="D5704">
        <v>8</v>
      </c>
    </row>
    <row r="5705" spans="2:4" x14ac:dyDescent="0.25">
      <c r="B5705" t="s">
        <v>1580</v>
      </c>
      <c r="C5705">
        <v>62</v>
      </c>
      <c r="D5705">
        <v>13</v>
      </c>
    </row>
    <row r="5706" spans="2:4" x14ac:dyDescent="0.25">
      <c r="B5706" t="s">
        <v>1580</v>
      </c>
      <c r="C5706">
        <v>62</v>
      </c>
      <c r="D5706">
        <v>14</v>
      </c>
    </row>
    <row r="5707" spans="2:4" x14ac:dyDescent="0.25">
      <c r="B5707" t="s">
        <v>1580</v>
      </c>
      <c r="C5707">
        <v>63</v>
      </c>
      <c r="D5707">
        <v>6</v>
      </c>
    </row>
    <row r="5708" spans="2:4" x14ac:dyDescent="0.25">
      <c r="B5708" t="s">
        <v>1580</v>
      </c>
      <c r="C5708">
        <v>63</v>
      </c>
      <c r="D5708">
        <v>8</v>
      </c>
    </row>
    <row r="5709" spans="2:4" x14ac:dyDescent="0.25">
      <c r="B5709" t="s">
        <v>1580</v>
      </c>
      <c r="C5709">
        <v>63</v>
      </c>
      <c r="D5709">
        <v>13</v>
      </c>
    </row>
    <row r="5710" spans="2:4" x14ac:dyDescent="0.25">
      <c r="B5710" t="s">
        <v>1580</v>
      </c>
      <c r="C5710">
        <v>63</v>
      </c>
      <c r="D5710">
        <v>14</v>
      </c>
    </row>
    <row r="5711" spans="2:4" x14ac:dyDescent="0.25">
      <c r="B5711" t="s">
        <v>1580</v>
      </c>
      <c r="C5711">
        <v>64</v>
      </c>
      <c r="D5711">
        <v>6</v>
      </c>
    </row>
    <row r="5712" spans="2:4" x14ac:dyDescent="0.25">
      <c r="B5712" t="s">
        <v>1580</v>
      </c>
      <c r="C5712">
        <v>64</v>
      </c>
      <c r="D5712">
        <v>8</v>
      </c>
    </row>
    <row r="5713" spans="2:4" x14ac:dyDescent="0.25">
      <c r="B5713" t="s">
        <v>1580</v>
      </c>
      <c r="C5713">
        <v>64</v>
      </c>
      <c r="D5713">
        <v>13</v>
      </c>
    </row>
    <row r="5714" spans="2:4" x14ac:dyDescent="0.25">
      <c r="B5714" t="s">
        <v>1580</v>
      </c>
      <c r="C5714">
        <v>64</v>
      </c>
      <c r="D5714">
        <v>14</v>
      </c>
    </row>
    <row r="5715" spans="2:4" x14ac:dyDescent="0.25">
      <c r="B5715" t="s">
        <v>1580</v>
      </c>
      <c r="C5715">
        <v>65</v>
      </c>
      <c r="D5715">
        <v>6</v>
      </c>
    </row>
    <row r="5716" spans="2:4" x14ac:dyDescent="0.25">
      <c r="B5716" t="s">
        <v>1580</v>
      </c>
      <c r="C5716">
        <v>65</v>
      </c>
      <c r="D5716">
        <v>8</v>
      </c>
    </row>
    <row r="5717" spans="2:4" x14ac:dyDescent="0.25">
      <c r="B5717" t="s">
        <v>1580</v>
      </c>
      <c r="C5717">
        <v>65</v>
      </c>
      <c r="D5717">
        <v>13</v>
      </c>
    </row>
    <row r="5718" spans="2:4" x14ac:dyDescent="0.25">
      <c r="B5718" t="s">
        <v>1580</v>
      </c>
      <c r="C5718">
        <v>65</v>
      </c>
      <c r="D5718">
        <v>14</v>
      </c>
    </row>
    <row r="5719" spans="2:4" x14ac:dyDescent="0.25">
      <c r="B5719" t="s">
        <v>1580</v>
      </c>
      <c r="C5719">
        <v>66</v>
      </c>
      <c r="D5719">
        <v>6</v>
      </c>
    </row>
    <row r="5720" spans="2:4" x14ac:dyDescent="0.25">
      <c r="B5720" t="s">
        <v>1580</v>
      </c>
      <c r="C5720">
        <v>66</v>
      </c>
      <c r="D5720">
        <v>8</v>
      </c>
    </row>
    <row r="5721" spans="2:4" x14ac:dyDescent="0.25">
      <c r="B5721" t="s">
        <v>1580</v>
      </c>
      <c r="C5721">
        <v>66</v>
      </c>
      <c r="D5721">
        <v>13</v>
      </c>
    </row>
    <row r="5722" spans="2:4" x14ac:dyDescent="0.25">
      <c r="B5722" t="s">
        <v>1580</v>
      </c>
      <c r="C5722">
        <v>66</v>
      </c>
      <c r="D5722">
        <v>14</v>
      </c>
    </row>
    <row r="5723" spans="2:4" x14ac:dyDescent="0.25">
      <c r="B5723" t="s">
        <v>1580</v>
      </c>
      <c r="C5723">
        <v>68</v>
      </c>
      <c r="D5723">
        <v>6</v>
      </c>
    </row>
    <row r="5724" spans="2:4" x14ac:dyDescent="0.25">
      <c r="B5724" t="s">
        <v>1580</v>
      </c>
      <c r="C5724">
        <v>68</v>
      </c>
      <c r="D5724">
        <v>8</v>
      </c>
    </row>
    <row r="5725" spans="2:4" x14ac:dyDescent="0.25">
      <c r="B5725" t="s">
        <v>1580</v>
      </c>
      <c r="C5725">
        <v>68</v>
      </c>
      <c r="D5725">
        <v>13</v>
      </c>
    </row>
    <row r="5726" spans="2:4" x14ac:dyDescent="0.25">
      <c r="B5726" t="s">
        <v>1580</v>
      </c>
      <c r="C5726">
        <v>68</v>
      </c>
      <c r="D5726">
        <v>14</v>
      </c>
    </row>
    <row r="5727" spans="2:4" x14ac:dyDescent="0.25">
      <c r="B5727" t="s">
        <v>1580</v>
      </c>
      <c r="C5727">
        <v>69</v>
      </c>
      <c r="D5727">
        <v>6</v>
      </c>
    </row>
    <row r="5728" spans="2:4" x14ac:dyDescent="0.25">
      <c r="B5728" t="s">
        <v>1580</v>
      </c>
      <c r="C5728">
        <v>69</v>
      </c>
      <c r="D5728">
        <v>8</v>
      </c>
    </row>
    <row r="5729" spans="2:4" x14ac:dyDescent="0.25">
      <c r="B5729" t="s">
        <v>1580</v>
      </c>
      <c r="C5729">
        <v>69</v>
      </c>
      <c r="D5729">
        <v>13</v>
      </c>
    </row>
    <row r="5730" spans="2:4" x14ac:dyDescent="0.25">
      <c r="B5730" t="s">
        <v>1580</v>
      </c>
      <c r="C5730">
        <v>69</v>
      </c>
      <c r="D5730">
        <v>14</v>
      </c>
    </row>
    <row r="5731" spans="2:4" x14ac:dyDescent="0.25">
      <c r="B5731" t="s">
        <v>1580</v>
      </c>
      <c r="C5731">
        <v>70</v>
      </c>
      <c r="D5731">
        <v>6</v>
      </c>
    </row>
    <row r="5732" spans="2:4" x14ac:dyDescent="0.25">
      <c r="B5732" t="s">
        <v>1580</v>
      </c>
      <c r="C5732">
        <v>70</v>
      </c>
      <c r="D5732">
        <v>8</v>
      </c>
    </row>
    <row r="5733" spans="2:4" x14ac:dyDescent="0.25">
      <c r="B5733" t="s">
        <v>1580</v>
      </c>
      <c r="C5733">
        <v>70</v>
      </c>
      <c r="D5733">
        <v>13</v>
      </c>
    </row>
    <row r="5734" spans="2:4" x14ac:dyDescent="0.25">
      <c r="B5734" t="s">
        <v>1580</v>
      </c>
      <c r="C5734">
        <v>70</v>
      </c>
      <c r="D5734">
        <v>14</v>
      </c>
    </row>
    <row r="5735" spans="2:4" x14ac:dyDescent="0.25">
      <c r="B5735" t="s">
        <v>1580</v>
      </c>
      <c r="C5735">
        <v>71</v>
      </c>
      <c r="D5735">
        <v>6</v>
      </c>
    </row>
    <row r="5736" spans="2:4" x14ac:dyDescent="0.25">
      <c r="B5736" t="s">
        <v>1580</v>
      </c>
      <c r="C5736">
        <v>71</v>
      </c>
      <c r="D5736">
        <v>8</v>
      </c>
    </row>
    <row r="5737" spans="2:4" x14ac:dyDescent="0.25">
      <c r="B5737" t="s">
        <v>1580</v>
      </c>
      <c r="C5737">
        <v>71</v>
      </c>
      <c r="D5737">
        <v>13</v>
      </c>
    </row>
    <row r="5738" spans="2:4" x14ac:dyDescent="0.25">
      <c r="B5738" t="s">
        <v>1580</v>
      </c>
      <c r="C5738">
        <v>71</v>
      </c>
      <c r="D5738">
        <v>14</v>
      </c>
    </row>
    <row r="5739" spans="2:4" x14ac:dyDescent="0.25">
      <c r="B5739" t="s">
        <v>1580</v>
      </c>
      <c r="C5739">
        <v>72</v>
      </c>
      <c r="D5739">
        <v>6</v>
      </c>
    </row>
    <row r="5740" spans="2:4" x14ac:dyDescent="0.25">
      <c r="B5740" t="s">
        <v>1580</v>
      </c>
      <c r="C5740">
        <v>72</v>
      </c>
      <c r="D5740">
        <v>8</v>
      </c>
    </row>
    <row r="5741" spans="2:4" x14ac:dyDescent="0.25">
      <c r="B5741" t="s">
        <v>1580</v>
      </c>
      <c r="C5741">
        <v>72</v>
      </c>
      <c r="D5741">
        <v>13</v>
      </c>
    </row>
    <row r="5742" spans="2:4" x14ac:dyDescent="0.25">
      <c r="B5742" t="s">
        <v>1580</v>
      </c>
      <c r="C5742">
        <v>72</v>
      </c>
      <c r="D5742">
        <v>14</v>
      </c>
    </row>
    <row r="5743" spans="2:4" x14ac:dyDescent="0.25">
      <c r="B5743" t="s">
        <v>1580</v>
      </c>
      <c r="C5743">
        <v>73</v>
      </c>
      <c r="D5743">
        <v>6</v>
      </c>
    </row>
    <row r="5744" spans="2:4" x14ac:dyDescent="0.25">
      <c r="B5744" t="s">
        <v>1580</v>
      </c>
      <c r="C5744">
        <v>73</v>
      </c>
      <c r="D5744">
        <v>8</v>
      </c>
    </row>
    <row r="5745" spans="2:4" x14ac:dyDescent="0.25">
      <c r="B5745" t="s">
        <v>1580</v>
      </c>
      <c r="C5745">
        <v>73</v>
      </c>
      <c r="D5745">
        <v>13</v>
      </c>
    </row>
    <row r="5746" spans="2:4" x14ac:dyDescent="0.25">
      <c r="B5746" t="s">
        <v>1580</v>
      </c>
      <c r="C5746">
        <v>73</v>
      </c>
      <c r="D5746">
        <v>14</v>
      </c>
    </row>
    <row r="5747" spans="2:4" x14ac:dyDescent="0.25">
      <c r="B5747" t="s">
        <v>1580</v>
      </c>
      <c r="C5747">
        <v>74</v>
      </c>
      <c r="D5747">
        <v>6</v>
      </c>
    </row>
    <row r="5748" spans="2:4" x14ac:dyDescent="0.25">
      <c r="B5748" t="s">
        <v>1580</v>
      </c>
      <c r="C5748">
        <v>74</v>
      </c>
      <c r="D5748">
        <v>8</v>
      </c>
    </row>
    <row r="5749" spans="2:4" x14ac:dyDescent="0.25">
      <c r="B5749" t="s">
        <v>1580</v>
      </c>
      <c r="C5749">
        <v>74</v>
      </c>
      <c r="D5749">
        <v>13</v>
      </c>
    </row>
    <row r="5750" spans="2:4" x14ac:dyDescent="0.25">
      <c r="B5750" t="s">
        <v>1580</v>
      </c>
      <c r="C5750">
        <v>74</v>
      </c>
      <c r="D5750">
        <v>14</v>
      </c>
    </row>
    <row r="5751" spans="2:4" x14ac:dyDescent="0.25">
      <c r="B5751" t="s">
        <v>1580</v>
      </c>
      <c r="C5751">
        <v>77</v>
      </c>
      <c r="D5751">
        <v>6</v>
      </c>
    </row>
    <row r="5752" spans="2:4" x14ac:dyDescent="0.25">
      <c r="B5752" t="s">
        <v>1580</v>
      </c>
      <c r="C5752">
        <v>77</v>
      </c>
      <c r="D5752">
        <v>8</v>
      </c>
    </row>
    <row r="5753" spans="2:4" x14ac:dyDescent="0.25">
      <c r="B5753" t="s">
        <v>1580</v>
      </c>
      <c r="C5753">
        <v>77</v>
      </c>
      <c r="D5753">
        <v>13</v>
      </c>
    </row>
    <row r="5754" spans="2:4" x14ac:dyDescent="0.25">
      <c r="B5754" t="s">
        <v>1580</v>
      </c>
      <c r="C5754">
        <v>77</v>
      </c>
      <c r="D5754">
        <v>14</v>
      </c>
    </row>
    <row r="5755" spans="2:4" x14ac:dyDescent="0.25">
      <c r="B5755" t="s">
        <v>1580</v>
      </c>
      <c r="C5755">
        <v>78</v>
      </c>
      <c r="D5755">
        <v>6</v>
      </c>
    </row>
    <row r="5756" spans="2:4" x14ac:dyDescent="0.25">
      <c r="B5756" t="s">
        <v>1580</v>
      </c>
      <c r="C5756">
        <v>78</v>
      </c>
      <c r="D5756">
        <v>8</v>
      </c>
    </row>
    <row r="5757" spans="2:4" x14ac:dyDescent="0.25">
      <c r="B5757" t="s">
        <v>1580</v>
      </c>
      <c r="C5757">
        <v>78</v>
      </c>
      <c r="D5757">
        <v>13</v>
      </c>
    </row>
    <row r="5758" spans="2:4" x14ac:dyDescent="0.25">
      <c r="B5758" t="s">
        <v>1580</v>
      </c>
      <c r="C5758">
        <v>78</v>
      </c>
      <c r="D5758">
        <v>14</v>
      </c>
    </row>
    <row r="5759" spans="2:4" x14ac:dyDescent="0.25">
      <c r="B5759" t="s">
        <v>1580</v>
      </c>
      <c r="C5759">
        <v>79</v>
      </c>
      <c r="D5759">
        <v>6</v>
      </c>
    </row>
    <row r="5760" spans="2:4" x14ac:dyDescent="0.25">
      <c r="B5760" t="s">
        <v>1580</v>
      </c>
      <c r="C5760">
        <v>79</v>
      </c>
      <c r="D5760">
        <v>8</v>
      </c>
    </row>
    <row r="5761" spans="2:4" x14ac:dyDescent="0.25">
      <c r="B5761" t="s">
        <v>1580</v>
      </c>
      <c r="C5761">
        <v>79</v>
      </c>
      <c r="D5761">
        <v>13</v>
      </c>
    </row>
    <row r="5762" spans="2:4" x14ac:dyDescent="0.25">
      <c r="B5762" t="s">
        <v>1580</v>
      </c>
      <c r="C5762">
        <v>79</v>
      </c>
      <c r="D5762">
        <v>14</v>
      </c>
    </row>
    <row r="5763" spans="2:4" x14ac:dyDescent="0.25">
      <c r="B5763" t="s">
        <v>1580</v>
      </c>
      <c r="C5763">
        <v>80</v>
      </c>
      <c r="D5763">
        <v>6</v>
      </c>
    </row>
    <row r="5764" spans="2:4" x14ac:dyDescent="0.25">
      <c r="B5764" t="s">
        <v>1580</v>
      </c>
      <c r="C5764">
        <v>80</v>
      </c>
      <c r="D5764">
        <v>8</v>
      </c>
    </row>
    <row r="5765" spans="2:4" x14ac:dyDescent="0.25">
      <c r="B5765" t="s">
        <v>1580</v>
      </c>
      <c r="C5765">
        <v>80</v>
      </c>
      <c r="D5765">
        <v>13</v>
      </c>
    </row>
    <row r="5766" spans="2:4" x14ac:dyDescent="0.25">
      <c r="B5766" t="s">
        <v>1580</v>
      </c>
      <c r="C5766">
        <v>80</v>
      </c>
      <c r="D5766">
        <v>14</v>
      </c>
    </row>
    <row r="5767" spans="2:4" x14ac:dyDescent="0.25">
      <c r="B5767" t="s">
        <v>1580</v>
      </c>
      <c r="C5767">
        <v>81</v>
      </c>
      <c r="D5767">
        <v>6</v>
      </c>
    </row>
    <row r="5768" spans="2:4" x14ac:dyDescent="0.25">
      <c r="B5768" t="s">
        <v>1580</v>
      </c>
      <c r="C5768">
        <v>81</v>
      </c>
      <c r="D5768">
        <v>8</v>
      </c>
    </row>
    <row r="5769" spans="2:4" x14ac:dyDescent="0.25">
      <c r="B5769" t="s">
        <v>1580</v>
      </c>
      <c r="C5769">
        <v>81</v>
      </c>
      <c r="D5769">
        <v>13</v>
      </c>
    </row>
    <row r="5770" spans="2:4" x14ac:dyDescent="0.25">
      <c r="B5770" t="s">
        <v>1580</v>
      </c>
      <c r="C5770">
        <v>81</v>
      </c>
      <c r="D5770">
        <v>14</v>
      </c>
    </row>
    <row r="5771" spans="2:4" x14ac:dyDescent="0.25">
      <c r="B5771" t="s">
        <v>1580</v>
      </c>
      <c r="C5771">
        <v>82</v>
      </c>
      <c r="D5771">
        <v>6</v>
      </c>
    </row>
    <row r="5772" spans="2:4" x14ac:dyDescent="0.25">
      <c r="B5772" t="s">
        <v>1580</v>
      </c>
      <c r="C5772">
        <v>82</v>
      </c>
      <c r="D5772">
        <v>8</v>
      </c>
    </row>
    <row r="5773" spans="2:4" x14ac:dyDescent="0.25">
      <c r="B5773" t="s">
        <v>1580</v>
      </c>
      <c r="C5773">
        <v>82</v>
      </c>
      <c r="D5773">
        <v>13</v>
      </c>
    </row>
    <row r="5774" spans="2:4" x14ac:dyDescent="0.25">
      <c r="B5774" t="s">
        <v>1580</v>
      </c>
      <c r="C5774">
        <v>82</v>
      </c>
      <c r="D5774">
        <v>14</v>
      </c>
    </row>
    <row r="5775" spans="2:4" x14ac:dyDescent="0.25">
      <c r="B5775" t="s">
        <v>1580</v>
      </c>
      <c r="C5775">
        <v>83</v>
      </c>
      <c r="D5775">
        <v>6</v>
      </c>
    </row>
    <row r="5776" spans="2:4" x14ac:dyDescent="0.25">
      <c r="B5776" t="s">
        <v>1580</v>
      </c>
      <c r="C5776">
        <v>83</v>
      </c>
      <c r="D5776">
        <v>8</v>
      </c>
    </row>
    <row r="5777" spans="2:4" x14ac:dyDescent="0.25">
      <c r="B5777" t="s">
        <v>1580</v>
      </c>
      <c r="C5777">
        <v>83</v>
      </c>
      <c r="D5777">
        <v>13</v>
      </c>
    </row>
    <row r="5778" spans="2:4" x14ac:dyDescent="0.25">
      <c r="B5778" t="s">
        <v>1580</v>
      </c>
      <c r="C5778">
        <v>83</v>
      </c>
      <c r="D5778">
        <v>14</v>
      </c>
    </row>
    <row r="5779" spans="2:4" x14ac:dyDescent="0.25">
      <c r="B5779" t="s">
        <v>1580</v>
      </c>
      <c r="C5779">
        <v>87</v>
      </c>
      <c r="D5779">
        <v>6</v>
      </c>
    </row>
    <row r="5780" spans="2:4" x14ac:dyDescent="0.25">
      <c r="B5780" t="s">
        <v>1580</v>
      </c>
      <c r="C5780">
        <v>87</v>
      </c>
      <c r="D5780">
        <v>8</v>
      </c>
    </row>
    <row r="5781" spans="2:4" x14ac:dyDescent="0.25">
      <c r="B5781" t="s">
        <v>1580</v>
      </c>
      <c r="C5781">
        <v>87</v>
      </c>
      <c r="D5781">
        <v>13</v>
      </c>
    </row>
    <row r="5782" spans="2:4" x14ac:dyDescent="0.25">
      <c r="B5782" t="s">
        <v>1580</v>
      </c>
      <c r="C5782">
        <v>87</v>
      </c>
      <c r="D5782">
        <v>14</v>
      </c>
    </row>
    <row r="5783" spans="2:4" x14ac:dyDescent="0.25">
      <c r="B5783" t="s">
        <v>1580</v>
      </c>
      <c r="C5783">
        <v>88</v>
      </c>
      <c r="D5783">
        <v>6</v>
      </c>
    </row>
    <row r="5784" spans="2:4" x14ac:dyDescent="0.25">
      <c r="B5784" t="s">
        <v>1580</v>
      </c>
      <c r="C5784">
        <v>88</v>
      </c>
      <c r="D5784">
        <v>8</v>
      </c>
    </row>
    <row r="5785" spans="2:4" x14ac:dyDescent="0.25">
      <c r="B5785" t="s">
        <v>1580</v>
      </c>
      <c r="C5785">
        <v>88</v>
      </c>
      <c r="D5785">
        <v>13</v>
      </c>
    </row>
    <row r="5786" spans="2:4" x14ac:dyDescent="0.25">
      <c r="B5786" t="s">
        <v>1580</v>
      </c>
      <c r="C5786">
        <v>88</v>
      </c>
      <c r="D5786">
        <v>14</v>
      </c>
    </row>
    <row r="5787" spans="2:4" x14ac:dyDescent="0.25">
      <c r="B5787" t="s">
        <v>1580</v>
      </c>
      <c r="C5787">
        <v>89</v>
      </c>
      <c r="D5787">
        <v>6</v>
      </c>
    </row>
    <row r="5788" spans="2:4" x14ac:dyDescent="0.25">
      <c r="B5788" t="s">
        <v>1580</v>
      </c>
      <c r="C5788">
        <v>89</v>
      </c>
      <c r="D5788">
        <v>8</v>
      </c>
    </row>
    <row r="5789" spans="2:4" x14ac:dyDescent="0.25">
      <c r="B5789" t="s">
        <v>1580</v>
      </c>
      <c r="C5789">
        <v>89</v>
      </c>
      <c r="D5789">
        <v>13</v>
      </c>
    </row>
    <row r="5790" spans="2:4" x14ac:dyDescent="0.25">
      <c r="B5790" t="s">
        <v>1580</v>
      </c>
      <c r="C5790">
        <v>89</v>
      </c>
      <c r="D5790">
        <v>14</v>
      </c>
    </row>
    <row r="5791" spans="2:4" x14ac:dyDescent="0.25">
      <c r="B5791" t="s">
        <v>1580</v>
      </c>
      <c r="C5791">
        <v>90</v>
      </c>
      <c r="D5791">
        <v>6</v>
      </c>
    </row>
    <row r="5792" spans="2:4" x14ac:dyDescent="0.25">
      <c r="B5792" t="s">
        <v>1580</v>
      </c>
      <c r="C5792">
        <v>90</v>
      </c>
      <c r="D5792">
        <v>8</v>
      </c>
    </row>
    <row r="5793" spans="2:4" x14ac:dyDescent="0.25">
      <c r="B5793" t="s">
        <v>1580</v>
      </c>
      <c r="C5793">
        <v>90</v>
      </c>
      <c r="D5793">
        <v>13</v>
      </c>
    </row>
    <row r="5794" spans="2:4" x14ac:dyDescent="0.25">
      <c r="B5794" t="s">
        <v>1580</v>
      </c>
      <c r="C5794">
        <v>90</v>
      </c>
      <c r="D5794">
        <v>14</v>
      </c>
    </row>
    <row r="5795" spans="2:4" x14ac:dyDescent="0.25">
      <c r="B5795" t="s">
        <v>1580</v>
      </c>
      <c r="C5795">
        <v>91</v>
      </c>
      <c r="D5795">
        <v>6</v>
      </c>
    </row>
    <row r="5796" spans="2:4" x14ac:dyDescent="0.25">
      <c r="B5796" t="s">
        <v>1580</v>
      </c>
      <c r="C5796">
        <v>91</v>
      </c>
      <c r="D5796">
        <v>8</v>
      </c>
    </row>
    <row r="5797" spans="2:4" x14ac:dyDescent="0.25">
      <c r="B5797" t="s">
        <v>1580</v>
      </c>
      <c r="C5797">
        <v>91</v>
      </c>
      <c r="D5797">
        <v>13</v>
      </c>
    </row>
    <row r="5798" spans="2:4" x14ac:dyDescent="0.25">
      <c r="B5798" t="s">
        <v>1580</v>
      </c>
      <c r="C5798">
        <v>91</v>
      </c>
      <c r="D5798">
        <v>14</v>
      </c>
    </row>
    <row r="5799" spans="2:4" x14ac:dyDescent="0.25">
      <c r="B5799" t="s">
        <v>1580</v>
      </c>
      <c r="C5799">
        <v>92</v>
      </c>
      <c r="D5799">
        <v>6</v>
      </c>
    </row>
    <row r="5800" spans="2:4" x14ac:dyDescent="0.25">
      <c r="B5800" t="s">
        <v>1580</v>
      </c>
      <c r="C5800">
        <v>92</v>
      </c>
      <c r="D5800">
        <v>8</v>
      </c>
    </row>
    <row r="5801" spans="2:4" x14ac:dyDescent="0.25">
      <c r="B5801" t="s">
        <v>1580</v>
      </c>
      <c r="C5801">
        <v>92</v>
      </c>
      <c r="D5801">
        <v>13</v>
      </c>
    </row>
    <row r="5802" spans="2:4" x14ac:dyDescent="0.25">
      <c r="B5802" t="s">
        <v>1580</v>
      </c>
      <c r="C5802">
        <v>92</v>
      </c>
      <c r="D5802">
        <v>14</v>
      </c>
    </row>
    <row r="5803" spans="2:4" x14ac:dyDescent="0.25">
      <c r="B5803" t="s">
        <v>1580</v>
      </c>
      <c r="C5803">
        <v>93</v>
      </c>
      <c r="D5803">
        <v>6</v>
      </c>
    </row>
    <row r="5804" spans="2:4" x14ac:dyDescent="0.25">
      <c r="B5804" t="s">
        <v>1580</v>
      </c>
      <c r="C5804">
        <v>93</v>
      </c>
      <c r="D5804">
        <v>8</v>
      </c>
    </row>
    <row r="5805" spans="2:4" x14ac:dyDescent="0.25">
      <c r="B5805" t="s">
        <v>1580</v>
      </c>
      <c r="C5805">
        <v>93</v>
      </c>
      <c r="D5805">
        <v>13</v>
      </c>
    </row>
    <row r="5806" spans="2:4" x14ac:dyDescent="0.25">
      <c r="B5806" t="s">
        <v>1580</v>
      </c>
      <c r="C5806">
        <v>93</v>
      </c>
      <c r="D5806">
        <v>14</v>
      </c>
    </row>
    <row r="5807" spans="2:4" x14ac:dyDescent="0.25">
      <c r="B5807" t="s">
        <v>1580</v>
      </c>
      <c r="C5807">
        <v>94</v>
      </c>
      <c r="D5807">
        <v>6</v>
      </c>
    </row>
    <row r="5808" spans="2:4" x14ac:dyDescent="0.25">
      <c r="B5808" t="s">
        <v>1580</v>
      </c>
      <c r="C5808">
        <v>94</v>
      </c>
      <c r="D5808">
        <v>8</v>
      </c>
    </row>
    <row r="5809" spans="2:4" x14ac:dyDescent="0.25">
      <c r="B5809" t="s">
        <v>1580</v>
      </c>
      <c r="C5809">
        <v>94</v>
      </c>
      <c r="D5809">
        <v>13</v>
      </c>
    </row>
    <row r="5810" spans="2:4" x14ac:dyDescent="0.25">
      <c r="B5810" t="s">
        <v>1580</v>
      </c>
      <c r="C5810">
        <v>94</v>
      </c>
      <c r="D5810">
        <v>14</v>
      </c>
    </row>
    <row r="5811" spans="2:4" x14ac:dyDescent="0.25">
      <c r="B5811" t="s">
        <v>1580</v>
      </c>
      <c r="C5811">
        <v>95</v>
      </c>
      <c r="D5811">
        <v>6</v>
      </c>
    </row>
    <row r="5812" spans="2:4" x14ac:dyDescent="0.25">
      <c r="B5812" t="s">
        <v>1580</v>
      </c>
      <c r="C5812">
        <v>95</v>
      </c>
      <c r="D5812">
        <v>8</v>
      </c>
    </row>
    <row r="5813" spans="2:4" x14ac:dyDescent="0.25">
      <c r="B5813" t="s">
        <v>1580</v>
      </c>
      <c r="C5813">
        <v>95</v>
      </c>
      <c r="D5813">
        <v>13</v>
      </c>
    </row>
    <row r="5814" spans="2:4" x14ac:dyDescent="0.25">
      <c r="B5814" t="s">
        <v>1580</v>
      </c>
      <c r="C5814">
        <v>95</v>
      </c>
      <c r="D5814">
        <v>14</v>
      </c>
    </row>
    <row r="5815" spans="2:4" x14ac:dyDescent="0.25">
      <c r="B5815" t="s">
        <v>1580</v>
      </c>
      <c r="C5815">
        <v>96</v>
      </c>
      <c r="D5815">
        <v>6</v>
      </c>
    </row>
    <row r="5816" spans="2:4" x14ac:dyDescent="0.25">
      <c r="B5816" t="s">
        <v>1580</v>
      </c>
      <c r="C5816">
        <v>96</v>
      </c>
      <c r="D5816">
        <v>8</v>
      </c>
    </row>
    <row r="5817" spans="2:4" x14ac:dyDescent="0.25">
      <c r="B5817" t="s">
        <v>1580</v>
      </c>
      <c r="C5817">
        <v>96</v>
      </c>
      <c r="D5817">
        <v>13</v>
      </c>
    </row>
    <row r="5818" spans="2:4" x14ac:dyDescent="0.25">
      <c r="B5818" t="s">
        <v>1580</v>
      </c>
      <c r="C5818">
        <v>96</v>
      </c>
      <c r="D5818">
        <v>14</v>
      </c>
    </row>
    <row r="5819" spans="2:4" x14ac:dyDescent="0.25">
      <c r="B5819" t="s">
        <v>1580</v>
      </c>
      <c r="C5819">
        <v>97</v>
      </c>
      <c r="D5819">
        <v>6</v>
      </c>
    </row>
    <row r="5820" spans="2:4" x14ac:dyDescent="0.25">
      <c r="B5820" t="s">
        <v>1580</v>
      </c>
      <c r="C5820">
        <v>97</v>
      </c>
      <c r="D5820">
        <v>8</v>
      </c>
    </row>
    <row r="5821" spans="2:4" x14ac:dyDescent="0.25">
      <c r="B5821" t="s">
        <v>1580</v>
      </c>
      <c r="C5821">
        <v>97</v>
      </c>
      <c r="D5821">
        <v>13</v>
      </c>
    </row>
    <row r="5822" spans="2:4" x14ac:dyDescent="0.25">
      <c r="B5822" t="s">
        <v>1580</v>
      </c>
      <c r="C5822">
        <v>97</v>
      </c>
      <c r="D5822">
        <v>14</v>
      </c>
    </row>
    <row r="5823" spans="2:4" x14ac:dyDescent="0.25">
      <c r="B5823" t="s">
        <v>1580</v>
      </c>
      <c r="C5823">
        <v>98</v>
      </c>
      <c r="D5823">
        <v>6</v>
      </c>
    </row>
    <row r="5824" spans="2:4" x14ac:dyDescent="0.25">
      <c r="B5824" t="s">
        <v>1580</v>
      </c>
      <c r="C5824">
        <v>98</v>
      </c>
      <c r="D5824">
        <v>8</v>
      </c>
    </row>
    <row r="5825" spans="2:4" x14ac:dyDescent="0.25">
      <c r="B5825" t="s">
        <v>1580</v>
      </c>
      <c r="C5825">
        <v>98</v>
      </c>
      <c r="D5825">
        <v>13</v>
      </c>
    </row>
    <row r="5826" spans="2:4" x14ac:dyDescent="0.25">
      <c r="B5826" t="s">
        <v>1580</v>
      </c>
      <c r="C5826">
        <v>98</v>
      </c>
      <c r="D5826">
        <v>14</v>
      </c>
    </row>
    <row r="5827" spans="2:4" x14ac:dyDescent="0.25">
      <c r="B5827" t="s">
        <v>1580</v>
      </c>
      <c r="C5827">
        <v>99</v>
      </c>
      <c r="D5827">
        <v>6</v>
      </c>
    </row>
    <row r="5828" spans="2:4" x14ac:dyDescent="0.25">
      <c r="B5828" t="s">
        <v>1580</v>
      </c>
      <c r="C5828">
        <v>99</v>
      </c>
      <c r="D5828">
        <v>8</v>
      </c>
    </row>
    <row r="5829" spans="2:4" x14ac:dyDescent="0.25">
      <c r="B5829" t="s">
        <v>1580</v>
      </c>
      <c r="C5829">
        <v>99</v>
      </c>
      <c r="D5829">
        <v>13</v>
      </c>
    </row>
    <row r="5830" spans="2:4" x14ac:dyDescent="0.25">
      <c r="B5830" t="s">
        <v>1580</v>
      </c>
      <c r="C5830">
        <v>99</v>
      </c>
      <c r="D5830">
        <v>14</v>
      </c>
    </row>
    <row r="5831" spans="2:4" x14ac:dyDescent="0.25">
      <c r="B5831" t="s">
        <v>1580</v>
      </c>
      <c r="C5831">
        <v>100</v>
      </c>
      <c r="D5831">
        <v>6</v>
      </c>
    </row>
    <row r="5832" spans="2:4" x14ac:dyDescent="0.25">
      <c r="B5832" t="s">
        <v>1580</v>
      </c>
      <c r="C5832">
        <v>100</v>
      </c>
      <c r="D5832">
        <v>8</v>
      </c>
    </row>
    <row r="5833" spans="2:4" x14ac:dyDescent="0.25">
      <c r="B5833" t="s">
        <v>1580</v>
      </c>
      <c r="C5833">
        <v>100</v>
      </c>
      <c r="D5833">
        <v>13</v>
      </c>
    </row>
    <row r="5834" spans="2:4" x14ac:dyDescent="0.25">
      <c r="B5834" t="s">
        <v>1580</v>
      </c>
      <c r="C5834">
        <v>100</v>
      </c>
      <c r="D5834">
        <v>14</v>
      </c>
    </row>
    <row r="5835" spans="2:4" x14ac:dyDescent="0.25">
      <c r="B5835" t="s">
        <v>1580</v>
      </c>
      <c r="C5835">
        <v>101</v>
      </c>
      <c r="D5835">
        <v>6</v>
      </c>
    </row>
    <row r="5836" spans="2:4" x14ac:dyDescent="0.25">
      <c r="B5836" t="s">
        <v>1580</v>
      </c>
      <c r="C5836">
        <v>101</v>
      </c>
      <c r="D5836">
        <v>8</v>
      </c>
    </row>
    <row r="5837" spans="2:4" x14ac:dyDescent="0.25">
      <c r="B5837" t="s">
        <v>1580</v>
      </c>
      <c r="C5837">
        <v>101</v>
      </c>
      <c r="D5837">
        <v>13</v>
      </c>
    </row>
    <row r="5838" spans="2:4" x14ac:dyDescent="0.25">
      <c r="B5838" t="s">
        <v>1580</v>
      </c>
      <c r="C5838">
        <v>101</v>
      </c>
      <c r="D5838">
        <v>14</v>
      </c>
    </row>
    <row r="5839" spans="2:4" x14ac:dyDescent="0.25">
      <c r="B5839" t="s">
        <v>1580</v>
      </c>
      <c r="C5839">
        <v>102</v>
      </c>
      <c r="D5839">
        <v>6</v>
      </c>
    </row>
    <row r="5840" spans="2:4" x14ac:dyDescent="0.25">
      <c r="B5840" t="s">
        <v>1580</v>
      </c>
      <c r="C5840">
        <v>102</v>
      </c>
      <c r="D5840">
        <v>8</v>
      </c>
    </row>
    <row r="5841" spans="2:4" x14ac:dyDescent="0.25">
      <c r="B5841" t="s">
        <v>1580</v>
      </c>
      <c r="C5841">
        <v>102</v>
      </c>
      <c r="D5841">
        <v>13</v>
      </c>
    </row>
    <row r="5842" spans="2:4" x14ac:dyDescent="0.25">
      <c r="B5842" t="s">
        <v>1580</v>
      </c>
      <c r="C5842">
        <v>102</v>
      </c>
      <c r="D5842">
        <v>14</v>
      </c>
    </row>
    <row r="5843" spans="2:4" x14ac:dyDescent="0.25">
      <c r="B5843" t="s">
        <v>1580</v>
      </c>
      <c r="C5843">
        <v>103</v>
      </c>
      <c r="D5843">
        <v>6</v>
      </c>
    </row>
    <row r="5844" spans="2:4" x14ac:dyDescent="0.25">
      <c r="B5844" t="s">
        <v>1580</v>
      </c>
      <c r="C5844">
        <v>103</v>
      </c>
      <c r="D5844">
        <v>8</v>
      </c>
    </row>
    <row r="5845" spans="2:4" x14ac:dyDescent="0.25">
      <c r="B5845" t="s">
        <v>1580</v>
      </c>
      <c r="C5845">
        <v>103</v>
      </c>
      <c r="D5845">
        <v>13</v>
      </c>
    </row>
    <row r="5846" spans="2:4" x14ac:dyDescent="0.25">
      <c r="B5846" t="s">
        <v>1580</v>
      </c>
      <c r="C5846">
        <v>103</v>
      </c>
      <c r="D5846">
        <v>14</v>
      </c>
    </row>
    <row r="5847" spans="2:4" x14ac:dyDescent="0.25">
      <c r="B5847" t="s">
        <v>1580</v>
      </c>
      <c r="C5847">
        <v>104</v>
      </c>
      <c r="D5847">
        <v>6</v>
      </c>
    </row>
    <row r="5848" spans="2:4" x14ac:dyDescent="0.25">
      <c r="B5848" t="s">
        <v>1580</v>
      </c>
      <c r="C5848">
        <v>104</v>
      </c>
      <c r="D5848">
        <v>8</v>
      </c>
    </row>
    <row r="5849" spans="2:4" x14ac:dyDescent="0.25">
      <c r="B5849" t="s">
        <v>1580</v>
      </c>
      <c r="C5849">
        <v>104</v>
      </c>
      <c r="D5849">
        <v>13</v>
      </c>
    </row>
    <row r="5850" spans="2:4" x14ac:dyDescent="0.25">
      <c r="B5850" t="s">
        <v>1580</v>
      </c>
      <c r="C5850">
        <v>104</v>
      </c>
      <c r="D5850">
        <v>14</v>
      </c>
    </row>
    <row r="5851" spans="2:4" x14ac:dyDescent="0.25">
      <c r="B5851" t="s">
        <v>1580</v>
      </c>
      <c r="C5851">
        <v>105</v>
      </c>
      <c r="D5851">
        <v>6</v>
      </c>
    </row>
    <row r="5852" spans="2:4" x14ac:dyDescent="0.25">
      <c r="B5852" t="s">
        <v>1580</v>
      </c>
      <c r="C5852">
        <v>105</v>
      </c>
      <c r="D5852">
        <v>8</v>
      </c>
    </row>
    <row r="5853" spans="2:4" x14ac:dyDescent="0.25">
      <c r="B5853" t="s">
        <v>1580</v>
      </c>
      <c r="C5853">
        <v>105</v>
      </c>
      <c r="D5853">
        <v>13</v>
      </c>
    </row>
    <row r="5854" spans="2:4" x14ac:dyDescent="0.25">
      <c r="B5854" t="s">
        <v>1580</v>
      </c>
      <c r="C5854">
        <v>105</v>
      </c>
      <c r="D5854">
        <v>14</v>
      </c>
    </row>
    <row r="5855" spans="2:4" x14ac:dyDescent="0.25">
      <c r="B5855" t="s">
        <v>1580</v>
      </c>
      <c r="C5855">
        <v>108</v>
      </c>
      <c r="D5855">
        <v>4</v>
      </c>
    </row>
    <row r="5856" spans="2:4" x14ac:dyDescent="0.25">
      <c r="B5856" t="s">
        <v>1580</v>
      </c>
      <c r="C5856">
        <v>108</v>
      </c>
      <c r="D5856">
        <v>6</v>
      </c>
    </row>
    <row r="5857" spans="2:4" x14ac:dyDescent="0.25">
      <c r="B5857" t="s">
        <v>1580</v>
      </c>
      <c r="C5857">
        <v>108</v>
      </c>
      <c r="D5857">
        <v>8</v>
      </c>
    </row>
    <row r="5858" spans="2:4" x14ac:dyDescent="0.25">
      <c r="B5858" t="s">
        <v>1580</v>
      </c>
      <c r="C5858">
        <v>108</v>
      </c>
      <c r="D5858">
        <v>13</v>
      </c>
    </row>
    <row r="5859" spans="2:4" x14ac:dyDescent="0.25">
      <c r="B5859" t="s">
        <v>1580</v>
      </c>
      <c r="C5859">
        <v>108</v>
      </c>
      <c r="D5859">
        <v>14</v>
      </c>
    </row>
    <row r="5860" spans="2:4" x14ac:dyDescent="0.25">
      <c r="B5860" t="s">
        <v>1580</v>
      </c>
      <c r="C5860">
        <v>109</v>
      </c>
      <c r="D5860">
        <v>4</v>
      </c>
    </row>
    <row r="5861" spans="2:4" x14ac:dyDescent="0.25">
      <c r="B5861" t="s">
        <v>1580</v>
      </c>
      <c r="C5861">
        <v>109</v>
      </c>
      <c r="D5861">
        <v>6</v>
      </c>
    </row>
    <row r="5862" spans="2:4" x14ac:dyDescent="0.25">
      <c r="B5862" t="s">
        <v>1580</v>
      </c>
      <c r="C5862">
        <v>109</v>
      </c>
      <c r="D5862">
        <v>8</v>
      </c>
    </row>
    <row r="5863" spans="2:4" x14ac:dyDescent="0.25">
      <c r="B5863" t="s">
        <v>1580</v>
      </c>
      <c r="C5863">
        <v>109</v>
      </c>
      <c r="D5863">
        <v>13</v>
      </c>
    </row>
    <row r="5864" spans="2:4" x14ac:dyDescent="0.25">
      <c r="B5864" t="s">
        <v>1580</v>
      </c>
      <c r="C5864">
        <v>109</v>
      </c>
      <c r="D5864">
        <v>14</v>
      </c>
    </row>
    <row r="5865" spans="2:4" x14ac:dyDescent="0.25">
      <c r="B5865" t="s">
        <v>1580</v>
      </c>
      <c r="C5865">
        <v>110</v>
      </c>
      <c r="D5865">
        <v>4</v>
      </c>
    </row>
    <row r="5866" spans="2:4" x14ac:dyDescent="0.25">
      <c r="B5866" t="s">
        <v>1580</v>
      </c>
      <c r="C5866">
        <v>110</v>
      </c>
      <c r="D5866">
        <v>6</v>
      </c>
    </row>
    <row r="5867" spans="2:4" x14ac:dyDescent="0.25">
      <c r="B5867" t="s">
        <v>1580</v>
      </c>
      <c r="C5867">
        <v>110</v>
      </c>
      <c r="D5867">
        <v>8</v>
      </c>
    </row>
    <row r="5868" spans="2:4" x14ac:dyDescent="0.25">
      <c r="B5868" t="s">
        <v>1580</v>
      </c>
      <c r="C5868">
        <v>110</v>
      </c>
      <c r="D5868">
        <v>13</v>
      </c>
    </row>
    <row r="5869" spans="2:4" x14ac:dyDescent="0.25">
      <c r="B5869" t="s">
        <v>1580</v>
      </c>
      <c r="C5869">
        <v>110</v>
      </c>
      <c r="D5869">
        <v>14</v>
      </c>
    </row>
    <row r="5870" spans="2:4" x14ac:dyDescent="0.25">
      <c r="B5870" t="s">
        <v>1580</v>
      </c>
      <c r="C5870">
        <v>111</v>
      </c>
      <c r="D5870">
        <v>4</v>
      </c>
    </row>
    <row r="5871" spans="2:4" x14ac:dyDescent="0.25">
      <c r="B5871" t="s">
        <v>1580</v>
      </c>
      <c r="C5871">
        <v>111</v>
      </c>
      <c r="D5871">
        <v>6</v>
      </c>
    </row>
    <row r="5872" spans="2:4" x14ac:dyDescent="0.25">
      <c r="B5872" t="s">
        <v>1580</v>
      </c>
      <c r="C5872">
        <v>111</v>
      </c>
      <c r="D5872">
        <v>8</v>
      </c>
    </row>
    <row r="5873" spans="2:4" x14ac:dyDescent="0.25">
      <c r="B5873" t="s">
        <v>1580</v>
      </c>
      <c r="C5873">
        <v>111</v>
      </c>
      <c r="D5873">
        <v>13</v>
      </c>
    </row>
    <row r="5874" spans="2:4" x14ac:dyDescent="0.25">
      <c r="B5874" t="s">
        <v>1580</v>
      </c>
      <c r="C5874">
        <v>111</v>
      </c>
      <c r="D5874">
        <v>14</v>
      </c>
    </row>
    <row r="5875" spans="2:4" x14ac:dyDescent="0.25">
      <c r="B5875" t="s">
        <v>1580</v>
      </c>
      <c r="C5875">
        <v>112</v>
      </c>
      <c r="D5875">
        <v>4</v>
      </c>
    </row>
    <row r="5876" spans="2:4" x14ac:dyDescent="0.25">
      <c r="B5876" t="s">
        <v>1580</v>
      </c>
      <c r="C5876">
        <v>112</v>
      </c>
      <c r="D5876">
        <v>6</v>
      </c>
    </row>
    <row r="5877" spans="2:4" x14ac:dyDescent="0.25">
      <c r="B5877" t="s">
        <v>1580</v>
      </c>
      <c r="C5877">
        <v>112</v>
      </c>
      <c r="D5877">
        <v>8</v>
      </c>
    </row>
    <row r="5878" spans="2:4" x14ac:dyDescent="0.25">
      <c r="B5878" t="s">
        <v>1580</v>
      </c>
      <c r="C5878">
        <v>112</v>
      </c>
      <c r="D5878">
        <v>13</v>
      </c>
    </row>
    <row r="5879" spans="2:4" x14ac:dyDescent="0.25">
      <c r="B5879" t="s">
        <v>1580</v>
      </c>
      <c r="C5879">
        <v>112</v>
      </c>
      <c r="D5879">
        <v>14</v>
      </c>
    </row>
    <row r="5880" spans="2:4" x14ac:dyDescent="0.25">
      <c r="B5880" t="s">
        <v>1580</v>
      </c>
      <c r="C5880">
        <v>113</v>
      </c>
      <c r="D5880">
        <v>4</v>
      </c>
    </row>
    <row r="5881" spans="2:4" x14ac:dyDescent="0.25">
      <c r="B5881" t="s">
        <v>1580</v>
      </c>
      <c r="C5881">
        <v>113</v>
      </c>
      <c r="D5881">
        <v>6</v>
      </c>
    </row>
    <row r="5882" spans="2:4" x14ac:dyDescent="0.25">
      <c r="B5882" t="s">
        <v>1580</v>
      </c>
      <c r="C5882">
        <v>113</v>
      </c>
      <c r="D5882">
        <v>8</v>
      </c>
    </row>
    <row r="5883" spans="2:4" x14ac:dyDescent="0.25">
      <c r="B5883" t="s">
        <v>1580</v>
      </c>
      <c r="C5883">
        <v>113</v>
      </c>
      <c r="D5883">
        <v>13</v>
      </c>
    </row>
    <row r="5884" spans="2:4" x14ac:dyDescent="0.25">
      <c r="B5884" t="s">
        <v>1580</v>
      </c>
      <c r="C5884">
        <v>113</v>
      </c>
      <c r="D5884">
        <v>14</v>
      </c>
    </row>
    <row r="5885" spans="2:4" x14ac:dyDescent="0.25">
      <c r="B5885" t="s">
        <v>1580</v>
      </c>
      <c r="C5885">
        <v>114</v>
      </c>
      <c r="D5885">
        <v>4</v>
      </c>
    </row>
    <row r="5886" spans="2:4" x14ac:dyDescent="0.25">
      <c r="B5886" t="s">
        <v>1580</v>
      </c>
      <c r="C5886">
        <v>114</v>
      </c>
      <c r="D5886">
        <v>6</v>
      </c>
    </row>
    <row r="5887" spans="2:4" x14ac:dyDescent="0.25">
      <c r="B5887" t="s">
        <v>1580</v>
      </c>
      <c r="C5887">
        <v>114</v>
      </c>
      <c r="D5887">
        <v>8</v>
      </c>
    </row>
    <row r="5888" spans="2:4" x14ac:dyDescent="0.25">
      <c r="B5888" t="s">
        <v>1580</v>
      </c>
      <c r="C5888">
        <v>114</v>
      </c>
      <c r="D5888">
        <v>13</v>
      </c>
    </row>
    <row r="5889" spans="2:4" x14ac:dyDescent="0.25">
      <c r="B5889" t="s">
        <v>1580</v>
      </c>
      <c r="C5889">
        <v>114</v>
      </c>
      <c r="D5889">
        <v>14</v>
      </c>
    </row>
    <row r="5890" spans="2:4" x14ac:dyDescent="0.25">
      <c r="B5890" t="s">
        <v>1580</v>
      </c>
      <c r="C5890">
        <v>115</v>
      </c>
      <c r="D5890">
        <v>4</v>
      </c>
    </row>
    <row r="5891" spans="2:4" x14ac:dyDescent="0.25">
      <c r="B5891" t="s">
        <v>1580</v>
      </c>
      <c r="C5891">
        <v>115</v>
      </c>
      <c r="D5891">
        <v>6</v>
      </c>
    </row>
    <row r="5892" spans="2:4" x14ac:dyDescent="0.25">
      <c r="B5892" t="s">
        <v>1580</v>
      </c>
      <c r="C5892">
        <v>115</v>
      </c>
      <c r="D5892">
        <v>8</v>
      </c>
    </row>
    <row r="5893" spans="2:4" x14ac:dyDescent="0.25">
      <c r="B5893" t="s">
        <v>1580</v>
      </c>
      <c r="C5893">
        <v>115</v>
      </c>
      <c r="D5893">
        <v>13</v>
      </c>
    </row>
    <row r="5894" spans="2:4" x14ac:dyDescent="0.25">
      <c r="B5894" t="s">
        <v>1580</v>
      </c>
      <c r="C5894">
        <v>115</v>
      </c>
      <c r="D5894">
        <v>14</v>
      </c>
    </row>
    <row r="5895" spans="2:4" x14ac:dyDescent="0.25">
      <c r="B5895" t="s">
        <v>1580</v>
      </c>
      <c r="C5895">
        <v>116</v>
      </c>
      <c r="D5895">
        <v>4</v>
      </c>
    </row>
    <row r="5896" spans="2:4" x14ac:dyDescent="0.25">
      <c r="B5896" t="s">
        <v>1580</v>
      </c>
      <c r="C5896">
        <v>116</v>
      </c>
      <c r="D5896">
        <v>6</v>
      </c>
    </row>
    <row r="5897" spans="2:4" x14ac:dyDescent="0.25">
      <c r="B5897" t="s">
        <v>1580</v>
      </c>
      <c r="C5897">
        <v>116</v>
      </c>
      <c r="D5897">
        <v>8</v>
      </c>
    </row>
    <row r="5898" spans="2:4" x14ac:dyDescent="0.25">
      <c r="B5898" t="s">
        <v>1580</v>
      </c>
      <c r="C5898">
        <v>116</v>
      </c>
      <c r="D5898">
        <v>13</v>
      </c>
    </row>
    <row r="5899" spans="2:4" x14ac:dyDescent="0.25">
      <c r="B5899" t="s">
        <v>1580</v>
      </c>
      <c r="C5899">
        <v>116</v>
      </c>
      <c r="D5899">
        <v>14</v>
      </c>
    </row>
    <row r="5900" spans="2:4" x14ac:dyDescent="0.25">
      <c r="B5900" t="s">
        <v>1580</v>
      </c>
      <c r="C5900">
        <v>117</v>
      </c>
      <c r="D5900">
        <v>4</v>
      </c>
    </row>
    <row r="5901" spans="2:4" x14ac:dyDescent="0.25">
      <c r="B5901" t="s">
        <v>1580</v>
      </c>
      <c r="C5901">
        <v>117</v>
      </c>
      <c r="D5901">
        <v>6</v>
      </c>
    </row>
    <row r="5902" spans="2:4" x14ac:dyDescent="0.25">
      <c r="B5902" t="s">
        <v>1580</v>
      </c>
      <c r="C5902">
        <v>117</v>
      </c>
      <c r="D5902">
        <v>8</v>
      </c>
    </row>
    <row r="5903" spans="2:4" x14ac:dyDescent="0.25">
      <c r="B5903" t="s">
        <v>1580</v>
      </c>
      <c r="C5903">
        <v>117</v>
      </c>
      <c r="D5903">
        <v>13</v>
      </c>
    </row>
    <row r="5904" spans="2:4" x14ac:dyDescent="0.25">
      <c r="B5904" t="s">
        <v>1580</v>
      </c>
      <c r="C5904">
        <v>117</v>
      </c>
      <c r="D5904">
        <v>14</v>
      </c>
    </row>
    <row r="5905" spans="2:4" x14ac:dyDescent="0.25">
      <c r="B5905" t="s">
        <v>1580</v>
      </c>
      <c r="C5905">
        <v>119</v>
      </c>
      <c r="D5905">
        <v>5</v>
      </c>
    </row>
    <row r="5906" spans="2:4" x14ac:dyDescent="0.25">
      <c r="B5906" t="s">
        <v>1580</v>
      </c>
      <c r="C5906">
        <v>121</v>
      </c>
      <c r="D5906">
        <v>6</v>
      </c>
    </row>
    <row r="5907" spans="2:4" x14ac:dyDescent="0.25">
      <c r="B5907" t="s">
        <v>1580</v>
      </c>
      <c r="C5907">
        <v>121</v>
      </c>
      <c r="D5907">
        <v>8</v>
      </c>
    </row>
    <row r="5908" spans="2:4" x14ac:dyDescent="0.25">
      <c r="B5908" t="s">
        <v>1580</v>
      </c>
      <c r="C5908">
        <v>121</v>
      </c>
      <c r="D5908">
        <v>13</v>
      </c>
    </row>
    <row r="5909" spans="2:4" x14ac:dyDescent="0.25">
      <c r="B5909" t="s">
        <v>1580</v>
      </c>
      <c r="C5909">
        <v>121</v>
      </c>
      <c r="D5909">
        <v>14</v>
      </c>
    </row>
    <row r="5910" spans="2:4" x14ac:dyDescent="0.25">
      <c r="B5910" t="s">
        <v>1580</v>
      </c>
      <c r="C5910">
        <v>122</v>
      </c>
      <c r="D5910">
        <v>6</v>
      </c>
    </row>
    <row r="5911" spans="2:4" x14ac:dyDescent="0.25">
      <c r="B5911" t="s">
        <v>1580</v>
      </c>
      <c r="C5911">
        <v>122</v>
      </c>
      <c r="D5911">
        <v>8</v>
      </c>
    </row>
    <row r="5912" spans="2:4" x14ac:dyDescent="0.25">
      <c r="B5912" t="s">
        <v>1580</v>
      </c>
      <c r="C5912">
        <v>122</v>
      </c>
      <c r="D5912">
        <v>13</v>
      </c>
    </row>
    <row r="5913" spans="2:4" x14ac:dyDescent="0.25">
      <c r="B5913" t="s">
        <v>1580</v>
      </c>
      <c r="C5913">
        <v>122</v>
      </c>
      <c r="D5913">
        <v>14</v>
      </c>
    </row>
    <row r="5914" spans="2:4" x14ac:dyDescent="0.25">
      <c r="B5914" t="s">
        <v>1580</v>
      </c>
      <c r="C5914">
        <v>123</v>
      </c>
      <c r="D5914">
        <v>6</v>
      </c>
    </row>
    <row r="5915" spans="2:4" x14ac:dyDescent="0.25">
      <c r="B5915" t="s">
        <v>1580</v>
      </c>
      <c r="C5915">
        <v>123</v>
      </c>
      <c r="D5915">
        <v>8</v>
      </c>
    </row>
    <row r="5916" spans="2:4" x14ac:dyDescent="0.25">
      <c r="B5916" t="s">
        <v>1580</v>
      </c>
      <c r="C5916">
        <v>123</v>
      </c>
      <c r="D5916">
        <v>13</v>
      </c>
    </row>
    <row r="5917" spans="2:4" x14ac:dyDescent="0.25">
      <c r="B5917" t="s">
        <v>1580</v>
      </c>
      <c r="C5917">
        <v>123</v>
      </c>
      <c r="D5917">
        <v>14</v>
      </c>
    </row>
    <row r="5918" spans="2:4" x14ac:dyDescent="0.25">
      <c r="B5918" t="s">
        <v>1580</v>
      </c>
      <c r="C5918">
        <v>124</v>
      </c>
      <c r="D5918">
        <v>6</v>
      </c>
    </row>
    <row r="5919" spans="2:4" x14ac:dyDescent="0.25">
      <c r="B5919" t="s">
        <v>1580</v>
      </c>
      <c r="C5919">
        <v>124</v>
      </c>
      <c r="D5919">
        <v>8</v>
      </c>
    </row>
    <row r="5920" spans="2:4" x14ac:dyDescent="0.25">
      <c r="B5920" t="s">
        <v>1580</v>
      </c>
      <c r="C5920">
        <v>124</v>
      </c>
      <c r="D5920">
        <v>13</v>
      </c>
    </row>
    <row r="5921" spans="2:4" x14ac:dyDescent="0.25">
      <c r="B5921" t="s">
        <v>1580</v>
      </c>
      <c r="C5921">
        <v>124</v>
      </c>
      <c r="D5921">
        <v>14</v>
      </c>
    </row>
    <row r="5922" spans="2:4" x14ac:dyDescent="0.25">
      <c r="B5922" t="s">
        <v>1580</v>
      </c>
      <c r="C5922">
        <v>125</v>
      </c>
      <c r="D5922">
        <v>6</v>
      </c>
    </row>
    <row r="5923" spans="2:4" x14ac:dyDescent="0.25">
      <c r="B5923" t="s">
        <v>1580</v>
      </c>
      <c r="C5923">
        <v>125</v>
      </c>
      <c r="D5923">
        <v>8</v>
      </c>
    </row>
    <row r="5924" spans="2:4" x14ac:dyDescent="0.25">
      <c r="B5924" t="s">
        <v>1580</v>
      </c>
      <c r="C5924">
        <v>125</v>
      </c>
      <c r="D5924">
        <v>13</v>
      </c>
    </row>
    <row r="5925" spans="2:4" x14ac:dyDescent="0.25">
      <c r="B5925" t="s">
        <v>1580</v>
      </c>
      <c r="C5925">
        <v>125</v>
      </c>
      <c r="D5925">
        <v>14</v>
      </c>
    </row>
    <row r="5926" spans="2:4" x14ac:dyDescent="0.25">
      <c r="B5926" t="s">
        <v>1580</v>
      </c>
      <c r="C5926">
        <v>126</v>
      </c>
      <c r="D5926">
        <v>6</v>
      </c>
    </row>
    <row r="5927" spans="2:4" x14ac:dyDescent="0.25">
      <c r="B5927" t="s">
        <v>1580</v>
      </c>
      <c r="C5927">
        <v>126</v>
      </c>
      <c r="D5927">
        <v>8</v>
      </c>
    </row>
    <row r="5928" spans="2:4" x14ac:dyDescent="0.25">
      <c r="B5928" t="s">
        <v>1580</v>
      </c>
      <c r="C5928">
        <v>126</v>
      </c>
      <c r="D5928">
        <v>13</v>
      </c>
    </row>
    <row r="5929" spans="2:4" x14ac:dyDescent="0.25">
      <c r="B5929" t="s">
        <v>1580</v>
      </c>
      <c r="C5929">
        <v>126</v>
      </c>
      <c r="D5929">
        <v>14</v>
      </c>
    </row>
    <row r="5930" spans="2:4" x14ac:dyDescent="0.25">
      <c r="B5930" t="s">
        <v>1580</v>
      </c>
      <c r="C5930">
        <v>128</v>
      </c>
      <c r="D5930">
        <v>6</v>
      </c>
    </row>
    <row r="5931" spans="2:4" x14ac:dyDescent="0.25">
      <c r="B5931" t="s">
        <v>1580</v>
      </c>
      <c r="C5931">
        <v>128</v>
      </c>
      <c r="D5931">
        <v>8</v>
      </c>
    </row>
    <row r="5932" spans="2:4" x14ac:dyDescent="0.25">
      <c r="B5932" t="s">
        <v>1580</v>
      </c>
      <c r="C5932">
        <v>128</v>
      </c>
      <c r="D5932">
        <v>13</v>
      </c>
    </row>
    <row r="5933" spans="2:4" x14ac:dyDescent="0.25">
      <c r="B5933" t="s">
        <v>1580</v>
      </c>
      <c r="C5933">
        <v>128</v>
      </c>
      <c r="D5933">
        <v>14</v>
      </c>
    </row>
    <row r="5934" spans="2:4" x14ac:dyDescent="0.25">
      <c r="B5934" t="s">
        <v>1580</v>
      </c>
      <c r="C5934">
        <v>129</v>
      </c>
      <c r="D5934">
        <v>6</v>
      </c>
    </row>
    <row r="5935" spans="2:4" x14ac:dyDescent="0.25">
      <c r="B5935" t="s">
        <v>1580</v>
      </c>
      <c r="C5935">
        <v>129</v>
      </c>
      <c r="D5935">
        <v>8</v>
      </c>
    </row>
    <row r="5936" spans="2:4" x14ac:dyDescent="0.25">
      <c r="B5936" t="s">
        <v>1580</v>
      </c>
      <c r="C5936">
        <v>129</v>
      </c>
      <c r="D5936">
        <v>13</v>
      </c>
    </row>
    <row r="5937" spans="2:4" x14ac:dyDescent="0.25">
      <c r="B5937" t="s">
        <v>1580</v>
      </c>
      <c r="C5937">
        <v>129</v>
      </c>
      <c r="D5937">
        <v>14</v>
      </c>
    </row>
    <row r="5938" spans="2:4" x14ac:dyDescent="0.25">
      <c r="B5938" t="s">
        <v>1580</v>
      </c>
      <c r="C5938">
        <v>130</v>
      </c>
      <c r="D5938">
        <v>6</v>
      </c>
    </row>
    <row r="5939" spans="2:4" x14ac:dyDescent="0.25">
      <c r="B5939" t="s">
        <v>1580</v>
      </c>
      <c r="C5939">
        <v>130</v>
      </c>
      <c r="D5939">
        <v>8</v>
      </c>
    </row>
    <row r="5940" spans="2:4" x14ac:dyDescent="0.25">
      <c r="B5940" t="s">
        <v>1580</v>
      </c>
      <c r="C5940">
        <v>130</v>
      </c>
      <c r="D5940">
        <v>13</v>
      </c>
    </row>
    <row r="5941" spans="2:4" x14ac:dyDescent="0.25">
      <c r="B5941" t="s">
        <v>1580</v>
      </c>
      <c r="C5941">
        <v>130</v>
      </c>
      <c r="D5941">
        <v>14</v>
      </c>
    </row>
    <row r="5942" spans="2:4" x14ac:dyDescent="0.25">
      <c r="B5942" t="s">
        <v>1580</v>
      </c>
      <c r="C5942">
        <v>131</v>
      </c>
      <c r="D5942">
        <v>6</v>
      </c>
    </row>
    <row r="5943" spans="2:4" x14ac:dyDescent="0.25">
      <c r="B5943" t="s">
        <v>1580</v>
      </c>
      <c r="C5943">
        <v>131</v>
      </c>
      <c r="D5943">
        <v>8</v>
      </c>
    </row>
    <row r="5944" spans="2:4" x14ac:dyDescent="0.25">
      <c r="B5944" t="s">
        <v>1580</v>
      </c>
      <c r="C5944">
        <v>131</v>
      </c>
      <c r="D5944">
        <v>13</v>
      </c>
    </row>
    <row r="5945" spans="2:4" x14ac:dyDescent="0.25">
      <c r="B5945" t="s">
        <v>1580</v>
      </c>
      <c r="C5945">
        <v>131</v>
      </c>
      <c r="D5945">
        <v>14</v>
      </c>
    </row>
    <row r="5946" spans="2:4" x14ac:dyDescent="0.25">
      <c r="B5946" t="s">
        <v>1580</v>
      </c>
      <c r="C5946">
        <v>132</v>
      </c>
      <c r="D5946">
        <v>6</v>
      </c>
    </row>
    <row r="5947" spans="2:4" x14ac:dyDescent="0.25">
      <c r="B5947" t="s">
        <v>1580</v>
      </c>
      <c r="C5947">
        <v>132</v>
      </c>
      <c r="D5947">
        <v>8</v>
      </c>
    </row>
    <row r="5948" spans="2:4" x14ac:dyDescent="0.25">
      <c r="B5948" t="s">
        <v>1580</v>
      </c>
      <c r="C5948">
        <v>132</v>
      </c>
      <c r="D5948">
        <v>13</v>
      </c>
    </row>
    <row r="5949" spans="2:4" x14ac:dyDescent="0.25">
      <c r="B5949" t="s">
        <v>1580</v>
      </c>
      <c r="C5949">
        <v>132</v>
      </c>
      <c r="D5949">
        <v>14</v>
      </c>
    </row>
    <row r="5950" spans="2:4" x14ac:dyDescent="0.25">
      <c r="B5950" t="s">
        <v>1580</v>
      </c>
      <c r="C5950">
        <v>133</v>
      </c>
      <c r="D5950">
        <v>6</v>
      </c>
    </row>
    <row r="5951" spans="2:4" x14ac:dyDescent="0.25">
      <c r="B5951" t="s">
        <v>1580</v>
      </c>
      <c r="C5951">
        <v>133</v>
      </c>
      <c r="D5951">
        <v>8</v>
      </c>
    </row>
    <row r="5952" spans="2:4" x14ac:dyDescent="0.25">
      <c r="B5952" t="s">
        <v>1580</v>
      </c>
      <c r="C5952">
        <v>133</v>
      </c>
      <c r="D5952">
        <v>13</v>
      </c>
    </row>
    <row r="5953" spans="2:4" x14ac:dyDescent="0.25">
      <c r="B5953" t="s">
        <v>1580</v>
      </c>
      <c r="C5953">
        <v>133</v>
      </c>
      <c r="D5953">
        <v>14</v>
      </c>
    </row>
    <row r="5954" spans="2:4" x14ac:dyDescent="0.25">
      <c r="B5954" t="s">
        <v>1580</v>
      </c>
      <c r="C5954">
        <v>135</v>
      </c>
      <c r="D5954">
        <v>6</v>
      </c>
    </row>
    <row r="5955" spans="2:4" x14ac:dyDescent="0.25">
      <c r="B5955" t="s">
        <v>1580</v>
      </c>
      <c r="C5955">
        <v>135</v>
      </c>
      <c r="D5955">
        <v>8</v>
      </c>
    </row>
    <row r="5956" spans="2:4" x14ac:dyDescent="0.25">
      <c r="B5956" t="s">
        <v>1580</v>
      </c>
      <c r="C5956">
        <v>135</v>
      </c>
      <c r="D5956">
        <v>13</v>
      </c>
    </row>
    <row r="5957" spans="2:4" x14ac:dyDescent="0.25">
      <c r="B5957" t="s">
        <v>1580</v>
      </c>
      <c r="C5957">
        <v>135</v>
      </c>
      <c r="D5957">
        <v>14</v>
      </c>
    </row>
    <row r="5958" spans="2:4" x14ac:dyDescent="0.25">
      <c r="B5958" t="s">
        <v>1580</v>
      </c>
      <c r="C5958">
        <v>136</v>
      </c>
      <c r="D5958">
        <v>6</v>
      </c>
    </row>
    <row r="5959" spans="2:4" x14ac:dyDescent="0.25">
      <c r="B5959" t="s">
        <v>1580</v>
      </c>
      <c r="C5959">
        <v>136</v>
      </c>
      <c r="D5959">
        <v>8</v>
      </c>
    </row>
    <row r="5960" spans="2:4" x14ac:dyDescent="0.25">
      <c r="B5960" t="s">
        <v>1580</v>
      </c>
      <c r="C5960">
        <v>136</v>
      </c>
      <c r="D5960">
        <v>13</v>
      </c>
    </row>
    <row r="5961" spans="2:4" x14ac:dyDescent="0.25">
      <c r="B5961" t="s">
        <v>1580</v>
      </c>
      <c r="C5961">
        <v>136</v>
      </c>
      <c r="D5961">
        <v>14</v>
      </c>
    </row>
    <row r="5962" spans="2:4" x14ac:dyDescent="0.25">
      <c r="B5962" t="s">
        <v>1580</v>
      </c>
      <c r="C5962">
        <v>137</v>
      </c>
      <c r="D5962">
        <v>6</v>
      </c>
    </row>
    <row r="5963" spans="2:4" x14ac:dyDescent="0.25">
      <c r="B5963" t="s">
        <v>1580</v>
      </c>
      <c r="C5963">
        <v>137</v>
      </c>
      <c r="D5963">
        <v>8</v>
      </c>
    </row>
    <row r="5964" spans="2:4" x14ac:dyDescent="0.25">
      <c r="B5964" t="s">
        <v>1580</v>
      </c>
      <c r="C5964">
        <v>137</v>
      </c>
      <c r="D5964">
        <v>13</v>
      </c>
    </row>
    <row r="5965" spans="2:4" x14ac:dyDescent="0.25">
      <c r="B5965" t="s">
        <v>1580</v>
      </c>
      <c r="C5965">
        <v>137</v>
      </c>
      <c r="D5965">
        <v>14</v>
      </c>
    </row>
    <row r="5966" spans="2:4" x14ac:dyDescent="0.25">
      <c r="B5966" t="s">
        <v>1580</v>
      </c>
      <c r="C5966">
        <v>138</v>
      </c>
      <c r="D5966">
        <v>6</v>
      </c>
    </row>
    <row r="5967" spans="2:4" x14ac:dyDescent="0.25">
      <c r="B5967" t="s">
        <v>1580</v>
      </c>
      <c r="C5967">
        <v>138</v>
      </c>
      <c r="D5967">
        <v>8</v>
      </c>
    </row>
    <row r="5968" spans="2:4" x14ac:dyDescent="0.25">
      <c r="B5968" t="s">
        <v>1580</v>
      </c>
      <c r="C5968">
        <v>138</v>
      </c>
      <c r="D5968">
        <v>13</v>
      </c>
    </row>
    <row r="5969" spans="2:4" x14ac:dyDescent="0.25">
      <c r="B5969" t="s">
        <v>1580</v>
      </c>
      <c r="C5969">
        <v>138</v>
      </c>
      <c r="D5969">
        <v>14</v>
      </c>
    </row>
    <row r="5970" spans="2:4" x14ac:dyDescent="0.25">
      <c r="B5970" t="s">
        <v>1580</v>
      </c>
      <c r="C5970">
        <v>139</v>
      </c>
      <c r="D5970">
        <v>6</v>
      </c>
    </row>
    <row r="5971" spans="2:4" x14ac:dyDescent="0.25">
      <c r="B5971" t="s">
        <v>1580</v>
      </c>
      <c r="C5971">
        <v>139</v>
      </c>
      <c r="D5971">
        <v>8</v>
      </c>
    </row>
    <row r="5972" spans="2:4" x14ac:dyDescent="0.25">
      <c r="B5972" t="s">
        <v>1580</v>
      </c>
      <c r="C5972">
        <v>139</v>
      </c>
      <c r="D5972">
        <v>13</v>
      </c>
    </row>
    <row r="5973" spans="2:4" x14ac:dyDescent="0.25">
      <c r="B5973" t="s">
        <v>1580</v>
      </c>
      <c r="C5973">
        <v>139</v>
      </c>
      <c r="D5973">
        <v>14</v>
      </c>
    </row>
    <row r="5974" spans="2:4" x14ac:dyDescent="0.25">
      <c r="B5974" t="s">
        <v>1580</v>
      </c>
      <c r="C5974">
        <v>140</v>
      </c>
      <c r="D5974">
        <v>6</v>
      </c>
    </row>
    <row r="5975" spans="2:4" x14ac:dyDescent="0.25">
      <c r="B5975" t="s">
        <v>1580</v>
      </c>
      <c r="C5975">
        <v>140</v>
      </c>
      <c r="D5975">
        <v>8</v>
      </c>
    </row>
    <row r="5976" spans="2:4" x14ac:dyDescent="0.25">
      <c r="B5976" t="s">
        <v>1580</v>
      </c>
      <c r="C5976">
        <v>140</v>
      </c>
      <c r="D5976">
        <v>13</v>
      </c>
    </row>
    <row r="5977" spans="2:4" x14ac:dyDescent="0.25">
      <c r="B5977" t="s">
        <v>1580</v>
      </c>
      <c r="C5977">
        <v>140</v>
      </c>
      <c r="D5977">
        <v>14</v>
      </c>
    </row>
    <row r="5978" spans="2:4" x14ac:dyDescent="0.25">
      <c r="B5978" t="s">
        <v>1580</v>
      </c>
      <c r="C5978">
        <v>142</v>
      </c>
      <c r="D5978">
        <v>6</v>
      </c>
    </row>
    <row r="5979" spans="2:4" x14ac:dyDescent="0.25">
      <c r="B5979" t="s">
        <v>1580</v>
      </c>
      <c r="C5979">
        <v>142</v>
      </c>
      <c r="D5979">
        <v>8</v>
      </c>
    </row>
    <row r="5980" spans="2:4" x14ac:dyDescent="0.25">
      <c r="B5980" t="s">
        <v>1580</v>
      </c>
      <c r="C5980">
        <v>142</v>
      </c>
      <c r="D5980">
        <v>13</v>
      </c>
    </row>
    <row r="5981" spans="2:4" x14ac:dyDescent="0.25">
      <c r="B5981" t="s">
        <v>1580</v>
      </c>
      <c r="C5981">
        <v>142</v>
      </c>
      <c r="D5981">
        <v>14</v>
      </c>
    </row>
    <row r="5982" spans="2:4" x14ac:dyDescent="0.25">
      <c r="B5982" t="s">
        <v>1580</v>
      </c>
      <c r="C5982">
        <v>143</v>
      </c>
      <c r="D5982">
        <v>6</v>
      </c>
    </row>
    <row r="5983" spans="2:4" x14ac:dyDescent="0.25">
      <c r="B5983" t="s">
        <v>1580</v>
      </c>
      <c r="C5983">
        <v>143</v>
      </c>
      <c r="D5983">
        <v>8</v>
      </c>
    </row>
    <row r="5984" spans="2:4" x14ac:dyDescent="0.25">
      <c r="B5984" t="s">
        <v>1580</v>
      </c>
      <c r="C5984">
        <v>143</v>
      </c>
      <c r="D5984">
        <v>13</v>
      </c>
    </row>
    <row r="5985" spans="2:4" x14ac:dyDescent="0.25">
      <c r="B5985" t="s">
        <v>1580</v>
      </c>
      <c r="C5985">
        <v>143</v>
      </c>
      <c r="D5985">
        <v>14</v>
      </c>
    </row>
    <row r="5986" spans="2:4" x14ac:dyDescent="0.25">
      <c r="B5986" t="s">
        <v>1580</v>
      </c>
      <c r="C5986">
        <v>144</v>
      </c>
      <c r="D5986">
        <v>6</v>
      </c>
    </row>
    <row r="5987" spans="2:4" x14ac:dyDescent="0.25">
      <c r="B5987" t="s">
        <v>1580</v>
      </c>
      <c r="C5987">
        <v>144</v>
      </c>
      <c r="D5987">
        <v>8</v>
      </c>
    </row>
    <row r="5988" spans="2:4" x14ac:dyDescent="0.25">
      <c r="B5988" t="s">
        <v>1580</v>
      </c>
      <c r="C5988">
        <v>144</v>
      </c>
      <c r="D5988">
        <v>13</v>
      </c>
    </row>
    <row r="5989" spans="2:4" x14ac:dyDescent="0.25">
      <c r="B5989" t="s">
        <v>1580</v>
      </c>
      <c r="C5989">
        <v>144</v>
      </c>
      <c r="D5989">
        <v>14</v>
      </c>
    </row>
    <row r="5990" spans="2:4" x14ac:dyDescent="0.25">
      <c r="B5990" t="s">
        <v>1580</v>
      </c>
      <c r="C5990">
        <v>145</v>
      </c>
      <c r="D5990">
        <v>6</v>
      </c>
    </row>
    <row r="5991" spans="2:4" x14ac:dyDescent="0.25">
      <c r="B5991" t="s">
        <v>1580</v>
      </c>
      <c r="C5991">
        <v>145</v>
      </c>
      <c r="D5991">
        <v>8</v>
      </c>
    </row>
    <row r="5992" spans="2:4" x14ac:dyDescent="0.25">
      <c r="B5992" t="s">
        <v>1580</v>
      </c>
      <c r="C5992">
        <v>145</v>
      </c>
      <c r="D5992">
        <v>13</v>
      </c>
    </row>
    <row r="5993" spans="2:4" x14ac:dyDescent="0.25">
      <c r="B5993" t="s">
        <v>1580</v>
      </c>
      <c r="C5993">
        <v>145</v>
      </c>
      <c r="D5993">
        <v>14</v>
      </c>
    </row>
    <row r="5994" spans="2:4" x14ac:dyDescent="0.25">
      <c r="B5994" t="s">
        <v>1580</v>
      </c>
      <c r="C5994">
        <v>146</v>
      </c>
      <c r="D5994">
        <v>6</v>
      </c>
    </row>
    <row r="5995" spans="2:4" x14ac:dyDescent="0.25">
      <c r="B5995" t="s">
        <v>1580</v>
      </c>
      <c r="C5995">
        <v>146</v>
      </c>
      <c r="D5995">
        <v>8</v>
      </c>
    </row>
    <row r="5996" spans="2:4" x14ac:dyDescent="0.25">
      <c r="B5996" t="s">
        <v>1580</v>
      </c>
      <c r="C5996">
        <v>146</v>
      </c>
      <c r="D5996">
        <v>13</v>
      </c>
    </row>
    <row r="5997" spans="2:4" x14ac:dyDescent="0.25">
      <c r="B5997" t="s">
        <v>1580</v>
      </c>
      <c r="C5997">
        <v>146</v>
      </c>
      <c r="D5997">
        <v>14</v>
      </c>
    </row>
    <row r="5998" spans="2:4" x14ac:dyDescent="0.25">
      <c r="B5998" t="s">
        <v>1580</v>
      </c>
      <c r="C5998">
        <v>147</v>
      </c>
      <c r="D5998">
        <v>6</v>
      </c>
    </row>
    <row r="5999" spans="2:4" x14ac:dyDescent="0.25">
      <c r="B5999" t="s">
        <v>1580</v>
      </c>
      <c r="C5999">
        <v>147</v>
      </c>
      <c r="D5999">
        <v>8</v>
      </c>
    </row>
    <row r="6000" spans="2:4" x14ac:dyDescent="0.25">
      <c r="B6000" t="s">
        <v>1580</v>
      </c>
      <c r="C6000">
        <v>147</v>
      </c>
      <c r="D6000">
        <v>13</v>
      </c>
    </row>
    <row r="6001" spans="2:4" x14ac:dyDescent="0.25">
      <c r="B6001" t="s">
        <v>1580</v>
      </c>
      <c r="C6001">
        <v>147</v>
      </c>
      <c r="D6001">
        <v>14</v>
      </c>
    </row>
    <row r="6002" spans="2:4" x14ac:dyDescent="0.25">
      <c r="B6002" t="s">
        <v>1580</v>
      </c>
      <c r="C6002">
        <v>148</v>
      </c>
      <c r="D6002">
        <v>5</v>
      </c>
    </row>
    <row r="6003" spans="2:4" x14ac:dyDescent="0.25">
      <c r="B6003" t="s">
        <v>1580</v>
      </c>
      <c r="C6003">
        <v>150</v>
      </c>
      <c r="D6003">
        <v>6</v>
      </c>
    </row>
    <row r="6004" spans="2:4" x14ac:dyDescent="0.25">
      <c r="B6004" t="s">
        <v>1580</v>
      </c>
      <c r="C6004">
        <v>150</v>
      </c>
      <c r="D6004">
        <v>8</v>
      </c>
    </row>
    <row r="6005" spans="2:4" x14ac:dyDescent="0.25">
      <c r="B6005" t="s">
        <v>1580</v>
      </c>
      <c r="C6005">
        <v>150</v>
      </c>
      <c r="D6005">
        <v>13</v>
      </c>
    </row>
    <row r="6006" spans="2:4" x14ac:dyDescent="0.25">
      <c r="B6006" t="s">
        <v>1580</v>
      </c>
      <c r="C6006">
        <v>150</v>
      </c>
      <c r="D6006">
        <v>14</v>
      </c>
    </row>
    <row r="6007" spans="2:4" x14ac:dyDescent="0.25">
      <c r="B6007" t="s">
        <v>1580</v>
      </c>
      <c r="C6007">
        <v>151</v>
      </c>
      <c r="D6007">
        <v>6</v>
      </c>
    </row>
    <row r="6008" spans="2:4" x14ac:dyDescent="0.25">
      <c r="B6008" t="s">
        <v>1580</v>
      </c>
      <c r="C6008">
        <v>151</v>
      </c>
      <c r="D6008">
        <v>8</v>
      </c>
    </row>
    <row r="6009" spans="2:4" x14ac:dyDescent="0.25">
      <c r="B6009" t="s">
        <v>1580</v>
      </c>
      <c r="C6009">
        <v>151</v>
      </c>
      <c r="D6009">
        <v>13</v>
      </c>
    </row>
    <row r="6010" spans="2:4" x14ac:dyDescent="0.25">
      <c r="B6010" t="s">
        <v>1580</v>
      </c>
      <c r="C6010">
        <v>151</v>
      </c>
      <c r="D6010">
        <v>14</v>
      </c>
    </row>
    <row r="6011" spans="2:4" x14ac:dyDescent="0.25">
      <c r="B6011" t="s">
        <v>1580</v>
      </c>
      <c r="C6011">
        <v>152</v>
      </c>
      <c r="D6011">
        <v>6</v>
      </c>
    </row>
    <row r="6012" spans="2:4" x14ac:dyDescent="0.25">
      <c r="B6012" t="s">
        <v>1580</v>
      </c>
      <c r="C6012">
        <v>152</v>
      </c>
      <c r="D6012">
        <v>8</v>
      </c>
    </row>
    <row r="6013" spans="2:4" x14ac:dyDescent="0.25">
      <c r="B6013" t="s">
        <v>1580</v>
      </c>
      <c r="C6013">
        <v>152</v>
      </c>
      <c r="D6013">
        <v>13</v>
      </c>
    </row>
    <row r="6014" spans="2:4" x14ac:dyDescent="0.25">
      <c r="B6014" t="s">
        <v>1580</v>
      </c>
      <c r="C6014">
        <v>152</v>
      </c>
      <c r="D6014">
        <v>14</v>
      </c>
    </row>
    <row r="6015" spans="2:4" x14ac:dyDescent="0.25">
      <c r="B6015" t="s">
        <v>1580</v>
      </c>
      <c r="C6015">
        <v>153</v>
      </c>
      <c r="D6015">
        <v>6</v>
      </c>
    </row>
    <row r="6016" spans="2:4" x14ac:dyDescent="0.25">
      <c r="B6016" t="s">
        <v>1580</v>
      </c>
      <c r="C6016">
        <v>153</v>
      </c>
      <c r="D6016">
        <v>8</v>
      </c>
    </row>
    <row r="6017" spans="2:4" x14ac:dyDescent="0.25">
      <c r="B6017" t="s">
        <v>1580</v>
      </c>
      <c r="C6017">
        <v>153</v>
      </c>
      <c r="D6017">
        <v>13</v>
      </c>
    </row>
    <row r="6018" spans="2:4" x14ac:dyDescent="0.25">
      <c r="B6018" t="s">
        <v>1580</v>
      </c>
      <c r="C6018">
        <v>153</v>
      </c>
      <c r="D6018">
        <v>14</v>
      </c>
    </row>
    <row r="6019" spans="2:4" x14ac:dyDescent="0.25">
      <c r="B6019" t="s">
        <v>1580</v>
      </c>
      <c r="C6019">
        <v>155</v>
      </c>
      <c r="D6019">
        <v>6</v>
      </c>
    </row>
    <row r="6020" spans="2:4" x14ac:dyDescent="0.25">
      <c r="B6020" t="s">
        <v>1580</v>
      </c>
      <c r="C6020">
        <v>155</v>
      </c>
      <c r="D6020">
        <v>8</v>
      </c>
    </row>
    <row r="6021" spans="2:4" x14ac:dyDescent="0.25">
      <c r="B6021" t="s">
        <v>1580</v>
      </c>
      <c r="C6021">
        <v>155</v>
      </c>
      <c r="D6021">
        <v>13</v>
      </c>
    </row>
    <row r="6022" spans="2:4" x14ac:dyDescent="0.25">
      <c r="B6022" t="s">
        <v>1580</v>
      </c>
      <c r="C6022">
        <v>155</v>
      </c>
      <c r="D6022">
        <v>14</v>
      </c>
    </row>
    <row r="6023" spans="2:4" x14ac:dyDescent="0.25">
      <c r="B6023" t="s">
        <v>1580</v>
      </c>
      <c r="C6023">
        <v>156</v>
      </c>
      <c r="D6023">
        <v>6</v>
      </c>
    </row>
    <row r="6024" spans="2:4" x14ac:dyDescent="0.25">
      <c r="B6024" t="s">
        <v>1580</v>
      </c>
      <c r="C6024">
        <v>156</v>
      </c>
      <c r="D6024">
        <v>8</v>
      </c>
    </row>
    <row r="6025" spans="2:4" x14ac:dyDescent="0.25">
      <c r="B6025" t="s">
        <v>1580</v>
      </c>
      <c r="C6025">
        <v>156</v>
      </c>
      <c r="D6025">
        <v>13</v>
      </c>
    </row>
    <row r="6026" spans="2:4" x14ac:dyDescent="0.25">
      <c r="B6026" t="s">
        <v>1580</v>
      </c>
      <c r="C6026">
        <v>156</v>
      </c>
      <c r="D6026">
        <v>14</v>
      </c>
    </row>
    <row r="6027" spans="2:4" x14ac:dyDescent="0.25">
      <c r="B6027" t="s">
        <v>1580</v>
      </c>
      <c r="C6027">
        <v>157</v>
      </c>
      <c r="D6027">
        <v>6</v>
      </c>
    </row>
    <row r="6028" spans="2:4" x14ac:dyDescent="0.25">
      <c r="B6028" t="s">
        <v>1580</v>
      </c>
      <c r="C6028">
        <v>157</v>
      </c>
      <c r="D6028">
        <v>8</v>
      </c>
    </row>
    <row r="6029" spans="2:4" x14ac:dyDescent="0.25">
      <c r="B6029" t="s">
        <v>1580</v>
      </c>
      <c r="C6029">
        <v>157</v>
      </c>
      <c r="D6029">
        <v>13</v>
      </c>
    </row>
    <row r="6030" spans="2:4" x14ac:dyDescent="0.25">
      <c r="B6030" t="s">
        <v>1580</v>
      </c>
      <c r="C6030">
        <v>157</v>
      </c>
      <c r="D6030">
        <v>14</v>
      </c>
    </row>
    <row r="6031" spans="2:4" x14ac:dyDescent="0.25">
      <c r="B6031" t="s">
        <v>1580</v>
      </c>
      <c r="C6031">
        <v>160</v>
      </c>
      <c r="D6031">
        <v>6</v>
      </c>
    </row>
    <row r="6032" spans="2:4" x14ac:dyDescent="0.25">
      <c r="B6032" t="s">
        <v>1580</v>
      </c>
      <c r="C6032">
        <v>160</v>
      </c>
      <c r="D6032">
        <v>8</v>
      </c>
    </row>
    <row r="6033" spans="2:4" x14ac:dyDescent="0.25">
      <c r="B6033" t="s">
        <v>1580</v>
      </c>
      <c r="C6033">
        <v>160</v>
      </c>
      <c r="D6033">
        <v>13</v>
      </c>
    </row>
    <row r="6034" spans="2:4" x14ac:dyDescent="0.25">
      <c r="B6034" t="s">
        <v>1580</v>
      </c>
      <c r="C6034">
        <v>160</v>
      </c>
      <c r="D6034">
        <v>14</v>
      </c>
    </row>
    <row r="6035" spans="2:4" x14ac:dyDescent="0.25">
      <c r="B6035" t="s">
        <v>1580</v>
      </c>
      <c r="C6035">
        <v>161</v>
      </c>
      <c r="D6035">
        <v>6</v>
      </c>
    </row>
    <row r="6036" spans="2:4" x14ac:dyDescent="0.25">
      <c r="B6036" t="s">
        <v>1580</v>
      </c>
      <c r="C6036">
        <v>161</v>
      </c>
      <c r="D6036">
        <v>8</v>
      </c>
    </row>
    <row r="6037" spans="2:4" x14ac:dyDescent="0.25">
      <c r="B6037" t="s">
        <v>1580</v>
      </c>
      <c r="C6037">
        <v>161</v>
      </c>
      <c r="D6037">
        <v>13</v>
      </c>
    </row>
    <row r="6038" spans="2:4" x14ac:dyDescent="0.25">
      <c r="B6038" t="s">
        <v>1580</v>
      </c>
      <c r="C6038">
        <v>161</v>
      </c>
      <c r="D6038">
        <v>14</v>
      </c>
    </row>
    <row r="6039" spans="2:4" x14ac:dyDescent="0.25">
      <c r="B6039" t="s">
        <v>1580</v>
      </c>
      <c r="C6039">
        <v>162</v>
      </c>
      <c r="D6039">
        <v>6</v>
      </c>
    </row>
    <row r="6040" spans="2:4" x14ac:dyDescent="0.25">
      <c r="B6040" t="s">
        <v>1580</v>
      </c>
      <c r="C6040">
        <v>162</v>
      </c>
      <c r="D6040">
        <v>8</v>
      </c>
    </row>
    <row r="6041" spans="2:4" x14ac:dyDescent="0.25">
      <c r="B6041" t="s">
        <v>1580</v>
      </c>
      <c r="C6041">
        <v>162</v>
      </c>
      <c r="D6041">
        <v>13</v>
      </c>
    </row>
    <row r="6042" spans="2:4" x14ac:dyDescent="0.25">
      <c r="B6042" t="s">
        <v>1580</v>
      </c>
      <c r="C6042">
        <v>162</v>
      </c>
      <c r="D6042">
        <v>14</v>
      </c>
    </row>
    <row r="6043" spans="2:4" x14ac:dyDescent="0.25">
      <c r="B6043" t="s">
        <v>1580</v>
      </c>
      <c r="C6043">
        <v>163</v>
      </c>
      <c r="D6043">
        <v>6</v>
      </c>
    </row>
    <row r="6044" spans="2:4" x14ac:dyDescent="0.25">
      <c r="B6044" t="s">
        <v>1580</v>
      </c>
      <c r="C6044">
        <v>163</v>
      </c>
      <c r="D6044">
        <v>8</v>
      </c>
    </row>
    <row r="6045" spans="2:4" x14ac:dyDescent="0.25">
      <c r="B6045" t="s">
        <v>1580</v>
      </c>
      <c r="C6045">
        <v>163</v>
      </c>
      <c r="D6045">
        <v>13</v>
      </c>
    </row>
    <row r="6046" spans="2:4" x14ac:dyDescent="0.25">
      <c r="B6046" t="s">
        <v>1580</v>
      </c>
      <c r="C6046">
        <v>163</v>
      </c>
      <c r="D6046">
        <v>14</v>
      </c>
    </row>
    <row r="6047" spans="2:4" x14ac:dyDescent="0.25">
      <c r="B6047" t="s">
        <v>1580</v>
      </c>
      <c r="C6047">
        <v>164</v>
      </c>
      <c r="D6047">
        <v>6</v>
      </c>
    </row>
    <row r="6048" spans="2:4" x14ac:dyDescent="0.25">
      <c r="B6048" t="s">
        <v>1580</v>
      </c>
      <c r="C6048">
        <v>164</v>
      </c>
      <c r="D6048">
        <v>8</v>
      </c>
    </row>
    <row r="6049" spans="2:4" x14ac:dyDescent="0.25">
      <c r="B6049" t="s">
        <v>1580</v>
      </c>
      <c r="C6049">
        <v>164</v>
      </c>
      <c r="D6049">
        <v>13</v>
      </c>
    </row>
    <row r="6050" spans="2:4" x14ac:dyDescent="0.25">
      <c r="B6050" t="s">
        <v>1580</v>
      </c>
      <c r="C6050">
        <v>164</v>
      </c>
      <c r="D6050">
        <v>14</v>
      </c>
    </row>
    <row r="6051" spans="2:4" x14ac:dyDescent="0.25">
      <c r="B6051" t="s">
        <v>1580</v>
      </c>
      <c r="C6051">
        <v>165</v>
      </c>
      <c r="D6051">
        <v>6</v>
      </c>
    </row>
    <row r="6052" spans="2:4" x14ac:dyDescent="0.25">
      <c r="B6052" t="s">
        <v>1580</v>
      </c>
      <c r="C6052">
        <v>165</v>
      </c>
      <c r="D6052">
        <v>8</v>
      </c>
    </row>
    <row r="6053" spans="2:4" x14ac:dyDescent="0.25">
      <c r="B6053" t="s">
        <v>1580</v>
      </c>
      <c r="C6053">
        <v>165</v>
      </c>
      <c r="D6053">
        <v>13</v>
      </c>
    </row>
    <row r="6054" spans="2:4" x14ac:dyDescent="0.25">
      <c r="B6054" t="s">
        <v>1580</v>
      </c>
      <c r="C6054">
        <v>165</v>
      </c>
      <c r="D6054">
        <v>14</v>
      </c>
    </row>
    <row r="6055" spans="2:4" x14ac:dyDescent="0.25">
      <c r="B6055" t="s">
        <v>1580</v>
      </c>
      <c r="C6055">
        <v>166</v>
      </c>
      <c r="D6055">
        <v>6</v>
      </c>
    </row>
    <row r="6056" spans="2:4" x14ac:dyDescent="0.25">
      <c r="B6056" t="s">
        <v>1580</v>
      </c>
      <c r="C6056">
        <v>166</v>
      </c>
      <c r="D6056">
        <v>8</v>
      </c>
    </row>
    <row r="6057" spans="2:4" x14ac:dyDescent="0.25">
      <c r="B6057" t="s">
        <v>1580</v>
      </c>
      <c r="C6057">
        <v>166</v>
      </c>
      <c r="D6057">
        <v>13</v>
      </c>
    </row>
    <row r="6058" spans="2:4" x14ac:dyDescent="0.25">
      <c r="B6058" t="s">
        <v>1580</v>
      </c>
      <c r="C6058">
        <v>166</v>
      </c>
      <c r="D6058">
        <v>14</v>
      </c>
    </row>
    <row r="6059" spans="2:4" x14ac:dyDescent="0.25">
      <c r="B6059" t="s">
        <v>1580</v>
      </c>
      <c r="C6059">
        <v>167</v>
      </c>
      <c r="D6059">
        <v>6</v>
      </c>
    </row>
    <row r="6060" spans="2:4" x14ac:dyDescent="0.25">
      <c r="B6060" t="s">
        <v>1580</v>
      </c>
      <c r="C6060">
        <v>167</v>
      </c>
      <c r="D6060">
        <v>8</v>
      </c>
    </row>
    <row r="6061" spans="2:4" x14ac:dyDescent="0.25">
      <c r="B6061" t="s">
        <v>1580</v>
      </c>
      <c r="C6061">
        <v>167</v>
      </c>
      <c r="D6061">
        <v>13</v>
      </c>
    </row>
    <row r="6062" spans="2:4" x14ac:dyDescent="0.25">
      <c r="B6062" t="s">
        <v>1580</v>
      </c>
      <c r="C6062">
        <v>167</v>
      </c>
      <c r="D6062">
        <v>14</v>
      </c>
    </row>
    <row r="6063" spans="2:4" x14ac:dyDescent="0.25">
      <c r="B6063" t="s">
        <v>1580</v>
      </c>
      <c r="C6063">
        <v>169</v>
      </c>
      <c r="D6063">
        <v>6</v>
      </c>
    </row>
    <row r="6064" spans="2:4" x14ac:dyDescent="0.25">
      <c r="B6064" t="s">
        <v>1580</v>
      </c>
      <c r="C6064">
        <v>169</v>
      </c>
      <c r="D6064">
        <v>8</v>
      </c>
    </row>
    <row r="6065" spans="2:4" x14ac:dyDescent="0.25">
      <c r="B6065" t="s">
        <v>1580</v>
      </c>
      <c r="C6065">
        <v>169</v>
      </c>
      <c r="D6065">
        <v>13</v>
      </c>
    </row>
    <row r="6066" spans="2:4" x14ac:dyDescent="0.25">
      <c r="B6066" t="s">
        <v>1580</v>
      </c>
      <c r="C6066">
        <v>169</v>
      </c>
      <c r="D6066">
        <v>14</v>
      </c>
    </row>
    <row r="6067" spans="2:4" x14ac:dyDescent="0.25">
      <c r="B6067" t="s">
        <v>1580</v>
      </c>
      <c r="C6067">
        <v>170</v>
      </c>
      <c r="D6067">
        <v>6</v>
      </c>
    </row>
    <row r="6068" spans="2:4" x14ac:dyDescent="0.25">
      <c r="B6068" t="s">
        <v>1580</v>
      </c>
      <c r="C6068">
        <v>170</v>
      </c>
      <c r="D6068">
        <v>8</v>
      </c>
    </row>
    <row r="6069" spans="2:4" x14ac:dyDescent="0.25">
      <c r="B6069" t="s">
        <v>1580</v>
      </c>
      <c r="C6069">
        <v>170</v>
      </c>
      <c r="D6069">
        <v>13</v>
      </c>
    </row>
    <row r="6070" spans="2:4" x14ac:dyDescent="0.25">
      <c r="B6070" t="s">
        <v>1580</v>
      </c>
      <c r="C6070">
        <v>170</v>
      </c>
      <c r="D6070">
        <v>14</v>
      </c>
    </row>
    <row r="6071" spans="2:4" x14ac:dyDescent="0.25">
      <c r="B6071" t="s">
        <v>1580</v>
      </c>
      <c r="C6071">
        <v>171</v>
      </c>
      <c r="D6071">
        <v>6</v>
      </c>
    </row>
    <row r="6072" spans="2:4" x14ac:dyDescent="0.25">
      <c r="B6072" t="s">
        <v>1580</v>
      </c>
      <c r="C6072">
        <v>171</v>
      </c>
      <c r="D6072">
        <v>8</v>
      </c>
    </row>
    <row r="6073" spans="2:4" x14ac:dyDescent="0.25">
      <c r="B6073" t="s">
        <v>1580</v>
      </c>
      <c r="C6073">
        <v>171</v>
      </c>
      <c r="D6073">
        <v>13</v>
      </c>
    </row>
    <row r="6074" spans="2:4" x14ac:dyDescent="0.25">
      <c r="B6074" t="s">
        <v>1580</v>
      </c>
      <c r="C6074">
        <v>171</v>
      </c>
      <c r="D6074">
        <v>14</v>
      </c>
    </row>
    <row r="6075" spans="2:4" x14ac:dyDescent="0.25">
      <c r="B6075" t="s">
        <v>1580</v>
      </c>
      <c r="C6075">
        <v>172</v>
      </c>
      <c r="D6075">
        <v>6</v>
      </c>
    </row>
    <row r="6076" spans="2:4" x14ac:dyDescent="0.25">
      <c r="B6076" t="s">
        <v>1580</v>
      </c>
      <c r="C6076">
        <v>172</v>
      </c>
      <c r="D6076">
        <v>8</v>
      </c>
    </row>
    <row r="6077" spans="2:4" x14ac:dyDescent="0.25">
      <c r="B6077" t="s">
        <v>1580</v>
      </c>
      <c r="C6077">
        <v>172</v>
      </c>
      <c r="D6077">
        <v>13</v>
      </c>
    </row>
    <row r="6078" spans="2:4" x14ac:dyDescent="0.25">
      <c r="B6078" t="s">
        <v>1580</v>
      </c>
      <c r="C6078">
        <v>172</v>
      </c>
      <c r="D6078">
        <v>14</v>
      </c>
    </row>
    <row r="6079" spans="2:4" x14ac:dyDescent="0.25">
      <c r="B6079" t="s">
        <v>1580</v>
      </c>
      <c r="C6079">
        <v>174</v>
      </c>
      <c r="D6079">
        <v>6</v>
      </c>
    </row>
    <row r="6080" spans="2:4" x14ac:dyDescent="0.25">
      <c r="B6080" t="s">
        <v>1580</v>
      </c>
      <c r="C6080">
        <v>174</v>
      </c>
      <c r="D6080">
        <v>8</v>
      </c>
    </row>
    <row r="6081" spans="2:4" x14ac:dyDescent="0.25">
      <c r="B6081" t="s">
        <v>1580</v>
      </c>
      <c r="C6081">
        <v>174</v>
      </c>
      <c r="D6081">
        <v>13</v>
      </c>
    </row>
    <row r="6082" spans="2:4" x14ac:dyDescent="0.25">
      <c r="B6082" t="s">
        <v>1580</v>
      </c>
      <c r="C6082">
        <v>174</v>
      </c>
      <c r="D6082">
        <v>14</v>
      </c>
    </row>
    <row r="6083" spans="2:4" x14ac:dyDescent="0.25">
      <c r="B6083" t="s">
        <v>1580</v>
      </c>
      <c r="C6083">
        <v>175</v>
      </c>
      <c r="D6083">
        <v>6</v>
      </c>
    </row>
    <row r="6084" spans="2:4" x14ac:dyDescent="0.25">
      <c r="B6084" t="s">
        <v>1580</v>
      </c>
      <c r="C6084">
        <v>175</v>
      </c>
      <c r="D6084">
        <v>8</v>
      </c>
    </row>
    <row r="6085" spans="2:4" x14ac:dyDescent="0.25">
      <c r="B6085" t="s">
        <v>1580</v>
      </c>
      <c r="C6085">
        <v>175</v>
      </c>
      <c r="D6085">
        <v>13</v>
      </c>
    </row>
    <row r="6086" spans="2:4" x14ac:dyDescent="0.25">
      <c r="B6086" t="s">
        <v>1580</v>
      </c>
      <c r="C6086">
        <v>175</v>
      </c>
      <c r="D6086">
        <v>14</v>
      </c>
    </row>
    <row r="6087" spans="2:4" x14ac:dyDescent="0.25">
      <c r="B6087" t="s">
        <v>1580</v>
      </c>
      <c r="C6087">
        <v>176</v>
      </c>
      <c r="D6087">
        <v>6</v>
      </c>
    </row>
    <row r="6088" spans="2:4" x14ac:dyDescent="0.25">
      <c r="B6088" t="s">
        <v>1580</v>
      </c>
      <c r="C6088">
        <v>176</v>
      </c>
      <c r="D6088">
        <v>8</v>
      </c>
    </row>
    <row r="6089" spans="2:4" x14ac:dyDescent="0.25">
      <c r="B6089" t="s">
        <v>1580</v>
      </c>
      <c r="C6089">
        <v>176</v>
      </c>
      <c r="D6089">
        <v>13</v>
      </c>
    </row>
    <row r="6090" spans="2:4" x14ac:dyDescent="0.25">
      <c r="B6090" t="s">
        <v>1580</v>
      </c>
      <c r="C6090">
        <v>176</v>
      </c>
      <c r="D6090">
        <v>14</v>
      </c>
    </row>
    <row r="6091" spans="2:4" x14ac:dyDescent="0.25">
      <c r="B6091" t="s">
        <v>1580</v>
      </c>
      <c r="C6091">
        <v>177</v>
      </c>
      <c r="D6091">
        <v>6</v>
      </c>
    </row>
    <row r="6092" spans="2:4" x14ac:dyDescent="0.25">
      <c r="B6092" t="s">
        <v>1580</v>
      </c>
      <c r="C6092">
        <v>177</v>
      </c>
      <c r="D6092">
        <v>8</v>
      </c>
    </row>
    <row r="6093" spans="2:4" x14ac:dyDescent="0.25">
      <c r="B6093" t="s">
        <v>1580</v>
      </c>
      <c r="C6093">
        <v>177</v>
      </c>
      <c r="D6093">
        <v>13</v>
      </c>
    </row>
    <row r="6094" spans="2:4" x14ac:dyDescent="0.25">
      <c r="B6094" t="s">
        <v>1580</v>
      </c>
      <c r="C6094">
        <v>177</v>
      </c>
      <c r="D6094">
        <v>14</v>
      </c>
    </row>
    <row r="6095" spans="2:4" x14ac:dyDescent="0.25">
      <c r="B6095" t="s">
        <v>1580</v>
      </c>
      <c r="C6095">
        <v>178</v>
      </c>
      <c r="D6095">
        <v>6</v>
      </c>
    </row>
    <row r="6096" spans="2:4" x14ac:dyDescent="0.25">
      <c r="B6096" t="s">
        <v>1580</v>
      </c>
      <c r="C6096">
        <v>178</v>
      </c>
      <c r="D6096">
        <v>8</v>
      </c>
    </row>
    <row r="6097" spans="2:4" x14ac:dyDescent="0.25">
      <c r="B6097" t="s">
        <v>1580</v>
      </c>
      <c r="C6097">
        <v>178</v>
      </c>
      <c r="D6097">
        <v>13</v>
      </c>
    </row>
    <row r="6098" spans="2:4" x14ac:dyDescent="0.25">
      <c r="B6098" t="s">
        <v>1580</v>
      </c>
      <c r="C6098">
        <v>178</v>
      </c>
      <c r="D6098">
        <v>14</v>
      </c>
    </row>
    <row r="6099" spans="2:4" x14ac:dyDescent="0.25">
      <c r="B6099" t="s">
        <v>1580</v>
      </c>
      <c r="C6099">
        <v>179</v>
      </c>
      <c r="D6099">
        <v>6</v>
      </c>
    </row>
    <row r="6100" spans="2:4" x14ac:dyDescent="0.25">
      <c r="B6100" t="s">
        <v>1580</v>
      </c>
      <c r="C6100">
        <v>179</v>
      </c>
      <c r="D6100">
        <v>8</v>
      </c>
    </row>
    <row r="6101" spans="2:4" x14ac:dyDescent="0.25">
      <c r="B6101" t="s">
        <v>1580</v>
      </c>
      <c r="C6101">
        <v>179</v>
      </c>
      <c r="D6101">
        <v>13</v>
      </c>
    </row>
    <row r="6102" spans="2:4" x14ac:dyDescent="0.25">
      <c r="B6102" t="s">
        <v>1580</v>
      </c>
      <c r="C6102">
        <v>179</v>
      </c>
      <c r="D6102">
        <v>14</v>
      </c>
    </row>
    <row r="6103" spans="2:4" x14ac:dyDescent="0.25">
      <c r="B6103" t="s">
        <v>1580</v>
      </c>
      <c r="C6103">
        <v>180</v>
      </c>
      <c r="D6103">
        <v>6</v>
      </c>
    </row>
    <row r="6104" spans="2:4" x14ac:dyDescent="0.25">
      <c r="B6104" t="s">
        <v>1580</v>
      </c>
      <c r="C6104">
        <v>180</v>
      </c>
      <c r="D6104">
        <v>8</v>
      </c>
    </row>
    <row r="6105" spans="2:4" x14ac:dyDescent="0.25">
      <c r="B6105" t="s">
        <v>1580</v>
      </c>
      <c r="C6105">
        <v>180</v>
      </c>
      <c r="D6105">
        <v>13</v>
      </c>
    </row>
    <row r="6106" spans="2:4" x14ac:dyDescent="0.25">
      <c r="B6106" t="s">
        <v>1580</v>
      </c>
      <c r="C6106">
        <v>180</v>
      </c>
      <c r="D6106">
        <v>14</v>
      </c>
    </row>
    <row r="6107" spans="2:4" x14ac:dyDescent="0.25">
      <c r="B6107" t="s">
        <v>1580</v>
      </c>
      <c r="C6107">
        <v>181</v>
      </c>
      <c r="D6107">
        <v>6</v>
      </c>
    </row>
    <row r="6108" spans="2:4" x14ac:dyDescent="0.25">
      <c r="B6108" t="s">
        <v>1580</v>
      </c>
      <c r="C6108">
        <v>181</v>
      </c>
      <c r="D6108">
        <v>8</v>
      </c>
    </row>
    <row r="6109" spans="2:4" x14ac:dyDescent="0.25">
      <c r="B6109" t="s">
        <v>1580</v>
      </c>
      <c r="C6109">
        <v>181</v>
      </c>
      <c r="D6109">
        <v>13</v>
      </c>
    </row>
    <row r="6110" spans="2:4" x14ac:dyDescent="0.25">
      <c r="B6110" t="s">
        <v>1580</v>
      </c>
      <c r="C6110">
        <v>181</v>
      </c>
      <c r="D6110">
        <v>14</v>
      </c>
    </row>
    <row r="6111" spans="2:4" x14ac:dyDescent="0.25">
      <c r="B6111" t="s">
        <v>1580</v>
      </c>
      <c r="C6111">
        <v>182</v>
      </c>
      <c r="D6111">
        <v>6</v>
      </c>
    </row>
    <row r="6112" spans="2:4" x14ac:dyDescent="0.25">
      <c r="B6112" t="s">
        <v>1580</v>
      </c>
      <c r="C6112">
        <v>182</v>
      </c>
      <c r="D6112">
        <v>8</v>
      </c>
    </row>
    <row r="6113" spans="2:4" x14ac:dyDescent="0.25">
      <c r="B6113" t="s">
        <v>1580</v>
      </c>
      <c r="C6113">
        <v>182</v>
      </c>
      <c r="D6113">
        <v>13</v>
      </c>
    </row>
    <row r="6114" spans="2:4" x14ac:dyDescent="0.25">
      <c r="B6114" t="s">
        <v>1580</v>
      </c>
      <c r="C6114">
        <v>182</v>
      </c>
      <c r="D6114">
        <v>14</v>
      </c>
    </row>
    <row r="6115" spans="2:4" x14ac:dyDescent="0.25">
      <c r="B6115" t="s">
        <v>1580</v>
      </c>
      <c r="C6115">
        <v>184</v>
      </c>
      <c r="D6115">
        <v>6</v>
      </c>
    </row>
    <row r="6116" spans="2:4" x14ac:dyDescent="0.25">
      <c r="B6116" t="s">
        <v>1580</v>
      </c>
      <c r="C6116">
        <v>184</v>
      </c>
      <c r="D6116">
        <v>8</v>
      </c>
    </row>
    <row r="6117" spans="2:4" x14ac:dyDescent="0.25">
      <c r="B6117" t="s">
        <v>1580</v>
      </c>
      <c r="C6117">
        <v>184</v>
      </c>
      <c r="D6117">
        <v>13</v>
      </c>
    </row>
    <row r="6118" spans="2:4" x14ac:dyDescent="0.25">
      <c r="B6118" t="s">
        <v>1580</v>
      </c>
      <c r="C6118">
        <v>184</v>
      </c>
      <c r="D6118">
        <v>14</v>
      </c>
    </row>
    <row r="6119" spans="2:4" x14ac:dyDescent="0.25">
      <c r="B6119" t="s">
        <v>1580</v>
      </c>
      <c r="C6119">
        <v>185</v>
      </c>
      <c r="D6119">
        <v>6</v>
      </c>
    </row>
    <row r="6120" spans="2:4" x14ac:dyDescent="0.25">
      <c r="B6120" t="s">
        <v>1580</v>
      </c>
      <c r="C6120">
        <v>185</v>
      </c>
      <c r="D6120">
        <v>8</v>
      </c>
    </row>
    <row r="6121" spans="2:4" x14ac:dyDescent="0.25">
      <c r="B6121" t="s">
        <v>1580</v>
      </c>
      <c r="C6121">
        <v>185</v>
      </c>
      <c r="D6121">
        <v>13</v>
      </c>
    </row>
    <row r="6122" spans="2:4" x14ac:dyDescent="0.25">
      <c r="B6122" t="s">
        <v>1580</v>
      </c>
      <c r="C6122">
        <v>185</v>
      </c>
      <c r="D6122">
        <v>14</v>
      </c>
    </row>
    <row r="6123" spans="2:4" x14ac:dyDescent="0.25">
      <c r="B6123" t="s">
        <v>1580</v>
      </c>
      <c r="C6123">
        <v>186</v>
      </c>
      <c r="D6123">
        <v>6</v>
      </c>
    </row>
    <row r="6124" spans="2:4" x14ac:dyDescent="0.25">
      <c r="B6124" t="s">
        <v>1580</v>
      </c>
      <c r="C6124">
        <v>186</v>
      </c>
      <c r="D6124">
        <v>8</v>
      </c>
    </row>
    <row r="6125" spans="2:4" x14ac:dyDescent="0.25">
      <c r="B6125" t="s">
        <v>1580</v>
      </c>
      <c r="C6125">
        <v>186</v>
      </c>
      <c r="D6125">
        <v>13</v>
      </c>
    </row>
    <row r="6126" spans="2:4" x14ac:dyDescent="0.25">
      <c r="B6126" t="s">
        <v>1580</v>
      </c>
      <c r="C6126">
        <v>186</v>
      </c>
      <c r="D6126">
        <v>14</v>
      </c>
    </row>
    <row r="6127" spans="2:4" x14ac:dyDescent="0.25">
      <c r="B6127" t="s">
        <v>1580</v>
      </c>
      <c r="C6127">
        <v>187</v>
      </c>
      <c r="D6127">
        <v>6</v>
      </c>
    </row>
    <row r="6128" spans="2:4" x14ac:dyDescent="0.25">
      <c r="B6128" t="s">
        <v>1580</v>
      </c>
      <c r="C6128">
        <v>187</v>
      </c>
      <c r="D6128">
        <v>8</v>
      </c>
    </row>
    <row r="6129" spans="2:4" x14ac:dyDescent="0.25">
      <c r="B6129" t="s">
        <v>1580</v>
      </c>
      <c r="C6129">
        <v>187</v>
      </c>
      <c r="D6129">
        <v>13</v>
      </c>
    </row>
    <row r="6130" spans="2:4" x14ac:dyDescent="0.25">
      <c r="B6130" t="s">
        <v>1580</v>
      </c>
      <c r="C6130">
        <v>187</v>
      </c>
      <c r="D6130">
        <v>14</v>
      </c>
    </row>
    <row r="6131" spans="2:4" x14ac:dyDescent="0.25">
      <c r="B6131" t="s">
        <v>1580</v>
      </c>
      <c r="C6131">
        <v>188</v>
      </c>
      <c r="D6131">
        <v>6</v>
      </c>
    </row>
    <row r="6132" spans="2:4" x14ac:dyDescent="0.25">
      <c r="B6132" t="s">
        <v>1580</v>
      </c>
      <c r="C6132">
        <v>188</v>
      </c>
      <c r="D6132">
        <v>8</v>
      </c>
    </row>
    <row r="6133" spans="2:4" x14ac:dyDescent="0.25">
      <c r="B6133" t="s">
        <v>1580</v>
      </c>
      <c r="C6133">
        <v>188</v>
      </c>
      <c r="D6133">
        <v>13</v>
      </c>
    </row>
    <row r="6134" spans="2:4" x14ac:dyDescent="0.25">
      <c r="B6134" t="s">
        <v>1580</v>
      </c>
      <c r="C6134">
        <v>188</v>
      </c>
      <c r="D6134">
        <v>14</v>
      </c>
    </row>
    <row r="6135" spans="2:4" x14ac:dyDescent="0.25">
      <c r="B6135" t="s">
        <v>1580</v>
      </c>
      <c r="C6135">
        <v>189</v>
      </c>
      <c r="D6135">
        <v>6</v>
      </c>
    </row>
    <row r="6136" spans="2:4" x14ac:dyDescent="0.25">
      <c r="B6136" t="s">
        <v>1580</v>
      </c>
      <c r="C6136">
        <v>189</v>
      </c>
      <c r="D6136">
        <v>8</v>
      </c>
    </row>
    <row r="6137" spans="2:4" x14ac:dyDescent="0.25">
      <c r="B6137" t="s">
        <v>1580</v>
      </c>
      <c r="C6137">
        <v>189</v>
      </c>
      <c r="D6137">
        <v>13</v>
      </c>
    </row>
    <row r="6138" spans="2:4" x14ac:dyDescent="0.25">
      <c r="B6138" t="s">
        <v>1580</v>
      </c>
      <c r="C6138">
        <v>189</v>
      </c>
      <c r="D6138">
        <v>14</v>
      </c>
    </row>
    <row r="6139" spans="2:4" x14ac:dyDescent="0.25">
      <c r="B6139" t="s">
        <v>1580</v>
      </c>
      <c r="C6139">
        <v>192</v>
      </c>
      <c r="D6139">
        <v>6</v>
      </c>
    </row>
    <row r="6140" spans="2:4" x14ac:dyDescent="0.25">
      <c r="B6140" t="s">
        <v>1580</v>
      </c>
      <c r="C6140">
        <v>192</v>
      </c>
      <c r="D6140">
        <v>8</v>
      </c>
    </row>
    <row r="6141" spans="2:4" x14ac:dyDescent="0.25">
      <c r="B6141" t="s">
        <v>1580</v>
      </c>
      <c r="C6141">
        <v>192</v>
      </c>
      <c r="D6141">
        <v>13</v>
      </c>
    </row>
    <row r="6142" spans="2:4" x14ac:dyDescent="0.25">
      <c r="B6142" t="s">
        <v>1580</v>
      </c>
      <c r="C6142">
        <v>192</v>
      </c>
      <c r="D6142">
        <v>14</v>
      </c>
    </row>
    <row r="6143" spans="2:4" x14ac:dyDescent="0.25">
      <c r="B6143" t="s">
        <v>1580</v>
      </c>
      <c r="C6143">
        <v>193</v>
      </c>
      <c r="D6143">
        <v>6</v>
      </c>
    </row>
    <row r="6144" spans="2:4" x14ac:dyDescent="0.25">
      <c r="B6144" t="s">
        <v>1580</v>
      </c>
      <c r="C6144">
        <v>193</v>
      </c>
      <c r="D6144">
        <v>8</v>
      </c>
    </row>
    <row r="6145" spans="2:4" x14ac:dyDescent="0.25">
      <c r="B6145" t="s">
        <v>1580</v>
      </c>
      <c r="C6145">
        <v>193</v>
      </c>
      <c r="D6145">
        <v>13</v>
      </c>
    </row>
    <row r="6146" spans="2:4" x14ac:dyDescent="0.25">
      <c r="B6146" t="s">
        <v>1580</v>
      </c>
      <c r="C6146">
        <v>193</v>
      </c>
      <c r="D6146">
        <v>14</v>
      </c>
    </row>
    <row r="6147" spans="2:4" x14ac:dyDescent="0.25">
      <c r="B6147" t="s">
        <v>1580</v>
      </c>
      <c r="C6147">
        <v>194</v>
      </c>
      <c r="D6147">
        <v>6</v>
      </c>
    </row>
    <row r="6148" spans="2:4" x14ac:dyDescent="0.25">
      <c r="B6148" t="s">
        <v>1580</v>
      </c>
      <c r="C6148">
        <v>194</v>
      </c>
      <c r="D6148">
        <v>8</v>
      </c>
    </row>
    <row r="6149" spans="2:4" x14ac:dyDescent="0.25">
      <c r="B6149" t="s">
        <v>1580</v>
      </c>
      <c r="C6149">
        <v>194</v>
      </c>
      <c r="D6149">
        <v>13</v>
      </c>
    </row>
    <row r="6150" spans="2:4" x14ac:dyDescent="0.25">
      <c r="B6150" t="s">
        <v>1580</v>
      </c>
      <c r="C6150">
        <v>194</v>
      </c>
      <c r="D6150">
        <v>14</v>
      </c>
    </row>
    <row r="6151" spans="2:4" x14ac:dyDescent="0.25">
      <c r="B6151" t="s">
        <v>1580</v>
      </c>
      <c r="C6151">
        <v>195</v>
      </c>
      <c r="D6151">
        <v>6</v>
      </c>
    </row>
    <row r="6152" spans="2:4" x14ac:dyDescent="0.25">
      <c r="B6152" t="s">
        <v>1580</v>
      </c>
      <c r="C6152">
        <v>195</v>
      </c>
      <c r="D6152">
        <v>8</v>
      </c>
    </row>
    <row r="6153" spans="2:4" x14ac:dyDescent="0.25">
      <c r="B6153" t="s">
        <v>1580</v>
      </c>
      <c r="C6153">
        <v>195</v>
      </c>
      <c r="D6153">
        <v>13</v>
      </c>
    </row>
    <row r="6154" spans="2:4" x14ac:dyDescent="0.25">
      <c r="B6154" t="s">
        <v>1580</v>
      </c>
      <c r="C6154">
        <v>195</v>
      </c>
      <c r="D6154">
        <v>14</v>
      </c>
    </row>
    <row r="6155" spans="2:4" x14ac:dyDescent="0.25">
      <c r="B6155" t="s">
        <v>1580</v>
      </c>
      <c r="C6155">
        <v>196</v>
      </c>
      <c r="D6155">
        <v>6</v>
      </c>
    </row>
    <row r="6156" spans="2:4" x14ac:dyDescent="0.25">
      <c r="B6156" t="s">
        <v>1580</v>
      </c>
      <c r="C6156">
        <v>196</v>
      </c>
      <c r="D6156">
        <v>8</v>
      </c>
    </row>
    <row r="6157" spans="2:4" x14ac:dyDescent="0.25">
      <c r="B6157" t="s">
        <v>1580</v>
      </c>
      <c r="C6157">
        <v>196</v>
      </c>
      <c r="D6157">
        <v>13</v>
      </c>
    </row>
    <row r="6158" spans="2:4" x14ac:dyDescent="0.25">
      <c r="B6158" t="s">
        <v>1580</v>
      </c>
      <c r="C6158">
        <v>196</v>
      </c>
      <c r="D6158">
        <v>14</v>
      </c>
    </row>
    <row r="6159" spans="2:4" x14ac:dyDescent="0.25">
      <c r="B6159" t="s">
        <v>1580</v>
      </c>
      <c r="C6159">
        <v>197</v>
      </c>
      <c r="D6159">
        <v>6</v>
      </c>
    </row>
    <row r="6160" spans="2:4" x14ac:dyDescent="0.25">
      <c r="B6160" t="s">
        <v>1580</v>
      </c>
      <c r="C6160">
        <v>197</v>
      </c>
      <c r="D6160">
        <v>8</v>
      </c>
    </row>
    <row r="6161" spans="2:4" x14ac:dyDescent="0.25">
      <c r="B6161" t="s">
        <v>1580</v>
      </c>
      <c r="C6161">
        <v>197</v>
      </c>
      <c r="D6161">
        <v>13</v>
      </c>
    </row>
    <row r="6162" spans="2:4" x14ac:dyDescent="0.25">
      <c r="B6162" t="s">
        <v>1580</v>
      </c>
      <c r="C6162">
        <v>197</v>
      </c>
      <c r="D6162">
        <v>14</v>
      </c>
    </row>
    <row r="6163" spans="2:4" x14ac:dyDescent="0.25">
      <c r="B6163" t="s">
        <v>1580</v>
      </c>
      <c r="C6163">
        <v>198</v>
      </c>
      <c r="D6163">
        <v>6</v>
      </c>
    </row>
    <row r="6164" spans="2:4" x14ac:dyDescent="0.25">
      <c r="B6164" t="s">
        <v>1580</v>
      </c>
      <c r="C6164">
        <v>198</v>
      </c>
      <c r="D6164">
        <v>8</v>
      </c>
    </row>
    <row r="6165" spans="2:4" x14ac:dyDescent="0.25">
      <c r="B6165" t="s">
        <v>1580</v>
      </c>
      <c r="C6165">
        <v>198</v>
      </c>
      <c r="D6165">
        <v>13</v>
      </c>
    </row>
    <row r="6166" spans="2:4" x14ac:dyDescent="0.25">
      <c r="B6166" t="s">
        <v>1580</v>
      </c>
      <c r="C6166">
        <v>198</v>
      </c>
      <c r="D6166">
        <v>14</v>
      </c>
    </row>
    <row r="6167" spans="2:4" x14ac:dyDescent="0.25">
      <c r="B6167" t="s">
        <v>1580</v>
      </c>
      <c r="C6167">
        <v>199</v>
      </c>
      <c r="D6167">
        <v>5</v>
      </c>
    </row>
    <row r="6168" spans="2:4" x14ac:dyDescent="0.25">
      <c r="B6168" t="s">
        <v>1580</v>
      </c>
      <c r="C6168">
        <v>200</v>
      </c>
      <c r="D6168">
        <v>5</v>
      </c>
    </row>
    <row r="6169" spans="2:4" x14ac:dyDescent="0.25">
      <c r="B6169" t="s">
        <v>1580</v>
      </c>
      <c r="C6169">
        <v>201</v>
      </c>
      <c r="D6169">
        <v>6</v>
      </c>
    </row>
    <row r="6170" spans="2:4" x14ac:dyDescent="0.25">
      <c r="B6170" t="s">
        <v>1580</v>
      </c>
      <c r="C6170">
        <v>201</v>
      </c>
      <c r="D6170">
        <v>8</v>
      </c>
    </row>
    <row r="6171" spans="2:4" x14ac:dyDescent="0.25">
      <c r="B6171" t="s">
        <v>1580</v>
      </c>
      <c r="C6171">
        <v>201</v>
      </c>
      <c r="D6171">
        <v>13</v>
      </c>
    </row>
    <row r="6172" spans="2:4" x14ac:dyDescent="0.25">
      <c r="B6172" t="s">
        <v>1580</v>
      </c>
      <c r="C6172">
        <v>201</v>
      </c>
      <c r="D6172">
        <v>14</v>
      </c>
    </row>
    <row r="6173" spans="2:4" x14ac:dyDescent="0.25">
      <c r="B6173" t="s">
        <v>1580</v>
      </c>
      <c r="C6173">
        <v>202</v>
      </c>
      <c r="D6173">
        <v>6</v>
      </c>
    </row>
    <row r="6174" spans="2:4" x14ac:dyDescent="0.25">
      <c r="B6174" t="s">
        <v>1580</v>
      </c>
      <c r="C6174">
        <v>202</v>
      </c>
      <c r="D6174">
        <v>8</v>
      </c>
    </row>
    <row r="6175" spans="2:4" x14ac:dyDescent="0.25">
      <c r="B6175" t="s">
        <v>1580</v>
      </c>
      <c r="C6175">
        <v>202</v>
      </c>
      <c r="D6175">
        <v>13</v>
      </c>
    </row>
    <row r="6176" spans="2:4" x14ac:dyDescent="0.25">
      <c r="B6176" t="s">
        <v>1580</v>
      </c>
      <c r="C6176">
        <v>202</v>
      </c>
      <c r="D6176">
        <v>14</v>
      </c>
    </row>
    <row r="6177" spans="2:4" x14ac:dyDescent="0.25">
      <c r="B6177" t="s">
        <v>1580</v>
      </c>
      <c r="C6177">
        <v>203</v>
      </c>
      <c r="D6177">
        <v>6</v>
      </c>
    </row>
    <row r="6178" spans="2:4" x14ac:dyDescent="0.25">
      <c r="B6178" t="s">
        <v>1580</v>
      </c>
      <c r="C6178">
        <v>203</v>
      </c>
      <c r="D6178">
        <v>8</v>
      </c>
    </row>
    <row r="6179" spans="2:4" x14ac:dyDescent="0.25">
      <c r="B6179" t="s">
        <v>1580</v>
      </c>
      <c r="C6179">
        <v>203</v>
      </c>
      <c r="D6179">
        <v>13</v>
      </c>
    </row>
    <row r="6180" spans="2:4" x14ac:dyDescent="0.25">
      <c r="B6180" t="s">
        <v>1580</v>
      </c>
      <c r="C6180">
        <v>203</v>
      </c>
      <c r="D6180">
        <v>14</v>
      </c>
    </row>
    <row r="6181" spans="2:4" x14ac:dyDescent="0.25">
      <c r="B6181" t="s">
        <v>1580</v>
      </c>
      <c r="C6181">
        <v>204</v>
      </c>
      <c r="D6181">
        <v>6</v>
      </c>
    </row>
    <row r="6182" spans="2:4" x14ac:dyDescent="0.25">
      <c r="B6182" t="s">
        <v>1580</v>
      </c>
      <c r="C6182">
        <v>204</v>
      </c>
      <c r="D6182">
        <v>8</v>
      </c>
    </row>
    <row r="6183" spans="2:4" x14ac:dyDescent="0.25">
      <c r="B6183" t="s">
        <v>1580</v>
      </c>
      <c r="C6183">
        <v>204</v>
      </c>
      <c r="D6183">
        <v>13</v>
      </c>
    </row>
    <row r="6184" spans="2:4" x14ac:dyDescent="0.25">
      <c r="B6184" t="s">
        <v>1580</v>
      </c>
      <c r="C6184">
        <v>204</v>
      </c>
      <c r="D6184">
        <v>14</v>
      </c>
    </row>
    <row r="6185" spans="2:4" x14ac:dyDescent="0.25">
      <c r="B6185" t="s">
        <v>1580</v>
      </c>
      <c r="C6185">
        <v>205</v>
      </c>
      <c r="D6185">
        <v>5</v>
      </c>
    </row>
    <row r="6186" spans="2:4" x14ac:dyDescent="0.25">
      <c r="B6186" t="s">
        <v>1580</v>
      </c>
      <c r="C6186">
        <v>206</v>
      </c>
      <c r="D6186">
        <v>6</v>
      </c>
    </row>
    <row r="6187" spans="2:4" x14ac:dyDescent="0.25">
      <c r="B6187" t="s">
        <v>1580</v>
      </c>
      <c r="C6187">
        <v>206</v>
      </c>
      <c r="D6187">
        <v>8</v>
      </c>
    </row>
    <row r="6188" spans="2:4" x14ac:dyDescent="0.25">
      <c r="B6188" t="s">
        <v>1580</v>
      </c>
      <c r="C6188">
        <v>206</v>
      </c>
      <c r="D6188">
        <v>13</v>
      </c>
    </row>
    <row r="6189" spans="2:4" x14ac:dyDescent="0.25">
      <c r="B6189" t="s">
        <v>1580</v>
      </c>
      <c r="C6189">
        <v>206</v>
      </c>
      <c r="D6189">
        <v>14</v>
      </c>
    </row>
    <row r="6190" spans="2:4" x14ac:dyDescent="0.25">
      <c r="B6190" t="s">
        <v>1580</v>
      </c>
      <c r="C6190">
        <v>207</v>
      </c>
      <c r="D6190">
        <v>6</v>
      </c>
    </row>
    <row r="6191" spans="2:4" x14ac:dyDescent="0.25">
      <c r="B6191" t="s">
        <v>1580</v>
      </c>
      <c r="C6191">
        <v>207</v>
      </c>
      <c r="D6191">
        <v>8</v>
      </c>
    </row>
    <row r="6192" spans="2:4" x14ac:dyDescent="0.25">
      <c r="B6192" t="s">
        <v>1580</v>
      </c>
      <c r="C6192">
        <v>207</v>
      </c>
      <c r="D6192">
        <v>13</v>
      </c>
    </row>
    <row r="6193" spans="2:4" x14ac:dyDescent="0.25">
      <c r="B6193" t="s">
        <v>1580</v>
      </c>
      <c r="C6193">
        <v>207</v>
      </c>
      <c r="D6193">
        <v>14</v>
      </c>
    </row>
    <row r="6194" spans="2:4" x14ac:dyDescent="0.25">
      <c r="B6194" t="s">
        <v>1580</v>
      </c>
      <c r="C6194">
        <v>208</v>
      </c>
      <c r="D6194">
        <v>6</v>
      </c>
    </row>
    <row r="6195" spans="2:4" x14ac:dyDescent="0.25">
      <c r="B6195" t="s">
        <v>1580</v>
      </c>
      <c r="C6195">
        <v>208</v>
      </c>
      <c r="D6195">
        <v>8</v>
      </c>
    </row>
    <row r="6196" spans="2:4" x14ac:dyDescent="0.25">
      <c r="B6196" t="s">
        <v>1580</v>
      </c>
      <c r="C6196">
        <v>208</v>
      </c>
      <c r="D6196">
        <v>13</v>
      </c>
    </row>
    <row r="6197" spans="2:4" x14ac:dyDescent="0.25">
      <c r="B6197" t="s">
        <v>1580</v>
      </c>
      <c r="C6197">
        <v>208</v>
      </c>
      <c r="D6197">
        <v>14</v>
      </c>
    </row>
    <row r="6198" spans="2:4" x14ac:dyDescent="0.25">
      <c r="B6198" t="s">
        <v>1580</v>
      </c>
      <c r="C6198">
        <v>209</v>
      </c>
      <c r="D6198">
        <v>6</v>
      </c>
    </row>
    <row r="6199" spans="2:4" x14ac:dyDescent="0.25">
      <c r="B6199" t="s">
        <v>1580</v>
      </c>
      <c r="C6199">
        <v>209</v>
      </c>
      <c r="D6199">
        <v>8</v>
      </c>
    </row>
    <row r="6200" spans="2:4" x14ac:dyDescent="0.25">
      <c r="B6200" t="s">
        <v>1580</v>
      </c>
      <c r="C6200">
        <v>209</v>
      </c>
      <c r="D6200">
        <v>13</v>
      </c>
    </row>
    <row r="6201" spans="2:4" x14ac:dyDescent="0.25">
      <c r="B6201" t="s">
        <v>1580</v>
      </c>
      <c r="C6201">
        <v>209</v>
      </c>
      <c r="D6201">
        <v>14</v>
      </c>
    </row>
    <row r="6202" spans="2:4" x14ac:dyDescent="0.25">
      <c r="B6202" t="s">
        <v>1580</v>
      </c>
      <c r="C6202">
        <v>210</v>
      </c>
      <c r="D6202">
        <v>6</v>
      </c>
    </row>
    <row r="6203" spans="2:4" x14ac:dyDescent="0.25">
      <c r="B6203" t="s">
        <v>1580</v>
      </c>
      <c r="C6203">
        <v>210</v>
      </c>
      <c r="D6203">
        <v>8</v>
      </c>
    </row>
    <row r="6204" spans="2:4" x14ac:dyDescent="0.25">
      <c r="B6204" t="s">
        <v>1580</v>
      </c>
      <c r="C6204">
        <v>210</v>
      </c>
      <c r="D6204">
        <v>13</v>
      </c>
    </row>
    <row r="6205" spans="2:4" x14ac:dyDescent="0.25">
      <c r="B6205" t="s">
        <v>1580</v>
      </c>
      <c r="C6205">
        <v>210</v>
      </c>
      <c r="D6205">
        <v>14</v>
      </c>
    </row>
    <row r="6206" spans="2:4" x14ac:dyDescent="0.25">
      <c r="B6206" t="s">
        <v>1580</v>
      </c>
      <c r="C6206">
        <v>211</v>
      </c>
      <c r="D6206">
        <v>5</v>
      </c>
    </row>
    <row r="6207" spans="2:4" x14ac:dyDescent="0.25">
      <c r="B6207" t="s">
        <v>1580</v>
      </c>
      <c r="C6207">
        <v>212</v>
      </c>
      <c r="D6207">
        <v>6</v>
      </c>
    </row>
    <row r="6208" spans="2:4" x14ac:dyDescent="0.25">
      <c r="B6208" t="s">
        <v>1580</v>
      </c>
      <c r="C6208">
        <v>212</v>
      </c>
      <c r="D6208">
        <v>8</v>
      </c>
    </row>
    <row r="6209" spans="2:4" x14ac:dyDescent="0.25">
      <c r="B6209" t="s">
        <v>1580</v>
      </c>
      <c r="C6209">
        <v>212</v>
      </c>
      <c r="D6209">
        <v>13</v>
      </c>
    </row>
    <row r="6210" spans="2:4" x14ac:dyDescent="0.25">
      <c r="B6210" t="s">
        <v>1580</v>
      </c>
      <c r="C6210">
        <v>212</v>
      </c>
      <c r="D6210">
        <v>14</v>
      </c>
    </row>
    <row r="6211" spans="2:4" x14ac:dyDescent="0.25">
      <c r="B6211" t="s">
        <v>1580</v>
      </c>
      <c r="C6211">
        <v>213</v>
      </c>
      <c r="D6211">
        <v>6</v>
      </c>
    </row>
    <row r="6212" spans="2:4" x14ac:dyDescent="0.25">
      <c r="B6212" t="s">
        <v>1580</v>
      </c>
      <c r="C6212">
        <v>213</v>
      </c>
      <c r="D6212">
        <v>8</v>
      </c>
    </row>
    <row r="6213" spans="2:4" x14ac:dyDescent="0.25">
      <c r="B6213" t="s">
        <v>1580</v>
      </c>
      <c r="C6213">
        <v>213</v>
      </c>
      <c r="D6213">
        <v>13</v>
      </c>
    </row>
    <row r="6214" spans="2:4" x14ac:dyDescent="0.25">
      <c r="B6214" t="s">
        <v>1580</v>
      </c>
      <c r="C6214">
        <v>213</v>
      </c>
      <c r="D6214">
        <v>14</v>
      </c>
    </row>
    <row r="6215" spans="2:4" x14ac:dyDescent="0.25">
      <c r="B6215" t="s">
        <v>1580</v>
      </c>
      <c r="C6215">
        <v>214</v>
      </c>
      <c r="D6215">
        <v>6</v>
      </c>
    </row>
    <row r="6216" spans="2:4" x14ac:dyDescent="0.25">
      <c r="B6216" t="s">
        <v>1580</v>
      </c>
      <c r="C6216">
        <v>214</v>
      </c>
      <c r="D6216">
        <v>8</v>
      </c>
    </row>
    <row r="6217" spans="2:4" x14ac:dyDescent="0.25">
      <c r="B6217" t="s">
        <v>1580</v>
      </c>
      <c r="C6217">
        <v>214</v>
      </c>
      <c r="D6217">
        <v>13</v>
      </c>
    </row>
    <row r="6218" spans="2:4" x14ac:dyDescent="0.25">
      <c r="B6218" t="s">
        <v>1580</v>
      </c>
      <c r="C6218">
        <v>214</v>
      </c>
      <c r="D6218">
        <v>14</v>
      </c>
    </row>
    <row r="6219" spans="2:4" x14ac:dyDescent="0.25">
      <c r="B6219" t="s">
        <v>1580</v>
      </c>
      <c r="C6219">
        <v>215</v>
      </c>
      <c r="D6219">
        <v>6</v>
      </c>
    </row>
    <row r="6220" spans="2:4" x14ac:dyDescent="0.25">
      <c r="B6220" t="s">
        <v>1580</v>
      </c>
      <c r="C6220">
        <v>215</v>
      </c>
      <c r="D6220">
        <v>8</v>
      </c>
    </row>
    <row r="6221" spans="2:4" x14ac:dyDescent="0.25">
      <c r="B6221" t="s">
        <v>1580</v>
      </c>
      <c r="C6221">
        <v>215</v>
      </c>
      <c r="D6221">
        <v>13</v>
      </c>
    </row>
    <row r="6222" spans="2:4" x14ac:dyDescent="0.25">
      <c r="B6222" t="s">
        <v>1580</v>
      </c>
      <c r="C6222">
        <v>215</v>
      </c>
      <c r="D6222">
        <v>14</v>
      </c>
    </row>
    <row r="6223" spans="2:4" x14ac:dyDescent="0.25">
      <c r="B6223" t="s">
        <v>1580</v>
      </c>
      <c r="C6223">
        <v>216</v>
      </c>
      <c r="D6223">
        <v>6</v>
      </c>
    </row>
    <row r="6224" spans="2:4" x14ac:dyDescent="0.25">
      <c r="B6224" t="s">
        <v>1580</v>
      </c>
      <c r="C6224">
        <v>216</v>
      </c>
      <c r="D6224">
        <v>8</v>
      </c>
    </row>
    <row r="6225" spans="2:4" x14ac:dyDescent="0.25">
      <c r="B6225" t="s">
        <v>1580</v>
      </c>
      <c r="C6225">
        <v>216</v>
      </c>
      <c r="D6225">
        <v>13</v>
      </c>
    </row>
    <row r="6226" spans="2:4" x14ac:dyDescent="0.25">
      <c r="B6226" t="s">
        <v>1580</v>
      </c>
      <c r="C6226">
        <v>216</v>
      </c>
      <c r="D6226">
        <v>14</v>
      </c>
    </row>
    <row r="6227" spans="2:4" x14ac:dyDescent="0.25">
      <c r="B6227" t="s">
        <v>1580</v>
      </c>
      <c r="C6227">
        <v>217</v>
      </c>
      <c r="D6227">
        <v>6</v>
      </c>
    </row>
    <row r="6228" spans="2:4" x14ac:dyDescent="0.25">
      <c r="B6228" t="s">
        <v>1580</v>
      </c>
      <c r="C6228">
        <v>217</v>
      </c>
      <c r="D6228">
        <v>8</v>
      </c>
    </row>
    <row r="6229" spans="2:4" x14ac:dyDescent="0.25">
      <c r="B6229" t="s">
        <v>1580</v>
      </c>
      <c r="C6229">
        <v>217</v>
      </c>
      <c r="D6229">
        <v>13</v>
      </c>
    </row>
    <row r="6230" spans="2:4" x14ac:dyDescent="0.25">
      <c r="B6230" t="s">
        <v>1580</v>
      </c>
      <c r="C6230">
        <v>217</v>
      </c>
      <c r="D6230">
        <v>14</v>
      </c>
    </row>
    <row r="6231" spans="2:4" x14ac:dyDescent="0.25">
      <c r="B6231" t="s">
        <v>1580</v>
      </c>
      <c r="C6231">
        <v>218</v>
      </c>
      <c r="D6231">
        <v>5</v>
      </c>
    </row>
    <row r="6232" spans="2:4" x14ac:dyDescent="0.25">
      <c r="B6232" t="s">
        <v>1580</v>
      </c>
      <c r="C6232">
        <v>219</v>
      </c>
      <c r="D6232">
        <v>6</v>
      </c>
    </row>
    <row r="6233" spans="2:4" x14ac:dyDescent="0.25">
      <c r="B6233" t="s">
        <v>1580</v>
      </c>
      <c r="C6233">
        <v>219</v>
      </c>
      <c r="D6233">
        <v>8</v>
      </c>
    </row>
    <row r="6234" spans="2:4" x14ac:dyDescent="0.25">
      <c r="B6234" t="s">
        <v>1580</v>
      </c>
      <c r="C6234">
        <v>219</v>
      </c>
      <c r="D6234">
        <v>13</v>
      </c>
    </row>
    <row r="6235" spans="2:4" x14ac:dyDescent="0.25">
      <c r="B6235" t="s">
        <v>1580</v>
      </c>
      <c r="C6235">
        <v>219</v>
      </c>
      <c r="D6235">
        <v>14</v>
      </c>
    </row>
    <row r="6236" spans="2:4" x14ac:dyDescent="0.25">
      <c r="B6236" t="s">
        <v>1580</v>
      </c>
      <c r="C6236">
        <v>220</v>
      </c>
      <c r="D6236">
        <v>5</v>
      </c>
    </row>
    <row r="6237" spans="2:4" x14ac:dyDescent="0.25">
      <c r="B6237" t="s">
        <v>1580</v>
      </c>
      <c r="C6237">
        <v>221</v>
      </c>
      <c r="D6237">
        <v>6</v>
      </c>
    </row>
    <row r="6238" spans="2:4" x14ac:dyDescent="0.25">
      <c r="B6238" t="s">
        <v>1580</v>
      </c>
      <c r="C6238">
        <v>221</v>
      </c>
      <c r="D6238">
        <v>8</v>
      </c>
    </row>
    <row r="6239" spans="2:4" x14ac:dyDescent="0.25">
      <c r="B6239" t="s">
        <v>1580</v>
      </c>
      <c r="C6239">
        <v>221</v>
      </c>
      <c r="D6239">
        <v>13</v>
      </c>
    </row>
    <row r="6240" spans="2:4" x14ac:dyDescent="0.25">
      <c r="B6240" t="s">
        <v>1580</v>
      </c>
      <c r="C6240">
        <v>221</v>
      </c>
      <c r="D6240">
        <v>14</v>
      </c>
    </row>
    <row r="6241" spans="2:4" x14ac:dyDescent="0.25">
      <c r="B6241" t="s">
        <v>1580</v>
      </c>
      <c r="C6241">
        <v>222</v>
      </c>
      <c r="D6241">
        <v>6</v>
      </c>
    </row>
    <row r="6242" spans="2:4" x14ac:dyDescent="0.25">
      <c r="B6242" t="s">
        <v>1580</v>
      </c>
      <c r="C6242">
        <v>222</v>
      </c>
      <c r="D6242">
        <v>8</v>
      </c>
    </row>
    <row r="6243" spans="2:4" x14ac:dyDescent="0.25">
      <c r="B6243" t="s">
        <v>1580</v>
      </c>
      <c r="C6243">
        <v>222</v>
      </c>
      <c r="D6243">
        <v>13</v>
      </c>
    </row>
    <row r="6244" spans="2:4" x14ac:dyDescent="0.25">
      <c r="B6244" t="s">
        <v>1580</v>
      </c>
      <c r="C6244">
        <v>222</v>
      </c>
      <c r="D6244">
        <v>14</v>
      </c>
    </row>
    <row r="6245" spans="2:4" x14ac:dyDescent="0.25">
      <c r="B6245" t="s">
        <v>1580</v>
      </c>
      <c r="C6245">
        <v>223</v>
      </c>
      <c r="D6245">
        <v>6</v>
      </c>
    </row>
    <row r="6246" spans="2:4" x14ac:dyDescent="0.25">
      <c r="B6246" t="s">
        <v>1580</v>
      </c>
      <c r="C6246">
        <v>223</v>
      </c>
      <c r="D6246">
        <v>8</v>
      </c>
    </row>
    <row r="6247" spans="2:4" x14ac:dyDescent="0.25">
      <c r="B6247" t="s">
        <v>1580</v>
      </c>
      <c r="C6247">
        <v>223</v>
      </c>
      <c r="D6247">
        <v>13</v>
      </c>
    </row>
    <row r="6248" spans="2:4" x14ac:dyDescent="0.25">
      <c r="B6248" t="s">
        <v>1580</v>
      </c>
      <c r="C6248">
        <v>223</v>
      </c>
      <c r="D6248">
        <v>14</v>
      </c>
    </row>
    <row r="6249" spans="2:4" x14ac:dyDescent="0.25">
      <c r="B6249" t="s">
        <v>1580</v>
      </c>
      <c r="C6249">
        <v>224</v>
      </c>
      <c r="D6249">
        <v>6</v>
      </c>
    </row>
    <row r="6250" spans="2:4" x14ac:dyDescent="0.25">
      <c r="B6250" t="s">
        <v>1580</v>
      </c>
      <c r="C6250">
        <v>224</v>
      </c>
      <c r="D6250">
        <v>8</v>
      </c>
    </row>
    <row r="6251" spans="2:4" x14ac:dyDescent="0.25">
      <c r="B6251" t="s">
        <v>1580</v>
      </c>
      <c r="C6251">
        <v>224</v>
      </c>
      <c r="D6251">
        <v>13</v>
      </c>
    </row>
    <row r="6252" spans="2:4" x14ac:dyDescent="0.25">
      <c r="B6252" t="s">
        <v>1580</v>
      </c>
      <c r="C6252">
        <v>224</v>
      </c>
      <c r="D6252">
        <v>14</v>
      </c>
    </row>
    <row r="6253" spans="2:4" x14ac:dyDescent="0.25">
      <c r="B6253" t="s">
        <v>1580</v>
      </c>
      <c r="C6253">
        <v>225</v>
      </c>
      <c r="D6253">
        <v>5</v>
      </c>
    </row>
    <row r="6254" spans="2:4" x14ac:dyDescent="0.25">
      <c r="B6254" t="s">
        <v>1580</v>
      </c>
      <c r="C6254">
        <v>226</v>
      </c>
      <c r="D6254">
        <v>6</v>
      </c>
    </row>
    <row r="6255" spans="2:4" x14ac:dyDescent="0.25">
      <c r="B6255" t="s">
        <v>1580</v>
      </c>
      <c r="C6255">
        <v>226</v>
      </c>
      <c r="D6255">
        <v>8</v>
      </c>
    </row>
    <row r="6256" spans="2:4" x14ac:dyDescent="0.25">
      <c r="B6256" t="s">
        <v>1580</v>
      </c>
      <c r="C6256">
        <v>226</v>
      </c>
      <c r="D6256">
        <v>13</v>
      </c>
    </row>
    <row r="6257" spans="2:4" x14ac:dyDescent="0.25">
      <c r="B6257" t="s">
        <v>1580</v>
      </c>
      <c r="C6257">
        <v>226</v>
      </c>
      <c r="D6257">
        <v>14</v>
      </c>
    </row>
    <row r="6258" spans="2:4" x14ac:dyDescent="0.25">
      <c r="B6258" t="s">
        <v>1580</v>
      </c>
      <c r="C6258">
        <v>227</v>
      </c>
      <c r="D6258">
        <v>6</v>
      </c>
    </row>
    <row r="6259" spans="2:4" x14ac:dyDescent="0.25">
      <c r="B6259" t="s">
        <v>1580</v>
      </c>
      <c r="C6259">
        <v>227</v>
      </c>
      <c r="D6259">
        <v>8</v>
      </c>
    </row>
    <row r="6260" spans="2:4" x14ac:dyDescent="0.25">
      <c r="B6260" t="s">
        <v>1580</v>
      </c>
      <c r="C6260">
        <v>227</v>
      </c>
      <c r="D6260">
        <v>13</v>
      </c>
    </row>
    <row r="6261" spans="2:4" x14ac:dyDescent="0.25">
      <c r="B6261" t="s">
        <v>1580</v>
      </c>
      <c r="C6261">
        <v>227</v>
      </c>
      <c r="D6261">
        <v>14</v>
      </c>
    </row>
    <row r="6262" spans="2:4" x14ac:dyDescent="0.25">
      <c r="B6262" t="s">
        <v>1580</v>
      </c>
      <c r="C6262">
        <v>228</v>
      </c>
      <c r="D6262">
        <v>6</v>
      </c>
    </row>
    <row r="6263" spans="2:4" x14ac:dyDescent="0.25">
      <c r="B6263" t="s">
        <v>1580</v>
      </c>
      <c r="C6263">
        <v>228</v>
      </c>
      <c r="D6263">
        <v>8</v>
      </c>
    </row>
    <row r="6264" spans="2:4" x14ac:dyDescent="0.25">
      <c r="B6264" t="s">
        <v>1580</v>
      </c>
      <c r="C6264">
        <v>228</v>
      </c>
      <c r="D6264">
        <v>13</v>
      </c>
    </row>
    <row r="6265" spans="2:4" x14ac:dyDescent="0.25">
      <c r="B6265" t="s">
        <v>1580</v>
      </c>
      <c r="C6265">
        <v>228</v>
      </c>
      <c r="D6265">
        <v>14</v>
      </c>
    </row>
    <row r="6266" spans="2:4" x14ac:dyDescent="0.25">
      <c r="B6266" t="s">
        <v>1580</v>
      </c>
      <c r="C6266">
        <v>229</v>
      </c>
      <c r="D6266">
        <v>5</v>
      </c>
    </row>
    <row r="6267" spans="2:4" x14ac:dyDescent="0.25">
      <c r="B6267" t="s">
        <v>1580</v>
      </c>
      <c r="C6267">
        <v>230</v>
      </c>
      <c r="D6267">
        <v>6</v>
      </c>
    </row>
    <row r="6268" spans="2:4" x14ac:dyDescent="0.25">
      <c r="B6268" t="s">
        <v>1580</v>
      </c>
      <c r="C6268">
        <v>230</v>
      </c>
      <c r="D6268">
        <v>8</v>
      </c>
    </row>
    <row r="6269" spans="2:4" x14ac:dyDescent="0.25">
      <c r="B6269" t="s">
        <v>1580</v>
      </c>
      <c r="C6269">
        <v>230</v>
      </c>
      <c r="D6269">
        <v>13</v>
      </c>
    </row>
    <row r="6270" spans="2:4" x14ac:dyDescent="0.25">
      <c r="B6270" t="s">
        <v>1580</v>
      </c>
      <c r="C6270">
        <v>230</v>
      </c>
      <c r="D6270">
        <v>14</v>
      </c>
    </row>
    <row r="6271" spans="2:4" x14ac:dyDescent="0.25">
      <c r="B6271" t="s">
        <v>1580</v>
      </c>
      <c r="C6271">
        <v>231</v>
      </c>
      <c r="D6271">
        <v>6</v>
      </c>
    </row>
    <row r="6272" spans="2:4" x14ac:dyDescent="0.25">
      <c r="B6272" t="s">
        <v>1580</v>
      </c>
      <c r="C6272">
        <v>231</v>
      </c>
      <c r="D6272">
        <v>8</v>
      </c>
    </row>
    <row r="6273" spans="2:4" x14ac:dyDescent="0.25">
      <c r="B6273" t="s">
        <v>1580</v>
      </c>
      <c r="C6273">
        <v>231</v>
      </c>
      <c r="D6273">
        <v>13</v>
      </c>
    </row>
    <row r="6274" spans="2:4" x14ac:dyDescent="0.25">
      <c r="B6274" t="s">
        <v>1580</v>
      </c>
      <c r="C6274">
        <v>231</v>
      </c>
      <c r="D6274">
        <v>14</v>
      </c>
    </row>
    <row r="6275" spans="2:4" x14ac:dyDescent="0.25">
      <c r="B6275" t="s">
        <v>1580</v>
      </c>
      <c r="C6275">
        <v>232</v>
      </c>
      <c r="D6275">
        <v>6</v>
      </c>
    </row>
    <row r="6276" spans="2:4" x14ac:dyDescent="0.25">
      <c r="B6276" t="s">
        <v>1580</v>
      </c>
      <c r="C6276">
        <v>232</v>
      </c>
      <c r="D6276">
        <v>8</v>
      </c>
    </row>
    <row r="6277" spans="2:4" x14ac:dyDescent="0.25">
      <c r="B6277" t="s">
        <v>1580</v>
      </c>
      <c r="C6277">
        <v>232</v>
      </c>
      <c r="D6277">
        <v>13</v>
      </c>
    </row>
    <row r="6278" spans="2:4" x14ac:dyDescent="0.25">
      <c r="B6278" t="s">
        <v>1580</v>
      </c>
      <c r="C6278">
        <v>232</v>
      </c>
      <c r="D6278">
        <v>14</v>
      </c>
    </row>
    <row r="6279" spans="2:4" x14ac:dyDescent="0.25">
      <c r="B6279" t="s">
        <v>1580</v>
      </c>
      <c r="C6279">
        <v>233</v>
      </c>
      <c r="D6279">
        <v>6</v>
      </c>
    </row>
    <row r="6280" spans="2:4" x14ac:dyDescent="0.25">
      <c r="B6280" t="s">
        <v>1580</v>
      </c>
      <c r="C6280">
        <v>233</v>
      </c>
      <c r="D6280">
        <v>8</v>
      </c>
    </row>
    <row r="6281" spans="2:4" x14ac:dyDescent="0.25">
      <c r="B6281" t="s">
        <v>1580</v>
      </c>
      <c r="C6281">
        <v>233</v>
      </c>
      <c r="D6281">
        <v>13</v>
      </c>
    </row>
    <row r="6282" spans="2:4" x14ac:dyDescent="0.25">
      <c r="B6282" t="s">
        <v>1580</v>
      </c>
      <c r="C6282">
        <v>233</v>
      </c>
      <c r="D6282">
        <v>14</v>
      </c>
    </row>
    <row r="6283" spans="2:4" x14ac:dyDescent="0.25">
      <c r="B6283" t="s">
        <v>1580</v>
      </c>
      <c r="C6283">
        <v>234</v>
      </c>
      <c r="D6283">
        <v>5</v>
      </c>
    </row>
    <row r="6284" spans="2:4" x14ac:dyDescent="0.25">
      <c r="B6284" t="s">
        <v>1580</v>
      </c>
      <c r="C6284">
        <v>235</v>
      </c>
      <c r="D6284">
        <v>6</v>
      </c>
    </row>
    <row r="6285" spans="2:4" x14ac:dyDescent="0.25">
      <c r="B6285" t="s">
        <v>1580</v>
      </c>
      <c r="C6285">
        <v>235</v>
      </c>
      <c r="D6285">
        <v>8</v>
      </c>
    </row>
    <row r="6286" spans="2:4" x14ac:dyDescent="0.25">
      <c r="B6286" t="s">
        <v>1580</v>
      </c>
      <c r="C6286">
        <v>235</v>
      </c>
      <c r="D6286">
        <v>13</v>
      </c>
    </row>
    <row r="6287" spans="2:4" x14ac:dyDescent="0.25">
      <c r="B6287" t="s">
        <v>1580</v>
      </c>
      <c r="C6287">
        <v>235</v>
      </c>
      <c r="D6287">
        <v>14</v>
      </c>
    </row>
    <row r="6288" spans="2:4" x14ac:dyDescent="0.25">
      <c r="B6288" t="s">
        <v>1580</v>
      </c>
      <c r="C6288">
        <v>236</v>
      </c>
      <c r="D6288">
        <v>6</v>
      </c>
    </row>
    <row r="6289" spans="2:4" x14ac:dyDescent="0.25">
      <c r="B6289" t="s">
        <v>1580</v>
      </c>
      <c r="C6289">
        <v>236</v>
      </c>
      <c r="D6289">
        <v>8</v>
      </c>
    </row>
    <row r="6290" spans="2:4" x14ac:dyDescent="0.25">
      <c r="B6290" t="s">
        <v>1580</v>
      </c>
      <c r="C6290">
        <v>236</v>
      </c>
      <c r="D6290">
        <v>13</v>
      </c>
    </row>
    <row r="6291" spans="2:4" x14ac:dyDescent="0.25">
      <c r="B6291" t="s">
        <v>1580</v>
      </c>
      <c r="C6291">
        <v>236</v>
      </c>
      <c r="D6291">
        <v>14</v>
      </c>
    </row>
    <row r="6292" spans="2:4" x14ac:dyDescent="0.25">
      <c r="B6292" t="s">
        <v>1580</v>
      </c>
      <c r="C6292">
        <v>237</v>
      </c>
      <c r="D6292">
        <v>5</v>
      </c>
    </row>
    <row r="6293" spans="2:4" x14ac:dyDescent="0.25">
      <c r="B6293" t="s">
        <v>1580</v>
      </c>
      <c r="C6293">
        <v>238</v>
      </c>
      <c r="D6293">
        <v>6</v>
      </c>
    </row>
    <row r="6294" spans="2:4" x14ac:dyDescent="0.25">
      <c r="B6294" t="s">
        <v>1580</v>
      </c>
      <c r="C6294">
        <v>238</v>
      </c>
      <c r="D6294">
        <v>8</v>
      </c>
    </row>
    <row r="6295" spans="2:4" x14ac:dyDescent="0.25">
      <c r="B6295" t="s">
        <v>1580</v>
      </c>
      <c r="C6295">
        <v>238</v>
      </c>
      <c r="D6295">
        <v>13</v>
      </c>
    </row>
    <row r="6296" spans="2:4" x14ac:dyDescent="0.25">
      <c r="B6296" t="s">
        <v>1580</v>
      </c>
      <c r="C6296">
        <v>238</v>
      </c>
      <c r="D6296">
        <v>14</v>
      </c>
    </row>
    <row r="6297" spans="2:4" x14ac:dyDescent="0.25">
      <c r="B6297" t="s">
        <v>1580</v>
      </c>
      <c r="C6297">
        <v>239</v>
      </c>
      <c r="D6297">
        <v>5</v>
      </c>
    </row>
    <row r="6298" spans="2:4" x14ac:dyDescent="0.25">
      <c r="B6298" t="s">
        <v>1580</v>
      </c>
      <c r="C6298">
        <v>240</v>
      </c>
      <c r="D6298">
        <v>6</v>
      </c>
    </row>
    <row r="6299" spans="2:4" x14ac:dyDescent="0.25">
      <c r="B6299" t="s">
        <v>1580</v>
      </c>
      <c r="C6299">
        <v>240</v>
      </c>
      <c r="D6299">
        <v>8</v>
      </c>
    </row>
    <row r="6300" spans="2:4" x14ac:dyDescent="0.25">
      <c r="B6300" t="s">
        <v>1580</v>
      </c>
      <c r="C6300">
        <v>240</v>
      </c>
      <c r="D6300">
        <v>13</v>
      </c>
    </row>
    <row r="6301" spans="2:4" x14ac:dyDescent="0.25">
      <c r="B6301" t="s">
        <v>1580</v>
      </c>
      <c r="C6301">
        <v>240</v>
      </c>
      <c r="D6301">
        <v>14</v>
      </c>
    </row>
    <row r="6302" spans="2:4" x14ac:dyDescent="0.25">
      <c r="B6302" t="s">
        <v>1580</v>
      </c>
      <c r="C6302">
        <v>241</v>
      </c>
      <c r="D6302">
        <v>6</v>
      </c>
    </row>
    <row r="6303" spans="2:4" x14ac:dyDescent="0.25">
      <c r="B6303" t="s">
        <v>1580</v>
      </c>
      <c r="C6303">
        <v>241</v>
      </c>
      <c r="D6303">
        <v>8</v>
      </c>
    </row>
    <row r="6304" spans="2:4" x14ac:dyDescent="0.25">
      <c r="B6304" t="s">
        <v>1580</v>
      </c>
      <c r="C6304">
        <v>241</v>
      </c>
      <c r="D6304">
        <v>13</v>
      </c>
    </row>
    <row r="6305" spans="2:4" x14ac:dyDescent="0.25">
      <c r="B6305" t="s">
        <v>1580</v>
      </c>
      <c r="C6305">
        <v>241</v>
      </c>
      <c r="D6305">
        <v>14</v>
      </c>
    </row>
    <row r="6306" spans="2:4" x14ac:dyDescent="0.25">
      <c r="B6306" t="s">
        <v>1580</v>
      </c>
      <c r="C6306">
        <v>242</v>
      </c>
      <c r="D6306">
        <v>6</v>
      </c>
    </row>
    <row r="6307" spans="2:4" x14ac:dyDescent="0.25">
      <c r="B6307" t="s">
        <v>1580</v>
      </c>
      <c r="C6307">
        <v>242</v>
      </c>
      <c r="D6307">
        <v>8</v>
      </c>
    </row>
    <row r="6308" spans="2:4" x14ac:dyDescent="0.25">
      <c r="B6308" t="s">
        <v>1580</v>
      </c>
      <c r="C6308">
        <v>242</v>
      </c>
      <c r="D6308">
        <v>13</v>
      </c>
    </row>
    <row r="6309" spans="2:4" x14ac:dyDescent="0.25">
      <c r="B6309" t="s">
        <v>1580</v>
      </c>
      <c r="C6309">
        <v>242</v>
      </c>
      <c r="D6309">
        <v>14</v>
      </c>
    </row>
    <row r="6310" spans="2:4" x14ac:dyDescent="0.25">
      <c r="B6310" t="s">
        <v>1580</v>
      </c>
      <c r="C6310">
        <v>243</v>
      </c>
      <c r="D6310">
        <v>6</v>
      </c>
    </row>
    <row r="6311" spans="2:4" x14ac:dyDescent="0.25">
      <c r="B6311" t="s">
        <v>1580</v>
      </c>
      <c r="C6311">
        <v>243</v>
      </c>
      <c r="D6311">
        <v>8</v>
      </c>
    </row>
    <row r="6312" spans="2:4" x14ac:dyDescent="0.25">
      <c r="B6312" t="s">
        <v>1580</v>
      </c>
      <c r="C6312">
        <v>243</v>
      </c>
      <c r="D6312">
        <v>13</v>
      </c>
    </row>
    <row r="6313" spans="2:4" x14ac:dyDescent="0.25">
      <c r="B6313" t="s">
        <v>1580</v>
      </c>
      <c r="C6313">
        <v>243</v>
      </c>
      <c r="D6313">
        <v>14</v>
      </c>
    </row>
    <row r="6314" spans="2:4" x14ac:dyDescent="0.25">
      <c r="B6314" t="s">
        <v>1580</v>
      </c>
      <c r="C6314">
        <v>244</v>
      </c>
      <c r="D6314">
        <v>6</v>
      </c>
    </row>
    <row r="6315" spans="2:4" x14ac:dyDescent="0.25">
      <c r="B6315" t="s">
        <v>1580</v>
      </c>
      <c r="C6315">
        <v>244</v>
      </c>
      <c r="D6315">
        <v>8</v>
      </c>
    </row>
    <row r="6316" spans="2:4" x14ac:dyDescent="0.25">
      <c r="B6316" t="s">
        <v>1580</v>
      </c>
      <c r="C6316">
        <v>244</v>
      </c>
      <c r="D6316">
        <v>13</v>
      </c>
    </row>
    <row r="6317" spans="2:4" x14ac:dyDescent="0.25">
      <c r="B6317" t="s">
        <v>1580</v>
      </c>
      <c r="C6317">
        <v>244</v>
      </c>
      <c r="D6317">
        <v>14</v>
      </c>
    </row>
    <row r="6318" spans="2:4" x14ac:dyDescent="0.25">
      <c r="B6318" t="s">
        <v>1580</v>
      </c>
      <c r="C6318">
        <v>245</v>
      </c>
      <c r="D6318">
        <v>6</v>
      </c>
    </row>
    <row r="6319" spans="2:4" x14ac:dyDescent="0.25">
      <c r="B6319" t="s">
        <v>1580</v>
      </c>
      <c r="C6319">
        <v>245</v>
      </c>
      <c r="D6319">
        <v>8</v>
      </c>
    </row>
    <row r="6320" spans="2:4" x14ac:dyDescent="0.25">
      <c r="B6320" t="s">
        <v>1580</v>
      </c>
      <c r="C6320">
        <v>245</v>
      </c>
      <c r="D6320">
        <v>13</v>
      </c>
    </row>
    <row r="6321" spans="2:4" x14ac:dyDescent="0.25">
      <c r="B6321" t="s">
        <v>1580</v>
      </c>
      <c r="C6321">
        <v>245</v>
      </c>
      <c r="D6321">
        <v>14</v>
      </c>
    </row>
    <row r="6322" spans="2:4" x14ac:dyDescent="0.25">
      <c r="B6322" t="s">
        <v>1580</v>
      </c>
      <c r="C6322">
        <v>246</v>
      </c>
      <c r="D6322">
        <v>6</v>
      </c>
    </row>
    <row r="6323" spans="2:4" x14ac:dyDescent="0.25">
      <c r="B6323" t="s">
        <v>1580</v>
      </c>
      <c r="C6323">
        <v>246</v>
      </c>
      <c r="D6323">
        <v>8</v>
      </c>
    </row>
    <row r="6324" spans="2:4" x14ac:dyDescent="0.25">
      <c r="B6324" t="s">
        <v>1580</v>
      </c>
      <c r="C6324">
        <v>246</v>
      </c>
      <c r="D6324">
        <v>13</v>
      </c>
    </row>
    <row r="6325" spans="2:4" x14ac:dyDescent="0.25">
      <c r="B6325" t="s">
        <v>1580</v>
      </c>
      <c r="C6325">
        <v>246</v>
      </c>
      <c r="D6325">
        <v>14</v>
      </c>
    </row>
    <row r="6326" spans="2:4" x14ac:dyDescent="0.25">
      <c r="B6326" t="s">
        <v>1580</v>
      </c>
      <c r="C6326">
        <v>247</v>
      </c>
      <c r="D6326">
        <v>6</v>
      </c>
    </row>
    <row r="6327" spans="2:4" x14ac:dyDescent="0.25">
      <c r="B6327" t="s">
        <v>1580</v>
      </c>
      <c r="C6327">
        <v>247</v>
      </c>
      <c r="D6327">
        <v>8</v>
      </c>
    </row>
    <row r="6328" spans="2:4" x14ac:dyDescent="0.25">
      <c r="B6328" t="s">
        <v>1580</v>
      </c>
      <c r="C6328">
        <v>247</v>
      </c>
      <c r="D6328">
        <v>13</v>
      </c>
    </row>
    <row r="6329" spans="2:4" x14ac:dyDescent="0.25">
      <c r="B6329" t="s">
        <v>1580</v>
      </c>
      <c r="C6329">
        <v>247</v>
      </c>
      <c r="D6329">
        <v>14</v>
      </c>
    </row>
    <row r="6330" spans="2:4" x14ac:dyDescent="0.25">
      <c r="B6330" t="s">
        <v>1580</v>
      </c>
      <c r="C6330">
        <v>248</v>
      </c>
      <c r="D6330">
        <v>5</v>
      </c>
    </row>
    <row r="6331" spans="2:4" x14ac:dyDescent="0.25">
      <c r="B6331" t="s">
        <v>1580</v>
      </c>
      <c r="C6331">
        <v>249</v>
      </c>
      <c r="D6331">
        <v>5</v>
      </c>
    </row>
    <row r="6332" spans="2:4" x14ac:dyDescent="0.25">
      <c r="B6332" t="s">
        <v>1580</v>
      </c>
      <c r="C6332">
        <v>250</v>
      </c>
      <c r="D6332">
        <v>6</v>
      </c>
    </row>
    <row r="6333" spans="2:4" x14ac:dyDescent="0.25">
      <c r="B6333" t="s">
        <v>1580</v>
      </c>
      <c r="C6333">
        <v>250</v>
      </c>
      <c r="D6333">
        <v>8</v>
      </c>
    </row>
    <row r="6334" spans="2:4" x14ac:dyDescent="0.25">
      <c r="B6334" t="s">
        <v>1580</v>
      </c>
      <c r="C6334">
        <v>250</v>
      </c>
      <c r="D6334">
        <v>13</v>
      </c>
    </row>
    <row r="6335" spans="2:4" x14ac:dyDescent="0.25">
      <c r="B6335" t="s">
        <v>1580</v>
      </c>
      <c r="C6335">
        <v>250</v>
      </c>
      <c r="D6335">
        <v>14</v>
      </c>
    </row>
    <row r="6336" spans="2:4" x14ac:dyDescent="0.25">
      <c r="B6336" t="s">
        <v>1580</v>
      </c>
      <c r="C6336">
        <v>251</v>
      </c>
      <c r="D6336">
        <v>6</v>
      </c>
    </row>
    <row r="6337" spans="2:4" x14ac:dyDescent="0.25">
      <c r="B6337" t="s">
        <v>1580</v>
      </c>
      <c r="C6337">
        <v>251</v>
      </c>
      <c r="D6337">
        <v>8</v>
      </c>
    </row>
    <row r="6338" spans="2:4" x14ac:dyDescent="0.25">
      <c r="B6338" t="s">
        <v>1580</v>
      </c>
      <c r="C6338">
        <v>251</v>
      </c>
      <c r="D6338">
        <v>13</v>
      </c>
    </row>
    <row r="6339" spans="2:4" x14ac:dyDescent="0.25">
      <c r="B6339" t="s">
        <v>1580</v>
      </c>
      <c r="C6339">
        <v>251</v>
      </c>
      <c r="D6339">
        <v>14</v>
      </c>
    </row>
    <row r="6340" spans="2:4" x14ac:dyDescent="0.25">
      <c r="B6340" t="s">
        <v>1580</v>
      </c>
      <c r="C6340">
        <v>252</v>
      </c>
      <c r="D6340">
        <v>6</v>
      </c>
    </row>
    <row r="6341" spans="2:4" x14ac:dyDescent="0.25">
      <c r="B6341" t="s">
        <v>1580</v>
      </c>
      <c r="C6341">
        <v>252</v>
      </c>
      <c r="D6341">
        <v>8</v>
      </c>
    </row>
    <row r="6342" spans="2:4" x14ac:dyDescent="0.25">
      <c r="B6342" t="s">
        <v>1580</v>
      </c>
      <c r="C6342">
        <v>252</v>
      </c>
      <c r="D6342">
        <v>13</v>
      </c>
    </row>
    <row r="6343" spans="2:4" x14ac:dyDescent="0.25">
      <c r="B6343" t="s">
        <v>1580</v>
      </c>
      <c r="C6343">
        <v>252</v>
      </c>
      <c r="D6343">
        <v>14</v>
      </c>
    </row>
    <row r="6344" spans="2:4" x14ac:dyDescent="0.25">
      <c r="B6344" t="s">
        <v>1580</v>
      </c>
      <c r="C6344">
        <v>253</v>
      </c>
      <c r="D6344">
        <v>6</v>
      </c>
    </row>
    <row r="6345" spans="2:4" x14ac:dyDescent="0.25">
      <c r="B6345" t="s">
        <v>1580</v>
      </c>
      <c r="C6345">
        <v>253</v>
      </c>
      <c r="D6345">
        <v>8</v>
      </c>
    </row>
    <row r="6346" spans="2:4" x14ac:dyDescent="0.25">
      <c r="B6346" t="s">
        <v>1580</v>
      </c>
      <c r="C6346">
        <v>253</v>
      </c>
      <c r="D6346">
        <v>13</v>
      </c>
    </row>
    <row r="6347" spans="2:4" x14ac:dyDescent="0.25">
      <c r="B6347" t="s">
        <v>1580</v>
      </c>
      <c r="C6347">
        <v>253</v>
      </c>
      <c r="D6347">
        <v>14</v>
      </c>
    </row>
    <row r="6348" spans="2:4" x14ac:dyDescent="0.25">
      <c r="B6348" t="s">
        <v>1580</v>
      </c>
      <c r="C6348">
        <v>254</v>
      </c>
      <c r="D6348">
        <v>6</v>
      </c>
    </row>
    <row r="6349" spans="2:4" x14ac:dyDescent="0.25">
      <c r="B6349" t="s">
        <v>1580</v>
      </c>
      <c r="C6349">
        <v>254</v>
      </c>
      <c r="D6349">
        <v>8</v>
      </c>
    </row>
    <row r="6350" spans="2:4" x14ac:dyDescent="0.25">
      <c r="B6350" t="s">
        <v>1580</v>
      </c>
      <c r="C6350">
        <v>254</v>
      </c>
      <c r="D6350">
        <v>13</v>
      </c>
    </row>
    <row r="6351" spans="2:4" x14ac:dyDescent="0.25">
      <c r="B6351" t="s">
        <v>1580</v>
      </c>
      <c r="C6351">
        <v>254</v>
      </c>
      <c r="D6351">
        <v>14</v>
      </c>
    </row>
    <row r="6352" spans="2:4" x14ac:dyDescent="0.25">
      <c r="B6352" t="s">
        <v>1580</v>
      </c>
      <c r="C6352">
        <v>255</v>
      </c>
      <c r="D6352">
        <v>6</v>
      </c>
    </row>
    <row r="6353" spans="2:4" x14ac:dyDescent="0.25">
      <c r="B6353" t="s">
        <v>1580</v>
      </c>
      <c r="C6353">
        <v>255</v>
      </c>
      <c r="D6353">
        <v>8</v>
      </c>
    </row>
    <row r="6354" spans="2:4" x14ac:dyDescent="0.25">
      <c r="B6354" t="s">
        <v>1580</v>
      </c>
      <c r="C6354">
        <v>255</v>
      </c>
      <c r="D6354">
        <v>13</v>
      </c>
    </row>
    <row r="6355" spans="2:4" x14ac:dyDescent="0.25">
      <c r="B6355" t="s">
        <v>1580</v>
      </c>
      <c r="C6355">
        <v>255</v>
      </c>
      <c r="D6355">
        <v>14</v>
      </c>
    </row>
    <row r="6356" spans="2:4" x14ac:dyDescent="0.25">
      <c r="B6356" t="s">
        <v>1580</v>
      </c>
      <c r="C6356">
        <v>256</v>
      </c>
      <c r="D6356">
        <v>6</v>
      </c>
    </row>
    <row r="6357" spans="2:4" x14ac:dyDescent="0.25">
      <c r="B6357" t="s">
        <v>1580</v>
      </c>
      <c r="C6357">
        <v>256</v>
      </c>
      <c r="D6357">
        <v>8</v>
      </c>
    </row>
    <row r="6358" spans="2:4" x14ac:dyDescent="0.25">
      <c r="B6358" t="s">
        <v>1580</v>
      </c>
      <c r="C6358">
        <v>256</v>
      </c>
      <c r="D6358">
        <v>13</v>
      </c>
    </row>
    <row r="6359" spans="2:4" x14ac:dyDescent="0.25">
      <c r="B6359" t="s">
        <v>1580</v>
      </c>
      <c r="C6359">
        <v>256</v>
      </c>
      <c r="D6359">
        <v>14</v>
      </c>
    </row>
    <row r="6360" spans="2:4" x14ac:dyDescent="0.25">
      <c r="B6360" t="s">
        <v>1580</v>
      </c>
      <c r="C6360">
        <v>257</v>
      </c>
      <c r="D6360">
        <v>6</v>
      </c>
    </row>
    <row r="6361" spans="2:4" x14ac:dyDescent="0.25">
      <c r="B6361" t="s">
        <v>1580</v>
      </c>
      <c r="C6361">
        <v>257</v>
      </c>
      <c r="D6361">
        <v>8</v>
      </c>
    </row>
    <row r="6362" spans="2:4" x14ac:dyDescent="0.25">
      <c r="B6362" t="s">
        <v>1580</v>
      </c>
      <c r="C6362">
        <v>257</v>
      </c>
      <c r="D6362">
        <v>13</v>
      </c>
    </row>
    <row r="6363" spans="2:4" x14ac:dyDescent="0.25">
      <c r="B6363" t="s">
        <v>1580</v>
      </c>
      <c r="C6363">
        <v>257</v>
      </c>
      <c r="D6363">
        <v>14</v>
      </c>
    </row>
    <row r="6364" spans="2:4" x14ac:dyDescent="0.25">
      <c r="B6364" t="s">
        <v>1580</v>
      </c>
      <c r="C6364">
        <v>258</v>
      </c>
      <c r="D6364">
        <v>6</v>
      </c>
    </row>
    <row r="6365" spans="2:4" x14ac:dyDescent="0.25">
      <c r="B6365" t="s">
        <v>1580</v>
      </c>
      <c r="C6365">
        <v>258</v>
      </c>
      <c r="D6365">
        <v>8</v>
      </c>
    </row>
    <row r="6366" spans="2:4" x14ac:dyDescent="0.25">
      <c r="B6366" t="s">
        <v>1580</v>
      </c>
      <c r="C6366">
        <v>258</v>
      </c>
      <c r="D6366">
        <v>13</v>
      </c>
    </row>
    <row r="6367" spans="2:4" x14ac:dyDescent="0.25">
      <c r="B6367" t="s">
        <v>1580</v>
      </c>
      <c r="C6367">
        <v>258</v>
      </c>
      <c r="D6367">
        <v>14</v>
      </c>
    </row>
    <row r="6368" spans="2:4" x14ac:dyDescent="0.25">
      <c r="B6368" t="s">
        <v>1580</v>
      </c>
      <c r="C6368">
        <v>259</v>
      </c>
      <c r="D6368">
        <v>5</v>
      </c>
    </row>
    <row r="6369" spans="2:4" x14ac:dyDescent="0.25">
      <c r="B6369" t="s">
        <v>1580</v>
      </c>
      <c r="C6369">
        <v>260</v>
      </c>
      <c r="D6369">
        <v>6</v>
      </c>
    </row>
    <row r="6370" spans="2:4" x14ac:dyDescent="0.25">
      <c r="B6370" t="s">
        <v>1580</v>
      </c>
      <c r="C6370">
        <v>260</v>
      </c>
      <c r="D6370">
        <v>8</v>
      </c>
    </row>
    <row r="6371" spans="2:4" x14ac:dyDescent="0.25">
      <c r="B6371" t="s">
        <v>1580</v>
      </c>
      <c r="C6371">
        <v>260</v>
      </c>
      <c r="D6371">
        <v>13</v>
      </c>
    </row>
    <row r="6372" spans="2:4" x14ac:dyDescent="0.25">
      <c r="B6372" t="s">
        <v>1580</v>
      </c>
      <c r="C6372">
        <v>260</v>
      </c>
      <c r="D6372">
        <v>14</v>
      </c>
    </row>
    <row r="6373" spans="2:4" x14ac:dyDescent="0.25">
      <c r="B6373" t="s">
        <v>1580</v>
      </c>
      <c r="C6373">
        <v>261</v>
      </c>
      <c r="D6373">
        <v>6</v>
      </c>
    </row>
    <row r="6374" spans="2:4" x14ac:dyDescent="0.25">
      <c r="B6374" t="s">
        <v>1580</v>
      </c>
      <c r="C6374">
        <v>261</v>
      </c>
      <c r="D6374">
        <v>8</v>
      </c>
    </row>
    <row r="6375" spans="2:4" x14ac:dyDescent="0.25">
      <c r="B6375" t="s">
        <v>1580</v>
      </c>
      <c r="C6375">
        <v>261</v>
      </c>
      <c r="D6375">
        <v>13</v>
      </c>
    </row>
    <row r="6376" spans="2:4" x14ac:dyDescent="0.25">
      <c r="B6376" t="s">
        <v>1580</v>
      </c>
      <c r="C6376">
        <v>261</v>
      </c>
      <c r="D6376">
        <v>14</v>
      </c>
    </row>
    <row r="6377" spans="2:4" x14ac:dyDescent="0.25">
      <c r="B6377" t="s">
        <v>1580</v>
      </c>
      <c r="C6377">
        <v>262</v>
      </c>
      <c r="D6377">
        <v>6</v>
      </c>
    </row>
    <row r="6378" spans="2:4" x14ac:dyDescent="0.25">
      <c r="B6378" t="s">
        <v>1580</v>
      </c>
      <c r="C6378">
        <v>262</v>
      </c>
      <c r="D6378">
        <v>8</v>
      </c>
    </row>
    <row r="6379" spans="2:4" x14ac:dyDescent="0.25">
      <c r="B6379" t="s">
        <v>1580</v>
      </c>
      <c r="C6379">
        <v>262</v>
      </c>
      <c r="D6379">
        <v>13</v>
      </c>
    </row>
    <row r="6380" spans="2:4" x14ac:dyDescent="0.25">
      <c r="B6380" t="s">
        <v>1580</v>
      </c>
      <c r="C6380">
        <v>262</v>
      </c>
      <c r="D6380">
        <v>14</v>
      </c>
    </row>
    <row r="6381" spans="2:4" x14ac:dyDescent="0.25">
      <c r="B6381" t="s">
        <v>1580</v>
      </c>
      <c r="C6381">
        <v>263</v>
      </c>
      <c r="D6381">
        <v>6</v>
      </c>
    </row>
    <row r="6382" spans="2:4" x14ac:dyDescent="0.25">
      <c r="B6382" t="s">
        <v>1580</v>
      </c>
      <c r="C6382">
        <v>263</v>
      </c>
      <c r="D6382">
        <v>8</v>
      </c>
    </row>
    <row r="6383" spans="2:4" x14ac:dyDescent="0.25">
      <c r="B6383" t="s">
        <v>1580</v>
      </c>
      <c r="C6383">
        <v>263</v>
      </c>
      <c r="D6383">
        <v>13</v>
      </c>
    </row>
    <row r="6384" spans="2:4" x14ac:dyDescent="0.25">
      <c r="B6384" t="s">
        <v>1580</v>
      </c>
      <c r="C6384">
        <v>263</v>
      </c>
      <c r="D6384">
        <v>14</v>
      </c>
    </row>
    <row r="6385" spans="2:4" x14ac:dyDescent="0.25">
      <c r="B6385" t="s">
        <v>1580</v>
      </c>
      <c r="C6385">
        <v>264</v>
      </c>
      <c r="D6385">
        <v>6</v>
      </c>
    </row>
    <row r="6386" spans="2:4" x14ac:dyDescent="0.25">
      <c r="B6386" t="s">
        <v>1580</v>
      </c>
      <c r="C6386">
        <v>264</v>
      </c>
      <c r="D6386">
        <v>8</v>
      </c>
    </row>
    <row r="6387" spans="2:4" x14ac:dyDescent="0.25">
      <c r="B6387" t="s">
        <v>1580</v>
      </c>
      <c r="C6387">
        <v>264</v>
      </c>
      <c r="D6387">
        <v>13</v>
      </c>
    </row>
    <row r="6388" spans="2:4" x14ac:dyDescent="0.25">
      <c r="B6388" t="s">
        <v>1580</v>
      </c>
      <c r="C6388">
        <v>264</v>
      </c>
      <c r="D6388">
        <v>14</v>
      </c>
    </row>
    <row r="6389" spans="2:4" x14ac:dyDescent="0.25">
      <c r="B6389" t="s">
        <v>1580</v>
      </c>
      <c r="C6389">
        <v>265</v>
      </c>
      <c r="D6389">
        <v>6</v>
      </c>
    </row>
    <row r="6390" spans="2:4" x14ac:dyDescent="0.25">
      <c r="B6390" t="s">
        <v>1580</v>
      </c>
      <c r="C6390">
        <v>265</v>
      </c>
      <c r="D6390">
        <v>8</v>
      </c>
    </row>
    <row r="6391" spans="2:4" x14ac:dyDescent="0.25">
      <c r="B6391" t="s">
        <v>1580</v>
      </c>
      <c r="C6391">
        <v>265</v>
      </c>
      <c r="D6391">
        <v>13</v>
      </c>
    </row>
    <row r="6392" spans="2:4" x14ac:dyDescent="0.25">
      <c r="B6392" t="s">
        <v>1580</v>
      </c>
      <c r="C6392">
        <v>265</v>
      </c>
      <c r="D6392">
        <v>14</v>
      </c>
    </row>
    <row r="6393" spans="2:4" x14ac:dyDescent="0.25">
      <c r="B6393" t="s">
        <v>1580</v>
      </c>
      <c r="C6393">
        <v>266</v>
      </c>
      <c r="D6393">
        <v>6</v>
      </c>
    </row>
    <row r="6394" spans="2:4" x14ac:dyDescent="0.25">
      <c r="B6394" t="s">
        <v>1580</v>
      </c>
      <c r="C6394">
        <v>266</v>
      </c>
      <c r="D6394">
        <v>8</v>
      </c>
    </row>
    <row r="6395" spans="2:4" x14ac:dyDescent="0.25">
      <c r="B6395" t="s">
        <v>1580</v>
      </c>
      <c r="C6395">
        <v>266</v>
      </c>
      <c r="D6395">
        <v>13</v>
      </c>
    </row>
    <row r="6396" spans="2:4" x14ac:dyDescent="0.25">
      <c r="B6396" t="s">
        <v>1580</v>
      </c>
      <c r="C6396">
        <v>266</v>
      </c>
      <c r="D6396">
        <v>14</v>
      </c>
    </row>
    <row r="6397" spans="2:4" x14ac:dyDescent="0.25">
      <c r="B6397" t="s">
        <v>1580</v>
      </c>
      <c r="C6397">
        <v>267</v>
      </c>
      <c r="D6397">
        <v>6</v>
      </c>
    </row>
    <row r="6398" spans="2:4" x14ac:dyDescent="0.25">
      <c r="B6398" t="s">
        <v>1580</v>
      </c>
      <c r="C6398">
        <v>267</v>
      </c>
      <c r="D6398">
        <v>8</v>
      </c>
    </row>
    <row r="6399" spans="2:4" x14ac:dyDescent="0.25">
      <c r="B6399" t="s">
        <v>1580</v>
      </c>
      <c r="C6399">
        <v>267</v>
      </c>
      <c r="D6399">
        <v>13</v>
      </c>
    </row>
    <row r="6400" spans="2:4" x14ac:dyDescent="0.25">
      <c r="B6400" t="s">
        <v>1580</v>
      </c>
      <c r="C6400">
        <v>267</v>
      </c>
      <c r="D6400">
        <v>14</v>
      </c>
    </row>
    <row r="6401" spans="2:4" x14ac:dyDescent="0.25">
      <c r="B6401" t="s">
        <v>1580</v>
      </c>
      <c r="C6401">
        <v>268</v>
      </c>
      <c r="D6401">
        <v>6</v>
      </c>
    </row>
    <row r="6402" spans="2:4" x14ac:dyDescent="0.25">
      <c r="B6402" t="s">
        <v>1580</v>
      </c>
      <c r="C6402">
        <v>268</v>
      </c>
      <c r="D6402">
        <v>8</v>
      </c>
    </row>
    <row r="6403" spans="2:4" x14ac:dyDescent="0.25">
      <c r="B6403" t="s">
        <v>1580</v>
      </c>
      <c r="C6403">
        <v>268</v>
      </c>
      <c r="D6403">
        <v>13</v>
      </c>
    </row>
    <row r="6404" spans="2:4" x14ac:dyDescent="0.25">
      <c r="B6404" t="s">
        <v>1580</v>
      </c>
      <c r="C6404">
        <v>268</v>
      </c>
      <c r="D6404">
        <v>14</v>
      </c>
    </row>
    <row r="6405" spans="2:4" x14ac:dyDescent="0.25">
      <c r="B6405" t="s">
        <v>1580</v>
      </c>
      <c r="C6405">
        <v>269</v>
      </c>
      <c r="D6405">
        <v>6</v>
      </c>
    </row>
    <row r="6406" spans="2:4" x14ac:dyDescent="0.25">
      <c r="B6406" t="s">
        <v>1580</v>
      </c>
      <c r="C6406">
        <v>269</v>
      </c>
      <c r="D6406">
        <v>8</v>
      </c>
    </row>
    <row r="6407" spans="2:4" x14ac:dyDescent="0.25">
      <c r="B6407" t="s">
        <v>1580</v>
      </c>
      <c r="C6407">
        <v>269</v>
      </c>
      <c r="D6407">
        <v>13</v>
      </c>
    </row>
    <row r="6408" spans="2:4" x14ac:dyDescent="0.25">
      <c r="B6408" t="s">
        <v>1580</v>
      </c>
      <c r="C6408">
        <v>269</v>
      </c>
      <c r="D6408">
        <v>14</v>
      </c>
    </row>
    <row r="6409" spans="2:4" x14ac:dyDescent="0.25">
      <c r="B6409" t="s">
        <v>1580</v>
      </c>
      <c r="C6409">
        <v>270</v>
      </c>
      <c r="D6409">
        <v>5</v>
      </c>
    </row>
    <row r="6410" spans="2:4" x14ac:dyDescent="0.25">
      <c r="B6410" t="s">
        <v>1580</v>
      </c>
      <c r="C6410">
        <v>271</v>
      </c>
      <c r="D6410">
        <v>6</v>
      </c>
    </row>
    <row r="6411" spans="2:4" x14ac:dyDescent="0.25">
      <c r="B6411" t="s">
        <v>1580</v>
      </c>
      <c r="C6411">
        <v>271</v>
      </c>
      <c r="D6411">
        <v>8</v>
      </c>
    </row>
    <row r="6412" spans="2:4" x14ac:dyDescent="0.25">
      <c r="B6412" t="s">
        <v>1580</v>
      </c>
      <c r="C6412">
        <v>271</v>
      </c>
      <c r="D6412">
        <v>13</v>
      </c>
    </row>
    <row r="6413" spans="2:4" x14ac:dyDescent="0.25">
      <c r="B6413" t="s">
        <v>1580</v>
      </c>
      <c r="C6413">
        <v>271</v>
      </c>
      <c r="D6413">
        <v>14</v>
      </c>
    </row>
    <row r="6414" spans="2:4" x14ac:dyDescent="0.25">
      <c r="B6414" t="s">
        <v>1580</v>
      </c>
      <c r="C6414">
        <v>272</v>
      </c>
      <c r="D6414">
        <v>6</v>
      </c>
    </row>
    <row r="6415" spans="2:4" x14ac:dyDescent="0.25">
      <c r="B6415" t="s">
        <v>1580</v>
      </c>
      <c r="C6415">
        <v>272</v>
      </c>
      <c r="D6415">
        <v>8</v>
      </c>
    </row>
    <row r="6416" spans="2:4" x14ac:dyDescent="0.25">
      <c r="B6416" t="s">
        <v>1580</v>
      </c>
      <c r="C6416">
        <v>272</v>
      </c>
      <c r="D6416">
        <v>13</v>
      </c>
    </row>
    <row r="6417" spans="2:4" x14ac:dyDescent="0.25">
      <c r="B6417" t="s">
        <v>1580</v>
      </c>
      <c r="C6417">
        <v>272</v>
      </c>
      <c r="D6417">
        <v>14</v>
      </c>
    </row>
    <row r="6418" spans="2:4" x14ac:dyDescent="0.25">
      <c r="B6418" t="s">
        <v>1580</v>
      </c>
      <c r="C6418">
        <v>273</v>
      </c>
      <c r="D6418">
        <v>6</v>
      </c>
    </row>
    <row r="6419" spans="2:4" x14ac:dyDescent="0.25">
      <c r="B6419" t="s">
        <v>1580</v>
      </c>
      <c r="C6419">
        <v>273</v>
      </c>
      <c r="D6419">
        <v>8</v>
      </c>
    </row>
    <row r="6420" spans="2:4" x14ac:dyDescent="0.25">
      <c r="B6420" t="s">
        <v>1580</v>
      </c>
      <c r="C6420">
        <v>273</v>
      </c>
      <c r="D6420">
        <v>13</v>
      </c>
    </row>
    <row r="6421" spans="2:4" x14ac:dyDescent="0.25">
      <c r="B6421" t="s">
        <v>1580</v>
      </c>
      <c r="C6421">
        <v>273</v>
      </c>
      <c r="D6421">
        <v>14</v>
      </c>
    </row>
    <row r="6422" spans="2:4" x14ac:dyDescent="0.25">
      <c r="B6422" t="s">
        <v>1580</v>
      </c>
      <c r="C6422">
        <v>274</v>
      </c>
      <c r="D6422">
        <v>6</v>
      </c>
    </row>
    <row r="6423" spans="2:4" x14ac:dyDescent="0.25">
      <c r="B6423" t="s">
        <v>1580</v>
      </c>
      <c r="C6423">
        <v>274</v>
      </c>
      <c r="D6423">
        <v>8</v>
      </c>
    </row>
    <row r="6424" spans="2:4" x14ac:dyDescent="0.25">
      <c r="B6424" t="s">
        <v>1580</v>
      </c>
      <c r="C6424">
        <v>274</v>
      </c>
      <c r="D6424">
        <v>13</v>
      </c>
    </row>
    <row r="6425" spans="2:4" x14ac:dyDescent="0.25">
      <c r="B6425" t="s">
        <v>1580</v>
      </c>
      <c r="C6425">
        <v>274</v>
      </c>
      <c r="D6425">
        <v>14</v>
      </c>
    </row>
    <row r="6426" spans="2:4" x14ac:dyDescent="0.25">
      <c r="B6426" t="s">
        <v>1580</v>
      </c>
      <c r="C6426">
        <v>275</v>
      </c>
      <c r="D6426">
        <v>5</v>
      </c>
    </row>
    <row r="6427" spans="2:4" x14ac:dyDescent="0.25">
      <c r="B6427" t="s">
        <v>1580</v>
      </c>
      <c r="C6427">
        <v>276</v>
      </c>
      <c r="D6427">
        <v>6</v>
      </c>
    </row>
    <row r="6428" spans="2:4" x14ac:dyDescent="0.25">
      <c r="B6428" t="s">
        <v>1580</v>
      </c>
      <c r="C6428">
        <v>276</v>
      </c>
      <c r="D6428">
        <v>8</v>
      </c>
    </row>
    <row r="6429" spans="2:4" x14ac:dyDescent="0.25">
      <c r="B6429" t="s">
        <v>1580</v>
      </c>
      <c r="C6429">
        <v>276</v>
      </c>
      <c r="D6429">
        <v>13</v>
      </c>
    </row>
    <row r="6430" spans="2:4" x14ac:dyDescent="0.25">
      <c r="B6430" t="s">
        <v>1580</v>
      </c>
      <c r="C6430">
        <v>276</v>
      </c>
      <c r="D6430">
        <v>14</v>
      </c>
    </row>
    <row r="6431" spans="2:4" x14ac:dyDescent="0.25">
      <c r="B6431" t="s">
        <v>1580</v>
      </c>
      <c r="C6431">
        <v>277</v>
      </c>
      <c r="D6431">
        <v>6</v>
      </c>
    </row>
    <row r="6432" spans="2:4" x14ac:dyDescent="0.25">
      <c r="B6432" t="s">
        <v>1580</v>
      </c>
      <c r="C6432">
        <v>277</v>
      </c>
      <c r="D6432">
        <v>8</v>
      </c>
    </row>
    <row r="6433" spans="2:4" x14ac:dyDescent="0.25">
      <c r="B6433" t="s">
        <v>1580</v>
      </c>
      <c r="C6433">
        <v>277</v>
      </c>
      <c r="D6433">
        <v>13</v>
      </c>
    </row>
    <row r="6434" spans="2:4" x14ac:dyDescent="0.25">
      <c r="B6434" t="s">
        <v>1580</v>
      </c>
      <c r="C6434">
        <v>277</v>
      </c>
      <c r="D6434">
        <v>14</v>
      </c>
    </row>
    <row r="6435" spans="2:4" x14ac:dyDescent="0.25">
      <c r="B6435" t="s">
        <v>1580</v>
      </c>
      <c r="C6435">
        <v>278</v>
      </c>
      <c r="D6435">
        <v>6</v>
      </c>
    </row>
    <row r="6436" spans="2:4" x14ac:dyDescent="0.25">
      <c r="B6436" t="s">
        <v>1580</v>
      </c>
      <c r="C6436">
        <v>278</v>
      </c>
      <c r="D6436">
        <v>8</v>
      </c>
    </row>
    <row r="6437" spans="2:4" x14ac:dyDescent="0.25">
      <c r="B6437" t="s">
        <v>1580</v>
      </c>
      <c r="C6437">
        <v>278</v>
      </c>
      <c r="D6437">
        <v>13</v>
      </c>
    </row>
    <row r="6438" spans="2:4" x14ac:dyDescent="0.25">
      <c r="B6438" t="s">
        <v>1580</v>
      </c>
      <c r="C6438">
        <v>278</v>
      </c>
      <c r="D6438">
        <v>14</v>
      </c>
    </row>
    <row r="6439" spans="2:4" x14ac:dyDescent="0.25">
      <c r="B6439" t="s">
        <v>1580</v>
      </c>
      <c r="C6439">
        <v>279</v>
      </c>
      <c r="D6439">
        <v>6</v>
      </c>
    </row>
    <row r="6440" spans="2:4" x14ac:dyDescent="0.25">
      <c r="B6440" t="s">
        <v>1580</v>
      </c>
      <c r="C6440">
        <v>279</v>
      </c>
      <c r="D6440">
        <v>8</v>
      </c>
    </row>
    <row r="6441" spans="2:4" x14ac:dyDescent="0.25">
      <c r="B6441" t="s">
        <v>1580</v>
      </c>
      <c r="C6441">
        <v>279</v>
      </c>
      <c r="D6441">
        <v>13</v>
      </c>
    </row>
    <row r="6442" spans="2:4" x14ac:dyDescent="0.25">
      <c r="B6442" t="s">
        <v>1580</v>
      </c>
      <c r="C6442">
        <v>279</v>
      </c>
      <c r="D6442">
        <v>14</v>
      </c>
    </row>
    <row r="6443" spans="2:4" x14ac:dyDescent="0.25">
      <c r="B6443" t="s">
        <v>1580</v>
      </c>
      <c r="C6443">
        <v>280</v>
      </c>
      <c r="D6443">
        <v>5</v>
      </c>
    </row>
    <row r="6444" spans="2:4" x14ac:dyDescent="0.25">
      <c r="B6444" t="s">
        <v>1580</v>
      </c>
      <c r="C6444">
        <v>281</v>
      </c>
      <c r="D6444">
        <v>6</v>
      </c>
    </row>
    <row r="6445" spans="2:4" x14ac:dyDescent="0.25">
      <c r="B6445" t="s">
        <v>1580</v>
      </c>
      <c r="C6445">
        <v>281</v>
      </c>
      <c r="D6445">
        <v>8</v>
      </c>
    </row>
    <row r="6446" spans="2:4" x14ac:dyDescent="0.25">
      <c r="B6446" t="s">
        <v>1580</v>
      </c>
      <c r="C6446">
        <v>281</v>
      </c>
      <c r="D6446">
        <v>13</v>
      </c>
    </row>
    <row r="6447" spans="2:4" x14ac:dyDescent="0.25">
      <c r="B6447" t="s">
        <v>1580</v>
      </c>
      <c r="C6447">
        <v>281</v>
      </c>
      <c r="D6447">
        <v>14</v>
      </c>
    </row>
    <row r="6448" spans="2:4" x14ac:dyDescent="0.25">
      <c r="B6448" t="s">
        <v>1580</v>
      </c>
      <c r="C6448">
        <v>282</v>
      </c>
      <c r="D6448">
        <v>6</v>
      </c>
    </row>
    <row r="6449" spans="2:4" x14ac:dyDescent="0.25">
      <c r="B6449" t="s">
        <v>1580</v>
      </c>
      <c r="C6449">
        <v>282</v>
      </c>
      <c r="D6449">
        <v>8</v>
      </c>
    </row>
    <row r="6450" spans="2:4" x14ac:dyDescent="0.25">
      <c r="B6450" t="s">
        <v>1580</v>
      </c>
      <c r="C6450">
        <v>282</v>
      </c>
      <c r="D6450">
        <v>13</v>
      </c>
    </row>
    <row r="6451" spans="2:4" x14ac:dyDescent="0.25">
      <c r="B6451" t="s">
        <v>1580</v>
      </c>
      <c r="C6451">
        <v>282</v>
      </c>
      <c r="D6451">
        <v>14</v>
      </c>
    </row>
    <row r="6452" spans="2:4" x14ac:dyDescent="0.25">
      <c r="B6452" t="s">
        <v>1580</v>
      </c>
      <c r="C6452">
        <v>283</v>
      </c>
      <c r="D6452">
        <v>6</v>
      </c>
    </row>
    <row r="6453" spans="2:4" x14ac:dyDescent="0.25">
      <c r="B6453" t="s">
        <v>1580</v>
      </c>
      <c r="C6453">
        <v>283</v>
      </c>
      <c r="D6453">
        <v>8</v>
      </c>
    </row>
    <row r="6454" spans="2:4" x14ac:dyDescent="0.25">
      <c r="B6454" t="s">
        <v>1580</v>
      </c>
      <c r="C6454">
        <v>283</v>
      </c>
      <c r="D6454">
        <v>13</v>
      </c>
    </row>
    <row r="6455" spans="2:4" x14ac:dyDescent="0.25">
      <c r="B6455" t="s">
        <v>1580</v>
      </c>
      <c r="C6455">
        <v>283</v>
      </c>
      <c r="D6455">
        <v>14</v>
      </c>
    </row>
    <row r="6456" spans="2:4" x14ac:dyDescent="0.25">
      <c r="B6456" t="s">
        <v>1580</v>
      </c>
      <c r="C6456">
        <v>284</v>
      </c>
      <c r="D6456">
        <v>6</v>
      </c>
    </row>
    <row r="6457" spans="2:4" x14ac:dyDescent="0.25">
      <c r="B6457" t="s">
        <v>1580</v>
      </c>
      <c r="C6457">
        <v>284</v>
      </c>
      <c r="D6457">
        <v>8</v>
      </c>
    </row>
    <row r="6458" spans="2:4" x14ac:dyDescent="0.25">
      <c r="B6458" t="s">
        <v>1580</v>
      </c>
      <c r="C6458">
        <v>284</v>
      </c>
      <c r="D6458">
        <v>13</v>
      </c>
    </row>
    <row r="6459" spans="2:4" x14ac:dyDescent="0.25">
      <c r="B6459" t="s">
        <v>1580</v>
      </c>
      <c r="C6459">
        <v>284</v>
      </c>
      <c r="D6459">
        <v>14</v>
      </c>
    </row>
    <row r="6460" spans="2:4" x14ac:dyDescent="0.25">
      <c r="B6460" t="s">
        <v>1580</v>
      </c>
      <c r="C6460">
        <v>285</v>
      </c>
      <c r="D6460">
        <v>6</v>
      </c>
    </row>
    <row r="6461" spans="2:4" x14ac:dyDescent="0.25">
      <c r="B6461" t="s">
        <v>1580</v>
      </c>
      <c r="C6461">
        <v>285</v>
      </c>
      <c r="D6461">
        <v>8</v>
      </c>
    </row>
    <row r="6462" spans="2:4" x14ac:dyDescent="0.25">
      <c r="B6462" t="s">
        <v>1580</v>
      </c>
      <c r="C6462">
        <v>285</v>
      </c>
      <c r="D6462">
        <v>13</v>
      </c>
    </row>
    <row r="6463" spans="2:4" x14ac:dyDescent="0.25">
      <c r="B6463" t="s">
        <v>1580</v>
      </c>
      <c r="C6463">
        <v>285</v>
      </c>
      <c r="D6463">
        <v>14</v>
      </c>
    </row>
    <row r="6464" spans="2:4" x14ac:dyDescent="0.25">
      <c r="B6464" t="s">
        <v>1580</v>
      </c>
      <c r="C6464">
        <v>286</v>
      </c>
      <c r="D6464">
        <v>5</v>
      </c>
    </row>
    <row r="6465" spans="2:4" x14ac:dyDescent="0.25">
      <c r="B6465" t="s">
        <v>1580</v>
      </c>
      <c r="C6465">
        <v>287</v>
      </c>
      <c r="D6465">
        <v>6</v>
      </c>
    </row>
    <row r="6466" spans="2:4" x14ac:dyDescent="0.25">
      <c r="B6466" t="s">
        <v>1580</v>
      </c>
      <c r="C6466">
        <v>287</v>
      </c>
      <c r="D6466">
        <v>8</v>
      </c>
    </row>
    <row r="6467" spans="2:4" x14ac:dyDescent="0.25">
      <c r="B6467" t="s">
        <v>1580</v>
      </c>
      <c r="C6467">
        <v>287</v>
      </c>
      <c r="D6467">
        <v>13</v>
      </c>
    </row>
    <row r="6468" spans="2:4" x14ac:dyDescent="0.25">
      <c r="B6468" t="s">
        <v>1580</v>
      </c>
      <c r="C6468">
        <v>287</v>
      </c>
      <c r="D6468">
        <v>14</v>
      </c>
    </row>
    <row r="6469" spans="2:4" x14ac:dyDescent="0.25">
      <c r="B6469" t="s">
        <v>1580</v>
      </c>
      <c r="C6469">
        <v>288</v>
      </c>
      <c r="D6469">
        <v>5</v>
      </c>
    </row>
    <row r="6470" spans="2:4" x14ac:dyDescent="0.25">
      <c r="B6470" t="s">
        <v>1580</v>
      </c>
      <c r="C6470">
        <v>289</v>
      </c>
      <c r="D6470">
        <v>6</v>
      </c>
    </row>
    <row r="6471" spans="2:4" x14ac:dyDescent="0.25">
      <c r="B6471" t="s">
        <v>1580</v>
      </c>
      <c r="C6471">
        <v>289</v>
      </c>
      <c r="D6471">
        <v>8</v>
      </c>
    </row>
    <row r="6472" spans="2:4" x14ac:dyDescent="0.25">
      <c r="B6472" t="s">
        <v>1580</v>
      </c>
      <c r="C6472">
        <v>289</v>
      </c>
      <c r="D6472">
        <v>13</v>
      </c>
    </row>
    <row r="6473" spans="2:4" x14ac:dyDescent="0.25">
      <c r="B6473" t="s">
        <v>1580</v>
      </c>
      <c r="C6473">
        <v>289</v>
      </c>
      <c r="D6473">
        <v>14</v>
      </c>
    </row>
    <row r="6474" spans="2:4" x14ac:dyDescent="0.25">
      <c r="B6474" t="s">
        <v>1580</v>
      </c>
      <c r="C6474">
        <v>291</v>
      </c>
      <c r="D6474">
        <v>5</v>
      </c>
    </row>
    <row r="6475" spans="2:4" x14ac:dyDescent="0.25">
      <c r="B6475" t="s">
        <v>1580</v>
      </c>
      <c r="C6475">
        <v>292</v>
      </c>
      <c r="D6475">
        <v>5</v>
      </c>
    </row>
    <row r="6476" spans="2:4" x14ac:dyDescent="0.25">
      <c r="B6476" t="s">
        <v>1580</v>
      </c>
      <c r="C6476">
        <v>293</v>
      </c>
      <c r="D6476">
        <v>6</v>
      </c>
    </row>
    <row r="6477" spans="2:4" x14ac:dyDescent="0.25">
      <c r="B6477" t="s">
        <v>1580</v>
      </c>
      <c r="C6477">
        <v>293</v>
      </c>
      <c r="D6477">
        <v>8</v>
      </c>
    </row>
    <row r="6478" spans="2:4" x14ac:dyDescent="0.25">
      <c r="B6478" t="s">
        <v>1580</v>
      </c>
      <c r="C6478">
        <v>293</v>
      </c>
      <c r="D6478">
        <v>13</v>
      </c>
    </row>
    <row r="6479" spans="2:4" x14ac:dyDescent="0.25">
      <c r="B6479" t="s">
        <v>1580</v>
      </c>
      <c r="C6479">
        <v>293</v>
      </c>
      <c r="D6479">
        <v>14</v>
      </c>
    </row>
    <row r="6480" spans="2:4" x14ac:dyDescent="0.25">
      <c r="B6480" t="s">
        <v>1580</v>
      </c>
      <c r="C6480">
        <v>294</v>
      </c>
      <c r="D6480">
        <v>6</v>
      </c>
    </row>
    <row r="6481" spans="2:4" x14ac:dyDescent="0.25">
      <c r="B6481" t="s">
        <v>1580</v>
      </c>
      <c r="C6481">
        <v>294</v>
      </c>
      <c r="D6481">
        <v>8</v>
      </c>
    </row>
    <row r="6482" spans="2:4" x14ac:dyDescent="0.25">
      <c r="B6482" t="s">
        <v>1580</v>
      </c>
      <c r="C6482">
        <v>294</v>
      </c>
      <c r="D6482">
        <v>13</v>
      </c>
    </row>
    <row r="6483" spans="2:4" x14ac:dyDescent="0.25">
      <c r="B6483" t="s">
        <v>1580</v>
      </c>
      <c r="C6483">
        <v>294</v>
      </c>
      <c r="D6483">
        <v>14</v>
      </c>
    </row>
    <row r="6484" spans="2:4" x14ac:dyDescent="0.25">
      <c r="B6484" t="s">
        <v>1580</v>
      </c>
      <c r="C6484">
        <v>295</v>
      </c>
      <c r="D6484">
        <v>6</v>
      </c>
    </row>
    <row r="6485" spans="2:4" x14ac:dyDescent="0.25">
      <c r="B6485" t="s">
        <v>1580</v>
      </c>
      <c r="C6485">
        <v>295</v>
      </c>
      <c r="D6485">
        <v>8</v>
      </c>
    </row>
    <row r="6486" spans="2:4" x14ac:dyDescent="0.25">
      <c r="B6486" t="s">
        <v>1580</v>
      </c>
      <c r="C6486">
        <v>295</v>
      </c>
      <c r="D6486">
        <v>13</v>
      </c>
    </row>
    <row r="6487" spans="2:4" x14ac:dyDescent="0.25">
      <c r="B6487" t="s">
        <v>1580</v>
      </c>
      <c r="C6487">
        <v>295</v>
      </c>
      <c r="D6487">
        <v>14</v>
      </c>
    </row>
    <row r="6488" spans="2:4" x14ac:dyDescent="0.25">
      <c r="B6488" t="s">
        <v>1580</v>
      </c>
      <c r="C6488">
        <v>296</v>
      </c>
      <c r="D6488">
        <v>6</v>
      </c>
    </row>
    <row r="6489" spans="2:4" x14ac:dyDescent="0.25">
      <c r="B6489" t="s">
        <v>1580</v>
      </c>
      <c r="C6489">
        <v>296</v>
      </c>
      <c r="D6489">
        <v>8</v>
      </c>
    </row>
    <row r="6490" spans="2:4" x14ac:dyDescent="0.25">
      <c r="B6490" t="s">
        <v>1580</v>
      </c>
      <c r="C6490">
        <v>296</v>
      </c>
      <c r="D6490">
        <v>13</v>
      </c>
    </row>
    <row r="6491" spans="2:4" x14ac:dyDescent="0.25">
      <c r="B6491" t="s">
        <v>1580</v>
      </c>
      <c r="C6491">
        <v>296</v>
      </c>
      <c r="D6491">
        <v>14</v>
      </c>
    </row>
    <row r="6492" spans="2:4" x14ac:dyDescent="0.25">
      <c r="B6492" t="s">
        <v>1580</v>
      </c>
      <c r="C6492">
        <v>297</v>
      </c>
      <c r="D6492">
        <v>5</v>
      </c>
    </row>
    <row r="6493" spans="2:4" x14ac:dyDescent="0.25">
      <c r="B6493" t="s">
        <v>1580</v>
      </c>
      <c r="C6493">
        <v>298</v>
      </c>
      <c r="D6493">
        <v>6</v>
      </c>
    </row>
    <row r="6494" spans="2:4" x14ac:dyDescent="0.25">
      <c r="B6494" t="s">
        <v>1580</v>
      </c>
      <c r="C6494">
        <v>298</v>
      </c>
      <c r="D6494">
        <v>8</v>
      </c>
    </row>
    <row r="6495" spans="2:4" x14ac:dyDescent="0.25">
      <c r="B6495" t="s">
        <v>1580</v>
      </c>
      <c r="C6495">
        <v>298</v>
      </c>
      <c r="D6495">
        <v>13</v>
      </c>
    </row>
    <row r="6496" spans="2:4" x14ac:dyDescent="0.25">
      <c r="B6496" t="s">
        <v>1580</v>
      </c>
      <c r="C6496">
        <v>298</v>
      </c>
      <c r="D6496">
        <v>14</v>
      </c>
    </row>
    <row r="6497" spans="2:4" x14ac:dyDescent="0.25">
      <c r="B6497" t="s">
        <v>1580</v>
      </c>
      <c r="C6497">
        <v>299</v>
      </c>
      <c r="D6497">
        <v>6</v>
      </c>
    </row>
    <row r="6498" spans="2:4" x14ac:dyDescent="0.25">
      <c r="B6498" t="s">
        <v>1580</v>
      </c>
      <c r="C6498">
        <v>299</v>
      </c>
      <c r="D6498">
        <v>8</v>
      </c>
    </row>
    <row r="6499" spans="2:4" x14ac:dyDescent="0.25">
      <c r="B6499" t="s">
        <v>1580</v>
      </c>
      <c r="C6499">
        <v>299</v>
      </c>
      <c r="D6499">
        <v>13</v>
      </c>
    </row>
    <row r="6500" spans="2:4" x14ac:dyDescent="0.25">
      <c r="B6500" t="s">
        <v>1580</v>
      </c>
      <c r="C6500">
        <v>299</v>
      </c>
      <c r="D6500">
        <v>14</v>
      </c>
    </row>
    <row r="6501" spans="2:4" x14ac:dyDescent="0.25">
      <c r="B6501" t="s">
        <v>1580</v>
      </c>
      <c r="C6501">
        <v>300</v>
      </c>
      <c r="D6501">
        <v>6</v>
      </c>
    </row>
    <row r="6502" spans="2:4" x14ac:dyDescent="0.25">
      <c r="B6502" t="s">
        <v>1580</v>
      </c>
      <c r="C6502">
        <v>300</v>
      </c>
      <c r="D6502">
        <v>8</v>
      </c>
    </row>
    <row r="6503" spans="2:4" x14ac:dyDescent="0.25">
      <c r="B6503" t="s">
        <v>1580</v>
      </c>
      <c r="C6503">
        <v>300</v>
      </c>
      <c r="D6503">
        <v>13</v>
      </c>
    </row>
    <row r="6504" spans="2:4" x14ac:dyDescent="0.25">
      <c r="B6504" t="s">
        <v>1580</v>
      </c>
      <c r="C6504">
        <v>300</v>
      </c>
      <c r="D6504">
        <v>14</v>
      </c>
    </row>
    <row r="6505" spans="2:4" x14ac:dyDescent="0.25">
      <c r="B6505" t="s">
        <v>1580</v>
      </c>
      <c r="C6505">
        <v>301</v>
      </c>
      <c r="D6505">
        <v>5</v>
      </c>
    </row>
    <row r="6506" spans="2:4" x14ac:dyDescent="0.25">
      <c r="B6506" t="s">
        <v>1580</v>
      </c>
      <c r="C6506">
        <v>302</v>
      </c>
      <c r="D6506">
        <v>6</v>
      </c>
    </row>
    <row r="6507" spans="2:4" x14ac:dyDescent="0.25">
      <c r="B6507" t="s">
        <v>1580</v>
      </c>
      <c r="C6507">
        <v>302</v>
      </c>
      <c r="D6507">
        <v>8</v>
      </c>
    </row>
    <row r="6508" spans="2:4" x14ac:dyDescent="0.25">
      <c r="B6508" t="s">
        <v>1580</v>
      </c>
      <c r="C6508">
        <v>302</v>
      </c>
      <c r="D6508">
        <v>13</v>
      </c>
    </row>
    <row r="6509" spans="2:4" x14ac:dyDescent="0.25">
      <c r="B6509" t="s">
        <v>1580</v>
      </c>
      <c r="C6509">
        <v>302</v>
      </c>
      <c r="D6509">
        <v>14</v>
      </c>
    </row>
    <row r="6510" spans="2:4" x14ac:dyDescent="0.25">
      <c r="B6510" t="s">
        <v>1580</v>
      </c>
      <c r="C6510">
        <v>303</v>
      </c>
      <c r="D6510">
        <v>6</v>
      </c>
    </row>
    <row r="6511" spans="2:4" x14ac:dyDescent="0.25">
      <c r="B6511" t="s">
        <v>1580</v>
      </c>
      <c r="C6511">
        <v>303</v>
      </c>
      <c r="D6511">
        <v>8</v>
      </c>
    </row>
    <row r="6512" spans="2:4" x14ac:dyDescent="0.25">
      <c r="B6512" t="s">
        <v>1580</v>
      </c>
      <c r="C6512">
        <v>303</v>
      </c>
      <c r="D6512">
        <v>13</v>
      </c>
    </row>
    <row r="6513" spans="2:4" x14ac:dyDescent="0.25">
      <c r="B6513" t="s">
        <v>1580</v>
      </c>
      <c r="C6513">
        <v>303</v>
      </c>
      <c r="D6513">
        <v>14</v>
      </c>
    </row>
    <row r="6514" spans="2:4" x14ac:dyDescent="0.25">
      <c r="B6514" t="s">
        <v>1580</v>
      </c>
      <c r="C6514">
        <v>304</v>
      </c>
      <c r="D6514">
        <v>6</v>
      </c>
    </row>
    <row r="6515" spans="2:4" x14ac:dyDescent="0.25">
      <c r="B6515" t="s">
        <v>1580</v>
      </c>
      <c r="C6515">
        <v>304</v>
      </c>
      <c r="D6515">
        <v>8</v>
      </c>
    </row>
    <row r="6516" spans="2:4" x14ac:dyDescent="0.25">
      <c r="B6516" t="s">
        <v>1580</v>
      </c>
      <c r="C6516">
        <v>304</v>
      </c>
      <c r="D6516">
        <v>13</v>
      </c>
    </row>
    <row r="6517" spans="2:4" x14ac:dyDescent="0.25">
      <c r="B6517" t="s">
        <v>1580</v>
      </c>
      <c r="C6517">
        <v>304</v>
      </c>
      <c r="D6517">
        <v>14</v>
      </c>
    </row>
    <row r="6518" spans="2:4" x14ac:dyDescent="0.25">
      <c r="B6518" t="s">
        <v>1580</v>
      </c>
      <c r="C6518">
        <v>305</v>
      </c>
      <c r="D6518">
        <v>6</v>
      </c>
    </row>
    <row r="6519" spans="2:4" x14ac:dyDescent="0.25">
      <c r="B6519" t="s">
        <v>1580</v>
      </c>
      <c r="C6519">
        <v>305</v>
      </c>
      <c r="D6519">
        <v>8</v>
      </c>
    </row>
    <row r="6520" spans="2:4" x14ac:dyDescent="0.25">
      <c r="B6520" t="s">
        <v>1580</v>
      </c>
      <c r="C6520">
        <v>305</v>
      </c>
      <c r="D6520">
        <v>13</v>
      </c>
    </row>
    <row r="6521" spans="2:4" x14ac:dyDescent="0.25">
      <c r="B6521" t="s">
        <v>1580</v>
      </c>
      <c r="C6521">
        <v>305</v>
      </c>
      <c r="D6521">
        <v>14</v>
      </c>
    </row>
    <row r="6522" spans="2:4" x14ac:dyDescent="0.25">
      <c r="B6522" t="s">
        <v>1580</v>
      </c>
      <c r="C6522">
        <v>306</v>
      </c>
      <c r="D6522">
        <v>6</v>
      </c>
    </row>
    <row r="6523" spans="2:4" x14ac:dyDescent="0.25">
      <c r="B6523" t="s">
        <v>1580</v>
      </c>
      <c r="C6523">
        <v>306</v>
      </c>
      <c r="D6523">
        <v>8</v>
      </c>
    </row>
    <row r="6524" spans="2:4" x14ac:dyDescent="0.25">
      <c r="B6524" t="s">
        <v>1580</v>
      </c>
      <c r="C6524">
        <v>306</v>
      </c>
      <c r="D6524">
        <v>13</v>
      </c>
    </row>
    <row r="6525" spans="2:4" x14ac:dyDescent="0.25">
      <c r="B6525" t="s">
        <v>1580</v>
      </c>
      <c r="C6525">
        <v>306</v>
      </c>
      <c r="D6525">
        <v>14</v>
      </c>
    </row>
    <row r="6526" spans="2:4" x14ac:dyDescent="0.25">
      <c r="B6526" t="s">
        <v>1580</v>
      </c>
      <c r="C6526">
        <v>307</v>
      </c>
      <c r="D6526">
        <v>6</v>
      </c>
    </row>
    <row r="6527" spans="2:4" x14ac:dyDescent="0.25">
      <c r="B6527" t="s">
        <v>1580</v>
      </c>
      <c r="C6527">
        <v>307</v>
      </c>
      <c r="D6527">
        <v>8</v>
      </c>
    </row>
    <row r="6528" spans="2:4" x14ac:dyDescent="0.25">
      <c r="B6528" t="s">
        <v>1580</v>
      </c>
      <c r="C6528">
        <v>307</v>
      </c>
      <c r="D6528">
        <v>13</v>
      </c>
    </row>
    <row r="6529" spans="2:4" x14ac:dyDescent="0.25">
      <c r="B6529" t="s">
        <v>1580</v>
      </c>
      <c r="C6529">
        <v>307</v>
      </c>
      <c r="D6529">
        <v>14</v>
      </c>
    </row>
    <row r="6530" spans="2:4" x14ac:dyDescent="0.25">
      <c r="B6530" t="s">
        <v>1580</v>
      </c>
      <c r="C6530">
        <v>308</v>
      </c>
      <c r="D6530">
        <v>5</v>
      </c>
    </row>
    <row r="6531" spans="2:4" x14ac:dyDescent="0.25">
      <c r="B6531" t="s">
        <v>1580</v>
      </c>
      <c r="C6531">
        <v>309</v>
      </c>
      <c r="D6531">
        <v>6</v>
      </c>
    </row>
    <row r="6532" spans="2:4" x14ac:dyDescent="0.25">
      <c r="B6532" t="s">
        <v>1580</v>
      </c>
      <c r="C6532">
        <v>309</v>
      </c>
      <c r="D6532">
        <v>8</v>
      </c>
    </row>
    <row r="6533" spans="2:4" x14ac:dyDescent="0.25">
      <c r="B6533" t="s">
        <v>1580</v>
      </c>
      <c r="C6533">
        <v>309</v>
      </c>
      <c r="D6533">
        <v>13</v>
      </c>
    </row>
    <row r="6534" spans="2:4" x14ac:dyDescent="0.25">
      <c r="B6534" t="s">
        <v>1580</v>
      </c>
      <c r="C6534">
        <v>309</v>
      </c>
      <c r="D6534">
        <v>14</v>
      </c>
    </row>
    <row r="6535" spans="2:4" x14ac:dyDescent="0.25">
      <c r="B6535" t="s">
        <v>1580</v>
      </c>
      <c r="C6535">
        <v>310</v>
      </c>
      <c r="D6535">
        <v>6</v>
      </c>
    </row>
    <row r="6536" spans="2:4" x14ac:dyDescent="0.25">
      <c r="B6536" t="s">
        <v>1580</v>
      </c>
      <c r="C6536">
        <v>310</v>
      </c>
      <c r="D6536">
        <v>8</v>
      </c>
    </row>
    <row r="6537" spans="2:4" x14ac:dyDescent="0.25">
      <c r="B6537" t="s">
        <v>1580</v>
      </c>
      <c r="C6537">
        <v>310</v>
      </c>
      <c r="D6537">
        <v>13</v>
      </c>
    </row>
    <row r="6538" spans="2:4" x14ac:dyDescent="0.25">
      <c r="B6538" t="s">
        <v>1580</v>
      </c>
      <c r="C6538">
        <v>310</v>
      </c>
      <c r="D6538">
        <v>14</v>
      </c>
    </row>
    <row r="6539" spans="2:4" x14ac:dyDescent="0.25">
      <c r="B6539" t="s">
        <v>1580</v>
      </c>
      <c r="C6539">
        <v>311</v>
      </c>
      <c r="D6539">
        <v>6</v>
      </c>
    </row>
    <row r="6540" spans="2:4" x14ac:dyDescent="0.25">
      <c r="B6540" t="s">
        <v>1580</v>
      </c>
      <c r="C6540">
        <v>311</v>
      </c>
      <c r="D6540">
        <v>8</v>
      </c>
    </row>
    <row r="6541" spans="2:4" x14ac:dyDescent="0.25">
      <c r="B6541" t="s">
        <v>1580</v>
      </c>
      <c r="C6541">
        <v>311</v>
      </c>
      <c r="D6541">
        <v>13</v>
      </c>
    </row>
    <row r="6542" spans="2:4" x14ac:dyDescent="0.25">
      <c r="B6542" t="s">
        <v>1580</v>
      </c>
      <c r="C6542">
        <v>311</v>
      </c>
      <c r="D6542">
        <v>14</v>
      </c>
    </row>
    <row r="6543" spans="2:4" x14ac:dyDescent="0.25">
      <c r="B6543" t="s">
        <v>1580</v>
      </c>
      <c r="C6543">
        <v>312</v>
      </c>
      <c r="D6543">
        <v>6</v>
      </c>
    </row>
    <row r="6544" spans="2:4" x14ac:dyDescent="0.25">
      <c r="B6544" t="s">
        <v>1580</v>
      </c>
      <c r="C6544">
        <v>312</v>
      </c>
      <c r="D6544">
        <v>8</v>
      </c>
    </row>
    <row r="6545" spans="2:4" x14ac:dyDescent="0.25">
      <c r="B6545" t="s">
        <v>1580</v>
      </c>
      <c r="C6545">
        <v>312</v>
      </c>
      <c r="D6545">
        <v>13</v>
      </c>
    </row>
    <row r="6546" spans="2:4" x14ac:dyDescent="0.25">
      <c r="B6546" t="s">
        <v>1580</v>
      </c>
      <c r="C6546">
        <v>312</v>
      </c>
      <c r="D6546">
        <v>14</v>
      </c>
    </row>
    <row r="6547" spans="2:4" x14ac:dyDescent="0.25">
      <c r="B6547" t="s">
        <v>1580</v>
      </c>
      <c r="C6547">
        <v>313</v>
      </c>
      <c r="D6547">
        <v>5</v>
      </c>
    </row>
    <row r="6548" spans="2:4" x14ac:dyDescent="0.25">
      <c r="B6548" t="s">
        <v>1580</v>
      </c>
      <c r="C6548">
        <v>314</v>
      </c>
      <c r="D6548">
        <v>6</v>
      </c>
    </row>
    <row r="6549" spans="2:4" x14ac:dyDescent="0.25">
      <c r="B6549" t="s">
        <v>1580</v>
      </c>
      <c r="C6549">
        <v>314</v>
      </c>
      <c r="D6549">
        <v>8</v>
      </c>
    </row>
    <row r="6550" spans="2:4" x14ac:dyDescent="0.25">
      <c r="B6550" t="s">
        <v>1580</v>
      </c>
      <c r="C6550">
        <v>314</v>
      </c>
      <c r="D6550">
        <v>13</v>
      </c>
    </row>
    <row r="6551" spans="2:4" x14ac:dyDescent="0.25">
      <c r="B6551" t="s">
        <v>1580</v>
      </c>
      <c r="C6551">
        <v>314</v>
      </c>
      <c r="D6551">
        <v>14</v>
      </c>
    </row>
    <row r="6552" spans="2:4" x14ac:dyDescent="0.25">
      <c r="B6552" t="s">
        <v>1580</v>
      </c>
      <c r="C6552">
        <v>315</v>
      </c>
      <c r="D6552">
        <v>5</v>
      </c>
    </row>
    <row r="6553" spans="2:4" x14ac:dyDescent="0.25">
      <c r="B6553" t="s">
        <v>1580</v>
      </c>
      <c r="C6553">
        <v>316</v>
      </c>
      <c r="D6553">
        <v>6</v>
      </c>
    </row>
    <row r="6554" spans="2:4" x14ac:dyDescent="0.25">
      <c r="B6554" t="s">
        <v>1580</v>
      </c>
      <c r="C6554">
        <v>316</v>
      </c>
      <c r="D6554">
        <v>8</v>
      </c>
    </row>
    <row r="6555" spans="2:4" x14ac:dyDescent="0.25">
      <c r="B6555" t="s">
        <v>1580</v>
      </c>
      <c r="C6555">
        <v>316</v>
      </c>
      <c r="D6555">
        <v>13</v>
      </c>
    </row>
    <row r="6556" spans="2:4" x14ac:dyDescent="0.25">
      <c r="B6556" t="s">
        <v>1580</v>
      </c>
      <c r="C6556">
        <v>316</v>
      </c>
      <c r="D6556">
        <v>14</v>
      </c>
    </row>
    <row r="6557" spans="2:4" x14ac:dyDescent="0.25">
      <c r="B6557" t="s">
        <v>1580</v>
      </c>
      <c r="C6557">
        <v>317</v>
      </c>
      <c r="D6557">
        <v>6</v>
      </c>
    </row>
    <row r="6558" spans="2:4" x14ac:dyDescent="0.25">
      <c r="B6558" t="s">
        <v>1580</v>
      </c>
      <c r="C6558">
        <v>317</v>
      </c>
      <c r="D6558">
        <v>8</v>
      </c>
    </row>
    <row r="6559" spans="2:4" x14ac:dyDescent="0.25">
      <c r="B6559" t="s">
        <v>1580</v>
      </c>
      <c r="C6559">
        <v>317</v>
      </c>
      <c r="D6559">
        <v>13</v>
      </c>
    </row>
    <row r="6560" spans="2:4" x14ac:dyDescent="0.25">
      <c r="B6560" t="s">
        <v>1580</v>
      </c>
      <c r="C6560">
        <v>317</v>
      </c>
      <c r="D6560">
        <v>14</v>
      </c>
    </row>
    <row r="6561" spans="2:4" x14ac:dyDescent="0.25">
      <c r="B6561" t="s">
        <v>1580</v>
      </c>
      <c r="C6561">
        <v>318</v>
      </c>
      <c r="D6561">
        <v>6</v>
      </c>
    </row>
    <row r="6562" spans="2:4" x14ac:dyDescent="0.25">
      <c r="B6562" t="s">
        <v>1580</v>
      </c>
      <c r="C6562">
        <v>318</v>
      </c>
      <c r="D6562">
        <v>8</v>
      </c>
    </row>
    <row r="6563" spans="2:4" x14ac:dyDescent="0.25">
      <c r="B6563" t="s">
        <v>1580</v>
      </c>
      <c r="C6563">
        <v>318</v>
      </c>
      <c r="D6563">
        <v>13</v>
      </c>
    </row>
    <row r="6564" spans="2:4" x14ac:dyDescent="0.25">
      <c r="B6564" t="s">
        <v>1580</v>
      </c>
      <c r="C6564">
        <v>318</v>
      </c>
      <c r="D6564">
        <v>14</v>
      </c>
    </row>
    <row r="6565" spans="2:4" x14ac:dyDescent="0.25">
      <c r="B6565" t="s">
        <v>1580</v>
      </c>
      <c r="C6565">
        <v>319</v>
      </c>
      <c r="D6565">
        <v>5</v>
      </c>
    </row>
    <row r="6566" spans="2:4" x14ac:dyDescent="0.25">
      <c r="B6566" t="s">
        <v>1580</v>
      </c>
      <c r="C6566">
        <v>320</v>
      </c>
      <c r="D6566">
        <v>6</v>
      </c>
    </row>
    <row r="6567" spans="2:4" x14ac:dyDescent="0.25">
      <c r="B6567" t="s">
        <v>1580</v>
      </c>
      <c r="C6567">
        <v>320</v>
      </c>
      <c r="D6567">
        <v>8</v>
      </c>
    </row>
    <row r="6568" spans="2:4" x14ac:dyDescent="0.25">
      <c r="B6568" t="s">
        <v>1580</v>
      </c>
      <c r="C6568">
        <v>320</v>
      </c>
      <c r="D6568">
        <v>13</v>
      </c>
    </row>
    <row r="6569" spans="2:4" x14ac:dyDescent="0.25">
      <c r="B6569" t="s">
        <v>1580</v>
      </c>
      <c r="C6569">
        <v>320</v>
      </c>
      <c r="D6569">
        <v>14</v>
      </c>
    </row>
    <row r="6570" spans="2:4" x14ac:dyDescent="0.25">
      <c r="B6570" t="s">
        <v>1580</v>
      </c>
      <c r="C6570">
        <v>321</v>
      </c>
      <c r="D6570">
        <v>6</v>
      </c>
    </row>
    <row r="6571" spans="2:4" x14ac:dyDescent="0.25">
      <c r="B6571" t="s">
        <v>1580</v>
      </c>
      <c r="C6571">
        <v>321</v>
      </c>
      <c r="D6571">
        <v>8</v>
      </c>
    </row>
    <row r="6572" spans="2:4" x14ac:dyDescent="0.25">
      <c r="B6572" t="s">
        <v>1580</v>
      </c>
      <c r="C6572">
        <v>321</v>
      </c>
      <c r="D6572">
        <v>13</v>
      </c>
    </row>
    <row r="6573" spans="2:4" x14ac:dyDescent="0.25">
      <c r="B6573" t="s">
        <v>1580</v>
      </c>
      <c r="C6573">
        <v>321</v>
      </c>
      <c r="D6573">
        <v>14</v>
      </c>
    </row>
    <row r="6574" spans="2:4" x14ac:dyDescent="0.25">
      <c r="B6574" t="s">
        <v>1580</v>
      </c>
      <c r="C6574">
        <v>322</v>
      </c>
      <c r="D6574">
        <v>5</v>
      </c>
    </row>
    <row r="6575" spans="2:4" x14ac:dyDescent="0.25">
      <c r="B6575" t="s">
        <v>1580</v>
      </c>
      <c r="C6575">
        <v>323</v>
      </c>
      <c r="D6575">
        <v>6</v>
      </c>
    </row>
    <row r="6576" spans="2:4" x14ac:dyDescent="0.25">
      <c r="B6576" t="s">
        <v>1580</v>
      </c>
      <c r="C6576">
        <v>323</v>
      </c>
      <c r="D6576">
        <v>8</v>
      </c>
    </row>
    <row r="6577" spans="2:4" x14ac:dyDescent="0.25">
      <c r="B6577" t="s">
        <v>1580</v>
      </c>
      <c r="C6577">
        <v>323</v>
      </c>
      <c r="D6577">
        <v>13</v>
      </c>
    </row>
    <row r="6578" spans="2:4" x14ac:dyDescent="0.25">
      <c r="B6578" t="s">
        <v>1580</v>
      </c>
      <c r="C6578">
        <v>323</v>
      </c>
      <c r="D6578">
        <v>14</v>
      </c>
    </row>
    <row r="6579" spans="2:4" x14ac:dyDescent="0.25">
      <c r="B6579" t="s">
        <v>1580</v>
      </c>
      <c r="C6579">
        <v>324</v>
      </c>
      <c r="D6579">
        <v>5</v>
      </c>
    </row>
    <row r="6580" spans="2:4" x14ac:dyDescent="0.25">
      <c r="B6580" t="s">
        <v>1580</v>
      </c>
      <c r="C6580">
        <v>325</v>
      </c>
      <c r="D6580">
        <v>6</v>
      </c>
    </row>
    <row r="6581" spans="2:4" x14ac:dyDescent="0.25">
      <c r="B6581" t="s">
        <v>1580</v>
      </c>
      <c r="C6581">
        <v>325</v>
      </c>
      <c r="D6581">
        <v>8</v>
      </c>
    </row>
    <row r="6582" spans="2:4" x14ac:dyDescent="0.25">
      <c r="B6582" t="s">
        <v>1580</v>
      </c>
      <c r="C6582">
        <v>325</v>
      </c>
      <c r="D6582">
        <v>13</v>
      </c>
    </row>
    <row r="6583" spans="2:4" x14ac:dyDescent="0.25">
      <c r="B6583" t="s">
        <v>1580</v>
      </c>
      <c r="C6583">
        <v>325</v>
      </c>
      <c r="D6583">
        <v>14</v>
      </c>
    </row>
    <row r="6584" spans="2:4" x14ac:dyDescent="0.25">
      <c r="B6584" t="s">
        <v>1580</v>
      </c>
      <c r="C6584">
        <v>326</v>
      </c>
      <c r="D6584">
        <v>6</v>
      </c>
    </row>
    <row r="6585" spans="2:4" x14ac:dyDescent="0.25">
      <c r="B6585" t="s">
        <v>1580</v>
      </c>
      <c r="C6585">
        <v>326</v>
      </c>
      <c r="D6585">
        <v>8</v>
      </c>
    </row>
    <row r="6586" spans="2:4" x14ac:dyDescent="0.25">
      <c r="B6586" t="s">
        <v>1580</v>
      </c>
      <c r="C6586">
        <v>326</v>
      </c>
      <c r="D6586">
        <v>13</v>
      </c>
    </row>
    <row r="6587" spans="2:4" x14ac:dyDescent="0.25">
      <c r="B6587" t="s">
        <v>1580</v>
      </c>
      <c r="C6587">
        <v>326</v>
      </c>
      <c r="D6587">
        <v>14</v>
      </c>
    </row>
    <row r="6588" spans="2:4" x14ac:dyDescent="0.25">
      <c r="B6588" t="s">
        <v>1580</v>
      </c>
      <c r="C6588">
        <v>327</v>
      </c>
      <c r="D6588">
        <v>6</v>
      </c>
    </row>
    <row r="6589" spans="2:4" x14ac:dyDescent="0.25">
      <c r="B6589" t="s">
        <v>1580</v>
      </c>
      <c r="C6589">
        <v>327</v>
      </c>
      <c r="D6589">
        <v>8</v>
      </c>
    </row>
    <row r="6590" spans="2:4" x14ac:dyDescent="0.25">
      <c r="B6590" t="s">
        <v>1580</v>
      </c>
      <c r="C6590">
        <v>327</v>
      </c>
      <c r="D6590">
        <v>13</v>
      </c>
    </row>
    <row r="6591" spans="2:4" x14ac:dyDescent="0.25">
      <c r="B6591" t="s">
        <v>1580</v>
      </c>
      <c r="C6591">
        <v>327</v>
      </c>
      <c r="D6591">
        <v>14</v>
      </c>
    </row>
    <row r="6592" spans="2:4" x14ac:dyDescent="0.25">
      <c r="B6592" t="s">
        <v>1580</v>
      </c>
      <c r="C6592">
        <v>331</v>
      </c>
      <c r="D6592">
        <v>6</v>
      </c>
    </row>
    <row r="6593" spans="2:4" x14ac:dyDescent="0.25">
      <c r="B6593" t="s">
        <v>1580</v>
      </c>
      <c r="C6593">
        <v>331</v>
      </c>
      <c r="D6593">
        <v>8</v>
      </c>
    </row>
    <row r="6594" spans="2:4" x14ac:dyDescent="0.25">
      <c r="B6594" t="s">
        <v>1580</v>
      </c>
      <c r="C6594">
        <v>331</v>
      </c>
      <c r="D6594">
        <v>13</v>
      </c>
    </row>
    <row r="6595" spans="2:4" x14ac:dyDescent="0.25">
      <c r="B6595" t="s">
        <v>1580</v>
      </c>
      <c r="C6595">
        <v>331</v>
      </c>
      <c r="D6595">
        <v>14</v>
      </c>
    </row>
    <row r="6596" spans="2:4" x14ac:dyDescent="0.25">
      <c r="B6596" t="s">
        <v>1580</v>
      </c>
      <c r="C6596">
        <v>332</v>
      </c>
      <c r="D6596">
        <v>6</v>
      </c>
    </row>
    <row r="6597" spans="2:4" x14ac:dyDescent="0.25">
      <c r="B6597" t="s">
        <v>1580</v>
      </c>
      <c r="C6597">
        <v>332</v>
      </c>
      <c r="D6597">
        <v>8</v>
      </c>
    </row>
    <row r="6598" spans="2:4" x14ac:dyDescent="0.25">
      <c r="B6598" t="s">
        <v>1580</v>
      </c>
      <c r="C6598">
        <v>332</v>
      </c>
      <c r="D6598">
        <v>13</v>
      </c>
    </row>
    <row r="6599" spans="2:4" x14ac:dyDescent="0.25">
      <c r="B6599" t="s">
        <v>1580</v>
      </c>
      <c r="C6599">
        <v>332</v>
      </c>
      <c r="D6599">
        <v>14</v>
      </c>
    </row>
    <row r="6600" spans="2:4" x14ac:dyDescent="0.25">
      <c r="B6600" t="s">
        <v>1580</v>
      </c>
      <c r="C6600">
        <v>333</v>
      </c>
      <c r="D6600">
        <v>6</v>
      </c>
    </row>
    <row r="6601" spans="2:4" x14ac:dyDescent="0.25">
      <c r="B6601" t="s">
        <v>1580</v>
      </c>
      <c r="C6601">
        <v>333</v>
      </c>
      <c r="D6601">
        <v>8</v>
      </c>
    </row>
    <row r="6602" spans="2:4" x14ac:dyDescent="0.25">
      <c r="B6602" t="s">
        <v>1580</v>
      </c>
      <c r="C6602">
        <v>333</v>
      </c>
      <c r="D6602">
        <v>13</v>
      </c>
    </row>
    <row r="6603" spans="2:4" x14ac:dyDescent="0.25">
      <c r="B6603" t="s">
        <v>1580</v>
      </c>
      <c r="C6603">
        <v>333</v>
      </c>
      <c r="D6603">
        <v>14</v>
      </c>
    </row>
    <row r="6604" spans="2:4" x14ac:dyDescent="0.25">
      <c r="B6604" t="s">
        <v>1580</v>
      </c>
      <c r="C6604">
        <v>334</v>
      </c>
      <c r="D6604">
        <v>6</v>
      </c>
    </row>
    <row r="6605" spans="2:4" x14ac:dyDescent="0.25">
      <c r="B6605" t="s">
        <v>1580</v>
      </c>
      <c r="C6605">
        <v>334</v>
      </c>
      <c r="D6605">
        <v>8</v>
      </c>
    </row>
    <row r="6606" spans="2:4" x14ac:dyDescent="0.25">
      <c r="B6606" t="s">
        <v>1580</v>
      </c>
      <c r="C6606">
        <v>334</v>
      </c>
      <c r="D6606">
        <v>13</v>
      </c>
    </row>
    <row r="6607" spans="2:4" x14ac:dyDescent="0.25">
      <c r="B6607" t="s">
        <v>1580</v>
      </c>
      <c r="C6607">
        <v>334</v>
      </c>
      <c r="D6607">
        <v>14</v>
      </c>
    </row>
    <row r="6608" spans="2:4" x14ac:dyDescent="0.25">
      <c r="B6608" t="s">
        <v>1580</v>
      </c>
      <c r="C6608">
        <v>335</v>
      </c>
      <c r="D6608">
        <v>6</v>
      </c>
    </row>
    <row r="6609" spans="2:4" x14ac:dyDescent="0.25">
      <c r="B6609" t="s">
        <v>1580</v>
      </c>
      <c r="C6609">
        <v>335</v>
      </c>
      <c r="D6609">
        <v>8</v>
      </c>
    </row>
    <row r="6610" spans="2:4" x14ac:dyDescent="0.25">
      <c r="B6610" t="s">
        <v>1580</v>
      </c>
      <c r="C6610">
        <v>335</v>
      </c>
      <c r="D6610">
        <v>13</v>
      </c>
    </row>
    <row r="6611" spans="2:4" x14ac:dyDescent="0.25">
      <c r="B6611" t="s">
        <v>1580</v>
      </c>
      <c r="C6611">
        <v>335</v>
      </c>
      <c r="D6611">
        <v>14</v>
      </c>
    </row>
    <row r="6612" spans="2:4" x14ac:dyDescent="0.25">
      <c r="B6612" t="s">
        <v>1580</v>
      </c>
      <c r="C6612">
        <v>336</v>
      </c>
      <c r="D6612">
        <v>6</v>
      </c>
    </row>
    <row r="6613" spans="2:4" x14ac:dyDescent="0.25">
      <c r="B6613" t="s">
        <v>1580</v>
      </c>
      <c r="C6613">
        <v>336</v>
      </c>
      <c r="D6613">
        <v>8</v>
      </c>
    </row>
    <row r="6614" spans="2:4" x14ac:dyDescent="0.25">
      <c r="B6614" t="s">
        <v>1580</v>
      </c>
      <c r="C6614">
        <v>336</v>
      </c>
      <c r="D6614">
        <v>13</v>
      </c>
    </row>
    <row r="6615" spans="2:4" x14ac:dyDescent="0.25">
      <c r="B6615" t="s">
        <v>1580</v>
      </c>
      <c r="C6615">
        <v>336</v>
      </c>
      <c r="D6615">
        <v>14</v>
      </c>
    </row>
    <row r="6616" spans="2:4" x14ac:dyDescent="0.25">
      <c r="B6616" t="s">
        <v>1580</v>
      </c>
      <c r="C6616">
        <v>337</v>
      </c>
      <c r="D6616">
        <v>6</v>
      </c>
    </row>
    <row r="6617" spans="2:4" x14ac:dyDescent="0.25">
      <c r="B6617" t="s">
        <v>1580</v>
      </c>
      <c r="C6617">
        <v>337</v>
      </c>
      <c r="D6617">
        <v>8</v>
      </c>
    </row>
    <row r="6618" spans="2:4" x14ac:dyDescent="0.25">
      <c r="B6618" t="s">
        <v>1580</v>
      </c>
      <c r="C6618">
        <v>337</v>
      </c>
      <c r="D6618">
        <v>13</v>
      </c>
    </row>
    <row r="6619" spans="2:4" x14ac:dyDescent="0.25">
      <c r="B6619" t="s">
        <v>1580</v>
      </c>
      <c r="C6619">
        <v>337</v>
      </c>
      <c r="D6619">
        <v>14</v>
      </c>
    </row>
    <row r="6620" spans="2:4" x14ac:dyDescent="0.25">
      <c r="B6620" t="s">
        <v>1580</v>
      </c>
      <c r="C6620">
        <v>339</v>
      </c>
      <c r="D6620">
        <v>6</v>
      </c>
    </row>
    <row r="6621" spans="2:4" x14ac:dyDescent="0.25">
      <c r="B6621" t="s">
        <v>1580</v>
      </c>
      <c r="C6621">
        <v>339</v>
      </c>
      <c r="D6621">
        <v>8</v>
      </c>
    </row>
    <row r="6622" spans="2:4" x14ac:dyDescent="0.25">
      <c r="B6622" t="s">
        <v>1580</v>
      </c>
      <c r="C6622">
        <v>339</v>
      </c>
      <c r="D6622">
        <v>13</v>
      </c>
    </row>
    <row r="6623" spans="2:4" x14ac:dyDescent="0.25">
      <c r="B6623" t="s">
        <v>1580</v>
      </c>
      <c r="C6623">
        <v>339</v>
      </c>
      <c r="D6623">
        <v>14</v>
      </c>
    </row>
    <row r="6624" spans="2:4" x14ac:dyDescent="0.25">
      <c r="B6624" t="s">
        <v>1580</v>
      </c>
      <c r="C6624">
        <v>340</v>
      </c>
      <c r="D6624">
        <v>6</v>
      </c>
    </row>
    <row r="6625" spans="2:4" x14ac:dyDescent="0.25">
      <c r="B6625" t="s">
        <v>1580</v>
      </c>
      <c r="C6625">
        <v>340</v>
      </c>
      <c r="D6625">
        <v>8</v>
      </c>
    </row>
    <row r="6626" spans="2:4" x14ac:dyDescent="0.25">
      <c r="B6626" t="s">
        <v>1580</v>
      </c>
      <c r="C6626">
        <v>340</v>
      </c>
      <c r="D6626">
        <v>13</v>
      </c>
    </row>
    <row r="6627" spans="2:4" x14ac:dyDescent="0.25">
      <c r="B6627" t="s">
        <v>1580</v>
      </c>
      <c r="C6627">
        <v>340</v>
      </c>
      <c r="D6627">
        <v>14</v>
      </c>
    </row>
    <row r="6628" spans="2:4" x14ac:dyDescent="0.25">
      <c r="B6628" t="s">
        <v>1580</v>
      </c>
      <c r="C6628">
        <v>341</v>
      </c>
      <c r="D6628">
        <v>6</v>
      </c>
    </row>
    <row r="6629" spans="2:4" x14ac:dyDescent="0.25">
      <c r="B6629" t="s">
        <v>1580</v>
      </c>
      <c r="C6629">
        <v>341</v>
      </c>
      <c r="D6629">
        <v>8</v>
      </c>
    </row>
    <row r="6630" spans="2:4" x14ac:dyDescent="0.25">
      <c r="B6630" t="s">
        <v>1580</v>
      </c>
      <c r="C6630">
        <v>341</v>
      </c>
      <c r="D6630">
        <v>13</v>
      </c>
    </row>
    <row r="6631" spans="2:4" x14ac:dyDescent="0.25">
      <c r="B6631" t="s">
        <v>1580</v>
      </c>
      <c r="C6631">
        <v>341</v>
      </c>
      <c r="D6631">
        <v>14</v>
      </c>
    </row>
    <row r="6632" spans="2:4" x14ac:dyDescent="0.25">
      <c r="B6632" t="s">
        <v>1580</v>
      </c>
      <c r="C6632">
        <v>342</v>
      </c>
      <c r="D6632">
        <v>6</v>
      </c>
    </row>
    <row r="6633" spans="2:4" x14ac:dyDescent="0.25">
      <c r="B6633" t="s">
        <v>1580</v>
      </c>
      <c r="C6633">
        <v>342</v>
      </c>
      <c r="D6633">
        <v>8</v>
      </c>
    </row>
    <row r="6634" spans="2:4" x14ac:dyDescent="0.25">
      <c r="B6634" t="s">
        <v>1580</v>
      </c>
      <c r="C6634">
        <v>342</v>
      </c>
      <c r="D6634">
        <v>13</v>
      </c>
    </row>
    <row r="6635" spans="2:4" x14ac:dyDescent="0.25">
      <c r="B6635" t="s">
        <v>1580</v>
      </c>
      <c r="C6635">
        <v>342</v>
      </c>
      <c r="D6635">
        <v>14</v>
      </c>
    </row>
    <row r="6636" spans="2:4" x14ac:dyDescent="0.25">
      <c r="B6636" t="s">
        <v>1580</v>
      </c>
      <c r="C6636">
        <v>343</v>
      </c>
      <c r="D6636">
        <v>6</v>
      </c>
    </row>
    <row r="6637" spans="2:4" x14ac:dyDescent="0.25">
      <c r="B6637" t="s">
        <v>1580</v>
      </c>
      <c r="C6637">
        <v>343</v>
      </c>
      <c r="D6637">
        <v>8</v>
      </c>
    </row>
    <row r="6638" spans="2:4" x14ac:dyDescent="0.25">
      <c r="B6638" t="s">
        <v>1580</v>
      </c>
      <c r="C6638">
        <v>343</v>
      </c>
      <c r="D6638">
        <v>13</v>
      </c>
    </row>
    <row r="6639" spans="2:4" x14ac:dyDescent="0.25">
      <c r="B6639" t="s">
        <v>1580</v>
      </c>
      <c r="C6639">
        <v>343</v>
      </c>
      <c r="D6639">
        <v>14</v>
      </c>
    </row>
    <row r="6640" spans="2:4" x14ac:dyDescent="0.25">
      <c r="B6640" t="s">
        <v>1580</v>
      </c>
      <c r="C6640">
        <v>344</v>
      </c>
      <c r="D6640">
        <v>6</v>
      </c>
    </row>
    <row r="6641" spans="2:4" x14ac:dyDescent="0.25">
      <c r="B6641" t="s">
        <v>1580</v>
      </c>
      <c r="C6641">
        <v>344</v>
      </c>
      <c r="D6641">
        <v>8</v>
      </c>
    </row>
    <row r="6642" spans="2:4" x14ac:dyDescent="0.25">
      <c r="B6642" t="s">
        <v>1580</v>
      </c>
      <c r="C6642">
        <v>344</v>
      </c>
      <c r="D6642">
        <v>13</v>
      </c>
    </row>
    <row r="6643" spans="2:4" x14ac:dyDescent="0.25">
      <c r="B6643" t="s">
        <v>1580</v>
      </c>
      <c r="C6643">
        <v>344</v>
      </c>
      <c r="D6643">
        <v>14</v>
      </c>
    </row>
    <row r="6644" spans="2:4" x14ac:dyDescent="0.25">
      <c r="B6644" t="s">
        <v>1580</v>
      </c>
      <c r="C6644">
        <v>345</v>
      </c>
      <c r="D6644">
        <v>6</v>
      </c>
    </row>
    <row r="6645" spans="2:4" x14ac:dyDescent="0.25">
      <c r="B6645" t="s">
        <v>1580</v>
      </c>
      <c r="C6645">
        <v>345</v>
      </c>
      <c r="D6645">
        <v>8</v>
      </c>
    </row>
    <row r="6646" spans="2:4" x14ac:dyDescent="0.25">
      <c r="B6646" t="s">
        <v>1580</v>
      </c>
      <c r="C6646">
        <v>345</v>
      </c>
      <c r="D6646">
        <v>13</v>
      </c>
    </row>
    <row r="6647" spans="2:4" x14ac:dyDescent="0.25">
      <c r="B6647" t="s">
        <v>1580</v>
      </c>
      <c r="C6647">
        <v>345</v>
      </c>
      <c r="D6647">
        <v>14</v>
      </c>
    </row>
    <row r="6648" spans="2:4" x14ac:dyDescent="0.25">
      <c r="B6648" t="s">
        <v>1580</v>
      </c>
      <c r="C6648">
        <v>347</v>
      </c>
      <c r="D6648">
        <v>6</v>
      </c>
    </row>
    <row r="6649" spans="2:4" x14ac:dyDescent="0.25">
      <c r="B6649" t="s">
        <v>1580</v>
      </c>
      <c r="C6649">
        <v>347</v>
      </c>
      <c r="D6649">
        <v>8</v>
      </c>
    </row>
    <row r="6650" spans="2:4" x14ac:dyDescent="0.25">
      <c r="B6650" t="s">
        <v>1580</v>
      </c>
      <c r="C6650">
        <v>347</v>
      </c>
      <c r="D6650">
        <v>13</v>
      </c>
    </row>
    <row r="6651" spans="2:4" x14ac:dyDescent="0.25">
      <c r="B6651" t="s">
        <v>1580</v>
      </c>
      <c r="C6651">
        <v>347</v>
      </c>
      <c r="D6651">
        <v>14</v>
      </c>
    </row>
    <row r="6652" spans="2:4" x14ac:dyDescent="0.25">
      <c r="B6652" t="s">
        <v>1580</v>
      </c>
      <c r="C6652">
        <v>348</v>
      </c>
      <c r="D6652">
        <v>6</v>
      </c>
    </row>
    <row r="6653" spans="2:4" x14ac:dyDescent="0.25">
      <c r="B6653" t="s">
        <v>1580</v>
      </c>
      <c r="C6653">
        <v>348</v>
      </c>
      <c r="D6653">
        <v>8</v>
      </c>
    </row>
    <row r="6654" spans="2:4" x14ac:dyDescent="0.25">
      <c r="B6654" t="s">
        <v>1580</v>
      </c>
      <c r="C6654">
        <v>348</v>
      </c>
      <c r="D6654">
        <v>13</v>
      </c>
    </row>
    <row r="6655" spans="2:4" x14ac:dyDescent="0.25">
      <c r="B6655" t="s">
        <v>1580</v>
      </c>
      <c r="C6655">
        <v>348</v>
      </c>
      <c r="D6655">
        <v>14</v>
      </c>
    </row>
    <row r="6656" spans="2:4" x14ac:dyDescent="0.25">
      <c r="B6656" t="s">
        <v>1580</v>
      </c>
      <c r="C6656">
        <v>349</v>
      </c>
      <c r="D6656">
        <v>6</v>
      </c>
    </row>
    <row r="6657" spans="2:4" x14ac:dyDescent="0.25">
      <c r="B6657" t="s">
        <v>1580</v>
      </c>
      <c r="C6657">
        <v>349</v>
      </c>
      <c r="D6657">
        <v>8</v>
      </c>
    </row>
    <row r="6658" spans="2:4" x14ac:dyDescent="0.25">
      <c r="B6658" t="s">
        <v>1580</v>
      </c>
      <c r="C6658">
        <v>349</v>
      </c>
      <c r="D6658">
        <v>13</v>
      </c>
    </row>
    <row r="6659" spans="2:4" x14ac:dyDescent="0.25">
      <c r="B6659" t="s">
        <v>1580</v>
      </c>
      <c r="C6659">
        <v>349</v>
      </c>
      <c r="D6659">
        <v>14</v>
      </c>
    </row>
    <row r="6660" spans="2:4" x14ac:dyDescent="0.25">
      <c r="B6660" t="s">
        <v>1580</v>
      </c>
      <c r="C6660">
        <v>350</v>
      </c>
      <c r="D6660">
        <v>6</v>
      </c>
    </row>
    <row r="6661" spans="2:4" x14ac:dyDescent="0.25">
      <c r="B6661" t="s">
        <v>1580</v>
      </c>
      <c r="C6661">
        <v>350</v>
      </c>
      <c r="D6661">
        <v>8</v>
      </c>
    </row>
    <row r="6662" spans="2:4" x14ac:dyDescent="0.25">
      <c r="B6662" t="s">
        <v>1580</v>
      </c>
      <c r="C6662">
        <v>350</v>
      </c>
      <c r="D6662">
        <v>13</v>
      </c>
    </row>
    <row r="6663" spans="2:4" x14ac:dyDescent="0.25">
      <c r="B6663" t="s">
        <v>1580</v>
      </c>
      <c r="C6663">
        <v>350</v>
      </c>
      <c r="D6663">
        <v>14</v>
      </c>
    </row>
    <row r="6664" spans="2:4" x14ac:dyDescent="0.25">
      <c r="B6664" t="s">
        <v>1580</v>
      </c>
      <c r="C6664">
        <v>351</v>
      </c>
      <c r="D6664">
        <v>6</v>
      </c>
    </row>
    <row r="6665" spans="2:4" x14ac:dyDescent="0.25">
      <c r="B6665" t="s">
        <v>1580</v>
      </c>
      <c r="C6665">
        <v>351</v>
      </c>
      <c r="D6665">
        <v>8</v>
      </c>
    </row>
    <row r="6666" spans="2:4" x14ac:dyDescent="0.25">
      <c r="B6666" t="s">
        <v>1580</v>
      </c>
      <c r="C6666">
        <v>351</v>
      </c>
      <c r="D6666">
        <v>13</v>
      </c>
    </row>
    <row r="6667" spans="2:4" x14ac:dyDescent="0.25">
      <c r="B6667" t="s">
        <v>1580</v>
      </c>
      <c r="C6667">
        <v>351</v>
      </c>
      <c r="D6667">
        <v>14</v>
      </c>
    </row>
    <row r="6668" spans="2:4" x14ac:dyDescent="0.25">
      <c r="B6668" t="s">
        <v>1580</v>
      </c>
      <c r="C6668">
        <v>352</v>
      </c>
      <c r="D6668">
        <v>6</v>
      </c>
    </row>
    <row r="6669" spans="2:4" x14ac:dyDescent="0.25">
      <c r="B6669" t="s">
        <v>1580</v>
      </c>
      <c r="C6669">
        <v>352</v>
      </c>
      <c r="D6669">
        <v>8</v>
      </c>
    </row>
    <row r="6670" spans="2:4" x14ac:dyDescent="0.25">
      <c r="B6670" t="s">
        <v>1580</v>
      </c>
      <c r="C6670">
        <v>352</v>
      </c>
      <c r="D6670">
        <v>13</v>
      </c>
    </row>
    <row r="6671" spans="2:4" x14ac:dyDescent="0.25">
      <c r="B6671" t="s">
        <v>1580</v>
      </c>
      <c r="C6671">
        <v>352</v>
      </c>
      <c r="D6671">
        <v>14</v>
      </c>
    </row>
    <row r="6672" spans="2:4" x14ac:dyDescent="0.25">
      <c r="B6672" t="s">
        <v>1580</v>
      </c>
      <c r="C6672">
        <v>353</v>
      </c>
      <c r="D6672">
        <v>6</v>
      </c>
    </row>
    <row r="6673" spans="2:4" x14ac:dyDescent="0.25">
      <c r="B6673" t="s">
        <v>1580</v>
      </c>
      <c r="C6673">
        <v>353</v>
      </c>
      <c r="D6673">
        <v>8</v>
      </c>
    </row>
    <row r="6674" spans="2:4" x14ac:dyDescent="0.25">
      <c r="B6674" t="s">
        <v>1580</v>
      </c>
      <c r="C6674">
        <v>353</v>
      </c>
      <c r="D6674">
        <v>13</v>
      </c>
    </row>
    <row r="6675" spans="2:4" x14ac:dyDescent="0.25">
      <c r="B6675" t="s">
        <v>1580</v>
      </c>
      <c r="C6675">
        <v>353</v>
      </c>
      <c r="D6675">
        <v>14</v>
      </c>
    </row>
    <row r="6676" spans="2:4" x14ac:dyDescent="0.25">
      <c r="B6676" t="s">
        <v>1580</v>
      </c>
      <c r="C6676">
        <v>355</v>
      </c>
      <c r="D6676">
        <v>6</v>
      </c>
    </row>
    <row r="6677" spans="2:4" x14ac:dyDescent="0.25">
      <c r="B6677" t="s">
        <v>1580</v>
      </c>
      <c r="C6677">
        <v>355</v>
      </c>
      <c r="D6677">
        <v>8</v>
      </c>
    </row>
    <row r="6678" spans="2:4" x14ac:dyDescent="0.25">
      <c r="B6678" t="s">
        <v>1580</v>
      </c>
      <c r="C6678">
        <v>355</v>
      </c>
      <c r="D6678">
        <v>13</v>
      </c>
    </row>
    <row r="6679" spans="2:4" x14ac:dyDescent="0.25">
      <c r="B6679" t="s">
        <v>1580</v>
      </c>
      <c r="C6679">
        <v>355</v>
      </c>
      <c r="D6679">
        <v>14</v>
      </c>
    </row>
    <row r="6680" spans="2:4" x14ac:dyDescent="0.25">
      <c r="B6680" t="s">
        <v>1580</v>
      </c>
      <c r="C6680">
        <v>357</v>
      </c>
      <c r="D6680">
        <v>6</v>
      </c>
    </row>
    <row r="6681" spans="2:4" x14ac:dyDescent="0.25">
      <c r="B6681" t="s">
        <v>1580</v>
      </c>
      <c r="C6681">
        <v>357</v>
      </c>
      <c r="D6681">
        <v>8</v>
      </c>
    </row>
    <row r="6682" spans="2:4" x14ac:dyDescent="0.25">
      <c r="B6682" t="s">
        <v>1580</v>
      </c>
      <c r="C6682">
        <v>357</v>
      </c>
      <c r="D6682">
        <v>13</v>
      </c>
    </row>
    <row r="6683" spans="2:4" x14ac:dyDescent="0.25">
      <c r="B6683" t="s">
        <v>1580</v>
      </c>
      <c r="C6683">
        <v>357</v>
      </c>
      <c r="D6683">
        <v>14</v>
      </c>
    </row>
    <row r="6684" spans="2:4" x14ac:dyDescent="0.25">
      <c r="B6684" t="s">
        <v>1580</v>
      </c>
      <c r="C6684">
        <v>359</v>
      </c>
      <c r="D6684">
        <v>6</v>
      </c>
    </row>
    <row r="6685" spans="2:4" x14ac:dyDescent="0.25">
      <c r="B6685" t="s">
        <v>1580</v>
      </c>
      <c r="C6685">
        <v>359</v>
      </c>
      <c r="D6685">
        <v>8</v>
      </c>
    </row>
    <row r="6686" spans="2:4" x14ac:dyDescent="0.25">
      <c r="B6686" t="s">
        <v>1580</v>
      </c>
      <c r="C6686">
        <v>359</v>
      </c>
      <c r="D6686">
        <v>13</v>
      </c>
    </row>
    <row r="6687" spans="2:4" x14ac:dyDescent="0.25">
      <c r="B6687" t="s">
        <v>1580</v>
      </c>
      <c r="C6687">
        <v>359</v>
      </c>
      <c r="D6687">
        <v>14</v>
      </c>
    </row>
    <row r="6688" spans="2:4" x14ac:dyDescent="0.25">
      <c r="B6688" t="s">
        <v>1580</v>
      </c>
      <c r="C6688">
        <v>360</v>
      </c>
      <c r="D6688">
        <v>6</v>
      </c>
    </row>
    <row r="6689" spans="2:4" x14ac:dyDescent="0.25">
      <c r="B6689" t="s">
        <v>1580</v>
      </c>
      <c r="C6689">
        <v>360</v>
      </c>
      <c r="D6689">
        <v>8</v>
      </c>
    </row>
    <row r="6690" spans="2:4" x14ac:dyDescent="0.25">
      <c r="B6690" t="s">
        <v>1580</v>
      </c>
      <c r="C6690">
        <v>360</v>
      </c>
      <c r="D6690">
        <v>13</v>
      </c>
    </row>
    <row r="6691" spans="2:4" x14ac:dyDescent="0.25">
      <c r="B6691" t="s">
        <v>1580</v>
      </c>
      <c r="C6691">
        <v>360</v>
      </c>
      <c r="D6691">
        <v>14</v>
      </c>
    </row>
    <row r="6692" spans="2:4" x14ac:dyDescent="0.25">
      <c r="B6692" t="s">
        <v>1580</v>
      </c>
      <c r="C6692">
        <v>361</v>
      </c>
      <c r="D6692">
        <v>6</v>
      </c>
    </row>
    <row r="6693" spans="2:4" x14ac:dyDescent="0.25">
      <c r="B6693" t="s">
        <v>1580</v>
      </c>
      <c r="C6693">
        <v>361</v>
      </c>
      <c r="D6693">
        <v>8</v>
      </c>
    </row>
    <row r="6694" spans="2:4" x14ac:dyDescent="0.25">
      <c r="B6694" t="s">
        <v>1580</v>
      </c>
      <c r="C6694">
        <v>361</v>
      </c>
      <c r="D6694">
        <v>13</v>
      </c>
    </row>
    <row r="6695" spans="2:4" x14ac:dyDescent="0.25">
      <c r="B6695" t="s">
        <v>1580</v>
      </c>
      <c r="C6695">
        <v>361</v>
      </c>
      <c r="D6695">
        <v>14</v>
      </c>
    </row>
    <row r="6696" spans="2:4" x14ac:dyDescent="0.25">
      <c r="B6696" t="s">
        <v>1580</v>
      </c>
      <c r="C6696">
        <v>362</v>
      </c>
      <c r="D6696">
        <v>6</v>
      </c>
    </row>
    <row r="6697" spans="2:4" x14ac:dyDescent="0.25">
      <c r="B6697" t="s">
        <v>1580</v>
      </c>
      <c r="C6697">
        <v>362</v>
      </c>
      <c r="D6697">
        <v>8</v>
      </c>
    </row>
    <row r="6698" spans="2:4" x14ac:dyDescent="0.25">
      <c r="B6698" t="s">
        <v>1580</v>
      </c>
      <c r="C6698">
        <v>362</v>
      </c>
      <c r="D6698">
        <v>13</v>
      </c>
    </row>
    <row r="6699" spans="2:4" x14ac:dyDescent="0.25">
      <c r="B6699" t="s">
        <v>1580</v>
      </c>
      <c r="C6699">
        <v>362</v>
      </c>
      <c r="D6699">
        <v>14</v>
      </c>
    </row>
    <row r="6700" spans="2:4" x14ac:dyDescent="0.25">
      <c r="B6700" t="s">
        <v>1580</v>
      </c>
      <c r="C6700">
        <v>363</v>
      </c>
      <c r="D6700">
        <v>6</v>
      </c>
    </row>
    <row r="6701" spans="2:4" x14ac:dyDescent="0.25">
      <c r="B6701" t="s">
        <v>1580</v>
      </c>
      <c r="C6701">
        <v>363</v>
      </c>
      <c r="D6701">
        <v>8</v>
      </c>
    </row>
    <row r="6702" spans="2:4" x14ac:dyDescent="0.25">
      <c r="B6702" t="s">
        <v>1580</v>
      </c>
      <c r="C6702">
        <v>363</v>
      </c>
      <c r="D6702">
        <v>13</v>
      </c>
    </row>
    <row r="6703" spans="2:4" x14ac:dyDescent="0.25">
      <c r="B6703" t="s">
        <v>1580</v>
      </c>
      <c r="C6703">
        <v>363</v>
      </c>
      <c r="D6703">
        <v>14</v>
      </c>
    </row>
    <row r="6704" spans="2:4" x14ac:dyDescent="0.25">
      <c r="B6704" t="s">
        <v>1580</v>
      </c>
      <c r="C6704">
        <v>364</v>
      </c>
      <c r="D6704">
        <v>6</v>
      </c>
    </row>
    <row r="6705" spans="2:4" x14ac:dyDescent="0.25">
      <c r="B6705" t="s">
        <v>1580</v>
      </c>
      <c r="C6705">
        <v>364</v>
      </c>
      <c r="D6705">
        <v>8</v>
      </c>
    </row>
    <row r="6706" spans="2:4" x14ac:dyDescent="0.25">
      <c r="B6706" t="s">
        <v>1580</v>
      </c>
      <c r="C6706">
        <v>364</v>
      </c>
      <c r="D6706">
        <v>13</v>
      </c>
    </row>
    <row r="6707" spans="2:4" x14ac:dyDescent="0.25">
      <c r="B6707" t="s">
        <v>1580</v>
      </c>
      <c r="C6707">
        <v>364</v>
      </c>
      <c r="D6707">
        <v>14</v>
      </c>
    </row>
    <row r="6708" spans="2:4" x14ac:dyDescent="0.25">
      <c r="B6708" t="s">
        <v>1580</v>
      </c>
      <c r="C6708">
        <v>365</v>
      </c>
      <c r="D6708">
        <v>6</v>
      </c>
    </row>
    <row r="6709" spans="2:4" x14ac:dyDescent="0.25">
      <c r="B6709" t="s">
        <v>1580</v>
      </c>
      <c r="C6709">
        <v>365</v>
      </c>
      <c r="D6709">
        <v>8</v>
      </c>
    </row>
    <row r="6710" spans="2:4" x14ac:dyDescent="0.25">
      <c r="B6710" t="s">
        <v>1580</v>
      </c>
      <c r="C6710">
        <v>365</v>
      </c>
      <c r="D6710">
        <v>13</v>
      </c>
    </row>
    <row r="6711" spans="2:4" x14ac:dyDescent="0.25">
      <c r="B6711" t="s">
        <v>1580</v>
      </c>
      <c r="C6711">
        <v>365</v>
      </c>
      <c r="D6711">
        <v>14</v>
      </c>
    </row>
    <row r="6712" spans="2:4" x14ac:dyDescent="0.25">
      <c r="B6712" t="s">
        <v>1580</v>
      </c>
      <c r="C6712">
        <v>367</v>
      </c>
      <c r="D6712">
        <v>6</v>
      </c>
    </row>
    <row r="6713" spans="2:4" x14ac:dyDescent="0.25">
      <c r="B6713" t="s">
        <v>1580</v>
      </c>
      <c r="C6713">
        <v>367</v>
      </c>
      <c r="D6713">
        <v>8</v>
      </c>
    </row>
    <row r="6714" spans="2:4" x14ac:dyDescent="0.25">
      <c r="B6714" t="s">
        <v>1580</v>
      </c>
      <c r="C6714">
        <v>367</v>
      </c>
      <c r="D6714">
        <v>13</v>
      </c>
    </row>
    <row r="6715" spans="2:4" x14ac:dyDescent="0.25">
      <c r="B6715" t="s">
        <v>1580</v>
      </c>
      <c r="C6715">
        <v>367</v>
      </c>
      <c r="D6715">
        <v>14</v>
      </c>
    </row>
    <row r="6716" spans="2:4" x14ac:dyDescent="0.25">
      <c r="B6716" t="s">
        <v>1580</v>
      </c>
      <c r="C6716">
        <v>368</v>
      </c>
      <c r="D6716">
        <v>6</v>
      </c>
    </row>
    <row r="6717" spans="2:4" x14ac:dyDescent="0.25">
      <c r="B6717" t="s">
        <v>1580</v>
      </c>
      <c r="C6717">
        <v>368</v>
      </c>
      <c r="D6717">
        <v>8</v>
      </c>
    </row>
    <row r="6718" spans="2:4" x14ac:dyDescent="0.25">
      <c r="B6718" t="s">
        <v>1580</v>
      </c>
      <c r="C6718">
        <v>368</v>
      </c>
      <c r="D6718">
        <v>13</v>
      </c>
    </row>
    <row r="6719" spans="2:4" x14ac:dyDescent="0.25">
      <c r="B6719" t="s">
        <v>1580</v>
      </c>
      <c r="C6719">
        <v>368</v>
      </c>
      <c r="D6719">
        <v>14</v>
      </c>
    </row>
    <row r="6720" spans="2:4" x14ac:dyDescent="0.25">
      <c r="B6720" t="s">
        <v>1580</v>
      </c>
      <c r="C6720">
        <v>369</v>
      </c>
      <c r="D6720">
        <v>6</v>
      </c>
    </row>
    <row r="6721" spans="2:4" x14ac:dyDescent="0.25">
      <c r="B6721" t="s">
        <v>1580</v>
      </c>
      <c r="C6721">
        <v>369</v>
      </c>
      <c r="D6721">
        <v>8</v>
      </c>
    </row>
    <row r="6722" spans="2:4" x14ac:dyDescent="0.25">
      <c r="B6722" t="s">
        <v>1580</v>
      </c>
      <c r="C6722">
        <v>369</v>
      </c>
      <c r="D6722">
        <v>13</v>
      </c>
    </row>
    <row r="6723" spans="2:4" x14ac:dyDescent="0.25">
      <c r="B6723" t="s">
        <v>1580</v>
      </c>
      <c r="C6723">
        <v>369</v>
      </c>
      <c r="D6723">
        <v>14</v>
      </c>
    </row>
    <row r="6724" spans="2:4" x14ac:dyDescent="0.25">
      <c r="B6724" t="s">
        <v>1580</v>
      </c>
      <c r="C6724">
        <v>371</v>
      </c>
      <c r="D6724">
        <v>6</v>
      </c>
    </row>
    <row r="6725" spans="2:4" x14ac:dyDescent="0.25">
      <c r="B6725" t="s">
        <v>1580</v>
      </c>
      <c r="C6725">
        <v>371</v>
      </c>
      <c r="D6725">
        <v>8</v>
      </c>
    </row>
    <row r="6726" spans="2:4" x14ac:dyDescent="0.25">
      <c r="B6726" t="s">
        <v>1580</v>
      </c>
      <c r="C6726">
        <v>371</v>
      </c>
      <c r="D6726">
        <v>13</v>
      </c>
    </row>
    <row r="6727" spans="2:4" x14ac:dyDescent="0.25">
      <c r="B6727" t="s">
        <v>1580</v>
      </c>
      <c r="C6727">
        <v>371</v>
      </c>
      <c r="D6727">
        <v>14</v>
      </c>
    </row>
    <row r="6728" spans="2:4" x14ac:dyDescent="0.25">
      <c r="B6728" t="s">
        <v>1580</v>
      </c>
      <c r="C6728">
        <v>372</v>
      </c>
      <c r="D6728">
        <v>6</v>
      </c>
    </row>
    <row r="6729" spans="2:4" x14ac:dyDescent="0.25">
      <c r="B6729" t="s">
        <v>1580</v>
      </c>
      <c r="C6729">
        <v>372</v>
      </c>
      <c r="D6729">
        <v>8</v>
      </c>
    </row>
    <row r="6730" spans="2:4" x14ac:dyDescent="0.25">
      <c r="B6730" t="s">
        <v>1580</v>
      </c>
      <c r="C6730">
        <v>372</v>
      </c>
      <c r="D6730">
        <v>13</v>
      </c>
    </row>
    <row r="6731" spans="2:4" x14ac:dyDescent="0.25">
      <c r="B6731" t="s">
        <v>1580</v>
      </c>
      <c r="C6731">
        <v>372</v>
      </c>
      <c r="D6731">
        <v>14</v>
      </c>
    </row>
    <row r="6732" spans="2:4" x14ac:dyDescent="0.25">
      <c r="B6732" t="s">
        <v>1580</v>
      </c>
      <c r="C6732">
        <v>373</v>
      </c>
      <c r="D6732">
        <v>6</v>
      </c>
    </row>
    <row r="6733" spans="2:4" x14ac:dyDescent="0.25">
      <c r="B6733" t="s">
        <v>1580</v>
      </c>
      <c r="C6733">
        <v>373</v>
      </c>
      <c r="D6733">
        <v>8</v>
      </c>
    </row>
    <row r="6734" spans="2:4" x14ac:dyDescent="0.25">
      <c r="B6734" t="s">
        <v>1580</v>
      </c>
      <c r="C6734">
        <v>373</v>
      </c>
      <c r="D6734">
        <v>13</v>
      </c>
    </row>
    <row r="6735" spans="2:4" x14ac:dyDescent="0.25">
      <c r="B6735" t="s">
        <v>1580</v>
      </c>
      <c r="C6735">
        <v>373</v>
      </c>
      <c r="D6735">
        <v>14</v>
      </c>
    </row>
    <row r="6736" spans="2:4" x14ac:dyDescent="0.25">
      <c r="B6736" t="s">
        <v>1580</v>
      </c>
      <c r="C6736">
        <v>374</v>
      </c>
      <c r="D6736">
        <v>6</v>
      </c>
    </row>
    <row r="6737" spans="2:4" x14ac:dyDescent="0.25">
      <c r="B6737" t="s">
        <v>1580</v>
      </c>
      <c r="C6737">
        <v>374</v>
      </c>
      <c r="D6737">
        <v>8</v>
      </c>
    </row>
    <row r="6738" spans="2:4" x14ac:dyDescent="0.25">
      <c r="B6738" t="s">
        <v>1580</v>
      </c>
      <c r="C6738">
        <v>374</v>
      </c>
      <c r="D6738">
        <v>13</v>
      </c>
    </row>
    <row r="6739" spans="2:4" x14ac:dyDescent="0.25">
      <c r="B6739" t="s">
        <v>1580</v>
      </c>
      <c r="C6739">
        <v>374</v>
      </c>
      <c r="D6739">
        <v>14</v>
      </c>
    </row>
    <row r="6740" spans="2:4" x14ac:dyDescent="0.25">
      <c r="B6740" t="s">
        <v>1580</v>
      </c>
      <c r="C6740">
        <v>376</v>
      </c>
      <c r="D6740">
        <v>6</v>
      </c>
    </row>
    <row r="6741" spans="2:4" x14ac:dyDescent="0.25">
      <c r="B6741" t="s">
        <v>1580</v>
      </c>
      <c r="C6741">
        <v>376</v>
      </c>
      <c r="D6741">
        <v>8</v>
      </c>
    </row>
    <row r="6742" spans="2:4" x14ac:dyDescent="0.25">
      <c r="B6742" t="s">
        <v>1580</v>
      </c>
      <c r="C6742">
        <v>376</v>
      </c>
      <c r="D6742">
        <v>13</v>
      </c>
    </row>
    <row r="6743" spans="2:4" x14ac:dyDescent="0.25">
      <c r="B6743" t="s">
        <v>1580</v>
      </c>
      <c r="C6743">
        <v>376</v>
      </c>
      <c r="D6743">
        <v>14</v>
      </c>
    </row>
    <row r="6744" spans="2:4" x14ac:dyDescent="0.25">
      <c r="B6744" t="s">
        <v>1580</v>
      </c>
      <c r="C6744">
        <v>377</v>
      </c>
      <c r="D6744">
        <v>6</v>
      </c>
    </row>
    <row r="6745" spans="2:4" x14ac:dyDescent="0.25">
      <c r="B6745" t="s">
        <v>1580</v>
      </c>
      <c r="C6745">
        <v>377</v>
      </c>
      <c r="D6745">
        <v>8</v>
      </c>
    </row>
    <row r="6746" spans="2:4" x14ac:dyDescent="0.25">
      <c r="B6746" t="s">
        <v>1580</v>
      </c>
      <c r="C6746">
        <v>377</v>
      </c>
      <c r="D6746">
        <v>13</v>
      </c>
    </row>
    <row r="6747" spans="2:4" x14ac:dyDescent="0.25">
      <c r="B6747" t="s">
        <v>1580</v>
      </c>
      <c r="C6747">
        <v>377</v>
      </c>
      <c r="D6747">
        <v>14</v>
      </c>
    </row>
    <row r="6748" spans="2:4" x14ac:dyDescent="0.25">
      <c r="B6748" t="s">
        <v>1580</v>
      </c>
      <c r="C6748">
        <v>378</v>
      </c>
      <c r="D6748">
        <v>6</v>
      </c>
    </row>
    <row r="6749" spans="2:4" x14ac:dyDescent="0.25">
      <c r="B6749" t="s">
        <v>1580</v>
      </c>
      <c r="C6749">
        <v>378</v>
      </c>
      <c r="D6749">
        <v>8</v>
      </c>
    </row>
    <row r="6750" spans="2:4" x14ac:dyDescent="0.25">
      <c r="B6750" t="s">
        <v>1580</v>
      </c>
      <c r="C6750">
        <v>378</v>
      </c>
      <c r="D6750">
        <v>13</v>
      </c>
    </row>
    <row r="6751" spans="2:4" x14ac:dyDescent="0.25">
      <c r="B6751" t="s">
        <v>1580</v>
      </c>
      <c r="C6751">
        <v>378</v>
      </c>
      <c r="D6751">
        <v>14</v>
      </c>
    </row>
    <row r="6752" spans="2:4" x14ac:dyDescent="0.25">
      <c r="B6752" t="s">
        <v>1580</v>
      </c>
      <c r="C6752">
        <v>379</v>
      </c>
      <c r="D6752">
        <v>6</v>
      </c>
    </row>
    <row r="6753" spans="2:4" x14ac:dyDescent="0.25">
      <c r="B6753" t="s">
        <v>1580</v>
      </c>
      <c r="C6753">
        <v>379</v>
      </c>
      <c r="D6753">
        <v>8</v>
      </c>
    </row>
    <row r="6754" spans="2:4" x14ac:dyDescent="0.25">
      <c r="B6754" t="s">
        <v>1580</v>
      </c>
      <c r="C6754">
        <v>379</v>
      </c>
      <c r="D6754">
        <v>13</v>
      </c>
    </row>
    <row r="6755" spans="2:4" x14ac:dyDescent="0.25">
      <c r="B6755" t="s">
        <v>1580</v>
      </c>
      <c r="C6755">
        <v>379</v>
      </c>
      <c r="D6755">
        <v>14</v>
      </c>
    </row>
    <row r="6756" spans="2:4" x14ac:dyDescent="0.25">
      <c r="B6756" t="s">
        <v>1580</v>
      </c>
      <c r="C6756">
        <v>380</v>
      </c>
      <c r="D6756">
        <v>6</v>
      </c>
    </row>
    <row r="6757" spans="2:4" x14ac:dyDescent="0.25">
      <c r="B6757" t="s">
        <v>1580</v>
      </c>
      <c r="C6757">
        <v>380</v>
      </c>
      <c r="D6757">
        <v>8</v>
      </c>
    </row>
    <row r="6758" spans="2:4" x14ac:dyDescent="0.25">
      <c r="B6758" t="s">
        <v>1580</v>
      </c>
      <c r="C6758">
        <v>380</v>
      </c>
      <c r="D6758">
        <v>13</v>
      </c>
    </row>
    <row r="6759" spans="2:4" x14ac:dyDescent="0.25">
      <c r="B6759" t="s">
        <v>1580</v>
      </c>
      <c r="C6759">
        <v>380</v>
      </c>
      <c r="D6759">
        <v>14</v>
      </c>
    </row>
    <row r="6760" spans="2:4" x14ac:dyDescent="0.25">
      <c r="B6760" t="s">
        <v>1580</v>
      </c>
      <c r="C6760">
        <v>381</v>
      </c>
      <c r="D6760">
        <v>5</v>
      </c>
    </row>
    <row r="6761" spans="2:4" x14ac:dyDescent="0.25">
      <c r="B6761" t="s">
        <v>1580</v>
      </c>
      <c r="C6761">
        <v>383</v>
      </c>
      <c r="D6761">
        <v>6</v>
      </c>
    </row>
    <row r="6762" spans="2:4" x14ac:dyDescent="0.25">
      <c r="B6762" t="s">
        <v>1580</v>
      </c>
      <c r="C6762">
        <v>383</v>
      </c>
      <c r="D6762">
        <v>8</v>
      </c>
    </row>
    <row r="6763" spans="2:4" x14ac:dyDescent="0.25">
      <c r="B6763" t="s">
        <v>1580</v>
      </c>
      <c r="C6763">
        <v>383</v>
      </c>
      <c r="D6763">
        <v>13</v>
      </c>
    </row>
    <row r="6764" spans="2:4" x14ac:dyDescent="0.25">
      <c r="B6764" t="s">
        <v>1580</v>
      </c>
      <c r="C6764">
        <v>383</v>
      </c>
      <c r="D6764">
        <v>14</v>
      </c>
    </row>
    <row r="6765" spans="2:4" x14ac:dyDescent="0.25">
      <c r="B6765" t="s">
        <v>1580</v>
      </c>
      <c r="C6765">
        <v>384</v>
      </c>
      <c r="D6765">
        <v>6</v>
      </c>
    </row>
    <row r="6766" spans="2:4" x14ac:dyDescent="0.25">
      <c r="B6766" t="s">
        <v>1580</v>
      </c>
      <c r="C6766">
        <v>384</v>
      </c>
      <c r="D6766">
        <v>8</v>
      </c>
    </row>
    <row r="6767" spans="2:4" x14ac:dyDescent="0.25">
      <c r="B6767" t="s">
        <v>1580</v>
      </c>
      <c r="C6767">
        <v>384</v>
      </c>
      <c r="D6767">
        <v>13</v>
      </c>
    </row>
    <row r="6768" spans="2:4" x14ac:dyDescent="0.25">
      <c r="B6768" t="s">
        <v>1580</v>
      </c>
      <c r="C6768">
        <v>384</v>
      </c>
      <c r="D6768">
        <v>14</v>
      </c>
    </row>
    <row r="6769" spans="2:4" x14ac:dyDescent="0.25">
      <c r="B6769" t="s">
        <v>1580</v>
      </c>
      <c r="C6769">
        <v>385</v>
      </c>
      <c r="D6769">
        <v>6</v>
      </c>
    </row>
    <row r="6770" spans="2:4" x14ac:dyDescent="0.25">
      <c r="B6770" t="s">
        <v>1580</v>
      </c>
      <c r="C6770">
        <v>385</v>
      </c>
      <c r="D6770">
        <v>8</v>
      </c>
    </row>
    <row r="6771" spans="2:4" x14ac:dyDescent="0.25">
      <c r="B6771" t="s">
        <v>1580</v>
      </c>
      <c r="C6771">
        <v>385</v>
      </c>
      <c r="D6771">
        <v>13</v>
      </c>
    </row>
    <row r="6772" spans="2:4" x14ac:dyDescent="0.25">
      <c r="B6772" t="s">
        <v>1580</v>
      </c>
      <c r="C6772">
        <v>385</v>
      </c>
      <c r="D6772">
        <v>14</v>
      </c>
    </row>
    <row r="6773" spans="2:4" x14ac:dyDescent="0.25">
      <c r="B6773" t="s">
        <v>1580</v>
      </c>
      <c r="C6773">
        <v>386</v>
      </c>
      <c r="D6773">
        <v>6</v>
      </c>
    </row>
    <row r="6774" spans="2:4" x14ac:dyDescent="0.25">
      <c r="B6774" t="s">
        <v>1580</v>
      </c>
      <c r="C6774">
        <v>386</v>
      </c>
      <c r="D6774">
        <v>8</v>
      </c>
    </row>
    <row r="6775" spans="2:4" x14ac:dyDescent="0.25">
      <c r="B6775" t="s">
        <v>1580</v>
      </c>
      <c r="C6775">
        <v>386</v>
      </c>
      <c r="D6775">
        <v>13</v>
      </c>
    </row>
    <row r="6776" spans="2:4" x14ac:dyDescent="0.25">
      <c r="B6776" t="s">
        <v>1580</v>
      </c>
      <c r="C6776">
        <v>386</v>
      </c>
      <c r="D6776">
        <v>14</v>
      </c>
    </row>
    <row r="6777" spans="2:4" x14ac:dyDescent="0.25">
      <c r="B6777" t="s">
        <v>1580</v>
      </c>
      <c r="C6777">
        <v>387</v>
      </c>
      <c r="D6777">
        <v>6</v>
      </c>
    </row>
    <row r="6778" spans="2:4" x14ac:dyDescent="0.25">
      <c r="B6778" t="s">
        <v>1580</v>
      </c>
      <c r="C6778">
        <v>387</v>
      </c>
      <c r="D6778">
        <v>8</v>
      </c>
    </row>
    <row r="6779" spans="2:4" x14ac:dyDescent="0.25">
      <c r="B6779" t="s">
        <v>1580</v>
      </c>
      <c r="C6779">
        <v>387</v>
      </c>
      <c r="D6779">
        <v>13</v>
      </c>
    </row>
    <row r="6780" spans="2:4" x14ac:dyDescent="0.25">
      <c r="B6780" t="s">
        <v>1580</v>
      </c>
      <c r="C6780">
        <v>387</v>
      </c>
      <c r="D6780">
        <v>14</v>
      </c>
    </row>
    <row r="6781" spans="2:4" x14ac:dyDescent="0.25">
      <c r="B6781" t="s">
        <v>1580</v>
      </c>
      <c r="C6781">
        <v>388</v>
      </c>
      <c r="D6781">
        <v>6</v>
      </c>
    </row>
    <row r="6782" spans="2:4" x14ac:dyDescent="0.25">
      <c r="B6782" t="s">
        <v>1580</v>
      </c>
      <c r="C6782">
        <v>388</v>
      </c>
      <c r="D6782">
        <v>8</v>
      </c>
    </row>
    <row r="6783" spans="2:4" x14ac:dyDescent="0.25">
      <c r="B6783" t="s">
        <v>1580</v>
      </c>
      <c r="C6783">
        <v>388</v>
      </c>
      <c r="D6783">
        <v>13</v>
      </c>
    </row>
    <row r="6784" spans="2:4" x14ac:dyDescent="0.25">
      <c r="B6784" t="s">
        <v>1580</v>
      </c>
      <c r="C6784">
        <v>388</v>
      </c>
      <c r="D6784">
        <v>14</v>
      </c>
    </row>
    <row r="6785" spans="2:4" x14ac:dyDescent="0.25">
      <c r="B6785" t="s">
        <v>1580</v>
      </c>
      <c r="C6785">
        <v>390</v>
      </c>
      <c r="D6785">
        <v>6</v>
      </c>
    </row>
    <row r="6786" spans="2:4" x14ac:dyDescent="0.25">
      <c r="B6786" t="s">
        <v>1580</v>
      </c>
      <c r="C6786">
        <v>390</v>
      </c>
      <c r="D6786">
        <v>8</v>
      </c>
    </row>
    <row r="6787" spans="2:4" x14ac:dyDescent="0.25">
      <c r="B6787" t="s">
        <v>1580</v>
      </c>
      <c r="C6787">
        <v>390</v>
      </c>
      <c r="D6787">
        <v>13</v>
      </c>
    </row>
    <row r="6788" spans="2:4" x14ac:dyDescent="0.25">
      <c r="B6788" t="s">
        <v>1580</v>
      </c>
      <c r="C6788">
        <v>390</v>
      </c>
      <c r="D6788">
        <v>14</v>
      </c>
    </row>
    <row r="6789" spans="2:4" x14ac:dyDescent="0.25">
      <c r="B6789" t="s">
        <v>1580</v>
      </c>
      <c r="C6789">
        <v>391</v>
      </c>
      <c r="D6789">
        <v>6</v>
      </c>
    </row>
    <row r="6790" spans="2:4" x14ac:dyDescent="0.25">
      <c r="B6790" t="s">
        <v>1580</v>
      </c>
      <c r="C6790">
        <v>391</v>
      </c>
      <c r="D6790">
        <v>8</v>
      </c>
    </row>
    <row r="6791" spans="2:4" x14ac:dyDescent="0.25">
      <c r="B6791" t="s">
        <v>1580</v>
      </c>
      <c r="C6791">
        <v>391</v>
      </c>
      <c r="D6791">
        <v>13</v>
      </c>
    </row>
    <row r="6792" spans="2:4" x14ac:dyDescent="0.25">
      <c r="B6792" t="s">
        <v>1580</v>
      </c>
      <c r="C6792">
        <v>391</v>
      </c>
      <c r="D6792">
        <v>14</v>
      </c>
    </row>
    <row r="6793" spans="2:4" x14ac:dyDescent="0.25">
      <c r="B6793" t="s">
        <v>1580</v>
      </c>
      <c r="C6793">
        <v>392</v>
      </c>
      <c r="D6793">
        <v>6</v>
      </c>
    </row>
    <row r="6794" spans="2:4" x14ac:dyDescent="0.25">
      <c r="B6794" t="s">
        <v>1580</v>
      </c>
      <c r="C6794">
        <v>392</v>
      </c>
      <c r="D6794">
        <v>8</v>
      </c>
    </row>
    <row r="6795" spans="2:4" x14ac:dyDescent="0.25">
      <c r="B6795" t="s">
        <v>1580</v>
      </c>
      <c r="C6795">
        <v>392</v>
      </c>
      <c r="D6795">
        <v>13</v>
      </c>
    </row>
    <row r="6796" spans="2:4" x14ac:dyDescent="0.25">
      <c r="B6796" t="s">
        <v>1580</v>
      </c>
      <c r="C6796">
        <v>392</v>
      </c>
      <c r="D6796">
        <v>14</v>
      </c>
    </row>
    <row r="6797" spans="2:4" x14ac:dyDescent="0.25">
      <c r="B6797" t="s">
        <v>1580</v>
      </c>
      <c r="C6797">
        <v>393</v>
      </c>
      <c r="D6797">
        <v>6</v>
      </c>
    </row>
    <row r="6798" spans="2:4" x14ac:dyDescent="0.25">
      <c r="B6798" t="s">
        <v>1580</v>
      </c>
      <c r="C6798">
        <v>393</v>
      </c>
      <c r="D6798">
        <v>8</v>
      </c>
    </row>
    <row r="6799" spans="2:4" x14ac:dyDescent="0.25">
      <c r="B6799" t="s">
        <v>1580</v>
      </c>
      <c r="C6799">
        <v>393</v>
      </c>
      <c r="D6799">
        <v>13</v>
      </c>
    </row>
    <row r="6800" spans="2:4" x14ac:dyDescent="0.25">
      <c r="B6800" t="s">
        <v>1580</v>
      </c>
      <c r="C6800">
        <v>393</v>
      </c>
      <c r="D6800">
        <v>14</v>
      </c>
    </row>
    <row r="6801" spans="2:4" x14ac:dyDescent="0.25">
      <c r="B6801" t="s">
        <v>1580</v>
      </c>
      <c r="C6801">
        <v>394</v>
      </c>
      <c r="D6801">
        <v>6</v>
      </c>
    </row>
    <row r="6802" spans="2:4" x14ac:dyDescent="0.25">
      <c r="B6802" t="s">
        <v>1580</v>
      </c>
      <c r="C6802">
        <v>394</v>
      </c>
      <c r="D6802">
        <v>8</v>
      </c>
    </row>
    <row r="6803" spans="2:4" x14ac:dyDescent="0.25">
      <c r="B6803" t="s">
        <v>1580</v>
      </c>
      <c r="C6803">
        <v>394</v>
      </c>
      <c r="D6803">
        <v>13</v>
      </c>
    </row>
    <row r="6804" spans="2:4" x14ac:dyDescent="0.25">
      <c r="B6804" t="s">
        <v>1580</v>
      </c>
      <c r="C6804">
        <v>394</v>
      </c>
      <c r="D6804">
        <v>14</v>
      </c>
    </row>
    <row r="6805" spans="2:4" x14ac:dyDescent="0.25">
      <c r="B6805" t="s">
        <v>1580</v>
      </c>
      <c r="C6805">
        <v>395</v>
      </c>
      <c r="D6805">
        <v>6</v>
      </c>
    </row>
    <row r="6806" spans="2:4" x14ac:dyDescent="0.25">
      <c r="B6806" t="s">
        <v>1580</v>
      </c>
      <c r="C6806">
        <v>395</v>
      </c>
      <c r="D6806">
        <v>8</v>
      </c>
    </row>
    <row r="6807" spans="2:4" x14ac:dyDescent="0.25">
      <c r="B6807" t="s">
        <v>1580</v>
      </c>
      <c r="C6807">
        <v>395</v>
      </c>
      <c r="D6807">
        <v>13</v>
      </c>
    </row>
    <row r="6808" spans="2:4" x14ac:dyDescent="0.25">
      <c r="B6808" t="s">
        <v>1580</v>
      </c>
      <c r="C6808">
        <v>395</v>
      </c>
      <c r="D6808">
        <v>14</v>
      </c>
    </row>
    <row r="6809" spans="2:4" x14ac:dyDescent="0.25">
      <c r="B6809" t="s">
        <v>1580</v>
      </c>
      <c r="C6809">
        <v>398</v>
      </c>
      <c r="D6809">
        <v>6</v>
      </c>
    </row>
    <row r="6810" spans="2:4" x14ac:dyDescent="0.25">
      <c r="B6810" t="s">
        <v>1580</v>
      </c>
      <c r="C6810">
        <v>398</v>
      </c>
      <c r="D6810">
        <v>8</v>
      </c>
    </row>
    <row r="6811" spans="2:4" x14ac:dyDescent="0.25">
      <c r="B6811" t="s">
        <v>1580</v>
      </c>
      <c r="C6811">
        <v>398</v>
      </c>
      <c r="D6811">
        <v>13</v>
      </c>
    </row>
    <row r="6812" spans="2:4" x14ac:dyDescent="0.25">
      <c r="B6812" t="s">
        <v>1580</v>
      </c>
      <c r="C6812">
        <v>398</v>
      </c>
      <c r="D6812">
        <v>14</v>
      </c>
    </row>
    <row r="6813" spans="2:4" x14ac:dyDescent="0.25">
      <c r="B6813" t="s">
        <v>1580</v>
      </c>
      <c r="C6813">
        <v>399</v>
      </c>
      <c r="D6813">
        <v>6</v>
      </c>
    </row>
    <row r="6814" spans="2:4" x14ac:dyDescent="0.25">
      <c r="B6814" t="s">
        <v>1580</v>
      </c>
      <c r="C6814">
        <v>399</v>
      </c>
      <c r="D6814">
        <v>8</v>
      </c>
    </row>
    <row r="6815" spans="2:4" x14ac:dyDescent="0.25">
      <c r="B6815" t="s">
        <v>1580</v>
      </c>
      <c r="C6815">
        <v>399</v>
      </c>
      <c r="D6815">
        <v>13</v>
      </c>
    </row>
    <row r="6816" spans="2:4" x14ac:dyDescent="0.25">
      <c r="B6816" t="s">
        <v>1580</v>
      </c>
      <c r="C6816">
        <v>399</v>
      </c>
      <c r="D6816">
        <v>14</v>
      </c>
    </row>
    <row r="6817" spans="2:4" x14ac:dyDescent="0.25">
      <c r="B6817" t="s">
        <v>1580</v>
      </c>
      <c r="C6817">
        <v>400</v>
      </c>
      <c r="D6817">
        <v>6</v>
      </c>
    </row>
    <row r="6818" spans="2:4" x14ac:dyDescent="0.25">
      <c r="B6818" t="s">
        <v>1580</v>
      </c>
      <c r="C6818">
        <v>400</v>
      </c>
      <c r="D6818">
        <v>8</v>
      </c>
    </row>
    <row r="6819" spans="2:4" x14ac:dyDescent="0.25">
      <c r="B6819" t="s">
        <v>1580</v>
      </c>
      <c r="C6819">
        <v>400</v>
      </c>
      <c r="D6819">
        <v>13</v>
      </c>
    </row>
    <row r="6820" spans="2:4" x14ac:dyDescent="0.25">
      <c r="B6820" t="s">
        <v>1580</v>
      </c>
      <c r="C6820">
        <v>400</v>
      </c>
      <c r="D6820">
        <v>14</v>
      </c>
    </row>
    <row r="6821" spans="2:4" x14ac:dyDescent="0.25">
      <c r="B6821" t="s">
        <v>1580</v>
      </c>
      <c r="C6821">
        <v>402</v>
      </c>
      <c r="D6821">
        <v>6</v>
      </c>
    </row>
    <row r="6822" spans="2:4" x14ac:dyDescent="0.25">
      <c r="B6822" t="s">
        <v>1580</v>
      </c>
      <c r="C6822">
        <v>402</v>
      </c>
      <c r="D6822">
        <v>8</v>
      </c>
    </row>
    <row r="6823" spans="2:4" x14ac:dyDescent="0.25">
      <c r="B6823" t="s">
        <v>1580</v>
      </c>
      <c r="C6823">
        <v>402</v>
      </c>
      <c r="D6823">
        <v>13</v>
      </c>
    </row>
    <row r="6824" spans="2:4" x14ac:dyDescent="0.25">
      <c r="B6824" t="s">
        <v>1580</v>
      </c>
      <c r="C6824">
        <v>402</v>
      </c>
      <c r="D6824">
        <v>14</v>
      </c>
    </row>
    <row r="6825" spans="2:4" x14ac:dyDescent="0.25">
      <c r="B6825" t="s">
        <v>1580</v>
      </c>
      <c r="C6825">
        <v>403</v>
      </c>
      <c r="D6825">
        <v>6</v>
      </c>
    </row>
    <row r="6826" spans="2:4" x14ac:dyDescent="0.25">
      <c r="B6826" t="s">
        <v>1580</v>
      </c>
      <c r="C6826">
        <v>403</v>
      </c>
      <c r="D6826">
        <v>8</v>
      </c>
    </row>
    <row r="6827" spans="2:4" x14ac:dyDescent="0.25">
      <c r="B6827" t="s">
        <v>1580</v>
      </c>
      <c r="C6827">
        <v>403</v>
      </c>
      <c r="D6827">
        <v>13</v>
      </c>
    </row>
    <row r="6828" spans="2:4" x14ac:dyDescent="0.25">
      <c r="B6828" t="s">
        <v>1580</v>
      </c>
      <c r="C6828">
        <v>403</v>
      </c>
      <c r="D6828">
        <v>14</v>
      </c>
    </row>
    <row r="6829" spans="2:4" x14ac:dyDescent="0.25">
      <c r="B6829" t="s">
        <v>1580</v>
      </c>
      <c r="C6829">
        <v>404</v>
      </c>
      <c r="D6829">
        <v>6</v>
      </c>
    </row>
    <row r="6830" spans="2:4" x14ac:dyDescent="0.25">
      <c r="B6830" t="s">
        <v>1580</v>
      </c>
      <c r="C6830">
        <v>404</v>
      </c>
      <c r="D6830">
        <v>8</v>
      </c>
    </row>
    <row r="6831" spans="2:4" x14ac:dyDescent="0.25">
      <c r="B6831" t="s">
        <v>1580</v>
      </c>
      <c r="C6831">
        <v>404</v>
      </c>
      <c r="D6831">
        <v>13</v>
      </c>
    </row>
    <row r="6832" spans="2:4" x14ac:dyDescent="0.25">
      <c r="B6832" t="s">
        <v>1580</v>
      </c>
      <c r="C6832">
        <v>404</v>
      </c>
      <c r="D6832">
        <v>14</v>
      </c>
    </row>
    <row r="6833" spans="2:4" x14ac:dyDescent="0.25">
      <c r="B6833" t="s">
        <v>1580</v>
      </c>
      <c r="C6833">
        <v>405</v>
      </c>
      <c r="D6833">
        <v>6</v>
      </c>
    </row>
    <row r="6834" spans="2:4" x14ac:dyDescent="0.25">
      <c r="B6834" t="s">
        <v>1580</v>
      </c>
      <c r="C6834">
        <v>405</v>
      </c>
      <c r="D6834">
        <v>8</v>
      </c>
    </row>
    <row r="6835" spans="2:4" x14ac:dyDescent="0.25">
      <c r="B6835" t="s">
        <v>1580</v>
      </c>
      <c r="C6835">
        <v>405</v>
      </c>
      <c r="D6835">
        <v>13</v>
      </c>
    </row>
    <row r="6836" spans="2:4" x14ac:dyDescent="0.25">
      <c r="B6836" t="s">
        <v>1580</v>
      </c>
      <c r="C6836">
        <v>405</v>
      </c>
      <c r="D6836">
        <v>14</v>
      </c>
    </row>
    <row r="6837" spans="2:4" x14ac:dyDescent="0.25">
      <c r="B6837" t="s">
        <v>1580</v>
      </c>
      <c r="C6837">
        <v>407</v>
      </c>
      <c r="D6837">
        <v>6</v>
      </c>
    </row>
    <row r="6838" spans="2:4" x14ac:dyDescent="0.25">
      <c r="B6838" t="s">
        <v>1580</v>
      </c>
      <c r="C6838">
        <v>407</v>
      </c>
      <c r="D6838">
        <v>8</v>
      </c>
    </row>
    <row r="6839" spans="2:4" x14ac:dyDescent="0.25">
      <c r="B6839" t="s">
        <v>1580</v>
      </c>
      <c r="C6839">
        <v>407</v>
      </c>
      <c r="D6839">
        <v>13</v>
      </c>
    </row>
    <row r="6840" spans="2:4" x14ac:dyDescent="0.25">
      <c r="B6840" t="s">
        <v>1580</v>
      </c>
      <c r="C6840">
        <v>407</v>
      </c>
      <c r="D6840">
        <v>14</v>
      </c>
    </row>
    <row r="6841" spans="2:4" x14ac:dyDescent="0.25">
      <c r="B6841" t="s">
        <v>1580</v>
      </c>
      <c r="C6841">
        <v>408</v>
      </c>
      <c r="D6841">
        <v>6</v>
      </c>
    </row>
    <row r="6842" spans="2:4" x14ac:dyDescent="0.25">
      <c r="B6842" t="s">
        <v>1580</v>
      </c>
      <c r="C6842">
        <v>408</v>
      </c>
      <c r="D6842">
        <v>8</v>
      </c>
    </row>
    <row r="6843" spans="2:4" x14ac:dyDescent="0.25">
      <c r="B6843" t="s">
        <v>1580</v>
      </c>
      <c r="C6843">
        <v>408</v>
      </c>
      <c r="D6843">
        <v>13</v>
      </c>
    </row>
    <row r="6844" spans="2:4" x14ac:dyDescent="0.25">
      <c r="B6844" t="s">
        <v>1580</v>
      </c>
      <c r="C6844">
        <v>408</v>
      </c>
      <c r="D6844">
        <v>14</v>
      </c>
    </row>
    <row r="6845" spans="2:4" x14ac:dyDescent="0.25">
      <c r="B6845" t="s">
        <v>1580</v>
      </c>
      <c r="C6845">
        <v>409</v>
      </c>
      <c r="D6845">
        <v>6</v>
      </c>
    </row>
    <row r="6846" spans="2:4" x14ac:dyDescent="0.25">
      <c r="B6846" t="s">
        <v>1580</v>
      </c>
      <c r="C6846">
        <v>409</v>
      </c>
      <c r="D6846">
        <v>8</v>
      </c>
    </row>
    <row r="6847" spans="2:4" x14ac:dyDescent="0.25">
      <c r="B6847" t="s">
        <v>1580</v>
      </c>
      <c r="C6847">
        <v>409</v>
      </c>
      <c r="D6847">
        <v>13</v>
      </c>
    </row>
    <row r="6848" spans="2:4" x14ac:dyDescent="0.25">
      <c r="B6848" t="s">
        <v>1580</v>
      </c>
      <c r="C6848">
        <v>409</v>
      </c>
      <c r="D6848">
        <v>14</v>
      </c>
    </row>
    <row r="6849" spans="2:4" x14ac:dyDescent="0.25">
      <c r="B6849" t="s">
        <v>1580</v>
      </c>
      <c r="C6849">
        <v>410</v>
      </c>
      <c r="D6849">
        <v>6</v>
      </c>
    </row>
    <row r="6850" spans="2:4" x14ac:dyDescent="0.25">
      <c r="B6850" t="s">
        <v>1580</v>
      </c>
      <c r="C6850">
        <v>410</v>
      </c>
      <c r="D6850">
        <v>8</v>
      </c>
    </row>
    <row r="6851" spans="2:4" x14ac:dyDescent="0.25">
      <c r="B6851" t="s">
        <v>1580</v>
      </c>
      <c r="C6851">
        <v>410</v>
      </c>
      <c r="D6851">
        <v>13</v>
      </c>
    </row>
    <row r="6852" spans="2:4" x14ac:dyDescent="0.25">
      <c r="B6852" t="s">
        <v>1580</v>
      </c>
      <c r="C6852">
        <v>410</v>
      </c>
      <c r="D6852">
        <v>14</v>
      </c>
    </row>
    <row r="6853" spans="2:4" x14ac:dyDescent="0.25">
      <c r="B6853" t="s">
        <v>1580</v>
      </c>
      <c r="C6853">
        <v>411</v>
      </c>
      <c r="D6853">
        <v>6</v>
      </c>
    </row>
    <row r="6854" spans="2:4" x14ac:dyDescent="0.25">
      <c r="B6854" t="s">
        <v>1580</v>
      </c>
      <c r="C6854">
        <v>411</v>
      </c>
      <c r="D6854">
        <v>8</v>
      </c>
    </row>
    <row r="6855" spans="2:4" x14ac:dyDescent="0.25">
      <c r="B6855" t="s">
        <v>1580</v>
      </c>
      <c r="C6855">
        <v>411</v>
      </c>
      <c r="D6855">
        <v>13</v>
      </c>
    </row>
    <row r="6856" spans="2:4" x14ac:dyDescent="0.25">
      <c r="B6856" t="s">
        <v>1580</v>
      </c>
      <c r="C6856">
        <v>411</v>
      </c>
      <c r="D6856">
        <v>14</v>
      </c>
    </row>
    <row r="6857" spans="2:4" x14ac:dyDescent="0.25">
      <c r="B6857" t="s">
        <v>1580</v>
      </c>
      <c r="C6857">
        <v>412</v>
      </c>
      <c r="D6857">
        <v>6</v>
      </c>
    </row>
    <row r="6858" spans="2:4" x14ac:dyDescent="0.25">
      <c r="B6858" t="s">
        <v>1580</v>
      </c>
      <c r="C6858">
        <v>412</v>
      </c>
      <c r="D6858">
        <v>8</v>
      </c>
    </row>
    <row r="6859" spans="2:4" x14ac:dyDescent="0.25">
      <c r="B6859" t="s">
        <v>1580</v>
      </c>
      <c r="C6859">
        <v>412</v>
      </c>
      <c r="D6859">
        <v>13</v>
      </c>
    </row>
    <row r="6860" spans="2:4" x14ac:dyDescent="0.25">
      <c r="B6860" t="s">
        <v>1580</v>
      </c>
      <c r="C6860">
        <v>412</v>
      </c>
      <c r="D6860">
        <v>14</v>
      </c>
    </row>
    <row r="6861" spans="2:4" x14ac:dyDescent="0.25">
      <c r="B6861" t="s">
        <v>1580</v>
      </c>
      <c r="C6861">
        <v>413</v>
      </c>
      <c r="D6861">
        <v>6</v>
      </c>
    </row>
    <row r="6862" spans="2:4" x14ac:dyDescent="0.25">
      <c r="B6862" t="s">
        <v>1580</v>
      </c>
      <c r="C6862">
        <v>413</v>
      </c>
      <c r="D6862">
        <v>8</v>
      </c>
    </row>
    <row r="6863" spans="2:4" x14ac:dyDescent="0.25">
      <c r="B6863" t="s">
        <v>1580</v>
      </c>
      <c r="C6863">
        <v>413</v>
      </c>
      <c r="D6863">
        <v>13</v>
      </c>
    </row>
    <row r="6864" spans="2:4" x14ac:dyDescent="0.25">
      <c r="B6864" t="s">
        <v>1580</v>
      </c>
      <c r="C6864">
        <v>413</v>
      </c>
      <c r="D6864">
        <v>14</v>
      </c>
    </row>
    <row r="6865" spans="2:4" x14ac:dyDescent="0.25">
      <c r="B6865" t="s">
        <v>1580</v>
      </c>
      <c r="C6865">
        <v>414</v>
      </c>
      <c r="D6865">
        <v>6</v>
      </c>
    </row>
    <row r="6866" spans="2:4" x14ac:dyDescent="0.25">
      <c r="B6866" t="s">
        <v>1580</v>
      </c>
      <c r="C6866">
        <v>414</v>
      </c>
      <c r="D6866">
        <v>8</v>
      </c>
    </row>
    <row r="6867" spans="2:4" x14ac:dyDescent="0.25">
      <c r="B6867" t="s">
        <v>1580</v>
      </c>
      <c r="C6867">
        <v>414</v>
      </c>
      <c r="D6867">
        <v>13</v>
      </c>
    </row>
    <row r="6868" spans="2:4" x14ac:dyDescent="0.25">
      <c r="B6868" t="s">
        <v>1580</v>
      </c>
      <c r="C6868">
        <v>414</v>
      </c>
      <c r="D6868">
        <v>14</v>
      </c>
    </row>
    <row r="6869" spans="2:4" x14ac:dyDescent="0.25">
      <c r="B6869" t="s">
        <v>1580</v>
      </c>
      <c r="C6869">
        <v>415</v>
      </c>
      <c r="D6869">
        <v>6</v>
      </c>
    </row>
    <row r="6870" spans="2:4" x14ac:dyDescent="0.25">
      <c r="B6870" t="s">
        <v>1580</v>
      </c>
      <c r="C6870">
        <v>415</v>
      </c>
      <c r="D6870">
        <v>8</v>
      </c>
    </row>
    <row r="6871" spans="2:4" x14ac:dyDescent="0.25">
      <c r="B6871" t="s">
        <v>1580</v>
      </c>
      <c r="C6871">
        <v>415</v>
      </c>
      <c r="D6871">
        <v>13</v>
      </c>
    </row>
    <row r="6872" spans="2:4" x14ac:dyDescent="0.25">
      <c r="B6872" t="s">
        <v>1580</v>
      </c>
      <c r="C6872">
        <v>415</v>
      </c>
      <c r="D6872">
        <v>14</v>
      </c>
    </row>
    <row r="6873" spans="2:4" x14ac:dyDescent="0.25">
      <c r="B6873" t="s">
        <v>1580</v>
      </c>
      <c r="C6873">
        <v>416</v>
      </c>
      <c r="D6873">
        <v>6</v>
      </c>
    </row>
    <row r="6874" spans="2:4" x14ac:dyDescent="0.25">
      <c r="B6874" t="s">
        <v>1580</v>
      </c>
      <c r="C6874">
        <v>416</v>
      </c>
      <c r="D6874">
        <v>8</v>
      </c>
    </row>
    <row r="6875" spans="2:4" x14ac:dyDescent="0.25">
      <c r="B6875" t="s">
        <v>1580</v>
      </c>
      <c r="C6875">
        <v>416</v>
      </c>
      <c r="D6875">
        <v>13</v>
      </c>
    </row>
    <row r="6876" spans="2:4" x14ac:dyDescent="0.25">
      <c r="B6876" t="s">
        <v>1580</v>
      </c>
      <c r="C6876">
        <v>416</v>
      </c>
      <c r="D6876">
        <v>14</v>
      </c>
    </row>
    <row r="6877" spans="2:4" x14ac:dyDescent="0.25">
      <c r="B6877" t="s">
        <v>1580</v>
      </c>
      <c r="C6877">
        <v>417</v>
      </c>
      <c r="D6877">
        <v>6</v>
      </c>
    </row>
    <row r="6878" spans="2:4" x14ac:dyDescent="0.25">
      <c r="B6878" t="s">
        <v>1580</v>
      </c>
      <c r="C6878">
        <v>417</v>
      </c>
      <c r="D6878">
        <v>8</v>
      </c>
    </row>
    <row r="6879" spans="2:4" x14ac:dyDescent="0.25">
      <c r="B6879" t="s">
        <v>1580</v>
      </c>
      <c r="C6879">
        <v>417</v>
      </c>
      <c r="D6879">
        <v>13</v>
      </c>
    </row>
    <row r="6880" spans="2:4" x14ac:dyDescent="0.25">
      <c r="B6880" t="s">
        <v>1580</v>
      </c>
      <c r="C6880">
        <v>417</v>
      </c>
      <c r="D6880">
        <v>14</v>
      </c>
    </row>
    <row r="6881" spans="2:4" x14ac:dyDescent="0.25">
      <c r="B6881" t="s">
        <v>1580</v>
      </c>
      <c r="C6881">
        <v>418</v>
      </c>
      <c r="D6881">
        <v>6</v>
      </c>
    </row>
    <row r="6882" spans="2:4" x14ac:dyDescent="0.25">
      <c r="B6882" t="s">
        <v>1580</v>
      </c>
      <c r="C6882">
        <v>418</v>
      </c>
      <c r="D6882">
        <v>8</v>
      </c>
    </row>
    <row r="6883" spans="2:4" x14ac:dyDescent="0.25">
      <c r="B6883" t="s">
        <v>1580</v>
      </c>
      <c r="C6883">
        <v>418</v>
      </c>
      <c r="D6883">
        <v>13</v>
      </c>
    </row>
    <row r="6884" spans="2:4" x14ac:dyDescent="0.25">
      <c r="B6884" t="s">
        <v>1580</v>
      </c>
      <c r="C6884">
        <v>418</v>
      </c>
      <c r="D6884">
        <v>14</v>
      </c>
    </row>
    <row r="6885" spans="2:4" x14ac:dyDescent="0.25">
      <c r="B6885" t="s">
        <v>1580</v>
      </c>
      <c r="C6885">
        <v>421</v>
      </c>
      <c r="D6885">
        <v>6</v>
      </c>
    </row>
    <row r="6886" spans="2:4" x14ac:dyDescent="0.25">
      <c r="B6886" t="s">
        <v>1580</v>
      </c>
      <c r="C6886">
        <v>421</v>
      </c>
      <c r="D6886">
        <v>8</v>
      </c>
    </row>
    <row r="6887" spans="2:4" x14ac:dyDescent="0.25">
      <c r="B6887" t="s">
        <v>1580</v>
      </c>
      <c r="C6887">
        <v>421</v>
      </c>
      <c r="D6887">
        <v>13</v>
      </c>
    </row>
    <row r="6888" spans="2:4" x14ac:dyDescent="0.25">
      <c r="B6888" t="s">
        <v>1580</v>
      </c>
      <c r="C6888">
        <v>421</v>
      </c>
      <c r="D6888">
        <v>14</v>
      </c>
    </row>
    <row r="6889" spans="2:4" x14ac:dyDescent="0.25">
      <c r="B6889" t="s">
        <v>1580</v>
      </c>
      <c r="C6889">
        <v>422</v>
      </c>
      <c r="D6889">
        <v>6</v>
      </c>
    </row>
    <row r="6890" spans="2:4" x14ac:dyDescent="0.25">
      <c r="B6890" t="s">
        <v>1580</v>
      </c>
      <c r="C6890">
        <v>422</v>
      </c>
      <c r="D6890">
        <v>8</v>
      </c>
    </row>
    <row r="6891" spans="2:4" x14ac:dyDescent="0.25">
      <c r="B6891" t="s">
        <v>1580</v>
      </c>
      <c r="C6891">
        <v>422</v>
      </c>
      <c r="D6891">
        <v>13</v>
      </c>
    </row>
    <row r="6892" spans="2:4" x14ac:dyDescent="0.25">
      <c r="B6892" t="s">
        <v>1580</v>
      </c>
      <c r="C6892">
        <v>422</v>
      </c>
      <c r="D6892">
        <v>14</v>
      </c>
    </row>
    <row r="6893" spans="2:4" x14ac:dyDescent="0.25">
      <c r="B6893" t="s">
        <v>1580</v>
      </c>
      <c r="C6893">
        <v>423</v>
      </c>
      <c r="D6893">
        <v>6</v>
      </c>
    </row>
    <row r="6894" spans="2:4" x14ac:dyDescent="0.25">
      <c r="B6894" t="s">
        <v>1580</v>
      </c>
      <c r="C6894">
        <v>423</v>
      </c>
      <c r="D6894">
        <v>8</v>
      </c>
    </row>
    <row r="6895" spans="2:4" x14ac:dyDescent="0.25">
      <c r="B6895" t="s">
        <v>1580</v>
      </c>
      <c r="C6895">
        <v>423</v>
      </c>
      <c r="D6895">
        <v>13</v>
      </c>
    </row>
    <row r="6896" spans="2:4" x14ac:dyDescent="0.25">
      <c r="B6896" t="s">
        <v>1580</v>
      </c>
      <c r="C6896">
        <v>423</v>
      </c>
      <c r="D6896">
        <v>14</v>
      </c>
    </row>
    <row r="6897" spans="2:4" x14ac:dyDescent="0.25">
      <c r="B6897" t="s">
        <v>1580</v>
      </c>
      <c r="C6897">
        <v>424</v>
      </c>
      <c r="D6897">
        <v>6</v>
      </c>
    </row>
    <row r="6898" spans="2:4" x14ac:dyDescent="0.25">
      <c r="B6898" t="s">
        <v>1580</v>
      </c>
      <c r="C6898">
        <v>424</v>
      </c>
      <c r="D6898">
        <v>8</v>
      </c>
    </row>
    <row r="6899" spans="2:4" x14ac:dyDescent="0.25">
      <c r="B6899" t="s">
        <v>1580</v>
      </c>
      <c r="C6899">
        <v>424</v>
      </c>
      <c r="D6899">
        <v>13</v>
      </c>
    </row>
    <row r="6900" spans="2:4" x14ac:dyDescent="0.25">
      <c r="B6900" t="s">
        <v>1580</v>
      </c>
      <c r="C6900">
        <v>424</v>
      </c>
      <c r="D6900">
        <v>14</v>
      </c>
    </row>
    <row r="6901" spans="2:4" x14ac:dyDescent="0.25">
      <c r="B6901" t="s">
        <v>1580</v>
      </c>
      <c r="C6901">
        <v>426</v>
      </c>
      <c r="D6901">
        <v>6</v>
      </c>
    </row>
    <row r="6902" spans="2:4" x14ac:dyDescent="0.25">
      <c r="B6902" t="s">
        <v>1580</v>
      </c>
      <c r="C6902">
        <v>426</v>
      </c>
      <c r="D6902">
        <v>8</v>
      </c>
    </row>
    <row r="6903" spans="2:4" x14ac:dyDescent="0.25">
      <c r="B6903" t="s">
        <v>1580</v>
      </c>
      <c r="C6903">
        <v>426</v>
      </c>
      <c r="D6903">
        <v>13</v>
      </c>
    </row>
    <row r="6904" spans="2:4" x14ac:dyDescent="0.25">
      <c r="B6904" t="s">
        <v>1580</v>
      </c>
      <c r="C6904">
        <v>426</v>
      </c>
      <c r="D6904">
        <v>14</v>
      </c>
    </row>
    <row r="6905" spans="2:4" x14ac:dyDescent="0.25">
      <c r="B6905" t="s">
        <v>1580</v>
      </c>
      <c r="C6905">
        <v>427</v>
      </c>
      <c r="D6905">
        <v>6</v>
      </c>
    </row>
    <row r="6906" spans="2:4" x14ac:dyDescent="0.25">
      <c r="B6906" t="s">
        <v>1580</v>
      </c>
      <c r="C6906">
        <v>427</v>
      </c>
      <c r="D6906">
        <v>8</v>
      </c>
    </row>
    <row r="6907" spans="2:4" x14ac:dyDescent="0.25">
      <c r="B6907" t="s">
        <v>1580</v>
      </c>
      <c r="C6907">
        <v>427</v>
      </c>
      <c r="D6907">
        <v>13</v>
      </c>
    </row>
    <row r="6908" spans="2:4" x14ac:dyDescent="0.25">
      <c r="B6908" t="s">
        <v>1580</v>
      </c>
      <c r="C6908">
        <v>427</v>
      </c>
      <c r="D6908">
        <v>14</v>
      </c>
    </row>
    <row r="6909" spans="2:4" x14ac:dyDescent="0.25">
      <c r="B6909" t="s">
        <v>1580</v>
      </c>
      <c r="C6909">
        <v>428</v>
      </c>
      <c r="D6909">
        <v>6</v>
      </c>
    </row>
    <row r="6910" spans="2:4" x14ac:dyDescent="0.25">
      <c r="B6910" t="s">
        <v>1580</v>
      </c>
      <c r="C6910">
        <v>428</v>
      </c>
      <c r="D6910">
        <v>8</v>
      </c>
    </row>
    <row r="6911" spans="2:4" x14ac:dyDescent="0.25">
      <c r="B6911" t="s">
        <v>1580</v>
      </c>
      <c r="C6911">
        <v>428</v>
      </c>
      <c r="D6911">
        <v>13</v>
      </c>
    </row>
    <row r="6912" spans="2:4" x14ac:dyDescent="0.25">
      <c r="B6912" t="s">
        <v>1580</v>
      </c>
      <c r="C6912">
        <v>428</v>
      </c>
      <c r="D6912">
        <v>14</v>
      </c>
    </row>
    <row r="6913" spans="2:4" x14ac:dyDescent="0.25">
      <c r="B6913" t="s">
        <v>1580</v>
      </c>
      <c r="C6913">
        <v>429</v>
      </c>
      <c r="D6913">
        <v>6</v>
      </c>
    </row>
    <row r="6914" spans="2:4" x14ac:dyDescent="0.25">
      <c r="B6914" t="s">
        <v>1580</v>
      </c>
      <c r="C6914">
        <v>429</v>
      </c>
      <c r="D6914">
        <v>8</v>
      </c>
    </row>
    <row r="6915" spans="2:4" x14ac:dyDescent="0.25">
      <c r="B6915" t="s">
        <v>1580</v>
      </c>
      <c r="C6915">
        <v>429</v>
      </c>
      <c r="D6915">
        <v>13</v>
      </c>
    </row>
    <row r="6916" spans="2:4" x14ac:dyDescent="0.25">
      <c r="B6916" t="s">
        <v>1580</v>
      </c>
      <c r="C6916">
        <v>429</v>
      </c>
      <c r="D6916">
        <v>14</v>
      </c>
    </row>
    <row r="6917" spans="2:4" x14ac:dyDescent="0.25">
      <c r="B6917" t="s">
        <v>1580</v>
      </c>
      <c r="C6917">
        <v>430</v>
      </c>
      <c r="D6917">
        <v>6</v>
      </c>
    </row>
    <row r="6918" spans="2:4" x14ac:dyDescent="0.25">
      <c r="B6918" t="s">
        <v>1580</v>
      </c>
      <c r="C6918">
        <v>430</v>
      </c>
      <c r="D6918">
        <v>8</v>
      </c>
    </row>
    <row r="6919" spans="2:4" x14ac:dyDescent="0.25">
      <c r="B6919" t="s">
        <v>1580</v>
      </c>
      <c r="C6919">
        <v>430</v>
      </c>
      <c r="D6919">
        <v>13</v>
      </c>
    </row>
    <row r="6920" spans="2:4" x14ac:dyDescent="0.25">
      <c r="B6920" t="s">
        <v>1580</v>
      </c>
      <c r="C6920">
        <v>430</v>
      </c>
      <c r="D6920">
        <v>14</v>
      </c>
    </row>
    <row r="6921" spans="2:4" x14ac:dyDescent="0.25">
      <c r="B6921" t="s">
        <v>1580</v>
      </c>
      <c r="C6921">
        <v>431</v>
      </c>
      <c r="D6921">
        <v>6</v>
      </c>
    </row>
    <row r="6922" spans="2:4" x14ac:dyDescent="0.25">
      <c r="B6922" t="s">
        <v>1580</v>
      </c>
      <c r="C6922">
        <v>431</v>
      </c>
      <c r="D6922">
        <v>8</v>
      </c>
    </row>
    <row r="6923" spans="2:4" x14ac:dyDescent="0.25">
      <c r="B6923" t="s">
        <v>1580</v>
      </c>
      <c r="C6923">
        <v>431</v>
      </c>
      <c r="D6923">
        <v>13</v>
      </c>
    </row>
    <row r="6924" spans="2:4" x14ac:dyDescent="0.25">
      <c r="B6924" t="s">
        <v>1580</v>
      </c>
      <c r="C6924">
        <v>431</v>
      </c>
      <c r="D6924">
        <v>14</v>
      </c>
    </row>
    <row r="6925" spans="2:4" x14ac:dyDescent="0.25">
      <c r="B6925" t="s">
        <v>1580</v>
      </c>
      <c r="C6925">
        <v>432</v>
      </c>
      <c r="D6925">
        <v>6</v>
      </c>
    </row>
    <row r="6926" spans="2:4" x14ac:dyDescent="0.25">
      <c r="B6926" t="s">
        <v>1580</v>
      </c>
      <c r="C6926">
        <v>432</v>
      </c>
      <c r="D6926">
        <v>8</v>
      </c>
    </row>
    <row r="6927" spans="2:4" x14ac:dyDescent="0.25">
      <c r="B6927" t="s">
        <v>1580</v>
      </c>
      <c r="C6927">
        <v>432</v>
      </c>
      <c r="D6927">
        <v>13</v>
      </c>
    </row>
    <row r="6928" spans="2:4" x14ac:dyDescent="0.25">
      <c r="B6928" t="s">
        <v>1580</v>
      </c>
      <c r="C6928">
        <v>432</v>
      </c>
      <c r="D6928">
        <v>14</v>
      </c>
    </row>
    <row r="6929" spans="2:4" x14ac:dyDescent="0.25">
      <c r="B6929" t="s">
        <v>1580</v>
      </c>
      <c r="C6929">
        <v>433</v>
      </c>
      <c r="D6929">
        <v>6</v>
      </c>
    </row>
    <row r="6930" spans="2:4" x14ac:dyDescent="0.25">
      <c r="B6930" t="s">
        <v>1580</v>
      </c>
      <c r="C6930">
        <v>433</v>
      </c>
      <c r="D6930">
        <v>8</v>
      </c>
    </row>
    <row r="6931" spans="2:4" x14ac:dyDescent="0.25">
      <c r="B6931" t="s">
        <v>1580</v>
      </c>
      <c r="C6931">
        <v>433</v>
      </c>
      <c r="D6931">
        <v>13</v>
      </c>
    </row>
    <row r="6932" spans="2:4" x14ac:dyDescent="0.25">
      <c r="B6932" t="s">
        <v>1580</v>
      </c>
      <c r="C6932">
        <v>433</v>
      </c>
      <c r="D6932">
        <v>14</v>
      </c>
    </row>
    <row r="6933" spans="2:4" x14ac:dyDescent="0.25">
      <c r="B6933" t="s">
        <v>1580</v>
      </c>
      <c r="C6933">
        <v>434</v>
      </c>
      <c r="D6933">
        <v>6</v>
      </c>
    </row>
    <row r="6934" spans="2:4" x14ac:dyDescent="0.25">
      <c r="B6934" t="s">
        <v>1580</v>
      </c>
      <c r="C6934">
        <v>434</v>
      </c>
      <c r="D6934">
        <v>8</v>
      </c>
    </row>
    <row r="6935" spans="2:4" x14ac:dyDescent="0.25">
      <c r="B6935" t="s">
        <v>1580</v>
      </c>
      <c r="C6935">
        <v>434</v>
      </c>
      <c r="D6935">
        <v>13</v>
      </c>
    </row>
    <row r="6936" spans="2:4" x14ac:dyDescent="0.25">
      <c r="B6936" t="s">
        <v>1580</v>
      </c>
      <c r="C6936">
        <v>434</v>
      </c>
      <c r="D6936">
        <v>14</v>
      </c>
    </row>
    <row r="6937" spans="2:4" x14ac:dyDescent="0.25">
      <c r="B6937" t="s">
        <v>1580</v>
      </c>
      <c r="C6937">
        <v>435</v>
      </c>
      <c r="D6937">
        <v>6</v>
      </c>
    </row>
    <row r="6938" spans="2:4" x14ac:dyDescent="0.25">
      <c r="B6938" t="s">
        <v>1580</v>
      </c>
      <c r="C6938">
        <v>435</v>
      </c>
      <c r="D6938">
        <v>8</v>
      </c>
    </row>
    <row r="6939" spans="2:4" x14ac:dyDescent="0.25">
      <c r="B6939" t="s">
        <v>1580</v>
      </c>
      <c r="C6939">
        <v>435</v>
      </c>
      <c r="D6939">
        <v>13</v>
      </c>
    </row>
    <row r="6940" spans="2:4" x14ac:dyDescent="0.25">
      <c r="B6940" t="s">
        <v>1580</v>
      </c>
      <c r="C6940">
        <v>435</v>
      </c>
      <c r="D6940">
        <v>14</v>
      </c>
    </row>
    <row r="6941" spans="2:4" x14ac:dyDescent="0.25">
      <c r="B6941" t="s">
        <v>1580</v>
      </c>
      <c r="C6941">
        <v>439</v>
      </c>
      <c r="D6941">
        <v>6</v>
      </c>
    </row>
    <row r="6942" spans="2:4" x14ac:dyDescent="0.25">
      <c r="B6942" t="s">
        <v>1580</v>
      </c>
      <c r="C6942">
        <v>439</v>
      </c>
      <c r="D6942">
        <v>8</v>
      </c>
    </row>
    <row r="6943" spans="2:4" x14ac:dyDescent="0.25">
      <c r="B6943" t="s">
        <v>1580</v>
      </c>
      <c r="C6943">
        <v>439</v>
      </c>
      <c r="D6943">
        <v>13</v>
      </c>
    </row>
    <row r="6944" spans="2:4" x14ac:dyDescent="0.25">
      <c r="B6944" t="s">
        <v>1580</v>
      </c>
      <c r="C6944">
        <v>439</v>
      </c>
      <c r="D6944">
        <v>14</v>
      </c>
    </row>
    <row r="6945" spans="2:4" x14ac:dyDescent="0.25">
      <c r="B6945" t="s">
        <v>1580</v>
      </c>
      <c r="C6945">
        <v>440</v>
      </c>
      <c r="D6945">
        <v>6</v>
      </c>
    </row>
    <row r="6946" spans="2:4" x14ac:dyDescent="0.25">
      <c r="B6946" t="s">
        <v>1580</v>
      </c>
      <c r="C6946">
        <v>440</v>
      </c>
      <c r="D6946">
        <v>8</v>
      </c>
    </row>
    <row r="6947" spans="2:4" x14ac:dyDescent="0.25">
      <c r="B6947" t="s">
        <v>1580</v>
      </c>
      <c r="C6947">
        <v>440</v>
      </c>
      <c r="D6947">
        <v>13</v>
      </c>
    </row>
    <row r="6948" spans="2:4" x14ac:dyDescent="0.25">
      <c r="B6948" t="s">
        <v>1580</v>
      </c>
      <c r="C6948">
        <v>440</v>
      </c>
      <c r="D6948">
        <v>14</v>
      </c>
    </row>
    <row r="6949" spans="2:4" x14ac:dyDescent="0.25">
      <c r="B6949" t="s">
        <v>1580</v>
      </c>
      <c r="C6949">
        <v>441</v>
      </c>
      <c r="D6949">
        <v>6</v>
      </c>
    </row>
    <row r="6950" spans="2:4" x14ac:dyDescent="0.25">
      <c r="B6950" t="s">
        <v>1580</v>
      </c>
      <c r="C6950">
        <v>441</v>
      </c>
      <c r="D6950">
        <v>8</v>
      </c>
    </row>
    <row r="6951" spans="2:4" x14ac:dyDescent="0.25">
      <c r="B6951" t="s">
        <v>1580</v>
      </c>
      <c r="C6951">
        <v>441</v>
      </c>
      <c r="D6951">
        <v>13</v>
      </c>
    </row>
    <row r="6952" spans="2:4" x14ac:dyDescent="0.25">
      <c r="B6952" t="s">
        <v>1580</v>
      </c>
      <c r="C6952">
        <v>441</v>
      </c>
      <c r="D6952">
        <v>14</v>
      </c>
    </row>
    <row r="6953" spans="2:4" x14ac:dyDescent="0.25">
      <c r="B6953" t="s">
        <v>1580</v>
      </c>
      <c r="C6953">
        <v>443</v>
      </c>
      <c r="D6953">
        <v>6</v>
      </c>
    </row>
    <row r="6954" spans="2:4" x14ac:dyDescent="0.25">
      <c r="B6954" t="s">
        <v>1580</v>
      </c>
      <c r="C6954">
        <v>443</v>
      </c>
      <c r="D6954">
        <v>8</v>
      </c>
    </row>
    <row r="6955" spans="2:4" x14ac:dyDescent="0.25">
      <c r="B6955" t="s">
        <v>1580</v>
      </c>
      <c r="C6955">
        <v>443</v>
      </c>
      <c r="D6955">
        <v>13</v>
      </c>
    </row>
    <row r="6956" spans="2:4" x14ac:dyDescent="0.25">
      <c r="B6956" t="s">
        <v>1580</v>
      </c>
      <c r="C6956">
        <v>443</v>
      </c>
      <c r="D6956">
        <v>14</v>
      </c>
    </row>
    <row r="6957" spans="2:4" x14ac:dyDescent="0.25">
      <c r="B6957" t="s">
        <v>1580</v>
      </c>
      <c r="C6957">
        <v>444</v>
      </c>
      <c r="D6957">
        <v>6</v>
      </c>
    </row>
    <row r="6958" spans="2:4" x14ac:dyDescent="0.25">
      <c r="B6958" t="s">
        <v>1580</v>
      </c>
      <c r="C6958">
        <v>444</v>
      </c>
      <c r="D6958">
        <v>8</v>
      </c>
    </row>
    <row r="6959" spans="2:4" x14ac:dyDescent="0.25">
      <c r="B6959" t="s">
        <v>1580</v>
      </c>
      <c r="C6959">
        <v>444</v>
      </c>
      <c r="D6959">
        <v>13</v>
      </c>
    </row>
    <row r="6960" spans="2:4" x14ac:dyDescent="0.25">
      <c r="B6960" t="s">
        <v>1580</v>
      </c>
      <c r="C6960">
        <v>444</v>
      </c>
      <c r="D6960">
        <v>14</v>
      </c>
    </row>
    <row r="6961" spans="2:4" x14ac:dyDescent="0.25">
      <c r="B6961" t="s">
        <v>1580</v>
      </c>
      <c r="C6961">
        <v>445</v>
      </c>
      <c r="D6961">
        <v>6</v>
      </c>
    </row>
    <row r="6962" spans="2:4" x14ac:dyDescent="0.25">
      <c r="B6962" t="s">
        <v>1580</v>
      </c>
      <c r="C6962">
        <v>445</v>
      </c>
      <c r="D6962">
        <v>8</v>
      </c>
    </row>
    <row r="6963" spans="2:4" x14ac:dyDescent="0.25">
      <c r="B6963" t="s">
        <v>1580</v>
      </c>
      <c r="C6963">
        <v>445</v>
      </c>
      <c r="D6963">
        <v>13</v>
      </c>
    </row>
    <row r="6964" spans="2:4" x14ac:dyDescent="0.25">
      <c r="B6964" t="s">
        <v>1580</v>
      </c>
      <c r="C6964">
        <v>445</v>
      </c>
      <c r="D6964">
        <v>14</v>
      </c>
    </row>
    <row r="6965" spans="2:4" x14ac:dyDescent="0.25">
      <c r="B6965" t="s">
        <v>1580</v>
      </c>
      <c r="C6965">
        <v>447</v>
      </c>
      <c r="D6965">
        <v>6</v>
      </c>
    </row>
    <row r="6966" spans="2:4" x14ac:dyDescent="0.25">
      <c r="B6966" t="s">
        <v>1580</v>
      </c>
      <c r="C6966">
        <v>447</v>
      </c>
      <c r="D6966">
        <v>8</v>
      </c>
    </row>
    <row r="6967" spans="2:4" x14ac:dyDescent="0.25">
      <c r="B6967" t="s">
        <v>1580</v>
      </c>
      <c r="C6967">
        <v>447</v>
      </c>
      <c r="D6967">
        <v>13</v>
      </c>
    </row>
    <row r="6968" spans="2:4" x14ac:dyDescent="0.25">
      <c r="B6968" t="s">
        <v>1580</v>
      </c>
      <c r="C6968">
        <v>447</v>
      </c>
      <c r="D6968">
        <v>14</v>
      </c>
    </row>
    <row r="6969" spans="2:4" x14ac:dyDescent="0.25">
      <c r="B6969" t="s">
        <v>1580</v>
      </c>
      <c r="C6969">
        <v>448</v>
      </c>
      <c r="D6969">
        <v>6</v>
      </c>
    </row>
    <row r="6970" spans="2:4" x14ac:dyDescent="0.25">
      <c r="B6970" t="s">
        <v>1580</v>
      </c>
      <c r="C6970">
        <v>448</v>
      </c>
      <c r="D6970">
        <v>8</v>
      </c>
    </row>
    <row r="6971" spans="2:4" x14ac:dyDescent="0.25">
      <c r="B6971" t="s">
        <v>1580</v>
      </c>
      <c r="C6971">
        <v>448</v>
      </c>
      <c r="D6971">
        <v>13</v>
      </c>
    </row>
    <row r="6972" spans="2:4" x14ac:dyDescent="0.25">
      <c r="B6972" t="s">
        <v>1580</v>
      </c>
      <c r="C6972">
        <v>448</v>
      </c>
      <c r="D6972">
        <v>14</v>
      </c>
    </row>
    <row r="6973" spans="2:4" x14ac:dyDescent="0.25">
      <c r="B6973" t="s">
        <v>1580</v>
      </c>
      <c r="C6973">
        <v>449</v>
      </c>
      <c r="D6973">
        <v>6</v>
      </c>
    </row>
    <row r="6974" spans="2:4" x14ac:dyDescent="0.25">
      <c r="B6974" t="s">
        <v>1580</v>
      </c>
      <c r="C6974">
        <v>449</v>
      </c>
      <c r="D6974">
        <v>8</v>
      </c>
    </row>
    <row r="6975" spans="2:4" x14ac:dyDescent="0.25">
      <c r="B6975" t="s">
        <v>1580</v>
      </c>
      <c r="C6975">
        <v>449</v>
      </c>
      <c r="D6975">
        <v>13</v>
      </c>
    </row>
    <row r="6976" spans="2:4" x14ac:dyDescent="0.25">
      <c r="B6976" t="s">
        <v>1580</v>
      </c>
      <c r="C6976">
        <v>449</v>
      </c>
      <c r="D6976">
        <v>14</v>
      </c>
    </row>
    <row r="6977" spans="2:4" x14ac:dyDescent="0.25">
      <c r="B6977" t="s">
        <v>1580</v>
      </c>
      <c r="C6977">
        <v>450</v>
      </c>
      <c r="D6977">
        <v>6</v>
      </c>
    </row>
    <row r="6978" spans="2:4" x14ac:dyDescent="0.25">
      <c r="B6978" t="s">
        <v>1580</v>
      </c>
      <c r="C6978">
        <v>450</v>
      </c>
      <c r="D6978">
        <v>8</v>
      </c>
    </row>
    <row r="6979" spans="2:4" x14ac:dyDescent="0.25">
      <c r="B6979" t="s">
        <v>1580</v>
      </c>
      <c r="C6979">
        <v>450</v>
      </c>
      <c r="D6979">
        <v>13</v>
      </c>
    </row>
    <row r="6980" spans="2:4" x14ac:dyDescent="0.25">
      <c r="B6980" t="s">
        <v>1580</v>
      </c>
      <c r="C6980">
        <v>450</v>
      </c>
      <c r="D6980">
        <v>14</v>
      </c>
    </row>
    <row r="6981" spans="2:4" x14ac:dyDescent="0.25">
      <c r="B6981" t="s">
        <v>1580</v>
      </c>
      <c r="C6981">
        <v>451</v>
      </c>
      <c r="D6981">
        <v>6</v>
      </c>
    </row>
    <row r="6982" spans="2:4" x14ac:dyDescent="0.25">
      <c r="B6982" t="s">
        <v>1580</v>
      </c>
      <c r="C6982">
        <v>451</v>
      </c>
      <c r="D6982">
        <v>8</v>
      </c>
    </row>
    <row r="6983" spans="2:4" x14ac:dyDescent="0.25">
      <c r="B6983" t="s">
        <v>1580</v>
      </c>
      <c r="C6983">
        <v>451</v>
      </c>
      <c r="D6983">
        <v>13</v>
      </c>
    </row>
    <row r="6984" spans="2:4" x14ac:dyDescent="0.25">
      <c r="B6984" t="s">
        <v>1580</v>
      </c>
      <c r="C6984">
        <v>451</v>
      </c>
      <c r="D6984">
        <v>14</v>
      </c>
    </row>
    <row r="6985" spans="2:4" x14ac:dyDescent="0.25">
      <c r="B6985" t="s">
        <v>1580</v>
      </c>
      <c r="C6985">
        <v>452</v>
      </c>
      <c r="D6985">
        <v>6</v>
      </c>
    </row>
    <row r="6986" spans="2:4" x14ac:dyDescent="0.25">
      <c r="B6986" t="s">
        <v>1580</v>
      </c>
      <c r="C6986">
        <v>452</v>
      </c>
      <c r="D6986">
        <v>8</v>
      </c>
    </row>
    <row r="6987" spans="2:4" x14ac:dyDescent="0.25">
      <c r="B6987" t="s">
        <v>1580</v>
      </c>
      <c r="C6987">
        <v>452</v>
      </c>
      <c r="D6987">
        <v>13</v>
      </c>
    </row>
    <row r="6988" spans="2:4" x14ac:dyDescent="0.25">
      <c r="B6988" t="s">
        <v>1580</v>
      </c>
      <c r="C6988">
        <v>452</v>
      </c>
      <c r="D6988">
        <v>14</v>
      </c>
    </row>
    <row r="6989" spans="2:4" x14ac:dyDescent="0.25">
      <c r="B6989" t="s">
        <v>1580</v>
      </c>
      <c r="C6989">
        <v>453</v>
      </c>
      <c r="D6989">
        <v>6</v>
      </c>
    </row>
    <row r="6990" spans="2:4" x14ac:dyDescent="0.25">
      <c r="B6990" t="s">
        <v>1580</v>
      </c>
      <c r="C6990">
        <v>453</v>
      </c>
      <c r="D6990">
        <v>8</v>
      </c>
    </row>
    <row r="6991" spans="2:4" x14ac:dyDescent="0.25">
      <c r="B6991" t="s">
        <v>1580</v>
      </c>
      <c r="C6991">
        <v>453</v>
      </c>
      <c r="D6991">
        <v>13</v>
      </c>
    </row>
    <row r="6992" spans="2:4" x14ac:dyDescent="0.25">
      <c r="B6992" t="s">
        <v>1580</v>
      </c>
      <c r="C6992">
        <v>453</v>
      </c>
      <c r="D6992">
        <v>14</v>
      </c>
    </row>
    <row r="6993" spans="2:4" x14ac:dyDescent="0.25">
      <c r="B6993" t="s">
        <v>1580</v>
      </c>
      <c r="C6993">
        <v>454</v>
      </c>
      <c r="D6993">
        <v>6</v>
      </c>
    </row>
    <row r="6994" spans="2:4" x14ac:dyDescent="0.25">
      <c r="B6994" t="s">
        <v>1580</v>
      </c>
      <c r="C6994">
        <v>454</v>
      </c>
      <c r="D6994">
        <v>8</v>
      </c>
    </row>
    <row r="6995" spans="2:4" x14ac:dyDescent="0.25">
      <c r="B6995" t="s">
        <v>1580</v>
      </c>
      <c r="C6995">
        <v>454</v>
      </c>
      <c r="D6995">
        <v>13</v>
      </c>
    </row>
    <row r="6996" spans="2:4" x14ac:dyDescent="0.25">
      <c r="B6996" t="s">
        <v>1580</v>
      </c>
      <c r="C6996">
        <v>454</v>
      </c>
      <c r="D6996">
        <v>14</v>
      </c>
    </row>
    <row r="6997" spans="2:4" x14ac:dyDescent="0.25">
      <c r="B6997" t="s">
        <v>1580</v>
      </c>
      <c r="C6997">
        <v>455</v>
      </c>
      <c r="D6997">
        <v>6</v>
      </c>
    </row>
    <row r="6998" spans="2:4" x14ac:dyDescent="0.25">
      <c r="B6998" t="s">
        <v>1580</v>
      </c>
      <c r="C6998">
        <v>455</v>
      </c>
      <c r="D6998">
        <v>8</v>
      </c>
    </row>
    <row r="6999" spans="2:4" x14ac:dyDescent="0.25">
      <c r="B6999" t="s">
        <v>1580</v>
      </c>
      <c r="C6999">
        <v>455</v>
      </c>
      <c r="D6999">
        <v>13</v>
      </c>
    </row>
    <row r="7000" spans="2:4" x14ac:dyDescent="0.25">
      <c r="B7000" t="s">
        <v>1580</v>
      </c>
      <c r="C7000">
        <v>455</v>
      </c>
      <c r="D7000">
        <v>14</v>
      </c>
    </row>
    <row r="7001" spans="2:4" x14ac:dyDescent="0.25">
      <c r="B7001" t="s">
        <v>1580</v>
      </c>
      <c r="C7001">
        <v>456</v>
      </c>
      <c r="D7001">
        <v>6</v>
      </c>
    </row>
    <row r="7002" spans="2:4" x14ac:dyDescent="0.25">
      <c r="B7002" t="s">
        <v>1580</v>
      </c>
      <c r="C7002">
        <v>456</v>
      </c>
      <c r="D7002">
        <v>8</v>
      </c>
    </row>
    <row r="7003" spans="2:4" x14ac:dyDescent="0.25">
      <c r="B7003" t="s">
        <v>1580</v>
      </c>
      <c r="C7003">
        <v>456</v>
      </c>
      <c r="D7003">
        <v>13</v>
      </c>
    </row>
    <row r="7004" spans="2:4" x14ac:dyDescent="0.25">
      <c r="B7004" t="s">
        <v>1580</v>
      </c>
      <c r="C7004">
        <v>456</v>
      </c>
      <c r="D7004">
        <v>14</v>
      </c>
    </row>
    <row r="7005" spans="2:4" x14ac:dyDescent="0.25">
      <c r="B7005" t="s">
        <v>1580</v>
      </c>
      <c r="C7005">
        <v>457</v>
      </c>
      <c r="D7005">
        <v>6</v>
      </c>
    </row>
    <row r="7006" spans="2:4" x14ac:dyDescent="0.25">
      <c r="B7006" t="s">
        <v>1580</v>
      </c>
      <c r="C7006">
        <v>457</v>
      </c>
      <c r="D7006">
        <v>8</v>
      </c>
    </row>
    <row r="7007" spans="2:4" x14ac:dyDescent="0.25">
      <c r="B7007" t="s">
        <v>1580</v>
      </c>
      <c r="C7007">
        <v>457</v>
      </c>
      <c r="D7007">
        <v>13</v>
      </c>
    </row>
    <row r="7008" spans="2:4" x14ac:dyDescent="0.25">
      <c r="B7008" t="s">
        <v>1580</v>
      </c>
      <c r="C7008">
        <v>457</v>
      </c>
      <c r="D7008">
        <v>14</v>
      </c>
    </row>
    <row r="7009" spans="2:4" x14ac:dyDescent="0.25">
      <c r="B7009" t="s">
        <v>1580</v>
      </c>
      <c r="C7009">
        <v>459</v>
      </c>
      <c r="D7009">
        <v>5</v>
      </c>
    </row>
    <row r="7010" spans="2:4" x14ac:dyDescent="0.25">
      <c r="B7010" t="s">
        <v>1580</v>
      </c>
      <c r="C7010">
        <v>461</v>
      </c>
      <c r="D7010">
        <v>6</v>
      </c>
    </row>
    <row r="7011" spans="2:4" x14ac:dyDescent="0.25">
      <c r="B7011" t="s">
        <v>1580</v>
      </c>
      <c r="C7011">
        <v>461</v>
      </c>
      <c r="D7011">
        <v>8</v>
      </c>
    </row>
    <row r="7012" spans="2:4" x14ac:dyDescent="0.25">
      <c r="B7012" t="s">
        <v>1580</v>
      </c>
      <c r="C7012">
        <v>461</v>
      </c>
      <c r="D7012">
        <v>13</v>
      </c>
    </row>
    <row r="7013" spans="2:4" x14ac:dyDescent="0.25">
      <c r="B7013" t="s">
        <v>1580</v>
      </c>
      <c r="C7013">
        <v>461</v>
      </c>
      <c r="D7013">
        <v>14</v>
      </c>
    </row>
    <row r="7014" spans="2:4" x14ac:dyDescent="0.25">
      <c r="B7014" t="s">
        <v>1580</v>
      </c>
      <c r="C7014">
        <v>462</v>
      </c>
      <c r="D7014">
        <v>6</v>
      </c>
    </row>
    <row r="7015" spans="2:4" x14ac:dyDescent="0.25">
      <c r="B7015" t="s">
        <v>1580</v>
      </c>
      <c r="C7015">
        <v>462</v>
      </c>
      <c r="D7015">
        <v>8</v>
      </c>
    </row>
    <row r="7016" spans="2:4" x14ac:dyDescent="0.25">
      <c r="B7016" t="s">
        <v>1580</v>
      </c>
      <c r="C7016">
        <v>462</v>
      </c>
      <c r="D7016">
        <v>13</v>
      </c>
    </row>
    <row r="7017" spans="2:4" x14ac:dyDescent="0.25">
      <c r="B7017" t="s">
        <v>1580</v>
      </c>
      <c r="C7017">
        <v>462</v>
      </c>
      <c r="D7017">
        <v>14</v>
      </c>
    </row>
    <row r="7018" spans="2:4" x14ac:dyDescent="0.25">
      <c r="B7018" t="s">
        <v>1580</v>
      </c>
      <c r="C7018">
        <v>463</v>
      </c>
      <c r="D7018">
        <v>6</v>
      </c>
    </row>
    <row r="7019" spans="2:4" x14ac:dyDescent="0.25">
      <c r="B7019" t="s">
        <v>1580</v>
      </c>
      <c r="C7019">
        <v>463</v>
      </c>
      <c r="D7019">
        <v>8</v>
      </c>
    </row>
    <row r="7020" spans="2:4" x14ac:dyDescent="0.25">
      <c r="B7020" t="s">
        <v>1580</v>
      </c>
      <c r="C7020">
        <v>463</v>
      </c>
      <c r="D7020">
        <v>13</v>
      </c>
    </row>
    <row r="7021" spans="2:4" x14ac:dyDescent="0.25">
      <c r="B7021" t="s">
        <v>1580</v>
      </c>
      <c r="C7021">
        <v>463</v>
      </c>
      <c r="D7021">
        <v>14</v>
      </c>
    </row>
    <row r="7022" spans="2:4" x14ac:dyDescent="0.25">
      <c r="B7022" t="s">
        <v>1580</v>
      </c>
      <c r="C7022">
        <v>464</v>
      </c>
      <c r="D7022">
        <v>6</v>
      </c>
    </row>
    <row r="7023" spans="2:4" x14ac:dyDescent="0.25">
      <c r="B7023" t="s">
        <v>1580</v>
      </c>
      <c r="C7023">
        <v>464</v>
      </c>
      <c r="D7023">
        <v>8</v>
      </c>
    </row>
    <row r="7024" spans="2:4" x14ac:dyDescent="0.25">
      <c r="B7024" t="s">
        <v>1580</v>
      </c>
      <c r="C7024">
        <v>464</v>
      </c>
      <c r="D7024">
        <v>13</v>
      </c>
    </row>
    <row r="7025" spans="2:4" x14ac:dyDescent="0.25">
      <c r="B7025" t="s">
        <v>1580</v>
      </c>
      <c r="C7025">
        <v>464</v>
      </c>
      <c r="D7025">
        <v>14</v>
      </c>
    </row>
    <row r="7026" spans="2:4" x14ac:dyDescent="0.25">
      <c r="B7026" t="s">
        <v>1580</v>
      </c>
      <c r="C7026">
        <v>465</v>
      </c>
      <c r="D7026">
        <v>6</v>
      </c>
    </row>
    <row r="7027" spans="2:4" x14ac:dyDescent="0.25">
      <c r="B7027" t="s">
        <v>1580</v>
      </c>
      <c r="C7027">
        <v>465</v>
      </c>
      <c r="D7027">
        <v>8</v>
      </c>
    </row>
    <row r="7028" spans="2:4" x14ac:dyDescent="0.25">
      <c r="B7028" t="s">
        <v>1580</v>
      </c>
      <c r="C7028">
        <v>465</v>
      </c>
      <c r="D7028">
        <v>13</v>
      </c>
    </row>
    <row r="7029" spans="2:4" x14ac:dyDescent="0.25">
      <c r="B7029" t="s">
        <v>1580</v>
      </c>
      <c r="C7029">
        <v>465</v>
      </c>
      <c r="D7029">
        <v>14</v>
      </c>
    </row>
    <row r="7030" spans="2:4" x14ac:dyDescent="0.25">
      <c r="B7030" t="s">
        <v>1580</v>
      </c>
      <c r="C7030">
        <v>466</v>
      </c>
      <c r="D7030">
        <v>6</v>
      </c>
    </row>
    <row r="7031" spans="2:4" x14ac:dyDescent="0.25">
      <c r="B7031" t="s">
        <v>1580</v>
      </c>
      <c r="C7031">
        <v>466</v>
      </c>
      <c r="D7031">
        <v>8</v>
      </c>
    </row>
    <row r="7032" spans="2:4" x14ac:dyDescent="0.25">
      <c r="B7032" t="s">
        <v>1580</v>
      </c>
      <c r="C7032">
        <v>466</v>
      </c>
      <c r="D7032">
        <v>13</v>
      </c>
    </row>
    <row r="7033" spans="2:4" x14ac:dyDescent="0.25">
      <c r="B7033" t="s">
        <v>1580</v>
      </c>
      <c r="C7033">
        <v>466</v>
      </c>
      <c r="D7033">
        <v>14</v>
      </c>
    </row>
    <row r="7034" spans="2:4" x14ac:dyDescent="0.25">
      <c r="B7034" t="s">
        <v>1580</v>
      </c>
      <c r="C7034">
        <v>468</v>
      </c>
      <c r="D7034">
        <v>6</v>
      </c>
    </row>
    <row r="7035" spans="2:4" x14ac:dyDescent="0.25">
      <c r="B7035" t="s">
        <v>1580</v>
      </c>
      <c r="C7035">
        <v>468</v>
      </c>
      <c r="D7035">
        <v>8</v>
      </c>
    </row>
    <row r="7036" spans="2:4" x14ac:dyDescent="0.25">
      <c r="B7036" t="s">
        <v>1580</v>
      </c>
      <c r="C7036">
        <v>468</v>
      </c>
      <c r="D7036">
        <v>13</v>
      </c>
    </row>
    <row r="7037" spans="2:4" x14ac:dyDescent="0.25">
      <c r="B7037" t="s">
        <v>1580</v>
      </c>
      <c r="C7037">
        <v>468</v>
      </c>
      <c r="D7037">
        <v>14</v>
      </c>
    </row>
    <row r="7038" spans="2:4" x14ac:dyDescent="0.25">
      <c r="B7038" t="s">
        <v>1580</v>
      </c>
      <c r="C7038">
        <v>469</v>
      </c>
      <c r="D7038">
        <v>6</v>
      </c>
    </row>
    <row r="7039" spans="2:4" x14ac:dyDescent="0.25">
      <c r="B7039" t="s">
        <v>1580</v>
      </c>
      <c r="C7039">
        <v>469</v>
      </c>
      <c r="D7039">
        <v>8</v>
      </c>
    </row>
    <row r="7040" spans="2:4" x14ac:dyDescent="0.25">
      <c r="B7040" t="s">
        <v>1580</v>
      </c>
      <c r="C7040">
        <v>469</v>
      </c>
      <c r="D7040">
        <v>13</v>
      </c>
    </row>
    <row r="7041" spans="2:4" x14ac:dyDescent="0.25">
      <c r="B7041" t="s">
        <v>1580</v>
      </c>
      <c r="C7041">
        <v>469</v>
      </c>
      <c r="D7041">
        <v>14</v>
      </c>
    </row>
    <row r="7042" spans="2:4" x14ac:dyDescent="0.25">
      <c r="B7042" t="s">
        <v>1580</v>
      </c>
      <c r="C7042">
        <v>470</v>
      </c>
      <c r="D7042">
        <v>6</v>
      </c>
    </row>
    <row r="7043" spans="2:4" x14ac:dyDescent="0.25">
      <c r="B7043" t="s">
        <v>1580</v>
      </c>
      <c r="C7043">
        <v>470</v>
      </c>
      <c r="D7043">
        <v>8</v>
      </c>
    </row>
    <row r="7044" spans="2:4" x14ac:dyDescent="0.25">
      <c r="B7044" t="s">
        <v>1580</v>
      </c>
      <c r="C7044">
        <v>470</v>
      </c>
      <c r="D7044">
        <v>13</v>
      </c>
    </row>
    <row r="7045" spans="2:4" x14ac:dyDescent="0.25">
      <c r="B7045" t="s">
        <v>1580</v>
      </c>
      <c r="C7045">
        <v>470</v>
      </c>
      <c r="D7045">
        <v>14</v>
      </c>
    </row>
    <row r="7046" spans="2:4" x14ac:dyDescent="0.25">
      <c r="B7046" t="s">
        <v>1580</v>
      </c>
      <c r="C7046">
        <v>471</v>
      </c>
      <c r="D7046">
        <v>6</v>
      </c>
    </row>
    <row r="7047" spans="2:4" x14ac:dyDescent="0.25">
      <c r="B7047" t="s">
        <v>1580</v>
      </c>
      <c r="C7047">
        <v>471</v>
      </c>
      <c r="D7047">
        <v>8</v>
      </c>
    </row>
    <row r="7048" spans="2:4" x14ac:dyDescent="0.25">
      <c r="B7048" t="s">
        <v>1580</v>
      </c>
      <c r="C7048">
        <v>471</v>
      </c>
      <c r="D7048">
        <v>13</v>
      </c>
    </row>
    <row r="7049" spans="2:4" x14ac:dyDescent="0.25">
      <c r="B7049" t="s">
        <v>1580</v>
      </c>
      <c r="C7049">
        <v>471</v>
      </c>
      <c r="D7049">
        <v>14</v>
      </c>
    </row>
    <row r="7050" spans="2:4" x14ac:dyDescent="0.25">
      <c r="B7050" t="s">
        <v>1580</v>
      </c>
      <c r="C7050">
        <v>472</v>
      </c>
      <c r="D7050">
        <v>6</v>
      </c>
    </row>
    <row r="7051" spans="2:4" x14ac:dyDescent="0.25">
      <c r="B7051" t="s">
        <v>1580</v>
      </c>
      <c r="C7051">
        <v>472</v>
      </c>
      <c r="D7051">
        <v>8</v>
      </c>
    </row>
    <row r="7052" spans="2:4" x14ac:dyDescent="0.25">
      <c r="B7052" t="s">
        <v>1580</v>
      </c>
      <c r="C7052">
        <v>472</v>
      </c>
      <c r="D7052">
        <v>13</v>
      </c>
    </row>
    <row r="7053" spans="2:4" x14ac:dyDescent="0.25">
      <c r="B7053" t="s">
        <v>1580</v>
      </c>
      <c r="C7053">
        <v>472</v>
      </c>
      <c r="D7053">
        <v>14</v>
      </c>
    </row>
    <row r="7054" spans="2:4" x14ac:dyDescent="0.25">
      <c r="B7054" t="s">
        <v>1580</v>
      </c>
      <c r="C7054">
        <v>473</v>
      </c>
      <c r="D7054">
        <v>6</v>
      </c>
    </row>
    <row r="7055" spans="2:4" x14ac:dyDescent="0.25">
      <c r="B7055" t="s">
        <v>1580</v>
      </c>
      <c r="C7055">
        <v>473</v>
      </c>
      <c r="D7055">
        <v>8</v>
      </c>
    </row>
    <row r="7056" spans="2:4" x14ac:dyDescent="0.25">
      <c r="B7056" t="s">
        <v>1580</v>
      </c>
      <c r="C7056">
        <v>473</v>
      </c>
      <c r="D7056">
        <v>13</v>
      </c>
    </row>
    <row r="7057" spans="2:4" x14ac:dyDescent="0.25">
      <c r="B7057" t="s">
        <v>1580</v>
      </c>
      <c r="C7057">
        <v>473</v>
      </c>
      <c r="D7057">
        <v>14</v>
      </c>
    </row>
    <row r="7058" spans="2:4" x14ac:dyDescent="0.25">
      <c r="B7058" t="s">
        <v>1580</v>
      </c>
      <c r="C7058">
        <v>475</v>
      </c>
      <c r="D7058">
        <v>6</v>
      </c>
    </row>
    <row r="7059" spans="2:4" x14ac:dyDescent="0.25">
      <c r="B7059" t="s">
        <v>1580</v>
      </c>
      <c r="C7059">
        <v>475</v>
      </c>
      <c r="D7059">
        <v>8</v>
      </c>
    </row>
    <row r="7060" spans="2:4" x14ac:dyDescent="0.25">
      <c r="B7060" t="s">
        <v>1580</v>
      </c>
      <c r="C7060">
        <v>475</v>
      </c>
      <c r="D7060">
        <v>13</v>
      </c>
    </row>
    <row r="7061" spans="2:4" x14ac:dyDescent="0.25">
      <c r="B7061" t="s">
        <v>1580</v>
      </c>
      <c r="C7061">
        <v>475</v>
      </c>
      <c r="D7061">
        <v>14</v>
      </c>
    </row>
    <row r="7062" spans="2:4" x14ac:dyDescent="0.25">
      <c r="B7062" t="s">
        <v>1580</v>
      </c>
      <c r="C7062">
        <v>476</v>
      </c>
      <c r="D7062">
        <v>6</v>
      </c>
    </row>
    <row r="7063" spans="2:4" x14ac:dyDescent="0.25">
      <c r="B7063" t="s">
        <v>1580</v>
      </c>
      <c r="C7063">
        <v>476</v>
      </c>
      <c r="D7063">
        <v>8</v>
      </c>
    </row>
    <row r="7064" spans="2:4" x14ac:dyDescent="0.25">
      <c r="B7064" t="s">
        <v>1580</v>
      </c>
      <c r="C7064">
        <v>476</v>
      </c>
      <c r="D7064">
        <v>13</v>
      </c>
    </row>
    <row r="7065" spans="2:4" x14ac:dyDescent="0.25">
      <c r="B7065" t="s">
        <v>1580</v>
      </c>
      <c r="C7065">
        <v>476</v>
      </c>
      <c r="D7065">
        <v>14</v>
      </c>
    </row>
    <row r="7066" spans="2:4" x14ac:dyDescent="0.25">
      <c r="B7066" t="s">
        <v>1580</v>
      </c>
      <c r="C7066">
        <v>477</v>
      </c>
      <c r="D7066">
        <v>6</v>
      </c>
    </row>
    <row r="7067" spans="2:4" x14ac:dyDescent="0.25">
      <c r="B7067" t="s">
        <v>1580</v>
      </c>
      <c r="C7067">
        <v>477</v>
      </c>
      <c r="D7067">
        <v>8</v>
      </c>
    </row>
    <row r="7068" spans="2:4" x14ac:dyDescent="0.25">
      <c r="B7068" t="s">
        <v>1580</v>
      </c>
      <c r="C7068">
        <v>477</v>
      </c>
      <c r="D7068">
        <v>13</v>
      </c>
    </row>
    <row r="7069" spans="2:4" x14ac:dyDescent="0.25">
      <c r="B7069" t="s">
        <v>1580</v>
      </c>
      <c r="C7069">
        <v>477</v>
      </c>
      <c r="D7069">
        <v>14</v>
      </c>
    </row>
    <row r="7070" spans="2:4" x14ac:dyDescent="0.25">
      <c r="B7070" t="s">
        <v>1580</v>
      </c>
      <c r="C7070">
        <v>478</v>
      </c>
      <c r="D7070">
        <v>6</v>
      </c>
    </row>
    <row r="7071" spans="2:4" x14ac:dyDescent="0.25">
      <c r="B7071" t="s">
        <v>1580</v>
      </c>
      <c r="C7071">
        <v>478</v>
      </c>
      <c r="D7071">
        <v>8</v>
      </c>
    </row>
    <row r="7072" spans="2:4" x14ac:dyDescent="0.25">
      <c r="B7072" t="s">
        <v>1580</v>
      </c>
      <c r="C7072">
        <v>478</v>
      </c>
      <c r="D7072">
        <v>13</v>
      </c>
    </row>
    <row r="7073" spans="2:4" x14ac:dyDescent="0.25">
      <c r="B7073" t="s">
        <v>1580</v>
      </c>
      <c r="C7073">
        <v>478</v>
      </c>
      <c r="D7073">
        <v>14</v>
      </c>
    </row>
    <row r="7074" spans="2:4" x14ac:dyDescent="0.25">
      <c r="B7074" t="s">
        <v>1580</v>
      </c>
      <c r="C7074">
        <v>479</v>
      </c>
      <c r="D7074">
        <v>6</v>
      </c>
    </row>
    <row r="7075" spans="2:4" x14ac:dyDescent="0.25">
      <c r="B7075" t="s">
        <v>1580</v>
      </c>
      <c r="C7075">
        <v>479</v>
      </c>
      <c r="D7075">
        <v>8</v>
      </c>
    </row>
    <row r="7076" spans="2:4" x14ac:dyDescent="0.25">
      <c r="B7076" t="s">
        <v>1580</v>
      </c>
      <c r="C7076">
        <v>479</v>
      </c>
      <c r="D7076">
        <v>13</v>
      </c>
    </row>
    <row r="7077" spans="2:4" x14ac:dyDescent="0.25">
      <c r="B7077" t="s">
        <v>1580</v>
      </c>
      <c r="C7077">
        <v>479</v>
      </c>
      <c r="D7077">
        <v>14</v>
      </c>
    </row>
    <row r="7078" spans="2:4" x14ac:dyDescent="0.25">
      <c r="B7078" t="s">
        <v>1580</v>
      </c>
      <c r="C7078">
        <v>480</v>
      </c>
      <c r="D7078">
        <v>6</v>
      </c>
    </row>
    <row r="7079" spans="2:4" x14ac:dyDescent="0.25">
      <c r="B7079" t="s">
        <v>1580</v>
      </c>
      <c r="C7079">
        <v>480</v>
      </c>
      <c r="D7079">
        <v>8</v>
      </c>
    </row>
    <row r="7080" spans="2:4" x14ac:dyDescent="0.25">
      <c r="B7080" t="s">
        <v>1580</v>
      </c>
      <c r="C7080">
        <v>480</v>
      </c>
      <c r="D7080">
        <v>13</v>
      </c>
    </row>
    <row r="7081" spans="2:4" x14ac:dyDescent="0.25">
      <c r="B7081" t="s">
        <v>1580</v>
      </c>
      <c r="C7081">
        <v>480</v>
      </c>
      <c r="D7081">
        <v>14</v>
      </c>
    </row>
    <row r="7082" spans="2:4" x14ac:dyDescent="0.25">
      <c r="B7082" t="s">
        <v>1580</v>
      </c>
      <c r="C7082">
        <v>482</v>
      </c>
      <c r="D7082">
        <v>6</v>
      </c>
    </row>
    <row r="7083" spans="2:4" x14ac:dyDescent="0.25">
      <c r="B7083" t="s">
        <v>1580</v>
      </c>
      <c r="C7083">
        <v>482</v>
      </c>
      <c r="D7083">
        <v>8</v>
      </c>
    </row>
    <row r="7084" spans="2:4" x14ac:dyDescent="0.25">
      <c r="B7084" t="s">
        <v>1580</v>
      </c>
      <c r="C7084">
        <v>482</v>
      </c>
      <c r="D7084">
        <v>13</v>
      </c>
    </row>
    <row r="7085" spans="2:4" x14ac:dyDescent="0.25">
      <c r="B7085" t="s">
        <v>1580</v>
      </c>
      <c r="C7085">
        <v>482</v>
      </c>
      <c r="D7085">
        <v>14</v>
      </c>
    </row>
    <row r="7086" spans="2:4" x14ac:dyDescent="0.25">
      <c r="B7086" t="s">
        <v>1580</v>
      </c>
      <c r="C7086">
        <v>483</v>
      </c>
      <c r="D7086">
        <v>6</v>
      </c>
    </row>
    <row r="7087" spans="2:4" x14ac:dyDescent="0.25">
      <c r="B7087" t="s">
        <v>1580</v>
      </c>
      <c r="C7087">
        <v>483</v>
      </c>
      <c r="D7087">
        <v>8</v>
      </c>
    </row>
    <row r="7088" spans="2:4" x14ac:dyDescent="0.25">
      <c r="B7088" t="s">
        <v>1580</v>
      </c>
      <c r="C7088">
        <v>483</v>
      </c>
      <c r="D7088">
        <v>13</v>
      </c>
    </row>
    <row r="7089" spans="2:4" x14ac:dyDescent="0.25">
      <c r="B7089" t="s">
        <v>1580</v>
      </c>
      <c r="C7089">
        <v>483</v>
      </c>
      <c r="D7089">
        <v>14</v>
      </c>
    </row>
    <row r="7090" spans="2:4" x14ac:dyDescent="0.25">
      <c r="B7090" t="s">
        <v>1580</v>
      </c>
      <c r="C7090">
        <v>484</v>
      </c>
      <c r="D7090">
        <v>6</v>
      </c>
    </row>
    <row r="7091" spans="2:4" x14ac:dyDescent="0.25">
      <c r="B7091" t="s">
        <v>1580</v>
      </c>
      <c r="C7091">
        <v>484</v>
      </c>
      <c r="D7091">
        <v>8</v>
      </c>
    </row>
    <row r="7092" spans="2:4" x14ac:dyDescent="0.25">
      <c r="B7092" t="s">
        <v>1580</v>
      </c>
      <c r="C7092">
        <v>484</v>
      </c>
      <c r="D7092">
        <v>13</v>
      </c>
    </row>
    <row r="7093" spans="2:4" x14ac:dyDescent="0.25">
      <c r="B7093" t="s">
        <v>1580</v>
      </c>
      <c r="C7093">
        <v>484</v>
      </c>
      <c r="D7093">
        <v>14</v>
      </c>
    </row>
    <row r="7094" spans="2:4" x14ac:dyDescent="0.25">
      <c r="B7094" t="s">
        <v>1580</v>
      </c>
      <c r="C7094">
        <v>485</v>
      </c>
      <c r="D7094">
        <v>6</v>
      </c>
    </row>
    <row r="7095" spans="2:4" x14ac:dyDescent="0.25">
      <c r="B7095" t="s">
        <v>1580</v>
      </c>
      <c r="C7095">
        <v>485</v>
      </c>
      <c r="D7095">
        <v>8</v>
      </c>
    </row>
    <row r="7096" spans="2:4" x14ac:dyDescent="0.25">
      <c r="B7096" t="s">
        <v>1580</v>
      </c>
      <c r="C7096">
        <v>485</v>
      </c>
      <c r="D7096">
        <v>13</v>
      </c>
    </row>
    <row r="7097" spans="2:4" x14ac:dyDescent="0.25">
      <c r="B7097" t="s">
        <v>1580</v>
      </c>
      <c r="C7097">
        <v>485</v>
      </c>
      <c r="D7097">
        <v>14</v>
      </c>
    </row>
    <row r="7098" spans="2:4" x14ac:dyDescent="0.25">
      <c r="B7098" t="s">
        <v>1580</v>
      </c>
      <c r="C7098">
        <v>486</v>
      </c>
      <c r="D7098">
        <v>6</v>
      </c>
    </row>
    <row r="7099" spans="2:4" x14ac:dyDescent="0.25">
      <c r="B7099" t="s">
        <v>1580</v>
      </c>
      <c r="C7099">
        <v>486</v>
      </c>
      <c r="D7099">
        <v>8</v>
      </c>
    </row>
    <row r="7100" spans="2:4" x14ac:dyDescent="0.25">
      <c r="B7100" t="s">
        <v>1580</v>
      </c>
      <c r="C7100">
        <v>486</v>
      </c>
      <c r="D7100">
        <v>13</v>
      </c>
    </row>
    <row r="7101" spans="2:4" x14ac:dyDescent="0.25">
      <c r="B7101" t="s">
        <v>1580</v>
      </c>
      <c r="C7101">
        <v>486</v>
      </c>
      <c r="D7101">
        <v>14</v>
      </c>
    </row>
    <row r="7102" spans="2:4" x14ac:dyDescent="0.25">
      <c r="B7102" t="s">
        <v>1580</v>
      </c>
      <c r="C7102">
        <v>487</v>
      </c>
      <c r="D7102">
        <v>6</v>
      </c>
    </row>
    <row r="7103" spans="2:4" x14ac:dyDescent="0.25">
      <c r="B7103" t="s">
        <v>1580</v>
      </c>
      <c r="C7103">
        <v>487</v>
      </c>
      <c r="D7103">
        <v>8</v>
      </c>
    </row>
    <row r="7104" spans="2:4" x14ac:dyDescent="0.25">
      <c r="B7104" t="s">
        <v>1580</v>
      </c>
      <c r="C7104">
        <v>487</v>
      </c>
      <c r="D7104">
        <v>13</v>
      </c>
    </row>
    <row r="7105" spans="2:4" x14ac:dyDescent="0.25">
      <c r="B7105" t="s">
        <v>1580</v>
      </c>
      <c r="C7105">
        <v>487</v>
      </c>
      <c r="D7105">
        <v>14</v>
      </c>
    </row>
    <row r="7106" spans="2:4" x14ac:dyDescent="0.25">
      <c r="B7106" t="s">
        <v>1580</v>
      </c>
      <c r="C7106">
        <v>489</v>
      </c>
      <c r="D7106">
        <v>6</v>
      </c>
    </row>
    <row r="7107" spans="2:4" x14ac:dyDescent="0.25">
      <c r="B7107" t="s">
        <v>1580</v>
      </c>
      <c r="C7107">
        <v>489</v>
      </c>
      <c r="D7107">
        <v>8</v>
      </c>
    </row>
    <row r="7108" spans="2:4" x14ac:dyDescent="0.25">
      <c r="B7108" t="s">
        <v>1580</v>
      </c>
      <c r="C7108">
        <v>489</v>
      </c>
      <c r="D7108">
        <v>13</v>
      </c>
    </row>
    <row r="7109" spans="2:4" x14ac:dyDescent="0.25">
      <c r="B7109" t="s">
        <v>1580</v>
      </c>
      <c r="C7109">
        <v>489</v>
      </c>
      <c r="D7109">
        <v>14</v>
      </c>
    </row>
    <row r="7110" spans="2:4" x14ac:dyDescent="0.25">
      <c r="B7110" t="s">
        <v>1580</v>
      </c>
      <c r="C7110">
        <v>490</v>
      </c>
      <c r="D7110">
        <v>6</v>
      </c>
    </row>
    <row r="7111" spans="2:4" x14ac:dyDescent="0.25">
      <c r="B7111" t="s">
        <v>1580</v>
      </c>
      <c r="C7111">
        <v>490</v>
      </c>
      <c r="D7111">
        <v>8</v>
      </c>
    </row>
    <row r="7112" spans="2:4" x14ac:dyDescent="0.25">
      <c r="B7112" t="s">
        <v>1580</v>
      </c>
      <c r="C7112">
        <v>490</v>
      </c>
      <c r="D7112">
        <v>13</v>
      </c>
    </row>
    <row r="7113" spans="2:4" x14ac:dyDescent="0.25">
      <c r="B7113" t="s">
        <v>1580</v>
      </c>
      <c r="C7113">
        <v>490</v>
      </c>
      <c r="D7113">
        <v>14</v>
      </c>
    </row>
    <row r="7114" spans="2:4" x14ac:dyDescent="0.25">
      <c r="B7114" t="s">
        <v>1580</v>
      </c>
      <c r="C7114">
        <v>491</v>
      </c>
      <c r="D7114">
        <v>6</v>
      </c>
    </row>
    <row r="7115" spans="2:4" x14ac:dyDescent="0.25">
      <c r="B7115" t="s">
        <v>1580</v>
      </c>
      <c r="C7115">
        <v>491</v>
      </c>
      <c r="D7115">
        <v>8</v>
      </c>
    </row>
    <row r="7116" spans="2:4" x14ac:dyDescent="0.25">
      <c r="B7116" t="s">
        <v>1580</v>
      </c>
      <c r="C7116">
        <v>491</v>
      </c>
      <c r="D7116">
        <v>13</v>
      </c>
    </row>
    <row r="7117" spans="2:4" x14ac:dyDescent="0.25">
      <c r="B7117" t="s">
        <v>1580</v>
      </c>
      <c r="C7117">
        <v>491</v>
      </c>
      <c r="D7117">
        <v>14</v>
      </c>
    </row>
    <row r="7118" spans="2:4" x14ac:dyDescent="0.25">
      <c r="B7118" t="s">
        <v>1580</v>
      </c>
      <c r="C7118">
        <v>492</v>
      </c>
      <c r="D7118">
        <v>6</v>
      </c>
    </row>
    <row r="7119" spans="2:4" x14ac:dyDescent="0.25">
      <c r="B7119" t="s">
        <v>1580</v>
      </c>
      <c r="C7119">
        <v>492</v>
      </c>
      <c r="D7119">
        <v>8</v>
      </c>
    </row>
    <row r="7120" spans="2:4" x14ac:dyDescent="0.25">
      <c r="B7120" t="s">
        <v>1580</v>
      </c>
      <c r="C7120">
        <v>492</v>
      </c>
      <c r="D7120">
        <v>13</v>
      </c>
    </row>
    <row r="7121" spans="2:4" x14ac:dyDescent="0.25">
      <c r="B7121" t="s">
        <v>1580</v>
      </c>
      <c r="C7121">
        <v>492</v>
      </c>
      <c r="D7121">
        <v>14</v>
      </c>
    </row>
    <row r="7122" spans="2:4" x14ac:dyDescent="0.25">
      <c r="B7122" t="s">
        <v>1580</v>
      </c>
      <c r="C7122">
        <v>493</v>
      </c>
      <c r="D7122">
        <v>6</v>
      </c>
    </row>
    <row r="7123" spans="2:4" x14ac:dyDescent="0.25">
      <c r="B7123" t="s">
        <v>1580</v>
      </c>
      <c r="C7123">
        <v>493</v>
      </c>
      <c r="D7123">
        <v>8</v>
      </c>
    </row>
    <row r="7124" spans="2:4" x14ac:dyDescent="0.25">
      <c r="B7124" t="s">
        <v>1580</v>
      </c>
      <c r="C7124">
        <v>493</v>
      </c>
      <c r="D7124">
        <v>13</v>
      </c>
    </row>
    <row r="7125" spans="2:4" x14ac:dyDescent="0.25">
      <c r="B7125" t="s">
        <v>1580</v>
      </c>
      <c r="C7125">
        <v>493</v>
      </c>
      <c r="D7125">
        <v>14</v>
      </c>
    </row>
    <row r="7126" spans="2:4" x14ac:dyDescent="0.25">
      <c r="B7126" t="s">
        <v>1580</v>
      </c>
      <c r="C7126">
        <v>494</v>
      </c>
      <c r="D7126">
        <v>6</v>
      </c>
    </row>
    <row r="7127" spans="2:4" x14ac:dyDescent="0.25">
      <c r="B7127" t="s">
        <v>1580</v>
      </c>
      <c r="C7127">
        <v>494</v>
      </c>
      <c r="D7127">
        <v>8</v>
      </c>
    </row>
    <row r="7128" spans="2:4" x14ac:dyDescent="0.25">
      <c r="B7128" t="s">
        <v>1580</v>
      </c>
      <c r="C7128">
        <v>494</v>
      </c>
      <c r="D7128">
        <v>13</v>
      </c>
    </row>
    <row r="7129" spans="2:4" x14ac:dyDescent="0.25">
      <c r="B7129" t="s">
        <v>1580</v>
      </c>
      <c r="C7129">
        <v>494</v>
      </c>
      <c r="D7129">
        <v>14</v>
      </c>
    </row>
    <row r="7130" spans="2:4" x14ac:dyDescent="0.25">
      <c r="B7130" t="s">
        <v>1580</v>
      </c>
      <c r="C7130">
        <v>496</v>
      </c>
      <c r="D7130">
        <v>6</v>
      </c>
    </row>
    <row r="7131" spans="2:4" x14ac:dyDescent="0.25">
      <c r="B7131" t="s">
        <v>1580</v>
      </c>
      <c r="C7131">
        <v>496</v>
      </c>
      <c r="D7131">
        <v>8</v>
      </c>
    </row>
    <row r="7132" spans="2:4" x14ac:dyDescent="0.25">
      <c r="B7132" t="s">
        <v>1580</v>
      </c>
      <c r="C7132">
        <v>496</v>
      </c>
      <c r="D7132">
        <v>13</v>
      </c>
    </row>
    <row r="7133" spans="2:4" x14ac:dyDescent="0.25">
      <c r="B7133" t="s">
        <v>1580</v>
      </c>
      <c r="C7133">
        <v>496</v>
      </c>
      <c r="D7133">
        <v>14</v>
      </c>
    </row>
    <row r="7134" spans="2:4" x14ac:dyDescent="0.25">
      <c r="B7134" t="s">
        <v>1580</v>
      </c>
      <c r="C7134">
        <v>498</v>
      </c>
      <c r="D7134">
        <v>6</v>
      </c>
    </row>
    <row r="7135" spans="2:4" x14ac:dyDescent="0.25">
      <c r="B7135" t="s">
        <v>1580</v>
      </c>
      <c r="C7135">
        <v>498</v>
      </c>
      <c r="D7135">
        <v>8</v>
      </c>
    </row>
    <row r="7136" spans="2:4" x14ac:dyDescent="0.25">
      <c r="B7136" t="s">
        <v>1580</v>
      </c>
      <c r="C7136">
        <v>498</v>
      </c>
      <c r="D7136">
        <v>13</v>
      </c>
    </row>
    <row r="7137" spans="2:4" x14ac:dyDescent="0.25">
      <c r="B7137" t="s">
        <v>1580</v>
      </c>
      <c r="C7137">
        <v>498</v>
      </c>
      <c r="D7137">
        <v>14</v>
      </c>
    </row>
    <row r="7138" spans="2:4" x14ac:dyDescent="0.25">
      <c r="B7138" t="s">
        <v>1580</v>
      </c>
      <c r="C7138">
        <v>499</v>
      </c>
      <c r="D7138">
        <v>6</v>
      </c>
    </row>
    <row r="7139" spans="2:4" x14ac:dyDescent="0.25">
      <c r="B7139" t="s">
        <v>1580</v>
      </c>
      <c r="C7139">
        <v>499</v>
      </c>
      <c r="D7139">
        <v>8</v>
      </c>
    </row>
    <row r="7140" spans="2:4" x14ac:dyDescent="0.25">
      <c r="B7140" t="s">
        <v>1580</v>
      </c>
      <c r="C7140">
        <v>499</v>
      </c>
      <c r="D7140">
        <v>13</v>
      </c>
    </row>
    <row r="7141" spans="2:4" x14ac:dyDescent="0.25">
      <c r="B7141" t="s">
        <v>1580</v>
      </c>
      <c r="C7141">
        <v>499</v>
      </c>
      <c r="D7141">
        <v>14</v>
      </c>
    </row>
    <row r="7142" spans="2:4" x14ac:dyDescent="0.25">
      <c r="B7142" t="s">
        <v>1580</v>
      </c>
      <c r="C7142">
        <v>500</v>
      </c>
      <c r="D7142">
        <v>6</v>
      </c>
    </row>
    <row r="7143" spans="2:4" x14ac:dyDescent="0.25">
      <c r="B7143" t="s">
        <v>1580</v>
      </c>
      <c r="C7143">
        <v>500</v>
      </c>
      <c r="D7143">
        <v>8</v>
      </c>
    </row>
    <row r="7144" spans="2:4" x14ac:dyDescent="0.25">
      <c r="B7144" t="s">
        <v>1580</v>
      </c>
      <c r="C7144">
        <v>500</v>
      </c>
      <c r="D7144">
        <v>13</v>
      </c>
    </row>
    <row r="7145" spans="2:4" x14ac:dyDescent="0.25">
      <c r="B7145" t="s">
        <v>1580</v>
      </c>
      <c r="C7145">
        <v>500</v>
      </c>
      <c r="D7145">
        <v>14</v>
      </c>
    </row>
    <row r="7146" spans="2:4" x14ac:dyDescent="0.25">
      <c r="B7146" t="s">
        <v>1580</v>
      </c>
      <c r="C7146">
        <v>501</v>
      </c>
      <c r="D7146">
        <v>6</v>
      </c>
    </row>
    <row r="7147" spans="2:4" x14ac:dyDescent="0.25">
      <c r="B7147" t="s">
        <v>1580</v>
      </c>
      <c r="C7147">
        <v>501</v>
      </c>
      <c r="D7147">
        <v>8</v>
      </c>
    </row>
    <row r="7148" spans="2:4" x14ac:dyDescent="0.25">
      <c r="B7148" t="s">
        <v>1580</v>
      </c>
      <c r="C7148">
        <v>501</v>
      </c>
      <c r="D7148">
        <v>13</v>
      </c>
    </row>
    <row r="7149" spans="2:4" x14ac:dyDescent="0.25">
      <c r="B7149" t="s">
        <v>1580</v>
      </c>
      <c r="C7149">
        <v>501</v>
      </c>
      <c r="D7149">
        <v>14</v>
      </c>
    </row>
    <row r="7150" spans="2:4" x14ac:dyDescent="0.25">
      <c r="B7150" t="s">
        <v>1580</v>
      </c>
      <c r="C7150">
        <v>502</v>
      </c>
      <c r="D7150">
        <v>6</v>
      </c>
    </row>
    <row r="7151" spans="2:4" x14ac:dyDescent="0.25">
      <c r="B7151" t="s">
        <v>1580</v>
      </c>
      <c r="C7151">
        <v>502</v>
      </c>
      <c r="D7151">
        <v>8</v>
      </c>
    </row>
    <row r="7152" spans="2:4" x14ac:dyDescent="0.25">
      <c r="B7152" t="s">
        <v>1580</v>
      </c>
      <c r="C7152">
        <v>502</v>
      </c>
      <c r="D7152">
        <v>13</v>
      </c>
    </row>
    <row r="7153" spans="2:4" x14ac:dyDescent="0.25">
      <c r="B7153" t="s">
        <v>1580</v>
      </c>
      <c r="C7153">
        <v>502</v>
      </c>
      <c r="D7153">
        <v>14</v>
      </c>
    </row>
    <row r="7154" spans="2:4" x14ac:dyDescent="0.25">
      <c r="B7154" t="s">
        <v>1580</v>
      </c>
      <c r="C7154">
        <v>503</v>
      </c>
      <c r="D7154">
        <v>6</v>
      </c>
    </row>
    <row r="7155" spans="2:4" x14ac:dyDescent="0.25">
      <c r="B7155" t="s">
        <v>1580</v>
      </c>
      <c r="C7155">
        <v>503</v>
      </c>
      <c r="D7155">
        <v>8</v>
      </c>
    </row>
    <row r="7156" spans="2:4" x14ac:dyDescent="0.25">
      <c r="B7156" t="s">
        <v>1580</v>
      </c>
      <c r="C7156">
        <v>503</v>
      </c>
      <c r="D7156">
        <v>13</v>
      </c>
    </row>
    <row r="7157" spans="2:4" x14ac:dyDescent="0.25">
      <c r="B7157" t="s">
        <v>1580</v>
      </c>
      <c r="C7157">
        <v>503</v>
      </c>
      <c r="D7157">
        <v>14</v>
      </c>
    </row>
    <row r="7158" spans="2:4" x14ac:dyDescent="0.25">
      <c r="B7158" t="s">
        <v>1580</v>
      </c>
      <c r="C7158">
        <v>504</v>
      </c>
      <c r="D7158">
        <v>6</v>
      </c>
    </row>
    <row r="7159" spans="2:4" x14ac:dyDescent="0.25">
      <c r="B7159" t="s">
        <v>1580</v>
      </c>
      <c r="C7159">
        <v>504</v>
      </c>
      <c r="D7159">
        <v>8</v>
      </c>
    </row>
    <row r="7160" spans="2:4" x14ac:dyDescent="0.25">
      <c r="B7160" t="s">
        <v>1580</v>
      </c>
      <c r="C7160">
        <v>504</v>
      </c>
      <c r="D7160">
        <v>13</v>
      </c>
    </row>
    <row r="7161" spans="2:4" x14ac:dyDescent="0.25">
      <c r="B7161" t="s">
        <v>1580</v>
      </c>
      <c r="C7161">
        <v>504</v>
      </c>
      <c r="D7161">
        <v>14</v>
      </c>
    </row>
    <row r="7162" spans="2:4" x14ac:dyDescent="0.25">
      <c r="B7162" t="s">
        <v>1580</v>
      </c>
      <c r="C7162">
        <v>505</v>
      </c>
      <c r="D7162">
        <v>6</v>
      </c>
    </row>
    <row r="7163" spans="2:4" x14ac:dyDescent="0.25">
      <c r="B7163" t="s">
        <v>1580</v>
      </c>
      <c r="C7163">
        <v>505</v>
      </c>
      <c r="D7163">
        <v>8</v>
      </c>
    </row>
    <row r="7164" spans="2:4" x14ac:dyDescent="0.25">
      <c r="B7164" t="s">
        <v>1580</v>
      </c>
      <c r="C7164">
        <v>505</v>
      </c>
      <c r="D7164">
        <v>13</v>
      </c>
    </row>
    <row r="7165" spans="2:4" x14ac:dyDescent="0.25">
      <c r="B7165" t="s">
        <v>1580</v>
      </c>
      <c r="C7165">
        <v>505</v>
      </c>
      <c r="D7165">
        <v>14</v>
      </c>
    </row>
    <row r="7166" spans="2:4" x14ac:dyDescent="0.25">
      <c r="B7166" t="s">
        <v>1580</v>
      </c>
      <c r="C7166">
        <v>506</v>
      </c>
      <c r="D7166">
        <v>6</v>
      </c>
    </row>
    <row r="7167" spans="2:4" x14ac:dyDescent="0.25">
      <c r="B7167" t="s">
        <v>1580</v>
      </c>
      <c r="C7167">
        <v>506</v>
      </c>
      <c r="D7167">
        <v>8</v>
      </c>
    </row>
    <row r="7168" spans="2:4" x14ac:dyDescent="0.25">
      <c r="B7168" t="s">
        <v>1580</v>
      </c>
      <c r="C7168">
        <v>506</v>
      </c>
      <c r="D7168">
        <v>13</v>
      </c>
    </row>
    <row r="7169" spans="2:4" x14ac:dyDescent="0.25">
      <c r="B7169" t="s">
        <v>1580</v>
      </c>
      <c r="C7169">
        <v>506</v>
      </c>
      <c r="D7169">
        <v>14</v>
      </c>
    </row>
    <row r="7170" spans="2:4" x14ac:dyDescent="0.25">
      <c r="B7170" t="s">
        <v>1580</v>
      </c>
      <c r="C7170">
        <v>507</v>
      </c>
      <c r="D7170">
        <v>6</v>
      </c>
    </row>
    <row r="7171" spans="2:4" x14ac:dyDescent="0.25">
      <c r="B7171" t="s">
        <v>1580</v>
      </c>
      <c r="C7171">
        <v>507</v>
      </c>
      <c r="D7171">
        <v>8</v>
      </c>
    </row>
    <row r="7172" spans="2:4" x14ac:dyDescent="0.25">
      <c r="B7172" t="s">
        <v>1580</v>
      </c>
      <c r="C7172">
        <v>507</v>
      </c>
      <c r="D7172">
        <v>13</v>
      </c>
    </row>
    <row r="7173" spans="2:4" x14ac:dyDescent="0.25">
      <c r="B7173" t="s">
        <v>1580</v>
      </c>
      <c r="C7173">
        <v>507</v>
      </c>
      <c r="D7173">
        <v>14</v>
      </c>
    </row>
    <row r="7174" spans="2:4" x14ac:dyDescent="0.25">
      <c r="B7174" t="s">
        <v>1580</v>
      </c>
      <c r="C7174">
        <v>510</v>
      </c>
      <c r="D7174">
        <v>6</v>
      </c>
    </row>
    <row r="7175" spans="2:4" x14ac:dyDescent="0.25">
      <c r="B7175" t="s">
        <v>1580</v>
      </c>
      <c r="C7175">
        <v>510</v>
      </c>
      <c r="D7175">
        <v>8</v>
      </c>
    </row>
    <row r="7176" spans="2:4" x14ac:dyDescent="0.25">
      <c r="B7176" t="s">
        <v>1580</v>
      </c>
      <c r="C7176">
        <v>510</v>
      </c>
      <c r="D7176">
        <v>13</v>
      </c>
    </row>
    <row r="7177" spans="2:4" x14ac:dyDescent="0.25">
      <c r="B7177" t="s">
        <v>1580</v>
      </c>
      <c r="C7177">
        <v>510</v>
      </c>
      <c r="D7177">
        <v>14</v>
      </c>
    </row>
    <row r="7178" spans="2:4" x14ac:dyDescent="0.25">
      <c r="B7178" t="s">
        <v>1580</v>
      </c>
      <c r="C7178">
        <v>511</v>
      </c>
      <c r="D7178">
        <v>6</v>
      </c>
    </row>
    <row r="7179" spans="2:4" x14ac:dyDescent="0.25">
      <c r="B7179" t="s">
        <v>1580</v>
      </c>
      <c r="C7179">
        <v>511</v>
      </c>
      <c r="D7179">
        <v>8</v>
      </c>
    </row>
    <row r="7180" spans="2:4" x14ac:dyDescent="0.25">
      <c r="B7180" t="s">
        <v>1580</v>
      </c>
      <c r="C7180">
        <v>511</v>
      </c>
      <c r="D7180">
        <v>13</v>
      </c>
    </row>
    <row r="7181" spans="2:4" x14ac:dyDescent="0.25">
      <c r="B7181" t="s">
        <v>1580</v>
      </c>
      <c r="C7181">
        <v>511</v>
      </c>
      <c r="D7181">
        <v>14</v>
      </c>
    </row>
    <row r="7182" spans="2:4" x14ac:dyDescent="0.25">
      <c r="B7182" t="s">
        <v>1580</v>
      </c>
      <c r="C7182">
        <v>512</v>
      </c>
      <c r="D7182">
        <v>6</v>
      </c>
    </row>
    <row r="7183" spans="2:4" x14ac:dyDescent="0.25">
      <c r="B7183" t="s">
        <v>1580</v>
      </c>
      <c r="C7183">
        <v>512</v>
      </c>
      <c r="D7183">
        <v>8</v>
      </c>
    </row>
    <row r="7184" spans="2:4" x14ac:dyDescent="0.25">
      <c r="B7184" t="s">
        <v>1580</v>
      </c>
      <c r="C7184">
        <v>512</v>
      </c>
      <c r="D7184">
        <v>13</v>
      </c>
    </row>
    <row r="7185" spans="2:4" x14ac:dyDescent="0.25">
      <c r="B7185" t="s">
        <v>1580</v>
      </c>
      <c r="C7185">
        <v>512</v>
      </c>
      <c r="D7185">
        <v>14</v>
      </c>
    </row>
    <row r="7186" spans="2:4" x14ac:dyDescent="0.25">
      <c r="B7186" t="s">
        <v>1580</v>
      </c>
      <c r="C7186">
        <v>514</v>
      </c>
      <c r="D7186">
        <v>6</v>
      </c>
    </row>
    <row r="7187" spans="2:4" x14ac:dyDescent="0.25">
      <c r="B7187" t="s">
        <v>1580</v>
      </c>
      <c r="C7187">
        <v>514</v>
      </c>
      <c r="D7187">
        <v>8</v>
      </c>
    </row>
    <row r="7188" spans="2:4" x14ac:dyDescent="0.25">
      <c r="B7188" t="s">
        <v>1580</v>
      </c>
      <c r="C7188">
        <v>514</v>
      </c>
      <c r="D7188">
        <v>13</v>
      </c>
    </row>
    <row r="7189" spans="2:4" x14ac:dyDescent="0.25">
      <c r="B7189" t="s">
        <v>1580</v>
      </c>
      <c r="C7189">
        <v>514</v>
      </c>
      <c r="D7189">
        <v>14</v>
      </c>
    </row>
    <row r="7190" spans="2:4" x14ac:dyDescent="0.25">
      <c r="B7190" t="s">
        <v>1580</v>
      </c>
      <c r="C7190">
        <v>515</v>
      </c>
      <c r="D7190">
        <v>6</v>
      </c>
    </row>
    <row r="7191" spans="2:4" x14ac:dyDescent="0.25">
      <c r="B7191" t="s">
        <v>1580</v>
      </c>
      <c r="C7191">
        <v>515</v>
      </c>
      <c r="D7191">
        <v>8</v>
      </c>
    </row>
    <row r="7192" spans="2:4" x14ac:dyDescent="0.25">
      <c r="B7192" t="s">
        <v>1580</v>
      </c>
      <c r="C7192">
        <v>515</v>
      </c>
      <c r="D7192">
        <v>13</v>
      </c>
    </row>
    <row r="7193" spans="2:4" x14ac:dyDescent="0.25">
      <c r="B7193" t="s">
        <v>1580</v>
      </c>
      <c r="C7193">
        <v>515</v>
      </c>
      <c r="D7193">
        <v>14</v>
      </c>
    </row>
    <row r="7194" spans="2:4" x14ac:dyDescent="0.25">
      <c r="B7194" t="s">
        <v>1580</v>
      </c>
      <c r="C7194">
        <v>516</v>
      </c>
      <c r="D7194">
        <v>6</v>
      </c>
    </row>
    <row r="7195" spans="2:4" x14ac:dyDescent="0.25">
      <c r="B7195" t="s">
        <v>1580</v>
      </c>
      <c r="C7195">
        <v>516</v>
      </c>
      <c r="D7195">
        <v>8</v>
      </c>
    </row>
    <row r="7196" spans="2:4" x14ac:dyDescent="0.25">
      <c r="B7196" t="s">
        <v>1580</v>
      </c>
      <c r="C7196">
        <v>516</v>
      </c>
      <c r="D7196">
        <v>13</v>
      </c>
    </row>
    <row r="7197" spans="2:4" x14ac:dyDescent="0.25">
      <c r="B7197" t="s">
        <v>1580</v>
      </c>
      <c r="C7197">
        <v>516</v>
      </c>
      <c r="D7197">
        <v>14</v>
      </c>
    </row>
    <row r="7198" spans="2:4" x14ac:dyDescent="0.25">
      <c r="B7198" t="s">
        <v>1580</v>
      </c>
      <c r="C7198">
        <v>517</v>
      </c>
      <c r="D7198">
        <v>6</v>
      </c>
    </row>
    <row r="7199" spans="2:4" x14ac:dyDescent="0.25">
      <c r="B7199" t="s">
        <v>1580</v>
      </c>
      <c r="C7199">
        <v>517</v>
      </c>
      <c r="D7199">
        <v>8</v>
      </c>
    </row>
    <row r="7200" spans="2:4" x14ac:dyDescent="0.25">
      <c r="B7200" t="s">
        <v>1580</v>
      </c>
      <c r="C7200">
        <v>517</v>
      </c>
      <c r="D7200">
        <v>13</v>
      </c>
    </row>
    <row r="7201" spans="2:4" x14ac:dyDescent="0.25">
      <c r="B7201" t="s">
        <v>1580</v>
      </c>
      <c r="C7201">
        <v>517</v>
      </c>
      <c r="D7201">
        <v>14</v>
      </c>
    </row>
    <row r="7202" spans="2:4" x14ac:dyDescent="0.25">
      <c r="B7202" t="s">
        <v>1580</v>
      </c>
      <c r="C7202">
        <v>518</v>
      </c>
      <c r="D7202">
        <v>6</v>
      </c>
    </row>
    <row r="7203" spans="2:4" x14ac:dyDescent="0.25">
      <c r="B7203" t="s">
        <v>1580</v>
      </c>
      <c r="C7203">
        <v>518</v>
      </c>
      <c r="D7203">
        <v>8</v>
      </c>
    </row>
    <row r="7204" spans="2:4" x14ac:dyDescent="0.25">
      <c r="B7204" t="s">
        <v>1580</v>
      </c>
      <c r="C7204">
        <v>518</v>
      </c>
      <c r="D7204">
        <v>13</v>
      </c>
    </row>
    <row r="7205" spans="2:4" x14ac:dyDescent="0.25">
      <c r="B7205" t="s">
        <v>1580</v>
      </c>
      <c r="C7205">
        <v>518</v>
      </c>
      <c r="D7205">
        <v>14</v>
      </c>
    </row>
    <row r="7206" spans="2:4" x14ac:dyDescent="0.25">
      <c r="B7206" t="s">
        <v>1580</v>
      </c>
      <c r="C7206">
        <v>519</v>
      </c>
      <c r="D7206">
        <v>6</v>
      </c>
    </row>
    <row r="7207" spans="2:4" x14ac:dyDescent="0.25">
      <c r="B7207" t="s">
        <v>1580</v>
      </c>
      <c r="C7207">
        <v>519</v>
      </c>
      <c r="D7207">
        <v>8</v>
      </c>
    </row>
    <row r="7208" spans="2:4" x14ac:dyDescent="0.25">
      <c r="B7208" t="s">
        <v>1580</v>
      </c>
      <c r="C7208">
        <v>519</v>
      </c>
      <c r="D7208">
        <v>13</v>
      </c>
    </row>
    <row r="7209" spans="2:4" x14ac:dyDescent="0.25">
      <c r="B7209" t="s">
        <v>1580</v>
      </c>
      <c r="C7209">
        <v>519</v>
      </c>
      <c r="D7209">
        <v>14</v>
      </c>
    </row>
    <row r="7210" spans="2:4" x14ac:dyDescent="0.25">
      <c r="B7210" t="s">
        <v>1580</v>
      </c>
      <c r="C7210">
        <v>522</v>
      </c>
      <c r="D7210">
        <v>6</v>
      </c>
    </row>
    <row r="7211" spans="2:4" x14ac:dyDescent="0.25">
      <c r="B7211" t="s">
        <v>1580</v>
      </c>
      <c r="C7211">
        <v>522</v>
      </c>
      <c r="D7211">
        <v>8</v>
      </c>
    </row>
    <row r="7212" spans="2:4" x14ac:dyDescent="0.25">
      <c r="B7212" t="s">
        <v>1580</v>
      </c>
      <c r="C7212">
        <v>522</v>
      </c>
      <c r="D7212">
        <v>13</v>
      </c>
    </row>
    <row r="7213" spans="2:4" x14ac:dyDescent="0.25">
      <c r="B7213" t="s">
        <v>1580</v>
      </c>
      <c r="C7213">
        <v>522</v>
      </c>
      <c r="D7213">
        <v>14</v>
      </c>
    </row>
    <row r="7214" spans="2:4" x14ac:dyDescent="0.25">
      <c r="B7214" t="s">
        <v>1580</v>
      </c>
      <c r="C7214">
        <v>523</v>
      </c>
      <c r="D7214">
        <v>6</v>
      </c>
    </row>
    <row r="7215" spans="2:4" x14ac:dyDescent="0.25">
      <c r="B7215" t="s">
        <v>1580</v>
      </c>
      <c r="C7215">
        <v>523</v>
      </c>
      <c r="D7215">
        <v>8</v>
      </c>
    </row>
    <row r="7216" spans="2:4" x14ac:dyDescent="0.25">
      <c r="B7216" t="s">
        <v>1580</v>
      </c>
      <c r="C7216">
        <v>523</v>
      </c>
      <c r="D7216">
        <v>13</v>
      </c>
    </row>
    <row r="7217" spans="2:4" x14ac:dyDescent="0.25">
      <c r="B7217" t="s">
        <v>1580</v>
      </c>
      <c r="C7217">
        <v>523</v>
      </c>
      <c r="D7217">
        <v>14</v>
      </c>
    </row>
    <row r="7218" spans="2:4" x14ac:dyDescent="0.25">
      <c r="B7218" t="s">
        <v>1580</v>
      </c>
      <c r="C7218">
        <v>524</v>
      </c>
      <c r="D7218">
        <v>6</v>
      </c>
    </row>
    <row r="7219" spans="2:4" x14ac:dyDescent="0.25">
      <c r="B7219" t="s">
        <v>1580</v>
      </c>
      <c r="C7219">
        <v>524</v>
      </c>
      <c r="D7219">
        <v>8</v>
      </c>
    </row>
    <row r="7220" spans="2:4" x14ac:dyDescent="0.25">
      <c r="B7220" t="s">
        <v>1580</v>
      </c>
      <c r="C7220">
        <v>524</v>
      </c>
      <c r="D7220">
        <v>13</v>
      </c>
    </row>
    <row r="7221" spans="2:4" x14ac:dyDescent="0.25">
      <c r="B7221" t="s">
        <v>1580</v>
      </c>
      <c r="C7221">
        <v>524</v>
      </c>
      <c r="D7221">
        <v>14</v>
      </c>
    </row>
    <row r="7222" spans="2:4" x14ac:dyDescent="0.25">
      <c r="B7222" t="s">
        <v>1580</v>
      </c>
      <c r="C7222">
        <v>525</v>
      </c>
      <c r="D7222">
        <v>6</v>
      </c>
    </row>
    <row r="7223" spans="2:4" x14ac:dyDescent="0.25">
      <c r="B7223" t="s">
        <v>1580</v>
      </c>
      <c r="C7223">
        <v>525</v>
      </c>
      <c r="D7223">
        <v>8</v>
      </c>
    </row>
    <row r="7224" spans="2:4" x14ac:dyDescent="0.25">
      <c r="B7224" t="s">
        <v>1580</v>
      </c>
      <c r="C7224">
        <v>525</v>
      </c>
      <c r="D7224">
        <v>13</v>
      </c>
    </row>
    <row r="7225" spans="2:4" x14ac:dyDescent="0.25">
      <c r="B7225" t="s">
        <v>1580</v>
      </c>
      <c r="C7225">
        <v>525</v>
      </c>
      <c r="D7225">
        <v>14</v>
      </c>
    </row>
    <row r="7226" spans="2:4" x14ac:dyDescent="0.25">
      <c r="B7226" t="s">
        <v>1580</v>
      </c>
      <c r="C7226">
        <v>526</v>
      </c>
      <c r="D7226">
        <v>6</v>
      </c>
    </row>
    <row r="7227" spans="2:4" x14ac:dyDescent="0.25">
      <c r="B7227" t="s">
        <v>1580</v>
      </c>
      <c r="C7227">
        <v>526</v>
      </c>
      <c r="D7227">
        <v>8</v>
      </c>
    </row>
    <row r="7228" spans="2:4" x14ac:dyDescent="0.25">
      <c r="B7228" t="s">
        <v>1580</v>
      </c>
      <c r="C7228">
        <v>526</v>
      </c>
      <c r="D7228">
        <v>13</v>
      </c>
    </row>
    <row r="7229" spans="2:4" x14ac:dyDescent="0.25">
      <c r="B7229" t="s">
        <v>1580</v>
      </c>
      <c r="C7229">
        <v>526</v>
      </c>
      <c r="D7229">
        <v>14</v>
      </c>
    </row>
    <row r="7230" spans="2:4" x14ac:dyDescent="0.25">
      <c r="B7230" t="s">
        <v>1580</v>
      </c>
      <c r="C7230">
        <v>527</v>
      </c>
      <c r="D7230">
        <v>6</v>
      </c>
    </row>
    <row r="7231" spans="2:4" x14ac:dyDescent="0.25">
      <c r="B7231" t="s">
        <v>1580</v>
      </c>
      <c r="C7231">
        <v>527</v>
      </c>
      <c r="D7231">
        <v>8</v>
      </c>
    </row>
    <row r="7232" spans="2:4" x14ac:dyDescent="0.25">
      <c r="B7232" t="s">
        <v>1580</v>
      </c>
      <c r="C7232">
        <v>527</v>
      </c>
      <c r="D7232">
        <v>13</v>
      </c>
    </row>
    <row r="7233" spans="2:4" x14ac:dyDescent="0.25">
      <c r="B7233" t="s">
        <v>1580</v>
      </c>
      <c r="C7233">
        <v>527</v>
      </c>
      <c r="D7233">
        <v>14</v>
      </c>
    </row>
    <row r="7234" spans="2:4" x14ac:dyDescent="0.25">
      <c r="B7234" t="s">
        <v>1580</v>
      </c>
      <c r="C7234">
        <v>529</v>
      </c>
      <c r="D7234">
        <v>6</v>
      </c>
    </row>
    <row r="7235" spans="2:4" x14ac:dyDescent="0.25">
      <c r="B7235" t="s">
        <v>1580</v>
      </c>
      <c r="C7235">
        <v>529</v>
      </c>
      <c r="D7235">
        <v>8</v>
      </c>
    </row>
    <row r="7236" spans="2:4" x14ac:dyDescent="0.25">
      <c r="B7236" t="s">
        <v>1580</v>
      </c>
      <c r="C7236">
        <v>529</v>
      </c>
      <c r="D7236">
        <v>13</v>
      </c>
    </row>
    <row r="7237" spans="2:4" x14ac:dyDescent="0.25">
      <c r="B7237" t="s">
        <v>1580</v>
      </c>
      <c r="C7237">
        <v>529</v>
      </c>
      <c r="D7237">
        <v>14</v>
      </c>
    </row>
    <row r="7238" spans="2:4" x14ac:dyDescent="0.25">
      <c r="B7238" t="s">
        <v>1580</v>
      </c>
      <c r="C7238">
        <v>530</v>
      </c>
      <c r="D7238">
        <v>6</v>
      </c>
    </row>
    <row r="7239" spans="2:4" x14ac:dyDescent="0.25">
      <c r="B7239" t="s">
        <v>1580</v>
      </c>
      <c r="C7239">
        <v>530</v>
      </c>
      <c r="D7239">
        <v>8</v>
      </c>
    </row>
    <row r="7240" spans="2:4" x14ac:dyDescent="0.25">
      <c r="B7240" t="s">
        <v>1580</v>
      </c>
      <c r="C7240">
        <v>530</v>
      </c>
      <c r="D7240">
        <v>13</v>
      </c>
    </row>
    <row r="7241" spans="2:4" x14ac:dyDescent="0.25">
      <c r="B7241" t="s">
        <v>1580</v>
      </c>
      <c r="C7241">
        <v>530</v>
      </c>
      <c r="D7241">
        <v>14</v>
      </c>
    </row>
    <row r="7242" spans="2:4" x14ac:dyDescent="0.25">
      <c r="B7242" t="s">
        <v>1580</v>
      </c>
      <c r="C7242">
        <v>531</v>
      </c>
      <c r="D7242">
        <v>6</v>
      </c>
    </row>
    <row r="7243" spans="2:4" x14ac:dyDescent="0.25">
      <c r="B7243" t="s">
        <v>1580</v>
      </c>
      <c r="C7243">
        <v>531</v>
      </c>
      <c r="D7243">
        <v>8</v>
      </c>
    </row>
    <row r="7244" spans="2:4" x14ac:dyDescent="0.25">
      <c r="B7244" t="s">
        <v>1580</v>
      </c>
      <c r="C7244">
        <v>531</v>
      </c>
      <c r="D7244">
        <v>13</v>
      </c>
    </row>
    <row r="7245" spans="2:4" x14ac:dyDescent="0.25">
      <c r="B7245" t="s">
        <v>1580</v>
      </c>
      <c r="C7245">
        <v>531</v>
      </c>
      <c r="D7245">
        <v>14</v>
      </c>
    </row>
    <row r="7246" spans="2:4" x14ac:dyDescent="0.25">
      <c r="B7246" t="s">
        <v>1580</v>
      </c>
      <c r="C7246">
        <v>532</v>
      </c>
      <c r="D7246">
        <v>6</v>
      </c>
    </row>
    <row r="7247" spans="2:4" x14ac:dyDescent="0.25">
      <c r="B7247" t="s">
        <v>1580</v>
      </c>
      <c r="C7247">
        <v>532</v>
      </c>
      <c r="D7247">
        <v>8</v>
      </c>
    </row>
    <row r="7248" spans="2:4" x14ac:dyDescent="0.25">
      <c r="B7248" t="s">
        <v>1580</v>
      </c>
      <c r="C7248">
        <v>532</v>
      </c>
      <c r="D7248">
        <v>13</v>
      </c>
    </row>
    <row r="7249" spans="2:4" x14ac:dyDescent="0.25">
      <c r="B7249" t="s">
        <v>1580</v>
      </c>
      <c r="C7249">
        <v>532</v>
      </c>
      <c r="D7249">
        <v>14</v>
      </c>
    </row>
    <row r="7250" spans="2:4" x14ac:dyDescent="0.25">
      <c r="B7250" t="s">
        <v>1580</v>
      </c>
      <c r="C7250">
        <v>533</v>
      </c>
      <c r="D7250">
        <v>6</v>
      </c>
    </row>
    <row r="7251" spans="2:4" x14ac:dyDescent="0.25">
      <c r="B7251" t="s">
        <v>1580</v>
      </c>
      <c r="C7251">
        <v>533</v>
      </c>
      <c r="D7251">
        <v>8</v>
      </c>
    </row>
    <row r="7252" spans="2:4" x14ac:dyDescent="0.25">
      <c r="B7252" t="s">
        <v>1580</v>
      </c>
      <c r="C7252">
        <v>533</v>
      </c>
      <c r="D7252">
        <v>13</v>
      </c>
    </row>
    <row r="7253" spans="2:4" x14ac:dyDescent="0.25">
      <c r="B7253" t="s">
        <v>1580</v>
      </c>
      <c r="C7253">
        <v>533</v>
      </c>
      <c r="D7253">
        <v>14</v>
      </c>
    </row>
    <row r="7254" spans="2:4" x14ac:dyDescent="0.25">
      <c r="B7254" t="s">
        <v>1580</v>
      </c>
      <c r="C7254">
        <v>534</v>
      </c>
      <c r="D7254">
        <v>6</v>
      </c>
    </row>
    <row r="7255" spans="2:4" x14ac:dyDescent="0.25">
      <c r="B7255" t="s">
        <v>1580</v>
      </c>
      <c r="C7255">
        <v>534</v>
      </c>
      <c r="D7255">
        <v>8</v>
      </c>
    </row>
    <row r="7256" spans="2:4" x14ac:dyDescent="0.25">
      <c r="B7256" t="s">
        <v>1580</v>
      </c>
      <c r="C7256">
        <v>534</v>
      </c>
      <c r="D7256">
        <v>13</v>
      </c>
    </row>
    <row r="7257" spans="2:4" x14ac:dyDescent="0.25">
      <c r="B7257" t="s">
        <v>1580</v>
      </c>
      <c r="C7257">
        <v>534</v>
      </c>
      <c r="D7257">
        <v>14</v>
      </c>
    </row>
    <row r="7258" spans="2:4" x14ac:dyDescent="0.25">
      <c r="B7258" t="s">
        <v>1580</v>
      </c>
      <c r="C7258">
        <v>535</v>
      </c>
      <c r="D7258">
        <v>6</v>
      </c>
    </row>
    <row r="7259" spans="2:4" x14ac:dyDescent="0.25">
      <c r="B7259" t="s">
        <v>1580</v>
      </c>
      <c r="C7259">
        <v>535</v>
      </c>
      <c r="D7259">
        <v>8</v>
      </c>
    </row>
    <row r="7260" spans="2:4" x14ac:dyDescent="0.25">
      <c r="B7260" t="s">
        <v>1580</v>
      </c>
      <c r="C7260">
        <v>535</v>
      </c>
      <c r="D7260">
        <v>13</v>
      </c>
    </row>
    <row r="7261" spans="2:4" x14ac:dyDescent="0.25">
      <c r="B7261" t="s">
        <v>1580</v>
      </c>
      <c r="C7261">
        <v>535</v>
      </c>
      <c r="D7261">
        <v>14</v>
      </c>
    </row>
    <row r="7262" spans="2:4" x14ac:dyDescent="0.25">
      <c r="B7262" t="s">
        <v>1580</v>
      </c>
      <c r="C7262">
        <v>536</v>
      </c>
      <c r="D7262">
        <v>6</v>
      </c>
    </row>
    <row r="7263" spans="2:4" x14ac:dyDescent="0.25">
      <c r="B7263" t="s">
        <v>1580</v>
      </c>
      <c r="C7263">
        <v>536</v>
      </c>
      <c r="D7263">
        <v>8</v>
      </c>
    </row>
    <row r="7264" spans="2:4" x14ac:dyDescent="0.25">
      <c r="B7264" t="s">
        <v>1580</v>
      </c>
      <c r="C7264">
        <v>536</v>
      </c>
      <c r="D7264">
        <v>13</v>
      </c>
    </row>
    <row r="7265" spans="2:4" x14ac:dyDescent="0.25">
      <c r="B7265" t="s">
        <v>1580</v>
      </c>
      <c r="C7265">
        <v>536</v>
      </c>
      <c r="D7265">
        <v>14</v>
      </c>
    </row>
    <row r="7266" spans="2:4" x14ac:dyDescent="0.25">
      <c r="B7266" t="s">
        <v>1580</v>
      </c>
      <c r="C7266">
        <v>538</v>
      </c>
      <c r="D7266">
        <v>6</v>
      </c>
    </row>
    <row r="7267" spans="2:4" x14ac:dyDescent="0.25">
      <c r="B7267" t="s">
        <v>1580</v>
      </c>
      <c r="C7267">
        <v>538</v>
      </c>
      <c r="D7267">
        <v>8</v>
      </c>
    </row>
    <row r="7268" spans="2:4" x14ac:dyDescent="0.25">
      <c r="B7268" t="s">
        <v>1580</v>
      </c>
      <c r="C7268">
        <v>538</v>
      </c>
      <c r="D7268">
        <v>13</v>
      </c>
    </row>
    <row r="7269" spans="2:4" x14ac:dyDescent="0.25">
      <c r="B7269" t="s">
        <v>1580</v>
      </c>
      <c r="C7269">
        <v>538</v>
      </c>
      <c r="D7269">
        <v>14</v>
      </c>
    </row>
    <row r="7270" spans="2:4" x14ac:dyDescent="0.25">
      <c r="B7270" t="s">
        <v>1580</v>
      </c>
      <c r="C7270">
        <v>539</v>
      </c>
      <c r="D7270">
        <v>6</v>
      </c>
    </row>
    <row r="7271" spans="2:4" x14ac:dyDescent="0.25">
      <c r="B7271" t="s">
        <v>1580</v>
      </c>
      <c r="C7271">
        <v>539</v>
      </c>
      <c r="D7271">
        <v>8</v>
      </c>
    </row>
    <row r="7272" spans="2:4" x14ac:dyDescent="0.25">
      <c r="B7272" t="s">
        <v>1580</v>
      </c>
      <c r="C7272">
        <v>539</v>
      </c>
      <c r="D7272">
        <v>13</v>
      </c>
    </row>
    <row r="7273" spans="2:4" x14ac:dyDescent="0.25">
      <c r="B7273" t="s">
        <v>1580</v>
      </c>
      <c r="C7273">
        <v>539</v>
      </c>
      <c r="D7273">
        <v>14</v>
      </c>
    </row>
    <row r="7274" spans="2:4" x14ac:dyDescent="0.25">
      <c r="B7274" t="s">
        <v>1580</v>
      </c>
      <c r="C7274">
        <v>540</v>
      </c>
      <c r="D7274">
        <v>6</v>
      </c>
    </row>
    <row r="7275" spans="2:4" x14ac:dyDescent="0.25">
      <c r="B7275" t="s">
        <v>1580</v>
      </c>
      <c r="C7275">
        <v>540</v>
      </c>
      <c r="D7275">
        <v>8</v>
      </c>
    </row>
    <row r="7276" spans="2:4" x14ac:dyDescent="0.25">
      <c r="B7276" t="s">
        <v>1580</v>
      </c>
      <c r="C7276">
        <v>540</v>
      </c>
      <c r="D7276">
        <v>13</v>
      </c>
    </row>
    <row r="7277" spans="2:4" x14ac:dyDescent="0.25">
      <c r="B7277" t="s">
        <v>1580</v>
      </c>
      <c r="C7277">
        <v>540</v>
      </c>
      <c r="D7277">
        <v>14</v>
      </c>
    </row>
    <row r="7278" spans="2:4" x14ac:dyDescent="0.25">
      <c r="B7278" t="s">
        <v>1580</v>
      </c>
      <c r="C7278">
        <v>541</v>
      </c>
      <c r="D7278">
        <v>5</v>
      </c>
    </row>
    <row r="7279" spans="2:4" x14ac:dyDescent="0.25">
      <c r="B7279" t="s">
        <v>1580</v>
      </c>
      <c r="C7279">
        <v>543</v>
      </c>
      <c r="D7279">
        <v>6</v>
      </c>
    </row>
    <row r="7280" spans="2:4" x14ac:dyDescent="0.25">
      <c r="B7280" t="s">
        <v>1580</v>
      </c>
      <c r="C7280">
        <v>543</v>
      </c>
      <c r="D7280">
        <v>8</v>
      </c>
    </row>
    <row r="7281" spans="2:4" x14ac:dyDescent="0.25">
      <c r="B7281" t="s">
        <v>1580</v>
      </c>
      <c r="C7281">
        <v>543</v>
      </c>
      <c r="D7281">
        <v>13</v>
      </c>
    </row>
    <row r="7282" spans="2:4" x14ac:dyDescent="0.25">
      <c r="B7282" t="s">
        <v>1580</v>
      </c>
      <c r="C7282">
        <v>543</v>
      </c>
      <c r="D7282">
        <v>14</v>
      </c>
    </row>
    <row r="7283" spans="2:4" x14ac:dyDescent="0.25">
      <c r="B7283" t="s">
        <v>1580</v>
      </c>
      <c r="C7283">
        <v>544</v>
      </c>
      <c r="D7283">
        <v>6</v>
      </c>
    </row>
    <row r="7284" spans="2:4" x14ac:dyDescent="0.25">
      <c r="B7284" t="s">
        <v>1580</v>
      </c>
      <c r="C7284">
        <v>544</v>
      </c>
      <c r="D7284">
        <v>8</v>
      </c>
    </row>
    <row r="7285" spans="2:4" x14ac:dyDescent="0.25">
      <c r="B7285" t="s">
        <v>1580</v>
      </c>
      <c r="C7285">
        <v>544</v>
      </c>
      <c r="D7285">
        <v>13</v>
      </c>
    </row>
    <row r="7286" spans="2:4" x14ac:dyDescent="0.25">
      <c r="B7286" t="s">
        <v>1580</v>
      </c>
      <c r="C7286">
        <v>544</v>
      </c>
      <c r="D7286">
        <v>14</v>
      </c>
    </row>
    <row r="7287" spans="2:4" x14ac:dyDescent="0.25">
      <c r="B7287" t="s">
        <v>1580</v>
      </c>
      <c r="C7287">
        <v>545</v>
      </c>
      <c r="D7287">
        <v>6</v>
      </c>
    </row>
    <row r="7288" spans="2:4" x14ac:dyDescent="0.25">
      <c r="B7288" t="s">
        <v>1580</v>
      </c>
      <c r="C7288">
        <v>545</v>
      </c>
      <c r="D7288">
        <v>8</v>
      </c>
    </row>
    <row r="7289" spans="2:4" x14ac:dyDescent="0.25">
      <c r="B7289" t="s">
        <v>1580</v>
      </c>
      <c r="C7289">
        <v>545</v>
      </c>
      <c r="D7289">
        <v>13</v>
      </c>
    </row>
    <row r="7290" spans="2:4" x14ac:dyDescent="0.25">
      <c r="B7290" t="s">
        <v>1580</v>
      </c>
      <c r="C7290">
        <v>545</v>
      </c>
      <c r="D7290">
        <v>14</v>
      </c>
    </row>
    <row r="7291" spans="2:4" x14ac:dyDescent="0.25">
      <c r="B7291" t="s">
        <v>1580</v>
      </c>
      <c r="C7291">
        <v>546</v>
      </c>
      <c r="D7291">
        <v>6</v>
      </c>
    </row>
    <row r="7292" spans="2:4" x14ac:dyDescent="0.25">
      <c r="B7292" t="s">
        <v>1580</v>
      </c>
      <c r="C7292">
        <v>546</v>
      </c>
      <c r="D7292">
        <v>8</v>
      </c>
    </row>
    <row r="7293" spans="2:4" x14ac:dyDescent="0.25">
      <c r="B7293" t="s">
        <v>1580</v>
      </c>
      <c r="C7293">
        <v>546</v>
      </c>
      <c r="D7293">
        <v>13</v>
      </c>
    </row>
    <row r="7294" spans="2:4" x14ac:dyDescent="0.25">
      <c r="B7294" t="s">
        <v>1580</v>
      </c>
      <c r="C7294">
        <v>546</v>
      </c>
      <c r="D7294">
        <v>14</v>
      </c>
    </row>
    <row r="7295" spans="2:4" x14ac:dyDescent="0.25">
      <c r="B7295" t="s">
        <v>1580</v>
      </c>
      <c r="C7295">
        <v>547</v>
      </c>
      <c r="D7295">
        <v>6</v>
      </c>
    </row>
    <row r="7296" spans="2:4" x14ac:dyDescent="0.25">
      <c r="B7296" t="s">
        <v>1580</v>
      </c>
      <c r="C7296">
        <v>547</v>
      </c>
      <c r="D7296">
        <v>8</v>
      </c>
    </row>
    <row r="7297" spans="2:4" x14ac:dyDescent="0.25">
      <c r="B7297" t="s">
        <v>1580</v>
      </c>
      <c r="C7297">
        <v>547</v>
      </c>
      <c r="D7297">
        <v>13</v>
      </c>
    </row>
    <row r="7298" spans="2:4" x14ac:dyDescent="0.25">
      <c r="B7298" t="s">
        <v>1580</v>
      </c>
      <c r="C7298">
        <v>547</v>
      </c>
      <c r="D7298">
        <v>14</v>
      </c>
    </row>
    <row r="7299" spans="2:4" x14ac:dyDescent="0.25">
      <c r="B7299" t="s">
        <v>1580</v>
      </c>
      <c r="C7299">
        <v>548</v>
      </c>
      <c r="D7299">
        <v>6</v>
      </c>
    </row>
    <row r="7300" spans="2:4" x14ac:dyDescent="0.25">
      <c r="B7300" t="s">
        <v>1580</v>
      </c>
      <c r="C7300">
        <v>548</v>
      </c>
      <c r="D7300">
        <v>8</v>
      </c>
    </row>
    <row r="7301" spans="2:4" x14ac:dyDescent="0.25">
      <c r="B7301" t="s">
        <v>1580</v>
      </c>
      <c r="C7301">
        <v>548</v>
      </c>
      <c r="D7301">
        <v>13</v>
      </c>
    </row>
    <row r="7302" spans="2:4" x14ac:dyDescent="0.25">
      <c r="B7302" t="s">
        <v>1580</v>
      </c>
      <c r="C7302">
        <v>548</v>
      </c>
      <c r="D7302">
        <v>14</v>
      </c>
    </row>
    <row r="7303" spans="2:4" x14ac:dyDescent="0.25">
      <c r="B7303" t="s">
        <v>1580</v>
      </c>
      <c r="C7303">
        <v>550</v>
      </c>
      <c r="D7303">
        <v>6</v>
      </c>
    </row>
    <row r="7304" spans="2:4" x14ac:dyDescent="0.25">
      <c r="B7304" t="s">
        <v>1580</v>
      </c>
      <c r="C7304">
        <v>550</v>
      </c>
      <c r="D7304">
        <v>8</v>
      </c>
    </row>
    <row r="7305" spans="2:4" x14ac:dyDescent="0.25">
      <c r="B7305" t="s">
        <v>1580</v>
      </c>
      <c r="C7305">
        <v>550</v>
      </c>
      <c r="D7305">
        <v>13</v>
      </c>
    </row>
    <row r="7306" spans="2:4" x14ac:dyDescent="0.25">
      <c r="B7306" t="s">
        <v>1580</v>
      </c>
      <c r="C7306">
        <v>550</v>
      </c>
      <c r="D7306">
        <v>14</v>
      </c>
    </row>
    <row r="7307" spans="2:4" x14ac:dyDescent="0.25">
      <c r="B7307" t="s">
        <v>1580</v>
      </c>
      <c r="C7307">
        <v>551</v>
      </c>
      <c r="D7307">
        <v>6</v>
      </c>
    </row>
    <row r="7308" spans="2:4" x14ac:dyDescent="0.25">
      <c r="B7308" t="s">
        <v>1580</v>
      </c>
      <c r="C7308">
        <v>551</v>
      </c>
      <c r="D7308">
        <v>8</v>
      </c>
    </row>
    <row r="7309" spans="2:4" x14ac:dyDescent="0.25">
      <c r="B7309" t="s">
        <v>1580</v>
      </c>
      <c r="C7309">
        <v>551</v>
      </c>
      <c r="D7309">
        <v>13</v>
      </c>
    </row>
    <row r="7310" spans="2:4" x14ac:dyDescent="0.25">
      <c r="B7310" t="s">
        <v>1580</v>
      </c>
      <c r="C7310">
        <v>551</v>
      </c>
      <c r="D7310">
        <v>14</v>
      </c>
    </row>
    <row r="7311" spans="2:4" x14ac:dyDescent="0.25">
      <c r="B7311" t="s">
        <v>1580</v>
      </c>
      <c r="C7311">
        <v>552</v>
      </c>
      <c r="D7311">
        <v>6</v>
      </c>
    </row>
    <row r="7312" spans="2:4" x14ac:dyDescent="0.25">
      <c r="B7312" t="s">
        <v>1580</v>
      </c>
      <c r="C7312">
        <v>552</v>
      </c>
      <c r="D7312">
        <v>8</v>
      </c>
    </row>
    <row r="7313" spans="2:4" x14ac:dyDescent="0.25">
      <c r="B7313" t="s">
        <v>1580</v>
      </c>
      <c r="C7313">
        <v>552</v>
      </c>
      <c r="D7313">
        <v>13</v>
      </c>
    </row>
    <row r="7314" spans="2:4" x14ac:dyDescent="0.25">
      <c r="B7314" t="s">
        <v>1580</v>
      </c>
      <c r="C7314">
        <v>552</v>
      </c>
      <c r="D7314">
        <v>14</v>
      </c>
    </row>
    <row r="7315" spans="2:4" x14ac:dyDescent="0.25">
      <c r="B7315" t="s">
        <v>1580</v>
      </c>
      <c r="C7315">
        <v>553</v>
      </c>
      <c r="D7315">
        <v>6</v>
      </c>
    </row>
    <row r="7316" spans="2:4" x14ac:dyDescent="0.25">
      <c r="B7316" t="s">
        <v>1580</v>
      </c>
      <c r="C7316">
        <v>553</v>
      </c>
      <c r="D7316">
        <v>8</v>
      </c>
    </row>
    <row r="7317" spans="2:4" x14ac:dyDescent="0.25">
      <c r="B7317" t="s">
        <v>1580</v>
      </c>
      <c r="C7317">
        <v>553</v>
      </c>
      <c r="D7317">
        <v>13</v>
      </c>
    </row>
    <row r="7318" spans="2:4" x14ac:dyDescent="0.25">
      <c r="B7318" t="s">
        <v>1580</v>
      </c>
      <c r="C7318">
        <v>553</v>
      </c>
      <c r="D7318">
        <v>14</v>
      </c>
    </row>
    <row r="7319" spans="2:4" x14ac:dyDescent="0.25">
      <c r="B7319" t="s">
        <v>1580</v>
      </c>
      <c r="C7319">
        <v>554</v>
      </c>
      <c r="D7319">
        <v>6</v>
      </c>
    </row>
    <row r="7320" spans="2:4" x14ac:dyDescent="0.25">
      <c r="B7320" t="s">
        <v>1580</v>
      </c>
      <c r="C7320">
        <v>554</v>
      </c>
      <c r="D7320">
        <v>8</v>
      </c>
    </row>
    <row r="7321" spans="2:4" x14ac:dyDescent="0.25">
      <c r="B7321" t="s">
        <v>1580</v>
      </c>
      <c r="C7321">
        <v>554</v>
      </c>
      <c r="D7321">
        <v>13</v>
      </c>
    </row>
    <row r="7322" spans="2:4" x14ac:dyDescent="0.25">
      <c r="B7322" t="s">
        <v>1580</v>
      </c>
      <c r="C7322">
        <v>554</v>
      </c>
      <c r="D7322">
        <v>14</v>
      </c>
    </row>
    <row r="7323" spans="2:4" x14ac:dyDescent="0.25">
      <c r="B7323" t="s">
        <v>1580</v>
      </c>
      <c r="C7323">
        <v>555</v>
      </c>
      <c r="D7323">
        <v>6</v>
      </c>
    </row>
    <row r="7324" spans="2:4" x14ac:dyDescent="0.25">
      <c r="B7324" t="s">
        <v>1580</v>
      </c>
      <c r="C7324">
        <v>555</v>
      </c>
      <c r="D7324">
        <v>8</v>
      </c>
    </row>
    <row r="7325" spans="2:4" x14ac:dyDescent="0.25">
      <c r="B7325" t="s">
        <v>1580</v>
      </c>
      <c r="C7325">
        <v>555</v>
      </c>
      <c r="D7325">
        <v>13</v>
      </c>
    </row>
    <row r="7326" spans="2:4" x14ac:dyDescent="0.25">
      <c r="B7326" t="s">
        <v>1580</v>
      </c>
      <c r="C7326">
        <v>555</v>
      </c>
      <c r="D7326">
        <v>14</v>
      </c>
    </row>
    <row r="7327" spans="2:4" x14ac:dyDescent="0.25">
      <c r="B7327" t="s">
        <v>1580</v>
      </c>
      <c r="C7327">
        <v>557</v>
      </c>
      <c r="D7327">
        <v>6</v>
      </c>
    </row>
    <row r="7328" spans="2:4" x14ac:dyDescent="0.25">
      <c r="B7328" t="s">
        <v>1580</v>
      </c>
      <c r="C7328">
        <v>557</v>
      </c>
      <c r="D7328">
        <v>8</v>
      </c>
    </row>
    <row r="7329" spans="2:4" x14ac:dyDescent="0.25">
      <c r="B7329" t="s">
        <v>1580</v>
      </c>
      <c r="C7329">
        <v>557</v>
      </c>
      <c r="D7329">
        <v>13</v>
      </c>
    </row>
    <row r="7330" spans="2:4" x14ac:dyDescent="0.25">
      <c r="B7330" t="s">
        <v>1580</v>
      </c>
      <c r="C7330">
        <v>557</v>
      </c>
      <c r="D7330">
        <v>14</v>
      </c>
    </row>
    <row r="7331" spans="2:4" x14ac:dyDescent="0.25">
      <c r="B7331" t="s">
        <v>1580</v>
      </c>
      <c r="C7331">
        <v>558</v>
      </c>
      <c r="D7331">
        <v>6</v>
      </c>
    </row>
    <row r="7332" spans="2:4" x14ac:dyDescent="0.25">
      <c r="B7332" t="s">
        <v>1580</v>
      </c>
      <c r="C7332">
        <v>558</v>
      </c>
      <c r="D7332">
        <v>8</v>
      </c>
    </row>
    <row r="7333" spans="2:4" x14ac:dyDescent="0.25">
      <c r="B7333" t="s">
        <v>1580</v>
      </c>
      <c r="C7333">
        <v>558</v>
      </c>
      <c r="D7333">
        <v>13</v>
      </c>
    </row>
    <row r="7334" spans="2:4" x14ac:dyDescent="0.25">
      <c r="B7334" t="s">
        <v>1580</v>
      </c>
      <c r="C7334">
        <v>558</v>
      </c>
      <c r="D7334">
        <v>14</v>
      </c>
    </row>
    <row r="7335" spans="2:4" x14ac:dyDescent="0.25">
      <c r="B7335" t="s">
        <v>1580</v>
      </c>
      <c r="C7335">
        <v>559</v>
      </c>
      <c r="D7335">
        <v>6</v>
      </c>
    </row>
    <row r="7336" spans="2:4" x14ac:dyDescent="0.25">
      <c r="B7336" t="s">
        <v>1580</v>
      </c>
      <c r="C7336">
        <v>559</v>
      </c>
      <c r="D7336">
        <v>8</v>
      </c>
    </row>
    <row r="7337" spans="2:4" x14ac:dyDescent="0.25">
      <c r="B7337" t="s">
        <v>1580</v>
      </c>
      <c r="C7337">
        <v>559</v>
      </c>
      <c r="D7337">
        <v>13</v>
      </c>
    </row>
    <row r="7338" spans="2:4" x14ac:dyDescent="0.25">
      <c r="B7338" t="s">
        <v>1580</v>
      </c>
      <c r="C7338">
        <v>559</v>
      </c>
      <c r="D7338">
        <v>14</v>
      </c>
    </row>
    <row r="7339" spans="2:4" x14ac:dyDescent="0.25">
      <c r="B7339" t="s">
        <v>1580</v>
      </c>
      <c r="C7339">
        <v>560</v>
      </c>
      <c r="D7339">
        <v>6</v>
      </c>
    </row>
    <row r="7340" spans="2:4" x14ac:dyDescent="0.25">
      <c r="B7340" t="s">
        <v>1580</v>
      </c>
      <c r="C7340">
        <v>560</v>
      </c>
      <c r="D7340">
        <v>8</v>
      </c>
    </row>
    <row r="7341" spans="2:4" x14ac:dyDescent="0.25">
      <c r="B7341" t="s">
        <v>1580</v>
      </c>
      <c r="C7341">
        <v>560</v>
      </c>
      <c r="D7341">
        <v>13</v>
      </c>
    </row>
    <row r="7342" spans="2:4" x14ac:dyDescent="0.25">
      <c r="B7342" t="s">
        <v>1580</v>
      </c>
      <c r="C7342">
        <v>560</v>
      </c>
      <c r="D7342">
        <v>14</v>
      </c>
    </row>
    <row r="7343" spans="2:4" x14ac:dyDescent="0.25">
      <c r="B7343" t="s">
        <v>1580</v>
      </c>
      <c r="C7343">
        <v>561</v>
      </c>
      <c r="D7343">
        <v>6</v>
      </c>
    </row>
    <row r="7344" spans="2:4" x14ac:dyDescent="0.25">
      <c r="B7344" t="s">
        <v>1580</v>
      </c>
      <c r="C7344">
        <v>561</v>
      </c>
      <c r="D7344">
        <v>8</v>
      </c>
    </row>
    <row r="7345" spans="2:4" x14ac:dyDescent="0.25">
      <c r="B7345" t="s">
        <v>1580</v>
      </c>
      <c r="C7345">
        <v>561</v>
      </c>
      <c r="D7345">
        <v>13</v>
      </c>
    </row>
    <row r="7346" spans="2:4" x14ac:dyDescent="0.25">
      <c r="B7346" t="s">
        <v>1580</v>
      </c>
      <c r="C7346">
        <v>561</v>
      </c>
      <c r="D7346">
        <v>14</v>
      </c>
    </row>
    <row r="7347" spans="2:4" x14ac:dyDescent="0.25">
      <c r="B7347" t="s">
        <v>1580</v>
      </c>
      <c r="C7347">
        <v>562</v>
      </c>
      <c r="D7347">
        <v>6</v>
      </c>
    </row>
    <row r="7348" spans="2:4" x14ac:dyDescent="0.25">
      <c r="B7348" t="s">
        <v>1580</v>
      </c>
      <c r="C7348">
        <v>562</v>
      </c>
      <c r="D7348">
        <v>8</v>
      </c>
    </row>
    <row r="7349" spans="2:4" x14ac:dyDescent="0.25">
      <c r="B7349" t="s">
        <v>1580</v>
      </c>
      <c r="C7349">
        <v>562</v>
      </c>
      <c r="D7349">
        <v>13</v>
      </c>
    </row>
    <row r="7350" spans="2:4" x14ac:dyDescent="0.25">
      <c r="B7350" t="s">
        <v>1580</v>
      </c>
      <c r="C7350">
        <v>562</v>
      </c>
      <c r="D7350">
        <v>14</v>
      </c>
    </row>
    <row r="7351" spans="2:4" x14ac:dyDescent="0.25">
      <c r="B7351" t="s">
        <v>1580</v>
      </c>
      <c r="C7351">
        <v>565</v>
      </c>
      <c r="D7351">
        <v>6</v>
      </c>
    </row>
    <row r="7352" spans="2:4" x14ac:dyDescent="0.25">
      <c r="B7352" t="s">
        <v>1580</v>
      </c>
      <c r="C7352">
        <v>565</v>
      </c>
      <c r="D7352">
        <v>8</v>
      </c>
    </row>
    <row r="7353" spans="2:4" x14ac:dyDescent="0.25">
      <c r="B7353" t="s">
        <v>1580</v>
      </c>
      <c r="C7353">
        <v>565</v>
      </c>
      <c r="D7353">
        <v>13</v>
      </c>
    </row>
    <row r="7354" spans="2:4" x14ac:dyDescent="0.25">
      <c r="B7354" t="s">
        <v>1580</v>
      </c>
      <c r="C7354">
        <v>565</v>
      </c>
      <c r="D7354">
        <v>14</v>
      </c>
    </row>
    <row r="7355" spans="2:4" x14ac:dyDescent="0.25">
      <c r="B7355" t="s">
        <v>1580</v>
      </c>
      <c r="C7355">
        <v>566</v>
      </c>
      <c r="D7355">
        <v>6</v>
      </c>
    </row>
    <row r="7356" spans="2:4" x14ac:dyDescent="0.25">
      <c r="B7356" t="s">
        <v>1580</v>
      </c>
      <c r="C7356">
        <v>566</v>
      </c>
      <c r="D7356">
        <v>8</v>
      </c>
    </row>
    <row r="7357" spans="2:4" x14ac:dyDescent="0.25">
      <c r="B7357" t="s">
        <v>1580</v>
      </c>
      <c r="C7357">
        <v>566</v>
      </c>
      <c r="D7357">
        <v>13</v>
      </c>
    </row>
    <row r="7358" spans="2:4" x14ac:dyDescent="0.25">
      <c r="B7358" t="s">
        <v>1580</v>
      </c>
      <c r="C7358">
        <v>566</v>
      </c>
      <c r="D7358">
        <v>14</v>
      </c>
    </row>
    <row r="7359" spans="2:4" x14ac:dyDescent="0.25">
      <c r="B7359" t="s">
        <v>1580</v>
      </c>
      <c r="C7359">
        <v>567</v>
      </c>
      <c r="D7359">
        <v>6</v>
      </c>
    </row>
    <row r="7360" spans="2:4" x14ac:dyDescent="0.25">
      <c r="B7360" t="s">
        <v>1580</v>
      </c>
      <c r="C7360">
        <v>567</v>
      </c>
      <c r="D7360">
        <v>8</v>
      </c>
    </row>
    <row r="7361" spans="2:4" x14ac:dyDescent="0.25">
      <c r="B7361" t="s">
        <v>1580</v>
      </c>
      <c r="C7361">
        <v>567</v>
      </c>
      <c r="D7361">
        <v>13</v>
      </c>
    </row>
    <row r="7362" spans="2:4" x14ac:dyDescent="0.25">
      <c r="B7362" t="s">
        <v>1580</v>
      </c>
      <c r="C7362">
        <v>567</v>
      </c>
      <c r="D7362">
        <v>14</v>
      </c>
    </row>
    <row r="7363" spans="2:4" x14ac:dyDescent="0.25">
      <c r="B7363" t="s">
        <v>1580</v>
      </c>
      <c r="C7363">
        <v>568</v>
      </c>
      <c r="D7363">
        <v>6</v>
      </c>
    </row>
    <row r="7364" spans="2:4" x14ac:dyDescent="0.25">
      <c r="B7364" t="s">
        <v>1580</v>
      </c>
      <c r="C7364">
        <v>568</v>
      </c>
      <c r="D7364">
        <v>8</v>
      </c>
    </row>
    <row r="7365" spans="2:4" x14ac:dyDescent="0.25">
      <c r="B7365" t="s">
        <v>1580</v>
      </c>
      <c r="C7365">
        <v>568</v>
      </c>
      <c r="D7365">
        <v>13</v>
      </c>
    </row>
    <row r="7366" spans="2:4" x14ac:dyDescent="0.25">
      <c r="B7366" t="s">
        <v>1580</v>
      </c>
      <c r="C7366">
        <v>568</v>
      </c>
      <c r="D7366">
        <v>14</v>
      </c>
    </row>
    <row r="7367" spans="2:4" x14ac:dyDescent="0.25">
      <c r="B7367" t="s">
        <v>1580</v>
      </c>
      <c r="C7367">
        <v>569</v>
      </c>
      <c r="D7367">
        <v>6</v>
      </c>
    </row>
    <row r="7368" spans="2:4" x14ac:dyDescent="0.25">
      <c r="B7368" t="s">
        <v>1580</v>
      </c>
      <c r="C7368">
        <v>569</v>
      </c>
      <c r="D7368">
        <v>8</v>
      </c>
    </row>
    <row r="7369" spans="2:4" x14ac:dyDescent="0.25">
      <c r="B7369" t="s">
        <v>1580</v>
      </c>
      <c r="C7369">
        <v>569</v>
      </c>
      <c r="D7369">
        <v>13</v>
      </c>
    </row>
    <row r="7370" spans="2:4" x14ac:dyDescent="0.25">
      <c r="B7370" t="s">
        <v>1580</v>
      </c>
      <c r="C7370">
        <v>569</v>
      </c>
      <c r="D7370">
        <v>14</v>
      </c>
    </row>
    <row r="7371" spans="2:4" x14ac:dyDescent="0.25">
      <c r="B7371" t="s">
        <v>1580</v>
      </c>
      <c r="C7371">
        <v>570</v>
      </c>
      <c r="D7371">
        <v>6</v>
      </c>
    </row>
    <row r="7372" spans="2:4" x14ac:dyDescent="0.25">
      <c r="B7372" t="s">
        <v>1580</v>
      </c>
      <c r="C7372">
        <v>570</v>
      </c>
      <c r="D7372">
        <v>8</v>
      </c>
    </row>
    <row r="7373" spans="2:4" x14ac:dyDescent="0.25">
      <c r="B7373" t="s">
        <v>1580</v>
      </c>
      <c r="C7373">
        <v>570</v>
      </c>
      <c r="D7373">
        <v>13</v>
      </c>
    </row>
    <row r="7374" spans="2:4" x14ac:dyDescent="0.25">
      <c r="B7374" t="s">
        <v>1580</v>
      </c>
      <c r="C7374">
        <v>570</v>
      </c>
      <c r="D7374">
        <v>14</v>
      </c>
    </row>
    <row r="7375" spans="2:4" x14ac:dyDescent="0.25">
      <c r="B7375" t="s">
        <v>1580</v>
      </c>
      <c r="C7375">
        <v>571</v>
      </c>
      <c r="D7375">
        <v>6</v>
      </c>
    </row>
    <row r="7376" spans="2:4" x14ac:dyDescent="0.25">
      <c r="B7376" t="s">
        <v>1580</v>
      </c>
      <c r="C7376">
        <v>571</v>
      </c>
      <c r="D7376">
        <v>8</v>
      </c>
    </row>
    <row r="7377" spans="2:4" x14ac:dyDescent="0.25">
      <c r="B7377" t="s">
        <v>1580</v>
      </c>
      <c r="C7377">
        <v>571</v>
      </c>
      <c r="D7377">
        <v>13</v>
      </c>
    </row>
    <row r="7378" spans="2:4" x14ac:dyDescent="0.25">
      <c r="B7378" t="s">
        <v>1580</v>
      </c>
      <c r="C7378">
        <v>571</v>
      </c>
      <c r="D7378">
        <v>14</v>
      </c>
    </row>
    <row r="7379" spans="2:4" x14ac:dyDescent="0.25">
      <c r="B7379" t="s">
        <v>1580</v>
      </c>
      <c r="C7379">
        <v>572</v>
      </c>
      <c r="D7379">
        <v>6</v>
      </c>
    </row>
    <row r="7380" spans="2:4" x14ac:dyDescent="0.25">
      <c r="B7380" t="s">
        <v>1580</v>
      </c>
      <c r="C7380">
        <v>572</v>
      </c>
      <c r="D7380">
        <v>8</v>
      </c>
    </row>
    <row r="7381" spans="2:4" x14ac:dyDescent="0.25">
      <c r="B7381" t="s">
        <v>1580</v>
      </c>
      <c r="C7381">
        <v>572</v>
      </c>
      <c r="D7381">
        <v>13</v>
      </c>
    </row>
    <row r="7382" spans="2:4" x14ac:dyDescent="0.25">
      <c r="B7382" t="s">
        <v>1580</v>
      </c>
      <c r="C7382">
        <v>572</v>
      </c>
      <c r="D7382">
        <v>14</v>
      </c>
    </row>
    <row r="7383" spans="2:4" x14ac:dyDescent="0.25">
      <c r="B7383" t="s">
        <v>1580</v>
      </c>
      <c r="C7383">
        <v>573</v>
      </c>
      <c r="D7383">
        <v>6</v>
      </c>
    </row>
    <row r="7384" spans="2:4" x14ac:dyDescent="0.25">
      <c r="B7384" t="s">
        <v>1580</v>
      </c>
      <c r="C7384">
        <v>573</v>
      </c>
      <c r="D7384">
        <v>8</v>
      </c>
    </row>
    <row r="7385" spans="2:4" x14ac:dyDescent="0.25">
      <c r="B7385" t="s">
        <v>1580</v>
      </c>
      <c r="C7385">
        <v>573</v>
      </c>
      <c r="D7385">
        <v>13</v>
      </c>
    </row>
    <row r="7386" spans="2:4" x14ac:dyDescent="0.25">
      <c r="B7386" t="s">
        <v>1580</v>
      </c>
      <c r="C7386">
        <v>573</v>
      </c>
      <c r="D7386">
        <v>14</v>
      </c>
    </row>
    <row r="7387" spans="2:4" x14ac:dyDescent="0.25">
      <c r="B7387" t="s">
        <v>1580</v>
      </c>
      <c r="C7387">
        <v>574</v>
      </c>
      <c r="D7387">
        <v>6</v>
      </c>
    </row>
    <row r="7388" spans="2:4" x14ac:dyDescent="0.25">
      <c r="B7388" t="s">
        <v>1580</v>
      </c>
      <c r="C7388">
        <v>574</v>
      </c>
      <c r="D7388">
        <v>8</v>
      </c>
    </row>
    <row r="7389" spans="2:4" x14ac:dyDescent="0.25">
      <c r="B7389" t="s">
        <v>1580</v>
      </c>
      <c r="C7389">
        <v>574</v>
      </c>
      <c r="D7389">
        <v>13</v>
      </c>
    </row>
    <row r="7390" spans="2:4" x14ac:dyDescent="0.25">
      <c r="B7390" t="s">
        <v>1580</v>
      </c>
      <c r="C7390">
        <v>574</v>
      </c>
      <c r="D7390">
        <v>14</v>
      </c>
    </row>
    <row r="7391" spans="2:4" x14ac:dyDescent="0.25">
      <c r="B7391" t="s">
        <v>1580</v>
      </c>
      <c r="C7391">
        <v>575</v>
      </c>
      <c r="D7391">
        <v>6</v>
      </c>
    </row>
    <row r="7392" spans="2:4" x14ac:dyDescent="0.25">
      <c r="B7392" t="s">
        <v>1580</v>
      </c>
      <c r="C7392">
        <v>575</v>
      </c>
      <c r="D7392">
        <v>8</v>
      </c>
    </row>
    <row r="7393" spans="2:4" x14ac:dyDescent="0.25">
      <c r="B7393" t="s">
        <v>1580</v>
      </c>
      <c r="C7393">
        <v>575</v>
      </c>
      <c r="D7393">
        <v>13</v>
      </c>
    </row>
    <row r="7394" spans="2:4" x14ac:dyDescent="0.25">
      <c r="B7394" t="s">
        <v>1580</v>
      </c>
      <c r="C7394">
        <v>575</v>
      </c>
      <c r="D7394">
        <v>14</v>
      </c>
    </row>
    <row r="7395" spans="2:4" x14ac:dyDescent="0.25">
      <c r="B7395" t="s">
        <v>1580</v>
      </c>
      <c r="C7395">
        <v>576</v>
      </c>
      <c r="D7395">
        <v>6</v>
      </c>
    </row>
    <row r="7396" spans="2:4" x14ac:dyDescent="0.25">
      <c r="B7396" t="s">
        <v>1580</v>
      </c>
      <c r="C7396">
        <v>576</v>
      </c>
      <c r="D7396">
        <v>8</v>
      </c>
    </row>
    <row r="7397" spans="2:4" x14ac:dyDescent="0.25">
      <c r="B7397" t="s">
        <v>1580</v>
      </c>
      <c r="C7397">
        <v>576</v>
      </c>
      <c r="D7397">
        <v>13</v>
      </c>
    </row>
    <row r="7398" spans="2:4" x14ac:dyDescent="0.25">
      <c r="B7398" t="s">
        <v>1580</v>
      </c>
      <c r="C7398">
        <v>576</v>
      </c>
      <c r="D7398">
        <v>14</v>
      </c>
    </row>
    <row r="7399" spans="2:4" x14ac:dyDescent="0.25">
      <c r="B7399" t="s">
        <v>1580</v>
      </c>
      <c r="C7399">
        <v>577</v>
      </c>
      <c r="D7399">
        <v>6</v>
      </c>
    </row>
    <row r="7400" spans="2:4" x14ac:dyDescent="0.25">
      <c r="B7400" t="s">
        <v>1580</v>
      </c>
      <c r="C7400">
        <v>577</v>
      </c>
      <c r="D7400">
        <v>8</v>
      </c>
    </row>
    <row r="7401" spans="2:4" x14ac:dyDescent="0.25">
      <c r="B7401" t="s">
        <v>1580</v>
      </c>
      <c r="C7401">
        <v>577</v>
      </c>
      <c r="D7401">
        <v>13</v>
      </c>
    </row>
    <row r="7402" spans="2:4" x14ac:dyDescent="0.25">
      <c r="B7402" t="s">
        <v>1580</v>
      </c>
      <c r="C7402">
        <v>577</v>
      </c>
      <c r="D7402">
        <v>14</v>
      </c>
    </row>
    <row r="7403" spans="2:4" x14ac:dyDescent="0.25">
      <c r="B7403" t="s">
        <v>1580</v>
      </c>
      <c r="C7403">
        <v>578</v>
      </c>
      <c r="D7403">
        <v>6</v>
      </c>
    </row>
    <row r="7404" spans="2:4" x14ac:dyDescent="0.25">
      <c r="B7404" t="s">
        <v>1580</v>
      </c>
      <c r="C7404">
        <v>578</v>
      </c>
      <c r="D7404">
        <v>8</v>
      </c>
    </row>
    <row r="7405" spans="2:4" x14ac:dyDescent="0.25">
      <c r="B7405" t="s">
        <v>1580</v>
      </c>
      <c r="C7405">
        <v>578</v>
      </c>
      <c r="D7405">
        <v>13</v>
      </c>
    </row>
    <row r="7406" spans="2:4" x14ac:dyDescent="0.25">
      <c r="B7406" t="s">
        <v>1580</v>
      </c>
      <c r="C7406">
        <v>578</v>
      </c>
      <c r="D7406">
        <v>14</v>
      </c>
    </row>
    <row r="7407" spans="2:4" x14ac:dyDescent="0.25">
      <c r="B7407" t="s">
        <v>1580</v>
      </c>
      <c r="C7407">
        <v>580</v>
      </c>
      <c r="D7407">
        <v>6</v>
      </c>
    </row>
    <row r="7408" spans="2:4" x14ac:dyDescent="0.25">
      <c r="B7408" t="s">
        <v>1580</v>
      </c>
      <c r="C7408">
        <v>580</v>
      </c>
      <c r="D7408">
        <v>8</v>
      </c>
    </row>
    <row r="7409" spans="2:4" x14ac:dyDescent="0.25">
      <c r="B7409" t="s">
        <v>1580</v>
      </c>
      <c r="C7409">
        <v>580</v>
      </c>
      <c r="D7409">
        <v>13</v>
      </c>
    </row>
    <row r="7410" spans="2:4" x14ac:dyDescent="0.25">
      <c r="B7410" t="s">
        <v>1580</v>
      </c>
      <c r="C7410">
        <v>580</v>
      </c>
      <c r="D7410">
        <v>14</v>
      </c>
    </row>
    <row r="7411" spans="2:4" x14ac:dyDescent="0.25">
      <c r="B7411" t="s">
        <v>1580</v>
      </c>
      <c r="C7411">
        <v>581</v>
      </c>
      <c r="D7411">
        <v>6</v>
      </c>
    </row>
    <row r="7412" spans="2:4" x14ac:dyDescent="0.25">
      <c r="B7412" t="s">
        <v>1580</v>
      </c>
      <c r="C7412">
        <v>581</v>
      </c>
      <c r="D7412">
        <v>8</v>
      </c>
    </row>
    <row r="7413" spans="2:4" x14ac:dyDescent="0.25">
      <c r="B7413" t="s">
        <v>1580</v>
      </c>
      <c r="C7413">
        <v>581</v>
      </c>
      <c r="D7413">
        <v>13</v>
      </c>
    </row>
    <row r="7414" spans="2:4" x14ac:dyDescent="0.25">
      <c r="B7414" t="s">
        <v>1580</v>
      </c>
      <c r="C7414">
        <v>581</v>
      </c>
      <c r="D7414">
        <v>14</v>
      </c>
    </row>
    <row r="7415" spans="2:4" x14ac:dyDescent="0.25">
      <c r="B7415" t="s">
        <v>1580</v>
      </c>
      <c r="C7415">
        <v>582</v>
      </c>
      <c r="D7415">
        <v>6</v>
      </c>
    </row>
    <row r="7416" spans="2:4" x14ac:dyDescent="0.25">
      <c r="B7416" t="s">
        <v>1580</v>
      </c>
      <c r="C7416">
        <v>582</v>
      </c>
      <c r="D7416">
        <v>8</v>
      </c>
    </row>
    <row r="7417" spans="2:4" x14ac:dyDescent="0.25">
      <c r="B7417" t="s">
        <v>1580</v>
      </c>
      <c r="C7417">
        <v>582</v>
      </c>
      <c r="D7417">
        <v>13</v>
      </c>
    </row>
    <row r="7418" spans="2:4" x14ac:dyDescent="0.25">
      <c r="B7418" t="s">
        <v>1580</v>
      </c>
      <c r="C7418">
        <v>582</v>
      </c>
      <c r="D7418">
        <v>14</v>
      </c>
    </row>
    <row r="7419" spans="2:4" x14ac:dyDescent="0.25">
      <c r="B7419" t="s">
        <v>1580</v>
      </c>
      <c r="C7419">
        <v>583</v>
      </c>
      <c r="D7419">
        <v>6</v>
      </c>
    </row>
    <row r="7420" spans="2:4" x14ac:dyDescent="0.25">
      <c r="B7420" t="s">
        <v>1580</v>
      </c>
      <c r="C7420">
        <v>583</v>
      </c>
      <c r="D7420">
        <v>8</v>
      </c>
    </row>
    <row r="7421" spans="2:4" x14ac:dyDescent="0.25">
      <c r="B7421" t="s">
        <v>1580</v>
      </c>
      <c r="C7421">
        <v>583</v>
      </c>
      <c r="D7421">
        <v>13</v>
      </c>
    </row>
    <row r="7422" spans="2:4" x14ac:dyDescent="0.25">
      <c r="B7422" t="s">
        <v>1580</v>
      </c>
      <c r="C7422">
        <v>583</v>
      </c>
      <c r="D7422">
        <v>14</v>
      </c>
    </row>
    <row r="7423" spans="2:4" x14ac:dyDescent="0.25">
      <c r="B7423" t="s">
        <v>1580</v>
      </c>
      <c r="C7423">
        <v>584</v>
      </c>
      <c r="D7423">
        <v>6</v>
      </c>
    </row>
    <row r="7424" spans="2:4" x14ac:dyDescent="0.25">
      <c r="B7424" t="s">
        <v>1580</v>
      </c>
      <c r="C7424">
        <v>584</v>
      </c>
      <c r="D7424">
        <v>8</v>
      </c>
    </row>
    <row r="7425" spans="2:4" x14ac:dyDescent="0.25">
      <c r="B7425" t="s">
        <v>1580</v>
      </c>
      <c r="C7425">
        <v>584</v>
      </c>
      <c r="D7425">
        <v>13</v>
      </c>
    </row>
    <row r="7426" spans="2:4" x14ac:dyDescent="0.25">
      <c r="B7426" t="s">
        <v>1580</v>
      </c>
      <c r="C7426">
        <v>584</v>
      </c>
      <c r="D7426">
        <v>14</v>
      </c>
    </row>
    <row r="7427" spans="2:4" x14ac:dyDescent="0.25">
      <c r="B7427" t="s">
        <v>1580</v>
      </c>
      <c r="C7427">
        <v>585</v>
      </c>
      <c r="D7427">
        <v>6</v>
      </c>
    </row>
    <row r="7428" spans="2:4" x14ac:dyDescent="0.25">
      <c r="B7428" t="s">
        <v>1580</v>
      </c>
      <c r="C7428">
        <v>585</v>
      </c>
      <c r="D7428">
        <v>8</v>
      </c>
    </row>
    <row r="7429" spans="2:4" x14ac:dyDescent="0.25">
      <c r="B7429" t="s">
        <v>1580</v>
      </c>
      <c r="C7429">
        <v>585</v>
      </c>
      <c r="D7429">
        <v>13</v>
      </c>
    </row>
    <row r="7430" spans="2:4" x14ac:dyDescent="0.25">
      <c r="B7430" t="s">
        <v>1580</v>
      </c>
      <c r="C7430">
        <v>585</v>
      </c>
      <c r="D7430">
        <v>14</v>
      </c>
    </row>
    <row r="7431" spans="2:4" x14ac:dyDescent="0.25">
      <c r="B7431" t="s">
        <v>1580</v>
      </c>
      <c r="C7431">
        <v>586</v>
      </c>
      <c r="D7431">
        <v>6</v>
      </c>
    </row>
    <row r="7432" spans="2:4" x14ac:dyDescent="0.25">
      <c r="B7432" t="s">
        <v>1580</v>
      </c>
      <c r="C7432">
        <v>586</v>
      </c>
      <c r="D7432">
        <v>8</v>
      </c>
    </row>
    <row r="7433" spans="2:4" x14ac:dyDescent="0.25">
      <c r="B7433" t="s">
        <v>1580</v>
      </c>
      <c r="C7433">
        <v>586</v>
      </c>
      <c r="D7433">
        <v>13</v>
      </c>
    </row>
    <row r="7434" spans="2:4" x14ac:dyDescent="0.25">
      <c r="B7434" t="s">
        <v>1580</v>
      </c>
      <c r="C7434">
        <v>586</v>
      </c>
      <c r="D7434">
        <v>14</v>
      </c>
    </row>
    <row r="7435" spans="2:4" x14ac:dyDescent="0.25">
      <c r="B7435" t="s">
        <v>1580</v>
      </c>
      <c r="C7435">
        <v>588</v>
      </c>
      <c r="D7435">
        <v>6</v>
      </c>
    </row>
    <row r="7436" spans="2:4" x14ac:dyDescent="0.25">
      <c r="B7436" t="s">
        <v>1580</v>
      </c>
      <c r="C7436">
        <v>588</v>
      </c>
      <c r="D7436">
        <v>8</v>
      </c>
    </row>
    <row r="7437" spans="2:4" x14ac:dyDescent="0.25">
      <c r="B7437" t="s">
        <v>1580</v>
      </c>
      <c r="C7437">
        <v>588</v>
      </c>
      <c r="D7437">
        <v>13</v>
      </c>
    </row>
    <row r="7438" spans="2:4" x14ac:dyDescent="0.25">
      <c r="B7438" t="s">
        <v>1580</v>
      </c>
      <c r="C7438">
        <v>588</v>
      </c>
      <c r="D7438">
        <v>14</v>
      </c>
    </row>
    <row r="7439" spans="2:4" x14ac:dyDescent="0.25">
      <c r="B7439" t="s">
        <v>1580</v>
      </c>
      <c r="C7439">
        <v>589</v>
      </c>
      <c r="D7439">
        <v>6</v>
      </c>
    </row>
    <row r="7440" spans="2:4" x14ac:dyDescent="0.25">
      <c r="B7440" t="s">
        <v>1580</v>
      </c>
      <c r="C7440">
        <v>589</v>
      </c>
      <c r="D7440">
        <v>8</v>
      </c>
    </row>
    <row r="7441" spans="2:4" x14ac:dyDescent="0.25">
      <c r="B7441" t="s">
        <v>1580</v>
      </c>
      <c r="C7441">
        <v>589</v>
      </c>
      <c r="D7441">
        <v>13</v>
      </c>
    </row>
    <row r="7442" spans="2:4" x14ac:dyDescent="0.25">
      <c r="B7442" t="s">
        <v>1580</v>
      </c>
      <c r="C7442">
        <v>589</v>
      </c>
      <c r="D7442">
        <v>14</v>
      </c>
    </row>
    <row r="7443" spans="2:4" x14ac:dyDescent="0.25">
      <c r="B7443" t="s">
        <v>1580</v>
      </c>
      <c r="C7443">
        <v>590</v>
      </c>
      <c r="D7443">
        <v>6</v>
      </c>
    </row>
    <row r="7444" spans="2:4" x14ac:dyDescent="0.25">
      <c r="B7444" t="s">
        <v>1580</v>
      </c>
      <c r="C7444">
        <v>590</v>
      </c>
      <c r="D7444">
        <v>8</v>
      </c>
    </row>
    <row r="7445" spans="2:4" x14ac:dyDescent="0.25">
      <c r="B7445" t="s">
        <v>1580</v>
      </c>
      <c r="C7445">
        <v>590</v>
      </c>
      <c r="D7445">
        <v>13</v>
      </c>
    </row>
    <row r="7446" spans="2:4" x14ac:dyDescent="0.25">
      <c r="B7446" t="s">
        <v>1580</v>
      </c>
      <c r="C7446">
        <v>590</v>
      </c>
      <c r="D7446">
        <v>14</v>
      </c>
    </row>
    <row r="7447" spans="2:4" x14ac:dyDescent="0.25">
      <c r="B7447" t="s">
        <v>1580</v>
      </c>
      <c r="C7447">
        <v>592</v>
      </c>
      <c r="D7447">
        <v>6</v>
      </c>
    </row>
    <row r="7448" spans="2:4" x14ac:dyDescent="0.25">
      <c r="B7448" t="s">
        <v>1580</v>
      </c>
      <c r="C7448">
        <v>592</v>
      </c>
      <c r="D7448">
        <v>8</v>
      </c>
    </row>
    <row r="7449" spans="2:4" x14ac:dyDescent="0.25">
      <c r="B7449" t="s">
        <v>1580</v>
      </c>
      <c r="C7449">
        <v>592</v>
      </c>
      <c r="D7449">
        <v>13</v>
      </c>
    </row>
    <row r="7450" spans="2:4" x14ac:dyDescent="0.25">
      <c r="B7450" t="s">
        <v>1580</v>
      </c>
      <c r="C7450">
        <v>592</v>
      </c>
      <c r="D7450">
        <v>14</v>
      </c>
    </row>
    <row r="7451" spans="2:4" x14ac:dyDescent="0.25">
      <c r="B7451" t="s">
        <v>1580</v>
      </c>
      <c r="C7451">
        <v>593</v>
      </c>
      <c r="D7451">
        <v>6</v>
      </c>
    </row>
    <row r="7452" spans="2:4" x14ac:dyDescent="0.25">
      <c r="B7452" t="s">
        <v>1580</v>
      </c>
      <c r="C7452">
        <v>593</v>
      </c>
      <c r="D7452">
        <v>8</v>
      </c>
    </row>
    <row r="7453" spans="2:4" x14ac:dyDescent="0.25">
      <c r="B7453" t="s">
        <v>1580</v>
      </c>
      <c r="C7453">
        <v>593</v>
      </c>
      <c r="D7453">
        <v>13</v>
      </c>
    </row>
    <row r="7454" spans="2:4" x14ac:dyDescent="0.25">
      <c r="B7454" t="s">
        <v>1580</v>
      </c>
      <c r="C7454">
        <v>593</v>
      </c>
      <c r="D7454">
        <v>14</v>
      </c>
    </row>
    <row r="7455" spans="2:4" x14ac:dyDescent="0.25">
      <c r="B7455" t="s">
        <v>1580</v>
      </c>
      <c r="C7455">
        <v>594</v>
      </c>
      <c r="D7455">
        <v>6</v>
      </c>
    </row>
    <row r="7456" spans="2:4" x14ac:dyDescent="0.25">
      <c r="B7456" t="s">
        <v>1580</v>
      </c>
      <c r="C7456">
        <v>594</v>
      </c>
      <c r="D7456">
        <v>8</v>
      </c>
    </row>
    <row r="7457" spans="2:4" x14ac:dyDescent="0.25">
      <c r="B7457" t="s">
        <v>1580</v>
      </c>
      <c r="C7457">
        <v>594</v>
      </c>
      <c r="D7457">
        <v>13</v>
      </c>
    </row>
    <row r="7458" spans="2:4" x14ac:dyDescent="0.25">
      <c r="B7458" t="s">
        <v>1580</v>
      </c>
      <c r="C7458">
        <v>594</v>
      </c>
      <c r="D7458">
        <v>14</v>
      </c>
    </row>
    <row r="7459" spans="2:4" x14ac:dyDescent="0.25">
      <c r="B7459" t="s">
        <v>1580</v>
      </c>
      <c r="C7459">
        <v>596</v>
      </c>
      <c r="D7459">
        <v>6</v>
      </c>
    </row>
    <row r="7460" spans="2:4" x14ac:dyDescent="0.25">
      <c r="B7460" t="s">
        <v>1580</v>
      </c>
      <c r="C7460">
        <v>596</v>
      </c>
      <c r="D7460">
        <v>8</v>
      </c>
    </row>
    <row r="7461" spans="2:4" x14ac:dyDescent="0.25">
      <c r="B7461" t="s">
        <v>1580</v>
      </c>
      <c r="C7461">
        <v>596</v>
      </c>
      <c r="D7461">
        <v>13</v>
      </c>
    </row>
    <row r="7462" spans="2:4" x14ac:dyDescent="0.25">
      <c r="B7462" t="s">
        <v>1580</v>
      </c>
      <c r="C7462">
        <v>596</v>
      </c>
      <c r="D7462">
        <v>14</v>
      </c>
    </row>
    <row r="7463" spans="2:4" x14ac:dyDescent="0.25">
      <c r="B7463" t="s">
        <v>1429</v>
      </c>
      <c r="C7463">
        <v>7</v>
      </c>
      <c r="D7463">
        <v>1</v>
      </c>
    </row>
    <row r="7464" spans="2:4" x14ac:dyDescent="0.25">
      <c r="B7464" t="s">
        <v>1429</v>
      </c>
      <c r="C7464">
        <v>7</v>
      </c>
      <c r="D7464">
        <v>4</v>
      </c>
    </row>
    <row r="7465" spans="2:4" x14ac:dyDescent="0.25">
      <c r="B7465" t="s">
        <v>1429</v>
      </c>
      <c r="C7465">
        <v>7</v>
      </c>
      <c r="D7465">
        <v>5</v>
      </c>
    </row>
    <row r="7466" spans="2:4" x14ac:dyDescent="0.25">
      <c r="B7466" t="s">
        <v>1429</v>
      </c>
      <c r="C7466">
        <v>7</v>
      </c>
      <c r="D7466">
        <v>7</v>
      </c>
    </row>
    <row r="7467" spans="2:4" x14ac:dyDescent="0.25">
      <c r="B7467" t="s">
        <v>1429</v>
      </c>
      <c r="C7467">
        <v>7</v>
      </c>
      <c r="D7467">
        <v>9</v>
      </c>
    </row>
    <row r="7468" spans="2:4" x14ac:dyDescent="0.25">
      <c r="B7468" t="s">
        <v>1429</v>
      </c>
      <c r="C7468">
        <v>7</v>
      </c>
      <c r="D7468">
        <v>14</v>
      </c>
    </row>
    <row r="7469" spans="2:4" x14ac:dyDescent="0.25">
      <c r="B7469" t="s">
        <v>1429</v>
      </c>
      <c r="C7469">
        <v>7</v>
      </c>
      <c r="D7469">
        <v>15</v>
      </c>
    </row>
    <row r="7470" spans="2:4" x14ac:dyDescent="0.25">
      <c r="B7470" t="s">
        <v>1429</v>
      </c>
      <c r="C7470">
        <v>8</v>
      </c>
      <c r="D7470">
        <v>1</v>
      </c>
    </row>
    <row r="7471" spans="2:4" x14ac:dyDescent="0.25">
      <c r="B7471" t="s">
        <v>1429</v>
      </c>
      <c r="C7471">
        <v>8</v>
      </c>
      <c r="D7471">
        <v>4</v>
      </c>
    </row>
    <row r="7472" spans="2:4" x14ac:dyDescent="0.25">
      <c r="B7472" t="s">
        <v>1429</v>
      </c>
      <c r="C7472">
        <v>8</v>
      </c>
      <c r="D7472">
        <v>5</v>
      </c>
    </row>
    <row r="7473" spans="2:4" x14ac:dyDescent="0.25">
      <c r="B7473" t="s">
        <v>1429</v>
      </c>
      <c r="C7473">
        <v>8</v>
      </c>
      <c r="D7473">
        <v>7</v>
      </c>
    </row>
    <row r="7474" spans="2:4" x14ac:dyDescent="0.25">
      <c r="B7474" t="s">
        <v>1429</v>
      </c>
      <c r="C7474">
        <v>8</v>
      </c>
      <c r="D7474">
        <v>9</v>
      </c>
    </row>
    <row r="7475" spans="2:4" x14ac:dyDescent="0.25">
      <c r="B7475" t="s">
        <v>1429</v>
      </c>
      <c r="C7475">
        <v>8</v>
      </c>
      <c r="D7475">
        <v>14</v>
      </c>
    </row>
    <row r="7476" spans="2:4" x14ac:dyDescent="0.25">
      <c r="B7476" t="s">
        <v>1429</v>
      </c>
      <c r="C7476">
        <v>8</v>
      </c>
      <c r="D7476">
        <v>15</v>
      </c>
    </row>
    <row r="7477" spans="2:4" x14ac:dyDescent="0.25">
      <c r="B7477" t="s">
        <v>1429</v>
      </c>
      <c r="C7477">
        <v>9</v>
      </c>
      <c r="D7477">
        <v>1</v>
      </c>
    </row>
    <row r="7478" spans="2:4" x14ac:dyDescent="0.25">
      <c r="B7478" t="s">
        <v>1429</v>
      </c>
      <c r="C7478">
        <v>9</v>
      </c>
      <c r="D7478">
        <v>4</v>
      </c>
    </row>
    <row r="7479" spans="2:4" x14ac:dyDescent="0.25">
      <c r="B7479" t="s">
        <v>1429</v>
      </c>
      <c r="C7479">
        <v>9</v>
      </c>
      <c r="D7479">
        <v>5</v>
      </c>
    </row>
    <row r="7480" spans="2:4" x14ac:dyDescent="0.25">
      <c r="B7480" t="s">
        <v>1429</v>
      </c>
      <c r="C7480">
        <v>9</v>
      </c>
      <c r="D7480">
        <v>7</v>
      </c>
    </row>
    <row r="7481" spans="2:4" x14ac:dyDescent="0.25">
      <c r="B7481" t="s">
        <v>1429</v>
      </c>
      <c r="C7481">
        <v>9</v>
      </c>
      <c r="D7481">
        <v>9</v>
      </c>
    </row>
    <row r="7482" spans="2:4" x14ac:dyDescent="0.25">
      <c r="B7482" t="s">
        <v>1429</v>
      </c>
      <c r="C7482">
        <v>9</v>
      </c>
      <c r="D7482">
        <v>14</v>
      </c>
    </row>
    <row r="7483" spans="2:4" x14ac:dyDescent="0.25">
      <c r="B7483" t="s">
        <v>1429</v>
      </c>
      <c r="C7483">
        <v>9</v>
      </c>
      <c r="D7483">
        <v>15</v>
      </c>
    </row>
    <row r="7484" spans="2:4" x14ac:dyDescent="0.25">
      <c r="B7484" t="s">
        <v>1429</v>
      </c>
      <c r="C7484">
        <v>11</v>
      </c>
      <c r="D7484">
        <v>1</v>
      </c>
    </row>
    <row r="7485" spans="2:4" x14ac:dyDescent="0.25">
      <c r="B7485" t="s">
        <v>1429</v>
      </c>
      <c r="C7485">
        <v>11</v>
      </c>
      <c r="D7485">
        <v>4</v>
      </c>
    </row>
    <row r="7486" spans="2:4" x14ac:dyDescent="0.25">
      <c r="B7486" t="s">
        <v>1429</v>
      </c>
      <c r="C7486">
        <v>11</v>
      </c>
      <c r="D7486">
        <v>5</v>
      </c>
    </row>
    <row r="7487" spans="2:4" x14ac:dyDescent="0.25">
      <c r="B7487" t="s">
        <v>1429</v>
      </c>
      <c r="C7487">
        <v>11</v>
      </c>
      <c r="D7487">
        <v>7</v>
      </c>
    </row>
    <row r="7488" spans="2:4" x14ac:dyDescent="0.25">
      <c r="B7488" t="s">
        <v>1429</v>
      </c>
      <c r="C7488">
        <v>11</v>
      </c>
      <c r="D7488">
        <v>9</v>
      </c>
    </row>
    <row r="7489" spans="2:4" x14ac:dyDescent="0.25">
      <c r="B7489" t="s">
        <v>1429</v>
      </c>
      <c r="C7489">
        <v>11</v>
      </c>
      <c r="D7489">
        <v>14</v>
      </c>
    </row>
    <row r="7490" spans="2:4" x14ac:dyDescent="0.25">
      <c r="B7490" t="s">
        <v>1429</v>
      </c>
      <c r="C7490">
        <v>11</v>
      </c>
      <c r="D7490">
        <v>15</v>
      </c>
    </row>
    <row r="7491" spans="2:4" x14ac:dyDescent="0.25">
      <c r="B7491" t="s">
        <v>1429</v>
      </c>
      <c r="C7491">
        <v>12</v>
      </c>
      <c r="D7491">
        <v>1</v>
      </c>
    </row>
    <row r="7492" spans="2:4" x14ac:dyDescent="0.25">
      <c r="B7492" t="s">
        <v>1429</v>
      </c>
      <c r="C7492">
        <v>12</v>
      </c>
      <c r="D7492">
        <v>4</v>
      </c>
    </row>
    <row r="7493" spans="2:4" x14ac:dyDescent="0.25">
      <c r="B7493" t="s">
        <v>1429</v>
      </c>
      <c r="C7493">
        <v>12</v>
      </c>
      <c r="D7493">
        <v>5</v>
      </c>
    </row>
    <row r="7494" spans="2:4" x14ac:dyDescent="0.25">
      <c r="B7494" t="s">
        <v>1429</v>
      </c>
      <c r="C7494">
        <v>12</v>
      </c>
      <c r="D7494">
        <v>7</v>
      </c>
    </row>
    <row r="7495" spans="2:4" x14ac:dyDescent="0.25">
      <c r="B7495" t="s">
        <v>1429</v>
      </c>
      <c r="C7495">
        <v>12</v>
      </c>
      <c r="D7495">
        <v>9</v>
      </c>
    </row>
    <row r="7496" spans="2:4" x14ac:dyDescent="0.25">
      <c r="B7496" t="s">
        <v>1429</v>
      </c>
      <c r="C7496">
        <v>12</v>
      </c>
      <c r="D7496">
        <v>14</v>
      </c>
    </row>
    <row r="7497" spans="2:4" x14ac:dyDescent="0.25">
      <c r="B7497" t="s">
        <v>1429</v>
      </c>
      <c r="C7497">
        <v>12</v>
      </c>
      <c r="D7497">
        <v>15</v>
      </c>
    </row>
    <row r="7498" spans="2:4" x14ac:dyDescent="0.25">
      <c r="B7498" t="s">
        <v>1429</v>
      </c>
      <c r="C7498">
        <v>13</v>
      </c>
      <c r="D7498">
        <v>1</v>
      </c>
    </row>
    <row r="7499" spans="2:4" x14ac:dyDescent="0.25">
      <c r="B7499" t="s">
        <v>1429</v>
      </c>
      <c r="C7499">
        <v>13</v>
      </c>
      <c r="D7499">
        <v>4</v>
      </c>
    </row>
    <row r="7500" spans="2:4" x14ac:dyDescent="0.25">
      <c r="B7500" t="s">
        <v>1429</v>
      </c>
      <c r="C7500">
        <v>13</v>
      </c>
      <c r="D7500">
        <v>5</v>
      </c>
    </row>
    <row r="7501" spans="2:4" x14ac:dyDescent="0.25">
      <c r="B7501" t="s">
        <v>1429</v>
      </c>
      <c r="C7501">
        <v>13</v>
      </c>
      <c r="D7501">
        <v>7</v>
      </c>
    </row>
    <row r="7502" spans="2:4" x14ac:dyDescent="0.25">
      <c r="B7502" t="s">
        <v>1429</v>
      </c>
      <c r="C7502">
        <v>13</v>
      </c>
      <c r="D7502">
        <v>9</v>
      </c>
    </row>
    <row r="7503" spans="2:4" x14ac:dyDescent="0.25">
      <c r="B7503" t="s">
        <v>1429</v>
      </c>
      <c r="C7503">
        <v>13</v>
      </c>
      <c r="D7503">
        <v>14</v>
      </c>
    </row>
    <row r="7504" spans="2:4" x14ac:dyDescent="0.25">
      <c r="B7504" t="s">
        <v>1429</v>
      </c>
      <c r="C7504">
        <v>13</v>
      </c>
      <c r="D7504">
        <v>15</v>
      </c>
    </row>
    <row r="7505" spans="2:4" x14ac:dyDescent="0.25">
      <c r="B7505" t="s">
        <v>1429</v>
      </c>
      <c r="C7505">
        <v>15</v>
      </c>
      <c r="D7505">
        <v>1</v>
      </c>
    </row>
    <row r="7506" spans="2:4" x14ac:dyDescent="0.25">
      <c r="B7506" t="s">
        <v>1429</v>
      </c>
      <c r="C7506">
        <v>15</v>
      </c>
      <c r="D7506">
        <v>4</v>
      </c>
    </row>
    <row r="7507" spans="2:4" x14ac:dyDescent="0.25">
      <c r="B7507" t="s">
        <v>1429</v>
      </c>
      <c r="C7507">
        <v>15</v>
      </c>
      <c r="D7507">
        <v>5</v>
      </c>
    </row>
    <row r="7508" spans="2:4" x14ac:dyDescent="0.25">
      <c r="B7508" t="s">
        <v>1429</v>
      </c>
      <c r="C7508">
        <v>15</v>
      </c>
      <c r="D7508">
        <v>7</v>
      </c>
    </row>
    <row r="7509" spans="2:4" x14ac:dyDescent="0.25">
      <c r="B7509" t="s">
        <v>1429</v>
      </c>
      <c r="C7509">
        <v>15</v>
      </c>
      <c r="D7509">
        <v>9</v>
      </c>
    </row>
    <row r="7510" spans="2:4" x14ac:dyDescent="0.25">
      <c r="B7510" t="s">
        <v>1429</v>
      </c>
      <c r="C7510">
        <v>15</v>
      </c>
      <c r="D7510">
        <v>14</v>
      </c>
    </row>
    <row r="7511" spans="2:4" x14ac:dyDescent="0.25">
      <c r="B7511" t="s">
        <v>1429</v>
      </c>
      <c r="C7511">
        <v>15</v>
      </c>
      <c r="D7511">
        <v>15</v>
      </c>
    </row>
    <row r="7512" spans="2:4" x14ac:dyDescent="0.25">
      <c r="B7512" t="s">
        <v>1429</v>
      </c>
      <c r="C7512">
        <v>16</v>
      </c>
      <c r="D7512">
        <v>1</v>
      </c>
    </row>
    <row r="7513" spans="2:4" x14ac:dyDescent="0.25">
      <c r="B7513" t="s">
        <v>1429</v>
      </c>
      <c r="C7513">
        <v>16</v>
      </c>
      <c r="D7513">
        <v>4</v>
      </c>
    </row>
    <row r="7514" spans="2:4" x14ac:dyDescent="0.25">
      <c r="B7514" t="s">
        <v>1429</v>
      </c>
      <c r="C7514">
        <v>16</v>
      </c>
      <c r="D7514">
        <v>5</v>
      </c>
    </row>
    <row r="7515" spans="2:4" x14ac:dyDescent="0.25">
      <c r="B7515" t="s">
        <v>1429</v>
      </c>
      <c r="C7515">
        <v>16</v>
      </c>
      <c r="D7515">
        <v>7</v>
      </c>
    </row>
    <row r="7516" spans="2:4" x14ac:dyDescent="0.25">
      <c r="B7516" t="s">
        <v>1429</v>
      </c>
      <c r="C7516">
        <v>16</v>
      </c>
      <c r="D7516">
        <v>9</v>
      </c>
    </row>
    <row r="7517" spans="2:4" x14ac:dyDescent="0.25">
      <c r="B7517" t="s">
        <v>1429</v>
      </c>
      <c r="C7517">
        <v>16</v>
      </c>
      <c r="D7517">
        <v>14</v>
      </c>
    </row>
    <row r="7518" spans="2:4" x14ac:dyDescent="0.25">
      <c r="B7518" t="s">
        <v>1429</v>
      </c>
      <c r="C7518">
        <v>16</v>
      </c>
      <c r="D7518">
        <v>15</v>
      </c>
    </row>
    <row r="7519" spans="2:4" x14ac:dyDescent="0.25">
      <c r="B7519" t="s">
        <v>1429</v>
      </c>
      <c r="C7519">
        <v>17</v>
      </c>
      <c r="D7519">
        <v>1</v>
      </c>
    </row>
    <row r="7520" spans="2:4" x14ac:dyDescent="0.25">
      <c r="B7520" t="s">
        <v>1429</v>
      </c>
      <c r="C7520">
        <v>17</v>
      </c>
      <c r="D7520">
        <v>4</v>
      </c>
    </row>
    <row r="7521" spans="2:4" x14ac:dyDescent="0.25">
      <c r="B7521" t="s">
        <v>1429</v>
      </c>
      <c r="C7521">
        <v>17</v>
      </c>
      <c r="D7521">
        <v>5</v>
      </c>
    </row>
    <row r="7522" spans="2:4" x14ac:dyDescent="0.25">
      <c r="B7522" t="s">
        <v>1429</v>
      </c>
      <c r="C7522">
        <v>17</v>
      </c>
      <c r="D7522">
        <v>7</v>
      </c>
    </row>
    <row r="7523" spans="2:4" x14ac:dyDescent="0.25">
      <c r="B7523" t="s">
        <v>1429</v>
      </c>
      <c r="C7523">
        <v>17</v>
      </c>
      <c r="D7523">
        <v>9</v>
      </c>
    </row>
    <row r="7524" spans="2:4" x14ac:dyDescent="0.25">
      <c r="B7524" t="s">
        <v>1429</v>
      </c>
      <c r="C7524">
        <v>17</v>
      </c>
      <c r="D7524">
        <v>14</v>
      </c>
    </row>
    <row r="7525" spans="2:4" x14ac:dyDescent="0.25">
      <c r="B7525" t="s">
        <v>1429</v>
      </c>
      <c r="C7525">
        <v>17</v>
      </c>
      <c r="D7525">
        <v>15</v>
      </c>
    </row>
    <row r="7526" spans="2:4" x14ac:dyDescent="0.25">
      <c r="B7526" t="s">
        <v>1429</v>
      </c>
      <c r="C7526">
        <v>19</v>
      </c>
      <c r="D7526">
        <v>1</v>
      </c>
    </row>
    <row r="7527" spans="2:4" x14ac:dyDescent="0.25">
      <c r="B7527" t="s">
        <v>1429</v>
      </c>
      <c r="C7527">
        <v>19</v>
      </c>
      <c r="D7527">
        <v>3</v>
      </c>
    </row>
    <row r="7528" spans="2:4" x14ac:dyDescent="0.25">
      <c r="B7528" t="s">
        <v>1429</v>
      </c>
      <c r="C7528">
        <v>19</v>
      </c>
      <c r="D7528">
        <v>4</v>
      </c>
    </row>
    <row r="7529" spans="2:4" x14ac:dyDescent="0.25">
      <c r="B7529" t="s">
        <v>1429</v>
      </c>
      <c r="C7529">
        <v>19</v>
      </c>
      <c r="D7529">
        <v>5</v>
      </c>
    </row>
    <row r="7530" spans="2:4" x14ac:dyDescent="0.25">
      <c r="B7530" t="s">
        <v>1429</v>
      </c>
      <c r="C7530">
        <v>19</v>
      </c>
      <c r="D7530">
        <v>7</v>
      </c>
    </row>
    <row r="7531" spans="2:4" x14ac:dyDescent="0.25">
      <c r="B7531" t="s">
        <v>1429</v>
      </c>
      <c r="C7531">
        <v>19</v>
      </c>
      <c r="D7531">
        <v>9</v>
      </c>
    </row>
    <row r="7532" spans="2:4" x14ac:dyDescent="0.25">
      <c r="B7532" t="s">
        <v>1429</v>
      </c>
      <c r="C7532">
        <v>19</v>
      </c>
      <c r="D7532">
        <v>14</v>
      </c>
    </row>
    <row r="7533" spans="2:4" x14ac:dyDescent="0.25">
      <c r="B7533" t="s">
        <v>1429</v>
      </c>
      <c r="C7533">
        <v>19</v>
      </c>
      <c r="D7533">
        <v>15</v>
      </c>
    </row>
    <row r="7534" spans="2:4" x14ac:dyDescent="0.25">
      <c r="B7534" t="s">
        <v>1429</v>
      </c>
      <c r="C7534">
        <v>20</v>
      </c>
      <c r="D7534">
        <v>1</v>
      </c>
    </row>
    <row r="7535" spans="2:4" x14ac:dyDescent="0.25">
      <c r="B7535" t="s">
        <v>1429</v>
      </c>
      <c r="C7535">
        <v>20</v>
      </c>
      <c r="D7535">
        <v>3</v>
      </c>
    </row>
    <row r="7536" spans="2:4" x14ac:dyDescent="0.25">
      <c r="B7536" t="s">
        <v>1429</v>
      </c>
      <c r="C7536">
        <v>20</v>
      </c>
      <c r="D7536">
        <v>4</v>
      </c>
    </row>
    <row r="7537" spans="2:4" x14ac:dyDescent="0.25">
      <c r="B7537" t="s">
        <v>1429</v>
      </c>
      <c r="C7537">
        <v>20</v>
      </c>
      <c r="D7537">
        <v>5</v>
      </c>
    </row>
    <row r="7538" spans="2:4" x14ac:dyDescent="0.25">
      <c r="B7538" t="s">
        <v>1429</v>
      </c>
      <c r="C7538">
        <v>20</v>
      </c>
      <c r="D7538">
        <v>7</v>
      </c>
    </row>
    <row r="7539" spans="2:4" x14ac:dyDescent="0.25">
      <c r="B7539" t="s">
        <v>1429</v>
      </c>
      <c r="C7539">
        <v>20</v>
      </c>
      <c r="D7539">
        <v>9</v>
      </c>
    </row>
    <row r="7540" spans="2:4" x14ac:dyDescent="0.25">
      <c r="B7540" t="s">
        <v>1429</v>
      </c>
      <c r="C7540">
        <v>20</v>
      </c>
      <c r="D7540">
        <v>14</v>
      </c>
    </row>
    <row r="7541" spans="2:4" x14ac:dyDescent="0.25">
      <c r="B7541" t="s">
        <v>1429</v>
      </c>
      <c r="C7541">
        <v>20</v>
      </c>
      <c r="D7541">
        <v>15</v>
      </c>
    </row>
    <row r="7542" spans="2:4" x14ac:dyDescent="0.25">
      <c r="B7542" t="s">
        <v>1429</v>
      </c>
      <c r="C7542">
        <v>21</v>
      </c>
      <c r="D7542">
        <v>1</v>
      </c>
    </row>
    <row r="7543" spans="2:4" x14ac:dyDescent="0.25">
      <c r="B7543" t="s">
        <v>1429</v>
      </c>
      <c r="C7543">
        <v>21</v>
      </c>
      <c r="D7543">
        <v>3</v>
      </c>
    </row>
    <row r="7544" spans="2:4" x14ac:dyDescent="0.25">
      <c r="B7544" t="s">
        <v>1429</v>
      </c>
      <c r="C7544">
        <v>21</v>
      </c>
      <c r="D7544">
        <v>4</v>
      </c>
    </row>
    <row r="7545" spans="2:4" x14ac:dyDescent="0.25">
      <c r="B7545" t="s">
        <v>1429</v>
      </c>
      <c r="C7545">
        <v>21</v>
      </c>
      <c r="D7545">
        <v>5</v>
      </c>
    </row>
    <row r="7546" spans="2:4" x14ac:dyDescent="0.25">
      <c r="B7546" t="s">
        <v>1429</v>
      </c>
      <c r="C7546">
        <v>21</v>
      </c>
      <c r="D7546">
        <v>7</v>
      </c>
    </row>
    <row r="7547" spans="2:4" x14ac:dyDescent="0.25">
      <c r="B7547" t="s">
        <v>1429</v>
      </c>
      <c r="C7547">
        <v>21</v>
      </c>
      <c r="D7547">
        <v>9</v>
      </c>
    </row>
    <row r="7548" spans="2:4" x14ac:dyDescent="0.25">
      <c r="B7548" t="s">
        <v>1429</v>
      </c>
      <c r="C7548">
        <v>21</v>
      </c>
      <c r="D7548">
        <v>14</v>
      </c>
    </row>
    <row r="7549" spans="2:4" x14ac:dyDescent="0.25">
      <c r="B7549" t="s">
        <v>1429</v>
      </c>
      <c r="C7549">
        <v>21</v>
      </c>
      <c r="D7549">
        <v>15</v>
      </c>
    </row>
    <row r="7550" spans="2:4" x14ac:dyDescent="0.25">
      <c r="B7550" t="s">
        <v>1429</v>
      </c>
      <c r="C7550">
        <v>23</v>
      </c>
      <c r="D7550">
        <v>2</v>
      </c>
    </row>
    <row r="7551" spans="2:4" x14ac:dyDescent="0.25">
      <c r="B7551" t="s">
        <v>1429</v>
      </c>
      <c r="C7551">
        <v>23</v>
      </c>
      <c r="D7551">
        <v>3</v>
      </c>
    </row>
    <row r="7552" spans="2:4" x14ac:dyDescent="0.25">
      <c r="B7552" t="s">
        <v>1429</v>
      </c>
      <c r="C7552">
        <v>23</v>
      </c>
      <c r="D7552">
        <v>4</v>
      </c>
    </row>
    <row r="7553" spans="2:4" x14ac:dyDescent="0.25">
      <c r="B7553" t="s">
        <v>1429</v>
      </c>
      <c r="C7553">
        <v>23</v>
      </c>
      <c r="D7553">
        <v>5</v>
      </c>
    </row>
    <row r="7554" spans="2:4" x14ac:dyDescent="0.25">
      <c r="B7554" t="s">
        <v>1429</v>
      </c>
      <c r="C7554">
        <v>23</v>
      </c>
      <c r="D7554">
        <v>6</v>
      </c>
    </row>
    <row r="7555" spans="2:4" x14ac:dyDescent="0.25">
      <c r="B7555" t="s">
        <v>1429</v>
      </c>
      <c r="C7555">
        <v>23</v>
      </c>
      <c r="D7555">
        <v>7</v>
      </c>
    </row>
    <row r="7556" spans="2:4" x14ac:dyDescent="0.25">
      <c r="B7556" t="s">
        <v>1429</v>
      </c>
      <c r="C7556">
        <v>23</v>
      </c>
      <c r="D7556">
        <v>9</v>
      </c>
    </row>
    <row r="7557" spans="2:4" x14ac:dyDescent="0.25">
      <c r="B7557" t="s">
        <v>1429</v>
      </c>
      <c r="C7557">
        <v>23</v>
      </c>
      <c r="D7557">
        <v>12</v>
      </c>
    </row>
    <row r="7558" spans="2:4" x14ac:dyDescent="0.25">
      <c r="B7558" t="s">
        <v>1429</v>
      </c>
      <c r="C7558">
        <v>23</v>
      </c>
      <c r="D7558">
        <v>13</v>
      </c>
    </row>
    <row r="7559" spans="2:4" x14ac:dyDescent="0.25">
      <c r="B7559" t="s">
        <v>1429</v>
      </c>
      <c r="C7559">
        <v>23</v>
      </c>
      <c r="D7559">
        <v>14</v>
      </c>
    </row>
    <row r="7560" spans="2:4" x14ac:dyDescent="0.25">
      <c r="B7560" t="s">
        <v>1429</v>
      </c>
      <c r="C7560">
        <v>23</v>
      </c>
      <c r="D7560">
        <v>15</v>
      </c>
    </row>
    <row r="7561" spans="2:4" x14ac:dyDescent="0.25">
      <c r="B7561" t="s">
        <v>1429</v>
      </c>
      <c r="C7561">
        <v>24</v>
      </c>
      <c r="D7561">
        <v>2</v>
      </c>
    </row>
    <row r="7562" spans="2:4" x14ac:dyDescent="0.25">
      <c r="B7562" t="s">
        <v>1429</v>
      </c>
      <c r="C7562">
        <v>24</v>
      </c>
      <c r="D7562">
        <v>3</v>
      </c>
    </row>
    <row r="7563" spans="2:4" x14ac:dyDescent="0.25">
      <c r="B7563" t="s">
        <v>1429</v>
      </c>
      <c r="C7563">
        <v>24</v>
      </c>
      <c r="D7563">
        <v>4</v>
      </c>
    </row>
    <row r="7564" spans="2:4" x14ac:dyDescent="0.25">
      <c r="B7564" t="s">
        <v>1429</v>
      </c>
      <c r="C7564">
        <v>24</v>
      </c>
      <c r="D7564">
        <v>5</v>
      </c>
    </row>
    <row r="7565" spans="2:4" x14ac:dyDescent="0.25">
      <c r="B7565" t="s">
        <v>1429</v>
      </c>
      <c r="C7565">
        <v>24</v>
      </c>
      <c r="D7565">
        <v>6</v>
      </c>
    </row>
    <row r="7566" spans="2:4" x14ac:dyDescent="0.25">
      <c r="B7566" t="s">
        <v>1429</v>
      </c>
      <c r="C7566">
        <v>24</v>
      </c>
      <c r="D7566">
        <v>7</v>
      </c>
    </row>
    <row r="7567" spans="2:4" x14ac:dyDescent="0.25">
      <c r="B7567" t="s">
        <v>1429</v>
      </c>
      <c r="C7567">
        <v>24</v>
      </c>
      <c r="D7567">
        <v>9</v>
      </c>
    </row>
    <row r="7568" spans="2:4" x14ac:dyDescent="0.25">
      <c r="B7568" t="s">
        <v>1429</v>
      </c>
      <c r="C7568">
        <v>24</v>
      </c>
      <c r="D7568">
        <v>12</v>
      </c>
    </row>
    <row r="7569" spans="2:4" x14ac:dyDescent="0.25">
      <c r="B7569" t="s">
        <v>1429</v>
      </c>
      <c r="C7569">
        <v>24</v>
      </c>
      <c r="D7569">
        <v>13</v>
      </c>
    </row>
    <row r="7570" spans="2:4" x14ac:dyDescent="0.25">
      <c r="B7570" t="s">
        <v>1429</v>
      </c>
      <c r="C7570">
        <v>24</v>
      </c>
      <c r="D7570">
        <v>14</v>
      </c>
    </row>
    <row r="7571" spans="2:4" x14ac:dyDescent="0.25">
      <c r="B7571" t="s">
        <v>1429</v>
      </c>
      <c r="C7571">
        <v>24</v>
      </c>
      <c r="D7571">
        <v>15</v>
      </c>
    </row>
    <row r="7572" spans="2:4" x14ac:dyDescent="0.25">
      <c r="B7572" t="s">
        <v>1429</v>
      </c>
      <c r="C7572">
        <v>25</v>
      </c>
      <c r="D7572">
        <v>2</v>
      </c>
    </row>
    <row r="7573" spans="2:4" x14ac:dyDescent="0.25">
      <c r="B7573" t="s">
        <v>1429</v>
      </c>
      <c r="C7573">
        <v>25</v>
      </c>
      <c r="D7573">
        <v>3</v>
      </c>
    </row>
    <row r="7574" spans="2:4" x14ac:dyDescent="0.25">
      <c r="B7574" t="s">
        <v>1429</v>
      </c>
      <c r="C7574">
        <v>25</v>
      </c>
      <c r="D7574">
        <v>4</v>
      </c>
    </row>
    <row r="7575" spans="2:4" x14ac:dyDescent="0.25">
      <c r="B7575" t="s">
        <v>1429</v>
      </c>
      <c r="C7575">
        <v>25</v>
      </c>
      <c r="D7575">
        <v>5</v>
      </c>
    </row>
    <row r="7576" spans="2:4" x14ac:dyDescent="0.25">
      <c r="B7576" t="s">
        <v>1429</v>
      </c>
      <c r="C7576">
        <v>25</v>
      </c>
      <c r="D7576">
        <v>6</v>
      </c>
    </row>
    <row r="7577" spans="2:4" x14ac:dyDescent="0.25">
      <c r="B7577" t="s">
        <v>1429</v>
      </c>
      <c r="C7577">
        <v>25</v>
      </c>
      <c r="D7577">
        <v>7</v>
      </c>
    </row>
    <row r="7578" spans="2:4" x14ac:dyDescent="0.25">
      <c r="B7578" t="s">
        <v>1429</v>
      </c>
      <c r="C7578">
        <v>25</v>
      </c>
      <c r="D7578">
        <v>9</v>
      </c>
    </row>
    <row r="7579" spans="2:4" x14ac:dyDescent="0.25">
      <c r="B7579" t="s">
        <v>1429</v>
      </c>
      <c r="C7579">
        <v>25</v>
      </c>
      <c r="D7579">
        <v>12</v>
      </c>
    </row>
    <row r="7580" spans="2:4" x14ac:dyDescent="0.25">
      <c r="B7580" t="s">
        <v>1429</v>
      </c>
      <c r="C7580">
        <v>25</v>
      </c>
      <c r="D7580">
        <v>13</v>
      </c>
    </row>
    <row r="7581" spans="2:4" x14ac:dyDescent="0.25">
      <c r="B7581" t="s">
        <v>1429</v>
      </c>
      <c r="C7581">
        <v>25</v>
      </c>
      <c r="D7581">
        <v>14</v>
      </c>
    </row>
    <row r="7582" spans="2:4" x14ac:dyDescent="0.25">
      <c r="B7582" t="s">
        <v>1429</v>
      </c>
      <c r="C7582">
        <v>25</v>
      </c>
      <c r="D7582">
        <v>15</v>
      </c>
    </row>
    <row r="7583" spans="2:4" x14ac:dyDescent="0.25">
      <c r="B7583" t="s">
        <v>1429</v>
      </c>
      <c r="C7583">
        <v>26</v>
      </c>
      <c r="D7583">
        <v>2</v>
      </c>
    </row>
    <row r="7584" spans="2:4" x14ac:dyDescent="0.25">
      <c r="B7584" t="s">
        <v>1429</v>
      </c>
      <c r="C7584">
        <v>26</v>
      </c>
      <c r="D7584">
        <v>3</v>
      </c>
    </row>
    <row r="7585" spans="2:4" x14ac:dyDescent="0.25">
      <c r="B7585" t="s">
        <v>1429</v>
      </c>
      <c r="C7585">
        <v>26</v>
      </c>
      <c r="D7585">
        <v>4</v>
      </c>
    </row>
    <row r="7586" spans="2:4" x14ac:dyDescent="0.25">
      <c r="B7586" t="s">
        <v>1429</v>
      </c>
      <c r="C7586">
        <v>26</v>
      </c>
      <c r="D7586">
        <v>5</v>
      </c>
    </row>
    <row r="7587" spans="2:4" x14ac:dyDescent="0.25">
      <c r="B7587" t="s">
        <v>1429</v>
      </c>
      <c r="C7587">
        <v>26</v>
      </c>
      <c r="D7587">
        <v>6</v>
      </c>
    </row>
    <row r="7588" spans="2:4" x14ac:dyDescent="0.25">
      <c r="B7588" t="s">
        <v>1429</v>
      </c>
      <c r="C7588">
        <v>26</v>
      </c>
      <c r="D7588">
        <v>7</v>
      </c>
    </row>
    <row r="7589" spans="2:4" x14ac:dyDescent="0.25">
      <c r="B7589" t="s">
        <v>1429</v>
      </c>
      <c r="C7589">
        <v>26</v>
      </c>
      <c r="D7589">
        <v>9</v>
      </c>
    </row>
    <row r="7590" spans="2:4" x14ac:dyDescent="0.25">
      <c r="B7590" t="s">
        <v>1429</v>
      </c>
      <c r="C7590">
        <v>26</v>
      </c>
      <c r="D7590">
        <v>12</v>
      </c>
    </row>
    <row r="7591" spans="2:4" x14ac:dyDescent="0.25">
      <c r="B7591" t="s">
        <v>1429</v>
      </c>
      <c r="C7591">
        <v>26</v>
      </c>
      <c r="D7591">
        <v>13</v>
      </c>
    </row>
    <row r="7592" spans="2:4" x14ac:dyDescent="0.25">
      <c r="B7592" t="s">
        <v>1429</v>
      </c>
      <c r="C7592">
        <v>26</v>
      </c>
      <c r="D7592">
        <v>14</v>
      </c>
    </row>
    <row r="7593" spans="2:4" x14ac:dyDescent="0.25">
      <c r="B7593" t="s">
        <v>1429</v>
      </c>
      <c r="C7593">
        <v>26</v>
      </c>
      <c r="D7593">
        <v>15</v>
      </c>
    </row>
    <row r="7594" spans="2:4" x14ac:dyDescent="0.25">
      <c r="B7594" t="s">
        <v>1429</v>
      </c>
      <c r="C7594">
        <v>27</v>
      </c>
      <c r="D7594">
        <v>2</v>
      </c>
    </row>
    <row r="7595" spans="2:4" x14ac:dyDescent="0.25">
      <c r="B7595" t="s">
        <v>1429</v>
      </c>
      <c r="C7595">
        <v>27</v>
      </c>
      <c r="D7595">
        <v>3</v>
      </c>
    </row>
    <row r="7596" spans="2:4" x14ac:dyDescent="0.25">
      <c r="B7596" t="s">
        <v>1429</v>
      </c>
      <c r="C7596">
        <v>27</v>
      </c>
      <c r="D7596">
        <v>4</v>
      </c>
    </row>
    <row r="7597" spans="2:4" x14ac:dyDescent="0.25">
      <c r="B7597" t="s">
        <v>1429</v>
      </c>
      <c r="C7597">
        <v>27</v>
      </c>
      <c r="D7597">
        <v>5</v>
      </c>
    </row>
    <row r="7598" spans="2:4" x14ac:dyDescent="0.25">
      <c r="B7598" t="s">
        <v>1429</v>
      </c>
      <c r="C7598">
        <v>27</v>
      </c>
      <c r="D7598">
        <v>6</v>
      </c>
    </row>
    <row r="7599" spans="2:4" x14ac:dyDescent="0.25">
      <c r="B7599" t="s">
        <v>1429</v>
      </c>
      <c r="C7599">
        <v>27</v>
      </c>
      <c r="D7599">
        <v>7</v>
      </c>
    </row>
    <row r="7600" spans="2:4" x14ac:dyDescent="0.25">
      <c r="B7600" t="s">
        <v>1429</v>
      </c>
      <c r="C7600">
        <v>27</v>
      </c>
      <c r="D7600">
        <v>9</v>
      </c>
    </row>
    <row r="7601" spans="2:4" x14ac:dyDescent="0.25">
      <c r="B7601" t="s">
        <v>1429</v>
      </c>
      <c r="C7601">
        <v>27</v>
      </c>
      <c r="D7601">
        <v>12</v>
      </c>
    </row>
    <row r="7602" spans="2:4" x14ac:dyDescent="0.25">
      <c r="B7602" t="s">
        <v>1429</v>
      </c>
      <c r="C7602">
        <v>27</v>
      </c>
      <c r="D7602">
        <v>13</v>
      </c>
    </row>
    <row r="7603" spans="2:4" x14ac:dyDescent="0.25">
      <c r="B7603" t="s">
        <v>1429</v>
      </c>
      <c r="C7603">
        <v>27</v>
      </c>
      <c r="D7603">
        <v>14</v>
      </c>
    </row>
    <row r="7604" spans="2:4" x14ac:dyDescent="0.25">
      <c r="B7604" t="s">
        <v>1429</v>
      </c>
      <c r="C7604">
        <v>27</v>
      </c>
      <c r="D7604">
        <v>15</v>
      </c>
    </row>
  </sheetData>
  <sheetProtection algorithmName="SHA-512" hashValue="aT/ApQ0kjcX5fs94/Y0232Y0awBJi2ANgDWXPWO/+QagPhx0jMNozYHrZsl6+1HI+Ig3eStjrAr58rmw/j1kVQ==" saltValue="CzeVS9q5h8a3tFwWySlbdA==" spinCount="100000" sheet="1" objects="1" scenarios="1"/>
  <pageMargins left="0.7" right="0.7" top="0.75" bottom="0.75" header="0.3" footer="0.3"/>
  <pageSetup orientation="portrait" r:id="rId1"/>
  <headerFooter>
    <oddHeader>&amp;R&amp;"Aptos"&amp;12&amp;K000000 UNCLASSIFIED - NON CLASSIFIÉ&amp;1#_x000D_</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Btn_PopulateScenarioDbAddresses">
                <anchor moveWithCells="1" sizeWithCells="1">
                  <from>
                    <xdr:col>0</xdr:col>
                    <xdr:colOff>175260</xdr:colOff>
                    <xdr:row>1</xdr:row>
                    <xdr:rowOff>137160</xdr:rowOff>
                  </from>
                  <to>
                    <xdr:col>0</xdr:col>
                    <xdr:colOff>1074420</xdr:colOff>
                    <xdr:row>5</xdr:row>
                    <xdr:rowOff>137160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dimension ref="A1:R58"/>
  <sheetViews>
    <sheetView zoomScale="90" zoomScaleNormal="90" workbookViewId="0">
      <pane ySplit="4" topLeftCell="A5" activePane="bottomLeft" state="frozen"/>
      <selection activeCell="K14" sqref="K14"/>
      <selection pane="bottomLeft" activeCell="A5" sqref="A5"/>
    </sheetView>
  </sheetViews>
  <sheetFormatPr defaultColWidth="8.81640625" defaultRowHeight="15" x14ac:dyDescent="0.25"/>
  <cols>
    <col min="1" max="1" width="4.36328125" style="834" customWidth="1"/>
    <col min="2" max="2" width="21.08984375" style="1205" customWidth="1"/>
    <col min="3" max="3" width="37.90625" style="1205" customWidth="1"/>
    <col min="4" max="4" width="91.36328125" style="1205" customWidth="1"/>
    <col min="5" max="5" width="1.81640625" style="834" customWidth="1"/>
    <col min="6" max="16384" width="8.81640625" style="834"/>
  </cols>
  <sheetData>
    <row r="1" spans="1:18" s="1189" customFormat="1" ht="40.200000000000003" customHeight="1" x14ac:dyDescent="0.25">
      <c r="A1" s="1185"/>
      <c r="B1" s="1186"/>
      <c r="C1" s="1186"/>
      <c r="D1" s="1186"/>
      <c r="E1" s="1185"/>
      <c r="F1" s="1187"/>
      <c r="G1" s="1185"/>
      <c r="H1" s="1185"/>
      <c r="I1" s="1185"/>
      <c r="J1" s="1188"/>
      <c r="K1" s="1188"/>
      <c r="O1" s="1840"/>
      <c r="P1" s="1840"/>
      <c r="Q1" s="1841"/>
      <c r="R1" s="1841"/>
    </row>
    <row r="2" spans="1:18" s="1189" customFormat="1" ht="87" customHeight="1" x14ac:dyDescent="0.25">
      <c r="A2" s="1190" t="str">
        <f>rng_date_on_file</f>
        <v>April 2026</v>
      </c>
      <c r="B2" s="1844" t="s">
        <v>4945</v>
      </c>
      <c r="C2" s="1844"/>
      <c r="D2" s="1845"/>
      <c r="E2" s="1191"/>
      <c r="F2" s="1192"/>
      <c r="G2" s="1192"/>
      <c r="H2" s="1192"/>
      <c r="I2" s="1192"/>
      <c r="J2" s="1192"/>
      <c r="K2" s="1193"/>
      <c r="L2" s="1193"/>
      <c r="M2" s="1193"/>
      <c r="N2" s="1193"/>
      <c r="O2" s="1193"/>
      <c r="P2" s="1193"/>
      <c r="Q2" s="1842"/>
      <c r="R2" s="1843"/>
    </row>
    <row r="3" spans="1:18" x14ac:dyDescent="0.25">
      <c r="A3" s="1194"/>
      <c r="B3" s="1195"/>
      <c r="C3" s="1196"/>
      <c r="D3" s="1196"/>
      <c r="E3" s="1194"/>
      <c r="F3" s="1194"/>
      <c r="G3" s="1194"/>
      <c r="H3" s="1194"/>
      <c r="I3" s="1194"/>
    </row>
    <row r="4" spans="1:18" ht="15.6" x14ac:dyDescent="0.25">
      <c r="B4" s="1197" t="s">
        <v>1446</v>
      </c>
      <c r="C4" s="1197" t="s">
        <v>1447</v>
      </c>
      <c r="D4" s="1197" t="s">
        <v>1438</v>
      </c>
    </row>
    <row r="6" spans="1:18" ht="30" x14ac:dyDescent="0.25">
      <c r="B6" s="1198" t="s">
        <v>1451</v>
      </c>
      <c r="C6" s="1199" t="s">
        <v>1516</v>
      </c>
      <c r="D6" s="1199" t="s">
        <v>1530</v>
      </c>
    </row>
    <row r="7" spans="1:18" ht="15.6" x14ac:dyDescent="0.25">
      <c r="B7" s="1198" t="s">
        <v>1736</v>
      </c>
      <c r="C7" s="1199" t="s">
        <v>1136</v>
      </c>
      <c r="D7" s="1199" t="s">
        <v>1751</v>
      </c>
    </row>
    <row r="8" spans="1:18" ht="112.2" x14ac:dyDescent="0.25">
      <c r="B8" s="1198" t="s">
        <v>1528</v>
      </c>
      <c r="C8" s="1199" t="s">
        <v>1529</v>
      </c>
      <c r="D8" s="1199" t="s">
        <v>1525</v>
      </c>
    </row>
    <row r="9" spans="1:18" ht="15.6" x14ac:dyDescent="0.25">
      <c r="B9" s="1198" t="s">
        <v>1469</v>
      </c>
      <c r="C9" s="1199" t="s">
        <v>1470</v>
      </c>
      <c r="D9" s="1200"/>
    </row>
    <row r="10" spans="1:18" ht="15.6" x14ac:dyDescent="0.25">
      <c r="B10" s="1198" t="s">
        <v>1040</v>
      </c>
      <c r="C10" s="1199" t="s">
        <v>1468</v>
      </c>
      <c r="D10" s="1200"/>
    </row>
    <row r="11" spans="1:18" ht="141" customHeight="1" x14ac:dyDescent="0.25">
      <c r="B11" s="1198" t="s">
        <v>1527</v>
      </c>
      <c r="C11" s="1199" t="s">
        <v>1439</v>
      </c>
      <c r="D11" s="1201" t="s">
        <v>7244</v>
      </c>
    </row>
    <row r="12" spans="1:18" ht="30" x14ac:dyDescent="0.25">
      <c r="B12" s="1198" t="s">
        <v>1472</v>
      </c>
      <c r="C12" s="1199"/>
      <c r="D12" s="1199" t="s">
        <v>1509</v>
      </c>
    </row>
    <row r="13" spans="1:18" ht="45" x14ac:dyDescent="0.25">
      <c r="B13" s="1198" t="s">
        <v>1454</v>
      </c>
      <c r="C13" s="1199" t="s">
        <v>1498</v>
      </c>
      <c r="D13" s="1199" t="s">
        <v>1497</v>
      </c>
    </row>
    <row r="14" spans="1:18" ht="15.6" x14ac:dyDescent="0.25">
      <c r="B14" s="1198" t="s">
        <v>1300</v>
      </c>
      <c r="C14" s="1199" t="s">
        <v>1467</v>
      </c>
      <c r="D14" s="1200"/>
    </row>
    <row r="15" spans="1:18" ht="15.6" x14ac:dyDescent="0.25">
      <c r="B15" s="1198" t="s">
        <v>1471</v>
      </c>
      <c r="C15" s="1199" t="s">
        <v>320</v>
      </c>
      <c r="D15" s="1200"/>
    </row>
    <row r="16" spans="1:18" ht="30" x14ac:dyDescent="0.25">
      <c r="B16" s="1198" t="s">
        <v>187</v>
      </c>
      <c r="C16" s="1199" t="s">
        <v>1522</v>
      </c>
      <c r="D16" s="1199" t="s">
        <v>1523</v>
      </c>
    </row>
    <row r="17" spans="2:4" ht="75" x14ac:dyDescent="0.25">
      <c r="B17" s="1198" t="s">
        <v>1108</v>
      </c>
      <c r="C17" s="1199" t="s">
        <v>1453</v>
      </c>
      <c r="D17" s="1199" t="s">
        <v>1518</v>
      </c>
    </row>
    <row r="18" spans="2:4" ht="75" x14ac:dyDescent="0.25">
      <c r="B18" s="1198" t="s">
        <v>1435</v>
      </c>
      <c r="C18" s="1199" t="s">
        <v>1436</v>
      </c>
      <c r="D18" s="1199" t="s">
        <v>1514</v>
      </c>
    </row>
    <row r="19" spans="2:4" ht="30" x14ac:dyDescent="0.25">
      <c r="B19" s="1198" t="s">
        <v>1462</v>
      </c>
      <c r="C19" s="1199" t="s">
        <v>1459</v>
      </c>
      <c r="D19" s="1199" t="s">
        <v>1515</v>
      </c>
    </row>
    <row r="20" spans="2:4" ht="30" x14ac:dyDescent="0.25">
      <c r="B20" s="1198" t="s">
        <v>1473</v>
      </c>
      <c r="C20" s="1199" t="s">
        <v>1474</v>
      </c>
      <c r="D20" s="1199" t="s">
        <v>1520</v>
      </c>
    </row>
    <row r="21" spans="2:4" ht="33.6" x14ac:dyDescent="0.25">
      <c r="B21" s="1198" t="s">
        <v>1437</v>
      </c>
      <c r="C21" s="1199" t="s">
        <v>1448</v>
      </c>
      <c r="D21" s="1199" t="s">
        <v>1710</v>
      </c>
    </row>
    <row r="22" spans="2:4" ht="15.6" x14ac:dyDescent="0.25">
      <c r="B22" s="1198" t="s">
        <v>1489</v>
      </c>
      <c r="C22" s="1199" t="s">
        <v>1524</v>
      </c>
      <c r="D22" s="1199"/>
    </row>
    <row r="23" spans="2:4" ht="15.6" x14ac:dyDescent="0.25">
      <c r="B23" s="1198" t="s">
        <v>1463</v>
      </c>
      <c r="C23" s="1199" t="s">
        <v>1464</v>
      </c>
      <c r="D23" s="1199"/>
    </row>
    <row r="24" spans="2:4" ht="34.200000000000003" x14ac:dyDescent="0.25">
      <c r="B24" s="1198" t="s">
        <v>1495</v>
      </c>
      <c r="C24" s="1199" t="s">
        <v>1496</v>
      </c>
      <c r="D24" s="1199" t="s">
        <v>7243</v>
      </c>
    </row>
    <row r="25" spans="2:4" ht="60" x14ac:dyDescent="0.25">
      <c r="B25" s="1198" t="s">
        <v>428</v>
      </c>
      <c r="C25" s="1199"/>
      <c r="D25" s="1199" t="s">
        <v>1510</v>
      </c>
    </row>
    <row r="26" spans="2:4" ht="15.6" x14ac:dyDescent="0.25">
      <c r="B26" s="1198" t="s">
        <v>1475</v>
      </c>
      <c r="C26" s="1199" t="s">
        <v>1478</v>
      </c>
      <c r="D26" s="1199"/>
    </row>
    <row r="27" spans="2:4" ht="15.6" x14ac:dyDescent="0.25">
      <c r="B27" s="1198" t="s">
        <v>1476</v>
      </c>
      <c r="C27" s="1199" t="s">
        <v>1479</v>
      </c>
      <c r="D27" s="1199"/>
    </row>
    <row r="28" spans="2:4" ht="30" x14ac:dyDescent="0.25">
      <c r="B28" s="1198" t="s">
        <v>1195</v>
      </c>
      <c r="C28" s="1199" t="s">
        <v>1511</v>
      </c>
      <c r="D28" s="1199" t="s">
        <v>1512</v>
      </c>
    </row>
    <row r="29" spans="2:4" ht="15.6" x14ac:dyDescent="0.25">
      <c r="B29" s="1198" t="s">
        <v>1480</v>
      </c>
      <c r="C29" s="1199" t="s">
        <v>1481</v>
      </c>
      <c r="D29" s="1199"/>
    </row>
    <row r="30" spans="2:4" ht="30" x14ac:dyDescent="0.25">
      <c r="B30" s="1198" t="s">
        <v>1707</v>
      </c>
      <c r="C30" s="1199" t="s">
        <v>1708</v>
      </c>
      <c r="D30" s="1199" t="s">
        <v>1709</v>
      </c>
    </row>
    <row r="31" spans="2:4" ht="30" x14ac:dyDescent="0.25">
      <c r="B31" s="1198" t="s">
        <v>1521</v>
      </c>
      <c r="C31" s="1199" t="s">
        <v>1458</v>
      </c>
      <c r="D31" s="1199" t="s">
        <v>1513</v>
      </c>
    </row>
    <row r="32" spans="2:4" ht="60.6" x14ac:dyDescent="0.25">
      <c r="B32" s="1198" t="s">
        <v>699</v>
      </c>
      <c r="C32" s="1199" t="s">
        <v>1452</v>
      </c>
      <c r="D32" s="1199" t="s">
        <v>1519</v>
      </c>
    </row>
    <row r="33" spans="2:6" ht="169.2" hidden="1" customHeight="1" x14ac:dyDescent="0.25">
      <c r="B33" s="1198" t="s">
        <v>4924</v>
      </c>
      <c r="C33" s="1199" t="s">
        <v>4925</v>
      </c>
      <c r="D33" s="1199" t="s">
        <v>4929</v>
      </c>
      <c r="F33" s="1202" t="s">
        <v>7285</v>
      </c>
    </row>
    <row r="34" spans="2:6" ht="15.6" x14ac:dyDescent="0.25">
      <c r="B34" s="1198" t="s">
        <v>1485</v>
      </c>
      <c r="C34" s="1199" t="s">
        <v>1488</v>
      </c>
      <c r="D34" s="1199"/>
    </row>
    <row r="35" spans="2:6" ht="15.6" x14ac:dyDescent="0.25">
      <c r="B35" s="1198" t="s">
        <v>1486</v>
      </c>
      <c r="C35" s="1199" t="s">
        <v>1487</v>
      </c>
      <c r="D35" s="1199"/>
    </row>
    <row r="36" spans="2:6" ht="75" x14ac:dyDescent="0.25">
      <c r="B36" s="1198" t="s">
        <v>1433</v>
      </c>
      <c r="C36" s="1199" t="s">
        <v>1434</v>
      </c>
      <c r="D36" s="1199" t="s">
        <v>1895</v>
      </c>
    </row>
    <row r="37" spans="2:6" ht="15.6" x14ac:dyDescent="0.25">
      <c r="B37" s="1198" t="s">
        <v>1483</v>
      </c>
      <c r="C37" s="1199" t="s">
        <v>1484</v>
      </c>
      <c r="D37" s="1199"/>
    </row>
    <row r="38" spans="2:6" ht="15.6" x14ac:dyDescent="0.25">
      <c r="B38" s="1198" t="s">
        <v>1465</v>
      </c>
      <c r="C38" s="1199" t="s">
        <v>1466</v>
      </c>
      <c r="D38" s="1199"/>
    </row>
    <row r="39" spans="2:6" ht="15.6" x14ac:dyDescent="0.25">
      <c r="B39" s="1198" t="s">
        <v>1456</v>
      </c>
      <c r="C39" s="1199" t="s">
        <v>1224</v>
      </c>
      <c r="D39" s="1199"/>
    </row>
    <row r="40" spans="2:6" ht="93.6" x14ac:dyDescent="0.25">
      <c r="B40" s="1198" t="s">
        <v>1505</v>
      </c>
      <c r="C40" s="1199" t="s">
        <v>1445</v>
      </c>
      <c r="D40" s="1199" t="s">
        <v>1506</v>
      </c>
    </row>
    <row r="41" spans="2:6" ht="60" x14ac:dyDescent="0.25">
      <c r="B41" s="1198" t="s">
        <v>1455</v>
      </c>
      <c r="C41" s="1199" t="s">
        <v>1507</v>
      </c>
      <c r="D41" s="1199" t="s">
        <v>1508</v>
      </c>
    </row>
    <row r="42" spans="2:6" ht="49.2" x14ac:dyDescent="0.25">
      <c r="B42" s="1198" t="s">
        <v>797</v>
      </c>
      <c r="C42" s="1199" t="s">
        <v>1450</v>
      </c>
      <c r="D42" s="1199" t="s">
        <v>1517</v>
      </c>
    </row>
    <row r="43" spans="2:6" ht="15.6" x14ac:dyDescent="0.25">
      <c r="B43" s="1198" t="s">
        <v>1492</v>
      </c>
      <c r="C43" s="1199" t="s">
        <v>1493</v>
      </c>
      <c r="D43" s="1200"/>
    </row>
    <row r="44" spans="2:6" ht="32.4" x14ac:dyDescent="0.25">
      <c r="B44" s="1198" t="s">
        <v>1440</v>
      </c>
      <c r="C44" s="1199" t="s">
        <v>1444</v>
      </c>
      <c r="D44" s="1203" t="s">
        <v>1457</v>
      </c>
    </row>
    <row r="45" spans="2:6" ht="48.6" x14ac:dyDescent="0.25">
      <c r="B45" s="1198" t="s">
        <v>1441</v>
      </c>
      <c r="C45" s="1199" t="s">
        <v>1442</v>
      </c>
      <c r="D45" s="1199" t="s">
        <v>1526</v>
      </c>
    </row>
    <row r="46" spans="2:6" ht="30" hidden="1" x14ac:dyDescent="0.25">
      <c r="B46" s="1198" t="s">
        <v>4926</v>
      </c>
      <c r="C46" s="1199" t="s">
        <v>4927</v>
      </c>
      <c r="D46" s="1199" t="s">
        <v>4928</v>
      </c>
      <c r="F46" s="1202" t="s">
        <v>7285</v>
      </c>
    </row>
    <row r="47" spans="2:6" ht="30" x14ac:dyDescent="0.25">
      <c r="B47" s="1198" t="s">
        <v>1460</v>
      </c>
      <c r="C47" s="1199" t="s">
        <v>1461</v>
      </c>
      <c r="D47" s="1199" t="s">
        <v>1503</v>
      </c>
    </row>
    <row r="48" spans="2:6" ht="30" x14ac:dyDescent="0.25">
      <c r="B48" s="1198" t="s">
        <v>1482</v>
      </c>
      <c r="C48" s="1199" t="s">
        <v>1494</v>
      </c>
      <c r="D48" s="1199" t="s">
        <v>1504</v>
      </c>
    </row>
    <row r="49" spans="2:4" ht="15.6" x14ac:dyDescent="0.25">
      <c r="B49" s="1198" t="s">
        <v>605</v>
      </c>
      <c r="C49" s="1199" t="s">
        <v>1477</v>
      </c>
      <c r="D49" s="1200"/>
    </row>
    <row r="50" spans="2:4" ht="30" x14ac:dyDescent="0.25">
      <c r="B50" s="1198" t="s">
        <v>1499</v>
      </c>
      <c r="C50" s="1199" t="s">
        <v>1500</v>
      </c>
      <c r="D50" s="1199" t="s">
        <v>1501</v>
      </c>
    </row>
    <row r="51" spans="2:4" ht="15.6" x14ac:dyDescent="0.25">
      <c r="B51" s="1198" t="s">
        <v>1490</v>
      </c>
      <c r="C51" s="1199" t="s">
        <v>1491</v>
      </c>
      <c r="D51" s="1199" t="s">
        <v>1502</v>
      </c>
    </row>
    <row r="52" spans="2:4" x14ac:dyDescent="0.25">
      <c r="B52" s="1204"/>
      <c r="C52" s="1204"/>
      <c r="D52" s="1204"/>
    </row>
    <row r="53" spans="2:4" ht="45" x14ac:dyDescent="0.25">
      <c r="B53" s="1198" t="s">
        <v>1896</v>
      </c>
      <c r="C53" s="1199" t="s">
        <v>1897</v>
      </c>
      <c r="D53" s="1199" t="s">
        <v>1898</v>
      </c>
    </row>
    <row r="54" spans="2:4" ht="30" x14ac:dyDescent="0.25">
      <c r="B54" s="1198" t="s">
        <v>1899</v>
      </c>
      <c r="C54" s="1199" t="s">
        <v>1900</v>
      </c>
      <c r="D54" s="1199" t="s">
        <v>1901</v>
      </c>
    </row>
    <row r="57" spans="2:4" ht="15.6" x14ac:dyDescent="0.3">
      <c r="B57" s="706" t="s">
        <v>4901</v>
      </c>
    </row>
    <row r="58" spans="2:4" ht="15.6" x14ac:dyDescent="0.3">
      <c r="B58" s="706" t="s">
        <v>4900</v>
      </c>
    </row>
  </sheetData>
  <sheetProtection algorithmName="SHA-512" hashValue="rzcYgxw0wPLE871ReWOmmdHGTduOf8mUtJ1Qm43INFDNSWIQqoGSoQsQ12dPJWy/pMXcU0KWjaIolEGRcpXvSg==" saltValue="HVN7ZQS1EJ7/tGIaFZTYtA==" spinCount="100000" sheet="1" objects="1" scenarios="1"/>
  <sortState xmlns:xlrd2="http://schemas.microsoft.com/office/spreadsheetml/2017/richdata2" ref="B6:D51">
    <sortCondition ref="B6:B51"/>
  </sortState>
  <mergeCells count="4">
    <mergeCell ref="O1:P1"/>
    <mergeCell ref="Q1:R1"/>
    <mergeCell ref="Q2:R2"/>
    <mergeCell ref="B2:D2"/>
  </mergeCells>
  <pageMargins left="0.7" right="0.7" top="0.75" bottom="0.75" header="0.3" footer="0.3"/>
  <headerFooter>
    <oddHeader>&amp;R&amp;"Aptos"&amp;12&amp;K000000 UNCLASSIFIED - NON CLASSIFIÉ&amp;1#_x000D_</oddHeader>
  </headerFooter>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2"/>
  <dimension ref="A1:R100"/>
  <sheetViews>
    <sheetView zoomScale="90" zoomScaleNormal="90" workbookViewId="0">
      <pane ySplit="4" topLeftCell="A26" activePane="bottomLeft" state="frozen"/>
      <selection pane="bottomLeft" activeCell="A23" sqref="A23"/>
    </sheetView>
  </sheetViews>
  <sheetFormatPr defaultColWidth="8.81640625" defaultRowHeight="15" x14ac:dyDescent="0.25"/>
  <cols>
    <col min="1" max="1" width="4.1796875" style="1209" customWidth="1"/>
    <col min="2" max="2" width="21.08984375" style="1204" customWidth="1"/>
    <col min="3" max="3" width="37.90625" style="1204" customWidth="1"/>
    <col min="4" max="4" width="91.36328125" style="1204" customWidth="1"/>
    <col min="5" max="5" width="1.81640625" style="1209" customWidth="1"/>
    <col min="6" max="16384" width="8.81640625" style="1209"/>
  </cols>
  <sheetData>
    <row r="1" spans="1:18" ht="40.5" customHeight="1" x14ac:dyDescent="0.25">
      <c r="A1" s="1206"/>
      <c r="B1" s="1207"/>
      <c r="C1" s="1207"/>
      <c r="D1" s="1207"/>
      <c r="E1" s="1206"/>
      <c r="F1" s="1208"/>
      <c r="G1" s="1206"/>
      <c r="H1" s="1206"/>
      <c r="I1" s="1206"/>
      <c r="J1" s="1204"/>
      <c r="K1" s="1204"/>
      <c r="O1" s="1846"/>
      <c r="P1" s="1846"/>
      <c r="Q1" s="1847"/>
      <c r="R1" s="1847"/>
    </row>
    <row r="2" spans="1:18" ht="87" customHeight="1" x14ac:dyDescent="0.25">
      <c r="A2" s="1210" t="str">
        <f>rng_date_on_file</f>
        <v>April 2026</v>
      </c>
      <c r="B2" s="1848" t="s">
        <v>4948</v>
      </c>
      <c r="C2" s="1848"/>
      <c r="D2" s="1849"/>
      <c r="E2" s="1211"/>
      <c r="F2" s="1212"/>
      <c r="G2" s="1212"/>
      <c r="H2" s="1212"/>
      <c r="I2" s="1212"/>
      <c r="J2" s="1212"/>
      <c r="K2" s="1213"/>
      <c r="L2" s="1213"/>
      <c r="M2" s="1213"/>
      <c r="N2" s="1213"/>
      <c r="O2" s="1213"/>
      <c r="P2" s="1213"/>
      <c r="Q2" s="1850"/>
      <c r="R2" s="1851"/>
    </row>
    <row r="3" spans="1:18" x14ac:dyDescent="0.25">
      <c r="A3" s="1214"/>
      <c r="B3" s="1215"/>
      <c r="C3" s="1215"/>
      <c r="D3" s="1215"/>
      <c r="E3" s="1214"/>
      <c r="F3" s="1214"/>
      <c r="G3" s="1214"/>
      <c r="H3" s="1214"/>
      <c r="I3" s="1214"/>
    </row>
    <row r="4" spans="1:18" ht="15.6" x14ac:dyDescent="0.25">
      <c r="B4" s="1216" t="s">
        <v>1797</v>
      </c>
      <c r="C4" s="1216" t="s">
        <v>1798</v>
      </c>
      <c r="D4" s="1216" t="s">
        <v>1438</v>
      </c>
    </row>
    <row r="5" spans="1:18" ht="75" x14ac:dyDescent="0.25">
      <c r="B5" s="1217" t="s">
        <v>1799</v>
      </c>
      <c r="C5" s="1218" t="s">
        <v>1800</v>
      </c>
      <c r="D5" s="1218" t="s">
        <v>1801</v>
      </c>
    </row>
    <row r="6" spans="1:18" ht="30" x14ac:dyDescent="0.25">
      <c r="B6" s="1219" t="s">
        <v>1802</v>
      </c>
      <c r="C6" s="1220" t="s">
        <v>1803</v>
      </c>
      <c r="D6" s="1220"/>
    </row>
    <row r="7" spans="1:18" ht="15.6" x14ac:dyDescent="0.25">
      <c r="B7" s="1219" t="s">
        <v>1804</v>
      </c>
      <c r="C7" s="1220" t="s">
        <v>1805</v>
      </c>
      <c r="D7" s="1220"/>
    </row>
    <row r="8" spans="1:18" ht="15.6" x14ac:dyDescent="0.25">
      <c r="B8" s="1219" t="s">
        <v>1806</v>
      </c>
      <c r="C8" s="1220" t="s">
        <v>1807</v>
      </c>
      <c r="D8" s="1220"/>
    </row>
    <row r="9" spans="1:18" ht="15.6" x14ac:dyDescent="0.25">
      <c r="B9" s="1219" t="s">
        <v>1736</v>
      </c>
      <c r="C9" s="1220" t="s">
        <v>1136</v>
      </c>
      <c r="D9" s="1220" t="s">
        <v>1808</v>
      </c>
    </row>
    <row r="10" spans="1:18" ht="15.6" x14ac:dyDescent="0.25">
      <c r="B10" s="1219" t="s">
        <v>1809</v>
      </c>
      <c r="C10" s="1220" t="s">
        <v>1810</v>
      </c>
      <c r="D10" s="1220"/>
    </row>
    <row r="11" spans="1:18" ht="15.6" x14ac:dyDescent="0.25">
      <c r="B11" s="1219" t="s">
        <v>1809</v>
      </c>
      <c r="C11" s="1220" t="s">
        <v>1811</v>
      </c>
      <c r="D11" s="1221"/>
    </row>
    <row r="12" spans="1:18" ht="15.6" x14ac:dyDescent="0.25">
      <c r="B12" s="1219" t="s">
        <v>1812</v>
      </c>
      <c r="C12" s="1220" t="s">
        <v>1813</v>
      </c>
      <c r="D12" s="1220"/>
    </row>
    <row r="13" spans="1:18" ht="15.6" x14ac:dyDescent="0.25">
      <c r="B13" s="1219" t="s">
        <v>1814</v>
      </c>
      <c r="C13" s="1220" t="s">
        <v>1815</v>
      </c>
      <c r="D13" s="1220"/>
    </row>
    <row r="14" spans="1:18" ht="15.6" x14ac:dyDescent="0.25">
      <c r="B14" s="1219" t="s">
        <v>1816</v>
      </c>
      <c r="C14" s="1220" t="s">
        <v>1817</v>
      </c>
      <c r="D14" s="1220"/>
    </row>
    <row r="15" spans="1:18" ht="75" x14ac:dyDescent="0.25">
      <c r="B15" s="1219" t="s">
        <v>1818</v>
      </c>
      <c r="C15" s="1220"/>
      <c r="D15" s="1220" t="s">
        <v>1819</v>
      </c>
    </row>
    <row r="16" spans="1:18" ht="45" x14ac:dyDescent="0.25">
      <c r="B16" s="1219" t="s">
        <v>1820</v>
      </c>
      <c r="C16" s="1220" t="s">
        <v>1821</v>
      </c>
      <c r="D16" s="1220" t="s">
        <v>1822</v>
      </c>
    </row>
    <row r="17" spans="2:7" ht="63.6" x14ac:dyDescent="0.25">
      <c r="B17" s="1219" t="s">
        <v>1823</v>
      </c>
      <c r="C17" s="1220" t="s">
        <v>1824</v>
      </c>
      <c r="D17" s="1220" t="s">
        <v>7248</v>
      </c>
    </row>
    <row r="18" spans="2:7" ht="15.6" x14ac:dyDescent="0.25">
      <c r="B18" s="1219" t="s">
        <v>1825</v>
      </c>
      <c r="C18" s="1220" t="s">
        <v>1826</v>
      </c>
      <c r="D18" s="1220"/>
    </row>
    <row r="19" spans="2:7" ht="30" x14ac:dyDescent="0.25">
      <c r="B19" s="1219" t="s">
        <v>1827</v>
      </c>
      <c r="C19" s="1220" t="s">
        <v>1828</v>
      </c>
      <c r="D19" s="1220" t="s">
        <v>1829</v>
      </c>
    </row>
    <row r="20" spans="2:7" ht="112.2" customHeight="1" x14ac:dyDescent="0.25">
      <c r="B20" s="1219" t="s">
        <v>1830</v>
      </c>
      <c r="C20" s="1220" t="s">
        <v>1831</v>
      </c>
      <c r="D20" s="1220" t="s">
        <v>7249</v>
      </c>
    </row>
    <row r="21" spans="2:7" ht="90" x14ac:dyDescent="0.25">
      <c r="B21" s="1219" t="s">
        <v>1832</v>
      </c>
      <c r="C21" s="1220" t="s">
        <v>1833</v>
      </c>
      <c r="D21" s="1220" t="s">
        <v>1834</v>
      </c>
    </row>
    <row r="22" spans="2:7" ht="15.6" x14ac:dyDescent="0.25">
      <c r="B22" s="1219" t="s">
        <v>1835</v>
      </c>
      <c r="C22" s="1220" t="s">
        <v>1836</v>
      </c>
      <c r="D22" s="1220"/>
    </row>
    <row r="23" spans="2:7" ht="30" x14ac:dyDescent="0.25">
      <c r="B23" s="1219" t="s">
        <v>1837</v>
      </c>
      <c r="C23" s="1220" t="s">
        <v>1838</v>
      </c>
      <c r="D23" s="1220" t="s">
        <v>1839</v>
      </c>
    </row>
    <row r="24" spans="2:7" ht="30" hidden="1" x14ac:dyDescent="0.25">
      <c r="B24" s="1219" t="s">
        <v>6771</v>
      </c>
      <c r="C24" s="1220" t="s">
        <v>6772</v>
      </c>
      <c r="D24" s="1220" t="s">
        <v>6773</v>
      </c>
      <c r="G24" s="1202" t="s">
        <v>7285</v>
      </c>
    </row>
    <row r="25" spans="2:7" ht="216.6" hidden="1" customHeight="1" x14ac:dyDescent="0.25">
      <c r="B25" s="1219" t="s">
        <v>6768</v>
      </c>
      <c r="C25" s="1220" t="s">
        <v>6769</v>
      </c>
      <c r="D25" s="1220" t="s">
        <v>6770</v>
      </c>
      <c r="G25" s="1202" t="s">
        <v>7285</v>
      </c>
    </row>
    <row r="26" spans="2:7" ht="75" x14ac:dyDescent="0.25">
      <c r="B26" s="1219" t="s">
        <v>1840</v>
      </c>
      <c r="C26" s="1220" t="s">
        <v>1841</v>
      </c>
      <c r="D26" s="1220" t="s">
        <v>1842</v>
      </c>
    </row>
    <row r="27" spans="2:7" ht="75" x14ac:dyDescent="0.25">
      <c r="B27" s="1219" t="s">
        <v>1843</v>
      </c>
      <c r="C27" s="1220" t="s">
        <v>1844</v>
      </c>
      <c r="D27" s="1220" t="s">
        <v>1845</v>
      </c>
    </row>
    <row r="28" spans="2:7" ht="90" x14ac:dyDescent="0.25">
      <c r="B28" s="1219" t="s">
        <v>1846</v>
      </c>
      <c r="C28" s="1220" t="s">
        <v>1847</v>
      </c>
      <c r="D28" s="1220" t="s">
        <v>2051</v>
      </c>
    </row>
    <row r="29" spans="2:7" ht="15.6" x14ac:dyDescent="0.25">
      <c r="B29" s="1219" t="s">
        <v>1848</v>
      </c>
      <c r="C29" s="1220" t="s">
        <v>1849</v>
      </c>
      <c r="D29" s="1220"/>
    </row>
    <row r="30" spans="2:7" ht="166.95" customHeight="1" x14ac:dyDescent="0.25">
      <c r="B30" s="1219" t="s">
        <v>1850</v>
      </c>
      <c r="C30" s="1220" t="s">
        <v>1851</v>
      </c>
      <c r="D30" s="1220" t="s">
        <v>7245</v>
      </c>
    </row>
    <row r="31" spans="2:7" ht="30" x14ac:dyDescent="0.25">
      <c r="B31" s="1219" t="s">
        <v>1852</v>
      </c>
      <c r="C31" s="1220" t="s">
        <v>1853</v>
      </c>
      <c r="D31" s="1220" t="s">
        <v>1854</v>
      </c>
    </row>
    <row r="32" spans="2:7" ht="30" x14ac:dyDescent="0.25">
      <c r="B32" s="1219" t="s">
        <v>1855</v>
      </c>
      <c r="C32" s="1220" t="s">
        <v>1856</v>
      </c>
      <c r="D32" s="1220" t="s">
        <v>1857</v>
      </c>
    </row>
    <row r="33" spans="2:4" ht="45" x14ac:dyDescent="0.25">
      <c r="B33" s="1219" t="s">
        <v>1473</v>
      </c>
      <c r="C33" s="1220" t="s">
        <v>1474</v>
      </c>
      <c r="D33" s="1220" t="s">
        <v>1858</v>
      </c>
    </row>
    <row r="34" spans="2:4" ht="33.6" x14ac:dyDescent="0.25">
      <c r="B34" s="1219" t="s">
        <v>1859</v>
      </c>
      <c r="C34" s="1220" t="s">
        <v>1860</v>
      </c>
      <c r="D34" s="1220" t="s">
        <v>1861</v>
      </c>
    </row>
    <row r="35" spans="2:4" ht="15.6" x14ac:dyDescent="0.25">
      <c r="B35" s="1219" t="s">
        <v>1862</v>
      </c>
      <c r="C35" s="1220" t="s">
        <v>1863</v>
      </c>
      <c r="D35" s="1220"/>
    </row>
    <row r="36" spans="2:4" ht="15.6" x14ac:dyDescent="0.25">
      <c r="B36" s="1219" t="s">
        <v>1475</v>
      </c>
      <c r="C36" s="1220" t="s">
        <v>1864</v>
      </c>
      <c r="D36" s="1220"/>
    </row>
    <row r="37" spans="2:4" ht="15.6" x14ac:dyDescent="0.25">
      <c r="B37" s="1219" t="s">
        <v>1476</v>
      </c>
      <c r="C37" s="1220" t="s">
        <v>1865</v>
      </c>
      <c r="D37" s="1220"/>
    </row>
    <row r="38" spans="2:4" ht="45" x14ac:dyDescent="0.25">
      <c r="B38" s="1219" t="s">
        <v>1195</v>
      </c>
      <c r="C38" s="1220" t="s">
        <v>1866</v>
      </c>
      <c r="D38" s="1220" t="s">
        <v>1867</v>
      </c>
    </row>
    <row r="39" spans="2:4" ht="30" x14ac:dyDescent="0.25">
      <c r="B39" s="1219" t="s">
        <v>1707</v>
      </c>
      <c r="C39" s="1220" t="s">
        <v>1868</v>
      </c>
      <c r="D39" s="1220" t="s">
        <v>1869</v>
      </c>
    </row>
    <row r="40" spans="2:4" ht="30" x14ac:dyDescent="0.25">
      <c r="B40" s="1219" t="s">
        <v>1870</v>
      </c>
      <c r="C40" s="1220" t="s">
        <v>1871</v>
      </c>
      <c r="D40" s="1220" t="s">
        <v>1872</v>
      </c>
    </row>
    <row r="41" spans="2:4" ht="30" x14ac:dyDescent="0.25">
      <c r="B41" s="1219" t="s">
        <v>1873</v>
      </c>
      <c r="C41" s="1220" t="s">
        <v>1874</v>
      </c>
      <c r="D41" s="1220" t="s">
        <v>1875</v>
      </c>
    </row>
    <row r="42" spans="2:4" ht="15.6" x14ac:dyDescent="0.25">
      <c r="B42" s="1219" t="s">
        <v>1465</v>
      </c>
      <c r="C42" s="1220" t="s">
        <v>1466</v>
      </c>
      <c r="D42" s="1220"/>
    </row>
    <row r="43" spans="2:4" ht="15.6" x14ac:dyDescent="0.25">
      <c r="B43" s="1219" t="s">
        <v>1876</v>
      </c>
      <c r="C43" s="1220" t="s">
        <v>1877</v>
      </c>
      <c r="D43" s="1220"/>
    </row>
    <row r="44" spans="2:4" ht="34.200000000000003" x14ac:dyDescent="0.25">
      <c r="B44" s="1219" t="s">
        <v>1878</v>
      </c>
      <c r="C44" s="1220" t="s">
        <v>1879</v>
      </c>
      <c r="D44" s="1220" t="s">
        <v>7246</v>
      </c>
    </row>
    <row r="45" spans="2:4" ht="32.4" x14ac:dyDescent="0.25">
      <c r="B45" s="1219" t="s">
        <v>1880</v>
      </c>
      <c r="C45" s="1220" t="s">
        <v>1881</v>
      </c>
      <c r="D45" s="1222" t="s">
        <v>1882</v>
      </c>
    </row>
    <row r="46" spans="2:4" ht="30" x14ac:dyDescent="0.25">
      <c r="B46" s="1219" t="s">
        <v>1883</v>
      </c>
      <c r="C46" s="1220" t="s">
        <v>1884</v>
      </c>
      <c r="D46" s="1220" t="s">
        <v>1885</v>
      </c>
    </row>
    <row r="47" spans="2:4" ht="117" customHeight="1" x14ac:dyDescent="0.25">
      <c r="B47" s="1219" t="s">
        <v>1886</v>
      </c>
      <c r="C47" s="1220" t="s">
        <v>1887</v>
      </c>
      <c r="D47" s="1220" t="s">
        <v>7247</v>
      </c>
    </row>
    <row r="48" spans="2:4" ht="30" x14ac:dyDescent="0.25">
      <c r="B48" s="1219" t="s">
        <v>1499</v>
      </c>
      <c r="C48" s="1220" t="s">
        <v>1888</v>
      </c>
      <c r="D48" s="1220" t="s">
        <v>1889</v>
      </c>
    </row>
    <row r="49" spans="2:4" ht="45" x14ac:dyDescent="0.25">
      <c r="B49" s="1219" t="s">
        <v>1890</v>
      </c>
      <c r="C49" s="1220"/>
      <c r="D49" s="1220" t="s">
        <v>1891</v>
      </c>
    </row>
    <row r="50" spans="2:4" ht="60" x14ac:dyDescent="0.25">
      <c r="B50" s="1219" t="s">
        <v>1892</v>
      </c>
      <c r="C50" s="1220" t="s">
        <v>1893</v>
      </c>
      <c r="D50" s="1220" t="s">
        <v>1894</v>
      </c>
    </row>
    <row r="51" spans="2:4" x14ac:dyDescent="0.25">
      <c r="B51" s="1222"/>
      <c r="C51" s="1222"/>
      <c r="D51" s="1222"/>
    </row>
    <row r="52" spans="2:4" ht="60" x14ac:dyDescent="0.25">
      <c r="B52" s="1198" t="s">
        <v>3389</v>
      </c>
      <c r="C52" s="1199" t="s">
        <v>2052</v>
      </c>
      <c r="D52" s="1199" t="s">
        <v>2053</v>
      </c>
    </row>
    <row r="53" spans="2:4" ht="45" x14ac:dyDescent="0.25">
      <c r="B53" s="1198" t="s">
        <v>2054</v>
      </c>
      <c r="C53" s="1199" t="s">
        <v>1820</v>
      </c>
      <c r="D53" s="1199" t="s">
        <v>2055</v>
      </c>
    </row>
    <row r="54" spans="2:4" x14ac:dyDescent="0.25">
      <c r="B54" s="1223"/>
      <c r="C54" s="1223"/>
      <c r="D54" s="1223"/>
    </row>
    <row r="55" spans="2:4" x14ac:dyDescent="0.25">
      <c r="B55" s="1223"/>
      <c r="C55" s="1223"/>
      <c r="D55" s="1223"/>
    </row>
    <row r="56" spans="2:4" ht="15.6" x14ac:dyDescent="0.3">
      <c r="B56" s="706" t="s">
        <v>4899</v>
      </c>
      <c r="C56" s="1223"/>
      <c r="D56" s="1223"/>
    </row>
    <row r="57" spans="2:4" ht="15.6" x14ac:dyDescent="0.3">
      <c r="B57" s="706" t="s">
        <v>4900</v>
      </c>
      <c r="C57" s="1223"/>
      <c r="D57" s="1223"/>
    </row>
    <row r="58" spans="2:4" x14ac:dyDescent="0.25">
      <c r="B58" s="1223"/>
      <c r="C58" s="1223"/>
      <c r="D58" s="1223"/>
    </row>
    <row r="59" spans="2:4" x14ac:dyDescent="0.25">
      <c r="B59" s="1223"/>
      <c r="C59" s="1223"/>
      <c r="D59" s="1223"/>
    </row>
    <row r="60" spans="2:4" x14ac:dyDescent="0.25">
      <c r="B60" s="1223"/>
      <c r="C60" s="1223"/>
      <c r="D60" s="1223"/>
    </row>
    <row r="61" spans="2:4" x14ac:dyDescent="0.25">
      <c r="B61" s="1223"/>
      <c r="C61" s="1223"/>
      <c r="D61" s="1223"/>
    </row>
    <row r="62" spans="2:4" x14ac:dyDescent="0.25">
      <c r="B62" s="1223"/>
      <c r="C62" s="1223"/>
      <c r="D62" s="1223"/>
    </row>
    <row r="63" spans="2:4" x14ac:dyDescent="0.25">
      <c r="B63" s="1223"/>
      <c r="C63" s="1223"/>
      <c r="D63" s="1223"/>
    </row>
    <row r="64" spans="2:4" x14ac:dyDescent="0.25">
      <c r="B64" s="1223"/>
      <c r="C64" s="1223"/>
      <c r="D64" s="1223"/>
    </row>
    <row r="65" spans="2:4" x14ac:dyDescent="0.25">
      <c r="B65" s="1223"/>
      <c r="C65" s="1223"/>
      <c r="D65" s="1223"/>
    </row>
    <row r="66" spans="2:4" x14ac:dyDescent="0.25">
      <c r="B66" s="1223"/>
      <c r="C66" s="1223"/>
      <c r="D66" s="1223"/>
    </row>
    <row r="67" spans="2:4" x14ac:dyDescent="0.25">
      <c r="B67" s="1223"/>
      <c r="C67" s="1223"/>
      <c r="D67" s="1223"/>
    </row>
    <row r="68" spans="2:4" x14ac:dyDescent="0.25">
      <c r="B68" s="1223"/>
      <c r="C68" s="1223"/>
      <c r="D68" s="1223"/>
    </row>
    <row r="69" spans="2:4" x14ac:dyDescent="0.25">
      <c r="B69" s="1223"/>
      <c r="C69" s="1223"/>
      <c r="D69" s="1223"/>
    </row>
    <row r="70" spans="2:4" x14ac:dyDescent="0.25">
      <c r="B70" s="1223"/>
      <c r="C70" s="1223"/>
      <c r="D70" s="1223"/>
    </row>
    <row r="71" spans="2:4" x14ac:dyDescent="0.25">
      <c r="B71" s="1223"/>
      <c r="C71" s="1223"/>
      <c r="D71" s="1223"/>
    </row>
    <row r="72" spans="2:4" x14ac:dyDescent="0.25">
      <c r="B72" s="1223"/>
      <c r="C72" s="1223"/>
      <c r="D72" s="1223"/>
    </row>
    <row r="73" spans="2:4" x14ac:dyDescent="0.25">
      <c r="B73" s="1223"/>
      <c r="C73" s="1223"/>
      <c r="D73" s="1223"/>
    </row>
    <row r="74" spans="2:4" x14ac:dyDescent="0.25">
      <c r="B74" s="1223"/>
      <c r="C74" s="1223"/>
      <c r="D74" s="1223"/>
    </row>
    <row r="75" spans="2:4" x14ac:dyDescent="0.25">
      <c r="B75" s="1223"/>
      <c r="C75" s="1223"/>
      <c r="D75" s="1223"/>
    </row>
    <row r="76" spans="2:4" x14ac:dyDescent="0.25">
      <c r="B76" s="1223"/>
      <c r="C76" s="1223"/>
      <c r="D76" s="1223"/>
    </row>
    <row r="77" spans="2:4" x14ac:dyDescent="0.25">
      <c r="B77" s="1223"/>
      <c r="C77" s="1223"/>
      <c r="D77" s="1223"/>
    </row>
    <row r="78" spans="2:4" x14ac:dyDescent="0.25">
      <c r="B78" s="1223"/>
      <c r="C78" s="1223"/>
      <c r="D78" s="1223"/>
    </row>
    <row r="79" spans="2:4" x14ac:dyDescent="0.25">
      <c r="B79" s="1223"/>
      <c r="C79" s="1223"/>
      <c r="D79" s="1223"/>
    </row>
    <row r="80" spans="2:4" x14ac:dyDescent="0.25">
      <c r="B80" s="1223"/>
      <c r="C80" s="1223"/>
      <c r="D80" s="1223"/>
    </row>
    <row r="81" spans="2:4" x14ac:dyDescent="0.25">
      <c r="B81" s="1223"/>
      <c r="C81" s="1223"/>
      <c r="D81" s="1223"/>
    </row>
    <row r="82" spans="2:4" x14ac:dyDescent="0.25">
      <c r="B82" s="1223"/>
      <c r="C82" s="1223"/>
      <c r="D82" s="1223"/>
    </row>
    <row r="83" spans="2:4" x14ac:dyDescent="0.25">
      <c r="B83" s="1223"/>
      <c r="C83" s="1223"/>
      <c r="D83" s="1223"/>
    </row>
    <row r="84" spans="2:4" x14ac:dyDescent="0.25">
      <c r="B84" s="1223"/>
      <c r="C84" s="1223"/>
      <c r="D84" s="1223"/>
    </row>
    <row r="85" spans="2:4" x14ac:dyDescent="0.25">
      <c r="B85" s="1223"/>
      <c r="C85" s="1223"/>
      <c r="D85" s="1223"/>
    </row>
    <row r="86" spans="2:4" x14ac:dyDescent="0.25">
      <c r="B86" s="1223"/>
      <c r="C86" s="1223"/>
      <c r="D86" s="1223"/>
    </row>
    <row r="87" spans="2:4" x14ac:dyDescent="0.25">
      <c r="B87" s="1223"/>
      <c r="C87" s="1223"/>
      <c r="D87" s="1223"/>
    </row>
    <row r="88" spans="2:4" x14ac:dyDescent="0.25">
      <c r="B88" s="1223"/>
      <c r="C88" s="1223"/>
      <c r="D88" s="1223"/>
    </row>
    <row r="89" spans="2:4" x14ac:dyDescent="0.25">
      <c r="B89" s="1223"/>
      <c r="C89" s="1223"/>
      <c r="D89" s="1223"/>
    </row>
    <row r="90" spans="2:4" x14ac:dyDescent="0.25">
      <c r="B90" s="1223"/>
      <c r="C90" s="1223"/>
      <c r="D90" s="1223"/>
    </row>
    <row r="91" spans="2:4" x14ac:dyDescent="0.25">
      <c r="B91" s="1223"/>
      <c r="C91" s="1223"/>
      <c r="D91" s="1223"/>
    </row>
    <row r="92" spans="2:4" x14ac:dyDescent="0.25">
      <c r="B92" s="1223"/>
      <c r="C92" s="1223"/>
      <c r="D92" s="1223"/>
    </row>
    <row r="93" spans="2:4" x14ac:dyDescent="0.25">
      <c r="B93" s="1223"/>
      <c r="C93" s="1223"/>
      <c r="D93" s="1223"/>
    </row>
    <row r="94" spans="2:4" x14ac:dyDescent="0.25">
      <c r="B94" s="1223"/>
      <c r="C94" s="1223"/>
      <c r="D94" s="1223"/>
    </row>
    <row r="95" spans="2:4" x14ac:dyDescent="0.25">
      <c r="B95" s="1223"/>
      <c r="C95" s="1223"/>
      <c r="D95" s="1223"/>
    </row>
    <row r="96" spans="2:4" x14ac:dyDescent="0.25">
      <c r="B96" s="1223"/>
      <c r="C96" s="1223"/>
      <c r="D96" s="1223"/>
    </row>
    <row r="97" spans="2:4" x14ac:dyDescent="0.25">
      <c r="B97" s="1223"/>
      <c r="C97" s="1223"/>
      <c r="D97" s="1223"/>
    </row>
    <row r="98" spans="2:4" x14ac:dyDescent="0.25">
      <c r="B98" s="1223"/>
      <c r="C98" s="1223"/>
      <c r="D98" s="1223"/>
    </row>
    <row r="99" spans="2:4" x14ac:dyDescent="0.25">
      <c r="B99" s="1223"/>
      <c r="C99" s="1223"/>
      <c r="D99" s="1223"/>
    </row>
    <row r="100" spans="2:4" x14ac:dyDescent="0.25">
      <c r="B100" s="1223"/>
      <c r="C100" s="1223"/>
      <c r="D100" s="1223"/>
    </row>
  </sheetData>
  <sheetProtection algorithmName="SHA-512" hashValue="d5p3LY/oHsOzHiYCriWpCfD1zd4Fke20I1BlekS9vaJC4WQQWh2v8ge7oxX7/Qrr/TJjGTWNbUyuIw+fFEgPNQ==" saltValue="o1hXpnEYWW8igh324MTrjw==" spinCount="100000" sheet="1" objects="1" scenarios="1"/>
  <mergeCells count="4">
    <mergeCell ref="O1:P1"/>
    <mergeCell ref="Q1:R1"/>
    <mergeCell ref="B2:D2"/>
    <mergeCell ref="Q2:R2"/>
  </mergeCells>
  <pageMargins left="0.7" right="0.7" top="0.75" bottom="0.75" header="0.3" footer="0.3"/>
  <headerFooter>
    <oddHeader>&amp;R&amp;"Aptos"&amp;12&amp;K000000 UNCLASSIFIED - NON CLASSIFIÉ&amp;1#_x000D_</oddHeader>
  </headerFooter>
  <drawing r:id="rId1"/>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2">
    <tabColor theme="2" tint="-0.14999847407452621"/>
  </sheetPr>
  <dimension ref="A1:I38"/>
  <sheetViews>
    <sheetView workbookViewId="0">
      <selection activeCell="D10" sqref="D10"/>
    </sheetView>
  </sheetViews>
  <sheetFormatPr defaultColWidth="8.81640625" defaultRowHeight="15" x14ac:dyDescent="0.25"/>
  <cols>
    <col min="1" max="2" width="18.90625" style="182" customWidth="1"/>
    <col min="3" max="3" width="26.453125" style="182" customWidth="1"/>
    <col min="4" max="9" width="14" style="182" customWidth="1"/>
    <col min="10" max="16384" width="8.81640625" style="182"/>
  </cols>
  <sheetData>
    <row r="1" spans="2:9" ht="31.2" x14ac:dyDescent="0.25">
      <c r="C1" s="277" t="s">
        <v>1226</v>
      </c>
      <c r="D1" s="278" t="s">
        <v>1231</v>
      </c>
      <c r="E1" s="278" t="s">
        <v>1230</v>
      </c>
      <c r="F1" s="278" t="s">
        <v>1229</v>
      </c>
      <c r="G1" s="278" t="s">
        <v>1228</v>
      </c>
      <c r="H1" s="278" t="s">
        <v>3456</v>
      </c>
    </row>
    <row r="2" spans="2:9" ht="15.6" x14ac:dyDescent="0.25">
      <c r="C2" s="279" t="s">
        <v>1218</v>
      </c>
      <c r="D2" s="1224">
        <v>23</v>
      </c>
      <c r="E2" s="1224">
        <v>1929.3109999999999</v>
      </c>
      <c r="F2" s="1224">
        <v>2760</v>
      </c>
      <c r="G2" s="1224">
        <v>1550</v>
      </c>
      <c r="H2" s="1224">
        <v>360</v>
      </c>
    </row>
    <row r="3" spans="2:9" ht="15.6" x14ac:dyDescent="0.25">
      <c r="C3" s="279" t="s">
        <v>1216</v>
      </c>
      <c r="D3" s="1224">
        <v>306</v>
      </c>
      <c r="E3" s="1224">
        <v>1929.3109999999999</v>
      </c>
      <c r="F3" s="1224">
        <v>2760</v>
      </c>
      <c r="G3" s="1224">
        <v>1550</v>
      </c>
      <c r="H3" s="1224">
        <v>360</v>
      </c>
    </row>
    <row r="4" spans="2:9" ht="15.6" x14ac:dyDescent="0.25">
      <c r="C4" s="279" t="s">
        <v>1214</v>
      </c>
      <c r="D4" s="1224">
        <v>718</v>
      </c>
      <c r="E4" s="1224">
        <v>1929.3109999999999</v>
      </c>
      <c r="F4" s="1224">
        <v>2760</v>
      </c>
      <c r="G4" s="1224">
        <v>1550</v>
      </c>
      <c r="H4" s="1224">
        <v>360</v>
      </c>
    </row>
    <row r="5" spans="2:9" ht="15.6" x14ac:dyDescent="0.25">
      <c r="C5" s="279" t="s">
        <v>1212</v>
      </c>
      <c r="D5" s="1224">
        <v>306</v>
      </c>
      <c r="E5" s="1224">
        <v>1929.3109999999999</v>
      </c>
      <c r="F5" s="1224">
        <v>2760</v>
      </c>
      <c r="G5" s="1224">
        <v>1550</v>
      </c>
      <c r="H5" s="1224">
        <v>360</v>
      </c>
    </row>
    <row r="6" spans="2:9" ht="15.6" x14ac:dyDescent="0.25">
      <c r="C6" s="279" t="s">
        <v>1210</v>
      </c>
      <c r="D6" s="1224">
        <v>1.7799999999999998</v>
      </c>
      <c r="E6" s="1224">
        <v>1936.3109999999999</v>
      </c>
      <c r="F6" s="1224">
        <v>2760</v>
      </c>
      <c r="G6" s="1224">
        <v>1550</v>
      </c>
      <c r="H6" s="1224">
        <v>360</v>
      </c>
    </row>
    <row r="7" spans="2:9" ht="15.6" x14ac:dyDescent="0.25">
      <c r="C7" s="279" t="s">
        <v>1110</v>
      </c>
      <c r="D7" s="1224">
        <v>33.200000000000003</v>
      </c>
      <c r="E7" s="1224">
        <v>1931.3109999999999</v>
      </c>
      <c r="F7" s="1224">
        <v>2760</v>
      </c>
      <c r="G7" s="1224">
        <v>1550</v>
      </c>
      <c r="H7" s="1224">
        <v>360</v>
      </c>
    </row>
    <row r="8" spans="2:9" ht="15.6" x14ac:dyDescent="0.25">
      <c r="C8" s="279" t="s">
        <v>1209</v>
      </c>
      <c r="D8" s="1224">
        <v>1.54</v>
      </c>
      <c r="E8" s="1224">
        <v>1925.3110000000001</v>
      </c>
      <c r="F8" s="1224">
        <v>2760</v>
      </c>
      <c r="G8" s="1224">
        <v>1550</v>
      </c>
      <c r="H8" s="1224">
        <v>360</v>
      </c>
    </row>
    <row r="9" spans="2:9" ht="15.6" x14ac:dyDescent="0.25">
      <c r="C9" s="279" t="s">
        <v>1208</v>
      </c>
      <c r="D9" s="1224">
        <v>692</v>
      </c>
      <c r="E9" s="1224">
        <v>1930.3110000000001</v>
      </c>
      <c r="F9" s="1224">
        <v>2760</v>
      </c>
      <c r="G9" s="1224">
        <v>1550</v>
      </c>
      <c r="H9" s="1224">
        <v>360</v>
      </c>
    </row>
    <row r="10" spans="2:9" ht="15.6" x14ac:dyDescent="0.25">
      <c r="C10" s="279" t="s">
        <v>1207</v>
      </c>
      <c r="D10" s="1224">
        <v>584</v>
      </c>
      <c r="E10" s="1224">
        <v>1972.3109999999999</v>
      </c>
      <c r="F10" s="1224">
        <v>2760</v>
      </c>
      <c r="G10" s="1224">
        <v>1550</v>
      </c>
      <c r="H10" s="1224">
        <v>360</v>
      </c>
    </row>
    <row r="11" spans="2:9" ht="15.6" x14ac:dyDescent="0.25">
      <c r="C11" s="279" t="s">
        <v>1206</v>
      </c>
      <c r="D11" s="1224">
        <v>16.399999999999999</v>
      </c>
      <c r="E11" s="1224">
        <v>1976.3110000000001</v>
      </c>
      <c r="F11" s="1224">
        <v>2760</v>
      </c>
      <c r="G11" s="1224">
        <v>1550</v>
      </c>
      <c r="H11" s="1224">
        <v>360</v>
      </c>
    </row>
    <row r="12" spans="2:9" ht="15.6" x14ac:dyDescent="0.25">
      <c r="C12" s="279" t="s">
        <v>1205</v>
      </c>
      <c r="D12" s="1224">
        <v>92</v>
      </c>
      <c r="E12" s="1224">
        <v>1976.3110000000001</v>
      </c>
      <c r="F12" s="1224">
        <v>2760</v>
      </c>
      <c r="G12" s="1224">
        <v>1550</v>
      </c>
      <c r="H12" s="1224">
        <v>360</v>
      </c>
    </row>
    <row r="13" spans="2:9" ht="15.6" x14ac:dyDescent="0.25">
      <c r="C13" s="279" t="s">
        <v>1203</v>
      </c>
      <c r="D13" s="1224">
        <v>180</v>
      </c>
      <c r="E13" s="1224">
        <v>1976.3110000000001</v>
      </c>
      <c r="F13" s="1224">
        <v>2760</v>
      </c>
      <c r="G13" s="1224">
        <v>1550</v>
      </c>
      <c r="H13" s="1224">
        <v>360</v>
      </c>
    </row>
    <row r="14" spans="2:9" ht="15.6" x14ac:dyDescent="0.25">
      <c r="C14" s="279" t="s">
        <v>1202</v>
      </c>
      <c r="D14" s="1224">
        <v>842</v>
      </c>
      <c r="E14" s="1224">
        <v>1976.3110000000001</v>
      </c>
      <c r="F14" s="1224">
        <v>2760</v>
      </c>
      <c r="G14" s="1224">
        <v>1550</v>
      </c>
      <c r="H14" s="1224">
        <v>360</v>
      </c>
    </row>
    <row r="15" spans="2:9" s="283" customFormat="1" x14ac:dyDescent="0.25">
      <c r="B15" s="282"/>
      <c r="C15" s="273" t="s">
        <v>1430</v>
      </c>
      <c r="D15" s="280"/>
      <c r="E15" s="281"/>
      <c r="F15" s="280"/>
      <c r="G15" s="280"/>
      <c r="H15" s="280"/>
      <c r="I15" s="282"/>
    </row>
    <row r="16" spans="2:9" x14ac:dyDescent="0.25">
      <c r="C16" s="271" t="s">
        <v>1431</v>
      </c>
      <c r="D16" s="272"/>
      <c r="E16" s="272"/>
      <c r="F16" s="272"/>
      <c r="G16" s="272"/>
      <c r="H16" s="272"/>
      <c r="I16" s="270"/>
    </row>
    <row r="17" spans="1:9" x14ac:dyDescent="0.25">
      <c r="C17" s="271" t="s">
        <v>1432</v>
      </c>
      <c r="D17" s="272"/>
      <c r="E17" s="272"/>
      <c r="F17" s="272"/>
      <c r="G17" s="272"/>
      <c r="H17" s="272"/>
      <c r="I17" s="270"/>
    </row>
    <row r="18" spans="1:9" ht="15.6" x14ac:dyDescent="0.3">
      <c r="A18" s="183"/>
      <c r="B18" s="184"/>
      <c r="C18" s="184"/>
    </row>
    <row r="19" spans="1:9" ht="15.6" x14ac:dyDescent="0.3">
      <c r="A19" s="185"/>
      <c r="B19" s="185"/>
      <c r="C19" s="1852" t="s">
        <v>1227</v>
      </c>
      <c r="D19" s="1853"/>
      <c r="E19" s="1853"/>
      <c r="F19" s="1853"/>
      <c r="G19" s="1853"/>
      <c r="H19" s="1853"/>
      <c r="I19" s="1854"/>
    </row>
    <row r="20" spans="1:9" s="270" customFormat="1" ht="15.6" x14ac:dyDescent="0.3">
      <c r="A20" s="1855" t="s">
        <v>3457</v>
      </c>
      <c r="B20" s="1856"/>
      <c r="C20" s="274" t="s">
        <v>1226</v>
      </c>
      <c r="D20" s="275" t="s">
        <v>1225</v>
      </c>
      <c r="E20" s="275" t="s">
        <v>1224</v>
      </c>
      <c r="F20" s="275" t="s">
        <v>1223</v>
      </c>
      <c r="G20" s="275" t="s">
        <v>1222</v>
      </c>
      <c r="H20" s="275" t="s">
        <v>1221</v>
      </c>
      <c r="I20" s="276" t="s">
        <v>1220</v>
      </c>
    </row>
    <row r="21" spans="1:9" ht="15.6" x14ac:dyDescent="0.3">
      <c r="A21" s="186" t="s">
        <v>1219</v>
      </c>
      <c r="B21" s="188">
        <f>'USER INPUT SHEET'!N9 - IF(OR('USER INPUT SHEET'!P17 = "Yes", 'USER INPUT SHEET'!P17 = "Oui"),'USER INPUT SHEET'!Q9,0)</f>
        <v>0</v>
      </c>
      <c r="C21" s="279" t="s">
        <v>1218</v>
      </c>
      <c r="D21" s="189">
        <f t="shared" ref="D21:D33" si="0">($B$21-$B$32*277.77777778)*IF(D$15=C21,D$16,D2)/IF($B$34="K",POWER(10,6),1)</f>
        <v>0</v>
      </c>
      <c r="E21" s="190">
        <f t="shared" ref="E21:E33" si="1">$B$22*IF(E$15=$C21,E$16,E2)/IF($B$34="K",POWER(10,6),1)</f>
        <v>0</v>
      </c>
      <c r="F21" s="190">
        <f>$B$23*IF(F$15=$C21,F$16,F2)/IF($B$34="K",POWER(10,6),1)</f>
        <v>0</v>
      </c>
      <c r="G21" s="190">
        <f>$B$24*IF(G$15=$C21,G$16,G2)/IF($B$34="K",POWER(10,6),1)</f>
        <v>0</v>
      </c>
      <c r="H21" s="190">
        <f>$B$25*IF(H$15=$C21,H$16,H2)/IF($B$34="K",POWER(10,6),1)</f>
        <v>0</v>
      </c>
      <c r="I21" s="190">
        <f t="shared" ref="I21:I33" si="2">SUM(D21:H21)</f>
        <v>0</v>
      </c>
    </row>
    <row r="22" spans="1:9" ht="15.6" x14ac:dyDescent="0.3">
      <c r="A22" s="186" t="s">
        <v>1217</v>
      </c>
      <c r="B22" s="188">
        <f>'USER INPUT SHEET'!O9</f>
        <v>0</v>
      </c>
      <c r="C22" s="279" t="s">
        <v>1216</v>
      </c>
      <c r="D22" s="189">
        <f t="shared" si="0"/>
        <v>0</v>
      </c>
      <c r="E22" s="190">
        <f t="shared" si="1"/>
        <v>0</v>
      </c>
      <c r="F22" s="190">
        <f t="shared" ref="F22:F33" si="3">$B$23*IF(F$15=$C22,F$16,F3)/IF($B$34="K",POWER(10,6),1)</f>
        <v>0</v>
      </c>
      <c r="G22" s="190">
        <f t="shared" ref="G22:G33" si="4">$B$24*IF(G$15=$C22,G$16,G3)/IF($B$34="K",POWER(10,6),1)</f>
        <v>0</v>
      </c>
      <c r="H22" s="190">
        <f t="shared" ref="H22:H33" si="5">$B$25*IF(H$15=$C22,H$16,H3)/IF($B$34="K",POWER(10,6),1)</f>
        <v>0</v>
      </c>
      <c r="I22" s="190">
        <f t="shared" si="2"/>
        <v>0</v>
      </c>
    </row>
    <row r="23" spans="1:9" ht="15.6" x14ac:dyDescent="0.3">
      <c r="A23" s="186" t="s">
        <v>1215</v>
      </c>
      <c r="B23" s="188">
        <f>'USER INPUT SHEET'!O12</f>
        <v>0</v>
      </c>
      <c r="C23" s="279" t="s">
        <v>1214</v>
      </c>
      <c r="D23" s="189">
        <f t="shared" si="0"/>
        <v>0</v>
      </c>
      <c r="E23" s="190">
        <f t="shared" si="1"/>
        <v>0</v>
      </c>
      <c r="F23" s="190">
        <f t="shared" si="3"/>
        <v>0</v>
      </c>
      <c r="G23" s="190">
        <f t="shared" si="4"/>
        <v>0</v>
      </c>
      <c r="H23" s="190">
        <f t="shared" si="5"/>
        <v>0</v>
      </c>
      <c r="I23" s="190">
        <f t="shared" si="2"/>
        <v>0</v>
      </c>
    </row>
    <row r="24" spans="1:9" ht="15.6" x14ac:dyDescent="0.3">
      <c r="A24" s="186" t="s">
        <v>1213</v>
      </c>
      <c r="B24" s="188">
        <f>'USER INPUT SHEET'!N12</f>
        <v>0</v>
      </c>
      <c r="C24" s="279" t="s">
        <v>1212</v>
      </c>
      <c r="D24" s="189">
        <f t="shared" si="0"/>
        <v>0</v>
      </c>
      <c r="E24" s="190">
        <f t="shared" si="1"/>
        <v>0</v>
      </c>
      <c r="F24" s="190">
        <f t="shared" si="3"/>
        <v>0</v>
      </c>
      <c r="G24" s="190">
        <f t="shared" si="4"/>
        <v>0</v>
      </c>
      <c r="H24" s="190">
        <f t="shared" si="5"/>
        <v>0</v>
      </c>
      <c r="I24" s="190">
        <f t="shared" si="2"/>
        <v>0</v>
      </c>
    </row>
    <row r="25" spans="1:9" ht="15.6" x14ac:dyDescent="0.3">
      <c r="A25" s="186" t="s">
        <v>1211</v>
      </c>
      <c r="B25" s="188">
        <f>'USER INPUT SHEET'!P12</f>
        <v>0</v>
      </c>
      <c r="C25" s="279" t="s">
        <v>1210</v>
      </c>
      <c r="D25" s="189">
        <f t="shared" si="0"/>
        <v>0</v>
      </c>
      <c r="E25" s="190">
        <f t="shared" si="1"/>
        <v>0</v>
      </c>
      <c r="F25" s="190">
        <f t="shared" si="3"/>
        <v>0</v>
      </c>
      <c r="G25" s="190">
        <f t="shared" si="4"/>
        <v>0</v>
      </c>
      <c r="H25" s="190">
        <f t="shared" si="5"/>
        <v>0</v>
      </c>
      <c r="I25" s="190">
        <f t="shared" si="2"/>
        <v>0</v>
      </c>
    </row>
    <row r="26" spans="1:9" ht="15.6" x14ac:dyDescent="0.3">
      <c r="A26" s="191"/>
      <c r="B26" s="185"/>
      <c r="C26" s="279" t="s">
        <v>1110</v>
      </c>
      <c r="D26" s="189">
        <f t="shared" si="0"/>
        <v>0</v>
      </c>
      <c r="E26" s="190">
        <f t="shared" si="1"/>
        <v>0</v>
      </c>
      <c r="F26" s="190">
        <f t="shared" si="3"/>
        <v>0</v>
      </c>
      <c r="G26" s="190">
        <f t="shared" si="4"/>
        <v>0</v>
      </c>
      <c r="H26" s="190">
        <f t="shared" si="5"/>
        <v>0</v>
      </c>
      <c r="I26" s="190">
        <f t="shared" si="2"/>
        <v>0</v>
      </c>
    </row>
    <row r="27" spans="1:9" ht="15.6" x14ac:dyDescent="0.3">
      <c r="A27" s="191"/>
      <c r="B27" s="185"/>
      <c r="C27" s="279" t="s">
        <v>1209</v>
      </c>
      <c r="D27" s="189">
        <f t="shared" si="0"/>
        <v>0</v>
      </c>
      <c r="E27" s="190">
        <f t="shared" si="1"/>
        <v>0</v>
      </c>
      <c r="F27" s="190">
        <f t="shared" si="3"/>
        <v>0</v>
      </c>
      <c r="G27" s="190">
        <f t="shared" si="4"/>
        <v>0</v>
      </c>
      <c r="H27" s="190">
        <f t="shared" si="5"/>
        <v>0</v>
      </c>
      <c r="I27" s="190">
        <f t="shared" si="2"/>
        <v>0</v>
      </c>
    </row>
    <row r="28" spans="1:9" ht="15.6" x14ac:dyDescent="0.25">
      <c r="A28" s="427" t="s">
        <v>1617</v>
      </c>
      <c r="B28" s="428">
        <f>'USER INPUT SHEET'!N21</f>
        <v>0</v>
      </c>
      <c r="C28" s="279" t="s">
        <v>1208</v>
      </c>
      <c r="D28" s="189">
        <f t="shared" si="0"/>
        <v>0</v>
      </c>
      <c r="E28" s="190">
        <f t="shared" si="1"/>
        <v>0</v>
      </c>
      <c r="F28" s="190">
        <f t="shared" si="3"/>
        <v>0</v>
      </c>
      <c r="G28" s="190">
        <f t="shared" si="4"/>
        <v>0</v>
      </c>
      <c r="H28" s="190">
        <f t="shared" si="5"/>
        <v>0</v>
      </c>
      <c r="I28" s="190">
        <f t="shared" si="2"/>
        <v>0</v>
      </c>
    </row>
    <row r="29" spans="1:9" ht="15.6" x14ac:dyDescent="0.3">
      <c r="A29" s="191"/>
      <c r="B29" s="270"/>
      <c r="C29" s="279" t="s">
        <v>1207</v>
      </c>
      <c r="D29" s="192">
        <f t="shared" si="0"/>
        <v>0</v>
      </c>
      <c r="E29" s="190">
        <f t="shared" si="1"/>
        <v>0</v>
      </c>
      <c r="F29" s="190">
        <f t="shared" si="3"/>
        <v>0</v>
      </c>
      <c r="G29" s="190">
        <f t="shared" si="4"/>
        <v>0</v>
      </c>
      <c r="H29" s="190">
        <f t="shared" si="5"/>
        <v>0</v>
      </c>
      <c r="I29" s="190">
        <f t="shared" si="2"/>
        <v>0</v>
      </c>
    </row>
    <row r="30" spans="1:9" ht="15.6" x14ac:dyDescent="0.3">
      <c r="A30" s="191"/>
      <c r="B30" s="185"/>
      <c r="C30" s="279" t="s">
        <v>1206</v>
      </c>
      <c r="D30" s="189">
        <f t="shared" si="0"/>
        <v>0</v>
      </c>
      <c r="E30" s="190">
        <f t="shared" si="1"/>
        <v>0</v>
      </c>
      <c r="F30" s="190">
        <f t="shared" si="3"/>
        <v>0</v>
      </c>
      <c r="G30" s="190">
        <f t="shared" si="4"/>
        <v>0</v>
      </c>
      <c r="H30" s="190">
        <f t="shared" si="5"/>
        <v>0</v>
      </c>
      <c r="I30" s="190">
        <f t="shared" si="2"/>
        <v>0</v>
      </c>
    </row>
    <row r="31" spans="1:9" ht="15.6" x14ac:dyDescent="0.3">
      <c r="A31" s="191"/>
      <c r="B31" s="185"/>
      <c r="C31" s="279" t="s">
        <v>1205</v>
      </c>
      <c r="D31" s="189">
        <f t="shared" si="0"/>
        <v>0</v>
      </c>
      <c r="E31" s="190">
        <f t="shared" si="1"/>
        <v>0</v>
      </c>
      <c r="F31" s="190">
        <f t="shared" si="3"/>
        <v>0</v>
      </c>
      <c r="G31" s="190">
        <f t="shared" si="4"/>
        <v>0</v>
      </c>
      <c r="H31" s="190">
        <f t="shared" si="5"/>
        <v>0</v>
      </c>
      <c r="I31" s="190">
        <f t="shared" si="2"/>
        <v>0</v>
      </c>
    </row>
    <row r="32" spans="1:9" ht="15.6" x14ac:dyDescent="0.25">
      <c r="A32" s="187" t="s">
        <v>1204</v>
      </c>
      <c r="B32" s="193"/>
      <c r="C32" s="279" t="s">
        <v>1203</v>
      </c>
      <c r="D32" s="189">
        <f t="shared" si="0"/>
        <v>0</v>
      </c>
      <c r="E32" s="190">
        <f t="shared" si="1"/>
        <v>0</v>
      </c>
      <c r="F32" s="190">
        <f t="shared" si="3"/>
        <v>0</v>
      </c>
      <c r="G32" s="190">
        <f t="shared" si="4"/>
        <v>0</v>
      </c>
      <c r="H32" s="190">
        <f t="shared" si="5"/>
        <v>0</v>
      </c>
      <c r="I32" s="190">
        <f t="shared" si="2"/>
        <v>0</v>
      </c>
    </row>
    <row r="33" spans="1:9" ht="15.6" x14ac:dyDescent="0.25">
      <c r="A33" s="185"/>
      <c r="B33" s="185"/>
      <c r="C33" s="279" t="s">
        <v>1202</v>
      </c>
      <c r="D33" s="189">
        <f t="shared" si="0"/>
        <v>0</v>
      </c>
      <c r="E33" s="190">
        <f t="shared" si="1"/>
        <v>0</v>
      </c>
      <c r="F33" s="190">
        <f t="shared" si="3"/>
        <v>0</v>
      </c>
      <c r="G33" s="190">
        <f t="shared" si="4"/>
        <v>0</v>
      </c>
      <c r="H33" s="190">
        <f t="shared" si="5"/>
        <v>0</v>
      </c>
      <c r="I33" s="190">
        <f t="shared" si="2"/>
        <v>0</v>
      </c>
    </row>
    <row r="34" spans="1:9" x14ac:dyDescent="0.25">
      <c r="A34" s="187" t="s">
        <v>4782</v>
      </c>
      <c r="B34" s="193" t="s">
        <v>4783</v>
      </c>
      <c r="C34" s="195"/>
    </row>
    <row r="35" spans="1:9" x14ac:dyDescent="0.25">
      <c r="A35" s="194"/>
      <c r="B35" s="194"/>
      <c r="C35" s="383" t="str">
        <f>'USER INPUT SHEET'!rng_province</f>
        <v>Saskatchewan</v>
      </c>
      <c r="D35" s="384">
        <f>IFERROR(VLOOKUP($C35,$C$21:$H$33,2,FALSE),0)</f>
        <v>0</v>
      </c>
      <c r="E35" s="385">
        <f>IFERROR(VLOOKUP($C35,$C$21:$H$33,3,FALSE),0)</f>
        <v>0</v>
      </c>
      <c r="F35" s="385">
        <f>IFERROR(VLOOKUP($C35,$C$21:$H$33,4,FALSE),0)</f>
        <v>0</v>
      </c>
      <c r="G35" s="385">
        <f>IFERROR(VLOOKUP($C35,$C$21:$H$33,5,FALSE),0)</f>
        <v>0</v>
      </c>
      <c r="H35" s="385">
        <f>IFERROR(VLOOKUP($C35,$C$21:$H$33,6,FALSE),0)</f>
        <v>0</v>
      </c>
    </row>
    <row r="36" spans="1:9" ht="15.6" x14ac:dyDescent="0.3">
      <c r="A36" s="183"/>
      <c r="B36" s="184"/>
      <c r="C36" s="184"/>
    </row>
    <row r="37" spans="1:9" ht="15.6" x14ac:dyDescent="0.3">
      <c r="A37" s="194"/>
      <c r="B37" s="706" t="s">
        <v>4899</v>
      </c>
      <c r="C37" s="195"/>
    </row>
    <row r="38" spans="1:9" ht="15.6" x14ac:dyDescent="0.3">
      <c r="A38" s="194"/>
      <c r="B38" s="706" t="s">
        <v>4900</v>
      </c>
      <c r="C38" s="194"/>
    </row>
  </sheetData>
  <sheetProtection algorithmName="SHA-512" hashValue="toVFA+hpD0H4XqXsiJfFE2NjILPuMvKXBccqXopKZAAMxCJkrXxdq0BjPNuv0RQ1UdFtlj6QC+hXqJpuKLr37g==" saltValue="A7/HCEAp9hNHPQjykd9/mQ==" spinCount="100000" sheet="1" objects="1" scenarios="1"/>
  <mergeCells count="2">
    <mergeCell ref="C19:I19"/>
    <mergeCell ref="A20:B20"/>
  </mergeCells>
  <dataValidations count="3">
    <dataValidation type="list" allowBlank="1" showInputMessage="1" showErrorMessage="1" prompt="Select a province's GHG factor to override then enter the new GHG intensity value in the correstponding cell below._x000a_ _x000a_ Note: only one province's fuel type can be overridden at a time." sqref="D15:H15" xr:uid="{00000000-0002-0000-1B00-000000000000}">
      <formula1>$C$2:$C$14</formula1>
    </dataValidation>
    <dataValidation allowBlank="1" showInputMessage="1" showErrorMessage="1" prompt="Enter source of information used for override value. Web link preferrable, if available." sqref="D17:H17" xr:uid="{00000000-0002-0000-1B00-000005000000}"/>
    <dataValidation type="list" allowBlank="1" showInputMessage="1" showErrorMessage="1" sqref="B34" xr:uid="{9E2361BF-2FEC-4644-B0B3-176930A05B44}">
      <formula1>"K,G"</formula1>
    </dataValidation>
  </dataValidations>
  <pageMargins left="0.7" right="0.7" top="0.75" bottom="0.75" header="0.3" footer="0.3"/>
  <headerFooter>
    <oddHeader>&amp;R&amp;"Aptos"&amp;12&amp;K000000 UNCLASSIFIED - NON CLASSIFIÉ&amp;1#_x000D_</oddHeader>
  </headerFooter>
  <drawing r:id="rId1"/>
  <legacy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93EC3-56C1-4DD3-ACC7-A1F1F94718EF}">
  <sheetPr codeName="Sheet41"/>
  <dimension ref="A1:S21"/>
  <sheetViews>
    <sheetView zoomScaleNormal="100" workbookViewId="0"/>
  </sheetViews>
  <sheetFormatPr defaultColWidth="8.81640625" defaultRowHeight="14.4" x14ac:dyDescent="0.3"/>
  <cols>
    <col min="1" max="1" width="19.1796875" style="1227" customWidth="1"/>
    <col min="2" max="2" width="18.54296875" style="1227" customWidth="1"/>
    <col min="3" max="4" width="10" style="1227" customWidth="1"/>
    <col min="5" max="7" width="15.453125" style="1227" customWidth="1"/>
    <col min="8" max="16384" width="8.81640625" style="1227"/>
  </cols>
  <sheetData>
    <row r="1" spans="1:19" s="1226" customFormat="1" ht="44.4" customHeight="1" x14ac:dyDescent="0.3">
      <c r="A1" s="1225" t="s">
        <v>4795</v>
      </c>
      <c r="B1" s="1225"/>
      <c r="R1" s="1227"/>
      <c r="S1" s="1227"/>
    </row>
    <row r="2" spans="1:19" x14ac:dyDescent="0.3">
      <c r="A2" s="1857" t="s">
        <v>4796</v>
      </c>
      <c r="B2" s="1860" t="s">
        <v>4797</v>
      </c>
      <c r="C2" s="1860"/>
      <c r="D2" s="1860"/>
      <c r="E2" s="1860"/>
      <c r="F2" s="1860"/>
      <c r="G2" s="1860"/>
    </row>
    <row r="3" spans="1:19" s="1230" customFormat="1" x14ac:dyDescent="0.25">
      <c r="A3" s="1858"/>
      <c r="B3" s="1229" t="s">
        <v>1225</v>
      </c>
      <c r="C3" s="1861" t="s">
        <v>4798</v>
      </c>
      <c r="D3" s="1862"/>
      <c r="E3" s="1228" t="s">
        <v>4799</v>
      </c>
      <c r="F3" s="1228" t="s">
        <v>1222</v>
      </c>
      <c r="G3" s="1228" t="s">
        <v>4800</v>
      </c>
    </row>
    <row r="4" spans="1:19" ht="16.2" customHeight="1" x14ac:dyDescent="0.3">
      <c r="A4" s="1859"/>
      <c r="B4" s="1231" t="s">
        <v>4801</v>
      </c>
      <c r="C4" s="1228" t="s">
        <v>4801</v>
      </c>
      <c r="D4" s="1228" t="s">
        <v>4802</v>
      </c>
      <c r="E4" s="1228" t="s">
        <v>4803</v>
      </c>
      <c r="F4" s="1228" t="s">
        <v>4803</v>
      </c>
      <c r="G4" s="1228" t="s">
        <v>4804</v>
      </c>
    </row>
    <row r="5" spans="1:19" x14ac:dyDescent="0.3">
      <c r="A5" s="1232" t="s">
        <v>1207</v>
      </c>
      <c r="B5" s="1233">
        <v>181.86</v>
      </c>
      <c r="C5" s="1234">
        <v>189</v>
      </c>
      <c r="D5" s="1234">
        <f>C5*277.8/26.853</f>
        <v>1955.2452239973188</v>
      </c>
      <c r="E5" s="1234">
        <v>2755</v>
      </c>
      <c r="F5" s="1234">
        <v>1548</v>
      </c>
      <c r="G5" s="1234">
        <v>2690</v>
      </c>
    </row>
    <row r="6" spans="1:19" x14ac:dyDescent="0.3">
      <c r="A6" s="1232" t="s">
        <v>1206</v>
      </c>
      <c r="B6" s="1233">
        <v>1.32</v>
      </c>
      <c r="C6" s="1234">
        <v>190</v>
      </c>
      <c r="D6" s="1234">
        <f t="shared" ref="D6:D17" si="0">C6*277.8/26.853</f>
        <v>1965.5904368227013</v>
      </c>
      <c r="E6" s="1234">
        <v>2755</v>
      </c>
      <c r="F6" s="1234">
        <v>1548</v>
      </c>
      <c r="G6" s="1234">
        <v>2690</v>
      </c>
    </row>
    <row r="7" spans="1:19" x14ac:dyDescent="0.3">
      <c r="A7" s="1232" t="s">
        <v>1209</v>
      </c>
      <c r="B7" s="1235">
        <v>0</v>
      </c>
      <c r="C7" s="1234">
        <v>185</v>
      </c>
      <c r="D7" s="1234">
        <f t="shared" si="0"/>
        <v>1913.864372695788</v>
      </c>
      <c r="E7" s="1234">
        <v>2755</v>
      </c>
      <c r="F7" s="1234">
        <v>1548</v>
      </c>
      <c r="G7" s="1234">
        <v>2690</v>
      </c>
    </row>
    <row r="8" spans="1:19" x14ac:dyDescent="0.3">
      <c r="A8" s="1232" t="s">
        <v>1212</v>
      </c>
      <c r="B8" s="1233">
        <v>77.88</v>
      </c>
      <c r="C8" s="1234">
        <v>185</v>
      </c>
      <c r="D8" s="1234">
        <f t="shared" si="0"/>
        <v>1913.864372695788</v>
      </c>
      <c r="E8" s="1234">
        <v>2755</v>
      </c>
      <c r="F8" s="1234">
        <v>1548</v>
      </c>
      <c r="G8" s="1234">
        <v>2690</v>
      </c>
    </row>
    <row r="9" spans="1:19" x14ac:dyDescent="0.3">
      <c r="A9" s="1232" t="s">
        <v>1218</v>
      </c>
      <c r="B9" s="1233">
        <v>11.08</v>
      </c>
      <c r="C9" s="1234">
        <v>185</v>
      </c>
      <c r="D9" s="1234">
        <f t="shared" si="0"/>
        <v>1913.864372695788</v>
      </c>
      <c r="E9" s="1234">
        <v>2755</v>
      </c>
      <c r="F9" s="1234">
        <v>1548</v>
      </c>
      <c r="G9" s="1234">
        <v>2690</v>
      </c>
    </row>
    <row r="10" spans="1:19" x14ac:dyDescent="0.3">
      <c r="A10" s="1232" t="s">
        <v>1203</v>
      </c>
      <c r="B10" s="1233">
        <v>6.82</v>
      </c>
      <c r="C10" s="1234">
        <v>185</v>
      </c>
      <c r="D10" s="1234">
        <f t="shared" si="0"/>
        <v>1913.864372695788</v>
      </c>
      <c r="E10" s="1234">
        <v>2755</v>
      </c>
      <c r="F10" s="1234">
        <v>1548</v>
      </c>
      <c r="G10" s="1234">
        <v>2690</v>
      </c>
    </row>
    <row r="11" spans="1:19" x14ac:dyDescent="0.3">
      <c r="A11" s="1232" t="s">
        <v>1214</v>
      </c>
      <c r="B11" s="1233">
        <v>161.63999999999999</v>
      </c>
      <c r="C11" s="1234">
        <v>190</v>
      </c>
      <c r="D11" s="1234">
        <f t="shared" si="0"/>
        <v>1965.5904368227013</v>
      </c>
      <c r="E11" s="1234">
        <v>2755</v>
      </c>
      <c r="F11" s="1234">
        <v>1548</v>
      </c>
      <c r="G11" s="1234">
        <v>2690</v>
      </c>
    </row>
    <row r="12" spans="1:19" x14ac:dyDescent="0.3">
      <c r="A12" s="1232" t="s">
        <v>1202</v>
      </c>
      <c r="B12" s="1233">
        <v>465.16</v>
      </c>
      <c r="C12" s="1234">
        <v>190</v>
      </c>
      <c r="D12" s="1234">
        <f>C12*277.8/26.853</f>
        <v>1965.5904368227013</v>
      </c>
      <c r="E12" s="1234">
        <v>2755</v>
      </c>
      <c r="F12" s="1234">
        <v>1548</v>
      </c>
      <c r="G12" s="1234">
        <v>2690</v>
      </c>
    </row>
    <row r="13" spans="1:19" x14ac:dyDescent="0.3">
      <c r="A13" s="1232" t="s">
        <v>1110</v>
      </c>
      <c r="B13" s="1236">
        <v>57.9</v>
      </c>
      <c r="C13" s="1234">
        <v>185</v>
      </c>
      <c r="D13" s="1234">
        <f t="shared" si="0"/>
        <v>1913.864372695788</v>
      </c>
      <c r="E13" s="1234">
        <v>2755</v>
      </c>
      <c r="F13" s="1234">
        <v>1548</v>
      </c>
      <c r="G13" s="1234">
        <v>2690</v>
      </c>
    </row>
    <row r="14" spans="1:19" x14ac:dyDescent="0.3">
      <c r="A14" s="1232" t="s">
        <v>1216</v>
      </c>
      <c r="B14" s="1233">
        <v>80.42</v>
      </c>
      <c r="C14" s="1234">
        <v>185</v>
      </c>
      <c r="D14" s="1234">
        <f t="shared" si="0"/>
        <v>1913.864372695788</v>
      </c>
      <c r="E14" s="1234">
        <v>2755</v>
      </c>
      <c r="F14" s="1234">
        <v>1548</v>
      </c>
      <c r="G14" s="1234">
        <v>2690</v>
      </c>
    </row>
    <row r="15" spans="1:19" x14ac:dyDescent="0.3">
      <c r="A15" s="1232" t="s">
        <v>1210</v>
      </c>
      <c r="B15" s="1233">
        <v>0.38</v>
      </c>
      <c r="C15" s="1234">
        <v>186</v>
      </c>
      <c r="D15" s="1234">
        <f t="shared" si="0"/>
        <v>1924.2095855211708</v>
      </c>
      <c r="E15" s="1234">
        <v>2755</v>
      </c>
      <c r="F15" s="1234">
        <v>1548</v>
      </c>
      <c r="G15" s="1234">
        <v>2690</v>
      </c>
    </row>
    <row r="16" spans="1:19" x14ac:dyDescent="0.3">
      <c r="A16" s="1237" t="s">
        <v>1208</v>
      </c>
      <c r="B16" s="1236">
        <v>146.6</v>
      </c>
      <c r="C16" s="1234">
        <v>185</v>
      </c>
      <c r="D16" s="1234">
        <f t="shared" si="0"/>
        <v>1913.864372695788</v>
      </c>
      <c r="E16" s="1234">
        <v>2755</v>
      </c>
      <c r="F16" s="1234">
        <v>1548</v>
      </c>
      <c r="G16" s="1234">
        <v>2690</v>
      </c>
    </row>
    <row r="17" spans="1:7" x14ac:dyDescent="0.3">
      <c r="A17" s="1238" t="s">
        <v>1205</v>
      </c>
      <c r="B17" s="1235">
        <v>25</v>
      </c>
      <c r="C17" s="1234">
        <v>190</v>
      </c>
      <c r="D17" s="1234">
        <f t="shared" si="0"/>
        <v>1965.5904368227013</v>
      </c>
      <c r="E17" s="1234">
        <v>2755</v>
      </c>
      <c r="F17" s="1234">
        <v>1548</v>
      </c>
      <c r="G17" s="1234">
        <v>2690</v>
      </c>
    </row>
    <row r="20" spans="1:7" ht="15.6" x14ac:dyDescent="0.3">
      <c r="B20" s="706" t="s">
        <v>4899</v>
      </c>
    </row>
    <row r="21" spans="1:7" ht="15.6" x14ac:dyDescent="0.3">
      <c r="B21" s="706" t="s">
        <v>4900</v>
      </c>
    </row>
  </sheetData>
  <sheetProtection algorithmName="SHA-512" hashValue="DtRuMhyLAyiApL1aIPns7nkJGpn1IxzwZTPqqJR2iZ6TYI1pRTFIog8OQW1UULpZom3basEwafCdjrvojB1JnQ==" saltValue="S7VQnnuFYaWD+Pj1jQjjpA==" spinCount="100000" sheet="1" objects="1" scenarios="1"/>
  <mergeCells count="3">
    <mergeCell ref="A2:A4"/>
    <mergeCell ref="B2:G2"/>
    <mergeCell ref="C3:D3"/>
  </mergeCells>
  <pageMargins left="0.7" right="0.7" top="0.75" bottom="0.75" header="0.3" footer="0.3"/>
  <pageSetup orientation="portrait" r:id="rId1"/>
  <headerFooter>
    <oddHeader>&amp;R&amp;"Aptos"&amp;12&amp;K000000 UNCLASSIFIED - NON CLASSIFIÉ&amp;1#_x000D_</oddHead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AFA11-F683-4899-9DCA-69CDA0185F41}">
  <sheetPr codeName="Sheet40"/>
  <dimension ref="A1:K21"/>
  <sheetViews>
    <sheetView workbookViewId="0">
      <selection activeCell="A5" sqref="A5:A17"/>
    </sheetView>
  </sheetViews>
  <sheetFormatPr defaultColWidth="8.81640625" defaultRowHeight="14.4" x14ac:dyDescent="0.3"/>
  <cols>
    <col min="1" max="1" width="19.1796875" style="1227" customWidth="1"/>
    <col min="2" max="2" width="18.54296875" style="1227" customWidth="1"/>
    <col min="3" max="3" width="0" style="1227" hidden="1" customWidth="1"/>
    <col min="4" max="4" width="20.08984375" style="1227" customWidth="1"/>
    <col min="5" max="7" width="15.453125" style="1227" customWidth="1"/>
    <col min="8" max="16384" width="8.81640625" style="1227"/>
  </cols>
  <sheetData>
    <row r="1" spans="1:11" s="1226" customFormat="1" ht="44.4" customHeight="1" x14ac:dyDescent="0.25">
      <c r="A1" s="1239" t="s">
        <v>4805</v>
      </c>
      <c r="B1" s="1239"/>
    </row>
    <row r="2" spans="1:11" ht="15.6" x14ac:dyDescent="0.3">
      <c r="A2" s="1857" t="s">
        <v>4796</v>
      </c>
      <c r="B2" s="1860" t="s">
        <v>4797</v>
      </c>
      <c r="C2" s="1860"/>
      <c r="D2" s="1860"/>
      <c r="E2" s="1860"/>
      <c r="F2" s="1860"/>
      <c r="G2" s="1860"/>
      <c r="I2" s="1240"/>
      <c r="J2" s="1240"/>
      <c r="K2" s="1241"/>
    </row>
    <row r="3" spans="1:11" ht="15.6" x14ac:dyDescent="0.3">
      <c r="A3" s="1858"/>
      <c r="B3" s="1229" t="s">
        <v>1225</v>
      </c>
      <c r="D3" s="1231" t="s">
        <v>4798</v>
      </c>
      <c r="E3" s="1231" t="s">
        <v>4806</v>
      </c>
      <c r="F3" s="1231" t="s">
        <v>1222</v>
      </c>
      <c r="G3" s="1242" t="s">
        <v>1221</v>
      </c>
      <c r="I3" s="1241"/>
      <c r="J3" s="1241"/>
      <c r="K3" s="1241"/>
    </row>
    <row r="4" spans="1:11" ht="15.6" x14ac:dyDescent="0.3">
      <c r="A4" s="1859"/>
      <c r="B4" s="1243" t="s">
        <v>4801</v>
      </c>
      <c r="D4" s="1244" t="s">
        <v>4802</v>
      </c>
      <c r="E4" s="1228" t="s">
        <v>4803</v>
      </c>
      <c r="F4" s="1245" t="s">
        <v>4803</v>
      </c>
      <c r="G4" s="1228" t="s">
        <v>4807</v>
      </c>
      <c r="I4" s="1241"/>
      <c r="J4" s="1241"/>
      <c r="K4" s="1241"/>
    </row>
    <row r="5" spans="1:11" ht="15.6" x14ac:dyDescent="0.3">
      <c r="A5" s="1232" t="s">
        <v>1207</v>
      </c>
      <c r="B5" s="1246">
        <v>584</v>
      </c>
      <c r="C5" s="1247">
        <v>1.972311E-3</v>
      </c>
      <c r="D5" s="1248">
        <f>C5*1000000</f>
        <v>1972.3109999999999</v>
      </c>
      <c r="E5" s="1248">
        <v>2760</v>
      </c>
      <c r="F5" s="1248">
        <v>1550</v>
      </c>
      <c r="G5" s="1249">
        <v>360</v>
      </c>
      <c r="I5" s="1241"/>
      <c r="J5" s="1241"/>
      <c r="K5" s="1241"/>
    </row>
    <row r="6" spans="1:11" ht="15.6" x14ac:dyDescent="0.3">
      <c r="A6" s="1232" t="s">
        <v>1206</v>
      </c>
      <c r="B6" s="1246">
        <v>16.399999999999999</v>
      </c>
      <c r="C6" s="1247">
        <v>1.9763110000000001E-3</v>
      </c>
      <c r="D6" s="1248">
        <f t="shared" ref="D6:D17" si="0">C6*1000000</f>
        <v>1976.3110000000001</v>
      </c>
      <c r="E6" s="1248">
        <v>2760</v>
      </c>
      <c r="F6" s="1248">
        <v>1550</v>
      </c>
      <c r="G6" s="1249">
        <v>360</v>
      </c>
      <c r="I6" s="1240"/>
      <c r="J6" s="1240"/>
      <c r="K6" s="1241"/>
    </row>
    <row r="7" spans="1:11" ht="15.6" x14ac:dyDescent="0.3">
      <c r="A7" s="1232" t="s">
        <v>1209</v>
      </c>
      <c r="B7" s="1246">
        <v>1.54</v>
      </c>
      <c r="C7" s="1247">
        <v>1.9253110000000001E-3</v>
      </c>
      <c r="D7" s="1248">
        <f t="shared" si="0"/>
        <v>1925.3110000000001</v>
      </c>
      <c r="E7" s="1248">
        <v>2760</v>
      </c>
      <c r="F7" s="1248">
        <v>1550</v>
      </c>
      <c r="G7" s="1249">
        <v>360</v>
      </c>
      <c r="I7" s="1241"/>
      <c r="J7" s="1241"/>
      <c r="K7" s="1241"/>
    </row>
    <row r="8" spans="1:11" ht="15.6" x14ac:dyDescent="0.3">
      <c r="A8" s="1237" t="s">
        <v>1212</v>
      </c>
      <c r="B8" s="1246">
        <v>306</v>
      </c>
      <c r="C8" s="1247">
        <v>1.929311E-3</v>
      </c>
      <c r="D8" s="1248">
        <f t="shared" si="0"/>
        <v>1929.3109999999999</v>
      </c>
      <c r="E8" s="1248">
        <v>2760</v>
      </c>
      <c r="F8" s="1248">
        <v>1550</v>
      </c>
      <c r="G8" s="1249">
        <v>360</v>
      </c>
      <c r="I8" s="1241"/>
      <c r="J8" s="1241"/>
      <c r="K8" s="1241"/>
    </row>
    <row r="9" spans="1:11" ht="15.6" x14ac:dyDescent="0.3">
      <c r="A9" s="1238" t="s">
        <v>1218</v>
      </c>
      <c r="B9" s="1250">
        <v>23</v>
      </c>
      <c r="C9" s="1247">
        <v>1.929311E-3</v>
      </c>
      <c r="D9" s="1248">
        <f t="shared" si="0"/>
        <v>1929.3109999999999</v>
      </c>
      <c r="E9" s="1248">
        <v>2760</v>
      </c>
      <c r="F9" s="1248">
        <v>1550</v>
      </c>
      <c r="G9" s="1249">
        <v>360</v>
      </c>
      <c r="I9" s="1240"/>
      <c r="J9" s="1240"/>
      <c r="K9" s="1241"/>
    </row>
    <row r="10" spans="1:11" ht="15.6" x14ac:dyDescent="0.3">
      <c r="A10" s="1251" t="s">
        <v>1203</v>
      </c>
      <c r="B10" s="1246">
        <v>180</v>
      </c>
      <c r="C10" s="1247">
        <v>1.9763110000000001E-3</v>
      </c>
      <c r="D10" s="1248">
        <f t="shared" si="0"/>
        <v>1976.3110000000001</v>
      </c>
      <c r="E10" s="1248">
        <v>2760</v>
      </c>
      <c r="F10" s="1248">
        <v>1550</v>
      </c>
      <c r="G10" s="1249">
        <v>360</v>
      </c>
      <c r="I10" s="1241"/>
      <c r="J10" s="1241"/>
      <c r="K10" s="1241"/>
    </row>
    <row r="11" spans="1:11" x14ac:dyDescent="0.3">
      <c r="A11" s="1232" t="s">
        <v>1214</v>
      </c>
      <c r="B11" s="1246">
        <v>718</v>
      </c>
      <c r="C11" s="1247">
        <v>1.929311E-3</v>
      </c>
      <c r="D11" s="1248">
        <f t="shared" si="0"/>
        <v>1929.3109999999999</v>
      </c>
      <c r="E11" s="1248">
        <v>2760</v>
      </c>
      <c r="F11" s="1248">
        <v>1550</v>
      </c>
      <c r="G11" s="1249">
        <v>360</v>
      </c>
    </row>
    <row r="12" spans="1:11" x14ac:dyDescent="0.3">
      <c r="A12" s="1232" t="s">
        <v>1202</v>
      </c>
      <c r="B12" s="1246">
        <v>842</v>
      </c>
      <c r="C12" s="1247">
        <v>1.9763110000000001E-3</v>
      </c>
      <c r="D12" s="1248">
        <f t="shared" si="0"/>
        <v>1976.3110000000001</v>
      </c>
      <c r="E12" s="1248">
        <v>2760</v>
      </c>
      <c r="F12" s="1248">
        <v>1550</v>
      </c>
      <c r="G12" s="1249">
        <v>360</v>
      </c>
    </row>
    <row r="13" spans="1:11" x14ac:dyDescent="0.3">
      <c r="A13" s="1232" t="s">
        <v>1110</v>
      </c>
      <c r="B13" s="1246">
        <v>33.200000000000003</v>
      </c>
      <c r="C13" s="1247">
        <v>1.931311E-3</v>
      </c>
      <c r="D13" s="1248">
        <f t="shared" si="0"/>
        <v>1931.3109999999999</v>
      </c>
      <c r="E13" s="1248">
        <v>2760</v>
      </c>
      <c r="F13" s="1248">
        <v>1550</v>
      </c>
      <c r="G13" s="1249">
        <v>360</v>
      </c>
    </row>
    <row r="14" spans="1:11" x14ac:dyDescent="0.3">
      <c r="A14" s="1232" t="s">
        <v>1216</v>
      </c>
      <c r="B14" s="1246">
        <v>306</v>
      </c>
      <c r="C14" s="1247">
        <v>1.929311E-3</v>
      </c>
      <c r="D14" s="1248">
        <f t="shared" si="0"/>
        <v>1929.3109999999999</v>
      </c>
      <c r="E14" s="1248">
        <v>2760</v>
      </c>
      <c r="F14" s="1248">
        <v>1550</v>
      </c>
      <c r="G14" s="1249">
        <v>360</v>
      </c>
    </row>
    <row r="15" spans="1:11" x14ac:dyDescent="0.3">
      <c r="A15" s="1232" t="s">
        <v>1210</v>
      </c>
      <c r="B15" s="1246">
        <v>1.7799999999999998</v>
      </c>
      <c r="C15" s="1247">
        <v>1.936311E-3</v>
      </c>
      <c r="D15" s="1248">
        <f t="shared" si="0"/>
        <v>1936.3109999999999</v>
      </c>
      <c r="E15" s="1248">
        <v>2760</v>
      </c>
      <c r="F15" s="1248">
        <v>1550</v>
      </c>
      <c r="G15" s="1249">
        <v>360</v>
      </c>
    </row>
    <row r="16" spans="1:11" x14ac:dyDescent="0.3">
      <c r="A16" s="1237" t="s">
        <v>1208</v>
      </c>
      <c r="B16" s="1252">
        <v>692</v>
      </c>
      <c r="C16" s="1247">
        <v>1.9303110000000001E-3</v>
      </c>
      <c r="D16" s="1248">
        <f t="shared" si="0"/>
        <v>1930.3110000000001</v>
      </c>
      <c r="E16" s="1248">
        <v>2760</v>
      </c>
      <c r="F16" s="1248">
        <v>1550</v>
      </c>
      <c r="G16" s="1249">
        <v>360</v>
      </c>
    </row>
    <row r="17" spans="1:7" x14ac:dyDescent="0.3">
      <c r="A17" s="1238" t="s">
        <v>1205</v>
      </c>
      <c r="B17" s="1253">
        <v>92</v>
      </c>
      <c r="C17" s="1247">
        <v>1.9763110000000001E-3</v>
      </c>
      <c r="D17" s="1248">
        <f t="shared" si="0"/>
        <v>1976.3110000000001</v>
      </c>
      <c r="E17" s="1248">
        <v>2760</v>
      </c>
      <c r="F17" s="1248">
        <v>1550</v>
      </c>
      <c r="G17" s="1249">
        <v>360</v>
      </c>
    </row>
    <row r="18" spans="1:7" x14ac:dyDescent="0.3">
      <c r="D18" s="1254"/>
      <c r="E18" s="1254"/>
    </row>
    <row r="20" spans="1:7" ht="15.6" x14ac:dyDescent="0.3">
      <c r="B20" s="706" t="s">
        <v>4899</v>
      </c>
    </row>
    <row r="21" spans="1:7" ht="15.6" x14ac:dyDescent="0.3">
      <c r="B21" s="706" t="s">
        <v>4900</v>
      </c>
    </row>
  </sheetData>
  <sheetProtection algorithmName="SHA-512" hashValue="1HSyYiOp2F82asaZBtJ7SITUP+/hUp/tKaDEBTkPAyN1sYB0KsJ9NY/N1mymol1YRpWUlizp5pg16dZVcbtmTw==" saltValue="dS3PQ0lCz0+OVXxJCZDvdg==" spinCount="100000" sheet="1" objects="1" scenarios="1"/>
  <mergeCells count="2">
    <mergeCell ref="A2:A4"/>
    <mergeCell ref="B2:G2"/>
  </mergeCells>
  <pageMargins left="0.7" right="0.7" top="0.75" bottom="0.75" header="0.3" footer="0.3"/>
  <pageSetup orientation="portrait" r:id="rId1"/>
  <headerFooter>
    <oddHeader>&amp;R&amp;"Aptos"&amp;12&amp;K000000 UNCLASSIFIED - NON CLASSIFIÉ&amp;1#_x000D_</oddHeader>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BB16C-6DEB-4BB4-A8F9-62615E3489C7}">
  <sheetPr codeName="Sheet42"/>
  <dimension ref="A1:K1326"/>
  <sheetViews>
    <sheetView zoomScaleNormal="100" workbookViewId="0">
      <selection activeCell="B52" sqref="B52"/>
    </sheetView>
  </sheetViews>
  <sheetFormatPr defaultColWidth="8.90625" defaultRowHeight="15" x14ac:dyDescent="0.25"/>
  <cols>
    <col min="1" max="1" width="17.90625" style="499" bestFit="1" customWidth="1"/>
    <col min="2" max="2" width="51.453125" style="499" customWidth="1"/>
    <col min="3" max="3" width="8.90625" style="499"/>
    <col min="4" max="4" width="7.6328125" style="1268" customWidth="1"/>
    <col min="5" max="5" width="8" style="1267" customWidth="1"/>
    <col min="6" max="6" width="8.90625" style="1268"/>
    <col min="7" max="7" width="8.90625" style="1267"/>
    <col min="8" max="8" width="27.453125" style="499" bestFit="1" customWidth="1"/>
    <col min="9" max="9" width="16.1796875" style="499" bestFit="1" customWidth="1"/>
    <col min="10" max="10" width="16.1796875" style="499" customWidth="1"/>
    <col min="11" max="16384" width="8.90625" style="499"/>
  </cols>
  <sheetData>
    <row r="1" spans="1:11" x14ac:dyDescent="0.25">
      <c r="A1" s="1255" t="s">
        <v>3377</v>
      </c>
      <c r="D1" s="1256"/>
      <c r="E1" s="1257"/>
      <c r="F1" s="1256"/>
      <c r="G1" s="1257"/>
    </row>
    <row r="2" spans="1:11" x14ac:dyDescent="0.25">
      <c r="D2" s="1863" t="s">
        <v>3381</v>
      </c>
      <c r="E2" s="1864"/>
      <c r="F2" s="1865" t="s">
        <v>3382</v>
      </c>
      <c r="G2" s="1866"/>
    </row>
    <row r="3" spans="1:11" ht="15.6" x14ac:dyDescent="0.3">
      <c r="A3" s="1258" t="s">
        <v>3378</v>
      </c>
      <c r="B3" s="1259" t="s">
        <v>6783</v>
      </c>
      <c r="C3" s="1260"/>
      <c r="D3" s="1261" t="s">
        <v>3379</v>
      </c>
      <c r="E3" s="1262" t="s">
        <v>3380</v>
      </c>
      <c r="F3" s="1263" t="s">
        <v>3379</v>
      </c>
      <c r="G3" s="1264" t="s">
        <v>3380</v>
      </c>
      <c r="H3" s="1265" t="s">
        <v>6784</v>
      </c>
      <c r="I3" s="1265"/>
      <c r="J3" s="1265"/>
      <c r="K3" s="706" t="s">
        <v>4899</v>
      </c>
    </row>
    <row r="4" spans="1:11" customFormat="1" ht="15.6" x14ac:dyDescent="0.3">
      <c r="A4" s="499" t="s">
        <v>1022</v>
      </c>
      <c r="B4" s="771" t="str" cm="1">
        <f t="array" ref="B4">INDEX('Master sheet'!$A$1:$A$670,MATCH(1,("0-25" = 'Master sheet'!$AO$1:$AO$670)*(3 = 'Master sheet'!$AP$1:$AP$670)*('Master sheet'!$AT$1:$AT$670),0))</f>
        <v xml:space="preserve">Concrete - 25 MPa, 20% FA, GU / SRMCA / Can. Sask Avg. / </v>
      </c>
      <c r="C4" s="771"/>
      <c r="D4" s="1266"/>
      <c r="E4" s="1267" t="s">
        <v>3386</v>
      </c>
      <c r="F4" s="1268"/>
      <c r="G4" s="1267" t="s">
        <v>3383</v>
      </c>
      <c r="H4" s="499"/>
      <c r="K4" s="706" t="s">
        <v>4900</v>
      </c>
    </row>
    <row r="5" spans="1:11" customFormat="1" x14ac:dyDescent="0.25">
      <c r="A5" s="499" t="s">
        <v>1022</v>
      </c>
      <c r="B5" s="771" t="str" cm="1">
        <f t="array" ref="B5">INDEX('Master sheet'!$A$1:$A$670,MATCH(1,("0-25" = 'Master sheet'!$AO$1:$AO$670)*(4 = 'Master sheet'!$AP$1:$AP$670)*('Master sheet'!$AT$1:$AT$670),0))</f>
        <v xml:space="preserve">Concrete - 25 MPa, 30% FA, GU / SRMCA / Can. Sask Avg. / </v>
      </c>
      <c r="D5" s="1269"/>
      <c r="E5" s="1267" t="s">
        <v>3386</v>
      </c>
      <c r="F5" s="1268"/>
      <c r="G5" s="1267" t="s">
        <v>3383</v>
      </c>
      <c r="H5" s="499"/>
    </row>
    <row r="6" spans="1:11" x14ac:dyDescent="0.25">
      <c r="A6" s="499" t="s">
        <v>1022</v>
      </c>
      <c r="B6" s="499" t="str" cm="1">
        <f t="array" ref="B6">INDEX('Master sheet'!$A$1:$A$670,MATCH(1,("26-30" = 'Master sheet'!$AO$1:$AO$670)*(3 = 'Master sheet'!$AP$1:$AP$670)*('Master sheet'!$AT$1:$AT$670),0))</f>
        <v xml:space="preserve">Concrete - 30 MPa, 20% FA, GU / SRMCA / Can. Sask Avg. / </v>
      </c>
      <c r="E6" s="1267" t="s">
        <v>3386</v>
      </c>
      <c r="G6" s="1267" t="s">
        <v>3383</v>
      </c>
      <c r="I6"/>
      <c r="J6"/>
    </row>
    <row r="7" spans="1:11" x14ac:dyDescent="0.25">
      <c r="A7" s="499" t="s">
        <v>1022</v>
      </c>
      <c r="B7" s="499" t="str" cm="1">
        <f t="array" ref="B7">INDEX('Master sheet'!$A$1:$A$670,MATCH(1,("26-30" = 'Master sheet'!$AO$1:$AO$670)*(4 = 'Master sheet'!$AP$1:$AP$670)*('Master sheet'!$AT$1:$AT$670),0))</f>
        <v xml:space="preserve">Concrete - 30 MPa, 30% FA, GU / SRMCA / Can. Sask Avg. / </v>
      </c>
      <c r="E7" s="1267" t="s">
        <v>3386</v>
      </c>
      <c r="G7" s="1267" t="s">
        <v>3383</v>
      </c>
      <c r="I7"/>
      <c r="J7"/>
    </row>
    <row r="8" spans="1:11" x14ac:dyDescent="0.25">
      <c r="A8" s="499" t="s">
        <v>1022</v>
      </c>
      <c r="B8" s="499" t="str" cm="1">
        <f t="array" ref="B8">INDEX('Master sheet'!$A$1:$A$670,MATCH(1,("31-35" = 'Master sheet'!$AO$1:$AO$670)*(3 = 'Master sheet'!$AP$1:$AP$670)*('Master sheet'!$AT$1:$AT$670),0))</f>
        <v xml:space="preserve">Concrete - 35 MPa, 20% FA, GU / SRMCA / Can. Sask Avg. / </v>
      </c>
      <c r="E8" s="1267" t="s">
        <v>3386</v>
      </c>
      <c r="G8" s="1267" t="s">
        <v>3383</v>
      </c>
      <c r="I8"/>
      <c r="J8"/>
    </row>
    <row r="9" spans="1:11" x14ac:dyDescent="0.25">
      <c r="A9" s="499" t="s">
        <v>1022</v>
      </c>
      <c r="B9" s="499" t="str" cm="1">
        <f t="array" ref="B9">INDEX('Master sheet'!$A$1:$A$670,MATCH(1,("31-35" = 'Master sheet'!$AO$1:$AO$670)*(4 = 'Master sheet'!$AP$1:$AP$670)*('Master sheet'!$AT$1:$AT$670),0))</f>
        <v xml:space="preserve">Concrete - 35 MPa, 30% FA, GU / SRMCA / Can. Sask Avg. / </v>
      </c>
      <c r="E9" s="1267" t="s">
        <v>3386</v>
      </c>
      <c r="G9" s="1267" t="s">
        <v>3383</v>
      </c>
      <c r="I9"/>
      <c r="J9"/>
    </row>
    <row r="10" spans="1:11" x14ac:dyDescent="0.25">
      <c r="A10" s="499" t="s">
        <v>1022</v>
      </c>
      <c r="B10" s="499" t="str" cm="1">
        <f t="array" ref="B10">INDEX('Master sheet'!$A$1:$A$670,MATCH(1,("0-25" = 'Master sheet'!$AO$1:$AO$670)*(1 = 'Master sheet'!$AP$1:$AP$670)*('Master sheet'!$AT$1:$AT$670),0))</f>
        <v xml:space="preserve">Concrete - 25 MPa, GU / SRMCA / Can. Sask Avg. / </v>
      </c>
      <c r="E10" s="1267" t="s">
        <v>3383</v>
      </c>
      <c r="G10" s="1267" t="s">
        <v>3383</v>
      </c>
      <c r="I10"/>
      <c r="J10"/>
    </row>
    <row r="11" spans="1:11" x14ac:dyDescent="0.25">
      <c r="A11" s="499" t="s">
        <v>1022</v>
      </c>
      <c r="B11" s="499" t="str" cm="1">
        <f t="array" ref="B11">INDEX('Master sheet'!$A$1:$A$670,MATCH(1,("26-30" = 'Master sheet'!$AO$1:$AO$670)*(1 = 'Master sheet'!$AP$1:$AP$670)*('Master sheet'!$AT$1:$AT$670),0))</f>
        <v xml:space="preserve">Concrete - 30 MPa, GU / SRMCA / Can. Sask Avg. / </v>
      </c>
      <c r="E11" s="1267" t="s">
        <v>3383</v>
      </c>
      <c r="G11" s="1267" t="s">
        <v>3383</v>
      </c>
      <c r="I11"/>
      <c r="J11"/>
    </row>
    <row r="12" spans="1:11" x14ac:dyDescent="0.25">
      <c r="A12" s="499" t="s">
        <v>1022</v>
      </c>
      <c r="B12" s="499" t="str" cm="1">
        <f t="array" ref="B12">INDEX('Master sheet'!$A$1:$A$670,MATCH(1,("31-35" = 'Master sheet'!$AO$1:$AO$670)*(1 = 'Master sheet'!$AP$1:$AP$670)*('Master sheet'!$AT$1:$AT$670),0))</f>
        <v xml:space="preserve">Concrete - 35 MPa, GU / SRMCA / Can. Sask Avg. / </v>
      </c>
      <c r="E12" s="1267" t="s">
        <v>3383</v>
      </c>
      <c r="G12" s="1267" t="s">
        <v>3383</v>
      </c>
      <c r="I12"/>
      <c r="J12"/>
    </row>
    <row r="13" spans="1:11" x14ac:dyDescent="0.25">
      <c r="A13" s="499" t="s">
        <v>1022</v>
      </c>
      <c r="B13" s="499" t="str">
        <f>INDEX('Master sheet'!$A$1:$A$670,MATCH(381,'Master sheet'!$AN$1:$AN$670,0))</f>
        <v>Linoleum flooring / Mannington / Legato Flooring / liquid applied</v>
      </c>
      <c r="E13" s="1267" t="s">
        <v>3383</v>
      </c>
      <c r="G13" s="1267" t="s">
        <v>3383</v>
      </c>
      <c r="H13" s="499" t="s">
        <v>7294</v>
      </c>
      <c r="I13"/>
      <c r="J13"/>
    </row>
    <row r="14" spans="1:11" x14ac:dyDescent="0.25">
      <c r="A14" s="499" t="s">
        <v>1022</v>
      </c>
      <c r="B14" s="499" t="str">
        <f>INDEX('Master sheet'!$A$1:$A$670,MATCH(372,'Master sheet'!$AN$1:$AN$670,0))</f>
        <v xml:space="preserve">Vinyl flooring / Shaw - Patcraft / Luxury Vinyl Tile / 2 - 5 mm </v>
      </c>
      <c r="E14" s="1267" t="s">
        <v>3386</v>
      </c>
      <c r="G14" s="1267" t="s">
        <v>3383</v>
      </c>
      <c r="I14"/>
      <c r="J14"/>
    </row>
    <row r="15" spans="1:11" x14ac:dyDescent="0.25">
      <c r="A15" s="499" t="s">
        <v>1022</v>
      </c>
      <c r="B15" s="499" t="str">
        <f>INDEX('Master sheet'!$A$1:$A$670,MATCH(390,'Master sheet'!$AN$1:$AN$670,0))</f>
        <v>Rebar / Nucor Corporation / Canadian sizes / 10M</v>
      </c>
      <c r="E15" s="1267" t="s">
        <v>3386</v>
      </c>
      <c r="G15" s="1267" t="s">
        <v>3383</v>
      </c>
      <c r="I15"/>
      <c r="J15"/>
    </row>
    <row r="16" spans="1:11" x14ac:dyDescent="0.25">
      <c r="A16" s="499" t="s">
        <v>1022</v>
      </c>
      <c r="B16" s="499" t="str">
        <f>INDEX('Master sheet'!$A$1:$A$670,MATCH(391,'Master sheet'!$AN$1:$AN$670,0))</f>
        <v>Rebar / Nucor Corporation / Canadian sizes / 15M</v>
      </c>
      <c r="E16" s="1267" t="s">
        <v>3386</v>
      </c>
      <c r="G16" s="1267" t="s">
        <v>3383</v>
      </c>
      <c r="I16"/>
      <c r="J16"/>
    </row>
    <row r="17" spans="1:10" x14ac:dyDescent="0.25">
      <c r="A17" s="499" t="s">
        <v>1022</v>
      </c>
      <c r="B17" s="499" t="str">
        <f>INDEX('Master sheet'!$A$1:$A$670,MATCH(392,'Master sheet'!$AN$1:$AN$670,0))</f>
        <v>Rebar / Nucor Corporation / Canadian sizes / 20M</v>
      </c>
      <c r="E17" s="1267" t="s">
        <v>3386</v>
      </c>
      <c r="G17" s="1267" t="s">
        <v>3383</v>
      </c>
      <c r="I17"/>
      <c r="J17"/>
    </row>
    <row r="18" spans="1:10" x14ac:dyDescent="0.25">
      <c r="A18" s="499" t="s">
        <v>1022</v>
      </c>
      <c r="B18" s="499" t="str">
        <f>INDEX('Master sheet'!$A$1:$A$670,MATCH(52,'Master sheet'!$AN$1:$AN$670,0))</f>
        <v>Earthen Floor / Site made /  / 3" cob, 1" clay plaster</v>
      </c>
      <c r="E18" s="1267" t="s">
        <v>3386</v>
      </c>
      <c r="G18" s="1267" t="s">
        <v>3383</v>
      </c>
      <c r="I18"/>
      <c r="J18"/>
    </row>
    <row r="19" spans="1:10" x14ac:dyDescent="0.25">
      <c r="A19" s="499" t="s">
        <v>1022</v>
      </c>
      <c r="B19" s="499" t="str">
        <f>INDEX('Master sheet'!$A$1:$A$670,MATCH(258,'Master sheet'!$AN$1:$AN$670,0))</f>
        <v>XPS foam board / Owens Corning / Foamular NGX 250  / R 5/inch</v>
      </c>
      <c r="E19" s="1267" t="s">
        <v>3383</v>
      </c>
      <c r="G19" s="1267" t="s">
        <v>3383</v>
      </c>
      <c r="H19" s="499" t="s">
        <v>7294</v>
      </c>
      <c r="I19"/>
      <c r="J19"/>
    </row>
    <row r="20" spans="1:10" x14ac:dyDescent="0.25">
      <c r="A20" s="499" t="s">
        <v>1022</v>
      </c>
      <c r="B20" s="499" t="str">
        <f>INDEX('Master sheet'!$A$1:$A$670,MATCH(25,'Master sheet'!$AN$1:$AN$670,0))</f>
        <v>Carpet /  /  / Average from 150 samples in the EC3 database</v>
      </c>
      <c r="E20" s="1267" t="s">
        <v>3386</v>
      </c>
      <c r="G20" s="1267" t="s">
        <v>3383</v>
      </c>
      <c r="I20"/>
      <c r="J20"/>
    </row>
    <row r="21" spans="1:10" x14ac:dyDescent="0.25">
      <c r="A21" s="499" t="s">
        <v>1096</v>
      </c>
      <c r="B21" s="499" t="str" cm="1">
        <f t="array" ref="B21">INDEX('Master sheet'!$A$1:$A$670,MATCH(1,("26-30" = 'Master sheet'!$AO$1:$AO$670)*(5 = 'Master sheet'!$AP$1:$AP$670)*('Master sheet'!$AT$1:$AT$670),0))</f>
        <v xml:space="preserve">Concrete - 30 MPa, 40% FA, GU / SRMCA / Can. Sask Avg. / </v>
      </c>
      <c r="E21" s="1267" t="s">
        <v>3386</v>
      </c>
      <c r="G21" s="1267" t="s">
        <v>3383</v>
      </c>
      <c r="I21"/>
      <c r="J21"/>
    </row>
    <row r="22" spans="1:10" x14ac:dyDescent="0.25">
      <c r="A22" s="499" t="s">
        <v>1096</v>
      </c>
      <c r="B22" s="499" t="e" cm="1">
        <f t="array" ref="B22">INDEX('Master sheet'!$A$1:$A$670,MATCH(1,("26-30" = 'Master sheet'!$AO$1:$AO$670)*(6 = 'Master sheet'!$AP$1:$AP$670)*('Master sheet'!$AT$1:$AT$670),0))</f>
        <v>#N/A</v>
      </c>
      <c r="E22" s="1267" t="s">
        <v>3386</v>
      </c>
      <c r="G22" s="1267" t="s">
        <v>3383</v>
      </c>
      <c r="I22"/>
      <c r="J22"/>
    </row>
    <row r="23" spans="1:10" x14ac:dyDescent="0.25">
      <c r="A23" s="499" t="s">
        <v>1096</v>
      </c>
      <c r="B23" s="499" t="str" cm="1">
        <f t="array" ref="B23">INDEX('Master sheet'!$A$1:$A$670,MATCH(1,("31-35" = 'Master sheet'!$AO$1:$AO$670)*(5 = 'Master sheet'!$AP$1:$AP$670)*('Master sheet'!$AT$1:$AT$670),0))</f>
        <v xml:space="preserve">Concrete - 35 MPa, 40% FA, GU / SRMCA / Can. Sask Avg. / </v>
      </c>
      <c r="E23" s="1267" t="s">
        <v>3386</v>
      </c>
      <c r="G23" s="1267" t="s">
        <v>3383</v>
      </c>
      <c r="I23"/>
      <c r="J23"/>
    </row>
    <row r="24" spans="1:10" x14ac:dyDescent="0.25">
      <c r="A24" s="499" t="s">
        <v>1096</v>
      </c>
      <c r="B24" s="499" t="e" cm="1">
        <f t="array" ref="B24">INDEX('Master sheet'!$A$1:$A$670,MATCH(1,("31-35" = 'Master sheet'!$AO$1:$AO$670)*(6 = 'Master sheet'!$AP$1:$AP$670)*('Master sheet'!$AT$1:$AT$670),0))</f>
        <v>#N/A</v>
      </c>
      <c r="E24" s="1267" t="s">
        <v>3386</v>
      </c>
      <c r="G24" s="1267" t="s">
        <v>3383</v>
      </c>
      <c r="I24"/>
      <c r="J24"/>
    </row>
    <row r="25" spans="1:10" x14ac:dyDescent="0.25">
      <c r="A25" s="499" t="s">
        <v>1096</v>
      </c>
      <c r="B25" s="499" t="str">
        <f>INDEX('Master sheet'!$A$1:$A$670,MATCH("A103",'Master sheet'!$AN$1:$AN$670,0))</f>
        <v>Polyiso - wall boards / Carlisle  / R2+ Silver  / R 6.3/inch, 20 psi</v>
      </c>
      <c r="E25" s="1267" t="s">
        <v>3386</v>
      </c>
      <c r="G25" s="1267" t="s">
        <v>3383</v>
      </c>
      <c r="I25"/>
      <c r="J25"/>
    </row>
    <row r="26" spans="1:10" x14ac:dyDescent="0.25">
      <c r="A26" s="499" t="s">
        <v>1096</v>
      </c>
      <c r="B26" s="499" t="s">
        <v>1059</v>
      </c>
      <c r="E26" s="1267" t="s">
        <v>3386</v>
      </c>
      <c r="I26"/>
      <c r="J26"/>
    </row>
    <row r="27" spans="1:10" x14ac:dyDescent="0.25">
      <c r="A27" s="499" t="s">
        <v>1096</v>
      </c>
      <c r="B27" s="499" t="s">
        <v>4001</v>
      </c>
      <c r="G27" s="1267" t="s">
        <v>3383</v>
      </c>
      <c r="H27" s="499" t="s">
        <v>6785</v>
      </c>
      <c r="I27"/>
      <c r="J27"/>
    </row>
    <row r="28" spans="1:10" x14ac:dyDescent="0.25">
      <c r="A28" s="499" t="s">
        <v>1096</v>
      </c>
      <c r="B28" s="499" t="s">
        <v>1061</v>
      </c>
      <c r="E28" s="1267" t="s">
        <v>3386</v>
      </c>
      <c r="I28"/>
      <c r="J28"/>
    </row>
    <row r="29" spans="1:10" x14ac:dyDescent="0.25">
      <c r="A29" s="499" t="s">
        <v>1096</v>
      </c>
      <c r="B29" s="499" t="s">
        <v>4002</v>
      </c>
      <c r="G29" s="1267" t="s">
        <v>3383</v>
      </c>
      <c r="H29" s="499" t="s">
        <v>6785</v>
      </c>
      <c r="I29"/>
      <c r="J29"/>
    </row>
    <row r="30" spans="1:10" x14ac:dyDescent="0.25">
      <c r="A30" s="499" t="s">
        <v>1096</v>
      </c>
      <c r="B30" s="499" t="s">
        <v>1062</v>
      </c>
      <c r="E30" s="1267" t="s">
        <v>3386</v>
      </c>
      <c r="I30"/>
      <c r="J30"/>
    </row>
    <row r="31" spans="1:10" x14ac:dyDescent="0.25">
      <c r="A31" s="499" t="s">
        <v>1096</v>
      </c>
      <c r="B31" s="499" t="s">
        <v>4003</v>
      </c>
      <c r="G31" s="1267" t="s">
        <v>3383</v>
      </c>
      <c r="H31" s="499" t="s">
        <v>6785</v>
      </c>
      <c r="I31"/>
      <c r="J31"/>
    </row>
    <row r="32" spans="1:10" x14ac:dyDescent="0.25">
      <c r="A32" s="499" t="s">
        <v>1096</v>
      </c>
      <c r="B32" s="499" t="str">
        <f>INDEX('Master sheet'!$A$1:$A$670,MATCH("A54",'Master sheet'!$AN$1:$AN$670,0))</f>
        <v>Hemp fiber batt / NaturFibre / Hemp Wool / R 3.7/inch</v>
      </c>
      <c r="E32" s="1267" t="s">
        <v>3386</v>
      </c>
      <c r="G32" s="1267" t="s">
        <v>3383</v>
      </c>
      <c r="I32"/>
      <c r="J32"/>
    </row>
    <row r="33" spans="1:10" x14ac:dyDescent="0.25">
      <c r="A33" s="499" t="s">
        <v>1096</v>
      </c>
      <c r="B33" s="499" t="s">
        <v>1063</v>
      </c>
      <c r="E33" s="1267" t="s">
        <v>3386</v>
      </c>
      <c r="I33"/>
      <c r="J33"/>
    </row>
    <row r="34" spans="1:10" x14ac:dyDescent="0.25">
      <c r="A34" s="499" t="s">
        <v>1096</v>
      </c>
      <c r="B34" s="499" t="s">
        <v>4004</v>
      </c>
      <c r="G34" s="1267" t="s">
        <v>3383</v>
      </c>
      <c r="H34" s="499" t="s">
        <v>6785</v>
      </c>
      <c r="I34"/>
      <c r="J34"/>
    </row>
    <row r="35" spans="1:10" x14ac:dyDescent="0.25">
      <c r="A35" s="499" t="s">
        <v>1096</v>
      </c>
      <c r="B35" s="499" t="str">
        <f>INDEX('Master sheet'!$A$1:$A$670,MATCH("A57",'Master sheet'!$AN$1:$AN$670,0))</f>
        <v>Hempcrete / Cast in-situ / IsoHemp / Europe / R 2.1/inch</v>
      </c>
      <c r="E35" s="1267" t="s">
        <v>3386</v>
      </c>
      <c r="G35" s="1267" t="s">
        <v>3383</v>
      </c>
      <c r="I35"/>
      <c r="J35"/>
    </row>
    <row r="36" spans="1:10" x14ac:dyDescent="0.25">
      <c r="A36" s="499" t="s">
        <v>1096</v>
      </c>
      <c r="B36" s="499" t="str">
        <f>INDEX('Master sheet'!$A$1:$A$670,MATCH(146,'Master sheet'!$AN$1:$AN$670,0))</f>
        <v>MgO board 1/2" / North American MgO / MagTech Ultra / 1/2"</v>
      </c>
      <c r="E36" s="1267" t="s">
        <v>3386</v>
      </c>
      <c r="G36" s="1267" t="s">
        <v>3383</v>
      </c>
      <c r="I36"/>
      <c r="J36"/>
    </row>
    <row r="37" spans="1:10" x14ac:dyDescent="0.25">
      <c r="A37" s="499" t="s">
        <v>1096</v>
      </c>
      <c r="B37" s="499" t="str">
        <f>INDEX('Master sheet'!$A$1:$A$670,MATCH(410,'Master sheet'!$AN$1:$AN$670,0))</f>
        <v xml:space="preserve">Spray polyurethane foam - Closed Cell (HFO) / Huntsman Building Solutions / Heatlok HFO &amp; Heatlok Soya HFO / </v>
      </c>
      <c r="E37" s="1267" t="s">
        <v>3383</v>
      </c>
      <c r="G37" s="1267" t="s">
        <v>3385</v>
      </c>
      <c r="I37"/>
      <c r="J37"/>
    </row>
    <row r="38" spans="1:10" x14ac:dyDescent="0.25">
      <c r="A38" s="499" t="s">
        <v>1096</v>
      </c>
      <c r="B38" s="499" t="str">
        <f>INDEX('Master sheet'!$A$1:$A$670,MATCH("A40",'Master sheet'!$AN$1:$AN$670,0))</f>
        <v>Fiberglass loose fill / NAIMA  / Includes : CertainTeed, Inc. Saint-Gobin, Johns Manville, Knauf Insulation North America, Owens Corning / R 2.2/inch</v>
      </c>
      <c r="E38" s="1267" t="s">
        <v>3385</v>
      </c>
      <c r="G38" s="1267" t="s">
        <v>3385</v>
      </c>
      <c r="H38" s="499" t="s">
        <v>7294</v>
      </c>
      <c r="I38"/>
      <c r="J38"/>
    </row>
    <row r="39" spans="1:10" x14ac:dyDescent="0.25">
      <c r="A39" s="499" t="s">
        <v>1096</v>
      </c>
      <c r="B39" s="499" t="str">
        <f>INDEX('Master sheet'!$A$1:$A$670,MATCH(259,'Master sheet'!$AN$1:$AN$670,0))</f>
        <v>EPS FOAM ICF R-23, 2 Sheets of 2.75" @ R4/in., 15M rebar (6" CONCRETE CORE must be added separately)</v>
      </c>
      <c r="E39" s="1267" t="s">
        <v>3383</v>
      </c>
      <c r="G39" s="1267" t="s">
        <v>3385</v>
      </c>
      <c r="I39"/>
      <c r="J39"/>
    </row>
    <row r="40" spans="1:10" x14ac:dyDescent="0.25">
      <c r="A40" s="499" t="s">
        <v>1096</v>
      </c>
      <c r="B40" s="499" t="str">
        <f>INDEX('Master sheet'!$A$1:$A$670,MATCH(264,'Master sheet'!$AN$1:$AN$670,0))</f>
        <v>WOOD CHIP CEMENT ICF 12" R-22 with MINERAL WOOL INSERTS, (3 in. @ R4.2/in.), 15M REBAR</v>
      </c>
      <c r="E40" s="1267" t="s">
        <v>3383</v>
      </c>
      <c r="G40" s="1267" t="s">
        <v>3385</v>
      </c>
      <c r="I40"/>
      <c r="J40"/>
    </row>
    <row r="41" spans="1:10" x14ac:dyDescent="0.25">
      <c r="A41" s="499" t="s">
        <v>1096</v>
      </c>
      <c r="B41" s="499" t="str">
        <f>INDEX('Master sheet'!$A$1:$A$670,MATCH(265,'Master sheet'!$AN$1:$AN$670,0))</f>
        <v>WOOD CHIP CEMENT ICF 14" R-28 with MINERAL WOOL INSERTS (5 in. @ R4.2/in.), 15M REBAR</v>
      </c>
      <c r="E41" s="1267" t="s">
        <v>3383</v>
      </c>
      <c r="G41" s="1267" t="s">
        <v>3385</v>
      </c>
      <c r="I41"/>
      <c r="J41"/>
    </row>
    <row r="42" spans="1:10" x14ac:dyDescent="0.25">
      <c r="A42" s="499" t="s">
        <v>1096</v>
      </c>
      <c r="B42" s="499" t="str">
        <f>INDEX('Master sheet'!$A$1:$A$670,MATCH(266,'Master sheet'!$AN$1:$AN$670,0))</f>
        <v>WOOD CHIP CEMENT ICF 12" R-21 with CORK BOARD INSERTS (3 in. @ R4/in.), 15M REBAR</v>
      </c>
      <c r="E42" s="1267" t="s">
        <v>3383</v>
      </c>
      <c r="G42" s="1267" t="s">
        <v>3385</v>
      </c>
      <c r="I42"/>
      <c r="J42"/>
    </row>
    <row r="43" spans="1:10" x14ac:dyDescent="0.25">
      <c r="A43" s="499" t="s">
        <v>1096</v>
      </c>
      <c r="B43" s="499" t="str">
        <f>INDEX('Master sheet'!$A$1:$A$670,MATCH(267,'Master sheet'!$AN$1:$AN$670,0))</f>
        <v>WOOD CHIP CEMENT ICF 14" R-27 with CORK BOARD INSERTS (5 in. @ R4/in.), 15M REBAR</v>
      </c>
      <c r="E43" s="1267" t="s">
        <v>3383</v>
      </c>
      <c r="G43" s="1267" t="s">
        <v>3385</v>
      </c>
      <c r="I43"/>
      <c r="J43"/>
    </row>
    <row r="44" spans="1:10" x14ac:dyDescent="0.25">
      <c r="A44" s="499" t="s">
        <v>1096</v>
      </c>
      <c r="B44" s="499" t="str">
        <f>INDEX('Master sheet'!$A$1:$A$670,MATCH(205,'Master sheet'!$AN$1:$AN$670,0))</f>
        <v>Steel studs - Non-loadbearing / ClarkDietrich /  / 362-S-125-18, 20EQ gauge, "2x4"</v>
      </c>
      <c r="E44" s="1267" t="s">
        <v>3387</v>
      </c>
      <c r="G44" s="1267" t="s">
        <v>7574</v>
      </c>
      <c r="I44"/>
      <c r="J44"/>
    </row>
    <row r="45" spans="1:10" x14ac:dyDescent="0.25">
      <c r="A45" s="499" t="s">
        <v>1094</v>
      </c>
      <c r="B45" s="499" t="str">
        <f>INDEX('Master sheet'!$A$1:$A$670,MATCH("A200",'Master sheet'!$AN$1:$AN$670,0))</f>
        <v>Mineral wool board / Rockwool / Comfortboard 80 / R 4.2-inch</v>
      </c>
      <c r="E45" s="1267" t="s">
        <v>3386</v>
      </c>
      <c r="G45" s="1267" t="s">
        <v>3383</v>
      </c>
      <c r="I45"/>
      <c r="J45"/>
    </row>
    <row r="46" spans="1:10" x14ac:dyDescent="0.25">
      <c r="A46" s="499" t="s">
        <v>1094</v>
      </c>
      <c r="B46" s="499" t="str">
        <f>INDEX('Master sheet'!$A$1:$A$670,MATCH("A199",'Master sheet'!$AN$1:$AN$670,0))</f>
        <v>Mineral wool board / Rockwool / Comfortboard 110 / R 4.0-inch</v>
      </c>
      <c r="E46" s="1267" t="s">
        <v>3386</v>
      </c>
      <c r="G46" s="1267" t="s">
        <v>3383</v>
      </c>
      <c r="I46"/>
      <c r="J46"/>
    </row>
    <row r="47" spans="1:10" x14ac:dyDescent="0.25">
      <c r="A47" s="499" t="s">
        <v>1094</v>
      </c>
      <c r="B47" s="499" t="str">
        <f>INDEX('Master sheet'!$A$1:$A$670,MATCH(116,'Master sheet'!$AN$1:$AN$670,0))</f>
        <v>Gypsum panels - glass mat / USG / Securock ExoAir 430 / 1/2"</v>
      </c>
      <c r="E47" s="1267" t="s">
        <v>3386</v>
      </c>
      <c r="G47" s="1267" t="s">
        <v>3383</v>
      </c>
      <c r="I47"/>
      <c r="J47"/>
    </row>
    <row r="48" spans="1:10" x14ac:dyDescent="0.25">
      <c r="A48" s="499" t="s">
        <v>1094</v>
      </c>
      <c r="B48" s="499" t="str">
        <f>INDEX('Master sheet'!$A$1:$A$670,MATCH("A127",'Master sheet'!$AN$1:$AN$670,0))</f>
        <v xml:space="preserve">Wood fiber board / Steico / STEICOprotect M dry, STEICOroof dry, STEICOspecial dry, STEICOtop / R 3.6-inch, 140 kg/m3 </v>
      </c>
      <c r="E48" s="1267" t="s">
        <v>3383</v>
      </c>
      <c r="G48" s="1267" t="s">
        <v>3385</v>
      </c>
      <c r="I48"/>
      <c r="J48"/>
    </row>
    <row r="49" spans="1:10" x14ac:dyDescent="0.25">
      <c r="A49" s="499" t="s">
        <v>1094</v>
      </c>
      <c r="B49" s="499" t="str">
        <f>INDEX('Master sheet'!$A$1:$A$670,MATCH("A195",'Master sheet'!$AN$1:$AN$670,0))</f>
        <v>Mineral wool batt / Rockwool / ComfortBatt R-23 / R 4.2-inch</v>
      </c>
      <c r="E49" s="1267" t="s">
        <v>3386</v>
      </c>
      <c r="G49" s="1267" t="s">
        <v>3383</v>
      </c>
      <c r="I49"/>
      <c r="J49"/>
    </row>
    <row r="50" spans="1:10" x14ac:dyDescent="0.25">
      <c r="A50" s="499" t="s">
        <v>1094</v>
      </c>
      <c r="B50" s="499" t="str">
        <f>INDEX('Master sheet'!$A$1:$A$670,MATCH(243,'Master sheet'!$AN$1:$AN$670,0))</f>
        <v>Wood fiber board / GUTEX / Multi-Therm / R 3.6/inch, 40-200 mm</v>
      </c>
      <c r="E50" s="1267" t="s">
        <v>3386</v>
      </c>
      <c r="G50" s="1267" t="s">
        <v>3383</v>
      </c>
      <c r="I50"/>
      <c r="J50"/>
    </row>
    <row r="51" spans="1:10" x14ac:dyDescent="0.25">
      <c r="A51" s="499" t="s">
        <v>1094</v>
      </c>
      <c r="B51" s="499" t="str">
        <f>INDEX('Master sheet'!$A$1:$A$670,MATCH("154-1",'Master sheet'!$AN$1:$AN$670,0))</f>
        <v>OSB sheathing / Canadian Wood Council -Eastern /  / 1/2"</v>
      </c>
      <c r="E51" s="1267" t="s">
        <v>3386</v>
      </c>
      <c r="G51" s="1267" t="s">
        <v>3383</v>
      </c>
      <c r="I51"/>
      <c r="J51"/>
    </row>
    <row r="52" spans="1:10" x14ac:dyDescent="0.25">
      <c r="A52" s="499" t="s">
        <v>1094</v>
      </c>
      <c r="B52" s="499" t="str">
        <f>INDEX('Master sheet'!$A$1:$A$670,MATCH("155-1",'Master sheet'!$AN$1:$AN$670,0))</f>
        <v>OSB sheathing / Canadian Wood Council -Eastern /  / 5/8"</v>
      </c>
      <c r="E52" s="1267" t="s">
        <v>3386</v>
      </c>
      <c r="G52" s="1267" t="s">
        <v>3383</v>
      </c>
      <c r="I52"/>
      <c r="J52"/>
    </row>
    <row r="53" spans="1:10" x14ac:dyDescent="0.25">
      <c r="A53" s="499" t="s">
        <v>1696</v>
      </c>
      <c r="B53" s="499" t="str">
        <f>INDEX('Master sheet'!$A$1:$A$670,MATCH("A9",'Master sheet'!$AN$1:$AN$670,0))</f>
        <v>Bamboo plywood / Smith &amp; Fong / Plyboo / 1/2" (12.7 mm)</v>
      </c>
      <c r="E53" s="1267" t="s">
        <v>3386</v>
      </c>
      <c r="G53" s="1267" t="s">
        <v>3383</v>
      </c>
      <c r="I53"/>
      <c r="J53"/>
    </row>
    <row r="54" spans="1:10" x14ac:dyDescent="0.25">
      <c r="A54" s="499" t="s">
        <v>1696</v>
      </c>
      <c r="B54" s="499" t="str">
        <f>INDEX('Master sheet'!$A$1:$A$670,MATCH(374,'Master sheet'!$AN$1:$AN$670,0))</f>
        <v>Fiberglass loose fill / Johns Manville / Climate Pro, Attic Protector, JM Spider PLUS (Canada) / R 2.8/inch, Formaldehyde-free</v>
      </c>
      <c r="E54" s="1267" t="s">
        <v>3385</v>
      </c>
      <c r="G54" s="1267" t="s">
        <v>3385</v>
      </c>
      <c r="H54" s="499" t="s">
        <v>7294</v>
      </c>
      <c r="I54"/>
      <c r="J54"/>
    </row>
    <row r="55" spans="1:10" x14ac:dyDescent="0.25">
      <c r="A55" s="499" t="s">
        <v>1696</v>
      </c>
      <c r="B55" s="499" t="str">
        <f>INDEX('Master sheet'!$A$1:$A$670,MATCH("A33",'Master sheet'!$AN$1:$AN$670,0))</f>
        <v>EPS foam board with graphite / BASF  / Neopor F 5200 &amp; F 5300 Plus BMB / R 4.7/inch, Type II, 15 psi (Type 2, 110 kPa)</v>
      </c>
      <c r="E55" s="1267" t="s">
        <v>3383</v>
      </c>
      <c r="G55" s="1267" t="s">
        <v>3385</v>
      </c>
      <c r="I55"/>
      <c r="J55"/>
    </row>
    <row r="56" spans="1:10" x14ac:dyDescent="0.25">
      <c r="A56" s="499" t="s">
        <v>1696</v>
      </c>
      <c r="B56" s="499" t="str">
        <f>INDEX('Master sheet'!$A$1:$A$670,MATCH(397,'Master sheet'!$AN$1:$AN$670,0))</f>
        <v>Wood fiber board / North American Fiberboard Association / Includes: MSL, Blue Ridge Fiberboard Inc. / R 2.7/inch</v>
      </c>
      <c r="E56" s="1267" t="s">
        <v>3383</v>
      </c>
      <c r="G56" s="1267" t="s">
        <v>3385</v>
      </c>
      <c r="I56"/>
      <c r="J56"/>
    </row>
    <row r="57" spans="1:10" x14ac:dyDescent="0.25">
      <c r="A57" s="499" t="s">
        <v>1696</v>
      </c>
      <c r="B57" s="499" t="str">
        <f>INDEX('Master sheet'!$A$1:$A$670,MATCH("A88",'Master sheet'!$AN$1:$AN$670,0))</f>
        <v>Plywood / Roseburg / Hardwood plywood. Includes:  walnut, alder, cherry, mahogany, oak, birch, maple faces  / 3/4"</v>
      </c>
      <c r="E57" s="1267" t="s">
        <v>3383</v>
      </c>
      <c r="G57" s="1267" t="s">
        <v>3385</v>
      </c>
      <c r="I57"/>
      <c r="J57"/>
    </row>
    <row r="58" spans="1:10" x14ac:dyDescent="0.25">
      <c r="A58" s="499" t="s">
        <v>1098</v>
      </c>
      <c r="B58" s="499" t="str">
        <f>INDEX('Master sheet'!$A$1:$A$670,MATCH(144,'Master sheet'!$AN$1:$AN$670,0))</f>
        <v>Metal Panels - Steel / Metal Construction Assn. / 24 gauge</v>
      </c>
      <c r="E58" s="1267" t="s">
        <v>3386</v>
      </c>
      <c r="G58" s="1267" t="s">
        <v>3383</v>
      </c>
      <c r="I58"/>
      <c r="J58"/>
    </row>
    <row r="59" spans="1:10" x14ac:dyDescent="0.25">
      <c r="A59" s="499" t="s">
        <v>1098</v>
      </c>
      <c r="B59" s="499" t="str">
        <f>INDEX('Master sheet'!$A$1:$A$670,MATCH("A71",'Master sheet'!$AN$1:$AN$670,0))</f>
        <v>Metal Panels - Steel / ArcelorMittal / XCarb RRP / 24 gauge</v>
      </c>
      <c r="E59" s="1267" t="s">
        <v>3386</v>
      </c>
      <c r="G59" s="1267" t="s">
        <v>3383</v>
      </c>
      <c r="I59"/>
      <c r="J59"/>
    </row>
    <row r="60" spans="1:10" x14ac:dyDescent="0.25">
      <c r="A60" s="499" t="s">
        <v>1098</v>
      </c>
      <c r="B60" s="499" t="str">
        <f>INDEX('Master sheet'!$A$1:$A$670,MATCH(21,'Master sheet'!$AN$1:$AN$670,0))</f>
        <v>Brick, Clay / Interstate / Avg Face Brick / 3-5/8" x 2-3/4" x 7-5/8" (92 x 70 x 194 mm) incl. 3/8" mortar</v>
      </c>
      <c r="E60" s="1267" t="s">
        <v>3383</v>
      </c>
      <c r="G60" s="1267" t="s">
        <v>3384</v>
      </c>
      <c r="I60"/>
      <c r="J60"/>
    </row>
    <row r="61" spans="1:10" x14ac:dyDescent="0.25">
      <c r="A61" s="499" t="s">
        <v>1098</v>
      </c>
      <c r="B61" s="499" t="str">
        <f>INDEX('Master sheet'!$A$1:$A$670,MATCH(22,'Master sheet'!$AN$1:$AN$670,0))</f>
        <v>Brick, Clay / Interstate / Avg Thin Face Brick / 3-9/16" x 5/8" x 11-5/8" (90 x 16 mm x 295) incl. 3/8" mortar</v>
      </c>
      <c r="E61" s="1267" t="s">
        <v>3383</v>
      </c>
      <c r="G61" s="1267" t="s">
        <v>3385</v>
      </c>
      <c r="I61"/>
      <c r="J61"/>
    </row>
    <row r="62" spans="1:10" x14ac:dyDescent="0.25">
      <c r="A62" s="499" t="s">
        <v>1098</v>
      </c>
      <c r="B62" s="499" t="str">
        <f>INDEX('Master sheet'!$A$1:$A$670,MATCH(389,'Master sheet'!$AN$1:$AN$670,0))</f>
        <v>Brick, Clay / SHAW / Avg Face Brick / 3-5/8" x 2-3/4" x 7-5/8" (92 x 70 x 194 mm) incl. 3/8" mortar</v>
      </c>
      <c r="E62" s="1267" t="s">
        <v>3383</v>
      </c>
      <c r="G62" s="1267" t="s">
        <v>3384</v>
      </c>
      <c r="I62"/>
      <c r="J62"/>
    </row>
    <row r="63" spans="1:10" x14ac:dyDescent="0.25">
      <c r="A63" s="499" t="s">
        <v>1098</v>
      </c>
      <c r="B63" s="499" t="str">
        <f>INDEX('Master sheet'!$A$1:$A$670,MATCH("A11",'Master sheet'!$AN$1:$AN$670,0))</f>
        <v>Brick, Clay / Mutual Materials / Avg Face Brick (plant Avg) / 3-5/8" x 2-3/4" x 7-5/8" (92 x 70 x 194 mm) incl. 3/8" mortar</v>
      </c>
      <c r="E63" s="1267" t="s">
        <v>3383</v>
      </c>
      <c r="G63" s="1267" t="s">
        <v>3384</v>
      </c>
      <c r="I63"/>
      <c r="J63"/>
    </row>
    <row r="64" spans="1:10" x14ac:dyDescent="0.25">
      <c r="A64" s="499" t="s">
        <v>1098</v>
      </c>
      <c r="B64" s="499" t="str">
        <f>INDEX('Master sheet'!$A$1:$A$670,MATCH("A12",'Master sheet'!$AN$1:$AN$670,0))</f>
        <v>Brick, Clay / Mutual Materials / Avg Thin Face Brick, Columbia Plant / 2-1/2" x 5/8" x 7-1/2" (64 x 16 x 190 mm) incl. 3/8" mortar</v>
      </c>
      <c r="E64" s="1267" t="s">
        <v>3383</v>
      </c>
      <c r="G64" s="1267" t="s">
        <v>3385</v>
      </c>
      <c r="I64"/>
      <c r="J64"/>
    </row>
    <row r="65" spans="1:10" x14ac:dyDescent="0.25">
      <c r="A65" s="499" t="s">
        <v>1098</v>
      </c>
      <c r="B65" s="499" t="str">
        <f>INDEX('Master sheet'!$A$1:$A$670,MATCH("A136",'Master sheet'!$AN$1:$AN$670,0))</f>
        <v>Fiber Cement siding / Equitone / Linea|Lunara sheets / 10 mm</v>
      </c>
      <c r="E65" s="1267" t="s">
        <v>3386</v>
      </c>
      <c r="G65" s="1267" t="s">
        <v>3383</v>
      </c>
      <c r="I65"/>
      <c r="J65"/>
    </row>
    <row r="66" spans="1:10" x14ac:dyDescent="0.25">
      <c r="A66" s="499" t="s">
        <v>1098</v>
      </c>
      <c r="B66" s="499" t="str">
        <f>INDEX('Master sheet'!$A$1:$A$670,MATCH(219,'Master sheet'!$AN$1:$AN$670,0))</f>
        <v>Vinyl Siding / Vinyl Siding Institute / Double 4.5" products from: American Original, Associated Materials, CertainTeed, Novik, Ply Gem / 0.040" Double 4.5"</v>
      </c>
      <c r="E66" s="1267" t="s">
        <v>3385</v>
      </c>
      <c r="G66" s="1267" t="s">
        <v>3384</v>
      </c>
      <c r="I66"/>
      <c r="J66"/>
    </row>
    <row r="67" spans="1:10" x14ac:dyDescent="0.25">
      <c r="A67" s="499" t="s">
        <v>1098</v>
      </c>
      <c r="B67" s="499" t="str">
        <f>INDEX('Master sheet'!$A$1:$A$670,MATCH(138,'Master sheet'!$AN$1:$AN$670,0))</f>
        <v>Metal Panels - Aluminum / Metal Construction Assn. / 22 gauge / Includes: ATAS, DMI, Englert, Fabral,McElroy, Pac-Clad</v>
      </c>
      <c r="E67" s="1267" t="s">
        <v>3383</v>
      </c>
      <c r="G67" s="1267" t="s">
        <v>3385</v>
      </c>
      <c r="I67"/>
      <c r="J67"/>
    </row>
    <row r="68" spans="1:10" x14ac:dyDescent="0.25">
      <c r="A68" s="499" t="s">
        <v>9</v>
      </c>
      <c r="B68" s="499" t="str">
        <f>INDEX('Master sheet'!$A$1:$A$670,MATCH(222,'Master sheet'!$AN$1:$AN$670,0))</f>
        <v>Window - double pane / Fiberglass frame /  / USA &amp; CAN</v>
      </c>
      <c r="E68" s="1267" t="s">
        <v>3386</v>
      </c>
      <c r="G68" s="1267" t="s">
        <v>3383</v>
      </c>
      <c r="I68"/>
      <c r="J68"/>
    </row>
    <row r="69" spans="1:10" x14ac:dyDescent="0.25">
      <c r="A69" s="499" t="s">
        <v>9</v>
      </c>
      <c r="B69" s="499" t="str">
        <f>INDEX('Master sheet'!$A$1:$A$670,MATCH(224,'Master sheet'!$AN$1:$AN$670,0))</f>
        <v>Window - double pane / Vinyl frame /  / USA &amp; CAN</v>
      </c>
      <c r="E69" s="1267" t="s">
        <v>3386</v>
      </c>
      <c r="G69" s="1267" t="s">
        <v>3383</v>
      </c>
      <c r="I69"/>
      <c r="J69"/>
    </row>
    <row r="70" spans="1:10" x14ac:dyDescent="0.25">
      <c r="A70" s="499" t="s">
        <v>9</v>
      </c>
      <c r="B70" s="499" t="str">
        <f>INDEX('Master sheet'!$A$1:$A$670,MATCH(226,'Master sheet'!$AN$1:$AN$670,0))</f>
        <v>Window - double pane / Wood frame /  / USA &amp; CAN</v>
      </c>
      <c r="E70" s="1267" t="s">
        <v>3386</v>
      </c>
      <c r="G70" s="1267" t="s">
        <v>3383</v>
      </c>
      <c r="I70"/>
      <c r="J70"/>
    </row>
    <row r="71" spans="1:10" x14ac:dyDescent="0.25">
      <c r="A71" s="499" t="s">
        <v>9</v>
      </c>
      <c r="B71" s="499" t="str">
        <f>INDEX('Master sheet'!$A$1:$A$670,MATCH(229,'Master sheet'!$AN$1:$AN$670,0))</f>
        <v>Window - triple pane / Fiberglass frame /  / USA &amp; CAN</v>
      </c>
      <c r="E71" s="1267" t="s">
        <v>3386</v>
      </c>
      <c r="G71" s="1267" t="s">
        <v>3383</v>
      </c>
      <c r="I71"/>
      <c r="J71"/>
    </row>
    <row r="72" spans="1:10" x14ac:dyDescent="0.25">
      <c r="A72" s="499" t="s">
        <v>9</v>
      </c>
      <c r="B72" s="499" t="str">
        <f>INDEX('Master sheet'!$A$1:$A$670,MATCH(230,'Master sheet'!$AN$1:$AN$670,0))</f>
        <v>Window - triple pane / Vinyl frame /  / USA &amp; CAN</v>
      </c>
      <c r="E72" s="1267" t="s">
        <v>3386</v>
      </c>
      <c r="G72" s="1267" t="s">
        <v>3383</v>
      </c>
      <c r="I72"/>
      <c r="J72"/>
    </row>
    <row r="73" spans="1:10" x14ac:dyDescent="0.25">
      <c r="A73" s="499" t="s">
        <v>9</v>
      </c>
      <c r="B73" s="499" t="str">
        <f>INDEX('Master sheet'!$A$1:$A$670,MATCH(232,'Master sheet'!$AN$1:$AN$670,0))</f>
        <v>Window - triple pane / Wood frame /  / USA &amp; CAN</v>
      </c>
      <c r="E73" s="1267" t="s">
        <v>3386</v>
      </c>
      <c r="G73" s="1267" t="s">
        <v>3383</v>
      </c>
      <c r="I73"/>
      <c r="J73"/>
    </row>
    <row r="74" spans="1:10" x14ac:dyDescent="0.25">
      <c r="A74" s="499" t="s">
        <v>9</v>
      </c>
      <c r="B74" s="499" t="str">
        <f>INDEX('Master sheet'!$A$1:$A$670,MATCH(375,'Master sheet'!$AN$1:$AN$670,0))</f>
        <v>Window - double pane / Andersen / E-series (Average Double-hung/Awning/Picture) / Wood frame, aluminum cladding</v>
      </c>
      <c r="E74" s="1267" t="s">
        <v>3383</v>
      </c>
      <c r="G74" s="1267" t="s">
        <v>3385</v>
      </c>
      <c r="I74"/>
      <c r="J74"/>
    </row>
    <row r="75" spans="1:10" x14ac:dyDescent="0.25">
      <c r="A75" s="499" t="s">
        <v>9</v>
      </c>
      <c r="B75" s="499" t="str">
        <f>INDEX('Master sheet'!$A$1:$A$670,MATCH("A149",'Master sheet'!$AN$1:$AN$670,0))</f>
        <v>Window - double-glazed  / AluQuebec / Avg of fixed, casement, slider, hung, tilt &amp; turn, awning / Aluminum frame</v>
      </c>
      <c r="E75" s="1267" t="s">
        <v>3383</v>
      </c>
      <c r="G75" s="1267" t="s">
        <v>3385</v>
      </c>
      <c r="I75"/>
      <c r="J75"/>
    </row>
    <row r="76" spans="1:10" x14ac:dyDescent="0.25">
      <c r="A76" s="499" t="s">
        <v>9</v>
      </c>
      <c r="B76" s="499" t="str">
        <f>INDEX('Master sheet'!$A$1:$A$670,MATCH("A154",'Master sheet'!$AN$1:$AN$670,0))</f>
        <v>Window - double-glazed  / Kawneer / OptiQ AA5450, TR-9100, 8400TL, AA6400|6500|6600 / Hung &amp; sliding / Aluminum frame</v>
      </c>
      <c r="E76" s="1267" t="s">
        <v>3383</v>
      </c>
      <c r="G76" s="1267" t="s">
        <v>3385</v>
      </c>
      <c r="I76"/>
      <c r="J76"/>
    </row>
    <row r="77" spans="1:10" x14ac:dyDescent="0.25">
      <c r="A77" s="499" t="s">
        <v>1100</v>
      </c>
      <c r="B77" s="499" t="str">
        <f>INDEX('Master sheet'!$A$1:$A$670,MATCH(158,'Master sheet'!$AN$1:$AN$670,0))</f>
        <v>OSB subflooring / Huber  / AdvanTech / 19/32" Subflooring</v>
      </c>
      <c r="E77" s="1267" t="s">
        <v>3386</v>
      </c>
      <c r="G77" s="1267" t="s">
        <v>3383</v>
      </c>
      <c r="I77"/>
      <c r="J77"/>
    </row>
    <row r="78" spans="1:10" x14ac:dyDescent="0.25">
      <c r="A78" s="499" t="s">
        <v>1100</v>
      </c>
      <c r="B78" s="499" t="str">
        <f>INDEX('Master sheet'!$A$1:$A$670,MATCH(39,'Master sheet'!$AN$1:$AN$670,0))</f>
        <v>(ARCHIVED 2026) Ceramic tile / Crossville / Porcelain / Standard grade</v>
      </c>
      <c r="E78" s="1267" t="s">
        <v>3386</v>
      </c>
      <c r="G78" s="1267" t="s">
        <v>3383</v>
      </c>
      <c r="I78"/>
      <c r="J78"/>
    </row>
    <row r="79" spans="1:10" x14ac:dyDescent="0.25">
      <c r="A79" s="499" t="s">
        <v>1100</v>
      </c>
      <c r="B79" s="499" t="str">
        <f>INDEX('Master sheet'!$A$1:$A$670,MATCH(29,'Master sheet'!$AN$1:$AN$670,0))</f>
        <v>(ARCHIVED 2026) Carpet / Interface / Cquest BioX / 1.5 mm Modular tile carpet</v>
      </c>
      <c r="E79" s="1267" t="s">
        <v>3386</v>
      </c>
      <c r="G79" s="1267" t="s">
        <v>3383</v>
      </c>
      <c r="I79"/>
      <c r="J79"/>
    </row>
    <row r="80" spans="1:10" x14ac:dyDescent="0.25">
      <c r="A80" s="499" t="s">
        <v>1100</v>
      </c>
      <c r="B80" s="499" t="str">
        <f>INDEX('Master sheet'!$A$1:$A$670,MATCH(251,'Master sheet'!$AN$1:$AN$670,0))</f>
        <v>Wood floor truss - prefabricated / Canadian Wood Council / Common (Warren, 45 deg) web pattern / Top chord bearing, variable depth</v>
      </c>
      <c r="E80" s="1267" t="s">
        <v>3385</v>
      </c>
      <c r="G80" s="1267" t="s">
        <v>3384</v>
      </c>
      <c r="I80"/>
      <c r="J80"/>
    </row>
    <row r="81" spans="1:10" x14ac:dyDescent="0.25">
      <c r="A81" s="499" t="s">
        <v>1100</v>
      </c>
      <c r="B81" s="499" t="str">
        <f>INDEX('Master sheet'!$A$1:$A$670,MATCH("A84",'Master sheet'!$AN$1:$AN$670,0))</f>
        <v>OSB subflooring / LP / LP Legacy® Premium / 5/8"</v>
      </c>
      <c r="E81" s="1267" t="s">
        <v>3386</v>
      </c>
      <c r="G81" s="1267" t="s">
        <v>3383</v>
      </c>
      <c r="I81"/>
      <c r="J81"/>
    </row>
    <row r="82" spans="1:10" x14ac:dyDescent="0.25">
      <c r="A82" s="499" t="s">
        <v>1100</v>
      </c>
      <c r="B82" s="499" t="str">
        <f>INDEX('Master sheet'!$A$1:$A$670,MATCH("A67",'Master sheet'!$AN$1:$AN$670,0))</f>
        <v>Linoleum flooring / Tarkett / Lino Veneto xf2, Etrusco, Style Elle|Emme, Veneto, Originale, LinoRail, Linosport / 2.5 mm sheet style linoleum</v>
      </c>
      <c r="E82" s="1267" t="s">
        <v>3385</v>
      </c>
      <c r="G82" s="1267" t="s">
        <v>3385</v>
      </c>
      <c r="I82"/>
      <c r="J82"/>
    </row>
    <row r="83" spans="1:10" x14ac:dyDescent="0.25">
      <c r="A83" s="499" t="s">
        <v>1100</v>
      </c>
      <c r="B83" s="499" t="str">
        <f>INDEX('Master sheet'!$A$1:$A$670,MATCH("A14",'Master sheet'!$AN$1:$AN$670,0))</f>
        <v xml:space="preserve">Ceramic tile / Tile Council of North America / Industry average. Includes porcelain, pressed, mosaic and quarry tile / 18.8 kg/m2 </v>
      </c>
      <c r="E83" s="1267" t="s">
        <v>3385</v>
      </c>
      <c r="G83" s="1267" t="s">
        <v>3384</v>
      </c>
      <c r="I83"/>
      <c r="J83"/>
    </row>
    <row r="84" spans="1:10" x14ac:dyDescent="0.25">
      <c r="A84" s="499" t="s">
        <v>1100</v>
      </c>
      <c r="B84" s="499" t="str">
        <f>INDEX('Master sheet'!$A$1:$A$670,MATCH(218,'Master sheet'!$AN$1:$AN$670,0))</f>
        <v xml:space="preserve">(ARCHIVED 2026) Vinyl flooring / Resilient Floor Covering Institute / Includes tile products from Armstrong, Congoleum, Tarkett / </v>
      </c>
      <c r="E84" s="1267" t="s">
        <v>3383</v>
      </c>
      <c r="G84" s="1267" t="s">
        <v>3385</v>
      </c>
      <c r="I84"/>
      <c r="J84"/>
    </row>
    <row r="85" spans="1:10" x14ac:dyDescent="0.25">
      <c r="A85" s="499" t="s">
        <v>1100</v>
      </c>
      <c r="B85" s="499" t="str">
        <f>INDEX('Master sheet'!$A$1:$A$670,MATCH("A119",'Master sheet'!$AN$1:$AN$670,0))</f>
        <v>Vinyl flooring / Altro / Altro Lavencia / 3.0 mm</v>
      </c>
      <c r="E85" s="1267" t="s">
        <v>3386</v>
      </c>
      <c r="G85" s="1267" t="s">
        <v>3383</v>
      </c>
      <c r="I85"/>
      <c r="J85"/>
    </row>
    <row r="86" spans="1:10" x14ac:dyDescent="0.25">
      <c r="A86" s="499" t="s">
        <v>1100</v>
      </c>
      <c r="B86" s="499" t="str">
        <f>INDEX('Master sheet'!$A$1:$A$670,MATCH(82,'Master sheet'!$AN$1:$AN$670,0))</f>
        <v>Cork flooring / European Resilient Flooring Manufacturers' Institute / Includes: Altro, Amorim, Amtico, Artigo, Aspecta, BeauFlor, Dickson, Mflor, Forbo, Gerflor, IVC, Nora, Polyflor, Tarkett, Kahrs, Windmoller / Cork floor tiles</v>
      </c>
      <c r="E86" s="1267" t="s">
        <v>3384</v>
      </c>
      <c r="G86" s="1267" t="s">
        <v>3387</v>
      </c>
      <c r="I86"/>
      <c r="J86"/>
    </row>
    <row r="87" spans="1:10" x14ac:dyDescent="0.25">
      <c r="A87" s="499" t="s">
        <v>1100</v>
      </c>
      <c r="B87" s="499" t="str">
        <f>INDEX('Master sheet'!$A$1:$A$670,MATCH(378,'Master sheet'!$AN$1:$AN$670,0))</f>
        <v>(ARCHIVED 2026) Carpet / J+J Flooring / Standard Back / all Broadloom styles</v>
      </c>
      <c r="E87" s="1267" t="s">
        <v>3386</v>
      </c>
      <c r="G87" s="1267" t="s">
        <v>3383</v>
      </c>
      <c r="I87"/>
      <c r="J87"/>
    </row>
    <row r="88" spans="1:10" x14ac:dyDescent="0.25">
      <c r="A88" s="499" t="s">
        <v>1100</v>
      </c>
      <c r="B88" s="499" t="str">
        <f>INDEX('Master sheet'!$A$1:$A$670,MATCH(179,'Master sheet'!$AN$1:$AN$670,0))</f>
        <v xml:space="preserve">Rubber flooring / Resilient Floor Covering Institute / Includes tiles and rolls from American Biltrite, Armstrong, Burke, FLEXCO, Johnsonite, Mannington, Roppe, Tarkett / </v>
      </c>
      <c r="E88" s="1267" t="s">
        <v>3385</v>
      </c>
      <c r="G88" s="1267" t="s">
        <v>3384</v>
      </c>
      <c r="I88"/>
      <c r="J88"/>
    </row>
    <row r="89" spans="1:10" x14ac:dyDescent="0.25">
      <c r="A89" s="499" t="s">
        <v>1100</v>
      </c>
      <c r="B89" s="499" t="str">
        <f>INDEX('Master sheet'!$A$1:$A$670,MATCH(249,'Master sheet'!$AN$1:$AN$670,0))</f>
        <v>Wood I joist / Canadian Wood Council /  / TJI 230/360</v>
      </c>
      <c r="E89" s="1267" t="s">
        <v>3386</v>
      </c>
      <c r="G89" s="1267" t="s">
        <v>3383</v>
      </c>
      <c r="I89"/>
      <c r="J89"/>
    </row>
    <row r="90" spans="1:10" x14ac:dyDescent="0.25">
      <c r="A90" s="499" t="s">
        <v>1102</v>
      </c>
      <c r="B90" s="499" t="s">
        <v>97</v>
      </c>
      <c r="E90" s="1267" t="s">
        <v>3386</v>
      </c>
      <c r="I90"/>
      <c r="J90"/>
    </row>
    <row r="91" spans="1:10" x14ac:dyDescent="0.25">
      <c r="A91" s="499" t="s">
        <v>1102</v>
      </c>
      <c r="B91" s="499" t="s">
        <v>3088</v>
      </c>
      <c r="G91" s="1267" t="s">
        <v>3383</v>
      </c>
      <c r="H91" s="499" t="s">
        <v>6785</v>
      </c>
      <c r="I91"/>
      <c r="J91"/>
    </row>
    <row r="92" spans="1:10" x14ac:dyDescent="0.25">
      <c r="A92" s="499" t="s">
        <v>1102</v>
      </c>
      <c r="B92" s="499" t="str">
        <f>INDEX('Master sheet'!$A$1:$A$670,MATCH("A118",'Master sheet'!$AN$1:$AN$670,0))</f>
        <v>TPO roofing membrane / Single Ply Roofing Industry /  / 60 mils</v>
      </c>
      <c r="E92" s="1267" t="s">
        <v>3386</v>
      </c>
      <c r="G92" s="1267" t="s">
        <v>3383</v>
      </c>
      <c r="I92"/>
      <c r="J92"/>
    </row>
    <row r="93" spans="1:10" x14ac:dyDescent="0.25">
      <c r="A93" s="499" t="s">
        <v>1102</v>
      </c>
      <c r="B93" s="499" t="str">
        <f>INDEX('Master sheet'!$A$1:$A$670,MATCH("A94",'Master sheet'!$AN$1:$AN$670,0))</f>
        <v>Polyiso - roof boards / Versico / VersiCore, SecurShield, DuraFaceR / GRF facer / Type II R 5.6-inch, 16 psi</v>
      </c>
      <c r="E93" s="1267" t="s">
        <v>3383</v>
      </c>
      <c r="G93" s="1267" t="s">
        <v>3385</v>
      </c>
      <c r="I93"/>
      <c r="J93"/>
    </row>
    <row r="94" spans="1:10" x14ac:dyDescent="0.25">
      <c r="A94" s="499" t="s">
        <v>1102</v>
      </c>
      <c r="B94" s="499" t="str">
        <f>INDEX('Master sheet'!$A$1:$A$670,MATCH("A209",'Master sheet'!$AN$1:$AN$670,0))</f>
        <v>SIP panels - EPS foam &amp; OSB / SIPA / R-30 8.25" panel</v>
      </c>
      <c r="E94" s="1267" t="s">
        <v>3386</v>
      </c>
      <c r="G94" s="1267" t="s">
        <v>3383</v>
      </c>
      <c r="I94"/>
      <c r="J94"/>
    </row>
    <row r="95" spans="1:10" x14ac:dyDescent="0.25">
      <c r="A95" s="499" t="s">
        <v>1102</v>
      </c>
      <c r="B95" s="499" t="str">
        <f>INDEX('Master sheet'!$A$1:$A$670,MATCH("A210",'Master sheet'!$AN$1:$AN$670,0))</f>
        <v>SIP panels - EPS foam &amp; OSB / SIPA / R-38 10.25" panel</v>
      </c>
      <c r="E95" s="1267" t="s">
        <v>3386</v>
      </c>
      <c r="G95" s="1267" t="s">
        <v>3383</v>
      </c>
      <c r="I95"/>
      <c r="J95"/>
    </row>
    <row r="96" spans="1:10" x14ac:dyDescent="0.25">
      <c r="A96" s="499" t="s">
        <v>1102</v>
      </c>
      <c r="B96" s="499" t="str">
        <f>INDEX('Master sheet'!$A$1:$A$670,MATCH("A211",'Master sheet'!$AN$1:$AN$670,0))</f>
        <v>SIP panels - EPS foam &amp; OSB / SIPA / R-45 12.25" panel</v>
      </c>
      <c r="E96" s="1267" t="s">
        <v>3386</v>
      </c>
      <c r="G96" s="1267" t="s">
        <v>3383</v>
      </c>
      <c r="I96"/>
      <c r="J96"/>
    </row>
    <row r="97" spans="1:10" x14ac:dyDescent="0.25">
      <c r="A97" s="499" t="s">
        <v>1102</v>
      </c>
      <c r="B97" s="499" t="str">
        <f>INDEX('Master sheet'!$A$1:$A$670,MATCH("154-2",'Master sheet'!$AN$1:$AN$670,0))</f>
        <v>OSB sheathing / Canadian Wood Council -Western /  / 1/2"</v>
      </c>
      <c r="E97" s="1267" t="s">
        <v>3386</v>
      </c>
      <c r="G97" s="1267" t="s">
        <v>3383</v>
      </c>
      <c r="I97"/>
      <c r="J97"/>
    </row>
    <row r="98" spans="1:10" x14ac:dyDescent="0.25">
      <c r="A98" s="499" t="s">
        <v>1102</v>
      </c>
      <c r="B98" s="499" t="str">
        <f>INDEX('Master sheet'!$A$1:$A$670,MATCH("155-2",'Master sheet'!$AN$1:$AN$670,0))</f>
        <v>OSB sheathing / Canadian Wood Council -Western /  / 5/8"</v>
      </c>
      <c r="E98" s="1267" t="s">
        <v>3386</v>
      </c>
      <c r="G98" s="1267" t="s">
        <v>3383</v>
      </c>
      <c r="I98"/>
      <c r="J98"/>
    </row>
    <row r="99" spans="1:10" x14ac:dyDescent="0.25">
      <c r="A99" s="499" t="s">
        <v>1580</v>
      </c>
      <c r="B99" s="499" t="str">
        <f>INDEX('Master sheet'!$A$1:$A$670,MATCH("A1",'Master sheet'!$AN$1:$AN$670,0))</f>
        <v xml:space="preserve">Asphalt Shingles / Asphalt Roofing Manufacturers Association / Fiberglass Asphalt Shingles  / </v>
      </c>
      <c r="E99" s="1267" t="s">
        <v>3383</v>
      </c>
      <c r="G99" s="1267" t="s">
        <v>3385</v>
      </c>
      <c r="I99"/>
      <c r="J99"/>
    </row>
    <row r="100" spans="1:10" x14ac:dyDescent="0.25">
      <c r="A100" s="499" t="s">
        <v>1580</v>
      </c>
      <c r="B100" s="499" t="str">
        <f>INDEX('Master sheet'!$A$1:$A$670,MATCH(156,'Master sheet'!$AN$1:$AN$670,0))</f>
        <v>OSB sheathing / Huber  / AdvanTech / 1/2" Sheathing</v>
      </c>
      <c r="E100" s="1267" t="s">
        <v>3386</v>
      </c>
      <c r="G100" s="1267" t="s">
        <v>3383</v>
      </c>
      <c r="I100"/>
      <c r="J100"/>
    </row>
    <row r="101" spans="1:10" x14ac:dyDescent="0.25">
      <c r="A101" s="499" t="s">
        <v>1580</v>
      </c>
      <c r="B101" s="499" t="str">
        <f>INDEX('Master sheet'!$A$1:$A$670,MATCH("A152",'Master sheet'!$AN$1:$AN$670,0))</f>
        <v>Window - double-glazed  / EFCO / Xtherm, 875V, 2700, 2701, 450G, 590X, 6725, PG32, PX32, WV410, WV430 / Projected &amp; casement / Aluminum frame</v>
      </c>
      <c r="E101" s="1267" t="s">
        <v>3385</v>
      </c>
      <c r="G101" s="1267" t="s">
        <v>3385</v>
      </c>
      <c r="I101"/>
      <c r="J101"/>
    </row>
    <row r="102" spans="1:10" x14ac:dyDescent="0.25">
      <c r="A102" s="499" t="s">
        <v>1580</v>
      </c>
      <c r="B102" s="499" t="str">
        <f>INDEX('Master sheet'!$A$1:$A$670,MATCH("A153",'Master sheet'!$AN$1:$AN$670,0))</f>
        <v>Window - double-glazed  / Kawneer / Optiq AA4325, 8225TL|TLF, 526, AA 6400|6500, NX-300|3000 / Projected &amp; casement / Aluminum frame</v>
      </c>
      <c r="E102" s="1267" t="s">
        <v>3385</v>
      </c>
      <c r="G102" s="1267" t="s">
        <v>3385</v>
      </c>
      <c r="I102"/>
      <c r="J102"/>
    </row>
    <row r="103" spans="1:10" x14ac:dyDescent="0.25">
      <c r="A103" s="499" t="s">
        <v>1580</v>
      </c>
      <c r="B103" s="499" t="str">
        <f>INDEX('Master sheet'!$A$1:$A$670,MATCH("A154",'Master sheet'!$AN$1:$AN$670,0))</f>
        <v>Window - double-glazed  / Kawneer / OptiQ AA5450, TR-9100, 8400TL, AA6400|6500|6600 / Hung &amp; sliding / Aluminum frame</v>
      </c>
      <c r="E103" s="1267" t="s">
        <v>3383</v>
      </c>
      <c r="G103" s="1267" t="s">
        <v>3385</v>
      </c>
      <c r="I103"/>
      <c r="J103"/>
    </row>
    <row r="104" spans="1:10" x14ac:dyDescent="0.25">
      <c r="I104"/>
      <c r="J104"/>
    </row>
    <row r="105" spans="1:10" x14ac:dyDescent="0.25">
      <c r="I105"/>
      <c r="J105"/>
    </row>
    <row r="106" spans="1:10" x14ac:dyDescent="0.25">
      <c r="I106"/>
      <c r="J106"/>
    </row>
    <row r="107" spans="1:10" x14ac:dyDescent="0.25">
      <c r="I107"/>
      <c r="J107"/>
    </row>
    <row r="108" spans="1:10" x14ac:dyDescent="0.25">
      <c r="I108"/>
      <c r="J108"/>
    </row>
    <row r="109" spans="1:10" x14ac:dyDescent="0.25">
      <c r="I109"/>
      <c r="J109"/>
    </row>
    <row r="110" spans="1:10" x14ac:dyDescent="0.25">
      <c r="I110"/>
      <c r="J110"/>
    </row>
    <row r="111" spans="1:10" x14ac:dyDescent="0.25">
      <c r="I111"/>
      <c r="J111"/>
    </row>
    <row r="112" spans="1:10" x14ac:dyDescent="0.25">
      <c r="I112"/>
      <c r="J112"/>
    </row>
    <row r="113" spans="9:10" x14ac:dyDescent="0.25">
      <c r="I113"/>
      <c r="J113"/>
    </row>
    <row r="114" spans="9:10" x14ac:dyDescent="0.25">
      <c r="I114"/>
      <c r="J114"/>
    </row>
    <row r="115" spans="9:10" x14ac:dyDescent="0.25">
      <c r="I115"/>
      <c r="J115"/>
    </row>
    <row r="116" spans="9:10" x14ac:dyDescent="0.25">
      <c r="I116"/>
      <c r="J116"/>
    </row>
    <row r="117" spans="9:10" x14ac:dyDescent="0.25">
      <c r="I117"/>
      <c r="J117"/>
    </row>
    <row r="118" spans="9:10" x14ac:dyDescent="0.25">
      <c r="I118"/>
      <c r="J118"/>
    </row>
    <row r="119" spans="9:10" x14ac:dyDescent="0.25">
      <c r="I119"/>
      <c r="J119"/>
    </row>
    <row r="120" spans="9:10" x14ac:dyDescent="0.25">
      <c r="I120"/>
      <c r="J120"/>
    </row>
    <row r="121" spans="9:10" x14ac:dyDescent="0.25">
      <c r="I121"/>
      <c r="J121"/>
    </row>
    <row r="122" spans="9:10" x14ac:dyDescent="0.25">
      <c r="I122"/>
      <c r="J122"/>
    </row>
    <row r="123" spans="9:10" x14ac:dyDescent="0.25">
      <c r="I123"/>
      <c r="J123"/>
    </row>
    <row r="124" spans="9:10" x14ac:dyDescent="0.25">
      <c r="I124"/>
      <c r="J124"/>
    </row>
    <row r="125" spans="9:10" x14ac:dyDescent="0.25">
      <c r="I125"/>
      <c r="J125"/>
    </row>
    <row r="126" spans="9:10" x14ac:dyDescent="0.25">
      <c r="I126"/>
      <c r="J126"/>
    </row>
    <row r="127" spans="9:10" x14ac:dyDescent="0.25">
      <c r="I127"/>
      <c r="J127"/>
    </row>
    <row r="128" spans="9:10" x14ac:dyDescent="0.25">
      <c r="I128"/>
      <c r="J128"/>
    </row>
    <row r="129" spans="9:10" x14ac:dyDescent="0.25">
      <c r="I129"/>
      <c r="J129"/>
    </row>
    <row r="130" spans="9:10" x14ac:dyDescent="0.25">
      <c r="I130"/>
      <c r="J130"/>
    </row>
    <row r="131" spans="9:10" x14ac:dyDescent="0.25">
      <c r="I131"/>
      <c r="J131"/>
    </row>
    <row r="132" spans="9:10" x14ac:dyDescent="0.25">
      <c r="I132"/>
      <c r="J132"/>
    </row>
    <row r="133" spans="9:10" x14ac:dyDescent="0.25">
      <c r="I133"/>
      <c r="J133"/>
    </row>
    <row r="134" spans="9:10" x14ac:dyDescent="0.25">
      <c r="I134"/>
      <c r="J134"/>
    </row>
    <row r="135" spans="9:10" x14ac:dyDescent="0.25">
      <c r="I135"/>
      <c r="J135"/>
    </row>
    <row r="136" spans="9:10" x14ac:dyDescent="0.25">
      <c r="I136"/>
      <c r="J136"/>
    </row>
    <row r="137" spans="9:10" x14ac:dyDescent="0.25">
      <c r="I137"/>
      <c r="J137"/>
    </row>
    <row r="138" spans="9:10" x14ac:dyDescent="0.25">
      <c r="I138"/>
      <c r="J138"/>
    </row>
    <row r="139" spans="9:10" x14ac:dyDescent="0.25">
      <c r="I139"/>
      <c r="J139"/>
    </row>
    <row r="140" spans="9:10" x14ac:dyDescent="0.25">
      <c r="I140"/>
      <c r="J140"/>
    </row>
    <row r="141" spans="9:10" x14ac:dyDescent="0.25">
      <c r="I141"/>
      <c r="J141"/>
    </row>
    <row r="142" spans="9:10" x14ac:dyDescent="0.25">
      <c r="I142"/>
      <c r="J142"/>
    </row>
    <row r="143" spans="9:10" x14ac:dyDescent="0.25">
      <c r="I143"/>
      <c r="J143"/>
    </row>
    <row r="144" spans="9:10" x14ac:dyDescent="0.25">
      <c r="I144"/>
      <c r="J144"/>
    </row>
    <row r="145" spans="9:10" x14ac:dyDescent="0.25">
      <c r="I145"/>
      <c r="J145"/>
    </row>
    <row r="146" spans="9:10" x14ac:dyDescent="0.25">
      <c r="I146"/>
      <c r="J146"/>
    </row>
    <row r="147" spans="9:10" x14ac:dyDescent="0.25">
      <c r="I147"/>
      <c r="J147"/>
    </row>
    <row r="148" spans="9:10" x14ac:dyDescent="0.25">
      <c r="I148"/>
      <c r="J148"/>
    </row>
    <row r="149" spans="9:10" x14ac:dyDescent="0.25">
      <c r="I149"/>
      <c r="J149"/>
    </row>
    <row r="150" spans="9:10" x14ac:dyDescent="0.25">
      <c r="I150"/>
      <c r="J150"/>
    </row>
    <row r="151" spans="9:10" x14ac:dyDescent="0.25">
      <c r="I151"/>
      <c r="J151"/>
    </row>
    <row r="152" spans="9:10" x14ac:dyDescent="0.25">
      <c r="I152"/>
      <c r="J152"/>
    </row>
    <row r="153" spans="9:10" x14ac:dyDescent="0.25">
      <c r="I153"/>
      <c r="J153"/>
    </row>
    <row r="154" spans="9:10" x14ac:dyDescent="0.25">
      <c r="I154"/>
      <c r="J154"/>
    </row>
    <row r="155" spans="9:10" x14ac:dyDescent="0.25">
      <c r="I155"/>
      <c r="J155"/>
    </row>
    <row r="156" spans="9:10" x14ac:dyDescent="0.25">
      <c r="I156"/>
      <c r="J156"/>
    </row>
    <row r="157" spans="9:10" x14ac:dyDescent="0.25">
      <c r="I157"/>
      <c r="J157"/>
    </row>
    <row r="158" spans="9:10" x14ac:dyDescent="0.25">
      <c r="I158"/>
      <c r="J158"/>
    </row>
    <row r="159" spans="9:10" x14ac:dyDescent="0.25">
      <c r="I159"/>
      <c r="J159"/>
    </row>
    <row r="160" spans="9:10" x14ac:dyDescent="0.25">
      <c r="I160"/>
      <c r="J160"/>
    </row>
    <row r="161" spans="9:10" x14ac:dyDescent="0.25">
      <c r="I161"/>
      <c r="J161"/>
    </row>
    <row r="162" spans="9:10" x14ac:dyDescent="0.25">
      <c r="I162"/>
      <c r="J162"/>
    </row>
    <row r="163" spans="9:10" x14ac:dyDescent="0.25">
      <c r="I163"/>
      <c r="J163"/>
    </row>
    <row r="164" spans="9:10" x14ac:dyDescent="0.25">
      <c r="I164"/>
      <c r="J164"/>
    </row>
    <row r="165" spans="9:10" x14ac:dyDescent="0.25">
      <c r="I165"/>
      <c r="J165"/>
    </row>
    <row r="166" spans="9:10" x14ac:dyDescent="0.25">
      <c r="I166"/>
      <c r="J166"/>
    </row>
    <row r="167" spans="9:10" x14ac:dyDescent="0.25">
      <c r="I167"/>
      <c r="J167"/>
    </row>
    <row r="168" spans="9:10" x14ac:dyDescent="0.25">
      <c r="I168"/>
      <c r="J168"/>
    </row>
    <row r="169" spans="9:10" x14ac:dyDescent="0.25">
      <c r="I169"/>
      <c r="J169"/>
    </row>
    <row r="170" spans="9:10" x14ac:dyDescent="0.25">
      <c r="I170"/>
      <c r="J170"/>
    </row>
    <row r="171" spans="9:10" x14ac:dyDescent="0.25">
      <c r="I171"/>
      <c r="J171"/>
    </row>
    <row r="172" spans="9:10" x14ac:dyDescent="0.25">
      <c r="I172"/>
      <c r="J172"/>
    </row>
    <row r="173" spans="9:10" x14ac:dyDescent="0.25">
      <c r="I173"/>
      <c r="J173"/>
    </row>
    <row r="174" spans="9:10" x14ac:dyDescent="0.25">
      <c r="I174"/>
      <c r="J174"/>
    </row>
    <row r="175" spans="9:10" x14ac:dyDescent="0.25">
      <c r="I175"/>
      <c r="J175"/>
    </row>
    <row r="176" spans="9:10" x14ac:dyDescent="0.25">
      <c r="I176"/>
      <c r="J176"/>
    </row>
    <row r="177" spans="9:10" x14ac:dyDescent="0.25">
      <c r="I177"/>
      <c r="J177"/>
    </row>
    <row r="178" spans="9:10" x14ac:dyDescent="0.25">
      <c r="I178"/>
      <c r="J178"/>
    </row>
    <row r="179" spans="9:10" x14ac:dyDescent="0.25">
      <c r="I179"/>
      <c r="J179"/>
    </row>
    <row r="180" spans="9:10" x14ac:dyDescent="0.25">
      <c r="I180"/>
      <c r="J180"/>
    </row>
    <row r="181" spans="9:10" x14ac:dyDescent="0.25">
      <c r="I181"/>
      <c r="J181"/>
    </row>
    <row r="182" spans="9:10" x14ac:dyDescent="0.25">
      <c r="I182"/>
      <c r="J182"/>
    </row>
    <row r="183" spans="9:10" x14ac:dyDescent="0.25">
      <c r="I183"/>
      <c r="J183"/>
    </row>
    <row r="184" spans="9:10" x14ac:dyDescent="0.25">
      <c r="I184"/>
      <c r="J184"/>
    </row>
    <row r="185" spans="9:10" x14ac:dyDescent="0.25">
      <c r="I185"/>
      <c r="J185"/>
    </row>
    <row r="186" spans="9:10" x14ac:dyDescent="0.25">
      <c r="I186"/>
      <c r="J186"/>
    </row>
    <row r="187" spans="9:10" x14ac:dyDescent="0.25">
      <c r="I187"/>
      <c r="J187"/>
    </row>
    <row r="188" spans="9:10" x14ac:dyDescent="0.25">
      <c r="I188"/>
      <c r="J188"/>
    </row>
    <row r="189" spans="9:10" x14ac:dyDescent="0.25">
      <c r="I189"/>
      <c r="J189"/>
    </row>
    <row r="190" spans="9:10" x14ac:dyDescent="0.25">
      <c r="I190"/>
      <c r="J190"/>
    </row>
    <row r="191" spans="9:10" x14ac:dyDescent="0.25">
      <c r="I191"/>
      <c r="J191"/>
    </row>
    <row r="192" spans="9:10" x14ac:dyDescent="0.25">
      <c r="I192"/>
      <c r="J192"/>
    </row>
    <row r="193" spans="9:10" x14ac:dyDescent="0.25">
      <c r="I193"/>
      <c r="J193"/>
    </row>
    <row r="194" spans="9:10" x14ac:dyDescent="0.25">
      <c r="I194"/>
      <c r="J194"/>
    </row>
    <row r="195" spans="9:10" x14ac:dyDescent="0.25">
      <c r="I195"/>
      <c r="J195"/>
    </row>
    <row r="196" spans="9:10" x14ac:dyDescent="0.25">
      <c r="I196"/>
      <c r="J196"/>
    </row>
    <row r="197" spans="9:10" x14ac:dyDescent="0.25">
      <c r="I197"/>
      <c r="J197"/>
    </row>
    <row r="198" spans="9:10" x14ac:dyDescent="0.25">
      <c r="I198"/>
      <c r="J198"/>
    </row>
    <row r="199" spans="9:10" x14ac:dyDescent="0.25">
      <c r="I199"/>
      <c r="J199"/>
    </row>
    <row r="200" spans="9:10" x14ac:dyDescent="0.25">
      <c r="I200"/>
      <c r="J200"/>
    </row>
    <row r="201" spans="9:10" x14ac:dyDescent="0.25">
      <c r="I201"/>
      <c r="J201"/>
    </row>
    <row r="202" spans="9:10" x14ac:dyDescent="0.25">
      <c r="I202"/>
      <c r="J202"/>
    </row>
    <row r="203" spans="9:10" x14ac:dyDescent="0.25">
      <c r="I203"/>
      <c r="J203"/>
    </row>
    <row r="204" spans="9:10" x14ac:dyDescent="0.25">
      <c r="I204"/>
      <c r="J204"/>
    </row>
    <row r="205" spans="9:10" x14ac:dyDescent="0.25">
      <c r="I205"/>
      <c r="J205"/>
    </row>
    <row r="206" spans="9:10" x14ac:dyDescent="0.25">
      <c r="I206"/>
      <c r="J206"/>
    </row>
    <row r="207" spans="9:10" x14ac:dyDescent="0.25">
      <c r="I207"/>
      <c r="J207"/>
    </row>
    <row r="208" spans="9:10" x14ac:dyDescent="0.25">
      <c r="I208"/>
      <c r="J208"/>
    </row>
    <row r="209" spans="9:10" x14ac:dyDescent="0.25">
      <c r="I209"/>
      <c r="J209"/>
    </row>
    <row r="210" spans="9:10" x14ac:dyDescent="0.25">
      <c r="I210"/>
      <c r="J210"/>
    </row>
    <row r="211" spans="9:10" x14ac:dyDescent="0.25">
      <c r="I211"/>
      <c r="J211"/>
    </row>
    <row r="212" spans="9:10" x14ac:dyDescent="0.25">
      <c r="I212"/>
      <c r="J212"/>
    </row>
    <row r="213" spans="9:10" x14ac:dyDescent="0.25">
      <c r="I213"/>
      <c r="J213"/>
    </row>
    <row r="214" spans="9:10" x14ac:dyDescent="0.25">
      <c r="I214"/>
      <c r="J214"/>
    </row>
    <row r="215" spans="9:10" x14ac:dyDescent="0.25">
      <c r="I215"/>
      <c r="J215"/>
    </row>
    <row r="216" spans="9:10" x14ac:dyDescent="0.25">
      <c r="I216"/>
      <c r="J216"/>
    </row>
    <row r="217" spans="9:10" x14ac:dyDescent="0.25">
      <c r="I217"/>
      <c r="J217"/>
    </row>
    <row r="218" spans="9:10" x14ac:dyDescent="0.25">
      <c r="I218"/>
      <c r="J218"/>
    </row>
    <row r="219" spans="9:10" x14ac:dyDescent="0.25">
      <c r="I219"/>
      <c r="J219"/>
    </row>
    <row r="220" spans="9:10" x14ac:dyDescent="0.25">
      <c r="I220"/>
      <c r="J220"/>
    </row>
    <row r="221" spans="9:10" x14ac:dyDescent="0.25">
      <c r="I221"/>
      <c r="J221"/>
    </row>
    <row r="222" spans="9:10" x14ac:dyDescent="0.25">
      <c r="I222"/>
      <c r="J222"/>
    </row>
    <row r="223" spans="9:10" x14ac:dyDescent="0.25">
      <c r="I223"/>
      <c r="J223"/>
    </row>
    <row r="224" spans="9:10" x14ac:dyDescent="0.25">
      <c r="I224"/>
      <c r="J224"/>
    </row>
    <row r="225" spans="9:10" x14ac:dyDescent="0.25">
      <c r="I225"/>
      <c r="J225"/>
    </row>
    <row r="226" spans="9:10" x14ac:dyDescent="0.25">
      <c r="I226"/>
      <c r="J226"/>
    </row>
    <row r="227" spans="9:10" x14ac:dyDescent="0.25">
      <c r="I227"/>
      <c r="J227"/>
    </row>
    <row r="228" spans="9:10" x14ac:dyDescent="0.25">
      <c r="I228"/>
      <c r="J228"/>
    </row>
    <row r="229" spans="9:10" x14ac:dyDescent="0.25">
      <c r="I229"/>
      <c r="J229"/>
    </row>
    <row r="230" spans="9:10" x14ac:dyDescent="0.25">
      <c r="I230"/>
      <c r="J230"/>
    </row>
    <row r="231" spans="9:10" x14ac:dyDescent="0.25">
      <c r="I231"/>
      <c r="J231"/>
    </row>
    <row r="232" spans="9:10" x14ac:dyDescent="0.25">
      <c r="I232"/>
      <c r="J232"/>
    </row>
    <row r="233" spans="9:10" x14ac:dyDescent="0.25">
      <c r="I233"/>
      <c r="J233"/>
    </row>
    <row r="234" spans="9:10" x14ac:dyDescent="0.25">
      <c r="I234"/>
      <c r="J234"/>
    </row>
    <row r="235" spans="9:10" x14ac:dyDescent="0.25">
      <c r="I235"/>
      <c r="J235"/>
    </row>
    <row r="236" spans="9:10" x14ac:dyDescent="0.25">
      <c r="I236"/>
      <c r="J236"/>
    </row>
    <row r="237" spans="9:10" x14ac:dyDescent="0.25">
      <c r="I237"/>
      <c r="J237"/>
    </row>
    <row r="238" spans="9:10" x14ac:dyDescent="0.25">
      <c r="I238"/>
      <c r="J238"/>
    </row>
    <row r="239" spans="9:10" x14ac:dyDescent="0.25">
      <c r="I239"/>
      <c r="J239"/>
    </row>
    <row r="240" spans="9:10" x14ac:dyDescent="0.25">
      <c r="I240"/>
      <c r="J240"/>
    </row>
    <row r="241" spans="9:10" x14ac:dyDescent="0.25">
      <c r="I241"/>
      <c r="J241"/>
    </row>
    <row r="242" spans="9:10" x14ac:dyDescent="0.25">
      <c r="I242"/>
      <c r="J242"/>
    </row>
    <row r="243" spans="9:10" x14ac:dyDescent="0.25">
      <c r="I243"/>
      <c r="J243"/>
    </row>
    <row r="244" spans="9:10" x14ac:dyDescent="0.25">
      <c r="I244"/>
      <c r="J244"/>
    </row>
    <row r="245" spans="9:10" x14ac:dyDescent="0.25">
      <c r="I245"/>
      <c r="J245"/>
    </row>
    <row r="246" spans="9:10" x14ac:dyDescent="0.25">
      <c r="I246"/>
      <c r="J246"/>
    </row>
    <row r="247" spans="9:10" x14ac:dyDescent="0.25">
      <c r="I247"/>
      <c r="J247"/>
    </row>
    <row r="248" spans="9:10" x14ac:dyDescent="0.25">
      <c r="I248"/>
      <c r="J248"/>
    </row>
    <row r="249" spans="9:10" x14ac:dyDescent="0.25">
      <c r="I249"/>
      <c r="J249"/>
    </row>
    <row r="250" spans="9:10" x14ac:dyDescent="0.25">
      <c r="I250"/>
      <c r="J250"/>
    </row>
    <row r="251" spans="9:10" x14ac:dyDescent="0.25">
      <c r="I251"/>
      <c r="J251"/>
    </row>
    <row r="252" spans="9:10" x14ac:dyDescent="0.25">
      <c r="I252"/>
      <c r="J252"/>
    </row>
    <row r="253" spans="9:10" x14ac:dyDescent="0.25">
      <c r="I253"/>
      <c r="J253"/>
    </row>
    <row r="254" spans="9:10" x14ac:dyDescent="0.25">
      <c r="I254"/>
      <c r="J254"/>
    </row>
    <row r="255" spans="9:10" x14ac:dyDescent="0.25">
      <c r="I255"/>
      <c r="J255"/>
    </row>
    <row r="256" spans="9:10" x14ac:dyDescent="0.25">
      <c r="I256"/>
      <c r="J256"/>
    </row>
    <row r="257" spans="9:10" x14ac:dyDescent="0.25">
      <c r="I257"/>
      <c r="J257"/>
    </row>
    <row r="258" spans="9:10" x14ac:dyDescent="0.25">
      <c r="I258"/>
      <c r="J258"/>
    </row>
    <row r="259" spans="9:10" x14ac:dyDescent="0.25">
      <c r="I259"/>
      <c r="J259"/>
    </row>
    <row r="260" spans="9:10" x14ac:dyDescent="0.25">
      <c r="I260"/>
      <c r="J260"/>
    </row>
    <row r="261" spans="9:10" x14ac:dyDescent="0.25">
      <c r="I261"/>
      <c r="J261"/>
    </row>
    <row r="262" spans="9:10" x14ac:dyDescent="0.25">
      <c r="I262"/>
      <c r="J262"/>
    </row>
    <row r="263" spans="9:10" x14ac:dyDescent="0.25">
      <c r="I263"/>
      <c r="J263"/>
    </row>
    <row r="264" spans="9:10" x14ac:dyDescent="0.25">
      <c r="I264"/>
      <c r="J264"/>
    </row>
    <row r="265" spans="9:10" x14ac:dyDescent="0.25">
      <c r="I265"/>
      <c r="J265"/>
    </row>
    <row r="266" spans="9:10" x14ac:dyDescent="0.25">
      <c r="I266"/>
      <c r="J266"/>
    </row>
    <row r="267" spans="9:10" x14ac:dyDescent="0.25">
      <c r="I267"/>
      <c r="J267"/>
    </row>
    <row r="268" spans="9:10" x14ac:dyDescent="0.25">
      <c r="I268"/>
      <c r="J268"/>
    </row>
    <row r="269" spans="9:10" x14ac:dyDescent="0.25">
      <c r="I269"/>
      <c r="J269"/>
    </row>
    <row r="270" spans="9:10" x14ac:dyDescent="0.25">
      <c r="I270"/>
      <c r="J270"/>
    </row>
    <row r="271" spans="9:10" x14ac:dyDescent="0.25">
      <c r="I271"/>
      <c r="J271"/>
    </row>
    <row r="272" spans="9:10" x14ac:dyDescent="0.25">
      <c r="I272"/>
      <c r="J272"/>
    </row>
    <row r="273" spans="9:10" x14ac:dyDescent="0.25">
      <c r="I273"/>
      <c r="J273"/>
    </row>
    <row r="274" spans="9:10" x14ac:dyDescent="0.25">
      <c r="I274"/>
      <c r="J274"/>
    </row>
    <row r="275" spans="9:10" x14ac:dyDescent="0.25">
      <c r="I275"/>
      <c r="J275"/>
    </row>
    <row r="276" spans="9:10" x14ac:dyDescent="0.25">
      <c r="I276"/>
      <c r="J276"/>
    </row>
    <row r="277" spans="9:10" x14ac:dyDescent="0.25">
      <c r="I277"/>
      <c r="J277"/>
    </row>
    <row r="278" spans="9:10" x14ac:dyDescent="0.25">
      <c r="I278"/>
      <c r="J278"/>
    </row>
    <row r="279" spans="9:10" x14ac:dyDescent="0.25">
      <c r="I279"/>
      <c r="J279"/>
    </row>
    <row r="280" spans="9:10" x14ac:dyDescent="0.25">
      <c r="I280"/>
      <c r="J280"/>
    </row>
    <row r="281" spans="9:10" x14ac:dyDescent="0.25">
      <c r="I281"/>
      <c r="J281"/>
    </row>
    <row r="282" spans="9:10" x14ac:dyDescent="0.25">
      <c r="I282"/>
      <c r="J282"/>
    </row>
    <row r="283" spans="9:10" x14ac:dyDescent="0.25">
      <c r="I283"/>
      <c r="J283"/>
    </row>
    <row r="284" spans="9:10" x14ac:dyDescent="0.25">
      <c r="I284"/>
      <c r="J284"/>
    </row>
    <row r="285" spans="9:10" x14ac:dyDescent="0.25">
      <c r="I285"/>
      <c r="J285"/>
    </row>
    <row r="286" spans="9:10" x14ac:dyDescent="0.25">
      <c r="I286"/>
      <c r="J286"/>
    </row>
    <row r="287" spans="9:10" x14ac:dyDescent="0.25">
      <c r="I287"/>
      <c r="J287"/>
    </row>
    <row r="288" spans="9:10" x14ac:dyDescent="0.25">
      <c r="I288"/>
      <c r="J288"/>
    </row>
    <row r="289" spans="9:10" x14ac:dyDescent="0.25">
      <c r="I289"/>
      <c r="J289"/>
    </row>
    <row r="290" spans="9:10" x14ac:dyDescent="0.25">
      <c r="I290"/>
      <c r="J290"/>
    </row>
    <row r="291" spans="9:10" x14ac:dyDescent="0.25">
      <c r="I291"/>
      <c r="J291"/>
    </row>
    <row r="292" spans="9:10" x14ac:dyDescent="0.25">
      <c r="I292"/>
      <c r="J292"/>
    </row>
    <row r="293" spans="9:10" x14ac:dyDescent="0.25">
      <c r="I293"/>
      <c r="J293"/>
    </row>
    <row r="294" spans="9:10" x14ac:dyDescent="0.25">
      <c r="I294"/>
      <c r="J294"/>
    </row>
    <row r="295" spans="9:10" x14ac:dyDescent="0.25">
      <c r="I295"/>
      <c r="J295"/>
    </row>
    <row r="296" spans="9:10" x14ac:dyDescent="0.25">
      <c r="I296"/>
      <c r="J296"/>
    </row>
    <row r="297" spans="9:10" x14ac:dyDescent="0.25">
      <c r="I297"/>
      <c r="J297"/>
    </row>
    <row r="298" spans="9:10" x14ac:dyDescent="0.25">
      <c r="I298"/>
      <c r="J298"/>
    </row>
    <row r="299" spans="9:10" x14ac:dyDescent="0.25">
      <c r="I299"/>
      <c r="J299"/>
    </row>
    <row r="300" spans="9:10" x14ac:dyDescent="0.25">
      <c r="I300"/>
      <c r="J300"/>
    </row>
    <row r="301" spans="9:10" x14ac:dyDescent="0.25">
      <c r="I301"/>
      <c r="J301"/>
    </row>
    <row r="302" spans="9:10" x14ac:dyDescent="0.25">
      <c r="I302"/>
      <c r="J302"/>
    </row>
    <row r="303" spans="9:10" x14ac:dyDescent="0.25">
      <c r="I303"/>
      <c r="J303"/>
    </row>
    <row r="304" spans="9:10" x14ac:dyDescent="0.25">
      <c r="I304"/>
      <c r="J304"/>
    </row>
    <row r="305" spans="9:10" x14ac:dyDescent="0.25">
      <c r="I305"/>
      <c r="J305"/>
    </row>
    <row r="306" spans="9:10" x14ac:dyDescent="0.25">
      <c r="I306"/>
      <c r="J306"/>
    </row>
    <row r="307" spans="9:10" x14ac:dyDescent="0.25">
      <c r="I307"/>
      <c r="J307"/>
    </row>
    <row r="308" spans="9:10" x14ac:dyDescent="0.25">
      <c r="I308"/>
      <c r="J308"/>
    </row>
    <row r="309" spans="9:10" x14ac:dyDescent="0.25">
      <c r="I309"/>
      <c r="J309"/>
    </row>
    <row r="310" spans="9:10" x14ac:dyDescent="0.25">
      <c r="I310"/>
      <c r="J310"/>
    </row>
    <row r="311" spans="9:10" x14ac:dyDescent="0.25">
      <c r="I311"/>
      <c r="J311"/>
    </row>
    <row r="312" spans="9:10" x14ac:dyDescent="0.25">
      <c r="I312"/>
      <c r="J312"/>
    </row>
    <row r="313" spans="9:10" x14ac:dyDescent="0.25">
      <c r="I313"/>
      <c r="J313"/>
    </row>
    <row r="314" spans="9:10" x14ac:dyDescent="0.25">
      <c r="I314"/>
      <c r="J314"/>
    </row>
    <row r="315" spans="9:10" x14ac:dyDescent="0.25">
      <c r="I315"/>
      <c r="J315"/>
    </row>
    <row r="316" spans="9:10" x14ac:dyDescent="0.25">
      <c r="I316"/>
      <c r="J316"/>
    </row>
    <row r="317" spans="9:10" x14ac:dyDescent="0.25">
      <c r="I317"/>
      <c r="J317"/>
    </row>
    <row r="318" spans="9:10" x14ac:dyDescent="0.25">
      <c r="I318"/>
      <c r="J318"/>
    </row>
    <row r="319" spans="9:10" x14ac:dyDescent="0.25">
      <c r="I319"/>
      <c r="J319"/>
    </row>
    <row r="320" spans="9:10" x14ac:dyDescent="0.25">
      <c r="I320"/>
      <c r="J320"/>
    </row>
    <row r="321" spans="9:10" x14ac:dyDescent="0.25">
      <c r="I321"/>
      <c r="J321"/>
    </row>
    <row r="322" spans="9:10" x14ac:dyDescent="0.25">
      <c r="I322"/>
      <c r="J322"/>
    </row>
    <row r="323" spans="9:10" x14ac:dyDescent="0.25">
      <c r="I323"/>
      <c r="J323"/>
    </row>
    <row r="324" spans="9:10" x14ac:dyDescent="0.25">
      <c r="I324"/>
      <c r="J324"/>
    </row>
    <row r="325" spans="9:10" x14ac:dyDescent="0.25">
      <c r="I325"/>
      <c r="J325"/>
    </row>
    <row r="326" spans="9:10" x14ac:dyDescent="0.25">
      <c r="I326"/>
      <c r="J326"/>
    </row>
    <row r="327" spans="9:10" x14ac:dyDescent="0.25">
      <c r="I327"/>
      <c r="J327"/>
    </row>
    <row r="328" spans="9:10" x14ac:dyDescent="0.25">
      <c r="I328"/>
      <c r="J328"/>
    </row>
    <row r="329" spans="9:10" x14ac:dyDescent="0.25">
      <c r="I329"/>
      <c r="J329"/>
    </row>
    <row r="330" spans="9:10" x14ac:dyDescent="0.25">
      <c r="I330"/>
      <c r="J330"/>
    </row>
    <row r="331" spans="9:10" x14ac:dyDescent="0.25">
      <c r="I331"/>
      <c r="J331"/>
    </row>
    <row r="332" spans="9:10" x14ac:dyDescent="0.25">
      <c r="I332"/>
      <c r="J332"/>
    </row>
    <row r="333" spans="9:10" x14ac:dyDescent="0.25">
      <c r="I333"/>
      <c r="J333"/>
    </row>
    <row r="334" spans="9:10" x14ac:dyDescent="0.25">
      <c r="I334"/>
      <c r="J334"/>
    </row>
    <row r="335" spans="9:10" x14ac:dyDescent="0.25">
      <c r="I335"/>
      <c r="J335"/>
    </row>
    <row r="336" spans="9:10" x14ac:dyDescent="0.25">
      <c r="I336"/>
      <c r="J336"/>
    </row>
    <row r="337" spans="9:10" x14ac:dyDescent="0.25">
      <c r="I337"/>
      <c r="J337"/>
    </row>
    <row r="338" spans="9:10" x14ac:dyDescent="0.25">
      <c r="I338"/>
      <c r="J338"/>
    </row>
    <row r="339" spans="9:10" x14ac:dyDescent="0.25">
      <c r="I339"/>
      <c r="J339"/>
    </row>
    <row r="340" spans="9:10" x14ac:dyDescent="0.25">
      <c r="I340"/>
      <c r="J340"/>
    </row>
    <row r="341" spans="9:10" x14ac:dyDescent="0.25">
      <c r="I341"/>
      <c r="J341"/>
    </row>
    <row r="342" spans="9:10" x14ac:dyDescent="0.25">
      <c r="I342"/>
      <c r="J342"/>
    </row>
    <row r="343" spans="9:10" x14ac:dyDescent="0.25">
      <c r="I343"/>
      <c r="J343"/>
    </row>
    <row r="344" spans="9:10" x14ac:dyDescent="0.25">
      <c r="I344"/>
      <c r="J344"/>
    </row>
    <row r="345" spans="9:10" x14ac:dyDescent="0.25">
      <c r="I345"/>
      <c r="J345"/>
    </row>
    <row r="346" spans="9:10" x14ac:dyDescent="0.25">
      <c r="I346"/>
      <c r="J346"/>
    </row>
    <row r="347" spans="9:10" x14ac:dyDescent="0.25">
      <c r="I347"/>
      <c r="J347"/>
    </row>
    <row r="348" spans="9:10" x14ac:dyDescent="0.25">
      <c r="I348"/>
      <c r="J348"/>
    </row>
    <row r="349" spans="9:10" x14ac:dyDescent="0.25">
      <c r="I349"/>
      <c r="J349"/>
    </row>
    <row r="350" spans="9:10" x14ac:dyDescent="0.25">
      <c r="I350"/>
      <c r="J350"/>
    </row>
    <row r="351" spans="9:10" x14ac:dyDescent="0.25">
      <c r="I351"/>
      <c r="J351"/>
    </row>
    <row r="352" spans="9:10" x14ac:dyDescent="0.25">
      <c r="I352"/>
      <c r="J352"/>
    </row>
    <row r="353" spans="9:10" x14ac:dyDescent="0.25">
      <c r="I353"/>
      <c r="J353"/>
    </row>
    <row r="354" spans="9:10" x14ac:dyDescent="0.25">
      <c r="I354"/>
      <c r="J354"/>
    </row>
    <row r="355" spans="9:10" x14ac:dyDescent="0.25">
      <c r="I355"/>
      <c r="J355"/>
    </row>
    <row r="356" spans="9:10" x14ac:dyDescent="0.25">
      <c r="I356"/>
      <c r="J356"/>
    </row>
    <row r="357" spans="9:10" x14ac:dyDescent="0.25">
      <c r="I357"/>
      <c r="J357"/>
    </row>
    <row r="358" spans="9:10" x14ac:dyDescent="0.25">
      <c r="I358"/>
      <c r="J358"/>
    </row>
    <row r="359" spans="9:10" x14ac:dyDescent="0.25">
      <c r="I359"/>
      <c r="J359"/>
    </row>
    <row r="360" spans="9:10" x14ac:dyDescent="0.25">
      <c r="I360"/>
      <c r="J360"/>
    </row>
    <row r="361" spans="9:10" x14ac:dyDescent="0.25">
      <c r="I361"/>
      <c r="J361"/>
    </row>
    <row r="362" spans="9:10" x14ac:dyDescent="0.25">
      <c r="I362"/>
      <c r="J362"/>
    </row>
    <row r="363" spans="9:10" x14ac:dyDescent="0.25">
      <c r="I363"/>
      <c r="J363"/>
    </row>
    <row r="364" spans="9:10" x14ac:dyDescent="0.25">
      <c r="I364"/>
      <c r="J364"/>
    </row>
    <row r="365" spans="9:10" x14ac:dyDescent="0.25">
      <c r="I365"/>
      <c r="J365"/>
    </row>
    <row r="366" spans="9:10" x14ac:dyDescent="0.25">
      <c r="I366"/>
      <c r="J366"/>
    </row>
    <row r="367" spans="9:10" x14ac:dyDescent="0.25">
      <c r="I367"/>
      <c r="J367"/>
    </row>
    <row r="368" spans="9:10" x14ac:dyDescent="0.25">
      <c r="I368"/>
      <c r="J368"/>
    </row>
    <row r="369" spans="9:10" x14ac:dyDescent="0.25">
      <c r="I369"/>
      <c r="J369"/>
    </row>
    <row r="370" spans="9:10" x14ac:dyDescent="0.25">
      <c r="I370"/>
      <c r="J370"/>
    </row>
    <row r="371" spans="9:10" x14ac:dyDescent="0.25">
      <c r="I371"/>
      <c r="J371"/>
    </row>
    <row r="372" spans="9:10" x14ac:dyDescent="0.25">
      <c r="I372"/>
      <c r="J372"/>
    </row>
    <row r="373" spans="9:10" x14ac:dyDescent="0.25">
      <c r="I373"/>
      <c r="J373"/>
    </row>
    <row r="374" spans="9:10" x14ac:dyDescent="0.25">
      <c r="I374"/>
      <c r="J374"/>
    </row>
    <row r="375" spans="9:10" x14ac:dyDescent="0.25">
      <c r="I375"/>
      <c r="J375"/>
    </row>
    <row r="376" spans="9:10" x14ac:dyDescent="0.25">
      <c r="I376"/>
      <c r="J376"/>
    </row>
    <row r="377" spans="9:10" x14ac:dyDescent="0.25">
      <c r="I377"/>
      <c r="J377"/>
    </row>
    <row r="378" spans="9:10" x14ac:dyDescent="0.25">
      <c r="I378"/>
      <c r="J378"/>
    </row>
    <row r="379" spans="9:10" x14ac:dyDescent="0.25">
      <c r="I379"/>
      <c r="J379"/>
    </row>
    <row r="380" spans="9:10" x14ac:dyDescent="0.25">
      <c r="I380"/>
      <c r="J380"/>
    </row>
    <row r="381" spans="9:10" x14ac:dyDescent="0.25">
      <c r="I381"/>
      <c r="J381"/>
    </row>
    <row r="382" spans="9:10" x14ac:dyDescent="0.25">
      <c r="I382"/>
      <c r="J382"/>
    </row>
    <row r="383" spans="9:10" x14ac:dyDescent="0.25">
      <c r="I383"/>
      <c r="J383"/>
    </row>
    <row r="384" spans="9:10" x14ac:dyDescent="0.25">
      <c r="I384"/>
      <c r="J384"/>
    </row>
    <row r="385" spans="9:10" x14ac:dyDescent="0.25">
      <c r="I385"/>
      <c r="J385"/>
    </row>
    <row r="386" spans="9:10" x14ac:dyDescent="0.25">
      <c r="I386"/>
      <c r="J386"/>
    </row>
    <row r="387" spans="9:10" x14ac:dyDescent="0.25">
      <c r="I387"/>
      <c r="J387"/>
    </row>
    <row r="388" spans="9:10" x14ac:dyDescent="0.25">
      <c r="I388"/>
      <c r="J388"/>
    </row>
    <row r="389" spans="9:10" x14ac:dyDescent="0.25">
      <c r="I389"/>
      <c r="J389"/>
    </row>
    <row r="390" spans="9:10" x14ac:dyDescent="0.25">
      <c r="I390"/>
      <c r="J390"/>
    </row>
    <row r="391" spans="9:10" x14ac:dyDescent="0.25">
      <c r="I391"/>
      <c r="J391"/>
    </row>
    <row r="392" spans="9:10" x14ac:dyDescent="0.25">
      <c r="I392"/>
      <c r="J392"/>
    </row>
    <row r="393" spans="9:10" x14ac:dyDescent="0.25">
      <c r="I393"/>
      <c r="J393"/>
    </row>
    <row r="394" spans="9:10" x14ac:dyDescent="0.25">
      <c r="I394"/>
      <c r="J394"/>
    </row>
    <row r="395" spans="9:10" x14ac:dyDescent="0.25">
      <c r="I395"/>
      <c r="J395"/>
    </row>
    <row r="396" spans="9:10" x14ac:dyDescent="0.25">
      <c r="I396"/>
      <c r="J396"/>
    </row>
    <row r="397" spans="9:10" x14ac:dyDescent="0.25">
      <c r="I397"/>
      <c r="J397"/>
    </row>
    <row r="398" spans="9:10" x14ac:dyDescent="0.25">
      <c r="I398"/>
      <c r="J398"/>
    </row>
    <row r="399" spans="9:10" x14ac:dyDescent="0.25">
      <c r="I399"/>
      <c r="J399"/>
    </row>
    <row r="400" spans="9:10" x14ac:dyDescent="0.25">
      <c r="I400"/>
      <c r="J400"/>
    </row>
    <row r="401" spans="9:10" x14ac:dyDescent="0.25">
      <c r="I401"/>
      <c r="J401"/>
    </row>
    <row r="402" spans="9:10" x14ac:dyDescent="0.25">
      <c r="I402"/>
      <c r="J402"/>
    </row>
    <row r="403" spans="9:10" x14ac:dyDescent="0.25">
      <c r="I403"/>
      <c r="J403"/>
    </row>
    <row r="404" spans="9:10" x14ac:dyDescent="0.25">
      <c r="I404"/>
      <c r="J404"/>
    </row>
    <row r="405" spans="9:10" x14ac:dyDescent="0.25">
      <c r="I405"/>
      <c r="J405"/>
    </row>
    <row r="406" spans="9:10" x14ac:dyDescent="0.25">
      <c r="I406"/>
      <c r="J406"/>
    </row>
    <row r="407" spans="9:10" x14ac:dyDescent="0.25">
      <c r="I407"/>
      <c r="J407"/>
    </row>
    <row r="408" spans="9:10" x14ac:dyDescent="0.25">
      <c r="I408"/>
      <c r="J408"/>
    </row>
    <row r="409" spans="9:10" x14ac:dyDescent="0.25">
      <c r="I409"/>
      <c r="J409"/>
    </row>
    <row r="410" spans="9:10" x14ac:dyDescent="0.25">
      <c r="I410"/>
      <c r="J410"/>
    </row>
    <row r="411" spans="9:10" x14ac:dyDescent="0.25">
      <c r="I411"/>
      <c r="J411"/>
    </row>
    <row r="412" spans="9:10" x14ac:dyDescent="0.25">
      <c r="I412"/>
      <c r="J412"/>
    </row>
    <row r="413" spans="9:10" x14ac:dyDescent="0.25">
      <c r="I413"/>
      <c r="J413"/>
    </row>
    <row r="414" spans="9:10" x14ac:dyDescent="0.25">
      <c r="I414"/>
      <c r="J414"/>
    </row>
    <row r="415" spans="9:10" x14ac:dyDescent="0.25">
      <c r="I415"/>
      <c r="J415"/>
    </row>
    <row r="416" spans="9:10" x14ac:dyDescent="0.25">
      <c r="I416"/>
      <c r="J416"/>
    </row>
    <row r="417" spans="9:10" x14ac:dyDescent="0.25">
      <c r="I417"/>
      <c r="J417"/>
    </row>
    <row r="418" spans="9:10" x14ac:dyDescent="0.25">
      <c r="I418"/>
      <c r="J418"/>
    </row>
    <row r="419" spans="9:10" x14ac:dyDescent="0.25">
      <c r="I419"/>
      <c r="J419"/>
    </row>
    <row r="420" spans="9:10" x14ac:dyDescent="0.25">
      <c r="I420"/>
      <c r="J420"/>
    </row>
    <row r="421" spans="9:10" x14ac:dyDescent="0.25">
      <c r="I421"/>
      <c r="J421"/>
    </row>
    <row r="422" spans="9:10" x14ac:dyDescent="0.25">
      <c r="I422"/>
      <c r="J422"/>
    </row>
    <row r="423" spans="9:10" x14ac:dyDescent="0.25">
      <c r="I423"/>
      <c r="J423"/>
    </row>
    <row r="424" spans="9:10" x14ac:dyDescent="0.25">
      <c r="I424"/>
      <c r="J424"/>
    </row>
    <row r="425" spans="9:10" x14ac:dyDescent="0.25">
      <c r="I425"/>
      <c r="J425"/>
    </row>
    <row r="426" spans="9:10" x14ac:dyDescent="0.25">
      <c r="I426"/>
      <c r="J426"/>
    </row>
    <row r="427" spans="9:10" x14ac:dyDescent="0.25">
      <c r="I427"/>
      <c r="J427"/>
    </row>
    <row r="428" spans="9:10" x14ac:dyDescent="0.25">
      <c r="I428"/>
      <c r="J428"/>
    </row>
    <row r="429" spans="9:10" x14ac:dyDescent="0.25">
      <c r="I429"/>
      <c r="J429"/>
    </row>
    <row r="430" spans="9:10" x14ac:dyDescent="0.25">
      <c r="I430"/>
      <c r="J430"/>
    </row>
    <row r="431" spans="9:10" x14ac:dyDescent="0.25">
      <c r="I431"/>
      <c r="J431"/>
    </row>
    <row r="432" spans="9:10" x14ac:dyDescent="0.25">
      <c r="I432"/>
      <c r="J432"/>
    </row>
    <row r="433" spans="9:10" x14ac:dyDescent="0.25">
      <c r="I433"/>
      <c r="J433"/>
    </row>
    <row r="434" spans="9:10" x14ac:dyDescent="0.25">
      <c r="I434"/>
      <c r="J434"/>
    </row>
    <row r="435" spans="9:10" x14ac:dyDescent="0.25">
      <c r="I435"/>
      <c r="J435"/>
    </row>
    <row r="436" spans="9:10" x14ac:dyDescent="0.25">
      <c r="I436"/>
      <c r="J436"/>
    </row>
    <row r="437" spans="9:10" x14ac:dyDescent="0.25">
      <c r="I437"/>
      <c r="J437"/>
    </row>
    <row r="438" spans="9:10" x14ac:dyDescent="0.25">
      <c r="I438"/>
      <c r="J438"/>
    </row>
    <row r="439" spans="9:10" x14ac:dyDescent="0.25">
      <c r="I439"/>
      <c r="J439"/>
    </row>
    <row r="440" spans="9:10" x14ac:dyDescent="0.25">
      <c r="I440"/>
      <c r="J440"/>
    </row>
    <row r="441" spans="9:10" x14ac:dyDescent="0.25">
      <c r="I441"/>
      <c r="J441"/>
    </row>
    <row r="442" spans="9:10" x14ac:dyDescent="0.25">
      <c r="I442"/>
      <c r="J442"/>
    </row>
    <row r="443" spans="9:10" x14ac:dyDescent="0.25">
      <c r="I443"/>
      <c r="J443"/>
    </row>
    <row r="444" spans="9:10" x14ac:dyDescent="0.25">
      <c r="I444"/>
      <c r="J444"/>
    </row>
    <row r="445" spans="9:10" x14ac:dyDescent="0.25">
      <c r="I445"/>
      <c r="J445"/>
    </row>
    <row r="446" spans="9:10" x14ac:dyDescent="0.25">
      <c r="I446"/>
      <c r="J446"/>
    </row>
    <row r="447" spans="9:10" x14ac:dyDescent="0.25">
      <c r="I447"/>
      <c r="J447"/>
    </row>
    <row r="448" spans="9:10" x14ac:dyDescent="0.25">
      <c r="I448"/>
      <c r="J448"/>
    </row>
    <row r="449" spans="9:10" x14ac:dyDescent="0.25">
      <c r="I449"/>
      <c r="J449"/>
    </row>
    <row r="450" spans="9:10" x14ac:dyDescent="0.25">
      <c r="I450"/>
      <c r="J450"/>
    </row>
    <row r="451" spans="9:10" x14ac:dyDescent="0.25">
      <c r="I451"/>
      <c r="J451"/>
    </row>
    <row r="452" spans="9:10" x14ac:dyDescent="0.25">
      <c r="I452"/>
      <c r="J452"/>
    </row>
    <row r="453" spans="9:10" x14ac:dyDescent="0.25">
      <c r="I453"/>
      <c r="J453"/>
    </row>
    <row r="454" spans="9:10" x14ac:dyDescent="0.25">
      <c r="I454"/>
      <c r="J454"/>
    </row>
    <row r="455" spans="9:10" x14ac:dyDescent="0.25">
      <c r="I455"/>
      <c r="J455"/>
    </row>
    <row r="456" spans="9:10" x14ac:dyDescent="0.25">
      <c r="I456"/>
      <c r="J456"/>
    </row>
    <row r="457" spans="9:10" x14ac:dyDescent="0.25">
      <c r="I457"/>
      <c r="J457"/>
    </row>
    <row r="458" spans="9:10" x14ac:dyDescent="0.25">
      <c r="I458"/>
      <c r="J458"/>
    </row>
    <row r="459" spans="9:10" x14ac:dyDescent="0.25">
      <c r="I459"/>
      <c r="J459"/>
    </row>
    <row r="460" spans="9:10" x14ac:dyDescent="0.25">
      <c r="I460"/>
      <c r="J460"/>
    </row>
    <row r="461" spans="9:10" x14ac:dyDescent="0.25">
      <c r="I461"/>
      <c r="J461"/>
    </row>
    <row r="462" spans="9:10" x14ac:dyDescent="0.25">
      <c r="I462"/>
      <c r="J462"/>
    </row>
    <row r="463" spans="9:10" x14ac:dyDescent="0.25">
      <c r="I463"/>
      <c r="J463"/>
    </row>
    <row r="464" spans="9:10" x14ac:dyDescent="0.25">
      <c r="I464"/>
      <c r="J464"/>
    </row>
    <row r="465" spans="9:10" x14ac:dyDescent="0.25">
      <c r="I465"/>
      <c r="J465"/>
    </row>
    <row r="466" spans="9:10" x14ac:dyDescent="0.25">
      <c r="I466"/>
      <c r="J466"/>
    </row>
    <row r="467" spans="9:10" x14ac:dyDescent="0.25">
      <c r="I467"/>
      <c r="J467"/>
    </row>
    <row r="468" spans="9:10" x14ac:dyDescent="0.25">
      <c r="I468"/>
      <c r="J468"/>
    </row>
    <row r="469" spans="9:10" x14ac:dyDescent="0.25">
      <c r="I469"/>
      <c r="J469"/>
    </row>
    <row r="470" spans="9:10" x14ac:dyDescent="0.25">
      <c r="I470"/>
      <c r="J470"/>
    </row>
    <row r="471" spans="9:10" x14ac:dyDescent="0.25">
      <c r="I471"/>
      <c r="J471"/>
    </row>
    <row r="472" spans="9:10" x14ac:dyDescent="0.25">
      <c r="I472"/>
      <c r="J472"/>
    </row>
    <row r="473" spans="9:10" x14ac:dyDescent="0.25">
      <c r="I473"/>
      <c r="J473"/>
    </row>
    <row r="474" spans="9:10" x14ac:dyDescent="0.25">
      <c r="I474"/>
      <c r="J474"/>
    </row>
    <row r="475" spans="9:10" x14ac:dyDescent="0.25">
      <c r="I475"/>
      <c r="J475"/>
    </row>
    <row r="476" spans="9:10" x14ac:dyDescent="0.25">
      <c r="I476"/>
      <c r="J476"/>
    </row>
    <row r="477" spans="9:10" x14ac:dyDescent="0.25">
      <c r="I477"/>
      <c r="J477"/>
    </row>
    <row r="478" spans="9:10" x14ac:dyDescent="0.25">
      <c r="I478"/>
      <c r="J478"/>
    </row>
    <row r="479" spans="9:10" x14ac:dyDescent="0.25">
      <c r="I479"/>
      <c r="J479"/>
    </row>
    <row r="480" spans="9:10" x14ac:dyDescent="0.25">
      <c r="I480"/>
      <c r="J480"/>
    </row>
    <row r="481" spans="9:10" x14ac:dyDescent="0.25">
      <c r="I481"/>
      <c r="J481"/>
    </row>
    <row r="482" spans="9:10" x14ac:dyDescent="0.25">
      <c r="I482"/>
      <c r="J482"/>
    </row>
    <row r="483" spans="9:10" x14ac:dyDescent="0.25">
      <c r="I483"/>
      <c r="J483"/>
    </row>
    <row r="484" spans="9:10" x14ac:dyDescent="0.25">
      <c r="I484"/>
      <c r="J484"/>
    </row>
    <row r="485" spans="9:10" x14ac:dyDescent="0.25">
      <c r="I485"/>
      <c r="J485"/>
    </row>
    <row r="486" spans="9:10" x14ac:dyDescent="0.25">
      <c r="I486"/>
      <c r="J486"/>
    </row>
    <row r="487" spans="9:10" x14ac:dyDescent="0.25">
      <c r="I487"/>
      <c r="J487"/>
    </row>
    <row r="488" spans="9:10" x14ac:dyDescent="0.25">
      <c r="I488"/>
      <c r="J488"/>
    </row>
    <row r="489" spans="9:10" x14ac:dyDescent="0.25">
      <c r="I489"/>
      <c r="J489"/>
    </row>
    <row r="490" spans="9:10" x14ac:dyDescent="0.25">
      <c r="I490"/>
      <c r="J490"/>
    </row>
    <row r="491" spans="9:10" x14ac:dyDescent="0.25">
      <c r="I491"/>
      <c r="J491"/>
    </row>
    <row r="492" spans="9:10" x14ac:dyDescent="0.25">
      <c r="I492"/>
      <c r="J492"/>
    </row>
    <row r="493" spans="9:10" x14ac:dyDescent="0.25">
      <c r="I493"/>
      <c r="J493"/>
    </row>
    <row r="494" spans="9:10" x14ac:dyDescent="0.25">
      <c r="I494"/>
      <c r="J494"/>
    </row>
    <row r="495" spans="9:10" x14ac:dyDescent="0.25">
      <c r="I495"/>
      <c r="J495"/>
    </row>
    <row r="496" spans="9:10" x14ac:dyDescent="0.25">
      <c r="I496"/>
      <c r="J496"/>
    </row>
    <row r="497" spans="9:10" x14ac:dyDescent="0.25">
      <c r="I497"/>
      <c r="J497"/>
    </row>
    <row r="498" spans="9:10" x14ac:dyDescent="0.25">
      <c r="I498"/>
      <c r="J498"/>
    </row>
    <row r="499" spans="9:10" x14ac:dyDescent="0.25">
      <c r="I499"/>
      <c r="J499"/>
    </row>
    <row r="500" spans="9:10" x14ac:dyDescent="0.25">
      <c r="I500"/>
      <c r="J500"/>
    </row>
    <row r="501" spans="9:10" x14ac:dyDescent="0.25">
      <c r="I501"/>
      <c r="J501"/>
    </row>
    <row r="502" spans="9:10" x14ac:dyDescent="0.25">
      <c r="I502"/>
      <c r="J502"/>
    </row>
    <row r="503" spans="9:10" x14ac:dyDescent="0.25">
      <c r="I503"/>
      <c r="J503"/>
    </row>
    <row r="504" spans="9:10" x14ac:dyDescent="0.25">
      <c r="I504"/>
      <c r="J504"/>
    </row>
    <row r="505" spans="9:10" x14ac:dyDescent="0.25">
      <c r="I505"/>
      <c r="J505"/>
    </row>
    <row r="506" spans="9:10" x14ac:dyDescent="0.25">
      <c r="I506"/>
      <c r="J506"/>
    </row>
    <row r="507" spans="9:10" x14ac:dyDescent="0.25">
      <c r="I507"/>
      <c r="J507"/>
    </row>
    <row r="508" spans="9:10" x14ac:dyDescent="0.25">
      <c r="I508"/>
      <c r="J508"/>
    </row>
    <row r="509" spans="9:10" x14ac:dyDescent="0.25">
      <c r="I509"/>
      <c r="J509"/>
    </row>
    <row r="510" spans="9:10" x14ac:dyDescent="0.25">
      <c r="I510"/>
      <c r="J510"/>
    </row>
    <row r="511" spans="9:10" x14ac:dyDescent="0.25">
      <c r="I511"/>
      <c r="J511"/>
    </row>
    <row r="512" spans="9:10" x14ac:dyDescent="0.25">
      <c r="I512"/>
      <c r="J512"/>
    </row>
    <row r="513" spans="9:10" x14ac:dyDescent="0.25">
      <c r="I513"/>
      <c r="J513"/>
    </row>
    <row r="514" spans="9:10" x14ac:dyDescent="0.25">
      <c r="I514"/>
      <c r="J514"/>
    </row>
    <row r="515" spans="9:10" x14ac:dyDescent="0.25">
      <c r="I515"/>
      <c r="J515"/>
    </row>
    <row r="516" spans="9:10" x14ac:dyDescent="0.25">
      <c r="I516"/>
      <c r="J516"/>
    </row>
    <row r="517" spans="9:10" x14ac:dyDescent="0.25">
      <c r="I517"/>
      <c r="J517"/>
    </row>
    <row r="518" spans="9:10" x14ac:dyDescent="0.25">
      <c r="I518"/>
      <c r="J518"/>
    </row>
    <row r="519" spans="9:10" x14ac:dyDescent="0.25">
      <c r="I519"/>
      <c r="J519"/>
    </row>
    <row r="520" spans="9:10" x14ac:dyDescent="0.25">
      <c r="I520"/>
      <c r="J520"/>
    </row>
    <row r="521" spans="9:10" x14ac:dyDescent="0.25">
      <c r="I521"/>
      <c r="J521"/>
    </row>
    <row r="522" spans="9:10" x14ac:dyDescent="0.25">
      <c r="I522"/>
      <c r="J522"/>
    </row>
    <row r="523" spans="9:10" x14ac:dyDescent="0.25">
      <c r="I523"/>
      <c r="J523"/>
    </row>
    <row r="524" spans="9:10" x14ac:dyDescent="0.25">
      <c r="I524"/>
      <c r="J524"/>
    </row>
    <row r="525" spans="9:10" x14ac:dyDescent="0.25">
      <c r="I525"/>
      <c r="J525"/>
    </row>
    <row r="526" spans="9:10" x14ac:dyDescent="0.25">
      <c r="I526"/>
      <c r="J526"/>
    </row>
    <row r="527" spans="9:10" x14ac:dyDescent="0.25">
      <c r="I527"/>
      <c r="J527"/>
    </row>
    <row r="528" spans="9:10" x14ac:dyDescent="0.25">
      <c r="I528"/>
      <c r="J528"/>
    </row>
    <row r="529" spans="9:10" x14ac:dyDescent="0.25">
      <c r="I529"/>
      <c r="J529"/>
    </row>
    <row r="530" spans="9:10" x14ac:dyDescent="0.25">
      <c r="I530"/>
      <c r="J530"/>
    </row>
    <row r="531" spans="9:10" x14ac:dyDescent="0.25">
      <c r="I531"/>
      <c r="J531"/>
    </row>
    <row r="532" spans="9:10" x14ac:dyDescent="0.25">
      <c r="I532"/>
      <c r="J532"/>
    </row>
    <row r="533" spans="9:10" x14ac:dyDescent="0.25">
      <c r="I533"/>
      <c r="J533"/>
    </row>
    <row r="534" spans="9:10" x14ac:dyDescent="0.25">
      <c r="I534"/>
      <c r="J534"/>
    </row>
    <row r="535" spans="9:10" x14ac:dyDescent="0.25">
      <c r="I535"/>
      <c r="J535"/>
    </row>
    <row r="536" spans="9:10" x14ac:dyDescent="0.25">
      <c r="I536"/>
      <c r="J536"/>
    </row>
    <row r="537" spans="9:10" x14ac:dyDescent="0.25">
      <c r="I537"/>
      <c r="J537"/>
    </row>
    <row r="538" spans="9:10" x14ac:dyDescent="0.25">
      <c r="I538"/>
      <c r="J538"/>
    </row>
    <row r="539" spans="9:10" x14ac:dyDescent="0.25">
      <c r="I539"/>
      <c r="J539"/>
    </row>
    <row r="540" spans="9:10" x14ac:dyDescent="0.25">
      <c r="I540"/>
      <c r="J540"/>
    </row>
    <row r="541" spans="9:10" x14ac:dyDescent="0.25">
      <c r="I541"/>
      <c r="J541"/>
    </row>
    <row r="542" spans="9:10" x14ac:dyDescent="0.25">
      <c r="I542"/>
      <c r="J542"/>
    </row>
    <row r="543" spans="9:10" x14ac:dyDescent="0.25">
      <c r="I543"/>
      <c r="J543"/>
    </row>
    <row r="544" spans="9:10" x14ac:dyDescent="0.25">
      <c r="I544"/>
      <c r="J544"/>
    </row>
    <row r="545" spans="9:10" x14ac:dyDescent="0.25">
      <c r="I545"/>
      <c r="J545"/>
    </row>
    <row r="546" spans="9:10" x14ac:dyDescent="0.25">
      <c r="I546"/>
      <c r="J546"/>
    </row>
    <row r="547" spans="9:10" x14ac:dyDescent="0.25">
      <c r="I547"/>
      <c r="J547"/>
    </row>
    <row r="548" spans="9:10" x14ac:dyDescent="0.25">
      <c r="I548"/>
      <c r="J548"/>
    </row>
    <row r="549" spans="9:10" x14ac:dyDescent="0.25">
      <c r="I549"/>
      <c r="J549"/>
    </row>
    <row r="550" spans="9:10" x14ac:dyDescent="0.25">
      <c r="I550"/>
      <c r="J550"/>
    </row>
    <row r="551" spans="9:10" x14ac:dyDescent="0.25">
      <c r="I551"/>
      <c r="J551"/>
    </row>
    <row r="552" spans="9:10" x14ac:dyDescent="0.25">
      <c r="I552"/>
      <c r="J552"/>
    </row>
    <row r="553" spans="9:10" x14ac:dyDescent="0.25">
      <c r="I553"/>
      <c r="J553"/>
    </row>
    <row r="554" spans="9:10" x14ac:dyDescent="0.25">
      <c r="I554"/>
      <c r="J554"/>
    </row>
    <row r="555" spans="9:10" x14ac:dyDescent="0.25">
      <c r="I555"/>
      <c r="J555"/>
    </row>
    <row r="556" spans="9:10" x14ac:dyDescent="0.25">
      <c r="I556"/>
      <c r="J556"/>
    </row>
    <row r="557" spans="9:10" x14ac:dyDescent="0.25">
      <c r="I557"/>
      <c r="J557"/>
    </row>
    <row r="558" spans="9:10" x14ac:dyDescent="0.25">
      <c r="I558"/>
      <c r="J558"/>
    </row>
    <row r="559" spans="9:10" x14ac:dyDescent="0.25">
      <c r="I559"/>
      <c r="J559"/>
    </row>
    <row r="560" spans="9:10" x14ac:dyDescent="0.25">
      <c r="I560"/>
      <c r="J560"/>
    </row>
    <row r="561" spans="9:10" x14ac:dyDescent="0.25">
      <c r="I561"/>
      <c r="J561"/>
    </row>
    <row r="562" spans="9:10" x14ac:dyDescent="0.25">
      <c r="I562"/>
      <c r="J562"/>
    </row>
    <row r="563" spans="9:10" x14ac:dyDescent="0.25">
      <c r="I563"/>
      <c r="J563"/>
    </row>
    <row r="564" spans="9:10" x14ac:dyDescent="0.25">
      <c r="I564"/>
      <c r="J564"/>
    </row>
    <row r="565" spans="9:10" x14ac:dyDescent="0.25">
      <c r="I565"/>
      <c r="J565"/>
    </row>
    <row r="566" spans="9:10" x14ac:dyDescent="0.25">
      <c r="I566"/>
      <c r="J566"/>
    </row>
    <row r="567" spans="9:10" x14ac:dyDescent="0.25">
      <c r="I567"/>
      <c r="J567"/>
    </row>
    <row r="568" spans="9:10" x14ac:dyDescent="0.25">
      <c r="I568"/>
      <c r="J568"/>
    </row>
    <row r="569" spans="9:10" x14ac:dyDescent="0.25">
      <c r="I569"/>
      <c r="J569"/>
    </row>
    <row r="570" spans="9:10" x14ac:dyDescent="0.25">
      <c r="I570"/>
      <c r="J570"/>
    </row>
    <row r="571" spans="9:10" x14ac:dyDescent="0.25">
      <c r="I571"/>
      <c r="J571"/>
    </row>
    <row r="572" spans="9:10" x14ac:dyDescent="0.25">
      <c r="I572"/>
      <c r="J572"/>
    </row>
    <row r="573" spans="9:10" x14ac:dyDescent="0.25">
      <c r="I573"/>
      <c r="J573"/>
    </row>
    <row r="574" spans="9:10" x14ac:dyDescent="0.25">
      <c r="I574"/>
      <c r="J574"/>
    </row>
    <row r="575" spans="9:10" x14ac:dyDescent="0.25">
      <c r="I575"/>
      <c r="J575"/>
    </row>
    <row r="576" spans="9:10" x14ac:dyDescent="0.25">
      <c r="I576"/>
      <c r="J576"/>
    </row>
    <row r="577" spans="9:10" x14ac:dyDescent="0.25">
      <c r="I577"/>
      <c r="J577"/>
    </row>
    <row r="578" spans="9:10" x14ac:dyDescent="0.25">
      <c r="I578"/>
      <c r="J578"/>
    </row>
    <row r="579" spans="9:10" x14ac:dyDescent="0.25">
      <c r="I579"/>
      <c r="J579"/>
    </row>
    <row r="580" spans="9:10" x14ac:dyDescent="0.25">
      <c r="I580"/>
      <c r="J580"/>
    </row>
    <row r="581" spans="9:10" x14ac:dyDescent="0.25">
      <c r="I581"/>
      <c r="J581"/>
    </row>
    <row r="582" spans="9:10" x14ac:dyDescent="0.25">
      <c r="I582"/>
      <c r="J582"/>
    </row>
    <row r="583" spans="9:10" x14ac:dyDescent="0.25">
      <c r="I583"/>
      <c r="J583"/>
    </row>
    <row r="584" spans="9:10" x14ac:dyDescent="0.25">
      <c r="I584"/>
      <c r="J584"/>
    </row>
    <row r="585" spans="9:10" x14ac:dyDescent="0.25">
      <c r="I585"/>
      <c r="J585"/>
    </row>
    <row r="586" spans="9:10" x14ac:dyDescent="0.25">
      <c r="I586"/>
      <c r="J586"/>
    </row>
    <row r="587" spans="9:10" x14ac:dyDescent="0.25">
      <c r="I587"/>
      <c r="J587"/>
    </row>
    <row r="588" spans="9:10" x14ac:dyDescent="0.25">
      <c r="I588"/>
      <c r="J588"/>
    </row>
    <row r="589" spans="9:10" x14ac:dyDescent="0.25">
      <c r="I589"/>
      <c r="J589"/>
    </row>
    <row r="590" spans="9:10" x14ac:dyDescent="0.25">
      <c r="I590"/>
      <c r="J590"/>
    </row>
    <row r="591" spans="9:10" x14ac:dyDescent="0.25">
      <c r="I591"/>
      <c r="J591"/>
    </row>
    <row r="592" spans="9:10" x14ac:dyDescent="0.25">
      <c r="I592"/>
      <c r="J592"/>
    </row>
    <row r="593" spans="9:10" x14ac:dyDescent="0.25">
      <c r="I593"/>
      <c r="J593"/>
    </row>
    <row r="594" spans="9:10" x14ac:dyDescent="0.25">
      <c r="I594"/>
      <c r="J594"/>
    </row>
    <row r="595" spans="9:10" x14ac:dyDescent="0.25">
      <c r="I595"/>
      <c r="J595"/>
    </row>
    <row r="596" spans="9:10" x14ac:dyDescent="0.25">
      <c r="I596"/>
      <c r="J596"/>
    </row>
    <row r="597" spans="9:10" x14ac:dyDescent="0.25">
      <c r="I597"/>
      <c r="J597"/>
    </row>
    <row r="598" spans="9:10" x14ac:dyDescent="0.25">
      <c r="I598"/>
      <c r="J598"/>
    </row>
    <row r="599" spans="9:10" x14ac:dyDescent="0.25">
      <c r="I599"/>
      <c r="J599"/>
    </row>
    <row r="600" spans="9:10" x14ac:dyDescent="0.25">
      <c r="I600"/>
      <c r="J600"/>
    </row>
    <row r="601" spans="9:10" x14ac:dyDescent="0.25">
      <c r="I601"/>
      <c r="J601"/>
    </row>
    <row r="602" spans="9:10" x14ac:dyDescent="0.25">
      <c r="I602"/>
      <c r="J602"/>
    </row>
    <row r="603" spans="9:10" x14ac:dyDescent="0.25">
      <c r="I603"/>
      <c r="J603"/>
    </row>
    <row r="604" spans="9:10" x14ac:dyDescent="0.25">
      <c r="I604"/>
      <c r="J604"/>
    </row>
    <row r="605" spans="9:10" x14ac:dyDescent="0.25">
      <c r="I605"/>
      <c r="J605"/>
    </row>
    <row r="606" spans="9:10" x14ac:dyDescent="0.25">
      <c r="I606"/>
      <c r="J606"/>
    </row>
    <row r="607" spans="9:10" x14ac:dyDescent="0.25">
      <c r="I607"/>
      <c r="J607"/>
    </row>
    <row r="608" spans="9:10" x14ac:dyDescent="0.25">
      <c r="I608"/>
      <c r="J608"/>
    </row>
    <row r="609" spans="9:10" x14ac:dyDescent="0.25">
      <c r="I609"/>
      <c r="J609"/>
    </row>
    <row r="610" spans="9:10" x14ac:dyDescent="0.25">
      <c r="I610"/>
      <c r="J610"/>
    </row>
    <row r="611" spans="9:10" x14ac:dyDescent="0.25">
      <c r="I611"/>
      <c r="J611"/>
    </row>
    <row r="612" spans="9:10" x14ac:dyDescent="0.25">
      <c r="I612"/>
      <c r="J612"/>
    </row>
    <row r="613" spans="9:10" x14ac:dyDescent="0.25">
      <c r="I613"/>
      <c r="J613"/>
    </row>
    <row r="614" spans="9:10" x14ac:dyDescent="0.25">
      <c r="I614"/>
      <c r="J614"/>
    </row>
    <row r="615" spans="9:10" x14ac:dyDescent="0.25">
      <c r="I615"/>
      <c r="J615"/>
    </row>
    <row r="616" spans="9:10" x14ac:dyDescent="0.25">
      <c r="I616"/>
      <c r="J616"/>
    </row>
    <row r="617" spans="9:10" x14ac:dyDescent="0.25">
      <c r="I617"/>
      <c r="J617"/>
    </row>
    <row r="618" spans="9:10" x14ac:dyDescent="0.25">
      <c r="I618"/>
      <c r="J618"/>
    </row>
    <row r="619" spans="9:10" x14ac:dyDescent="0.25">
      <c r="I619"/>
      <c r="J619"/>
    </row>
    <row r="620" spans="9:10" x14ac:dyDescent="0.25">
      <c r="I620"/>
      <c r="J620"/>
    </row>
    <row r="621" spans="9:10" x14ac:dyDescent="0.25">
      <c r="I621"/>
      <c r="J621"/>
    </row>
    <row r="622" spans="9:10" x14ac:dyDescent="0.25">
      <c r="I622"/>
      <c r="J622"/>
    </row>
    <row r="623" spans="9:10" x14ac:dyDescent="0.25">
      <c r="I623"/>
      <c r="J623"/>
    </row>
    <row r="624" spans="9:10" x14ac:dyDescent="0.25">
      <c r="I624"/>
      <c r="J624"/>
    </row>
    <row r="625" spans="9:10" x14ac:dyDescent="0.25">
      <c r="I625"/>
      <c r="J625"/>
    </row>
    <row r="626" spans="9:10" x14ac:dyDescent="0.25">
      <c r="I626"/>
      <c r="J626"/>
    </row>
    <row r="627" spans="9:10" x14ac:dyDescent="0.25">
      <c r="I627"/>
      <c r="J627"/>
    </row>
    <row r="628" spans="9:10" x14ac:dyDescent="0.25">
      <c r="I628"/>
      <c r="J628"/>
    </row>
    <row r="629" spans="9:10" x14ac:dyDescent="0.25">
      <c r="I629"/>
      <c r="J629"/>
    </row>
    <row r="630" spans="9:10" x14ac:dyDescent="0.25">
      <c r="I630"/>
      <c r="J630"/>
    </row>
    <row r="631" spans="9:10" x14ac:dyDescent="0.25">
      <c r="I631"/>
      <c r="J631"/>
    </row>
    <row r="632" spans="9:10" x14ac:dyDescent="0.25">
      <c r="I632"/>
      <c r="J632"/>
    </row>
    <row r="633" spans="9:10" x14ac:dyDescent="0.25">
      <c r="I633"/>
      <c r="J633"/>
    </row>
    <row r="634" spans="9:10" x14ac:dyDescent="0.25">
      <c r="I634"/>
      <c r="J634"/>
    </row>
    <row r="635" spans="9:10" x14ac:dyDescent="0.25">
      <c r="I635"/>
      <c r="J635"/>
    </row>
    <row r="636" spans="9:10" x14ac:dyDescent="0.25">
      <c r="I636"/>
      <c r="J636"/>
    </row>
    <row r="637" spans="9:10" x14ac:dyDescent="0.25">
      <c r="I637"/>
      <c r="J637"/>
    </row>
    <row r="638" spans="9:10" x14ac:dyDescent="0.25">
      <c r="I638"/>
      <c r="J638"/>
    </row>
    <row r="639" spans="9:10" x14ac:dyDescent="0.25">
      <c r="I639"/>
      <c r="J639"/>
    </row>
    <row r="640" spans="9:10" x14ac:dyDescent="0.25">
      <c r="I640"/>
      <c r="J640"/>
    </row>
    <row r="641" spans="9:10" x14ac:dyDescent="0.25">
      <c r="I641"/>
      <c r="J641"/>
    </row>
    <row r="642" spans="9:10" x14ac:dyDescent="0.25">
      <c r="I642"/>
      <c r="J642"/>
    </row>
    <row r="643" spans="9:10" x14ac:dyDescent="0.25">
      <c r="I643"/>
      <c r="J643"/>
    </row>
    <row r="644" spans="9:10" x14ac:dyDescent="0.25">
      <c r="I644"/>
      <c r="J644"/>
    </row>
    <row r="645" spans="9:10" x14ac:dyDescent="0.25">
      <c r="I645"/>
      <c r="J645"/>
    </row>
    <row r="646" spans="9:10" x14ac:dyDescent="0.25">
      <c r="I646"/>
      <c r="J646"/>
    </row>
    <row r="647" spans="9:10" x14ac:dyDescent="0.25">
      <c r="I647"/>
      <c r="J647"/>
    </row>
    <row r="648" spans="9:10" x14ac:dyDescent="0.25">
      <c r="I648"/>
      <c r="J648"/>
    </row>
    <row r="649" spans="9:10" x14ac:dyDescent="0.25">
      <c r="I649"/>
      <c r="J649"/>
    </row>
    <row r="650" spans="9:10" x14ac:dyDescent="0.25">
      <c r="I650"/>
      <c r="J650"/>
    </row>
    <row r="651" spans="9:10" x14ac:dyDescent="0.25">
      <c r="I651"/>
      <c r="J651"/>
    </row>
    <row r="652" spans="9:10" x14ac:dyDescent="0.25">
      <c r="I652"/>
      <c r="J652"/>
    </row>
    <row r="653" spans="9:10" x14ac:dyDescent="0.25">
      <c r="I653"/>
      <c r="J653"/>
    </row>
    <row r="654" spans="9:10" x14ac:dyDescent="0.25">
      <c r="I654"/>
      <c r="J654"/>
    </row>
    <row r="655" spans="9:10" x14ac:dyDescent="0.25">
      <c r="I655"/>
      <c r="J655"/>
    </row>
    <row r="656" spans="9:10" x14ac:dyDescent="0.25">
      <c r="I656"/>
      <c r="J656"/>
    </row>
    <row r="657" spans="9:10" x14ac:dyDescent="0.25">
      <c r="I657"/>
      <c r="J657"/>
    </row>
    <row r="658" spans="9:10" x14ac:dyDescent="0.25">
      <c r="I658"/>
      <c r="J658"/>
    </row>
    <row r="659" spans="9:10" x14ac:dyDescent="0.25">
      <c r="I659"/>
      <c r="J659"/>
    </row>
    <row r="660" spans="9:10" x14ac:dyDescent="0.25">
      <c r="I660"/>
      <c r="J660"/>
    </row>
    <row r="661" spans="9:10" x14ac:dyDescent="0.25">
      <c r="I661"/>
      <c r="J661"/>
    </row>
    <row r="662" spans="9:10" x14ac:dyDescent="0.25">
      <c r="I662"/>
      <c r="J662"/>
    </row>
    <row r="663" spans="9:10" x14ac:dyDescent="0.25">
      <c r="I663"/>
      <c r="J663"/>
    </row>
    <row r="664" spans="9:10" x14ac:dyDescent="0.25">
      <c r="I664"/>
      <c r="J664"/>
    </row>
    <row r="665" spans="9:10" x14ac:dyDescent="0.25">
      <c r="I665"/>
      <c r="J665"/>
    </row>
    <row r="666" spans="9:10" x14ac:dyDescent="0.25">
      <c r="I666"/>
      <c r="J666"/>
    </row>
    <row r="667" spans="9:10" x14ac:dyDescent="0.25">
      <c r="I667"/>
      <c r="J667"/>
    </row>
    <row r="668" spans="9:10" x14ac:dyDescent="0.25">
      <c r="I668"/>
      <c r="J668"/>
    </row>
    <row r="669" spans="9:10" x14ac:dyDescent="0.25">
      <c r="I669"/>
      <c r="J669"/>
    </row>
    <row r="670" spans="9:10" x14ac:dyDescent="0.25">
      <c r="I670"/>
      <c r="J670"/>
    </row>
    <row r="671" spans="9:10" x14ac:dyDescent="0.25">
      <c r="I671"/>
      <c r="J671"/>
    </row>
    <row r="672" spans="9:10" x14ac:dyDescent="0.25">
      <c r="I672"/>
      <c r="J672"/>
    </row>
    <row r="673" spans="9:10" x14ac:dyDescent="0.25">
      <c r="I673"/>
      <c r="J673"/>
    </row>
    <row r="674" spans="9:10" x14ac:dyDescent="0.25">
      <c r="I674"/>
      <c r="J674"/>
    </row>
    <row r="675" spans="9:10" x14ac:dyDescent="0.25">
      <c r="I675"/>
      <c r="J675"/>
    </row>
    <row r="676" spans="9:10" x14ac:dyDescent="0.25">
      <c r="I676"/>
      <c r="J676"/>
    </row>
    <row r="677" spans="9:10" x14ac:dyDescent="0.25">
      <c r="I677"/>
      <c r="J677"/>
    </row>
    <row r="678" spans="9:10" x14ac:dyDescent="0.25">
      <c r="I678"/>
      <c r="J678"/>
    </row>
    <row r="679" spans="9:10" x14ac:dyDescent="0.25">
      <c r="I679"/>
      <c r="J679"/>
    </row>
    <row r="680" spans="9:10" x14ac:dyDescent="0.25">
      <c r="I680"/>
      <c r="J680"/>
    </row>
    <row r="681" spans="9:10" x14ac:dyDescent="0.25">
      <c r="I681"/>
      <c r="J681"/>
    </row>
    <row r="682" spans="9:10" x14ac:dyDescent="0.25">
      <c r="I682"/>
      <c r="J682"/>
    </row>
    <row r="683" spans="9:10" x14ac:dyDescent="0.25">
      <c r="I683"/>
      <c r="J683"/>
    </row>
    <row r="684" spans="9:10" x14ac:dyDescent="0.25">
      <c r="I684"/>
      <c r="J684"/>
    </row>
    <row r="685" spans="9:10" x14ac:dyDescent="0.25">
      <c r="I685"/>
      <c r="J685"/>
    </row>
    <row r="686" spans="9:10" x14ac:dyDescent="0.25">
      <c r="I686"/>
      <c r="J686"/>
    </row>
    <row r="687" spans="9:10" x14ac:dyDescent="0.25">
      <c r="I687"/>
      <c r="J687"/>
    </row>
    <row r="688" spans="9:10" x14ac:dyDescent="0.25">
      <c r="I688"/>
      <c r="J688"/>
    </row>
    <row r="689" spans="9:10" x14ac:dyDescent="0.25">
      <c r="I689"/>
      <c r="J689"/>
    </row>
    <row r="690" spans="9:10" x14ac:dyDescent="0.25">
      <c r="I690"/>
      <c r="J690"/>
    </row>
    <row r="691" spans="9:10" x14ac:dyDescent="0.25">
      <c r="I691"/>
      <c r="J691"/>
    </row>
    <row r="692" spans="9:10" x14ac:dyDescent="0.25">
      <c r="I692"/>
      <c r="J692"/>
    </row>
    <row r="693" spans="9:10" x14ac:dyDescent="0.25">
      <c r="I693"/>
      <c r="J693"/>
    </row>
    <row r="694" spans="9:10" x14ac:dyDescent="0.25">
      <c r="I694"/>
      <c r="J694"/>
    </row>
    <row r="695" spans="9:10" x14ac:dyDescent="0.25">
      <c r="I695"/>
      <c r="J695"/>
    </row>
    <row r="696" spans="9:10" x14ac:dyDescent="0.25">
      <c r="I696"/>
      <c r="J696"/>
    </row>
    <row r="697" spans="9:10" x14ac:dyDescent="0.25">
      <c r="I697"/>
      <c r="J697"/>
    </row>
    <row r="698" spans="9:10" x14ac:dyDescent="0.25">
      <c r="I698"/>
      <c r="J698"/>
    </row>
    <row r="699" spans="9:10" x14ac:dyDescent="0.25">
      <c r="I699"/>
      <c r="J699"/>
    </row>
    <row r="700" spans="9:10" x14ac:dyDescent="0.25">
      <c r="I700"/>
      <c r="J700"/>
    </row>
    <row r="701" spans="9:10" x14ac:dyDescent="0.25">
      <c r="I701"/>
      <c r="J701"/>
    </row>
    <row r="702" spans="9:10" x14ac:dyDescent="0.25">
      <c r="I702"/>
      <c r="J702"/>
    </row>
    <row r="703" spans="9:10" x14ac:dyDescent="0.25">
      <c r="I703"/>
      <c r="J703"/>
    </row>
    <row r="704" spans="9:10" x14ac:dyDescent="0.25">
      <c r="I704"/>
      <c r="J704"/>
    </row>
    <row r="705" spans="9:10" x14ac:dyDescent="0.25">
      <c r="I705"/>
      <c r="J705"/>
    </row>
    <row r="706" spans="9:10" x14ac:dyDescent="0.25">
      <c r="I706"/>
      <c r="J706"/>
    </row>
    <row r="707" spans="9:10" x14ac:dyDescent="0.25">
      <c r="I707"/>
      <c r="J707"/>
    </row>
    <row r="708" spans="9:10" x14ac:dyDescent="0.25">
      <c r="I708"/>
      <c r="J708"/>
    </row>
    <row r="709" spans="9:10" x14ac:dyDescent="0.25">
      <c r="I709"/>
      <c r="J709"/>
    </row>
    <row r="710" spans="9:10" x14ac:dyDescent="0.25">
      <c r="I710"/>
      <c r="J710"/>
    </row>
    <row r="711" spans="9:10" x14ac:dyDescent="0.25">
      <c r="I711"/>
      <c r="J711"/>
    </row>
    <row r="712" spans="9:10" x14ac:dyDescent="0.25">
      <c r="I712"/>
      <c r="J712"/>
    </row>
    <row r="713" spans="9:10" x14ac:dyDescent="0.25">
      <c r="I713"/>
      <c r="J713"/>
    </row>
    <row r="714" spans="9:10" x14ac:dyDescent="0.25">
      <c r="I714"/>
      <c r="J714"/>
    </row>
    <row r="715" spans="9:10" x14ac:dyDescent="0.25">
      <c r="I715"/>
      <c r="J715"/>
    </row>
    <row r="716" spans="9:10" x14ac:dyDescent="0.25">
      <c r="I716"/>
      <c r="J716"/>
    </row>
    <row r="717" spans="9:10" x14ac:dyDescent="0.25">
      <c r="I717"/>
      <c r="J717"/>
    </row>
    <row r="718" spans="9:10" x14ac:dyDescent="0.25">
      <c r="I718"/>
      <c r="J718"/>
    </row>
    <row r="719" spans="9:10" x14ac:dyDescent="0.25">
      <c r="I719"/>
      <c r="J719"/>
    </row>
    <row r="720" spans="9:10" x14ac:dyDescent="0.25">
      <c r="I720"/>
      <c r="J720"/>
    </row>
    <row r="721" spans="9:10" x14ac:dyDescent="0.25">
      <c r="I721"/>
      <c r="J721"/>
    </row>
    <row r="722" spans="9:10" x14ac:dyDescent="0.25">
      <c r="I722"/>
      <c r="J722"/>
    </row>
    <row r="723" spans="9:10" x14ac:dyDescent="0.25">
      <c r="I723"/>
      <c r="J723"/>
    </row>
    <row r="724" spans="9:10" x14ac:dyDescent="0.25">
      <c r="I724"/>
      <c r="J724"/>
    </row>
    <row r="725" spans="9:10" x14ac:dyDescent="0.25">
      <c r="I725"/>
      <c r="J725"/>
    </row>
    <row r="726" spans="9:10" x14ac:dyDescent="0.25">
      <c r="I726"/>
      <c r="J726"/>
    </row>
    <row r="727" spans="9:10" x14ac:dyDescent="0.25">
      <c r="I727"/>
      <c r="J727"/>
    </row>
    <row r="728" spans="9:10" x14ac:dyDescent="0.25">
      <c r="I728"/>
      <c r="J728"/>
    </row>
    <row r="729" spans="9:10" x14ac:dyDescent="0.25">
      <c r="I729"/>
      <c r="J729"/>
    </row>
    <row r="730" spans="9:10" x14ac:dyDescent="0.25">
      <c r="I730"/>
      <c r="J730"/>
    </row>
    <row r="731" spans="9:10" x14ac:dyDescent="0.25">
      <c r="I731"/>
      <c r="J731"/>
    </row>
    <row r="732" spans="9:10" x14ac:dyDescent="0.25">
      <c r="I732"/>
      <c r="J732"/>
    </row>
    <row r="733" spans="9:10" x14ac:dyDescent="0.25">
      <c r="I733"/>
      <c r="J733"/>
    </row>
    <row r="734" spans="9:10" x14ac:dyDescent="0.25">
      <c r="I734"/>
      <c r="J734"/>
    </row>
    <row r="735" spans="9:10" x14ac:dyDescent="0.25">
      <c r="I735"/>
      <c r="J735"/>
    </row>
    <row r="736" spans="9:10" x14ac:dyDescent="0.25">
      <c r="I736"/>
      <c r="J736"/>
    </row>
    <row r="737" spans="9:10" x14ac:dyDescent="0.25">
      <c r="I737"/>
      <c r="J737"/>
    </row>
    <row r="738" spans="9:10" x14ac:dyDescent="0.25">
      <c r="I738"/>
      <c r="J738"/>
    </row>
    <row r="739" spans="9:10" x14ac:dyDescent="0.25">
      <c r="I739"/>
      <c r="J739"/>
    </row>
    <row r="740" spans="9:10" x14ac:dyDescent="0.25">
      <c r="I740"/>
      <c r="J740"/>
    </row>
    <row r="741" spans="9:10" x14ac:dyDescent="0.25">
      <c r="I741"/>
      <c r="J741"/>
    </row>
    <row r="742" spans="9:10" x14ac:dyDescent="0.25">
      <c r="I742"/>
      <c r="J742"/>
    </row>
    <row r="743" spans="9:10" x14ac:dyDescent="0.25">
      <c r="I743"/>
      <c r="J743"/>
    </row>
    <row r="744" spans="9:10" x14ac:dyDescent="0.25">
      <c r="I744"/>
      <c r="J744"/>
    </row>
    <row r="745" spans="9:10" x14ac:dyDescent="0.25">
      <c r="I745"/>
      <c r="J745"/>
    </row>
    <row r="746" spans="9:10" x14ac:dyDescent="0.25">
      <c r="I746"/>
      <c r="J746"/>
    </row>
    <row r="747" spans="9:10" x14ac:dyDescent="0.25">
      <c r="I747"/>
      <c r="J747"/>
    </row>
    <row r="748" spans="9:10" x14ac:dyDescent="0.25">
      <c r="I748"/>
      <c r="J748"/>
    </row>
    <row r="749" spans="9:10" x14ac:dyDescent="0.25">
      <c r="I749"/>
      <c r="J749"/>
    </row>
    <row r="750" spans="9:10" x14ac:dyDescent="0.25">
      <c r="I750"/>
      <c r="J750"/>
    </row>
    <row r="751" spans="9:10" x14ac:dyDescent="0.25">
      <c r="I751"/>
      <c r="J751"/>
    </row>
    <row r="752" spans="9:10" x14ac:dyDescent="0.25">
      <c r="I752"/>
      <c r="J752"/>
    </row>
    <row r="753" spans="9:10" x14ac:dyDescent="0.25">
      <c r="I753"/>
      <c r="J753"/>
    </row>
    <row r="754" spans="9:10" x14ac:dyDescent="0.25">
      <c r="I754"/>
      <c r="J754"/>
    </row>
    <row r="755" spans="9:10" x14ac:dyDescent="0.25">
      <c r="I755"/>
      <c r="J755"/>
    </row>
    <row r="756" spans="9:10" x14ac:dyDescent="0.25">
      <c r="I756"/>
      <c r="J756"/>
    </row>
    <row r="757" spans="9:10" x14ac:dyDescent="0.25">
      <c r="I757"/>
      <c r="J757"/>
    </row>
    <row r="758" spans="9:10" x14ac:dyDescent="0.25">
      <c r="I758"/>
      <c r="J758"/>
    </row>
    <row r="759" spans="9:10" x14ac:dyDescent="0.25">
      <c r="I759"/>
      <c r="J759"/>
    </row>
    <row r="760" spans="9:10" x14ac:dyDescent="0.25">
      <c r="I760"/>
      <c r="J760"/>
    </row>
    <row r="761" spans="9:10" x14ac:dyDescent="0.25">
      <c r="I761"/>
      <c r="J761"/>
    </row>
    <row r="762" spans="9:10" x14ac:dyDescent="0.25">
      <c r="I762"/>
      <c r="J762"/>
    </row>
    <row r="763" spans="9:10" x14ac:dyDescent="0.25">
      <c r="I763"/>
      <c r="J763"/>
    </row>
    <row r="764" spans="9:10" x14ac:dyDescent="0.25">
      <c r="I764"/>
      <c r="J764"/>
    </row>
    <row r="765" spans="9:10" x14ac:dyDescent="0.25">
      <c r="I765"/>
      <c r="J765"/>
    </row>
    <row r="766" spans="9:10" x14ac:dyDescent="0.25">
      <c r="I766"/>
      <c r="J766"/>
    </row>
    <row r="767" spans="9:10" x14ac:dyDescent="0.25">
      <c r="I767"/>
      <c r="J767"/>
    </row>
    <row r="768" spans="9:10" x14ac:dyDescent="0.25">
      <c r="I768"/>
      <c r="J768"/>
    </row>
    <row r="769" spans="9:10" x14ac:dyDescent="0.25">
      <c r="I769"/>
      <c r="J769"/>
    </row>
    <row r="770" spans="9:10" x14ac:dyDescent="0.25">
      <c r="I770"/>
      <c r="J770"/>
    </row>
    <row r="771" spans="9:10" x14ac:dyDescent="0.25">
      <c r="I771"/>
      <c r="J771"/>
    </row>
    <row r="772" spans="9:10" x14ac:dyDescent="0.25">
      <c r="I772"/>
      <c r="J772"/>
    </row>
    <row r="773" spans="9:10" x14ac:dyDescent="0.25">
      <c r="I773"/>
      <c r="J773"/>
    </row>
    <row r="774" spans="9:10" x14ac:dyDescent="0.25">
      <c r="I774"/>
      <c r="J774"/>
    </row>
    <row r="775" spans="9:10" x14ac:dyDescent="0.25">
      <c r="I775"/>
      <c r="J775"/>
    </row>
    <row r="776" spans="9:10" x14ac:dyDescent="0.25">
      <c r="I776"/>
      <c r="J776"/>
    </row>
    <row r="777" spans="9:10" x14ac:dyDescent="0.25">
      <c r="I777"/>
      <c r="J777"/>
    </row>
    <row r="778" spans="9:10" x14ac:dyDescent="0.25">
      <c r="I778"/>
      <c r="J778"/>
    </row>
    <row r="779" spans="9:10" x14ac:dyDescent="0.25">
      <c r="I779"/>
      <c r="J779"/>
    </row>
    <row r="780" spans="9:10" x14ac:dyDescent="0.25">
      <c r="I780"/>
      <c r="J780"/>
    </row>
    <row r="781" spans="9:10" x14ac:dyDescent="0.25">
      <c r="I781"/>
      <c r="J781"/>
    </row>
    <row r="782" spans="9:10" x14ac:dyDescent="0.25">
      <c r="I782"/>
      <c r="J782"/>
    </row>
    <row r="783" spans="9:10" x14ac:dyDescent="0.25">
      <c r="I783"/>
      <c r="J783"/>
    </row>
    <row r="784" spans="9:10" x14ac:dyDescent="0.25">
      <c r="I784"/>
      <c r="J784"/>
    </row>
    <row r="785" spans="9:10" x14ac:dyDescent="0.25">
      <c r="I785"/>
      <c r="J785"/>
    </row>
    <row r="786" spans="9:10" x14ac:dyDescent="0.25">
      <c r="I786"/>
      <c r="J786"/>
    </row>
    <row r="787" spans="9:10" x14ac:dyDescent="0.25">
      <c r="I787"/>
      <c r="J787"/>
    </row>
    <row r="788" spans="9:10" x14ac:dyDescent="0.25">
      <c r="I788"/>
      <c r="J788"/>
    </row>
    <row r="789" spans="9:10" x14ac:dyDescent="0.25">
      <c r="I789"/>
      <c r="J789"/>
    </row>
    <row r="790" spans="9:10" x14ac:dyDescent="0.25">
      <c r="I790"/>
      <c r="J790"/>
    </row>
    <row r="791" spans="9:10" x14ac:dyDescent="0.25">
      <c r="I791"/>
      <c r="J791"/>
    </row>
    <row r="792" spans="9:10" x14ac:dyDescent="0.25">
      <c r="I792"/>
      <c r="J792"/>
    </row>
    <row r="793" spans="9:10" x14ac:dyDescent="0.25">
      <c r="I793"/>
      <c r="J793"/>
    </row>
    <row r="794" spans="9:10" x14ac:dyDescent="0.25">
      <c r="I794"/>
      <c r="J794"/>
    </row>
    <row r="795" spans="9:10" x14ac:dyDescent="0.25">
      <c r="I795"/>
      <c r="J795"/>
    </row>
    <row r="796" spans="9:10" x14ac:dyDescent="0.25">
      <c r="I796"/>
      <c r="J796"/>
    </row>
    <row r="797" spans="9:10" x14ac:dyDescent="0.25">
      <c r="I797"/>
      <c r="J797"/>
    </row>
    <row r="798" spans="9:10" x14ac:dyDescent="0.25">
      <c r="I798"/>
      <c r="J798"/>
    </row>
    <row r="799" spans="9:10" x14ac:dyDescent="0.25">
      <c r="I799"/>
      <c r="J799"/>
    </row>
    <row r="800" spans="9:10" x14ac:dyDescent="0.25">
      <c r="I800"/>
      <c r="J800"/>
    </row>
    <row r="801" spans="9:10" x14ac:dyDescent="0.25">
      <c r="I801"/>
      <c r="J801"/>
    </row>
    <row r="802" spans="9:10" x14ac:dyDescent="0.25">
      <c r="I802"/>
      <c r="J802"/>
    </row>
    <row r="803" spans="9:10" x14ac:dyDescent="0.25">
      <c r="I803"/>
      <c r="J803"/>
    </row>
    <row r="804" spans="9:10" x14ac:dyDescent="0.25">
      <c r="I804"/>
      <c r="J804"/>
    </row>
    <row r="805" spans="9:10" x14ac:dyDescent="0.25">
      <c r="I805"/>
      <c r="J805"/>
    </row>
    <row r="806" spans="9:10" x14ac:dyDescent="0.25">
      <c r="I806"/>
      <c r="J806"/>
    </row>
    <row r="807" spans="9:10" x14ac:dyDescent="0.25">
      <c r="I807"/>
      <c r="J807"/>
    </row>
    <row r="808" spans="9:10" x14ac:dyDescent="0.25">
      <c r="I808"/>
      <c r="J808"/>
    </row>
    <row r="809" spans="9:10" x14ac:dyDescent="0.25">
      <c r="I809"/>
      <c r="J809"/>
    </row>
    <row r="810" spans="9:10" x14ac:dyDescent="0.25">
      <c r="I810"/>
      <c r="J810"/>
    </row>
    <row r="811" spans="9:10" x14ac:dyDescent="0.25">
      <c r="I811"/>
      <c r="J811"/>
    </row>
    <row r="812" spans="9:10" x14ac:dyDescent="0.25">
      <c r="I812"/>
      <c r="J812"/>
    </row>
    <row r="813" spans="9:10" x14ac:dyDescent="0.25">
      <c r="I813"/>
      <c r="J813"/>
    </row>
    <row r="814" spans="9:10" x14ac:dyDescent="0.25">
      <c r="I814"/>
      <c r="J814"/>
    </row>
    <row r="815" spans="9:10" x14ac:dyDescent="0.25">
      <c r="I815"/>
      <c r="J815"/>
    </row>
    <row r="816" spans="9:10" x14ac:dyDescent="0.25">
      <c r="I816"/>
      <c r="J816"/>
    </row>
    <row r="817" spans="9:10" x14ac:dyDescent="0.25">
      <c r="I817"/>
      <c r="J817"/>
    </row>
    <row r="818" spans="9:10" x14ac:dyDescent="0.25">
      <c r="I818"/>
      <c r="J818"/>
    </row>
    <row r="819" spans="9:10" x14ac:dyDescent="0.25">
      <c r="I819"/>
      <c r="J819"/>
    </row>
    <row r="820" spans="9:10" x14ac:dyDescent="0.25">
      <c r="I820"/>
      <c r="J820"/>
    </row>
    <row r="821" spans="9:10" x14ac:dyDescent="0.25">
      <c r="I821"/>
      <c r="J821"/>
    </row>
    <row r="822" spans="9:10" x14ac:dyDescent="0.25">
      <c r="I822"/>
      <c r="J822"/>
    </row>
    <row r="823" spans="9:10" x14ac:dyDescent="0.25">
      <c r="I823"/>
      <c r="J823"/>
    </row>
    <row r="824" spans="9:10" x14ac:dyDescent="0.25">
      <c r="I824"/>
      <c r="J824"/>
    </row>
    <row r="825" spans="9:10" x14ac:dyDescent="0.25">
      <c r="I825"/>
      <c r="J825"/>
    </row>
    <row r="826" spans="9:10" x14ac:dyDescent="0.25">
      <c r="I826"/>
      <c r="J826"/>
    </row>
    <row r="827" spans="9:10" x14ac:dyDescent="0.25">
      <c r="I827"/>
      <c r="J827"/>
    </row>
    <row r="828" spans="9:10" x14ac:dyDescent="0.25">
      <c r="I828"/>
      <c r="J828"/>
    </row>
    <row r="829" spans="9:10" x14ac:dyDescent="0.25">
      <c r="I829"/>
      <c r="J829"/>
    </row>
    <row r="830" spans="9:10" x14ac:dyDescent="0.25">
      <c r="I830"/>
      <c r="J830"/>
    </row>
    <row r="831" spans="9:10" x14ac:dyDescent="0.25">
      <c r="I831"/>
      <c r="J831"/>
    </row>
    <row r="832" spans="9:10" x14ac:dyDescent="0.25">
      <c r="I832"/>
      <c r="J832"/>
    </row>
    <row r="833" spans="9:10" x14ac:dyDescent="0.25">
      <c r="I833"/>
      <c r="J833"/>
    </row>
    <row r="834" spans="9:10" x14ac:dyDescent="0.25">
      <c r="I834"/>
      <c r="J834"/>
    </row>
    <row r="835" spans="9:10" x14ac:dyDescent="0.25">
      <c r="I835"/>
      <c r="J835"/>
    </row>
    <row r="836" spans="9:10" x14ac:dyDescent="0.25">
      <c r="I836"/>
      <c r="J836"/>
    </row>
    <row r="837" spans="9:10" x14ac:dyDescent="0.25">
      <c r="I837"/>
      <c r="J837"/>
    </row>
    <row r="838" spans="9:10" x14ac:dyDescent="0.25">
      <c r="I838"/>
      <c r="J838"/>
    </row>
    <row r="839" spans="9:10" x14ac:dyDescent="0.25">
      <c r="I839"/>
      <c r="J839"/>
    </row>
    <row r="840" spans="9:10" x14ac:dyDescent="0.25">
      <c r="I840"/>
      <c r="J840"/>
    </row>
    <row r="841" spans="9:10" x14ac:dyDescent="0.25">
      <c r="I841"/>
      <c r="J841"/>
    </row>
    <row r="842" spans="9:10" x14ac:dyDescent="0.25">
      <c r="I842"/>
      <c r="J842"/>
    </row>
    <row r="843" spans="9:10" x14ac:dyDescent="0.25">
      <c r="I843"/>
      <c r="J843"/>
    </row>
    <row r="844" spans="9:10" x14ac:dyDescent="0.25">
      <c r="I844"/>
      <c r="J844"/>
    </row>
    <row r="845" spans="9:10" x14ac:dyDescent="0.25">
      <c r="I845"/>
      <c r="J845"/>
    </row>
    <row r="846" spans="9:10" x14ac:dyDescent="0.25">
      <c r="I846"/>
      <c r="J846"/>
    </row>
    <row r="847" spans="9:10" x14ac:dyDescent="0.25">
      <c r="I847"/>
      <c r="J847"/>
    </row>
    <row r="848" spans="9:10" x14ac:dyDescent="0.25">
      <c r="I848"/>
      <c r="J848"/>
    </row>
    <row r="849" spans="9:10" x14ac:dyDescent="0.25">
      <c r="I849"/>
      <c r="J849"/>
    </row>
    <row r="850" spans="9:10" x14ac:dyDescent="0.25">
      <c r="I850"/>
      <c r="J850"/>
    </row>
    <row r="851" spans="9:10" x14ac:dyDescent="0.25">
      <c r="I851"/>
      <c r="J851"/>
    </row>
    <row r="852" spans="9:10" x14ac:dyDescent="0.25">
      <c r="I852"/>
      <c r="J852"/>
    </row>
    <row r="853" spans="9:10" x14ac:dyDescent="0.25">
      <c r="I853"/>
      <c r="J853"/>
    </row>
    <row r="854" spans="9:10" x14ac:dyDescent="0.25">
      <c r="I854"/>
      <c r="J854"/>
    </row>
    <row r="855" spans="9:10" x14ac:dyDescent="0.25">
      <c r="I855"/>
      <c r="J855"/>
    </row>
    <row r="856" spans="9:10" x14ac:dyDescent="0.25">
      <c r="I856"/>
      <c r="J856"/>
    </row>
    <row r="857" spans="9:10" x14ac:dyDescent="0.25">
      <c r="I857"/>
      <c r="J857"/>
    </row>
    <row r="858" spans="9:10" x14ac:dyDescent="0.25">
      <c r="I858"/>
      <c r="J858"/>
    </row>
    <row r="859" spans="9:10" x14ac:dyDescent="0.25">
      <c r="I859"/>
      <c r="J859"/>
    </row>
    <row r="860" spans="9:10" x14ac:dyDescent="0.25">
      <c r="I860"/>
      <c r="J860"/>
    </row>
    <row r="861" spans="9:10" x14ac:dyDescent="0.25">
      <c r="I861"/>
      <c r="J861"/>
    </row>
    <row r="862" spans="9:10" x14ac:dyDescent="0.25">
      <c r="I862"/>
      <c r="J862"/>
    </row>
    <row r="863" spans="9:10" x14ac:dyDescent="0.25">
      <c r="I863"/>
      <c r="J863"/>
    </row>
    <row r="864" spans="9:10" x14ac:dyDescent="0.25">
      <c r="I864"/>
      <c r="J864"/>
    </row>
    <row r="865" spans="9:10" x14ac:dyDescent="0.25">
      <c r="I865"/>
      <c r="J865"/>
    </row>
    <row r="866" spans="9:10" x14ac:dyDescent="0.25">
      <c r="I866"/>
      <c r="J866"/>
    </row>
    <row r="867" spans="9:10" x14ac:dyDescent="0.25">
      <c r="I867"/>
      <c r="J867"/>
    </row>
    <row r="868" spans="9:10" x14ac:dyDescent="0.25">
      <c r="I868"/>
      <c r="J868"/>
    </row>
    <row r="869" spans="9:10" x14ac:dyDescent="0.25">
      <c r="I869"/>
      <c r="J869"/>
    </row>
    <row r="870" spans="9:10" x14ac:dyDescent="0.25">
      <c r="I870"/>
      <c r="J870"/>
    </row>
    <row r="871" spans="9:10" x14ac:dyDescent="0.25">
      <c r="I871"/>
      <c r="J871"/>
    </row>
    <row r="872" spans="9:10" x14ac:dyDescent="0.25">
      <c r="I872"/>
      <c r="J872"/>
    </row>
    <row r="873" spans="9:10" x14ac:dyDescent="0.25">
      <c r="I873"/>
      <c r="J873"/>
    </row>
    <row r="874" spans="9:10" x14ac:dyDescent="0.25">
      <c r="I874"/>
      <c r="J874"/>
    </row>
    <row r="875" spans="9:10" x14ac:dyDescent="0.25">
      <c r="I875"/>
      <c r="J875"/>
    </row>
    <row r="876" spans="9:10" x14ac:dyDescent="0.25">
      <c r="I876"/>
      <c r="J876"/>
    </row>
    <row r="877" spans="9:10" x14ac:dyDescent="0.25">
      <c r="I877"/>
      <c r="J877"/>
    </row>
    <row r="878" spans="9:10" x14ac:dyDescent="0.25">
      <c r="I878"/>
      <c r="J878"/>
    </row>
    <row r="879" spans="9:10" x14ac:dyDescent="0.25">
      <c r="I879"/>
      <c r="J879"/>
    </row>
    <row r="880" spans="9:10" x14ac:dyDescent="0.25">
      <c r="I880"/>
      <c r="J880"/>
    </row>
    <row r="881" spans="9:10" x14ac:dyDescent="0.25">
      <c r="I881"/>
      <c r="J881"/>
    </row>
    <row r="882" spans="9:10" x14ac:dyDescent="0.25">
      <c r="I882"/>
      <c r="J882"/>
    </row>
    <row r="883" spans="9:10" x14ac:dyDescent="0.25">
      <c r="I883"/>
      <c r="J883"/>
    </row>
    <row r="884" spans="9:10" x14ac:dyDescent="0.25">
      <c r="I884"/>
      <c r="J884"/>
    </row>
    <row r="885" spans="9:10" x14ac:dyDescent="0.25">
      <c r="I885"/>
      <c r="J885"/>
    </row>
    <row r="886" spans="9:10" x14ac:dyDescent="0.25">
      <c r="I886"/>
      <c r="J886"/>
    </row>
    <row r="887" spans="9:10" x14ac:dyDescent="0.25">
      <c r="I887"/>
      <c r="J887"/>
    </row>
    <row r="888" spans="9:10" x14ac:dyDescent="0.25">
      <c r="I888"/>
      <c r="J888"/>
    </row>
    <row r="889" spans="9:10" x14ac:dyDescent="0.25">
      <c r="I889"/>
      <c r="J889"/>
    </row>
    <row r="890" spans="9:10" x14ac:dyDescent="0.25">
      <c r="I890"/>
      <c r="J890"/>
    </row>
    <row r="891" spans="9:10" x14ac:dyDescent="0.25">
      <c r="I891"/>
      <c r="J891"/>
    </row>
    <row r="892" spans="9:10" x14ac:dyDescent="0.25">
      <c r="I892"/>
      <c r="J892"/>
    </row>
    <row r="893" spans="9:10" x14ac:dyDescent="0.25">
      <c r="I893"/>
      <c r="J893"/>
    </row>
    <row r="894" spans="9:10" x14ac:dyDescent="0.25">
      <c r="I894"/>
      <c r="J894"/>
    </row>
    <row r="895" spans="9:10" x14ac:dyDescent="0.25">
      <c r="I895"/>
      <c r="J895"/>
    </row>
    <row r="896" spans="9:10" x14ac:dyDescent="0.25">
      <c r="I896"/>
      <c r="J896"/>
    </row>
    <row r="897" spans="9:10" x14ac:dyDescent="0.25">
      <c r="I897"/>
      <c r="J897"/>
    </row>
    <row r="898" spans="9:10" x14ac:dyDescent="0.25">
      <c r="I898"/>
      <c r="J898"/>
    </row>
    <row r="899" spans="9:10" x14ac:dyDescent="0.25">
      <c r="I899"/>
      <c r="J899"/>
    </row>
    <row r="900" spans="9:10" x14ac:dyDescent="0.25">
      <c r="I900"/>
      <c r="J900"/>
    </row>
    <row r="901" spans="9:10" x14ac:dyDescent="0.25">
      <c r="I901"/>
      <c r="J901"/>
    </row>
    <row r="902" spans="9:10" x14ac:dyDescent="0.25">
      <c r="I902"/>
      <c r="J902"/>
    </row>
    <row r="903" spans="9:10" x14ac:dyDescent="0.25">
      <c r="I903"/>
      <c r="J903"/>
    </row>
    <row r="904" spans="9:10" x14ac:dyDescent="0.25">
      <c r="I904"/>
      <c r="J904"/>
    </row>
    <row r="905" spans="9:10" x14ac:dyDescent="0.25">
      <c r="I905"/>
      <c r="J905"/>
    </row>
    <row r="906" spans="9:10" x14ac:dyDescent="0.25">
      <c r="I906"/>
      <c r="J906"/>
    </row>
    <row r="907" spans="9:10" x14ac:dyDescent="0.25">
      <c r="I907"/>
      <c r="J907"/>
    </row>
    <row r="908" spans="9:10" x14ac:dyDescent="0.25">
      <c r="I908"/>
      <c r="J908"/>
    </row>
    <row r="909" spans="9:10" x14ac:dyDescent="0.25">
      <c r="I909"/>
      <c r="J909"/>
    </row>
    <row r="910" spans="9:10" x14ac:dyDescent="0.25">
      <c r="I910"/>
      <c r="J910"/>
    </row>
    <row r="911" spans="9:10" x14ac:dyDescent="0.25">
      <c r="I911"/>
      <c r="J911"/>
    </row>
    <row r="912" spans="9:10" x14ac:dyDescent="0.25">
      <c r="I912"/>
      <c r="J912"/>
    </row>
    <row r="913" spans="9:10" x14ac:dyDescent="0.25">
      <c r="I913"/>
      <c r="J913"/>
    </row>
    <row r="914" spans="9:10" x14ac:dyDescent="0.25">
      <c r="I914"/>
      <c r="J914"/>
    </row>
    <row r="915" spans="9:10" x14ac:dyDescent="0.25">
      <c r="I915"/>
      <c r="J915"/>
    </row>
    <row r="916" spans="9:10" x14ac:dyDescent="0.25">
      <c r="I916"/>
      <c r="J916"/>
    </row>
    <row r="917" spans="9:10" x14ac:dyDescent="0.25">
      <c r="I917"/>
      <c r="J917"/>
    </row>
    <row r="918" spans="9:10" x14ac:dyDescent="0.25">
      <c r="I918"/>
      <c r="J918"/>
    </row>
    <row r="919" spans="9:10" x14ac:dyDescent="0.25">
      <c r="I919"/>
      <c r="J919"/>
    </row>
    <row r="920" spans="9:10" x14ac:dyDescent="0.25">
      <c r="I920"/>
      <c r="J920"/>
    </row>
    <row r="921" spans="9:10" x14ac:dyDescent="0.25">
      <c r="I921"/>
      <c r="J921"/>
    </row>
    <row r="922" spans="9:10" x14ac:dyDescent="0.25">
      <c r="I922"/>
      <c r="J922"/>
    </row>
    <row r="923" spans="9:10" x14ac:dyDescent="0.25">
      <c r="I923"/>
      <c r="J923"/>
    </row>
    <row r="924" spans="9:10" x14ac:dyDescent="0.25">
      <c r="I924"/>
      <c r="J924"/>
    </row>
    <row r="925" spans="9:10" x14ac:dyDescent="0.25">
      <c r="I925"/>
      <c r="J925"/>
    </row>
    <row r="926" spans="9:10" x14ac:dyDescent="0.25">
      <c r="I926"/>
      <c r="J926"/>
    </row>
    <row r="927" spans="9:10" x14ac:dyDescent="0.25">
      <c r="I927"/>
      <c r="J927"/>
    </row>
    <row r="928" spans="9:10" x14ac:dyDescent="0.25">
      <c r="I928"/>
      <c r="J928"/>
    </row>
    <row r="929" spans="9:10" x14ac:dyDescent="0.25">
      <c r="I929"/>
      <c r="J929"/>
    </row>
    <row r="930" spans="9:10" x14ac:dyDescent="0.25">
      <c r="I930"/>
      <c r="J930"/>
    </row>
    <row r="931" spans="9:10" x14ac:dyDescent="0.25">
      <c r="I931"/>
      <c r="J931"/>
    </row>
    <row r="932" spans="9:10" x14ac:dyDescent="0.25">
      <c r="I932"/>
      <c r="J932"/>
    </row>
    <row r="933" spans="9:10" x14ac:dyDescent="0.25">
      <c r="I933"/>
      <c r="J933"/>
    </row>
    <row r="934" spans="9:10" x14ac:dyDescent="0.25">
      <c r="I934"/>
      <c r="J934"/>
    </row>
    <row r="935" spans="9:10" x14ac:dyDescent="0.25">
      <c r="I935"/>
      <c r="J935"/>
    </row>
    <row r="936" spans="9:10" x14ac:dyDescent="0.25">
      <c r="I936"/>
      <c r="J936"/>
    </row>
    <row r="937" spans="9:10" x14ac:dyDescent="0.25">
      <c r="I937"/>
      <c r="J937"/>
    </row>
    <row r="938" spans="9:10" x14ac:dyDescent="0.25">
      <c r="I938"/>
      <c r="J938"/>
    </row>
    <row r="939" spans="9:10" x14ac:dyDescent="0.25">
      <c r="I939"/>
      <c r="J939"/>
    </row>
    <row r="940" spans="9:10" x14ac:dyDescent="0.25">
      <c r="I940"/>
      <c r="J940"/>
    </row>
    <row r="941" spans="9:10" x14ac:dyDescent="0.25">
      <c r="I941"/>
      <c r="J941"/>
    </row>
    <row r="942" spans="9:10" x14ac:dyDescent="0.25">
      <c r="I942"/>
      <c r="J942"/>
    </row>
    <row r="943" spans="9:10" x14ac:dyDescent="0.25">
      <c r="I943"/>
      <c r="J943"/>
    </row>
    <row r="944" spans="9:10" x14ac:dyDescent="0.25">
      <c r="I944"/>
      <c r="J944"/>
    </row>
    <row r="945" spans="9:10" x14ac:dyDescent="0.25">
      <c r="I945"/>
      <c r="J945"/>
    </row>
    <row r="946" spans="9:10" x14ac:dyDescent="0.25">
      <c r="I946"/>
      <c r="J946"/>
    </row>
    <row r="947" spans="9:10" x14ac:dyDescent="0.25">
      <c r="I947"/>
      <c r="J947"/>
    </row>
    <row r="948" spans="9:10" x14ac:dyDescent="0.25">
      <c r="I948"/>
      <c r="J948"/>
    </row>
    <row r="949" spans="9:10" x14ac:dyDescent="0.25">
      <c r="I949"/>
      <c r="J949"/>
    </row>
    <row r="950" spans="9:10" x14ac:dyDescent="0.25">
      <c r="I950"/>
      <c r="J950"/>
    </row>
    <row r="951" spans="9:10" x14ac:dyDescent="0.25">
      <c r="I951"/>
      <c r="J951"/>
    </row>
    <row r="952" spans="9:10" x14ac:dyDescent="0.25">
      <c r="I952"/>
      <c r="J952"/>
    </row>
    <row r="953" spans="9:10" x14ac:dyDescent="0.25">
      <c r="I953"/>
      <c r="J953"/>
    </row>
    <row r="954" spans="9:10" x14ac:dyDescent="0.25">
      <c r="I954"/>
      <c r="J954"/>
    </row>
    <row r="955" spans="9:10" x14ac:dyDescent="0.25">
      <c r="I955"/>
      <c r="J955"/>
    </row>
    <row r="956" spans="9:10" x14ac:dyDescent="0.25">
      <c r="I956"/>
      <c r="J956"/>
    </row>
    <row r="957" spans="9:10" x14ac:dyDescent="0.25">
      <c r="I957"/>
      <c r="J957"/>
    </row>
    <row r="958" spans="9:10" x14ac:dyDescent="0.25">
      <c r="I958"/>
      <c r="J958"/>
    </row>
    <row r="959" spans="9:10" x14ac:dyDescent="0.25">
      <c r="I959"/>
      <c r="J959"/>
    </row>
    <row r="960" spans="9:10" x14ac:dyDescent="0.25">
      <c r="I960"/>
      <c r="J960"/>
    </row>
    <row r="961" spans="9:10" x14ac:dyDescent="0.25">
      <c r="I961"/>
      <c r="J961"/>
    </row>
    <row r="962" spans="9:10" x14ac:dyDescent="0.25">
      <c r="I962"/>
      <c r="J962"/>
    </row>
    <row r="963" spans="9:10" x14ac:dyDescent="0.25">
      <c r="I963"/>
      <c r="J963"/>
    </row>
    <row r="964" spans="9:10" x14ac:dyDescent="0.25">
      <c r="I964"/>
      <c r="J964"/>
    </row>
    <row r="965" spans="9:10" x14ac:dyDescent="0.25">
      <c r="I965"/>
      <c r="J965"/>
    </row>
    <row r="966" spans="9:10" x14ac:dyDescent="0.25">
      <c r="I966"/>
      <c r="J966"/>
    </row>
    <row r="967" spans="9:10" x14ac:dyDescent="0.25">
      <c r="I967"/>
      <c r="J967"/>
    </row>
    <row r="968" spans="9:10" x14ac:dyDescent="0.25">
      <c r="I968"/>
      <c r="J968"/>
    </row>
    <row r="969" spans="9:10" x14ac:dyDescent="0.25">
      <c r="I969"/>
      <c r="J969"/>
    </row>
    <row r="970" spans="9:10" x14ac:dyDescent="0.25">
      <c r="I970"/>
      <c r="J970"/>
    </row>
    <row r="971" spans="9:10" x14ac:dyDescent="0.25">
      <c r="I971"/>
      <c r="J971"/>
    </row>
    <row r="972" spans="9:10" x14ac:dyDescent="0.25">
      <c r="I972"/>
      <c r="J972"/>
    </row>
    <row r="973" spans="9:10" x14ac:dyDescent="0.25">
      <c r="I973"/>
      <c r="J973"/>
    </row>
    <row r="974" spans="9:10" x14ac:dyDescent="0.25">
      <c r="I974"/>
      <c r="J974"/>
    </row>
    <row r="975" spans="9:10" x14ac:dyDescent="0.25">
      <c r="I975"/>
      <c r="J975"/>
    </row>
    <row r="976" spans="9:10" x14ac:dyDescent="0.25">
      <c r="I976"/>
      <c r="J976"/>
    </row>
    <row r="977" spans="9:10" x14ac:dyDescent="0.25">
      <c r="I977"/>
      <c r="J977"/>
    </row>
    <row r="978" spans="9:10" x14ac:dyDescent="0.25">
      <c r="I978"/>
      <c r="J978"/>
    </row>
    <row r="979" spans="9:10" x14ac:dyDescent="0.25">
      <c r="I979"/>
      <c r="J979"/>
    </row>
    <row r="980" spans="9:10" x14ac:dyDescent="0.25">
      <c r="I980"/>
      <c r="J980"/>
    </row>
    <row r="981" spans="9:10" x14ac:dyDescent="0.25">
      <c r="I981"/>
      <c r="J981"/>
    </row>
    <row r="982" spans="9:10" x14ac:dyDescent="0.25">
      <c r="I982"/>
      <c r="J982"/>
    </row>
    <row r="983" spans="9:10" x14ac:dyDescent="0.25">
      <c r="I983"/>
      <c r="J983"/>
    </row>
    <row r="984" spans="9:10" x14ac:dyDescent="0.25">
      <c r="I984"/>
      <c r="J984"/>
    </row>
    <row r="985" spans="9:10" x14ac:dyDescent="0.25">
      <c r="I985"/>
      <c r="J985"/>
    </row>
    <row r="986" spans="9:10" x14ac:dyDescent="0.25">
      <c r="I986"/>
      <c r="J986"/>
    </row>
    <row r="987" spans="9:10" x14ac:dyDescent="0.25">
      <c r="I987"/>
      <c r="J987"/>
    </row>
    <row r="988" spans="9:10" x14ac:dyDescent="0.25">
      <c r="I988"/>
      <c r="J988"/>
    </row>
    <row r="989" spans="9:10" x14ac:dyDescent="0.25">
      <c r="I989"/>
      <c r="J989"/>
    </row>
    <row r="990" spans="9:10" x14ac:dyDescent="0.25">
      <c r="I990"/>
      <c r="J990"/>
    </row>
    <row r="991" spans="9:10" x14ac:dyDescent="0.25">
      <c r="I991"/>
      <c r="J991"/>
    </row>
    <row r="992" spans="9:10" x14ac:dyDescent="0.25">
      <c r="I992"/>
      <c r="J992"/>
    </row>
    <row r="993" spans="9:10" x14ac:dyDescent="0.25">
      <c r="I993"/>
      <c r="J993"/>
    </row>
    <row r="994" spans="9:10" x14ac:dyDescent="0.25">
      <c r="I994"/>
      <c r="J994"/>
    </row>
    <row r="995" spans="9:10" x14ac:dyDescent="0.25">
      <c r="I995"/>
      <c r="J995"/>
    </row>
    <row r="996" spans="9:10" x14ac:dyDescent="0.25">
      <c r="I996"/>
      <c r="J996"/>
    </row>
    <row r="997" spans="9:10" x14ac:dyDescent="0.25">
      <c r="I997"/>
      <c r="J997"/>
    </row>
    <row r="998" spans="9:10" x14ac:dyDescent="0.25">
      <c r="I998"/>
      <c r="J998"/>
    </row>
    <row r="999" spans="9:10" x14ac:dyDescent="0.25">
      <c r="I999"/>
      <c r="J999"/>
    </row>
    <row r="1000" spans="9:10" x14ac:dyDescent="0.25">
      <c r="I1000"/>
      <c r="J1000"/>
    </row>
    <row r="1001" spans="9:10" x14ac:dyDescent="0.25">
      <c r="I1001"/>
      <c r="J1001"/>
    </row>
    <row r="1002" spans="9:10" x14ac:dyDescent="0.25">
      <c r="I1002"/>
      <c r="J1002"/>
    </row>
    <row r="1003" spans="9:10" x14ac:dyDescent="0.25">
      <c r="I1003"/>
      <c r="J1003"/>
    </row>
    <row r="1004" spans="9:10" x14ac:dyDescent="0.25">
      <c r="I1004"/>
      <c r="J1004"/>
    </row>
    <row r="1005" spans="9:10" x14ac:dyDescent="0.25">
      <c r="I1005"/>
      <c r="J1005"/>
    </row>
    <row r="1006" spans="9:10" x14ac:dyDescent="0.25">
      <c r="I1006"/>
      <c r="J1006"/>
    </row>
    <row r="1007" spans="9:10" x14ac:dyDescent="0.25">
      <c r="I1007"/>
      <c r="J1007"/>
    </row>
    <row r="1008" spans="9:10" x14ac:dyDescent="0.25">
      <c r="I1008"/>
      <c r="J1008"/>
    </row>
    <row r="1009" spans="9:10" x14ac:dyDescent="0.25">
      <c r="I1009"/>
      <c r="J1009"/>
    </row>
    <row r="1010" spans="9:10" x14ac:dyDescent="0.25">
      <c r="I1010"/>
      <c r="J1010"/>
    </row>
    <row r="1011" spans="9:10" x14ac:dyDescent="0.25">
      <c r="I1011"/>
      <c r="J1011"/>
    </row>
    <row r="1012" spans="9:10" x14ac:dyDescent="0.25">
      <c r="I1012"/>
      <c r="J1012"/>
    </row>
    <row r="1013" spans="9:10" x14ac:dyDescent="0.25">
      <c r="I1013"/>
      <c r="J1013"/>
    </row>
    <row r="1014" spans="9:10" x14ac:dyDescent="0.25">
      <c r="I1014"/>
      <c r="J1014"/>
    </row>
    <row r="1015" spans="9:10" x14ac:dyDescent="0.25">
      <c r="I1015"/>
      <c r="J1015"/>
    </row>
    <row r="1016" spans="9:10" x14ac:dyDescent="0.25">
      <c r="I1016"/>
      <c r="J1016"/>
    </row>
    <row r="1017" spans="9:10" x14ac:dyDescent="0.25">
      <c r="I1017"/>
      <c r="J1017"/>
    </row>
    <row r="1018" spans="9:10" x14ac:dyDescent="0.25">
      <c r="I1018"/>
      <c r="J1018"/>
    </row>
    <row r="1019" spans="9:10" x14ac:dyDescent="0.25">
      <c r="I1019"/>
      <c r="J1019"/>
    </row>
    <row r="1020" spans="9:10" x14ac:dyDescent="0.25">
      <c r="I1020"/>
      <c r="J1020"/>
    </row>
    <row r="1021" spans="9:10" x14ac:dyDescent="0.25">
      <c r="I1021"/>
      <c r="J1021"/>
    </row>
    <row r="1022" spans="9:10" x14ac:dyDescent="0.25">
      <c r="I1022"/>
      <c r="J1022"/>
    </row>
    <row r="1023" spans="9:10" x14ac:dyDescent="0.25">
      <c r="I1023"/>
      <c r="J1023"/>
    </row>
    <row r="1024" spans="9:10" x14ac:dyDescent="0.25">
      <c r="I1024"/>
      <c r="J1024"/>
    </row>
    <row r="1025" spans="9:10" x14ac:dyDescent="0.25">
      <c r="I1025"/>
      <c r="J1025"/>
    </row>
    <row r="1026" spans="9:10" x14ac:dyDescent="0.25">
      <c r="I1026"/>
      <c r="J1026"/>
    </row>
    <row r="1027" spans="9:10" x14ac:dyDescent="0.25">
      <c r="I1027"/>
      <c r="J1027"/>
    </row>
    <row r="1028" spans="9:10" x14ac:dyDescent="0.25">
      <c r="I1028"/>
      <c r="J1028"/>
    </row>
    <row r="1029" spans="9:10" x14ac:dyDescent="0.25">
      <c r="I1029"/>
      <c r="J1029"/>
    </row>
    <row r="1030" spans="9:10" x14ac:dyDescent="0.25">
      <c r="I1030"/>
      <c r="J1030"/>
    </row>
    <row r="1031" spans="9:10" x14ac:dyDescent="0.25">
      <c r="I1031"/>
      <c r="J1031"/>
    </row>
    <row r="1032" spans="9:10" x14ac:dyDescent="0.25">
      <c r="I1032"/>
      <c r="J1032"/>
    </row>
    <row r="1033" spans="9:10" x14ac:dyDescent="0.25">
      <c r="I1033"/>
      <c r="J1033"/>
    </row>
    <row r="1034" spans="9:10" x14ac:dyDescent="0.25">
      <c r="I1034"/>
      <c r="J1034"/>
    </row>
    <row r="1035" spans="9:10" x14ac:dyDescent="0.25">
      <c r="I1035"/>
      <c r="J1035"/>
    </row>
    <row r="1036" spans="9:10" x14ac:dyDescent="0.25">
      <c r="I1036"/>
      <c r="J1036"/>
    </row>
    <row r="1037" spans="9:10" x14ac:dyDescent="0.25">
      <c r="I1037"/>
      <c r="J1037"/>
    </row>
    <row r="1038" spans="9:10" x14ac:dyDescent="0.25">
      <c r="I1038"/>
      <c r="J1038"/>
    </row>
    <row r="1039" spans="9:10" x14ac:dyDescent="0.25">
      <c r="I1039"/>
      <c r="J1039"/>
    </row>
    <row r="1040" spans="9:10" x14ac:dyDescent="0.25">
      <c r="I1040"/>
      <c r="J1040"/>
    </row>
    <row r="1041" spans="9:10" x14ac:dyDescent="0.25">
      <c r="I1041"/>
      <c r="J1041"/>
    </row>
    <row r="1042" spans="9:10" x14ac:dyDescent="0.25">
      <c r="I1042"/>
      <c r="J1042"/>
    </row>
    <row r="1043" spans="9:10" x14ac:dyDescent="0.25">
      <c r="I1043"/>
      <c r="J1043"/>
    </row>
    <row r="1044" spans="9:10" x14ac:dyDescent="0.25">
      <c r="I1044"/>
      <c r="J1044"/>
    </row>
    <row r="1045" spans="9:10" x14ac:dyDescent="0.25">
      <c r="I1045"/>
      <c r="J1045"/>
    </row>
    <row r="1046" spans="9:10" x14ac:dyDescent="0.25">
      <c r="I1046"/>
      <c r="J1046"/>
    </row>
    <row r="1047" spans="9:10" x14ac:dyDescent="0.25">
      <c r="I1047"/>
      <c r="J1047"/>
    </row>
    <row r="1048" spans="9:10" x14ac:dyDescent="0.25">
      <c r="I1048"/>
      <c r="J1048"/>
    </row>
    <row r="1049" spans="9:10" x14ac:dyDescent="0.25">
      <c r="I1049"/>
      <c r="J1049"/>
    </row>
    <row r="1050" spans="9:10" x14ac:dyDescent="0.25">
      <c r="I1050"/>
      <c r="J1050"/>
    </row>
    <row r="1051" spans="9:10" x14ac:dyDescent="0.25">
      <c r="I1051"/>
      <c r="J1051"/>
    </row>
    <row r="1052" spans="9:10" x14ac:dyDescent="0.25">
      <c r="I1052"/>
      <c r="J1052"/>
    </row>
    <row r="1053" spans="9:10" x14ac:dyDescent="0.25">
      <c r="I1053"/>
      <c r="J1053"/>
    </row>
    <row r="1054" spans="9:10" x14ac:dyDescent="0.25">
      <c r="I1054"/>
      <c r="J1054"/>
    </row>
    <row r="1055" spans="9:10" x14ac:dyDescent="0.25">
      <c r="I1055"/>
      <c r="J1055"/>
    </row>
    <row r="1056" spans="9:10" x14ac:dyDescent="0.25">
      <c r="I1056"/>
      <c r="J1056"/>
    </row>
    <row r="1057" spans="9:10" x14ac:dyDescent="0.25">
      <c r="I1057"/>
      <c r="J1057"/>
    </row>
    <row r="1058" spans="9:10" x14ac:dyDescent="0.25">
      <c r="I1058"/>
      <c r="J1058"/>
    </row>
    <row r="1059" spans="9:10" x14ac:dyDescent="0.25">
      <c r="I1059"/>
      <c r="J1059"/>
    </row>
    <row r="1060" spans="9:10" x14ac:dyDescent="0.25">
      <c r="I1060"/>
      <c r="J1060"/>
    </row>
    <row r="1061" spans="9:10" x14ac:dyDescent="0.25">
      <c r="I1061"/>
      <c r="J1061"/>
    </row>
    <row r="1062" spans="9:10" x14ac:dyDescent="0.25">
      <c r="I1062"/>
      <c r="J1062"/>
    </row>
    <row r="1063" spans="9:10" x14ac:dyDescent="0.25">
      <c r="I1063"/>
      <c r="J1063"/>
    </row>
    <row r="1064" spans="9:10" x14ac:dyDescent="0.25">
      <c r="I1064"/>
      <c r="J1064"/>
    </row>
    <row r="1065" spans="9:10" x14ac:dyDescent="0.25">
      <c r="I1065"/>
      <c r="J1065"/>
    </row>
    <row r="1066" spans="9:10" x14ac:dyDescent="0.25">
      <c r="I1066"/>
      <c r="J1066"/>
    </row>
    <row r="1067" spans="9:10" x14ac:dyDescent="0.25">
      <c r="I1067"/>
      <c r="J1067"/>
    </row>
    <row r="1068" spans="9:10" x14ac:dyDescent="0.25">
      <c r="I1068"/>
      <c r="J1068"/>
    </row>
    <row r="1069" spans="9:10" x14ac:dyDescent="0.25">
      <c r="I1069"/>
      <c r="J1069"/>
    </row>
    <row r="1070" spans="9:10" x14ac:dyDescent="0.25">
      <c r="I1070"/>
      <c r="J1070"/>
    </row>
    <row r="1071" spans="9:10" x14ac:dyDescent="0.25">
      <c r="I1071"/>
      <c r="J1071"/>
    </row>
    <row r="1072" spans="9:10" x14ac:dyDescent="0.25">
      <c r="I1072"/>
      <c r="J1072"/>
    </row>
    <row r="1073" spans="9:10" x14ac:dyDescent="0.25">
      <c r="I1073"/>
      <c r="J1073"/>
    </row>
    <row r="1074" spans="9:10" x14ac:dyDescent="0.25">
      <c r="I1074"/>
      <c r="J1074"/>
    </row>
    <row r="1075" spans="9:10" x14ac:dyDescent="0.25">
      <c r="I1075"/>
      <c r="J1075"/>
    </row>
    <row r="1076" spans="9:10" x14ac:dyDescent="0.25">
      <c r="I1076"/>
      <c r="J1076"/>
    </row>
    <row r="1077" spans="9:10" x14ac:dyDescent="0.25">
      <c r="I1077"/>
      <c r="J1077"/>
    </row>
    <row r="1078" spans="9:10" x14ac:dyDescent="0.25">
      <c r="I1078"/>
      <c r="J1078"/>
    </row>
    <row r="1079" spans="9:10" x14ac:dyDescent="0.25">
      <c r="I1079"/>
      <c r="J1079"/>
    </row>
    <row r="1080" spans="9:10" x14ac:dyDescent="0.25">
      <c r="I1080"/>
      <c r="J1080"/>
    </row>
    <row r="1081" spans="9:10" x14ac:dyDescent="0.25">
      <c r="I1081"/>
      <c r="J1081"/>
    </row>
    <row r="1082" spans="9:10" x14ac:dyDescent="0.25">
      <c r="I1082"/>
      <c r="J1082"/>
    </row>
    <row r="1083" spans="9:10" x14ac:dyDescent="0.25">
      <c r="I1083"/>
      <c r="J1083"/>
    </row>
    <row r="1084" spans="9:10" x14ac:dyDescent="0.25">
      <c r="I1084"/>
      <c r="J1084"/>
    </row>
    <row r="1085" spans="9:10" x14ac:dyDescent="0.25">
      <c r="I1085"/>
      <c r="J1085"/>
    </row>
    <row r="1086" spans="9:10" x14ac:dyDescent="0.25">
      <c r="I1086"/>
      <c r="J1086"/>
    </row>
    <row r="1087" spans="9:10" x14ac:dyDescent="0.25">
      <c r="I1087"/>
      <c r="J1087"/>
    </row>
    <row r="1088" spans="9:10" x14ac:dyDescent="0.25">
      <c r="I1088"/>
      <c r="J1088"/>
    </row>
    <row r="1089" spans="9:10" x14ac:dyDescent="0.25">
      <c r="I1089"/>
      <c r="J1089"/>
    </row>
    <row r="1090" spans="9:10" x14ac:dyDescent="0.25">
      <c r="I1090"/>
      <c r="J1090"/>
    </row>
    <row r="1091" spans="9:10" x14ac:dyDescent="0.25">
      <c r="I1091"/>
      <c r="J1091"/>
    </row>
    <row r="1092" spans="9:10" x14ac:dyDescent="0.25">
      <c r="I1092"/>
      <c r="J1092"/>
    </row>
    <row r="1093" spans="9:10" x14ac:dyDescent="0.25">
      <c r="I1093"/>
      <c r="J1093"/>
    </row>
    <row r="1094" spans="9:10" x14ac:dyDescent="0.25">
      <c r="I1094"/>
      <c r="J1094"/>
    </row>
    <row r="1095" spans="9:10" x14ac:dyDescent="0.25">
      <c r="I1095"/>
      <c r="J1095"/>
    </row>
    <row r="1096" spans="9:10" x14ac:dyDescent="0.25">
      <c r="I1096"/>
      <c r="J1096"/>
    </row>
    <row r="1097" spans="9:10" x14ac:dyDescent="0.25">
      <c r="I1097"/>
      <c r="J1097"/>
    </row>
    <row r="1098" spans="9:10" x14ac:dyDescent="0.25">
      <c r="I1098"/>
      <c r="J1098"/>
    </row>
    <row r="1099" spans="9:10" x14ac:dyDescent="0.25">
      <c r="I1099"/>
      <c r="J1099"/>
    </row>
    <row r="1100" spans="9:10" x14ac:dyDescent="0.25">
      <c r="I1100"/>
      <c r="J1100"/>
    </row>
    <row r="1101" spans="9:10" x14ac:dyDescent="0.25">
      <c r="I1101"/>
      <c r="J1101"/>
    </row>
    <row r="1102" spans="9:10" x14ac:dyDescent="0.25">
      <c r="I1102"/>
      <c r="J1102"/>
    </row>
    <row r="1103" spans="9:10" x14ac:dyDescent="0.25">
      <c r="I1103"/>
      <c r="J1103"/>
    </row>
    <row r="1104" spans="9:10" x14ac:dyDescent="0.25">
      <c r="I1104"/>
      <c r="J1104"/>
    </row>
    <row r="1105" spans="9:10" x14ac:dyDescent="0.25">
      <c r="I1105"/>
      <c r="J1105"/>
    </row>
    <row r="1106" spans="9:10" x14ac:dyDescent="0.25">
      <c r="I1106"/>
      <c r="J1106"/>
    </row>
    <row r="1107" spans="9:10" x14ac:dyDescent="0.25">
      <c r="I1107"/>
      <c r="J1107"/>
    </row>
    <row r="1108" spans="9:10" x14ac:dyDescent="0.25">
      <c r="I1108"/>
      <c r="J1108"/>
    </row>
    <row r="1109" spans="9:10" x14ac:dyDescent="0.25">
      <c r="I1109"/>
      <c r="J1109"/>
    </row>
    <row r="1110" spans="9:10" x14ac:dyDescent="0.25">
      <c r="I1110"/>
      <c r="J1110"/>
    </row>
    <row r="1111" spans="9:10" x14ac:dyDescent="0.25">
      <c r="I1111"/>
      <c r="J1111"/>
    </row>
    <row r="1112" spans="9:10" x14ac:dyDescent="0.25">
      <c r="I1112"/>
      <c r="J1112"/>
    </row>
    <row r="1113" spans="9:10" x14ac:dyDescent="0.25">
      <c r="I1113"/>
      <c r="J1113"/>
    </row>
    <row r="1114" spans="9:10" x14ac:dyDescent="0.25">
      <c r="I1114"/>
      <c r="J1114"/>
    </row>
    <row r="1115" spans="9:10" x14ac:dyDescent="0.25">
      <c r="I1115"/>
      <c r="J1115"/>
    </row>
    <row r="1116" spans="9:10" x14ac:dyDescent="0.25">
      <c r="I1116"/>
      <c r="J1116"/>
    </row>
    <row r="1117" spans="9:10" x14ac:dyDescent="0.25">
      <c r="I1117"/>
      <c r="J1117"/>
    </row>
    <row r="1118" spans="9:10" x14ac:dyDescent="0.25">
      <c r="I1118"/>
      <c r="J1118"/>
    </row>
    <row r="1119" spans="9:10" x14ac:dyDescent="0.25">
      <c r="I1119"/>
      <c r="J1119"/>
    </row>
    <row r="1120" spans="9:10" x14ac:dyDescent="0.25">
      <c r="I1120"/>
      <c r="J1120"/>
    </row>
    <row r="1121" spans="9:10" x14ac:dyDescent="0.25">
      <c r="I1121"/>
      <c r="J1121"/>
    </row>
    <row r="1122" spans="9:10" x14ac:dyDescent="0.25">
      <c r="I1122"/>
      <c r="J1122"/>
    </row>
    <row r="1123" spans="9:10" x14ac:dyDescent="0.25">
      <c r="I1123"/>
      <c r="J1123"/>
    </row>
    <row r="1124" spans="9:10" x14ac:dyDescent="0.25">
      <c r="I1124"/>
      <c r="J1124"/>
    </row>
    <row r="1125" spans="9:10" x14ac:dyDescent="0.25">
      <c r="I1125"/>
      <c r="J1125"/>
    </row>
    <row r="1126" spans="9:10" x14ac:dyDescent="0.25">
      <c r="I1126"/>
      <c r="J1126"/>
    </row>
    <row r="1127" spans="9:10" x14ac:dyDescent="0.25">
      <c r="I1127"/>
      <c r="J1127"/>
    </row>
    <row r="1128" spans="9:10" x14ac:dyDescent="0.25">
      <c r="I1128"/>
      <c r="J1128"/>
    </row>
    <row r="1129" spans="9:10" x14ac:dyDescent="0.25">
      <c r="I1129"/>
      <c r="J1129"/>
    </row>
    <row r="1130" spans="9:10" x14ac:dyDescent="0.25">
      <c r="I1130"/>
      <c r="J1130"/>
    </row>
    <row r="1131" spans="9:10" x14ac:dyDescent="0.25">
      <c r="I1131"/>
      <c r="J1131"/>
    </row>
    <row r="1132" spans="9:10" x14ac:dyDescent="0.25">
      <c r="I1132"/>
      <c r="J1132"/>
    </row>
    <row r="1133" spans="9:10" x14ac:dyDescent="0.25">
      <c r="I1133"/>
      <c r="J1133"/>
    </row>
    <row r="1134" spans="9:10" x14ac:dyDescent="0.25">
      <c r="I1134"/>
      <c r="J1134"/>
    </row>
    <row r="1135" spans="9:10" x14ac:dyDescent="0.25">
      <c r="I1135"/>
      <c r="J1135"/>
    </row>
    <row r="1136" spans="9:10" x14ac:dyDescent="0.25">
      <c r="I1136"/>
      <c r="J1136"/>
    </row>
    <row r="1137" spans="9:10" x14ac:dyDescent="0.25">
      <c r="I1137"/>
      <c r="J1137"/>
    </row>
    <row r="1138" spans="9:10" x14ac:dyDescent="0.25">
      <c r="I1138"/>
      <c r="J1138"/>
    </row>
    <row r="1139" spans="9:10" x14ac:dyDescent="0.25">
      <c r="I1139"/>
      <c r="J1139"/>
    </row>
    <row r="1140" spans="9:10" x14ac:dyDescent="0.25">
      <c r="I1140"/>
      <c r="J1140"/>
    </row>
    <row r="1141" spans="9:10" x14ac:dyDescent="0.25">
      <c r="I1141"/>
      <c r="J1141"/>
    </row>
    <row r="1142" spans="9:10" x14ac:dyDescent="0.25">
      <c r="I1142"/>
      <c r="J1142"/>
    </row>
    <row r="1143" spans="9:10" x14ac:dyDescent="0.25">
      <c r="I1143"/>
      <c r="J1143"/>
    </row>
    <row r="1144" spans="9:10" x14ac:dyDescent="0.25">
      <c r="I1144"/>
      <c r="J1144"/>
    </row>
    <row r="1145" spans="9:10" x14ac:dyDescent="0.25">
      <c r="I1145"/>
      <c r="J1145"/>
    </row>
    <row r="1146" spans="9:10" x14ac:dyDescent="0.25">
      <c r="I1146"/>
      <c r="J1146"/>
    </row>
    <row r="1147" spans="9:10" x14ac:dyDescent="0.25">
      <c r="I1147"/>
      <c r="J1147"/>
    </row>
    <row r="1148" spans="9:10" x14ac:dyDescent="0.25">
      <c r="I1148"/>
      <c r="J1148"/>
    </row>
    <row r="1149" spans="9:10" x14ac:dyDescent="0.25">
      <c r="I1149"/>
      <c r="J1149"/>
    </row>
    <row r="1150" spans="9:10" x14ac:dyDescent="0.25">
      <c r="I1150"/>
      <c r="J1150"/>
    </row>
    <row r="1151" spans="9:10" x14ac:dyDescent="0.25">
      <c r="I1151"/>
      <c r="J1151"/>
    </row>
    <row r="1152" spans="9:10" x14ac:dyDescent="0.25">
      <c r="I1152"/>
      <c r="J1152"/>
    </row>
    <row r="1153" spans="9:10" x14ac:dyDescent="0.25">
      <c r="I1153"/>
      <c r="J1153"/>
    </row>
    <row r="1154" spans="9:10" x14ac:dyDescent="0.25">
      <c r="I1154"/>
      <c r="J1154"/>
    </row>
    <row r="1155" spans="9:10" x14ac:dyDescent="0.25">
      <c r="I1155"/>
      <c r="J1155"/>
    </row>
    <row r="1156" spans="9:10" x14ac:dyDescent="0.25">
      <c r="I1156"/>
      <c r="J1156"/>
    </row>
    <row r="1157" spans="9:10" x14ac:dyDescent="0.25">
      <c r="I1157"/>
      <c r="J1157"/>
    </row>
    <row r="1158" spans="9:10" x14ac:dyDescent="0.25">
      <c r="I1158"/>
      <c r="J1158"/>
    </row>
    <row r="1159" spans="9:10" x14ac:dyDescent="0.25">
      <c r="I1159"/>
      <c r="J1159"/>
    </row>
    <row r="1160" spans="9:10" x14ac:dyDescent="0.25">
      <c r="I1160"/>
      <c r="J1160"/>
    </row>
    <row r="1161" spans="9:10" x14ac:dyDescent="0.25">
      <c r="I1161"/>
      <c r="J1161"/>
    </row>
    <row r="1162" spans="9:10" x14ac:dyDescent="0.25">
      <c r="I1162"/>
      <c r="J1162"/>
    </row>
    <row r="1163" spans="9:10" x14ac:dyDescent="0.25">
      <c r="I1163"/>
      <c r="J1163"/>
    </row>
    <row r="1164" spans="9:10" x14ac:dyDescent="0.25">
      <c r="I1164"/>
      <c r="J1164"/>
    </row>
    <row r="1165" spans="9:10" x14ac:dyDescent="0.25">
      <c r="I1165"/>
      <c r="J1165"/>
    </row>
    <row r="1166" spans="9:10" x14ac:dyDescent="0.25">
      <c r="I1166"/>
      <c r="J1166"/>
    </row>
    <row r="1167" spans="9:10" x14ac:dyDescent="0.25">
      <c r="I1167"/>
      <c r="J1167"/>
    </row>
    <row r="1168" spans="9:10" x14ac:dyDescent="0.25">
      <c r="I1168"/>
      <c r="J1168"/>
    </row>
    <row r="1169" spans="9:10" x14ac:dyDescent="0.25">
      <c r="I1169"/>
      <c r="J1169"/>
    </row>
    <row r="1170" spans="9:10" x14ac:dyDescent="0.25">
      <c r="I1170"/>
      <c r="J1170"/>
    </row>
    <row r="1171" spans="9:10" x14ac:dyDescent="0.25">
      <c r="I1171"/>
      <c r="J1171"/>
    </row>
    <row r="1172" spans="9:10" x14ac:dyDescent="0.25">
      <c r="I1172"/>
      <c r="J1172"/>
    </row>
    <row r="1173" spans="9:10" x14ac:dyDescent="0.25">
      <c r="I1173"/>
      <c r="J1173"/>
    </row>
    <row r="1174" spans="9:10" x14ac:dyDescent="0.25">
      <c r="I1174"/>
      <c r="J1174"/>
    </row>
    <row r="1175" spans="9:10" x14ac:dyDescent="0.25">
      <c r="I1175"/>
      <c r="J1175"/>
    </row>
    <row r="1176" spans="9:10" x14ac:dyDescent="0.25">
      <c r="I1176"/>
      <c r="J1176"/>
    </row>
    <row r="1177" spans="9:10" x14ac:dyDescent="0.25">
      <c r="I1177"/>
      <c r="J1177"/>
    </row>
    <row r="1178" spans="9:10" x14ac:dyDescent="0.25">
      <c r="I1178"/>
      <c r="J1178"/>
    </row>
    <row r="1179" spans="9:10" x14ac:dyDescent="0.25">
      <c r="I1179"/>
      <c r="J1179"/>
    </row>
    <row r="1180" spans="9:10" x14ac:dyDescent="0.25">
      <c r="I1180"/>
      <c r="J1180"/>
    </row>
    <row r="1181" spans="9:10" x14ac:dyDescent="0.25">
      <c r="I1181"/>
      <c r="J1181"/>
    </row>
    <row r="1182" spans="9:10" x14ac:dyDescent="0.25">
      <c r="I1182"/>
      <c r="J1182"/>
    </row>
    <row r="1183" spans="9:10" x14ac:dyDescent="0.25">
      <c r="I1183"/>
      <c r="J1183"/>
    </row>
    <row r="1184" spans="9:10" x14ac:dyDescent="0.25">
      <c r="I1184"/>
      <c r="J1184"/>
    </row>
    <row r="1185" spans="9:10" x14ac:dyDescent="0.25">
      <c r="I1185"/>
      <c r="J1185"/>
    </row>
    <row r="1186" spans="9:10" x14ac:dyDescent="0.25">
      <c r="I1186"/>
      <c r="J1186"/>
    </row>
    <row r="1187" spans="9:10" x14ac:dyDescent="0.25">
      <c r="I1187"/>
      <c r="J1187"/>
    </row>
    <row r="1188" spans="9:10" x14ac:dyDescent="0.25">
      <c r="I1188"/>
      <c r="J1188"/>
    </row>
    <row r="1189" spans="9:10" x14ac:dyDescent="0.25">
      <c r="I1189"/>
      <c r="J1189"/>
    </row>
    <row r="1190" spans="9:10" x14ac:dyDescent="0.25">
      <c r="I1190"/>
      <c r="J1190"/>
    </row>
    <row r="1191" spans="9:10" x14ac:dyDescent="0.25">
      <c r="I1191"/>
      <c r="J1191"/>
    </row>
    <row r="1192" spans="9:10" x14ac:dyDescent="0.25">
      <c r="I1192"/>
      <c r="J1192"/>
    </row>
    <row r="1193" spans="9:10" x14ac:dyDescent="0.25">
      <c r="I1193"/>
      <c r="J1193"/>
    </row>
    <row r="1194" spans="9:10" x14ac:dyDescent="0.25">
      <c r="I1194"/>
      <c r="J1194"/>
    </row>
    <row r="1195" spans="9:10" x14ac:dyDescent="0.25">
      <c r="I1195"/>
      <c r="J1195"/>
    </row>
    <row r="1196" spans="9:10" x14ac:dyDescent="0.25">
      <c r="I1196"/>
      <c r="J1196"/>
    </row>
    <row r="1197" spans="9:10" x14ac:dyDescent="0.25">
      <c r="I1197"/>
      <c r="J1197"/>
    </row>
    <row r="1198" spans="9:10" x14ac:dyDescent="0.25">
      <c r="I1198"/>
      <c r="J1198"/>
    </row>
    <row r="1199" spans="9:10" x14ac:dyDescent="0.25">
      <c r="I1199"/>
      <c r="J1199"/>
    </row>
    <row r="1200" spans="9:10" x14ac:dyDescent="0.25">
      <c r="I1200"/>
      <c r="J1200"/>
    </row>
    <row r="1201" spans="9:10" x14ac:dyDescent="0.25">
      <c r="I1201"/>
      <c r="J1201"/>
    </row>
    <row r="1202" spans="9:10" x14ac:dyDescent="0.25">
      <c r="I1202"/>
      <c r="J1202"/>
    </row>
    <row r="1203" spans="9:10" x14ac:dyDescent="0.25">
      <c r="I1203"/>
      <c r="J1203"/>
    </row>
    <row r="1204" spans="9:10" x14ac:dyDescent="0.25">
      <c r="I1204"/>
      <c r="J1204"/>
    </row>
    <row r="1205" spans="9:10" x14ac:dyDescent="0.25">
      <c r="I1205"/>
      <c r="J1205"/>
    </row>
    <row r="1206" spans="9:10" x14ac:dyDescent="0.25">
      <c r="I1206"/>
      <c r="J1206"/>
    </row>
    <row r="1207" spans="9:10" x14ac:dyDescent="0.25">
      <c r="I1207"/>
      <c r="J1207"/>
    </row>
    <row r="1208" spans="9:10" x14ac:dyDescent="0.25">
      <c r="I1208"/>
      <c r="J1208"/>
    </row>
    <row r="1209" spans="9:10" x14ac:dyDescent="0.25">
      <c r="I1209"/>
      <c r="J1209"/>
    </row>
    <row r="1210" spans="9:10" x14ac:dyDescent="0.25">
      <c r="I1210"/>
      <c r="J1210"/>
    </row>
    <row r="1211" spans="9:10" x14ac:dyDescent="0.25">
      <c r="I1211"/>
      <c r="J1211"/>
    </row>
    <row r="1212" spans="9:10" x14ac:dyDescent="0.25">
      <c r="I1212"/>
      <c r="J1212"/>
    </row>
    <row r="1213" spans="9:10" x14ac:dyDescent="0.25">
      <c r="I1213"/>
      <c r="J1213"/>
    </row>
    <row r="1214" spans="9:10" x14ac:dyDescent="0.25">
      <c r="I1214"/>
      <c r="J1214"/>
    </row>
    <row r="1215" spans="9:10" x14ac:dyDescent="0.25">
      <c r="I1215"/>
      <c r="J1215"/>
    </row>
    <row r="1216" spans="9:10" x14ac:dyDescent="0.25">
      <c r="I1216"/>
      <c r="J1216"/>
    </row>
    <row r="1217" spans="9:10" x14ac:dyDescent="0.25">
      <c r="I1217"/>
      <c r="J1217"/>
    </row>
    <row r="1218" spans="9:10" x14ac:dyDescent="0.25">
      <c r="I1218"/>
      <c r="J1218"/>
    </row>
    <row r="1219" spans="9:10" x14ac:dyDescent="0.25">
      <c r="I1219"/>
      <c r="J1219"/>
    </row>
    <row r="1220" spans="9:10" x14ac:dyDescent="0.25">
      <c r="I1220"/>
      <c r="J1220"/>
    </row>
    <row r="1221" spans="9:10" x14ac:dyDescent="0.25">
      <c r="I1221"/>
      <c r="J1221"/>
    </row>
    <row r="1222" spans="9:10" x14ac:dyDescent="0.25">
      <c r="I1222"/>
      <c r="J1222"/>
    </row>
    <row r="1223" spans="9:10" x14ac:dyDescent="0.25">
      <c r="I1223"/>
      <c r="J1223"/>
    </row>
    <row r="1224" spans="9:10" x14ac:dyDescent="0.25">
      <c r="I1224"/>
      <c r="J1224"/>
    </row>
    <row r="1225" spans="9:10" x14ac:dyDescent="0.25">
      <c r="I1225"/>
      <c r="J1225"/>
    </row>
    <row r="1226" spans="9:10" x14ac:dyDescent="0.25">
      <c r="I1226"/>
      <c r="J1226"/>
    </row>
    <row r="1227" spans="9:10" x14ac:dyDescent="0.25">
      <c r="I1227"/>
      <c r="J1227"/>
    </row>
    <row r="1228" spans="9:10" x14ac:dyDescent="0.25">
      <c r="I1228"/>
      <c r="J1228"/>
    </row>
    <row r="1229" spans="9:10" x14ac:dyDescent="0.25">
      <c r="I1229"/>
      <c r="J1229"/>
    </row>
    <row r="1230" spans="9:10" x14ac:dyDescent="0.25">
      <c r="I1230"/>
      <c r="J1230"/>
    </row>
    <row r="1231" spans="9:10" x14ac:dyDescent="0.25">
      <c r="I1231"/>
      <c r="J1231"/>
    </row>
    <row r="1232" spans="9:10" x14ac:dyDescent="0.25">
      <c r="I1232"/>
      <c r="J1232"/>
    </row>
    <row r="1233" spans="9:10" x14ac:dyDescent="0.25">
      <c r="I1233"/>
      <c r="J1233"/>
    </row>
    <row r="1234" spans="9:10" x14ac:dyDescent="0.25">
      <c r="I1234"/>
      <c r="J1234"/>
    </row>
    <row r="1235" spans="9:10" x14ac:dyDescent="0.25">
      <c r="I1235"/>
      <c r="J1235"/>
    </row>
    <row r="1236" spans="9:10" x14ac:dyDescent="0.25">
      <c r="I1236"/>
      <c r="J1236"/>
    </row>
    <row r="1237" spans="9:10" x14ac:dyDescent="0.25">
      <c r="I1237"/>
      <c r="J1237"/>
    </row>
    <row r="1238" spans="9:10" x14ac:dyDescent="0.25">
      <c r="I1238"/>
      <c r="J1238"/>
    </row>
    <row r="1239" spans="9:10" x14ac:dyDescent="0.25">
      <c r="I1239"/>
      <c r="J1239"/>
    </row>
    <row r="1240" spans="9:10" x14ac:dyDescent="0.25">
      <c r="I1240"/>
      <c r="J1240"/>
    </row>
    <row r="1241" spans="9:10" x14ac:dyDescent="0.25">
      <c r="I1241"/>
      <c r="J1241"/>
    </row>
    <row r="1242" spans="9:10" x14ac:dyDescent="0.25">
      <c r="I1242"/>
      <c r="J1242"/>
    </row>
    <row r="1243" spans="9:10" x14ac:dyDescent="0.25">
      <c r="I1243"/>
      <c r="J1243"/>
    </row>
    <row r="1244" spans="9:10" x14ac:dyDescent="0.25">
      <c r="I1244"/>
      <c r="J1244"/>
    </row>
    <row r="1245" spans="9:10" x14ac:dyDescent="0.25">
      <c r="I1245"/>
      <c r="J1245"/>
    </row>
    <row r="1246" spans="9:10" x14ac:dyDescent="0.25">
      <c r="I1246"/>
      <c r="J1246"/>
    </row>
    <row r="1247" spans="9:10" x14ac:dyDescent="0.25">
      <c r="I1247"/>
      <c r="J1247"/>
    </row>
    <row r="1248" spans="9:10" x14ac:dyDescent="0.25">
      <c r="I1248"/>
      <c r="J1248"/>
    </row>
    <row r="1249" spans="9:10" x14ac:dyDescent="0.25">
      <c r="I1249"/>
      <c r="J1249"/>
    </row>
    <row r="1250" spans="9:10" x14ac:dyDescent="0.25">
      <c r="I1250"/>
      <c r="J1250"/>
    </row>
    <row r="1251" spans="9:10" x14ac:dyDescent="0.25">
      <c r="I1251"/>
      <c r="J1251"/>
    </row>
    <row r="1252" spans="9:10" x14ac:dyDescent="0.25">
      <c r="I1252"/>
      <c r="J1252"/>
    </row>
    <row r="1253" spans="9:10" x14ac:dyDescent="0.25">
      <c r="I1253"/>
      <c r="J1253"/>
    </row>
    <row r="1254" spans="9:10" x14ac:dyDescent="0.25">
      <c r="I1254"/>
      <c r="J1254"/>
    </row>
    <row r="1255" spans="9:10" x14ac:dyDescent="0.25">
      <c r="I1255"/>
      <c r="J1255"/>
    </row>
    <row r="1256" spans="9:10" x14ac:dyDescent="0.25">
      <c r="I1256"/>
      <c r="J1256"/>
    </row>
    <row r="1257" spans="9:10" x14ac:dyDescent="0.25">
      <c r="I1257"/>
      <c r="J1257"/>
    </row>
    <row r="1258" spans="9:10" x14ac:dyDescent="0.25">
      <c r="I1258"/>
      <c r="J1258"/>
    </row>
    <row r="1259" spans="9:10" x14ac:dyDescent="0.25">
      <c r="I1259"/>
      <c r="J1259"/>
    </row>
    <row r="1260" spans="9:10" x14ac:dyDescent="0.25">
      <c r="I1260"/>
      <c r="J1260"/>
    </row>
    <row r="1261" spans="9:10" x14ac:dyDescent="0.25">
      <c r="I1261"/>
      <c r="J1261"/>
    </row>
    <row r="1262" spans="9:10" x14ac:dyDescent="0.25">
      <c r="I1262"/>
      <c r="J1262"/>
    </row>
    <row r="1263" spans="9:10" x14ac:dyDescent="0.25">
      <c r="I1263"/>
      <c r="J1263"/>
    </row>
    <row r="1264" spans="9:10" x14ac:dyDescent="0.25">
      <c r="I1264"/>
      <c r="J1264"/>
    </row>
    <row r="1265" spans="9:10" x14ac:dyDescent="0.25">
      <c r="I1265"/>
      <c r="J1265"/>
    </row>
    <row r="1266" spans="9:10" x14ac:dyDescent="0.25">
      <c r="I1266"/>
      <c r="J1266"/>
    </row>
    <row r="1267" spans="9:10" x14ac:dyDescent="0.25">
      <c r="I1267"/>
      <c r="J1267"/>
    </row>
    <row r="1268" spans="9:10" x14ac:dyDescent="0.25">
      <c r="I1268"/>
      <c r="J1268"/>
    </row>
    <row r="1269" spans="9:10" x14ac:dyDescent="0.25">
      <c r="I1269"/>
      <c r="J1269"/>
    </row>
    <row r="1270" spans="9:10" x14ac:dyDescent="0.25">
      <c r="I1270"/>
      <c r="J1270"/>
    </row>
    <row r="1271" spans="9:10" x14ac:dyDescent="0.25">
      <c r="I1271"/>
      <c r="J1271"/>
    </row>
    <row r="1272" spans="9:10" x14ac:dyDescent="0.25">
      <c r="I1272"/>
      <c r="J1272"/>
    </row>
    <row r="1273" spans="9:10" x14ac:dyDescent="0.25">
      <c r="I1273"/>
      <c r="J1273"/>
    </row>
    <row r="1274" spans="9:10" x14ac:dyDescent="0.25">
      <c r="I1274"/>
      <c r="J1274"/>
    </row>
    <row r="1275" spans="9:10" x14ac:dyDescent="0.25">
      <c r="I1275"/>
      <c r="J1275"/>
    </row>
    <row r="1276" spans="9:10" x14ac:dyDescent="0.25">
      <c r="I1276"/>
      <c r="J1276"/>
    </row>
    <row r="1277" spans="9:10" x14ac:dyDescent="0.25">
      <c r="I1277"/>
      <c r="J1277"/>
    </row>
    <row r="1278" spans="9:10" x14ac:dyDescent="0.25">
      <c r="I1278"/>
      <c r="J1278"/>
    </row>
    <row r="1279" spans="9:10" x14ac:dyDescent="0.25">
      <c r="I1279"/>
      <c r="J1279"/>
    </row>
    <row r="1280" spans="9:10" x14ac:dyDescent="0.25">
      <c r="I1280"/>
      <c r="J1280"/>
    </row>
    <row r="1281" spans="9:10" x14ac:dyDescent="0.25">
      <c r="I1281"/>
      <c r="J1281"/>
    </row>
    <row r="1282" spans="9:10" x14ac:dyDescent="0.25">
      <c r="I1282"/>
      <c r="J1282"/>
    </row>
    <row r="1283" spans="9:10" x14ac:dyDescent="0.25">
      <c r="I1283"/>
      <c r="J1283"/>
    </row>
    <row r="1284" spans="9:10" x14ac:dyDescent="0.25">
      <c r="I1284"/>
      <c r="J1284"/>
    </row>
    <row r="1285" spans="9:10" x14ac:dyDescent="0.25">
      <c r="I1285"/>
      <c r="J1285"/>
    </row>
    <row r="1286" spans="9:10" x14ac:dyDescent="0.25">
      <c r="I1286"/>
      <c r="J1286"/>
    </row>
    <row r="1287" spans="9:10" x14ac:dyDescent="0.25">
      <c r="I1287"/>
      <c r="J1287"/>
    </row>
    <row r="1288" spans="9:10" x14ac:dyDescent="0.25">
      <c r="I1288"/>
      <c r="J1288"/>
    </row>
    <row r="1289" spans="9:10" x14ac:dyDescent="0.25">
      <c r="I1289"/>
      <c r="J1289"/>
    </row>
    <row r="1290" spans="9:10" x14ac:dyDescent="0.25">
      <c r="I1290"/>
      <c r="J1290"/>
    </row>
    <row r="1291" spans="9:10" x14ac:dyDescent="0.25">
      <c r="I1291"/>
      <c r="J1291"/>
    </row>
    <row r="1292" spans="9:10" x14ac:dyDescent="0.25">
      <c r="I1292"/>
      <c r="J1292"/>
    </row>
    <row r="1293" spans="9:10" x14ac:dyDescent="0.25">
      <c r="I1293"/>
      <c r="J1293"/>
    </row>
    <row r="1294" spans="9:10" x14ac:dyDescent="0.25">
      <c r="I1294"/>
      <c r="J1294"/>
    </row>
    <row r="1295" spans="9:10" x14ac:dyDescent="0.25">
      <c r="I1295"/>
      <c r="J1295"/>
    </row>
    <row r="1296" spans="9:10" x14ac:dyDescent="0.25">
      <c r="I1296"/>
      <c r="J1296"/>
    </row>
    <row r="1297" spans="9:10" x14ac:dyDescent="0.25">
      <c r="I1297"/>
      <c r="J1297"/>
    </row>
    <row r="1298" spans="9:10" x14ac:dyDescent="0.25">
      <c r="I1298"/>
      <c r="J1298"/>
    </row>
    <row r="1299" spans="9:10" x14ac:dyDescent="0.25">
      <c r="I1299"/>
      <c r="J1299"/>
    </row>
    <row r="1300" spans="9:10" x14ac:dyDescent="0.25">
      <c r="I1300"/>
      <c r="J1300"/>
    </row>
    <row r="1301" spans="9:10" x14ac:dyDescent="0.25">
      <c r="I1301"/>
      <c r="J1301"/>
    </row>
    <row r="1302" spans="9:10" x14ac:dyDescent="0.25">
      <c r="I1302"/>
      <c r="J1302"/>
    </row>
    <row r="1303" spans="9:10" x14ac:dyDescent="0.25">
      <c r="I1303"/>
      <c r="J1303"/>
    </row>
    <row r="1304" spans="9:10" x14ac:dyDescent="0.25">
      <c r="I1304"/>
      <c r="J1304"/>
    </row>
    <row r="1305" spans="9:10" x14ac:dyDescent="0.25">
      <c r="I1305"/>
      <c r="J1305"/>
    </row>
    <row r="1306" spans="9:10" x14ac:dyDescent="0.25">
      <c r="I1306"/>
      <c r="J1306"/>
    </row>
    <row r="1307" spans="9:10" x14ac:dyDescent="0.25">
      <c r="I1307"/>
      <c r="J1307"/>
    </row>
    <row r="1308" spans="9:10" x14ac:dyDescent="0.25">
      <c r="I1308"/>
      <c r="J1308"/>
    </row>
    <row r="1309" spans="9:10" x14ac:dyDescent="0.25">
      <c r="I1309"/>
      <c r="J1309"/>
    </row>
    <row r="1310" spans="9:10" x14ac:dyDescent="0.25">
      <c r="I1310"/>
      <c r="J1310"/>
    </row>
    <row r="1311" spans="9:10" x14ac:dyDescent="0.25">
      <c r="I1311"/>
      <c r="J1311"/>
    </row>
    <row r="1312" spans="9:10" x14ac:dyDescent="0.25">
      <c r="I1312"/>
      <c r="J1312"/>
    </row>
    <row r="1313" spans="2:10" x14ac:dyDescent="0.25">
      <c r="B1313" s="771"/>
      <c r="I1313"/>
      <c r="J1313"/>
    </row>
    <row r="1314" spans="2:10" x14ac:dyDescent="0.25">
      <c r="B1314" s="771"/>
      <c r="I1314"/>
      <c r="J1314"/>
    </row>
    <row r="1315" spans="2:10" x14ac:dyDescent="0.25">
      <c r="B1315" s="771"/>
      <c r="I1315"/>
      <c r="J1315"/>
    </row>
    <row r="1316" spans="2:10" x14ac:dyDescent="0.25">
      <c r="B1316" s="771"/>
      <c r="I1316"/>
      <c r="J1316"/>
    </row>
    <row r="1317" spans="2:10" x14ac:dyDescent="0.25">
      <c r="B1317" s="771"/>
      <c r="I1317"/>
      <c r="J1317"/>
    </row>
    <row r="1318" spans="2:10" x14ac:dyDescent="0.25">
      <c r="B1318" s="771"/>
      <c r="I1318"/>
      <c r="J1318"/>
    </row>
    <row r="1319" spans="2:10" x14ac:dyDescent="0.25">
      <c r="B1319" s="771"/>
      <c r="I1319"/>
      <c r="J1319"/>
    </row>
    <row r="1320" spans="2:10" x14ac:dyDescent="0.25">
      <c r="B1320" s="771"/>
      <c r="I1320"/>
      <c r="J1320"/>
    </row>
    <row r="1321" spans="2:10" x14ac:dyDescent="0.25">
      <c r="B1321" s="771"/>
      <c r="I1321"/>
      <c r="J1321"/>
    </row>
    <row r="1322" spans="2:10" x14ac:dyDescent="0.25">
      <c r="B1322" s="771"/>
      <c r="I1322"/>
      <c r="J1322"/>
    </row>
    <row r="1323" spans="2:10" x14ac:dyDescent="0.25">
      <c r="B1323" s="771"/>
      <c r="I1323"/>
      <c r="J1323"/>
    </row>
    <row r="1324" spans="2:10" x14ac:dyDescent="0.25">
      <c r="B1324" s="771"/>
      <c r="I1324"/>
      <c r="J1324"/>
    </row>
    <row r="1325" spans="2:10" x14ac:dyDescent="0.25">
      <c r="B1325" s="771"/>
      <c r="I1325"/>
      <c r="J1325"/>
    </row>
    <row r="1326" spans="2:10" x14ac:dyDescent="0.25">
      <c r="B1326" s="771"/>
      <c r="I1326"/>
      <c r="J1326"/>
    </row>
  </sheetData>
  <sheetProtection algorithmName="SHA-512" hashValue="/nXGjceQGSHD4OmLtIs4mPDuMOOKg1YkHf+QPwUVroocmaK41rL+x0nFZN2wULhpg2iTy+CajbnhDL2yETwIuQ==" saltValue="CKL4+mA3Me2SNqQCx6xewg==" spinCount="100000" sheet="1" objects="1" scenarios="1"/>
  <mergeCells count="2">
    <mergeCell ref="D2:E2"/>
    <mergeCell ref="F2:G2"/>
  </mergeCells>
  <pageMargins left="0.7" right="0.7" top="0.75" bottom="0.75" header="0.3" footer="0.3"/>
  <headerFooter>
    <oddHeader>&amp;R&amp;"Aptos"&amp;12&amp;K000000 UNCLASSIFIED - NON CLASSIFIÉ&amp;1#_x000D_</oddHeader>
  </headerFooter>
  <legacyDrawing r:id="rId1"/>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7"/>
  <dimension ref="A1:K40"/>
  <sheetViews>
    <sheetView zoomScaleNormal="100" workbookViewId="0">
      <pane ySplit="3" topLeftCell="A6" activePane="bottomLeft" state="frozen"/>
      <selection pane="bottomLeft" activeCell="H7" sqref="H7"/>
    </sheetView>
  </sheetViews>
  <sheetFormatPr defaultColWidth="8.90625" defaultRowHeight="15" x14ac:dyDescent="0.25"/>
  <cols>
    <col min="1" max="1" width="17.90625" style="499" bestFit="1" customWidth="1"/>
    <col min="2" max="3" width="8.90625" style="499"/>
    <col min="4" max="4" width="7.6328125" style="1268" customWidth="1"/>
    <col min="5" max="5" width="8" style="1267" customWidth="1"/>
    <col min="6" max="6" width="8.90625" style="1268"/>
    <col min="7" max="7" width="8.90625" style="1267"/>
    <col min="8" max="8" width="27.453125" style="499" bestFit="1" customWidth="1"/>
    <col min="9" max="9" width="16.1796875" style="499" bestFit="1" customWidth="1"/>
    <col min="10" max="10" width="16.1796875" style="499" customWidth="1"/>
    <col min="11" max="16384" width="8.90625" style="499"/>
  </cols>
  <sheetData>
    <row r="1" spans="1:11" x14ac:dyDescent="0.25">
      <c r="A1" s="1255" t="s">
        <v>3377</v>
      </c>
      <c r="D1" s="1256"/>
      <c r="E1" s="1257"/>
      <c r="F1" s="1256"/>
      <c r="G1" s="1257"/>
    </row>
    <row r="2" spans="1:11" x14ac:dyDescent="0.25">
      <c r="D2" s="1863" t="s">
        <v>3381</v>
      </c>
      <c r="E2" s="1864"/>
      <c r="F2" s="1865" t="s">
        <v>3382</v>
      </c>
      <c r="G2" s="1866"/>
    </row>
    <row r="3" spans="1:11" ht="15.6" x14ac:dyDescent="0.3">
      <c r="A3" s="1258" t="s">
        <v>3378</v>
      </c>
      <c r="B3" s="1259" t="s">
        <v>2056</v>
      </c>
      <c r="C3" s="1260" t="s">
        <v>2058</v>
      </c>
      <c r="D3" s="1261" t="s">
        <v>3379</v>
      </c>
      <c r="E3" s="1262" t="s">
        <v>3380</v>
      </c>
      <c r="F3" s="1263" t="s">
        <v>3379</v>
      </c>
      <c r="G3" s="1264" t="s">
        <v>3380</v>
      </c>
      <c r="H3" s="1265" t="s">
        <v>3388</v>
      </c>
      <c r="I3" s="1265" t="s">
        <v>4031</v>
      </c>
      <c r="J3" s="1265" t="s">
        <v>4032</v>
      </c>
      <c r="K3" s="706" t="s">
        <v>4899</v>
      </c>
    </row>
    <row r="4" spans="1:11" customFormat="1" ht="15.6" x14ac:dyDescent="0.3">
      <c r="A4" s="499" t="s">
        <v>1949</v>
      </c>
      <c r="B4" s="499" t="s">
        <v>2062</v>
      </c>
      <c r="C4" s="499" t="s">
        <v>7502</v>
      </c>
      <c r="D4" s="1268"/>
      <c r="E4" s="1267">
        <v>19.8</v>
      </c>
      <c r="F4" s="1268"/>
      <c r="G4" s="1267">
        <v>27</v>
      </c>
      <c r="H4" s="499" t="s">
        <v>7612</v>
      </c>
      <c r="I4" t="str">
        <f t="shared" ref="I4:I8" si="0">A4&amp;C4</f>
        <v>USER INPUT SHEET$P$15</v>
      </c>
      <c r="J4" t="str">
        <f t="shared" ref="J4" si="1">H4&amp;C4</f>
        <v>FEUILLE DE SAISIE$P$15</v>
      </c>
      <c r="K4" s="706" t="s">
        <v>4900</v>
      </c>
    </row>
    <row r="5" spans="1:11" customFormat="1" ht="15.6" x14ac:dyDescent="0.3">
      <c r="A5" s="499" t="s">
        <v>1949</v>
      </c>
      <c r="B5" s="499" t="s">
        <v>2062</v>
      </c>
      <c r="C5" s="499" t="s">
        <v>6787</v>
      </c>
      <c r="D5" s="1268">
        <v>17.18</v>
      </c>
      <c r="E5" s="1267"/>
      <c r="F5" s="1268">
        <v>18</v>
      </c>
      <c r="G5" s="1267"/>
      <c r="H5" s="499" t="s">
        <v>7612</v>
      </c>
      <c r="I5" t="str">
        <f t="shared" ref="I5:I6" si="2">A5&amp;C5</f>
        <v>USER INPUT SHEET$N$18</v>
      </c>
      <c r="J5" t="str">
        <f t="shared" ref="J5:J8" si="3">H5&amp;C5</f>
        <v>FEUILLE DE SAISIE$N$18</v>
      </c>
      <c r="K5" s="706"/>
    </row>
    <row r="6" spans="1:11" customFormat="1" x14ac:dyDescent="0.25">
      <c r="A6" s="499" t="s">
        <v>1949</v>
      </c>
      <c r="B6" s="499" t="s">
        <v>2062</v>
      </c>
      <c r="C6" s="499" t="s">
        <v>7503</v>
      </c>
      <c r="D6" s="1268">
        <v>17.18</v>
      </c>
      <c r="E6" s="1267"/>
      <c r="F6" s="1268">
        <v>18</v>
      </c>
      <c r="G6" s="1267"/>
      <c r="H6" s="499" t="s">
        <v>7612</v>
      </c>
      <c r="I6" t="str">
        <f t="shared" si="2"/>
        <v>USER INPUT SHEET$O$18</v>
      </c>
      <c r="J6" t="str">
        <f t="shared" si="3"/>
        <v>FEUILLE DE SAISIE$O$18</v>
      </c>
    </row>
    <row r="7" spans="1:11" customFormat="1" x14ac:dyDescent="0.25">
      <c r="A7" s="499" t="s">
        <v>1949</v>
      </c>
      <c r="B7" s="499" t="s">
        <v>2062</v>
      </c>
      <c r="C7" s="499" t="s">
        <v>7504</v>
      </c>
      <c r="D7" s="1268"/>
      <c r="E7" s="1267">
        <v>20.3</v>
      </c>
      <c r="F7" s="1268"/>
      <c r="G7" s="1267">
        <v>32.4</v>
      </c>
      <c r="H7" s="499" t="s">
        <v>7612</v>
      </c>
      <c r="I7" t="str">
        <f t="shared" ref="I7" si="4">A7&amp;C7</f>
        <v>USER INPUT SHEET$B$19</v>
      </c>
      <c r="J7" t="str">
        <f t="shared" ref="J7" si="5">H7&amp;C7</f>
        <v>FEUILLE DE SAISIE$B$19</v>
      </c>
    </row>
    <row r="8" spans="1:11" customFormat="1" x14ac:dyDescent="0.25">
      <c r="A8" s="499" t="s">
        <v>1949</v>
      </c>
      <c r="B8" s="499" t="s">
        <v>2062</v>
      </c>
      <c r="C8" s="499" t="s">
        <v>7501</v>
      </c>
      <c r="D8" s="1268">
        <v>12.55</v>
      </c>
      <c r="E8" s="1267"/>
      <c r="F8" s="1268">
        <v>13</v>
      </c>
      <c r="G8" s="1267"/>
      <c r="H8" s="499" t="s">
        <v>7612</v>
      </c>
      <c r="I8" t="str">
        <f t="shared" si="0"/>
        <v>USER INPUT SHEET$D$26</v>
      </c>
      <c r="J8" t="str">
        <f t="shared" si="3"/>
        <v>FEUILLE DE SAISIE$D$26</v>
      </c>
    </row>
    <row r="9" spans="1:11" customFormat="1" x14ac:dyDescent="0.25">
      <c r="A9" s="499" t="s">
        <v>1949</v>
      </c>
      <c r="B9" s="499" t="s">
        <v>2062</v>
      </c>
      <c r="C9" s="499" t="s">
        <v>7509</v>
      </c>
      <c r="D9" s="1268"/>
      <c r="E9" s="1267">
        <v>34.5</v>
      </c>
      <c r="F9" s="1268"/>
      <c r="G9" s="1267">
        <v>49.7</v>
      </c>
      <c r="H9" s="499" t="s">
        <v>7612</v>
      </c>
      <c r="I9" t="str">
        <f t="shared" ref="I9:I10" si="6">A9&amp;C9</f>
        <v>USER INPUT SHEET$B$31</v>
      </c>
      <c r="J9" t="str">
        <f t="shared" ref="J9:J10" si="7">H9&amp;C9</f>
        <v>FEUILLE DE SAISIE$B$31</v>
      </c>
    </row>
    <row r="10" spans="1:11" customFormat="1" x14ac:dyDescent="0.25">
      <c r="A10" s="499" t="s">
        <v>1949</v>
      </c>
      <c r="B10" s="499" t="s">
        <v>2062</v>
      </c>
      <c r="C10" s="499" t="s">
        <v>7512</v>
      </c>
      <c r="D10" s="1268"/>
      <c r="E10" s="1267">
        <v>35.1</v>
      </c>
      <c r="F10" s="1268"/>
      <c r="G10" s="1267">
        <v>49.7</v>
      </c>
      <c r="H10" s="499" t="s">
        <v>7612</v>
      </c>
      <c r="I10" t="str">
        <f t="shared" si="6"/>
        <v>USER INPUT SHEET$B$51</v>
      </c>
      <c r="J10" t="str">
        <f t="shared" si="7"/>
        <v>FEUILLE DE SAISIE$B$51</v>
      </c>
    </row>
    <row r="11" spans="1:11" customFormat="1" x14ac:dyDescent="0.25">
      <c r="A11" s="499" t="s">
        <v>1949</v>
      </c>
      <c r="B11" s="499" t="s">
        <v>2062</v>
      </c>
      <c r="C11" s="499" t="s">
        <v>7511</v>
      </c>
      <c r="D11" s="1268"/>
      <c r="E11" s="1267">
        <v>47.3</v>
      </c>
      <c r="F11" s="1268"/>
      <c r="G11" s="1267">
        <v>49.7</v>
      </c>
      <c r="H11" s="499" t="s">
        <v>7612</v>
      </c>
      <c r="I11" t="str">
        <f t="shared" ref="I11" si="8">A11&amp;C11</f>
        <v>USER INPUT SHEET$B$52</v>
      </c>
      <c r="J11" t="str">
        <f t="shared" ref="J11" si="9">H11&amp;C11</f>
        <v>FEUILLE DE SAISIE$B$52</v>
      </c>
    </row>
    <row r="12" spans="1:11" customFormat="1" x14ac:dyDescent="0.25">
      <c r="A12" s="499" t="s">
        <v>1949</v>
      </c>
      <c r="B12" s="499" t="s">
        <v>2062</v>
      </c>
      <c r="C12" s="499" t="s">
        <v>7513</v>
      </c>
      <c r="D12" s="1268"/>
      <c r="E12" s="1267">
        <v>35.1</v>
      </c>
      <c r="F12" s="1268"/>
      <c r="G12" s="1267">
        <v>49.7</v>
      </c>
      <c r="H12" s="499" t="s">
        <v>7612</v>
      </c>
      <c r="I12" t="str">
        <f t="shared" ref="I12:I13" si="10">A12&amp;C12</f>
        <v>USER INPUT SHEET$B$53</v>
      </c>
      <c r="J12" t="str">
        <f t="shared" ref="J12:J13" si="11">H12&amp;C12</f>
        <v>FEUILLE DE SAISIE$B$53</v>
      </c>
    </row>
    <row r="13" spans="1:11" customFormat="1" x14ac:dyDescent="0.25">
      <c r="A13" s="499" t="s">
        <v>1949</v>
      </c>
      <c r="B13" s="499" t="s">
        <v>2062</v>
      </c>
      <c r="C13" s="499" t="s">
        <v>7514</v>
      </c>
      <c r="D13" s="1268"/>
      <c r="E13" s="1267">
        <v>35.1</v>
      </c>
      <c r="F13" s="1268"/>
      <c r="G13" s="1267">
        <v>49.7</v>
      </c>
      <c r="H13" s="499" t="s">
        <v>7612</v>
      </c>
      <c r="I13" t="str">
        <f t="shared" si="10"/>
        <v>USER INPUT SHEET$B$54</v>
      </c>
      <c r="J13" t="str">
        <f t="shared" si="11"/>
        <v>FEUILLE DE SAISIE$B$54</v>
      </c>
    </row>
    <row r="14" spans="1:11" customFormat="1" x14ac:dyDescent="0.25">
      <c r="A14" s="499" t="s">
        <v>1949</v>
      </c>
      <c r="B14" s="499" t="s">
        <v>2062</v>
      </c>
      <c r="C14" s="499" t="s">
        <v>7510</v>
      </c>
      <c r="D14" s="1268"/>
      <c r="E14" s="1267">
        <v>35.1</v>
      </c>
      <c r="F14" s="1268"/>
      <c r="G14" s="1267">
        <v>49.7</v>
      </c>
      <c r="H14" s="499" t="s">
        <v>7612</v>
      </c>
      <c r="I14" t="str">
        <f t="shared" ref="I14" si="12">A14&amp;C14</f>
        <v>USER INPUT SHEET$B$56</v>
      </c>
      <c r="J14" t="str">
        <f t="shared" ref="J14" si="13">H14&amp;C14</f>
        <v>FEUILLE DE SAISIE$B$56</v>
      </c>
    </row>
    <row r="15" spans="1:11" x14ac:dyDescent="0.25">
      <c r="A15" s="499" t="s">
        <v>1949</v>
      </c>
      <c r="B15" s="499" t="s">
        <v>2062</v>
      </c>
      <c r="C15" s="499" t="s">
        <v>7505</v>
      </c>
      <c r="E15" s="1267">
        <v>80.900000000000006</v>
      </c>
      <c r="G15" s="1267">
        <v>93</v>
      </c>
      <c r="H15" s="499" t="s">
        <v>7612</v>
      </c>
      <c r="I15" t="str">
        <f t="shared" ref="I15" si="14">A15&amp;C15</f>
        <v>USER INPUT SHEET$C$68</v>
      </c>
      <c r="J15" t="str">
        <f t="shared" ref="J15" si="15">H15&amp;C15</f>
        <v>FEUILLE DE SAISIE$C$68</v>
      </c>
    </row>
    <row r="16" spans="1:11" x14ac:dyDescent="0.25">
      <c r="A16" s="499" t="s">
        <v>1949</v>
      </c>
      <c r="B16" s="771" t="s">
        <v>2066</v>
      </c>
      <c r="C16" s="771" t="s">
        <v>3397</v>
      </c>
      <c r="D16" s="1269">
        <v>642</v>
      </c>
      <c r="E16" s="1270">
        <v>41</v>
      </c>
      <c r="F16">
        <v>638</v>
      </c>
      <c r="G16">
        <v>41</v>
      </c>
      <c r="H16" s="499" t="s">
        <v>7612</v>
      </c>
      <c r="I16" t="str">
        <f>A16&amp;C16</f>
        <v>USER INPUT SHEETRounded Rectangle 1||Rectangle: Rounded Corners 1</v>
      </c>
      <c r="J16" t="str">
        <f>H16&amp;C16</f>
        <v>FEUILLE DE SAISIERounded Rectangle 1||Rectangle: Rounded Corners 1</v>
      </c>
    </row>
    <row r="17" spans="1:10" x14ac:dyDescent="0.25">
      <c r="A17" s="499" t="s">
        <v>1949</v>
      </c>
      <c r="B17" s="771" t="s">
        <v>2066</v>
      </c>
      <c r="C17" s="771" t="s">
        <v>3398</v>
      </c>
      <c r="D17" s="1269">
        <v>337.5</v>
      </c>
      <c r="E17" s="1270">
        <v>38.048999999999999</v>
      </c>
      <c r="F17">
        <v>340</v>
      </c>
      <c r="G17">
        <v>52.687399999999997</v>
      </c>
      <c r="H17" s="499" t="s">
        <v>7612</v>
      </c>
      <c r="I17" t="str">
        <f>A17&amp;C17</f>
        <v>USER INPUT SHEETRounded Rectangle 16||Rectangle: Rounded Corners 16</v>
      </c>
      <c r="J17" t="str">
        <f>H17&amp;C17</f>
        <v>FEUILLE DE SAISIERounded Rectangle 16||Rectangle: Rounded Corners 16</v>
      </c>
    </row>
    <row r="18" spans="1:10" x14ac:dyDescent="0.25">
      <c r="A18" s="499" t="s">
        <v>1949</v>
      </c>
      <c r="B18" s="771" t="s">
        <v>2066</v>
      </c>
      <c r="C18" t="s">
        <v>3399</v>
      </c>
      <c r="D18" s="1269">
        <v>289.43299999999999</v>
      </c>
      <c r="E18" s="1270">
        <v>38.048999999999999</v>
      </c>
      <c r="F18">
        <v>290</v>
      </c>
      <c r="G18">
        <v>52.687399999999997</v>
      </c>
      <c r="H18" s="499" t="s">
        <v>7612</v>
      </c>
      <c r="I18" t="str">
        <f t="shared" ref="I18:I20" si="16">A18&amp;C18</f>
        <v>USER INPUT SHEETRounded Rectangle 15||Rectangle: Rounded Corners 15</v>
      </c>
      <c r="J18" t="str">
        <f t="shared" ref="J18:J20" si="17">H18&amp;C18</f>
        <v>FEUILLE DE SAISIERounded Rectangle 15||Rectangle: Rounded Corners 15</v>
      </c>
    </row>
    <row r="19" spans="1:10" x14ac:dyDescent="0.25">
      <c r="A19" s="499" t="s">
        <v>1094</v>
      </c>
      <c r="B19" s="499" t="s">
        <v>2062</v>
      </c>
      <c r="C19" s="771" t="s">
        <v>7572</v>
      </c>
      <c r="D19" s="1269"/>
      <c r="E19" s="1270">
        <v>110</v>
      </c>
      <c r="F19"/>
      <c r="G19">
        <v>140</v>
      </c>
      <c r="H19" s="499" t="s">
        <v>1958</v>
      </c>
      <c r="I19" t="str">
        <f t="shared" si="16"/>
        <v>Ext. Walls$C$41</v>
      </c>
      <c r="J19" t="str">
        <f t="shared" si="17"/>
        <v>Murs ext.$C$41</v>
      </c>
    </row>
    <row r="20" spans="1:10" x14ac:dyDescent="0.25">
      <c r="A20" s="499" t="s">
        <v>1094</v>
      </c>
      <c r="B20" s="499" t="s">
        <v>2062</v>
      </c>
      <c r="C20" s="771" t="s">
        <v>7573</v>
      </c>
      <c r="D20" s="1269"/>
      <c r="E20" s="1270">
        <v>110</v>
      </c>
      <c r="F20"/>
      <c r="G20">
        <v>140</v>
      </c>
      <c r="H20" s="499" t="s">
        <v>1958</v>
      </c>
      <c r="I20" t="str">
        <f t="shared" si="16"/>
        <v>Ext. Walls$C$42</v>
      </c>
      <c r="J20" t="str">
        <f t="shared" si="17"/>
        <v>Murs ext.$C$42</v>
      </c>
    </row>
    <row r="21" spans="1:10" x14ac:dyDescent="0.25">
      <c r="A21" s="499" t="s">
        <v>1952</v>
      </c>
      <c r="B21" s="499" t="s">
        <v>2062</v>
      </c>
      <c r="C21" s="499" t="s">
        <v>7607</v>
      </c>
      <c r="E21" s="1267">
        <v>15</v>
      </c>
      <c r="G21" s="1267">
        <v>26.4</v>
      </c>
      <c r="H21" s="499" t="s">
        <v>1970</v>
      </c>
      <c r="I21" t="str">
        <f t="shared" ref="I21:I40" si="18">A21&amp;C21</f>
        <v>SCENARIOS$B$13</v>
      </c>
      <c r="J21" t="str">
        <f t="shared" ref="J21:J40" si="19">H21&amp;C21</f>
        <v>SCÉNARIOS$B$13</v>
      </c>
    </row>
    <row r="22" spans="1:10" x14ac:dyDescent="0.25">
      <c r="A22" s="499" t="s">
        <v>1952</v>
      </c>
      <c r="B22" s="499" t="s">
        <v>2062</v>
      </c>
      <c r="C22" s="499" t="s">
        <v>7608</v>
      </c>
      <c r="E22" s="1267">
        <v>15</v>
      </c>
      <c r="G22" s="1267">
        <v>26.4</v>
      </c>
      <c r="H22" s="499" t="s">
        <v>1970</v>
      </c>
      <c r="I22" t="str">
        <f t="shared" si="18"/>
        <v>SCENARIOS$B$20</v>
      </c>
      <c r="J22" t="str">
        <f t="shared" si="19"/>
        <v>SCÉNARIOS$B$20</v>
      </c>
    </row>
    <row r="23" spans="1:10" x14ac:dyDescent="0.25">
      <c r="A23" s="499" t="s">
        <v>1952</v>
      </c>
      <c r="B23" s="499" t="s">
        <v>2062</v>
      </c>
      <c r="C23" s="499" t="s">
        <v>7609</v>
      </c>
      <c r="E23" s="1267">
        <v>15</v>
      </c>
      <c r="G23" s="1267">
        <v>26.4</v>
      </c>
      <c r="H23" s="499" t="s">
        <v>1970</v>
      </c>
      <c r="I23" t="str">
        <f t="shared" si="18"/>
        <v>SCENARIOS$B$24</v>
      </c>
      <c r="J23" t="str">
        <f t="shared" si="19"/>
        <v>SCÉNARIOS$B$24</v>
      </c>
    </row>
    <row r="24" spans="1:10" x14ac:dyDescent="0.25">
      <c r="A24" s="499" t="s">
        <v>1952</v>
      </c>
      <c r="B24" s="499" t="s">
        <v>2062</v>
      </c>
      <c r="C24" s="499" t="s">
        <v>6795</v>
      </c>
      <c r="E24" s="1267">
        <v>15</v>
      </c>
      <c r="G24" s="1267">
        <v>26.4</v>
      </c>
      <c r="H24" s="499" t="s">
        <v>1970</v>
      </c>
      <c r="I24" t="str">
        <f t="shared" si="18"/>
        <v>SCENARIOS$B$28</v>
      </c>
      <c r="J24" t="str">
        <f t="shared" si="19"/>
        <v>SCÉNARIOS$B$28</v>
      </c>
    </row>
    <row r="25" spans="1:10" x14ac:dyDescent="0.25">
      <c r="A25" s="499" t="s">
        <v>1977</v>
      </c>
      <c r="B25" s="499" t="s">
        <v>2062</v>
      </c>
      <c r="C25" s="499" t="s">
        <v>6793</v>
      </c>
      <c r="D25" s="1268">
        <v>8.18</v>
      </c>
      <c r="F25" s="1268">
        <v>13</v>
      </c>
      <c r="H25" s="499" t="s">
        <v>1978</v>
      </c>
      <c r="I25" t="str">
        <f t="shared" si="18"/>
        <v>Data$L$1</v>
      </c>
      <c r="J25" t="str">
        <f t="shared" si="19"/>
        <v>Données$L$1</v>
      </c>
    </row>
    <row r="26" spans="1:10" x14ac:dyDescent="0.25">
      <c r="A26" s="499" t="s">
        <v>1977</v>
      </c>
      <c r="B26" s="499" t="s">
        <v>2062</v>
      </c>
      <c r="C26" s="499" t="s">
        <v>6794</v>
      </c>
      <c r="D26" s="1268">
        <v>8.18</v>
      </c>
      <c r="F26" s="1268">
        <v>13</v>
      </c>
      <c r="H26" s="499" t="s">
        <v>1978</v>
      </c>
      <c r="I26" t="str">
        <f t="shared" si="18"/>
        <v>Data$M$1</v>
      </c>
      <c r="J26" t="str">
        <f t="shared" si="19"/>
        <v>Données$M$1</v>
      </c>
    </row>
    <row r="27" spans="1:10" x14ac:dyDescent="0.25">
      <c r="A27" s="499" t="s">
        <v>1022</v>
      </c>
      <c r="B27" s="771" t="s">
        <v>2066</v>
      </c>
      <c r="C27" s="499" t="s">
        <v>3400</v>
      </c>
      <c r="D27" s="1268">
        <v>189.375</v>
      </c>
      <c r="E27" s="1267">
        <v>37.674169999999997</v>
      </c>
      <c r="F27" s="1268">
        <v>170.81</v>
      </c>
      <c r="G27" s="1267">
        <v>57.18</v>
      </c>
      <c r="I27" t="str">
        <f t="shared" si="18"/>
        <v>Footings &amp; SlabsRounded Rectangle 2||Rectangle: Rounded Corners 2</v>
      </c>
      <c r="J27" t="str">
        <f t="shared" si="19"/>
        <v>Rounded Rectangle 2||Rectangle: Rounded Corners 2</v>
      </c>
    </row>
    <row r="28" spans="1:10" x14ac:dyDescent="0.25">
      <c r="A28" s="499" t="s">
        <v>1096</v>
      </c>
      <c r="B28" s="771" t="s">
        <v>2066</v>
      </c>
      <c r="C28" s="499" t="s">
        <v>3397</v>
      </c>
      <c r="D28" s="1268">
        <v>189.375</v>
      </c>
      <c r="E28" s="1267">
        <v>37.674169999999997</v>
      </c>
      <c r="F28" s="1268">
        <v>234.5625</v>
      </c>
      <c r="G28" s="1267">
        <v>37.674169999999997</v>
      </c>
      <c r="I28" t="str">
        <f t="shared" si="18"/>
        <v>Foundation WallsRounded Rectangle 1||Rectangle: Rounded Corners 1</v>
      </c>
      <c r="J28" t="str">
        <f t="shared" si="19"/>
        <v>Rounded Rectangle 1||Rectangle: Rounded Corners 1</v>
      </c>
    </row>
    <row r="29" spans="1:10" x14ac:dyDescent="0.25">
      <c r="A29" s="499" t="s">
        <v>1095</v>
      </c>
      <c r="B29" s="771" t="s">
        <v>2066</v>
      </c>
      <c r="C29" s="499" t="s">
        <v>3397</v>
      </c>
      <c r="D29" s="1268">
        <v>189.375</v>
      </c>
      <c r="E29" s="1267">
        <v>37.674169999999997</v>
      </c>
      <c r="F29" s="1268">
        <v>234.5625</v>
      </c>
      <c r="G29" s="1267">
        <v>37.674169999999997</v>
      </c>
      <c r="I29" t="str">
        <f t="shared" si="18"/>
        <v>Structural ElementsRounded Rectangle 1||Rectangle: Rounded Corners 1</v>
      </c>
      <c r="J29" t="str">
        <f t="shared" si="19"/>
        <v>Rounded Rectangle 1||Rectangle: Rounded Corners 1</v>
      </c>
    </row>
    <row r="30" spans="1:10" x14ac:dyDescent="0.25">
      <c r="A30" s="499" t="s">
        <v>1094</v>
      </c>
      <c r="B30" s="771" t="s">
        <v>2066</v>
      </c>
      <c r="C30" s="499" t="s">
        <v>3397</v>
      </c>
      <c r="D30" s="1268">
        <v>189.375</v>
      </c>
      <c r="E30" s="1267">
        <v>37.674169999999997</v>
      </c>
      <c r="F30" s="1268">
        <v>234.5625</v>
      </c>
      <c r="G30" s="1267">
        <v>37.674169999999997</v>
      </c>
      <c r="I30" t="str">
        <f t="shared" si="18"/>
        <v>Ext. WallsRounded Rectangle 1||Rectangle: Rounded Corners 1</v>
      </c>
      <c r="J30" t="str">
        <f t="shared" si="19"/>
        <v>Rounded Rectangle 1||Rectangle: Rounded Corners 1</v>
      </c>
    </row>
    <row r="31" spans="1:10" x14ac:dyDescent="0.25">
      <c r="A31" s="499" t="s">
        <v>1097</v>
      </c>
      <c r="B31" s="771" t="s">
        <v>2066</v>
      </c>
      <c r="C31" s="499" t="s">
        <v>3397</v>
      </c>
      <c r="D31" s="1268">
        <v>189.375</v>
      </c>
      <c r="E31" s="1267">
        <v>37.674169999999997</v>
      </c>
      <c r="F31" s="1268">
        <v>234.5625</v>
      </c>
      <c r="G31" s="1267">
        <v>37.674169999999997</v>
      </c>
      <c r="I31" t="str">
        <f t="shared" si="18"/>
        <v>Ext. Wall SystemsRounded Rectangle 1||Rectangle: Rounded Corners 1</v>
      </c>
      <c r="J31" t="str">
        <f t="shared" si="19"/>
        <v>Rounded Rectangle 1||Rectangle: Rounded Corners 1</v>
      </c>
    </row>
    <row r="32" spans="1:10" x14ac:dyDescent="0.25">
      <c r="A32" s="499" t="s">
        <v>1696</v>
      </c>
      <c r="B32" s="771" t="s">
        <v>2066</v>
      </c>
      <c r="C32" s="499" t="s">
        <v>3397</v>
      </c>
      <c r="D32" s="1268">
        <v>189.375</v>
      </c>
      <c r="E32" s="1267">
        <v>37.674169999999997</v>
      </c>
      <c r="F32" s="1268">
        <v>234.5625</v>
      </c>
      <c r="G32" s="1267">
        <v>37.674169999999997</v>
      </c>
      <c r="I32" t="str">
        <f t="shared" si="18"/>
        <v>Party WallsRounded Rectangle 1||Rectangle: Rounded Corners 1</v>
      </c>
      <c r="J32" t="str">
        <f t="shared" si="19"/>
        <v>Rounded Rectangle 1||Rectangle: Rounded Corners 1</v>
      </c>
    </row>
    <row r="33" spans="1:10" x14ac:dyDescent="0.25">
      <c r="A33" s="499" t="s">
        <v>1098</v>
      </c>
      <c r="B33" s="771" t="s">
        <v>2066</v>
      </c>
      <c r="C33" s="499" t="s">
        <v>3397</v>
      </c>
      <c r="D33" s="1268">
        <v>189.375</v>
      </c>
      <c r="E33" s="1267">
        <v>37.674169999999997</v>
      </c>
      <c r="F33" s="1268">
        <v>234.5625</v>
      </c>
      <c r="G33" s="1267">
        <v>37.674169999999997</v>
      </c>
      <c r="I33" t="str">
        <f t="shared" si="18"/>
        <v>CladdingRounded Rectangle 1||Rectangle: Rounded Corners 1</v>
      </c>
      <c r="J33" t="str">
        <f t="shared" si="19"/>
        <v>Rounded Rectangle 1||Rectangle: Rounded Corners 1</v>
      </c>
    </row>
    <row r="34" spans="1:10" x14ac:dyDescent="0.25">
      <c r="A34" s="499" t="s">
        <v>9</v>
      </c>
      <c r="B34" s="771" t="s">
        <v>2066</v>
      </c>
      <c r="C34" s="499" t="s">
        <v>3397</v>
      </c>
      <c r="D34" s="1268">
        <v>189.375</v>
      </c>
      <c r="E34" s="1267">
        <v>37.674169999999997</v>
      </c>
      <c r="F34" s="1268">
        <v>234.5625</v>
      </c>
      <c r="G34" s="1267">
        <v>37.674169999999997</v>
      </c>
      <c r="I34" t="str">
        <f t="shared" si="18"/>
        <v>WindowsRounded Rectangle 1||Rectangle: Rounded Corners 1</v>
      </c>
      <c r="J34" t="str">
        <f t="shared" si="19"/>
        <v>Rounded Rectangle 1||Rectangle: Rounded Corners 1</v>
      </c>
    </row>
    <row r="35" spans="1:10" x14ac:dyDescent="0.25">
      <c r="A35" s="499" t="s">
        <v>1099</v>
      </c>
      <c r="B35" s="771" t="s">
        <v>2066</v>
      </c>
      <c r="C35" s="499" t="s">
        <v>3397</v>
      </c>
      <c r="D35" s="1268">
        <v>189.375</v>
      </c>
      <c r="E35" s="1267">
        <v>37.674169999999997</v>
      </c>
      <c r="F35" s="1268">
        <v>234.5625</v>
      </c>
      <c r="G35" s="1267">
        <v>37.674169999999997</v>
      </c>
      <c r="I35" t="str">
        <f t="shared" si="18"/>
        <v>Int. WallsRounded Rectangle 1||Rectangle: Rounded Corners 1</v>
      </c>
      <c r="J35" t="str">
        <f t="shared" si="19"/>
        <v>Rounded Rectangle 1||Rectangle: Rounded Corners 1</v>
      </c>
    </row>
    <row r="36" spans="1:10" x14ac:dyDescent="0.25">
      <c r="A36" s="499" t="s">
        <v>1100</v>
      </c>
      <c r="B36" s="771" t="s">
        <v>2066</v>
      </c>
      <c r="C36" s="499" t="s">
        <v>3397</v>
      </c>
      <c r="D36" s="1268">
        <v>189.375</v>
      </c>
      <c r="E36" s="1267">
        <v>37.674169999999997</v>
      </c>
      <c r="F36" s="1268">
        <v>234.5625</v>
      </c>
      <c r="G36" s="1267">
        <v>37.674169999999997</v>
      </c>
      <c r="I36" t="str">
        <f t="shared" si="18"/>
        <v>FloorsRounded Rectangle 1||Rectangle: Rounded Corners 1</v>
      </c>
      <c r="J36" t="str">
        <f t="shared" si="19"/>
        <v>Rounded Rectangle 1||Rectangle: Rounded Corners 1</v>
      </c>
    </row>
    <row r="37" spans="1:10" x14ac:dyDescent="0.25">
      <c r="A37" s="499" t="s">
        <v>1101</v>
      </c>
      <c r="B37" s="771" t="s">
        <v>2066</v>
      </c>
      <c r="C37" s="499" t="s">
        <v>3397</v>
      </c>
      <c r="D37" s="1268">
        <v>189.375</v>
      </c>
      <c r="E37" s="1267">
        <v>37.674169999999997</v>
      </c>
      <c r="F37" s="1268">
        <v>234.5625</v>
      </c>
      <c r="G37" s="1267">
        <v>37.674169999999997</v>
      </c>
      <c r="I37" t="str">
        <f t="shared" si="18"/>
        <v>CeilingsRounded Rectangle 1||Rectangle: Rounded Corners 1</v>
      </c>
      <c r="J37" t="str">
        <f t="shared" si="19"/>
        <v>Rounded Rectangle 1||Rectangle: Rounded Corners 1</v>
      </c>
    </row>
    <row r="38" spans="1:10" x14ac:dyDescent="0.25">
      <c r="A38" s="499" t="s">
        <v>1102</v>
      </c>
      <c r="B38" s="771" t="s">
        <v>2066</v>
      </c>
      <c r="C38" s="499" t="s">
        <v>3397</v>
      </c>
      <c r="D38" s="1268">
        <v>189.375</v>
      </c>
      <c r="E38" s="1267">
        <v>37.674169999999997</v>
      </c>
      <c r="F38" s="1268">
        <v>234.5625</v>
      </c>
      <c r="G38" s="1267">
        <v>37.674169999999997</v>
      </c>
      <c r="I38" t="str">
        <f t="shared" si="18"/>
        <v>RoofRounded Rectangle 1||Rectangle: Rounded Corners 1</v>
      </c>
      <c r="J38" t="str">
        <f t="shared" si="19"/>
        <v>Rounded Rectangle 1||Rectangle: Rounded Corners 1</v>
      </c>
    </row>
    <row r="39" spans="1:10" x14ac:dyDescent="0.25">
      <c r="A39" s="499" t="s">
        <v>1580</v>
      </c>
      <c r="B39" s="771" t="s">
        <v>2066</v>
      </c>
      <c r="C39" s="499" t="s">
        <v>3397</v>
      </c>
      <c r="D39" s="1268">
        <v>189.375</v>
      </c>
      <c r="E39" s="1267">
        <v>37.674169999999997</v>
      </c>
      <c r="F39" s="1268">
        <v>234.5625</v>
      </c>
      <c r="G39" s="1267">
        <v>37.674169999999997</v>
      </c>
      <c r="I39" t="str">
        <f t="shared" si="18"/>
        <v>GarageRounded Rectangle 1||Rectangle: Rounded Corners 1</v>
      </c>
      <c r="J39" t="str">
        <f t="shared" si="19"/>
        <v>Rounded Rectangle 1||Rectangle: Rounded Corners 1</v>
      </c>
    </row>
    <row r="40" spans="1:10" x14ac:dyDescent="0.25">
      <c r="A40" s="499" t="s">
        <v>1429</v>
      </c>
      <c r="B40" s="771" t="s">
        <v>2066</v>
      </c>
      <c r="C40" s="499" t="s">
        <v>3397</v>
      </c>
      <c r="D40" s="1268">
        <v>189.375</v>
      </c>
      <c r="E40" s="1267">
        <v>37.674169999999997</v>
      </c>
      <c r="F40" s="1268">
        <v>234.5625</v>
      </c>
      <c r="G40" s="1267">
        <v>37.674169999999997</v>
      </c>
      <c r="I40" t="str">
        <f t="shared" si="18"/>
        <v>User-DefinedRounded Rectangle 1||Rectangle: Rounded Corners 1</v>
      </c>
      <c r="J40" t="str">
        <f t="shared" si="19"/>
        <v>Rounded Rectangle 1||Rectangle: Rounded Corners 1</v>
      </c>
    </row>
  </sheetData>
  <sheetProtection algorithmName="SHA-512" hashValue="ellhsR4ycDHs2z7h+3toGc+XQhvUnqnPAJHz+/AqjFFkuQKXccUinQE2BlnSiSioTae0ov4wNHs+tj0aXfa6Sw==" saltValue="lof1rg6+1USNVNHjslTzAQ==" spinCount="100000" sheet="1" objects="1" scenarios="1"/>
  <mergeCells count="2">
    <mergeCell ref="D2:E2"/>
    <mergeCell ref="F2:G2"/>
  </mergeCells>
  <phoneticPr fontId="146" type="noConversion"/>
  <pageMargins left="0.7" right="0.7" top="0.75" bottom="0.75" header="0.3" footer="0.3"/>
  <headerFooter>
    <oddHeader>&amp;R&amp;"Aptos"&amp;12&amp;K000000 UNCLASSIFIED - NON CLASSIFIÉ&amp;1#_x000D_</oddHeader>
  </headerFooter>
  <legacyDrawing r:id="rId1"/>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21">
    <tabColor theme="3" tint="0.249977111117893"/>
  </sheetPr>
  <dimension ref="A1:AI311"/>
  <sheetViews>
    <sheetView topLeftCell="D1" zoomScale="80" zoomScaleNormal="80" workbookViewId="0">
      <pane ySplit="1" topLeftCell="A16" activePane="bottomLeft" state="frozen"/>
      <selection pane="bottomLeft" activeCell="N16" sqref="N16:O29"/>
    </sheetView>
  </sheetViews>
  <sheetFormatPr defaultColWidth="8.81640625" defaultRowHeight="30.15" customHeight="1" x14ac:dyDescent="0.25"/>
  <cols>
    <col min="1" max="1" width="20.54296875" style="215" customWidth="1"/>
    <col min="2" max="2" width="30.54296875" style="212" customWidth="1"/>
    <col min="3" max="3" width="64.6328125" style="198" customWidth="1"/>
    <col min="4" max="9" width="18.6328125" style="208" customWidth="1"/>
    <col min="10" max="10" width="8.81640625" style="212"/>
    <col min="11" max="11" width="12.453125" style="208" customWidth="1"/>
    <col min="12" max="13" width="8.81640625" style="208"/>
    <col min="14" max="14" width="30.453125" style="208" customWidth="1"/>
    <col min="15" max="15" width="23.90625" style="208" customWidth="1"/>
    <col min="16" max="16" width="102.1796875" style="208" customWidth="1"/>
    <col min="17" max="17" width="23.90625" style="208" customWidth="1"/>
    <col min="18" max="18" width="8.81640625" style="208"/>
    <col min="19" max="20" width="11.1796875" style="211" customWidth="1"/>
    <col min="21" max="21" width="12.36328125" style="211" customWidth="1"/>
    <col min="22" max="23" width="8.81640625" style="208"/>
    <col min="24" max="25" width="9.6328125" style="208" customWidth="1"/>
    <col min="26" max="29" width="8.81640625" style="208"/>
    <col min="30" max="30" width="9.6328125" style="208" customWidth="1"/>
    <col min="31" max="31" width="11.90625" style="208" customWidth="1"/>
    <col min="32" max="16384" width="8.81640625" style="208"/>
  </cols>
  <sheetData>
    <row r="1" spans="1:35" s="198" customFormat="1" ht="59.1" customHeight="1" x14ac:dyDescent="0.25">
      <c r="A1" s="196" t="s">
        <v>1104</v>
      </c>
      <c r="B1" s="197" t="s">
        <v>3409</v>
      </c>
      <c r="C1" s="196" t="s">
        <v>7270</v>
      </c>
      <c r="D1" s="47">
        <f>SUM($D$3:$D$559)</f>
        <v>0</v>
      </c>
      <c r="E1" s="48">
        <f>SUM($E$3:$E$559)</f>
        <v>0</v>
      </c>
      <c r="F1" s="109">
        <f>SUM($F$3:$F$559)</f>
        <v>0</v>
      </c>
      <c r="G1" s="375">
        <f>SUM($G$3:$G$559)</f>
        <v>0</v>
      </c>
      <c r="H1" s="387" t="s">
        <v>4898</v>
      </c>
      <c r="I1" s="375"/>
      <c r="J1" s="292">
        <f>SUM(J3:J535)</f>
        <v>0</v>
      </c>
      <c r="K1" s="291" t="s">
        <v>1273</v>
      </c>
      <c r="L1" s="196" t="s">
        <v>1627</v>
      </c>
      <c r="M1" s="196" t="s">
        <v>7163</v>
      </c>
      <c r="N1" s="196" t="s">
        <v>1103</v>
      </c>
      <c r="O1" s="197" t="s">
        <v>1104</v>
      </c>
      <c r="P1" s="196" t="s">
        <v>13</v>
      </c>
      <c r="Q1" s="305"/>
      <c r="R1" s="200" t="s">
        <v>1196</v>
      </c>
      <c r="S1" s="200" t="s">
        <v>1705</v>
      </c>
      <c r="T1" s="200" t="s">
        <v>1706</v>
      </c>
      <c r="U1" s="200" t="s">
        <v>1220</v>
      </c>
      <c r="AC1" s="200" t="s">
        <v>1196</v>
      </c>
      <c r="AD1" s="200" t="s">
        <v>1705</v>
      </c>
      <c r="AE1" s="200" t="s">
        <v>1225</v>
      </c>
      <c r="AF1" s="200" t="s">
        <v>1224</v>
      </c>
      <c r="AG1" s="200" t="s">
        <v>1223</v>
      </c>
      <c r="AH1" s="200" t="s">
        <v>1222</v>
      </c>
      <c r="AI1" s="200" t="s">
        <v>1221</v>
      </c>
    </row>
    <row r="2" spans="1:35" s="198" customFormat="1" ht="59.1" hidden="1" customHeight="1" x14ac:dyDescent="0.25">
      <c r="A2" s="196"/>
      <c r="B2" s="197"/>
      <c r="C2" s="196"/>
      <c r="D2" s="202"/>
      <c r="E2" s="202"/>
      <c r="F2" s="202"/>
      <c r="G2" s="202"/>
      <c r="H2" s="202"/>
      <c r="I2" s="202"/>
      <c r="M2" s="199"/>
      <c r="N2" s="199"/>
      <c r="O2" s="199"/>
      <c r="P2" s="199"/>
      <c r="Q2" s="304"/>
      <c r="R2" s="203"/>
      <c r="S2" s="203"/>
      <c r="T2" s="203"/>
      <c r="U2" s="201"/>
      <c r="W2" s="302"/>
      <c r="X2" s="302"/>
      <c r="Y2" s="302"/>
      <c r="Z2" s="302"/>
      <c r="AA2" s="302"/>
    </row>
    <row r="3" spans="1:35" ht="30.15" customHeight="1" x14ac:dyDescent="0.25">
      <c r="A3" s="204" t="str">
        <f>VLOOKUP("Footings &amp; Slabs",Setting!$E$6:$H$33,4,FALSE)</f>
        <v>Footings &amp; Slabs</v>
      </c>
      <c r="B3" s="205" t="str" cm="1">
        <f t="array" ref="B3">IF(ROWS($B$3:$B3)&lt;=$J$3,INDEX('Footings &amp; Slabs'!$R:$R,_xlfn.AGGREGATE(15,3,('Footings &amp; Slabs'!$H$1:$H$250=1)/('Footings &amp; Slabs'!$H$1:$H$250=1)*ROW('Footings &amp; Slabs'!$H$1:$H$250),ROWS($B$3:$B3))),"")</f>
        <v/>
      </c>
      <c r="C3" s="205" t="str" cm="1">
        <f t="array" ref="C3">IF(ROWS($B$3:$B3)&lt;=$J$3,INDEX('Footings &amp; Slabs'!C:C,$H3) &amp; INDEX('Footings &amp; Slabs'!S:S,$H3),"")</f>
        <v/>
      </c>
      <c r="D3" s="206" t="str">
        <f>IFERROR(E3-F3,"")</f>
        <v/>
      </c>
      <c r="E3" s="206" t="str" cm="1">
        <f t="array" ref="E3">IF(ROWS($B$3:$B3)&lt;=$J$3,INDEX('Footings &amp; Slabs'!K:K,_xlfn.AGGREGATE(15,3,('Footings &amp; Slabs'!$H$1:$H$250=1)/('Footings &amp; Slabs'!$H$1:$H$250=1)*ROW('Footings &amp; Slabs'!$H$1:$H$250),ROWS($B$3:$B3))),"")</f>
        <v/>
      </c>
      <c r="F3" s="206" t="str" cm="1">
        <f t="array" ref="F3">IF(ROWS($B$3:$B3)&lt;=$J$3,INDEX('Footings &amp; Slabs'!L:L,_xlfn.AGGREGATE(15,3,('Footings &amp; Slabs'!$H$1:$H$250=1)/('Footings &amp; Slabs'!$H$1:$H$250=1)*ROW('Footings &amp; Slabs'!$H$1:$H$250),ROWS($B$3:$B3))),"")</f>
        <v/>
      </c>
      <c r="G3" s="206" t="str" cm="1">
        <f t="array" ref="G3">IF(ROWS($B$3:$B3)&lt;=$J$3,INDEX('Footings &amp; Slabs'!M:M,_xlfn.AGGREGATE(15,3,('Footings &amp; Slabs'!$H$1:$H$250=1)/('Footings &amp; Slabs'!$H$1:$H$250=1)*ROW('Footings &amp; Slabs'!$H$1:$H$250),ROWS($B$3:$B3))),"")</f>
        <v/>
      </c>
      <c r="H3" s="206" t="str" cm="1">
        <f t="array" ref="H3">IFERROR(_xlfn.AGGREGATE(15,3,('Footings &amp; Slabs'!$H$1:$H$250=1)/('Footings &amp; Slabs'!$H$1:$H$250=1)*ROW('Footings &amp; Slabs'!$H$1:$H$250),ROWS($B$3:$B3)),"")</f>
        <v/>
      </c>
      <c r="I3" s="206" t="str" cm="1">
        <f t="array" ref="I3">IF(ROWS($B$3:$B3)&lt;=$J$3,ROUND(INDEX('Footings &amp; Slabs'!D:D,H3),1)  &amp; " " &amp; INDEX('Footings &amp; Slabs'!E:E,H3),"")</f>
        <v/>
      </c>
      <c r="J3" s="207">
        <f>COUNTIF('Footings &amp; Slabs'!$H$1:$H$517,1)</f>
        <v>0</v>
      </c>
      <c r="L3" s="212">
        <v>1</v>
      </c>
      <c r="M3" s="307" t="str" cm="1">
        <f t="array" ref="M3">IFERROR(LARGE(_xlfn._xlws.FILTER($E$3:$E$1035, $E$3:$E$1035&gt;0), L3), " ")</f>
        <v xml:space="preserve"> </v>
      </c>
      <c r="N3" s="212" t="str">
        <f t="shared" ref="N3:P9" si="0">IFERROR(INDEX(A$3:A$1035,MATCH($M3,$E$3:$E$1035,0)),"")</f>
        <v/>
      </c>
      <c r="O3" s="212" t="str">
        <f t="shared" si="0"/>
        <v/>
      </c>
      <c r="P3" s="212" t="str">
        <f t="shared" si="0"/>
        <v/>
      </c>
      <c r="Q3" s="303"/>
      <c r="R3" s="209">
        <v>0</v>
      </c>
      <c r="S3" s="210">
        <f>'USER INPUT SHEET'!N21</f>
        <v>0</v>
      </c>
      <c r="T3" s="211">
        <v>0</v>
      </c>
      <c r="U3" s="210">
        <f>S3+T3</f>
        <v>0</v>
      </c>
      <c r="V3" s="300"/>
      <c r="W3" s="1271" t="s">
        <v>1613</v>
      </c>
      <c r="X3" s="1272" t="s">
        <v>1614</v>
      </c>
      <c r="Y3" s="1272" t="s">
        <v>1612</v>
      </c>
      <c r="Z3" s="1271" t="s">
        <v>1548</v>
      </c>
      <c r="AA3" s="1271" t="s">
        <v>1549</v>
      </c>
      <c r="AB3" s="301"/>
      <c r="AC3" s="208">
        <v>0</v>
      </c>
      <c r="AD3" s="210">
        <f>'USER INPUT SHEET'!N21</f>
        <v>0</v>
      </c>
      <c r="AE3" s="211">
        <v>0</v>
      </c>
      <c r="AF3" s="211">
        <v>0</v>
      </c>
      <c r="AG3" s="211">
        <v>0</v>
      </c>
      <c r="AH3" s="211">
        <v>0</v>
      </c>
      <c r="AI3" s="211">
        <v>0</v>
      </c>
    </row>
    <row r="4" spans="1:35" ht="30.15" customHeight="1" x14ac:dyDescent="0.25">
      <c r="A4" s="204" t="str">
        <f>VLOOKUP("Footings &amp; Slabs",Setting!$E$6:$H$33,4,FALSE)</f>
        <v>Footings &amp; Slabs</v>
      </c>
      <c r="B4" s="205" t="str" cm="1">
        <f t="array" ref="B4">IF(ROWS($B$3:$B4)&lt;=$J$3,INDEX('Footings &amp; Slabs'!$R:$R,_xlfn.AGGREGATE(15,3,('Footings &amp; Slabs'!$H$1:$H$250=1)/('Footings &amp; Slabs'!$H$1:$H$250=1)*ROW('Footings &amp; Slabs'!$H$1:$H$250),ROWS($B$3:$B4))),"")</f>
        <v/>
      </c>
      <c r="C4" s="205" t="str" cm="1">
        <f t="array" ref="C4">IF(ROWS($B$3:$B4)&lt;=$J$3,INDEX('Footings &amp; Slabs'!C:C,$H4) &amp; INDEX('Footings &amp; Slabs'!S:S,$H4),"")</f>
        <v/>
      </c>
      <c r="D4" s="206" t="str">
        <f t="shared" ref="D4:D61" si="1">IFERROR(E4-F4,"")</f>
        <v/>
      </c>
      <c r="E4" s="206" t="str" cm="1">
        <f t="array" ref="E4">IF(ROWS($B$3:$B4)&lt;=$J$3,INDEX('Footings &amp; Slabs'!K:K,_xlfn.AGGREGATE(15,3,('Footings &amp; Slabs'!$H$1:$H$250=1)/('Footings &amp; Slabs'!$H$1:$H$250=1)*ROW('Footings &amp; Slabs'!$H$1:$H$250),ROWS($B$3:$B4))),"")</f>
        <v/>
      </c>
      <c r="F4" s="206" t="str" cm="1">
        <f t="array" ref="F4">IF(ROWS($B$3:$B4)&lt;=$J$3,INDEX('Footings &amp; Slabs'!L:L,_xlfn.AGGREGATE(15,3,('Footings &amp; Slabs'!$H$1:$H$250=1)/('Footings &amp; Slabs'!$H$1:$H$250=1)*ROW('Footings &amp; Slabs'!$H$1:$H$250),ROWS($B$3:$B4))),"")</f>
        <v/>
      </c>
      <c r="G4" s="206" t="str" cm="1">
        <f t="array" ref="G4">IF(ROWS($B$3:$B4)&lt;=$J$3,INDEX('Footings &amp; Slabs'!M:M,_xlfn.AGGREGATE(15,3,('Footings &amp; Slabs'!$H$1:$H$250=1)/('Footings &amp; Slabs'!$H$1:$H$250=1)*ROW('Footings &amp; Slabs'!$H$1:$H$250),ROWS($B$3:$B4))),"")</f>
        <v/>
      </c>
      <c r="H4" s="206" t="str" cm="1">
        <f t="array" ref="H4">IFERROR(_xlfn.AGGREGATE(15,3,('Footings &amp; Slabs'!$H$1:$H$250=1)/('Footings &amp; Slabs'!$H$1:$H$250=1)*ROW('Footings &amp; Slabs'!$H$1:$H$250),ROWS($B$3:$B4)),"")</f>
        <v/>
      </c>
      <c r="I4" s="206" t="str" cm="1">
        <f t="array" ref="I4">IF(ROWS($B$3:$B4)&lt;=$J$3,ROUND(INDEX('Footings &amp; Slabs'!D:D,H4),1)  &amp; " " &amp; INDEX('Footings &amp; Slabs'!E:E,H4),"")</f>
        <v/>
      </c>
      <c r="L4" s="212">
        <v>2</v>
      </c>
      <c r="M4" s="307" t="str" cm="1">
        <f t="array" ref="M4">IFERROR(LARGE(_xlfn._xlws.FILTER($E$3:$E$1035, $E$3:$E$1035&gt;0), L4), " ")</f>
        <v xml:space="preserve"> </v>
      </c>
      <c r="N4" s="212" t="str">
        <f t="shared" si="0"/>
        <v/>
      </c>
      <c r="O4" s="212" t="str">
        <f t="shared" si="0"/>
        <v/>
      </c>
      <c r="P4" s="212" t="str">
        <f t="shared" si="0"/>
        <v/>
      </c>
      <c r="R4" s="213">
        <v>1</v>
      </c>
      <c r="S4" s="210">
        <f>$S$3</f>
        <v>0</v>
      </c>
      <c r="T4" s="210">
        <f>'USER INPUT SHEET'!N16</f>
        <v>0</v>
      </c>
      <c r="U4" s="210">
        <f t="shared" ref="U4:U33" si="2">S4+T4</f>
        <v>0</v>
      </c>
      <c r="V4" s="300"/>
      <c r="W4" s="1273">
        <f>ROUND('USER INPUT SHEET'!$O$21,0)</f>
        <v>0</v>
      </c>
      <c r="X4" s="1274">
        <f>IF(W4&gt;400,400-$Y$4/2,IF(W4=0,0,W4-$Y$4/2))</f>
        <v>0</v>
      </c>
      <c r="Y4" s="1274">
        <f>IF(W4=0,0,IF(W4&gt;0,ROUND((AA4-Z4)*0.0125,1),-ROUND((AA4-Z4)*0.0125,1)))</f>
        <v>0</v>
      </c>
      <c r="Z4" s="1275">
        <v>-50</v>
      </c>
      <c r="AA4" s="1275">
        <v>400</v>
      </c>
      <c r="AB4" s="301"/>
      <c r="AC4" s="208">
        <v>1</v>
      </c>
      <c r="AD4" s="210">
        <f>$AD$3</f>
        <v>0</v>
      </c>
      <c r="AE4" s="210">
        <f>'Energy GHG'!D35</f>
        <v>0</v>
      </c>
      <c r="AF4" s="210">
        <f>'Energy GHG'!E35</f>
        <v>0</v>
      </c>
      <c r="AG4" s="210">
        <f>'Energy GHG'!F35</f>
        <v>0</v>
      </c>
      <c r="AH4" s="210">
        <f>'Energy GHG'!G35</f>
        <v>0</v>
      </c>
      <c r="AI4" s="210">
        <f>'Energy GHG'!H35</f>
        <v>0</v>
      </c>
    </row>
    <row r="5" spans="1:35" ht="30.15" customHeight="1" x14ac:dyDescent="0.25">
      <c r="A5" s="204" t="str">
        <f>VLOOKUP("Footings &amp; Slabs",Setting!$E$6:$H$33,4,FALSE)</f>
        <v>Footings &amp; Slabs</v>
      </c>
      <c r="B5" s="205" t="str" cm="1">
        <f t="array" ref="B5">IF(ROWS($B$3:$B5)&lt;=$J$3,INDEX('Footings &amp; Slabs'!$R:$R,_xlfn.AGGREGATE(15,3,('Footings &amp; Slabs'!$H$1:$H$250=1)/('Footings &amp; Slabs'!$H$1:$H$250=1)*ROW('Footings &amp; Slabs'!$H$1:$H$250),ROWS($B$3:$B5))),"")</f>
        <v/>
      </c>
      <c r="C5" s="205" t="str" cm="1">
        <f t="array" ref="C5">IF(ROWS($B$3:$B5)&lt;=$J$3,INDEX('Footings &amp; Slabs'!C:C,$H5) &amp; INDEX('Footings &amp; Slabs'!S:S,$H5),"")</f>
        <v/>
      </c>
      <c r="D5" s="206" t="str">
        <f t="shared" si="1"/>
        <v/>
      </c>
      <c r="E5" s="206" t="str" cm="1">
        <f t="array" ref="E5">IF(ROWS($B$3:$B5)&lt;=$J$3,INDEX('Footings &amp; Slabs'!K:K,_xlfn.AGGREGATE(15,3,('Footings &amp; Slabs'!$H$1:$H$250=1)/('Footings &amp; Slabs'!$H$1:$H$250=1)*ROW('Footings &amp; Slabs'!$H$1:$H$250),ROWS($B$3:$B5))),"")</f>
        <v/>
      </c>
      <c r="F5" s="206" t="str" cm="1">
        <f t="array" ref="F5">IF(ROWS($B$3:$B5)&lt;=$J$3,INDEX('Footings &amp; Slabs'!L:L,_xlfn.AGGREGATE(15,3,('Footings &amp; Slabs'!$H$1:$H$250=1)/('Footings &amp; Slabs'!$H$1:$H$250=1)*ROW('Footings &amp; Slabs'!$H$1:$H$250),ROWS($B$3:$B5))),"")</f>
        <v/>
      </c>
      <c r="G5" s="206" t="str" cm="1">
        <f t="array" ref="G5">IF(ROWS($B$3:$B5)&lt;=$J$3,INDEX('Footings &amp; Slabs'!M:M,_xlfn.AGGREGATE(15,3,('Footings &amp; Slabs'!$H$1:$H$250=1)/('Footings &amp; Slabs'!$H$1:$H$250=1)*ROW('Footings &amp; Slabs'!$H$1:$H$250),ROWS($B$3:$B5))),"")</f>
        <v/>
      </c>
      <c r="H5" s="206" t="str" cm="1">
        <f t="array" ref="H5">IFERROR(_xlfn.AGGREGATE(15,3,('Footings &amp; Slabs'!$H$1:$H$250=1)/('Footings &amp; Slabs'!$H$1:$H$250=1)*ROW('Footings &amp; Slabs'!$H$1:$H$250),ROWS($B$3:$B5)),"")</f>
        <v/>
      </c>
      <c r="I5" s="206" t="str" cm="1">
        <f t="array" ref="I5">IF(ROWS($B$3:$B5)&lt;=$J$3,ROUND(INDEX('Footings &amp; Slabs'!D:D,H5),1)  &amp; " " &amp; INDEX('Footings &amp; Slabs'!E:E,H5),"")</f>
        <v/>
      </c>
      <c r="L5" s="212">
        <v>3</v>
      </c>
      <c r="M5" s="307" t="str" cm="1">
        <f t="array" ref="M5">IFERROR(LARGE(_xlfn._xlws.FILTER($E$3:$E$1035, $E$3:$E$1035&gt;0), L5), " ")</f>
        <v xml:space="preserve"> </v>
      </c>
      <c r="N5" s="212" t="str">
        <f t="shared" si="0"/>
        <v/>
      </c>
      <c r="O5" s="212" t="str">
        <f t="shared" si="0"/>
        <v/>
      </c>
      <c r="P5" s="212" t="str">
        <f t="shared" si="0"/>
        <v/>
      </c>
      <c r="R5" s="213">
        <v>2</v>
      </c>
      <c r="S5" s="210">
        <f t="shared" ref="S5:S33" si="3">$S$3</f>
        <v>0</v>
      </c>
      <c r="T5" s="210">
        <f t="shared" ref="T5:T33" si="4">T4+T$4</f>
        <v>0</v>
      </c>
      <c r="U5" s="210">
        <f t="shared" si="2"/>
        <v>0</v>
      </c>
      <c r="V5" s="214"/>
      <c r="W5" s="303"/>
      <c r="X5" s="303"/>
      <c r="Y5" s="303"/>
      <c r="Z5" s="303"/>
      <c r="AA5" s="303"/>
      <c r="AC5" s="208">
        <v>2</v>
      </c>
      <c r="AD5" s="210">
        <f t="shared" ref="AD5:AD33" si="5">$AD$3</f>
        <v>0</v>
      </c>
      <c r="AE5" s="210">
        <f t="shared" ref="AE5:AI33" si="6">AE4+AE$4</f>
        <v>0</v>
      </c>
      <c r="AF5" s="210">
        <f t="shared" si="6"/>
        <v>0</v>
      </c>
      <c r="AG5" s="210">
        <f t="shared" si="6"/>
        <v>0</v>
      </c>
      <c r="AH5" s="210">
        <f t="shared" si="6"/>
        <v>0</v>
      </c>
      <c r="AI5" s="210">
        <f t="shared" si="6"/>
        <v>0</v>
      </c>
    </row>
    <row r="6" spans="1:35" ht="30.15" customHeight="1" x14ac:dyDescent="0.25">
      <c r="A6" s="204" t="str">
        <f>VLOOKUP("Footings &amp; Slabs",Setting!$E$6:$H$33,4,FALSE)</f>
        <v>Footings &amp; Slabs</v>
      </c>
      <c r="B6" s="205" t="str" cm="1">
        <f t="array" ref="B6">IF(ROWS($B$3:$B6)&lt;=$J$3,INDEX('Footings &amp; Slabs'!$R:$R,_xlfn.AGGREGATE(15,3,('Footings &amp; Slabs'!$H$1:$H$250=1)/('Footings &amp; Slabs'!$H$1:$H$250=1)*ROW('Footings &amp; Slabs'!$H$1:$H$250),ROWS($B$3:$B6))),"")</f>
        <v/>
      </c>
      <c r="C6" s="205" t="str" cm="1">
        <f t="array" ref="C6">IF(ROWS($B$3:$B6)&lt;=$J$3,INDEX('Footings &amp; Slabs'!C:C,$H6) &amp; INDEX('Footings &amp; Slabs'!S:S,$H6),"")</f>
        <v/>
      </c>
      <c r="D6" s="206" t="str">
        <f t="shared" si="1"/>
        <v/>
      </c>
      <c r="E6" s="206" t="str" cm="1">
        <f t="array" ref="E6">IF(ROWS($B$3:$B6)&lt;=$J$3,INDEX('Footings &amp; Slabs'!K:K,_xlfn.AGGREGATE(15,3,('Footings &amp; Slabs'!$H$1:$H$250=1)/('Footings &amp; Slabs'!$H$1:$H$250=1)*ROW('Footings &amp; Slabs'!$H$1:$H$250),ROWS($B$3:$B6))),"")</f>
        <v/>
      </c>
      <c r="F6" s="206" t="str" cm="1">
        <f t="array" ref="F6">IF(ROWS($B$3:$B6)&lt;=$J$3,INDEX('Footings &amp; Slabs'!L:L,_xlfn.AGGREGATE(15,3,('Footings &amp; Slabs'!$H$1:$H$250=1)/('Footings &amp; Slabs'!$H$1:$H$250=1)*ROW('Footings &amp; Slabs'!$H$1:$H$250),ROWS($B$3:$B6))),"")</f>
        <v/>
      </c>
      <c r="G6" s="206" t="str" cm="1">
        <f t="array" ref="G6">IF(ROWS($B$3:$B6)&lt;=$J$3,INDEX('Footings &amp; Slabs'!M:M,_xlfn.AGGREGATE(15,3,('Footings &amp; Slabs'!$H$1:$H$250=1)/('Footings &amp; Slabs'!$H$1:$H$250=1)*ROW('Footings &amp; Slabs'!$H$1:$H$250),ROWS($B$3:$B6))),"")</f>
        <v/>
      </c>
      <c r="H6" s="206" t="str" cm="1">
        <f t="array" ref="H6">IFERROR(_xlfn.AGGREGATE(15,3,('Footings &amp; Slabs'!$H$1:$H$250=1)/('Footings &amp; Slabs'!$H$1:$H$250=1)*ROW('Footings &amp; Slabs'!$H$1:$H$250),ROWS($B$3:$B6)),"")</f>
        <v/>
      </c>
      <c r="I6" s="206" t="str" cm="1">
        <f t="array" ref="I6">IF(ROWS($B$3:$B6)&lt;=$J$3,ROUND(INDEX('Footings &amp; Slabs'!D:D,H6),1)  &amp; " " &amp; INDEX('Footings &amp; Slabs'!E:E,H6),"")</f>
        <v/>
      </c>
      <c r="L6" s="212">
        <v>4</v>
      </c>
      <c r="M6" s="307" t="str" cm="1">
        <f t="array" ref="M6">IFERROR(LARGE(_xlfn._xlws.FILTER($E$3:$E$1035, $E$3:$E$1035&gt;0), L6), " ")</f>
        <v xml:space="preserve"> </v>
      </c>
      <c r="N6" s="212" t="str">
        <f t="shared" si="0"/>
        <v/>
      </c>
      <c r="O6" s="212" t="str">
        <f t="shared" si="0"/>
        <v/>
      </c>
      <c r="P6" s="212" t="str">
        <f t="shared" si="0"/>
        <v/>
      </c>
      <c r="R6" s="213">
        <v>3</v>
      </c>
      <c r="S6" s="210">
        <f t="shared" si="3"/>
        <v>0</v>
      </c>
      <c r="T6" s="210">
        <f t="shared" si="4"/>
        <v>0</v>
      </c>
      <c r="U6" s="210">
        <f t="shared" si="2"/>
        <v>0</v>
      </c>
      <c r="AC6" s="208">
        <v>3</v>
      </c>
      <c r="AD6" s="210">
        <f t="shared" si="5"/>
        <v>0</v>
      </c>
      <c r="AE6" s="210">
        <f t="shared" si="6"/>
        <v>0</v>
      </c>
      <c r="AF6" s="210">
        <f t="shared" ref="AF6:AH6" si="7">AF5+AF$4</f>
        <v>0</v>
      </c>
      <c r="AG6" s="210">
        <f t="shared" si="7"/>
        <v>0</v>
      </c>
      <c r="AH6" s="210">
        <f t="shared" si="7"/>
        <v>0</v>
      </c>
      <c r="AI6" s="210">
        <f t="shared" ref="AF6:AI7" si="8">AI5+AI$4</f>
        <v>0</v>
      </c>
    </row>
    <row r="7" spans="1:35" ht="30.15" customHeight="1" x14ac:dyDescent="0.25">
      <c r="A7" s="204" t="str">
        <f>VLOOKUP("Footings &amp; Slabs",Setting!$E$6:$H$33,4,FALSE)</f>
        <v>Footings &amp; Slabs</v>
      </c>
      <c r="B7" s="205" t="str" cm="1">
        <f t="array" ref="B7">IF(ROWS($B$3:$B7)&lt;=$J$3,INDEX('Footings &amp; Slabs'!$R:$R,_xlfn.AGGREGATE(15,3,('Footings &amp; Slabs'!$H$1:$H$250=1)/('Footings &amp; Slabs'!$H$1:$H$250=1)*ROW('Footings &amp; Slabs'!$H$1:$H$250),ROWS($B$3:$B7))),"")</f>
        <v/>
      </c>
      <c r="C7" s="205" t="str" cm="1">
        <f t="array" ref="C7">IF(ROWS($B$3:$B7)&lt;=$J$3,INDEX('Footings &amp; Slabs'!C:C,$H7) &amp; INDEX('Footings &amp; Slabs'!S:S,$H7),"")</f>
        <v/>
      </c>
      <c r="D7" s="206" t="str">
        <f t="shared" si="1"/>
        <v/>
      </c>
      <c r="E7" s="206" t="str" cm="1">
        <f t="array" ref="E7">IF(ROWS($B$3:$B7)&lt;=$J$3,INDEX('Footings &amp; Slabs'!K:K,_xlfn.AGGREGATE(15,3,('Footings &amp; Slabs'!$H$1:$H$250=1)/('Footings &amp; Slabs'!$H$1:$H$250=1)*ROW('Footings &amp; Slabs'!$H$1:$H$250),ROWS($B$3:$B7))),"")</f>
        <v/>
      </c>
      <c r="F7" s="206" t="str" cm="1">
        <f t="array" ref="F7">IF(ROWS($B$3:$B7)&lt;=$J$3,INDEX('Footings &amp; Slabs'!L:L,_xlfn.AGGREGATE(15,3,('Footings &amp; Slabs'!$H$1:$H$250=1)/('Footings &amp; Slabs'!$H$1:$H$250=1)*ROW('Footings &amp; Slabs'!$H$1:$H$250),ROWS($B$3:$B7))),"")</f>
        <v/>
      </c>
      <c r="G7" s="206" t="str" cm="1">
        <f t="array" ref="G7">IF(ROWS($B$3:$B7)&lt;=$J$3,INDEX('Footings &amp; Slabs'!M:M,_xlfn.AGGREGATE(15,3,('Footings &amp; Slabs'!$H$1:$H$250=1)/('Footings &amp; Slabs'!$H$1:$H$250=1)*ROW('Footings &amp; Slabs'!$H$1:$H$250),ROWS($B$3:$B7))),"")</f>
        <v/>
      </c>
      <c r="H7" s="206" t="str" cm="1">
        <f t="array" ref="H7">IFERROR(_xlfn.AGGREGATE(15,3,('Footings &amp; Slabs'!$H$1:$H$250=1)/('Footings &amp; Slabs'!$H$1:$H$250=1)*ROW('Footings &amp; Slabs'!$H$1:$H$250),ROWS($B$3:$B7)),"")</f>
        <v/>
      </c>
      <c r="I7" s="206" t="str" cm="1">
        <f t="array" ref="I7">IF(ROWS($B$3:$B7)&lt;=$J$3,ROUND(INDEX('Footings &amp; Slabs'!D:D,H7),1)  &amp; " " &amp; INDEX('Footings &amp; Slabs'!E:E,H7),"")</f>
        <v/>
      </c>
      <c r="L7" s="212">
        <v>5</v>
      </c>
      <c r="M7" s="307" t="str" cm="1">
        <f t="array" ref="M7">IFERROR(LARGE(_xlfn._xlws.FILTER($E$3:$E$1035, $E$3:$E$1035&gt;0), L7), " ")</f>
        <v xml:space="preserve"> </v>
      </c>
      <c r="N7" s="212" t="str">
        <f t="shared" si="0"/>
        <v/>
      </c>
      <c r="O7" s="212" t="str">
        <f t="shared" si="0"/>
        <v/>
      </c>
      <c r="P7" s="212" t="str">
        <f t="shared" si="0"/>
        <v/>
      </c>
      <c r="R7" s="213">
        <v>4</v>
      </c>
      <c r="S7" s="210">
        <f t="shared" si="3"/>
        <v>0</v>
      </c>
      <c r="T7" s="210">
        <f t="shared" si="4"/>
        <v>0</v>
      </c>
      <c r="U7" s="210">
        <f t="shared" si="2"/>
        <v>0</v>
      </c>
      <c r="AC7" s="208">
        <v>4</v>
      </c>
      <c r="AD7" s="210">
        <f t="shared" si="5"/>
        <v>0</v>
      </c>
      <c r="AE7" s="210">
        <f t="shared" si="6"/>
        <v>0</v>
      </c>
      <c r="AF7" s="210">
        <f t="shared" si="8"/>
        <v>0</v>
      </c>
      <c r="AG7" s="210">
        <f t="shared" si="8"/>
        <v>0</v>
      </c>
      <c r="AH7" s="210">
        <f t="shared" si="8"/>
        <v>0</v>
      </c>
      <c r="AI7" s="210">
        <f t="shared" si="8"/>
        <v>0</v>
      </c>
    </row>
    <row r="8" spans="1:35" ht="30.15" customHeight="1" x14ac:dyDescent="0.25">
      <c r="A8" s="204" t="str">
        <f>VLOOKUP("Footings &amp; Slabs",Setting!$E$6:$H$33,4,FALSE)</f>
        <v>Footings &amp; Slabs</v>
      </c>
      <c r="B8" s="205" t="str" cm="1">
        <f t="array" ref="B8">IF(ROWS($B$3:$B8)&lt;=$J$3,INDEX('Footings &amp; Slabs'!$R:$R,_xlfn.AGGREGATE(15,3,('Footings &amp; Slabs'!$H$1:$H$250=1)/('Footings &amp; Slabs'!$H$1:$H$250=1)*ROW('Footings &amp; Slabs'!$H$1:$H$250),ROWS($B$3:$B8))),"")</f>
        <v/>
      </c>
      <c r="C8" s="205" t="str" cm="1">
        <f t="array" ref="C8">IF(ROWS($B$3:$B8)&lt;=$J$3,INDEX('Footings &amp; Slabs'!C:C,$H8) &amp; INDEX('Footings &amp; Slabs'!S:S,$H8),"")</f>
        <v/>
      </c>
      <c r="D8" s="206" t="str">
        <f t="shared" si="1"/>
        <v/>
      </c>
      <c r="E8" s="206" t="str" cm="1">
        <f t="array" ref="E8">IF(ROWS($B$3:$B8)&lt;=$J$3,INDEX('Footings &amp; Slabs'!K:K,_xlfn.AGGREGATE(15,3,('Footings &amp; Slabs'!$H$1:$H$250=1)/('Footings &amp; Slabs'!$H$1:$H$250=1)*ROW('Footings &amp; Slabs'!$H$1:$H$250),ROWS($B$3:$B8))),"")</f>
        <v/>
      </c>
      <c r="F8" s="206" t="str" cm="1">
        <f t="array" ref="F8">IF(ROWS($B$3:$B8)&lt;=$J$3,INDEX('Footings &amp; Slabs'!L:L,_xlfn.AGGREGATE(15,3,('Footings &amp; Slabs'!$H$1:$H$250=1)/('Footings &amp; Slabs'!$H$1:$H$250=1)*ROW('Footings &amp; Slabs'!$H$1:$H$250),ROWS($B$3:$B8))),"")</f>
        <v/>
      </c>
      <c r="G8" s="206" t="str" cm="1">
        <f t="array" ref="G8">IF(ROWS($B$3:$B8)&lt;=$J$3,INDEX('Footings &amp; Slabs'!M:M,_xlfn.AGGREGATE(15,3,('Footings &amp; Slabs'!$H$1:$H$250=1)/('Footings &amp; Slabs'!$H$1:$H$250=1)*ROW('Footings &amp; Slabs'!$H$1:$H$250),ROWS($B$3:$B8))),"")</f>
        <v/>
      </c>
      <c r="H8" s="206" t="str" cm="1">
        <f t="array" ref="H8">IFERROR(_xlfn.AGGREGATE(15,3,('Footings &amp; Slabs'!$H$1:$H$250=1)/('Footings &amp; Slabs'!$H$1:$H$250=1)*ROW('Footings &amp; Slabs'!$H$1:$H$250),ROWS($B$3:$B8)),"")</f>
        <v/>
      </c>
      <c r="I8" s="206" t="str" cm="1">
        <f t="array" ref="I8">IF(ROWS($B$3:$B8)&lt;=$J$3,ROUND(INDEX('Footings &amp; Slabs'!D:D,H8),1)  &amp; " " &amp; INDEX('Footings &amp; Slabs'!E:E,H8),"")</f>
        <v/>
      </c>
      <c r="L8" s="212">
        <v>6</v>
      </c>
      <c r="M8" s="307" t="str" cm="1">
        <f t="array" ref="M8">IFERROR(LARGE(_xlfn._xlws.FILTER($E$3:$E$1035, $E$3:$E$1035&gt;0), L8), " ")</f>
        <v xml:space="preserve"> </v>
      </c>
      <c r="N8" s="212" t="str">
        <f t="shared" si="0"/>
        <v/>
      </c>
      <c r="O8" s="212" t="str">
        <f t="shared" si="0"/>
        <v/>
      </c>
      <c r="P8" s="212" t="str">
        <f t="shared" si="0"/>
        <v/>
      </c>
      <c r="R8" s="213">
        <v>5</v>
      </c>
      <c r="S8" s="210">
        <f t="shared" si="3"/>
        <v>0</v>
      </c>
      <c r="T8" s="210">
        <f t="shared" si="4"/>
        <v>0</v>
      </c>
      <c r="U8" s="210">
        <f t="shared" si="2"/>
        <v>0</v>
      </c>
      <c r="AC8" s="208">
        <v>5</v>
      </c>
      <c r="AD8" s="210">
        <f t="shared" si="5"/>
        <v>0</v>
      </c>
      <c r="AE8" s="210">
        <f t="shared" si="6"/>
        <v>0</v>
      </c>
      <c r="AF8" s="210">
        <f t="shared" ref="AF8:AI8" si="9">AF7+AF$4</f>
        <v>0</v>
      </c>
      <c r="AG8" s="210">
        <f t="shared" si="9"/>
        <v>0</v>
      </c>
      <c r="AH8" s="210">
        <f t="shared" si="9"/>
        <v>0</v>
      </c>
      <c r="AI8" s="210">
        <f t="shared" si="9"/>
        <v>0</v>
      </c>
    </row>
    <row r="9" spans="1:35" ht="30.15" customHeight="1" x14ac:dyDescent="0.25">
      <c r="A9" s="204" t="str">
        <f>VLOOKUP("Footings &amp; Slabs",Setting!$E$6:$H$33,4,FALSE)</f>
        <v>Footings &amp; Slabs</v>
      </c>
      <c r="B9" s="205" t="str" cm="1">
        <f t="array" ref="B9">IF(ROWS($B$3:$B9)&lt;=$J$3,INDEX('Footings &amp; Slabs'!$R:$R,_xlfn.AGGREGATE(15,3,('Footings &amp; Slabs'!$H$1:$H$250=1)/('Footings &amp; Slabs'!$H$1:$H$250=1)*ROW('Footings &amp; Slabs'!$H$1:$H$250),ROWS($B$3:$B9))),"")</f>
        <v/>
      </c>
      <c r="C9" s="205" t="str" cm="1">
        <f t="array" ref="C9">IF(ROWS($B$3:$B9)&lt;=$J$3,INDEX('Footings &amp; Slabs'!C:C,$H9) &amp; INDEX('Footings &amp; Slabs'!S:S,$H9),"")</f>
        <v/>
      </c>
      <c r="D9" s="206" t="str">
        <f t="shared" si="1"/>
        <v/>
      </c>
      <c r="E9" s="206" t="str" cm="1">
        <f t="array" ref="E9">IF(ROWS($B$3:$B9)&lt;=$J$3,INDEX('Footings &amp; Slabs'!K:K,_xlfn.AGGREGATE(15,3,('Footings &amp; Slabs'!$H$1:$H$250=1)/('Footings &amp; Slabs'!$H$1:$H$250=1)*ROW('Footings &amp; Slabs'!$H$1:$H$250),ROWS($B$3:$B9))),"")</f>
        <v/>
      </c>
      <c r="F9" s="206" t="str" cm="1">
        <f t="array" ref="F9">IF(ROWS($B$3:$B9)&lt;=$J$3,INDEX('Footings &amp; Slabs'!L:L,_xlfn.AGGREGATE(15,3,('Footings &amp; Slabs'!$H$1:$H$250=1)/('Footings &amp; Slabs'!$H$1:$H$250=1)*ROW('Footings &amp; Slabs'!$H$1:$H$250),ROWS($B$3:$B9))),"")</f>
        <v/>
      </c>
      <c r="G9" s="206" t="str" cm="1">
        <f t="array" ref="G9">IF(ROWS($B$3:$B9)&lt;=$J$3,INDEX('Footings &amp; Slabs'!M:M,_xlfn.AGGREGATE(15,3,('Footings &amp; Slabs'!$H$1:$H$250=1)/('Footings &amp; Slabs'!$H$1:$H$250=1)*ROW('Footings &amp; Slabs'!$H$1:$H$250),ROWS($B$3:$B9))),"")</f>
        <v/>
      </c>
      <c r="H9" s="206" t="str" cm="1">
        <f t="array" ref="H9">IFERROR(_xlfn.AGGREGATE(15,3,('Footings &amp; Slabs'!$H$1:$H$250=1)/('Footings &amp; Slabs'!$H$1:$H$250=1)*ROW('Footings &amp; Slabs'!$H$1:$H$250),ROWS($B$3:$B9)),"")</f>
        <v/>
      </c>
      <c r="I9" s="206" t="str" cm="1">
        <f t="array" ref="I9">IF(ROWS($B$3:$B9)&lt;=$J$3,ROUND(INDEX('Footings &amp; Slabs'!D:D,H9),1)  &amp; " " &amp; INDEX('Footings &amp; Slabs'!E:E,H9),"")</f>
        <v/>
      </c>
      <c r="L9" s="212">
        <v>7</v>
      </c>
      <c r="M9" s="307" t="str" cm="1">
        <f t="array" ref="M9">IFERROR(LARGE(_xlfn._xlws.FILTER($E$3:$E$1035, $E$3:$E$1035&gt;0), L9), " ")</f>
        <v xml:space="preserve"> </v>
      </c>
      <c r="N9" s="212" t="str">
        <f t="shared" si="0"/>
        <v/>
      </c>
      <c r="O9" s="212" t="str">
        <f t="shared" si="0"/>
        <v/>
      </c>
      <c r="P9" s="212" t="str">
        <f t="shared" si="0"/>
        <v/>
      </c>
      <c r="R9" s="213">
        <v>6</v>
      </c>
      <c r="S9" s="210">
        <f t="shared" si="3"/>
        <v>0</v>
      </c>
      <c r="T9" s="210">
        <f t="shared" si="4"/>
        <v>0</v>
      </c>
      <c r="U9" s="210">
        <f t="shared" si="2"/>
        <v>0</v>
      </c>
      <c r="AC9" s="208">
        <v>6</v>
      </c>
      <c r="AD9" s="210">
        <f t="shared" si="5"/>
        <v>0</v>
      </c>
      <c r="AE9" s="210">
        <f t="shared" si="6"/>
        <v>0</v>
      </c>
      <c r="AF9" s="210">
        <f t="shared" si="6"/>
        <v>0</v>
      </c>
      <c r="AG9" s="210">
        <f t="shared" ref="AG9:AH9" si="10">AG8+AG$4</f>
        <v>0</v>
      </c>
      <c r="AH9" s="210">
        <f t="shared" si="10"/>
        <v>0</v>
      </c>
      <c r="AI9" s="210">
        <f t="shared" si="6"/>
        <v>0</v>
      </c>
    </row>
    <row r="10" spans="1:35" ht="30.15" customHeight="1" x14ac:dyDescent="0.25">
      <c r="A10" s="204" t="str">
        <f>VLOOKUP("Footings &amp; Slabs",Setting!$E$6:$H$33,4,FALSE)</f>
        <v>Footings &amp; Slabs</v>
      </c>
      <c r="B10" s="205" t="str" cm="1">
        <f t="array" ref="B10">IF(ROWS($B$3:$B10)&lt;=$J$3,INDEX('Footings &amp; Slabs'!$R:$R,_xlfn.AGGREGATE(15,3,('Footings &amp; Slabs'!$H$1:$H$250=1)/('Footings &amp; Slabs'!$H$1:$H$250=1)*ROW('Footings &amp; Slabs'!$H$1:$H$250),ROWS($B$3:$B10))),"")</f>
        <v/>
      </c>
      <c r="C10" s="205" t="str" cm="1">
        <f t="array" ref="C10">IF(ROWS($B$3:$B10)&lt;=$J$3,INDEX('Footings &amp; Slabs'!C:C,$H10) &amp; INDEX('Footings &amp; Slabs'!S:S,$H10),"")</f>
        <v/>
      </c>
      <c r="D10" s="206" t="str">
        <f t="shared" si="1"/>
        <v/>
      </c>
      <c r="E10" s="206" t="str" cm="1">
        <f t="array" ref="E10">IF(ROWS($B$3:$B10)&lt;=$J$3,INDEX('Footings &amp; Slabs'!K:K,_xlfn.AGGREGATE(15,3,('Footings &amp; Slabs'!$H$1:$H$250=1)/('Footings &amp; Slabs'!$H$1:$H$250=1)*ROW('Footings &amp; Slabs'!$H$1:$H$250),ROWS($B$3:$B10))),"")</f>
        <v/>
      </c>
      <c r="F10" s="206" t="str" cm="1">
        <f t="array" ref="F10">IF(ROWS($B$3:$B10)&lt;=$J$3,INDEX('Footings &amp; Slabs'!L:L,_xlfn.AGGREGATE(15,3,('Footings &amp; Slabs'!$H$1:$H$250=1)/('Footings &amp; Slabs'!$H$1:$H$250=1)*ROW('Footings &amp; Slabs'!$H$1:$H$250),ROWS($B$3:$B10))),"")</f>
        <v/>
      </c>
      <c r="G10" s="206" t="str" cm="1">
        <f t="array" ref="G10">IF(ROWS($B$3:$B10)&lt;=$J$3,INDEX('Footings &amp; Slabs'!M:M,_xlfn.AGGREGATE(15,3,('Footings &amp; Slabs'!$H$1:$H$250=1)/('Footings &amp; Slabs'!$H$1:$H$250=1)*ROW('Footings &amp; Slabs'!$H$1:$H$250),ROWS($B$3:$B10))),"")</f>
        <v/>
      </c>
      <c r="H10" s="206" t="str" cm="1">
        <f t="array" ref="H10">IFERROR(_xlfn.AGGREGATE(15,3,('Footings &amp; Slabs'!$H$1:$H$250=1)/('Footings &amp; Slabs'!$H$1:$H$250=1)*ROW('Footings &amp; Slabs'!$H$1:$H$250),ROWS($B$3:$B10)),"")</f>
        <v/>
      </c>
      <c r="I10" s="206" t="str" cm="1">
        <f t="array" ref="I10">IF(ROWS($B$3:$B10)&lt;=$J$3,ROUND(INDEX('Footings &amp; Slabs'!D:D,H10),1)  &amp; " " &amp; INDEX('Footings &amp; Slabs'!E:E,H10),"")</f>
        <v/>
      </c>
      <c r="L10" s="212" t="s">
        <v>7164</v>
      </c>
      <c r="M10" s="307"/>
      <c r="N10" s="212"/>
      <c r="O10" s="212"/>
      <c r="P10" s="212"/>
      <c r="R10" s="213">
        <v>7</v>
      </c>
      <c r="S10" s="210">
        <f t="shared" si="3"/>
        <v>0</v>
      </c>
      <c r="T10" s="210">
        <f t="shared" si="4"/>
        <v>0</v>
      </c>
      <c r="U10" s="210">
        <f t="shared" si="2"/>
        <v>0</v>
      </c>
      <c r="AC10" s="208">
        <v>7</v>
      </c>
      <c r="AD10" s="210">
        <f t="shared" si="5"/>
        <v>0</v>
      </c>
      <c r="AE10" s="210">
        <f t="shared" si="6"/>
        <v>0</v>
      </c>
      <c r="AF10" s="210">
        <f t="shared" si="6"/>
        <v>0</v>
      </c>
      <c r="AG10" s="210">
        <f t="shared" si="6"/>
        <v>0</v>
      </c>
      <c r="AH10" s="210">
        <f t="shared" ref="AH10" si="11">AH9+AH$4</f>
        <v>0</v>
      </c>
      <c r="AI10" s="210">
        <f t="shared" si="6"/>
        <v>0</v>
      </c>
    </row>
    <row r="11" spans="1:35" ht="30.15" customHeight="1" x14ac:dyDescent="0.25">
      <c r="A11" s="204" t="str">
        <f>VLOOKUP("Footings &amp; Slabs",Setting!$E$6:$H$33,4,FALSE)</f>
        <v>Footings &amp; Slabs</v>
      </c>
      <c r="B11" s="205" t="str" cm="1">
        <f t="array" ref="B11">IF(ROWS($B$3:$B11)&lt;=$J$3,INDEX('Footings &amp; Slabs'!$R:$R,_xlfn.AGGREGATE(15,3,('Footings &amp; Slabs'!$H$1:$H$250=1)/('Footings &amp; Slabs'!$H$1:$H$250=1)*ROW('Footings &amp; Slabs'!$H$1:$H$250),ROWS($B$3:$B11))),"")</f>
        <v/>
      </c>
      <c r="C11" s="205" t="str" cm="1">
        <f t="array" ref="C11">IF(ROWS($B$3:$B11)&lt;=$J$3,INDEX('Footings &amp; Slabs'!C:C,$H11) &amp; INDEX('Footings &amp; Slabs'!S:S,$H11),"")</f>
        <v/>
      </c>
      <c r="D11" s="206" t="str">
        <f t="shared" si="1"/>
        <v/>
      </c>
      <c r="E11" s="206" t="str" cm="1">
        <f t="array" ref="E11">IF(ROWS($B$3:$B11)&lt;=$J$3,INDEX('Footings &amp; Slabs'!K:K,_xlfn.AGGREGATE(15,3,('Footings &amp; Slabs'!$H$1:$H$250=1)/('Footings &amp; Slabs'!$H$1:$H$250=1)*ROW('Footings &amp; Slabs'!$H$1:$H$250),ROWS($B$3:$B11))),"")</f>
        <v/>
      </c>
      <c r="F11" s="206" t="str" cm="1">
        <f t="array" ref="F11">IF(ROWS($B$3:$B11)&lt;=$J$3,INDEX('Footings &amp; Slabs'!L:L,_xlfn.AGGREGATE(15,3,('Footings &amp; Slabs'!$H$1:$H$250=1)/('Footings &amp; Slabs'!$H$1:$H$250=1)*ROW('Footings &amp; Slabs'!$H$1:$H$250),ROWS($B$3:$B11))),"")</f>
        <v/>
      </c>
      <c r="G11" s="206" t="str" cm="1">
        <f t="array" ref="G11">IF(ROWS($B$3:$B11)&lt;=$J$3,INDEX('Footings &amp; Slabs'!M:M,_xlfn.AGGREGATE(15,3,('Footings &amp; Slabs'!$H$1:$H$250=1)/('Footings &amp; Slabs'!$H$1:$H$250=1)*ROW('Footings &amp; Slabs'!$H$1:$H$250),ROWS($B$3:$B11))),"")</f>
        <v/>
      </c>
      <c r="H11" s="206" t="str" cm="1">
        <f t="array" ref="H11">IFERROR(_xlfn.AGGREGATE(15,3,('Footings &amp; Slabs'!$H$1:$H$250=1)/('Footings &amp; Slabs'!$H$1:$H$250=1)*ROW('Footings &amp; Slabs'!$H$1:$H$250),ROWS($B$3:$B11)),"")</f>
        <v/>
      </c>
      <c r="I11" s="206" t="str" cm="1">
        <f t="array" ref="I11">IF(ROWS($B$3:$B11)&lt;=$J$3,ROUND(INDEX('Footings &amp; Slabs'!D:D,H11),1)  &amp; " " &amp; INDEX('Footings &amp; Slabs'!E:E,H11),"")</f>
        <v/>
      </c>
      <c r="L11" s="397">
        <v>1</v>
      </c>
      <c r="M11" s="398" t="str" cm="1">
        <f t="array" ref="M11">IFERROR(LARGE(_xlfn._xlws.FILTER($F$3:$F$1035, $F$3:$F$1035&gt;0), L11), " ")</f>
        <v xml:space="preserve"> </v>
      </c>
      <c r="N11" s="397" t="str">
        <f>IFERROR(INDEX(A$3:A$1035,MATCH($M11,$F$3:$F$1035,0)),"")</f>
        <v/>
      </c>
      <c r="O11" s="397" t="str">
        <f>IFERROR(INDEX(B$3:B$1035,MATCH($M11,$F$3:$F$1035,0)),"")</f>
        <v/>
      </c>
      <c r="P11" s="397" t="str">
        <f>IFERROR(INDEX(C$3:C$1035,MATCH($M11,$F$3:$F$1035,0)),"")</f>
        <v/>
      </c>
      <c r="R11" s="213">
        <v>8</v>
      </c>
      <c r="S11" s="210">
        <f t="shared" si="3"/>
        <v>0</v>
      </c>
      <c r="T11" s="210">
        <f t="shared" si="4"/>
        <v>0</v>
      </c>
      <c r="U11" s="210">
        <f t="shared" si="2"/>
        <v>0</v>
      </c>
      <c r="AC11" s="208">
        <v>8</v>
      </c>
      <c r="AD11" s="210">
        <f t="shared" si="5"/>
        <v>0</v>
      </c>
      <c r="AE11" s="210">
        <f t="shared" si="6"/>
        <v>0</v>
      </c>
      <c r="AF11" s="210">
        <f t="shared" si="6"/>
        <v>0</v>
      </c>
      <c r="AG11" s="210">
        <f t="shared" si="6"/>
        <v>0</v>
      </c>
      <c r="AH11" s="210">
        <f t="shared" ref="AH11" si="12">AH10+AH$4</f>
        <v>0</v>
      </c>
      <c r="AI11" s="210">
        <f t="shared" si="6"/>
        <v>0</v>
      </c>
    </row>
    <row r="12" spans="1:35" ht="30.15" customHeight="1" x14ac:dyDescent="0.25">
      <c r="A12" s="204" t="str">
        <f>VLOOKUP("Footings &amp; Slabs",Setting!$E$6:$H$33,4,FALSE)</f>
        <v>Footings &amp; Slabs</v>
      </c>
      <c r="B12" s="205" t="str" cm="1">
        <f t="array" ref="B12">IF(ROWS($B$3:$B12)&lt;=$J$3,INDEX('Footings &amp; Slabs'!$R:$R,_xlfn.AGGREGATE(15,3,('Footings &amp; Slabs'!$H$1:$H$250=1)/('Footings &amp; Slabs'!$H$1:$H$250=1)*ROW('Footings &amp; Slabs'!$H$1:$H$250),ROWS($B$3:$B12))),"")</f>
        <v/>
      </c>
      <c r="C12" s="205" t="str" cm="1">
        <f t="array" ref="C12">IF(ROWS($B$3:$B12)&lt;=$J$3,INDEX('Footings &amp; Slabs'!C:C,$H12) &amp; INDEX('Footings &amp; Slabs'!S:S,$H12),"")</f>
        <v/>
      </c>
      <c r="D12" s="206" t="str">
        <f t="shared" si="1"/>
        <v/>
      </c>
      <c r="E12" s="206" t="str" cm="1">
        <f t="array" ref="E12">IF(ROWS($B$3:$B12)&lt;=$J$3,INDEX('Footings &amp; Slabs'!K:K,_xlfn.AGGREGATE(15,3,('Footings &amp; Slabs'!$H$1:$H$250=1)/('Footings &amp; Slabs'!$H$1:$H$250=1)*ROW('Footings &amp; Slabs'!$H$1:$H$250),ROWS($B$3:$B12))),"")</f>
        <v/>
      </c>
      <c r="F12" s="206" t="str" cm="1">
        <f t="array" ref="F12">IF(ROWS($B$3:$B12)&lt;=$J$3,INDEX('Footings &amp; Slabs'!L:L,_xlfn.AGGREGATE(15,3,('Footings &amp; Slabs'!$H$1:$H$250=1)/('Footings &amp; Slabs'!$H$1:$H$250=1)*ROW('Footings &amp; Slabs'!$H$1:$H$250),ROWS($B$3:$B12))),"")</f>
        <v/>
      </c>
      <c r="G12" s="206" t="str" cm="1">
        <f t="array" ref="G12">IF(ROWS($B$3:$B12)&lt;=$J$3,INDEX('Footings &amp; Slabs'!M:M,_xlfn.AGGREGATE(15,3,('Footings &amp; Slabs'!$H$1:$H$250=1)/('Footings &amp; Slabs'!$H$1:$H$250=1)*ROW('Footings &amp; Slabs'!$H$1:$H$250),ROWS($B$3:$B12))),"")</f>
        <v/>
      </c>
      <c r="H12" s="206" t="str" cm="1">
        <f t="array" ref="H12">IFERROR(_xlfn.AGGREGATE(15,3,('Footings &amp; Slabs'!$H$1:$H$250=1)/('Footings &amp; Slabs'!$H$1:$H$250=1)*ROW('Footings &amp; Slabs'!$H$1:$H$250),ROWS($B$3:$B12)),"")</f>
        <v/>
      </c>
      <c r="I12" s="206" t="str" cm="1">
        <f t="array" ref="I12">IF(ROWS($B$3:$B12)&lt;=$J$3,ROUND(INDEX('Footings &amp; Slabs'!D:D,H12),1)  &amp; " " &amp; INDEX('Footings &amp; Slabs'!E:E,H12),"")</f>
        <v/>
      </c>
      <c r="L12" s="397">
        <v>2</v>
      </c>
      <c r="M12" s="398" t="str" cm="1">
        <f t="array" ref="M12">IFERROR(LARGE(_xlfn._xlws.FILTER($F$3:$F$1035, $F$3:$F$1035&gt;0), L12), " ")</f>
        <v xml:space="preserve"> </v>
      </c>
      <c r="N12" s="397" t="str">
        <f t="shared" ref="N12:N13" si="13">IFERROR(INDEX(A$3:A$1035,MATCH($M12,$F$3:$F$1035,0)),"")</f>
        <v/>
      </c>
      <c r="O12" s="397" t="str">
        <f t="shared" ref="O12:O13" si="14">IFERROR(INDEX(B$3:B$1035,MATCH($M12,$F$3:$F$1035,0)),"")</f>
        <v/>
      </c>
      <c r="P12" s="397" t="str">
        <f t="shared" ref="P12:P13" si="15">IFERROR(INDEX(C$3:C$1035,MATCH($M12,$F$3:$F$1035,0)),"")</f>
        <v/>
      </c>
      <c r="R12" s="213">
        <v>9</v>
      </c>
      <c r="S12" s="210">
        <f t="shared" si="3"/>
        <v>0</v>
      </c>
      <c r="T12" s="210">
        <f t="shared" si="4"/>
        <v>0</v>
      </c>
      <c r="U12" s="210">
        <f t="shared" si="2"/>
        <v>0</v>
      </c>
      <c r="AC12" s="208">
        <v>9</v>
      </c>
      <c r="AD12" s="210">
        <f t="shared" si="5"/>
        <v>0</v>
      </c>
      <c r="AE12" s="210">
        <f t="shared" si="6"/>
        <v>0</v>
      </c>
      <c r="AF12" s="210">
        <f t="shared" si="6"/>
        <v>0</v>
      </c>
      <c r="AG12" s="210">
        <f t="shared" si="6"/>
        <v>0</v>
      </c>
      <c r="AH12" s="210">
        <f t="shared" si="6"/>
        <v>0</v>
      </c>
      <c r="AI12" s="210">
        <f t="shared" si="6"/>
        <v>0</v>
      </c>
    </row>
    <row r="13" spans="1:35" ht="30.15" customHeight="1" x14ac:dyDescent="0.25">
      <c r="A13" s="204" t="str">
        <f>VLOOKUP("Footings &amp; Slabs",Setting!$E$6:$H$33,4,FALSE)</f>
        <v>Footings &amp; Slabs</v>
      </c>
      <c r="B13" s="205" t="str" cm="1">
        <f t="array" ref="B13">IF(ROWS($B$3:$B13)&lt;=$J$3,INDEX('Footings &amp; Slabs'!$R:$R,_xlfn.AGGREGATE(15,3,('Footings &amp; Slabs'!$H$1:$H$250=1)/('Footings &amp; Slabs'!$H$1:$H$250=1)*ROW('Footings &amp; Slabs'!$H$1:$H$250),ROWS($B$3:$B13))),"")</f>
        <v/>
      </c>
      <c r="C13" s="205" t="str" cm="1">
        <f t="array" ref="C13">IF(ROWS($B$3:$B13)&lt;=$J$3,INDEX('Footings &amp; Slabs'!C:C,$H13) &amp; INDEX('Footings &amp; Slabs'!S:S,$H13),"")</f>
        <v/>
      </c>
      <c r="D13" s="206" t="str">
        <f t="shared" si="1"/>
        <v/>
      </c>
      <c r="E13" s="206" t="str" cm="1">
        <f t="array" ref="E13">IF(ROWS($B$3:$B13)&lt;=$J$3,INDEX('Footings &amp; Slabs'!K:K,_xlfn.AGGREGATE(15,3,('Footings &amp; Slabs'!$H$1:$H$250=1)/('Footings &amp; Slabs'!$H$1:$H$250=1)*ROW('Footings &amp; Slabs'!$H$1:$H$250),ROWS($B$3:$B13))),"")</f>
        <v/>
      </c>
      <c r="F13" s="206" t="str" cm="1">
        <f t="array" ref="F13">IF(ROWS($B$3:$B13)&lt;=$J$3,INDEX('Footings &amp; Slabs'!L:L,_xlfn.AGGREGATE(15,3,('Footings &amp; Slabs'!$H$1:$H$250=1)/('Footings &amp; Slabs'!$H$1:$H$250=1)*ROW('Footings &amp; Slabs'!$H$1:$H$250),ROWS($B$3:$B13))),"")</f>
        <v/>
      </c>
      <c r="G13" s="206" t="str" cm="1">
        <f t="array" ref="G13">IF(ROWS($B$3:$B13)&lt;=$J$3,INDEX('Footings &amp; Slabs'!M:M,_xlfn.AGGREGATE(15,3,('Footings &amp; Slabs'!$H$1:$H$250=1)/('Footings &amp; Slabs'!$H$1:$H$250=1)*ROW('Footings &amp; Slabs'!$H$1:$H$250),ROWS($B$3:$B13))),"")</f>
        <v/>
      </c>
      <c r="H13" s="206" t="str" cm="1">
        <f t="array" ref="H13">IFERROR(_xlfn.AGGREGATE(15,3,('Footings &amp; Slabs'!$H$1:$H$250=1)/('Footings &amp; Slabs'!$H$1:$H$250=1)*ROW('Footings &amp; Slabs'!$H$1:$H$250),ROWS($B$3:$B13)),"")</f>
        <v/>
      </c>
      <c r="I13" s="206" t="str" cm="1">
        <f t="array" ref="I13">IF(ROWS($B$3:$B13)&lt;=$J$3,ROUND(INDEX('Footings &amp; Slabs'!D:D,H13),1)  &amp; " " &amp; INDEX('Footings &amp; Slabs'!E:E,H13),"")</f>
        <v/>
      </c>
      <c r="L13" s="397">
        <v>3</v>
      </c>
      <c r="M13" s="398" t="str" cm="1">
        <f t="array" ref="M13">IFERROR(LARGE(_xlfn._xlws.FILTER($F$3:$F$1035, $F$3:$F$1035&gt;0), L13), " ")</f>
        <v xml:space="preserve"> </v>
      </c>
      <c r="N13" s="397" t="str">
        <f t="shared" si="13"/>
        <v/>
      </c>
      <c r="O13" s="397" t="str">
        <f t="shared" si="14"/>
        <v/>
      </c>
      <c r="P13" s="397" t="str">
        <f t="shared" si="15"/>
        <v/>
      </c>
      <c r="R13" s="213">
        <v>10</v>
      </c>
      <c r="S13" s="210">
        <f t="shared" si="3"/>
        <v>0</v>
      </c>
      <c r="T13" s="210">
        <f t="shared" si="4"/>
        <v>0</v>
      </c>
      <c r="U13" s="210">
        <f t="shared" si="2"/>
        <v>0</v>
      </c>
      <c r="AC13" s="208">
        <v>10</v>
      </c>
      <c r="AD13" s="210">
        <f t="shared" si="5"/>
        <v>0</v>
      </c>
      <c r="AE13" s="210">
        <f t="shared" si="6"/>
        <v>0</v>
      </c>
      <c r="AF13" s="210">
        <f t="shared" si="6"/>
        <v>0</v>
      </c>
      <c r="AG13" s="210">
        <f t="shared" si="6"/>
        <v>0</v>
      </c>
      <c r="AH13" s="210">
        <f t="shared" si="6"/>
        <v>0</v>
      </c>
      <c r="AI13" s="210">
        <f t="shared" si="6"/>
        <v>0</v>
      </c>
    </row>
    <row r="14" spans="1:35" ht="30.15" customHeight="1" x14ac:dyDescent="0.25">
      <c r="A14" s="204" t="str">
        <f>VLOOKUP("Footings &amp; Slabs",Setting!$E$6:$H$33,4,FALSE)</f>
        <v>Footings &amp; Slabs</v>
      </c>
      <c r="B14" s="205" t="str" cm="1">
        <f t="array" ref="B14">IF(ROWS($B$3:$B14)&lt;=$J$3,INDEX('Footings &amp; Slabs'!$R:$R,_xlfn.AGGREGATE(15,3,('Footings &amp; Slabs'!$H$1:$H$250=1)/('Footings &amp; Slabs'!$H$1:$H$250=1)*ROW('Footings &amp; Slabs'!$H$1:$H$250),ROWS($B$3:$B14))),"")</f>
        <v/>
      </c>
      <c r="C14" s="205" t="str" cm="1">
        <f t="array" ref="C14">IF(ROWS($B$3:$B14)&lt;=$J$3,INDEX('Footings &amp; Slabs'!C:C,$H14) &amp; INDEX('Footings &amp; Slabs'!S:S,$H14),"")</f>
        <v/>
      </c>
      <c r="D14" s="206" t="str">
        <f t="shared" si="1"/>
        <v/>
      </c>
      <c r="E14" s="206" t="str" cm="1">
        <f t="array" ref="E14">IF(ROWS($B$3:$B14)&lt;=$J$3,INDEX('Footings &amp; Slabs'!K:K,_xlfn.AGGREGATE(15,3,('Footings &amp; Slabs'!$H$1:$H$250=1)/('Footings &amp; Slabs'!$H$1:$H$250=1)*ROW('Footings &amp; Slabs'!$H$1:$H$250),ROWS($B$3:$B14))),"")</f>
        <v/>
      </c>
      <c r="F14" s="206" t="str" cm="1">
        <f t="array" ref="F14">IF(ROWS($B$3:$B14)&lt;=$J$3,INDEX('Footings &amp; Slabs'!L:L,_xlfn.AGGREGATE(15,3,('Footings &amp; Slabs'!$H$1:$H$250=1)/('Footings &amp; Slabs'!$H$1:$H$250=1)*ROW('Footings &amp; Slabs'!$H$1:$H$250),ROWS($B$3:$B14))),"")</f>
        <v/>
      </c>
      <c r="G14" s="206" t="str" cm="1">
        <f t="array" ref="G14">IF(ROWS($B$3:$B14)&lt;=$J$3,INDEX('Footings &amp; Slabs'!M:M,_xlfn.AGGREGATE(15,3,('Footings &amp; Slabs'!$H$1:$H$250=1)/('Footings &amp; Slabs'!$H$1:$H$250=1)*ROW('Footings &amp; Slabs'!$H$1:$H$250),ROWS($B$3:$B14))),"")</f>
        <v/>
      </c>
      <c r="H14" s="206" t="str" cm="1">
        <f t="array" ref="H14">IFERROR(_xlfn.AGGREGATE(15,3,('Footings &amp; Slabs'!$H$1:$H$250=1)/('Footings &amp; Slabs'!$H$1:$H$250=1)*ROW('Footings &amp; Slabs'!$H$1:$H$250),ROWS($B$3:$B14)),"")</f>
        <v/>
      </c>
      <c r="I14" s="206" t="str" cm="1">
        <f t="array" ref="I14">IF(ROWS($B$3:$B14)&lt;=$J$3,ROUND(INDEX('Footings &amp; Slabs'!D:D,H14),1)  &amp; " " &amp; INDEX('Footings &amp; Slabs'!E:E,H14),"")</f>
        <v/>
      </c>
      <c r="N14" s="306"/>
      <c r="O14" s="306"/>
      <c r="R14" s="213">
        <v>11</v>
      </c>
      <c r="S14" s="210">
        <f t="shared" si="3"/>
        <v>0</v>
      </c>
      <c r="T14" s="210">
        <f t="shared" si="4"/>
        <v>0</v>
      </c>
      <c r="U14" s="210">
        <f t="shared" si="2"/>
        <v>0</v>
      </c>
      <c r="AC14" s="208">
        <v>11</v>
      </c>
      <c r="AD14" s="210">
        <f t="shared" si="5"/>
        <v>0</v>
      </c>
      <c r="AE14" s="210">
        <f t="shared" si="6"/>
        <v>0</v>
      </c>
      <c r="AF14" s="210">
        <f t="shared" si="6"/>
        <v>0</v>
      </c>
      <c r="AG14" s="210">
        <f t="shared" si="6"/>
        <v>0</v>
      </c>
      <c r="AH14" s="210">
        <f t="shared" si="6"/>
        <v>0</v>
      </c>
      <c r="AI14" s="210">
        <f t="shared" si="6"/>
        <v>0</v>
      </c>
    </row>
    <row r="15" spans="1:35" ht="30.15" customHeight="1" x14ac:dyDescent="0.25">
      <c r="A15" s="204" t="str">
        <f>VLOOKUP("Footings &amp; Slabs",Setting!$E$6:$H$33,4,FALSE)</f>
        <v>Footings &amp; Slabs</v>
      </c>
      <c r="B15" s="205" t="str" cm="1">
        <f t="array" ref="B15">IF(ROWS($B$3:$B15)&lt;=$J$3,INDEX('Footings &amp; Slabs'!$R:$R,_xlfn.AGGREGATE(15,3,('Footings &amp; Slabs'!$H$1:$H$250=1)/('Footings &amp; Slabs'!$H$1:$H$250=1)*ROW('Footings &amp; Slabs'!$H$1:$H$250),ROWS($B$3:$B15))),"")</f>
        <v/>
      </c>
      <c r="C15" s="205" t="str" cm="1">
        <f t="array" ref="C15">IF(ROWS($B$3:$B15)&lt;=$J$3,INDEX('Footings &amp; Slabs'!C:C,$H15) &amp; INDEX('Footings &amp; Slabs'!S:S,$H15),"")</f>
        <v/>
      </c>
      <c r="D15" s="206" t="str">
        <f t="shared" si="1"/>
        <v/>
      </c>
      <c r="E15" s="206" t="str" cm="1">
        <f t="array" ref="E15">IF(ROWS($B$3:$B15)&lt;=$J$3,INDEX('Footings &amp; Slabs'!K:K,_xlfn.AGGREGATE(15,3,('Footings &amp; Slabs'!$H$1:$H$250=1)/('Footings &amp; Slabs'!$H$1:$H$250=1)*ROW('Footings &amp; Slabs'!$H$1:$H$250),ROWS($B$3:$B15))),"")</f>
        <v/>
      </c>
      <c r="F15" s="206" t="str" cm="1">
        <f t="array" ref="F15">IF(ROWS($B$3:$B15)&lt;=$J$3,INDEX('Footings &amp; Slabs'!L:L,_xlfn.AGGREGATE(15,3,('Footings &amp; Slabs'!$H$1:$H$250=1)/('Footings &amp; Slabs'!$H$1:$H$250=1)*ROW('Footings &amp; Slabs'!$H$1:$H$250),ROWS($B$3:$B15))),"")</f>
        <v/>
      </c>
      <c r="G15" s="206" t="str" cm="1">
        <f t="array" ref="G15">IF(ROWS($B$3:$B15)&lt;=$J$3,INDEX('Footings &amp; Slabs'!M:M,_xlfn.AGGREGATE(15,3,('Footings &amp; Slabs'!$H$1:$H$250=1)/('Footings &amp; Slabs'!$H$1:$H$250=1)*ROW('Footings &amp; Slabs'!$H$1:$H$250),ROWS($B$3:$B15))),"")</f>
        <v/>
      </c>
      <c r="H15" s="206" t="str" cm="1">
        <f t="array" ref="H15">IFERROR(_xlfn.AGGREGATE(15,3,('Footings &amp; Slabs'!$H$1:$H$250=1)/('Footings &amp; Slabs'!$H$1:$H$250=1)*ROW('Footings &amp; Slabs'!$H$1:$H$250),ROWS($B$3:$B15)),"")</f>
        <v/>
      </c>
      <c r="I15" s="206" t="str" cm="1">
        <f t="array" ref="I15">IF(ROWS($B$3:$B15)&lt;=$J$3,ROUND(INDEX('Footings &amp; Slabs'!D:D,H15),1)  &amp; " " &amp; INDEX('Footings &amp; Slabs'!E:E,H15),"")</f>
        <v/>
      </c>
      <c r="M15" s="300"/>
      <c r="N15" s="1276" t="s">
        <v>1107</v>
      </c>
      <c r="O15" s="1005" t="s">
        <v>1628</v>
      </c>
      <c r="P15" s="301"/>
      <c r="R15" s="213">
        <v>12</v>
      </c>
      <c r="S15" s="210">
        <f t="shared" si="3"/>
        <v>0</v>
      </c>
      <c r="T15" s="210">
        <f t="shared" si="4"/>
        <v>0</v>
      </c>
      <c r="U15" s="210">
        <f t="shared" si="2"/>
        <v>0</v>
      </c>
      <c r="AC15" s="208">
        <v>12</v>
      </c>
      <c r="AD15" s="210">
        <f t="shared" si="5"/>
        <v>0</v>
      </c>
      <c r="AE15" s="210">
        <f t="shared" si="6"/>
        <v>0</v>
      </c>
      <c r="AF15" s="210">
        <f t="shared" si="6"/>
        <v>0</v>
      </c>
      <c r="AG15" s="210">
        <f t="shared" si="6"/>
        <v>0</v>
      </c>
      <c r="AH15" s="210">
        <f t="shared" si="6"/>
        <v>0</v>
      </c>
      <c r="AI15" s="210">
        <f t="shared" si="6"/>
        <v>0</v>
      </c>
    </row>
    <row r="16" spans="1:35" ht="30.15" customHeight="1" x14ac:dyDescent="0.25">
      <c r="A16" s="204" t="str">
        <f>VLOOKUP("Footings &amp; Slabs",Setting!$E$6:$H$33,4,FALSE)</f>
        <v>Footings &amp; Slabs</v>
      </c>
      <c r="B16" s="205" t="str" cm="1">
        <f t="array" ref="B16">IF(ROWS($B$3:$B16)&lt;=$J$3,INDEX('Footings &amp; Slabs'!$R:$R,_xlfn.AGGREGATE(15,3,('Footings &amp; Slabs'!$H$1:$H$250=1)/('Footings &amp; Slabs'!$H$1:$H$250=1)*ROW('Footings &amp; Slabs'!$H$1:$H$250),ROWS($B$3:$B16))),"")</f>
        <v/>
      </c>
      <c r="C16" s="205" t="str" cm="1">
        <f t="array" ref="C16">IF(ROWS($B$3:$B16)&lt;=$J$3,INDEX('Footings &amp; Slabs'!C:C,$H16) &amp; INDEX('Footings &amp; Slabs'!S:S,$H16),"")</f>
        <v/>
      </c>
      <c r="D16" s="206" t="str">
        <f t="shared" si="1"/>
        <v/>
      </c>
      <c r="E16" s="206" t="str" cm="1">
        <f t="array" ref="E16">IF(ROWS($B$3:$B16)&lt;=$J$3,INDEX('Footings &amp; Slabs'!K:K,_xlfn.AGGREGATE(15,3,('Footings &amp; Slabs'!$H$1:$H$250=1)/('Footings &amp; Slabs'!$H$1:$H$250=1)*ROW('Footings &amp; Slabs'!$H$1:$H$250),ROWS($B$3:$B16))),"")</f>
        <v/>
      </c>
      <c r="F16" s="206" t="str" cm="1">
        <f t="array" ref="F16">IF(ROWS($B$3:$B16)&lt;=$J$3,INDEX('Footings &amp; Slabs'!L:L,_xlfn.AGGREGATE(15,3,('Footings &amp; Slabs'!$H$1:$H$250=1)/('Footings &amp; Slabs'!$H$1:$H$250=1)*ROW('Footings &amp; Slabs'!$H$1:$H$250),ROWS($B$3:$B16))),"")</f>
        <v/>
      </c>
      <c r="G16" s="206" t="str" cm="1">
        <f t="array" ref="G16">IF(ROWS($B$3:$B16)&lt;=$J$3,INDEX('Footings &amp; Slabs'!M:M,_xlfn.AGGREGATE(15,3,('Footings &amp; Slabs'!$H$1:$H$250=1)/('Footings &amp; Slabs'!$H$1:$H$250=1)*ROW('Footings &amp; Slabs'!$H$1:$H$250),ROWS($B$3:$B16))),"")</f>
        <v/>
      </c>
      <c r="H16" s="206" t="str" cm="1">
        <f t="array" ref="H16">IFERROR(_xlfn.AGGREGATE(15,3,('Footings &amp; Slabs'!$H$1:$H$250=1)/('Footings &amp; Slabs'!$H$1:$H$250=1)*ROW('Footings &amp; Slabs'!$H$1:$H$250),ROWS($B$3:$B16)),"")</f>
        <v/>
      </c>
      <c r="I16" s="206" t="str" cm="1">
        <f t="array" ref="I16">IF(ROWS($B$3:$B16)&lt;=$J$3,ROUND(INDEX('Footings &amp; Slabs'!D:D,H16),1)  &amp; " " &amp; INDEX('Footings &amp; Slabs'!E:E,H16),"")</f>
        <v/>
      </c>
      <c r="N16" s="1277" t="str">
        <f>VLOOKUP("Footings &amp; Slabs",Setting!$E$6:$H$33,4,FALSE)</f>
        <v>Footings &amp; Slabs</v>
      </c>
      <c r="O16" s="1278">
        <f>'Footings &amp; Slabs'!$O$4+SUMIF('User-Defined'!A1:A100,VLOOKUP("Footings &amp; Slabs",Setting!$E$6:$H$33,4,FALSE), 'User-Defined'!K1:K100)</f>
        <v>0</v>
      </c>
      <c r="R16" s="213">
        <v>13</v>
      </c>
      <c r="S16" s="210">
        <f t="shared" si="3"/>
        <v>0</v>
      </c>
      <c r="T16" s="210">
        <f t="shared" si="4"/>
        <v>0</v>
      </c>
      <c r="U16" s="210">
        <f t="shared" si="2"/>
        <v>0</v>
      </c>
      <c r="AC16" s="208">
        <v>13</v>
      </c>
      <c r="AD16" s="210">
        <f t="shared" si="5"/>
        <v>0</v>
      </c>
      <c r="AE16" s="210">
        <f t="shared" si="6"/>
        <v>0</v>
      </c>
      <c r="AF16" s="210">
        <f t="shared" si="6"/>
        <v>0</v>
      </c>
      <c r="AG16" s="210">
        <f t="shared" si="6"/>
        <v>0</v>
      </c>
      <c r="AH16" s="210">
        <f t="shared" si="6"/>
        <v>0</v>
      </c>
      <c r="AI16" s="210">
        <f t="shared" si="6"/>
        <v>0</v>
      </c>
    </row>
    <row r="17" spans="1:35" ht="30.15" customHeight="1" x14ac:dyDescent="0.25">
      <c r="A17" s="204" t="str">
        <f>VLOOKUP("Footings &amp; Slabs",Setting!$E$6:$H$33,4,FALSE)</f>
        <v>Footings &amp; Slabs</v>
      </c>
      <c r="B17" s="205" t="str" cm="1">
        <f t="array" ref="B17">IF(ROWS($B$3:$B17)&lt;=$J$3,INDEX('Footings &amp; Slabs'!$R:$R,_xlfn.AGGREGATE(15,3,('Footings &amp; Slabs'!$H$1:$H$250=1)/('Footings &amp; Slabs'!$H$1:$H$250=1)*ROW('Footings &amp; Slabs'!$H$1:$H$250),ROWS($B$3:$B17))),"")</f>
        <v/>
      </c>
      <c r="C17" s="205" t="str" cm="1">
        <f t="array" ref="C17">IF(ROWS($B$3:$B17)&lt;=$J$3,INDEX('Footings &amp; Slabs'!C:C,$H17) &amp; INDEX('Footings &amp; Slabs'!S:S,$H17),"")</f>
        <v/>
      </c>
      <c r="D17" s="206" t="str">
        <f t="shared" si="1"/>
        <v/>
      </c>
      <c r="E17" s="206" t="str" cm="1">
        <f t="array" ref="E17">IF(ROWS($B$3:$B17)&lt;=$J$3,INDEX('Footings &amp; Slabs'!K:K,_xlfn.AGGREGATE(15,3,('Footings &amp; Slabs'!$H$1:$H$250=1)/('Footings &amp; Slabs'!$H$1:$H$250=1)*ROW('Footings &amp; Slabs'!$H$1:$H$250),ROWS($B$3:$B17))),"")</f>
        <v/>
      </c>
      <c r="F17" s="206" t="str" cm="1">
        <f t="array" ref="F17">IF(ROWS($B$3:$B17)&lt;=$J$3,INDEX('Footings &amp; Slabs'!L:L,_xlfn.AGGREGATE(15,3,('Footings &amp; Slabs'!$H$1:$H$250=1)/('Footings &amp; Slabs'!$H$1:$H$250=1)*ROW('Footings &amp; Slabs'!$H$1:$H$250),ROWS($B$3:$B17))),"")</f>
        <v/>
      </c>
      <c r="G17" s="206" t="str" cm="1">
        <f t="array" ref="G17">IF(ROWS($B$3:$B17)&lt;=$J$3,INDEX('Footings &amp; Slabs'!M:M,_xlfn.AGGREGATE(15,3,('Footings &amp; Slabs'!$H$1:$H$250=1)/('Footings &amp; Slabs'!$H$1:$H$250=1)*ROW('Footings &amp; Slabs'!$H$1:$H$250),ROWS($B$3:$B17))),"")</f>
        <v/>
      </c>
      <c r="H17" s="206" t="str" cm="1">
        <f t="array" ref="H17">IFERROR(_xlfn.AGGREGATE(15,3,('Footings &amp; Slabs'!$H$1:$H$250=1)/('Footings &amp; Slabs'!$H$1:$H$250=1)*ROW('Footings &amp; Slabs'!$H$1:$H$250),ROWS($B$3:$B17)),"")</f>
        <v/>
      </c>
      <c r="I17" s="206" t="str" cm="1">
        <f t="array" ref="I17">IF(ROWS($B$3:$B17)&lt;=$J$3,ROUND(INDEX('Footings &amp; Slabs'!D:D,H17),1)  &amp; " " &amp; INDEX('Footings &amp; Slabs'!E:E,H17),"")</f>
        <v/>
      </c>
      <c r="N17" s="1279" t="str">
        <f>VLOOKUP("Foundation Walls",Setting!$E$6:$H$33,4,FALSE)</f>
        <v>Foundation Walls</v>
      </c>
      <c r="O17" s="1280">
        <f>'Foundation Walls'!$O$4+SUMIF('User-Defined'!A1:A100,VLOOKUP("Foundation Walls",Setting!$E$6:$H$33,4,FALSE), 'User-Defined'!K1:K100)</f>
        <v>0</v>
      </c>
      <c r="R17" s="213">
        <v>14</v>
      </c>
      <c r="S17" s="210">
        <f t="shared" si="3"/>
        <v>0</v>
      </c>
      <c r="T17" s="210">
        <f t="shared" si="4"/>
        <v>0</v>
      </c>
      <c r="U17" s="210">
        <f t="shared" si="2"/>
        <v>0</v>
      </c>
      <c r="AC17" s="208">
        <v>14</v>
      </c>
      <c r="AD17" s="210">
        <f t="shared" si="5"/>
        <v>0</v>
      </c>
      <c r="AE17" s="210">
        <f t="shared" si="6"/>
        <v>0</v>
      </c>
      <c r="AF17" s="210">
        <f t="shared" si="6"/>
        <v>0</v>
      </c>
      <c r="AG17" s="210">
        <f t="shared" si="6"/>
        <v>0</v>
      </c>
      <c r="AH17" s="210">
        <f t="shared" si="6"/>
        <v>0</v>
      </c>
      <c r="AI17" s="210">
        <f t="shared" si="6"/>
        <v>0</v>
      </c>
    </row>
    <row r="18" spans="1:35" ht="30.15" customHeight="1" x14ac:dyDescent="0.25">
      <c r="A18" s="204" t="str">
        <f>VLOOKUP("Footings &amp; Slabs",Setting!$E$6:$H$33,4,FALSE)</f>
        <v>Footings &amp; Slabs</v>
      </c>
      <c r="B18" s="205" t="str" cm="1">
        <f t="array" ref="B18">IF(ROWS($B$3:$B18)&lt;=$J$3,INDEX('Footings &amp; Slabs'!$R:$R,_xlfn.AGGREGATE(15,3,('Footings &amp; Slabs'!$H$1:$H$250=1)/('Footings &amp; Slabs'!$H$1:$H$250=1)*ROW('Footings &amp; Slabs'!$H$1:$H$250),ROWS($B$3:$B18))),"")</f>
        <v/>
      </c>
      <c r="C18" s="205" t="str" cm="1">
        <f t="array" ref="C18">IF(ROWS($B$3:$B18)&lt;=$J$3,INDEX('Footings &amp; Slabs'!C:C,$H18) &amp; INDEX('Footings &amp; Slabs'!S:S,$H18),"")</f>
        <v/>
      </c>
      <c r="D18" s="206" t="str">
        <f t="shared" si="1"/>
        <v/>
      </c>
      <c r="E18" s="206" t="str" cm="1">
        <f t="array" ref="E18">IF(ROWS($B$3:$B18)&lt;=$J$3,INDEX('Footings &amp; Slabs'!K:K,_xlfn.AGGREGATE(15,3,('Footings &amp; Slabs'!$H$1:$H$250=1)/('Footings &amp; Slabs'!$H$1:$H$250=1)*ROW('Footings &amp; Slabs'!$H$1:$H$250),ROWS($B$3:$B18))),"")</f>
        <v/>
      </c>
      <c r="F18" s="206" t="str" cm="1">
        <f t="array" ref="F18">IF(ROWS($B$3:$B18)&lt;=$J$3,INDEX('Footings &amp; Slabs'!L:L,_xlfn.AGGREGATE(15,3,('Footings &amp; Slabs'!$H$1:$H$250=1)/('Footings &amp; Slabs'!$H$1:$H$250=1)*ROW('Footings &amp; Slabs'!$H$1:$H$250),ROWS($B$3:$B18))),"")</f>
        <v/>
      </c>
      <c r="G18" s="206" t="str" cm="1">
        <f t="array" ref="G18">IF(ROWS($B$3:$B18)&lt;=$J$3,INDEX('Footings &amp; Slabs'!M:M,_xlfn.AGGREGATE(15,3,('Footings &amp; Slabs'!$H$1:$H$250=1)/('Footings &amp; Slabs'!$H$1:$H$250=1)*ROW('Footings &amp; Slabs'!$H$1:$H$250),ROWS($B$3:$B18))),"")</f>
        <v/>
      </c>
      <c r="H18" s="206" t="str" cm="1">
        <f t="array" ref="H18">IFERROR(_xlfn.AGGREGATE(15,3,('Footings &amp; Slabs'!$H$1:$H$250=1)/('Footings &amp; Slabs'!$H$1:$H$250=1)*ROW('Footings &amp; Slabs'!$H$1:$H$250),ROWS($B$3:$B18)),"")</f>
        <v/>
      </c>
      <c r="I18" s="206" t="str" cm="1">
        <f t="array" ref="I18">IF(ROWS($B$3:$B18)&lt;=$J$3,ROUND(INDEX('Footings &amp; Slabs'!D:D,H18),1)  &amp; " " &amp; INDEX('Footings &amp; Slabs'!E:E,H18),"")</f>
        <v/>
      </c>
      <c r="N18" s="1279" t="str">
        <f>VLOOKUP("Structural Elements",Setting!$E$6:$H$33,4,FALSE)</f>
        <v>Structural Elements</v>
      </c>
      <c r="O18" s="1280">
        <f>'Structural Elements'!$O$4+SUMIF('User-Defined'!A1:A100,VLOOKUP("Structural Elements",Setting!$E$6:$H$33,4,FALSE), 'User-Defined'!K1:K100)</f>
        <v>0</v>
      </c>
      <c r="R18" s="213">
        <v>15</v>
      </c>
      <c r="S18" s="210">
        <f t="shared" si="3"/>
        <v>0</v>
      </c>
      <c r="T18" s="210">
        <f t="shared" si="4"/>
        <v>0</v>
      </c>
      <c r="U18" s="210">
        <f t="shared" si="2"/>
        <v>0</v>
      </c>
      <c r="AC18" s="208">
        <v>15</v>
      </c>
      <c r="AD18" s="210">
        <f t="shared" si="5"/>
        <v>0</v>
      </c>
      <c r="AE18" s="210">
        <f t="shared" si="6"/>
        <v>0</v>
      </c>
      <c r="AF18" s="210">
        <f t="shared" si="6"/>
        <v>0</v>
      </c>
      <c r="AG18" s="210">
        <f t="shared" si="6"/>
        <v>0</v>
      </c>
      <c r="AH18" s="210">
        <f t="shared" si="6"/>
        <v>0</v>
      </c>
      <c r="AI18" s="210">
        <f t="shared" si="6"/>
        <v>0</v>
      </c>
    </row>
    <row r="19" spans="1:35" ht="30.15" customHeight="1" x14ac:dyDescent="0.25">
      <c r="A19" s="204" t="str">
        <f>VLOOKUP("Footings &amp; Slabs",Setting!$E$6:$H$33,4,FALSE)</f>
        <v>Footings &amp; Slabs</v>
      </c>
      <c r="B19" s="205" t="str" cm="1">
        <f t="array" ref="B19">IF(ROWS($B$3:$B19)&lt;=$J$3,INDEX('Footings &amp; Slabs'!$R:$R,_xlfn.AGGREGATE(15,3,('Footings &amp; Slabs'!$H$1:$H$250=1)/('Footings &amp; Slabs'!$H$1:$H$250=1)*ROW('Footings &amp; Slabs'!$H$1:$H$250),ROWS($B$3:$B19))),"")</f>
        <v/>
      </c>
      <c r="C19" s="205" t="str" cm="1">
        <f t="array" ref="C19">IF(ROWS($B$3:$B19)&lt;=$J$3,INDEX('Footings &amp; Slabs'!C:C,$H19) &amp; INDEX('Footings &amp; Slabs'!S:S,$H19),"")</f>
        <v/>
      </c>
      <c r="D19" s="206" t="str">
        <f t="shared" si="1"/>
        <v/>
      </c>
      <c r="E19" s="206" t="str" cm="1">
        <f t="array" ref="E19">IF(ROWS($B$3:$B19)&lt;=$J$3,INDEX('Footings &amp; Slabs'!K:K,_xlfn.AGGREGATE(15,3,('Footings &amp; Slabs'!$H$1:$H$250=1)/('Footings &amp; Slabs'!$H$1:$H$250=1)*ROW('Footings &amp; Slabs'!$H$1:$H$250),ROWS($B$3:$B19))),"")</f>
        <v/>
      </c>
      <c r="F19" s="206" t="str" cm="1">
        <f t="array" ref="F19">IF(ROWS($B$3:$B19)&lt;=$J$3,INDEX('Footings &amp; Slabs'!L:L,_xlfn.AGGREGATE(15,3,('Footings &amp; Slabs'!$H$1:$H$250=1)/('Footings &amp; Slabs'!$H$1:$H$250=1)*ROW('Footings &amp; Slabs'!$H$1:$H$250),ROWS($B$3:$B19))),"")</f>
        <v/>
      </c>
      <c r="G19" s="206" t="str" cm="1">
        <f t="array" ref="G19">IF(ROWS($B$3:$B19)&lt;=$J$3,INDEX('Footings &amp; Slabs'!M:M,_xlfn.AGGREGATE(15,3,('Footings &amp; Slabs'!$H$1:$H$250=1)/('Footings &amp; Slabs'!$H$1:$H$250=1)*ROW('Footings &amp; Slabs'!$H$1:$H$250),ROWS($B$3:$B19))),"")</f>
        <v/>
      </c>
      <c r="H19" s="206" t="str" cm="1">
        <f t="array" ref="H19">IFERROR(_xlfn.AGGREGATE(15,3,('Footings &amp; Slabs'!$H$1:$H$250=1)/('Footings &amp; Slabs'!$H$1:$H$250=1)*ROW('Footings &amp; Slabs'!$H$1:$H$250),ROWS($B$3:$B19)),"")</f>
        <v/>
      </c>
      <c r="I19" s="206" t="str" cm="1">
        <f t="array" ref="I19">IF(ROWS($B$3:$B19)&lt;=$J$3,ROUND(INDEX('Footings &amp; Slabs'!D:D,H19),1)  &amp; " " &amp; INDEX('Footings &amp; Slabs'!E:E,H19),"")</f>
        <v/>
      </c>
      <c r="N19" s="1279" t="str">
        <f>VLOOKUP("Ext. Walls",Setting!$E$6:$H$33,4,FALSE)</f>
        <v>Ext. Walls</v>
      </c>
      <c r="O19" s="1280">
        <f>'Ext. Walls'!$O$4+SUMIF('User-Defined'!A1:A100,VLOOKUP("Ext. Walls",Setting!$E$6:$H$33,4,FALSE), 'User-Defined'!K1:K100)</f>
        <v>0</v>
      </c>
      <c r="R19" s="213">
        <v>16</v>
      </c>
      <c r="S19" s="210">
        <f t="shared" si="3"/>
        <v>0</v>
      </c>
      <c r="T19" s="210">
        <f t="shared" si="4"/>
        <v>0</v>
      </c>
      <c r="U19" s="210">
        <f t="shared" si="2"/>
        <v>0</v>
      </c>
      <c r="AC19" s="208">
        <v>16</v>
      </c>
      <c r="AD19" s="210">
        <f t="shared" si="5"/>
        <v>0</v>
      </c>
      <c r="AE19" s="210">
        <f t="shared" si="6"/>
        <v>0</v>
      </c>
      <c r="AF19" s="210">
        <f t="shared" si="6"/>
        <v>0</v>
      </c>
      <c r="AG19" s="210">
        <f t="shared" si="6"/>
        <v>0</v>
      </c>
      <c r="AH19" s="210">
        <f t="shared" si="6"/>
        <v>0</v>
      </c>
      <c r="AI19" s="210">
        <f t="shared" si="6"/>
        <v>0</v>
      </c>
    </row>
    <row r="20" spans="1:35" ht="30.15" customHeight="1" x14ac:dyDescent="0.25">
      <c r="A20" s="204" t="str">
        <f>VLOOKUP("Footings &amp; Slabs",Setting!$E$6:$H$33,4,FALSE)</f>
        <v>Footings &amp; Slabs</v>
      </c>
      <c r="B20" s="205" t="str" cm="1">
        <f t="array" ref="B20">IF(ROWS($B$3:$B20)&lt;=$J$3,INDEX('Footings &amp; Slabs'!$R:$R,_xlfn.AGGREGATE(15,3,('Footings &amp; Slabs'!$H$1:$H$250=1)/('Footings &amp; Slabs'!$H$1:$H$250=1)*ROW('Footings &amp; Slabs'!$H$1:$H$250),ROWS($B$3:$B20))),"")</f>
        <v/>
      </c>
      <c r="C20" s="205" t="str" cm="1">
        <f t="array" ref="C20">IF(ROWS($B$3:$B20)&lt;=$J$3,INDEX('Footings &amp; Slabs'!C:C,$H20) &amp; INDEX('Footings &amp; Slabs'!S:S,$H20),"")</f>
        <v/>
      </c>
      <c r="D20" s="206" t="str">
        <f t="shared" si="1"/>
        <v/>
      </c>
      <c r="E20" s="206" t="str" cm="1">
        <f t="array" ref="E20">IF(ROWS($B$3:$B20)&lt;=$J$3,INDEX('Footings &amp; Slabs'!K:K,_xlfn.AGGREGATE(15,3,('Footings &amp; Slabs'!$H$1:$H$250=1)/('Footings &amp; Slabs'!$H$1:$H$250=1)*ROW('Footings &amp; Slabs'!$H$1:$H$250),ROWS($B$3:$B20))),"")</f>
        <v/>
      </c>
      <c r="F20" s="206" t="str" cm="1">
        <f t="array" ref="F20">IF(ROWS($B$3:$B20)&lt;=$J$3,INDEX('Footings &amp; Slabs'!L:L,_xlfn.AGGREGATE(15,3,('Footings &amp; Slabs'!$H$1:$H$250=1)/('Footings &amp; Slabs'!$H$1:$H$250=1)*ROW('Footings &amp; Slabs'!$H$1:$H$250),ROWS($B$3:$B20))),"")</f>
        <v/>
      </c>
      <c r="G20" s="206" t="str" cm="1">
        <f t="array" ref="G20">IF(ROWS($B$3:$B20)&lt;=$J$3,INDEX('Footings &amp; Slabs'!M:M,_xlfn.AGGREGATE(15,3,('Footings &amp; Slabs'!$H$1:$H$250=1)/('Footings &amp; Slabs'!$H$1:$H$250=1)*ROW('Footings &amp; Slabs'!$H$1:$H$250),ROWS($B$3:$B20))),"")</f>
        <v/>
      </c>
      <c r="H20" s="206" t="str" cm="1">
        <f t="array" ref="H20">IFERROR(_xlfn.AGGREGATE(15,3,('Footings &amp; Slabs'!$H$1:$H$250=1)/('Footings &amp; Slabs'!$H$1:$H$250=1)*ROW('Footings &amp; Slabs'!$H$1:$H$250),ROWS($B$3:$B20)),"")</f>
        <v/>
      </c>
      <c r="I20" s="206" t="str" cm="1">
        <f t="array" ref="I20">IF(ROWS($B$3:$B20)&lt;=$J$3,ROUND(INDEX('Footings &amp; Slabs'!D:D,H20),1)  &amp; " " &amp; INDEX('Footings &amp; Slabs'!E:E,H20),"")</f>
        <v/>
      </c>
      <c r="N20" s="1279" t="str">
        <f>VLOOKUP("Ext. Wall Systems",Setting!$E$6:$H$33,4,FALSE)</f>
        <v>Ext. Wall Systems</v>
      </c>
      <c r="O20" s="1280">
        <f>'Ext. Wall Systems'!$O$4+SUMIF('User-Defined'!A1:A100,VLOOKUP("Ext. Wall Systems",Setting!$E$6:$H$33,4,FALSE), 'User-Defined'!K1:K100)</f>
        <v>0</v>
      </c>
      <c r="R20" s="213">
        <v>17</v>
      </c>
      <c r="S20" s="210">
        <f t="shared" si="3"/>
        <v>0</v>
      </c>
      <c r="T20" s="210">
        <f t="shared" si="4"/>
        <v>0</v>
      </c>
      <c r="U20" s="210">
        <f t="shared" si="2"/>
        <v>0</v>
      </c>
      <c r="AC20" s="208">
        <v>17</v>
      </c>
      <c r="AD20" s="210">
        <f t="shared" si="5"/>
        <v>0</v>
      </c>
      <c r="AE20" s="210">
        <f t="shared" si="6"/>
        <v>0</v>
      </c>
      <c r="AF20" s="210">
        <f t="shared" si="6"/>
        <v>0</v>
      </c>
      <c r="AG20" s="210">
        <f t="shared" si="6"/>
        <v>0</v>
      </c>
      <c r="AH20" s="210">
        <f t="shared" si="6"/>
        <v>0</v>
      </c>
      <c r="AI20" s="210">
        <f t="shared" si="6"/>
        <v>0</v>
      </c>
    </row>
    <row r="21" spans="1:35" ht="30.15" customHeight="1" x14ac:dyDescent="0.25">
      <c r="A21" s="204" t="str">
        <f>VLOOKUP("Footings &amp; Slabs",Setting!$E$6:$H$33,4,FALSE)</f>
        <v>Footings &amp; Slabs</v>
      </c>
      <c r="B21" s="205" t="str" cm="1">
        <f t="array" ref="B21">IF(ROWS($B$3:$B21)&lt;=$J$3,INDEX('Footings &amp; Slabs'!$R:$R,_xlfn.AGGREGATE(15,3,('Footings &amp; Slabs'!$H$1:$H$250=1)/('Footings &amp; Slabs'!$H$1:$H$250=1)*ROW('Footings &amp; Slabs'!$H$1:$H$250),ROWS($B$3:$B21))),"")</f>
        <v/>
      </c>
      <c r="C21" s="205" t="str" cm="1">
        <f t="array" ref="C21">IF(ROWS($B$3:$B21)&lt;=$J$3,INDEX('Footings &amp; Slabs'!C:C,$H21) &amp; INDEX('Footings &amp; Slabs'!S:S,$H21),"")</f>
        <v/>
      </c>
      <c r="D21" s="206" t="str">
        <f t="shared" si="1"/>
        <v/>
      </c>
      <c r="E21" s="206" t="str" cm="1">
        <f t="array" ref="E21">IF(ROWS($B$3:$B21)&lt;=$J$3,INDEX('Footings &amp; Slabs'!K:K,_xlfn.AGGREGATE(15,3,('Footings &amp; Slabs'!$H$1:$H$250=1)/('Footings &amp; Slabs'!$H$1:$H$250=1)*ROW('Footings &amp; Slabs'!$H$1:$H$250),ROWS($B$3:$B21))),"")</f>
        <v/>
      </c>
      <c r="F21" s="206" t="str" cm="1">
        <f t="array" ref="F21">IF(ROWS($B$3:$B21)&lt;=$J$3,INDEX('Footings &amp; Slabs'!L:L,_xlfn.AGGREGATE(15,3,('Footings &amp; Slabs'!$H$1:$H$250=1)/('Footings &amp; Slabs'!$H$1:$H$250=1)*ROW('Footings &amp; Slabs'!$H$1:$H$250),ROWS($B$3:$B21))),"")</f>
        <v/>
      </c>
      <c r="G21" s="206" t="str" cm="1">
        <f t="array" ref="G21">IF(ROWS($B$3:$B21)&lt;=$J$3,INDEX('Footings &amp; Slabs'!M:M,_xlfn.AGGREGATE(15,3,('Footings &amp; Slabs'!$H$1:$H$250=1)/('Footings &amp; Slabs'!$H$1:$H$250=1)*ROW('Footings &amp; Slabs'!$H$1:$H$250),ROWS($B$3:$B21))),"")</f>
        <v/>
      </c>
      <c r="H21" s="206" t="str" cm="1">
        <f t="array" ref="H21">IFERROR(_xlfn.AGGREGATE(15,3,('Footings &amp; Slabs'!$H$1:$H$250=1)/('Footings &amp; Slabs'!$H$1:$H$250=1)*ROW('Footings &amp; Slabs'!$H$1:$H$250),ROWS($B$3:$B21)),"")</f>
        <v/>
      </c>
      <c r="I21" s="206" t="str" cm="1">
        <f t="array" ref="I21">IF(ROWS($B$3:$B21)&lt;=$J$3,ROUND(INDEX('Footings &amp; Slabs'!D:D,H21),1)  &amp; " " &amp; INDEX('Footings &amp; Slabs'!E:E,H21),"")</f>
        <v/>
      </c>
      <c r="N21" s="1281" t="str">
        <f>VLOOKUP("Party Walls",Setting!$E$6:$H$33,4,FALSE)</f>
        <v>Party Walls</v>
      </c>
      <c r="O21" s="1282">
        <f>'Party Walls'!O4+SUMIF('User-Defined'!A1:A100,VLOOKUP("Party Walls",Setting!$E$6:$H$33,4,FALSE), 'User-Defined'!K1:K100)</f>
        <v>0</v>
      </c>
      <c r="R21" s="213">
        <v>18</v>
      </c>
      <c r="S21" s="210">
        <f t="shared" si="3"/>
        <v>0</v>
      </c>
      <c r="T21" s="210">
        <f t="shared" si="4"/>
        <v>0</v>
      </c>
      <c r="U21" s="210">
        <f t="shared" si="2"/>
        <v>0</v>
      </c>
      <c r="AC21" s="208">
        <v>18</v>
      </c>
      <c r="AD21" s="210">
        <f t="shared" si="5"/>
        <v>0</v>
      </c>
      <c r="AE21" s="210">
        <f t="shared" si="6"/>
        <v>0</v>
      </c>
      <c r="AF21" s="210">
        <f t="shared" si="6"/>
        <v>0</v>
      </c>
      <c r="AG21" s="210">
        <f t="shared" si="6"/>
        <v>0</v>
      </c>
      <c r="AH21" s="210">
        <f t="shared" si="6"/>
        <v>0</v>
      </c>
      <c r="AI21" s="210">
        <f t="shared" si="6"/>
        <v>0</v>
      </c>
    </row>
    <row r="22" spans="1:35" ht="30.15" customHeight="1" x14ac:dyDescent="0.25">
      <c r="A22" s="204" t="str">
        <f>VLOOKUP("Footings &amp; Slabs",Setting!$E$6:$H$33,4,FALSE)</f>
        <v>Footings &amp; Slabs</v>
      </c>
      <c r="B22" s="205" t="str" cm="1">
        <f t="array" ref="B22">IF(ROWS($B$3:$B22)&lt;=$J$3,INDEX('Footings &amp; Slabs'!$R:$R,_xlfn.AGGREGATE(15,3,('Footings &amp; Slabs'!$H$1:$H$250=1)/('Footings &amp; Slabs'!$H$1:$H$250=1)*ROW('Footings &amp; Slabs'!$H$1:$H$250),ROWS($B$3:$B22))),"")</f>
        <v/>
      </c>
      <c r="C22" s="205" t="str" cm="1">
        <f t="array" ref="C22">IF(ROWS($B$3:$B22)&lt;=$J$3,INDEX('Footings &amp; Slabs'!C:C,$H22) &amp; INDEX('Footings &amp; Slabs'!S:S,$H22),"")</f>
        <v/>
      </c>
      <c r="D22" s="206" t="str">
        <f t="shared" si="1"/>
        <v/>
      </c>
      <c r="E22" s="206" t="str" cm="1">
        <f t="array" ref="E22">IF(ROWS($B$3:$B22)&lt;=$J$3,INDEX('Footings &amp; Slabs'!K:K,_xlfn.AGGREGATE(15,3,('Footings &amp; Slabs'!$H$1:$H$250=1)/('Footings &amp; Slabs'!$H$1:$H$250=1)*ROW('Footings &amp; Slabs'!$H$1:$H$250),ROWS($B$3:$B22))),"")</f>
        <v/>
      </c>
      <c r="F22" s="206" t="str" cm="1">
        <f t="array" ref="F22">IF(ROWS($B$3:$B22)&lt;=$J$3,INDEX('Footings &amp; Slabs'!L:L,_xlfn.AGGREGATE(15,3,('Footings &amp; Slabs'!$H$1:$H$250=1)/('Footings &amp; Slabs'!$H$1:$H$250=1)*ROW('Footings &amp; Slabs'!$H$1:$H$250),ROWS($B$3:$B22))),"")</f>
        <v/>
      </c>
      <c r="G22" s="206" t="str" cm="1">
        <f t="array" ref="G22">IF(ROWS($B$3:$B22)&lt;=$J$3,INDEX('Footings &amp; Slabs'!M:M,_xlfn.AGGREGATE(15,3,('Footings &amp; Slabs'!$H$1:$H$250=1)/('Footings &amp; Slabs'!$H$1:$H$250=1)*ROW('Footings &amp; Slabs'!$H$1:$H$250),ROWS($B$3:$B22))),"")</f>
        <v/>
      </c>
      <c r="H22" s="206" t="str" cm="1">
        <f t="array" ref="H22">IFERROR(_xlfn.AGGREGATE(15,3,('Footings &amp; Slabs'!$H$1:$H$250=1)/('Footings &amp; Slabs'!$H$1:$H$250=1)*ROW('Footings &amp; Slabs'!$H$1:$H$250),ROWS($B$3:$B22)),"")</f>
        <v/>
      </c>
      <c r="I22" s="206" t="str" cm="1">
        <f t="array" ref="I22">IF(ROWS($B$3:$B22)&lt;=$J$3,ROUND(INDEX('Footings &amp; Slabs'!D:D,H22),1)  &amp; " " &amp; INDEX('Footings &amp; Slabs'!E:E,H22),"")</f>
        <v/>
      </c>
      <c r="N22" s="1279" t="str">
        <f>VLOOKUP("Cladding",Setting!$E$6:$H$33,4,FALSE)</f>
        <v>Cladding</v>
      </c>
      <c r="O22" s="1280">
        <f>Cladding!$O$4+SUMIF('User-Defined'!A1:A100,VLOOKUP("Cladding",Setting!$E$6:$H$33,4,FALSE), 'User-Defined'!K1:K100)</f>
        <v>0</v>
      </c>
      <c r="R22" s="213">
        <v>19</v>
      </c>
      <c r="S22" s="210">
        <f t="shared" si="3"/>
        <v>0</v>
      </c>
      <c r="T22" s="210">
        <f t="shared" si="4"/>
        <v>0</v>
      </c>
      <c r="U22" s="210">
        <f t="shared" si="2"/>
        <v>0</v>
      </c>
      <c r="AC22" s="208">
        <v>19</v>
      </c>
      <c r="AD22" s="210">
        <f t="shared" si="5"/>
        <v>0</v>
      </c>
      <c r="AE22" s="210">
        <f t="shared" si="6"/>
        <v>0</v>
      </c>
      <c r="AF22" s="210">
        <f t="shared" si="6"/>
        <v>0</v>
      </c>
      <c r="AG22" s="210">
        <f t="shared" si="6"/>
        <v>0</v>
      </c>
      <c r="AH22" s="210">
        <f t="shared" si="6"/>
        <v>0</v>
      </c>
      <c r="AI22" s="210">
        <f t="shared" si="6"/>
        <v>0</v>
      </c>
    </row>
    <row r="23" spans="1:35" ht="30.15" customHeight="1" x14ac:dyDescent="0.25">
      <c r="A23" s="204" t="str">
        <f>VLOOKUP("Footings &amp; Slabs",Setting!$E$6:$H$33,4,FALSE)</f>
        <v>Footings &amp; Slabs</v>
      </c>
      <c r="B23" s="205" t="str" cm="1">
        <f t="array" ref="B23">IF(ROWS($B$3:$B23)&lt;=$J$3,INDEX('Footings &amp; Slabs'!$R:$R,_xlfn.AGGREGATE(15,3,('Footings &amp; Slabs'!$H$1:$H$250=1)/('Footings &amp; Slabs'!$H$1:$H$250=1)*ROW('Footings &amp; Slabs'!$H$1:$H$250),ROWS($B$3:$B23))),"")</f>
        <v/>
      </c>
      <c r="C23" s="205" t="str" cm="1">
        <f t="array" ref="C23">IF(ROWS($B$3:$B23)&lt;=$J$3,INDEX('Footings &amp; Slabs'!C:C,$H23) &amp; INDEX('Footings &amp; Slabs'!S:S,$H23),"")</f>
        <v/>
      </c>
      <c r="D23" s="206" t="str">
        <f t="shared" si="1"/>
        <v/>
      </c>
      <c r="E23" s="206" t="str" cm="1">
        <f t="array" ref="E23">IF(ROWS($B$3:$B23)&lt;=$J$3,INDEX('Footings &amp; Slabs'!K:K,_xlfn.AGGREGATE(15,3,('Footings &amp; Slabs'!$H$1:$H$250=1)/('Footings &amp; Slabs'!$H$1:$H$250=1)*ROW('Footings &amp; Slabs'!$H$1:$H$250),ROWS($B$3:$B23))),"")</f>
        <v/>
      </c>
      <c r="F23" s="206" t="str" cm="1">
        <f t="array" ref="F23">IF(ROWS($B$3:$B23)&lt;=$J$3,INDEX('Footings &amp; Slabs'!L:L,_xlfn.AGGREGATE(15,3,('Footings &amp; Slabs'!$H$1:$H$250=1)/('Footings &amp; Slabs'!$H$1:$H$250=1)*ROW('Footings &amp; Slabs'!$H$1:$H$250),ROWS($B$3:$B23))),"")</f>
        <v/>
      </c>
      <c r="G23" s="206" t="str" cm="1">
        <f t="array" ref="G23">IF(ROWS($B$3:$B23)&lt;=$J$3,INDEX('Footings &amp; Slabs'!M:M,_xlfn.AGGREGATE(15,3,('Footings &amp; Slabs'!$H$1:$H$250=1)/('Footings &amp; Slabs'!$H$1:$H$250=1)*ROW('Footings &amp; Slabs'!$H$1:$H$250),ROWS($B$3:$B23))),"")</f>
        <v/>
      </c>
      <c r="H23" s="206" t="str" cm="1">
        <f t="array" ref="H23">IFERROR(_xlfn.AGGREGATE(15,3,('Footings &amp; Slabs'!$H$1:$H$250=1)/('Footings &amp; Slabs'!$H$1:$H$250=1)*ROW('Footings &amp; Slabs'!$H$1:$H$250),ROWS($B$3:$B23)),"")</f>
        <v/>
      </c>
      <c r="I23" s="206" t="str" cm="1">
        <f t="array" ref="I23">IF(ROWS($B$3:$B23)&lt;=$J$3,ROUND(INDEX('Footings &amp; Slabs'!D:D,H23),1)  &amp; " " &amp; INDEX('Footings &amp; Slabs'!E:E,H23),"")</f>
        <v/>
      </c>
      <c r="N23" s="1279" t="str">
        <f>VLOOKUP("Windows",Setting!$E$6:$H$33,4,FALSE)</f>
        <v>Windows</v>
      </c>
      <c r="O23" s="1280">
        <f>Windows!$O$4+SUMIF('User-Defined'!A1:A100,VLOOKUP("Windows",Setting!$E$6:$H$33,4,FALSE), 'User-Defined'!K1:K100)</f>
        <v>0</v>
      </c>
      <c r="R23" s="213">
        <v>20</v>
      </c>
      <c r="S23" s="210">
        <f t="shared" si="3"/>
        <v>0</v>
      </c>
      <c r="T23" s="210">
        <f t="shared" si="4"/>
        <v>0</v>
      </c>
      <c r="U23" s="210">
        <f t="shared" si="2"/>
        <v>0</v>
      </c>
      <c r="AC23" s="208">
        <v>20</v>
      </c>
      <c r="AD23" s="210">
        <f t="shared" si="5"/>
        <v>0</v>
      </c>
      <c r="AE23" s="210">
        <f t="shared" si="6"/>
        <v>0</v>
      </c>
      <c r="AF23" s="210">
        <f t="shared" si="6"/>
        <v>0</v>
      </c>
      <c r="AG23" s="210">
        <f t="shared" si="6"/>
        <v>0</v>
      </c>
      <c r="AH23" s="210">
        <f t="shared" si="6"/>
        <v>0</v>
      </c>
      <c r="AI23" s="210">
        <f t="shared" si="6"/>
        <v>0</v>
      </c>
    </row>
    <row r="24" spans="1:35" ht="30.15" customHeight="1" x14ac:dyDescent="0.25">
      <c r="A24" s="204" t="str">
        <f>VLOOKUP("Footings &amp; Slabs",Setting!$E$6:$H$33,4,FALSE)</f>
        <v>Footings &amp; Slabs</v>
      </c>
      <c r="B24" s="205" t="str" cm="1">
        <f t="array" ref="B24">IF(ROWS($B$3:$B24)&lt;=$J$3,INDEX('Footings &amp; Slabs'!$R:$R,_xlfn.AGGREGATE(15,3,('Footings &amp; Slabs'!$H$1:$H$250=1)/('Footings &amp; Slabs'!$H$1:$H$250=1)*ROW('Footings &amp; Slabs'!$H$1:$H$250),ROWS($B$3:$B24))),"")</f>
        <v/>
      </c>
      <c r="C24" s="205" t="str" cm="1">
        <f t="array" ref="C24">IF(ROWS($B$3:$B24)&lt;=$J$3,INDEX('Footings &amp; Slabs'!C:C,$H24) &amp; INDEX('Footings &amp; Slabs'!S:S,$H24),"")</f>
        <v/>
      </c>
      <c r="D24" s="206" t="str">
        <f t="shared" si="1"/>
        <v/>
      </c>
      <c r="E24" s="206" t="str" cm="1">
        <f t="array" ref="E24">IF(ROWS($B$3:$B24)&lt;=$J$3,INDEX('Footings &amp; Slabs'!K:K,_xlfn.AGGREGATE(15,3,('Footings &amp; Slabs'!$H$1:$H$250=1)/('Footings &amp; Slabs'!$H$1:$H$250=1)*ROW('Footings &amp; Slabs'!$H$1:$H$250),ROWS($B$3:$B24))),"")</f>
        <v/>
      </c>
      <c r="F24" s="206" t="str" cm="1">
        <f t="array" ref="F24">IF(ROWS($B$3:$B24)&lt;=$J$3,INDEX('Footings &amp; Slabs'!L:L,_xlfn.AGGREGATE(15,3,('Footings &amp; Slabs'!$H$1:$H$250=1)/('Footings &amp; Slabs'!$H$1:$H$250=1)*ROW('Footings &amp; Slabs'!$H$1:$H$250),ROWS($B$3:$B24))),"")</f>
        <v/>
      </c>
      <c r="G24" s="206" t="str" cm="1">
        <f t="array" ref="G24">IF(ROWS($B$3:$B24)&lt;=$J$3,INDEX('Footings &amp; Slabs'!M:M,_xlfn.AGGREGATE(15,3,('Footings &amp; Slabs'!$H$1:$H$250=1)/('Footings &amp; Slabs'!$H$1:$H$250=1)*ROW('Footings &amp; Slabs'!$H$1:$H$250),ROWS($B$3:$B24))),"")</f>
        <v/>
      </c>
      <c r="H24" s="206" t="str" cm="1">
        <f t="array" ref="H24">IFERROR(_xlfn.AGGREGATE(15,3,('Footings &amp; Slabs'!$H$1:$H$250=1)/('Footings &amp; Slabs'!$H$1:$H$250=1)*ROW('Footings &amp; Slabs'!$H$1:$H$250),ROWS($B$3:$B24)),"")</f>
        <v/>
      </c>
      <c r="I24" s="206" t="str" cm="1">
        <f t="array" ref="I24">IF(ROWS($B$3:$B24)&lt;=$J$3,ROUND(INDEX('Footings &amp; Slabs'!D:D,H24),1)  &amp; " " &amp; INDEX('Footings &amp; Slabs'!E:E,H24),"")</f>
        <v/>
      </c>
      <c r="N24" s="1279" t="str">
        <f>VLOOKUP("Int. Walls",Setting!$E$6:$H$33,4,FALSE)</f>
        <v>Int. Walls</v>
      </c>
      <c r="O24" s="1280">
        <f>'Int. Walls'!$O$4+SUMIF('User-Defined'!A1:A100,VLOOKUP("Int. Walls",Setting!$E$6:$H$33,4,FALSE), 'User-Defined'!K1:K100)</f>
        <v>0</v>
      </c>
      <c r="R24" s="213">
        <v>21</v>
      </c>
      <c r="S24" s="210">
        <f t="shared" si="3"/>
        <v>0</v>
      </c>
      <c r="T24" s="210">
        <f t="shared" si="4"/>
        <v>0</v>
      </c>
      <c r="U24" s="210">
        <f t="shared" si="2"/>
        <v>0</v>
      </c>
      <c r="AC24" s="208">
        <v>21</v>
      </c>
      <c r="AD24" s="210">
        <f t="shared" si="5"/>
        <v>0</v>
      </c>
      <c r="AE24" s="210">
        <f t="shared" si="6"/>
        <v>0</v>
      </c>
      <c r="AF24" s="210">
        <f t="shared" si="6"/>
        <v>0</v>
      </c>
      <c r="AG24" s="210">
        <f t="shared" si="6"/>
        <v>0</v>
      </c>
      <c r="AH24" s="210">
        <f t="shared" si="6"/>
        <v>0</v>
      </c>
      <c r="AI24" s="210">
        <f t="shared" si="6"/>
        <v>0</v>
      </c>
    </row>
    <row r="25" spans="1:35" ht="30.15" customHeight="1" x14ac:dyDescent="0.25">
      <c r="A25" s="204" t="str">
        <f>VLOOKUP("Footings &amp; Slabs",Setting!$E$6:$H$33,4,FALSE)</f>
        <v>Footings &amp; Slabs</v>
      </c>
      <c r="B25" s="205" t="str" cm="1">
        <f t="array" ref="B25">IF(ROWS($B$3:$B25)&lt;=$J$3,INDEX('Footings &amp; Slabs'!$R:$R,_xlfn.AGGREGATE(15,3,('Footings &amp; Slabs'!$H$1:$H$250=1)/('Footings &amp; Slabs'!$H$1:$H$250=1)*ROW('Footings &amp; Slabs'!$H$1:$H$250),ROWS($B$3:$B25))),"")</f>
        <v/>
      </c>
      <c r="C25" s="205" t="str" cm="1">
        <f t="array" ref="C25">IF(ROWS($B$3:$B25)&lt;=$J$3,INDEX('Footings &amp; Slabs'!C:C,$H25) &amp; INDEX('Footings &amp; Slabs'!S:S,$H25),"")</f>
        <v/>
      </c>
      <c r="D25" s="206" t="str">
        <f t="shared" si="1"/>
        <v/>
      </c>
      <c r="E25" s="206" t="str" cm="1">
        <f t="array" ref="E25">IF(ROWS($B$3:$B25)&lt;=$J$3,INDEX('Footings &amp; Slabs'!K:K,_xlfn.AGGREGATE(15,3,('Footings &amp; Slabs'!$H$1:$H$250=1)/('Footings &amp; Slabs'!$H$1:$H$250=1)*ROW('Footings &amp; Slabs'!$H$1:$H$250),ROWS($B$3:$B25))),"")</f>
        <v/>
      </c>
      <c r="F25" s="206" t="str" cm="1">
        <f t="array" ref="F25">IF(ROWS($B$3:$B25)&lt;=$J$3,INDEX('Footings &amp; Slabs'!L:L,_xlfn.AGGREGATE(15,3,('Footings &amp; Slabs'!$H$1:$H$250=1)/('Footings &amp; Slabs'!$H$1:$H$250=1)*ROW('Footings &amp; Slabs'!$H$1:$H$250),ROWS($B$3:$B25))),"")</f>
        <v/>
      </c>
      <c r="G25" s="206" t="str" cm="1">
        <f t="array" ref="G25">IF(ROWS($B$3:$B25)&lt;=$J$3,INDEX('Footings &amp; Slabs'!M:M,_xlfn.AGGREGATE(15,3,('Footings &amp; Slabs'!$H$1:$H$250=1)/('Footings &amp; Slabs'!$H$1:$H$250=1)*ROW('Footings &amp; Slabs'!$H$1:$H$250),ROWS($B$3:$B25))),"")</f>
        <v/>
      </c>
      <c r="H25" s="206" t="str" cm="1">
        <f t="array" ref="H25">IFERROR(_xlfn.AGGREGATE(15,3,('Footings &amp; Slabs'!$H$1:$H$250=1)/('Footings &amp; Slabs'!$H$1:$H$250=1)*ROW('Footings &amp; Slabs'!$H$1:$H$250),ROWS($B$3:$B25)),"")</f>
        <v/>
      </c>
      <c r="I25" s="206" t="str" cm="1">
        <f t="array" ref="I25">IF(ROWS($B$3:$B25)&lt;=$J$3,ROUND(INDEX('Footings &amp; Slabs'!D:D,H25),1)  &amp; " " &amp; INDEX('Footings &amp; Slabs'!E:E,H25),"")</f>
        <v/>
      </c>
      <c r="N25" s="1279" t="str">
        <f>VLOOKUP("Floors",Setting!$E$6:$H$33,4,FALSE)</f>
        <v>Floors</v>
      </c>
      <c r="O25" s="1280">
        <f>Floors!$O$4+SUMIF('User-Defined'!A1:A100,VLOOKUP("Floors",Setting!$E$6:$H$33,4,FALSE), 'User-Defined'!K1:K100)</f>
        <v>0</v>
      </c>
      <c r="R25" s="213">
        <v>22</v>
      </c>
      <c r="S25" s="210">
        <f t="shared" si="3"/>
        <v>0</v>
      </c>
      <c r="T25" s="210">
        <f t="shared" si="4"/>
        <v>0</v>
      </c>
      <c r="U25" s="210">
        <f t="shared" si="2"/>
        <v>0</v>
      </c>
      <c r="AC25" s="208">
        <v>22</v>
      </c>
      <c r="AD25" s="210">
        <f t="shared" si="5"/>
        <v>0</v>
      </c>
      <c r="AE25" s="210">
        <f t="shared" si="6"/>
        <v>0</v>
      </c>
      <c r="AF25" s="210">
        <f t="shared" si="6"/>
        <v>0</v>
      </c>
      <c r="AG25" s="210">
        <f t="shared" si="6"/>
        <v>0</v>
      </c>
      <c r="AH25" s="210">
        <f t="shared" si="6"/>
        <v>0</v>
      </c>
      <c r="AI25" s="210">
        <f t="shared" si="6"/>
        <v>0</v>
      </c>
    </row>
    <row r="26" spans="1:35" ht="30.15" customHeight="1" x14ac:dyDescent="0.25">
      <c r="A26" s="204" t="str">
        <f>VLOOKUP("Footings &amp; Slabs",Setting!$E$6:$H$33,4,FALSE)</f>
        <v>Footings &amp; Slabs</v>
      </c>
      <c r="B26" s="205" t="str" cm="1">
        <f t="array" ref="B26">IF(ROWS($B$3:$B26)&lt;=$J$3,INDEX('Footings &amp; Slabs'!$R:$R,_xlfn.AGGREGATE(15,3,('Footings &amp; Slabs'!$H$1:$H$250=1)/('Footings &amp; Slabs'!$H$1:$H$250=1)*ROW('Footings &amp; Slabs'!$H$1:$H$250),ROWS($B$3:$B26))),"")</f>
        <v/>
      </c>
      <c r="C26" s="205" t="str" cm="1">
        <f t="array" ref="C26">IF(ROWS($B$3:$B26)&lt;=$J$3,INDEX('Footings &amp; Slabs'!C:C,$H26) &amp; INDEX('Footings &amp; Slabs'!S:S,$H26),"")</f>
        <v/>
      </c>
      <c r="D26" s="206" t="str">
        <f t="shared" si="1"/>
        <v/>
      </c>
      <c r="E26" s="206" t="str" cm="1">
        <f t="array" ref="E26">IF(ROWS($B$3:$B26)&lt;=$J$3,INDEX('Footings &amp; Slabs'!K:K,_xlfn.AGGREGATE(15,3,('Footings &amp; Slabs'!$H$1:$H$250=1)/('Footings &amp; Slabs'!$H$1:$H$250=1)*ROW('Footings &amp; Slabs'!$H$1:$H$250),ROWS($B$3:$B26))),"")</f>
        <v/>
      </c>
      <c r="F26" s="206" t="str" cm="1">
        <f t="array" ref="F26">IF(ROWS($B$3:$B26)&lt;=$J$3,INDEX('Footings &amp; Slabs'!L:L,_xlfn.AGGREGATE(15,3,('Footings &amp; Slabs'!$H$1:$H$250=1)/('Footings &amp; Slabs'!$H$1:$H$250=1)*ROW('Footings &amp; Slabs'!$H$1:$H$250),ROWS($B$3:$B26))),"")</f>
        <v/>
      </c>
      <c r="G26" s="206" t="str" cm="1">
        <f t="array" ref="G26">IF(ROWS($B$3:$B26)&lt;=$J$3,INDEX('Footings &amp; Slabs'!M:M,_xlfn.AGGREGATE(15,3,('Footings &amp; Slabs'!$H$1:$H$250=1)/('Footings &amp; Slabs'!$H$1:$H$250=1)*ROW('Footings &amp; Slabs'!$H$1:$H$250),ROWS($B$3:$B26))),"")</f>
        <v/>
      </c>
      <c r="H26" s="206" t="str" cm="1">
        <f t="array" ref="H26">IFERROR(_xlfn.AGGREGATE(15,3,('Footings &amp; Slabs'!$H$1:$H$250=1)/('Footings &amp; Slabs'!$H$1:$H$250=1)*ROW('Footings &amp; Slabs'!$H$1:$H$250),ROWS($B$3:$B26)),"")</f>
        <v/>
      </c>
      <c r="I26" s="206" t="str" cm="1">
        <f t="array" ref="I26">IF(ROWS($B$3:$B26)&lt;=$J$3,ROUND(INDEX('Footings &amp; Slabs'!D:D,H26),1)  &amp; " " &amp; INDEX('Footings &amp; Slabs'!E:E,H26),"")</f>
        <v/>
      </c>
      <c r="N26" s="1279" t="str">
        <f>VLOOKUP("Ceilings",Setting!$E$6:$H$33,4,FALSE)</f>
        <v>Ceilings</v>
      </c>
      <c r="O26" s="1280">
        <f>Ceilings!$O$4+SUMIF('User-Defined'!A1:A100,VLOOKUP("Ceilings",Setting!$E$6:$H$33,4,FALSE), 'User-Defined'!K1:K100)</f>
        <v>0</v>
      </c>
      <c r="R26" s="213">
        <v>23</v>
      </c>
      <c r="S26" s="210">
        <f t="shared" si="3"/>
        <v>0</v>
      </c>
      <c r="T26" s="210">
        <f t="shared" si="4"/>
        <v>0</v>
      </c>
      <c r="U26" s="210">
        <f t="shared" si="2"/>
        <v>0</v>
      </c>
      <c r="AC26" s="208">
        <v>23</v>
      </c>
      <c r="AD26" s="210">
        <f t="shared" si="5"/>
        <v>0</v>
      </c>
      <c r="AE26" s="210">
        <f t="shared" si="6"/>
        <v>0</v>
      </c>
      <c r="AF26" s="210">
        <f t="shared" si="6"/>
        <v>0</v>
      </c>
      <c r="AG26" s="210">
        <f t="shared" si="6"/>
        <v>0</v>
      </c>
      <c r="AH26" s="210">
        <f t="shared" si="6"/>
        <v>0</v>
      </c>
      <c r="AI26" s="210">
        <f t="shared" si="6"/>
        <v>0</v>
      </c>
    </row>
    <row r="27" spans="1:35" ht="30.15" customHeight="1" x14ac:dyDescent="0.25">
      <c r="A27" s="204" t="str">
        <f>VLOOKUP("Footings &amp; Slabs",Setting!$E$6:$H$33,4,FALSE)</f>
        <v>Footings &amp; Slabs</v>
      </c>
      <c r="B27" s="205" t="str" cm="1">
        <f t="array" ref="B27">IF(ROWS($B$3:$B27)&lt;=$J$3,INDEX('Footings &amp; Slabs'!$R:$R,_xlfn.AGGREGATE(15,3,('Footings &amp; Slabs'!$H$1:$H$250=1)/('Footings &amp; Slabs'!$H$1:$H$250=1)*ROW('Footings &amp; Slabs'!$H$1:$H$250),ROWS($B$3:$B27))),"")</f>
        <v/>
      </c>
      <c r="C27" s="205" t="str" cm="1">
        <f t="array" ref="C27">IF(ROWS($B$3:$B27)&lt;=$J$3,INDEX('Footings &amp; Slabs'!C:C,$H27) &amp; INDEX('Footings &amp; Slabs'!S:S,$H27),"")</f>
        <v/>
      </c>
      <c r="D27" s="206" t="str">
        <f t="shared" si="1"/>
        <v/>
      </c>
      <c r="E27" s="206" t="str" cm="1">
        <f t="array" ref="E27">IF(ROWS($B$3:$B27)&lt;=$J$3,INDEX('Footings &amp; Slabs'!K:K,_xlfn.AGGREGATE(15,3,('Footings &amp; Slabs'!$H$1:$H$250=1)/('Footings &amp; Slabs'!$H$1:$H$250=1)*ROW('Footings &amp; Slabs'!$H$1:$H$250),ROWS($B$3:$B27))),"")</f>
        <v/>
      </c>
      <c r="F27" s="206" t="str" cm="1">
        <f t="array" ref="F27">IF(ROWS($B$3:$B27)&lt;=$J$3,INDEX('Footings &amp; Slabs'!L:L,_xlfn.AGGREGATE(15,3,('Footings &amp; Slabs'!$H$1:$H$250=1)/('Footings &amp; Slabs'!$H$1:$H$250=1)*ROW('Footings &amp; Slabs'!$H$1:$H$250),ROWS($B$3:$B27))),"")</f>
        <v/>
      </c>
      <c r="G27" s="206" t="str" cm="1">
        <f t="array" ref="G27">IF(ROWS($B$3:$B27)&lt;=$J$3,INDEX('Footings &amp; Slabs'!M:M,_xlfn.AGGREGATE(15,3,('Footings &amp; Slabs'!$H$1:$H$250=1)/('Footings &amp; Slabs'!$H$1:$H$250=1)*ROW('Footings &amp; Slabs'!$H$1:$H$250),ROWS($B$3:$B27))),"")</f>
        <v/>
      </c>
      <c r="H27" s="206" t="str" cm="1">
        <f t="array" ref="H27">IFERROR(_xlfn.AGGREGATE(15,3,('Footings &amp; Slabs'!$H$1:$H$250=1)/('Footings &amp; Slabs'!$H$1:$H$250=1)*ROW('Footings &amp; Slabs'!$H$1:$H$250),ROWS($B$3:$B27)),"")</f>
        <v/>
      </c>
      <c r="I27" s="206" t="str" cm="1">
        <f t="array" ref="I27">IF(ROWS($B$3:$B27)&lt;=$J$3,ROUND(INDEX('Footings &amp; Slabs'!D:D,H27),1)  &amp; " " &amp; INDEX('Footings &amp; Slabs'!E:E,H27),"")</f>
        <v/>
      </c>
      <c r="N27" s="1279" t="str">
        <f>VLOOKUP("Roof",Setting!$E$6:$H$33,4,FALSE)</f>
        <v>Roof</v>
      </c>
      <c r="O27" s="1280">
        <f>Roof!$O$4+SUMIF('User-Defined'!A1:A100,VLOOKUP("Roof",Setting!$E$6:$H$33,4,FALSE), 'User-Defined'!K1:K100)</f>
        <v>0</v>
      </c>
      <c r="R27" s="213">
        <v>24</v>
      </c>
      <c r="S27" s="210">
        <f t="shared" si="3"/>
        <v>0</v>
      </c>
      <c r="T27" s="210">
        <f t="shared" si="4"/>
        <v>0</v>
      </c>
      <c r="U27" s="210">
        <f t="shared" si="2"/>
        <v>0</v>
      </c>
      <c r="AC27" s="208">
        <v>24</v>
      </c>
      <c r="AD27" s="210">
        <f t="shared" si="5"/>
        <v>0</v>
      </c>
      <c r="AE27" s="210">
        <f t="shared" si="6"/>
        <v>0</v>
      </c>
      <c r="AF27" s="210">
        <f t="shared" si="6"/>
        <v>0</v>
      </c>
      <c r="AG27" s="210">
        <f t="shared" si="6"/>
        <v>0</v>
      </c>
      <c r="AH27" s="210">
        <f t="shared" si="6"/>
        <v>0</v>
      </c>
      <c r="AI27" s="210">
        <f t="shared" si="6"/>
        <v>0</v>
      </c>
    </row>
    <row r="28" spans="1:35" ht="30.15" customHeight="1" x14ac:dyDescent="0.25">
      <c r="A28" s="110" t="str">
        <f>VLOOKUP("Foundation Walls",Setting!$E$6:$H$33,4,FALSE)</f>
        <v>Foundation Walls</v>
      </c>
      <c r="B28" s="205" t="str" cm="1">
        <f t="array" ref="B28">IF(ROWS($B$28:$B28)&lt;=$J$28,INDEX('Foundation Walls'!$R:$R,_xlfn.AGGREGATE(15,3,('Foundation Walls'!$H$1:$H$332=1)/('Foundation Walls'!$H$1:$H$332=1)*ROW('Foundation Walls'!$H$1:$H$332),ROWS($B$28:$B28))),"")</f>
        <v/>
      </c>
      <c r="C28" s="205" t="str" cm="1">
        <f t="array" ref="C28">IF(ROWS($B$28:$B28)&lt;=$J$28,INDEX('Foundation Walls'!C:C,$H28) &amp; INDEX('Foundation Walls'!S:S,$H28),"")</f>
        <v/>
      </c>
      <c r="D28" s="206" t="str">
        <f t="shared" si="1"/>
        <v/>
      </c>
      <c r="E28" s="206" t="str" cm="1">
        <f t="array" ref="E28">IF(ROWS($B$28:$B28)&lt;=$J$28,INDEX('Foundation Walls'!K:K,_xlfn.AGGREGATE(15,3,('Foundation Walls'!$H$1:$H$332=1)/('Foundation Walls'!$H$1:$H$332=1)*ROW('Foundation Walls'!$H$1:$H$332),ROWS($B$28:$B28))),"")</f>
        <v/>
      </c>
      <c r="F28" s="206" t="str" cm="1">
        <f t="array" ref="F28">IF(ROWS($B$28:$B28)&lt;=$J$28,INDEX('Foundation Walls'!L:L,_xlfn.AGGREGATE(15,3,('Foundation Walls'!$H$1:$H$332=1)/('Foundation Walls'!$H$1:$H$332=1)*ROW('Foundation Walls'!$H$1:$H$332),ROWS($B$28:$B28))),"")</f>
        <v/>
      </c>
      <c r="G28" s="206" t="str" cm="1">
        <f t="array" ref="G28">IF(ROWS($B$28:$B28)&lt;=$J$28,INDEX('Foundation Walls'!M:M,_xlfn.AGGREGATE(15,3,('Foundation Walls'!$H$1:$H$332=1)/('Foundation Walls'!$H$1:$H$332=1)*ROW('Foundation Walls'!$H$1:$H$332),ROWS($B$28:$B28))),"")</f>
        <v/>
      </c>
      <c r="H28" s="206" t="str" cm="1">
        <f t="array" ref="H28">IFERROR(_xlfn.AGGREGATE(15,3,('Foundation Walls'!$H$1:$H$332=1)/('Foundation Walls'!$H$1:$H$332=1)*ROW('Foundation Walls'!$H$1:$H$332),ROWS($B$28:$B28)),"")</f>
        <v/>
      </c>
      <c r="I28" s="206" t="str" cm="1">
        <f t="array" ref="I28">IF(ROWS($B$28:$B28)&lt;=$J$28,ROUND(INDEX('Foundation Walls'!D:D,H28),1)  &amp; " " &amp; INDEX('Foundation Walls'!E:E,H28),"")</f>
        <v/>
      </c>
      <c r="J28" s="207">
        <f>COUNTIF('Foundation Walls'!$H$1:$H$623,1)</f>
        <v>0</v>
      </c>
      <c r="N28" s="1279" t="str">
        <f>VLOOKUP("Garage",Setting!$E$6:$H$33,4,FALSE)</f>
        <v>Garage</v>
      </c>
      <c r="O28" s="1280">
        <f>Garage!$O$4+SUMIF('User-Defined'!A1:A100,VLOOKUP("Garage",Setting!$E$6:$H$33,4,FALSE), 'User-Defined'!K1:K100)</f>
        <v>0</v>
      </c>
      <c r="R28" s="213">
        <v>25</v>
      </c>
      <c r="S28" s="210">
        <f t="shared" si="3"/>
        <v>0</v>
      </c>
      <c r="T28" s="210">
        <f t="shared" si="4"/>
        <v>0</v>
      </c>
      <c r="U28" s="210">
        <f t="shared" si="2"/>
        <v>0</v>
      </c>
      <c r="AC28" s="208">
        <v>25</v>
      </c>
      <c r="AD28" s="210">
        <f t="shared" si="5"/>
        <v>0</v>
      </c>
      <c r="AE28" s="210">
        <f t="shared" si="6"/>
        <v>0</v>
      </c>
      <c r="AF28" s="210">
        <f t="shared" si="6"/>
        <v>0</v>
      </c>
      <c r="AG28" s="210">
        <f t="shared" si="6"/>
        <v>0</v>
      </c>
      <c r="AH28" s="210">
        <f t="shared" si="6"/>
        <v>0</v>
      </c>
      <c r="AI28" s="210">
        <f t="shared" si="6"/>
        <v>0</v>
      </c>
    </row>
    <row r="29" spans="1:35" ht="30.15" customHeight="1" x14ac:dyDescent="0.25">
      <c r="A29" s="215" t="str">
        <f>VLOOKUP("Foundation Walls",Setting!$E$6:$H$33,4,FALSE)</f>
        <v>Foundation Walls</v>
      </c>
      <c r="B29" s="205" t="str" cm="1">
        <f t="array" ref="B29">IF(ROWS($B$28:$B29)&lt;=$J$28,INDEX('Foundation Walls'!$R:$R,_xlfn.AGGREGATE(15,3,('Foundation Walls'!$H$1:$H$332=1)/('Foundation Walls'!$H$1:$H$332=1)*ROW('Foundation Walls'!$H$1:$H$332),ROWS($B$28:$B29))),"")</f>
        <v/>
      </c>
      <c r="C29" s="205" t="str" cm="1">
        <f t="array" ref="C29">IF(ROWS($B$28:$B29)&lt;=$J$28,INDEX('Foundation Walls'!C:C,$H29) &amp; INDEX('Foundation Walls'!S:S,$H29),"")</f>
        <v/>
      </c>
      <c r="D29" s="206" t="str">
        <f t="shared" si="1"/>
        <v/>
      </c>
      <c r="E29" s="206" t="str" cm="1">
        <f t="array" ref="E29">IF(ROWS($B$28:$B29)&lt;=$J$28,INDEX('Foundation Walls'!K:K,_xlfn.AGGREGATE(15,3,('Foundation Walls'!$H$1:$H$332=1)/('Foundation Walls'!$H$1:$H$332=1)*ROW('Foundation Walls'!$H$1:$H$332),ROWS($B$28:$B29))),"")</f>
        <v/>
      </c>
      <c r="F29" s="206" t="str" cm="1">
        <f t="array" ref="F29">IF(ROWS($B$28:$B29)&lt;=$J$28,INDEX('Foundation Walls'!L:L,_xlfn.AGGREGATE(15,3,('Foundation Walls'!$H$1:$H$332=1)/('Foundation Walls'!$H$1:$H$332=1)*ROW('Foundation Walls'!$H$1:$H$332),ROWS($B$28:$B29))),"")</f>
        <v/>
      </c>
      <c r="G29" s="206" t="str" cm="1">
        <f t="array" ref="G29">IF(ROWS($B$28:$B29)&lt;=$J$28,INDEX('Foundation Walls'!M:M,_xlfn.AGGREGATE(15,3,('Foundation Walls'!$H$1:$H$332=1)/('Foundation Walls'!$H$1:$H$332=1)*ROW('Foundation Walls'!$H$1:$H$332),ROWS($B$28:$B29))),"")</f>
        <v/>
      </c>
      <c r="H29" s="206" t="str" cm="1">
        <f t="array" ref="H29">IFERROR(_xlfn.AGGREGATE(15,3,('Foundation Walls'!$H$1:$H$332=1)/('Foundation Walls'!$H$1:$H$332=1)*ROW('Foundation Walls'!$H$1:$H$332),ROWS($B$28:$B29)),"")</f>
        <v/>
      </c>
      <c r="I29" s="206" t="str" cm="1">
        <f t="array" ref="I29">IF(ROWS($B$28:$B29)&lt;=$J$28,ROUND(INDEX('Foundation Walls'!D:D,H29),1)  &amp; " " &amp; INDEX('Foundation Walls'!E:E,H29),"")</f>
        <v/>
      </c>
      <c r="N29" s="1279" t="str">
        <f>VLOOKUP("User-Defined",Setting!$E$6:$H$33,4,FALSE)</f>
        <v>User-Defined</v>
      </c>
      <c r="O29" s="1280">
        <f>'User-Defined'!P4</f>
        <v>0</v>
      </c>
      <c r="R29" s="213">
        <v>26</v>
      </c>
      <c r="S29" s="210">
        <f t="shared" si="3"/>
        <v>0</v>
      </c>
      <c r="T29" s="210">
        <f t="shared" si="4"/>
        <v>0</v>
      </c>
      <c r="U29" s="210">
        <f t="shared" si="2"/>
        <v>0</v>
      </c>
      <c r="AC29" s="208">
        <v>26</v>
      </c>
      <c r="AD29" s="210">
        <f t="shared" si="5"/>
        <v>0</v>
      </c>
      <c r="AE29" s="210">
        <f t="shared" si="6"/>
        <v>0</v>
      </c>
      <c r="AF29" s="210">
        <f t="shared" si="6"/>
        <v>0</v>
      </c>
      <c r="AG29" s="210">
        <f t="shared" si="6"/>
        <v>0</v>
      </c>
      <c r="AH29" s="210">
        <f t="shared" si="6"/>
        <v>0</v>
      </c>
      <c r="AI29" s="210">
        <f t="shared" si="6"/>
        <v>0</v>
      </c>
    </row>
    <row r="30" spans="1:35" ht="30.15" customHeight="1" x14ac:dyDescent="0.25">
      <c r="A30" s="215" t="str">
        <f>VLOOKUP("Foundation Walls",Setting!$E$6:$H$33,4,FALSE)</f>
        <v>Foundation Walls</v>
      </c>
      <c r="B30" s="205" t="str" cm="1">
        <f t="array" ref="B30">IF(ROWS($B$28:$B30)&lt;=$J$28,INDEX('Foundation Walls'!$R:$R,_xlfn.AGGREGATE(15,3,('Foundation Walls'!$H$1:$H$332=1)/('Foundation Walls'!$H$1:$H$332=1)*ROW('Foundation Walls'!$H$1:$H$332),ROWS($B$28:$B30))),"")</f>
        <v/>
      </c>
      <c r="C30" s="205" t="str" cm="1">
        <f t="array" ref="C30">IF(ROWS($B$28:$B30)&lt;=$J$28,INDEX('Foundation Walls'!C:C,$H30) &amp; INDEX('Foundation Walls'!S:S,$H30),"")</f>
        <v/>
      </c>
      <c r="D30" s="206" t="str">
        <f t="shared" si="1"/>
        <v/>
      </c>
      <c r="E30" s="206" t="str" cm="1">
        <f t="array" ref="E30">IF(ROWS($B$28:$B30)&lt;=$J$28,INDEX('Foundation Walls'!K:K,_xlfn.AGGREGATE(15,3,('Foundation Walls'!$H$1:$H$332=1)/('Foundation Walls'!$H$1:$H$332=1)*ROW('Foundation Walls'!$H$1:$H$332),ROWS($B$28:$B30))),"")</f>
        <v/>
      </c>
      <c r="F30" s="206" t="str" cm="1">
        <f t="array" ref="F30">IF(ROWS($B$28:$B30)&lt;=$J$28,INDEX('Foundation Walls'!L:L,_xlfn.AGGREGATE(15,3,('Foundation Walls'!$H$1:$H$332=1)/('Foundation Walls'!$H$1:$H$332=1)*ROW('Foundation Walls'!$H$1:$H$332),ROWS($B$28:$B30))),"")</f>
        <v/>
      </c>
      <c r="G30" s="206" t="str" cm="1">
        <f t="array" ref="G30">IF(ROWS($B$28:$B30)&lt;=$J$28,INDEX('Foundation Walls'!M:M,_xlfn.AGGREGATE(15,3,('Foundation Walls'!$H$1:$H$332=1)/('Foundation Walls'!$H$1:$H$332=1)*ROW('Foundation Walls'!$H$1:$H$332),ROWS($B$28:$B30))),"")</f>
        <v/>
      </c>
      <c r="H30" s="206" t="str" cm="1">
        <f t="array" ref="H30">IFERROR(_xlfn.AGGREGATE(15,3,('Foundation Walls'!$H$1:$H$332=1)/('Foundation Walls'!$H$1:$H$332=1)*ROW('Foundation Walls'!$H$1:$H$332),ROWS($B$28:$B30)),"")</f>
        <v/>
      </c>
      <c r="I30" s="206" t="str" cm="1">
        <f t="array" ref="I30">IF(ROWS($B$28:$B30)&lt;=$J$28,ROUND(INDEX('Foundation Walls'!D:D,H30),1)  &amp; " " &amp; INDEX('Foundation Walls'!E:E,H30),"")</f>
        <v/>
      </c>
      <c r="N30" s="1283" t="s">
        <v>1632</v>
      </c>
      <c r="O30" s="1284">
        <f>SUM(Summary[Embodied Carbon 
'[kg CO2e']])</f>
        <v>0</v>
      </c>
      <c r="R30" s="213">
        <v>27</v>
      </c>
      <c r="S30" s="210">
        <f t="shared" si="3"/>
        <v>0</v>
      </c>
      <c r="T30" s="210">
        <f t="shared" si="4"/>
        <v>0</v>
      </c>
      <c r="U30" s="210">
        <f t="shared" si="2"/>
        <v>0</v>
      </c>
      <c r="AC30" s="208">
        <v>27</v>
      </c>
      <c r="AD30" s="210">
        <f t="shared" si="5"/>
        <v>0</v>
      </c>
      <c r="AE30" s="210">
        <f t="shared" si="6"/>
        <v>0</v>
      </c>
      <c r="AF30" s="210">
        <f t="shared" si="6"/>
        <v>0</v>
      </c>
      <c r="AG30" s="210">
        <f t="shared" si="6"/>
        <v>0</v>
      </c>
      <c r="AH30" s="210">
        <f t="shared" si="6"/>
        <v>0</v>
      </c>
      <c r="AI30" s="210">
        <f t="shared" si="6"/>
        <v>0</v>
      </c>
    </row>
    <row r="31" spans="1:35" ht="30.15" customHeight="1" x14ac:dyDescent="0.25">
      <c r="A31" s="215" t="str">
        <f>VLOOKUP("Foundation Walls",Setting!$E$6:$H$33,4,FALSE)</f>
        <v>Foundation Walls</v>
      </c>
      <c r="B31" s="205" t="str" cm="1">
        <f t="array" ref="B31">IF(ROWS($B$28:$B31)&lt;=$J$28,INDEX('Foundation Walls'!$R:$R,_xlfn.AGGREGATE(15,3,('Foundation Walls'!$H$1:$H$332=1)/('Foundation Walls'!$H$1:$H$332=1)*ROW('Foundation Walls'!$H$1:$H$332),ROWS($B$28:$B31))),"")</f>
        <v/>
      </c>
      <c r="C31" s="205" t="str" cm="1">
        <f t="array" ref="C31">IF(ROWS($B$28:$B31)&lt;=$J$28,INDEX('Foundation Walls'!C:C,$H31) &amp; INDEX('Foundation Walls'!S:S,$H31),"")</f>
        <v/>
      </c>
      <c r="D31" s="206" t="str">
        <f t="shared" si="1"/>
        <v/>
      </c>
      <c r="E31" s="206" t="str" cm="1">
        <f t="array" ref="E31">IF(ROWS($B$28:$B31)&lt;=$J$28,INDEX('Foundation Walls'!K:K,_xlfn.AGGREGATE(15,3,('Foundation Walls'!$H$1:$H$332=1)/('Foundation Walls'!$H$1:$H$332=1)*ROW('Foundation Walls'!$H$1:$H$332),ROWS($B$28:$B31))),"")</f>
        <v/>
      </c>
      <c r="F31" s="206" t="str" cm="1">
        <f t="array" ref="F31">IF(ROWS($B$28:$B31)&lt;=$J$28,INDEX('Foundation Walls'!L:L,_xlfn.AGGREGATE(15,3,('Foundation Walls'!$H$1:$H$332=1)/('Foundation Walls'!$H$1:$H$332=1)*ROW('Foundation Walls'!$H$1:$H$332),ROWS($B$28:$B31))),"")</f>
        <v/>
      </c>
      <c r="G31" s="206" t="str" cm="1">
        <f t="array" ref="G31">IF(ROWS($B$28:$B31)&lt;=$J$28,INDEX('Foundation Walls'!M:M,_xlfn.AGGREGATE(15,3,('Foundation Walls'!$H$1:$H$332=1)/('Foundation Walls'!$H$1:$H$332=1)*ROW('Foundation Walls'!$H$1:$H$332),ROWS($B$28:$B31))),"")</f>
        <v/>
      </c>
      <c r="H31" s="206" t="str" cm="1">
        <f t="array" ref="H31">IFERROR(_xlfn.AGGREGATE(15,3,('Foundation Walls'!$H$1:$H$332=1)/('Foundation Walls'!$H$1:$H$332=1)*ROW('Foundation Walls'!$H$1:$H$332),ROWS($B$28:$B31)),"")</f>
        <v/>
      </c>
      <c r="I31" s="206" t="str" cm="1">
        <f t="array" ref="I31">IF(ROWS($B$28:$B31)&lt;=$J$28,ROUND(INDEX('Foundation Walls'!D:D,H31),1)  &amp; " " &amp; INDEX('Foundation Walls'!E:E,H31),"")</f>
        <v/>
      </c>
      <c r="R31" s="213">
        <v>28</v>
      </c>
      <c r="S31" s="210">
        <f t="shared" si="3"/>
        <v>0</v>
      </c>
      <c r="T31" s="210">
        <f t="shared" si="4"/>
        <v>0</v>
      </c>
      <c r="U31" s="210">
        <f t="shared" si="2"/>
        <v>0</v>
      </c>
      <c r="AC31" s="208">
        <v>28</v>
      </c>
      <c r="AD31" s="210">
        <f t="shared" si="5"/>
        <v>0</v>
      </c>
      <c r="AE31" s="210">
        <f t="shared" si="6"/>
        <v>0</v>
      </c>
      <c r="AF31" s="210">
        <f t="shared" si="6"/>
        <v>0</v>
      </c>
      <c r="AG31" s="210">
        <f t="shared" si="6"/>
        <v>0</v>
      </c>
      <c r="AH31" s="210">
        <f t="shared" si="6"/>
        <v>0</v>
      </c>
      <c r="AI31" s="210">
        <f t="shared" si="6"/>
        <v>0</v>
      </c>
    </row>
    <row r="32" spans="1:35" ht="30.15" customHeight="1" x14ac:dyDescent="0.25">
      <c r="A32" s="215" t="str">
        <f>VLOOKUP("Foundation Walls",Setting!$E$6:$H$33,4,FALSE)</f>
        <v>Foundation Walls</v>
      </c>
      <c r="B32" s="205" t="str" cm="1">
        <f t="array" ref="B32">IF(ROWS($B$28:$B32)&lt;=$J$28,INDEX('Foundation Walls'!$R:$R,_xlfn.AGGREGATE(15,3,('Foundation Walls'!$H$1:$H$332=1)/('Foundation Walls'!$H$1:$H$332=1)*ROW('Foundation Walls'!$H$1:$H$332),ROWS($B$28:$B32))),"")</f>
        <v/>
      </c>
      <c r="C32" s="205" t="str" cm="1">
        <f t="array" ref="C32">IF(ROWS($B$28:$B32)&lt;=$J$28,INDEX('Foundation Walls'!C:C,$H32) &amp; INDEX('Foundation Walls'!S:S,$H32),"")</f>
        <v/>
      </c>
      <c r="D32" s="206" t="str">
        <f t="shared" si="1"/>
        <v/>
      </c>
      <c r="E32" s="206" t="str" cm="1">
        <f t="array" ref="E32">IF(ROWS($B$28:$B32)&lt;=$J$28,INDEX('Foundation Walls'!K:K,_xlfn.AGGREGATE(15,3,('Foundation Walls'!$H$1:$H$332=1)/('Foundation Walls'!$H$1:$H$332=1)*ROW('Foundation Walls'!$H$1:$H$332),ROWS($B$28:$B32))),"")</f>
        <v/>
      </c>
      <c r="F32" s="206" t="str" cm="1">
        <f t="array" ref="F32">IF(ROWS($B$28:$B32)&lt;=$J$28,INDEX('Foundation Walls'!L:L,_xlfn.AGGREGATE(15,3,('Foundation Walls'!$H$1:$H$332=1)/('Foundation Walls'!$H$1:$H$332=1)*ROW('Foundation Walls'!$H$1:$H$332),ROWS($B$28:$B32))),"")</f>
        <v/>
      </c>
      <c r="G32" s="206" t="str" cm="1">
        <f t="array" ref="G32">IF(ROWS($B$28:$B32)&lt;=$J$28,INDEX('Foundation Walls'!M:M,_xlfn.AGGREGATE(15,3,('Foundation Walls'!$H$1:$H$332=1)/('Foundation Walls'!$H$1:$H$332=1)*ROW('Foundation Walls'!$H$1:$H$332),ROWS($B$28:$B32))),"")</f>
        <v/>
      </c>
      <c r="H32" s="206" t="str" cm="1">
        <f t="array" ref="H32">IFERROR(_xlfn.AGGREGATE(15,3,('Foundation Walls'!$H$1:$H$332=1)/('Foundation Walls'!$H$1:$H$332=1)*ROW('Foundation Walls'!$H$1:$H$332),ROWS($B$28:$B32)),"")</f>
        <v/>
      </c>
      <c r="I32" s="206" t="str" cm="1">
        <f t="array" ref="I32">IF(ROWS($B$28:$B32)&lt;=$J$28,ROUND(INDEX('Foundation Walls'!D:D,H32),1)  &amp; " " &amp; INDEX('Foundation Walls'!E:E,H32),"")</f>
        <v/>
      </c>
      <c r="R32" s="213">
        <v>29</v>
      </c>
      <c r="S32" s="210">
        <f t="shared" si="3"/>
        <v>0</v>
      </c>
      <c r="T32" s="210">
        <f t="shared" si="4"/>
        <v>0</v>
      </c>
      <c r="U32" s="210">
        <f t="shared" si="2"/>
        <v>0</v>
      </c>
      <c r="AC32" s="208">
        <v>29</v>
      </c>
      <c r="AD32" s="210">
        <f t="shared" si="5"/>
        <v>0</v>
      </c>
      <c r="AE32" s="210">
        <f t="shared" si="6"/>
        <v>0</v>
      </c>
      <c r="AF32" s="210">
        <f t="shared" si="6"/>
        <v>0</v>
      </c>
      <c r="AG32" s="210">
        <f t="shared" si="6"/>
        <v>0</v>
      </c>
      <c r="AH32" s="210">
        <f t="shared" si="6"/>
        <v>0</v>
      </c>
      <c r="AI32" s="210">
        <f t="shared" si="6"/>
        <v>0</v>
      </c>
    </row>
    <row r="33" spans="1:35" ht="30.15" customHeight="1" x14ac:dyDescent="0.25">
      <c r="A33" s="215" t="str">
        <f>VLOOKUP("Foundation Walls",Setting!$E$6:$H$33,4,FALSE)</f>
        <v>Foundation Walls</v>
      </c>
      <c r="B33" s="205" t="str" cm="1">
        <f t="array" ref="B33">IF(ROWS($B$28:$B33)&lt;=$J$28,INDEX('Foundation Walls'!$R:$R,_xlfn.AGGREGATE(15,3,('Foundation Walls'!$H$1:$H$332=1)/('Foundation Walls'!$H$1:$H$332=1)*ROW('Foundation Walls'!$H$1:$H$332),ROWS($B$28:$B33))),"")</f>
        <v/>
      </c>
      <c r="C33" s="205" t="str" cm="1">
        <f t="array" ref="C33">IF(ROWS($B$28:$B33)&lt;=$J$28,INDEX('Foundation Walls'!C:C,$H33) &amp; INDEX('Foundation Walls'!S:S,$H33),"")</f>
        <v/>
      </c>
      <c r="D33" s="206" t="str">
        <f t="shared" si="1"/>
        <v/>
      </c>
      <c r="E33" s="206" t="str" cm="1">
        <f t="array" ref="E33">IF(ROWS($B$28:$B33)&lt;=$J$28,INDEX('Foundation Walls'!K:K,_xlfn.AGGREGATE(15,3,('Foundation Walls'!$H$1:$H$332=1)/('Foundation Walls'!$H$1:$H$332=1)*ROW('Foundation Walls'!$H$1:$H$332),ROWS($B$28:$B33))),"")</f>
        <v/>
      </c>
      <c r="F33" s="206" t="str" cm="1">
        <f t="array" ref="F33">IF(ROWS($B$28:$B33)&lt;=$J$28,INDEX('Foundation Walls'!L:L,_xlfn.AGGREGATE(15,3,('Foundation Walls'!$H$1:$H$332=1)/('Foundation Walls'!$H$1:$H$332=1)*ROW('Foundation Walls'!$H$1:$H$332),ROWS($B$28:$B33))),"")</f>
        <v/>
      </c>
      <c r="G33" s="206" t="str" cm="1">
        <f t="array" ref="G33">IF(ROWS($B$28:$B33)&lt;=$J$28,INDEX('Foundation Walls'!M:M,_xlfn.AGGREGATE(15,3,('Foundation Walls'!$H$1:$H$332=1)/('Foundation Walls'!$H$1:$H$332=1)*ROW('Foundation Walls'!$H$1:$H$332),ROWS($B$28:$B33))),"")</f>
        <v/>
      </c>
      <c r="H33" s="206" t="str" cm="1">
        <f t="array" ref="H33">IFERROR(_xlfn.AGGREGATE(15,3,('Foundation Walls'!$H$1:$H$332=1)/('Foundation Walls'!$H$1:$H$332=1)*ROW('Foundation Walls'!$H$1:$H$332),ROWS($B$28:$B33)),"")</f>
        <v/>
      </c>
      <c r="I33" s="206" t="str" cm="1">
        <f t="array" ref="I33">IF(ROWS($B$28:$B33)&lt;=$J$28,ROUND(INDEX('Foundation Walls'!D:D,H33),1)  &amp; " " &amp; INDEX('Foundation Walls'!E:E,H33),"")</f>
        <v/>
      </c>
      <c r="R33" s="213">
        <v>30</v>
      </c>
      <c r="S33" s="210">
        <f t="shared" si="3"/>
        <v>0</v>
      </c>
      <c r="T33" s="210">
        <f t="shared" si="4"/>
        <v>0</v>
      </c>
      <c r="U33" s="210">
        <f t="shared" si="2"/>
        <v>0</v>
      </c>
      <c r="AC33" s="208">
        <v>30</v>
      </c>
      <c r="AD33" s="210">
        <f t="shared" si="5"/>
        <v>0</v>
      </c>
      <c r="AE33" s="210">
        <f t="shared" si="6"/>
        <v>0</v>
      </c>
      <c r="AF33" s="210">
        <f t="shared" si="6"/>
        <v>0</v>
      </c>
      <c r="AG33" s="210">
        <f t="shared" si="6"/>
        <v>0</v>
      </c>
      <c r="AH33" s="210">
        <f t="shared" si="6"/>
        <v>0</v>
      </c>
      <c r="AI33" s="210">
        <f t="shared" si="6"/>
        <v>0</v>
      </c>
    </row>
    <row r="34" spans="1:35" ht="30.15" customHeight="1" x14ac:dyDescent="0.25">
      <c r="A34" s="215" t="str">
        <f>VLOOKUP("Foundation Walls",Setting!$E$6:$H$33,4,FALSE)</f>
        <v>Foundation Walls</v>
      </c>
      <c r="B34" s="205" t="str" cm="1">
        <f t="array" ref="B34">IF(ROWS($B$28:$B34)&lt;=$J$28,INDEX('Foundation Walls'!$R:$R,_xlfn.AGGREGATE(15,3,('Foundation Walls'!$H$1:$H$332=1)/('Foundation Walls'!$H$1:$H$332=1)*ROW('Foundation Walls'!$H$1:$H$332),ROWS($B$28:$B34))),"")</f>
        <v/>
      </c>
      <c r="C34" s="205" t="str" cm="1">
        <f t="array" ref="C34">IF(ROWS($B$28:$B34)&lt;=$J$28,INDEX('Foundation Walls'!C:C,$H34) &amp; INDEX('Foundation Walls'!S:S,$H34),"")</f>
        <v/>
      </c>
      <c r="D34" s="206" t="str">
        <f t="shared" si="1"/>
        <v/>
      </c>
      <c r="E34" s="206" t="str" cm="1">
        <f t="array" ref="E34">IF(ROWS($B$28:$B34)&lt;=$J$28,INDEX('Foundation Walls'!K:K,_xlfn.AGGREGATE(15,3,('Foundation Walls'!$H$1:$H$332=1)/('Foundation Walls'!$H$1:$H$332=1)*ROW('Foundation Walls'!$H$1:$H$332),ROWS($B$28:$B34))),"")</f>
        <v/>
      </c>
      <c r="F34" s="206" t="str" cm="1">
        <f t="array" ref="F34">IF(ROWS($B$28:$B34)&lt;=$J$28,INDEX('Foundation Walls'!L:L,_xlfn.AGGREGATE(15,3,('Foundation Walls'!$H$1:$H$332=1)/('Foundation Walls'!$H$1:$H$332=1)*ROW('Foundation Walls'!$H$1:$H$332),ROWS($B$28:$B34))),"")</f>
        <v/>
      </c>
      <c r="G34" s="206" t="str" cm="1">
        <f t="array" ref="G34">IF(ROWS($B$28:$B34)&lt;=$J$28,INDEX('Foundation Walls'!M:M,_xlfn.AGGREGATE(15,3,('Foundation Walls'!$H$1:$H$332=1)/('Foundation Walls'!$H$1:$H$332=1)*ROW('Foundation Walls'!$H$1:$H$332),ROWS($B$28:$B34))),"")</f>
        <v/>
      </c>
      <c r="H34" s="206" t="str" cm="1">
        <f t="array" ref="H34">IFERROR(_xlfn.AGGREGATE(15,3,('Foundation Walls'!$H$1:$H$332=1)/('Foundation Walls'!$H$1:$H$332=1)*ROW('Foundation Walls'!$H$1:$H$332),ROWS($B$28:$B34)),"")</f>
        <v/>
      </c>
      <c r="I34" s="206" t="str" cm="1">
        <f t="array" ref="I34">IF(ROWS($B$28:$B34)&lt;=$J$28,ROUND(INDEX('Foundation Walls'!D:D,H34),1)  &amp; " " &amp; INDEX('Foundation Walls'!E:E,H34),"")</f>
        <v/>
      </c>
    </row>
    <row r="35" spans="1:35" ht="30.15" customHeight="1" x14ac:dyDescent="0.25">
      <c r="A35" s="215" t="str">
        <f>VLOOKUP("Foundation Walls",Setting!$E$6:$H$33,4,FALSE)</f>
        <v>Foundation Walls</v>
      </c>
      <c r="B35" s="205" t="str" cm="1">
        <f t="array" ref="B35">IF(ROWS($B$28:$B35)&lt;=$J$28,INDEX('Foundation Walls'!$R:$R,_xlfn.AGGREGATE(15,3,('Foundation Walls'!$H$1:$H$332=1)/('Foundation Walls'!$H$1:$H$332=1)*ROW('Foundation Walls'!$H$1:$H$332),ROWS($B$28:$B35))),"")</f>
        <v/>
      </c>
      <c r="C35" s="205" t="str" cm="1">
        <f t="array" ref="C35">IF(ROWS($B$28:$B35)&lt;=$J$28,INDEX('Foundation Walls'!C:C,$H35) &amp; INDEX('Foundation Walls'!S:S,$H35),"")</f>
        <v/>
      </c>
      <c r="D35" s="206" t="str">
        <f t="shared" si="1"/>
        <v/>
      </c>
      <c r="E35" s="206" t="str" cm="1">
        <f t="array" ref="E35">IF(ROWS($B$28:$B35)&lt;=$J$28,INDEX('Foundation Walls'!K:K,_xlfn.AGGREGATE(15,3,('Foundation Walls'!$H$1:$H$332=1)/('Foundation Walls'!$H$1:$H$332=1)*ROW('Foundation Walls'!$H$1:$H$332),ROWS($B$28:$B35))),"")</f>
        <v/>
      </c>
      <c r="F35" s="206" t="str" cm="1">
        <f t="array" ref="F35">IF(ROWS($B$28:$B35)&lt;=$J$28,INDEX('Foundation Walls'!L:L,_xlfn.AGGREGATE(15,3,('Foundation Walls'!$H$1:$H$332=1)/('Foundation Walls'!$H$1:$H$332=1)*ROW('Foundation Walls'!$H$1:$H$332),ROWS($B$28:$B35))),"")</f>
        <v/>
      </c>
      <c r="G35" s="206" t="str" cm="1">
        <f t="array" ref="G35">IF(ROWS($B$28:$B35)&lt;=$J$28,INDEX('Foundation Walls'!M:M,_xlfn.AGGREGATE(15,3,('Foundation Walls'!$H$1:$H$332=1)/('Foundation Walls'!$H$1:$H$332=1)*ROW('Foundation Walls'!$H$1:$H$332),ROWS($B$28:$B35))),"")</f>
        <v/>
      </c>
      <c r="H35" s="206" t="str" cm="1">
        <f t="array" ref="H35">IFERROR(_xlfn.AGGREGATE(15,3,('Foundation Walls'!$H$1:$H$332=1)/('Foundation Walls'!$H$1:$H$332=1)*ROW('Foundation Walls'!$H$1:$H$332),ROWS($B$28:$B35)),"")</f>
        <v/>
      </c>
      <c r="I35" s="206" t="str" cm="1">
        <f t="array" ref="I35">IF(ROWS($B$28:$B35)&lt;=$J$28,ROUND(INDEX('Foundation Walls'!D:D,H35),1)  &amp; " " &amp; INDEX('Foundation Walls'!E:E,H35),"")</f>
        <v/>
      </c>
    </row>
    <row r="36" spans="1:35" ht="30.15" customHeight="1" x14ac:dyDescent="0.25">
      <c r="A36" s="215" t="str">
        <f>VLOOKUP("Foundation Walls",Setting!$E$6:$H$33,4,FALSE)</f>
        <v>Foundation Walls</v>
      </c>
      <c r="B36" s="205" t="str" cm="1">
        <f t="array" ref="B36">IF(ROWS($B$28:$B36)&lt;=$J$28,INDEX('Foundation Walls'!$R:$R,_xlfn.AGGREGATE(15,3,('Foundation Walls'!$H$1:$H$332=1)/('Foundation Walls'!$H$1:$H$332=1)*ROW('Foundation Walls'!$H$1:$H$332),ROWS($B$28:$B36))),"")</f>
        <v/>
      </c>
      <c r="C36" s="205" t="str" cm="1">
        <f t="array" ref="C36">IF(ROWS($B$28:$B36)&lt;=$J$28,INDEX('Foundation Walls'!C:C,$H36) &amp; INDEX('Foundation Walls'!S:S,$H36),"")</f>
        <v/>
      </c>
      <c r="D36" s="206" t="str">
        <f t="shared" si="1"/>
        <v/>
      </c>
      <c r="E36" s="206" t="str" cm="1">
        <f t="array" ref="E36">IF(ROWS($B$28:$B36)&lt;=$J$28,INDEX('Foundation Walls'!K:K,_xlfn.AGGREGATE(15,3,('Foundation Walls'!$H$1:$H$332=1)/('Foundation Walls'!$H$1:$H$332=1)*ROW('Foundation Walls'!$H$1:$H$332),ROWS($B$28:$B36))),"")</f>
        <v/>
      </c>
      <c r="F36" s="206" t="str" cm="1">
        <f t="array" ref="F36">IF(ROWS($B$28:$B36)&lt;=$J$28,INDEX('Foundation Walls'!L:L,_xlfn.AGGREGATE(15,3,('Foundation Walls'!$H$1:$H$332=1)/('Foundation Walls'!$H$1:$H$332=1)*ROW('Foundation Walls'!$H$1:$H$332),ROWS($B$28:$B36))),"")</f>
        <v/>
      </c>
      <c r="G36" s="206" t="str" cm="1">
        <f t="array" ref="G36">IF(ROWS($B$28:$B36)&lt;=$J$28,INDEX('Foundation Walls'!M:M,_xlfn.AGGREGATE(15,3,('Foundation Walls'!$H$1:$H$332=1)/('Foundation Walls'!$H$1:$H$332=1)*ROW('Foundation Walls'!$H$1:$H$332),ROWS($B$28:$B36))),"")</f>
        <v/>
      </c>
      <c r="H36" s="206" t="str" cm="1">
        <f t="array" ref="H36">IFERROR(_xlfn.AGGREGATE(15,3,('Foundation Walls'!$H$1:$H$332=1)/('Foundation Walls'!$H$1:$H$332=1)*ROW('Foundation Walls'!$H$1:$H$332),ROWS($B$28:$B36)),"")</f>
        <v/>
      </c>
      <c r="I36" s="206" t="str" cm="1">
        <f t="array" ref="I36">IF(ROWS($B$28:$B36)&lt;=$J$28,ROUND(INDEX('Foundation Walls'!D:D,H36),1)  &amp; " " &amp; INDEX('Foundation Walls'!E:E,H36),"")</f>
        <v/>
      </c>
    </row>
    <row r="37" spans="1:35" ht="30.15" customHeight="1" x14ac:dyDescent="0.25">
      <c r="A37" s="215" t="str">
        <f>VLOOKUP("Foundation Walls",Setting!$E$6:$H$33,4,FALSE)</f>
        <v>Foundation Walls</v>
      </c>
      <c r="B37" s="205" t="str" cm="1">
        <f t="array" ref="B37">IF(ROWS($B$28:$B37)&lt;=$J$28,INDEX('Foundation Walls'!$R:$R,_xlfn.AGGREGATE(15,3,('Foundation Walls'!$H$1:$H$332=1)/('Foundation Walls'!$H$1:$H$332=1)*ROW('Foundation Walls'!$H$1:$H$332),ROWS($B$28:$B37))),"")</f>
        <v/>
      </c>
      <c r="C37" s="205" t="str" cm="1">
        <f t="array" ref="C37">IF(ROWS($B$28:$B37)&lt;=$J$28,INDEX('Foundation Walls'!C:C,$H37) &amp; INDEX('Foundation Walls'!S:S,$H37),"")</f>
        <v/>
      </c>
      <c r="D37" s="206" t="str">
        <f t="shared" si="1"/>
        <v/>
      </c>
      <c r="E37" s="206" t="str" cm="1">
        <f t="array" ref="E37">IF(ROWS($B$28:$B37)&lt;=$J$28,INDEX('Foundation Walls'!K:K,_xlfn.AGGREGATE(15,3,('Foundation Walls'!$H$1:$H$332=1)/('Foundation Walls'!$H$1:$H$332=1)*ROW('Foundation Walls'!$H$1:$H$332),ROWS($B$28:$B37))),"")</f>
        <v/>
      </c>
      <c r="F37" s="206" t="str" cm="1">
        <f t="array" ref="F37">IF(ROWS($B$28:$B37)&lt;=$J$28,INDEX('Foundation Walls'!L:L,_xlfn.AGGREGATE(15,3,('Foundation Walls'!$H$1:$H$332=1)/('Foundation Walls'!$H$1:$H$332=1)*ROW('Foundation Walls'!$H$1:$H$332),ROWS($B$28:$B37))),"")</f>
        <v/>
      </c>
      <c r="G37" s="206" t="str" cm="1">
        <f t="array" ref="G37">IF(ROWS($B$28:$B37)&lt;=$J$28,INDEX('Foundation Walls'!M:M,_xlfn.AGGREGATE(15,3,('Foundation Walls'!$H$1:$H$332=1)/('Foundation Walls'!$H$1:$H$332=1)*ROW('Foundation Walls'!$H$1:$H$332),ROWS($B$28:$B37))),"")</f>
        <v/>
      </c>
      <c r="H37" s="206" t="str" cm="1">
        <f t="array" ref="H37">IFERROR(_xlfn.AGGREGATE(15,3,('Foundation Walls'!$H$1:$H$332=1)/('Foundation Walls'!$H$1:$H$332=1)*ROW('Foundation Walls'!$H$1:$H$332),ROWS($B$28:$B37)),"")</f>
        <v/>
      </c>
      <c r="I37" s="206" t="str" cm="1">
        <f t="array" ref="I37">IF(ROWS($B$28:$B37)&lt;=$J$28,ROUND(INDEX('Foundation Walls'!D:D,H37),1)  &amp; " " &amp; INDEX('Foundation Walls'!E:E,H37),"")</f>
        <v/>
      </c>
    </row>
    <row r="38" spans="1:35" ht="30.15" customHeight="1" x14ac:dyDescent="0.25">
      <c r="A38" s="215" t="str">
        <f>VLOOKUP("Foundation Walls",Setting!$E$6:$H$33,4,FALSE)</f>
        <v>Foundation Walls</v>
      </c>
      <c r="B38" s="205" t="str" cm="1">
        <f t="array" ref="B38">IF(ROWS($B$28:$B38)&lt;=$J$28,INDEX('Foundation Walls'!$R:$R,_xlfn.AGGREGATE(15,3,('Foundation Walls'!$H$1:$H$332=1)/('Foundation Walls'!$H$1:$H$332=1)*ROW('Foundation Walls'!$H$1:$H$332),ROWS($B$28:$B38))),"")</f>
        <v/>
      </c>
      <c r="C38" s="205" t="str" cm="1">
        <f t="array" ref="C38">IF(ROWS($B$28:$B38)&lt;=$J$28,INDEX('Foundation Walls'!C:C,$H38) &amp; INDEX('Foundation Walls'!S:S,$H38),"")</f>
        <v/>
      </c>
      <c r="D38" s="206" t="str">
        <f t="shared" si="1"/>
        <v/>
      </c>
      <c r="E38" s="206" t="str" cm="1">
        <f t="array" ref="E38">IF(ROWS($B$28:$B38)&lt;=$J$28,INDEX('Foundation Walls'!K:K,_xlfn.AGGREGATE(15,3,('Foundation Walls'!$H$1:$H$332=1)/('Foundation Walls'!$H$1:$H$332=1)*ROW('Foundation Walls'!$H$1:$H$332),ROWS($B$28:$B38))),"")</f>
        <v/>
      </c>
      <c r="F38" s="206" t="str" cm="1">
        <f t="array" ref="F38">IF(ROWS($B$28:$B38)&lt;=$J$28,INDEX('Foundation Walls'!L:L,_xlfn.AGGREGATE(15,3,('Foundation Walls'!$H$1:$H$332=1)/('Foundation Walls'!$H$1:$H$332=1)*ROW('Foundation Walls'!$H$1:$H$332),ROWS($B$28:$B38))),"")</f>
        <v/>
      </c>
      <c r="G38" s="206" t="str" cm="1">
        <f t="array" ref="G38">IF(ROWS($B$28:$B38)&lt;=$J$28,INDEX('Foundation Walls'!M:M,_xlfn.AGGREGATE(15,3,('Foundation Walls'!$H$1:$H$332=1)/('Foundation Walls'!$H$1:$H$332=1)*ROW('Foundation Walls'!$H$1:$H$332),ROWS($B$28:$B38))),"")</f>
        <v/>
      </c>
      <c r="H38" s="206" t="str" cm="1">
        <f t="array" ref="H38">IFERROR(_xlfn.AGGREGATE(15,3,('Foundation Walls'!$H$1:$H$332=1)/('Foundation Walls'!$H$1:$H$332=1)*ROW('Foundation Walls'!$H$1:$H$332),ROWS($B$28:$B38)),"")</f>
        <v/>
      </c>
      <c r="I38" s="206" t="str" cm="1">
        <f t="array" ref="I38">IF(ROWS($B$28:$B38)&lt;=$J$28,ROUND(INDEX('Foundation Walls'!D:D,H38),1)  &amp; " " &amp; INDEX('Foundation Walls'!E:E,H38),"")</f>
        <v/>
      </c>
    </row>
    <row r="39" spans="1:35" ht="30.15" customHeight="1" x14ac:dyDescent="0.25">
      <c r="A39" s="215" t="str">
        <f>VLOOKUP("Foundation Walls",Setting!$E$6:$H$33,4,FALSE)</f>
        <v>Foundation Walls</v>
      </c>
      <c r="B39" s="205" t="str" cm="1">
        <f t="array" ref="B39">IF(ROWS($B$28:$B39)&lt;=$J$28,INDEX('Foundation Walls'!$R:$R,_xlfn.AGGREGATE(15,3,('Foundation Walls'!$H$1:$H$332=1)/('Foundation Walls'!$H$1:$H$332=1)*ROW('Foundation Walls'!$H$1:$H$332),ROWS($B$28:$B39))),"")</f>
        <v/>
      </c>
      <c r="C39" s="205" t="str" cm="1">
        <f t="array" ref="C39">IF(ROWS($B$28:$B39)&lt;=$J$28,INDEX('Foundation Walls'!C:C,$H39) &amp; INDEX('Foundation Walls'!S:S,$H39),"")</f>
        <v/>
      </c>
      <c r="D39" s="206" t="str">
        <f t="shared" si="1"/>
        <v/>
      </c>
      <c r="E39" s="206" t="str" cm="1">
        <f t="array" ref="E39">IF(ROWS($B$28:$B39)&lt;=$J$28,INDEX('Foundation Walls'!K:K,_xlfn.AGGREGATE(15,3,('Foundation Walls'!$H$1:$H$332=1)/('Foundation Walls'!$H$1:$H$332=1)*ROW('Foundation Walls'!$H$1:$H$332),ROWS($B$28:$B39))),"")</f>
        <v/>
      </c>
      <c r="F39" s="206" t="str" cm="1">
        <f t="array" ref="F39">IF(ROWS($B$28:$B39)&lt;=$J$28,INDEX('Foundation Walls'!L:L,_xlfn.AGGREGATE(15,3,('Foundation Walls'!$H$1:$H$332=1)/('Foundation Walls'!$H$1:$H$332=1)*ROW('Foundation Walls'!$H$1:$H$332),ROWS($B$28:$B39))),"")</f>
        <v/>
      </c>
      <c r="G39" s="206" t="str" cm="1">
        <f t="array" ref="G39">IF(ROWS($B$28:$B39)&lt;=$J$28,INDEX('Foundation Walls'!M:M,_xlfn.AGGREGATE(15,3,('Foundation Walls'!$H$1:$H$332=1)/('Foundation Walls'!$H$1:$H$332=1)*ROW('Foundation Walls'!$H$1:$H$332),ROWS($B$28:$B39))),"")</f>
        <v/>
      </c>
      <c r="H39" s="206" t="str" cm="1">
        <f t="array" ref="H39">IFERROR(_xlfn.AGGREGATE(15,3,('Foundation Walls'!$H$1:$H$332=1)/('Foundation Walls'!$H$1:$H$332=1)*ROW('Foundation Walls'!$H$1:$H$332),ROWS($B$28:$B39)),"")</f>
        <v/>
      </c>
      <c r="I39" s="206" t="str" cm="1">
        <f t="array" ref="I39">IF(ROWS($B$28:$B39)&lt;=$J$28,ROUND(INDEX('Foundation Walls'!D:D,H39),1)  &amp; " " &amp; INDEX('Foundation Walls'!E:E,H39),"")</f>
        <v/>
      </c>
    </row>
    <row r="40" spans="1:35" ht="30.15" customHeight="1" x14ac:dyDescent="0.25">
      <c r="A40" s="215" t="str">
        <f>VLOOKUP("Foundation Walls",Setting!$E$6:$H$33,4,FALSE)</f>
        <v>Foundation Walls</v>
      </c>
      <c r="B40" s="205" t="str" cm="1">
        <f t="array" ref="B40">IF(ROWS($B$28:$B40)&lt;=$J$28,INDEX('Foundation Walls'!$R:$R,_xlfn.AGGREGATE(15,3,('Foundation Walls'!$H$1:$H$332=1)/('Foundation Walls'!$H$1:$H$332=1)*ROW('Foundation Walls'!$H$1:$H$332),ROWS($B$28:$B40))),"")</f>
        <v/>
      </c>
      <c r="C40" s="205" t="str" cm="1">
        <f t="array" ref="C40">IF(ROWS($B$28:$B40)&lt;=$J$28,INDEX('Foundation Walls'!C:C,$H40) &amp; INDEX('Foundation Walls'!S:S,$H40),"")</f>
        <v/>
      </c>
      <c r="D40" s="206" t="str">
        <f t="shared" si="1"/>
        <v/>
      </c>
      <c r="E40" s="206" t="str" cm="1">
        <f t="array" ref="E40">IF(ROWS($B$28:$B40)&lt;=$J$28,INDEX('Foundation Walls'!K:K,_xlfn.AGGREGATE(15,3,('Foundation Walls'!$H$1:$H$332=1)/('Foundation Walls'!$H$1:$H$332=1)*ROW('Foundation Walls'!$H$1:$H$332),ROWS($B$28:$B40))),"")</f>
        <v/>
      </c>
      <c r="F40" s="206" t="str" cm="1">
        <f t="array" ref="F40">IF(ROWS($B$28:$B40)&lt;=$J$28,INDEX('Foundation Walls'!L:L,_xlfn.AGGREGATE(15,3,('Foundation Walls'!$H$1:$H$332=1)/('Foundation Walls'!$H$1:$H$332=1)*ROW('Foundation Walls'!$H$1:$H$332),ROWS($B$28:$B40))),"")</f>
        <v/>
      </c>
      <c r="G40" s="206" t="str" cm="1">
        <f t="array" ref="G40">IF(ROWS($B$28:$B40)&lt;=$J$28,INDEX('Foundation Walls'!M:M,_xlfn.AGGREGATE(15,3,('Foundation Walls'!$H$1:$H$332=1)/('Foundation Walls'!$H$1:$H$332=1)*ROW('Foundation Walls'!$H$1:$H$332),ROWS($B$28:$B40))),"")</f>
        <v/>
      </c>
      <c r="H40" s="206" t="str" cm="1">
        <f t="array" ref="H40">IFERROR(_xlfn.AGGREGATE(15,3,('Foundation Walls'!$H$1:$H$332=1)/('Foundation Walls'!$H$1:$H$332=1)*ROW('Foundation Walls'!$H$1:$H$332),ROWS($B$28:$B40)),"")</f>
        <v/>
      </c>
      <c r="I40" s="206" t="str" cm="1">
        <f t="array" ref="I40">IF(ROWS($B$28:$B40)&lt;=$J$28,ROUND(INDEX('Foundation Walls'!D:D,H40),1)  &amp; " " &amp; INDEX('Foundation Walls'!E:E,H40),"")</f>
        <v/>
      </c>
    </row>
    <row r="41" spans="1:35" ht="30.15" customHeight="1" x14ac:dyDescent="0.25">
      <c r="A41" s="215" t="str">
        <f>VLOOKUP("Foundation Walls",Setting!$E$6:$H$33,4,FALSE)</f>
        <v>Foundation Walls</v>
      </c>
      <c r="B41" s="205" t="str" cm="1">
        <f t="array" ref="B41">IF(ROWS($B$28:$B41)&lt;=$J$28,INDEX('Foundation Walls'!$R:$R,_xlfn.AGGREGATE(15,3,('Foundation Walls'!$H$1:$H$332=1)/('Foundation Walls'!$H$1:$H$332=1)*ROW('Foundation Walls'!$H$1:$H$332),ROWS($B$28:$B41))),"")</f>
        <v/>
      </c>
      <c r="C41" s="205" t="str" cm="1">
        <f t="array" ref="C41">IF(ROWS($B$28:$B41)&lt;=$J$28,INDEX('Foundation Walls'!C:C,$H41) &amp; INDEX('Foundation Walls'!S:S,$H41),"")</f>
        <v/>
      </c>
      <c r="D41" s="206" t="str">
        <f t="shared" si="1"/>
        <v/>
      </c>
      <c r="E41" s="206" t="str" cm="1">
        <f t="array" ref="E41">IF(ROWS($B$28:$B41)&lt;=$J$28,INDEX('Foundation Walls'!K:K,_xlfn.AGGREGATE(15,3,('Foundation Walls'!$H$1:$H$332=1)/('Foundation Walls'!$H$1:$H$332=1)*ROW('Foundation Walls'!$H$1:$H$332),ROWS($B$28:$B41))),"")</f>
        <v/>
      </c>
      <c r="F41" s="206" t="str" cm="1">
        <f t="array" ref="F41">IF(ROWS($B$28:$B41)&lt;=$J$28,INDEX('Foundation Walls'!L:L,_xlfn.AGGREGATE(15,3,('Foundation Walls'!$H$1:$H$332=1)/('Foundation Walls'!$H$1:$H$332=1)*ROW('Foundation Walls'!$H$1:$H$332),ROWS($B$28:$B41))),"")</f>
        <v/>
      </c>
      <c r="G41" s="206" t="str" cm="1">
        <f t="array" ref="G41">IF(ROWS($B$28:$B41)&lt;=$J$28,INDEX('Foundation Walls'!M:M,_xlfn.AGGREGATE(15,3,('Foundation Walls'!$H$1:$H$332=1)/('Foundation Walls'!$H$1:$H$332=1)*ROW('Foundation Walls'!$H$1:$H$332),ROWS($B$28:$B41))),"")</f>
        <v/>
      </c>
      <c r="H41" s="206" t="str" cm="1">
        <f t="array" ref="H41">IFERROR(_xlfn.AGGREGATE(15,3,('Foundation Walls'!$H$1:$H$332=1)/('Foundation Walls'!$H$1:$H$332=1)*ROW('Foundation Walls'!$H$1:$H$332),ROWS($B$28:$B41)),"")</f>
        <v/>
      </c>
      <c r="I41" s="206" t="str" cm="1">
        <f t="array" ref="I41">IF(ROWS($B$28:$B41)&lt;=$J$28,ROUND(INDEX('Foundation Walls'!D:D,H41),1)  &amp; " " &amp; INDEX('Foundation Walls'!E:E,H41),"")</f>
        <v/>
      </c>
    </row>
    <row r="42" spans="1:35" ht="30.15" customHeight="1" x14ac:dyDescent="0.25">
      <c r="A42" s="215" t="str">
        <f>VLOOKUP("Foundation Walls",Setting!$E$6:$H$33,4,FALSE)</f>
        <v>Foundation Walls</v>
      </c>
      <c r="B42" s="205" t="str" cm="1">
        <f t="array" ref="B42">IF(ROWS($B$28:$B42)&lt;=$J$28,INDEX('Foundation Walls'!$R:$R,_xlfn.AGGREGATE(15,3,('Foundation Walls'!$H$1:$H$332=1)/('Foundation Walls'!$H$1:$H$332=1)*ROW('Foundation Walls'!$H$1:$H$332),ROWS($B$28:$B42))),"")</f>
        <v/>
      </c>
      <c r="C42" s="205" t="str" cm="1">
        <f t="array" ref="C42">IF(ROWS($B$28:$B42)&lt;=$J$28,INDEX('Foundation Walls'!C:C,$H42) &amp; INDEX('Foundation Walls'!S:S,$H42),"")</f>
        <v/>
      </c>
      <c r="D42" s="206" t="str">
        <f t="shared" si="1"/>
        <v/>
      </c>
      <c r="E42" s="206" t="str" cm="1">
        <f t="array" ref="E42">IF(ROWS($B$28:$B42)&lt;=$J$28,INDEX('Foundation Walls'!K:K,_xlfn.AGGREGATE(15,3,('Foundation Walls'!$H$1:$H$332=1)/('Foundation Walls'!$H$1:$H$332=1)*ROW('Foundation Walls'!$H$1:$H$332),ROWS($B$28:$B42))),"")</f>
        <v/>
      </c>
      <c r="F42" s="206" t="str" cm="1">
        <f t="array" ref="F42">IF(ROWS($B$28:$B42)&lt;=$J$28,INDEX('Foundation Walls'!L:L,_xlfn.AGGREGATE(15,3,('Foundation Walls'!$H$1:$H$332=1)/('Foundation Walls'!$H$1:$H$332=1)*ROW('Foundation Walls'!$H$1:$H$332),ROWS($B$28:$B42))),"")</f>
        <v/>
      </c>
      <c r="G42" s="206" t="str" cm="1">
        <f t="array" ref="G42">IF(ROWS($B$28:$B42)&lt;=$J$28,INDEX('Foundation Walls'!M:M,_xlfn.AGGREGATE(15,3,('Foundation Walls'!$H$1:$H$332=1)/('Foundation Walls'!$H$1:$H$332=1)*ROW('Foundation Walls'!$H$1:$H$332),ROWS($B$28:$B42))),"")</f>
        <v/>
      </c>
      <c r="H42" s="206" t="str" cm="1">
        <f t="array" ref="H42">IFERROR(_xlfn.AGGREGATE(15,3,('Foundation Walls'!$H$1:$H$332=1)/('Foundation Walls'!$H$1:$H$332=1)*ROW('Foundation Walls'!$H$1:$H$332),ROWS($B$28:$B42)),"")</f>
        <v/>
      </c>
      <c r="I42" s="206" t="str" cm="1">
        <f t="array" ref="I42">IF(ROWS($B$28:$B42)&lt;=$J$28,ROUND(INDEX('Foundation Walls'!D:D,H42),1)  &amp; " " &amp; INDEX('Foundation Walls'!E:E,H42),"")</f>
        <v/>
      </c>
    </row>
    <row r="43" spans="1:35" ht="30.15" customHeight="1" x14ac:dyDescent="0.25">
      <c r="A43" s="215" t="str">
        <f>VLOOKUP("Foundation Walls",Setting!$E$6:$H$33,4,FALSE)</f>
        <v>Foundation Walls</v>
      </c>
      <c r="B43" s="205" t="str" cm="1">
        <f t="array" ref="B43">IF(ROWS($B$28:$B43)&lt;=$J$28,INDEX('Foundation Walls'!$R:$R,_xlfn.AGGREGATE(15,3,('Foundation Walls'!$H$1:$H$332=1)/('Foundation Walls'!$H$1:$H$332=1)*ROW('Foundation Walls'!$H$1:$H$332),ROWS($B$28:$B43))),"")</f>
        <v/>
      </c>
      <c r="C43" s="205" t="str" cm="1">
        <f t="array" ref="C43">IF(ROWS($B$28:$B43)&lt;=$J$28,INDEX('Foundation Walls'!C:C,$H43) &amp; INDEX('Foundation Walls'!S:S,$H43),"")</f>
        <v/>
      </c>
      <c r="D43" s="206" t="str">
        <f t="shared" si="1"/>
        <v/>
      </c>
      <c r="E43" s="206" t="str" cm="1">
        <f t="array" ref="E43">IF(ROWS($B$28:$B43)&lt;=$J$28,INDEX('Foundation Walls'!K:K,_xlfn.AGGREGATE(15,3,('Foundation Walls'!$H$1:$H$332=1)/('Foundation Walls'!$H$1:$H$332=1)*ROW('Foundation Walls'!$H$1:$H$332),ROWS($B$28:$B43))),"")</f>
        <v/>
      </c>
      <c r="F43" s="206" t="str" cm="1">
        <f t="array" ref="F43">IF(ROWS($B$28:$B43)&lt;=$J$28,INDEX('Foundation Walls'!L:L,_xlfn.AGGREGATE(15,3,('Foundation Walls'!$H$1:$H$332=1)/('Foundation Walls'!$H$1:$H$332=1)*ROW('Foundation Walls'!$H$1:$H$332),ROWS($B$28:$B43))),"")</f>
        <v/>
      </c>
      <c r="G43" s="206" t="str" cm="1">
        <f t="array" ref="G43">IF(ROWS($B$28:$B43)&lt;=$J$28,INDEX('Foundation Walls'!M:M,_xlfn.AGGREGATE(15,3,('Foundation Walls'!$H$1:$H$332=1)/('Foundation Walls'!$H$1:$H$332=1)*ROW('Foundation Walls'!$H$1:$H$332),ROWS($B$28:$B43))),"")</f>
        <v/>
      </c>
      <c r="H43" s="206" t="str" cm="1">
        <f t="array" ref="H43">IFERROR(_xlfn.AGGREGATE(15,3,('Foundation Walls'!$H$1:$H$332=1)/('Foundation Walls'!$H$1:$H$332=1)*ROW('Foundation Walls'!$H$1:$H$332),ROWS($B$28:$B43)),"")</f>
        <v/>
      </c>
      <c r="I43" s="206" t="str" cm="1">
        <f t="array" ref="I43">IF(ROWS($B$28:$B43)&lt;=$J$28,ROUND(INDEX('Foundation Walls'!D:D,H43),1)  &amp; " " &amp; INDEX('Foundation Walls'!E:E,H43),"")</f>
        <v/>
      </c>
    </row>
    <row r="44" spans="1:35" ht="30.15" customHeight="1" x14ac:dyDescent="0.25">
      <c r="A44" s="215" t="str">
        <f>VLOOKUP("Foundation Walls",Setting!$E$6:$H$33,4,FALSE)</f>
        <v>Foundation Walls</v>
      </c>
      <c r="B44" s="205" t="str" cm="1">
        <f t="array" ref="B44">IF(ROWS($B$28:$B44)&lt;=$J$28,INDEX('Foundation Walls'!$R:$R,_xlfn.AGGREGATE(15,3,('Foundation Walls'!$H$1:$H$332=1)/('Foundation Walls'!$H$1:$H$332=1)*ROW('Foundation Walls'!$H$1:$H$332),ROWS($B$28:$B44))),"")</f>
        <v/>
      </c>
      <c r="C44" s="205" t="str" cm="1">
        <f t="array" ref="C44">IF(ROWS($B$28:$B44)&lt;=$J$28,INDEX('Foundation Walls'!C:C,$H44) &amp; INDEX('Foundation Walls'!S:S,$H44),"")</f>
        <v/>
      </c>
      <c r="D44" s="206" t="str">
        <f t="shared" si="1"/>
        <v/>
      </c>
      <c r="E44" s="206" t="str" cm="1">
        <f t="array" ref="E44">IF(ROWS($B$28:$B44)&lt;=$J$28,INDEX('Foundation Walls'!K:K,_xlfn.AGGREGATE(15,3,('Foundation Walls'!$H$1:$H$332=1)/('Foundation Walls'!$H$1:$H$332=1)*ROW('Foundation Walls'!$H$1:$H$332),ROWS($B$28:$B44))),"")</f>
        <v/>
      </c>
      <c r="F44" s="206" t="str" cm="1">
        <f t="array" ref="F44">IF(ROWS($B$28:$B44)&lt;=$J$28,INDEX('Foundation Walls'!L:L,_xlfn.AGGREGATE(15,3,('Foundation Walls'!$H$1:$H$332=1)/('Foundation Walls'!$H$1:$H$332=1)*ROW('Foundation Walls'!$H$1:$H$332),ROWS($B$28:$B44))),"")</f>
        <v/>
      </c>
      <c r="G44" s="206" t="str" cm="1">
        <f t="array" ref="G44">IF(ROWS($B$28:$B44)&lt;=$J$28,INDEX('Foundation Walls'!M:M,_xlfn.AGGREGATE(15,3,('Foundation Walls'!$H$1:$H$332=1)/('Foundation Walls'!$H$1:$H$332=1)*ROW('Foundation Walls'!$H$1:$H$332),ROWS($B$28:$B44))),"")</f>
        <v/>
      </c>
      <c r="H44" s="206" t="str" cm="1">
        <f t="array" ref="H44">IFERROR(_xlfn.AGGREGATE(15,3,('Foundation Walls'!$H$1:$H$332=1)/('Foundation Walls'!$H$1:$H$332=1)*ROW('Foundation Walls'!$H$1:$H$332),ROWS($B$28:$B44)),"")</f>
        <v/>
      </c>
      <c r="I44" s="206" t="str" cm="1">
        <f t="array" ref="I44">IF(ROWS($B$28:$B44)&lt;=$J$28,ROUND(INDEX('Foundation Walls'!D:D,H44),1)  &amp; " " &amp; INDEX('Foundation Walls'!E:E,H44),"")</f>
        <v/>
      </c>
    </row>
    <row r="45" spans="1:35" ht="30.15" customHeight="1" x14ac:dyDescent="0.25">
      <c r="A45" s="215" t="str">
        <f>VLOOKUP("Foundation Walls",Setting!$E$6:$H$33,4,FALSE)</f>
        <v>Foundation Walls</v>
      </c>
      <c r="B45" s="205" t="str" cm="1">
        <f t="array" ref="B45">IF(ROWS($B$28:$B45)&lt;=$J$28,INDEX('Foundation Walls'!$R:$R,_xlfn.AGGREGATE(15,3,('Foundation Walls'!$H$1:$H$332=1)/('Foundation Walls'!$H$1:$H$332=1)*ROW('Foundation Walls'!$H$1:$H$332),ROWS($B$28:$B45))),"")</f>
        <v/>
      </c>
      <c r="C45" s="205" t="str" cm="1">
        <f t="array" ref="C45">IF(ROWS($B$28:$B45)&lt;=$J$28,INDEX('Foundation Walls'!C:C,$H45) &amp; INDEX('Foundation Walls'!S:S,$H45),"")</f>
        <v/>
      </c>
      <c r="D45" s="206" t="str">
        <f t="shared" si="1"/>
        <v/>
      </c>
      <c r="E45" s="206" t="str" cm="1">
        <f t="array" ref="E45">IF(ROWS($B$28:$B45)&lt;=$J$28,INDEX('Foundation Walls'!K:K,_xlfn.AGGREGATE(15,3,('Foundation Walls'!$H$1:$H$332=1)/('Foundation Walls'!$H$1:$H$332=1)*ROW('Foundation Walls'!$H$1:$H$332),ROWS($B$28:$B45))),"")</f>
        <v/>
      </c>
      <c r="F45" s="206" t="str" cm="1">
        <f t="array" ref="F45">IF(ROWS($B$28:$B45)&lt;=$J$28,INDEX('Foundation Walls'!L:L,_xlfn.AGGREGATE(15,3,('Foundation Walls'!$H$1:$H$332=1)/('Foundation Walls'!$H$1:$H$332=1)*ROW('Foundation Walls'!$H$1:$H$332),ROWS($B$28:$B45))),"")</f>
        <v/>
      </c>
      <c r="G45" s="206" t="str" cm="1">
        <f t="array" ref="G45">IF(ROWS($B$28:$B45)&lt;=$J$28,INDEX('Foundation Walls'!M:M,_xlfn.AGGREGATE(15,3,('Foundation Walls'!$H$1:$H$332=1)/('Foundation Walls'!$H$1:$H$332=1)*ROW('Foundation Walls'!$H$1:$H$332),ROWS($B$28:$B45))),"")</f>
        <v/>
      </c>
      <c r="H45" s="206" t="str" cm="1">
        <f t="array" ref="H45">IFERROR(_xlfn.AGGREGATE(15,3,('Foundation Walls'!$H$1:$H$332=1)/('Foundation Walls'!$H$1:$H$332=1)*ROW('Foundation Walls'!$H$1:$H$332),ROWS($B$28:$B45)),"")</f>
        <v/>
      </c>
      <c r="I45" s="206" t="str" cm="1">
        <f t="array" ref="I45">IF(ROWS($B$28:$B45)&lt;=$J$28,ROUND(INDEX('Foundation Walls'!D:D,H45),1)  &amp; " " &amp; INDEX('Foundation Walls'!E:E,H45),"")</f>
        <v/>
      </c>
    </row>
    <row r="46" spans="1:35" ht="30.15" customHeight="1" x14ac:dyDescent="0.25">
      <c r="A46" s="215" t="str">
        <f>VLOOKUP("Foundation Walls",Setting!$E$6:$H$33,4,FALSE)</f>
        <v>Foundation Walls</v>
      </c>
      <c r="B46" s="205" t="str" cm="1">
        <f t="array" ref="B46">IF(ROWS($B$28:$B46)&lt;=$J$28,INDEX('Foundation Walls'!$R:$R,_xlfn.AGGREGATE(15,3,('Foundation Walls'!$H$1:$H$332=1)/('Foundation Walls'!$H$1:$H$332=1)*ROW('Foundation Walls'!$H$1:$H$332),ROWS($B$28:$B46))),"")</f>
        <v/>
      </c>
      <c r="C46" s="205" t="str" cm="1">
        <f t="array" ref="C46">IF(ROWS($B$28:$B46)&lt;=$J$28,INDEX('Foundation Walls'!C:C,$H46) &amp; INDEX('Foundation Walls'!S:S,$H46),"")</f>
        <v/>
      </c>
      <c r="D46" s="206" t="str">
        <f t="shared" si="1"/>
        <v/>
      </c>
      <c r="E46" s="206" t="str" cm="1">
        <f t="array" ref="E46">IF(ROWS($B$28:$B46)&lt;=$J$28,INDEX('Foundation Walls'!K:K,_xlfn.AGGREGATE(15,3,('Foundation Walls'!$H$1:$H$332=1)/('Foundation Walls'!$H$1:$H$332=1)*ROW('Foundation Walls'!$H$1:$H$332),ROWS($B$28:$B46))),"")</f>
        <v/>
      </c>
      <c r="F46" s="206" t="str" cm="1">
        <f t="array" ref="F46">IF(ROWS($B$28:$B46)&lt;=$J$28,INDEX('Foundation Walls'!L:L,_xlfn.AGGREGATE(15,3,('Foundation Walls'!$H$1:$H$332=1)/('Foundation Walls'!$H$1:$H$332=1)*ROW('Foundation Walls'!$H$1:$H$332),ROWS($B$28:$B46))),"")</f>
        <v/>
      </c>
      <c r="G46" s="206" t="str" cm="1">
        <f t="array" ref="G46">IF(ROWS($B$28:$B46)&lt;=$J$28,INDEX('Foundation Walls'!M:M,_xlfn.AGGREGATE(15,3,('Foundation Walls'!$H$1:$H$332=1)/('Foundation Walls'!$H$1:$H$332=1)*ROW('Foundation Walls'!$H$1:$H$332),ROWS($B$28:$B46))),"")</f>
        <v/>
      </c>
      <c r="H46" s="206" t="str" cm="1">
        <f t="array" ref="H46">IFERROR(_xlfn.AGGREGATE(15,3,('Foundation Walls'!$H$1:$H$332=1)/('Foundation Walls'!$H$1:$H$332=1)*ROW('Foundation Walls'!$H$1:$H$332),ROWS($B$28:$B46)),"")</f>
        <v/>
      </c>
      <c r="I46" s="206" t="str" cm="1">
        <f t="array" ref="I46">IF(ROWS($B$28:$B46)&lt;=$J$28,ROUND(INDEX('Foundation Walls'!D:D,H46),1)  &amp; " " &amp; INDEX('Foundation Walls'!E:E,H46),"")</f>
        <v/>
      </c>
    </row>
    <row r="47" spans="1:35" ht="30.15" customHeight="1" x14ac:dyDescent="0.25">
      <c r="A47" s="215" t="str">
        <f>VLOOKUP("Foundation Walls",Setting!$E$6:$H$33,4,FALSE)</f>
        <v>Foundation Walls</v>
      </c>
      <c r="B47" s="205" t="str" cm="1">
        <f t="array" ref="B47">IF(ROWS($B$28:$B47)&lt;=$J$28,INDEX('Foundation Walls'!$R:$R,_xlfn.AGGREGATE(15,3,('Foundation Walls'!$H$1:$H$332=1)/('Foundation Walls'!$H$1:$H$332=1)*ROW('Foundation Walls'!$H$1:$H$332),ROWS($B$28:$B47))),"")</f>
        <v/>
      </c>
      <c r="C47" s="205" t="str" cm="1">
        <f t="array" ref="C47">IF(ROWS($B$28:$B47)&lt;=$J$28,INDEX('Foundation Walls'!C:C,$H47) &amp; INDEX('Foundation Walls'!S:S,$H47),"")</f>
        <v/>
      </c>
      <c r="D47" s="206" t="str">
        <f t="shared" si="1"/>
        <v/>
      </c>
      <c r="E47" s="206" t="str" cm="1">
        <f t="array" ref="E47">IF(ROWS($B$28:$B47)&lt;=$J$28,INDEX('Foundation Walls'!K:K,_xlfn.AGGREGATE(15,3,('Foundation Walls'!$H$1:$H$332=1)/('Foundation Walls'!$H$1:$H$332=1)*ROW('Foundation Walls'!$H$1:$H$332),ROWS($B$28:$B47))),"")</f>
        <v/>
      </c>
      <c r="F47" s="206" t="str" cm="1">
        <f t="array" ref="F47">IF(ROWS($B$28:$B47)&lt;=$J$28,INDEX('Foundation Walls'!L:L,_xlfn.AGGREGATE(15,3,('Foundation Walls'!$H$1:$H$332=1)/('Foundation Walls'!$H$1:$H$332=1)*ROW('Foundation Walls'!$H$1:$H$332),ROWS($B$28:$B47))),"")</f>
        <v/>
      </c>
      <c r="G47" s="206" t="str" cm="1">
        <f t="array" ref="G47">IF(ROWS($B$28:$B47)&lt;=$J$28,INDEX('Foundation Walls'!M:M,_xlfn.AGGREGATE(15,3,('Foundation Walls'!$H$1:$H$332=1)/('Foundation Walls'!$H$1:$H$332=1)*ROW('Foundation Walls'!$H$1:$H$332),ROWS($B$28:$B47))),"")</f>
        <v/>
      </c>
      <c r="H47" s="206" t="str" cm="1">
        <f t="array" ref="H47">IFERROR(_xlfn.AGGREGATE(15,3,('Foundation Walls'!$H$1:$H$332=1)/('Foundation Walls'!$H$1:$H$332=1)*ROW('Foundation Walls'!$H$1:$H$332),ROWS($B$28:$B47)),"")</f>
        <v/>
      </c>
      <c r="I47" s="206" t="str" cm="1">
        <f t="array" ref="I47">IF(ROWS($B$28:$B47)&lt;=$J$28,ROUND(INDEX('Foundation Walls'!D:D,H47),1)  &amp; " " &amp; INDEX('Foundation Walls'!E:E,H47),"")</f>
        <v/>
      </c>
    </row>
    <row r="48" spans="1:35" ht="30.15" customHeight="1" x14ac:dyDescent="0.25">
      <c r="A48" s="215" t="str">
        <f>VLOOKUP("Foundation Walls",Setting!$E$6:$H$33,4,FALSE)</f>
        <v>Foundation Walls</v>
      </c>
      <c r="B48" s="205" t="str" cm="1">
        <f t="array" ref="B48">IF(ROWS($B$28:$B48)&lt;=$J$28,INDEX('Foundation Walls'!$R:$R,_xlfn.AGGREGATE(15,3,('Foundation Walls'!$H$1:$H$332=1)/('Foundation Walls'!$H$1:$H$332=1)*ROW('Foundation Walls'!$H$1:$H$332),ROWS($B$28:$B48))),"")</f>
        <v/>
      </c>
      <c r="C48" s="205" t="str" cm="1">
        <f t="array" ref="C48">IF(ROWS($B$28:$B48)&lt;=$J$28,INDEX('Foundation Walls'!C:C,$H48) &amp; INDEX('Foundation Walls'!S:S,$H48),"")</f>
        <v/>
      </c>
      <c r="D48" s="206" t="str">
        <f t="shared" si="1"/>
        <v/>
      </c>
      <c r="E48" s="206" t="str" cm="1">
        <f t="array" ref="E48">IF(ROWS($B$28:$B48)&lt;=$J$28,INDEX('Foundation Walls'!K:K,_xlfn.AGGREGATE(15,3,('Foundation Walls'!$H$1:$H$332=1)/('Foundation Walls'!$H$1:$H$332=1)*ROW('Foundation Walls'!$H$1:$H$332),ROWS($B$28:$B48))),"")</f>
        <v/>
      </c>
      <c r="F48" s="206" t="str" cm="1">
        <f t="array" ref="F48">IF(ROWS($B$28:$B48)&lt;=$J$28,INDEX('Foundation Walls'!L:L,_xlfn.AGGREGATE(15,3,('Foundation Walls'!$H$1:$H$332=1)/('Foundation Walls'!$H$1:$H$332=1)*ROW('Foundation Walls'!$H$1:$H$332),ROWS($B$28:$B48))),"")</f>
        <v/>
      </c>
      <c r="G48" s="206" t="str" cm="1">
        <f t="array" ref="G48">IF(ROWS($B$28:$B48)&lt;=$J$28,INDEX('Foundation Walls'!M:M,_xlfn.AGGREGATE(15,3,('Foundation Walls'!$H$1:$H$332=1)/('Foundation Walls'!$H$1:$H$332=1)*ROW('Foundation Walls'!$H$1:$H$332),ROWS($B$28:$B48))),"")</f>
        <v/>
      </c>
      <c r="H48" s="206" t="str" cm="1">
        <f t="array" ref="H48">IFERROR(_xlfn.AGGREGATE(15,3,('Foundation Walls'!$H$1:$H$332=1)/('Foundation Walls'!$H$1:$H$332=1)*ROW('Foundation Walls'!$H$1:$H$332),ROWS($B$28:$B48)),"")</f>
        <v/>
      </c>
      <c r="I48" s="206" t="str" cm="1">
        <f t="array" ref="I48">IF(ROWS($B$28:$B48)&lt;=$J$28,ROUND(INDEX('Foundation Walls'!D:D,H48),1)  &amp; " " &amp; INDEX('Foundation Walls'!E:E,H48),"")</f>
        <v/>
      </c>
    </row>
    <row r="49" spans="1:10" ht="30.15" customHeight="1" x14ac:dyDescent="0.25">
      <c r="A49" s="215" t="str">
        <f>VLOOKUP("Foundation Walls",Setting!$E$6:$H$33,4,FALSE)</f>
        <v>Foundation Walls</v>
      </c>
      <c r="B49" s="205" t="str" cm="1">
        <f t="array" ref="B49">IF(ROWS($B$28:$B49)&lt;=$J$28,INDEX('Foundation Walls'!$R:$R,_xlfn.AGGREGATE(15,3,('Foundation Walls'!$H$1:$H$332=1)/('Foundation Walls'!$H$1:$H$332=1)*ROW('Foundation Walls'!$H$1:$H$332),ROWS($B$28:$B49))),"")</f>
        <v/>
      </c>
      <c r="C49" s="205" t="str" cm="1">
        <f t="array" ref="C49">IF(ROWS($B$28:$B49)&lt;=$J$28,INDEX('Foundation Walls'!C:C,$H49) &amp; INDEX('Foundation Walls'!S:S,$H49),"")</f>
        <v/>
      </c>
      <c r="D49" s="206" t="str">
        <f t="shared" si="1"/>
        <v/>
      </c>
      <c r="E49" s="206" t="str" cm="1">
        <f t="array" ref="E49">IF(ROWS($B$28:$B49)&lt;=$J$28,INDEX('Foundation Walls'!K:K,_xlfn.AGGREGATE(15,3,('Foundation Walls'!$H$1:$H$332=1)/('Foundation Walls'!$H$1:$H$332=1)*ROW('Foundation Walls'!$H$1:$H$332),ROWS($B$28:$B49))),"")</f>
        <v/>
      </c>
      <c r="F49" s="206" t="str" cm="1">
        <f t="array" ref="F49">IF(ROWS($B$28:$B49)&lt;=$J$28,INDEX('Foundation Walls'!L:L,_xlfn.AGGREGATE(15,3,('Foundation Walls'!$H$1:$H$332=1)/('Foundation Walls'!$H$1:$H$332=1)*ROW('Foundation Walls'!$H$1:$H$332),ROWS($B$28:$B49))),"")</f>
        <v/>
      </c>
      <c r="G49" s="206" t="str" cm="1">
        <f t="array" ref="G49">IF(ROWS($B$28:$B49)&lt;=$J$28,INDEX('Foundation Walls'!M:M,_xlfn.AGGREGATE(15,3,('Foundation Walls'!$H$1:$H$332=1)/('Foundation Walls'!$H$1:$H$332=1)*ROW('Foundation Walls'!$H$1:$H$332),ROWS($B$28:$B49))),"")</f>
        <v/>
      </c>
      <c r="H49" s="206" t="str" cm="1">
        <f t="array" ref="H49">IFERROR(_xlfn.AGGREGATE(15,3,('Foundation Walls'!$H$1:$H$332=1)/('Foundation Walls'!$H$1:$H$332=1)*ROW('Foundation Walls'!$H$1:$H$332),ROWS($B$28:$B49)),"")</f>
        <v/>
      </c>
      <c r="I49" s="206" t="str" cm="1">
        <f t="array" ref="I49">IF(ROWS($B$28:$B49)&lt;=$J$28,ROUND(INDEX('Foundation Walls'!D:D,H49),1)  &amp; " " &amp; INDEX('Foundation Walls'!E:E,H49),"")</f>
        <v/>
      </c>
    </row>
    <row r="50" spans="1:10" ht="30.15" customHeight="1" x14ac:dyDescent="0.25">
      <c r="A50" s="215" t="str">
        <f>VLOOKUP("Foundation Walls",Setting!$E$6:$H$33,4,FALSE)</f>
        <v>Foundation Walls</v>
      </c>
      <c r="B50" s="205" t="str" cm="1">
        <f t="array" ref="B50">IF(ROWS($B$28:$B50)&lt;=$J$28,INDEX('Foundation Walls'!$R:$R,_xlfn.AGGREGATE(15,3,('Foundation Walls'!$H$1:$H$332=1)/('Foundation Walls'!$H$1:$H$332=1)*ROW('Foundation Walls'!$H$1:$H$332),ROWS($B$28:$B50))),"")</f>
        <v/>
      </c>
      <c r="C50" s="205" t="str" cm="1">
        <f t="array" ref="C50">IF(ROWS($B$28:$B50)&lt;=$J$28,INDEX('Foundation Walls'!C:C,$H50) &amp; INDEX('Foundation Walls'!S:S,$H50),"")</f>
        <v/>
      </c>
      <c r="D50" s="206" t="str">
        <f t="shared" si="1"/>
        <v/>
      </c>
      <c r="E50" s="206" t="str" cm="1">
        <f t="array" ref="E50">IF(ROWS($B$28:$B50)&lt;=$J$28,INDEX('Foundation Walls'!K:K,_xlfn.AGGREGATE(15,3,('Foundation Walls'!$H$1:$H$332=1)/('Foundation Walls'!$H$1:$H$332=1)*ROW('Foundation Walls'!$H$1:$H$332),ROWS($B$28:$B50))),"")</f>
        <v/>
      </c>
      <c r="F50" s="206" t="str" cm="1">
        <f t="array" ref="F50">IF(ROWS($B$28:$B50)&lt;=$J$28,INDEX('Foundation Walls'!L:L,_xlfn.AGGREGATE(15,3,('Foundation Walls'!$H$1:$H$332=1)/('Foundation Walls'!$H$1:$H$332=1)*ROW('Foundation Walls'!$H$1:$H$332),ROWS($B$28:$B50))),"")</f>
        <v/>
      </c>
      <c r="G50" s="206" t="str" cm="1">
        <f t="array" ref="G50">IF(ROWS($B$28:$B50)&lt;=$J$28,INDEX('Foundation Walls'!M:M,_xlfn.AGGREGATE(15,3,('Foundation Walls'!$H$1:$H$332=1)/('Foundation Walls'!$H$1:$H$332=1)*ROW('Foundation Walls'!$H$1:$H$332),ROWS($B$28:$B50))),"")</f>
        <v/>
      </c>
      <c r="H50" s="206" t="str" cm="1">
        <f t="array" ref="H50">IFERROR(_xlfn.AGGREGATE(15,3,('Foundation Walls'!$H$1:$H$332=1)/('Foundation Walls'!$H$1:$H$332=1)*ROW('Foundation Walls'!$H$1:$H$332),ROWS($B$28:$B50)),"")</f>
        <v/>
      </c>
      <c r="I50" s="206" t="str" cm="1">
        <f t="array" ref="I50">IF(ROWS($B$28:$B50)&lt;=$J$28,ROUND(INDEX('Foundation Walls'!D:D,H50),1)  &amp; " " &amp; INDEX('Foundation Walls'!E:E,H50),"")</f>
        <v/>
      </c>
    </row>
    <row r="51" spans="1:10" ht="30.15" customHeight="1" x14ac:dyDescent="0.25">
      <c r="A51" s="215" t="str">
        <f>VLOOKUP("Foundation Walls",Setting!$E$6:$H$33,4,FALSE)</f>
        <v>Foundation Walls</v>
      </c>
      <c r="B51" s="205" t="str" cm="1">
        <f t="array" ref="B51">IF(ROWS($B$28:$B51)&lt;=$J$28,INDEX('Foundation Walls'!$R:$R,_xlfn.AGGREGATE(15,3,('Foundation Walls'!$H$1:$H$332=1)/('Foundation Walls'!$H$1:$H$332=1)*ROW('Foundation Walls'!$H$1:$H$332),ROWS($B$28:$B51))),"")</f>
        <v/>
      </c>
      <c r="C51" s="205" t="str" cm="1">
        <f t="array" ref="C51">IF(ROWS($B$28:$B51)&lt;=$J$28,INDEX('Foundation Walls'!C:C,$H51) &amp; INDEX('Foundation Walls'!S:S,$H51),"")</f>
        <v/>
      </c>
      <c r="D51" s="206" t="str">
        <f t="shared" si="1"/>
        <v/>
      </c>
      <c r="E51" s="206" t="str" cm="1">
        <f t="array" ref="E51">IF(ROWS($B$28:$B51)&lt;=$J$28,INDEX('Foundation Walls'!K:K,_xlfn.AGGREGATE(15,3,('Foundation Walls'!$H$1:$H$332=1)/('Foundation Walls'!$H$1:$H$332=1)*ROW('Foundation Walls'!$H$1:$H$332),ROWS($B$28:$B51))),"")</f>
        <v/>
      </c>
      <c r="F51" s="206" t="str" cm="1">
        <f t="array" ref="F51">IF(ROWS($B$28:$B51)&lt;=$J$28,INDEX('Foundation Walls'!L:L,_xlfn.AGGREGATE(15,3,('Foundation Walls'!$H$1:$H$332=1)/('Foundation Walls'!$H$1:$H$332=1)*ROW('Foundation Walls'!$H$1:$H$332),ROWS($B$28:$B51))),"")</f>
        <v/>
      </c>
      <c r="G51" s="206" t="str" cm="1">
        <f t="array" ref="G51">IF(ROWS($B$28:$B51)&lt;=$J$28,INDEX('Foundation Walls'!M:M,_xlfn.AGGREGATE(15,3,('Foundation Walls'!$H$1:$H$332=1)/('Foundation Walls'!$H$1:$H$332=1)*ROW('Foundation Walls'!$H$1:$H$332),ROWS($B$28:$B51))),"")</f>
        <v/>
      </c>
      <c r="H51" s="206" t="str" cm="1">
        <f t="array" ref="H51">IFERROR(_xlfn.AGGREGATE(15,3,('Foundation Walls'!$H$1:$H$332=1)/('Foundation Walls'!$H$1:$H$332=1)*ROW('Foundation Walls'!$H$1:$H$332),ROWS($B$28:$B51)),"")</f>
        <v/>
      </c>
      <c r="I51" s="206" t="str" cm="1">
        <f t="array" ref="I51">IF(ROWS($B$28:$B51)&lt;=$J$28,ROUND(INDEX('Foundation Walls'!D:D,H51),1)  &amp; " " &amp; INDEX('Foundation Walls'!E:E,H51),"")</f>
        <v/>
      </c>
    </row>
    <row r="52" spans="1:10" ht="30.15" customHeight="1" x14ac:dyDescent="0.25">
      <c r="A52" s="215" t="str">
        <f>VLOOKUP("Structural Elements",Setting!$E$6:$H$33,4,FALSE)</f>
        <v>Structural Elements</v>
      </c>
      <c r="B52" s="205" t="str" cm="1">
        <f t="array" ref="B52">IF(ROWS($B$52:$B52)&lt;=$J$52,INDEX('Structural Elements'!$R:$R,_xlfn.AGGREGATE(15,3,('Structural Elements'!$H$1:$H$215=1)/('Structural Elements'!$H$1:$H$215=1)*ROW('Structural Elements'!$H$1:$H$215),ROWS($B$52:$B52))),"")</f>
        <v/>
      </c>
      <c r="C52" s="205" t="str" cm="1">
        <f t="array" ref="C52">IF(ROWS($B$52:$B52)&lt;=$J$52,INDEX('Structural Elements'!C:C,$H52) &amp; INDEX('Structural Elements'!S:S,$H52),"")</f>
        <v/>
      </c>
      <c r="D52" s="206" t="str">
        <f t="shared" si="1"/>
        <v/>
      </c>
      <c r="E52" s="206" t="str" cm="1">
        <f t="array" ref="E52">IF(ROWS($B$52:$B52)&lt;=$J$52,INDEX('Structural Elements'!K:K,_xlfn.AGGREGATE(15,3,('Structural Elements'!$H$1:$H$215=1)/('Structural Elements'!$H$1:$H$215=1)*ROW('Structural Elements'!$H$1:$H$215),ROWS($B$52:$B52))),"")</f>
        <v/>
      </c>
      <c r="F52" s="206" t="str" cm="1">
        <f t="array" ref="F52">IF(ROWS($B$52:$B52)&lt;=$J$52,INDEX('Structural Elements'!L:L,_xlfn.AGGREGATE(15,3,('Structural Elements'!$H$1:$H$215=1)/('Structural Elements'!$H$1:$H$215=1)*ROW('Structural Elements'!$H$1:$H$215),ROWS($B$52:$B52))),"")</f>
        <v/>
      </c>
      <c r="G52" s="206" t="str" cm="1">
        <f t="array" ref="G52">IF(ROWS($B$52:$B52)&lt;=$J$52,INDEX('Structural Elements'!M:M,_xlfn.AGGREGATE(15,3,('Structural Elements'!$H$1:$H$215=1)/('Structural Elements'!$H$1:$H$215=1)*ROW('Structural Elements'!$H$1:$H$215),ROWS($B$52:$B52))),"")</f>
        <v/>
      </c>
      <c r="H52" s="206" t="str" cm="1">
        <f t="array" ref="H52">IFERROR(_xlfn.AGGREGATE(15,3,('Structural Elements'!$H$1:$H$215=1)/('Structural Elements'!$H$1:$H$215=1)*ROW('Structural Elements'!$H$1:$H$215),ROWS($B$52:$B52)),"")</f>
        <v/>
      </c>
      <c r="I52" s="206" t="str" cm="1">
        <f t="array" ref="I52">IF(ROWS($B$52:$B52)&lt;=$J$52,ROUND(INDEX('Structural Elements'!D:D,H52),1)  &amp; " " &amp; INDEX('Structural Elements'!E:E,H52),"")</f>
        <v/>
      </c>
      <c r="J52" s="207">
        <f>COUNTIF('Structural Elements'!$H$1:$H$215,1)</f>
        <v>0</v>
      </c>
    </row>
    <row r="53" spans="1:10" ht="30.15" customHeight="1" x14ac:dyDescent="0.25">
      <c r="A53" s="215" t="str">
        <f>VLOOKUP("Structural Elements",Setting!$E$6:$H$33,4,FALSE)</f>
        <v>Structural Elements</v>
      </c>
      <c r="B53" s="205" t="str" cm="1">
        <f t="array" ref="B53">IF(ROWS($B$52:$B53)&lt;=$J$52,INDEX('Structural Elements'!$R:$R,_xlfn.AGGREGATE(15,3,('Structural Elements'!$H$1:$H$215=1)/('Structural Elements'!$H$1:$H$215=1)*ROW('Structural Elements'!$H$1:$H$215),ROWS($B$52:$B53))),"")</f>
        <v/>
      </c>
      <c r="C53" s="205" t="str" cm="1">
        <f t="array" ref="C53">IF(ROWS($B$52:$B53)&lt;=$J$52,INDEX('Structural Elements'!C:C,$H53) &amp; INDEX('Structural Elements'!S:S,$H53),"")</f>
        <v/>
      </c>
      <c r="D53" s="206" t="str">
        <f t="shared" si="1"/>
        <v/>
      </c>
      <c r="E53" s="206" t="str" cm="1">
        <f t="array" ref="E53">IF(ROWS($B$52:$B53)&lt;=$J$52,INDEX('Structural Elements'!K:K,_xlfn.AGGREGATE(15,3,('Structural Elements'!$H$1:$H$215=1)/('Structural Elements'!$H$1:$H$215=1)*ROW('Structural Elements'!$H$1:$H$215),ROWS($B$52:$B53))),"")</f>
        <v/>
      </c>
      <c r="F53" s="206" t="str" cm="1">
        <f t="array" ref="F53">IF(ROWS($B$52:$B53)&lt;=$J$52,INDEX('Structural Elements'!L:L,_xlfn.AGGREGATE(15,3,('Structural Elements'!$H$1:$H$215=1)/('Structural Elements'!$H$1:$H$215=1)*ROW('Structural Elements'!$H$1:$H$215),ROWS($B$52:$B53))),"")</f>
        <v/>
      </c>
      <c r="G53" s="206" t="str" cm="1">
        <f t="array" ref="G53">IF(ROWS($B$52:$B53)&lt;=$J$52,INDEX('Structural Elements'!M:M,_xlfn.AGGREGATE(15,3,('Structural Elements'!$H$1:$H$215=1)/('Structural Elements'!$H$1:$H$215=1)*ROW('Structural Elements'!$H$1:$H$215),ROWS($B$52:$B53))),"")</f>
        <v/>
      </c>
      <c r="H53" s="206" t="str" cm="1">
        <f t="array" ref="H53">IFERROR(_xlfn.AGGREGATE(15,3,('Structural Elements'!$H$1:$H$215=1)/('Structural Elements'!$H$1:$H$215=1)*ROW('Structural Elements'!$H$1:$H$215),ROWS($B$52:$B53)),"")</f>
        <v/>
      </c>
      <c r="I53" s="206" t="str" cm="1">
        <f t="array" ref="I53">IF(ROWS($B$52:$B53)&lt;=$J$52,ROUND(INDEX('Structural Elements'!D:D,H53),1)  &amp; " " &amp; INDEX('Structural Elements'!E:E,H53),"")</f>
        <v/>
      </c>
    </row>
    <row r="54" spans="1:10" ht="30.15" customHeight="1" x14ac:dyDescent="0.25">
      <c r="A54" s="215" t="str">
        <f>VLOOKUP("Structural Elements",Setting!$E$6:$H$33,4,FALSE)</f>
        <v>Structural Elements</v>
      </c>
      <c r="B54" s="205" t="str" cm="1">
        <f t="array" ref="B54">IF(ROWS($B$52:$B54)&lt;=$J$52,INDEX('Structural Elements'!$R:$R,_xlfn.AGGREGATE(15,3,('Structural Elements'!$H$1:$H$215=1)/('Structural Elements'!$H$1:$H$215=1)*ROW('Structural Elements'!$H$1:$H$215),ROWS($B$52:$B54))),"")</f>
        <v/>
      </c>
      <c r="C54" s="205" t="str" cm="1">
        <f t="array" ref="C54">IF(ROWS($B$52:$B54)&lt;=$J$52,INDEX('Structural Elements'!C:C,$H54) &amp; INDEX('Structural Elements'!S:S,$H54),"")</f>
        <v/>
      </c>
      <c r="D54" s="206" t="str">
        <f t="shared" si="1"/>
        <v/>
      </c>
      <c r="E54" s="206" t="str" cm="1">
        <f t="array" ref="E54">IF(ROWS($B$52:$B54)&lt;=$J$52,INDEX('Structural Elements'!K:K,_xlfn.AGGREGATE(15,3,('Structural Elements'!$H$1:$H$215=1)/('Structural Elements'!$H$1:$H$215=1)*ROW('Structural Elements'!$H$1:$H$215),ROWS($B$52:$B54))),"")</f>
        <v/>
      </c>
      <c r="F54" s="206" t="str" cm="1">
        <f t="array" ref="F54">IF(ROWS($B$52:$B54)&lt;=$J$52,INDEX('Structural Elements'!L:L,_xlfn.AGGREGATE(15,3,('Structural Elements'!$H$1:$H$215=1)/('Structural Elements'!$H$1:$H$215=1)*ROW('Structural Elements'!$H$1:$H$215),ROWS($B$52:$B54))),"")</f>
        <v/>
      </c>
      <c r="G54" s="206" t="str" cm="1">
        <f t="array" ref="G54">IF(ROWS($B$52:$B54)&lt;=$J$52,INDEX('Structural Elements'!M:M,_xlfn.AGGREGATE(15,3,('Structural Elements'!$H$1:$H$215=1)/('Structural Elements'!$H$1:$H$215=1)*ROW('Structural Elements'!$H$1:$H$215),ROWS($B$52:$B54))),"")</f>
        <v/>
      </c>
      <c r="H54" s="206" t="str" cm="1">
        <f t="array" ref="H54">IFERROR(_xlfn.AGGREGATE(15,3,('Structural Elements'!$H$1:$H$215=1)/('Structural Elements'!$H$1:$H$215=1)*ROW('Structural Elements'!$H$1:$H$215),ROWS($B$52:$B54)),"")</f>
        <v/>
      </c>
      <c r="I54" s="206" t="str" cm="1">
        <f t="array" ref="I54">IF(ROWS($B$52:$B54)&lt;=$J$52,ROUND(INDEX('Structural Elements'!D:D,H54),1)  &amp; " " &amp; INDEX('Structural Elements'!E:E,H54),"")</f>
        <v/>
      </c>
    </row>
    <row r="55" spans="1:10" ht="30.15" customHeight="1" x14ac:dyDescent="0.25">
      <c r="A55" s="215" t="str">
        <f>VLOOKUP("Structural Elements",Setting!$E$6:$H$33,4,FALSE)</f>
        <v>Structural Elements</v>
      </c>
      <c r="B55" s="205" t="str" cm="1">
        <f t="array" ref="B55">IF(ROWS($B$52:$B55)&lt;=$J$52,INDEX('Structural Elements'!$R:$R,_xlfn.AGGREGATE(15,3,('Structural Elements'!$H$1:$H$215=1)/('Structural Elements'!$H$1:$H$215=1)*ROW('Structural Elements'!$H$1:$H$215),ROWS($B$52:$B55))),"")</f>
        <v/>
      </c>
      <c r="C55" s="205" t="str" cm="1">
        <f t="array" ref="C55">IF(ROWS($B$52:$B55)&lt;=$J$52,INDEX('Structural Elements'!C:C,$H55) &amp; INDEX('Structural Elements'!S:S,$H55),"")</f>
        <v/>
      </c>
      <c r="D55" s="206" t="str">
        <f t="shared" si="1"/>
        <v/>
      </c>
      <c r="E55" s="206" t="str" cm="1">
        <f t="array" ref="E55">IF(ROWS($B$52:$B55)&lt;=$J$52,INDEX('Structural Elements'!K:K,_xlfn.AGGREGATE(15,3,('Structural Elements'!$H$1:$H$215=1)/('Structural Elements'!$H$1:$H$215=1)*ROW('Structural Elements'!$H$1:$H$215),ROWS($B$52:$B55))),"")</f>
        <v/>
      </c>
      <c r="F55" s="206" t="str" cm="1">
        <f t="array" ref="F55">IF(ROWS($B$52:$B55)&lt;=$J$52,INDEX('Structural Elements'!L:L,_xlfn.AGGREGATE(15,3,('Structural Elements'!$H$1:$H$215=1)/('Structural Elements'!$H$1:$H$215=1)*ROW('Structural Elements'!$H$1:$H$215),ROWS($B$52:$B55))),"")</f>
        <v/>
      </c>
      <c r="G55" s="206" t="str" cm="1">
        <f t="array" ref="G55">IF(ROWS($B$52:$B55)&lt;=$J$52,INDEX('Structural Elements'!M:M,_xlfn.AGGREGATE(15,3,('Structural Elements'!$H$1:$H$215=1)/('Structural Elements'!$H$1:$H$215=1)*ROW('Structural Elements'!$H$1:$H$215),ROWS($B$52:$B55))),"")</f>
        <v/>
      </c>
      <c r="H55" s="206" t="str" cm="1">
        <f t="array" ref="H55">IFERROR(_xlfn.AGGREGATE(15,3,('Structural Elements'!$H$1:$H$215=1)/('Structural Elements'!$H$1:$H$215=1)*ROW('Structural Elements'!$H$1:$H$215),ROWS($B$52:$B55)),"")</f>
        <v/>
      </c>
      <c r="I55" s="206" t="str" cm="1">
        <f t="array" ref="I55">IF(ROWS($B$52:$B55)&lt;=$J$52,ROUND(INDEX('Structural Elements'!D:D,H55),1)  &amp; " " &amp; INDEX('Structural Elements'!E:E,H55),"")</f>
        <v/>
      </c>
    </row>
    <row r="56" spans="1:10" ht="30.15" customHeight="1" x14ac:dyDescent="0.25">
      <c r="A56" s="215" t="str">
        <f>VLOOKUP("Structural Elements",Setting!$E$6:$H$33,4,FALSE)</f>
        <v>Structural Elements</v>
      </c>
      <c r="B56" s="205" t="str" cm="1">
        <f t="array" ref="B56">IF(ROWS($B$52:$B56)&lt;=$J$52,INDEX('Structural Elements'!$R:$R,_xlfn.AGGREGATE(15,3,('Structural Elements'!$H$1:$H$215=1)/('Structural Elements'!$H$1:$H$215=1)*ROW('Structural Elements'!$H$1:$H$215),ROWS($B$52:$B56))),"")</f>
        <v/>
      </c>
      <c r="C56" s="205" t="str" cm="1">
        <f t="array" ref="C56">IF(ROWS($B$52:$B56)&lt;=$J$52,INDEX('Structural Elements'!C:C,$H56) &amp; INDEX('Structural Elements'!S:S,$H56),"")</f>
        <v/>
      </c>
      <c r="D56" s="206" t="str">
        <f t="shared" si="1"/>
        <v/>
      </c>
      <c r="E56" s="206" t="str" cm="1">
        <f t="array" ref="E56">IF(ROWS($B$52:$B56)&lt;=$J$52,INDEX('Structural Elements'!K:K,_xlfn.AGGREGATE(15,3,('Structural Elements'!$H$1:$H$215=1)/('Structural Elements'!$H$1:$H$215=1)*ROW('Structural Elements'!$H$1:$H$215),ROWS($B$52:$B56))),"")</f>
        <v/>
      </c>
      <c r="F56" s="206" t="str" cm="1">
        <f t="array" ref="F56">IF(ROWS($B$52:$B56)&lt;=$J$52,INDEX('Structural Elements'!L:L,_xlfn.AGGREGATE(15,3,('Structural Elements'!$H$1:$H$215=1)/('Structural Elements'!$H$1:$H$215=1)*ROW('Structural Elements'!$H$1:$H$215),ROWS($B$52:$B56))),"")</f>
        <v/>
      </c>
      <c r="G56" s="206" t="str" cm="1">
        <f t="array" ref="G56">IF(ROWS($B$52:$B56)&lt;=$J$52,INDEX('Structural Elements'!M:M,_xlfn.AGGREGATE(15,3,('Structural Elements'!$H$1:$H$215=1)/('Structural Elements'!$H$1:$H$215=1)*ROW('Structural Elements'!$H$1:$H$215),ROWS($B$52:$B56))),"")</f>
        <v/>
      </c>
      <c r="H56" s="206" t="str" cm="1">
        <f t="array" ref="H56">IFERROR(_xlfn.AGGREGATE(15,3,('Structural Elements'!$H$1:$H$215=1)/('Structural Elements'!$H$1:$H$215=1)*ROW('Structural Elements'!$H$1:$H$215),ROWS($B$52:$B56)),"")</f>
        <v/>
      </c>
      <c r="I56" s="206" t="str" cm="1">
        <f t="array" ref="I56">IF(ROWS($B$52:$B56)&lt;=$J$52,ROUND(INDEX('Structural Elements'!D:D,H56),1)  &amp; " " &amp; INDEX('Structural Elements'!E:E,H56),"")</f>
        <v/>
      </c>
    </row>
    <row r="57" spans="1:10" ht="30.15" customHeight="1" x14ac:dyDescent="0.25">
      <c r="A57" s="215" t="str">
        <f>VLOOKUP("Structural Elements",Setting!$E$6:$H$33,4,FALSE)</f>
        <v>Structural Elements</v>
      </c>
      <c r="B57" s="205" t="str" cm="1">
        <f t="array" ref="B57">IF(ROWS($B$52:$B57)&lt;=$J$52,INDEX('Structural Elements'!$R:$R,_xlfn.AGGREGATE(15,3,('Structural Elements'!$H$1:$H$215=1)/('Structural Elements'!$H$1:$H$215=1)*ROW('Structural Elements'!$H$1:$H$215),ROWS($B$52:$B57))),"")</f>
        <v/>
      </c>
      <c r="C57" s="205" t="str" cm="1">
        <f t="array" ref="C57">IF(ROWS($B$52:$B57)&lt;=$J$52,INDEX('Structural Elements'!C:C,$H57) &amp; INDEX('Structural Elements'!S:S,$H57),"")</f>
        <v/>
      </c>
      <c r="D57" s="206" t="str">
        <f t="shared" si="1"/>
        <v/>
      </c>
      <c r="E57" s="206" t="str" cm="1">
        <f t="array" ref="E57">IF(ROWS($B$52:$B57)&lt;=$J$52,INDEX('Structural Elements'!K:K,_xlfn.AGGREGATE(15,3,('Structural Elements'!$H$1:$H$215=1)/('Structural Elements'!$H$1:$H$215=1)*ROW('Structural Elements'!$H$1:$H$215),ROWS($B$52:$B57))),"")</f>
        <v/>
      </c>
      <c r="F57" s="206" t="str" cm="1">
        <f t="array" ref="F57">IF(ROWS($B$52:$B57)&lt;=$J$52,INDEX('Structural Elements'!L:L,_xlfn.AGGREGATE(15,3,('Structural Elements'!$H$1:$H$215=1)/('Structural Elements'!$H$1:$H$215=1)*ROW('Structural Elements'!$H$1:$H$215),ROWS($B$52:$B57))),"")</f>
        <v/>
      </c>
      <c r="G57" s="206" t="str" cm="1">
        <f t="array" ref="G57">IF(ROWS($B$52:$B57)&lt;=$J$52,INDEX('Structural Elements'!M:M,_xlfn.AGGREGATE(15,3,('Structural Elements'!$H$1:$H$215=1)/('Structural Elements'!$H$1:$H$215=1)*ROW('Structural Elements'!$H$1:$H$215),ROWS($B$52:$B57))),"")</f>
        <v/>
      </c>
      <c r="H57" s="206" t="str" cm="1">
        <f t="array" ref="H57">IFERROR(_xlfn.AGGREGATE(15,3,('Structural Elements'!$H$1:$H$215=1)/('Structural Elements'!$H$1:$H$215=1)*ROW('Structural Elements'!$H$1:$H$215),ROWS($B$52:$B57)),"")</f>
        <v/>
      </c>
      <c r="I57" s="206" t="str" cm="1">
        <f t="array" ref="I57">IF(ROWS($B$52:$B57)&lt;=$J$52,ROUND(INDEX('Structural Elements'!D:D,H57),1)  &amp; " " &amp; INDEX('Structural Elements'!E:E,H57),"")</f>
        <v/>
      </c>
    </row>
    <row r="58" spans="1:10" ht="30.15" customHeight="1" x14ac:dyDescent="0.25">
      <c r="A58" s="215" t="str">
        <f>VLOOKUP("Structural Elements",Setting!$E$6:$H$33,4,FALSE)</f>
        <v>Structural Elements</v>
      </c>
      <c r="B58" s="205" t="str" cm="1">
        <f t="array" ref="B58">IF(ROWS($B$52:$B58)&lt;=$J$52,INDEX('Structural Elements'!$R:$R,_xlfn.AGGREGATE(15,3,('Structural Elements'!$H$1:$H$215=1)/('Structural Elements'!$H$1:$H$215=1)*ROW('Structural Elements'!$H$1:$H$215),ROWS($B$52:$B58))),"")</f>
        <v/>
      </c>
      <c r="C58" s="205" t="str" cm="1">
        <f t="array" ref="C58">IF(ROWS($B$52:$B58)&lt;=$J$52,INDEX('Structural Elements'!C:C,$H58) &amp; INDEX('Structural Elements'!S:S,$H58),"")</f>
        <v/>
      </c>
      <c r="D58" s="206" t="str">
        <f t="shared" si="1"/>
        <v/>
      </c>
      <c r="E58" s="206" t="str" cm="1">
        <f t="array" ref="E58">IF(ROWS($B$52:$B58)&lt;=$J$52,INDEX('Structural Elements'!K:K,_xlfn.AGGREGATE(15,3,('Structural Elements'!$H$1:$H$215=1)/('Structural Elements'!$H$1:$H$215=1)*ROW('Structural Elements'!$H$1:$H$215),ROWS($B$52:$B58))),"")</f>
        <v/>
      </c>
      <c r="F58" s="206" t="str" cm="1">
        <f t="array" ref="F58">IF(ROWS($B$52:$B58)&lt;=$J$52,INDEX('Structural Elements'!L:L,_xlfn.AGGREGATE(15,3,('Structural Elements'!$H$1:$H$215=1)/('Structural Elements'!$H$1:$H$215=1)*ROW('Structural Elements'!$H$1:$H$215),ROWS($B$52:$B58))),"")</f>
        <v/>
      </c>
      <c r="G58" s="206" t="str" cm="1">
        <f t="array" ref="G58">IF(ROWS($B$52:$B58)&lt;=$J$52,INDEX('Structural Elements'!M:M,_xlfn.AGGREGATE(15,3,('Structural Elements'!$H$1:$H$215=1)/('Structural Elements'!$H$1:$H$215=1)*ROW('Structural Elements'!$H$1:$H$215),ROWS($B$52:$B58))),"")</f>
        <v/>
      </c>
      <c r="H58" s="206" t="str" cm="1">
        <f t="array" ref="H58">IFERROR(_xlfn.AGGREGATE(15,3,('Structural Elements'!$H$1:$H$215=1)/('Structural Elements'!$H$1:$H$215=1)*ROW('Structural Elements'!$H$1:$H$215),ROWS($B$52:$B58)),"")</f>
        <v/>
      </c>
      <c r="I58" s="206" t="str" cm="1">
        <f t="array" ref="I58">IF(ROWS($B$52:$B58)&lt;=$J$52,ROUND(INDEX('Structural Elements'!D:D,H58),1)  &amp; " " &amp; INDEX('Structural Elements'!E:E,H58),"")</f>
        <v/>
      </c>
    </row>
    <row r="59" spans="1:10" ht="30.15" customHeight="1" x14ac:dyDescent="0.25">
      <c r="A59" s="215" t="str">
        <f>VLOOKUP("Structural Elements",Setting!$E$6:$H$33,4,FALSE)</f>
        <v>Structural Elements</v>
      </c>
      <c r="B59" s="205" t="str" cm="1">
        <f t="array" ref="B59">IF(ROWS($B$52:$B59)&lt;=$J$52,INDEX('Structural Elements'!$R:$R,_xlfn.AGGREGATE(15,3,('Structural Elements'!$H$1:$H$215=1)/('Structural Elements'!$H$1:$H$215=1)*ROW('Structural Elements'!$H$1:$H$215),ROWS($B$52:$B59))),"")</f>
        <v/>
      </c>
      <c r="C59" s="205" t="str" cm="1">
        <f t="array" ref="C59">IF(ROWS($B$52:$B59)&lt;=$J$52,INDEX('Structural Elements'!C:C,$H59) &amp; INDEX('Structural Elements'!S:S,$H59),"")</f>
        <v/>
      </c>
      <c r="D59" s="206" t="str">
        <f t="shared" si="1"/>
        <v/>
      </c>
      <c r="E59" s="206" t="str" cm="1">
        <f t="array" ref="E59">IF(ROWS($B$52:$B59)&lt;=$J$52,INDEX('Structural Elements'!K:K,_xlfn.AGGREGATE(15,3,('Structural Elements'!$H$1:$H$215=1)/('Structural Elements'!$H$1:$H$215=1)*ROW('Structural Elements'!$H$1:$H$215),ROWS($B$52:$B59))),"")</f>
        <v/>
      </c>
      <c r="F59" s="206" t="str" cm="1">
        <f t="array" ref="F59">IF(ROWS($B$52:$B59)&lt;=$J$52,INDEX('Structural Elements'!L:L,_xlfn.AGGREGATE(15,3,('Structural Elements'!$H$1:$H$215=1)/('Structural Elements'!$H$1:$H$215=1)*ROW('Structural Elements'!$H$1:$H$215),ROWS($B$52:$B59))),"")</f>
        <v/>
      </c>
      <c r="G59" s="206" t="str" cm="1">
        <f t="array" ref="G59">IF(ROWS($B$52:$B59)&lt;=$J$52,INDEX('Structural Elements'!M:M,_xlfn.AGGREGATE(15,3,('Structural Elements'!$H$1:$H$215=1)/('Structural Elements'!$H$1:$H$215=1)*ROW('Structural Elements'!$H$1:$H$215),ROWS($B$52:$B59))),"")</f>
        <v/>
      </c>
      <c r="H59" s="206" t="str" cm="1">
        <f t="array" ref="H59">IFERROR(_xlfn.AGGREGATE(15,3,('Structural Elements'!$H$1:$H$215=1)/('Structural Elements'!$H$1:$H$215=1)*ROW('Structural Elements'!$H$1:$H$215),ROWS($B$52:$B59)),"")</f>
        <v/>
      </c>
      <c r="I59" s="206" t="str" cm="1">
        <f t="array" ref="I59">IF(ROWS($B$52:$B59)&lt;=$J$52,ROUND(INDEX('Structural Elements'!D:D,H59),1)  &amp; " " &amp; INDEX('Structural Elements'!E:E,H59),"")</f>
        <v/>
      </c>
    </row>
    <row r="60" spans="1:10" ht="30.15" customHeight="1" x14ac:dyDescent="0.25">
      <c r="A60" s="215" t="str">
        <f>VLOOKUP("Structural Elements",Setting!$E$6:$H$33,4,FALSE)</f>
        <v>Structural Elements</v>
      </c>
      <c r="B60" s="205" t="str" cm="1">
        <f t="array" ref="B60">IF(ROWS($B$52:$B60)&lt;=$J$52,INDEX('Structural Elements'!$R:$R,_xlfn.AGGREGATE(15,3,('Structural Elements'!$H$1:$H$215=1)/('Structural Elements'!$H$1:$H$215=1)*ROW('Structural Elements'!$H$1:$H$215),ROWS($B$52:$B60))),"")</f>
        <v/>
      </c>
      <c r="C60" s="205" t="str" cm="1">
        <f t="array" ref="C60">IF(ROWS($B$52:$B60)&lt;=$J$52,INDEX('Structural Elements'!C:C,$H60) &amp; INDEX('Structural Elements'!S:S,$H60),"")</f>
        <v/>
      </c>
      <c r="D60" s="206" t="str">
        <f t="shared" si="1"/>
        <v/>
      </c>
      <c r="E60" s="206" t="str" cm="1">
        <f t="array" ref="E60">IF(ROWS($B$52:$B60)&lt;=$J$52,INDEX('Structural Elements'!K:K,_xlfn.AGGREGATE(15,3,('Structural Elements'!$H$1:$H$215=1)/('Structural Elements'!$H$1:$H$215=1)*ROW('Structural Elements'!$H$1:$H$215),ROWS($B$52:$B60))),"")</f>
        <v/>
      </c>
      <c r="F60" s="206" t="str" cm="1">
        <f t="array" ref="F60">IF(ROWS($B$52:$B60)&lt;=$J$52,INDEX('Structural Elements'!L:L,_xlfn.AGGREGATE(15,3,('Structural Elements'!$H$1:$H$215=1)/('Structural Elements'!$H$1:$H$215=1)*ROW('Structural Elements'!$H$1:$H$215),ROWS($B$52:$B60))),"")</f>
        <v/>
      </c>
      <c r="G60" s="206" t="str" cm="1">
        <f t="array" ref="G60">IF(ROWS($B$52:$B60)&lt;=$J$52,INDEX('Structural Elements'!M:M,_xlfn.AGGREGATE(15,3,('Structural Elements'!$H$1:$H$215=1)/('Structural Elements'!$H$1:$H$215=1)*ROW('Structural Elements'!$H$1:$H$215),ROWS($B$52:$B60))),"")</f>
        <v/>
      </c>
      <c r="H60" s="206" t="str" cm="1">
        <f t="array" ref="H60">IFERROR(_xlfn.AGGREGATE(15,3,('Structural Elements'!$H$1:$H$215=1)/('Structural Elements'!$H$1:$H$215=1)*ROW('Structural Elements'!$H$1:$H$215),ROWS($B$52:$B60)),"")</f>
        <v/>
      </c>
      <c r="I60" s="206" t="str" cm="1">
        <f t="array" ref="I60">IF(ROWS($B$52:$B60)&lt;=$J$52,ROUND(INDEX('Structural Elements'!D:D,H60),1)  &amp; " " &amp; INDEX('Structural Elements'!E:E,H60),"")</f>
        <v/>
      </c>
    </row>
    <row r="61" spans="1:10" ht="30.15" customHeight="1" x14ac:dyDescent="0.25">
      <c r="A61" s="204" t="str">
        <f>VLOOKUP("Ext. Walls",Setting!$E$6:$H$33,4,FALSE)</f>
        <v>Ext. Walls</v>
      </c>
      <c r="B61" s="205" t="str" cm="1">
        <f t="array" ref="B61">IF(ROWS($B$61:$B61)&lt;=$J$61,INDEX('Ext. Walls'!$R:$R,_xlfn.AGGREGATE(15,3,('Ext. Walls'!$H$1:$H$315=1)/('Ext. Walls'!$H$1:$H$315=1)*ROW('Ext. Walls'!$H$1:$H$315),ROWS($B$61:$B61))),"")</f>
        <v/>
      </c>
      <c r="C61" s="205" t="str" cm="1">
        <f t="array" ref="C61">IF(ROWS($B$61:$B61)&lt;=$J$61,INDEX('Ext. Walls'!C:C,$H61) &amp; INDEX('Ext. Walls'!S:S,$H61),"")</f>
        <v/>
      </c>
      <c r="D61" s="206" t="str">
        <f t="shared" si="1"/>
        <v/>
      </c>
      <c r="E61" s="206" t="str" cm="1">
        <f t="array" ref="E61">IF(ROWS($B$61:$B61)&lt;=$J$61,INDEX('Ext. Walls'!K:K,_xlfn.AGGREGATE(15,3,('Ext. Walls'!$H$1:$H$315=1)/('Ext. Walls'!$H$1:$H$315=1)*ROW('Ext. Walls'!$H$1:$H$315),ROWS($B$61:$B61))),"")</f>
        <v/>
      </c>
      <c r="F61" s="206" t="str" cm="1">
        <f t="array" ref="F61">IF(ROWS($B$61:$B61)&lt;=$J$61,INDEX('Ext. Walls'!L:L,_xlfn.AGGREGATE(15,3,('Ext. Walls'!$H$1:$H$315=1)/('Ext. Walls'!$H$1:$H$315=1)*ROW('Ext. Walls'!$H$1:$H$315),ROWS($B$61:$B61))),"")</f>
        <v/>
      </c>
      <c r="G61" s="206" t="str" cm="1">
        <f t="array" ref="G61">IF(ROWS($B$61:$B61)&lt;=$J$61,INDEX('Ext. Walls'!M:M,_xlfn.AGGREGATE(15,3,('Ext. Walls'!$H$1:$H$315=1)/('Ext. Walls'!$H$1:$H$315=1)*ROW('Ext. Walls'!$H$1:$H$315),ROWS($B$61:$B61))),"")</f>
        <v/>
      </c>
      <c r="H61" s="388" t="str" cm="1">
        <f t="array" ref="H61">IFERROR(_xlfn.AGGREGATE(15,3,('Ext. Walls'!$H$1:$H$315=1)/('Ext. Walls'!$H$1:$H$315=1)*ROW('Ext. Walls'!$H$1:$H$315),ROWS($B$61:$B61)),"")</f>
        <v/>
      </c>
      <c r="I61" s="388" t="str" cm="1">
        <f t="array" ref="I61">IF(ROWS($B$61:$B61)&lt;=$J$61,ROUND(INDEX('Ext. Walls'!D:D,H61),1)  &amp; " " &amp; INDEX('Ext. Walls'!E:E,H61),"")</f>
        <v/>
      </c>
      <c r="J61" s="207">
        <f>COUNTIF('Ext. Walls'!$H$1:$H$615,1)</f>
        <v>0</v>
      </c>
    </row>
    <row r="62" spans="1:10" ht="30.15" customHeight="1" x14ac:dyDescent="0.25">
      <c r="A62" s="204" t="str">
        <f>VLOOKUP("Ext. Walls",Setting!$E$6:$H$33,4,FALSE)</f>
        <v>Ext. Walls</v>
      </c>
      <c r="B62" s="205" t="str" cm="1">
        <f t="array" ref="B62">IF(ROWS($B$61:$B62)&lt;=$J$61,INDEX('Ext. Walls'!$R:$R,_xlfn.AGGREGATE(15,3,('Ext. Walls'!$H$1:$H$315=1)/('Ext. Walls'!$H$1:$H$315=1)*ROW('Ext. Walls'!$H$1:$H$315),ROWS($B$61:$B62))),"")</f>
        <v/>
      </c>
      <c r="C62" s="205" t="str" cm="1">
        <f t="array" ref="C62">IF(ROWS($B$61:$B62)&lt;=$J$61,INDEX('Ext. Walls'!C:C,$H62) &amp; INDEX('Ext. Walls'!S:S,$H62),"")</f>
        <v/>
      </c>
      <c r="D62" s="206" t="str">
        <f t="shared" ref="D62:D63" si="16">IFERROR(E62-F62,"")</f>
        <v/>
      </c>
      <c r="E62" s="206" t="str" cm="1">
        <f t="array" ref="E62">IF(ROWS($B$61:$B62)&lt;=$J$61,INDEX('Ext. Walls'!K:K,_xlfn.AGGREGATE(15,3,('Ext. Walls'!$H$1:$H$315=1)/('Ext. Walls'!$H$1:$H$315=1)*ROW('Ext. Walls'!$H$1:$H$315),ROWS($B$61:$B62))),"")</f>
        <v/>
      </c>
      <c r="F62" s="206" t="str" cm="1">
        <f t="array" ref="F62">IF(ROWS($B$61:$B62)&lt;=$J$61,INDEX('Ext. Walls'!L:L,_xlfn.AGGREGATE(15,3,('Ext. Walls'!$H$1:$H$315=1)/('Ext. Walls'!$H$1:$H$315=1)*ROW('Ext. Walls'!$H$1:$H$315),ROWS($B$61:$B62))),"")</f>
        <v/>
      </c>
      <c r="G62" s="206" t="str" cm="1">
        <f t="array" ref="G62">IF(ROWS($B$61:$B62)&lt;=$J$61,INDEX('Ext. Walls'!M:M,_xlfn.AGGREGATE(15,3,('Ext. Walls'!$H$1:$H$315=1)/('Ext. Walls'!$H$1:$H$315=1)*ROW('Ext. Walls'!$H$1:$H$315),ROWS($B$61:$B62))),"")</f>
        <v/>
      </c>
      <c r="H62" s="388" t="str" cm="1">
        <f t="array" ref="H62">IFERROR(_xlfn.AGGREGATE(15,3,('Ext. Walls'!$H$1:$H$315=1)/('Ext. Walls'!$H$1:$H$315=1)*ROW('Ext. Walls'!$H$1:$H$315),ROWS($B$61:$B62)),"")</f>
        <v/>
      </c>
      <c r="I62" s="388" t="str" cm="1">
        <f t="array" ref="I62">IF(ROWS($B$61:$B62)&lt;=$J$61,ROUND(INDEX('Ext. Walls'!D:D,H62),1)  &amp; " " &amp; INDEX('Ext. Walls'!E:E,H62),"")</f>
        <v/>
      </c>
    </row>
    <row r="63" spans="1:10" ht="30.15" customHeight="1" x14ac:dyDescent="0.25">
      <c r="A63" s="204" t="str">
        <f>VLOOKUP("Ext. Walls",Setting!$E$6:$H$33,4,FALSE)</f>
        <v>Ext. Walls</v>
      </c>
      <c r="B63" s="205" t="str" cm="1">
        <f t="array" ref="B63">IF(ROWS($B$61:$B63)&lt;=$J$61,INDEX('Ext. Walls'!$R:$R,_xlfn.AGGREGATE(15,3,('Ext. Walls'!$H$1:$H$315=1)/('Ext. Walls'!$H$1:$H$315=1)*ROW('Ext. Walls'!$H$1:$H$315),ROWS($B$61:$B63))),"")</f>
        <v/>
      </c>
      <c r="C63" s="205" t="str" cm="1">
        <f t="array" ref="C63">IF(ROWS($B$61:$B63)&lt;=$J$61,INDEX('Ext. Walls'!C:C,$H63) &amp; INDEX('Ext. Walls'!S:S,$H63),"")</f>
        <v/>
      </c>
      <c r="D63" s="206" t="str">
        <f t="shared" si="16"/>
        <v/>
      </c>
      <c r="E63" s="206" t="str" cm="1">
        <f t="array" ref="E63">IF(ROWS($B$61:$B63)&lt;=$J$61,INDEX('Ext. Walls'!K:K,_xlfn.AGGREGATE(15,3,('Ext. Walls'!$H$1:$H$315=1)/('Ext. Walls'!$H$1:$H$315=1)*ROW('Ext. Walls'!$H$1:$H$315),ROWS($B$61:$B63))),"")</f>
        <v/>
      </c>
      <c r="F63" s="206" t="str" cm="1">
        <f t="array" ref="F63">IF(ROWS($B$61:$B63)&lt;=$J$61,INDEX('Ext. Walls'!L:L,_xlfn.AGGREGATE(15,3,('Ext. Walls'!$H$1:$H$315=1)/('Ext. Walls'!$H$1:$H$315=1)*ROW('Ext. Walls'!$H$1:$H$315),ROWS($B$61:$B63))),"")</f>
        <v/>
      </c>
      <c r="G63" s="206" t="str" cm="1">
        <f t="array" ref="G63">IF(ROWS($B$61:$B63)&lt;=$J$61,INDEX('Ext. Walls'!M:M,_xlfn.AGGREGATE(15,3,('Ext. Walls'!$H$1:$H$315=1)/('Ext. Walls'!$H$1:$H$315=1)*ROW('Ext. Walls'!$H$1:$H$315),ROWS($B$61:$B63))),"")</f>
        <v/>
      </c>
      <c r="H63" s="388" t="str" cm="1">
        <f t="array" ref="H63">IFERROR(_xlfn.AGGREGATE(15,3,('Ext. Walls'!$H$1:$H$315=1)/('Ext. Walls'!$H$1:$H$315=1)*ROW('Ext. Walls'!$H$1:$H$315),ROWS($B$61:$B63)),"")</f>
        <v/>
      </c>
      <c r="I63" s="388" t="str" cm="1">
        <f t="array" ref="I63">IF(ROWS($B$61:$B63)&lt;=$J$61,ROUND(INDEX('Ext. Walls'!D:D,H63),1)  &amp; " " &amp; INDEX('Ext. Walls'!E:E,H63),"")</f>
        <v/>
      </c>
    </row>
    <row r="64" spans="1:10" ht="30.15" customHeight="1" x14ac:dyDescent="0.25">
      <c r="A64" s="204" t="str">
        <f>VLOOKUP("Ext. Walls",Setting!$E$6:$H$33,4,FALSE)</f>
        <v>Ext. Walls</v>
      </c>
      <c r="B64" s="205" t="str" cm="1">
        <f t="array" ref="B64">IF(ROWS($B$61:$B64)&lt;=$J$61,INDEX('Ext. Walls'!$R:$R,_xlfn.AGGREGATE(15,3,('Ext. Walls'!$H$1:$H$315=1)/('Ext. Walls'!$H$1:$H$315=1)*ROW('Ext. Walls'!$H$1:$H$315),ROWS($B$61:$B64))),"")</f>
        <v/>
      </c>
      <c r="C64" s="205" t="str" cm="1">
        <f t="array" ref="C64">IF(ROWS($B$61:$B64)&lt;=$J$61,INDEX('Ext. Walls'!C:C,$H64) &amp; INDEX('Ext. Walls'!S:S,$H64),"")</f>
        <v/>
      </c>
      <c r="D64" s="206" t="str">
        <f t="shared" ref="D64:D80" si="17">IFERROR(E64-F64,"")</f>
        <v/>
      </c>
      <c r="E64" s="206" t="str" cm="1">
        <f t="array" ref="E64">IF(ROWS($B$61:$B64)&lt;=$J$61,INDEX('Ext. Walls'!K:K,_xlfn.AGGREGATE(15,3,('Ext. Walls'!$H$1:$H$315=1)/('Ext. Walls'!$H$1:$H$315=1)*ROW('Ext. Walls'!$H$1:$H$315),ROWS($B$61:$B64))),"")</f>
        <v/>
      </c>
      <c r="F64" s="206" t="str" cm="1">
        <f t="array" ref="F64">IF(ROWS($B$61:$B64)&lt;=$J$61,INDEX('Ext. Walls'!L:L,_xlfn.AGGREGATE(15,3,('Ext. Walls'!$H$1:$H$315=1)/('Ext. Walls'!$H$1:$H$315=1)*ROW('Ext. Walls'!$H$1:$H$315),ROWS($B$61:$B64))),"")</f>
        <v/>
      </c>
      <c r="G64" s="206" t="str" cm="1">
        <f t="array" ref="G64">IF(ROWS($B$61:$B64)&lt;=$J$61,INDEX('Ext. Walls'!M:M,_xlfn.AGGREGATE(15,3,('Ext. Walls'!$H$1:$H$315=1)/('Ext. Walls'!$H$1:$H$315=1)*ROW('Ext. Walls'!$H$1:$H$315),ROWS($B$61:$B64))),"")</f>
        <v/>
      </c>
      <c r="H64" s="388" t="str" cm="1">
        <f t="array" ref="H64">IFERROR(_xlfn.AGGREGATE(15,3,('Ext. Walls'!$H$1:$H$315=1)/('Ext. Walls'!$H$1:$H$315=1)*ROW('Ext. Walls'!$H$1:$H$315),ROWS($B$61:$B64)),"")</f>
        <v/>
      </c>
      <c r="I64" s="388" t="str" cm="1">
        <f t="array" ref="I64">IF(ROWS($B$61:$B64)&lt;=$J$61,ROUND(INDEX('Ext. Walls'!D:D,H64),1)  &amp; " " &amp; INDEX('Ext. Walls'!E:E,H64),"")</f>
        <v/>
      </c>
    </row>
    <row r="65" spans="1:9" ht="30.15" customHeight="1" x14ac:dyDescent="0.25">
      <c r="A65" s="204" t="str">
        <f>VLOOKUP("Ext. Walls",Setting!$E$6:$H$33,4,FALSE)</f>
        <v>Ext. Walls</v>
      </c>
      <c r="B65" s="205" t="str" cm="1">
        <f t="array" ref="B65">IF(ROWS($B$61:$B65)&lt;=$J$61,INDEX('Ext. Walls'!$R:$R,_xlfn.AGGREGATE(15,3,('Ext. Walls'!$H$1:$H$315=1)/('Ext. Walls'!$H$1:$H$315=1)*ROW('Ext. Walls'!$H$1:$H$315),ROWS($B$61:$B65))),"")</f>
        <v/>
      </c>
      <c r="C65" s="205" t="str" cm="1">
        <f t="array" ref="C65">IF(ROWS($B$61:$B65)&lt;=$J$61,INDEX('Ext. Walls'!C:C,$H65) &amp; INDEX('Ext. Walls'!S:S,$H65),"")</f>
        <v/>
      </c>
      <c r="D65" s="206" t="str">
        <f t="shared" si="17"/>
        <v/>
      </c>
      <c r="E65" s="206" t="str" cm="1">
        <f t="array" ref="E65">IF(ROWS($B$61:$B65)&lt;=$J$61,INDEX('Ext. Walls'!K:K,_xlfn.AGGREGATE(15,3,('Ext. Walls'!$H$1:$H$315=1)/('Ext. Walls'!$H$1:$H$315=1)*ROW('Ext. Walls'!$H$1:$H$315),ROWS($B$61:$B65))),"")</f>
        <v/>
      </c>
      <c r="F65" s="206" t="str" cm="1">
        <f t="array" ref="F65">IF(ROWS($B$61:$B65)&lt;=$J$61,INDEX('Ext. Walls'!L:L,_xlfn.AGGREGATE(15,3,('Ext. Walls'!$H$1:$H$315=1)/('Ext. Walls'!$H$1:$H$315=1)*ROW('Ext. Walls'!$H$1:$H$315),ROWS($B$61:$B65))),"")</f>
        <v/>
      </c>
      <c r="G65" s="206" t="str" cm="1">
        <f t="array" ref="G65">IF(ROWS($B$61:$B65)&lt;=$J$61,INDEX('Ext. Walls'!M:M,_xlfn.AGGREGATE(15,3,('Ext. Walls'!$H$1:$H$315=1)/('Ext. Walls'!$H$1:$H$315=1)*ROW('Ext. Walls'!$H$1:$H$315),ROWS($B$61:$B65))),"")</f>
        <v/>
      </c>
      <c r="H65" s="388" t="str" cm="1">
        <f t="array" ref="H65">IFERROR(_xlfn.AGGREGATE(15,3,('Ext. Walls'!$H$1:$H$315=1)/('Ext. Walls'!$H$1:$H$315=1)*ROW('Ext. Walls'!$H$1:$H$315),ROWS($B$61:$B65)),"")</f>
        <v/>
      </c>
      <c r="I65" s="388" t="str" cm="1">
        <f t="array" ref="I65">IF(ROWS($B$61:$B65)&lt;=$J$61,ROUND(INDEX('Ext. Walls'!D:D,H65),1)  &amp; " " &amp; INDEX('Ext. Walls'!E:E,H65),"")</f>
        <v/>
      </c>
    </row>
    <row r="66" spans="1:9" ht="30.15" customHeight="1" x14ac:dyDescent="0.25">
      <c r="A66" s="204" t="str">
        <f>VLOOKUP("Ext. Walls",Setting!$E$6:$H$33,4,FALSE)</f>
        <v>Ext. Walls</v>
      </c>
      <c r="B66" s="205" t="str" cm="1">
        <f t="array" ref="B66">IF(ROWS($B$61:$B66)&lt;=$J$61,INDEX('Ext. Walls'!$R:$R,_xlfn.AGGREGATE(15,3,('Ext. Walls'!$H$1:$H$315=1)/('Ext. Walls'!$H$1:$H$315=1)*ROW('Ext. Walls'!$H$1:$H$315),ROWS($B$61:$B66))),"")</f>
        <v/>
      </c>
      <c r="C66" s="205" t="str" cm="1">
        <f t="array" ref="C66">IF(ROWS($B$61:$B66)&lt;=$J$61,INDEX('Ext. Walls'!C:C,$H66) &amp; INDEX('Ext. Walls'!S:S,$H66),"")</f>
        <v/>
      </c>
      <c r="D66" s="206" t="str">
        <f t="shared" si="17"/>
        <v/>
      </c>
      <c r="E66" s="206" t="str" cm="1">
        <f t="array" ref="E66">IF(ROWS($B$61:$B66)&lt;=$J$61,INDEX('Ext. Walls'!K:K,_xlfn.AGGREGATE(15,3,('Ext. Walls'!$H$1:$H$315=1)/('Ext. Walls'!$H$1:$H$315=1)*ROW('Ext. Walls'!$H$1:$H$315),ROWS($B$61:$B66))),"")</f>
        <v/>
      </c>
      <c r="F66" s="206" t="str" cm="1">
        <f t="array" ref="F66">IF(ROWS($B$61:$B66)&lt;=$J$61,INDEX('Ext. Walls'!L:L,_xlfn.AGGREGATE(15,3,('Ext. Walls'!$H$1:$H$315=1)/('Ext. Walls'!$H$1:$H$315=1)*ROW('Ext. Walls'!$H$1:$H$315),ROWS($B$61:$B66))),"")</f>
        <v/>
      </c>
      <c r="G66" s="206" t="str" cm="1">
        <f t="array" ref="G66">IF(ROWS($B$61:$B66)&lt;=$J$61,INDEX('Ext. Walls'!M:M,_xlfn.AGGREGATE(15,3,('Ext. Walls'!$H$1:$H$315=1)/('Ext. Walls'!$H$1:$H$315=1)*ROW('Ext. Walls'!$H$1:$H$315),ROWS($B$61:$B66))),"")</f>
        <v/>
      </c>
      <c r="H66" s="388" t="str" cm="1">
        <f t="array" ref="H66">IFERROR(_xlfn.AGGREGATE(15,3,('Ext. Walls'!$H$1:$H$315=1)/('Ext. Walls'!$H$1:$H$315=1)*ROW('Ext. Walls'!$H$1:$H$315),ROWS($B$61:$B66)),"")</f>
        <v/>
      </c>
      <c r="I66" s="388" t="str" cm="1">
        <f t="array" ref="I66">IF(ROWS($B$61:$B66)&lt;=$J$61,ROUND(INDEX('Ext. Walls'!D:D,H66),1)  &amp; " " &amp; INDEX('Ext. Walls'!E:E,H66),"")</f>
        <v/>
      </c>
    </row>
    <row r="67" spans="1:9" ht="30.15" customHeight="1" x14ac:dyDescent="0.25">
      <c r="A67" s="204" t="str">
        <f>VLOOKUP("Ext. Walls",Setting!$E$6:$H$33,4,FALSE)</f>
        <v>Ext. Walls</v>
      </c>
      <c r="B67" s="205" t="str" cm="1">
        <f t="array" ref="B67">IF(ROWS($B$61:$B67)&lt;=$J$61,INDEX('Ext. Walls'!$R:$R,_xlfn.AGGREGATE(15,3,('Ext. Walls'!$H$1:$H$315=1)/('Ext. Walls'!$H$1:$H$315=1)*ROW('Ext. Walls'!$H$1:$H$315),ROWS($B$61:$B67))),"")</f>
        <v/>
      </c>
      <c r="C67" s="205" t="str" cm="1">
        <f t="array" ref="C67">IF(ROWS($B$61:$B67)&lt;=$J$61,INDEX('Ext. Walls'!C:C,$H67) &amp; INDEX('Ext. Walls'!S:S,$H67),"")</f>
        <v/>
      </c>
      <c r="D67" s="206" t="str">
        <f t="shared" si="17"/>
        <v/>
      </c>
      <c r="E67" s="206" t="str" cm="1">
        <f t="array" ref="E67">IF(ROWS($B$61:$B67)&lt;=$J$61,INDEX('Ext. Walls'!K:K,_xlfn.AGGREGATE(15,3,('Ext. Walls'!$H$1:$H$315=1)/('Ext. Walls'!$H$1:$H$315=1)*ROW('Ext. Walls'!$H$1:$H$315),ROWS($B$61:$B67))),"")</f>
        <v/>
      </c>
      <c r="F67" s="206" t="str" cm="1">
        <f t="array" ref="F67">IF(ROWS($B$61:$B67)&lt;=$J$61,INDEX('Ext. Walls'!L:L,_xlfn.AGGREGATE(15,3,('Ext. Walls'!$H$1:$H$315=1)/('Ext. Walls'!$H$1:$H$315=1)*ROW('Ext. Walls'!$H$1:$H$315),ROWS($B$61:$B67))),"")</f>
        <v/>
      </c>
      <c r="G67" s="206" t="str" cm="1">
        <f t="array" ref="G67">IF(ROWS($B$61:$B67)&lt;=$J$61,INDEX('Ext. Walls'!M:M,_xlfn.AGGREGATE(15,3,('Ext. Walls'!$H$1:$H$315=1)/('Ext. Walls'!$H$1:$H$315=1)*ROW('Ext. Walls'!$H$1:$H$315),ROWS($B$61:$B67))),"")</f>
        <v/>
      </c>
      <c r="H67" s="388" t="str" cm="1">
        <f t="array" ref="H67">IFERROR(_xlfn.AGGREGATE(15,3,('Ext. Walls'!$H$1:$H$315=1)/('Ext. Walls'!$H$1:$H$315=1)*ROW('Ext. Walls'!$H$1:$H$315),ROWS($B$61:$B67)),"")</f>
        <v/>
      </c>
      <c r="I67" s="388" t="str" cm="1">
        <f t="array" ref="I67">IF(ROWS($B$61:$B67)&lt;=$J$61,ROUND(INDEX('Ext. Walls'!D:D,H67),1)  &amp; " " &amp; INDEX('Ext. Walls'!E:E,H67),"")</f>
        <v/>
      </c>
    </row>
    <row r="68" spans="1:9" ht="30.15" customHeight="1" x14ac:dyDescent="0.25">
      <c r="A68" s="204" t="str">
        <f>VLOOKUP("Ext. Walls",Setting!$E$6:$H$33,4,FALSE)</f>
        <v>Ext. Walls</v>
      </c>
      <c r="B68" s="205" t="str" cm="1">
        <f t="array" ref="B68">IF(ROWS($B$61:$B68)&lt;=$J$61,INDEX('Ext. Walls'!$R:$R,_xlfn.AGGREGATE(15,3,('Ext. Walls'!$H$1:$H$315=1)/('Ext. Walls'!$H$1:$H$315=1)*ROW('Ext. Walls'!$H$1:$H$315),ROWS($B$61:$B68))),"")</f>
        <v/>
      </c>
      <c r="C68" s="205" t="str" cm="1">
        <f t="array" ref="C68">IF(ROWS($B$61:$B68)&lt;=$J$61,INDEX('Ext. Walls'!C:C,$H68) &amp; INDEX('Ext. Walls'!S:S,$H68),"")</f>
        <v/>
      </c>
      <c r="D68" s="206" t="str">
        <f t="shared" si="17"/>
        <v/>
      </c>
      <c r="E68" s="206" t="str" cm="1">
        <f t="array" ref="E68">IF(ROWS($B$61:$B68)&lt;=$J$61,INDEX('Ext. Walls'!K:K,_xlfn.AGGREGATE(15,3,('Ext. Walls'!$H$1:$H$315=1)/('Ext. Walls'!$H$1:$H$315=1)*ROW('Ext. Walls'!$H$1:$H$315),ROWS($B$61:$B68))),"")</f>
        <v/>
      </c>
      <c r="F68" s="206" t="str" cm="1">
        <f t="array" ref="F68">IF(ROWS($B$61:$B68)&lt;=$J$61,INDEX('Ext. Walls'!L:L,_xlfn.AGGREGATE(15,3,('Ext. Walls'!$H$1:$H$315=1)/('Ext. Walls'!$H$1:$H$315=1)*ROW('Ext. Walls'!$H$1:$H$315),ROWS($B$61:$B68))),"")</f>
        <v/>
      </c>
      <c r="G68" s="206" t="str" cm="1">
        <f t="array" ref="G68">IF(ROWS($B$61:$B68)&lt;=$J$61,INDEX('Ext. Walls'!M:M,_xlfn.AGGREGATE(15,3,('Ext. Walls'!$H$1:$H$315=1)/('Ext. Walls'!$H$1:$H$315=1)*ROW('Ext. Walls'!$H$1:$H$315),ROWS($B$61:$B68))),"")</f>
        <v/>
      </c>
      <c r="H68" s="388" t="str" cm="1">
        <f t="array" ref="H68">IFERROR(_xlfn.AGGREGATE(15,3,('Ext. Walls'!$H$1:$H$315=1)/('Ext. Walls'!$H$1:$H$315=1)*ROW('Ext. Walls'!$H$1:$H$315),ROWS($B$61:$B68)),"")</f>
        <v/>
      </c>
      <c r="I68" s="388" t="str" cm="1">
        <f t="array" ref="I68">IF(ROWS($B$61:$B68)&lt;=$J$61,ROUND(INDEX('Ext. Walls'!D:D,H68),1)  &amp; " " &amp; INDEX('Ext. Walls'!E:E,H68),"")</f>
        <v/>
      </c>
    </row>
    <row r="69" spans="1:9" ht="30.15" customHeight="1" x14ac:dyDescent="0.25">
      <c r="A69" s="204" t="str">
        <f>VLOOKUP("Ext. Walls",Setting!$E$6:$H$33,4,FALSE)</f>
        <v>Ext. Walls</v>
      </c>
      <c r="B69" s="205" t="str" cm="1">
        <f t="array" ref="B69">IF(ROWS($B$61:$B69)&lt;=$J$61,INDEX('Ext. Walls'!$R:$R,_xlfn.AGGREGATE(15,3,('Ext. Walls'!$H$1:$H$315=1)/('Ext. Walls'!$H$1:$H$315=1)*ROW('Ext. Walls'!$H$1:$H$315),ROWS($B$61:$B69))),"")</f>
        <v/>
      </c>
      <c r="C69" s="205" t="str" cm="1">
        <f t="array" ref="C69">IF(ROWS($B$61:$B69)&lt;=$J$61,INDEX('Ext. Walls'!C:C,$H69) &amp; INDEX('Ext. Walls'!S:S,$H69),"")</f>
        <v/>
      </c>
      <c r="D69" s="206" t="str">
        <f t="shared" si="17"/>
        <v/>
      </c>
      <c r="E69" s="206" t="str" cm="1">
        <f t="array" ref="E69">IF(ROWS($B$61:$B69)&lt;=$J$61,INDEX('Ext. Walls'!K:K,_xlfn.AGGREGATE(15,3,('Ext. Walls'!$H$1:$H$315=1)/('Ext. Walls'!$H$1:$H$315=1)*ROW('Ext. Walls'!$H$1:$H$315),ROWS($B$61:$B69))),"")</f>
        <v/>
      </c>
      <c r="F69" s="206" t="str" cm="1">
        <f t="array" ref="F69">IF(ROWS($B$61:$B69)&lt;=$J$61,INDEX('Ext. Walls'!L:L,_xlfn.AGGREGATE(15,3,('Ext. Walls'!$H$1:$H$315=1)/('Ext. Walls'!$H$1:$H$315=1)*ROW('Ext. Walls'!$H$1:$H$315),ROWS($B$61:$B69))),"")</f>
        <v/>
      </c>
      <c r="G69" s="206" t="str" cm="1">
        <f t="array" ref="G69">IF(ROWS($B$61:$B69)&lt;=$J$61,INDEX('Ext. Walls'!M:M,_xlfn.AGGREGATE(15,3,('Ext. Walls'!$H$1:$H$315=1)/('Ext. Walls'!$H$1:$H$315=1)*ROW('Ext. Walls'!$H$1:$H$315),ROWS($B$61:$B69))),"")</f>
        <v/>
      </c>
      <c r="H69" s="388" t="str" cm="1">
        <f t="array" ref="H69">IFERROR(_xlfn.AGGREGATE(15,3,('Ext. Walls'!$H$1:$H$315=1)/('Ext. Walls'!$H$1:$H$315=1)*ROW('Ext. Walls'!$H$1:$H$315),ROWS($B$61:$B69)),"")</f>
        <v/>
      </c>
      <c r="I69" s="388" t="str" cm="1">
        <f t="array" ref="I69">IF(ROWS($B$61:$B69)&lt;=$J$61,ROUND(INDEX('Ext. Walls'!D:D,H69),1)  &amp; " " &amp; INDEX('Ext. Walls'!E:E,H69),"")</f>
        <v/>
      </c>
    </row>
    <row r="70" spans="1:9" ht="30.15" customHeight="1" x14ac:dyDescent="0.25">
      <c r="A70" s="204" t="str">
        <f>VLOOKUP("Ext. Walls",Setting!$E$6:$H$33,4,FALSE)</f>
        <v>Ext. Walls</v>
      </c>
      <c r="B70" s="205" t="str" cm="1">
        <f t="array" ref="B70">IF(ROWS($B$61:$B70)&lt;=$J$61,INDEX('Ext. Walls'!$R:$R,_xlfn.AGGREGATE(15,3,('Ext. Walls'!$H$1:$H$315=1)/('Ext. Walls'!$H$1:$H$315=1)*ROW('Ext. Walls'!$H$1:$H$315),ROWS($B$61:$B70))),"")</f>
        <v/>
      </c>
      <c r="C70" s="205" t="str" cm="1">
        <f t="array" ref="C70">IF(ROWS($B$61:$B70)&lt;=$J$61,INDEX('Ext. Walls'!C:C,$H70) &amp; INDEX('Ext. Walls'!S:S,$H70),"")</f>
        <v/>
      </c>
      <c r="D70" s="206" t="str">
        <f t="shared" si="17"/>
        <v/>
      </c>
      <c r="E70" s="206" t="str" cm="1">
        <f t="array" ref="E70">IF(ROWS($B$61:$B70)&lt;=$J$61,INDEX('Ext. Walls'!K:K,_xlfn.AGGREGATE(15,3,('Ext. Walls'!$H$1:$H$315=1)/('Ext. Walls'!$H$1:$H$315=1)*ROW('Ext. Walls'!$H$1:$H$315),ROWS($B$61:$B70))),"")</f>
        <v/>
      </c>
      <c r="F70" s="206" t="str" cm="1">
        <f t="array" ref="F70">IF(ROWS($B$61:$B70)&lt;=$J$61,INDEX('Ext. Walls'!L:L,_xlfn.AGGREGATE(15,3,('Ext. Walls'!$H$1:$H$315=1)/('Ext. Walls'!$H$1:$H$315=1)*ROW('Ext. Walls'!$H$1:$H$315),ROWS($B$61:$B70))),"")</f>
        <v/>
      </c>
      <c r="G70" s="206" t="str" cm="1">
        <f t="array" ref="G70">IF(ROWS($B$61:$B70)&lt;=$J$61,INDEX('Ext. Walls'!M:M,_xlfn.AGGREGATE(15,3,('Ext. Walls'!$H$1:$H$315=1)/('Ext. Walls'!$H$1:$H$315=1)*ROW('Ext. Walls'!$H$1:$H$315),ROWS($B$61:$B70))),"")</f>
        <v/>
      </c>
      <c r="H70" s="388" t="str" cm="1">
        <f t="array" ref="H70">IFERROR(_xlfn.AGGREGATE(15,3,('Ext. Walls'!$H$1:$H$315=1)/('Ext. Walls'!$H$1:$H$315=1)*ROW('Ext. Walls'!$H$1:$H$315),ROWS($B$61:$B70)),"")</f>
        <v/>
      </c>
      <c r="I70" s="388" t="str" cm="1">
        <f t="array" ref="I70">IF(ROWS($B$61:$B70)&lt;=$J$61,ROUND(INDEX('Ext. Walls'!D:D,H70),1)  &amp; " " &amp; INDEX('Ext. Walls'!E:E,H70),"")</f>
        <v/>
      </c>
    </row>
    <row r="71" spans="1:9" ht="30.15" customHeight="1" x14ac:dyDescent="0.25">
      <c r="A71" s="204" t="str">
        <f>VLOOKUP("Ext. Walls",Setting!$E$6:$H$33,4,FALSE)</f>
        <v>Ext. Walls</v>
      </c>
      <c r="B71" s="205" t="str" cm="1">
        <f t="array" ref="B71">IF(ROWS($B$61:$B71)&lt;=$J$61,INDEX('Ext. Walls'!$R:$R,_xlfn.AGGREGATE(15,3,('Ext. Walls'!$H$1:$H$315=1)/('Ext. Walls'!$H$1:$H$315=1)*ROW('Ext. Walls'!$H$1:$H$315),ROWS($B$61:$B71))),"")</f>
        <v/>
      </c>
      <c r="C71" s="205" t="str" cm="1">
        <f t="array" ref="C71">IF(ROWS($B$61:$B71)&lt;=$J$61,INDEX('Ext. Walls'!C:C,$H71) &amp; INDEX('Ext. Walls'!S:S,$H71),"")</f>
        <v/>
      </c>
      <c r="D71" s="206" t="str">
        <f t="shared" si="17"/>
        <v/>
      </c>
      <c r="E71" s="206" t="str" cm="1">
        <f t="array" ref="E71">IF(ROWS($B$61:$B71)&lt;=$J$61,INDEX('Ext. Walls'!K:K,_xlfn.AGGREGATE(15,3,('Ext. Walls'!$H$1:$H$315=1)/('Ext. Walls'!$H$1:$H$315=1)*ROW('Ext. Walls'!$H$1:$H$315),ROWS($B$61:$B71))),"")</f>
        <v/>
      </c>
      <c r="F71" s="206" t="str" cm="1">
        <f t="array" ref="F71">IF(ROWS($B$61:$B71)&lt;=$J$61,INDEX('Ext. Walls'!L:L,_xlfn.AGGREGATE(15,3,('Ext. Walls'!$H$1:$H$315=1)/('Ext. Walls'!$H$1:$H$315=1)*ROW('Ext. Walls'!$H$1:$H$315),ROWS($B$61:$B71))),"")</f>
        <v/>
      </c>
      <c r="G71" s="206" t="str" cm="1">
        <f t="array" ref="G71">IF(ROWS($B$61:$B71)&lt;=$J$61,INDEX('Ext. Walls'!M:M,_xlfn.AGGREGATE(15,3,('Ext. Walls'!$H$1:$H$315=1)/('Ext. Walls'!$H$1:$H$315=1)*ROW('Ext. Walls'!$H$1:$H$315),ROWS($B$61:$B71))),"")</f>
        <v/>
      </c>
      <c r="H71" s="388" t="str" cm="1">
        <f t="array" ref="H71">IFERROR(_xlfn.AGGREGATE(15,3,('Ext. Walls'!$H$1:$H$315=1)/('Ext. Walls'!$H$1:$H$315=1)*ROW('Ext. Walls'!$H$1:$H$315),ROWS($B$61:$B71)),"")</f>
        <v/>
      </c>
      <c r="I71" s="388" t="str" cm="1">
        <f t="array" ref="I71">IF(ROWS($B$61:$B71)&lt;=$J$61,ROUND(INDEX('Ext. Walls'!D:D,H71),1)  &amp; " " &amp; INDEX('Ext. Walls'!E:E,H71),"")</f>
        <v/>
      </c>
    </row>
    <row r="72" spans="1:9" ht="30.15" customHeight="1" x14ac:dyDescent="0.25">
      <c r="A72" s="204" t="str">
        <f>VLOOKUP("Ext. Walls",Setting!$E$6:$H$33,4,FALSE)</f>
        <v>Ext. Walls</v>
      </c>
      <c r="B72" s="205" t="str" cm="1">
        <f t="array" ref="B72">IF(ROWS($B$61:$B72)&lt;=$J$61,INDEX('Ext. Walls'!$R:$R,_xlfn.AGGREGATE(15,3,('Ext. Walls'!$H$1:$H$315=1)/('Ext. Walls'!$H$1:$H$315=1)*ROW('Ext. Walls'!$H$1:$H$315),ROWS($B$61:$B72))),"")</f>
        <v/>
      </c>
      <c r="C72" s="205" t="str" cm="1">
        <f t="array" ref="C72">IF(ROWS($B$61:$B72)&lt;=$J$61,INDEX('Ext. Walls'!C:C,$H72) &amp; INDEX('Ext. Walls'!S:S,$H72),"")</f>
        <v/>
      </c>
      <c r="D72" s="206" t="str">
        <f t="shared" si="17"/>
        <v/>
      </c>
      <c r="E72" s="206" t="str" cm="1">
        <f t="array" ref="E72">IF(ROWS($B$61:$B72)&lt;=$J$61,INDEX('Ext. Walls'!K:K,_xlfn.AGGREGATE(15,3,('Ext. Walls'!$H$1:$H$315=1)/('Ext. Walls'!$H$1:$H$315=1)*ROW('Ext. Walls'!$H$1:$H$315),ROWS($B$61:$B72))),"")</f>
        <v/>
      </c>
      <c r="F72" s="206" t="str" cm="1">
        <f t="array" ref="F72">IF(ROWS($B$61:$B72)&lt;=$J$61,INDEX('Ext. Walls'!L:L,_xlfn.AGGREGATE(15,3,('Ext. Walls'!$H$1:$H$315=1)/('Ext. Walls'!$H$1:$H$315=1)*ROW('Ext. Walls'!$H$1:$H$315),ROWS($B$61:$B72))),"")</f>
        <v/>
      </c>
      <c r="G72" s="206" t="str" cm="1">
        <f t="array" ref="G72">IF(ROWS($B$61:$B72)&lt;=$J$61,INDEX('Ext. Walls'!M:M,_xlfn.AGGREGATE(15,3,('Ext. Walls'!$H$1:$H$315=1)/('Ext. Walls'!$H$1:$H$315=1)*ROW('Ext. Walls'!$H$1:$H$315),ROWS($B$61:$B72))),"")</f>
        <v/>
      </c>
      <c r="H72" s="388" t="str" cm="1">
        <f t="array" ref="H72">IFERROR(_xlfn.AGGREGATE(15,3,('Ext. Walls'!$H$1:$H$315=1)/('Ext. Walls'!$H$1:$H$315=1)*ROW('Ext. Walls'!$H$1:$H$315),ROWS($B$61:$B72)),"")</f>
        <v/>
      </c>
      <c r="I72" s="388" t="str" cm="1">
        <f t="array" ref="I72">IF(ROWS($B$61:$B72)&lt;=$J$61,ROUND(INDEX('Ext. Walls'!D:D,H72),1)  &amp; " " &amp; INDEX('Ext. Walls'!E:E,H72),"")</f>
        <v/>
      </c>
    </row>
    <row r="73" spans="1:9" ht="30.15" customHeight="1" x14ac:dyDescent="0.25">
      <c r="A73" s="204" t="str">
        <f>VLOOKUP("Ext. Walls",Setting!$E$6:$H$33,4,FALSE)</f>
        <v>Ext. Walls</v>
      </c>
      <c r="B73" s="205" t="str" cm="1">
        <f t="array" ref="B73">IF(ROWS($B$61:$B73)&lt;=$J$61,INDEX('Ext. Walls'!$R:$R,_xlfn.AGGREGATE(15,3,('Ext. Walls'!$H$1:$H$315=1)/('Ext. Walls'!$H$1:$H$315=1)*ROW('Ext. Walls'!$H$1:$H$315),ROWS($B$61:$B73))),"")</f>
        <v/>
      </c>
      <c r="C73" s="205" t="str" cm="1">
        <f t="array" ref="C73">IF(ROWS($B$61:$B73)&lt;=$J$61,INDEX('Ext. Walls'!C:C,$H73) &amp; INDEX('Ext. Walls'!S:S,$H73),"")</f>
        <v/>
      </c>
      <c r="D73" s="206" t="str">
        <f t="shared" si="17"/>
        <v/>
      </c>
      <c r="E73" s="206" t="str" cm="1">
        <f t="array" ref="E73">IF(ROWS($B$61:$B73)&lt;=$J$61,INDEX('Ext. Walls'!K:K,_xlfn.AGGREGATE(15,3,('Ext. Walls'!$H$1:$H$315=1)/('Ext. Walls'!$H$1:$H$315=1)*ROW('Ext. Walls'!$H$1:$H$315),ROWS($B$61:$B73))),"")</f>
        <v/>
      </c>
      <c r="F73" s="206" t="str" cm="1">
        <f t="array" ref="F73">IF(ROWS($B$61:$B73)&lt;=$J$61,INDEX('Ext. Walls'!L:L,_xlfn.AGGREGATE(15,3,('Ext. Walls'!$H$1:$H$315=1)/('Ext. Walls'!$H$1:$H$315=1)*ROW('Ext. Walls'!$H$1:$H$315),ROWS($B$61:$B73))),"")</f>
        <v/>
      </c>
      <c r="G73" s="206" t="str" cm="1">
        <f t="array" ref="G73">IF(ROWS($B$61:$B73)&lt;=$J$61,INDEX('Ext. Walls'!M:M,_xlfn.AGGREGATE(15,3,('Ext. Walls'!$H$1:$H$315=1)/('Ext. Walls'!$H$1:$H$315=1)*ROW('Ext. Walls'!$H$1:$H$315),ROWS($B$61:$B73))),"")</f>
        <v/>
      </c>
      <c r="H73" s="388" t="str" cm="1">
        <f t="array" ref="H73">IFERROR(_xlfn.AGGREGATE(15,3,('Ext. Walls'!$H$1:$H$315=1)/('Ext. Walls'!$H$1:$H$315=1)*ROW('Ext. Walls'!$H$1:$H$315),ROWS($B$61:$B73)),"")</f>
        <v/>
      </c>
      <c r="I73" s="388" t="str" cm="1">
        <f t="array" ref="I73">IF(ROWS($B$61:$B73)&lt;=$J$61,ROUND(INDEX('Ext. Walls'!D:D,H73),1)  &amp; " " &amp; INDEX('Ext. Walls'!E:E,H73),"")</f>
        <v/>
      </c>
    </row>
    <row r="74" spans="1:9" ht="30.15" customHeight="1" x14ac:dyDescent="0.25">
      <c r="A74" s="204" t="str">
        <f>VLOOKUP("Ext. Walls",Setting!$E$6:$H$33,4,FALSE)</f>
        <v>Ext. Walls</v>
      </c>
      <c r="B74" s="205" t="str" cm="1">
        <f t="array" ref="B74">IF(ROWS($B$61:$B74)&lt;=$J$61,INDEX('Ext. Walls'!$R:$R,_xlfn.AGGREGATE(15,3,('Ext. Walls'!$H$1:$H$315=1)/('Ext. Walls'!$H$1:$H$315=1)*ROW('Ext. Walls'!$H$1:$H$315),ROWS($B$61:$B74))),"")</f>
        <v/>
      </c>
      <c r="C74" s="205" t="str" cm="1">
        <f t="array" ref="C74">IF(ROWS($B$61:$B74)&lt;=$J$61,INDEX('Ext. Walls'!C:C,$H74) &amp; INDEX('Ext. Walls'!S:S,$H74),"")</f>
        <v/>
      </c>
      <c r="D74" s="206" t="str">
        <f t="shared" si="17"/>
        <v/>
      </c>
      <c r="E74" s="206" t="str" cm="1">
        <f t="array" ref="E74">IF(ROWS($B$61:$B74)&lt;=$J$61,INDEX('Ext. Walls'!K:K,_xlfn.AGGREGATE(15,3,('Ext. Walls'!$H$1:$H$315=1)/('Ext. Walls'!$H$1:$H$315=1)*ROW('Ext. Walls'!$H$1:$H$315),ROWS($B$61:$B74))),"")</f>
        <v/>
      </c>
      <c r="F74" s="206" t="str" cm="1">
        <f t="array" ref="F74">IF(ROWS($B$61:$B74)&lt;=$J$61,INDEX('Ext. Walls'!L:L,_xlfn.AGGREGATE(15,3,('Ext. Walls'!$H$1:$H$315=1)/('Ext. Walls'!$H$1:$H$315=1)*ROW('Ext. Walls'!$H$1:$H$315),ROWS($B$61:$B74))),"")</f>
        <v/>
      </c>
      <c r="G74" s="206" t="str" cm="1">
        <f t="array" ref="G74">IF(ROWS($B$61:$B74)&lt;=$J$61,INDEX('Ext. Walls'!M:M,_xlfn.AGGREGATE(15,3,('Ext. Walls'!$H$1:$H$315=1)/('Ext. Walls'!$H$1:$H$315=1)*ROW('Ext. Walls'!$H$1:$H$315),ROWS($B$61:$B74))),"")</f>
        <v/>
      </c>
      <c r="H74" s="388" t="str" cm="1">
        <f t="array" ref="H74">IFERROR(_xlfn.AGGREGATE(15,3,('Ext. Walls'!$H$1:$H$315=1)/('Ext. Walls'!$H$1:$H$315=1)*ROW('Ext. Walls'!$H$1:$H$315),ROWS($B$61:$B74)),"")</f>
        <v/>
      </c>
      <c r="I74" s="388" t="str" cm="1">
        <f t="array" ref="I74">IF(ROWS($B$61:$B74)&lt;=$J$61,ROUND(INDEX('Ext. Walls'!D:D,H74),1)  &amp; " " &amp; INDEX('Ext. Walls'!E:E,H74),"")</f>
        <v/>
      </c>
    </row>
    <row r="75" spans="1:9" ht="30.15" customHeight="1" x14ac:dyDescent="0.25">
      <c r="A75" s="204" t="str">
        <f>VLOOKUP("Ext. Walls",Setting!$E$6:$H$33,4,FALSE)</f>
        <v>Ext. Walls</v>
      </c>
      <c r="B75" s="205" t="str" cm="1">
        <f t="array" ref="B75">IF(ROWS($B$61:$B75)&lt;=$J$61,INDEX('Ext. Walls'!$R:$R,_xlfn.AGGREGATE(15,3,('Ext. Walls'!$H$1:$H$315=1)/('Ext. Walls'!$H$1:$H$315=1)*ROW('Ext. Walls'!$H$1:$H$315),ROWS($B$61:$B75))),"")</f>
        <v/>
      </c>
      <c r="C75" s="205" t="str" cm="1">
        <f t="array" ref="C75">IF(ROWS($B$61:$B75)&lt;=$J$61,INDEX('Ext. Walls'!C:C,$H75) &amp; INDEX('Ext. Walls'!S:S,$H75),"")</f>
        <v/>
      </c>
      <c r="D75" s="206" t="str">
        <f t="shared" si="17"/>
        <v/>
      </c>
      <c r="E75" s="206" t="str" cm="1">
        <f t="array" ref="E75">IF(ROWS($B$61:$B75)&lt;=$J$61,INDEX('Ext. Walls'!K:K,_xlfn.AGGREGATE(15,3,('Ext. Walls'!$H$1:$H$315=1)/('Ext. Walls'!$H$1:$H$315=1)*ROW('Ext. Walls'!$H$1:$H$315),ROWS($B$61:$B75))),"")</f>
        <v/>
      </c>
      <c r="F75" s="206" t="str" cm="1">
        <f t="array" ref="F75">IF(ROWS($B$61:$B75)&lt;=$J$61,INDEX('Ext. Walls'!L:L,_xlfn.AGGREGATE(15,3,('Ext. Walls'!$H$1:$H$315=1)/('Ext. Walls'!$H$1:$H$315=1)*ROW('Ext. Walls'!$H$1:$H$315),ROWS($B$61:$B75))),"")</f>
        <v/>
      </c>
      <c r="G75" s="206" t="str" cm="1">
        <f t="array" ref="G75">IF(ROWS($B$61:$B75)&lt;=$J$61,INDEX('Ext. Walls'!M:M,_xlfn.AGGREGATE(15,3,('Ext. Walls'!$H$1:$H$315=1)/('Ext. Walls'!$H$1:$H$315=1)*ROW('Ext. Walls'!$H$1:$H$315),ROWS($B$61:$B75))),"")</f>
        <v/>
      </c>
      <c r="H75" s="388" t="str" cm="1">
        <f t="array" ref="H75">IFERROR(_xlfn.AGGREGATE(15,3,('Ext. Walls'!$H$1:$H$315=1)/('Ext. Walls'!$H$1:$H$315=1)*ROW('Ext. Walls'!$H$1:$H$315),ROWS($B$61:$B75)),"")</f>
        <v/>
      </c>
      <c r="I75" s="388" t="str" cm="1">
        <f t="array" ref="I75">IF(ROWS($B$61:$B75)&lt;=$J$61,ROUND(INDEX('Ext. Walls'!D:D,H75),1)  &amp; " " &amp; INDEX('Ext. Walls'!E:E,H75),"")</f>
        <v/>
      </c>
    </row>
    <row r="76" spans="1:9" ht="30.15" customHeight="1" x14ac:dyDescent="0.25">
      <c r="A76" s="204" t="str">
        <f>VLOOKUP("Ext. Walls",Setting!$E$6:$H$33,4,FALSE)</f>
        <v>Ext. Walls</v>
      </c>
      <c r="B76" s="205" t="str" cm="1">
        <f t="array" ref="B76">IF(ROWS($B$61:$B76)&lt;=$J$61,INDEX('Ext. Walls'!$R:$R,_xlfn.AGGREGATE(15,3,('Ext. Walls'!$H$1:$H$315=1)/('Ext. Walls'!$H$1:$H$315=1)*ROW('Ext. Walls'!$H$1:$H$315),ROWS($B$61:$B76))),"")</f>
        <v/>
      </c>
      <c r="C76" s="205" t="str" cm="1">
        <f t="array" ref="C76">IF(ROWS($B$61:$B76)&lt;=$J$61,INDEX('Ext. Walls'!C:C,$H76) &amp; INDEX('Ext. Walls'!S:S,$H76),"")</f>
        <v/>
      </c>
      <c r="D76" s="206" t="str">
        <f t="shared" si="17"/>
        <v/>
      </c>
      <c r="E76" s="206" t="str" cm="1">
        <f t="array" ref="E76">IF(ROWS($B$61:$B76)&lt;=$J$61,INDEX('Ext. Walls'!K:K,_xlfn.AGGREGATE(15,3,('Ext. Walls'!$H$1:$H$315=1)/('Ext. Walls'!$H$1:$H$315=1)*ROW('Ext. Walls'!$H$1:$H$315),ROWS($B$61:$B76))),"")</f>
        <v/>
      </c>
      <c r="F76" s="206" t="str" cm="1">
        <f t="array" ref="F76">IF(ROWS($B$61:$B76)&lt;=$J$61,INDEX('Ext. Walls'!L:L,_xlfn.AGGREGATE(15,3,('Ext. Walls'!$H$1:$H$315=1)/('Ext. Walls'!$H$1:$H$315=1)*ROW('Ext. Walls'!$H$1:$H$315),ROWS($B$61:$B76))),"")</f>
        <v/>
      </c>
      <c r="G76" s="206" t="str" cm="1">
        <f t="array" ref="G76">IF(ROWS($B$61:$B76)&lt;=$J$61,INDEX('Ext. Walls'!M:M,_xlfn.AGGREGATE(15,3,('Ext. Walls'!$H$1:$H$315=1)/('Ext. Walls'!$H$1:$H$315=1)*ROW('Ext. Walls'!$H$1:$H$315),ROWS($B$61:$B76))),"")</f>
        <v/>
      </c>
      <c r="H76" s="388" t="str" cm="1">
        <f t="array" ref="H76">IFERROR(_xlfn.AGGREGATE(15,3,('Ext. Walls'!$H$1:$H$315=1)/('Ext. Walls'!$H$1:$H$315=1)*ROW('Ext. Walls'!$H$1:$H$315),ROWS($B$61:$B76)),"")</f>
        <v/>
      </c>
      <c r="I76" s="388" t="str" cm="1">
        <f t="array" ref="I76">IF(ROWS($B$61:$B76)&lt;=$J$61,ROUND(INDEX('Ext. Walls'!D:D,H76),1)  &amp; " " &amp; INDEX('Ext. Walls'!E:E,H76),"")</f>
        <v/>
      </c>
    </row>
    <row r="77" spans="1:9" ht="30.15" customHeight="1" x14ac:dyDescent="0.25">
      <c r="A77" s="204" t="str">
        <f>VLOOKUP("Ext. Walls",Setting!$E$6:$H$33,4,FALSE)</f>
        <v>Ext. Walls</v>
      </c>
      <c r="B77" s="205" t="str" cm="1">
        <f t="array" ref="B77">IF(ROWS($B$61:$B77)&lt;=$J$61,INDEX('Ext. Walls'!$R:$R,_xlfn.AGGREGATE(15,3,('Ext. Walls'!$H$1:$H$315=1)/('Ext. Walls'!$H$1:$H$315=1)*ROW('Ext. Walls'!$H$1:$H$315),ROWS($B$61:$B77))),"")</f>
        <v/>
      </c>
      <c r="C77" s="205" t="str" cm="1">
        <f t="array" ref="C77">IF(ROWS($B$61:$B77)&lt;=$J$61,INDEX('Ext. Walls'!C:C,$H77) &amp; INDEX('Ext. Walls'!S:S,$H77),"")</f>
        <v/>
      </c>
      <c r="D77" s="206" t="str">
        <f t="shared" si="17"/>
        <v/>
      </c>
      <c r="E77" s="206" t="str" cm="1">
        <f t="array" ref="E77">IF(ROWS($B$61:$B77)&lt;=$J$61,INDEX('Ext. Walls'!K:K,_xlfn.AGGREGATE(15,3,('Ext. Walls'!$H$1:$H$315=1)/('Ext. Walls'!$H$1:$H$315=1)*ROW('Ext. Walls'!$H$1:$H$315),ROWS($B$61:$B77))),"")</f>
        <v/>
      </c>
      <c r="F77" s="206" t="str" cm="1">
        <f t="array" ref="F77">IF(ROWS($B$61:$B77)&lt;=$J$61,INDEX('Ext. Walls'!L:L,_xlfn.AGGREGATE(15,3,('Ext. Walls'!$H$1:$H$315=1)/('Ext. Walls'!$H$1:$H$315=1)*ROW('Ext. Walls'!$H$1:$H$315),ROWS($B$61:$B77))),"")</f>
        <v/>
      </c>
      <c r="G77" s="206" t="str" cm="1">
        <f t="array" ref="G77">IF(ROWS($B$61:$B77)&lt;=$J$61,INDEX('Ext. Walls'!M:M,_xlfn.AGGREGATE(15,3,('Ext. Walls'!$H$1:$H$315=1)/('Ext. Walls'!$H$1:$H$315=1)*ROW('Ext. Walls'!$H$1:$H$315),ROWS($B$61:$B77))),"")</f>
        <v/>
      </c>
      <c r="H77" s="388" t="str" cm="1">
        <f t="array" ref="H77">IFERROR(_xlfn.AGGREGATE(15,3,('Ext. Walls'!$H$1:$H$315=1)/('Ext. Walls'!$H$1:$H$315=1)*ROW('Ext. Walls'!$H$1:$H$315),ROWS($B$61:$B77)),"")</f>
        <v/>
      </c>
      <c r="I77" s="388" t="str" cm="1">
        <f t="array" ref="I77">IF(ROWS($B$61:$B77)&lt;=$J$61,ROUND(INDEX('Ext. Walls'!D:D,H77),1)  &amp; " " &amp; INDEX('Ext. Walls'!E:E,H77),"")</f>
        <v/>
      </c>
    </row>
    <row r="78" spans="1:9" ht="30.15" customHeight="1" x14ac:dyDescent="0.25">
      <c r="A78" s="204" t="str">
        <f>VLOOKUP("Ext. Walls",Setting!$E$6:$H$33,4,FALSE)</f>
        <v>Ext. Walls</v>
      </c>
      <c r="B78" s="205" t="str" cm="1">
        <f t="array" ref="B78">IF(ROWS($B$61:$B78)&lt;=$J$61,INDEX('Ext. Walls'!$R:$R,_xlfn.AGGREGATE(15,3,('Ext. Walls'!$H$1:$H$315=1)/('Ext. Walls'!$H$1:$H$315=1)*ROW('Ext. Walls'!$H$1:$H$315),ROWS($B$61:$B78))),"")</f>
        <v/>
      </c>
      <c r="C78" s="205" t="str" cm="1">
        <f t="array" ref="C78">IF(ROWS($B$61:$B78)&lt;=$J$61,INDEX('Ext. Walls'!C:C,$H78) &amp; INDEX('Ext. Walls'!S:S,$H78),"")</f>
        <v/>
      </c>
      <c r="D78" s="206" t="str">
        <f t="shared" si="17"/>
        <v/>
      </c>
      <c r="E78" s="206" t="str" cm="1">
        <f t="array" ref="E78">IF(ROWS($B$61:$B78)&lt;=$J$61,INDEX('Ext. Walls'!K:K,_xlfn.AGGREGATE(15,3,('Ext. Walls'!$H$1:$H$315=1)/('Ext. Walls'!$H$1:$H$315=1)*ROW('Ext. Walls'!$H$1:$H$315),ROWS($B$61:$B78))),"")</f>
        <v/>
      </c>
      <c r="F78" s="206" t="str" cm="1">
        <f t="array" ref="F78">IF(ROWS($B$61:$B78)&lt;=$J$61,INDEX('Ext. Walls'!L:L,_xlfn.AGGREGATE(15,3,('Ext. Walls'!$H$1:$H$315=1)/('Ext. Walls'!$H$1:$H$315=1)*ROW('Ext. Walls'!$H$1:$H$315),ROWS($B$61:$B78))),"")</f>
        <v/>
      </c>
      <c r="G78" s="206" t="str" cm="1">
        <f t="array" ref="G78">IF(ROWS($B$61:$B78)&lt;=$J$61,INDEX('Ext. Walls'!M:M,_xlfn.AGGREGATE(15,3,('Ext. Walls'!$H$1:$H$315=1)/('Ext. Walls'!$H$1:$H$315=1)*ROW('Ext. Walls'!$H$1:$H$315),ROWS($B$61:$B78))),"")</f>
        <v/>
      </c>
      <c r="H78" s="388" t="str" cm="1">
        <f t="array" ref="H78">IFERROR(_xlfn.AGGREGATE(15,3,('Ext. Walls'!$H$1:$H$315=1)/('Ext. Walls'!$H$1:$H$315=1)*ROW('Ext. Walls'!$H$1:$H$315),ROWS($B$61:$B78)),"")</f>
        <v/>
      </c>
      <c r="I78" s="388" t="str" cm="1">
        <f t="array" ref="I78">IF(ROWS($B$61:$B78)&lt;=$J$61,ROUND(INDEX('Ext. Walls'!D:D,H78),1)  &amp; " " &amp; INDEX('Ext. Walls'!E:E,H78),"")</f>
        <v/>
      </c>
    </row>
    <row r="79" spans="1:9" ht="30.15" customHeight="1" x14ac:dyDescent="0.25">
      <c r="A79" s="204" t="str">
        <f>VLOOKUP("Ext. Walls",Setting!$E$6:$H$33,4,FALSE)</f>
        <v>Ext. Walls</v>
      </c>
      <c r="B79" s="205" t="str" cm="1">
        <f t="array" ref="B79">IF(ROWS($B$61:$B79)&lt;=$J$61,INDEX('Ext. Walls'!$R:$R,_xlfn.AGGREGATE(15,3,('Ext. Walls'!$H$1:$H$315=1)/('Ext. Walls'!$H$1:$H$315=1)*ROW('Ext. Walls'!$H$1:$H$315),ROWS($B$61:$B79))),"")</f>
        <v/>
      </c>
      <c r="C79" s="205" t="str" cm="1">
        <f t="array" ref="C79">IF(ROWS($B$61:$B79)&lt;=$J$61,INDEX('Ext. Walls'!C:C,$H79) &amp; INDEX('Ext. Walls'!S:S,$H79),"")</f>
        <v/>
      </c>
      <c r="D79" s="206" t="str">
        <f t="shared" si="17"/>
        <v/>
      </c>
      <c r="E79" s="206" t="str" cm="1">
        <f t="array" ref="E79">IF(ROWS($B$61:$B79)&lt;=$J$61,INDEX('Ext. Walls'!K:K,_xlfn.AGGREGATE(15,3,('Ext. Walls'!$H$1:$H$315=1)/('Ext. Walls'!$H$1:$H$315=1)*ROW('Ext. Walls'!$H$1:$H$315),ROWS($B$61:$B79))),"")</f>
        <v/>
      </c>
      <c r="F79" s="206" t="str" cm="1">
        <f t="array" ref="F79">IF(ROWS($B$61:$B79)&lt;=$J$61,INDEX('Ext. Walls'!L:L,_xlfn.AGGREGATE(15,3,('Ext. Walls'!$H$1:$H$315=1)/('Ext. Walls'!$H$1:$H$315=1)*ROW('Ext. Walls'!$H$1:$H$315),ROWS($B$61:$B79))),"")</f>
        <v/>
      </c>
      <c r="G79" s="206" t="str" cm="1">
        <f t="array" ref="G79">IF(ROWS($B$61:$B79)&lt;=$J$61,INDEX('Ext. Walls'!M:M,_xlfn.AGGREGATE(15,3,('Ext. Walls'!$H$1:$H$315=1)/('Ext. Walls'!$H$1:$H$315=1)*ROW('Ext. Walls'!$H$1:$H$315),ROWS($B$61:$B79))),"")</f>
        <v/>
      </c>
      <c r="H79" s="388" t="str" cm="1">
        <f t="array" ref="H79">IFERROR(_xlfn.AGGREGATE(15,3,('Ext. Walls'!$H$1:$H$315=1)/('Ext. Walls'!$H$1:$H$315=1)*ROW('Ext. Walls'!$H$1:$H$315),ROWS($B$61:$B79)),"")</f>
        <v/>
      </c>
      <c r="I79" s="388" t="str" cm="1">
        <f t="array" ref="I79">IF(ROWS($B$61:$B79)&lt;=$J$61,ROUND(INDEX('Ext. Walls'!D:D,H79),1)  &amp; " " &amp; INDEX('Ext. Walls'!E:E,H79),"")</f>
        <v/>
      </c>
    </row>
    <row r="80" spans="1:9" ht="30.15" customHeight="1" x14ac:dyDescent="0.25">
      <c r="A80" s="204" t="str">
        <f>VLOOKUP("Ext. Walls",Setting!$E$6:$H$33,4,FALSE)</f>
        <v>Ext. Walls</v>
      </c>
      <c r="B80" s="205" t="str" cm="1">
        <f t="array" ref="B80">IF(ROWS($B$61:$B80)&lt;=$J$61,INDEX('Ext. Walls'!$R:$R,_xlfn.AGGREGATE(15,3,('Ext. Walls'!$H$1:$H$315=1)/('Ext. Walls'!$H$1:$H$315=1)*ROW('Ext. Walls'!$H$1:$H$315),ROWS($B$61:$B80))),"")</f>
        <v/>
      </c>
      <c r="C80" s="205" t="str" cm="1">
        <f t="array" ref="C80">IF(ROWS($B$61:$B80)&lt;=$J$61,INDEX('Ext. Walls'!C:C,$H80) &amp; INDEX('Ext. Walls'!S:S,$H80),"")</f>
        <v/>
      </c>
      <c r="D80" s="206" t="str">
        <f t="shared" si="17"/>
        <v/>
      </c>
      <c r="E80" s="206" t="str" cm="1">
        <f t="array" ref="E80">IF(ROWS($B$61:$B80)&lt;=$J$61,INDEX('Ext. Walls'!K:K,_xlfn.AGGREGATE(15,3,('Ext. Walls'!$H$1:$H$315=1)/('Ext. Walls'!$H$1:$H$315=1)*ROW('Ext. Walls'!$H$1:$H$315),ROWS($B$61:$B80))),"")</f>
        <v/>
      </c>
      <c r="F80" s="206" t="str" cm="1">
        <f t="array" ref="F80">IF(ROWS($B$61:$B80)&lt;=$J$61,INDEX('Ext. Walls'!L:L,_xlfn.AGGREGATE(15,3,('Ext. Walls'!$H$1:$H$315=1)/('Ext. Walls'!$H$1:$H$315=1)*ROW('Ext. Walls'!$H$1:$H$315),ROWS($B$61:$B80))),"")</f>
        <v/>
      </c>
      <c r="G80" s="206" t="str" cm="1">
        <f t="array" ref="G80">IF(ROWS($B$61:$B80)&lt;=$J$61,INDEX('Ext. Walls'!M:M,_xlfn.AGGREGATE(15,3,('Ext. Walls'!$H$1:$H$315=1)/('Ext. Walls'!$H$1:$H$315=1)*ROW('Ext. Walls'!$H$1:$H$315),ROWS($B$61:$B80))),"")</f>
        <v/>
      </c>
      <c r="H80" s="388" t="str" cm="1">
        <f t="array" ref="H80">IFERROR(_xlfn.AGGREGATE(15,3,('Ext. Walls'!$H$1:$H$315=1)/('Ext. Walls'!$H$1:$H$315=1)*ROW('Ext. Walls'!$H$1:$H$315),ROWS($B$61:$B80)),"")</f>
        <v/>
      </c>
      <c r="I80" s="388" t="str" cm="1">
        <f t="array" ref="I80">IF(ROWS($B$61:$B80)&lt;=$J$61,ROUND(INDEX('Ext. Walls'!D:D,H80),1)  &amp; " " &amp; INDEX('Ext. Walls'!E:E,H80),"")</f>
        <v/>
      </c>
    </row>
    <row r="81" spans="1:10" ht="30.15" customHeight="1" x14ac:dyDescent="0.25">
      <c r="A81" s="204" t="str">
        <f>VLOOKUP("Ext. Wall Systems",Setting!$E$6:$H$33,4,FALSE)</f>
        <v>Ext. Wall Systems</v>
      </c>
      <c r="B81" s="205" t="str" cm="1">
        <f t="array" ref="B81">IF(ROWS($B$81:$B81)&lt;=$J$81,INDEX('Ext. Wall Systems'!$R:$R,_xlfn.AGGREGATE(15,3,('Ext. Wall Systems'!$H$1:$H$231=1)/('Ext. Wall Systems'!$H$1:$H$231=1)*ROW('Ext. Wall Systems'!$H$1:$H$231),ROWS($B$81:$B81))),"")</f>
        <v/>
      </c>
      <c r="C81" s="205" t="str" cm="1">
        <f t="array" ref="C81">IF(ROWS($B$81:$B81)&lt;=$J$81,INDEX('Ext. Wall Systems'!C:C,$H81) &amp; INDEX('Ext. Wall Systems'!S:S,$H81),"")</f>
        <v/>
      </c>
      <c r="D81" s="206" t="str">
        <f t="shared" ref="D81" si="18">IFERROR(E81-F81,"")</f>
        <v/>
      </c>
      <c r="E81" s="206" t="str" cm="1">
        <f t="array" ref="E81">IF(ROWS($B$81:$B81)&lt;=$J$81,INDEX('Ext. Wall Systems'!K:K,_xlfn.AGGREGATE(15,3,('Ext. Wall Systems'!$H$1:$H$231=1)/('Ext. Wall Systems'!$H$1:$H$231=1)*ROW('Ext. Wall Systems'!$H$1:$H$231),ROWS($B$81:$B81))),"")</f>
        <v/>
      </c>
      <c r="F81" s="206" t="str" cm="1">
        <f t="array" ref="F81">IF(ROWS($B$81:$B81)&lt;=$J$81,INDEX('Ext. Wall Systems'!L:L,_xlfn.AGGREGATE(15,3,('Ext. Wall Systems'!$H$1:$H$231=1)/('Ext. Wall Systems'!$H$1:$H$231=1)*ROW('Ext. Wall Systems'!$H$1:$H$231),ROWS($B$81:$B81))),"")</f>
        <v/>
      </c>
      <c r="G81" s="206" t="str" cm="1">
        <f t="array" ref="G81">IF(ROWS($B$81:$B81)&lt;=$J$81,INDEX('Ext. Wall Systems'!M:M,_xlfn.AGGREGATE(15,3,('Ext. Wall Systems'!$H$1:$H$231=1)/('Ext. Wall Systems'!$H$1:$H$231=1)*ROW('Ext. Wall Systems'!$H$1:$H$231),ROWS($B$81:$B81))),"")</f>
        <v/>
      </c>
      <c r="H81" s="388" t="str" cm="1">
        <f t="array" ref="H81">IFERROR(_xlfn.AGGREGATE(15,3,('Ext. Wall Systems'!$H$1:$H$231=1)/('Ext. Wall Systems'!$H$1:$H$231=1)*ROW('Ext. Wall Systems'!$H$1:$H$231),ROWS($B$81:$B81)),"")</f>
        <v/>
      </c>
      <c r="I81" s="388" t="str" cm="1">
        <f t="array" ref="I81">IF(ROWS($B$81:$B81)&lt;=$J$81,ROUND(INDEX('Ext. Wall Systems'!D:D,H81),1)  &amp; " " &amp; INDEX('Ext. Wall Systems'!E:E,H81),"")</f>
        <v/>
      </c>
      <c r="J81" s="207">
        <f>COUNTIF('Ext. Wall Systems'!$H$1:$H$538,1)</f>
        <v>0</v>
      </c>
    </row>
    <row r="82" spans="1:10" ht="30.15" customHeight="1" x14ac:dyDescent="0.25">
      <c r="A82" s="204" t="str">
        <f>VLOOKUP("Ext. Wall Systems",Setting!$E$6:$H$33,4,FALSE)</f>
        <v>Ext. Wall Systems</v>
      </c>
      <c r="B82" s="205" t="str" cm="1">
        <f t="array" ref="B82">IF(ROWS($B$81:$B82)&lt;=$J$81,INDEX('Ext. Wall Systems'!$R:$R,_xlfn.AGGREGATE(15,3,('Ext. Wall Systems'!$H$1:$H$231=1)/('Ext. Wall Systems'!$H$1:$H$231=1)*ROW('Ext. Wall Systems'!$H$1:$H$231),ROWS($B$81:$B82))),"")</f>
        <v/>
      </c>
      <c r="C82" s="205" t="str" cm="1">
        <f t="array" ref="C82">IF(ROWS($B$81:$B82)&lt;=$J$81,INDEX('Ext. Wall Systems'!C:C,$H82) &amp; INDEX('Ext. Wall Systems'!S:S,$H82),"")</f>
        <v/>
      </c>
      <c r="D82" s="206" t="str">
        <f t="shared" ref="D82:D115" si="19">IFERROR(E82-F82,"")</f>
        <v/>
      </c>
      <c r="E82" s="206" t="str" cm="1">
        <f t="array" ref="E82">IF(ROWS($B$81:$B82)&lt;=$J$81,INDEX('Ext. Wall Systems'!K:K,_xlfn.AGGREGATE(15,3,('Ext. Wall Systems'!$H$1:$H$231=1)/('Ext. Wall Systems'!$H$1:$H$231=1)*ROW('Ext. Wall Systems'!$H$1:$H$231),ROWS($B$81:$B82))),"")</f>
        <v/>
      </c>
      <c r="F82" s="206" t="str" cm="1">
        <f t="array" ref="F82">IF(ROWS($B$81:$B82)&lt;=$J$81,INDEX('Ext. Wall Systems'!L:L,_xlfn.AGGREGATE(15,3,('Ext. Wall Systems'!$H$1:$H$231=1)/('Ext. Wall Systems'!$H$1:$H$231=1)*ROW('Ext. Wall Systems'!$H$1:$H$231),ROWS($B$81:$B82))),"")</f>
        <v/>
      </c>
      <c r="G82" s="206" t="str" cm="1">
        <f t="array" ref="G82">IF(ROWS($B$81:$B82)&lt;=$J$81,INDEX('Ext. Wall Systems'!M:M,_xlfn.AGGREGATE(15,3,('Ext. Wall Systems'!$H$1:$H$231=1)/('Ext. Wall Systems'!$H$1:$H$231=1)*ROW('Ext. Wall Systems'!$H$1:$H$231),ROWS($B$81:$B82))),"")</f>
        <v/>
      </c>
      <c r="H82" s="388" t="str" cm="1">
        <f t="array" ref="H82">IFERROR(_xlfn.AGGREGATE(15,3,('Ext. Wall Systems'!$H$1:$H$231=1)/('Ext. Wall Systems'!$H$1:$H$231=1)*ROW('Ext. Wall Systems'!$H$1:$H$231),ROWS($B$81:$B82)),"")</f>
        <v/>
      </c>
      <c r="I82" s="388" t="str" cm="1">
        <f t="array" ref="I82">IF(ROWS($B$81:$B82)&lt;=$J$81,ROUND(INDEX('Ext. Wall Systems'!D:D,H82),1)  &amp; " " &amp; INDEX('Ext. Wall Systems'!E:E,H82),"")</f>
        <v/>
      </c>
    </row>
    <row r="83" spans="1:10" ht="30.15" customHeight="1" x14ac:dyDescent="0.25">
      <c r="A83" s="204" t="str">
        <f>VLOOKUP("Ext. Wall Systems",Setting!$E$6:$H$33,4,FALSE)</f>
        <v>Ext. Wall Systems</v>
      </c>
      <c r="B83" s="205" t="str" cm="1">
        <f t="array" ref="B83">IF(ROWS($B$81:$B83)&lt;=$J$81,INDEX('Ext. Wall Systems'!$R:$R,_xlfn.AGGREGATE(15,3,('Ext. Wall Systems'!$H$1:$H$231=1)/('Ext. Wall Systems'!$H$1:$H$231=1)*ROW('Ext. Wall Systems'!$H$1:$H$231),ROWS($B$81:$B83))),"")</f>
        <v/>
      </c>
      <c r="C83" s="205" t="str" cm="1">
        <f t="array" ref="C83">IF(ROWS($B$81:$B83)&lt;=$J$81,INDEX('Ext. Wall Systems'!C:C,$H83) &amp; INDEX('Ext. Wall Systems'!S:S,$H83),"")</f>
        <v/>
      </c>
      <c r="D83" s="206" t="str">
        <f t="shared" si="19"/>
        <v/>
      </c>
      <c r="E83" s="206" t="str" cm="1">
        <f t="array" ref="E83">IF(ROWS($B$81:$B83)&lt;=$J$81,INDEX('Ext. Wall Systems'!K:K,_xlfn.AGGREGATE(15,3,('Ext. Wall Systems'!$H$1:$H$231=1)/('Ext. Wall Systems'!$H$1:$H$231=1)*ROW('Ext. Wall Systems'!$H$1:$H$231),ROWS($B$81:$B83))),"")</f>
        <v/>
      </c>
      <c r="F83" s="206" t="str" cm="1">
        <f t="array" ref="F83">IF(ROWS($B$81:$B83)&lt;=$J$81,INDEX('Ext. Wall Systems'!L:L,_xlfn.AGGREGATE(15,3,('Ext. Wall Systems'!$H$1:$H$231=1)/('Ext. Wall Systems'!$H$1:$H$231=1)*ROW('Ext. Wall Systems'!$H$1:$H$231),ROWS($B$81:$B83))),"")</f>
        <v/>
      </c>
      <c r="G83" s="206" t="str" cm="1">
        <f t="array" ref="G83">IF(ROWS($B$81:$B83)&lt;=$J$81,INDEX('Ext. Wall Systems'!M:M,_xlfn.AGGREGATE(15,3,('Ext. Wall Systems'!$H$1:$H$231=1)/('Ext. Wall Systems'!$H$1:$H$231=1)*ROW('Ext. Wall Systems'!$H$1:$H$231),ROWS($B$81:$B83))),"")</f>
        <v/>
      </c>
      <c r="H83" s="388" t="str" cm="1">
        <f t="array" ref="H83">IFERROR(_xlfn.AGGREGATE(15,3,('Ext. Wall Systems'!$H$1:$H$231=1)/('Ext. Wall Systems'!$H$1:$H$231=1)*ROW('Ext. Wall Systems'!$H$1:$H$231),ROWS($B$81:$B83)),"")</f>
        <v/>
      </c>
      <c r="I83" s="388" t="str" cm="1">
        <f t="array" ref="I83">IF(ROWS($B$81:$B83)&lt;=$J$81,ROUND(INDEX('Ext. Wall Systems'!D:D,H83),1)  &amp; " " &amp; INDEX('Ext. Wall Systems'!E:E,H83),"")</f>
        <v/>
      </c>
    </row>
    <row r="84" spans="1:10" ht="30.15" customHeight="1" x14ac:dyDescent="0.25">
      <c r="A84" s="204" t="str">
        <f>VLOOKUP("Ext. Wall Systems",Setting!$E$6:$H$33,4,FALSE)</f>
        <v>Ext. Wall Systems</v>
      </c>
      <c r="B84" s="205" t="str" cm="1">
        <f t="array" ref="B84">IF(ROWS($B$81:$B84)&lt;=$J$81,INDEX('Ext. Wall Systems'!$R:$R,_xlfn.AGGREGATE(15,3,('Ext. Wall Systems'!$H$1:$H$231=1)/('Ext. Wall Systems'!$H$1:$H$231=1)*ROW('Ext. Wall Systems'!$H$1:$H$231),ROWS($B$81:$B84))),"")</f>
        <v/>
      </c>
      <c r="C84" s="205" t="str" cm="1">
        <f t="array" ref="C84">IF(ROWS($B$81:$B84)&lt;=$J$81,INDEX('Ext. Wall Systems'!C:C,$H84) &amp; INDEX('Ext. Wall Systems'!S:S,$H84),"")</f>
        <v/>
      </c>
      <c r="D84" s="206" t="str">
        <f t="shared" si="19"/>
        <v/>
      </c>
      <c r="E84" s="206" t="str" cm="1">
        <f t="array" ref="E84">IF(ROWS($B$81:$B84)&lt;=$J$81,INDEX('Ext. Wall Systems'!K:K,_xlfn.AGGREGATE(15,3,('Ext. Wall Systems'!$H$1:$H$231=1)/('Ext. Wall Systems'!$H$1:$H$231=1)*ROW('Ext. Wall Systems'!$H$1:$H$231),ROWS($B$81:$B84))),"")</f>
        <v/>
      </c>
      <c r="F84" s="206" t="str" cm="1">
        <f t="array" ref="F84">IF(ROWS($B$81:$B84)&lt;=$J$81,INDEX('Ext. Wall Systems'!L:L,_xlfn.AGGREGATE(15,3,('Ext. Wall Systems'!$H$1:$H$231=1)/('Ext. Wall Systems'!$H$1:$H$231=1)*ROW('Ext. Wall Systems'!$H$1:$H$231),ROWS($B$81:$B84))),"")</f>
        <v/>
      </c>
      <c r="G84" s="206" t="str" cm="1">
        <f t="array" ref="G84">IF(ROWS($B$81:$B84)&lt;=$J$81,INDEX('Ext. Wall Systems'!M:M,_xlfn.AGGREGATE(15,3,('Ext. Wall Systems'!$H$1:$H$231=1)/('Ext. Wall Systems'!$H$1:$H$231=1)*ROW('Ext. Wall Systems'!$H$1:$H$231),ROWS($B$81:$B84))),"")</f>
        <v/>
      </c>
      <c r="H84" s="388" t="str" cm="1">
        <f t="array" ref="H84">IFERROR(_xlfn.AGGREGATE(15,3,('Ext. Wall Systems'!$H$1:$H$231=1)/('Ext. Wall Systems'!$H$1:$H$231=1)*ROW('Ext. Wall Systems'!$H$1:$H$231),ROWS($B$81:$B84)),"")</f>
        <v/>
      </c>
      <c r="I84" s="388" t="str" cm="1">
        <f t="array" ref="I84">IF(ROWS($B$81:$B84)&lt;=$J$81,ROUND(INDEX('Ext. Wall Systems'!D:D,H84),1)  &amp; " " &amp; INDEX('Ext. Wall Systems'!E:E,H84),"")</f>
        <v/>
      </c>
    </row>
    <row r="85" spans="1:10" ht="30.15" customHeight="1" x14ac:dyDescent="0.25">
      <c r="A85" s="204" t="str">
        <f>VLOOKUP("Ext. Wall Systems",Setting!$E$6:$H$33,4,FALSE)</f>
        <v>Ext. Wall Systems</v>
      </c>
      <c r="B85" s="205" t="str" cm="1">
        <f t="array" ref="B85">IF(ROWS($B$81:$B85)&lt;=$J$81,INDEX('Ext. Wall Systems'!$R:$R,_xlfn.AGGREGATE(15,3,('Ext. Wall Systems'!$H$1:$H$231=1)/('Ext. Wall Systems'!$H$1:$H$231=1)*ROW('Ext. Wall Systems'!$H$1:$H$231),ROWS($B$81:$B85))),"")</f>
        <v/>
      </c>
      <c r="C85" s="205" t="str" cm="1">
        <f t="array" ref="C85">IF(ROWS($B$81:$B85)&lt;=$J$81,INDEX('Ext. Wall Systems'!C:C,$H85) &amp; INDEX('Ext. Wall Systems'!S:S,$H85),"")</f>
        <v/>
      </c>
      <c r="D85" s="206" t="str">
        <f t="shared" si="19"/>
        <v/>
      </c>
      <c r="E85" s="206" t="str" cm="1">
        <f t="array" ref="E85">IF(ROWS($B$81:$B85)&lt;=$J$81,INDEX('Ext. Wall Systems'!K:K,_xlfn.AGGREGATE(15,3,('Ext. Wall Systems'!$H$1:$H$231=1)/('Ext. Wall Systems'!$H$1:$H$231=1)*ROW('Ext. Wall Systems'!$H$1:$H$231),ROWS($B$81:$B85))),"")</f>
        <v/>
      </c>
      <c r="F85" s="206" t="str" cm="1">
        <f t="array" ref="F85">IF(ROWS($B$81:$B85)&lt;=$J$81,INDEX('Ext. Wall Systems'!L:L,_xlfn.AGGREGATE(15,3,('Ext. Wall Systems'!$H$1:$H$231=1)/('Ext. Wall Systems'!$H$1:$H$231=1)*ROW('Ext. Wall Systems'!$H$1:$H$231),ROWS($B$81:$B85))),"")</f>
        <v/>
      </c>
      <c r="G85" s="206" t="str" cm="1">
        <f t="array" ref="G85">IF(ROWS($B$81:$B85)&lt;=$J$81,INDEX('Ext. Wall Systems'!M:M,_xlfn.AGGREGATE(15,3,('Ext. Wall Systems'!$H$1:$H$231=1)/('Ext. Wall Systems'!$H$1:$H$231=1)*ROW('Ext. Wall Systems'!$H$1:$H$231),ROWS($B$81:$B85))),"")</f>
        <v/>
      </c>
      <c r="H85" s="388" t="str" cm="1">
        <f t="array" ref="H85">IFERROR(_xlfn.AGGREGATE(15,3,('Ext. Wall Systems'!$H$1:$H$231=1)/('Ext. Wall Systems'!$H$1:$H$231=1)*ROW('Ext. Wall Systems'!$H$1:$H$231),ROWS($B$81:$B85)),"")</f>
        <v/>
      </c>
      <c r="I85" s="388" t="str" cm="1">
        <f t="array" ref="I85">IF(ROWS($B$81:$B85)&lt;=$J$81,ROUND(INDEX('Ext. Wall Systems'!D:D,H85),1)  &amp; " " &amp; INDEX('Ext. Wall Systems'!E:E,H85),"")</f>
        <v/>
      </c>
    </row>
    <row r="86" spans="1:10" ht="30.15" customHeight="1" x14ac:dyDescent="0.25">
      <c r="A86" s="204" t="str">
        <f>VLOOKUP("Ext. Wall Systems",Setting!$E$6:$H$33,4,FALSE)</f>
        <v>Ext. Wall Systems</v>
      </c>
      <c r="B86" s="205" t="str" cm="1">
        <f t="array" ref="B86">IF(ROWS($B$81:$B86)&lt;=$J$81,INDEX('Ext. Wall Systems'!$R:$R,_xlfn.AGGREGATE(15,3,('Ext. Wall Systems'!$H$1:$H$231=1)/('Ext. Wall Systems'!$H$1:$H$231=1)*ROW('Ext. Wall Systems'!$H$1:$H$231),ROWS($B$81:$B86))),"")</f>
        <v/>
      </c>
      <c r="C86" s="205" t="str" cm="1">
        <f t="array" ref="C86">IF(ROWS($B$81:$B86)&lt;=$J$81,INDEX('Ext. Wall Systems'!C:C,$H86) &amp; INDEX('Ext. Wall Systems'!S:S,$H86),"")</f>
        <v/>
      </c>
      <c r="D86" s="206" t="str">
        <f t="shared" si="19"/>
        <v/>
      </c>
      <c r="E86" s="206" t="str" cm="1">
        <f t="array" ref="E86">IF(ROWS($B$81:$B86)&lt;=$J$81,INDEX('Ext. Wall Systems'!K:K,_xlfn.AGGREGATE(15,3,('Ext. Wall Systems'!$H$1:$H$231=1)/('Ext. Wall Systems'!$H$1:$H$231=1)*ROW('Ext. Wall Systems'!$H$1:$H$231),ROWS($B$81:$B86))),"")</f>
        <v/>
      </c>
      <c r="F86" s="206" t="str" cm="1">
        <f t="array" ref="F86">IF(ROWS($B$81:$B86)&lt;=$J$81,INDEX('Ext. Wall Systems'!L:L,_xlfn.AGGREGATE(15,3,('Ext. Wall Systems'!$H$1:$H$231=1)/('Ext. Wall Systems'!$H$1:$H$231=1)*ROW('Ext. Wall Systems'!$H$1:$H$231),ROWS($B$81:$B86))),"")</f>
        <v/>
      </c>
      <c r="G86" s="206" t="str" cm="1">
        <f t="array" ref="G86">IF(ROWS($B$81:$B86)&lt;=$J$81,INDEX('Ext. Wall Systems'!M:M,_xlfn.AGGREGATE(15,3,('Ext. Wall Systems'!$H$1:$H$231=1)/('Ext. Wall Systems'!$H$1:$H$231=1)*ROW('Ext. Wall Systems'!$H$1:$H$231),ROWS($B$81:$B86))),"")</f>
        <v/>
      </c>
      <c r="H86" s="388" t="str" cm="1">
        <f t="array" ref="H86">IFERROR(_xlfn.AGGREGATE(15,3,('Ext. Wall Systems'!$H$1:$H$231=1)/('Ext. Wall Systems'!$H$1:$H$231=1)*ROW('Ext. Wall Systems'!$H$1:$H$231),ROWS($B$81:$B86)),"")</f>
        <v/>
      </c>
      <c r="I86" s="388" t="str" cm="1">
        <f t="array" ref="I86">IF(ROWS($B$81:$B86)&lt;=$J$81,ROUND(INDEX('Ext. Wall Systems'!D:D,H86),1)  &amp; " " &amp; INDEX('Ext. Wall Systems'!E:E,H86),"")</f>
        <v/>
      </c>
    </row>
    <row r="87" spans="1:10" ht="30.15" customHeight="1" x14ac:dyDescent="0.25">
      <c r="A87" s="204" t="str">
        <f>VLOOKUP("Ext. Wall Systems",Setting!$E$6:$H$33,4,FALSE)</f>
        <v>Ext. Wall Systems</v>
      </c>
      <c r="B87" s="205" t="str" cm="1">
        <f t="array" ref="B87">IF(ROWS($B$81:$B87)&lt;=$J$81,INDEX('Ext. Wall Systems'!$R:$R,_xlfn.AGGREGATE(15,3,('Ext. Wall Systems'!$H$1:$H$231=1)/('Ext. Wall Systems'!$H$1:$H$231=1)*ROW('Ext. Wall Systems'!$H$1:$H$231),ROWS($B$81:$B87))),"")</f>
        <v/>
      </c>
      <c r="C87" s="205" t="str" cm="1">
        <f t="array" ref="C87">IF(ROWS($B$81:$B87)&lt;=$J$81,INDEX('Ext. Wall Systems'!C:C,$H87) &amp; INDEX('Ext. Wall Systems'!S:S,$H87),"")</f>
        <v/>
      </c>
      <c r="D87" s="206" t="str">
        <f t="shared" si="19"/>
        <v/>
      </c>
      <c r="E87" s="206" t="str" cm="1">
        <f t="array" ref="E87">IF(ROWS($B$81:$B87)&lt;=$J$81,INDEX('Ext. Wall Systems'!K:K,_xlfn.AGGREGATE(15,3,('Ext. Wall Systems'!$H$1:$H$231=1)/('Ext. Wall Systems'!$H$1:$H$231=1)*ROW('Ext. Wall Systems'!$H$1:$H$231),ROWS($B$81:$B87))),"")</f>
        <v/>
      </c>
      <c r="F87" s="206" t="str" cm="1">
        <f t="array" ref="F87">IF(ROWS($B$81:$B87)&lt;=$J$81,INDEX('Ext. Wall Systems'!L:L,_xlfn.AGGREGATE(15,3,('Ext. Wall Systems'!$H$1:$H$231=1)/('Ext. Wall Systems'!$H$1:$H$231=1)*ROW('Ext. Wall Systems'!$H$1:$H$231),ROWS($B$81:$B87))),"")</f>
        <v/>
      </c>
      <c r="G87" s="206" t="str" cm="1">
        <f t="array" ref="G87">IF(ROWS($B$81:$B87)&lt;=$J$81,INDEX('Ext. Wall Systems'!M:M,_xlfn.AGGREGATE(15,3,('Ext. Wall Systems'!$H$1:$H$231=1)/('Ext. Wall Systems'!$H$1:$H$231=1)*ROW('Ext. Wall Systems'!$H$1:$H$231),ROWS($B$81:$B87))),"")</f>
        <v/>
      </c>
      <c r="H87" s="388" t="str" cm="1">
        <f t="array" ref="H87">IFERROR(_xlfn.AGGREGATE(15,3,('Ext. Wall Systems'!$H$1:$H$231=1)/('Ext. Wall Systems'!$H$1:$H$231=1)*ROW('Ext. Wall Systems'!$H$1:$H$231),ROWS($B$81:$B87)),"")</f>
        <v/>
      </c>
      <c r="I87" s="388" t="str" cm="1">
        <f t="array" ref="I87">IF(ROWS($B$81:$B87)&lt;=$J$81,ROUND(INDEX('Ext. Wall Systems'!D:D,H87),1)  &amp; " " &amp; INDEX('Ext. Wall Systems'!E:E,H87),"")</f>
        <v/>
      </c>
    </row>
    <row r="88" spans="1:10" ht="30.15" customHeight="1" x14ac:dyDescent="0.25">
      <c r="A88" s="204" t="str">
        <f>VLOOKUP("Ext. Wall Systems",Setting!$E$6:$H$33,4,FALSE)</f>
        <v>Ext. Wall Systems</v>
      </c>
      <c r="B88" s="205" t="str" cm="1">
        <f t="array" ref="B88">IF(ROWS($B$81:$B88)&lt;=$J$81,INDEX('Ext. Wall Systems'!$R:$R,_xlfn.AGGREGATE(15,3,('Ext. Wall Systems'!$H$1:$H$231=1)/('Ext. Wall Systems'!$H$1:$H$231=1)*ROW('Ext. Wall Systems'!$H$1:$H$231),ROWS($B$81:$B88))),"")</f>
        <v/>
      </c>
      <c r="C88" s="205" t="str" cm="1">
        <f t="array" ref="C88">IF(ROWS($B$81:$B88)&lt;=$J$81,INDEX('Ext. Wall Systems'!C:C,$H88) &amp; INDEX('Ext. Wall Systems'!S:S,$H88),"")</f>
        <v/>
      </c>
      <c r="D88" s="206" t="str">
        <f t="shared" si="19"/>
        <v/>
      </c>
      <c r="E88" s="206" t="str" cm="1">
        <f t="array" ref="E88">IF(ROWS($B$81:$B88)&lt;=$J$81,INDEX('Ext. Wall Systems'!K:K,_xlfn.AGGREGATE(15,3,('Ext. Wall Systems'!$H$1:$H$231=1)/('Ext. Wall Systems'!$H$1:$H$231=1)*ROW('Ext. Wall Systems'!$H$1:$H$231),ROWS($B$81:$B88))),"")</f>
        <v/>
      </c>
      <c r="F88" s="206" t="str" cm="1">
        <f t="array" ref="F88">IF(ROWS($B$81:$B88)&lt;=$J$81,INDEX('Ext. Wall Systems'!L:L,_xlfn.AGGREGATE(15,3,('Ext. Wall Systems'!$H$1:$H$231=1)/('Ext. Wall Systems'!$H$1:$H$231=1)*ROW('Ext. Wall Systems'!$H$1:$H$231),ROWS($B$81:$B88))),"")</f>
        <v/>
      </c>
      <c r="G88" s="206" t="str" cm="1">
        <f t="array" ref="G88">IF(ROWS($B$81:$B88)&lt;=$J$81,INDEX('Ext. Wall Systems'!M:M,_xlfn.AGGREGATE(15,3,('Ext. Wall Systems'!$H$1:$H$231=1)/('Ext. Wall Systems'!$H$1:$H$231=1)*ROW('Ext. Wall Systems'!$H$1:$H$231),ROWS($B$81:$B88))),"")</f>
        <v/>
      </c>
      <c r="H88" s="388" t="str" cm="1">
        <f t="array" ref="H88">IFERROR(_xlfn.AGGREGATE(15,3,('Ext. Wall Systems'!$H$1:$H$231=1)/('Ext. Wall Systems'!$H$1:$H$231=1)*ROW('Ext. Wall Systems'!$H$1:$H$231),ROWS($B$81:$B88)),"")</f>
        <v/>
      </c>
      <c r="I88" s="388" t="str" cm="1">
        <f t="array" ref="I88">IF(ROWS($B$81:$B88)&lt;=$J$81,ROUND(INDEX('Ext. Wall Systems'!D:D,H88),1)  &amp; " " &amp; INDEX('Ext. Wall Systems'!E:E,H88),"")</f>
        <v/>
      </c>
    </row>
    <row r="89" spans="1:10" ht="30.15" customHeight="1" x14ac:dyDescent="0.25">
      <c r="A89" s="204" t="str">
        <f>VLOOKUP("Ext. Wall Systems",Setting!$E$6:$H$33,4,FALSE)</f>
        <v>Ext. Wall Systems</v>
      </c>
      <c r="B89" s="205" t="str" cm="1">
        <f t="array" ref="B89">IF(ROWS($B$81:$B89)&lt;=$J$81,INDEX('Ext. Wall Systems'!$R:$R,_xlfn.AGGREGATE(15,3,('Ext. Wall Systems'!$H$1:$H$231=1)/('Ext. Wall Systems'!$H$1:$H$231=1)*ROW('Ext. Wall Systems'!$H$1:$H$231),ROWS($B$81:$B89))),"")</f>
        <v/>
      </c>
      <c r="C89" s="205" t="str" cm="1">
        <f t="array" ref="C89">IF(ROWS($B$81:$B89)&lt;=$J$81,INDEX('Ext. Wall Systems'!C:C,$H89) &amp; INDEX('Ext. Wall Systems'!S:S,$H89),"")</f>
        <v/>
      </c>
      <c r="D89" s="206" t="str">
        <f t="shared" si="19"/>
        <v/>
      </c>
      <c r="E89" s="206" t="str" cm="1">
        <f t="array" ref="E89">IF(ROWS($B$81:$B89)&lt;=$J$81,INDEX('Ext. Wall Systems'!K:K,_xlfn.AGGREGATE(15,3,('Ext. Wall Systems'!$H$1:$H$231=1)/('Ext. Wall Systems'!$H$1:$H$231=1)*ROW('Ext. Wall Systems'!$H$1:$H$231),ROWS($B$81:$B89))),"")</f>
        <v/>
      </c>
      <c r="F89" s="206" t="str" cm="1">
        <f t="array" ref="F89">IF(ROWS($B$81:$B89)&lt;=$J$81,INDEX('Ext. Wall Systems'!L:L,_xlfn.AGGREGATE(15,3,('Ext. Wall Systems'!$H$1:$H$231=1)/('Ext. Wall Systems'!$H$1:$H$231=1)*ROW('Ext. Wall Systems'!$H$1:$H$231),ROWS($B$81:$B89))),"")</f>
        <v/>
      </c>
      <c r="G89" s="206" t="str" cm="1">
        <f t="array" ref="G89">IF(ROWS($B$81:$B89)&lt;=$J$81,INDEX('Ext. Wall Systems'!M:M,_xlfn.AGGREGATE(15,3,('Ext. Wall Systems'!$H$1:$H$231=1)/('Ext. Wall Systems'!$H$1:$H$231=1)*ROW('Ext. Wall Systems'!$H$1:$H$231),ROWS($B$81:$B89))),"")</f>
        <v/>
      </c>
      <c r="H89" s="388" t="str" cm="1">
        <f t="array" ref="H89">IFERROR(_xlfn.AGGREGATE(15,3,('Ext. Wall Systems'!$H$1:$H$231=1)/('Ext. Wall Systems'!$H$1:$H$231=1)*ROW('Ext. Wall Systems'!$H$1:$H$231),ROWS($B$81:$B89)),"")</f>
        <v/>
      </c>
      <c r="I89" s="388" t="str" cm="1">
        <f t="array" ref="I89">IF(ROWS($B$81:$B89)&lt;=$J$81,ROUND(INDEX('Ext. Wall Systems'!D:D,H89),1)  &amp; " " &amp; INDEX('Ext. Wall Systems'!E:E,H89),"")</f>
        <v/>
      </c>
    </row>
    <row r="90" spans="1:10" ht="30.15" customHeight="1" x14ac:dyDescent="0.25">
      <c r="A90" s="204" t="str">
        <f>VLOOKUP("Ext. Wall Systems",Setting!$E$6:$H$33,4,FALSE)</f>
        <v>Ext. Wall Systems</v>
      </c>
      <c r="B90" s="205" t="str" cm="1">
        <f t="array" ref="B90">IF(ROWS($B$81:$B90)&lt;=$J$81,INDEX('Ext. Wall Systems'!$R:$R,_xlfn.AGGREGATE(15,3,('Ext. Wall Systems'!$H$1:$H$231=1)/('Ext. Wall Systems'!$H$1:$H$231=1)*ROW('Ext. Wall Systems'!$H$1:$H$231),ROWS($B$81:$B90))),"")</f>
        <v/>
      </c>
      <c r="C90" s="205" t="str" cm="1">
        <f t="array" ref="C90">IF(ROWS($B$81:$B90)&lt;=$J$81,INDEX('Ext. Wall Systems'!C:C,$H90) &amp; INDEX('Ext. Wall Systems'!S:S,$H90),"")</f>
        <v/>
      </c>
      <c r="D90" s="206" t="str">
        <f t="shared" si="19"/>
        <v/>
      </c>
      <c r="E90" s="206" t="str" cm="1">
        <f t="array" ref="E90">IF(ROWS($B$81:$B90)&lt;=$J$81,INDEX('Ext. Wall Systems'!K:K,_xlfn.AGGREGATE(15,3,('Ext. Wall Systems'!$H$1:$H$231=1)/('Ext. Wall Systems'!$H$1:$H$231=1)*ROW('Ext. Wall Systems'!$H$1:$H$231),ROWS($B$81:$B90))),"")</f>
        <v/>
      </c>
      <c r="F90" s="206" t="str" cm="1">
        <f t="array" ref="F90">IF(ROWS($B$81:$B90)&lt;=$J$81,INDEX('Ext. Wall Systems'!L:L,_xlfn.AGGREGATE(15,3,('Ext. Wall Systems'!$H$1:$H$231=1)/('Ext. Wall Systems'!$H$1:$H$231=1)*ROW('Ext. Wall Systems'!$H$1:$H$231),ROWS($B$81:$B90))),"")</f>
        <v/>
      </c>
      <c r="G90" s="206" t="str" cm="1">
        <f t="array" ref="G90">IF(ROWS($B$81:$B90)&lt;=$J$81,INDEX('Ext. Wall Systems'!M:M,_xlfn.AGGREGATE(15,3,('Ext. Wall Systems'!$H$1:$H$231=1)/('Ext. Wall Systems'!$H$1:$H$231=1)*ROW('Ext. Wall Systems'!$H$1:$H$231),ROWS($B$81:$B90))),"")</f>
        <v/>
      </c>
      <c r="H90" s="388" t="str" cm="1">
        <f t="array" ref="H90">IFERROR(_xlfn.AGGREGATE(15,3,('Ext. Wall Systems'!$H$1:$H$231=1)/('Ext. Wall Systems'!$H$1:$H$231=1)*ROW('Ext. Wall Systems'!$H$1:$H$231),ROWS($B$81:$B90)),"")</f>
        <v/>
      </c>
      <c r="I90" s="388" t="str" cm="1">
        <f t="array" ref="I90">IF(ROWS($B$81:$B90)&lt;=$J$81,ROUND(INDEX('Ext. Wall Systems'!D:D,H90),1)  &amp; " " &amp; INDEX('Ext. Wall Systems'!E:E,H90),"")</f>
        <v/>
      </c>
    </row>
    <row r="91" spans="1:10" ht="30.15" customHeight="1" x14ac:dyDescent="0.25">
      <c r="A91" s="204" t="str">
        <f>VLOOKUP("Ext. Wall Systems",Setting!$E$6:$H$33,4,FALSE)</f>
        <v>Ext. Wall Systems</v>
      </c>
      <c r="B91" s="205" t="str" cm="1">
        <f t="array" ref="B91">IF(ROWS($B$81:$B91)&lt;=$J$81,INDEX('Ext. Wall Systems'!$R:$R,_xlfn.AGGREGATE(15,3,('Ext. Wall Systems'!$H$1:$H$231=1)/('Ext. Wall Systems'!$H$1:$H$231=1)*ROW('Ext. Wall Systems'!$H$1:$H$231),ROWS($B$81:$B91))),"")</f>
        <v/>
      </c>
      <c r="C91" s="205" t="str" cm="1">
        <f t="array" ref="C91">IF(ROWS($B$81:$B91)&lt;=$J$81,INDEX('Ext. Wall Systems'!C:C,$H91) &amp; INDEX('Ext. Wall Systems'!S:S,$H91),"")</f>
        <v/>
      </c>
      <c r="D91" s="206" t="str">
        <f t="shared" si="19"/>
        <v/>
      </c>
      <c r="E91" s="206" t="str" cm="1">
        <f t="array" ref="E91">IF(ROWS($B$81:$B91)&lt;=$J$81,INDEX('Ext. Wall Systems'!K:K,_xlfn.AGGREGATE(15,3,('Ext. Wall Systems'!$H$1:$H$231=1)/('Ext. Wall Systems'!$H$1:$H$231=1)*ROW('Ext. Wall Systems'!$H$1:$H$231),ROWS($B$81:$B91))),"")</f>
        <v/>
      </c>
      <c r="F91" s="206" t="str" cm="1">
        <f t="array" ref="F91">IF(ROWS($B$81:$B91)&lt;=$J$81,INDEX('Ext. Wall Systems'!L:L,_xlfn.AGGREGATE(15,3,('Ext. Wall Systems'!$H$1:$H$231=1)/('Ext. Wall Systems'!$H$1:$H$231=1)*ROW('Ext. Wall Systems'!$H$1:$H$231),ROWS($B$81:$B91))),"")</f>
        <v/>
      </c>
      <c r="G91" s="206" t="str" cm="1">
        <f t="array" ref="G91">IF(ROWS($B$81:$B91)&lt;=$J$81,INDEX('Ext. Wall Systems'!M:M,_xlfn.AGGREGATE(15,3,('Ext. Wall Systems'!$H$1:$H$231=1)/('Ext. Wall Systems'!$H$1:$H$231=1)*ROW('Ext. Wall Systems'!$H$1:$H$231),ROWS($B$81:$B91))),"")</f>
        <v/>
      </c>
      <c r="H91" s="388" t="str" cm="1">
        <f t="array" ref="H91">IFERROR(_xlfn.AGGREGATE(15,3,('Ext. Wall Systems'!$H$1:$H$231=1)/('Ext. Wall Systems'!$H$1:$H$231=1)*ROW('Ext. Wall Systems'!$H$1:$H$231),ROWS($B$81:$B91)),"")</f>
        <v/>
      </c>
      <c r="I91" s="388" t="str" cm="1">
        <f t="array" ref="I91">IF(ROWS($B$81:$B91)&lt;=$J$81,ROUND(INDEX('Ext. Wall Systems'!D:D,H91),1)  &amp; " " &amp; INDEX('Ext. Wall Systems'!E:E,H91),"")</f>
        <v/>
      </c>
    </row>
    <row r="92" spans="1:10" ht="30.15" customHeight="1" x14ac:dyDescent="0.25">
      <c r="A92" s="204" t="str">
        <f>VLOOKUP("Ext. Wall Systems",Setting!$E$6:$H$33,4,FALSE)</f>
        <v>Ext. Wall Systems</v>
      </c>
      <c r="B92" s="205" t="str" cm="1">
        <f t="array" ref="B92">IF(ROWS($B$81:$B92)&lt;=$J$81,INDEX('Ext. Wall Systems'!$R:$R,_xlfn.AGGREGATE(15,3,('Ext. Wall Systems'!$H$1:$H$231=1)/('Ext. Wall Systems'!$H$1:$H$231=1)*ROW('Ext. Wall Systems'!$H$1:$H$231),ROWS($B$81:$B92))),"")</f>
        <v/>
      </c>
      <c r="C92" s="205" t="str" cm="1">
        <f t="array" ref="C92">IF(ROWS($B$81:$B92)&lt;=$J$81,INDEX('Ext. Wall Systems'!C:C,$H92) &amp; INDEX('Ext. Wall Systems'!S:S,$H92),"")</f>
        <v/>
      </c>
      <c r="D92" s="206" t="str">
        <f t="shared" si="19"/>
        <v/>
      </c>
      <c r="E92" s="206" t="str" cm="1">
        <f t="array" ref="E92">IF(ROWS($B$81:$B92)&lt;=$J$81,INDEX('Ext. Wall Systems'!K:K,_xlfn.AGGREGATE(15,3,('Ext. Wall Systems'!$H$1:$H$231=1)/('Ext. Wall Systems'!$H$1:$H$231=1)*ROW('Ext. Wall Systems'!$H$1:$H$231),ROWS($B$81:$B92))),"")</f>
        <v/>
      </c>
      <c r="F92" s="206" t="str" cm="1">
        <f t="array" ref="F92">IF(ROWS($B$81:$B92)&lt;=$J$81,INDEX('Ext. Wall Systems'!L:L,_xlfn.AGGREGATE(15,3,('Ext. Wall Systems'!$H$1:$H$231=1)/('Ext. Wall Systems'!$H$1:$H$231=1)*ROW('Ext. Wall Systems'!$H$1:$H$231),ROWS($B$81:$B92))),"")</f>
        <v/>
      </c>
      <c r="G92" s="206" t="str" cm="1">
        <f t="array" ref="G92">IF(ROWS($B$81:$B92)&lt;=$J$81,INDEX('Ext. Wall Systems'!M:M,_xlfn.AGGREGATE(15,3,('Ext. Wall Systems'!$H$1:$H$231=1)/('Ext. Wall Systems'!$H$1:$H$231=1)*ROW('Ext. Wall Systems'!$H$1:$H$231),ROWS($B$81:$B92))),"")</f>
        <v/>
      </c>
      <c r="H92" s="388" t="str" cm="1">
        <f t="array" ref="H92">IFERROR(_xlfn.AGGREGATE(15,3,('Ext. Wall Systems'!$H$1:$H$231=1)/('Ext. Wall Systems'!$H$1:$H$231=1)*ROW('Ext. Wall Systems'!$H$1:$H$231),ROWS($B$81:$B92)),"")</f>
        <v/>
      </c>
      <c r="I92" s="388" t="str" cm="1">
        <f t="array" ref="I92">IF(ROWS($B$81:$B92)&lt;=$J$81,ROUND(INDEX('Ext. Wall Systems'!D:D,H92),1)  &amp; " " &amp; INDEX('Ext. Wall Systems'!E:E,H92),"")</f>
        <v/>
      </c>
    </row>
    <row r="93" spans="1:10" ht="30.15" customHeight="1" x14ac:dyDescent="0.25">
      <c r="A93" s="204" t="str">
        <f>VLOOKUP("Ext. Wall Systems",Setting!$E$6:$H$33,4,FALSE)</f>
        <v>Ext. Wall Systems</v>
      </c>
      <c r="B93" s="205" t="str" cm="1">
        <f t="array" ref="B93">IF(ROWS($B$81:$B93)&lt;=$J$81,INDEX('Ext. Wall Systems'!$R:$R,_xlfn.AGGREGATE(15,3,('Ext. Wall Systems'!$H$1:$H$231=1)/('Ext. Wall Systems'!$H$1:$H$231=1)*ROW('Ext. Wall Systems'!$H$1:$H$231),ROWS($B$81:$B93))),"")</f>
        <v/>
      </c>
      <c r="C93" s="205" t="str" cm="1">
        <f t="array" ref="C93">IF(ROWS($B$81:$B93)&lt;=$J$81,INDEX('Ext. Wall Systems'!C:C,$H93) &amp; INDEX('Ext. Wall Systems'!S:S,$H93),"")</f>
        <v/>
      </c>
      <c r="D93" s="206" t="str">
        <f t="shared" si="19"/>
        <v/>
      </c>
      <c r="E93" s="206" t="str" cm="1">
        <f t="array" ref="E93">IF(ROWS($B$81:$B93)&lt;=$J$81,INDEX('Ext. Wall Systems'!K:K,_xlfn.AGGREGATE(15,3,('Ext. Wall Systems'!$H$1:$H$231=1)/('Ext. Wall Systems'!$H$1:$H$231=1)*ROW('Ext. Wall Systems'!$H$1:$H$231),ROWS($B$81:$B93))),"")</f>
        <v/>
      </c>
      <c r="F93" s="206" t="str" cm="1">
        <f t="array" ref="F93">IF(ROWS($B$81:$B93)&lt;=$J$81,INDEX('Ext. Wall Systems'!L:L,_xlfn.AGGREGATE(15,3,('Ext. Wall Systems'!$H$1:$H$231=1)/('Ext. Wall Systems'!$H$1:$H$231=1)*ROW('Ext. Wall Systems'!$H$1:$H$231),ROWS($B$81:$B93))),"")</f>
        <v/>
      </c>
      <c r="G93" s="206" t="str" cm="1">
        <f t="array" ref="G93">IF(ROWS($B$81:$B93)&lt;=$J$81,INDEX('Ext. Wall Systems'!M:M,_xlfn.AGGREGATE(15,3,('Ext. Wall Systems'!$H$1:$H$231=1)/('Ext. Wall Systems'!$H$1:$H$231=1)*ROW('Ext. Wall Systems'!$H$1:$H$231),ROWS($B$81:$B93))),"")</f>
        <v/>
      </c>
      <c r="H93" s="388" t="str" cm="1">
        <f t="array" ref="H93">IFERROR(_xlfn.AGGREGATE(15,3,('Ext. Wall Systems'!$H$1:$H$231=1)/('Ext. Wall Systems'!$H$1:$H$231=1)*ROW('Ext. Wall Systems'!$H$1:$H$231),ROWS($B$81:$B93)),"")</f>
        <v/>
      </c>
      <c r="I93" s="388" t="str" cm="1">
        <f t="array" ref="I93">IF(ROWS($B$81:$B93)&lt;=$J$81,ROUND(INDEX('Ext. Wall Systems'!D:D,H93),1)  &amp; " " &amp; INDEX('Ext. Wall Systems'!E:E,H93),"")</f>
        <v/>
      </c>
    </row>
    <row r="94" spans="1:10" ht="30.15" customHeight="1" x14ac:dyDescent="0.25">
      <c r="A94" s="204" t="str">
        <f>VLOOKUP("Ext. Wall Systems",Setting!$E$6:$H$33,4,FALSE)</f>
        <v>Ext. Wall Systems</v>
      </c>
      <c r="B94" s="205" t="str" cm="1">
        <f t="array" ref="B94">IF(ROWS($B$81:$B94)&lt;=$J$81,INDEX('Ext. Wall Systems'!$R:$R,_xlfn.AGGREGATE(15,3,('Ext. Wall Systems'!$H$1:$H$231=1)/('Ext. Wall Systems'!$H$1:$H$231=1)*ROW('Ext. Wall Systems'!$H$1:$H$231),ROWS($B$81:$B94))),"")</f>
        <v/>
      </c>
      <c r="C94" s="205" t="str" cm="1">
        <f t="array" ref="C94">IF(ROWS($B$81:$B94)&lt;=$J$81,INDEX('Ext. Wall Systems'!C:C,$H94) &amp; INDEX('Ext. Wall Systems'!S:S,$H94),"")</f>
        <v/>
      </c>
      <c r="D94" s="206" t="str">
        <f t="shared" si="19"/>
        <v/>
      </c>
      <c r="E94" s="206" t="str" cm="1">
        <f t="array" ref="E94">IF(ROWS($B$81:$B94)&lt;=$J$81,INDEX('Ext. Wall Systems'!K:K,_xlfn.AGGREGATE(15,3,('Ext. Wall Systems'!$H$1:$H$231=1)/('Ext. Wall Systems'!$H$1:$H$231=1)*ROW('Ext. Wall Systems'!$H$1:$H$231),ROWS($B$81:$B94))),"")</f>
        <v/>
      </c>
      <c r="F94" s="206" t="str" cm="1">
        <f t="array" ref="F94">IF(ROWS($B$81:$B94)&lt;=$J$81,INDEX('Ext. Wall Systems'!L:L,_xlfn.AGGREGATE(15,3,('Ext. Wall Systems'!$H$1:$H$231=1)/('Ext. Wall Systems'!$H$1:$H$231=1)*ROW('Ext. Wall Systems'!$H$1:$H$231),ROWS($B$81:$B94))),"")</f>
        <v/>
      </c>
      <c r="G94" s="206" t="str" cm="1">
        <f t="array" ref="G94">IF(ROWS($B$81:$B94)&lt;=$J$81,INDEX('Ext. Wall Systems'!M:M,_xlfn.AGGREGATE(15,3,('Ext. Wall Systems'!$H$1:$H$231=1)/('Ext. Wall Systems'!$H$1:$H$231=1)*ROW('Ext. Wall Systems'!$H$1:$H$231),ROWS($B$81:$B94))),"")</f>
        <v/>
      </c>
      <c r="H94" s="388" t="str" cm="1">
        <f t="array" ref="H94">IFERROR(_xlfn.AGGREGATE(15,3,('Ext. Wall Systems'!$H$1:$H$231=1)/('Ext. Wall Systems'!$H$1:$H$231=1)*ROW('Ext. Wall Systems'!$H$1:$H$231),ROWS($B$81:$B94)),"")</f>
        <v/>
      </c>
      <c r="I94" s="388" t="str" cm="1">
        <f t="array" ref="I94">IF(ROWS($B$81:$B94)&lt;=$J$81,ROUND(INDEX('Ext. Wall Systems'!D:D,H94),1)  &amp; " " &amp; INDEX('Ext. Wall Systems'!E:E,H94),"")</f>
        <v/>
      </c>
    </row>
    <row r="95" spans="1:10" ht="30.15" customHeight="1" x14ac:dyDescent="0.25">
      <c r="A95" s="204" t="str">
        <f>VLOOKUP("Party Walls",Setting!$E$6:$H$33,4,FALSE)</f>
        <v>Party Walls</v>
      </c>
      <c r="B95" s="205" t="str" cm="1">
        <f t="array" ref="B95">IF(ROWS($B$95:$B95)&lt;=$J$95,INDEX('Party Walls'!$R:$R,_xlfn.AGGREGATE(15,3,('Party Walls'!$H$1:$H$336=1)/('Party Walls'!$H$1:$H$336=1)*ROW('Party Walls'!$H$1:$H$336),ROWS($B$95:$B95))),"")</f>
        <v/>
      </c>
      <c r="C95" s="205" t="str" cm="1">
        <f t="array" ref="C95">IF(ROWS($B$95:$B95)&lt;=$J$95,INDEX('Party Walls'!C:C,$H95) &amp; INDEX('Party Walls'!S:S,$H95),"")</f>
        <v/>
      </c>
      <c r="D95" s="206" t="str">
        <f t="shared" si="19"/>
        <v/>
      </c>
      <c r="E95" s="206" t="str" cm="1">
        <f t="array" ref="E95">IF(ROWS($B$95:$B95)&lt;=$J$95,INDEX('Party Walls'!K:K,_xlfn.AGGREGATE(15,3,('Party Walls'!$H$1:$H$336=1)/('Party Walls'!$H$1:$H$336=1)*ROW('Party Walls'!$H$1:$H$336),ROWS($B$95:$B95))),"")</f>
        <v/>
      </c>
      <c r="F95" s="206" t="str" cm="1">
        <f t="array" ref="F95">IF(ROWS($B$95:$B95)&lt;=$J$95,INDEX('Party Walls'!L:L,_xlfn.AGGREGATE(15,3,('Party Walls'!$H$1:$H$336=1)/('Party Walls'!$H$1:$H$336=1)*ROW('Party Walls'!$H$1:$H$336),ROWS($B$95:$B95))),"")</f>
        <v/>
      </c>
      <c r="G95" s="206" t="str" cm="1">
        <f t="array" ref="G95">IF(ROWS($B$95:$B95)&lt;=$J$95,INDEX('Party Walls'!M:M,_xlfn.AGGREGATE(15,3,('Party Walls'!$H$1:$H$336=1)/('Party Walls'!$H$1:$H$336=1)*ROW('Party Walls'!$H$1:$H$336),ROWS($B$95:$B95))),"")</f>
        <v/>
      </c>
      <c r="H95" s="388" t="str" cm="1">
        <f t="array" ref="H95">IFERROR(_xlfn.AGGREGATE(15,3,('Party Walls'!$H$1:$H$336=1)/('Party Walls'!$H$1:$H$336=1)*ROW('Party Walls'!$H$1:$H$336),ROWS($B$95:$B95)),"")</f>
        <v/>
      </c>
      <c r="I95" s="388" t="str" cm="1">
        <f t="array" ref="I95">IF(ROWS($B$95:$B95)&lt;=$J$95,ROUND(INDEX('Party Walls'!D:D,H95),1)  &amp; " " &amp; INDEX('Party Walls'!E:E,H95),"")</f>
        <v/>
      </c>
      <c r="J95" s="207">
        <f>COUNTIF('Party Walls'!$H$1:$H$630,1)</f>
        <v>0</v>
      </c>
    </row>
    <row r="96" spans="1:10" ht="30.15" customHeight="1" x14ac:dyDescent="0.25">
      <c r="A96" s="204" t="str">
        <f>VLOOKUP("Party Walls",Setting!$E$6:$H$33,4,FALSE)</f>
        <v>Party Walls</v>
      </c>
      <c r="B96" s="205" t="str" cm="1">
        <f t="array" ref="B96">IF(ROWS($B$95:$B96)&lt;=$J$95,INDEX('Party Walls'!$R:$R,_xlfn.AGGREGATE(15,3,('Party Walls'!$H$1:$H$336=1)/('Party Walls'!$H$1:$H$336=1)*ROW('Party Walls'!$H$1:$H$336),ROWS($B$95:$B96))),"")</f>
        <v/>
      </c>
      <c r="C96" s="205" t="str" cm="1">
        <f t="array" ref="C96">IF(ROWS($B$95:$B96)&lt;=$J$95,INDEX('Party Walls'!C:C,$H96) &amp; INDEX('Party Walls'!S:S,$H96),"")</f>
        <v/>
      </c>
      <c r="D96" s="206" t="str">
        <f t="shared" si="19"/>
        <v/>
      </c>
      <c r="E96" s="206" t="str" cm="1">
        <f t="array" ref="E96">IF(ROWS($B$95:$B96)&lt;=$J$95,INDEX('Party Walls'!K:K,_xlfn.AGGREGATE(15,3,('Party Walls'!$H$1:$H$336=1)/('Party Walls'!$H$1:$H$336=1)*ROW('Party Walls'!$H$1:$H$336),ROWS($B$95:$B96))),"")</f>
        <v/>
      </c>
      <c r="F96" s="206" t="str" cm="1">
        <f t="array" ref="F96">IF(ROWS($B$95:$B96)&lt;=$J$95,INDEX('Party Walls'!L:L,_xlfn.AGGREGATE(15,3,('Party Walls'!$H$1:$H$336=1)/('Party Walls'!$H$1:$H$336=1)*ROW('Party Walls'!$H$1:$H$336),ROWS($B$95:$B96))),"")</f>
        <v/>
      </c>
      <c r="G96" s="206" t="str" cm="1">
        <f t="array" ref="G96">IF(ROWS($B$95:$B96)&lt;=$J$95,INDEX('Party Walls'!M:M,_xlfn.AGGREGATE(15,3,('Party Walls'!$H$1:$H$336=1)/('Party Walls'!$H$1:$H$336=1)*ROW('Party Walls'!$H$1:$H$336),ROWS($B$95:$B96))),"")</f>
        <v/>
      </c>
      <c r="H96" s="388" t="str" cm="1">
        <f t="array" ref="H96">IFERROR(_xlfn.AGGREGATE(15,3,('Party Walls'!$H$1:$H$336=1)/('Party Walls'!$H$1:$H$336=1)*ROW('Party Walls'!$H$1:$H$336),ROWS($B$95:$B96)),"")</f>
        <v/>
      </c>
      <c r="I96" s="388" t="str" cm="1">
        <f t="array" ref="I96">IF(ROWS($B$95:$B96)&lt;=$J$95,ROUND(INDEX('Party Walls'!D:D,H96),1)  &amp; " " &amp; INDEX('Party Walls'!E:E,H96),"")</f>
        <v/>
      </c>
    </row>
    <row r="97" spans="1:9" ht="30.15" customHeight="1" x14ac:dyDescent="0.25">
      <c r="A97" s="204" t="str">
        <f>VLOOKUP("Party Walls",Setting!$E$6:$H$33,4,FALSE)</f>
        <v>Party Walls</v>
      </c>
      <c r="B97" s="205" t="str" cm="1">
        <f t="array" ref="B97">IF(ROWS($B$95:$B97)&lt;=$J$95,INDEX('Party Walls'!$R:$R,_xlfn.AGGREGATE(15,3,('Party Walls'!$H$1:$H$336=1)/('Party Walls'!$H$1:$H$336=1)*ROW('Party Walls'!$H$1:$H$336),ROWS($B$95:$B97))),"")</f>
        <v/>
      </c>
      <c r="C97" s="205" t="str" cm="1">
        <f t="array" ref="C97">IF(ROWS($B$95:$B97)&lt;=$J$95,INDEX('Party Walls'!C:C,$H97) &amp; INDEX('Party Walls'!S:S,$H97),"")</f>
        <v/>
      </c>
      <c r="D97" s="206" t="str">
        <f t="shared" si="19"/>
        <v/>
      </c>
      <c r="E97" s="206" t="str" cm="1">
        <f t="array" ref="E97">IF(ROWS($B$95:$B97)&lt;=$J$95,INDEX('Party Walls'!K:K,_xlfn.AGGREGATE(15,3,('Party Walls'!$H$1:$H$336=1)/('Party Walls'!$H$1:$H$336=1)*ROW('Party Walls'!$H$1:$H$336),ROWS($B$95:$B97))),"")</f>
        <v/>
      </c>
      <c r="F97" s="206" t="str" cm="1">
        <f t="array" ref="F97">IF(ROWS($B$95:$B97)&lt;=$J$95,INDEX('Party Walls'!L:L,_xlfn.AGGREGATE(15,3,('Party Walls'!$H$1:$H$336=1)/('Party Walls'!$H$1:$H$336=1)*ROW('Party Walls'!$H$1:$H$336),ROWS($B$95:$B97))),"")</f>
        <v/>
      </c>
      <c r="G97" s="206" t="str" cm="1">
        <f t="array" ref="G97">IF(ROWS($B$95:$B97)&lt;=$J$95,INDEX('Party Walls'!M:M,_xlfn.AGGREGATE(15,3,('Party Walls'!$H$1:$H$336=1)/('Party Walls'!$H$1:$H$336=1)*ROW('Party Walls'!$H$1:$H$336),ROWS($B$95:$B97))),"")</f>
        <v/>
      </c>
      <c r="H97" s="388" t="str" cm="1">
        <f t="array" ref="H97">IFERROR(_xlfn.AGGREGATE(15,3,('Party Walls'!$H$1:$H$336=1)/('Party Walls'!$H$1:$H$336=1)*ROW('Party Walls'!$H$1:$H$336),ROWS($B$95:$B97)),"")</f>
        <v/>
      </c>
      <c r="I97" s="388" t="str" cm="1">
        <f t="array" ref="I97">IF(ROWS($B$95:$B97)&lt;=$J$95,ROUND(INDEX('Party Walls'!D:D,H97),1)  &amp; " " &amp; INDEX('Party Walls'!E:E,H97),"")</f>
        <v/>
      </c>
    </row>
    <row r="98" spans="1:9" ht="30.15" customHeight="1" x14ac:dyDescent="0.25">
      <c r="A98" s="204" t="str">
        <f>VLOOKUP("Party Walls",Setting!$E$6:$H$33,4,FALSE)</f>
        <v>Party Walls</v>
      </c>
      <c r="B98" s="205" t="str" cm="1">
        <f t="array" ref="B98">IF(ROWS($B$95:$B98)&lt;=$J$95,INDEX('Party Walls'!$R:$R,_xlfn.AGGREGATE(15,3,('Party Walls'!$H$1:$H$336=1)/('Party Walls'!$H$1:$H$336=1)*ROW('Party Walls'!$H$1:$H$336),ROWS($B$95:$B98))),"")</f>
        <v/>
      </c>
      <c r="C98" s="205" t="str" cm="1">
        <f t="array" ref="C98">IF(ROWS($B$95:$B98)&lt;=$J$95,INDEX('Party Walls'!C:C,$H98) &amp; INDEX('Party Walls'!S:S,$H98),"")</f>
        <v/>
      </c>
      <c r="D98" s="206" t="str">
        <f t="shared" si="19"/>
        <v/>
      </c>
      <c r="E98" s="206" t="str" cm="1">
        <f t="array" ref="E98">IF(ROWS($B$95:$B98)&lt;=$J$95,INDEX('Party Walls'!K:K,_xlfn.AGGREGATE(15,3,('Party Walls'!$H$1:$H$336=1)/('Party Walls'!$H$1:$H$336=1)*ROW('Party Walls'!$H$1:$H$336),ROWS($B$95:$B98))),"")</f>
        <v/>
      </c>
      <c r="F98" s="206" t="str" cm="1">
        <f t="array" ref="F98">IF(ROWS($B$95:$B98)&lt;=$J$95,INDEX('Party Walls'!L:L,_xlfn.AGGREGATE(15,3,('Party Walls'!$H$1:$H$336=1)/('Party Walls'!$H$1:$H$336=1)*ROW('Party Walls'!$H$1:$H$336),ROWS($B$95:$B98))),"")</f>
        <v/>
      </c>
      <c r="G98" s="206" t="str" cm="1">
        <f t="array" ref="G98">IF(ROWS($B$95:$B98)&lt;=$J$95,INDEX('Party Walls'!M:M,_xlfn.AGGREGATE(15,3,('Party Walls'!$H$1:$H$336=1)/('Party Walls'!$H$1:$H$336=1)*ROW('Party Walls'!$H$1:$H$336),ROWS($B$95:$B98))),"")</f>
        <v/>
      </c>
      <c r="H98" s="388" t="str" cm="1">
        <f t="array" ref="H98">IFERROR(_xlfn.AGGREGATE(15,3,('Party Walls'!$H$1:$H$336=1)/('Party Walls'!$H$1:$H$336=1)*ROW('Party Walls'!$H$1:$H$336),ROWS($B$95:$B98)),"")</f>
        <v/>
      </c>
      <c r="I98" s="388" t="str" cm="1">
        <f t="array" ref="I98">IF(ROWS($B$95:$B98)&lt;=$J$95,ROUND(INDEX('Party Walls'!D:D,H98),1)  &amp; " " &amp; INDEX('Party Walls'!E:E,H98),"")</f>
        <v/>
      </c>
    </row>
    <row r="99" spans="1:9" ht="30.15" customHeight="1" x14ac:dyDescent="0.25">
      <c r="A99" s="204" t="str">
        <f>VLOOKUP("Party Walls",Setting!$E$6:$H$33,4,FALSE)</f>
        <v>Party Walls</v>
      </c>
      <c r="B99" s="205" t="str" cm="1">
        <f t="array" ref="B99">IF(ROWS($B$95:$B99)&lt;=$J$95,INDEX('Party Walls'!$R:$R,_xlfn.AGGREGATE(15,3,('Party Walls'!$H$1:$H$336=1)/('Party Walls'!$H$1:$H$336=1)*ROW('Party Walls'!$H$1:$H$336),ROWS($B$95:$B99))),"")</f>
        <v/>
      </c>
      <c r="C99" s="205" t="str" cm="1">
        <f t="array" ref="C99">IF(ROWS($B$95:$B99)&lt;=$J$95,INDEX('Party Walls'!C:C,$H99) &amp; INDEX('Party Walls'!S:S,$H99),"")</f>
        <v/>
      </c>
      <c r="D99" s="206" t="str">
        <f t="shared" si="19"/>
        <v/>
      </c>
      <c r="E99" s="206" t="str" cm="1">
        <f t="array" ref="E99">IF(ROWS($B$95:$B99)&lt;=$J$95,INDEX('Party Walls'!K:K,_xlfn.AGGREGATE(15,3,('Party Walls'!$H$1:$H$336=1)/('Party Walls'!$H$1:$H$336=1)*ROW('Party Walls'!$H$1:$H$336),ROWS($B$95:$B99))),"")</f>
        <v/>
      </c>
      <c r="F99" s="206" t="str" cm="1">
        <f t="array" ref="F99">IF(ROWS($B$95:$B99)&lt;=$J$95,INDEX('Party Walls'!L:L,_xlfn.AGGREGATE(15,3,('Party Walls'!$H$1:$H$336=1)/('Party Walls'!$H$1:$H$336=1)*ROW('Party Walls'!$H$1:$H$336),ROWS($B$95:$B99))),"")</f>
        <v/>
      </c>
      <c r="G99" s="206" t="str" cm="1">
        <f t="array" ref="G99">IF(ROWS($B$95:$B99)&lt;=$J$95,INDEX('Party Walls'!M:M,_xlfn.AGGREGATE(15,3,('Party Walls'!$H$1:$H$336=1)/('Party Walls'!$H$1:$H$336=1)*ROW('Party Walls'!$H$1:$H$336),ROWS($B$95:$B99))),"")</f>
        <v/>
      </c>
      <c r="H99" s="388" t="str" cm="1">
        <f t="array" ref="H99">IFERROR(_xlfn.AGGREGATE(15,3,('Party Walls'!$H$1:$H$336=1)/('Party Walls'!$H$1:$H$336=1)*ROW('Party Walls'!$H$1:$H$336),ROWS($B$95:$B99)),"")</f>
        <v/>
      </c>
      <c r="I99" s="388" t="str" cm="1">
        <f t="array" ref="I99">IF(ROWS($B$95:$B99)&lt;=$J$95,ROUND(INDEX('Party Walls'!D:D,H99),1)  &amp; " " &amp; INDEX('Party Walls'!E:E,H99),"")</f>
        <v/>
      </c>
    </row>
    <row r="100" spans="1:9" ht="30.15" customHeight="1" x14ac:dyDescent="0.25">
      <c r="A100" s="204" t="str">
        <f>VLOOKUP("Party Walls",Setting!$E$6:$H$33,4,FALSE)</f>
        <v>Party Walls</v>
      </c>
      <c r="B100" s="205" t="str" cm="1">
        <f t="array" ref="B100">IF(ROWS($B$95:$B100)&lt;=$J$95,INDEX('Party Walls'!$R:$R,_xlfn.AGGREGATE(15,3,('Party Walls'!$H$1:$H$336=1)/('Party Walls'!$H$1:$H$336=1)*ROW('Party Walls'!$H$1:$H$336),ROWS($B$95:$B100))),"")</f>
        <v/>
      </c>
      <c r="C100" s="205" t="str" cm="1">
        <f t="array" ref="C100">IF(ROWS($B$95:$B100)&lt;=$J$95,INDEX('Party Walls'!C:C,$H100) &amp; INDEX('Party Walls'!S:S,$H100),"")</f>
        <v/>
      </c>
      <c r="D100" s="206" t="str">
        <f t="shared" si="19"/>
        <v/>
      </c>
      <c r="E100" s="206" t="str" cm="1">
        <f t="array" ref="E100">IF(ROWS($B$95:$B100)&lt;=$J$95,INDEX('Party Walls'!K:K,_xlfn.AGGREGATE(15,3,('Party Walls'!$H$1:$H$336=1)/('Party Walls'!$H$1:$H$336=1)*ROW('Party Walls'!$H$1:$H$336),ROWS($B$95:$B100))),"")</f>
        <v/>
      </c>
      <c r="F100" s="206" t="str" cm="1">
        <f t="array" ref="F100">IF(ROWS($B$95:$B100)&lt;=$J$95,INDEX('Party Walls'!L:L,_xlfn.AGGREGATE(15,3,('Party Walls'!$H$1:$H$336=1)/('Party Walls'!$H$1:$H$336=1)*ROW('Party Walls'!$H$1:$H$336),ROWS($B$95:$B100))),"")</f>
        <v/>
      </c>
      <c r="G100" s="206" t="str" cm="1">
        <f t="array" ref="G100">IF(ROWS($B$95:$B100)&lt;=$J$95,INDEX('Party Walls'!M:M,_xlfn.AGGREGATE(15,3,('Party Walls'!$H$1:$H$336=1)/('Party Walls'!$H$1:$H$336=1)*ROW('Party Walls'!$H$1:$H$336),ROWS($B$95:$B100))),"")</f>
        <v/>
      </c>
      <c r="H100" s="388" t="str" cm="1">
        <f t="array" ref="H100">IFERROR(_xlfn.AGGREGATE(15,3,('Party Walls'!$H$1:$H$336=1)/('Party Walls'!$H$1:$H$336=1)*ROW('Party Walls'!$H$1:$H$336),ROWS($B$95:$B100)),"")</f>
        <v/>
      </c>
      <c r="I100" s="388" t="str" cm="1">
        <f t="array" ref="I100">IF(ROWS($B$95:$B100)&lt;=$J$95,ROUND(INDEX('Party Walls'!D:D,H100),1)  &amp; " " &amp; INDEX('Party Walls'!E:E,H100),"")</f>
        <v/>
      </c>
    </row>
    <row r="101" spans="1:9" ht="30.15" customHeight="1" x14ac:dyDescent="0.25">
      <c r="A101" s="204" t="str">
        <f>VLOOKUP("Party Walls",Setting!$E$6:$H$33,4,FALSE)</f>
        <v>Party Walls</v>
      </c>
      <c r="B101" s="205" t="str" cm="1">
        <f t="array" ref="B101">IF(ROWS($B$95:$B101)&lt;=$J$95,INDEX('Party Walls'!$R:$R,_xlfn.AGGREGATE(15,3,('Party Walls'!$H$1:$H$336=1)/('Party Walls'!$H$1:$H$336=1)*ROW('Party Walls'!$H$1:$H$336),ROWS($B$95:$B101))),"")</f>
        <v/>
      </c>
      <c r="C101" s="205" t="str" cm="1">
        <f t="array" ref="C101">IF(ROWS($B$95:$B101)&lt;=$J$95,INDEX('Party Walls'!C:C,$H101) &amp; INDEX('Party Walls'!S:S,$H101),"")</f>
        <v/>
      </c>
      <c r="D101" s="206" t="str">
        <f t="shared" si="19"/>
        <v/>
      </c>
      <c r="E101" s="206" t="str" cm="1">
        <f t="array" ref="E101">IF(ROWS($B$95:$B101)&lt;=$J$95,INDEX('Party Walls'!K:K,_xlfn.AGGREGATE(15,3,('Party Walls'!$H$1:$H$336=1)/('Party Walls'!$H$1:$H$336=1)*ROW('Party Walls'!$H$1:$H$336),ROWS($B$95:$B101))),"")</f>
        <v/>
      </c>
      <c r="F101" s="206" t="str" cm="1">
        <f t="array" ref="F101">IF(ROWS($B$95:$B101)&lt;=$J$95,INDEX('Party Walls'!L:L,_xlfn.AGGREGATE(15,3,('Party Walls'!$H$1:$H$336=1)/('Party Walls'!$H$1:$H$336=1)*ROW('Party Walls'!$H$1:$H$336),ROWS($B$95:$B101))),"")</f>
        <v/>
      </c>
      <c r="G101" s="206" t="str" cm="1">
        <f t="array" ref="G101">IF(ROWS($B$95:$B101)&lt;=$J$95,INDEX('Party Walls'!M:M,_xlfn.AGGREGATE(15,3,('Party Walls'!$H$1:$H$336=1)/('Party Walls'!$H$1:$H$336=1)*ROW('Party Walls'!$H$1:$H$336),ROWS($B$95:$B101))),"")</f>
        <v/>
      </c>
      <c r="H101" s="388" t="str" cm="1">
        <f t="array" ref="H101">IFERROR(_xlfn.AGGREGATE(15,3,('Party Walls'!$H$1:$H$336=1)/('Party Walls'!$H$1:$H$336=1)*ROW('Party Walls'!$H$1:$H$336),ROWS($B$95:$B101)),"")</f>
        <v/>
      </c>
      <c r="I101" s="388" t="str" cm="1">
        <f t="array" ref="I101">IF(ROWS($B$95:$B101)&lt;=$J$95,ROUND(INDEX('Party Walls'!D:D,H101),1)  &amp; " " &amp; INDEX('Party Walls'!E:E,H101),"")</f>
        <v/>
      </c>
    </row>
    <row r="102" spans="1:9" ht="30.15" customHeight="1" x14ac:dyDescent="0.25">
      <c r="A102" s="204" t="str">
        <f>VLOOKUP("Party Walls",Setting!$E$6:$H$33,4,FALSE)</f>
        <v>Party Walls</v>
      </c>
      <c r="B102" s="205" t="str" cm="1">
        <f t="array" ref="B102">IF(ROWS($B$95:$B102)&lt;=$J$95,INDEX('Party Walls'!$R:$R,_xlfn.AGGREGATE(15,3,('Party Walls'!$H$1:$H$336=1)/('Party Walls'!$H$1:$H$336=1)*ROW('Party Walls'!$H$1:$H$336),ROWS($B$95:$B102))),"")</f>
        <v/>
      </c>
      <c r="C102" s="205" t="str" cm="1">
        <f t="array" ref="C102">IF(ROWS($B$95:$B102)&lt;=$J$95,INDEX('Party Walls'!C:C,$H102) &amp; INDEX('Party Walls'!S:S,$H102),"")</f>
        <v/>
      </c>
      <c r="D102" s="206" t="str">
        <f t="shared" si="19"/>
        <v/>
      </c>
      <c r="E102" s="206" t="str" cm="1">
        <f t="array" ref="E102">IF(ROWS($B$95:$B102)&lt;=$J$95,INDEX('Party Walls'!K:K,_xlfn.AGGREGATE(15,3,('Party Walls'!$H$1:$H$336=1)/('Party Walls'!$H$1:$H$336=1)*ROW('Party Walls'!$H$1:$H$336),ROWS($B$95:$B102))),"")</f>
        <v/>
      </c>
      <c r="F102" s="206" t="str" cm="1">
        <f t="array" ref="F102">IF(ROWS($B$95:$B102)&lt;=$J$95,INDEX('Party Walls'!L:L,_xlfn.AGGREGATE(15,3,('Party Walls'!$H$1:$H$336=1)/('Party Walls'!$H$1:$H$336=1)*ROW('Party Walls'!$H$1:$H$336),ROWS($B$95:$B102))),"")</f>
        <v/>
      </c>
      <c r="G102" s="206" t="str" cm="1">
        <f t="array" ref="G102">IF(ROWS($B$95:$B102)&lt;=$J$95,INDEX('Party Walls'!M:M,_xlfn.AGGREGATE(15,3,('Party Walls'!$H$1:$H$336=1)/('Party Walls'!$H$1:$H$336=1)*ROW('Party Walls'!$H$1:$H$336),ROWS($B$95:$B102))),"")</f>
        <v/>
      </c>
      <c r="H102" s="388" t="str" cm="1">
        <f t="array" ref="H102">IFERROR(_xlfn.AGGREGATE(15,3,('Party Walls'!$H$1:$H$336=1)/('Party Walls'!$H$1:$H$336=1)*ROW('Party Walls'!$H$1:$H$336),ROWS($B$95:$B102)),"")</f>
        <v/>
      </c>
      <c r="I102" s="388" t="str" cm="1">
        <f t="array" ref="I102">IF(ROWS($B$95:$B102)&lt;=$J$95,ROUND(INDEX('Party Walls'!D:D,H102),1)  &amp; " " &amp; INDEX('Party Walls'!E:E,H102),"")</f>
        <v/>
      </c>
    </row>
    <row r="103" spans="1:9" ht="30.15" customHeight="1" x14ac:dyDescent="0.25">
      <c r="A103" s="204" t="str">
        <f>VLOOKUP("Party Walls",Setting!$E$6:$H$33,4,FALSE)</f>
        <v>Party Walls</v>
      </c>
      <c r="B103" s="205" t="str" cm="1">
        <f t="array" ref="B103">IF(ROWS($B$95:$B103)&lt;=$J$95,INDEX('Party Walls'!$R:$R,_xlfn.AGGREGATE(15,3,('Party Walls'!$H$1:$H$336=1)/('Party Walls'!$H$1:$H$336=1)*ROW('Party Walls'!$H$1:$H$336),ROWS($B$95:$B103))),"")</f>
        <v/>
      </c>
      <c r="C103" s="205" t="str" cm="1">
        <f t="array" ref="C103">IF(ROWS($B$95:$B103)&lt;=$J$95,INDEX('Party Walls'!C:C,$H103) &amp; INDEX('Party Walls'!S:S,$H103),"")</f>
        <v/>
      </c>
      <c r="D103" s="206" t="str">
        <f t="shared" si="19"/>
        <v/>
      </c>
      <c r="E103" s="206" t="str" cm="1">
        <f t="array" ref="E103">IF(ROWS($B$95:$B103)&lt;=$J$95,INDEX('Party Walls'!K:K,_xlfn.AGGREGATE(15,3,('Party Walls'!$H$1:$H$336=1)/('Party Walls'!$H$1:$H$336=1)*ROW('Party Walls'!$H$1:$H$336),ROWS($B$95:$B103))),"")</f>
        <v/>
      </c>
      <c r="F103" s="206" t="str" cm="1">
        <f t="array" ref="F103">IF(ROWS($B$95:$B103)&lt;=$J$95,INDEX('Party Walls'!L:L,_xlfn.AGGREGATE(15,3,('Party Walls'!$H$1:$H$336=1)/('Party Walls'!$H$1:$H$336=1)*ROW('Party Walls'!$H$1:$H$336),ROWS($B$95:$B103))),"")</f>
        <v/>
      </c>
      <c r="G103" s="206" t="str" cm="1">
        <f t="array" ref="G103">IF(ROWS($B$95:$B103)&lt;=$J$95,INDEX('Party Walls'!M:M,_xlfn.AGGREGATE(15,3,('Party Walls'!$H$1:$H$336=1)/('Party Walls'!$H$1:$H$336=1)*ROW('Party Walls'!$H$1:$H$336),ROWS($B$95:$B103))),"")</f>
        <v/>
      </c>
      <c r="H103" s="388" t="str" cm="1">
        <f t="array" ref="H103">IFERROR(_xlfn.AGGREGATE(15,3,('Party Walls'!$H$1:$H$336=1)/('Party Walls'!$H$1:$H$336=1)*ROW('Party Walls'!$H$1:$H$336),ROWS($B$95:$B103)),"")</f>
        <v/>
      </c>
      <c r="I103" s="388" t="str" cm="1">
        <f t="array" ref="I103">IF(ROWS($B$95:$B103)&lt;=$J$95,ROUND(INDEX('Party Walls'!D:D,H103),1)  &amp; " " &amp; INDEX('Party Walls'!E:E,H103),"")</f>
        <v/>
      </c>
    </row>
    <row r="104" spans="1:9" ht="30.15" customHeight="1" x14ac:dyDescent="0.25">
      <c r="A104" s="204" t="str">
        <f>VLOOKUP("Party Walls",Setting!$E$6:$H$33,4,FALSE)</f>
        <v>Party Walls</v>
      </c>
      <c r="B104" s="205" t="str" cm="1">
        <f t="array" ref="B104">IF(ROWS($B$95:$B104)&lt;=$J$95,INDEX('Party Walls'!$R:$R,_xlfn.AGGREGATE(15,3,('Party Walls'!$H$1:$H$336=1)/('Party Walls'!$H$1:$H$336=1)*ROW('Party Walls'!$H$1:$H$336),ROWS($B$95:$B104))),"")</f>
        <v/>
      </c>
      <c r="C104" s="205" t="str" cm="1">
        <f t="array" ref="C104">IF(ROWS($B$95:$B104)&lt;=$J$95,INDEX('Party Walls'!C:C,$H104) &amp; INDEX('Party Walls'!S:S,$H104),"")</f>
        <v/>
      </c>
      <c r="D104" s="206" t="str">
        <f t="shared" si="19"/>
        <v/>
      </c>
      <c r="E104" s="206" t="str" cm="1">
        <f t="array" ref="E104">IF(ROWS($B$95:$B104)&lt;=$J$95,INDEX('Party Walls'!K:K,_xlfn.AGGREGATE(15,3,('Party Walls'!$H$1:$H$336=1)/('Party Walls'!$H$1:$H$336=1)*ROW('Party Walls'!$H$1:$H$336),ROWS($B$95:$B104))),"")</f>
        <v/>
      </c>
      <c r="F104" s="206" t="str" cm="1">
        <f t="array" ref="F104">IF(ROWS($B$95:$B104)&lt;=$J$95,INDEX('Party Walls'!L:L,_xlfn.AGGREGATE(15,3,('Party Walls'!$H$1:$H$336=1)/('Party Walls'!$H$1:$H$336=1)*ROW('Party Walls'!$H$1:$H$336),ROWS($B$95:$B104))),"")</f>
        <v/>
      </c>
      <c r="G104" s="206" t="str" cm="1">
        <f t="array" ref="G104">IF(ROWS($B$95:$B104)&lt;=$J$95,INDEX('Party Walls'!M:M,_xlfn.AGGREGATE(15,3,('Party Walls'!$H$1:$H$336=1)/('Party Walls'!$H$1:$H$336=1)*ROW('Party Walls'!$H$1:$H$336),ROWS($B$95:$B104))),"")</f>
        <v/>
      </c>
      <c r="H104" s="388" t="str" cm="1">
        <f t="array" ref="H104">IFERROR(_xlfn.AGGREGATE(15,3,('Party Walls'!$H$1:$H$336=1)/('Party Walls'!$H$1:$H$336=1)*ROW('Party Walls'!$H$1:$H$336),ROWS($B$95:$B104)),"")</f>
        <v/>
      </c>
      <c r="I104" s="388" t="str" cm="1">
        <f t="array" ref="I104">IF(ROWS($B$95:$B104)&lt;=$J$95,ROUND(INDEX('Party Walls'!D:D,H104),1)  &amp; " " &amp; INDEX('Party Walls'!E:E,H104),"")</f>
        <v/>
      </c>
    </row>
    <row r="105" spans="1:9" ht="30.15" customHeight="1" x14ac:dyDescent="0.25">
      <c r="A105" s="204" t="str">
        <f>VLOOKUP("Party Walls",Setting!$E$6:$H$33,4,FALSE)</f>
        <v>Party Walls</v>
      </c>
      <c r="B105" s="205" t="str" cm="1">
        <f t="array" ref="B105">IF(ROWS($B$95:$B105)&lt;=$J$95,INDEX('Party Walls'!$R:$R,_xlfn.AGGREGATE(15,3,('Party Walls'!$H$1:$H$336=1)/('Party Walls'!$H$1:$H$336=1)*ROW('Party Walls'!$H$1:$H$336),ROWS($B$95:$B105))),"")</f>
        <v/>
      </c>
      <c r="C105" s="205" t="str" cm="1">
        <f t="array" ref="C105">IF(ROWS($B$95:$B105)&lt;=$J$95,INDEX('Party Walls'!C:C,$H105) &amp; INDEX('Party Walls'!S:S,$H105),"")</f>
        <v/>
      </c>
      <c r="D105" s="206" t="str">
        <f t="shared" si="19"/>
        <v/>
      </c>
      <c r="E105" s="206" t="str" cm="1">
        <f t="array" ref="E105">IF(ROWS($B$95:$B105)&lt;=$J$95,INDEX('Party Walls'!K:K,_xlfn.AGGREGATE(15,3,('Party Walls'!$H$1:$H$336=1)/('Party Walls'!$H$1:$H$336=1)*ROW('Party Walls'!$H$1:$H$336),ROWS($B$95:$B105))),"")</f>
        <v/>
      </c>
      <c r="F105" s="206" t="str" cm="1">
        <f t="array" ref="F105">IF(ROWS($B$95:$B105)&lt;=$J$95,INDEX('Party Walls'!L:L,_xlfn.AGGREGATE(15,3,('Party Walls'!$H$1:$H$336=1)/('Party Walls'!$H$1:$H$336=1)*ROW('Party Walls'!$H$1:$H$336),ROWS($B$95:$B105))),"")</f>
        <v/>
      </c>
      <c r="G105" s="206" t="str" cm="1">
        <f t="array" ref="G105">IF(ROWS($B$95:$B105)&lt;=$J$95,INDEX('Party Walls'!M:M,_xlfn.AGGREGATE(15,3,('Party Walls'!$H$1:$H$336=1)/('Party Walls'!$H$1:$H$336=1)*ROW('Party Walls'!$H$1:$H$336),ROWS($B$95:$B105))),"")</f>
        <v/>
      </c>
      <c r="H105" s="388" t="str" cm="1">
        <f t="array" ref="H105">IFERROR(_xlfn.AGGREGATE(15,3,('Party Walls'!$H$1:$H$336=1)/('Party Walls'!$H$1:$H$336=1)*ROW('Party Walls'!$H$1:$H$336),ROWS($B$95:$B105)),"")</f>
        <v/>
      </c>
      <c r="I105" s="388" t="str" cm="1">
        <f t="array" ref="I105">IF(ROWS($B$95:$B105)&lt;=$J$95,ROUND(INDEX('Party Walls'!D:D,H105),1)  &amp; " " &amp; INDEX('Party Walls'!E:E,H105),"")</f>
        <v/>
      </c>
    </row>
    <row r="106" spans="1:9" ht="30.15" customHeight="1" x14ac:dyDescent="0.25">
      <c r="A106" s="204" t="str">
        <f>VLOOKUP("Party Walls",Setting!$E$6:$H$33,4,FALSE)</f>
        <v>Party Walls</v>
      </c>
      <c r="B106" s="205" t="str" cm="1">
        <f t="array" ref="B106">IF(ROWS($B$95:$B106)&lt;=$J$95,INDEX('Party Walls'!$R:$R,_xlfn.AGGREGATE(15,3,('Party Walls'!$H$1:$H$336=1)/('Party Walls'!$H$1:$H$336=1)*ROW('Party Walls'!$H$1:$H$336),ROWS($B$95:$B106))),"")</f>
        <v/>
      </c>
      <c r="C106" s="205" t="str" cm="1">
        <f t="array" ref="C106">IF(ROWS($B$95:$B106)&lt;=$J$95,INDEX('Party Walls'!C:C,$H106) &amp; INDEX('Party Walls'!S:S,$H106),"")</f>
        <v/>
      </c>
      <c r="D106" s="206" t="str">
        <f t="shared" si="19"/>
        <v/>
      </c>
      <c r="E106" s="206" t="str" cm="1">
        <f t="array" ref="E106">IF(ROWS($B$95:$B106)&lt;=$J$95,INDEX('Party Walls'!K:K,_xlfn.AGGREGATE(15,3,('Party Walls'!$H$1:$H$336=1)/('Party Walls'!$H$1:$H$336=1)*ROW('Party Walls'!$H$1:$H$336),ROWS($B$95:$B106))),"")</f>
        <v/>
      </c>
      <c r="F106" s="206" t="str" cm="1">
        <f t="array" ref="F106">IF(ROWS($B$95:$B106)&lt;=$J$95,INDEX('Party Walls'!L:L,_xlfn.AGGREGATE(15,3,('Party Walls'!$H$1:$H$336=1)/('Party Walls'!$H$1:$H$336=1)*ROW('Party Walls'!$H$1:$H$336),ROWS($B$95:$B106))),"")</f>
        <v/>
      </c>
      <c r="G106" s="206" t="str" cm="1">
        <f t="array" ref="G106">IF(ROWS($B$95:$B106)&lt;=$J$95,INDEX('Party Walls'!M:M,_xlfn.AGGREGATE(15,3,('Party Walls'!$H$1:$H$336=1)/('Party Walls'!$H$1:$H$336=1)*ROW('Party Walls'!$H$1:$H$336),ROWS($B$95:$B106))),"")</f>
        <v/>
      </c>
      <c r="H106" s="388" t="str" cm="1">
        <f t="array" ref="H106">IFERROR(_xlfn.AGGREGATE(15,3,('Party Walls'!$H$1:$H$336=1)/('Party Walls'!$H$1:$H$336=1)*ROW('Party Walls'!$H$1:$H$336),ROWS($B$95:$B106)),"")</f>
        <v/>
      </c>
      <c r="I106" s="388" t="str" cm="1">
        <f t="array" ref="I106">IF(ROWS($B$95:$B106)&lt;=$J$95,ROUND(INDEX('Party Walls'!D:D,H106),1)  &amp; " " &amp; INDEX('Party Walls'!E:E,H106),"")</f>
        <v/>
      </c>
    </row>
    <row r="107" spans="1:9" ht="30.15" customHeight="1" x14ac:dyDescent="0.25">
      <c r="A107" s="204" t="str">
        <f>VLOOKUP("Party Walls",Setting!$E$6:$H$33,4,FALSE)</f>
        <v>Party Walls</v>
      </c>
      <c r="B107" s="205" t="str" cm="1">
        <f t="array" ref="B107">IF(ROWS($B$95:$B107)&lt;=$J$95,INDEX('Party Walls'!$R:$R,_xlfn.AGGREGATE(15,3,('Party Walls'!$H$1:$H$336=1)/('Party Walls'!$H$1:$H$336=1)*ROW('Party Walls'!$H$1:$H$336),ROWS($B$95:$B107))),"")</f>
        <v/>
      </c>
      <c r="C107" s="205" t="str" cm="1">
        <f t="array" ref="C107">IF(ROWS($B$95:$B107)&lt;=$J$95,INDEX('Party Walls'!C:C,$H107) &amp; INDEX('Party Walls'!S:S,$H107),"")</f>
        <v/>
      </c>
      <c r="D107" s="206" t="str">
        <f t="shared" si="19"/>
        <v/>
      </c>
      <c r="E107" s="206" t="str" cm="1">
        <f t="array" ref="E107">IF(ROWS($B$95:$B107)&lt;=$J$95,INDEX('Party Walls'!K:K,_xlfn.AGGREGATE(15,3,('Party Walls'!$H$1:$H$336=1)/('Party Walls'!$H$1:$H$336=1)*ROW('Party Walls'!$H$1:$H$336),ROWS($B$95:$B107))),"")</f>
        <v/>
      </c>
      <c r="F107" s="206" t="str" cm="1">
        <f t="array" ref="F107">IF(ROWS($B$95:$B107)&lt;=$J$95,INDEX('Party Walls'!L:L,_xlfn.AGGREGATE(15,3,('Party Walls'!$H$1:$H$336=1)/('Party Walls'!$H$1:$H$336=1)*ROW('Party Walls'!$H$1:$H$336),ROWS($B$95:$B107))),"")</f>
        <v/>
      </c>
      <c r="G107" s="206" t="str" cm="1">
        <f t="array" ref="G107">IF(ROWS($B$95:$B107)&lt;=$J$95,INDEX('Party Walls'!M:M,_xlfn.AGGREGATE(15,3,('Party Walls'!$H$1:$H$336=1)/('Party Walls'!$H$1:$H$336=1)*ROW('Party Walls'!$H$1:$H$336),ROWS($B$95:$B107))),"")</f>
        <v/>
      </c>
      <c r="H107" s="388" t="str" cm="1">
        <f t="array" ref="H107">IFERROR(_xlfn.AGGREGATE(15,3,('Party Walls'!$H$1:$H$336=1)/('Party Walls'!$H$1:$H$336=1)*ROW('Party Walls'!$H$1:$H$336),ROWS($B$95:$B107)),"")</f>
        <v/>
      </c>
      <c r="I107" s="388" t="str" cm="1">
        <f t="array" ref="I107">IF(ROWS($B$95:$B107)&lt;=$J$95,ROUND(INDEX('Party Walls'!D:D,H107),1)  &amp; " " &amp; INDEX('Party Walls'!E:E,H107),"")</f>
        <v/>
      </c>
    </row>
    <row r="108" spans="1:9" ht="30.15" customHeight="1" x14ac:dyDescent="0.25">
      <c r="A108" s="204" t="str">
        <f>VLOOKUP("Party Walls",Setting!$E$6:$H$33,4,FALSE)</f>
        <v>Party Walls</v>
      </c>
      <c r="B108" s="205" t="str" cm="1">
        <f t="array" ref="B108">IF(ROWS($B$95:$B108)&lt;=$J$95,INDEX('Party Walls'!$R:$R,_xlfn.AGGREGATE(15,3,('Party Walls'!$H$1:$H$336=1)/('Party Walls'!$H$1:$H$336=1)*ROW('Party Walls'!$H$1:$H$336),ROWS($B$95:$B108))),"")</f>
        <v/>
      </c>
      <c r="C108" s="205" t="str" cm="1">
        <f t="array" ref="C108">IF(ROWS($B$95:$B108)&lt;=$J$95,INDEX('Party Walls'!C:C,$H108) &amp; INDEX('Party Walls'!S:S,$H108),"")</f>
        <v/>
      </c>
      <c r="D108" s="206" t="str">
        <f t="shared" si="19"/>
        <v/>
      </c>
      <c r="E108" s="206" t="str" cm="1">
        <f t="array" ref="E108">IF(ROWS($B$95:$B108)&lt;=$J$95,INDEX('Party Walls'!K:K,_xlfn.AGGREGATE(15,3,('Party Walls'!$H$1:$H$336=1)/('Party Walls'!$H$1:$H$336=1)*ROW('Party Walls'!$H$1:$H$336),ROWS($B$95:$B108))),"")</f>
        <v/>
      </c>
      <c r="F108" s="206" t="str" cm="1">
        <f t="array" ref="F108">IF(ROWS($B$95:$B108)&lt;=$J$95,INDEX('Party Walls'!L:L,_xlfn.AGGREGATE(15,3,('Party Walls'!$H$1:$H$336=1)/('Party Walls'!$H$1:$H$336=1)*ROW('Party Walls'!$H$1:$H$336),ROWS($B$95:$B108))),"")</f>
        <v/>
      </c>
      <c r="G108" s="206" t="str" cm="1">
        <f t="array" ref="G108">IF(ROWS($B$95:$B108)&lt;=$J$95,INDEX('Party Walls'!M:M,_xlfn.AGGREGATE(15,3,('Party Walls'!$H$1:$H$336=1)/('Party Walls'!$H$1:$H$336=1)*ROW('Party Walls'!$H$1:$H$336),ROWS($B$95:$B108))),"")</f>
        <v/>
      </c>
      <c r="H108" s="388" t="str" cm="1">
        <f t="array" ref="H108">IFERROR(_xlfn.AGGREGATE(15,3,('Party Walls'!$H$1:$H$336=1)/('Party Walls'!$H$1:$H$336=1)*ROW('Party Walls'!$H$1:$H$336),ROWS($B$95:$B108)),"")</f>
        <v/>
      </c>
      <c r="I108" s="388" t="str" cm="1">
        <f t="array" ref="I108">IF(ROWS($B$95:$B108)&lt;=$J$95,ROUND(INDEX('Party Walls'!D:D,H108),1)  &amp; " " &amp; INDEX('Party Walls'!E:E,H108),"")</f>
        <v/>
      </c>
    </row>
    <row r="109" spans="1:9" ht="30.15" customHeight="1" x14ac:dyDescent="0.25">
      <c r="A109" s="204" t="str">
        <f>VLOOKUP("Party Walls",Setting!$E$6:$H$33,4,FALSE)</f>
        <v>Party Walls</v>
      </c>
      <c r="B109" s="205" t="str" cm="1">
        <f t="array" ref="B109">IF(ROWS($B$95:$B109)&lt;=$J$95,INDEX('Party Walls'!$R:$R,_xlfn.AGGREGATE(15,3,('Party Walls'!$H$1:$H$336=1)/('Party Walls'!$H$1:$H$336=1)*ROW('Party Walls'!$H$1:$H$336),ROWS($B$95:$B109))),"")</f>
        <v/>
      </c>
      <c r="C109" s="205" t="str" cm="1">
        <f t="array" ref="C109">IF(ROWS($B$95:$B109)&lt;=$J$95,INDEX('Party Walls'!C:C,$H109) &amp; INDEX('Party Walls'!S:S,$H109),"")</f>
        <v/>
      </c>
      <c r="D109" s="206" t="str">
        <f t="shared" si="19"/>
        <v/>
      </c>
      <c r="E109" s="206" t="str" cm="1">
        <f t="array" ref="E109">IF(ROWS($B$95:$B109)&lt;=$J$95,INDEX('Party Walls'!K:K,_xlfn.AGGREGATE(15,3,('Party Walls'!$H$1:$H$336=1)/('Party Walls'!$H$1:$H$336=1)*ROW('Party Walls'!$H$1:$H$336),ROWS($B$95:$B109))),"")</f>
        <v/>
      </c>
      <c r="F109" s="206" t="str" cm="1">
        <f t="array" ref="F109">IF(ROWS($B$95:$B109)&lt;=$J$95,INDEX('Party Walls'!L:L,_xlfn.AGGREGATE(15,3,('Party Walls'!$H$1:$H$336=1)/('Party Walls'!$H$1:$H$336=1)*ROW('Party Walls'!$H$1:$H$336),ROWS($B$95:$B109))),"")</f>
        <v/>
      </c>
      <c r="G109" s="206" t="str" cm="1">
        <f t="array" ref="G109">IF(ROWS($B$95:$B109)&lt;=$J$95,INDEX('Party Walls'!M:M,_xlfn.AGGREGATE(15,3,('Party Walls'!$H$1:$H$336=1)/('Party Walls'!$H$1:$H$336=1)*ROW('Party Walls'!$H$1:$H$336),ROWS($B$95:$B109))),"")</f>
        <v/>
      </c>
      <c r="H109" s="388" t="str" cm="1">
        <f t="array" ref="H109">IFERROR(_xlfn.AGGREGATE(15,3,('Party Walls'!$H$1:$H$336=1)/('Party Walls'!$H$1:$H$336=1)*ROW('Party Walls'!$H$1:$H$336),ROWS($B$95:$B109)),"")</f>
        <v/>
      </c>
      <c r="I109" s="388" t="str" cm="1">
        <f t="array" ref="I109">IF(ROWS($B$95:$B109)&lt;=$J$95,ROUND(INDEX('Party Walls'!D:D,H109),1)  &amp; " " &amp; INDEX('Party Walls'!E:E,H109),"")</f>
        <v/>
      </c>
    </row>
    <row r="110" spans="1:9" ht="30.15" customHeight="1" x14ac:dyDescent="0.25">
      <c r="A110" s="204" t="str">
        <f>VLOOKUP("Party Walls",Setting!$E$6:$H$33,4,FALSE)</f>
        <v>Party Walls</v>
      </c>
      <c r="B110" s="205" t="str" cm="1">
        <f t="array" ref="B110">IF(ROWS($B$95:$B110)&lt;=$J$95,INDEX('Party Walls'!$R:$R,_xlfn.AGGREGATE(15,3,('Party Walls'!$H$1:$H$336=1)/('Party Walls'!$H$1:$H$336=1)*ROW('Party Walls'!$H$1:$H$336),ROWS($B$95:$B110))),"")</f>
        <v/>
      </c>
      <c r="C110" s="205" t="str" cm="1">
        <f t="array" ref="C110">IF(ROWS($B$95:$B110)&lt;=$J$95,INDEX('Party Walls'!C:C,$H110) &amp; INDEX('Party Walls'!S:S,$H110),"")</f>
        <v/>
      </c>
      <c r="D110" s="206" t="str">
        <f t="shared" si="19"/>
        <v/>
      </c>
      <c r="E110" s="206" t="str" cm="1">
        <f t="array" ref="E110">IF(ROWS($B$95:$B110)&lt;=$J$95,INDEX('Party Walls'!K:K,_xlfn.AGGREGATE(15,3,('Party Walls'!$H$1:$H$336=1)/('Party Walls'!$H$1:$H$336=1)*ROW('Party Walls'!$H$1:$H$336),ROWS($B$95:$B110))),"")</f>
        <v/>
      </c>
      <c r="F110" s="206" t="str" cm="1">
        <f t="array" ref="F110">IF(ROWS($B$95:$B110)&lt;=$J$95,INDEX('Party Walls'!L:L,_xlfn.AGGREGATE(15,3,('Party Walls'!$H$1:$H$336=1)/('Party Walls'!$H$1:$H$336=1)*ROW('Party Walls'!$H$1:$H$336),ROWS($B$95:$B110))),"")</f>
        <v/>
      </c>
      <c r="G110" s="206" t="str" cm="1">
        <f t="array" ref="G110">IF(ROWS($B$95:$B110)&lt;=$J$95,INDEX('Party Walls'!M:M,_xlfn.AGGREGATE(15,3,('Party Walls'!$H$1:$H$336=1)/('Party Walls'!$H$1:$H$336=1)*ROW('Party Walls'!$H$1:$H$336),ROWS($B$95:$B110))),"")</f>
        <v/>
      </c>
      <c r="H110" s="388" t="str" cm="1">
        <f t="array" ref="H110">IFERROR(_xlfn.AGGREGATE(15,3,('Party Walls'!$H$1:$H$336=1)/('Party Walls'!$H$1:$H$336=1)*ROW('Party Walls'!$H$1:$H$336),ROWS($B$95:$B110)),"")</f>
        <v/>
      </c>
      <c r="I110" s="388" t="str" cm="1">
        <f t="array" ref="I110">IF(ROWS($B$95:$B110)&lt;=$J$95,ROUND(INDEX('Party Walls'!D:D,H110),1)  &amp; " " &amp; INDEX('Party Walls'!E:E,H110),"")</f>
        <v/>
      </c>
    </row>
    <row r="111" spans="1:9" ht="30.15" customHeight="1" x14ac:dyDescent="0.25">
      <c r="A111" s="204" t="str">
        <f>VLOOKUP("Party Walls",Setting!$E$6:$H$33,4,FALSE)</f>
        <v>Party Walls</v>
      </c>
      <c r="B111" s="205" t="str" cm="1">
        <f t="array" ref="B111">IF(ROWS($B$95:$B111)&lt;=$J$95,INDEX('Party Walls'!$R:$R,_xlfn.AGGREGATE(15,3,('Party Walls'!$H$1:$H$336=1)/('Party Walls'!$H$1:$H$336=1)*ROW('Party Walls'!$H$1:$H$336),ROWS($B$95:$B111))),"")</f>
        <v/>
      </c>
      <c r="C111" s="205" t="str" cm="1">
        <f t="array" ref="C111">IF(ROWS($B$95:$B111)&lt;=$J$95,INDEX('Party Walls'!C:C,$H111) &amp; INDEX('Party Walls'!S:S,$H111),"")</f>
        <v/>
      </c>
      <c r="D111" s="206" t="str">
        <f t="shared" si="19"/>
        <v/>
      </c>
      <c r="E111" s="206" t="str" cm="1">
        <f t="array" ref="E111">IF(ROWS($B$95:$B111)&lt;=$J$95,INDEX('Party Walls'!K:K,_xlfn.AGGREGATE(15,3,('Party Walls'!$H$1:$H$336=1)/('Party Walls'!$H$1:$H$336=1)*ROW('Party Walls'!$H$1:$H$336),ROWS($B$95:$B111))),"")</f>
        <v/>
      </c>
      <c r="F111" s="206" t="str" cm="1">
        <f t="array" ref="F111">IF(ROWS($B$95:$B111)&lt;=$J$95,INDEX('Party Walls'!L:L,_xlfn.AGGREGATE(15,3,('Party Walls'!$H$1:$H$336=1)/('Party Walls'!$H$1:$H$336=1)*ROW('Party Walls'!$H$1:$H$336),ROWS($B$95:$B111))),"")</f>
        <v/>
      </c>
      <c r="G111" s="206" t="str" cm="1">
        <f t="array" ref="G111">IF(ROWS($B$95:$B111)&lt;=$J$95,INDEX('Party Walls'!M:M,_xlfn.AGGREGATE(15,3,('Party Walls'!$H$1:$H$336=1)/('Party Walls'!$H$1:$H$336=1)*ROW('Party Walls'!$H$1:$H$336),ROWS($B$95:$B111))),"")</f>
        <v/>
      </c>
      <c r="H111" s="388" t="str" cm="1">
        <f t="array" ref="H111">IFERROR(_xlfn.AGGREGATE(15,3,('Party Walls'!$H$1:$H$336=1)/('Party Walls'!$H$1:$H$336=1)*ROW('Party Walls'!$H$1:$H$336),ROWS($B$95:$B111)),"")</f>
        <v/>
      </c>
      <c r="I111" s="388" t="str" cm="1">
        <f t="array" ref="I111">IF(ROWS($B$95:$B111)&lt;=$J$95,ROUND(INDEX('Party Walls'!D:D,H111),1)  &amp; " " &amp; INDEX('Party Walls'!E:E,H111),"")</f>
        <v/>
      </c>
    </row>
    <row r="112" spans="1:9" ht="30.15" customHeight="1" x14ac:dyDescent="0.25">
      <c r="A112" s="204" t="str">
        <f>VLOOKUP("Party Walls",Setting!$E$6:$H$33,4,FALSE)</f>
        <v>Party Walls</v>
      </c>
      <c r="B112" s="205" t="str" cm="1">
        <f t="array" ref="B112">IF(ROWS($B$95:$B112)&lt;=$J$95,INDEX('Party Walls'!$R:$R,_xlfn.AGGREGATE(15,3,('Party Walls'!$H$1:$H$336=1)/('Party Walls'!$H$1:$H$336=1)*ROW('Party Walls'!$H$1:$H$336),ROWS($B$95:$B112))),"")</f>
        <v/>
      </c>
      <c r="C112" s="205" t="str" cm="1">
        <f t="array" ref="C112">IF(ROWS($B$95:$B112)&lt;=$J$95,INDEX('Party Walls'!C:C,$H112) &amp; INDEX('Party Walls'!S:S,$H112),"")</f>
        <v/>
      </c>
      <c r="D112" s="206" t="str">
        <f t="shared" si="19"/>
        <v/>
      </c>
      <c r="E112" s="206" t="str" cm="1">
        <f t="array" ref="E112">IF(ROWS($B$95:$B112)&lt;=$J$95,INDEX('Party Walls'!K:K,_xlfn.AGGREGATE(15,3,('Party Walls'!$H$1:$H$336=1)/('Party Walls'!$H$1:$H$336=1)*ROW('Party Walls'!$H$1:$H$336),ROWS($B$95:$B112))),"")</f>
        <v/>
      </c>
      <c r="F112" s="206" t="str" cm="1">
        <f t="array" ref="F112">IF(ROWS($B$95:$B112)&lt;=$J$95,INDEX('Party Walls'!L:L,_xlfn.AGGREGATE(15,3,('Party Walls'!$H$1:$H$336=1)/('Party Walls'!$H$1:$H$336=1)*ROW('Party Walls'!$H$1:$H$336),ROWS($B$95:$B112))),"")</f>
        <v/>
      </c>
      <c r="G112" s="206" t="str" cm="1">
        <f t="array" ref="G112">IF(ROWS($B$95:$B112)&lt;=$J$95,INDEX('Party Walls'!M:M,_xlfn.AGGREGATE(15,3,('Party Walls'!$H$1:$H$336=1)/('Party Walls'!$H$1:$H$336=1)*ROW('Party Walls'!$H$1:$H$336),ROWS($B$95:$B112))),"")</f>
        <v/>
      </c>
      <c r="H112" s="388" t="str" cm="1">
        <f t="array" ref="H112">IFERROR(_xlfn.AGGREGATE(15,3,('Party Walls'!$H$1:$H$336=1)/('Party Walls'!$H$1:$H$336=1)*ROW('Party Walls'!$H$1:$H$336),ROWS($B$95:$B112)),"")</f>
        <v/>
      </c>
      <c r="I112" s="388" t="str" cm="1">
        <f t="array" ref="I112">IF(ROWS($B$95:$B112)&lt;=$J$95,ROUND(INDEX('Party Walls'!D:D,H112),1)  &amp; " " &amp; INDEX('Party Walls'!E:E,H112),"")</f>
        <v/>
      </c>
    </row>
    <row r="113" spans="1:10" ht="30.15" customHeight="1" x14ac:dyDescent="0.25">
      <c r="A113" s="204" t="str">
        <f>VLOOKUP("Party Walls",Setting!$E$6:$H$33,4,FALSE)</f>
        <v>Party Walls</v>
      </c>
      <c r="B113" s="205" t="str" cm="1">
        <f t="array" ref="B113">IF(ROWS($B$95:$B113)&lt;=$J$95,INDEX('Party Walls'!$R:$R,_xlfn.AGGREGATE(15,3,('Party Walls'!$H$1:$H$336=1)/('Party Walls'!$H$1:$H$336=1)*ROW('Party Walls'!$H$1:$H$336),ROWS($B$95:$B113))),"")</f>
        <v/>
      </c>
      <c r="C113" s="205" t="str" cm="1">
        <f t="array" ref="C113">IF(ROWS($B$95:$B113)&lt;=$J$95,INDEX('Party Walls'!C:C,$H113) &amp; INDEX('Party Walls'!S:S,$H113),"")</f>
        <v/>
      </c>
      <c r="D113" s="206" t="str">
        <f t="shared" si="19"/>
        <v/>
      </c>
      <c r="E113" s="206" t="str" cm="1">
        <f t="array" ref="E113">IF(ROWS($B$95:$B113)&lt;=$J$95,INDEX('Party Walls'!K:K,_xlfn.AGGREGATE(15,3,('Party Walls'!$H$1:$H$336=1)/('Party Walls'!$H$1:$H$336=1)*ROW('Party Walls'!$H$1:$H$336),ROWS($B$95:$B113))),"")</f>
        <v/>
      </c>
      <c r="F113" s="206" t="str" cm="1">
        <f t="array" ref="F113">IF(ROWS($B$95:$B113)&lt;=$J$95,INDEX('Party Walls'!L:L,_xlfn.AGGREGATE(15,3,('Party Walls'!$H$1:$H$336=1)/('Party Walls'!$H$1:$H$336=1)*ROW('Party Walls'!$H$1:$H$336),ROWS($B$95:$B113))),"")</f>
        <v/>
      </c>
      <c r="G113" s="206" t="str" cm="1">
        <f t="array" ref="G113">IF(ROWS($B$95:$B113)&lt;=$J$95,INDEX('Party Walls'!M:M,_xlfn.AGGREGATE(15,3,('Party Walls'!$H$1:$H$336=1)/('Party Walls'!$H$1:$H$336=1)*ROW('Party Walls'!$H$1:$H$336),ROWS($B$95:$B113))),"")</f>
        <v/>
      </c>
      <c r="H113" s="388" t="str" cm="1">
        <f t="array" ref="H113">IFERROR(_xlfn.AGGREGATE(15,3,('Party Walls'!$H$1:$H$336=1)/('Party Walls'!$H$1:$H$336=1)*ROW('Party Walls'!$H$1:$H$336),ROWS($B$95:$B113)),"")</f>
        <v/>
      </c>
      <c r="I113" s="388" t="str" cm="1">
        <f t="array" ref="I113">IF(ROWS($B$95:$B113)&lt;=$J$95,ROUND(INDEX('Party Walls'!D:D,H113),1)  &amp; " " &amp; INDEX('Party Walls'!E:E,H113),"")</f>
        <v/>
      </c>
    </row>
    <row r="114" spans="1:10" ht="30.15" customHeight="1" x14ac:dyDescent="0.25">
      <c r="A114" s="204" t="str">
        <f>VLOOKUP("Party Walls",Setting!$E$6:$H$33,4,FALSE)</f>
        <v>Party Walls</v>
      </c>
      <c r="B114" s="205" t="str" cm="1">
        <f t="array" ref="B114">IF(ROWS($B$95:$B114)&lt;=$J$95,INDEX('Party Walls'!$R:$R,_xlfn.AGGREGATE(15,3,('Party Walls'!$H$1:$H$336=1)/('Party Walls'!$H$1:$H$336=1)*ROW('Party Walls'!$H$1:$H$336),ROWS($B$95:$B114))),"")</f>
        <v/>
      </c>
      <c r="C114" s="205" t="str" cm="1">
        <f t="array" ref="C114">IF(ROWS($B$95:$B114)&lt;=$J$95,INDEX('Party Walls'!C:C,$H114) &amp; INDEX('Party Walls'!S:S,$H114),"")</f>
        <v/>
      </c>
      <c r="D114" s="206" t="str">
        <f t="shared" si="19"/>
        <v/>
      </c>
      <c r="E114" s="206" t="str" cm="1">
        <f t="array" ref="E114">IF(ROWS($B$95:$B114)&lt;=$J$95,INDEX('Party Walls'!K:K,_xlfn.AGGREGATE(15,3,('Party Walls'!$H$1:$H$336=1)/('Party Walls'!$H$1:$H$336=1)*ROW('Party Walls'!$H$1:$H$336),ROWS($B$95:$B114))),"")</f>
        <v/>
      </c>
      <c r="F114" s="206" t="str" cm="1">
        <f t="array" ref="F114">IF(ROWS($B$95:$B114)&lt;=$J$95,INDEX('Party Walls'!L:L,_xlfn.AGGREGATE(15,3,('Party Walls'!$H$1:$H$336=1)/('Party Walls'!$H$1:$H$336=1)*ROW('Party Walls'!$H$1:$H$336),ROWS($B$95:$B114))),"")</f>
        <v/>
      </c>
      <c r="G114" s="206" t="str" cm="1">
        <f t="array" ref="G114">IF(ROWS($B$95:$B114)&lt;=$J$95,INDEX('Party Walls'!M:M,_xlfn.AGGREGATE(15,3,('Party Walls'!$H$1:$H$336=1)/('Party Walls'!$H$1:$H$336=1)*ROW('Party Walls'!$H$1:$H$336),ROWS($B$95:$B114))),"")</f>
        <v/>
      </c>
      <c r="H114" s="388" t="str" cm="1">
        <f t="array" ref="H114">IFERROR(_xlfn.AGGREGATE(15,3,('Party Walls'!$H$1:$H$336=1)/('Party Walls'!$H$1:$H$336=1)*ROW('Party Walls'!$H$1:$H$336),ROWS($B$95:$B114)),"")</f>
        <v/>
      </c>
      <c r="I114" s="388" t="str" cm="1">
        <f t="array" ref="I114">IF(ROWS($B$95:$B114)&lt;=$J$95,ROUND(INDEX('Party Walls'!D:D,H114),1)  &amp; " " &amp; INDEX('Party Walls'!E:E,H114),"")</f>
        <v/>
      </c>
    </row>
    <row r="115" spans="1:10" ht="30.15" customHeight="1" x14ac:dyDescent="0.25">
      <c r="A115" s="204" t="str">
        <f>VLOOKUP("Cladding",Setting!$E$6:$H$33,4,FALSE)</f>
        <v>Cladding</v>
      </c>
      <c r="B115" s="205" t="str" cm="1">
        <f t="array" ref="B115">IF(ROWS($B$115:$B115)&lt;=$J$115,INDEX(Cladding!$R:$R,_xlfn.AGGREGATE(15,3,(Cladding!$H$1:$H$231=1)/(Cladding!$H$1:$H$231=1)*ROW(Cladding!$H$1:$H$231),ROWS($B$115:$B115))),"")</f>
        <v/>
      </c>
      <c r="C115" s="205" t="str" cm="1">
        <f t="array" ref="C115">IF(ROWS($B$115:$B115)&lt;=$J$115,INDEX(Cladding!C:C,$H115) &amp; INDEX(Cladding!S:S,$H115),"")</f>
        <v/>
      </c>
      <c r="D115" s="206" t="str">
        <f t="shared" si="19"/>
        <v/>
      </c>
      <c r="E115" s="206" t="str" cm="1">
        <f t="array" ref="E115">IF(ROWS($B$115:$B115)&lt;=$J$115,INDEX(Cladding!K:K,_xlfn.AGGREGATE(15,3,(Cladding!$H$1:$H$231=1)/(Cladding!$H$1:$H$231=1)*ROW(Cladding!$H$1:$H$231),ROWS($B$115:$B115))),"")</f>
        <v/>
      </c>
      <c r="F115" s="206" t="str" cm="1">
        <f t="array" ref="F115">IF(ROWS($B$115:$B115)&lt;=$J$115,INDEX(Cladding!L:L,_xlfn.AGGREGATE(15,3,(Cladding!$H$1:$H$231=1)/(Cladding!$H$1:$H$231=1)*ROW(Cladding!$H$1:$H$231),ROWS($B$115:$B115))),"")</f>
        <v/>
      </c>
      <c r="G115" s="206" t="str" cm="1">
        <f t="array" ref="G115">IF(ROWS($B$115:$B115)&lt;=$J$115,INDEX(Cladding!M:M,_xlfn.AGGREGATE(15,3,(Cladding!$H$1:$H$231=1)/(Cladding!$H$1:$H$231=1)*ROW(Cladding!$H$1:$H$231),ROWS($B$115:$B115))),"")</f>
        <v/>
      </c>
      <c r="H115" s="388" t="str" cm="1">
        <f t="array" ref="H115">IFERROR(_xlfn.AGGREGATE(15,3,(Cladding!$H$1:$H$231=1)/(Cladding!$H$1:$H$231=1)*ROW(Cladding!$H$1:$H$231),ROWS($B$115:$B115)),"")</f>
        <v/>
      </c>
      <c r="I115" s="388" t="str" cm="1">
        <f t="array" ref="I115">IF(ROWS($B$115:$B115)&lt;=$J$115,ROUND(INDEX(Cladding!D:D,H115),1)  &amp; " " &amp; INDEX(Cladding!E:E,H115),"")</f>
        <v/>
      </c>
      <c r="J115" s="207">
        <f>COUNTIF(Cladding!$H$1:$H$530,1)</f>
        <v>0</v>
      </c>
    </row>
    <row r="116" spans="1:10" ht="30.15" customHeight="1" x14ac:dyDescent="0.25">
      <c r="A116" s="204" t="str">
        <f>VLOOKUP("Cladding",Setting!$E$6:$H$33,4,FALSE)</f>
        <v>Cladding</v>
      </c>
      <c r="B116" s="205" t="str" cm="1">
        <f t="array" ref="B116">IF(ROWS($B$115:$B116)&lt;=$J$115,INDEX(Cladding!$R:$R,_xlfn.AGGREGATE(15,3,(Cladding!$H$1:$H$231=1)/(Cladding!$H$1:$H$231=1)*ROW(Cladding!$H$1:$H$231),ROWS($B$115:$B116))),"")</f>
        <v/>
      </c>
      <c r="C116" s="205" t="str" cm="1">
        <f t="array" ref="C116">IF(ROWS($B$115:$B116)&lt;=$J$115,INDEX(Cladding!C:C,$H116) &amp; INDEX(Cladding!S:S,$H116),"")</f>
        <v/>
      </c>
      <c r="D116" s="206" t="str">
        <f>IFERROR(E116-F116,"")</f>
        <v/>
      </c>
      <c r="E116" s="206" t="str" cm="1">
        <f t="array" ref="E116">IF(ROWS($B$115:$B116)&lt;=$J$115,INDEX(Cladding!K:K,_xlfn.AGGREGATE(15,3,(Cladding!$H$1:$H$231=1)/(Cladding!$H$1:$H$231=1)*ROW(Cladding!$H$1:$H$231),ROWS($B$115:$B116))),"")</f>
        <v/>
      </c>
      <c r="F116" s="206" t="str" cm="1">
        <f t="array" ref="F116">IF(ROWS($B$115:$B116)&lt;=$J$115,INDEX(Cladding!L:L,_xlfn.AGGREGATE(15,3,(Cladding!$H$1:$H$231=1)/(Cladding!$H$1:$H$231=1)*ROW(Cladding!$H$1:$H$231),ROWS($B$115:$B116))),"")</f>
        <v/>
      </c>
      <c r="G116" s="206" t="str" cm="1">
        <f t="array" ref="G116">IF(ROWS($B$115:$B116)&lt;=$J$115,INDEX(Cladding!M:M,_xlfn.AGGREGATE(15,3,(Cladding!$H$1:$H$231=1)/(Cladding!$H$1:$H$231=1)*ROW(Cladding!$H$1:$H$231),ROWS($B$115:$B116))),"")</f>
        <v/>
      </c>
      <c r="H116" s="388" t="str" cm="1">
        <f t="array" ref="H116">IFERROR(_xlfn.AGGREGATE(15,3,(Cladding!$H$1:$H$231=1)/(Cladding!$H$1:$H$231=1)*ROW(Cladding!$H$1:$H$231),ROWS($B$115:$B116)),"")</f>
        <v/>
      </c>
      <c r="I116" s="388" t="str" cm="1">
        <f t="array" ref="I116">IF(ROWS($B$115:$B116)&lt;=$J$115,ROUND(INDEX(Cladding!D:D,H116),1)  &amp; " " &amp; INDEX(Cladding!E:E,H116),"")</f>
        <v/>
      </c>
    </row>
    <row r="117" spans="1:10" ht="30.15" customHeight="1" x14ac:dyDescent="0.25">
      <c r="A117" s="204" t="str">
        <f>VLOOKUP("Cladding",Setting!$E$6:$H$33,4,FALSE)</f>
        <v>Cladding</v>
      </c>
      <c r="B117" s="205" t="str" cm="1">
        <f t="array" ref="B117">IF(ROWS($B$115:$B117)&lt;=$J$115,INDEX(Cladding!$R:$R,_xlfn.AGGREGATE(15,3,(Cladding!$H$1:$H$231=1)/(Cladding!$H$1:$H$231=1)*ROW(Cladding!$H$1:$H$231),ROWS($B$115:$B117))),"")</f>
        <v/>
      </c>
      <c r="C117" s="205" t="str" cm="1">
        <f t="array" ref="C117">IF(ROWS($B$115:$B117)&lt;=$J$115,INDEX(Cladding!C:C,$H117) &amp; INDEX(Cladding!S:S,$H117),"")</f>
        <v/>
      </c>
      <c r="D117" s="206" t="str">
        <f>IFERROR(E117-F117,"")</f>
        <v/>
      </c>
      <c r="E117" s="206" t="str" cm="1">
        <f t="array" ref="E117">IF(ROWS($B$115:$B117)&lt;=$J$115,INDEX(Cladding!K:K,_xlfn.AGGREGATE(15,3,(Cladding!$H$1:$H$231=1)/(Cladding!$H$1:$H$231=1)*ROW(Cladding!$H$1:$H$231),ROWS($B$115:$B117))),"")</f>
        <v/>
      </c>
      <c r="F117" s="206" t="str" cm="1">
        <f t="array" ref="F117">IF(ROWS($B$115:$B117)&lt;=$J$115,INDEX(Cladding!L:L,_xlfn.AGGREGATE(15,3,(Cladding!$H$1:$H$231=1)/(Cladding!$H$1:$H$231=1)*ROW(Cladding!$H$1:$H$231),ROWS($B$115:$B117))),"")</f>
        <v/>
      </c>
      <c r="G117" s="206" t="str" cm="1">
        <f t="array" ref="G117">IF(ROWS($B$115:$B117)&lt;=$J$115,INDEX(Cladding!M:M,_xlfn.AGGREGATE(15,3,(Cladding!$H$1:$H$231=1)/(Cladding!$H$1:$H$231=1)*ROW(Cladding!$H$1:$H$231),ROWS($B$115:$B117))),"")</f>
        <v/>
      </c>
      <c r="H117" s="388" t="str" cm="1">
        <f t="array" ref="H117">IFERROR(_xlfn.AGGREGATE(15,3,(Cladding!$H$1:$H$231=1)/(Cladding!$H$1:$H$231=1)*ROW(Cladding!$H$1:$H$231),ROWS($B$115:$B117)),"")</f>
        <v/>
      </c>
      <c r="I117" s="388" t="str" cm="1">
        <f t="array" ref="I117">IF(ROWS($B$115:$B117)&lt;=$J$115,ROUND(INDEX(Cladding!D:D,H117),1)  &amp; " " &amp; INDEX(Cladding!E:E,H117),"")</f>
        <v/>
      </c>
    </row>
    <row r="118" spans="1:10" ht="30.15" customHeight="1" x14ac:dyDescent="0.25">
      <c r="A118" s="204" t="str">
        <f>VLOOKUP("Cladding",Setting!$E$6:$H$33,4,FALSE)</f>
        <v>Cladding</v>
      </c>
      <c r="B118" s="205" t="str" cm="1">
        <f t="array" ref="B118">IF(ROWS($B$115:$B118)&lt;=$J$115,INDEX(Cladding!$R:$R,_xlfn.AGGREGATE(15,3,(Cladding!$H$1:$H$231=1)/(Cladding!$H$1:$H$231=1)*ROW(Cladding!$H$1:$H$231),ROWS($B$115:$B118))),"")</f>
        <v/>
      </c>
      <c r="C118" s="205" t="str" cm="1">
        <f t="array" ref="C118">IF(ROWS($B$115:$B118)&lt;=$J$115,INDEX(Cladding!C:C,$H118) &amp; INDEX(Cladding!S:S,$H118),"")</f>
        <v/>
      </c>
      <c r="D118" s="206" t="str">
        <f>IFERROR(E118-F118,"")</f>
        <v/>
      </c>
      <c r="E118" s="206" t="str" cm="1">
        <f t="array" ref="E118">IF(ROWS($B$115:$B118)&lt;=$J$115,INDEX(Cladding!K:K,_xlfn.AGGREGATE(15,3,(Cladding!$H$1:$H$231=1)/(Cladding!$H$1:$H$231=1)*ROW(Cladding!$H$1:$H$231),ROWS($B$115:$B118))),"")</f>
        <v/>
      </c>
      <c r="F118" s="206" t="str" cm="1">
        <f t="array" ref="F118">IF(ROWS($B$115:$B118)&lt;=$J$115,INDEX(Cladding!L:L,_xlfn.AGGREGATE(15,3,(Cladding!$H$1:$H$231=1)/(Cladding!$H$1:$H$231=1)*ROW(Cladding!$H$1:$H$231),ROWS($B$115:$B118))),"")</f>
        <v/>
      </c>
      <c r="G118" s="206" t="str" cm="1">
        <f t="array" ref="G118">IF(ROWS($B$115:$B118)&lt;=$J$115,INDEX(Cladding!M:M,_xlfn.AGGREGATE(15,3,(Cladding!$H$1:$H$231=1)/(Cladding!$H$1:$H$231=1)*ROW(Cladding!$H$1:$H$231),ROWS($B$115:$B118))),"")</f>
        <v/>
      </c>
      <c r="H118" s="388" t="str" cm="1">
        <f t="array" ref="H118">IFERROR(_xlfn.AGGREGATE(15,3,(Cladding!$H$1:$H$231=1)/(Cladding!$H$1:$H$231=1)*ROW(Cladding!$H$1:$H$231),ROWS($B$115:$B118)),"")</f>
        <v/>
      </c>
      <c r="I118" s="388" t="str" cm="1">
        <f t="array" ref="I118">IF(ROWS($B$115:$B118)&lt;=$J$115,ROUND(INDEX(Cladding!D:D,H118),1)  &amp; " " &amp; INDEX(Cladding!E:E,H118),"")</f>
        <v/>
      </c>
    </row>
    <row r="119" spans="1:10" ht="30.15" customHeight="1" x14ac:dyDescent="0.25">
      <c r="A119" s="204" t="str">
        <f>VLOOKUP("Cladding",Setting!$E$6:$H$33,4,FALSE)</f>
        <v>Cladding</v>
      </c>
      <c r="B119" s="205" t="str" cm="1">
        <f t="array" ref="B119">IF(ROWS($B$115:$B119)&lt;=$J$115,INDEX(Cladding!$R:$R,_xlfn.AGGREGATE(15,3,(Cladding!$H$1:$H$231=1)/(Cladding!$H$1:$H$231=1)*ROW(Cladding!$H$1:$H$231),ROWS($B$115:$B119))),"")</f>
        <v/>
      </c>
      <c r="C119" s="205" t="str" cm="1">
        <f t="array" ref="C119">IF(ROWS($B$115:$B119)&lt;=$J$115,INDEX(Cladding!C:C,$H119) &amp; INDEX(Cladding!S:S,$H119),"")</f>
        <v/>
      </c>
      <c r="D119" s="206" t="str">
        <f>IFERROR(E119-F119,"")</f>
        <v/>
      </c>
      <c r="E119" s="206" t="str" cm="1">
        <f t="array" ref="E119">IF(ROWS($B$115:$B119)&lt;=$J$115,INDEX(Cladding!K:K,_xlfn.AGGREGATE(15,3,(Cladding!$H$1:$H$231=1)/(Cladding!$H$1:$H$231=1)*ROW(Cladding!$H$1:$H$231),ROWS($B$115:$B119))),"")</f>
        <v/>
      </c>
      <c r="F119" s="206" t="str" cm="1">
        <f t="array" ref="F119">IF(ROWS($B$115:$B119)&lt;=$J$115,INDEX(Cladding!L:L,_xlfn.AGGREGATE(15,3,(Cladding!$H$1:$H$231=1)/(Cladding!$H$1:$H$231=1)*ROW(Cladding!$H$1:$H$231),ROWS($B$115:$B119))),"")</f>
        <v/>
      </c>
      <c r="G119" s="206" t="str" cm="1">
        <f t="array" ref="G119">IF(ROWS($B$115:$B119)&lt;=$J$115,INDEX(Cladding!M:M,_xlfn.AGGREGATE(15,3,(Cladding!$H$1:$H$231=1)/(Cladding!$H$1:$H$231=1)*ROW(Cladding!$H$1:$H$231),ROWS($B$115:$B119))),"")</f>
        <v/>
      </c>
      <c r="H119" s="388" t="str" cm="1">
        <f t="array" ref="H119">IFERROR(_xlfn.AGGREGATE(15,3,(Cladding!$H$1:$H$231=1)/(Cladding!$H$1:$H$231=1)*ROW(Cladding!$H$1:$H$231),ROWS($B$115:$B119)),"")</f>
        <v/>
      </c>
      <c r="I119" s="388" t="str" cm="1">
        <f t="array" ref="I119">IF(ROWS($B$115:$B119)&lt;=$J$115,ROUND(INDEX(Cladding!D:D,H119),1)  &amp; " " &amp; INDEX(Cladding!E:E,H119),"")</f>
        <v/>
      </c>
    </row>
    <row r="120" spans="1:10" ht="30.15" customHeight="1" x14ac:dyDescent="0.25">
      <c r="A120" s="204" t="str">
        <f>VLOOKUP("Cladding",Setting!$E$6:$H$33,4,FALSE)</f>
        <v>Cladding</v>
      </c>
      <c r="B120" s="205" t="str" cm="1">
        <f t="array" ref="B120">IF(ROWS($B$115:$B120)&lt;=$J$115,INDEX(Cladding!$R:$R,_xlfn.AGGREGATE(15,3,(Cladding!$H$1:$H$231=1)/(Cladding!$H$1:$H$231=1)*ROW(Cladding!$H$1:$H$231),ROWS($B$115:$B120))),"")</f>
        <v/>
      </c>
      <c r="C120" s="205" t="str" cm="1">
        <f t="array" ref="C120">IF(ROWS($B$115:$B120)&lt;=$J$115,INDEX(Cladding!C:C,$H120) &amp; INDEX(Cladding!S:S,$H120),"")</f>
        <v/>
      </c>
      <c r="D120" s="206" t="str">
        <f t="shared" ref="D120:D130" si="20">IFERROR(E120-F120,"")</f>
        <v/>
      </c>
      <c r="E120" s="206" t="str" cm="1">
        <f t="array" ref="E120">IF(ROWS($B$115:$B120)&lt;=$J$115,INDEX(Cladding!K:K,_xlfn.AGGREGATE(15,3,(Cladding!$H$1:$H$231=1)/(Cladding!$H$1:$H$231=1)*ROW(Cladding!$H$1:$H$231),ROWS($B$115:$B120))),"")</f>
        <v/>
      </c>
      <c r="F120" s="206" t="str" cm="1">
        <f t="array" ref="F120">IF(ROWS($B$115:$B120)&lt;=$J$115,INDEX(Cladding!L:L,_xlfn.AGGREGATE(15,3,(Cladding!$H$1:$H$231=1)/(Cladding!$H$1:$H$231=1)*ROW(Cladding!$H$1:$H$231),ROWS($B$115:$B120))),"")</f>
        <v/>
      </c>
      <c r="G120" s="206" t="str" cm="1">
        <f t="array" ref="G120">IF(ROWS($B$115:$B120)&lt;=$J$115,INDEX(Cladding!M:M,_xlfn.AGGREGATE(15,3,(Cladding!$H$1:$H$231=1)/(Cladding!$H$1:$H$231=1)*ROW(Cladding!$H$1:$H$231),ROWS($B$115:$B120))),"")</f>
        <v/>
      </c>
      <c r="H120" s="388" t="str" cm="1">
        <f t="array" ref="H120">IFERROR(_xlfn.AGGREGATE(15,3,(Cladding!$H$1:$H$231=1)/(Cladding!$H$1:$H$231=1)*ROW(Cladding!$H$1:$H$231),ROWS($B$115:$B120)),"")</f>
        <v/>
      </c>
      <c r="I120" s="388" t="str" cm="1">
        <f t="array" ref="I120">IF(ROWS($B$115:$B120)&lt;=$J$115,ROUND(INDEX(Cladding!D:D,H120),1)  &amp; " " &amp; INDEX(Cladding!E:E,H120),"")</f>
        <v/>
      </c>
    </row>
    <row r="121" spans="1:10" ht="30.15" customHeight="1" x14ac:dyDescent="0.25">
      <c r="A121" s="204" t="str">
        <f>VLOOKUP("Cladding",Setting!$E$6:$H$33,4,FALSE)</f>
        <v>Cladding</v>
      </c>
      <c r="B121" s="205" t="str" cm="1">
        <f t="array" ref="B121">IF(ROWS($B$115:$B121)&lt;=$J$115,INDEX(Cladding!$R:$R,_xlfn.AGGREGATE(15,3,(Cladding!$H$1:$H$231=1)/(Cladding!$H$1:$H$231=1)*ROW(Cladding!$H$1:$H$231),ROWS($B$115:$B121))),"")</f>
        <v/>
      </c>
      <c r="C121" s="205" t="str" cm="1">
        <f t="array" ref="C121">IF(ROWS($B$115:$B121)&lt;=$J$115,INDEX(Cladding!C:C,$H121) &amp; INDEX(Cladding!S:S,$H121),"")</f>
        <v/>
      </c>
      <c r="D121" s="206" t="str">
        <f t="shared" si="20"/>
        <v/>
      </c>
      <c r="E121" s="206" t="str" cm="1">
        <f t="array" ref="E121">IF(ROWS($B$115:$B121)&lt;=$J$115,INDEX(Cladding!K:K,_xlfn.AGGREGATE(15,3,(Cladding!$H$1:$H$231=1)/(Cladding!$H$1:$H$231=1)*ROW(Cladding!$H$1:$H$231),ROWS($B$115:$B121))),"")</f>
        <v/>
      </c>
      <c r="F121" s="206" t="str" cm="1">
        <f t="array" ref="F121">IF(ROWS($B$115:$B121)&lt;=$J$115,INDEX(Cladding!L:L,_xlfn.AGGREGATE(15,3,(Cladding!$H$1:$H$231=1)/(Cladding!$H$1:$H$231=1)*ROW(Cladding!$H$1:$H$231),ROWS($B$115:$B121))),"")</f>
        <v/>
      </c>
      <c r="G121" s="206" t="str" cm="1">
        <f t="array" ref="G121">IF(ROWS($B$115:$B121)&lt;=$J$115,INDEX(Cladding!M:M,_xlfn.AGGREGATE(15,3,(Cladding!$H$1:$H$231=1)/(Cladding!$H$1:$H$231=1)*ROW(Cladding!$H$1:$H$231),ROWS($B$115:$B121))),"")</f>
        <v/>
      </c>
      <c r="H121" s="388" t="str" cm="1">
        <f t="array" ref="H121">IFERROR(_xlfn.AGGREGATE(15,3,(Cladding!$H$1:$H$231=1)/(Cladding!$H$1:$H$231=1)*ROW(Cladding!$H$1:$H$231),ROWS($B$115:$B121)),"")</f>
        <v/>
      </c>
      <c r="I121" s="388" t="str" cm="1">
        <f t="array" ref="I121">IF(ROWS($B$115:$B121)&lt;=$J$115,ROUND(INDEX(Cladding!D:D,H121),1)  &amp; " " &amp; INDEX(Cladding!E:E,H121),"")</f>
        <v/>
      </c>
    </row>
    <row r="122" spans="1:10" ht="30.15" customHeight="1" x14ac:dyDescent="0.25">
      <c r="A122" s="204" t="str">
        <f>VLOOKUP("Cladding",Setting!$E$6:$H$33,4,FALSE)</f>
        <v>Cladding</v>
      </c>
      <c r="B122" s="205" t="str" cm="1">
        <f t="array" ref="B122">IF(ROWS($B$115:$B122)&lt;=$J$115,INDEX(Cladding!$R:$R,_xlfn.AGGREGATE(15,3,(Cladding!$H$1:$H$231=1)/(Cladding!$H$1:$H$231=1)*ROW(Cladding!$H$1:$H$231),ROWS($B$115:$B122))),"")</f>
        <v/>
      </c>
      <c r="C122" s="205" t="str" cm="1">
        <f t="array" ref="C122">IF(ROWS($B$115:$B122)&lt;=$J$115,INDEX(Cladding!C:C,$H122) &amp; INDEX(Cladding!S:S,$H122),"")</f>
        <v/>
      </c>
      <c r="D122" s="206" t="str">
        <f t="shared" si="20"/>
        <v/>
      </c>
      <c r="E122" s="206" t="str" cm="1">
        <f t="array" ref="E122">IF(ROWS($B$115:$B122)&lt;=$J$115,INDEX(Cladding!K:K,_xlfn.AGGREGATE(15,3,(Cladding!$H$1:$H$231=1)/(Cladding!$H$1:$H$231=1)*ROW(Cladding!$H$1:$H$231),ROWS($B$115:$B122))),"")</f>
        <v/>
      </c>
      <c r="F122" s="206" t="str" cm="1">
        <f t="array" ref="F122">IF(ROWS($B$115:$B122)&lt;=$J$115,INDEX(Cladding!L:L,_xlfn.AGGREGATE(15,3,(Cladding!$H$1:$H$231=1)/(Cladding!$H$1:$H$231=1)*ROW(Cladding!$H$1:$H$231),ROWS($B$115:$B122))),"")</f>
        <v/>
      </c>
      <c r="G122" s="206" t="str" cm="1">
        <f t="array" ref="G122">IF(ROWS($B$115:$B122)&lt;=$J$115,INDEX(Cladding!M:M,_xlfn.AGGREGATE(15,3,(Cladding!$H$1:$H$231=1)/(Cladding!$H$1:$H$231=1)*ROW(Cladding!$H$1:$H$231),ROWS($B$115:$B122))),"")</f>
        <v/>
      </c>
      <c r="H122" s="388" t="str" cm="1">
        <f t="array" ref="H122">IFERROR(_xlfn.AGGREGATE(15,3,(Cladding!$H$1:$H$231=1)/(Cladding!$H$1:$H$231=1)*ROW(Cladding!$H$1:$H$231),ROWS($B$115:$B122)),"")</f>
        <v/>
      </c>
      <c r="I122" s="388" t="str" cm="1">
        <f t="array" ref="I122">IF(ROWS($B$115:$B122)&lt;=$J$115,ROUND(INDEX(Cladding!D:D,H122),1)  &amp; " " &amp; INDEX(Cladding!E:E,H122),"")</f>
        <v/>
      </c>
    </row>
    <row r="123" spans="1:10" ht="30.15" customHeight="1" x14ac:dyDescent="0.25">
      <c r="A123" s="204" t="str">
        <f>VLOOKUP("Cladding",Setting!$E$6:$H$33,4,FALSE)</f>
        <v>Cladding</v>
      </c>
      <c r="B123" s="205" t="str" cm="1">
        <f t="array" ref="B123">IF(ROWS($B$115:$B123)&lt;=$J$115,INDEX(Cladding!$R:$R,_xlfn.AGGREGATE(15,3,(Cladding!$H$1:$H$231=1)/(Cladding!$H$1:$H$231=1)*ROW(Cladding!$H$1:$H$231),ROWS($B$115:$B123))),"")</f>
        <v/>
      </c>
      <c r="C123" s="205" t="str" cm="1">
        <f t="array" ref="C123">IF(ROWS($B$115:$B123)&lt;=$J$115,INDEX(Cladding!C:C,$H123) &amp; INDEX(Cladding!S:S,$H123),"")</f>
        <v/>
      </c>
      <c r="D123" s="206" t="str">
        <f t="shared" si="20"/>
        <v/>
      </c>
      <c r="E123" s="206" t="str" cm="1">
        <f t="array" ref="E123">IF(ROWS($B$115:$B123)&lt;=$J$115,INDEX(Cladding!K:K,_xlfn.AGGREGATE(15,3,(Cladding!$H$1:$H$231=1)/(Cladding!$H$1:$H$231=1)*ROW(Cladding!$H$1:$H$231),ROWS($B$115:$B123))),"")</f>
        <v/>
      </c>
      <c r="F123" s="206" t="str" cm="1">
        <f t="array" ref="F123">IF(ROWS($B$115:$B123)&lt;=$J$115,INDEX(Cladding!L:L,_xlfn.AGGREGATE(15,3,(Cladding!$H$1:$H$231=1)/(Cladding!$H$1:$H$231=1)*ROW(Cladding!$H$1:$H$231),ROWS($B$115:$B123))),"")</f>
        <v/>
      </c>
      <c r="G123" s="206" t="str" cm="1">
        <f t="array" ref="G123">IF(ROWS($B$115:$B123)&lt;=$J$115,INDEX(Cladding!M:M,_xlfn.AGGREGATE(15,3,(Cladding!$H$1:$H$231=1)/(Cladding!$H$1:$H$231=1)*ROW(Cladding!$H$1:$H$231),ROWS($B$115:$B123))),"")</f>
        <v/>
      </c>
      <c r="H123" s="388" t="str" cm="1">
        <f t="array" ref="H123">IFERROR(_xlfn.AGGREGATE(15,3,(Cladding!$H$1:$H$231=1)/(Cladding!$H$1:$H$231=1)*ROW(Cladding!$H$1:$H$231),ROWS($B$115:$B123)),"")</f>
        <v/>
      </c>
      <c r="I123" s="388" t="str" cm="1">
        <f t="array" ref="I123">IF(ROWS($B$115:$B123)&lt;=$J$115,ROUND(INDEX(Cladding!D:D,H123),1)  &amp; " " &amp; INDEX(Cladding!E:E,H123),"")</f>
        <v/>
      </c>
    </row>
    <row r="124" spans="1:10" ht="30.15" customHeight="1" x14ac:dyDescent="0.25">
      <c r="A124" s="204" t="str">
        <f>VLOOKUP("Cladding",Setting!$E$6:$H$33,4,FALSE)</f>
        <v>Cladding</v>
      </c>
      <c r="B124" s="205" t="str" cm="1">
        <f t="array" ref="B124">IF(ROWS($B$115:$B124)&lt;=$J$115,INDEX(Cladding!$R:$R,_xlfn.AGGREGATE(15,3,(Cladding!$H$1:$H$231=1)/(Cladding!$H$1:$H$231=1)*ROW(Cladding!$H$1:$H$231),ROWS($B$115:$B124))),"")</f>
        <v/>
      </c>
      <c r="C124" s="205" t="str" cm="1">
        <f t="array" ref="C124">IF(ROWS($B$115:$B124)&lt;=$J$115,INDEX(Cladding!C:C,$H124) &amp; INDEX(Cladding!S:S,$H124),"")</f>
        <v/>
      </c>
      <c r="D124" s="206" t="str">
        <f t="shared" si="20"/>
        <v/>
      </c>
      <c r="E124" s="206" t="str" cm="1">
        <f t="array" ref="E124">IF(ROWS($B$115:$B124)&lt;=$J$115,INDEX(Cladding!K:K,_xlfn.AGGREGATE(15,3,(Cladding!$H$1:$H$231=1)/(Cladding!$H$1:$H$231=1)*ROW(Cladding!$H$1:$H$231),ROWS($B$115:$B124))),"")</f>
        <v/>
      </c>
      <c r="F124" s="206" t="str" cm="1">
        <f t="array" ref="F124">IF(ROWS($B$115:$B124)&lt;=$J$115,INDEX(Cladding!L:L,_xlfn.AGGREGATE(15,3,(Cladding!$H$1:$H$231=1)/(Cladding!$H$1:$H$231=1)*ROW(Cladding!$H$1:$H$231),ROWS($B$115:$B124))),"")</f>
        <v/>
      </c>
      <c r="G124" s="206" t="str" cm="1">
        <f t="array" ref="G124">IF(ROWS($B$115:$B124)&lt;=$J$115,INDEX(Cladding!M:M,_xlfn.AGGREGATE(15,3,(Cladding!$H$1:$H$231=1)/(Cladding!$H$1:$H$231=1)*ROW(Cladding!$H$1:$H$231),ROWS($B$115:$B124))),"")</f>
        <v/>
      </c>
      <c r="H124" s="388" t="str" cm="1">
        <f t="array" ref="H124">IFERROR(_xlfn.AGGREGATE(15,3,(Cladding!$H$1:$H$231=1)/(Cladding!$H$1:$H$231=1)*ROW(Cladding!$H$1:$H$231),ROWS($B$115:$B124)),"")</f>
        <v/>
      </c>
      <c r="I124" s="388" t="str" cm="1">
        <f t="array" ref="I124">IF(ROWS($B$115:$B124)&lt;=$J$115,ROUND(INDEX(Cladding!D:D,H124),1)  &amp; " " &amp; INDEX(Cladding!E:E,H124),"")</f>
        <v/>
      </c>
    </row>
    <row r="125" spans="1:10" ht="30.15" customHeight="1" x14ac:dyDescent="0.25">
      <c r="A125" s="204" t="str">
        <f>VLOOKUP("Cladding",Setting!$E$6:$H$33,4,FALSE)</f>
        <v>Cladding</v>
      </c>
      <c r="B125" s="205" t="str" cm="1">
        <f t="array" ref="B125">IF(ROWS($B$115:$B125)&lt;=$J$115,INDEX(Cladding!$R:$R,_xlfn.AGGREGATE(15,3,(Cladding!$H$1:$H$231=1)/(Cladding!$H$1:$H$231=1)*ROW(Cladding!$H$1:$H$231),ROWS($B$115:$B125))),"")</f>
        <v/>
      </c>
      <c r="C125" s="205" t="str" cm="1">
        <f t="array" ref="C125">IF(ROWS($B$115:$B125)&lt;=$J$115,INDEX(Cladding!C:C,$H125) &amp; INDEX(Cladding!S:S,$H125),"")</f>
        <v/>
      </c>
      <c r="D125" s="206" t="str">
        <f t="shared" si="20"/>
        <v/>
      </c>
      <c r="E125" s="206" t="str" cm="1">
        <f t="array" ref="E125">IF(ROWS($B$115:$B125)&lt;=$J$115,INDEX(Cladding!K:K,_xlfn.AGGREGATE(15,3,(Cladding!$H$1:$H$231=1)/(Cladding!$H$1:$H$231=1)*ROW(Cladding!$H$1:$H$231),ROWS($B$115:$B125))),"")</f>
        <v/>
      </c>
      <c r="F125" s="206" t="str" cm="1">
        <f t="array" ref="F125">IF(ROWS($B$115:$B125)&lt;=$J$115,INDEX(Cladding!L:L,_xlfn.AGGREGATE(15,3,(Cladding!$H$1:$H$231=1)/(Cladding!$H$1:$H$231=1)*ROW(Cladding!$H$1:$H$231),ROWS($B$115:$B125))),"")</f>
        <v/>
      </c>
      <c r="G125" s="206" t="str" cm="1">
        <f t="array" ref="G125">IF(ROWS($B$115:$B125)&lt;=$J$115,INDEX(Cladding!M:M,_xlfn.AGGREGATE(15,3,(Cladding!$H$1:$H$231=1)/(Cladding!$H$1:$H$231=1)*ROW(Cladding!$H$1:$H$231),ROWS($B$115:$B125))),"")</f>
        <v/>
      </c>
      <c r="H125" s="388" t="str" cm="1">
        <f t="array" ref="H125">IFERROR(_xlfn.AGGREGATE(15,3,(Cladding!$H$1:$H$231=1)/(Cladding!$H$1:$H$231=1)*ROW(Cladding!$H$1:$H$231),ROWS($B$115:$B125)),"")</f>
        <v/>
      </c>
      <c r="I125" s="388" t="str" cm="1">
        <f t="array" ref="I125">IF(ROWS($B$115:$B125)&lt;=$J$115,ROUND(INDEX(Cladding!D:D,H125),1)  &amp; " " &amp; INDEX(Cladding!E:E,H125),"")</f>
        <v/>
      </c>
    </row>
    <row r="126" spans="1:10" ht="30.15" customHeight="1" x14ac:dyDescent="0.25">
      <c r="A126" s="204" t="str">
        <f>VLOOKUP("Cladding",Setting!$E$6:$H$33,4,FALSE)</f>
        <v>Cladding</v>
      </c>
      <c r="B126" s="205" t="str" cm="1">
        <f t="array" ref="B126">IF(ROWS($B$115:$B126)&lt;=$J$115,INDEX(Cladding!$R:$R,_xlfn.AGGREGATE(15,3,(Cladding!$H$1:$H$231=1)/(Cladding!$H$1:$H$231=1)*ROW(Cladding!$H$1:$H$231),ROWS($B$115:$B126))),"")</f>
        <v/>
      </c>
      <c r="C126" s="205" t="str" cm="1">
        <f t="array" ref="C126">IF(ROWS($B$115:$B126)&lt;=$J$115,INDEX(Cladding!C:C,$H126) &amp; INDEX(Cladding!S:S,$H126),"")</f>
        <v/>
      </c>
      <c r="D126" s="206" t="str">
        <f t="shared" si="20"/>
        <v/>
      </c>
      <c r="E126" s="206" t="str" cm="1">
        <f t="array" ref="E126">IF(ROWS($B$115:$B126)&lt;=$J$115,INDEX(Cladding!K:K,_xlfn.AGGREGATE(15,3,(Cladding!$H$1:$H$231=1)/(Cladding!$H$1:$H$231=1)*ROW(Cladding!$H$1:$H$231),ROWS($B$115:$B126))),"")</f>
        <v/>
      </c>
      <c r="F126" s="206" t="str" cm="1">
        <f t="array" ref="F126">IF(ROWS($B$115:$B126)&lt;=$J$115,INDEX(Cladding!L:L,_xlfn.AGGREGATE(15,3,(Cladding!$H$1:$H$231=1)/(Cladding!$H$1:$H$231=1)*ROW(Cladding!$H$1:$H$231),ROWS($B$115:$B126))),"")</f>
        <v/>
      </c>
      <c r="G126" s="206" t="str" cm="1">
        <f t="array" ref="G126">IF(ROWS($B$115:$B126)&lt;=$J$115,INDEX(Cladding!M:M,_xlfn.AGGREGATE(15,3,(Cladding!$H$1:$H$231=1)/(Cladding!$H$1:$H$231=1)*ROW(Cladding!$H$1:$H$231),ROWS($B$115:$B126))),"")</f>
        <v/>
      </c>
      <c r="H126" s="388" t="str" cm="1">
        <f t="array" ref="H126">IFERROR(_xlfn.AGGREGATE(15,3,(Cladding!$H$1:$H$231=1)/(Cladding!$H$1:$H$231=1)*ROW(Cladding!$H$1:$H$231),ROWS($B$115:$B126)),"")</f>
        <v/>
      </c>
      <c r="I126" s="388" t="str" cm="1">
        <f t="array" ref="I126">IF(ROWS($B$115:$B126)&lt;=$J$115,ROUND(INDEX(Cladding!D:D,H126),1)  &amp; " " &amp; INDEX(Cladding!E:E,H126),"")</f>
        <v/>
      </c>
    </row>
    <row r="127" spans="1:10" ht="30.15" customHeight="1" x14ac:dyDescent="0.25">
      <c r="A127" s="204" t="str">
        <f>VLOOKUP("Cladding",Setting!$E$6:$H$33,4,FALSE)</f>
        <v>Cladding</v>
      </c>
      <c r="B127" s="205" t="str" cm="1">
        <f t="array" ref="B127">IF(ROWS($B$115:$B127)&lt;=$J$115,INDEX(Cladding!$R:$R,_xlfn.AGGREGATE(15,3,(Cladding!$H$1:$H$231=1)/(Cladding!$H$1:$H$231=1)*ROW(Cladding!$H$1:$H$231),ROWS($B$115:$B127))),"")</f>
        <v/>
      </c>
      <c r="C127" s="205" t="str" cm="1">
        <f t="array" ref="C127">IF(ROWS($B$115:$B127)&lt;=$J$115,INDEX(Cladding!C:C,$H127) &amp; INDEX(Cladding!S:S,$H127),"")</f>
        <v/>
      </c>
      <c r="D127" s="206" t="str">
        <f t="shared" si="20"/>
        <v/>
      </c>
      <c r="E127" s="206" t="str" cm="1">
        <f t="array" ref="E127">IF(ROWS($B$115:$B127)&lt;=$J$115,INDEX(Cladding!K:K,_xlfn.AGGREGATE(15,3,(Cladding!$H$1:$H$231=1)/(Cladding!$H$1:$H$231=1)*ROW(Cladding!$H$1:$H$231),ROWS($B$115:$B127))),"")</f>
        <v/>
      </c>
      <c r="F127" s="206" t="str" cm="1">
        <f t="array" ref="F127">IF(ROWS($B$115:$B127)&lt;=$J$115,INDEX(Cladding!L:L,_xlfn.AGGREGATE(15,3,(Cladding!$H$1:$H$231=1)/(Cladding!$H$1:$H$231=1)*ROW(Cladding!$H$1:$H$231),ROWS($B$115:$B127))),"")</f>
        <v/>
      </c>
      <c r="G127" s="206" t="str" cm="1">
        <f t="array" ref="G127">IF(ROWS($B$115:$B127)&lt;=$J$115,INDEX(Cladding!M:M,_xlfn.AGGREGATE(15,3,(Cladding!$H$1:$H$231=1)/(Cladding!$H$1:$H$231=1)*ROW(Cladding!$H$1:$H$231),ROWS($B$115:$B127))),"")</f>
        <v/>
      </c>
      <c r="H127" s="388" t="str" cm="1">
        <f t="array" ref="H127">IFERROR(_xlfn.AGGREGATE(15,3,(Cladding!$H$1:$H$231=1)/(Cladding!$H$1:$H$231=1)*ROW(Cladding!$H$1:$H$231),ROWS($B$115:$B127)),"")</f>
        <v/>
      </c>
      <c r="I127" s="388" t="str" cm="1">
        <f t="array" ref="I127">IF(ROWS($B$115:$B127)&lt;=$J$115,ROUND(INDEX(Cladding!D:D,H127),1)  &amp; " " &amp; INDEX(Cladding!E:E,H127),"")</f>
        <v/>
      </c>
    </row>
    <row r="128" spans="1:10" ht="30.15" customHeight="1" x14ac:dyDescent="0.25">
      <c r="A128" s="204" t="str">
        <f>VLOOKUP("Cladding",Setting!$E$6:$H$33,4,FALSE)</f>
        <v>Cladding</v>
      </c>
      <c r="B128" s="205" t="str" cm="1">
        <f t="array" ref="B128">IF(ROWS($B$115:$B128)&lt;=$J$115,INDEX(Cladding!$R:$R,_xlfn.AGGREGATE(15,3,(Cladding!$H$1:$H$231=1)/(Cladding!$H$1:$H$231=1)*ROW(Cladding!$H$1:$H$231),ROWS($B$115:$B128))),"")</f>
        <v/>
      </c>
      <c r="C128" s="205" t="str" cm="1">
        <f t="array" ref="C128">IF(ROWS($B$115:$B128)&lt;=$J$115,INDEX(Cladding!C:C,$H128) &amp; INDEX(Cladding!S:S,$H128),"")</f>
        <v/>
      </c>
      <c r="D128" s="206" t="str">
        <f t="shared" si="20"/>
        <v/>
      </c>
      <c r="E128" s="206" t="str" cm="1">
        <f t="array" ref="E128">IF(ROWS($B$115:$B128)&lt;=$J$115,INDEX(Cladding!K:K,_xlfn.AGGREGATE(15,3,(Cladding!$H$1:$H$231=1)/(Cladding!$H$1:$H$231=1)*ROW(Cladding!$H$1:$H$231),ROWS($B$115:$B128))),"")</f>
        <v/>
      </c>
      <c r="F128" s="206" t="str" cm="1">
        <f t="array" ref="F128">IF(ROWS($B$115:$B128)&lt;=$J$115,INDEX(Cladding!L:L,_xlfn.AGGREGATE(15,3,(Cladding!$H$1:$H$231=1)/(Cladding!$H$1:$H$231=1)*ROW(Cladding!$H$1:$H$231),ROWS($B$115:$B128))),"")</f>
        <v/>
      </c>
      <c r="G128" s="206" t="str" cm="1">
        <f t="array" ref="G128">IF(ROWS($B$115:$B128)&lt;=$J$115,INDEX(Cladding!M:M,_xlfn.AGGREGATE(15,3,(Cladding!$H$1:$H$231=1)/(Cladding!$H$1:$H$231=1)*ROW(Cladding!$H$1:$H$231),ROWS($B$115:$B128))),"")</f>
        <v/>
      </c>
      <c r="H128" s="388" t="str" cm="1">
        <f t="array" ref="H128">IFERROR(_xlfn.AGGREGATE(15,3,(Cladding!$H$1:$H$231=1)/(Cladding!$H$1:$H$231=1)*ROW(Cladding!$H$1:$H$231),ROWS($B$115:$B128)),"")</f>
        <v/>
      </c>
      <c r="I128" s="388" t="str" cm="1">
        <f t="array" ref="I128">IF(ROWS($B$115:$B128)&lt;=$J$115,ROUND(INDEX(Cladding!D:D,H128),1)  &amp; " " &amp; INDEX(Cladding!E:E,H128),"")</f>
        <v/>
      </c>
    </row>
    <row r="129" spans="1:10" ht="30.15" customHeight="1" x14ac:dyDescent="0.25">
      <c r="A129" s="204" t="str">
        <f>VLOOKUP("Cladding",Setting!$E$6:$H$33,4,FALSE)</f>
        <v>Cladding</v>
      </c>
      <c r="B129" s="205" t="str" cm="1">
        <f t="array" ref="B129">IF(ROWS($B$115:$B129)&lt;=$J$115,INDEX(Cladding!$R:$R,_xlfn.AGGREGATE(15,3,(Cladding!$H$1:$H$231=1)/(Cladding!$H$1:$H$231=1)*ROW(Cladding!$H$1:$H$231),ROWS($B$115:$B129))),"")</f>
        <v/>
      </c>
      <c r="C129" s="205" t="str" cm="1">
        <f t="array" ref="C129">IF(ROWS($B$115:$B129)&lt;=$J$115,INDEX(Cladding!C:C,$H129) &amp; INDEX(Cladding!S:S,$H129),"")</f>
        <v/>
      </c>
      <c r="D129" s="206" t="str">
        <f t="shared" si="20"/>
        <v/>
      </c>
      <c r="E129" s="206" t="str" cm="1">
        <f t="array" ref="E129">IF(ROWS($B$115:$B129)&lt;=$J$115,INDEX(Cladding!K:K,_xlfn.AGGREGATE(15,3,(Cladding!$H$1:$H$231=1)/(Cladding!$H$1:$H$231=1)*ROW(Cladding!$H$1:$H$231),ROWS($B$115:$B129))),"")</f>
        <v/>
      </c>
      <c r="F129" s="206" t="str" cm="1">
        <f t="array" ref="F129">IF(ROWS($B$115:$B129)&lt;=$J$115,INDEX(Cladding!L:L,_xlfn.AGGREGATE(15,3,(Cladding!$H$1:$H$231=1)/(Cladding!$H$1:$H$231=1)*ROW(Cladding!$H$1:$H$231),ROWS($B$115:$B129))),"")</f>
        <v/>
      </c>
      <c r="G129" s="206" t="str" cm="1">
        <f t="array" ref="G129">IF(ROWS($B$115:$B129)&lt;=$J$115,INDEX(Cladding!M:M,_xlfn.AGGREGATE(15,3,(Cladding!$H$1:$H$231=1)/(Cladding!$H$1:$H$231=1)*ROW(Cladding!$H$1:$H$231),ROWS($B$115:$B129))),"")</f>
        <v/>
      </c>
      <c r="H129" s="388" t="str" cm="1">
        <f t="array" ref="H129">IFERROR(_xlfn.AGGREGATE(15,3,(Cladding!$H$1:$H$231=1)/(Cladding!$H$1:$H$231=1)*ROW(Cladding!$H$1:$H$231),ROWS($B$115:$B129)),"")</f>
        <v/>
      </c>
      <c r="I129" s="388" t="str" cm="1">
        <f t="array" ref="I129">IF(ROWS($B$115:$B129)&lt;=$J$115,ROUND(INDEX(Cladding!D:D,H129),1)  &amp; " " &amp; INDEX(Cladding!E:E,H129),"")</f>
        <v/>
      </c>
    </row>
    <row r="130" spans="1:10" ht="30.15" customHeight="1" x14ac:dyDescent="0.25">
      <c r="A130" s="204" t="str">
        <f>VLOOKUP("Cladding",Setting!$E$6:$H$33,4,FALSE)</f>
        <v>Cladding</v>
      </c>
      <c r="B130" s="205" t="str" cm="1">
        <f t="array" ref="B130">IF(ROWS($B$115:$B130)&lt;=$J$115,INDEX(Cladding!$R:$R,_xlfn.AGGREGATE(15,3,(Cladding!$H$1:$H$231=1)/(Cladding!$H$1:$H$231=1)*ROW(Cladding!$H$1:$H$231),ROWS($B$115:$B130))),"")</f>
        <v/>
      </c>
      <c r="C130" s="205" t="str" cm="1">
        <f t="array" ref="C130">IF(ROWS($B$115:$B130)&lt;=$J$115,INDEX(Cladding!C:C,$H130) &amp; INDEX(Cladding!S:S,$H130),"")</f>
        <v/>
      </c>
      <c r="D130" s="206" t="str">
        <f t="shared" si="20"/>
        <v/>
      </c>
      <c r="E130" s="206" t="str" cm="1">
        <f t="array" ref="E130">IF(ROWS($B$115:$B130)&lt;=$J$115,INDEX(Cladding!K:K,_xlfn.AGGREGATE(15,3,(Cladding!$H$1:$H$231=1)/(Cladding!$H$1:$H$231=1)*ROW(Cladding!$H$1:$H$231),ROWS($B$115:$B130))),"")</f>
        <v/>
      </c>
      <c r="F130" s="206" t="str" cm="1">
        <f t="array" ref="F130">IF(ROWS($B$115:$B130)&lt;=$J$115,INDEX(Cladding!L:L,_xlfn.AGGREGATE(15,3,(Cladding!$H$1:$H$231=1)/(Cladding!$H$1:$H$231=1)*ROW(Cladding!$H$1:$H$231),ROWS($B$115:$B130))),"")</f>
        <v/>
      </c>
      <c r="G130" s="206" t="str" cm="1">
        <f t="array" ref="G130">IF(ROWS($B$115:$B130)&lt;=$J$115,INDEX(Cladding!M:M,_xlfn.AGGREGATE(15,3,(Cladding!$H$1:$H$231=1)/(Cladding!$H$1:$H$231=1)*ROW(Cladding!$H$1:$H$231),ROWS($B$115:$B130))),"")</f>
        <v/>
      </c>
      <c r="H130" s="388" t="str" cm="1">
        <f t="array" ref="H130">IFERROR(_xlfn.AGGREGATE(15,3,(Cladding!$H$1:$H$231=1)/(Cladding!$H$1:$H$231=1)*ROW(Cladding!$H$1:$H$231),ROWS($B$115:$B130)),"")</f>
        <v/>
      </c>
      <c r="I130" s="388" t="str" cm="1">
        <f t="array" ref="I130">IF(ROWS($B$115:$B130)&lt;=$J$115,ROUND(INDEX(Cladding!D:D,H130),1)  &amp; " " &amp; INDEX(Cladding!E:E,H130),"")</f>
        <v/>
      </c>
    </row>
    <row r="131" spans="1:10" ht="30.15" customHeight="1" x14ac:dyDescent="0.25">
      <c r="A131" s="204" t="str">
        <f>VLOOKUP("Cladding",Setting!$E$6:$H$33,4,FALSE)</f>
        <v>Cladding</v>
      </c>
      <c r="B131" s="205" t="str" cm="1">
        <f t="array" ref="B131">IF(ROWS($B$115:$B131)&lt;=$J$115,INDEX(Cladding!$R:$R,_xlfn.AGGREGATE(15,3,(Cladding!$H$1:$H$231=1)/(Cladding!$H$1:$H$231=1)*ROW(Cladding!$H$1:$H$231),ROWS($B$115:$B131))),"")</f>
        <v/>
      </c>
      <c r="C131" s="205" t="str" cm="1">
        <f t="array" ref="C131">IF(ROWS($B$115:$B131)&lt;=$J$115,INDEX(Cladding!C:C,$H131) &amp; INDEX(Cladding!S:S,$H131),"")</f>
        <v/>
      </c>
      <c r="D131" s="206" t="str">
        <f t="shared" ref="D131:D137" si="21">IFERROR(E131-F131,"")</f>
        <v/>
      </c>
      <c r="E131" s="206" t="str" cm="1">
        <f t="array" ref="E131">IF(ROWS($B$115:$B131)&lt;=$J$115,INDEX(Cladding!K:K,_xlfn.AGGREGATE(15,3,(Cladding!$H$1:$H$231=1)/(Cladding!$H$1:$H$231=1)*ROW(Cladding!$H$1:$H$231),ROWS($B$115:$B131))),"")</f>
        <v/>
      </c>
      <c r="F131" s="206" t="str" cm="1">
        <f t="array" ref="F131">IF(ROWS($B$115:$B131)&lt;=$J$115,INDEX(Cladding!L:L,_xlfn.AGGREGATE(15,3,(Cladding!$H$1:$H$231=1)/(Cladding!$H$1:$H$231=1)*ROW(Cladding!$H$1:$H$231),ROWS($B$115:$B131))),"")</f>
        <v/>
      </c>
      <c r="G131" s="206" t="str" cm="1">
        <f t="array" ref="G131">IF(ROWS($B$115:$B131)&lt;=$J$115,INDEX(Cladding!M:M,_xlfn.AGGREGATE(15,3,(Cladding!$H$1:$H$231=1)/(Cladding!$H$1:$H$231=1)*ROW(Cladding!$H$1:$H$231),ROWS($B$115:$B131))),"")</f>
        <v/>
      </c>
      <c r="H131" s="388" t="str" cm="1">
        <f t="array" ref="H131">IFERROR(_xlfn.AGGREGATE(15,3,(Cladding!$H$1:$H$231=1)/(Cladding!$H$1:$H$231=1)*ROW(Cladding!$H$1:$H$231),ROWS($B$115:$B131)),"")</f>
        <v/>
      </c>
      <c r="I131" s="388" t="str" cm="1">
        <f t="array" ref="I131">IF(ROWS($B$115:$B131)&lt;=$J$115,ROUND(INDEX(Cladding!D:D,H131),1)  &amp; " " &amp; INDEX(Cladding!E:E,H131),"")</f>
        <v/>
      </c>
    </row>
    <row r="132" spans="1:10" ht="30.15" customHeight="1" x14ac:dyDescent="0.25">
      <c r="A132" s="204" t="str">
        <f>VLOOKUP("Cladding",Setting!$E$6:$H$33,4,FALSE)</f>
        <v>Cladding</v>
      </c>
      <c r="B132" s="205" t="str" cm="1">
        <f t="array" ref="B132">IF(ROWS($B$115:$B132)&lt;=$J$115,INDEX(Cladding!$R:$R,_xlfn.AGGREGATE(15,3,(Cladding!$H$1:$H$231=1)/(Cladding!$H$1:$H$231=1)*ROW(Cladding!$H$1:$H$231),ROWS($B$115:$B132))),"")</f>
        <v/>
      </c>
      <c r="C132" s="205" t="str" cm="1">
        <f t="array" ref="C132">IF(ROWS($B$115:$B132)&lt;=$J$115,INDEX(Cladding!C:C,$H132) &amp; INDEX(Cladding!S:S,$H132),"")</f>
        <v/>
      </c>
      <c r="D132" s="206" t="str">
        <f t="shared" si="21"/>
        <v/>
      </c>
      <c r="E132" s="206" t="str" cm="1">
        <f t="array" ref="E132">IF(ROWS($B$115:$B132)&lt;=$J$115,INDEX(Cladding!K:K,_xlfn.AGGREGATE(15,3,(Cladding!$H$1:$H$231=1)/(Cladding!$H$1:$H$231=1)*ROW(Cladding!$H$1:$H$231),ROWS($B$115:$B132))),"")</f>
        <v/>
      </c>
      <c r="F132" s="206" t="str" cm="1">
        <f t="array" ref="F132">IF(ROWS($B$115:$B132)&lt;=$J$115,INDEX(Cladding!L:L,_xlfn.AGGREGATE(15,3,(Cladding!$H$1:$H$231=1)/(Cladding!$H$1:$H$231=1)*ROW(Cladding!$H$1:$H$231),ROWS($B$115:$B132))),"")</f>
        <v/>
      </c>
      <c r="G132" s="206" t="str" cm="1">
        <f t="array" ref="G132">IF(ROWS($B$115:$B132)&lt;=$J$115,INDEX(Cladding!M:M,_xlfn.AGGREGATE(15,3,(Cladding!$H$1:$H$231=1)/(Cladding!$H$1:$H$231=1)*ROW(Cladding!$H$1:$H$231),ROWS($B$115:$B132))),"")</f>
        <v/>
      </c>
      <c r="H132" s="388" t="str" cm="1">
        <f t="array" ref="H132">IFERROR(_xlfn.AGGREGATE(15,3,(Cladding!$H$1:$H$231=1)/(Cladding!$H$1:$H$231=1)*ROW(Cladding!$H$1:$H$231),ROWS($B$115:$B132)),"")</f>
        <v/>
      </c>
      <c r="I132" s="388" t="str" cm="1">
        <f t="array" ref="I132">IF(ROWS($B$115:$B132)&lt;=$J$115,ROUND(INDEX(Cladding!D:D,H132),1)  &amp; " " &amp; INDEX(Cladding!E:E,H132),"")</f>
        <v/>
      </c>
    </row>
    <row r="133" spans="1:10" ht="30.15" customHeight="1" x14ac:dyDescent="0.25">
      <c r="A133" s="204" t="str">
        <f>VLOOKUP("Cladding",Setting!$E$6:$H$33,4,FALSE)</f>
        <v>Cladding</v>
      </c>
      <c r="B133" s="205" t="str" cm="1">
        <f t="array" ref="B133">IF(ROWS($B$115:$B133)&lt;=$J$115,INDEX(Cladding!$R:$R,_xlfn.AGGREGATE(15,3,(Cladding!$H$1:$H$231=1)/(Cladding!$H$1:$H$231=1)*ROW(Cladding!$H$1:$H$231),ROWS($B$115:$B133))),"")</f>
        <v/>
      </c>
      <c r="C133" s="205" t="str" cm="1">
        <f t="array" ref="C133">IF(ROWS($B$115:$B133)&lt;=$J$115,INDEX(Cladding!C:C,$H133) &amp; INDEX(Cladding!S:S,$H133),"")</f>
        <v/>
      </c>
      <c r="D133" s="206" t="str">
        <f t="shared" si="21"/>
        <v/>
      </c>
      <c r="E133" s="206" t="str" cm="1">
        <f t="array" ref="E133">IF(ROWS($B$115:$B133)&lt;=$J$115,INDEX(Cladding!K:K,_xlfn.AGGREGATE(15,3,(Cladding!$H$1:$H$231=1)/(Cladding!$H$1:$H$231=1)*ROW(Cladding!$H$1:$H$231),ROWS($B$115:$B133))),"")</f>
        <v/>
      </c>
      <c r="F133" s="206" t="str" cm="1">
        <f t="array" ref="F133">IF(ROWS($B$115:$B133)&lt;=$J$115,INDEX(Cladding!L:L,_xlfn.AGGREGATE(15,3,(Cladding!$H$1:$H$231=1)/(Cladding!$H$1:$H$231=1)*ROW(Cladding!$H$1:$H$231),ROWS($B$115:$B133))),"")</f>
        <v/>
      </c>
      <c r="G133" s="206" t="str" cm="1">
        <f t="array" ref="G133">IF(ROWS($B$115:$B133)&lt;=$J$115,INDEX(Cladding!M:M,_xlfn.AGGREGATE(15,3,(Cladding!$H$1:$H$231=1)/(Cladding!$H$1:$H$231=1)*ROW(Cladding!$H$1:$H$231),ROWS($B$115:$B133))),"")</f>
        <v/>
      </c>
      <c r="H133" s="388" t="str" cm="1">
        <f t="array" ref="H133">IFERROR(_xlfn.AGGREGATE(15,3,(Cladding!$H$1:$H$231=1)/(Cladding!$H$1:$H$231=1)*ROW(Cladding!$H$1:$H$231),ROWS($B$115:$B133)),"")</f>
        <v/>
      </c>
      <c r="I133" s="388" t="str" cm="1">
        <f t="array" ref="I133">IF(ROWS($B$115:$B133)&lt;=$J$115,ROUND(INDEX(Cladding!D:D,H133),1)  &amp; " " &amp; INDEX(Cladding!E:E,H133),"")</f>
        <v/>
      </c>
    </row>
    <row r="134" spans="1:10" ht="30.15" customHeight="1" x14ac:dyDescent="0.25">
      <c r="A134" s="204" t="str">
        <f>VLOOKUP("Cladding",Setting!$E$6:$H$33,4,FALSE)</f>
        <v>Cladding</v>
      </c>
      <c r="B134" s="205" t="str" cm="1">
        <f t="array" ref="B134">IF(ROWS($B$115:$B134)&lt;=$J$115,INDEX(Cladding!$R:$R,_xlfn.AGGREGATE(15,3,(Cladding!$H$1:$H$231=1)/(Cladding!$H$1:$H$231=1)*ROW(Cladding!$H$1:$H$231),ROWS($B$115:$B134))),"")</f>
        <v/>
      </c>
      <c r="C134" s="205" t="str" cm="1">
        <f t="array" ref="C134">IF(ROWS($B$115:$B134)&lt;=$J$115,INDEX(Cladding!C:C,$H134) &amp; INDEX(Cladding!S:S,$H134),"")</f>
        <v/>
      </c>
      <c r="D134" s="206" t="str">
        <f t="shared" si="21"/>
        <v/>
      </c>
      <c r="E134" s="206" t="str" cm="1">
        <f t="array" ref="E134">IF(ROWS($B$115:$B134)&lt;=$J$115,INDEX(Cladding!K:K,_xlfn.AGGREGATE(15,3,(Cladding!$H$1:$H$231=1)/(Cladding!$H$1:$H$231=1)*ROW(Cladding!$H$1:$H$231),ROWS($B$115:$B134))),"")</f>
        <v/>
      </c>
      <c r="F134" s="206" t="str" cm="1">
        <f t="array" ref="F134">IF(ROWS($B$115:$B134)&lt;=$J$115,INDEX(Cladding!L:L,_xlfn.AGGREGATE(15,3,(Cladding!$H$1:$H$231=1)/(Cladding!$H$1:$H$231=1)*ROW(Cladding!$H$1:$H$231),ROWS($B$115:$B134))),"")</f>
        <v/>
      </c>
      <c r="G134" s="206" t="str" cm="1">
        <f t="array" ref="G134">IF(ROWS($B$115:$B134)&lt;=$J$115,INDEX(Cladding!M:M,_xlfn.AGGREGATE(15,3,(Cladding!$H$1:$H$231=1)/(Cladding!$H$1:$H$231=1)*ROW(Cladding!$H$1:$H$231),ROWS($B$115:$B134))),"")</f>
        <v/>
      </c>
      <c r="H134" s="388" t="str" cm="1">
        <f t="array" ref="H134">IFERROR(_xlfn.AGGREGATE(15,3,(Cladding!$H$1:$H$231=1)/(Cladding!$H$1:$H$231=1)*ROW(Cladding!$H$1:$H$231),ROWS($B$115:$B134)),"")</f>
        <v/>
      </c>
      <c r="I134" s="388" t="str" cm="1">
        <f t="array" ref="I134">IF(ROWS($B$115:$B134)&lt;=$J$115,ROUND(INDEX(Cladding!D:D,H134),1)  &amp; " " &amp; INDEX(Cladding!E:E,H134),"")</f>
        <v/>
      </c>
    </row>
    <row r="135" spans="1:10" ht="30.15" customHeight="1" x14ac:dyDescent="0.25">
      <c r="A135" s="204" t="str">
        <f>VLOOKUP("Cladding",Setting!$E$6:$H$33,4,FALSE)</f>
        <v>Cladding</v>
      </c>
      <c r="B135" s="205" t="str" cm="1">
        <f t="array" ref="B135">IF(ROWS($B$115:$B135)&lt;=$J$115,INDEX(Cladding!$R:$R,_xlfn.AGGREGATE(15,3,(Cladding!$H$1:$H$231=1)/(Cladding!$H$1:$H$231=1)*ROW(Cladding!$H$1:$H$231),ROWS($B$115:$B135))),"")</f>
        <v/>
      </c>
      <c r="C135" s="205" t="str" cm="1">
        <f t="array" ref="C135">IF(ROWS($B$115:$B135)&lt;=$J$115,INDEX(Cladding!C:C,$H135) &amp; INDEX(Cladding!S:S,$H135),"")</f>
        <v/>
      </c>
      <c r="D135" s="206" t="str">
        <f t="shared" si="21"/>
        <v/>
      </c>
      <c r="E135" s="206" t="str" cm="1">
        <f t="array" ref="E135">IF(ROWS($B$115:$B135)&lt;=$J$115,INDEX(Cladding!K:K,_xlfn.AGGREGATE(15,3,(Cladding!$H$1:$H$231=1)/(Cladding!$H$1:$H$231=1)*ROW(Cladding!$H$1:$H$231),ROWS($B$115:$B135))),"")</f>
        <v/>
      </c>
      <c r="F135" s="206" t="str" cm="1">
        <f t="array" ref="F135">IF(ROWS($B$115:$B135)&lt;=$J$115,INDEX(Cladding!L:L,_xlfn.AGGREGATE(15,3,(Cladding!$H$1:$H$231=1)/(Cladding!$H$1:$H$231=1)*ROW(Cladding!$H$1:$H$231),ROWS($B$115:$B135))),"")</f>
        <v/>
      </c>
      <c r="G135" s="206" t="str" cm="1">
        <f t="array" ref="G135">IF(ROWS($B$115:$B135)&lt;=$J$115,INDEX(Cladding!M:M,_xlfn.AGGREGATE(15,3,(Cladding!$H$1:$H$231=1)/(Cladding!$H$1:$H$231=1)*ROW(Cladding!$H$1:$H$231),ROWS($B$115:$B135))),"")</f>
        <v/>
      </c>
      <c r="H135" s="388" t="str" cm="1">
        <f t="array" ref="H135">IFERROR(_xlfn.AGGREGATE(15,3,(Cladding!$H$1:$H$231=1)/(Cladding!$H$1:$H$231=1)*ROW(Cladding!$H$1:$H$231),ROWS($B$115:$B135)),"")</f>
        <v/>
      </c>
      <c r="I135" s="388" t="str" cm="1">
        <f t="array" ref="I135">IF(ROWS($B$115:$B135)&lt;=$J$115,ROUND(INDEX(Cladding!D:D,H135),1)  &amp; " " &amp; INDEX(Cladding!E:E,H135),"")</f>
        <v/>
      </c>
    </row>
    <row r="136" spans="1:10" ht="30.15" customHeight="1" x14ac:dyDescent="0.25">
      <c r="A136" s="204" t="str">
        <f>VLOOKUP("Cladding",Setting!$E$6:$H$33,4,FALSE)</f>
        <v>Cladding</v>
      </c>
      <c r="B136" s="205" t="str" cm="1">
        <f t="array" ref="B136">IF(ROWS($B$115:$B136)&lt;=$J$115,INDEX(Cladding!$R:$R,_xlfn.AGGREGATE(15,3,(Cladding!$H$1:$H$231=1)/(Cladding!$H$1:$H$231=1)*ROW(Cladding!$H$1:$H$231),ROWS($B$115:$B136))),"")</f>
        <v/>
      </c>
      <c r="C136" s="205" t="str" cm="1">
        <f t="array" ref="C136">IF(ROWS($B$115:$B136)&lt;=$J$115,INDEX(Cladding!C:C,$H136) &amp; INDEX(Cladding!S:S,$H136),"")</f>
        <v/>
      </c>
      <c r="D136" s="206" t="str">
        <f t="shared" si="21"/>
        <v/>
      </c>
      <c r="E136" s="206" t="str" cm="1">
        <f t="array" ref="E136">IF(ROWS($B$115:$B136)&lt;=$J$115,INDEX(Cladding!K:K,_xlfn.AGGREGATE(15,3,(Cladding!$H$1:$H$231=1)/(Cladding!$H$1:$H$231=1)*ROW(Cladding!$H$1:$H$231),ROWS($B$115:$B136))),"")</f>
        <v/>
      </c>
      <c r="F136" s="206" t="str" cm="1">
        <f t="array" ref="F136">IF(ROWS($B$115:$B136)&lt;=$J$115,INDEX(Cladding!L:L,_xlfn.AGGREGATE(15,3,(Cladding!$H$1:$H$231=1)/(Cladding!$H$1:$H$231=1)*ROW(Cladding!$H$1:$H$231),ROWS($B$115:$B136))),"")</f>
        <v/>
      </c>
      <c r="G136" s="206" t="str" cm="1">
        <f t="array" ref="G136">IF(ROWS($B$115:$B136)&lt;=$J$115,INDEX(Cladding!M:M,_xlfn.AGGREGATE(15,3,(Cladding!$H$1:$H$231=1)/(Cladding!$H$1:$H$231=1)*ROW(Cladding!$H$1:$H$231),ROWS($B$115:$B136))),"")</f>
        <v/>
      </c>
      <c r="H136" s="388" t="str" cm="1">
        <f t="array" ref="H136">IFERROR(_xlfn.AGGREGATE(15,3,(Cladding!$H$1:$H$231=1)/(Cladding!$H$1:$H$231=1)*ROW(Cladding!$H$1:$H$231),ROWS($B$115:$B136)),"")</f>
        <v/>
      </c>
      <c r="I136" s="388" t="str" cm="1">
        <f t="array" ref="I136">IF(ROWS($B$115:$B136)&lt;=$J$115,ROUND(INDEX(Cladding!D:D,H136),1)  &amp; " " &amp; INDEX(Cladding!E:E,H136),"")</f>
        <v/>
      </c>
    </row>
    <row r="137" spans="1:10" ht="30.15" customHeight="1" x14ac:dyDescent="0.25">
      <c r="A137" s="204" t="str">
        <f>VLOOKUP("Windows",Setting!$E$6:$H$33,4,FALSE)</f>
        <v>Windows</v>
      </c>
      <c r="B137" s="205" t="str" cm="1">
        <f t="array" ref="B137">IF(ROWS($B$137:$B137)&lt;=$J$137,INDEX(Windows!$R:$R,_xlfn.AGGREGATE(15,3,(Windows!$H$1:$H$199=1)/(Windows!$H$1:$H$199=1)*ROW(Windows!$H$1:$H$199),ROWS($B$137:$B137))),"")</f>
        <v/>
      </c>
      <c r="C137" s="205" t="str" cm="1">
        <f t="array" ref="C137">IF(ROWS($B$137:$B137)&lt;=$J$137,INDEX(Windows!C:C,$H137) &amp; INDEX(Windows!S:S,$H137),"")</f>
        <v/>
      </c>
      <c r="D137" s="206" t="str">
        <f t="shared" si="21"/>
        <v/>
      </c>
      <c r="E137" s="206" t="str" cm="1">
        <f t="array" ref="E137">IF(ROWS($B$137:$B137)&lt;=$J$137,INDEX(Windows!K:K,_xlfn.AGGREGATE(15,3,(Windows!$H$1:$H$199=1)/(Windows!$H$1:$H$199=1)*ROW(Windows!$H$1:$H$199),ROWS($B$137:$B137))),"")</f>
        <v/>
      </c>
      <c r="F137" s="206" t="str" cm="1">
        <f t="array" ref="F137">IF(ROWS($B$137:$B137)&lt;=$J$137,INDEX(Windows!L:L,_xlfn.AGGREGATE(15,3,(Windows!$H$1:$H$199=1)/(Windows!$H$1:$H$199=1)*ROW(Windows!$H$1:$H$199),ROWS($B$137:$B137))),"")</f>
        <v/>
      </c>
      <c r="G137" s="206" t="str" cm="1">
        <f t="array" ref="G137">IF(ROWS($B$137:$B137)&lt;=$J$137,INDEX(Windows!M:M,_xlfn.AGGREGATE(15,3,(Windows!$H$1:$H$199=1)/(Windows!$H$1:$H$199=1)*ROW(Windows!$H$1:$H$199),ROWS($B$137:$B137))),"")</f>
        <v/>
      </c>
      <c r="H137" s="388" t="str" cm="1">
        <f t="array" ref="H137">IFERROR(_xlfn.AGGREGATE(15,3,(Windows!$H$1:$H$199=1)/(Windows!$H$1:$H$199=1)*ROW(Windows!$H$1:$H$199),ROWS($B$137:$B137)),"")</f>
        <v/>
      </c>
      <c r="I137" s="388" t="str" cm="1">
        <f t="array" ref="I137">IF(ROWS($B$137:$B137)&lt;=$J$137,ROUND(INDEX(Windows!D:D,H137),1)  &amp; " " &amp; INDEX(Windows!E:E,H137),"")</f>
        <v/>
      </c>
      <c r="J137" s="207">
        <f>COUNTIF(Windows!$H$1:$H$199,1)</f>
        <v>0</v>
      </c>
    </row>
    <row r="138" spans="1:10" ht="30.15" customHeight="1" x14ac:dyDescent="0.25">
      <c r="A138" s="204" t="str">
        <f>VLOOKUP("Windows",Setting!$E$6:$H$33,4,FALSE)</f>
        <v>Windows</v>
      </c>
      <c r="B138" s="205" t="str" cm="1">
        <f t="array" ref="B138">IF(ROWS($B$137:$B138)&lt;=$J$137,INDEX(Windows!$R:$R,_xlfn.AGGREGATE(15,3,(Windows!$H$1:$H$199=1)/(Windows!$H$1:$H$199=1)*ROW(Windows!$H$1:$H$199),ROWS($B$137:$B138))),"")</f>
        <v/>
      </c>
      <c r="C138" s="205" t="str" cm="1">
        <f t="array" ref="C138">IF(ROWS($B$137:$B138)&lt;=$J$137,INDEX(Windows!C:C,$H138) &amp; INDEX(Windows!S:S,$H138),"")</f>
        <v/>
      </c>
      <c r="D138" s="206" t="str">
        <f t="shared" ref="D138:D143" si="22">IFERROR(E138-F138,"")</f>
        <v/>
      </c>
      <c r="E138" s="206" t="str" cm="1">
        <f t="array" ref="E138">IF(ROWS($B$137:$B138)&lt;=$J$137,INDEX(Windows!K:K,_xlfn.AGGREGATE(15,3,(Windows!$H$1:$H$199=1)/(Windows!$H$1:$H$199=1)*ROW(Windows!$H$1:$H$199),ROWS($B$137:$B138))),"")</f>
        <v/>
      </c>
      <c r="F138" s="206" t="str" cm="1">
        <f t="array" ref="F138">IF(ROWS($B$137:$B138)&lt;=$J$137,INDEX(Windows!L:L,_xlfn.AGGREGATE(15,3,(Windows!$H$1:$H$199=1)/(Windows!$H$1:$H$199=1)*ROW(Windows!$H$1:$H$199),ROWS($B$137:$B138))),"")</f>
        <v/>
      </c>
      <c r="G138" s="206" t="str" cm="1">
        <f t="array" ref="G138">IF(ROWS($B$137:$B138)&lt;=$J$137,INDEX(Windows!M:M,_xlfn.AGGREGATE(15,3,(Windows!$H$1:$H$199=1)/(Windows!$H$1:$H$199=1)*ROW(Windows!$H$1:$H$199),ROWS($B$137:$B138))),"")</f>
        <v/>
      </c>
      <c r="H138" s="388" t="str" cm="1">
        <f t="array" ref="H138">IFERROR(_xlfn.AGGREGATE(15,3,(Windows!$H$1:$H$199=1)/(Windows!$H$1:$H$199=1)*ROW(Windows!$H$1:$H$199),ROWS($B$137:$B138)),"")</f>
        <v/>
      </c>
      <c r="I138" s="388" t="str" cm="1">
        <f t="array" ref="I138">IF(ROWS($B$137:$B138)&lt;=$J$137,ROUND(INDEX(Windows!D:D,H138),1)  &amp; " " &amp; INDEX(Windows!E:E,H138),"")</f>
        <v/>
      </c>
    </row>
    <row r="139" spans="1:10" ht="30.15" customHeight="1" x14ac:dyDescent="0.25">
      <c r="A139" s="204" t="str">
        <f>VLOOKUP("Windows",Setting!$E$6:$H$33,4,FALSE)</f>
        <v>Windows</v>
      </c>
      <c r="B139" s="205" t="str" cm="1">
        <f t="array" ref="B139">IF(ROWS($B$137:$B139)&lt;=$J$137,INDEX(Windows!$R:$R,_xlfn.AGGREGATE(15,3,(Windows!$H$1:$H$199=1)/(Windows!$H$1:$H$199=1)*ROW(Windows!$H$1:$H$199),ROWS($B$137:$B139))),"")</f>
        <v/>
      </c>
      <c r="C139" s="205" t="str" cm="1">
        <f t="array" ref="C139">IF(ROWS($B$137:$B139)&lt;=$J$137,INDEX(Windows!C:C,$H139) &amp; INDEX(Windows!S:S,$H139),"")</f>
        <v/>
      </c>
      <c r="D139" s="206" t="str">
        <f t="shared" si="22"/>
        <v/>
      </c>
      <c r="E139" s="206" t="str" cm="1">
        <f t="array" ref="E139">IF(ROWS($B$137:$B139)&lt;=$J$137,INDEX(Windows!K:K,_xlfn.AGGREGATE(15,3,(Windows!$H$1:$H$199=1)/(Windows!$H$1:$H$199=1)*ROW(Windows!$H$1:$H$199),ROWS($B$137:$B139))),"")</f>
        <v/>
      </c>
      <c r="F139" s="206" t="str" cm="1">
        <f t="array" ref="F139">IF(ROWS($B$137:$B139)&lt;=$J$137,INDEX(Windows!L:L,_xlfn.AGGREGATE(15,3,(Windows!$H$1:$H$199=1)/(Windows!$H$1:$H$199=1)*ROW(Windows!$H$1:$H$199),ROWS($B$137:$B139))),"")</f>
        <v/>
      </c>
      <c r="G139" s="206" t="str" cm="1">
        <f t="array" ref="G139">IF(ROWS($B$137:$B139)&lt;=$J$137,INDEX(Windows!M:M,_xlfn.AGGREGATE(15,3,(Windows!$H$1:$H$199=1)/(Windows!$H$1:$H$199=1)*ROW(Windows!$H$1:$H$199),ROWS($B$137:$B139))),"")</f>
        <v/>
      </c>
      <c r="H139" s="388" t="str" cm="1">
        <f t="array" ref="H139">IFERROR(_xlfn.AGGREGATE(15,3,(Windows!$H$1:$H$199=1)/(Windows!$H$1:$H$199=1)*ROW(Windows!$H$1:$H$199),ROWS($B$137:$B139)),"")</f>
        <v/>
      </c>
      <c r="I139" s="388" t="str" cm="1">
        <f t="array" ref="I139">IF(ROWS($B$137:$B139)&lt;=$J$137,ROUND(INDEX(Windows!D:D,H139),1)  &amp; " " &amp; INDEX(Windows!E:E,H139),"")</f>
        <v/>
      </c>
    </row>
    <row r="140" spans="1:10" ht="30.15" customHeight="1" x14ac:dyDescent="0.25">
      <c r="A140" s="204" t="str">
        <f>VLOOKUP("Windows",Setting!$E$6:$H$33,4,FALSE)</f>
        <v>Windows</v>
      </c>
      <c r="B140" s="205" t="str" cm="1">
        <f t="array" ref="B140">IF(ROWS($B$137:$B140)&lt;=$J$137,INDEX(Windows!$R:$R,_xlfn.AGGREGATE(15,3,(Windows!$H$1:$H$199=1)/(Windows!$H$1:$H$199=1)*ROW(Windows!$H$1:$H$199),ROWS($B$137:$B140))),"")</f>
        <v/>
      </c>
      <c r="C140" s="205" t="str" cm="1">
        <f t="array" ref="C140">IF(ROWS($B$137:$B140)&lt;=$J$137,INDEX(Windows!C:C,$H140) &amp; INDEX(Windows!S:S,$H140),"")</f>
        <v/>
      </c>
      <c r="D140" s="206" t="str">
        <f t="shared" si="22"/>
        <v/>
      </c>
      <c r="E140" s="206" t="str" cm="1">
        <f t="array" ref="E140">IF(ROWS($B$137:$B140)&lt;=$J$137,INDEX(Windows!K:K,_xlfn.AGGREGATE(15,3,(Windows!$H$1:$H$199=1)/(Windows!$H$1:$H$199=1)*ROW(Windows!$H$1:$H$199),ROWS($B$137:$B140))),"")</f>
        <v/>
      </c>
      <c r="F140" s="206" t="str" cm="1">
        <f t="array" ref="F140">IF(ROWS($B$137:$B140)&lt;=$J$137,INDEX(Windows!L:L,_xlfn.AGGREGATE(15,3,(Windows!$H$1:$H$199=1)/(Windows!$H$1:$H$199=1)*ROW(Windows!$H$1:$H$199),ROWS($B$137:$B140))),"")</f>
        <v/>
      </c>
      <c r="G140" s="206" t="str" cm="1">
        <f t="array" ref="G140">IF(ROWS($B$137:$B140)&lt;=$J$137,INDEX(Windows!M:M,_xlfn.AGGREGATE(15,3,(Windows!$H$1:$H$199=1)/(Windows!$H$1:$H$199=1)*ROW(Windows!$H$1:$H$199),ROWS($B$137:$B140))),"")</f>
        <v/>
      </c>
      <c r="H140" s="388" t="str" cm="1">
        <f t="array" ref="H140">IFERROR(_xlfn.AGGREGATE(15,3,(Windows!$H$1:$H$199=1)/(Windows!$H$1:$H$199=1)*ROW(Windows!$H$1:$H$199),ROWS($B$137:$B140)),"")</f>
        <v/>
      </c>
      <c r="I140" s="388" t="str" cm="1">
        <f t="array" ref="I140">IF(ROWS($B$137:$B140)&lt;=$J$137,ROUND(INDEX(Windows!D:D,H140),1)  &amp; " " &amp; INDEX(Windows!E:E,H140),"")</f>
        <v/>
      </c>
    </row>
    <row r="141" spans="1:10" ht="30.15" customHeight="1" x14ac:dyDescent="0.25">
      <c r="A141" s="204" t="str">
        <f>VLOOKUP("Windows",Setting!$E$6:$H$33,4,FALSE)</f>
        <v>Windows</v>
      </c>
      <c r="B141" s="205" t="str" cm="1">
        <f t="array" ref="B141">IF(ROWS($B$137:$B141)&lt;=$J$137,INDEX(Windows!$R:$R,_xlfn.AGGREGATE(15,3,(Windows!$H$1:$H$199=1)/(Windows!$H$1:$H$199=1)*ROW(Windows!$H$1:$H$199),ROWS($B$137:$B141))),"")</f>
        <v/>
      </c>
      <c r="C141" s="205" t="str" cm="1">
        <f t="array" ref="C141">IF(ROWS($B$137:$B141)&lt;=$J$137,INDEX(Windows!C:C,$H141) &amp; INDEX(Windows!S:S,$H141),"")</f>
        <v/>
      </c>
      <c r="D141" s="206" t="str">
        <f t="shared" si="22"/>
        <v/>
      </c>
      <c r="E141" s="206" t="str" cm="1">
        <f t="array" ref="E141">IF(ROWS($B$137:$B141)&lt;=$J$137,INDEX(Windows!K:K,_xlfn.AGGREGATE(15,3,(Windows!$H$1:$H$199=1)/(Windows!$H$1:$H$199=1)*ROW(Windows!$H$1:$H$199),ROWS($B$137:$B141))),"")</f>
        <v/>
      </c>
      <c r="F141" s="206" t="str" cm="1">
        <f t="array" ref="F141">IF(ROWS($B$137:$B141)&lt;=$J$137,INDEX(Windows!L:L,_xlfn.AGGREGATE(15,3,(Windows!$H$1:$H$199=1)/(Windows!$H$1:$H$199=1)*ROW(Windows!$H$1:$H$199),ROWS($B$137:$B141))),"")</f>
        <v/>
      </c>
      <c r="G141" s="206" t="str" cm="1">
        <f t="array" ref="G141">IF(ROWS($B$137:$B141)&lt;=$J$137,INDEX(Windows!M:M,_xlfn.AGGREGATE(15,3,(Windows!$H$1:$H$199=1)/(Windows!$H$1:$H$199=1)*ROW(Windows!$H$1:$H$199),ROWS($B$137:$B141))),"")</f>
        <v/>
      </c>
      <c r="H141" s="388" t="str" cm="1">
        <f t="array" ref="H141">IFERROR(_xlfn.AGGREGATE(15,3,(Windows!$H$1:$H$199=1)/(Windows!$H$1:$H$199=1)*ROW(Windows!$H$1:$H$199),ROWS($B$137:$B141)),"")</f>
        <v/>
      </c>
      <c r="I141" s="388" t="str" cm="1">
        <f t="array" ref="I141">IF(ROWS($B$137:$B141)&lt;=$J$137,ROUND(INDEX(Windows!D:D,H141),1)  &amp; " " &amp; INDEX(Windows!E:E,H141),"")</f>
        <v/>
      </c>
    </row>
    <row r="142" spans="1:10" ht="30.15" customHeight="1" x14ac:dyDescent="0.25">
      <c r="A142" s="204" t="str">
        <f>VLOOKUP("Windows",Setting!$E$6:$H$33,4,FALSE)</f>
        <v>Windows</v>
      </c>
      <c r="B142" s="205" t="str" cm="1">
        <f t="array" ref="B142">IF(ROWS($B$137:$B142)&lt;=$J$137,INDEX(Windows!$R:$R,_xlfn.AGGREGATE(15,3,(Windows!$H$1:$H$199=1)/(Windows!$H$1:$H$199=1)*ROW(Windows!$H$1:$H$199),ROWS($B$137:$B142))),"")</f>
        <v/>
      </c>
      <c r="C142" s="205" t="str" cm="1">
        <f t="array" ref="C142">IF(ROWS($B$137:$B142)&lt;=$J$137,INDEX(Windows!C:C,$H142) &amp; INDEX(Windows!S:S,$H142),"")</f>
        <v/>
      </c>
      <c r="D142" s="206" t="str">
        <f t="shared" si="22"/>
        <v/>
      </c>
      <c r="E142" s="206" t="str" cm="1">
        <f t="array" ref="E142">IF(ROWS($B$137:$B142)&lt;=$J$137,INDEX(Windows!K:K,_xlfn.AGGREGATE(15,3,(Windows!$H$1:$H$199=1)/(Windows!$H$1:$H$199=1)*ROW(Windows!$H$1:$H$199),ROWS($B$137:$B142))),"")</f>
        <v/>
      </c>
      <c r="F142" s="206" t="str" cm="1">
        <f t="array" ref="F142">IF(ROWS($B$137:$B142)&lt;=$J$137,INDEX(Windows!L:L,_xlfn.AGGREGATE(15,3,(Windows!$H$1:$H$199=1)/(Windows!$H$1:$H$199=1)*ROW(Windows!$H$1:$H$199),ROWS($B$137:$B142))),"")</f>
        <v/>
      </c>
      <c r="G142" s="206" t="str" cm="1">
        <f t="array" ref="G142">IF(ROWS($B$137:$B142)&lt;=$J$137,INDEX(Windows!M:M,_xlfn.AGGREGATE(15,3,(Windows!$H$1:$H$199=1)/(Windows!$H$1:$H$199=1)*ROW(Windows!$H$1:$H$199),ROWS($B$137:$B142))),"")</f>
        <v/>
      </c>
      <c r="H142" s="388" t="str" cm="1">
        <f t="array" ref="H142">IFERROR(_xlfn.AGGREGATE(15,3,(Windows!$H$1:$H$199=1)/(Windows!$H$1:$H$199=1)*ROW(Windows!$H$1:$H$199),ROWS($B$137:$B142)),"")</f>
        <v/>
      </c>
      <c r="I142" s="388" t="str" cm="1">
        <f t="array" ref="I142">IF(ROWS($B$137:$B142)&lt;=$J$137,ROUND(INDEX(Windows!D:D,H142),1)  &amp; " " &amp; INDEX(Windows!E:E,H142),"")</f>
        <v/>
      </c>
    </row>
    <row r="143" spans="1:10" ht="30.15" customHeight="1" x14ac:dyDescent="0.25">
      <c r="A143" s="204" t="str">
        <f>VLOOKUP("Windows",Setting!$E$6:$H$33,4,FALSE)</f>
        <v>Windows</v>
      </c>
      <c r="B143" s="205" t="str" cm="1">
        <f t="array" ref="B143">IF(ROWS($B$137:$B143)&lt;=$J$137,INDEX(Windows!$R:$R,_xlfn.AGGREGATE(15,3,(Windows!$H$1:$H$199=1)/(Windows!$H$1:$H$199=1)*ROW(Windows!$H$1:$H$199),ROWS($B$137:$B143))),"")</f>
        <v/>
      </c>
      <c r="C143" s="205" t="str" cm="1">
        <f t="array" ref="C143">IF(ROWS($B$137:$B143)&lt;=$J$137,INDEX(Windows!C:C,$H143) &amp; INDEX(Windows!S:S,$H143),"")</f>
        <v/>
      </c>
      <c r="D143" s="206" t="str">
        <f t="shared" si="22"/>
        <v/>
      </c>
      <c r="E143" s="206" t="str" cm="1">
        <f t="array" ref="E143">IF(ROWS($B$137:$B143)&lt;=$J$137,INDEX(Windows!K:K,_xlfn.AGGREGATE(15,3,(Windows!$H$1:$H$199=1)/(Windows!$H$1:$H$199=1)*ROW(Windows!$H$1:$H$199),ROWS($B$137:$B143))),"")</f>
        <v/>
      </c>
      <c r="F143" s="206" t="str" cm="1">
        <f t="array" ref="F143">IF(ROWS($B$137:$B143)&lt;=$J$137,INDEX(Windows!L:L,_xlfn.AGGREGATE(15,3,(Windows!$H$1:$H$199=1)/(Windows!$H$1:$H$199=1)*ROW(Windows!$H$1:$H$199),ROWS($B$137:$B143))),"")</f>
        <v/>
      </c>
      <c r="G143" s="206" t="str" cm="1">
        <f t="array" ref="G143">IF(ROWS($B$137:$B143)&lt;=$J$137,INDEX(Windows!M:M,_xlfn.AGGREGATE(15,3,(Windows!$H$1:$H$199=1)/(Windows!$H$1:$H$199=1)*ROW(Windows!$H$1:$H$199),ROWS($B$137:$B143))),"")</f>
        <v/>
      </c>
      <c r="H143" s="388" t="str" cm="1">
        <f t="array" ref="H143">IFERROR(_xlfn.AGGREGATE(15,3,(Windows!$H$1:$H$199=1)/(Windows!$H$1:$H$199=1)*ROW(Windows!$H$1:$H$199),ROWS($B$137:$B143)),"")</f>
        <v/>
      </c>
      <c r="I143" s="388" t="str" cm="1">
        <f t="array" ref="I143">IF(ROWS($B$137:$B143)&lt;=$J$137,ROUND(INDEX(Windows!D:D,H143),1)  &amp; " " &amp; INDEX(Windows!E:E,H143),"")</f>
        <v/>
      </c>
    </row>
    <row r="144" spans="1:10" ht="30.15" customHeight="1" x14ac:dyDescent="0.25">
      <c r="A144" s="204" t="str">
        <f>VLOOKUP("Windows",Setting!$E$6:$H$33,4,FALSE)</f>
        <v>Windows</v>
      </c>
      <c r="B144" s="205" t="str" cm="1">
        <f t="array" ref="B144">IF(ROWS($B$137:$B144)&lt;=$J$137,INDEX(Windows!$R:$R,_xlfn.AGGREGATE(15,3,(Windows!$H$1:$H$199=1)/(Windows!$H$1:$H$199=1)*ROW(Windows!$H$1:$H$199),ROWS($B$137:$B144))),"")</f>
        <v/>
      </c>
      <c r="C144" s="205" t="str" cm="1">
        <f t="array" ref="C144">IF(ROWS($B$137:$B144)&lt;=$J$137,INDEX(Windows!C:C,$H144) &amp; INDEX(Windows!S:S,$H144),"")</f>
        <v/>
      </c>
      <c r="D144" s="206" t="str">
        <f t="shared" ref="D144:D151" si="23">IFERROR(E144-F144,"")</f>
        <v/>
      </c>
      <c r="E144" s="206" t="str" cm="1">
        <f t="array" ref="E144">IF(ROWS($B$137:$B144)&lt;=$J$137,INDEX(Windows!K:K,_xlfn.AGGREGATE(15,3,(Windows!$H$1:$H$199=1)/(Windows!$H$1:$H$199=1)*ROW(Windows!$H$1:$H$199),ROWS($B$137:$B144))),"")</f>
        <v/>
      </c>
      <c r="F144" s="206" t="str" cm="1">
        <f t="array" ref="F144">IF(ROWS($B$137:$B144)&lt;=$J$137,INDEX(Windows!L:L,_xlfn.AGGREGATE(15,3,(Windows!$H$1:$H$199=1)/(Windows!$H$1:$H$199=1)*ROW(Windows!$H$1:$H$199),ROWS($B$137:$B144))),"")</f>
        <v/>
      </c>
      <c r="G144" s="206" t="str" cm="1">
        <f t="array" ref="G144">IF(ROWS($B$137:$B144)&lt;=$J$137,INDEX(Windows!M:M,_xlfn.AGGREGATE(15,3,(Windows!$H$1:$H$199=1)/(Windows!$H$1:$H$199=1)*ROW(Windows!$H$1:$H$199),ROWS($B$137:$B144))),"")</f>
        <v/>
      </c>
      <c r="H144" s="388" t="str" cm="1">
        <f t="array" ref="H144">IFERROR(_xlfn.AGGREGATE(15,3,(Windows!$H$1:$H$199=1)/(Windows!$H$1:$H$199=1)*ROW(Windows!$H$1:$H$199),ROWS($B$137:$B144)),"")</f>
        <v/>
      </c>
      <c r="I144" s="388" t="str" cm="1">
        <f t="array" ref="I144">IF(ROWS($B$137:$B144)&lt;=$J$137,ROUND(INDEX(Windows!D:D,H144),1)  &amp; " " &amp; INDEX(Windows!E:E,H144),"")</f>
        <v/>
      </c>
    </row>
    <row r="145" spans="1:10" ht="30.15" customHeight="1" x14ac:dyDescent="0.25">
      <c r="A145" s="204" t="str">
        <f>VLOOKUP("Windows",Setting!$E$6:$H$33,4,FALSE)</f>
        <v>Windows</v>
      </c>
      <c r="B145" s="205" t="str" cm="1">
        <f t="array" ref="B145">IF(ROWS($B$137:$B145)&lt;=$J$137,INDEX(Windows!$R:$R,_xlfn.AGGREGATE(15,3,(Windows!$H$1:$H$199=1)/(Windows!$H$1:$H$199=1)*ROW(Windows!$H$1:$H$199),ROWS($B$137:$B145))),"")</f>
        <v/>
      </c>
      <c r="C145" s="205" t="str" cm="1">
        <f t="array" ref="C145">IF(ROWS($B$137:$B145)&lt;=$J$137,INDEX(Windows!C:C,$H145) &amp; INDEX(Windows!S:S,$H145),"")</f>
        <v/>
      </c>
      <c r="D145" s="206" t="str">
        <f t="shared" si="23"/>
        <v/>
      </c>
      <c r="E145" s="206" t="str" cm="1">
        <f t="array" ref="E145">IF(ROWS($B$137:$B145)&lt;=$J$137,INDEX(Windows!K:K,_xlfn.AGGREGATE(15,3,(Windows!$H$1:$H$199=1)/(Windows!$H$1:$H$199=1)*ROW(Windows!$H$1:$H$199),ROWS($B$137:$B145))),"")</f>
        <v/>
      </c>
      <c r="F145" s="206" t="str" cm="1">
        <f t="array" ref="F145">IF(ROWS($B$137:$B145)&lt;=$J$137,INDEX(Windows!L:L,_xlfn.AGGREGATE(15,3,(Windows!$H$1:$H$199=1)/(Windows!$H$1:$H$199=1)*ROW(Windows!$H$1:$H$199),ROWS($B$137:$B145))),"")</f>
        <v/>
      </c>
      <c r="G145" s="206" t="str" cm="1">
        <f t="array" ref="G145">IF(ROWS($B$137:$B145)&lt;=$J$137,INDEX(Windows!M:M,_xlfn.AGGREGATE(15,3,(Windows!$H$1:$H$199=1)/(Windows!$H$1:$H$199=1)*ROW(Windows!$H$1:$H$199),ROWS($B$137:$B145))),"")</f>
        <v/>
      </c>
      <c r="H145" s="388" t="str" cm="1">
        <f t="array" ref="H145">IFERROR(_xlfn.AGGREGATE(15,3,(Windows!$H$1:$H$199=1)/(Windows!$H$1:$H$199=1)*ROW(Windows!$H$1:$H$199),ROWS($B$137:$B145)),"")</f>
        <v/>
      </c>
      <c r="I145" s="388" t="str" cm="1">
        <f t="array" ref="I145">IF(ROWS($B$137:$B145)&lt;=$J$137,ROUND(INDEX(Windows!D:D,H145),1)  &amp; " " &amp; INDEX(Windows!E:E,H145),"")</f>
        <v/>
      </c>
    </row>
    <row r="146" spans="1:10" ht="30.15" customHeight="1" x14ac:dyDescent="0.25">
      <c r="A146" s="204" t="str">
        <f>VLOOKUP("Windows",Setting!$E$6:$H$33,4,FALSE)</f>
        <v>Windows</v>
      </c>
      <c r="B146" s="205" t="str" cm="1">
        <f t="array" ref="B146">IF(ROWS($B$137:$B146)&lt;=$J$137,INDEX(Windows!$R:$R,_xlfn.AGGREGATE(15,3,(Windows!$H$1:$H$199=1)/(Windows!$H$1:$H$199=1)*ROW(Windows!$H$1:$H$199),ROWS($B$137:$B146))),"")</f>
        <v/>
      </c>
      <c r="C146" s="205" t="str" cm="1">
        <f t="array" ref="C146">IF(ROWS($B$137:$B146)&lt;=$J$137,INDEX(Windows!C:C,$H146) &amp; INDEX(Windows!S:S,$H146),"")</f>
        <v/>
      </c>
      <c r="D146" s="206" t="str">
        <f t="shared" si="23"/>
        <v/>
      </c>
      <c r="E146" s="206" t="str" cm="1">
        <f t="array" ref="E146">IF(ROWS($B$137:$B146)&lt;=$J$137,INDEX(Windows!K:K,_xlfn.AGGREGATE(15,3,(Windows!$H$1:$H$199=1)/(Windows!$H$1:$H$199=1)*ROW(Windows!$H$1:$H$199),ROWS($B$137:$B146))),"")</f>
        <v/>
      </c>
      <c r="F146" s="206" t="str" cm="1">
        <f t="array" ref="F146">IF(ROWS($B$137:$B146)&lt;=$J$137,INDEX(Windows!L:L,_xlfn.AGGREGATE(15,3,(Windows!$H$1:$H$199=1)/(Windows!$H$1:$H$199=1)*ROW(Windows!$H$1:$H$199),ROWS($B$137:$B146))),"")</f>
        <v/>
      </c>
      <c r="G146" s="206" t="str" cm="1">
        <f t="array" ref="G146">IF(ROWS($B$137:$B146)&lt;=$J$137,INDEX(Windows!M:M,_xlfn.AGGREGATE(15,3,(Windows!$H$1:$H$199=1)/(Windows!$H$1:$H$199=1)*ROW(Windows!$H$1:$H$199),ROWS($B$137:$B146))),"")</f>
        <v/>
      </c>
      <c r="H146" s="388" t="str" cm="1">
        <f t="array" ref="H146">IFERROR(_xlfn.AGGREGATE(15,3,(Windows!$H$1:$H$199=1)/(Windows!$H$1:$H$199=1)*ROW(Windows!$H$1:$H$199),ROWS($B$137:$B146)),"")</f>
        <v/>
      </c>
      <c r="I146" s="388" t="str" cm="1">
        <f t="array" ref="I146">IF(ROWS($B$137:$B146)&lt;=$J$137,ROUND(INDEX(Windows!D:D,H146),1)  &amp; " " &amp; INDEX(Windows!E:E,H146),"")</f>
        <v/>
      </c>
    </row>
    <row r="147" spans="1:10" ht="30.15" customHeight="1" x14ac:dyDescent="0.25">
      <c r="A147" s="204" t="str">
        <f>VLOOKUP("Windows",Setting!$E$6:$H$33,4,FALSE)</f>
        <v>Windows</v>
      </c>
      <c r="B147" s="205" t="str" cm="1">
        <f t="array" ref="B147">IF(ROWS($B$137:$B147)&lt;=$J$137,INDEX(Windows!$R:$R,_xlfn.AGGREGATE(15,3,(Windows!$H$1:$H$199=1)/(Windows!$H$1:$H$199=1)*ROW(Windows!$H$1:$H$199),ROWS($B$137:$B147))),"")</f>
        <v/>
      </c>
      <c r="C147" s="205" t="str" cm="1">
        <f t="array" ref="C147">IF(ROWS($B$137:$B147)&lt;=$J$137,INDEX(Windows!C:C,$H147) &amp; INDEX(Windows!S:S,$H147),"")</f>
        <v/>
      </c>
      <c r="D147" s="206" t="str">
        <f t="shared" si="23"/>
        <v/>
      </c>
      <c r="E147" s="206" t="str" cm="1">
        <f t="array" ref="E147">IF(ROWS($B$137:$B147)&lt;=$J$137,INDEX(Windows!K:K,_xlfn.AGGREGATE(15,3,(Windows!$H$1:$H$199=1)/(Windows!$H$1:$H$199=1)*ROW(Windows!$H$1:$H$199),ROWS($B$137:$B147))),"")</f>
        <v/>
      </c>
      <c r="F147" s="206" t="str" cm="1">
        <f t="array" ref="F147">IF(ROWS($B$137:$B147)&lt;=$J$137,INDEX(Windows!L:L,_xlfn.AGGREGATE(15,3,(Windows!$H$1:$H$199=1)/(Windows!$H$1:$H$199=1)*ROW(Windows!$H$1:$H$199),ROWS($B$137:$B147))),"")</f>
        <v/>
      </c>
      <c r="G147" s="206" t="str" cm="1">
        <f t="array" ref="G147">IF(ROWS($B$137:$B147)&lt;=$J$137,INDEX(Windows!M:M,_xlfn.AGGREGATE(15,3,(Windows!$H$1:$H$199=1)/(Windows!$H$1:$H$199=1)*ROW(Windows!$H$1:$H$199),ROWS($B$137:$B147))),"")</f>
        <v/>
      </c>
      <c r="H147" s="388" t="str" cm="1">
        <f t="array" ref="H147">IFERROR(_xlfn.AGGREGATE(15,3,(Windows!$H$1:$H$199=1)/(Windows!$H$1:$H$199=1)*ROW(Windows!$H$1:$H$199),ROWS($B$137:$B147)),"")</f>
        <v/>
      </c>
      <c r="I147" s="388" t="str" cm="1">
        <f t="array" ref="I147">IF(ROWS($B$137:$B147)&lt;=$J$137,ROUND(INDEX(Windows!D:D,H147),1)  &amp; " " &amp; INDEX(Windows!E:E,H147),"")</f>
        <v/>
      </c>
    </row>
    <row r="148" spans="1:10" ht="30.15" customHeight="1" x14ac:dyDescent="0.25">
      <c r="A148" s="204" t="str">
        <f>VLOOKUP("Windows",Setting!$E$6:$H$33,4,FALSE)</f>
        <v>Windows</v>
      </c>
      <c r="B148" s="205" t="str" cm="1">
        <f t="array" ref="B148">IF(ROWS($B$137:$B148)&lt;=$J$137,INDEX(Windows!$R:$R,_xlfn.AGGREGATE(15,3,(Windows!$H$1:$H$199=1)/(Windows!$H$1:$H$199=1)*ROW(Windows!$H$1:$H$199),ROWS($B$137:$B148))),"")</f>
        <v/>
      </c>
      <c r="C148" s="205" t="str" cm="1">
        <f t="array" ref="C148">IF(ROWS($B$137:$B148)&lt;=$J$137,INDEX(Windows!C:C,$H148) &amp; INDEX(Windows!S:S,$H148),"")</f>
        <v/>
      </c>
      <c r="D148" s="206" t="str">
        <f t="shared" si="23"/>
        <v/>
      </c>
      <c r="E148" s="206" t="str" cm="1">
        <f t="array" ref="E148">IF(ROWS($B$137:$B148)&lt;=$J$137,INDEX(Windows!K:K,_xlfn.AGGREGATE(15,3,(Windows!$H$1:$H$199=1)/(Windows!$H$1:$H$199=1)*ROW(Windows!$H$1:$H$199),ROWS($B$137:$B148))),"")</f>
        <v/>
      </c>
      <c r="F148" s="206" t="str" cm="1">
        <f t="array" ref="F148">IF(ROWS($B$137:$B148)&lt;=$J$137,INDEX(Windows!L:L,_xlfn.AGGREGATE(15,3,(Windows!$H$1:$H$199=1)/(Windows!$H$1:$H$199=1)*ROW(Windows!$H$1:$H$199),ROWS($B$137:$B148))),"")</f>
        <v/>
      </c>
      <c r="G148" s="206" t="str" cm="1">
        <f t="array" ref="G148">IF(ROWS($B$137:$B148)&lt;=$J$137,INDEX(Windows!M:M,_xlfn.AGGREGATE(15,3,(Windows!$H$1:$H$199=1)/(Windows!$H$1:$H$199=1)*ROW(Windows!$H$1:$H$199),ROWS($B$137:$B148))),"")</f>
        <v/>
      </c>
      <c r="H148" s="388" t="str" cm="1">
        <f t="array" ref="H148">IFERROR(_xlfn.AGGREGATE(15,3,(Windows!$H$1:$H$199=1)/(Windows!$H$1:$H$199=1)*ROW(Windows!$H$1:$H$199),ROWS($B$137:$B148)),"")</f>
        <v/>
      </c>
      <c r="I148" s="388" t="str" cm="1">
        <f t="array" ref="I148">IF(ROWS($B$137:$B148)&lt;=$J$137,ROUND(INDEX(Windows!D:D,H148),1)  &amp; " " &amp; INDEX(Windows!E:E,H148),"")</f>
        <v/>
      </c>
    </row>
    <row r="149" spans="1:10" ht="30.15" customHeight="1" x14ac:dyDescent="0.25">
      <c r="A149" s="204" t="str">
        <f>VLOOKUP("Windows",Setting!$E$6:$H$33,4,FALSE)</f>
        <v>Windows</v>
      </c>
      <c r="B149" s="205" t="str" cm="1">
        <f t="array" ref="B149">IF(ROWS($B$137:$B149)&lt;=$J$137,INDEX(Windows!$R:$R,_xlfn.AGGREGATE(15,3,(Windows!$H$1:$H$199=1)/(Windows!$H$1:$H$199=1)*ROW(Windows!$H$1:$H$199),ROWS($B$137:$B149))),"")</f>
        <v/>
      </c>
      <c r="C149" s="205" t="str" cm="1">
        <f t="array" ref="C149">IF(ROWS($B$137:$B149)&lt;=$J$137,INDEX(Windows!C:C,$H149) &amp; INDEX(Windows!S:S,$H149),"")</f>
        <v/>
      </c>
      <c r="D149" s="206" t="str">
        <f t="shared" si="23"/>
        <v/>
      </c>
      <c r="E149" s="206" t="str" cm="1">
        <f t="array" ref="E149">IF(ROWS($B$137:$B149)&lt;=$J$137,INDEX(Windows!K:K,_xlfn.AGGREGATE(15,3,(Windows!$H$1:$H$199=1)/(Windows!$H$1:$H$199=1)*ROW(Windows!$H$1:$H$199),ROWS($B$137:$B149))),"")</f>
        <v/>
      </c>
      <c r="F149" s="206" t="str" cm="1">
        <f t="array" ref="F149">IF(ROWS($B$137:$B149)&lt;=$J$137,INDEX(Windows!L:L,_xlfn.AGGREGATE(15,3,(Windows!$H$1:$H$199=1)/(Windows!$H$1:$H$199=1)*ROW(Windows!$H$1:$H$199),ROWS($B$137:$B149))),"")</f>
        <v/>
      </c>
      <c r="G149" s="206" t="str" cm="1">
        <f t="array" ref="G149">IF(ROWS($B$137:$B149)&lt;=$J$137,INDEX(Windows!M:M,_xlfn.AGGREGATE(15,3,(Windows!$H$1:$H$199=1)/(Windows!$H$1:$H$199=1)*ROW(Windows!$H$1:$H$199),ROWS($B$137:$B149))),"")</f>
        <v/>
      </c>
      <c r="H149" s="388" t="str" cm="1">
        <f t="array" ref="H149">IFERROR(_xlfn.AGGREGATE(15,3,(Windows!$H$1:$H$199=1)/(Windows!$H$1:$H$199=1)*ROW(Windows!$H$1:$H$199),ROWS($B$137:$B149)),"")</f>
        <v/>
      </c>
      <c r="I149" s="388" t="str" cm="1">
        <f t="array" ref="I149">IF(ROWS($B$137:$B149)&lt;=$J$137,ROUND(INDEX(Windows!D:D,H149),1)  &amp; " " &amp; INDEX(Windows!E:E,H149),"")</f>
        <v/>
      </c>
    </row>
    <row r="150" spans="1:10" ht="30.15" customHeight="1" x14ac:dyDescent="0.25">
      <c r="A150" s="204" t="str">
        <f>VLOOKUP("Windows",Setting!$E$6:$H$33,4,FALSE)</f>
        <v>Windows</v>
      </c>
      <c r="B150" s="205" t="str" cm="1">
        <f t="array" ref="B150">IF(ROWS($B$137:$B150)&lt;=$J$137,INDEX(Windows!$R:$R,_xlfn.AGGREGATE(15,3,(Windows!$H$1:$H$199=1)/(Windows!$H$1:$H$199=1)*ROW(Windows!$H$1:$H$199),ROWS($B$137:$B150))),"")</f>
        <v/>
      </c>
      <c r="C150" s="205" t="str" cm="1">
        <f t="array" ref="C150">IF(ROWS($B$137:$B150)&lt;=$J$137,INDEX(Windows!C:C,$H150) &amp; INDEX(Windows!S:S,$H150),"")</f>
        <v/>
      </c>
      <c r="D150" s="206" t="str">
        <f t="shared" si="23"/>
        <v/>
      </c>
      <c r="E150" s="206" t="str" cm="1">
        <f t="array" ref="E150">IF(ROWS($B$137:$B150)&lt;=$J$137,INDEX(Windows!K:K,_xlfn.AGGREGATE(15,3,(Windows!$H$1:$H$199=1)/(Windows!$H$1:$H$199=1)*ROW(Windows!$H$1:$H$199),ROWS($B$137:$B150))),"")</f>
        <v/>
      </c>
      <c r="F150" s="206" t="str" cm="1">
        <f t="array" ref="F150">IF(ROWS($B$137:$B150)&lt;=$J$137,INDEX(Windows!L:L,_xlfn.AGGREGATE(15,3,(Windows!$H$1:$H$199=1)/(Windows!$H$1:$H$199=1)*ROW(Windows!$H$1:$H$199),ROWS($B$137:$B150))),"")</f>
        <v/>
      </c>
      <c r="G150" s="206" t="str" cm="1">
        <f t="array" ref="G150">IF(ROWS($B$137:$B150)&lt;=$J$137,INDEX(Windows!M:M,_xlfn.AGGREGATE(15,3,(Windows!$H$1:$H$199=1)/(Windows!$H$1:$H$199=1)*ROW(Windows!$H$1:$H$199),ROWS($B$137:$B150))),"")</f>
        <v/>
      </c>
      <c r="H150" s="388" t="str" cm="1">
        <f t="array" ref="H150">IFERROR(_xlfn.AGGREGATE(15,3,(Windows!$H$1:$H$199=1)/(Windows!$H$1:$H$199=1)*ROW(Windows!$H$1:$H$199),ROWS($B$137:$B150)),"")</f>
        <v/>
      </c>
      <c r="I150" s="388" t="str" cm="1">
        <f t="array" ref="I150">IF(ROWS($B$137:$B150)&lt;=$J$137,ROUND(INDEX(Windows!D:D,H150),1)  &amp; " " &amp; INDEX(Windows!E:E,H150),"")</f>
        <v/>
      </c>
    </row>
    <row r="151" spans="1:10" ht="30.15" customHeight="1" x14ac:dyDescent="0.25">
      <c r="A151" s="204" t="str">
        <f>VLOOKUP("Int. Walls",Setting!$E$6:$H$33,4,FALSE)</f>
        <v>Int. Walls</v>
      </c>
      <c r="B151" s="205" t="str" cm="1">
        <f t="array" ref="B151">IF(ROWS($B$151:$B151)&lt;=$J$151,INDEX('Int. Walls'!$R:$R,_xlfn.AGGREGATE(15,3,('Int. Walls'!$H$1:$H$252=1)/('Int. Walls'!$H$1:$H$252=1)*ROW('Int. Walls'!$H$1:$H$252),ROWS($B$151:$B151))),"")</f>
        <v/>
      </c>
      <c r="C151" s="205" t="str" cm="1">
        <f t="array" ref="C151">IF(ROWS($B$151:$B151)&lt;=$J$151,INDEX('Int. Walls'!C:C,$H151) &amp; INDEX('Int. Walls'!S:S,$H151),"")</f>
        <v/>
      </c>
      <c r="D151" s="206" t="str">
        <f t="shared" si="23"/>
        <v/>
      </c>
      <c r="E151" s="206" t="str" cm="1">
        <f t="array" ref="E151">IF(ROWS($B$151:$B151)&lt;=$J$151,INDEX('Int. Walls'!K:K,_xlfn.AGGREGATE(15,3,('Int. Walls'!$H$1:$H$252=1)/('Int. Walls'!$H$1:$H$252=1)*ROW('Int. Walls'!$H$1:$H$252),ROWS($B$151:$B151))),"")</f>
        <v/>
      </c>
      <c r="F151" s="206" t="str" cm="1">
        <f t="array" ref="F151">IF(ROWS($B$151:$B151)&lt;=$J$151,INDEX('Int. Walls'!L:L,_xlfn.AGGREGATE(15,3,('Int. Walls'!$H$1:$H$252=1)/('Int. Walls'!$H$1:$H$252=1)*ROW('Int. Walls'!$H$1:$H$252),ROWS($B$151:$B151))),"")</f>
        <v/>
      </c>
      <c r="G151" s="206" t="str" cm="1">
        <f t="array" ref="G151">IF(ROWS($B$151:$B151)&lt;=$J$151,INDEX('Int. Walls'!M:M,_xlfn.AGGREGATE(15,3,('Int. Walls'!$H$1:$H$252=1)/('Int. Walls'!$H$1:$H$252=1)*ROW('Int. Walls'!$H$1:$H$252),ROWS($B$151:$B151))),"")</f>
        <v/>
      </c>
      <c r="H151" s="388" t="str" cm="1">
        <f t="array" ref="H151">IFERROR(_xlfn.AGGREGATE(15,3,('Int. Walls'!$H$1:$H$252=1)/('Int. Walls'!$H$1:$H$252=1)*ROW('Int. Walls'!$H$1:$H$252),ROWS($B$151:$B151)),"")</f>
        <v/>
      </c>
      <c r="I151" s="388" t="str" cm="1">
        <f t="array" ref="I151">IF(ROWS($B$151:$B151)&lt;=$J$151,ROUND(INDEX('Int. Walls'!D:D,H151),1)  &amp; " " &amp; INDEX('Int. Walls'!E:E,H151),"")</f>
        <v/>
      </c>
      <c r="J151" s="207">
        <f>COUNTIF('Int. Walls'!$H$1:$H$517,1)</f>
        <v>0</v>
      </c>
    </row>
    <row r="152" spans="1:10" ht="30.15" customHeight="1" x14ac:dyDescent="0.25">
      <c r="A152" s="204" t="str">
        <f>VLOOKUP("Int. Walls",Setting!$E$6:$H$33,4,FALSE)</f>
        <v>Int. Walls</v>
      </c>
      <c r="B152" s="205" t="str" cm="1">
        <f t="array" ref="B152">IF(ROWS($B$151:$B152)&lt;=$J$151,INDEX('Int. Walls'!$R:$R,_xlfn.AGGREGATE(15,3,('Int. Walls'!$H$1:$H$252=1)/('Int. Walls'!$H$1:$H$252=1)*ROW('Int. Walls'!$H$1:$H$252),ROWS($B$151:$B152))),"")</f>
        <v/>
      </c>
      <c r="C152" s="205" t="str" cm="1">
        <f t="array" ref="C152">IF(ROWS($B$151:$B152)&lt;=$J$151,INDEX('Int. Walls'!C:C,$H152) &amp; INDEX('Int. Walls'!S:S,$H152),"")</f>
        <v/>
      </c>
      <c r="D152" s="206" t="str">
        <f t="shared" ref="D152:D160" si="24">IFERROR(E152-F152,"")</f>
        <v/>
      </c>
      <c r="E152" s="206" t="str" cm="1">
        <f t="array" ref="E152">IF(ROWS($B$151:$B152)&lt;=$J$151,INDEX('Int. Walls'!K:K,_xlfn.AGGREGATE(15,3,('Int. Walls'!$H$1:$H$252=1)/('Int. Walls'!$H$1:$H$252=1)*ROW('Int. Walls'!$H$1:$H$252),ROWS($B$151:$B152))),"")</f>
        <v/>
      </c>
      <c r="F152" s="206" t="str" cm="1">
        <f t="array" ref="F152">IF(ROWS($B$151:$B152)&lt;=$J$151,INDEX('Int. Walls'!L:L,_xlfn.AGGREGATE(15,3,('Int. Walls'!$H$1:$H$252=1)/('Int. Walls'!$H$1:$H$252=1)*ROW('Int. Walls'!$H$1:$H$252),ROWS($B$151:$B152))),"")</f>
        <v/>
      </c>
      <c r="G152" s="206" t="str" cm="1">
        <f t="array" ref="G152">IF(ROWS($B$151:$B152)&lt;=$J$151,INDEX('Int. Walls'!M:M,_xlfn.AGGREGATE(15,3,('Int. Walls'!$H$1:$H$252=1)/('Int. Walls'!$H$1:$H$252=1)*ROW('Int. Walls'!$H$1:$H$252),ROWS($B$151:$B152))),"")</f>
        <v/>
      </c>
      <c r="H152" s="388" t="str" cm="1">
        <f t="array" ref="H152">IFERROR(_xlfn.AGGREGATE(15,3,('Int. Walls'!$H$1:$H$252=1)/('Int. Walls'!$H$1:$H$252=1)*ROW('Int. Walls'!$H$1:$H$252),ROWS($B$151:$B152)),"")</f>
        <v/>
      </c>
      <c r="I152" s="388" t="str" cm="1">
        <f t="array" ref="I152">IF(ROWS($B$151:$B152)&lt;=$J$151,ROUND(INDEX('Int. Walls'!D:D,H152),1)  &amp; " " &amp; INDEX('Int. Walls'!E:E,H152),"")</f>
        <v/>
      </c>
    </row>
    <row r="153" spans="1:10" ht="30.15" customHeight="1" x14ac:dyDescent="0.25">
      <c r="A153" s="204" t="str">
        <f>VLOOKUP("Int. Walls",Setting!$E$6:$H$33,4,FALSE)</f>
        <v>Int. Walls</v>
      </c>
      <c r="B153" s="205" t="str" cm="1">
        <f t="array" ref="B153">IF(ROWS($B$151:$B153)&lt;=$J$151,INDEX('Int. Walls'!$R:$R,_xlfn.AGGREGATE(15,3,('Int. Walls'!$H$1:$H$252=1)/('Int. Walls'!$H$1:$H$252=1)*ROW('Int. Walls'!$H$1:$H$252),ROWS($B$151:$B153))),"")</f>
        <v/>
      </c>
      <c r="C153" s="205" t="str" cm="1">
        <f t="array" ref="C153">IF(ROWS($B$151:$B153)&lt;=$J$151,INDEX('Int. Walls'!C:C,$H153) &amp; INDEX('Int. Walls'!S:S,$H153),"")</f>
        <v/>
      </c>
      <c r="D153" s="206" t="str">
        <f t="shared" si="24"/>
        <v/>
      </c>
      <c r="E153" s="206" t="str" cm="1">
        <f t="array" ref="E153">IF(ROWS($B$151:$B153)&lt;=$J$151,INDEX('Int. Walls'!K:K,_xlfn.AGGREGATE(15,3,('Int. Walls'!$H$1:$H$252=1)/('Int. Walls'!$H$1:$H$252=1)*ROW('Int. Walls'!$H$1:$H$252),ROWS($B$151:$B153))),"")</f>
        <v/>
      </c>
      <c r="F153" s="206" t="str" cm="1">
        <f t="array" ref="F153">IF(ROWS($B$151:$B153)&lt;=$J$151,INDEX('Int. Walls'!L:L,_xlfn.AGGREGATE(15,3,('Int. Walls'!$H$1:$H$252=1)/('Int. Walls'!$H$1:$H$252=1)*ROW('Int. Walls'!$H$1:$H$252),ROWS($B$151:$B153))),"")</f>
        <v/>
      </c>
      <c r="G153" s="206" t="str" cm="1">
        <f t="array" ref="G153">IF(ROWS($B$151:$B153)&lt;=$J$151,INDEX('Int. Walls'!M:M,_xlfn.AGGREGATE(15,3,('Int. Walls'!$H$1:$H$252=1)/('Int. Walls'!$H$1:$H$252=1)*ROW('Int. Walls'!$H$1:$H$252),ROWS($B$151:$B153))),"")</f>
        <v/>
      </c>
      <c r="H153" s="388" t="str" cm="1">
        <f t="array" ref="H153">IFERROR(_xlfn.AGGREGATE(15,3,('Int. Walls'!$H$1:$H$252=1)/('Int. Walls'!$H$1:$H$252=1)*ROW('Int. Walls'!$H$1:$H$252),ROWS($B$151:$B153)),"")</f>
        <v/>
      </c>
      <c r="I153" s="388" t="str" cm="1">
        <f t="array" ref="I153">IF(ROWS($B$151:$B153)&lt;=$J$151,ROUND(INDEX('Int. Walls'!D:D,H153),1)  &amp; " " &amp; INDEX('Int. Walls'!E:E,H153),"")</f>
        <v/>
      </c>
    </row>
    <row r="154" spans="1:10" ht="30.15" customHeight="1" x14ac:dyDescent="0.25">
      <c r="A154" s="204" t="str">
        <f>VLOOKUP("Int. Walls",Setting!$E$6:$H$33,4,FALSE)</f>
        <v>Int. Walls</v>
      </c>
      <c r="B154" s="205" t="str" cm="1">
        <f t="array" ref="B154">IF(ROWS($B$151:$B154)&lt;=$J$151,INDEX('Int. Walls'!$R:$R,_xlfn.AGGREGATE(15,3,('Int. Walls'!$H$1:$H$252=1)/('Int. Walls'!$H$1:$H$252=1)*ROW('Int. Walls'!$H$1:$H$252),ROWS($B$151:$B154))),"")</f>
        <v/>
      </c>
      <c r="C154" s="205" t="str" cm="1">
        <f t="array" ref="C154">IF(ROWS($B$151:$B154)&lt;=$J$151,INDEX('Int. Walls'!C:C,$H154) &amp; INDEX('Int. Walls'!S:S,$H154),"")</f>
        <v/>
      </c>
      <c r="D154" s="206" t="str">
        <f t="shared" si="24"/>
        <v/>
      </c>
      <c r="E154" s="206" t="str" cm="1">
        <f t="array" ref="E154">IF(ROWS($B$151:$B154)&lt;=$J$151,INDEX('Int. Walls'!K:K,_xlfn.AGGREGATE(15,3,('Int. Walls'!$H$1:$H$252=1)/('Int. Walls'!$H$1:$H$252=1)*ROW('Int. Walls'!$H$1:$H$252),ROWS($B$151:$B154))),"")</f>
        <v/>
      </c>
      <c r="F154" s="206" t="str" cm="1">
        <f t="array" ref="F154">IF(ROWS($B$151:$B154)&lt;=$J$151,INDEX('Int. Walls'!L:L,_xlfn.AGGREGATE(15,3,('Int. Walls'!$H$1:$H$252=1)/('Int. Walls'!$H$1:$H$252=1)*ROW('Int. Walls'!$H$1:$H$252),ROWS($B$151:$B154))),"")</f>
        <v/>
      </c>
      <c r="G154" s="206" t="str" cm="1">
        <f t="array" ref="G154">IF(ROWS($B$151:$B154)&lt;=$J$151,INDEX('Int. Walls'!M:M,_xlfn.AGGREGATE(15,3,('Int. Walls'!$H$1:$H$252=1)/('Int. Walls'!$H$1:$H$252=1)*ROW('Int. Walls'!$H$1:$H$252),ROWS($B$151:$B154))),"")</f>
        <v/>
      </c>
      <c r="H154" s="388" t="str" cm="1">
        <f t="array" ref="H154">IFERROR(_xlfn.AGGREGATE(15,3,('Int. Walls'!$H$1:$H$252=1)/('Int. Walls'!$H$1:$H$252=1)*ROW('Int. Walls'!$H$1:$H$252),ROWS($B$151:$B154)),"")</f>
        <v/>
      </c>
      <c r="I154" s="388" t="str" cm="1">
        <f t="array" ref="I154">IF(ROWS($B$151:$B154)&lt;=$J$151,ROUND(INDEX('Int. Walls'!D:D,H154),1)  &amp; " " &amp; INDEX('Int. Walls'!E:E,H154),"")</f>
        <v/>
      </c>
    </row>
    <row r="155" spans="1:10" ht="30.15" customHeight="1" x14ac:dyDescent="0.25">
      <c r="A155" s="204" t="str">
        <f>VLOOKUP("Int. Walls",Setting!$E$6:$H$33,4,FALSE)</f>
        <v>Int. Walls</v>
      </c>
      <c r="B155" s="205" t="str" cm="1">
        <f t="array" ref="B155">IF(ROWS($B$151:$B155)&lt;=$J$151,INDEX('Int. Walls'!$R:$R,_xlfn.AGGREGATE(15,3,('Int. Walls'!$H$1:$H$252=1)/('Int. Walls'!$H$1:$H$252=1)*ROW('Int. Walls'!$H$1:$H$252),ROWS($B$151:$B155))),"")</f>
        <v/>
      </c>
      <c r="C155" s="205" t="str" cm="1">
        <f t="array" ref="C155">IF(ROWS($B$151:$B155)&lt;=$J$151,INDEX('Int. Walls'!C:C,$H155) &amp; INDEX('Int. Walls'!S:S,$H155),"")</f>
        <v/>
      </c>
      <c r="D155" s="206" t="str">
        <f t="shared" si="24"/>
        <v/>
      </c>
      <c r="E155" s="206" t="str" cm="1">
        <f t="array" ref="E155">IF(ROWS($B$151:$B155)&lt;=$J$151,INDEX('Int. Walls'!K:K,_xlfn.AGGREGATE(15,3,('Int. Walls'!$H$1:$H$252=1)/('Int. Walls'!$H$1:$H$252=1)*ROW('Int. Walls'!$H$1:$H$252),ROWS($B$151:$B155))),"")</f>
        <v/>
      </c>
      <c r="F155" s="206" t="str" cm="1">
        <f t="array" ref="F155">IF(ROWS($B$151:$B155)&lt;=$J$151,INDEX('Int. Walls'!L:L,_xlfn.AGGREGATE(15,3,('Int. Walls'!$H$1:$H$252=1)/('Int. Walls'!$H$1:$H$252=1)*ROW('Int. Walls'!$H$1:$H$252),ROWS($B$151:$B155))),"")</f>
        <v/>
      </c>
      <c r="G155" s="206" t="str" cm="1">
        <f t="array" ref="G155">IF(ROWS($B$151:$B155)&lt;=$J$151,INDEX('Int. Walls'!M:M,_xlfn.AGGREGATE(15,3,('Int. Walls'!$H$1:$H$252=1)/('Int. Walls'!$H$1:$H$252=1)*ROW('Int. Walls'!$H$1:$H$252),ROWS($B$151:$B155))),"")</f>
        <v/>
      </c>
      <c r="H155" s="388" t="str" cm="1">
        <f t="array" ref="H155">IFERROR(_xlfn.AGGREGATE(15,3,('Int. Walls'!$H$1:$H$252=1)/('Int. Walls'!$H$1:$H$252=1)*ROW('Int. Walls'!$H$1:$H$252),ROWS($B$151:$B155)),"")</f>
        <v/>
      </c>
      <c r="I155" s="388" t="str" cm="1">
        <f t="array" ref="I155">IF(ROWS($B$151:$B155)&lt;=$J$151,ROUND(INDEX('Int. Walls'!D:D,H155),1)  &amp; " " &amp; INDEX('Int. Walls'!E:E,H155),"")</f>
        <v/>
      </c>
    </row>
    <row r="156" spans="1:10" ht="30.15" customHeight="1" x14ac:dyDescent="0.25">
      <c r="A156" s="204" t="str">
        <f>VLOOKUP("Int. Walls",Setting!$E$6:$H$33,4,FALSE)</f>
        <v>Int. Walls</v>
      </c>
      <c r="B156" s="205" t="str" cm="1">
        <f t="array" ref="B156">IF(ROWS($B$151:$B156)&lt;=$J$151,INDEX('Int. Walls'!$R:$R,_xlfn.AGGREGATE(15,3,('Int. Walls'!$H$1:$H$252=1)/('Int. Walls'!$H$1:$H$252=1)*ROW('Int. Walls'!$H$1:$H$252),ROWS($B$151:$B156))),"")</f>
        <v/>
      </c>
      <c r="C156" s="205" t="str" cm="1">
        <f t="array" ref="C156">IF(ROWS($B$151:$B156)&lt;=$J$151,INDEX('Int. Walls'!C:C,$H156) &amp; INDEX('Int. Walls'!S:S,$H156),"")</f>
        <v/>
      </c>
      <c r="D156" s="206" t="str">
        <f t="shared" si="24"/>
        <v/>
      </c>
      <c r="E156" s="206" t="str" cm="1">
        <f t="array" ref="E156">IF(ROWS($B$151:$B156)&lt;=$J$151,INDEX('Int. Walls'!K:K,_xlfn.AGGREGATE(15,3,('Int. Walls'!$H$1:$H$252=1)/('Int. Walls'!$H$1:$H$252=1)*ROW('Int. Walls'!$H$1:$H$252),ROWS($B$151:$B156))),"")</f>
        <v/>
      </c>
      <c r="F156" s="206" t="str" cm="1">
        <f t="array" ref="F156">IF(ROWS($B$151:$B156)&lt;=$J$151,INDEX('Int. Walls'!L:L,_xlfn.AGGREGATE(15,3,('Int. Walls'!$H$1:$H$252=1)/('Int. Walls'!$H$1:$H$252=1)*ROW('Int. Walls'!$H$1:$H$252),ROWS($B$151:$B156))),"")</f>
        <v/>
      </c>
      <c r="G156" s="206" t="str" cm="1">
        <f t="array" ref="G156">IF(ROWS($B$151:$B156)&lt;=$J$151,INDEX('Int. Walls'!M:M,_xlfn.AGGREGATE(15,3,('Int. Walls'!$H$1:$H$252=1)/('Int. Walls'!$H$1:$H$252=1)*ROW('Int. Walls'!$H$1:$H$252),ROWS($B$151:$B156))),"")</f>
        <v/>
      </c>
      <c r="H156" s="388" t="str" cm="1">
        <f t="array" ref="H156">IFERROR(_xlfn.AGGREGATE(15,3,('Int. Walls'!$H$1:$H$252=1)/('Int. Walls'!$H$1:$H$252=1)*ROW('Int. Walls'!$H$1:$H$252),ROWS($B$151:$B156)),"")</f>
        <v/>
      </c>
      <c r="I156" s="388" t="str" cm="1">
        <f t="array" ref="I156">IF(ROWS($B$151:$B156)&lt;=$J$151,ROUND(INDEX('Int. Walls'!D:D,H156),1)  &amp; " " &amp; INDEX('Int. Walls'!E:E,H156),"")</f>
        <v/>
      </c>
    </row>
    <row r="157" spans="1:10" ht="30.15" customHeight="1" x14ac:dyDescent="0.25">
      <c r="A157" s="204" t="str">
        <f>VLOOKUP("Int. Walls",Setting!$E$6:$H$33,4,FALSE)</f>
        <v>Int. Walls</v>
      </c>
      <c r="B157" s="205" t="str" cm="1">
        <f t="array" ref="B157">IF(ROWS($B$151:$B157)&lt;=$J$151,INDEX('Int. Walls'!$R:$R,_xlfn.AGGREGATE(15,3,('Int. Walls'!$H$1:$H$252=1)/('Int. Walls'!$H$1:$H$252=1)*ROW('Int. Walls'!$H$1:$H$252),ROWS($B$151:$B157))),"")</f>
        <v/>
      </c>
      <c r="C157" s="205" t="str" cm="1">
        <f t="array" ref="C157">IF(ROWS($B$151:$B157)&lt;=$J$151,INDEX('Int. Walls'!C:C,$H157) &amp; INDEX('Int. Walls'!S:S,$H157),"")</f>
        <v/>
      </c>
      <c r="D157" s="206" t="str">
        <f t="shared" si="24"/>
        <v/>
      </c>
      <c r="E157" s="206" t="str" cm="1">
        <f t="array" ref="E157">IF(ROWS($B$151:$B157)&lt;=$J$151,INDEX('Int. Walls'!K:K,_xlfn.AGGREGATE(15,3,('Int. Walls'!$H$1:$H$252=1)/('Int. Walls'!$H$1:$H$252=1)*ROW('Int. Walls'!$H$1:$H$252),ROWS($B$151:$B157))),"")</f>
        <v/>
      </c>
      <c r="F157" s="206" t="str" cm="1">
        <f t="array" ref="F157">IF(ROWS($B$151:$B157)&lt;=$J$151,INDEX('Int. Walls'!L:L,_xlfn.AGGREGATE(15,3,('Int. Walls'!$H$1:$H$252=1)/('Int. Walls'!$H$1:$H$252=1)*ROW('Int. Walls'!$H$1:$H$252),ROWS($B$151:$B157))),"")</f>
        <v/>
      </c>
      <c r="G157" s="206" t="str" cm="1">
        <f t="array" ref="G157">IF(ROWS($B$151:$B157)&lt;=$J$151,INDEX('Int. Walls'!M:M,_xlfn.AGGREGATE(15,3,('Int. Walls'!$H$1:$H$252=1)/('Int. Walls'!$H$1:$H$252=1)*ROW('Int. Walls'!$H$1:$H$252),ROWS($B$151:$B157))),"")</f>
        <v/>
      </c>
      <c r="H157" s="388" t="str" cm="1">
        <f t="array" ref="H157">IFERROR(_xlfn.AGGREGATE(15,3,('Int. Walls'!$H$1:$H$252=1)/('Int. Walls'!$H$1:$H$252=1)*ROW('Int. Walls'!$H$1:$H$252),ROWS($B$151:$B157)),"")</f>
        <v/>
      </c>
      <c r="I157" s="388" t="str" cm="1">
        <f t="array" ref="I157">IF(ROWS($B$151:$B157)&lt;=$J$151,ROUND(INDEX('Int. Walls'!D:D,H157),1)  &amp; " " &amp; INDEX('Int. Walls'!E:E,H157),"")</f>
        <v/>
      </c>
    </row>
    <row r="158" spans="1:10" ht="30.15" customHeight="1" x14ac:dyDescent="0.25">
      <c r="A158" s="204" t="str">
        <f>VLOOKUP("Int. Walls",Setting!$E$6:$H$33,4,FALSE)</f>
        <v>Int. Walls</v>
      </c>
      <c r="B158" s="205" t="str" cm="1">
        <f t="array" ref="B158">IF(ROWS($B$151:$B158)&lt;=$J$151,INDEX('Int. Walls'!$R:$R,_xlfn.AGGREGATE(15,3,('Int. Walls'!$H$1:$H$252=1)/('Int. Walls'!$H$1:$H$252=1)*ROW('Int. Walls'!$H$1:$H$252),ROWS($B$151:$B158))),"")</f>
        <v/>
      </c>
      <c r="C158" s="205" t="str" cm="1">
        <f t="array" ref="C158">IF(ROWS($B$151:$B158)&lt;=$J$151,INDEX('Int. Walls'!C:C,$H158) &amp; INDEX('Int. Walls'!S:S,$H158),"")</f>
        <v/>
      </c>
      <c r="D158" s="206" t="str">
        <f t="shared" si="24"/>
        <v/>
      </c>
      <c r="E158" s="206" t="str" cm="1">
        <f t="array" ref="E158">IF(ROWS($B$151:$B158)&lt;=$J$151,INDEX('Int. Walls'!K:K,_xlfn.AGGREGATE(15,3,('Int. Walls'!$H$1:$H$252=1)/('Int. Walls'!$H$1:$H$252=1)*ROW('Int. Walls'!$H$1:$H$252),ROWS($B$151:$B158))),"")</f>
        <v/>
      </c>
      <c r="F158" s="206" t="str" cm="1">
        <f t="array" ref="F158">IF(ROWS($B$151:$B158)&lt;=$J$151,INDEX('Int. Walls'!L:L,_xlfn.AGGREGATE(15,3,('Int. Walls'!$H$1:$H$252=1)/('Int. Walls'!$H$1:$H$252=1)*ROW('Int. Walls'!$H$1:$H$252),ROWS($B$151:$B158))),"")</f>
        <v/>
      </c>
      <c r="G158" s="206" t="str" cm="1">
        <f t="array" ref="G158">IF(ROWS($B$151:$B158)&lt;=$J$151,INDEX('Int. Walls'!M:M,_xlfn.AGGREGATE(15,3,('Int. Walls'!$H$1:$H$252=1)/('Int. Walls'!$H$1:$H$252=1)*ROW('Int. Walls'!$H$1:$H$252),ROWS($B$151:$B158))),"")</f>
        <v/>
      </c>
      <c r="H158" s="388" t="str" cm="1">
        <f t="array" ref="H158">IFERROR(_xlfn.AGGREGATE(15,3,('Int. Walls'!$H$1:$H$252=1)/('Int. Walls'!$H$1:$H$252=1)*ROW('Int. Walls'!$H$1:$H$252),ROWS($B$151:$B158)),"")</f>
        <v/>
      </c>
      <c r="I158" s="388" t="str" cm="1">
        <f t="array" ref="I158">IF(ROWS($B$151:$B158)&lt;=$J$151,ROUND(INDEX('Int. Walls'!D:D,H158),1)  &amp; " " &amp; INDEX('Int. Walls'!E:E,H158),"")</f>
        <v/>
      </c>
    </row>
    <row r="159" spans="1:10" ht="30.15" customHeight="1" x14ac:dyDescent="0.25">
      <c r="A159" s="204" t="str">
        <f>VLOOKUP("Int. Walls",Setting!$E$6:$H$33,4,FALSE)</f>
        <v>Int. Walls</v>
      </c>
      <c r="B159" s="205" t="str" cm="1">
        <f t="array" ref="B159">IF(ROWS($B$151:$B159)&lt;=$J$151,INDEX('Int. Walls'!$R:$R,_xlfn.AGGREGATE(15,3,('Int. Walls'!$H$1:$H$252=1)/('Int. Walls'!$H$1:$H$252=1)*ROW('Int. Walls'!$H$1:$H$252),ROWS($B$151:$B159))),"")</f>
        <v/>
      </c>
      <c r="C159" s="205" t="str" cm="1">
        <f t="array" ref="C159">IF(ROWS($B$151:$B159)&lt;=$J$151,INDEX('Int. Walls'!C:C,$H159) &amp; INDEX('Int. Walls'!S:S,$H159),"")</f>
        <v/>
      </c>
      <c r="D159" s="206" t="str">
        <f t="shared" si="24"/>
        <v/>
      </c>
      <c r="E159" s="206" t="str" cm="1">
        <f t="array" ref="E159">IF(ROWS($B$151:$B159)&lt;=$J$151,INDEX('Int. Walls'!K:K,_xlfn.AGGREGATE(15,3,('Int. Walls'!$H$1:$H$252=1)/('Int. Walls'!$H$1:$H$252=1)*ROW('Int. Walls'!$H$1:$H$252),ROWS($B$151:$B159))),"")</f>
        <v/>
      </c>
      <c r="F159" s="206" t="str" cm="1">
        <f t="array" ref="F159">IF(ROWS($B$151:$B159)&lt;=$J$151,INDEX('Int. Walls'!L:L,_xlfn.AGGREGATE(15,3,('Int. Walls'!$H$1:$H$252=1)/('Int. Walls'!$H$1:$H$252=1)*ROW('Int. Walls'!$H$1:$H$252),ROWS($B$151:$B159))),"")</f>
        <v/>
      </c>
      <c r="G159" s="206" t="str" cm="1">
        <f t="array" ref="G159">IF(ROWS($B$151:$B159)&lt;=$J$151,INDEX('Int. Walls'!M:M,_xlfn.AGGREGATE(15,3,('Int. Walls'!$H$1:$H$252=1)/('Int. Walls'!$H$1:$H$252=1)*ROW('Int. Walls'!$H$1:$H$252),ROWS($B$151:$B159))),"")</f>
        <v/>
      </c>
      <c r="H159" s="388" t="str" cm="1">
        <f t="array" ref="H159">IFERROR(_xlfn.AGGREGATE(15,3,('Int. Walls'!$H$1:$H$252=1)/('Int. Walls'!$H$1:$H$252=1)*ROW('Int. Walls'!$H$1:$H$252),ROWS($B$151:$B159)),"")</f>
        <v/>
      </c>
      <c r="I159" s="388" t="str" cm="1">
        <f t="array" ref="I159">IF(ROWS($B$151:$B159)&lt;=$J$151,ROUND(INDEX('Int. Walls'!D:D,H159),1)  &amp; " " &amp; INDEX('Int. Walls'!E:E,H159),"")</f>
        <v/>
      </c>
    </row>
    <row r="160" spans="1:10" ht="30.15" customHeight="1" x14ac:dyDescent="0.25">
      <c r="A160" s="204" t="str">
        <f>VLOOKUP("Int. Walls",Setting!$E$6:$H$33,4,FALSE)</f>
        <v>Int. Walls</v>
      </c>
      <c r="B160" s="205" t="str" cm="1">
        <f t="array" ref="B160">IF(ROWS($B$151:$B160)&lt;=$J$151,INDEX('Int. Walls'!$R:$R,_xlfn.AGGREGATE(15,3,('Int. Walls'!$H$1:$H$252=1)/('Int. Walls'!$H$1:$H$252=1)*ROW('Int. Walls'!$H$1:$H$252),ROWS($B$151:$B160))),"")</f>
        <v/>
      </c>
      <c r="C160" s="205" t="str" cm="1">
        <f t="array" ref="C160">IF(ROWS($B$151:$B160)&lt;=$J$151,INDEX('Int. Walls'!C:C,$H160) &amp; INDEX('Int. Walls'!S:S,$H160),"")</f>
        <v/>
      </c>
      <c r="D160" s="206" t="str">
        <f t="shared" si="24"/>
        <v/>
      </c>
      <c r="E160" s="206" t="str" cm="1">
        <f t="array" ref="E160">IF(ROWS($B$151:$B160)&lt;=$J$151,INDEX('Int. Walls'!K:K,_xlfn.AGGREGATE(15,3,('Int. Walls'!$H$1:$H$252=1)/('Int. Walls'!$H$1:$H$252=1)*ROW('Int. Walls'!$H$1:$H$252),ROWS($B$151:$B160))),"")</f>
        <v/>
      </c>
      <c r="F160" s="206" t="str" cm="1">
        <f t="array" ref="F160">IF(ROWS($B$151:$B160)&lt;=$J$151,INDEX('Int. Walls'!L:L,_xlfn.AGGREGATE(15,3,('Int. Walls'!$H$1:$H$252=1)/('Int. Walls'!$H$1:$H$252=1)*ROW('Int. Walls'!$H$1:$H$252),ROWS($B$151:$B160))),"")</f>
        <v/>
      </c>
      <c r="G160" s="206" t="str" cm="1">
        <f t="array" ref="G160">IF(ROWS($B$151:$B160)&lt;=$J$151,INDEX('Int. Walls'!M:M,_xlfn.AGGREGATE(15,3,('Int. Walls'!$H$1:$H$252=1)/('Int. Walls'!$H$1:$H$252=1)*ROW('Int. Walls'!$H$1:$H$252),ROWS($B$151:$B160))),"")</f>
        <v/>
      </c>
      <c r="H160" s="388" t="str" cm="1">
        <f t="array" ref="H160">IFERROR(_xlfn.AGGREGATE(15,3,('Int. Walls'!$H$1:$H$252=1)/('Int. Walls'!$H$1:$H$252=1)*ROW('Int. Walls'!$H$1:$H$252),ROWS($B$151:$B160)),"")</f>
        <v/>
      </c>
      <c r="I160" s="388" t="str" cm="1">
        <f t="array" ref="I160">IF(ROWS($B$151:$B160)&lt;=$J$151,ROUND(INDEX('Int. Walls'!D:D,H160),1)  &amp; " " &amp; INDEX('Int. Walls'!E:E,H160),"")</f>
        <v/>
      </c>
    </row>
    <row r="161" spans="1:9" ht="30.15" customHeight="1" x14ac:dyDescent="0.25">
      <c r="A161" s="204" t="str">
        <f>VLOOKUP("Int. Walls",Setting!$E$6:$H$33,4,FALSE)</f>
        <v>Int. Walls</v>
      </c>
      <c r="B161" s="205" t="str" cm="1">
        <f t="array" ref="B161">IF(ROWS($B$151:$B161)&lt;=$J$151,INDEX('Int. Walls'!$R:$R,_xlfn.AGGREGATE(15,3,('Int. Walls'!$H$1:$H$252=1)/('Int. Walls'!$H$1:$H$252=1)*ROW('Int. Walls'!$H$1:$H$252),ROWS($B$151:$B161))),"")</f>
        <v/>
      </c>
      <c r="C161" s="205" t="str" cm="1">
        <f t="array" ref="C161">IF(ROWS($B$151:$B161)&lt;=$J$151,INDEX('Int. Walls'!C:C,$H161) &amp; INDEX('Int. Walls'!S:S,$H161),"")</f>
        <v/>
      </c>
      <c r="D161" s="206" t="str">
        <f t="shared" ref="D161:D177" si="25">IFERROR(E161-F161,"")</f>
        <v/>
      </c>
      <c r="E161" s="206" t="str" cm="1">
        <f t="array" ref="E161">IF(ROWS($B$151:$B161)&lt;=$J$151,INDEX('Int. Walls'!K:K,_xlfn.AGGREGATE(15,3,('Int. Walls'!$H$1:$H$252=1)/('Int. Walls'!$H$1:$H$252=1)*ROW('Int. Walls'!$H$1:$H$252),ROWS($B$151:$B161))),"")</f>
        <v/>
      </c>
      <c r="F161" s="206" t="str" cm="1">
        <f t="array" ref="F161">IF(ROWS($B$151:$B161)&lt;=$J$151,INDEX('Int. Walls'!L:L,_xlfn.AGGREGATE(15,3,('Int. Walls'!$H$1:$H$252=1)/('Int. Walls'!$H$1:$H$252=1)*ROW('Int. Walls'!$H$1:$H$252),ROWS($B$151:$B161))),"")</f>
        <v/>
      </c>
      <c r="G161" s="206" t="str" cm="1">
        <f t="array" ref="G161">IF(ROWS($B$151:$B161)&lt;=$J$151,INDEX('Int. Walls'!M:M,_xlfn.AGGREGATE(15,3,('Int. Walls'!$H$1:$H$252=1)/('Int. Walls'!$H$1:$H$252=1)*ROW('Int. Walls'!$H$1:$H$252),ROWS($B$151:$B161))),"")</f>
        <v/>
      </c>
      <c r="H161" s="388" t="str" cm="1">
        <f t="array" ref="H161">IFERROR(_xlfn.AGGREGATE(15,3,('Int. Walls'!$H$1:$H$252=1)/('Int. Walls'!$H$1:$H$252=1)*ROW('Int. Walls'!$H$1:$H$252),ROWS($B$151:$B161)),"")</f>
        <v/>
      </c>
      <c r="I161" s="388" t="str" cm="1">
        <f t="array" ref="I161">IF(ROWS($B$151:$B161)&lt;=$J$151,ROUND(INDEX('Int. Walls'!D:D,H161),1)  &amp; " " &amp; INDEX('Int. Walls'!E:E,H161),"")</f>
        <v/>
      </c>
    </row>
    <row r="162" spans="1:9" ht="30.15" customHeight="1" x14ac:dyDescent="0.25">
      <c r="A162" s="204" t="str">
        <f>VLOOKUP("Int. Walls",Setting!$E$6:$H$33,4,FALSE)</f>
        <v>Int. Walls</v>
      </c>
      <c r="B162" s="205" t="str" cm="1">
        <f t="array" ref="B162">IF(ROWS($B$151:$B162)&lt;=$J$151,INDEX('Int. Walls'!$R:$R,_xlfn.AGGREGATE(15,3,('Int. Walls'!$H$1:$H$252=1)/('Int. Walls'!$H$1:$H$252=1)*ROW('Int. Walls'!$H$1:$H$252),ROWS($B$151:$B162))),"")</f>
        <v/>
      </c>
      <c r="C162" s="205" t="str" cm="1">
        <f t="array" ref="C162">IF(ROWS($B$151:$B162)&lt;=$J$151,INDEX('Int. Walls'!C:C,$H162) &amp; INDEX('Int. Walls'!S:S,$H162),"")</f>
        <v/>
      </c>
      <c r="D162" s="206" t="str">
        <f t="shared" si="25"/>
        <v/>
      </c>
      <c r="E162" s="206" t="str" cm="1">
        <f t="array" ref="E162">IF(ROWS($B$151:$B162)&lt;=$J$151,INDEX('Int. Walls'!K:K,_xlfn.AGGREGATE(15,3,('Int. Walls'!$H$1:$H$252=1)/('Int. Walls'!$H$1:$H$252=1)*ROW('Int. Walls'!$H$1:$H$252),ROWS($B$151:$B162))),"")</f>
        <v/>
      </c>
      <c r="F162" s="206" t="str" cm="1">
        <f t="array" ref="F162">IF(ROWS($B$151:$B162)&lt;=$J$151,INDEX('Int. Walls'!L:L,_xlfn.AGGREGATE(15,3,('Int. Walls'!$H$1:$H$252=1)/('Int. Walls'!$H$1:$H$252=1)*ROW('Int. Walls'!$H$1:$H$252),ROWS($B$151:$B162))),"")</f>
        <v/>
      </c>
      <c r="G162" s="206" t="str" cm="1">
        <f t="array" ref="G162">IF(ROWS($B$151:$B162)&lt;=$J$151,INDEX('Int. Walls'!M:M,_xlfn.AGGREGATE(15,3,('Int. Walls'!$H$1:$H$252=1)/('Int. Walls'!$H$1:$H$252=1)*ROW('Int. Walls'!$H$1:$H$252),ROWS($B$151:$B162))),"")</f>
        <v/>
      </c>
      <c r="H162" s="388" t="str" cm="1">
        <f t="array" ref="H162">IFERROR(_xlfn.AGGREGATE(15,3,('Int. Walls'!$H$1:$H$252=1)/('Int. Walls'!$H$1:$H$252=1)*ROW('Int. Walls'!$H$1:$H$252),ROWS($B$151:$B162)),"")</f>
        <v/>
      </c>
      <c r="I162" s="388" t="str" cm="1">
        <f t="array" ref="I162">IF(ROWS($B$151:$B162)&lt;=$J$151,ROUND(INDEX('Int. Walls'!D:D,H162),1)  &amp; " " &amp; INDEX('Int. Walls'!E:E,H162),"")</f>
        <v/>
      </c>
    </row>
    <row r="163" spans="1:9" ht="30.15" customHeight="1" x14ac:dyDescent="0.25">
      <c r="A163" s="204" t="str">
        <f>VLOOKUP("Int. Walls",Setting!$E$6:$H$33,4,FALSE)</f>
        <v>Int. Walls</v>
      </c>
      <c r="B163" s="205" t="str" cm="1">
        <f t="array" ref="B163">IF(ROWS($B$151:$B163)&lt;=$J$151,INDEX('Int. Walls'!$R:$R,_xlfn.AGGREGATE(15,3,('Int. Walls'!$H$1:$H$252=1)/('Int. Walls'!$H$1:$H$252=1)*ROW('Int. Walls'!$H$1:$H$252),ROWS($B$151:$B163))),"")</f>
        <v/>
      </c>
      <c r="C163" s="205" t="str" cm="1">
        <f t="array" ref="C163">IF(ROWS($B$151:$B163)&lt;=$J$151,INDEX('Int. Walls'!C:C,$H163) &amp; INDEX('Int. Walls'!S:S,$H163),"")</f>
        <v/>
      </c>
      <c r="D163" s="206" t="str">
        <f t="shared" si="25"/>
        <v/>
      </c>
      <c r="E163" s="206" t="str" cm="1">
        <f t="array" ref="E163">IF(ROWS($B$151:$B163)&lt;=$J$151,INDEX('Int. Walls'!K:K,_xlfn.AGGREGATE(15,3,('Int. Walls'!$H$1:$H$252=1)/('Int. Walls'!$H$1:$H$252=1)*ROW('Int. Walls'!$H$1:$H$252),ROWS($B$151:$B163))),"")</f>
        <v/>
      </c>
      <c r="F163" s="206" t="str" cm="1">
        <f t="array" ref="F163">IF(ROWS($B$151:$B163)&lt;=$J$151,INDEX('Int. Walls'!L:L,_xlfn.AGGREGATE(15,3,('Int. Walls'!$H$1:$H$252=1)/('Int. Walls'!$H$1:$H$252=1)*ROW('Int. Walls'!$H$1:$H$252),ROWS($B$151:$B163))),"")</f>
        <v/>
      </c>
      <c r="G163" s="206" t="str" cm="1">
        <f t="array" ref="G163">IF(ROWS($B$151:$B163)&lt;=$J$151,INDEX('Int. Walls'!M:M,_xlfn.AGGREGATE(15,3,('Int. Walls'!$H$1:$H$252=1)/('Int. Walls'!$H$1:$H$252=1)*ROW('Int. Walls'!$H$1:$H$252),ROWS($B$151:$B163))),"")</f>
        <v/>
      </c>
      <c r="H163" s="388" t="str" cm="1">
        <f t="array" ref="H163">IFERROR(_xlfn.AGGREGATE(15,3,('Int. Walls'!$H$1:$H$252=1)/('Int. Walls'!$H$1:$H$252=1)*ROW('Int. Walls'!$H$1:$H$252),ROWS($B$151:$B163)),"")</f>
        <v/>
      </c>
      <c r="I163" s="388" t="str" cm="1">
        <f t="array" ref="I163">IF(ROWS($B$151:$B163)&lt;=$J$151,ROUND(INDEX('Int. Walls'!D:D,H163),1)  &amp; " " &amp; INDEX('Int. Walls'!E:E,H163),"")</f>
        <v/>
      </c>
    </row>
    <row r="164" spans="1:9" ht="30.15" customHeight="1" x14ac:dyDescent="0.25">
      <c r="A164" s="204" t="str">
        <f>VLOOKUP("Int. Walls",Setting!$E$6:$H$33,4,FALSE)</f>
        <v>Int. Walls</v>
      </c>
      <c r="B164" s="205" t="str" cm="1">
        <f t="array" ref="B164">IF(ROWS($B$151:$B164)&lt;=$J$151,INDEX('Int. Walls'!$R:$R,_xlfn.AGGREGATE(15,3,('Int. Walls'!$H$1:$H$252=1)/('Int. Walls'!$H$1:$H$252=1)*ROW('Int. Walls'!$H$1:$H$252),ROWS($B$151:$B164))),"")</f>
        <v/>
      </c>
      <c r="C164" s="205" t="str" cm="1">
        <f t="array" ref="C164">IF(ROWS($B$151:$B164)&lt;=$J$151,INDEX('Int. Walls'!C:C,$H164) &amp; INDEX('Int. Walls'!S:S,$H164),"")</f>
        <v/>
      </c>
      <c r="D164" s="206" t="str">
        <f t="shared" si="25"/>
        <v/>
      </c>
      <c r="E164" s="206" t="str" cm="1">
        <f t="array" ref="E164">IF(ROWS($B$151:$B164)&lt;=$J$151,INDEX('Int. Walls'!K:K,_xlfn.AGGREGATE(15,3,('Int. Walls'!$H$1:$H$252=1)/('Int. Walls'!$H$1:$H$252=1)*ROW('Int. Walls'!$H$1:$H$252),ROWS($B$151:$B164))),"")</f>
        <v/>
      </c>
      <c r="F164" s="206" t="str" cm="1">
        <f t="array" ref="F164">IF(ROWS($B$151:$B164)&lt;=$J$151,INDEX('Int. Walls'!L:L,_xlfn.AGGREGATE(15,3,('Int. Walls'!$H$1:$H$252=1)/('Int. Walls'!$H$1:$H$252=1)*ROW('Int. Walls'!$H$1:$H$252),ROWS($B$151:$B164))),"")</f>
        <v/>
      </c>
      <c r="G164" s="206" t="str" cm="1">
        <f t="array" ref="G164">IF(ROWS($B$151:$B164)&lt;=$J$151,INDEX('Int. Walls'!M:M,_xlfn.AGGREGATE(15,3,('Int. Walls'!$H$1:$H$252=1)/('Int. Walls'!$H$1:$H$252=1)*ROW('Int. Walls'!$H$1:$H$252),ROWS($B$151:$B164))),"")</f>
        <v/>
      </c>
      <c r="H164" s="388" t="str" cm="1">
        <f t="array" ref="H164">IFERROR(_xlfn.AGGREGATE(15,3,('Int. Walls'!$H$1:$H$252=1)/('Int. Walls'!$H$1:$H$252=1)*ROW('Int. Walls'!$H$1:$H$252),ROWS($B$151:$B164)),"")</f>
        <v/>
      </c>
      <c r="I164" s="388" t="str" cm="1">
        <f t="array" ref="I164">IF(ROWS($B$151:$B164)&lt;=$J$151,ROUND(INDEX('Int. Walls'!D:D,H164),1)  &amp; " " &amp; INDEX('Int. Walls'!E:E,H164),"")</f>
        <v/>
      </c>
    </row>
    <row r="165" spans="1:9" ht="30.15" customHeight="1" x14ac:dyDescent="0.25">
      <c r="A165" s="204" t="str">
        <f>VLOOKUP("Int. Walls",Setting!$E$6:$H$33,4,FALSE)</f>
        <v>Int. Walls</v>
      </c>
      <c r="B165" s="205" t="str" cm="1">
        <f t="array" ref="B165">IF(ROWS($B$151:$B165)&lt;=$J$151,INDEX('Int. Walls'!$R:$R,_xlfn.AGGREGATE(15,3,('Int. Walls'!$H$1:$H$252=1)/('Int. Walls'!$H$1:$H$252=1)*ROW('Int. Walls'!$H$1:$H$252),ROWS($B$151:$B165))),"")</f>
        <v/>
      </c>
      <c r="C165" s="205" t="str" cm="1">
        <f t="array" ref="C165">IF(ROWS($B$151:$B165)&lt;=$J$151,INDEX('Int. Walls'!C:C,$H165) &amp; INDEX('Int. Walls'!S:S,$H165),"")</f>
        <v/>
      </c>
      <c r="D165" s="206" t="str">
        <f t="shared" si="25"/>
        <v/>
      </c>
      <c r="E165" s="206" t="str" cm="1">
        <f t="array" ref="E165">IF(ROWS($B$151:$B165)&lt;=$J$151,INDEX('Int. Walls'!K:K,_xlfn.AGGREGATE(15,3,('Int. Walls'!$H$1:$H$252=1)/('Int. Walls'!$H$1:$H$252=1)*ROW('Int. Walls'!$H$1:$H$252),ROWS($B$151:$B165))),"")</f>
        <v/>
      </c>
      <c r="F165" s="206" t="str" cm="1">
        <f t="array" ref="F165">IF(ROWS($B$151:$B165)&lt;=$J$151,INDEX('Int. Walls'!L:L,_xlfn.AGGREGATE(15,3,('Int. Walls'!$H$1:$H$252=1)/('Int. Walls'!$H$1:$H$252=1)*ROW('Int. Walls'!$H$1:$H$252),ROWS($B$151:$B165))),"")</f>
        <v/>
      </c>
      <c r="G165" s="206" t="str" cm="1">
        <f t="array" ref="G165">IF(ROWS($B$151:$B165)&lt;=$J$151,INDEX('Int. Walls'!M:M,_xlfn.AGGREGATE(15,3,('Int. Walls'!$H$1:$H$252=1)/('Int. Walls'!$H$1:$H$252=1)*ROW('Int. Walls'!$H$1:$H$252),ROWS($B$151:$B165))),"")</f>
        <v/>
      </c>
      <c r="H165" s="388" t="str" cm="1">
        <f t="array" ref="H165">IFERROR(_xlfn.AGGREGATE(15,3,('Int. Walls'!$H$1:$H$252=1)/('Int. Walls'!$H$1:$H$252=1)*ROW('Int. Walls'!$H$1:$H$252),ROWS($B$151:$B165)),"")</f>
        <v/>
      </c>
      <c r="I165" s="388" t="str" cm="1">
        <f t="array" ref="I165">IF(ROWS($B$151:$B165)&lt;=$J$151,ROUND(INDEX('Int. Walls'!D:D,H165),1)  &amp; " " &amp; INDEX('Int. Walls'!E:E,H165),"")</f>
        <v/>
      </c>
    </row>
    <row r="166" spans="1:9" ht="30.15" customHeight="1" x14ac:dyDescent="0.25">
      <c r="A166" s="204" t="str">
        <f>VLOOKUP("Int. Walls",Setting!$E$6:$H$33,4,FALSE)</f>
        <v>Int. Walls</v>
      </c>
      <c r="B166" s="205" t="str" cm="1">
        <f t="array" ref="B166">IF(ROWS($B$151:$B166)&lt;=$J$151,INDEX('Int. Walls'!$R:$R,_xlfn.AGGREGATE(15,3,('Int. Walls'!$H$1:$H$252=1)/('Int. Walls'!$H$1:$H$252=1)*ROW('Int. Walls'!$H$1:$H$252),ROWS($B$151:$B166))),"")</f>
        <v/>
      </c>
      <c r="C166" s="205" t="str" cm="1">
        <f t="array" ref="C166">IF(ROWS($B$151:$B166)&lt;=$J$151,INDEX('Int. Walls'!C:C,$H166) &amp; INDEX('Int. Walls'!S:S,$H166),"")</f>
        <v/>
      </c>
      <c r="D166" s="206" t="str">
        <f t="shared" si="25"/>
        <v/>
      </c>
      <c r="E166" s="206" t="str" cm="1">
        <f t="array" ref="E166">IF(ROWS($B$151:$B166)&lt;=$J$151,INDEX('Int. Walls'!K:K,_xlfn.AGGREGATE(15,3,('Int. Walls'!$H$1:$H$252=1)/('Int. Walls'!$H$1:$H$252=1)*ROW('Int. Walls'!$H$1:$H$252),ROWS($B$151:$B166))),"")</f>
        <v/>
      </c>
      <c r="F166" s="206" t="str" cm="1">
        <f t="array" ref="F166">IF(ROWS($B$151:$B166)&lt;=$J$151,INDEX('Int. Walls'!L:L,_xlfn.AGGREGATE(15,3,('Int. Walls'!$H$1:$H$252=1)/('Int. Walls'!$H$1:$H$252=1)*ROW('Int. Walls'!$H$1:$H$252),ROWS($B$151:$B166))),"")</f>
        <v/>
      </c>
      <c r="G166" s="206" t="str" cm="1">
        <f t="array" ref="G166">IF(ROWS($B$151:$B166)&lt;=$J$151,INDEX('Int. Walls'!M:M,_xlfn.AGGREGATE(15,3,('Int. Walls'!$H$1:$H$252=1)/('Int. Walls'!$H$1:$H$252=1)*ROW('Int. Walls'!$H$1:$H$252),ROWS($B$151:$B166))),"")</f>
        <v/>
      </c>
      <c r="H166" s="388" t="str" cm="1">
        <f t="array" ref="H166">IFERROR(_xlfn.AGGREGATE(15,3,('Int. Walls'!$H$1:$H$252=1)/('Int. Walls'!$H$1:$H$252=1)*ROW('Int. Walls'!$H$1:$H$252),ROWS($B$151:$B166)),"")</f>
        <v/>
      </c>
      <c r="I166" s="388" t="str" cm="1">
        <f t="array" ref="I166">IF(ROWS($B$151:$B166)&lt;=$J$151,ROUND(INDEX('Int. Walls'!D:D,H166),1)  &amp; " " &amp; INDEX('Int. Walls'!E:E,H166),"")</f>
        <v/>
      </c>
    </row>
    <row r="167" spans="1:9" ht="30.15" customHeight="1" x14ac:dyDescent="0.25">
      <c r="A167" s="204" t="str">
        <f>VLOOKUP("Int. Walls",Setting!$E$6:$H$33,4,FALSE)</f>
        <v>Int. Walls</v>
      </c>
      <c r="B167" s="205" t="str" cm="1">
        <f t="array" ref="B167">IF(ROWS($B$151:$B167)&lt;=$J$151,INDEX('Int. Walls'!$R:$R,_xlfn.AGGREGATE(15,3,('Int. Walls'!$H$1:$H$252=1)/('Int. Walls'!$H$1:$H$252=1)*ROW('Int. Walls'!$H$1:$H$252),ROWS($B$151:$B167))),"")</f>
        <v/>
      </c>
      <c r="C167" s="205" t="str" cm="1">
        <f t="array" ref="C167">IF(ROWS($B$151:$B167)&lt;=$J$151,INDEX('Int. Walls'!C:C,$H167) &amp; INDEX('Int. Walls'!S:S,$H167),"")</f>
        <v/>
      </c>
      <c r="D167" s="206" t="str">
        <f t="shared" si="25"/>
        <v/>
      </c>
      <c r="E167" s="206" t="str" cm="1">
        <f t="array" ref="E167">IF(ROWS($B$151:$B167)&lt;=$J$151,INDEX('Int. Walls'!K:K,_xlfn.AGGREGATE(15,3,('Int. Walls'!$H$1:$H$252=1)/('Int. Walls'!$H$1:$H$252=1)*ROW('Int. Walls'!$H$1:$H$252),ROWS($B$151:$B167))),"")</f>
        <v/>
      </c>
      <c r="F167" s="206" t="str" cm="1">
        <f t="array" ref="F167">IF(ROWS($B$151:$B167)&lt;=$J$151,INDEX('Int. Walls'!L:L,_xlfn.AGGREGATE(15,3,('Int. Walls'!$H$1:$H$252=1)/('Int. Walls'!$H$1:$H$252=1)*ROW('Int. Walls'!$H$1:$H$252),ROWS($B$151:$B167))),"")</f>
        <v/>
      </c>
      <c r="G167" s="206" t="str" cm="1">
        <f t="array" ref="G167">IF(ROWS($B$151:$B167)&lt;=$J$151,INDEX('Int. Walls'!M:M,_xlfn.AGGREGATE(15,3,('Int. Walls'!$H$1:$H$252=1)/('Int. Walls'!$H$1:$H$252=1)*ROW('Int. Walls'!$H$1:$H$252),ROWS($B$151:$B167))),"")</f>
        <v/>
      </c>
      <c r="H167" s="388" t="str" cm="1">
        <f t="array" ref="H167">IFERROR(_xlfn.AGGREGATE(15,3,('Int. Walls'!$H$1:$H$252=1)/('Int. Walls'!$H$1:$H$252=1)*ROW('Int. Walls'!$H$1:$H$252),ROWS($B$151:$B167)),"")</f>
        <v/>
      </c>
      <c r="I167" s="388" t="str" cm="1">
        <f t="array" ref="I167">IF(ROWS($B$151:$B167)&lt;=$J$151,ROUND(INDEX('Int. Walls'!D:D,H167),1)  &amp; " " &amp; INDEX('Int. Walls'!E:E,H167),"")</f>
        <v/>
      </c>
    </row>
    <row r="168" spans="1:9" ht="30.15" customHeight="1" x14ac:dyDescent="0.25">
      <c r="A168" s="204" t="str">
        <f>VLOOKUP("Int. Walls",Setting!$E$6:$H$33,4,FALSE)</f>
        <v>Int. Walls</v>
      </c>
      <c r="B168" s="205" t="str" cm="1">
        <f t="array" ref="B168">IF(ROWS($B$151:$B168)&lt;=$J$151,INDEX('Int. Walls'!$R:$R,_xlfn.AGGREGATE(15,3,('Int. Walls'!$H$1:$H$252=1)/('Int. Walls'!$H$1:$H$252=1)*ROW('Int. Walls'!$H$1:$H$252),ROWS($B$151:$B168))),"")</f>
        <v/>
      </c>
      <c r="C168" s="205" t="str" cm="1">
        <f t="array" ref="C168">IF(ROWS($B$151:$B168)&lt;=$J$151,INDEX('Int. Walls'!C:C,$H168) &amp; INDEX('Int. Walls'!S:S,$H168),"")</f>
        <v/>
      </c>
      <c r="D168" s="206" t="str">
        <f t="shared" si="25"/>
        <v/>
      </c>
      <c r="E168" s="206" t="str" cm="1">
        <f t="array" ref="E168">IF(ROWS($B$151:$B168)&lt;=$J$151,INDEX('Int. Walls'!K:K,_xlfn.AGGREGATE(15,3,('Int. Walls'!$H$1:$H$252=1)/('Int. Walls'!$H$1:$H$252=1)*ROW('Int. Walls'!$H$1:$H$252),ROWS($B$151:$B168))),"")</f>
        <v/>
      </c>
      <c r="F168" s="206" t="str" cm="1">
        <f t="array" ref="F168">IF(ROWS($B$151:$B168)&lt;=$J$151,INDEX('Int. Walls'!L:L,_xlfn.AGGREGATE(15,3,('Int. Walls'!$H$1:$H$252=1)/('Int. Walls'!$H$1:$H$252=1)*ROW('Int. Walls'!$H$1:$H$252),ROWS($B$151:$B168))),"")</f>
        <v/>
      </c>
      <c r="G168" s="206" t="str" cm="1">
        <f t="array" ref="G168">IF(ROWS($B$151:$B168)&lt;=$J$151,INDEX('Int. Walls'!M:M,_xlfn.AGGREGATE(15,3,('Int. Walls'!$H$1:$H$252=1)/('Int. Walls'!$H$1:$H$252=1)*ROW('Int. Walls'!$H$1:$H$252),ROWS($B$151:$B168))),"")</f>
        <v/>
      </c>
      <c r="H168" s="388" t="str" cm="1">
        <f t="array" ref="H168">IFERROR(_xlfn.AGGREGATE(15,3,('Int. Walls'!$H$1:$H$252=1)/('Int. Walls'!$H$1:$H$252=1)*ROW('Int. Walls'!$H$1:$H$252),ROWS($B$151:$B168)),"")</f>
        <v/>
      </c>
      <c r="I168" s="388" t="str" cm="1">
        <f t="array" ref="I168">IF(ROWS($B$151:$B168)&lt;=$J$151,ROUND(INDEX('Int. Walls'!D:D,H168),1)  &amp; " " &amp; INDEX('Int. Walls'!E:E,H168),"")</f>
        <v/>
      </c>
    </row>
    <row r="169" spans="1:9" ht="30.15" customHeight="1" x14ac:dyDescent="0.25">
      <c r="A169" s="204" t="str">
        <f>VLOOKUP("Int. Walls",Setting!$E$6:$H$33,4,FALSE)</f>
        <v>Int. Walls</v>
      </c>
      <c r="B169" s="205" t="str" cm="1">
        <f t="array" ref="B169">IF(ROWS($B$151:$B169)&lt;=$J$151,INDEX('Int. Walls'!$R:$R,_xlfn.AGGREGATE(15,3,('Int. Walls'!$H$1:$H$252=1)/('Int. Walls'!$H$1:$H$252=1)*ROW('Int. Walls'!$H$1:$H$252),ROWS($B$151:$B169))),"")</f>
        <v/>
      </c>
      <c r="C169" s="205" t="str" cm="1">
        <f t="array" ref="C169">IF(ROWS($B$151:$B169)&lt;=$J$151,INDEX('Int. Walls'!C:C,$H169) &amp; INDEX('Int. Walls'!S:S,$H169),"")</f>
        <v/>
      </c>
      <c r="D169" s="206" t="str">
        <f t="shared" si="25"/>
        <v/>
      </c>
      <c r="E169" s="206" t="str" cm="1">
        <f t="array" ref="E169">IF(ROWS($B$151:$B169)&lt;=$J$151,INDEX('Int. Walls'!K:K,_xlfn.AGGREGATE(15,3,('Int. Walls'!$H$1:$H$252=1)/('Int. Walls'!$H$1:$H$252=1)*ROW('Int. Walls'!$H$1:$H$252),ROWS($B$151:$B169))),"")</f>
        <v/>
      </c>
      <c r="F169" s="206" t="str" cm="1">
        <f t="array" ref="F169">IF(ROWS($B$151:$B169)&lt;=$J$151,INDEX('Int. Walls'!L:L,_xlfn.AGGREGATE(15,3,('Int. Walls'!$H$1:$H$252=1)/('Int. Walls'!$H$1:$H$252=1)*ROW('Int. Walls'!$H$1:$H$252),ROWS($B$151:$B169))),"")</f>
        <v/>
      </c>
      <c r="G169" s="206" t="str" cm="1">
        <f t="array" ref="G169">IF(ROWS($B$151:$B169)&lt;=$J$151,INDEX('Int. Walls'!M:M,_xlfn.AGGREGATE(15,3,('Int. Walls'!$H$1:$H$252=1)/('Int. Walls'!$H$1:$H$252=1)*ROW('Int. Walls'!$H$1:$H$252),ROWS($B$151:$B169))),"")</f>
        <v/>
      </c>
      <c r="H169" s="388" t="str" cm="1">
        <f t="array" ref="H169">IFERROR(_xlfn.AGGREGATE(15,3,('Int. Walls'!$H$1:$H$252=1)/('Int. Walls'!$H$1:$H$252=1)*ROW('Int. Walls'!$H$1:$H$252),ROWS($B$151:$B169)),"")</f>
        <v/>
      </c>
      <c r="I169" s="388" t="str" cm="1">
        <f t="array" ref="I169">IF(ROWS($B$151:$B169)&lt;=$J$151,ROUND(INDEX('Int. Walls'!D:D,H169),1)  &amp; " " &amp; INDEX('Int. Walls'!E:E,H169),"")</f>
        <v/>
      </c>
    </row>
    <row r="170" spans="1:9" ht="30.15" customHeight="1" x14ac:dyDescent="0.25">
      <c r="A170" s="204" t="str">
        <f>VLOOKUP("Int. Walls",Setting!$E$6:$H$33,4,FALSE)</f>
        <v>Int. Walls</v>
      </c>
      <c r="B170" s="205" t="str" cm="1">
        <f t="array" ref="B170">IF(ROWS($B$151:$B170)&lt;=$J$151,INDEX('Int. Walls'!$R:$R,_xlfn.AGGREGATE(15,3,('Int. Walls'!$H$1:$H$252=1)/('Int. Walls'!$H$1:$H$252=1)*ROW('Int. Walls'!$H$1:$H$252),ROWS($B$151:$B170))),"")</f>
        <v/>
      </c>
      <c r="C170" s="205" t="str" cm="1">
        <f t="array" ref="C170">IF(ROWS($B$151:$B170)&lt;=$J$151,INDEX('Int. Walls'!C:C,$H170) &amp; INDEX('Int. Walls'!S:S,$H170),"")</f>
        <v/>
      </c>
      <c r="D170" s="206" t="str">
        <f t="shared" si="25"/>
        <v/>
      </c>
      <c r="E170" s="206" t="str" cm="1">
        <f t="array" ref="E170">IF(ROWS($B$151:$B170)&lt;=$J$151,INDEX('Int. Walls'!K:K,_xlfn.AGGREGATE(15,3,('Int. Walls'!$H$1:$H$252=1)/('Int. Walls'!$H$1:$H$252=1)*ROW('Int. Walls'!$H$1:$H$252),ROWS($B$151:$B170))),"")</f>
        <v/>
      </c>
      <c r="F170" s="206" t="str" cm="1">
        <f t="array" ref="F170">IF(ROWS($B$151:$B170)&lt;=$J$151,INDEX('Int. Walls'!L:L,_xlfn.AGGREGATE(15,3,('Int. Walls'!$H$1:$H$252=1)/('Int. Walls'!$H$1:$H$252=1)*ROW('Int. Walls'!$H$1:$H$252),ROWS($B$151:$B170))),"")</f>
        <v/>
      </c>
      <c r="G170" s="206" t="str" cm="1">
        <f t="array" ref="G170">IF(ROWS($B$151:$B170)&lt;=$J$151,INDEX('Int. Walls'!M:M,_xlfn.AGGREGATE(15,3,('Int. Walls'!$H$1:$H$252=1)/('Int. Walls'!$H$1:$H$252=1)*ROW('Int. Walls'!$H$1:$H$252),ROWS($B$151:$B170))),"")</f>
        <v/>
      </c>
      <c r="H170" s="388" t="str" cm="1">
        <f t="array" ref="H170">IFERROR(_xlfn.AGGREGATE(15,3,('Int. Walls'!$H$1:$H$252=1)/('Int. Walls'!$H$1:$H$252=1)*ROW('Int. Walls'!$H$1:$H$252),ROWS($B$151:$B170)),"")</f>
        <v/>
      </c>
      <c r="I170" s="388" t="str" cm="1">
        <f t="array" ref="I170">IF(ROWS($B$151:$B170)&lt;=$J$151,ROUND(INDEX('Int. Walls'!D:D,H170),1)  &amp; " " &amp; INDEX('Int. Walls'!E:E,H170),"")</f>
        <v/>
      </c>
    </row>
    <row r="171" spans="1:9" ht="30.15" customHeight="1" x14ac:dyDescent="0.25">
      <c r="A171" s="204" t="str">
        <f>VLOOKUP("Int. Walls",Setting!$E$6:$H$33,4,FALSE)</f>
        <v>Int. Walls</v>
      </c>
      <c r="B171" s="205" t="str" cm="1">
        <f t="array" ref="B171">IF(ROWS($B$151:$B171)&lt;=$J$151,INDEX('Int. Walls'!$R:$R,_xlfn.AGGREGATE(15,3,('Int. Walls'!$H$1:$H$252=1)/('Int. Walls'!$H$1:$H$252=1)*ROW('Int. Walls'!$H$1:$H$252),ROWS($B$151:$B171))),"")</f>
        <v/>
      </c>
      <c r="C171" s="205" t="str" cm="1">
        <f t="array" ref="C171">IF(ROWS($B$151:$B171)&lt;=$J$151,INDEX('Int. Walls'!C:C,$H171) &amp; INDEX('Int. Walls'!S:S,$H171),"")</f>
        <v/>
      </c>
      <c r="D171" s="206" t="str">
        <f t="shared" si="25"/>
        <v/>
      </c>
      <c r="E171" s="206" t="str" cm="1">
        <f t="array" ref="E171">IF(ROWS($B$151:$B171)&lt;=$J$151,INDEX('Int. Walls'!K:K,_xlfn.AGGREGATE(15,3,('Int. Walls'!$H$1:$H$252=1)/('Int. Walls'!$H$1:$H$252=1)*ROW('Int. Walls'!$H$1:$H$252),ROWS($B$151:$B171))),"")</f>
        <v/>
      </c>
      <c r="F171" s="206" t="str" cm="1">
        <f t="array" ref="F171">IF(ROWS($B$151:$B171)&lt;=$J$151,INDEX('Int. Walls'!L:L,_xlfn.AGGREGATE(15,3,('Int. Walls'!$H$1:$H$252=1)/('Int. Walls'!$H$1:$H$252=1)*ROW('Int. Walls'!$H$1:$H$252),ROWS($B$151:$B171))),"")</f>
        <v/>
      </c>
      <c r="G171" s="206" t="str" cm="1">
        <f t="array" ref="G171">IF(ROWS($B$151:$B171)&lt;=$J$151,INDEX('Int. Walls'!M:M,_xlfn.AGGREGATE(15,3,('Int. Walls'!$H$1:$H$252=1)/('Int. Walls'!$H$1:$H$252=1)*ROW('Int. Walls'!$H$1:$H$252),ROWS($B$151:$B171))),"")</f>
        <v/>
      </c>
      <c r="H171" s="388" t="str" cm="1">
        <f t="array" ref="H171">IFERROR(_xlfn.AGGREGATE(15,3,('Int. Walls'!$H$1:$H$252=1)/('Int. Walls'!$H$1:$H$252=1)*ROW('Int. Walls'!$H$1:$H$252),ROWS($B$151:$B171)),"")</f>
        <v/>
      </c>
      <c r="I171" s="388" t="str" cm="1">
        <f t="array" ref="I171">IF(ROWS($B$151:$B171)&lt;=$J$151,ROUND(INDEX('Int. Walls'!D:D,H171),1)  &amp; " " &amp; INDEX('Int. Walls'!E:E,H171),"")</f>
        <v/>
      </c>
    </row>
    <row r="172" spans="1:9" ht="30.15" customHeight="1" x14ac:dyDescent="0.25">
      <c r="A172" s="204" t="str">
        <f>VLOOKUP("Int. Walls",Setting!$E$6:$H$33,4,FALSE)</f>
        <v>Int. Walls</v>
      </c>
      <c r="B172" s="205" t="str" cm="1">
        <f t="array" ref="B172">IF(ROWS($B$151:$B172)&lt;=$J$151,INDEX('Int. Walls'!$R:$R,_xlfn.AGGREGATE(15,3,('Int. Walls'!$H$1:$H$252=1)/('Int. Walls'!$H$1:$H$252=1)*ROW('Int. Walls'!$H$1:$H$252),ROWS($B$151:$B172))),"")</f>
        <v/>
      </c>
      <c r="C172" s="205" t="str" cm="1">
        <f t="array" ref="C172">IF(ROWS($B$151:$B172)&lt;=$J$151,INDEX('Int. Walls'!C:C,$H172) &amp; INDEX('Int. Walls'!S:S,$H172),"")</f>
        <v/>
      </c>
      <c r="D172" s="206" t="str">
        <f t="shared" si="25"/>
        <v/>
      </c>
      <c r="E172" s="206" t="str" cm="1">
        <f t="array" ref="E172">IF(ROWS($B$151:$B172)&lt;=$J$151,INDEX('Int. Walls'!K:K,_xlfn.AGGREGATE(15,3,('Int. Walls'!$H$1:$H$252=1)/('Int. Walls'!$H$1:$H$252=1)*ROW('Int. Walls'!$H$1:$H$252),ROWS($B$151:$B172))),"")</f>
        <v/>
      </c>
      <c r="F172" s="206" t="str" cm="1">
        <f t="array" ref="F172">IF(ROWS($B$151:$B172)&lt;=$J$151,INDEX('Int. Walls'!L:L,_xlfn.AGGREGATE(15,3,('Int. Walls'!$H$1:$H$252=1)/('Int. Walls'!$H$1:$H$252=1)*ROW('Int. Walls'!$H$1:$H$252),ROWS($B$151:$B172))),"")</f>
        <v/>
      </c>
      <c r="G172" s="206" t="str" cm="1">
        <f t="array" ref="G172">IF(ROWS($B$151:$B172)&lt;=$J$151,INDEX('Int. Walls'!M:M,_xlfn.AGGREGATE(15,3,('Int. Walls'!$H$1:$H$252=1)/('Int. Walls'!$H$1:$H$252=1)*ROW('Int. Walls'!$H$1:$H$252),ROWS($B$151:$B172))),"")</f>
        <v/>
      </c>
      <c r="H172" s="388" t="str" cm="1">
        <f t="array" ref="H172">IFERROR(_xlfn.AGGREGATE(15,3,('Int. Walls'!$H$1:$H$252=1)/('Int. Walls'!$H$1:$H$252=1)*ROW('Int. Walls'!$H$1:$H$252),ROWS($B$151:$B172)),"")</f>
        <v/>
      </c>
      <c r="I172" s="388" t="str" cm="1">
        <f t="array" ref="I172">IF(ROWS($B$151:$B172)&lt;=$J$151,ROUND(INDEX('Int. Walls'!D:D,H172),1)  &amp; " " &amp; INDEX('Int. Walls'!E:E,H172),"")</f>
        <v/>
      </c>
    </row>
    <row r="173" spans="1:9" ht="30.15" customHeight="1" x14ac:dyDescent="0.25">
      <c r="A173" s="204" t="str">
        <f>VLOOKUP("Int. Walls",Setting!$E$6:$H$33,4,FALSE)</f>
        <v>Int. Walls</v>
      </c>
      <c r="B173" s="205" t="str" cm="1">
        <f t="array" ref="B173">IF(ROWS($B$151:$B173)&lt;=$J$151,INDEX('Int. Walls'!$R:$R,_xlfn.AGGREGATE(15,3,('Int. Walls'!$H$1:$H$252=1)/('Int. Walls'!$H$1:$H$252=1)*ROW('Int. Walls'!$H$1:$H$252),ROWS($B$151:$B173))),"")</f>
        <v/>
      </c>
      <c r="C173" s="205" t="str" cm="1">
        <f t="array" ref="C173">IF(ROWS($B$151:$B173)&lt;=$J$151,INDEX('Int. Walls'!C:C,$H173) &amp; INDEX('Int. Walls'!S:S,$H173),"")</f>
        <v/>
      </c>
      <c r="D173" s="206" t="str">
        <f t="shared" si="25"/>
        <v/>
      </c>
      <c r="E173" s="206" t="str" cm="1">
        <f t="array" ref="E173">IF(ROWS($B$151:$B173)&lt;=$J$151,INDEX('Int. Walls'!K:K,_xlfn.AGGREGATE(15,3,('Int. Walls'!$H$1:$H$252=1)/('Int. Walls'!$H$1:$H$252=1)*ROW('Int. Walls'!$H$1:$H$252),ROWS($B$151:$B173))),"")</f>
        <v/>
      </c>
      <c r="F173" s="206" t="str" cm="1">
        <f t="array" ref="F173">IF(ROWS($B$151:$B173)&lt;=$J$151,INDEX('Int. Walls'!L:L,_xlfn.AGGREGATE(15,3,('Int. Walls'!$H$1:$H$252=1)/('Int. Walls'!$H$1:$H$252=1)*ROW('Int. Walls'!$H$1:$H$252),ROWS($B$151:$B173))),"")</f>
        <v/>
      </c>
      <c r="G173" s="206" t="str" cm="1">
        <f t="array" ref="G173">IF(ROWS($B$151:$B173)&lt;=$J$151,INDEX('Int. Walls'!M:M,_xlfn.AGGREGATE(15,3,('Int. Walls'!$H$1:$H$252=1)/('Int. Walls'!$H$1:$H$252=1)*ROW('Int. Walls'!$H$1:$H$252),ROWS($B$151:$B173))),"")</f>
        <v/>
      </c>
      <c r="H173" s="388" t="str" cm="1">
        <f t="array" ref="H173">IFERROR(_xlfn.AGGREGATE(15,3,('Int. Walls'!$H$1:$H$252=1)/('Int. Walls'!$H$1:$H$252=1)*ROW('Int. Walls'!$H$1:$H$252),ROWS($B$151:$B173)),"")</f>
        <v/>
      </c>
      <c r="I173" s="388" t="str" cm="1">
        <f t="array" ref="I173">IF(ROWS($B$151:$B173)&lt;=$J$151,ROUND(INDEX('Int. Walls'!D:D,H173),1)  &amp; " " &amp; INDEX('Int. Walls'!E:E,H173),"")</f>
        <v/>
      </c>
    </row>
    <row r="174" spans="1:9" ht="30.15" customHeight="1" x14ac:dyDescent="0.25">
      <c r="A174" s="204" t="str">
        <f>VLOOKUP("Int. Walls",Setting!$E$6:$H$33,4,FALSE)</f>
        <v>Int. Walls</v>
      </c>
      <c r="B174" s="205" t="str" cm="1">
        <f t="array" ref="B174">IF(ROWS($B$151:$B174)&lt;=$J$151,INDEX('Int. Walls'!$R:$R,_xlfn.AGGREGATE(15,3,('Int. Walls'!$H$1:$H$252=1)/('Int. Walls'!$H$1:$H$252=1)*ROW('Int. Walls'!$H$1:$H$252),ROWS($B$151:$B174))),"")</f>
        <v/>
      </c>
      <c r="C174" s="205" t="str" cm="1">
        <f t="array" ref="C174">IF(ROWS($B$151:$B174)&lt;=$J$151,INDEX('Int. Walls'!C:C,$H174) &amp; INDEX('Int. Walls'!S:S,$H174),"")</f>
        <v/>
      </c>
      <c r="D174" s="206" t="str">
        <f t="shared" si="25"/>
        <v/>
      </c>
      <c r="E174" s="206" t="str" cm="1">
        <f t="array" ref="E174">IF(ROWS($B$151:$B174)&lt;=$J$151,INDEX('Int. Walls'!K:K,_xlfn.AGGREGATE(15,3,('Int. Walls'!$H$1:$H$252=1)/('Int. Walls'!$H$1:$H$252=1)*ROW('Int. Walls'!$H$1:$H$252),ROWS($B$151:$B174))),"")</f>
        <v/>
      </c>
      <c r="F174" s="206" t="str" cm="1">
        <f t="array" ref="F174">IF(ROWS($B$151:$B174)&lt;=$J$151,INDEX('Int. Walls'!L:L,_xlfn.AGGREGATE(15,3,('Int. Walls'!$H$1:$H$252=1)/('Int. Walls'!$H$1:$H$252=1)*ROW('Int. Walls'!$H$1:$H$252),ROWS($B$151:$B174))),"")</f>
        <v/>
      </c>
      <c r="G174" s="206" t="str" cm="1">
        <f t="array" ref="G174">IF(ROWS($B$151:$B174)&lt;=$J$151,INDEX('Int. Walls'!M:M,_xlfn.AGGREGATE(15,3,('Int. Walls'!$H$1:$H$252=1)/('Int. Walls'!$H$1:$H$252=1)*ROW('Int. Walls'!$H$1:$H$252),ROWS($B$151:$B174))),"")</f>
        <v/>
      </c>
      <c r="H174" s="388" t="str" cm="1">
        <f t="array" ref="H174">IFERROR(_xlfn.AGGREGATE(15,3,('Int. Walls'!$H$1:$H$252=1)/('Int. Walls'!$H$1:$H$252=1)*ROW('Int. Walls'!$H$1:$H$252),ROWS($B$151:$B174)),"")</f>
        <v/>
      </c>
      <c r="I174" s="388" t="str" cm="1">
        <f t="array" ref="I174">IF(ROWS($B$151:$B174)&lt;=$J$151,ROUND(INDEX('Int. Walls'!D:D,H174),1)  &amp; " " &amp; INDEX('Int. Walls'!E:E,H174),"")</f>
        <v/>
      </c>
    </row>
    <row r="175" spans="1:9" ht="30.15" customHeight="1" x14ac:dyDescent="0.25">
      <c r="A175" s="204" t="str">
        <f>VLOOKUP("Int. Walls",Setting!$E$6:$H$33,4,FALSE)</f>
        <v>Int. Walls</v>
      </c>
      <c r="B175" s="205" t="str" cm="1">
        <f t="array" ref="B175">IF(ROWS($B$151:$B175)&lt;=$J$151,INDEX('Int. Walls'!$R:$R,_xlfn.AGGREGATE(15,3,('Int. Walls'!$H$1:$H$252=1)/('Int. Walls'!$H$1:$H$252=1)*ROW('Int. Walls'!$H$1:$H$252),ROWS($B$151:$B175))),"")</f>
        <v/>
      </c>
      <c r="C175" s="205" t="str" cm="1">
        <f t="array" ref="C175">IF(ROWS($B$151:$B175)&lt;=$J$151,INDEX('Int. Walls'!C:C,$H175) &amp; INDEX('Int. Walls'!S:S,$H175),"")</f>
        <v/>
      </c>
      <c r="D175" s="206" t="str">
        <f t="shared" si="25"/>
        <v/>
      </c>
      <c r="E175" s="206" t="str" cm="1">
        <f t="array" ref="E175">IF(ROWS($B$151:$B175)&lt;=$J$151,INDEX('Int. Walls'!K:K,_xlfn.AGGREGATE(15,3,('Int. Walls'!$H$1:$H$252=1)/('Int. Walls'!$H$1:$H$252=1)*ROW('Int. Walls'!$H$1:$H$252),ROWS($B$151:$B175))),"")</f>
        <v/>
      </c>
      <c r="F175" s="206" t="str" cm="1">
        <f t="array" ref="F175">IF(ROWS($B$151:$B175)&lt;=$J$151,INDEX('Int. Walls'!L:L,_xlfn.AGGREGATE(15,3,('Int. Walls'!$H$1:$H$252=1)/('Int. Walls'!$H$1:$H$252=1)*ROW('Int. Walls'!$H$1:$H$252),ROWS($B$151:$B175))),"")</f>
        <v/>
      </c>
      <c r="G175" s="206" t="str" cm="1">
        <f t="array" ref="G175">IF(ROWS($B$151:$B175)&lt;=$J$151,INDEX('Int. Walls'!M:M,_xlfn.AGGREGATE(15,3,('Int. Walls'!$H$1:$H$252=1)/('Int. Walls'!$H$1:$H$252=1)*ROW('Int. Walls'!$H$1:$H$252),ROWS($B$151:$B175))),"")</f>
        <v/>
      </c>
      <c r="H175" s="388" t="str" cm="1">
        <f t="array" ref="H175">IFERROR(_xlfn.AGGREGATE(15,3,('Int. Walls'!$H$1:$H$252=1)/('Int. Walls'!$H$1:$H$252=1)*ROW('Int. Walls'!$H$1:$H$252),ROWS($B$151:$B175)),"")</f>
        <v/>
      </c>
      <c r="I175" s="388" t="str" cm="1">
        <f t="array" ref="I175">IF(ROWS($B$151:$B175)&lt;=$J$151,ROUND(INDEX('Int. Walls'!D:D,H175),1)  &amp; " " &amp; INDEX('Int. Walls'!E:E,H175),"")</f>
        <v/>
      </c>
    </row>
    <row r="176" spans="1:9" ht="30.15" customHeight="1" x14ac:dyDescent="0.25">
      <c r="A176" s="204" t="str">
        <f>VLOOKUP("Int. Walls",Setting!$E$6:$H$33,4,FALSE)</f>
        <v>Int. Walls</v>
      </c>
      <c r="B176" s="205" t="str" cm="1">
        <f t="array" ref="B176">IF(ROWS($B$151:$B176)&lt;=$J$151,INDEX('Int. Walls'!$R:$R,_xlfn.AGGREGATE(15,3,('Int. Walls'!$H$1:$H$252=1)/('Int. Walls'!$H$1:$H$252=1)*ROW('Int. Walls'!$H$1:$H$252),ROWS($B$151:$B176))),"")</f>
        <v/>
      </c>
      <c r="C176" s="205" t="str" cm="1">
        <f t="array" ref="C176">IF(ROWS($B$151:$B176)&lt;=$J$151,INDEX('Int. Walls'!C:C,$H176) &amp; INDEX('Int. Walls'!S:S,$H176),"")</f>
        <v/>
      </c>
      <c r="D176" s="206" t="str">
        <f t="shared" si="25"/>
        <v/>
      </c>
      <c r="E176" s="206" t="str" cm="1">
        <f t="array" ref="E176">IF(ROWS($B$151:$B176)&lt;=$J$151,INDEX('Int. Walls'!K:K,_xlfn.AGGREGATE(15,3,('Int. Walls'!$H$1:$H$252=1)/('Int. Walls'!$H$1:$H$252=1)*ROW('Int. Walls'!$H$1:$H$252),ROWS($B$151:$B176))),"")</f>
        <v/>
      </c>
      <c r="F176" s="206" t="str" cm="1">
        <f t="array" ref="F176">IF(ROWS($B$151:$B176)&lt;=$J$151,INDEX('Int. Walls'!L:L,_xlfn.AGGREGATE(15,3,('Int. Walls'!$H$1:$H$252=1)/('Int. Walls'!$H$1:$H$252=1)*ROW('Int. Walls'!$H$1:$H$252),ROWS($B$151:$B176))),"")</f>
        <v/>
      </c>
      <c r="G176" s="206" t="str" cm="1">
        <f t="array" ref="G176">IF(ROWS($B$151:$B176)&lt;=$J$151,INDEX('Int. Walls'!M:M,_xlfn.AGGREGATE(15,3,('Int. Walls'!$H$1:$H$252=1)/('Int. Walls'!$H$1:$H$252=1)*ROW('Int. Walls'!$H$1:$H$252),ROWS($B$151:$B176))),"")</f>
        <v/>
      </c>
      <c r="H176" s="388" t="str" cm="1">
        <f t="array" ref="H176">IFERROR(_xlfn.AGGREGATE(15,3,('Int. Walls'!$H$1:$H$252=1)/('Int. Walls'!$H$1:$H$252=1)*ROW('Int. Walls'!$H$1:$H$252),ROWS($B$151:$B176)),"")</f>
        <v/>
      </c>
      <c r="I176" s="388" t="str" cm="1">
        <f t="array" ref="I176">IF(ROWS($B$151:$B176)&lt;=$J$151,ROUND(INDEX('Int. Walls'!D:D,H176),1)  &amp; " " &amp; INDEX('Int. Walls'!E:E,H176),"")</f>
        <v/>
      </c>
    </row>
    <row r="177" spans="1:10" ht="30.15" customHeight="1" x14ac:dyDescent="0.25">
      <c r="A177" s="204" t="str">
        <f>VLOOKUP("Floors",Setting!$E$6:$H$33,4,FALSE)</f>
        <v>Floors</v>
      </c>
      <c r="B177" s="205" t="str" cm="1">
        <f t="array" ref="B177">IF(ROWS($B$177:$B177)&lt;=$J$177,INDEX(Floors!$R:$R,_xlfn.AGGREGATE(15,3,(Floors!$H$1:$H$245=1)/(Floors!$H$1:$H$245=1)*ROW(Floors!$H$1:$H$245),ROWS($B$177:$B177))),"")</f>
        <v/>
      </c>
      <c r="C177" s="205" t="str" cm="1">
        <f t="array" ref="C177">IF(ROWS($B$177:$B177)&lt;=$J$177,INDEX(Floors!C:C,$H177) &amp; INDEX(Floors!S:S,$H177),"")</f>
        <v/>
      </c>
      <c r="D177" s="206" t="str">
        <f t="shared" si="25"/>
        <v/>
      </c>
      <c r="E177" s="206" t="str" cm="1">
        <f t="array" ref="E177">IF(ROWS($B$177:$B177)&lt;=$J$177,INDEX(Floors!K:K,_xlfn.AGGREGATE(15,3,(Floors!$H$1:$H$245=1)/(Floors!$H$1:$H$245=1)*ROW(Floors!$H$1:$H$245),ROWS($B$177:$B177))),"")</f>
        <v/>
      </c>
      <c r="F177" s="206" t="str" cm="1">
        <f t="array" ref="F177">IF(ROWS($B$177:$B177)&lt;=$J$177,INDEX(Floors!L:L,_xlfn.AGGREGATE(15,3,(Floors!$H$1:$H$245=1)/(Floors!$H$1:$H$245=1)*ROW(Floors!$H$1:$H$245),ROWS($B$177:$B177))),"")</f>
        <v/>
      </c>
      <c r="G177" s="206" t="str" cm="1">
        <f t="array" ref="G177">IF(ROWS($B$177:$B177)&lt;=$J$177,INDEX(Floors!M:M,_xlfn.AGGREGATE(15,3,(Floors!$H$1:$H$245=1)/(Floors!$H$1:$H$245=1)*ROW(Floors!$H$1:$H$245),ROWS($B$177:$B177))),"")</f>
        <v/>
      </c>
      <c r="H177" s="388" t="str" cm="1">
        <f t="array" ref="H177">IFERROR(_xlfn.AGGREGATE(15,3,(Floors!$H$1:$H$245=1)/(Floors!$H$1:$H$245=1)*ROW(Floors!$H$1:$H$245),ROWS($B$177:$B177)),"")</f>
        <v/>
      </c>
      <c r="I177" s="388" t="str" cm="1">
        <f t="array" ref="I177">IF(ROWS($B$177:$B177)&lt;=$J$177,ROUND(INDEX(Floors!D:D,H177),1)  &amp; " " &amp; INDEX(Floors!E:E,H177),"")</f>
        <v/>
      </c>
      <c r="J177" s="207">
        <f>COUNTIF(Floors!$H$1:$H$540,1)</f>
        <v>0</v>
      </c>
    </row>
    <row r="178" spans="1:10" ht="30.15" customHeight="1" x14ac:dyDescent="0.25">
      <c r="A178" s="204" t="str">
        <f>VLOOKUP("Floors",Setting!$E$6:$H$33,4,FALSE)</f>
        <v>Floors</v>
      </c>
      <c r="B178" s="205" t="str" cm="1">
        <f t="array" ref="B178">IF(ROWS($B$177:$B178)&lt;=$J$177,INDEX(Floors!$R:$R,_xlfn.AGGREGATE(15,3,(Floors!$H$1:$H$245=1)/(Floors!$H$1:$H$245=1)*ROW(Floors!$H$1:$H$245),ROWS($B$177:$B178))),"")</f>
        <v/>
      </c>
      <c r="C178" s="205" t="str" cm="1">
        <f t="array" ref="C178">IF(ROWS($B$177:$B178)&lt;=$J$177,INDEX(Floors!C:C,$H178) &amp; INDEX(Floors!S:S,$H178),"")</f>
        <v/>
      </c>
      <c r="D178" s="206" t="str">
        <f t="shared" ref="D178:D183" si="26">IFERROR(E178-F178,"")</f>
        <v/>
      </c>
      <c r="E178" s="206" t="str" cm="1">
        <f t="array" ref="E178">IF(ROWS($B$177:$B178)&lt;=$J$177,INDEX(Floors!K:K,_xlfn.AGGREGATE(15,3,(Floors!$H$1:$H$245=1)/(Floors!$H$1:$H$245=1)*ROW(Floors!$H$1:$H$245),ROWS($B$177:$B178))),"")</f>
        <v/>
      </c>
      <c r="F178" s="206" t="str" cm="1">
        <f t="array" ref="F178">IF(ROWS($B$177:$B178)&lt;=$J$177,INDEX(Floors!L:L,_xlfn.AGGREGATE(15,3,(Floors!$H$1:$H$245=1)/(Floors!$H$1:$H$245=1)*ROW(Floors!$H$1:$H$245),ROWS($B$177:$B178))),"")</f>
        <v/>
      </c>
      <c r="G178" s="206" t="str" cm="1">
        <f t="array" ref="G178">IF(ROWS($B$177:$B178)&lt;=$J$177,INDEX(Floors!M:M,_xlfn.AGGREGATE(15,3,(Floors!$H$1:$H$245=1)/(Floors!$H$1:$H$245=1)*ROW(Floors!$H$1:$H$245),ROWS($B$177:$B178))),"")</f>
        <v/>
      </c>
      <c r="H178" s="388" t="str" cm="1">
        <f t="array" ref="H178">IFERROR(_xlfn.AGGREGATE(15,3,(Floors!$H$1:$H$245=1)/(Floors!$H$1:$H$245=1)*ROW(Floors!$H$1:$H$245),ROWS($B$177:$B178)),"")</f>
        <v/>
      </c>
      <c r="I178" s="388" t="str" cm="1">
        <f t="array" ref="I178">IF(ROWS($B$177:$B178)&lt;=$J$177,ROUND(INDEX(Floors!D:D,H178),1)  &amp; " " &amp; INDEX(Floors!E:E,H178),"")</f>
        <v/>
      </c>
    </row>
    <row r="179" spans="1:10" ht="30.15" customHeight="1" x14ac:dyDescent="0.25">
      <c r="A179" s="204" t="str">
        <f>VLOOKUP("Floors",Setting!$E$6:$H$33,4,FALSE)</f>
        <v>Floors</v>
      </c>
      <c r="B179" s="205" t="str" cm="1">
        <f t="array" ref="B179">IF(ROWS($B$177:$B179)&lt;=$J$177,INDEX(Floors!$R:$R,_xlfn.AGGREGATE(15,3,(Floors!$H$1:$H$245=1)/(Floors!$H$1:$H$245=1)*ROW(Floors!$H$1:$H$245),ROWS($B$177:$B179))),"")</f>
        <v/>
      </c>
      <c r="C179" s="205" t="str" cm="1">
        <f t="array" ref="C179">IF(ROWS($B$177:$B179)&lt;=$J$177,INDEX(Floors!C:C,$H179) &amp; INDEX(Floors!S:S,$H179),"")</f>
        <v/>
      </c>
      <c r="D179" s="206" t="str">
        <f t="shared" si="26"/>
        <v/>
      </c>
      <c r="E179" s="206" t="str" cm="1">
        <f t="array" ref="E179">IF(ROWS($B$177:$B179)&lt;=$J$177,INDEX(Floors!K:K,_xlfn.AGGREGATE(15,3,(Floors!$H$1:$H$245=1)/(Floors!$H$1:$H$245=1)*ROW(Floors!$H$1:$H$245),ROWS($B$177:$B179))),"")</f>
        <v/>
      </c>
      <c r="F179" s="206" t="str" cm="1">
        <f t="array" ref="F179">IF(ROWS($B$177:$B179)&lt;=$J$177,INDEX(Floors!L:L,_xlfn.AGGREGATE(15,3,(Floors!$H$1:$H$245=1)/(Floors!$H$1:$H$245=1)*ROW(Floors!$H$1:$H$245),ROWS($B$177:$B179))),"")</f>
        <v/>
      </c>
      <c r="G179" s="206" t="str" cm="1">
        <f t="array" ref="G179">IF(ROWS($B$177:$B179)&lt;=$J$177,INDEX(Floors!M:M,_xlfn.AGGREGATE(15,3,(Floors!$H$1:$H$245=1)/(Floors!$H$1:$H$245=1)*ROW(Floors!$H$1:$H$245),ROWS($B$177:$B179))),"")</f>
        <v/>
      </c>
      <c r="H179" s="388" t="str" cm="1">
        <f t="array" ref="H179">IFERROR(_xlfn.AGGREGATE(15,3,(Floors!$H$1:$H$245=1)/(Floors!$H$1:$H$245=1)*ROW(Floors!$H$1:$H$245),ROWS($B$177:$B179)),"")</f>
        <v/>
      </c>
      <c r="I179" s="388" t="str" cm="1">
        <f t="array" ref="I179">IF(ROWS($B$177:$B179)&lt;=$J$177,ROUND(INDEX(Floors!D:D,H179),1)  &amp; " " &amp; INDEX(Floors!E:E,H179),"")</f>
        <v/>
      </c>
    </row>
    <row r="180" spans="1:10" ht="30.15" customHeight="1" x14ac:dyDescent="0.25">
      <c r="A180" s="204" t="str">
        <f>VLOOKUP("Floors",Setting!$E$6:$H$33,4,FALSE)</f>
        <v>Floors</v>
      </c>
      <c r="B180" s="205" t="str" cm="1">
        <f t="array" ref="B180">IF(ROWS($B$177:$B180)&lt;=$J$177,INDEX(Floors!$R:$R,_xlfn.AGGREGATE(15,3,(Floors!$H$1:$H$245=1)/(Floors!$H$1:$H$245=1)*ROW(Floors!$H$1:$H$245),ROWS($B$177:$B180))),"")</f>
        <v/>
      </c>
      <c r="C180" s="205" t="str" cm="1">
        <f t="array" ref="C180">IF(ROWS($B$177:$B180)&lt;=$J$177,INDEX(Floors!C:C,$H180) &amp; INDEX(Floors!S:S,$H180),"")</f>
        <v/>
      </c>
      <c r="D180" s="206" t="str">
        <f t="shared" si="26"/>
        <v/>
      </c>
      <c r="E180" s="206" t="str" cm="1">
        <f t="array" ref="E180">IF(ROWS($B$177:$B180)&lt;=$J$177,INDEX(Floors!K:K,_xlfn.AGGREGATE(15,3,(Floors!$H$1:$H$245=1)/(Floors!$H$1:$H$245=1)*ROW(Floors!$H$1:$H$245),ROWS($B$177:$B180))),"")</f>
        <v/>
      </c>
      <c r="F180" s="206" t="str" cm="1">
        <f t="array" ref="F180">IF(ROWS($B$177:$B180)&lt;=$J$177,INDEX(Floors!L:L,_xlfn.AGGREGATE(15,3,(Floors!$H$1:$H$245=1)/(Floors!$H$1:$H$245=1)*ROW(Floors!$H$1:$H$245),ROWS($B$177:$B180))),"")</f>
        <v/>
      </c>
      <c r="G180" s="206" t="str" cm="1">
        <f t="array" ref="G180">IF(ROWS($B$177:$B180)&lt;=$J$177,INDEX(Floors!M:M,_xlfn.AGGREGATE(15,3,(Floors!$H$1:$H$245=1)/(Floors!$H$1:$H$245=1)*ROW(Floors!$H$1:$H$245),ROWS($B$177:$B180))),"")</f>
        <v/>
      </c>
      <c r="H180" s="388" t="str" cm="1">
        <f t="array" ref="H180">IFERROR(_xlfn.AGGREGATE(15,3,(Floors!$H$1:$H$245=1)/(Floors!$H$1:$H$245=1)*ROW(Floors!$H$1:$H$245),ROWS($B$177:$B180)),"")</f>
        <v/>
      </c>
      <c r="I180" s="388" t="str" cm="1">
        <f t="array" ref="I180">IF(ROWS($B$177:$B180)&lt;=$J$177,ROUND(INDEX(Floors!D:D,H180),1)  &amp; " " &amp; INDEX(Floors!E:E,H180),"")</f>
        <v/>
      </c>
    </row>
    <row r="181" spans="1:10" ht="30.15" customHeight="1" x14ac:dyDescent="0.25">
      <c r="A181" s="204" t="str">
        <f>VLOOKUP("Floors",Setting!$E$6:$H$33,4,FALSE)</f>
        <v>Floors</v>
      </c>
      <c r="B181" s="205" t="str" cm="1">
        <f t="array" ref="B181">IF(ROWS($B$177:$B181)&lt;=$J$177,INDEX(Floors!$R:$R,_xlfn.AGGREGATE(15,3,(Floors!$H$1:$H$245=1)/(Floors!$H$1:$H$245=1)*ROW(Floors!$H$1:$H$245),ROWS($B$177:$B181))),"")</f>
        <v/>
      </c>
      <c r="C181" s="205" t="str" cm="1">
        <f t="array" ref="C181">IF(ROWS($B$177:$B181)&lt;=$J$177,INDEX(Floors!C:C,$H181) &amp; INDEX(Floors!S:S,$H181),"")</f>
        <v/>
      </c>
      <c r="D181" s="206" t="str">
        <f t="shared" si="26"/>
        <v/>
      </c>
      <c r="E181" s="206" t="str" cm="1">
        <f t="array" ref="E181">IF(ROWS($B$177:$B181)&lt;=$J$177,INDEX(Floors!K:K,_xlfn.AGGREGATE(15,3,(Floors!$H$1:$H$245=1)/(Floors!$H$1:$H$245=1)*ROW(Floors!$H$1:$H$245),ROWS($B$177:$B181))),"")</f>
        <v/>
      </c>
      <c r="F181" s="206" t="str" cm="1">
        <f t="array" ref="F181">IF(ROWS($B$177:$B181)&lt;=$J$177,INDEX(Floors!L:L,_xlfn.AGGREGATE(15,3,(Floors!$H$1:$H$245=1)/(Floors!$H$1:$H$245=1)*ROW(Floors!$H$1:$H$245),ROWS($B$177:$B181))),"")</f>
        <v/>
      </c>
      <c r="G181" s="206" t="str" cm="1">
        <f t="array" ref="G181">IF(ROWS($B$177:$B181)&lt;=$J$177,INDEX(Floors!M:M,_xlfn.AGGREGATE(15,3,(Floors!$H$1:$H$245=1)/(Floors!$H$1:$H$245=1)*ROW(Floors!$H$1:$H$245),ROWS($B$177:$B181))),"")</f>
        <v/>
      </c>
      <c r="H181" s="388" t="str" cm="1">
        <f t="array" ref="H181">IFERROR(_xlfn.AGGREGATE(15,3,(Floors!$H$1:$H$245=1)/(Floors!$H$1:$H$245=1)*ROW(Floors!$H$1:$H$245),ROWS($B$177:$B181)),"")</f>
        <v/>
      </c>
      <c r="I181" s="388" t="str" cm="1">
        <f t="array" ref="I181">IF(ROWS($B$177:$B181)&lt;=$J$177,ROUND(INDEX(Floors!D:D,H181),1)  &amp; " " &amp; INDEX(Floors!E:E,H181),"")</f>
        <v/>
      </c>
    </row>
    <row r="182" spans="1:10" ht="30.15" customHeight="1" x14ac:dyDescent="0.25">
      <c r="A182" s="204" t="str">
        <f>VLOOKUP("Floors",Setting!$E$6:$H$33,4,FALSE)</f>
        <v>Floors</v>
      </c>
      <c r="B182" s="205" t="str" cm="1">
        <f t="array" ref="B182">IF(ROWS($B$177:$B182)&lt;=$J$177,INDEX(Floors!$R:$R,_xlfn.AGGREGATE(15,3,(Floors!$H$1:$H$245=1)/(Floors!$H$1:$H$245=1)*ROW(Floors!$H$1:$H$245),ROWS($B$177:$B182))),"")</f>
        <v/>
      </c>
      <c r="C182" s="205" t="str" cm="1">
        <f t="array" ref="C182">IF(ROWS($B$177:$B182)&lt;=$J$177,INDEX(Floors!C:C,$H182) &amp; INDEX(Floors!S:S,$H182),"")</f>
        <v/>
      </c>
      <c r="D182" s="206" t="str">
        <f t="shared" si="26"/>
        <v/>
      </c>
      <c r="E182" s="206" t="str" cm="1">
        <f t="array" ref="E182">IF(ROWS($B$177:$B182)&lt;=$J$177,INDEX(Floors!K:K,_xlfn.AGGREGATE(15,3,(Floors!$H$1:$H$245=1)/(Floors!$H$1:$H$245=1)*ROW(Floors!$H$1:$H$245),ROWS($B$177:$B182))),"")</f>
        <v/>
      </c>
      <c r="F182" s="206" t="str" cm="1">
        <f t="array" ref="F182">IF(ROWS($B$177:$B182)&lt;=$J$177,INDEX(Floors!L:L,_xlfn.AGGREGATE(15,3,(Floors!$H$1:$H$245=1)/(Floors!$H$1:$H$245=1)*ROW(Floors!$H$1:$H$245),ROWS($B$177:$B182))),"")</f>
        <v/>
      </c>
      <c r="G182" s="206" t="str" cm="1">
        <f t="array" ref="G182">IF(ROWS($B$177:$B182)&lt;=$J$177,INDEX(Floors!M:M,_xlfn.AGGREGATE(15,3,(Floors!$H$1:$H$245=1)/(Floors!$H$1:$H$245=1)*ROW(Floors!$H$1:$H$245),ROWS($B$177:$B182))),"")</f>
        <v/>
      </c>
      <c r="H182" s="388" t="str" cm="1">
        <f t="array" ref="H182">IFERROR(_xlfn.AGGREGATE(15,3,(Floors!$H$1:$H$245=1)/(Floors!$H$1:$H$245=1)*ROW(Floors!$H$1:$H$245),ROWS($B$177:$B182)),"")</f>
        <v/>
      </c>
      <c r="I182" s="388" t="str" cm="1">
        <f t="array" ref="I182">IF(ROWS($B$177:$B182)&lt;=$J$177,ROUND(INDEX(Floors!D:D,H182),1)  &amp; " " &amp; INDEX(Floors!E:E,H182),"")</f>
        <v/>
      </c>
    </row>
    <row r="183" spans="1:10" ht="30.15" customHeight="1" x14ac:dyDescent="0.25">
      <c r="A183" s="204" t="str">
        <f>VLOOKUP("Floors",Setting!$E$6:$H$33,4,FALSE)</f>
        <v>Floors</v>
      </c>
      <c r="B183" s="205" t="str" cm="1">
        <f t="array" ref="B183">IF(ROWS($B$177:$B183)&lt;=$J$177,INDEX(Floors!$R:$R,_xlfn.AGGREGATE(15,3,(Floors!$H$1:$H$245=1)/(Floors!$H$1:$H$245=1)*ROW(Floors!$H$1:$H$245),ROWS($B$177:$B183))),"")</f>
        <v/>
      </c>
      <c r="C183" s="205" t="str" cm="1">
        <f t="array" ref="C183">IF(ROWS($B$177:$B183)&lt;=$J$177,INDEX(Floors!C:C,$H183) &amp; INDEX(Floors!S:S,$H183),"")</f>
        <v/>
      </c>
      <c r="D183" s="206" t="str">
        <f t="shared" si="26"/>
        <v/>
      </c>
      <c r="E183" s="206" t="str" cm="1">
        <f t="array" ref="E183">IF(ROWS($B$177:$B183)&lt;=$J$177,INDEX(Floors!K:K,_xlfn.AGGREGATE(15,3,(Floors!$H$1:$H$245=1)/(Floors!$H$1:$H$245=1)*ROW(Floors!$H$1:$H$245),ROWS($B$177:$B183))),"")</f>
        <v/>
      </c>
      <c r="F183" s="206" t="str" cm="1">
        <f t="array" ref="F183">IF(ROWS($B$177:$B183)&lt;=$J$177,INDEX(Floors!L:L,_xlfn.AGGREGATE(15,3,(Floors!$H$1:$H$245=1)/(Floors!$H$1:$H$245=1)*ROW(Floors!$H$1:$H$245),ROWS($B$177:$B183))),"")</f>
        <v/>
      </c>
      <c r="G183" s="206" t="str" cm="1">
        <f t="array" ref="G183">IF(ROWS($B$177:$B183)&lt;=$J$177,INDEX(Floors!M:M,_xlfn.AGGREGATE(15,3,(Floors!$H$1:$H$245=1)/(Floors!$H$1:$H$245=1)*ROW(Floors!$H$1:$H$245),ROWS($B$177:$B183))),"")</f>
        <v/>
      </c>
      <c r="H183" s="388" t="str" cm="1">
        <f t="array" ref="H183">IFERROR(_xlfn.AGGREGATE(15,3,(Floors!$H$1:$H$245=1)/(Floors!$H$1:$H$245=1)*ROW(Floors!$H$1:$H$245),ROWS($B$177:$B183)),"")</f>
        <v/>
      </c>
      <c r="I183" s="388" t="str" cm="1">
        <f t="array" ref="I183">IF(ROWS($B$177:$B183)&lt;=$J$177,ROUND(INDEX(Floors!D:D,H183),1)  &amp; " " &amp; INDEX(Floors!E:E,H183),"")</f>
        <v/>
      </c>
    </row>
    <row r="184" spans="1:10" ht="30.15" customHeight="1" x14ac:dyDescent="0.25">
      <c r="A184" s="204" t="str">
        <f>VLOOKUP("Floors",Setting!$E$6:$H$33,4,FALSE)</f>
        <v>Floors</v>
      </c>
      <c r="B184" s="205" t="str" cm="1">
        <f t="array" ref="B184">IF(ROWS($B$177:$B184)&lt;=$J$177,INDEX(Floors!$R:$R,_xlfn.AGGREGATE(15,3,(Floors!$H$1:$H$245=1)/(Floors!$H$1:$H$245=1)*ROW(Floors!$H$1:$H$245),ROWS($B$177:$B184))),"")</f>
        <v/>
      </c>
      <c r="C184" s="205" t="str" cm="1">
        <f t="array" ref="C184">IF(ROWS($B$177:$B184)&lt;=$J$177,INDEX(Floors!C:C,$H184) &amp; INDEX(Floors!S:S,$H184),"")</f>
        <v/>
      </c>
      <c r="D184" s="206" t="str">
        <f t="shared" ref="D184:D197" si="27">IFERROR(E184-F184,"")</f>
        <v/>
      </c>
      <c r="E184" s="206" t="str" cm="1">
        <f t="array" ref="E184">IF(ROWS($B$177:$B184)&lt;=$J$177,INDEX(Floors!K:K,_xlfn.AGGREGATE(15,3,(Floors!$H$1:$H$245=1)/(Floors!$H$1:$H$245=1)*ROW(Floors!$H$1:$H$245),ROWS($B$177:$B184))),"")</f>
        <v/>
      </c>
      <c r="F184" s="206" t="str" cm="1">
        <f t="array" ref="F184">IF(ROWS($B$177:$B184)&lt;=$J$177,INDEX(Floors!L:L,_xlfn.AGGREGATE(15,3,(Floors!$H$1:$H$245=1)/(Floors!$H$1:$H$245=1)*ROW(Floors!$H$1:$H$245),ROWS($B$177:$B184))),"")</f>
        <v/>
      </c>
      <c r="G184" s="206" t="str" cm="1">
        <f t="array" ref="G184">IF(ROWS($B$177:$B184)&lt;=$J$177,INDEX(Floors!M:M,_xlfn.AGGREGATE(15,3,(Floors!$H$1:$H$245=1)/(Floors!$H$1:$H$245=1)*ROW(Floors!$H$1:$H$245),ROWS($B$177:$B184))),"")</f>
        <v/>
      </c>
      <c r="H184" s="388" t="str" cm="1">
        <f t="array" ref="H184">IFERROR(_xlfn.AGGREGATE(15,3,(Floors!$H$1:$H$245=1)/(Floors!$H$1:$H$245=1)*ROW(Floors!$H$1:$H$245),ROWS($B$177:$B184)),"")</f>
        <v/>
      </c>
      <c r="I184" s="388" t="str" cm="1">
        <f t="array" ref="I184">IF(ROWS($B$177:$B184)&lt;=$J$177,ROUND(INDEX(Floors!D:D,H184),1)  &amp; " " &amp; INDEX(Floors!E:E,H184),"")</f>
        <v/>
      </c>
    </row>
    <row r="185" spans="1:10" ht="30.15" customHeight="1" x14ac:dyDescent="0.25">
      <c r="A185" s="204" t="str">
        <f>VLOOKUP("Floors",Setting!$E$6:$H$33,4,FALSE)</f>
        <v>Floors</v>
      </c>
      <c r="B185" s="205" t="str" cm="1">
        <f t="array" ref="B185">IF(ROWS($B$177:$B185)&lt;=$J$177,INDEX(Floors!$R:$R,_xlfn.AGGREGATE(15,3,(Floors!$H$1:$H$245=1)/(Floors!$H$1:$H$245=1)*ROW(Floors!$H$1:$H$245),ROWS($B$177:$B185))),"")</f>
        <v/>
      </c>
      <c r="C185" s="205" t="str" cm="1">
        <f t="array" ref="C185">IF(ROWS($B$177:$B185)&lt;=$J$177,INDEX(Floors!C:C,$H185) &amp; INDEX(Floors!S:S,$H185),"")</f>
        <v/>
      </c>
      <c r="D185" s="206" t="str">
        <f t="shared" si="27"/>
        <v/>
      </c>
      <c r="E185" s="206" t="str" cm="1">
        <f t="array" ref="E185">IF(ROWS($B$177:$B185)&lt;=$J$177,INDEX(Floors!K:K,_xlfn.AGGREGATE(15,3,(Floors!$H$1:$H$245=1)/(Floors!$H$1:$H$245=1)*ROW(Floors!$H$1:$H$245),ROWS($B$177:$B185))),"")</f>
        <v/>
      </c>
      <c r="F185" s="206" t="str" cm="1">
        <f t="array" ref="F185">IF(ROWS($B$177:$B185)&lt;=$J$177,INDEX(Floors!L:L,_xlfn.AGGREGATE(15,3,(Floors!$H$1:$H$245=1)/(Floors!$H$1:$H$245=1)*ROW(Floors!$H$1:$H$245),ROWS($B$177:$B185))),"")</f>
        <v/>
      </c>
      <c r="G185" s="206" t="str" cm="1">
        <f t="array" ref="G185">IF(ROWS($B$177:$B185)&lt;=$J$177,INDEX(Floors!M:M,_xlfn.AGGREGATE(15,3,(Floors!$H$1:$H$245=1)/(Floors!$H$1:$H$245=1)*ROW(Floors!$H$1:$H$245),ROWS($B$177:$B185))),"")</f>
        <v/>
      </c>
      <c r="H185" s="388" t="str" cm="1">
        <f t="array" ref="H185">IFERROR(_xlfn.AGGREGATE(15,3,(Floors!$H$1:$H$245=1)/(Floors!$H$1:$H$245=1)*ROW(Floors!$H$1:$H$245),ROWS($B$177:$B185)),"")</f>
        <v/>
      </c>
      <c r="I185" s="388" t="str" cm="1">
        <f t="array" ref="I185">IF(ROWS($B$177:$B185)&lt;=$J$177,ROUND(INDEX(Floors!D:D,H185),1)  &amp; " " &amp; INDEX(Floors!E:E,H185),"")</f>
        <v/>
      </c>
    </row>
    <row r="186" spans="1:10" ht="30.15" customHeight="1" x14ac:dyDescent="0.25">
      <c r="A186" s="204" t="str">
        <f>VLOOKUP("Floors",Setting!$E$6:$H$33,4,FALSE)</f>
        <v>Floors</v>
      </c>
      <c r="B186" s="205" t="str" cm="1">
        <f t="array" ref="B186">IF(ROWS($B$177:$B186)&lt;=$J$177,INDEX(Floors!$R:$R,_xlfn.AGGREGATE(15,3,(Floors!$H$1:$H$245=1)/(Floors!$H$1:$H$245=1)*ROW(Floors!$H$1:$H$245),ROWS($B$177:$B186))),"")</f>
        <v/>
      </c>
      <c r="C186" s="205" t="str" cm="1">
        <f t="array" ref="C186">IF(ROWS($B$177:$B186)&lt;=$J$177,INDEX(Floors!C:C,$H186) &amp; INDEX(Floors!S:S,$H186),"")</f>
        <v/>
      </c>
      <c r="D186" s="206" t="str">
        <f t="shared" si="27"/>
        <v/>
      </c>
      <c r="E186" s="206" t="str" cm="1">
        <f t="array" ref="E186">IF(ROWS($B$177:$B186)&lt;=$J$177,INDEX(Floors!K:K,_xlfn.AGGREGATE(15,3,(Floors!$H$1:$H$245=1)/(Floors!$H$1:$H$245=1)*ROW(Floors!$H$1:$H$245),ROWS($B$177:$B186))),"")</f>
        <v/>
      </c>
      <c r="F186" s="206" t="str" cm="1">
        <f t="array" ref="F186">IF(ROWS($B$177:$B186)&lt;=$J$177,INDEX(Floors!L:L,_xlfn.AGGREGATE(15,3,(Floors!$H$1:$H$245=1)/(Floors!$H$1:$H$245=1)*ROW(Floors!$H$1:$H$245),ROWS($B$177:$B186))),"")</f>
        <v/>
      </c>
      <c r="G186" s="206" t="str" cm="1">
        <f t="array" ref="G186">IF(ROWS($B$177:$B186)&lt;=$J$177,INDEX(Floors!M:M,_xlfn.AGGREGATE(15,3,(Floors!$H$1:$H$245=1)/(Floors!$H$1:$H$245=1)*ROW(Floors!$H$1:$H$245),ROWS($B$177:$B186))),"")</f>
        <v/>
      </c>
      <c r="H186" s="388" t="str" cm="1">
        <f t="array" ref="H186">IFERROR(_xlfn.AGGREGATE(15,3,(Floors!$H$1:$H$245=1)/(Floors!$H$1:$H$245=1)*ROW(Floors!$H$1:$H$245),ROWS($B$177:$B186)),"")</f>
        <v/>
      </c>
      <c r="I186" s="388" t="str" cm="1">
        <f t="array" ref="I186">IF(ROWS($B$177:$B186)&lt;=$J$177,ROUND(INDEX(Floors!D:D,H186),1)  &amp; " " &amp; INDEX(Floors!E:E,H186),"")</f>
        <v/>
      </c>
    </row>
    <row r="187" spans="1:10" ht="30.15" customHeight="1" x14ac:dyDescent="0.25">
      <c r="A187" s="204" t="str">
        <f>VLOOKUP("Floors",Setting!$E$6:$H$33,4,FALSE)</f>
        <v>Floors</v>
      </c>
      <c r="B187" s="205" t="str" cm="1">
        <f t="array" ref="B187">IF(ROWS($B$177:$B187)&lt;=$J$177,INDEX(Floors!$R:$R,_xlfn.AGGREGATE(15,3,(Floors!$H$1:$H$245=1)/(Floors!$H$1:$H$245=1)*ROW(Floors!$H$1:$H$245),ROWS($B$177:$B187))),"")</f>
        <v/>
      </c>
      <c r="C187" s="205" t="str" cm="1">
        <f t="array" ref="C187">IF(ROWS($B$177:$B187)&lt;=$J$177,INDEX(Floors!C:C,$H187) &amp; INDEX(Floors!S:S,$H187),"")</f>
        <v/>
      </c>
      <c r="D187" s="206" t="str">
        <f t="shared" si="27"/>
        <v/>
      </c>
      <c r="E187" s="206" t="str" cm="1">
        <f t="array" ref="E187">IF(ROWS($B$177:$B187)&lt;=$J$177,INDEX(Floors!K:K,_xlfn.AGGREGATE(15,3,(Floors!$H$1:$H$245=1)/(Floors!$H$1:$H$245=1)*ROW(Floors!$H$1:$H$245),ROWS($B$177:$B187))),"")</f>
        <v/>
      </c>
      <c r="F187" s="206" t="str" cm="1">
        <f t="array" ref="F187">IF(ROWS($B$177:$B187)&lt;=$J$177,INDEX(Floors!L:L,_xlfn.AGGREGATE(15,3,(Floors!$H$1:$H$245=1)/(Floors!$H$1:$H$245=1)*ROW(Floors!$H$1:$H$245),ROWS($B$177:$B187))),"")</f>
        <v/>
      </c>
      <c r="G187" s="206" t="str" cm="1">
        <f t="array" ref="G187">IF(ROWS($B$177:$B187)&lt;=$J$177,INDEX(Floors!M:M,_xlfn.AGGREGATE(15,3,(Floors!$H$1:$H$245=1)/(Floors!$H$1:$H$245=1)*ROW(Floors!$H$1:$H$245),ROWS($B$177:$B187))),"")</f>
        <v/>
      </c>
      <c r="H187" s="388" t="str" cm="1">
        <f t="array" ref="H187">IFERROR(_xlfn.AGGREGATE(15,3,(Floors!$H$1:$H$245=1)/(Floors!$H$1:$H$245=1)*ROW(Floors!$H$1:$H$245),ROWS($B$177:$B187)),"")</f>
        <v/>
      </c>
      <c r="I187" s="388" t="str" cm="1">
        <f t="array" ref="I187">IF(ROWS($B$177:$B187)&lt;=$J$177,ROUND(INDEX(Floors!D:D,H187),1)  &amp; " " &amp; INDEX(Floors!E:E,H187),"")</f>
        <v/>
      </c>
    </row>
    <row r="188" spans="1:10" ht="30.15" customHeight="1" x14ac:dyDescent="0.25">
      <c r="A188" s="204" t="str">
        <f>VLOOKUP("Floors",Setting!$E$6:$H$33,4,FALSE)</f>
        <v>Floors</v>
      </c>
      <c r="B188" s="205" t="str" cm="1">
        <f t="array" ref="B188">IF(ROWS($B$177:$B188)&lt;=$J$177,INDEX(Floors!$R:$R,_xlfn.AGGREGATE(15,3,(Floors!$H$1:$H$245=1)/(Floors!$H$1:$H$245=1)*ROW(Floors!$H$1:$H$245),ROWS($B$177:$B188))),"")</f>
        <v/>
      </c>
      <c r="C188" s="205" t="str" cm="1">
        <f t="array" ref="C188">IF(ROWS($B$177:$B188)&lt;=$J$177,INDEX(Floors!C:C,$H188) &amp; INDEX(Floors!S:S,$H188),"")</f>
        <v/>
      </c>
      <c r="D188" s="206" t="str">
        <f t="shared" si="27"/>
        <v/>
      </c>
      <c r="E188" s="206" t="str" cm="1">
        <f t="array" ref="E188">IF(ROWS($B$177:$B188)&lt;=$J$177,INDEX(Floors!K:K,_xlfn.AGGREGATE(15,3,(Floors!$H$1:$H$245=1)/(Floors!$H$1:$H$245=1)*ROW(Floors!$H$1:$H$245),ROWS($B$177:$B188))),"")</f>
        <v/>
      </c>
      <c r="F188" s="206" t="str" cm="1">
        <f t="array" ref="F188">IF(ROWS($B$177:$B188)&lt;=$J$177,INDEX(Floors!L:L,_xlfn.AGGREGATE(15,3,(Floors!$H$1:$H$245=1)/(Floors!$H$1:$H$245=1)*ROW(Floors!$H$1:$H$245),ROWS($B$177:$B188))),"")</f>
        <v/>
      </c>
      <c r="G188" s="206" t="str" cm="1">
        <f t="array" ref="G188">IF(ROWS($B$177:$B188)&lt;=$J$177,INDEX(Floors!M:M,_xlfn.AGGREGATE(15,3,(Floors!$H$1:$H$245=1)/(Floors!$H$1:$H$245=1)*ROW(Floors!$H$1:$H$245),ROWS($B$177:$B188))),"")</f>
        <v/>
      </c>
      <c r="H188" s="388" t="str" cm="1">
        <f t="array" ref="H188">IFERROR(_xlfn.AGGREGATE(15,3,(Floors!$H$1:$H$245=1)/(Floors!$H$1:$H$245=1)*ROW(Floors!$H$1:$H$245),ROWS($B$177:$B188)),"")</f>
        <v/>
      </c>
      <c r="I188" s="388" t="str" cm="1">
        <f t="array" ref="I188">IF(ROWS($B$177:$B188)&lt;=$J$177,ROUND(INDEX(Floors!D:D,H188),1)  &amp; " " &amp; INDEX(Floors!E:E,H188),"")</f>
        <v/>
      </c>
    </row>
    <row r="189" spans="1:10" ht="30.15" customHeight="1" x14ac:dyDescent="0.25">
      <c r="A189" s="204" t="str">
        <f>VLOOKUP("Floors",Setting!$E$6:$H$33,4,FALSE)</f>
        <v>Floors</v>
      </c>
      <c r="B189" s="205" t="str" cm="1">
        <f t="array" ref="B189">IF(ROWS($B$177:$B189)&lt;=$J$177,INDEX(Floors!$R:$R,_xlfn.AGGREGATE(15,3,(Floors!$H$1:$H$245=1)/(Floors!$H$1:$H$245=1)*ROW(Floors!$H$1:$H$245),ROWS($B$177:$B189))),"")</f>
        <v/>
      </c>
      <c r="C189" s="205" t="str" cm="1">
        <f t="array" ref="C189">IF(ROWS($B$177:$B189)&lt;=$J$177,INDEX(Floors!C:C,$H189) &amp; INDEX(Floors!S:S,$H189),"")</f>
        <v/>
      </c>
      <c r="D189" s="206" t="str">
        <f t="shared" si="27"/>
        <v/>
      </c>
      <c r="E189" s="206" t="str" cm="1">
        <f t="array" ref="E189">IF(ROWS($B$177:$B189)&lt;=$J$177,INDEX(Floors!K:K,_xlfn.AGGREGATE(15,3,(Floors!$H$1:$H$245=1)/(Floors!$H$1:$H$245=1)*ROW(Floors!$H$1:$H$245),ROWS($B$177:$B189))),"")</f>
        <v/>
      </c>
      <c r="F189" s="206" t="str" cm="1">
        <f t="array" ref="F189">IF(ROWS($B$177:$B189)&lt;=$J$177,INDEX(Floors!L:L,_xlfn.AGGREGATE(15,3,(Floors!$H$1:$H$245=1)/(Floors!$H$1:$H$245=1)*ROW(Floors!$H$1:$H$245),ROWS($B$177:$B189))),"")</f>
        <v/>
      </c>
      <c r="G189" s="206" t="str" cm="1">
        <f t="array" ref="G189">IF(ROWS($B$177:$B189)&lt;=$J$177,INDEX(Floors!M:M,_xlfn.AGGREGATE(15,3,(Floors!$H$1:$H$245=1)/(Floors!$H$1:$H$245=1)*ROW(Floors!$H$1:$H$245),ROWS($B$177:$B189))),"")</f>
        <v/>
      </c>
      <c r="H189" s="388" t="str" cm="1">
        <f t="array" ref="H189">IFERROR(_xlfn.AGGREGATE(15,3,(Floors!$H$1:$H$245=1)/(Floors!$H$1:$H$245=1)*ROW(Floors!$H$1:$H$245),ROWS($B$177:$B189)),"")</f>
        <v/>
      </c>
      <c r="I189" s="388" t="str" cm="1">
        <f t="array" ref="I189">IF(ROWS($B$177:$B189)&lt;=$J$177,ROUND(INDEX(Floors!D:D,H189),1)  &amp; " " &amp; INDEX(Floors!E:E,H189),"")</f>
        <v/>
      </c>
    </row>
    <row r="190" spans="1:10" ht="30.15" customHeight="1" x14ac:dyDescent="0.25">
      <c r="A190" s="204" t="str">
        <f>VLOOKUP("Floors",Setting!$E$6:$H$33,4,FALSE)</f>
        <v>Floors</v>
      </c>
      <c r="B190" s="205" t="str" cm="1">
        <f t="array" ref="B190">IF(ROWS($B$177:$B190)&lt;=$J$177,INDEX(Floors!$R:$R,_xlfn.AGGREGATE(15,3,(Floors!$H$1:$H$245=1)/(Floors!$H$1:$H$245=1)*ROW(Floors!$H$1:$H$245),ROWS($B$177:$B190))),"")</f>
        <v/>
      </c>
      <c r="C190" s="205" t="str" cm="1">
        <f t="array" ref="C190">IF(ROWS($B$177:$B190)&lt;=$J$177,INDEX(Floors!C:C,$H190) &amp; INDEX(Floors!S:S,$H190),"")</f>
        <v/>
      </c>
      <c r="D190" s="206" t="str">
        <f t="shared" si="27"/>
        <v/>
      </c>
      <c r="E190" s="206" t="str" cm="1">
        <f t="array" ref="E190">IF(ROWS($B$177:$B190)&lt;=$J$177,INDEX(Floors!K:K,_xlfn.AGGREGATE(15,3,(Floors!$H$1:$H$245=1)/(Floors!$H$1:$H$245=1)*ROW(Floors!$H$1:$H$245),ROWS($B$177:$B190))),"")</f>
        <v/>
      </c>
      <c r="F190" s="206" t="str" cm="1">
        <f t="array" ref="F190">IF(ROWS($B$177:$B190)&lt;=$J$177,INDEX(Floors!L:L,_xlfn.AGGREGATE(15,3,(Floors!$H$1:$H$245=1)/(Floors!$H$1:$H$245=1)*ROW(Floors!$H$1:$H$245),ROWS($B$177:$B190))),"")</f>
        <v/>
      </c>
      <c r="G190" s="206" t="str" cm="1">
        <f t="array" ref="G190">IF(ROWS($B$177:$B190)&lt;=$J$177,INDEX(Floors!M:M,_xlfn.AGGREGATE(15,3,(Floors!$H$1:$H$245=1)/(Floors!$H$1:$H$245=1)*ROW(Floors!$H$1:$H$245),ROWS($B$177:$B190))),"")</f>
        <v/>
      </c>
      <c r="H190" s="388" t="str" cm="1">
        <f t="array" ref="H190">IFERROR(_xlfn.AGGREGATE(15,3,(Floors!$H$1:$H$245=1)/(Floors!$H$1:$H$245=1)*ROW(Floors!$H$1:$H$245),ROWS($B$177:$B190)),"")</f>
        <v/>
      </c>
      <c r="I190" s="388" t="str" cm="1">
        <f t="array" ref="I190">IF(ROWS($B$177:$B190)&lt;=$J$177,ROUND(INDEX(Floors!D:D,H190),1)  &amp; " " &amp; INDEX(Floors!E:E,H190),"")</f>
        <v/>
      </c>
    </row>
    <row r="191" spans="1:10" ht="30.15" customHeight="1" x14ac:dyDescent="0.25">
      <c r="A191" s="204" t="str">
        <f>VLOOKUP("Floors",Setting!$E$6:$H$33,4,FALSE)</f>
        <v>Floors</v>
      </c>
      <c r="B191" s="205" t="str" cm="1">
        <f t="array" ref="B191">IF(ROWS($B$177:$B191)&lt;=$J$177,INDEX(Floors!$R:$R,_xlfn.AGGREGATE(15,3,(Floors!$H$1:$H$245=1)/(Floors!$H$1:$H$245=1)*ROW(Floors!$H$1:$H$245),ROWS($B$177:$B191))),"")</f>
        <v/>
      </c>
      <c r="C191" s="205" t="str" cm="1">
        <f t="array" ref="C191">IF(ROWS($B$177:$B191)&lt;=$J$177,INDEX(Floors!C:C,$H191) &amp; INDEX(Floors!S:S,$H191),"")</f>
        <v/>
      </c>
      <c r="D191" s="206" t="str">
        <f t="shared" si="27"/>
        <v/>
      </c>
      <c r="E191" s="206" t="str" cm="1">
        <f t="array" ref="E191">IF(ROWS($B$177:$B191)&lt;=$J$177,INDEX(Floors!K:K,_xlfn.AGGREGATE(15,3,(Floors!$H$1:$H$245=1)/(Floors!$H$1:$H$245=1)*ROW(Floors!$H$1:$H$245),ROWS($B$177:$B191))),"")</f>
        <v/>
      </c>
      <c r="F191" s="206" t="str" cm="1">
        <f t="array" ref="F191">IF(ROWS($B$177:$B191)&lt;=$J$177,INDEX(Floors!L:L,_xlfn.AGGREGATE(15,3,(Floors!$H$1:$H$245=1)/(Floors!$H$1:$H$245=1)*ROW(Floors!$H$1:$H$245),ROWS($B$177:$B191))),"")</f>
        <v/>
      </c>
      <c r="G191" s="206" t="str" cm="1">
        <f t="array" ref="G191">IF(ROWS($B$177:$B191)&lt;=$J$177,INDEX(Floors!M:M,_xlfn.AGGREGATE(15,3,(Floors!$H$1:$H$245=1)/(Floors!$H$1:$H$245=1)*ROW(Floors!$H$1:$H$245),ROWS($B$177:$B191))),"")</f>
        <v/>
      </c>
      <c r="H191" s="388" t="str" cm="1">
        <f t="array" ref="H191">IFERROR(_xlfn.AGGREGATE(15,3,(Floors!$H$1:$H$245=1)/(Floors!$H$1:$H$245=1)*ROW(Floors!$H$1:$H$245),ROWS($B$177:$B191)),"")</f>
        <v/>
      </c>
      <c r="I191" s="388" t="str" cm="1">
        <f t="array" ref="I191">IF(ROWS($B$177:$B191)&lt;=$J$177,ROUND(INDEX(Floors!D:D,H191),1)  &amp; " " &amp; INDEX(Floors!E:E,H191),"")</f>
        <v/>
      </c>
    </row>
    <row r="192" spans="1:10" ht="30.15" customHeight="1" x14ac:dyDescent="0.25">
      <c r="A192" s="204" t="str">
        <f>VLOOKUP("Floors",Setting!$E$6:$H$33,4,FALSE)</f>
        <v>Floors</v>
      </c>
      <c r="B192" s="205" t="str" cm="1">
        <f t="array" ref="B192">IF(ROWS($B$177:$B192)&lt;=$J$177,INDEX(Floors!$R:$R,_xlfn.AGGREGATE(15,3,(Floors!$H$1:$H$245=1)/(Floors!$H$1:$H$245=1)*ROW(Floors!$H$1:$H$245),ROWS($B$177:$B192))),"")</f>
        <v/>
      </c>
      <c r="C192" s="205" t="str" cm="1">
        <f t="array" ref="C192">IF(ROWS($B$177:$B192)&lt;=$J$177,INDEX(Floors!C:C,$H192) &amp; INDEX(Floors!S:S,$H192),"")</f>
        <v/>
      </c>
      <c r="D192" s="206" t="str">
        <f t="shared" si="27"/>
        <v/>
      </c>
      <c r="E192" s="206" t="str" cm="1">
        <f t="array" ref="E192">IF(ROWS($B$177:$B192)&lt;=$J$177,INDEX(Floors!K:K,_xlfn.AGGREGATE(15,3,(Floors!$H$1:$H$245=1)/(Floors!$H$1:$H$245=1)*ROW(Floors!$H$1:$H$245),ROWS($B$177:$B192))),"")</f>
        <v/>
      </c>
      <c r="F192" s="206" t="str" cm="1">
        <f t="array" ref="F192">IF(ROWS($B$177:$B192)&lt;=$J$177,INDEX(Floors!L:L,_xlfn.AGGREGATE(15,3,(Floors!$H$1:$H$245=1)/(Floors!$H$1:$H$245=1)*ROW(Floors!$H$1:$H$245),ROWS($B$177:$B192))),"")</f>
        <v/>
      </c>
      <c r="G192" s="206" t="str" cm="1">
        <f t="array" ref="G192">IF(ROWS($B$177:$B192)&lt;=$J$177,INDEX(Floors!M:M,_xlfn.AGGREGATE(15,3,(Floors!$H$1:$H$245=1)/(Floors!$H$1:$H$245=1)*ROW(Floors!$H$1:$H$245),ROWS($B$177:$B192))),"")</f>
        <v/>
      </c>
      <c r="H192" s="388" t="str" cm="1">
        <f t="array" ref="H192">IFERROR(_xlfn.AGGREGATE(15,3,(Floors!$H$1:$H$245=1)/(Floors!$H$1:$H$245=1)*ROW(Floors!$H$1:$H$245),ROWS($B$177:$B192)),"")</f>
        <v/>
      </c>
      <c r="I192" s="388" t="str" cm="1">
        <f t="array" ref="I192">IF(ROWS($B$177:$B192)&lt;=$J$177,ROUND(INDEX(Floors!D:D,H192),1)  &amp; " " &amp; INDEX(Floors!E:E,H192),"")</f>
        <v/>
      </c>
    </row>
    <row r="193" spans="1:10" ht="30.15" customHeight="1" x14ac:dyDescent="0.25">
      <c r="A193" s="204" t="str">
        <f>VLOOKUP("Floors",Setting!$E$6:$H$33,4,FALSE)</f>
        <v>Floors</v>
      </c>
      <c r="B193" s="205" t="str" cm="1">
        <f t="array" ref="B193">IF(ROWS($B$177:$B193)&lt;=$J$177,INDEX(Floors!$R:$R,_xlfn.AGGREGATE(15,3,(Floors!$H$1:$H$245=1)/(Floors!$H$1:$H$245=1)*ROW(Floors!$H$1:$H$245),ROWS($B$177:$B193))),"")</f>
        <v/>
      </c>
      <c r="C193" s="205" t="str" cm="1">
        <f t="array" ref="C193">IF(ROWS($B$177:$B193)&lt;=$J$177,INDEX(Floors!C:C,$H193) &amp; INDEX(Floors!S:S,$H193),"")</f>
        <v/>
      </c>
      <c r="D193" s="206" t="str">
        <f t="shared" si="27"/>
        <v/>
      </c>
      <c r="E193" s="206" t="str" cm="1">
        <f t="array" ref="E193">IF(ROWS($B$177:$B193)&lt;=$J$177,INDEX(Floors!K:K,_xlfn.AGGREGATE(15,3,(Floors!$H$1:$H$245=1)/(Floors!$H$1:$H$245=1)*ROW(Floors!$H$1:$H$245),ROWS($B$177:$B193))),"")</f>
        <v/>
      </c>
      <c r="F193" s="206" t="str" cm="1">
        <f t="array" ref="F193">IF(ROWS($B$177:$B193)&lt;=$J$177,INDEX(Floors!L:L,_xlfn.AGGREGATE(15,3,(Floors!$H$1:$H$245=1)/(Floors!$H$1:$H$245=1)*ROW(Floors!$H$1:$H$245),ROWS($B$177:$B193))),"")</f>
        <v/>
      </c>
      <c r="G193" s="206" t="str" cm="1">
        <f t="array" ref="G193">IF(ROWS($B$177:$B193)&lt;=$J$177,INDEX(Floors!M:M,_xlfn.AGGREGATE(15,3,(Floors!$H$1:$H$245=1)/(Floors!$H$1:$H$245=1)*ROW(Floors!$H$1:$H$245),ROWS($B$177:$B193))),"")</f>
        <v/>
      </c>
      <c r="H193" s="388" t="str" cm="1">
        <f t="array" ref="H193">IFERROR(_xlfn.AGGREGATE(15,3,(Floors!$H$1:$H$245=1)/(Floors!$H$1:$H$245=1)*ROW(Floors!$H$1:$H$245),ROWS($B$177:$B193)),"")</f>
        <v/>
      </c>
      <c r="I193" s="388" t="str" cm="1">
        <f t="array" ref="I193">IF(ROWS($B$177:$B193)&lt;=$J$177,ROUND(INDEX(Floors!D:D,H193),1)  &amp; " " &amp; INDEX(Floors!E:E,H193),"")</f>
        <v/>
      </c>
    </row>
    <row r="194" spans="1:10" ht="30.15" customHeight="1" x14ac:dyDescent="0.25">
      <c r="A194" s="204" t="str">
        <f>VLOOKUP("Floors",Setting!$E$6:$H$33,4,FALSE)</f>
        <v>Floors</v>
      </c>
      <c r="B194" s="205" t="str" cm="1">
        <f t="array" ref="B194">IF(ROWS($B$177:$B194)&lt;=$J$177,INDEX(Floors!$R:$R,_xlfn.AGGREGATE(15,3,(Floors!$H$1:$H$245=1)/(Floors!$H$1:$H$245=1)*ROW(Floors!$H$1:$H$245),ROWS($B$177:$B194))),"")</f>
        <v/>
      </c>
      <c r="C194" s="205" t="str" cm="1">
        <f t="array" ref="C194">IF(ROWS($B$177:$B194)&lt;=$J$177,INDEX(Floors!C:C,$H194) &amp; INDEX(Floors!S:S,$H194),"")</f>
        <v/>
      </c>
      <c r="D194" s="206" t="str">
        <f t="shared" si="27"/>
        <v/>
      </c>
      <c r="E194" s="206" t="str" cm="1">
        <f t="array" ref="E194">IF(ROWS($B$177:$B194)&lt;=$J$177,INDEX(Floors!K:K,_xlfn.AGGREGATE(15,3,(Floors!$H$1:$H$245=1)/(Floors!$H$1:$H$245=1)*ROW(Floors!$H$1:$H$245),ROWS($B$177:$B194))),"")</f>
        <v/>
      </c>
      <c r="F194" s="206" t="str" cm="1">
        <f t="array" ref="F194">IF(ROWS($B$177:$B194)&lt;=$J$177,INDEX(Floors!L:L,_xlfn.AGGREGATE(15,3,(Floors!$H$1:$H$245=1)/(Floors!$H$1:$H$245=1)*ROW(Floors!$H$1:$H$245),ROWS($B$177:$B194))),"")</f>
        <v/>
      </c>
      <c r="G194" s="206" t="str" cm="1">
        <f t="array" ref="G194">IF(ROWS($B$177:$B194)&lt;=$J$177,INDEX(Floors!M:M,_xlfn.AGGREGATE(15,3,(Floors!$H$1:$H$245=1)/(Floors!$H$1:$H$245=1)*ROW(Floors!$H$1:$H$245),ROWS($B$177:$B194))),"")</f>
        <v/>
      </c>
      <c r="H194" s="388" t="str" cm="1">
        <f t="array" ref="H194">IFERROR(_xlfn.AGGREGATE(15,3,(Floors!$H$1:$H$245=1)/(Floors!$H$1:$H$245=1)*ROW(Floors!$H$1:$H$245),ROWS($B$177:$B194)),"")</f>
        <v/>
      </c>
      <c r="I194" s="388" t="str" cm="1">
        <f t="array" ref="I194">IF(ROWS($B$177:$B194)&lt;=$J$177,ROUND(INDEX(Floors!D:D,H194),1)  &amp; " " &amp; INDEX(Floors!E:E,H194),"")</f>
        <v/>
      </c>
    </row>
    <row r="195" spans="1:10" ht="30.15" customHeight="1" x14ac:dyDescent="0.25">
      <c r="A195" s="204" t="str">
        <f>VLOOKUP("Floors",Setting!$E$6:$H$33,4,FALSE)</f>
        <v>Floors</v>
      </c>
      <c r="B195" s="205" t="str" cm="1">
        <f t="array" ref="B195">IF(ROWS($B$177:$B195)&lt;=$J$177,INDEX(Floors!$R:$R,_xlfn.AGGREGATE(15,3,(Floors!$H$1:$H$245=1)/(Floors!$H$1:$H$245=1)*ROW(Floors!$H$1:$H$245),ROWS($B$177:$B195))),"")</f>
        <v/>
      </c>
      <c r="C195" s="205" t="str" cm="1">
        <f t="array" ref="C195">IF(ROWS($B$177:$B195)&lt;=$J$177,INDEX(Floors!C:C,$H195) &amp; INDEX(Floors!S:S,$H195),"")</f>
        <v/>
      </c>
      <c r="D195" s="206" t="str">
        <f t="shared" si="27"/>
        <v/>
      </c>
      <c r="E195" s="206" t="str" cm="1">
        <f t="array" ref="E195">IF(ROWS($B$177:$B195)&lt;=$J$177,INDEX(Floors!K:K,_xlfn.AGGREGATE(15,3,(Floors!$H$1:$H$245=1)/(Floors!$H$1:$H$245=1)*ROW(Floors!$H$1:$H$245),ROWS($B$177:$B195))),"")</f>
        <v/>
      </c>
      <c r="F195" s="206" t="str" cm="1">
        <f t="array" ref="F195">IF(ROWS($B$177:$B195)&lt;=$J$177,INDEX(Floors!L:L,_xlfn.AGGREGATE(15,3,(Floors!$H$1:$H$245=1)/(Floors!$H$1:$H$245=1)*ROW(Floors!$H$1:$H$245),ROWS($B$177:$B195))),"")</f>
        <v/>
      </c>
      <c r="G195" s="206" t="str" cm="1">
        <f t="array" ref="G195">IF(ROWS($B$177:$B195)&lt;=$J$177,INDEX(Floors!M:M,_xlfn.AGGREGATE(15,3,(Floors!$H$1:$H$245=1)/(Floors!$H$1:$H$245=1)*ROW(Floors!$H$1:$H$245),ROWS($B$177:$B195))),"")</f>
        <v/>
      </c>
      <c r="H195" s="388" t="str" cm="1">
        <f t="array" ref="H195">IFERROR(_xlfn.AGGREGATE(15,3,(Floors!$H$1:$H$245=1)/(Floors!$H$1:$H$245=1)*ROW(Floors!$H$1:$H$245),ROWS($B$177:$B195)),"")</f>
        <v/>
      </c>
      <c r="I195" s="388" t="str" cm="1">
        <f t="array" ref="I195">IF(ROWS($B$177:$B195)&lt;=$J$177,ROUND(INDEX(Floors!D:D,H195),1)  &amp; " " &amp; INDEX(Floors!E:E,H195),"")</f>
        <v/>
      </c>
    </row>
    <row r="196" spans="1:10" ht="30.15" customHeight="1" x14ac:dyDescent="0.25">
      <c r="A196" s="204" t="str">
        <f>VLOOKUP("Floors",Setting!$E$6:$H$33,4,FALSE)</f>
        <v>Floors</v>
      </c>
      <c r="B196" s="205" t="str" cm="1">
        <f t="array" ref="B196">IF(ROWS($B$177:$B196)&lt;=$J$177,INDEX(Floors!$R:$R,_xlfn.AGGREGATE(15,3,(Floors!$H$1:$H$245=1)/(Floors!$H$1:$H$245=1)*ROW(Floors!$H$1:$H$245),ROWS($B$177:$B196))),"")</f>
        <v/>
      </c>
      <c r="C196" s="205" t="str" cm="1">
        <f t="array" ref="C196">IF(ROWS($B$177:$B196)&lt;=$J$177,INDEX(Floors!C:C,$H196) &amp; INDEX(Floors!S:S,$H196),"")</f>
        <v/>
      </c>
      <c r="D196" s="206" t="str">
        <f t="shared" si="27"/>
        <v/>
      </c>
      <c r="E196" s="206" t="str" cm="1">
        <f t="array" ref="E196">IF(ROWS($B$177:$B196)&lt;=$J$177,INDEX(Floors!K:K,_xlfn.AGGREGATE(15,3,(Floors!$H$1:$H$245=1)/(Floors!$H$1:$H$245=1)*ROW(Floors!$H$1:$H$245),ROWS($B$177:$B196))),"")</f>
        <v/>
      </c>
      <c r="F196" s="206" t="str" cm="1">
        <f t="array" ref="F196">IF(ROWS($B$177:$B196)&lt;=$J$177,INDEX(Floors!L:L,_xlfn.AGGREGATE(15,3,(Floors!$H$1:$H$245=1)/(Floors!$H$1:$H$245=1)*ROW(Floors!$H$1:$H$245),ROWS($B$177:$B196))),"")</f>
        <v/>
      </c>
      <c r="G196" s="206" t="str" cm="1">
        <f t="array" ref="G196">IF(ROWS($B$177:$B196)&lt;=$J$177,INDEX(Floors!M:M,_xlfn.AGGREGATE(15,3,(Floors!$H$1:$H$245=1)/(Floors!$H$1:$H$245=1)*ROW(Floors!$H$1:$H$245),ROWS($B$177:$B196))),"")</f>
        <v/>
      </c>
      <c r="H196" s="388" t="str" cm="1">
        <f t="array" ref="H196">IFERROR(_xlfn.AGGREGATE(15,3,(Floors!$H$1:$H$245=1)/(Floors!$H$1:$H$245=1)*ROW(Floors!$H$1:$H$245),ROWS($B$177:$B196)),"")</f>
        <v/>
      </c>
      <c r="I196" s="388" t="str" cm="1">
        <f t="array" ref="I196">IF(ROWS($B$177:$B196)&lt;=$J$177,ROUND(INDEX(Floors!D:D,H196),1)  &amp; " " &amp; INDEX(Floors!E:E,H196),"")</f>
        <v/>
      </c>
    </row>
    <row r="197" spans="1:10" ht="30.15" customHeight="1" x14ac:dyDescent="0.25">
      <c r="A197" s="204" t="str">
        <f>VLOOKUP("Ceilings",Setting!$E$6:$H$33,4,FALSE)</f>
        <v>Ceilings</v>
      </c>
      <c r="B197" s="205" t="str" cm="1">
        <f t="array" ref="B197">IF(ROWS($B$197:$B197)&lt;=$J197,INDEX(Ceilings!$R:$R,_xlfn.AGGREGATE(15,3,(Ceilings!$H$1:$H$210=1)/(Ceilings!$H$1:$H$210=1)*ROW(Ceilings!$H$1:$H$210),ROWS($B$197:$B197))),"")</f>
        <v/>
      </c>
      <c r="C197" s="205" t="str" cm="1">
        <f t="array" ref="C197">IF(ROWS($B$197:$B197)&lt;=$J$197,INDEX(Ceilings!C:C,$H197) &amp; INDEX(Ceilings!S:S,$H197),"")</f>
        <v/>
      </c>
      <c r="D197" s="206" t="str">
        <f t="shared" si="27"/>
        <v/>
      </c>
      <c r="E197" s="206" t="str" cm="1">
        <f t="array" ref="E197">IF(ROWS($B$197:$B197)&lt;=$J$197,INDEX(Ceilings!K:K,_xlfn.AGGREGATE(15,3,(Ceilings!$H$1:$H$210=1)/(Ceilings!$H$1:$H$210=1)*ROW(Ceilings!$H$1:$H$210),ROWS($B$197:$B197))),"")</f>
        <v/>
      </c>
      <c r="F197" s="206" t="str" cm="1">
        <f t="array" ref="F197">IF(ROWS($B$197:$B197)&lt;=$J$197,INDEX(Ceilings!L:L,_xlfn.AGGREGATE(15,3,(Ceilings!$H$1:$H$210=1)/(Ceilings!$H$1:$H$210=1)*ROW(Ceilings!$H$1:$H$210),ROWS($B$197:$B197))),"")</f>
        <v/>
      </c>
      <c r="G197" s="206" t="str" cm="1">
        <f t="array" ref="G197">IF(ROWS($B$197:$B197)&lt;=$J$197,INDEX(Ceilings!M:M,_xlfn.AGGREGATE(15,3,(Ceilings!$H$1:$H$210=1)/(Ceilings!$H$1:$H$210=1)*ROW(Ceilings!$H$1:$H$210),ROWS($B$197:$B197))),"")</f>
        <v/>
      </c>
      <c r="H197" s="388" t="str" cm="1">
        <f t="array" ref="H197">IFERROR(_xlfn.AGGREGATE(15,3,(Ceilings!$H$1:$H$210=1)/(Ceilings!$H$1:$H$210=1)*ROW(Ceilings!$H$1:$H$210),ROWS($B$197:$B197)),"")</f>
        <v/>
      </c>
      <c r="I197" s="388" t="str" cm="1">
        <f t="array" ref="I197">IF(ROWS($B$197:$B197)&lt;=$J$197,ROUND(INDEX(Ceilings!D:D,H197),1)  &amp; " " &amp; INDEX(Ceilings!E:E,H197),"")</f>
        <v/>
      </c>
      <c r="J197" s="207">
        <f>COUNTIF(Ceilings!$H$1:$H$516,1)</f>
        <v>0</v>
      </c>
    </row>
    <row r="198" spans="1:10" ht="30.15" customHeight="1" x14ac:dyDescent="0.25">
      <c r="A198" s="204" t="str">
        <f>VLOOKUP("Ceilings",Setting!$E$6:$H$33,4,FALSE)</f>
        <v>Ceilings</v>
      </c>
      <c r="B198" s="205" t="str" cm="1">
        <f t="array" ref="B198">IF(ROWS($B$197:$B198)&lt;=$J$197,INDEX(Ceilings!$R:$R,_xlfn.AGGREGATE(15,3,(Ceilings!$H$1:$H$210=1)/(Ceilings!$H$1:$H$210=1)*ROW(Ceilings!$H$1:$H$210),ROWS($B$197:$B198))),"")</f>
        <v/>
      </c>
      <c r="C198" s="205" t="str" cm="1">
        <f t="array" ref="C198">IF(ROWS($B$197:$B198)&lt;=$J$197,INDEX(Ceilings!C:C,$H198) &amp; INDEX(Ceilings!S:S,$H198),"")</f>
        <v/>
      </c>
      <c r="D198" s="206" t="str">
        <f t="shared" ref="D198:D212" si="28">IFERROR(E198-F198,"")</f>
        <v/>
      </c>
      <c r="E198" s="206" t="str" cm="1">
        <f t="array" ref="E198">IF(ROWS($B$197:$B198)&lt;=$J$197,INDEX(Ceilings!K:K,_xlfn.AGGREGATE(15,3,(Ceilings!$H$1:$H$210=1)/(Ceilings!$H$1:$H$210=1)*ROW(Ceilings!$H$1:$H$210),ROWS($B$197:$B198))),"")</f>
        <v/>
      </c>
      <c r="F198" s="206" t="str" cm="1">
        <f t="array" ref="F198">IF(ROWS($B$197:$B198)&lt;=$J$197,INDEX(Ceilings!L:L,_xlfn.AGGREGATE(15,3,(Ceilings!$H$1:$H$210=1)/(Ceilings!$H$1:$H$210=1)*ROW(Ceilings!$H$1:$H$210),ROWS($B$197:$B198))),"")</f>
        <v/>
      </c>
      <c r="G198" s="206" t="str" cm="1">
        <f t="array" ref="G198">IF(ROWS($B$197:$B198)&lt;=$J$197,INDEX(Ceilings!M:M,_xlfn.AGGREGATE(15,3,(Ceilings!$H$1:$H$210=1)/(Ceilings!$H$1:$H$210=1)*ROW(Ceilings!$H$1:$H$210),ROWS($B$197:$B198))),"")</f>
        <v/>
      </c>
      <c r="H198" s="388" t="str" cm="1">
        <f t="array" ref="H198">IFERROR(_xlfn.AGGREGATE(15,3,(Ceilings!$H$1:$H$210=1)/(Ceilings!$H$1:$H$210=1)*ROW(Ceilings!$H$1:$H$210),ROWS($B$197:$B198)),"")</f>
        <v/>
      </c>
      <c r="I198" s="388" t="str" cm="1">
        <f t="array" ref="I198">IF(ROWS($B$197:$B198)&lt;=$J$197,ROUND(INDEX(Ceilings!D:D,H198),1)  &amp; " " &amp; INDEX(Ceilings!E:E,H198),"")</f>
        <v/>
      </c>
    </row>
    <row r="199" spans="1:10" ht="30.15" customHeight="1" x14ac:dyDescent="0.25">
      <c r="A199" s="204" t="str">
        <f>VLOOKUP("Ceilings",Setting!$E$6:$H$33,4,FALSE)</f>
        <v>Ceilings</v>
      </c>
      <c r="B199" s="205" t="str" cm="1">
        <f t="array" ref="B199">IF(ROWS($B$197:$B199)&lt;=$J$197,INDEX(Ceilings!$R:$R,_xlfn.AGGREGATE(15,3,(Ceilings!$H$1:$H$210=1)/(Ceilings!$H$1:$H$210=1)*ROW(Ceilings!$H$1:$H$210),ROWS($B$197:$B199))),"")</f>
        <v/>
      </c>
      <c r="C199" s="205" t="str" cm="1">
        <f t="array" ref="C199">IF(ROWS($B$197:$B199)&lt;=$J$197,INDEX(Ceilings!C:C,$H199) &amp; INDEX(Ceilings!S:S,$H199),"")</f>
        <v/>
      </c>
      <c r="D199" s="206" t="str">
        <f t="shared" si="28"/>
        <v/>
      </c>
      <c r="E199" s="206" t="str" cm="1">
        <f t="array" ref="E199">IF(ROWS($B$197:$B199)&lt;=$J$197,INDEX(Ceilings!K:K,_xlfn.AGGREGATE(15,3,(Ceilings!$H$1:$H$210=1)/(Ceilings!$H$1:$H$210=1)*ROW(Ceilings!$H$1:$H$210),ROWS($B$197:$B199))),"")</f>
        <v/>
      </c>
      <c r="F199" s="206" t="str" cm="1">
        <f t="array" ref="F199">IF(ROWS($B$197:$B199)&lt;=$J$197,INDEX(Ceilings!L:L,_xlfn.AGGREGATE(15,3,(Ceilings!$H$1:$H$210=1)/(Ceilings!$H$1:$H$210=1)*ROW(Ceilings!$H$1:$H$210),ROWS($B$197:$B199))),"")</f>
        <v/>
      </c>
      <c r="G199" s="206" t="str" cm="1">
        <f t="array" ref="G199">IF(ROWS($B$197:$B199)&lt;=$J$197,INDEX(Ceilings!M:M,_xlfn.AGGREGATE(15,3,(Ceilings!$H$1:$H$210=1)/(Ceilings!$H$1:$H$210=1)*ROW(Ceilings!$H$1:$H$210),ROWS($B$197:$B199))),"")</f>
        <v/>
      </c>
      <c r="H199" s="388" t="str" cm="1">
        <f t="array" ref="H199">IFERROR(_xlfn.AGGREGATE(15,3,(Ceilings!$H$1:$H$210=1)/(Ceilings!$H$1:$H$210=1)*ROW(Ceilings!$H$1:$H$210),ROWS($B$197:$B199)),"")</f>
        <v/>
      </c>
      <c r="I199" s="388" t="str" cm="1">
        <f t="array" ref="I199">IF(ROWS($B$197:$B199)&lt;=$J$197,ROUND(INDEX(Ceilings!D:D,H199),1)  &amp; " " &amp; INDEX(Ceilings!E:E,H199),"")</f>
        <v/>
      </c>
    </row>
    <row r="200" spans="1:10" ht="30.15" customHeight="1" x14ac:dyDescent="0.25">
      <c r="A200" s="204" t="str">
        <f>VLOOKUP("Ceilings",Setting!$E$6:$H$33,4,FALSE)</f>
        <v>Ceilings</v>
      </c>
      <c r="B200" s="205" t="str" cm="1">
        <f t="array" ref="B200">IF(ROWS($B$197:$B200)&lt;=$J$197,INDEX(Ceilings!$R:$R,_xlfn.AGGREGATE(15,3,(Ceilings!$H$1:$H$210=1)/(Ceilings!$H$1:$H$210=1)*ROW(Ceilings!$H$1:$H$210),ROWS($B$197:$B200))),"")</f>
        <v/>
      </c>
      <c r="C200" s="205" t="str" cm="1">
        <f t="array" ref="C200">IF(ROWS($B$197:$B200)&lt;=$J$197,INDEX(Ceilings!C:C,$H200) &amp; INDEX(Ceilings!S:S,$H200),"")</f>
        <v/>
      </c>
      <c r="D200" s="206" t="str">
        <f t="shared" si="28"/>
        <v/>
      </c>
      <c r="E200" s="206" t="str" cm="1">
        <f t="array" ref="E200">IF(ROWS($B$197:$B200)&lt;=$J$197,INDEX(Ceilings!K:K,_xlfn.AGGREGATE(15,3,(Ceilings!$H$1:$H$210=1)/(Ceilings!$H$1:$H$210=1)*ROW(Ceilings!$H$1:$H$210),ROWS($B$197:$B200))),"")</f>
        <v/>
      </c>
      <c r="F200" s="206" t="str" cm="1">
        <f t="array" ref="F200">IF(ROWS($B$197:$B200)&lt;=$J$197,INDEX(Ceilings!L:L,_xlfn.AGGREGATE(15,3,(Ceilings!$H$1:$H$210=1)/(Ceilings!$H$1:$H$210=1)*ROW(Ceilings!$H$1:$H$210),ROWS($B$197:$B200))),"")</f>
        <v/>
      </c>
      <c r="G200" s="206" t="str" cm="1">
        <f t="array" ref="G200">IF(ROWS($B$197:$B200)&lt;=$J$197,INDEX(Ceilings!M:M,_xlfn.AGGREGATE(15,3,(Ceilings!$H$1:$H$210=1)/(Ceilings!$H$1:$H$210=1)*ROW(Ceilings!$H$1:$H$210),ROWS($B$197:$B200))),"")</f>
        <v/>
      </c>
      <c r="H200" s="388" t="str" cm="1">
        <f t="array" ref="H200">IFERROR(_xlfn.AGGREGATE(15,3,(Ceilings!$H$1:$H$210=1)/(Ceilings!$H$1:$H$210=1)*ROW(Ceilings!$H$1:$H$210),ROWS($B$197:$B200)),"")</f>
        <v/>
      </c>
      <c r="I200" s="388" t="str" cm="1">
        <f t="array" ref="I200">IF(ROWS($B$197:$B200)&lt;=$J$197,ROUND(INDEX(Ceilings!D:D,H200),1)  &amp; " " &amp; INDEX(Ceilings!E:E,H200),"")</f>
        <v/>
      </c>
    </row>
    <row r="201" spans="1:10" ht="30.15" customHeight="1" x14ac:dyDescent="0.25">
      <c r="A201" s="204" t="str">
        <f>VLOOKUP("Ceilings",Setting!$E$6:$H$33,4,FALSE)</f>
        <v>Ceilings</v>
      </c>
      <c r="B201" s="205" t="str" cm="1">
        <f t="array" ref="B201">IF(ROWS($B$197:$B201)&lt;=$J$197,INDEX(Ceilings!$R:$R,_xlfn.AGGREGATE(15,3,(Ceilings!$H$1:$H$210=1)/(Ceilings!$H$1:$H$210=1)*ROW(Ceilings!$H$1:$H$210),ROWS($B$197:$B201))),"")</f>
        <v/>
      </c>
      <c r="C201" s="205" t="str" cm="1">
        <f t="array" ref="C201">IF(ROWS($B$197:$B201)&lt;=$J$197,INDEX(Ceilings!C:C,$H201) &amp; INDEX(Ceilings!S:S,$H201),"")</f>
        <v/>
      </c>
      <c r="D201" s="206" t="str">
        <f t="shared" si="28"/>
        <v/>
      </c>
      <c r="E201" s="206" t="str" cm="1">
        <f t="array" ref="E201">IF(ROWS($B$197:$B201)&lt;=$J$197,INDEX(Ceilings!K:K,_xlfn.AGGREGATE(15,3,(Ceilings!$H$1:$H$210=1)/(Ceilings!$H$1:$H$210=1)*ROW(Ceilings!$H$1:$H$210),ROWS($B$197:$B201))),"")</f>
        <v/>
      </c>
      <c r="F201" s="206" t="str" cm="1">
        <f t="array" ref="F201">IF(ROWS($B$197:$B201)&lt;=$J$197,INDEX(Ceilings!L:L,_xlfn.AGGREGATE(15,3,(Ceilings!$H$1:$H$210=1)/(Ceilings!$H$1:$H$210=1)*ROW(Ceilings!$H$1:$H$210),ROWS($B$197:$B201))),"")</f>
        <v/>
      </c>
      <c r="G201" s="206" t="str" cm="1">
        <f t="array" ref="G201">IF(ROWS($B$197:$B201)&lt;=$J$197,INDEX(Ceilings!M:M,_xlfn.AGGREGATE(15,3,(Ceilings!$H$1:$H$210=1)/(Ceilings!$H$1:$H$210=1)*ROW(Ceilings!$H$1:$H$210),ROWS($B$197:$B201))),"")</f>
        <v/>
      </c>
      <c r="H201" s="388" t="str" cm="1">
        <f t="array" ref="H201">IFERROR(_xlfn.AGGREGATE(15,3,(Ceilings!$H$1:$H$210=1)/(Ceilings!$H$1:$H$210=1)*ROW(Ceilings!$H$1:$H$210),ROWS($B$197:$B201)),"")</f>
        <v/>
      </c>
      <c r="I201" s="388" t="str" cm="1">
        <f t="array" ref="I201">IF(ROWS($B$197:$B201)&lt;=$J$197,ROUND(INDEX(Ceilings!D:D,H201),1)  &amp; " " &amp; INDEX(Ceilings!E:E,H201),"")</f>
        <v/>
      </c>
    </row>
    <row r="202" spans="1:10" ht="30.15" customHeight="1" x14ac:dyDescent="0.25">
      <c r="A202" s="204" t="str">
        <f>VLOOKUP("Ceilings",Setting!$E$6:$H$33,4,FALSE)</f>
        <v>Ceilings</v>
      </c>
      <c r="B202" s="205" t="str" cm="1">
        <f t="array" ref="B202">IF(ROWS($B$197:$B202)&lt;=$J$197,INDEX(Ceilings!$R:$R,_xlfn.AGGREGATE(15,3,(Ceilings!$H$1:$H$210=1)/(Ceilings!$H$1:$H$210=1)*ROW(Ceilings!$H$1:$H$210),ROWS($B$197:$B202))),"")</f>
        <v/>
      </c>
      <c r="C202" s="205" t="str" cm="1">
        <f t="array" ref="C202">IF(ROWS($B$197:$B202)&lt;=$J$197,INDEX(Ceilings!C:C,$H202) &amp; INDEX(Ceilings!S:S,$H202),"")</f>
        <v/>
      </c>
      <c r="D202" s="206" t="str">
        <f t="shared" si="28"/>
        <v/>
      </c>
      <c r="E202" s="206" t="str" cm="1">
        <f t="array" ref="E202">IF(ROWS($B$197:$B202)&lt;=$J$197,INDEX(Ceilings!K:K,_xlfn.AGGREGATE(15,3,(Ceilings!$H$1:$H$210=1)/(Ceilings!$H$1:$H$210=1)*ROW(Ceilings!$H$1:$H$210),ROWS($B$197:$B202))),"")</f>
        <v/>
      </c>
      <c r="F202" s="206" t="str" cm="1">
        <f t="array" ref="F202">IF(ROWS($B$197:$B202)&lt;=$J$197,INDEX(Ceilings!L:L,_xlfn.AGGREGATE(15,3,(Ceilings!$H$1:$H$210=1)/(Ceilings!$H$1:$H$210=1)*ROW(Ceilings!$H$1:$H$210),ROWS($B$197:$B202))),"")</f>
        <v/>
      </c>
      <c r="G202" s="206" t="str" cm="1">
        <f t="array" ref="G202">IF(ROWS($B$197:$B202)&lt;=$J$197,INDEX(Ceilings!M:M,_xlfn.AGGREGATE(15,3,(Ceilings!$H$1:$H$210=1)/(Ceilings!$H$1:$H$210=1)*ROW(Ceilings!$H$1:$H$210),ROWS($B$197:$B202))),"")</f>
        <v/>
      </c>
      <c r="H202" s="388" t="str" cm="1">
        <f t="array" ref="H202">IFERROR(_xlfn.AGGREGATE(15,3,(Ceilings!$H$1:$H$210=1)/(Ceilings!$H$1:$H$210=1)*ROW(Ceilings!$H$1:$H$210),ROWS($B$197:$B202)),"")</f>
        <v/>
      </c>
      <c r="I202" s="388" t="str" cm="1">
        <f t="array" ref="I202">IF(ROWS($B$197:$B202)&lt;=$J$197,ROUND(INDEX(Ceilings!D:D,H202),1)  &amp; " " &amp; INDEX(Ceilings!E:E,H202),"")</f>
        <v/>
      </c>
    </row>
    <row r="203" spans="1:10" ht="30.15" customHeight="1" x14ac:dyDescent="0.25">
      <c r="A203" s="204" t="str">
        <f>VLOOKUP("Ceilings",Setting!$E$6:$H$33,4,FALSE)</f>
        <v>Ceilings</v>
      </c>
      <c r="B203" s="205" t="str" cm="1">
        <f t="array" ref="B203">IF(ROWS($B$197:$B203)&lt;=$J$197,INDEX(Ceilings!$R:$R,_xlfn.AGGREGATE(15,3,(Ceilings!$H$1:$H$210=1)/(Ceilings!$H$1:$H$210=1)*ROW(Ceilings!$H$1:$H$210),ROWS($B$197:$B203))),"")</f>
        <v/>
      </c>
      <c r="C203" s="205" t="str" cm="1">
        <f t="array" ref="C203">IF(ROWS($B$197:$B203)&lt;=$J$197,INDEX(Ceilings!C:C,$H203) &amp; INDEX(Ceilings!S:S,$H203),"")</f>
        <v/>
      </c>
      <c r="D203" s="206" t="str">
        <f t="shared" si="28"/>
        <v/>
      </c>
      <c r="E203" s="206" t="str" cm="1">
        <f t="array" ref="E203">IF(ROWS($B$197:$B203)&lt;=$J$197,INDEX(Ceilings!K:K,_xlfn.AGGREGATE(15,3,(Ceilings!$H$1:$H$210=1)/(Ceilings!$H$1:$H$210=1)*ROW(Ceilings!$H$1:$H$210),ROWS($B$197:$B203))),"")</f>
        <v/>
      </c>
      <c r="F203" s="206" t="str" cm="1">
        <f t="array" ref="F203">IF(ROWS($B$197:$B203)&lt;=$J$197,INDEX(Ceilings!L:L,_xlfn.AGGREGATE(15,3,(Ceilings!$H$1:$H$210=1)/(Ceilings!$H$1:$H$210=1)*ROW(Ceilings!$H$1:$H$210),ROWS($B$197:$B203))),"")</f>
        <v/>
      </c>
      <c r="G203" s="206" t="str" cm="1">
        <f t="array" ref="G203">IF(ROWS($B$197:$B203)&lt;=$J$197,INDEX(Ceilings!M:M,_xlfn.AGGREGATE(15,3,(Ceilings!$H$1:$H$210=1)/(Ceilings!$H$1:$H$210=1)*ROW(Ceilings!$H$1:$H$210),ROWS($B$197:$B203))),"")</f>
        <v/>
      </c>
      <c r="H203" s="388" t="str" cm="1">
        <f t="array" ref="H203">IFERROR(_xlfn.AGGREGATE(15,3,(Ceilings!$H$1:$H$210=1)/(Ceilings!$H$1:$H$210=1)*ROW(Ceilings!$H$1:$H$210),ROWS($B$197:$B203)),"")</f>
        <v/>
      </c>
      <c r="I203" s="388" t="str" cm="1">
        <f t="array" ref="I203">IF(ROWS($B$197:$B203)&lt;=$J$197,ROUND(INDEX(Ceilings!D:D,H203),1)  &amp; " " &amp; INDEX(Ceilings!E:E,H203),"")</f>
        <v/>
      </c>
    </row>
    <row r="204" spans="1:10" ht="30.15" customHeight="1" x14ac:dyDescent="0.25">
      <c r="A204" s="204" t="str">
        <f>VLOOKUP("Ceilings",Setting!$E$6:$H$33,4,FALSE)</f>
        <v>Ceilings</v>
      </c>
      <c r="B204" s="205" t="str" cm="1">
        <f t="array" ref="B204">IF(ROWS($B$197:$B204)&lt;=$J$197,INDEX(Ceilings!$R:$R,_xlfn.AGGREGATE(15,3,(Ceilings!$H$1:$H$210=1)/(Ceilings!$H$1:$H$210=1)*ROW(Ceilings!$H$1:$H$210),ROWS($B$197:$B204))),"")</f>
        <v/>
      </c>
      <c r="C204" s="205" t="str" cm="1">
        <f t="array" ref="C204">IF(ROWS($B$197:$B204)&lt;=$J$197,INDEX(Ceilings!C:C,$H204) &amp; INDEX(Ceilings!S:S,$H204),"")</f>
        <v/>
      </c>
      <c r="D204" s="206" t="str">
        <f t="shared" si="28"/>
        <v/>
      </c>
      <c r="E204" s="206" t="str" cm="1">
        <f t="array" ref="E204">IF(ROWS($B$197:$B204)&lt;=$J$197,INDEX(Ceilings!K:K,_xlfn.AGGREGATE(15,3,(Ceilings!$H$1:$H$210=1)/(Ceilings!$H$1:$H$210=1)*ROW(Ceilings!$H$1:$H$210),ROWS($B$197:$B204))),"")</f>
        <v/>
      </c>
      <c r="F204" s="206" t="str" cm="1">
        <f t="array" ref="F204">IF(ROWS($B$197:$B204)&lt;=$J$197,INDEX(Ceilings!L:L,_xlfn.AGGREGATE(15,3,(Ceilings!$H$1:$H$210=1)/(Ceilings!$H$1:$H$210=1)*ROW(Ceilings!$H$1:$H$210),ROWS($B$197:$B204))),"")</f>
        <v/>
      </c>
      <c r="G204" s="206" t="str" cm="1">
        <f t="array" ref="G204">IF(ROWS($B$197:$B204)&lt;=$J$197,INDEX(Ceilings!M:M,_xlfn.AGGREGATE(15,3,(Ceilings!$H$1:$H$210=1)/(Ceilings!$H$1:$H$210=1)*ROW(Ceilings!$H$1:$H$210),ROWS($B$197:$B204))),"")</f>
        <v/>
      </c>
      <c r="H204" s="388" t="str" cm="1">
        <f t="array" ref="H204">IFERROR(_xlfn.AGGREGATE(15,3,(Ceilings!$H$1:$H$210=1)/(Ceilings!$H$1:$H$210=1)*ROW(Ceilings!$H$1:$H$210),ROWS($B$197:$B204)),"")</f>
        <v/>
      </c>
      <c r="I204" s="388" t="str" cm="1">
        <f t="array" ref="I204">IF(ROWS($B$197:$B204)&lt;=$J$197,ROUND(INDEX(Ceilings!D:D,H204),1)  &amp; " " &amp; INDEX(Ceilings!E:E,H204),"")</f>
        <v/>
      </c>
    </row>
    <row r="205" spans="1:10" ht="30.15" customHeight="1" x14ac:dyDescent="0.25">
      <c r="A205" s="204" t="str">
        <f>VLOOKUP("Ceilings",Setting!$E$6:$H$33,4,FALSE)</f>
        <v>Ceilings</v>
      </c>
      <c r="B205" s="205" t="str" cm="1">
        <f t="array" ref="B205">IF(ROWS($B$197:$B205)&lt;=$J$197,INDEX(Ceilings!$R:$R,_xlfn.AGGREGATE(15,3,(Ceilings!$H$1:$H$210=1)/(Ceilings!$H$1:$H$210=1)*ROW(Ceilings!$H$1:$H$210),ROWS($B$197:$B205))),"")</f>
        <v/>
      </c>
      <c r="C205" s="205" t="str" cm="1">
        <f t="array" ref="C205">IF(ROWS($B$197:$B205)&lt;=$J$197,INDEX(Ceilings!C:C,$H205) &amp; INDEX(Ceilings!S:S,$H205),"")</f>
        <v/>
      </c>
      <c r="D205" s="206" t="str">
        <f t="shared" si="28"/>
        <v/>
      </c>
      <c r="E205" s="206" t="str" cm="1">
        <f t="array" ref="E205">IF(ROWS($B$197:$B205)&lt;=$J$197,INDEX(Ceilings!K:K,_xlfn.AGGREGATE(15,3,(Ceilings!$H$1:$H$210=1)/(Ceilings!$H$1:$H$210=1)*ROW(Ceilings!$H$1:$H$210),ROWS($B$197:$B205))),"")</f>
        <v/>
      </c>
      <c r="F205" s="206" t="str" cm="1">
        <f t="array" ref="F205">IF(ROWS($B$197:$B205)&lt;=$J$197,INDEX(Ceilings!L:L,_xlfn.AGGREGATE(15,3,(Ceilings!$H$1:$H$210=1)/(Ceilings!$H$1:$H$210=1)*ROW(Ceilings!$H$1:$H$210),ROWS($B$197:$B205))),"")</f>
        <v/>
      </c>
      <c r="G205" s="206" t="str" cm="1">
        <f t="array" ref="G205">IF(ROWS($B$197:$B205)&lt;=$J$197,INDEX(Ceilings!M:M,_xlfn.AGGREGATE(15,3,(Ceilings!$H$1:$H$210=1)/(Ceilings!$H$1:$H$210=1)*ROW(Ceilings!$H$1:$H$210),ROWS($B$197:$B205))),"")</f>
        <v/>
      </c>
      <c r="H205" s="388" t="str" cm="1">
        <f t="array" ref="H205">IFERROR(_xlfn.AGGREGATE(15,3,(Ceilings!$H$1:$H$210=1)/(Ceilings!$H$1:$H$210=1)*ROW(Ceilings!$H$1:$H$210),ROWS($B$197:$B205)),"")</f>
        <v/>
      </c>
      <c r="I205" s="388" t="str" cm="1">
        <f t="array" ref="I205">IF(ROWS($B$197:$B205)&lt;=$J$197,ROUND(INDEX(Ceilings!D:D,H205),1)  &amp; " " &amp; INDEX(Ceilings!E:E,H205),"")</f>
        <v/>
      </c>
    </row>
    <row r="206" spans="1:10" ht="30.15" customHeight="1" x14ac:dyDescent="0.25">
      <c r="A206" s="204" t="str">
        <f>VLOOKUP("Ceilings",Setting!$E$6:$H$33,4,FALSE)</f>
        <v>Ceilings</v>
      </c>
      <c r="B206" s="205" t="str" cm="1">
        <f t="array" ref="B206">IF(ROWS($B$197:$B206)&lt;=$J$197,INDEX(Ceilings!$R:$R,_xlfn.AGGREGATE(15,3,(Ceilings!$H$1:$H$210=1)/(Ceilings!$H$1:$H$210=1)*ROW(Ceilings!$H$1:$H$210),ROWS($B$197:$B206))),"")</f>
        <v/>
      </c>
      <c r="C206" s="205" t="str" cm="1">
        <f t="array" ref="C206">IF(ROWS($B$197:$B206)&lt;=$J$197,INDEX(Ceilings!C:C,$H206) &amp; INDEX(Ceilings!S:S,$H206),"")</f>
        <v/>
      </c>
      <c r="D206" s="206" t="str">
        <f t="shared" si="28"/>
        <v/>
      </c>
      <c r="E206" s="206" t="str" cm="1">
        <f t="array" ref="E206">IF(ROWS($B$197:$B206)&lt;=$J$197,INDEX(Ceilings!K:K,_xlfn.AGGREGATE(15,3,(Ceilings!$H$1:$H$210=1)/(Ceilings!$H$1:$H$210=1)*ROW(Ceilings!$H$1:$H$210),ROWS($B$197:$B206))),"")</f>
        <v/>
      </c>
      <c r="F206" s="206" t="str" cm="1">
        <f t="array" ref="F206">IF(ROWS($B$197:$B206)&lt;=$J$197,INDEX(Ceilings!L:L,_xlfn.AGGREGATE(15,3,(Ceilings!$H$1:$H$210=1)/(Ceilings!$H$1:$H$210=1)*ROW(Ceilings!$H$1:$H$210),ROWS($B$197:$B206))),"")</f>
        <v/>
      </c>
      <c r="G206" s="206" t="str" cm="1">
        <f t="array" ref="G206">IF(ROWS($B$197:$B206)&lt;=$J$197,INDEX(Ceilings!M:M,_xlfn.AGGREGATE(15,3,(Ceilings!$H$1:$H$210=1)/(Ceilings!$H$1:$H$210=1)*ROW(Ceilings!$H$1:$H$210),ROWS($B$197:$B206))),"")</f>
        <v/>
      </c>
      <c r="H206" s="388" t="str" cm="1">
        <f t="array" ref="H206">IFERROR(_xlfn.AGGREGATE(15,3,(Ceilings!$H$1:$H$210=1)/(Ceilings!$H$1:$H$210=1)*ROW(Ceilings!$H$1:$H$210),ROWS($B$197:$B206)),"")</f>
        <v/>
      </c>
      <c r="I206" s="388" t="str" cm="1">
        <f t="array" ref="I206">IF(ROWS($B$197:$B206)&lt;=$J$197,ROUND(INDEX(Ceilings!D:D,H206),1)  &amp; " " &amp; INDEX(Ceilings!E:E,H206),"")</f>
        <v/>
      </c>
    </row>
    <row r="207" spans="1:10" ht="30.15" customHeight="1" x14ac:dyDescent="0.25">
      <c r="A207" s="204" t="str">
        <f>VLOOKUP("Ceilings",Setting!$E$6:$H$33,4,FALSE)</f>
        <v>Ceilings</v>
      </c>
      <c r="B207" s="205" t="str" cm="1">
        <f t="array" ref="B207">IF(ROWS($B$197:$B207)&lt;=$J$197,INDEX(Ceilings!$R:$R,_xlfn.AGGREGATE(15,3,(Ceilings!$H$1:$H$210=1)/(Ceilings!$H$1:$H$210=1)*ROW(Ceilings!$H$1:$H$210),ROWS($B$197:$B207))),"")</f>
        <v/>
      </c>
      <c r="C207" s="205" t="str" cm="1">
        <f t="array" ref="C207">IF(ROWS($B$197:$B207)&lt;=$J$197,INDEX(Ceilings!C:C,$H207) &amp; INDEX(Ceilings!S:S,$H207),"")</f>
        <v/>
      </c>
      <c r="D207" s="206" t="str">
        <f t="shared" si="28"/>
        <v/>
      </c>
      <c r="E207" s="206" t="str" cm="1">
        <f t="array" ref="E207">IF(ROWS($B$197:$B207)&lt;=$J$197,INDEX(Ceilings!K:K,_xlfn.AGGREGATE(15,3,(Ceilings!$H$1:$H$210=1)/(Ceilings!$H$1:$H$210=1)*ROW(Ceilings!$H$1:$H$210),ROWS($B$197:$B207))),"")</f>
        <v/>
      </c>
      <c r="F207" s="206" t="str" cm="1">
        <f t="array" ref="F207">IF(ROWS($B$197:$B207)&lt;=$J$197,INDEX(Ceilings!L:L,_xlfn.AGGREGATE(15,3,(Ceilings!$H$1:$H$210=1)/(Ceilings!$H$1:$H$210=1)*ROW(Ceilings!$H$1:$H$210),ROWS($B$197:$B207))),"")</f>
        <v/>
      </c>
      <c r="G207" s="206" t="str" cm="1">
        <f t="array" ref="G207">IF(ROWS($B$197:$B207)&lt;=$J$197,INDEX(Ceilings!M:M,_xlfn.AGGREGATE(15,3,(Ceilings!$H$1:$H$210=1)/(Ceilings!$H$1:$H$210=1)*ROW(Ceilings!$H$1:$H$210),ROWS($B$197:$B207))),"")</f>
        <v/>
      </c>
      <c r="H207" s="388" t="str" cm="1">
        <f t="array" ref="H207">IFERROR(_xlfn.AGGREGATE(15,3,(Ceilings!$H$1:$H$210=1)/(Ceilings!$H$1:$H$210=1)*ROW(Ceilings!$H$1:$H$210),ROWS($B$197:$B207)),"")</f>
        <v/>
      </c>
      <c r="I207" s="388" t="str" cm="1">
        <f t="array" ref="I207">IF(ROWS($B$197:$B207)&lt;=$J$197,ROUND(INDEX(Ceilings!D:D,H207),1)  &amp; " " &amp; INDEX(Ceilings!E:E,H207),"")</f>
        <v/>
      </c>
    </row>
    <row r="208" spans="1:10" ht="30.15" customHeight="1" x14ac:dyDescent="0.25">
      <c r="A208" s="204" t="str">
        <f>VLOOKUP("Ceilings",Setting!$E$6:$H$33,4,FALSE)</f>
        <v>Ceilings</v>
      </c>
      <c r="B208" s="205" t="str" cm="1">
        <f t="array" ref="B208">IF(ROWS($B$197:$B208)&lt;=$J$197,INDEX(Ceilings!$R:$R,_xlfn.AGGREGATE(15,3,(Ceilings!$H$1:$H$210=1)/(Ceilings!$H$1:$H$210=1)*ROW(Ceilings!$H$1:$H$210),ROWS($B$197:$B208))),"")</f>
        <v/>
      </c>
      <c r="C208" s="205" t="str" cm="1">
        <f t="array" ref="C208">IF(ROWS($B$197:$B208)&lt;=$J$197,INDEX(Ceilings!C:C,$H208) &amp; INDEX(Ceilings!S:S,$H208),"")</f>
        <v/>
      </c>
      <c r="D208" s="206" t="str">
        <f t="shared" si="28"/>
        <v/>
      </c>
      <c r="E208" s="206" t="str" cm="1">
        <f t="array" ref="E208">IF(ROWS($B$197:$B208)&lt;=$J$197,INDEX(Ceilings!K:K,_xlfn.AGGREGATE(15,3,(Ceilings!$H$1:$H$210=1)/(Ceilings!$H$1:$H$210=1)*ROW(Ceilings!$H$1:$H$210),ROWS($B$197:$B208))),"")</f>
        <v/>
      </c>
      <c r="F208" s="206" t="str" cm="1">
        <f t="array" ref="F208">IF(ROWS($B$197:$B208)&lt;=$J$197,INDEX(Ceilings!L:L,_xlfn.AGGREGATE(15,3,(Ceilings!$H$1:$H$210=1)/(Ceilings!$H$1:$H$210=1)*ROW(Ceilings!$H$1:$H$210),ROWS($B$197:$B208))),"")</f>
        <v/>
      </c>
      <c r="G208" s="206" t="str" cm="1">
        <f t="array" ref="G208">IF(ROWS($B$197:$B208)&lt;=$J$197,INDEX(Ceilings!M:M,_xlfn.AGGREGATE(15,3,(Ceilings!$H$1:$H$210=1)/(Ceilings!$H$1:$H$210=1)*ROW(Ceilings!$H$1:$H$210),ROWS($B$197:$B208))),"")</f>
        <v/>
      </c>
      <c r="H208" s="388" t="str" cm="1">
        <f t="array" ref="H208">IFERROR(_xlfn.AGGREGATE(15,3,(Ceilings!$H$1:$H$210=1)/(Ceilings!$H$1:$H$210=1)*ROW(Ceilings!$H$1:$H$210),ROWS($B$197:$B208)),"")</f>
        <v/>
      </c>
      <c r="I208" s="388" t="str" cm="1">
        <f t="array" ref="I208">IF(ROWS($B$197:$B208)&lt;=$J$197,ROUND(INDEX(Ceilings!D:D,H208),1)  &amp; " " &amp; INDEX(Ceilings!E:E,H208),"")</f>
        <v/>
      </c>
    </row>
    <row r="209" spans="1:10" ht="30.15" customHeight="1" x14ac:dyDescent="0.25">
      <c r="A209" s="204" t="str">
        <f>VLOOKUP("Ceilings",Setting!$E$6:$H$33,4,FALSE)</f>
        <v>Ceilings</v>
      </c>
      <c r="B209" s="205" t="str" cm="1">
        <f t="array" ref="B209">IF(ROWS($B$197:$B209)&lt;=$J$197,INDEX(Ceilings!$R:$R,_xlfn.AGGREGATE(15,3,(Ceilings!$H$1:$H$210=1)/(Ceilings!$H$1:$H$210=1)*ROW(Ceilings!$H$1:$H$210),ROWS($B$197:$B209))),"")</f>
        <v/>
      </c>
      <c r="C209" s="205" t="str" cm="1">
        <f t="array" ref="C209">IF(ROWS($B$197:$B209)&lt;=$J$197,INDEX(Ceilings!C:C,$H209) &amp; INDEX(Ceilings!S:S,$H209),"")</f>
        <v/>
      </c>
      <c r="D209" s="206" t="str">
        <f t="shared" si="28"/>
        <v/>
      </c>
      <c r="E209" s="206" t="str" cm="1">
        <f t="array" ref="E209">IF(ROWS($B$197:$B209)&lt;=$J$197,INDEX(Ceilings!K:K,_xlfn.AGGREGATE(15,3,(Ceilings!$H$1:$H$210=1)/(Ceilings!$H$1:$H$210=1)*ROW(Ceilings!$H$1:$H$210),ROWS($B$197:$B209))),"")</f>
        <v/>
      </c>
      <c r="F209" s="206" t="str" cm="1">
        <f t="array" ref="F209">IF(ROWS($B$197:$B209)&lt;=$J$197,INDEX(Ceilings!L:L,_xlfn.AGGREGATE(15,3,(Ceilings!$H$1:$H$210=1)/(Ceilings!$H$1:$H$210=1)*ROW(Ceilings!$H$1:$H$210),ROWS($B$197:$B209))),"")</f>
        <v/>
      </c>
      <c r="G209" s="206" t="str" cm="1">
        <f t="array" ref="G209">IF(ROWS($B$197:$B209)&lt;=$J$197,INDEX(Ceilings!M:M,_xlfn.AGGREGATE(15,3,(Ceilings!$H$1:$H$210=1)/(Ceilings!$H$1:$H$210=1)*ROW(Ceilings!$H$1:$H$210),ROWS($B$197:$B209))),"")</f>
        <v/>
      </c>
      <c r="H209" s="388" t="str" cm="1">
        <f t="array" ref="H209">IFERROR(_xlfn.AGGREGATE(15,3,(Ceilings!$H$1:$H$210=1)/(Ceilings!$H$1:$H$210=1)*ROW(Ceilings!$H$1:$H$210),ROWS($B$197:$B209)),"")</f>
        <v/>
      </c>
      <c r="I209" s="388" t="str" cm="1">
        <f t="array" ref="I209">IF(ROWS($B$197:$B209)&lt;=$J$197,ROUND(INDEX(Ceilings!D:D,H209),1)  &amp; " " &amp; INDEX(Ceilings!E:E,H209),"")</f>
        <v/>
      </c>
    </row>
    <row r="210" spans="1:10" ht="30.15" customHeight="1" x14ac:dyDescent="0.25">
      <c r="A210" s="204" t="str">
        <f>VLOOKUP("Ceilings",Setting!$E$6:$H$33,4,FALSE)</f>
        <v>Ceilings</v>
      </c>
      <c r="B210" s="205" t="str" cm="1">
        <f t="array" ref="B210">IF(ROWS($B$197:$B210)&lt;=$J$197,INDEX(Ceilings!$R:$R,_xlfn.AGGREGATE(15,3,(Ceilings!$H$1:$H$210=1)/(Ceilings!$H$1:$H$210=1)*ROW(Ceilings!$H$1:$H$210),ROWS($B$197:$B210))),"")</f>
        <v/>
      </c>
      <c r="C210" s="205" t="str" cm="1">
        <f t="array" ref="C210">IF(ROWS($B$197:$B210)&lt;=$J$197,INDEX(Ceilings!C:C,$H210) &amp; INDEX(Ceilings!S:S,$H210),"")</f>
        <v/>
      </c>
      <c r="D210" s="206" t="str">
        <f t="shared" si="28"/>
        <v/>
      </c>
      <c r="E210" s="206" t="str" cm="1">
        <f t="array" ref="E210">IF(ROWS($B$197:$B210)&lt;=$J$197,INDEX(Ceilings!K:K,_xlfn.AGGREGATE(15,3,(Ceilings!$H$1:$H$210=1)/(Ceilings!$H$1:$H$210=1)*ROW(Ceilings!$H$1:$H$210),ROWS($B$197:$B210))),"")</f>
        <v/>
      </c>
      <c r="F210" s="206" t="str" cm="1">
        <f t="array" ref="F210">IF(ROWS($B$197:$B210)&lt;=$J$197,INDEX(Ceilings!L:L,_xlfn.AGGREGATE(15,3,(Ceilings!$H$1:$H$210=1)/(Ceilings!$H$1:$H$210=1)*ROW(Ceilings!$H$1:$H$210),ROWS($B$197:$B210))),"")</f>
        <v/>
      </c>
      <c r="G210" s="206" t="str" cm="1">
        <f t="array" ref="G210">IF(ROWS($B$197:$B210)&lt;=$J$197,INDEX(Ceilings!M:M,_xlfn.AGGREGATE(15,3,(Ceilings!$H$1:$H$210=1)/(Ceilings!$H$1:$H$210=1)*ROW(Ceilings!$H$1:$H$210),ROWS($B$197:$B210))),"")</f>
        <v/>
      </c>
      <c r="H210" s="388" t="str" cm="1">
        <f t="array" ref="H210">IFERROR(_xlfn.AGGREGATE(15,3,(Ceilings!$H$1:$H$210=1)/(Ceilings!$H$1:$H$210=1)*ROW(Ceilings!$H$1:$H$210),ROWS($B$197:$B210)),"")</f>
        <v/>
      </c>
      <c r="I210" s="388" t="str" cm="1">
        <f t="array" ref="I210">IF(ROWS($B$197:$B210)&lt;=$J$197,ROUND(INDEX(Ceilings!D:D,H210),1)  &amp; " " &amp; INDEX(Ceilings!E:E,H210),"")</f>
        <v/>
      </c>
    </row>
    <row r="211" spans="1:10" ht="30.15" customHeight="1" x14ac:dyDescent="0.25">
      <c r="A211" s="204" t="str">
        <f>VLOOKUP("Ceilings",Setting!$E$6:$H$33,4,FALSE)</f>
        <v>Ceilings</v>
      </c>
      <c r="B211" s="205" t="str" cm="1">
        <f t="array" ref="B211">IF(ROWS($B$197:$B211)&lt;=$J$197,INDEX(Ceilings!$R:$R,_xlfn.AGGREGATE(15,3,(Ceilings!$H$1:$H$210=1)/(Ceilings!$H$1:$H$210=1)*ROW(Ceilings!$H$1:$H$210),ROWS($B$197:$B211))),"")</f>
        <v/>
      </c>
      <c r="C211" s="205" t="str" cm="1">
        <f t="array" ref="C211">IF(ROWS($B$197:$B211)&lt;=$J$197,INDEX(Ceilings!C:C,$H211) &amp; INDEX(Ceilings!S:S,$H211),"")</f>
        <v/>
      </c>
      <c r="D211" s="206" t="str">
        <f t="shared" si="28"/>
        <v/>
      </c>
      <c r="E211" s="206" t="str" cm="1">
        <f t="array" ref="E211">IF(ROWS($B$197:$B211)&lt;=$J$197,INDEX(Ceilings!K:K,_xlfn.AGGREGATE(15,3,(Ceilings!$H$1:$H$210=1)/(Ceilings!$H$1:$H$210=1)*ROW(Ceilings!$H$1:$H$210),ROWS($B$197:$B211))),"")</f>
        <v/>
      </c>
      <c r="F211" s="206" t="str" cm="1">
        <f t="array" ref="F211">IF(ROWS($B$197:$B211)&lt;=$J$197,INDEX(Ceilings!L:L,_xlfn.AGGREGATE(15,3,(Ceilings!$H$1:$H$210=1)/(Ceilings!$H$1:$H$210=1)*ROW(Ceilings!$H$1:$H$210),ROWS($B$197:$B211))),"")</f>
        <v/>
      </c>
      <c r="G211" s="206" t="str" cm="1">
        <f t="array" ref="G211">IF(ROWS($B$197:$B211)&lt;=$J$197,INDEX(Ceilings!M:M,_xlfn.AGGREGATE(15,3,(Ceilings!$H$1:$H$210=1)/(Ceilings!$H$1:$H$210=1)*ROW(Ceilings!$H$1:$H$210),ROWS($B$197:$B211))),"")</f>
        <v/>
      </c>
      <c r="H211" s="388" t="str" cm="1">
        <f t="array" ref="H211">IFERROR(_xlfn.AGGREGATE(15,3,(Ceilings!$H$1:$H$210=1)/(Ceilings!$H$1:$H$210=1)*ROW(Ceilings!$H$1:$H$210),ROWS($B$197:$B211)),"")</f>
        <v/>
      </c>
      <c r="I211" s="388" t="str" cm="1">
        <f t="array" ref="I211">IF(ROWS($B$197:$B211)&lt;=$J$197,ROUND(INDEX(Ceilings!D:D,H211),1)  &amp; " " &amp; INDEX(Ceilings!E:E,H211),"")</f>
        <v/>
      </c>
    </row>
    <row r="212" spans="1:10" ht="30.15" customHeight="1" x14ac:dyDescent="0.25">
      <c r="A212" s="204" t="str">
        <f>VLOOKUP("Ceilings",Setting!$E$6:$H$33,4,FALSE)</f>
        <v>Ceilings</v>
      </c>
      <c r="B212" s="205" t="str" cm="1">
        <f t="array" ref="B212">IF(ROWS($B$197:$B212)&lt;=$J$197,INDEX(Ceilings!$R:$R,_xlfn.AGGREGATE(15,3,(Ceilings!$H$1:$H$210=1)/(Ceilings!$H$1:$H$210=1)*ROW(Ceilings!$H$1:$H$210),ROWS($B$197:$B212))),"")</f>
        <v/>
      </c>
      <c r="C212" s="205" t="str" cm="1">
        <f t="array" ref="C212">IF(ROWS($B$197:$B212)&lt;=$J$197,INDEX(Ceilings!C:C,$H212) &amp; INDEX(Ceilings!S:S,$H212),"")</f>
        <v/>
      </c>
      <c r="D212" s="206" t="str">
        <f t="shared" si="28"/>
        <v/>
      </c>
      <c r="E212" s="206" t="str" cm="1">
        <f t="array" ref="E212">IF(ROWS($B$197:$B212)&lt;=$J$197,INDEX(Ceilings!K:K,_xlfn.AGGREGATE(15,3,(Ceilings!$H$1:$H$210=1)/(Ceilings!$H$1:$H$210=1)*ROW(Ceilings!$H$1:$H$210),ROWS($B$197:$B212))),"")</f>
        <v/>
      </c>
      <c r="F212" s="206" t="str" cm="1">
        <f t="array" ref="F212">IF(ROWS($B$197:$B212)&lt;=$J$197,INDEX(Ceilings!L:L,_xlfn.AGGREGATE(15,3,(Ceilings!$H$1:$H$210=1)/(Ceilings!$H$1:$H$210=1)*ROW(Ceilings!$H$1:$H$210),ROWS($B$197:$B212))),"")</f>
        <v/>
      </c>
      <c r="G212" s="206" t="str" cm="1">
        <f t="array" ref="G212">IF(ROWS($B$197:$B212)&lt;=$J$197,INDEX(Ceilings!M:M,_xlfn.AGGREGATE(15,3,(Ceilings!$H$1:$H$210=1)/(Ceilings!$H$1:$H$210=1)*ROW(Ceilings!$H$1:$H$210),ROWS($B$197:$B212))),"")</f>
        <v/>
      </c>
      <c r="H212" s="388" t="str" cm="1">
        <f t="array" ref="H212">IFERROR(_xlfn.AGGREGATE(15,3,(Ceilings!$H$1:$H$210=1)/(Ceilings!$H$1:$H$210=1)*ROW(Ceilings!$H$1:$H$210),ROWS($B$197:$B212)),"")</f>
        <v/>
      </c>
      <c r="I212" s="388" t="str" cm="1">
        <f t="array" ref="I212">IF(ROWS($B$197:$B212)&lt;=$J$197,ROUND(INDEX(Ceilings!D:D,H212),1)  &amp; " " &amp; INDEX(Ceilings!E:E,H212),"")</f>
        <v/>
      </c>
    </row>
    <row r="213" spans="1:10" ht="30.15" customHeight="1" x14ac:dyDescent="0.25">
      <c r="A213" s="204" t="str">
        <f>VLOOKUP("Ceilings",Setting!$E$6:$H$33,4,FALSE)</f>
        <v>Ceilings</v>
      </c>
      <c r="B213" s="205" t="str" cm="1">
        <f t="array" ref="B213">IF(ROWS($B$197:$B213)&lt;=$J$197,INDEX(Ceilings!$R:$R,_xlfn.AGGREGATE(15,3,(Ceilings!$H$1:$H$210=1)/(Ceilings!$H$1:$H$210=1)*ROW(Ceilings!$H$1:$H$210),ROWS($B$197:$B213))),"")</f>
        <v/>
      </c>
      <c r="C213" s="205" t="str" cm="1">
        <f t="array" ref="C213">IF(ROWS($B$197:$B213)&lt;=$J$197,INDEX(Ceilings!C:C,$H213) &amp; INDEX(Ceilings!S:S,$H213),"")</f>
        <v/>
      </c>
      <c r="D213" s="206" t="str">
        <f>IFERROR(E213-F213,"")</f>
        <v/>
      </c>
      <c r="E213" s="206" t="str" cm="1">
        <f t="array" ref="E213">IF(ROWS($B$197:$B213)&lt;=$J$197,INDEX(Ceilings!K:K,_xlfn.AGGREGATE(15,3,(Ceilings!$H$1:$H$210=1)/(Ceilings!$H$1:$H$210=1)*ROW(Ceilings!$H$1:$H$210),ROWS($B$197:$B213))),"")</f>
        <v/>
      </c>
      <c r="F213" s="206" t="str" cm="1">
        <f t="array" ref="F213">IF(ROWS($B$197:$B213)&lt;=$J$197,INDEX(Ceilings!L:L,_xlfn.AGGREGATE(15,3,(Ceilings!$H$1:$H$210=1)/(Ceilings!$H$1:$H$210=1)*ROW(Ceilings!$H$1:$H$210),ROWS($B$197:$B213))),"")</f>
        <v/>
      </c>
      <c r="G213" s="206" t="str" cm="1">
        <f t="array" ref="G213">IF(ROWS($B$197:$B213)&lt;=$J$197,INDEX(Ceilings!M:M,_xlfn.AGGREGATE(15,3,(Ceilings!$H$1:$H$210=1)/(Ceilings!$H$1:$H$210=1)*ROW(Ceilings!$H$1:$H$210),ROWS($B$197:$B213))),"")</f>
        <v/>
      </c>
      <c r="H213" s="388" t="str" cm="1">
        <f t="array" ref="H213">IFERROR(_xlfn.AGGREGATE(15,3,(Ceilings!$H$1:$H$210=1)/(Ceilings!$H$1:$H$210=1)*ROW(Ceilings!$H$1:$H$210),ROWS($B$197:$B213)),"")</f>
        <v/>
      </c>
      <c r="I213" s="388" t="str" cm="1">
        <f t="array" ref="I213">IF(ROWS($B$197:$B213)&lt;=$J$197,ROUND(INDEX(Ceilings!D:D,H213),1)  &amp; " " &amp; INDEX(Ceilings!E:E,H213),"")</f>
        <v/>
      </c>
    </row>
    <row r="214" spans="1:10" ht="30.15" customHeight="1" x14ac:dyDescent="0.25">
      <c r="A214" s="204" t="str">
        <f>VLOOKUP("Ceilings",Setting!$E$6:$H$33,4,FALSE)</f>
        <v>Ceilings</v>
      </c>
      <c r="B214" s="205" t="str" cm="1">
        <f t="array" ref="B214">IF(ROWS($B$197:$B214)&lt;=$J$197,INDEX(Ceilings!$R:$R,_xlfn.AGGREGATE(15,3,(Ceilings!$H$1:$H$210=1)/(Ceilings!$H$1:$H$210=1)*ROW(Ceilings!$H$1:$H$210),ROWS($B$197:$B214))),"")</f>
        <v/>
      </c>
      <c r="C214" s="205" t="str" cm="1">
        <f t="array" ref="C214">IF(ROWS($B$197:$B214)&lt;=$J$197,INDEX(Ceilings!C:C,$H214) &amp; INDEX(Ceilings!S:S,$H214),"")</f>
        <v/>
      </c>
      <c r="D214" s="206" t="str">
        <f>IFERROR(E214-F214,"")</f>
        <v/>
      </c>
      <c r="E214" s="206" t="str" cm="1">
        <f t="array" ref="E214">IF(ROWS($B$197:$B214)&lt;=$J$197,INDEX(Ceilings!K:K,_xlfn.AGGREGATE(15,3,(Ceilings!$H$1:$H$210=1)/(Ceilings!$H$1:$H$210=1)*ROW(Ceilings!$H$1:$H$210),ROWS($B$197:$B214))),"")</f>
        <v/>
      </c>
      <c r="F214" s="206" t="str" cm="1">
        <f t="array" ref="F214">IF(ROWS($B$197:$B214)&lt;=$J$197,INDEX(Ceilings!L:L,_xlfn.AGGREGATE(15,3,(Ceilings!$H$1:$H$210=1)/(Ceilings!$H$1:$H$210=1)*ROW(Ceilings!$H$1:$H$210),ROWS($B$197:$B214))),"")</f>
        <v/>
      </c>
      <c r="G214" s="206" t="str" cm="1">
        <f t="array" ref="G214">IF(ROWS($B$197:$B214)&lt;=$J$197,INDEX(Ceilings!M:M,_xlfn.AGGREGATE(15,3,(Ceilings!$H$1:$H$210=1)/(Ceilings!$H$1:$H$210=1)*ROW(Ceilings!$H$1:$H$210),ROWS($B$197:$B214))),"")</f>
        <v/>
      </c>
      <c r="H214" s="388" t="str" cm="1">
        <f t="array" ref="H214">IFERROR(_xlfn.AGGREGATE(15,3,(Ceilings!$H$1:$H$210=1)/(Ceilings!$H$1:$H$210=1)*ROW(Ceilings!$H$1:$H$210),ROWS($B$197:$B214)),"")</f>
        <v/>
      </c>
      <c r="I214" s="388" t="str" cm="1">
        <f t="array" ref="I214">IF(ROWS($B$197:$B214)&lt;=$J$197,ROUND(INDEX(Ceilings!D:D,H214),1)  &amp; " " &amp; INDEX(Ceilings!E:E,H214),"")</f>
        <v/>
      </c>
    </row>
    <row r="215" spans="1:10" ht="30.15" customHeight="1" x14ac:dyDescent="0.25">
      <c r="A215" s="204" t="str">
        <f>VLOOKUP("Ceilings",Setting!$E$6:$H$33,4,FALSE)</f>
        <v>Ceilings</v>
      </c>
      <c r="B215" s="205" t="str" cm="1">
        <f t="array" ref="B215">IF(ROWS($B$197:$B215)&lt;=$J$197,INDEX(Ceilings!$R:$R,_xlfn.AGGREGATE(15,3,(Ceilings!$H$1:$H$210=1)/(Ceilings!$H$1:$H$210=1)*ROW(Ceilings!$H$1:$H$210),ROWS($B$197:$B215))),"")</f>
        <v/>
      </c>
      <c r="C215" s="205" t="str" cm="1">
        <f t="array" ref="C215">IF(ROWS($B$197:$B215)&lt;=$J$197,INDEX(Ceilings!C:C,$H215) &amp; INDEX(Ceilings!S:S,$H215),"")</f>
        <v/>
      </c>
      <c r="D215" s="206" t="str">
        <f>IFERROR(E215-F215,"")</f>
        <v/>
      </c>
      <c r="E215" s="206" t="str" cm="1">
        <f t="array" ref="E215">IF(ROWS($B$197:$B215)&lt;=$J$197,INDEX(Ceilings!K:K,_xlfn.AGGREGATE(15,3,(Ceilings!$H$1:$H$210=1)/(Ceilings!$H$1:$H$210=1)*ROW(Ceilings!$H$1:$H$210),ROWS($B$197:$B215))),"")</f>
        <v/>
      </c>
      <c r="F215" s="206" t="str" cm="1">
        <f t="array" ref="F215">IF(ROWS($B$197:$B215)&lt;=$J$197,INDEX(Ceilings!L:L,_xlfn.AGGREGATE(15,3,(Ceilings!$H$1:$H$210=1)/(Ceilings!$H$1:$H$210=1)*ROW(Ceilings!$H$1:$H$210),ROWS($B$197:$B215))),"")</f>
        <v/>
      </c>
      <c r="G215" s="206" t="str" cm="1">
        <f t="array" ref="G215">IF(ROWS($B$197:$B215)&lt;=$J$197,INDEX(Ceilings!M:M,_xlfn.AGGREGATE(15,3,(Ceilings!$H$1:$H$210=1)/(Ceilings!$H$1:$H$210=1)*ROW(Ceilings!$H$1:$H$210),ROWS($B$197:$B215))),"")</f>
        <v/>
      </c>
      <c r="H215" s="388" t="str" cm="1">
        <f t="array" ref="H215">IFERROR(_xlfn.AGGREGATE(15,3,(Ceilings!$H$1:$H$210=1)/(Ceilings!$H$1:$H$210=1)*ROW(Ceilings!$H$1:$H$210),ROWS($B$197:$B215)),"")</f>
        <v/>
      </c>
      <c r="I215" s="388" t="str" cm="1">
        <f t="array" ref="I215">IF(ROWS($B$197:$B215)&lt;=$J$197,ROUND(INDEX(Ceilings!D:D,H215),1)  &amp; " " &amp; INDEX(Ceilings!E:E,H215),"")</f>
        <v/>
      </c>
    </row>
    <row r="216" spans="1:10" ht="30.15" customHeight="1" x14ac:dyDescent="0.25">
      <c r="A216" s="204" t="str">
        <f>VLOOKUP("Ceilings",Setting!$E$6:$H$33,4,FALSE)</f>
        <v>Ceilings</v>
      </c>
      <c r="B216" s="205" t="str" cm="1">
        <f t="array" ref="B216">IF(ROWS($B$197:$B216)&lt;=$J$197,INDEX(Ceilings!$R:$R,_xlfn.AGGREGATE(15,3,(Ceilings!$H$1:$H$210=1)/(Ceilings!$H$1:$H$210=1)*ROW(Ceilings!$H$1:$H$210),ROWS($B$197:$B216))),"")</f>
        <v/>
      </c>
      <c r="C216" s="205" t="str" cm="1">
        <f t="array" ref="C216">IF(ROWS($B$197:$B216)&lt;=$J$197,INDEX(Ceilings!C:C,$H216) &amp; INDEX(Ceilings!S:S,$H216),"")</f>
        <v/>
      </c>
      <c r="D216" s="206" t="str">
        <f>IFERROR(E216-F216,"")</f>
        <v/>
      </c>
      <c r="E216" s="206" t="str" cm="1">
        <f t="array" ref="E216">IF(ROWS($B$197:$B216)&lt;=$J$197,INDEX(Ceilings!K:K,_xlfn.AGGREGATE(15,3,(Ceilings!$H$1:$H$210=1)/(Ceilings!$H$1:$H$210=1)*ROW(Ceilings!$H$1:$H$210),ROWS($B$197:$B216))),"")</f>
        <v/>
      </c>
      <c r="F216" s="206" t="str" cm="1">
        <f t="array" ref="F216">IF(ROWS($B$197:$B216)&lt;=$J$197,INDEX(Ceilings!L:L,_xlfn.AGGREGATE(15,3,(Ceilings!$H$1:$H$210=1)/(Ceilings!$H$1:$H$210=1)*ROW(Ceilings!$H$1:$H$210),ROWS($B$197:$B216))),"")</f>
        <v/>
      </c>
      <c r="G216" s="206" t="str" cm="1">
        <f t="array" ref="G216">IF(ROWS($B$197:$B216)&lt;=$J$197,INDEX(Ceilings!M:M,_xlfn.AGGREGATE(15,3,(Ceilings!$H$1:$H$210=1)/(Ceilings!$H$1:$H$210=1)*ROW(Ceilings!$H$1:$H$210),ROWS($B$197:$B216))),"")</f>
        <v/>
      </c>
      <c r="H216" s="388" t="str" cm="1">
        <f t="array" ref="H216">IFERROR(_xlfn.AGGREGATE(15,3,(Ceilings!$H$1:$H$210=1)/(Ceilings!$H$1:$H$210=1)*ROW(Ceilings!$H$1:$H$210),ROWS($B$197:$B216)),"")</f>
        <v/>
      </c>
      <c r="I216" s="388" t="str" cm="1">
        <f t="array" ref="I216">IF(ROWS($B$197:$B216)&lt;=$J$197,ROUND(INDEX(Ceilings!D:D,H216),1)  &amp; " " &amp; INDEX(Ceilings!E:E,H216),"")</f>
        <v/>
      </c>
    </row>
    <row r="217" spans="1:10" ht="30.15" customHeight="1" x14ac:dyDescent="0.25">
      <c r="A217" s="204" t="str">
        <f>VLOOKUP("Roof",Setting!$E$6:$H$33,4,FALSE)</f>
        <v>Roof</v>
      </c>
      <c r="B217" s="205" t="str" cm="1">
        <f t="array" ref="B217">IF(ROWS($B$217:$B217)&lt;=$J$217,INDEX(Roof!$R:$R,_xlfn.AGGREGATE(15,3,(Roof!$H$1:$H$330=1)/(Roof!$H$1:$H$330=1)*ROW(Roof!$H$1:$H$330),ROWS($B$217:$B217))),"")</f>
        <v/>
      </c>
      <c r="C217" s="205" t="str" cm="1">
        <f t="array" ref="C217">IF(ROWS($B$217:$B217)&lt;=$J$217,INDEX(Roof!C:C,$H217) &amp; INDEX(Roof!S:S,$H217),"")</f>
        <v/>
      </c>
      <c r="D217" s="206" t="str">
        <f>IFERROR(E217-F217,"")</f>
        <v/>
      </c>
      <c r="E217" s="206" t="str" cm="1">
        <f t="array" ref="E217">IF(ROWS($B$217:$B217)&lt;=$J$217,INDEX(Roof!K:K,_xlfn.AGGREGATE(15,3,(Roof!$H$1:$H$330=1)/(Roof!$H$1:$H$330=1)*ROW(Roof!$H$1:$H$330),ROWS($B$217:$B217))),"")</f>
        <v/>
      </c>
      <c r="F217" s="206" t="str" cm="1">
        <f t="array" ref="F217">IF(ROWS($B$217:$B217)&lt;=$J$217,INDEX(Roof!L:L,_xlfn.AGGREGATE(15,3,(Roof!$H$1:$H$330=1)/(Roof!$H$1:$H$330=1)*ROW(Roof!$H$1:$H$330),ROWS($B$217:$B217))),"")</f>
        <v/>
      </c>
      <c r="G217" s="206" t="str" cm="1">
        <f t="array" ref="G217">IF(ROWS($B$217:$B217)&lt;=$J$217,INDEX(Roof!M:M,_xlfn.AGGREGATE(15,3,(Roof!$H$1:$H$330=1)/(Roof!$H$1:$H$330=1)*ROW(Roof!$H$1:$H$330),ROWS($B$217:$B217))),"")</f>
        <v/>
      </c>
      <c r="H217" s="388" t="str" cm="1">
        <f t="array" ref="H217">IFERROR(_xlfn.AGGREGATE(15,3,(Roof!$H$1:$H$330=1)/(Roof!$H$1:$H$330=1)*ROW(Roof!$H$1:$H$330),ROWS($B$217:$B217)),"")</f>
        <v/>
      </c>
      <c r="I217" s="388" t="str" cm="1">
        <f t="array" ref="I217">IF(ROWS($B$217:$B217)&lt;=$J$217,ROUND(INDEX(Roof!D:D,H217),1)  &amp; " " &amp; INDEX(Roof!E:E,H217),"")</f>
        <v/>
      </c>
      <c r="J217" s="207">
        <f>COUNTIF(Roof!$H$1:$H$605,1)</f>
        <v>0</v>
      </c>
    </row>
    <row r="218" spans="1:10" ht="30.15" customHeight="1" x14ac:dyDescent="0.25">
      <c r="A218" s="204" t="str">
        <f>VLOOKUP("Roof",Setting!$E$6:$H$33,4,FALSE)</f>
        <v>Roof</v>
      </c>
      <c r="B218" s="205" t="str" cm="1">
        <f t="array" ref="B218">IF(ROWS($B$217:$B218)&lt;=$J$217,INDEX(Roof!$R:$R,_xlfn.AGGREGATE(15,3,(Roof!$H$1:$H$330=1)/(Roof!$H$1:$H$330=1)*ROW(Roof!$H$1:$H$330),ROWS($B$217:$B218))),"")</f>
        <v/>
      </c>
      <c r="C218" s="205" t="str" cm="1">
        <f t="array" ref="C218">IF(ROWS($B$217:$B218)&lt;=$J$217,INDEX(Roof!C:C,$H218) &amp; INDEX(Roof!S:S,$H218),"")</f>
        <v/>
      </c>
      <c r="D218" s="206" t="str">
        <f t="shared" ref="D218:D225" si="29">IFERROR(E218-F218,"")</f>
        <v/>
      </c>
      <c r="E218" s="206" t="str" cm="1">
        <f t="array" ref="E218">IF(ROWS($B$217:$B218)&lt;=$J$217,INDEX(Roof!K:K,_xlfn.AGGREGATE(15,3,(Roof!$H$1:$H$330=1)/(Roof!$H$1:$H$330=1)*ROW(Roof!$H$1:$H$330),ROWS($B$217:$B218))),"")</f>
        <v/>
      </c>
      <c r="F218" s="206" t="str" cm="1">
        <f t="array" ref="F218">IF(ROWS($B$217:$B218)&lt;=$J$217,INDEX(Roof!L:L,_xlfn.AGGREGATE(15,3,(Roof!$H$1:$H$330=1)/(Roof!$H$1:$H$330=1)*ROW(Roof!$H$1:$H$330),ROWS($B$217:$B218))),"")</f>
        <v/>
      </c>
      <c r="G218" s="206" t="str" cm="1">
        <f t="array" ref="G218">IF(ROWS($B$217:$B218)&lt;=$J$217,INDEX(Roof!M:M,_xlfn.AGGREGATE(15,3,(Roof!$H$1:$H$330=1)/(Roof!$H$1:$H$330=1)*ROW(Roof!$H$1:$H$330),ROWS($B$217:$B218))),"")</f>
        <v/>
      </c>
      <c r="H218" s="388" t="str" cm="1">
        <f t="array" ref="H218">IFERROR(_xlfn.AGGREGATE(15,3,(Roof!$H$1:$H$330=1)/(Roof!$H$1:$H$330=1)*ROW(Roof!$H$1:$H$330),ROWS($B$217:$B218)),"")</f>
        <v/>
      </c>
      <c r="I218" s="388" t="str" cm="1">
        <f t="array" ref="I218">IF(ROWS($B$217:$B218)&lt;=$J$217,ROUND(INDEX(Roof!D:D,H218),1)  &amp; " " &amp; INDEX(Roof!E:E,H218),"")</f>
        <v/>
      </c>
    </row>
    <row r="219" spans="1:10" ht="30.15" customHeight="1" x14ac:dyDescent="0.25">
      <c r="A219" s="204" t="str">
        <f>VLOOKUP("Roof",Setting!$E$6:$H$33,4,FALSE)</f>
        <v>Roof</v>
      </c>
      <c r="B219" s="205" t="str" cm="1">
        <f t="array" ref="B219">IF(ROWS($B$217:$B219)&lt;=$J$217,INDEX(Roof!$R:$R,_xlfn.AGGREGATE(15,3,(Roof!$H$1:$H$330=1)/(Roof!$H$1:$H$330=1)*ROW(Roof!$H$1:$H$330),ROWS($B$217:$B219))),"")</f>
        <v/>
      </c>
      <c r="C219" s="205" t="str" cm="1">
        <f t="array" ref="C219">IF(ROWS($B$217:$B219)&lt;=$J$217,INDEX(Roof!C:C,$H219) &amp; INDEX(Roof!S:S,$H219),"")</f>
        <v/>
      </c>
      <c r="D219" s="206" t="str">
        <f t="shared" si="29"/>
        <v/>
      </c>
      <c r="E219" s="206" t="str" cm="1">
        <f t="array" ref="E219">IF(ROWS($B$217:$B219)&lt;=$J$217,INDEX(Roof!K:K,_xlfn.AGGREGATE(15,3,(Roof!$H$1:$H$330=1)/(Roof!$H$1:$H$330=1)*ROW(Roof!$H$1:$H$330),ROWS($B$217:$B219))),"")</f>
        <v/>
      </c>
      <c r="F219" s="206" t="str" cm="1">
        <f t="array" ref="F219">IF(ROWS($B$217:$B219)&lt;=$J$217,INDEX(Roof!L:L,_xlfn.AGGREGATE(15,3,(Roof!$H$1:$H$330=1)/(Roof!$H$1:$H$330=1)*ROW(Roof!$H$1:$H$330),ROWS($B$217:$B219))),"")</f>
        <v/>
      </c>
      <c r="G219" s="206" t="str" cm="1">
        <f t="array" ref="G219">IF(ROWS($B$217:$B219)&lt;=$J$217,INDEX(Roof!M:M,_xlfn.AGGREGATE(15,3,(Roof!$H$1:$H$330=1)/(Roof!$H$1:$H$330=1)*ROW(Roof!$H$1:$H$330),ROWS($B$217:$B219))),"")</f>
        <v/>
      </c>
      <c r="H219" s="388" t="str" cm="1">
        <f t="array" ref="H219">IFERROR(_xlfn.AGGREGATE(15,3,(Roof!$H$1:$H$330=1)/(Roof!$H$1:$H$330=1)*ROW(Roof!$H$1:$H$330),ROWS($B$217:$B219)),"")</f>
        <v/>
      </c>
      <c r="I219" s="388" t="str" cm="1">
        <f t="array" ref="I219">IF(ROWS($B$217:$B219)&lt;=$J$217,ROUND(INDEX(Roof!D:D,H219),1)  &amp; " " &amp; INDEX(Roof!E:E,H219),"")</f>
        <v/>
      </c>
    </row>
    <row r="220" spans="1:10" ht="30.15" customHeight="1" x14ac:dyDescent="0.25">
      <c r="A220" s="204" t="str">
        <f>VLOOKUP("Roof",Setting!$E$6:$H$33,4,FALSE)</f>
        <v>Roof</v>
      </c>
      <c r="B220" s="205" t="str" cm="1">
        <f t="array" ref="B220">IF(ROWS($B$217:$B220)&lt;=$J$217,INDEX(Roof!$R:$R,_xlfn.AGGREGATE(15,3,(Roof!$H$1:$H$330=1)/(Roof!$H$1:$H$330=1)*ROW(Roof!$H$1:$H$330),ROWS($B$217:$B220))),"")</f>
        <v/>
      </c>
      <c r="C220" s="205" t="str" cm="1">
        <f t="array" ref="C220">IF(ROWS($B$217:$B220)&lt;=$J$217,INDEX(Roof!C:C,$H220) &amp; INDEX(Roof!S:S,$H220),"")</f>
        <v/>
      </c>
      <c r="D220" s="206" t="str">
        <f t="shared" si="29"/>
        <v/>
      </c>
      <c r="E220" s="206" t="str" cm="1">
        <f t="array" ref="E220">IF(ROWS($B$217:$B220)&lt;=$J$217,INDEX(Roof!K:K,_xlfn.AGGREGATE(15,3,(Roof!$H$1:$H$330=1)/(Roof!$H$1:$H$330=1)*ROW(Roof!$H$1:$H$330),ROWS($B$217:$B220))),"")</f>
        <v/>
      </c>
      <c r="F220" s="206" t="str" cm="1">
        <f t="array" ref="F220">IF(ROWS($B$217:$B220)&lt;=$J$217,INDEX(Roof!L:L,_xlfn.AGGREGATE(15,3,(Roof!$H$1:$H$330=1)/(Roof!$H$1:$H$330=1)*ROW(Roof!$H$1:$H$330),ROWS($B$217:$B220))),"")</f>
        <v/>
      </c>
      <c r="G220" s="206" t="str" cm="1">
        <f t="array" ref="G220">IF(ROWS($B$217:$B220)&lt;=$J$217,INDEX(Roof!M:M,_xlfn.AGGREGATE(15,3,(Roof!$H$1:$H$330=1)/(Roof!$H$1:$H$330=1)*ROW(Roof!$H$1:$H$330),ROWS($B$217:$B220))),"")</f>
        <v/>
      </c>
      <c r="H220" s="388" t="str" cm="1">
        <f t="array" ref="H220">IFERROR(_xlfn.AGGREGATE(15,3,(Roof!$H$1:$H$330=1)/(Roof!$H$1:$H$330=1)*ROW(Roof!$H$1:$H$330),ROWS($B$217:$B220)),"")</f>
        <v/>
      </c>
      <c r="I220" s="388" t="str" cm="1">
        <f t="array" ref="I220">IF(ROWS($B$217:$B220)&lt;=$J$217,ROUND(INDEX(Roof!D:D,H220),1)  &amp; " " &amp; INDEX(Roof!E:E,H220),"")</f>
        <v/>
      </c>
    </row>
    <row r="221" spans="1:10" ht="30.15" customHeight="1" x14ac:dyDescent="0.25">
      <c r="A221" s="204" t="str">
        <f>VLOOKUP("Roof",Setting!$E$6:$H$33,4,FALSE)</f>
        <v>Roof</v>
      </c>
      <c r="B221" s="205" t="str" cm="1">
        <f t="array" ref="B221">IF(ROWS($B$217:$B221)&lt;=$J$217,INDEX(Roof!$R:$R,_xlfn.AGGREGATE(15,3,(Roof!$H$1:$H$330=1)/(Roof!$H$1:$H$330=1)*ROW(Roof!$H$1:$H$330),ROWS($B$217:$B221))),"")</f>
        <v/>
      </c>
      <c r="C221" s="205" t="str" cm="1">
        <f t="array" ref="C221">IF(ROWS($B$217:$B221)&lt;=$J$217,INDEX(Roof!C:C,$H221) &amp; INDEX(Roof!S:S,$H221),"")</f>
        <v/>
      </c>
      <c r="D221" s="206" t="str">
        <f t="shared" si="29"/>
        <v/>
      </c>
      <c r="E221" s="206" t="str" cm="1">
        <f t="array" ref="E221">IF(ROWS($B$217:$B221)&lt;=$J$217,INDEX(Roof!K:K,_xlfn.AGGREGATE(15,3,(Roof!$H$1:$H$330=1)/(Roof!$H$1:$H$330=1)*ROW(Roof!$H$1:$H$330),ROWS($B$217:$B221))),"")</f>
        <v/>
      </c>
      <c r="F221" s="206" t="str" cm="1">
        <f t="array" ref="F221">IF(ROWS($B$217:$B221)&lt;=$J$217,INDEX(Roof!L:L,_xlfn.AGGREGATE(15,3,(Roof!$H$1:$H$330=1)/(Roof!$H$1:$H$330=1)*ROW(Roof!$H$1:$H$330),ROWS($B$217:$B221))),"")</f>
        <v/>
      </c>
      <c r="G221" s="206" t="str" cm="1">
        <f t="array" ref="G221">IF(ROWS($B$217:$B221)&lt;=$J$217,INDEX(Roof!M:M,_xlfn.AGGREGATE(15,3,(Roof!$H$1:$H$330=1)/(Roof!$H$1:$H$330=1)*ROW(Roof!$H$1:$H$330),ROWS($B$217:$B221))),"")</f>
        <v/>
      </c>
      <c r="H221" s="388" t="str" cm="1">
        <f t="array" ref="H221">IFERROR(_xlfn.AGGREGATE(15,3,(Roof!$H$1:$H$330=1)/(Roof!$H$1:$H$330=1)*ROW(Roof!$H$1:$H$330),ROWS($B$217:$B221)),"")</f>
        <v/>
      </c>
      <c r="I221" s="388" t="str" cm="1">
        <f t="array" ref="I221">IF(ROWS($B$217:$B221)&lt;=$J$217,ROUND(INDEX(Roof!D:D,H221),1)  &amp; " " &amp; INDEX(Roof!E:E,H221),"")</f>
        <v/>
      </c>
    </row>
    <row r="222" spans="1:10" ht="30.15" customHeight="1" x14ac:dyDescent="0.25">
      <c r="A222" s="204" t="str">
        <f>VLOOKUP("Roof",Setting!$E$6:$H$33,4,FALSE)</f>
        <v>Roof</v>
      </c>
      <c r="B222" s="205" t="str" cm="1">
        <f t="array" ref="B222">IF(ROWS($B$217:$B222)&lt;=$J$217,INDEX(Roof!$R:$R,_xlfn.AGGREGATE(15,3,(Roof!$H$1:$H$330=1)/(Roof!$H$1:$H$330=1)*ROW(Roof!$H$1:$H$330),ROWS($B$217:$B222))),"")</f>
        <v/>
      </c>
      <c r="C222" s="205" t="str" cm="1">
        <f t="array" ref="C222">IF(ROWS($B$217:$B222)&lt;=$J$217,INDEX(Roof!C:C,$H222) &amp; INDEX(Roof!S:S,$H222),"")</f>
        <v/>
      </c>
      <c r="D222" s="206" t="str">
        <f t="shared" si="29"/>
        <v/>
      </c>
      <c r="E222" s="206" t="str" cm="1">
        <f t="array" ref="E222">IF(ROWS($B$217:$B222)&lt;=$J$217,INDEX(Roof!K:K,_xlfn.AGGREGATE(15,3,(Roof!$H$1:$H$330=1)/(Roof!$H$1:$H$330=1)*ROW(Roof!$H$1:$H$330),ROWS($B$217:$B222))),"")</f>
        <v/>
      </c>
      <c r="F222" s="206" t="str" cm="1">
        <f t="array" ref="F222">IF(ROWS($B$217:$B222)&lt;=$J$217,INDEX(Roof!L:L,_xlfn.AGGREGATE(15,3,(Roof!$H$1:$H$330=1)/(Roof!$H$1:$H$330=1)*ROW(Roof!$H$1:$H$330),ROWS($B$217:$B222))),"")</f>
        <v/>
      </c>
      <c r="G222" s="206" t="str" cm="1">
        <f t="array" ref="G222">IF(ROWS($B$217:$B222)&lt;=$J$217,INDEX(Roof!M:M,_xlfn.AGGREGATE(15,3,(Roof!$H$1:$H$330=1)/(Roof!$H$1:$H$330=1)*ROW(Roof!$H$1:$H$330),ROWS($B$217:$B222))),"")</f>
        <v/>
      </c>
      <c r="H222" s="388" t="str" cm="1">
        <f t="array" ref="H222">IFERROR(_xlfn.AGGREGATE(15,3,(Roof!$H$1:$H$330=1)/(Roof!$H$1:$H$330=1)*ROW(Roof!$H$1:$H$330),ROWS($B$217:$B222)),"")</f>
        <v/>
      </c>
      <c r="I222" s="388" t="str" cm="1">
        <f t="array" ref="I222">IF(ROWS($B$217:$B222)&lt;=$J$217,ROUND(INDEX(Roof!D:D,H222),1)  &amp; " " &amp; INDEX(Roof!E:E,H222),"")</f>
        <v/>
      </c>
    </row>
    <row r="223" spans="1:10" ht="30.15" customHeight="1" x14ac:dyDescent="0.25">
      <c r="A223" s="204" t="str">
        <f>VLOOKUP("Roof",Setting!$E$6:$H$33,4,FALSE)</f>
        <v>Roof</v>
      </c>
      <c r="B223" s="205" t="str" cm="1">
        <f t="array" ref="B223">IF(ROWS($B$217:$B223)&lt;=$J$217,INDEX(Roof!$R:$R,_xlfn.AGGREGATE(15,3,(Roof!$H$1:$H$330=1)/(Roof!$H$1:$H$330=1)*ROW(Roof!$H$1:$H$330),ROWS($B$217:$B223))),"")</f>
        <v/>
      </c>
      <c r="C223" s="205" t="str" cm="1">
        <f t="array" ref="C223">IF(ROWS($B$217:$B223)&lt;=$J$217,INDEX(Roof!C:C,$H223) &amp; INDEX(Roof!S:S,$H223),"")</f>
        <v/>
      </c>
      <c r="D223" s="206" t="str">
        <f t="shared" si="29"/>
        <v/>
      </c>
      <c r="E223" s="206" t="str" cm="1">
        <f t="array" ref="E223">IF(ROWS($B$217:$B223)&lt;=$J$217,INDEX(Roof!K:K,_xlfn.AGGREGATE(15,3,(Roof!$H$1:$H$330=1)/(Roof!$H$1:$H$330=1)*ROW(Roof!$H$1:$H$330),ROWS($B$217:$B223))),"")</f>
        <v/>
      </c>
      <c r="F223" s="206" t="str" cm="1">
        <f t="array" ref="F223">IF(ROWS($B$217:$B223)&lt;=$J$217,INDEX(Roof!L:L,_xlfn.AGGREGATE(15,3,(Roof!$H$1:$H$330=1)/(Roof!$H$1:$H$330=1)*ROW(Roof!$H$1:$H$330),ROWS($B$217:$B223))),"")</f>
        <v/>
      </c>
      <c r="G223" s="206" t="str" cm="1">
        <f t="array" ref="G223">IF(ROWS($B$217:$B223)&lt;=$J$217,INDEX(Roof!M:M,_xlfn.AGGREGATE(15,3,(Roof!$H$1:$H$330=1)/(Roof!$H$1:$H$330=1)*ROW(Roof!$H$1:$H$330),ROWS($B$217:$B223))),"")</f>
        <v/>
      </c>
      <c r="H223" s="388" t="str" cm="1">
        <f t="array" ref="H223">IFERROR(_xlfn.AGGREGATE(15,3,(Roof!$H$1:$H$330=1)/(Roof!$H$1:$H$330=1)*ROW(Roof!$H$1:$H$330),ROWS($B$217:$B223)),"")</f>
        <v/>
      </c>
      <c r="I223" s="388" t="str" cm="1">
        <f t="array" ref="I223">IF(ROWS($B$217:$B223)&lt;=$J$217,ROUND(INDEX(Roof!D:D,H223),1)  &amp; " " &amp; INDEX(Roof!E:E,H223),"")</f>
        <v/>
      </c>
    </row>
    <row r="224" spans="1:10" ht="30.15" customHeight="1" x14ac:dyDescent="0.25">
      <c r="A224" s="204" t="str">
        <f>VLOOKUP("Roof",Setting!$E$6:$H$33,4,FALSE)</f>
        <v>Roof</v>
      </c>
      <c r="B224" s="205" t="str" cm="1">
        <f t="array" ref="B224">IF(ROWS($B$217:$B224)&lt;=$J$217,INDEX(Roof!$R:$R,_xlfn.AGGREGATE(15,3,(Roof!$H$1:$H$330=1)/(Roof!$H$1:$H$330=1)*ROW(Roof!$H$1:$H$330),ROWS($B$217:$B224))),"")</f>
        <v/>
      </c>
      <c r="C224" s="205" t="str" cm="1">
        <f t="array" ref="C224">IF(ROWS($B$217:$B224)&lt;=$J$217,INDEX(Roof!C:C,$H224) &amp; INDEX(Roof!S:S,$H224),"")</f>
        <v/>
      </c>
      <c r="D224" s="206" t="str">
        <f t="shared" si="29"/>
        <v/>
      </c>
      <c r="E224" s="206" t="str" cm="1">
        <f t="array" ref="E224">IF(ROWS($B$217:$B224)&lt;=$J$217,INDEX(Roof!K:K,_xlfn.AGGREGATE(15,3,(Roof!$H$1:$H$330=1)/(Roof!$H$1:$H$330=1)*ROW(Roof!$H$1:$H$330),ROWS($B$217:$B224))),"")</f>
        <v/>
      </c>
      <c r="F224" s="206" t="str" cm="1">
        <f t="array" ref="F224">IF(ROWS($B$217:$B224)&lt;=$J$217,INDEX(Roof!L:L,_xlfn.AGGREGATE(15,3,(Roof!$H$1:$H$330=1)/(Roof!$H$1:$H$330=1)*ROW(Roof!$H$1:$H$330),ROWS($B$217:$B224))),"")</f>
        <v/>
      </c>
      <c r="G224" s="206" t="str" cm="1">
        <f t="array" ref="G224">IF(ROWS($B$217:$B224)&lt;=$J$217,INDEX(Roof!M:M,_xlfn.AGGREGATE(15,3,(Roof!$H$1:$H$330=1)/(Roof!$H$1:$H$330=1)*ROW(Roof!$H$1:$H$330),ROWS($B$217:$B224))),"")</f>
        <v/>
      </c>
      <c r="H224" s="388" t="str" cm="1">
        <f t="array" ref="H224">IFERROR(_xlfn.AGGREGATE(15,3,(Roof!$H$1:$H$330=1)/(Roof!$H$1:$H$330=1)*ROW(Roof!$H$1:$H$330),ROWS($B$217:$B224)),"")</f>
        <v/>
      </c>
      <c r="I224" s="388" t="str" cm="1">
        <f t="array" ref="I224">IF(ROWS($B$217:$B224)&lt;=$J$217,ROUND(INDEX(Roof!D:D,H224),1)  &amp; " " &amp; INDEX(Roof!E:E,H224),"")</f>
        <v/>
      </c>
    </row>
    <row r="225" spans="1:9" ht="30.15" customHeight="1" x14ac:dyDescent="0.25">
      <c r="A225" s="204" t="str">
        <f>VLOOKUP("Roof",Setting!$E$6:$H$33,4,FALSE)</f>
        <v>Roof</v>
      </c>
      <c r="B225" s="205" t="str" cm="1">
        <f t="array" ref="B225">IF(ROWS($B$217:$B225)&lt;=$J$217,INDEX(Roof!$R:$R,_xlfn.AGGREGATE(15,3,(Roof!$H$1:$H$330=1)/(Roof!$H$1:$H$330=1)*ROW(Roof!$H$1:$H$330),ROWS($B$217:$B225))),"")</f>
        <v/>
      </c>
      <c r="C225" s="205" t="str" cm="1">
        <f t="array" ref="C225">IF(ROWS($B$217:$B225)&lt;=$J$217,INDEX(Roof!C:C,$H225) &amp; INDEX(Roof!S:S,$H225),"")</f>
        <v/>
      </c>
      <c r="D225" s="206" t="str">
        <f t="shared" si="29"/>
        <v/>
      </c>
      <c r="E225" s="206" t="str" cm="1">
        <f t="array" ref="E225">IF(ROWS($B$217:$B225)&lt;=$J$217,INDEX(Roof!K:K,_xlfn.AGGREGATE(15,3,(Roof!$H$1:$H$330=1)/(Roof!$H$1:$H$330=1)*ROW(Roof!$H$1:$H$330),ROWS($B$217:$B225))),"")</f>
        <v/>
      </c>
      <c r="F225" s="206" t="str" cm="1">
        <f t="array" ref="F225">IF(ROWS($B$217:$B225)&lt;=$J$217,INDEX(Roof!L:L,_xlfn.AGGREGATE(15,3,(Roof!$H$1:$H$330=1)/(Roof!$H$1:$H$330=1)*ROW(Roof!$H$1:$H$330),ROWS($B$217:$B225))),"")</f>
        <v/>
      </c>
      <c r="G225" s="206" t="str" cm="1">
        <f t="array" ref="G225">IF(ROWS($B$217:$B225)&lt;=$J$217,INDEX(Roof!M:M,_xlfn.AGGREGATE(15,3,(Roof!$H$1:$H$330=1)/(Roof!$H$1:$H$330=1)*ROW(Roof!$H$1:$H$330),ROWS($B$217:$B225))),"")</f>
        <v/>
      </c>
      <c r="H225" s="388" t="str" cm="1">
        <f t="array" ref="H225">IFERROR(_xlfn.AGGREGATE(15,3,(Roof!$H$1:$H$330=1)/(Roof!$H$1:$H$330=1)*ROW(Roof!$H$1:$H$330),ROWS($B$217:$B225)),"")</f>
        <v/>
      </c>
      <c r="I225" s="388" t="str" cm="1">
        <f t="array" ref="I225">IF(ROWS($B$217:$B225)&lt;=$J$217,ROUND(INDEX(Roof!D:D,H225),1)  &amp; " " &amp; INDEX(Roof!E:E,H225),"")</f>
        <v/>
      </c>
    </row>
    <row r="226" spans="1:9" ht="30.15" customHeight="1" x14ac:dyDescent="0.25">
      <c r="A226" s="204" t="str">
        <f>VLOOKUP("Roof",Setting!$E$6:$H$33,4,FALSE)</f>
        <v>Roof</v>
      </c>
      <c r="B226" s="205" t="str" cm="1">
        <f t="array" ref="B226">IF(ROWS($B$217:$B226)&lt;=$J$217,INDEX(Roof!$R:$R,_xlfn.AGGREGATE(15,3,(Roof!$H$1:$H$330=1)/(Roof!$H$1:$H$330=1)*ROW(Roof!$H$1:$H$330),ROWS($B$217:$B226))),"")</f>
        <v/>
      </c>
      <c r="C226" s="205" t="str" cm="1">
        <f t="array" ref="C226">IF(ROWS($B$217:$B226)&lt;=$J$217,INDEX(Roof!C:C,$H226) &amp; INDEX(Roof!S:S,$H226),"")</f>
        <v/>
      </c>
      <c r="D226" s="206" t="str">
        <f t="shared" ref="D226:D282" si="30">IFERROR(E226-F226,"")</f>
        <v/>
      </c>
      <c r="E226" s="206" t="str" cm="1">
        <f t="array" ref="E226">IF(ROWS($B$217:$B226)&lt;=$J$217,INDEX(Roof!K:K,_xlfn.AGGREGATE(15,3,(Roof!$H$1:$H$330=1)/(Roof!$H$1:$H$330=1)*ROW(Roof!$H$1:$H$330),ROWS($B$217:$B226))),"")</f>
        <v/>
      </c>
      <c r="F226" s="206" t="str" cm="1">
        <f t="array" ref="F226">IF(ROWS($B$217:$B226)&lt;=$J$217,INDEX(Roof!L:L,_xlfn.AGGREGATE(15,3,(Roof!$H$1:$H$330=1)/(Roof!$H$1:$H$330=1)*ROW(Roof!$H$1:$H$330),ROWS($B$217:$B226))),"")</f>
        <v/>
      </c>
      <c r="G226" s="206" t="str" cm="1">
        <f t="array" ref="G226">IF(ROWS($B$217:$B226)&lt;=$J$217,INDEX(Roof!M:M,_xlfn.AGGREGATE(15,3,(Roof!$H$1:$H$330=1)/(Roof!$H$1:$H$330=1)*ROW(Roof!$H$1:$H$330),ROWS($B$217:$B226))),"")</f>
        <v/>
      </c>
      <c r="H226" s="388" t="str" cm="1">
        <f t="array" ref="H226">IFERROR(_xlfn.AGGREGATE(15,3,(Roof!$H$1:$H$330=1)/(Roof!$H$1:$H$330=1)*ROW(Roof!$H$1:$H$330),ROWS($B$217:$B226)),"")</f>
        <v/>
      </c>
      <c r="I226" s="388" t="str" cm="1">
        <f t="array" ref="I226">IF(ROWS($B$217:$B226)&lt;=$J$217,ROUND(INDEX(Roof!D:D,H226),1)  &amp; " " &amp; INDEX(Roof!E:E,H226),"")</f>
        <v/>
      </c>
    </row>
    <row r="227" spans="1:9" ht="30.15" customHeight="1" x14ac:dyDescent="0.25">
      <c r="A227" s="204" t="str">
        <f>VLOOKUP("Roof",Setting!$E$6:$H$33,4,FALSE)</f>
        <v>Roof</v>
      </c>
      <c r="B227" s="205" t="str" cm="1">
        <f t="array" ref="B227">IF(ROWS($B$217:$B227)&lt;=$J$217,INDEX(Roof!$R:$R,_xlfn.AGGREGATE(15,3,(Roof!$H$1:$H$330=1)/(Roof!$H$1:$H$330=1)*ROW(Roof!$H$1:$H$330),ROWS($B$217:$B227))),"")</f>
        <v/>
      </c>
      <c r="C227" s="205" t="str" cm="1">
        <f t="array" ref="C227">IF(ROWS($B$217:$B227)&lt;=$J$217,INDEX(Roof!C:C,$H227) &amp; INDEX(Roof!S:S,$H227),"")</f>
        <v/>
      </c>
      <c r="D227" s="206" t="str">
        <f t="shared" si="30"/>
        <v/>
      </c>
      <c r="E227" s="206" t="str" cm="1">
        <f t="array" ref="E227">IF(ROWS($B$217:$B227)&lt;=$J$217,INDEX(Roof!K:K,_xlfn.AGGREGATE(15,3,(Roof!$H$1:$H$330=1)/(Roof!$H$1:$H$330=1)*ROW(Roof!$H$1:$H$330),ROWS($B$217:$B227))),"")</f>
        <v/>
      </c>
      <c r="F227" s="206" t="str" cm="1">
        <f t="array" ref="F227">IF(ROWS($B$217:$B227)&lt;=$J$217,INDEX(Roof!L:L,_xlfn.AGGREGATE(15,3,(Roof!$H$1:$H$330=1)/(Roof!$H$1:$H$330=1)*ROW(Roof!$H$1:$H$330),ROWS($B$217:$B227))),"")</f>
        <v/>
      </c>
      <c r="G227" s="206" t="str" cm="1">
        <f t="array" ref="G227">IF(ROWS($B$217:$B227)&lt;=$J$217,INDEX(Roof!M:M,_xlfn.AGGREGATE(15,3,(Roof!$H$1:$H$330=1)/(Roof!$H$1:$H$330=1)*ROW(Roof!$H$1:$H$330),ROWS($B$217:$B227))),"")</f>
        <v/>
      </c>
      <c r="H227" s="388" t="str" cm="1">
        <f t="array" ref="H227">IFERROR(_xlfn.AGGREGATE(15,3,(Roof!$H$1:$H$330=1)/(Roof!$H$1:$H$330=1)*ROW(Roof!$H$1:$H$330),ROWS($B$217:$B227)),"")</f>
        <v/>
      </c>
      <c r="I227" s="388" t="str" cm="1">
        <f t="array" ref="I227">IF(ROWS($B$217:$B227)&lt;=$J$217,ROUND(INDEX(Roof!D:D,H227),1)  &amp; " " &amp; INDEX(Roof!E:E,H227),"")</f>
        <v/>
      </c>
    </row>
    <row r="228" spans="1:9" ht="30.15" customHeight="1" x14ac:dyDescent="0.25">
      <c r="A228" s="204" t="str">
        <f>VLOOKUP("Roof",Setting!$E$6:$H$33,4,FALSE)</f>
        <v>Roof</v>
      </c>
      <c r="B228" s="205" t="str" cm="1">
        <f t="array" ref="B228">IF(ROWS($B$217:$B228)&lt;=$J$217,INDEX(Roof!$R:$R,_xlfn.AGGREGATE(15,3,(Roof!$H$1:$H$330=1)/(Roof!$H$1:$H$330=1)*ROW(Roof!$H$1:$H$330),ROWS($B$217:$B228))),"")</f>
        <v/>
      </c>
      <c r="C228" s="205" t="str" cm="1">
        <f t="array" ref="C228">IF(ROWS($B$217:$B228)&lt;=$J$217,INDEX(Roof!C:C,$H228) &amp; INDEX(Roof!S:S,$H228),"")</f>
        <v/>
      </c>
      <c r="D228" s="206" t="str">
        <f t="shared" si="30"/>
        <v/>
      </c>
      <c r="E228" s="206" t="str" cm="1">
        <f t="array" ref="E228">IF(ROWS($B$217:$B228)&lt;=$J$217,INDEX(Roof!K:K,_xlfn.AGGREGATE(15,3,(Roof!$H$1:$H$330=1)/(Roof!$H$1:$H$330=1)*ROW(Roof!$H$1:$H$330),ROWS($B$217:$B228))),"")</f>
        <v/>
      </c>
      <c r="F228" s="206" t="str" cm="1">
        <f t="array" ref="F228">IF(ROWS($B$217:$B228)&lt;=$J$217,INDEX(Roof!L:L,_xlfn.AGGREGATE(15,3,(Roof!$H$1:$H$330=1)/(Roof!$H$1:$H$330=1)*ROW(Roof!$H$1:$H$330),ROWS($B$217:$B228))),"")</f>
        <v/>
      </c>
      <c r="G228" s="206" t="str" cm="1">
        <f t="array" ref="G228">IF(ROWS($B$217:$B228)&lt;=$J$217,INDEX(Roof!M:M,_xlfn.AGGREGATE(15,3,(Roof!$H$1:$H$330=1)/(Roof!$H$1:$H$330=1)*ROW(Roof!$H$1:$H$330),ROWS($B$217:$B228))),"")</f>
        <v/>
      </c>
      <c r="H228" s="388" t="str" cm="1">
        <f t="array" ref="H228">IFERROR(_xlfn.AGGREGATE(15,3,(Roof!$H$1:$H$330=1)/(Roof!$H$1:$H$330=1)*ROW(Roof!$H$1:$H$330),ROWS($B$217:$B228)),"")</f>
        <v/>
      </c>
      <c r="I228" s="388" t="str" cm="1">
        <f t="array" ref="I228">IF(ROWS($B$217:$B228)&lt;=$J$217,ROUND(INDEX(Roof!D:D,H228),1)  &amp; " " &amp; INDEX(Roof!E:E,H228),"")</f>
        <v/>
      </c>
    </row>
    <row r="229" spans="1:9" ht="30.15" customHeight="1" x14ac:dyDescent="0.25">
      <c r="A229" s="204" t="str">
        <f>VLOOKUP("Roof",Setting!$E$6:$H$33,4,FALSE)</f>
        <v>Roof</v>
      </c>
      <c r="B229" s="205" t="str" cm="1">
        <f t="array" ref="B229">IF(ROWS($B$217:$B229)&lt;=$J$217,INDEX(Roof!$R:$R,_xlfn.AGGREGATE(15,3,(Roof!$H$1:$H$330=1)/(Roof!$H$1:$H$330=1)*ROW(Roof!$H$1:$H$330),ROWS($B$217:$B229))),"")</f>
        <v/>
      </c>
      <c r="C229" s="205" t="str" cm="1">
        <f t="array" ref="C229">IF(ROWS($B$217:$B229)&lt;=$J$217,INDEX(Roof!C:C,$H229) &amp; INDEX(Roof!S:S,$H229),"")</f>
        <v/>
      </c>
      <c r="D229" s="206" t="str">
        <f t="shared" si="30"/>
        <v/>
      </c>
      <c r="E229" s="206" t="str" cm="1">
        <f t="array" ref="E229">IF(ROWS($B$217:$B229)&lt;=$J$217,INDEX(Roof!K:K,_xlfn.AGGREGATE(15,3,(Roof!$H$1:$H$330=1)/(Roof!$H$1:$H$330=1)*ROW(Roof!$H$1:$H$330),ROWS($B$217:$B229))),"")</f>
        <v/>
      </c>
      <c r="F229" s="206" t="str" cm="1">
        <f t="array" ref="F229">IF(ROWS($B$217:$B229)&lt;=$J$217,INDEX(Roof!L:L,_xlfn.AGGREGATE(15,3,(Roof!$H$1:$H$330=1)/(Roof!$H$1:$H$330=1)*ROW(Roof!$H$1:$H$330),ROWS($B$217:$B229))),"")</f>
        <v/>
      </c>
      <c r="G229" s="206" t="str" cm="1">
        <f t="array" ref="G229">IF(ROWS($B$217:$B229)&lt;=$J$217,INDEX(Roof!M:M,_xlfn.AGGREGATE(15,3,(Roof!$H$1:$H$330=1)/(Roof!$H$1:$H$330=1)*ROW(Roof!$H$1:$H$330),ROWS($B$217:$B229))),"")</f>
        <v/>
      </c>
      <c r="H229" s="388" t="str" cm="1">
        <f t="array" ref="H229">IFERROR(_xlfn.AGGREGATE(15,3,(Roof!$H$1:$H$330=1)/(Roof!$H$1:$H$330=1)*ROW(Roof!$H$1:$H$330),ROWS($B$217:$B229)),"")</f>
        <v/>
      </c>
      <c r="I229" s="388" t="str" cm="1">
        <f t="array" ref="I229">IF(ROWS($B$217:$B229)&lt;=$J$217,ROUND(INDEX(Roof!D:D,H229),1)  &amp; " " &amp; INDEX(Roof!E:E,H229),"")</f>
        <v/>
      </c>
    </row>
    <row r="230" spans="1:9" ht="30.15" customHeight="1" x14ac:dyDescent="0.25">
      <c r="A230" s="204" t="str">
        <f>VLOOKUP("Roof",Setting!$E$6:$H$33,4,FALSE)</f>
        <v>Roof</v>
      </c>
      <c r="B230" s="205" t="str" cm="1">
        <f t="array" ref="B230">IF(ROWS($B$217:$B230)&lt;=$J$217,INDEX(Roof!$R:$R,_xlfn.AGGREGATE(15,3,(Roof!$H$1:$H$330=1)/(Roof!$H$1:$H$330=1)*ROW(Roof!$H$1:$H$330),ROWS($B$217:$B230))),"")</f>
        <v/>
      </c>
      <c r="C230" s="205" t="str" cm="1">
        <f t="array" ref="C230">IF(ROWS($B$217:$B230)&lt;=$J$217,INDEX(Roof!C:C,$H230) &amp; INDEX(Roof!S:S,$H230),"")</f>
        <v/>
      </c>
      <c r="D230" s="206" t="str">
        <f t="shared" si="30"/>
        <v/>
      </c>
      <c r="E230" s="206" t="str" cm="1">
        <f t="array" ref="E230">IF(ROWS($B$217:$B230)&lt;=$J$217,INDEX(Roof!K:K,_xlfn.AGGREGATE(15,3,(Roof!$H$1:$H$330=1)/(Roof!$H$1:$H$330=1)*ROW(Roof!$H$1:$H$330),ROWS($B$217:$B230))),"")</f>
        <v/>
      </c>
      <c r="F230" s="206" t="str" cm="1">
        <f t="array" ref="F230">IF(ROWS($B$217:$B230)&lt;=$J$217,INDEX(Roof!L:L,_xlfn.AGGREGATE(15,3,(Roof!$H$1:$H$330=1)/(Roof!$H$1:$H$330=1)*ROW(Roof!$H$1:$H$330),ROWS($B$217:$B230))),"")</f>
        <v/>
      </c>
      <c r="G230" s="206" t="str" cm="1">
        <f t="array" ref="G230">IF(ROWS($B$217:$B230)&lt;=$J$217,INDEX(Roof!M:M,_xlfn.AGGREGATE(15,3,(Roof!$H$1:$H$330=1)/(Roof!$H$1:$H$330=1)*ROW(Roof!$H$1:$H$330),ROWS($B$217:$B230))),"")</f>
        <v/>
      </c>
      <c r="H230" s="388" t="str" cm="1">
        <f t="array" ref="H230">IFERROR(_xlfn.AGGREGATE(15,3,(Roof!$H$1:$H$330=1)/(Roof!$H$1:$H$330=1)*ROW(Roof!$H$1:$H$330),ROWS($B$217:$B230)),"")</f>
        <v/>
      </c>
      <c r="I230" s="388" t="str" cm="1">
        <f t="array" ref="I230">IF(ROWS($B$217:$B230)&lt;=$J$217,ROUND(INDEX(Roof!D:D,H230),1)  &amp; " " &amp; INDEX(Roof!E:E,H230),"")</f>
        <v/>
      </c>
    </row>
    <row r="231" spans="1:9" ht="30.15" customHeight="1" x14ac:dyDescent="0.25">
      <c r="A231" s="204" t="str">
        <f>VLOOKUP("Roof",Setting!$E$6:$H$33,4,FALSE)</f>
        <v>Roof</v>
      </c>
      <c r="B231" s="205" t="str" cm="1">
        <f t="array" ref="B231">IF(ROWS($B$217:$B231)&lt;=$J$217,INDEX(Roof!$R:$R,_xlfn.AGGREGATE(15,3,(Roof!$H$1:$H$330=1)/(Roof!$H$1:$H$330=1)*ROW(Roof!$H$1:$H$330),ROWS($B$217:$B231))),"")</f>
        <v/>
      </c>
      <c r="C231" s="205" t="str" cm="1">
        <f t="array" ref="C231">IF(ROWS($B$217:$B231)&lt;=$J$217,INDEX(Roof!C:C,$H231) &amp; INDEX(Roof!S:S,$H231),"")</f>
        <v/>
      </c>
      <c r="D231" s="206" t="str">
        <f t="shared" si="30"/>
        <v/>
      </c>
      <c r="E231" s="206" t="str" cm="1">
        <f t="array" ref="E231">IF(ROWS($B$217:$B231)&lt;=$J$217,INDEX(Roof!K:K,_xlfn.AGGREGATE(15,3,(Roof!$H$1:$H$330=1)/(Roof!$H$1:$H$330=1)*ROW(Roof!$H$1:$H$330),ROWS($B$217:$B231))),"")</f>
        <v/>
      </c>
      <c r="F231" s="206" t="str" cm="1">
        <f t="array" ref="F231">IF(ROWS($B$217:$B231)&lt;=$J$217,INDEX(Roof!L:L,_xlfn.AGGREGATE(15,3,(Roof!$H$1:$H$330=1)/(Roof!$H$1:$H$330=1)*ROW(Roof!$H$1:$H$330),ROWS($B$217:$B231))),"")</f>
        <v/>
      </c>
      <c r="G231" s="206" t="str" cm="1">
        <f t="array" ref="G231">IF(ROWS($B$217:$B231)&lt;=$J$217,INDEX(Roof!M:M,_xlfn.AGGREGATE(15,3,(Roof!$H$1:$H$330=1)/(Roof!$H$1:$H$330=1)*ROW(Roof!$H$1:$H$330),ROWS($B$217:$B231))),"")</f>
        <v/>
      </c>
      <c r="H231" s="388" t="str" cm="1">
        <f t="array" ref="H231">IFERROR(_xlfn.AGGREGATE(15,3,(Roof!$H$1:$H$330=1)/(Roof!$H$1:$H$330=1)*ROW(Roof!$H$1:$H$330),ROWS($B$217:$B231)),"")</f>
        <v/>
      </c>
      <c r="I231" s="388" t="str" cm="1">
        <f t="array" ref="I231">IF(ROWS($B$217:$B231)&lt;=$J$217,ROUND(INDEX(Roof!D:D,H231),1)  &amp; " " &amp; INDEX(Roof!E:E,H231),"")</f>
        <v/>
      </c>
    </row>
    <row r="232" spans="1:9" ht="30.15" customHeight="1" x14ac:dyDescent="0.25">
      <c r="A232" s="204" t="str">
        <f>VLOOKUP("Roof",Setting!$E$6:$H$33,4,FALSE)</f>
        <v>Roof</v>
      </c>
      <c r="B232" s="205" t="str" cm="1">
        <f t="array" ref="B232">IF(ROWS($B$217:$B232)&lt;=$J$217,INDEX(Roof!$R:$R,_xlfn.AGGREGATE(15,3,(Roof!$H$1:$H$330=1)/(Roof!$H$1:$H$330=1)*ROW(Roof!$H$1:$H$330),ROWS($B$217:$B232))),"")</f>
        <v/>
      </c>
      <c r="C232" s="205" t="str" cm="1">
        <f t="array" ref="C232">IF(ROWS($B$217:$B232)&lt;=$J$217,INDEX(Roof!C:C,$H232) &amp; INDEX(Roof!S:S,$H232),"")</f>
        <v/>
      </c>
      <c r="D232" s="206" t="str">
        <f t="shared" si="30"/>
        <v/>
      </c>
      <c r="E232" s="206" t="str" cm="1">
        <f t="array" ref="E232">IF(ROWS($B$217:$B232)&lt;=$J$217,INDEX(Roof!K:K,_xlfn.AGGREGATE(15,3,(Roof!$H$1:$H$330=1)/(Roof!$H$1:$H$330=1)*ROW(Roof!$H$1:$H$330),ROWS($B$217:$B232))),"")</f>
        <v/>
      </c>
      <c r="F232" s="206" t="str" cm="1">
        <f t="array" ref="F232">IF(ROWS($B$217:$B232)&lt;=$J$217,INDEX(Roof!L:L,_xlfn.AGGREGATE(15,3,(Roof!$H$1:$H$330=1)/(Roof!$H$1:$H$330=1)*ROW(Roof!$H$1:$H$330),ROWS($B$217:$B232))),"")</f>
        <v/>
      </c>
      <c r="G232" s="206" t="str" cm="1">
        <f t="array" ref="G232">IF(ROWS($B$217:$B232)&lt;=$J$217,INDEX(Roof!M:M,_xlfn.AGGREGATE(15,3,(Roof!$H$1:$H$330=1)/(Roof!$H$1:$H$330=1)*ROW(Roof!$H$1:$H$330),ROWS($B$217:$B232))),"")</f>
        <v/>
      </c>
      <c r="H232" s="388" t="str" cm="1">
        <f t="array" ref="H232">IFERROR(_xlfn.AGGREGATE(15,3,(Roof!$H$1:$H$330=1)/(Roof!$H$1:$H$330=1)*ROW(Roof!$H$1:$H$330),ROWS($B$217:$B232)),"")</f>
        <v/>
      </c>
      <c r="I232" s="388" t="str" cm="1">
        <f t="array" ref="I232">IF(ROWS($B$217:$B232)&lt;=$J$217,ROUND(INDEX(Roof!D:D,H232),1)  &amp; " " &amp; INDEX(Roof!E:E,H232),"")</f>
        <v/>
      </c>
    </row>
    <row r="233" spans="1:9" ht="30.15" customHeight="1" x14ac:dyDescent="0.25">
      <c r="A233" s="204" t="str">
        <f>VLOOKUP("Roof",Setting!$E$6:$H$33,4,FALSE)</f>
        <v>Roof</v>
      </c>
      <c r="B233" s="205" t="str" cm="1">
        <f t="array" ref="B233">IF(ROWS($B$217:$B233)&lt;=$J$217,INDEX(Roof!$R:$R,_xlfn.AGGREGATE(15,3,(Roof!$H$1:$H$330=1)/(Roof!$H$1:$H$330=1)*ROW(Roof!$H$1:$H$330),ROWS($B$217:$B233))),"")</f>
        <v/>
      </c>
      <c r="C233" s="205" t="str" cm="1">
        <f t="array" ref="C233">IF(ROWS($B$217:$B233)&lt;=$J$217,INDEX(Roof!C:C,$H233) &amp; INDEX(Roof!S:S,$H233),"")</f>
        <v/>
      </c>
      <c r="D233" s="206" t="str">
        <f t="shared" si="30"/>
        <v/>
      </c>
      <c r="E233" s="206" t="str" cm="1">
        <f t="array" ref="E233">IF(ROWS($B$217:$B233)&lt;=$J$217,INDEX(Roof!K:K,_xlfn.AGGREGATE(15,3,(Roof!$H$1:$H$330=1)/(Roof!$H$1:$H$330=1)*ROW(Roof!$H$1:$H$330),ROWS($B$217:$B233))),"")</f>
        <v/>
      </c>
      <c r="F233" s="206" t="str" cm="1">
        <f t="array" ref="F233">IF(ROWS($B$217:$B233)&lt;=$J$217,INDEX(Roof!L:L,_xlfn.AGGREGATE(15,3,(Roof!$H$1:$H$330=1)/(Roof!$H$1:$H$330=1)*ROW(Roof!$H$1:$H$330),ROWS($B$217:$B233))),"")</f>
        <v/>
      </c>
      <c r="G233" s="206" t="str" cm="1">
        <f t="array" ref="G233">IF(ROWS($B$217:$B233)&lt;=$J$217,INDEX(Roof!M:M,_xlfn.AGGREGATE(15,3,(Roof!$H$1:$H$330=1)/(Roof!$H$1:$H$330=1)*ROW(Roof!$H$1:$H$330),ROWS($B$217:$B233))),"")</f>
        <v/>
      </c>
      <c r="H233" s="388" t="str" cm="1">
        <f t="array" ref="H233">IFERROR(_xlfn.AGGREGATE(15,3,(Roof!$H$1:$H$330=1)/(Roof!$H$1:$H$330=1)*ROW(Roof!$H$1:$H$330),ROWS($B$217:$B233)),"")</f>
        <v/>
      </c>
      <c r="I233" s="388" t="str" cm="1">
        <f t="array" ref="I233">IF(ROWS($B$217:$B233)&lt;=$J$217,ROUND(INDEX(Roof!D:D,H233),1)  &amp; " " &amp; INDEX(Roof!E:E,H233),"")</f>
        <v/>
      </c>
    </row>
    <row r="234" spans="1:9" ht="30.15" customHeight="1" x14ac:dyDescent="0.25">
      <c r="A234" s="204" t="str">
        <f>VLOOKUP("Roof",Setting!$E$6:$H$33,4,FALSE)</f>
        <v>Roof</v>
      </c>
      <c r="B234" s="205" t="str" cm="1">
        <f t="array" ref="B234">IF(ROWS($B$217:$B234)&lt;=$J$217,INDEX(Roof!$R:$R,_xlfn.AGGREGATE(15,3,(Roof!$H$1:$H$330=1)/(Roof!$H$1:$H$330=1)*ROW(Roof!$H$1:$H$330),ROWS($B$217:$B234))),"")</f>
        <v/>
      </c>
      <c r="C234" s="205" t="str" cm="1">
        <f t="array" ref="C234">IF(ROWS($B$217:$B234)&lt;=$J$217,INDEX(Roof!C:C,$H234) &amp; INDEX(Roof!S:S,$H234),"")</f>
        <v/>
      </c>
      <c r="D234" s="206" t="str">
        <f t="shared" si="30"/>
        <v/>
      </c>
      <c r="E234" s="206" t="str" cm="1">
        <f t="array" ref="E234">IF(ROWS($B$217:$B234)&lt;=$J$217,INDEX(Roof!K:K,_xlfn.AGGREGATE(15,3,(Roof!$H$1:$H$330=1)/(Roof!$H$1:$H$330=1)*ROW(Roof!$H$1:$H$330),ROWS($B$217:$B234))),"")</f>
        <v/>
      </c>
      <c r="F234" s="206" t="str" cm="1">
        <f t="array" ref="F234">IF(ROWS($B$217:$B234)&lt;=$J$217,INDEX(Roof!L:L,_xlfn.AGGREGATE(15,3,(Roof!$H$1:$H$330=1)/(Roof!$H$1:$H$330=1)*ROW(Roof!$H$1:$H$330),ROWS($B$217:$B234))),"")</f>
        <v/>
      </c>
      <c r="G234" s="206" t="str" cm="1">
        <f t="array" ref="G234">IF(ROWS($B$217:$B234)&lt;=$J$217,INDEX(Roof!M:M,_xlfn.AGGREGATE(15,3,(Roof!$H$1:$H$330=1)/(Roof!$H$1:$H$330=1)*ROW(Roof!$H$1:$H$330),ROWS($B$217:$B234))),"")</f>
        <v/>
      </c>
      <c r="H234" s="388" t="str" cm="1">
        <f t="array" ref="H234">IFERROR(_xlfn.AGGREGATE(15,3,(Roof!$H$1:$H$330=1)/(Roof!$H$1:$H$330=1)*ROW(Roof!$H$1:$H$330),ROWS($B$217:$B234)),"")</f>
        <v/>
      </c>
      <c r="I234" s="388" t="str" cm="1">
        <f t="array" ref="I234">IF(ROWS($B$217:$B234)&lt;=$J$217,ROUND(INDEX(Roof!D:D,H234),1)  &amp; " " &amp; INDEX(Roof!E:E,H234),"")</f>
        <v/>
      </c>
    </row>
    <row r="235" spans="1:9" ht="30.15" customHeight="1" x14ac:dyDescent="0.25">
      <c r="A235" s="204" t="str">
        <f>VLOOKUP("Roof",Setting!$E$6:$H$33,4,FALSE)</f>
        <v>Roof</v>
      </c>
      <c r="B235" s="205" t="str" cm="1">
        <f t="array" ref="B235">IF(ROWS($B$217:$B235)&lt;=$J$217,INDEX(Roof!$R:$R,_xlfn.AGGREGATE(15,3,(Roof!$H$1:$H$330=1)/(Roof!$H$1:$H$330=1)*ROW(Roof!$H$1:$H$330),ROWS($B$217:$B235))),"")</f>
        <v/>
      </c>
      <c r="C235" s="205" t="str" cm="1">
        <f t="array" ref="C235">IF(ROWS($B$217:$B235)&lt;=$J$217,INDEX(Roof!C:C,$H235) &amp; INDEX(Roof!S:S,$H235),"")</f>
        <v/>
      </c>
      <c r="D235" s="206" t="str">
        <f t="shared" si="30"/>
        <v/>
      </c>
      <c r="E235" s="206" t="str" cm="1">
        <f t="array" ref="E235">IF(ROWS($B$217:$B235)&lt;=$J$217,INDEX(Roof!K:K,_xlfn.AGGREGATE(15,3,(Roof!$H$1:$H$330=1)/(Roof!$H$1:$H$330=1)*ROW(Roof!$H$1:$H$330),ROWS($B$217:$B235))),"")</f>
        <v/>
      </c>
      <c r="F235" s="206" t="str" cm="1">
        <f t="array" ref="F235">IF(ROWS($B$217:$B235)&lt;=$J$217,INDEX(Roof!L:L,_xlfn.AGGREGATE(15,3,(Roof!$H$1:$H$330=1)/(Roof!$H$1:$H$330=1)*ROW(Roof!$H$1:$H$330),ROWS($B$217:$B235))),"")</f>
        <v/>
      </c>
      <c r="G235" s="206" t="str" cm="1">
        <f t="array" ref="G235">IF(ROWS($B$217:$B235)&lt;=$J$217,INDEX(Roof!M:M,_xlfn.AGGREGATE(15,3,(Roof!$H$1:$H$330=1)/(Roof!$H$1:$H$330=1)*ROW(Roof!$H$1:$H$330),ROWS($B$217:$B235))),"")</f>
        <v/>
      </c>
      <c r="H235" s="388" t="str" cm="1">
        <f t="array" ref="H235">IFERROR(_xlfn.AGGREGATE(15,3,(Roof!$H$1:$H$330=1)/(Roof!$H$1:$H$330=1)*ROW(Roof!$H$1:$H$330),ROWS($B$217:$B235)),"")</f>
        <v/>
      </c>
      <c r="I235" s="388" t="str" cm="1">
        <f t="array" ref="I235">IF(ROWS($B$217:$B235)&lt;=$J$217,ROUND(INDEX(Roof!D:D,H235),1)  &amp; " " &amp; INDEX(Roof!E:E,H235),"")</f>
        <v/>
      </c>
    </row>
    <row r="236" spans="1:9" ht="30.15" customHeight="1" x14ac:dyDescent="0.25">
      <c r="A236" s="204" t="str">
        <f>VLOOKUP("Roof",Setting!$E$6:$H$33,4,FALSE)</f>
        <v>Roof</v>
      </c>
      <c r="B236" s="205" t="str" cm="1">
        <f t="array" ref="B236">IF(ROWS($B$217:$B236)&lt;=$J$217,INDEX(Roof!$R:$R,_xlfn.AGGREGATE(15,3,(Roof!$H$1:$H$330=1)/(Roof!$H$1:$H$330=1)*ROW(Roof!$H$1:$H$330),ROWS($B$217:$B236))),"")</f>
        <v/>
      </c>
      <c r="C236" s="205" t="str" cm="1">
        <f t="array" ref="C236">IF(ROWS($B$217:$B236)&lt;=$J$217,INDEX(Roof!C:C,$H236) &amp; INDEX(Roof!S:S,$H236),"")</f>
        <v/>
      </c>
      <c r="D236" s="206" t="str">
        <f t="shared" si="30"/>
        <v/>
      </c>
      <c r="E236" s="206" t="str" cm="1">
        <f t="array" ref="E236">IF(ROWS($B$217:$B236)&lt;=$J$217,INDEX(Roof!K:K,_xlfn.AGGREGATE(15,3,(Roof!$H$1:$H$330=1)/(Roof!$H$1:$H$330=1)*ROW(Roof!$H$1:$H$330),ROWS($B$217:$B236))),"")</f>
        <v/>
      </c>
      <c r="F236" s="206" t="str" cm="1">
        <f t="array" ref="F236">IF(ROWS($B$217:$B236)&lt;=$J$217,INDEX(Roof!L:L,_xlfn.AGGREGATE(15,3,(Roof!$H$1:$H$330=1)/(Roof!$H$1:$H$330=1)*ROW(Roof!$H$1:$H$330),ROWS($B$217:$B236))),"")</f>
        <v/>
      </c>
      <c r="G236" s="206" t="str" cm="1">
        <f t="array" ref="G236">IF(ROWS($B$217:$B236)&lt;=$J$217,INDEX(Roof!M:M,_xlfn.AGGREGATE(15,3,(Roof!$H$1:$H$330=1)/(Roof!$H$1:$H$330=1)*ROW(Roof!$H$1:$H$330),ROWS($B$217:$B236))),"")</f>
        <v/>
      </c>
      <c r="H236" s="388" t="str" cm="1">
        <f t="array" ref="H236">IFERROR(_xlfn.AGGREGATE(15,3,(Roof!$H$1:$H$330=1)/(Roof!$H$1:$H$330=1)*ROW(Roof!$H$1:$H$330),ROWS($B$217:$B236)),"")</f>
        <v/>
      </c>
      <c r="I236" s="388" t="str" cm="1">
        <f t="array" ref="I236">IF(ROWS($B$217:$B236)&lt;=$J$217,ROUND(INDEX(Roof!D:D,H236),1)  &amp; " " &amp; INDEX(Roof!E:E,H236),"")</f>
        <v/>
      </c>
    </row>
    <row r="237" spans="1:9" ht="30.15" customHeight="1" x14ac:dyDescent="0.25">
      <c r="A237" s="204" t="str">
        <f>VLOOKUP("Roof",Setting!$E$6:$H$33,4,FALSE)</f>
        <v>Roof</v>
      </c>
      <c r="B237" s="205" t="str" cm="1">
        <f t="array" ref="B237">IF(ROWS($B$217:$B237)&lt;=$J$217,INDEX(Roof!$R:$R,_xlfn.AGGREGATE(15,3,(Roof!$H$1:$H$330=1)/(Roof!$H$1:$H$330=1)*ROW(Roof!$H$1:$H$330),ROWS($B$217:$B237))),"")</f>
        <v/>
      </c>
      <c r="C237" s="205" t="str" cm="1">
        <f t="array" ref="C237">IF(ROWS($B$217:$B237)&lt;=$J$217,INDEX(Roof!C:C,$H237) &amp; INDEX(Roof!S:S,$H237),"")</f>
        <v/>
      </c>
      <c r="D237" s="206" t="str">
        <f t="shared" si="30"/>
        <v/>
      </c>
      <c r="E237" s="206" t="str" cm="1">
        <f t="array" ref="E237">IF(ROWS($B$217:$B237)&lt;=$J$217,INDEX(Roof!K:K,_xlfn.AGGREGATE(15,3,(Roof!$H$1:$H$330=1)/(Roof!$H$1:$H$330=1)*ROW(Roof!$H$1:$H$330),ROWS($B$217:$B237))),"")</f>
        <v/>
      </c>
      <c r="F237" s="206" t="str" cm="1">
        <f t="array" ref="F237">IF(ROWS($B$217:$B237)&lt;=$J$217,INDEX(Roof!L:L,_xlfn.AGGREGATE(15,3,(Roof!$H$1:$H$330=1)/(Roof!$H$1:$H$330=1)*ROW(Roof!$H$1:$H$330),ROWS($B$217:$B237))),"")</f>
        <v/>
      </c>
      <c r="G237" s="206" t="str" cm="1">
        <f t="array" ref="G237">IF(ROWS($B$217:$B237)&lt;=$J$217,INDEX(Roof!M:M,_xlfn.AGGREGATE(15,3,(Roof!$H$1:$H$330=1)/(Roof!$H$1:$H$330=1)*ROW(Roof!$H$1:$H$330),ROWS($B$217:$B237))),"")</f>
        <v/>
      </c>
      <c r="H237" s="388" t="str" cm="1">
        <f t="array" ref="H237">IFERROR(_xlfn.AGGREGATE(15,3,(Roof!$H$1:$H$330=1)/(Roof!$H$1:$H$330=1)*ROW(Roof!$H$1:$H$330),ROWS($B$217:$B237)),"")</f>
        <v/>
      </c>
      <c r="I237" s="388" t="str" cm="1">
        <f t="array" ref="I237">IF(ROWS($B$217:$B237)&lt;=$J$217,ROUND(INDEX(Roof!D:D,H237),1)  &amp; " " &amp; INDEX(Roof!E:E,H237),"")</f>
        <v/>
      </c>
    </row>
    <row r="238" spans="1:9" ht="30.15" customHeight="1" x14ac:dyDescent="0.25">
      <c r="A238" s="204" t="str">
        <f>VLOOKUP("Roof",Setting!$E$6:$H$33,4,FALSE)</f>
        <v>Roof</v>
      </c>
      <c r="B238" s="205" t="str" cm="1">
        <f t="array" ref="B238">IF(ROWS($B$217:$B238)&lt;=$J$217,INDEX(Roof!$R:$R,_xlfn.AGGREGATE(15,3,(Roof!$H$1:$H$330=1)/(Roof!$H$1:$H$330=1)*ROW(Roof!$H$1:$H$330),ROWS($B$217:$B238))),"")</f>
        <v/>
      </c>
      <c r="C238" s="205" t="str" cm="1">
        <f t="array" ref="C238">IF(ROWS($B$217:$B238)&lt;=$J$217,INDEX(Roof!C:C,$H238) &amp; INDEX(Roof!S:S,$H238),"")</f>
        <v/>
      </c>
      <c r="D238" s="206" t="str">
        <f t="shared" si="30"/>
        <v/>
      </c>
      <c r="E238" s="206" t="str" cm="1">
        <f t="array" ref="E238">IF(ROWS($B$217:$B238)&lt;=$J$217,INDEX(Roof!K:K,_xlfn.AGGREGATE(15,3,(Roof!$H$1:$H$330=1)/(Roof!$H$1:$H$330=1)*ROW(Roof!$H$1:$H$330),ROWS($B$217:$B238))),"")</f>
        <v/>
      </c>
      <c r="F238" s="206" t="str" cm="1">
        <f t="array" ref="F238">IF(ROWS($B$217:$B238)&lt;=$J$217,INDEX(Roof!L:L,_xlfn.AGGREGATE(15,3,(Roof!$H$1:$H$330=1)/(Roof!$H$1:$H$330=1)*ROW(Roof!$H$1:$H$330),ROWS($B$217:$B238))),"")</f>
        <v/>
      </c>
      <c r="G238" s="206" t="str" cm="1">
        <f t="array" ref="G238">IF(ROWS($B$217:$B238)&lt;=$J$217,INDEX(Roof!M:M,_xlfn.AGGREGATE(15,3,(Roof!$H$1:$H$330=1)/(Roof!$H$1:$H$330=1)*ROW(Roof!$H$1:$H$330),ROWS($B$217:$B238))),"")</f>
        <v/>
      </c>
      <c r="H238" s="388" t="str" cm="1">
        <f t="array" ref="H238">IFERROR(_xlfn.AGGREGATE(15,3,(Roof!$H$1:$H$330=1)/(Roof!$H$1:$H$330=1)*ROW(Roof!$H$1:$H$330),ROWS($B$217:$B238)),"")</f>
        <v/>
      </c>
      <c r="I238" s="388" t="str" cm="1">
        <f t="array" ref="I238">IF(ROWS($B$217:$B238)&lt;=$J$217,ROUND(INDEX(Roof!D:D,H238),1)  &amp; " " &amp; INDEX(Roof!E:E,H238),"")</f>
        <v/>
      </c>
    </row>
    <row r="239" spans="1:9" ht="30.15" customHeight="1" x14ac:dyDescent="0.25">
      <c r="A239" s="204" t="str">
        <f>VLOOKUP("Roof",Setting!$E$6:$H$33,4,FALSE)</f>
        <v>Roof</v>
      </c>
      <c r="B239" s="205" t="str" cm="1">
        <f t="array" ref="B239">IF(ROWS($B$217:$B239)&lt;=$J$217,INDEX(Roof!$R:$R,_xlfn.AGGREGATE(15,3,(Roof!$H$1:$H$330=1)/(Roof!$H$1:$H$330=1)*ROW(Roof!$H$1:$H$330),ROWS($B$217:$B239))),"")</f>
        <v/>
      </c>
      <c r="C239" s="205" t="str" cm="1">
        <f t="array" ref="C239">IF(ROWS($B$217:$B239)&lt;=$J$217,INDEX(Roof!C:C,$H239) &amp; INDEX(Roof!S:S,$H239),"")</f>
        <v/>
      </c>
      <c r="D239" s="206" t="str">
        <f t="shared" si="30"/>
        <v/>
      </c>
      <c r="E239" s="206" t="str" cm="1">
        <f t="array" ref="E239">IF(ROWS($B$217:$B239)&lt;=$J$217,INDEX(Roof!K:K,_xlfn.AGGREGATE(15,3,(Roof!$H$1:$H$330=1)/(Roof!$H$1:$H$330=1)*ROW(Roof!$H$1:$H$330),ROWS($B$217:$B239))),"")</f>
        <v/>
      </c>
      <c r="F239" s="206" t="str" cm="1">
        <f t="array" ref="F239">IF(ROWS($B$217:$B239)&lt;=$J$217,INDEX(Roof!L:L,_xlfn.AGGREGATE(15,3,(Roof!$H$1:$H$330=1)/(Roof!$H$1:$H$330=1)*ROW(Roof!$H$1:$H$330),ROWS($B$217:$B239))),"")</f>
        <v/>
      </c>
      <c r="G239" s="206" t="str" cm="1">
        <f t="array" ref="G239">IF(ROWS($B$217:$B239)&lt;=$J$217,INDEX(Roof!M:M,_xlfn.AGGREGATE(15,3,(Roof!$H$1:$H$330=1)/(Roof!$H$1:$H$330=1)*ROW(Roof!$H$1:$H$330),ROWS($B$217:$B239))),"")</f>
        <v/>
      </c>
      <c r="H239" s="388" t="str" cm="1">
        <f t="array" ref="H239">IFERROR(_xlfn.AGGREGATE(15,3,(Roof!$H$1:$H$330=1)/(Roof!$H$1:$H$330=1)*ROW(Roof!$H$1:$H$330),ROWS($B$217:$B239)),"")</f>
        <v/>
      </c>
      <c r="I239" s="388" t="str" cm="1">
        <f t="array" ref="I239">IF(ROWS($B$217:$B239)&lt;=$J$217,ROUND(INDEX(Roof!D:D,H239),1)  &amp; " " &amp; INDEX(Roof!E:E,H239),"")</f>
        <v/>
      </c>
    </row>
    <row r="240" spans="1:9" ht="30.15" customHeight="1" x14ac:dyDescent="0.25">
      <c r="A240" s="204" t="str">
        <f>VLOOKUP("Roof",Setting!$E$6:$H$33,4,FALSE)</f>
        <v>Roof</v>
      </c>
      <c r="B240" s="205" t="str" cm="1">
        <f t="array" ref="B240">IF(ROWS($B$217:$B240)&lt;=$J$217,INDEX(Roof!$R:$R,_xlfn.AGGREGATE(15,3,(Roof!$H$1:$H$330=1)/(Roof!$H$1:$H$330=1)*ROW(Roof!$H$1:$H$330),ROWS($B$217:$B240))),"")</f>
        <v/>
      </c>
      <c r="C240" s="205" t="str" cm="1">
        <f t="array" ref="C240">IF(ROWS($B$217:$B240)&lt;=$J$217,INDEX(Roof!C:C,$H240) &amp; INDEX(Roof!S:S,$H240),"")</f>
        <v/>
      </c>
      <c r="D240" s="206" t="str">
        <f t="shared" si="30"/>
        <v/>
      </c>
      <c r="E240" s="206" t="str" cm="1">
        <f t="array" ref="E240">IF(ROWS($B$217:$B240)&lt;=$J$217,INDEX(Roof!K:K,_xlfn.AGGREGATE(15,3,(Roof!$H$1:$H$330=1)/(Roof!$H$1:$H$330=1)*ROW(Roof!$H$1:$H$330),ROWS($B$217:$B240))),"")</f>
        <v/>
      </c>
      <c r="F240" s="206" t="str" cm="1">
        <f t="array" ref="F240">IF(ROWS($B$217:$B240)&lt;=$J$217,INDEX(Roof!L:L,_xlfn.AGGREGATE(15,3,(Roof!$H$1:$H$330=1)/(Roof!$H$1:$H$330=1)*ROW(Roof!$H$1:$H$330),ROWS($B$217:$B240))),"")</f>
        <v/>
      </c>
      <c r="G240" s="206" t="str" cm="1">
        <f t="array" ref="G240">IF(ROWS($B$217:$B240)&lt;=$J$217,INDEX(Roof!M:M,_xlfn.AGGREGATE(15,3,(Roof!$H$1:$H$330=1)/(Roof!$H$1:$H$330=1)*ROW(Roof!$H$1:$H$330),ROWS($B$217:$B240))),"")</f>
        <v/>
      </c>
      <c r="H240" s="388" t="str" cm="1">
        <f t="array" ref="H240">IFERROR(_xlfn.AGGREGATE(15,3,(Roof!$H$1:$H$330=1)/(Roof!$H$1:$H$330=1)*ROW(Roof!$H$1:$H$330),ROWS($B$217:$B240)),"")</f>
        <v/>
      </c>
      <c r="I240" s="388" t="str" cm="1">
        <f t="array" ref="I240">IF(ROWS($B$217:$B240)&lt;=$J$217,ROUND(INDEX(Roof!D:D,H240),1)  &amp; " " &amp; INDEX(Roof!E:E,H240),"")</f>
        <v/>
      </c>
    </row>
    <row r="241" spans="1:10" ht="30.15" customHeight="1" x14ac:dyDescent="0.25">
      <c r="A241" s="204" t="str">
        <f>VLOOKUP("Roof",Setting!$E$6:$H$33,4,FALSE)</f>
        <v>Roof</v>
      </c>
      <c r="B241" s="205" t="str" cm="1">
        <f t="array" ref="B241">IF(ROWS($B$217:$B241)&lt;=$J$217,INDEX(Roof!$R:$R,_xlfn.AGGREGATE(15,3,(Roof!$H$1:$H$330=1)/(Roof!$H$1:$H$330=1)*ROW(Roof!$H$1:$H$330),ROWS($B$217:$B241))),"")</f>
        <v/>
      </c>
      <c r="C241" s="205" t="str" cm="1">
        <f t="array" ref="C241">IF(ROWS($B$217:$B241)&lt;=$J$217,INDEX(Roof!C:C,$H241) &amp; INDEX(Roof!S:S,$H241),"")</f>
        <v/>
      </c>
      <c r="D241" s="206" t="str">
        <f t="shared" si="30"/>
        <v/>
      </c>
      <c r="E241" s="206" t="str" cm="1">
        <f t="array" ref="E241">IF(ROWS($B$217:$B241)&lt;=$J$217,INDEX(Roof!K:K,_xlfn.AGGREGATE(15,3,(Roof!$H$1:$H$330=1)/(Roof!$H$1:$H$330=1)*ROW(Roof!$H$1:$H$330),ROWS($B$217:$B241))),"")</f>
        <v/>
      </c>
      <c r="F241" s="206" t="str" cm="1">
        <f t="array" ref="F241">IF(ROWS($B$217:$B241)&lt;=$J$217,INDEX(Roof!L:L,_xlfn.AGGREGATE(15,3,(Roof!$H$1:$H$330=1)/(Roof!$H$1:$H$330=1)*ROW(Roof!$H$1:$H$330),ROWS($B$217:$B241))),"")</f>
        <v/>
      </c>
      <c r="G241" s="206" t="str" cm="1">
        <f t="array" ref="G241">IF(ROWS($B$217:$B241)&lt;=$J$217,INDEX(Roof!M:M,_xlfn.AGGREGATE(15,3,(Roof!$H$1:$H$330=1)/(Roof!$H$1:$H$330=1)*ROW(Roof!$H$1:$H$330),ROWS($B$217:$B241))),"")</f>
        <v/>
      </c>
      <c r="H241" s="388" t="str" cm="1">
        <f t="array" ref="H241">IFERROR(_xlfn.AGGREGATE(15,3,(Roof!$H$1:$H$330=1)/(Roof!$H$1:$H$330=1)*ROW(Roof!$H$1:$H$330),ROWS($B$217:$B241)),"")</f>
        <v/>
      </c>
      <c r="I241" s="388" t="str" cm="1">
        <f t="array" ref="I241">IF(ROWS($B$217:$B241)&lt;=$J$217,ROUND(INDEX(Roof!D:D,H241),1)  &amp; " " &amp; INDEX(Roof!E:E,H241),"")</f>
        <v/>
      </c>
    </row>
    <row r="242" spans="1:10" ht="30.15" customHeight="1" x14ac:dyDescent="0.25">
      <c r="A242" s="204" t="str">
        <f>VLOOKUP("Garage",Setting!$E$6:$H$33,4,FALSE)</f>
        <v>Garage</v>
      </c>
      <c r="B242" s="205" t="str" cm="1">
        <f t="array" ref="B242">IF(ROWS($B$242:$B242)&lt;=$J$242,INDEX(Garage!$R:$R,_xlfn.AGGREGATE(15,3,(Garage!$H$1:$H$818=1)/(Garage!$H$1:$H$818=1)*ROW(Garage!$H$1:$H$818),ROWS($B$242:$B242))),"")</f>
        <v/>
      </c>
      <c r="C242" s="205" t="str" cm="1">
        <f t="array" ref="C242">IF(ROWS($B$242:$B242)&lt;=$J$242,INDEX(Garage!C:C,$H242) &amp; INDEX(Garage!S:S,$H242),"")</f>
        <v/>
      </c>
      <c r="D242" s="206" t="str">
        <f t="shared" si="30"/>
        <v/>
      </c>
      <c r="E242" s="206" t="str" cm="1">
        <f t="array" ref="E242">IF(ROWS($B$242:$B242)&lt;=$J$242,INDEX(Garage!K:K,_xlfn.AGGREGATE(15,3,(Garage!$H$1:$H$818=1)/(Garage!$H$1:$H$818=1)*ROW(Garage!$H$1:$H$818),ROWS($B$242:$B242))),"")</f>
        <v/>
      </c>
      <c r="F242" s="206" t="str" cm="1">
        <f t="array" ref="F242">IF(ROWS($B$242:$B242)&lt;=$J$242,INDEX(Garage!L:L,_xlfn.AGGREGATE(15,3,(Garage!$H$1:$H$818=1)/(Garage!$H$1:$H$818=1)*ROW(Garage!$H$1:$H$818),ROWS($B$242:$B242))),"")</f>
        <v/>
      </c>
      <c r="G242" s="206" t="str" cm="1">
        <f t="array" ref="G242">IF(ROWS($B$242:$B242)&lt;=$J$242,INDEX(Garage!M:M,_xlfn.AGGREGATE(15,3,(Garage!$H$1:$H$818=1)/(Garage!$H$1:$H$818=1)*ROW(Garage!$H$1:$H$818),ROWS($B$242:$B242))),"")</f>
        <v/>
      </c>
      <c r="H242" s="388" t="str" cm="1">
        <f t="array" ref="H242">IFERROR(_xlfn.AGGREGATE(15,3,(Garage!$H$1:$H$818=1)/(Garage!$H$1:$H$818=1)*ROW(Garage!$H$1:$H$818),ROWS($B$242:$B242)),"")</f>
        <v/>
      </c>
      <c r="I242" s="388" t="str" cm="1">
        <f t="array" ref="I242">IF(ROWS($B$242:$B242)&lt;=$J$242,ROUND(INDEX(Garage!D:D,H242),1)  &amp; " " &amp; INDEX(Garage!E:E,H242),"")</f>
        <v/>
      </c>
      <c r="J242" s="207">
        <f>COUNTIF(Garage!$H$1:$H$818,1)</f>
        <v>0</v>
      </c>
    </row>
    <row r="243" spans="1:10" ht="30.15" customHeight="1" x14ac:dyDescent="0.25">
      <c r="A243" s="204" t="str">
        <f>VLOOKUP("Garage",Setting!$E$6:$H$33,4,FALSE)</f>
        <v>Garage</v>
      </c>
      <c r="B243" s="205" t="str" cm="1">
        <f t="array" ref="B243">IF(ROWS($B$242:$B243)&lt;=$J$242,INDEX(Garage!$R:$R,_xlfn.AGGREGATE(15,3,(Garage!$H$1:$H$818=1)/(Garage!$H$1:$H$818=1)*ROW(Garage!$H$1:$H$818),ROWS($B$242:$B243))),"")</f>
        <v/>
      </c>
      <c r="C243" s="205" t="str" cm="1">
        <f t="array" ref="C243">IF(ROWS($B$242:$B243)&lt;=$J$242,INDEX(Garage!C:C,$H243) &amp; INDEX(Garage!S:S,$H243),"")</f>
        <v/>
      </c>
      <c r="D243" s="206" t="str">
        <f t="shared" si="30"/>
        <v/>
      </c>
      <c r="E243" s="206" t="str" cm="1">
        <f t="array" ref="E243">IF(ROWS($B$242:$B243)&lt;=$J$242,INDEX(Garage!K:K,_xlfn.AGGREGATE(15,3,(Garage!$H$1:$H$818=1)/(Garage!$H$1:$H$818=1)*ROW(Garage!$H$1:$H$818),ROWS($B$242:$B243))),"")</f>
        <v/>
      </c>
      <c r="F243" s="206" t="str" cm="1">
        <f t="array" ref="F243">IF(ROWS($B$242:$B243)&lt;=$J$242,INDEX(Garage!L:L,_xlfn.AGGREGATE(15,3,(Garage!$H$1:$H$818=1)/(Garage!$H$1:$H$818=1)*ROW(Garage!$H$1:$H$818),ROWS($B$242:$B243))),"")</f>
        <v/>
      </c>
      <c r="G243" s="206" t="str" cm="1">
        <f t="array" ref="G243">IF(ROWS($B$242:$B243)&lt;=$J$242,INDEX(Garage!M:M,_xlfn.AGGREGATE(15,3,(Garage!$H$1:$H$818=1)/(Garage!$H$1:$H$818=1)*ROW(Garage!$H$1:$H$818),ROWS($B$242:$B243))),"")</f>
        <v/>
      </c>
      <c r="H243" s="388" t="str" cm="1">
        <f t="array" ref="H243">IFERROR(_xlfn.AGGREGATE(15,3,(Garage!$H$1:$H$818=1)/(Garage!$H$1:$H$818=1)*ROW(Garage!$H$1:$H$818),ROWS($B$242:$B243)),"")</f>
        <v/>
      </c>
      <c r="I243" s="388" t="str" cm="1">
        <f t="array" ref="I243">IF(ROWS($B$242:$B243)&lt;=$J$242,ROUND(INDEX(Garage!D:D,H243),1)  &amp; " " &amp; INDEX(Garage!E:E,H243),"")</f>
        <v/>
      </c>
    </row>
    <row r="244" spans="1:10" ht="30.15" customHeight="1" x14ac:dyDescent="0.25">
      <c r="A244" s="204" t="str">
        <f>VLOOKUP("Garage",Setting!$E$6:$H$33,4,FALSE)</f>
        <v>Garage</v>
      </c>
      <c r="B244" s="205" t="str" cm="1">
        <f t="array" ref="B244">IF(ROWS($B$242:$B244)&lt;=$J$242,INDEX(Garage!$R:$R,_xlfn.AGGREGATE(15,3,(Garage!$H$1:$H$818=1)/(Garage!$H$1:$H$818=1)*ROW(Garage!$H$1:$H$818),ROWS($B$242:$B244))),"")</f>
        <v/>
      </c>
      <c r="C244" s="205" t="str" cm="1">
        <f t="array" ref="C244">IF(ROWS($B$242:$B244)&lt;=$J$242,INDEX(Garage!C:C,$H244) &amp; INDEX(Garage!S:S,$H244),"")</f>
        <v/>
      </c>
      <c r="D244" s="206" t="str">
        <f t="shared" si="30"/>
        <v/>
      </c>
      <c r="E244" s="206" t="str" cm="1">
        <f t="array" ref="E244">IF(ROWS($B$242:$B244)&lt;=$J$242,INDEX(Garage!K:K,_xlfn.AGGREGATE(15,3,(Garage!$H$1:$H$818=1)/(Garage!$H$1:$H$818=1)*ROW(Garage!$H$1:$H$818),ROWS($B$242:$B244))),"")</f>
        <v/>
      </c>
      <c r="F244" s="206" t="str" cm="1">
        <f t="array" ref="F244">IF(ROWS($B$242:$B244)&lt;=$J$242,INDEX(Garage!L:L,_xlfn.AGGREGATE(15,3,(Garage!$H$1:$H$818=1)/(Garage!$H$1:$H$818=1)*ROW(Garage!$H$1:$H$818),ROWS($B$242:$B244))),"")</f>
        <v/>
      </c>
      <c r="G244" s="206" t="str" cm="1">
        <f t="array" ref="G244">IF(ROWS($B$242:$B244)&lt;=$J$242,INDEX(Garage!M:M,_xlfn.AGGREGATE(15,3,(Garage!$H$1:$H$818=1)/(Garage!$H$1:$H$818=1)*ROW(Garage!$H$1:$H$818),ROWS($B$242:$B244))),"")</f>
        <v/>
      </c>
      <c r="H244" s="388" t="str" cm="1">
        <f t="array" ref="H244">IFERROR(_xlfn.AGGREGATE(15,3,(Garage!$H$1:$H$818=1)/(Garage!$H$1:$H$818=1)*ROW(Garage!$H$1:$H$818),ROWS($B$242:$B244)),"")</f>
        <v/>
      </c>
      <c r="I244" s="388" t="str" cm="1">
        <f t="array" ref="I244">IF(ROWS($B$242:$B244)&lt;=$J$242,ROUND(INDEX(Garage!D:D,H244),1)  &amp; " " &amp; INDEX(Garage!E:E,H244),"")</f>
        <v/>
      </c>
    </row>
    <row r="245" spans="1:10" ht="30.15" customHeight="1" x14ac:dyDescent="0.25">
      <c r="A245" s="204" t="str">
        <f>VLOOKUP("Garage",Setting!$E$6:$H$33,4,FALSE)</f>
        <v>Garage</v>
      </c>
      <c r="B245" s="205" t="str" cm="1">
        <f t="array" ref="B245">IF(ROWS($B$242:$B245)&lt;=$J$242,INDEX(Garage!$R:$R,_xlfn.AGGREGATE(15,3,(Garage!$H$1:$H$818=1)/(Garage!$H$1:$H$818=1)*ROW(Garage!$H$1:$H$818),ROWS($B$242:$B245))),"")</f>
        <v/>
      </c>
      <c r="C245" s="205" t="str" cm="1">
        <f t="array" ref="C245">IF(ROWS($B$242:$B245)&lt;=$J$242,INDEX(Garage!C:C,$H245) &amp; INDEX(Garage!S:S,$H245),"")</f>
        <v/>
      </c>
      <c r="D245" s="206" t="str">
        <f t="shared" si="30"/>
        <v/>
      </c>
      <c r="E245" s="206" t="str" cm="1">
        <f t="array" ref="E245">IF(ROWS($B$242:$B245)&lt;=$J$242,INDEX(Garage!K:K,_xlfn.AGGREGATE(15,3,(Garage!$H$1:$H$818=1)/(Garage!$H$1:$H$818=1)*ROW(Garage!$H$1:$H$818),ROWS($B$242:$B245))),"")</f>
        <v/>
      </c>
      <c r="F245" s="206" t="str" cm="1">
        <f t="array" ref="F245">IF(ROWS($B$242:$B245)&lt;=$J$242,INDEX(Garage!L:L,_xlfn.AGGREGATE(15,3,(Garage!$H$1:$H$818=1)/(Garage!$H$1:$H$818=1)*ROW(Garage!$H$1:$H$818),ROWS($B$242:$B245))),"")</f>
        <v/>
      </c>
      <c r="G245" s="206" t="str" cm="1">
        <f t="array" ref="G245">IF(ROWS($B$242:$B245)&lt;=$J$242,INDEX(Garage!M:M,_xlfn.AGGREGATE(15,3,(Garage!$H$1:$H$818=1)/(Garage!$H$1:$H$818=1)*ROW(Garage!$H$1:$H$818),ROWS($B$242:$B245))),"")</f>
        <v/>
      </c>
      <c r="H245" s="388" t="str" cm="1">
        <f t="array" ref="H245">IFERROR(_xlfn.AGGREGATE(15,3,(Garage!$H$1:$H$818=1)/(Garage!$H$1:$H$818=1)*ROW(Garage!$H$1:$H$818),ROWS($B$242:$B245)),"")</f>
        <v/>
      </c>
      <c r="I245" s="388" t="str" cm="1">
        <f t="array" ref="I245">IF(ROWS($B$242:$B245)&lt;=$J$242,ROUND(INDEX(Garage!D:D,H245),1)  &amp; " " &amp; INDEX(Garage!E:E,H245),"")</f>
        <v/>
      </c>
    </row>
    <row r="246" spans="1:10" ht="30.15" customHeight="1" x14ac:dyDescent="0.25">
      <c r="A246" s="204" t="str">
        <f>VLOOKUP("Garage",Setting!$E$6:$H$33,4,FALSE)</f>
        <v>Garage</v>
      </c>
      <c r="B246" s="205" t="str" cm="1">
        <f t="array" ref="B246">IF(ROWS($B$242:$B246)&lt;=$J$242,INDEX(Garage!$R:$R,_xlfn.AGGREGATE(15,3,(Garage!$H$1:$H$818=1)/(Garage!$H$1:$H$818=1)*ROW(Garage!$H$1:$H$818),ROWS($B$242:$B246))),"")</f>
        <v/>
      </c>
      <c r="C246" s="205" t="str" cm="1">
        <f t="array" ref="C246">IF(ROWS($B$242:$B246)&lt;=$J$242,INDEX(Garage!C:C,$H246) &amp; INDEX(Garage!S:S,$H246),"")</f>
        <v/>
      </c>
      <c r="D246" s="206" t="str">
        <f t="shared" si="30"/>
        <v/>
      </c>
      <c r="E246" s="206" t="str" cm="1">
        <f t="array" ref="E246">IF(ROWS($B$242:$B246)&lt;=$J$242,INDEX(Garage!K:K,_xlfn.AGGREGATE(15,3,(Garage!$H$1:$H$818=1)/(Garage!$H$1:$H$818=1)*ROW(Garage!$H$1:$H$818),ROWS($B$242:$B246))),"")</f>
        <v/>
      </c>
      <c r="F246" s="206" t="str" cm="1">
        <f t="array" ref="F246">IF(ROWS($B$242:$B246)&lt;=$J$242,INDEX(Garage!L:L,_xlfn.AGGREGATE(15,3,(Garage!$H$1:$H$818=1)/(Garage!$H$1:$H$818=1)*ROW(Garage!$H$1:$H$818),ROWS($B$242:$B246))),"")</f>
        <v/>
      </c>
      <c r="G246" s="206" t="str" cm="1">
        <f t="array" ref="G246">IF(ROWS($B$242:$B246)&lt;=$J$242,INDEX(Garage!M:M,_xlfn.AGGREGATE(15,3,(Garage!$H$1:$H$818=1)/(Garage!$H$1:$H$818=1)*ROW(Garage!$H$1:$H$818),ROWS($B$242:$B246))),"")</f>
        <v/>
      </c>
      <c r="H246" s="388" t="str" cm="1">
        <f t="array" ref="H246">IFERROR(_xlfn.AGGREGATE(15,3,(Garage!$H$1:$H$818=1)/(Garage!$H$1:$H$818=1)*ROW(Garage!$H$1:$H$818),ROWS($B$242:$B246)),"")</f>
        <v/>
      </c>
      <c r="I246" s="388" t="str" cm="1">
        <f t="array" ref="I246">IF(ROWS($B$242:$B246)&lt;=$J$242,ROUND(INDEX(Garage!D:D,H246),1)  &amp; " " &amp; INDEX(Garage!E:E,H246),"")</f>
        <v/>
      </c>
    </row>
    <row r="247" spans="1:10" ht="30.15" customHeight="1" x14ac:dyDescent="0.25">
      <c r="A247" s="204" t="str">
        <f>VLOOKUP("Garage",Setting!$E$6:$H$33,4,FALSE)</f>
        <v>Garage</v>
      </c>
      <c r="B247" s="205" t="str" cm="1">
        <f t="array" ref="B247">IF(ROWS($B$242:$B247)&lt;=$J$242,INDEX(Garage!$R:$R,_xlfn.AGGREGATE(15,3,(Garage!$H$1:$H$818=1)/(Garage!$H$1:$H$818=1)*ROW(Garage!$H$1:$H$818),ROWS($B$242:$B247))),"")</f>
        <v/>
      </c>
      <c r="C247" s="205" t="str" cm="1">
        <f t="array" ref="C247">IF(ROWS($B$242:$B247)&lt;=$J$242,INDEX(Garage!C:C,$H247) &amp; INDEX(Garage!S:S,$H247),"")</f>
        <v/>
      </c>
      <c r="D247" s="206" t="str">
        <f t="shared" si="30"/>
        <v/>
      </c>
      <c r="E247" s="206" t="str" cm="1">
        <f t="array" ref="E247">IF(ROWS($B$242:$B247)&lt;=$J$242,INDEX(Garage!K:K,_xlfn.AGGREGATE(15,3,(Garage!$H$1:$H$818=1)/(Garage!$H$1:$H$818=1)*ROW(Garage!$H$1:$H$818),ROWS($B$242:$B247))),"")</f>
        <v/>
      </c>
      <c r="F247" s="206" t="str" cm="1">
        <f t="array" ref="F247">IF(ROWS($B$242:$B247)&lt;=$J$242,INDEX(Garage!L:L,_xlfn.AGGREGATE(15,3,(Garage!$H$1:$H$818=1)/(Garage!$H$1:$H$818=1)*ROW(Garage!$H$1:$H$818),ROWS($B$242:$B247))),"")</f>
        <v/>
      </c>
      <c r="G247" s="206" t="str" cm="1">
        <f t="array" ref="G247">IF(ROWS($B$242:$B247)&lt;=$J$242,INDEX(Garage!M:M,_xlfn.AGGREGATE(15,3,(Garage!$H$1:$H$818=1)/(Garage!$H$1:$H$818=1)*ROW(Garage!$H$1:$H$818),ROWS($B$242:$B247))),"")</f>
        <v/>
      </c>
      <c r="H247" s="388" t="str" cm="1">
        <f t="array" ref="H247">IFERROR(_xlfn.AGGREGATE(15,3,(Garage!$H$1:$H$818=1)/(Garage!$H$1:$H$818=1)*ROW(Garage!$H$1:$H$818),ROWS($B$242:$B247)),"")</f>
        <v/>
      </c>
      <c r="I247" s="388" t="str" cm="1">
        <f t="array" ref="I247">IF(ROWS($B$242:$B247)&lt;=$J$242,ROUND(INDEX(Garage!D:D,H247),1)  &amp; " " &amp; INDEX(Garage!E:E,H247),"")</f>
        <v/>
      </c>
    </row>
    <row r="248" spans="1:10" ht="30.15" customHeight="1" x14ac:dyDescent="0.25">
      <c r="A248" s="204" t="str">
        <f>VLOOKUP("Garage",Setting!$E$6:$H$33,4,FALSE)</f>
        <v>Garage</v>
      </c>
      <c r="B248" s="205" t="str" cm="1">
        <f t="array" ref="B248">IF(ROWS($B$242:$B248)&lt;=$J$242,INDEX(Garage!$R:$R,_xlfn.AGGREGATE(15,3,(Garage!$H$1:$H$818=1)/(Garage!$H$1:$H$818=1)*ROW(Garage!$H$1:$H$818),ROWS($B$242:$B248))),"")</f>
        <v/>
      </c>
      <c r="C248" s="205" t="str" cm="1">
        <f t="array" ref="C248">IF(ROWS($B$242:$B248)&lt;=$J$242,INDEX(Garage!C:C,$H248) &amp; INDEX(Garage!S:S,$H248),"")</f>
        <v/>
      </c>
      <c r="D248" s="206" t="str">
        <f t="shared" si="30"/>
        <v/>
      </c>
      <c r="E248" s="206" t="str" cm="1">
        <f t="array" ref="E248">IF(ROWS($B$242:$B248)&lt;=$J$242,INDEX(Garage!K:K,_xlfn.AGGREGATE(15,3,(Garage!$H$1:$H$818=1)/(Garage!$H$1:$H$818=1)*ROW(Garage!$H$1:$H$818),ROWS($B$242:$B248))),"")</f>
        <v/>
      </c>
      <c r="F248" s="206" t="str" cm="1">
        <f t="array" ref="F248">IF(ROWS($B$242:$B248)&lt;=$J$242,INDEX(Garage!L:L,_xlfn.AGGREGATE(15,3,(Garage!$H$1:$H$818=1)/(Garage!$H$1:$H$818=1)*ROW(Garage!$H$1:$H$818),ROWS($B$242:$B248))),"")</f>
        <v/>
      </c>
      <c r="G248" s="206" t="str" cm="1">
        <f t="array" ref="G248">IF(ROWS($B$242:$B248)&lt;=$J$242,INDEX(Garage!M:M,_xlfn.AGGREGATE(15,3,(Garage!$H$1:$H$818=1)/(Garage!$H$1:$H$818=1)*ROW(Garage!$H$1:$H$818),ROWS($B$242:$B248))),"")</f>
        <v/>
      </c>
      <c r="H248" s="388" t="str" cm="1">
        <f t="array" ref="H248">IFERROR(_xlfn.AGGREGATE(15,3,(Garage!$H$1:$H$818=1)/(Garage!$H$1:$H$818=1)*ROW(Garage!$H$1:$H$818),ROWS($B$242:$B248)),"")</f>
        <v/>
      </c>
      <c r="I248" s="388" t="str" cm="1">
        <f t="array" ref="I248">IF(ROWS($B$242:$B248)&lt;=$J$242,ROUND(INDEX(Garage!D:D,H248),1)  &amp; " " &amp; INDEX(Garage!E:E,H248),"")</f>
        <v/>
      </c>
    </row>
    <row r="249" spans="1:10" ht="30.15" customHeight="1" x14ac:dyDescent="0.25">
      <c r="A249" s="204" t="str">
        <f>VLOOKUP("Garage",Setting!$E$6:$H$33,4,FALSE)</f>
        <v>Garage</v>
      </c>
      <c r="B249" s="205" t="str" cm="1">
        <f t="array" ref="B249">IF(ROWS($B$242:$B249)&lt;=$J$242,INDEX(Garage!$R:$R,_xlfn.AGGREGATE(15,3,(Garage!$H$1:$H$818=1)/(Garage!$H$1:$H$818=1)*ROW(Garage!$H$1:$H$818),ROWS($B$242:$B249))),"")</f>
        <v/>
      </c>
      <c r="C249" s="205" t="str" cm="1">
        <f t="array" ref="C249">IF(ROWS($B$242:$B249)&lt;=$J$242,INDEX(Garage!C:C,$H249) &amp; INDEX(Garage!S:S,$H249),"")</f>
        <v/>
      </c>
      <c r="D249" s="206" t="str">
        <f t="shared" si="30"/>
        <v/>
      </c>
      <c r="E249" s="206" t="str" cm="1">
        <f t="array" ref="E249">IF(ROWS($B$242:$B249)&lt;=$J$242,INDEX(Garage!K:K,_xlfn.AGGREGATE(15,3,(Garage!$H$1:$H$818=1)/(Garage!$H$1:$H$818=1)*ROW(Garage!$H$1:$H$818),ROWS($B$242:$B249))),"")</f>
        <v/>
      </c>
      <c r="F249" s="206" t="str" cm="1">
        <f t="array" ref="F249">IF(ROWS($B$242:$B249)&lt;=$J$242,INDEX(Garage!L:L,_xlfn.AGGREGATE(15,3,(Garage!$H$1:$H$818=1)/(Garage!$H$1:$H$818=1)*ROW(Garage!$H$1:$H$818),ROWS($B$242:$B249))),"")</f>
        <v/>
      </c>
      <c r="G249" s="206" t="str" cm="1">
        <f t="array" ref="G249">IF(ROWS($B$242:$B249)&lt;=$J$242,INDEX(Garage!M:M,_xlfn.AGGREGATE(15,3,(Garage!$H$1:$H$818=1)/(Garage!$H$1:$H$818=1)*ROW(Garage!$H$1:$H$818),ROWS($B$242:$B249))),"")</f>
        <v/>
      </c>
      <c r="H249" s="388" t="str" cm="1">
        <f t="array" ref="H249">IFERROR(_xlfn.AGGREGATE(15,3,(Garage!$H$1:$H$818=1)/(Garage!$H$1:$H$818=1)*ROW(Garage!$H$1:$H$818),ROWS($B$242:$B249)),"")</f>
        <v/>
      </c>
      <c r="I249" s="388" t="str" cm="1">
        <f t="array" ref="I249">IF(ROWS($B$242:$B249)&lt;=$J$242,ROUND(INDEX(Garage!D:D,H249),1)  &amp; " " &amp; INDEX(Garage!E:E,H249),"")</f>
        <v/>
      </c>
    </row>
    <row r="250" spans="1:10" ht="30.15" customHeight="1" x14ac:dyDescent="0.25">
      <c r="A250" s="204" t="str">
        <f>VLOOKUP("Garage",Setting!$E$6:$H$33,4,FALSE)</f>
        <v>Garage</v>
      </c>
      <c r="B250" s="205" t="str" cm="1">
        <f t="array" ref="B250">IF(ROWS($B$242:$B250)&lt;=$J$242,INDEX(Garage!$R:$R,_xlfn.AGGREGATE(15,3,(Garage!$H$1:$H$818=1)/(Garage!$H$1:$H$818=1)*ROW(Garage!$H$1:$H$818),ROWS($B$242:$B250))),"")</f>
        <v/>
      </c>
      <c r="C250" s="205" t="str" cm="1">
        <f t="array" ref="C250">IF(ROWS($B$242:$B250)&lt;=$J$242,INDEX(Garage!C:C,$H250) &amp; INDEX(Garage!S:S,$H250),"")</f>
        <v/>
      </c>
      <c r="D250" s="206" t="str">
        <f t="shared" si="30"/>
        <v/>
      </c>
      <c r="E250" s="206" t="str" cm="1">
        <f t="array" ref="E250">IF(ROWS($B$242:$B250)&lt;=$J$242,INDEX(Garage!K:K,_xlfn.AGGREGATE(15,3,(Garage!$H$1:$H$818=1)/(Garage!$H$1:$H$818=1)*ROW(Garage!$H$1:$H$818),ROWS($B$242:$B250))),"")</f>
        <v/>
      </c>
      <c r="F250" s="206" t="str" cm="1">
        <f t="array" ref="F250">IF(ROWS($B$242:$B250)&lt;=$J$242,INDEX(Garage!L:L,_xlfn.AGGREGATE(15,3,(Garage!$H$1:$H$818=1)/(Garage!$H$1:$H$818=1)*ROW(Garage!$H$1:$H$818),ROWS($B$242:$B250))),"")</f>
        <v/>
      </c>
      <c r="G250" s="206" t="str" cm="1">
        <f t="array" ref="G250">IF(ROWS($B$242:$B250)&lt;=$J$242,INDEX(Garage!M:M,_xlfn.AGGREGATE(15,3,(Garage!$H$1:$H$818=1)/(Garage!$H$1:$H$818=1)*ROW(Garage!$H$1:$H$818),ROWS($B$242:$B250))),"")</f>
        <v/>
      </c>
      <c r="H250" s="388" t="str" cm="1">
        <f t="array" ref="H250">IFERROR(_xlfn.AGGREGATE(15,3,(Garage!$H$1:$H$818=1)/(Garage!$H$1:$H$818=1)*ROW(Garage!$H$1:$H$818),ROWS($B$242:$B250)),"")</f>
        <v/>
      </c>
      <c r="I250" s="388" t="str" cm="1">
        <f t="array" ref="I250">IF(ROWS($B$242:$B250)&lt;=$J$242,ROUND(INDEX(Garage!D:D,H250),1)  &amp; " " &amp; INDEX(Garage!E:E,H250),"")</f>
        <v/>
      </c>
    </row>
    <row r="251" spans="1:10" ht="30.15" customHeight="1" x14ac:dyDescent="0.25">
      <c r="A251" s="204" t="str">
        <f>VLOOKUP("Garage",Setting!$E$6:$H$33,4,FALSE)</f>
        <v>Garage</v>
      </c>
      <c r="B251" s="205" t="str" cm="1">
        <f t="array" ref="B251">IF(ROWS($B$242:$B251)&lt;=$J$242,INDEX(Garage!$R:$R,_xlfn.AGGREGATE(15,3,(Garage!$H$1:$H$818=1)/(Garage!$H$1:$H$818=1)*ROW(Garage!$H$1:$H$818),ROWS($B$242:$B251))),"")</f>
        <v/>
      </c>
      <c r="C251" s="205" t="str" cm="1">
        <f t="array" ref="C251">IF(ROWS($B$242:$B251)&lt;=$J$242,INDEX(Garage!C:C,$H251) &amp; INDEX(Garage!S:S,$H251),"")</f>
        <v/>
      </c>
      <c r="D251" s="206" t="str">
        <f t="shared" ref="D251:D266" si="31">IFERROR(E251-F251,"")</f>
        <v/>
      </c>
      <c r="E251" s="206" t="str" cm="1">
        <f t="array" ref="E251">IF(ROWS($B$242:$B251)&lt;=$J$242,INDEX(Garage!K:K,_xlfn.AGGREGATE(15,3,(Garage!$H$1:$H$818=1)/(Garage!$H$1:$H$818=1)*ROW(Garage!$H$1:$H$818),ROWS($B$242:$B251))),"")</f>
        <v/>
      </c>
      <c r="F251" s="206" t="str" cm="1">
        <f t="array" ref="F251">IF(ROWS($B$242:$B251)&lt;=$J$242,INDEX(Garage!L:L,_xlfn.AGGREGATE(15,3,(Garage!$H$1:$H$818=1)/(Garage!$H$1:$H$818=1)*ROW(Garage!$H$1:$H$818),ROWS($B$242:$B251))),"")</f>
        <v/>
      </c>
      <c r="G251" s="206" t="str" cm="1">
        <f t="array" ref="G251">IF(ROWS($B$242:$B251)&lt;=$J$242,INDEX(Garage!M:M,_xlfn.AGGREGATE(15,3,(Garage!$H$1:$H$818=1)/(Garage!$H$1:$H$818=1)*ROW(Garage!$H$1:$H$818),ROWS($B$242:$B251))),"")</f>
        <v/>
      </c>
      <c r="H251" s="388" t="str" cm="1">
        <f t="array" ref="H251">IFERROR(_xlfn.AGGREGATE(15,3,(Garage!$H$1:$H$818=1)/(Garage!$H$1:$H$818=1)*ROW(Garage!$H$1:$H$818),ROWS($B$242:$B251)),"")</f>
        <v/>
      </c>
      <c r="I251" s="388" t="str" cm="1">
        <f t="array" ref="I251">IF(ROWS($B$242:$B251)&lt;=$J$242,ROUND(INDEX(Garage!D:D,H251),1)  &amp; " " &amp; INDEX(Garage!E:E,H251),"")</f>
        <v/>
      </c>
    </row>
    <row r="252" spans="1:10" ht="30.15" customHeight="1" x14ac:dyDescent="0.25">
      <c r="A252" s="204" t="str">
        <f>VLOOKUP("Garage",Setting!$E$6:$H$33,4,FALSE)</f>
        <v>Garage</v>
      </c>
      <c r="B252" s="205" t="str" cm="1">
        <f t="array" ref="B252">IF(ROWS($B$242:$B252)&lt;=$J$242,INDEX(Garage!$R:$R,_xlfn.AGGREGATE(15,3,(Garage!$H$1:$H$818=1)/(Garage!$H$1:$H$818=1)*ROW(Garage!$H$1:$H$818),ROWS($B$242:$B252))),"")</f>
        <v/>
      </c>
      <c r="C252" s="205" t="str" cm="1">
        <f t="array" ref="C252">IF(ROWS($B$242:$B252)&lt;=$J$242,INDEX(Garage!C:C,$H252) &amp; INDEX(Garage!S:S,$H252),"")</f>
        <v/>
      </c>
      <c r="D252" s="206" t="str">
        <f t="shared" si="31"/>
        <v/>
      </c>
      <c r="E252" s="206" t="str" cm="1">
        <f t="array" ref="E252">IF(ROWS($B$242:$B252)&lt;=$J$242,INDEX(Garage!K:K,_xlfn.AGGREGATE(15,3,(Garage!$H$1:$H$818=1)/(Garage!$H$1:$H$818=1)*ROW(Garage!$H$1:$H$818),ROWS($B$242:$B252))),"")</f>
        <v/>
      </c>
      <c r="F252" s="206" t="str" cm="1">
        <f t="array" ref="F252">IF(ROWS($B$242:$B252)&lt;=$J$242,INDEX(Garage!L:L,_xlfn.AGGREGATE(15,3,(Garage!$H$1:$H$818=1)/(Garage!$H$1:$H$818=1)*ROW(Garage!$H$1:$H$818),ROWS($B$242:$B252))),"")</f>
        <v/>
      </c>
      <c r="G252" s="206" t="str" cm="1">
        <f t="array" ref="G252">IF(ROWS($B$242:$B252)&lt;=$J$242,INDEX(Garage!M:M,_xlfn.AGGREGATE(15,3,(Garage!$H$1:$H$818=1)/(Garage!$H$1:$H$818=1)*ROW(Garage!$H$1:$H$818),ROWS($B$242:$B252))),"")</f>
        <v/>
      </c>
      <c r="H252" s="388" t="str" cm="1">
        <f t="array" ref="H252">IFERROR(_xlfn.AGGREGATE(15,3,(Garage!$H$1:$H$818=1)/(Garage!$H$1:$H$818=1)*ROW(Garage!$H$1:$H$818),ROWS($B$242:$B252)),"")</f>
        <v/>
      </c>
      <c r="I252" s="388" t="str" cm="1">
        <f t="array" ref="I252">IF(ROWS($B$242:$B252)&lt;=$J$242,ROUND(INDEX(Garage!D:D,H252),1)  &amp; " " &amp; INDEX(Garage!E:E,H252),"")</f>
        <v/>
      </c>
    </row>
    <row r="253" spans="1:10" ht="30.15" customHeight="1" x14ac:dyDescent="0.25">
      <c r="A253" s="204" t="str">
        <f>VLOOKUP("Garage",Setting!$E$6:$H$33,4,FALSE)</f>
        <v>Garage</v>
      </c>
      <c r="B253" s="205" t="str" cm="1">
        <f t="array" ref="B253">IF(ROWS($B$242:$B253)&lt;=$J$242,INDEX(Garage!$R:$R,_xlfn.AGGREGATE(15,3,(Garage!$H$1:$H$818=1)/(Garage!$H$1:$H$818=1)*ROW(Garage!$H$1:$H$818),ROWS($B$242:$B253))),"")</f>
        <v/>
      </c>
      <c r="C253" s="205" t="str" cm="1">
        <f t="array" ref="C253">IF(ROWS($B$242:$B253)&lt;=$J$242,INDEX(Garage!C:C,$H253) &amp; INDEX(Garage!S:S,$H253),"")</f>
        <v/>
      </c>
      <c r="D253" s="206" t="str">
        <f t="shared" si="31"/>
        <v/>
      </c>
      <c r="E253" s="206" t="str" cm="1">
        <f t="array" ref="E253">IF(ROWS($B$242:$B253)&lt;=$J$242,INDEX(Garage!K:K,_xlfn.AGGREGATE(15,3,(Garage!$H$1:$H$818=1)/(Garage!$H$1:$H$818=1)*ROW(Garage!$H$1:$H$818),ROWS($B$242:$B253))),"")</f>
        <v/>
      </c>
      <c r="F253" s="206" t="str" cm="1">
        <f t="array" ref="F253">IF(ROWS($B$242:$B253)&lt;=$J$242,INDEX(Garage!L:L,_xlfn.AGGREGATE(15,3,(Garage!$H$1:$H$818=1)/(Garage!$H$1:$H$818=1)*ROW(Garage!$H$1:$H$818),ROWS($B$242:$B253))),"")</f>
        <v/>
      </c>
      <c r="G253" s="206" t="str" cm="1">
        <f t="array" ref="G253">IF(ROWS($B$242:$B253)&lt;=$J$242,INDEX(Garage!M:M,_xlfn.AGGREGATE(15,3,(Garage!$H$1:$H$818=1)/(Garage!$H$1:$H$818=1)*ROW(Garage!$H$1:$H$818),ROWS($B$242:$B253))),"")</f>
        <v/>
      </c>
      <c r="H253" s="388" t="str" cm="1">
        <f t="array" ref="H253">IFERROR(_xlfn.AGGREGATE(15,3,(Garage!$H$1:$H$818=1)/(Garage!$H$1:$H$818=1)*ROW(Garage!$H$1:$H$818),ROWS($B$242:$B253)),"")</f>
        <v/>
      </c>
      <c r="I253" s="388" t="str" cm="1">
        <f t="array" ref="I253">IF(ROWS($B$242:$B253)&lt;=$J$242,ROUND(INDEX(Garage!D:D,H253),1)  &amp; " " &amp; INDEX(Garage!E:E,H253),"")</f>
        <v/>
      </c>
    </row>
    <row r="254" spans="1:10" ht="30.15" customHeight="1" x14ac:dyDescent="0.25">
      <c r="A254" s="204" t="str">
        <f>VLOOKUP("Garage",Setting!$E$6:$H$33,4,FALSE)</f>
        <v>Garage</v>
      </c>
      <c r="B254" s="205" t="str" cm="1">
        <f t="array" ref="B254">IF(ROWS($B$242:$B254)&lt;=$J$242,INDEX(Garage!$R:$R,_xlfn.AGGREGATE(15,3,(Garage!$H$1:$H$818=1)/(Garage!$H$1:$H$818=1)*ROW(Garage!$H$1:$H$818),ROWS($B$242:$B254))),"")</f>
        <v/>
      </c>
      <c r="C254" s="205" t="str" cm="1">
        <f t="array" ref="C254">IF(ROWS($B$242:$B254)&lt;=$J$242,INDEX(Garage!C:C,$H254) &amp; INDEX(Garage!S:S,$H254),"")</f>
        <v/>
      </c>
      <c r="D254" s="206" t="str">
        <f t="shared" si="31"/>
        <v/>
      </c>
      <c r="E254" s="206" t="str" cm="1">
        <f t="array" ref="E254">IF(ROWS($B$242:$B254)&lt;=$J$242,INDEX(Garage!K:K,_xlfn.AGGREGATE(15,3,(Garage!$H$1:$H$818=1)/(Garage!$H$1:$H$818=1)*ROW(Garage!$H$1:$H$818),ROWS($B$242:$B254))),"")</f>
        <v/>
      </c>
      <c r="F254" s="206" t="str" cm="1">
        <f t="array" ref="F254">IF(ROWS($B$242:$B254)&lt;=$J$242,INDEX(Garage!L:L,_xlfn.AGGREGATE(15,3,(Garage!$H$1:$H$818=1)/(Garage!$H$1:$H$818=1)*ROW(Garage!$H$1:$H$818),ROWS($B$242:$B254))),"")</f>
        <v/>
      </c>
      <c r="G254" s="206" t="str" cm="1">
        <f t="array" ref="G254">IF(ROWS($B$242:$B254)&lt;=$J$242,INDEX(Garage!M:M,_xlfn.AGGREGATE(15,3,(Garage!$H$1:$H$818=1)/(Garage!$H$1:$H$818=1)*ROW(Garage!$H$1:$H$818),ROWS($B$242:$B254))),"")</f>
        <v/>
      </c>
      <c r="H254" s="388" t="str" cm="1">
        <f t="array" ref="H254">IFERROR(_xlfn.AGGREGATE(15,3,(Garage!$H$1:$H$818=1)/(Garage!$H$1:$H$818=1)*ROW(Garage!$H$1:$H$818),ROWS($B$242:$B254)),"")</f>
        <v/>
      </c>
      <c r="I254" s="388" t="str" cm="1">
        <f t="array" ref="I254">IF(ROWS($B$242:$B254)&lt;=$J$242,ROUND(INDEX(Garage!D:D,H254),1)  &amp; " " &amp; INDEX(Garage!E:E,H254),"")</f>
        <v/>
      </c>
    </row>
    <row r="255" spans="1:10" ht="30.15" customHeight="1" x14ac:dyDescent="0.25">
      <c r="A255" s="204" t="str">
        <f>VLOOKUP("Garage",Setting!$E$6:$H$33,4,FALSE)</f>
        <v>Garage</v>
      </c>
      <c r="B255" s="205" t="str" cm="1">
        <f t="array" ref="B255">IF(ROWS($B$242:$B255)&lt;=$J$242,INDEX(Garage!$R:$R,_xlfn.AGGREGATE(15,3,(Garage!$H$1:$H$818=1)/(Garage!$H$1:$H$818=1)*ROW(Garage!$H$1:$H$818),ROWS($B$242:$B255))),"")</f>
        <v/>
      </c>
      <c r="C255" s="205" t="str" cm="1">
        <f t="array" ref="C255">IF(ROWS($B$242:$B255)&lt;=$J$242,INDEX(Garage!C:C,$H255) &amp; INDEX(Garage!S:S,$H255),"")</f>
        <v/>
      </c>
      <c r="D255" s="206" t="str">
        <f t="shared" si="31"/>
        <v/>
      </c>
      <c r="E255" s="206" t="str" cm="1">
        <f t="array" ref="E255">IF(ROWS($B$242:$B255)&lt;=$J$242,INDEX(Garage!K:K,_xlfn.AGGREGATE(15,3,(Garage!$H$1:$H$818=1)/(Garage!$H$1:$H$818=1)*ROW(Garage!$H$1:$H$818),ROWS($B$242:$B255))),"")</f>
        <v/>
      </c>
      <c r="F255" s="206" t="str" cm="1">
        <f t="array" ref="F255">IF(ROWS($B$242:$B255)&lt;=$J$242,INDEX(Garage!L:L,_xlfn.AGGREGATE(15,3,(Garage!$H$1:$H$818=1)/(Garage!$H$1:$H$818=1)*ROW(Garage!$H$1:$H$818),ROWS($B$242:$B255))),"")</f>
        <v/>
      </c>
      <c r="G255" s="206" t="str" cm="1">
        <f t="array" ref="G255">IF(ROWS($B$242:$B255)&lt;=$J$242,INDEX(Garage!M:M,_xlfn.AGGREGATE(15,3,(Garage!$H$1:$H$818=1)/(Garage!$H$1:$H$818=1)*ROW(Garage!$H$1:$H$818),ROWS($B$242:$B255))),"")</f>
        <v/>
      </c>
      <c r="H255" s="388" t="str" cm="1">
        <f t="array" ref="H255">IFERROR(_xlfn.AGGREGATE(15,3,(Garage!$H$1:$H$818=1)/(Garage!$H$1:$H$818=1)*ROW(Garage!$H$1:$H$818),ROWS($B$242:$B255)),"")</f>
        <v/>
      </c>
      <c r="I255" s="388" t="str" cm="1">
        <f t="array" ref="I255">IF(ROWS($B$242:$B255)&lt;=$J$242,ROUND(INDEX(Garage!D:D,H255),1)  &amp; " " &amp; INDEX(Garage!E:E,H255),"")</f>
        <v/>
      </c>
    </row>
    <row r="256" spans="1:10" ht="30.15" customHeight="1" x14ac:dyDescent="0.25">
      <c r="A256" s="204" t="str">
        <f>VLOOKUP("Garage",Setting!$E$6:$H$33,4,FALSE)</f>
        <v>Garage</v>
      </c>
      <c r="B256" s="205" t="str" cm="1">
        <f t="array" ref="B256">IF(ROWS($B$242:$B256)&lt;=$J$242,INDEX(Garage!$R:$R,_xlfn.AGGREGATE(15,3,(Garage!$H$1:$H$818=1)/(Garage!$H$1:$H$818=1)*ROW(Garage!$H$1:$H$818),ROWS($B$242:$B256))),"")</f>
        <v/>
      </c>
      <c r="C256" s="205" t="str" cm="1">
        <f t="array" ref="C256">IF(ROWS($B$242:$B256)&lt;=$J$242,INDEX(Garage!C:C,$H256) &amp; INDEX(Garage!S:S,$H256),"")</f>
        <v/>
      </c>
      <c r="D256" s="206" t="str">
        <f t="shared" si="31"/>
        <v/>
      </c>
      <c r="E256" s="206" t="str" cm="1">
        <f t="array" ref="E256">IF(ROWS($B$242:$B256)&lt;=$J$242,INDEX(Garage!K:K,_xlfn.AGGREGATE(15,3,(Garage!$H$1:$H$818=1)/(Garage!$H$1:$H$818=1)*ROW(Garage!$H$1:$H$818),ROWS($B$242:$B256))),"")</f>
        <v/>
      </c>
      <c r="F256" s="206" t="str" cm="1">
        <f t="array" ref="F256">IF(ROWS($B$242:$B256)&lt;=$J$242,INDEX(Garage!L:L,_xlfn.AGGREGATE(15,3,(Garage!$H$1:$H$818=1)/(Garage!$H$1:$H$818=1)*ROW(Garage!$H$1:$H$818),ROWS($B$242:$B256))),"")</f>
        <v/>
      </c>
      <c r="G256" s="206" t="str" cm="1">
        <f t="array" ref="G256">IF(ROWS($B$242:$B256)&lt;=$J$242,INDEX(Garage!M:M,_xlfn.AGGREGATE(15,3,(Garage!$H$1:$H$818=1)/(Garage!$H$1:$H$818=1)*ROW(Garage!$H$1:$H$818),ROWS($B$242:$B256))),"")</f>
        <v/>
      </c>
      <c r="H256" s="388" t="str" cm="1">
        <f t="array" ref="H256">IFERROR(_xlfn.AGGREGATE(15,3,(Garage!$H$1:$H$818=1)/(Garage!$H$1:$H$818=1)*ROW(Garage!$H$1:$H$818),ROWS($B$242:$B256)),"")</f>
        <v/>
      </c>
      <c r="I256" s="388" t="str" cm="1">
        <f t="array" ref="I256">IF(ROWS($B$242:$B256)&lt;=$J$242,ROUND(INDEX(Garage!D:D,H256),1)  &amp; " " &amp; INDEX(Garage!E:E,H256),"")</f>
        <v/>
      </c>
    </row>
    <row r="257" spans="1:9" ht="30.15" customHeight="1" x14ac:dyDescent="0.25">
      <c r="A257" s="204" t="str">
        <f>VLOOKUP("Garage",Setting!$E$6:$H$33,4,FALSE)</f>
        <v>Garage</v>
      </c>
      <c r="B257" s="205" t="str" cm="1">
        <f t="array" ref="B257">IF(ROWS($B$242:$B257)&lt;=$J$242,INDEX(Garage!$R:$R,_xlfn.AGGREGATE(15,3,(Garage!$H$1:$H$818=1)/(Garage!$H$1:$H$818=1)*ROW(Garage!$H$1:$H$818),ROWS($B$242:$B257))),"")</f>
        <v/>
      </c>
      <c r="C257" s="205" t="str" cm="1">
        <f t="array" ref="C257">IF(ROWS($B$242:$B257)&lt;=$J$242,INDEX(Garage!C:C,$H257) &amp; INDEX(Garage!S:S,$H257),"")</f>
        <v/>
      </c>
      <c r="D257" s="206" t="str">
        <f t="shared" si="31"/>
        <v/>
      </c>
      <c r="E257" s="206" t="str" cm="1">
        <f t="array" ref="E257">IF(ROWS($B$242:$B257)&lt;=$J$242,INDEX(Garage!K:K,_xlfn.AGGREGATE(15,3,(Garage!$H$1:$H$818=1)/(Garage!$H$1:$H$818=1)*ROW(Garage!$H$1:$H$818),ROWS($B$242:$B257))),"")</f>
        <v/>
      </c>
      <c r="F257" s="206" t="str" cm="1">
        <f t="array" ref="F257">IF(ROWS($B$242:$B257)&lt;=$J$242,INDEX(Garage!L:L,_xlfn.AGGREGATE(15,3,(Garage!$H$1:$H$818=1)/(Garage!$H$1:$H$818=1)*ROW(Garage!$H$1:$H$818),ROWS($B$242:$B257))),"")</f>
        <v/>
      </c>
      <c r="G257" s="206" t="str" cm="1">
        <f t="array" ref="G257">IF(ROWS($B$242:$B257)&lt;=$J$242,INDEX(Garage!M:M,_xlfn.AGGREGATE(15,3,(Garage!$H$1:$H$818=1)/(Garage!$H$1:$H$818=1)*ROW(Garage!$H$1:$H$818),ROWS($B$242:$B257))),"")</f>
        <v/>
      </c>
      <c r="H257" s="388" t="str" cm="1">
        <f t="array" ref="H257">IFERROR(_xlfn.AGGREGATE(15,3,(Garage!$H$1:$H$818=1)/(Garage!$H$1:$H$818=1)*ROW(Garage!$H$1:$H$818),ROWS($B$242:$B257)),"")</f>
        <v/>
      </c>
      <c r="I257" s="388" t="str" cm="1">
        <f t="array" ref="I257">IF(ROWS($B$242:$B257)&lt;=$J$242,ROUND(INDEX(Garage!D:D,H257),1)  &amp; " " &amp; INDEX(Garage!E:E,H257),"")</f>
        <v/>
      </c>
    </row>
    <row r="258" spans="1:9" ht="30.15" customHeight="1" x14ac:dyDescent="0.25">
      <c r="A258" s="204" t="str">
        <f>VLOOKUP("Garage",Setting!$E$6:$H$33,4,FALSE)</f>
        <v>Garage</v>
      </c>
      <c r="B258" s="205" t="str" cm="1">
        <f t="array" ref="B258">IF(ROWS($B$242:$B258)&lt;=$J$242,INDEX(Garage!$R:$R,_xlfn.AGGREGATE(15,3,(Garage!$H$1:$H$818=1)/(Garage!$H$1:$H$818=1)*ROW(Garage!$H$1:$H$818),ROWS($B$242:$B258))),"")</f>
        <v/>
      </c>
      <c r="C258" s="205" t="str" cm="1">
        <f t="array" ref="C258">IF(ROWS($B$242:$B258)&lt;=$J$242,INDEX(Garage!C:C,$H258) &amp; INDEX(Garage!S:S,$H258),"")</f>
        <v/>
      </c>
      <c r="D258" s="206" t="str">
        <f t="shared" si="31"/>
        <v/>
      </c>
      <c r="E258" s="206" t="str" cm="1">
        <f t="array" ref="E258">IF(ROWS($B$242:$B258)&lt;=$J$242,INDEX(Garage!K:K,_xlfn.AGGREGATE(15,3,(Garage!$H$1:$H$818=1)/(Garage!$H$1:$H$818=1)*ROW(Garage!$H$1:$H$818),ROWS($B$242:$B258))),"")</f>
        <v/>
      </c>
      <c r="F258" s="206" t="str" cm="1">
        <f t="array" ref="F258">IF(ROWS($B$242:$B258)&lt;=$J$242,INDEX(Garage!L:L,_xlfn.AGGREGATE(15,3,(Garage!$H$1:$H$818=1)/(Garage!$H$1:$H$818=1)*ROW(Garage!$H$1:$H$818),ROWS($B$242:$B258))),"")</f>
        <v/>
      </c>
      <c r="G258" s="206" t="str" cm="1">
        <f t="array" ref="G258">IF(ROWS($B$242:$B258)&lt;=$J$242,INDEX(Garage!M:M,_xlfn.AGGREGATE(15,3,(Garage!$H$1:$H$818=1)/(Garage!$H$1:$H$818=1)*ROW(Garage!$H$1:$H$818),ROWS($B$242:$B258))),"")</f>
        <v/>
      </c>
      <c r="H258" s="388" t="str" cm="1">
        <f t="array" ref="H258">IFERROR(_xlfn.AGGREGATE(15,3,(Garage!$H$1:$H$818=1)/(Garage!$H$1:$H$818=1)*ROW(Garage!$H$1:$H$818),ROWS($B$242:$B258)),"")</f>
        <v/>
      </c>
      <c r="I258" s="388" t="str" cm="1">
        <f t="array" ref="I258">IF(ROWS($B$242:$B258)&lt;=$J$242,ROUND(INDEX(Garage!D:D,H258),1)  &amp; " " &amp; INDEX(Garage!E:E,H258),"")</f>
        <v/>
      </c>
    </row>
    <row r="259" spans="1:9" ht="30.15" customHeight="1" x14ac:dyDescent="0.25">
      <c r="A259" s="204" t="str">
        <f>VLOOKUP("Garage",Setting!$E$6:$H$33,4,FALSE)</f>
        <v>Garage</v>
      </c>
      <c r="B259" s="205" t="str" cm="1">
        <f t="array" ref="B259">IF(ROWS($B$242:$B259)&lt;=$J$242,INDEX(Garage!$R:$R,_xlfn.AGGREGATE(15,3,(Garage!$H$1:$H$818=1)/(Garage!$H$1:$H$818=1)*ROW(Garage!$H$1:$H$818),ROWS($B$242:$B259))),"")</f>
        <v/>
      </c>
      <c r="C259" s="205" t="str" cm="1">
        <f t="array" ref="C259">IF(ROWS($B$242:$B259)&lt;=$J$242,INDEX(Garage!C:C,$H259) &amp; INDEX(Garage!S:S,$H259),"")</f>
        <v/>
      </c>
      <c r="D259" s="206" t="str">
        <f t="shared" si="31"/>
        <v/>
      </c>
      <c r="E259" s="206" t="str" cm="1">
        <f t="array" ref="E259">IF(ROWS($B$242:$B259)&lt;=$J$242,INDEX(Garage!K:K,_xlfn.AGGREGATE(15,3,(Garage!$H$1:$H$818=1)/(Garage!$H$1:$H$818=1)*ROW(Garage!$H$1:$H$818),ROWS($B$242:$B259))),"")</f>
        <v/>
      </c>
      <c r="F259" s="206" t="str" cm="1">
        <f t="array" ref="F259">IF(ROWS($B$242:$B259)&lt;=$J$242,INDEX(Garage!L:L,_xlfn.AGGREGATE(15,3,(Garage!$H$1:$H$818=1)/(Garage!$H$1:$H$818=1)*ROW(Garage!$H$1:$H$818),ROWS($B$242:$B259))),"")</f>
        <v/>
      </c>
      <c r="G259" s="206" t="str" cm="1">
        <f t="array" ref="G259">IF(ROWS($B$242:$B259)&lt;=$J$242,INDEX(Garage!M:M,_xlfn.AGGREGATE(15,3,(Garage!$H$1:$H$818=1)/(Garage!$H$1:$H$818=1)*ROW(Garage!$H$1:$H$818),ROWS($B$242:$B259))),"")</f>
        <v/>
      </c>
      <c r="H259" s="388" t="str" cm="1">
        <f t="array" ref="H259">IFERROR(_xlfn.AGGREGATE(15,3,(Garage!$H$1:$H$818=1)/(Garage!$H$1:$H$818=1)*ROW(Garage!$H$1:$H$818),ROWS($B$242:$B259)),"")</f>
        <v/>
      </c>
      <c r="I259" s="388" t="str" cm="1">
        <f t="array" ref="I259">IF(ROWS($B$242:$B259)&lt;=$J$242,ROUND(INDEX(Garage!D:D,H259),1)  &amp; " " &amp; INDEX(Garage!E:E,H259),"")</f>
        <v/>
      </c>
    </row>
    <row r="260" spans="1:9" ht="30.15" customHeight="1" x14ac:dyDescent="0.25">
      <c r="A260" s="204" t="str">
        <f>VLOOKUP("Garage",Setting!$E$6:$H$33,4,FALSE)</f>
        <v>Garage</v>
      </c>
      <c r="B260" s="205" t="str" cm="1">
        <f t="array" ref="B260">IF(ROWS($B$242:$B260)&lt;=$J$242,INDEX(Garage!$R:$R,_xlfn.AGGREGATE(15,3,(Garage!$H$1:$H$818=1)/(Garage!$H$1:$H$818=1)*ROW(Garage!$H$1:$H$818),ROWS($B$242:$B260))),"")</f>
        <v/>
      </c>
      <c r="C260" s="205" t="str" cm="1">
        <f t="array" ref="C260">IF(ROWS($B$242:$B260)&lt;=$J$242,INDEX(Garage!C:C,$H260) &amp; INDEX(Garage!S:S,$H260),"")</f>
        <v/>
      </c>
      <c r="D260" s="206" t="str">
        <f t="shared" si="31"/>
        <v/>
      </c>
      <c r="E260" s="206" t="str" cm="1">
        <f t="array" ref="E260">IF(ROWS($B$242:$B260)&lt;=$J$242,INDEX(Garage!K:K,_xlfn.AGGREGATE(15,3,(Garage!$H$1:$H$818=1)/(Garage!$H$1:$H$818=1)*ROW(Garage!$H$1:$H$818),ROWS($B$242:$B260))),"")</f>
        <v/>
      </c>
      <c r="F260" s="206" t="str" cm="1">
        <f t="array" ref="F260">IF(ROWS($B$242:$B260)&lt;=$J$242,INDEX(Garage!L:L,_xlfn.AGGREGATE(15,3,(Garage!$H$1:$H$818=1)/(Garage!$H$1:$H$818=1)*ROW(Garage!$H$1:$H$818),ROWS($B$242:$B260))),"")</f>
        <v/>
      </c>
      <c r="G260" s="206" t="str" cm="1">
        <f t="array" ref="G260">IF(ROWS($B$242:$B260)&lt;=$J$242,INDEX(Garage!M:M,_xlfn.AGGREGATE(15,3,(Garage!$H$1:$H$818=1)/(Garage!$H$1:$H$818=1)*ROW(Garage!$H$1:$H$818),ROWS($B$242:$B260))),"")</f>
        <v/>
      </c>
      <c r="H260" s="388" t="str" cm="1">
        <f t="array" ref="H260">IFERROR(_xlfn.AGGREGATE(15,3,(Garage!$H$1:$H$818=1)/(Garage!$H$1:$H$818=1)*ROW(Garage!$H$1:$H$818),ROWS($B$242:$B260)),"")</f>
        <v/>
      </c>
      <c r="I260" s="388" t="str" cm="1">
        <f t="array" ref="I260">IF(ROWS($B$242:$B260)&lt;=$J$242,ROUND(INDEX(Garage!D:D,H260),1)  &amp; " " &amp; INDEX(Garage!E:E,H260),"")</f>
        <v/>
      </c>
    </row>
    <row r="261" spans="1:9" ht="30.15" customHeight="1" x14ac:dyDescent="0.25">
      <c r="A261" s="204" t="str">
        <f>VLOOKUP("Garage",Setting!$E$6:$H$33,4,FALSE)</f>
        <v>Garage</v>
      </c>
      <c r="B261" s="205" t="str" cm="1">
        <f t="array" ref="B261">IF(ROWS($B$242:$B261)&lt;=$J$242,INDEX(Garage!$R:$R,_xlfn.AGGREGATE(15,3,(Garage!$H$1:$H$818=1)/(Garage!$H$1:$H$818=1)*ROW(Garage!$H$1:$H$818),ROWS($B$242:$B261))),"")</f>
        <v/>
      </c>
      <c r="C261" s="205" t="str" cm="1">
        <f t="array" ref="C261">IF(ROWS($B$242:$B261)&lt;=$J$242,INDEX(Garage!C:C,$H261) &amp; INDEX(Garage!S:S,$H261),"")</f>
        <v/>
      </c>
      <c r="D261" s="206" t="str">
        <f t="shared" si="31"/>
        <v/>
      </c>
      <c r="E261" s="206" t="str" cm="1">
        <f t="array" ref="E261">IF(ROWS($B$242:$B261)&lt;=$J$242,INDEX(Garage!K:K,_xlfn.AGGREGATE(15,3,(Garage!$H$1:$H$818=1)/(Garage!$H$1:$H$818=1)*ROW(Garage!$H$1:$H$818),ROWS($B$242:$B261))),"")</f>
        <v/>
      </c>
      <c r="F261" s="206" t="str" cm="1">
        <f t="array" ref="F261">IF(ROWS($B$242:$B261)&lt;=$J$242,INDEX(Garage!L:L,_xlfn.AGGREGATE(15,3,(Garage!$H$1:$H$818=1)/(Garage!$H$1:$H$818=1)*ROW(Garage!$H$1:$H$818),ROWS($B$242:$B261))),"")</f>
        <v/>
      </c>
      <c r="G261" s="206" t="str" cm="1">
        <f t="array" ref="G261">IF(ROWS($B$242:$B261)&lt;=$J$242,INDEX(Garage!M:M,_xlfn.AGGREGATE(15,3,(Garage!$H$1:$H$818=1)/(Garage!$H$1:$H$818=1)*ROW(Garage!$H$1:$H$818),ROWS($B$242:$B261))),"")</f>
        <v/>
      </c>
      <c r="H261" s="388" t="str" cm="1">
        <f t="array" ref="H261">IFERROR(_xlfn.AGGREGATE(15,3,(Garage!$H$1:$H$818=1)/(Garage!$H$1:$H$818=1)*ROW(Garage!$H$1:$H$818),ROWS($B$242:$B261)),"")</f>
        <v/>
      </c>
      <c r="I261" s="388" t="str" cm="1">
        <f t="array" ref="I261">IF(ROWS($B$242:$B261)&lt;=$J$242,ROUND(INDEX(Garage!D:D,H261),1)  &amp; " " &amp; INDEX(Garage!E:E,H261),"")</f>
        <v/>
      </c>
    </row>
    <row r="262" spans="1:9" ht="30.15" customHeight="1" x14ac:dyDescent="0.25">
      <c r="A262" s="204" t="str">
        <f>VLOOKUP("Garage",Setting!$E$6:$H$33,4,FALSE)</f>
        <v>Garage</v>
      </c>
      <c r="B262" s="205" t="str" cm="1">
        <f t="array" ref="B262">IF(ROWS($B$242:$B262)&lt;=$J$242,INDEX(Garage!$R:$R,_xlfn.AGGREGATE(15,3,(Garage!$H$1:$H$818=1)/(Garage!$H$1:$H$818=1)*ROW(Garage!$H$1:$H$818),ROWS($B$242:$B262))),"")</f>
        <v/>
      </c>
      <c r="C262" s="205" t="str" cm="1">
        <f t="array" ref="C262">IF(ROWS($B$242:$B262)&lt;=$J$242,INDEX(Garage!C:C,$H262) &amp; INDEX(Garage!S:S,$H262),"")</f>
        <v/>
      </c>
      <c r="D262" s="206" t="str">
        <f t="shared" si="31"/>
        <v/>
      </c>
      <c r="E262" s="206" t="str" cm="1">
        <f t="array" ref="E262">IF(ROWS($B$242:$B262)&lt;=$J$242,INDEX(Garage!K:K,_xlfn.AGGREGATE(15,3,(Garage!$H$1:$H$818=1)/(Garage!$H$1:$H$818=1)*ROW(Garage!$H$1:$H$818),ROWS($B$242:$B262))),"")</f>
        <v/>
      </c>
      <c r="F262" s="206" t="str" cm="1">
        <f t="array" ref="F262">IF(ROWS($B$242:$B262)&lt;=$J$242,INDEX(Garage!L:L,_xlfn.AGGREGATE(15,3,(Garage!$H$1:$H$818=1)/(Garage!$H$1:$H$818=1)*ROW(Garage!$H$1:$H$818),ROWS($B$242:$B262))),"")</f>
        <v/>
      </c>
      <c r="G262" s="206" t="str" cm="1">
        <f t="array" ref="G262">IF(ROWS($B$242:$B262)&lt;=$J$242,INDEX(Garage!M:M,_xlfn.AGGREGATE(15,3,(Garage!$H$1:$H$818=1)/(Garage!$H$1:$H$818=1)*ROW(Garage!$H$1:$H$818),ROWS($B$242:$B262))),"")</f>
        <v/>
      </c>
      <c r="H262" s="388" t="str" cm="1">
        <f t="array" ref="H262">IFERROR(_xlfn.AGGREGATE(15,3,(Garage!$H$1:$H$818=1)/(Garage!$H$1:$H$818=1)*ROW(Garage!$H$1:$H$818),ROWS($B$242:$B262)),"")</f>
        <v/>
      </c>
      <c r="I262" s="388" t="str" cm="1">
        <f t="array" ref="I262">IF(ROWS($B$242:$B262)&lt;=$J$242,ROUND(INDEX(Garage!D:D,H262),1)  &amp; " " &amp; INDEX(Garage!E:E,H262),"")</f>
        <v/>
      </c>
    </row>
    <row r="263" spans="1:9" ht="30.15" customHeight="1" x14ac:dyDescent="0.25">
      <c r="A263" s="204" t="str">
        <f>VLOOKUP("Garage",Setting!$E$6:$H$33,4,FALSE)</f>
        <v>Garage</v>
      </c>
      <c r="B263" s="205" t="str" cm="1">
        <f t="array" ref="B263">IF(ROWS($B$242:$B263)&lt;=$J$242,INDEX(Garage!$R:$R,_xlfn.AGGREGATE(15,3,(Garage!$H$1:$H$818=1)/(Garage!$H$1:$H$818=1)*ROW(Garage!$H$1:$H$818),ROWS($B$242:$B263))),"")</f>
        <v/>
      </c>
      <c r="C263" s="205" t="str" cm="1">
        <f t="array" ref="C263">IF(ROWS($B$242:$B263)&lt;=$J$242,INDEX(Garage!C:C,$H263) &amp; INDEX(Garage!S:S,$H263),"")</f>
        <v/>
      </c>
      <c r="D263" s="206" t="str">
        <f t="shared" si="31"/>
        <v/>
      </c>
      <c r="E263" s="206" t="str" cm="1">
        <f t="array" ref="E263">IF(ROWS($B$242:$B263)&lt;=$J$242,INDEX(Garage!K:K,_xlfn.AGGREGATE(15,3,(Garage!$H$1:$H$818=1)/(Garage!$H$1:$H$818=1)*ROW(Garage!$H$1:$H$818),ROWS($B$242:$B263))),"")</f>
        <v/>
      </c>
      <c r="F263" s="206" t="str" cm="1">
        <f t="array" ref="F263">IF(ROWS($B$242:$B263)&lt;=$J$242,INDEX(Garage!L:L,_xlfn.AGGREGATE(15,3,(Garage!$H$1:$H$818=1)/(Garage!$H$1:$H$818=1)*ROW(Garage!$H$1:$H$818),ROWS($B$242:$B263))),"")</f>
        <v/>
      </c>
      <c r="G263" s="206" t="str" cm="1">
        <f t="array" ref="G263">IF(ROWS($B$242:$B263)&lt;=$J$242,INDEX(Garage!M:M,_xlfn.AGGREGATE(15,3,(Garage!$H$1:$H$818=1)/(Garage!$H$1:$H$818=1)*ROW(Garage!$H$1:$H$818),ROWS($B$242:$B263))),"")</f>
        <v/>
      </c>
      <c r="H263" s="388" t="str" cm="1">
        <f t="array" ref="H263">IFERROR(_xlfn.AGGREGATE(15,3,(Garage!$H$1:$H$818=1)/(Garage!$H$1:$H$818=1)*ROW(Garage!$H$1:$H$818),ROWS($B$242:$B263)),"")</f>
        <v/>
      </c>
      <c r="I263" s="388" t="str" cm="1">
        <f t="array" ref="I263">IF(ROWS($B$242:$B263)&lt;=$J$242,ROUND(INDEX(Garage!D:D,H263),1)  &amp; " " &amp; INDEX(Garage!E:E,H263),"")</f>
        <v/>
      </c>
    </row>
    <row r="264" spans="1:9" ht="30.15" customHeight="1" x14ac:dyDescent="0.25">
      <c r="A264" s="204" t="str">
        <f>VLOOKUP("Garage",Setting!$E$6:$H$33,4,FALSE)</f>
        <v>Garage</v>
      </c>
      <c r="B264" s="205" t="str" cm="1">
        <f t="array" ref="B264">IF(ROWS($B$242:$B264)&lt;=$J$242,INDEX(Garage!$R:$R,_xlfn.AGGREGATE(15,3,(Garage!$H$1:$H$818=1)/(Garage!$H$1:$H$818=1)*ROW(Garage!$H$1:$H$818),ROWS($B$242:$B264))),"")</f>
        <v/>
      </c>
      <c r="C264" s="205" t="str" cm="1">
        <f t="array" ref="C264">IF(ROWS($B$242:$B264)&lt;=$J$242,INDEX(Garage!C:C,$H264) &amp; INDEX(Garage!S:S,$H264),"")</f>
        <v/>
      </c>
      <c r="D264" s="206" t="str">
        <f t="shared" si="31"/>
        <v/>
      </c>
      <c r="E264" s="206" t="str" cm="1">
        <f t="array" ref="E264">IF(ROWS($B$242:$B264)&lt;=$J$242,INDEX(Garage!K:K,_xlfn.AGGREGATE(15,3,(Garage!$H$1:$H$818=1)/(Garage!$H$1:$H$818=1)*ROW(Garage!$H$1:$H$818),ROWS($B$242:$B264))),"")</f>
        <v/>
      </c>
      <c r="F264" s="206" t="str" cm="1">
        <f t="array" ref="F264">IF(ROWS($B$242:$B264)&lt;=$J$242,INDEX(Garage!L:L,_xlfn.AGGREGATE(15,3,(Garage!$H$1:$H$818=1)/(Garage!$H$1:$H$818=1)*ROW(Garage!$H$1:$H$818),ROWS($B$242:$B264))),"")</f>
        <v/>
      </c>
      <c r="G264" s="206" t="str" cm="1">
        <f t="array" ref="G264">IF(ROWS($B$242:$B264)&lt;=$J$242,INDEX(Garage!M:M,_xlfn.AGGREGATE(15,3,(Garage!$H$1:$H$818=1)/(Garage!$H$1:$H$818=1)*ROW(Garage!$H$1:$H$818),ROWS($B$242:$B264))),"")</f>
        <v/>
      </c>
      <c r="H264" s="388" t="str" cm="1">
        <f t="array" ref="H264">IFERROR(_xlfn.AGGREGATE(15,3,(Garage!$H$1:$H$818=1)/(Garage!$H$1:$H$818=1)*ROW(Garage!$H$1:$H$818),ROWS($B$242:$B264)),"")</f>
        <v/>
      </c>
      <c r="I264" s="388" t="str" cm="1">
        <f t="array" ref="I264">IF(ROWS($B$242:$B264)&lt;=$J$242,ROUND(INDEX(Garage!D:D,H264),1)  &amp; " " &amp; INDEX(Garage!E:E,H264),"")</f>
        <v/>
      </c>
    </row>
    <row r="265" spans="1:9" ht="30.15" customHeight="1" x14ac:dyDescent="0.25">
      <c r="A265" s="204" t="str">
        <f>VLOOKUP("Garage",Setting!$E$6:$H$33,4,FALSE)</f>
        <v>Garage</v>
      </c>
      <c r="B265" s="205" t="str" cm="1">
        <f t="array" ref="B265">IF(ROWS($B$242:$B265)&lt;=$J$242,INDEX(Garage!$R:$R,_xlfn.AGGREGATE(15,3,(Garage!$H$1:$H$818=1)/(Garage!$H$1:$H$818=1)*ROW(Garage!$H$1:$H$818),ROWS($B$242:$B265))),"")</f>
        <v/>
      </c>
      <c r="C265" s="205" t="str" cm="1">
        <f t="array" ref="C265">IF(ROWS($B$242:$B265)&lt;=$J$242,INDEX(Garage!C:C,$H265) &amp; INDEX(Garage!S:S,$H265),"")</f>
        <v/>
      </c>
      <c r="D265" s="206" t="str">
        <f t="shared" si="31"/>
        <v/>
      </c>
      <c r="E265" s="206" t="str" cm="1">
        <f t="array" ref="E265">IF(ROWS($B$242:$B265)&lt;=$J$242,INDEX(Garage!K:K,_xlfn.AGGREGATE(15,3,(Garage!$H$1:$H$818=1)/(Garage!$H$1:$H$818=1)*ROW(Garage!$H$1:$H$818),ROWS($B$242:$B265))),"")</f>
        <v/>
      </c>
      <c r="F265" s="206" t="str" cm="1">
        <f t="array" ref="F265">IF(ROWS($B$242:$B265)&lt;=$J$242,INDEX(Garage!L:L,_xlfn.AGGREGATE(15,3,(Garage!$H$1:$H$818=1)/(Garage!$H$1:$H$818=1)*ROW(Garage!$H$1:$H$818),ROWS($B$242:$B265))),"")</f>
        <v/>
      </c>
      <c r="G265" s="206" t="str" cm="1">
        <f t="array" ref="G265">IF(ROWS($B$242:$B265)&lt;=$J$242,INDEX(Garage!M:M,_xlfn.AGGREGATE(15,3,(Garage!$H$1:$H$818=1)/(Garage!$H$1:$H$818=1)*ROW(Garage!$H$1:$H$818),ROWS($B$242:$B265))),"")</f>
        <v/>
      </c>
      <c r="H265" s="388" t="str" cm="1">
        <f t="array" ref="H265">IFERROR(_xlfn.AGGREGATE(15,3,(Garage!$H$1:$H$818=1)/(Garage!$H$1:$H$818=1)*ROW(Garage!$H$1:$H$818),ROWS($B$242:$B265)),"")</f>
        <v/>
      </c>
      <c r="I265" s="388" t="str" cm="1">
        <f t="array" ref="I265">IF(ROWS($B$242:$B265)&lt;=$J$242,ROUND(INDEX(Garage!D:D,H265),1)  &amp; " " &amp; INDEX(Garage!E:E,H265),"")</f>
        <v/>
      </c>
    </row>
    <row r="266" spans="1:9" ht="30.15" customHeight="1" x14ac:dyDescent="0.25">
      <c r="A266" s="204" t="str">
        <f>VLOOKUP("Garage",Setting!$E$6:$H$33,4,FALSE)</f>
        <v>Garage</v>
      </c>
      <c r="B266" s="205" t="str" cm="1">
        <f t="array" ref="B266">IF(ROWS($B$242:$B266)&lt;=$J$242,INDEX(Garage!$R:$R,_xlfn.AGGREGATE(15,3,(Garage!$H$1:$H$818=1)/(Garage!$H$1:$H$818=1)*ROW(Garage!$H$1:$H$818),ROWS($B$242:$B266))),"")</f>
        <v/>
      </c>
      <c r="C266" s="205" t="str" cm="1">
        <f t="array" ref="C266">IF(ROWS($B$242:$B266)&lt;=$J$242,INDEX(Garage!C:C,$H266) &amp; INDEX(Garage!S:S,$H266),"")</f>
        <v/>
      </c>
      <c r="D266" s="206" t="str">
        <f t="shared" si="31"/>
        <v/>
      </c>
      <c r="E266" s="206" t="str" cm="1">
        <f t="array" ref="E266">IF(ROWS($B$242:$B266)&lt;=$J$242,INDEX(Garage!K:K,_xlfn.AGGREGATE(15,3,(Garage!$H$1:$H$818=1)/(Garage!$H$1:$H$818=1)*ROW(Garage!$H$1:$H$818),ROWS($B$242:$B266))),"")</f>
        <v/>
      </c>
      <c r="F266" s="206" t="str" cm="1">
        <f t="array" ref="F266">IF(ROWS($B$242:$B266)&lt;=$J$242,INDEX(Garage!L:L,_xlfn.AGGREGATE(15,3,(Garage!$H$1:$H$818=1)/(Garage!$H$1:$H$818=1)*ROW(Garage!$H$1:$H$818),ROWS($B$242:$B266))),"")</f>
        <v/>
      </c>
      <c r="G266" s="206" t="str" cm="1">
        <f t="array" ref="G266">IF(ROWS($B$242:$B266)&lt;=$J$242,INDEX(Garage!M:M,_xlfn.AGGREGATE(15,3,(Garage!$H$1:$H$818=1)/(Garage!$H$1:$H$818=1)*ROW(Garage!$H$1:$H$818),ROWS($B$242:$B266))),"")</f>
        <v/>
      </c>
      <c r="H266" s="388" t="str" cm="1">
        <f t="array" ref="H266">IFERROR(_xlfn.AGGREGATE(15,3,(Garage!$H$1:$H$818=1)/(Garage!$H$1:$H$818=1)*ROW(Garage!$H$1:$H$818),ROWS($B$242:$B266)),"")</f>
        <v/>
      </c>
      <c r="I266" s="388" t="str" cm="1">
        <f t="array" ref="I266">IF(ROWS($B$242:$B266)&lt;=$J$242,ROUND(INDEX(Garage!D:D,H266),1)  &amp; " " &amp; INDEX(Garage!E:E,H266),"")</f>
        <v/>
      </c>
    </row>
    <row r="267" spans="1:9" ht="30.15" customHeight="1" x14ac:dyDescent="0.25">
      <c r="A267" s="204" t="str">
        <f>VLOOKUP("Garage",Setting!$E$6:$H$33,4,FALSE)</f>
        <v>Garage</v>
      </c>
      <c r="B267" s="205" t="str" cm="1">
        <f t="array" ref="B267">IF(ROWS($B$242:$B267)&lt;=$J$242,INDEX(Garage!$R:$R,_xlfn.AGGREGATE(15,3,(Garage!$H$1:$H$818=1)/(Garage!$H$1:$H$818=1)*ROW(Garage!$H$1:$H$818),ROWS($B$242:$B267))),"")</f>
        <v/>
      </c>
      <c r="C267" s="205" t="str" cm="1">
        <f t="array" ref="C267">IF(ROWS($B$242:$B267)&lt;=$J$242,INDEX(Garage!C:C,$H267) &amp; INDEX(Garage!S:S,$H267),"")</f>
        <v/>
      </c>
      <c r="D267" s="206" t="str">
        <f t="shared" ref="D267:D281" si="32">IFERROR(E267-F267,"")</f>
        <v/>
      </c>
      <c r="E267" s="206" t="str" cm="1">
        <f t="array" ref="E267">IF(ROWS($B$242:$B267)&lt;=$J$242,INDEX(Garage!K:K,_xlfn.AGGREGATE(15,3,(Garage!$H$1:$H$818=1)/(Garage!$H$1:$H$818=1)*ROW(Garage!$H$1:$H$818),ROWS($B$242:$B267))),"")</f>
        <v/>
      </c>
      <c r="F267" s="206" t="str" cm="1">
        <f t="array" ref="F267">IF(ROWS($B$242:$B267)&lt;=$J$242,INDEX(Garage!L:L,_xlfn.AGGREGATE(15,3,(Garage!$H$1:$H$818=1)/(Garage!$H$1:$H$818=1)*ROW(Garage!$H$1:$H$818),ROWS($B$242:$B267))),"")</f>
        <v/>
      </c>
      <c r="G267" s="206" t="str" cm="1">
        <f t="array" ref="G267">IF(ROWS($B$242:$B267)&lt;=$J$242,INDEX(Garage!M:M,_xlfn.AGGREGATE(15,3,(Garage!$H$1:$H$818=1)/(Garage!$H$1:$H$818=1)*ROW(Garage!$H$1:$H$818),ROWS($B$242:$B267))),"")</f>
        <v/>
      </c>
      <c r="H267" s="388" t="str" cm="1">
        <f t="array" ref="H267">IFERROR(_xlfn.AGGREGATE(15,3,(Garage!$H$1:$H$818=1)/(Garage!$H$1:$H$818=1)*ROW(Garage!$H$1:$H$818),ROWS($B$242:$B267)),"")</f>
        <v/>
      </c>
      <c r="I267" s="388"/>
    </row>
    <row r="268" spans="1:9" ht="30.15" customHeight="1" x14ac:dyDescent="0.25">
      <c r="A268" s="204" t="str">
        <f>VLOOKUP("Garage",Setting!$E$6:$H$33,4,FALSE)</f>
        <v>Garage</v>
      </c>
      <c r="B268" s="205" t="str" cm="1">
        <f t="array" ref="B268">IF(ROWS($B$242:$B268)&lt;=$J$242,INDEX(Garage!$R:$R,_xlfn.AGGREGATE(15,3,(Garage!$H$1:$H$818=1)/(Garage!$H$1:$H$818=1)*ROW(Garage!$H$1:$H$818),ROWS($B$242:$B268))),"")</f>
        <v/>
      </c>
      <c r="C268" s="205" t="str" cm="1">
        <f t="array" ref="C268">IF(ROWS($B$242:$B268)&lt;=$J$242,INDEX(Garage!C:C,$H268) &amp; INDEX(Garage!S:S,$H268),"")</f>
        <v/>
      </c>
      <c r="D268" s="206" t="str">
        <f t="shared" si="32"/>
        <v/>
      </c>
      <c r="E268" s="206" t="str" cm="1">
        <f t="array" ref="E268">IF(ROWS($B$242:$B268)&lt;=$J$242,INDEX(Garage!K:K,_xlfn.AGGREGATE(15,3,(Garage!$H$1:$H$818=1)/(Garage!$H$1:$H$818=1)*ROW(Garage!$H$1:$H$818),ROWS($B$242:$B268))),"")</f>
        <v/>
      </c>
      <c r="F268" s="206" t="str" cm="1">
        <f t="array" ref="F268">IF(ROWS($B$242:$B268)&lt;=$J$242,INDEX(Garage!L:L,_xlfn.AGGREGATE(15,3,(Garage!$H$1:$H$818=1)/(Garage!$H$1:$H$818=1)*ROW(Garage!$H$1:$H$818),ROWS($B$242:$B268))),"")</f>
        <v/>
      </c>
      <c r="G268" s="206" t="str" cm="1">
        <f t="array" ref="G268">IF(ROWS($B$242:$B268)&lt;=$J$242,INDEX(Garage!M:M,_xlfn.AGGREGATE(15,3,(Garage!$H$1:$H$818=1)/(Garage!$H$1:$H$818=1)*ROW(Garage!$H$1:$H$818),ROWS($B$242:$B268))),"")</f>
        <v/>
      </c>
      <c r="H268" s="388" t="str" cm="1">
        <f t="array" ref="H268">IFERROR(_xlfn.AGGREGATE(15,3,(Garage!$H$1:$H$818=1)/(Garage!$H$1:$H$818=1)*ROW(Garage!$H$1:$H$818),ROWS($B$242:$B268)),"")</f>
        <v/>
      </c>
      <c r="I268" s="388"/>
    </row>
    <row r="269" spans="1:9" ht="30.15" customHeight="1" x14ac:dyDescent="0.25">
      <c r="A269" s="204" t="str">
        <f>VLOOKUP("Garage",Setting!$E$6:$H$33,4,FALSE)</f>
        <v>Garage</v>
      </c>
      <c r="B269" s="205" t="str" cm="1">
        <f t="array" ref="B269">IF(ROWS($B$242:$B269)&lt;=$J$242,INDEX(Garage!$R:$R,_xlfn.AGGREGATE(15,3,(Garage!$H$1:$H$818=1)/(Garage!$H$1:$H$818=1)*ROW(Garage!$H$1:$H$818),ROWS($B$242:$B269))),"")</f>
        <v/>
      </c>
      <c r="C269" s="205" t="str" cm="1">
        <f t="array" ref="C269">IF(ROWS($B$242:$B269)&lt;=$J$242,INDEX(Garage!C:C,$H269) &amp; INDEX(Garage!S:S,$H269),"")</f>
        <v/>
      </c>
      <c r="D269" s="206" t="str">
        <f t="shared" si="32"/>
        <v/>
      </c>
      <c r="E269" s="206" t="str" cm="1">
        <f t="array" ref="E269">IF(ROWS($B$242:$B269)&lt;=$J$242,INDEX(Garage!K:K,_xlfn.AGGREGATE(15,3,(Garage!$H$1:$H$818=1)/(Garage!$H$1:$H$818=1)*ROW(Garage!$H$1:$H$818),ROWS($B$242:$B269))),"")</f>
        <v/>
      </c>
      <c r="F269" s="206" t="str" cm="1">
        <f t="array" ref="F269">IF(ROWS($B$242:$B269)&lt;=$J$242,INDEX(Garage!L:L,_xlfn.AGGREGATE(15,3,(Garage!$H$1:$H$818=1)/(Garage!$H$1:$H$818=1)*ROW(Garage!$H$1:$H$818),ROWS($B$242:$B269))),"")</f>
        <v/>
      </c>
      <c r="G269" s="206" t="str" cm="1">
        <f t="array" ref="G269">IF(ROWS($B$242:$B269)&lt;=$J$242,INDEX(Garage!M:M,_xlfn.AGGREGATE(15,3,(Garage!$H$1:$H$818=1)/(Garage!$H$1:$H$818=1)*ROW(Garage!$H$1:$H$818),ROWS($B$242:$B269))),"")</f>
        <v/>
      </c>
      <c r="H269" s="388" t="str" cm="1">
        <f t="array" ref="H269">IFERROR(_xlfn.AGGREGATE(15,3,(Garage!$H$1:$H$818=1)/(Garage!$H$1:$H$818=1)*ROW(Garage!$H$1:$H$818),ROWS($B$242:$B269)),"")</f>
        <v/>
      </c>
      <c r="I269" s="388"/>
    </row>
    <row r="270" spans="1:9" ht="30.15" customHeight="1" x14ac:dyDescent="0.25">
      <c r="A270" s="204" t="str">
        <f>VLOOKUP("Garage",Setting!$E$6:$H$33,4,FALSE)</f>
        <v>Garage</v>
      </c>
      <c r="B270" s="205" t="str" cm="1">
        <f t="array" ref="B270">IF(ROWS($B$242:$B270)&lt;=$J$242,INDEX(Garage!$R:$R,_xlfn.AGGREGATE(15,3,(Garage!$H$1:$H$818=1)/(Garage!$H$1:$H$818=1)*ROW(Garage!$H$1:$H$818),ROWS($B$242:$B270))),"")</f>
        <v/>
      </c>
      <c r="C270" s="205" t="str" cm="1">
        <f t="array" ref="C270">IF(ROWS($B$242:$B270)&lt;=$J$242,INDEX(Garage!C:C,$H270) &amp; INDEX(Garage!S:S,$H270),"")</f>
        <v/>
      </c>
      <c r="D270" s="206" t="str">
        <f t="shared" si="32"/>
        <v/>
      </c>
      <c r="E270" s="206" t="str" cm="1">
        <f t="array" ref="E270">IF(ROWS($B$242:$B270)&lt;=$J$242,INDEX(Garage!K:K,_xlfn.AGGREGATE(15,3,(Garage!$H$1:$H$818=1)/(Garage!$H$1:$H$818=1)*ROW(Garage!$H$1:$H$818),ROWS($B$242:$B270))),"")</f>
        <v/>
      </c>
      <c r="F270" s="206" t="str" cm="1">
        <f t="array" ref="F270">IF(ROWS($B$242:$B270)&lt;=$J$242,INDEX(Garage!L:L,_xlfn.AGGREGATE(15,3,(Garage!$H$1:$H$818=1)/(Garage!$H$1:$H$818=1)*ROW(Garage!$H$1:$H$818),ROWS($B$242:$B270))),"")</f>
        <v/>
      </c>
      <c r="G270" s="206" t="str" cm="1">
        <f t="array" ref="G270">IF(ROWS($B$242:$B270)&lt;=$J$242,INDEX(Garage!M:M,_xlfn.AGGREGATE(15,3,(Garage!$H$1:$H$818=1)/(Garage!$H$1:$H$818=1)*ROW(Garage!$H$1:$H$818),ROWS($B$242:$B270))),"")</f>
        <v/>
      </c>
      <c r="H270" s="388" t="str" cm="1">
        <f t="array" ref="H270">IFERROR(_xlfn.AGGREGATE(15,3,(Garage!$H$1:$H$818=1)/(Garage!$H$1:$H$818=1)*ROW(Garage!$H$1:$H$818),ROWS($B$242:$B270)),"")</f>
        <v/>
      </c>
      <c r="I270" s="388"/>
    </row>
    <row r="271" spans="1:9" ht="30.15" customHeight="1" x14ac:dyDescent="0.25">
      <c r="A271" s="204" t="str">
        <f>VLOOKUP("Garage",Setting!$E$6:$H$33,4,FALSE)</f>
        <v>Garage</v>
      </c>
      <c r="B271" s="205" t="str" cm="1">
        <f t="array" ref="B271">IF(ROWS($B$242:$B271)&lt;=$J$242,INDEX(Garage!$R:$R,_xlfn.AGGREGATE(15,3,(Garage!$H$1:$H$818=1)/(Garage!$H$1:$H$818=1)*ROW(Garage!$H$1:$H$818),ROWS($B$242:$B271))),"")</f>
        <v/>
      </c>
      <c r="C271" s="205" t="str" cm="1">
        <f t="array" ref="C271">IF(ROWS($B$242:$B271)&lt;=$J$242,INDEX(Garage!C:C,$H271) &amp; INDEX(Garage!S:S,$H271),"")</f>
        <v/>
      </c>
      <c r="D271" s="206" t="str">
        <f t="shared" si="32"/>
        <v/>
      </c>
      <c r="E271" s="206" t="str" cm="1">
        <f t="array" ref="E271">IF(ROWS($B$242:$B271)&lt;=$J$242,INDEX(Garage!K:K,_xlfn.AGGREGATE(15,3,(Garage!$H$1:$H$818=1)/(Garage!$H$1:$H$818=1)*ROW(Garage!$H$1:$H$818),ROWS($B$242:$B271))),"")</f>
        <v/>
      </c>
      <c r="F271" s="206" t="str" cm="1">
        <f t="array" ref="F271">IF(ROWS($B$242:$B271)&lt;=$J$242,INDEX(Garage!L:L,_xlfn.AGGREGATE(15,3,(Garage!$H$1:$H$818=1)/(Garage!$H$1:$H$818=1)*ROW(Garage!$H$1:$H$818),ROWS($B$242:$B271))),"")</f>
        <v/>
      </c>
      <c r="G271" s="206" t="str" cm="1">
        <f t="array" ref="G271">IF(ROWS($B$242:$B271)&lt;=$J$242,INDEX(Garage!M:M,_xlfn.AGGREGATE(15,3,(Garage!$H$1:$H$818=1)/(Garage!$H$1:$H$818=1)*ROW(Garage!$H$1:$H$818),ROWS($B$242:$B271))),"")</f>
        <v/>
      </c>
      <c r="H271" s="388" t="str" cm="1">
        <f t="array" ref="H271">IFERROR(_xlfn.AGGREGATE(15,3,(Garage!$H$1:$H$818=1)/(Garage!$H$1:$H$818=1)*ROW(Garage!$H$1:$H$818),ROWS($B$242:$B271)),"")</f>
        <v/>
      </c>
      <c r="I271" s="388"/>
    </row>
    <row r="272" spans="1:9" ht="30.15" customHeight="1" x14ac:dyDescent="0.25">
      <c r="A272" s="204" t="str">
        <f>VLOOKUP("Garage",Setting!$E$6:$H$33,4,FALSE)</f>
        <v>Garage</v>
      </c>
      <c r="B272" s="205" t="str" cm="1">
        <f t="array" ref="B272">IF(ROWS($B$242:$B272)&lt;=$J$242,INDEX(Garage!$R:$R,_xlfn.AGGREGATE(15,3,(Garage!$H$1:$H$818=1)/(Garage!$H$1:$H$818=1)*ROW(Garage!$H$1:$H$818),ROWS($B$242:$B272))),"")</f>
        <v/>
      </c>
      <c r="C272" s="205" t="str" cm="1">
        <f t="array" ref="C272">IF(ROWS($B$242:$B272)&lt;=$J$242,INDEX(Garage!C:C,$H272) &amp; INDEX(Garage!S:S,$H272),"")</f>
        <v/>
      </c>
      <c r="D272" s="206" t="str">
        <f t="shared" si="32"/>
        <v/>
      </c>
      <c r="E272" s="206" t="str" cm="1">
        <f t="array" ref="E272">IF(ROWS($B$242:$B272)&lt;=$J$242,INDEX(Garage!K:K,_xlfn.AGGREGATE(15,3,(Garage!$H$1:$H$818=1)/(Garage!$H$1:$H$818=1)*ROW(Garage!$H$1:$H$818),ROWS($B$242:$B272))),"")</f>
        <v/>
      </c>
      <c r="F272" s="206" t="str" cm="1">
        <f t="array" ref="F272">IF(ROWS($B$242:$B272)&lt;=$J$242,INDEX(Garage!L:L,_xlfn.AGGREGATE(15,3,(Garage!$H$1:$H$818=1)/(Garage!$H$1:$H$818=1)*ROW(Garage!$H$1:$H$818),ROWS($B$242:$B272))),"")</f>
        <v/>
      </c>
      <c r="G272" s="206" t="str" cm="1">
        <f t="array" ref="G272">IF(ROWS($B$242:$B272)&lt;=$J$242,INDEX(Garage!M:M,_xlfn.AGGREGATE(15,3,(Garage!$H$1:$H$818=1)/(Garage!$H$1:$H$818=1)*ROW(Garage!$H$1:$H$818),ROWS($B$242:$B272))),"")</f>
        <v/>
      </c>
      <c r="H272" s="388" t="str" cm="1">
        <f t="array" ref="H272">IFERROR(_xlfn.AGGREGATE(15,3,(Garage!$H$1:$H$818=1)/(Garage!$H$1:$H$818=1)*ROW(Garage!$H$1:$H$818),ROWS($B$242:$B272)),"")</f>
        <v/>
      </c>
      <c r="I272" s="388"/>
    </row>
    <row r="273" spans="1:10" ht="30.15" customHeight="1" x14ac:dyDescent="0.25">
      <c r="A273" s="204" t="str">
        <f>VLOOKUP("Garage",Setting!$E$6:$H$33,4,FALSE)</f>
        <v>Garage</v>
      </c>
      <c r="B273" s="205" t="str" cm="1">
        <f t="array" ref="B273">IF(ROWS($B$242:$B273)&lt;=$J$242,INDEX(Garage!$R:$R,_xlfn.AGGREGATE(15,3,(Garage!$H$1:$H$818=1)/(Garage!$H$1:$H$818=1)*ROW(Garage!$H$1:$H$818),ROWS($B$242:$B273))),"")</f>
        <v/>
      </c>
      <c r="C273" s="205" t="str" cm="1">
        <f t="array" ref="C273">IF(ROWS($B$242:$B273)&lt;=$J$242,INDEX(Garage!C:C,$H273) &amp; INDEX(Garage!S:S,$H273),"")</f>
        <v/>
      </c>
      <c r="D273" s="206" t="str">
        <f t="shared" si="32"/>
        <v/>
      </c>
      <c r="E273" s="206" t="str" cm="1">
        <f t="array" ref="E273">IF(ROWS($B$242:$B273)&lt;=$J$242,INDEX(Garage!K:K,_xlfn.AGGREGATE(15,3,(Garage!$H$1:$H$818=1)/(Garage!$H$1:$H$818=1)*ROW(Garage!$H$1:$H$818),ROWS($B$242:$B273))),"")</f>
        <v/>
      </c>
      <c r="F273" s="206" t="str" cm="1">
        <f t="array" ref="F273">IF(ROWS($B$242:$B273)&lt;=$J$242,INDEX(Garage!L:L,_xlfn.AGGREGATE(15,3,(Garage!$H$1:$H$818=1)/(Garage!$H$1:$H$818=1)*ROW(Garage!$H$1:$H$818),ROWS($B$242:$B273))),"")</f>
        <v/>
      </c>
      <c r="G273" s="206" t="str" cm="1">
        <f t="array" ref="G273">IF(ROWS($B$242:$B273)&lt;=$J$242,INDEX(Garage!M:M,_xlfn.AGGREGATE(15,3,(Garage!$H$1:$H$818=1)/(Garage!$H$1:$H$818=1)*ROW(Garage!$H$1:$H$818),ROWS($B$242:$B273))),"")</f>
        <v/>
      </c>
      <c r="H273" s="388" t="str" cm="1">
        <f t="array" ref="H273">IFERROR(_xlfn.AGGREGATE(15,3,(Garage!$H$1:$H$818=1)/(Garage!$H$1:$H$818=1)*ROW(Garage!$H$1:$H$818),ROWS($B$242:$B273)),"")</f>
        <v/>
      </c>
      <c r="I273" s="388"/>
    </row>
    <row r="274" spans="1:10" ht="30.15" customHeight="1" x14ac:dyDescent="0.25">
      <c r="A274" s="204" t="str">
        <f>VLOOKUP("Garage",Setting!$E$6:$H$33,4,FALSE)</f>
        <v>Garage</v>
      </c>
      <c r="B274" s="205" t="str" cm="1">
        <f t="array" ref="B274">IF(ROWS($B$242:$B274)&lt;=$J$242,INDEX(Garage!$R:$R,_xlfn.AGGREGATE(15,3,(Garage!$H$1:$H$818=1)/(Garage!$H$1:$H$818=1)*ROW(Garage!$H$1:$H$818),ROWS($B$242:$B274))),"")</f>
        <v/>
      </c>
      <c r="C274" s="205" t="str" cm="1">
        <f t="array" ref="C274">IF(ROWS($B$242:$B274)&lt;=$J$242,INDEX(Garage!C:C,$H274) &amp; INDEX(Garage!S:S,$H274),"")</f>
        <v/>
      </c>
      <c r="D274" s="206" t="str">
        <f t="shared" si="32"/>
        <v/>
      </c>
      <c r="E274" s="206" t="str" cm="1">
        <f t="array" ref="E274">IF(ROWS($B$242:$B274)&lt;=$J$242,INDEX(Garage!K:K,_xlfn.AGGREGATE(15,3,(Garage!$H$1:$H$818=1)/(Garage!$H$1:$H$818=1)*ROW(Garage!$H$1:$H$818),ROWS($B$242:$B274))),"")</f>
        <v/>
      </c>
      <c r="F274" s="206" t="str" cm="1">
        <f t="array" ref="F274">IF(ROWS($B$242:$B274)&lt;=$J$242,INDEX(Garage!L:L,_xlfn.AGGREGATE(15,3,(Garage!$H$1:$H$818=1)/(Garage!$H$1:$H$818=1)*ROW(Garage!$H$1:$H$818),ROWS($B$242:$B274))),"")</f>
        <v/>
      </c>
      <c r="G274" s="206" t="str" cm="1">
        <f t="array" ref="G274">IF(ROWS($B$242:$B274)&lt;=$J$242,INDEX(Garage!M:M,_xlfn.AGGREGATE(15,3,(Garage!$H$1:$H$818=1)/(Garage!$H$1:$H$818=1)*ROW(Garage!$H$1:$H$818),ROWS($B$242:$B274))),"")</f>
        <v/>
      </c>
      <c r="H274" s="388" t="str" cm="1">
        <f t="array" ref="H274">IFERROR(_xlfn.AGGREGATE(15,3,(Garage!$H$1:$H$818=1)/(Garage!$H$1:$H$818=1)*ROW(Garage!$H$1:$H$818),ROWS($B$242:$B274)),"")</f>
        <v/>
      </c>
      <c r="I274" s="388"/>
    </row>
    <row r="275" spans="1:10" ht="30.15" customHeight="1" x14ac:dyDescent="0.25">
      <c r="A275" s="204" t="str">
        <f>VLOOKUP("Garage",Setting!$E$6:$H$33,4,FALSE)</f>
        <v>Garage</v>
      </c>
      <c r="B275" s="205" t="str" cm="1">
        <f t="array" ref="B275">IF(ROWS($B$242:$B275)&lt;=$J$242,INDEX(Garage!$R:$R,_xlfn.AGGREGATE(15,3,(Garage!$H$1:$H$818=1)/(Garage!$H$1:$H$818=1)*ROW(Garage!$H$1:$H$818),ROWS($B$242:$B275))),"")</f>
        <v/>
      </c>
      <c r="C275" s="205" t="str" cm="1">
        <f t="array" ref="C275">IF(ROWS($B$242:$B275)&lt;=$J$242,INDEX(Garage!C:C,$H275) &amp; INDEX(Garage!S:S,$H275),"")</f>
        <v/>
      </c>
      <c r="D275" s="206" t="str">
        <f t="shared" si="32"/>
        <v/>
      </c>
      <c r="E275" s="206" t="str" cm="1">
        <f t="array" ref="E275">IF(ROWS($B$242:$B275)&lt;=$J$242,INDEX(Garage!K:K,_xlfn.AGGREGATE(15,3,(Garage!$H$1:$H$818=1)/(Garage!$H$1:$H$818=1)*ROW(Garage!$H$1:$H$818),ROWS($B$242:$B275))),"")</f>
        <v/>
      </c>
      <c r="F275" s="206" t="str" cm="1">
        <f t="array" ref="F275">IF(ROWS($B$242:$B275)&lt;=$J$242,INDEX(Garage!L:L,_xlfn.AGGREGATE(15,3,(Garage!$H$1:$H$818=1)/(Garage!$H$1:$H$818=1)*ROW(Garage!$H$1:$H$818),ROWS($B$242:$B275))),"")</f>
        <v/>
      </c>
      <c r="G275" s="206" t="str" cm="1">
        <f t="array" ref="G275">IF(ROWS($B$242:$B275)&lt;=$J$242,INDEX(Garage!M:M,_xlfn.AGGREGATE(15,3,(Garage!$H$1:$H$818=1)/(Garage!$H$1:$H$818=1)*ROW(Garage!$H$1:$H$818),ROWS($B$242:$B275))),"")</f>
        <v/>
      </c>
      <c r="H275" s="388" t="str" cm="1">
        <f t="array" ref="H275">IFERROR(_xlfn.AGGREGATE(15,3,(Garage!$H$1:$H$818=1)/(Garage!$H$1:$H$818=1)*ROW(Garage!$H$1:$H$818),ROWS($B$242:$B275)),"")</f>
        <v/>
      </c>
      <c r="I275" s="388"/>
    </row>
    <row r="276" spans="1:10" ht="30.15" customHeight="1" x14ac:dyDescent="0.25">
      <c r="A276" s="204" t="str">
        <f>VLOOKUP("Garage",Setting!$E$6:$H$33,4,FALSE)</f>
        <v>Garage</v>
      </c>
      <c r="B276" s="205" t="str" cm="1">
        <f t="array" ref="B276">IF(ROWS($B$242:$B276)&lt;=$J$242,INDEX(Garage!$R:$R,_xlfn.AGGREGATE(15,3,(Garage!$H$1:$H$818=1)/(Garage!$H$1:$H$818=1)*ROW(Garage!$H$1:$H$818),ROWS($B$242:$B276))),"")</f>
        <v/>
      </c>
      <c r="C276" s="205" t="str" cm="1">
        <f t="array" ref="C276">IF(ROWS($B$242:$B276)&lt;=$J$242,INDEX(Garage!C:C,$H276) &amp; INDEX(Garage!S:S,$H276),"")</f>
        <v/>
      </c>
      <c r="D276" s="206" t="str">
        <f t="shared" si="32"/>
        <v/>
      </c>
      <c r="E276" s="206" t="str" cm="1">
        <f t="array" ref="E276">IF(ROWS($B$242:$B276)&lt;=$J$242,INDEX(Garage!K:K,_xlfn.AGGREGATE(15,3,(Garage!$H$1:$H$818=1)/(Garage!$H$1:$H$818=1)*ROW(Garage!$H$1:$H$818),ROWS($B$242:$B276))),"")</f>
        <v/>
      </c>
      <c r="F276" s="206" t="str" cm="1">
        <f t="array" ref="F276">IF(ROWS($B$242:$B276)&lt;=$J$242,INDEX(Garage!L:L,_xlfn.AGGREGATE(15,3,(Garage!$H$1:$H$818=1)/(Garage!$H$1:$H$818=1)*ROW(Garage!$H$1:$H$818),ROWS($B$242:$B276))),"")</f>
        <v/>
      </c>
      <c r="G276" s="206" t="str" cm="1">
        <f t="array" ref="G276">IF(ROWS($B$242:$B276)&lt;=$J$242,INDEX(Garage!M:M,_xlfn.AGGREGATE(15,3,(Garage!$H$1:$H$818=1)/(Garage!$H$1:$H$818=1)*ROW(Garage!$H$1:$H$818),ROWS($B$242:$B276))),"")</f>
        <v/>
      </c>
      <c r="H276" s="388" t="str" cm="1">
        <f t="array" ref="H276">IFERROR(_xlfn.AGGREGATE(15,3,(Garage!$H$1:$H$818=1)/(Garage!$H$1:$H$818=1)*ROW(Garage!$H$1:$H$818),ROWS($B$242:$B276)),"")</f>
        <v/>
      </c>
      <c r="I276" s="388"/>
    </row>
    <row r="277" spans="1:10" ht="30.15" customHeight="1" x14ac:dyDescent="0.25">
      <c r="A277" s="204" t="str">
        <f>VLOOKUP("Garage",Setting!$E$6:$H$33,4,FALSE)</f>
        <v>Garage</v>
      </c>
      <c r="B277" s="205" t="str" cm="1">
        <f t="array" ref="B277">IF(ROWS($B$242:$B277)&lt;=$J$242,INDEX(Garage!$R:$R,_xlfn.AGGREGATE(15,3,(Garage!$H$1:$H$818=1)/(Garage!$H$1:$H$818=1)*ROW(Garage!$H$1:$H$818),ROWS($B$242:$B277))),"")</f>
        <v/>
      </c>
      <c r="C277" s="205" t="str" cm="1">
        <f t="array" ref="C277">IF(ROWS($B$242:$B277)&lt;=$J$242,INDEX(Garage!C:C,$H277) &amp; INDEX(Garage!S:S,$H277),"")</f>
        <v/>
      </c>
      <c r="D277" s="206" t="str">
        <f t="shared" si="32"/>
        <v/>
      </c>
      <c r="E277" s="206" t="str" cm="1">
        <f t="array" ref="E277">IF(ROWS($B$242:$B277)&lt;=$J$242,INDEX(Garage!K:K,_xlfn.AGGREGATE(15,3,(Garage!$H$1:$H$818=1)/(Garage!$H$1:$H$818=1)*ROW(Garage!$H$1:$H$818),ROWS($B$242:$B277))),"")</f>
        <v/>
      </c>
      <c r="F277" s="206" t="str" cm="1">
        <f t="array" ref="F277">IF(ROWS($B$242:$B277)&lt;=$J$242,INDEX(Garage!L:L,_xlfn.AGGREGATE(15,3,(Garage!$H$1:$H$818=1)/(Garage!$H$1:$H$818=1)*ROW(Garage!$H$1:$H$818),ROWS($B$242:$B277))),"")</f>
        <v/>
      </c>
      <c r="G277" s="206" t="str" cm="1">
        <f t="array" ref="G277">IF(ROWS($B$242:$B277)&lt;=$J$242,INDEX(Garage!M:M,_xlfn.AGGREGATE(15,3,(Garage!$H$1:$H$818=1)/(Garage!$H$1:$H$818=1)*ROW(Garage!$H$1:$H$818),ROWS($B$242:$B277))),"")</f>
        <v/>
      </c>
      <c r="H277" s="388" t="str" cm="1">
        <f t="array" ref="H277">IFERROR(_xlfn.AGGREGATE(15,3,(Garage!$H$1:$H$818=1)/(Garage!$H$1:$H$818=1)*ROW(Garage!$H$1:$H$818),ROWS($B$242:$B277)),"")</f>
        <v/>
      </c>
      <c r="I277" s="388"/>
    </row>
    <row r="278" spans="1:10" ht="30.15" customHeight="1" x14ac:dyDescent="0.25">
      <c r="A278" s="204" t="str">
        <f>VLOOKUP("Garage",Setting!$E$6:$H$33,4,FALSE)</f>
        <v>Garage</v>
      </c>
      <c r="B278" s="205" t="str" cm="1">
        <f t="array" ref="B278">IF(ROWS($B$242:$B278)&lt;=$J$242,INDEX(Garage!$R:$R,_xlfn.AGGREGATE(15,3,(Garage!$H$1:$H$818=1)/(Garage!$H$1:$H$818=1)*ROW(Garage!$H$1:$H$818),ROWS($B$242:$B278))),"")</f>
        <v/>
      </c>
      <c r="C278" s="205" t="str" cm="1">
        <f t="array" ref="C278">IF(ROWS($B$242:$B278)&lt;=$J$242,INDEX(Garage!C:C,$H278) &amp; INDEX(Garage!S:S,$H278),"")</f>
        <v/>
      </c>
      <c r="D278" s="206" t="str">
        <f t="shared" si="32"/>
        <v/>
      </c>
      <c r="E278" s="206" t="str" cm="1">
        <f t="array" ref="E278">IF(ROWS($B$242:$B278)&lt;=$J$242,INDEX(Garage!K:K,_xlfn.AGGREGATE(15,3,(Garage!$H$1:$H$818=1)/(Garage!$H$1:$H$818=1)*ROW(Garage!$H$1:$H$818),ROWS($B$242:$B278))),"")</f>
        <v/>
      </c>
      <c r="F278" s="206" t="str" cm="1">
        <f t="array" ref="F278">IF(ROWS($B$242:$B278)&lt;=$J$242,INDEX(Garage!L:L,_xlfn.AGGREGATE(15,3,(Garage!$H$1:$H$818=1)/(Garage!$H$1:$H$818=1)*ROW(Garage!$H$1:$H$818),ROWS($B$242:$B278))),"")</f>
        <v/>
      </c>
      <c r="G278" s="206" t="str" cm="1">
        <f t="array" ref="G278">IF(ROWS($B$242:$B278)&lt;=$J$242,INDEX(Garage!M:M,_xlfn.AGGREGATE(15,3,(Garage!$H$1:$H$818=1)/(Garage!$H$1:$H$818=1)*ROW(Garage!$H$1:$H$818),ROWS($B$242:$B278))),"")</f>
        <v/>
      </c>
      <c r="H278" s="388" t="str" cm="1">
        <f t="array" ref="H278">IFERROR(_xlfn.AGGREGATE(15,3,(Garage!$H$1:$H$818=1)/(Garage!$H$1:$H$818=1)*ROW(Garage!$H$1:$H$818),ROWS($B$242:$B278)),"")</f>
        <v/>
      </c>
      <c r="I278" s="388"/>
    </row>
    <row r="279" spans="1:10" ht="30.15" customHeight="1" x14ac:dyDescent="0.25">
      <c r="A279" s="204" t="str">
        <f>VLOOKUP("Garage",Setting!$E$6:$H$33,4,FALSE)</f>
        <v>Garage</v>
      </c>
      <c r="B279" s="205" t="str" cm="1">
        <f t="array" ref="B279">IF(ROWS($B$242:$B279)&lt;=$J$242,INDEX(Garage!$R:$R,_xlfn.AGGREGATE(15,3,(Garage!$H$1:$H$818=1)/(Garage!$H$1:$H$818=1)*ROW(Garage!$H$1:$H$818),ROWS($B$242:$B279))),"")</f>
        <v/>
      </c>
      <c r="C279" s="205" t="str" cm="1">
        <f t="array" ref="C279">IF(ROWS($B$242:$B279)&lt;=$J$242,INDEX(Garage!C:C,$H279) &amp; INDEX(Garage!S:S,$H279),"")</f>
        <v/>
      </c>
      <c r="D279" s="206" t="str">
        <f t="shared" si="32"/>
        <v/>
      </c>
      <c r="E279" s="206" t="str" cm="1">
        <f t="array" ref="E279">IF(ROWS($B$242:$B279)&lt;=$J$242,INDEX(Garage!K:K,_xlfn.AGGREGATE(15,3,(Garage!$H$1:$H$818=1)/(Garage!$H$1:$H$818=1)*ROW(Garage!$H$1:$H$818),ROWS($B$242:$B279))),"")</f>
        <v/>
      </c>
      <c r="F279" s="206" t="str" cm="1">
        <f t="array" ref="F279">IF(ROWS($B$242:$B279)&lt;=$J$242,INDEX(Garage!L:L,_xlfn.AGGREGATE(15,3,(Garage!$H$1:$H$818=1)/(Garage!$H$1:$H$818=1)*ROW(Garage!$H$1:$H$818),ROWS($B$242:$B279))),"")</f>
        <v/>
      </c>
      <c r="G279" s="206" t="str" cm="1">
        <f t="array" ref="G279">IF(ROWS($B$242:$B279)&lt;=$J$242,INDEX(Garage!M:M,_xlfn.AGGREGATE(15,3,(Garage!$H$1:$H$818=1)/(Garage!$H$1:$H$818=1)*ROW(Garage!$H$1:$H$818),ROWS($B$242:$B279))),"")</f>
        <v/>
      </c>
      <c r="H279" s="388" t="str" cm="1">
        <f t="array" ref="H279">IFERROR(_xlfn.AGGREGATE(15,3,(Garage!$H$1:$H$818=1)/(Garage!$H$1:$H$818=1)*ROW(Garage!$H$1:$H$818),ROWS($B$242:$B279)),"")</f>
        <v/>
      </c>
      <c r="I279" s="388"/>
    </row>
    <row r="280" spans="1:10" ht="30.15" customHeight="1" x14ac:dyDescent="0.25">
      <c r="A280" s="204" t="str">
        <f>VLOOKUP("Garage",Setting!$E$6:$H$33,4,FALSE)</f>
        <v>Garage</v>
      </c>
      <c r="B280" s="205" t="str" cm="1">
        <f t="array" ref="B280">IF(ROWS($B$242:$B280)&lt;=$J$242,INDEX(Garage!$R:$R,_xlfn.AGGREGATE(15,3,(Garage!$H$1:$H$818=1)/(Garage!$H$1:$H$818=1)*ROW(Garage!$H$1:$H$818),ROWS($B$242:$B280))),"")</f>
        <v/>
      </c>
      <c r="C280" s="205" t="str" cm="1">
        <f t="array" ref="C280">IF(ROWS($B$242:$B280)&lt;=$J$242,INDEX(Garage!C:C,$H280) &amp; INDEX(Garage!S:S,$H280),"")</f>
        <v/>
      </c>
      <c r="D280" s="206" t="str">
        <f t="shared" si="32"/>
        <v/>
      </c>
      <c r="E280" s="206" t="str" cm="1">
        <f t="array" ref="E280">IF(ROWS($B$242:$B280)&lt;=$J$242,INDEX(Garage!K:K,_xlfn.AGGREGATE(15,3,(Garage!$H$1:$H$818=1)/(Garage!$H$1:$H$818=1)*ROW(Garage!$H$1:$H$818),ROWS($B$242:$B280))),"")</f>
        <v/>
      </c>
      <c r="F280" s="206" t="str" cm="1">
        <f t="array" ref="F280">IF(ROWS($B$242:$B280)&lt;=$J$242,INDEX(Garage!L:L,_xlfn.AGGREGATE(15,3,(Garage!$H$1:$H$818=1)/(Garage!$H$1:$H$818=1)*ROW(Garage!$H$1:$H$818),ROWS($B$242:$B280))),"")</f>
        <v/>
      </c>
      <c r="G280" s="206" t="str" cm="1">
        <f t="array" ref="G280">IF(ROWS($B$242:$B280)&lt;=$J$242,INDEX(Garage!M:M,_xlfn.AGGREGATE(15,3,(Garage!$H$1:$H$818=1)/(Garage!$H$1:$H$818=1)*ROW(Garage!$H$1:$H$818),ROWS($B$242:$B280))),"")</f>
        <v/>
      </c>
      <c r="H280" s="388" t="str" cm="1">
        <f t="array" ref="H280">IFERROR(_xlfn.AGGREGATE(15,3,(Garage!$H$1:$H$818=1)/(Garage!$H$1:$H$818=1)*ROW(Garage!$H$1:$H$818),ROWS($B$242:$B280)),"")</f>
        <v/>
      </c>
      <c r="I280" s="388"/>
    </row>
    <row r="281" spans="1:10" ht="30.15" customHeight="1" x14ac:dyDescent="0.25">
      <c r="A281" s="204" t="str">
        <f>VLOOKUP("Garage",Setting!$E$6:$H$33,4,FALSE)</f>
        <v>Garage</v>
      </c>
      <c r="B281" s="205" t="str" cm="1">
        <f t="array" ref="B281">IF(ROWS($B$242:$B281)&lt;=$J$242,INDEX(Garage!$R:$R,_xlfn.AGGREGATE(15,3,(Garage!$H$1:$H$818=1)/(Garage!$H$1:$H$818=1)*ROW(Garage!$H$1:$H$818),ROWS($B$242:$B281))),"")</f>
        <v/>
      </c>
      <c r="C281" s="205" t="str" cm="1">
        <f t="array" ref="C281">IF(ROWS($B$242:$B281)&lt;=$J$242,INDEX(Garage!C:C,$H281) &amp; INDEX(Garage!S:S,$H281),"")</f>
        <v/>
      </c>
      <c r="D281" s="206" t="str">
        <f t="shared" si="32"/>
        <v/>
      </c>
      <c r="E281" s="206" t="str" cm="1">
        <f t="array" ref="E281">IF(ROWS($B$242:$B281)&lt;=$J$242,INDEX(Garage!K:K,_xlfn.AGGREGATE(15,3,(Garage!$H$1:$H$818=1)/(Garage!$H$1:$H$818=1)*ROW(Garage!$H$1:$H$818),ROWS($B$242:$B281))),"")</f>
        <v/>
      </c>
      <c r="F281" s="206" t="str" cm="1">
        <f t="array" ref="F281">IF(ROWS($B$242:$B281)&lt;=$J$242,INDEX(Garage!L:L,_xlfn.AGGREGATE(15,3,(Garage!$H$1:$H$818=1)/(Garage!$H$1:$H$818=1)*ROW(Garage!$H$1:$H$818),ROWS($B$242:$B281))),"")</f>
        <v/>
      </c>
      <c r="G281" s="206" t="str" cm="1">
        <f t="array" ref="G281">IF(ROWS($B$242:$B281)&lt;=$J$242,INDEX(Garage!M:M,_xlfn.AGGREGATE(15,3,(Garage!$H$1:$H$818=1)/(Garage!$H$1:$H$818=1)*ROW(Garage!$H$1:$H$818),ROWS($B$242:$B281))),"")</f>
        <v/>
      </c>
      <c r="H281" s="388" t="str" cm="1">
        <f t="array" ref="H281">IFERROR(_xlfn.AGGREGATE(15,3,(Garage!$H$1:$H$818=1)/(Garage!$H$1:$H$818=1)*ROW(Garage!$H$1:$H$818),ROWS($B$242:$B281)),"")</f>
        <v/>
      </c>
      <c r="I281" s="388"/>
    </row>
    <row r="282" spans="1:10" ht="30.15" customHeight="1" x14ac:dyDescent="0.25">
      <c r="A282" s="269" t="str">
        <f>IF(LEN(B282)&gt;0,B282,VLOOKUP("User-Defined",Setting!$E$6:$H$33,4,FALSE))</f>
        <v>User-Defined</v>
      </c>
      <c r="B282" s="205" t="str" cm="1">
        <f t="array" ref="B282">IF(ROWS($B$282:$B282)&lt;=$J$282,INDEX('User-Defined'!$S:$S,_xlfn.AGGREGATE(15,3,('User-Defined'!$I$1:$I$205=1)/('User-Defined'!$I$1:$I$205=1)*ROW('User-Defined'!$I$1:$I$205),ROWS($B$282:$B282))),"")</f>
        <v/>
      </c>
      <c r="C282" s="205" t="str" cm="1">
        <f t="array" ref="C282">IF(ROWS($B$282:$B282)&lt;=$J$282,INDEX('User-Defined'!D:D,_xlfn.AGGREGATE(15,3,('User-Defined'!$I$1:$I$205=1)/('User-Defined'!$I$1:$I$205=1)*ROW('User-Defined'!$I$1:$I$205),ROWS($B$282:$B282))),"")</f>
        <v/>
      </c>
      <c r="D282" s="206" t="str">
        <f t="shared" si="30"/>
        <v/>
      </c>
      <c r="E282" s="206" t="str" cm="1">
        <f t="array" ref="E282">IF(ROWS($B$282:$B282)&lt;=$J$282,INDEX('User-Defined'!L:L,_xlfn.AGGREGATE(15,3,('User-Defined'!$I$1:$I$205=1)/('User-Defined'!$I$1:$I$205=1)*ROW('User-Defined'!$I$1:$I$205),ROWS($B$282:$B282))),"")</f>
        <v/>
      </c>
      <c r="F282" s="206" t="str" cm="1">
        <f t="array" ref="F282">IF(ROWS($B$282:$B282)&lt;=$J$282,INDEX('User-Defined'!M:M,_xlfn.AGGREGATE(15,3,('User-Defined'!$I$1:$I$205=1)/('User-Defined'!$I$1:$I$205=1)*ROW('User-Defined'!$I$1:$I$205),ROWS($B$282:$B282))),"")</f>
        <v/>
      </c>
      <c r="G282" s="206" t="str" cm="1">
        <f t="array" ref="G282">IF(ROWS($B$282:$B282)&lt;=$J$282,INDEX('User-Defined'!N:N,_xlfn.AGGREGATE(15,3,('User-Defined'!$I$1:$I$205=1)/('User-Defined'!$I$1:$I$205=1)*ROW('User-Defined'!$I$1:$I$205),ROWS($B$282:$B282))),"")</f>
        <v/>
      </c>
      <c r="H282" s="388" t="str" cm="1">
        <f t="array" ref="H282">IFERROR(_xlfn.AGGREGATE(15,3,('User-Defined'!$I$1:$I$205=1)/('User-Defined'!$I$1:$I$205=1)*ROW('User-Defined'!$I$1:$I$205),ROWS($B$282:$B282)),"")</f>
        <v/>
      </c>
      <c r="I282" s="388" t="str" cm="1">
        <f t="array" ref="I282">IF(ROWS($B$282:$B282)&lt;=$J$282,ROUND(INDEX('User-Defined'!D:D,H282),1)  &amp; " " &amp; INDEX('User-Defined'!E:E,H282),"")</f>
        <v/>
      </c>
      <c r="J282" s="207">
        <f>COUNTIF('User-Defined'!$I$1:$I$504,1)</f>
        <v>0</v>
      </c>
    </row>
    <row r="283" spans="1:10" ht="30.15" customHeight="1" x14ac:dyDescent="0.25">
      <c r="A283" s="269" t="str">
        <f>IF(LEN(B283)&gt;0,B283,VLOOKUP("User-Defined",Setting!$E$6:$H$33,4,FALSE))</f>
        <v>User-Defined</v>
      </c>
      <c r="B283" s="205" t="str" cm="1">
        <f t="array" ref="B283">IF(ROWS($B$282:$B283)&lt;=$J$282,INDEX('User-Defined'!$S:$S,_xlfn.AGGREGATE(15,3,('User-Defined'!$I$1:$I$205=1)/('User-Defined'!$I$1:$I$205=1)*ROW('User-Defined'!$I$1:$I$205),ROWS($B$282:$B283))),"")</f>
        <v/>
      </c>
      <c r="C283" s="205" t="str" cm="1">
        <f t="array" ref="C283">IF(ROWS($B$282:$B283)&lt;=$J$282,INDEX('User-Defined'!D:D,_xlfn.AGGREGATE(15,3,('User-Defined'!$I$1:$I$205=1)/('User-Defined'!$I$1:$I$205=1)*ROW('User-Defined'!$I$1:$I$205),ROWS($B$282:$B283))),"")</f>
        <v/>
      </c>
      <c r="D283" s="206" t="str">
        <f>IFERROR(E283-F283,"")</f>
        <v/>
      </c>
      <c r="E283" s="206" t="str" cm="1">
        <f t="array" ref="E283">IF(ROWS($B$282:$B283)&lt;=$J$282,INDEX('User-Defined'!L:L,_xlfn.AGGREGATE(15,3,('User-Defined'!$I$1:$I$205=1)/('User-Defined'!$I$1:$I$205=1)*ROW('User-Defined'!$I$1:$I$205),ROWS($B$282:$B283))),"")</f>
        <v/>
      </c>
      <c r="F283" s="206" t="str" cm="1">
        <f t="array" ref="F283">IF(ROWS($B$282:$B283)&lt;=$J$282,INDEX('User-Defined'!M:M,_xlfn.AGGREGATE(15,3,('User-Defined'!$I$1:$I$205=1)/('User-Defined'!$I$1:$I$205=1)*ROW('User-Defined'!$I$1:$I$205),ROWS($B$282:$B283))),"")</f>
        <v/>
      </c>
      <c r="G283" s="206" t="str" cm="1">
        <f t="array" ref="G283">IF(ROWS($B$282:$B283)&lt;=$J$282,INDEX('User-Defined'!N:N,_xlfn.AGGREGATE(15,3,('User-Defined'!$I$1:$I$205=1)/('User-Defined'!$I$1:$I$205=1)*ROW('User-Defined'!$I$1:$I$205),ROWS($B$282:$B283))),"")</f>
        <v/>
      </c>
      <c r="H283" s="388" t="str" cm="1">
        <f t="array" ref="H283">IFERROR(_xlfn.AGGREGATE(15,3,('User-Defined'!$I$1:$I$205=1)/('User-Defined'!$I$1:$I$205=1)*ROW('User-Defined'!$I$1:$I$205),ROWS($B$282:$B283)),"")</f>
        <v/>
      </c>
      <c r="I283" s="388" t="str" cm="1">
        <f t="array" ref="I283">IF(ROWS($B$282:$B283)&lt;=$J$282,ROUND(INDEX('User-Defined'!D:D,H283),1)  &amp; " " &amp; INDEX('User-Defined'!E:E,H283),"")</f>
        <v/>
      </c>
      <c r="J283" s="268"/>
    </row>
    <row r="284" spans="1:10" ht="30.15" customHeight="1" x14ac:dyDescent="0.25">
      <c r="A284" s="269" t="str">
        <f>IF(LEN(B284)&gt;0,B284,VLOOKUP("User-Defined",Setting!$E$6:$H$33,4,FALSE))</f>
        <v>User-Defined</v>
      </c>
      <c r="B284" s="205" t="str" cm="1">
        <f t="array" ref="B284">IF(ROWS($B$282:$B284)&lt;=$J$282,INDEX('User-Defined'!$S:$S,_xlfn.AGGREGATE(15,3,('User-Defined'!$I$1:$I$205=1)/('User-Defined'!$I$1:$I$205=1)*ROW('User-Defined'!$I$1:$I$205),ROWS($B$282:$B284))),"")</f>
        <v/>
      </c>
      <c r="C284" s="205" t="str" cm="1">
        <f t="array" ref="C284">IF(ROWS($B$282:$B284)&lt;=$J$282,INDEX('User-Defined'!D:D,_xlfn.AGGREGATE(15,3,('User-Defined'!$I$1:$I$205=1)/('User-Defined'!$I$1:$I$205=1)*ROW('User-Defined'!$I$1:$I$205),ROWS($B$282:$B284))),"")</f>
        <v/>
      </c>
      <c r="D284" s="206" t="str">
        <f>IFERROR(E284-F284,"")</f>
        <v/>
      </c>
      <c r="E284" s="206" t="str" cm="1">
        <f t="array" ref="E284">IF(ROWS($B$282:$B284)&lt;=$J$282,INDEX('User-Defined'!L:L,_xlfn.AGGREGATE(15,3,('User-Defined'!$I$1:$I$205=1)/('User-Defined'!$I$1:$I$205=1)*ROW('User-Defined'!$I$1:$I$205),ROWS($B$282:$B284))),"")</f>
        <v/>
      </c>
      <c r="F284" s="206" t="str" cm="1">
        <f t="array" ref="F284">IF(ROWS($B$282:$B284)&lt;=$J$282,INDEX('User-Defined'!M:M,_xlfn.AGGREGATE(15,3,('User-Defined'!$I$1:$I$205=1)/('User-Defined'!$I$1:$I$205=1)*ROW('User-Defined'!$I$1:$I$205),ROWS($B$282:$B284))),"")</f>
        <v/>
      </c>
      <c r="G284" s="206" t="str" cm="1">
        <f t="array" ref="G284">IF(ROWS($B$282:$B284)&lt;=$J$282,INDEX('User-Defined'!N:N,_xlfn.AGGREGATE(15,3,('User-Defined'!$I$1:$I$205=1)/('User-Defined'!$I$1:$I$205=1)*ROW('User-Defined'!$I$1:$I$205),ROWS($B$282:$B284))),"")</f>
        <v/>
      </c>
      <c r="H284" s="388" t="str" cm="1">
        <f t="array" ref="H284">IFERROR(_xlfn.AGGREGATE(15,3,('User-Defined'!$I$1:$I$205=1)/('User-Defined'!$I$1:$I$205=1)*ROW('User-Defined'!$I$1:$I$205),ROWS($B$282:$B284)),"")</f>
        <v/>
      </c>
      <c r="I284" s="388" t="str" cm="1">
        <f t="array" ref="I284">IF(ROWS($B$282:$B284)&lt;=$J$282,ROUND(INDEX('User-Defined'!D:D,H284),1)  &amp; " " &amp; INDEX('User-Defined'!E:E,H284),"")</f>
        <v/>
      </c>
      <c r="J284" s="268"/>
    </row>
    <row r="285" spans="1:10" ht="30.15" customHeight="1" x14ac:dyDescent="0.25">
      <c r="A285" s="269" t="str">
        <f>IF(LEN(B285)&gt;0,B285,VLOOKUP("User-Defined",Setting!$E$6:$H$33,4,FALSE))</f>
        <v>User-Defined</v>
      </c>
      <c r="B285" s="205" t="str" cm="1">
        <f t="array" ref="B285">IF(ROWS($B$282:$B285)&lt;=$J$282,INDEX('User-Defined'!$S:$S,_xlfn.AGGREGATE(15,3,('User-Defined'!$I$1:$I$205=1)/('User-Defined'!$I$1:$I$205=1)*ROW('User-Defined'!$I$1:$I$205),ROWS($B$282:$B285))),"")</f>
        <v/>
      </c>
      <c r="C285" s="205" t="str" cm="1">
        <f t="array" ref="C285">IF(ROWS($B$282:$B285)&lt;=$J$282,INDEX('User-Defined'!D:D,_xlfn.AGGREGATE(15,3,('User-Defined'!$I$1:$I$205=1)/('User-Defined'!$I$1:$I$205=1)*ROW('User-Defined'!$I$1:$I$205),ROWS($B$282:$B285))),"")</f>
        <v/>
      </c>
      <c r="D285" s="206" t="str">
        <f>IFERROR(E285-F285,"")</f>
        <v/>
      </c>
      <c r="E285" s="206" t="str" cm="1">
        <f t="array" ref="E285">IF(ROWS($B$282:$B285)&lt;=$J$282,INDEX('User-Defined'!L:L,_xlfn.AGGREGATE(15,3,('User-Defined'!$I$1:$I$205=1)/('User-Defined'!$I$1:$I$205=1)*ROW('User-Defined'!$I$1:$I$205),ROWS($B$282:$B285))),"")</f>
        <v/>
      </c>
      <c r="F285" s="206" t="str" cm="1">
        <f t="array" ref="F285">IF(ROWS($B$282:$B285)&lt;=$J$282,INDEX('User-Defined'!M:M,_xlfn.AGGREGATE(15,3,('User-Defined'!$I$1:$I$205=1)/('User-Defined'!$I$1:$I$205=1)*ROW('User-Defined'!$I$1:$I$205),ROWS($B$282:$B285))),"")</f>
        <v/>
      </c>
      <c r="G285" s="206" t="str" cm="1">
        <f t="array" ref="G285">IF(ROWS($B$282:$B285)&lt;=$J$282,INDEX('User-Defined'!N:N,_xlfn.AGGREGATE(15,3,('User-Defined'!$I$1:$I$205=1)/('User-Defined'!$I$1:$I$205=1)*ROW('User-Defined'!$I$1:$I$205),ROWS($B$282:$B285))),"")</f>
        <v/>
      </c>
      <c r="H285" s="388" t="str" cm="1">
        <f t="array" ref="H285">IFERROR(_xlfn.AGGREGATE(15,3,('User-Defined'!$I$1:$I$205=1)/('User-Defined'!$I$1:$I$205=1)*ROW('User-Defined'!$I$1:$I$205),ROWS($B$282:$B285)),"")</f>
        <v/>
      </c>
      <c r="I285" s="388" t="str" cm="1">
        <f t="array" ref="I285">IF(ROWS($B$282:$B285)&lt;=$J$282,ROUND(INDEX('User-Defined'!D:D,H285),1)  &amp; " " &amp; INDEX('User-Defined'!E:E,H285),"")</f>
        <v/>
      </c>
      <c r="J285" s="268"/>
    </row>
    <row r="286" spans="1:10" ht="30.15" customHeight="1" x14ac:dyDescent="0.25">
      <c r="A286" s="269" t="str">
        <f>IF(LEN(B286)&gt;0,B286,VLOOKUP("User-Defined",Setting!$E$6:$H$33,4,FALSE))</f>
        <v>User-Defined</v>
      </c>
      <c r="B286" s="205" t="str" cm="1">
        <f t="array" ref="B286">IF(ROWS($B$282:$B286)&lt;=$J$282,INDEX('User-Defined'!$S:$S,_xlfn.AGGREGATE(15,3,('User-Defined'!$I$1:$I$205=1)/('User-Defined'!$I$1:$I$205=1)*ROW('User-Defined'!$I$1:$I$205),ROWS($B$282:$B286))),"")</f>
        <v/>
      </c>
      <c r="C286" s="205" t="str" cm="1">
        <f t="array" ref="C286">IF(ROWS($B$282:$B286)&lt;=$J$282,INDEX('User-Defined'!D:D,_xlfn.AGGREGATE(15,3,('User-Defined'!$I$1:$I$205=1)/('User-Defined'!$I$1:$I$205=1)*ROW('User-Defined'!$I$1:$I$205),ROWS($B$282:$B286))),"")</f>
        <v/>
      </c>
      <c r="D286" s="206" t="str">
        <f>IFERROR(E286-F286,"")</f>
        <v/>
      </c>
      <c r="E286" s="206" t="str" cm="1">
        <f t="array" ref="E286">IF(ROWS($B$282:$B286)&lt;=$J$282,INDEX('User-Defined'!L:L,_xlfn.AGGREGATE(15,3,('User-Defined'!$I$1:$I$205=1)/('User-Defined'!$I$1:$I$205=1)*ROW('User-Defined'!$I$1:$I$205),ROWS($B$282:$B286))),"")</f>
        <v/>
      </c>
      <c r="F286" s="206" t="str" cm="1">
        <f t="array" ref="F286">IF(ROWS($B$282:$B286)&lt;=$J$282,INDEX('User-Defined'!M:M,_xlfn.AGGREGATE(15,3,('User-Defined'!$I$1:$I$205=1)/('User-Defined'!$I$1:$I$205=1)*ROW('User-Defined'!$I$1:$I$205),ROWS($B$282:$B286))),"")</f>
        <v/>
      </c>
      <c r="G286" s="206" t="str" cm="1">
        <f t="array" ref="G286">IF(ROWS($B$282:$B286)&lt;=$J$282,INDEX('User-Defined'!N:N,_xlfn.AGGREGATE(15,3,('User-Defined'!$I$1:$I$205=1)/('User-Defined'!$I$1:$I$205=1)*ROW('User-Defined'!$I$1:$I$205),ROWS($B$282:$B286))),"")</f>
        <v/>
      </c>
      <c r="H286" s="388" t="str" cm="1">
        <f t="array" ref="H286">IFERROR(_xlfn.AGGREGATE(15,3,('User-Defined'!$I$1:$I$205=1)/('User-Defined'!$I$1:$I$205=1)*ROW('User-Defined'!$I$1:$I$205),ROWS($B$282:$B286)),"")</f>
        <v/>
      </c>
      <c r="I286" s="388" t="str" cm="1">
        <f t="array" ref="I286">IF(ROWS($B$282:$B286)&lt;=$J$282,ROUND(INDEX('User-Defined'!D:D,H286),1)  &amp; " " &amp; INDEX('User-Defined'!E:E,H286),"")</f>
        <v/>
      </c>
      <c r="J286" s="268"/>
    </row>
    <row r="287" spans="1:10" ht="30.15" customHeight="1" x14ac:dyDescent="0.25">
      <c r="A287" s="269" t="str">
        <f>IF(LEN(B287)&gt;0,B287,VLOOKUP("User-Defined",Setting!$E$6:$H$33,4,FALSE))</f>
        <v>User-Defined</v>
      </c>
      <c r="B287" s="205" t="str" cm="1">
        <f t="array" ref="B287">IF(ROWS($B$282:$B287)&lt;=$J$282,INDEX('User-Defined'!$S:$S,_xlfn.AGGREGATE(15,3,('User-Defined'!$I$1:$I$205=1)/('User-Defined'!$I$1:$I$205=1)*ROW('User-Defined'!$I$1:$I$205),ROWS($B$282:$B287))),"")</f>
        <v/>
      </c>
      <c r="C287" s="205" t="str" cm="1">
        <f t="array" ref="C287">IF(ROWS($B$282:$B287)&lt;=$J$282,INDEX('User-Defined'!D:D,_xlfn.AGGREGATE(15,3,('User-Defined'!$I$1:$I$205=1)/('User-Defined'!$I$1:$I$205=1)*ROW('User-Defined'!$I$1:$I$205),ROWS($B$282:$B287))),"")</f>
        <v/>
      </c>
      <c r="D287" s="206" t="str">
        <f t="shared" ref="D287:D300" si="33">IFERROR(E287-F287,"")</f>
        <v/>
      </c>
      <c r="E287" s="206" t="str" cm="1">
        <f t="array" ref="E287">IF(ROWS($B$282:$B287)&lt;=$J$282,INDEX('User-Defined'!L:L,_xlfn.AGGREGATE(15,3,('User-Defined'!$I$1:$I$205=1)/('User-Defined'!$I$1:$I$205=1)*ROW('User-Defined'!$I$1:$I$205),ROWS($B$282:$B287))),"")</f>
        <v/>
      </c>
      <c r="F287" s="206" t="str" cm="1">
        <f t="array" ref="F287">IF(ROWS($B$282:$B287)&lt;=$J$282,INDEX('User-Defined'!M:M,_xlfn.AGGREGATE(15,3,('User-Defined'!$I$1:$I$205=1)/('User-Defined'!$I$1:$I$205=1)*ROW('User-Defined'!$I$1:$I$205),ROWS($B$282:$B287))),"")</f>
        <v/>
      </c>
      <c r="G287" s="206" t="str" cm="1">
        <f t="array" ref="G287">IF(ROWS($B$282:$B287)&lt;=$J$282,INDEX('User-Defined'!N:N,_xlfn.AGGREGATE(15,3,('User-Defined'!$I$1:$I$205=1)/('User-Defined'!$I$1:$I$205=1)*ROW('User-Defined'!$I$1:$I$205),ROWS($B$282:$B287))),"")</f>
        <v/>
      </c>
      <c r="H287" s="388" t="str" cm="1">
        <f t="array" ref="H287">IFERROR(_xlfn.AGGREGATE(15,3,('User-Defined'!$I$1:$I$205=1)/('User-Defined'!$I$1:$I$205=1)*ROW('User-Defined'!$I$1:$I$205),ROWS($B$282:$B287)),"")</f>
        <v/>
      </c>
      <c r="I287" s="388" t="str" cm="1">
        <f t="array" ref="I287">IF(ROWS($B$282:$B287)&lt;=$J$282,ROUND(INDEX('User-Defined'!D:D,H287),1)  &amp; " " &amp; INDEX('User-Defined'!E:E,H287),"")</f>
        <v/>
      </c>
      <c r="J287" s="268"/>
    </row>
    <row r="288" spans="1:10" ht="30.15" customHeight="1" x14ac:dyDescent="0.25">
      <c r="A288" s="269" t="str">
        <f>IF(LEN(B288)&gt;0,B288,VLOOKUP("User-Defined",Setting!$E$6:$H$33,4,FALSE))</f>
        <v>User-Defined</v>
      </c>
      <c r="B288" s="205" t="str" cm="1">
        <f t="array" ref="B288">IF(ROWS($B$282:$B288)&lt;=$J$282,INDEX('User-Defined'!$S:$S,_xlfn.AGGREGATE(15,3,('User-Defined'!$I$1:$I$205=1)/('User-Defined'!$I$1:$I$205=1)*ROW('User-Defined'!$I$1:$I$205),ROWS($B$282:$B288))),"")</f>
        <v/>
      </c>
      <c r="C288" s="205" t="str" cm="1">
        <f t="array" ref="C288">IF(ROWS($B$282:$B288)&lt;=$J$282,INDEX('User-Defined'!D:D,_xlfn.AGGREGATE(15,3,('User-Defined'!$I$1:$I$205=1)/('User-Defined'!$I$1:$I$205=1)*ROW('User-Defined'!$I$1:$I$205),ROWS($B$282:$B288))),"")</f>
        <v/>
      </c>
      <c r="D288" s="206" t="str">
        <f t="shared" si="33"/>
        <v/>
      </c>
      <c r="E288" s="206" t="str" cm="1">
        <f t="array" ref="E288">IF(ROWS($B$282:$B288)&lt;=$J$282,INDEX('User-Defined'!L:L,_xlfn.AGGREGATE(15,3,('User-Defined'!$I$1:$I$205=1)/('User-Defined'!$I$1:$I$205=1)*ROW('User-Defined'!$I$1:$I$205),ROWS($B$282:$B288))),"")</f>
        <v/>
      </c>
      <c r="F288" s="206" t="str" cm="1">
        <f t="array" ref="F288">IF(ROWS($B$282:$B288)&lt;=$J$282,INDEX('User-Defined'!M:M,_xlfn.AGGREGATE(15,3,('User-Defined'!$I$1:$I$205=1)/('User-Defined'!$I$1:$I$205=1)*ROW('User-Defined'!$I$1:$I$205),ROWS($B$282:$B288))),"")</f>
        <v/>
      </c>
      <c r="G288" s="206" t="str" cm="1">
        <f t="array" ref="G288">IF(ROWS($B$282:$B288)&lt;=$J$282,INDEX('User-Defined'!N:N,_xlfn.AGGREGATE(15,3,('User-Defined'!$I$1:$I$205=1)/('User-Defined'!$I$1:$I$205=1)*ROW('User-Defined'!$I$1:$I$205),ROWS($B$282:$B288))),"")</f>
        <v/>
      </c>
      <c r="H288" s="388" t="str" cm="1">
        <f t="array" ref="H288">IFERROR(_xlfn.AGGREGATE(15,3,('User-Defined'!$I$1:$I$205=1)/('User-Defined'!$I$1:$I$205=1)*ROW('User-Defined'!$I$1:$I$205),ROWS($B$282:$B288)),"")</f>
        <v/>
      </c>
      <c r="I288" s="388" t="str" cm="1">
        <f t="array" ref="I288">IF(ROWS($B$282:$B288)&lt;=$J$282,ROUND(INDEX('User-Defined'!D:D,H288),1)  &amp; " " &amp; INDEX('User-Defined'!E:E,H288),"")</f>
        <v/>
      </c>
      <c r="J288" s="268"/>
    </row>
    <row r="289" spans="1:10" ht="30.15" customHeight="1" x14ac:dyDescent="0.25">
      <c r="A289" s="269" t="str">
        <f>IF(LEN(B289)&gt;0,B289,VLOOKUP("User-Defined",Setting!$E$6:$H$33,4,FALSE))</f>
        <v>User-Defined</v>
      </c>
      <c r="B289" s="205" t="str" cm="1">
        <f t="array" ref="B289">IF(ROWS($B$282:$B289)&lt;=$J$282,INDEX('User-Defined'!$S:$S,_xlfn.AGGREGATE(15,3,('User-Defined'!$I$1:$I$205=1)/('User-Defined'!$I$1:$I$205=1)*ROW('User-Defined'!$I$1:$I$205),ROWS($B$282:$B289))),"")</f>
        <v/>
      </c>
      <c r="C289" s="205" t="str" cm="1">
        <f t="array" ref="C289">IF(ROWS($B$282:$B289)&lt;=$J$282,INDEX('User-Defined'!D:D,_xlfn.AGGREGATE(15,3,('User-Defined'!$I$1:$I$205=1)/('User-Defined'!$I$1:$I$205=1)*ROW('User-Defined'!$I$1:$I$205),ROWS($B$282:$B289))),"")</f>
        <v/>
      </c>
      <c r="D289" s="206" t="str">
        <f t="shared" si="33"/>
        <v/>
      </c>
      <c r="E289" s="206" t="str" cm="1">
        <f t="array" ref="E289">IF(ROWS($B$282:$B289)&lt;=$J$282,INDEX('User-Defined'!L:L,_xlfn.AGGREGATE(15,3,('User-Defined'!$I$1:$I$205=1)/('User-Defined'!$I$1:$I$205=1)*ROW('User-Defined'!$I$1:$I$205),ROWS($B$282:$B289))),"")</f>
        <v/>
      </c>
      <c r="F289" s="206" t="str" cm="1">
        <f t="array" ref="F289">IF(ROWS($B$282:$B289)&lt;=$J$282,INDEX('User-Defined'!M:M,_xlfn.AGGREGATE(15,3,('User-Defined'!$I$1:$I$205=1)/('User-Defined'!$I$1:$I$205=1)*ROW('User-Defined'!$I$1:$I$205),ROWS($B$282:$B289))),"")</f>
        <v/>
      </c>
      <c r="G289" s="206" t="str" cm="1">
        <f t="array" ref="G289">IF(ROWS($B$282:$B289)&lt;=$J$282,INDEX('User-Defined'!N:N,_xlfn.AGGREGATE(15,3,('User-Defined'!$I$1:$I$205=1)/('User-Defined'!$I$1:$I$205=1)*ROW('User-Defined'!$I$1:$I$205),ROWS($B$282:$B289))),"")</f>
        <v/>
      </c>
      <c r="H289" s="388" t="str" cm="1">
        <f t="array" ref="H289">IFERROR(_xlfn.AGGREGATE(15,3,('User-Defined'!$I$1:$I$205=1)/('User-Defined'!$I$1:$I$205=1)*ROW('User-Defined'!$I$1:$I$205),ROWS($B$282:$B289)),"")</f>
        <v/>
      </c>
      <c r="I289" s="388" t="str" cm="1">
        <f t="array" ref="I289">IF(ROWS($B$282:$B289)&lt;=$J$282,ROUND(INDEX('User-Defined'!D:D,H289),1)  &amp; " " &amp; INDEX('User-Defined'!E:E,H289),"")</f>
        <v/>
      </c>
      <c r="J289" s="268"/>
    </row>
    <row r="290" spans="1:10" ht="30.15" customHeight="1" x14ac:dyDescent="0.25">
      <c r="A290" s="269" t="str">
        <f>IF(LEN(B290)&gt;0,B290,VLOOKUP("User-Defined",Setting!$E$6:$H$33,4,FALSE))</f>
        <v>User-Defined</v>
      </c>
      <c r="B290" s="205" t="str" cm="1">
        <f t="array" ref="B290">IF(ROWS($B$282:$B290)&lt;=$J$282,INDEX('User-Defined'!$S:$S,_xlfn.AGGREGATE(15,3,('User-Defined'!$I$1:$I$205=1)/('User-Defined'!$I$1:$I$205=1)*ROW('User-Defined'!$I$1:$I$205),ROWS($B$282:$B290))),"")</f>
        <v/>
      </c>
      <c r="C290" s="205" t="str" cm="1">
        <f t="array" ref="C290">IF(ROWS($B$282:$B290)&lt;=$J$282,INDEX('User-Defined'!D:D,_xlfn.AGGREGATE(15,3,('User-Defined'!$I$1:$I$205=1)/('User-Defined'!$I$1:$I$205=1)*ROW('User-Defined'!$I$1:$I$205),ROWS($B$282:$B290))),"")</f>
        <v/>
      </c>
      <c r="D290" s="206" t="str">
        <f t="shared" si="33"/>
        <v/>
      </c>
      <c r="E290" s="206" t="str" cm="1">
        <f t="array" ref="E290">IF(ROWS($B$282:$B290)&lt;=$J$282,INDEX('User-Defined'!L:L,_xlfn.AGGREGATE(15,3,('User-Defined'!$I$1:$I$205=1)/('User-Defined'!$I$1:$I$205=1)*ROW('User-Defined'!$I$1:$I$205),ROWS($B$282:$B290))),"")</f>
        <v/>
      </c>
      <c r="F290" s="206" t="str" cm="1">
        <f t="array" ref="F290">IF(ROWS($B$282:$B290)&lt;=$J$282,INDEX('User-Defined'!M:M,_xlfn.AGGREGATE(15,3,('User-Defined'!$I$1:$I$205=1)/('User-Defined'!$I$1:$I$205=1)*ROW('User-Defined'!$I$1:$I$205),ROWS($B$282:$B290))),"")</f>
        <v/>
      </c>
      <c r="G290" s="206" t="str" cm="1">
        <f t="array" ref="G290">IF(ROWS($B$282:$B290)&lt;=$J$282,INDEX('User-Defined'!N:N,_xlfn.AGGREGATE(15,3,('User-Defined'!$I$1:$I$205=1)/('User-Defined'!$I$1:$I$205=1)*ROW('User-Defined'!$I$1:$I$205),ROWS($B$282:$B290))),"")</f>
        <v/>
      </c>
      <c r="H290" s="388" t="str" cm="1">
        <f t="array" ref="H290">IFERROR(_xlfn.AGGREGATE(15,3,('User-Defined'!$I$1:$I$205=1)/('User-Defined'!$I$1:$I$205=1)*ROW('User-Defined'!$I$1:$I$205),ROWS($B$282:$B290)),"")</f>
        <v/>
      </c>
      <c r="I290" s="388" t="str" cm="1">
        <f t="array" ref="I290">IF(ROWS($B$282:$B290)&lt;=$J$282,ROUND(INDEX('User-Defined'!D:D,H290),1)  &amp; " " &amp; INDEX('User-Defined'!E:E,H290),"")</f>
        <v/>
      </c>
      <c r="J290" s="268"/>
    </row>
    <row r="291" spans="1:10" ht="30.15" customHeight="1" x14ac:dyDescent="0.25">
      <c r="A291" s="269" t="str">
        <f>IF(LEN(B291)&gt;0,B291,VLOOKUP("User-Defined",Setting!$E$6:$H$33,4,FALSE))</f>
        <v>User-Defined</v>
      </c>
      <c r="B291" s="205" t="str" cm="1">
        <f t="array" ref="B291">IF(ROWS($B$282:$B291)&lt;=$J$282,INDEX('User-Defined'!$S:$S,_xlfn.AGGREGATE(15,3,('User-Defined'!$I$1:$I$205=1)/('User-Defined'!$I$1:$I$205=1)*ROW('User-Defined'!$I$1:$I$205),ROWS($B$282:$B291))),"")</f>
        <v/>
      </c>
      <c r="C291" s="205" t="str" cm="1">
        <f t="array" ref="C291">IF(ROWS($B$282:$B291)&lt;=$J$282,INDEX('User-Defined'!D:D,_xlfn.AGGREGATE(15,3,('User-Defined'!$I$1:$I$205=1)/('User-Defined'!$I$1:$I$205=1)*ROW('User-Defined'!$I$1:$I$205),ROWS($B$282:$B291))),"")</f>
        <v/>
      </c>
      <c r="D291" s="206" t="str">
        <f t="shared" si="33"/>
        <v/>
      </c>
      <c r="E291" s="206" t="str" cm="1">
        <f t="array" ref="E291">IF(ROWS($B$282:$B291)&lt;=$J$282,INDEX('User-Defined'!L:L,_xlfn.AGGREGATE(15,3,('User-Defined'!$I$1:$I$205=1)/('User-Defined'!$I$1:$I$205=1)*ROW('User-Defined'!$I$1:$I$205),ROWS($B$282:$B291))),"")</f>
        <v/>
      </c>
      <c r="F291" s="206" t="str" cm="1">
        <f t="array" ref="F291">IF(ROWS($B$282:$B291)&lt;=$J$282,INDEX('User-Defined'!M:M,_xlfn.AGGREGATE(15,3,('User-Defined'!$I$1:$I$205=1)/('User-Defined'!$I$1:$I$205=1)*ROW('User-Defined'!$I$1:$I$205),ROWS($B$282:$B291))),"")</f>
        <v/>
      </c>
      <c r="G291" s="206" t="str" cm="1">
        <f t="array" ref="G291">IF(ROWS($B$282:$B291)&lt;=$J$282,INDEX('User-Defined'!N:N,_xlfn.AGGREGATE(15,3,('User-Defined'!$I$1:$I$205=1)/('User-Defined'!$I$1:$I$205=1)*ROW('User-Defined'!$I$1:$I$205),ROWS($B$282:$B291))),"")</f>
        <v/>
      </c>
      <c r="H291" s="388" t="str" cm="1">
        <f t="array" ref="H291">IFERROR(_xlfn.AGGREGATE(15,3,('User-Defined'!$I$1:$I$205=1)/('User-Defined'!$I$1:$I$205=1)*ROW('User-Defined'!$I$1:$I$205),ROWS($B$282:$B291)),"")</f>
        <v/>
      </c>
      <c r="I291" s="388" t="str" cm="1">
        <f t="array" ref="I291">IF(ROWS($B$282:$B291)&lt;=$J$282,ROUND(INDEX('User-Defined'!D:D,H291),1)  &amp; " " &amp; INDEX('User-Defined'!E:E,H291),"")</f>
        <v/>
      </c>
      <c r="J291" s="268"/>
    </row>
    <row r="292" spans="1:10" ht="30.15" customHeight="1" x14ac:dyDescent="0.25">
      <c r="A292" s="269" t="str">
        <f>IF(LEN(B292)&gt;0,B292,VLOOKUP("User-Defined",Setting!$E$6:$H$33,4,FALSE))</f>
        <v>User-Defined</v>
      </c>
      <c r="B292" s="205" t="str" cm="1">
        <f t="array" ref="B292">IF(ROWS($B$282:$B292)&lt;=$J$282,INDEX('User-Defined'!$S:$S,_xlfn.AGGREGATE(15,3,('User-Defined'!$I$1:$I$205=1)/('User-Defined'!$I$1:$I$205=1)*ROW('User-Defined'!$I$1:$I$205),ROWS($B$282:$B292))),"")</f>
        <v/>
      </c>
      <c r="C292" s="205" t="str" cm="1">
        <f t="array" ref="C292">IF(ROWS($B$282:$B292)&lt;=$J$282,INDEX('User-Defined'!D:D,_xlfn.AGGREGATE(15,3,('User-Defined'!$I$1:$I$205=1)/('User-Defined'!$I$1:$I$205=1)*ROW('User-Defined'!$I$1:$I$205),ROWS($B$282:$B292))),"")</f>
        <v/>
      </c>
      <c r="D292" s="206" t="str">
        <f t="shared" si="33"/>
        <v/>
      </c>
      <c r="E292" s="206" t="str" cm="1">
        <f t="array" ref="E292">IF(ROWS($B$282:$B292)&lt;=$J$282,INDEX('User-Defined'!L:L,_xlfn.AGGREGATE(15,3,('User-Defined'!$I$1:$I$205=1)/('User-Defined'!$I$1:$I$205=1)*ROW('User-Defined'!$I$1:$I$205),ROWS($B$282:$B292))),"")</f>
        <v/>
      </c>
      <c r="F292" s="206" t="str" cm="1">
        <f t="array" ref="F292">IF(ROWS($B$282:$B292)&lt;=$J$282,INDEX('User-Defined'!M:M,_xlfn.AGGREGATE(15,3,('User-Defined'!$I$1:$I$205=1)/('User-Defined'!$I$1:$I$205=1)*ROW('User-Defined'!$I$1:$I$205),ROWS($B$282:$B292))),"")</f>
        <v/>
      </c>
      <c r="G292" s="206" t="str" cm="1">
        <f t="array" ref="G292">IF(ROWS($B$282:$B292)&lt;=$J$282,INDEX('User-Defined'!N:N,_xlfn.AGGREGATE(15,3,('User-Defined'!$I$1:$I$205=1)/('User-Defined'!$I$1:$I$205=1)*ROW('User-Defined'!$I$1:$I$205),ROWS($B$282:$B292))),"")</f>
        <v/>
      </c>
      <c r="H292" s="388" t="str" cm="1">
        <f t="array" ref="H292">IFERROR(_xlfn.AGGREGATE(15,3,('User-Defined'!$I$1:$I$205=1)/('User-Defined'!$I$1:$I$205=1)*ROW('User-Defined'!$I$1:$I$205),ROWS($B$282:$B292)),"")</f>
        <v/>
      </c>
      <c r="I292" s="388" t="str" cm="1">
        <f t="array" ref="I292">IF(ROWS($B$282:$B292)&lt;=$J$282,ROUND(INDEX('User-Defined'!D:D,H292),1)  &amp; " " &amp; INDEX('User-Defined'!E:E,H292),"")</f>
        <v/>
      </c>
      <c r="J292" s="268"/>
    </row>
    <row r="293" spans="1:10" ht="30.15" customHeight="1" x14ac:dyDescent="0.25">
      <c r="A293" s="269" t="str">
        <f>IF(LEN(B293)&gt;0,B293,VLOOKUP("User-Defined",Setting!$E$6:$H$33,4,FALSE))</f>
        <v>User-Defined</v>
      </c>
      <c r="B293" s="205" t="str" cm="1">
        <f t="array" ref="B293">IF(ROWS($B$282:$B293)&lt;=$J$282,INDEX('User-Defined'!$S:$S,_xlfn.AGGREGATE(15,3,('User-Defined'!$I$1:$I$205=1)/('User-Defined'!$I$1:$I$205=1)*ROW('User-Defined'!$I$1:$I$205),ROWS($B$282:$B293))),"")</f>
        <v/>
      </c>
      <c r="C293" s="205" t="str" cm="1">
        <f t="array" ref="C293">IF(ROWS($B$282:$B293)&lt;=$J$282,INDEX('User-Defined'!D:D,_xlfn.AGGREGATE(15,3,('User-Defined'!$I$1:$I$205=1)/('User-Defined'!$I$1:$I$205=1)*ROW('User-Defined'!$I$1:$I$205),ROWS($B$282:$B293))),"")</f>
        <v/>
      </c>
      <c r="D293" s="206" t="str">
        <f t="shared" si="33"/>
        <v/>
      </c>
      <c r="E293" s="206" t="str" cm="1">
        <f t="array" ref="E293">IF(ROWS($B$282:$B293)&lt;=$J$282,INDEX('User-Defined'!L:L,_xlfn.AGGREGATE(15,3,('User-Defined'!$I$1:$I$205=1)/('User-Defined'!$I$1:$I$205=1)*ROW('User-Defined'!$I$1:$I$205),ROWS($B$282:$B293))),"")</f>
        <v/>
      </c>
      <c r="F293" s="206" t="str" cm="1">
        <f t="array" ref="F293">IF(ROWS($B$282:$B293)&lt;=$J$282,INDEX('User-Defined'!M:M,_xlfn.AGGREGATE(15,3,('User-Defined'!$I$1:$I$205=1)/('User-Defined'!$I$1:$I$205=1)*ROW('User-Defined'!$I$1:$I$205),ROWS($B$282:$B293))),"")</f>
        <v/>
      </c>
      <c r="G293" s="206" t="str" cm="1">
        <f t="array" ref="G293">IF(ROWS($B$282:$B293)&lt;=$J$282,INDEX('User-Defined'!N:N,_xlfn.AGGREGATE(15,3,('User-Defined'!$I$1:$I$205=1)/('User-Defined'!$I$1:$I$205=1)*ROW('User-Defined'!$I$1:$I$205),ROWS($B$282:$B293))),"")</f>
        <v/>
      </c>
      <c r="H293" s="388" t="str" cm="1">
        <f t="array" ref="H293">IFERROR(_xlfn.AGGREGATE(15,3,('User-Defined'!$I$1:$I$205=1)/('User-Defined'!$I$1:$I$205=1)*ROW('User-Defined'!$I$1:$I$205),ROWS($B$282:$B293)),"")</f>
        <v/>
      </c>
      <c r="I293" s="388" t="str" cm="1">
        <f t="array" ref="I293">IF(ROWS($B$282:$B293)&lt;=$J$282,ROUND(INDEX('User-Defined'!D:D,H293),1)  &amp; " " &amp; INDEX('User-Defined'!E:E,H293),"")</f>
        <v/>
      </c>
      <c r="J293" s="268"/>
    </row>
    <row r="294" spans="1:10" ht="30.15" customHeight="1" x14ac:dyDescent="0.25">
      <c r="A294" s="269" t="str">
        <f>IF(LEN(B294)&gt;0,B294,VLOOKUP("User-Defined",Setting!$E$6:$H$33,4,FALSE))</f>
        <v>User-Defined</v>
      </c>
      <c r="B294" s="205" t="str" cm="1">
        <f t="array" ref="B294">IF(ROWS($B$282:$B294)&lt;=$J$282,INDEX('User-Defined'!$S:$S,_xlfn.AGGREGATE(15,3,('User-Defined'!$I$1:$I$205=1)/('User-Defined'!$I$1:$I$205=1)*ROW('User-Defined'!$I$1:$I$205),ROWS($B$282:$B294))),"")</f>
        <v/>
      </c>
      <c r="C294" s="205" t="str" cm="1">
        <f t="array" ref="C294">IF(ROWS($B$282:$B294)&lt;=$J$282,INDEX('User-Defined'!D:D,_xlfn.AGGREGATE(15,3,('User-Defined'!$I$1:$I$205=1)/('User-Defined'!$I$1:$I$205=1)*ROW('User-Defined'!$I$1:$I$205),ROWS($B$282:$B294))),"")</f>
        <v/>
      </c>
      <c r="D294" s="206" t="str">
        <f t="shared" si="33"/>
        <v/>
      </c>
      <c r="E294" s="206" t="str" cm="1">
        <f t="array" ref="E294">IF(ROWS($B$282:$B294)&lt;=$J$282,INDEX('User-Defined'!L:L,_xlfn.AGGREGATE(15,3,('User-Defined'!$I$1:$I$205=1)/('User-Defined'!$I$1:$I$205=1)*ROW('User-Defined'!$I$1:$I$205),ROWS($B$282:$B294))),"")</f>
        <v/>
      </c>
      <c r="F294" s="206" t="str" cm="1">
        <f t="array" ref="F294">IF(ROWS($B$282:$B294)&lt;=$J$282,INDEX('User-Defined'!M:M,_xlfn.AGGREGATE(15,3,('User-Defined'!$I$1:$I$205=1)/('User-Defined'!$I$1:$I$205=1)*ROW('User-Defined'!$I$1:$I$205),ROWS($B$282:$B294))),"")</f>
        <v/>
      </c>
      <c r="G294" s="206" t="str" cm="1">
        <f t="array" ref="G294">IF(ROWS($B$282:$B294)&lt;=$J$282,INDEX('User-Defined'!N:N,_xlfn.AGGREGATE(15,3,('User-Defined'!$I$1:$I$205=1)/('User-Defined'!$I$1:$I$205=1)*ROW('User-Defined'!$I$1:$I$205),ROWS($B$282:$B294))),"")</f>
        <v/>
      </c>
      <c r="H294" s="388" t="str" cm="1">
        <f t="array" ref="H294">IFERROR(_xlfn.AGGREGATE(15,3,('User-Defined'!$I$1:$I$205=1)/('User-Defined'!$I$1:$I$205=1)*ROW('User-Defined'!$I$1:$I$205),ROWS($B$282:$B294)),"")</f>
        <v/>
      </c>
      <c r="I294" s="388" t="str" cm="1">
        <f t="array" ref="I294">IF(ROWS($B$282:$B294)&lt;=$J$282,ROUND(INDEX('User-Defined'!D:D,H294),1)  &amp; " " &amp; INDEX('User-Defined'!E:E,H294),"")</f>
        <v/>
      </c>
      <c r="J294" s="268"/>
    </row>
    <row r="295" spans="1:10" ht="30.15" customHeight="1" x14ac:dyDescent="0.25">
      <c r="A295" s="269" t="str">
        <f>IF(LEN(B295)&gt;0,B295,VLOOKUP("User-Defined",Setting!$E$6:$H$33,4,FALSE))</f>
        <v>User-Defined</v>
      </c>
      <c r="B295" s="205" t="str" cm="1">
        <f t="array" ref="B295">IF(ROWS($B$282:$B295)&lt;=$J$282,INDEX('User-Defined'!$S:$S,_xlfn.AGGREGATE(15,3,('User-Defined'!$I$1:$I$205=1)/('User-Defined'!$I$1:$I$205=1)*ROW('User-Defined'!$I$1:$I$205),ROWS($B$282:$B295))),"")</f>
        <v/>
      </c>
      <c r="C295" s="205" t="str" cm="1">
        <f t="array" ref="C295">IF(ROWS($B$282:$B295)&lt;=$J$282,INDEX('User-Defined'!D:D,_xlfn.AGGREGATE(15,3,('User-Defined'!$I$1:$I$205=1)/('User-Defined'!$I$1:$I$205=1)*ROW('User-Defined'!$I$1:$I$205),ROWS($B$282:$B295))),"")</f>
        <v/>
      </c>
      <c r="D295" s="206" t="str">
        <f t="shared" si="33"/>
        <v/>
      </c>
      <c r="E295" s="206" t="str" cm="1">
        <f t="array" ref="E295">IF(ROWS($B$282:$B295)&lt;=$J$282,INDEX('User-Defined'!L:L,_xlfn.AGGREGATE(15,3,('User-Defined'!$I$1:$I$205=1)/('User-Defined'!$I$1:$I$205=1)*ROW('User-Defined'!$I$1:$I$205),ROWS($B$282:$B295))),"")</f>
        <v/>
      </c>
      <c r="F295" s="206" t="str" cm="1">
        <f t="array" ref="F295">IF(ROWS($B$282:$B295)&lt;=$J$282,INDEX('User-Defined'!M:M,_xlfn.AGGREGATE(15,3,('User-Defined'!$I$1:$I$205=1)/('User-Defined'!$I$1:$I$205=1)*ROW('User-Defined'!$I$1:$I$205),ROWS($B$282:$B295))),"")</f>
        <v/>
      </c>
      <c r="G295" s="206" t="str" cm="1">
        <f t="array" ref="G295">IF(ROWS($B$282:$B295)&lt;=$J$282,INDEX('User-Defined'!N:N,_xlfn.AGGREGATE(15,3,('User-Defined'!$I$1:$I$205=1)/('User-Defined'!$I$1:$I$205=1)*ROW('User-Defined'!$I$1:$I$205),ROWS($B$282:$B295))),"")</f>
        <v/>
      </c>
      <c r="H295" s="388" t="str" cm="1">
        <f t="array" ref="H295">IFERROR(_xlfn.AGGREGATE(15,3,('User-Defined'!$I$1:$I$205=1)/('User-Defined'!$I$1:$I$205=1)*ROW('User-Defined'!$I$1:$I$205),ROWS($B$282:$B295)),"")</f>
        <v/>
      </c>
      <c r="I295" s="388" t="str" cm="1">
        <f t="array" ref="I295">IF(ROWS($B$282:$B295)&lt;=$J$282,ROUND(INDEX('User-Defined'!D:D,H295),1)  &amp; " " &amp; INDEX('User-Defined'!E:E,H295),"")</f>
        <v/>
      </c>
      <c r="J295" s="268"/>
    </row>
    <row r="296" spans="1:10" ht="30.15" customHeight="1" x14ac:dyDescent="0.25">
      <c r="A296" s="269" t="str">
        <f>IF(LEN(B296)&gt;0,B296,VLOOKUP("User-Defined",Setting!$E$6:$H$33,4,FALSE))</f>
        <v>User-Defined</v>
      </c>
      <c r="B296" s="205" t="str" cm="1">
        <f t="array" ref="B296">IF(ROWS($B$282:$B296)&lt;=$J$282,INDEX('User-Defined'!$S:$S,_xlfn.AGGREGATE(15,3,('User-Defined'!$I$1:$I$205=1)/('User-Defined'!$I$1:$I$205=1)*ROW('User-Defined'!$I$1:$I$205),ROWS($B$282:$B296))),"")</f>
        <v/>
      </c>
      <c r="C296" s="205" t="str" cm="1">
        <f t="array" ref="C296">IF(ROWS($B$282:$B296)&lt;=$J$282,INDEX('User-Defined'!D:D,_xlfn.AGGREGATE(15,3,('User-Defined'!$I$1:$I$205=1)/('User-Defined'!$I$1:$I$205=1)*ROW('User-Defined'!$I$1:$I$205),ROWS($B$282:$B296))),"")</f>
        <v/>
      </c>
      <c r="D296" s="206" t="str">
        <f t="shared" si="33"/>
        <v/>
      </c>
      <c r="E296" s="206" t="str" cm="1">
        <f t="array" ref="E296">IF(ROWS($B$282:$B296)&lt;=$J$282,INDEX('User-Defined'!L:L,_xlfn.AGGREGATE(15,3,('User-Defined'!$I$1:$I$205=1)/('User-Defined'!$I$1:$I$205=1)*ROW('User-Defined'!$I$1:$I$205),ROWS($B$282:$B296))),"")</f>
        <v/>
      </c>
      <c r="F296" s="206" t="str" cm="1">
        <f t="array" ref="F296">IF(ROWS($B$282:$B296)&lt;=$J$282,INDEX('User-Defined'!M:M,_xlfn.AGGREGATE(15,3,('User-Defined'!$I$1:$I$205=1)/('User-Defined'!$I$1:$I$205=1)*ROW('User-Defined'!$I$1:$I$205),ROWS($B$282:$B296))),"")</f>
        <v/>
      </c>
      <c r="G296" s="206" t="str" cm="1">
        <f t="array" ref="G296">IF(ROWS($B$282:$B296)&lt;=$J$282,INDEX('User-Defined'!N:N,_xlfn.AGGREGATE(15,3,('User-Defined'!$I$1:$I$205=1)/('User-Defined'!$I$1:$I$205=1)*ROW('User-Defined'!$I$1:$I$205),ROWS($B$282:$B296))),"")</f>
        <v/>
      </c>
      <c r="H296" s="388" t="str" cm="1">
        <f t="array" ref="H296">IFERROR(_xlfn.AGGREGATE(15,3,('User-Defined'!$I$1:$I$205=1)/('User-Defined'!$I$1:$I$205=1)*ROW('User-Defined'!$I$1:$I$205),ROWS($B$282:$B296)),"")</f>
        <v/>
      </c>
      <c r="I296" s="388" t="str" cm="1">
        <f t="array" ref="I296">IF(ROWS($B$282:$B296)&lt;=$J$282,ROUND(INDEX('User-Defined'!D:D,H296),1)  &amp; " " &amp; INDEX('User-Defined'!E:E,H296),"")</f>
        <v/>
      </c>
      <c r="J296" s="268"/>
    </row>
    <row r="297" spans="1:10" ht="30.15" customHeight="1" x14ac:dyDescent="0.25">
      <c r="A297" s="269" t="str">
        <f>IF(LEN(B297)&gt;0,B297,VLOOKUP("User-Defined",Setting!$E$6:$H$33,4,FALSE))</f>
        <v>User-Defined</v>
      </c>
      <c r="B297" s="205" t="str" cm="1">
        <f t="array" ref="B297">IF(ROWS($B$282:$B297)&lt;=$J$282,INDEX('User-Defined'!$S:$S,_xlfn.AGGREGATE(15,3,('User-Defined'!$I$1:$I$205=1)/('User-Defined'!$I$1:$I$205=1)*ROW('User-Defined'!$I$1:$I$205),ROWS($B$282:$B297))),"")</f>
        <v/>
      </c>
      <c r="C297" s="205" t="str" cm="1">
        <f t="array" ref="C297">IF(ROWS($B$282:$B297)&lt;=$J$282,INDEX('User-Defined'!D:D,_xlfn.AGGREGATE(15,3,('User-Defined'!$I$1:$I$205=1)/('User-Defined'!$I$1:$I$205=1)*ROW('User-Defined'!$I$1:$I$205),ROWS($B$282:$B297))),"")</f>
        <v/>
      </c>
      <c r="D297" s="206" t="str">
        <f t="shared" si="33"/>
        <v/>
      </c>
      <c r="E297" s="206" t="str" cm="1">
        <f t="array" ref="E297">IF(ROWS($B$282:$B297)&lt;=$J$282,INDEX('User-Defined'!L:L,_xlfn.AGGREGATE(15,3,('User-Defined'!$I$1:$I$205=1)/('User-Defined'!$I$1:$I$205=1)*ROW('User-Defined'!$I$1:$I$205),ROWS($B$282:$B297))),"")</f>
        <v/>
      </c>
      <c r="F297" s="206" t="str" cm="1">
        <f t="array" ref="F297">IF(ROWS($B$282:$B297)&lt;=$J$282,INDEX('User-Defined'!M:M,_xlfn.AGGREGATE(15,3,('User-Defined'!$I$1:$I$205=1)/('User-Defined'!$I$1:$I$205=1)*ROW('User-Defined'!$I$1:$I$205),ROWS($B$282:$B297))),"")</f>
        <v/>
      </c>
      <c r="G297" s="206" t="str" cm="1">
        <f t="array" ref="G297">IF(ROWS($B$282:$B297)&lt;=$J$282,INDEX('User-Defined'!N:N,_xlfn.AGGREGATE(15,3,('User-Defined'!$I$1:$I$205=1)/('User-Defined'!$I$1:$I$205=1)*ROW('User-Defined'!$I$1:$I$205),ROWS($B$282:$B297))),"")</f>
        <v/>
      </c>
      <c r="H297" s="388" t="str" cm="1">
        <f t="array" ref="H297">IFERROR(_xlfn.AGGREGATE(15,3,('User-Defined'!$I$1:$I$205=1)/('User-Defined'!$I$1:$I$205=1)*ROW('User-Defined'!$I$1:$I$205),ROWS($B$282:$B297)),"")</f>
        <v/>
      </c>
      <c r="I297" s="388" t="str" cm="1">
        <f t="array" ref="I297">IF(ROWS($B$282:$B297)&lt;=$J$282,ROUND(INDEX('User-Defined'!D:D,H297),1)  &amp; " " &amp; INDEX('User-Defined'!E:E,H297),"")</f>
        <v/>
      </c>
      <c r="J297" s="268"/>
    </row>
    <row r="298" spans="1:10" ht="30.15" customHeight="1" x14ac:dyDescent="0.25">
      <c r="A298" s="269" t="str">
        <f>IF(LEN(B298)&gt;0,B298,VLOOKUP("User-Defined",Setting!$E$6:$H$33,4,FALSE))</f>
        <v>User-Defined</v>
      </c>
      <c r="B298" s="205" t="str" cm="1">
        <f t="array" ref="B298">IF(ROWS($B$282:$B298)&lt;=$J$282,INDEX('User-Defined'!$S:$S,_xlfn.AGGREGATE(15,3,('User-Defined'!$I$1:$I$205=1)/('User-Defined'!$I$1:$I$205=1)*ROW('User-Defined'!$I$1:$I$205),ROWS($B$282:$B298))),"")</f>
        <v/>
      </c>
      <c r="C298" s="205" t="str" cm="1">
        <f t="array" ref="C298">IF(ROWS($B$282:$B298)&lt;=$J$282,INDEX('User-Defined'!D:D,_xlfn.AGGREGATE(15,3,('User-Defined'!$I$1:$I$205=1)/('User-Defined'!$I$1:$I$205=1)*ROW('User-Defined'!$I$1:$I$205),ROWS($B$282:$B298))),"")</f>
        <v/>
      </c>
      <c r="D298" s="206" t="str">
        <f t="shared" si="33"/>
        <v/>
      </c>
      <c r="E298" s="206" t="str" cm="1">
        <f t="array" ref="E298">IF(ROWS($B$282:$B298)&lt;=$J$282,INDEX('User-Defined'!L:L,_xlfn.AGGREGATE(15,3,('User-Defined'!$I$1:$I$205=1)/('User-Defined'!$I$1:$I$205=1)*ROW('User-Defined'!$I$1:$I$205),ROWS($B$282:$B298))),"")</f>
        <v/>
      </c>
      <c r="F298" s="206" t="str" cm="1">
        <f t="array" ref="F298">IF(ROWS($B$282:$B298)&lt;=$J$282,INDEX('User-Defined'!M:M,_xlfn.AGGREGATE(15,3,('User-Defined'!$I$1:$I$205=1)/('User-Defined'!$I$1:$I$205=1)*ROW('User-Defined'!$I$1:$I$205),ROWS($B$282:$B298))),"")</f>
        <v/>
      </c>
      <c r="G298" s="206" t="str" cm="1">
        <f t="array" ref="G298">IF(ROWS($B$282:$B298)&lt;=$J$282,INDEX('User-Defined'!N:N,_xlfn.AGGREGATE(15,3,('User-Defined'!$I$1:$I$205=1)/('User-Defined'!$I$1:$I$205=1)*ROW('User-Defined'!$I$1:$I$205),ROWS($B$282:$B298))),"")</f>
        <v/>
      </c>
      <c r="H298" s="388" t="str" cm="1">
        <f t="array" ref="H298">IFERROR(_xlfn.AGGREGATE(15,3,('User-Defined'!$I$1:$I$205=1)/('User-Defined'!$I$1:$I$205=1)*ROW('User-Defined'!$I$1:$I$205),ROWS($B$282:$B298)),"")</f>
        <v/>
      </c>
      <c r="I298" s="388" t="str" cm="1">
        <f t="array" ref="I298">IF(ROWS($B$282:$B298)&lt;=$J$282,ROUND(INDEX('User-Defined'!D:D,H298),1)  &amp; " " &amp; INDEX('User-Defined'!E:E,H298),"")</f>
        <v/>
      </c>
      <c r="J298" s="268"/>
    </row>
    <row r="299" spans="1:10" ht="30.15" customHeight="1" x14ac:dyDescent="0.25">
      <c r="A299" s="269" t="str">
        <f>IF(LEN(B299)&gt;0,B299,VLOOKUP("User-Defined",Setting!$E$6:$H$33,4,FALSE))</f>
        <v>User-Defined</v>
      </c>
      <c r="B299" s="205" t="str" cm="1">
        <f t="array" ref="B299">IF(ROWS($B$282:$B299)&lt;=$J$282,INDEX('User-Defined'!$S:$S,_xlfn.AGGREGATE(15,3,('User-Defined'!$I$1:$I$205=1)/('User-Defined'!$I$1:$I$205=1)*ROW('User-Defined'!$I$1:$I$205),ROWS($B$282:$B299))),"")</f>
        <v/>
      </c>
      <c r="C299" s="205" t="str" cm="1">
        <f t="array" ref="C299">IF(ROWS($B$282:$B299)&lt;=$J$282,INDEX('User-Defined'!D:D,_xlfn.AGGREGATE(15,3,('User-Defined'!$I$1:$I$205=1)/('User-Defined'!$I$1:$I$205=1)*ROW('User-Defined'!$I$1:$I$205),ROWS($B$282:$B299))),"")</f>
        <v/>
      </c>
      <c r="D299" s="206" t="str">
        <f t="shared" si="33"/>
        <v/>
      </c>
      <c r="E299" s="206" t="str" cm="1">
        <f t="array" ref="E299">IF(ROWS($B$282:$B299)&lt;=$J$282,INDEX('User-Defined'!L:L,_xlfn.AGGREGATE(15,3,('User-Defined'!$I$1:$I$205=1)/('User-Defined'!$I$1:$I$205=1)*ROW('User-Defined'!$I$1:$I$205),ROWS($B$282:$B299))),"")</f>
        <v/>
      </c>
      <c r="F299" s="206" t="str" cm="1">
        <f t="array" ref="F299">IF(ROWS($B$282:$B299)&lt;=$J$282,INDEX('User-Defined'!M:M,_xlfn.AGGREGATE(15,3,('User-Defined'!$I$1:$I$205=1)/('User-Defined'!$I$1:$I$205=1)*ROW('User-Defined'!$I$1:$I$205),ROWS($B$282:$B299))),"")</f>
        <v/>
      </c>
      <c r="G299" s="206" t="str" cm="1">
        <f t="array" ref="G299">IF(ROWS($B$282:$B299)&lt;=$J$282,INDEX('User-Defined'!N:N,_xlfn.AGGREGATE(15,3,('User-Defined'!$I$1:$I$205=1)/('User-Defined'!$I$1:$I$205=1)*ROW('User-Defined'!$I$1:$I$205),ROWS($B$282:$B299))),"")</f>
        <v/>
      </c>
      <c r="H299" s="388" t="str" cm="1">
        <f t="array" ref="H299">IFERROR(_xlfn.AGGREGATE(15,3,('User-Defined'!$I$1:$I$205=1)/('User-Defined'!$I$1:$I$205=1)*ROW('User-Defined'!$I$1:$I$205),ROWS($B$282:$B299)),"")</f>
        <v/>
      </c>
      <c r="I299" s="388" t="str" cm="1">
        <f t="array" ref="I299">IF(ROWS($B$282:$B299)&lt;=$J$282,ROUND(INDEX('User-Defined'!D:D,H299),1)  &amp; " " &amp; INDEX('User-Defined'!E:E,H299),"")</f>
        <v/>
      </c>
      <c r="J299" s="268"/>
    </row>
    <row r="300" spans="1:10" ht="30.15" customHeight="1" x14ac:dyDescent="0.25">
      <c r="A300" s="269" t="str">
        <f>IF(LEN(B300)&gt;0,B300,VLOOKUP("User-Defined",Setting!$E$6:$H$33,4,FALSE))</f>
        <v>User-Defined</v>
      </c>
      <c r="B300" s="205" t="str" cm="1">
        <f t="array" ref="B300">IF(ROWS($B$282:$B300)&lt;=$J$282,INDEX('User-Defined'!$S:$S,_xlfn.AGGREGATE(15,3,('User-Defined'!$I$1:$I$205=1)/('User-Defined'!$I$1:$I$205=1)*ROW('User-Defined'!$I$1:$I$205),ROWS($B$282:$B300))),"")</f>
        <v/>
      </c>
      <c r="C300" s="205" t="str" cm="1">
        <f t="array" ref="C300">IF(ROWS($B$282:$B300)&lt;=$J$282,INDEX('User-Defined'!D:D,_xlfn.AGGREGATE(15,3,('User-Defined'!$I$1:$I$205=1)/('User-Defined'!$I$1:$I$205=1)*ROW('User-Defined'!$I$1:$I$205),ROWS($B$282:$B300))),"")</f>
        <v/>
      </c>
      <c r="D300" s="206" t="str">
        <f t="shared" si="33"/>
        <v/>
      </c>
      <c r="E300" s="206" t="str" cm="1">
        <f t="array" ref="E300">IF(ROWS($B$282:$B300)&lt;=$J$282,INDEX('User-Defined'!L:L,_xlfn.AGGREGATE(15,3,('User-Defined'!$I$1:$I$205=1)/('User-Defined'!$I$1:$I$205=1)*ROW('User-Defined'!$I$1:$I$205),ROWS($B$282:$B300))),"")</f>
        <v/>
      </c>
      <c r="F300" s="206" t="str" cm="1">
        <f t="array" ref="F300">IF(ROWS($B$282:$B300)&lt;=$J$282,INDEX('User-Defined'!M:M,_xlfn.AGGREGATE(15,3,('User-Defined'!$I$1:$I$205=1)/('User-Defined'!$I$1:$I$205=1)*ROW('User-Defined'!$I$1:$I$205),ROWS($B$282:$B300))),"")</f>
        <v/>
      </c>
      <c r="G300" s="206" t="str" cm="1">
        <f t="array" ref="G300">IF(ROWS($B$282:$B300)&lt;=$J$282,INDEX('User-Defined'!N:N,_xlfn.AGGREGATE(15,3,('User-Defined'!$I$1:$I$205=1)/('User-Defined'!$I$1:$I$205=1)*ROW('User-Defined'!$I$1:$I$205),ROWS($B$282:$B300))),"")</f>
        <v/>
      </c>
      <c r="H300" s="388" t="str" cm="1">
        <f t="array" ref="H300">IFERROR(_xlfn.AGGREGATE(15,3,('User-Defined'!$I$1:$I$205=1)/('User-Defined'!$I$1:$I$205=1)*ROW('User-Defined'!$I$1:$I$205),ROWS($B$282:$B300)),"")</f>
        <v/>
      </c>
      <c r="I300" s="388" t="str" cm="1">
        <f t="array" ref="I300">IF(ROWS($B$282:$B300)&lt;=$J$282,ROUND(INDEX('User-Defined'!D:D,H300),1)  &amp; " " &amp; INDEX('User-Defined'!E:E,H300),"")</f>
        <v/>
      </c>
      <c r="J300" s="268"/>
    </row>
    <row r="301" spans="1:10" ht="30.15" customHeight="1" x14ac:dyDescent="0.25">
      <c r="A301" s="204"/>
      <c r="B301" s="205"/>
      <c r="C301" s="216"/>
    </row>
    <row r="303" spans="1:10" ht="30.15" customHeight="1" x14ac:dyDescent="0.25">
      <c r="A303" s="204"/>
      <c r="B303" s="205"/>
      <c r="C303" s="216"/>
    </row>
    <row r="305" spans="1:3" ht="30.15" customHeight="1" x14ac:dyDescent="0.25">
      <c r="A305" s="204"/>
      <c r="B305" s="205"/>
      <c r="C305" s="216"/>
    </row>
    <row r="307" spans="1:3" ht="30.15" customHeight="1" x14ac:dyDescent="0.25">
      <c r="A307" s="204"/>
      <c r="B307" s="205"/>
      <c r="C307" s="216"/>
    </row>
    <row r="309" spans="1:3" ht="30.15" customHeight="1" x14ac:dyDescent="0.25">
      <c r="A309" s="204"/>
      <c r="B309" s="205"/>
      <c r="C309" s="216"/>
    </row>
    <row r="311" spans="1:3" ht="30.15" customHeight="1" x14ac:dyDescent="0.25">
      <c r="A311" s="204"/>
      <c r="B311" s="205"/>
      <c r="C311" s="216"/>
    </row>
  </sheetData>
  <sheetProtection algorithmName="SHA-512" hashValue="s5xcpiBFWupYKP/1p43B9w50sRLcpJ2I+ofnssgxQO2XjbDgXgzORQ9m91oPdvc7MINO+jk5nP7ahk+2l8v2Tw==" saltValue="BbvH1gygmEPEA04bT/t9vQ==" spinCount="100000" sheet="1" objects="1" scenarios="1"/>
  <dataConsolidate function="count" link="1"/>
  <conditionalFormatting sqref="A301:A1048576 A115:A241 A1:A94">
    <cfRule type="containsText" dxfId="53" priority="1" operator="containsText" text="Toit">
      <formula>NOT(ISERROR(SEARCH("Toit",A1)))</formula>
    </cfRule>
    <cfRule type="containsText" dxfId="52" priority="2" operator="containsText" text="Plafonds">
      <formula>NOT(ISERROR(SEARCH("Plafonds",A1)))</formula>
    </cfRule>
    <cfRule type="containsText" dxfId="51" priority="3" operator="containsText" text="Planchers">
      <formula>NOT(ISERROR(SEARCH("Planchers",A1)))</formula>
    </cfRule>
    <cfRule type="containsText" dxfId="50" priority="4" operator="containsText" text="Murs int.">
      <formula>NOT(ISERROR(SEARCH("Murs int.",A1)))</formula>
    </cfRule>
    <cfRule type="containsText" dxfId="49" priority="5" operator="containsText" text="Fenêtres">
      <formula>NOT(ISERROR(SEARCH("Fenêtres",A1)))</formula>
    </cfRule>
    <cfRule type="containsText" dxfId="48" priority="6" operator="containsText" text="Bardage">
      <formula>NOT(ISERROR(SEARCH("Bardage",A1)))</formula>
    </cfRule>
    <cfRule type="containsText" dxfId="47" priority="7" operator="containsText" text="Systèmes de murs ext.">
      <formula>NOT(ISERROR(SEARCH("Systèmes de murs ext.",A1)))</formula>
    </cfRule>
    <cfRule type="containsText" dxfId="46" priority="8" operator="containsText" text="Murs ext.">
      <formula>NOT(ISERROR(SEARCH("Murs ext.",A1)))</formula>
    </cfRule>
    <cfRule type="containsText" dxfId="45" priority="9" operator="containsText" text="Éléments structuraux">
      <formula>NOT(ISERROR(SEARCH("Éléments structuraux",A1)))</formula>
    </cfRule>
    <cfRule type="containsText" dxfId="44" priority="10" operator="containsText" text="Murs de fondation">
      <formula>NOT(ISERROR(SEARCH("Murs de fondation",A1)))</formula>
    </cfRule>
    <cfRule type="containsText" dxfId="43" priority="11" operator="containsText" text="Semelles et dalles">
      <formula>NOT(ISERROR(SEARCH("Semelles et dalles",A1)))</formula>
    </cfRule>
    <cfRule type="containsText" dxfId="42" priority="70" operator="containsText" text="Roof">
      <formula>NOT(ISERROR(SEARCH("Roof",A1)))</formula>
    </cfRule>
    <cfRule type="containsText" dxfId="41" priority="71" operator="containsText" text="Ceilings">
      <formula>NOT(ISERROR(SEARCH("Ceilings",A1)))</formula>
    </cfRule>
    <cfRule type="containsText" dxfId="40" priority="72" operator="containsText" text="Floors">
      <formula>NOT(ISERROR(SEARCH("Floors",A1)))</formula>
    </cfRule>
    <cfRule type="containsText" dxfId="39" priority="73" operator="containsText" text="Int. Walls">
      <formula>NOT(ISERROR(SEARCH("Int. Walls",A1)))</formula>
    </cfRule>
    <cfRule type="containsText" dxfId="38" priority="74" operator="containsText" text="Windows">
      <formula>NOT(ISERROR(SEARCH("Windows",A1)))</formula>
    </cfRule>
    <cfRule type="containsText" dxfId="37" priority="75" operator="containsText" text="Cladding">
      <formula>NOT(ISERROR(SEARCH("Cladding",A1)))</formula>
    </cfRule>
    <cfRule type="containsText" dxfId="36" priority="76" operator="containsText" text="Ext. Wall Systems">
      <formula>NOT(ISERROR(SEARCH("Ext. Wall Systems",A1)))</formula>
    </cfRule>
    <cfRule type="containsText" dxfId="35" priority="77" operator="containsText" text="Ext. Walls">
      <formula>NOT(ISERROR(SEARCH("Ext. Walls",A1)))</formula>
    </cfRule>
    <cfRule type="containsText" dxfId="34" priority="78" operator="containsText" text="Structural Elements">
      <formula>NOT(ISERROR(SEARCH("Structural Elements",A1)))</formula>
    </cfRule>
    <cfRule type="containsText" dxfId="33" priority="79" operator="containsText" text="Foundation Walls">
      <formula>NOT(ISERROR(SEARCH("Foundation Walls",A1)))</formula>
    </cfRule>
    <cfRule type="containsText" dxfId="32" priority="80" operator="containsText" text="Footings &amp; Slabs">
      <formula>NOT(ISERROR(SEARCH("Footings &amp; Slabs",A1)))</formula>
    </cfRule>
  </conditionalFormatting>
  <conditionalFormatting sqref="A95:A114">
    <cfRule type="containsText" dxfId="31" priority="12" operator="containsText" text="Roof">
      <formula>NOT(ISERROR(SEARCH("Roof",A95)))</formula>
    </cfRule>
    <cfRule type="containsText" dxfId="30" priority="13" operator="containsText" text="Ceilings">
      <formula>NOT(ISERROR(SEARCH("Ceilings",A95)))</formula>
    </cfRule>
    <cfRule type="containsText" dxfId="29" priority="14" operator="containsText" text="Floors">
      <formula>NOT(ISERROR(SEARCH("Floors",A95)))</formula>
    </cfRule>
    <cfRule type="containsText" dxfId="28" priority="15" operator="containsText" text="Int. Walls">
      <formula>NOT(ISERROR(SEARCH("Int. Walls",A95)))</formula>
    </cfRule>
    <cfRule type="containsText" dxfId="27" priority="16" operator="containsText" text="Windows">
      <formula>NOT(ISERROR(SEARCH("Windows",A95)))</formula>
    </cfRule>
    <cfRule type="containsText" dxfId="26" priority="17" operator="containsText" text="Cladding">
      <formula>NOT(ISERROR(SEARCH("Cladding",A95)))</formula>
    </cfRule>
    <cfRule type="containsText" dxfId="25" priority="18" operator="containsText" text="Ext. Wall Systems">
      <formula>NOT(ISERROR(SEARCH("Ext. Wall Systems",A95)))</formula>
    </cfRule>
    <cfRule type="containsText" dxfId="24" priority="19" operator="containsText" text="Ext. Walls">
      <formula>NOT(ISERROR(SEARCH("Ext. Walls",A95)))</formula>
    </cfRule>
    <cfRule type="containsText" dxfId="23" priority="20" operator="containsText" text="Structural Elements">
      <formula>NOT(ISERROR(SEARCH("Structural Elements",A95)))</formula>
    </cfRule>
    <cfRule type="containsText" dxfId="22" priority="21" operator="containsText" text="Foundation Walls">
      <formula>NOT(ISERROR(SEARCH("Foundation Walls",A95)))</formula>
    </cfRule>
    <cfRule type="containsText" dxfId="21" priority="22" operator="containsText" text="Footings &amp; Slabs">
      <formula>NOT(ISERROR(SEARCH("Footings &amp; Slabs",A95)))</formula>
    </cfRule>
  </conditionalFormatting>
  <pageMargins left="0.7" right="0.7" top="0.75" bottom="0.75" header="0.3" footer="0.3"/>
  <pageSetup orientation="portrait" r:id="rId1"/>
  <headerFooter>
    <oddHeader>&amp;R&amp;"Aptos"&amp;12&amp;K000000 UNCLASSIFIED - NON CLASSIFIÉ&amp;1#_x000D_</oddHeader>
  </headerFooter>
  <drawing r:id="rId2"/>
  <legacyDrawing r:id="rId3"/>
  <tableParts count="1">
    <tablePart r:id="rId4"/>
  </tableParts>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14">
    <tabColor theme="2" tint="-0.14999847407452621"/>
  </sheetPr>
  <dimension ref="A1:BF1451"/>
  <sheetViews>
    <sheetView zoomScaleNormal="90" workbookViewId="0">
      <pane ySplit="1" topLeftCell="A580" activePane="bottomLeft" state="frozen"/>
      <selection activeCell="K14" sqref="K14"/>
      <selection pane="bottomLeft" activeCell="A589" sqref="A589"/>
    </sheetView>
  </sheetViews>
  <sheetFormatPr defaultColWidth="11.36328125" defaultRowHeight="15" customHeight="1" x14ac:dyDescent="0.3"/>
  <cols>
    <col min="1" max="1" width="83.36328125" style="53" customWidth="1"/>
    <col min="2" max="2" width="28.6328125" style="53" customWidth="1"/>
    <col min="3" max="3" width="20.08984375" style="53" customWidth="1"/>
    <col min="4" max="4" width="26.90625" style="53" customWidth="1"/>
    <col min="5" max="5" width="44.1796875" style="53" customWidth="1"/>
    <col min="6" max="6" width="3.1796875" style="53" customWidth="1"/>
    <col min="7" max="7" width="3.36328125" style="53" customWidth="1"/>
    <col min="8" max="8" width="26.6328125" style="53" customWidth="1"/>
    <col min="9" max="9" width="6.08984375" style="53" customWidth="1"/>
    <col min="10" max="10" width="9.54296875" style="53" customWidth="1"/>
    <col min="11" max="11" width="8.08984375" style="53" customWidth="1"/>
    <col min="12" max="12" width="11.453125" style="53" customWidth="1"/>
    <col min="13" max="13" width="10" style="76" customWidth="1"/>
    <col min="14" max="14" width="17.08984375" style="53" customWidth="1"/>
    <col min="15" max="15" width="20.81640625" style="53" customWidth="1"/>
    <col min="16" max="16" width="19.453125" style="53" customWidth="1"/>
    <col min="17" max="17" width="9.54296875" style="367" customWidth="1"/>
    <col min="18" max="18" width="9.36328125" style="53" customWidth="1"/>
    <col min="19" max="20" width="7" style="53" customWidth="1"/>
    <col min="21" max="21" width="7.6328125" style="53" customWidth="1"/>
    <col min="22" max="23" width="9.08984375" style="53" customWidth="1"/>
    <col min="24" max="24" width="6.08984375" style="53" customWidth="1"/>
    <col min="25" max="25" width="8.08984375" style="53" customWidth="1"/>
    <col min="26" max="26" width="7.54296875" style="53" customWidth="1"/>
    <col min="27" max="27" width="10.6328125" style="87" customWidth="1"/>
    <col min="28" max="28" width="9.6328125" style="53" customWidth="1"/>
    <col min="29" max="29" width="8.6328125" style="53" customWidth="1"/>
    <col min="30" max="32" width="7.6328125" style="53" customWidth="1"/>
    <col min="33" max="33" width="10.6328125" style="87" customWidth="1"/>
    <col min="34" max="34" width="9.1796875" style="53" customWidth="1"/>
    <col min="35" max="37" width="7.90625" style="165" customWidth="1"/>
    <col min="38" max="38" width="10.453125" style="53" customWidth="1"/>
    <col min="39" max="39" width="11.36328125" style="53" customWidth="1"/>
    <col min="40" max="40" width="8.1796875" style="53" customWidth="1"/>
    <col min="41" max="41" width="4.81640625" style="53" customWidth="1"/>
    <col min="42" max="42" width="7.1796875" style="53" customWidth="1"/>
    <col min="43" max="43" width="3" style="53" customWidth="1"/>
    <col min="44" max="44" width="28.6328125" style="264" customWidth="1"/>
    <col min="45" max="45" width="11.36328125" style="53" customWidth="1"/>
    <col min="46" max="16384" width="11.36328125" style="53"/>
  </cols>
  <sheetData>
    <row r="1" spans="1:58" ht="78" customHeight="1" thickBot="1" x14ac:dyDescent="0.35">
      <c r="A1" s="153" t="s">
        <v>102</v>
      </c>
      <c r="B1" s="153" t="s">
        <v>103</v>
      </c>
      <c r="C1" s="153" t="s">
        <v>932</v>
      </c>
      <c r="D1" s="153" t="s">
        <v>104</v>
      </c>
      <c r="E1" s="153" t="s">
        <v>105</v>
      </c>
      <c r="F1" s="154" t="s">
        <v>106</v>
      </c>
      <c r="G1" s="155" t="s">
        <v>107</v>
      </c>
      <c r="H1" s="153" t="s">
        <v>108</v>
      </c>
      <c r="I1" s="154" t="s">
        <v>109</v>
      </c>
      <c r="J1" s="153" t="s">
        <v>822</v>
      </c>
      <c r="K1" s="153" t="s">
        <v>875</v>
      </c>
      <c r="L1" s="156" t="s">
        <v>856</v>
      </c>
      <c r="M1" s="66" t="s">
        <v>876</v>
      </c>
      <c r="N1" s="157" t="s">
        <v>110</v>
      </c>
      <c r="O1" s="153" t="s">
        <v>111</v>
      </c>
      <c r="P1" s="153" t="s">
        <v>112</v>
      </c>
      <c r="Q1" s="365" t="s">
        <v>113</v>
      </c>
      <c r="R1" s="153" t="s">
        <v>114</v>
      </c>
      <c r="S1" s="153" t="s">
        <v>855</v>
      </c>
      <c r="T1" s="153" t="s">
        <v>115</v>
      </c>
      <c r="U1" s="153" t="s">
        <v>855</v>
      </c>
      <c r="V1" s="153" t="s">
        <v>1443</v>
      </c>
      <c r="W1" s="153" t="s">
        <v>867</v>
      </c>
      <c r="X1" s="153" t="s">
        <v>855</v>
      </c>
      <c r="Y1" s="156" t="s">
        <v>116</v>
      </c>
      <c r="Z1" s="156" t="s">
        <v>819</v>
      </c>
      <c r="AA1" s="77" t="s">
        <v>7162</v>
      </c>
      <c r="AB1" s="157" t="s">
        <v>110</v>
      </c>
      <c r="AC1" s="156" t="s">
        <v>820</v>
      </c>
      <c r="AD1" s="156" t="s">
        <v>817</v>
      </c>
      <c r="AE1" s="153" t="s">
        <v>855</v>
      </c>
      <c r="AF1" s="156" t="s">
        <v>806</v>
      </c>
      <c r="AG1" s="77" t="s">
        <v>4071</v>
      </c>
      <c r="AH1" s="156" t="s">
        <v>110</v>
      </c>
      <c r="AI1" s="158" t="s">
        <v>3448</v>
      </c>
      <c r="AJ1" s="159" t="s">
        <v>3449</v>
      </c>
      <c r="AK1" s="158" t="s">
        <v>3450</v>
      </c>
      <c r="AL1" s="156" t="s">
        <v>118</v>
      </c>
      <c r="AM1" s="160" t="s">
        <v>914</v>
      </c>
      <c r="AN1" s="160" t="s">
        <v>1766</v>
      </c>
      <c r="AO1" s="160" t="s">
        <v>1465</v>
      </c>
      <c r="AP1" s="160" t="s">
        <v>3758</v>
      </c>
      <c r="AQ1" s="364" t="s">
        <v>2083</v>
      </c>
      <c r="AR1" s="160" t="s">
        <v>1194</v>
      </c>
      <c r="AS1" s="160" t="s">
        <v>3494</v>
      </c>
      <c r="AT1" s="160" t="s">
        <v>3757</v>
      </c>
      <c r="AU1" s="160" t="s">
        <v>3749</v>
      </c>
      <c r="AV1" s="160" t="s">
        <v>4017</v>
      </c>
      <c r="AW1" s="160" t="s">
        <v>3750</v>
      </c>
      <c r="AX1" s="160" t="s">
        <v>4018</v>
      </c>
      <c r="AY1" s="160" t="s">
        <v>3751</v>
      </c>
      <c r="AZ1" s="160" t="s">
        <v>4019</v>
      </c>
      <c r="BA1" s="160" t="s">
        <v>3752</v>
      </c>
      <c r="BB1" s="160" t="s">
        <v>4020</v>
      </c>
      <c r="BC1" s="160" t="s">
        <v>3753</v>
      </c>
      <c r="BD1" s="160" t="s">
        <v>4021</v>
      </c>
      <c r="BE1" s="160"/>
      <c r="BF1" s="160"/>
    </row>
    <row r="2" spans="1:58" ht="17.100000000000001" customHeight="1" thickBot="1" x14ac:dyDescent="0.35">
      <c r="A2" s="52" t="str">
        <f t="shared" ref="A2:A78" si="0">B2&amp;" / "&amp;C2&amp;" / "&amp;D2&amp;" / "&amp;E2</f>
        <v xml:space="preserve">ACQ wood treatment /  /  / </v>
      </c>
      <c r="B2" s="52" t="s">
        <v>123</v>
      </c>
      <c r="C2" s="52"/>
      <c r="D2" s="52"/>
      <c r="E2" s="52"/>
      <c r="H2" s="52"/>
      <c r="I2" s="52" t="s">
        <v>124</v>
      </c>
      <c r="J2" s="52"/>
      <c r="K2" s="52">
        <v>174</v>
      </c>
      <c r="L2" s="52" t="s">
        <v>843</v>
      </c>
      <c r="M2" s="67">
        <f>(K2/T2)</f>
        <v>0.8029533917858791</v>
      </c>
      <c r="N2" s="52" t="s">
        <v>850</v>
      </c>
      <c r="O2" s="161" t="s">
        <v>1401</v>
      </c>
      <c r="P2" s="52"/>
      <c r="Q2" s="366" t="s">
        <v>1772</v>
      </c>
      <c r="R2" s="52"/>
      <c r="S2" s="52"/>
      <c r="T2" s="162">
        <v>216.7</v>
      </c>
      <c r="U2" s="52" t="s">
        <v>125</v>
      </c>
      <c r="V2" s="52"/>
      <c r="W2" s="52"/>
      <c r="X2" s="52"/>
      <c r="Y2" s="52"/>
      <c r="Z2" s="52"/>
      <c r="AA2" s="78">
        <f>_xlfn.NUMBERVALUE(IF(LEN(AG2)&gt;0,AG2,0))</f>
        <v>0</v>
      </c>
      <c r="AB2" s="52"/>
      <c r="AC2" s="52"/>
      <c r="AD2" s="52"/>
      <c r="AE2" s="52"/>
      <c r="AF2" s="52"/>
      <c r="AG2" s="78"/>
      <c r="AH2" s="52"/>
      <c r="AI2" s="163"/>
      <c r="AJ2" s="163"/>
      <c r="AK2" s="163"/>
      <c r="AL2" s="52"/>
      <c r="AN2" s="53">
        <v>1</v>
      </c>
      <c r="AR2" s="264" t="s">
        <v>1402</v>
      </c>
      <c r="AS2" s="372">
        <v>0.9</v>
      </c>
      <c r="AT2" s="53" t="b">
        <f>ISNUMBER(MATCH(IF(LEN('USER INPUT SHEET'!rng_province)&gt;0,'USER INPUT SHEET'!rng_province,"Canada"),$AU2:$BD2,0))</f>
        <v>0</v>
      </c>
      <c r="AU2" s="1285"/>
      <c r="AV2" s="1285"/>
      <c r="AW2" s="1285"/>
      <c r="AX2" s="1285"/>
      <c r="AY2" s="1285"/>
      <c r="AZ2" s="1285"/>
      <c r="BA2" s="1285"/>
      <c r="BB2" s="1285"/>
      <c r="BC2" s="1285"/>
      <c r="BD2" s="1285"/>
    </row>
    <row r="3" spans="1:58" ht="16.350000000000001" customHeight="1" x14ac:dyDescent="0.3">
      <c r="A3" s="53" t="str">
        <f>B3&amp;" / "&amp;C3&amp;" / "&amp;D3&amp;" / "&amp;E3</f>
        <v>Adobe block /  / 8" block wall / Avg of site made and factory made (Cyprus)</v>
      </c>
      <c r="B3" s="53" t="s">
        <v>126</v>
      </c>
      <c r="D3" s="53" t="s">
        <v>1426</v>
      </c>
      <c r="E3" s="53" t="s">
        <v>1427</v>
      </c>
      <c r="H3" s="53" t="s">
        <v>128</v>
      </c>
      <c r="I3" s="53" t="s">
        <v>1428</v>
      </c>
      <c r="K3" s="53">
        <v>6.6449999999999999E-3</v>
      </c>
      <c r="L3" s="53" t="s">
        <v>841</v>
      </c>
      <c r="M3" s="68">
        <f>(T3*K3)</f>
        <v>2.0254538114999998</v>
      </c>
      <c r="N3" s="53" t="s">
        <v>851</v>
      </c>
      <c r="O3" s="164" t="s">
        <v>1400</v>
      </c>
      <c r="Q3" s="367" t="s">
        <v>1772</v>
      </c>
      <c r="R3" s="59">
        <v>1500</v>
      </c>
      <c r="S3" s="53" t="s">
        <v>121</v>
      </c>
      <c r="T3" s="53">
        <f>24.22*12.585</f>
        <v>304.80869999999999</v>
      </c>
      <c r="U3" s="53" t="s">
        <v>130</v>
      </c>
      <c r="AA3" s="78">
        <f t="shared" ref="AA3:AA25" si="1">_xlfn.NUMBERVALUE(IF(LEN(AG3)&gt;0,AG3,0))</f>
        <v>0</v>
      </c>
      <c r="AG3" s="79"/>
      <c r="AN3" s="53">
        <v>2</v>
      </c>
      <c r="AR3" s="264" t="s">
        <v>1403</v>
      </c>
      <c r="AT3" s="53" t="b">
        <f>ISNUMBER(MATCH(IF(LEN('USER INPUT SHEET'!rng_province)&gt;0,'USER INPUT SHEET'!rng_province,"Canada"),$AU3:$BD3,0))</f>
        <v>0</v>
      </c>
      <c r="AU3" s="1286"/>
      <c r="AV3" s="1286"/>
      <c r="AW3" s="1286"/>
      <c r="AX3" s="1286"/>
      <c r="AY3" s="1286"/>
      <c r="AZ3" s="1286"/>
      <c r="BA3" s="1286"/>
      <c r="BB3" s="1286"/>
      <c r="BC3" s="1286"/>
      <c r="BD3" s="1286"/>
    </row>
    <row r="4" spans="1:58" ht="15.75" customHeight="1" x14ac:dyDescent="0.3">
      <c r="A4" s="54" t="str">
        <f t="shared" si="0"/>
        <v>(ARCHIVED 2026) Aerogel blanket / Aspen Aerogels /  / R9.6/inch, White/Grey blanket</v>
      </c>
      <c r="B4" s="53" t="s">
        <v>7280</v>
      </c>
      <c r="C4" s="53" t="s">
        <v>132</v>
      </c>
      <c r="E4" s="53" t="s">
        <v>1123</v>
      </c>
      <c r="I4" s="53" t="s">
        <v>129</v>
      </c>
      <c r="K4" s="53">
        <v>12.3</v>
      </c>
      <c r="L4" s="53" t="s">
        <v>844</v>
      </c>
      <c r="M4" s="69">
        <f>(K4/0.01*W4)</f>
        <v>18.45</v>
      </c>
      <c r="N4" s="164" t="s">
        <v>838</v>
      </c>
      <c r="O4" s="53" t="s">
        <v>134</v>
      </c>
      <c r="P4" s="53" t="s">
        <v>135</v>
      </c>
      <c r="Q4" s="367">
        <v>2020</v>
      </c>
      <c r="R4" s="53">
        <v>150</v>
      </c>
      <c r="S4" s="53" t="s">
        <v>121</v>
      </c>
      <c r="V4" s="53">
        <f>1/W4*0.0254*5.678</f>
        <v>9.614746666666667</v>
      </c>
      <c r="W4" s="53">
        <v>1.4999999999999999E-2</v>
      </c>
      <c r="X4" s="53" t="s">
        <v>136</v>
      </c>
      <c r="AA4" s="78">
        <f t="shared" si="1"/>
        <v>0</v>
      </c>
      <c r="AG4" s="80"/>
      <c r="AN4" s="53">
        <v>3</v>
      </c>
      <c r="AR4" s="264" t="str">
        <f ca="1">IF(LEN(Q4)=4,IF(Q4&lt;YEAR(NOW()),_xlfn.CONCAT(IF(LOWER(Setting!rng_language)="english","Expired ","Expiré "),Q4),""),"")</f>
        <v>Expired 2020</v>
      </c>
      <c r="AT4" s="53" t="b">
        <f>ISNUMBER(MATCH(IF(LEN('USER INPUT SHEET'!rng_province)&gt;0,'USER INPUT SHEET'!rng_province,"Canada"),$AU4:$BD4,0))</f>
        <v>0</v>
      </c>
      <c r="AU4" s="1286"/>
      <c r="AV4" s="1286"/>
      <c r="AW4" s="1286"/>
      <c r="AX4" s="1286"/>
      <c r="AY4" s="1286"/>
      <c r="AZ4" s="1286"/>
      <c r="BA4" s="1286"/>
      <c r="BB4" s="1286"/>
      <c r="BC4" s="1286"/>
      <c r="BD4" s="1286"/>
    </row>
    <row r="5" spans="1:58" ht="15.75" customHeight="1" x14ac:dyDescent="0.3">
      <c r="A5" s="50" t="str">
        <f>B5&amp;" / "&amp;C5&amp;" / "&amp;D5&amp;" / "&amp;E5</f>
        <v>Aggregate /  /  / Avg construction aggregate (gravel &amp; sand)</v>
      </c>
      <c r="B5" s="50" t="s">
        <v>946</v>
      </c>
      <c r="C5" s="50"/>
      <c r="D5" s="50"/>
      <c r="E5" s="50" t="s">
        <v>947</v>
      </c>
      <c r="F5" s="50"/>
      <c r="H5" s="50"/>
      <c r="I5" s="50" t="s">
        <v>129</v>
      </c>
      <c r="J5" s="50"/>
      <c r="K5" s="50">
        <v>9.52</v>
      </c>
      <c r="L5" s="50" t="s">
        <v>948</v>
      </c>
      <c r="M5" s="70">
        <f t="shared" ref="M5:M8" si="2">((K5*R5)/1000)</f>
        <v>16.012640000000001</v>
      </c>
      <c r="N5" s="50" t="s">
        <v>949</v>
      </c>
      <c r="O5" s="50" t="s">
        <v>950</v>
      </c>
      <c r="P5" s="50" t="s">
        <v>951</v>
      </c>
      <c r="Q5" s="172">
        <v>2023</v>
      </c>
      <c r="R5" s="166">
        <v>1682</v>
      </c>
      <c r="S5" s="50" t="s">
        <v>121</v>
      </c>
      <c r="T5" s="50"/>
      <c r="U5" s="50"/>
      <c r="V5" s="50"/>
      <c r="W5" s="50"/>
      <c r="X5" s="50"/>
      <c r="Y5" s="50">
        <v>0</v>
      </c>
      <c r="Z5" s="50"/>
      <c r="AA5" s="78">
        <f t="shared" si="1"/>
        <v>0</v>
      </c>
      <c r="AB5" s="50"/>
      <c r="AC5" s="50"/>
      <c r="AD5" s="50"/>
      <c r="AE5" s="50"/>
      <c r="AF5" s="50"/>
      <c r="AG5" s="81"/>
      <c r="AH5" s="50"/>
      <c r="AI5" s="167"/>
      <c r="AJ5" s="167"/>
      <c r="AK5" s="167"/>
      <c r="AL5" s="50"/>
      <c r="AN5" s="53">
        <v>4</v>
      </c>
      <c r="AR5" s="264" t="str">
        <f ca="1">IF(LEN(Q5)=4,IF(Q5&lt;YEAR(NOW()),_xlfn.CONCAT(IF(LOWER(Setting!rng_language)="english","Expired ","Expiré "),Q5),""),"")</f>
        <v>Expired 2023</v>
      </c>
      <c r="AT5" s="53" t="b">
        <f>ISNUMBER(MATCH(IF(LEN('USER INPUT SHEET'!rng_province)&gt;0,'USER INPUT SHEET'!rng_province,"Canada"),$AU5:$BD5,0))</f>
        <v>0</v>
      </c>
      <c r="AU5" s="1286"/>
      <c r="AV5" s="1286"/>
      <c r="AW5" s="1286"/>
      <c r="AX5" s="1286"/>
      <c r="AY5" s="1286"/>
      <c r="AZ5" s="1286"/>
      <c r="BA5" s="1286"/>
      <c r="BB5" s="1286"/>
      <c r="BC5" s="1286"/>
      <c r="BD5" s="1286"/>
    </row>
    <row r="6" spans="1:58" ht="15.75" customHeight="1" x14ac:dyDescent="0.3">
      <c r="A6" s="50" t="str">
        <f>B6&amp;" / "&amp;C6&amp;" / "&amp;D6&amp;" / "&amp;E6</f>
        <v>(ARCHIVED 2025) Aggregate / Kangley Rock &amp; Recycling /  / Avg construction aggregate (gravel &amp; sand)</v>
      </c>
      <c r="B6" s="50" t="s">
        <v>4100</v>
      </c>
      <c r="C6" s="50" t="s">
        <v>952</v>
      </c>
      <c r="D6" s="50"/>
      <c r="E6" s="50" t="s">
        <v>947</v>
      </c>
      <c r="F6" s="50"/>
      <c r="H6" s="50"/>
      <c r="I6" s="50" t="s">
        <v>129</v>
      </c>
      <c r="J6" s="50"/>
      <c r="K6" s="50">
        <v>5.07</v>
      </c>
      <c r="L6" s="50" t="s">
        <v>948</v>
      </c>
      <c r="M6" s="70">
        <f t="shared" si="2"/>
        <v>8.5277399999999997</v>
      </c>
      <c r="N6" s="50" t="s">
        <v>949</v>
      </c>
      <c r="O6" s="50" t="s">
        <v>953</v>
      </c>
      <c r="P6" s="50" t="s">
        <v>137</v>
      </c>
      <c r="Q6" s="172">
        <v>2023</v>
      </c>
      <c r="R6" s="166">
        <v>1682</v>
      </c>
      <c r="S6" s="50" t="s">
        <v>121</v>
      </c>
      <c r="T6" s="50"/>
      <c r="U6" s="50"/>
      <c r="V6" s="50"/>
      <c r="W6" s="50"/>
      <c r="X6" s="50"/>
      <c r="Y6" s="50"/>
      <c r="Z6" s="50"/>
      <c r="AA6" s="78">
        <f t="shared" si="1"/>
        <v>0</v>
      </c>
      <c r="AB6" s="50"/>
      <c r="AC6" s="50"/>
      <c r="AD6" s="50"/>
      <c r="AE6" s="50"/>
      <c r="AF6" s="50"/>
      <c r="AG6" s="81"/>
      <c r="AH6" s="50"/>
      <c r="AI6" s="167"/>
      <c r="AJ6" s="167"/>
      <c r="AK6" s="167"/>
      <c r="AL6" s="50"/>
      <c r="AN6" s="53">
        <v>5</v>
      </c>
      <c r="AR6" s="264" t="str">
        <f ca="1">IF(LEN(Q6)=4,IF(Q6&lt;YEAR(NOW()),_xlfn.CONCAT(IF(LOWER(Setting!rng_language)="english","Expired ","Expiré "),Q6),""),"")</f>
        <v>Expired 2023</v>
      </c>
      <c r="AT6" s="53" t="b">
        <f>ISNUMBER(MATCH(IF(LEN('USER INPUT SHEET'!rng_province)&gt;0,'USER INPUT SHEET'!rng_province,"Canada"),$AU6:$BD6,0))</f>
        <v>0</v>
      </c>
      <c r="AU6" s="1286"/>
      <c r="AV6" s="1286"/>
      <c r="AW6" s="1286"/>
      <c r="AX6" s="1286"/>
      <c r="AY6" s="1286"/>
      <c r="AZ6" s="1286"/>
      <c r="BA6" s="1286"/>
      <c r="BB6" s="1286"/>
      <c r="BC6" s="1286"/>
      <c r="BD6" s="1286"/>
    </row>
    <row r="7" spans="1:58" ht="15.75" customHeight="1" x14ac:dyDescent="0.3">
      <c r="A7" s="50" t="str">
        <f>B7&amp;" / "&amp;C7&amp;" / "&amp;D7&amp;" / "&amp;E7</f>
        <v>(ARCHIVED 2025) Aggregate / Martin Marietta /  / Avg construction aggregate (gravel &amp; sand)</v>
      </c>
      <c r="B7" s="50" t="s">
        <v>4100</v>
      </c>
      <c r="C7" s="50" t="s">
        <v>954</v>
      </c>
      <c r="D7" s="168"/>
      <c r="E7" s="50" t="s">
        <v>947</v>
      </c>
      <c r="F7" s="50"/>
      <c r="H7" s="50"/>
      <c r="I7" s="50" t="s">
        <v>129</v>
      </c>
      <c r="J7" s="50"/>
      <c r="K7" s="50">
        <v>2.57</v>
      </c>
      <c r="L7" s="50" t="s">
        <v>948</v>
      </c>
      <c r="M7" s="70">
        <f t="shared" si="2"/>
        <v>4.3227399999999996</v>
      </c>
      <c r="N7" s="50" t="s">
        <v>949</v>
      </c>
      <c r="O7" s="50" t="s">
        <v>955</v>
      </c>
      <c r="P7" s="50" t="s">
        <v>137</v>
      </c>
      <c r="Q7" s="172">
        <v>2022</v>
      </c>
      <c r="R7" s="166">
        <v>1682</v>
      </c>
      <c r="S7" s="50" t="s">
        <v>121</v>
      </c>
      <c r="T7" s="50"/>
      <c r="U7" s="50"/>
      <c r="V7" s="50"/>
      <c r="W7" s="50"/>
      <c r="X7" s="50"/>
      <c r="Y7" s="50"/>
      <c r="Z7" s="50"/>
      <c r="AA7" s="78">
        <f t="shared" si="1"/>
        <v>0</v>
      </c>
      <c r="AB7" s="50"/>
      <c r="AC7" s="50"/>
      <c r="AD7" s="50"/>
      <c r="AE7" s="50"/>
      <c r="AF7" s="50"/>
      <c r="AG7" s="81"/>
      <c r="AH7" s="50"/>
      <c r="AI7" s="167"/>
      <c r="AJ7" s="167"/>
      <c r="AK7" s="167"/>
      <c r="AL7" s="50"/>
      <c r="AN7" s="53">
        <v>6</v>
      </c>
      <c r="AR7" s="264" t="str">
        <f ca="1">IF(LEN(Q7)=4,IF(Q7&lt;YEAR(NOW()),_xlfn.CONCAT(IF(LOWER(Setting!rng_language)="english","Expired ","Expiré "),Q7),""),"")</f>
        <v>Expired 2022</v>
      </c>
      <c r="AT7" s="53" t="b">
        <f>ISNUMBER(MATCH(IF(LEN('USER INPUT SHEET'!rng_province)&gt;0,'USER INPUT SHEET'!rng_province,"Canada"),$AU7:$BD7,0))</f>
        <v>0</v>
      </c>
      <c r="AU7" s="1286"/>
      <c r="AV7" s="1286"/>
      <c r="AW7" s="1286"/>
      <c r="AX7" s="1286"/>
      <c r="AY7" s="1286"/>
      <c r="AZ7" s="1286"/>
      <c r="BA7" s="1286"/>
      <c r="BB7" s="1286"/>
      <c r="BC7" s="1286"/>
      <c r="BD7" s="1286"/>
    </row>
    <row r="8" spans="1:58" ht="15.75" customHeight="1" x14ac:dyDescent="0.3">
      <c r="A8" s="50" t="str">
        <f>B8&amp;" / "&amp;C8&amp;" / "&amp;D8&amp;" / "&amp;E8</f>
        <v>(ARCHIVED 2025) Aggregate / Polaris Mtls Corp. /  / Avg construction aggregate (gravel &amp; sand)</v>
      </c>
      <c r="B8" s="50" t="s">
        <v>4100</v>
      </c>
      <c r="C8" s="50" t="s">
        <v>956</v>
      </c>
      <c r="D8" s="50"/>
      <c r="E8" s="50" t="s">
        <v>947</v>
      </c>
      <c r="F8" s="50"/>
      <c r="H8" s="50"/>
      <c r="I8" s="50" t="s">
        <v>138</v>
      </c>
      <c r="J8" s="50"/>
      <c r="K8" s="50">
        <v>1.58</v>
      </c>
      <c r="L8" s="50" t="s">
        <v>948</v>
      </c>
      <c r="M8" s="70">
        <f t="shared" si="2"/>
        <v>2.6575600000000001</v>
      </c>
      <c r="N8" s="50" t="s">
        <v>949</v>
      </c>
      <c r="O8" s="50" t="s">
        <v>957</v>
      </c>
      <c r="P8" s="50" t="s">
        <v>137</v>
      </c>
      <c r="Q8" s="172">
        <v>2022</v>
      </c>
      <c r="R8" s="166">
        <v>1682</v>
      </c>
      <c r="S8" s="50" t="s">
        <v>121</v>
      </c>
      <c r="T8" s="50"/>
      <c r="U8" s="50"/>
      <c r="V8" s="50"/>
      <c r="W8" s="50"/>
      <c r="X8" s="50"/>
      <c r="Y8" s="50">
        <v>0</v>
      </c>
      <c r="Z8" s="50"/>
      <c r="AA8" s="78">
        <f t="shared" si="1"/>
        <v>0</v>
      </c>
      <c r="AB8" s="50"/>
      <c r="AC8" s="50"/>
      <c r="AD8" s="50"/>
      <c r="AE8" s="50"/>
      <c r="AF8" s="50"/>
      <c r="AG8" s="81"/>
      <c r="AH8" s="50"/>
      <c r="AI8" s="167"/>
      <c r="AJ8" s="167"/>
      <c r="AK8" s="167"/>
      <c r="AL8" s="50"/>
      <c r="AN8" s="53">
        <v>7</v>
      </c>
      <c r="AR8" s="264" t="str">
        <f ca="1">IF(LEN(Q8)=4,IF(Q8&lt;YEAR(NOW()),_xlfn.CONCAT(IF(LOWER(Setting!rng_language)="english","Expired ","Expiré "),Q8),""),"")</f>
        <v>Expired 2022</v>
      </c>
      <c r="AT8" s="53" t="b">
        <f>ISNUMBER(MATCH(IF(LEN('USER INPUT SHEET'!rng_province)&gt;0,'USER INPUT SHEET'!rng_province,"Canada"),$AU8:$BD8,0))</f>
        <v>0</v>
      </c>
      <c r="AU8" s="1286"/>
      <c r="AV8" s="1286"/>
      <c r="AW8" s="1286"/>
      <c r="AX8" s="1286"/>
      <c r="AY8" s="1286"/>
      <c r="AZ8" s="1286"/>
      <c r="BA8" s="1286"/>
      <c r="BB8" s="1286"/>
      <c r="BC8" s="1286"/>
      <c r="BD8" s="1286"/>
    </row>
    <row r="9" spans="1:58" ht="15.75" customHeight="1" x14ac:dyDescent="0.3">
      <c r="A9" s="50" t="str">
        <f>B9&amp;" / "&amp;C9&amp;" / "&amp;D9&amp;" / "&amp;E9</f>
        <v>(ARCHIVED 2025) Aggregate / Vulcan Mtls Co. /  / Avg construction aggregate (gravel &amp; sand)</v>
      </c>
      <c r="B9" s="50" t="s">
        <v>4100</v>
      </c>
      <c r="C9" s="50" t="s">
        <v>958</v>
      </c>
      <c r="D9" s="50"/>
      <c r="E9" s="50" t="s">
        <v>947</v>
      </c>
      <c r="F9" s="50"/>
      <c r="H9" s="50"/>
      <c r="I9" s="50" t="s">
        <v>129</v>
      </c>
      <c r="J9" s="50"/>
      <c r="K9" s="50">
        <v>5.7</v>
      </c>
      <c r="L9" s="50" t="s">
        <v>948</v>
      </c>
      <c r="M9" s="70">
        <f>((K9*R9)/1000)</f>
        <v>9.5873999999999988</v>
      </c>
      <c r="N9" s="50" t="s">
        <v>949</v>
      </c>
      <c r="O9" s="50" t="s">
        <v>959</v>
      </c>
      <c r="P9" s="50" t="s">
        <v>960</v>
      </c>
      <c r="Q9" s="172">
        <v>2021</v>
      </c>
      <c r="R9" s="166">
        <v>1682</v>
      </c>
      <c r="S9" s="50" t="s">
        <v>121</v>
      </c>
      <c r="T9" s="50"/>
      <c r="U9" s="50"/>
      <c r="V9" s="50"/>
      <c r="W9" s="50"/>
      <c r="X9" s="50"/>
      <c r="Y9" s="50">
        <v>0</v>
      </c>
      <c r="Z9" s="50"/>
      <c r="AA9" s="78">
        <f t="shared" si="1"/>
        <v>0</v>
      </c>
      <c r="AB9" s="50"/>
      <c r="AC9" s="50"/>
      <c r="AD9" s="50"/>
      <c r="AE9" s="50"/>
      <c r="AF9" s="50"/>
      <c r="AG9" s="81"/>
      <c r="AH9" s="50"/>
      <c r="AI9" s="167"/>
      <c r="AJ9" s="167"/>
      <c r="AK9" s="167"/>
      <c r="AL9" s="50"/>
      <c r="AN9" s="53">
        <v>8</v>
      </c>
      <c r="AR9" s="264" t="str">
        <f ca="1">IF(LEN(Q9)=4,IF(Q9&lt;YEAR(NOW()),_xlfn.CONCAT(IF(LOWER(Setting!rng_language)="english","Expired ","Expiré "),Q9),""),"")</f>
        <v>Expired 2021</v>
      </c>
      <c r="AT9" s="53" t="b">
        <f>ISNUMBER(MATCH(IF(LEN('USER INPUT SHEET'!rng_province)&gt;0,'USER INPUT SHEET'!rng_province,"Canada"),$AU9:$BD9,0))</f>
        <v>0</v>
      </c>
      <c r="AU9" s="1286"/>
      <c r="AV9" s="1286"/>
      <c r="AW9" s="1286"/>
      <c r="AX9" s="1286"/>
      <c r="AY9" s="1286"/>
      <c r="AZ9" s="1286"/>
      <c r="BA9" s="1286"/>
      <c r="BB9" s="1286"/>
      <c r="BC9" s="1286"/>
      <c r="BD9" s="1286"/>
    </row>
    <row r="10" spans="1:58" ht="15.75" customHeight="1" x14ac:dyDescent="0.3">
      <c r="A10" s="50" t="str">
        <f t="shared" si="0"/>
        <v>(ARCHIVED 2025) Air barrier / Dupont / Tyvek Fluid Applied Weather Barrier System - All components / 25 Perms</v>
      </c>
      <c r="B10" s="50" t="s">
        <v>4101</v>
      </c>
      <c r="C10" s="50" t="s">
        <v>139</v>
      </c>
      <c r="D10" s="50" t="s">
        <v>140</v>
      </c>
      <c r="E10" s="50" t="s">
        <v>3263</v>
      </c>
      <c r="F10" s="50"/>
      <c r="H10" s="50"/>
      <c r="I10" s="50" t="s">
        <v>129</v>
      </c>
      <c r="J10" s="50"/>
      <c r="K10" s="50">
        <v>3.5</v>
      </c>
      <c r="L10" s="50" t="s">
        <v>5</v>
      </c>
      <c r="M10" s="71">
        <f>(3.5)</f>
        <v>3.5</v>
      </c>
      <c r="N10" s="50" t="s">
        <v>5</v>
      </c>
      <c r="O10" s="50" t="s">
        <v>142</v>
      </c>
      <c r="P10" s="50" t="s">
        <v>143</v>
      </c>
      <c r="Q10" s="172">
        <v>2022</v>
      </c>
      <c r="R10" s="50">
        <v>0.89900000000000002</v>
      </c>
      <c r="S10" s="50" t="s">
        <v>141</v>
      </c>
      <c r="T10" s="50"/>
      <c r="U10" s="50"/>
      <c r="V10" s="50"/>
      <c r="W10" s="50"/>
      <c r="X10" s="50"/>
      <c r="Y10" s="50"/>
      <c r="Z10" s="50"/>
      <c r="AA10" s="78">
        <f t="shared" si="1"/>
        <v>0</v>
      </c>
      <c r="AB10" s="50"/>
      <c r="AC10" s="50"/>
      <c r="AD10" s="50"/>
      <c r="AE10" s="50"/>
      <c r="AF10" s="50"/>
      <c r="AG10" s="82"/>
      <c r="AH10" s="50"/>
      <c r="AI10" s="167"/>
      <c r="AJ10" s="167"/>
      <c r="AK10" s="167"/>
      <c r="AL10" s="50"/>
      <c r="AN10" s="53">
        <v>9</v>
      </c>
      <c r="AR10" s="264" t="str">
        <f ca="1">IF(LEN(Q10)=4,IF(Q10&lt;YEAR(NOW()),_xlfn.CONCAT(IF(LOWER(Setting!rng_language)="english","Expired ","Expiré "),Q10),""),"")</f>
        <v>Expired 2022</v>
      </c>
      <c r="AT10" s="53" t="b">
        <f>ISNUMBER(MATCH(IF(LEN('USER INPUT SHEET'!rng_province)&gt;0,'USER INPUT SHEET'!rng_province,"Canada"),$AU10:$BD10,0))</f>
        <v>0</v>
      </c>
      <c r="AU10" s="1286"/>
      <c r="AV10" s="1286"/>
      <c r="AW10" s="1286"/>
      <c r="AX10" s="1286"/>
      <c r="AY10" s="1286"/>
      <c r="AZ10" s="1286"/>
      <c r="BA10" s="1286"/>
      <c r="BB10" s="1286"/>
      <c r="BC10" s="1286"/>
      <c r="BD10" s="1286"/>
    </row>
    <row r="11" spans="1:58" ht="15.75" customHeight="1" x14ac:dyDescent="0.3">
      <c r="A11" s="50" t="str">
        <f t="shared" si="0"/>
        <v>(ARCHIVED 2025) Air barrier / Dupont / Tyvek HomeWrap / 54 Perms</v>
      </c>
      <c r="B11" s="50" t="s">
        <v>4101</v>
      </c>
      <c r="C11" s="50" t="s">
        <v>139</v>
      </c>
      <c r="D11" s="50" t="s">
        <v>3298</v>
      </c>
      <c r="E11" s="50" t="s">
        <v>144</v>
      </c>
      <c r="F11" s="50"/>
      <c r="H11" s="50"/>
      <c r="I11" s="50" t="s">
        <v>129</v>
      </c>
      <c r="J11" s="50"/>
      <c r="K11" s="50">
        <v>0.49</v>
      </c>
      <c r="L11" s="50" t="s">
        <v>5</v>
      </c>
      <c r="M11" s="71">
        <f>(0.49)</f>
        <v>0.49</v>
      </c>
      <c r="N11" s="50" t="s">
        <v>5</v>
      </c>
      <c r="O11" s="50" t="s">
        <v>145</v>
      </c>
      <c r="P11" s="50" t="s">
        <v>143</v>
      </c>
      <c r="Q11" s="172">
        <v>2022</v>
      </c>
      <c r="R11" s="50">
        <v>0.11</v>
      </c>
      <c r="S11" s="50" t="s">
        <v>141</v>
      </c>
      <c r="T11" s="50"/>
      <c r="U11" s="50"/>
      <c r="V11" s="50"/>
      <c r="W11" s="50"/>
      <c r="X11" s="50"/>
      <c r="Y11" s="50"/>
      <c r="Z11" s="50"/>
      <c r="AA11" s="78">
        <f t="shared" si="1"/>
        <v>0</v>
      </c>
      <c r="AB11" s="50"/>
      <c r="AC11" s="50"/>
      <c r="AD11" s="50"/>
      <c r="AE11" s="50"/>
      <c r="AF11" s="50"/>
      <c r="AG11" s="82"/>
      <c r="AH11" s="50"/>
      <c r="AI11" s="167"/>
      <c r="AJ11" s="167"/>
      <c r="AK11" s="167"/>
      <c r="AL11" s="50"/>
      <c r="AN11" s="53">
        <v>10</v>
      </c>
      <c r="AR11" s="264" t="str">
        <f ca="1">IF(LEN(Q11)=4,IF(Q11&lt;YEAR(NOW()),_xlfn.CONCAT(IF(LOWER(Setting!rng_language)="english","Expired ","Expiré "),Q11),""),"")</f>
        <v>Expired 2022</v>
      </c>
      <c r="AT11" s="53" t="b">
        <f>ISNUMBER(MATCH(IF(LEN('USER INPUT SHEET'!rng_province)&gt;0,'USER INPUT SHEET'!rng_province,"Canada"),$AU11:$BD11,0))</f>
        <v>0</v>
      </c>
      <c r="AU11" s="1286"/>
      <c r="AV11" s="1286"/>
      <c r="AW11" s="1286"/>
      <c r="AX11" s="1286"/>
      <c r="AY11" s="1286"/>
      <c r="AZ11" s="1286"/>
      <c r="BA11" s="1286"/>
      <c r="BB11" s="1286"/>
      <c r="BC11" s="1286"/>
      <c r="BD11" s="1286"/>
    </row>
    <row r="12" spans="1:58" ht="15.75" customHeight="1" x14ac:dyDescent="0.3">
      <c r="A12" s="50" t="str">
        <f t="shared" si="0"/>
        <v>(ARCHIVED 2025) Air barrier / GCP / Perm-a-Barrier VPL liquid applied permeable barrier / 15 Perms, 40 mils thickness</v>
      </c>
      <c r="B12" s="50" t="s">
        <v>4101</v>
      </c>
      <c r="C12" s="50" t="s">
        <v>146</v>
      </c>
      <c r="D12" s="50" t="s">
        <v>147</v>
      </c>
      <c r="E12" s="50" t="s">
        <v>148</v>
      </c>
      <c r="F12" s="50"/>
      <c r="H12" s="50"/>
      <c r="I12" s="50" t="s">
        <v>129</v>
      </c>
      <c r="J12" s="50"/>
      <c r="K12" s="50">
        <v>3.8</v>
      </c>
      <c r="L12" s="50" t="s">
        <v>5</v>
      </c>
      <c r="M12" s="71">
        <f>(3.8)</f>
        <v>3.8</v>
      </c>
      <c r="N12" s="50" t="s">
        <v>5</v>
      </c>
      <c r="O12" s="50" t="s">
        <v>149</v>
      </c>
      <c r="P12" s="50" t="s">
        <v>137</v>
      </c>
      <c r="Q12" s="172">
        <v>2022</v>
      </c>
      <c r="R12" s="50">
        <v>2.4169999999999998</v>
      </c>
      <c r="S12" s="50" t="s">
        <v>141</v>
      </c>
      <c r="T12" s="50"/>
      <c r="U12" s="50"/>
      <c r="V12" s="50"/>
      <c r="W12" s="50"/>
      <c r="X12" s="50"/>
      <c r="Y12" s="50"/>
      <c r="Z12" s="50"/>
      <c r="AA12" s="78">
        <f t="shared" si="1"/>
        <v>0</v>
      </c>
      <c r="AB12" s="50"/>
      <c r="AC12" s="50"/>
      <c r="AD12" s="50"/>
      <c r="AE12" s="50"/>
      <c r="AF12" s="50"/>
      <c r="AG12" s="82"/>
      <c r="AH12" s="50"/>
      <c r="AI12" s="167">
        <v>1.016E-3</v>
      </c>
      <c r="AJ12" s="167"/>
      <c r="AK12" s="167"/>
      <c r="AL12" s="50"/>
      <c r="AN12" s="53">
        <v>11</v>
      </c>
      <c r="AR12" s="264" t="str">
        <f ca="1">IF(LEN(Q12)=4,IF(Q12&lt;YEAR(NOW()),_xlfn.CONCAT(IF(LOWER(Setting!rng_language)="english","Expired ","Expiré "),Q12),""),"")</f>
        <v>Expired 2022</v>
      </c>
      <c r="AT12" s="53" t="b">
        <f>ISNUMBER(MATCH(IF(LEN('USER INPUT SHEET'!rng_province)&gt;0,'USER INPUT SHEET'!rng_province,"Canada"),$AU12:$BD12,0))</f>
        <v>0</v>
      </c>
      <c r="AU12" s="1286"/>
      <c r="AV12" s="1286"/>
      <c r="AW12" s="1286"/>
      <c r="AX12" s="1286"/>
      <c r="AY12" s="1286"/>
      <c r="AZ12" s="1286"/>
      <c r="BA12" s="1286"/>
      <c r="BB12" s="1286"/>
      <c r="BC12" s="1286"/>
      <c r="BD12" s="1286"/>
    </row>
    <row r="13" spans="1:58" ht="15.75" customHeight="1" x14ac:dyDescent="0.3">
      <c r="A13" s="50" t="str">
        <f t="shared" si="0"/>
        <v xml:space="preserve">(ARCHIVED 2025) Asphalt Shingles / Includes: Atlas, BP, CertainTeed, GAF, IKO, Malarkey, Owens Corning, Pabco /  / </v>
      </c>
      <c r="B13" s="50" t="s">
        <v>4102</v>
      </c>
      <c r="C13" s="50" t="s">
        <v>151</v>
      </c>
      <c r="D13" s="50"/>
      <c r="E13" s="50"/>
      <c r="F13" s="50"/>
      <c r="H13" s="50" t="s">
        <v>152</v>
      </c>
      <c r="I13" s="50" t="s">
        <v>124</v>
      </c>
      <c r="J13" s="50"/>
      <c r="K13" s="50">
        <v>5.0999999999999996</v>
      </c>
      <c r="L13" s="50" t="s">
        <v>5</v>
      </c>
      <c r="M13" s="71">
        <f>(5.1)</f>
        <v>5.0999999999999996</v>
      </c>
      <c r="N13" s="50" t="s">
        <v>5</v>
      </c>
      <c r="O13" s="53" t="s">
        <v>153</v>
      </c>
      <c r="P13" s="53" t="s">
        <v>143</v>
      </c>
      <c r="Q13" s="367">
        <v>2021</v>
      </c>
      <c r="R13" s="53">
        <v>12.7</v>
      </c>
      <c r="S13" s="53" t="s">
        <v>141</v>
      </c>
      <c r="AA13" s="78">
        <f t="shared" si="1"/>
        <v>0</v>
      </c>
      <c r="AG13" s="82"/>
      <c r="AN13" s="53">
        <v>12</v>
      </c>
      <c r="AR13" s="264" t="str">
        <f ca="1">IF(LEN(Q13)=4,IF(Q13&lt;YEAR(NOW()),_xlfn.CONCAT(IF(LOWER(Setting!rng_language)="english","Expired ","Expiré "),Q13),""),"")</f>
        <v>Expired 2021</v>
      </c>
      <c r="AT13" s="53" t="b">
        <f>ISNUMBER(MATCH(IF(LEN('USER INPUT SHEET'!rng_province)&gt;0,'USER INPUT SHEET'!rng_province,"Canada"),$AU13:$BD13,0))</f>
        <v>0</v>
      </c>
      <c r="AU13" s="1286"/>
      <c r="AV13" s="1286"/>
      <c r="AW13" s="1286"/>
      <c r="AX13" s="1286"/>
      <c r="AY13" s="1286"/>
      <c r="AZ13" s="1286"/>
      <c r="BA13" s="1286"/>
      <c r="BB13" s="1286"/>
      <c r="BC13" s="1286"/>
      <c r="BD13" s="1286"/>
    </row>
    <row r="14" spans="1:58" ht="15.75" customHeight="1" x14ac:dyDescent="0.3">
      <c r="A14" s="50" t="str">
        <f t="shared" si="0"/>
        <v xml:space="preserve">Asphalt Shingles / Asphalt Roofing Manufacturers Association / Fiberglass Asphalt Shingles  / </v>
      </c>
      <c r="B14" s="50" t="s">
        <v>150</v>
      </c>
      <c r="C14" s="50" t="s">
        <v>4103</v>
      </c>
      <c r="D14" s="50" t="s">
        <v>4104</v>
      </c>
      <c r="E14" s="50"/>
      <c r="F14" s="50"/>
      <c r="H14" s="50" t="s">
        <v>4105</v>
      </c>
      <c r="I14" s="50" t="s">
        <v>3515</v>
      </c>
      <c r="J14" s="401">
        <v>45328</v>
      </c>
      <c r="K14" s="50">
        <v>4.38</v>
      </c>
      <c r="L14" s="50" t="s">
        <v>3501</v>
      </c>
      <c r="M14" s="70">
        <v>4.38</v>
      </c>
      <c r="N14" s="50" t="s">
        <v>3501</v>
      </c>
      <c r="O14" s="53" t="s">
        <v>4106</v>
      </c>
      <c r="P14" s="53" t="s">
        <v>3502</v>
      </c>
      <c r="Q14" s="367">
        <v>2028</v>
      </c>
      <c r="R14" s="53">
        <v>12.39</v>
      </c>
      <c r="S14" s="53" t="s">
        <v>141</v>
      </c>
      <c r="AA14" s="78">
        <f t="shared" si="1"/>
        <v>0</v>
      </c>
      <c r="AG14" s="81"/>
      <c r="AN14" s="53" t="s">
        <v>2124</v>
      </c>
      <c r="AT14" s="53" t="b">
        <f>ISNUMBER(MATCH(IF(LEN('USER INPUT SHEET'!rng_province)&gt;0,'USER INPUT SHEET'!rng_province,"Canada"),$AU14:$BD14,0))</f>
        <v>0</v>
      </c>
      <c r="AU14" s="1286"/>
      <c r="AV14" s="1286"/>
      <c r="AW14" s="1286"/>
      <c r="AX14" s="1286"/>
      <c r="AY14" s="1286"/>
      <c r="AZ14" s="1286"/>
      <c r="BA14" s="1286"/>
      <c r="BB14" s="1286"/>
      <c r="BC14" s="1286"/>
      <c r="BD14" s="1286"/>
    </row>
    <row r="15" spans="1:58" ht="15.75" customHeight="1" x14ac:dyDescent="0.3">
      <c r="A15" s="50" t="str">
        <f t="shared" si="0"/>
        <v xml:space="preserve">Asphalt Shingles / Malarkey Roofing / Ecoasis NEX / </v>
      </c>
      <c r="B15" s="50" t="s">
        <v>150</v>
      </c>
      <c r="C15" s="50" t="s">
        <v>4107</v>
      </c>
      <c r="D15" s="50" t="s">
        <v>4108</v>
      </c>
      <c r="E15" s="50"/>
      <c r="F15" s="50"/>
      <c r="H15" s="50"/>
      <c r="I15" s="50" t="s">
        <v>3500</v>
      </c>
      <c r="J15" s="401">
        <v>45316</v>
      </c>
      <c r="K15" s="50">
        <v>282</v>
      </c>
      <c r="L15" s="50" t="s">
        <v>848</v>
      </c>
      <c r="M15" s="70">
        <v>2.82</v>
      </c>
      <c r="N15" s="50" t="s">
        <v>5</v>
      </c>
      <c r="O15" s="53" t="s">
        <v>4109</v>
      </c>
      <c r="P15" s="53" t="s">
        <v>3502</v>
      </c>
      <c r="Q15" s="401">
        <v>46379</v>
      </c>
      <c r="AA15" s="78">
        <f t="shared" si="1"/>
        <v>0</v>
      </c>
      <c r="AG15" s="81"/>
      <c r="AN15" s="53" t="s">
        <v>2063</v>
      </c>
      <c r="AT15" s="53" t="b">
        <f>ISNUMBER(MATCH(IF(LEN('USER INPUT SHEET'!rng_province)&gt;0,'USER INPUT SHEET'!rng_province,"Canada"),$AU15:$BD15,0))</f>
        <v>0</v>
      </c>
      <c r="AU15" s="1286"/>
      <c r="AV15" s="1286"/>
      <c r="AW15" s="1286"/>
      <c r="AX15" s="1286"/>
      <c r="AY15" s="1286"/>
      <c r="AZ15" s="1286"/>
      <c r="BA15" s="1286"/>
      <c r="BB15" s="1286"/>
      <c r="BC15" s="1286"/>
      <c r="BD15" s="1286"/>
    </row>
    <row r="16" spans="1:58" ht="15.75" customHeight="1" x14ac:dyDescent="0.3">
      <c r="A16" s="50" t="str">
        <f t="shared" si="0"/>
        <v xml:space="preserve">Asphalt Shingles / Malarkey Roofing / Ecoasis Premium / </v>
      </c>
      <c r="B16" s="50" t="s">
        <v>150</v>
      </c>
      <c r="C16" s="50" t="s">
        <v>4107</v>
      </c>
      <c r="D16" s="50" t="s">
        <v>4110</v>
      </c>
      <c r="E16" s="50"/>
      <c r="F16" s="50"/>
      <c r="H16" s="50"/>
      <c r="I16" s="50" t="s">
        <v>3500</v>
      </c>
      <c r="J16" s="401">
        <v>45316</v>
      </c>
      <c r="K16" s="50">
        <v>373</v>
      </c>
      <c r="L16" s="50" t="s">
        <v>848</v>
      </c>
      <c r="M16" s="70">
        <v>3.73</v>
      </c>
      <c r="N16" s="50" t="s">
        <v>5</v>
      </c>
      <c r="O16" s="53" t="s">
        <v>4109</v>
      </c>
      <c r="P16" s="53" t="s">
        <v>3502</v>
      </c>
      <c r="Q16" s="401">
        <v>46379</v>
      </c>
      <c r="AA16" s="78">
        <f t="shared" si="1"/>
        <v>0</v>
      </c>
      <c r="AG16" s="81"/>
      <c r="AN16" s="53" t="s">
        <v>2064</v>
      </c>
      <c r="AT16" s="53" t="b">
        <f>ISNUMBER(MATCH(IF(LEN('USER INPUT SHEET'!rng_province)&gt;0,'USER INPUT SHEET'!rng_province,"Canada"),$AU16:$BD16,0))</f>
        <v>0</v>
      </c>
      <c r="AU16" s="1286"/>
      <c r="AV16" s="1286"/>
      <c r="AW16" s="1286"/>
      <c r="AX16" s="1286"/>
      <c r="AY16" s="1286"/>
      <c r="AZ16" s="1286"/>
      <c r="BA16" s="1286"/>
      <c r="BB16" s="1286"/>
      <c r="BC16" s="1286"/>
      <c r="BD16" s="1286"/>
    </row>
    <row r="17" spans="1:56" ht="15.75" customHeight="1" x14ac:dyDescent="0.3">
      <c r="A17" s="50" t="str">
        <f t="shared" si="0"/>
        <v xml:space="preserve">Asphalt Shingles / Malarkey Roofing / Dura-Seal / </v>
      </c>
      <c r="B17" s="50" t="s">
        <v>150</v>
      </c>
      <c r="C17" s="50" t="s">
        <v>4107</v>
      </c>
      <c r="D17" s="50" t="s">
        <v>4111</v>
      </c>
      <c r="E17" s="50"/>
      <c r="F17" s="50"/>
      <c r="H17" s="50"/>
      <c r="I17" s="50" t="s">
        <v>3500</v>
      </c>
      <c r="J17" s="401">
        <v>45316</v>
      </c>
      <c r="K17" s="50">
        <v>225</v>
      </c>
      <c r="L17" s="50" t="s">
        <v>848</v>
      </c>
      <c r="M17" s="70">
        <v>2.25</v>
      </c>
      <c r="N17" s="50" t="s">
        <v>5</v>
      </c>
      <c r="O17" s="53" t="s">
        <v>4112</v>
      </c>
      <c r="P17" s="53" t="s">
        <v>3502</v>
      </c>
      <c r="Q17" s="401">
        <v>46379</v>
      </c>
      <c r="AA17" s="78">
        <f t="shared" si="1"/>
        <v>0</v>
      </c>
      <c r="AG17" s="81"/>
      <c r="AN17" s="53" t="s">
        <v>2067</v>
      </c>
      <c r="AT17" s="53" t="b">
        <f>ISNUMBER(MATCH(IF(LEN('USER INPUT SHEET'!rng_province)&gt;0,'USER INPUT SHEET'!rng_province,"Canada"),$AU17:$BD17,0))</f>
        <v>0</v>
      </c>
      <c r="AU17" s="1286"/>
      <c r="AV17" s="1286"/>
      <c r="AW17" s="1286"/>
      <c r="AX17" s="1286"/>
      <c r="AY17" s="1286"/>
      <c r="AZ17" s="1286"/>
      <c r="BA17" s="1286"/>
      <c r="BB17" s="1286"/>
      <c r="BC17" s="1286"/>
      <c r="BD17" s="1286"/>
    </row>
    <row r="18" spans="1:56" ht="15.75" customHeight="1" x14ac:dyDescent="0.3">
      <c r="A18" s="50" t="str">
        <f t="shared" si="0"/>
        <v xml:space="preserve">Asphalt Shingles / Malarkey Roofing / Highlander NEX / </v>
      </c>
      <c r="B18" s="50" t="s">
        <v>150</v>
      </c>
      <c r="C18" s="50" t="s">
        <v>4107</v>
      </c>
      <c r="D18" s="50" t="s">
        <v>4113</v>
      </c>
      <c r="E18" s="50"/>
      <c r="F18" s="50"/>
      <c r="H18" s="50"/>
      <c r="I18" s="50" t="s">
        <v>3500</v>
      </c>
      <c r="J18" s="401">
        <v>45316</v>
      </c>
      <c r="K18" s="50">
        <v>277</v>
      </c>
      <c r="L18" s="50" t="s">
        <v>848</v>
      </c>
      <c r="M18" s="70">
        <v>2.77</v>
      </c>
      <c r="N18" s="50" t="s">
        <v>5</v>
      </c>
      <c r="O18" s="53" t="s">
        <v>4114</v>
      </c>
      <c r="P18" s="53" t="s">
        <v>3502</v>
      </c>
      <c r="Q18" s="401">
        <v>46379</v>
      </c>
      <c r="AA18" s="78">
        <f t="shared" si="1"/>
        <v>0</v>
      </c>
      <c r="AG18" s="81"/>
      <c r="AN18" s="53" t="s">
        <v>2133</v>
      </c>
      <c r="AT18" s="53" t="b">
        <f>ISNUMBER(MATCH(IF(LEN('USER INPUT SHEET'!rng_province)&gt;0,'USER INPUT SHEET'!rng_province,"Canada"),$AU18:$BD18,0))</f>
        <v>0</v>
      </c>
      <c r="AU18" s="1286"/>
      <c r="AV18" s="1286"/>
      <c r="AW18" s="1286"/>
      <c r="AX18" s="1286"/>
      <c r="AY18" s="1286"/>
      <c r="AZ18" s="1286"/>
      <c r="BA18" s="1286"/>
      <c r="BB18" s="1286"/>
      <c r="BC18" s="1286"/>
      <c r="BD18" s="1286"/>
    </row>
    <row r="19" spans="1:56" ht="15.75" customHeight="1" x14ac:dyDescent="0.3">
      <c r="A19" s="50" t="str">
        <f t="shared" si="0"/>
        <v xml:space="preserve">Asphalt Shingles / Malarkey Roofing / Legacy / </v>
      </c>
      <c r="B19" s="50" t="s">
        <v>150</v>
      </c>
      <c r="C19" s="50" t="s">
        <v>4107</v>
      </c>
      <c r="D19" s="50" t="s">
        <v>4115</v>
      </c>
      <c r="E19" s="50"/>
      <c r="F19" s="50"/>
      <c r="H19" s="50"/>
      <c r="I19" s="50" t="s">
        <v>3500</v>
      </c>
      <c r="J19" s="401">
        <v>45316</v>
      </c>
      <c r="K19" s="50">
        <v>343</v>
      </c>
      <c r="L19" s="50" t="s">
        <v>848</v>
      </c>
      <c r="M19" s="70">
        <v>3.43</v>
      </c>
      <c r="N19" s="50" t="s">
        <v>5</v>
      </c>
      <c r="O19" s="53" t="s">
        <v>4116</v>
      </c>
      <c r="P19" s="53" t="s">
        <v>3502</v>
      </c>
      <c r="Q19" s="401">
        <v>46379</v>
      </c>
      <c r="AA19" s="78">
        <f t="shared" si="1"/>
        <v>0</v>
      </c>
      <c r="AG19" s="81"/>
      <c r="AN19" s="53" t="s">
        <v>2232</v>
      </c>
      <c r="AT19" s="53" t="b">
        <f>ISNUMBER(MATCH(IF(LEN('USER INPUT SHEET'!rng_province)&gt;0,'USER INPUT SHEET'!rng_province,"Canada"),$AU19:$BD19,0))</f>
        <v>0</v>
      </c>
      <c r="AU19" s="1286"/>
      <c r="AV19" s="1286"/>
      <c r="AW19" s="1286"/>
      <c r="AX19" s="1286"/>
      <c r="AY19" s="1286"/>
      <c r="AZ19" s="1286"/>
      <c r="BA19" s="1286"/>
      <c r="BB19" s="1286"/>
      <c r="BC19" s="1286"/>
      <c r="BD19" s="1286"/>
    </row>
    <row r="20" spans="1:56" ht="15.75" customHeight="1" x14ac:dyDescent="0.3">
      <c r="A20" s="50" t="str">
        <f t="shared" si="0"/>
        <v xml:space="preserve">Asphalt Shingles / Malarkey Roofing / Vista / </v>
      </c>
      <c r="B20" s="50" t="s">
        <v>150</v>
      </c>
      <c r="C20" s="50" t="s">
        <v>4107</v>
      </c>
      <c r="D20" s="50" t="s">
        <v>4117</v>
      </c>
      <c r="E20" s="50"/>
      <c r="F20" s="50"/>
      <c r="H20" s="50"/>
      <c r="I20" s="50" t="s">
        <v>3500</v>
      </c>
      <c r="J20" s="401">
        <v>45316</v>
      </c>
      <c r="K20" s="50">
        <v>299</v>
      </c>
      <c r="L20" s="50" t="s">
        <v>848</v>
      </c>
      <c r="M20" s="70">
        <v>2.99</v>
      </c>
      <c r="N20" s="50" t="s">
        <v>5</v>
      </c>
      <c r="O20" s="53" t="s">
        <v>4118</v>
      </c>
      <c r="P20" s="53" t="s">
        <v>3502</v>
      </c>
      <c r="Q20" s="401">
        <v>46379</v>
      </c>
      <c r="AA20" s="78">
        <f t="shared" si="1"/>
        <v>0</v>
      </c>
      <c r="AG20" s="81"/>
      <c r="AN20" s="53" t="s">
        <v>2136</v>
      </c>
      <c r="AT20" s="53" t="b">
        <f>ISNUMBER(MATCH(IF(LEN('USER INPUT SHEET'!rng_province)&gt;0,'USER INPUT SHEET'!rng_province,"Canada"),$AU20:$BD20,0))</f>
        <v>0</v>
      </c>
      <c r="AU20" s="1286"/>
      <c r="AV20" s="1286"/>
      <c r="AW20" s="1286"/>
      <c r="AX20" s="1286"/>
      <c r="AY20" s="1286"/>
      <c r="AZ20" s="1286"/>
      <c r="BA20" s="1286"/>
      <c r="BB20" s="1286"/>
      <c r="BC20" s="1286"/>
      <c r="BD20" s="1286"/>
    </row>
    <row r="21" spans="1:56" ht="15.75" customHeight="1" x14ac:dyDescent="0.3">
      <c r="A21" s="50" t="str">
        <f t="shared" si="0"/>
        <v xml:space="preserve">Asphalt Shingles / Malarkey Roofing / Windsor / </v>
      </c>
      <c r="B21" s="50" t="s">
        <v>150</v>
      </c>
      <c r="C21" s="50" t="s">
        <v>4107</v>
      </c>
      <c r="D21" s="50" t="s">
        <v>4119</v>
      </c>
      <c r="E21" s="50"/>
      <c r="F21" s="50"/>
      <c r="H21" s="50"/>
      <c r="I21" s="50" t="s">
        <v>3500</v>
      </c>
      <c r="J21" s="401">
        <v>45316</v>
      </c>
      <c r="K21" s="50">
        <v>453</v>
      </c>
      <c r="L21" s="50" t="s">
        <v>848</v>
      </c>
      <c r="M21" s="70">
        <v>4.53</v>
      </c>
      <c r="N21" s="50" t="s">
        <v>5</v>
      </c>
      <c r="O21" s="53" t="s">
        <v>4120</v>
      </c>
      <c r="P21" s="53" t="s">
        <v>3502</v>
      </c>
      <c r="Q21" s="401">
        <v>46379</v>
      </c>
      <c r="AA21" s="78">
        <f t="shared" si="1"/>
        <v>0</v>
      </c>
      <c r="AG21" s="81"/>
      <c r="AN21" s="53" t="s">
        <v>2313</v>
      </c>
      <c r="AT21" s="53" t="b">
        <f>ISNUMBER(MATCH(IF(LEN('USER INPUT SHEET'!rng_province)&gt;0,'USER INPUT SHEET'!rng_province,"Canada"),$AU21:$BD21,0))</f>
        <v>0</v>
      </c>
      <c r="AU21" s="1286"/>
      <c r="AV21" s="1286"/>
      <c r="AW21" s="1286"/>
      <c r="AX21" s="1286"/>
      <c r="AY21" s="1286"/>
      <c r="AZ21" s="1286"/>
      <c r="BA21" s="1286"/>
      <c r="BB21" s="1286"/>
      <c r="BC21" s="1286"/>
      <c r="BD21" s="1286"/>
    </row>
    <row r="22" spans="1:56" ht="15.75" customHeight="1" x14ac:dyDescent="0.3">
      <c r="A22" s="50" t="str">
        <f t="shared" si="0"/>
        <v>Asphalt Shingles / GAF / Timberline / Timberline</v>
      </c>
      <c r="B22" s="50" t="s">
        <v>150</v>
      </c>
      <c r="C22" s="50" t="s">
        <v>154</v>
      </c>
      <c r="D22" s="50" t="s">
        <v>155</v>
      </c>
      <c r="E22" s="50" t="s">
        <v>155</v>
      </c>
      <c r="F22" s="50"/>
      <c r="H22" s="50" t="s">
        <v>156</v>
      </c>
      <c r="I22" s="50" t="s">
        <v>129</v>
      </c>
      <c r="J22" s="50"/>
      <c r="K22" s="50">
        <v>3.88</v>
      </c>
      <c r="L22" s="50" t="s">
        <v>5</v>
      </c>
      <c r="M22" s="71">
        <f>(3.88)</f>
        <v>3.88</v>
      </c>
      <c r="N22" s="50" t="s">
        <v>5</v>
      </c>
      <c r="O22" s="53" t="s">
        <v>157</v>
      </c>
      <c r="P22" s="53" t="s">
        <v>158</v>
      </c>
      <c r="Q22" s="367">
        <v>2025</v>
      </c>
      <c r="R22" s="53">
        <v>9.83</v>
      </c>
      <c r="S22" s="53" t="s">
        <v>141</v>
      </c>
      <c r="AA22" s="78">
        <f t="shared" si="1"/>
        <v>0</v>
      </c>
      <c r="AG22" s="82"/>
      <c r="AN22" s="53">
        <v>13</v>
      </c>
      <c r="AR22" s="264" t="str">
        <f ca="1">IF(LEN(Q22)=4,IF(Q22&lt;YEAR(NOW()),_xlfn.CONCAT(IF(LOWER(Setting!rng_language)="english","Expired ","Expiré "),Q22),""),"")</f>
        <v>Expired 2025</v>
      </c>
      <c r="AT22" s="53" t="b">
        <f>ISNUMBER(MATCH(IF(LEN('USER INPUT SHEET'!rng_province)&gt;0,'USER INPUT SHEET'!rng_province,"Canada"),$AU22:$BD22,0))</f>
        <v>0</v>
      </c>
      <c r="AU22" s="1286"/>
      <c r="AV22" s="1286"/>
      <c r="AW22" s="1286"/>
      <c r="AX22" s="1286"/>
      <c r="AY22" s="1286"/>
      <c r="AZ22" s="1286"/>
      <c r="BA22" s="1286"/>
      <c r="BB22" s="1286"/>
      <c r="BC22" s="1286"/>
      <c r="BD22" s="1286"/>
    </row>
    <row r="23" spans="1:56" ht="15.75" customHeight="1" x14ac:dyDescent="0.3">
      <c r="A23" s="50" t="str">
        <f t="shared" si="0"/>
        <v xml:space="preserve">Asphalt Shingles / Owens Corning / Duration / </v>
      </c>
      <c r="B23" s="50" t="s">
        <v>150</v>
      </c>
      <c r="C23" s="50" t="s">
        <v>159</v>
      </c>
      <c r="D23" s="50" t="s">
        <v>160</v>
      </c>
      <c r="E23" s="50"/>
      <c r="F23" s="50"/>
      <c r="H23" s="50"/>
      <c r="I23" s="50" t="s">
        <v>129</v>
      </c>
      <c r="J23" s="50"/>
      <c r="K23" s="50">
        <v>3.49</v>
      </c>
      <c r="L23" s="50" t="s">
        <v>5</v>
      </c>
      <c r="M23" s="71">
        <f>(3.49)</f>
        <v>3.49</v>
      </c>
      <c r="N23" s="50" t="s">
        <v>5</v>
      </c>
      <c r="O23" s="53" t="s">
        <v>161</v>
      </c>
      <c r="P23" s="53" t="s">
        <v>143</v>
      </c>
      <c r="Q23" s="367">
        <v>2025</v>
      </c>
      <c r="R23" s="53">
        <v>10.119999999999999</v>
      </c>
      <c r="S23" s="53" t="s">
        <v>141</v>
      </c>
      <c r="AA23" s="78">
        <f t="shared" si="1"/>
        <v>0</v>
      </c>
      <c r="AG23" s="82"/>
      <c r="AN23" s="53">
        <v>14</v>
      </c>
      <c r="AR23" s="264" t="str">
        <f ca="1">IF(LEN(Q23)=4,IF(Q23&lt;YEAR(NOW()),_xlfn.CONCAT(IF(LOWER(Setting!rng_language)="english","Expired ","Expiré "),Q23),""),"")</f>
        <v>Expired 2025</v>
      </c>
      <c r="AT23" s="53" t="b">
        <f>ISNUMBER(MATCH(IF(LEN('USER INPUT SHEET'!rng_province)&gt;0,'USER INPUT SHEET'!rng_province,"Canada"),$AU23:$BD23,0))</f>
        <v>0</v>
      </c>
      <c r="AU23" s="1286"/>
      <c r="AV23" s="1286"/>
      <c r="AW23" s="1286"/>
      <c r="AX23" s="1286"/>
      <c r="AY23" s="1286"/>
      <c r="AZ23" s="1286"/>
      <c r="BA23" s="1286"/>
      <c r="BB23" s="1286"/>
      <c r="BC23" s="1286"/>
      <c r="BD23" s="1286"/>
    </row>
    <row r="24" spans="1:56" ht="15.75" customHeight="1" x14ac:dyDescent="0.3">
      <c r="A24" s="50" t="str">
        <f t="shared" si="0"/>
        <v xml:space="preserve">Asphalt Shingles / Owens Corning / Oakridge / </v>
      </c>
      <c r="B24" s="50" t="s">
        <v>150</v>
      </c>
      <c r="C24" s="50" t="s">
        <v>159</v>
      </c>
      <c r="D24" s="50" t="s">
        <v>162</v>
      </c>
      <c r="E24" s="50"/>
      <c r="F24" s="50"/>
      <c r="H24" s="50"/>
      <c r="I24" s="50" t="s">
        <v>129</v>
      </c>
      <c r="J24" s="50"/>
      <c r="K24" s="50">
        <v>3.21</v>
      </c>
      <c r="L24" s="50" t="s">
        <v>5</v>
      </c>
      <c r="M24" s="71">
        <f>(3.21)</f>
        <v>3.21</v>
      </c>
      <c r="N24" s="50" t="s">
        <v>5</v>
      </c>
      <c r="O24" s="53" t="s">
        <v>163</v>
      </c>
      <c r="P24" s="53" t="s">
        <v>143</v>
      </c>
      <c r="Q24" s="367">
        <v>2025</v>
      </c>
      <c r="R24" s="53">
        <v>9.93</v>
      </c>
      <c r="S24" s="53" t="s">
        <v>141</v>
      </c>
      <c r="AA24" s="78">
        <f t="shared" si="1"/>
        <v>0</v>
      </c>
      <c r="AG24" s="82"/>
      <c r="AN24" s="53">
        <v>15</v>
      </c>
      <c r="AR24" s="264" t="str">
        <f ca="1">IF(LEN(Q24)=4,IF(Q24&lt;YEAR(NOW()),_xlfn.CONCAT(IF(LOWER(Setting!rng_language)="english","Expired ","Expiré "),Q24),""),"")</f>
        <v>Expired 2025</v>
      </c>
      <c r="AT24" s="53" t="b">
        <f>ISNUMBER(MATCH(IF(LEN('USER INPUT SHEET'!rng_province)&gt;0,'USER INPUT SHEET'!rng_province,"Canada"),$AU24:$BD24,0))</f>
        <v>0</v>
      </c>
      <c r="AU24" s="1286"/>
      <c r="AV24" s="1286"/>
      <c r="AW24" s="1286"/>
      <c r="AX24" s="1286"/>
      <c r="AY24" s="1286"/>
      <c r="AZ24" s="1286"/>
      <c r="BA24" s="1286"/>
      <c r="BB24" s="1286"/>
      <c r="BC24" s="1286"/>
      <c r="BD24" s="1286"/>
    </row>
    <row r="25" spans="1:56" ht="15.75" customHeight="1" x14ac:dyDescent="0.3">
      <c r="A25" s="50" t="str">
        <f t="shared" si="0"/>
        <v xml:space="preserve">Asphalt Shingles / Owens Corning / Supreme / </v>
      </c>
      <c r="B25" s="50" t="s">
        <v>150</v>
      </c>
      <c r="C25" s="50" t="s">
        <v>159</v>
      </c>
      <c r="D25" s="50" t="s">
        <v>164</v>
      </c>
      <c r="E25" s="50"/>
      <c r="F25" s="50"/>
      <c r="H25" s="50"/>
      <c r="I25" s="50" t="s">
        <v>129</v>
      </c>
      <c r="J25" s="50"/>
      <c r="K25" s="50">
        <v>2.75</v>
      </c>
      <c r="L25" s="50" t="s">
        <v>5</v>
      </c>
      <c r="M25" s="71">
        <f>(2.75)</f>
        <v>2.75</v>
      </c>
      <c r="N25" s="50" t="s">
        <v>5</v>
      </c>
      <c r="O25" s="53" t="s">
        <v>165</v>
      </c>
      <c r="P25" s="53" t="s">
        <v>143</v>
      </c>
      <c r="Q25" s="367">
        <v>2025</v>
      </c>
      <c r="R25" s="53">
        <v>9.26</v>
      </c>
      <c r="S25" s="53" t="s">
        <v>141</v>
      </c>
      <c r="AA25" s="78">
        <f t="shared" si="1"/>
        <v>0</v>
      </c>
      <c r="AG25" s="82"/>
      <c r="AN25" s="53">
        <v>16</v>
      </c>
      <c r="AR25" s="264" t="str">
        <f ca="1">IF(LEN(Q25)=4,IF(Q25&lt;YEAR(NOW()),_xlfn.CONCAT(IF(LOWER(Setting!rng_language)="english","Expired ","Expiré "),Q25),""),"")</f>
        <v>Expired 2025</v>
      </c>
      <c r="AT25" s="53" t="b">
        <f>ISNUMBER(MATCH(IF(LEN('USER INPUT SHEET'!rng_province)&gt;0,'USER INPUT SHEET'!rng_province,"Canada"),$AU25:$BD25,0))</f>
        <v>0</v>
      </c>
      <c r="AU25" s="1286"/>
      <c r="AV25" s="1286"/>
      <c r="AW25" s="1286"/>
      <c r="AX25" s="1286"/>
      <c r="AY25" s="1286"/>
      <c r="AZ25" s="1286"/>
      <c r="BA25" s="1286"/>
      <c r="BB25" s="1286"/>
      <c r="BC25" s="1286"/>
      <c r="BD25" s="1286"/>
    </row>
    <row r="26" spans="1:56" ht="15.75" customHeight="1" x14ac:dyDescent="0.3">
      <c r="A26" s="50" t="str">
        <f t="shared" si="0"/>
        <v>(ARCHIVED 2025) Bamboo plywood / Smith &amp; Fong / Plyboo / 1/2" (12.7 mm)</v>
      </c>
      <c r="B26" s="50" t="s">
        <v>4121</v>
      </c>
      <c r="C26" s="50" t="s">
        <v>167</v>
      </c>
      <c r="D26" s="50" t="s">
        <v>168</v>
      </c>
      <c r="E26" s="50" t="s">
        <v>169</v>
      </c>
      <c r="F26" s="50"/>
      <c r="H26" s="50"/>
      <c r="I26" s="50" t="s">
        <v>170</v>
      </c>
      <c r="J26" s="50"/>
      <c r="K26" s="50">
        <v>3.6</v>
      </c>
      <c r="L26" s="50" t="s">
        <v>841</v>
      </c>
      <c r="M26" s="71">
        <f>(T26*K26)</f>
        <v>31.546800000000001</v>
      </c>
      <c r="N26" s="53" t="s">
        <v>823</v>
      </c>
      <c r="O26" s="50" t="s">
        <v>171</v>
      </c>
      <c r="P26" s="50" t="s">
        <v>137</v>
      </c>
      <c r="Q26" s="172">
        <v>2022</v>
      </c>
      <c r="R26" s="50">
        <v>690</v>
      </c>
      <c r="S26" s="50" t="s">
        <v>121</v>
      </c>
      <c r="T26" s="50">
        <f>R26*0.0127</f>
        <v>8.7629999999999999</v>
      </c>
      <c r="U26" s="53" t="s">
        <v>912</v>
      </c>
      <c r="V26" s="50"/>
      <c r="W26" s="50"/>
      <c r="X26" s="50"/>
      <c r="Y26" s="50">
        <v>0.98</v>
      </c>
      <c r="Z26" s="169">
        <v>0.47199999999999998</v>
      </c>
      <c r="AA26" s="82">
        <f>(44/12*AD26)*rng_biogenic_storage</f>
        <v>13.376263824</v>
      </c>
      <c r="AB26" s="53" t="s">
        <v>911</v>
      </c>
      <c r="AC26" s="50">
        <v>1.7</v>
      </c>
      <c r="AD26" s="50">
        <f>T26*Y26*Z26</f>
        <v>4.05341328</v>
      </c>
      <c r="AE26" s="50"/>
      <c r="AF26" s="50"/>
      <c r="AG26" s="82"/>
      <c r="AH26" s="50"/>
      <c r="AI26" s="167"/>
      <c r="AJ26" s="167"/>
      <c r="AK26" s="167"/>
      <c r="AL26" s="50"/>
      <c r="AN26" s="53">
        <v>17</v>
      </c>
      <c r="AR26" s="264" t="str">
        <f ca="1">IF(LEN(Q26)=4,IF(Q26&lt;YEAR(NOW()),_xlfn.CONCAT(IF(LOWER(Setting!rng_language)="english","Expired ","Expiré "),Q26),""),"")</f>
        <v>Expired 2022</v>
      </c>
      <c r="AT26" s="53" t="b">
        <f>ISNUMBER(MATCH(IF(LEN('USER INPUT SHEET'!rng_province)&gt;0,'USER INPUT SHEET'!rng_province,"Canada"),$AU26:$BD26,0))</f>
        <v>0</v>
      </c>
      <c r="AU26" s="1286"/>
      <c r="AV26" s="1286"/>
      <c r="AW26" s="1286"/>
      <c r="AX26" s="1286"/>
      <c r="AY26" s="1286"/>
      <c r="AZ26" s="1286"/>
      <c r="BA26" s="1286"/>
      <c r="BB26" s="1286"/>
      <c r="BC26" s="1286"/>
      <c r="BD26" s="1286"/>
    </row>
    <row r="27" spans="1:56" ht="15.75" customHeight="1" x14ac:dyDescent="0.3">
      <c r="A27" s="50" t="str">
        <f t="shared" si="0"/>
        <v>Bamboo plywood / Smith &amp; Fong / Plyboo / 1/2" (12.7 mm)</v>
      </c>
      <c r="B27" s="50" t="s">
        <v>166</v>
      </c>
      <c r="C27" s="50" t="s">
        <v>167</v>
      </c>
      <c r="D27" s="50" t="s">
        <v>168</v>
      </c>
      <c r="E27" s="50" t="s">
        <v>169</v>
      </c>
      <c r="F27" s="50"/>
      <c r="H27" s="50" t="s">
        <v>4122</v>
      </c>
      <c r="I27" s="50" t="s">
        <v>170</v>
      </c>
      <c r="J27" s="401">
        <v>45324</v>
      </c>
      <c r="K27" s="50">
        <v>250</v>
      </c>
      <c r="L27" s="50" t="s">
        <v>3</v>
      </c>
      <c r="M27" s="70">
        <v>3.1749999999999998</v>
      </c>
      <c r="N27" s="53" t="s">
        <v>4123</v>
      </c>
      <c r="O27" s="50" t="s">
        <v>4124</v>
      </c>
      <c r="P27" s="50" t="s">
        <v>4125</v>
      </c>
      <c r="Q27" s="172">
        <v>2028</v>
      </c>
      <c r="R27" s="50">
        <v>690</v>
      </c>
      <c r="S27" s="50" t="s">
        <v>121</v>
      </c>
      <c r="T27" s="50">
        <v>8.7629999999999999</v>
      </c>
      <c r="U27" s="53" t="s">
        <v>525</v>
      </c>
      <c r="V27" s="50"/>
      <c r="W27" s="50"/>
      <c r="X27" s="50"/>
      <c r="Y27" s="50">
        <v>0.95</v>
      </c>
      <c r="Z27" s="377">
        <v>0.47199999999999998</v>
      </c>
      <c r="AA27" s="81">
        <f>(44/12*AD27)*rng_biogenic_storage</f>
        <v>12.966786359999999</v>
      </c>
      <c r="AB27" s="53" t="s">
        <v>1289</v>
      </c>
      <c r="AC27" s="50"/>
      <c r="AD27" s="50">
        <f>T27*Y27*Z27</f>
        <v>3.9293291999999997</v>
      </c>
      <c r="AE27" s="50"/>
      <c r="AF27" s="50"/>
      <c r="AG27" s="81"/>
      <c r="AH27" s="50"/>
      <c r="AI27" s="167"/>
      <c r="AJ27" s="167"/>
      <c r="AK27" s="167">
        <v>1.2699999999999999E-2</v>
      </c>
      <c r="AL27" s="50"/>
      <c r="AN27" s="53" t="s">
        <v>2369</v>
      </c>
      <c r="AT27" s="53" t="b">
        <f>ISNUMBER(MATCH(IF(LEN('USER INPUT SHEET'!rng_province)&gt;0,'USER INPUT SHEET'!rng_province,"Canada"),$AU27:$BD27,0))</f>
        <v>0</v>
      </c>
      <c r="AU27" s="1286"/>
      <c r="AV27" s="1286"/>
      <c r="AW27" s="1286"/>
      <c r="AX27" s="1286"/>
      <c r="AY27" s="1286"/>
      <c r="AZ27" s="1286"/>
      <c r="BA27" s="1286"/>
      <c r="BB27" s="1286"/>
      <c r="BC27" s="1286"/>
      <c r="BD27" s="1286"/>
    </row>
    <row r="28" spans="1:56" ht="15.75" customHeight="1" x14ac:dyDescent="0.3">
      <c r="A28" s="50" t="str">
        <f t="shared" si="0"/>
        <v>Bamboo plywood / Smith &amp; Fong / Plyboo / 3/4" (19 mm)</v>
      </c>
      <c r="B28" s="50" t="s">
        <v>166</v>
      </c>
      <c r="C28" s="50" t="s">
        <v>167</v>
      </c>
      <c r="D28" s="50" t="s">
        <v>168</v>
      </c>
      <c r="E28" s="50" t="s">
        <v>4126</v>
      </c>
      <c r="F28" s="50"/>
      <c r="H28" s="50" t="s">
        <v>4122</v>
      </c>
      <c r="I28" s="50" t="s">
        <v>170</v>
      </c>
      <c r="J28" s="401">
        <v>45324</v>
      </c>
      <c r="K28" s="50">
        <v>250</v>
      </c>
      <c r="L28" s="50" t="s">
        <v>3</v>
      </c>
      <c r="M28" s="70">
        <v>4.75</v>
      </c>
      <c r="N28" s="53" t="s">
        <v>4123</v>
      </c>
      <c r="O28" s="50" t="s">
        <v>4124</v>
      </c>
      <c r="P28" s="50" t="s">
        <v>4125</v>
      </c>
      <c r="Q28" s="172">
        <v>2028</v>
      </c>
      <c r="R28" s="50">
        <v>690</v>
      </c>
      <c r="S28" s="50" t="s">
        <v>121</v>
      </c>
      <c r="T28" s="50">
        <v>13.11</v>
      </c>
      <c r="U28" s="53" t="s">
        <v>419</v>
      </c>
      <c r="V28" s="50"/>
      <c r="W28" s="50"/>
      <c r="X28" s="50"/>
      <c r="Y28" s="50">
        <v>0.95</v>
      </c>
      <c r="Z28" s="377">
        <v>0.47199999999999998</v>
      </c>
      <c r="AA28" s="81">
        <f>(44/12*AD28)*rng_biogenic_storage</f>
        <v>19.399129200000001</v>
      </c>
      <c r="AB28" s="53" t="s">
        <v>1289</v>
      </c>
      <c r="AC28" s="50"/>
      <c r="AD28" s="50">
        <f>T28*Y28*Z28</f>
        <v>5.8785239999999996</v>
      </c>
      <c r="AE28" s="50"/>
      <c r="AF28" s="50"/>
      <c r="AG28" s="81"/>
      <c r="AH28" s="50"/>
      <c r="AI28" s="167"/>
      <c r="AJ28" s="167"/>
      <c r="AK28" s="167">
        <v>1.9E-2</v>
      </c>
      <c r="AL28" s="50"/>
      <c r="AN28" s="53" t="s">
        <v>2075</v>
      </c>
      <c r="AT28" s="53" t="b">
        <f>ISNUMBER(MATCH(IF(LEN('USER INPUT SHEET'!rng_province)&gt;0,'USER INPUT SHEET'!rng_province,"Canada"),$AU28:$BD28,0))</f>
        <v>0</v>
      </c>
      <c r="AU28" s="1286"/>
      <c r="AV28" s="1286"/>
      <c r="AW28" s="1286"/>
      <c r="AX28" s="1286"/>
      <c r="AY28" s="1286"/>
      <c r="AZ28" s="1286"/>
      <c r="BA28" s="1286"/>
      <c r="BB28" s="1286"/>
      <c r="BC28" s="1286"/>
      <c r="BD28" s="1286"/>
    </row>
    <row r="29" spans="1:56" ht="15.75" customHeight="1" x14ac:dyDescent="0.3">
      <c r="A29" s="50" t="str">
        <f t="shared" si="0"/>
        <v>(ARCHIVED 2026) BioBased Tile / Armstrong / BioBased Tile / Non-PVC with BioStride polyester binder, Striations BBT and Migrations BBT</v>
      </c>
      <c r="B29" s="50" t="s">
        <v>7276</v>
      </c>
      <c r="C29" s="50" t="s">
        <v>173</v>
      </c>
      <c r="D29" s="50" t="s">
        <v>172</v>
      </c>
      <c r="E29" s="50" t="s">
        <v>174</v>
      </c>
      <c r="F29" s="50"/>
      <c r="H29" s="50"/>
      <c r="I29" s="50" t="s">
        <v>129</v>
      </c>
      <c r="J29" s="50"/>
      <c r="K29" s="50">
        <v>4.55</v>
      </c>
      <c r="L29" s="50" t="s">
        <v>5</v>
      </c>
      <c r="M29" s="71">
        <f>(4.55)</f>
        <v>4.55</v>
      </c>
      <c r="N29" s="50" t="s">
        <v>5</v>
      </c>
      <c r="O29" s="50" t="s">
        <v>175</v>
      </c>
      <c r="P29" s="53" t="s">
        <v>137</v>
      </c>
      <c r="Q29" s="367">
        <v>2024</v>
      </c>
      <c r="R29" s="53">
        <v>7.03</v>
      </c>
      <c r="S29" s="53" t="s">
        <v>141</v>
      </c>
      <c r="AA29" s="78">
        <f t="shared" ref="AA29:AA44" si="3">_xlfn.NUMBERVALUE(IF(LEN(AG29)&gt;0,AG29,0))</f>
        <v>0</v>
      </c>
      <c r="AG29" s="82"/>
      <c r="AI29" s="165">
        <v>3.1749999999999999E-3</v>
      </c>
      <c r="AN29" s="53">
        <v>18</v>
      </c>
      <c r="AR29" s="264" t="str">
        <f ca="1">IF(LEN(Q29)=4,IF(Q29&lt;YEAR(NOW()),_xlfn.CONCAT(IF(LOWER(Setting!rng_language)="english","Expired ","Expiré "),Q29),""),"")</f>
        <v>Expired 2024</v>
      </c>
      <c r="AT29" s="53" t="b">
        <f>ISNUMBER(MATCH(IF(LEN('USER INPUT SHEET'!rng_province)&gt;0,'USER INPUT SHEET'!rng_province,"Canada"),$AU29:$BD29,0))</f>
        <v>0</v>
      </c>
      <c r="AU29" s="1286"/>
      <c r="AV29" s="1286"/>
      <c r="AW29" s="1286"/>
      <c r="AX29" s="1286"/>
      <c r="AY29" s="1286"/>
      <c r="AZ29" s="1286"/>
      <c r="BA29" s="1286"/>
      <c r="BB29" s="1286"/>
      <c r="BC29" s="1286"/>
      <c r="BD29" s="1286"/>
    </row>
    <row r="30" spans="1:56" ht="15.75" customHeight="1" x14ac:dyDescent="0.3">
      <c r="A30" s="50" t="str">
        <f t="shared" si="0"/>
        <v>(ARCHIVED 2025) Brick, Calcium Silicate / Arriscraft / Contemporary Brick / 3-1/8" x 3-1/2" x any length, incl. mortar and ties</v>
      </c>
      <c r="B30" s="50" t="s">
        <v>4127</v>
      </c>
      <c r="C30" s="50" t="s">
        <v>176</v>
      </c>
      <c r="D30" s="50" t="s">
        <v>177</v>
      </c>
      <c r="E30" s="50" t="s">
        <v>1019</v>
      </c>
      <c r="F30" s="50"/>
      <c r="H30" s="50" t="s">
        <v>1013</v>
      </c>
      <c r="I30" s="50" t="s">
        <v>138</v>
      </c>
      <c r="J30" s="50"/>
      <c r="K30" s="50">
        <v>280</v>
      </c>
      <c r="L30" s="50" t="s">
        <v>845</v>
      </c>
      <c r="M30" s="71">
        <f>(K30/9.29)</f>
        <v>30.139935414424116</v>
      </c>
      <c r="N30" s="50" t="s">
        <v>5</v>
      </c>
      <c r="O30" s="50" t="s">
        <v>178</v>
      </c>
      <c r="P30" s="50" t="s">
        <v>137</v>
      </c>
      <c r="Q30" s="172">
        <v>2021</v>
      </c>
      <c r="R30" s="50">
        <v>2082</v>
      </c>
      <c r="S30" s="50" t="s">
        <v>121</v>
      </c>
      <c r="T30" s="50"/>
      <c r="U30" s="50"/>
      <c r="V30" s="50"/>
      <c r="W30" s="50"/>
      <c r="X30" s="50"/>
      <c r="Y30" s="50"/>
      <c r="Z30" s="50"/>
      <c r="AA30" s="78">
        <f t="shared" si="3"/>
        <v>0</v>
      </c>
      <c r="AB30" s="50"/>
      <c r="AC30" s="50"/>
      <c r="AD30" s="50"/>
      <c r="AE30" s="50"/>
      <c r="AF30" s="50"/>
      <c r="AG30" s="82"/>
      <c r="AH30" s="50"/>
      <c r="AI30" s="167">
        <v>7.9000000000000001E-2</v>
      </c>
      <c r="AJ30" s="167">
        <v>0.254</v>
      </c>
      <c r="AK30" s="167">
        <v>0.09</v>
      </c>
      <c r="AL30" s="50"/>
      <c r="AN30" s="53">
        <v>19</v>
      </c>
      <c r="AR30" s="264" t="str">
        <f ca="1">IF(LEN(Q30)=4,IF(Q30&lt;YEAR(NOW()),_xlfn.CONCAT(IF(LOWER(Setting!rng_language)="english","Expired ","Expiré "),Q30),""),"")</f>
        <v>Expired 2021</v>
      </c>
      <c r="AT30" s="53" t="b">
        <f>ISNUMBER(MATCH(IF(LEN('USER INPUT SHEET'!rng_province)&gt;0,'USER INPUT SHEET'!rng_province,"Canada"),$AU30:$BD30,0))</f>
        <v>0</v>
      </c>
      <c r="AU30" s="1286"/>
      <c r="AV30" s="1286"/>
      <c r="AW30" s="1286"/>
      <c r="AX30" s="1286"/>
      <c r="AY30" s="1286"/>
      <c r="AZ30" s="1286"/>
      <c r="BA30" s="1286"/>
      <c r="BB30" s="1286"/>
      <c r="BC30" s="1286"/>
      <c r="BD30" s="1286"/>
    </row>
    <row r="31" spans="1:56" ht="15.75" customHeight="1" x14ac:dyDescent="0.3">
      <c r="A31" s="50" t="str">
        <f t="shared" si="0"/>
        <v>(ARCHIVED 2025) Brick, Cement / MidWest / Architectural Face Brick / 3-5/8" x 2-3/4" x 7-5/8" (92 x 70 x 194 mm) incl. 3/8" mortar</v>
      </c>
      <c r="B31" s="50" t="s">
        <v>4128</v>
      </c>
      <c r="C31" s="50" t="s">
        <v>1000</v>
      </c>
      <c r="D31" s="50" t="s">
        <v>1014</v>
      </c>
      <c r="E31" s="50" t="s">
        <v>1017</v>
      </c>
      <c r="F31" s="50"/>
      <c r="H31" s="50"/>
      <c r="I31" s="50" t="s">
        <v>129</v>
      </c>
      <c r="J31" s="50"/>
      <c r="K31" s="50">
        <v>419</v>
      </c>
      <c r="L31" s="50" t="s">
        <v>3</v>
      </c>
      <c r="M31" s="70">
        <f>((0.83*K31+0.17*R31)*AK31)</f>
        <v>36.201999999999998</v>
      </c>
      <c r="N31" s="50" t="s">
        <v>5</v>
      </c>
      <c r="O31" s="50" t="s">
        <v>179</v>
      </c>
      <c r="P31" s="50" t="s">
        <v>158</v>
      </c>
      <c r="Q31" s="172">
        <v>2020</v>
      </c>
      <c r="R31" s="53">
        <v>269</v>
      </c>
      <c r="S31" s="53" t="s">
        <v>1010</v>
      </c>
      <c r="U31" s="53" t="s">
        <v>1011</v>
      </c>
      <c r="W31" s="50"/>
      <c r="X31" s="50"/>
      <c r="Y31" s="50"/>
      <c r="Z31" s="50"/>
      <c r="AA31" s="78">
        <f t="shared" si="3"/>
        <v>0</v>
      </c>
      <c r="AB31" s="50"/>
      <c r="AC31" s="50"/>
      <c r="AD31" s="50"/>
      <c r="AE31" s="50"/>
      <c r="AF31" s="50"/>
      <c r="AG31" s="81"/>
      <c r="AH31" s="50"/>
      <c r="AI31" s="167">
        <v>7.0000000000000007E-2</v>
      </c>
      <c r="AJ31" s="167">
        <v>0.19367500000000001</v>
      </c>
      <c r="AK31" s="167">
        <v>9.1999999999999998E-2</v>
      </c>
      <c r="AL31" s="57">
        <f>AI31*AJ31*AK31</f>
        <v>1.247267E-3</v>
      </c>
      <c r="AN31" s="53">
        <v>20</v>
      </c>
      <c r="AR31" s="264" t="str">
        <f ca="1">IF(LEN(Q31)=4,IF(Q31&lt;YEAR(NOW()),_xlfn.CONCAT(IF(LOWER(Setting!rng_language)="english","Expired ","Expiré "),Q31),""),"")</f>
        <v>Expired 2020</v>
      </c>
      <c r="AT31" s="53" t="b">
        <f>ISNUMBER(MATCH(IF(LEN('USER INPUT SHEET'!rng_province)&gt;0,'USER INPUT SHEET'!rng_province,"Canada"),$AU31:$BD31,0))</f>
        <v>0</v>
      </c>
      <c r="AU31" s="1286"/>
      <c r="AV31" s="1286"/>
      <c r="AW31" s="1286"/>
      <c r="AX31" s="1286"/>
      <c r="AY31" s="1286"/>
      <c r="AZ31" s="1286"/>
      <c r="BA31" s="1286"/>
      <c r="BB31" s="1286"/>
      <c r="BC31" s="1286"/>
      <c r="BD31" s="1286"/>
    </row>
    <row r="32" spans="1:56" ht="15.75" customHeight="1" x14ac:dyDescent="0.3">
      <c r="A32" s="50" t="str">
        <f t="shared" si="0"/>
        <v>Brick, Clay / Mutual Materials / Avg Face Brick (plant Avg) / 3-5/8" x 2-3/4" x 7-5/8" (92 x 70 x 194 mm) incl. 3/8" mortar</v>
      </c>
      <c r="B32" s="50" t="s">
        <v>180</v>
      </c>
      <c r="C32" s="50" t="s">
        <v>4129</v>
      </c>
      <c r="D32" s="50" t="s">
        <v>4130</v>
      </c>
      <c r="E32" s="50" t="s">
        <v>1017</v>
      </c>
      <c r="F32" s="50"/>
      <c r="H32" s="50"/>
      <c r="I32" s="50" t="s">
        <v>3500</v>
      </c>
      <c r="J32" s="401">
        <v>45316</v>
      </c>
      <c r="K32" s="50">
        <v>690.5</v>
      </c>
      <c r="L32" s="50" t="s">
        <v>3</v>
      </c>
      <c r="M32" s="70">
        <v>56.93374</v>
      </c>
      <c r="N32" s="50" t="s">
        <v>5</v>
      </c>
      <c r="O32" s="50" t="s">
        <v>4131</v>
      </c>
      <c r="P32" s="50" t="s">
        <v>3518</v>
      </c>
      <c r="Q32" s="401">
        <v>46993</v>
      </c>
      <c r="R32" s="53">
        <v>269</v>
      </c>
      <c r="S32" s="53" t="s">
        <v>1010</v>
      </c>
      <c r="U32" s="53" t="s">
        <v>1011</v>
      </c>
      <c r="W32" s="50"/>
      <c r="X32" s="50"/>
      <c r="Y32" s="50"/>
      <c r="Z32" s="50"/>
      <c r="AA32" s="78">
        <f t="shared" si="3"/>
        <v>0</v>
      </c>
      <c r="AB32" s="50"/>
      <c r="AC32" s="50"/>
      <c r="AD32" s="50"/>
      <c r="AE32" s="50"/>
      <c r="AF32" s="50"/>
      <c r="AG32" s="81"/>
      <c r="AH32" s="50"/>
      <c r="AI32" s="167">
        <v>0.19367500000000001</v>
      </c>
      <c r="AJ32" s="167">
        <v>9.1999999999999998E-2</v>
      </c>
      <c r="AK32" s="167">
        <v>7.0000000000000007E-2</v>
      </c>
      <c r="AL32" s="57">
        <v>1.247267E-3</v>
      </c>
      <c r="AN32" s="53" t="s">
        <v>2201</v>
      </c>
      <c r="AT32" s="53" t="b">
        <f>ISNUMBER(MATCH(IF(LEN('USER INPUT SHEET'!rng_province)&gt;0,'USER INPUT SHEET'!rng_province,"Canada"),$AU32:$BD32,0))</f>
        <v>0</v>
      </c>
      <c r="AU32" s="1286"/>
      <c r="AV32" s="1286"/>
      <c r="AW32" s="1286"/>
      <c r="AX32" s="1286"/>
      <c r="AY32" s="1286"/>
      <c r="AZ32" s="1286"/>
      <c r="BA32" s="1286"/>
      <c r="BB32" s="1286"/>
      <c r="BC32" s="1286"/>
      <c r="BD32" s="1286"/>
    </row>
    <row r="33" spans="1:56" ht="15.75" customHeight="1" x14ac:dyDescent="0.3">
      <c r="A33" s="50" t="str">
        <f t="shared" si="0"/>
        <v>Brick, Clay / Mutual Materials / Avg Thin Face Brick, Columbia Plant / 2-1/2" x 5/8" x 7-1/2" (64 x 16 x 190 mm) incl. 3/8" mortar</v>
      </c>
      <c r="B33" s="50" t="s">
        <v>180</v>
      </c>
      <c r="C33" s="50" t="s">
        <v>4129</v>
      </c>
      <c r="D33" s="50" t="s">
        <v>4132</v>
      </c>
      <c r="E33" s="50" t="s">
        <v>4133</v>
      </c>
      <c r="F33" s="50"/>
      <c r="H33" s="50"/>
      <c r="I33" s="50" t="s">
        <v>3500</v>
      </c>
      <c r="J33" s="401">
        <v>45316</v>
      </c>
      <c r="K33" s="50">
        <v>690.5</v>
      </c>
      <c r="L33" s="50" t="s">
        <v>3</v>
      </c>
      <c r="M33" s="70">
        <v>9.9015200000000014</v>
      </c>
      <c r="N33" s="50" t="s">
        <v>5</v>
      </c>
      <c r="O33" s="50" t="s">
        <v>4131</v>
      </c>
      <c r="P33" s="50" t="s">
        <v>3518</v>
      </c>
      <c r="Q33" s="401">
        <v>46993</v>
      </c>
      <c r="R33" s="53">
        <v>269</v>
      </c>
      <c r="S33" s="53" t="s">
        <v>1010</v>
      </c>
      <c r="U33" s="53" t="s">
        <v>1011</v>
      </c>
      <c r="W33" s="50"/>
      <c r="X33" s="50"/>
      <c r="Y33" s="50"/>
      <c r="Z33" s="50"/>
      <c r="AA33" s="78">
        <f t="shared" si="3"/>
        <v>0</v>
      </c>
      <c r="AB33" s="50"/>
      <c r="AC33" s="50"/>
      <c r="AD33" s="50"/>
      <c r="AE33" s="50"/>
      <c r="AF33" s="50"/>
      <c r="AG33" s="81"/>
      <c r="AH33" s="50"/>
      <c r="AI33" s="167">
        <v>0.19</v>
      </c>
      <c r="AJ33" s="167">
        <v>1.6E-2</v>
      </c>
      <c r="AK33" s="167">
        <v>6.5000000000000002E-2</v>
      </c>
      <c r="AL33" s="57">
        <v>1.9760000000000001E-4</v>
      </c>
      <c r="AN33" s="53" t="s">
        <v>2137</v>
      </c>
      <c r="AT33" s="53" t="b">
        <f>ISNUMBER(MATCH(IF(LEN('USER INPUT SHEET'!rng_province)&gt;0,'USER INPUT SHEET'!rng_province,"Canada"),$AU33:$BD33,0))</f>
        <v>0</v>
      </c>
      <c r="AU33" s="1286"/>
      <c r="AV33" s="1286"/>
      <c r="AW33" s="1286"/>
      <c r="AX33" s="1286"/>
      <c r="AY33" s="1286"/>
      <c r="AZ33" s="1286"/>
      <c r="BA33" s="1286"/>
      <c r="BB33" s="1286"/>
      <c r="BC33" s="1286"/>
      <c r="BD33" s="1286"/>
    </row>
    <row r="34" spans="1:56" ht="15.75" customHeight="1" x14ac:dyDescent="0.3">
      <c r="A34" s="50" t="str">
        <f t="shared" si="0"/>
        <v>Brick, Clay / Interstate / Avg Face Brick / 3-5/8" x 2-3/4" x 7-5/8" (92 x 70 x 194 mm) incl. 3/8" mortar</v>
      </c>
      <c r="B34" s="50" t="s">
        <v>180</v>
      </c>
      <c r="C34" s="50" t="s">
        <v>1001</v>
      </c>
      <c r="D34" s="50" t="s">
        <v>1015</v>
      </c>
      <c r="E34" s="50" t="s">
        <v>1017</v>
      </c>
      <c r="F34" s="50"/>
      <c r="H34" s="50" t="s">
        <v>181</v>
      </c>
      <c r="I34" s="50" t="s">
        <v>129</v>
      </c>
      <c r="J34" s="50"/>
      <c r="K34" s="50">
        <v>566.85</v>
      </c>
      <c r="L34" s="50" t="s">
        <v>3</v>
      </c>
      <c r="M34" s="70">
        <f>((0.83*K34+0.17*R34)*AK34)</f>
        <v>47.491826000000003</v>
      </c>
      <c r="N34" s="50" t="s">
        <v>5</v>
      </c>
      <c r="O34" s="50" t="s">
        <v>182</v>
      </c>
      <c r="P34" s="50" t="s">
        <v>137</v>
      </c>
      <c r="Q34" s="172">
        <v>2025</v>
      </c>
      <c r="R34" s="53">
        <v>269</v>
      </c>
      <c r="S34" s="53" t="s">
        <v>1010</v>
      </c>
      <c r="U34" s="53" t="s">
        <v>1011</v>
      </c>
      <c r="V34" s="50"/>
      <c r="W34" s="50"/>
      <c r="X34" s="50"/>
      <c r="Y34" s="50"/>
      <c r="Z34" s="50"/>
      <c r="AA34" s="78">
        <f t="shared" si="3"/>
        <v>0</v>
      </c>
      <c r="AB34" s="50"/>
      <c r="AC34" s="50"/>
      <c r="AD34" s="50"/>
      <c r="AE34" s="50"/>
      <c r="AF34" s="50"/>
      <c r="AG34" s="81"/>
      <c r="AH34" s="50"/>
      <c r="AI34" s="167">
        <v>7.0000000000000007E-2</v>
      </c>
      <c r="AJ34" s="167">
        <v>0.19367500000000001</v>
      </c>
      <c r="AK34" s="167">
        <v>9.1999999999999998E-2</v>
      </c>
      <c r="AL34" s="57">
        <f>AI34*AJ34*AK34</f>
        <v>1.247267E-3</v>
      </c>
      <c r="AN34" s="53">
        <v>21</v>
      </c>
      <c r="AR34" s="264" t="str">
        <f ca="1">IF(LEN(Q34)=4,IF(Q34&lt;YEAR(NOW()),_xlfn.CONCAT(IF(LOWER(Setting!rng_language)="english","Expired ","Expiré "),Q34),""),"")</f>
        <v>Expired 2025</v>
      </c>
      <c r="AT34" s="53" t="b">
        <f>ISNUMBER(MATCH(IF(LEN('USER INPUT SHEET'!rng_province)&gt;0,'USER INPUT SHEET'!rng_province,"Canada"),$AU34:$BD34,0))</f>
        <v>0</v>
      </c>
      <c r="AU34" s="1286"/>
      <c r="AV34" s="1286"/>
      <c r="AW34" s="1286"/>
      <c r="AX34" s="1286"/>
      <c r="AY34" s="1286"/>
      <c r="AZ34" s="1286"/>
      <c r="BA34" s="1286"/>
      <c r="BB34" s="1286"/>
      <c r="BC34" s="1286"/>
      <c r="BD34" s="1286"/>
    </row>
    <row r="35" spans="1:56" ht="15.75" customHeight="1" x14ac:dyDescent="0.3">
      <c r="A35" s="50" t="str">
        <f t="shared" si="0"/>
        <v>Brick, Clay / Interstate / Avg Thin Face Brick / 3-9/16" x 5/8" x 11-5/8" (90 x 16 mm x 295) incl. 3/8" mortar</v>
      </c>
      <c r="B35" s="50" t="s">
        <v>180</v>
      </c>
      <c r="C35" s="50" t="s">
        <v>1001</v>
      </c>
      <c r="D35" s="50" t="s">
        <v>1016</v>
      </c>
      <c r="E35" s="50" t="s">
        <v>1018</v>
      </c>
      <c r="F35" s="50"/>
      <c r="H35" s="50" t="s">
        <v>181</v>
      </c>
      <c r="I35" s="50" t="s">
        <v>129</v>
      </c>
      <c r="J35" s="50"/>
      <c r="K35" s="50">
        <v>755.85</v>
      </c>
      <c r="L35" s="50" t="s">
        <v>3</v>
      </c>
      <c r="M35" s="70">
        <f>((0.87*K35+0.13*R35)*AK35+0.01*R35)</f>
        <v>13.770952000000001</v>
      </c>
      <c r="N35" s="50" t="s">
        <v>5</v>
      </c>
      <c r="O35" s="50" t="s">
        <v>183</v>
      </c>
      <c r="P35" s="50" t="s">
        <v>137</v>
      </c>
      <c r="Q35" s="172">
        <v>2025</v>
      </c>
      <c r="R35" s="53">
        <v>269</v>
      </c>
      <c r="S35" s="53" t="s">
        <v>1010</v>
      </c>
      <c r="U35" s="53" t="s">
        <v>1012</v>
      </c>
      <c r="W35" s="50"/>
      <c r="X35" s="50"/>
      <c r="Y35" s="50"/>
      <c r="Z35" s="50"/>
      <c r="AA35" s="78">
        <f t="shared" si="3"/>
        <v>0</v>
      </c>
      <c r="AB35" s="50"/>
      <c r="AC35" s="50"/>
      <c r="AD35" s="50"/>
      <c r="AE35" s="50"/>
      <c r="AF35" s="50"/>
      <c r="AG35" s="81"/>
      <c r="AH35" s="50"/>
      <c r="AI35" s="167">
        <v>0.09</v>
      </c>
      <c r="AJ35" s="167">
        <v>0.29527500000000001</v>
      </c>
      <c r="AK35" s="167">
        <v>1.6E-2</v>
      </c>
      <c r="AL35" s="57">
        <f>AI35*AJ35*AK35</f>
        <v>4.2519600000000003E-4</v>
      </c>
      <c r="AN35" s="53">
        <v>22</v>
      </c>
      <c r="AR35" s="264" t="str">
        <f ca="1">IF(LEN(Q35)=4,IF(Q35&lt;YEAR(NOW()),_xlfn.CONCAT(IF(LOWER(Setting!rng_language)="english","Expired ","Expiré "),Q35),""),"")</f>
        <v>Expired 2025</v>
      </c>
      <c r="AT35" s="53" t="b">
        <f>ISNUMBER(MATCH(IF(LEN('USER INPUT SHEET'!rng_province)&gt;0,'USER INPUT SHEET'!rng_province,"Canada"),$AU35:$BD35,0))</f>
        <v>0</v>
      </c>
      <c r="AU35" s="1286"/>
      <c r="AV35" s="1286"/>
      <c r="AW35" s="1286"/>
      <c r="AX35" s="1286"/>
      <c r="AY35" s="1286"/>
      <c r="AZ35" s="1286"/>
      <c r="BA35" s="1286"/>
      <c r="BB35" s="1286"/>
      <c r="BC35" s="1286"/>
      <c r="BD35" s="1286"/>
    </row>
    <row r="36" spans="1:56" ht="15.75" customHeight="1" x14ac:dyDescent="0.3">
      <c r="A36" s="50" t="str">
        <f t="shared" si="0"/>
        <v>Brick, Clay, Generic Modular / Brick Industry Association / US-Canada Industry Average / 3-5/8" x 2-3/4" x 7-5/8" incl. 3/8" mortar</v>
      </c>
      <c r="B36" s="50" t="s">
        <v>1009</v>
      </c>
      <c r="C36" s="50" t="s">
        <v>1003</v>
      </c>
      <c r="D36" s="50" t="s">
        <v>1020</v>
      </c>
      <c r="E36" s="50" t="s">
        <v>1021</v>
      </c>
      <c r="F36" s="50"/>
      <c r="H36" s="50"/>
      <c r="I36" s="50" t="s">
        <v>124</v>
      </c>
      <c r="J36" s="50"/>
      <c r="K36" s="50">
        <v>503</v>
      </c>
      <c r="L36" s="50" t="s">
        <v>1006</v>
      </c>
      <c r="M36" s="70">
        <f>((0.83*K36+0.17*R36)*AK36)</f>
        <v>47.248439999999995</v>
      </c>
      <c r="N36" s="50" t="s">
        <v>5</v>
      </c>
      <c r="O36" s="50" t="s">
        <v>1002</v>
      </c>
      <c r="P36" s="50" t="s">
        <v>1005</v>
      </c>
      <c r="Q36" s="172">
        <v>2025</v>
      </c>
      <c r="R36" s="53">
        <v>269</v>
      </c>
      <c r="S36" s="53" t="s">
        <v>1010</v>
      </c>
      <c r="U36" s="53" t="s">
        <v>1011</v>
      </c>
      <c r="W36" s="50"/>
      <c r="X36" s="50"/>
      <c r="Y36" s="50"/>
      <c r="Z36" s="50"/>
      <c r="AA36" s="78">
        <f t="shared" si="3"/>
        <v>0</v>
      </c>
      <c r="AB36" s="50"/>
      <c r="AC36" s="50"/>
      <c r="AD36" s="50"/>
      <c r="AE36" s="50"/>
      <c r="AF36" s="50"/>
      <c r="AG36" s="81"/>
      <c r="AH36" s="50"/>
      <c r="AI36" s="167">
        <v>7.0000000000000007E-2</v>
      </c>
      <c r="AJ36" s="167">
        <v>0.20300000000000001</v>
      </c>
      <c r="AK36" s="167">
        <v>0.10199999999999999</v>
      </c>
      <c r="AL36" s="57">
        <f>AI36*AJ36*AK36</f>
        <v>1.4494200000000001E-3</v>
      </c>
      <c r="AN36" s="53">
        <v>23</v>
      </c>
      <c r="AR36" s="264" t="str">
        <f ca="1">IF(LEN(Q36)=4,IF(Q36&lt;YEAR(NOW()),_xlfn.CONCAT(IF(LOWER(Setting!rng_language)="english","Expired ","Expiré "),Q36),""),"")</f>
        <v>Expired 2025</v>
      </c>
      <c r="AT36" s="53" t="b">
        <f>ISNUMBER(MATCH(IF(LEN('USER INPUT SHEET'!rng_province)&gt;0,'USER INPUT SHEET'!rng_province,"Canada"),$AU36:$BD36,0))</f>
        <v>0</v>
      </c>
      <c r="AU36" s="1286"/>
      <c r="AV36" s="1286"/>
      <c r="AW36" s="1286"/>
      <c r="AX36" s="1286"/>
      <c r="AY36" s="1286"/>
      <c r="AZ36" s="1286"/>
      <c r="BA36" s="1286"/>
      <c r="BB36" s="1286"/>
      <c r="BC36" s="1286"/>
      <c r="BD36" s="1286"/>
    </row>
    <row r="37" spans="1:56" ht="15.75" customHeight="1" x14ac:dyDescent="0.3">
      <c r="A37" s="50" t="str">
        <f t="shared" si="0"/>
        <v xml:space="preserve">Brick, Clay / Brick Industry Association / US-Canada Industrywide Average / </v>
      </c>
      <c r="B37" s="50" t="s">
        <v>180</v>
      </c>
      <c r="C37" s="50" t="s">
        <v>1003</v>
      </c>
      <c r="D37" s="50" t="s">
        <v>1004</v>
      </c>
      <c r="E37" s="50"/>
      <c r="F37" s="50"/>
      <c r="H37" s="50" t="s">
        <v>1008</v>
      </c>
      <c r="I37" s="50" t="s">
        <v>124</v>
      </c>
      <c r="J37" s="50"/>
      <c r="K37" s="50">
        <v>503</v>
      </c>
      <c r="L37" s="50" t="s">
        <v>1006</v>
      </c>
      <c r="M37" s="70">
        <f>(503)</f>
        <v>503</v>
      </c>
      <c r="N37" s="50" t="s">
        <v>3</v>
      </c>
      <c r="O37" s="50" t="s">
        <v>1002</v>
      </c>
      <c r="P37" s="50" t="s">
        <v>1005</v>
      </c>
      <c r="Q37" s="172">
        <v>2025</v>
      </c>
      <c r="R37" s="50">
        <v>2120</v>
      </c>
      <c r="S37" s="50" t="s">
        <v>121</v>
      </c>
      <c r="T37" s="50"/>
      <c r="U37" s="50"/>
      <c r="V37" s="50"/>
      <c r="W37" s="50"/>
      <c r="X37" s="50"/>
      <c r="Y37" s="50"/>
      <c r="Z37" s="50"/>
      <c r="AA37" s="78">
        <f t="shared" si="3"/>
        <v>0</v>
      </c>
      <c r="AB37" s="50"/>
      <c r="AC37" s="50"/>
      <c r="AD37" s="50"/>
      <c r="AE37" s="50"/>
      <c r="AF37" s="50"/>
      <c r="AG37" s="81"/>
      <c r="AH37" s="50"/>
      <c r="AI37" s="167"/>
      <c r="AJ37" s="167"/>
      <c r="AK37" s="167"/>
      <c r="AL37" s="50"/>
      <c r="AN37" s="53">
        <v>24</v>
      </c>
      <c r="AR37" s="264" t="str">
        <f ca="1">IF(LEN(Q37)=4,IF(Q37&lt;YEAR(NOW()),_xlfn.CONCAT(IF(LOWER(Setting!rng_language)="english","Expired ","Expiré "),Q37),""),"")</f>
        <v>Expired 2025</v>
      </c>
      <c r="AT37" s="53" t="b">
        <f>ISNUMBER(MATCH(IF(LEN('USER INPUT SHEET'!rng_province)&gt;0,'USER INPUT SHEET'!rng_province,"Canada"),$AU37:$BD37,0))</f>
        <v>0</v>
      </c>
      <c r="AU37" s="1286"/>
      <c r="AV37" s="1286"/>
      <c r="AW37" s="1286"/>
      <c r="AX37" s="1286"/>
      <c r="AY37" s="1286"/>
      <c r="AZ37" s="1286"/>
      <c r="BA37" s="1286"/>
      <c r="BB37" s="1286"/>
      <c r="BC37" s="1286"/>
      <c r="BD37" s="1286"/>
    </row>
    <row r="38" spans="1:56" ht="15.75" customHeight="1" x14ac:dyDescent="0.3">
      <c r="A38" s="50" t="str">
        <f>B38&amp;" / "&amp;C38&amp;" / "&amp;D38&amp;" / "&amp;E38</f>
        <v>Carpet /  /  / Average from 150 samples in the EC3 database</v>
      </c>
      <c r="B38" s="50" t="s">
        <v>184</v>
      </c>
      <c r="C38" s="50"/>
      <c r="D38" s="50"/>
      <c r="E38" s="166" t="s">
        <v>188</v>
      </c>
      <c r="F38" s="50"/>
      <c r="H38" s="50"/>
      <c r="I38" s="50" t="s">
        <v>124</v>
      </c>
      <c r="J38" s="50"/>
      <c r="K38" s="50">
        <v>13.3</v>
      </c>
      <c r="L38" s="50" t="s">
        <v>5</v>
      </c>
      <c r="M38" s="71">
        <f>(13.3)</f>
        <v>13.3</v>
      </c>
      <c r="N38" s="50" t="s">
        <v>5</v>
      </c>
      <c r="O38" s="51" t="s">
        <v>187</v>
      </c>
      <c r="Q38" s="367" t="s">
        <v>1772</v>
      </c>
      <c r="AA38" s="78">
        <f t="shared" si="3"/>
        <v>0</v>
      </c>
      <c r="AG38" s="82"/>
      <c r="AN38" s="53">
        <v>25</v>
      </c>
      <c r="AR38" s="264" t="s">
        <v>1412</v>
      </c>
      <c r="AT38" s="53" t="b">
        <f>ISNUMBER(MATCH(IF(LEN('USER INPUT SHEET'!rng_province)&gt;0,'USER INPUT SHEET'!rng_province,"Canada"),$AU38:$BD38,0))</f>
        <v>0</v>
      </c>
      <c r="AU38" s="1286"/>
      <c r="AV38" s="1286"/>
      <c r="AW38" s="1286"/>
      <c r="AX38" s="1286"/>
      <c r="AY38" s="1286"/>
      <c r="AZ38" s="1286"/>
      <c r="BA38" s="1286"/>
      <c r="BB38" s="1286"/>
      <c r="BC38" s="1286"/>
      <c r="BD38" s="1286"/>
    </row>
    <row r="39" spans="1:56" ht="15.75" customHeight="1" x14ac:dyDescent="0.3">
      <c r="A39" s="50" t="str">
        <f>B39&amp;" / "&amp;C39&amp;" / "&amp;D39&amp;" / "&amp;E39</f>
        <v>Carpet /  / Achievable from EC3 / Achievable from 150 samples in the EC3 database</v>
      </c>
      <c r="B39" s="50" t="s">
        <v>184</v>
      </c>
      <c r="C39" s="50"/>
      <c r="D39" s="50" t="s">
        <v>185</v>
      </c>
      <c r="E39" s="166" t="s">
        <v>186</v>
      </c>
      <c r="F39" s="50"/>
      <c r="H39" s="50"/>
      <c r="I39" s="50" t="s">
        <v>124</v>
      </c>
      <c r="J39" s="50"/>
      <c r="K39" s="50">
        <v>8.3000000000000007</v>
      </c>
      <c r="L39" s="50" t="s">
        <v>5</v>
      </c>
      <c r="M39" s="72">
        <f>(8.3)</f>
        <v>8.3000000000000007</v>
      </c>
      <c r="N39" s="50" t="s">
        <v>5</v>
      </c>
      <c r="O39" s="55" t="s">
        <v>187</v>
      </c>
      <c r="Q39" s="367" t="s">
        <v>1772</v>
      </c>
      <c r="AA39" s="78">
        <f t="shared" si="3"/>
        <v>0</v>
      </c>
      <c r="AG39" s="83"/>
      <c r="AN39" s="53">
        <v>26</v>
      </c>
      <c r="AR39" s="264" t="s">
        <v>1412</v>
      </c>
      <c r="AT39" s="53" t="b">
        <f>ISNUMBER(MATCH(IF(LEN('USER INPUT SHEET'!rng_province)&gt;0,'USER INPUT SHEET'!rng_province,"Canada"),$AU39:$BD39,0))</f>
        <v>0</v>
      </c>
      <c r="AU39" s="1286"/>
      <c r="AV39" s="1286"/>
      <c r="AW39" s="1286"/>
      <c r="AX39" s="1286"/>
      <c r="AY39" s="1286"/>
      <c r="AZ39" s="1286"/>
      <c r="BA39" s="1286"/>
      <c r="BB39" s="1286"/>
      <c r="BC39" s="1286"/>
      <c r="BD39" s="1286"/>
    </row>
    <row r="40" spans="1:56" ht="15.75" customHeight="1" x14ac:dyDescent="0.3">
      <c r="A40" s="50" t="str">
        <f>B40&amp;" / "&amp;C40&amp;" / "&amp;D40&amp;" / "&amp;E40</f>
        <v>Carpet /  / Conservative from EC3 / Conservative from 150 samples in the EC3 database</v>
      </c>
      <c r="B40" s="50" t="s">
        <v>184</v>
      </c>
      <c r="C40" s="50"/>
      <c r="D40" s="50" t="s">
        <v>189</v>
      </c>
      <c r="E40" s="166" t="s">
        <v>190</v>
      </c>
      <c r="F40" s="50"/>
      <c r="H40" s="50"/>
      <c r="I40" s="50" t="s">
        <v>124</v>
      </c>
      <c r="J40" s="50"/>
      <c r="K40" s="50">
        <v>17.399999999999999</v>
      </c>
      <c r="L40" s="50" t="s">
        <v>5</v>
      </c>
      <c r="M40" s="71">
        <f>(17.4)</f>
        <v>17.399999999999999</v>
      </c>
      <c r="N40" s="50" t="s">
        <v>5</v>
      </c>
      <c r="O40" s="51" t="s">
        <v>187</v>
      </c>
      <c r="Q40" s="367" t="s">
        <v>1772</v>
      </c>
      <c r="AA40" s="78">
        <f t="shared" si="3"/>
        <v>0</v>
      </c>
      <c r="AG40" s="82"/>
      <c r="AN40" s="53">
        <v>27</v>
      </c>
      <c r="AR40" s="264" t="s">
        <v>1412</v>
      </c>
      <c r="AT40" s="53" t="b">
        <f>ISNUMBER(MATCH(IF(LEN('USER INPUT SHEET'!rng_province)&gt;0,'USER INPUT SHEET'!rng_province,"Canada"),$AU40:$BD40,0))</f>
        <v>0</v>
      </c>
      <c r="AU40" s="1286"/>
      <c r="AV40" s="1286"/>
      <c r="AW40" s="1286"/>
      <c r="AX40" s="1286"/>
      <c r="AY40" s="1286"/>
      <c r="AZ40" s="1286"/>
      <c r="BA40" s="1286"/>
      <c r="BB40" s="1286"/>
      <c r="BC40" s="1286"/>
      <c r="BD40" s="1286"/>
    </row>
    <row r="41" spans="1:56" ht="15.75" customHeight="1" x14ac:dyDescent="0.3">
      <c r="A41" s="50" t="str">
        <f>B41&amp;" / "&amp;C41&amp;" / "&amp;D41&amp;" / "&amp;E41</f>
        <v>(ARCHIVED 2025) Carpet / Interface / GLASBAC®RE, Nylon / Modular tile carpet (closed loop recycling)</v>
      </c>
      <c r="B41" s="50" t="s">
        <v>4134</v>
      </c>
      <c r="C41" s="50" t="s">
        <v>191</v>
      </c>
      <c r="D41" s="50" t="s">
        <v>975</v>
      </c>
      <c r="E41" s="50" t="s">
        <v>976</v>
      </c>
      <c r="F41" s="50"/>
      <c r="H41" s="50"/>
      <c r="I41" s="50" t="s">
        <v>129</v>
      </c>
      <c r="J41" s="50"/>
      <c r="K41" s="50">
        <v>4.4000000000000004</v>
      </c>
      <c r="L41" s="50" t="s">
        <v>5</v>
      </c>
      <c r="M41" s="70">
        <f>(4.4)</f>
        <v>4.4000000000000004</v>
      </c>
      <c r="N41" s="50" t="s">
        <v>5</v>
      </c>
      <c r="O41" s="53" t="s">
        <v>974</v>
      </c>
      <c r="P41" s="50" t="s">
        <v>143</v>
      </c>
      <c r="Q41" s="367">
        <v>2021</v>
      </c>
      <c r="R41" s="53">
        <v>4.13</v>
      </c>
      <c r="S41" s="53" t="s">
        <v>141</v>
      </c>
      <c r="AA41" s="78">
        <f t="shared" si="3"/>
        <v>0</v>
      </c>
      <c r="AG41" s="81"/>
      <c r="AN41" s="53">
        <v>28</v>
      </c>
      <c r="AR41" s="264" t="str">
        <f ca="1">IF(LEN(Q41)=4,IF(Q41&lt;YEAR(NOW()),_xlfn.CONCAT(IF(LOWER(Setting!rng_language)="english","Expired ","Expiré "),Q41),""),"")</f>
        <v>Expired 2021</v>
      </c>
      <c r="AT41" s="53" t="b">
        <f>ISNUMBER(MATCH(IF(LEN('USER INPUT SHEET'!rng_province)&gt;0,'USER INPUT SHEET'!rng_province,"Canada"),$AU41:$BD41,0))</f>
        <v>0</v>
      </c>
      <c r="AU41" s="1286"/>
      <c r="AV41" s="1286"/>
      <c r="AW41" s="1286"/>
      <c r="AX41" s="1286"/>
      <c r="AY41" s="1286"/>
      <c r="AZ41" s="1286"/>
      <c r="BA41" s="1286"/>
      <c r="BB41" s="1286"/>
      <c r="BC41" s="1286"/>
      <c r="BD41" s="1286"/>
    </row>
    <row r="42" spans="1:56" ht="15.75" customHeight="1" x14ac:dyDescent="0.3">
      <c r="A42" s="50" t="str">
        <f>B42&amp;" / "&amp;C42&amp;" / "&amp;D42&amp;" / "&amp;E42</f>
        <v>(ARCHIVED 2026) Carpet / Interface / Cquest BioX / 1.5 mm Modular tile carpet</v>
      </c>
      <c r="B42" s="50" t="s">
        <v>7275</v>
      </c>
      <c r="C42" s="50" t="s">
        <v>191</v>
      </c>
      <c r="D42" s="53" t="s">
        <v>192</v>
      </c>
      <c r="E42" s="50" t="s">
        <v>193</v>
      </c>
      <c r="F42" s="50"/>
      <c r="H42" s="50"/>
      <c r="I42" s="50" t="s">
        <v>129</v>
      </c>
      <c r="J42" s="50"/>
      <c r="K42" s="50">
        <v>-0.25600000000000001</v>
      </c>
      <c r="L42" s="50" t="s">
        <v>5</v>
      </c>
      <c r="M42" s="71">
        <f>(AA42-0.256)</f>
        <v>4.0910000000000002</v>
      </c>
      <c r="N42" s="50" t="s">
        <v>5</v>
      </c>
      <c r="O42" s="53" t="s">
        <v>977</v>
      </c>
      <c r="P42" s="50" t="s">
        <v>143</v>
      </c>
      <c r="Q42" s="367">
        <v>2025</v>
      </c>
      <c r="R42" s="53">
        <v>2.8</v>
      </c>
      <c r="S42" s="53" t="s">
        <v>141</v>
      </c>
      <c r="AA42" s="82">
        <f>(4.83)*rng_biogenic_storage</f>
        <v>4.3470000000000004</v>
      </c>
      <c r="AB42" s="53" t="s">
        <v>5</v>
      </c>
      <c r="AG42" s="82"/>
      <c r="AN42" s="53">
        <v>29</v>
      </c>
      <c r="AR42" s="264" t="str">
        <f ca="1">IF(LEN(Q42)=4,IF(Q42&lt;YEAR(NOW()),_xlfn.CONCAT(IF(LOWER(Setting!rng_language)="english","Expired ","Expiré "),Q42),""),"")</f>
        <v>Expired 2025</v>
      </c>
      <c r="AT42" s="53" t="b">
        <f>ISNUMBER(MATCH(IF(LEN('USER INPUT SHEET'!rng_province)&gt;0,'USER INPUT SHEET'!rng_province,"Canada"),$AU42:$BD42,0))</f>
        <v>0</v>
      </c>
      <c r="AU42" s="1286"/>
      <c r="AV42" s="1286"/>
      <c r="AW42" s="1286"/>
      <c r="AX42" s="1286"/>
      <c r="AY42" s="1286"/>
      <c r="AZ42" s="1286"/>
      <c r="BA42" s="1286"/>
      <c r="BB42" s="1286"/>
      <c r="BC42" s="1286"/>
      <c r="BD42" s="1286"/>
    </row>
    <row r="43" spans="1:56" ht="15.75" customHeight="1" x14ac:dyDescent="0.3">
      <c r="A43" s="50" t="str">
        <f t="shared" si="0"/>
        <v>Cedar Shingles/shakes /  /  / 3/4" coverage</v>
      </c>
      <c r="B43" s="50" t="s">
        <v>791</v>
      </c>
      <c r="C43" s="50"/>
      <c r="E43" s="53" t="s">
        <v>194</v>
      </c>
      <c r="H43" s="50" t="s">
        <v>1379</v>
      </c>
      <c r="I43" s="50"/>
      <c r="J43" s="50"/>
      <c r="K43" s="50">
        <v>213.52</v>
      </c>
      <c r="L43" s="50" t="s">
        <v>843</v>
      </c>
      <c r="M43" s="72">
        <f>((K43*AI43)/T43)</f>
        <v>1.723540677966102</v>
      </c>
      <c r="N43" s="50" t="s">
        <v>824</v>
      </c>
      <c r="O43" s="170">
        <v>42522</v>
      </c>
      <c r="P43" s="50" t="s">
        <v>195</v>
      </c>
      <c r="Q43" s="172">
        <v>2021</v>
      </c>
      <c r="R43" s="50">
        <v>209</v>
      </c>
      <c r="S43" s="50" t="s">
        <v>121</v>
      </c>
      <c r="T43" s="166">
        <v>2.36</v>
      </c>
      <c r="U43" s="50" t="s">
        <v>196</v>
      </c>
      <c r="V43" s="52">
        <f>R43*0.01905</f>
        <v>3.9814500000000002</v>
      </c>
      <c r="W43" s="52" t="s">
        <v>197</v>
      </c>
      <c r="Y43" s="53">
        <v>1</v>
      </c>
      <c r="Z43" s="53">
        <v>0.5</v>
      </c>
      <c r="AA43" s="78">
        <f t="shared" si="3"/>
        <v>6.5693925000000002</v>
      </c>
      <c r="AB43" s="53" t="s">
        <v>835</v>
      </c>
      <c r="AC43" s="53">
        <v>0.82499999999999996</v>
      </c>
      <c r="AD43" s="53">
        <f>V43*Y43*Z43</f>
        <v>1.9907250000000001</v>
      </c>
      <c r="AE43" s="53" t="s">
        <v>198</v>
      </c>
      <c r="AG43" s="83">
        <f>(AD43*44/12)*rng_biogenic_storage</f>
        <v>6.5693925000000002</v>
      </c>
      <c r="AH43" s="53" t="s">
        <v>835</v>
      </c>
      <c r="AI43" s="165">
        <v>1.9050000000000001E-2</v>
      </c>
      <c r="AN43" s="53">
        <v>30</v>
      </c>
      <c r="AR43" s="264" t="str">
        <f ca="1">IF(LEN(Q43)=4,IF(Q43&lt;YEAR(NOW()),_xlfn.CONCAT(IF(LOWER(Setting!rng_language)="english","Expired ","Expiré "),Q43),""),"")</f>
        <v>Expired 2021</v>
      </c>
      <c r="AT43" s="53" t="b">
        <f>ISNUMBER(MATCH(IF(LEN('USER INPUT SHEET'!rng_province)&gt;0,'USER INPUT SHEET'!rng_province,"Canada"),$AU43:$BD43,0))</f>
        <v>0</v>
      </c>
      <c r="AU43" s="1286"/>
      <c r="AV43" s="1286"/>
      <c r="AW43" s="1286"/>
      <c r="AX43" s="1286"/>
      <c r="AY43" s="1286"/>
      <c r="AZ43" s="1286"/>
      <c r="BA43" s="1286"/>
      <c r="BB43" s="1286"/>
      <c r="BC43" s="1286"/>
      <c r="BD43" s="1286"/>
    </row>
    <row r="44" spans="1:56" ht="15.75" customHeight="1" x14ac:dyDescent="0.3">
      <c r="A44" s="50" t="str">
        <f t="shared" si="0"/>
        <v>Cedar Siding / Western Red Cedar Lumber Assn /  / 1 x 6 Boards</v>
      </c>
      <c r="B44" s="50" t="s">
        <v>199</v>
      </c>
      <c r="C44" s="50" t="s">
        <v>200</v>
      </c>
      <c r="D44" s="50"/>
      <c r="E44" s="50" t="s">
        <v>934</v>
      </c>
      <c r="H44" s="50"/>
      <c r="I44" s="50" t="s">
        <v>138</v>
      </c>
      <c r="J44" s="50"/>
      <c r="K44" s="50">
        <v>213.52</v>
      </c>
      <c r="L44" s="50" t="s">
        <v>843</v>
      </c>
      <c r="M44" s="71">
        <f>((K44*AI44)/T44)</f>
        <v>1.723540677966102</v>
      </c>
      <c r="N44" s="50" t="s">
        <v>824</v>
      </c>
      <c r="O44" s="170">
        <v>42522</v>
      </c>
      <c r="P44" s="50" t="s">
        <v>195</v>
      </c>
      <c r="Q44" s="172">
        <v>2021</v>
      </c>
      <c r="R44" s="50">
        <v>209</v>
      </c>
      <c r="S44" s="50" t="s">
        <v>121</v>
      </c>
      <c r="T44" s="166">
        <v>2.36</v>
      </c>
      <c r="U44" s="50" t="s">
        <v>196</v>
      </c>
      <c r="V44" s="49">
        <f>R44*0.01905</f>
        <v>3.9814500000000002</v>
      </c>
      <c r="W44" s="49" t="s">
        <v>197</v>
      </c>
      <c r="Y44" s="53">
        <v>1</v>
      </c>
      <c r="Z44" s="53">
        <v>0.5</v>
      </c>
      <c r="AA44" s="78">
        <f t="shared" si="3"/>
        <v>6.5693925000000002</v>
      </c>
      <c r="AB44" s="50" t="s">
        <v>824</v>
      </c>
      <c r="AC44" s="53">
        <v>1.26</v>
      </c>
      <c r="AD44" s="53">
        <f>V44*Y44*Z44</f>
        <v>1.9907250000000001</v>
      </c>
      <c r="AE44" s="53" t="s">
        <v>198</v>
      </c>
      <c r="AG44" s="82">
        <f>(AD44*44/12)*rng_biogenic_storage</f>
        <v>6.5693925000000002</v>
      </c>
      <c r="AH44" s="53" t="s">
        <v>824</v>
      </c>
      <c r="AI44" s="165">
        <v>1.9050000000000001E-2</v>
      </c>
      <c r="AN44" s="53">
        <v>31</v>
      </c>
      <c r="AR44" s="264" t="str">
        <f ca="1">IF(LEN(Q44)=4,IF(Q44&lt;YEAR(NOW()),_xlfn.CONCAT(IF(LOWER(Setting!rng_language)="english","Expired ","Expiré "),Q44),""),"")</f>
        <v>Expired 2021</v>
      </c>
      <c r="AT44" s="53" t="b">
        <f>ISNUMBER(MATCH(IF(LEN('USER INPUT SHEET'!rng_province)&gt;0,'USER INPUT SHEET'!rng_province,"Canada"),$AU44:$BD44,0))</f>
        <v>0</v>
      </c>
      <c r="AU44" s="1286"/>
      <c r="AV44" s="1286"/>
      <c r="AW44" s="1286"/>
      <c r="AX44" s="1286"/>
      <c r="AY44" s="1286"/>
      <c r="AZ44" s="1286"/>
      <c r="BA44" s="1286"/>
      <c r="BB44" s="1286"/>
      <c r="BC44" s="1286"/>
      <c r="BD44" s="1286"/>
    </row>
    <row r="45" spans="1:56" ht="15.75" customHeight="1" x14ac:dyDescent="0.3">
      <c r="A45" s="50" t="str">
        <f>B45&amp;" / "&amp;C45&amp;" / "&amp;E45&amp;" / "&amp;D45</f>
        <v>Cellulose - batt / CMS / R 3.6/inch / EcoCell</v>
      </c>
      <c r="B45" s="51" t="s">
        <v>201</v>
      </c>
      <c r="C45" s="51" t="s">
        <v>202</v>
      </c>
      <c r="D45" s="51" t="s">
        <v>203</v>
      </c>
      <c r="E45" s="51" t="s">
        <v>204</v>
      </c>
      <c r="F45" s="49"/>
      <c r="G45" s="49"/>
      <c r="H45" s="51"/>
      <c r="I45" s="51" t="s">
        <v>129</v>
      </c>
      <c r="J45" s="51"/>
      <c r="K45" s="51">
        <v>0.48699999999999999</v>
      </c>
      <c r="L45" s="51" t="s">
        <v>825</v>
      </c>
      <c r="M45" s="71">
        <f>(0.487)</f>
        <v>0.48699999999999999</v>
      </c>
      <c r="N45" s="51" t="s">
        <v>825</v>
      </c>
      <c r="O45" s="49" t="s">
        <v>205</v>
      </c>
      <c r="P45" s="51" t="s">
        <v>206</v>
      </c>
      <c r="Q45" s="368">
        <v>2024</v>
      </c>
      <c r="R45" s="49">
        <v>40</v>
      </c>
      <c r="S45" s="49" t="s">
        <v>121</v>
      </c>
      <c r="T45" s="49">
        <v>1.6</v>
      </c>
      <c r="U45" s="49" t="s">
        <v>207</v>
      </c>
      <c r="V45" s="49">
        <v>3.6</v>
      </c>
      <c r="W45" s="49"/>
      <c r="X45" s="49"/>
      <c r="Y45" s="49">
        <v>0.86</v>
      </c>
      <c r="Z45" s="49">
        <v>0.5</v>
      </c>
      <c r="AA45" s="82">
        <f>(AD45*44/12)*rng_biogenic_storage</f>
        <v>2.2704000000000004</v>
      </c>
      <c r="AB45" s="51" t="s">
        <v>825</v>
      </c>
      <c r="AC45" s="49">
        <v>1.84</v>
      </c>
      <c r="AD45" s="49">
        <f>T45*Y45*Z45</f>
        <v>0.68800000000000006</v>
      </c>
      <c r="AE45" s="49"/>
      <c r="AF45" s="52"/>
      <c r="AG45" s="82"/>
      <c r="AH45" s="52"/>
      <c r="AI45" s="171"/>
      <c r="AJ45" s="171"/>
      <c r="AK45" s="171"/>
      <c r="AL45" s="49"/>
      <c r="AN45" s="53">
        <v>32</v>
      </c>
      <c r="AR45" s="264" t="str">
        <f ca="1">IF(LEN(Q45)=4,IF(Q45&lt;YEAR(NOW()),_xlfn.CONCAT(IF(LOWER(Setting!rng_language)="english","Expired ","Expiré "),Q45),""),"")</f>
        <v>Expired 2024</v>
      </c>
      <c r="AT45" s="53" t="b">
        <f>ISNUMBER(MATCH(IF(LEN('USER INPUT SHEET'!rng_province)&gt;0,'USER INPUT SHEET'!rng_province,"Canada"),$AU45:$BD45,0))</f>
        <v>0</v>
      </c>
      <c r="AU45" s="1286"/>
      <c r="AV45" s="1286"/>
      <c r="AW45" s="1286"/>
      <c r="AX45" s="1286"/>
      <c r="AY45" s="1286"/>
      <c r="AZ45" s="1286"/>
      <c r="BA45" s="1286"/>
      <c r="BB45" s="1286"/>
      <c r="BC45" s="1286"/>
      <c r="BD45" s="1286"/>
    </row>
    <row r="46" spans="1:56" ht="15.75" customHeight="1" x14ac:dyDescent="0.3">
      <c r="A46" s="50" t="str">
        <f>B46&amp;" / "&amp;C46&amp;" / "&amp;E46&amp;" / "&amp;D46</f>
        <v>Cellulose - dense pack /  / R 3.7/inch / Includes AFT, Applegate, Can-Cell, Cell-Pak, Cleanfiber, Climatizer, Fiberlite, Igloo, ICC, Mason City, Nu-Wool, Soprema, Thermo-Kool</v>
      </c>
      <c r="B46" s="50" t="s">
        <v>208</v>
      </c>
      <c r="C46" s="50"/>
      <c r="D46" s="50" t="s">
        <v>209</v>
      </c>
      <c r="E46" s="50" t="s">
        <v>210</v>
      </c>
      <c r="H46" s="50"/>
      <c r="I46" s="50" t="s">
        <v>124</v>
      </c>
      <c r="J46" s="50"/>
      <c r="K46" s="50">
        <v>0.48699999999999999</v>
      </c>
      <c r="L46" s="50" t="s">
        <v>825</v>
      </c>
      <c r="M46" s="71">
        <f>(K46*T46/T47)</f>
        <v>0.97399999999999998</v>
      </c>
      <c r="N46" s="50" t="s">
        <v>825</v>
      </c>
      <c r="O46" s="53" t="s">
        <v>211</v>
      </c>
      <c r="P46" s="50" t="s">
        <v>206</v>
      </c>
      <c r="Q46" s="367">
        <v>2024</v>
      </c>
      <c r="R46" s="53">
        <v>56</v>
      </c>
      <c r="S46" s="53" t="s">
        <v>121</v>
      </c>
      <c r="T46" s="53">
        <v>2.1840000000000002</v>
      </c>
      <c r="U46" s="53" t="s">
        <v>207</v>
      </c>
      <c r="V46" s="53">
        <v>3.7</v>
      </c>
      <c r="Y46" s="53">
        <v>0.86</v>
      </c>
      <c r="Z46" s="53">
        <v>0.5</v>
      </c>
      <c r="AA46" s="82">
        <f>(AD46*44/12)*rng_biogenic_storage</f>
        <v>3.0990960000000003</v>
      </c>
      <c r="AB46" s="50" t="s">
        <v>825</v>
      </c>
      <c r="AC46" s="53">
        <v>1.84</v>
      </c>
      <c r="AD46" s="49">
        <f>T46*Y46*Z46</f>
        <v>0.93912000000000007</v>
      </c>
      <c r="AG46" s="82"/>
      <c r="AN46" s="53">
        <v>33</v>
      </c>
      <c r="AR46" s="264" t="str">
        <f ca="1">IF(LEN(Q46)=4,IF(Q46&lt;YEAR(NOW()),_xlfn.CONCAT(IF(LOWER(Setting!rng_language)="english","Expired ","Expiré "),Q46),""),"")</f>
        <v>Expired 2024</v>
      </c>
      <c r="AT46" s="53" t="b">
        <f>ISNUMBER(MATCH(IF(LEN('USER INPUT SHEET'!rng_province)&gt;0,'USER INPUT SHEET'!rng_province,"Canada"),$AU46:$BD46,0))</f>
        <v>0</v>
      </c>
      <c r="AU46" s="1286"/>
      <c r="AV46" s="1286"/>
      <c r="AW46" s="1286"/>
      <c r="AX46" s="1286"/>
      <c r="AY46" s="1286"/>
      <c r="AZ46" s="1286"/>
      <c r="BA46" s="1286"/>
      <c r="BB46" s="1286"/>
      <c r="BC46" s="1286"/>
      <c r="BD46" s="1286"/>
    </row>
    <row r="47" spans="1:56" ht="15.75" customHeight="1" x14ac:dyDescent="0.3">
      <c r="A47" s="50" t="str">
        <f>B47&amp;" / "&amp;C47&amp;" / "&amp;E47&amp;" / "&amp;D47</f>
        <v>Cellulose - loose fill /  / R 3.7/inch / Includes: AFT, Applegate, Can-Cell, Cell-Pak, Cleanfiber, Climatizer, Fiberlite, Igloo, ICC, Mason City, Nu-Wool, Soprema, Thermo-Kool</v>
      </c>
      <c r="B47" s="50" t="s">
        <v>212</v>
      </c>
      <c r="C47" s="50"/>
      <c r="D47" s="50" t="s">
        <v>213</v>
      </c>
      <c r="E47" s="50" t="s">
        <v>210</v>
      </c>
      <c r="H47" s="50" t="s">
        <v>214</v>
      </c>
      <c r="I47" s="50" t="s">
        <v>124</v>
      </c>
      <c r="J47" s="50"/>
      <c r="K47" s="50">
        <v>0.48699999999999999</v>
      </c>
      <c r="L47" s="50" t="s">
        <v>825</v>
      </c>
      <c r="M47" s="71">
        <f>(0.487)</f>
        <v>0.48699999999999999</v>
      </c>
      <c r="N47" s="50" t="s">
        <v>825</v>
      </c>
      <c r="O47" s="53" t="s">
        <v>215</v>
      </c>
      <c r="P47" s="50" t="s">
        <v>206</v>
      </c>
      <c r="Q47" s="367">
        <v>2024</v>
      </c>
      <c r="R47" s="53">
        <v>28</v>
      </c>
      <c r="S47" s="53" t="s">
        <v>121</v>
      </c>
      <c r="T47" s="53">
        <v>1.0920000000000001</v>
      </c>
      <c r="U47" s="53" t="s">
        <v>207</v>
      </c>
      <c r="V47" s="53">
        <v>3.7</v>
      </c>
      <c r="Y47" s="53">
        <v>0.86</v>
      </c>
      <c r="Z47" s="53">
        <v>0.5</v>
      </c>
      <c r="AA47" s="82">
        <f>(AD47*44/12)*rng_biogenic_storage</f>
        <v>1.5495480000000001</v>
      </c>
      <c r="AB47" s="50" t="s">
        <v>825</v>
      </c>
      <c r="AC47" s="53">
        <v>1.84</v>
      </c>
      <c r="AD47" s="49">
        <f>T47*Y47*Z47</f>
        <v>0.46956000000000003</v>
      </c>
      <c r="AG47" s="82"/>
      <c r="AN47" s="53">
        <v>34</v>
      </c>
      <c r="AR47" s="264" t="str">
        <f ca="1">IF(LEN(Q47)=4,IF(Q47&lt;YEAR(NOW()),_xlfn.CONCAT(IF(LOWER(Setting!rng_language)="english","Expired ","Expiré "),Q47),""),"")</f>
        <v>Expired 2024</v>
      </c>
      <c r="AT47" s="53" t="b">
        <f>ISNUMBER(MATCH(IF(LEN('USER INPUT SHEET'!rng_province)&gt;0,'USER INPUT SHEET'!rng_province,"Canada"),$AU47:$BD47,0))</f>
        <v>0</v>
      </c>
      <c r="AU47" s="1286"/>
      <c r="AV47" s="1286"/>
      <c r="AW47" s="1286"/>
      <c r="AX47" s="1286"/>
      <c r="AY47" s="1286"/>
      <c r="AZ47" s="1286"/>
      <c r="BA47" s="1286"/>
      <c r="BB47" s="1286"/>
      <c r="BC47" s="1286"/>
      <c r="BD47" s="1286"/>
    </row>
    <row r="48" spans="1:56" ht="15.75" customHeight="1" x14ac:dyDescent="0.3">
      <c r="A48" s="50" t="str">
        <f>B48&amp;" / "&amp;E48&amp;" / "&amp;C48&amp;" / "&amp;D48</f>
        <v>Cellulose - spray applied / R 3.75/inch / International Cellulose Corp. / K-13, ThermoCon</v>
      </c>
      <c r="B48" s="50" t="s">
        <v>216</v>
      </c>
      <c r="C48" s="50" t="s">
        <v>217</v>
      </c>
      <c r="D48" s="50" t="s">
        <v>218</v>
      </c>
      <c r="E48" s="50" t="s">
        <v>219</v>
      </c>
      <c r="H48" s="50" t="s">
        <v>220</v>
      </c>
      <c r="J48" s="50"/>
      <c r="K48" s="50">
        <v>0.32500000000000001</v>
      </c>
      <c r="L48" s="50" t="s">
        <v>825</v>
      </c>
      <c r="M48" s="71">
        <f>(0.325)</f>
        <v>0.32500000000000001</v>
      </c>
      <c r="N48" s="50" t="s">
        <v>825</v>
      </c>
      <c r="O48" s="50" t="s">
        <v>221</v>
      </c>
      <c r="P48" s="50" t="s">
        <v>206</v>
      </c>
      <c r="Q48" s="367">
        <v>2025</v>
      </c>
      <c r="R48" s="53">
        <v>54.5</v>
      </c>
      <c r="S48" s="53" t="s">
        <v>121</v>
      </c>
      <c r="T48" s="53">
        <v>2.0710000000000002</v>
      </c>
      <c r="U48" s="53" t="s">
        <v>207</v>
      </c>
      <c r="V48" s="53">
        <v>3.75</v>
      </c>
      <c r="Y48" s="53">
        <v>0.71</v>
      </c>
      <c r="Z48" s="53">
        <v>0.5</v>
      </c>
      <c r="AA48" s="82">
        <f>(AD48*44/12)*rng_biogenic_storage</f>
        <v>2.4261765</v>
      </c>
      <c r="AB48" s="50" t="s">
        <v>825</v>
      </c>
      <c r="AC48" s="53">
        <v>1.84</v>
      </c>
      <c r="AD48" s="49">
        <f>T48*Y48*Z48</f>
        <v>0.735205</v>
      </c>
      <c r="AG48" s="82"/>
      <c r="AN48" s="53">
        <v>35</v>
      </c>
      <c r="AR48" s="264" t="str">
        <f ca="1">IF(LEN(Q48)=4,IF(Q48&lt;YEAR(NOW()),_xlfn.CONCAT(IF(LOWER(Setting!rng_language)="english","Expired ","Expiré "),Q48),""),"")</f>
        <v>Expired 2025</v>
      </c>
      <c r="AT48" s="53" t="b">
        <f>ISNUMBER(MATCH(IF(LEN('USER INPUT SHEET'!rng_province)&gt;0,'USER INPUT SHEET'!rng_province,"Canada"),$AU48:$BD48,0))</f>
        <v>0</v>
      </c>
      <c r="AU48" s="1286"/>
      <c r="AV48" s="1286"/>
      <c r="AW48" s="1286"/>
      <c r="AX48" s="1286"/>
      <c r="AY48" s="1286"/>
      <c r="AZ48" s="1286"/>
      <c r="BA48" s="1286"/>
      <c r="BB48" s="1286"/>
      <c r="BC48" s="1286"/>
      <c r="BD48" s="1286"/>
    </row>
    <row r="49" spans="1:56" ht="15.75" customHeight="1" x14ac:dyDescent="0.3">
      <c r="A49" s="50" t="str">
        <f t="shared" si="0"/>
        <v>Cement board 1/2" / USG / Durock (132) / 1/2" (12.7 mm)</v>
      </c>
      <c r="B49" s="50" t="s">
        <v>222</v>
      </c>
      <c r="C49" s="50" t="s">
        <v>223</v>
      </c>
      <c r="D49" s="51" t="s">
        <v>224</v>
      </c>
      <c r="E49" s="50" t="s">
        <v>169</v>
      </c>
      <c r="H49" s="50"/>
      <c r="I49" s="50" t="s">
        <v>129</v>
      </c>
      <c r="J49" s="50"/>
      <c r="K49" s="50">
        <v>912</v>
      </c>
      <c r="L49" s="50" t="s">
        <v>846</v>
      </c>
      <c r="M49" s="71">
        <f>(K49/92.9)</f>
        <v>9.817007534983853</v>
      </c>
      <c r="N49" s="50" t="s">
        <v>5</v>
      </c>
      <c r="O49" s="50" t="s">
        <v>183</v>
      </c>
      <c r="P49" s="50" t="s">
        <v>137</v>
      </c>
      <c r="Q49" s="172">
        <v>2025</v>
      </c>
      <c r="R49" s="50">
        <v>921</v>
      </c>
      <c r="S49" s="50" t="s">
        <v>121</v>
      </c>
      <c r="T49" s="50"/>
      <c r="U49" s="50"/>
      <c r="V49" s="50"/>
      <c r="W49" s="50"/>
      <c r="X49" s="50"/>
      <c r="Y49" s="50"/>
      <c r="Z49" s="50"/>
      <c r="AA49" s="78">
        <f t="shared" ref="AA49:AA74" si="4">_xlfn.NUMBERVALUE(IF(LEN(AG49)&gt;0,AG49,0))</f>
        <v>0</v>
      </c>
      <c r="AB49" s="50"/>
      <c r="AC49" s="50"/>
      <c r="AD49" s="50"/>
      <c r="AE49" s="50"/>
      <c r="AF49" s="50"/>
      <c r="AG49" s="82"/>
      <c r="AH49" s="50"/>
      <c r="AI49" s="167"/>
      <c r="AJ49" s="167"/>
      <c r="AK49" s="167"/>
      <c r="AL49" s="50"/>
      <c r="AN49" s="53">
        <v>36</v>
      </c>
      <c r="AR49" s="264" t="str">
        <f ca="1">IF(LEN(Q49)=4,IF(Q49&lt;YEAR(NOW()),_xlfn.CONCAT(IF(LOWER(Setting!rng_language)="english","Expired ","Expiré "),Q49),""),"")</f>
        <v>Expired 2025</v>
      </c>
      <c r="AT49" s="53" t="b">
        <f>ISNUMBER(MATCH(IF(LEN('USER INPUT SHEET'!rng_province)&gt;0,'USER INPUT SHEET'!rng_province,"Canada"),$AU49:$BD49,0))</f>
        <v>0</v>
      </c>
      <c r="AU49" s="1286"/>
      <c r="AV49" s="1286"/>
      <c r="AW49" s="1286"/>
      <c r="AX49" s="1286"/>
      <c r="AY49" s="1286"/>
      <c r="AZ49" s="1286"/>
      <c r="BA49" s="1286"/>
      <c r="BB49" s="1286"/>
      <c r="BC49" s="1286"/>
      <c r="BD49" s="1286"/>
    </row>
    <row r="50" spans="1:56" ht="15.75" customHeight="1" x14ac:dyDescent="0.3">
      <c r="A50" s="50" t="str">
        <f t="shared" si="0"/>
        <v>Cement board 1/2" / USG / Durock (133) / 1/2" (12.7 mm)</v>
      </c>
      <c r="B50" s="50" t="s">
        <v>222</v>
      </c>
      <c r="C50" s="50" t="s">
        <v>223</v>
      </c>
      <c r="D50" s="51" t="s">
        <v>225</v>
      </c>
      <c r="E50" s="50" t="s">
        <v>169</v>
      </c>
      <c r="H50" s="50"/>
      <c r="I50" s="50" t="s">
        <v>129</v>
      </c>
      <c r="J50" s="50"/>
      <c r="K50" s="50">
        <v>841</v>
      </c>
      <c r="L50" s="50" t="s">
        <v>846</v>
      </c>
      <c r="M50" s="71">
        <f>(K50/92.9)</f>
        <v>9.0527448869752423</v>
      </c>
      <c r="N50" s="50" t="s">
        <v>5</v>
      </c>
      <c r="O50" s="50" t="s">
        <v>226</v>
      </c>
      <c r="P50" s="50" t="s">
        <v>137</v>
      </c>
      <c r="Q50" s="172">
        <v>2025</v>
      </c>
      <c r="R50" s="50">
        <v>921</v>
      </c>
      <c r="S50" s="50" t="s">
        <v>121</v>
      </c>
      <c r="T50" s="50"/>
      <c r="U50" s="50"/>
      <c r="V50" s="50"/>
      <c r="W50" s="50"/>
      <c r="X50" s="50"/>
      <c r="Y50" s="50"/>
      <c r="Z50" s="50"/>
      <c r="AA50" s="78">
        <f t="shared" si="4"/>
        <v>0</v>
      </c>
      <c r="AB50" s="50"/>
      <c r="AC50" s="50"/>
      <c r="AD50" s="50"/>
      <c r="AE50" s="50"/>
      <c r="AF50" s="50"/>
      <c r="AG50" s="82"/>
      <c r="AH50" s="50"/>
      <c r="AI50" s="167"/>
      <c r="AJ50" s="167"/>
      <c r="AK50" s="167"/>
      <c r="AL50" s="50"/>
      <c r="AN50" s="53">
        <v>37</v>
      </c>
      <c r="AR50" s="264" t="str">
        <f ca="1">IF(LEN(Q50)=4,IF(Q50&lt;YEAR(NOW()),_xlfn.CONCAT(IF(LOWER(Setting!rng_language)="english","Expired ","Expiré "),Q50),""),"")</f>
        <v>Expired 2025</v>
      </c>
      <c r="AT50" s="53" t="b">
        <f>ISNUMBER(MATCH(IF(LEN('USER INPUT SHEET'!rng_province)&gt;0,'USER INPUT SHEET'!rng_province,"Canada"),$AU50:$BD50,0))</f>
        <v>0</v>
      </c>
      <c r="AU50" s="1286"/>
      <c r="AV50" s="1286"/>
      <c r="AW50" s="1286"/>
      <c r="AX50" s="1286"/>
      <c r="AY50" s="1286"/>
      <c r="AZ50" s="1286"/>
      <c r="BA50" s="1286"/>
      <c r="BB50" s="1286"/>
      <c r="BC50" s="1286"/>
      <c r="BD50" s="1286"/>
    </row>
    <row r="51" spans="1:56" ht="15.75" customHeight="1" x14ac:dyDescent="0.3">
      <c r="A51" s="50" t="str">
        <f t="shared" si="0"/>
        <v>(ARCHIVED 2025) Cement mortar, tile / Tile Council of North America /  / Industry average. Includes dry-set, modified dry-set and improved modified dry-set cement mortar</v>
      </c>
      <c r="B51" s="50" t="s">
        <v>4135</v>
      </c>
      <c r="C51" s="50" t="s">
        <v>227</v>
      </c>
      <c r="D51" s="50"/>
      <c r="E51" s="50" t="s">
        <v>228</v>
      </c>
      <c r="H51" s="50"/>
      <c r="I51" s="50" t="s">
        <v>124</v>
      </c>
      <c r="J51" s="50"/>
      <c r="K51" s="50">
        <v>0.51900000000000002</v>
      </c>
      <c r="L51" s="50" t="s">
        <v>5</v>
      </c>
      <c r="M51" s="71">
        <f>(0.519)</f>
        <v>0.51900000000000002</v>
      </c>
      <c r="N51" s="50" t="s">
        <v>5</v>
      </c>
      <c r="O51" s="50" t="s">
        <v>810</v>
      </c>
      <c r="P51" s="53" t="s">
        <v>143</v>
      </c>
      <c r="Q51" s="367">
        <v>2021</v>
      </c>
      <c r="R51" s="53">
        <v>4.07</v>
      </c>
      <c r="S51" s="53" t="s">
        <v>141</v>
      </c>
      <c r="AA51" s="78">
        <f t="shared" si="4"/>
        <v>0</v>
      </c>
      <c r="AB51" s="50"/>
      <c r="AC51" s="50"/>
      <c r="AD51" s="50"/>
      <c r="AG51" s="82"/>
      <c r="AN51" s="53">
        <v>38</v>
      </c>
      <c r="AR51" s="264" t="str">
        <f ca="1">IF(LEN(Q51)=4,IF(Q51&lt;YEAR(NOW()),_xlfn.CONCAT(IF(LOWER(Setting!rng_language)="english","Expired ","Expiré "),Q51),""),"")</f>
        <v>Expired 2021</v>
      </c>
      <c r="AT51" s="53" t="b">
        <f>ISNUMBER(MATCH(IF(LEN('USER INPUT SHEET'!rng_province)&gt;0,'USER INPUT SHEET'!rng_province,"Canada"),$AU51:$BD51,0))</f>
        <v>0</v>
      </c>
      <c r="AU51" s="1286"/>
      <c r="AV51" s="1286"/>
      <c r="AW51" s="1286"/>
      <c r="AX51" s="1286"/>
      <c r="AY51" s="1286"/>
      <c r="AZ51" s="1286"/>
      <c r="BA51" s="1286"/>
      <c r="BB51" s="1286"/>
      <c r="BC51" s="1286"/>
      <c r="BD51" s="1286"/>
    </row>
    <row r="52" spans="1:56" ht="15.75" customHeight="1" x14ac:dyDescent="0.3">
      <c r="A52" s="50" t="str">
        <f>B52&amp;" / "&amp;C52&amp;" / "&amp;E52</f>
        <v>Cement mortar, tile / Tile Council of North America / Industry average. Includes dry-set, modified dry-set and improved modified dry-set cement mortar</v>
      </c>
      <c r="B52" s="50" t="s">
        <v>994</v>
      </c>
      <c r="C52" s="50" t="s">
        <v>227</v>
      </c>
      <c r="D52" s="50" t="s">
        <v>4136</v>
      </c>
      <c r="E52" s="50" t="s">
        <v>228</v>
      </c>
      <c r="H52" s="50" t="s">
        <v>4137</v>
      </c>
      <c r="I52" s="50"/>
      <c r="J52" s="401">
        <v>44956</v>
      </c>
      <c r="K52" s="50">
        <v>2.1800000000000002</v>
      </c>
      <c r="L52" s="50" t="s">
        <v>4138</v>
      </c>
      <c r="M52" s="70">
        <v>2.1800000000000002</v>
      </c>
      <c r="N52" s="50" t="s">
        <v>3501</v>
      </c>
      <c r="O52" s="50" t="s">
        <v>4139</v>
      </c>
      <c r="Q52" s="401">
        <v>46753</v>
      </c>
      <c r="AA52" s="78">
        <f t="shared" si="4"/>
        <v>0</v>
      </c>
      <c r="AB52" s="50"/>
      <c r="AC52" s="50"/>
      <c r="AD52" s="50"/>
      <c r="AG52" s="81"/>
      <c r="AN52" s="53" t="s">
        <v>2197</v>
      </c>
      <c r="AT52" s="53" t="b">
        <f>ISNUMBER(MATCH(IF(LEN('USER INPUT SHEET'!rng_province)&gt;0,'USER INPUT SHEET'!rng_province,"Canada"),$AU52:$BD52,0))</f>
        <v>0</v>
      </c>
      <c r="AU52" s="1286"/>
      <c r="AV52" s="1286"/>
      <c r="AW52" s="1286"/>
      <c r="AX52" s="1286"/>
      <c r="AY52" s="1286"/>
      <c r="AZ52" s="1286"/>
      <c r="BA52" s="1286"/>
      <c r="BB52" s="1286"/>
      <c r="BC52" s="1286"/>
      <c r="BD52" s="1286"/>
    </row>
    <row r="53" spans="1:56" ht="15.75" customHeight="1" x14ac:dyDescent="0.3">
      <c r="A53" s="50" t="str">
        <f t="shared" si="0"/>
        <v>(ARCHIVED 2026) Ceramic tile / Crossville / Porcelain / Standard grade</v>
      </c>
      <c r="B53" s="50" t="s">
        <v>7273</v>
      </c>
      <c r="C53" s="50" t="s">
        <v>230</v>
      </c>
      <c r="D53" s="50" t="s">
        <v>231</v>
      </c>
      <c r="E53" s="50" t="s">
        <v>232</v>
      </c>
      <c r="H53" s="50"/>
      <c r="I53" s="50" t="s">
        <v>129</v>
      </c>
      <c r="J53" s="401"/>
      <c r="K53" s="50">
        <v>23.9</v>
      </c>
      <c r="L53" s="50" t="s">
        <v>5</v>
      </c>
      <c r="M53" s="71">
        <f>(23.9)</f>
        <v>23.9</v>
      </c>
      <c r="N53" s="50" t="s">
        <v>5</v>
      </c>
      <c r="O53" s="50" t="s">
        <v>233</v>
      </c>
      <c r="P53" s="53" t="s">
        <v>143</v>
      </c>
      <c r="Q53" s="367">
        <v>2024</v>
      </c>
      <c r="R53" s="53">
        <v>24.41</v>
      </c>
      <c r="S53" s="53" t="s">
        <v>141</v>
      </c>
      <c r="AA53" s="78">
        <f t="shared" si="4"/>
        <v>0</v>
      </c>
      <c r="AB53" s="50"/>
      <c r="AC53" s="50"/>
      <c r="AD53" s="50"/>
      <c r="AG53" s="82"/>
      <c r="AN53" s="53">
        <v>39</v>
      </c>
      <c r="AR53" s="264" t="str">
        <f ca="1">IF(LEN(Q53)=4,IF(Q53&lt;YEAR(NOW()),_xlfn.CONCAT(IF(LOWER(Setting!rng_language)="english","Expired ","Expiré "),Q53),""),"")</f>
        <v>Expired 2024</v>
      </c>
      <c r="AT53" s="53" t="b">
        <f>ISNUMBER(MATCH(IF(LEN('USER INPUT SHEET'!rng_province)&gt;0,'USER INPUT SHEET'!rng_province,"Canada"),$AU53:$BD53,0))</f>
        <v>0</v>
      </c>
      <c r="AU53" s="1286"/>
      <c r="AV53" s="1286"/>
      <c r="AW53" s="1286"/>
      <c r="AX53" s="1286"/>
      <c r="AY53" s="1286"/>
      <c r="AZ53" s="1286"/>
      <c r="BA53" s="1286"/>
      <c r="BB53" s="1286"/>
      <c r="BC53" s="1286"/>
      <c r="BD53" s="1286"/>
    </row>
    <row r="54" spans="1:56" ht="15.75" customHeight="1" x14ac:dyDescent="0.3">
      <c r="A54" s="50" t="str">
        <f t="shared" si="0"/>
        <v>(ARCHIVED 2025) Ceramic tile / StonePeak / Porcelain / Porcelain, standard grade</v>
      </c>
      <c r="B54" s="50" t="s">
        <v>4140</v>
      </c>
      <c r="C54" s="50" t="s">
        <v>3299</v>
      </c>
      <c r="D54" s="50" t="s">
        <v>231</v>
      </c>
      <c r="E54" s="50" t="s">
        <v>234</v>
      </c>
      <c r="H54" s="50"/>
      <c r="I54" s="50" t="s">
        <v>129</v>
      </c>
      <c r="J54" s="50"/>
      <c r="K54" s="50">
        <v>16.22</v>
      </c>
      <c r="L54" s="50" t="s">
        <v>5</v>
      </c>
      <c r="M54" s="71">
        <f>(16.22)</f>
        <v>16.22</v>
      </c>
      <c r="N54" s="50" t="s">
        <v>5</v>
      </c>
      <c r="O54" s="50" t="s">
        <v>235</v>
      </c>
      <c r="P54" s="53" t="s">
        <v>143</v>
      </c>
      <c r="Q54" s="367">
        <v>2020</v>
      </c>
      <c r="R54" s="53">
        <v>22</v>
      </c>
      <c r="S54" s="53" t="s">
        <v>141</v>
      </c>
      <c r="AA54" s="78">
        <f t="shared" si="4"/>
        <v>0</v>
      </c>
      <c r="AB54" s="50"/>
      <c r="AC54" s="50"/>
      <c r="AD54" s="50"/>
      <c r="AG54" s="82"/>
      <c r="AI54" s="165">
        <v>8.5000000000000006E-3</v>
      </c>
      <c r="AN54" s="53">
        <v>40</v>
      </c>
      <c r="AR54" s="264" t="str">
        <f ca="1">IF(LEN(Q54)=4,IF(Q54&lt;YEAR(NOW()),_xlfn.CONCAT(IF(LOWER(Setting!rng_language)="english","Expired ","Expiré "),Q54),""),"")</f>
        <v>Expired 2020</v>
      </c>
      <c r="AT54" s="53" t="b">
        <f>ISNUMBER(MATCH(IF(LEN('USER INPUT SHEET'!rng_province)&gt;0,'USER INPUT SHEET'!rng_province,"Canada"),$AU54:$BD54,0))</f>
        <v>0</v>
      </c>
      <c r="AU54" s="1286"/>
      <c r="AV54" s="1286"/>
      <c r="AW54" s="1286"/>
      <c r="AX54" s="1286"/>
      <c r="AY54" s="1286"/>
      <c r="AZ54" s="1286"/>
      <c r="BA54" s="1286"/>
      <c r="BB54" s="1286"/>
      <c r="BC54" s="1286"/>
      <c r="BD54" s="1286"/>
    </row>
    <row r="55" spans="1:56" ht="15.75" customHeight="1" x14ac:dyDescent="0.3">
      <c r="A55" s="50" t="str">
        <f t="shared" si="0"/>
        <v>(ARCHIVED 2025) Ceramic tile / Tile Council of North America /  / Industry average. Includes porcelain, pressed, mosaic and quarry tile</v>
      </c>
      <c r="B55" s="50" t="s">
        <v>4140</v>
      </c>
      <c r="C55" s="50" t="s">
        <v>227</v>
      </c>
      <c r="D55" s="50"/>
      <c r="E55" s="50" t="s">
        <v>236</v>
      </c>
      <c r="H55" s="50"/>
      <c r="I55" s="50" t="s">
        <v>124</v>
      </c>
      <c r="J55" s="50"/>
      <c r="K55" s="50">
        <v>13.14</v>
      </c>
      <c r="L55" s="50" t="s">
        <v>5</v>
      </c>
      <c r="M55" s="71">
        <f>(13.14)</f>
        <v>13.14</v>
      </c>
      <c r="N55" s="50" t="s">
        <v>5</v>
      </c>
      <c r="O55" s="50" t="s">
        <v>237</v>
      </c>
      <c r="P55" s="53" t="s">
        <v>143</v>
      </c>
      <c r="Q55" s="367">
        <v>2020</v>
      </c>
      <c r="AA55" s="78">
        <f t="shared" si="4"/>
        <v>0</v>
      </c>
      <c r="AG55" s="82"/>
      <c r="AN55" s="53">
        <v>41</v>
      </c>
      <c r="AR55" s="264" t="str">
        <f ca="1">IF(LEN(Q55)=4,IF(Q55&lt;YEAR(NOW()),_xlfn.CONCAT(IF(LOWER(Setting!rng_language)="english","Expired ","Expiré "),Q55),""),"")</f>
        <v>Expired 2020</v>
      </c>
      <c r="AT55" s="53" t="b">
        <f>ISNUMBER(MATCH(IF(LEN('USER INPUT SHEET'!rng_province)&gt;0,'USER INPUT SHEET'!rng_province,"Canada"),$AU55:$BD55,0))</f>
        <v>0</v>
      </c>
      <c r="AU55" s="1286"/>
      <c r="AV55" s="1286"/>
      <c r="AW55" s="1286"/>
      <c r="AX55" s="1286"/>
      <c r="AY55" s="1286"/>
      <c r="AZ55" s="1286"/>
      <c r="BA55" s="1286"/>
      <c r="BB55" s="1286"/>
      <c r="BC55" s="1286"/>
      <c r="BD55" s="1286"/>
    </row>
    <row r="56" spans="1:56" ht="15.75" customHeight="1" x14ac:dyDescent="0.3">
      <c r="A56" s="50" t="str">
        <f t="shared" si="0"/>
        <v xml:space="preserve">Ceramic tile / Tile Council of North America / Industry average. Includes porcelain, pressed, mosaic and quarry tile / 18.8 kg/m2 </v>
      </c>
      <c r="B56" s="50" t="s">
        <v>229</v>
      </c>
      <c r="C56" s="50" t="s">
        <v>227</v>
      </c>
      <c r="D56" s="50" t="s">
        <v>236</v>
      </c>
      <c r="E56" s="50" t="s">
        <v>4141</v>
      </c>
      <c r="H56" s="50" t="s">
        <v>4142</v>
      </c>
      <c r="I56" s="50" t="s">
        <v>3500</v>
      </c>
      <c r="J56" s="401">
        <v>45328</v>
      </c>
      <c r="K56" s="50">
        <v>14.1</v>
      </c>
      <c r="L56" s="50" t="s">
        <v>3501</v>
      </c>
      <c r="M56" s="70">
        <v>14.1</v>
      </c>
      <c r="N56" s="50" t="s">
        <v>3501</v>
      </c>
      <c r="O56" s="50" t="s">
        <v>4143</v>
      </c>
      <c r="P56" s="53" t="s">
        <v>3502</v>
      </c>
      <c r="Q56" s="367">
        <v>2025</v>
      </c>
      <c r="R56" s="53">
        <v>18.8</v>
      </c>
      <c r="S56" s="53" t="s">
        <v>141</v>
      </c>
      <c r="AA56" s="78">
        <f t="shared" si="4"/>
        <v>0</v>
      </c>
      <c r="AG56" s="81"/>
      <c r="AN56" s="53" t="s">
        <v>2138</v>
      </c>
      <c r="AT56" s="53" t="b">
        <f>ISNUMBER(MATCH(IF(LEN('USER INPUT SHEET'!rng_province)&gt;0,'USER INPUT SHEET'!rng_province,"Canada"),$AU56:$BD56,0))</f>
        <v>0</v>
      </c>
      <c r="AU56" s="1286"/>
      <c r="AV56" s="1286"/>
      <c r="AW56" s="1286"/>
      <c r="AX56" s="1286"/>
      <c r="AY56" s="1286"/>
      <c r="AZ56" s="1286"/>
      <c r="BA56" s="1286"/>
      <c r="BB56" s="1286"/>
      <c r="BC56" s="1286"/>
      <c r="BD56" s="1286"/>
    </row>
    <row r="57" spans="1:56" ht="15.75" customHeight="1" x14ac:dyDescent="0.3">
      <c r="A57" s="50" t="str">
        <f t="shared" si="0"/>
        <v>Clay plaster / Site mixed /  / 15 mm</v>
      </c>
      <c r="B57" s="50" t="s">
        <v>238</v>
      </c>
      <c r="C57" s="50" t="s">
        <v>239</v>
      </c>
      <c r="E57" s="50" t="s">
        <v>240</v>
      </c>
      <c r="H57" s="50"/>
      <c r="I57" s="50" t="s">
        <v>120</v>
      </c>
      <c r="J57" s="401"/>
      <c r="K57" s="50">
        <v>0.88</v>
      </c>
      <c r="L57" s="50" t="s">
        <v>826</v>
      </c>
      <c r="M57" s="71">
        <f>(0.88)</f>
        <v>0.88</v>
      </c>
      <c r="N57" s="50" t="s">
        <v>826</v>
      </c>
      <c r="O57" s="169" t="s">
        <v>241</v>
      </c>
      <c r="Q57" s="367" t="s">
        <v>1772</v>
      </c>
      <c r="AA57" s="78">
        <f t="shared" si="4"/>
        <v>0</v>
      </c>
      <c r="AG57" s="82"/>
      <c r="AN57" s="53">
        <v>42</v>
      </c>
      <c r="AR57" s="264" t="s">
        <v>1411</v>
      </c>
      <c r="AT57" s="53" t="b">
        <f>ISNUMBER(MATCH(IF(LEN('USER INPUT SHEET'!rng_province)&gt;0,'USER INPUT SHEET'!rng_province,"Canada"),$AU57:$BD57,0))</f>
        <v>0</v>
      </c>
      <c r="AU57" s="1286"/>
      <c r="AV57" s="1286"/>
      <c r="AW57" s="1286"/>
      <c r="AX57" s="1286"/>
      <c r="AY57" s="1286"/>
      <c r="AZ57" s="1286"/>
      <c r="BA57" s="1286"/>
      <c r="BB57" s="1286"/>
      <c r="BC57" s="1286"/>
      <c r="BD57" s="1286"/>
    </row>
    <row r="58" spans="1:56" ht="15.75" customHeight="1" x14ac:dyDescent="0.3">
      <c r="A58" s="50" t="str">
        <f t="shared" si="0"/>
        <v xml:space="preserve">Clay roof tiles / HISPALYT /  / </v>
      </c>
      <c r="B58" s="50" t="s">
        <v>242</v>
      </c>
      <c r="C58" s="50" t="s">
        <v>243</v>
      </c>
      <c r="D58" s="50"/>
      <c r="H58" s="50"/>
      <c r="I58" s="50" t="s">
        <v>120</v>
      </c>
      <c r="J58" s="50"/>
      <c r="K58" s="50">
        <v>3.55</v>
      </c>
      <c r="L58" s="50" t="s">
        <v>5</v>
      </c>
      <c r="M58" s="71">
        <f>(3.55)</f>
        <v>3.55</v>
      </c>
      <c r="N58" s="50" t="s">
        <v>5</v>
      </c>
      <c r="O58" s="50" t="s">
        <v>244</v>
      </c>
      <c r="P58" s="53" t="s">
        <v>245</v>
      </c>
      <c r="Q58" s="367">
        <v>2022</v>
      </c>
      <c r="R58" s="53">
        <v>56</v>
      </c>
      <c r="S58" s="53" t="s">
        <v>141</v>
      </c>
      <c r="AA58" s="78">
        <f t="shared" si="4"/>
        <v>0</v>
      </c>
      <c r="AG58" s="82"/>
      <c r="AN58" s="53">
        <v>43</v>
      </c>
      <c r="AR58" s="264" t="str">
        <f ca="1">IF(LEN(Q58)=4,IF(Q58&lt;YEAR(NOW()),_xlfn.CONCAT(IF(LOWER(Setting!rng_language)="english","Expired ","Expiré "),Q58),""),"")</f>
        <v>Expired 2022</v>
      </c>
      <c r="AT58" s="53" t="b">
        <f>ISNUMBER(MATCH(IF(LEN('USER INPUT SHEET'!rng_province)&gt;0,'USER INPUT SHEET'!rng_province,"Canada"),$AU58:$BD58,0))</f>
        <v>0</v>
      </c>
      <c r="AU58" s="1286"/>
      <c r="AV58" s="1286"/>
      <c r="AW58" s="1286"/>
      <c r="AX58" s="1286"/>
      <c r="AY58" s="1286"/>
      <c r="AZ58" s="1286"/>
      <c r="BA58" s="1286"/>
      <c r="BB58" s="1286"/>
      <c r="BC58" s="1286"/>
      <c r="BD58" s="1286"/>
    </row>
    <row r="59" spans="1:56" ht="15.75" customHeight="1" x14ac:dyDescent="0.3">
      <c r="A59" s="50" t="str">
        <f t="shared" si="0"/>
        <v>(ARCHIVED 2025) CMU - Light weight / Angelus Block Co. / 8" Light weight blocks / 9 x 8 x 16 Precision</v>
      </c>
      <c r="B59" s="50" t="s">
        <v>4144</v>
      </c>
      <c r="C59" s="50" t="s">
        <v>247</v>
      </c>
      <c r="D59" s="50" t="s">
        <v>248</v>
      </c>
      <c r="E59" s="50" t="s">
        <v>249</v>
      </c>
      <c r="H59" s="50" t="s">
        <v>250</v>
      </c>
      <c r="I59" s="50" t="s">
        <v>129</v>
      </c>
      <c r="J59" s="50"/>
      <c r="K59" s="172">
        <v>214.25</v>
      </c>
      <c r="L59" s="50" t="s">
        <v>3</v>
      </c>
      <c r="M59" s="71">
        <f t="shared" ref="M59:M71" si="5">(K59*T59/R59)</f>
        <v>19.487945205479452</v>
      </c>
      <c r="N59" s="50" t="s">
        <v>827</v>
      </c>
      <c r="O59" s="50" t="s">
        <v>251</v>
      </c>
      <c r="P59" s="50" t="s">
        <v>137</v>
      </c>
      <c r="Q59" s="172">
        <v>2021</v>
      </c>
      <c r="R59" s="50">
        <v>1825</v>
      </c>
      <c r="S59" s="50" t="s">
        <v>121</v>
      </c>
      <c r="T59" s="50">
        <v>166</v>
      </c>
      <c r="U59" s="50" t="s">
        <v>252</v>
      </c>
      <c r="AA59" s="78">
        <f t="shared" si="4"/>
        <v>0</v>
      </c>
      <c r="AG59" s="82"/>
      <c r="AI59" s="165">
        <v>0.19</v>
      </c>
      <c r="AJ59" s="165">
        <v>0.39</v>
      </c>
      <c r="AK59" s="165">
        <v>0.19</v>
      </c>
      <c r="AN59" s="53">
        <v>44</v>
      </c>
      <c r="AR59" s="264" t="str">
        <f ca="1">IF(LEN(Q59)=4,IF(Q59&lt;YEAR(NOW()),_xlfn.CONCAT(IF(LOWER(Setting!rng_language)="english","Expired ","Expiré "),Q59),""),"")</f>
        <v>Expired 2021</v>
      </c>
      <c r="AT59" s="53" t="b">
        <f>ISNUMBER(MATCH(IF(LEN('USER INPUT SHEET'!rng_province)&gt;0,'USER INPUT SHEET'!rng_province,"Canada"),$AU59:$BD59,0))</f>
        <v>0</v>
      </c>
      <c r="AU59" s="1286"/>
      <c r="AV59" s="1286"/>
      <c r="AW59" s="1286"/>
      <c r="AX59" s="1286"/>
      <c r="AY59" s="1286"/>
      <c r="AZ59" s="1286"/>
      <c r="BA59" s="1286"/>
      <c r="BB59" s="1286"/>
      <c r="BC59" s="1286"/>
      <c r="BD59" s="1286"/>
    </row>
    <row r="60" spans="1:56" ht="15.75" customHeight="1" x14ac:dyDescent="0.3">
      <c r="A60" s="50" t="str">
        <f t="shared" si="0"/>
        <v>(ARCHIVED 2025) CMU - Light weight / Brampton Brick / 8" Carbon Cure Lightweight blocks / Carbon Cure 15 MPa</v>
      </c>
      <c r="B60" s="50" t="s">
        <v>4144</v>
      </c>
      <c r="C60" s="50" t="s">
        <v>253</v>
      </c>
      <c r="D60" s="50" t="s">
        <v>254</v>
      </c>
      <c r="E60" s="50" t="s">
        <v>255</v>
      </c>
      <c r="H60" s="50"/>
      <c r="I60" s="50" t="s">
        <v>138</v>
      </c>
      <c r="J60" s="50"/>
      <c r="K60" s="172">
        <v>387.9</v>
      </c>
      <c r="L60" s="50" t="s">
        <v>3</v>
      </c>
      <c r="M60" s="71">
        <f t="shared" si="5"/>
        <v>35.282958904109584</v>
      </c>
      <c r="N60" s="50" t="s">
        <v>827</v>
      </c>
      <c r="O60" s="50"/>
      <c r="P60" s="50" t="s">
        <v>1413</v>
      </c>
      <c r="Q60" s="172">
        <v>2020</v>
      </c>
      <c r="R60" s="50">
        <v>1825</v>
      </c>
      <c r="S60" s="50" t="s">
        <v>121</v>
      </c>
      <c r="T60" s="50">
        <v>166</v>
      </c>
      <c r="U60" s="50" t="s">
        <v>252</v>
      </c>
      <c r="AA60" s="78">
        <f t="shared" si="4"/>
        <v>0</v>
      </c>
      <c r="AG60" s="82"/>
      <c r="AI60" s="165">
        <v>0.19</v>
      </c>
      <c r="AJ60" s="165">
        <v>0.39</v>
      </c>
      <c r="AK60" s="165">
        <v>0.19</v>
      </c>
      <c r="AN60" s="53">
        <v>45</v>
      </c>
      <c r="AR60" s="264" t="str">
        <f ca="1">IF(LEN(Q60)=4,IF(Q60&lt;YEAR(NOW()),_xlfn.CONCAT(IF(LOWER(Setting!rng_language)="english","Expired ","Expiré "),Q60),""),"")</f>
        <v>Expired 2020</v>
      </c>
      <c r="AT60" s="53" t="b">
        <f>ISNUMBER(MATCH(IF(LEN('USER INPUT SHEET'!rng_province)&gt;0,'USER INPUT SHEET'!rng_province,"Canada"),$AU60:$BD60,0))</f>
        <v>0</v>
      </c>
      <c r="AU60" s="1286"/>
      <c r="AV60" s="1286"/>
      <c r="AW60" s="1286"/>
      <c r="AX60" s="1286"/>
      <c r="AY60" s="1286"/>
      <c r="AZ60" s="1286"/>
      <c r="BA60" s="1286"/>
      <c r="BB60" s="1286"/>
      <c r="BC60" s="1286"/>
      <c r="BD60" s="1286"/>
    </row>
    <row r="61" spans="1:56" ht="15.75" customHeight="1" x14ac:dyDescent="0.3">
      <c r="A61" s="50" t="str">
        <f t="shared" si="0"/>
        <v xml:space="preserve">CMU - Light weight / Brampton Brick (Boehmers) / 8" CarboClave Block / 8 x 8 x 16 </v>
      </c>
      <c r="B61" s="50" t="s">
        <v>246</v>
      </c>
      <c r="C61" s="50" t="s">
        <v>4145</v>
      </c>
      <c r="D61" s="50" t="s">
        <v>4146</v>
      </c>
      <c r="E61" s="50" t="s">
        <v>4147</v>
      </c>
      <c r="H61" s="50"/>
      <c r="I61" s="50" t="s">
        <v>3545</v>
      </c>
      <c r="J61" s="401">
        <v>45035</v>
      </c>
      <c r="K61" s="172">
        <v>256</v>
      </c>
      <c r="L61" s="50" t="s">
        <v>3</v>
      </c>
      <c r="M61" s="70">
        <v>27.209142857142858</v>
      </c>
      <c r="N61" s="50" t="s">
        <v>827</v>
      </c>
      <c r="O61" s="50" t="s">
        <v>4148</v>
      </c>
      <c r="P61" s="50" t="s">
        <v>3518</v>
      </c>
      <c r="Q61" s="401">
        <v>45298</v>
      </c>
      <c r="R61" s="50">
        <v>1750</v>
      </c>
      <c r="S61" s="50" t="s">
        <v>121</v>
      </c>
      <c r="T61" s="50">
        <v>186</v>
      </c>
      <c r="U61" s="50" t="s">
        <v>252</v>
      </c>
      <c r="AA61" s="78">
        <f t="shared" si="4"/>
        <v>0</v>
      </c>
      <c r="AG61" s="81"/>
      <c r="AI61" s="165">
        <v>0.39</v>
      </c>
      <c r="AJ61" s="165">
        <v>0.19</v>
      </c>
      <c r="AK61" s="165">
        <v>0.19</v>
      </c>
      <c r="AN61" s="53" t="s">
        <v>2198</v>
      </c>
      <c r="AT61" s="53" t="b">
        <f>ISNUMBER(MATCH(IF(LEN('USER INPUT SHEET'!rng_province)&gt;0,'USER INPUT SHEET'!rng_province,"Canada"),$AU61:$BD61,0))</f>
        <v>0</v>
      </c>
      <c r="AU61" s="1286"/>
      <c r="AV61" s="1286"/>
      <c r="AW61" s="1286"/>
      <c r="AX61" s="1286"/>
      <c r="AY61" s="1286"/>
      <c r="AZ61" s="1286"/>
      <c r="BA61" s="1286"/>
      <c r="BB61" s="1286"/>
      <c r="BC61" s="1286"/>
      <c r="BD61" s="1286"/>
    </row>
    <row r="62" spans="1:56" ht="15.75" customHeight="1" x14ac:dyDescent="0.3">
      <c r="A62" s="50" t="str">
        <f t="shared" si="0"/>
        <v>(ARCHIVED 2025) CMU - Light weight / Canadian Concrete Masonry Producers Assn / 8" Light weight blocks / 390 x 190 x 190 mm</v>
      </c>
      <c r="B62" s="50" t="s">
        <v>4144</v>
      </c>
      <c r="C62" s="50" t="s">
        <v>256</v>
      </c>
      <c r="D62" s="50" t="s">
        <v>248</v>
      </c>
      <c r="E62" s="50" t="s">
        <v>263</v>
      </c>
      <c r="H62" s="50" t="s">
        <v>3497</v>
      </c>
      <c r="I62" s="50" t="s">
        <v>138</v>
      </c>
      <c r="J62" s="50"/>
      <c r="K62" s="1287">
        <v>195.24</v>
      </c>
      <c r="L62" s="50" t="s">
        <v>3</v>
      </c>
      <c r="M62" s="70">
        <v>18.814926620843398</v>
      </c>
      <c r="N62" s="50" t="s">
        <v>827</v>
      </c>
      <c r="O62" s="50" t="s">
        <v>3498</v>
      </c>
      <c r="P62" s="50" t="s">
        <v>137</v>
      </c>
      <c r="Q62" s="367">
        <v>2027</v>
      </c>
      <c r="R62" s="1288">
        <v>1722.56</v>
      </c>
      <c r="S62" s="50" t="s">
        <v>121</v>
      </c>
      <c r="T62" s="50">
        <v>166</v>
      </c>
      <c r="U62" s="50" t="s">
        <v>252</v>
      </c>
      <c r="AA62" s="78">
        <f t="shared" si="4"/>
        <v>0</v>
      </c>
      <c r="AG62" s="81"/>
      <c r="AN62" s="53">
        <v>46</v>
      </c>
      <c r="AR62" s="264" t="str">
        <f ca="1">IF(LEN(Q62)=4,IF(Q62&lt;YEAR(NOW()),_xlfn.CONCAT(IF(LOWER(Setting!rng_language)="english","Expired ","Expiré "),Q62),""),"")</f>
        <v/>
      </c>
      <c r="AT62" s="53" t="b">
        <f>ISNUMBER(MATCH(IF(LEN('USER INPUT SHEET'!rng_province)&gt;0,'USER INPUT SHEET'!rng_province,"Canada"),$AU62:$BD62,0))</f>
        <v>0</v>
      </c>
      <c r="AU62" s="1286"/>
      <c r="AV62" s="1286"/>
      <c r="AW62" s="1286"/>
      <c r="AX62" s="1286"/>
      <c r="AY62" s="1286"/>
      <c r="AZ62" s="1286"/>
      <c r="BA62" s="1286"/>
      <c r="BB62" s="1286"/>
      <c r="BC62" s="1286"/>
      <c r="BD62" s="1286"/>
    </row>
    <row r="63" spans="1:56" ht="15.75" customHeight="1" x14ac:dyDescent="0.3">
      <c r="A63" s="50" t="str">
        <f t="shared" si="0"/>
        <v xml:space="preserve">CMU - Light weight / Canadian Concrete Masonry Producers Assn, East Region / 8" Light weight blocks / 15 MPa, 390 x 190 x 190 mm </v>
      </c>
      <c r="B63" s="50" t="s">
        <v>246</v>
      </c>
      <c r="C63" s="50" t="s">
        <v>4149</v>
      </c>
      <c r="D63" s="50" t="s">
        <v>248</v>
      </c>
      <c r="E63" s="50" t="s">
        <v>4150</v>
      </c>
      <c r="H63" s="50" t="s">
        <v>4151</v>
      </c>
      <c r="I63" s="50" t="s">
        <v>138</v>
      </c>
      <c r="J63" s="401">
        <v>45327</v>
      </c>
      <c r="K63" s="1287">
        <v>176.54</v>
      </c>
      <c r="L63" s="50" t="s">
        <v>3</v>
      </c>
      <c r="M63" s="70">
        <v>19.093662124161799</v>
      </c>
      <c r="N63" s="50" t="s">
        <v>827</v>
      </c>
      <c r="O63" s="50" t="s">
        <v>4152</v>
      </c>
      <c r="P63" s="50" t="s">
        <v>137</v>
      </c>
      <c r="Q63" s="401">
        <v>46636</v>
      </c>
      <c r="R63" s="1288">
        <v>1722.56</v>
      </c>
      <c r="S63" s="50" t="s">
        <v>121</v>
      </c>
      <c r="T63" s="50">
        <v>186</v>
      </c>
      <c r="U63" s="50" t="s">
        <v>252</v>
      </c>
      <c r="AA63" s="78">
        <f t="shared" si="4"/>
        <v>0</v>
      </c>
      <c r="AG63" s="81"/>
      <c r="AI63" s="165">
        <v>0.39</v>
      </c>
      <c r="AJ63" s="165">
        <v>0.19</v>
      </c>
      <c r="AK63" s="165">
        <v>0.19</v>
      </c>
      <c r="AN63" s="53" t="s">
        <v>2236</v>
      </c>
      <c r="AT63" s="53" t="b">
        <f>ISNUMBER(MATCH(IF(LEN('USER INPUT SHEET'!rng_province)&gt;0,'USER INPUT SHEET'!rng_province,"Canada"),$AU63:$BD63,0))</f>
        <v>0</v>
      </c>
      <c r="AU63" s="1286"/>
      <c r="AV63" s="1286"/>
      <c r="AW63" s="1286"/>
      <c r="AX63" s="1286"/>
      <c r="AY63" s="1286"/>
      <c r="AZ63" s="1286"/>
      <c r="BA63" s="1286"/>
      <c r="BB63" s="1286"/>
      <c r="BC63" s="1286"/>
      <c r="BD63" s="1286"/>
    </row>
    <row r="64" spans="1:56" ht="15.75" customHeight="1" x14ac:dyDescent="0.3">
      <c r="A64" s="50" t="str">
        <f t="shared" si="0"/>
        <v xml:space="preserve">CMU - Light weight / Canadian Concrete Masonry Producers Assn, West Region / 8" Light weight blocks / 15 MPa, 390 x 190 x 190 mm </v>
      </c>
      <c r="B64" s="50" t="s">
        <v>246</v>
      </c>
      <c r="C64" s="50" t="s">
        <v>4153</v>
      </c>
      <c r="D64" s="50" t="s">
        <v>248</v>
      </c>
      <c r="E64" s="50" t="s">
        <v>4150</v>
      </c>
      <c r="H64" s="50" t="s">
        <v>4151</v>
      </c>
      <c r="I64" s="50" t="s">
        <v>138</v>
      </c>
      <c r="J64" s="401">
        <v>45327</v>
      </c>
      <c r="K64" s="1287">
        <v>213.94</v>
      </c>
      <c r="L64" s="50" t="s">
        <v>3</v>
      </c>
      <c r="M64" s="70">
        <v>23.138654553320354</v>
      </c>
      <c r="N64" s="50" t="s">
        <v>827</v>
      </c>
      <c r="O64" s="50" t="s">
        <v>4152</v>
      </c>
      <c r="P64" s="50" t="s">
        <v>137</v>
      </c>
      <c r="Q64" s="401">
        <v>46636</v>
      </c>
      <c r="R64" s="1288">
        <v>1722.56</v>
      </c>
      <c r="S64" s="50" t="s">
        <v>121</v>
      </c>
      <c r="T64" s="50">
        <v>186</v>
      </c>
      <c r="U64" s="50" t="s">
        <v>252</v>
      </c>
      <c r="AA64" s="78">
        <f t="shared" si="4"/>
        <v>0</v>
      </c>
      <c r="AG64" s="81"/>
      <c r="AI64" s="165">
        <v>0.39</v>
      </c>
      <c r="AJ64" s="165">
        <v>0.19</v>
      </c>
      <c r="AK64" s="165">
        <v>0.19</v>
      </c>
      <c r="AN64" s="53" t="s">
        <v>4154</v>
      </c>
      <c r="AT64" s="53" t="b">
        <f>ISNUMBER(MATCH(IF(LEN('USER INPUT SHEET'!rng_province)&gt;0,'USER INPUT SHEET'!rng_province,"Canada"),$AU64:$BD64,0))</f>
        <v>0</v>
      </c>
      <c r="AU64" s="1286"/>
      <c r="AV64" s="1286"/>
      <c r="AW64" s="1286"/>
      <c r="AX64" s="1286"/>
      <c r="AY64" s="1286"/>
      <c r="AZ64" s="1286"/>
      <c r="BA64" s="1286"/>
      <c r="BB64" s="1286"/>
      <c r="BC64" s="1286"/>
      <c r="BD64" s="1286"/>
    </row>
    <row r="65" spans="1:56" ht="15.75" customHeight="1" x14ac:dyDescent="0.3">
      <c r="A65" s="50" t="str">
        <f t="shared" si="0"/>
        <v>(ARCHIVED 2023) CMU - Light weight / Canadian Concrete Masonry Producers Assn / 8" Light weight blocks / 391 x 190 x 190 mm</v>
      </c>
      <c r="B65" s="50" t="s">
        <v>3759</v>
      </c>
      <c r="C65" s="50" t="s">
        <v>256</v>
      </c>
      <c r="D65" s="50" t="s">
        <v>248</v>
      </c>
      <c r="E65" s="50" t="s">
        <v>257</v>
      </c>
      <c r="H65" s="50"/>
      <c r="I65" s="50" t="s">
        <v>138</v>
      </c>
      <c r="J65" s="50"/>
      <c r="K65" s="172">
        <v>270</v>
      </c>
      <c r="L65" s="50" t="s">
        <v>3</v>
      </c>
      <c r="M65" s="71">
        <f t="shared" si="5"/>
        <v>24.55890410958904</v>
      </c>
      <c r="N65" s="50" t="s">
        <v>827</v>
      </c>
      <c r="O65" s="50" t="s">
        <v>258</v>
      </c>
      <c r="P65" s="50" t="s">
        <v>137</v>
      </c>
      <c r="Q65" s="172">
        <v>2022</v>
      </c>
      <c r="R65" s="50">
        <v>1825</v>
      </c>
      <c r="S65" s="50" t="s">
        <v>121</v>
      </c>
      <c r="T65" s="166">
        <v>166</v>
      </c>
      <c r="U65" s="50" t="s">
        <v>252</v>
      </c>
      <c r="AA65" s="78">
        <f t="shared" si="4"/>
        <v>0</v>
      </c>
      <c r="AG65" s="82"/>
      <c r="AI65" s="165">
        <v>0.19</v>
      </c>
      <c r="AJ65" s="165">
        <v>0.39</v>
      </c>
      <c r="AK65" s="165">
        <v>0.19</v>
      </c>
      <c r="AN65" s="53" t="s">
        <v>3783</v>
      </c>
      <c r="AR65" s="264" t="str">
        <f ca="1">IF(LEN(Q65)=4,IF(Q65&lt;YEAR(NOW()),_xlfn.CONCAT(IF(LOWER(Setting!rng_language)="english","Expired ","Expiré "),Q65),""),"")</f>
        <v>Expired 2022</v>
      </c>
      <c r="AT65" s="53" t="b">
        <f>ISNUMBER(MATCH(IF(LEN('USER INPUT SHEET'!rng_province)&gt;0,'USER INPUT SHEET'!rng_province,"Canada"),$AU65:$BD65,0))</f>
        <v>0</v>
      </c>
      <c r="AU65" s="1289"/>
      <c r="AV65" s="1289"/>
      <c r="AW65" s="1289"/>
      <c r="AX65" s="1289"/>
      <c r="AY65" s="1289"/>
      <c r="AZ65" s="1289"/>
      <c r="BA65" s="1289"/>
      <c r="BB65" s="1289"/>
      <c r="BC65" s="1289"/>
      <c r="BD65" s="1289"/>
    </row>
    <row r="66" spans="1:56" ht="15.75" customHeight="1" x14ac:dyDescent="0.3">
      <c r="A66" s="50" t="str">
        <f t="shared" si="0"/>
        <v>(ARCHIVED 2025) CMU - Normal weight / Angelus Block Co. / 8" Normal weight blocks / 8 x 8 x 16 Precision</v>
      </c>
      <c r="B66" s="50" t="s">
        <v>4155</v>
      </c>
      <c r="C66" s="50" t="s">
        <v>247</v>
      </c>
      <c r="D66" s="50" t="s">
        <v>260</v>
      </c>
      <c r="E66" s="50" t="s">
        <v>261</v>
      </c>
      <c r="H66" s="50" t="s">
        <v>250</v>
      </c>
      <c r="I66" s="50" t="s">
        <v>129</v>
      </c>
      <c r="J66" s="50"/>
      <c r="K66" s="172">
        <v>194.67</v>
      </c>
      <c r="L66" s="50" t="s">
        <v>3</v>
      </c>
      <c r="M66" s="71">
        <f t="shared" si="5"/>
        <v>16.525320000000001</v>
      </c>
      <c r="N66" s="50" t="s">
        <v>827</v>
      </c>
      <c r="O66" s="50" t="s">
        <v>262</v>
      </c>
      <c r="P66" s="50" t="s">
        <v>137</v>
      </c>
      <c r="Q66" s="172">
        <v>2020</v>
      </c>
      <c r="R66" s="50">
        <v>2250</v>
      </c>
      <c r="S66" s="50" t="s">
        <v>121</v>
      </c>
      <c r="T66" s="50">
        <v>191</v>
      </c>
      <c r="U66" s="50" t="s">
        <v>252</v>
      </c>
      <c r="AA66" s="78">
        <f t="shared" si="4"/>
        <v>0</v>
      </c>
      <c r="AG66" s="82"/>
      <c r="AI66" s="165">
        <v>0.19</v>
      </c>
      <c r="AJ66" s="165">
        <v>0.39</v>
      </c>
      <c r="AK66" s="165">
        <v>0.19</v>
      </c>
      <c r="AN66" s="53">
        <v>47</v>
      </c>
      <c r="AR66" s="264" t="str">
        <f ca="1">IF(LEN(Q66)=4,IF(Q66&lt;YEAR(NOW()),_xlfn.CONCAT(IF(LOWER(Setting!rng_language)="english","Expired ","Expiré "),Q66),""),"")</f>
        <v>Expired 2020</v>
      </c>
      <c r="AT66" s="53" t="b">
        <f>ISNUMBER(MATCH(IF(LEN('USER INPUT SHEET'!rng_province)&gt;0,'USER INPUT SHEET'!rng_province,"Canada"),$AU66:$BD66,0))</f>
        <v>0</v>
      </c>
      <c r="AU66" s="1286"/>
      <c r="AV66" s="1286"/>
      <c r="AW66" s="1286"/>
      <c r="AX66" s="1286"/>
      <c r="AY66" s="1286"/>
      <c r="AZ66" s="1286"/>
      <c r="BA66" s="1286"/>
      <c r="BB66" s="1286"/>
      <c r="BC66" s="1286"/>
      <c r="BD66" s="1286"/>
    </row>
    <row r="67" spans="1:56" ht="15.75" customHeight="1" x14ac:dyDescent="0.3">
      <c r="A67" s="50" t="str">
        <f t="shared" si="0"/>
        <v>(ARCHIVED 2025) CMU - Normal weight / Canadian Concrete Masonry Producers Assn / 8" Normal weight blocks / 390 x 190 x 190 mm</v>
      </c>
      <c r="B67" s="50" t="s">
        <v>4155</v>
      </c>
      <c r="C67" s="50" t="s">
        <v>256</v>
      </c>
      <c r="D67" s="50" t="s">
        <v>260</v>
      </c>
      <c r="E67" s="50" t="s">
        <v>263</v>
      </c>
      <c r="H67" s="50" t="s">
        <v>3497</v>
      </c>
      <c r="I67" s="50" t="s">
        <v>138</v>
      </c>
      <c r="J67" s="50"/>
      <c r="K67" s="172">
        <v>228.51</v>
      </c>
      <c r="L67" s="50" t="s">
        <v>3</v>
      </c>
      <c r="M67" s="70">
        <v>19.965878316559927</v>
      </c>
      <c r="N67" s="50" t="s">
        <v>827</v>
      </c>
      <c r="O67" s="50" t="s">
        <v>3498</v>
      </c>
      <c r="P67" s="50" t="s">
        <v>137</v>
      </c>
      <c r="Q67" s="367">
        <v>2027</v>
      </c>
      <c r="R67" s="50">
        <v>2186</v>
      </c>
      <c r="S67" s="50" t="s">
        <v>121</v>
      </c>
      <c r="T67" s="50">
        <v>191</v>
      </c>
      <c r="U67" s="50" t="s">
        <v>252</v>
      </c>
      <c r="AA67" s="78">
        <f t="shared" si="4"/>
        <v>0</v>
      </c>
      <c r="AG67" s="81"/>
      <c r="AN67" s="53">
        <v>48</v>
      </c>
      <c r="AR67" s="264" t="str">
        <f ca="1">IF(LEN(Q67)=4,IF(Q67&lt;YEAR(NOW()),_xlfn.CONCAT(IF(LOWER(Setting!rng_language)="english","Expired ","Expiré "),Q67),""),"")</f>
        <v/>
      </c>
      <c r="AT67" s="53" t="b">
        <f>ISNUMBER(MATCH(IF(LEN('USER INPUT SHEET'!rng_province)&gt;0,'USER INPUT SHEET'!rng_province,"Canada"),$AU67:$BD67,0))</f>
        <v>0</v>
      </c>
      <c r="AU67" s="1286"/>
      <c r="AV67" s="1286"/>
      <c r="AW67" s="1286"/>
      <c r="AX67" s="1286"/>
      <c r="AY67" s="1286"/>
      <c r="AZ67" s="1286"/>
      <c r="BA67" s="1286"/>
      <c r="BB67" s="1286"/>
      <c r="BC67" s="1286"/>
      <c r="BD67" s="1286"/>
    </row>
    <row r="68" spans="1:56" ht="15.75" customHeight="1" x14ac:dyDescent="0.3">
      <c r="A68" s="50" t="str">
        <f t="shared" si="0"/>
        <v xml:space="preserve">CMU - Normal weight / Canadian Concrete Masonry Producers Assn, East Region / 8" Normal weight blocks / 15 MPa, 390 x 190 x 190 mm </v>
      </c>
      <c r="B68" s="50" t="s">
        <v>259</v>
      </c>
      <c r="C68" s="50" t="s">
        <v>4149</v>
      </c>
      <c r="D68" s="50" t="s">
        <v>260</v>
      </c>
      <c r="E68" s="50" t="s">
        <v>4150</v>
      </c>
      <c r="H68" s="50" t="s">
        <v>4151</v>
      </c>
      <c r="I68" s="50" t="s">
        <v>138</v>
      </c>
      <c r="J68" s="401">
        <v>45327</v>
      </c>
      <c r="K68" s="172">
        <v>205.38</v>
      </c>
      <c r="L68" s="50" t="s">
        <v>3</v>
      </c>
      <c r="M68" s="70">
        <v>20.950729368560644</v>
      </c>
      <c r="N68" s="50" t="s">
        <v>827</v>
      </c>
      <c r="O68" s="50" t="s">
        <v>4152</v>
      </c>
      <c r="P68" s="50" t="s">
        <v>137</v>
      </c>
      <c r="Q68" s="367">
        <v>2027</v>
      </c>
      <c r="R68" s="50">
        <v>2186.12</v>
      </c>
      <c r="S68" s="50" t="s">
        <v>121</v>
      </c>
      <c r="T68" s="50">
        <v>223</v>
      </c>
      <c r="U68" s="50" t="s">
        <v>252</v>
      </c>
      <c r="AA68" s="78">
        <f t="shared" si="4"/>
        <v>0</v>
      </c>
      <c r="AG68" s="81"/>
      <c r="AI68" s="165">
        <v>0.39</v>
      </c>
      <c r="AJ68" s="165">
        <v>0.19</v>
      </c>
      <c r="AK68" s="165">
        <v>0.19</v>
      </c>
      <c r="AN68" s="53" t="s">
        <v>2233</v>
      </c>
      <c r="AT68" s="53" t="b">
        <f>ISNUMBER(MATCH(IF(LEN('USER INPUT SHEET'!rng_province)&gt;0,'USER INPUT SHEET'!rng_province,"Canada"),$AU68:$BD68,0))</f>
        <v>0</v>
      </c>
      <c r="AU68" s="1286"/>
      <c r="AV68" s="1286"/>
      <c r="AW68" s="1286"/>
      <c r="AX68" s="1286"/>
      <c r="AY68" s="1286"/>
      <c r="AZ68" s="1286"/>
      <c r="BA68" s="1286"/>
      <c r="BB68" s="1286"/>
      <c r="BC68" s="1286"/>
      <c r="BD68" s="1286"/>
    </row>
    <row r="69" spans="1:56" ht="15.75" customHeight="1" x14ac:dyDescent="0.3">
      <c r="A69" s="50" t="str">
        <f t="shared" si="0"/>
        <v xml:space="preserve">CMU - Normal weight / Canadian Concrete Masonry Producers Assn, West Region / 8" Normal weight blocks / 15 MPa, 390 x 190 x 190 mm </v>
      </c>
      <c r="B69" s="50" t="s">
        <v>259</v>
      </c>
      <c r="C69" s="50" t="s">
        <v>4153</v>
      </c>
      <c r="D69" s="50" t="s">
        <v>260</v>
      </c>
      <c r="E69" s="50" t="s">
        <v>4150</v>
      </c>
      <c r="H69" s="50" t="s">
        <v>4151</v>
      </c>
      <c r="I69" s="50" t="s">
        <v>138</v>
      </c>
      <c r="J69" s="401">
        <v>45327</v>
      </c>
      <c r="K69" s="172">
        <v>251.64</v>
      </c>
      <c r="L69" s="50" t="s">
        <v>3</v>
      </c>
      <c r="M69" s="70">
        <v>25.669692951137403</v>
      </c>
      <c r="N69" s="50" t="s">
        <v>827</v>
      </c>
      <c r="O69" s="50" t="s">
        <v>4152</v>
      </c>
      <c r="P69" s="50" t="s">
        <v>137</v>
      </c>
      <c r="Q69" s="367">
        <v>2027</v>
      </c>
      <c r="R69" s="50">
        <v>2186.12</v>
      </c>
      <c r="S69" s="50" t="s">
        <v>121</v>
      </c>
      <c r="T69" s="50">
        <v>223</v>
      </c>
      <c r="U69" s="50" t="s">
        <v>252</v>
      </c>
      <c r="AA69" s="78">
        <f t="shared" si="4"/>
        <v>0</v>
      </c>
      <c r="AG69" s="81"/>
      <c r="AI69" s="165">
        <v>0.39</v>
      </c>
      <c r="AJ69" s="165">
        <v>0.19</v>
      </c>
      <c r="AK69" s="165">
        <v>0.19</v>
      </c>
      <c r="AN69" s="53" t="s">
        <v>2203</v>
      </c>
      <c r="AT69" s="53" t="b">
        <f>ISNUMBER(MATCH(IF(LEN('USER INPUT SHEET'!rng_province)&gt;0,'USER INPUT SHEET'!rng_province,"Canada"),$AU69:$BD69,0))</f>
        <v>0</v>
      </c>
      <c r="AU69" s="1286"/>
      <c r="AV69" s="1286"/>
      <c r="AW69" s="1286"/>
      <c r="AX69" s="1286"/>
      <c r="AY69" s="1286"/>
      <c r="AZ69" s="1286"/>
      <c r="BA69" s="1286"/>
      <c r="BB69" s="1286"/>
      <c r="BC69" s="1286"/>
      <c r="BD69" s="1286"/>
    </row>
    <row r="70" spans="1:56" ht="15.75" customHeight="1" x14ac:dyDescent="0.3">
      <c r="A70" s="50" t="str">
        <f t="shared" si="0"/>
        <v>(ARCHIVED 2023) CMU - Normal weight / Canadian Concrete Masonry Producers Assn / 8" Normal weight blocks / 390 x 190 x 190 mm</v>
      </c>
      <c r="B70" s="50" t="s">
        <v>3760</v>
      </c>
      <c r="C70" s="50" t="s">
        <v>256</v>
      </c>
      <c r="D70" s="50" t="s">
        <v>260</v>
      </c>
      <c r="E70" s="50" t="s">
        <v>263</v>
      </c>
      <c r="H70" s="50"/>
      <c r="I70" s="50" t="s">
        <v>138</v>
      </c>
      <c r="J70" s="50"/>
      <c r="K70" s="172">
        <v>260</v>
      </c>
      <c r="L70" s="50" t="s">
        <v>3</v>
      </c>
      <c r="M70" s="71">
        <f t="shared" si="5"/>
        <v>22.071111111111112</v>
      </c>
      <c r="N70" s="50" t="s">
        <v>827</v>
      </c>
      <c r="O70" s="50" t="s">
        <v>264</v>
      </c>
      <c r="P70" s="50" t="s">
        <v>137</v>
      </c>
      <c r="Q70" s="172">
        <v>2021</v>
      </c>
      <c r="R70" s="50">
        <v>2250</v>
      </c>
      <c r="S70" s="50" t="s">
        <v>121</v>
      </c>
      <c r="T70" s="166">
        <v>191</v>
      </c>
      <c r="U70" s="50" t="s">
        <v>252</v>
      </c>
      <c r="AA70" s="78">
        <f t="shared" si="4"/>
        <v>0</v>
      </c>
      <c r="AG70" s="82"/>
      <c r="AI70" s="165">
        <v>0.19</v>
      </c>
      <c r="AJ70" s="165">
        <v>0.39</v>
      </c>
      <c r="AK70" s="165">
        <v>0.19</v>
      </c>
      <c r="AN70" s="53" t="s">
        <v>3784</v>
      </c>
      <c r="AR70" s="264" t="str">
        <f ca="1">IF(LEN(Q70)=4,IF(Q70&lt;YEAR(NOW()),_xlfn.CONCAT(IF(LOWER(Setting!rng_language)="english","Expired ","Expiré "),Q70),""),"")</f>
        <v>Expired 2021</v>
      </c>
      <c r="AT70" s="53" t="b">
        <f>ISNUMBER(MATCH(IF(LEN('USER INPUT SHEET'!rng_province)&gt;0,'USER INPUT SHEET'!rng_province,"Canada"),$AU70:$BD70,0))</f>
        <v>0</v>
      </c>
      <c r="AU70" s="1289"/>
      <c r="AV70" s="1289"/>
      <c r="AW70" s="1289"/>
      <c r="AX70" s="1289"/>
      <c r="AY70" s="1289"/>
      <c r="AZ70" s="1289"/>
      <c r="BA70" s="1289"/>
      <c r="BB70" s="1289"/>
      <c r="BC70" s="1289"/>
      <c r="BD70" s="1289"/>
    </row>
    <row r="71" spans="1:56" ht="15.75" customHeight="1" x14ac:dyDescent="0.3">
      <c r="A71" s="50" t="str">
        <f t="shared" si="0"/>
        <v>(ARCHIVED 2025) CMU - Normal weight / Permacon / 8" Normal weight blocks / NW STD 20CM GLPW</v>
      </c>
      <c r="B71" s="50" t="s">
        <v>4155</v>
      </c>
      <c r="C71" s="50" t="s">
        <v>265</v>
      </c>
      <c r="D71" s="50" t="s">
        <v>260</v>
      </c>
      <c r="E71" s="50" t="s">
        <v>266</v>
      </c>
      <c r="H71" s="50"/>
      <c r="I71" s="50" t="s">
        <v>138</v>
      </c>
      <c r="J71" s="50"/>
      <c r="K71" s="172">
        <v>209</v>
      </c>
      <c r="L71" s="50" t="s">
        <v>3</v>
      </c>
      <c r="M71" s="71">
        <f t="shared" si="5"/>
        <v>17.741777777777777</v>
      </c>
      <c r="N71" s="50" t="s">
        <v>827</v>
      </c>
      <c r="O71" s="50" t="s">
        <v>267</v>
      </c>
      <c r="P71" s="50" t="s">
        <v>268</v>
      </c>
      <c r="Q71" s="172">
        <v>2021</v>
      </c>
      <c r="R71" s="50">
        <v>2250</v>
      </c>
      <c r="S71" s="50" t="s">
        <v>121</v>
      </c>
      <c r="T71" s="50">
        <v>191</v>
      </c>
      <c r="U71" s="50" t="s">
        <v>252</v>
      </c>
      <c r="AA71" s="78">
        <f t="shared" si="4"/>
        <v>0</v>
      </c>
      <c r="AG71" s="82"/>
      <c r="AI71" s="165">
        <v>0.19</v>
      </c>
      <c r="AJ71" s="165">
        <v>0.39</v>
      </c>
      <c r="AK71" s="165">
        <v>0.19</v>
      </c>
      <c r="AN71" s="53">
        <v>49</v>
      </c>
      <c r="AR71" s="264" t="str">
        <f ca="1">IF(LEN(Q71)=4,IF(Q71&lt;YEAR(NOW()),_xlfn.CONCAT(IF(LOWER(Setting!rng_language)="english","Expired ","Expiré "),Q71),""),"")</f>
        <v>Expired 2021</v>
      </c>
      <c r="AT71" s="53" t="b">
        <f>ISNUMBER(MATCH(IF(LEN('USER INPUT SHEET'!rng_province)&gt;0,'USER INPUT SHEET'!rng_province,"Canada"),$AU71:$BD71,0))</f>
        <v>0</v>
      </c>
      <c r="AU71" s="1286"/>
      <c r="AV71" s="1286"/>
      <c r="AW71" s="1286"/>
      <c r="AX71" s="1286"/>
      <c r="AY71" s="1286"/>
      <c r="AZ71" s="1286"/>
      <c r="BA71" s="1286"/>
      <c r="BB71" s="1286"/>
      <c r="BC71" s="1286"/>
      <c r="BD71" s="1286"/>
    </row>
    <row r="72" spans="1:56" ht="15.75" customHeight="1" x14ac:dyDescent="0.3">
      <c r="A72" s="50" t="str">
        <f t="shared" si="0"/>
        <v xml:space="preserve">CMU - Normal weight / Brampton Brick (Boehmers) / 8" CarboClave Block / 8 x 8 x 16 </v>
      </c>
      <c r="B72" s="50" t="s">
        <v>259</v>
      </c>
      <c r="C72" s="50" t="s">
        <v>4145</v>
      </c>
      <c r="D72" s="50" t="s">
        <v>4146</v>
      </c>
      <c r="E72" s="50" t="s">
        <v>4147</v>
      </c>
      <c r="H72" s="50"/>
      <c r="I72" s="50" t="s">
        <v>3545</v>
      </c>
      <c r="J72" s="401">
        <v>45035</v>
      </c>
      <c r="K72" s="172">
        <v>196</v>
      </c>
      <c r="L72" s="50" t="s">
        <v>3</v>
      </c>
      <c r="M72" s="70">
        <v>20.813333333333333</v>
      </c>
      <c r="N72" s="50" t="s">
        <v>827</v>
      </c>
      <c r="O72" s="50" t="s">
        <v>4148</v>
      </c>
      <c r="P72" s="50" t="s">
        <v>3518</v>
      </c>
      <c r="Q72" s="401">
        <v>45298</v>
      </c>
      <c r="R72" s="50">
        <v>2100</v>
      </c>
      <c r="S72" s="50" t="s">
        <v>121</v>
      </c>
      <c r="T72" s="50">
        <v>223</v>
      </c>
      <c r="U72" s="50" t="s">
        <v>252</v>
      </c>
      <c r="AA72" s="78">
        <f t="shared" si="4"/>
        <v>0</v>
      </c>
      <c r="AG72" s="81"/>
      <c r="AI72" s="165">
        <v>0.39</v>
      </c>
      <c r="AJ72" s="165">
        <v>0.19</v>
      </c>
      <c r="AK72" s="165">
        <v>0.19</v>
      </c>
      <c r="AN72" s="53" t="s">
        <v>2088</v>
      </c>
      <c r="AT72" s="53" t="b">
        <f>ISNUMBER(MATCH(IF(LEN('USER INPUT SHEET'!rng_province)&gt;0,'USER INPUT SHEET'!rng_province,"Canada"),$AU72:$BD72,0))</f>
        <v>0</v>
      </c>
      <c r="AU72" s="1286"/>
      <c r="AV72" s="1286"/>
      <c r="AW72" s="1286"/>
      <c r="AX72" s="1286"/>
      <c r="AY72" s="1286"/>
      <c r="AZ72" s="1286"/>
      <c r="BA72" s="1286"/>
      <c r="BB72" s="1286"/>
      <c r="BC72" s="1286"/>
      <c r="BD72" s="1286"/>
    </row>
    <row r="73" spans="1:56" ht="15.75" customHeight="1" x14ac:dyDescent="0.3">
      <c r="A73" s="50" t="str">
        <f t="shared" si="0"/>
        <v xml:space="preserve">CMU - Rammed earth / Watershed Materials / Watershed Block / </v>
      </c>
      <c r="B73" s="50" t="s">
        <v>269</v>
      </c>
      <c r="C73" s="50" t="s">
        <v>270</v>
      </c>
      <c r="D73" s="50" t="s">
        <v>271</v>
      </c>
      <c r="H73" s="50" t="s">
        <v>272</v>
      </c>
      <c r="I73" s="50" t="s">
        <v>129</v>
      </c>
      <c r="J73" s="50"/>
      <c r="K73" s="172">
        <v>1.284</v>
      </c>
      <c r="L73" s="50" t="s">
        <v>847</v>
      </c>
      <c r="M73" s="71">
        <f>(K73*T73)</f>
        <v>15.549239999999999</v>
      </c>
      <c r="N73" s="50" t="s">
        <v>827</v>
      </c>
      <c r="O73" s="51" t="s">
        <v>273</v>
      </c>
      <c r="Q73" s="367" t="s">
        <v>1772</v>
      </c>
      <c r="R73" s="50">
        <v>2100</v>
      </c>
      <c r="S73" s="50" t="s">
        <v>121</v>
      </c>
      <c r="T73" s="166">
        <v>12.11</v>
      </c>
      <c r="U73" s="50" t="s">
        <v>274</v>
      </c>
      <c r="AA73" s="78">
        <f t="shared" si="4"/>
        <v>0</v>
      </c>
      <c r="AG73" s="82"/>
      <c r="AI73" s="165">
        <v>0.19</v>
      </c>
      <c r="AJ73" s="165">
        <v>0.39</v>
      </c>
      <c r="AK73" s="165">
        <v>0.19</v>
      </c>
      <c r="AN73" s="53">
        <v>50</v>
      </c>
      <c r="AR73" s="264" t="s">
        <v>1399</v>
      </c>
      <c r="AT73" s="53" t="b">
        <f>ISNUMBER(MATCH(IF(LEN('USER INPUT SHEET'!rng_province)&gt;0,'USER INPUT SHEET'!rng_province,"Canada"),$AU73:$BD73,0))</f>
        <v>0</v>
      </c>
      <c r="AU73" s="1286"/>
      <c r="AV73" s="1286"/>
      <c r="AW73" s="1286"/>
      <c r="AX73" s="1286"/>
      <c r="AY73" s="1286"/>
      <c r="AZ73" s="1286"/>
      <c r="BA73" s="1286"/>
      <c r="BB73" s="1286"/>
      <c r="BC73" s="1286"/>
      <c r="BD73" s="1286"/>
    </row>
    <row r="74" spans="1:56" ht="15.75" customHeight="1" x14ac:dyDescent="0.3">
      <c r="A74" s="50" t="str">
        <f t="shared" si="0"/>
        <v xml:space="preserve">CMU - Rammed earth / Watershed Materials / Watershed ZeroBlock / </v>
      </c>
      <c r="B74" s="50" t="s">
        <v>269</v>
      </c>
      <c r="C74" s="50" t="s">
        <v>270</v>
      </c>
      <c r="D74" s="50" t="s">
        <v>275</v>
      </c>
      <c r="H74" s="50" t="s">
        <v>276</v>
      </c>
      <c r="I74" s="50" t="s">
        <v>129</v>
      </c>
      <c r="J74" s="50"/>
      <c r="K74" s="172">
        <v>0.98199999999999998</v>
      </c>
      <c r="L74" s="50" t="s">
        <v>847</v>
      </c>
      <c r="M74" s="71">
        <f>(K74*T74)</f>
        <v>11.892019999999999</v>
      </c>
      <c r="N74" s="50" t="s">
        <v>827</v>
      </c>
      <c r="O74" s="51" t="s">
        <v>273</v>
      </c>
      <c r="Q74" s="367" t="s">
        <v>1772</v>
      </c>
      <c r="R74" s="50">
        <v>2100</v>
      </c>
      <c r="S74" s="50" t="s">
        <v>121</v>
      </c>
      <c r="T74" s="166">
        <v>12.11</v>
      </c>
      <c r="U74" s="50" t="s">
        <v>274</v>
      </c>
      <c r="AA74" s="78">
        <f t="shared" si="4"/>
        <v>0</v>
      </c>
      <c r="AG74" s="82"/>
      <c r="AI74" s="165">
        <v>0.19</v>
      </c>
      <c r="AJ74" s="165">
        <v>0.39</v>
      </c>
      <c r="AK74" s="165">
        <v>0.19</v>
      </c>
      <c r="AN74" s="53">
        <v>51</v>
      </c>
      <c r="AR74" s="264" t="s">
        <v>1399</v>
      </c>
      <c r="AT74" s="53" t="b">
        <f>ISNUMBER(MATCH(IF(LEN('USER INPUT SHEET'!rng_province)&gt;0,'USER INPUT SHEET'!rng_province,"Canada"),$AU74:$BD74,0))</f>
        <v>0</v>
      </c>
      <c r="AU74" s="1286"/>
      <c r="AV74" s="1286"/>
      <c r="AW74" s="1286"/>
      <c r="AX74" s="1286"/>
      <c r="AY74" s="1286"/>
      <c r="AZ74" s="1286"/>
      <c r="BA74" s="1286"/>
      <c r="BB74" s="1286"/>
      <c r="BC74" s="1286"/>
      <c r="BD74" s="1286"/>
    </row>
    <row r="75" spans="1:56" ht="15.75" customHeight="1" x14ac:dyDescent="0.3">
      <c r="A75" s="50" t="str">
        <f>B75&amp;" / "&amp;C75&amp;" / "&amp;D75&amp;" / "&amp;E75</f>
        <v>Earthen Floor / Site made /  / 3" cob, 1" clay plaster</v>
      </c>
      <c r="B75" s="50" t="s">
        <v>1624</v>
      </c>
      <c r="C75" s="50" t="s">
        <v>1419</v>
      </c>
      <c r="E75" s="50" t="s">
        <v>1623</v>
      </c>
      <c r="H75" s="50" t="s">
        <v>1424</v>
      </c>
      <c r="I75" s="50" t="s">
        <v>129</v>
      </c>
      <c r="J75" s="50"/>
      <c r="K75" s="50">
        <v>3.45</v>
      </c>
      <c r="L75" s="50" t="s">
        <v>5</v>
      </c>
      <c r="M75" s="71">
        <f>(K75)</f>
        <v>3.45</v>
      </c>
      <c r="N75" s="50" t="s">
        <v>5</v>
      </c>
      <c r="O75" s="169" t="s">
        <v>279</v>
      </c>
      <c r="Q75" s="367" t="s">
        <v>1772</v>
      </c>
      <c r="R75" s="53">
        <v>168.2</v>
      </c>
      <c r="S75" s="53" t="s">
        <v>141</v>
      </c>
      <c r="T75" s="53">
        <v>1.8</v>
      </c>
      <c r="U75" s="53" t="s">
        <v>1425</v>
      </c>
      <c r="Y75" s="53">
        <v>1</v>
      </c>
      <c r="Z75" s="164">
        <v>0.47</v>
      </c>
      <c r="AA75" s="82">
        <f>(T75*Z75*44/12)*rng_biogenic_storage</f>
        <v>2.7917999999999998</v>
      </c>
      <c r="AG75" s="82"/>
      <c r="AI75" s="165">
        <v>1</v>
      </c>
      <c r="AJ75" s="165">
        <v>1</v>
      </c>
      <c r="AK75" s="165">
        <v>0.10199999999999999</v>
      </c>
      <c r="AN75" s="53">
        <v>52</v>
      </c>
      <c r="AR75" s="264" t="s">
        <v>1420</v>
      </c>
      <c r="AT75" s="53" t="b">
        <f>ISNUMBER(MATCH(IF(LEN('USER INPUT SHEET'!rng_province)&gt;0,'USER INPUT SHEET'!rng_province,"Canada"),$AU75:$BD75,0))</f>
        <v>0</v>
      </c>
      <c r="AU75" s="1286"/>
      <c r="AV75" s="1286"/>
      <c r="AW75" s="1286"/>
      <c r="AX75" s="1286"/>
      <c r="AY75" s="1286"/>
      <c r="AZ75" s="1286"/>
      <c r="BA75" s="1286"/>
      <c r="BB75" s="1286"/>
      <c r="BC75" s="1286"/>
      <c r="BD75" s="1286"/>
    </row>
    <row r="76" spans="1:56" ht="15.75" customHeight="1" x14ac:dyDescent="0.3">
      <c r="A76" s="50" t="str">
        <f t="shared" si="0"/>
        <v>Cob wall / Site mixed /  / 18" (457 mm) avg. thickness</v>
      </c>
      <c r="B76" s="50" t="s">
        <v>277</v>
      </c>
      <c r="C76" s="50" t="s">
        <v>239</v>
      </c>
      <c r="E76" s="50" t="s">
        <v>278</v>
      </c>
      <c r="H76" s="50"/>
      <c r="I76" s="50" t="s">
        <v>129</v>
      </c>
      <c r="J76" s="50"/>
      <c r="K76" s="50">
        <v>13.2</v>
      </c>
      <c r="L76" s="50" t="s">
        <v>5</v>
      </c>
      <c r="M76" s="71">
        <f>(13.12)</f>
        <v>13.12</v>
      </c>
      <c r="N76" s="50" t="s">
        <v>828</v>
      </c>
      <c r="O76" s="169" t="s">
        <v>279</v>
      </c>
      <c r="Q76" s="367" t="s">
        <v>1772</v>
      </c>
      <c r="R76" s="53">
        <v>1222</v>
      </c>
      <c r="S76" s="53" t="s">
        <v>121</v>
      </c>
      <c r="T76" s="53">
        <v>10.1</v>
      </c>
      <c r="U76" s="53" t="s">
        <v>1425</v>
      </c>
      <c r="Y76" s="53">
        <v>1</v>
      </c>
      <c r="Z76" s="164">
        <v>0.47</v>
      </c>
      <c r="AA76" s="82">
        <f>(T76*Z76*44/12)*rng_biogenic_storage</f>
        <v>15.665099999999999</v>
      </c>
      <c r="AG76" s="82"/>
      <c r="AI76" s="165">
        <v>1</v>
      </c>
      <c r="AJ76" s="165">
        <v>1</v>
      </c>
      <c r="AK76" s="165">
        <v>0.45700000000000002</v>
      </c>
      <c r="AN76" s="53">
        <v>53</v>
      </c>
      <c r="AR76" s="264" t="s">
        <v>1410</v>
      </c>
      <c r="AT76" s="53" t="b">
        <f>ISNUMBER(MATCH(IF(LEN('USER INPUT SHEET'!rng_province)&gt;0,'USER INPUT SHEET'!rng_province,"Canada"),$AU76:$BD76,0))</f>
        <v>0</v>
      </c>
      <c r="AU76" s="1286"/>
      <c r="AV76" s="1286"/>
      <c r="AW76" s="1286"/>
      <c r="AX76" s="1286"/>
      <c r="AY76" s="1286"/>
      <c r="AZ76" s="1286"/>
      <c r="BA76" s="1286"/>
      <c r="BB76" s="1286"/>
      <c r="BC76" s="1286"/>
      <c r="BD76" s="1286"/>
    </row>
    <row r="77" spans="1:56" ht="15.75" customHeight="1" x14ac:dyDescent="0.3">
      <c r="A77" s="50" t="str">
        <f t="shared" si="0"/>
        <v>Compressed earth block / Factory made / Stabilized with 6.5% NHL / 31.5 x 6 x 2.75 " (300 x 150 x 70 mm)</v>
      </c>
      <c r="B77" s="50" t="s">
        <v>280</v>
      </c>
      <c r="C77" s="50" t="s">
        <v>127</v>
      </c>
      <c r="D77" s="53" t="s">
        <v>281</v>
      </c>
      <c r="E77" s="50" t="s">
        <v>282</v>
      </c>
      <c r="H77" s="50"/>
      <c r="I77" s="50" t="s">
        <v>120</v>
      </c>
      <c r="J77" s="50"/>
      <c r="K77" s="50">
        <v>0.38800000000000001</v>
      </c>
      <c r="L77" s="50" t="s">
        <v>847</v>
      </c>
      <c r="M77" s="71">
        <f>(K77*T77)</f>
        <v>8.6222222222222218</v>
      </c>
      <c r="N77" s="50" t="s">
        <v>829</v>
      </c>
      <c r="O77" s="169" t="s">
        <v>283</v>
      </c>
      <c r="Q77" s="367" t="s">
        <v>1772</v>
      </c>
      <c r="R77" s="53">
        <v>1900</v>
      </c>
      <c r="S77" s="53" t="s">
        <v>121</v>
      </c>
      <c r="T77" s="228">
        <f>1/0.045</f>
        <v>22.222222222222221</v>
      </c>
      <c r="U77" s="53" t="s">
        <v>274</v>
      </c>
      <c r="AA77" s="78">
        <f>_xlfn.NUMBERVALUE(IF(LEN(AG77)&gt;0,AG77,0))</f>
        <v>0</v>
      </c>
      <c r="AG77" s="82"/>
      <c r="AN77" s="53">
        <v>54</v>
      </c>
      <c r="AR77" s="264" t="s">
        <v>1410</v>
      </c>
      <c r="AT77" s="53" t="b">
        <f>ISNUMBER(MATCH(IF(LEN('USER INPUT SHEET'!rng_province)&gt;0,'USER INPUT SHEET'!rng_province,"Canada"),$AU77:$BD77,0))</f>
        <v>0</v>
      </c>
      <c r="AU77" s="1286"/>
      <c r="AV77" s="1286"/>
      <c r="AW77" s="1286"/>
      <c r="AX77" s="1286"/>
      <c r="AY77" s="1286"/>
      <c r="AZ77" s="1286"/>
      <c r="BA77" s="1286"/>
      <c r="BB77" s="1286"/>
      <c r="BC77" s="1286"/>
      <c r="BD77" s="1286"/>
    </row>
    <row r="78" spans="1:56" ht="15.75" customHeight="1" x14ac:dyDescent="0.3">
      <c r="A78" s="51" t="str">
        <f t="shared" si="0"/>
        <v>Compressed straw board / Stramit / 60 mm board / R 3.9/inch</v>
      </c>
      <c r="B78" s="51" t="s">
        <v>284</v>
      </c>
      <c r="C78" s="51" t="s">
        <v>285</v>
      </c>
      <c r="D78" s="51" t="s">
        <v>286</v>
      </c>
      <c r="E78" s="51" t="s">
        <v>287</v>
      </c>
      <c r="F78" s="49"/>
      <c r="G78" s="49"/>
      <c r="H78" s="51"/>
      <c r="I78" s="51" t="s">
        <v>120</v>
      </c>
      <c r="J78" s="51"/>
      <c r="K78" s="51">
        <v>0.59</v>
      </c>
      <c r="L78" s="51" t="s">
        <v>5</v>
      </c>
      <c r="M78" s="71">
        <f>(K78)</f>
        <v>0.59</v>
      </c>
      <c r="N78" s="51" t="str">
        <f>L78</f>
        <v>m2</v>
      </c>
      <c r="O78" s="169" t="s">
        <v>288</v>
      </c>
      <c r="P78" s="49"/>
      <c r="Q78" s="368" t="s">
        <v>1772</v>
      </c>
      <c r="R78" s="49">
        <v>23</v>
      </c>
      <c r="S78" s="49" t="s">
        <v>289</v>
      </c>
      <c r="T78" s="49">
        <v>1.4</v>
      </c>
      <c r="U78" s="49" t="s">
        <v>891</v>
      </c>
      <c r="V78" s="49">
        <v>3.9</v>
      </c>
      <c r="W78" s="49"/>
      <c r="X78" s="49"/>
      <c r="Y78" s="49">
        <v>1</v>
      </c>
      <c r="Z78" s="164">
        <v>0.47</v>
      </c>
      <c r="AA78" s="82">
        <f>(38.5)*rng_biogenic_storage</f>
        <v>34.65</v>
      </c>
      <c r="AB78" s="49" t="s">
        <v>837</v>
      </c>
      <c r="AC78" s="49"/>
      <c r="AD78" s="49"/>
      <c r="AE78" s="49"/>
      <c r="AF78" s="52"/>
      <c r="AG78" s="82"/>
      <c r="AH78" s="52"/>
      <c r="AI78" s="171"/>
      <c r="AJ78" s="171"/>
      <c r="AK78" s="171"/>
      <c r="AL78" s="49"/>
      <c r="AN78" s="53">
        <v>55</v>
      </c>
      <c r="AR78" s="264" t="s">
        <v>1410</v>
      </c>
      <c r="AT78" s="53" t="b">
        <f>ISNUMBER(MATCH(IF(LEN('USER INPUT SHEET'!rng_province)&gt;0,'USER INPUT SHEET'!rng_province,"Canada"),$AU78:$BD78,0))</f>
        <v>0</v>
      </c>
      <c r="AU78" s="1286"/>
      <c r="AV78" s="1286"/>
      <c r="AW78" s="1286"/>
      <c r="AX78" s="1286"/>
      <c r="AY78" s="1286"/>
      <c r="AZ78" s="1286"/>
      <c r="BA78" s="1286"/>
      <c r="BB78" s="1286"/>
      <c r="BC78" s="1286"/>
      <c r="BD78" s="1286"/>
    </row>
    <row r="79" spans="1:56" ht="15.75" customHeight="1" x14ac:dyDescent="0.3">
      <c r="A79" s="50" t="str">
        <f t="shared" ref="A79:A102" si="6">B79&amp;" / "&amp;C79&amp;" / "&amp;D79&amp;" / "&amp;E79</f>
        <v xml:space="preserve">Concrete / Butler Concrete / Avg of 19 different 25 Mpa mixes / </v>
      </c>
      <c r="B79" s="50" t="s">
        <v>3451</v>
      </c>
      <c r="C79" s="50" t="s">
        <v>294</v>
      </c>
      <c r="D79" s="50" t="s">
        <v>295</v>
      </c>
      <c r="H79" s="50"/>
      <c r="I79" s="50" t="s">
        <v>138</v>
      </c>
      <c r="J79" s="50"/>
      <c r="K79" s="50">
        <v>189</v>
      </c>
      <c r="L79" s="50" t="s">
        <v>3</v>
      </c>
      <c r="M79" s="71">
        <f>(189)</f>
        <v>189</v>
      </c>
      <c r="N79" s="50" t="s">
        <v>3</v>
      </c>
      <c r="O79" s="50" t="s">
        <v>296</v>
      </c>
      <c r="P79" s="50" t="s">
        <v>137</v>
      </c>
      <c r="Q79" s="172">
        <v>2025</v>
      </c>
      <c r="R79" s="50">
        <v>2305</v>
      </c>
      <c r="S79" s="50" t="s">
        <v>121</v>
      </c>
      <c r="T79" s="50"/>
      <c r="U79" s="50"/>
      <c r="AA79" s="78">
        <f t="shared" ref="AA79:AA102" si="7">_xlfn.NUMBERVALUE(IF(LEN(AG79)&gt;0,AG79,0))</f>
        <v>0</v>
      </c>
      <c r="AG79" s="82"/>
      <c r="AN79" s="53">
        <v>56</v>
      </c>
      <c r="AO79" s="53" t="s">
        <v>3754</v>
      </c>
      <c r="AR79" s="264" t="str">
        <f ca="1">IF(LEN(Q79)=4,IF(Q79&lt;YEAR(NOW()),_xlfn.CONCAT(IF(LOWER(Setting!rng_language)="english","Expired ","Expiré "),Q79),""),"")</f>
        <v>Expired 2025</v>
      </c>
      <c r="AT79" s="53" t="b">
        <f>ISNUMBER(MATCH(IF(LEN('USER INPUT SHEET'!rng_province)&gt;0,'USER INPUT SHEET'!rng_province,"Canada"),$AU79:$BD79,0))</f>
        <v>0</v>
      </c>
      <c r="AU79" s="1286"/>
      <c r="AV79" s="1286"/>
      <c r="AW79" s="1286"/>
      <c r="AX79" s="1286"/>
      <c r="AY79" s="1286"/>
      <c r="AZ79" s="1286"/>
      <c r="BA79" s="1286"/>
      <c r="BB79" s="1286"/>
      <c r="BC79" s="1286"/>
      <c r="BD79" s="1286"/>
    </row>
    <row r="80" spans="1:56" ht="15.75" customHeight="1" x14ac:dyDescent="0.3">
      <c r="A80" s="50" t="str">
        <f t="shared" si="6"/>
        <v xml:space="preserve">Concrete - 0-25 MPa, Industry Average Benchmark / CRMCA / Can. Avg. / </v>
      </c>
      <c r="B80" s="50" t="s">
        <v>1299</v>
      </c>
      <c r="C80" s="50" t="s">
        <v>1300</v>
      </c>
      <c r="D80" s="50" t="s">
        <v>1301</v>
      </c>
      <c r="E80" s="50"/>
      <c r="H80" s="50" t="s">
        <v>1302</v>
      </c>
      <c r="I80" s="50" t="s">
        <v>138</v>
      </c>
      <c r="J80" s="227">
        <v>44231</v>
      </c>
      <c r="K80" s="229">
        <v>304.52</v>
      </c>
      <c r="L80" s="50" t="s">
        <v>3</v>
      </c>
      <c r="M80" s="71">
        <f t="shared" ref="M80:M102" si="8">(K80)</f>
        <v>304.52</v>
      </c>
      <c r="N80" s="50" t="s">
        <v>3</v>
      </c>
      <c r="O80" s="50">
        <v>10092</v>
      </c>
      <c r="P80" s="50" t="s">
        <v>158</v>
      </c>
      <c r="Q80" s="172">
        <v>2022</v>
      </c>
      <c r="R80" s="50">
        <v>2305</v>
      </c>
      <c r="S80" s="50" t="s">
        <v>121</v>
      </c>
      <c r="T80" s="50"/>
      <c r="U80" s="50"/>
      <c r="AA80" s="78">
        <f t="shared" si="7"/>
        <v>0</v>
      </c>
      <c r="AG80" s="81"/>
      <c r="AN80" s="53">
        <v>57</v>
      </c>
      <c r="AO80" s="53" t="s">
        <v>3754</v>
      </c>
      <c r="AP80" s="53">
        <v>1</v>
      </c>
      <c r="AR80" s="264" t="str">
        <f ca="1">IF(LEN(Q80)=4,IF(Q80&lt;YEAR(NOW()),_xlfn.CONCAT(IF(LOWER(Setting!rng_language)="english","Expired ","Expiré "),Q80),""),"")</f>
        <v>Expired 2022</v>
      </c>
      <c r="AT80" s="53" t="b">
        <f>ISNUMBER(MATCH(IF(LEN('USER INPUT SHEET'!rng_province)&gt;0,'USER INPUT SHEET'!rng_province,"Canada"),$AU80:$BD80,0))</f>
        <v>0</v>
      </c>
      <c r="AU80" s="1286" t="s">
        <v>1205</v>
      </c>
      <c r="AV80" s="1286" t="s">
        <v>1205</v>
      </c>
      <c r="AW80" s="1286" t="s">
        <v>1203</v>
      </c>
      <c r="AX80" s="1286" t="s">
        <v>3280</v>
      </c>
      <c r="AY80" s="1286" t="s">
        <v>1202</v>
      </c>
      <c r="AZ80" s="1286" t="s">
        <v>1202</v>
      </c>
      <c r="BA80" s="1286" t="s">
        <v>3683</v>
      </c>
      <c r="BB80" s="1286"/>
      <c r="BC80" s="1286"/>
      <c r="BD80" s="1286"/>
    </row>
    <row r="81" spans="1:56" ht="15.75" customHeight="1" x14ac:dyDescent="0.3">
      <c r="A81" s="50" t="str">
        <f t="shared" si="6"/>
        <v xml:space="preserve">Concrete - 0-25 MPa, 0-14% FA/SL, GU / CRMCA / Can. Avg. / </v>
      </c>
      <c r="B81" s="50" t="s">
        <v>1303</v>
      </c>
      <c r="C81" s="50" t="s">
        <v>1300</v>
      </c>
      <c r="D81" s="50" t="s">
        <v>1301</v>
      </c>
      <c r="E81" s="50"/>
      <c r="H81" s="50" t="s">
        <v>1304</v>
      </c>
      <c r="I81" s="50" t="s">
        <v>138</v>
      </c>
      <c r="J81" s="227">
        <v>44231</v>
      </c>
      <c r="K81" s="229">
        <f>AVERAGE(327.33,313.45)</f>
        <v>320.39</v>
      </c>
      <c r="L81" s="50" t="s">
        <v>3</v>
      </c>
      <c r="M81" s="71">
        <f t="shared" si="8"/>
        <v>320.39</v>
      </c>
      <c r="N81" s="50" t="s">
        <v>3</v>
      </c>
      <c r="O81" s="50">
        <v>10092</v>
      </c>
      <c r="P81" s="50" t="s">
        <v>158</v>
      </c>
      <c r="Q81" s="172">
        <v>2022</v>
      </c>
      <c r="R81" s="50">
        <v>2305</v>
      </c>
      <c r="S81" s="50" t="s">
        <v>121</v>
      </c>
      <c r="T81" s="50"/>
      <c r="U81" s="50"/>
      <c r="AA81" s="78">
        <f t="shared" si="7"/>
        <v>0</v>
      </c>
      <c r="AG81" s="81"/>
      <c r="AN81" s="53">
        <v>58</v>
      </c>
      <c r="AO81" s="53" t="s">
        <v>3754</v>
      </c>
      <c r="AP81" s="53">
        <v>2</v>
      </c>
      <c r="AR81" s="264" t="str">
        <f ca="1">IF(LEN(Q81)=4,IF(Q81&lt;YEAR(NOW()),_xlfn.CONCAT(IF(LOWER(Setting!rng_language)="english","Expired ","Expiré "),Q81),""),"")</f>
        <v>Expired 2022</v>
      </c>
      <c r="AT81" s="53" t="b">
        <f>ISNUMBER(MATCH(IF(LEN('USER INPUT SHEET'!rng_province)&gt;0,'USER INPUT SHEET'!rng_province,"Canada"),$AU81:$BD81,0))</f>
        <v>0</v>
      </c>
      <c r="AU81" s="1286" t="s">
        <v>1205</v>
      </c>
      <c r="AV81" s="1286" t="s">
        <v>1205</v>
      </c>
      <c r="AW81" s="1286" t="s">
        <v>1203</v>
      </c>
      <c r="AX81" s="1286" t="s">
        <v>3280</v>
      </c>
      <c r="AY81" s="1286" t="s">
        <v>1202</v>
      </c>
      <c r="AZ81" s="1286" t="s">
        <v>1202</v>
      </c>
      <c r="BA81" s="1286" t="s">
        <v>3683</v>
      </c>
      <c r="BB81" s="1286"/>
      <c r="BC81" s="1286"/>
      <c r="BD81" s="1286"/>
    </row>
    <row r="82" spans="1:56" ht="15.75" customHeight="1" x14ac:dyDescent="0.3">
      <c r="A82" s="50" t="str">
        <f t="shared" si="6"/>
        <v xml:space="preserve">Concrete - 0-25 MPa, 15-29% Fly Ash, GU / CRMCA / Can. Avg. / </v>
      </c>
      <c r="B82" s="50" t="s">
        <v>1305</v>
      </c>
      <c r="C82" s="50" t="s">
        <v>1300</v>
      </c>
      <c r="D82" s="50" t="s">
        <v>1301</v>
      </c>
      <c r="E82" s="50"/>
      <c r="H82" s="50" t="s">
        <v>1306</v>
      </c>
      <c r="I82" s="50" t="s">
        <v>138</v>
      </c>
      <c r="J82" s="227">
        <v>44231</v>
      </c>
      <c r="K82" s="229">
        <f>AVERAGE(295.2,283.03)</f>
        <v>289.11500000000001</v>
      </c>
      <c r="L82" s="50" t="s">
        <v>3</v>
      </c>
      <c r="M82" s="71">
        <f t="shared" si="8"/>
        <v>289.11500000000001</v>
      </c>
      <c r="N82" s="50" t="s">
        <v>3</v>
      </c>
      <c r="O82" s="50">
        <v>10092</v>
      </c>
      <c r="P82" s="50" t="s">
        <v>158</v>
      </c>
      <c r="Q82" s="172">
        <v>2022</v>
      </c>
      <c r="R82" s="50">
        <v>2305</v>
      </c>
      <c r="S82" s="50" t="s">
        <v>121</v>
      </c>
      <c r="T82" s="50"/>
      <c r="U82" s="50"/>
      <c r="AA82" s="78">
        <f t="shared" si="7"/>
        <v>0</v>
      </c>
      <c r="AG82" s="81"/>
      <c r="AN82" s="53">
        <v>59</v>
      </c>
      <c r="AO82" s="53" t="s">
        <v>3754</v>
      </c>
      <c r="AP82" s="53">
        <v>3</v>
      </c>
      <c r="AR82" s="264" t="str">
        <f ca="1">IF(LEN(Q82)=4,IF(Q82&lt;YEAR(NOW()),_xlfn.CONCAT(IF(LOWER(Setting!rng_language)="english","Expired ","Expiré "),Q82),""),"")</f>
        <v>Expired 2022</v>
      </c>
      <c r="AT82" s="53" t="b">
        <f>ISNUMBER(MATCH(IF(LEN('USER INPUT SHEET'!rng_province)&gt;0,'USER INPUT SHEET'!rng_province,"Canada"),$AU82:$BD82,0))</f>
        <v>0</v>
      </c>
      <c r="AU82" s="1286" t="s">
        <v>1205</v>
      </c>
      <c r="AV82" s="1286" t="s">
        <v>1205</v>
      </c>
      <c r="AW82" s="1286" t="s">
        <v>1203</v>
      </c>
      <c r="AX82" s="1286" t="s">
        <v>3280</v>
      </c>
      <c r="AY82" s="1286" t="s">
        <v>1202</v>
      </c>
      <c r="AZ82" s="1286" t="s">
        <v>1202</v>
      </c>
      <c r="BA82" s="1286" t="s">
        <v>3683</v>
      </c>
      <c r="BB82" s="1286"/>
      <c r="BC82" s="1286"/>
      <c r="BD82" s="1286"/>
    </row>
    <row r="83" spans="1:56" ht="15.75" customHeight="1" x14ac:dyDescent="0.3">
      <c r="A83" s="50" t="str">
        <f t="shared" si="6"/>
        <v xml:space="preserve">Concrete - 0-25 MPa, 30-40% Fly Ash, GU / CRMCA / Can. Avg. / </v>
      </c>
      <c r="B83" s="50" t="s">
        <v>1307</v>
      </c>
      <c r="C83" s="50" t="s">
        <v>1300</v>
      </c>
      <c r="D83" s="50" t="s">
        <v>1301</v>
      </c>
      <c r="E83" s="50"/>
      <c r="H83" s="50" t="s">
        <v>1308</v>
      </c>
      <c r="I83" s="50" t="s">
        <v>138</v>
      </c>
      <c r="J83" s="227">
        <v>44231</v>
      </c>
      <c r="K83" s="229">
        <f>AVERAGE(260.47,250.14)</f>
        <v>255.30500000000001</v>
      </c>
      <c r="L83" s="50" t="s">
        <v>3</v>
      </c>
      <c r="M83" s="71">
        <f t="shared" si="8"/>
        <v>255.30500000000001</v>
      </c>
      <c r="N83" s="50" t="s">
        <v>3</v>
      </c>
      <c r="O83" s="50">
        <v>10092</v>
      </c>
      <c r="P83" s="50" t="s">
        <v>158</v>
      </c>
      <c r="Q83" s="172">
        <v>2022</v>
      </c>
      <c r="R83" s="50">
        <v>2305</v>
      </c>
      <c r="S83" s="50" t="s">
        <v>121</v>
      </c>
      <c r="T83" s="50"/>
      <c r="U83" s="50"/>
      <c r="AA83" s="78">
        <f t="shared" si="7"/>
        <v>0</v>
      </c>
      <c r="AG83" s="81"/>
      <c r="AN83" s="53">
        <v>60</v>
      </c>
      <c r="AO83" s="53" t="s">
        <v>3754</v>
      </c>
      <c r="AP83" s="53">
        <v>4</v>
      </c>
      <c r="AR83" s="264" t="str">
        <f ca="1">IF(LEN(Q83)=4,IF(Q83&lt;YEAR(NOW()),_xlfn.CONCAT(IF(LOWER(Setting!rng_language)="english","Expired ","Expiré "),Q83),""),"")</f>
        <v>Expired 2022</v>
      </c>
      <c r="AT83" s="53" t="b">
        <f>ISNUMBER(MATCH(IF(LEN('USER INPUT SHEET'!rng_province)&gt;0,'USER INPUT SHEET'!rng_province,"Canada"),$AU83:$BD83,0))</f>
        <v>0</v>
      </c>
      <c r="AU83" s="1286" t="s">
        <v>1205</v>
      </c>
      <c r="AV83" s="1286" t="s">
        <v>1205</v>
      </c>
      <c r="AW83" s="1286" t="s">
        <v>1203</v>
      </c>
      <c r="AX83" s="1286" t="s">
        <v>3280</v>
      </c>
      <c r="AY83" s="1286" t="s">
        <v>1202</v>
      </c>
      <c r="AZ83" s="1286" t="s">
        <v>1202</v>
      </c>
      <c r="BA83" s="1286" t="s">
        <v>3683</v>
      </c>
      <c r="BB83" s="1286"/>
      <c r="BC83" s="1286"/>
      <c r="BD83" s="1286"/>
    </row>
    <row r="84" spans="1:56" ht="15.75" customHeight="1" x14ac:dyDescent="0.3">
      <c r="A84" s="50" t="str">
        <f t="shared" si="6"/>
        <v xml:space="preserve">Concrete - 0-25 MPa, 25-34% Slag, GU / CRMCA / Can. Avg. / </v>
      </c>
      <c r="B84" s="50" t="s">
        <v>1309</v>
      </c>
      <c r="C84" s="50" t="s">
        <v>1300</v>
      </c>
      <c r="D84" s="50" t="s">
        <v>1301</v>
      </c>
      <c r="E84" s="50"/>
      <c r="H84" s="50" t="s">
        <v>1310</v>
      </c>
      <c r="I84" s="50" t="s">
        <v>138</v>
      </c>
      <c r="J84" s="227">
        <v>44231</v>
      </c>
      <c r="K84" s="229">
        <f>AVERAGE(267.59,256.89)</f>
        <v>262.24</v>
      </c>
      <c r="L84" s="50" t="s">
        <v>3</v>
      </c>
      <c r="M84" s="71">
        <f t="shared" si="8"/>
        <v>262.24</v>
      </c>
      <c r="N84" s="50" t="s">
        <v>3</v>
      </c>
      <c r="O84" s="50">
        <v>10092</v>
      </c>
      <c r="P84" s="50" t="s">
        <v>158</v>
      </c>
      <c r="Q84" s="172">
        <v>2022</v>
      </c>
      <c r="R84" s="50">
        <v>2305</v>
      </c>
      <c r="S84" s="50" t="s">
        <v>121</v>
      </c>
      <c r="T84" s="50"/>
      <c r="U84" s="50"/>
      <c r="AA84" s="78">
        <f t="shared" si="7"/>
        <v>0</v>
      </c>
      <c r="AG84" s="81"/>
      <c r="AN84" s="53">
        <v>61</v>
      </c>
      <c r="AO84" s="53" t="s">
        <v>3754</v>
      </c>
      <c r="AP84" s="53">
        <v>5</v>
      </c>
      <c r="AR84" s="264" t="str">
        <f ca="1">IF(LEN(Q84)=4,IF(Q84&lt;YEAR(NOW()),_xlfn.CONCAT(IF(LOWER(Setting!rng_language)="english","Expired ","Expiré "),Q84),""),"")</f>
        <v>Expired 2022</v>
      </c>
      <c r="AT84" s="53" t="b">
        <f>ISNUMBER(MATCH(IF(LEN('USER INPUT SHEET'!rng_province)&gt;0,'USER INPUT SHEET'!rng_province,"Canada"),$AU84:$BD84,0))</f>
        <v>0</v>
      </c>
      <c r="AU84" s="1286" t="s">
        <v>1205</v>
      </c>
      <c r="AV84" s="1286" t="s">
        <v>1205</v>
      </c>
      <c r="AW84" s="1286" t="s">
        <v>1203</v>
      </c>
      <c r="AX84" s="1286" t="s">
        <v>3280</v>
      </c>
      <c r="AY84" s="1286" t="s">
        <v>1202</v>
      </c>
      <c r="AZ84" s="1286" t="s">
        <v>1202</v>
      </c>
      <c r="BA84" s="1286" t="s">
        <v>3683</v>
      </c>
      <c r="BB84" s="1286"/>
      <c r="BC84" s="1286"/>
      <c r="BD84" s="1286"/>
    </row>
    <row r="85" spans="1:56" ht="15.75" customHeight="1" x14ac:dyDescent="0.3">
      <c r="A85" s="50" t="str">
        <f t="shared" si="6"/>
        <v xml:space="preserve">Concrete - 0-25 MPa, 35-50% Slag, GU / CRMCA / Can. Avg. / </v>
      </c>
      <c r="B85" s="50" t="s">
        <v>1311</v>
      </c>
      <c r="C85" s="50" t="s">
        <v>1300</v>
      </c>
      <c r="D85" s="50" t="s">
        <v>1301</v>
      </c>
      <c r="E85" s="50"/>
      <c r="H85" s="50" t="s">
        <v>1312</v>
      </c>
      <c r="I85" s="50" t="s">
        <v>138</v>
      </c>
      <c r="J85" s="227">
        <v>44231</v>
      </c>
      <c r="K85" s="229">
        <f>AVERAGE(243.7,234.27)</f>
        <v>238.98500000000001</v>
      </c>
      <c r="L85" s="50" t="s">
        <v>3</v>
      </c>
      <c r="M85" s="71">
        <f t="shared" si="8"/>
        <v>238.98500000000001</v>
      </c>
      <c r="N85" s="50" t="s">
        <v>3</v>
      </c>
      <c r="O85" s="50">
        <v>10092</v>
      </c>
      <c r="P85" s="50" t="s">
        <v>158</v>
      </c>
      <c r="Q85" s="172">
        <v>2022</v>
      </c>
      <c r="R85" s="50">
        <v>2305</v>
      </c>
      <c r="S85" s="50" t="s">
        <v>121</v>
      </c>
      <c r="T85" s="50"/>
      <c r="U85" s="50"/>
      <c r="AA85" s="78">
        <f t="shared" si="7"/>
        <v>0</v>
      </c>
      <c r="AG85" s="81"/>
      <c r="AN85" s="53">
        <v>62</v>
      </c>
      <c r="AO85" s="53" t="s">
        <v>3754</v>
      </c>
      <c r="AP85" s="53">
        <v>6</v>
      </c>
      <c r="AR85" s="264" t="str">
        <f ca="1">IF(LEN(Q85)=4,IF(Q85&lt;YEAR(NOW()),_xlfn.CONCAT(IF(LOWER(Setting!rng_language)="english","Expired ","Expiré "),Q85),""),"")</f>
        <v>Expired 2022</v>
      </c>
      <c r="AT85" s="53" t="b">
        <f>ISNUMBER(MATCH(IF(LEN('USER INPUT SHEET'!rng_province)&gt;0,'USER INPUT SHEET'!rng_province,"Canada"),$AU85:$BD85,0))</f>
        <v>0</v>
      </c>
      <c r="AU85" s="1286" t="s">
        <v>1205</v>
      </c>
      <c r="AV85" s="1286" t="s">
        <v>1205</v>
      </c>
      <c r="AW85" s="1286" t="s">
        <v>1203</v>
      </c>
      <c r="AX85" s="1286" t="s">
        <v>3280</v>
      </c>
      <c r="AY85" s="1286" t="s">
        <v>1202</v>
      </c>
      <c r="AZ85" s="1286" t="s">
        <v>1202</v>
      </c>
      <c r="BA85" s="1286" t="s">
        <v>3683</v>
      </c>
      <c r="BB85" s="1286"/>
      <c r="BC85" s="1286"/>
      <c r="BD85" s="1286"/>
    </row>
    <row r="86" spans="1:56" ht="15.75" customHeight="1" x14ac:dyDescent="0.3">
      <c r="A86" s="50" t="str">
        <f t="shared" si="6"/>
        <v xml:space="preserve">Concrete - 26-30 MPa, Canadian Benchmark Average / CRMCA / Can. Avg. / </v>
      </c>
      <c r="B86" s="50" t="s">
        <v>1313</v>
      </c>
      <c r="C86" s="50" t="s">
        <v>1300</v>
      </c>
      <c r="D86" s="50" t="s">
        <v>1301</v>
      </c>
      <c r="E86" s="50"/>
      <c r="H86" s="50" t="s">
        <v>1314</v>
      </c>
      <c r="I86" s="50" t="s">
        <v>138</v>
      </c>
      <c r="J86" s="227">
        <v>44231</v>
      </c>
      <c r="K86" s="229">
        <v>349.68</v>
      </c>
      <c r="L86" s="50" t="s">
        <v>3</v>
      </c>
      <c r="M86" s="71">
        <f t="shared" si="8"/>
        <v>349.68</v>
      </c>
      <c r="N86" s="50" t="s">
        <v>3</v>
      </c>
      <c r="O86" s="50">
        <v>10092</v>
      </c>
      <c r="P86" s="50" t="s">
        <v>158</v>
      </c>
      <c r="Q86" s="172">
        <v>2022</v>
      </c>
      <c r="R86" s="50">
        <v>2305</v>
      </c>
      <c r="S86" s="50" t="s">
        <v>121</v>
      </c>
      <c r="T86" s="50"/>
      <c r="U86" s="50"/>
      <c r="AA86" s="78">
        <f t="shared" si="7"/>
        <v>0</v>
      </c>
      <c r="AG86" s="81"/>
      <c r="AN86" s="53">
        <v>63</v>
      </c>
      <c r="AO86" s="53" t="s">
        <v>3755</v>
      </c>
      <c r="AP86" s="53">
        <v>1</v>
      </c>
      <c r="AR86" s="264" t="str">
        <f ca="1">IF(LEN(Q86)=4,IF(Q86&lt;YEAR(NOW()),_xlfn.CONCAT(IF(LOWER(Setting!rng_language)="english","Expired ","Expiré "),Q86),""),"")</f>
        <v>Expired 2022</v>
      </c>
      <c r="AT86" s="53" t="b">
        <f>ISNUMBER(MATCH(IF(LEN('USER INPUT SHEET'!rng_province)&gt;0,'USER INPUT SHEET'!rng_province,"Canada"),$AU86:$BD86,0))</f>
        <v>0</v>
      </c>
      <c r="AU86" s="1286" t="s">
        <v>1205</v>
      </c>
      <c r="AV86" s="1286" t="s">
        <v>1205</v>
      </c>
      <c r="AW86" s="1286" t="s">
        <v>1203</v>
      </c>
      <c r="AX86" s="1286" t="s">
        <v>3280</v>
      </c>
      <c r="AY86" s="1286" t="s">
        <v>1202</v>
      </c>
      <c r="AZ86" s="1286" t="s">
        <v>1202</v>
      </c>
      <c r="BA86" s="1286" t="s">
        <v>3683</v>
      </c>
      <c r="BB86" s="1286"/>
      <c r="BC86" s="1286"/>
      <c r="BD86" s="1286"/>
    </row>
    <row r="87" spans="1:56" ht="15.75" customHeight="1" x14ac:dyDescent="0.3">
      <c r="A87" s="50" t="str">
        <f t="shared" si="6"/>
        <v xml:space="preserve">Concrete - 26-30 MPa, 0-14% FA/SL, GU / CRMCA / Can. Avg. / </v>
      </c>
      <c r="B87" s="50" t="s">
        <v>1315</v>
      </c>
      <c r="C87" s="50" t="s">
        <v>1300</v>
      </c>
      <c r="D87" s="50" t="s">
        <v>1301</v>
      </c>
      <c r="E87" s="50"/>
      <c r="H87" s="50" t="s">
        <v>1316</v>
      </c>
      <c r="I87" s="50" t="s">
        <v>138</v>
      </c>
      <c r="J87" s="227">
        <v>44231</v>
      </c>
      <c r="K87" s="229">
        <f>AVERAGE(376.48,344.12)</f>
        <v>360.3</v>
      </c>
      <c r="L87" s="50" t="s">
        <v>3</v>
      </c>
      <c r="M87" s="71">
        <f t="shared" si="8"/>
        <v>360.3</v>
      </c>
      <c r="N87" s="50" t="s">
        <v>3</v>
      </c>
      <c r="O87" s="50">
        <v>10092</v>
      </c>
      <c r="P87" s="50" t="s">
        <v>158</v>
      </c>
      <c r="Q87" s="172">
        <v>2022</v>
      </c>
      <c r="R87" s="50">
        <v>2305</v>
      </c>
      <c r="S87" s="50" t="s">
        <v>121</v>
      </c>
      <c r="T87" s="50"/>
      <c r="U87" s="50"/>
      <c r="AA87" s="78">
        <f t="shared" si="7"/>
        <v>0</v>
      </c>
      <c r="AG87" s="81"/>
      <c r="AN87" s="53">
        <v>64</v>
      </c>
      <c r="AO87" s="53" t="s">
        <v>3755</v>
      </c>
      <c r="AP87" s="53">
        <v>2</v>
      </c>
      <c r="AR87" s="264" t="str">
        <f ca="1">IF(LEN(Q87)=4,IF(Q87&lt;YEAR(NOW()),_xlfn.CONCAT(IF(LOWER(Setting!rng_language)="english","Expired ","Expiré "),Q87),""),"")</f>
        <v>Expired 2022</v>
      </c>
      <c r="AT87" s="53" t="b">
        <f>ISNUMBER(MATCH(IF(LEN('USER INPUT SHEET'!rng_province)&gt;0,'USER INPUT SHEET'!rng_province,"Canada"),$AU87:$BD87,0))</f>
        <v>0</v>
      </c>
      <c r="AU87" s="1286" t="s">
        <v>1205</v>
      </c>
      <c r="AV87" s="1286" t="s">
        <v>1205</v>
      </c>
      <c r="AW87" s="1286" t="s">
        <v>1203</v>
      </c>
      <c r="AX87" s="1286" t="s">
        <v>3280</v>
      </c>
      <c r="AY87" s="1286" t="s">
        <v>1202</v>
      </c>
      <c r="AZ87" s="1286" t="s">
        <v>1202</v>
      </c>
      <c r="BA87" s="1286" t="s">
        <v>3683</v>
      </c>
      <c r="BB87" s="1286"/>
      <c r="BC87" s="1286"/>
      <c r="BD87" s="1286"/>
    </row>
    <row r="88" spans="1:56" ht="15.75" customHeight="1" x14ac:dyDescent="0.3">
      <c r="A88" s="50" t="str">
        <f t="shared" si="6"/>
        <v xml:space="preserve">Concrete - 26-30 MPa, 15-29% Fly Ash, GU / CRMCA / Can. Avg. / </v>
      </c>
      <c r="B88" s="50" t="s">
        <v>1317</v>
      </c>
      <c r="C88" s="50" t="s">
        <v>1300</v>
      </c>
      <c r="D88" s="50" t="s">
        <v>1301</v>
      </c>
      <c r="E88" s="50"/>
      <c r="H88" s="50" t="s">
        <v>1318</v>
      </c>
      <c r="I88" s="50" t="s">
        <v>138</v>
      </c>
      <c r="J88" s="227">
        <v>44231</v>
      </c>
      <c r="K88" s="229">
        <f>AVERAGE(338.73,310.24)</f>
        <v>324.48500000000001</v>
      </c>
      <c r="L88" s="50" t="s">
        <v>3</v>
      </c>
      <c r="M88" s="71">
        <f t="shared" si="8"/>
        <v>324.48500000000001</v>
      </c>
      <c r="N88" s="50" t="s">
        <v>3</v>
      </c>
      <c r="O88" s="50">
        <v>10092</v>
      </c>
      <c r="P88" s="50" t="s">
        <v>158</v>
      </c>
      <c r="Q88" s="172">
        <v>2022</v>
      </c>
      <c r="R88" s="50">
        <v>2305</v>
      </c>
      <c r="S88" s="50" t="s">
        <v>121</v>
      </c>
      <c r="T88" s="50"/>
      <c r="U88" s="50"/>
      <c r="AA88" s="78">
        <f t="shared" si="7"/>
        <v>0</v>
      </c>
      <c r="AG88" s="81"/>
      <c r="AN88" s="53">
        <v>65</v>
      </c>
      <c r="AO88" s="53" t="s">
        <v>3755</v>
      </c>
      <c r="AP88" s="53">
        <v>3</v>
      </c>
      <c r="AR88" s="264" t="str">
        <f ca="1">IF(LEN(Q88)=4,IF(Q88&lt;YEAR(NOW()),_xlfn.CONCAT(IF(LOWER(Setting!rng_language)="english","Expired ","Expiré "),Q88),""),"")</f>
        <v>Expired 2022</v>
      </c>
      <c r="AT88" s="53" t="b">
        <f>ISNUMBER(MATCH(IF(LEN('USER INPUT SHEET'!rng_province)&gt;0,'USER INPUT SHEET'!rng_province,"Canada"),$AU88:$BD88,0))</f>
        <v>0</v>
      </c>
      <c r="AU88" s="1286" t="s">
        <v>1205</v>
      </c>
      <c r="AV88" s="1286" t="s">
        <v>1205</v>
      </c>
      <c r="AW88" s="1286" t="s">
        <v>1203</v>
      </c>
      <c r="AX88" s="1286" t="s">
        <v>3280</v>
      </c>
      <c r="AY88" s="1286" t="s">
        <v>1202</v>
      </c>
      <c r="AZ88" s="1286" t="s">
        <v>1202</v>
      </c>
      <c r="BA88" s="1286" t="s">
        <v>3683</v>
      </c>
      <c r="BB88" s="1286"/>
      <c r="BC88" s="1286"/>
      <c r="BD88" s="1286"/>
    </row>
    <row r="89" spans="1:56" ht="15.75" customHeight="1" x14ac:dyDescent="0.3">
      <c r="A89" s="50" t="str">
        <f t="shared" si="6"/>
        <v xml:space="preserve">Concrete - 26-30 MPa, 30-40% Fly Ash, GU / CRMCA / Can. Avg. / </v>
      </c>
      <c r="B89" s="50" t="s">
        <v>1319</v>
      </c>
      <c r="C89" s="50" t="s">
        <v>1300</v>
      </c>
      <c r="D89" s="50" t="s">
        <v>1301</v>
      </c>
      <c r="E89" s="50"/>
      <c r="H89" s="50" t="s">
        <v>1320</v>
      </c>
      <c r="I89" s="50" t="s">
        <v>138</v>
      </c>
      <c r="J89" s="227">
        <v>44231</v>
      </c>
      <c r="K89" s="229">
        <f>AVERAGE(297.92, 273.61)</f>
        <v>285.76499999999999</v>
      </c>
      <c r="L89" s="50" t="s">
        <v>3</v>
      </c>
      <c r="M89" s="71">
        <f t="shared" si="8"/>
        <v>285.76499999999999</v>
      </c>
      <c r="N89" s="50" t="s">
        <v>3</v>
      </c>
      <c r="O89" s="50">
        <v>10092</v>
      </c>
      <c r="P89" s="50" t="s">
        <v>158</v>
      </c>
      <c r="Q89" s="172">
        <v>2022</v>
      </c>
      <c r="R89" s="50">
        <v>2305</v>
      </c>
      <c r="S89" s="50" t="s">
        <v>121</v>
      </c>
      <c r="T89" s="50"/>
      <c r="U89" s="50"/>
      <c r="AA89" s="78">
        <f t="shared" si="7"/>
        <v>0</v>
      </c>
      <c r="AG89" s="81"/>
      <c r="AN89" s="53">
        <v>66</v>
      </c>
      <c r="AO89" s="53" t="s">
        <v>3755</v>
      </c>
      <c r="AP89" s="53">
        <v>4</v>
      </c>
      <c r="AR89" s="264" t="str">
        <f ca="1">IF(LEN(Q89)=4,IF(Q89&lt;YEAR(NOW()),_xlfn.CONCAT(IF(LOWER(Setting!rng_language)="english","Expired ","Expiré "),Q89),""),"")</f>
        <v>Expired 2022</v>
      </c>
      <c r="AT89" s="53" t="b">
        <f>ISNUMBER(MATCH(IF(LEN('USER INPUT SHEET'!rng_province)&gt;0,'USER INPUT SHEET'!rng_province,"Canada"),$AU89:$BD89,0))</f>
        <v>0</v>
      </c>
      <c r="AU89" s="1286" t="s">
        <v>1205</v>
      </c>
      <c r="AV89" s="1286" t="s">
        <v>1205</v>
      </c>
      <c r="AW89" s="1286" t="s">
        <v>1203</v>
      </c>
      <c r="AX89" s="1286" t="s">
        <v>3280</v>
      </c>
      <c r="AY89" s="1286" t="s">
        <v>1202</v>
      </c>
      <c r="AZ89" s="1286" t="s">
        <v>1202</v>
      </c>
      <c r="BA89" s="1286" t="s">
        <v>3683</v>
      </c>
      <c r="BB89" s="1286"/>
      <c r="BC89" s="1286"/>
      <c r="BD89" s="1286"/>
    </row>
    <row r="90" spans="1:56" ht="15.75" customHeight="1" x14ac:dyDescent="0.3">
      <c r="A90" s="50" t="str">
        <f t="shared" si="6"/>
        <v xml:space="preserve">Concrete - 26-30 MPa, 25-34% Slag, GU / CRMCA / Can. Avg. / </v>
      </c>
      <c r="B90" s="50" t="s">
        <v>1321</v>
      </c>
      <c r="C90" s="50" t="s">
        <v>1300</v>
      </c>
      <c r="D90" s="50" t="s">
        <v>1301</v>
      </c>
      <c r="E90" s="50"/>
      <c r="H90" s="50" t="s">
        <v>1322</v>
      </c>
      <c r="I90" s="50" t="s">
        <v>138</v>
      </c>
      <c r="J90" s="227">
        <v>44231</v>
      </c>
      <c r="K90" s="229">
        <f>AVERAGE(306.29, 281.13)</f>
        <v>293.71000000000004</v>
      </c>
      <c r="L90" s="50" t="s">
        <v>3</v>
      </c>
      <c r="M90" s="71">
        <f t="shared" si="8"/>
        <v>293.71000000000004</v>
      </c>
      <c r="N90" s="50" t="s">
        <v>3</v>
      </c>
      <c r="O90" s="50">
        <v>10092</v>
      </c>
      <c r="P90" s="50" t="s">
        <v>158</v>
      </c>
      <c r="Q90" s="172">
        <v>2022</v>
      </c>
      <c r="R90" s="50">
        <v>2305</v>
      </c>
      <c r="S90" s="50" t="s">
        <v>121</v>
      </c>
      <c r="T90" s="50"/>
      <c r="U90" s="50"/>
      <c r="AA90" s="78">
        <f t="shared" si="7"/>
        <v>0</v>
      </c>
      <c r="AG90" s="81"/>
      <c r="AN90" s="53">
        <v>67</v>
      </c>
      <c r="AO90" s="53" t="s">
        <v>3755</v>
      </c>
      <c r="AP90" s="53">
        <v>5</v>
      </c>
      <c r="AR90" s="264" t="str">
        <f ca="1">IF(LEN(Q90)=4,IF(Q90&lt;YEAR(NOW()),_xlfn.CONCAT(IF(LOWER(Setting!rng_language)="english","Expired ","Expiré "),Q90),""),"")</f>
        <v>Expired 2022</v>
      </c>
      <c r="AT90" s="53" t="b">
        <f>ISNUMBER(MATCH(IF(LEN('USER INPUT SHEET'!rng_province)&gt;0,'USER INPUT SHEET'!rng_province,"Canada"),$AU90:$BD90,0))</f>
        <v>0</v>
      </c>
      <c r="AU90" s="1286" t="s">
        <v>1205</v>
      </c>
      <c r="AV90" s="1286" t="s">
        <v>1205</v>
      </c>
      <c r="AW90" s="1286" t="s">
        <v>1203</v>
      </c>
      <c r="AX90" s="1286" t="s">
        <v>3280</v>
      </c>
      <c r="AY90" s="1286" t="s">
        <v>1202</v>
      </c>
      <c r="AZ90" s="1286" t="s">
        <v>1202</v>
      </c>
      <c r="BA90" s="1286" t="s">
        <v>3683</v>
      </c>
      <c r="BB90" s="1286"/>
      <c r="BC90" s="1286"/>
      <c r="BD90" s="1286"/>
    </row>
    <row r="91" spans="1:56" ht="15.75" customHeight="1" x14ac:dyDescent="0.3">
      <c r="A91" s="50" t="str">
        <f t="shared" si="6"/>
        <v xml:space="preserve">Concrete - 26-30 MPa, 35-50% Slag, GU / CRMCA / Can. Avg. / </v>
      </c>
      <c r="B91" s="50" t="s">
        <v>1323</v>
      </c>
      <c r="C91" s="50" t="s">
        <v>1300</v>
      </c>
      <c r="D91" s="50" t="s">
        <v>1301</v>
      </c>
      <c r="E91" s="50"/>
      <c r="H91" s="50" t="s">
        <v>1324</v>
      </c>
      <c r="I91" s="50" t="s">
        <v>138</v>
      </c>
      <c r="J91" s="227">
        <v>44231</v>
      </c>
      <c r="K91" s="229">
        <f>AVERAGE(278.22, 255.94)</f>
        <v>267.08000000000004</v>
      </c>
      <c r="L91" s="50" t="s">
        <v>3</v>
      </c>
      <c r="M91" s="71">
        <f t="shared" si="8"/>
        <v>267.08000000000004</v>
      </c>
      <c r="N91" s="50" t="s">
        <v>3</v>
      </c>
      <c r="O91" s="50">
        <v>10092</v>
      </c>
      <c r="P91" s="50" t="s">
        <v>158</v>
      </c>
      <c r="Q91" s="172">
        <v>2022</v>
      </c>
      <c r="R91" s="50">
        <v>2305</v>
      </c>
      <c r="S91" s="50" t="s">
        <v>121</v>
      </c>
      <c r="T91" s="50"/>
      <c r="U91" s="50"/>
      <c r="AA91" s="78">
        <f t="shared" si="7"/>
        <v>0</v>
      </c>
      <c r="AG91" s="81"/>
      <c r="AN91" s="53">
        <v>68</v>
      </c>
      <c r="AO91" s="53" t="s">
        <v>3755</v>
      </c>
      <c r="AP91" s="53">
        <v>6</v>
      </c>
      <c r="AR91" s="264" t="str">
        <f ca="1">IF(LEN(Q91)=4,IF(Q91&lt;YEAR(NOW()),_xlfn.CONCAT(IF(LOWER(Setting!rng_language)="english","Expired ","Expiré "),Q91),""),"")</f>
        <v>Expired 2022</v>
      </c>
      <c r="AT91" s="53" t="b">
        <f>ISNUMBER(MATCH(IF(LEN('USER INPUT SHEET'!rng_province)&gt;0,'USER INPUT SHEET'!rng_province,"Canada"),$AU91:$BD91,0))</f>
        <v>0</v>
      </c>
      <c r="AU91" s="1286" t="s">
        <v>1205</v>
      </c>
      <c r="AV91" s="1286" t="s">
        <v>1205</v>
      </c>
      <c r="AW91" s="1286" t="s">
        <v>1203</v>
      </c>
      <c r="AX91" s="1286" t="s">
        <v>3280</v>
      </c>
      <c r="AY91" s="1286" t="s">
        <v>1202</v>
      </c>
      <c r="AZ91" s="1286" t="s">
        <v>1202</v>
      </c>
      <c r="BA91" s="1286" t="s">
        <v>3683</v>
      </c>
      <c r="BB91" s="1286"/>
      <c r="BC91" s="1286"/>
      <c r="BD91" s="1286"/>
    </row>
    <row r="92" spans="1:56" ht="15.75" customHeight="1" x14ac:dyDescent="0.3">
      <c r="A92" s="50" t="str">
        <f t="shared" si="6"/>
        <v xml:space="preserve">Concrete - 31-35 MPa, Canadian Benchmark Average / CRMCA / Can. Avg. / </v>
      </c>
      <c r="B92" s="50" t="s">
        <v>1325</v>
      </c>
      <c r="C92" s="50" t="s">
        <v>1300</v>
      </c>
      <c r="D92" s="50" t="s">
        <v>1301</v>
      </c>
      <c r="E92" s="50"/>
      <c r="H92" s="50" t="s">
        <v>1326</v>
      </c>
      <c r="I92" s="50" t="s">
        <v>138</v>
      </c>
      <c r="J92" s="227">
        <v>44231</v>
      </c>
      <c r="K92" s="229">
        <v>417.05</v>
      </c>
      <c r="L92" s="50" t="s">
        <v>3</v>
      </c>
      <c r="M92" s="71">
        <f t="shared" si="8"/>
        <v>417.05</v>
      </c>
      <c r="N92" s="50" t="s">
        <v>3</v>
      </c>
      <c r="O92" s="50">
        <v>10092</v>
      </c>
      <c r="P92" s="50" t="s">
        <v>158</v>
      </c>
      <c r="Q92" s="172">
        <v>2022</v>
      </c>
      <c r="R92" s="50">
        <v>2305</v>
      </c>
      <c r="S92" s="50" t="s">
        <v>121</v>
      </c>
      <c r="T92" s="50"/>
      <c r="U92" s="50"/>
      <c r="AA92" s="78">
        <f t="shared" si="7"/>
        <v>0</v>
      </c>
      <c r="AG92" s="81"/>
      <c r="AN92" s="53">
        <v>69</v>
      </c>
      <c r="AO92" s="53" t="s">
        <v>3756</v>
      </c>
      <c r="AP92" s="53">
        <v>1</v>
      </c>
      <c r="AR92" s="264" t="str">
        <f ca="1">IF(LEN(Q92)=4,IF(Q92&lt;YEAR(NOW()),_xlfn.CONCAT(IF(LOWER(Setting!rng_language)="english","Expired ","Expiré "),Q92),""),"")</f>
        <v>Expired 2022</v>
      </c>
      <c r="AT92" s="53" t="b">
        <f>ISNUMBER(MATCH(IF(LEN('USER INPUT SHEET'!rng_province)&gt;0,'USER INPUT SHEET'!rng_province,"Canada"),$AU92:$BD92,0))</f>
        <v>0</v>
      </c>
      <c r="AU92" s="1286" t="s">
        <v>1205</v>
      </c>
      <c r="AV92" s="1286" t="s">
        <v>1205</v>
      </c>
      <c r="AW92" s="1286" t="s">
        <v>1203</v>
      </c>
      <c r="AX92" s="1286" t="s">
        <v>3280</v>
      </c>
      <c r="AY92" s="1286" t="s">
        <v>1202</v>
      </c>
      <c r="AZ92" s="1286" t="s">
        <v>1202</v>
      </c>
      <c r="BA92" s="1286" t="s">
        <v>3683</v>
      </c>
      <c r="BB92" s="1286"/>
      <c r="BC92" s="1286"/>
      <c r="BD92" s="1286"/>
    </row>
    <row r="93" spans="1:56" ht="15.75" customHeight="1" x14ac:dyDescent="0.3">
      <c r="A93" s="50" t="str">
        <f t="shared" si="6"/>
        <v xml:space="preserve">Concrete - 31-35 MPa, 0-14% FA/SL, GU / CRMCA / Can. Avg. / </v>
      </c>
      <c r="B93" s="50" t="s">
        <v>1327</v>
      </c>
      <c r="C93" s="50" t="s">
        <v>1300</v>
      </c>
      <c r="D93" s="50" t="s">
        <v>1301</v>
      </c>
      <c r="E93" s="50"/>
      <c r="H93" s="50" t="s">
        <v>1328</v>
      </c>
      <c r="I93" s="50" t="s">
        <v>138</v>
      </c>
      <c r="J93" s="227">
        <v>44231</v>
      </c>
      <c r="K93" s="229">
        <f>AVERAGE(449.79, 386.61)</f>
        <v>418.20000000000005</v>
      </c>
      <c r="L93" s="50" t="s">
        <v>3</v>
      </c>
      <c r="M93" s="71">
        <f t="shared" si="8"/>
        <v>418.20000000000005</v>
      </c>
      <c r="N93" s="50" t="s">
        <v>3</v>
      </c>
      <c r="O93" s="50">
        <v>10092</v>
      </c>
      <c r="P93" s="50" t="s">
        <v>158</v>
      </c>
      <c r="Q93" s="172">
        <v>2022</v>
      </c>
      <c r="R93" s="50">
        <v>2305</v>
      </c>
      <c r="S93" s="50" t="s">
        <v>121</v>
      </c>
      <c r="T93" s="50"/>
      <c r="U93" s="50"/>
      <c r="AA93" s="78">
        <f t="shared" si="7"/>
        <v>0</v>
      </c>
      <c r="AG93" s="81"/>
      <c r="AN93" s="53">
        <v>70</v>
      </c>
      <c r="AO93" s="53" t="s">
        <v>3756</v>
      </c>
      <c r="AP93" s="53">
        <v>2</v>
      </c>
      <c r="AR93" s="264" t="str">
        <f ca="1">IF(LEN(Q93)=4,IF(Q93&lt;YEAR(NOW()),_xlfn.CONCAT(IF(LOWER(Setting!rng_language)="english","Expired ","Expiré "),Q93),""),"")</f>
        <v>Expired 2022</v>
      </c>
      <c r="AT93" s="53" t="b">
        <f>ISNUMBER(MATCH(IF(LEN('USER INPUT SHEET'!rng_province)&gt;0,'USER INPUT SHEET'!rng_province,"Canada"),$AU93:$BD93,0))</f>
        <v>0</v>
      </c>
      <c r="AU93" s="1286" t="s">
        <v>1205</v>
      </c>
      <c r="AV93" s="1286" t="s">
        <v>1205</v>
      </c>
      <c r="AW93" s="1286" t="s">
        <v>1203</v>
      </c>
      <c r="AX93" s="1286" t="s">
        <v>3280</v>
      </c>
      <c r="AY93" s="1286" t="s">
        <v>1202</v>
      </c>
      <c r="AZ93" s="1286" t="s">
        <v>1202</v>
      </c>
      <c r="BA93" s="1286" t="s">
        <v>3683</v>
      </c>
      <c r="BB93" s="1286"/>
      <c r="BC93" s="1286"/>
      <c r="BD93" s="1286"/>
    </row>
    <row r="94" spans="1:56" ht="15.75" customHeight="1" x14ac:dyDescent="0.3">
      <c r="A94" s="50" t="str">
        <f t="shared" si="6"/>
        <v xml:space="preserve">Concrete - 31-35 MPa, 15-29% Fly Ash, GU / CRMCA / Can. Avg. / </v>
      </c>
      <c r="B94" s="50" t="s">
        <v>1329</v>
      </c>
      <c r="C94" s="50" t="s">
        <v>1300</v>
      </c>
      <c r="D94" s="50" t="s">
        <v>1301</v>
      </c>
      <c r="E94" s="50"/>
      <c r="H94" s="50" t="s">
        <v>1330</v>
      </c>
      <c r="I94" s="50" t="s">
        <v>138</v>
      </c>
      <c r="J94" s="227">
        <v>44231</v>
      </c>
      <c r="K94" s="229">
        <f>AVERAGE(403.68, 347.87)</f>
        <v>375.77499999999998</v>
      </c>
      <c r="L94" s="50" t="s">
        <v>3</v>
      </c>
      <c r="M94" s="71">
        <f t="shared" si="8"/>
        <v>375.77499999999998</v>
      </c>
      <c r="N94" s="50" t="s">
        <v>3</v>
      </c>
      <c r="O94" s="50">
        <v>10092</v>
      </c>
      <c r="P94" s="50" t="s">
        <v>158</v>
      </c>
      <c r="Q94" s="172">
        <v>2022</v>
      </c>
      <c r="R94" s="50">
        <v>2305</v>
      </c>
      <c r="S94" s="50" t="s">
        <v>121</v>
      </c>
      <c r="T94" s="50"/>
      <c r="U94" s="50"/>
      <c r="AA94" s="78">
        <f t="shared" si="7"/>
        <v>0</v>
      </c>
      <c r="AG94" s="81"/>
      <c r="AN94" s="53">
        <v>71</v>
      </c>
      <c r="AO94" s="53" t="s">
        <v>3756</v>
      </c>
      <c r="AP94" s="53">
        <v>3</v>
      </c>
      <c r="AR94" s="264" t="str">
        <f ca="1">IF(LEN(Q94)=4,IF(Q94&lt;YEAR(NOW()),_xlfn.CONCAT(IF(LOWER(Setting!rng_language)="english","Expired ","Expiré "),Q94),""),"")</f>
        <v>Expired 2022</v>
      </c>
      <c r="AT94" s="53" t="b">
        <f>ISNUMBER(MATCH(IF(LEN('USER INPUT SHEET'!rng_province)&gt;0,'USER INPUT SHEET'!rng_province,"Canada"),$AU94:$BD94,0))</f>
        <v>0</v>
      </c>
      <c r="AU94" s="1286" t="s">
        <v>1205</v>
      </c>
      <c r="AV94" s="1286" t="s">
        <v>1205</v>
      </c>
      <c r="AW94" s="1286" t="s">
        <v>1203</v>
      </c>
      <c r="AX94" s="1286" t="s">
        <v>3280</v>
      </c>
      <c r="AY94" s="1286" t="s">
        <v>1202</v>
      </c>
      <c r="AZ94" s="1286" t="s">
        <v>1202</v>
      </c>
      <c r="BA94" s="1286" t="s">
        <v>3683</v>
      </c>
      <c r="BB94" s="1286"/>
      <c r="BC94" s="1286"/>
      <c r="BD94" s="1286"/>
    </row>
    <row r="95" spans="1:56" ht="15.75" customHeight="1" x14ac:dyDescent="0.3">
      <c r="A95" s="50" t="str">
        <f t="shared" si="6"/>
        <v xml:space="preserve">Concrete - 31-35 MPa, 30-40% Fly Ash, GU / CRMCA / Can. Avg. / </v>
      </c>
      <c r="B95" s="50" t="s">
        <v>1331</v>
      </c>
      <c r="C95" s="50" t="s">
        <v>1300</v>
      </c>
      <c r="D95" s="50" t="s">
        <v>1301</v>
      </c>
      <c r="E95" s="50"/>
      <c r="H95" s="50" t="s">
        <v>1332</v>
      </c>
      <c r="I95" s="50" t="s">
        <v>138</v>
      </c>
      <c r="J95" s="227">
        <v>44231</v>
      </c>
      <c r="K95" s="229">
        <f>AVERAGE(353.84, 305.99)</f>
        <v>329.91499999999996</v>
      </c>
      <c r="L95" s="50" t="s">
        <v>3</v>
      </c>
      <c r="M95" s="71">
        <f t="shared" si="8"/>
        <v>329.91499999999996</v>
      </c>
      <c r="N95" s="50" t="s">
        <v>3</v>
      </c>
      <c r="O95" s="50">
        <v>10092</v>
      </c>
      <c r="P95" s="50" t="s">
        <v>158</v>
      </c>
      <c r="Q95" s="172">
        <v>2022</v>
      </c>
      <c r="R95" s="50">
        <v>2305</v>
      </c>
      <c r="S95" s="50" t="s">
        <v>121</v>
      </c>
      <c r="T95" s="50"/>
      <c r="U95" s="50"/>
      <c r="AA95" s="78">
        <f t="shared" si="7"/>
        <v>0</v>
      </c>
      <c r="AG95" s="81"/>
      <c r="AN95" s="53">
        <v>72</v>
      </c>
      <c r="AO95" s="53" t="s">
        <v>3756</v>
      </c>
      <c r="AP95" s="53">
        <v>4</v>
      </c>
      <c r="AR95" s="264" t="str">
        <f ca="1">IF(LEN(Q95)=4,IF(Q95&lt;YEAR(NOW()),_xlfn.CONCAT(IF(LOWER(Setting!rng_language)="english","Expired ","Expiré "),Q95),""),"")</f>
        <v>Expired 2022</v>
      </c>
      <c r="AT95" s="53" t="b">
        <f>ISNUMBER(MATCH(IF(LEN('USER INPUT SHEET'!rng_province)&gt;0,'USER INPUT SHEET'!rng_province,"Canada"),$AU95:$BD95,0))</f>
        <v>0</v>
      </c>
      <c r="AU95" s="1286" t="s">
        <v>1205</v>
      </c>
      <c r="AV95" s="1286" t="s">
        <v>1205</v>
      </c>
      <c r="AW95" s="1286" t="s">
        <v>1203</v>
      </c>
      <c r="AX95" s="1286" t="s">
        <v>3280</v>
      </c>
      <c r="AY95" s="1286" t="s">
        <v>1202</v>
      </c>
      <c r="AZ95" s="1286" t="s">
        <v>1202</v>
      </c>
      <c r="BA95" s="1286" t="s">
        <v>3683</v>
      </c>
      <c r="BB95" s="1286"/>
      <c r="BC95" s="1286"/>
      <c r="BD95" s="1286"/>
    </row>
    <row r="96" spans="1:56" ht="15.75" customHeight="1" x14ac:dyDescent="0.3">
      <c r="A96" s="50" t="str">
        <f t="shared" si="6"/>
        <v xml:space="preserve">Concrete - 31-35 MPa, 25-34% Slag, GU / CRMCA / Can. Avg. / </v>
      </c>
      <c r="B96" s="50" t="s">
        <v>1333</v>
      </c>
      <c r="C96" s="50" t="s">
        <v>1300</v>
      </c>
      <c r="D96" s="50" t="s">
        <v>1301</v>
      </c>
      <c r="E96" s="50"/>
      <c r="H96" s="50" t="s">
        <v>1334</v>
      </c>
      <c r="I96" s="50" t="s">
        <v>138</v>
      </c>
      <c r="J96" s="227">
        <v>44231</v>
      </c>
      <c r="K96" s="229">
        <f>AVERAGE(364.06, 314.59)</f>
        <v>339.32499999999999</v>
      </c>
      <c r="L96" s="50" t="s">
        <v>3</v>
      </c>
      <c r="M96" s="71">
        <f t="shared" si="8"/>
        <v>339.32499999999999</v>
      </c>
      <c r="N96" s="50" t="s">
        <v>3</v>
      </c>
      <c r="O96" s="50">
        <v>10092</v>
      </c>
      <c r="P96" s="50" t="s">
        <v>158</v>
      </c>
      <c r="Q96" s="172">
        <v>2022</v>
      </c>
      <c r="R96" s="50">
        <v>2305</v>
      </c>
      <c r="S96" s="50" t="s">
        <v>121</v>
      </c>
      <c r="T96" s="50"/>
      <c r="U96" s="50"/>
      <c r="AA96" s="78">
        <f t="shared" si="7"/>
        <v>0</v>
      </c>
      <c r="AG96" s="81"/>
      <c r="AN96" s="53">
        <v>73</v>
      </c>
      <c r="AO96" s="53" t="s">
        <v>3756</v>
      </c>
      <c r="AP96" s="53">
        <v>5</v>
      </c>
      <c r="AR96" s="264" t="str">
        <f ca="1">IF(LEN(Q96)=4,IF(Q96&lt;YEAR(NOW()),_xlfn.CONCAT(IF(LOWER(Setting!rng_language)="english","Expired ","Expiré "),Q96),""),"")</f>
        <v>Expired 2022</v>
      </c>
      <c r="AT96" s="53" t="b">
        <f>ISNUMBER(MATCH(IF(LEN('USER INPUT SHEET'!rng_province)&gt;0,'USER INPUT SHEET'!rng_province,"Canada"),$AU96:$BD96,0))</f>
        <v>0</v>
      </c>
      <c r="AU96" s="1286" t="s">
        <v>1205</v>
      </c>
      <c r="AV96" s="1286" t="s">
        <v>1205</v>
      </c>
      <c r="AW96" s="1286" t="s">
        <v>1203</v>
      </c>
      <c r="AX96" s="1286" t="s">
        <v>3280</v>
      </c>
      <c r="AY96" s="1286" t="s">
        <v>1202</v>
      </c>
      <c r="AZ96" s="1286" t="s">
        <v>1202</v>
      </c>
      <c r="BA96" s="1286" t="s">
        <v>3683</v>
      </c>
      <c r="BB96" s="1286"/>
      <c r="BC96" s="1286"/>
      <c r="BD96" s="1286"/>
    </row>
    <row r="97" spans="1:56" ht="15.75" customHeight="1" x14ac:dyDescent="0.3">
      <c r="A97" s="50" t="str">
        <f t="shared" si="6"/>
        <v xml:space="preserve">Concrete - 31-35 MPa, 35-50% Slag, GU / CRMCA / Can. Avg. / </v>
      </c>
      <c r="B97" s="50" t="s">
        <v>1335</v>
      </c>
      <c r="C97" s="50" t="s">
        <v>1300</v>
      </c>
      <c r="D97" s="50" t="s">
        <v>1301</v>
      </c>
      <c r="E97" s="50"/>
      <c r="H97" s="50" t="s">
        <v>1336</v>
      </c>
      <c r="I97" s="50" t="s">
        <v>138</v>
      </c>
      <c r="J97" s="227">
        <v>44231</v>
      </c>
      <c r="K97" s="229">
        <f>AVERAGE(329.77, 285.78)</f>
        <v>307.77499999999998</v>
      </c>
      <c r="L97" s="50" t="s">
        <v>3</v>
      </c>
      <c r="M97" s="71">
        <f t="shared" si="8"/>
        <v>307.77499999999998</v>
      </c>
      <c r="N97" s="50" t="s">
        <v>3</v>
      </c>
      <c r="O97" s="50">
        <v>10092</v>
      </c>
      <c r="P97" s="50" t="s">
        <v>158</v>
      </c>
      <c r="Q97" s="172">
        <v>2022</v>
      </c>
      <c r="R97" s="50">
        <v>2305</v>
      </c>
      <c r="S97" s="50" t="s">
        <v>121</v>
      </c>
      <c r="T97" s="50"/>
      <c r="U97" s="50"/>
      <c r="AA97" s="78">
        <f t="shared" si="7"/>
        <v>0</v>
      </c>
      <c r="AG97" s="81"/>
      <c r="AN97" s="53">
        <v>74</v>
      </c>
      <c r="AO97" s="53" t="s">
        <v>3756</v>
      </c>
      <c r="AP97" s="53">
        <v>6</v>
      </c>
      <c r="AR97" s="264" t="str">
        <f ca="1">IF(LEN(Q97)=4,IF(Q97&lt;YEAR(NOW()),_xlfn.CONCAT(IF(LOWER(Setting!rng_language)="english","Expired ","Expiré "),Q97),""),"")</f>
        <v>Expired 2022</v>
      </c>
      <c r="AT97" s="53" t="b">
        <f>ISNUMBER(MATCH(IF(LEN('USER INPUT SHEET'!rng_province)&gt;0,'USER INPUT SHEET'!rng_province,"Canada"),$AU97:$BD97,0))</f>
        <v>0</v>
      </c>
      <c r="AU97" s="1286" t="s">
        <v>1205</v>
      </c>
      <c r="AV97" s="1286" t="s">
        <v>1205</v>
      </c>
      <c r="AW97" s="1286" t="s">
        <v>1203</v>
      </c>
      <c r="AX97" s="1286" t="s">
        <v>3280</v>
      </c>
      <c r="AY97" s="1286" t="s">
        <v>1202</v>
      </c>
      <c r="AZ97" s="1286" t="s">
        <v>1202</v>
      </c>
      <c r="BA97" s="1286" t="s">
        <v>3683</v>
      </c>
      <c r="BB97" s="1286"/>
      <c r="BC97" s="1286"/>
      <c r="BD97" s="1286"/>
    </row>
    <row r="98" spans="1:56" ht="15.75" customHeight="1" x14ac:dyDescent="0.3">
      <c r="A98" s="50" t="str">
        <f t="shared" si="6"/>
        <v xml:space="preserve">Concrete - 20 MPa, Standard mix / NRMCA / US Avg / </v>
      </c>
      <c r="B98" s="50" t="s">
        <v>1337</v>
      </c>
      <c r="C98" s="50" t="s">
        <v>1338</v>
      </c>
      <c r="D98" s="50" t="s">
        <v>1348</v>
      </c>
      <c r="H98" s="50" t="s">
        <v>1339</v>
      </c>
      <c r="I98" s="50" t="s">
        <v>129</v>
      </c>
      <c r="J98" s="227">
        <v>44231</v>
      </c>
      <c r="K98" s="50">
        <v>345.5</v>
      </c>
      <c r="L98" s="50" t="s">
        <v>3</v>
      </c>
      <c r="M98" s="71">
        <f t="shared" si="8"/>
        <v>345.5</v>
      </c>
      <c r="N98" s="50" t="s">
        <v>3</v>
      </c>
      <c r="O98" s="50" t="s">
        <v>297</v>
      </c>
      <c r="P98" s="50" t="s">
        <v>158</v>
      </c>
      <c r="Q98" s="172">
        <v>2024</v>
      </c>
      <c r="R98" s="166">
        <v>2305</v>
      </c>
      <c r="S98" s="166" t="s">
        <v>121</v>
      </c>
      <c r="T98" s="166"/>
      <c r="U98" s="166"/>
      <c r="V98" s="166"/>
      <c r="W98" s="166"/>
      <c r="X98" s="166"/>
      <c r="Y98" s="50">
        <v>0</v>
      </c>
      <c r="Z98" s="50"/>
      <c r="AA98" s="78">
        <f t="shared" si="7"/>
        <v>0</v>
      </c>
      <c r="AB98" s="50"/>
      <c r="AC98" s="50"/>
      <c r="AD98" s="50"/>
      <c r="AE98" s="50"/>
      <c r="AF98" s="50"/>
      <c r="AG98" s="81"/>
      <c r="AH98" s="50"/>
      <c r="AI98" s="167"/>
      <c r="AJ98" s="167"/>
      <c r="AK98" s="167"/>
      <c r="AL98" s="50"/>
      <c r="AN98" s="53">
        <v>75</v>
      </c>
      <c r="AO98" s="53" t="s">
        <v>3754</v>
      </c>
      <c r="AP98" s="53">
        <v>1</v>
      </c>
      <c r="AR98" s="264" t="str">
        <f ca="1">IF(LEN(Q98)=4,IF(Q98&lt;YEAR(NOW()),_xlfn.CONCAT(IF(LOWER(Setting!rng_language)="english","Expired ","Expiré "),Q98),""),"")</f>
        <v>Expired 2024</v>
      </c>
      <c r="AT98" s="53" t="b">
        <f>ISNUMBER(MATCH(IF(LEN('USER INPUT SHEET'!rng_province)&gt;0,'USER INPUT SHEET'!rng_province,"Canada"),$AU98:$BD98,0))</f>
        <v>0</v>
      </c>
      <c r="AU98" s="1286"/>
      <c r="AV98" s="1286"/>
      <c r="AW98" s="1286"/>
      <c r="AX98" s="1286"/>
      <c r="AY98" s="1286"/>
      <c r="AZ98" s="1286"/>
      <c r="BA98" s="1286"/>
      <c r="BB98" s="1286"/>
      <c r="BC98" s="1286"/>
      <c r="BD98" s="1286"/>
    </row>
    <row r="99" spans="1:56" ht="15.75" customHeight="1" x14ac:dyDescent="0.3">
      <c r="A99" s="50" t="str">
        <f t="shared" si="6"/>
        <v xml:space="preserve">Concrete - 20 MPa, 20-30% Fly Ash / NRMCA / US Avg / </v>
      </c>
      <c r="B99" s="50" t="s">
        <v>1340</v>
      </c>
      <c r="C99" s="50" t="s">
        <v>1338</v>
      </c>
      <c r="D99" s="50" t="s">
        <v>1348</v>
      </c>
      <c r="H99" s="50" t="s">
        <v>1341</v>
      </c>
      <c r="I99" s="50" t="s">
        <v>129</v>
      </c>
      <c r="J99" s="227">
        <v>44231</v>
      </c>
      <c r="K99" s="50">
        <v>297.10000000000002</v>
      </c>
      <c r="L99" s="50" t="s">
        <v>3</v>
      </c>
      <c r="M99" s="71">
        <f t="shared" si="8"/>
        <v>297.10000000000002</v>
      </c>
      <c r="N99" s="50" t="s">
        <v>3</v>
      </c>
      <c r="O99" s="50" t="s">
        <v>291</v>
      </c>
      <c r="P99" s="50" t="s">
        <v>158</v>
      </c>
      <c r="Q99" s="172">
        <v>2024</v>
      </c>
      <c r="R99" s="166">
        <v>2305</v>
      </c>
      <c r="S99" s="166" t="s">
        <v>121</v>
      </c>
      <c r="T99" s="166"/>
      <c r="U99" s="166"/>
      <c r="V99" s="166"/>
      <c r="W99" s="166"/>
      <c r="X99" s="166"/>
      <c r="Y99" s="50">
        <v>0</v>
      </c>
      <c r="Z99" s="50"/>
      <c r="AA99" s="78">
        <f t="shared" si="7"/>
        <v>0</v>
      </c>
      <c r="AB99" s="50"/>
      <c r="AC99" s="50"/>
      <c r="AD99" s="50"/>
      <c r="AE99" s="50"/>
      <c r="AF99" s="50"/>
      <c r="AG99" s="81"/>
      <c r="AH99" s="50"/>
      <c r="AI99" s="167"/>
      <c r="AJ99" s="167"/>
      <c r="AK99" s="167"/>
      <c r="AL99" s="50"/>
      <c r="AN99" s="53">
        <v>76</v>
      </c>
      <c r="AO99" s="53" t="s">
        <v>3754</v>
      </c>
      <c r="AP99" s="53">
        <v>2</v>
      </c>
      <c r="AR99" s="264" t="str">
        <f ca="1">IF(LEN(Q99)=4,IF(Q99&lt;YEAR(NOW()),_xlfn.CONCAT(IF(LOWER(Setting!rng_language)="english","Expired ","Expiré "),Q99),""),"")</f>
        <v>Expired 2024</v>
      </c>
      <c r="AT99" s="53" t="b">
        <f>ISNUMBER(MATCH(IF(LEN('USER INPUT SHEET'!rng_province)&gt;0,'USER INPUT SHEET'!rng_province,"Canada"),$AU99:$BD99,0))</f>
        <v>0</v>
      </c>
      <c r="AU99" s="1286"/>
      <c r="AV99" s="1286"/>
      <c r="AW99" s="1286"/>
      <c r="AX99" s="1286"/>
      <c r="AY99" s="1286"/>
      <c r="AZ99" s="1286"/>
      <c r="BA99" s="1286"/>
      <c r="BB99" s="1286"/>
      <c r="BC99" s="1286"/>
      <c r="BD99" s="1286"/>
    </row>
    <row r="100" spans="1:56" ht="15.75" customHeight="1" x14ac:dyDescent="0.3">
      <c r="A100" s="50" t="str">
        <f t="shared" si="6"/>
        <v xml:space="preserve">Concrete - 20 MPa, 30-40% FA/SL / NRMCA / US Avg / </v>
      </c>
      <c r="B100" s="50" t="s">
        <v>1342</v>
      </c>
      <c r="C100" s="50" t="s">
        <v>1338</v>
      </c>
      <c r="D100" s="50" t="s">
        <v>1348</v>
      </c>
      <c r="H100" s="50" t="s">
        <v>1343</v>
      </c>
      <c r="I100" s="50" t="s">
        <v>129</v>
      </c>
      <c r="J100" s="227">
        <v>44231</v>
      </c>
      <c r="K100" s="229">
        <f>AVERAGE(270.97,267.26)</f>
        <v>269.11500000000001</v>
      </c>
      <c r="L100" s="50" t="s">
        <v>3</v>
      </c>
      <c r="M100" s="71">
        <f t="shared" si="8"/>
        <v>269.11500000000001</v>
      </c>
      <c r="N100" s="50" t="s">
        <v>3</v>
      </c>
      <c r="O100" s="50" t="s">
        <v>292</v>
      </c>
      <c r="P100" s="50" t="s">
        <v>158</v>
      </c>
      <c r="Q100" s="172">
        <v>2024</v>
      </c>
      <c r="R100" s="166">
        <v>2305</v>
      </c>
      <c r="S100" s="166" t="s">
        <v>121</v>
      </c>
      <c r="T100" s="166"/>
      <c r="U100" s="166"/>
      <c r="V100" s="166"/>
      <c r="W100" s="166"/>
      <c r="X100" s="166"/>
      <c r="Y100" s="50">
        <v>0</v>
      </c>
      <c r="Z100" s="50"/>
      <c r="AA100" s="78">
        <f t="shared" si="7"/>
        <v>0</v>
      </c>
      <c r="AB100" s="50"/>
      <c r="AC100" s="50"/>
      <c r="AD100" s="50"/>
      <c r="AE100" s="50"/>
      <c r="AF100" s="50"/>
      <c r="AG100" s="81"/>
      <c r="AH100" s="50"/>
      <c r="AI100" s="167"/>
      <c r="AJ100" s="167"/>
      <c r="AK100" s="167"/>
      <c r="AL100" s="50"/>
      <c r="AN100" s="53">
        <v>77</v>
      </c>
      <c r="AO100" s="53" t="s">
        <v>3754</v>
      </c>
      <c r="AP100" s="53">
        <v>3</v>
      </c>
      <c r="AR100" s="264" t="str">
        <f ca="1">IF(LEN(Q100)=4,IF(Q100&lt;YEAR(NOW()),_xlfn.CONCAT(IF(LOWER(Setting!rng_language)="english","Expired ","Expiré "),Q100),""),"")</f>
        <v>Expired 2024</v>
      </c>
      <c r="AT100" s="53" t="b">
        <f>ISNUMBER(MATCH(IF(LEN('USER INPUT SHEET'!rng_province)&gt;0,'USER INPUT SHEET'!rng_province,"Canada"),$AU100:$BD100,0))</f>
        <v>0</v>
      </c>
      <c r="AU100" s="1286"/>
      <c r="AV100" s="1286"/>
      <c r="AW100" s="1286"/>
      <c r="AX100" s="1286"/>
      <c r="AY100" s="1286"/>
      <c r="AZ100" s="1286"/>
      <c r="BA100" s="1286"/>
      <c r="BB100" s="1286"/>
      <c r="BC100" s="1286"/>
      <c r="BD100" s="1286"/>
    </row>
    <row r="101" spans="1:56" ht="15.75" customHeight="1" x14ac:dyDescent="0.3">
      <c r="A101" s="50" t="str">
        <f t="shared" si="6"/>
        <v xml:space="preserve">Concrete - 20 MPa, 40-50% FA/SL mix / NRMCA / US Avg / </v>
      </c>
      <c r="B101" s="50" t="s">
        <v>1344</v>
      </c>
      <c r="C101" s="50" t="s">
        <v>1338</v>
      </c>
      <c r="D101" s="50" t="s">
        <v>1348</v>
      </c>
      <c r="H101" s="50" t="s">
        <v>1345</v>
      </c>
      <c r="I101" s="50" t="s">
        <v>129</v>
      </c>
      <c r="J101" s="227">
        <v>44231</v>
      </c>
      <c r="K101" s="50">
        <v>242.3</v>
      </c>
      <c r="L101" s="50" t="s">
        <v>3</v>
      </c>
      <c r="M101" s="71">
        <f t="shared" si="8"/>
        <v>242.3</v>
      </c>
      <c r="N101" s="50" t="s">
        <v>3</v>
      </c>
      <c r="O101" s="50" t="s">
        <v>293</v>
      </c>
      <c r="P101" s="50" t="s">
        <v>158</v>
      </c>
      <c r="Q101" s="172">
        <v>2024</v>
      </c>
      <c r="R101" s="166">
        <v>2305</v>
      </c>
      <c r="S101" s="166" t="s">
        <v>121</v>
      </c>
      <c r="T101" s="166"/>
      <c r="U101" s="166"/>
      <c r="V101" s="166"/>
      <c r="W101" s="166"/>
      <c r="X101" s="166"/>
      <c r="Y101" s="50">
        <v>0</v>
      </c>
      <c r="Z101" s="50"/>
      <c r="AA101" s="78">
        <f t="shared" si="7"/>
        <v>0</v>
      </c>
      <c r="AB101" s="50"/>
      <c r="AC101" s="50"/>
      <c r="AD101" s="50"/>
      <c r="AE101" s="50"/>
      <c r="AF101" s="50"/>
      <c r="AG101" s="81"/>
      <c r="AH101" s="50"/>
      <c r="AI101" s="167"/>
      <c r="AJ101" s="167"/>
      <c r="AK101" s="167"/>
      <c r="AL101" s="50"/>
      <c r="AN101" s="53">
        <v>78</v>
      </c>
      <c r="AO101" s="53" t="s">
        <v>3754</v>
      </c>
      <c r="AP101" s="53">
        <v>4</v>
      </c>
      <c r="AR101" s="264" t="str">
        <f ca="1">IF(LEN(Q101)=4,IF(Q101&lt;YEAR(NOW()),_xlfn.CONCAT(IF(LOWER(Setting!rng_language)="english","Expired ","Expiré "),Q101),""),"")</f>
        <v>Expired 2024</v>
      </c>
      <c r="AT101" s="53" t="b">
        <f>ISNUMBER(MATCH(IF(LEN('USER INPUT SHEET'!rng_province)&gt;0,'USER INPUT SHEET'!rng_province,"Canada"),$AU101:$BD101,0))</f>
        <v>0</v>
      </c>
      <c r="AU101" s="1286"/>
      <c r="AV101" s="1286"/>
      <c r="AW101" s="1286"/>
      <c r="AX101" s="1286"/>
      <c r="AY101" s="1286"/>
      <c r="AZ101" s="1286"/>
      <c r="BA101" s="1286"/>
      <c r="BB101" s="1286"/>
      <c r="BC101" s="1286"/>
      <c r="BD101" s="1286"/>
    </row>
    <row r="102" spans="1:56" ht="15.75" customHeight="1" x14ac:dyDescent="0.3">
      <c r="A102" s="50" t="str">
        <f t="shared" si="6"/>
        <v xml:space="preserve">Concrete - 20 MPa, &gt;50% SCM mix / NRMCA / US Avg / </v>
      </c>
      <c r="B102" s="50" t="s">
        <v>1346</v>
      </c>
      <c r="C102" s="50" t="s">
        <v>1338</v>
      </c>
      <c r="D102" s="50" t="s">
        <v>1348</v>
      </c>
      <c r="H102" s="50" t="s">
        <v>1347</v>
      </c>
      <c r="I102" s="50" t="s">
        <v>129</v>
      </c>
      <c r="J102" s="227">
        <v>44231</v>
      </c>
      <c r="K102" s="50">
        <v>214.8</v>
      </c>
      <c r="L102" s="50" t="s">
        <v>3</v>
      </c>
      <c r="M102" s="71">
        <f t="shared" si="8"/>
        <v>214.8</v>
      </c>
      <c r="N102" s="50" t="s">
        <v>3</v>
      </c>
      <c r="O102" s="50" t="s">
        <v>290</v>
      </c>
      <c r="P102" s="50" t="s">
        <v>158</v>
      </c>
      <c r="Q102" s="172">
        <v>2024</v>
      </c>
      <c r="R102" s="166">
        <v>2305</v>
      </c>
      <c r="S102" s="166" t="s">
        <v>121</v>
      </c>
      <c r="T102" s="166"/>
      <c r="U102" s="166"/>
      <c r="V102" s="166"/>
      <c r="W102" s="166"/>
      <c r="X102" s="166"/>
      <c r="Y102" s="50">
        <v>0</v>
      </c>
      <c r="Z102" s="50"/>
      <c r="AA102" s="78">
        <f t="shared" si="7"/>
        <v>0</v>
      </c>
      <c r="AB102" s="50"/>
      <c r="AC102" s="50"/>
      <c r="AD102" s="50"/>
      <c r="AE102" s="50"/>
      <c r="AF102" s="50"/>
      <c r="AG102" s="81"/>
      <c r="AH102" s="50"/>
      <c r="AI102" s="167"/>
      <c r="AJ102" s="167"/>
      <c r="AK102" s="167"/>
      <c r="AL102" s="50"/>
      <c r="AN102" s="53">
        <v>79</v>
      </c>
      <c r="AO102" s="53" t="s">
        <v>3754</v>
      </c>
      <c r="AP102" s="53">
        <v>5</v>
      </c>
      <c r="AR102" s="264" t="str">
        <f ca="1">IF(LEN(Q102)=4,IF(Q102&lt;YEAR(NOW()),_xlfn.CONCAT(IF(LOWER(Setting!rng_language)="english","Expired ","Expiré "),Q102),""),"")</f>
        <v>Expired 2024</v>
      </c>
      <c r="AT102" s="53" t="b">
        <f>ISNUMBER(MATCH(IF(LEN('USER INPUT SHEET'!rng_province)&gt;0,'USER INPUT SHEET'!rng_province,"Canada"),$AU102:$BD102,0))</f>
        <v>0</v>
      </c>
      <c r="AU102" s="1286"/>
      <c r="AV102" s="1286"/>
      <c r="AW102" s="1286"/>
      <c r="AX102" s="1286"/>
      <c r="AY102" s="1286"/>
      <c r="AZ102" s="1286"/>
      <c r="BA102" s="1286"/>
      <c r="BB102" s="1286"/>
      <c r="BC102" s="1286"/>
      <c r="BD102" s="1286"/>
    </row>
    <row r="103" spans="1:56" ht="15.75" customHeight="1" x14ac:dyDescent="0.3">
      <c r="A103" s="51" t="str">
        <f t="shared" ref="A103:A216" si="9">B103&amp;" / "&amp;C103&amp;" / "&amp;D103&amp;" / "&amp;E103</f>
        <v>(ARCHIVED 2025) Cork board insulation / Amorim / Isolamentos / R4/inch</v>
      </c>
      <c r="B103" s="51" t="s">
        <v>4156</v>
      </c>
      <c r="C103" s="51" t="s">
        <v>305</v>
      </c>
      <c r="D103" s="51" t="s">
        <v>299</v>
      </c>
      <c r="E103" s="51" t="s">
        <v>300</v>
      </c>
      <c r="F103" s="49"/>
      <c r="G103" s="49"/>
      <c r="H103" s="51"/>
      <c r="I103" s="51" t="s">
        <v>120</v>
      </c>
      <c r="J103" s="51"/>
      <c r="K103" s="51">
        <v>-198</v>
      </c>
      <c r="L103" s="51" t="s">
        <v>3</v>
      </c>
      <c r="M103" s="68">
        <f>((K103*W103)--(R103*W103*Z103*44/12))</f>
        <v>2.9758666666666684</v>
      </c>
      <c r="N103" s="51" t="s">
        <v>825</v>
      </c>
      <c r="O103" s="51" t="s">
        <v>301</v>
      </c>
      <c r="P103" s="51" t="s">
        <v>302</v>
      </c>
      <c r="Q103" s="368">
        <v>2021</v>
      </c>
      <c r="R103" s="49">
        <v>115</v>
      </c>
      <c r="S103" s="49" t="s">
        <v>121</v>
      </c>
      <c r="T103" s="49"/>
      <c r="U103" s="49"/>
      <c r="V103" s="49"/>
      <c r="W103" s="49">
        <v>0.04</v>
      </c>
      <c r="X103" s="49" t="s">
        <v>136</v>
      </c>
      <c r="Y103" s="49">
        <v>1</v>
      </c>
      <c r="Z103" s="164">
        <v>0.64600000000000002</v>
      </c>
      <c r="AA103" s="79">
        <f>(AF103*W103)*rng_biogenic_storage</f>
        <v>9.806280000000001</v>
      </c>
      <c r="AB103" s="49" t="s">
        <v>133</v>
      </c>
      <c r="AC103" s="49"/>
      <c r="AD103" s="49"/>
      <c r="AE103" s="49"/>
      <c r="AF103" s="52">
        <f>R103*Y103*Z103*44/12</f>
        <v>272.3966666666667</v>
      </c>
      <c r="AG103" s="79"/>
      <c r="AH103" s="52"/>
      <c r="AI103" s="171"/>
      <c r="AJ103" s="171"/>
      <c r="AK103" s="171"/>
      <c r="AL103" s="49"/>
      <c r="AN103" s="53">
        <v>80</v>
      </c>
      <c r="AR103" s="264" t="str">
        <f ca="1">IF(LEN(Q103)=4,IF(Q103&lt;YEAR(NOW()),_xlfn.CONCAT(IF(LOWER(Setting!rng_language)="english","Expired ","Expiré "),Q103),""),"")</f>
        <v>Expired 2021</v>
      </c>
      <c r="AT103" s="53" t="b">
        <f>ISNUMBER(MATCH(IF(LEN('USER INPUT SHEET'!rng_province)&gt;0,'USER INPUT SHEET'!rng_province,"Canada"),$AU103:$BD103,0))</f>
        <v>0</v>
      </c>
      <c r="AU103" s="1286"/>
      <c r="AV103" s="1286"/>
      <c r="AW103" s="1286"/>
      <c r="AX103" s="1286"/>
      <c r="AY103" s="1286"/>
      <c r="AZ103" s="1286"/>
      <c r="BA103" s="1286"/>
      <c r="BB103" s="1286"/>
      <c r="BC103" s="1286"/>
      <c r="BD103" s="1286"/>
    </row>
    <row r="104" spans="1:56" ht="15.75" customHeight="1" x14ac:dyDescent="0.3">
      <c r="A104" s="55" t="str">
        <f t="shared" si="9"/>
        <v>Cork board insulation / Amorim  / Expanded Insulation Corkboard (ICB) / R3.6-inch, 115 kg/m3</v>
      </c>
      <c r="B104" s="55" t="s">
        <v>1271</v>
      </c>
      <c r="C104" s="55" t="s">
        <v>298</v>
      </c>
      <c r="D104" s="55" t="s">
        <v>4157</v>
      </c>
      <c r="E104" s="55" t="s">
        <v>4158</v>
      </c>
      <c r="F104" s="52"/>
      <c r="G104" s="52"/>
      <c r="H104" s="55"/>
      <c r="I104" s="55" t="s">
        <v>120</v>
      </c>
      <c r="J104" s="401">
        <v>45328</v>
      </c>
      <c r="K104" s="55">
        <v>82.8</v>
      </c>
      <c r="L104" s="55" t="s">
        <v>3</v>
      </c>
      <c r="M104" s="67">
        <v>3.3119999999999998</v>
      </c>
      <c r="N104" s="55" t="s">
        <v>3516</v>
      </c>
      <c r="O104" s="55" t="s">
        <v>4159</v>
      </c>
      <c r="P104" s="55" t="s">
        <v>4160</v>
      </c>
      <c r="Q104" s="366">
        <v>2028</v>
      </c>
      <c r="R104" s="52">
        <v>115</v>
      </c>
      <c r="S104" s="52" t="s">
        <v>121</v>
      </c>
      <c r="T104" s="52">
        <v>4.5999999999999996</v>
      </c>
      <c r="U104" s="52" t="s">
        <v>4161</v>
      </c>
      <c r="V104" s="52">
        <v>3.6055299999999999</v>
      </c>
      <c r="W104" s="52">
        <v>0.04</v>
      </c>
      <c r="X104" s="52" t="s">
        <v>136</v>
      </c>
      <c r="Y104" s="52">
        <v>1</v>
      </c>
      <c r="Z104" s="161">
        <v>0.64600000000000002</v>
      </c>
      <c r="AA104" s="78">
        <f>(AF104*W104)*rng_biogenic_storage</f>
        <v>9.806280000000001</v>
      </c>
      <c r="AB104" s="52" t="s">
        <v>4162</v>
      </c>
      <c r="AC104" s="52"/>
      <c r="AD104" s="52">
        <v>8.48</v>
      </c>
      <c r="AE104" s="52"/>
      <c r="AF104" s="52">
        <f>R104*Y104*Z104*44/12</f>
        <v>272.3966666666667</v>
      </c>
      <c r="AG104" s="78"/>
      <c r="AH104" s="52">
        <v>8.48</v>
      </c>
      <c r="AI104" s="163"/>
      <c r="AJ104" s="163"/>
      <c r="AK104" s="163"/>
      <c r="AL104" s="52"/>
      <c r="AN104" s="53" t="s">
        <v>2139</v>
      </c>
      <c r="AT104" s="53" t="b">
        <f>ISNUMBER(MATCH(IF(LEN('USER INPUT SHEET'!rng_province)&gt;0,'USER INPUT SHEET'!rng_province,"Canada"),$AU104:$BD104,0))</f>
        <v>0</v>
      </c>
      <c r="AU104" s="1286"/>
      <c r="AV104" s="1286"/>
      <c r="AW104" s="1286"/>
      <c r="AX104" s="1286"/>
      <c r="AY104" s="1286"/>
      <c r="AZ104" s="1286"/>
      <c r="BA104" s="1286"/>
      <c r="BB104" s="1286"/>
      <c r="BC104" s="1286"/>
      <c r="BD104" s="1286"/>
    </row>
    <row r="105" spans="1:56" ht="15.75" customHeight="1" x14ac:dyDescent="0.3">
      <c r="A105" s="51" t="str">
        <f t="shared" si="9"/>
        <v>(ARCHIVED 2025) Cork flooring / Amorim / Revestimentos S.A. / Cork floating floor planks</v>
      </c>
      <c r="B105" s="51" t="s">
        <v>4163</v>
      </c>
      <c r="C105" s="51" t="s">
        <v>305</v>
      </c>
      <c r="D105" s="51" t="s">
        <v>3300</v>
      </c>
      <c r="E105" s="51" t="s">
        <v>306</v>
      </c>
      <c r="F105" s="49"/>
      <c r="G105" s="49"/>
      <c r="H105" s="51"/>
      <c r="I105" s="51" t="s">
        <v>120</v>
      </c>
      <c r="J105" s="51"/>
      <c r="K105" s="51">
        <v>9.34</v>
      </c>
      <c r="L105" s="51" t="s">
        <v>5</v>
      </c>
      <c r="M105" s="71">
        <f>(9.34)</f>
        <v>9.34</v>
      </c>
      <c r="N105" s="51" t="s">
        <v>5</v>
      </c>
      <c r="O105" s="51" t="s">
        <v>307</v>
      </c>
      <c r="P105" s="49" t="s">
        <v>122</v>
      </c>
      <c r="Q105" s="368">
        <v>2021</v>
      </c>
      <c r="R105" s="49">
        <v>8.4</v>
      </c>
      <c r="S105" s="49" t="s">
        <v>141</v>
      </c>
      <c r="T105" s="49"/>
      <c r="U105" s="49"/>
      <c r="V105" s="49"/>
      <c r="W105" s="49"/>
      <c r="X105" s="49"/>
      <c r="Y105" s="49">
        <v>0.31</v>
      </c>
      <c r="Z105" s="164">
        <v>0.55000000000000004</v>
      </c>
      <c r="AA105" s="82">
        <f>(AF105)*rng_biogenic_storage</f>
        <v>4.7262600000000008</v>
      </c>
      <c r="AB105" s="49" t="s">
        <v>5</v>
      </c>
      <c r="AC105" s="49"/>
      <c r="AD105" s="49"/>
      <c r="AE105" s="49"/>
      <c r="AF105" s="52">
        <f>R105*Y105*Z105*44/12</f>
        <v>5.2514000000000003</v>
      </c>
      <c r="AG105" s="82"/>
      <c r="AH105" s="52"/>
      <c r="AI105" s="171">
        <v>6.0000000000000001E-3</v>
      </c>
      <c r="AJ105" s="171">
        <v>1.2250000000000001</v>
      </c>
      <c r="AK105" s="171">
        <v>0.14499999999999999</v>
      </c>
      <c r="AL105" s="49"/>
      <c r="AN105" s="53">
        <v>81</v>
      </c>
      <c r="AR105" s="264" t="str">
        <f ca="1">IF(LEN(Q105)=4,IF(Q105&lt;YEAR(NOW()),_xlfn.CONCAT(IF(LOWER(Setting!rng_language)="english","Expired ","Expiré "),Q105),""),"")</f>
        <v>Expired 2021</v>
      </c>
      <c r="AT105" s="53" t="b">
        <f>ISNUMBER(MATCH(IF(LEN('USER INPUT SHEET'!rng_province)&gt;0,'USER INPUT SHEET'!rng_province,"Canada"),$AU105:$BD105,0))</f>
        <v>0</v>
      </c>
      <c r="AU105" s="1286"/>
      <c r="AV105" s="1286"/>
      <c r="AW105" s="1286"/>
      <c r="AX105" s="1286"/>
      <c r="AY105" s="1286"/>
      <c r="AZ105" s="1286"/>
      <c r="BA105" s="1286"/>
      <c r="BB105" s="1286"/>
      <c r="BC105" s="1286"/>
      <c r="BD105" s="1286"/>
    </row>
    <row r="106" spans="1:56" ht="15.75" customHeight="1" x14ac:dyDescent="0.3">
      <c r="A106" s="51" t="str">
        <f t="shared" si="9"/>
        <v>Cork flooring / European Resilient Flooring Manufacturers' Institute / Includes: Altro, Amorim, Amtico, Artigo, Aspecta, BeauFlor, Dickson, Mflor, Forbo, Gerflor, IVC, Nora, Polyflor, Tarkett, Kahrs, Windmoller / Cork floor tiles</v>
      </c>
      <c r="B106" s="51" t="s">
        <v>304</v>
      </c>
      <c r="C106" s="51" t="s">
        <v>308</v>
      </c>
      <c r="D106" s="51" t="s">
        <v>309</v>
      </c>
      <c r="E106" s="51" t="s">
        <v>310</v>
      </c>
      <c r="F106" s="49"/>
      <c r="G106" s="49"/>
      <c r="H106" s="51"/>
      <c r="I106" s="51" t="s">
        <v>120</v>
      </c>
      <c r="J106" s="51"/>
      <c r="K106" s="51">
        <v>-2.74</v>
      </c>
      <c r="L106" s="51" t="s">
        <v>5</v>
      </c>
      <c r="M106" s="71">
        <f>(K106--R106*Y106*Z106*3.67)</f>
        <v>0.77219000000000015</v>
      </c>
      <c r="N106" s="51" t="s">
        <v>5</v>
      </c>
      <c r="O106" s="51" t="s">
        <v>311</v>
      </c>
      <c r="P106" s="49" t="s">
        <v>122</v>
      </c>
      <c r="Q106" s="368">
        <v>2024</v>
      </c>
      <c r="R106" s="49">
        <v>2</v>
      </c>
      <c r="S106" s="49" t="s">
        <v>141</v>
      </c>
      <c r="T106" s="49"/>
      <c r="U106" s="49"/>
      <c r="V106" s="49"/>
      <c r="W106" s="49"/>
      <c r="X106" s="49"/>
      <c r="Y106" s="49">
        <v>0.87</v>
      </c>
      <c r="Z106" s="164">
        <v>0.55000000000000004</v>
      </c>
      <c r="AA106" s="82">
        <f>(AF106)*rng_biogenic_storage</f>
        <v>3.1581000000000006</v>
      </c>
      <c r="AB106" s="49" t="s">
        <v>5</v>
      </c>
      <c r="AC106" s="49"/>
      <c r="AD106" s="49"/>
      <c r="AE106" s="49"/>
      <c r="AF106" s="52">
        <f>R106*Y106*Z106*44/12</f>
        <v>3.5090000000000003</v>
      </c>
      <c r="AG106" s="82"/>
      <c r="AH106" s="52"/>
      <c r="AI106" s="171">
        <v>4.0000000000000001E-3</v>
      </c>
      <c r="AJ106" s="171"/>
      <c r="AK106" s="171"/>
      <c r="AL106" s="49"/>
      <c r="AN106" s="53">
        <v>82</v>
      </c>
      <c r="AR106" s="264" t="str">
        <f ca="1">IF(LEN(Q106)=4,IF(Q106&lt;YEAR(NOW()),_xlfn.CONCAT(IF(LOWER(Setting!rng_language)="english","Expired ","Expiré "),Q106),""),"")</f>
        <v>Expired 2024</v>
      </c>
      <c r="AT106" s="53" t="b">
        <f>ISNUMBER(MATCH(IF(LEN('USER INPUT SHEET'!rng_province)&gt;0,'USER INPUT SHEET'!rng_province,"Canada"),$AU106:$BD106,0))</f>
        <v>0</v>
      </c>
      <c r="AU106" s="1286"/>
      <c r="AV106" s="1286"/>
      <c r="AW106" s="1286"/>
      <c r="AX106" s="1286"/>
      <c r="AY106" s="1286"/>
      <c r="AZ106" s="1286"/>
      <c r="BA106" s="1286"/>
      <c r="BB106" s="1286"/>
      <c r="BC106" s="1286"/>
      <c r="BD106" s="1286"/>
    </row>
    <row r="107" spans="1:56" ht="15.75" customHeight="1" x14ac:dyDescent="0.3">
      <c r="A107" s="50" t="str">
        <f t="shared" si="9"/>
        <v>(ARCHIVED 2025) Cross Laminated Timber / Nordic / X-Lam / 3-1/2" (90mm) thick</v>
      </c>
      <c r="B107" s="50" t="s">
        <v>4164</v>
      </c>
      <c r="C107" s="50" t="s">
        <v>3307</v>
      </c>
      <c r="D107" s="50" t="s">
        <v>313</v>
      </c>
      <c r="E107" s="50" t="s">
        <v>314</v>
      </c>
      <c r="H107" s="50" t="s">
        <v>1379</v>
      </c>
      <c r="I107" s="50" t="s">
        <v>138</v>
      </c>
      <c r="J107" s="50"/>
      <c r="K107" s="50">
        <v>121.89</v>
      </c>
      <c r="L107" s="50" t="s">
        <v>3</v>
      </c>
      <c r="M107" s="71">
        <f>(K107*T107)</f>
        <v>10.9701</v>
      </c>
      <c r="N107" s="50" t="s">
        <v>830</v>
      </c>
      <c r="O107" s="50" t="s">
        <v>315</v>
      </c>
      <c r="P107" s="53" t="s">
        <v>195</v>
      </c>
      <c r="Q107" s="367">
        <v>2023</v>
      </c>
      <c r="R107" s="53">
        <v>410.46</v>
      </c>
      <c r="S107" s="53" t="s">
        <v>121</v>
      </c>
      <c r="T107" s="53">
        <v>0.09</v>
      </c>
      <c r="U107" s="53" t="s">
        <v>316</v>
      </c>
      <c r="Y107" s="53">
        <v>0.98899999999999999</v>
      </c>
      <c r="Z107" s="53">
        <v>0.5</v>
      </c>
      <c r="AA107" s="78">
        <f t="shared" ref="AA107:AA114" si="10">_xlfn.NUMBERVALUE(IF(LEN(AG107)&gt;0,AG107,0))</f>
        <v>60.337626156900001</v>
      </c>
      <c r="AB107" s="50" t="s">
        <v>830</v>
      </c>
      <c r="AC107" s="53">
        <v>0.82499999999999996</v>
      </c>
      <c r="AD107" s="53">
        <f>R107*T107*Y107*Z107</f>
        <v>18.267522299999996</v>
      </c>
      <c r="AG107" s="82">
        <f>(AD107*3.67)*rng_biogenic_storage</f>
        <v>60.337626156899987</v>
      </c>
      <c r="AN107" s="53">
        <v>83</v>
      </c>
      <c r="AR107" s="264" t="str">
        <f ca="1">IF(LEN(Q107)=4,IF(Q107&lt;YEAR(NOW()),_xlfn.CONCAT(IF(LOWER(Setting!rng_language)="english","Expired ","Expiré "),Q107),""),"")</f>
        <v>Expired 2023</v>
      </c>
      <c r="AT107" s="53" t="b">
        <f>ISNUMBER(MATCH(IF(LEN('USER INPUT SHEET'!rng_province)&gt;0,'USER INPUT SHEET'!rng_province,"Canada"),$AU107:$BD107,0))</f>
        <v>0</v>
      </c>
      <c r="AU107" s="1286"/>
      <c r="AV107" s="1286"/>
      <c r="AW107" s="1286"/>
      <c r="AX107" s="1286"/>
      <c r="AY107" s="1286"/>
      <c r="AZ107" s="1286"/>
      <c r="BA107" s="1286"/>
      <c r="BB107" s="1286"/>
      <c r="BC107" s="1286"/>
      <c r="BD107" s="1286"/>
    </row>
    <row r="108" spans="1:56" ht="15.75" customHeight="1" x14ac:dyDescent="0.3">
      <c r="A108" s="50" t="str">
        <f t="shared" si="9"/>
        <v>Cross Laminated Timber (CLT) / Nordic  / X-Lam / 3-1/2" (90mm) thick</v>
      </c>
      <c r="B108" s="50" t="s">
        <v>4165</v>
      </c>
      <c r="C108" s="50" t="s">
        <v>312</v>
      </c>
      <c r="D108" s="50" t="s">
        <v>313</v>
      </c>
      <c r="E108" s="50" t="s">
        <v>314</v>
      </c>
      <c r="H108" s="50"/>
      <c r="I108" s="50" t="s">
        <v>138</v>
      </c>
      <c r="J108" s="401">
        <v>45328</v>
      </c>
      <c r="K108" s="50">
        <v>69.959999999999994</v>
      </c>
      <c r="L108" s="50" t="s">
        <v>3</v>
      </c>
      <c r="M108" s="70">
        <v>6.2192194861765477</v>
      </c>
      <c r="N108" s="50" t="s">
        <v>830</v>
      </c>
      <c r="O108" s="50" t="s">
        <v>4166</v>
      </c>
      <c r="P108" s="53" t="s">
        <v>268</v>
      </c>
      <c r="Q108" s="367">
        <v>2028</v>
      </c>
      <c r="R108" s="53">
        <v>456</v>
      </c>
      <c r="S108" s="53" t="s">
        <v>121</v>
      </c>
      <c r="T108" s="53">
        <v>0.09</v>
      </c>
      <c r="U108" s="53" t="s">
        <v>316</v>
      </c>
      <c r="Y108" s="53">
        <v>0.98970000000000002</v>
      </c>
      <c r="Z108" s="53">
        <v>0.5</v>
      </c>
      <c r="AA108" s="78">
        <f t="shared" si="10"/>
        <v>67.079451132000003</v>
      </c>
      <c r="AB108" s="50"/>
      <c r="AD108" s="53">
        <f>R108*T108*Y108*Z108</f>
        <v>20.308644000000001</v>
      </c>
      <c r="AF108" s="53">
        <v>74.532723480000001</v>
      </c>
      <c r="AG108" s="81">
        <f>(AD108*3.67)*rng_biogenic_storage</f>
        <v>67.079451132000003</v>
      </c>
      <c r="AH108" s="53" t="s">
        <v>4167</v>
      </c>
      <c r="AN108" s="53" t="s">
        <v>2205</v>
      </c>
      <c r="AT108" s="53" t="b">
        <f>ISNUMBER(MATCH(IF(LEN('USER INPUT SHEET'!rng_province)&gt;0,'USER INPUT SHEET'!rng_province,"Canada"),$AU108:$BD108,0))</f>
        <v>0</v>
      </c>
      <c r="AU108" s="1286"/>
      <c r="AV108" s="1286"/>
      <c r="AW108" s="1286"/>
      <c r="AX108" s="1286"/>
      <c r="AY108" s="1286"/>
      <c r="AZ108" s="1286"/>
      <c r="BA108" s="1286"/>
      <c r="BB108" s="1286"/>
      <c r="BC108" s="1286"/>
      <c r="BD108" s="1286"/>
    </row>
    <row r="109" spans="1:56" ht="15.75" customHeight="1" x14ac:dyDescent="0.3">
      <c r="A109" s="50" t="str">
        <f t="shared" si="9"/>
        <v>Cross Laminated Timber (CLT) / Element5 / Crosslam CLT / 3-1/2" (90mm) thick</v>
      </c>
      <c r="B109" s="50" t="s">
        <v>4165</v>
      </c>
      <c r="C109" s="50" t="s">
        <v>4168</v>
      </c>
      <c r="D109" s="50" t="s">
        <v>4169</v>
      </c>
      <c r="E109" s="50" t="s">
        <v>314</v>
      </c>
      <c r="H109" s="50"/>
      <c r="I109" s="50" t="s">
        <v>3545</v>
      </c>
      <c r="J109" s="401">
        <v>45324</v>
      </c>
      <c r="K109" s="50">
        <v>122</v>
      </c>
      <c r="L109" s="50" t="s">
        <v>3</v>
      </c>
      <c r="M109" s="70">
        <v>10.844444444444445</v>
      </c>
      <c r="N109" s="50" t="s">
        <v>830</v>
      </c>
      <c r="O109" s="50" t="s">
        <v>4170</v>
      </c>
      <c r="P109" s="53" t="s">
        <v>137</v>
      </c>
      <c r="Q109" s="367">
        <v>2027</v>
      </c>
      <c r="R109" s="53">
        <v>448</v>
      </c>
      <c r="S109" s="53" t="s">
        <v>121</v>
      </c>
      <c r="T109" s="53">
        <v>0.09</v>
      </c>
      <c r="U109" s="53" t="s">
        <v>316</v>
      </c>
      <c r="X109" s="53">
        <v>865.9</v>
      </c>
      <c r="AA109" s="78">
        <f t="shared" si="10"/>
        <v>70.137900000000002</v>
      </c>
      <c r="AB109" s="50"/>
      <c r="AD109" s="53">
        <f t="shared" ref="AD109:AD112" si="11">R109*T109*Y109*Z109</f>
        <v>0</v>
      </c>
      <c r="AG109" s="81">
        <f>(X109*T109)*rng_biogenic_storage</f>
        <v>70.137900000000002</v>
      </c>
      <c r="AH109" s="53" t="s">
        <v>4167</v>
      </c>
      <c r="AK109" s="165">
        <v>8.8900000000000007E-2</v>
      </c>
      <c r="AN109" s="53" t="s">
        <v>2370</v>
      </c>
      <c r="AT109" s="53" t="b">
        <f>ISNUMBER(MATCH(IF(LEN('USER INPUT SHEET'!rng_province)&gt;0,'USER INPUT SHEET'!rng_province,"Canada"),$AU109:$BD109,0))</f>
        <v>0</v>
      </c>
      <c r="AU109" s="1286"/>
      <c r="AV109" s="1286"/>
      <c r="AW109" s="1286"/>
      <c r="AX109" s="1286"/>
      <c r="AY109" s="1286"/>
      <c r="AZ109" s="1286"/>
      <c r="BA109" s="1286"/>
      <c r="BB109" s="1286"/>
      <c r="BC109" s="1286"/>
      <c r="BD109" s="1286"/>
    </row>
    <row r="110" spans="1:56" ht="15.75" customHeight="1" x14ac:dyDescent="0.3">
      <c r="A110" s="50" t="str">
        <f t="shared" si="9"/>
        <v>Cross Laminated Timber (CLT) / Kalesnikoff Lumber Co. /  / 3-1/2" (90mm) thick</v>
      </c>
      <c r="B110" s="50" t="s">
        <v>4165</v>
      </c>
      <c r="C110" s="50" t="s">
        <v>4171</v>
      </c>
      <c r="D110" s="50"/>
      <c r="E110" s="50" t="s">
        <v>314</v>
      </c>
      <c r="H110" s="50"/>
      <c r="I110" s="50" t="s">
        <v>3545</v>
      </c>
      <c r="J110" s="401">
        <v>45311</v>
      </c>
      <c r="K110" s="50">
        <v>124.5</v>
      </c>
      <c r="L110" s="50" t="s">
        <v>3</v>
      </c>
      <c r="M110" s="70">
        <v>11.07</v>
      </c>
      <c r="N110" s="50" t="s">
        <v>830</v>
      </c>
      <c r="O110" s="50" t="s">
        <v>4172</v>
      </c>
      <c r="P110" s="53" t="s">
        <v>3518</v>
      </c>
      <c r="Q110" s="401">
        <v>46462</v>
      </c>
      <c r="R110" s="53">
        <v>446</v>
      </c>
      <c r="S110" s="53" t="s">
        <v>121</v>
      </c>
      <c r="T110" s="53">
        <v>0.09</v>
      </c>
      <c r="U110" s="53" t="s">
        <v>316</v>
      </c>
      <c r="X110" s="53">
        <v>1045.6300000000001</v>
      </c>
      <c r="AA110" s="78">
        <f t="shared" si="10"/>
        <v>84.696029999999993</v>
      </c>
      <c r="AB110" s="50"/>
      <c r="AD110" s="53">
        <f t="shared" si="11"/>
        <v>0</v>
      </c>
      <c r="AG110" s="81">
        <f>(X110*T110)*rng_biogenic_storage</f>
        <v>84.696030000000007</v>
      </c>
      <c r="AH110" s="53" t="s">
        <v>4167</v>
      </c>
      <c r="AK110" s="165">
        <v>8.8900000000000007E-2</v>
      </c>
      <c r="AN110" s="53" t="s">
        <v>2234</v>
      </c>
      <c r="AT110" s="53" t="b">
        <f>ISNUMBER(MATCH(IF(LEN('USER INPUT SHEET'!rng_province)&gt;0,'USER INPUT SHEET'!rng_province,"Canada"),$AU110:$BD110,0))</f>
        <v>0</v>
      </c>
      <c r="AU110" s="1286"/>
      <c r="AV110" s="1286"/>
      <c r="AW110" s="1286"/>
      <c r="AX110" s="1286"/>
      <c r="AY110" s="1286"/>
      <c r="AZ110" s="1286"/>
      <c r="BA110" s="1286"/>
      <c r="BB110" s="1286"/>
      <c r="BC110" s="1286"/>
      <c r="BD110" s="1286"/>
    </row>
    <row r="111" spans="1:56" ht="15.75" customHeight="1" x14ac:dyDescent="0.3">
      <c r="A111" s="50" t="str">
        <f t="shared" si="9"/>
        <v>Cross Laminated Timber (CLT) / Nordic  / Nordic Lam / 3-1/2" (90mm) thick</v>
      </c>
      <c r="B111" s="50" t="s">
        <v>4165</v>
      </c>
      <c r="C111" s="50" t="s">
        <v>312</v>
      </c>
      <c r="D111" s="50" t="s">
        <v>4173</v>
      </c>
      <c r="E111" s="50" t="s">
        <v>314</v>
      </c>
      <c r="H111" s="50"/>
      <c r="I111" s="50" t="s">
        <v>138</v>
      </c>
      <c r="J111" s="401">
        <v>45328</v>
      </c>
      <c r="K111" s="50">
        <v>136.34</v>
      </c>
      <c r="L111" s="50" t="s">
        <v>3</v>
      </c>
      <c r="M111" s="70">
        <v>12.12018846119655</v>
      </c>
      <c r="N111" s="50" t="s">
        <v>830</v>
      </c>
      <c r="O111" s="50" t="s">
        <v>4174</v>
      </c>
      <c r="P111" s="53" t="s">
        <v>268</v>
      </c>
      <c r="Q111" s="367">
        <v>2028</v>
      </c>
      <c r="R111" s="53">
        <v>486</v>
      </c>
      <c r="S111" s="53" t="s">
        <v>121</v>
      </c>
      <c r="T111" s="53">
        <v>0.09</v>
      </c>
      <c r="U111" s="53" t="s">
        <v>316</v>
      </c>
      <c r="Y111" s="53">
        <v>0.96699999999999997</v>
      </c>
      <c r="Z111" s="53">
        <v>0.5</v>
      </c>
      <c r="AA111" s="78">
        <f t="shared" si="10"/>
        <v>69.852801869999993</v>
      </c>
      <c r="AB111" s="50"/>
      <c r="AD111" s="53">
        <f t="shared" si="11"/>
        <v>21.148289999999996</v>
      </c>
      <c r="AF111" s="53">
        <v>77.614224299999989</v>
      </c>
      <c r="AG111" s="81">
        <f>(AD111*3.67)*rng_biogenic_storage</f>
        <v>69.852801869999993</v>
      </c>
      <c r="AH111" s="53" t="s">
        <v>4167</v>
      </c>
      <c r="AN111" s="53" t="s">
        <v>2207</v>
      </c>
      <c r="AT111" s="53" t="b">
        <f>ISNUMBER(MATCH(IF(LEN('USER INPUT SHEET'!rng_province)&gt;0,'USER INPUT SHEET'!rng_province,"Canada"),$AU111:$BD111,0))</f>
        <v>0</v>
      </c>
      <c r="AU111" s="1286"/>
      <c r="AV111" s="1286"/>
      <c r="AW111" s="1286"/>
      <c r="AX111" s="1286"/>
      <c r="AY111" s="1286"/>
      <c r="AZ111" s="1286"/>
      <c r="BA111" s="1286"/>
      <c r="BB111" s="1286"/>
      <c r="BC111" s="1286"/>
      <c r="BD111" s="1286"/>
    </row>
    <row r="112" spans="1:56" ht="15.75" customHeight="1" x14ac:dyDescent="0.3">
      <c r="A112" s="50" t="str">
        <f t="shared" si="9"/>
        <v>Cross Laminated Timber (CLT) / Vaagen Timbers / Crosslam CLT / 3-1/2" (90mm) thick</v>
      </c>
      <c r="B112" s="50" t="s">
        <v>4165</v>
      </c>
      <c r="C112" s="50" t="s">
        <v>4175</v>
      </c>
      <c r="D112" s="50" t="s">
        <v>4169</v>
      </c>
      <c r="E112" s="50" t="s">
        <v>314</v>
      </c>
      <c r="H112" s="50"/>
      <c r="I112" s="50" t="s">
        <v>3500</v>
      </c>
      <c r="J112" s="401">
        <v>45324</v>
      </c>
      <c r="K112" s="50">
        <v>136.11000000000001</v>
      </c>
      <c r="L112" s="50" t="s">
        <v>3</v>
      </c>
      <c r="M112" s="70">
        <v>12.098666666666668</v>
      </c>
      <c r="N112" s="50" t="s">
        <v>830</v>
      </c>
      <c r="O112" s="50" t="s">
        <v>4176</v>
      </c>
      <c r="P112" s="53" t="s">
        <v>137</v>
      </c>
      <c r="Q112" s="367">
        <v>2026</v>
      </c>
      <c r="R112" s="53">
        <v>442.5</v>
      </c>
      <c r="S112" s="53" t="s">
        <v>121</v>
      </c>
      <c r="T112" s="53">
        <v>0.09</v>
      </c>
      <c r="U112" s="53" t="s">
        <v>316</v>
      </c>
      <c r="X112" s="53">
        <v>850.23</v>
      </c>
      <c r="AA112" s="78">
        <f t="shared" si="10"/>
        <v>68.868629999999996</v>
      </c>
      <c r="AB112" s="50"/>
      <c r="AD112" s="53">
        <f t="shared" si="11"/>
        <v>0</v>
      </c>
      <c r="AG112" s="81">
        <f>(X112*T112)*rng_biogenic_storage</f>
        <v>68.86863000000001</v>
      </c>
      <c r="AH112" s="53" t="s">
        <v>4167</v>
      </c>
      <c r="AK112" s="165">
        <v>8.8900000000000007E-2</v>
      </c>
      <c r="AN112" s="53" t="s">
        <v>2276</v>
      </c>
      <c r="AT112" s="53" t="b">
        <f>ISNUMBER(MATCH(IF(LEN('USER INPUT SHEET'!rng_province)&gt;0,'USER INPUT SHEET'!rng_province,"Canada"),$AU112:$BD112,0))</f>
        <v>0</v>
      </c>
      <c r="AU112" s="1286"/>
      <c r="AV112" s="1286"/>
      <c r="AW112" s="1286"/>
      <c r="AX112" s="1286"/>
      <c r="AY112" s="1286"/>
      <c r="AZ112" s="1286"/>
      <c r="BA112" s="1286"/>
      <c r="BB112" s="1286"/>
      <c r="BC112" s="1286"/>
      <c r="BD112" s="1286"/>
    </row>
    <row r="113" spans="1:56" ht="15.75" customHeight="1" x14ac:dyDescent="0.3">
      <c r="A113" s="50" t="str">
        <f t="shared" si="9"/>
        <v>Cross Laminated Timber (CLT) / Structurlam / CrossLam / 3-1/2" (90mm) thick</v>
      </c>
      <c r="B113" s="50" t="s">
        <v>4165</v>
      </c>
      <c r="C113" s="50" t="s">
        <v>317</v>
      </c>
      <c r="D113" s="50" t="s">
        <v>318</v>
      </c>
      <c r="E113" s="50" t="s">
        <v>314</v>
      </c>
      <c r="H113" s="50" t="s">
        <v>1379</v>
      </c>
      <c r="I113" s="50" t="s">
        <v>138</v>
      </c>
      <c r="J113" s="50"/>
      <c r="K113" s="50">
        <v>124.02</v>
      </c>
      <c r="L113" s="50" t="s">
        <v>3</v>
      </c>
      <c r="M113" s="71">
        <f>(K113*T113)</f>
        <v>11.161799999999999</v>
      </c>
      <c r="N113" s="50" t="s">
        <v>830</v>
      </c>
      <c r="O113" s="53" t="s">
        <v>319</v>
      </c>
      <c r="P113" s="53" t="s">
        <v>137</v>
      </c>
      <c r="Q113" s="367">
        <v>2025</v>
      </c>
      <c r="R113" s="53">
        <v>481</v>
      </c>
      <c r="S113" s="53" t="s">
        <v>121</v>
      </c>
      <c r="T113" s="53">
        <v>0.09</v>
      </c>
      <c r="U113" s="53" t="s">
        <v>316</v>
      </c>
      <c r="Y113" s="53">
        <v>0.995</v>
      </c>
      <c r="Z113" s="53">
        <v>0.5</v>
      </c>
      <c r="AA113" s="78">
        <f t="shared" si="10"/>
        <v>71.135967824999994</v>
      </c>
      <c r="AB113" s="50" t="s">
        <v>830</v>
      </c>
      <c r="AC113" s="53">
        <v>0.82499999999999996</v>
      </c>
      <c r="AD113" s="53">
        <f>R113*T113*Y113*Z113</f>
        <v>21.536774999999999</v>
      </c>
      <c r="AG113" s="82">
        <f>(AD113*3.67)*rng_biogenic_storage</f>
        <v>71.135967824999994</v>
      </c>
      <c r="AH113" s="53" t="s">
        <v>830</v>
      </c>
      <c r="AN113" s="53">
        <v>84</v>
      </c>
      <c r="AR113" s="264" t="str">
        <f ca="1">IF(LEN(Q113)=4,IF(Q113&lt;YEAR(NOW()),_xlfn.CONCAT(IF(LOWER(Setting!rng_language)="english","Expired ","Expiré "),Q113),""),"")</f>
        <v>Expired 2025</v>
      </c>
      <c r="AT113" s="53" t="b">
        <f>ISNUMBER(MATCH(IF(LEN('USER INPUT SHEET'!rng_province)&gt;0,'USER INPUT SHEET'!rng_province,"Canada"),$AU113:$BD113,0))</f>
        <v>0</v>
      </c>
      <c r="AU113" s="1286"/>
      <c r="AV113" s="1286"/>
      <c r="AW113" s="1286"/>
      <c r="AX113" s="1286"/>
      <c r="AY113" s="1286"/>
      <c r="AZ113" s="1286"/>
      <c r="BA113" s="1286"/>
      <c r="BB113" s="1286"/>
      <c r="BC113" s="1286"/>
      <c r="BD113" s="1286"/>
    </row>
    <row r="114" spans="1:56" ht="15.75" customHeight="1" x14ac:dyDescent="0.3">
      <c r="A114" s="50" t="str">
        <f t="shared" si="9"/>
        <v>Dowel Laminated Timber / StructureCraft / DowelLam / 3-1/2" (90mm) thick</v>
      </c>
      <c r="B114" s="50" t="s">
        <v>320</v>
      </c>
      <c r="C114" s="50" t="s">
        <v>321</v>
      </c>
      <c r="D114" s="50" t="s">
        <v>322</v>
      </c>
      <c r="E114" s="50" t="s">
        <v>314</v>
      </c>
      <c r="H114" s="50" t="s">
        <v>1379</v>
      </c>
      <c r="I114" s="50" t="s">
        <v>138</v>
      </c>
      <c r="J114" s="50"/>
      <c r="K114" s="50">
        <v>121.4</v>
      </c>
      <c r="L114" s="50" t="s">
        <v>3</v>
      </c>
      <c r="M114" s="71">
        <f>(K114*T114)</f>
        <v>10.926</v>
      </c>
      <c r="N114" s="50" t="s">
        <v>830</v>
      </c>
      <c r="O114" s="53" t="s">
        <v>323</v>
      </c>
      <c r="P114" s="53" t="s">
        <v>137</v>
      </c>
      <c r="Q114" s="367">
        <v>2025</v>
      </c>
      <c r="R114" s="53">
        <v>449</v>
      </c>
      <c r="S114" s="53" t="s">
        <v>121</v>
      </c>
      <c r="T114" s="53">
        <v>0.09</v>
      </c>
      <c r="U114" s="53" t="s">
        <v>316</v>
      </c>
      <c r="W114" s="53">
        <v>924.01</v>
      </c>
      <c r="X114" s="53" t="s">
        <v>4786</v>
      </c>
      <c r="Y114" s="53">
        <v>0.99860000000000004</v>
      </c>
      <c r="Z114" s="53">
        <v>0.5</v>
      </c>
      <c r="AA114" s="78">
        <f t="shared" si="10"/>
        <v>74.844809999999995</v>
      </c>
      <c r="AB114" s="50" t="s">
        <v>830</v>
      </c>
      <c r="AC114" s="53">
        <v>0.82499999999999996</v>
      </c>
      <c r="AD114" s="53">
        <f>R114*T114*Y114*Z114</f>
        <v>20.176712999999999</v>
      </c>
      <c r="AG114" s="82">
        <f>(W114*T114)*rng_biogenic_storage</f>
        <v>74.844809999999995</v>
      </c>
      <c r="AH114" s="53" t="s">
        <v>830</v>
      </c>
      <c r="AN114" s="53">
        <v>85</v>
      </c>
      <c r="AR114" s="264" t="str">
        <f ca="1">IF(LEN(Q114)=4,IF(Q114&lt;YEAR(NOW()),_xlfn.CONCAT(IF(LOWER(Setting!rng_language)="english","Expired ","Expiré "),Q114),""),"")</f>
        <v>Expired 2025</v>
      </c>
      <c r="AT114" s="53" t="b">
        <f>ISNUMBER(MATCH(IF(LEN('USER INPUT SHEET'!rng_province)&gt;0,'USER INPUT SHEET'!rng_province,"Canada"),$AU114:$BD114,0))</f>
        <v>0</v>
      </c>
      <c r="AU114" s="1286"/>
      <c r="AV114" s="1286"/>
      <c r="AW114" s="1286"/>
      <c r="AX114" s="1286"/>
      <c r="AY114" s="1286"/>
      <c r="AZ114" s="1286"/>
      <c r="BA114" s="1286"/>
      <c r="BB114" s="1286"/>
      <c r="BC114" s="1286"/>
      <c r="BD114" s="1286"/>
    </row>
    <row r="115" spans="1:56" ht="15.75" customHeight="1" x14ac:dyDescent="0.3">
      <c r="A115" s="50" t="str">
        <f t="shared" si="9"/>
        <v>(ARCHIVED 2025) Drywall 1/2" / CertainTeed / AirRenew / 1/2" (12.7 mm)</v>
      </c>
      <c r="B115" s="50" t="s">
        <v>4178</v>
      </c>
      <c r="C115" s="50" t="s">
        <v>325</v>
      </c>
      <c r="D115" s="50" t="s">
        <v>326</v>
      </c>
      <c r="E115" s="50" t="s">
        <v>169</v>
      </c>
      <c r="H115" s="50"/>
      <c r="I115" s="50" t="s">
        <v>129</v>
      </c>
      <c r="J115" s="50"/>
      <c r="K115" s="50">
        <v>138</v>
      </c>
      <c r="L115" s="50" t="s">
        <v>846</v>
      </c>
      <c r="M115" s="71">
        <f t="shared" ref="M115:M120" si="12">(K115/92.9)</f>
        <v>1.4854682454251882</v>
      </c>
      <c r="N115" s="50" t="s">
        <v>5</v>
      </c>
      <c r="O115" s="50" t="s">
        <v>327</v>
      </c>
      <c r="P115" s="50" t="s">
        <v>143</v>
      </c>
      <c r="Q115" s="172">
        <v>2022</v>
      </c>
      <c r="R115" s="50">
        <v>7.3</v>
      </c>
      <c r="S115" s="50" t="s">
        <v>141</v>
      </c>
      <c r="T115" s="50"/>
      <c r="U115" s="50"/>
      <c r="V115" s="50"/>
      <c r="W115" s="50"/>
      <c r="X115" s="50"/>
      <c r="Y115" s="50"/>
      <c r="Z115" s="50"/>
      <c r="AA115" s="78">
        <f t="shared" ref="AA115:AA134" si="13">_xlfn.NUMBERVALUE(IF(LEN(AG115)&gt;0,AG115,0))</f>
        <v>0</v>
      </c>
      <c r="AB115" s="50"/>
      <c r="AC115" s="50"/>
      <c r="AD115" s="50"/>
      <c r="AE115" s="50"/>
      <c r="AF115" s="50"/>
      <c r="AG115" s="82"/>
      <c r="AH115" s="50"/>
      <c r="AI115" s="167"/>
      <c r="AJ115" s="167"/>
      <c r="AK115" s="167"/>
      <c r="AL115" s="50"/>
      <c r="AN115" s="53">
        <v>86</v>
      </c>
      <c r="AR115" s="264" t="str">
        <f ca="1">IF(LEN(Q115)=4,IF(Q115&lt;YEAR(NOW()),_xlfn.CONCAT(IF(LOWER(Setting!rng_language)="english","Expired ","Expiré "),Q115),""),"")</f>
        <v>Expired 2022</v>
      </c>
      <c r="AT115" s="53" t="b">
        <f>ISNUMBER(MATCH(IF(LEN('USER INPUT SHEET'!rng_province)&gt;0,'USER INPUT SHEET'!rng_province,"Canada"),$AU115:$BD115,0))</f>
        <v>0</v>
      </c>
      <c r="AU115" s="1286"/>
      <c r="AV115" s="1286"/>
      <c r="AW115" s="1286"/>
      <c r="AX115" s="1286"/>
      <c r="AY115" s="1286"/>
      <c r="AZ115" s="1286"/>
      <c r="BA115" s="1286"/>
      <c r="BB115" s="1286"/>
      <c r="BC115" s="1286"/>
      <c r="BD115" s="1286"/>
    </row>
    <row r="116" spans="1:56" ht="15.75" customHeight="1" x14ac:dyDescent="0.3">
      <c r="A116" s="50" t="str">
        <f t="shared" si="9"/>
        <v>(ARCHIVED 2025) Drywall 1/2" / CertainTeed / Easi-Lite / 1/2" (12.7 mm)</v>
      </c>
      <c r="B116" s="50" t="s">
        <v>4178</v>
      </c>
      <c r="C116" s="50" t="s">
        <v>325</v>
      </c>
      <c r="D116" s="50" t="s">
        <v>328</v>
      </c>
      <c r="E116" s="50" t="s">
        <v>169</v>
      </c>
      <c r="H116" s="50"/>
      <c r="I116" s="50" t="s">
        <v>138</v>
      </c>
      <c r="J116" s="50"/>
      <c r="K116" s="50">
        <v>142</v>
      </c>
      <c r="L116" s="50" t="s">
        <v>846</v>
      </c>
      <c r="M116" s="71">
        <f t="shared" si="12"/>
        <v>1.5285252960172226</v>
      </c>
      <c r="N116" s="50" t="s">
        <v>5</v>
      </c>
      <c r="O116" s="50" t="s">
        <v>329</v>
      </c>
      <c r="P116" s="50" t="s">
        <v>137</v>
      </c>
      <c r="Q116" s="172">
        <v>2020</v>
      </c>
      <c r="R116" s="50">
        <v>6.35</v>
      </c>
      <c r="S116" s="50" t="s">
        <v>141</v>
      </c>
      <c r="T116" s="50"/>
      <c r="U116" s="50"/>
      <c r="V116" s="50"/>
      <c r="W116" s="50"/>
      <c r="X116" s="50"/>
      <c r="Y116" s="50"/>
      <c r="Z116" s="50"/>
      <c r="AA116" s="78">
        <f t="shared" si="13"/>
        <v>0</v>
      </c>
      <c r="AB116" s="50"/>
      <c r="AC116" s="50"/>
      <c r="AD116" s="50"/>
      <c r="AE116" s="50"/>
      <c r="AF116" s="50"/>
      <c r="AG116" s="82"/>
      <c r="AH116" s="50"/>
      <c r="AI116" s="167"/>
      <c r="AJ116" s="167"/>
      <c r="AK116" s="167"/>
      <c r="AL116" s="50"/>
      <c r="AN116" s="53">
        <v>87</v>
      </c>
      <c r="AR116" s="264" t="str">
        <f ca="1">IF(LEN(Q116)=4,IF(Q116&lt;YEAR(NOW()),_xlfn.CONCAT(IF(LOWER(Setting!rng_language)="english","Expired ","Expiré "),Q116),""),"")</f>
        <v>Expired 2020</v>
      </c>
      <c r="AT116" s="53" t="b">
        <f>ISNUMBER(MATCH(IF(LEN('USER INPUT SHEET'!rng_province)&gt;0,'USER INPUT SHEET'!rng_province,"Canada"),$AU116:$BD116,0))</f>
        <v>0</v>
      </c>
      <c r="AU116" s="1286"/>
      <c r="AV116" s="1286"/>
      <c r="AW116" s="1286"/>
      <c r="AX116" s="1286"/>
      <c r="AY116" s="1286"/>
      <c r="AZ116" s="1286"/>
      <c r="BA116" s="1286"/>
      <c r="BB116" s="1286"/>
      <c r="BC116" s="1286"/>
      <c r="BD116" s="1286"/>
    </row>
    <row r="117" spans="1:56" ht="15.75" customHeight="1" x14ac:dyDescent="0.3">
      <c r="A117" s="50" t="str">
        <f t="shared" si="9"/>
        <v>(ARCHIVED 2025) Drywall 1/2" / CertainTeed / M2Tech moisture resistant / 1/2" (12.7 mm)</v>
      </c>
      <c r="B117" s="50" t="s">
        <v>4178</v>
      </c>
      <c r="C117" s="50" t="s">
        <v>325</v>
      </c>
      <c r="D117" s="50" t="s">
        <v>330</v>
      </c>
      <c r="E117" s="50" t="s">
        <v>169</v>
      </c>
      <c r="H117" s="50"/>
      <c r="I117" s="50" t="s">
        <v>138</v>
      </c>
      <c r="J117" s="50"/>
      <c r="K117" s="50">
        <v>174</v>
      </c>
      <c r="L117" s="50" t="s">
        <v>846</v>
      </c>
      <c r="M117" s="71">
        <f t="shared" si="12"/>
        <v>1.8729817007534983</v>
      </c>
      <c r="N117" s="50" t="s">
        <v>5</v>
      </c>
      <c r="O117" s="50" t="s">
        <v>331</v>
      </c>
      <c r="P117" s="50" t="s">
        <v>143</v>
      </c>
      <c r="Q117" s="172">
        <v>2022</v>
      </c>
      <c r="R117" s="50">
        <v>7.8</v>
      </c>
      <c r="S117" s="50" t="s">
        <v>141</v>
      </c>
      <c r="T117" s="50"/>
      <c r="U117" s="50"/>
      <c r="V117" s="50"/>
      <c r="W117" s="50"/>
      <c r="X117" s="50"/>
      <c r="Y117" s="50"/>
      <c r="Z117" s="50"/>
      <c r="AA117" s="78">
        <f t="shared" si="13"/>
        <v>0</v>
      </c>
      <c r="AB117" s="50"/>
      <c r="AC117" s="50"/>
      <c r="AD117" s="50"/>
      <c r="AE117" s="50"/>
      <c r="AF117" s="50"/>
      <c r="AG117" s="82"/>
      <c r="AH117" s="50"/>
      <c r="AI117" s="167"/>
      <c r="AJ117" s="167"/>
      <c r="AK117" s="167"/>
      <c r="AL117" s="50"/>
      <c r="AN117" s="53">
        <v>88</v>
      </c>
      <c r="AR117" s="264" t="str">
        <f ca="1">IF(LEN(Q117)=4,IF(Q117&lt;YEAR(NOW()),_xlfn.CONCAT(IF(LOWER(Setting!rng_language)="english","Expired ","Expiré "),Q117),""),"")</f>
        <v>Expired 2022</v>
      </c>
      <c r="AT117" s="53" t="b">
        <f>ISNUMBER(MATCH(IF(LEN('USER INPUT SHEET'!rng_province)&gt;0,'USER INPUT SHEET'!rng_province,"Canada"),$AU117:$BD117,0))</f>
        <v>0</v>
      </c>
      <c r="AU117" s="1286"/>
      <c r="AV117" s="1286"/>
      <c r="AW117" s="1286"/>
      <c r="AX117" s="1286"/>
      <c r="AY117" s="1286"/>
      <c r="AZ117" s="1286"/>
      <c r="BA117" s="1286"/>
      <c r="BB117" s="1286"/>
      <c r="BC117" s="1286"/>
      <c r="BD117" s="1286"/>
    </row>
    <row r="118" spans="1:56" ht="15.75" customHeight="1" x14ac:dyDescent="0.3">
      <c r="A118" s="50" t="str">
        <f t="shared" si="9"/>
        <v>Drywall 1/2" / Pabco / QuietRock / QuietRock 1/2"</v>
      </c>
      <c r="B118" s="50" t="s">
        <v>324</v>
      </c>
      <c r="C118" s="50" t="s">
        <v>332</v>
      </c>
      <c r="D118" s="50" t="s">
        <v>333</v>
      </c>
      <c r="E118" s="50" t="s">
        <v>334</v>
      </c>
      <c r="H118" s="50"/>
      <c r="I118" s="50" t="s">
        <v>129</v>
      </c>
      <c r="J118" s="50"/>
      <c r="K118" s="50">
        <v>451</v>
      </c>
      <c r="L118" s="50" t="s">
        <v>846</v>
      </c>
      <c r="M118" s="71">
        <f t="shared" si="12"/>
        <v>4.8546824542518836</v>
      </c>
      <c r="N118" s="50" t="s">
        <v>5</v>
      </c>
      <c r="O118" s="50" t="s">
        <v>335</v>
      </c>
      <c r="P118" s="53" t="s">
        <v>137</v>
      </c>
      <c r="Q118" s="367">
        <v>2025</v>
      </c>
      <c r="R118" s="53">
        <v>10.3</v>
      </c>
      <c r="S118" s="53" t="s">
        <v>141</v>
      </c>
      <c r="AA118" s="78">
        <f t="shared" si="13"/>
        <v>0</v>
      </c>
      <c r="AG118" s="82"/>
      <c r="AN118" s="53">
        <v>89</v>
      </c>
      <c r="AR118" s="264" t="str">
        <f ca="1">IF(LEN(Q118)=4,IF(Q118&lt;YEAR(NOW()),_xlfn.CONCAT(IF(LOWER(Setting!rng_language)="english","Expired ","Expiré "),Q118),""),"")</f>
        <v>Expired 2025</v>
      </c>
      <c r="AT118" s="53" t="b">
        <f>ISNUMBER(MATCH(IF(LEN('USER INPUT SHEET'!rng_province)&gt;0,'USER INPUT SHEET'!rng_province,"Canada"),$AU118:$BD118,0))</f>
        <v>0</v>
      </c>
      <c r="AU118" s="1286"/>
      <c r="AV118" s="1286"/>
      <c r="AW118" s="1286"/>
      <c r="AX118" s="1286"/>
      <c r="AY118" s="1286"/>
      <c r="AZ118" s="1286"/>
      <c r="BA118" s="1286"/>
      <c r="BB118" s="1286"/>
      <c r="BC118" s="1286"/>
      <c r="BD118" s="1286"/>
    </row>
    <row r="119" spans="1:56" ht="15.75" customHeight="1" x14ac:dyDescent="0.3">
      <c r="A119" s="50" t="str">
        <f t="shared" si="9"/>
        <v>Drywall 5/8" /  / Includes American Gypsum, CertainTeed, Continental, Georgia-Pacific, National Gypsum, Pabco, USG, CGC / 5/8"</v>
      </c>
      <c r="B119" s="50" t="s">
        <v>336</v>
      </c>
      <c r="C119" s="50"/>
      <c r="D119" s="50" t="s">
        <v>337</v>
      </c>
      <c r="E119" s="50" t="s">
        <v>338</v>
      </c>
      <c r="H119" s="50"/>
      <c r="I119" s="50" t="s">
        <v>124</v>
      </c>
      <c r="J119" s="50"/>
      <c r="K119" s="50">
        <v>277</v>
      </c>
      <c r="L119" s="50" t="s">
        <v>846</v>
      </c>
      <c r="M119" s="71">
        <f t="shared" si="12"/>
        <v>2.981700753498385</v>
      </c>
      <c r="N119" s="50" t="s">
        <v>5</v>
      </c>
      <c r="O119" s="53" t="s">
        <v>339</v>
      </c>
      <c r="P119" s="53" t="s">
        <v>158</v>
      </c>
      <c r="Q119" s="367">
        <v>2025</v>
      </c>
      <c r="R119" s="53">
        <v>10.67</v>
      </c>
      <c r="S119" s="53" t="s">
        <v>141</v>
      </c>
      <c r="AA119" s="78">
        <f t="shared" si="13"/>
        <v>0</v>
      </c>
      <c r="AG119" s="82"/>
      <c r="AN119" s="53">
        <v>90</v>
      </c>
      <c r="AR119" s="264" t="str">
        <f ca="1">IF(LEN(Q119)=4,IF(Q119&lt;YEAR(NOW()),_xlfn.CONCAT(IF(LOWER(Setting!rng_language)="english","Expired ","Expiré "),Q119),""),"")</f>
        <v>Expired 2025</v>
      </c>
      <c r="AT119" s="53" t="b">
        <f>ISNUMBER(MATCH(IF(LEN('USER INPUT SHEET'!rng_province)&gt;0,'USER INPUT SHEET'!rng_province,"Canada"),$AU119:$BD119,0))</f>
        <v>0</v>
      </c>
      <c r="AU119" s="1286"/>
      <c r="AV119" s="1286"/>
      <c r="AW119" s="1286"/>
      <c r="AX119" s="1286"/>
      <c r="AY119" s="1286"/>
      <c r="AZ119" s="1286"/>
      <c r="BA119" s="1286"/>
      <c r="BB119" s="1286"/>
      <c r="BC119" s="1286"/>
      <c r="BD119" s="1286"/>
    </row>
    <row r="120" spans="1:56" ht="15.75" customHeight="1" x14ac:dyDescent="0.3">
      <c r="A120" s="50" t="str">
        <f t="shared" si="9"/>
        <v>(ARCHIVED 2025) Drywall 5/8" / USG / EcoSmart Firecode / 5/8"</v>
      </c>
      <c r="B120" s="50" t="s">
        <v>4179</v>
      </c>
      <c r="C120" s="50" t="s">
        <v>223</v>
      </c>
      <c r="D120" s="50" t="s">
        <v>3452</v>
      </c>
      <c r="E120" s="53" t="s">
        <v>338</v>
      </c>
      <c r="H120" s="50"/>
      <c r="J120" s="50"/>
      <c r="K120" s="50">
        <v>193</v>
      </c>
      <c r="L120" s="50" t="s">
        <v>846</v>
      </c>
      <c r="M120" s="71">
        <f t="shared" si="12"/>
        <v>2.077502691065662</v>
      </c>
      <c r="N120" s="50" t="s">
        <v>5</v>
      </c>
      <c r="O120" s="53" t="s">
        <v>340</v>
      </c>
      <c r="P120" s="53" t="s">
        <v>143</v>
      </c>
      <c r="Q120" s="367">
        <v>2023</v>
      </c>
      <c r="R120" s="53">
        <v>8.3000000000000007</v>
      </c>
      <c r="S120" s="53" t="s">
        <v>141</v>
      </c>
      <c r="AA120" s="78">
        <f t="shared" si="13"/>
        <v>0</v>
      </c>
      <c r="AG120" s="82"/>
      <c r="AN120" s="53">
        <v>91</v>
      </c>
      <c r="AR120" s="264" t="str">
        <f ca="1">IF(LEN(Q120)=4,IF(Q120&lt;YEAR(NOW()),_xlfn.CONCAT(IF(LOWER(Setting!rng_language)="english","Expired ","Expiré "),Q120),""),"")</f>
        <v>Expired 2023</v>
      </c>
      <c r="AT120" s="53" t="b">
        <f>ISNUMBER(MATCH(IF(LEN('USER INPUT SHEET'!rng_province)&gt;0,'USER INPUT SHEET'!rng_province,"Canada"),$AU120:$BD120,0))</f>
        <v>0</v>
      </c>
      <c r="AU120" s="1286"/>
      <c r="AV120" s="1286"/>
      <c r="AW120" s="1286"/>
      <c r="AX120" s="1286"/>
      <c r="AY120" s="1286"/>
      <c r="AZ120" s="1286"/>
      <c r="BA120" s="1286"/>
      <c r="BB120" s="1286"/>
      <c r="BC120" s="1286"/>
      <c r="BD120" s="1286"/>
    </row>
    <row r="121" spans="1:56" ht="15.75" customHeight="1" x14ac:dyDescent="0.3">
      <c r="A121" s="50" t="str">
        <f t="shared" si="9"/>
        <v>Drywall 5/8"  / USG / Sheetrock Brand EcoSmart Firecode X  / 5/8'' type X</v>
      </c>
      <c r="B121" s="50" t="s">
        <v>4180</v>
      </c>
      <c r="C121" s="50" t="s">
        <v>223</v>
      </c>
      <c r="D121" s="50" t="s">
        <v>4181</v>
      </c>
      <c r="E121" s="53" t="s">
        <v>3633</v>
      </c>
      <c r="H121" s="50" t="s">
        <v>4182</v>
      </c>
      <c r="I121" s="53" t="s">
        <v>3500</v>
      </c>
      <c r="J121" s="401">
        <v>45294</v>
      </c>
      <c r="K121" s="50">
        <v>219</v>
      </c>
      <c r="L121" s="50" t="s">
        <v>4183</v>
      </c>
      <c r="M121" s="70">
        <v>2.357316</v>
      </c>
      <c r="N121" s="50" t="s">
        <v>3501</v>
      </c>
      <c r="O121" s="53" t="s">
        <v>4184</v>
      </c>
      <c r="P121" s="53" t="s">
        <v>3518</v>
      </c>
      <c r="Q121" s="401">
        <v>46118</v>
      </c>
      <c r="R121" s="53">
        <v>8.8000000000000007</v>
      </c>
      <c r="S121" s="53" t="s">
        <v>141</v>
      </c>
      <c r="AA121" s="78">
        <f t="shared" si="13"/>
        <v>0</v>
      </c>
      <c r="AG121" s="81"/>
      <c r="AN121" s="53" t="s">
        <v>2167</v>
      </c>
      <c r="AT121" s="53" t="b">
        <f>ISNUMBER(MATCH(IF(LEN('USER INPUT SHEET'!rng_province)&gt;0,'USER INPUT SHEET'!rng_province,"Canada"),$AU121:$BD121,0))</f>
        <v>0</v>
      </c>
      <c r="AU121" s="1286"/>
      <c r="AV121" s="1286"/>
      <c r="AW121" s="1286"/>
      <c r="AX121" s="1286"/>
      <c r="AY121" s="1286"/>
      <c r="AZ121" s="1286"/>
      <c r="BA121" s="1286"/>
      <c r="BB121" s="1286"/>
      <c r="BC121" s="1286"/>
      <c r="BD121" s="1286"/>
    </row>
    <row r="122" spans="1:56" ht="15.75" customHeight="1" x14ac:dyDescent="0.3">
      <c r="A122" s="50" t="str">
        <f t="shared" si="9"/>
        <v xml:space="preserve">EPDM Roofing Membrane / SPRI /  / </v>
      </c>
      <c r="B122" s="50" t="s">
        <v>341</v>
      </c>
      <c r="C122" s="50" t="s">
        <v>3264</v>
      </c>
      <c r="D122" s="50"/>
      <c r="E122" s="50"/>
      <c r="H122" s="50" t="s">
        <v>342</v>
      </c>
      <c r="I122" s="50" t="s">
        <v>129</v>
      </c>
      <c r="J122" s="50"/>
      <c r="K122" s="50">
        <v>6.69</v>
      </c>
      <c r="L122" s="50" t="s">
        <v>5</v>
      </c>
      <c r="M122" s="71">
        <f>(6.69)</f>
        <v>6.69</v>
      </c>
      <c r="N122" s="50" t="s">
        <v>5</v>
      </c>
      <c r="O122" s="53" t="s">
        <v>343</v>
      </c>
      <c r="P122" s="53" t="s">
        <v>143</v>
      </c>
      <c r="Q122" s="367">
        <v>2022</v>
      </c>
      <c r="R122" s="53">
        <v>2.0699999999999998</v>
      </c>
      <c r="S122" s="53" t="s">
        <v>141</v>
      </c>
      <c r="AA122" s="78">
        <f t="shared" si="13"/>
        <v>0</v>
      </c>
      <c r="AG122" s="82"/>
      <c r="AN122" s="53">
        <v>92</v>
      </c>
      <c r="AR122" s="264" t="str">
        <f ca="1">IF(LEN(Q122)=4,IF(Q122&lt;YEAR(NOW()),_xlfn.CONCAT(IF(LOWER(Setting!rng_language)="english","Expired ","Expiré "),Q122),""),"")</f>
        <v>Expired 2022</v>
      </c>
      <c r="AT122" s="53" t="b">
        <f>ISNUMBER(MATCH(IF(LEN('USER INPUT SHEET'!rng_province)&gt;0,'USER INPUT SHEET'!rng_province,"Canada"),$AU122:$BD122,0))</f>
        <v>0</v>
      </c>
      <c r="AU122" s="1286"/>
      <c r="AV122" s="1286"/>
      <c r="AW122" s="1286"/>
      <c r="AX122" s="1286"/>
      <c r="AY122" s="1286"/>
      <c r="AZ122" s="1286"/>
      <c r="BA122" s="1286"/>
      <c r="BB122" s="1286"/>
      <c r="BC122" s="1286"/>
      <c r="BD122" s="1286"/>
    </row>
    <row r="123" spans="1:56" ht="15.75" customHeight="1" x14ac:dyDescent="0.3">
      <c r="A123" s="50" t="str">
        <f>B123&amp;" / "&amp;C123&amp;" / "&amp;D123&amp;" / "&amp;E123</f>
        <v>(ARCHIVED 2025) EPS foam board / EPS Industry Alliance /  / R 4.6/inch, Type IX, 25 psi (Type 3, 140 kPa)</v>
      </c>
      <c r="B123" s="50" t="s">
        <v>4185</v>
      </c>
      <c r="C123" s="50" t="s">
        <v>345</v>
      </c>
      <c r="D123" s="50"/>
      <c r="E123" s="50" t="s">
        <v>1124</v>
      </c>
      <c r="H123" s="50"/>
      <c r="I123" s="50" t="s">
        <v>124</v>
      </c>
      <c r="J123" s="50"/>
      <c r="K123" s="50">
        <v>4.7699999999999996</v>
      </c>
      <c r="L123" s="50" t="s">
        <v>825</v>
      </c>
      <c r="M123" s="71">
        <f>(4.77)</f>
        <v>4.7699999999999996</v>
      </c>
      <c r="N123" s="50" t="s">
        <v>825</v>
      </c>
      <c r="O123" s="53" t="s">
        <v>346</v>
      </c>
      <c r="P123" s="50" t="s">
        <v>143</v>
      </c>
      <c r="Q123" s="367">
        <v>2022</v>
      </c>
      <c r="R123" s="53">
        <v>48</v>
      </c>
      <c r="S123" s="53" t="s">
        <v>121</v>
      </c>
      <c r="V123" s="53">
        <v>4.5999999999999996</v>
      </c>
      <c r="AA123" s="78">
        <f t="shared" si="13"/>
        <v>0</v>
      </c>
      <c r="AG123" s="82"/>
      <c r="AN123" s="53">
        <v>93</v>
      </c>
      <c r="AR123" s="264" t="str">
        <f ca="1">IF(LEN(Q123)=4,IF(Q123&lt;YEAR(NOW()),_xlfn.CONCAT(IF(LOWER(Setting!rng_language)="english","Expired ","Expiré "),Q123),""),"")</f>
        <v>Expired 2022</v>
      </c>
      <c r="AT123" s="53" t="b">
        <f>ISNUMBER(MATCH(IF(LEN('USER INPUT SHEET'!rng_province)&gt;0,'USER INPUT SHEET'!rng_province,"Canada"),$AU123:$BD123,0))</f>
        <v>0</v>
      </c>
      <c r="AU123" s="1286"/>
      <c r="AV123" s="1286"/>
      <c r="AW123" s="1286"/>
      <c r="AX123" s="1286"/>
      <c r="AY123" s="1286"/>
      <c r="AZ123" s="1286"/>
      <c r="BA123" s="1286"/>
      <c r="BB123" s="1286"/>
      <c r="BC123" s="1286"/>
      <c r="BD123" s="1286"/>
    </row>
    <row r="124" spans="1:56" ht="15.75" customHeight="1" x14ac:dyDescent="0.3">
      <c r="A124" s="50" t="str">
        <f>B124&amp;" / "&amp;C124&amp;" / "&amp;D124&amp;" / "&amp;E124</f>
        <v>(ARCHIVED 2025) EPS foam board / EPS Industry Alliance /  / R 4/inch, Type II, 15 psi (Type 2, 110 kPa)</v>
      </c>
      <c r="B124" s="50" t="s">
        <v>4185</v>
      </c>
      <c r="C124" s="50" t="s">
        <v>345</v>
      </c>
      <c r="D124" s="50"/>
      <c r="E124" s="50" t="s">
        <v>1125</v>
      </c>
      <c r="H124" s="50"/>
      <c r="I124" s="50" t="s">
        <v>124</v>
      </c>
      <c r="J124" s="50"/>
      <c r="K124" s="50">
        <v>3.77</v>
      </c>
      <c r="L124" s="50" t="s">
        <v>825</v>
      </c>
      <c r="M124" s="71">
        <f>(3.77)</f>
        <v>3.77</v>
      </c>
      <c r="N124" s="50" t="s">
        <v>825</v>
      </c>
      <c r="O124" s="53" t="s">
        <v>347</v>
      </c>
      <c r="P124" s="50" t="s">
        <v>143</v>
      </c>
      <c r="Q124" s="367">
        <v>2022</v>
      </c>
      <c r="R124" s="53">
        <v>21.6</v>
      </c>
      <c r="S124" s="53" t="s">
        <v>121</v>
      </c>
      <c r="V124" s="53">
        <v>4</v>
      </c>
      <c r="AA124" s="78">
        <f t="shared" si="13"/>
        <v>0</v>
      </c>
      <c r="AG124" s="82"/>
      <c r="AN124" s="53">
        <v>94</v>
      </c>
      <c r="AR124" s="264" t="str">
        <f ca="1">IF(LEN(Q124)=4,IF(Q124&lt;YEAR(NOW()),_xlfn.CONCAT(IF(LOWER(Setting!rng_language)="english","Expired ","Expiré "),Q124),""),"")</f>
        <v>Expired 2022</v>
      </c>
      <c r="AT124" s="53" t="b">
        <f>ISNUMBER(MATCH(IF(LEN('USER INPUT SHEET'!rng_province)&gt;0,'USER INPUT SHEET'!rng_province,"Canada"),$AU124:$BD124,0))</f>
        <v>0</v>
      </c>
      <c r="AU124" s="1286"/>
      <c r="AV124" s="1286"/>
      <c r="AW124" s="1286"/>
      <c r="AX124" s="1286"/>
      <c r="AY124" s="1286"/>
      <c r="AZ124" s="1286"/>
      <c r="BA124" s="1286"/>
      <c r="BB124" s="1286"/>
      <c r="BC124" s="1286"/>
      <c r="BD124" s="1286"/>
    </row>
    <row r="125" spans="1:56" ht="15.75" customHeight="1" x14ac:dyDescent="0.3">
      <c r="A125" s="50" t="str">
        <f t="shared" ref="A125:A128" si="14">B125&amp;" / "&amp;C125&amp;" / "&amp;D125&amp;" / "&amp;E125</f>
        <v>EPS foam board / EPS Industry Alliance /  / R 3.6/inch, Type I, 10 psi (70 kPa)</v>
      </c>
      <c r="B125" s="50" t="s">
        <v>344</v>
      </c>
      <c r="C125" s="50" t="s">
        <v>345</v>
      </c>
      <c r="D125" s="50"/>
      <c r="E125" s="50" t="s">
        <v>4187</v>
      </c>
      <c r="H125" s="50" t="s">
        <v>4188</v>
      </c>
      <c r="I125" s="50" t="s">
        <v>3515</v>
      </c>
      <c r="J125" s="401">
        <v>45327</v>
      </c>
      <c r="K125" s="50">
        <v>2.5299999999999998</v>
      </c>
      <c r="L125" s="50" t="s">
        <v>3516</v>
      </c>
      <c r="M125" s="70">
        <v>2.5299999999999998</v>
      </c>
      <c r="N125" s="50" t="s">
        <v>3516</v>
      </c>
      <c r="O125" s="53" t="s">
        <v>4189</v>
      </c>
      <c r="P125" s="50" t="s">
        <v>3502</v>
      </c>
      <c r="Q125" s="367">
        <v>2028</v>
      </c>
      <c r="R125" s="53">
        <v>14.4</v>
      </c>
      <c r="S125" s="53" t="s">
        <v>121</v>
      </c>
      <c r="V125" s="53">
        <v>3.6</v>
      </c>
      <c r="W125" s="53">
        <v>4.0061444444444441E-2</v>
      </c>
      <c r="AA125" s="78">
        <f t="shared" si="13"/>
        <v>0</v>
      </c>
      <c r="AG125" s="81"/>
      <c r="AN125" s="53" t="s">
        <v>2140</v>
      </c>
      <c r="AT125" s="53" t="b">
        <f>ISNUMBER(MATCH(IF(LEN('USER INPUT SHEET'!rng_province)&gt;0,'USER INPUT SHEET'!rng_province,"Canada"),$AU125:$BD125,0))</f>
        <v>0</v>
      </c>
      <c r="AU125" s="1286"/>
      <c r="AV125" s="1286"/>
      <c r="AW125" s="1286"/>
      <c r="AX125" s="1286"/>
      <c r="AY125" s="1286"/>
      <c r="AZ125" s="1286"/>
      <c r="BA125" s="1286"/>
      <c r="BB125" s="1286"/>
      <c r="BC125" s="1286"/>
      <c r="BD125" s="1286"/>
    </row>
    <row r="126" spans="1:56" ht="15.75" customHeight="1" x14ac:dyDescent="0.3">
      <c r="A126" s="50" t="str">
        <f t="shared" si="14"/>
        <v>EPS foam board / EPS Industry Alliance /  / R 4.0/inch, Type II, 15 psi (100 kPa)</v>
      </c>
      <c r="B126" s="50" t="s">
        <v>344</v>
      </c>
      <c r="C126" s="50" t="s">
        <v>345</v>
      </c>
      <c r="D126" s="50"/>
      <c r="E126" s="50" t="s">
        <v>4190</v>
      </c>
      <c r="H126" s="50" t="s">
        <v>4188</v>
      </c>
      <c r="I126" s="50" t="s">
        <v>3515</v>
      </c>
      <c r="J126" s="401">
        <v>45327</v>
      </c>
      <c r="K126" s="50">
        <v>3.4306950074147307</v>
      </c>
      <c r="L126" s="50" t="s">
        <v>3516</v>
      </c>
      <c r="M126" s="70">
        <v>3.4306950074147307</v>
      </c>
      <c r="N126" s="50" t="s">
        <v>3516</v>
      </c>
      <c r="O126" s="53" t="s">
        <v>4189</v>
      </c>
      <c r="P126" s="50" t="s">
        <v>3502</v>
      </c>
      <c r="Q126" s="367">
        <v>2028</v>
      </c>
      <c r="R126" s="53">
        <v>21.6</v>
      </c>
      <c r="S126" s="53" t="s">
        <v>121</v>
      </c>
      <c r="T126" s="53">
        <v>0.7</v>
      </c>
      <c r="U126" s="53" t="s">
        <v>4191</v>
      </c>
      <c r="V126" s="53">
        <v>4</v>
      </c>
      <c r="W126" s="53">
        <v>3.6055299999999998E-2</v>
      </c>
      <c r="AA126" s="78">
        <f t="shared" si="13"/>
        <v>0</v>
      </c>
      <c r="AG126" s="81"/>
      <c r="AN126" s="53" t="s">
        <v>2168</v>
      </c>
      <c r="AT126" s="53" t="b">
        <f>ISNUMBER(MATCH(IF(LEN('USER INPUT SHEET'!rng_province)&gt;0,'USER INPUT SHEET'!rng_province,"Canada"),$AU126:$BD126,0))</f>
        <v>0</v>
      </c>
      <c r="AU126" s="1286"/>
      <c r="AV126" s="1286"/>
      <c r="AW126" s="1286"/>
      <c r="AX126" s="1286"/>
      <c r="AY126" s="1286"/>
      <c r="AZ126" s="1286"/>
      <c r="BA126" s="1286"/>
      <c r="BB126" s="1286"/>
      <c r="BC126" s="1286"/>
      <c r="BD126" s="1286"/>
    </row>
    <row r="127" spans="1:56" ht="15.75" customHeight="1" x14ac:dyDescent="0.3">
      <c r="A127" s="50" t="str">
        <f t="shared" si="14"/>
        <v>EPS foam board / EPS Industry Alliance /  / R 4.2/inch, Type IX, 25 psi (170 kPa)</v>
      </c>
      <c r="B127" s="50" t="s">
        <v>344</v>
      </c>
      <c r="C127" s="50" t="s">
        <v>345</v>
      </c>
      <c r="D127" s="50"/>
      <c r="E127" s="50" t="s">
        <v>4192</v>
      </c>
      <c r="H127" s="50" t="s">
        <v>4188</v>
      </c>
      <c r="I127" s="50" t="s">
        <v>3515</v>
      </c>
      <c r="J127" s="401">
        <v>45327</v>
      </c>
      <c r="K127" s="50">
        <v>4.3270027120546146</v>
      </c>
      <c r="L127" s="50" t="s">
        <v>3516</v>
      </c>
      <c r="M127" s="70">
        <v>4.3270027120546146</v>
      </c>
      <c r="N127" s="50" t="s">
        <v>3516</v>
      </c>
      <c r="O127" s="53" t="s">
        <v>4189</v>
      </c>
      <c r="P127" s="50" t="s">
        <v>3502</v>
      </c>
      <c r="Q127" s="367">
        <v>2028</v>
      </c>
      <c r="R127" s="53">
        <v>28.8</v>
      </c>
      <c r="S127" s="53" t="s">
        <v>121</v>
      </c>
      <c r="T127" s="53">
        <v>0.74</v>
      </c>
      <c r="U127" s="53" t="s">
        <v>4191</v>
      </c>
      <c r="V127" s="53">
        <v>4.2</v>
      </c>
      <c r="W127" s="53">
        <v>3.4338380952380947E-2</v>
      </c>
      <c r="AA127" s="78">
        <f t="shared" si="13"/>
        <v>0</v>
      </c>
      <c r="AG127" s="81"/>
      <c r="AN127" s="53" t="s">
        <v>3965</v>
      </c>
      <c r="AT127" s="53" t="b">
        <f>ISNUMBER(MATCH(IF(LEN('USER INPUT SHEET'!rng_province)&gt;0,'USER INPUT SHEET'!rng_province,"Canada"),$AU127:$BD127,0))</f>
        <v>0</v>
      </c>
      <c r="AU127" s="1286"/>
      <c r="AV127" s="1286"/>
      <c r="AW127" s="1286"/>
      <c r="AX127" s="1286"/>
      <c r="AY127" s="1286"/>
      <c r="AZ127" s="1286"/>
      <c r="BA127" s="1286"/>
      <c r="BB127" s="1286"/>
      <c r="BC127" s="1286"/>
      <c r="BD127" s="1286"/>
    </row>
    <row r="128" spans="1:56" ht="15.75" customHeight="1" x14ac:dyDescent="0.3">
      <c r="A128" s="50" t="str">
        <f t="shared" si="14"/>
        <v>EPS foam board / EPS Industry Alliance /  / R 4.3/inch, Type XV, 60 psi (400 kPa)</v>
      </c>
      <c r="B128" s="50" t="s">
        <v>344</v>
      </c>
      <c r="C128" s="50" t="s">
        <v>345</v>
      </c>
      <c r="D128" s="50"/>
      <c r="E128" s="50" t="s">
        <v>4193</v>
      </c>
      <c r="H128" s="50" t="s">
        <v>4188</v>
      </c>
      <c r="I128" s="50" t="s">
        <v>3515</v>
      </c>
      <c r="J128" s="401">
        <v>45327</v>
      </c>
      <c r="K128" s="50">
        <v>7.0365193043161538</v>
      </c>
      <c r="L128" s="50" t="s">
        <v>3516</v>
      </c>
      <c r="M128" s="70">
        <v>7.0365193043161538</v>
      </c>
      <c r="N128" s="50" t="s">
        <v>3516</v>
      </c>
      <c r="O128" s="53" t="s">
        <v>4189</v>
      </c>
      <c r="P128" s="50" t="s">
        <v>3502</v>
      </c>
      <c r="Q128" s="367">
        <v>2028</v>
      </c>
      <c r="R128" s="53">
        <v>48.1</v>
      </c>
      <c r="S128" s="53" t="s">
        <v>121</v>
      </c>
      <c r="T128" s="53">
        <v>0.76</v>
      </c>
      <c r="U128" s="53" t="s">
        <v>4191</v>
      </c>
      <c r="V128" s="53">
        <v>4.3</v>
      </c>
      <c r="W128" s="53">
        <v>3.3539813953488373E-2</v>
      </c>
      <c r="AA128" s="78">
        <f t="shared" si="13"/>
        <v>0</v>
      </c>
      <c r="AG128" s="81"/>
      <c r="AN128" s="53" t="s">
        <v>2208</v>
      </c>
      <c r="AT128" s="53" t="b">
        <f>ISNUMBER(MATCH(IF(LEN('USER INPUT SHEET'!rng_province)&gt;0,'USER INPUT SHEET'!rng_province,"Canada"),$AU128:$BD128,0))</f>
        <v>0</v>
      </c>
      <c r="AU128" s="1286"/>
      <c r="AV128" s="1286"/>
      <c r="AW128" s="1286"/>
      <c r="AX128" s="1286"/>
      <c r="AY128" s="1286"/>
      <c r="AZ128" s="1286"/>
      <c r="BA128" s="1286"/>
      <c r="BB128" s="1286"/>
      <c r="BC128" s="1286"/>
      <c r="BD128" s="1286"/>
    </row>
    <row r="129" spans="1:56" ht="15.75" customHeight="1" x14ac:dyDescent="0.3">
      <c r="A129" s="50" t="str">
        <f>B129&amp;" / "&amp;C129&amp;" / "&amp;D129&amp;" / "&amp;E129</f>
        <v>(ARCHIVED 2025) EPS foam board with graphite / BASF / Neopor / R 4.7/inch, Type IX</v>
      </c>
      <c r="B129" s="50" t="s">
        <v>4186</v>
      </c>
      <c r="C129" s="50" t="s">
        <v>352</v>
      </c>
      <c r="D129" s="50" t="s">
        <v>350</v>
      </c>
      <c r="E129" s="53" t="s">
        <v>1126</v>
      </c>
      <c r="H129" s="50"/>
      <c r="I129" s="50" t="s">
        <v>124</v>
      </c>
      <c r="J129" s="50"/>
      <c r="K129" s="50">
        <v>3.42</v>
      </c>
      <c r="L129" s="50" t="s">
        <v>825</v>
      </c>
      <c r="M129" s="71">
        <f>(3.42)</f>
        <v>3.42</v>
      </c>
      <c r="N129" s="50" t="s">
        <v>825</v>
      </c>
      <c r="O129" s="53" t="s">
        <v>351</v>
      </c>
      <c r="P129" s="50" t="s">
        <v>158</v>
      </c>
      <c r="Q129" s="367">
        <v>2026</v>
      </c>
      <c r="R129" s="53">
        <v>28.8</v>
      </c>
      <c r="S129" s="53" t="s">
        <v>121</v>
      </c>
      <c r="V129" s="53">
        <v>4.7</v>
      </c>
      <c r="AA129" s="78">
        <f t="shared" si="13"/>
        <v>0</v>
      </c>
      <c r="AG129" s="82"/>
      <c r="AN129" s="53">
        <v>95</v>
      </c>
      <c r="AR129" s="264" t="str">
        <f ca="1">IF(LEN(Q129)=4,IF(Q129&lt;YEAR(NOW()),_xlfn.CONCAT(IF(LOWER(Setting!rng_language)="english","Expired ","Expiré "),Q129),""),"")</f>
        <v/>
      </c>
      <c r="AT129" s="53" t="b">
        <f>ISNUMBER(MATCH(IF(LEN('USER INPUT SHEET'!rng_province)&gt;0,'USER INPUT SHEET'!rng_province,"Canada"),$AU129:$BD129,0))</f>
        <v>0</v>
      </c>
      <c r="AU129" s="1286"/>
      <c r="AV129" s="1286"/>
      <c r="AW129" s="1286"/>
      <c r="AX129" s="1286"/>
      <c r="AY129" s="1286"/>
      <c r="AZ129" s="1286"/>
      <c r="BA129" s="1286"/>
      <c r="BB129" s="1286"/>
      <c r="BC129" s="1286"/>
      <c r="BD129" s="1286"/>
    </row>
    <row r="130" spans="1:56" ht="15.75" customHeight="1" x14ac:dyDescent="0.3">
      <c r="A130" s="50" t="str">
        <f>B130&amp;" / "&amp;C130&amp;" / "&amp;D130&amp;" / "&amp;E130</f>
        <v>(ARCHIVED 2025) EPS foam board with graphite / BASF / Neopor / R 4.7/inch, Type II, 15 psi (Type 2, 110 kPa)</v>
      </c>
      <c r="B130" s="50" t="s">
        <v>4186</v>
      </c>
      <c r="C130" s="50" t="s">
        <v>352</v>
      </c>
      <c r="D130" s="50" t="s">
        <v>350</v>
      </c>
      <c r="E130" s="53" t="s">
        <v>1127</v>
      </c>
      <c r="H130" s="50"/>
      <c r="I130" s="50" t="s">
        <v>124</v>
      </c>
      <c r="J130" s="50"/>
      <c r="K130" s="50">
        <v>2.76</v>
      </c>
      <c r="L130" s="50" t="s">
        <v>825</v>
      </c>
      <c r="M130" s="71">
        <f>(2.76)</f>
        <v>2.76</v>
      </c>
      <c r="N130" s="50" t="s">
        <v>825</v>
      </c>
      <c r="O130" s="53" t="s">
        <v>353</v>
      </c>
      <c r="P130" s="50" t="s">
        <v>158</v>
      </c>
      <c r="Q130" s="367">
        <v>2025</v>
      </c>
      <c r="R130" s="53">
        <v>21.6</v>
      </c>
      <c r="S130" s="53" t="s">
        <v>121</v>
      </c>
      <c r="V130" s="53">
        <v>4.7</v>
      </c>
      <c r="AA130" s="78">
        <f t="shared" si="13"/>
        <v>0</v>
      </c>
      <c r="AG130" s="82"/>
      <c r="AN130" s="53">
        <v>96</v>
      </c>
      <c r="AR130" s="264" t="str">
        <f ca="1">IF(LEN(Q130)=4,IF(Q130&lt;YEAR(NOW()),_xlfn.CONCAT(IF(LOWER(Setting!rng_language)="english","Expired ","Expiré "),Q130),""),"")</f>
        <v>Expired 2025</v>
      </c>
      <c r="AT130" s="53" t="b">
        <f>ISNUMBER(MATCH(IF(LEN('USER INPUT SHEET'!rng_province)&gt;0,'USER INPUT SHEET'!rng_province,"Canada"),$AU130:$BD130,0))</f>
        <v>0</v>
      </c>
      <c r="AU130" s="1286"/>
      <c r="AV130" s="1286"/>
      <c r="AW130" s="1286"/>
      <c r="AX130" s="1286"/>
      <c r="AY130" s="1286"/>
      <c r="AZ130" s="1286"/>
      <c r="BA130" s="1286"/>
      <c r="BB130" s="1286"/>
      <c r="BC130" s="1286"/>
      <c r="BD130" s="1286"/>
    </row>
    <row r="131" spans="1:56" ht="15.75" customHeight="1" x14ac:dyDescent="0.3">
      <c r="A131" s="50" t="str">
        <f t="shared" ref="A131:A134" si="15">B131&amp;" / "&amp;C131&amp;" / "&amp;D131&amp;" / "&amp;E131</f>
        <v>EPS foam board with graphite / BASF  / Neopor F 5200 Plus / R 4.7-inch, Type IX, 25 psi</v>
      </c>
      <c r="B131" s="50" t="s">
        <v>348</v>
      </c>
      <c r="C131" s="50" t="s">
        <v>349</v>
      </c>
      <c r="D131" s="50" t="s">
        <v>4194</v>
      </c>
      <c r="E131" s="53" t="s">
        <v>4195</v>
      </c>
      <c r="H131" s="50" t="s">
        <v>4196</v>
      </c>
      <c r="I131" s="50" t="s">
        <v>3515</v>
      </c>
      <c r="J131" s="401">
        <v>45328</v>
      </c>
      <c r="K131" s="50">
        <v>2.944</v>
      </c>
      <c r="L131" s="50" t="s">
        <v>3516</v>
      </c>
      <c r="M131" s="70">
        <v>2.944</v>
      </c>
      <c r="N131" s="50" t="s">
        <v>3516</v>
      </c>
      <c r="O131" s="53" t="s">
        <v>4197</v>
      </c>
      <c r="P131" s="50" t="s">
        <v>158</v>
      </c>
      <c r="Q131" s="367">
        <v>2028</v>
      </c>
      <c r="R131" s="53">
        <v>21.62</v>
      </c>
      <c r="S131" s="53" t="s">
        <v>121</v>
      </c>
      <c r="V131" s="53">
        <v>4.7</v>
      </c>
      <c r="W131" s="53">
        <v>3.0685361702127656E-2</v>
      </c>
      <c r="AA131" s="78">
        <f t="shared" si="13"/>
        <v>0</v>
      </c>
      <c r="AG131" s="81"/>
      <c r="AN131" s="53" t="s">
        <v>2239</v>
      </c>
      <c r="AT131" s="53" t="b">
        <f>ISNUMBER(MATCH(IF(LEN('USER INPUT SHEET'!rng_province)&gt;0,'USER INPUT SHEET'!rng_province,"Canada"),$AU131:$BD131,0))</f>
        <v>0</v>
      </c>
      <c r="AU131" s="1286"/>
      <c r="AV131" s="1286"/>
      <c r="AW131" s="1286"/>
      <c r="AX131" s="1286"/>
      <c r="AY131" s="1286"/>
      <c r="AZ131" s="1286"/>
      <c r="BA131" s="1286"/>
      <c r="BB131" s="1286"/>
      <c r="BC131" s="1286"/>
      <c r="BD131" s="1286"/>
    </row>
    <row r="132" spans="1:56" ht="15.75" customHeight="1" x14ac:dyDescent="0.3">
      <c r="A132" s="50" t="str">
        <f t="shared" si="15"/>
        <v>EPS foam board with graphite / BASF  / Neopor F 5200 &amp; F 5300 Plus BMB / R 4.7/inch, Type II, 15 psi (Type 2, 110 kPa)</v>
      </c>
      <c r="B132" s="50" t="s">
        <v>348</v>
      </c>
      <c r="C132" s="50" t="s">
        <v>349</v>
      </c>
      <c r="D132" s="50" t="s">
        <v>4198</v>
      </c>
      <c r="E132" s="53" t="s">
        <v>1127</v>
      </c>
      <c r="H132" s="50"/>
      <c r="I132" s="50" t="s">
        <v>3515</v>
      </c>
      <c r="J132" s="401">
        <v>45293</v>
      </c>
      <c r="K132" s="50">
        <v>2.3130000000000002</v>
      </c>
      <c r="L132" s="50" t="s">
        <v>3516</v>
      </c>
      <c r="M132" s="70">
        <v>2.3130000000000002</v>
      </c>
      <c r="N132" s="50" t="s">
        <v>3516</v>
      </c>
      <c r="O132" s="53" t="s">
        <v>4199</v>
      </c>
      <c r="P132" s="50" t="s">
        <v>4200</v>
      </c>
      <c r="Q132" s="401">
        <v>46905</v>
      </c>
      <c r="R132" s="53">
        <v>21.6</v>
      </c>
      <c r="S132" s="53" t="s">
        <v>121</v>
      </c>
      <c r="V132" s="53">
        <v>4.7</v>
      </c>
      <c r="AA132" s="78">
        <f t="shared" si="13"/>
        <v>0</v>
      </c>
      <c r="AG132" s="81"/>
      <c r="AN132" s="53" t="s">
        <v>2315</v>
      </c>
      <c r="AT132" s="53" t="b">
        <f>ISNUMBER(MATCH(IF(LEN('USER INPUT SHEET'!rng_province)&gt;0,'USER INPUT SHEET'!rng_province,"Canada"),$AU132:$BD132,0))</f>
        <v>0</v>
      </c>
      <c r="AU132" s="1286"/>
      <c r="AV132" s="1286"/>
      <c r="AW132" s="1286"/>
      <c r="AX132" s="1286"/>
      <c r="AY132" s="1286"/>
      <c r="AZ132" s="1286"/>
      <c r="BA132" s="1286"/>
      <c r="BB132" s="1286"/>
      <c r="BC132" s="1286"/>
      <c r="BD132" s="1286"/>
    </row>
    <row r="133" spans="1:56" ht="15.75" customHeight="1" x14ac:dyDescent="0.3">
      <c r="A133" s="50" t="str">
        <f t="shared" si="15"/>
        <v>EPS foam board with graphite / BASF  / Neopor F 5200 &amp; F 5300 Plus BMB / R 4.7/inch, Type IX, 25 psi (Type 9, 175 kPa)</v>
      </c>
      <c r="B133" s="50" t="s">
        <v>348</v>
      </c>
      <c r="C133" s="50" t="s">
        <v>349</v>
      </c>
      <c r="D133" s="50" t="s">
        <v>4198</v>
      </c>
      <c r="E133" s="53" t="s">
        <v>4201</v>
      </c>
      <c r="H133" s="50"/>
      <c r="I133" s="50" t="s">
        <v>3515</v>
      </c>
      <c r="J133" s="401">
        <v>45293</v>
      </c>
      <c r="K133" s="50">
        <v>3.0840000000000001</v>
      </c>
      <c r="L133" s="50" t="s">
        <v>3516</v>
      </c>
      <c r="M133" s="70">
        <v>3.0840000000000001</v>
      </c>
      <c r="N133" s="50" t="s">
        <v>3516</v>
      </c>
      <c r="O133" s="53" t="s">
        <v>4199</v>
      </c>
      <c r="P133" s="50" t="s">
        <v>4200</v>
      </c>
      <c r="Q133" s="401">
        <v>46905</v>
      </c>
      <c r="R133" s="53">
        <v>28.8</v>
      </c>
      <c r="S133" s="53" t="s">
        <v>121</v>
      </c>
      <c r="V133" s="53">
        <v>4.7</v>
      </c>
      <c r="AA133" s="78">
        <f t="shared" si="13"/>
        <v>0</v>
      </c>
      <c r="AG133" s="81"/>
      <c r="AN133" s="53" t="s">
        <v>4202</v>
      </c>
      <c r="AT133" s="53" t="b">
        <f>ISNUMBER(MATCH(IF(LEN('USER INPUT SHEET'!rng_province)&gt;0,'USER INPUT SHEET'!rng_province,"Canada"),$AU133:$BD133,0))</f>
        <v>0</v>
      </c>
      <c r="AU133" s="1286"/>
      <c r="AV133" s="1286"/>
      <c r="AW133" s="1286"/>
      <c r="AX133" s="1286"/>
      <c r="AY133" s="1286"/>
      <c r="AZ133" s="1286"/>
      <c r="BA133" s="1286"/>
      <c r="BB133" s="1286"/>
      <c r="BC133" s="1286"/>
      <c r="BD133" s="1286"/>
    </row>
    <row r="134" spans="1:56" ht="15.75" customHeight="1" x14ac:dyDescent="0.3">
      <c r="A134" s="50" t="str">
        <f t="shared" si="15"/>
        <v>EPS foam board with graphite / BASF / Neopor F 5200 Plus / R 4.7/inch, Type II, 15 psi (Type 2, 110 kPa)</v>
      </c>
      <c r="B134" s="50" t="s">
        <v>348</v>
      </c>
      <c r="C134" s="50" t="s">
        <v>352</v>
      </c>
      <c r="D134" s="50" t="s">
        <v>4194</v>
      </c>
      <c r="E134" s="53" t="s">
        <v>1127</v>
      </c>
      <c r="H134" s="50" t="s">
        <v>4196</v>
      </c>
      <c r="I134" s="50" t="s">
        <v>3515</v>
      </c>
      <c r="J134" s="401">
        <v>45328</v>
      </c>
      <c r="K134" s="50">
        <v>2.2749999999999999</v>
      </c>
      <c r="L134" s="50" t="s">
        <v>3516</v>
      </c>
      <c r="M134" s="70">
        <v>2.2749999999999999</v>
      </c>
      <c r="N134" s="50" t="s">
        <v>3516</v>
      </c>
      <c r="O134" s="53" t="s">
        <v>4197</v>
      </c>
      <c r="P134" s="50" t="s">
        <v>158</v>
      </c>
      <c r="Q134" s="367">
        <v>2028</v>
      </c>
      <c r="R134" s="53">
        <v>14.42</v>
      </c>
      <c r="S134" s="53" t="s">
        <v>121</v>
      </c>
      <c r="V134" s="53">
        <v>4.7</v>
      </c>
      <c r="W134" s="53">
        <v>3.0685361702127656E-2</v>
      </c>
      <c r="AA134" s="78">
        <f t="shared" si="13"/>
        <v>0</v>
      </c>
      <c r="AG134" s="81"/>
      <c r="AN134" s="53" t="s">
        <v>2278</v>
      </c>
      <c r="AT134" s="53" t="b">
        <f>ISNUMBER(MATCH(IF(LEN('USER INPUT SHEET'!rng_province)&gt;0,'USER INPUT SHEET'!rng_province,"Canada"),$AU134:$BD134,0))</f>
        <v>0</v>
      </c>
      <c r="AU134" s="1286"/>
      <c r="AV134" s="1286"/>
      <c r="AW134" s="1286"/>
      <c r="AX134" s="1286"/>
      <c r="AY134" s="1286"/>
      <c r="AZ134" s="1286"/>
      <c r="BA134" s="1286"/>
      <c r="BB134" s="1286"/>
      <c r="BC134" s="1286"/>
      <c r="BD134" s="1286"/>
    </row>
    <row r="135" spans="1:56" ht="15.75" customHeight="1" x14ac:dyDescent="0.3">
      <c r="A135" s="50" t="str">
        <f t="shared" si="9"/>
        <v>Fiber Cement roofing / Cembrit / Corrugated sheets / 6.5 mm</v>
      </c>
      <c r="B135" s="50" t="s">
        <v>354</v>
      </c>
      <c r="C135" s="50" t="s">
        <v>355</v>
      </c>
      <c r="D135" s="50" t="s">
        <v>356</v>
      </c>
      <c r="E135" s="50" t="s">
        <v>865</v>
      </c>
      <c r="H135" s="50"/>
      <c r="I135" s="50" t="s">
        <v>120</v>
      </c>
      <c r="J135" s="50"/>
      <c r="K135" s="50">
        <v>0.80400000000000005</v>
      </c>
      <c r="L135" s="50" t="s">
        <v>841</v>
      </c>
      <c r="M135" s="71">
        <f>(K135*R135)</f>
        <v>8.3093400000000006</v>
      </c>
      <c r="N135" s="50" t="s">
        <v>866</v>
      </c>
      <c r="O135" s="53" t="s">
        <v>357</v>
      </c>
      <c r="P135" s="53" t="s">
        <v>122</v>
      </c>
      <c r="Q135" s="367">
        <v>2021</v>
      </c>
      <c r="R135" s="58">
        <f>1590*0.0065</f>
        <v>10.334999999999999</v>
      </c>
      <c r="S135" s="53" t="s">
        <v>141</v>
      </c>
      <c r="Y135" s="53">
        <v>0.04</v>
      </c>
      <c r="Z135" s="53">
        <v>0.5</v>
      </c>
      <c r="AA135" s="82">
        <f>(AC135*AD135)*rng_biogenic_storage</f>
        <v>0.34229520000000002</v>
      </c>
      <c r="AB135" s="53" t="s">
        <v>5</v>
      </c>
      <c r="AC135" s="53">
        <v>1.84</v>
      </c>
      <c r="AD135" s="53">
        <f>R135*Y135*Z135</f>
        <v>0.20669999999999999</v>
      </c>
      <c r="AG135" s="82"/>
      <c r="AN135" s="53">
        <v>97</v>
      </c>
      <c r="AR135" s="264" t="str">
        <f ca="1">IF(LEN(Q135)=4,IF(Q135&lt;YEAR(NOW()),_xlfn.CONCAT(IF(LOWER(Setting!rng_language)="english","Expired ","Expiré "),Q135),""),"")</f>
        <v>Expired 2021</v>
      </c>
      <c r="AT135" s="53" t="b">
        <f>ISNUMBER(MATCH(IF(LEN('USER INPUT SHEET'!rng_province)&gt;0,'USER INPUT SHEET'!rng_province,"Canada"),$AU135:$BD135,0))</f>
        <v>0</v>
      </c>
      <c r="AU135" s="1286"/>
      <c r="AV135" s="1286"/>
      <c r="AW135" s="1286"/>
      <c r="AX135" s="1286"/>
      <c r="AY135" s="1286"/>
      <c r="AZ135" s="1286"/>
      <c r="BA135" s="1286"/>
      <c r="BB135" s="1286"/>
      <c r="BC135" s="1286"/>
      <c r="BD135" s="1286"/>
    </row>
    <row r="136" spans="1:56" ht="15.75" customHeight="1" x14ac:dyDescent="0.3">
      <c r="A136" s="50" t="str">
        <f t="shared" si="9"/>
        <v>Fiber Cement roofing / Cembrit / Slates / 4 mm</v>
      </c>
      <c r="B136" s="50" t="s">
        <v>354</v>
      </c>
      <c r="C136" s="50" t="s">
        <v>355</v>
      </c>
      <c r="D136" s="50" t="s">
        <v>358</v>
      </c>
      <c r="E136" s="50" t="s">
        <v>863</v>
      </c>
      <c r="H136" s="50"/>
      <c r="I136" s="50" t="s">
        <v>120</v>
      </c>
      <c r="J136" s="50"/>
      <c r="K136" s="50">
        <v>0.94599999999999995</v>
      </c>
      <c r="L136" s="50" t="s">
        <v>841</v>
      </c>
      <c r="M136" s="71">
        <f>(K136*R136)</f>
        <v>7.0004</v>
      </c>
      <c r="N136" s="50" t="s">
        <v>864</v>
      </c>
      <c r="O136" s="53" t="s">
        <v>359</v>
      </c>
      <c r="P136" s="53" t="s">
        <v>122</v>
      </c>
      <c r="Q136" s="367">
        <v>2021</v>
      </c>
      <c r="R136" s="58">
        <f>1850*0.004</f>
        <v>7.4</v>
      </c>
      <c r="S136" s="53" t="s">
        <v>141</v>
      </c>
      <c r="Y136" s="53">
        <v>3.5000000000000003E-2</v>
      </c>
      <c r="Z136" s="53">
        <v>0.5</v>
      </c>
      <c r="AA136" s="82">
        <f>(AC136*AD136)*rng_biogenic_storage</f>
        <v>0.21445200000000006</v>
      </c>
      <c r="AB136" s="53" t="s">
        <v>5</v>
      </c>
      <c r="AC136" s="53">
        <v>1.84</v>
      </c>
      <c r="AD136" s="53">
        <f>R136*Y136*Z136</f>
        <v>0.12950000000000003</v>
      </c>
      <c r="AG136" s="82"/>
      <c r="AN136" s="53">
        <v>98</v>
      </c>
      <c r="AR136" s="264" t="str">
        <f ca="1">IF(LEN(Q136)=4,IF(Q136&lt;YEAR(NOW()),_xlfn.CONCAT(IF(LOWER(Setting!rng_language)="english","Expired ","Expiré "),Q136),""),"")</f>
        <v>Expired 2021</v>
      </c>
      <c r="AT136" s="53" t="b">
        <f>ISNUMBER(MATCH(IF(LEN('USER INPUT SHEET'!rng_province)&gt;0,'USER INPUT SHEET'!rng_province,"Canada"),$AU136:$BD136,0))</f>
        <v>0</v>
      </c>
      <c r="AU136" s="1286"/>
      <c r="AV136" s="1286"/>
      <c r="AW136" s="1286"/>
      <c r="AX136" s="1286"/>
      <c r="AY136" s="1286"/>
      <c r="AZ136" s="1286"/>
      <c r="BA136" s="1286"/>
      <c r="BB136" s="1286"/>
      <c r="BC136" s="1286"/>
      <c r="BD136" s="1286"/>
    </row>
    <row r="137" spans="1:56" ht="15.75" customHeight="1" x14ac:dyDescent="0.3">
      <c r="A137" s="50" t="str">
        <f t="shared" si="9"/>
        <v>(ARCHIVED 2025) Fiber Cement roofing / Mahaphant / Fibre-Cement / 5 mm</v>
      </c>
      <c r="B137" s="50" t="s">
        <v>4203</v>
      </c>
      <c r="C137" s="50" t="s">
        <v>3301</v>
      </c>
      <c r="D137" s="50" t="s">
        <v>360</v>
      </c>
      <c r="E137" s="50" t="s">
        <v>361</v>
      </c>
      <c r="H137" s="50"/>
      <c r="I137" s="50" t="s">
        <v>120</v>
      </c>
      <c r="J137" s="50"/>
      <c r="K137" s="50">
        <v>0.87</v>
      </c>
      <c r="L137" s="50" t="s">
        <v>841</v>
      </c>
      <c r="M137" s="71">
        <f>(K137*R137)</f>
        <v>6.4815000000000005</v>
      </c>
      <c r="N137" s="50" t="s">
        <v>862</v>
      </c>
      <c r="O137" s="53" t="s">
        <v>362</v>
      </c>
      <c r="P137" s="53" t="s">
        <v>122</v>
      </c>
      <c r="Q137" s="367">
        <v>2019</v>
      </c>
      <c r="R137" s="53">
        <f>1490*0.005</f>
        <v>7.45</v>
      </c>
      <c r="S137" s="53" t="s">
        <v>141</v>
      </c>
      <c r="Y137" s="53">
        <v>0.03</v>
      </c>
      <c r="Z137" s="53">
        <v>0.5</v>
      </c>
      <c r="AA137" s="82">
        <f>(AC137*AD137)*rng_biogenic_storage</f>
        <v>0.18505800000000003</v>
      </c>
      <c r="AB137" s="53" t="s">
        <v>5</v>
      </c>
      <c r="AC137" s="53">
        <v>1.84</v>
      </c>
      <c r="AD137" s="53">
        <f>R137*Y137*Z137</f>
        <v>0.11175</v>
      </c>
      <c r="AG137" s="82"/>
      <c r="AN137" s="53">
        <v>99</v>
      </c>
      <c r="AR137" s="264" t="str">
        <f ca="1">IF(LEN(Q137)=4,IF(Q137&lt;YEAR(NOW()),_xlfn.CONCAT(IF(LOWER(Setting!rng_language)="english","Expired ","Expiré "),Q137),""),"")</f>
        <v>Expired 2019</v>
      </c>
      <c r="AT137" s="53" t="b">
        <f>ISNUMBER(MATCH(IF(LEN('USER INPUT SHEET'!rng_province)&gt;0,'USER INPUT SHEET'!rng_province,"Canada"),$AU137:$BD137,0))</f>
        <v>0</v>
      </c>
      <c r="AU137" s="1286"/>
      <c r="AV137" s="1286"/>
      <c r="AW137" s="1286"/>
      <c r="AX137" s="1286"/>
      <c r="AY137" s="1286"/>
      <c r="AZ137" s="1286"/>
      <c r="BA137" s="1286"/>
      <c r="BB137" s="1286"/>
      <c r="BC137" s="1286"/>
      <c r="BD137" s="1286"/>
    </row>
    <row r="138" spans="1:56" ht="15.75" customHeight="1" x14ac:dyDescent="0.3">
      <c r="A138" s="50" t="str">
        <f t="shared" si="9"/>
        <v xml:space="preserve">(ARCHIVED 2025) Fiber Cement siding / Cembrit / Patina / </v>
      </c>
      <c r="B138" s="50" t="s">
        <v>4204</v>
      </c>
      <c r="C138" s="50" t="s">
        <v>355</v>
      </c>
      <c r="D138" s="50" t="s">
        <v>364</v>
      </c>
      <c r="E138" s="50"/>
      <c r="H138" s="50"/>
      <c r="I138" s="50" t="s">
        <v>120</v>
      </c>
      <c r="J138" s="50"/>
      <c r="K138" s="50">
        <v>790</v>
      </c>
      <c r="L138" s="50" t="s">
        <v>842</v>
      </c>
      <c r="M138" s="71">
        <f>((K138*R138)/1000*AI138)</f>
        <v>11.186399999999999</v>
      </c>
      <c r="N138" s="50" t="s">
        <v>831</v>
      </c>
      <c r="O138" s="50" t="s">
        <v>365</v>
      </c>
      <c r="P138" s="50" t="s">
        <v>366</v>
      </c>
      <c r="Q138" s="172">
        <v>2023</v>
      </c>
      <c r="R138" s="50">
        <v>1770</v>
      </c>
      <c r="S138" s="50" t="s">
        <v>121</v>
      </c>
      <c r="T138" s="50">
        <f>R138*0.008</f>
        <v>14.16</v>
      </c>
      <c r="U138" s="50" t="s">
        <v>367</v>
      </c>
      <c r="V138" s="50"/>
      <c r="W138" s="50"/>
      <c r="X138" s="50"/>
      <c r="Y138" s="50">
        <v>9.5000000000000001E-2</v>
      </c>
      <c r="Z138" s="50">
        <v>0.5</v>
      </c>
      <c r="AA138" s="82">
        <f>(AC138*AD138)*rng_biogenic_storage</f>
        <v>1.1138256</v>
      </c>
      <c r="AB138" s="53" t="s">
        <v>5</v>
      </c>
      <c r="AC138" s="53">
        <v>1.84</v>
      </c>
      <c r="AD138" s="53">
        <f>T138*Y138*Z138</f>
        <v>0.67259999999999998</v>
      </c>
      <c r="AE138" s="50"/>
      <c r="AF138" s="50"/>
      <c r="AG138" s="82"/>
      <c r="AH138" s="50"/>
      <c r="AI138" s="167">
        <v>8.0000000000000002E-3</v>
      </c>
      <c r="AJ138" s="167">
        <v>3.05</v>
      </c>
      <c r="AK138" s="167">
        <v>1.25</v>
      </c>
      <c r="AL138" s="50"/>
      <c r="AN138" s="53">
        <v>100</v>
      </c>
      <c r="AR138" s="264" t="str">
        <f ca="1">IF(LEN(Q138)=4,IF(Q138&lt;YEAR(NOW()),_xlfn.CONCAT(IF(LOWER(Setting!rng_language)="english","Expired ","Expiré "),Q138),""),"")</f>
        <v>Expired 2023</v>
      </c>
      <c r="AT138" s="53" t="b">
        <f>ISNUMBER(MATCH(IF(LEN('USER INPUT SHEET'!rng_province)&gt;0,'USER INPUT SHEET'!rng_province,"Canada"),$AU138:$BD138,0))</f>
        <v>0</v>
      </c>
      <c r="AU138" s="1286"/>
      <c r="AV138" s="1286"/>
      <c r="AW138" s="1286"/>
      <c r="AX138" s="1286"/>
      <c r="AY138" s="1286"/>
      <c r="AZ138" s="1286"/>
      <c r="BA138" s="1286"/>
      <c r="BB138" s="1286"/>
      <c r="BC138" s="1286"/>
      <c r="BD138" s="1286"/>
    </row>
    <row r="139" spans="1:56" ht="15.75" customHeight="1" x14ac:dyDescent="0.3">
      <c r="A139" s="50" t="str">
        <f t="shared" si="9"/>
        <v xml:space="preserve">(ARCHIVED 2025) Fiber Cement siding / Cembrit / Solid &amp; Express / </v>
      </c>
      <c r="B139" s="50" t="s">
        <v>4204</v>
      </c>
      <c r="C139" s="50" t="s">
        <v>355</v>
      </c>
      <c r="D139" s="50" t="s">
        <v>368</v>
      </c>
      <c r="E139" s="50"/>
      <c r="H139" s="50"/>
      <c r="I139" s="50" t="s">
        <v>120</v>
      </c>
      <c r="J139" s="50"/>
      <c r="K139" s="50">
        <v>1790</v>
      </c>
      <c r="L139" s="50" t="s">
        <v>842</v>
      </c>
      <c r="M139" s="71">
        <f>((K139*R139)/1000*AI139)</f>
        <v>25.346400000000003</v>
      </c>
      <c r="N139" s="50" t="s">
        <v>831</v>
      </c>
      <c r="O139" s="50" t="s">
        <v>365</v>
      </c>
      <c r="P139" s="50" t="s">
        <v>366</v>
      </c>
      <c r="Q139" s="172">
        <v>2023</v>
      </c>
      <c r="R139" s="50">
        <v>1770</v>
      </c>
      <c r="S139" s="50" t="s">
        <v>121</v>
      </c>
      <c r="T139" s="50">
        <f>R139*0.008</f>
        <v>14.16</v>
      </c>
      <c r="U139" s="50" t="s">
        <v>367</v>
      </c>
      <c r="V139" s="50"/>
      <c r="W139" s="50"/>
      <c r="X139" s="50"/>
      <c r="Y139" s="50">
        <v>9.5000000000000001E-2</v>
      </c>
      <c r="Z139" s="50">
        <v>0.5</v>
      </c>
      <c r="AA139" s="82">
        <f>(AC139*AD139)*rng_biogenic_storage</f>
        <v>1.1138256</v>
      </c>
      <c r="AB139" s="53" t="s">
        <v>5</v>
      </c>
      <c r="AC139" s="53">
        <v>1.84</v>
      </c>
      <c r="AD139" s="53">
        <f>T139*Y139*Z139</f>
        <v>0.67259999999999998</v>
      </c>
      <c r="AE139" s="50"/>
      <c r="AF139" s="50"/>
      <c r="AG139" s="82"/>
      <c r="AH139" s="50"/>
      <c r="AI139" s="167">
        <v>8.0000000000000002E-3</v>
      </c>
      <c r="AJ139" s="167">
        <v>2.5</v>
      </c>
      <c r="AK139" s="167">
        <v>1.25</v>
      </c>
      <c r="AL139" s="50"/>
      <c r="AN139" s="53">
        <v>101</v>
      </c>
      <c r="AR139" s="264" t="str">
        <f ca="1">IF(LEN(Q139)=4,IF(Q139&lt;YEAR(NOW()),_xlfn.CONCAT(IF(LOWER(Setting!rng_language)="english","Expired ","Expiré "),Q139),""),"")</f>
        <v>Expired 2023</v>
      </c>
      <c r="AT139" s="53" t="b">
        <f>ISNUMBER(MATCH(IF(LEN('USER INPUT SHEET'!rng_province)&gt;0,'USER INPUT SHEET'!rng_province,"Canada"),$AU139:$BD139,0))</f>
        <v>0</v>
      </c>
      <c r="AU139" s="1286"/>
      <c r="AV139" s="1286"/>
      <c r="AW139" s="1286"/>
      <c r="AX139" s="1286"/>
      <c r="AY139" s="1286"/>
      <c r="AZ139" s="1286"/>
      <c r="BA139" s="1286"/>
      <c r="BB139" s="1286"/>
      <c r="BC139" s="1286"/>
      <c r="BD139" s="1286"/>
    </row>
    <row r="140" spans="1:56" ht="15.75" customHeight="1" x14ac:dyDescent="0.3">
      <c r="A140" s="50" t="str">
        <f t="shared" si="9"/>
        <v>(ARCHIVED 2026) Fiberglass batt / CertainTeed / Sustainable Insulation / R 3.6/inch</v>
      </c>
      <c r="B140" s="50" t="s">
        <v>7279</v>
      </c>
      <c r="C140" s="50" t="s">
        <v>325</v>
      </c>
      <c r="D140" s="50" t="s">
        <v>370</v>
      </c>
      <c r="E140" s="50" t="s">
        <v>204</v>
      </c>
      <c r="H140" s="50"/>
      <c r="I140" s="50" t="s">
        <v>129</v>
      </c>
      <c r="J140" s="50"/>
      <c r="K140" s="50">
        <v>0.94</v>
      </c>
      <c r="L140" s="50" t="s">
        <v>825</v>
      </c>
      <c r="M140" s="71">
        <f>(0.94)</f>
        <v>0.94</v>
      </c>
      <c r="N140" s="50" t="s">
        <v>825</v>
      </c>
      <c r="O140" s="53" t="s">
        <v>371</v>
      </c>
      <c r="P140" s="50" t="s">
        <v>143</v>
      </c>
      <c r="Q140" s="367">
        <v>2024</v>
      </c>
      <c r="R140" s="53">
        <v>0.48799999999999999</v>
      </c>
      <c r="S140" s="53" t="s">
        <v>372</v>
      </c>
      <c r="V140" s="53">
        <v>3.64</v>
      </c>
      <c r="AA140" s="78">
        <f t="shared" ref="AA140:AA166" si="16">_xlfn.NUMBERVALUE(IF(LEN(AG140)&gt;0,AG140,0))</f>
        <v>0</v>
      </c>
      <c r="AG140" s="82"/>
      <c r="AN140" s="53">
        <v>102</v>
      </c>
      <c r="AR140" s="264" t="str">
        <f ca="1">IF(LEN(Q140)=4,IF(Q140&lt;YEAR(NOW()),_xlfn.CONCAT(IF(LOWER(Setting!rng_language)="english","Expired ","Expiré "),Q140),""),"")</f>
        <v>Expired 2024</v>
      </c>
      <c r="AT140" s="53" t="b">
        <f>ISNUMBER(MATCH(IF(LEN('USER INPUT SHEET'!rng_province)&gt;0,'USER INPUT SHEET'!rng_province,"Canada"),$AU140:$BD140,0))</f>
        <v>0</v>
      </c>
      <c r="AU140" s="1286"/>
      <c r="AV140" s="1286"/>
      <c r="AW140" s="1286"/>
      <c r="AX140" s="1286"/>
      <c r="AY140" s="1286"/>
      <c r="AZ140" s="1286"/>
      <c r="BA140" s="1286"/>
      <c r="BB140" s="1286"/>
      <c r="BC140" s="1286"/>
      <c r="BD140" s="1286"/>
    </row>
    <row r="141" spans="1:56" ht="15.75" customHeight="1" x14ac:dyDescent="0.3">
      <c r="A141" s="50" t="str">
        <f t="shared" si="9"/>
        <v>(ARCHIVED 2025) Fiberglass batt / Knauf / EcoBatt / R 3.6/inch</v>
      </c>
      <c r="B141" s="50" t="s">
        <v>4205</v>
      </c>
      <c r="C141" s="50" t="s">
        <v>373</v>
      </c>
      <c r="D141" s="50" t="s">
        <v>374</v>
      </c>
      <c r="E141" s="50" t="s">
        <v>204</v>
      </c>
      <c r="H141" s="50"/>
      <c r="I141" s="50" t="s">
        <v>129</v>
      </c>
      <c r="J141" s="50"/>
      <c r="K141" s="50">
        <v>0.61</v>
      </c>
      <c r="L141" s="50" t="s">
        <v>825</v>
      </c>
      <c r="M141" s="71">
        <f>(0.61)</f>
        <v>0.61</v>
      </c>
      <c r="N141" s="50" t="s">
        <v>825</v>
      </c>
      <c r="O141" s="50" t="s">
        <v>375</v>
      </c>
      <c r="P141" s="50" t="s">
        <v>206</v>
      </c>
      <c r="Q141" s="367">
        <v>2023</v>
      </c>
      <c r="V141" s="53">
        <v>3.64</v>
      </c>
      <c r="AA141" s="78">
        <f t="shared" si="16"/>
        <v>0</v>
      </c>
      <c r="AG141" s="82"/>
      <c r="AN141" s="53">
        <v>103</v>
      </c>
      <c r="AR141" s="264" t="str">
        <f ca="1">IF(LEN(Q141)=4,IF(Q141&lt;YEAR(NOW()),_xlfn.CONCAT(IF(LOWER(Setting!rng_language)="english","Expired ","Expiré "),Q141),""),"")</f>
        <v>Expired 2023</v>
      </c>
      <c r="AT141" s="53" t="b">
        <f>ISNUMBER(MATCH(IF(LEN('USER INPUT SHEET'!rng_province)&gt;0,'USER INPUT SHEET'!rng_province,"Canada"),$AU141:$BD141,0))</f>
        <v>0</v>
      </c>
      <c r="AU141" s="1286"/>
      <c r="AV141" s="1286"/>
      <c r="AW141" s="1286"/>
      <c r="AX141" s="1286"/>
      <c r="AY141" s="1286"/>
      <c r="AZ141" s="1286"/>
      <c r="BA141" s="1286"/>
      <c r="BB141" s="1286"/>
      <c r="BC141" s="1286"/>
      <c r="BD141" s="1286"/>
    </row>
    <row r="142" spans="1:56" ht="15.75" customHeight="1" x14ac:dyDescent="0.3">
      <c r="A142" s="50" t="str">
        <f t="shared" si="9"/>
        <v>(ARCHIVED 2025) Fiberglass batt / Owens Corning / EcoTouch Pink batt and roll / R 3.6/inch</v>
      </c>
      <c r="B142" s="50" t="s">
        <v>4205</v>
      </c>
      <c r="C142" s="50" t="s">
        <v>159</v>
      </c>
      <c r="D142" s="50" t="s">
        <v>376</v>
      </c>
      <c r="E142" s="50" t="s">
        <v>204</v>
      </c>
      <c r="H142" s="50"/>
      <c r="I142" s="50" t="s">
        <v>124</v>
      </c>
      <c r="J142" s="50"/>
      <c r="K142" s="50">
        <v>0.46400000000000002</v>
      </c>
      <c r="L142" s="50" t="s">
        <v>825</v>
      </c>
      <c r="M142" s="71">
        <f>(0.464)</f>
        <v>0.46400000000000002</v>
      </c>
      <c r="N142" s="50" t="s">
        <v>825</v>
      </c>
      <c r="O142" s="50" t="s">
        <v>377</v>
      </c>
      <c r="P142" s="50" t="s">
        <v>143</v>
      </c>
      <c r="Q142" s="367">
        <v>2023</v>
      </c>
      <c r="V142" s="53">
        <v>3.64</v>
      </c>
      <c r="AA142" s="78">
        <f t="shared" si="16"/>
        <v>0</v>
      </c>
      <c r="AG142" s="82"/>
      <c r="AN142" s="53">
        <v>104</v>
      </c>
      <c r="AR142" s="264" t="str">
        <f ca="1">IF(LEN(Q142)=4,IF(Q142&lt;YEAR(NOW()),_xlfn.CONCAT(IF(LOWER(Setting!rng_language)="english","Expired ","Expiré "),Q142),""),"")</f>
        <v>Expired 2023</v>
      </c>
      <c r="AT142" s="53" t="b">
        <f>ISNUMBER(MATCH(IF(LEN('USER INPUT SHEET'!rng_province)&gt;0,'USER INPUT SHEET'!rng_province,"Canada"),$AU142:$BD142,0))</f>
        <v>0</v>
      </c>
      <c r="AU142" s="1286"/>
      <c r="AV142" s="1286"/>
      <c r="AW142" s="1286"/>
      <c r="AX142" s="1286"/>
      <c r="AY142" s="1286"/>
      <c r="AZ142" s="1286"/>
      <c r="BA142" s="1286"/>
      <c r="BB142" s="1286"/>
      <c r="BC142" s="1286"/>
      <c r="BD142" s="1286"/>
    </row>
    <row r="143" spans="1:56" ht="15.75" customHeight="1" x14ac:dyDescent="0.3">
      <c r="A143" s="50" t="str">
        <f t="shared" si="9"/>
        <v>Fiberglass batt / Johns Manville / Unfaced, ComfortTherm, Cavity-SHIELD, FSK-25 / R 3.4/inch</v>
      </c>
      <c r="B143" s="50" t="s">
        <v>369</v>
      </c>
      <c r="C143" s="50" t="s">
        <v>3621</v>
      </c>
      <c r="D143" s="50" t="s">
        <v>4206</v>
      </c>
      <c r="E143" s="50" t="s">
        <v>721</v>
      </c>
      <c r="H143" s="50"/>
      <c r="I143" s="50" t="s">
        <v>3500</v>
      </c>
      <c r="J143" s="401">
        <v>45323</v>
      </c>
      <c r="K143" s="50">
        <v>1.1399999999999999</v>
      </c>
      <c r="L143" s="50" t="s">
        <v>3516</v>
      </c>
      <c r="M143" s="70">
        <v>1.1399999999999999</v>
      </c>
      <c r="N143" s="50" t="s">
        <v>3516</v>
      </c>
      <c r="O143" s="50" t="s">
        <v>4207</v>
      </c>
      <c r="P143" s="50" t="s">
        <v>3502</v>
      </c>
      <c r="Q143" s="367">
        <v>2027</v>
      </c>
      <c r="V143" s="53">
        <v>3.4</v>
      </c>
      <c r="AA143" s="78">
        <f t="shared" si="16"/>
        <v>0</v>
      </c>
      <c r="AG143" s="81"/>
      <c r="AN143" s="53" t="s">
        <v>4215</v>
      </c>
      <c r="AT143" s="53" t="b">
        <f>ISNUMBER(MATCH(IF(LEN('USER INPUT SHEET'!rng_province)&gt;0,'USER INPUT SHEET'!rng_province,"Canada"),$AU143:$BD143,0))</f>
        <v>0</v>
      </c>
      <c r="AU143" s="1286"/>
      <c r="AV143" s="1286"/>
      <c r="AW143" s="1286"/>
      <c r="AX143" s="1286"/>
      <c r="AY143" s="1286"/>
      <c r="AZ143" s="1286"/>
      <c r="BA143" s="1286"/>
      <c r="BB143" s="1286"/>
      <c r="BC143" s="1286"/>
      <c r="BD143" s="1286"/>
    </row>
    <row r="144" spans="1:56" ht="15.75" customHeight="1" x14ac:dyDescent="0.3">
      <c r="A144" s="50" t="str">
        <f t="shared" si="9"/>
        <v>Fiberglass batt / NAIMA  /  / R 4.4/inch</v>
      </c>
      <c r="B144" s="50" t="s">
        <v>369</v>
      </c>
      <c r="C144" s="50" t="s">
        <v>509</v>
      </c>
      <c r="D144" s="50"/>
      <c r="E144" s="50" t="s">
        <v>738</v>
      </c>
      <c r="H144" s="50" t="s">
        <v>4208</v>
      </c>
      <c r="I144" s="50" t="s">
        <v>3500</v>
      </c>
      <c r="J144" s="401">
        <v>45144</v>
      </c>
      <c r="K144" s="50">
        <v>1.01</v>
      </c>
      <c r="L144" s="50" t="s">
        <v>3516</v>
      </c>
      <c r="M144" s="70">
        <v>1.01</v>
      </c>
      <c r="N144" s="50" t="s">
        <v>3516</v>
      </c>
      <c r="O144" s="50" t="s">
        <v>4209</v>
      </c>
      <c r="P144" s="50" t="s">
        <v>4125</v>
      </c>
      <c r="Q144" s="401">
        <v>46948</v>
      </c>
      <c r="R144" s="53">
        <v>12.01</v>
      </c>
      <c r="S144" s="53" t="s">
        <v>121</v>
      </c>
      <c r="T144" s="53">
        <v>3.3000000000000002E-2</v>
      </c>
      <c r="U144" s="53" t="s">
        <v>22</v>
      </c>
      <c r="V144" s="53">
        <v>4.37</v>
      </c>
      <c r="W144" s="53">
        <v>3.3002562929061785E-2</v>
      </c>
      <c r="AA144" s="78">
        <f t="shared" si="16"/>
        <v>0</v>
      </c>
      <c r="AG144" s="81"/>
      <c r="AN144" s="53" t="s">
        <v>2209</v>
      </c>
      <c r="AT144" s="53" t="b">
        <f>ISNUMBER(MATCH(IF(LEN('USER INPUT SHEET'!rng_province)&gt;0,'USER INPUT SHEET'!rng_province,"Canada"),$AU144:$BD144,0))</f>
        <v>0</v>
      </c>
      <c r="AU144" s="1286"/>
      <c r="AV144" s="1286"/>
      <c r="AW144" s="1286"/>
      <c r="AX144" s="1286"/>
      <c r="AY144" s="1286"/>
      <c r="AZ144" s="1286"/>
      <c r="BA144" s="1286"/>
      <c r="BB144" s="1286"/>
      <c r="BC144" s="1286"/>
      <c r="BD144" s="1286"/>
    </row>
    <row r="145" spans="1:56" ht="15.75" customHeight="1" x14ac:dyDescent="0.3">
      <c r="A145" s="50" t="str">
        <f t="shared" si="9"/>
        <v>Fiberglass batt &amp; roll  / Owens Corning /  Unfaced, PINK Next Gen Fiberglas / R 3.6/inch avg.</v>
      </c>
      <c r="B145" s="50" t="s">
        <v>4210</v>
      </c>
      <c r="C145" s="50" t="s">
        <v>159</v>
      </c>
      <c r="D145" s="50" t="s">
        <v>4211</v>
      </c>
      <c r="E145" s="50" t="s">
        <v>4212</v>
      </c>
      <c r="H145" s="50"/>
      <c r="I145" s="50" t="s">
        <v>3515</v>
      </c>
      <c r="J145" s="401">
        <v>45383</v>
      </c>
      <c r="K145" s="50">
        <v>0.65900000000000003</v>
      </c>
      <c r="L145" s="50" t="s">
        <v>852</v>
      </c>
      <c r="M145" s="70">
        <v>0.65900000000000003</v>
      </c>
      <c r="N145" s="50" t="s">
        <v>4213</v>
      </c>
      <c r="O145" s="50" t="s">
        <v>4214</v>
      </c>
      <c r="P145" s="50" t="s">
        <v>415</v>
      </c>
      <c r="Q145" s="367">
        <v>2028</v>
      </c>
      <c r="AA145" s="78">
        <f t="shared" si="16"/>
        <v>0</v>
      </c>
      <c r="AG145" s="81"/>
      <c r="AN145" s="53" t="s">
        <v>2142</v>
      </c>
      <c r="AT145" s="53" t="b">
        <f>ISNUMBER(MATCH(IF(LEN('USER INPUT SHEET'!rng_province)&gt;0,'USER INPUT SHEET'!rng_province,"Canada"),$AU145:$BD145,0))</f>
        <v>0</v>
      </c>
      <c r="AU145" s="1286"/>
      <c r="AV145" s="1286"/>
      <c r="AW145" s="1286"/>
      <c r="AX145" s="1286"/>
      <c r="AY145" s="1286"/>
      <c r="AZ145" s="1286"/>
      <c r="BA145" s="1286"/>
      <c r="BB145" s="1286"/>
      <c r="BC145" s="1286"/>
      <c r="BD145" s="1286"/>
    </row>
    <row r="146" spans="1:56" ht="15.75" customHeight="1" x14ac:dyDescent="0.3">
      <c r="A146" s="50" t="str">
        <f t="shared" si="9"/>
        <v>Fiberglass loose fill / CertainTeed / InsulSafe, Optima, TruComfort / R 2.6/inch</v>
      </c>
      <c r="B146" s="50" t="s">
        <v>378</v>
      </c>
      <c r="C146" s="50" t="s">
        <v>325</v>
      </c>
      <c r="D146" s="50" t="s">
        <v>379</v>
      </c>
      <c r="E146" s="50" t="s">
        <v>380</v>
      </c>
      <c r="H146" s="50"/>
      <c r="I146" s="50" t="s">
        <v>129</v>
      </c>
      <c r="J146" s="50"/>
      <c r="K146" s="50">
        <v>1.29</v>
      </c>
      <c r="L146" s="50" t="s">
        <v>825</v>
      </c>
      <c r="M146" s="71">
        <f>(1.29)</f>
        <v>1.29</v>
      </c>
      <c r="N146" s="50" t="s">
        <v>825</v>
      </c>
      <c r="O146" s="53" t="s">
        <v>811</v>
      </c>
      <c r="P146" s="50" t="s">
        <v>143</v>
      </c>
      <c r="Q146" s="367">
        <v>2024</v>
      </c>
      <c r="R146" s="53">
        <v>0.57399999999999995</v>
      </c>
      <c r="S146" s="53" t="s">
        <v>372</v>
      </c>
      <c r="V146" s="53">
        <v>2.6</v>
      </c>
      <c r="AA146" s="78">
        <f t="shared" si="16"/>
        <v>0</v>
      </c>
      <c r="AG146" s="82"/>
      <c r="AN146" s="53">
        <v>105</v>
      </c>
      <c r="AR146" s="264" t="str">
        <f ca="1">IF(LEN(Q146)=4,IF(Q146&lt;YEAR(NOW()),_xlfn.CONCAT(IF(LOWER(Setting!rng_language)="english","Expired ","Expiré "),Q146),""),"")</f>
        <v>Expired 2024</v>
      </c>
      <c r="AT146" s="53" t="b">
        <f>ISNUMBER(MATCH(IF(LEN('USER INPUT SHEET'!rng_province)&gt;0,'USER INPUT SHEET'!rng_province,"Canada"),$AU146:$BD146,0))</f>
        <v>0</v>
      </c>
      <c r="AU146" s="1286"/>
      <c r="AV146" s="1286"/>
      <c r="AW146" s="1286"/>
      <c r="AX146" s="1286"/>
      <c r="AY146" s="1286"/>
      <c r="AZ146" s="1286"/>
      <c r="BA146" s="1286"/>
      <c r="BB146" s="1286"/>
      <c r="BC146" s="1286"/>
      <c r="BD146" s="1286"/>
    </row>
    <row r="147" spans="1:56" ht="15.75" customHeight="1" x14ac:dyDescent="0.3">
      <c r="A147" s="50" t="str">
        <f t="shared" si="9"/>
        <v>(ARCHIVED 2025) Fiberglass loose fill / Knauf / Jet Stream ULTRA / R 2.2/inch</v>
      </c>
      <c r="B147" s="50" t="s">
        <v>4217</v>
      </c>
      <c r="C147" s="50" t="s">
        <v>373</v>
      </c>
      <c r="D147" s="50" t="s">
        <v>381</v>
      </c>
      <c r="E147" s="50" t="s">
        <v>382</v>
      </c>
      <c r="H147" s="50"/>
      <c r="I147" s="50" t="s">
        <v>129</v>
      </c>
      <c r="J147" s="50"/>
      <c r="K147" s="50">
        <v>0.73</v>
      </c>
      <c r="L147" s="50" t="s">
        <v>825</v>
      </c>
      <c r="M147" s="71">
        <f>(0.73)</f>
        <v>0.73</v>
      </c>
      <c r="N147" s="50" t="s">
        <v>825</v>
      </c>
      <c r="O147" s="53" t="s">
        <v>383</v>
      </c>
      <c r="P147" s="50" t="s">
        <v>206</v>
      </c>
      <c r="Q147" s="367">
        <v>2023</v>
      </c>
      <c r="R147" s="53">
        <v>28.8</v>
      </c>
      <c r="S147" s="53" t="s">
        <v>121</v>
      </c>
      <c r="V147" s="53">
        <v>2.2000000000000002</v>
      </c>
      <c r="AA147" s="78">
        <f t="shared" si="16"/>
        <v>0</v>
      </c>
      <c r="AG147" s="82"/>
      <c r="AN147" s="53">
        <v>106</v>
      </c>
      <c r="AR147" s="264" t="str">
        <f ca="1">IF(LEN(Q147)=4,IF(Q147&lt;YEAR(NOW()),_xlfn.CONCAT(IF(LOWER(Setting!rng_language)="english","Expired ","Expiré "),Q147),""),"")</f>
        <v>Expired 2023</v>
      </c>
      <c r="AT147" s="53" t="b">
        <f>ISNUMBER(MATCH(IF(LEN('USER INPUT SHEET'!rng_province)&gt;0,'USER INPUT SHEET'!rng_province,"Canada"),$AU147:$BD147,0))</f>
        <v>0</v>
      </c>
      <c r="AU147" s="1286"/>
      <c r="AV147" s="1286"/>
      <c r="AW147" s="1286"/>
      <c r="AX147" s="1286"/>
      <c r="AY147" s="1286"/>
      <c r="AZ147" s="1286"/>
      <c r="BA147" s="1286"/>
      <c r="BB147" s="1286"/>
      <c r="BC147" s="1286"/>
      <c r="BD147" s="1286"/>
    </row>
    <row r="148" spans="1:56" ht="15.75" customHeight="1" x14ac:dyDescent="0.3">
      <c r="A148" s="50" t="str">
        <f t="shared" si="9"/>
        <v>(ARCHIVED 2025) Fiberglass loose fill / Owens Corning / AttiCat, ProCat, ProPink / R 2.8/inch</v>
      </c>
      <c r="B148" s="50" t="s">
        <v>4217</v>
      </c>
      <c r="C148" s="50" t="s">
        <v>159</v>
      </c>
      <c r="D148" s="50" t="s">
        <v>384</v>
      </c>
      <c r="E148" s="50" t="s">
        <v>385</v>
      </c>
      <c r="H148" s="50"/>
      <c r="I148" s="50" t="s">
        <v>124</v>
      </c>
      <c r="J148" s="51"/>
      <c r="K148" s="51">
        <v>0.98299999999999998</v>
      </c>
      <c r="L148" s="50" t="s">
        <v>825</v>
      </c>
      <c r="M148" s="71">
        <f>(0.983)</f>
        <v>0.98299999999999998</v>
      </c>
      <c r="N148" s="50" t="s">
        <v>825</v>
      </c>
      <c r="O148" s="50" t="s">
        <v>377</v>
      </c>
      <c r="P148" s="50" t="s">
        <v>143</v>
      </c>
      <c r="Q148" s="367">
        <v>2023</v>
      </c>
      <c r="V148" s="53">
        <v>2.84</v>
      </c>
      <c r="AA148" s="78">
        <f t="shared" si="16"/>
        <v>0</v>
      </c>
      <c r="AG148" s="82"/>
      <c r="AN148" s="53">
        <v>107</v>
      </c>
      <c r="AR148" s="264" t="str">
        <f ca="1">IF(LEN(Q148)=4,IF(Q148&lt;YEAR(NOW()),_xlfn.CONCAT(IF(LOWER(Setting!rng_language)="english","Expired ","Expiré "),Q148),""),"")</f>
        <v>Expired 2023</v>
      </c>
      <c r="AT148" s="53" t="b">
        <f>ISNUMBER(MATCH(IF(LEN('USER INPUT SHEET'!rng_province)&gt;0,'USER INPUT SHEET'!rng_province,"Canada"),$AU148:$BD148,0))</f>
        <v>0</v>
      </c>
      <c r="AU148" s="1286"/>
      <c r="AV148" s="1286"/>
      <c r="AW148" s="1286"/>
      <c r="AX148" s="1286"/>
      <c r="AY148" s="1286"/>
      <c r="AZ148" s="1286"/>
      <c r="BA148" s="1286"/>
      <c r="BB148" s="1286"/>
      <c r="BC148" s="1286"/>
      <c r="BD148" s="1286"/>
    </row>
    <row r="149" spans="1:56" ht="15.75" customHeight="1" x14ac:dyDescent="0.3">
      <c r="A149" s="50" t="str">
        <f t="shared" si="9"/>
        <v>Fiberglass loose fill / Owens Corning / AttiCat, ProCat, ProPink / R 3.28/inch</v>
      </c>
      <c r="B149" s="50" t="s">
        <v>378</v>
      </c>
      <c r="C149" s="50" t="s">
        <v>159</v>
      </c>
      <c r="D149" s="50" t="s">
        <v>384</v>
      </c>
      <c r="E149" s="50" t="s">
        <v>4220</v>
      </c>
      <c r="H149" s="50"/>
      <c r="I149" s="50" t="s">
        <v>3515</v>
      </c>
      <c r="J149" s="401">
        <v>45412</v>
      </c>
      <c r="K149" s="55">
        <v>0.872</v>
      </c>
      <c r="L149" s="50" t="s">
        <v>852</v>
      </c>
      <c r="M149" s="70">
        <v>0.872</v>
      </c>
      <c r="N149" s="50" t="s">
        <v>4213</v>
      </c>
      <c r="O149" s="50" t="s">
        <v>4221</v>
      </c>
      <c r="P149" s="50" t="s">
        <v>415</v>
      </c>
      <c r="Q149" s="401">
        <v>46996</v>
      </c>
      <c r="R149" s="53">
        <v>0.56699999999999995</v>
      </c>
      <c r="S149" s="53" t="s">
        <v>372</v>
      </c>
      <c r="V149" s="53">
        <v>3.2777544784095674</v>
      </c>
      <c r="W149" s="53">
        <v>4.4000000900000003E-2</v>
      </c>
      <c r="AA149" s="78">
        <f t="shared" si="16"/>
        <v>0</v>
      </c>
      <c r="AG149" s="81"/>
      <c r="AK149" s="165">
        <v>4.3999999999999997E-2</v>
      </c>
      <c r="AN149" s="53" t="s">
        <v>2211</v>
      </c>
      <c r="AT149" s="53" t="b">
        <f>ISNUMBER(MATCH(IF(LEN('USER INPUT SHEET'!rng_province)&gt;0,'USER INPUT SHEET'!rng_province,"Canada"),$AU149:$BD149,0))</f>
        <v>0</v>
      </c>
      <c r="AU149" s="1286"/>
      <c r="AV149" s="1286"/>
      <c r="AW149" s="1286"/>
      <c r="AX149" s="1286"/>
      <c r="AY149" s="1286"/>
      <c r="AZ149" s="1286"/>
      <c r="BA149" s="1286"/>
      <c r="BB149" s="1286"/>
      <c r="BC149" s="1286"/>
      <c r="BD149" s="1286"/>
    </row>
    <row r="150" spans="1:56" ht="15.75" customHeight="1" x14ac:dyDescent="0.3">
      <c r="A150" s="50" t="str">
        <f t="shared" si="9"/>
        <v>Fiberglass loose fill / NAIMA  / Includes : CertainTeed, Inc. Saint-Gobin, Johns Manville, Knauf Insulation North America, Owens Corning / R 2.2/inch</v>
      </c>
      <c r="B150" s="50" t="s">
        <v>378</v>
      </c>
      <c r="C150" s="50" t="s">
        <v>509</v>
      </c>
      <c r="D150" s="50" t="s">
        <v>4208</v>
      </c>
      <c r="E150" s="50" t="s">
        <v>382</v>
      </c>
      <c r="H150" s="50"/>
      <c r="I150" s="50" t="s">
        <v>3500</v>
      </c>
      <c r="J150" s="401">
        <v>45144</v>
      </c>
      <c r="K150" s="55">
        <v>0.98799999999999999</v>
      </c>
      <c r="L150" s="50" t="s">
        <v>3516</v>
      </c>
      <c r="M150" s="70">
        <v>0.98799999999999999</v>
      </c>
      <c r="N150" s="50" t="s">
        <v>3516</v>
      </c>
      <c r="O150" s="50" t="s">
        <v>4209</v>
      </c>
      <c r="P150" s="50" t="s">
        <v>4125</v>
      </c>
      <c r="Q150" s="401">
        <v>46948</v>
      </c>
      <c r="R150" s="53">
        <v>6.89</v>
      </c>
      <c r="S150" s="53" t="s">
        <v>121</v>
      </c>
      <c r="T150" s="53">
        <v>6.7000000000000004E-2</v>
      </c>
      <c r="U150" s="53" t="s">
        <v>22</v>
      </c>
      <c r="V150" s="53">
        <v>2.15</v>
      </c>
      <c r="W150" s="53">
        <v>6.7079627906976746E-2</v>
      </c>
      <c r="AA150" s="78">
        <f t="shared" si="16"/>
        <v>0</v>
      </c>
      <c r="AG150" s="81"/>
      <c r="AN150" s="53" t="s">
        <v>2240</v>
      </c>
      <c r="AT150" s="53" t="b">
        <f>ISNUMBER(MATCH(IF(LEN('USER INPUT SHEET'!rng_province)&gt;0,'USER INPUT SHEET'!rng_province,"Canada"),$AU150:$BD150,0))</f>
        <v>0</v>
      </c>
      <c r="AU150" s="1286"/>
      <c r="AV150" s="1286"/>
      <c r="AW150" s="1286"/>
      <c r="AX150" s="1286"/>
      <c r="AY150" s="1286"/>
      <c r="AZ150" s="1286"/>
      <c r="BA150" s="1286"/>
      <c r="BB150" s="1286"/>
      <c r="BC150" s="1286"/>
      <c r="BD150" s="1286"/>
    </row>
    <row r="151" spans="1:56" ht="15.75" customHeight="1" x14ac:dyDescent="0.3">
      <c r="A151" s="50" t="str">
        <f t="shared" si="9"/>
        <v>(ARCHIVED 2025) Foam glass aggregate / Glasopor AS /  / R 1.7/inch, 10-60 mm</v>
      </c>
      <c r="B151" s="50" t="s">
        <v>4218</v>
      </c>
      <c r="C151" s="50" t="s">
        <v>387</v>
      </c>
      <c r="D151" s="50"/>
      <c r="E151" s="50" t="s">
        <v>1128</v>
      </c>
      <c r="H151" s="50"/>
      <c r="I151" s="50" t="s">
        <v>120</v>
      </c>
      <c r="J151" s="50"/>
      <c r="K151" s="55">
        <v>6.96</v>
      </c>
      <c r="L151" s="55" t="s">
        <v>3</v>
      </c>
      <c r="M151" s="70">
        <f>(K151*W151)</f>
        <v>0.61943999999999999</v>
      </c>
      <c r="N151" s="55" t="s">
        <v>852</v>
      </c>
      <c r="O151" s="53" t="s">
        <v>388</v>
      </c>
      <c r="P151" s="50" t="s">
        <v>389</v>
      </c>
      <c r="Q151" s="367">
        <v>2022</v>
      </c>
      <c r="R151" s="53">
        <v>180</v>
      </c>
      <c r="S151" s="53" t="s">
        <v>121</v>
      </c>
      <c r="W151" s="52">
        <v>8.8999999999999996E-2</v>
      </c>
      <c r="X151" s="52" t="s">
        <v>136</v>
      </c>
      <c r="AA151" s="78">
        <f t="shared" si="16"/>
        <v>0</v>
      </c>
      <c r="AG151" s="81"/>
      <c r="AN151" s="53">
        <v>108</v>
      </c>
      <c r="AR151" s="264" t="str">
        <f ca="1">IF(LEN(Q151)=4,IF(Q151&lt;YEAR(NOW()),_xlfn.CONCAT(IF(LOWER(Setting!rng_language)="english","Expired ","Expiré "),Q151),""),"")</f>
        <v>Expired 2022</v>
      </c>
      <c r="AT151" s="53" t="b">
        <f>ISNUMBER(MATCH(IF(LEN('USER INPUT SHEET'!rng_province)&gt;0,'USER INPUT SHEET'!rng_province,"Canada"),$AU151:$BD151,0))</f>
        <v>0</v>
      </c>
      <c r="AU151" s="1286"/>
      <c r="AV151" s="1286"/>
      <c r="AW151" s="1286"/>
      <c r="AX151" s="1286"/>
      <c r="AY151" s="1286"/>
      <c r="AZ151" s="1286"/>
      <c r="BA151" s="1286"/>
      <c r="BB151" s="1286"/>
      <c r="BC151" s="1286"/>
      <c r="BD151" s="1286"/>
    </row>
    <row r="152" spans="1:56" ht="15.75" customHeight="1" x14ac:dyDescent="0.3">
      <c r="A152" s="50" t="str">
        <f t="shared" si="9"/>
        <v>(ARCHIVED 2025) Foam glass aggregate / Hasopor /  / R 1.7/inch, 10-60 mm</v>
      </c>
      <c r="B152" s="50" t="s">
        <v>4218</v>
      </c>
      <c r="C152" s="50" t="s">
        <v>390</v>
      </c>
      <c r="D152" s="50"/>
      <c r="E152" s="50" t="s">
        <v>1128</v>
      </c>
      <c r="H152" s="50"/>
      <c r="I152" s="50" t="s">
        <v>120</v>
      </c>
      <c r="J152" s="50"/>
      <c r="K152" s="55">
        <v>7.77</v>
      </c>
      <c r="L152" s="55" t="s">
        <v>3</v>
      </c>
      <c r="M152" s="70">
        <f>(K152*W152)</f>
        <v>0.62159999999999993</v>
      </c>
      <c r="N152" s="55" t="s">
        <v>852</v>
      </c>
      <c r="O152" s="53" t="s">
        <v>391</v>
      </c>
      <c r="P152" s="50" t="s">
        <v>392</v>
      </c>
      <c r="Q152" s="367">
        <v>2022</v>
      </c>
      <c r="R152" s="53">
        <v>180</v>
      </c>
      <c r="S152" s="53" t="s">
        <v>121</v>
      </c>
      <c r="W152" s="53">
        <v>0.08</v>
      </c>
      <c r="X152" s="52" t="s">
        <v>136</v>
      </c>
      <c r="AA152" s="78">
        <f t="shared" si="16"/>
        <v>0</v>
      </c>
      <c r="AG152" s="81"/>
      <c r="AN152" s="53">
        <v>109</v>
      </c>
      <c r="AR152" s="264" t="str">
        <f ca="1">IF(LEN(Q152)=4,IF(Q152&lt;YEAR(NOW()),_xlfn.CONCAT(IF(LOWER(Setting!rng_language)="english","Expired ","Expiré "),Q152),""),"")</f>
        <v>Expired 2022</v>
      </c>
      <c r="AT152" s="53" t="b">
        <f>ISNUMBER(MATCH(IF(LEN('USER INPUT SHEET'!rng_province)&gt;0,'USER INPUT SHEET'!rng_province,"Canada"),$AU152:$BD152,0))</f>
        <v>0</v>
      </c>
      <c r="AU152" s="1286"/>
      <c r="AV152" s="1286"/>
      <c r="AW152" s="1286"/>
      <c r="AX152" s="1286"/>
      <c r="AY152" s="1286"/>
      <c r="AZ152" s="1286"/>
      <c r="BA152" s="1286"/>
      <c r="BB152" s="1286"/>
      <c r="BC152" s="1286"/>
      <c r="BD152" s="1286"/>
    </row>
    <row r="153" spans="1:56" ht="15.75" customHeight="1" x14ac:dyDescent="0.3">
      <c r="A153" s="50" t="str">
        <f t="shared" si="9"/>
        <v>(ARCHIVED 2025) Foam glass aggregate / Misapor / Glavel / R 1.7/inch, 10-60 mm</v>
      </c>
      <c r="B153" s="50" t="s">
        <v>4218</v>
      </c>
      <c r="C153" s="50" t="s">
        <v>3302</v>
      </c>
      <c r="D153" s="50" t="s">
        <v>393</v>
      </c>
      <c r="E153" s="50" t="s">
        <v>1128</v>
      </c>
      <c r="H153" s="50"/>
      <c r="I153" s="50" t="s">
        <v>120</v>
      </c>
      <c r="J153" s="50"/>
      <c r="K153" s="55">
        <v>15.2</v>
      </c>
      <c r="L153" s="55" t="s">
        <v>3</v>
      </c>
      <c r="M153" s="70">
        <f>(K153*W153)</f>
        <v>1.2464</v>
      </c>
      <c r="N153" s="55" t="s">
        <v>852</v>
      </c>
      <c r="O153" s="53" t="s">
        <v>394</v>
      </c>
      <c r="P153" s="50" t="s">
        <v>122</v>
      </c>
      <c r="Q153" s="367">
        <v>2020</v>
      </c>
      <c r="R153" s="53">
        <v>130</v>
      </c>
      <c r="S153" s="53" t="s">
        <v>121</v>
      </c>
      <c r="W153" s="53">
        <v>8.2000000000000003E-2</v>
      </c>
      <c r="X153" s="52" t="s">
        <v>136</v>
      </c>
      <c r="AA153" s="78">
        <f t="shared" si="16"/>
        <v>0</v>
      </c>
      <c r="AG153" s="81"/>
      <c r="AN153" s="53">
        <v>110</v>
      </c>
      <c r="AR153" s="264" t="str">
        <f ca="1">IF(LEN(Q153)=4,IF(Q153&lt;YEAR(NOW()),_xlfn.CONCAT(IF(LOWER(Setting!rng_language)="english","Expired ","Expiré "),Q153),""),"")</f>
        <v>Expired 2020</v>
      </c>
      <c r="AT153" s="53" t="b">
        <f>ISNUMBER(MATCH(IF(LEN('USER INPUT SHEET'!rng_province)&gt;0,'USER INPUT SHEET'!rng_province,"Canada"),$AU153:$BD153,0))</f>
        <v>0</v>
      </c>
      <c r="AU153" s="1286"/>
      <c r="AV153" s="1286"/>
      <c r="AW153" s="1286"/>
      <c r="AX153" s="1286"/>
      <c r="AY153" s="1286"/>
      <c r="AZ153" s="1286"/>
      <c r="BA153" s="1286"/>
      <c r="BB153" s="1286"/>
      <c r="BC153" s="1286"/>
      <c r="BD153" s="1286"/>
    </row>
    <row r="154" spans="1:56" ht="15.75" customHeight="1" x14ac:dyDescent="0.3">
      <c r="A154" s="50" t="str">
        <f t="shared" si="9"/>
        <v>(ARCHIVED 2025) Foam glass board / Pittsburgh Corning Europe / Foamglas T4 / R3.7/inch</v>
      </c>
      <c r="B154" s="50" t="s">
        <v>4219</v>
      </c>
      <c r="C154" s="50" t="s">
        <v>396</v>
      </c>
      <c r="D154" s="50" t="s">
        <v>397</v>
      </c>
      <c r="E154" s="50" t="s">
        <v>792</v>
      </c>
      <c r="H154" s="50"/>
      <c r="I154" s="50" t="s">
        <v>120</v>
      </c>
      <c r="J154" s="50"/>
      <c r="K154" s="55">
        <v>1.32</v>
      </c>
      <c r="L154" s="55" t="s">
        <v>841</v>
      </c>
      <c r="M154" s="70">
        <f>(K154*R154*W154)</f>
        <v>6.2238000000000007</v>
      </c>
      <c r="N154" s="55" t="s">
        <v>852</v>
      </c>
      <c r="O154" s="53" t="s">
        <v>398</v>
      </c>
      <c r="P154" s="50" t="s">
        <v>122</v>
      </c>
      <c r="Q154" s="367">
        <v>2020</v>
      </c>
      <c r="R154" s="53">
        <v>115</v>
      </c>
      <c r="S154" s="53" t="s">
        <v>121</v>
      </c>
      <c r="W154" s="53">
        <v>4.1000000000000002E-2</v>
      </c>
      <c r="X154" s="52" t="s">
        <v>136</v>
      </c>
      <c r="AA154" s="78">
        <f t="shared" si="16"/>
        <v>0</v>
      </c>
      <c r="AG154" s="81"/>
      <c r="AN154" s="53">
        <v>111</v>
      </c>
      <c r="AR154" s="264" t="str">
        <f ca="1">IF(LEN(Q154)=4,IF(Q154&lt;YEAR(NOW()),_xlfn.CONCAT(IF(LOWER(Setting!rng_language)="english","Expired ","Expiré "),Q154),""),"")</f>
        <v>Expired 2020</v>
      </c>
      <c r="AT154" s="53" t="b">
        <f>ISNUMBER(MATCH(IF(LEN('USER INPUT SHEET'!rng_province)&gt;0,'USER INPUT SHEET'!rng_province,"Canada"),$AU154:$BD154,0))</f>
        <v>0</v>
      </c>
      <c r="AU154" s="1286"/>
      <c r="AV154" s="1286"/>
      <c r="AW154" s="1286"/>
      <c r="AX154" s="1286"/>
      <c r="AY154" s="1286"/>
      <c r="AZ154" s="1286"/>
      <c r="BA154" s="1286"/>
      <c r="BB154" s="1286"/>
      <c r="BC154" s="1286"/>
      <c r="BD154" s="1286"/>
    </row>
    <row r="155" spans="1:56" ht="15.75" customHeight="1" x14ac:dyDescent="0.3">
      <c r="A155" s="50" t="str">
        <f t="shared" si="9"/>
        <v>Foam glass board / Pittsburgh Corning Europe / FOAMGLAS T4+ / R 3.5/inch</v>
      </c>
      <c r="B155" s="50" t="s">
        <v>395</v>
      </c>
      <c r="C155" s="50" t="s">
        <v>396</v>
      </c>
      <c r="D155" s="50" t="s">
        <v>4226</v>
      </c>
      <c r="E155" s="50" t="s">
        <v>4227</v>
      </c>
      <c r="H155" s="50" t="s">
        <v>4228</v>
      </c>
      <c r="I155" s="50"/>
      <c r="J155" s="401">
        <v>44419</v>
      </c>
      <c r="K155" s="55">
        <v>1.45</v>
      </c>
      <c r="L155" s="55" t="s">
        <v>841</v>
      </c>
      <c r="M155" s="70">
        <v>6.5395000000000003</v>
      </c>
      <c r="N155" s="55" t="s">
        <v>3516</v>
      </c>
      <c r="O155" s="53" t="s">
        <v>4229</v>
      </c>
      <c r="P155" s="50" t="s">
        <v>4230</v>
      </c>
      <c r="Q155" s="367">
        <v>2026</v>
      </c>
      <c r="R155" s="53">
        <v>110</v>
      </c>
      <c r="S155" s="53" t="s">
        <v>121</v>
      </c>
      <c r="T155" s="53">
        <v>4.51</v>
      </c>
      <c r="U155" s="53" t="s">
        <v>207</v>
      </c>
      <c r="V155" s="53">
        <v>3.5175902439024389</v>
      </c>
      <c r="W155" s="53">
        <v>4.1000000000000002E-2</v>
      </c>
      <c r="X155" s="52"/>
      <c r="AA155" s="78">
        <f t="shared" si="16"/>
        <v>0</v>
      </c>
      <c r="AG155" s="81"/>
      <c r="AN155" s="53" t="s">
        <v>2143</v>
      </c>
      <c r="AT155" s="53" t="b">
        <f>ISNUMBER(MATCH(IF(LEN('USER INPUT SHEET'!rng_province)&gt;0,'USER INPUT SHEET'!rng_province,"Canada"),$AU155:$BD155,0))</f>
        <v>0</v>
      </c>
      <c r="AU155" s="1286"/>
      <c r="AV155" s="1286"/>
      <c r="AW155" s="1286"/>
      <c r="AX155" s="1286"/>
      <c r="AY155" s="1286"/>
      <c r="AZ155" s="1286"/>
      <c r="BA155" s="1286"/>
      <c r="BB155" s="1286"/>
      <c r="BC155" s="1286"/>
      <c r="BD155" s="1286"/>
    </row>
    <row r="156" spans="1:56" ht="15.75" customHeight="1" x14ac:dyDescent="0.3">
      <c r="A156" s="50" t="str">
        <f t="shared" si="9"/>
        <v>(ARCHIVED 2025) Foam glass board / Pittsburgh Corning Europe / Foamglas W+F, Foamglas T3 / R4/inch</v>
      </c>
      <c r="B156" s="50" t="s">
        <v>4219</v>
      </c>
      <c r="C156" s="50" t="s">
        <v>396</v>
      </c>
      <c r="D156" s="50" t="s">
        <v>399</v>
      </c>
      <c r="E156" s="50" t="s">
        <v>300</v>
      </c>
      <c r="H156" s="50"/>
      <c r="I156" s="50" t="s">
        <v>120</v>
      </c>
      <c r="J156" s="50"/>
      <c r="K156" s="55">
        <v>1.26</v>
      </c>
      <c r="L156" s="55" t="s">
        <v>841</v>
      </c>
      <c r="M156" s="70">
        <f>(K156*R156*W156)</f>
        <v>4.7880000000000003</v>
      </c>
      <c r="N156" s="55" t="s">
        <v>852</v>
      </c>
      <c r="O156" s="53" t="s">
        <v>400</v>
      </c>
      <c r="P156" s="50" t="s">
        <v>122</v>
      </c>
      <c r="Q156" s="367">
        <v>2020</v>
      </c>
      <c r="R156" s="53">
        <v>100</v>
      </c>
      <c r="S156" s="53" t="s">
        <v>121</v>
      </c>
      <c r="W156" s="53">
        <v>3.7999999999999999E-2</v>
      </c>
      <c r="X156" s="52" t="s">
        <v>136</v>
      </c>
      <c r="AA156" s="78">
        <f t="shared" si="16"/>
        <v>0</v>
      </c>
      <c r="AG156" s="81"/>
      <c r="AN156" s="53">
        <v>112</v>
      </c>
      <c r="AR156" s="264" t="str">
        <f ca="1">IF(LEN(Q156)=4,IF(Q156&lt;YEAR(NOW()),_xlfn.CONCAT(IF(LOWER(Setting!rng_language)="english","Expired ","Expiré "),Q156),""),"")</f>
        <v>Expired 2020</v>
      </c>
      <c r="AT156" s="53" t="b">
        <f>ISNUMBER(MATCH(IF(LEN('USER INPUT SHEET'!rng_province)&gt;0,'USER INPUT SHEET'!rng_province,"Canada"),$AU156:$BD156,0))</f>
        <v>0</v>
      </c>
      <c r="AU156" s="1286"/>
      <c r="AV156" s="1286"/>
      <c r="AW156" s="1286"/>
      <c r="AX156" s="1286"/>
      <c r="AY156" s="1286"/>
      <c r="AZ156" s="1286"/>
      <c r="BA156" s="1286"/>
      <c r="BB156" s="1286"/>
      <c r="BC156" s="1286"/>
      <c r="BD156" s="1286"/>
    </row>
    <row r="157" spans="1:56" ht="15.75" customHeight="1" x14ac:dyDescent="0.3">
      <c r="A157" s="50" t="str">
        <f t="shared" si="9"/>
        <v>Foam glass board / Pittsburgh Corning Europe / FOAMGLAS F / R 2.9/inch</v>
      </c>
      <c r="B157" s="50" t="s">
        <v>395</v>
      </c>
      <c r="C157" s="50" t="s">
        <v>396</v>
      </c>
      <c r="D157" s="50" t="s">
        <v>4231</v>
      </c>
      <c r="E157" s="50" t="s">
        <v>646</v>
      </c>
      <c r="H157" s="50" t="s">
        <v>4228</v>
      </c>
      <c r="I157" s="50"/>
      <c r="J157" s="401">
        <v>44419</v>
      </c>
      <c r="K157" s="55">
        <v>1.49</v>
      </c>
      <c r="L157" s="55" t="s">
        <v>841</v>
      </c>
      <c r="M157" s="70">
        <v>12.2925</v>
      </c>
      <c r="N157" s="55" t="s">
        <v>3516</v>
      </c>
      <c r="O157" s="53" t="s">
        <v>4232</v>
      </c>
      <c r="P157" s="50" t="s">
        <v>4230</v>
      </c>
      <c r="Q157" s="367">
        <v>2026</v>
      </c>
      <c r="R157" s="53">
        <v>165</v>
      </c>
      <c r="S157" s="53" t="s">
        <v>121</v>
      </c>
      <c r="T157" s="53">
        <v>8.25</v>
      </c>
      <c r="U157" s="53" t="s">
        <v>207</v>
      </c>
      <c r="V157" s="53">
        <v>2.88</v>
      </c>
      <c r="W157" s="53">
        <v>5.0076805555555555E-2</v>
      </c>
      <c r="X157" s="52"/>
      <c r="AA157" s="78">
        <f t="shared" si="16"/>
        <v>0</v>
      </c>
      <c r="AG157" s="81"/>
      <c r="AN157" s="53" t="s">
        <v>4216</v>
      </c>
      <c r="AT157" s="53" t="b">
        <f>ISNUMBER(MATCH(IF(LEN('USER INPUT SHEET'!rng_province)&gt;0,'USER INPUT SHEET'!rng_province,"Canada"),$AU157:$BD157,0))</f>
        <v>0</v>
      </c>
      <c r="AU157" s="1286"/>
      <c r="AV157" s="1286"/>
      <c r="AW157" s="1286"/>
      <c r="AX157" s="1286"/>
      <c r="AY157" s="1286"/>
      <c r="AZ157" s="1286"/>
      <c r="BA157" s="1286"/>
      <c r="BB157" s="1286"/>
      <c r="BC157" s="1286"/>
      <c r="BD157" s="1286"/>
    </row>
    <row r="158" spans="1:56" ht="15.75" customHeight="1" x14ac:dyDescent="0.3">
      <c r="A158" s="50" t="str">
        <f t="shared" si="9"/>
        <v>Foam glass board / Pittsburgh Corning Europe / FOAMGLAS S3 / R 3.2/inch</v>
      </c>
      <c r="B158" s="50" t="s">
        <v>395</v>
      </c>
      <c r="C158" s="50" t="s">
        <v>396</v>
      </c>
      <c r="D158" s="50" t="s">
        <v>4233</v>
      </c>
      <c r="E158" s="50" t="s">
        <v>4234</v>
      </c>
      <c r="H158" s="50" t="s">
        <v>4228</v>
      </c>
      <c r="I158" s="50"/>
      <c r="J158" s="401">
        <v>44419</v>
      </c>
      <c r="K158" s="55">
        <v>1.5</v>
      </c>
      <c r="L158" s="55" t="s">
        <v>841</v>
      </c>
      <c r="M158" s="70">
        <v>8.7750000000000004</v>
      </c>
      <c r="N158" s="55" t="s">
        <v>3516</v>
      </c>
      <c r="O158" s="53" t="s">
        <v>4235</v>
      </c>
      <c r="P158" s="50" t="s">
        <v>4230</v>
      </c>
      <c r="Q158" s="367">
        <v>2026</v>
      </c>
      <c r="R158" s="53">
        <v>130</v>
      </c>
      <c r="S158" s="53" t="s">
        <v>121</v>
      </c>
      <c r="T158" s="53">
        <v>5.85</v>
      </c>
      <c r="U158" s="53" t="s">
        <v>207</v>
      </c>
      <c r="V158" s="53">
        <v>3.2</v>
      </c>
      <c r="W158" s="53">
        <v>4.5069124999999995E-2</v>
      </c>
      <c r="X158" s="52"/>
      <c r="AA158" s="78">
        <f t="shared" si="16"/>
        <v>0</v>
      </c>
      <c r="AG158" s="81"/>
      <c r="AN158" s="53" t="s">
        <v>2144</v>
      </c>
      <c r="AT158" s="53" t="b">
        <f>ISNUMBER(MATCH(IF(LEN('USER INPUT SHEET'!rng_province)&gt;0,'USER INPUT SHEET'!rng_province,"Canada"),$AU158:$BD158,0))</f>
        <v>0</v>
      </c>
      <c r="AU158" s="1286"/>
      <c r="AV158" s="1286"/>
      <c r="AW158" s="1286"/>
      <c r="AX158" s="1286"/>
      <c r="AY158" s="1286"/>
      <c r="AZ158" s="1286"/>
      <c r="BA158" s="1286"/>
      <c r="BB158" s="1286"/>
      <c r="BC158" s="1286"/>
      <c r="BD158" s="1286"/>
    </row>
    <row r="159" spans="1:56" ht="15.75" customHeight="1" x14ac:dyDescent="0.3">
      <c r="A159" s="50" t="str">
        <f t="shared" si="9"/>
        <v>Foam glass board / Pittsburgh Corning Europe / FOAMGLAS T3+ / R 4.0/inch</v>
      </c>
      <c r="B159" s="50" t="s">
        <v>395</v>
      </c>
      <c r="C159" s="50" t="s">
        <v>396</v>
      </c>
      <c r="D159" s="50" t="s">
        <v>4236</v>
      </c>
      <c r="E159" s="50" t="s">
        <v>4237</v>
      </c>
      <c r="H159" s="50" t="s">
        <v>4228</v>
      </c>
      <c r="I159" s="50"/>
      <c r="J159" s="401">
        <v>44419</v>
      </c>
      <c r="K159" s="55">
        <v>1.5</v>
      </c>
      <c r="L159" s="55" t="s">
        <v>841</v>
      </c>
      <c r="M159" s="70">
        <v>5.13</v>
      </c>
      <c r="N159" s="55" t="s">
        <v>3516</v>
      </c>
      <c r="O159" s="53" t="s">
        <v>4238</v>
      </c>
      <c r="P159" s="50" t="s">
        <v>4230</v>
      </c>
      <c r="Q159" s="367">
        <v>2026</v>
      </c>
      <c r="R159" s="53">
        <v>95</v>
      </c>
      <c r="S159" s="53" t="s">
        <v>121</v>
      </c>
      <c r="T159" s="53">
        <v>3.42</v>
      </c>
      <c r="U159" s="53" t="s">
        <v>207</v>
      </c>
      <c r="V159" s="53">
        <v>4</v>
      </c>
      <c r="W159" s="53">
        <v>3.6055299999999998E-2</v>
      </c>
      <c r="X159" s="52"/>
      <c r="AA159" s="78">
        <f t="shared" si="16"/>
        <v>0</v>
      </c>
      <c r="AG159" s="81"/>
      <c r="AN159" s="53" t="s">
        <v>4294</v>
      </c>
      <c r="AT159" s="53" t="b">
        <f>ISNUMBER(MATCH(IF(LEN('USER INPUT SHEET'!rng_province)&gt;0,'USER INPUT SHEET'!rng_province,"Canada"),$AU159:$BD159,0))</f>
        <v>0</v>
      </c>
      <c r="AU159" s="1286"/>
      <c r="AV159" s="1286"/>
      <c r="AW159" s="1286"/>
      <c r="AX159" s="1286"/>
      <c r="AY159" s="1286"/>
      <c r="AZ159" s="1286"/>
      <c r="BA159" s="1286"/>
      <c r="BB159" s="1286"/>
      <c r="BC159" s="1286"/>
      <c r="BD159" s="1286"/>
    </row>
    <row r="160" spans="1:56" ht="15.75" customHeight="1" x14ac:dyDescent="0.3">
      <c r="A160" s="50" t="str">
        <f t="shared" si="9"/>
        <v xml:space="preserve">Glued laminated timber / American Wood Council &amp; Canadian Wood Council /  / </v>
      </c>
      <c r="B160" s="50" t="s">
        <v>401</v>
      </c>
      <c r="C160" s="50" t="s">
        <v>402</v>
      </c>
      <c r="D160" s="50"/>
      <c r="H160" s="50" t="s">
        <v>1379</v>
      </c>
      <c r="I160" s="50" t="s">
        <v>124</v>
      </c>
      <c r="J160" s="50"/>
      <c r="K160" s="50">
        <v>137.19</v>
      </c>
      <c r="L160" s="50" t="s">
        <v>3</v>
      </c>
      <c r="M160" s="71">
        <f>(137.19)</f>
        <v>137.19</v>
      </c>
      <c r="N160" s="50" t="s">
        <v>3</v>
      </c>
      <c r="O160" s="53" t="s">
        <v>403</v>
      </c>
      <c r="P160" s="53" t="s">
        <v>143</v>
      </c>
      <c r="Q160" s="367">
        <v>2025</v>
      </c>
      <c r="R160" s="53">
        <v>548</v>
      </c>
      <c r="S160" s="53" t="s">
        <v>121</v>
      </c>
      <c r="Y160" s="53">
        <v>0.98899999999999999</v>
      </c>
      <c r="Z160" s="53">
        <v>0.5</v>
      </c>
      <c r="AA160" s="78">
        <f t="shared" si="16"/>
        <v>895.06675800000005</v>
      </c>
      <c r="AB160" s="53" t="s">
        <v>3</v>
      </c>
      <c r="AC160" s="53">
        <v>0.82499999999999996</v>
      </c>
      <c r="AD160" s="53">
        <f>R160*Y160*Z160</f>
        <v>270.98599999999999</v>
      </c>
      <c r="AG160" s="82">
        <f>(AD160*3.67)*rng_biogenic_storage</f>
        <v>895.06675799999994</v>
      </c>
      <c r="AH160" s="53" t="s">
        <v>3</v>
      </c>
      <c r="AN160" s="53">
        <v>113</v>
      </c>
      <c r="AR160" s="264" t="str">
        <f ca="1">IF(LEN(Q160)=4,IF(Q160&lt;YEAR(NOW()),_xlfn.CONCAT(IF(LOWER(Setting!rng_language)="english","Expired ","Expiré "),Q160),""),"")</f>
        <v>Expired 2025</v>
      </c>
      <c r="AT160" s="53" t="b">
        <f>ISNUMBER(MATCH(IF(LEN('USER INPUT SHEET'!rng_province)&gt;0,'USER INPUT SHEET'!rng_province,"Canada"),$AU160:$BD160,0))</f>
        <v>0</v>
      </c>
      <c r="AU160" s="1286"/>
      <c r="AV160" s="1286"/>
      <c r="AW160" s="1286"/>
      <c r="AX160" s="1286"/>
      <c r="AY160" s="1286"/>
      <c r="AZ160" s="1286"/>
      <c r="BA160" s="1286"/>
      <c r="BB160" s="1286"/>
      <c r="BC160" s="1286"/>
      <c r="BD160" s="1286"/>
    </row>
    <row r="161" spans="1:56" ht="15.75" customHeight="1" x14ac:dyDescent="0.3">
      <c r="A161" s="50" t="str">
        <f t="shared" si="9"/>
        <v>Glued laminated timber / Structurlam / Glulam Plus / 3-1/2" (90mm) thick</v>
      </c>
      <c r="B161" s="50" t="s">
        <v>401</v>
      </c>
      <c r="C161" s="50" t="s">
        <v>317</v>
      </c>
      <c r="D161" s="50" t="s">
        <v>404</v>
      </c>
      <c r="E161" s="50" t="s">
        <v>314</v>
      </c>
      <c r="H161" s="50" t="s">
        <v>1379</v>
      </c>
      <c r="I161" s="50" t="s">
        <v>138</v>
      </c>
      <c r="J161" s="50"/>
      <c r="K161" s="50">
        <v>115.32</v>
      </c>
      <c r="L161" s="50" t="s">
        <v>3</v>
      </c>
      <c r="M161" s="71">
        <f>(115.32)</f>
        <v>115.32</v>
      </c>
      <c r="N161" s="50" t="s">
        <v>3</v>
      </c>
      <c r="O161" s="53" t="s">
        <v>405</v>
      </c>
      <c r="P161" s="53" t="s">
        <v>137</v>
      </c>
      <c r="Q161" s="367">
        <v>2025</v>
      </c>
      <c r="R161" s="53">
        <v>544</v>
      </c>
      <c r="S161" s="53" t="s">
        <v>121</v>
      </c>
      <c r="T161" s="53">
        <v>0.09</v>
      </c>
      <c r="U161" s="53" t="s">
        <v>316</v>
      </c>
      <c r="Y161" s="53">
        <v>0.997</v>
      </c>
      <c r="Z161" s="53">
        <v>0.5</v>
      </c>
      <c r="AA161" s="78">
        <f t="shared" si="16"/>
        <v>895.72075199999995</v>
      </c>
      <c r="AB161" s="53" t="s">
        <v>3</v>
      </c>
      <c r="AC161" s="49">
        <v>0.82499999999999996</v>
      </c>
      <c r="AD161" s="49">
        <f>R161*Y161*Z161</f>
        <v>271.18400000000003</v>
      </c>
      <c r="AG161" s="82">
        <f>(AD161*3.67)*rng_biogenic_storage</f>
        <v>895.72075200000006</v>
      </c>
      <c r="AH161" s="53" t="s">
        <v>3</v>
      </c>
      <c r="AN161" s="53">
        <v>114</v>
      </c>
      <c r="AR161" s="264" t="str">
        <f ca="1">IF(LEN(Q161)=4,IF(Q161&lt;YEAR(NOW()),_xlfn.CONCAT(IF(LOWER(Setting!rng_language)="english","Expired ","Expiré "),Q161),""),"")</f>
        <v>Expired 2025</v>
      </c>
      <c r="AT161" s="53" t="b">
        <f>ISNUMBER(MATCH(IF(LEN('USER INPUT SHEET'!rng_province)&gt;0,'USER INPUT SHEET'!rng_province,"Canada"),$AU161:$BD161,0))</f>
        <v>0</v>
      </c>
      <c r="AU161" s="1286"/>
      <c r="AV161" s="1286"/>
      <c r="AW161" s="1286"/>
      <c r="AX161" s="1286"/>
      <c r="AY161" s="1286"/>
      <c r="AZ161" s="1286"/>
      <c r="BA161" s="1286"/>
      <c r="BB161" s="1286"/>
      <c r="BC161" s="1286"/>
      <c r="BD161" s="1286"/>
    </row>
    <row r="162" spans="1:56" ht="15.75" customHeight="1" x14ac:dyDescent="0.3">
      <c r="A162" s="50" t="str">
        <f t="shared" si="9"/>
        <v>Glued Laminated Timber (Glulam) / Vaagen Timbers /  / Colville, WA</v>
      </c>
      <c r="B162" s="50" t="s">
        <v>4239</v>
      </c>
      <c r="C162" s="50" t="s">
        <v>4175</v>
      </c>
      <c r="D162" s="50"/>
      <c r="E162" s="50" t="s">
        <v>4240</v>
      </c>
      <c r="H162" s="50"/>
      <c r="I162" s="50" t="s">
        <v>3500</v>
      </c>
      <c r="J162" s="401">
        <v>45324</v>
      </c>
      <c r="K162" s="50">
        <v>147.99</v>
      </c>
      <c r="L162" s="50" t="s">
        <v>3</v>
      </c>
      <c r="M162" s="70">
        <v>147.99</v>
      </c>
      <c r="N162" s="50" t="s">
        <v>3</v>
      </c>
      <c r="O162" s="53" t="s">
        <v>4176</v>
      </c>
      <c r="P162" s="53" t="s">
        <v>137</v>
      </c>
      <c r="Q162" s="367">
        <v>2026</v>
      </c>
      <c r="R162" s="53">
        <v>442.1</v>
      </c>
      <c r="S162" s="53" t="s">
        <v>121</v>
      </c>
      <c r="X162" s="53">
        <v>1014.99</v>
      </c>
      <c r="AA162" s="78">
        <f t="shared" si="16"/>
        <v>913.49099999999999</v>
      </c>
      <c r="AC162" s="52"/>
      <c r="AD162" s="52" t="s">
        <v>3</v>
      </c>
      <c r="AG162" s="81">
        <f>(X162)*rng_biogenic_storage</f>
        <v>913.49099999999999</v>
      </c>
      <c r="AH162" s="53" t="s">
        <v>3</v>
      </c>
      <c r="AN162" s="53" t="s">
        <v>2266</v>
      </c>
      <c r="AT162" s="53" t="b">
        <f>ISNUMBER(MATCH(IF(LEN('USER INPUT SHEET'!rng_province)&gt;0,'USER INPUT SHEET'!rng_province,"Canada"),$AU162:$BD162,0))</f>
        <v>0</v>
      </c>
      <c r="AU162" s="1286"/>
      <c r="AV162" s="1286"/>
      <c r="AW162" s="1286"/>
      <c r="AX162" s="1286"/>
      <c r="AY162" s="1286"/>
      <c r="AZ162" s="1286"/>
      <c r="BA162" s="1286"/>
      <c r="BB162" s="1286"/>
      <c r="BC162" s="1286"/>
      <c r="BD162" s="1286"/>
    </row>
    <row r="163" spans="1:56" ht="15.75" customHeight="1" x14ac:dyDescent="0.3">
      <c r="A163" s="50" t="str">
        <f t="shared" si="9"/>
        <v>Glued Laminated Timber (Glulam) / Kalesnikoff Lumber Co. /  / BC</v>
      </c>
      <c r="B163" s="50" t="s">
        <v>4239</v>
      </c>
      <c r="C163" s="50" t="s">
        <v>4171</v>
      </c>
      <c r="D163" s="50"/>
      <c r="E163" s="50" t="s">
        <v>4241</v>
      </c>
      <c r="H163" s="50"/>
      <c r="I163" s="50" t="s">
        <v>3545</v>
      </c>
      <c r="J163" s="401">
        <v>45295</v>
      </c>
      <c r="K163" s="50">
        <v>124.5</v>
      </c>
      <c r="L163" s="50" t="s">
        <v>4242</v>
      </c>
      <c r="M163" s="70">
        <v>124.5</v>
      </c>
      <c r="N163" s="50" t="s">
        <v>4242</v>
      </c>
      <c r="O163" s="53" t="s">
        <v>4243</v>
      </c>
      <c r="P163" s="53" t="s">
        <v>3518</v>
      </c>
      <c r="Q163" s="401">
        <v>46462</v>
      </c>
      <c r="R163" s="53">
        <v>481.68</v>
      </c>
      <c r="S163" s="53" t="s">
        <v>121</v>
      </c>
      <c r="X163" s="53">
        <v>817.67</v>
      </c>
      <c r="AA163" s="78">
        <f t="shared" si="16"/>
        <v>735.90300000000002</v>
      </c>
      <c r="AC163" s="52"/>
      <c r="AD163" s="52" t="s">
        <v>4242</v>
      </c>
      <c r="AG163" s="81">
        <f>(X163)*rng_biogenic_storage</f>
        <v>735.90300000000002</v>
      </c>
      <c r="AH163" s="53" t="s">
        <v>4242</v>
      </c>
      <c r="AN163" s="53" t="s">
        <v>4295</v>
      </c>
      <c r="AT163" s="53" t="b">
        <f>ISNUMBER(MATCH(IF(LEN('USER INPUT SHEET'!rng_province)&gt;0,'USER INPUT SHEET'!rng_province,"Canada"),$AU163:$BD163,0))</f>
        <v>0</v>
      </c>
      <c r="AU163" s="1286"/>
      <c r="AV163" s="1286"/>
      <c r="AW163" s="1286"/>
      <c r="AX163" s="1286"/>
      <c r="AY163" s="1286"/>
      <c r="AZ163" s="1286"/>
      <c r="BA163" s="1286"/>
      <c r="BB163" s="1286"/>
      <c r="BC163" s="1286"/>
      <c r="BD163" s="1286"/>
    </row>
    <row r="164" spans="1:56" ht="15.75" customHeight="1" x14ac:dyDescent="0.3">
      <c r="A164" s="50" t="str">
        <f t="shared" si="9"/>
        <v>Glued Laminated Timber (Glulam) / Western Archrib /  / Manitoba</v>
      </c>
      <c r="B164" s="50" t="s">
        <v>4239</v>
      </c>
      <c r="C164" s="50" t="s">
        <v>4244</v>
      </c>
      <c r="D164" s="50"/>
      <c r="E164" s="50" t="s">
        <v>1209</v>
      </c>
      <c r="H164" s="50"/>
      <c r="I164" s="50" t="s">
        <v>3545</v>
      </c>
      <c r="J164" s="401">
        <v>45294</v>
      </c>
      <c r="K164" s="50">
        <v>169.48000000000002</v>
      </c>
      <c r="L164" s="50" t="s">
        <v>4242</v>
      </c>
      <c r="M164" s="70">
        <v>169.4</v>
      </c>
      <c r="N164" s="50" t="s">
        <v>4242</v>
      </c>
      <c r="O164" s="53" t="s">
        <v>4245</v>
      </c>
      <c r="P164" s="53" t="s">
        <v>3518</v>
      </c>
      <c r="Q164" s="401">
        <v>46253</v>
      </c>
      <c r="X164" s="53">
        <v>784.53</v>
      </c>
      <c r="AA164" s="78">
        <f t="shared" si="16"/>
        <v>706.077</v>
      </c>
      <c r="AC164" s="52"/>
      <c r="AD164" s="52" t="s">
        <v>4242</v>
      </c>
      <c r="AG164" s="81">
        <f>(X164)*rng_biogenic_storage</f>
        <v>706.077</v>
      </c>
      <c r="AH164" s="53" t="s">
        <v>4242</v>
      </c>
      <c r="AN164" s="53" t="s">
        <v>2241</v>
      </c>
      <c r="AT164" s="53" t="b">
        <f>ISNUMBER(MATCH(IF(LEN('USER INPUT SHEET'!rng_province)&gt;0,'USER INPUT SHEET'!rng_province,"Canada"),$AU164:$BD164,0))</f>
        <v>0</v>
      </c>
      <c r="AU164" s="1286"/>
      <c r="AV164" s="1286"/>
      <c r="AW164" s="1286"/>
      <c r="AX164" s="1286"/>
      <c r="AY164" s="1286"/>
      <c r="AZ164" s="1286"/>
      <c r="BA164" s="1286"/>
      <c r="BB164" s="1286"/>
      <c r="BC164" s="1286"/>
      <c r="BD164" s="1286"/>
    </row>
    <row r="165" spans="1:56" ht="15.75" customHeight="1" x14ac:dyDescent="0.3">
      <c r="A165" s="50" t="str">
        <f t="shared" si="9"/>
        <v>Glued Laminated Timber (Glulam) / Western Archrib /  / Alberta</v>
      </c>
      <c r="B165" s="50" t="s">
        <v>4239</v>
      </c>
      <c r="C165" s="50" t="s">
        <v>4244</v>
      </c>
      <c r="D165" s="50"/>
      <c r="E165" s="50" t="s">
        <v>1207</v>
      </c>
      <c r="H165" s="50"/>
      <c r="I165" s="50" t="s">
        <v>3545</v>
      </c>
      <c r="J165" s="401">
        <v>45294</v>
      </c>
      <c r="K165" s="50">
        <v>369.8</v>
      </c>
      <c r="L165" s="50" t="s">
        <v>4242</v>
      </c>
      <c r="M165" s="70">
        <v>369.8</v>
      </c>
      <c r="N165" s="50" t="s">
        <v>4242</v>
      </c>
      <c r="O165" s="53" t="s">
        <v>4246</v>
      </c>
      <c r="P165" s="53" t="s">
        <v>3518</v>
      </c>
      <c r="Q165" s="401">
        <v>46253</v>
      </c>
      <c r="X165" s="53">
        <v>784.53</v>
      </c>
      <c r="AA165" s="78">
        <f t="shared" si="16"/>
        <v>706.077</v>
      </c>
      <c r="AC165" s="52"/>
      <c r="AD165" s="52" t="s">
        <v>4242</v>
      </c>
      <c r="AG165" s="81">
        <f>(X165)*rng_biogenic_storage</f>
        <v>706.077</v>
      </c>
      <c r="AH165" s="53" t="s">
        <v>4242</v>
      </c>
      <c r="AN165" s="53" t="s">
        <v>2317</v>
      </c>
      <c r="AT165" s="53" t="b">
        <f>ISNUMBER(MATCH(IF(LEN('USER INPUT SHEET'!rng_province)&gt;0,'USER INPUT SHEET'!rng_province,"Canada"),$AU165:$BD165,0))</f>
        <v>0</v>
      </c>
      <c r="AU165" s="1286"/>
      <c r="AV165" s="1286"/>
      <c r="AW165" s="1286"/>
      <c r="AX165" s="1286"/>
      <c r="AY165" s="1286"/>
      <c r="AZ165" s="1286"/>
      <c r="BA165" s="1286"/>
      <c r="BB165" s="1286"/>
      <c r="BC165" s="1286"/>
      <c r="BD165" s="1286"/>
    </row>
    <row r="166" spans="1:56" ht="15.75" customHeight="1" x14ac:dyDescent="0.3">
      <c r="A166" s="50" t="str">
        <f t="shared" si="9"/>
        <v>Glued Laminated Timber (Glulam) / Element5 /  / Ontario</v>
      </c>
      <c r="B166" s="50" t="s">
        <v>4239</v>
      </c>
      <c r="C166" s="50" t="s">
        <v>4168</v>
      </c>
      <c r="D166" s="50"/>
      <c r="E166" s="50" t="s">
        <v>1110</v>
      </c>
      <c r="H166" s="50"/>
      <c r="I166" s="50" t="s">
        <v>3545</v>
      </c>
      <c r="J166" s="401">
        <v>45324</v>
      </c>
      <c r="K166" s="50">
        <v>122</v>
      </c>
      <c r="L166" s="50" t="s">
        <v>3</v>
      </c>
      <c r="M166" s="70">
        <v>122</v>
      </c>
      <c r="N166" s="50" t="s">
        <v>4242</v>
      </c>
      <c r="O166" s="53" t="s">
        <v>4247</v>
      </c>
      <c r="P166" s="53" t="s">
        <v>137</v>
      </c>
      <c r="Q166" s="367">
        <v>2027</v>
      </c>
      <c r="R166" s="53">
        <v>448</v>
      </c>
      <c r="S166" s="53" t="s">
        <v>121</v>
      </c>
      <c r="X166" s="53">
        <v>865.9</v>
      </c>
      <c r="AA166" s="78">
        <f t="shared" si="16"/>
        <v>779.31</v>
      </c>
      <c r="AC166" s="52"/>
      <c r="AD166" s="52" t="s">
        <v>3</v>
      </c>
      <c r="AG166" s="81">
        <f>(X166)*rng_biogenic_storage</f>
        <v>779.31</v>
      </c>
      <c r="AH166" s="53" t="s">
        <v>3</v>
      </c>
      <c r="AN166" s="53" t="s">
        <v>4296</v>
      </c>
      <c r="AT166" s="53" t="b">
        <f>ISNUMBER(MATCH(IF(LEN('USER INPUT SHEET'!rng_province)&gt;0,'USER INPUT SHEET'!rng_province,"Canada"),$AU166:$BD166,0))</f>
        <v>0</v>
      </c>
      <c r="AU166" s="1286"/>
      <c r="AV166" s="1286"/>
      <c r="AW166" s="1286"/>
      <c r="AX166" s="1286"/>
      <c r="AY166" s="1286"/>
      <c r="AZ166" s="1286"/>
      <c r="BA166" s="1286"/>
      <c r="BB166" s="1286"/>
      <c r="BC166" s="1286"/>
      <c r="BD166" s="1286"/>
    </row>
    <row r="167" spans="1:56" ht="15.75" customHeight="1" x14ac:dyDescent="0.3">
      <c r="A167" s="50" t="str">
        <f t="shared" si="9"/>
        <v>(ARCHIVED 2025) Gypsum panels - glass mat /  / Includes American Gypsum, CertainTeed, Continental, Georgia-Pacific, National Gypsum, Pabco, USG, CGC / 1/2"</v>
      </c>
      <c r="B167" s="50" t="s">
        <v>4222</v>
      </c>
      <c r="C167" s="50"/>
      <c r="D167" s="50" t="s">
        <v>337</v>
      </c>
      <c r="E167" s="50" t="s">
        <v>407</v>
      </c>
      <c r="H167" s="50"/>
      <c r="I167" s="50" t="s">
        <v>124</v>
      </c>
      <c r="J167" s="50"/>
      <c r="K167" s="50">
        <v>358</v>
      </c>
      <c r="L167" s="50" t="s">
        <v>846</v>
      </c>
      <c r="M167" s="71">
        <f>(K167/92.9)</f>
        <v>3.8536060279870825</v>
      </c>
      <c r="N167" s="50" t="s">
        <v>5</v>
      </c>
      <c r="O167" s="53" t="s">
        <v>408</v>
      </c>
      <c r="P167" s="53" t="s">
        <v>137</v>
      </c>
      <c r="Q167" s="367">
        <v>2021</v>
      </c>
      <c r="R167" s="53">
        <v>2.0299999999999998</v>
      </c>
      <c r="S167" s="53" t="s">
        <v>141</v>
      </c>
      <c r="AA167" s="78">
        <f t="shared" ref="AA167:AA175" si="17">_xlfn.NUMBERVALUE(IF(LEN(AG167)&gt;0,AG167,0))</f>
        <v>0</v>
      </c>
      <c r="AG167" s="82"/>
      <c r="AN167" s="53">
        <v>115</v>
      </c>
      <c r="AR167" s="264" t="str">
        <f ca="1">IF(LEN(Q167)=4,IF(Q167&lt;YEAR(NOW()),_xlfn.CONCAT(IF(LOWER(Setting!rng_language)="english","Expired ","Expiré "),Q167),""),"")</f>
        <v>Expired 2021</v>
      </c>
      <c r="AT167" s="53" t="b">
        <f>ISNUMBER(MATCH(IF(LEN('USER INPUT SHEET'!rng_province)&gt;0,'USER INPUT SHEET'!rng_province,"Canada"),$AU167:$BD167,0))</f>
        <v>0</v>
      </c>
      <c r="AU167" s="1286"/>
      <c r="AV167" s="1286"/>
      <c r="AW167" s="1286"/>
      <c r="AX167" s="1286"/>
      <c r="AY167" s="1286"/>
      <c r="AZ167" s="1286"/>
      <c r="BA167" s="1286"/>
      <c r="BB167" s="1286"/>
      <c r="BC167" s="1286"/>
      <c r="BD167" s="1286"/>
    </row>
    <row r="168" spans="1:56" ht="15.75" customHeight="1" x14ac:dyDescent="0.3">
      <c r="A168" s="50" t="str">
        <f t="shared" si="9"/>
        <v>Gypsum panels - glass mat / Gypsum Association / North American Industry Average / 1/2"</v>
      </c>
      <c r="B168" s="50" t="s">
        <v>406</v>
      </c>
      <c r="C168" s="50" t="s">
        <v>4248</v>
      </c>
      <c r="D168" s="50" t="s">
        <v>4249</v>
      </c>
      <c r="E168" s="50" t="s">
        <v>407</v>
      </c>
      <c r="H168" s="50"/>
      <c r="I168" s="50"/>
      <c r="J168" s="401">
        <v>44462</v>
      </c>
      <c r="K168" s="50">
        <v>437.4</v>
      </c>
      <c r="L168" s="50" t="s">
        <v>846</v>
      </c>
      <c r="M168" s="70">
        <v>4.7082884822389657</v>
      </c>
      <c r="N168" s="50" t="s">
        <v>3504</v>
      </c>
      <c r="O168" s="53" t="s">
        <v>4250</v>
      </c>
      <c r="P168" s="53" t="s">
        <v>3518</v>
      </c>
      <c r="Q168" s="401">
        <v>46143</v>
      </c>
      <c r="AA168" s="78">
        <f t="shared" si="17"/>
        <v>0</v>
      </c>
      <c r="AG168" s="81"/>
      <c r="AN168" s="53" t="s">
        <v>2318</v>
      </c>
      <c r="AT168" s="53" t="b">
        <f>ISNUMBER(MATCH(IF(LEN('USER INPUT SHEET'!rng_province)&gt;0,'USER INPUT SHEET'!rng_province,"Canada"),$AU168:$BD168,0))</f>
        <v>0</v>
      </c>
      <c r="AU168" s="1286"/>
      <c r="AV168" s="1286"/>
      <c r="AW168" s="1286"/>
      <c r="AX168" s="1286"/>
      <c r="AY168" s="1286"/>
      <c r="AZ168" s="1286"/>
      <c r="BA168" s="1286"/>
      <c r="BB168" s="1286"/>
      <c r="BC168" s="1286"/>
      <c r="BD168" s="1286"/>
    </row>
    <row r="169" spans="1:56" ht="15.75" customHeight="1" x14ac:dyDescent="0.3">
      <c r="A169" s="50" t="str">
        <f t="shared" si="9"/>
        <v>Gypsum panels - glass mat / Georgia-Pacific / DensGlass Sheathing  / 1/2"</v>
      </c>
      <c r="B169" s="50" t="s">
        <v>406</v>
      </c>
      <c r="C169" s="50" t="s">
        <v>4251</v>
      </c>
      <c r="D169" s="50" t="s">
        <v>4252</v>
      </c>
      <c r="E169" s="50" t="s">
        <v>407</v>
      </c>
      <c r="H169" s="50"/>
      <c r="I169" s="50" t="s">
        <v>3500</v>
      </c>
      <c r="J169" s="401">
        <v>45230</v>
      </c>
      <c r="K169" s="50">
        <v>400</v>
      </c>
      <c r="L169" s="50" t="s">
        <v>846</v>
      </c>
      <c r="M169" s="70">
        <v>4.3057050592034445</v>
      </c>
      <c r="N169" s="50" t="s">
        <v>3501</v>
      </c>
      <c r="O169" s="53" t="s">
        <v>4253</v>
      </c>
      <c r="P169" s="53" t="s">
        <v>4254</v>
      </c>
      <c r="Q169" s="401">
        <v>45798</v>
      </c>
      <c r="R169" s="53">
        <v>9.9600000000000009</v>
      </c>
      <c r="S169" s="53" t="s">
        <v>141</v>
      </c>
      <c r="AA169" s="78">
        <f t="shared" si="17"/>
        <v>0</v>
      </c>
      <c r="AG169" s="81"/>
      <c r="AN169" s="53" t="s">
        <v>4297</v>
      </c>
      <c r="AT169" s="53" t="b">
        <f>ISNUMBER(MATCH(IF(LEN('USER INPUT SHEET'!rng_province)&gt;0,'USER INPUT SHEET'!rng_province,"Canada"),$AU169:$BD169,0))</f>
        <v>0</v>
      </c>
      <c r="AU169" s="1286"/>
      <c r="AV169" s="1286"/>
      <c r="AW169" s="1286"/>
      <c r="AX169" s="1286"/>
      <c r="AY169" s="1286"/>
      <c r="AZ169" s="1286"/>
      <c r="BA169" s="1286"/>
      <c r="BB169" s="1286"/>
      <c r="BC169" s="1286"/>
      <c r="BD169" s="1286"/>
    </row>
    <row r="170" spans="1:56" ht="15.75" customHeight="1" x14ac:dyDescent="0.3">
      <c r="A170" s="50" t="str">
        <f t="shared" si="9"/>
        <v>Gypsum panels - glass mat / USG / Securock ExoAir 430 / 1/2"</v>
      </c>
      <c r="B170" s="50" t="s">
        <v>406</v>
      </c>
      <c r="C170" s="50" t="s">
        <v>223</v>
      </c>
      <c r="D170" s="50" t="s">
        <v>409</v>
      </c>
      <c r="E170" s="50" t="s">
        <v>407</v>
      </c>
      <c r="H170" s="50"/>
      <c r="I170" s="50" t="s">
        <v>129</v>
      </c>
      <c r="J170" s="50"/>
      <c r="K170" s="50">
        <v>568</v>
      </c>
      <c r="L170" s="50" t="s">
        <v>846</v>
      </c>
      <c r="M170" s="71">
        <f>(K170/92.9)</f>
        <v>6.1141011840688906</v>
      </c>
      <c r="N170" s="50" t="s">
        <v>5</v>
      </c>
      <c r="O170" s="53" t="s">
        <v>410</v>
      </c>
      <c r="P170" s="53" t="s">
        <v>143</v>
      </c>
      <c r="Q170" s="367">
        <v>2024</v>
      </c>
      <c r="AA170" s="78">
        <f t="shared" si="17"/>
        <v>0</v>
      </c>
      <c r="AG170" s="82"/>
      <c r="AN170" s="53">
        <v>116</v>
      </c>
      <c r="AR170" s="264" t="str">
        <f ca="1">IF(LEN(Q170)=4,IF(Q170&lt;YEAR(NOW()),_xlfn.CONCAT(IF(LOWER(Setting!rng_language)="english","Expired ","Expiré "),Q170),""),"")</f>
        <v>Expired 2024</v>
      </c>
      <c r="AT170" s="53" t="b">
        <f>ISNUMBER(MATCH(IF(LEN('USER INPUT SHEET'!rng_province)&gt;0,'USER INPUT SHEET'!rng_province,"Canada"),$AU170:$BD170,0))</f>
        <v>0</v>
      </c>
      <c r="AU170" s="1286"/>
      <c r="AV170" s="1286"/>
      <c r="AW170" s="1286"/>
      <c r="AX170" s="1286"/>
      <c r="AY170" s="1286"/>
      <c r="AZ170" s="1286"/>
      <c r="BA170" s="1286"/>
      <c r="BB170" s="1286"/>
      <c r="BC170" s="1286"/>
      <c r="BD170" s="1286"/>
    </row>
    <row r="171" spans="1:56" ht="15.75" customHeight="1" x14ac:dyDescent="0.3">
      <c r="A171" s="50" t="str">
        <f t="shared" si="9"/>
        <v>(ARCHIVED 2025) Hardwood flooring / Action Floor Systems /  / 25/32" x 3-1/4" FSC certified</v>
      </c>
      <c r="B171" s="50" t="s">
        <v>4223</v>
      </c>
      <c r="C171" s="50" t="s">
        <v>412</v>
      </c>
      <c r="D171" s="50"/>
      <c r="E171" s="50" t="s">
        <v>413</v>
      </c>
      <c r="H171" s="50" t="s">
        <v>1379</v>
      </c>
      <c r="I171" s="50" t="s">
        <v>129</v>
      </c>
      <c r="J171" s="50"/>
      <c r="K171" s="50">
        <v>11.8</v>
      </c>
      <c r="L171" s="50" t="s">
        <v>5</v>
      </c>
      <c r="M171" s="71">
        <f>(11.8)</f>
        <v>11.8</v>
      </c>
      <c r="N171" s="50" t="s">
        <v>5</v>
      </c>
      <c r="O171" s="50" t="s">
        <v>414</v>
      </c>
      <c r="P171" s="50" t="s">
        <v>415</v>
      </c>
      <c r="Q171" s="367">
        <v>2022</v>
      </c>
      <c r="R171" s="53">
        <v>13.91</v>
      </c>
      <c r="S171" s="53" t="s">
        <v>141</v>
      </c>
      <c r="Y171" s="53">
        <v>0.98</v>
      </c>
      <c r="Z171" s="53">
        <v>0.5</v>
      </c>
      <c r="AA171" s="78">
        <f t="shared" si="17"/>
        <v>0</v>
      </c>
      <c r="AB171" s="53" t="s">
        <v>840</v>
      </c>
      <c r="AG171" s="82"/>
      <c r="AH171" s="53" t="s">
        <v>840</v>
      </c>
      <c r="AI171" s="165">
        <v>1.9844000000000001E-2</v>
      </c>
      <c r="AN171" s="53">
        <v>117</v>
      </c>
      <c r="AR171" s="264" t="str">
        <f ca="1">IF(LEN(Q171)=4,IF(Q171&lt;YEAR(NOW()),_xlfn.CONCAT(IF(LOWER(Setting!rng_language)="english","Expired ","Expiré "),Q171),""),"")</f>
        <v>Expired 2022</v>
      </c>
      <c r="AT171" s="53" t="b">
        <f>ISNUMBER(MATCH(IF(LEN('USER INPUT SHEET'!rng_province)&gt;0,'USER INPUT SHEET'!rng_province,"Canada"),$AU171:$BD171,0))</f>
        <v>0</v>
      </c>
      <c r="AU171" s="1286"/>
      <c r="AV171" s="1286"/>
      <c r="AW171" s="1286"/>
      <c r="AX171" s="1286"/>
      <c r="AY171" s="1286"/>
      <c r="AZ171" s="1286"/>
      <c r="BA171" s="1286"/>
      <c r="BB171" s="1286"/>
      <c r="BC171" s="1286"/>
      <c r="BD171" s="1286"/>
    </row>
    <row r="172" spans="1:56" ht="15.75" customHeight="1" x14ac:dyDescent="0.3">
      <c r="A172" s="50" t="str">
        <f t="shared" si="9"/>
        <v>Hardwood flooring / mafi / Natural Hardwood Planks / 3/4", 3 ply laminated solid, oil pre-finished</v>
      </c>
      <c r="B172" s="50" t="s">
        <v>411</v>
      </c>
      <c r="C172" s="50" t="s">
        <v>416</v>
      </c>
      <c r="D172" s="50" t="s">
        <v>417</v>
      </c>
      <c r="E172" s="50" t="s">
        <v>869</v>
      </c>
      <c r="H172" s="50" t="s">
        <v>1379</v>
      </c>
      <c r="I172" s="50" t="s">
        <v>120</v>
      </c>
      <c r="J172" s="51"/>
      <c r="K172" s="51">
        <v>-8.09</v>
      </c>
      <c r="L172" s="50" t="s">
        <v>5</v>
      </c>
      <c r="M172" s="71">
        <f>(K172--R172*Y172*Z172*44/12)</f>
        <v>12.661104733333332</v>
      </c>
      <c r="N172" s="50" t="s">
        <v>5</v>
      </c>
      <c r="O172" s="50" t="s">
        <v>418</v>
      </c>
      <c r="P172" s="53" t="s">
        <v>143</v>
      </c>
      <c r="Q172" s="367">
        <v>2025</v>
      </c>
      <c r="R172" s="58">
        <v>12.287000000000001</v>
      </c>
      <c r="S172" s="53" t="s">
        <v>419</v>
      </c>
      <c r="Y172" s="61">
        <v>0.98</v>
      </c>
      <c r="Z172" s="53">
        <v>0.47</v>
      </c>
      <c r="AA172" s="78">
        <f t="shared" si="17"/>
        <v>18.67599426</v>
      </c>
      <c r="AB172" s="53" t="s">
        <v>840</v>
      </c>
      <c r="AF172" s="53">
        <f>R172*Y172*Z172*44/12</f>
        <v>20.751104733333332</v>
      </c>
      <c r="AG172" s="82">
        <f>(AF172)*rng_biogenic_storage</f>
        <v>18.67599426</v>
      </c>
      <c r="AH172" s="53" t="s">
        <v>840</v>
      </c>
      <c r="AI172" s="165">
        <v>1.9E-2</v>
      </c>
      <c r="AN172" s="53">
        <v>118</v>
      </c>
      <c r="AR172" s="264" t="str">
        <f ca="1">IF(LEN(Q172)=4,IF(Q172&lt;YEAR(NOW()),_xlfn.CONCAT(IF(LOWER(Setting!rng_language)="english","Expired ","Expiré "),Q172),""),"")</f>
        <v>Expired 2025</v>
      </c>
      <c r="AT172" s="53" t="b">
        <f>ISNUMBER(MATCH(IF(LEN('USER INPUT SHEET'!rng_province)&gt;0,'USER INPUT SHEET'!rng_province,"Canada"),$AU172:$BD172,0))</f>
        <v>0</v>
      </c>
      <c r="AU172" s="1286"/>
      <c r="AV172" s="1286"/>
      <c r="AW172" s="1286"/>
      <c r="AX172" s="1286"/>
      <c r="AY172" s="1286"/>
      <c r="AZ172" s="1286"/>
      <c r="BA172" s="1286"/>
      <c r="BB172" s="1286"/>
      <c r="BC172" s="1286"/>
      <c r="BD172" s="1286"/>
    </row>
    <row r="173" spans="1:56" ht="15.75" customHeight="1" x14ac:dyDescent="0.3">
      <c r="A173" s="50" t="str">
        <f t="shared" si="9"/>
        <v>(ARCHIVED 2025) Hardwood flooring / Typical Eastern Canadian, solid, pre-finished /  / 3-12" x 3/4" prefinished</v>
      </c>
      <c r="B173" s="50" t="s">
        <v>4223</v>
      </c>
      <c r="C173" s="50" t="s">
        <v>868</v>
      </c>
      <c r="D173" s="50"/>
      <c r="E173" s="50" t="s">
        <v>961</v>
      </c>
      <c r="H173" s="50" t="s">
        <v>1379</v>
      </c>
      <c r="I173" s="50" t="s">
        <v>138</v>
      </c>
      <c r="J173" s="55"/>
      <c r="K173" s="55">
        <v>-2.29</v>
      </c>
      <c r="L173" s="50" t="s">
        <v>141</v>
      </c>
      <c r="M173" s="71">
        <f>(K173--R173*Y173*Z173*44/12)</f>
        <v>17.408249999999999</v>
      </c>
      <c r="N173" s="50" t="s">
        <v>5</v>
      </c>
      <c r="O173" s="50"/>
      <c r="P173" s="53" t="s">
        <v>195</v>
      </c>
      <c r="Q173" s="367">
        <v>2019</v>
      </c>
      <c r="R173" s="53">
        <v>11.02</v>
      </c>
      <c r="S173" s="53" t="s">
        <v>419</v>
      </c>
      <c r="Y173" s="53">
        <v>0.97499999999999998</v>
      </c>
      <c r="Z173" s="53">
        <v>0.5</v>
      </c>
      <c r="AA173" s="78">
        <f t="shared" si="17"/>
        <v>17.74454175</v>
      </c>
      <c r="AB173" s="53" t="s">
        <v>840</v>
      </c>
      <c r="AF173" s="53">
        <f>R173*Y173*Z173*3.67</f>
        <v>19.716157499999998</v>
      </c>
      <c r="AG173" s="81">
        <f>(AF173)*rng_biogenic_storage</f>
        <v>17.74454175</v>
      </c>
      <c r="AH173" s="53" t="s">
        <v>840</v>
      </c>
      <c r="AI173" s="165">
        <v>1.9E-2</v>
      </c>
      <c r="AK173" s="165">
        <v>8.3000000000000004E-2</v>
      </c>
      <c r="AN173" s="53">
        <v>119</v>
      </c>
      <c r="AR173" s="264" t="str">
        <f ca="1">IF(LEN(Q173)=4,IF(Q173&lt;YEAR(NOW()),_xlfn.CONCAT(IF(LOWER(Setting!rng_language)="english","Expired ","Expiré "),Q173),""),"")</f>
        <v>Expired 2019</v>
      </c>
      <c r="AT173" s="53" t="b">
        <f>ISNUMBER(MATCH(IF(LEN('USER INPUT SHEET'!rng_province)&gt;0,'USER INPUT SHEET'!rng_province,"Canada"),$AU173:$BD173,0))</f>
        <v>0</v>
      </c>
      <c r="AU173" s="1286"/>
      <c r="AV173" s="1286"/>
      <c r="AW173" s="1286"/>
      <c r="AX173" s="1286"/>
      <c r="AY173" s="1286"/>
      <c r="AZ173" s="1286"/>
      <c r="BA173" s="1286"/>
      <c r="BB173" s="1286"/>
      <c r="BC173" s="1286"/>
      <c r="BD173" s="1286"/>
    </row>
    <row r="174" spans="1:56" ht="15.75" customHeight="1" x14ac:dyDescent="0.3">
      <c r="A174" s="50" t="str">
        <f t="shared" si="9"/>
        <v>Hardwood flooring / NWFA and Decorative Hardwoods Association / Solid Wood Flooring / 3/4"</v>
      </c>
      <c r="B174" s="50" t="s">
        <v>411</v>
      </c>
      <c r="C174" s="50" t="s">
        <v>4255</v>
      </c>
      <c r="D174" s="50" t="s">
        <v>4256</v>
      </c>
      <c r="E174" s="50" t="s">
        <v>937</v>
      </c>
      <c r="H174" s="50" t="s">
        <v>4257</v>
      </c>
      <c r="I174" s="50" t="s">
        <v>3500</v>
      </c>
      <c r="J174" s="401">
        <v>45038</v>
      </c>
      <c r="K174" s="55">
        <v>9.7929999999999993</v>
      </c>
      <c r="L174" s="50" t="s">
        <v>3501</v>
      </c>
      <c r="M174" s="70">
        <v>9.7929999999999993</v>
      </c>
      <c r="N174" s="50" t="s">
        <v>3501</v>
      </c>
      <c r="O174" s="50" t="s">
        <v>4258</v>
      </c>
      <c r="P174" s="53" t="s">
        <v>3518</v>
      </c>
      <c r="Q174" s="401">
        <v>46716</v>
      </c>
      <c r="X174" s="53">
        <v>22.11</v>
      </c>
      <c r="AA174" s="78">
        <f t="shared" si="17"/>
        <v>19.899000000000001</v>
      </c>
      <c r="AG174" s="81">
        <f>(X174)*rng_biogenic_storage</f>
        <v>19.899000000000001</v>
      </c>
      <c r="AN174" s="53" t="s">
        <v>2212</v>
      </c>
      <c r="AT174" s="53" t="b">
        <f>ISNUMBER(MATCH(IF(LEN('USER INPUT SHEET'!rng_province)&gt;0,'USER INPUT SHEET'!rng_province,"Canada"),$AU174:$BD174,0))</f>
        <v>0</v>
      </c>
      <c r="AU174" s="1286"/>
      <c r="AV174" s="1286"/>
      <c r="AW174" s="1286"/>
      <c r="AX174" s="1286"/>
      <c r="AY174" s="1286"/>
      <c r="AZ174" s="1286"/>
      <c r="BA174" s="1286"/>
      <c r="BB174" s="1286"/>
      <c r="BC174" s="1286"/>
      <c r="BD174" s="1286"/>
    </row>
    <row r="175" spans="1:56" ht="15.75" customHeight="1" x14ac:dyDescent="0.3">
      <c r="A175" s="50" t="str">
        <f t="shared" si="9"/>
        <v>Hardwood flooring / Wickham / Solid Hardwood / 3/4"</v>
      </c>
      <c r="B175" s="50" t="s">
        <v>411</v>
      </c>
      <c r="C175" s="50" t="s">
        <v>4259</v>
      </c>
      <c r="D175" s="50" t="s">
        <v>4260</v>
      </c>
      <c r="E175" s="50" t="s">
        <v>937</v>
      </c>
      <c r="H175" s="50"/>
      <c r="I175" s="50" t="s">
        <v>138</v>
      </c>
      <c r="J175" s="401">
        <v>45331</v>
      </c>
      <c r="K175" s="55">
        <v>3.2</v>
      </c>
      <c r="L175" s="50" t="s">
        <v>5</v>
      </c>
      <c r="M175" s="70">
        <v>3.2</v>
      </c>
      <c r="N175" s="50" t="s">
        <v>5</v>
      </c>
      <c r="O175" s="50" t="s">
        <v>4261</v>
      </c>
      <c r="P175" s="53" t="s">
        <v>268</v>
      </c>
      <c r="Q175" s="367">
        <v>2027</v>
      </c>
      <c r="R175" s="53">
        <v>12.35</v>
      </c>
      <c r="S175" s="53" t="s">
        <v>141</v>
      </c>
      <c r="X175" s="53">
        <v>20.95</v>
      </c>
      <c r="AA175" s="78">
        <f t="shared" si="17"/>
        <v>18.855</v>
      </c>
      <c r="AG175" s="81">
        <f>(X175)*rng_biogenic_storage</f>
        <v>18.855</v>
      </c>
      <c r="AN175" s="53" t="s">
        <v>2146</v>
      </c>
      <c r="AT175" s="53" t="b">
        <f>ISNUMBER(MATCH(IF(LEN('USER INPUT SHEET'!rng_province)&gt;0,'USER INPUT SHEET'!rng_province,"Canada"),$AU175:$BD175,0))</f>
        <v>0</v>
      </c>
      <c r="AU175" s="1286"/>
      <c r="AV175" s="1286"/>
      <c r="AW175" s="1286"/>
      <c r="AX175" s="1286"/>
      <c r="AY175" s="1286"/>
      <c r="AZ175" s="1286"/>
      <c r="BA175" s="1286"/>
      <c r="BB175" s="1286"/>
      <c r="BC175" s="1286"/>
      <c r="BD175" s="1286"/>
    </row>
    <row r="176" spans="1:56" ht="15.75" customHeight="1" x14ac:dyDescent="0.3">
      <c r="A176" s="50" t="str">
        <f>B176&amp;" / "&amp;C176&amp;" / "&amp;D176&amp;" / "&amp;E176</f>
        <v>Helical pier / Generic /  / 3" Nominal Pipe, 3.5 x 3/16" (89 x 5.5 mm), 10" Helix, Sched 40 STD Galvanized steel</v>
      </c>
      <c r="B176" s="53" t="s">
        <v>420</v>
      </c>
      <c r="C176" s="53" t="s">
        <v>421</v>
      </c>
      <c r="E176" s="50" t="s">
        <v>894</v>
      </c>
      <c r="H176" s="50"/>
      <c r="K176" s="53">
        <v>1.48</v>
      </c>
      <c r="L176" s="53" t="s">
        <v>841</v>
      </c>
      <c r="M176" s="68">
        <f>(T176*K176)</f>
        <v>17.623840000000001</v>
      </c>
      <c r="N176" s="53" t="s">
        <v>832</v>
      </c>
      <c r="O176" s="53" t="s">
        <v>422</v>
      </c>
      <c r="P176" s="53" t="s">
        <v>143</v>
      </c>
      <c r="Q176" s="367">
        <v>2021</v>
      </c>
      <c r="R176" s="53">
        <v>7800</v>
      </c>
      <c r="S176" s="53" t="s">
        <v>121</v>
      </c>
      <c r="T176" s="59">
        <f>11.284+0.624</f>
        <v>11.908000000000001</v>
      </c>
      <c r="U176" s="53" t="s">
        <v>423</v>
      </c>
      <c r="AA176" s="78">
        <f>_xlfn.NUMBERVALUE(IF(LEN(AG176)&gt;0,AG176,0))</f>
        <v>0</v>
      </c>
      <c r="AG176" s="79"/>
      <c r="AN176" s="53">
        <v>120</v>
      </c>
      <c r="AR176" s="264" t="str">
        <f ca="1">IF(LEN(Q176)=4,IF(Q176&lt;YEAR(NOW()),_xlfn.CONCAT(IF(LOWER(Setting!rng_language)="english","Expired ","Expiré "),Q176),""),"")</f>
        <v>Expired 2021</v>
      </c>
      <c r="AT176" s="53" t="b">
        <f>ISNUMBER(MATCH(IF(LEN('USER INPUT SHEET'!rng_province)&gt;0,'USER INPUT SHEET'!rng_province,"Canada"),$AU176:$BD176,0))</f>
        <v>0</v>
      </c>
      <c r="AU176" s="1286"/>
      <c r="AV176" s="1286"/>
      <c r="AW176" s="1286"/>
      <c r="AX176" s="1286"/>
      <c r="AY176" s="1286"/>
      <c r="AZ176" s="1286"/>
      <c r="BA176" s="1286"/>
      <c r="BB176" s="1286"/>
      <c r="BC176" s="1286"/>
      <c r="BD176" s="1286"/>
    </row>
    <row r="177" spans="1:56" ht="15.75" customHeight="1" x14ac:dyDescent="0.3">
      <c r="A177" s="50" t="str">
        <f t="shared" si="9"/>
        <v>(ARCHIVED 2025) Hemp fiber batt / NaturFibre / Hemp Wool / R 3.7/inch</v>
      </c>
      <c r="B177" s="53" t="s">
        <v>4224</v>
      </c>
      <c r="C177" s="50" t="s">
        <v>425</v>
      </c>
      <c r="D177" s="50" t="s">
        <v>426</v>
      </c>
      <c r="E177" s="50" t="s">
        <v>210</v>
      </c>
      <c r="H177" s="50"/>
      <c r="I177" s="50" t="s">
        <v>124</v>
      </c>
      <c r="J177" s="224"/>
      <c r="K177" s="53">
        <f>4.54-8.82</f>
        <v>-4.28</v>
      </c>
      <c r="L177" s="53" t="s">
        <v>1286</v>
      </c>
      <c r="M177" s="71">
        <f>(4.54/0.2*W177)</f>
        <v>0.90800000000000003</v>
      </c>
      <c r="N177" s="53" t="s">
        <v>1287</v>
      </c>
      <c r="O177" s="53" t="s">
        <v>427</v>
      </c>
      <c r="Q177" s="367" t="s">
        <v>1772</v>
      </c>
      <c r="R177" s="53">
        <v>30</v>
      </c>
      <c r="S177" s="53" t="s">
        <v>121</v>
      </c>
      <c r="T177" s="59">
        <v>6</v>
      </c>
      <c r="U177" s="53" t="s">
        <v>1288</v>
      </c>
      <c r="V177" s="53">
        <v>3.69</v>
      </c>
      <c r="W177" s="53">
        <v>0.04</v>
      </c>
      <c r="X177" s="53" t="s">
        <v>136</v>
      </c>
      <c r="Y177" s="53" t="s">
        <v>3781</v>
      </c>
      <c r="AA177" s="87">
        <f>(1.9+0.633)*rng_biogenic_storage</f>
        <v>2.2797000000000001</v>
      </c>
      <c r="AB177" s="53" t="s">
        <v>1287</v>
      </c>
      <c r="AK177" s="165">
        <v>0.2</v>
      </c>
      <c r="AN177" s="53">
        <v>121</v>
      </c>
      <c r="AR177" s="264" t="s">
        <v>1399</v>
      </c>
      <c r="AT177" s="53" t="b">
        <f>ISNUMBER(MATCH(IF(LEN('USER INPUT SHEET'!rng_province)&gt;0,'USER INPUT SHEET'!rng_province,"Canada"),$AU177:$BD177,0))</f>
        <v>0</v>
      </c>
      <c r="AU177" s="1286"/>
      <c r="AV177" s="1286"/>
      <c r="AW177" s="1286"/>
      <c r="AX177" s="1286"/>
      <c r="AY177" s="1286"/>
      <c r="AZ177" s="1286"/>
      <c r="BA177" s="1286"/>
      <c r="BB177" s="1286"/>
      <c r="BC177" s="1286"/>
      <c r="BD177" s="1286"/>
    </row>
    <row r="178" spans="1:56" ht="15.75" customHeight="1" x14ac:dyDescent="0.3">
      <c r="A178" s="50" t="str">
        <f t="shared" si="9"/>
        <v>Hemp fiber batt / NaturFibre / Hemp Wool / R 3.7/inch</v>
      </c>
      <c r="B178" s="53" t="s">
        <v>424</v>
      </c>
      <c r="C178" s="50" t="s">
        <v>425</v>
      </c>
      <c r="D178" s="50" t="s">
        <v>426</v>
      </c>
      <c r="E178" s="50" t="s">
        <v>210</v>
      </c>
      <c r="H178" s="50"/>
      <c r="I178" s="50"/>
      <c r="J178" s="224">
        <v>44442</v>
      </c>
      <c r="K178" s="53">
        <v>-0.80189999999999995</v>
      </c>
      <c r="L178" s="53" t="s">
        <v>1287</v>
      </c>
      <c r="M178" s="70">
        <v>1.736</v>
      </c>
      <c r="N178" s="53" t="s">
        <v>1287</v>
      </c>
      <c r="O178" s="53" t="s">
        <v>4262</v>
      </c>
      <c r="P178" s="53" t="s">
        <v>4263</v>
      </c>
      <c r="Q178" s="401">
        <v>46082</v>
      </c>
      <c r="R178" s="53">
        <v>35</v>
      </c>
      <c r="S178" s="53" t="s">
        <v>121</v>
      </c>
      <c r="T178" s="59">
        <v>1.36</v>
      </c>
      <c r="U178" s="53" t="s">
        <v>4264</v>
      </c>
      <c r="V178" s="53">
        <v>3.7064848399999999</v>
      </c>
      <c r="W178" s="53">
        <v>3.8910505836575876E-2</v>
      </c>
      <c r="X178" s="53">
        <v>1.9</v>
      </c>
      <c r="Y178" s="53" t="s">
        <v>3781</v>
      </c>
      <c r="AA178" s="87">
        <f>(X178)*rng_biogenic_storage</f>
        <v>1.71</v>
      </c>
      <c r="AB178" s="53" t="s">
        <v>1287</v>
      </c>
      <c r="AI178" s="165">
        <v>3.87</v>
      </c>
      <c r="AK178" s="165">
        <v>1.22</v>
      </c>
      <c r="AN178" s="53" t="s">
        <v>2119</v>
      </c>
      <c r="AT178" s="53" t="b">
        <f>ISNUMBER(MATCH(IF(LEN('USER INPUT SHEET'!rng_province)&gt;0,'USER INPUT SHEET'!rng_province,"Canada"),$AU178:$BD178,0))</f>
        <v>0</v>
      </c>
      <c r="AU178" s="1286"/>
      <c r="AV178" s="1286"/>
      <c r="AW178" s="1286"/>
      <c r="AX178" s="1286"/>
      <c r="AY178" s="1286"/>
      <c r="AZ178" s="1286"/>
      <c r="BA178" s="1286"/>
      <c r="BB178" s="1286"/>
      <c r="BC178" s="1286"/>
      <c r="BD178" s="1286"/>
    </row>
    <row r="179" spans="1:56" ht="15.75" customHeight="1" x14ac:dyDescent="0.3">
      <c r="A179" s="50" t="str">
        <f t="shared" si="9"/>
        <v>(ARCHIVED 2025) Hemp fiber batt / Ekolution / Hemp fiber insulation / R 3.6/inch</v>
      </c>
      <c r="B179" s="53" t="s">
        <v>4224</v>
      </c>
      <c r="C179" s="50" t="s">
        <v>4265</v>
      </c>
      <c r="D179" s="50" t="s">
        <v>4266</v>
      </c>
      <c r="E179" s="50" t="s">
        <v>204</v>
      </c>
      <c r="H179" s="50"/>
      <c r="I179" s="50" t="s">
        <v>120</v>
      </c>
      <c r="J179" s="224">
        <v>45312</v>
      </c>
      <c r="K179" s="53">
        <v>2.1800000000000002</v>
      </c>
      <c r="L179" s="53" t="s">
        <v>4267</v>
      </c>
      <c r="M179" s="70">
        <v>0.87200000000000011</v>
      </c>
      <c r="N179" s="53" t="s">
        <v>3516</v>
      </c>
      <c r="O179" s="53" t="s">
        <v>4268</v>
      </c>
      <c r="P179" s="53" t="s">
        <v>392</v>
      </c>
      <c r="Q179" s="367">
        <v>2025</v>
      </c>
      <c r="R179" s="53">
        <v>35</v>
      </c>
      <c r="S179" s="53" t="s">
        <v>121</v>
      </c>
      <c r="T179" s="59"/>
      <c r="V179" s="53">
        <v>3.6055299999999999</v>
      </c>
      <c r="W179" s="53">
        <v>0.04</v>
      </c>
      <c r="X179" s="53">
        <v>4.4000000000000004</v>
      </c>
      <c r="Y179" s="53" t="s">
        <v>3781</v>
      </c>
      <c r="AA179" s="87">
        <f>(X179)*rng_biogenic_storage</f>
        <v>3.9600000000000004</v>
      </c>
      <c r="AB179" s="53" t="s">
        <v>3516</v>
      </c>
      <c r="AN179" s="53" t="s">
        <v>3966</v>
      </c>
      <c r="AT179" s="53" t="b">
        <f>ISNUMBER(MATCH(IF(LEN('USER INPUT SHEET'!rng_province)&gt;0,'USER INPUT SHEET'!rng_province,"Canada"),$AU179:$BD179,0))</f>
        <v>0</v>
      </c>
      <c r="AU179" s="1286"/>
      <c r="AV179" s="1286"/>
      <c r="AW179" s="1286"/>
      <c r="AX179" s="1286"/>
      <c r="AY179" s="1286"/>
      <c r="AZ179" s="1286"/>
      <c r="BA179" s="1286"/>
      <c r="BB179" s="1286"/>
      <c r="BC179" s="1286"/>
      <c r="BD179" s="1286"/>
    </row>
    <row r="180" spans="1:56" ht="15.75" customHeight="1" x14ac:dyDescent="0.3">
      <c r="A180" s="50" t="str">
        <f t="shared" si="9"/>
        <v>(ARCHIVED 2025) Hemp fiber batt / KOBE-cz / ECO HempFlex /  R 3.6/inch</v>
      </c>
      <c r="B180" s="53" t="s">
        <v>4224</v>
      </c>
      <c r="C180" s="50" t="s">
        <v>4269</v>
      </c>
      <c r="D180" s="50" t="s">
        <v>4270</v>
      </c>
      <c r="E180" s="50" t="s">
        <v>4271</v>
      </c>
      <c r="H180" s="50"/>
      <c r="I180" s="50" t="s">
        <v>120</v>
      </c>
      <c r="J180" s="224">
        <v>45319</v>
      </c>
      <c r="K180" s="53">
        <v>2.1800000000000002</v>
      </c>
      <c r="L180" s="53" t="s">
        <v>4267</v>
      </c>
      <c r="M180" s="70">
        <v>0.87200000000000011</v>
      </c>
      <c r="N180" s="53" t="s">
        <v>3516</v>
      </c>
      <c r="O180" s="53" t="s">
        <v>4272</v>
      </c>
      <c r="P180" s="53" t="s">
        <v>392</v>
      </c>
      <c r="Q180" s="367">
        <v>2025</v>
      </c>
      <c r="R180" s="53">
        <v>35</v>
      </c>
      <c r="S180" s="53" t="s">
        <v>121</v>
      </c>
      <c r="T180" s="59"/>
      <c r="V180" s="53">
        <v>3.6055299999999999</v>
      </c>
      <c r="W180" s="53">
        <v>0.04</v>
      </c>
      <c r="X180" s="53">
        <v>4.4000000000000004</v>
      </c>
      <c r="Y180" s="53" t="s">
        <v>3781</v>
      </c>
      <c r="AA180" s="87">
        <f>(X180)*rng_biogenic_storage</f>
        <v>3.9600000000000004</v>
      </c>
      <c r="AB180" s="53" t="s">
        <v>3516</v>
      </c>
      <c r="AN180" s="53" t="s">
        <v>2320</v>
      </c>
      <c r="AT180" s="53" t="b">
        <f>ISNUMBER(MATCH(IF(LEN('USER INPUT SHEET'!rng_province)&gt;0,'USER INPUT SHEET'!rng_province,"Canada"),$AU180:$BD180,0))</f>
        <v>0</v>
      </c>
      <c r="AU180" s="1286"/>
      <c r="AV180" s="1286"/>
      <c r="AW180" s="1286"/>
      <c r="AX180" s="1286"/>
      <c r="AY180" s="1286"/>
      <c r="AZ180" s="1286"/>
      <c r="BA180" s="1286"/>
      <c r="BB180" s="1286"/>
      <c r="BC180" s="1286"/>
      <c r="BD180" s="1286"/>
    </row>
    <row r="181" spans="1:56" ht="15.75" customHeight="1" x14ac:dyDescent="0.3">
      <c r="A181" s="50" t="str">
        <f t="shared" si="9"/>
        <v>(ARCHIVED 2025) Hempcrete / IsoHemp / Europe / R 2.1/inch</v>
      </c>
      <c r="B181" s="50" t="s">
        <v>4225</v>
      </c>
      <c r="C181" s="50" t="s">
        <v>429</v>
      </c>
      <c r="D181" s="50" t="s">
        <v>430</v>
      </c>
      <c r="E181" s="50" t="s">
        <v>431</v>
      </c>
      <c r="H181" s="50"/>
      <c r="I181" s="50" t="s">
        <v>120</v>
      </c>
      <c r="J181" s="50"/>
      <c r="K181" s="51">
        <v>-96.3</v>
      </c>
      <c r="L181" s="51" t="s">
        <v>3</v>
      </c>
      <c r="M181" s="71">
        <f>(K181*W181--AA181)</f>
        <v>4.5422729999999998</v>
      </c>
      <c r="N181" s="50" t="s">
        <v>825</v>
      </c>
      <c r="O181" s="50" t="s">
        <v>432</v>
      </c>
      <c r="P181" s="50" t="s">
        <v>433</v>
      </c>
      <c r="Q181" s="367">
        <v>2023</v>
      </c>
      <c r="R181" s="53">
        <v>300</v>
      </c>
      <c r="S181" s="53" t="s">
        <v>121</v>
      </c>
      <c r="T181" s="60">
        <f>R181*W181</f>
        <v>22.8</v>
      </c>
      <c r="U181" s="53" t="s">
        <v>207</v>
      </c>
      <c r="V181" s="53">
        <v>2.13</v>
      </c>
      <c r="W181" s="53">
        <v>7.5999999999999998E-2</v>
      </c>
      <c r="X181" s="49" t="s">
        <v>136</v>
      </c>
      <c r="Y181" s="53">
        <v>0.35</v>
      </c>
      <c r="Z181" s="53">
        <v>0.45</v>
      </c>
      <c r="AA181" s="82">
        <f>(T181*Y181*Z181*3.67)*rng_biogenic_storage</f>
        <v>11.861072999999999</v>
      </c>
      <c r="AB181" s="53" t="s">
        <v>838</v>
      </c>
      <c r="AG181" s="82"/>
      <c r="AN181" s="53">
        <v>122</v>
      </c>
      <c r="AR181" s="264" t="s">
        <v>699</v>
      </c>
      <c r="AT181" s="53" t="b">
        <f>ISNUMBER(MATCH(IF(LEN('USER INPUT SHEET'!rng_province)&gt;0,'USER INPUT SHEET'!rng_province,"Canada"),$AU181:$BD181,0))</f>
        <v>0</v>
      </c>
      <c r="AU181" s="1286"/>
      <c r="AV181" s="1286"/>
      <c r="AW181" s="1286"/>
      <c r="AX181" s="1286"/>
      <c r="AY181" s="1286"/>
      <c r="AZ181" s="1286"/>
      <c r="BA181" s="1286"/>
      <c r="BB181" s="1286"/>
      <c r="BC181" s="1286"/>
      <c r="BD181" s="1286"/>
    </row>
    <row r="182" spans="1:56" ht="15.75" customHeight="1" x14ac:dyDescent="0.3">
      <c r="A182" s="50" t="str">
        <f t="shared" si="9"/>
        <v>Hempcrete / Cast in-situ / IsoHemp / Europe / R 2.1/inch</v>
      </c>
      <c r="B182" s="50" t="s">
        <v>4273</v>
      </c>
      <c r="C182" s="50" t="s">
        <v>429</v>
      </c>
      <c r="D182" s="50" t="s">
        <v>430</v>
      </c>
      <c r="E182" s="50" t="s">
        <v>431</v>
      </c>
      <c r="H182" s="50"/>
      <c r="I182" s="50"/>
      <c r="J182" s="50"/>
      <c r="K182" s="55">
        <v>-96.3</v>
      </c>
      <c r="L182" s="55" t="s">
        <v>3</v>
      </c>
      <c r="M182" s="70">
        <v>3.9087222954545444</v>
      </c>
      <c r="N182" s="50" t="s">
        <v>3516</v>
      </c>
      <c r="O182" s="1290">
        <v>43191</v>
      </c>
      <c r="P182" s="50"/>
      <c r="Q182" s="367">
        <v>2023</v>
      </c>
      <c r="R182" s="53">
        <v>300</v>
      </c>
      <c r="S182" s="53" t="s">
        <v>121</v>
      </c>
      <c r="T182" s="60">
        <v>19.666527272727269</v>
      </c>
      <c r="U182" s="53" t="s">
        <v>207</v>
      </c>
      <c r="V182" s="53">
        <v>2.2000000000000002</v>
      </c>
      <c r="W182" s="53">
        <v>6.5555090909090896E-2</v>
      </c>
      <c r="X182" s="52"/>
      <c r="Y182" s="53">
        <v>0.35</v>
      </c>
      <c r="Z182" s="53">
        <v>0.45</v>
      </c>
      <c r="AA182" s="81">
        <f>(T182*Y182*Z182*3.67)*rng_biogenic_storage</f>
        <v>10.230969984136362</v>
      </c>
      <c r="AB182" s="53" t="s">
        <v>3516</v>
      </c>
      <c r="AD182" s="53">
        <f>T182*Y182*Z182</f>
        <v>3.0974780454545447</v>
      </c>
      <c r="AF182" s="53">
        <v>10.221677549999997</v>
      </c>
      <c r="AG182" s="81"/>
      <c r="AH182" s="53">
        <v>3.0974780454545447</v>
      </c>
      <c r="AN182" s="53" t="s">
        <v>3983</v>
      </c>
      <c r="AT182" s="53" t="b">
        <f>ISNUMBER(MATCH(IF(LEN('USER INPUT SHEET'!rng_province)&gt;0,'USER INPUT SHEET'!rng_province,"Canada"),$AU182:$BD182,0))</f>
        <v>0</v>
      </c>
      <c r="AU182" s="1286"/>
      <c r="AV182" s="1286"/>
      <c r="AW182" s="1286"/>
      <c r="AX182" s="1286"/>
      <c r="AY182" s="1286"/>
      <c r="AZ182" s="1286"/>
      <c r="BA182" s="1286"/>
      <c r="BB182" s="1286"/>
      <c r="BC182" s="1286"/>
      <c r="BD182" s="1286"/>
    </row>
    <row r="183" spans="1:56" ht="15.75" customHeight="1" x14ac:dyDescent="0.3">
      <c r="A183" s="50" t="str">
        <f t="shared" si="9"/>
        <v>Hempcrete block / Isohemp / Hemp Block PAL36EX including mortar / 600 x 300 x 360 mm  / R 2/inch</v>
      </c>
      <c r="B183" s="50" t="s">
        <v>4274</v>
      </c>
      <c r="C183" s="50" t="s">
        <v>4275</v>
      </c>
      <c r="D183" s="50" t="s">
        <v>4276</v>
      </c>
      <c r="E183" s="50" t="s">
        <v>4277</v>
      </c>
      <c r="H183" s="50" t="s">
        <v>4278</v>
      </c>
      <c r="I183" s="50" t="s">
        <v>4279</v>
      </c>
      <c r="J183" s="401">
        <v>44998</v>
      </c>
      <c r="K183" s="55">
        <v>45.66</v>
      </c>
      <c r="L183" s="55" t="s">
        <v>4280</v>
      </c>
      <c r="M183" s="70">
        <v>9.0059171597633121</v>
      </c>
      <c r="N183" s="50" t="s">
        <v>3516</v>
      </c>
      <c r="O183" s="50" t="s">
        <v>4281</v>
      </c>
      <c r="P183" s="50" t="s">
        <v>4282</v>
      </c>
      <c r="Q183" s="401">
        <v>46281</v>
      </c>
      <c r="R183" s="53">
        <v>340</v>
      </c>
      <c r="S183" s="53" t="s">
        <v>121</v>
      </c>
      <c r="T183" s="60">
        <v>24.139999999999997</v>
      </c>
      <c r="U183" s="53" t="s">
        <v>207</v>
      </c>
      <c r="V183" s="53">
        <v>2</v>
      </c>
      <c r="W183" s="53">
        <v>7.0999999999999994E-2</v>
      </c>
      <c r="X183" s="52">
        <v>65.5</v>
      </c>
      <c r="Y183" s="53" t="s">
        <v>3781</v>
      </c>
      <c r="AA183" s="81">
        <f>(AD183)*rng_biogenic_storage</f>
        <v>11.627218934911243</v>
      </c>
      <c r="AB183" s="53" t="s">
        <v>3516</v>
      </c>
      <c r="AD183" s="53">
        <f>X183/5.07</f>
        <v>12.91913214990138</v>
      </c>
      <c r="AF183" s="53">
        <v>10.229017333333331</v>
      </c>
      <c r="AG183" s="81"/>
      <c r="AH183" s="53">
        <v>2.7897319999999994</v>
      </c>
      <c r="AI183" s="165">
        <v>0.6</v>
      </c>
      <c r="AJ183" s="165">
        <v>0.3</v>
      </c>
      <c r="AK183" s="165">
        <v>0.36</v>
      </c>
      <c r="AN183" s="53" t="s">
        <v>3332</v>
      </c>
      <c r="AT183" s="53" t="b">
        <f>ISNUMBER(MATCH(IF(LEN('USER INPUT SHEET'!rng_province)&gt;0,'USER INPUT SHEET'!rng_province,"Canada"),$AU183:$BD183,0))</f>
        <v>0</v>
      </c>
      <c r="AU183" s="1286"/>
      <c r="AV183" s="1286"/>
      <c r="AW183" s="1286"/>
      <c r="AX183" s="1286"/>
      <c r="AY183" s="1286"/>
      <c r="AZ183" s="1286"/>
      <c r="BA183" s="1286"/>
      <c r="BB183" s="1286"/>
      <c r="BC183" s="1286"/>
      <c r="BD183" s="1286"/>
    </row>
    <row r="184" spans="1:56" ht="15.75" customHeight="1" x14ac:dyDescent="0.3">
      <c r="A184" s="50" t="str">
        <f t="shared" si="9"/>
        <v>Hempcrete block / Senini / Blocco Ambiente / 200 x 500 x 300 mm / 330 kg/m3 / R 2.1/inch</v>
      </c>
      <c r="B184" s="50" t="s">
        <v>4274</v>
      </c>
      <c r="C184" s="50" t="s">
        <v>4283</v>
      </c>
      <c r="D184" s="50" t="s">
        <v>4284</v>
      </c>
      <c r="E184" s="50" t="s">
        <v>431</v>
      </c>
      <c r="H184" s="50" t="s">
        <v>4285</v>
      </c>
      <c r="I184" s="50" t="s">
        <v>120</v>
      </c>
      <c r="J184" s="401">
        <v>45311</v>
      </c>
      <c r="K184" s="55">
        <v>71.8</v>
      </c>
      <c r="L184" s="55" t="s">
        <v>4286</v>
      </c>
      <c r="M184" s="70">
        <v>16.736596736596734</v>
      </c>
      <c r="N184" s="50" t="s">
        <v>4213</v>
      </c>
      <c r="O184" s="50" t="s">
        <v>4287</v>
      </c>
      <c r="P184" s="50" t="s">
        <v>4288</v>
      </c>
      <c r="Q184" s="367">
        <v>2027</v>
      </c>
      <c r="R184" s="53">
        <v>330</v>
      </c>
      <c r="S184" s="53" t="s">
        <v>121</v>
      </c>
      <c r="T184" s="60"/>
      <c r="V184" s="53">
        <v>2.0603028571428568</v>
      </c>
      <c r="W184" s="53">
        <v>7.0000000000000007E-2</v>
      </c>
      <c r="X184" s="52">
        <v>65.95</v>
      </c>
      <c r="Y184" s="53" t="s">
        <v>3781</v>
      </c>
      <c r="AA184" s="81">
        <f>(AD184)*rng_biogenic_storage</f>
        <v>13.835664335664335</v>
      </c>
      <c r="AB184" s="53" t="s">
        <v>3516</v>
      </c>
      <c r="AD184" s="53">
        <f>X184/4.29</f>
        <v>15.372960372960373</v>
      </c>
      <c r="AG184" s="81"/>
      <c r="AH184" s="53">
        <v>15.372960372960373</v>
      </c>
      <c r="AN184" s="53" t="s">
        <v>4298</v>
      </c>
      <c r="AT184" s="53" t="b">
        <f>ISNUMBER(MATCH(IF(LEN('USER INPUT SHEET'!rng_province)&gt;0,'USER INPUT SHEET'!rng_province,"Canada"),$AU184:$BD184,0))</f>
        <v>0</v>
      </c>
      <c r="AU184" s="1286"/>
      <c r="AV184" s="1286"/>
      <c r="AW184" s="1286"/>
      <c r="AX184" s="1286"/>
      <c r="AY184" s="1286"/>
      <c r="AZ184" s="1286"/>
      <c r="BA184" s="1286"/>
      <c r="BB184" s="1286"/>
      <c r="BC184" s="1286"/>
      <c r="BD184" s="1286"/>
    </row>
    <row r="185" spans="1:56" ht="15.75" customHeight="1" x14ac:dyDescent="0.3">
      <c r="A185" s="50" t="str">
        <f t="shared" si="9"/>
        <v xml:space="preserve">Hempcrete / Cast in-situ / Senini / Bio Beton Jet / 230 kg/m3 / R 2.7/inch </v>
      </c>
      <c r="B185" s="50" t="s">
        <v>4273</v>
      </c>
      <c r="C185" s="50" t="s">
        <v>4283</v>
      </c>
      <c r="D185" s="50" t="s">
        <v>4289</v>
      </c>
      <c r="E185" s="50" t="s">
        <v>4290</v>
      </c>
      <c r="H185" s="50"/>
      <c r="I185" s="50" t="s">
        <v>120</v>
      </c>
      <c r="J185" s="401">
        <v>45311</v>
      </c>
      <c r="K185" s="55">
        <v>43.47</v>
      </c>
      <c r="L185" s="55" t="s">
        <v>4286</v>
      </c>
      <c r="M185" s="70">
        <v>7.6837416481069036</v>
      </c>
      <c r="N185" s="50" t="s">
        <v>4213</v>
      </c>
      <c r="O185" s="50" t="s">
        <v>4287</v>
      </c>
      <c r="P185" s="50" t="s">
        <v>4288</v>
      </c>
      <c r="Q185" s="367">
        <v>2027</v>
      </c>
      <c r="R185" s="53">
        <v>230</v>
      </c>
      <c r="S185" s="53" t="s">
        <v>121</v>
      </c>
      <c r="T185" s="60"/>
      <c r="V185" s="53">
        <v>2.7211547169811321</v>
      </c>
      <c r="W185" s="53">
        <v>5.2999999999999999E-2</v>
      </c>
      <c r="X185" s="52">
        <v>61.8</v>
      </c>
      <c r="Y185" s="53" t="s">
        <v>3781</v>
      </c>
      <c r="AA185" s="81">
        <f>(AD185)*rng_biogenic_storage</f>
        <v>9.8313713013044861</v>
      </c>
      <c r="AB185" s="53" t="s">
        <v>3516</v>
      </c>
      <c r="AD185" s="53">
        <f>X185/5.6574</f>
        <v>10.923745890338317</v>
      </c>
      <c r="AG185" s="81"/>
      <c r="AH185" s="53">
        <v>10.923745890338317</v>
      </c>
      <c r="AI185" s="165" t="s">
        <v>4291</v>
      </c>
      <c r="AN185" s="53" t="s">
        <v>2122</v>
      </c>
      <c r="AT185" s="53" t="b">
        <f>ISNUMBER(MATCH(IF(LEN('USER INPUT SHEET'!rng_province)&gt;0,'USER INPUT SHEET'!rng_province,"Canada"),$AU185:$BD185,0))</f>
        <v>0</v>
      </c>
      <c r="AU185" s="1286"/>
      <c r="AV185" s="1286"/>
      <c r="AW185" s="1286"/>
      <c r="AX185" s="1286"/>
      <c r="AY185" s="1286"/>
      <c r="AZ185" s="1286"/>
      <c r="BA185" s="1286"/>
      <c r="BB185" s="1286"/>
      <c r="BC185" s="1286"/>
      <c r="BD185" s="1286"/>
    </row>
    <row r="186" spans="1:56" ht="15.75" customHeight="1" x14ac:dyDescent="0.3">
      <c r="A186" s="50" t="str">
        <f t="shared" si="9"/>
        <v xml:space="preserve">Hempcrete dry fill / Senini / Bio Beton Pronto / 190 kg/m3 / R 2.7/inch </v>
      </c>
      <c r="B186" s="50" t="s">
        <v>4292</v>
      </c>
      <c r="C186" s="50" t="s">
        <v>4283</v>
      </c>
      <c r="D186" s="50" t="s">
        <v>4293</v>
      </c>
      <c r="E186" s="50" t="s">
        <v>4290</v>
      </c>
      <c r="H186" s="50"/>
      <c r="I186" s="50" t="s">
        <v>120</v>
      </c>
      <c r="J186" s="401">
        <v>45311</v>
      </c>
      <c r="K186" s="55">
        <v>33.700000000000003</v>
      </c>
      <c r="L186" s="55" t="s">
        <v>4286</v>
      </c>
      <c r="M186" s="70">
        <v>5.9567999434369154</v>
      </c>
      <c r="N186" s="50" t="s">
        <v>4213</v>
      </c>
      <c r="O186" s="50" t="s">
        <v>4287</v>
      </c>
      <c r="P186" s="50" t="s">
        <v>4288</v>
      </c>
      <c r="Q186" s="367">
        <v>2027</v>
      </c>
      <c r="R186" s="53">
        <v>190</v>
      </c>
      <c r="S186" s="53" t="s">
        <v>121</v>
      </c>
      <c r="T186" s="60"/>
      <c r="V186" s="53">
        <v>2.7211547169811321</v>
      </c>
      <c r="W186" s="53">
        <v>5.2999999999999999E-2</v>
      </c>
      <c r="X186" s="52">
        <v>60.5</v>
      </c>
      <c r="Y186" s="53" t="s">
        <v>3781</v>
      </c>
      <c r="AA186" s="81">
        <f>(AD186)*rng_biogenic_storage</f>
        <v>9.6245625198854601</v>
      </c>
      <c r="AB186" s="53" t="s">
        <v>3516</v>
      </c>
      <c r="AD186" s="53">
        <f>X186/5.6574</f>
        <v>10.693958355428288</v>
      </c>
      <c r="AG186" s="81"/>
      <c r="AH186" s="53">
        <v>10.693958355428288</v>
      </c>
      <c r="AI186" s="165" t="s">
        <v>4291</v>
      </c>
      <c r="AN186" s="53" t="s">
        <v>3333</v>
      </c>
      <c r="AT186" s="53" t="b">
        <f>ISNUMBER(MATCH(IF(LEN('USER INPUT SHEET'!rng_province)&gt;0,'USER INPUT SHEET'!rng_province,"Canada"),$AU186:$BD186,0))</f>
        <v>0</v>
      </c>
      <c r="AU186" s="1286"/>
      <c r="AV186" s="1286"/>
      <c r="AW186" s="1286"/>
      <c r="AX186" s="1286"/>
      <c r="AY186" s="1286"/>
      <c r="AZ186" s="1286"/>
      <c r="BA186" s="1286"/>
      <c r="BB186" s="1286"/>
      <c r="BC186" s="1286"/>
      <c r="BD186" s="1286"/>
    </row>
    <row r="187" spans="1:56" ht="15.75" customHeight="1" x14ac:dyDescent="0.3">
      <c r="A187" s="50" t="str">
        <f t="shared" si="9"/>
        <v>Hempcrete / Cast in-situ / Site mixed / Europe / R 2.1/inch, Avg. of 9 mixes</v>
      </c>
      <c r="B187" s="50" t="s">
        <v>4273</v>
      </c>
      <c r="C187" s="50" t="s">
        <v>239</v>
      </c>
      <c r="D187" s="53" t="s">
        <v>430</v>
      </c>
      <c r="E187" s="53" t="s">
        <v>1129</v>
      </c>
      <c r="H187" s="50"/>
      <c r="I187" s="50" t="s">
        <v>120</v>
      </c>
      <c r="J187" s="50"/>
      <c r="K187" s="50">
        <v>13.1</v>
      </c>
      <c r="L187" s="50" t="s">
        <v>825</v>
      </c>
      <c r="M187" s="71">
        <f>(13.1)</f>
        <v>13.1</v>
      </c>
      <c r="N187" s="50" t="s">
        <v>825</v>
      </c>
      <c r="O187" s="169" t="s">
        <v>434</v>
      </c>
      <c r="Q187" s="367" t="s">
        <v>1772</v>
      </c>
      <c r="R187" s="53">
        <v>300</v>
      </c>
      <c r="S187" s="53" t="s">
        <v>121</v>
      </c>
      <c r="T187" s="60">
        <f>R187*W187</f>
        <v>22.8</v>
      </c>
      <c r="U187" s="53" t="s">
        <v>207</v>
      </c>
      <c r="V187" s="53">
        <v>2.13</v>
      </c>
      <c r="W187" s="53">
        <v>7.5999999999999998E-2</v>
      </c>
      <c r="X187" s="49" t="s">
        <v>136</v>
      </c>
      <c r="Y187" s="53">
        <v>0.35</v>
      </c>
      <c r="Z187" s="53">
        <v>0.45</v>
      </c>
      <c r="AA187" s="82">
        <f>(20.35)*rng_biogenic_storage</f>
        <v>18.315000000000001</v>
      </c>
      <c r="AB187" s="53" t="s">
        <v>838</v>
      </c>
      <c r="AG187" s="82"/>
      <c r="AN187" s="53">
        <v>123</v>
      </c>
      <c r="AR187" s="264" t="s">
        <v>1408</v>
      </c>
      <c r="AT187" s="53" t="b">
        <f>ISNUMBER(MATCH(IF(LEN('USER INPUT SHEET'!rng_province)&gt;0,'USER INPUT SHEET'!rng_province,"Canada"),$AU187:$BD187,0))</f>
        <v>0</v>
      </c>
      <c r="AU187" s="1286"/>
      <c r="AV187" s="1286"/>
      <c r="AW187" s="1286"/>
      <c r="AX187" s="1286"/>
      <c r="AY187" s="1286"/>
      <c r="AZ187" s="1286"/>
      <c r="BA187" s="1286"/>
      <c r="BB187" s="1286"/>
      <c r="BC187" s="1286"/>
      <c r="BD187" s="1286"/>
    </row>
    <row r="188" spans="1:56" ht="15.75" customHeight="1" x14ac:dyDescent="0.3">
      <c r="A188" s="50" t="str">
        <f t="shared" si="9"/>
        <v>Hempcrete / Cast in-situ / Site mixed / USA / R 2.1/inch, Avg. mix using NHL &amp; PHL</v>
      </c>
      <c r="B188" s="50" t="s">
        <v>4273</v>
      </c>
      <c r="C188" s="50" t="s">
        <v>239</v>
      </c>
      <c r="D188" s="53" t="s">
        <v>129</v>
      </c>
      <c r="E188" s="53" t="s">
        <v>1130</v>
      </c>
      <c r="H188" s="50"/>
      <c r="I188" s="50" t="s">
        <v>129</v>
      </c>
      <c r="J188" s="50"/>
      <c r="K188" s="50">
        <v>-4.32</v>
      </c>
      <c r="L188" s="50" t="s">
        <v>825</v>
      </c>
      <c r="M188" s="71">
        <f>(K188--AA188)</f>
        <v>7.541072999999999</v>
      </c>
      <c r="N188" s="50" t="s">
        <v>825</v>
      </c>
      <c r="O188" s="169" t="s">
        <v>435</v>
      </c>
      <c r="Q188" s="367" t="s">
        <v>1772</v>
      </c>
      <c r="R188" s="53">
        <v>300</v>
      </c>
      <c r="S188" s="53" t="s">
        <v>121</v>
      </c>
      <c r="T188" s="60">
        <f>R188*W188</f>
        <v>22.8</v>
      </c>
      <c r="U188" s="53" t="s">
        <v>207</v>
      </c>
      <c r="V188" s="53">
        <v>2.13</v>
      </c>
      <c r="W188" s="53">
        <v>7.5999999999999998E-2</v>
      </c>
      <c r="X188" s="49" t="s">
        <v>136</v>
      </c>
      <c r="Y188" s="53">
        <v>0.35</v>
      </c>
      <c r="Z188" s="53">
        <v>0.45</v>
      </c>
      <c r="AA188" s="82">
        <f>(T188*Y188*Z188*3.67)*rng_biogenic_storage</f>
        <v>11.861072999999999</v>
      </c>
      <c r="AB188" s="53" t="s">
        <v>838</v>
      </c>
      <c r="AG188" s="82"/>
      <c r="AN188" s="53">
        <v>124</v>
      </c>
      <c r="AR188" s="264" t="s">
        <v>1409</v>
      </c>
      <c r="AT188" s="53" t="b">
        <f>ISNUMBER(MATCH(IF(LEN('USER INPUT SHEET'!rng_province)&gt;0,'USER INPUT SHEET'!rng_province,"Canada"),$AU188:$BD188,0))</f>
        <v>0</v>
      </c>
      <c r="AU188" s="1286"/>
      <c r="AV188" s="1286"/>
      <c r="AW188" s="1286"/>
      <c r="AX188" s="1286"/>
      <c r="AY188" s="1286"/>
      <c r="AZ188" s="1286"/>
      <c r="BA188" s="1286"/>
      <c r="BB188" s="1286"/>
      <c r="BC188" s="1286"/>
      <c r="BD188" s="1286"/>
    </row>
    <row r="189" spans="1:56" ht="15.75" customHeight="1" x14ac:dyDescent="0.3">
      <c r="A189" s="50" t="str">
        <f t="shared" si="9"/>
        <v xml:space="preserve">(ARCHIVED 2025) Laminate flooring / Novalis / LVT / </v>
      </c>
      <c r="B189" s="50" t="s">
        <v>4299</v>
      </c>
      <c r="C189" s="50" t="s">
        <v>3265</v>
      </c>
      <c r="D189" s="50" t="s">
        <v>436</v>
      </c>
      <c r="H189" s="50" t="s">
        <v>1379</v>
      </c>
      <c r="I189" s="50" t="s">
        <v>129</v>
      </c>
      <c r="J189" s="50"/>
      <c r="K189" s="50">
        <v>27.1</v>
      </c>
      <c r="L189" s="50" t="s">
        <v>5</v>
      </c>
      <c r="M189" s="71">
        <f>(27.1)</f>
        <v>27.1</v>
      </c>
      <c r="N189" s="50" t="s">
        <v>5</v>
      </c>
      <c r="O189" s="50" t="s">
        <v>437</v>
      </c>
      <c r="P189" s="53" t="s">
        <v>143</v>
      </c>
      <c r="Q189" s="367">
        <v>2019</v>
      </c>
      <c r="R189" s="53">
        <v>5.26</v>
      </c>
      <c r="S189" s="53" t="s">
        <v>141</v>
      </c>
      <c r="AA189" s="78">
        <f t="shared" ref="AA189:AA192" si="18">_xlfn.NUMBERVALUE(IF(LEN(AG189)&gt;0,AG189,0))</f>
        <v>0</v>
      </c>
      <c r="AG189" s="82"/>
      <c r="AI189" s="165">
        <v>4.1000000000000003E-3</v>
      </c>
      <c r="AN189" s="53">
        <v>125</v>
      </c>
      <c r="AR189" s="264" t="str">
        <f ca="1">IF(LEN(Q189)=4,IF(Q189&lt;YEAR(NOW()),_xlfn.CONCAT(IF(LOWER(Setting!rng_language)="english","Expired ","Expiré "),Q189),""),"")</f>
        <v>Expired 2019</v>
      </c>
      <c r="AT189" s="53" t="b">
        <f>ISNUMBER(MATCH(IF(LEN('USER INPUT SHEET'!rng_province)&gt;0,'USER INPUT SHEET'!rng_province,"Canada"),$AU189:$BD189,0))</f>
        <v>0</v>
      </c>
      <c r="AU189" s="1286"/>
      <c r="AV189" s="1286"/>
      <c r="AW189" s="1286"/>
      <c r="AX189" s="1286"/>
      <c r="AY189" s="1286"/>
      <c r="AZ189" s="1286"/>
      <c r="BA189" s="1286"/>
      <c r="BB189" s="1286"/>
      <c r="BC189" s="1286"/>
      <c r="BD189" s="1286"/>
    </row>
    <row r="190" spans="1:56" ht="15.75" customHeight="1" x14ac:dyDescent="0.3">
      <c r="A190" s="50" t="str">
        <f t="shared" si="9"/>
        <v xml:space="preserve">(ARCHIVED 2023) Laminated strand lumber / American Wood Council &amp; Canadian Wood Council /  / </v>
      </c>
      <c r="B190" s="50" t="s">
        <v>3812</v>
      </c>
      <c r="C190" s="50" t="s">
        <v>402</v>
      </c>
      <c r="D190" s="50"/>
      <c r="H190" s="50" t="s">
        <v>1379</v>
      </c>
      <c r="I190" s="50" t="s">
        <v>124</v>
      </c>
      <c r="J190" s="50"/>
      <c r="K190" s="50">
        <v>310.27999999999997</v>
      </c>
      <c r="L190" s="50" t="s">
        <v>3</v>
      </c>
      <c r="M190" s="71">
        <f>(310.28)</f>
        <v>310.27999999999997</v>
      </c>
      <c r="N190" s="50" t="s">
        <v>3</v>
      </c>
      <c r="O190" s="53" t="s">
        <v>438</v>
      </c>
      <c r="P190" s="53" t="s">
        <v>143</v>
      </c>
      <c r="Q190" s="367">
        <v>2021</v>
      </c>
      <c r="R190" s="53">
        <v>570.22</v>
      </c>
      <c r="S190" s="53" t="s">
        <v>121</v>
      </c>
      <c r="Y190" s="53">
        <v>0.93500000000000005</v>
      </c>
      <c r="Z190" s="53">
        <v>0.5</v>
      </c>
      <c r="AA190" s="78">
        <f t="shared" si="18"/>
        <v>0</v>
      </c>
      <c r="AB190" s="53" t="s">
        <v>3</v>
      </c>
      <c r="AC190" s="53">
        <v>0.82499999999999996</v>
      </c>
      <c r="AD190" s="53">
        <f>R190*Y190*Z190</f>
        <v>266.57785000000001</v>
      </c>
      <c r="AG190" s="82"/>
      <c r="AN190" s="53" t="s">
        <v>3803</v>
      </c>
      <c r="AR190" s="264" t="str">
        <f ca="1">IF(LEN(Q190)=4,IF(Q190&lt;YEAR(NOW()),_xlfn.CONCAT(IF(LOWER(Setting!rng_language)="english","Expired ","Expiré "),Q190),""),"")</f>
        <v>Expired 2021</v>
      </c>
      <c r="AT190" s="53" t="b">
        <f>ISNUMBER(MATCH(IF(LEN('USER INPUT SHEET'!rng_province)&gt;0,'USER INPUT SHEET'!rng_province,"Canada"),$AU190:$BD190,0))</f>
        <v>0</v>
      </c>
      <c r="AU190" s="1286"/>
      <c r="AV190" s="1286"/>
      <c r="AW190" s="1286"/>
      <c r="AX190" s="1286"/>
      <c r="AY190" s="1286"/>
      <c r="AZ190" s="1286"/>
      <c r="BA190" s="1286"/>
      <c r="BB190" s="1286"/>
      <c r="BC190" s="1286"/>
      <c r="BD190" s="1286"/>
    </row>
    <row r="191" spans="1:56" ht="15.75" customHeight="1" x14ac:dyDescent="0.3">
      <c r="A191" s="50" t="str">
        <f t="shared" si="9"/>
        <v xml:space="preserve">Laminated strand lumber (LSL) / American Wood Council &amp; Canadian Wood Council /  / </v>
      </c>
      <c r="B191" s="50" t="s">
        <v>3776</v>
      </c>
      <c r="C191" s="50" t="s">
        <v>402</v>
      </c>
      <c r="D191" s="50"/>
      <c r="H191" s="50" t="s">
        <v>3503</v>
      </c>
      <c r="I191" s="50" t="s">
        <v>3515</v>
      </c>
      <c r="J191" s="50"/>
      <c r="K191" s="50">
        <v>274.89999999999998</v>
      </c>
      <c r="L191" s="50" t="s">
        <v>3</v>
      </c>
      <c r="M191" s="70">
        <v>274.89999999999998</v>
      </c>
      <c r="N191" s="50" t="s">
        <v>3</v>
      </c>
      <c r="O191" s="53" t="s">
        <v>3686</v>
      </c>
      <c r="P191" s="53" t="s">
        <v>3502</v>
      </c>
      <c r="Q191" s="367">
        <v>2026</v>
      </c>
      <c r="R191" s="53">
        <v>570.22</v>
      </c>
      <c r="S191" s="53" t="s">
        <v>121</v>
      </c>
      <c r="Y191" s="53">
        <v>0.93500000000000005</v>
      </c>
      <c r="Z191" s="53">
        <v>0.5</v>
      </c>
      <c r="AA191" s="78">
        <f t="shared" si="18"/>
        <v>879.70690500000001</v>
      </c>
      <c r="AB191" s="53" t="s">
        <v>3</v>
      </c>
      <c r="AC191" s="53">
        <v>0.82499999999999996</v>
      </c>
      <c r="AD191" s="53">
        <v>266.57785000000001</v>
      </c>
      <c r="AF191" s="53">
        <f>R191*Y191*Z191*44/12</f>
        <v>977.45211666666671</v>
      </c>
      <c r="AG191" s="81">
        <f>(AF191)*rng_biogenic_storage</f>
        <v>879.70690500000001</v>
      </c>
      <c r="AH191" s="53" t="s">
        <v>3</v>
      </c>
      <c r="AN191" s="53">
        <v>126</v>
      </c>
      <c r="AR191" s="264" t="str">
        <f ca="1">IF(LEN(Q191)=4,IF(Q191&lt;YEAR(NOW()),_xlfn.CONCAT(IF(LOWER(Setting!rng_language)="english","Expired ","Expiré "),Q191),""),"")</f>
        <v/>
      </c>
      <c r="AT191" s="53" t="b">
        <f>ISNUMBER(MATCH(IF(LEN('USER INPUT SHEET'!rng_province)&gt;0,'USER INPUT SHEET'!rng_province,"Canada"),$AU191:$BD191,0))</f>
        <v>0</v>
      </c>
      <c r="AU191" s="1286"/>
      <c r="AV191" s="1286"/>
      <c r="AW191" s="1286"/>
      <c r="AX191" s="1286"/>
      <c r="AY191" s="1286"/>
      <c r="AZ191" s="1286"/>
      <c r="BA191" s="1286"/>
      <c r="BB191" s="1286"/>
      <c r="BC191" s="1286"/>
      <c r="BD191" s="1286"/>
    </row>
    <row r="192" spans="1:56" ht="15.75" customHeight="1" x14ac:dyDescent="0.3">
      <c r="A192" s="50" t="str">
        <f t="shared" si="9"/>
        <v xml:space="preserve">Laminated veneer lumber (LVL) / American Wood Council &amp; Canadian Wood Council /  / </v>
      </c>
      <c r="B192" s="50" t="s">
        <v>3779</v>
      </c>
      <c r="C192" s="50" t="s">
        <v>402</v>
      </c>
      <c r="D192" s="50"/>
      <c r="H192" s="50" t="s">
        <v>1379</v>
      </c>
      <c r="I192" s="50" t="s">
        <v>124</v>
      </c>
      <c r="J192" s="50"/>
      <c r="K192" s="50">
        <v>361.45</v>
      </c>
      <c r="L192" s="50" t="s">
        <v>3</v>
      </c>
      <c r="M192" s="71">
        <f>(361.45)</f>
        <v>361.45</v>
      </c>
      <c r="N192" s="50" t="s">
        <v>3</v>
      </c>
      <c r="O192" s="53" t="s">
        <v>440</v>
      </c>
      <c r="P192" s="53" t="s">
        <v>143</v>
      </c>
      <c r="Q192" s="367">
        <v>2025</v>
      </c>
      <c r="R192" s="53">
        <v>548</v>
      </c>
      <c r="S192" s="53" t="s">
        <v>121</v>
      </c>
      <c r="Y192" s="53">
        <v>0.95599999999999996</v>
      </c>
      <c r="Z192" s="53">
        <v>0.5</v>
      </c>
      <c r="AA192" s="78">
        <f t="shared" si="18"/>
        <v>864.41520000000003</v>
      </c>
      <c r="AB192" s="53" t="s">
        <v>3</v>
      </c>
      <c r="AC192" s="53">
        <v>0.82499999999999996</v>
      </c>
      <c r="AD192" s="53">
        <f>R192*Y192*Z192</f>
        <v>261.94400000000002</v>
      </c>
      <c r="AF192" s="53">
        <f>R192*Y192*Z192*44/12</f>
        <v>960.4613333333333</v>
      </c>
      <c r="AG192" s="82">
        <f>(AF192)*rng_biogenic_storage</f>
        <v>864.41520000000003</v>
      </c>
      <c r="AH192" s="53" t="s">
        <v>3</v>
      </c>
      <c r="AN192" s="53">
        <v>127</v>
      </c>
      <c r="AR192" s="264" t="str">
        <f ca="1">IF(LEN(Q192)=4,IF(Q192&lt;YEAR(NOW()),_xlfn.CONCAT(IF(LOWER(Setting!rng_language)="english","Expired ","Expiré "),Q192),""),"")</f>
        <v>Expired 2025</v>
      </c>
      <c r="AT192" s="53" t="b">
        <f>ISNUMBER(MATCH(IF(LEN('USER INPUT SHEET'!rng_province)&gt;0,'USER INPUT SHEET'!rng_province,"Canada"),$AU192:$BD192,0))</f>
        <v>0</v>
      </c>
      <c r="AU192" s="1286"/>
      <c r="AV192" s="1286"/>
      <c r="AW192" s="1286"/>
      <c r="AX192" s="1286"/>
      <c r="AY192" s="1286"/>
      <c r="AZ192" s="1286"/>
      <c r="BA192" s="1286"/>
      <c r="BB192" s="1286"/>
      <c r="BC192" s="1286"/>
      <c r="BD192" s="1286"/>
    </row>
    <row r="193" spans="1:56" ht="15.75" customHeight="1" x14ac:dyDescent="0.3">
      <c r="A193" s="50" t="str">
        <f t="shared" si="9"/>
        <v xml:space="preserve">(ARCHIVED 2025) Laminated veneer lumber (LVL) / RedBuilt / RedLam / </v>
      </c>
      <c r="B193" s="50" t="s">
        <v>4300</v>
      </c>
      <c r="C193" s="50" t="s">
        <v>441</v>
      </c>
      <c r="D193" s="50" t="s">
        <v>442</v>
      </c>
      <c r="E193" s="50"/>
      <c r="H193" s="50" t="s">
        <v>1379</v>
      </c>
      <c r="I193" s="50" t="s">
        <v>129</v>
      </c>
      <c r="J193" s="50"/>
      <c r="K193" s="50">
        <v>360</v>
      </c>
      <c r="L193" s="50" t="s">
        <v>3</v>
      </c>
      <c r="M193" s="71">
        <f>(360)</f>
        <v>360</v>
      </c>
      <c r="N193" s="50" t="s">
        <v>3</v>
      </c>
      <c r="O193" s="53" t="s">
        <v>443</v>
      </c>
      <c r="P193" s="53" t="s">
        <v>415</v>
      </c>
      <c r="Q193" s="367">
        <v>2021</v>
      </c>
      <c r="R193" s="53">
        <v>593</v>
      </c>
      <c r="S193" s="53" t="s">
        <v>121</v>
      </c>
      <c r="Y193" s="53">
        <v>0.97</v>
      </c>
      <c r="Z193" s="53">
        <v>0.5</v>
      </c>
      <c r="AA193" s="78">
        <f>_xlfn.NUMBERVALUE(IF(LEN(AG193)&gt;0,AG193,0))</f>
        <v>0</v>
      </c>
      <c r="AB193" s="53" t="s">
        <v>3</v>
      </c>
      <c r="AC193" s="53">
        <v>0.82499999999999996</v>
      </c>
      <c r="AD193" s="53">
        <f>R193*Y193*Z193</f>
        <v>287.60500000000002</v>
      </c>
      <c r="AG193" s="82"/>
      <c r="AN193" s="53">
        <v>128</v>
      </c>
      <c r="AR193" s="264" t="str">
        <f ca="1">IF(LEN(Q193)=4,IF(Q193&lt;YEAR(NOW()),_xlfn.CONCAT(IF(LOWER(Setting!rng_language)="english","Expired ","Expiré "),Q193),""),"")</f>
        <v>Expired 2021</v>
      </c>
      <c r="AT193" s="53" t="b">
        <f>ISNUMBER(MATCH(IF(LEN('USER INPUT SHEET'!rng_province)&gt;0,'USER INPUT SHEET'!rng_province,"Canada"),$AU193:$BD193,0))</f>
        <v>0</v>
      </c>
      <c r="AU193" s="1286"/>
      <c r="AV193" s="1286"/>
      <c r="AW193" s="1286"/>
      <c r="AX193" s="1286"/>
      <c r="AY193" s="1286"/>
      <c r="AZ193" s="1286"/>
      <c r="BA193" s="1286"/>
      <c r="BB193" s="1286"/>
      <c r="BC193" s="1286"/>
      <c r="BD193" s="1286"/>
    </row>
    <row r="194" spans="1:56" ht="15.75" customHeight="1" x14ac:dyDescent="0.3">
      <c r="A194" s="50" t="str">
        <f t="shared" si="9"/>
        <v xml:space="preserve">Laminated veneer lumber (LVL)  / RedBuilt / RedLam LVL / </v>
      </c>
      <c r="B194" s="50" t="s">
        <v>4307</v>
      </c>
      <c r="C194" s="50" t="s">
        <v>441</v>
      </c>
      <c r="D194" s="50" t="s">
        <v>4308</v>
      </c>
      <c r="E194" s="50"/>
      <c r="H194" s="50"/>
      <c r="I194" s="50" t="s">
        <v>3500</v>
      </c>
      <c r="J194" s="401">
        <v>45329</v>
      </c>
      <c r="K194" s="50">
        <v>177.23</v>
      </c>
      <c r="L194" s="50" t="s">
        <v>3</v>
      </c>
      <c r="M194" s="70">
        <v>177.23</v>
      </c>
      <c r="N194" s="50" t="s">
        <v>3</v>
      </c>
      <c r="O194" s="53" t="s">
        <v>4309</v>
      </c>
      <c r="P194" s="53" t="s">
        <v>415</v>
      </c>
      <c r="Q194" s="367">
        <v>2026</v>
      </c>
      <c r="R194" s="53">
        <v>593</v>
      </c>
      <c r="S194" s="53" t="s">
        <v>121</v>
      </c>
      <c r="Y194" s="53">
        <v>0.97</v>
      </c>
      <c r="Z194" s="53">
        <v>0.5</v>
      </c>
      <c r="AA194" s="78">
        <f t="shared" ref="AA194:AA195" si="19">_xlfn.NUMBERVALUE(IF(LEN(AG194)&gt;0,AG194,0))</f>
        <v>949.09649999999999</v>
      </c>
      <c r="AD194" s="53" t="s">
        <v>3</v>
      </c>
      <c r="AF194" s="53">
        <f>R194*Y194*Z194*44/12</f>
        <v>1054.5516666666667</v>
      </c>
      <c r="AG194" s="81">
        <f>(AF194)*rng_biogenic_storage</f>
        <v>949.09650000000011</v>
      </c>
      <c r="AH194" s="53" t="s">
        <v>3</v>
      </c>
      <c r="AN194" s="53" t="s">
        <v>3986</v>
      </c>
      <c r="AT194" s="53" t="b">
        <f>ISNUMBER(MATCH(IF(LEN('USER INPUT SHEET'!rng_province)&gt;0,'USER INPUT SHEET'!rng_province,"Canada"),$AU194:$BD194,0))</f>
        <v>0</v>
      </c>
      <c r="AU194" s="1286"/>
      <c r="AV194" s="1286"/>
      <c r="AW194" s="1286"/>
      <c r="AX194" s="1286"/>
      <c r="AY194" s="1286"/>
      <c r="AZ194" s="1286"/>
      <c r="BA194" s="1286"/>
      <c r="BB194" s="1286"/>
      <c r="BC194" s="1286"/>
      <c r="BD194" s="1286"/>
    </row>
    <row r="195" spans="1:56" ht="15.75" customHeight="1" x14ac:dyDescent="0.3">
      <c r="A195" s="50" t="str">
        <f t="shared" si="9"/>
        <v xml:space="preserve">Laminated veneer lumber (LVL)  / Boise Cascade / Versa-Lam / </v>
      </c>
      <c r="B195" s="50" t="s">
        <v>4307</v>
      </c>
      <c r="C195" s="50" t="s">
        <v>4310</v>
      </c>
      <c r="D195" s="50" t="s">
        <v>4311</v>
      </c>
      <c r="E195" s="50"/>
      <c r="H195" s="50"/>
      <c r="I195" s="50" t="s">
        <v>3500</v>
      </c>
      <c r="J195" s="401">
        <v>45294</v>
      </c>
      <c r="K195" s="50">
        <v>239.46999999999997</v>
      </c>
      <c r="L195" s="50" t="s">
        <v>4242</v>
      </c>
      <c r="M195" s="70">
        <v>239.46999999999997</v>
      </c>
      <c r="N195" s="50" t="s">
        <v>4242</v>
      </c>
      <c r="O195" s="53" t="s">
        <v>4312</v>
      </c>
      <c r="P195" s="53" t="s">
        <v>3518</v>
      </c>
      <c r="Q195" s="401">
        <v>46113</v>
      </c>
      <c r="R195" s="53">
        <v>483.4</v>
      </c>
      <c r="S195" s="53" t="s">
        <v>121</v>
      </c>
      <c r="X195" s="53">
        <v>777.59</v>
      </c>
      <c r="AA195" s="78">
        <f t="shared" si="19"/>
        <v>699.83100000000002</v>
      </c>
      <c r="AB195" s="53" t="s">
        <v>4242</v>
      </c>
      <c r="AG195" s="81">
        <f>(X195)*rng_biogenic_storage</f>
        <v>699.83100000000002</v>
      </c>
      <c r="AH195" s="53">
        <v>777.59</v>
      </c>
      <c r="AN195" s="53" t="s">
        <v>2174</v>
      </c>
      <c r="AT195" s="53" t="b">
        <f>ISNUMBER(MATCH(IF(LEN('USER INPUT SHEET'!rng_province)&gt;0,'USER INPUT SHEET'!rng_province,"Canada"),$AU195:$BD195,0))</f>
        <v>0</v>
      </c>
      <c r="AU195" s="1286"/>
      <c r="AV195" s="1286"/>
      <c r="AW195" s="1286"/>
      <c r="AX195" s="1286"/>
      <c r="AY195" s="1286"/>
      <c r="AZ195" s="1286"/>
      <c r="BA195" s="1286"/>
      <c r="BB195" s="1286"/>
      <c r="BC195" s="1286"/>
      <c r="BD195" s="1286"/>
    </row>
    <row r="196" spans="1:56" ht="15.75" customHeight="1" x14ac:dyDescent="0.3">
      <c r="A196" s="50" t="str">
        <f t="shared" si="9"/>
        <v>(ARCHIVED 2025) Lime Plaster / Mapei / MapeWall Muratura / 3/4" Natural Hydraulic Lime (NHL)</v>
      </c>
      <c r="B196" s="50" t="s">
        <v>4301</v>
      </c>
      <c r="C196" s="50" t="s">
        <v>444</v>
      </c>
      <c r="D196" s="50" t="s">
        <v>445</v>
      </c>
      <c r="E196" s="50" t="s">
        <v>446</v>
      </c>
      <c r="H196" s="50" t="s">
        <v>447</v>
      </c>
      <c r="I196" s="50" t="s">
        <v>120</v>
      </c>
      <c r="J196" s="50"/>
      <c r="K196" s="50">
        <v>0.40200000000000002</v>
      </c>
      <c r="L196" s="50" t="s">
        <v>841</v>
      </c>
      <c r="M196" s="71">
        <f>(K196*R196*AI196)</f>
        <v>9.5726250000000022</v>
      </c>
      <c r="N196" s="50" t="s">
        <v>824</v>
      </c>
      <c r="O196" s="50" t="s">
        <v>448</v>
      </c>
      <c r="P196" s="50" t="s">
        <v>122</v>
      </c>
      <c r="Q196" s="172">
        <v>2021</v>
      </c>
      <c r="R196" s="50">
        <v>1250</v>
      </c>
      <c r="S196" s="50" t="s">
        <v>121</v>
      </c>
      <c r="T196" s="50"/>
      <c r="U196" s="50"/>
      <c r="V196" s="50"/>
      <c r="W196" s="50"/>
      <c r="X196" s="50"/>
      <c r="Y196" s="50"/>
      <c r="Z196" s="50"/>
      <c r="AA196" s="78">
        <f t="shared" ref="AA196:AA197" si="20">_xlfn.NUMBERVALUE(IF(LEN(AG196)&gt;0,AG196,0))</f>
        <v>0</v>
      </c>
      <c r="AB196" s="50"/>
      <c r="AC196" s="50"/>
      <c r="AD196" s="50"/>
      <c r="AE196" s="50"/>
      <c r="AF196" s="50"/>
      <c r="AG196" s="82"/>
      <c r="AH196" s="50"/>
      <c r="AI196" s="167">
        <v>1.9050000000000001E-2</v>
      </c>
      <c r="AJ196" s="167"/>
      <c r="AK196" s="167"/>
      <c r="AL196" s="50"/>
      <c r="AN196" s="53">
        <v>129</v>
      </c>
      <c r="AR196" s="264" t="str">
        <f ca="1">IF(LEN(Q196)=4,IF(Q196&lt;YEAR(NOW()),_xlfn.CONCAT(IF(LOWER(Setting!rng_language)="english","Expired ","Expiré "),Q196),""),"")</f>
        <v>Expired 2021</v>
      </c>
      <c r="AT196" s="53" t="b">
        <f>ISNUMBER(MATCH(IF(LEN('USER INPUT SHEET'!rng_province)&gt;0,'USER INPUT SHEET'!rng_province,"Canada"),$AU196:$BD196,0))</f>
        <v>0</v>
      </c>
      <c r="AU196" s="1286"/>
      <c r="AV196" s="1286"/>
      <c r="AW196" s="1286"/>
      <c r="AX196" s="1286"/>
      <c r="AY196" s="1286"/>
      <c r="AZ196" s="1286"/>
      <c r="BA196" s="1286"/>
      <c r="BB196" s="1286"/>
      <c r="BC196" s="1286"/>
      <c r="BD196" s="1286"/>
    </row>
    <row r="197" spans="1:56" ht="15.75" customHeight="1" x14ac:dyDescent="0.3">
      <c r="A197" s="50" t="str">
        <f t="shared" si="9"/>
        <v>(ARCHIVED 2025) Lime/Cork Plaster / Diasen / Diathonite Evolution / Exterior plaster cladding, 3/4"</v>
      </c>
      <c r="B197" s="50" t="s">
        <v>4302</v>
      </c>
      <c r="C197" s="50" t="s">
        <v>3266</v>
      </c>
      <c r="D197" s="50" t="s">
        <v>449</v>
      </c>
      <c r="E197" s="50" t="s">
        <v>871</v>
      </c>
      <c r="H197" s="50"/>
      <c r="I197" s="50" t="s">
        <v>120</v>
      </c>
      <c r="J197" s="50"/>
      <c r="K197" s="50">
        <v>0.51900000000000002</v>
      </c>
      <c r="L197" s="50" t="s">
        <v>841</v>
      </c>
      <c r="M197" s="71">
        <f>(R197*AI197*K197)</f>
        <v>3.5593020000000002</v>
      </c>
      <c r="N197" s="50" t="s">
        <v>824</v>
      </c>
      <c r="O197" s="50" t="s">
        <v>450</v>
      </c>
      <c r="P197" s="50" t="s">
        <v>451</v>
      </c>
      <c r="Q197" s="172">
        <v>2022</v>
      </c>
      <c r="R197" s="50">
        <v>360</v>
      </c>
      <c r="S197" s="50" t="s">
        <v>121</v>
      </c>
      <c r="T197" s="50">
        <f>R197*0.01905</f>
        <v>6.8580000000000005</v>
      </c>
      <c r="U197" s="50" t="s">
        <v>197</v>
      </c>
      <c r="V197" s="50"/>
      <c r="W197" s="50"/>
      <c r="X197" s="50"/>
      <c r="Y197" s="50">
        <v>0.45</v>
      </c>
      <c r="Z197" s="169">
        <v>0.55000000000000004</v>
      </c>
      <c r="AA197" s="78">
        <f t="shared" si="20"/>
        <v>0</v>
      </c>
      <c r="AB197" s="50" t="s">
        <v>841</v>
      </c>
      <c r="AC197" s="50"/>
      <c r="AD197" s="50"/>
      <c r="AE197" s="50"/>
      <c r="AF197" s="50"/>
      <c r="AG197" s="82"/>
      <c r="AH197" s="50"/>
      <c r="AI197" s="167">
        <v>1.9050000000000001E-2</v>
      </c>
      <c r="AJ197" s="167"/>
      <c r="AK197" s="167"/>
      <c r="AL197" s="50"/>
      <c r="AN197" s="53">
        <v>130</v>
      </c>
      <c r="AR197" s="264" t="str">
        <f ca="1">IF(LEN(Q197)=4,IF(Q197&lt;YEAR(NOW()),_xlfn.CONCAT(IF(LOWER(Setting!rng_language)="english","Expired ","Expiré "),Q197),""),"")</f>
        <v>Expired 2022</v>
      </c>
      <c r="AT197" s="53" t="b">
        <f>ISNUMBER(MATCH(IF(LEN('USER INPUT SHEET'!rng_province)&gt;0,'USER INPUT SHEET'!rng_province,"Canada"),$AU197:$BD197,0))</f>
        <v>0</v>
      </c>
      <c r="AU197" s="1286"/>
      <c r="AV197" s="1286"/>
      <c r="AW197" s="1286"/>
      <c r="AX197" s="1286"/>
      <c r="AY197" s="1286"/>
      <c r="AZ197" s="1286"/>
      <c r="BA197" s="1286"/>
      <c r="BB197" s="1286"/>
      <c r="BC197" s="1286"/>
      <c r="BD197" s="1286"/>
    </row>
    <row r="198" spans="1:56" ht="15.75" customHeight="1" x14ac:dyDescent="0.3">
      <c r="A198" s="50" t="str">
        <f t="shared" si="9"/>
        <v>Lime/Cork Plaster (Ext. &amp; Int.) / Diasen / Diathonite Evolution, R3.2-inch / 3/4"</v>
      </c>
      <c r="B198" s="50" t="s">
        <v>4313</v>
      </c>
      <c r="C198" s="50" t="s">
        <v>3266</v>
      </c>
      <c r="D198" s="50" t="s">
        <v>4314</v>
      </c>
      <c r="E198" s="50" t="s">
        <v>937</v>
      </c>
      <c r="H198" s="50"/>
      <c r="I198" s="50" t="s">
        <v>120</v>
      </c>
      <c r="J198" s="401">
        <v>45319</v>
      </c>
      <c r="K198" s="50">
        <v>0.79300000000000004</v>
      </c>
      <c r="L198" s="50" t="s">
        <v>841</v>
      </c>
      <c r="M198" s="70">
        <v>5.4399800000000003</v>
      </c>
      <c r="N198" s="50" t="s">
        <v>4315</v>
      </c>
      <c r="O198" s="50" t="s">
        <v>4316</v>
      </c>
      <c r="P198" s="50" t="s">
        <v>4317</v>
      </c>
      <c r="Q198" s="172">
        <v>2026</v>
      </c>
      <c r="R198" s="50">
        <v>360</v>
      </c>
      <c r="S198" s="50" t="s">
        <v>121</v>
      </c>
      <c r="T198" s="50">
        <v>6.8580000000000005</v>
      </c>
      <c r="U198" s="50" t="s">
        <v>197</v>
      </c>
      <c r="V198" s="50">
        <v>3.2049155555555555</v>
      </c>
      <c r="W198" s="50">
        <v>4.4999999999999998E-2</v>
      </c>
      <c r="X198" s="50">
        <v>4.9500000000000002E-2</v>
      </c>
      <c r="Y198" s="50" t="s">
        <v>3781</v>
      </c>
      <c r="Z198" s="377"/>
      <c r="AA198" s="81">
        <f>(X198*T198)*rng_biogenic_storage</f>
        <v>0.30552390000000001</v>
      </c>
      <c r="AB198" s="50">
        <v>0.33947100000000002</v>
      </c>
      <c r="AC198" s="50"/>
      <c r="AD198" s="50"/>
      <c r="AE198" s="50"/>
      <c r="AF198" s="50"/>
      <c r="AG198" s="81"/>
      <c r="AH198" s="50"/>
      <c r="AI198" s="167"/>
      <c r="AJ198" s="167"/>
      <c r="AK198" s="167">
        <v>1.9050000000000001E-2</v>
      </c>
      <c r="AL198" s="50"/>
      <c r="AN198" s="53" t="s">
        <v>2175</v>
      </c>
      <c r="AT198" s="53" t="b">
        <f>ISNUMBER(MATCH(IF(LEN('USER INPUT SHEET'!rng_province)&gt;0,'USER INPUT SHEET'!rng_province,"Canada"),$AU198:$BD198,0))</f>
        <v>0</v>
      </c>
      <c r="AU198" s="1286"/>
      <c r="AV198" s="1286"/>
      <c r="AW198" s="1286"/>
      <c r="AX198" s="1286"/>
      <c r="AY198" s="1286"/>
      <c r="AZ198" s="1286"/>
      <c r="BA198" s="1286"/>
      <c r="BB198" s="1286"/>
      <c r="BC198" s="1286"/>
      <c r="BD198" s="1286"/>
    </row>
    <row r="199" spans="1:56" ht="15.75" customHeight="1" x14ac:dyDescent="0.3">
      <c r="A199" s="50" t="str">
        <f t="shared" si="9"/>
        <v>Lime/Cork Plaster (Ext. &amp; Int.) / Diasen / Diathonite Thermactive.037, R3.9-inch / 3/4"</v>
      </c>
      <c r="B199" s="50" t="s">
        <v>4313</v>
      </c>
      <c r="C199" s="50" t="s">
        <v>3266</v>
      </c>
      <c r="D199" s="50" t="s">
        <v>4318</v>
      </c>
      <c r="E199" s="50" t="s">
        <v>937</v>
      </c>
      <c r="H199" s="50"/>
      <c r="I199" s="50" t="s">
        <v>120</v>
      </c>
      <c r="J199" s="401">
        <v>45319</v>
      </c>
      <c r="K199" s="50">
        <v>0.873</v>
      </c>
      <c r="L199" s="50" t="s">
        <v>841</v>
      </c>
      <c r="M199" s="70">
        <v>4.1554799999999998</v>
      </c>
      <c r="N199" s="50" t="s">
        <v>4315</v>
      </c>
      <c r="O199" s="50" t="s">
        <v>4316</v>
      </c>
      <c r="P199" s="50" t="s">
        <v>4317</v>
      </c>
      <c r="Q199" s="172">
        <v>2026</v>
      </c>
      <c r="R199" s="50">
        <v>250</v>
      </c>
      <c r="S199" s="50" t="s">
        <v>121</v>
      </c>
      <c r="T199" s="50">
        <v>4.7625000000000002</v>
      </c>
      <c r="U199" s="50" t="s">
        <v>197</v>
      </c>
      <c r="V199" s="50">
        <v>3.8978702702702703</v>
      </c>
      <c r="W199" s="50">
        <v>3.6999999999999998E-2</v>
      </c>
      <c r="X199" s="50">
        <v>9.06E-2</v>
      </c>
      <c r="Y199" s="50" t="s">
        <v>3781</v>
      </c>
      <c r="Z199" s="377"/>
      <c r="AA199" s="81">
        <f>(X199*T199)*rng_biogenic_storage</f>
        <v>0.38833424999999999</v>
      </c>
      <c r="AB199" s="50">
        <v>0.43148249999999999</v>
      </c>
      <c r="AC199" s="50"/>
      <c r="AD199" s="50"/>
      <c r="AE199" s="50"/>
      <c r="AF199" s="50"/>
      <c r="AG199" s="81"/>
      <c r="AH199" s="50"/>
      <c r="AI199" s="167"/>
      <c r="AJ199" s="167"/>
      <c r="AK199" s="167">
        <v>1.9050000000000001E-2</v>
      </c>
      <c r="AL199" s="50"/>
      <c r="AN199" s="53" t="s">
        <v>2176</v>
      </c>
      <c r="AT199" s="53" t="b">
        <f>ISNUMBER(MATCH(IF(LEN('USER INPUT SHEET'!rng_province)&gt;0,'USER INPUT SHEET'!rng_province,"Canada"),$AU199:$BD199,0))</f>
        <v>0</v>
      </c>
      <c r="AU199" s="1286"/>
      <c r="AV199" s="1286"/>
      <c r="AW199" s="1286"/>
      <c r="AX199" s="1286"/>
      <c r="AY199" s="1286"/>
      <c r="AZ199" s="1286"/>
      <c r="BA199" s="1286"/>
      <c r="BB199" s="1286"/>
      <c r="BC199" s="1286"/>
      <c r="BD199" s="1286"/>
    </row>
    <row r="200" spans="1:56" ht="15.75" customHeight="1" x14ac:dyDescent="0.3">
      <c r="A200" s="50" t="str">
        <f>B200&amp;" / "&amp;C200&amp;" / "&amp;D200&amp;" / "&amp;E200</f>
        <v>(ARCHIVED 2025) Linoleum flooring / Armstrong / Sheet style / 2.5 mm sheet style linoleum</v>
      </c>
      <c r="B200" s="50" t="s">
        <v>4303</v>
      </c>
      <c r="C200" s="50" t="s">
        <v>173</v>
      </c>
      <c r="D200" s="50" t="s">
        <v>3453</v>
      </c>
      <c r="E200" s="50" t="s">
        <v>453</v>
      </c>
      <c r="H200" s="50"/>
      <c r="I200" s="50" t="s">
        <v>129</v>
      </c>
      <c r="J200" s="50"/>
      <c r="K200" s="50">
        <v>4.34</v>
      </c>
      <c r="L200" s="50" t="s">
        <v>5</v>
      </c>
      <c r="M200" s="71">
        <f>(4.34)</f>
        <v>4.34</v>
      </c>
      <c r="N200" s="50" t="s">
        <v>5</v>
      </c>
      <c r="O200" s="50" t="s">
        <v>454</v>
      </c>
      <c r="P200" s="53" t="s">
        <v>137</v>
      </c>
      <c r="Q200" s="367">
        <v>2019</v>
      </c>
      <c r="R200" s="53">
        <v>2.88</v>
      </c>
      <c r="S200" s="53" t="s">
        <v>141</v>
      </c>
      <c r="Y200" s="53">
        <v>0.72</v>
      </c>
      <c r="Z200" s="53">
        <v>0.4</v>
      </c>
      <c r="AA200" s="82">
        <f>3.04*rng_biogenic_storage</f>
        <v>2.7360000000000002</v>
      </c>
      <c r="AG200" s="82"/>
      <c r="AI200" s="165">
        <v>2.5000000000000001E-3</v>
      </c>
      <c r="AN200" s="53">
        <v>131</v>
      </c>
      <c r="AR200" s="264" t="str">
        <f ca="1">IF(LEN(Q200)=4,IF(Q200&lt;YEAR(NOW()),_xlfn.CONCAT(IF(LOWER(Setting!rng_language)="english","Expired ","Expiré "),Q200),""),"")</f>
        <v>Expired 2019</v>
      </c>
      <c r="AT200" s="53" t="b">
        <f>ISNUMBER(MATCH(IF(LEN('USER INPUT SHEET'!rng_province)&gt;0,'USER INPUT SHEET'!rng_province,"Canada"),$AU200:$BD200,0))</f>
        <v>0</v>
      </c>
      <c r="AU200" s="1286"/>
      <c r="AV200" s="1286"/>
      <c r="AW200" s="1286"/>
      <c r="AX200" s="1286"/>
      <c r="AY200" s="1286"/>
      <c r="AZ200" s="1286"/>
      <c r="BA200" s="1286"/>
      <c r="BB200" s="1286"/>
      <c r="BC200" s="1286"/>
      <c r="BD200" s="1286"/>
    </row>
    <row r="201" spans="1:56" ht="15.75" customHeight="1" x14ac:dyDescent="0.3">
      <c r="A201" s="50" t="str">
        <f>B201&amp;" / "&amp;C201&amp;" / "&amp;D201&amp;" / "&amp;E201</f>
        <v>(ARCHIVED 2025) Linoleum flooring / Forbo / Marmoleum / 2.5 mm sheet style linoleum</v>
      </c>
      <c r="B201" s="50" t="s">
        <v>4303</v>
      </c>
      <c r="C201" s="50" t="s">
        <v>3303</v>
      </c>
      <c r="D201" s="50" t="s">
        <v>455</v>
      </c>
      <c r="E201" s="50" t="s">
        <v>453</v>
      </c>
      <c r="H201" s="50"/>
      <c r="I201" s="50" t="s">
        <v>129</v>
      </c>
      <c r="J201" s="50"/>
      <c r="K201" s="50">
        <v>1.29</v>
      </c>
      <c r="L201" s="50" t="s">
        <v>5</v>
      </c>
      <c r="M201" s="71">
        <f>(K201--AA201)</f>
        <v>5.0340000000000007</v>
      </c>
      <c r="N201" s="50" t="s">
        <v>5</v>
      </c>
      <c r="O201" s="50" t="s">
        <v>456</v>
      </c>
      <c r="P201" s="53" t="s">
        <v>143</v>
      </c>
      <c r="Q201" s="367">
        <v>2023</v>
      </c>
      <c r="R201" s="53">
        <v>3</v>
      </c>
      <c r="S201" s="53" t="s">
        <v>141</v>
      </c>
      <c r="Z201" s="53">
        <v>0.378</v>
      </c>
      <c r="AA201" s="82">
        <f>4.16*rng_biogenic_storage</f>
        <v>3.7440000000000002</v>
      </c>
      <c r="AD201" s="53">
        <v>1.1349</v>
      </c>
      <c r="AF201" s="53">
        <v>4.1612999999999998</v>
      </c>
      <c r="AG201" s="82"/>
      <c r="AI201" s="165">
        <v>2.5000000000000001E-3</v>
      </c>
      <c r="AN201" s="53">
        <v>132</v>
      </c>
      <c r="AR201" s="264" t="str">
        <f ca="1">IF(LEN(Q201)=4,IF(Q201&lt;YEAR(NOW()),_xlfn.CONCAT(IF(LOWER(Setting!rng_language)="english","Expired ","Expiré "),Q201),""),"")</f>
        <v>Expired 2023</v>
      </c>
      <c r="AT201" s="53" t="b">
        <f>ISNUMBER(MATCH(IF(LEN('USER INPUT SHEET'!rng_province)&gt;0,'USER INPUT SHEET'!rng_province,"Canada"),$AU201:$BD201,0))</f>
        <v>0</v>
      </c>
      <c r="AU201" s="1286"/>
      <c r="AV201" s="1286"/>
      <c r="AW201" s="1286"/>
      <c r="AX201" s="1286"/>
      <c r="AY201" s="1286"/>
      <c r="AZ201" s="1286"/>
      <c r="BA201" s="1286"/>
      <c r="BB201" s="1286"/>
      <c r="BC201" s="1286"/>
      <c r="BD201" s="1286"/>
    </row>
    <row r="202" spans="1:56" ht="15.75" customHeight="1" x14ac:dyDescent="0.3">
      <c r="A202" s="50" t="str">
        <f t="shared" ref="A202:A204" si="21">B202&amp;" / "&amp;C202&amp;" / "&amp;D202&amp;" / "&amp;E202</f>
        <v>Linoleum flooring / Tarkett / Lino Acoustic  / 3.8 mm sheet style linoleum with polyurethane foam backing</v>
      </c>
      <c r="B202" s="50" t="s">
        <v>452</v>
      </c>
      <c r="C202" s="50" t="s">
        <v>4319</v>
      </c>
      <c r="D202" s="50" t="s">
        <v>4320</v>
      </c>
      <c r="E202" s="50" t="s">
        <v>4321</v>
      </c>
      <c r="H202" s="50" t="s">
        <v>4322</v>
      </c>
      <c r="I202" s="50" t="s">
        <v>120</v>
      </c>
      <c r="J202" s="401">
        <v>44983</v>
      </c>
      <c r="K202" s="50">
        <v>2.36</v>
      </c>
      <c r="L202" s="50" t="s">
        <v>3501</v>
      </c>
      <c r="M202" s="70">
        <v>7.0824979999999993</v>
      </c>
      <c r="N202" s="50" t="s">
        <v>3501</v>
      </c>
      <c r="O202" s="50" t="s">
        <v>4323</v>
      </c>
      <c r="P202" s="53" t="s">
        <v>3502</v>
      </c>
      <c r="Q202" s="401">
        <v>45931</v>
      </c>
      <c r="R202" s="53">
        <v>3.66</v>
      </c>
      <c r="S202" s="53" t="s">
        <v>121</v>
      </c>
      <c r="Z202" s="53">
        <v>0.39100000000000001</v>
      </c>
      <c r="AA202" s="81">
        <f>AF202*rng_biogenic_storage</f>
        <v>4.7224979999999999</v>
      </c>
      <c r="AD202" s="53">
        <f>Z202*R202</f>
        <v>1.43106</v>
      </c>
      <c r="AF202" s="53">
        <f>AD202*44/12</f>
        <v>5.2472199999999996</v>
      </c>
      <c r="AG202" s="81"/>
      <c r="AK202" s="165">
        <v>3.8E-3</v>
      </c>
      <c r="AN202" s="53" t="s">
        <v>2148</v>
      </c>
      <c r="AT202" s="53" t="b">
        <f>ISNUMBER(MATCH(IF(LEN('USER INPUT SHEET'!rng_province)&gt;0,'USER INPUT SHEET'!rng_province,"Canada"),$AU202:$BD202,0))</f>
        <v>0</v>
      </c>
      <c r="AU202" s="1286"/>
      <c r="AV202" s="1286"/>
      <c r="AW202" s="1286"/>
      <c r="AX202" s="1286"/>
      <c r="AY202" s="1286"/>
      <c r="AZ202" s="1286"/>
      <c r="BA202" s="1286"/>
      <c r="BB202" s="1286"/>
      <c r="BC202" s="1286"/>
      <c r="BD202" s="1286"/>
    </row>
    <row r="203" spans="1:56" ht="15.75" customHeight="1" x14ac:dyDescent="0.3">
      <c r="A203" s="50" t="str">
        <f t="shared" si="21"/>
        <v>Linoleum flooring / Tarkett / Lino Veneto xf2, Etrusco, Style Elle|Emme, Veneto, Originale, LinoRail, Linosport / 2.5 mm sheet style linoleum</v>
      </c>
      <c r="B203" s="50" t="s">
        <v>452</v>
      </c>
      <c r="C203" s="50" t="s">
        <v>4319</v>
      </c>
      <c r="D203" s="50" t="s">
        <v>4324</v>
      </c>
      <c r="E203" s="50" t="s">
        <v>453</v>
      </c>
      <c r="H203" s="50" t="s">
        <v>4325</v>
      </c>
      <c r="I203" s="50" t="s">
        <v>120</v>
      </c>
      <c r="J203" s="401">
        <v>44983</v>
      </c>
      <c r="K203" s="50">
        <v>-0.6</v>
      </c>
      <c r="L203" s="50" t="s">
        <v>3501</v>
      </c>
      <c r="M203" s="70">
        <v>3.5031540000000008</v>
      </c>
      <c r="N203" s="50" t="s">
        <v>3501</v>
      </c>
      <c r="O203" s="50" t="s">
        <v>4323</v>
      </c>
      <c r="P203" s="53" t="s">
        <v>3502</v>
      </c>
      <c r="Q203" s="401">
        <v>45931</v>
      </c>
      <c r="R203" s="53">
        <v>3.18</v>
      </c>
      <c r="S203" s="53" t="s">
        <v>141</v>
      </c>
      <c r="Z203" s="53">
        <v>0.39100000000000001</v>
      </c>
      <c r="AA203" s="81">
        <f>AF203*rng_biogenic_storage</f>
        <v>4.1031540000000009</v>
      </c>
      <c r="AD203" s="53">
        <f t="shared" ref="AD203:AD204" si="22">Z203*R203</f>
        <v>1.2433800000000002</v>
      </c>
      <c r="AF203" s="53">
        <f t="shared" ref="AF203:AF204" si="23">AD203*44/12</f>
        <v>4.5590600000000006</v>
      </c>
      <c r="AG203" s="81"/>
      <c r="AK203" s="165">
        <v>2.5000000000000001E-3</v>
      </c>
      <c r="AN203" s="53" t="s">
        <v>4341</v>
      </c>
      <c r="AT203" s="53" t="b">
        <f>ISNUMBER(MATCH(IF(LEN('USER INPUT SHEET'!rng_province)&gt;0,'USER INPUT SHEET'!rng_province,"Canada"),$AU203:$BD203,0))</f>
        <v>0</v>
      </c>
      <c r="AU203" s="1286"/>
      <c r="AV203" s="1286"/>
      <c r="AW203" s="1286"/>
      <c r="AX203" s="1286"/>
      <c r="AY203" s="1286"/>
      <c r="AZ203" s="1286"/>
      <c r="BA203" s="1286"/>
      <c r="BB203" s="1286"/>
      <c r="BC203" s="1286"/>
      <c r="BD203" s="1286"/>
    </row>
    <row r="204" spans="1:56" ht="15.75" customHeight="1" x14ac:dyDescent="0.3">
      <c r="A204" s="50" t="str">
        <f t="shared" si="21"/>
        <v>Linoleum flooring / Tarkett / Veneto Acoustic Cork / 4.4 mm sheet style linoleum with cork backing</v>
      </c>
      <c r="B204" s="50" t="s">
        <v>452</v>
      </c>
      <c r="C204" s="50" t="s">
        <v>4319</v>
      </c>
      <c r="D204" s="50" t="s">
        <v>4326</v>
      </c>
      <c r="E204" s="50" t="s">
        <v>4327</v>
      </c>
      <c r="H204" s="50" t="s">
        <v>4328</v>
      </c>
      <c r="I204" s="50" t="s">
        <v>120</v>
      </c>
      <c r="J204" s="401">
        <v>44983</v>
      </c>
      <c r="K204" s="50">
        <v>-0.41299999999999998</v>
      </c>
      <c r="L204" s="50" t="s">
        <v>3501</v>
      </c>
      <c r="M204" s="70">
        <v>5.8836640000000004</v>
      </c>
      <c r="N204" s="50" t="s">
        <v>3501</v>
      </c>
      <c r="O204" s="50" t="s">
        <v>4323</v>
      </c>
      <c r="P204" s="53" t="s">
        <v>3502</v>
      </c>
      <c r="Q204" s="401">
        <v>45931</v>
      </c>
      <c r="R204" s="53">
        <v>4.88</v>
      </c>
      <c r="S204" s="53" t="s">
        <v>121</v>
      </c>
      <c r="Z204" s="53">
        <v>0.39100000000000001</v>
      </c>
      <c r="AA204" s="81">
        <f>AF204*rng_biogenic_storage</f>
        <v>6.2966640000000007</v>
      </c>
      <c r="AD204" s="53">
        <f t="shared" si="22"/>
        <v>1.90808</v>
      </c>
      <c r="AF204" s="53">
        <f t="shared" si="23"/>
        <v>6.9962933333333339</v>
      </c>
      <c r="AG204" s="81"/>
      <c r="AK204" s="165">
        <v>3.8E-3</v>
      </c>
      <c r="AN204" s="53" t="s">
        <v>4342</v>
      </c>
      <c r="AT204" s="53" t="b">
        <f>ISNUMBER(MATCH(IF(LEN('USER INPUT SHEET'!rng_province)&gt;0,'USER INPUT SHEET'!rng_province,"Canada"),$AU204:$BD204,0))</f>
        <v>0</v>
      </c>
      <c r="AU204" s="1286"/>
      <c r="AV204" s="1286"/>
      <c r="AW204" s="1286"/>
      <c r="AX204" s="1286"/>
      <c r="AY204" s="1286"/>
      <c r="AZ204" s="1286"/>
      <c r="BA204" s="1286"/>
      <c r="BB204" s="1286"/>
      <c r="BC204" s="1286"/>
      <c r="BD204" s="1286"/>
    </row>
    <row r="205" spans="1:56" ht="15.75" customHeight="1" x14ac:dyDescent="0.3">
      <c r="A205" s="50" t="str">
        <f>B205&amp;" / "&amp;C205&amp;" / "&amp;D205&amp;" / "&amp;E205</f>
        <v>Linoleum flooring / Forbo / Marmoleum Striato / 2.5 mm sheet style linoleum</v>
      </c>
      <c r="B205" s="50" t="s">
        <v>452</v>
      </c>
      <c r="C205" s="50" t="s">
        <v>3303</v>
      </c>
      <c r="D205" s="50" t="s">
        <v>457</v>
      </c>
      <c r="E205" s="50" t="s">
        <v>453</v>
      </c>
      <c r="H205" s="50"/>
      <c r="I205" s="50" t="s">
        <v>129</v>
      </c>
      <c r="J205" s="51"/>
      <c r="K205" s="51">
        <v>-0.26800000000000002</v>
      </c>
      <c r="L205" s="50" t="s">
        <v>5</v>
      </c>
      <c r="M205" s="71">
        <f>(K205--AA205)</f>
        <v>4.016</v>
      </c>
      <c r="N205" s="50" t="s">
        <v>5</v>
      </c>
      <c r="O205" s="50" t="s">
        <v>458</v>
      </c>
      <c r="P205" s="53" t="s">
        <v>143</v>
      </c>
      <c r="Q205" s="367">
        <v>2025</v>
      </c>
      <c r="R205" s="53">
        <v>3</v>
      </c>
      <c r="S205" s="53" t="s">
        <v>141</v>
      </c>
      <c r="Z205" s="53">
        <v>0.433</v>
      </c>
      <c r="AA205" s="82">
        <f>4.76*rng_biogenic_storage</f>
        <v>4.2839999999999998</v>
      </c>
      <c r="AD205" s="53">
        <v>1.2978000000000001</v>
      </c>
      <c r="AF205" s="53">
        <v>4.7586000000000004</v>
      </c>
      <c r="AG205" s="82"/>
      <c r="AI205" s="165">
        <v>2.5000000000000001E-3</v>
      </c>
      <c r="AN205" s="53">
        <v>133</v>
      </c>
      <c r="AR205" s="264" t="str">
        <f ca="1">IF(LEN(Q205)=4,IF(Q205&lt;YEAR(NOW()),_xlfn.CONCAT(IF(LOWER(Setting!rng_language)="english","Expired ","Expiré "),Q205),""),"")</f>
        <v>Expired 2025</v>
      </c>
      <c r="AT205" s="53" t="b">
        <f>ISNUMBER(MATCH(IF(LEN('USER INPUT SHEET'!rng_province)&gt;0,'USER INPUT SHEET'!rng_province,"Canada"),$AU205:$BD205,0))</f>
        <v>0</v>
      </c>
      <c r="AU205" s="1286"/>
      <c r="AV205" s="1286"/>
      <c r="AW205" s="1286"/>
      <c r="AX205" s="1286"/>
      <c r="AY205" s="1286"/>
      <c r="AZ205" s="1286"/>
      <c r="BA205" s="1286"/>
      <c r="BB205" s="1286"/>
      <c r="BC205" s="1286"/>
      <c r="BD205" s="1286"/>
    </row>
    <row r="206" spans="1:56" ht="15.75" customHeight="1" x14ac:dyDescent="0.3">
      <c r="A206" s="50" t="str">
        <f>B206&amp;" / "&amp;C206&amp;" / "&amp;D206&amp;" / "&amp;E206</f>
        <v>(ARCHIVED 2023) Linoleum flooring / Gerflor  / DLW Linoleum Acousticplus / 4.0 mm sheet style linoleum</v>
      </c>
      <c r="B206" s="50" t="s">
        <v>3761</v>
      </c>
      <c r="C206" s="50" t="s">
        <v>459</v>
      </c>
      <c r="D206" s="50" t="s">
        <v>3499</v>
      </c>
      <c r="E206" s="50" t="s">
        <v>461</v>
      </c>
      <c r="H206" s="50"/>
      <c r="I206" s="50" t="s">
        <v>3500</v>
      </c>
      <c r="J206" s="358">
        <v>44916</v>
      </c>
      <c r="K206" s="55">
        <v>2.9169999999999998</v>
      </c>
      <c r="L206" s="50" t="s">
        <v>3501</v>
      </c>
      <c r="M206" s="70">
        <v>7.7679999999999998</v>
      </c>
      <c r="N206" s="50" t="s">
        <v>3501</v>
      </c>
      <c r="O206" s="50" t="s">
        <v>462</v>
      </c>
      <c r="P206" s="53" t="s">
        <v>3502</v>
      </c>
      <c r="Q206" s="367">
        <v>2025</v>
      </c>
      <c r="R206" s="53">
        <v>3.5</v>
      </c>
      <c r="S206" s="53" t="s">
        <v>141</v>
      </c>
      <c r="Z206" s="53">
        <v>0.42</v>
      </c>
      <c r="AA206" s="81">
        <f>AF206*rng_biogenic_storage</f>
        <v>6.2910000000000004</v>
      </c>
      <c r="AD206" s="53">
        <v>1.47</v>
      </c>
      <c r="AF206" s="53">
        <v>6.99</v>
      </c>
      <c r="AG206" s="81"/>
      <c r="AK206" s="165">
        <v>4.0000000000000001E-3</v>
      </c>
      <c r="AN206" s="53">
        <v>134</v>
      </c>
      <c r="AR206" s="264" t="str">
        <f ca="1">IF(LEN(Q206)=4,IF(Q206&lt;YEAR(NOW()),_xlfn.CONCAT(IF(LOWER(Setting!rng_language)="english","Expired ","Expiré "),Q206),""),"")</f>
        <v>Expired 2025</v>
      </c>
      <c r="AT206" s="53" t="b">
        <f>ISNUMBER(MATCH(IF(LEN('USER INPUT SHEET'!rng_province)&gt;0,'USER INPUT SHEET'!rng_province,"Canada"),$AU206:$BD206,0))</f>
        <v>0</v>
      </c>
      <c r="AU206" s="1286"/>
      <c r="AV206" s="1286"/>
      <c r="AW206" s="1286"/>
      <c r="AX206" s="1286"/>
      <c r="AY206" s="1286"/>
      <c r="AZ206" s="1286"/>
      <c r="BA206" s="1286"/>
      <c r="BB206" s="1286"/>
      <c r="BC206" s="1286"/>
      <c r="BD206" s="1286"/>
    </row>
    <row r="207" spans="1:56" ht="15.75" customHeight="1" x14ac:dyDescent="0.3">
      <c r="A207" s="50" t="str">
        <f>B207&amp;" / "&amp;C207&amp;" / "&amp;D207&amp;" / "&amp;E207</f>
        <v>(ARCHIVED 2023) Linoleum flooring / Gerflor / DLW Linoleum / 4.0 mm sheet style linoleum</v>
      </c>
      <c r="B207" s="50" t="s">
        <v>3761</v>
      </c>
      <c r="C207" s="50" t="s">
        <v>3304</v>
      </c>
      <c r="D207" s="50" t="s">
        <v>460</v>
      </c>
      <c r="E207" s="50" t="s">
        <v>461</v>
      </c>
      <c r="H207" s="50"/>
      <c r="I207" s="50" t="s">
        <v>129</v>
      </c>
      <c r="J207" s="51"/>
      <c r="K207" s="51">
        <v>2.9169999999999998</v>
      </c>
      <c r="L207" s="50" t="s">
        <v>5</v>
      </c>
      <c r="M207" s="71">
        <f>(2.917)</f>
        <v>2.9169999999999998</v>
      </c>
      <c r="N207" s="50" t="s">
        <v>5</v>
      </c>
      <c r="O207" s="50" t="s">
        <v>462</v>
      </c>
      <c r="P207" s="53" t="s">
        <v>143</v>
      </c>
      <c r="Q207" s="367">
        <v>2024</v>
      </c>
      <c r="R207" s="53">
        <v>3.5</v>
      </c>
      <c r="S207" s="53" t="s">
        <v>141</v>
      </c>
      <c r="Y207" s="53">
        <v>0.68</v>
      </c>
      <c r="Z207" s="53">
        <v>0.4</v>
      </c>
      <c r="AA207" s="82">
        <f>(R207*Y207*Z207*3.67)*rng_biogenic_storage</f>
        <v>3.1444560000000004</v>
      </c>
      <c r="AG207" s="82"/>
      <c r="AI207" s="165">
        <v>4.0000000000000001E-3</v>
      </c>
      <c r="AN207" s="53" t="s">
        <v>3785</v>
      </c>
      <c r="AR207" s="264" t="str">
        <f ca="1">IF(LEN(Q207)=4,IF(Q207&lt;YEAR(NOW()),_xlfn.CONCAT(IF(LOWER(Setting!rng_language)="english","Expired ","Expiré "),Q207),""),"")</f>
        <v>Expired 2024</v>
      </c>
      <c r="AT207" s="53" t="b">
        <f>ISNUMBER(MATCH(IF(LEN('USER INPUT SHEET'!rng_province)&gt;0,'USER INPUT SHEET'!rng_province,"Canada"),$AU207:$BD207,0))</f>
        <v>0</v>
      </c>
      <c r="AU207" s="1289"/>
      <c r="AV207" s="1289"/>
      <c r="AW207" s="1289"/>
      <c r="AX207" s="1289"/>
      <c r="AY207" s="1289"/>
      <c r="AZ207" s="1289"/>
      <c r="BA207" s="1289"/>
      <c r="BB207" s="1289"/>
      <c r="BC207" s="1289"/>
      <c r="BD207" s="1289"/>
    </row>
    <row r="208" spans="1:56" ht="15.75" customHeight="1" x14ac:dyDescent="0.3">
      <c r="A208" s="50" t="str">
        <f t="shared" si="9"/>
        <v>(ARCHIVED 2025) Liquid linoleum flooring / Duracryl Corques / Liquid Lino / 2.0 mm liquid applied</v>
      </c>
      <c r="B208" s="50" t="s">
        <v>4304</v>
      </c>
      <c r="C208" s="50" t="s">
        <v>463</v>
      </c>
      <c r="D208" s="50" t="s">
        <v>464</v>
      </c>
      <c r="E208" s="50" t="s">
        <v>465</v>
      </c>
      <c r="H208" s="50"/>
      <c r="I208" s="50" t="s">
        <v>120</v>
      </c>
      <c r="J208" s="50"/>
      <c r="K208" s="50">
        <v>3.98</v>
      </c>
      <c r="L208" s="50" t="s">
        <v>5</v>
      </c>
      <c r="M208" s="71">
        <f>(3.98)</f>
        <v>3.98</v>
      </c>
      <c r="N208" s="50" t="s">
        <v>5</v>
      </c>
      <c r="O208" s="50" t="s">
        <v>466</v>
      </c>
      <c r="P208" s="53" t="s">
        <v>467</v>
      </c>
      <c r="Q208" s="367">
        <v>2021</v>
      </c>
      <c r="R208" s="53">
        <v>1.8</v>
      </c>
      <c r="S208" s="53" t="s">
        <v>141</v>
      </c>
      <c r="Y208" s="53">
        <v>0.88</v>
      </c>
      <c r="Z208" s="53">
        <v>0.4</v>
      </c>
      <c r="AA208" s="82">
        <f>(R208*Y208*Z208*3.67)*rng_biogenic_storage</f>
        <v>2.0927808000000003</v>
      </c>
      <c r="AG208" s="82"/>
      <c r="AI208" s="165">
        <v>2E-3</v>
      </c>
      <c r="AN208" s="53">
        <v>135</v>
      </c>
      <c r="AR208" s="264" t="str">
        <f ca="1">IF(LEN(Q208)=4,IF(Q208&lt;YEAR(NOW()),_xlfn.CONCAT(IF(LOWER(Setting!rng_language)="english","Expired ","Expiré "),Q208),""),"")</f>
        <v>Expired 2021</v>
      </c>
      <c r="AT208" s="53" t="b">
        <f>ISNUMBER(MATCH(IF(LEN('USER INPUT SHEET'!rng_province)&gt;0,'USER INPUT SHEET'!rng_province,"Canada"),$AU208:$BD208,0))</f>
        <v>0</v>
      </c>
      <c r="AU208" s="1286"/>
      <c r="AV208" s="1286"/>
      <c r="AW208" s="1286"/>
      <c r="AX208" s="1286"/>
      <c r="AY208" s="1286"/>
      <c r="AZ208" s="1286"/>
      <c r="BA208" s="1286"/>
      <c r="BB208" s="1286"/>
      <c r="BC208" s="1286"/>
      <c r="BD208" s="1286"/>
    </row>
    <row r="209" spans="1:56" ht="15.75" customHeight="1" x14ac:dyDescent="0.3">
      <c r="A209" s="50" t="str">
        <f t="shared" si="9"/>
        <v xml:space="preserve">Masonry cement / Portland Cement Association / Includes Argos, Buzzi, CalPortland, Capitol Aggregates, Cemex, Essroc, LafargeHolcim, Monarch, St. Mary's, Titan / </v>
      </c>
      <c r="B209" s="50" t="s">
        <v>468</v>
      </c>
      <c r="C209" s="50" t="s">
        <v>469</v>
      </c>
      <c r="D209" s="50" t="s">
        <v>470</v>
      </c>
      <c r="E209" s="50"/>
      <c r="H209" s="50"/>
      <c r="I209" s="50" t="s">
        <v>124</v>
      </c>
      <c r="J209" s="50"/>
      <c r="K209" s="50">
        <v>0.69199999999999995</v>
      </c>
      <c r="L209" s="50" t="s">
        <v>841</v>
      </c>
      <c r="M209" s="71">
        <f>(K209)</f>
        <v>0.69199999999999995</v>
      </c>
      <c r="N209" s="50" t="s">
        <v>841</v>
      </c>
      <c r="O209" s="53" t="s">
        <v>471</v>
      </c>
      <c r="P209" s="53" t="s">
        <v>137</v>
      </c>
      <c r="Q209" s="367" t="s">
        <v>1772</v>
      </c>
      <c r="AA209" s="78">
        <f t="shared" ref="AA209:AA234" si="24">_xlfn.NUMBERVALUE(IF(LEN(AG209)&gt;0,AG209,0))</f>
        <v>0</v>
      </c>
      <c r="AG209" s="82"/>
      <c r="AN209" s="53">
        <v>136</v>
      </c>
      <c r="AR209" s="264" t="str">
        <f ca="1">IF(LEN(Q209)=4,IF(Q209&lt;YEAR(NOW()),_xlfn.CONCAT(IF(LOWER(Setting!rng_language)="english","Expired ","Expiré "),Q209),""),"")</f>
        <v/>
      </c>
      <c r="AT209" s="53" t="b">
        <f>ISNUMBER(MATCH(IF(LEN('USER INPUT SHEET'!rng_province)&gt;0,'USER INPUT SHEET'!rng_province,"Canada"),$AU209:$BD209,0))</f>
        <v>0</v>
      </c>
      <c r="AU209" s="1286"/>
      <c r="AV209" s="1286"/>
      <c r="AW209" s="1286"/>
      <c r="AX209" s="1286"/>
      <c r="AY209" s="1286"/>
      <c r="AZ209" s="1286"/>
      <c r="BA209" s="1286"/>
      <c r="BB209" s="1286"/>
      <c r="BC209" s="1286"/>
      <c r="BD209" s="1286"/>
    </row>
    <row r="210" spans="1:56" ht="15.75" customHeight="1" x14ac:dyDescent="0.3">
      <c r="A210" s="50" t="str">
        <f t="shared" si="9"/>
        <v xml:space="preserve">Masonry Mortar Mix / 1 part Masonry cement / 3 parts avg sand / </v>
      </c>
      <c r="B210" s="50" t="s">
        <v>997</v>
      </c>
      <c r="C210" s="50" t="s">
        <v>999</v>
      </c>
      <c r="D210" s="50" t="s">
        <v>998</v>
      </c>
      <c r="E210" s="50"/>
      <c r="H210" s="50"/>
      <c r="I210" s="50"/>
      <c r="J210" s="50"/>
      <c r="K210" s="50"/>
      <c r="L210" s="50"/>
      <c r="M210" s="70">
        <f>(R210*M209+T210*K5/1000)</f>
        <v>268.63920000000002</v>
      </c>
      <c r="N210" s="50" t="s">
        <v>3</v>
      </c>
      <c r="O210" s="53" t="s">
        <v>471</v>
      </c>
      <c r="P210" s="53" t="s">
        <v>137</v>
      </c>
      <c r="Q210" s="367" t="s">
        <v>1772</v>
      </c>
      <c r="R210" s="53">
        <f>0.25*1500</f>
        <v>375</v>
      </c>
      <c r="S210" s="53" t="s">
        <v>995</v>
      </c>
      <c r="T210" s="53">
        <f>0.75*1280</f>
        <v>960</v>
      </c>
      <c r="U210" s="53" t="s">
        <v>996</v>
      </c>
      <c r="AA210" s="78">
        <f t="shared" si="24"/>
        <v>0</v>
      </c>
      <c r="AG210" s="81"/>
      <c r="AN210" s="53">
        <v>137</v>
      </c>
      <c r="AR210" s="264" t="str">
        <f ca="1">IF(LEN(Q210)=4,IF(Q210&lt;YEAR(NOW()),_xlfn.CONCAT(IF(LOWER(Setting!rng_language)="english","Expired ","Expiré "),Q210),""),"")</f>
        <v/>
      </c>
      <c r="AT210" s="53" t="b">
        <f>ISNUMBER(MATCH(IF(LEN('USER INPUT SHEET'!rng_province)&gt;0,'USER INPUT SHEET'!rng_province,"Canada"),$AU210:$BD210,0))</f>
        <v>0</v>
      </c>
      <c r="AU210" s="1286"/>
      <c r="AV210" s="1286"/>
      <c r="AW210" s="1286"/>
      <c r="AX210" s="1286"/>
      <c r="AY210" s="1286"/>
      <c r="AZ210" s="1286"/>
      <c r="BA210" s="1286"/>
      <c r="BB210" s="1286"/>
      <c r="BC210" s="1286"/>
      <c r="BD210" s="1286"/>
    </row>
    <row r="211" spans="1:56" ht="15.75" customHeight="1" x14ac:dyDescent="0.3">
      <c r="A211" s="50" t="str">
        <f>B211&amp;" / "&amp;C211&amp;" / "&amp;E211&amp;" / "&amp;D211</f>
        <v>Metal Panels - Aluminum / Metal Construction Assn. / 22 gauge / Includes: ATAS, DMI, Englert, Fabral,McElroy, Pac-Clad</v>
      </c>
      <c r="B211" s="50" t="s">
        <v>472</v>
      </c>
      <c r="C211" s="50" t="s">
        <v>3308</v>
      </c>
      <c r="D211" s="50" t="s">
        <v>473</v>
      </c>
      <c r="E211" s="50" t="s">
        <v>474</v>
      </c>
      <c r="H211" s="50"/>
      <c r="I211" s="50" t="s">
        <v>129</v>
      </c>
      <c r="J211" s="50"/>
      <c r="K211" s="50">
        <v>1860</v>
      </c>
      <c r="L211" s="50" t="s">
        <v>848</v>
      </c>
      <c r="M211" s="71">
        <f>(K211/100)</f>
        <v>18.600000000000001</v>
      </c>
      <c r="N211" s="50" t="s">
        <v>5</v>
      </c>
      <c r="O211" s="50" t="s">
        <v>475</v>
      </c>
      <c r="P211" s="50" t="s">
        <v>143</v>
      </c>
      <c r="Q211" s="172">
        <v>2026</v>
      </c>
      <c r="R211" s="50">
        <v>2720</v>
      </c>
      <c r="S211" s="50" t="s">
        <v>121</v>
      </c>
      <c r="T211" s="50"/>
      <c r="U211" s="50"/>
      <c r="AA211" s="78">
        <f t="shared" si="24"/>
        <v>0</v>
      </c>
      <c r="AG211" s="82"/>
      <c r="AI211" s="173">
        <v>6.4000000000000005E-4</v>
      </c>
      <c r="AN211" s="53">
        <v>138</v>
      </c>
      <c r="AR211" s="264" t="str">
        <f ca="1">IF(LEN(Q211)=4,IF(Q211&lt;YEAR(NOW()),_xlfn.CONCAT(IF(LOWER(Setting!rng_language)="english","Expired ","Expiré "),Q211),""),"")</f>
        <v/>
      </c>
      <c r="AT211" s="53" t="b">
        <f>ISNUMBER(MATCH(IF(LEN('USER INPUT SHEET'!rng_province)&gt;0,'USER INPUT SHEET'!rng_province,"Canada"),$AU211:$BD211,0))</f>
        <v>0</v>
      </c>
      <c r="AU211" s="1286"/>
      <c r="AV211" s="1286"/>
      <c r="AW211" s="1286"/>
      <c r="AX211" s="1286"/>
      <c r="AY211" s="1286"/>
      <c r="AZ211" s="1286"/>
      <c r="BA211" s="1286"/>
      <c r="BB211" s="1286"/>
      <c r="BC211" s="1286"/>
      <c r="BD211" s="1286"/>
    </row>
    <row r="212" spans="1:56" ht="15.75" customHeight="1" x14ac:dyDescent="0.3">
      <c r="A212" s="50" t="str">
        <f t="shared" si="9"/>
        <v>(ARCHIVED 2025) Metal Panels - Aluminum / Petersen Aluminum Corp / Pac-Clad / 20EQ gauge</v>
      </c>
      <c r="B212" s="50" t="s">
        <v>4305</v>
      </c>
      <c r="C212" s="50" t="s">
        <v>476</v>
      </c>
      <c r="D212" s="50" t="s">
        <v>993</v>
      </c>
      <c r="E212" s="50" t="s">
        <v>858</v>
      </c>
      <c r="H212" s="50"/>
      <c r="I212" s="50" t="s">
        <v>129</v>
      </c>
      <c r="J212" s="50"/>
      <c r="K212" s="50">
        <v>1900.45</v>
      </c>
      <c r="L212" s="50" t="s">
        <v>846</v>
      </c>
      <c r="M212" s="71">
        <f>(K212/92.9)</f>
        <v>20.456942949407964</v>
      </c>
      <c r="N212" s="50" t="s">
        <v>5</v>
      </c>
      <c r="O212" s="53" t="s">
        <v>478</v>
      </c>
      <c r="P212" s="53" t="s">
        <v>143</v>
      </c>
      <c r="Q212" s="367">
        <v>2020</v>
      </c>
      <c r="R212" s="53">
        <v>2.0699999999999998</v>
      </c>
      <c r="S212" s="53" t="s">
        <v>141</v>
      </c>
      <c r="AA212" s="78">
        <f t="shared" si="24"/>
        <v>0</v>
      </c>
      <c r="AG212" s="82"/>
      <c r="AN212" s="53">
        <v>139</v>
      </c>
      <c r="AR212" s="264" t="str">
        <f ca="1">IF(LEN(Q212)=4,IF(Q212&lt;YEAR(NOW()),_xlfn.CONCAT(IF(LOWER(Setting!rng_language)="english","Expired ","Expiré "),Q212),""),"")</f>
        <v>Expired 2020</v>
      </c>
      <c r="AT212" s="53" t="b">
        <f>ISNUMBER(MATCH(IF(LEN('USER INPUT SHEET'!rng_province)&gt;0,'USER INPUT SHEET'!rng_province,"Canada"),$AU212:$BD212,0))</f>
        <v>0</v>
      </c>
      <c r="AU212" s="1286"/>
      <c r="AV212" s="1286"/>
      <c r="AW212" s="1286"/>
      <c r="AX212" s="1286"/>
      <c r="AY212" s="1286"/>
      <c r="AZ212" s="1286"/>
      <c r="BA212" s="1286"/>
      <c r="BB212" s="1286"/>
      <c r="BC212" s="1286"/>
      <c r="BD212" s="1286"/>
    </row>
    <row r="213" spans="1:56" ht="15.75" customHeight="1" x14ac:dyDescent="0.3">
      <c r="A213" s="50" t="str">
        <f t="shared" si="9"/>
        <v>Metal Panels - Aluminum / Petersen Aluminum Corp / Pac-Clad, all profiles / 20 gauge</v>
      </c>
      <c r="B213" s="50" t="s">
        <v>472</v>
      </c>
      <c r="C213" s="50" t="s">
        <v>476</v>
      </c>
      <c r="D213" s="50" t="s">
        <v>4329</v>
      </c>
      <c r="E213" s="50" t="s">
        <v>4330</v>
      </c>
      <c r="H213" s="50"/>
      <c r="I213" s="50" t="s">
        <v>3500</v>
      </c>
      <c r="J213" s="401">
        <v>45327</v>
      </c>
      <c r="K213" s="50">
        <v>3840</v>
      </c>
      <c r="L213" s="50" t="s">
        <v>848</v>
      </c>
      <c r="M213" s="70">
        <v>38.4</v>
      </c>
      <c r="N213" s="50" t="s">
        <v>3501</v>
      </c>
      <c r="O213" s="53" t="s">
        <v>4331</v>
      </c>
      <c r="P213" s="53" t="s">
        <v>3502</v>
      </c>
      <c r="Q213" s="367">
        <v>2025</v>
      </c>
      <c r="R213" s="53">
        <v>2.0699999999999998</v>
      </c>
      <c r="S213" s="53" t="s">
        <v>141</v>
      </c>
      <c r="T213" s="53">
        <v>207</v>
      </c>
      <c r="U213" s="53" t="s">
        <v>4332</v>
      </c>
      <c r="AA213" s="78">
        <f t="shared" si="24"/>
        <v>0</v>
      </c>
      <c r="AG213" s="81"/>
      <c r="AN213" s="53" t="s">
        <v>4343</v>
      </c>
      <c r="AT213" s="53" t="b">
        <f>ISNUMBER(MATCH(IF(LEN('USER INPUT SHEET'!rng_province)&gt;0,'USER INPUT SHEET'!rng_province,"Canada"),$AU213:$BD213,0))</f>
        <v>0</v>
      </c>
      <c r="AU213" s="1286"/>
      <c r="AV213" s="1286"/>
      <c r="AW213" s="1286"/>
      <c r="AX213" s="1286"/>
      <c r="AY213" s="1286"/>
      <c r="AZ213" s="1286"/>
      <c r="BA213" s="1286"/>
      <c r="BB213" s="1286"/>
      <c r="BC213" s="1286"/>
      <c r="BD213" s="1286"/>
    </row>
    <row r="214" spans="1:56" ht="15.75" customHeight="1" x14ac:dyDescent="0.3">
      <c r="A214" s="50" t="str">
        <f t="shared" si="9"/>
        <v>(ARCHIVED 2025) Metal Panels - Steel / AEP Span / All products / 24 gauge</v>
      </c>
      <c r="B214" s="50" t="s">
        <v>4306</v>
      </c>
      <c r="C214" s="50" t="s">
        <v>480</v>
      </c>
      <c r="D214" s="50" t="s">
        <v>481</v>
      </c>
      <c r="E214" s="50" t="s">
        <v>482</v>
      </c>
      <c r="H214" s="50"/>
      <c r="I214" s="50" t="s">
        <v>129</v>
      </c>
      <c r="J214" s="50"/>
      <c r="K214" s="50">
        <v>1263.9000000000001</v>
      </c>
      <c r="L214" s="50" t="s">
        <v>846</v>
      </c>
      <c r="M214" s="71">
        <f>(K214/92.9)</f>
        <v>13.604951560818083</v>
      </c>
      <c r="N214" s="50" t="s">
        <v>5</v>
      </c>
      <c r="O214" s="50" t="s">
        <v>483</v>
      </c>
      <c r="P214" s="50" t="s">
        <v>415</v>
      </c>
      <c r="Q214" s="172">
        <v>2022</v>
      </c>
      <c r="R214" s="50">
        <v>8030</v>
      </c>
      <c r="S214" s="50" t="s">
        <v>121</v>
      </c>
      <c r="T214" s="50"/>
      <c r="U214" s="50"/>
      <c r="AA214" s="78">
        <f t="shared" si="24"/>
        <v>0</v>
      </c>
      <c r="AG214" s="82"/>
      <c r="AI214" s="165">
        <v>6.0999999999999997E-4</v>
      </c>
      <c r="AN214" s="53">
        <v>140</v>
      </c>
      <c r="AR214" s="264" t="str">
        <f ca="1">IF(LEN(Q214)=4,IF(Q214&lt;YEAR(NOW()),_xlfn.CONCAT(IF(LOWER(Setting!rng_language)="english","Expired ","Expiré "),Q214),""),"")</f>
        <v>Expired 2022</v>
      </c>
      <c r="AT214" s="53" t="b">
        <f>ISNUMBER(MATCH(IF(LEN('USER INPUT SHEET'!rng_province)&gt;0,'USER INPUT SHEET'!rng_province,"Canada"),$AU214:$BD214,0))</f>
        <v>0</v>
      </c>
      <c r="AU214" s="1286"/>
      <c r="AV214" s="1286"/>
      <c r="AW214" s="1286"/>
      <c r="AX214" s="1286"/>
      <c r="AY214" s="1286"/>
      <c r="AZ214" s="1286"/>
      <c r="BA214" s="1286"/>
      <c r="BB214" s="1286"/>
      <c r="BC214" s="1286"/>
      <c r="BD214" s="1286"/>
    </row>
    <row r="215" spans="1:56" ht="15.75" customHeight="1" x14ac:dyDescent="0.3">
      <c r="A215" s="50" t="str">
        <f t="shared" si="9"/>
        <v>Metal Panels - Steel / AEP Span / All roofing &amp; wall products / 24 gauge</v>
      </c>
      <c r="B215" s="50" t="s">
        <v>479</v>
      </c>
      <c r="C215" s="50" t="s">
        <v>480</v>
      </c>
      <c r="D215" s="50" t="s">
        <v>4333</v>
      </c>
      <c r="E215" s="50" t="s">
        <v>482</v>
      </c>
      <c r="H215" s="50"/>
      <c r="I215" s="50" t="s">
        <v>3500</v>
      </c>
      <c r="J215" s="401">
        <v>45328</v>
      </c>
      <c r="K215" s="50">
        <v>2160</v>
      </c>
      <c r="L215" s="50" t="s">
        <v>4334</v>
      </c>
      <c r="M215" s="70">
        <v>21.6</v>
      </c>
      <c r="N215" s="50" t="s">
        <v>3501</v>
      </c>
      <c r="O215" s="50" t="s">
        <v>4335</v>
      </c>
      <c r="P215" s="50" t="s">
        <v>415</v>
      </c>
      <c r="Q215" s="172">
        <v>2027</v>
      </c>
      <c r="R215" s="50">
        <v>7850</v>
      </c>
      <c r="S215" s="50" t="s">
        <v>121</v>
      </c>
      <c r="T215" s="50"/>
      <c r="U215" s="50"/>
      <c r="AA215" s="78">
        <f t="shared" si="24"/>
        <v>0</v>
      </c>
      <c r="AG215" s="81"/>
      <c r="AK215" s="165">
        <v>6.0999999999999997E-4</v>
      </c>
      <c r="AN215" s="53" t="s">
        <v>3969</v>
      </c>
      <c r="AT215" s="53" t="b">
        <f>ISNUMBER(MATCH(IF(LEN('USER INPUT SHEET'!rng_province)&gt;0,'USER INPUT SHEET'!rng_province,"Canada"),$AU215:$BD215,0))</f>
        <v>0</v>
      </c>
      <c r="AU215" s="1286"/>
      <c r="AV215" s="1286"/>
      <c r="AW215" s="1286"/>
      <c r="AX215" s="1286"/>
      <c r="AY215" s="1286"/>
      <c r="AZ215" s="1286"/>
      <c r="BA215" s="1286"/>
      <c r="BB215" s="1286"/>
      <c r="BC215" s="1286"/>
      <c r="BD215" s="1286"/>
    </row>
    <row r="216" spans="1:56" ht="15.75" customHeight="1" x14ac:dyDescent="0.3">
      <c r="A216" s="50" t="str">
        <f t="shared" si="9"/>
        <v>(ARCHIVED 2025) Metal Panels - Steel / ArcelorMittal / All products / 24 gauge</v>
      </c>
      <c r="B216" s="50" t="s">
        <v>4306</v>
      </c>
      <c r="C216" s="50" t="s">
        <v>484</v>
      </c>
      <c r="D216" s="50" t="s">
        <v>481</v>
      </c>
      <c r="E216" s="50" t="s">
        <v>482</v>
      </c>
      <c r="H216" s="50"/>
      <c r="I216" s="50" t="s">
        <v>124</v>
      </c>
      <c r="J216" s="50"/>
      <c r="K216" s="50">
        <v>1308</v>
      </c>
      <c r="L216" s="50" t="s">
        <v>846</v>
      </c>
      <c r="M216" s="71">
        <f>(K216/92.9)</f>
        <v>14.079655543595264</v>
      </c>
      <c r="N216" s="50" t="s">
        <v>5</v>
      </c>
      <c r="O216" s="50" t="s">
        <v>485</v>
      </c>
      <c r="P216" s="50" t="s">
        <v>143</v>
      </c>
      <c r="Q216" s="172">
        <v>2021</v>
      </c>
      <c r="R216" s="50">
        <v>8030</v>
      </c>
      <c r="S216" s="50" t="s">
        <v>121</v>
      </c>
      <c r="T216" s="50"/>
      <c r="U216" s="50"/>
      <c r="AA216" s="78">
        <f t="shared" si="24"/>
        <v>0</v>
      </c>
      <c r="AG216" s="82"/>
      <c r="AI216" s="165">
        <v>6.0999999999999997E-4</v>
      </c>
      <c r="AN216" s="53">
        <v>141</v>
      </c>
      <c r="AR216" s="264" t="str">
        <f ca="1">IF(LEN(Q216)=4,IF(Q216&lt;YEAR(NOW()),_xlfn.CONCAT(IF(LOWER(Setting!rng_language)="english","Expired ","Expiré "),Q216),""),"")</f>
        <v>Expired 2021</v>
      </c>
      <c r="AT216" s="53" t="b">
        <f>ISNUMBER(MATCH(IF(LEN('USER INPUT SHEET'!rng_province)&gt;0,'USER INPUT SHEET'!rng_province,"Canada"),$AU216:$BD216,0))</f>
        <v>0</v>
      </c>
      <c r="AU216" s="1286"/>
      <c r="AV216" s="1286"/>
      <c r="AW216" s="1286"/>
      <c r="AX216" s="1286"/>
      <c r="AY216" s="1286"/>
      <c r="AZ216" s="1286"/>
      <c r="BA216" s="1286"/>
      <c r="BB216" s="1286"/>
      <c r="BC216" s="1286"/>
      <c r="BD216" s="1286"/>
    </row>
    <row r="217" spans="1:56" ht="15.75" customHeight="1" x14ac:dyDescent="0.3">
      <c r="A217" s="50" t="str">
        <f t="shared" ref="A217" si="25">B217&amp;" / "&amp;C217&amp;" / "&amp;D217&amp;" / "&amp;E217</f>
        <v>Metal Panels - Steel / ArcelorMittal / XCarb RRP / 24 gauge</v>
      </c>
      <c r="B217" s="50" t="s">
        <v>479</v>
      </c>
      <c r="C217" s="50" t="s">
        <v>484</v>
      </c>
      <c r="D217" s="50" t="s">
        <v>4336</v>
      </c>
      <c r="E217" s="50" t="s">
        <v>482</v>
      </c>
      <c r="H217" s="50"/>
      <c r="I217" s="50" t="s">
        <v>138</v>
      </c>
      <c r="J217" s="401">
        <v>45331</v>
      </c>
      <c r="K217" s="50">
        <v>1.36</v>
      </c>
      <c r="L217" s="50" t="s">
        <v>841</v>
      </c>
      <c r="M217" s="70">
        <v>6.6368</v>
      </c>
      <c r="N217" s="50" t="s">
        <v>5</v>
      </c>
      <c r="O217" s="50" t="s">
        <v>4337</v>
      </c>
      <c r="P217" s="50" t="s">
        <v>268</v>
      </c>
      <c r="Q217" s="172">
        <v>2028</v>
      </c>
      <c r="R217" s="50">
        <v>7800</v>
      </c>
      <c r="S217" s="50" t="s">
        <v>121</v>
      </c>
      <c r="T217" s="50">
        <v>4.88</v>
      </c>
      <c r="U217" s="50" t="s">
        <v>141</v>
      </c>
      <c r="AA217" s="78">
        <f t="shared" si="24"/>
        <v>0</v>
      </c>
      <c r="AG217" s="81"/>
      <c r="AN217" s="53" t="s">
        <v>2177</v>
      </c>
      <c r="AT217" s="53" t="b">
        <f>ISNUMBER(MATCH(IF(LEN('USER INPUT SHEET'!rng_province)&gt;0,'USER INPUT SHEET'!rng_province,"Canada"),$AU217:$BD217,0))</f>
        <v>0</v>
      </c>
      <c r="AU217" s="1286"/>
      <c r="AV217" s="1286"/>
      <c r="AW217" s="1286"/>
      <c r="AX217" s="1286"/>
      <c r="AY217" s="1286"/>
      <c r="AZ217" s="1286"/>
      <c r="BA217" s="1286"/>
      <c r="BB217" s="1286"/>
      <c r="BC217" s="1286"/>
      <c r="BD217" s="1286"/>
    </row>
    <row r="218" spans="1:56" ht="15.75" customHeight="1" x14ac:dyDescent="0.3">
      <c r="A218" s="51" t="str">
        <f>B218&amp;" / "&amp;C218&amp;" / "&amp;E218</f>
        <v>(ARCHIVED 2025) Metal Panels - Steel / Canadian Sheet Steel Building Institute / 24 gauge</v>
      </c>
      <c r="B218" s="50" t="s">
        <v>4306</v>
      </c>
      <c r="C218" s="50" t="s">
        <v>486</v>
      </c>
      <c r="D218" s="50" t="s">
        <v>487</v>
      </c>
      <c r="E218" s="50" t="s">
        <v>482</v>
      </c>
      <c r="H218" s="50" t="s">
        <v>488</v>
      </c>
      <c r="I218" s="50" t="s">
        <v>138</v>
      </c>
      <c r="J218" s="50"/>
      <c r="K218" s="50">
        <v>1390</v>
      </c>
      <c r="L218" s="50" t="s">
        <v>846</v>
      </c>
      <c r="M218" s="71">
        <f>(K218/92.9)</f>
        <v>14.962325080731969</v>
      </c>
      <c r="N218" s="50" t="s">
        <v>5</v>
      </c>
      <c r="O218" s="50" t="s">
        <v>489</v>
      </c>
      <c r="P218" s="50" t="s">
        <v>143</v>
      </c>
      <c r="Q218" s="172">
        <v>2021</v>
      </c>
      <c r="R218" s="50">
        <v>8030</v>
      </c>
      <c r="S218" s="50" t="s">
        <v>121</v>
      </c>
      <c r="T218" s="50"/>
      <c r="U218" s="50"/>
      <c r="V218" s="50"/>
      <c r="W218" s="50"/>
      <c r="X218" s="50"/>
      <c r="Y218" s="50"/>
      <c r="Z218" s="50"/>
      <c r="AA218" s="78">
        <f t="shared" si="24"/>
        <v>0</v>
      </c>
      <c r="AB218" s="50"/>
      <c r="AC218" s="50"/>
      <c r="AD218" s="50"/>
      <c r="AE218" s="50"/>
      <c r="AF218" s="50"/>
      <c r="AG218" s="82"/>
      <c r="AH218" s="50"/>
      <c r="AI218" s="173">
        <v>6.0999999999999997E-4</v>
      </c>
      <c r="AJ218" s="167"/>
      <c r="AK218" s="167"/>
      <c r="AL218" s="50"/>
      <c r="AN218" s="53">
        <v>142</v>
      </c>
      <c r="AR218" s="264" t="str">
        <f ca="1">IF(LEN(Q218)=4,IF(Q218&lt;YEAR(NOW()),_xlfn.CONCAT(IF(LOWER(Setting!rng_language)="english","Expired ","Expiré "),Q218),""),"")</f>
        <v>Expired 2021</v>
      </c>
      <c r="AT218" s="53" t="b">
        <f>ISNUMBER(MATCH(IF(LEN('USER INPUT SHEET'!rng_province)&gt;0,'USER INPUT SHEET'!rng_province,"Canada"),$AU218:$BD218,0))</f>
        <v>0</v>
      </c>
      <c r="AU218" s="1286"/>
      <c r="AV218" s="1286"/>
      <c r="AW218" s="1286"/>
      <c r="AX218" s="1286"/>
      <c r="AY218" s="1286"/>
      <c r="AZ218" s="1286"/>
      <c r="BA218" s="1286"/>
      <c r="BB218" s="1286"/>
      <c r="BC218" s="1286"/>
      <c r="BD218" s="1286"/>
    </row>
    <row r="219" spans="1:56" ht="15.75" customHeight="1" x14ac:dyDescent="0.3">
      <c r="A219" s="55" t="str">
        <f>B219&amp;" / "&amp;C219&amp;" / "&amp;E219</f>
        <v>Metal Panels - Steel / Canadian Sheet Steel Building Institute / 24 gauge</v>
      </c>
      <c r="B219" s="50" t="s">
        <v>479</v>
      </c>
      <c r="C219" s="50" t="s">
        <v>486</v>
      </c>
      <c r="D219" s="50" t="s">
        <v>487</v>
      </c>
      <c r="E219" s="50" t="s">
        <v>482</v>
      </c>
      <c r="H219" s="50" t="s">
        <v>488</v>
      </c>
      <c r="I219" s="50" t="s">
        <v>138</v>
      </c>
      <c r="J219" s="401">
        <v>45331</v>
      </c>
      <c r="K219" s="50">
        <v>2.4340000000000002</v>
      </c>
      <c r="L219" s="50" t="s">
        <v>841</v>
      </c>
      <c r="M219" s="70">
        <v>11.877920000000001</v>
      </c>
      <c r="N219" s="50" t="s">
        <v>3501</v>
      </c>
      <c r="O219" s="50" t="s">
        <v>4338</v>
      </c>
      <c r="P219" s="50" t="s">
        <v>268</v>
      </c>
      <c r="Q219" s="172">
        <v>2027</v>
      </c>
      <c r="R219" s="50">
        <v>7800</v>
      </c>
      <c r="S219" s="50" t="s">
        <v>121</v>
      </c>
      <c r="T219" s="50">
        <v>4.88</v>
      </c>
      <c r="U219" s="50" t="s">
        <v>141</v>
      </c>
      <c r="V219" s="50"/>
      <c r="W219" s="50"/>
      <c r="X219" s="50"/>
      <c r="Y219" s="50"/>
      <c r="Z219" s="50"/>
      <c r="AA219" s="78">
        <f t="shared" si="24"/>
        <v>0</v>
      </c>
      <c r="AB219" s="50"/>
      <c r="AC219" s="50"/>
      <c r="AD219" s="50"/>
      <c r="AE219" s="50"/>
      <c r="AF219" s="50"/>
      <c r="AG219" s="81"/>
      <c r="AH219" s="50"/>
      <c r="AI219" s="173"/>
      <c r="AJ219" s="167"/>
      <c r="AK219" s="167">
        <v>6.0999999999999997E-4</v>
      </c>
      <c r="AL219" s="50"/>
      <c r="AN219" s="53" t="s">
        <v>4344</v>
      </c>
      <c r="AR219" s="382"/>
      <c r="AT219" s="53" t="b">
        <f>ISNUMBER(MATCH(IF(LEN('USER INPUT SHEET'!rng_province)&gt;0,'USER INPUT SHEET'!rng_province,"Canada"),$AU219:$BD219,0))</f>
        <v>0</v>
      </c>
      <c r="AU219" s="1286"/>
      <c r="AV219" s="1286"/>
      <c r="AW219" s="1286"/>
      <c r="AX219" s="1286"/>
      <c r="AY219" s="1286"/>
      <c r="AZ219" s="1286"/>
      <c r="BA219" s="1286"/>
      <c r="BB219" s="1286"/>
      <c r="BC219" s="1286"/>
      <c r="BD219" s="1286"/>
    </row>
    <row r="220" spans="1:56" ht="15.75" customHeight="1" x14ac:dyDescent="0.3">
      <c r="A220" s="50" t="str">
        <f>B220&amp;" / "&amp;C220&amp;" / "&amp;E220</f>
        <v>(ARCHIVED 2025) Metal Panels - Steel / Metal Building Manufacturers Assn / 24 gauge</v>
      </c>
      <c r="B220" s="50" t="s">
        <v>4306</v>
      </c>
      <c r="C220" s="50" t="s">
        <v>490</v>
      </c>
      <c r="D220" s="166" t="s">
        <v>491</v>
      </c>
      <c r="E220" s="50" t="s">
        <v>482</v>
      </c>
      <c r="H220" s="50" t="s">
        <v>492</v>
      </c>
      <c r="I220" s="50" t="s">
        <v>129</v>
      </c>
      <c r="J220" s="50"/>
      <c r="K220" s="50">
        <v>1221.7</v>
      </c>
      <c r="L220" s="50" t="s">
        <v>846</v>
      </c>
      <c r="M220" s="71">
        <f>(K220/92.9)</f>
        <v>13.150699677072121</v>
      </c>
      <c r="N220" s="50" t="s">
        <v>5</v>
      </c>
      <c r="O220" s="50" t="s">
        <v>493</v>
      </c>
      <c r="P220" s="50" t="s">
        <v>143</v>
      </c>
      <c r="Q220" s="172">
        <v>2021</v>
      </c>
      <c r="R220" s="50">
        <v>8030</v>
      </c>
      <c r="S220" s="50" t="s">
        <v>121</v>
      </c>
      <c r="T220" s="50"/>
      <c r="U220" s="50"/>
      <c r="AA220" s="78">
        <f t="shared" si="24"/>
        <v>0</v>
      </c>
      <c r="AG220" s="82"/>
      <c r="AI220" s="174">
        <v>6.0999999999999997E-4</v>
      </c>
      <c r="AN220" s="53">
        <v>143</v>
      </c>
      <c r="AR220" s="264" t="str">
        <f ca="1">IF(LEN(Q220)=4,IF(Q220&lt;YEAR(NOW()),_xlfn.CONCAT(IF(LOWER(Setting!rng_language)="english","Expired ","Expiré "),Q220),""),"")</f>
        <v>Expired 2021</v>
      </c>
      <c r="AT220" s="53" t="b">
        <f>ISNUMBER(MATCH(IF(LEN('USER INPUT SHEET'!rng_province)&gt;0,'USER INPUT SHEET'!rng_province,"Canada"),$AU220:$BD220,0))</f>
        <v>0</v>
      </c>
      <c r="AU220" s="1286"/>
      <c r="AV220" s="1286"/>
      <c r="AW220" s="1286"/>
      <c r="AX220" s="1286"/>
      <c r="AY220" s="1286"/>
      <c r="AZ220" s="1286"/>
      <c r="BA220" s="1286"/>
      <c r="BB220" s="1286"/>
      <c r="BC220" s="1286"/>
      <c r="BD220" s="1286"/>
    </row>
    <row r="221" spans="1:56" ht="15.75" customHeight="1" x14ac:dyDescent="0.3">
      <c r="A221" s="50" t="str">
        <f t="shared" ref="A221" si="26">B221&amp;" / "&amp;C221&amp;" / "&amp;D221&amp;" / "&amp;E221</f>
        <v>Metal Panels - Steel / Metal Building Manufacturers Assn / List of participating members: https://www.mbma.com/System_Members.html  / 24 gauge</v>
      </c>
      <c r="B221" s="50" t="s">
        <v>479</v>
      </c>
      <c r="C221" s="50" t="s">
        <v>490</v>
      </c>
      <c r="D221" s="166" t="s">
        <v>4339</v>
      </c>
      <c r="E221" s="50" t="s">
        <v>482</v>
      </c>
      <c r="H221" s="50" t="s">
        <v>4339</v>
      </c>
      <c r="I221" s="50" t="s">
        <v>3500</v>
      </c>
      <c r="J221" s="401">
        <v>45328</v>
      </c>
      <c r="K221" s="50">
        <v>1233</v>
      </c>
      <c r="L221" s="50" t="s">
        <v>4334</v>
      </c>
      <c r="M221" s="70">
        <v>12.33</v>
      </c>
      <c r="N221" s="50" t="s">
        <v>3501</v>
      </c>
      <c r="O221" s="50" t="s">
        <v>4340</v>
      </c>
      <c r="P221" s="50" t="s">
        <v>3502</v>
      </c>
      <c r="Q221" s="172">
        <v>2026</v>
      </c>
      <c r="R221" s="50">
        <v>4.7300000000000004</v>
      </c>
      <c r="S221" s="50" t="s">
        <v>141</v>
      </c>
      <c r="T221" s="50"/>
      <c r="U221" s="50"/>
      <c r="AA221" s="78">
        <f t="shared" si="24"/>
        <v>0</v>
      </c>
      <c r="AG221" s="81"/>
      <c r="AI221" s="174"/>
      <c r="AK221" s="165">
        <v>6.0999999999999997E-4</v>
      </c>
      <c r="AN221" s="53" t="s">
        <v>3970</v>
      </c>
      <c r="AT221" s="53" t="b">
        <f>ISNUMBER(MATCH(IF(LEN('USER INPUT SHEET'!rng_province)&gt;0,'USER INPUT SHEET'!rng_province,"Canada"),$AU221:$BD221,0))</f>
        <v>0</v>
      </c>
      <c r="AU221" s="1286"/>
      <c r="AV221" s="1286"/>
      <c r="AW221" s="1286"/>
      <c r="AX221" s="1286"/>
      <c r="AY221" s="1286"/>
      <c r="AZ221" s="1286"/>
      <c r="BA221" s="1286"/>
      <c r="BB221" s="1286"/>
      <c r="BC221" s="1286"/>
      <c r="BD221" s="1286"/>
    </row>
    <row r="222" spans="1:56" ht="15.75" customHeight="1" x14ac:dyDescent="0.3">
      <c r="A222" s="50" t="str">
        <f>B222&amp;" / "&amp;C222&amp;" / "&amp;E222</f>
        <v>Metal Panels - Steel / Metal Construction Assn. / 24 gauge</v>
      </c>
      <c r="B222" s="50" t="s">
        <v>479</v>
      </c>
      <c r="C222" s="50" t="s">
        <v>3308</v>
      </c>
      <c r="D222" s="50" t="s">
        <v>473</v>
      </c>
      <c r="E222" s="50" t="s">
        <v>482</v>
      </c>
      <c r="H222" s="50"/>
      <c r="I222" s="50" t="s">
        <v>129</v>
      </c>
      <c r="J222" s="50"/>
      <c r="K222" s="50">
        <v>1530</v>
      </c>
      <c r="L222" s="50" t="s">
        <v>848</v>
      </c>
      <c r="M222" s="71">
        <f>(K222/100)</f>
        <v>15.3</v>
      </c>
      <c r="N222" s="50" t="s">
        <v>5</v>
      </c>
      <c r="O222" s="50" t="s">
        <v>494</v>
      </c>
      <c r="P222" s="50" t="s">
        <v>143</v>
      </c>
      <c r="Q222" s="172">
        <v>2025</v>
      </c>
      <c r="R222" s="50">
        <v>8030</v>
      </c>
      <c r="S222" s="50" t="s">
        <v>121</v>
      </c>
      <c r="T222" s="50"/>
      <c r="U222" s="50"/>
      <c r="AA222" s="78">
        <f t="shared" si="24"/>
        <v>0</v>
      </c>
      <c r="AG222" s="82"/>
      <c r="AI222" s="174">
        <v>6.0999999999999997E-4</v>
      </c>
      <c r="AN222" s="53">
        <v>144</v>
      </c>
      <c r="AR222" s="264" t="str">
        <f ca="1">IF(LEN(Q222)=4,IF(Q222&lt;YEAR(NOW()),_xlfn.CONCAT(IF(LOWER(Setting!rng_language)="english","Expired ","Expiré "),Q222),""),"")</f>
        <v>Expired 2025</v>
      </c>
      <c r="AT222" s="53" t="b">
        <f>ISNUMBER(MATCH(IF(LEN('USER INPUT SHEET'!rng_province)&gt;0,'USER INPUT SHEET'!rng_province,"Canada"),$AU222:$BD222,0))</f>
        <v>0</v>
      </c>
      <c r="AU222" s="1286"/>
      <c r="AV222" s="1286"/>
      <c r="AW222" s="1286"/>
      <c r="AX222" s="1286"/>
      <c r="AY222" s="1286"/>
      <c r="AZ222" s="1286"/>
      <c r="BA222" s="1286"/>
      <c r="BB222" s="1286"/>
      <c r="BC222" s="1286"/>
      <c r="BD222" s="1286"/>
    </row>
    <row r="223" spans="1:56" ht="15.75" customHeight="1" x14ac:dyDescent="0.3">
      <c r="A223" s="50" t="str">
        <f t="shared" ref="A223:A425" si="27">B223&amp;" / "&amp;C223&amp;" / "&amp;D223&amp;" / "&amp;E223</f>
        <v>(ARCHIVED 2025) Metal Panels - Steel / Petersen Aluminum Corp / PAC-CLAD / 24 gauge</v>
      </c>
      <c r="B223" s="50" t="s">
        <v>4306</v>
      </c>
      <c r="C223" s="50" t="s">
        <v>476</v>
      </c>
      <c r="D223" s="50" t="s">
        <v>477</v>
      </c>
      <c r="E223" s="50" t="s">
        <v>482</v>
      </c>
      <c r="H223" s="50"/>
      <c r="I223" s="50" t="s">
        <v>129</v>
      </c>
      <c r="J223" s="50"/>
      <c r="K223" s="50">
        <v>3492.7</v>
      </c>
      <c r="L223" s="50" t="s">
        <v>846</v>
      </c>
      <c r="M223" s="71">
        <f>(K223/92.9)</f>
        <v>37.596340150699675</v>
      </c>
      <c r="N223" s="50" t="s">
        <v>5</v>
      </c>
      <c r="O223" s="53" t="s">
        <v>495</v>
      </c>
      <c r="P223" s="53" t="s">
        <v>143</v>
      </c>
      <c r="Q223" s="367">
        <v>2020</v>
      </c>
      <c r="R223" s="53">
        <v>4.67</v>
      </c>
      <c r="S223" s="53" t="s">
        <v>141</v>
      </c>
      <c r="AA223" s="78">
        <f t="shared" si="24"/>
        <v>0</v>
      </c>
      <c r="AG223" s="82"/>
      <c r="AN223" s="53">
        <v>145</v>
      </c>
      <c r="AR223" s="264" t="str">
        <f ca="1">IF(LEN(Q223)=4,IF(Q223&lt;YEAR(NOW()),_xlfn.CONCAT(IF(LOWER(Setting!rng_language)="english","Expired ","Expiré "),Q223),""),"")</f>
        <v>Expired 2020</v>
      </c>
      <c r="AT223" s="53" t="b">
        <f>ISNUMBER(MATCH(IF(LEN('USER INPUT SHEET'!rng_province)&gt;0,'USER INPUT SHEET'!rng_province,"Canada"),$AU223:$BD223,0))</f>
        <v>0</v>
      </c>
      <c r="AU223" s="1286"/>
      <c r="AV223" s="1286"/>
      <c r="AW223" s="1286"/>
      <c r="AX223" s="1286"/>
      <c r="AY223" s="1286"/>
      <c r="AZ223" s="1286"/>
      <c r="BA223" s="1286"/>
      <c r="BB223" s="1286"/>
      <c r="BC223" s="1286"/>
      <c r="BD223" s="1286"/>
    </row>
    <row r="224" spans="1:56" ht="15.75" customHeight="1" x14ac:dyDescent="0.3">
      <c r="A224" s="50" t="str">
        <f t="shared" si="27"/>
        <v>Metal Panels - Steel / Petersen Aluminum Corp / Pac-Clad, all profiles / 24 gauge</v>
      </c>
      <c r="B224" s="50" t="s">
        <v>479</v>
      </c>
      <c r="C224" s="50" t="s">
        <v>476</v>
      </c>
      <c r="D224" s="50" t="s">
        <v>4329</v>
      </c>
      <c r="E224" s="50" t="s">
        <v>482</v>
      </c>
      <c r="H224" s="50"/>
      <c r="I224" s="50" t="s">
        <v>3500</v>
      </c>
      <c r="J224" s="401">
        <v>45327</v>
      </c>
      <c r="K224" s="50">
        <v>1580</v>
      </c>
      <c r="L224" s="50" t="s">
        <v>848</v>
      </c>
      <c r="M224" s="70">
        <v>15.8</v>
      </c>
      <c r="N224" s="50" t="s">
        <v>3501</v>
      </c>
      <c r="O224" s="53" t="s">
        <v>4331</v>
      </c>
      <c r="P224" s="53" t="s">
        <v>3502</v>
      </c>
      <c r="Q224" s="367">
        <v>2025</v>
      </c>
      <c r="R224" s="53">
        <v>2.0699999999999998</v>
      </c>
      <c r="S224" s="53" t="s">
        <v>141</v>
      </c>
      <c r="T224" s="53">
        <v>207</v>
      </c>
      <c r="U224" s="53" t="s">
        <v>4332</v>
      </c>
      <c r="AA224" s="78">
        <f t="shared" si="24"/>
        <v>0</v>
      </c>
      <c r="AG224" s="81"/>
      <c r="AN224" s="53" t="s">
        <v>3987</v>
      </c>
      <c r="AT224" s="53" t="b">
        <f>ISNUMBER(MATCH(IF(LEN('USER INPUT SHEET'!rng_province)&gt;0,'USER INPUT SHEET'!rng_province,"Canada"),$AU224:$BD224,0))</f>
        <v>0</v>
      </c>
      <c r="AU224" s="1286"/>
      <c r="AV224" s="1286"/>
      <c r="AW224" s="1286"/>
      <c r="AX224" s="1286"/>
      <c r="AY224" s="1286"/>
      <c r="AZ224" s="1286"/>
      <c r="BA224" s="1286"/>
      <c r="BB224" s="1286"/>
      <c r="BC224" s="1286"/>
      <c r="BD224" s="1286"/>
    </row>
    <row r="225" spans="1:56" ht="15.75" customHeight="1" x14ac:dyDescent="0.3">
      <c r="A225" s="50" t="str">
        <f t="shared" si="27"/>
        <v>MgO board 1/2" / North American MgO / MagTech Ultra / 1/2"</v>
      </c>
      <c r="B225" s="50" t="s">
        <v>496</v>
      </c>
      <c r="C225" s="50" t="s">
        <v>497</v>
      </c>
      <c r="D225" s="50" t="s">
        <v>498</v>
      </c>
      <c r="E225" s="50" t="s">
        <v>407</v>
      </c>
      <c r="H225" s="50"/>
      <c r="I225" s="50" t="s">
        <v>129</v>
      </c>
      <c r="J225" s="50"/>
      <c r="K225" s="50">
        <v>7.4</v>
      </c>
      <c r="L225" s="50" t="s">
        <v>5</v>
      </c>
      <c r="M225" s="71">
        <f>(7.4)</f>
        <v>7.4</v>
      </c>
      <c r="N225" s="50" t="s">
        <v>5</v>
      </c>
      <c r="O225" s="53" t="s">
        <v>499</v>
      </c>
      <c r="P225" s="53" t="s">
        <v>415</v>
      </c>
      <c r="Q225" s="367">
        <v>2023</v>
      </c>
      <c r="R225" s="53">
        <v>1000</v>
      </c>
      <c r="S225" s="53" t="s">
        <v>121</v>
      </c>
      <c r="AA225" s="78">
        <f t="shared" si="24"/>
        <v>0</v>
      </c>
      <c r="AG225" s="82"/>
      <c r="AN225" s="53">
        <v>146</v>
      </c>
      <c r="AR225" s="264" t="str">
        <f ca="1">IF(LEN(Q225)=4,IF(Q225&lt;YEAR(NOW()),_xlfn.CONCAT(IF(LOWER(Setting!rng_language)="english","Expired ","Expiré "),Q225),""),"")</f>
        <v>Expired 2023</v>
      </c>
      <c r="AT225" s="53" t="b">
        <f>ISNUMBER(MATCH(IF(LEN('USER INPUT SHEET'!rng_province)&gt;0,'USER INPUT SHEET'!rng_province,"Canada"),$AU225:$BD225,0))</f>
        <v>0</v>
      </c>
      <c r="AU225" s="1286"/>
      <c r="AV225" s="1286"/>
      <c r="AW225" s="1286"/>
      <c r="AX225" s="1286"/>
      <c r="AY225" s="1286"/>
      <c r="AZ225" s="1286"/>
      <c r="BA225" s="1286"/>
      <c r="BB225" s="1286"/>
      <c r="BC225" s="1286"/>
      <c r="BD225" s="1286"/>
    </row>
    <row r="226" spans="1:56" ht="15.75" customHeight="1" x14ac:dyDescent="0.3">
      <c r="A226" s="50" t="str">
        <f t="shared" si="27"/>
        <v>(ARCHIVED 2025) Mineral wool batt / Owens Corning / Thermafiber UltraBatt / R 4.3/inch</v>
      </c>
      <c r="B226" s="50" t="s">
        <v>4345</v>
      </c>
      <c r="C226" s="50" t="s">
        <v>159</v>
      </c>
      <c r="D226" s="50" t="s">
        <v>501</v>
      </c>
      <c r="E226" s="50" t="s">
        <v>502</v>
      </c>
      <c r="H226" s="50"/>
      <c r="I226" s="50" t="s">
        <v>124</v>
      </c>
      <c r="J226" s="50"/>
      <c r="K226" s="50">
        <v>4</v>
      </c>
      <c r="L226" s="50" t="s">
        <v>825</v>
      </c>
      <c r="M226" s="71">
        <f>(4)</f>
        <v>4</v>
      </c>
      <c r="N226" s="50" t="s">
        <v>825</v>
      </c>
      <c r="O226" s="53" t="s">
        <v>503</v>
      </c>
      <c r="P226" s="53" t="s">
        <v>143</v>
      </c>
      <c r="Q226" s="367">
        <v>2024</v>
      </c>
      <c r="R226" s="53">
        <v>64</v>
      </c>
      <c r="S226" s="53" t="s">
        <v>121</v>
      </c>
      <c r="V226" s="53">
        <v>4.3</v>
      </c>
      <c r="W226" s="61">
        <f>5.678*0.0254/V226</f>
        <v>3.3539813953488373E-2</v>
      </c>
      <c r="X226" s="53" t="s">
        <v>136</v>
      </c>
      <c r="AA226" s="78">
        <f t="shared" si="24"/>
        <v>0</v>
      </c>
      <c r="AG226" s="82"/>
      <c r="AN226" s="53">
        <v>147</v>
      </c>
      <c r="AR226" s="264" t="str">
        <f ca="1">IF(LEN(Q226)=4,IF(Q226&lt;YEAR(NOW()),_xlfn.CONCAT(IF(LOWER(Setting!rng_language)="english","Expired ","Expiré "),Q226),""),"")</f>
        <v>Expired 2024</v>
      </c>
      <c r="AT226" s="53" t="b">
        <f>ISNUMBER(MATCH(IF(LEN('USER INPUT SHEET'!rng_province)&gt;0,'USER INPUT SHEET'!rng_province,"Canada"),$AU226:$BD226,0))</f>
        <v>0</v>
      </c>
      <c r="AU226" s="1286"/>
      <c r="AV226" s="1286"/>
      <c r="AW226" s="1286"/>
      <c r="AX226" s="1286"/>
      <c r="AY226" s="1286"/>
      <c r="AZ226" s="1286"/>
      <c r="BA226" s="1286"/>
      <c r="BB226" s="1286"/>
      <c r="BC226" s="1286"/>
      <c r="BD226" s="1286"/>
    </row>
    <row r="227" spans="1:56" ht="15.75" customHeight="1" x14ac:dyDescent="0.3">
      <c r="A227" s="50" t="str">
        <f t="shared" si="27"/>
        <v>(ARCHIVED 2025) Mineral wool batt / Rockwool / Safe'n'Sound, ComfortBatt / R 3.8/inch</v>
      </c>
      <c r="B227" s="50" t="s">
        <v>4345</v>
      </c>
      <c r="C227" s="50" t="s">
        <v>504</v>
      </c>
      <c r="D227" s="50" t="s">
        <v>505</v>
      </c>
      <c r="E227" s="50" t="s">
        <v>506</v>
      </c>
      <c r="H227" s="50"/>
      <c r="I227" s="50" t="s">
        <v>124</v>
      </c>
      <c r="J227" s="50"/>
      <c r="K227" s="50">
        <v>1.31</v>
      </c>
      <c r="L227" s="50" t="s">
        <v>825</v>
      </c>
      <c r="M227" s="71">
        <f>(1.31)</f>
        <v>1.31</v>
      </c>
      <c r="N227" s="50" t="s">
        <v>825</v>
      </c>
      <c r="O227" s="53" t="s">
        <v>507</v>
      </c>
      <c r="P227" s="53" t="s">
        <v>143</v>
      </c>
      <c r="Q227" s="367">
        <v>2024</v>
      </c>
      <c r="R227" s="53">
        <v>32</v>
      </c>
      <c r="S227" s="53" t="s">
        <v>121</v>
      </c>
      <c r="V227" s="53">
        <v>3.8</v>
      </c>
      <c r="W227" s="61">
        <f>5.678*0.0254/V227</f>
        <v>3.7952947368421051E-2</v>
      </c>
      <c r="X227" s="53" t="s">
        <v>136</v>
      </c>
      <c r="AA227" s="78">
        <f t="shared" si="24"/>
        <v>0</v>
      </c>
      <c r="AG227" s="82"/>
      <c r="AN227" s="53">
        <v>148</v>
      </c>
      <c r="AR227" s="264" t="str">
        <f ca="1">IF(LEN(Q227)=4,IF(Q227&lt;YEAR(NOW()),_xlfn.CONCAT(IF(LOWER(Setting!rng_language)="english","Expired ","Expiré "),Q227),""),"")</f>
        <v>Expired 2024</v>
      </c>
      <c r="AT227" s="53" t="b">
        <f>ISNUMBER(MATCH(IF(LEN('USER INPUT SHEET'!rng_province)&gt;0,'USER INPUT SHEET'!rng_province,"Canada"),$AU227:$BD227,0))</f>
        <v>0</v>
      </c>
      <c r="AU227" s="1286"/>
      <c r="AV227" s="1286"/>
      <c r="AW227" s="1286"/>
      <c r="AX227" s="1286"/>
      <c r="AY227" s="1286"/>
      <c r="AZ227" s="1286"/>
      <c r="BA227" s="1286"/>
      <c r="BB227" s="1286"/>
      <c r="BC227" s="1286"/>
      <c r="BD227" s="1286"/>
    </row>
    <row r="228" spans="1:56" ht="15.75" customHeight="1" x14ac:dyDescent="0.3">
      <c r="A228" s="50" t="str">
        <f>B228&amp;" / "&amp;C228&amp;" / "&amp;E228</f>
        <v>(ARCHIVED 2025) Mineral wool board - heavy density / NAIMA / R 4.2/inch</v>
      </c>
      <c r="B228" s="50" t="s">
        <v>4346</v>
      </c>
      <c r="C228" s="50" t="s">
        <v>3305</v>
      </c>
      <c r="D228" s="50" t="s">
        <v>510</v>
      </c>
      <c r="E228" s="50" t="s">
        <v>511</v>
      </c>
      <c r="H228" s="50"/>
      <c r="I228" s="50" t="s">
        <v>124</v>
      </c>
      <c r="J228" s="50"/>
      <c r="K228" s="50">
        <v>8.16</v>
      </c>
      <c r="L228" s="50" t="s">
        <v>825</v>
      </c>
      <c r="M228" s="71">
        <f>(8.16)</f>
        <v>8.16</v>
      </c>
      <c r="N228" s="50" t="s">
        <v>825</v>
      </c>
      <c r="O228" s="53" t="s">
        <v>512</v>
      </c>
      <c r="P228" s="53" t="s">
        <v>143</v>
      </c>
      <c r="Q228" s="367">
        <v>2023</v>
      </c>
      <c r="R228" s="53">
        <v>123.5</v>
      </c>
      <c r="S228" s="53" t="s">
        <v>121</v>
      </c>
      <c r="V228" s="53">
        <v>4.2</v>
      </c>
      <c r="W228" s="61">
        <f>5.678*0.0254/V228</f>
        <v>3.4338380952380947E-2</v>
      </c>
      <c r="X228" s="53" t="s">
        <v>136</v>
      </c>
      <c r="AA228" s="78">
        <f t="shared" si="24"/>
        <v>0</v>
      </c>
      <c r="AG228" s="82"/>
      <c r="AN228" s="53">
        <v>149</v>
      </c>
      <c r="AR228" s="264" t="str">
        <f ca="1">IF(LEN(Q228)=4,IF(Q228&lt;YEAR(NOW()),_xlfn.CONCAT(IF(LOWER(Setting!rng_language)="english","Expired ","Expiré "),Q228),""),"")</f>
        <v>Expired 2023</v>
      </c>
      <c r="AT228" s="53" t="b">
        <f>ISNUMBER(MATCH(IF(LEN('USER INPUT SHEET'!rng_province)&gt;0,'USER INPUT SHEET'!rng_province,"Canada"),$AU228:$BD228,0))</f>
        <v>0</v>
      </c>
      <c r="AU228" s="1286"/>
      <c r="AV228" s="1286"/>
      <c r="AW228" s="1286"/>
      <c r="AX228" s="1286"/>
      <c r="AY228" s="1286"/>
      <c r="AZ228" s="1286"/>
      <c r="BA228" s="1286"/>
      <c r="BB228" s="1286"/>
      <c r="BC228" s="1286"/>
      <c r="BD228" s="1286"/>
    </row>
    <row r="229" spans="1:56" ht="15.75" customHeight="1" x14ac:dyDescent="0.3">
      <c r="A229" s="50" t="str">
        <f t="shared" ref="A229" si="28">B229&amp;" / "&amp;C229&amp;" / "&amp;D229&amp;" / "&amp;E229</f>
        <v>Mineral wool board - heavy density / NAIMA / Owens Corning, Johns Manville, Rolan / R 4.4/inch</v>
      </c>
      <c r="B229" s="50" t="s">
        <v>508</v>
      </c>
      <c r="C229" s="50" t="s">
        <v>3305</v>
      </c>
      <c r="D229" s="50" t="s">
        <v>4350</v>
      </c>
      <c r="E229" s="50" t="s">
        <v>738</v>
      </c>
      <c r="H229" s="50" t="s">
        <v>4351</v>
      </c>
      <c r="I229" s="50" t="s">
        <v>4352</v>
      </c>
      <c r="J229" s="401">
        <v>45323</v>
      </c>
      <c r="K229" s="50">
        <v>6.82</v>
      </c>
      <c r="L229" s="50" t="s">
        <v>3516</v>
      </c>
      <c r="M229" s="70">
        <v>6.82</v>
      </c>
      <c r="N229" s="50" t="s">
        <v>3516</v>
      </c>
      <c r="O229" s="53" t="s">
        <v>4353</v>
      </c>
      <c r="P229" s="53" t="s">
        <v>4125</v>
      </c>
      <c r="Q229" s="367">
        <v>2028</v>
      </c>
      <c r="R229" s="53">
        <v>99.9</v>
      </c>
      <c r="S229" s="53" t="s">
        <v>121</v>
      </c>
      <c r="V229" s="53">
        <v>4.4000000000000004</v>
      </c>
      <c r="W229" s="61">
        <v>3.2777545454545448E-2</v>
      </c>
      <c r="AA229" s="78">
        <f t="shared" si="24"/>
        <v>0</v>
      </c>
      <c r="AG229" s="81"/>
      <c r="AN229" s="53" t="s">
        <v>4377</v>
      </c>
      <c r="AT229" s="53" t="b">
        <f>ISNUMBER(MATCH(IF(LEN('USER INPUT SHEET'!rng_province)&gt;0,'USER INPUT SHEET'!rng_province,"Canada"),$AU229:$BD229,0))</f>
        <v>0</v>
      </c>
      <c r="AU229" s="1286"/>
      <c r="AV229" s="1286"/>
      <c r="AW229" s="1286"/>
      <c r="AX229" s="1286"/>
      <c r="AY229" s="1286"/>
      <c r="AZ229" s="1286"/>
      <c r="BA229" s="1286"/>
      <c r="BB229" s="1286"/>
      <c r="BC229" s="1286"/>
      <c r="BD229" s="1286"/>
    </row>
    <row r="230" spans="1:56" ht="15.75" customHeight="1" x14ac:dyDescent="0.3">
      <c r="A230" s="50" t="str">
        <f t="shared" si="27"/>
        <v>(ARCHIVED 2025) Mineral wool board / Rockwool / Rockboard 60 / R 4.3/inch</v>
      </c>
      <c r="B230" s="50" t="s">
        <v>4347</v>
      </c>
      <c r="C230" s="50" t="s">
        <v>504</v>
      </c>
      <c r="D230" s="50" t="s">
        <v>513</v>
      </c>
      <c r="E230" s="50" t="s">
        <v>502</v>
      </c>
      <c r="H230" s="50"/>
      <c r="I230" s="50" t="s">
        <v>124</v>
      </c>
      <c r="J230" s="50"/>
      <c r="K230" s="50">
        <v>2.88</v>
      </c>
      <c r="L230" s="50" t="s">
        <v>825</v>
      </c>
      <c r="M230" s="72">
        <f>(2.88)</f>
        <v>2.88</v>
      </c>
      <c r="N230" s="50" t="s">
        <v>825</v>
      </c>
      <c r="O230" s="53" t="s">
        <v>514</v>
      </c>
      <c r="P230" s="53" t="s">
        <v>143</v>
      </c>
      <c r="Q230" s="367">
        <v>2024</v>
      </c>
      <c r="R230" s="53">
        <v>96</v>
      </c>
      <c r="S230" s="53" t="s">
        <v>121</v>
      </c>
      <c r="V230" s="53">
        <v>4.3</v>
      </c>
      <c r="W230" s="61">
        <f>5.678*0.0254/V230</f>
        <v>3.3539813953488373E-2</v>
      </c>
      <c r="X230" s="53" t="s">
        <v>136</v>
      </c>
      <c r="AA230" s="78">
        <f t="shared" si="24"/>
        <v>0</v>
      </c>
      <c r="AG230" s="83"/>
      <c r="AN230" s="53">
        <v>150</v>
      </c>
      <c r="AR230" s="264" t="str">
        <f ca="1">IF(LEN(Q230)=4,IF(Q230&lt;YEAR(NOW()),_xlfn.CONCAT(IF(LOWER(Setting!rng_language)="english","Expired ","Expiré "),Q230),""),"")</f>
        <v>Expired 2024</v>
      </c>
      <c r="AT230" s="53" t="b">
        <f>ISNUMBER(MATCH(IF(LEN('USER INPUT SHEET'!rng_province)&gt;0,'USER INPUT SHEET'!rng_province,"Canada"),$AU230:$BD230,0))</f>
        <v>0</v>
      </c>
      <c r="AU230" s="1286"/>
      <c r="AV230" s="1286"/>
      <c r="AW230" s="1286"/>
      <c r="AX230" s="1286"/>
      <c r="AY230" s="1286"/>
      <c r="AZ230" s="1286"/>
      <c r="BA230" s="1286"/>
      <c r="BB230" s="1286"/>
      <c r="BC230" s="1286"/>
      <c r="BD230" s="1286"/>
    </row>
    <row r="231" spans="1:56" ht="15.75" customHeight="1" x14ac:dyDescent="0.3">
      <c r="A231" s="50" t="str">
        <f>B231&amp;" / "&amp;C231&amp;" / "&amp;E231</f>
        <v>(ARCHIVED 2025) Mineral wool board - light density / NAIMA / R 3.7/inch</v>
      </c>
      <c r="B231" s="50" t="s">
        <v>4348</v>
      </c>
      <c r="C231" s="50" t="s">
        <v>3305</v>
      </c>
      <c r="D231" s="50" t="s">
        <v>510</v>
      </c>
      <c r="E231" s="50" t="s">
        <v>210</v>
      </c>
      <c r="H231" s="50"/>
      <c r="I231" s="50" t="s">
        <v>124</v>
      </c>
      <c r="J231" s="50"/>
      <c r="K231" s="50">
        <v>3.33</v>
      </c>
      <c r="L231" s="50" t="s">
        <v>825</v>
      </c>
      <c r="M231" s="71">
        <f>(3.33)</f>
        <v>3.33</v>
      </c>
      <c r="N231" s="50" t="s">
        <v>825</v>
      </c>
      <c r="O231" s="53" t="s">
        <v>516</v>
      </c>
      <c r="P231" s="53" t="s">
        <v>143</v>
      </c>
      <c r="Q231" s="367">
        <v>2023</v>
      </c>
      <c r="R231" s="53">
        <v>44.1</v>
      </c>
      <c r="S231" s="53" t="s">
        <v>121</v>
      </c>
      <c r="V231" s="53">
        <v>3.7</v>
      </c>
      <c r="W231" s="61">
        <f>5.678*0.0254/V231</f>
        <v>3.8978702702702699E-2</v>
      </c>
      <c r="X231" s="53" t="s">
        <v>136</v>
      </c>
      <c r="AA231" s="78">
        <f t="shared" si="24"/>
        <v>0</v>
      </c>
      <c r="AG231" s="82"/>
      <c r="AN231" s="53">
        <v>151</v>
      </c>
      <c r="AR231" s="264" t="str">
        <f ca="1">IF(LEN(Q231)=4,IF(Q231&lt;YEAR(NOW()),_xlfn.CONCAT(IF(LOWER(Setting!rng_language)="english","Expired ","Expiré "),Q231),""),"")</f>
        <v>Expired 2023</v>
      </c>
      <c r="AT231" s="53" t="b">
        <f>ISNUMBER(MATCH(IF(LEN('USER INPUT SHEET'!rng_province)&gt;0,'USER INPUT SHEET'!rng_province,"Canada"),$AU231:$BD231,0))</f>
        <v>0</v>
      </c>
      <c r="AU231" s="1286"/>
      <c r="AV231" s="1286"/>
      <c r="AW231" s="1286"/>
      <c r="AX231" s="1286"/>
      <c r="AY231" s="1286"/>
      <c r="AZ231" s="1286"/>
      <c r="BA231" s="1286"/>
      <c r="BB231" s="1286"/>
      <c r="BC231" s="1286"/>
      <c r="BD231" s="1286"/>
    </row>
    <row r="232" spans="1:56" ht="15.75" customHeight="1" x14ac:dyDescent="0.3">
      <c r="A232" s="50" t="str">
        <f t="shared" ref="A232" si="29">B232&amp;" / "&amp;C232&amp;" / "&amp;D232&amp;" / "&amp;E232</f>
        <v>Mineral wool board - light density / NAIMA / Owens Corning, Johns Manville, Rolan / R 3.9/inch</v>
      </c>
      <c r="B232" s="50" t="s">
        <v>515</v>
      </c>
      <c r="C232" s="50" t="s">
        <v>3305</v>
      </c>
      <c r="D232" s="50" t="s">
        <v>4350</v>
      </c>
      <c r="E232" s="50" t="s">
        <v>287</v>
      </c>
      <c r="H232" s="50" t="s">
        <v>4354</v>
      </c>
      <c r="I232" s="50" t="s">
        <v>4352</v>
      </c>
      <c r="J232" s="401">
        <v>45323</v>
      </c>
      <c r="K232" s="50">
        <v>2.68</v>
      </c>
      <c r="L232" s="50" t="s">
        <v>3516</v>
      </c>
      <c r="M232" s="70">
        <v>2.68</v>
      </c>
      <c r="N232" s="50" t="s">
        <v>3516</v>
      </c>
      <c r="O232" s="53" t="s">
        <v>4355</v>
      </c>
      <c r="P232" s="53" t="s">
        <v>4125</v>
      </c>
      <c r="Q232" s="367">
        <v>2028</v>
      </c>
      <c r="R232" s="53">
        <v>38.299999999999997</v>
      </c>
      <c r="S232" s="53" t="s">
        <v>121</v>
      </c>
      <c r="V232" s="53">
        <v>3.9</v>
      </c>
      <c r="W232" s="61">
        <v>3.6979794871794869E-2</v>
      </c>
      <c r="AA232" s="78">
        <f t="shared" si="24"/>
        <v>0</v>
      </c>
      <c r="AG232" s="81"/>
      <c r="AN232" s="53" t="s">
        <v>2178</v>
      </c>
      <c r="AT232" s="53" t="b">
        <f>ISNUMBER(MATCH(IF(LEN('USER INPUT SHEET'!rng_province)&gt;0,'USER INPUT SHEET'!rng_province,"Canada"),$AU232:$BD232,0))</f>
        <v>0</v>
      </c>
      <c r="AU232" s="1286"/>
      <c r="AV232" s="1286"/>
      <c r="AW232" s="1286"/>
      <c r="AX232" s="1286"/>
      <c r="AY232" s="1286"/>
      <c r="AZ232" s="1286"/>
      <c r="BA232" s="1286"/>
      <c r="BB232" s="1286"/>
      <c r="BC232" s="1286"/>
      <c r="BD232" s="1286"/>
    </row>
    <row r="233" spans="1:56" ht="15.75" customHeight="1" x14ac:dyDescent="0.3">
      <c r="A233" s="50" t="str">
        <f>B233&amp;" / "&amp;C233&amp;" / "&amp;E233</f>
        <v>(ARCHIVED 2025) Mineral wool loose fill / NAIMA / R 3/inch</v>
      </c>
      <c r="B233" s="50" t="s">
        <v>4349</v>
      </c>
      <c r="C233" s="50" t="s">
        <v>3305</v>
      </c>
      <c r="D233" s="50" t="s">
        <v>510</v>
      </c>
      <c r="E233" s="50" t="s">
        <v>518</v>
      </c>
      <c r="H233" s="50"/>
      <c r="I233" s="50" t="s">
        <v>124</v>
      </c>
      <c r="J233" s="50"/>
      <c r="K233" s="50">
        <v>1.56</v>
      </c>
      <c r="L233" s="50" t="s">
        <v>825</v>
      </c>
      <c r="M233" s="71">
        <f>(1.56)</f>
        <v>1.56</v>
      </c>
      <c r="N233" s="50" t="s">
        <v>825</v>
      </c>
      <c r="O233" s="53" t="s">
        <v>519</v>
      </c>
      <c r="P233" s="53" t="s">
        <v>143</v>
      </c>
      <c r="Q233" s="367">
        <v>2023</v>
      </c>
      <c r="R233" s="53">
        <v>23.1</v>
      </c>
      <c r="S233" s="53" t="s">
        <v>121</v>
      </c>
      <c r="V233" s="53">
        <v>3</v>
      </c>
      <c r="AA233" s="78">
        <f t="shared" si="24"/>
        <v>0</v>
      </c>
      <c r="AG233" s="82"/>
      <c r="AN233" s="53">
        <v>152</v>
      </c>
      <c r="AR233" s="264" t="str">
        <f ca="1">IF(LEN(Q233)=4,IF(Q233&lt;YEAR(NOW()),_xlfn.CONCAT(IF(LOWER(Setting!rng_language)="english","Expired ","Expiré "),Q233),""),"")</f>
        <v>Expired 2023</v>
      </c>
      <c r="AT233" s="53" t="b">
        <f>ISNUMBER(MATCH(IF(LEN('USER INPUT SHEET'!rng_province)&gt;0,'USER INPUT SHEET'!rng_province,"Canada"),$AU233:$BD233,0))</f>
        <v>0</v>
      </c>
      <c r="AU233" s="1286"/>
      <c r="AV233" s="1286"/>
      <c r="AW233" s="1286"/>
      <c r="AX233" s="1286"/>
      <c r="AY233" s="1286"/>
      <c r="AZ233" s="1286"/>
      <c r="BA233" s="1286"/>
      <c r="BB233" s="1286"/>
      <c r="BC233" s="1286"/>
      <c r="BD233" s="1286"/>
    </row>
    <row r="234" spans="1:56" ht="15.75" customHeight="1" x14ac:dyDescent="0.3">
      <c r="A234" s="50" t="str">
        <f t="shared" ref="A234" si="30">B234&amp;" / "&amp;C234&amp;" / "&amp;D234&amp;" / "&amp;E234</f>
        <v>Mineral wool loose fill / NAIMA / USG, American Rockwool  / R 3/inch</v>
      </c>
      <c r="B234" s="50" t="s">
        <v>517</v>
      </c>
      <c r="C234" s="50" t="s">
        <v>3305</v>
      </c>
      <c r="D234" s="50" t="s">
        <v>4356</v>
      </c>
      <c r="E234" s="50" t="s">
        <v>518</v>
      </c>
      <c r="H234" s="50" t="s">
        <v>4357</v>
      </c>
      <c r="I234" s="50" t="s">
        <v>4352</v>
      </c>
      <c r="J234" s="401">
        <v>45323</v>
      </c>
      <c r="K234" s="50">
        <v>1.89</v>
      </c>
      <c r="L234" s="50" t="s">
        <v>3516</v>
      </c>
      <c r="M234" s="70">
        <v>1.89</v>
      </c>
      <c r="N234" s="50" t="s">
        <v>3516</v>
      </c>
      <c r="O234" s="53" t="s">
        <v>4358</v>
      </c>
      <c r="P234" s="53" t="s">
        <v>4125</v>
      </c>
      <c r="Q234" s="367">
        <v>2028</v>
      </c>
      <c r="R234" s="53">
        <v>32.1</v>
      </c>
      <c r="S234" s="53" t="s">
        <v>121</v>
      </c>
      <c r="V234" s="53">
        <v>3</v>
      </c>
      <c r="W234" s="53">
        <v>4.8073733333333334E-2</v>
      </c>
      <c r="AA234" s="78">
        <f t="shared" si="24"/>
        <v>0</v>
      </c>
      <c r="AG234" s="81"/>
      <c r="AN234" s="53" t="s">
        <v>4378</v>
      </c>
      <c r="AT234" s="53" t="b">
        <f>ISNUMBER(MATCH(IF(LEN('USER INPUT SHEET'!rng_province)&gt;0,'USER INPUT SHEET'!rng_province,"Canada"),$AU234:$BD234,0))</f>
        <v>0</v>
      </c>
      <c r="AU234" s="1286"/>
      <c r="AV234" s="1286"/>
      <c r="AW234" s="1286"/>
      <c r="AX234" s="1286"/>
      <c r="AY234" s="1286"/>
      <c r="AZ234" s="1286"/>
      <c r="BA234" s="1286"/>
      <c r="BB234" s="1286"/>
      <c r="BC234" s="1286"/>
      <c r="BD234" s="1286"/>
    </row>
    <row r="235" spans="1:56" ht="15.75" customHeight="1" x14ac:dyDescent="0.3">
      <c r="A235" s="50" t="str">
        <f t="shared" si="27"/>
        <v>Mycelium board / Ecovative / Mycofoam / R 3.7/inch</v>
      </c>
      <c r="B235" s="50" t="s">
        <v>520</v>
      </c>
      <c r="C235" s="50" t="s">
        <v>3267</v>
      </c>
      <c r="D235" s="50" t="s">
        <v>521</v>
      </c>
      <c r="E235" s="50" t="s">
        <v>210</v>
      </c>
      <c r="H235" s="50"/>
      <c r="I235" s="50" t="s">
        <v>129</v>
      </c>
      <c r="J235" s="50"/>
      <c r="K235" s="51">
        <v>275.38</v>
      </c>
      <c r="L235" s="51" t="s">
        <v>3</v>
      </c>
      <c r="M235" s="71">
        <f>(K235*W235)</f>
        <v>10.73982</v>
      </c>
      <c r="N235" s="51" t="s">
        <v>852</v>
      </c>
      <c r="O235" s="51" t="s">
        <v>522</v>
      </c>
      <c r="Q235" s="367" t="s">
        <v>1772</v>
      </c>
      <c r="R235" s="53">
        <v>121</v>
      </c>
      <c r="S235" s="53" t="s">
        <v>121</v>
      </c>
      <c r="T235" s="53">
        <v>4.7190000000000003</v>
      </c>
      <c r="U235" s="53" t="s">
        <v>207</v>
      </c>
      <c r="V235" s="53">
        <f>1/W235*0.0254*5.678</f>
        <v>3.6979794871794871</v>
      </c>
      <c r="W235" s="53">
        <v>3.9E-2</v>
      </c>
      <c r="X235" s="53" t="s">
        <v>136</v>
      </c>
      <c r="Y235" s="53">
        <v>1</v>
      </c>
      <c r="Z235" s="53">
        <v>0.5</v>
      </c>
      <c r="AA235" s="82">
        <f>(T235*Y235*Z235*3.67)*rng_biogenic_storage</f>
        <v>7.793428500000001</v>
      </c>
      <c r="AG235" s="82"/>
      <c r="AN235" s="53">
        <v>153</v>
      </c>
      <c r="AR235" s="264" t="s">
        <v>1407</v>
      </c>
      <c r="AT235" s="53" t="b">
        <f>ISNUMBER(MATCH(IF(LEN('USER INPUT SHEET'!rng_province)&gt;0,'USER INPUT SHEET'!rng_province,"Canada"),$AU235:$BD235,0))</f>
        <v>0</v>
      </c>
      <c r="AU235" s="1286"/>
      <c r="AV235" s="1286"/>
      <c r="AW235" s="1286"/>
      <c r="AX235" s="1286"/>
      <c r="AY235" s="1286"/>
      <c r="AZ235" s="1286"/>
      <c r="BA235" s="1286"/>
      <c r="BB235" s="1286"/>
      <c r="BC235" s="1286"/>
      <c r="BD235" s="1286"/>
    </row>
    <row r="236" spans="1:56" ht="15.75" customHeight="1" x14ac:dyDescent="0.3">
      <c r="A236" s="50" t="str">
        <f>B236&amp;" / "&amp;C236&amp;" / "&amp;D236&amp;" / "&amp;E236</f>
        <v>(ARCHIVED 2026) OSB sheathing / American Wood Council &amp; Canadian Wood Council /  / 1/2"</v>
      </c>
      <c r="B236" s="50" t="s">
        <v>6796</v>
      </c>
      <c r="C236" s="50" t="s">
        <v>402</v>
      </c>
      <c r="D236" s="50"/>
      <c r="E236" s="50" t="s">
        <v>407</v>
      </c>
      <c r="H236" s="50" t="s">
        <v>1379</v>
      </c>
      <c r="I236" s="50" t="s">
        <v>124</v>
      </c>
      <c r="J236" s="50"/>
      <c r="K236" s="50">
        <v>242.58</v>
      </c>
      <c r="L236" s="50" t="s">
        <v>3</v>
      </c>
      <c r="M236" s="71">
        <f>(K236*0.0127)</f>
        <v>3.0807660000000001</v>
      </c>
      <c r="N236" s="53" t="s">
        <v>823</v>
      </c>
      <c r="O236" s="53" t="s">
        <v>524</v>
      </c>
      <c r="P236" s="53" t="s">
        <v>143</v>
      </c>
      <c r="Q236" s="367">
        <v>2025</v>
      </c>
      <c r="R236" s="53">
        <v>620</v>
      </c>
      <c r="S236" s="53" t="s">
        <v>121</v>
      </c>
      <c r="T236" s="53">
        <f>R236*0.0127</f>
        <v>7.8739999999999997</v>
      </c>
      <c r="U236" s="53" t="s">
        <v>525</v>
      </c>
      <c r="Y236" s="53">
        <v>0.95799999999999996</v>
      </c>
      <c r="Z236" s="53">
        <v>0.5</v>
      </c>
      <c r="AA236" s="78">
        <f t="shared" ref="AA236:AA244" si="31">_xlfn.NUMBERVALUE(IF(LEN(AG236)&gt;0,AG236,0))</f>
        <v>12.457746738000001</v>
      </c>
      <c r="AC236" s="53">
        <v>0.82499999999999996</v>
      </c>
      <c r="AD236" s="53">
        <f>T236*Y236*Z236</f>
        <v>3.7716459999999996</v>
      </c>
      <c r="AG236" s="82">
        <v>12.457746737999999</v>
      </c>
      <c r="AH236" s="53" t="s">
        <v>823</v>
      </c>
      <c r="AI236" s="165">
        <v>1.2699999999999999E-2</v>
      </c>
      <c r="AN236" s="53">
        <v>154</v>
      </c>
      <c r="AR236" s="264" t="str">
        <f ca="1">IF(LEN(Q236)=4,IF(Q236&lt;YEAR(NOW()),_xlfn.CONCAT(IF(LOWER(Setting!rng_language)="english","Expired ","Expiré "),Q236),""),"")</f>
        <v>Expired 2025</v>
      </c>
      <c r="AT236" s="53" t="b">
        <f>ISNUMBER(MATCH(IF(LEN('USER INPUT SHEET'!rng_province)&gt;0,'USER INPUT SHEET'!rng_province,"Canada"),$AU236:$BD236,0))</f>
        <v>0</v>
      </c>
      <c r="AU236" s="1286"/>
      <c r="AV236" s="1286"/>
      <c r="AW236" s="1286"/>
      <c r="AX236" s="1286"/>
      <c r="AY236" s="1286"/>
      <c r="AZ236" s="1286"/>
      <c r="BA236" s="1286"/>
      <c r="BB236" s="1286"/>
      <c r="BC236" s="1286"/>
      <c r="BD236" s="1286"/>
    </row>
    <row r="237" spans="1:56" ht="15.75" customHeight="1" x14ac:dyDescent="0.3">
      <c r="A237" s="50" t="str">
        <f t="shared" ref="A237:A238" si="32">B237&amp;" / "&amp;C237&amp;" / "&amp;D237&amp;" / "&amp;E237</f>
        <v>OSB sheathing / Canadian Wood Council -Eastern /  / 1/2"</v>
      </c>
      <c r="B237" s="50" t="s">
        <v>523</v>
      </c>
      <c r="C237" s="50" t="s">
        <v>6797</v>
      </c>
      <c r="D237" s="50"/>
      <c r="E237" s="50" t="s">
        <v>407</v>
      </c>
      <c r="H237" s="50"/>
      <c r="I237" s="50"/>
      <c r="J237" s="50"/>
      <c r="K237" s="50">
        <v>176</v>
      </c>
      <c r="L237" s="50" t="s">
        <v>3</v>
      </c>
      <c r="M237" s="70">
        <v>2.2351999999999999</v>
      </c>
      <c r="N237" s="53" t="s">
        <v>823</v>
      </c>
      <c r="O237" s="53" t="s">
        <v>6798</v>
      </c>
      <c r="P237" s="53" t="s">
        <v>3518</v>
      </c>
      <c r="Q237" s="426">
        <v>47518</v>
      </c>
      <c r="R237" s="53">
        <v>613</v>
      </c>
      <c r="S237" s="53" t="s">
        <v>121</v>
      </c>
      <c r="T237" s="53">
        <v>7.7850999999999999</v>
      </c>
      <c r="U237" s="53" t="s">
        <v>525</v>
      </c>
      <c r="AA237" s="78">
        <f t="shared" si="31"/>
        <v>17.8308</v>
      </c>
      <c r="AF237" s="53">
        <v>19.811999999999998</v>
      </c>
      <c r="AG237" s="81">
        <f>AF237*rng_biogenic_storage</f>
        <v>17.8308</v>
      </c>
      <c r="AK237" s="165">
        <v>1.2699999999999999E-2</v>
      </c>
      <c r="AN237" s="53" t="s">
        <v>6800</v>
      </c>
      <c r="AT237" s="53" t="b">
        <f>ISNUMBER(MATCH(IF(LEN('USER INPUT SHEET'!rng_province)&gt;0,'USER INPUT SHEET'!rng_province,"Canada"),$AU237:$BD237,0))</f>
        <v>0</v>
      </c>
      <c r="AU237" s="1286"/>
      <c r="AV237" s="1286"/>
      <c r="AW237" s="1286"/>
      <c r="AX237" s="1286"/>
      <c r="AY237" s="1286"/>
      <c r="AZ237" s="1286"/>
      <c r="BA237" s="1286"/>
      <c r="BB237" s="1286"/>
      <c r="BC237" s="1286"/>
      <c r="BD237" s="1286"/>
    </row>
    <row r="238" spans="1:56" ht="15.75" customHeight="1" x14ac:dyDescent="0.3">
      <c r="A238" s="50" t="str">
        <f t="shared" si="32"/>
        <v>OSB sheathing / Canadian Wood Council -Western /  / 1/2"</v>
      </c>
      <c r="B238" s="50" t="s">
        <v>523</v>
      </c>
      <c r="C238" s="50" t="s">
        <v>6799</v>
      </c>
      <c r="D238" s="50"/>
      <c r="E238" s="50" t="s">
        <v>407</v>
      </c>
      <c r="H238" s="50"/>
      <c r="I238" s="50"/>
      <c r="J238" s="50"/>
      <c r="K238" s="50">
        <v>203</v>
      </c>
      <c r="L238" s="50" t="s">
        <v>3</v>
      </c>
      <c r="M238" s="70">
        <v>2.5781000000000001</v>
      </c>
      <c r="N238" s="53" t="s">
        <v>823</v>
      </c>
      <c r="O238" s="53" t="s">
        <v>6798</v>
      </c>
      <c r="P238" s="53" t="s">
        <v>3518</v>
      </c>
      <c r="Q238" s="426">
        <v>47518</v>
      </c>
      <c r="R238" s="53">
        <v>613</v>
      </c>
      <c r="S238" s="53" t="s">
        <v>121</v>
      </c>
      <c r="T238" s="53">
        <v>7.7850999999999999</v>
      </c>
      <c r="U238" s="53" t="s">
        <v>525</v>
      </c>
      <c r="AA238" s="78">
        <f t="shared" si="31"/>
        <v>20.345400000000001</v>
      </c>
      <c r="AF238" s="53">
        <v>22.605999999999998</v>
      </c>
      <c r="AG238" s="81">
        <f>AF238*rng_biogenic_storage</f>
        <v>20.345399999999998</v>
      </c>
      <c r="AK238" s="165">
        <v>1.2699999999999999E-2</v>
      </c>
      <c r="AN238" s="53" t="s">
        <v>6801</v>
      </c>
      <c r="AT238" s="53" t="b">
        <f>ISNUMBER(MATCH(IF(LEN('USER INPUT SHEET'!rng_province)&gt;0,'USER INPUT SHEET'!rng_province,"Canada"),$AU238:$BD238,0))</f>
        <v>0</v>
      </c>
      <c r="AU238" s="1286"/>
      <c r="AV238" s="1286"/>
      <c r="AW238" s="1286"/>
      <c r="AX238" s="1286"/>
      <c r="AY238" s="1286"/>
      <c r="AZ238" s="1286"/>
      <c r="BA238" s="1286"/>
      <c r="BB238" s="1286"/>
      <c r="BC238" s="1286"/>
      <c r="BD238" s="1286"/>
    </row>
    <row r="239" spans="1:56" ht="15.75" customHeight="1" x14ac:dyDescent="0.3">
      <c r="A239" s="50" t="str">
        <f>B239&amp;" / "&amp;C239&amp;" / "&amp;D239&amp;" / "&amp;E239</f>
        <v>(ARCHIVED 2026) OSB sheathing / American Wood Council &amp; Canadian Wood Council /  / 5/8"</v>
      </c>
      <c r="B239" s="50" t="s">
        <v>6796</v>
      </c>
      <c r="C239" s="50" t="s">
        <v>402</v>
      </c>
      <c r="D239" s="50"/>
      <c r="E239" s="50" t="s">
        <v>338</v>
      </c>
      <c r="H239" s="50" t="s">
        <v>1379</v>
      </c>
      <c r="I239" s="50" t="s">
        <v>124</v>
      </c>
      <c r="J239" s="50"/>
      <c r="K239" s="50">
        <v>242.58</v>
      </c>
      <c r="L239" s="50" t="s">
        <v>3</v>
      </c>
      <c r="M239" s="71">
        <f>(K239*0.01588)</f>
        <v>3.8521703999999999</v>
      </c>
      <c r="N239" s="53" t="s">
        <v>944</v>
      </c>
      <c r="O239" s="53" t="s">
        <v>524</v>
      </c>
      <c r="P239" s="53" t="s">
        <v>143</v>
      </c>
      <c r="Q239" s="367">
        <v>2025</v>
      </c>
      <c r="R239" s="53">
        <v>620</v>
      </c>
      <c r="S239" s="53" t="s">
        <v>121</v>
      </c>
      <c r="T239" s="53">
        <f>R239*0.01588</f>
        <v>9.8455999999999992</v>
      </c>
      <c r="U239" s="53" t="s">
        <v>945</v>
      </c>
      <c r="Y239" s="53">
        <v>0.95799999999999996</v>
      </c>
      <c r="Z239" s="53">
        <v>0.5</v>
      </c>
      <c r="AA239" s="78">
        <f t="shared" si="31"/>
        <v>15.5770880472</v>
      </c>
      <c r="AC239" s="53">
        <v>0.82499999999999996</v>
      </c>
      <c r="AD239" s="53">
        <f>T239*Y239*Z239</f>
        <v>4.7160423999999992</v>
      </c>
      <c r="AG239" s="82">
        <v>15.577088047199997</v>
      </c>
      <c r="AH239" s="53" t="s">
        <v>944</v>
      </c>
      <c r="AI239" s="165">
        <v>1.5900000000000001E-2</v>
      </c>
      <c r="AN239" s="53">
        <v>155</v>
      </c>
      <c r="AR239" s="264" t="str">
        <f ca="1">IF(LEN(Q239)=4,IF(Q239&lt;YEAR(NOW()),_xlfn.CONCAT(IF(LOWER(Setting!rng_language)="english","Expired ","Expiré "),Q239),""),"")</f>
        <v>Expired 2025</v>
      </c>
      <c r="AT239" s="53" t="b">
        <f>ISNUMBER(MATCH(IF(LEN('USER INPUT SHEET'!rng_province)&gt;0,'USER INPUT SHEET'!rng_province,"Canada"),$AU239:$BD239,0))</f>
        <v>0</v>
      </c>
      <c r="AU239" s="1286"/>
      <c r="AV239" s="1286"/>
      <c r="AW239" s="1286"/>
      <c r="AX239" s="1286"/>
      <c r="AY239" s="1286"/>
      <c r="AZ239" s="1286"/>
      <c r="BA239" s="1286"/>
      <c r="BB239" s="1286"/>
      <c r="BC239" s="1286"/>
      <c r="BD239" s="1286"/>
    </row>
    <row r="240" spans="1:56" ht="15.75" customHeight="1" x14ac:dyDescent="0.3">
      <c r="A240" s="50" t="str">
        <f>B240&amp;" / "&amp;C240&amp;" / "&amp;D240&amp;" / "&amp;E240</f>
        <v>OSB sheathing / Canadian Wood Council -Eastern /  / 5/8"</v>
      </c>
      <c r="B240" s="50" t="s">
        <v>523</v>
      </c>
      <c r="C240" s="50" t="s">
        <v>6797</v>
      </c>
      <c r="D240" s="50"/>
      <c r="E240" s="50" t="s">
        <v>338</v>
      </c>
      <c r="H240" s="50"/>
      <c r="I240" s="50"/>
      <c r="J240" s="50"/>
      <c r="K240" s="50">
        <v>176</v>
      </c>
      <c r="L240" s="50" t="s">
        <v>3</v>
      </c>
      <c r="M240" s="70">
        <v>2.794</v>
      </c>
      <c r="N240" s="53" t="s">
        <v>6802</v>
      </c>
      <c r="O240" s="53" t="s">
        <v>6798</v>
      </c>
      <c r="P240" s="53" t="s">
        <v>3518</v>
      </c>
      <c r="Q240" s="426">
        <v>47518</v>
      </c>
      <c r="R240" s="53">
        <v>613</v>
      </c>
      <c r="S240" s="53" t="s">
        <v>121</v>
      </c>
      <c r="T240" s="53">
        <v>9.7313749999999999</v>
      </c>
      <c r="U240" s="53" t="s">
        <v>945</v>
      </c>
      <c r="AA240" s="78">
        <f t="shared" si="31"/>
        <v>22.288499999999999</v>
      </c>
      <c r="AF240" s="53">
        <v>24.765000000000001</v>
      </c>
      <c r="AG240" s="81">
        <f>AF240*rng_biogenic_storage</f>
        <v>22.288500000000003</v>
      </c>
      <c r="AK240" s="165">
        <v>1.5875E-2</v>
      </c>
      <c r="AN240" s="53" t="s">
        <v>6803</v>
      </c>
      <c r="AT240" s="53" t="b">
        <f>ISNUMBER(MATCH(IF(LEN('USER INPUT SHEET'!rng_province)&gt;0,'USER INPUT SHEET'!rng_province,"Canada"),$AU240:$BD240,0))</f>
        <v>0</v>
      </c>
      <c r="AU240" s="1286"/>
      <c r="AV240" s="1286"/>
      <c r="AW240" s="1286"/>
      <c r="AX240" s="1286"/>
      <c r="AY240" s="1286"/>
      <c r="AZ240" s="1286"/>
      <c r="BA240" s="1286"/>
      <c r="BB240" s="1286"/>
      <c r="BC240" s="1286"/>
      <c r="BD240" s="1286"/>
    </row>
    <row r="241" spans="1:56" ht="15.75" customHeight="1" x14ac:dyDescent="0.3">
      <c r="A241" s="50" t="str">
        <f>B241&amp;" / "&amp;C241&amp;" / "&amp;D241&amp;" / "&amp;E241</f>
        <v>OSB sheathing / Canadian Wood Council -Western /  / 5/8"</v>
      </c>
      <c r="B241" s="50" t="s">
        <v>523</v>
      </c>
      <c r="C241" s="50" t="s">
        <v>6799</v>
      </c>
      <c r="D241" s="50"/>
      <c r="E241" s="50" t="s">
        <v>338</v>
      </c>
      <c r="H241" s="50"/>
      <c r="I241" s="50"/>
      <c r="J241" s="50"/>
      <c r="K241" s="50">
        <v>203</v>
      </c>
      <c r="L241" s="50" t="s">
        <v>3</v>
      </c>
      <c r="M241" s="70">
        <v>3.2226249999999999</v>
      </c>
      <c r="N241" s="53" t="s">
        <v>6802</v>
      </c>
      <c r="O241" s="53" t="s">
        <v>6798</v>
      </c>
      <c r="P241" s="53" t="s">
        <v>3518</v>
      </c>
      <c r="Q241" s="426">
        <v>47518</v>
      </c>
      <c r="R241" s="53">
        <v>613</v>
      </c>
      <c r="S241" s="53" t="s">
        <v>121</v>
      </c>
      <c r="T241" s="53">
        <v>9.7313749999999999</v>
      </c>
      <c r="U241" s="53" t="s">
        <v>945</v>
      </c>
      <c r="AA241" s="78">
        <f t="shared" si="31"/>
        <v>25.431750000000001</v>
      </c>
      <c r="AF241" s="53">
        <v>28.2575</v>
      </c>
      <c r="AG241" s="81">
        <f>AF241*rng_biogenic_storage</f>
        <v>25.431750000000001</v>
      </c>
      <c r="AK241" s="165">
        <v>1.5875E-2</v>
      </c>
      <c r="AN241" s="53" t="s">
        <v>6804</v>
      </c>
      <c r="AT241" s="53" t="b">
        <f>ISNUMBER(MATCH(IF(LEN('USER INPUT SHEET'!rng_province)&gt;0,'USER INPUT SHEET'!rng_province,"Canada"),$AU241:$BD241,0))</f>
        <v>0</v>
      </c>
      <c r="AU241" s="1286"/>
      <c r="AV241" s="1286"/>
      <c r="AW241" s="1286"/>
      <c r="AX241" s="1286"/>
      <c r="AY241" s="1286"/>
      <c r="AZ241" s="1286"/>
      <c r="BA241" s="1286"/>
      <c r="BB241" s="1286"/>
      <c r="BC241" s="1286"/>
      <c r="BD241" s="1286"/>
    </row>
    <row r="242" spans="1:56" ht="15.75" customHeight="1" x14ac:dyDescent="0.3">
      <c r="A242" s="50" t="str">
        <f>B242&amp;" / "&amp;C242&amp;" / "&amp;D242&amp;" / "&amp;E242</f>
        <v>OSB sheathing / Huber  / AdvanTech / 1/2" Sheathing</v>
      </c>
      <c r="B242" s="50" t="s">
        <v>523</v>
      </c>
      <c r="C242" s="50" t="s">
        <v>526</v>
      </c>
      <c r="D242" s="50" t="s">
        <v>527</v>
      </c>
      <c r="E242" s="50" t="s">
        <v>528</v>
      </c>
      <c r="H242" s="50" t="s">
        <v>3503</v>
      </c>
      <c r="I242" s="50" t="s">
        <v>3500</v>
      </c>
      <c r="J242" s="358">
        <v>44983</v>
      </c>
      <c r="K242" s="50">
        <v>420</v>
      </c>
      <c r="L242" s="50" t="s">
        <v>3</v>
      </c>
      <c r="M242" s="70">
        <v>5.3340106680213362</v>
      </c>
      <c r="N242" s="53" t="s">
        <v>3504</v>
      </c>
      <c r="O242" s="53" t="s">
        <v>3505</v>
      </c>
      <c r="P242" s="53" t="s">
        <v>3506</v>
      </c>
      <c r="Q242" s="367">
        <v>2025</v>
      </c>
      <c r="R242" s="53">
        <v>662</v>
      </c>
      <c r="S242" s="53" t="s">
        <v>121</v>
      </c>
      <c r="T242" s="53">
        <v>8.407</v>
      </c>
      <c r="U242" s="53" t="s">
        <v>525</v>
      </c>
      <c r="V242" s="53">
        <v>78.739999999999995</v>
      </c>
      <c r="W242" s="53" t="s">
        <v>3507</v>
      </c>
      <c r="Y242" s="53">
        <v>0.92500000000000004</v>
      </c>
      <c r="Z242" s="53">
        <v>0.5</v>
      </c>
      <c r="AA242" s="78">
        <f t="shared" si="31"/>
        <v>12.842848462499999</v>
      </c>
      <c r="AG242" s="81">
        <f>Y242*Z242*T242*3.67*rng_biogenic_storage</f>
        <v>12.842848462500001</v>
      </c>
      <c r="AH242" s="53" t="s">
        <v>3504</v>
      </c>
      <c r="AN242" s="53">
        <v>156</v>
      </c>
      <c r="AR242" s="264" t="str">
        <f ca="1">IF(LEN(Q242)=4,IF(Q242&lt;YEAR(NOW()),_xlfn.CONCAT(IF(LOWER(Setting!rng_language)="english","Expired ","Expiré "),Q242),""),"")</f>
        <v>Expired 2025</v>
      </c>
      <c r="AT242" s="53" t="b">
        <f>ISNUMBER(MATCH(IF(LEN('USER INPUT SHEET'!rng_province)&gt;0,'USER INPUT SHEET'!rng_province,"Canada"),$AU242:$BD242,0))</f>
        <v>0</v>
      </c>
      <c r="AU242" s="1286"/>
      <c r="AV242" s="1286"/>
      <c r="AW242" s="1286"/>
      <c r="AX242" s="1286"/>
      <c r="AY242" s="1286"/>
      <c r="AZ242" s="1286"/>
      <c r="BA242" s="1286"/>
      <c r="BB242" s="1286"/>
      <c r="BC242" s="1286"/>
      <c r="BD242" s="1286"/>
    </row>
    <row r="243" spans="1:56" ht="15.75" customHeight="1" x14ac:dyDescent="0.3">
      <c r="A243" s="50" t="str">
        <f t="shared" ref="A243:A244" si="33">B243&amp;" / "&amp;C243&amp;" / "&amp;D243&amp;" / "&amp;E243</f>
        <v>OSB sheathing / LP / FlameBlock® Fire-Rated / 7/16", coated 1 side</v>
      </c>
      <c r="B243" s="50" t="s">
        <v>523</v>
      </c>
      <c r="C243" s="50" t="s">
        <v>3725</v>
      </c>
      <c r="D243" s="50" t="s">
        <v>4359</v>
      </c>
      <c r="E243" s="50" t="s">
        <v>4360</v>
      </c>
      <c r="H243" s="50" t="s">
        <v>4361</v>
      </c>
      <c r="I243" s="50" t="s">
        <v>3500</v>
      </c>
      <c r="J243" s="358">
        <v>45322</v>
      </c>
      <c r="K243" s="50">
        <v>333.48</v>
      </c>
      <c r="L243" s="50" t="s">
        <v>3</v>
      </c>
      <c r="M243" s="70">
        <v>4.5605951524444182</v>
      </c>
      <c r="N243" s="53" t="s">
        <v>3508</v>
      </c>
      <c r="O243" s="53" t="s">
        <v>4362</v>
      </c>
      <c r="P243" s="53" t="s">
        <v>137</v>
      </c>
      <c r="Q243" s="401">
        <v>47014</v>
      </c>
      <c r="R243" s="53">
        <v>678.28</v>
      </c>
      <c r="S243" s="53" t="s">
        <v>121</v>
      </c>
      <c r="T243" s="53">
        <v>9.2759999999999998</v>
      </c>
      <c r="U243" s="53" t="s">
        <v>4363</v>
      </c>
      <c r="V243" s="53">
        <v>73.122035360068992</v>
      </c>
      <c r="W243" s="53" t="s">
        <v>3511</v>
      </c>
      <c r="X243" s="53">
        <v>13.360336500000001</v>
      </c>
      <c r="AA243" s="78">
        <f t="shared" si="31"/>
        <v>12.02430285</v>
      </c>
      <c r="AB243" s="53" t="s">
        <v>5</v>
      </c>
      <c r="AG243" s="81">
        <f>X243*rng_biogenic_storage</f>
        <v>12.024302850000002</v>
      </c>
      <c r="AH243" s="53" t="s">
        <v>3508</v>
      </c>
      <c r="AN243" s="53" t="s">
        <v>2321</v>
      </c>
      <c r="AT243" s="53" t="b">
        <f>ISNUMBER(MATCH(IF(LEN('USER INPUT SHEET'!rng_province)&gt;0,'USER INPUT SHEET'!rng_province,"Canada"),$AU243:$BD243,0))</f>
        <v>0</v>
      </c>
      <c r="AU243" s="1286"/>
      <c r="AV243" s="1286"/>
      <c r="AW243" s="1286"/>
      <c r="AX243" s="1286"/>
      <c r="AY243" s="1286"/>
      <c r="AZ243" s="1286"/>
      <c r="BA243" s="1286"/>
      <c r="BB243" s="1286"/>
      <c r="BC243" s="1286"/>
      <c r="BD243" s="1286"/>
    </row>
    <row r="244" spans="1:56" ht="15.75" customHeight="1" x14ac:dyDescent="0.3">
      <c r="A244" s="50" t="str">
        <f t="shared" si="33"/>
        <v>OSB sheathing / LP / LP® TopNotch® 350 / 7/16"</v>
      </c>
      <c r="B244" s="50" t="s">
        <v>523</v>
      </c>
      <c r="C244" s="50" t="s">
        <v>3725</v>
      </c>
      <c r="D244" s="50" t="s">
        <v>4364</v>
      </c>
      <c r="E244" s="50" t="s">
        <v>922</v>
      </c>
      <c r="H244" s="50" t="s">
        <v>4361</v>
      </c>
      <c r="I244" s="50" t="s">
        <v>3500</v>
      </c>
      <c r="J244" s="358">
        <v>45322</v>
      </c>
      <c r="K244" s="50">
        <v>264.52</v>
      </c>
      <c r="L244" s="50" t="s">
        <v>3</v>
      </c>
      <c r="M244" s="70">
        <v>2.9394785000000003</v>
      </c>
      <c r="N244" s="53" t="s">
        <v>3508</v>
      </c>
      <c r="O244" s="53" t="s">
        <v>4365</v>
      </c>
      <c r="P244" s="53" t="s">
        <v>137</v>
      </c>
      <c r="Q244" s="401">
        <v>47014</v>
      </c>
      <c r="R244" s="53">
        <v>765</v>
      </c>
      <c r="S244" s="53" t="s">
        <v>121</v>
      </c>
      <c r="T244" s="53">
        <v>8.5010625000000015</v>
      </c>
      <c r="U244" s="53" t="s">
        <v>808</v>
      </c>
      <c r="V244" s="53">
        <v>89.988751406074229</v>
      </c>
      <c r="W244" s="53" t="s">
        <v>3511</v>
      </c>
      <c r="X244" s="53">
        <v>13.418454875</v>
      </c>
      <c r="AA244" s="78">
        <f t="shared" si="31"/>
        <v>12.0766093875</v>
      </c>
      <c r="AB244" s="53" t="s">
        <v>5</v>
      </c>
      <c r="AG244" s="81">
        <f>X244*rng_biogenic_storage</f>
        <v>12.0766093875</v>
      </c>
      <c r="AH244" s="53" t="s">
        <v>3508</v>
      </c>
      <c r="AN244" s="53" t="s">
        <v>4379</v>
      </c>
      <c r="AT244" s="53" t="b">
        <f>ISNUMBER(MATCH(IF(LEN('USER INPUT SHEET'!rng_province)&gt;0,'USER INPUT SHEET'!rng_province,"Canada"),$AU244:$BD244,0))</f>
        <v>0</v>
      </c>
      <c r="AU244" s="1286"/>
      <c r="AV244" s="1286"/>
      <c r="AW244" s="1286"/>
      <c r="AX244" s="1286"/>
      <c r="AY244" s="1286"/>
      <c r="AZ244" s="1286"/>
      <c r="BA244" s="1286"/>
      <c r="BB244" s="1286"/>
      <c r="BC244" s="1286"/>
      <c r="BD244" s="1286"/>
    </row>
    <row r="245" spans="1:56" ht="15.75" customHeight="1" x14ac:dyDescent="0.3">
      <c r="A245" s="50" t="str">
        <f t="shared" si="27"/>
        <v>(ARCHIVED 2023) OSB sheathing / Huber / AdvanTech / 1/2" Sheathing</v>
      </c>
      <c r="B245" s="50" t="s">
        <v>3762</v>
      </c>
      <c r="C245" s="50" t="s">
        <v>3306</v>
      </c>
      <c r="D245" s="50" t="s">
        <v>527</v>
      </c>
      <c r="E245" s="50" t="s">
        <v>528</v>
      </c>
      <c r="H245" s="50" t="s">
        <v>1379</v>
      </c>
      <c r="I245" s="50" t="s">
        <v>129</v>
      </c>
      <c r="J245" s="50"/>
      <c r="K245" s="50">
        <v>6.6</v>
      </c>
      <c r="L245" s="50" t="s">
        <v>5</v>
      </c>
      <c r="M245" s="71">
        <f>(6.6)</f>
        <v>6.6</v>
      </c>
      <c r="N245" s="50" t="s">
        <v>5</v>
      </c>
      <c r="O245" s="50" t="s">
        <v>529</v>
      </c>
      <c r="P245" s="53" t="s">
        <v>143</v>
      </c>
      <c r="Q245" s="367">
        <v>2019</v>
      </c>
      <c r="R245" s="59">
        <v>8.3919999999999995</v>
      </c>
      <c r="S245" s="53" t="s">
        <v>525</v>
      </c>
      <c r="Y245" s="53">
        <v>0.92500000000000004</v>
      </c>
      <c r="Z245" s="53">
        <v>0.5</v>
      </c>
      <c r="AA245" s="78">
        <f>_xlfn.NUMBERVALUE(IF(LEN(AG245)&gt;0,AG245,0))</f>
        <v>0</v>
      </c>
      <c r="AB245" s="53" t="s">
        <v>840</v>
      </c>
      <c r="AC245" s="53">
        <v>0.82499999999999996</v>
      </c>
      <c r="AD245" s="53">
        <f>R245*Y245*Z245</f>
        <v>3.8813</v>
      </c>
      <c r="AG245" s="82"/>
      <c r="AI245" s="165">
        <v>1.2699999999999999E-2</v>
      </c>
      <c r="AN245" s="53" t="s">
        <v>3786</v>
      </c>
      <c r="AR245" s="264" t="str">
        <f ca="1">IF(LEN(Q245)=4,IF(Q245&lt;YEAR(NOW()),_xlfn.CONCAT(IF(LOWER(Setting!rng_language)="english","Expired ","Expiré "),Q245),""),"")</f>
        <v>Expired 2019</v>
      </c>
      <c r="AT245" s="53" t="b">
        <f>ISNUMBER(MATCH(IF(LEN('USER INPUT SHEET'!rng_province)&gt;0,'USER INPUT SHEET'!rng_province,"Canada"),$AU245:$BD245,0))</f>
        <v>0</v>
      </c>
      <c r="AU245" s="1289"/>
      <c r="AV245" s="1289"/>
      <c r="AW245" s="1289"/>
      <c r="AX245" s="1289"/>
      <c r="AY245" s="1289"/>
      <c r="AZ245" s="1289"/>
      <c r="BA245" s="1289"/>
      <c r="BB245" s="1289"/>
      <c r="BC245" s="1289"/>
      <c r="BD245" s="1289"/>
    </row>
    <row r="246" spans="1:56" ht="15.75" customHeight="1" x14ac:dyDescent="0.3">
      <c r="A246" s="50" t="str">
        <f>B246&amp;" / "&amp;C246&amp;" / "&amp;D246&amp;" / "&amp;E246</f>
        <v xml:space="preserve">OSB sheathing &amp; barrier / Huber  / ZIP System - Wall and Roof Sheathing / 7/16" </v>
      </c>
      <c r="B246" s="50" t="s">
        <v>4366</v>
      </c>
      <c r="C246" s="50" t="s">
        <v>526</v>
      </c>
      <c r="D246" s="50" t="s">
        <v>4367</v>
      </c>
      <c r="E246" s="50" t="s">
        <v>4589</v>
      </c>
      <c r="H246" s="50" t="s">
        <v>3503</v>
      </c>
      <c r="I246" s="50" t="s">
        <v>3500</v>
      </c>
      <c r="J246" s="358">
        <v>44983</v>
      </c>
      <c r="K246" s="50">
        <v>380</v>
      </c>
      <c r="L246" s="50" t="s">
        <v>3501</v>
      </c>
      <c r="M246" s="70">
        <v>4.2222222222222223</v>
      </c>
      <c r="N246" s="50" t="s">
        <v>3508</v>
      </c>
      <c r="O246" s="50" t="s">
        <v>3509</v>
      </c>
      <c r="P246" s="53" t="s">
        <v>3506</v>
      </c>
      <c r="Q246" s="367">
        <v>2025</v>
      </c>
      <c r="R246" s="59">
        <v>660</v>
      </c>
      <c r="S246" s="53" t="s">
        <v>121</v>
      </c>
      <c r="T246" s="53">
        <v>7.26</v>
      </c>
      <c r="U246" s="53" t="s">
        <v>3510</v>
      </c>
      <c r="V246" s="53">
        <v>90</v>
      </c>
      <c r="W246" s="53" t="s">
        <v>3511</v>
      </c>
      <c r="Y246" s="53">
        <v>0.92500000000000004</v>
      </c>
      <c r="Z246" s="53">
        <v>0.5</v>
      </c>
      <c r="AA246" s="78">
        <f t="shared" ref="AA246:AA250" si="34">_xlfn.NUMBERVALUE(IF(LEN(AG246)&gt;0,AG246,0))</f>
        <v>11.090648249999999</v>
      </c>
      <c r="AG246" s="81">
        <f>Y246*Z246*T246*3.67*rng_biogenic_storage</f>
        <v>11.090648250000001</v>
      </c>
      <c r="AH246" s="53" t="s">
        <v>3508</v>
      </c>
      <c r="AN246" s="53">
        <v>157</v>
      </c>
      <c r="AR246" s="264" t="str">
        <f ca="1">IF(LEN(Q246)=4,IF(Q246&lt;YEAR(NOW()),_xlfn.CONCAT(IF(LOWER(Setting!rng_language)="english","Expired ","Expiré "),Q246),""),"")</f>
        <v>Expired 2025</v>
      </c>
      <c r="AT246" s="53" t="b">
        <f>ISNUMBER(MATCH(IF(LEN('USER INPUT SHEET'!rng_province)&gt;0,'USER INPUT SHEET'!rng_province,"Canada"),$AU246:$BD246,0))</f>
        <v>0</v>
      </c>
      <c r="AU246" s="1289"/>
      <c r="AV246" s="1289"/>
      <c r="AW246" s="1289"/>
      <c r="AX246" s="1289"/>
      <c r="AY246" s="1289"/>
      <c r="AZ246" s="1289"/>
      <c r="BA246" s="1289"/>
      <c r="BB246" s="1289"/>
      <c r="BC246" s="1289"/>
      <c r="BD246" s="1289"/>
    </row>
    <row r="247" spans="1:56" ht="15.75" customHeight="1" x14ac:dyDescent="0.3">
      <c r="A247" s="50" t="str">
        <f t="shared" ref="A247:A250" si="35">B247&amp;" / "&amp;C247&amp;" / "&amp;D247&amp;" / "&amp;E247</f>
        <v>OSB sheathing &amp; barrier / Huber  / ZIP System - Wall and Roof Sheathing / 5/8"</v>
      </c>
      <c r="B247" s="50" t="s">
        <v>4366</v>
      </c>
      <c r="C247" s="50" t="s">
        <v>526</v>
      </c>
      <c r="D247" s="50" t="s">
        <v>4367</v>
      </c>
      <c r="E247" s="50" t="s">
        <v>338</v>
      </c>
      <c r="H247" s="50" t="s">
        <v>4361</v>
      </c>
      <c r="I247" s="50" t="s">
        <v>3500</v>
      </c>
      <c r="J247" s="358">
        <v>45335</v>
      </c>
      <c r="K247" s="50">
        <v>380</v>
      </c>
      <c r="L247" s="50" t="s">
        <v>4242</v>
      </c>
      <c r="M247" s="70">
        <v>6.0420000000000007</v>
      </c>
      <c r="N247" s="50" t="s">
        <v>3501</v>
      </c>
      <c r="O247" s="50" t="s">
        <v>3509</v>
      </c>
      <c r="P247" s="53" t="s">
        <v>3506</v>
      </c>
      <c r="Q247" s="401">
        <v>45839</v>
      </c>
      <c r="R247" s="59">
        <v>660</v>
      </c>
      <c r="S247" s="53" t="s">
        <v>121</v>
      </c>
      <c r="T247" s="53">
        <v>10.494</v>
      </c>
      <c r="U247" s="53" t="s">
        <v>4368</v>
      </c>
      <c r="Y247" s="53">
        <v>0.92500000000000004</v>
      </c>
      <c r="Z247" s="53">
        <v>0.5</v>
      </c>
      <c r="AA247" s="78">
        <f t="shared" si="34"/>
        <v>16.031027925</v>
      </c>
      <c r="AG247" s="81">
        <f>Y247*Z247*T247*3.67*rng_biogenic_storage</f>
        <v>16.031027925</v>
      </c>
      <c r="AH247" s="53" t="s">
        <v>3501</v>
      </c>
      <c r="AK247" s="165">
        <v>1.5900000000000001E-2</v>
      </c>
      <c r="AN247" s="53" t="s">
        <v>4380</v>
      </c>
      <c r="AT247" s="53" t="b">
        <f>ISNUMBER(MATCH(IF(LEN('USER INPUT SHEET'!rng_province)&gt;0,'USER INPUT SHEET'!rng_province,"Canada"),$AU247:$BD247,0))</f>
        <v>0</v>
      </c>
      <c r="AU247" s="1289"/>
      <c r="AV247" s="1289"/>
      <c r="AW247" s="1289"/>
      <c r="AX247" s="1289"/>
      <c r="AY247" s="1289"/>
      <c r="AZ247" s="1289"/>
      <c r="BA247" s="1289"/>
      <c r="BB247" s="1289"/>
      <c r="BC247" s="1289"/>
      <c r="BD247" s="1289"/>
    </row>
    <row r="248" spans="1:56" ht="15.75" customHeight="1" x14ac:dyDescent="0.3">
      <c r="A248" s="50" t="str">
        <f t="shared" si="35"/>
        <v>OSB sheathing &amp; barrier / Huber  / ZIP System - Wall and Roof Sheathing / 1/2"</v>
      </c>
      <c r="B248" s="50" t="s">
        <v>4366</v>
      </c>
      <c r="C248" s="50" t="s">
        <v>526</v>
      </c>
      <c r="D248" s="50" t="s">
        <v>4367</v>
      </c>
      <c r="E248" s="50" t="s">
        <v>407</v>
      </c>
      <c r="H248" s="50" t="s">
        <v>4361</v>
      </c>
      <c r="I248" s="50" t="s">
        <v>3500</v>
      </c>
      <c r="J248" s="358">
        <v>45335</v>
      </c>
      <c r="K248" s="50">
        <v>380</v>
      </c>
      <c r="L248" s="50" t="s">
        <v>4242</v>
      </c>
      <c r="M248" s="70">
        <v>4.8259999999999996</v>
      </c>
      <c r="N248" s="50" t="s">
        <v>3501</v>
      </c>
      <c r="O248" s="50" t="s">
        <v>3509</v>
      </c>
      <c r="P248" s="53" t="s">
        <v>3506</v>
      </c>
      <c r="Q248" s="401">
        <v>45839</v>
      </c>
      <c r="R248" s="59">
        <v>660</v>
      </c>
      <c r="S248" s="53" t="s">
        <v>121</v>
      </c>
      <c r="T248" s="53">
        <v>8.3819999999999997</v>
      </c>
      <c r="U248" s="53" t="s">
        <v>4369</v>
      </c>
      <c r="Y248" s="53">
        <v>0.92500000000000004</v>
      </c>
      <c r="Z248" s="53">
        <v>0.5</v>
      </c>
      <c r="AA248" s="78">
        <f t="shared" si="34"/>
        <v>12.804657525</v>
      </c>
      <c r="AG248" s="81">
        <f>Y248*Z248*T248*3.67*rng_biogenic_storage</f>
        <v>12.804657525</v>
      </c>
      <c r="AH248" s="53" t="s">
        <v>3501</v>
      </c>
      <c r="AK248" s="165">
        <v>1.2699999999999999E-2</v>
      </c>
      <c r="AN248" s="53" t="s">
        <v>2322</v>
      </c>
      <c r="AT248" s="53" t="b">
        <f>ISNUMBER(MATCH(IF(LEN('USER INPUT SHEET'!rng_province)&gt;0,'USER INPUT SHEET'!rng_province,"Canada"),$AU248:$BD248,0))</f>
        <v>0</v>
      </c>
      <c r="AU248" s="1289"/>
      <c r="AV248" s="1289"/>
      <c r="AW248" s="1289"/>
      <c r="AX248" s="1289"/>
      <c r="AY248" s="1289"/>
      <c r="AZ248" s="1289"/>
      <c r="BA248" s="1289"/>
      <c r="BB248" s="1289"/>
      <c r="BC248" s="1289"/>
      <c r="BD248" s="1289"/>
    </row>
    <row r="249" spans="1:56" ht="15.75" customHeight="1" x14ac:dyDescent="0.3">
      <c r="A249" s="50" t="str">
        <f t="shared" si="35"/>
        <v>OSB sheathing &amp; barrier / LP / WeatherLogic® Air &amp; Water Barrier / 1/2"</v>
      </c>
      <c r="B249" s="50" t="s">
        <v>4366</v>
      </c>
      <c r="C249" s="50" t="s">
        <v>3725</v>
      </c>
      <c r="D249" s="50" t="s">
        <v>4370</v>
      </c>
      <c r="E249" s="50" t="s">
        <v>407</v>
      </c>
      <c r="H249" s="50" t="s">
        <v>4361</v>
      </c>
      <c r="I249" s="50" t="s">
        <v>3500</v>
      </c>
      <c r="J249" s="358">
        <v>45322</v>
      </c>
      <c r="K249" s="50">
        <v>323.38</v>
      </c>
      <c r="L249" s="50" t="s">
        <v>3</v>
      </c>
      <c r="M249" s="70">
        <v>4.1069260000000005</v>
      </c>
      <c r="N249" s="50" t="s">
        <v>4371</v>
      </c>
      <c r="O249" s="50" t="s">
        <v>4372</v>
      </c>
      <c r="P249" s="53" t="s">
        <v>137</v>
      </c>
      <c r="Q249" s="401">
        <v>47014</v>
      </c>
      <c r="R249" s="59">
        <v>765</v>
      </c>
      <c r="S249" s="53" t="s">
        <v>121</v>
      </c>
      <c r="T249" s="53">
        <v>9.7155000000000005</v>
      </c>
      <c r="U249" s="53" t="s">
        <v>808</v>
      </c>
      <c r="V249" s="53">
        <v>78.740157480314963</v>
      </c>
      <c r="W249" s="53" t="s">
        <v>3511</v>
      </c>
      <c r="X249" s="53">
        <v>1398.83</v>
      </c>
      <c r="AA249" s="78">
        <f t="shared" si="34"/>
        <v>15.9886269</v>
      </c>
      <c r="AB249" s="53" t="s">
        <v>5</v>
      </c>
      <c r="AD249" s="53">
        <f>X249*0.0127</f>
        <v>17.765141</v>
      </c>
      <c r="AG249" s="81">
        <f>AD249*rng_biogenic_storage</f>
        <v>15.9886269</v>
      </c>
      <c r="AH249" s="53" t="s">
        <v>4371</v>
      </c>
      <c r="AN249" s="53" t="s">
        <v>4381</v>
      </c>
      <c r="AT249" s="53" t="b">
        <f>ISNUMBER(MATCH(IF(LEN('USER INPUT SHEET'!rng_province)&gt;0,'USER INPUT SHEET'!rng_province,"Canada"),$AU249:$BD249,0))</f>
        <v>0</v>
      </c>
      <c r="AU249" s="1289"/>
      <c r="AV249" s="1289"/>
      <c r="AW249" s="1289"/>
      <c r="AX249" s="1289"/>
      <c r="AY249" s="1289"/>
      <c r="AZ249" s="1289"/>
      <c r="BA249" s="1289"/>
      <c r="BB249" s="1289"/>
      <c r="BC249" s="1289"/>
      <c r="BD249" s="1289"/>
    </row>
    <row r="250" spans="1:56" ht="15.75" customHeight="1" x14ac:dyDescent="0.3">
      <c r="A250" s="50" t="str">
        <f t="shared" si="35"/>
        <v>OSB sheathing &amp; barrier / LP / WeatherLogic® Air &amp; Water Barrier / 7/16"</v>
      </c>
      <c r="B250" s="50" t="s">
        <v>4366</v>
      </c>
      <c r="C250" s="50" t="s">
        <v>3725</v>
      </c>
      <c r="D250" s="50" t="s">
        <v>4370</v>
      </c>
      <c r="E250" s="50" t="s">
        <v>922</v>
      </c>
      <c r="H250" s="50" t="s">
        <v>4361</v>
      </c>
      <c r="I250" s="50" t="s">
        <v>3500</v>
      </c>
      <c r="J250" s="358">
        <v>45322</v>
      </c>
      <c r="K250" s="50">
        <v>323.38</v>
      </c>
      <c r="L250" s="50" t="s">
        <v>3</v>
      </c>
      <c r="M250" s="70">
        <v>3.5935602500000008</v>
      </c>
      <c r="N250" s="50" t="s">
        <v>3508</v>
      </c>
      <c r="O250" s="50" t="s">
        <v>4372</v>
      </c>
      <c r="P250" s="53" t="s">
        <v>137</v>
      </c>
      <c r="Q250" s="401">
        <v>47014</v>
      </c>
      <c r="R250" s="59">
        <v>765</v>
      </c>
      <c r="S250" s="53" t="s">
        <v>121</v>
      </c>
      <c r="T250" s="53">
        <v>8.5010625000000015</v>
      </c>
      <c r="U250" s="53" t="s">
        <v>808</v>
      </c>
      <c r="V250" s="53">
        <v>89.988751406074229</v>
      </c>
      <c r="W250" s="53" t="s">
        <v>3511</v>
      </c>
      <c r="X250" s="53">
        <v>1398.83</v>
      </c>
      <c r="AA250" s="78">
        <f t="shared" si="34"/>
        <v>14.005785375</v>
      </c>
      <c r="AB250" s="53" t="s">
        <v>5</v>
      </c>
      <c r="AD250" s="53">
        <f>X250*0.011125</f>
        <v>15.561983749999998</v>
      </c>
      <c r="AG250" s="81">
        <f>AD250*rng_biogenic_storage</f>
        <v>14.005785374999999</v>
      </c>
      <c r="AH250" s="53" t="s">
        <v>3508</v>
      </c>
      <c r="AN250" s="53" t="s">
        <v>3988</v>
      </c>
      <c r="AT250" s="53" t="b">
        <f>ISNUMBER(MATCH(IF(LEN('USER INPUT SHEET'!rng_province)&gt;0,'USER INPUT SHEET'!rng_province,"Canada"),$AU250:$BD250,0))</f>
        <v>0</v>
      </c>
      <c r="AU250" s="1289"/>
      <c r="AV250" s="1289"/>
      <c r="AW250" s="1289"/>
      <c r="AX250" s="1289"/>
      <c r="AY250" s="1289"/>
      <c r="AZ250" s="1289"/>
      <c r="BA250" s="1289"/>
      <c r="BB250" s="1289"/>
      <c r="BC250" s="1289"/>
      <c r="BD250" s="1289"/>
    </row>
    <row r="251" spans="1:56" ht="15.75" customHeight="1" x14ac:dyDescent="0.3">
      <c r="A251" s="50" t="str">
        <f t="shared" si="27"/>
        <v>(ARCHIVED 2023) OSB sheathing / Huber / ZIP System / 7/16" Sheathing, protective barrier and tape</v>
      </c>
      <c r="B251" s="50" t="s">
        <v>3762</v>
      </c>
      <c r="C251" s="50" t="s">
        <v>3306</v>
      </c>
      <c r="D251" s="50" t="s">
        <v>530</v>
      </c>
      <c r="E251" s="50" t="s">
        <v>531</v>
      </c>
      <c r="H251" s="50" t="s">
        <v>1379</v>
      </c>
      <c r="I251" s="50" t="s">
        <v>129</v>
      </c>
      <c r="J251" s="50"/>
      <c r="K251" s="50">
        <v>4</v>
      </c>
      <c r="L251" s="50" t="s">
        <v>5</v>
      </c>
      <c r="M251" s="71">
        <f>(4)</f>
        <v>4</v>
      </c>
      <c r="N251" s="50" t="s">
        <v>5</v>
      </c>
      <c r="O251" s="53" t="s">
        <v>532</v>
      </c>
      <c r="P251" s="53" t="s">
        <v>143</v>
      </c>
      <c r="Q251" s="367">
        <v>2019</v>
      </c>
      <c r="R251" s="53">
        <v>8.3919999999999995</v>
      </c>
      <c r="S251" s="53" t="s">
        <v>525</v>
      </c>
      <c r="T251" s="53">
        <f>(7/16)/0.5*R251</f>
        <v>7.343</v>
      </c>
      <c r="U251" s="53" t="s">
        <v>808</v>
      </c>
      <c r="Y251" s="53">
        <v>0.92500000000000004</v>
      </c>
      <c r="Z251" s="53">
        <v>0.5</v>
      </c>
      <c r="AA251" s="78">
        <f>_xlfn.NUMBERVALUE(IF(LEN(AG251)&gt;0,AG251,0))</f>
        <v>0</v>
      </c>
      <c r="AB251" s="53" t="s">
        <v>840</v>
      </c>
      <c r="AC251" s="53">
        <v>0.82499999999999996</v>
      </c>
      <c r="AD251" s="53">
        <f>T251*Y251*Z251</f>
        <v>3.3961375</v>
      </c>
      <c r="AG251" s="82"/>
      <c r="AN251" s="53" t="s">
        <v>3787</v>
      </c>
      <c r="AR251" s="264" t="str">
        <f ca="1">IF(LEN(Q251)=4,IF(Q251&lt;YEAR(NOW()),_xlfn.CONCAT(IF(LOWER(Setting!rng_language)="english","Expired ","Expiré "),Q251),""),"")</f>
        <v>Expired 2019</v>
      </c>
      <c r="AT251" s="53" t="b">
        <f>ISNUMBER(MATCH(IF(LEN('USER INPUT SHEET'!rng_province)&gt;0,'USER INPUT SHEET'!rng_province,"Canada"),$AU251:$BD251,0))</f>
        <v>0</v>
      </c>
      <c r="AU251" s="1289"/>
      <c r="AV251" s="1289"/>
      <c r="AW251" s="1289"/>
      <c r="AX251" s="1289"/>
      <c r="AY251" s="1289"/>
      <c r="AZ251" s="1289"/>
      <c r="BA251" s="1289"/>
      <c r="BB251" s="1289"/>
      <c r="BC251" s="1289"/>
      <c r="BD251" s="1289"/>
    </row>
    <row r="252" spans="1:56" ht="15.75" customHeight="1" x14ac:dyDescent="0.3">
      <c r="A252" s="50" t="str">
        <f>B252&amp;" / "&amp;C252&amp;" / "&amp;D252&amp;" / "&amp;E252</f>
        <v>OSB subflooring / Huber  / AdvanTech / 19/32" Subflooring</v>
      </c>
      <c r="B252" s="50" t="s">
        <v>533</v>
      </c>
      <c r="C252" s="50" t="s">
        <v>526</v>
      </c>
      <c r="D252" s="50" t="s">
        <v>527</v>
      </c>
      <c r="E252" s="50" t="s">
        <v>534</v>
      </c>
      <c r="H252" s="50" t="s">
        <v>3503</v>
      </c>
      <c r="I252" s="50" t="s">
        <v>3500</v>
      </c>
      <c r="J252" s="358">
        <v>44983</v>
      </c>
      <c r="K252" s="50">
        <v>470</v>
      </c>
      <c r="L252" s="50" t="s">
        <v>3</v>
      </c>
      <c r="M252" s="70">
        <v>7.0879203740009045</v>
      </c>
      <c r="N252" s="50" t="s">
        <v>3512</v>
      </c>
      <c r="O252" s="53" t="s">
        <v>3505</v>
      </c>
      <c r="P252" s="53" t="s">
        <v>3506</v>
      </c>
      <c r="Q252" s="367">
        <v>2025</v>
      </c>
      <c r="R252" s="53">
        <v>670</v>
      </c>
      <c r="S252" s="53" t="s">
        <v>121</v>
      </c>
      <c r="T252" s="53">
        <v>10.119999999999999</v>
      </c>
      <c r="U252" s="53" t="s">
        <v>525</v>
      </c>
      <c r="V252" s="53">
        <v>66.31</v>
      </c>
      <c r="W252" s="53" t="s">
        <v>3513</v>
      </c>
      <c r="Y252" s="53">
        <v>0.92500000000000004</v>
      </c>
      <c r="Z252" s="53">
        <v>0.5</v>
      </c>
      <c r="AA252" s="78">
        <f t="shared" ref="AA252:AA253" si="36">_xlfn.NUMBERVALUE(IF(LEN(AG252)&gt;0,AG252,0))</f>
        <v>15.4596915</v>
      </c>
      <c r="AG252" s="81">
        <f>Y252*Z252*T252*3.67*rng_biogenic_storage</f>
        <v>15.4596915</v>
      </c>
      <c r="AH252" s="53" t="s">
        <v>3512</v>
      </c>
      <c r="AN252" s="53">
        <v>158</v>
      </c>
      <c r="AR252" s="264" t="str">
        <f ca="1">IF(LEN(Q252)=4,IF(Q252&lt;YEAR(NOW()),_xlfn.CONCAT(IF(LOWER(Setting!rng_language)="english","Expired ","Expiré "),Q252),""),"")</f>
        <v>Expired 2025</v>
      </c>
      <c r="AT252" s="53" t="b">
        <f>ISNUMBER(MATCH(IF(LEN('USER INPUT SHEET'!rng_province)&gt;0,'USER INPUT SHEET'!rng_province,"Canada"),$AU252:$BD252,0))</f>
        <v>0</v>
      </c>
      <c r="AU252" s="1289"/>
      <c r="AV252" s="1289"/>
      <c r="AW252" s="1289"/>
      <c r="AX252" s="1289"/>
      <c r="AY252" s="1289"/>
      <c r="AZ252" s="1289"/>
      <c r="BA252" s="1289"/>
      <c r="BB252" s="1289"/>
      <c r="BC252" s="1289"/>
      <c r="BD252" s="1289"/>
    </row>
    <row r="253" spans="1:56" ht="15.75" customHeight="1" x14ac:dyDescent="0.3">
      <c r="A253" s="50" t="str">
        <f t="shared" ref="A253" si="37">B253&amp;" / "&amp;C253&amp;" / "&amp;D253&amp;" / "&amp;E253</f>
        <v>OSB subflooring / LP / LP Legacy® Premium / 5/8"</v>
      </c>
      <c r="B253" s="50" t="s">
        <v>533</v>
      </c>
      <c r="C253" s="50" t="s">
        <v>3725</v>
      </c>
      <c r="D253" s="50" t="s">
        <v>4373</v>
      </c>
      <c r="E253" s="50" t="s">
        <v>338</v>
      </c>
      <c r="H253" s="50" t="s">
        <v>4361</v>
      </c>
      <c r="I253" s="50" t="s">
        <v>3500</v>
      </c>
      <c r="J253" s="358">
        <v>45322</v>
      </c>
      <c r="K253" s="50">
        <v>283.3</v>
      </c>
      <c r="L253" s="50" t="s">
        <v>3</v>
      </c>
      <c r="M253" s="70">
        <v>4.4973875000000003</v>
      </c>
      <c r="N253" s="50" t="s">
        <v>4374</v>
      </c>
      <c r="O253" s="53" t="s">
        <v>4375</v>
      </c>
      <c r="P253" s="53" t="s">
        <v>137</v>
      </c>
      <c r="Q253" s="401">
        <v>47014</v>
      </c>
      <c r="R253" s="53">
        <v>662</v>
      </c>
      <c r="S253" s="53" t="s">
        <v>121</v>
      </c>
      <c r="T253" s="53">
        <v>10.50925</v>
      </c>
      <c r="U253" s="53" t="s">
        <v>945</v>
      </c>
      <c r="V253" s="53">
        <v>62.99212598425197</v>
      </c>
      <c r="W253" s="53" t="s">
        <v>4376</v>
      </c>
      <c r="X253" s="53">
        <v>1302.1400000000001</v>
      </c>
      <c r="AA253" s="78">
        <f t="shared" si="36"/>
        <v>18.604325249999999</v>
      </c>
      <c r="AB253" s="53" t="s">
        <v>5</v>
      </c>
      <c r="AD253" s="53">
        <f>X253*0.015875</f>
        <v>20.6714725</v>
      </c>
      <c r="AG253" s="81">
        <f>AD253*rng_biogenic_storage</f>
        <v>18.604325250000002</v>
      </c>
      <c r="AH253" s="53" t="s">
        <v>4374</v>
      </c>
      <c r="AN253" s="53" t="s">
        <v>4177</v>
      </c>
      <c r="AT253" s="53" t="b">
        <f>ISNUMBER(MATCH(IF(LEN('USER INPUT SHEET'!rng_province)&gt;0,'USER INPUT SHEET'!rng_province,"Canada"),$AU253:$BD253,0))</f>
        <v>0</v>
      </c>
      <c r="AU253" s="1289"/>
      <c r="AV253" s="1289"/>
      <c r="AW253" s="1289"/>
      <c r="AX253" s="1289"/>
      <c r="AY253" s="1289"/>
      <c r="AZ253" s="1289"/>
      <c r="BA253" s="1289"/>
      <c r="BB253" s="1289"/>
      <c r="BC253" s="1289"/>
      <c r="BD253" s="1289"/>
    </row>
    <row r="254" spans="1:56" ht="15.75" customHeight="1" x14ac:dyDescent="0.3">
      <c r="A254" s="50" t="str">
        <f t="shared" si="27"/>
        <v>(ARCHIVED 2023) OSB subflooring / Huber / AdvanTech / 19/32" Subflooring</v>
      </c>
      <c r="B254" s="50" t="s">
        <v>3763</v>
      </c>
      <c r="C254" s="50" t="s">
        <v>3306</v>
      </c>
      <c r="D254" s="50" t="s">
        <v>527</v>
      </c>
      <c r="E254" s="50" t="s">
        <v>534</v>
      </c>
      <c r="H254" s="50" t="s">
        <v>1379</v>
      </c>
      <c r="I254" s="50" t="s">
        <v>129</v>
      </c>
      <c r="J254" s="50"/>
      <c r="K254" s="50">
        <v>6.6</v>
      </c>
      <c r="L254" s="50" t="s">
        <v>5</v>
      </c>
      <c r="M254" s="71">
        <f>(6.6)</f>
        <v>6.6</v>
      </c>
      <c r="N254" s="50" t="s">
        <v>5</v>
      </c>
      <c r="O254" s="50" t="s">
        <v>535</v>
      </c>
      <c r="P254" s="53" t="s">
        <v>143</v>
      </c>
      <c r="Q254" s="367">
        <v>2019</v>
      </c>
      <c r="R254" s="59">
        <v>8.3919999999999995</v>
      </c>
      <c r="S254" s="53" t="s">
        <v>525</v>
      </c>
      <c r="T254" s="53">
        <f>(19/32)/0.5*R245</f>
        <v>9.9654999999999987</v>
      </c>
      <c r="U254" s="53" t="s">
        <v>807</v>
      </c>
      <c r="Y254" s="53">
        <v>0.92500000000000004</v>
      </c>
      <c r="Z254" s="53">
        <v>0.5</v>
      </c>
      <c r="AA254" s="78">
        <f>_xlfn.NUMBERVALUE(IF(LEN(AG254)&gt;0,AG254,0))</f>
        <v>0</v>
      </c>
      <c r="AB254" s="53" t="s">
        <v>840</v>
      </c>
      <c r="AC254" s="53">
        <v>0.82499999999999996</v>
      </c>
      <c r="AD254" s="53">
        <f>T254*Y254*Z254</f>
        <v>4.6090437499999997</v>
      </c>
      <c r="AG254" s="82"/>
      <c r="AI254" s="165">
        <v>1.5081000000000001E-2</v>
      </c>
      <c r="AN254" s="53" t="s">
        <v>3788</v>
      </c>
      <c r="AR254" s="264" t="str">
        <f ca="1">IF(LEN(Q254)=4,IF(Q254&lt;YEAR(NOW()),_xlfn.CONCAT(IF(LOWER(Setting!rng_language)="english","Expired ","Expiré "),Q254),""),"")</f>
        <v>Expired 2019</v>
      </c>
      <c r="AT254" s="53" t="b">
        <f>ISNUMBER(MATCH(IF(LEN('USER INPUT SHEET'!rng_province)&gt;0,'USER INPUT SHEET'!rng_province,"Canada"),$AU254:$BD254,0))</f>
        <v>0</v>
      </c>
      <c r="AU254" s="1289"/>
      <c r="AV254" s="1289"/>
      <c r="AW254" s="1289"/>
      <c r="AX254" s="1289"/>
      <c r="AY254" s="1289"/>
      <c r="AZ254" s="1289"/>
      <c r="BA254" s="1289"/>
      <c r="BB254" s="1289"/>
      <c r="BC254" s="1289"/>
      <c r="BD254" s="1289"/>
    </row>
    <row r="255" spans="1:56" ht="15.75" customHeight="1" x14ac:dyDescent="0.3">
      <c r="A255" s="50" t="str">
        <f t="shared" si="27"/>
        <v>(ARCHIVED 2026) Plywood / American Wood Council &amp; Canadian Wood Council /  / 1/2"</v>
      </c>
      <c r="B255" s="50" t="s">
        <v>6805</v>
      </c>
      <c r="C255" s="50" t="s">
        <v>402</v>
      </c>
      <c r="D255" s="50"/>
      <c r="E255" s="53" t="s">
        <v>407</v>
      </c>
      <c r="H255" s="50" t="s">
        <v>1379</v>
      </c>
      <c r="I255" s="50" t="s">
        <v>124</v>
      </c>
      <c r="J255" s="50"/>
      <c r="K255" s="50">
        <v>219.32</v>
      </c>
      <c r="L255" s="50" t="s">
        <v>3</v>
      </c>
      <c r="M255" s="71">
        <f>(K255*0.0127)</f>
        <v>2.785364</v>
      </c>
      <c r="N255" s="50" t="s">
        <v>1289</v>
      </c>
      <c r="O255" s="53" t="s">
        <v>537</v>
      </c>
      <c r="P255" s="53" t="s">
        <v>143</v>
      </c>
      <c r="Q255" s="367">
        <v>2025</v>
      </c>
      <c r="R255" s="53">
        <v>484</v>
      </c>
      <c r="S255" s="53" t="s">
        <v>121</v>
      </c>
      <c r="T255" s="58">
        <f>R255*0.0127</f>
        <v>6.1467999999999998</v>
      </c>
      <c r="U255" s="53" t="s">
        <v>525</v>
      </c>
      <c r="Y255" s="53">
        <v>0.97099999999999997</v>
      </c>
      <c r="Z255" s="53">
        <v>0.5</v>
      </c>
      <c r="AA255" s="78">
        <f t="shared" ref="AA255:AA266" si="38">_xlfn.NUMBERVALUE(IF(LEN(AG255)&gt;0,AG255,0))</f>
        <v>9.8570484341999993</v>
      </c>
      <c r="AC255" s="53">
        <v>0.82499999999999996</v>
      </c>
      <c r="AD255" s="53">
        <f>T255*Y255*Z255</f>
        <v>2.9842713999999999</v>
      </c>
      <c r="AG255" s="82">
        <f>Y255*Z255*T255*3.67*rng_biogenic_storage</f>
        <v>9.8570484341999993</v>
      </c>
      <c r="AH255" s="53" t="s">
        <v>1289</v>
      </c>
      <c r="AI255" s="165">
        <v>1.2699999999999999E-2</v>
      </c>
      <c r="AN255" s="53">
        <v>159</v>
      </c>
      <c r="AR255" s="264" t="str">
        <f ca="1">IF(LEN(Q255)=4,IF(Q255&lt;YEAR(NOW()),_xlfn.CONCAT(IF(LOWER(Setting!rng_language)="english","Expired ","Expiré "),Q255),""),"")</f>
        <v>Expired 2025</v>
      </c>
      <c r="AT255" s="53" t="b">
        <f>ISNUMBER(MATCH(IF(LEN('USER INPUT SHEET'!rng_province)&gt;0,'USER INPUT SHEET'!rng_province,"Canada"),$AU255:$BD255,0))</f>
        <v>0</v>
      </c>
      <c r="AU255" s="1286"/>
      <c r="AV255" s="1286"/>
      <c r="AW255" s="1286"/>
      <c r="AX255" s="1286"/>
      <c r="AY255" s="1286"/>
      <c r="AZ255" s="1286"/>
      <c r="BA255" s="1286"/>
      <c r="BB255" s="1286"/>
      <c r="BC255" s="1286"/>
      <c r="BD255" s="1286"/>
    </row>
    <row r="256" spans="1:56" ht="15.75" customHeight="1" x14ac:dyDescent="0.3">
      <c r="A256" s="50" t="str">
        <f t="shared" si="27"/>
        <v>Plywood / Canadian Wood Council /  / 1/2"</v>
      </c>
      <c r="B256" s="50" t="s">
        <v>536</v>
      </c>
      <c r="C256" s="50" t="s">
        <v>6806</v>
      </c>
      <c r="D256" s="50"/>
      <c r="E256" s="53" t="s">
        <v>407</v>
      </c>
      <c r="H256" s="50"/>
      <c r="I256" s="50"/>
      <c r="J256" s="50"/>
      <c r="K256" s="50">
        <v>226</v>
      </c>
      <c r="L256" s="50" t="s">
        <v>3</v>
      </c>
      <c r="M256" s="70">
        <v>2.8702000000000001</v>
      </c>
      <c r="N256" s="50" t="s">
        <v>1289</v>
      </c>
      <c r="O256" s="53" t="s">
        <v>6807</v>
      </c>
      <c r="P256" s="53" t="s">
        <v>3518</v>
      </c>
      <c r="Q256" s="426">
        <v>47518</v>
      </c>
      <c r="R256" s="53">
        <v>500</v>
      </c>
      <c r="S256" s="53" t="s">
        <v>121</v>
      </c>
      <c r="T256" s="58">
        <v>6.35</v>
      </c>
      <c r="U256" s="53" t="s">
        <v>525</v>
      </c>
      <c r="AA256" s="78">
        <f t="shared" si="38"/>
        <v>22.517099999999999</v>
      </c>
      <c r="AF256" s="53">
        <v>25.018999999999998</v>
      </c>
      <c r="AG256" s="81">
        <f>AF256*rng_biogenic_storage</f>
        <v>22.517099999999999</v>
      </c>
      <c r="AK256" s="165">
        <v>1.2699999999999999E-2</v>
      </c>
      <c r="AN256" s="53" t="s">
        <v>6808</v>
      </c>
      <c r="AT256" s="53" t="b">
        <f>ISNUMBER(MATCH(IF(LEN('USER INPUT SHEET'!rng_province)&gt;0,'USER INPUT SHEET'!rng_province,"Canada"),$AU256:$BD256,0))</f>
        <v>0</v>
      </c>
      <c r="AU256" s="1286"/>
      <c r="AV256" s="1286"/>
      <c r="AW256" s="1286"/>
      <c r="AX256" s="1286"/>
      <c r="AY256" s="1286"/>
      <c r="AZ256" s="1286"/>
      <c r="BA256" s="1286"/>
      <c r="BB256" s="1286"/>
      <c r="BC256" s="1286"/>
      <c r="BD256" s="1286"/>
    </row>
    <row r="257" spans="1:56" ht="15.75" customHeight="1" x14ac:dyDescent="0.3">
      <c r="A257" s="50" t="str">
        <f>B257&amp;" / "&amp;C257&amp;" / "&amp;D257&amp;" / "&amp;E257</f>
        <v>(ARCHIVED 2026) Plywood / American Wood Council &amp; Canadian Wood Council /  / 5/8"</v>
      </c>
      <c r="B257" s="50" t="s">
        <v>6805</v>
      </c>
      <c r="C257" s="50" t="s">
        <v>402</v>
      </c>
      <c r="D257" s="50"/>
      <c r="E257" s="53" t="s">
        <v>338</v>
      </c>
      <c r="H257" s="50" t="s">
        <v>1379</v>
      </c>
      <c r="I257" s="50" t="s">
        <v>124</v>
      </c>
      <c r="J257" s="50"/>
      <c r="K257" s="50">
        <v>219.32</v>
      </c>
      <c r="L257" s="50" t="s">
        <v>3</v>
      </c>
      <c r="M257" s="71">
        <f>(K257*0.0159)</f>
        <v>3.4871880000000002</v>
      </c>
      <c r="N257" s="50" t="s">
        <v>1290</v>
      </c>
      <c r="O257" s="53" t="s">
        <v>537</v>
      </c>
      <c r="P257" s="53" t="s">
        <v>143</v>
      </c>
      <c r="Q257" s="367">
        <v>2025</v>
      </c>
      <c r="R257" s="53">
        <v>484</v>
      </c>
      <c r="S257" s="53" t="s">
        <v>121</v>
      </c>
      <c r="T257" s="58">
        <f>R257*0.0159</f>
        <v>7.6956000000000007</v>
      </c>
      <c r="U257" s="53" t="s">
        <v>945</v>
      </c>
      <c r="Y257" s="53">
        <v>0.97099999999999997</v>
      </c>
      <c r="Z257" s="53">
        <v>0.5</v>
      </c>
      <c r="AA257" s="78">
        <f t="shared" si="38"/>
        <v>12.340714181399999</v>
      </c>
      <c r="AC257" s="53">
        <v>0.82499999999999996</v>
      </c>
      <c r="AD257" s="53">
        <f>T257*Y257*Z257</f>
        <v>3.7362138000000003</v>
      </c>
      <c r="AG257" s="82">
        <f>Y257*Z257*T257*3.67*rng_biogenic_storage</f>
        <v>12.340714181400001</v>
      </c>
      <c r="AH257" s="53" t="s">
        <v>1290</v>
      </c>
      <c r="AI257" s="165">
        <v>1.5900000000000001E-2</v>
      </c>
      <c r="AN257" s="53" t="s">
        <v>6809</v>
      </c>
      <c r="AR257" s="264" t="str">
        <f ca="1">IF(LEN(Q257)=4,IF(Q257&lt;YEAR(NOW()),_xlfn.CONCAT(IF(LOWER(Setting!rng_language)="english","Expired ","Expiré "),Q257),""),"")</f>
        <v>Expired 2025</v>
      </c>
      <c r="AT257" s="53" t="b">
        <f>ISNUMBER(MATCH(IF(LEN('USER INPUT SHEET'!rng_province)&gt;0,'USER INPUT SHEET'!rng_province,"Canada"),$AU257:$BD257,0))</f>
        <v>0</v>
      </c>
      <c r="AU257" s="1286"/>
      <c r="AV257" s="1286"/>
      <c r="AW257" s="1286"/>
      <c r="AX257" s="1286"/>
      <c r="AY257" s="1286"/>
      <c r="AZ257" s="1286"/>
      <c r="BA257" s="1286"/>
      <c r="BB257" s="1286"/>
      <c r="BC257" s="1286"/>
      <c r="BD257" s="1286"/>
    </row>
    <row r="258" spans="1:56" ht="15.75" customHeight="1" x14ac:dyDescent="0.3">
      <c r="A258" s="50" t="str">
        <f t="shared" si="27"/>
        <v>Plywood / Canadian Wood Council /  / 5/8"</v>
      </c>
      <c r="B258" s="50" t="s">
        <v>536</v>
      </c>
      <c r="C258" s="50" t="s">
        <v>6806</v>
      </c>
      <c r="D258" s="50"/>
      <c r="E258" s="53" t="s">
        <v>338</v>
      </c>
      <c r="H258" s="50"/>
      <c r="I258" s="50"/>
      <c r="J258" s="50"/>
      <c r="K258" s="50">
        <v>226</v>
      </c>
      <c r="L258" s="50" t="s">
        <v>3</v>
      </c>
      <c r="M258" s="70">
        <v>3.5877500000000002</v>
      </c>
      <c r="N258" s="50" t="s">
        <v>1290</v>
      </c>
      <c r="O258" s="53" t="s">
        <v>6807</v>
      </c>
      <c r="P258" s="53" t="s">
        <v>3518</v>
      </c>
      <c r="Q258" s="426">
        <v>47518</v>
      </c>
      <c r="R258" s="53">
        <v>500</v>
      </c>
      <c r="S258" s="53" t="s">
        <v>121</v>
      </c>
      <c r="T258" s="58">
        <v>7.9375</v>
      </c>
      <c r="U258" s="53" t="s">
        <v>945</v>
      </c>
      <c r="AA258" s="78">
        <f t="shared" si="38"/>
        <v>28.146374999999999</v>
      </c>
      <c r="AF258" s="53">
        <v>31.27375</v>
      </c>
      <c r="AG258" s="81">
        <f>AF258*rng_biogenic_storage</f>
        <v>28.146374999999999</v>
      </c>
      <c r="AK258" s="165" t="e">
        <v>#REF!</v>
      </c>
      <c r="AN258" s="53">
        <v>160</v>
      </c>
      <c r="AT258" s="53" t="b">
        <f>ISNUMBER(MATCH(IF(LEN('USER INPUT SHEET'!rng_province)&gt;0,'USER INPUT SHEET'!rng_province,"Canada"),$AU258:$BD258,0))</f>
        <v>0</v>
      </c>
      <c r="AU258" s="1286"/>
      <c r="AV258" s="1286"/>
      <c r="AW258" s="1286"/>
      <c r="AX258" s="1286"/>
      <c r="AY258" s="1286"/>
      <c r="AZ258" s="1286"/>
      <c r="BA258" s="1286"/>
      <c r="BB258" s="1286"/>
      <c r="BC258" s="1286"/>
      <c r="BD258" s="1286"/>
    </row>
    <row r="259" spans="1:56" ht="15.75" customHeight="1" x14ac:dyDescent="0.3">
      <c r="A259" s="50" t="str">
        <f>B259&amp;" / "&amp;C259&amp;" / "&amp;D259&amp;" / "&amp;E259</f>
        <v>(ARCHIVED 2026) Plywood / American Wood Council &amp; Canadian Wood Council /  / 3/4"</v>
      </c>
      <c r="B259" s="50" t="s">
        <v>6805</v>
      </c>
      <c r="C259" s="50" t="s">
        <v>402</v>
      </c>
      <c r="D259" s="50"/>
      <c r="E259" s="53" t="s">
        <v>937</v>
      </c>
      <c r="H259" s="50" t="s">
        <v>1379</v>
      </c>
      <c r="I259" s="50" t="s">
        <v>124</v>
      </c>
      <c r="J259" s="50"/>
      <c r="K259" s="50">
        <v>219.32</v>
      </c>
      <c r="L259" s="50" t="s">
        <v>3</v>
      </c>
      <c r="M259" s="71">
        <f>(K259*0.01905)</f>
        <v>4.1780460000000001</v>
      </c>
      <c r="N259" s="50" t="s">
        <v>835</v>
      </c>
      <c r="O259" s="53" t="s">
        <v>537</v>
      </c>
      <c r="P259" s="53" t="s">
        <v>143</v>
      </c>
      <c r="Q259" s="367">
        <v>2025</v>
      </c>
      <c r="R259" s="53">
        <v>484</v>
      </c>
      <c r="S259" s="53" t="s">
        <v>121</v>
      </c>
      <c r="T259" s="58">
        <f>R259*0.01905</f>
        <v>9.2202000000000002</v>
      </c>
      <c r="U259" s="53" t="s">
        <v>419</v>
      </c>
      <c r="Y259" s="53">
        <v>0.97099999999999997</v>
      </c>
      <c r="Z259" s="53">
        <v>0.5</v>
      </c>
      <c r="AA259" s="78">
        <f t="shared" si="38"/>
        <v>14.785572651300001</v>
      </c>
      <c r="AC259" s="53">
        <v>0.82499999999999996</v>
      </c>
      <c r="AD259" s="53">
        <f>T259*Y259*Z259</f>
        <v>4.4764071000000003</v>
      </c>
      <c r="AG259" s="82">
        <f>Y259*Z259*T259*3.67*rng_biogenic_storage</f>
        <v>14.785572651300001</v>
      </c>
      <c r="AH259" s="53" t="s">
        <v>835</v>
      </c>
      <c r="AI259" s="165">
        <v>1.5900000000000001E-2</v>
      </c>
      <c r="AN259" s="53" t="s">
        <v>6810</v>
      </c>
      <c r="AR259" s="264" t="str">
        <f ca="1">IF(LEN(Q259)=4,IF(Q259&lt;YEAR(NOW()),_xlfn.CONCAT(IF(LOWER(Setting!rng_language)="english","Expired ","Expiré "),Q259),""),"")</f>
        <v>Expired 2025</v>
      </c>
      <c r="AT259" s="53" t="b">
        <f>ISNUMBER(MATCH(IF(LEN('USER INPUT SHEET'!rng_province)&gt;0,'USER INPUT SHEET'!rng_province,"Canada"),$AU259:$BD259,0))</f>
        <v>0</v>
      </c>
      <c r="AU259" s="1286"/>
      <c r="AV259" s="1286"/>
      <c r="AW259" s="1286"/>
      <c r="AX259" s="1286"/>
      <c r="AY259" s="1286"/>
      <c r="AZ259" s="1286"/>
      <c r="BA259" s="1286"/>
      <c r="BB259" s="1286"/>
      <c r="BC259" s="1286"/>
      <c r="BD259" s="1286"/>
    </row>
    <row r="260" spans="1:56" ht="15.75" customHeight="1" x14ac:dyDescent="0.3">
      <c r="A260" s="50" t="str">
        <f t="shared" si="27"/>
        <v>Plywood / Canadian Wood Council /  / 3/4"</v>
      </c>
      <c r="B260" s="50" t="s">
        <v>536</v>
      </c>
      <c r="C260" s="50" t="s">
        <v>6806</v>
      </c>
      <c r="D260" s="50"/>
      <c r="E260" s="53" t="s">
        <v>937</v>
      </c>
      <c r="H260" s="50"/>
      <c r="I260" s="50"/>
      <c r="J260" s="50"/>
      <c r="K260" s="50">
        <v>226</v>
      </c>
      <c r="L260" s="50" t="s">
        <v>3</v>
      </c>
      <c r="M260" s="70">
        <v>4.3052999999999999</v>
      </c>
      <c r="N260" s="50" t="s">
        <v>835</v>
      </c>
      <c r="O260" s="53" t="s">
        <v>6807</v>
      </c>
      <c r="P260" s="53" t="s">
        <v>3518</v>
      </c>
      <c r="Q260" s="426">
        <v>47518</v>
      </c>
      <c r="R260" s="53">
        <v>500</v>
      </c>
      <c r="S260" s="53" t="s">
        <v>121</v>
      </c>
      <c r="T260" s="58">
        <v>9.5250000000000004</v>
      </c>
      <c r="U260" s="53" t="s">
        <v>419</v>
      </c>
      <c r="AA260" s="78">
        <f t="shared" si="38"/>
        <v>33.775649999999999</v>
      </c>
      <c r="AF260" s="53">
        <v>37.528500000000001</v>
      </c>
      <c r="AG260" s="81">
        <f>AF260*rng_biogenic_storage</f>
        <v>33.775649999999999</v>
      </c>
      <c r="AK260" s="165">
        <v>1.5875E-2</v>
      </c>
      <c r="AN260" s="53">
        <v>161</v>
      </c>
      <c r="AT260" s="53" t="b">
        <f>ISNUMBER(MATCH(IF(LEN('USER INPUT SHEET'!rng_province)&gt;0,'USER INPUT SHEET'!rng_province,"Canada"),$AU260:$BD260,0))</f>
        <v>0</v>
      </c>
      <c r="AU260" s="1286"/>
      <c r="AV260" s="1286"/>
      <c r="AW260" s="1286"/>
      <c r="AX260" s="1286"/>
      <c r="AY260" s="1286"/>
      <c r="AZ260" s="1286"/>
      <c r="BA260" s="1286"/>
      <c r="BB260" s="1286"/>
      <c r="BC260" s="1286"/>
      <c r="BD260" s="1286"/>
    </row>
    <row r="261" spans="1:56" ht="15.75" customHeight="1" x14ac:dyDescent="0.3">
      <c r="A261" s="50" t="str">
        <f t="shared" ref="A261:A266" si="39">B261&amp;" / "&amp;C261&amp;" / "&amp;D261&amp;" / "&amp;E261</f>
        <v>Plywood / British Columbia Average / Includes : West Fraser Mills, Thompson River Veneer Products / 1/2"</v>
      </c>
      <c r="B261" s="50" t="s">
        <v>536</v>
      </c>
      <c r="C261" s="50" t="s">
        <v>4382</v>
      </c>
      <c r="D261" s="50" t="s">
        <v>4383</v>
      </c>
      <c r="E261" s="53" t="s">
        <v>407</v>
      </c>
      <c r="H261" s="50"/>
      <c r="I261" s="50" t="s">
        <v>3545</v>
      </c>
      <c r="J261" s="401">
        <v>45311</v>
      </c>
      <c r="K261" s="50">
        <v>131.68</v>
      </c>
      <c r="L261" s="50" t="s">
        <v>3</v>
      </c>
      <c r="M261" s="70">
        <v>1.67</v>
      </c>
      <c r="N261" s="50" t="s">
        <v>5</v>
      </c>
      <c r="O261" s="53" t="s">
        <v>4384</v>
      </c>
      <c r="P261" s="53" t="s">
        <v>3518</v>
      </c>
      <c r="Q261" s="401">
        <v>46803</v>
      </c>
      <c r="R261" s="53">
        <v>477.33</v>
      </c>
      <c r="S261" s="53" t="s">
        <v>121</v>
      </c>
      <c r="T261" s="58"/>
      <c r="X261" s="53">
        <v>680.99</v>
      </c>
      <c r="AA261" s="78">
        <f t="shared" si="38"/>
        <v>7.7837157000000001</v>
      </c>
      <c r="AB261" s="53" t="s">
        <v>5</v>
      </c>
      <c r="AD261" s="53">
        <f>X261*0.0127</f>
        <v>8.648572999999999</v>
      </c>
      <c r="AG261" s="81">
        <f>AD261*rng_biogenic_storage</f>
        <v>7.7837156999999992</v>
      </c>
      <c r="AH261" s="53" t="s">
        <v>5</v>
      </c>
      <c r="AN261" s="53" t="s">
        <v>4391</v>
      </c>
      <c r="AT261" s="53" t="b">
        <f>ISNUMBER(MATCH(IF(LEN('USER INPUT SHEET'!rng_province)&gt;0,'USER INPUT SHEET'!rng_province,"Canada"),$AU261:$BD261,0))</f>
        <v>0</v>
      </c>
      <c r="AU261" s="1286"/>
      <c r="AV261" s="1286"/>
      <c r="AW261" s="1286"/>
      <c r="AX261" s="1286"/>
      <c r="AY261" s="1286"/>
      <c r="AZ261" s="1286"/>
      <c r="BA261" s="1286"/>
      <c r="BB261" s="1286"/>
      <c r="BC261" s="1286"/>
      <c r="BD261" s="1286"/>
    </row>
    <row r="262" spans="1:56" ht="15.75" customHeight="1" x14ac:dyDescent="0.3">
      <c r="A262" s="50" t="str">
        <f t="shared" si="39"/>
        <v>Plywood / British Columbia Average / Includes : West Fraser Mills, Thompson River Veneer Products / 3/4"</v>
      </c>
      <c r="B262" s="50" t="s">
        <v>536</v>
      </c>
      <c r="C262" s="50" t="s">
        <v>4382</v>
      </c>
      <c r="D262" s="50" t="s">
        <v>4383</v>
      </c>
      <c r="E262" s="53" t="s">
        <v>937</v>
      </c>
      <c r="H262" s="50"/>
      <c r="I262" s="50" t="s">
        <v>3545</v>
      </c>
      <c r="J262" s="401">
        <v>45311</v>
      </c>
      <c r="K262" s="50">
        <v>131.68</v>
      </c>
      <c r="L262" s="50" t="s">
        <v>3</v>
      </c>
      <c r="M262" s="70">
        <v>2.5099999999999998</v>
      </c>
      <c r="N262" s="50" t="s">
        <v>5</v>
      </c>
      <c r="O262" s="53" t="s">
        <v>4384</v>
      </c>
      <c r="P262" s="53" t="s">
        <v>3518</v>
      </c>
      <c r="Q262" s="401">
        <v>46803</v>
      </c>
      <c r="R262" s="53">
        <v>477.33</v>
      </c>
      <c r="S262" s="53" t="s">
        <v>121</v>
      </c>
      <c r="T262" s="58"/>
      <c r="X262" s="53">
        <v>680.99</v>
      </c>
      <c r="AA262" s="78">
        <f t="shared" si="38"/>
        <v>9.7296446250000006</v>
      </c>
      <c r="AB262" s="53" t="s">
        <v>5</v>
      </c>
      <c r="AD262" s="53">
        <f>X262*0.015875</f>
        <v>10.81071625</v>
      </c>
      <c r="AG262" s="81">
        <f>AD262*rng_biogenic_storage</f>
        <v>9.7296446250000006</v>
      </c>
      <c r="AH262" s="53" t="s">
        <v>5</v>
      </c>
      <c r="AN262" s="53" t="s">
        <v>4392</v>
      </c>
      <c r="AT262" s="53" t="b">
        <f>ISNUMBER(MATCH(IF(LEN('USER INPUT SHEET'!rng_province)&gt;0,'USER INPUT SHEET'!rng_province,"Canada"),$AU262:$BD262,0))</f>
        <v>0</v>
      </c>
      <c r="AU262" s="1286"/>
      <c r="AV262" s="1286"/>
      <c r="AW262" s="1286"/>
      <c r="AX262" s="1286"/>
      <c r="AY262" s="1286"/>
      <c r="AZ262" s="1286"/>
      <c r="BA262" s="1286"/>
      <c r="BB262" s="1286"/>
      <c r="BC262" s="1286"/>
      <c r="BD262" s="1286"/>
    </row>
    <row r="263" spans="1:56" ht="15.75" customHeight="1" x14ac:dyDescent="0.3">
      <c r="A263" s="50" t="str">
        <f t="shared" si="39"/>
        <v>Plywood / British Columbia Average / Includes : West Fraser Mills, Thompson River Veneer Products / 5/8"</v>
      </c>
      <c r="B263" s="50" t="s">
        <v>536</v>
      </c>
      <c r="C263" s="50" t="s">
        <v>4382</v>
      </c>
      <c r="D263" s="50" t="s">
        <v>4383</v>
      </c>
      <c r="E263" s="53" t="s">
        <v>338</v>
      </c>
      <c r="H263" s="50"/>
      <c r="I263" s="50" t="s">
        <v>3545</v>
      </c>
      <c r="J263" s="401">
        <v>45311</v>
      </c>
      <c r="K263" s="50">
        <v>131.68</v>
      </c>
      <c r="L263" s="50" t="s">
        <v>3</v>
      </c>
      <c r="M263" s="70">
        <v>2.09</v>
      </c>
      <c r="N263" s="50" t="s">
        <v>5</v>
      </c>
      <c r="O263" s="53" t="s">
        <v>4384</v>
      </c>
      <c r="P263" s="53" t="s">
        <v>3518</v>
      </c>
      <c r="Q263" s="401">
        <v>46803</v>
      </c>
      <c r="R263" s="53">
        <v>477.33</v>
      </c>
      <c r="S263" s="53" t="s">
        <v>121</v>
      </c>
      <c r="T263" s="58"/>
      <c r="X263" s="53">
        <v>680.99</v>
      </c>
      <c r="AA263" s="78">
        <f t="shared" si="38"/>
        <v>12.257820000000001</v>
      </c>
      <c r="AB263" s="53" t="s">
        <v>5</v>
      </c>
      <c r="AD263" s="53">
        <f>X263*0.02</f>
        <v>13.6198</v>
      </c>
      <c r="AG263" s="81">
        <f>AD263*rng_biogenic_storage</f>
        <v>12.257820000000001</v>
      </c>
      <c r="AH263" s="53" t="s">
        <v>5</v>
      </c>
      <c r="AN263" s="53" t="s">
        <v>4393</v>
      </c>
      <c r="AT263" s="53" t="b">
        <f>ISNUMBER(MATCH(IF(LEN('USER INPUT SHEET'!rng_province)&gt;0,'USER INPUT SHEET'!rng_province,"Canada"),$AU263:$BD263,0))</f>
        <v>0</v>
      </c>
      <c r="AU263" s="1286"/>
      <c r="AV263" s="1286"/>
      <c r="AW263" s="1286"/>
      <c r="AX263" s="1286"/>
      <c r="AY263" s="1286"/>
      <c r="AZ263" s="1286"/>
      <c r="BA263" s="1286"/>
      <c r="BB263" s="1286"/>
      <c r="BC263" s="1286"/>
      <c r="BD263" s="1286"/>
    </row>
    <row r="264" spans="1:56" ht="15.75" customHeight="1" x14ac:dyDescent="0.3">
      <c r="A264" s="50" t="str">
        <f t="shared" si="39"/>
        <v>Plywood / Roseburg / Hardwood plywood. Includes:  walnut, alder, cherry, mahogany, oak, birch, maple faces  / 3/4"</v>
      </c>
      <c r="B264" s="50" t="s">
        <v>536</v>
      </c>
      <c r="C264" s="50" t="s">
        <v>726</v>
      </c>
      <c r="D264" s="50" t="s">
        <v>4385</v>
      </c>
      <c r="E264" s="53" t="s">
        <v>937</v>
      </c>
      <c r="H264" s="50"/>
      <c r="I264" s="50" t="s">
        <v>3500</v>
      </c>
      <c r="J264" s="401">
        <v>45327</v>
      </c>
      <c r="K264" s="50">
        <v>4.57</v>
      </c>
      <c r="L264" s="50" t="s">
        <v>835</v>
      </c>
      <c r="M264" s="70">
        <v>4.57</v>
      </c>
      <c r="N264" s="50" t="s">
        <v>3501</v>
      </c>
      <c r="O264" s="53" t="s">
        <v>4386</v>
      </c>
      <c r="P264" s="53" t="s">
        <v>3502</v>
      </c>
      <c r="Q264" s="367">
        <v>2024</v>
      </c>
      <c r="R264" s="53">
        <v>8.9</v>
      </c>
      <c r="S264" s="53" t="s">
        <v>419</v>
      </c>
      <c r="T264" s="58"/>
      <c r="Y264" s="53">
        <v>0.94</v>
      </c>
      <c r="Z264" s="53">
        <v>0.49</v>
      </c>
      <c r="AA264" s="78">
        <f t="shared" si="38"/>
        <v>13.54012002</v>
      </c>
      <c r="AD264" s="53">
        <v>15.044577799999999</v>
      </c>
      <c r="AG264" s="81">
        <f>Y264*Z264*R264*3.67*rng_biogenic_storage</f>
        <v>13.54012002</v>
      </c>
      <c r="AH264" s="53" t="s">
        <v>3501</v>
      </c>
      <c r="AN264" s="53" t="s">
        <v>4394</v>
      </c>
      <c r="AT264" s="53" t="b">
        <f>ISNUMBER(MATCH(IF(LEN('USER INPUT SHEET'!rng_province)&gt;0,'USER INPUT SHEET'!rng_province,"Canada"),$AU264:$BD264,0))</f>
        <v>0</v>
      </c>
      <c r="AU264" s="1286"/>
      <c r="AV264" s="1286"/>
      <c r="AW264" s="1286"/>
      <c r="AX264" s="1286"/>
      <c r="AY264" s="1286"/>
      <c r="AZ264" s="1286"/>
      <c r="BA264" s="1286"/>
      <c r="BB264" s="1286"/>
      <c r="BC264" s="1286"/>
      <c r="BD264" s="1286"/>
    </row>
    <row r="265" spans="1:56" ht="15.75" customHeight="1" x14ac:dyDescent="0.3">
      <c r="A265" s="50" t="str">
        <f t="shared" si="39"/>
        <v>Plywood / Roseburg / softwood plywood / 1/2"</v>
      </c>
      <c r="B265" s="50" t="s">
        <v>536</v>
      </c>
      <c r="C265" s="50" t="s">
        <v>726</v>
      </c>
      <c r="D265" s="50" t="s">
        <v>4387</v>
      </c>
      <c r="E265" s="53" t="s">
        <v>407</v>
      </c>
      <c r="H265" s="50"/>
      <c r="I265" s="50" t="s">
        <v>3500</v>
      </c>
      <c r="J265" s="401">
        <v>45327</v>
      </c>
      <c r="K265" s="50">
        <v>1.5</v>
      </c>
      <c r="L265" s="50" t="s">
        <v>4388</v>
      </c>
      <c r="M265" s="70">
        <v>1.9994999999999998</v>
      </c>
      <c r="N265" s="50" t="s">
        <v>3501</v>
      </c>
      <c r="O265" s="53" t="s">
        <v>4389</v>
      </c>
      <c r="P265" s="53" t="s">
        <v>3502</v>
      </c>
      <c r="Q265" s="367">
        <v>2024</v>
      </c>
      <c r="R265" s="53">
        <v>4.38</v>
      </c>
      <c r="S265" s="53" t="s">
        <v>4390</v>
      </c>
      <c r="T265" s="58">
        <f>R265*1.333</f>
        <v>5.8385400000000001</v>
      </c>
      <c r="U265" s="53" t="s">
        <v>525</v>
      </c>
      <c r="Y265" s="53">
        <v>0.94499999999999995</v>
      </c>
      <c r="Z265" s="53">
        <v>0.5</v>
      </c>
      <c r="AA265" s="78">
        <f t="shared" si="38"/>
        <v>9.1120196254499994</v>
      </c>
      <c r="AD265" s="53">
        <v>10.124466250499999</v>
      </c>
      <c r="AG265" s="81">
        <f>Y265*Z265*T265*3.67*rng_biogenic_storage</f>
        <v>9.1120196254499994</v>
      </c>
      <c r="AH265" s="53" t="s">
        <v>3501</v>
      </c>
      <c r="AN265" s="53" t="s">
        <v>2324</v>
      </c>
      <c r="AT265" s="53" t="b">
        <f>ISNUMBER(MATCH(IF(LEN('USER INPUT SHEET'!rng_province)&gt;0,'USER INPUT SHEET'!rng_province,"Canada"),$AU265:$BD265,0))</f>
        <v>0</v>
      </c>
      <c r="AU265" s="1286"/>
      <c r="AV265" s="1286"/>
      <c r="AW265" s="1286"/>
      <c r="AX265" s="1286"/>
      <c r="AY265" s="1286"/>
      <c r="AZ265" s="1286"/>
      <c r="BA265" s="1286"/>
      <c r="BB265" s="1286"/>
      <c r="BC265" s="1286"/>
      <c r="BD265" s="1286"/>
    </row>
    <row r="266" spans="1:56" ht="15.75" customHeight="1" x14ac:dyDescent="0.3">
      <c r="A266" s="50" t="str">
        <f t="shared" si="39"/>
        <v>Plywood / Roseburg / softwood plywood / 3/4"</v>
      </c>
      <c r="B266" s="50" t="s">
        <v>536</v>
      </c>
      <c r="C266" s="50" t="s">
        <v>726</v>
      </c>
      <c r="D266" s="50" t="s">
        <v>4387</v>
      </c>
      <c r="E266" s="53" t="s">
        <v>937</v>
      </c>
      <c r="H266" s="50"/>
      <c r="I266" s="50" t="s">
        <v>3500</v>
      </c>
      <c r="J266" s="401">
        <v>45327</v>
      </c>
      <c r="K266" s="50">
        <v>1.5</v>
      </c>
      <c r="L266" s="50" t="s">
        <v>4388</v>
      </c>
      <c r="M266" s="70">
        <v>3</v>
      </c>
      <c r="N266" s="50" t="s">
        <v>3501</v>
      </c>
      <c r="O266" s="53" t="s">
        <v>4389</v>
      </c>
      <c r="P266" s="53" t="s">
        <v>3502</v>
      </c>
      <c r="Q266" s="367">
        <v>2024</v>
      </c>
      <c r="R266" s="53">
        <v>4.38</v>
      </c>
      <c r="S266" s="53" t="s">
        <v>4390</v>
      </c>
      <c r="T266" s="58">
        <f>R266*2</f>
        <v>8.76</v>
      </c>
      <c r="U266" s="53" t="s">
        <v>419</v>
      </c>
      <c r="Y266" s="53">
        <v>0.94499999999999995</v>
      </c>
      <c r="Z266" s="53">
        <v>0.5</v>
      </c>
      <c r="AA266" s="78">
        <f t="shared" si="38"/>
        <v>13.671447300000001</v>
      </c>
      <c r="AD266" s="53">
        <v>15.190497000000001</v>
      </c>
      <c r="AG266" s="81">
        <f>Y266*Z266*T266*3.67*rng_biogenic_storage</f>
        <v>13.671447300000001</v>
      </c>
      <c r="AH266" s="53" t="s">
        <v>3501</v>
      </c>
      <c r="AN266" s="53" t="s">
        <v>2184</v>
      </c>
      <c r="AT266" s="53" t="b">
        <f>ISNUMBER(MATCH(IF(LEN('USER INPUT SHEET'!rng_province)&gt;0,'USER INPUT SHEET'!rng_province,"Canada"),$AU266:$BD266,0))</f>
        <v>0</v>
      </c>
      <c r="AU266" s="1286"/>
      <c r="AV266" s="1286"/>
      <c r="AW266" s="1286"/>
      <c r="AX266" s="1286"/>
      <c r="AY266" s="1286"/>
      <c r="AZ266" s="1286"/>
      <c r="BA266" s="1286"/>
      <c r="BB266" s="1286"/>
      <c r="BC266" s="1286"/>
      <c r="BD266" s="1286"/>
    </row>
    <row r="267" spans="1:56" ht="15.75" customHeight="1" x14ac:dyDescent="0.3">
      <c r="A267" s="50" t="str">
        <f>B267&amp;" / "&amp;C267&amp;" / "&amp;D267&amp;" / "&amp;E267</f>
        <v>(ARCHIVED 2025) Polyiso - roof boards / Carlisle / GRF cellulosic facer / R 5.8/inch</v>
      </c>
      <c r="B267" s="50" t="s">
        <v>4395</v>
      </c>
      <c r="C267" s="50" t="s">
        <v>539</v>
      </c>
      <c r="D267" s="50" t="s">
        <v>3514</v>
      </c>
      <c r="E267" s="53" t="s">
        <v>541</v>
      </c>
      <c r="H267" s="50"/>
      <c r="I267" s="50" t="s">
        <v>3515</v>
      </c>
      <c r="J267" s="50"/>
      <c r="K267" s="50">
        <v>2.1800000000000002</v>
      </c>
      <c r="L267" s="50" t="s">
        <v>3516</v>
      </c>
      <c r="M267" s="70">
        <v>2.1800000000000002</v>
      </c>
      <c r="N267" s="50" t="s">
        <v>3516</v>
      </c>
      <c r="O267" s="53" t="s">
        <v>3517</v>
      </c>
      <c r="P267" s="53" t="s">
        <v>3518</v>
      </c>
      <c r="Q267" s="367">
        <v>2026</v>
      </c>
      <c r="R267" s="53">
        <v>28.92</v>
      </c>
      <c r="S267" s="53" t="s">
        <v>121</v>
      </c>
      <c r="T267" s="58"/>
      <c r="V267" s="53">
        <v>5.8</v>
      </c>
      <c r="W267" s="53">
        <v>2.4865724137931033E-2</v>
      </c>
      <c r="AA267" s="78">
        <f t="shared" ref="AA267:AA330" si="40">_xlfn.NUMBERVALUE(IF(LEN(AG267)&gt;0,AG267,0))</f>
        <v>0</v>
      </c>
      <c r="AG267" s="81"/>
      <c r="AN267" s="53">
        <v>162</v>
      </c>
      <c r="AR267" s="264" t="str">
        <f ca="1">IF(LEN(Q267)=4,IF(Q267&lt;YEAR(NOW()),_xlfn.CONCAT(IF(LOWER(Setting!rng_language)="english","Expired ","Expiré "),Q267),""),"")</f>
        <v/>
      </c>
      <c r="AT267" s="53" t="b">
        <f>ISNUMBER(MATCH(IF(LEN('USER INPUT SHEET'!rng_province)&gt;0,'USER INPUT SHEET'!rng_province,"Canada"),$AU267:$BD267,0))</f>
        <v>0</v>
      </c>
      <c r="AU267" s="1286"/>
      <c r="AV267" s="1286"/>
      <c r="AW267" s="1286"/>
      <c r="AX267" s="1286"/>
      <c r="AY267" s="1286"/>
      <c r="AZ267" s="1286"/>
      <c r="BA267" s="1286"/>
      <c r="BB267" s="1286"/>
      <c r="BC267" s="1286"/>
      <c r="BD267" s="1286"/>
    </row>
    <row r="268" spans="1:56" ht="15.75" customHeight="1" x14ac:dyDescent="0.3">
      <c r="A268" s="50" t="str">
        <f t="shared" ref="A268" si="41">B268&amp;" / "&amp;C268&amp;" / "&amp;D268&amp;" / "&amp;E268</f>
        <v>Polyiso - roof boards / Carlisle / GRF cellulosic facer / GRF facer / Type II R 5.6-inch, 16 psi</v>
      </c>
      <c r="B268" s="50" t="s">
        <v>538</v>
      </c>
      <c r="C268" s="50" t="s">
        <v>539</v>
      </c>
      <c r="D268" s="50" t="s">
        <v>3514</v>
      </c>
      <c r="E268" s="53" t="s">
        <v>4398</v>
      </c>
      <c r="H268" s="50"/>
      <c r="I268" s="50" t="s">
        <v>3500</v>
      </c>
      <c r="J268" s="401">
        <v>44990</v>
      </c>
      <c r="K268" s="50">
        <v>2.1800000000000002</v>
      </c>
      <c r="L268" s="50" t="s">
        <v>3516</v>
      </c>
      <c r="M268" s="70">
        <v>2.1800000000000002</v>
      </c>
      <c r="N268" s="50" t="s">
        <v>3516</v>
      </c>
      <c r="O268" s="53" t="s">
        <v>3517</v>
      </c>
      <c r="P268" s="53" t="s">
        <v>3518</v>
      </c>
      <c r="Q268" s="401">
        <v>46282</v>
      </c>
      <c r="R268" s="53">
        <v>28.92</v>
      </c>
      <c r="S268" s="53" t="s">
        <v>121</v>
      </c>
      <c r="T268" s="58"/>
      <c r="V268" s="53">
        <v>5.6</v>
      </c>
      <c r="W268" s="53">
        <v>2.5753785714285715E-2</v>
      </c>
      <c r="AA268" s="78">
        <f t="shared" si="40"/>
        <v>0</v>
      </c>
      <c r="AG268" s="81"/>
      <c r="AN268" s="53" t="s">
        <v>3989</v>
      </c>
      <c r="AT268" s="53" t="b">
        <f>ISNUMBER(MATCH(IF(LEN('USER INPUT SHEET'!rng_province)&gt;0,'USER INPUT SHEET'!rng_province,"Canada"),$AU268:$BD268,0))</f>
        <v>0</v>
      </c>
      <c r="AU268" s="1286"/>
      <c r="AV268" s="1286"/>
      <c r="AW268" s="1286"/>
      <c r="AX268" s="1286"/>
      <c r="AY268" s="1286"/>
      <c r="AZ268" s="1286"/>
      <c r="BA268" s="1286"/>
      <c r="BB268" s="1286"/>
      <c r="BC268" s="1286"/>
      <c r="BD268" s="1286"/>
    </row>
    <row r="269" spans="1:56" ht="15.75" customHeight="1" x14ac:dyDescent="0.3">
      <c r="A269" s="50" t="str">
        <f t="shared" si="27"/>
        <v>(ARCHIVED 2023) Polyiso - roof boards / Carlisle / InsulBase, SecurShield, StormBase / R 5.8/inch</v>
      </c>
      <c r="B269" s="50" t="s">
        <v>3764</v>
      </c>
      <c r="C269" s="50" t="s">
        <v>539</v>
      </c>
      <c r="D269" s="50" t="s">
        <v>540</v>
      </c>
      <c r="E269" s="50" t="s">
        <v>541</v>
      </c>
      <c r="H269" s="50"/>
      <c r="I269" s="50" t="s">
        <v>129</v>
      </c>
      <c r="J269" s="50"/>
      <c r="K269" s="50">
        <v>2.41</v>
      </c>
      <c r="L269" s="50" t="s">
        <v>825</v>
      </c>
      <c r="M269" s="71">
        <f>(2.41)</f>
        <v>2.41</v>
      </c>
      <c r="N269" s="50" t="s">
        <v>825</v>
      </c>
      <c r="O269" s="53" t="s">
        <v>507</v>
      </c>
      <c r="P269" s="53" t="s">
        <v>143</v>
      </c>
      <c r="Q269" s="367">
        <v>2022</v>
      </c>
      <c r="R269" s="53">
        <v>28.92</v>
      </c>
      <c r="S269" s="53" t="s">
        <v>121</v>
      </c>
      <c r="V269" s="53">
        <v>5.8</v>
      </c>
      <c r="AA269" s="78">
        <f t="shared" si="40"/>
        <v>0</v>
      </c>
      <c r="AG269" s="82"/>
      <c r="AN269" s="53" t="s">
        <v>3789</v>
      </c>
      <c r="AR269" s="264" t="str">
        <f ca="1">IF(LEN(Q269)=4,IF(Q269&lt;YEAR(NOW()),_xlfn.CONCAT(IF(LOWER(Setting!rng_language)="english","Expired ","Expiré "),Q269),""),"")</f>
        <v>Expired 2022</v>
      </c>
      <c r="AT269" s="53" t="b">
        <f>ISNUMBER(MATCH(IF(LEN('USER INPUT SHEET'!rng_province)&gt;0,'USER INPUT SHEET'!rng_province,"Canada"),$AU269:$BD269,0))</f>
        <v>0</v>
      </c>
      <c r="AU269" s="1289"/>
      <c r="AV269" s="1289"/>
      <c r="AW269" s="1289"/>
      <c r="AX269" s="1289"/>
      <c r="AY269" s="1289"/>
      <c r="AZ269" s="1289"/>
      <c r="BA269" s="1289"/>
      <c r="BB269" s="1289"/>
      <c r="BC269" s="1289"/>
      <c r="BD269" s="1289"/>
    </row>
    <row r="270" spans="1:56" ht="15.75" customHeight="1" x14ac:dyDescent="0.3">
      <c r="A270" s="50" t="str">
        <f t="shared" si="27"/>
        <v>(ARCHIVED 2025) Polyiso - roof boards / Hunter / Polysio Roof insulation boards / R 5.8/inch</v>
      </c>
      <c r="B270" s="50" t="s">
        <v>4395</v>
      </c>
      <c r="C270" s="50" t="s">
        <v>542</v>
      </c>
      <c r="D270" s="50" t="s">
        <v>3519</v>
      </c>
      <c r="E270" s="50" t="s">
        <v>541</v>
      </c>
      <c r="H270" s="50"/>
      <c r="I270" s="50" t="s">
        <v>3500</v>
      </c>
      <c r="J270" s="50"/>
      <c r="K270" s="50">
        <v>2.1800000000000002</v>
      </c>
      <c r="L270" s="50" t="s">
        <v>3516</v>
      </c>
      <c r="M270" s="70">
        <v>2.1800000000000002</v>
      </c>
      <c r="N270" s="50" t="s">
        <v>3516</v>
      </c>
      <c r="O270" s="53" t="s">
        <v>3520</v>
      </c>
      <c r="P270" s="53" t="s">
        <v>3518</v>
      </c>
      <c r="Q270" s="367">
        <v>2026</v>
      </c>
      <c r="R270" s="53">
        <v>28.92</v>
      </c>
      <c r="S270" s="53" t="s">
        <v>121</v>
      </c>
      <c r="V270" s="53">
        <v>5.8</v>
      </c>
      <c r="W270" s="53">
        <f t="shared" ref="W270" si="42">0.0254*5.678/V270</f>
        <v>2.4865724137931033E-2</v>
      </c>
      <c r="AA270" s="78">
        <f t="shared" si="40"/>
        <v>0</v>
      </c>
      <c r="AG270" s="81"/>
      <c r="AN270" s="53">
        <v>163</v>
      </c>
      <c r="AR270" s="264" t="str">
        <f ca="1">IF(LEN(Q270)=4,IF(Q270&lt;YEAR(NOW()),_xlfn.CONCAT(IF(LOWER(Setting!rng_language)="english","Expired ","Expiré "),Q270),""),"")</f>
        <v/>
      </c>
      <c r="AT270" s="53" t="b">
        <f>ISNUMBER(MATCH(IF(LEN('USER INPUT SHEET'!rng_province)&gt;0,'USER INPUT SHEET'!rng_province,"Canada"),$AU270:$BD270,0))</f>
        <v>0</v>
      </c>
      <c r="AU270" s="1289"/>
      <c r="AV270" s="1289"/>
      <c r="AW270" s="1289"/>
      <c r="AX270" s="1289"/>
      <c r="AY270" s="1289"/>
      <c r="AZ270" s="1289"/>
      <c r="BA270" s="1289"/>
      <c r="BB270" s="1289"/>
      <c r="BC270" s="1289"/>
      <c r="BD270" s="1289"/>
    </row>
    <row r="271" spans="1:56" ht="15.75" customHeight="1" x14ac:dyDescent="0.3">
      <c r="A271" s="50" t="str">
        <f t="shared" si="27"/>
        <v>Polyiso - roof boards / Hunter / H-Shield / GRF facer / Type II R 5.6-inch, 16 psi</v>
      </c>
      <c r="B271" s="50" t="s">
        <v>538</v>
      </c>
      <c r="C271" s="50" t="s">
        <v>542</v>
      </c>
      <c r="D271" s="50" t="s">
        <v>4399</v>
      </c>
      <c r="E271" s="50" t="s">
        <v>4398</v>
      </c>
      <c r="H271" s="50"/>
      <c r="I271" s="50" t="s">
        <v>3500</v>
      </c>
      <c r="J271" s="401">
        <v>44992</v>
      </c>
      <c r="K271" s="50">
        <v>2.1800000000000002</v>
      </c>
      <c r="L271" s="50" t="s">
        <v>3516</v>
      </c>
      <c r="M271" s="70">
        <v>2.1800000000000002</v>
      </c>
      <c r="N271" s="50" t="s">
        <v>3516</v>
      </c>
      <c r="O271" s="53" t="s">
        <v>3520</v>
      </c>
      <c r="P271" s="53" t="s">
        <v>3518</v>
      </c>
      <c r="Q271" s="401">
        <v>46338</v>
      </c>
      <c r="R271" s="53">
        <v>28.92</v>
      </c>
      <c r="S271" s="53" t="s">
        <v>121</v>
      </c>
      <c r="V271" s="53">
        <v>5.6</v>
      </c>
      <c r="W271" s="53">
        <v>2.5753785714285715E-2</v>
      </c>
      <c r="AA271" s="78">
        <f t="shared" si="40"/>
        <v>0</v>
      </c>
      <c r="AG271" s="81"/>
      <c r="AN271" s="53" t="s">
        <v>4429</v>
      </c>
      <c r="AT271" s="53" t="b">
        <f>ISNUMBER(MATCH(IF(LEN('USER INPUT SHEET'!rng_province)&gt;0,'USER INPUT SHEET'!rng_province,"Canada"),$AU271:$BD271,0))</f>
        <v>0</v>
      </c>
      <c r="AU271" s="1289"/>
      <c r="AV271" s="1289"/>
      <c r="AW271" s="1289"/>
      <c r="AX271" s="1289"/>
      <c r="AY271" s="1289"/>
      <c r="AZ271" s="1289"/>
      <c r="BA271" s="1289"/>
      <c r="BB271" s="1289"/>
      <c r="BC271" s="1289"/>
      <c r="BD271" s="1289"/>
    </row>
    <row r="272" spans="1:56" ht="15.75" customHeight="1" x14ac:dyDescent="0.3">
      <c r="A272" s="50" t="str">
        <f t="shared" si="27"/>
        <v>(ARCHIVED 2023) Polyiso - roof boards / Hunter / H-Shield products / R 5.8/inch</v>
      </c>
      <c r="B272" s="50" t="s">
        <v>3764</v>
      </c>
      <c r="C272" s="50" t="s">
        <v>542</v>
      </c>
      <c r="D272" s="50" t="s">
        <v>543</v>
      </c>
      <c r="E272" s="50" t="s">
        <v>541</v>
      </c>
      <c r="H272" s="50"/>
      <c r="I272" s="50" t="s">
        <v>129</v>
      </c>
      <c r="J272" s="50"/>
      <c r="K272" s="50">
        <v>2.41</v>
      </c>
      <c r="L272" s="50" t="s">
        <v>825</v>
      </c>
      <c r="M272" s="71">
        <f>(2.41)</f>
        <v>2.41</v>
      </c>
      <c r="N272" s="50" t="s">
        <v>825</v>
      </c>
      <c r="O272" s="53" t="s">
        <v>544</v>
      </c>
      <c r="P272" s="53" t="s">
        <v>143</v>
      </c>
      <c r="Q272" s="367">
        <v>2022</v>
      </c>
      <c r="R272" s="53">
        <v>28.92</v>
      </c>
      <c r="S272" s="53" t="s">
        <v>121</v>
      </c>
      <c r="V272" s="53">
        <v>5.8</v>
      </c>
      <c r="AA272" s="78">
        <f t="shared" si="40"/>
        <v>0</v>
      </c>
      <c r="AG272" s="82"/>
      <c r="AN272" s="53" t="s">
        <v>3790</v>
      </c>
      <c r="AR272" s="264" t="str">
        <f ca="1">IF(LEN(Q272)=4,IF(Q272&lt;YEAR(NOW()),_xlfn.CONCAT(IF(LOWER(Setting!rng_language)="english","Expired ","Expiré "),Q272),""),"")</f>
        <v>Expired 2022</v>
      </c>
      <c r="AT272" s="53" t="b">
        <f>ISNUMBER(MATCH(IF(LEN('USER INPUT SHEET'!rng_province)&gt;0,'USER INPUT SHEET'!rng_province,"Canada"),$AU272:$BD272,0))</f>
        <v>0</v>
      </c>
      <c r="AU272" s="1289"/>
      <c r="AV272" s="1289"/>
      <c r="AW272" s="1289"/>
      <c r="AX272" s="1289"/>
      <c r="AY272" s="1289"/>
      <c r="AZ272" s="1289"/>
      <c r="BA272" s="1289"/>
      <c r="BB272" s="1289"/>
      <c r="BC272" s="1289"/>
      <c r="BD272" s="1289"/>
    </row>
    <row r="273" spans="1:56" ht="15.75" customHeight="1" x14ac:dyDescent="0.3">
      <c r="A273" s="50" t="str">
        <f t="shared" si="27"/>
        <v>(ARCHIVED 2025) Polyiso - roof boards / PIMA / Includes: Atlas, Firestone, GAF, Johns Manville, Rmax / R 5.8/inch</v>
      </c>
      <c r="B273" s="50" t="s">
        <v>4395</v>
      </c>
      <c r="C273" s="50" t="s">
        <v>545</v>
      </c>
      <c r="D273" s="50" t="s">
        <v>546</v>
      </c>
      <c r="E273" s="50" t="s">
        <v>541</v>
      </c>
      <c r="H273" s="50"/>
      <c r="I273" s="50" t="s">
        <v>129</v>
      </c>
      <c r="J273" s="50"/>
      <c r="K273" s="50">
        <v>2.8</v>
      </c>
      <c r="L273" s="50" t="s">
        <v>825</v>
      </c>
      <c r="M273" s="71">
        <f>(2.8)</f>
        <v>2.8</v>
      </c>
      <c r="N273" s="50" t="s">
        <v>825</v>
      </c>
      <c r="O273" s="53" t="s">
        <v>547</v>
      </c>
      <c r="P273" s="53" t="s">
        <v>158</v>
      </c>
      <c r="Q273" s="367">
        <v>2020</v>
      </c>
      <c r="R273" s="53">
        <v>28.92</v>
      </c>
      <c r="S273" s="53" t="s">
        <v>121</v>
      </c>
      <c r="V273" s="53">
        <v>5.8</v>
      </c>
      <c r="AA273" s="78">
        <f t="shared" si="40"/>
        <v>0</v>
      </c>
      <c r="AG273" s="82"/>
      <c r="AN273" s="53">
        <v>164</v>
      </c>
      <c r="AR273" s="264" t="str">
        <f ca="1">IF(LEN(Q273)=4,IF(Q273&lt;YEAR(NOW()),_xlfn.CONCAT(IF(LOWER(Setting!rng_language)="english","Expired ","Expiré "),Q273),""),"")</f>
        <v>Expired 2020</v>
      </c>
      <c r="AT273" s="53" t="b">
        <f>ISNUMBER(MATCH(IF(LEN('USER INPUT SHEET'!rng_province)&gt;0,'USER INPUT SHEET'!rng_province,"Canada"),$AU273:$BD273,0))</f>
        <v>0</v>
      </c>
      <c r="AU273" s="1286"/>
      <c r="AV273" s="1286"/>
      <c r="AW273" s="1286"/>
      <c r="AX273" s="1286"/>
      <c r="AY273" s="1286"/>
      <c r="AZ273" s="1286"/>
      <c r="BA273" s="1286"/>
      <c r="BB273" s="1286"/>
      <c r="BC273" s="1286"/>
      <c r="BD273" s="1286"/>
    </row>
    <row r="274" spans="1:56" ht="15.75" customHeight="1" x14ac:dyDescent="0.3">
      <c r="A274" s="50" t="str">
        <f t="shared" si="27"/>
        <v>Polyiso - roof boards / PIMA / Includes: Atlas, Firestone, GAF, Johns Manville, Rmax, Carlisle, Iko, Soprema / GRF facer / R 5.6/inch</v>
      </c>
      <c r="B274" s="50" t="s">
        <v>538</v>
      </c>
      <c r="C274" s="50" t="s">
        <v>545</v>
      </c>
      <c r="D274" s="50" t="s">
        <v>3720</v>
      </c>
      <c r="E274" s="50" t="s">
        <v>4400</v>
      </c>
      <c r="H274" s="50"/>
      <c r="I274" s="50" t="s">
        <v>3515</v>
      </c>
      <c r="J274" s="401">
        <v>44635</v>
      </c>
      <c r="K274" s="50">
        <v>2.1086</v>
      </c>
      <c r="L274" s="50" t="s">
        <v>3516</v>
      </c>
      <c r="M274" s="70">
        <v>2.1086</v>
      </c>
      <c r="N274" s="50" t="s">
        <v>3516</v>
      </c>
      <c r="O274" s="53" t="s">
        <v>4401</v>
      </c>
      <c r="P274" s="53" t="s">
        <v>158</v>
      </c>
      <c r="Q274" s="401">
        <v>45965</v>
      </c>
      <c r="R274" s="53">
        <v>37.64</v>
      </c>
      <c r="S274" s="53" t="s">
        <v>121</v>
      </c>
      <c r="V274" s="53">
        <v>5.6</v>
      </c>
      <c r="W274" s="53">
        <v>2.5753785714285715E-2</v>
      </c>
      <c r="AA274" s="78">
        <f t="shared" si="40"/>
        <v>0</v>
      </c>
      <c r="AG274" s="81"/>
      <c r="AN274" s="53" t="s">
        <v>2326</v>
      </c>
      <c r="AT274" s="53" t="b">
        <f>ISNUMBER(MATCH(IF(LEN('USER INPUT SHEET'!rng_province)&gt;0,'USER INPUT SHEET'!rng_province,"Canada"),$AU274:$BD274,0))</f>
        <v>0</v>
      </c>
      <c r="AU274" s="1286"/>
      <c r="AV274" s="1286"/>
      <c r="AW274" s="1286"/>
      <c r="AX274" s="1286"/>
      <c r="AY274" s="1286"/>
      <c r="AZ274" s="1286"/>
      <c r="BA274" s="1286"/>
      <c r="BB274" s="1286"/>
      <c r="BC274" s="1286"/>
      <c r="BD274" s="1286"/>
    </row>
    <row r="275" spans="1:56" ht="15.75" customHeight="1" x14ac:dyDescent="0.3">
      <c r="A275" s="50" t="str">
        <f t="shared" si="27"/>
        <v>(ARCHIVED 2025) Polyiso - roof boards / Versico / VersiCore, SecurShield, DuraFaceR / R 5.8/inch</v>
      </c>
      <c r="B275" s="50" t="s">
        <v>4395</v>
      </c>
      <c r="C275" s="50" t="s">
        <v>548</v>
      </c>
      <c r="D275" s="50" t="s">
        <v>549</v>
      </c>
      <c r="E275" s="50" t="s">
        <v>541</v>
      </c>
      <c r="H275" s="50"/>
      <c r="I275" s="50" t="s">
        <v>129</v>
      </c>
      <c r="J275" s="50"/>
      <c r="K275" s="50">
        <v>2.41</v>
      </c>
      <c r="L275" s="50" t="s">
        <v>825</v>
      </c>
      <c r="M275" s="71">
        <f>(2.41)</f>
        <v>2.41</v>
      </c>
      <c r="N275" s="50" t="s">
        <v>825</v>
      </c>
      <c r="O275" s="53" t="s">
        <v>550</v>
      </c>
      <c r="P275" s="53" t="s">
        <v>143</v>
      </c>
      <c r="Q275" s="367">
        <v>2022</v>
      </c>
      <c r="R275" s="53">
        <v>28.92</v>
      </c>
      <c r="S275" s="53" t="s">
        <v>121</v>
      </c>
      <c r="V275" s="53">
        <v>5.8</v>
      </c>
      <c r="AA275" s="78">
        <f t="shared" si="40"/>
        <v>0</v>
      </c>
      <c r="AG275" s="82"/>
      <c r="AN275" s="53">
        <v>165</v>
      </c>
      <c r="AR275" s="264" t="str">
        <f ca="1">IF(LEN(Q275)=4,IF(Q275&lt;YEAR(NOW()),_xlfn.CONCAT(IF(LOWER(Setting!rng_language)="english","Expired ","Expiré "),Q275),""),"")</f>
        <v>Expired 2022</v>
      </c>
      <c r="AT275" s="53" t="b">
        <f>ISNUMBER(MATCH(IF(LEN('USER INPUT SHEET'!rng_province)&gt;0,'USER INPUT SHEET'!rng_province,"Canada"),$AU275:$BD275,0))</f>
        <v>0</v>
      </c>
      <c r="AU275" s="1286"/>
      <c r="AV275" s="1286"/>
      <c r="AW275" s="1286"/>
      <c r="AX275" s="1286"/>
      <c r="AY275" s="1286"/>
      <c r="AZ275" s="1286"/>
      <c r="BA275" s="1286"/>
      <c r="BB275" s="1286"/>
      <c r="BC275" s="1286"/>
      <c r="BD275" s="1286"/>
    </row>
    <row r="276" spans="1:56" ht="15.75" customHeight="1" x14ac:dyDescent="0.3">
      <c r="A276" s="50" t="str">
        <f t="shared" si="27"/>
        <v>Polyiso - roof boards / Versico / VersiCore, SecurShield, DuraFaceR / GRF facer / Type II R 5.6-inch, 16 psi</v>
      </c>
      <c r="B276" s="50" t="s">
        <v>538</v>
      </c>
      <c r="C276" s="50" t="s">
        <v>548</v>
      </c>
      <c r="D276" s="50" t="s">
        <v>549</v>
      </c>
      <c r="E276" s="50" t="s">
        <v>4398</v>
      </c>
      <c r="H276" s="50"/>
      <c r="I276" s="50" t="s">
        <v>3500</v>
      </c>
      <c r="J276" s="401">
        <v>44996</v>
      </c>
      <c r="K276" s="50">
        <v>2.1760000000000002</v>
      </c>
      <c r="L276" s="50" t="s">
        <v>3516</v>
      </c>
      <c r="M276" s="70">
        <v>2.1760000000000002</v>
      </c>
      <c r="N276" s="50" t="s">
        <v>3516</v>
      </c>
      <c r="O276" s="53" t="s">
        <v>4402</v>
      </c>
      <c r="P276" s="53" t="s">
        <v>3518</v>
      </c>
      <c r="Q276" s="401">
        <v>46338</v>
      </c>
      <c r="R276" s="53">
        <v>28.92</v>
      </c>
      <c r="S276" s="53" t="s">
        <v>121</v>
      </c>
      <c r="V276" s="53">
        <v>5.6</v>
      </c>
      <c r="W276" s="53">
        <v>2.5753785714285715E-2</v>
      </c>
      <c r="AA276" s="78">
        <f t="shared" si="40"/>
        <v>0</v>
      </c>
      <c r="AG276" s="81"/>
      <c r="AN276" s="53" t="s">
        <v>4430</v>
      </c>
      <c r="AT276" s="53" t="b">
        <f>ISNUMBER(MATCH(IF(LEN('USER INPUT SHEET'!rng_province)&gt;0,'USER INPUT SHEET'!rng_province,"Canada"),$AU276:$BD276,0))</f>
        <v>0</v>
      </c>
      <c r="AU276" s="1286"/>
      <c r="AV276" s="1286"/>
      <c r="AW276" s="1286"/>
      <c r="AX276" s="1286"/>
      <c r="AY276" s="1286"/>
      <c r="AZ276" s="1286"/>
      <c r="BA276" s="1286"/>
      <c r="BB276" s="1286"/>
      <c r="BC276" s="1286"/>
      <c r="BD276" s="1286"/>
    </row>
    <row r="277" spans="1:56" ht="15.75" customHeight="1" x14ac:dyDescent="0.3">
      <c r="A277" s="50" t="str">
        <f t="shared" si="27"/>
        <v>Polyisocyanurate - roof boards / Carlisle / CGF facer / CGF facer / Type II R 5.6/inch, 16 psi</v>
      </c>
      <c r="B277" s="50" t="s">
        <v>4403</v>
      </c>
      <c r="C277" s="50" t="s">
        <v>539</v>
      </c>
      <c r="D277" s="50" t="s">
        <v>4404</v>
      </c>
      <c r="E277" s="50" t="s">
        <v>4405</v>
      </c>
      <c r="H277" s="50"/>
      <c r="I277" s="50" t="s">
        <v>3500</v>
      </c>
      <c r="J277" s="401">
        <v>45295</v>
      </c>
      <c r="K277" s="50">
        <v>3.02</v>
      </c>
      <c r="L277" s="50" t="s">
        <v>3516</v>
      </c>
      <c r="M277" s="70">
        <v>3.02</v>
      </c>
      <c r="N277" s="50" t="s">
        <v>4213</v>
      </c>
      <c r="O277" s="53" t="s">
        <v>4406</v>
      </c>
      <c r="P277" s="53" t="s">
        <v>3518</v>
      </c>
      <c r="Q277" s="401">
        <v>46282</v>
      </c>
      <c r="V277" s="53">
        <v>5.6</v>
      </c>
      <c r="AA277" s="78">
        <f t="shared" si="40"/>
        <v>0</v>
      </c>
      <c r="AG277" s="81"/>
      <c r="AN277" s="53" t="s">
        <v>4431</v>
      </c>
      <c r="AT277" s="53" t="b">
        <f>ISNUMBER(MATCH(IF(LEN('USER INPUT SHEET'!rng_province)&gt;0,'USER INPUT SHEET'!rng_province,"Canada"),$AU277:$BD277,0))</f>
        <v>0</v>
      </c>
      <c r="AU277" s="1286"/>
      <c r="AV277" s="1286"/>
      <c r="AW277" s="1286"/>
      <c r="AX277" s="1286"/>
      <c r="AY277" s="1286"/>
      <c r="AZ277" s="1286"/>
      <c r="BA277" s="1286"/>
      <c r="BB277" s="1286"/>
      <c r="BC277" s="1286"/>
      <c r="BD277" s="1286"/>
    </row>
    <row r="278" spans="1:56" ht="15.75" customHeight="1" x14ac:dyDescent="0.3">
      <c r="A278" s="50" t="str">
        <f t="shared" si="27"/>
        <v>Polyisocyanurate - roof boards / Hunter / H-Shield CG / CGF facer / Type II R 5.6/inch, 16 psi</v>
      </c>
      <c r="B278" s="50" t="s">
        <v>4403</v>
      </c>
      <c r="C278" s="50" t="s">
        <v>542</v>
      </c>
      <c r="D278" s="50" t="s">
        <v>4407</v>
      </c>
      <c r="E278" s="50" t="s">
        <v>4405</v>
      </c>
      <c r="H278" s="50"/>
      <c r="I278" s="50" t="s">
        <v>3500</v>
      </c>
      <c r="J278" s="401">
        <v>44992</v>
      </c>
      <c r="K278" s="50">
        <v>3.02</v>
      </c>
      <c r="L278" s="50" t="s">
        <v>3516</v>
      </c>
      <c r="M278" s="70">
        <v>3.02</v>
      </c>
      <c r="N278" s="50" t="s">
        <v>3516</v>
      </c>
      <c r="O278" s="53" t="s">
        <v>3520</v>
      </c>
      <c r="P278" s="53" t="s">
        <v>3518</v>
      </c>
      <c r="Q278" s="401">
        <v>46338</v>
      </c>
      <c r="R278" s="53">
        <v>28.92</v>
      </c>
      <c r="S278" s="53" t="s">
        <v>121</v>
      </c>
      <c r="V278" s="53">
        <v>5.6</v>
      </c>
      <c r="W278" s="53">
        <v>2.5753785714285715E-2</v>
      </c>
      <c r="AA278" s="78">
        <f t="shared" si="40"/>
        <v>0</v>
      </c>
      <c r="AG278" s="81"/>
      <c r="AN278" s="53" t="s">
        <v>3971</v>
      </c>
      <c r="AT278" s="53" t="b">
        <f>ISNUMBER(MATCH(IF(LEN('USER INPUT SHEET'!rng_province)&gt;0,'USER INPUT SHEET'!rng_province,"Canada"),$AU278:$BD278,0))</f>
        <v>0</v>
      </c>
      <c r="AU278" s="1286"/>
      <c r="AV278" s="1286"/>
      <c r="AW278" s="1286"/>
      <c r="AX278" s="1286"/>
      <c r="AY278" s="1286"/>
      <c r="AZ278" s="1286"/>
      <c r="BA278" s="1286"/>
      <c r="BB278" s="1286"/>
      <c r="BC278" s="1286"/>
      <c r="BD278" s="1286"/>
    </row>
    <row r="279" spans="1:56" ht="15.75" customHeight="1" x14ac:dyDescent="0.3">
      <c r="A279" s="50" t="str">
        <f t="shared" si="27"/>
        <v>Polyisocyanurate - roof boards / PIMA / Includes: Atlas, Firestone, GAF, Johns Manville, Rmax, Carlisle, Iko, Soprema / CGF facer R 5.8/inch</v>
      </c>
      <c r="B279" s="50" t="s">
        <v>4403</v>
      </c>
      <c r="C279" s="50" t="s">
        <v>545</v>
      </c>
      <c r="D279" s="50" t="s">
        <v>3720</v>
      </c>
      <c r="E279" s="50" t="s">
        <v>4408</v>
      </c>
      <c r="H279" s="50"/>
      <c r="I279" s="50" t="s">
        <v>3515</v>
      </c>
      <c r="J279" s="401">
        <v>44635</v>
      </c>
      <c r="K279" s="50">
        <v>2.9485999999999999</v>
      </c>
      <c r="L279" s="50" t="s">
        <v>3516</v>
      </c>
      <c r="M279" s="70">
        <v>2.9485999999999999</v>
      </c>
      <c r="N279" s="50" t="s">
        <v>3516</v>
      </c>
      <c r="O279" s="53" t="s">
        <v>4401</v>
      </c>
      <c r="P279" s="53" t="s">
        <v>158</v>
      </c>
      <c r="Q279" s="401">
        <v>45965</v>
      </c>
      <c r="R279" s="53">
        <v>37.64</v>
      </c>
      <c r="S279" s="53" t="s">
        <v>121</v>
      </c>
      <c r="V279" s="53">
        <v>5.6</v>
      </c>
      <c r="W279" s="53">
        <v>2.5753785714285715E-2</v>
      </c>
      <c r="AA279" s="78">
        <f t="shared" si="40"/>
        <v>0</v>
      </c>
      <c r="AG279" s="81"/>
      <c r="AN279" s="53" t="s">
        <v>3972</v>
      </c>
      <c r="AT279" s="53" t="b">
        <f>ISNUMBER(MATCH(IF(LEN('USER INPUT SHEET'!rng_province)&gt;0,'USER INPUT SHEET'!rng_province,"Canada"),$AU279:$BD279,0))</f>
        <v>0</v>
      </c>
      <c r="AU279" s="1286"/>
      <c r="AV279" s="1286"/>
      <c r="AW279" s="1286"/>
      <c r="AX279" s="1286"/>
      <c r="AY279" s="1286"/>
      <c r="AZ279" s="1286"/>
      <c r="BA279" s="1286"/>
      <c r="BB279" s="1286"/>
      <c r="BC279" s="1286"/>
      <c r="BD279" s="1286"/>
    </row>
    <row r="280" spans="1:56" ht="15.75" customHeight="1" x14ac:dyDescent="0.3">
      <c r="A280" s="50" t="str">
        <f t="shared" si="27"/>
        <v>Polyisocyanurate - roof boards / Versico / VersiCore, SecurShield, DuraFaceR / CGF facer / Type II R 5.6-inch, 16 psi</v>
      </c>
      <c r="B280" s="50" t="s">
        <v>4403</v>
      </c>
      <c r="C280" s="50" t="s">
        <v>548</v>
      </c>
      <c r="D280" s="50" t="s">
        <v>549</v>
      </c>
      <c r="E280" s="50" t="s">
        <v>4409</v>
      </c>
      <c r="H280" s="50"/>
      <c r="I280" s="50" t="s">
        <v>3500</v>
      </c>
      <c r="J280" s="401">
        <v>44996</v>
      </c>
      <c r="K280" s="50">
        <v>3.02</v>
      </c>
      <c r="L280" s="50" t="s">
        <v>3516</v>
      </c>
      <c r="M280" s="70">
        <v>3.02</v>
      </c>
      <c r="N280" s="50" t="s">
        <v>3516</v>
      </c>
      <c r="O280" s="53" t="s">
        <v>4402</v>
      </c>
      <c r="P280" s="53" t="s">
        <v>3518</v>
      </c>
      <c r="Q280" s="401">
        <v>46338</v>
      </c>
      <c r="R280" s="53">
        <v>28.92</v>
      </c>
      <c r="S280" s="53" t="s">
        <v>121</v>
      </c>
      <c r="V280" s="53">
        <v>5.6</v>
      </c>
      <c r="W280" s="53">
        <v>2.5753785714285715E-2</v>
      </c>
      <c r="AA280" s="78">
        <f t="shared" si="40"/>
        <v>0</v>
      </c>
      <c r="AG280" s="81"/>
      <c r="AN280" s="53" t="s">
        <v>4432</v>
      </c>
      <c r="AT280" s="53" t="b">
        <f>ISNUMBER(MATCH(IF(LEN('USER INPUT SHEET'!rng_province)&gt;0,'USER INPUT SHEET'!rng_province,"Canada"),$AU280:$BD280,0))</f>
        <v>0</v>
      </c>
      <c r="AU280" s="1286"/>
      <c r="AV280" s="1286"/>
      <c r="AW280" s="1286"/>
      <c r="AX280" s="1286"/>
      <c r="AY280" s="1286"/>
      <c r="AZ280" s="1286"/>
      <c r="BA280" s="1286"/>
      <c r="BB280" s="1286"/>
      <c r="BC280" s="1286"/>
      <c r="BD280" s="1286"/>
    </row>
    <row r="281" spans="1:56" ht="15.75" customHeight="1" x14ac:dyDescent="0.3">
      <c r="A281" s="50" t="str">
        <f t="shared" si="27"/>
        <v>Polyisocyanurate - roof boards / Carlisle / High density cover boards / Type II, R 5.0-inch, 80 psi</v>
      </c>
      <c r="B281" s="50" t="s">
        <v>4403</v>
      </c>
      <c r="C281" s="50" t="s">
        <v>539</v>
      </c>
      <c r="D281" s="50" t="s">
        <v>4410</v>
      </c>
      <c r="E281" s="50" t="s">
        <v>4411</v>
      </c>
      <c r="H281" s="50"/>
      <c r="I281" s="50" t="s">
        <v>3500</v>
      </c>
      <c r="J281" s="401">
        <v>45295</v>
      </c>
      <c r="K281" s="50">
        <v>10.95</v>
      </c>
      <c r="L281" s="50" t="s">
        <v>3516</v>
      </c>
      <c r="M281" s="70">
        <v>10.95</v>
      </c>
      <c r="N281" s="50" t="s">
        <v>4213</v>
      </c>
      <c r="O281" s="53" t="s">
        <v>4412</v>
      </c>
      <c r="P281" s="53" t="s">
        <v>3518</v>
      </c>
      <c r="Q281" s="401">
        <v>46282</v>
      </c>
      <c r="V281" s="53">
        <v>5</v>
      </c>
      <c r="AA281" s="78">
        <f t="shared" si="40"/>
        <v>0</v>
      </c>
      <c r="AG281" s="81"/>
      <c r="AN281" s="53" t="s">
        <v>4433</v>
      </c>
      <c r="AT281" s="53" t="b">
        <f>ISNUMBER(MATCH(IF(LEN('USER INPUT SHEET'!rng_province)&gt;0,'USER INPUT SHEET'!rng_province,"Canada"),$AU281:$BD281,0))</f>
        <v>0</v>
      </c>
      <c r="AU281" s="1286"/>
      <c r="AV281" s="1286"/>
      <c r="AW281" s="1286"/>
      <c r="AX281" s="1286"/>
      <c r="AY281" s="1286"/>
      <c r="AZ281" s="1286"/>
      <c r="BA281" s="1286"/>
      <c r="BB281" s="1286"/>
      <c r="BC281" s="1286"/>
      <c r="BD281" s="1286"/>
    </row>
    <row r="282" spans="1:56" ht="15.75" customHeight="1" x14ac:dyDescent="0.3">
      <c r="A282" s="50" t="str">
        <f t="shared" si="27"/>
        <v>Polyisocyanurate - roof boards / Hunter / High density cover boards / Type II, R 5.0-inch, 80 psi</v>
      </c>
      <c r="B282" s="50" t="s">
        <v>4403</v>
      </c>
      <c r="C282" s="50" t="s">
        <v>542</v>
      </c>
      <c r="D282" s="50" t="s">
        <v>4410</v>
      </c>
      <c r="E282" s="50" t="s">
        <v>4411</v>
      </c>
      <c r="H282" s="50"/>
      <c r="I282" s="50" t="s">
        <v>3500</v>
      </c>
      <c r="J282" s="401">
        <v>44992</v>
      </c>
      <c r="K282" s="50">
        <v>10.95</v>
      </c>
      <c r="L282" s="50" t="s">
        <v>3516</v>
      </c>
      <c r="M282" s="70">
        <v>10.95</v>
      </c>
      <c r="N282" s="50" t="s">
        <v>3516</v>
      </c>
      <c r="O282" s="53" t="s">
        <v>4413</v>
      </c>
      <c r="P282" s="53" t="s">
        <v>3518</v>
      </c>
      <c r="Q282" s="401">
        <v>46338</v>
      </c>
      <c r="R282" s="53">
        <v>28.92</v>
      </c>
      <c r="S282" s="53" t="s">
        <v>121</v>
      </c>
      <c r="V282" s="53">
        <v>5</v>
      </c>
      <c r="W282" s="53">
        <v>2.884424E-2</v>
      </c>
      <c r="AA282" s="78">
        <f t="shared" si="40"/>
        <v>0</v>
      </c>
      <c r="AG282" s="81"/>
      <c r="AN282" s="53" t="s">
        <v>3990</v>
      </c>
      <c r="AT282" s="53" t="b">
        <f>ISNUMBER(MATCH(IF(LEN('USER INPUT SHEET'!rng_province)&gt;0,'USER INPUT SHEET'!rng_province,"Canada"),$AU282:$BD282,0))</f>
        <v>0</v>
      </c>
      <c r="AU282" s="1286"/>
      <c r="AV282" s="1286"/>
      <c r="AW282" s="1286"/>
      <c r="AX282" s="1286"/>
      <c r="AY282" s="1286"/>
      <c r="AZ282" s="1286"/>
      <c r="BA282" s="1286"/>
      <c r="BB282" s="1286"/>
      <c r="BC282" s="1286"/>
      <c r="BD282" s="1286"/>
    </row>
    <row r="283" spans="1:56" ht="15.75" customHeight="1" x14ac:dyDescent="0.3">
      <c r="A283" s="50" t="str">
        <f t="shared" si="27"/>
        <v>Polyisocyanurate - roof boards / PIMA / Includes: Atlas, Firestone, GAF, Johns Manville, Carlisle, Iko, Soprema / R 5.0/inch</v>
      </c>
      <c r="B283" s="50" t="s">
        <v>4403</v>
      </c>
      <c r="C283" s="50" t="s">
        <v>545</v>
      </c>
      <c r="D283" s="50" t="s">
        <v>4414</v>
      </c>
      <c r="E283" s="50" t="s">
        <v>3696</v>
      </c>
      <c r="H283" s="50"/>
      <c r="I283" s="50" t="s">
        <v>3515</v>
      </c>
      <c r="J283" s="401">
        <v>44635</v>
      </c>
      <c r="K283" s="50">
        <v>10.678000000000001</v>
      </c>
      <c r="L283" s="50" t="s">
        <v>3516</v>
      </c>
      <c r="M283" s="70">
        <v>10.678000000000001</v>
      </c>
      <c r="N283" s="50" t="s">
        <v>3516</v>
      </c>
      <c r="O283" s="53" t="s">
        <v>4415</v>
      </c>
      <c r="P283" s="53" t="s">
        <v>158</v>
      </c>
      <c r="Q283" s="401">
        <v>45965</v>
      </c>
      <c r="R283" s="53">
        <v>37.64</v>
      </c>
      <c r="S283" s="53" t="s">
        <v>121</v>
      </c>
      <c r="V283" s="53">
        <v>5</v>
      </c>
      <c r="W283" s="53">
        <v>2.884424E-2</v>
      </c>
      <c r="AA283" s="78">
        <f t="shared" si="40"/>
        <v>0</v>
      </c>
      <c r="AG283" s="81"/>
      <c r="AN283" s="53" t="s">
        <v>4434</v>
      </c>
      <c r="AT283" s="53" t="b">
        <f>ISNUMBER(MATCH(IF(LEN('USER INPUT SHEET'!rng_province)&gt;0,'USER INPUT SHEET'!rng_province,"Canada"),$AU283:$BD283,0))</f>
        <v>0</v>
      </c>
      <c r="AU283" s="1286"/>
      <c r="AV283" s="1286"/>
      <c r="AW283" s="1286"/>
      <c r="AX283" s="1286"/>
      <c r="AY283" s="1286"/>
      <c r="AZ283" s="1286"/>
      <c r="BA283" s="1286"/>
      <c r="BB283" s="1286"/>
      <c r="BC283" s="1286"/>
      <c r="BD283" s="1286"/>
    </row>
    <row r="284" spans="1:56" ht="15.75" customHeight="1" x14ac:dyDescent="0.3">
      <c r="A284" s="50" t="str">
        <f t="shared" si="27"/>
        <v>Polyisocyanurate - roof boards / Versico / High density cover boards / Type II, R 5.0-inch, 80 psi</v>
      </c>
      <c r="B284" s="50" t="s">
        <v>4403</v>
      </c>
      <c r="C284" s="50" t="s">
        <v>548</v>
      </c>
      <c r="D284" s="50" t="s">
        <v>4410</v>
      </c>
      <c r="E284" s="50" t="s">
        <v>4411</v>
      </c>
      <c r="H284" s="50"/>
      <c r="I284" s="50" t="s">
        <v>3500</v>
      </c>
      <c r="J284" s="401">
        <v>44996</v>
      </c>
      <c r="K284" s="50">
        <v>10.95</v>
      </c>
      <c r="L284" s="50" t="s">
        <v>3516</v>
      </c>
      <c r="M284" s="70">
        <v>10.95</v>
      </c>
      <c r="N284" s="50" t="s">
        <v>3516</v>
      </c>
      <c r="O284" s="53" t="s">
        <v>4416</v>
      </c>
      <c r="P284" s="53" t="s">
        <v>3518</v>
      </c>
      <c r="Q284" s="401">
        <v>46338</v>
      </c>
      <c r="R284" s="53">
        <v>28.92</v>
      </c>
      <c r="S284" s="53" t="s">
        <v>121</v>
      </c>
      <c r="V284" s="53">
        <v>5</v>
      </c>
      <c r="W284" s="53">
        <v>2.884424E-2</v>
      </c>
      <c r="AA284" s="78">
        <f t="shared" si="40"/>
        <v>0</v>
      </c>
      <c r="AG284" s="81"/>
      <c r="AN284" s="53" t="s">
        <v>3973</v>
      </c>
      <c r="AT284" s="53" t="b">
        <f>ISNUMBER(MATCH(IF(LEN('USER INPUT SHEET'!rng_province)&gt;0,'USER INPUT SHEET'!rng_province,"Canada"),$AU284:$BD284,0))</f>
        <v>0</v>
      </c>
      <c r="AU284" s="1286"/>
      <c r="AV284" s="1286"/>
      <c r="AW284" s="1286"/>
      <c r="AX284" s="1286"/>
      <c r="AY284" s="1286"/>
      <c r="AZ284" s="1286"/>
      <c r="BA284" s="1286"/>
      <c r="BB284" s="1286"/>
      <c r="BC284" s="1286"/>
      <c r="BD284" s="1286"/>
    </row>
    <row r="285" spans="1:56" ht="15.75" customHeight="1" x14ac:dyDescent="0.3">
      <c r="A285" s="50" t="str">
        <f t="shared" si="27"/>
        <v>(ARCHIVED 2025) Polyiso - wall boards / Dow Chemical Company / Tuff-R, Super Tuff-R, Thermax / R 6.5/inch</v>
      </c>
      <c r="B285" s="50" t="s">
        <v>4396</v>
      </c>
      <c r="C285" s="50" t="s">
        <v>552</v>
      </c>
      <c r="D285" s="50" t="s">
        <v>553</v>
      </c>
      <c r="E285" s="50" t="s">
        <v>554</v>
      </c>
      <c r="H285" s="50"/>
      <c r="I285" s="50" t="s">
        <v>129</v>
      </c>
      <c r="J285" s="50"/>
      <c r="K285" s="50">
        <v>4.01</v>
      </c>
      <c r="L285" s="50" t="s">
        <v>825</v>
      </c>
      <c r="M285" s="71">
        <f>(4.01)</f>
        <v>4.01</v>
      </c>
      <c r="N285" s="50" t="s">
        <v>825</v>
      </c>
      <c r="O285" s="53" t="s">
        <v>555</v>
      </c>
      <c r="P285" s="53" t="s">
        <v>143</v>
      </c>
      <c r="Q285" s="367">
        <v>2019</v>
      </c>
      <c r="V285" s="53">
        <v>6.5</v>
      </c>
      <c r="AA285" s="78">
        <f t="shared" si="40"/>
        <v>0</v>
      </c>
      <c r="AG285" s="82"/>
      <c r="AN285" s="53">
        <v>166</v>
      </c>
      <c r="AR285" s="264" t="str">
        <f ca="1">IF(LEN(Q285)=4,IF(Q285&lt;YEAR(NOW()),_xlfn.CONCAT(IF(LOWER(Setting!rng_language)="english","Expired ","Expiré "),Q285),""),"")</f>
        <v>Expired 2019</v>
      </c>
      <c r="AT285" s="53" t="b">
        <f>ISNUMBER(MATCH(IF(LEN('USER INPUT SHEET'!rng_province)&gt;0,'USER INPUT SHEET'!rng_province,"Canada"),$AU285:$BD285,0))</f>
        <v>0</v>
      </c>
      <c r="AU285" s="1286"/>
      <c r="AV285" s="1286"/>
      <c r="AW285" s="1286"/>
      <c r="AX285" s="1286"/>
      <c r="AY285" s="1286"/>
      <c r="AZ285" s="1286"/>
      <c r="BA285" s="1286"/>
      <c r="BB285" s="1286"/>
      <c r="BC285" s="1286"/>
      <c r="BD285" s="1286"/>
    </row>
    <row r="286" spans="1:56" ht="15.75" customHeight="1" x14ac:dyDescent="0.3">
      <c r="A286" s="50" t="str">
        <f t="shared" si="27"/>
        <v>Polyiso - wall boards / Hunter / Polysio Wall insulation boards / R 6.5/inch</v>
      </c>
      <c r="B286" s="50" t="s">
        <v>551</v>
      </c>
      <c r="C286" s="50" t="s">
        <v>542</v>
      </c>
      <c r="D286" s="50" t="s">
        <v>3521</v>
      </c>
      <c r="E286" s="50" t="s">
        <v>554</v>
      </c>
      <c r="H286" s="50"/>
      <c r="I286" s="50" t="s">
        <v>3500</v>
      </c>
      <c r="J286" s="50"/>
      <c r="K286" s="50">
        <v>4.2510000000000003</v>
      </c>
      <c r="L286" s="50" t="s">
        <v>3516</v>
      </c>
      <c r="M286" s="70">
        <v>4.2510000000000003</v>
      </c>
      <c r="N286" s="50" t="s">
        <v>3516</v>
      </c>
      <c r="O286" s="53" t="s">
        <v>3522</v>
      </c>
      <c r="P286" s="53" t="s">
        <v>3518</v>
      </c>
      <c r="Q286" s="367">
        <v>2026</v>
      </c>
      <c r="R286" s="53">
        <v>33.729999999999997</v>
      </c>
      <c r="S286" s="53" t="s">
        <v>121</v>
      </c>
      <c r="V286" s="53">
        <v>6.5</v>
      </c>
      <c r="W286" s="53">
        <f t="shared" ref="W286" si="43">0.0254*5.678/V286</f>
        <v>2.2187876923076923E-2</v>
      </c>
      <c r="AA286" s="78">
        <f t="shared" si="40"/>
        <v>0</v>
      </c>
      <c r="AG286" s="81"/>
      <c r="AN286" s="53">
        <v>167</v>
      </c>
      <c r="AR286" s="264" t="str">
        <f ca="1">IF(LEN(Q286)=4,IF(Q286&lt;YEAR(NOW()),_xlfn.CONCAT(IF(LOWER(Setting!rng_language)="english","Expired ","Expiré "),Q286),""),"")</f>
        <v/>
      </c>
      <c r="AT286" s="53" t="b">
        <f>ISNUMBER(MATCH(IF(LEN('USER INPUT SHEET'!rng_province)&gt;0,'USER INPUT SHEET'!rng_province,"Canada"),$AU286:$BD286,0))</f>
        <v>0</v>
      </c>
      <c r="AU286" s="1286"/>
      <c r="AV286" s="1286"/>
      <c r="AW286" s="1286"/>
      <c r="AX286" s="1286"/>
      <c r="AY286" s="1286"/>
      <c r="AZ286" s="1286"/>
      <c r="BA286" s="1286"/>
      <c r="BB286" s="1286"/>
      <c r="BC286" s="1286"/>
      <c r="BD286" s="1286"/>
    </row>
    <row r="287" spans="1:56" ht="15.75" customHeight="1" x14ac:dyDescent="0.3">
      <c r="A287" s="50" t="str">
        <f t="shared" si="27"/>
        <v>Polyiso - wall boards / Carlisle  / R2+ Silver  / R 6.3/inch, 20 psi</v>
      </c>
      <c r="B287" s="50" t="s">
        <v>551</v>
      </c>
      <c r="C287" s="50" t="s">
        <v>4417</v>
      </c>
      <c r="D287" s="50" t="s">
        <v>4418</v>
      </c>
      <c r="E287" s="50" t="s">
        <v>4419</v>
      </c>
      <c r="H287" s="50"/>
      <c r="I287" s="50" t="s">
        <v>3500</v>
      </c>
      <c r="J287" s="401">
        <v>45295</v>
      </c>
      <c r="K287" s="50">
        <v>4.2508999999999997</v>
      </c>
      <c r="L287" s="50" t="s">
        <v>3516</v>
      </c>
      <c r="M287" s="70">
        <v>4.2508999999999997</v>
      </c>
      <c r="N287" s="50" t="s">
        <v>4213</v>
      </c>
      <c r="O287" s="53" t="s">
        <v>4420</v>
      </c>
      <c r="P287" s="53" t="s">
        <v>3518</v>
      </c>
      <c r="Q287" s="401">
        <v>46338</v>
      </c>
      <c r="V287" s="53">
        <v>6.3</v>
      </c>
      <c r="AA287" s="78">
        <f t="shared" si="40"/>
        <v>0</v>
      </c>
      <c r="AG287" s="81"/>
      <c r="AN287" s="53" t="s">
        <v>4435</v>
      </c>
      <c r="AT287" s="53" t="b">
        <f>ISNUMBER(MATCH(IF(LEN('USER INPUT SHEET'!rng_province)&gt;0,'USER INPUT SHEET'!rng_province,"Canada"),$AU287:$BD287,0))</f>
        <v>0</v>
      </c>
      <c r="AU287" s="1286"/>
      <c r="AV287" s="1286"/>
      <c r="AW287" s="1286"/>
      <c r="AX287" s="1286"/>
      <c r="AY287" s="1286"/>
      <c r="AZ287" s="1286"/>
      <c r="BA287" s="1286"/>
      <c r="BB287" s="1286"/>
      <c r="BC287" s="1286"/>
      <c r="BD287" s="1286"/>
    </row>
    <row r="288" spans="1:56" ht="15.75" customHeight="1" x14ac:dyDescent="0.3">
      <c r="A288" s="50" t="str">
        <f t="shared" si="27"/>
        <v>(ARCHIVED 2023) Polyiso - wall boards / Hunter / Xci / R 6.5/inch</v>
      </c>
      <c r="B288" s="50" t="s">
        <v>3765</v>
      </c>
      <c r="C288" s="50" t="s">
        <v>542</v>
      </c>
      <c r="D288" s="50" t="s">
        <v>556</v>
      </c>
      <c r="E288" s="50" t="s">
        <v>554</v>
      </c>
      <c r="H288" s="50"/>
      <c r="I288" s="50" t="s">
        <v>129</v>
      </c>
      <c r="J288" s="50"/>
      <c r="K288" s="50">
        <v>2.27</v>
      </c>
      <c r="L288" s="50" t="s">
        <v>825</v>
      </c>
      <c r="M288" s="71">
        <f>(2.27)</f>
        <v>2.27</v>
      </c>
      <c r="N288" s="50" t="s">
        <v>825</v>
      </c>
      <c r="O288" s="53" t="s">
        <v>557</v>
      </c>
      <c r="P288" s="53" t="s">
        <v>143</v>
      </c>
      <c r="Q288" s="367">
        <v>2022</v>
      </c>
      <c r="R288" s="53">
        <v>33.729999999999997</v>
      </c>
      <c r="S288" s="53" t="s">
        <v>121</v>
      </c>
      <c r="V288" s="53">
        <v>6.5</v>
      </c>
      <c r="AA288" s="78">
        <f t="shared" si="40"/>
        <v>0</v>
      </c>
      <c r="AG288" s="82"/>
      <c r="AN288" s="53" t="s">
        <v>3791</v>
      </c>
      <c r="AR288" s="264" t="str">
        <f ca="1">IF(LEN(Q288)=4,IF(Q288&lt;YEAR(NOW()),_xlfn.CONCAT(IF(LOWER(Setting!rng_language)="english","Expired ","Expiré "),Q288),""),"")</f>
        <v>Expired 2022</v>
      </c>
      <c r="AT288" s="53" t="b">
        <f>ISNUMBER(MATCH(IF(LEN('USER INPUT SHEET'!rng_province)&gt;0,'USER INPUT SHEET'!rng_province,"Canada"),$AU288:$BD288,0))</f>
        <v>0</v>
      </c>
      <c r="AU288" s="1289"/>
      <c r="AV288" s="1289"/>
      <c r="AW288" s="1289"/>
      <c r="AX288" s="1289"/>
      <c r="AY288" s="1289"/>
      <c r="AZ288" s="1289"/>
      <c r="BA288" s="1289"/>
      <c r="BB288" s="1289"/>
      <c r="BC288" s="1289"/>
      <c r="BD288" s="1289"/>
    </row>
    <row r="289" spans="1:58" ht="15.75" customHeight="1" x14ac:dyDescent="0.3">
      <c r="A289" s="50" t="str">
        <f t="shared" si="27"/>
        <v>(ARCHIVED 2025) Polyiso - wall boards / PIMA / Includes: Atlas, Firestone, GAF, Johns Manville, Rmax / R 6.5/inch</v>
      </c>
      <c r="B289" s="50" t="s">
        <v>4396</v>
      </c>
      <c r="C289" s="50" t="s">
        <v>545</v>
      </c>
      <c r="D289" s="50" t="s">
        <v>546</v>
      </c>
      <c r="E289" s="50" t="s">
        <v>554</v>
      </c>
      <c r="H289" s="50"/>
      <c r="I289" s="50" t="s">
        <v>129</v>
      </c>
      <c r="J289" s="50"/>
      <c r="K289" s="50">
        <v>2.3199999999999998</v>
      </c>
      <c r="L289" s="50" t="s">
        <v>825</v>
      </c>
      <c r="M289" s="71">
        <f>(2.32)</f>
        <v>2.3199999999999998</v>
      </c>
      <c r="N289" s="50" t="s">
        <v>825</v>
      </c>
      <c r="O289" s="53" t="s">
        <v>558</v>
      </c>
      <c r="P289" s="53" t="s">
        <v>158</v>
      </c>
      <c r="Q289" s="367">
        <v>2020</v>
      </c>
      <c r="R289" s="53">
        <v>34</v>
      </c>
      <c r="S289" s="53" t="s">
        <v>121</v>
      </c>
      <c r="V289" s="53">
        <v>6.5</v>
      </c>
      <c r="AA289" s="78">
        <f t="shared" si="40"/>
        <v>0</v>
      </c>
      <c r="AG289" s="82"/>
      <c r="AN289" s="53">
        <v>168</v>
      </c>
      <c r="AR289" s="264" t="str">
        <f ca="1">IF(LEN(Q289)=4,IF(Q289&lt;YEAR(NOW()),_xlfn.CONCAT(IF(LOWER(Setting!rng_language)="english","Expired ","Expiré "),Q289),""),"")</f>
        <v>Expired 2020</v>
      </c>
      <c r="AT289" s="53" t="b">
        <f>ISNUMBER(MATCH(IF(LEN('USER INPUT SHEET'!rng_province)&gt;0,'USER INPUT SHEET'!rng_province,"Canada"),$AU289:$BD289,0))</f>
        <v>0</v>
      </c>
      <c r="AU289" s="1286"/>
      <c r="AV289" s="1286"/>
      <c r="AW289" s="1286"/>
      <c r="AX289" s="1286"/>
      <c r="AY289" s="1286"/>
      <c r="AZ289" s="1286"/>
      <c r="BA289" s="1286"/>
      <c r="BB289" s="1286"/>
      <c r="BC289" s="1286"/>
      <c r="BD289" s="1286"/>
    </row>
    <row r="290" spans="1:58" ht="15.75" customHeight="1" x14ac:dyDescent="0.3">
      <c r="A290" s="50" t="str">
        <f>B290&amp;" / "&amp;C290&amp;" / "&amp;D290&amp;" / "&amp;E290</f>
        <v>(ARCHIVED 2025) Polypropylene siding / Novik / NovikStone, NovikShake / Avg of 5 products</v>
      </c>
      <c r="B290" s="50" t="s">
        <v>4397</v>
      </c>
      <c r="C290" s="50" t="s">
        <v>560</v>
      </c>
      <c r="D290" s="50" t="s">
        <v>561</v>
      </c>
      <c r="E290" s="50" t="s">
        <v>562</v>
      </c>
      <c r="I290" s="50" t="s">
        <v>138</v>
      </c>
      <c r="J290" s="50"/>
      <c r="K290" s="50">
        <v>27.04</v>
      </c>
      <c r="L290" s="50" t="s">
        <v>935</v>
      </c>
      <c r="M290" s="71">
        <f>(K290/9.29)</f>
        <v>2.9106566200215287</v>
      </c>
      <c r="N290" s="50" t="s">
        <v>5</v>
      </c>
      <c r="O290" s="50" t="s">
        <v>563</v>
      </c>
      <c r="P290" s="50" t="s">
        <v>268</v>
      </c>
      <c r="Q290" s="172">
        <v>2022</v>
      </c>
      <c r="R290" s="50">
        <v>2.4500000000000002</v>
      </c>
      <c r="S290" s="50" t="s">
        <v>141</v>
      </c>
      <c r="T290" s="50">
        <v>9.2899999999999991</v>
      </c>
      <c r="U290" s="50" t="s">
        <v>936</v>
      </c>
      <c r="AA290" s="78">
        <f t="shared" si="40"/>
        <v>0</v>
      </c>
      <c r="AG290" s="82"/>
      <c r="AI290" s="165">
        <v>9.1999999999999998E-2</v>
      </c>
      <c r="AN290" s="53">
        <v>169</v>
      </c>
      <c r="AR290" s="264" t="str">
        <f ca="1">IF(LEN(Q290)=4,IF(Q290&lt;YEAR(NOW()),_xlfn.CONCAT(IF(LOWER(Setting!rng_language)="english","Expired ","Expiré "),Q290),""),"")</f>
        <v>Expired 2022</v>
      </c>
      <c r="AT290" s="53" t="b">
        <f>ISNUMBER(MATCH(IF(LEN('USER INPUT SHEET'!rng_province)&gt;0,'USER INPUT SHEET'!rng_province,"Canada"),$AU290:$BD290,0))</f>
        <v>0</v>
      </c>
      <c r="AU290" s="1286"/>
      <c r="AV290" s="1286"/>
      <c r="AW290" s="1286"/>
      <c r="AX290" s="1286"/>
      <c r="AY290" s="1286"/>
      <c r="AZ290" s="1286"/>
      <c r="BA290" s="1286"/>
      <c r="BB290" s="1286"/>
      <c r="BC290" s="1286"/>
      <c r="BD290" s="1286"/>
    </row>
    <row r="291" spans="1:58" ht="15.75" customHeight="1" x14ac:dyDescent="0.3">
      <c r="A291" s="50" t="str">
        <f>B291&amp;" / "&amp;C291&amp;" / "&amp;D291&amp;" / "&amp;E291</f>
        <v>Polypropylene siding / Vinyl Siding Institute  /  / 0.085" Single 7" wood Shake appearance</v>
      </c>
      <c r="B291" s="50" t="s">
        <v>559</v>
      </c>
      <c r="C291" s="50" t="s">
        <v>564</v>
      </c>
      <c r="D291" s="50"/>
      <c r="E291" s="50" t="s">
        <v>3523</v>
      </c>
      <c r="I291" s="50" t="s">
        <v>3515</v>
      </c>
      <c r="J291" s="50"/>
      <c r="K291" s="50">
        <v>9.81</v>
      </c>
      <c r="L291" s="50" t="s">
        <v>5</v>
      </c>
      <c r="M291" s="70">
        <v>9.81</v>
      </c>
      <c r="N291" s="50" t="s">
        <v>3501</v>
      </c>
      <c r="O291" s="50" t="s">
        <v>3524</v>
      </c>
      <c r="P291" s="50" t="s">
        <v>3518</v>
      </c>
      <c r="Q291" s="367">
        <v>2027</v>
      </c>
      <c r="R291" s="50">
        <v>1025</v>
      </c>
      <c r="S291" s="50" t="s">
        <v>121</v>
      </c>
      <c r="T291" s="50">
        <v>9.2899999999999991</v>
      </c>
      <c r="U291" s="50" t="s">
        <v>936</v>
      </c>
      <c r="AA291" s="78">
        <f t="shared" si="40"/>
        <v>0</v>
      </c>
      <c r="AG291" s="81"/>
      <c r="AK291" s="165">
        <v>2.1589999999999999E-3</v>
      </c>
      <c r="AN291" s="53">
        <v>170</v>
      </c>
      <c r="AR291" s="264" t="str">
        <f ca="1">IF(LEN(Q291)=4,IF(Q291&lt;YEAR(NOW()),_xlfn.CONCAT(IF(LOWER(Setting!rng_language)="english","Expired ","Expiré "),Q291),""),"")</f>
        <v/>
      </c>
      <c r="AT291" s="53" t="b">
        <f>ISNUMBER(MATCH(IF(LEN('USER INPUT SHEET'!rng_province)&gt;0,'USER INPUT SHEET'!rng_province,"Canada"),$AU291:$BD291,0))</f>
        <v>0</v>
      </c>
      <c r="AU291" s="1286"/>
      <c r="AV291" s="1286"/>
      <c r="AW291" s="1286"/>
      <c r="AX291" s="1286"/>
      <c r="AY291" s="1286"/>
      <c r="AZ291" s="1286"/>
      <c r="BA291" s="1286"/>
      <c r="BB291" s="1286"/>
      <c r="BC291" s="1286"/>
      <c r="BD291" s="1286"/>
    </row>
    <row r="292" spans="1:58" ht="15.75" customHeight="1" x14ac:dyDescent="0.3">
      <c r="A292" s="50" t="str">
        <f t="shared" si="27"/>
        <v>(ARCHIVED 2023) Polypropylene siding / Vinyl Siding Institute /  / 0.085" Single 7" "Cedar" Shake</v>
      </c>
      <c r="B292" s="50" t="s">
        <v>3766</v>
      </c>
      <c r="C292" s="50" t="s">
        <v>676</v>
      </c>
      <c r="D292" s="50"/>
      <c r="E292" s="50" t="s">
        <v>931</v>
      </c>
      <c r="H292" s="50"/>
      <c r="I292" s="50" t="s">
        <v>124</v>
      </c>
      <c r="J292" s="50"/>
      <c r="K292" s="50">
        <v>63.42</v>
      </c>
      <c r="L292" s="50" t="s">
        <v>935</v>
      </c>
      <c r="M292" s="71">
        <f>(K292/9.29)</f>
        <v>6.8266953713670624</v>
      </c>
      <c r="N292" s="50" t="s">
        <v>5</v>
      </c>
      <c r="O292" s="50" t="s">
        <v>565</v>
      </c>
      <c r="P292" s="50" t="s">
        <v>143</v>
      </c>
      <c r="Q292" s="172">
        <v>2021</v>
      </c>
      <c r="R292" s="50">
        <v>1030</v>
      </c>
      <c r="S292" s="50" t="s">
        <v>121</v>
      </c>
      <c r="T292" s="50">
        <v>9.2899999999999991</v>
      </c>
      <c r="U292" s="50" t="s">
        <v>936</v>
      </c>
      <c r="AA292" s="78">
        <f t="shared" si="40"/>
        <v>0</v>
      </c>
      <c r="AG292" s="82"/>
      <c r="AI292" s="165">
        <v>2.1589999999999999E-3</v>
      </c>
      <c r="AN292" s="53" t="s">
        <v>3792</v>
      </c>
      <c r="AR292" s="264" t="str">
        <f ca="1">IF(LEN(Q292)=4,IF(Q292&lt;YEAR(NOW()),_xlfn.CONCAT(IF(LOWER(Setting!rng_language)="english","Expired ","Expiré "),Q292),""),"")</f>
        <v>Expired 2021</v>
      </c>
      <c r="AT292" s="53" t="b">
        <f>ISNUMBER(MATCH(IF(LEN('USER INPUT SHEET'!rng_province)&gt;0,'USER INPUT SHEET'!rng_province,"Canada"),$AU292:$BD292,0))</f>
        <v>0</v>
      </c>
      <c r="AU292" s="1289"/>
      <c r="AV292" s="1289"/>
      <c r="AW292" s="1289"/>
      <c r="AX292" s="1289"/>
      <c r="AY292" s="1289"/>
      <c r="AZ292" s="1289"/>
      <c r="BA292" s="1289"/>
      <c r="BB292" s="1289"/>
      <c r="BC292" s="1289"/>
      <c r="BD292" s="1289"/>
    </row>
    <row r="293" spans="1:58" ht="15.75" customHeight="1" x14ac:dyDescent="0.3">
      <c r="A293" s="50" t="str">
        <f t="shared" si="27"/>
        <v xml:space="preserve">Polypropylene ICF webbing /  /  / </v>
      </c>
      <c r="B293" s="50" t="s">
        <v>893</v>
      </c>
      <c r="H293" s="50" t="s">
        <v>566</v>
      </c>
      <c r="I293" s="50" t="s">
        <v>120</v>
      </c>
      <c r="J293" s="50"/>
      <c r="K293" s="50">
        <v>1.93</v>
      </c>
      <c r="L293" s="50" t="s">
        <v>841</v>
      </c>
      <c r="M293" s="71">
        <f>(K293*T293)</f>
        <v>5.1219979818365289</v>
      </c>
      <c r="N293" s="50" t="s">
        <v>833</v>
      </c>
      <c r="O293" s="50" t="s">
        <v>567</v>
      </c>
      <c r="P293" s="50"/>
      <c r="Q293" s="367" t="s">
        <v>1772</v>
      </c>
      <c r="R293" s="53">
        <v>1030</v>
      </c>
      <c r="S293" s="53" t="s">
        <v>121</v>
      </c>
      <c r="T293" s="58">
        <f>1.315/0.4955</f>
        <v>2.6538849646821392</v>
      </c>
      <c r="U293" s="53" t="s">
        <v>568</v>
      </c>
      <c r="AA293" s="78">
        <f t="shared" si="40"/>
        <v>0</v>
      </c>
      <c r="AG293" s="82"/>
      <c r="AN293" s="53">
        <v>171</v>
      </c>
      <c r="AR293" s="264" t="s">
        <v>1406</v>
      </c>
      <c r="AT293" s="53" t="b">
        <f>ISNUMBER(MATCH(IF(LEN('USER INPUT SHEET'!rng_province)&gt;0,'USER INPUT SHEET'!rng_province,"Canada"),$AU293:$BD293,0))</f>
        <v>0</v>
      </c>
      <c r="AU293" s="1286"/>
      <c r="AV293" s="1286"/>
      <c r="AW293" s="1286"/>
      <c r="AX293" s="1286"/>
      <c r="AY293" s="1286"/>
      <c r="AZ293" s="1286"/>
      <c r="BA293" s="1286"/>
      <c r="BB293" s="1286"/>
      <c r="BC293" s="1286"/>
      <c r="BD293" s="1286"/>
    </row>
    <row r="294" spans="1:58" ht="15.75" customHeight="1" x14ac:dyDescent="0.3">
      <c r="A294" s="50" t="str">
        <f t="shared" si="27"/>
        <v>PVC Roofing Membrane / CIFA / Includes: Canadian General-Tower, Duro-Last, FiberTite / 48 mils</v>
      </c>
      <c r="B294" s="50" t="s">
        <v>569</v>
      </c>
      <c r="C294" s="50" t="s">
        <v>570</v>
      </c>
      <c r="D294" s="50" t="s">
        <v>571</v>
      </c>
      <c r="E294" s="50" t="s">
        <v>572</v>
      </c>
      <c r="H294" s="50" t="s">
        <v>156</v>
      </c>
      <c r="I294" s="50" t="s">
        <v>124</v>
      </c>
      <c r="J294" s="50"/>
      <c r="K294" s="50">
        <v>4.26</v>
      </c>
      <c r="L294" s="50" t="s">
        <v>5</v>
      </c>
      <c r="M294" s="71">
        <f>(4.26)</f>
        <v>4.26</v>
      </c>
      <c r="N294" s="50" t="s">
        <v>5</v>
      </c>
      <c r="O294" s="53" t="s">
        <v>573</v>
      </c>
      <c r="P294" s="53" t="s">
        <v>137</v>
      </c>
      <c r="Q294" s="367">
        <v>2019</v>
      </c>
      <c r="R294" s="53">
        <v>1.4630000000000001</v>
      </c>
      <c r="S294" s="53" t="s">
        <v>141</v>
      </c>
      <c r="AA294" s="78">
        <f t="shared" si="40"/>
        <v>0</v>
      </c>
      <c r="AG294" s="82"/>
      <c r="AN294" s="53">
        <v>172</v>
      </c>
      <c r="AR294" s="264" t="str">
        <f ca="1">IF(LEN(Q294)=4,IF(Q294&lt;YEAR(NOW()),_xlfn.CONCAT(IF(LOWER(Setting!rng_language)="english","Expired ","Expiré "),Q294),""),"")</f>
        <v>Expired 2019</v>
      </c>
      <c r="AT294" s="53" t="b">
        <f>ISNUMBER(MATCH(IF(LEN('USER INPUT SHEET'!rng_province)&gt;0,'USER INPUT SHEET'!rng_province,"Canada"),$AU294:$BD294,0))</f>
        <v>0</v>
      </c>
      <c r="AU294" s="1286"/>
      <c r="AV294" s="1286"/>
      <c r="AW294" s="1286"/>
      <c r="AX294" s="1286"/>
      <c r="AY294" s="1286"/>
      <c r="AZ294" s="1286"/>
      <c r="BA294" s="1286"/>
      <c r="BB294" s="1286"/>
      <c r="BC294" s="1286"/>
      <c r="BD294" s="1286"/>
    </row>
    <row r="295" spans="1:58" ht="15.75" customHeight="1" x14ac:dyDescent="0.3">
      <c r="A295" s="50" t="str">
        <f t="shared" si="27"/>
        <v xml:space="preserve">Rammed earth /  / Stabilized with 3% NHL / </v>
      </c>
      <c r="B295" s="50" t="s">
        <v>574</v>
      </c>
      <c r="C295" s="50"/>
      <c r="D295" s="53" t="s">
        <v>575</v>
      </c>
      <c r="H295" s="50" t="s">
        <v>576</v>
      </c>
      <c r="I295" s="50" t="s">
        <v>120</v>
      </c>
      <c r="J295" s="50"/>
      <c r="K295" s="50">
        <v>47.5</v>
      </c>
      <c r="L295" s="50" t="s">
        <v>3</v>
      </c>
      <c r="M295" s="71">
        <f>(K295*T295)</f>
        <v>1.2064999999999999</v>
      </c>
      <c r="N295" s="50" t="s">
        <v>834</v>
      </c>
      <c r="O295" s="166" t="s">
        <v>577</v>
      </c>
      <c r="Q295" s="367" t="s">
        <v>1772</v>
      </c>
      <c r="R295" s="53">
        <v>1900</v>
      </c>
      <c r="S295" s="53" t="s">
        <v>121</v>
      </c>
      <c r="T295" s="53">
        <v>2.5399999999999999E-2</v>
      </c>
      <c r="U295" s="49" t="s">
        <v>578</v>
      </c>
      <c r="AA295" s="78">
        <f t="shared" si="40"/>
        <v>0</v>
      </c>
      <c r="AG295" s="82"/>
      <c r="AN295" s="53">
        <v>173</v>
      </c>
      <c r="AR295" s="264" t="s">
        <v>1399</v>
      </c>
      <c r="AT295" s="53" t="b">
        <f>ISNUMBER(MATCH(IF(LEN('USER INPUT SHEET'!rng_province)&gt;0,'USER INPUT SHEET'!rng_province,"Canada"),$AU295:$BD295,0))</f>
        <v>0</v>
      </c>
      <c r="AU295" s="1286"/>
      <c r="AV295" s="1286"/>
      <c r="AW295" s="1286"/>
      <c r="AX295" s="1286"/>
      <c r="AY295" s="1286"/>
      <c r="AZ295" s="1286"/>
      <c r="BA295" s="1286"/>
      <c r="BB295" s="1286"/>
      <c r="BC295" s="1286"/>
      <c r="BD295" s="1286"/>
    </row>
    <row r="296" spans="1:58" ht="15.75" customHeight="1" x14ac:dyDescent="0.3">
      <c r="A296" s="50" t="str">
        <f t="shared" si="27"/>
        <v xml:space="preserve">Rammed earth /  / Stabilized with 5% cement / </v>
      </c>
      <c r="B296" s="50" t="s">
        <v>574</v>
      </c>
      <c r="C296" s="50"/>
      <c r="D296" s="53" t="s">
        <v>579</v>
      </c>
      <c r="H296" s="50"/>
      <c r="I296" s="50" t="s">
        <v>120</v>
      </c>
      <c r="J296" s="50"/>
      <c r="K296" s="50">
        <v>6.0999999999999999E-2</v>
      </c>
      <c r="L296" s="50" t="s">
        <v>841</v>
      </c>
      <c r="M296" s="71">
        <f>(K296*T296)</f>
        <v>2.9438599999999999</v>
      </c>
      <c r="N296" s="50" t="s">
        <v>834</v>
      </c>
      <c r="O296" s="166" t="s">
        <v>567</v>
      </c>
      <c r="Q296" s="367" t="s">
        <v>1772</v>
      </c>
      <c r="R296" s="53">
        <v>1900</v>
      </c>
      <c r="S296" s="53" t="s">
        <v>121</v>
      </c>
      <c r="T296" s="53">
        <f>R296*0.0254</f>
        <v>48.26</v>
      </c>
      <c r="U296" s="49" t="s">
        <v>580</v>
      </c>
      <c r="AA296" s="78">
        <f t="shared" si="40"/>
        <v>0</v>
      </c>
      <c r="AG296" s="82"/>
      <c r="AN296" s="53">
        <v>174</v>
      </c>
      <c r="AR296" s="264" t="s">
        <v>1406</v>
      </c>
      <c r="AT296" s="53" t="b">
        <f>ISNUMBER(MATCH(IF(LEN('USER INPUT SHEET'!rng_province)&gt;0,'USER INPUT SHEET'!rng_province,"Canada"),$AU296:$BD296,0))</f>
        <v>0</v>
      </c>
      <c r="AU296" s="1286"/>
      <c r="AV296" s="1286"/>
      <c r="AW296" s="1286"/>
      <c r="AX296" s="1286"/>
      <c r="AY296" s="1286"/>
      <c r="AZ296" s="1286"/>
      <c r="BA296" s="1286"/>
      <c r="BB296" s="1286"/>
      <c r="BC296" s="1286"/>
      <c r="BD296" s="1286"/>
    </row>
    <row r="297" spans="1:58" ht="15.75" customHeight="1" x14ac:dyDescent="0.3">
      <c r="A297" s="50" t="str">
        <f t="shared" si="27"/>
        <v xml:space="preserve">Rammed earth /  / Stabilized with 8% cement / </v>
      </c>
      <c r="B297" s="50" t="s">
        <v>574</v>
      </c>
      <c r="C297" s="50"/>
      <c r="D297" s="53" t="s">
        <v>581</v>
      </c>
      <c r="H297" s="50"/>
      <c r="I297" s="50" t="s">
        <v>120</v>
      </c>
      <c r="J297" s="50"/>
      <c r="K297" s="50">
        <v>8.4000000000000005E-2</v>
      </c>
      <c r="L297" s="50" t="s">
        <v>841</v>
      </c>
      <c r="M297" s="71">
        <f>(K297*T297)</f>
        <v>4.0538400000000001</v>
      </c>
      <c r="N297" s="50" t="s">
        <v>834</v>
      </c>
      <c r="O297" s="166" t="s">
        <v>582</v>
      </c>
      <c r="Q297" s="367" t="s">
        <v>1772</v>
      </c>
      <c r="R297" s="53">
        <v>1900</v>
      </c>
      <c r="S297" s="53" t="s">
        <v>121</v>
      </c>
      <c r="T297" s="53">
        <f>R297*0.0254</f>
        <v>48.26</v>
      </c>
      <c r="U297" s="49" t="s">
        <v>580</v>
      </c>
      <c r="AA297" s="78">
        <f t="shared" si="40"/>
        <v>0</v>
      </c>
      <c r="AG297" s="82"/>
      <c r="AN297" s="53">
        <v>175</v>
      </c>
      <c r="AR297" s="264" t="s">
        <v>1406</v>
      </c>
      <c r="AT297" s="53" t="b">
        <f>ISNUMBER(MATCH(IF(LEN('USER INPUT SHEET'!rng_province)&gt;0,'USER INPUT SHEET'!rng_province,"Canada"),$AU297:$BD297,0))</f>
        <v>0</v>
      </c>
      <c r="AU297" s="1286"/>
      <c r="AV297" s="1286"/>
      <c r="AW297" s="1286"/>
      <c r="AX297" s="1286"/>
      <c r="AY297" s="1286"/>
      <c r="AZ297" s="1286"/>
      <c r="BA297" s="1286"/>
      <c r="BB297" s="1286"/>
      <c r="BC297" s="1286"/>
      <c r="BD297" s="1286"/>
    </row>
    <row r="298" spans="1:58" ht="15.75" customHeight="1" x14ac:dyDescent="0.3">
      <c r="A298" s="50" t="str">
        <f t="shared" si="27"/>
        <v>(ARCHIVED 2025) Rebar / Concrete Reinforcing Steel Institute /  / 10M</v>
      </c>
      <c r="B298" s="50" t="s">
        <v>4421</v>
      </c>
      <c r="C298" s="50" t="s">
        <v>584</v>
      </c>
      <c r="E298" s="53" t="s">
        <v>585</v>
      </c>
      <c r="H298" s="50"/>
      <c r="I298" s="50" t="s">
        <v>124</v>
      </c>
      <c r="J298" s="50"/>
      <c r="K298" s="50">
        <v>0.97899999999999998</v>
      </c>
      <c r="L298" s="50" t="s">
        <v>841</v>
      </c>
      <c r="M298" s="71">
        <f>(K298*T298)</f>
        <v>0.76851500000000006</v>
      </c>
      <c r="N298" s="50" t="s">
        <v>22</v>
      </c>
      <c r="O298" s="50" t="s">
        <v>586</v>
      </c>
      <c r="P298" s="53" t="s">
        <v>137</v>
      </c>
      <c r="Q298" s="367">
        <v>2022</v>
      </c>
      <c r="R298" s="53">
        <v>7850</v>
      </c>
      <c r="S298" s="53" t="s">
        <v>121</v>
      </c>
      <c r="T298" s="59">
        <v>0.78500000000000003</v>
      </c>
      <c r="U298" s="53" t="s">
        <v>423</v>
      </c>
      <c r="AA298" s="78">
        <f t="shared" si="40"/>
        <v>0</v>
      </c>
      <c r="AG298" s="82"/>
      <c r="AN298" s="53">
        <v>176</v>
      </c>
      <c r="AR298" s="264" t="str">
        <f ca="1">IF(LEN(Q298)=4,IF(Q298&lt;YEAR(NOW()),_xlfn.CONCAT(IF(LOWER(Setting!rng_language)="english","Expired ","Expiré "),Q298),""),"")</f>
        <v>Expired 2022</v>
      </c>
      <c r="AT298" s="53" t="b">
        <f>ISNUMBER(MATCH(IF(LEN('USER INPUT SHEET'!rng_province)&gt;0,'USER INPUT SHEET'!rng_province,"Canada"),$AU298:$BD298,0))</f>
        <v>0</v>
      </c>
      <c r="AU298" s="1286"/>
      <c r="AV298" s="1286"/>
      <c r="AW298" s="1286"/>
      <c r="AX298" s="1286"/>
      <c r="AY298" s="1286"/>
      <c r="AZ298" s="1286"/>
      <c r="BA298" s="1286"/>
      <c r="BB298" s="1286"/>
      <c r="BC298" s="1286"/>
      <c r="BD298" s="1286"/>
    </row>
    <row r="299" spans="1:58" ht="15.75" customHeight="1" x14ac:dyDescent="0.3">
      <c r="A299" s="50" t="str">
        <f t="shared" si="27"/>
        <v>Rebar / Concrete Reinforcing Steel Institute / Canadian sizes -98% recycled, EAF / 10M</v>
      </c>
      <c r="B299" s="50" t="s">
        <v>583</v>
      </c>
      <c r="C299" s="50" t="s">
        <v>584</v>
      </c>
      <c r="D299" s="53" t="s">
        <v>4423</v>
      </c>
      <c r="E299" s="53" t="s">
        <v>585</v>
      </c>
      <c r="H299" s="50" t="s">
        <v>4424</v>
      </c>
      <c r="I299" s="50" t="s">
        <v>3515</v>
      </c>
      <c r="J299" s="401">
        <v>45328</v>
      </c>
      <c r="K299" s="50">
        <v>0.85399999999999998</v>
      </c>
      <c r="L299" s="50" t="s">
        <v>841</v>
      </c>
      <c r="M299" s="70">
        <v>0.67039000000000004</v>
      </c>
      <c r="N299" s="50" t="s">
        <v>22</v>
      </c>
      <c r="O299" s="50" t="s">
        <v>4425</v>
      </c>
      <c r="P299" s="53" t="s">
        <v>3518</v>
      </c>
      <c r="Q299" s="367">
        <v>2027</v>
      </c>
      <c r="R299" s="53">
        <v>7850</v>
      </c>
      <c r="S299" s="53" t="s">
        <v>121</v>
      </c>
      <c r="T299" s="59">
        <v>0.78500000000000003</v>
      </c>
      <c r="U299" s="53" t="s">
        <v>423</v>
      </c>
      <c r="AA299" s="78">
        <f t="shared" si="40"/>
        <v>0</v>
      </c>
      <c r="AG299" s="81"/>
      <c r="AN299" s="53" t="s">
        <v>4436</v>
      </c>
      <c r="AT299" s="53" t="b">
        <f>ISNUMBER(MATCH(IF(LEN('USER INPUT SHEET'!rng_province)&gt;0,'USER INPUT SHEET'!rng_province,"Canada"),$AU299:$BD299,0))</f>
        <v>0</v>
      </c>
      <c r="AU299" s="1286"/>
      <c r="AV299" s="1286"/>
      <c r="AW299" s="1286"/>
      <c r="AX299" s="1286"/>
      <c r="AY299" s="1286"/>
      <c r="AZ299" s="1286"/>
      <c r="BA299" s="1286"/>
      <c r="BB299" s="1286"/>
      <c r="BC299" s="1286"/>
      <c r="BD299" s="1286"/>
    </row>
    <row r="300" spans="1:58" ht="15.75" customHeight="1" x14ac:dyDescent="0.3">
      <c r="A300" s="50" t="str">
        <f t="shared" si="27"/>
        <v>(ARCHIVED 2025) Rebar / Concrete Reinforcing Steel Institute /  / 15M</v>
      </c>
      <c r="B300" s="50" t="s">
        <v>4421</v>
      </c>
      <c r="C300" s="50" t="s">
        <v>584</v>
      </c>
      <c r="E300" s="53" t="s">
        <v>587</v>
      </c>
      <c r="H300" s="50"/>
      <c r="I300" s="50" t="s">
        <v>124</v>
      </c>
      <c r="J300" s="50"/>
      <c r="K300" s="50">
        <v>0.97899999999999998</v>
      </c>
      <c r="L300" s="50" t="s">
        <v>841</v>
      </c>
      <c r="M300" s="71">
        <f>(K300*T300)</f>
        <v>1.5370300000000001</v>
      </c>
      <c r="N300" s="50" t="s">
        <v>22</v>
      </c>
      <c r="O300" s="50" t="s">
        <v>588</v>
      </c>
      <c r="P300" s="53" t="s">
        <v>137</v>
      </c>
      <c r="Q300" s="368">
        <v>2022</v>
      </c>
      <c r="R300" s="53">
        <v>7850</v>
      </c>
      <c r="S300" s="53" t="s">
        <v>121</v>
      </c>
      <c r="T300" s="59">
        <v>1.57</v>
      </c>
      <c r="U300" s="53" t="s">
        <v>423</v>
      </c>
      <c r="AA300" s="78">
        <f t="shared" si="40"/>
        <v>0</v>
      </c>
      <c r="AG300" s="82"/>
      <c r="AN300" s="53">
        <v>177</v>
      </c>
      <c r="AR300" s="264" t="str">
        <f ca="1">IF(LEN(Q300)=4,IF(Q300&lt;YEAR(NOW()),_xlfn.CONCAT(IF(LOWER(Setting!rng_language)="english","Expired ","Expiré "),Q300),""),"")</f>
        <v>Expired 2022</v>
      </c>
      <c r="AT300" s="53" t="b">
        <f>ISNUMBER(MATCH(IF(LEN('USER INPUT SHEET'!rng_province)&gt;0,'USER INPUT SHEET'!rng_province,"Canada"),$AU300:$BD300,0))</f>
        <v>0</v>
      </c>
      <c r="AU300" s="1286"/>
      <c r="AV300" s="1286"/>
      <c r="AW300" s="1286"/>
      <c r="AX300" s="1286"/>
      <c r="AY300" s="1286"/>
      <c r="AZ300" s="1286"/>
      <c r="BA300" s="1286"/>
      <c r="BB300" s="1286"/>
      <c r="BC300" s="1286"/>
      <c r="BD300" s="1286"/>
    </row>
    <row r="301" spans="1:58" ht="15.75" customHeight="1" x14ac:dyDescent="0.3">
      <c r="A301" s="50" t="str">
        <f t="shared" si="27"/>
        <v>Rebar / Concrete Reinforcing Steel Institute / Canadian sizes -98% recycled, EAF / 15M</v>
      </c>
      <c r="B301" s="50" t="s">
        <v>583</v>
      </c>
      <c r="C301" s="50" t="s">
        <v>584</v>
      </c>
      <c r="D301" s="53" t="s">
        <v>4423</v>
      </c>
      <c r="E301" s="53" t="s">
        <v>587</v>
      </c>
      <c r="H301" s="50" t="s">
        <v>4424</v>
      </c>
      <c r="I301" s="50" t="s">
        <v>3515</v>
      </c>
      <c r="J301" s="401">
        <v>45328</v>
      </c>
      <c r="K301" s="50">
        <v>0.85399999999999998</v>
      </c>
      <c r="L301" s="50" t="s">
        <v>841</v>
      </c>
      <c r="M301" s="70">
        <v>1.3407800000000001</v>
      </c>
      <c r="N301" s="50" t="s">
        <v>22</v>
      </c>
      <c r="O301" s="50" t="s">
        <v>4425</v>
      </c>
      <c r="P301" s="53" t="s">
        <v>3518</v>
      </c>
      <c r="Q301" s="366">
        <v>2027</v>
      </c>
      <c r="R301" s="53">
        <v>7850</v>
      </c>
      <c r="S301" s="53" t="s">
        <v>121</v>
      </c>
      <c r="T301" s="59">
        <v>1.57</v>
      </c>
      <c r="U301" s="53" t="s">
        <v>423</v>
      </c>
      <c r="AA301" s="78">
        <f t="shared" si="40"/>
        <v>0</v>
      </c>
      <c r="AG301" s="81"/>
      <c r="AN301" s="53" t="s">
        <v>3967</v>
      </c>
      <c r="AT301" s="53" t="b">
        <f>ISNUMBER(MATCH(IF(LEN('USER INPUT SHEET'!rng_province)&gt;0,'USER INPUT SHEET'!rng_province,"Canada"),$AU301:$BD301,0))</f>
        <v>0</v>
      </c>
      <c r="AU301" s="1286"/>
      <c r="AV301" s="1286"/>
      <c r="AW301" s="1286"/>
      <c r="AX301" s="1286"/>
      <c r="AY301" s="1286"/>
      <c r="AZ301" s="1286"/>
      <c r="BA301" s="1286"/>
      <c r="BB301" s="1286"/>
      <c r="BC301" s="1286"/>
      <c r="BD301" s="1286"/>
    </row>
    <row r="302" spans="1:58" ht="15.75" customHeight="1" x14ac:dyDescent="0.3">
      <c r="A302" s="50" t="str">
        <f t="shared" si="27"/>
        <v xml:space="preserve">(ARCHIVED 2025) Rubber flooring / ECOsurfaces / ECOsurfaces / </v>
      </c>
      <c r="B302" s="50" t="s">
        <v>4422</v>
      </c>
      <c r="C302" s="50" t="s">
        <v>590</v>
      </c>
      <c r="D302" s="50" t="s">
        <v>590</v>
      </c>
      <c r="E302" s="50"/>
      <c r="H302" s="50"/>
      <c r="I302" s="50" t="s">
        <v>129</v>
      </c>
      <c r="J302" s="50"/>
      <c r="K302" s="50">
        <v>5.9</v>
      </c>
      <c r="L302" s="50" t="s">
        <v>5</v>
      </c>
      <c r="M302" s="71">
        <f>(5.9)</f>
        <v>5.9</v>
      </c>
      <c r="N302" s="50" t="s">
        <v>5</v>
      </c>
      <c r="O302" s="50" t="s">
        <v>591</v>
      </c>
      <c r="P302" s="50" t="s">
        <v>415</v>
      </c>
      <c r="Q302" s="367">
        <v>2020</v>
      </c>
      <c r="R302" s="53">
        <v>7.476</v>
      </c>
      <c r="S302" s="53" t="s">
        <v>141</v>
      </c>
      <c r="AA302" s="78">
        <f t="shared" si="40"/>
        <v>0</v>
      </c>
      <c r="AG302" s="82"/>
      <c r="AI302" s="165">
        <v>5.7000000000000002E-3</v>
      </c>
      <c r="AN302" s="53">
        <v>178</v>
      </c>
      <c r="AR302" s="264" t="str">
        <f ca="1">IF(LEN(Q302)=4,IF(Q302&lt;YEAR(NOW()),_xlfn.CONCAT(IF(LOWER(Setting!rng_language)="english","Expired ","Expiré "),Q302),""),"")</f>
        <v>Expired 2020</v>
      </c>
      <c r="AT302" s="53" t="b">
        <f>ISNUMBER(MATCH(IF(LEN('USER INPUT SHEET'!rng_province)&gt;0,'USER INPUT SHEET'!rng_province,"Canada"),$AU302:$BD302,0))</f>
        <v>0</v>
      </c>
      <c r="AU302" s="1286"/>
      <c r="AV302" s="1286"/>
      <c r="AW302" s="1286"/>
      <c r="AX302" s="1286"/>
      <c r="AY302" s="1286"/>
      <c r="AZ302" s="1286"/>
      <c r="BA302" s="1286"/>
      <c r="BB302" s="1286"/>
      <c r="BC302" s="1286"/>
      <c r="BD302" s="1286"/>
    </row>
    <row r="303" spans="1:58" s="176" customFormat="1" ht="15.75" customHeight="1" x14ac:dyDescent="0.3">
      <c r="A303" s="50" t="str">
        <f t="shared" si="27"/>
        <v xml:space="preserve">Rubber flooring / Resilient Floor Covering Institute / Includes tiles and rolls from American Biltrite, Armstrong, Burke, FLEXCO, Johnsonite, Mannington, Roppe, Tarkett / </v>
      </c>
      <c r="B303" s="50" t="s">
        <v>589</v>
      </c>
      <c r="C303" s="50" t="s">
        <v>592</v>
      </c>
      <c r="D303" s="50" t="s">
        <v>593</v>
      </c>
      <c r="E303" s="50"/>
      <c r="F303" s="53"/>
      <c r="G303" s="53"/>
      <c r="H303" s="50"/>
      <c r="I303" s="50" t="s">
        <v>124</v>
      </c>
      <c r="J303" s="50"/>
      <c r="K303" s="50">
        <v>15.6</v>
      </c>
      <c r="L303" s="50" t="s">
        <v>5</v>
      </c>
      <c r="M303" s="71">
        <f>(15.6)</f>
        <v>15.6</v>
      </c>
      <c r="N303" s="50" t="s">
        <v>5</v>
      </c>
      <c r="O303" s="50" t="s">
        <v>594</v>
      </c>
      <c r="P303" s="53" t="s">
        <v>143</v>
      </c>
      <c r="Q303" s="367">
        <v>2024</v>
      </c>
      <c r="R303" s="53">
        <v>5.6</v>
      </c>
      <c r="S303" s="53" t="s">
        <v>141</v>
      </c>
      <c r="T303" s="53"/>
      <c r="U303" s="53"/>
      <c r="V303" s="53"/>
      <c r="W303" s="53"/>
      <c r="X303" s="53"/>
      <c r="Y303" s="53"/>
      <c r="Z303" s="53"/>
      <c r="AA303" s="78">
        <f t="shared" si="40"/>
        <v>0</v>
      </c>
      <c r="AB303" s="53"/>
      <c r="AC303" s="53"/>
      <c r="AD303" s="53"/>
      <c r="AE303" s="53"/>
      <c r="AF303" s="53"/>
      <c r="AG303" s="82"/>
      <c r="AH303" s="53"/>
      <c r="AI303" s="165">
        <v>2E-3</v>
      </c>
      <c r="AJ303" s="165"/>
      <c r="AK303" s="165"/>
      <c r="AL303" s="53"/>
      <c r="AM303" s="53"/>
      <c r="AN303" s="53">
        <v>179</v>
      </c>
      <c r="AR303" s="264" t="str">
        <f ca="1">IF(LEN(Q303)=4,IF(Q303&lt;YEAR(NOW()),_xlfn.CONCAT(IF(LOWER(Setting!rng_language)="english","Expired ","Expiré "),Q303),""),"")</f>
        <v>Expired 2024</v>
      </c>
      <c r="AT303" s="53" t="b">
        <f>ISNUMBER(MATCH(IF(LEN('USER INPUT SHEET'!rng_province)&gt;0,'USER INPUT SHEET'!rng_province,"Canada"),$AU303:$BD303,0))</f>
        <v>0</v>
      </c>
      <c r="AU303" s="1286"/>
      <c r="AV303" s="1286"/>
      <c r="AW303" s="1286"/>
      <c r="AX303" s="1286"/>
      <c r="AY303" s="1286"/>
      <c r="AZ303" s="1286"/>
      <c r="BA303" s="1286"/>
      <c r="BB303" s="1286"/>
      <c r="BC303" s="1286"/>
      <c r="BD303" s="1286"/>
      <c r="BE303" s="53"/>
      <c r="BF303" s="53"/>
    </row>
    <row r="304" spans="1:58" s="176" customFormat="1" ht="15.75" customHeight="1" x14ac:dyDescent="0.3">
      <c r="A304" s="50" t="str">
        <f t="shared" si="27"/>
        <v xml:space="preserve">SBS Modified Bitumen Roofing / ARMA / Includes: CertainTeed, Firestone, GAF, Henry, IKO, Johns Mansville, Malarkey, Siplast, Soprema / </v>
      </c>
      <c r="B304" s="50" t="s">
        <v>595</v>
      </c>
      <c r="C304" s="50" t="s">
        <v>596</v>
      </c>
      <c r="D304" s="50" t="s">
        <v>597</v>
      </c>
      <c r="E304" s="53"/>
      <c r="F304" s="53"/>
      <c r="G304" s="53"/>
      <c r="H304" s="50" t="s">
        <v>156</v>
      </c>
      <c r="I304" s="50" t="s">
        <v>124</v>
      </c>
      <c r="J304" s="50"/>
      <c r="K304" s="50">
        <v>6.7</v>
      </c>
      <c r="L304" s="50" t="s">
        <v>5</v>
      </c>
      <c r="M304" s="71">
        <f>(6.7)</f>
        <v>6.7</v>
      </c>
      <c r="N304" s="50" t="s">
        <v>5</v>
      </c>
      <c r="O304" s="53" t="s">
        <v>598</v>
      </c>
      <c r="P304" s="53" t="s">
        <v>143</v>
      </c>
      <c r="Q304" s="367">
        <v>2021</v>
      </c>
      <c r="R304" s="53">
        <v>8.4</v>
      </c>
      <c r="S304" s="53" t="s">
        <v>141</v>
      </c>
      <c r="T304" s="53"/>
      <c r="U304" s="53"/>
      <c r="V304" s="53"/>
      <c r="W304" s="53"/>
      <c r="X304" s="53"/>
      <c r="Y304" s="53">
        <v>0.04</v>
      </c>
      <c r="Z304" s="53"/>
      <c r="AA304" s="78">
        <f t="shared" si="40"/>
        <v>0</v>
      </c>
      <c r="AB304" s="53"/>
      <c r="AC304" s="53"/>
      <c r="AD304" s="53"/>
      <c r="AE304" s="53"/>
      <c r="AF304" s="53"/>
      <c r="AG304" s="82"/>
      <c r="AH304" s="53"/>
      <c r="AI304" s="165"/>
      <c r="AJ304" s="165"/>
      <c r="AK304" s="165"/>
      <c r="AL304" s="53"/>
      <c r="AM304" s="53"/>
      <c r="AN304" s="53">
        <v>180</v>
      </c>
      <c r="AR304" s="264" t="str">
        <f ca="1">IF(LEN(Q304)=4,IF(Q304&lt;YEAR(NOW()),_xlfn.CONCAT(IF(LOWER(Setting!rng_language)="english","Expired ","Expiré "),Q304),""),"")</f>
        <v>Expired 2021</v>
      </c>
      <c r="AT304" s="53" t="b">
        <f>ISNUMBER(MATCH(IF(LEN('USER INPUT SHEET'!rng_province)&gt;0,'USER INPUT SHEET'!rng_province,"Canada"),$AU304:$BD304,0))</f>
        <v>0</v>
      </c>
      <c r="AU304" s="1286"/>
      <c r="AV304" s="1286"/>
      <c r="AW304" s="1286"/>
      <c r="AX304" s="1286"/>
      <c r="AY304" s="1286"/>
      <c r="AZ304" s="1286"/>
      <c r="BA304" s="1286"/>
      <c r="BB304" s="1286"/>
      <c r="BC304" s="1286"/>
      <c r="BD304" s="1286"/>
      <c r="BE304" s="53"/>
      <c r="BF304" s="53"/>
    </row>
    <row r="305" spans="1:57" ht="15.75" customHeight="1" x14ac:dyDescent="0.3">
      <c r="A305" s="56" t="str">
        <f t="shared" si="27"/>
        <v>(ARCHIVED 2025) SIP panel - EPS foam core /  /  / 7/16" OSB, Type II EPS</v>
      </c>
      <c r="B305" s="56" t="s">
        <v>7183</v>
      </c>
      <c r="C305" s="56"/>
      <c r="D305" s="175"/>
      <c r="E305" s="56" t="s">
        <v>600</v>
      </c>
      <c r="F305" s="175"/>
      <c r="G305" s="176"/>
      <c r="H305" s="56"/>
      <c r="I305" s="56" t="s">
        <v>124</v>
      </c>
      <c r="J305" s="56"/>
      <c r="K305" s="56"/>
      <c r="L305" s="56"/>
      <c r="M305" s="73">
        <f>((M85*1.75)+M126)</f>
        <v>421.65444500741472</v>
      </c>
      <c r="N305" s="56" t="s">
        <v>834</v>
      </c>
      <c r="O305" s="175"/>
      <c r="P305" s="56"/>
      <c r="Q305" s="369" t="s">
        <v>1772</v>
      </c>
      <c r="R305" s="175"/>
      <c r="S305" s="175"/>
      <c r="T305" s="175"/>
      <c r="U305" s="175"/>
      <c r="V305" s="175"/>
      <c r="W305" s="175"/>
      <c r="X305" s="175"/>
      <c r="Y305" s="175"/>
      <c r="Z305" s="175"/>
      <c r="AA305" s="78">
        <f t="shared" si="40"/>
        <v>0</v>
      </c>
      <c r="AB305" s="175"/>
      <c r="AC305" s="175"/>
      <c r="AD305" s="175"/>
      <c r="AE305" s="175"/>
      <c r="AF305" s="175"/>
      <c r="AG305" s="84"/>
      <c r="AH305" s="175"/>
      <c r="AI305" s="177"/>
      <c r="AJ305" s="177"/>
      <c r="AK305" s="177"/>
      <c r="AL305" s="175"/>
      <c r="AM305" s="176"/>
      <c r="AN305" s="53">
        <v>181</v>
      </c>
      <c r="AR305" s="264" t="str">
        <f ca="1">IF(LEN(Q305)=4,IF(Q305&lt;YEAR(NOW()),_xlfn.CONCAT(IF(LOWER(Setting!rng_language)="english","Expired ","Expiré "),Q305),""),"")</f>
        <v/>
      </c>
      <c r="AT305" s="53" t="b">
        <f>ISNUMBER(MATCH(IF(LEN('USER INPUT SHEET'!rng_province)&gt;0,'USER INPUT SHEET'!rng_province,"Canada"),$AU305:$BD305,0))</f>
        <v>0</v>
      </c>
      <c r="AU305" s="1286"/>
      <c r="AV305" s="1286"/>
      <c r="AW305" s="1286"/>
      <c r="AX305" s="1286"/>
      <c r="AY305" s="1286"/>
      <c r="AZ305" s="1286"/>
      <c r="BA305" s="1286"/>
      <c r="BB305" s="1286"/>
      <c r="BC305" s="1286"/>
      <c r="BD305" s="1286"/>
      <c r="BE305" s="53">
        <f t="shared" ref="BE305" si="44">IF(BF305="Always show",1,IF(BF305="Show if the button is on",rng_bio_carbon_storg,0))</f>
        <v>0</v>
      </c>
    </row>
    <row r="306" spans="1:57" ht="15.75" customHeight="1" x14ac:dyDescent="0.3">
      <c r="A306" s="56" t="str">
        <f t="shared" si="27"/>
        <v>SIP panel - Straw core / Agriboard / Agriboard 7-7/8" / R?/inch</v>
      </c>
      <c r="B306" s="56" t="s">
        <v>601</v>
      </c>
      <c r="C306" s="56" t="s">
        <v>602</v>
      </c>
      <c r="D306" s="56" t="s">
        <v>603</v>
      </c>
      <c r="E306" s="56" t="s">
        <v>119</v>
      </c>
      <c r="F306" s="175"/>
      <c r="G306" s="176"/>
      <c r="H306" s="56"/>
      <c r="I306" s="56" t="s">
        <v>129</v>
      </c>
      <c r="J306" s="56"/>
      <c r="K306" s="178">
        <v>-4.3999999999999997E-2</v>
      </c>
      <c r="L306" s="178" t="s">
        <v>5</v>
      </c>
      <c r="M306" s="74"/>
      <c r="N306" s="56"/>
      <c r="O306" s="178" t="s">
        <v>604</v>
      </c>
      <c r="P306" s="175"/>
      <c r="Q306" s="369" t="s">
        <v>1772</v>
      </c>
      <c r="R306" s="175"/>
      <c r="S306" s="175"/>
      <c r="T306" s="175"/>
      <c r="U306" s="175"/>
      <c r="V306" s="175"/>
      <c r="W306" s="175"/>
      <c r="X306" s="175"/>
      <c r="Y306" s="175"/>
      <c r="Z306" s="175"/>
      <c r="AA306" s="78">
        <f t="shared" si="40"/>
        <v>0</v>
      </c>
      <c r="AB306" s="175"/>
      <c r="AC306" s="175"/>
      <c r="AD306" s="175"/>
      <c r="AE306" s="175"/>
      <c r="AF306" s="175"/>
      <c r="AG306" s="85"/>
      <c r="AH306" s="175"/>
      <c r="AI306" s="177"/>
      <c r="AJ306" s="177"/>
      <c r="AK306" s="177"/>
      <c r="AL306" s="175"/>
      <c r="AM306" s="176"/>
      <c r="AN306" s="53">
        <v>182</v>
      </c>
      <c r="AR306" s="264" t="s">
        <v>1200</v>
      </c>
      <c r="AT306" s="53" t="b">
        <f>ISNUMBER(MATCH(IF(LEN('USER INPUT SHEET'!rng_province)&gt;0,'USER INPUT SHEET'!rng_province,"Canada"),$AU306:$BD306,0))</f>
        <v>0</v>
      </c>
      <c r="AU306" s="1286"/>
      <c r="AV306" s="1286"/>
      <c r="AW306" s="1286"/>
      <c r="AX306" s="1286"/>
      <c r="AY306" s="1286"/>
      <c r="AZ306" s="1286"/>
      <c r="BA306" s="1286"/>
      <c r="BB306" s="1286"/>
      <c r="BC306" s="1286"/>
      <c r="BD306" s="1286"/>
    </row>
    <row r="307" spans="1:57" ht="15.75" customHeight="1" x14ac:dyDescent="0.3">
      <c r="A307" s="50" t="str">
        <f t="shared" si="27"/>
        <v>(ARCHIVED 2025) Spray polyurethane foam - Closed Cell (HFC) / SPFA /  / R 6.6/inch</v>
      </c>
      <c r="B307" s="50" t="s">
        <v>4426</v>
      </c>
      <c r="C307" s="50" t="s">
        <v>605</v>
      </c>
      <c r="E307" s="50" t="s">
        <v>607</v>
      </c>
      <c r="H307" s="50" t="s">
        <v>606</v>
      </c>
      <c r="I307" s="50" t="s">
        <v>124</v>
      </c>
      <c r="J307" s="50"/>
      <c r="K307" s="51">
        <v>13.16</v>
      </c>
      <c r="L307" s="53" t="s">
        <v>825</v>
      </c>
      <c r="M307" s="71">
        <f t="shared" ref="M307:M315" si="45">(K307)</f>
        <v>13.16</v>
      </c>
      <c r="N307" s="53" t="s">
        <v>825</v>
      </c>
      <c r="O307" s="50" t="s">
        <v>610</v>
      </c>
      <c r="P307" s="53" t="s">
        <v>137</v>
      </c>
      <c r="Q307" s="367">
        <v>2023</v>
      </c>
      <c r="R307" s="53">
        <v>31.2</v>
      </c>
      <c r="S307" s="53" t="s">
        <v>121</v>
      </c>
      <c r="V307" s="53">
        <v>6.6</v>
      </c>
      <c r="AA307" s="78">
        <f t="shared" si="40"/>
        <v>0</v>
      </c>
      <c r="AG307" s="82"/>
      <c r="AN307" s="53">
        <v>183</v>
      </c>
      <c r="AR307" s="264" t="s">
        <v>1200</v>
      </c>
      <c r="AT307" s="53" t="b">
        <f>ISNUMBER(MATCH(IF(LEN('USER INPUT SHEET'!rng_province)&gt;0,'USER INPUT SHEET'!rng_province,"Canada"),$AU307:$BD307,0))</f>
        <v>0</v>
      </c>
      <c r="AU307" s="1286"/>
      <c r="AV307" s="1286"/>
      <c r="AW307" s="1286"/>
      <c r="AX307" s="1286"/>
      <c r="AY307" s="1286"/>
      <c r="AZ307" s="1286"/>
      <c r="BA307" s="1286"/>
      <c r="BB307" s="1286"/>
      <c r="BC307" s="1286"/>
      <c r="BD307" s="1286"/>
    </row>
    <row r="308" spans="1:57" ht="15.75" customHeight="1" x14ac:dyDescent="0.3">
      <c r="A308" s="50" t="str">
        <f t="shared" si="27"/>
        <v>Spray polyurethane foam - Closed Cell - HFO gas filled / SPFA /  / R 6.6/inch</v>
      </c>
      <c r="B308" s="50" t="s">
        <v>3525</v>
      </c>
      <c r="C308" s="50" t="s">
        <v>605</v>
      </c>
      <c r="E308" s="50" t="s">
        <v>607</v>
      </c>
      <c r="H308" s="50" t="s">
        <v>606</v>
      </c>
      <c r="I308" s="50" t="s">
        <v>3515</v>
      </c>
      <c r="J308" s="50"/>
      <c r="K308" s="55">
        <v>3.47</v>
      </c>
      <c r="L308" s="53" t="s">
        <v>3516</v>
      </c>
      <c r="M308" s="70">
        <v>3.47</v>
      </c>
      <c r="N308" s="53" t="s">
        <v>3516</v>
      </c>
      <c r="O308" s="50" t="s">
        <v>3526</v>
      </c>
      <c r="P308" s="53" t="s">
        <v>137</v>
      </c>
      <c r="Q308" s="367">
        <v>2027</v>
      </c>
      <c r="R308" s="53">
        <v>31.2</v>
      </c>
      <c r="S308" s="53" t="s">
        <v>121</v>
      </c>
      <c r="V308" s="53">
        <v>6.6</v>
      </c>
      <c r="W308" s="53">
        <f t="shared" ref="W308" si="46">0.0254*5.678/V308</f>
        <v>2.1851696969696969E-2</v>
      </c>
      <c r="AA308" s="78">
        <f t="shared" si="40"/>
        <v>0</v>
      </c>
      <c r="AG308" s="81"/>
      <c r="AN308" s="53">
        <v>184</v>
      </c>
      <c r="AR308" s="264" t="str">
        <f ca="1">IF(LEN(Q308)=4,IF(Q308&lt;YEAR(NOW()),_xlfn.CONCAT(IF(LOWER(Setting!rng_language)="english","Expired ","Expiré "),Q308),""),"")</f>
        <v/>
      </c>
      <c r="AT308" s="53" t="b">
        <f>ISNUMBER(MATCH(IF(LEN('USER INPUT SHEET'!rng_province)&gt;0,'USER INPUT SHEET'!rng_province,"Canada"),$AU308:$BD308,0))</f>
        <v>0</v>
      </c>
      <c r="AU308" s="1286"/>
      <c r="AV308" s="1286"/>
      <c r="AW308" s="1286"/>
      <c r="AX308" s="1286"/>
      <c r="AY308" s="1286"/>
      <c r="AZ308" s="1286"/>
      <c r="BA308" s="1286"/>
      <c r="BB308" s="1286"/>
      <c r="BC308" s="1286"/>
      <c r="BD308" s="1286"/>
    </row>
    <row r="309" spans="1:57" ht="15.75" customHeight="1" x14ac:dyDescent="0.3">
      <c r="A309" s="50" t="str">
        <f t="shared" si="27"/>
        <v>(ARCHIVED 2023) Spray polyurethane foam - Closed Cell (HFO) / SPFA /  / R 6.6/inch</v>
      </c>
      <c r="B309" s="50" t="s">
        <v>3767</v>
      </c>
      <c r="C309" s="50" t="s">
        <v>605</v>
      </c>
      <c r="E309" s="50" t="s">
        <v>607</v>
      </c>
      <c r="H309" s="50" t="s">
        <v>606</v>
      </c>
      <c r="I309" s="50" t="s">
        <v>124</v>
      </c>
      <c r="J309" s="50"/>
      <c r="K309" s="51">
        <v>4.16</v>
      </c>
      <c r="L309" s="50" t="s">
        <v>825</v>
      </c>
      <c r="M309" s="71">
        <f t="shared" si="45"/>
        <v>4.16</v>
      </c>
      <c r="N309" s="50" t="s">
        <v>825</v>
      </c>
      <c r="O309" s="53" t="s">
        <v>611</v>
      </c>
      <c r="P309" s="53" t="s">
        <v>137</v>
      </c>
      <c r="Q309" s="367">
        <v>2023</v>
      </c>
      <c r="R309" s="53">
        <v>31.2</v>
      </c>
      <c r="S309" s="53" t="s">
        <v>121</v>
      </c>
      <c r="V309" s="53">
        <v>6.6</v>
      </c>
      <c r="AA309" s="78">
        <f t="shared" si="40"/>
        <v>0</v>
      </c>
      <c r="AG309" s="82"/>
      <c r="AN309" s="53" t="s">
        <v>3793</v>
      </c>
      <c r="AR309" s="264" t="s">
        <v>1200</v>
      </c>
      <c r="AT309" s="53" t="b">
        <f>ISNUMBER(MATCH(IF(LEN('USER INPUT SHEET'!rng_province)&gt;0,'USER INPUT SHEET'!rng_province,"Canada"),$AU309:$BD309,0))</f>
        <v>0</v>
      </c>
      <c r="AU309" s="1289"/>
      <c r="AV309" s="1289"/>
      <c r="AW309" s="1289"/>
      <c r="AX309" s="1289"/>
      <c r="AY309" s="1289"/>
      <c r="AZ309" s="1289"/>
      <c r="BA309" s="1289"/>
      <c r="BB309" s="1289"/>
      <c r="BC309" s="1289"/>
      <c r="BD309" s="1289"/>
    </row>
    <row r="310" spans="1:57" ht="15.75" customHeight="1" x14ac:dyDescent="0.3">
      <c r="A310" s="50" t="str">
        <f t="shared" si="27"/>
        <v>(ARCHIVED 2025) Spray polyurethane foam - High Density (HFC) / SPFA /  / R 6.3/inch</v>
      </c>
      <c r="B310" s="50" t="s">
        <v>4427</v>
      </c>
      <c r="C310" s="50" t="s">
        <v>605</v>
      </c>
      <c r="E310" s="50" t="s">
        <v>609</v>
      </c>
      <c r="H310" s="50" t="s">
        <v>606</v>
      </c>
      <c r="I310" s="50" t="s">
        <v>124</v>
      </c>
      <c r="J310" s="50"/>
      <c r="K310" s="51">
        <v>17.02</v>
      </c>
      <c r="L310" s="50" t="s">
        <v>825</v>
      </c>
      <c r="M310" s="71">
        <f t="shared" si="45"/>
        <v>17.02</v>
      </c>
      <c r="N310" s="50" t="s">
        <v>825</v>
      </c>
      <c r="O310" s="50" t="s">
        <v>610</v>
      </c>
      <c r="P310" s="53" t="s">
        <v>137</v>
      </c>
      <c r="Q310" s="367">
        <v>2023</v>
      </c>
      <c r="R310" s="53">
        <v>52</v>
      </c>
      <c r="S310" s="53" t="s">
        <v>121</v>
      </c>
      <c r="V310" s="53">
        <v>6.3</v>
      </c>
      <c r="AA310" s="78">
        <f t="shared" si="40"/>
        <v>0</v>
      </c>
      <c r="AG310" s="82"/>
      <c r="AN310" s="53">
        <v>185</v>
      </c>
      <c r="AR310" s="264" t="s">
        <v>1200</v>
      </c>
      <c r="AT310" s="53" t="b">
        <f>ISNUMBER(MATCH(IF(LEN('USER INPUT SHEET'!rng_province)&gt;0,'USER INPUT SHEET'!rng_province,"Canada"),$AU310:$BD310,0))</f>
        <v>0</v>
      </c>
      <c r="AU310" s="1286"/>
      <c r="AV310" s="1286"/>
      <c r="AW310" s="1286"/>
      <c r="AX310" s="1286"/>
      <c r="AY310" s="1286"/>
      <c r="AZ310" s="1286"/>
      <c r="BA310" s="1286"/>
      <c r="BB310" s="1286"/>
      <c r="BC310" s="1286"/>
      <c r="BD310" s="1286"/>
    </row>
    <row r="311" spans="1:57" ht="15.75" customHeight="1" x14ac:dyDescent="0.3">
      <c r="A311" s="50" t="str">
        <f t="shared" si="27"/>
        <v>Spray polyurethane foam - High Density - HFO gas filled / SPFA /  / R 6.5/inch</v>
      </c>
      <c r="B311" s="50" t="s">
        <v>3527</v>
      </c>
      <c r="C311" s="50" t="s">
        <v>605</v>
      </c>
      <c r="E311" s="50" t="s">
        <v>554</v>
      </c>
      <c r="H311" s="50" t="s">
        <v>606</v>
      </c>
      <c r="I311" s="50" t="s">
        <v>3515</v>
      </c>
      <c r="J311" s="50"/>
      <c r="K311" s="55">
        <v>4.05</v>
      </c>
      <c r="L311" s="50" t="s">
        <v>3516</v>
      </c>
      <c r="M311" s="70">
        <v>4.05</v>
      </c>
      <c r="N311" s="50" t="s">
        <v>3516</v>
      </c>
      <c r="O311" s="50" t="s">
        <v>586</v>
      </c>
      <c r="P311" s="53" t="s">
        <v>137</v>
      </c>
      <c r="Q311" s="367">
        <v>2027</v>
      </c>
      <c r="R311" s="53">
        <v>52</v>
      </c>
      <c r="S311" s="53" t="s">
        <v>121</v>
      </c>
      <c r="V311" s="53">
        <v>6.5</v>
      </c>
      <c r="W311" s="53">
        <f t="shared" ref="W311" si="47">0.0254*5.678/V311</f>
        <v>2.2187876923076923E-2</v>
      </c>
      <c r="AA311" s="78">
        <f t="shared" si="40"/>
        <v>0</v>
      </c>
      <c r="AG311" s="81"/>
      <c r="AN311" s="53">
        <v>186</v>
      </c>
      <c r="AR311" s="264" t="str">
        <f ca="1">IF(LEN(Q311)=4,IF(Q311&lt;YEAR(NOW()),_xlfn.CONCAT(IF(LOWER(Setting!rng_language)="english","Expired ","Expiré "),Q311),""),"")</f>
        <v/>
      </c>
      <c r="AT311" s="53" t="b">
        <f>ISNUMBER(MATCH(IF(LEN('USER INPUT SHEET'!rng_province)&gt;0,'USER INPUT SHEET'!rng_province,"Canada"),$AU311:$BD311,0))</f>
        <v>0</v>
      </c>
      <c r="AU311" s="1286"/>
      <c r="AV311" s="1286"/>
      <c r="AW311" s="1286"/>
      <c r="AX311" s="1286"/>
      <c r="AY311" s="1286"/>
      <c r="AZ311" s="1286"/>
      <c r="BA311" s="1286"/>
      <c r="BB311" s="1286"/>
      <c r="BC311" s="1286"/>
      <c r="BD311" s="1286"/>
    </row>
    <row r="312" spans="1:57" ht="15.75" customHeight="1" x14ac:dyDescent="0.3">
      <c r="A312" s="50" t="str">
        <f t="shared" si="27"/>
        <v>(ARCHIVED 2023) Spray polyurethane foam - High Density (HFO) / SPFA /  / R 6.5/inch</v>
      </c>
      <c r="B312" s="50" t="s">
        <v>3768</v>
      </c>
      <c r="C312" s="50" t="s">
        <v>605</v>
      </c>
      <c r="E312" s="50" t="s">
        <v>554</v>
      </c>
      <c r="H312" s="50" t="s">
        <v>606</v>
      </c>
      <c r="I312" s="50" t="s">
        <v>124</v>
      </c>
      <c r="J312" s="50"/>
      <c r="K312" s="51">
        <v>4.95</v>
      </c>
      <c r="L312" s="50" t="s">
        <v>825</v>
      </c>
      <c r="M312" s="71">
        <f t="shared" si="45"/>
        <v>4.95</v>
      </c>
      <c r="N312" s="50" t="s">
        <v>825</v>
      </c>
      <c r="O312" s="53" t="s">
        <v>611</v>
      </c>
      <c r="P312" s="53" t="s">
        <v>137</v>
      </c>
      <c r="Q312" s="367">
        <v>2023</v>
      </c>
      <c r="R312" s="53">
        <v>52</v>
      </c>
      <c r="S312" s="53" t="s">
        <v>121</v>
      </c>
      <c r="V312" s="53">
        <v>6.5</v>
      </c>
      <c r="AA312" s="78">
        <f t="shared" si="40"/>
        <v>0</v>
      </c>
      <c r="AG312" s="82"/>
      <c r="AN312" s="53" t="s">
        <v>3794</v>
      </c>
      <c r="AR312" s="264" t="s">
        <v>1200</v>
      </c>
      <c r="AT312" s="53" t="b">
        <f>ISNUMBER(MATCH(IF(LEN('USER INPUT SHEET'!rng_province)&gt;0,'USER INPUT SHEET'!rng_province,"Canada"),$AU312:$BD312,0))</f>
        <v>0</v>
      </c>
      <c r="AU312" s="1289"/>
      <c r="AV312" s="1289"/>
      <c r="AW312" s="1289"/>
      <c r="AX312" s="1289"/>
      <c r="AY312" s="1289"/>
      <c r="AZ312" s="1289"/>
      <c r="BA312" s="1289"/>
      <c r="BB312" s="1289"/>
      <c r="BC312" s="1289"/>
      <c r="BD312" s="1289"/>
    </row>
    <row r="313" spans="1:57" ht="15.75" customHeight="1" x14ac:dyDescent="0.3">
      <c r="A313" s="50" t="str">
        <f t="shared" si="27"/>
        <v>(ARCHIVED 2025) Spray polyurethane foam - Open Cell (HFC) / SPFA /  / R 4.1/inch</v>
      </c>
      <c r="B313" s="50" t="s">
        <v>4428</v>
      </c>
      <c r="C313" s="50" t="s">
        <v>605</v>
      </c>
      <c r="E313" s="50" t="s">
        <v>612</v>
      </c>
      <c r="H313" s="50" t="s">
        <v>606</v>
      </c>
      <c r="I313" s="50" t="s">
        <v>124</v>
      </c>
      <c r="J313" s="50"/>
      <c r="K313" s="51">
        <v>1.66</v>
      </c>
      <c r="L313" s="53" t="s">
        <v>825</v>
      </c>
      <c r="M313" s="71">
        <f t="shared" si="45"/>
        <v>1.66</v>
      </c>
      <c r="N313" s="53" t="s">
        <v>825</v>
      </c>
      <c r="O313" s="50" t="s">
        <v>610</v>
      </c>
      <c r="P313" s="53" t="s">
        <v>137</v>
      </c>
      <c r="Q313" s="367">
        <v>2023</v>
      </c>
      <c r="R313" s="53">
        <v>9.6</v>
      </c>
      <c r="S313" s="53" t="s">
        <v>121</v>
      </c>
      <c r="V313" s="53">
        <v>4.0999999999999996</v>
      </c>
      <c r="AA313" s="78">
        <f t="shared" si="40"/>
        <v>0</v>
      </c>
      <c r="AG313" s="82"/>
      <c r="AN313" s="53">
        <v>187</v>
      </c>
      <c r="AR313" s="264" t="s">
        <v>1200</v>
      </c>
      <c r="AT313" s="53" t="b">
        <f>ISNUMBER(MATCH(IF(LEN('USER INPUT SHEET'!rng_province)&gt;0,'USER INPUT SHEET'!rng_province,"Canada"),$AU313:$BD313,0))</f>
        <v>0</v>
      </c>
      <c r="AU313" s="1286"/>
      <c r="AV313" s="1286"/>
      <c r="AW313" s="1286"/>
      <c r="AX313" s="1286"/>
      <c r="AY313" s="1286"/>
      <c r="AZ313" s="1286"/>
      <c r="BA313" s="1286"/>
      <c r="BB313" s="1286"/>
      <c r="BC313" s="1286"/>
      <c r="BD313" s="1286"/>
    </row>
    <row r="314" spans="1:57" ht="15.75" customHeight="1" x14ac:dyDescent="0.3">
      <c r="A314" s="50" t="str">
        <f t="shared" si="27"/>
        <v>Spray polyurethane foam - Open Cell - HFO gas / SPFA /  / R 4.1/inch</v>
      </c>
      <c r="B314" s="50" t="s">
        <v>3528</v>
      </c>
      <c r="C314" s="50" t="s">
        <v>605</v>
      </c>
      <c r="E314" s="50" t="s">
        <v>612</v>
      </c>
      <c r="H314" s="50" t="s">
        <v>606</v>
      </c>
      <c r="I314" s="50" t="s">
        <v>3515</v>
      </c>
      <c r="J314" s="50"/>
      <c r="K314" s="55">
        <v>1.42</v>
      </c>
      <c r="L314" s="53" t="s">
        <v>3516</v>
      </c>
      <c r="M314" s="70">
        <v>1.42</v>
      </c>
      <c r="N314" s="53" t="s">
        <v>3516</v>
      </c>
      <c r="O314" s="50" t="s">
        <v>586</v>
      </c>
      <c r="P314" s="53" t="s">
        <v>137</v>
      </c>
      <c r="Q314" s="367">
        <v>2027</v>
      </c>
      <c r="AA314" s="78">
        <f t="shared" si="40"/>
        <v>0</v>
      </c>
      <c r="AG314" s="81"/>
      <c r="AN314" s="53">
        <v>188</v>
      </c>
      <c r="AR314" s="264" t="str">
        <f ca="1">IF(LEN(Q314)=4,IF(Q314&lt;YEAR(NOW()),_xlfn.CONCAT(IF(LOWER(Setting!rng_language)="english","Expired ","Expiré "),Q314),""),"")</f>
        <v/>
      </c>
      <c r="AT314" s="53" t="b">
        <f>ISNUMBER(MATCH(IF(LEN('USER INPUT SHEET'!rng_province)&gt;0,'USER INPUT SHEET'!rng_province,"Canada"),$AU314:$BD314,0))</f>
        <v>0</v>
      </c>
      <c r="AU314" s="1286"/>
      <c r="AV314" s="1286"/>
      <c r="AW314" s="1286"/>
      <c r="AX314" s="1286"/>
      <c r="AY314" s="1286"/>
      <c r="AZ314" s="1286"/>
      <c r="BA314" s="1286"/>
      <c r="BB314" s="1286"/>
      <c r="BC314" s="1286"/>
      <c r="BD314" s="1286"/>
    </row>
    <row r="315" spans="1:57" ht="15.75" customHeight="1" x14ac:dyDescent="0.3">
      <c r="A315" s="50" t="str">
        <f t="shared" si="27"/>
        <v>(ARCHIVED 2023) Spray polyurethane foam - Open Cell (HFO) / SPFA /  / R 4.1/inch</v>
      </c>
      <c r="B315" s="50" t="s">
        <v>3769</v>
      </c>
      <c r="C315" s="50" t="s">
        <v>605</v>
      </c>
      <c r="E315" s="50" t="s">
        <v>612</v>
      </c>
      <c r="H315" s="50" t="s">
        <v>606</v>
      </c>
      <c r="I315" s="50" t="s">
        <v>124</v>
      </c>
      <c r="J315" s="50"/>
      <c r="K315" s="51">
        <v>1.66</v>
      </c>
      <c r="L315" s="50" t="s">
        <v>825</v>
      </c>
      <c r="M315" s="71">
        <f t="shared" si="45"/>
        <v>1.66</v>
      </c>
      <c r="N315" s="50" t="s">
        <v>825</v>
      </c>
      <c r="O315" s="53" t="s">
        <v>611</v>
      </c>
      <c r="P315" s="53" t="s">
        <v>137</v>
      </c>
      <c r="Q315" s="367">
        <v>2023</v>
      </c>
      <c r="R315" s="53">
        <v>9.6</v>
      </c>
      <c r="S315" s="53" t="s">
        <v>121</v>
      </c>
      <c r="V315" s="53">
        <v>4.0999999999999996</v>
      </c>
      <c r="AA315" s="78">
        <f t="shared" si="40"/>
        <v>0</v>
      </c>
      <c r="AG315" s="82"/>
      <c r="AN315" s="53" t="s">
        <v>3795</v>
      </c>
      <c r="AR315" s="264" t="s">
        <v>1200</v>
      </c>
      <c r="AT315" s="53" t="b">
        <f>ISNUMBER(MATCH(IF(LEN('USER INPUT SHEET'!rng_province)&gt;0,'USER INPUT SHEET'!rng_province,"Canada"),$AU315:$BD315,0))</f>
        <v>0</v>
      </c>
      <c r="AU315" s="1289"/>
      <c r="AV315" s="1289"/>
      <c r="AW315" s="1289"/>
      <c r="AX315" s="1289"/>
      <c r="AY315" s="1289"/>
      <c r="AZ315" s="1289"/>
      <c r="BA315" s="1289"/>
      <c r="BB315" s="1289"/>
      <c r="BC315" s="1289"/>
      <c r="BD315" s="1289"/>
    </row>
    <row r="316" spans="1:57" ht="15.75" customHeight="1" x14ac:dyDescent="0.3">
      <c r="A316" s="50" t="str">
        <f>B316&amp;" / "&amp;E316&amp;" / "&amp;C316</f>
        <v>(ARCHIVED 2025) Steel beam / W150x22 (W6x15) / American Institute of Steel Construction</v>
      </c>
      <c r="B316" s="50" t="s">
        <v>4437</v>
      </c>
      <c r="C316" s="50" t="s">
        <v>614</v>
      </c>
      <c r="D316" s="50" t="s">
        <v>1384</v>
      </c>
      <c r="E316" s="53" t="s">
        <v>1386</v>
      </c>
      <c r="I316" s="50" t="s">
        <v>129</v>
      </c>
      <c r="J316" s="50"/>
      <c r="K316" s="50">
        <v>1.1599999999999999</v>
      </c>
      <c r="L316" s="50" t="s">
        <v>841</v>
      </c>
      <c r="M316" s="71">
        <f t="shared" ref="M316:M334" si="48">(K316*T316)</f>
        <v>26.099999999999998</v>
      </c>
      <c r="N316" s="50" t="s">
        <v>873</v>
      </c>
      <c r="O316" s="53" t="s">
        <v>615</v>
      </c>
      <c r="P316" s="53" t="s">
        <v>143</v>
      </c>
      <c r="Q316" s="367">
        <v>2021</v>
      </c>
      <c r="R316" s="53">
        <v>7800</v>
      </c>
      <c r="S316" s="53" t="s">
        <v>121</v>
      </c>
      <c r="T316" s="59">
        <v>22.5</v>
      </c>
      <c r="U316" s="53" t="s">
        <v>423</v>
      </c>
      <c r="AA316" s="78">
        <f t="shared" si="40"/>
        <v>0</v>
      </c>
      <c r="AG316" s="82"/>
      <c r="AN316" s="53">
        <v>189</v>
      </c>
      <c r="AR316" s="264" t="str">
        <f ca="1">IF(LEN(Q316)=4,IF(Q316&lt;YEAR(NOW()),_xlfn.CONCAT(IF(LOWER(Setting!rng_language)="english","Expired ","Expiré "),Q316),""),"")</f>
        <v>Expired 2021</v>
      </c>
      <c r="AT316" s="53" t="b">
        <f>ISNUMBER(MATCH(IF(LEN('USER INPUT SHEET'!rng_province)&gt;0,'USER INPUT SHEET'!rng_province,"Canada"),$AU316:$BD316,0))</f>
        <v>0</v>
      </c>
      <c r="AU316" s="1286"/>
      <c r="AV316" s="1286"/>
      <c r="AW316" s="1286"/>
      <c r="AX316" s="1286"/>
      <c r="AY316" s="1286"/>
      <c r="AZ316" s="1286"/>
      <c r="BA316" s="1286"/>
      <c r="BB316" s="1286"/>
      <c r="BC316" s="1286"/>
      <c r="BD316" s="1286"/>
    </row>
    <row r="317" spans="1:57" ht="15.75" customHeight="1" x14ac:dyDescent="0.3">
      <c r="A317" s="50" t="str">
        <f t="shared" ref="A317:A333" si="49">B317&amp;" / "&amp;E317&amp;" / "&amp;C317</f>
        <v>(ARCHIVED 2025) Steel beam / W200x22 (W8x15) / American Institute of Steel Construction</v>
      </c>
      <c r="B317" s="50" t="s">
        <v>4437</v>
      </c>
      <c r="C317" s="50" t="s">
        <v>614</v>
      </c>
      <c r="D317" s="50" t="s">
        <v>1384</v>
      </c>
      <c r="E317" s="53" t="s">
        <v>1387</v>
      </c>
      <c r="I317" s="50" t="s">
        <v>129</v>
      </c>
      <c r="J317" s="50"/>
      <c r="K317" s="50">
        <v>1.1599999999999999</v>
      </c>
      <c r="L317" s="50" t="s">
        <v>841</v>
      </c>
      <c r="M317" s="71">
        <f t="shared" si="48"/>
        <v>26.099999999999998</v>
      </c>
      <c r="N317" s="50" t="s">
        <v>873</v>
      </c>
      <c r="O317" s="53" t="s">
        <v>615</v>
      </c>
      <c r="P317" s="53" t="s">
        <v>143</v>
      </c>
      <c r="Q317" s="367">
        <v>2021</v>
      </c>
      <c r="R317" s="53">
        <v>7800</v>
      </c>
      <c r="S317" s="53" t="s">
        <v>121</v>
      </c>
      <c r="T317" s="59">
        <v>22.5</v>
      </c>
      <c r="U317" s="53" t="s">
        <v>423</v>
      </c>
      <c r="AA317" s="78">
        <f t="shared" si="40"/>
        <v>0</v>
      </c>
      <c r="AG317" s="82"/>
      <c r="AN317" s="53">
        <v>190</v>
      </c>
      <c r="AR317" s="264" t="str">
        <f ca="1">IF(LEN(Q317)=4,IF(Q317&lt;YEAR(NOW()),_xlfn.CONCAT(IF(LOWER(Setting!rng_language)="english","Expired ","Expiré "),Q317),""),"")</f>
        <v>Expired 2021</v>
      </c>
      <c r="AT317" s="53" t="b">
        <f>ISNUMBER(MATCH(IF(LEN('USER INPUT SHEET'!rng_province)&gt;0,'USER INPUT SHEET'!rng_province,"Canada"),$AU317:$BD317,0))</f>
        <v>0</v>
      </c>
      <c r="AU317" s="1286"/>
      <c r="AV317" s="1286"/>
      <c r="AW317" s="1286"/>
      <c r="AX317" s="1286"/>
      <c r="AY317" s="1286"/>
      <c r="AZ317" s="1286"/>
      <c r="BA317" s="1286"/>
      <c r="BB317" s="1286"/>
      <c r="BC317" s="1286"/>
      <c r="BD317" s="1286"/>
    </row>
    <row r="318" spans="1:57" ht="15.75" customHeight="1" x14ac:dyDescent="0.3">
      <c r="A318" s="50" t="str">
        <f t="shared" si="49"/>
        <v>(ARCHIVED 2025) Steel beam / W200x27 (W8x18) / American Institute of Steel Construction</v>
      </c>
      <c r="B318" s="50" t="s">
        <v>4437</v>
      </c>
      <c r="C318" s="50" t="s">
        <v>614</v>
      </c>
      <c r="D318" s="50" t="s">
        <v>1384</v>
      </c>
      <c r="E318" s="53" t="s">
        <v>1388</v>
      </c>
      <c r="I318" s="50" t="s">
        <v>129</v>
      </c>
      <c r="J318" s="50"/>
      <c r="K318" s="50">
        <v>1.1599999999999999</v>
      </c>
      <c r="L318" s="50" t="s">
        <v>841</v>
      </c>
      <c r="M318" s="71">
        <f t="shared" si="48"/>
        <v>30.855999999999998</v>
      </c>
      <c r="N318" s="50" t="s">
        <v>873</v>
      </c>
      <c r="O318" s="53" t="s">
        <v>615</v>
      </c>
      <c r="P318" s="53" t="s">
        <v>143</v>
      </c>
      <c r="Q318" s="367">
        <v>2021</v>
      </c>
      <c r="R318" s="53">
        <v>7800</v>
      </c>
      <c r="S318" s="53" t="s">
        <v>121</v>
      </c>
      <c r="T318" s="59">
        <v>26.6</v>
      </c>
      <c r="U318" s="53" t="s">
        <v>423</v>
      </c>
      <c r="AA318" s="78">
        <f t="shared" si="40"/>
        <v>0</v>
      </c>
      <c r="AG318" s="82"/>
      <c r="AN318" s="53">
        <v>191</v>
      </c>
      <c r="AR318" s="264" t="str">
        <f ca="1">IF(LEN(Q318)=4,IF(Q318&lt;YEAR(NOW()),_xlfn.CONCAT(IF(LOWER(Setting!rng_language)="english","Expired ","Expiré "),Q318),""),"")</f>
        <v>Expired 2021</v>
      </c>
      <c r="AT318" s="53" t="b">
        <f>ISNUMBER(MATCH(IF(LEN('USER INPUT SHEET'!rng_province)&gt;0,'USER INPUT SHEET'!rng_province,"Canada"),$AU318:$BD318,0))</f>
        <v>0</v>
      </c>
      <c r="AU318" s="1286"/>
      <c r="AV318" s="1286"/>
      <c r="AW318" s="1286"/>
      <c r="AX318" s="1286"/>
      <c r="AY318" s="1286"/>
      <c r="AZ318" s="1286"/>
      <c r="BA318" s="1286"/>
      <c r="BB318" s="1286"/>
      <c r="BC318" s="1286"/>
      <c r="BD318" s="1286"/>
    </row>
    <row r="319" spans="1:57" ht="15.75" customHeight="1" x14ac:dyDescent="0.3">
      <c r="A319" s="50" t="str">
        <f t="shared" si="49"/>
        <v>(ARCHIVED 2025) Steel beam / W200x31 (W8x21) / American Institute of Steel Construction</v>
      </c>
      <c r="B319" s="50" t="s">
        <v>4437</v>
      </c>
      <c r="C319" s="50" t="s">
        <v>614</v>
      </c>
      <c r="D319" s="50" t="s">
        <v>1384</v>
      </c>
      <c r="E319" s="53" t="s">
        <v>1385</v>
      </c>
      <c r="I319" s="50" t="s">
        <v>129</v>
      </c>
      <c r="J319" s="50"/>
      <c r="K319" s="50">
        <v>1.1599999999999999</v>
      </c>
      <c r="L319" s="50" t="s">
        <v>841</v>
      </c>
      <c r="M319" s="71">
        <f t="shared" si="48"/>
        <v>36.308</v>
      </c>
      <c r="N319" s="50" t="s">
        <v>873</v>
      </c>
      <c r="O319" s="53" t="s">
        <v>615</v>
      </c>
      <c r="P319" s="53" t="s">
        <v>143</v>
      </c>
      <c r="Q319" s="367">
        <v>2021</v>
      </c>
      <c r="R319" s="53">
        <v>7800</v>
      </c>
      <c r="S319" s="53" t="s">
        <v>121</v>
      </c>
      <c r="T319" s="59">
        <v>31.3</v>
      </c>
      <c r="U319" s="53" t="s">
        <v>423</v>
      </c>
      <c r="AA319" s="78">
        <f t="shared" si="40"/>
        <v>0</v>
      </c>
      <c r="AG319" s="82"/>
      <c r="AN319" s="53">
        <v>192</v>
      </c>
      <c r="AR319" s="264" t="str">
        <f ca="1">IF(LEN(Q319)=4,IF(Q319&lt;YEAR(NOW()),_xlfn.CONCAT(IF(LOWER(Setting!rng_language)="english","Expired ","Expiré "),Q319),""),"")</f>
        <v>Expired 2021</v>
      </c>
      <c r="AT319" s="53" t="b">
        <f>ISNUMBER(MATCH(IF(LEN('USER INPUT SHEET'!rng_province)&gt;0,'USER INPUT SHEET'!rng_province,"Canada"),$AU319:$BD319,0))</f>
        <v>0</v>
      </c>
      <c r="AU319" s="1286"/>
      <c r="AV319" s="1286"/>
      <c r="AW319" s="1286"/>
      <c r="AX319" s="1286"/>
      <c r="AY319" s="1286"/>
      <c r="AZ319" s="1286"/>
      <c r="BA319" s="1286"/>
      <c r="BB319" s="1286"/>
      <c r="BC319" s="1286"/>
      <c r="BD319" s="1286"/>
    </row>
    <row r="320" spans="1:57" ht="15.75" customHeight="1" x14ac:dyDescent="0.3">
      <c r="A320" s="50" t="str">
        <f t="shared" si="49"/>
        <v>(ARCHIVED 2025) Steel beam / W250x25 (W10x17) / American Institute of Steel Construction</v>
      </c>
      <c r="B320" s="50" t="s">
        <v>4437</v>
      </c>
      <c r="C320" s="50" t="s">
        <v>614</v>
      </c>
      <c r="D320" s="50" t="s">
        <v>1384</v>
      </c>
      <c r="E320" s="53" t="s">
        <v>1389</v>
      </c>
      <c r="I320" s="50" t="s">
        <v>129</v>
      </c>
      <c r="J320" s="50"/>
      <c r="K320" s="50">
        <v>1.1599999999999999</v>
      </c>
      <c r="L320" s="50" t="s">
        <v>841</v>
      </c>
      <c r="M320" s="71">
        <f t="shared" si="48"/>
        <v>29.347999999999999</v>
      </c>
      <c r="N320" s="50" t="s">
        <v>873</v>
      </c>
      <c r="O320" s="53" t="s">
        <v>615</v>
      </c>
      <c r="P320" s="53" t="s">
        <v>143</v>
      </c>
      <c r="Q320" s="367">
        <v>2021</v>
      </c>
      <c r="R320" s="53">
        <v>7800</v>
      </c>
      <c r="S320" s="53" t="s">
        <v>121</v>
      </c>
      <c r="T320" s="59">
        <v>25.3</v>
      </c>
      <c r="U320" s="53" t="s">
        <v>423</v>
      </c>
      <c r="AA320" s="78">
        <f t="shared" si="40"/>
        <v>0</v>
      </c>
      <c r="AG320" s="82"/>
      <c r="AN320" s="53">
        <v>193</v>
      </c>
      <c r="AR320" s="264" t="str">
        <f ca="1">IF(LEN(Q320)=4,IF(Q320&lt;YEAR(NOW()),_xlfn.CONCAT(IF(LOWER(Setting!rng_language)="english","Expired ","Expiré "),Q320),""),"")</f>
        <v>Expired 2021</v>
      </c>
      <c r="AT320" s="53" t="b">
        <f>ISNUMBER(MATCH(IF(LEN('USER INPUT SHEET'!rng_province)&gt;0,'USER INPUT SHEET'!rng_province,"Canada"),$AU320:$BD320,0))</f>
        <v>0</v>
      </c>
      <c r="AU320" s="1286"/>
      <c r="AV320" s="1286"/>
      <c r="AW320" s="1286"/>
      <c r="AX320" s="1286"/>
      <c r="AY320" s="1286"/>
      <c r="AZ320" s="1286"/>
      <c r="BA320" s="1286"/>
      <c r="BB320" s="1286"/>
      <c r="BC320" s="1286"/>
      <c r="BD320" s="1286"/>
    </row>
    <row r="321" spans="1:56" ht="15.75" customHeight="1" x14ac:dyDescent="0.3">
      <c r="A321" s="50" t="str">
        <f t="shared" si="49"/>
        <v>(ARCHIVED 2025) Steel beam / W250x33 (W10x22) / American Institute of Steel Construction</v>
      </c>
      <c r="B321" s="50" t="s">
        <v>4437</v>
      </c>
      <c r="C321" s="50" t="s">
        <v>614</v>
      </c>
      <c r="D321" s="50" t="s">
        <v>1384</v>
      </c>
      <c r="E321" s="53" t="s">
        <v>1390</v>
      </c>
      <c r="I321" s="50" t="s">
        <v>129</v>
      </c>
      <c r="J321" s="50"/>
      <c r="K321" s="50">
        <v>1.1599999999999999</v>
      </c>
      <c r="L321" s="50" t="s">
        <v>841</v>
      </c>
      <c r="M321" s="71">
        <f t="shared" si="48"/>
        <v>37.932000000000002</v>
      </c>
      <c r="N321" s="50" t="s">
        <v>873</v>
      </c>
      <c r="O321" s="53" t="s">
        <v>615</v>
      </c>
      <c r="P321" s="53" t="s">
        <v>143</v>
      </c>
      <c r="Q321" s="367">
        <v>2021</v>
      </c>
      <c r="R321" s="53">
        <v>7800</v>
      </c>
      <c r="S321" s="53" t="s">
        <v>121</v>
      </c>
      <c r="T321" s="59">
        <v>32.700000000000003</v>
      </c>
      <c r="U321" s="53" t="s">
        <v>423</v>
      </c>
      <c r="AA321" s="78">
        <f t="shared" si="40"/>
        <v>0</v>
      </c>
      <c r="AG321" s="82"/>
      <c r="AN321" s="53">
        <v>194</v>
      </c>
      <c r="AR321" s="264" t="str">
        <f ca="1">IF(LEN(Q321)=4,IF(Q321&lt;YEAR(NOW()),_xlfn.CONCAT(IF(LOWER(Setting!rng_language)="english","Expired ","Expiré "),Q321),""),"")</f>
        <v>Expired 2021</v>
      </c>
      <c r="AT321" s="53" t="b">
        <f>ISNUMBER(MATCH(IF(LEN('USER INPUT SHEET'!rng_province)&gt;0,'USER INPUT SHEET'!rng_province,"Canada"),$AU321:$BD321,0))</f>
        <v>0</v>
      </c>
      <c r="AU321" s="1286"/>
      <c r="AV321" s="1286"/>
      <c r="AW321" s="1286"/>
      <c r="AX321" s="1286"/>
      <c r="AY321" s="1286"/>
      <c r="AZ321" s="1286"/>
      <c r="BA321" s="1286"/>
      <c r="BB321" s="1286"/>
      <c r="BC321" s="1286"/>
      <c r="BD321" s="1286"/>
    </row>
    <row r="322" spans="1:56" ht="15.75" customHeight="1" x14ac:dyDescent="0.3">
      <c r="A322" s="50" t="str">
        <f t="shared" si="49"/>
        <v>(ARCHIVED 2025) Steel beam / W250x39 (W10x26) / American Institute of Steel Construction</v>
      </c>
      <c r="B322" s="50" t="s">
        <v>4437</v>
      </c>
      <c r="C322" s="50" t="s">
        <v>614</v>
      </c>
      <c r="D322" s="50" t="s">
        <v>1384</v>
      </c>
      <c r="E322" s="53" t="s">
        <v>1391</v>
      </c>
      <c r="I322" s="50" t="s">
        <v>129</v>
      </c>
      <c r="J322" s="50"/>
      <c r="K322" s="50">
        <v>1.1599999999999999</v>
      </c>
      <c r="L322" s="50" t="s">
        <v>841</v>
      </c>
      <c r="M322" s="71">
        <f t="shared" si="48"/>
        <v>44.66</v>
      </c>
      <c r="N322" s="50" t="s">
        <v>873</v>
      </c>
      <c r="O322" s="53" t="s">
        <v>615</v>
      </c>
      <c r="P322" s="53" t="s">
        <v>143</v>
      </c>
      <c r="Q322" s="367">
        <v>2021</v>
      </c>
      <c r="R322" s="53">
        <v>7800</v>
      </c>
      <c r="S322" s="53" t="s">
        <v>121</v>
      </c>
      <c r="T322" s="59">
        <v>38.5</v>
      </c>
      <c r="U322" s="53" t="s">
        <v>423</v>
      </c>
      <c r="AA322" s="78">
        <f t="shared" si="40"/>
        <v>0</v>
      </c>
      <c r="AG322" s="82"/>
      <c r="AN322" s="53">
        <v>195</v>
      </c>
      <c r="AR322" s="264" t="str">
        <f ca="1">IF(LEN(Q322)=4,IF(Q322&lt;YEAR(NOW()),_xlfn.CONCAT(IF(LOWER(Setting!rng_language)="english","Expired ","Expiré "),Q322),""),"")</f>
        <v>Expired 2021</v>
      </c>
      <c r="AT322" s="53" t="b">
        <f>ISNUMBER(MATCH(IF(LEN('USER INPUT SHEET'!rng_province)&gt;0,'USER INPUT SHEET'!rng_province,"Canada"),$AU322:$BD322,0))</f>
        <v>0</v>
      </c>
      <c r="AU322" s="1286"/>
      <c r="AV322" s="1286"/>
      <c r="AW322" s="1286"/>
      <c r="AX322" s="1286"/>
      <c r="AY322" s="1286"/>
      <c r="AZ322" s="1286"/>
      <c r="BA322" s="1286"/>
      <c r="BB322" s="1286"/>
      <c r="BC322" s="1286"/>
      <c r="BD322" s="1286"/>
    </row>
    <row r="323" spans="1:56" ht="15.75" customHeight="1" x14ac:dyDescent="0.3">
      <c r="A323" s="50" t="str">
        <f t="shared" si="49"/>
        <v>(ARCHIVED 2025) Steel beam / W310x33 (W12x22) / American Institute of Steel Construction</v>
      </c>
      <c r="B323" s="50" t="s">
        <v>4437</v>
      </c>
      <c r="C323" s="50" t="s">
        <v>614</v>
      </c>
      <c r="D323" s="50" t="s">
        <v>1384</v>
      </c>
      <c r="E323" s="53" t="s">
        <v>1392</v>
      </c>
      <c r="I323" s="50" t="s">
        <v>129</v>
      </c>
      <c r="J323" s="50"/>
      <c r="K323" s="50">
        <v>1.1599999999999999</v>
      </c>
      <c r="L323" s="50" t="s">
        <v>841</v>
      </c>
      <c r="M323" s="71">
        <f t="shared" si="48"/>
        <v>37.932000000000002</v>
      </c>
      <c r="N323" s="50" t="s">
        <v>873</v>
      </c>
      <c r="O323" s="53" t="s">
        <v>615</v>
      </c>
      <c r="P323" s="53" t="s">
        <v>143</v>
      </c>
      <c r="Q323" s="367">
        <v>2021</v>
      </c>
      <c r="R323" s="53">
        <v>7800</v>
      </c>
      <c r="S323" s="53" t="s">
        <v>121</v>
      </c>
      <c r="T323" s="59">
        <v>32.700000000000003</v>
      </c>
      <c r="U323" s="53" t="s">
        <v>423</v>
      </c>
      <c r="AA323" s="78">
        <f t="shared" si="40"/>
        <v>0</v>
      </c>
      <c r="AG323" s="82"/>
      <c r="AN323" s="53">
        <v>196</v>
      </c>
      <c r="AR323" s="264" t="str">
        <f ca="1">IF(LEN(Q323)=4,IF(Q323&lt;YEAR(NOW()),_xlfn.CONCAT(IF(LOWER(Setting!rng_language)="english","Expired ","Expiré "),Q323),""),"")</f>
        <v>Expired 2021</v>
      </c>
      <c r="AT323" s="53" t="b">
        <f>ISNUMBER(MATCH(IF(LEN('USER INPUT SHEET'!rng_province)&gt;0,'USER INPUT SHEET'!rng_province,"Canada"),$AU323:$BD323,0))</f>
        <v>0</v>
      </c>
      <c r="AU323" s="1286"/>
      <c r="AV323" s="1286"/>
      <c r="AW323" s="1286"/>
      <c r="AX323" s="1286"/>
      <c r="AY323" s="1286"/>
      <c r="AZ323" s="1286"/>
      <c r="BA323" s="1286"/>
      <c r="BB323" s="1286"/>
      <c r="BC323" s="1286"/>
      <c r="BD323" s="1286"/>
    </row>
    <row r="324" spans="1:56" ht="15.75" customHeight="1" x14ac:dyDescent="0.3">
      <c r="A324" s="50" t="str">
        <f t="shared" si="49"/>
        <v>(ARCHIVED 2025) Steel beam / W310x39 (W12x26) / American Institute of Steel Construction</v>
      </c>
      <c r="B324" s="50" t="s">
        <v>4437</v>
      </c>
      <c r="C324" s="50" t="s">
        <v>614</v>
      </c>
      <c r="D324" s="50" t="s">
        <v>1384</v>
      </c>
      <c r="E324" s="53" t="s">
        <v>1393</v>
      </c>
      <c r="I324" s="50" t="s">
        <v>129</v>
      </c>
      <c r="J324" s="50"/>
      <c r="K324" s="50">
        <v>1.1599999999999999</v>
      </c>
      <c r="L324" s="50" t="s">
        <v>841</v>
      </c>
      <c r="M324" s="71">
        <f t="shared" si="48"/>
        <v>44.66</v>
      </c>
      <c r="N324" s="50" t="s">
        <v>873</v>
      </c>
      <c r="O324" s="53" t="s">
        <v>615</v>
      </c>
      <c r="P324" s="53" t="s">
        <v>143</v>
      </c>
      <c r="Q324" s="367">
        <v>2021</v>
      </c>
      <c r="R324" s="53">
        <v>7800</v>
      </c>
      <c r="S324" s="53" t="s">
        <v>121</v>
      </c>
      <c r="T324" s="59">
        <v>38.5</v>
      </c>
      <c r="U324" s="53" t="s">
        <v>423</v>
      </c>
      <c r="AA324" s="78">
        <f t="shared" si="40"/>
        <v>0</v>
      </c>
      <c r="AG324" s="82"/>
      <c r="AN324" s="53">
        <v>197</v>
      </c>
      <c r="AR324" s="264" t="str">
        <f ca="1">IF(LEN(Q324)=4,IF(Q324&lt;YEAR(NOW()),_xlfn.CONCAT(IF(LOWER(Setting!rng_language)="english","Expired ","Expiré "),Q324),""),"")</f>
        <v>Expired 2021</v>
      </c>
      <c r="AT324" s="53" t="b">
        <f>ISNUMBER(MATCH(IF(LEN('USER INPUT SHEET'!rng_province)&gt;0,'USER INPUT SHEET'!rng_province,"Canada"),$AU324:$BD324,0))</f>
        <v>0</v>
      </c>
      <c r="AU324" s="1286"/>
      <c r="AV324" s="1286"/>
      <c r="AW324" s="1286"/>
      <c r="AX324" s="1286"/>
      <c r="AY324" s="1286"/>
      <c r="AZ324" s="1286"/>
      <c r="BA324" s="1286"/>
      <c r="BB324" s="1286"/>
      <c r="BC324" s="1286"/>
      <c r="BD324" s="1286"/>
    </row>
    <row r="325" spans="1:56" ht="15.75" customHeight="1" x14ac:dyDescent="0.3">
      <c r="A325" s="50" t="str">
        <f t="shared" si="49"/>
        <v>Steel beam / W150x22 (W6x15) / American Institute of Steel Construction</v>
      </c>
      <c r="B325" s="50" t="s">
        <v>613</v>
      </c>
      <c r="C325" s="50" t="s">
        <v>614</v>
      </c>
      <c r="D325" s="50"/>
      <c r="E325" s="53" t="s">
        <v>1386</v>
      </c>
      <c r="H325" s="53" t="s">
        <v>1384</v>
      </c>
      <c r="I325" s="50" t="s">
        <v>3500</v>
      </c>
      <c r="J325" s="401">
        <v>45328</v>
      </c>
      <c r="K325" s="50">
        <v>1.22</v>
      </c>
      <c r="L325" s="50" t="s">
        <v>841</v>
      </c>
      <c r="M325" s="70">
        <v>27.45</v>
      </c>
      <c r="N325" s="50" t="s">
        <v>873</v>
      </c>
      <c r="O325" s="53" t="s">
        <v>4438</v>
      </c>
      <c r="P325" s="53" t="s">
        <v>3502</v>
      </c>
      <c r="Q325" s="367">
        <v>2026</v>
      </c>
      <c r="R325" s="53">
        <v>7800</v>
      </c>
      <c r="S325" s="53" t="s">
        <v>121</v>
      </c>
      <c r="T325" s="59">
        <v>22.5</v>
      </c>
      <c r="U325" s="53" t="s">
        <v>423</v>
      </c>
      <c r="AA325" s="78">
        <f t="shared" si="40"/>
        <v>0</v>
      </c>
      <c r="AG325" s="81"/>
      <c r="AN325" s="53" t="s">
        <v>3991</v>
      </c>
      <c r="AT325" s="53" t="b">
        <f>ISNUMBER(MATCH(IF(LEN('USER INPUT SHEET'!rng_province)&gt;0,'USER INPUT SHEET'!rng_province,"Canada"),$AU325:$BD325,0))</f>
        <v>0</v>
      </c>
      <c r="AU325" s="1286"/>
      <c r="AV325" s="1286"/>
      <c r="AW325" s="1286"/>
      <c r="AX325" s="1286"/>
      <c r="AY325" s="1286"/>
      <c r="AZ325" s="1286"/>
      <c r="BA325" s="1286"/>
      <c r="BB325" s="1286"/>
      <c r="BC325" s="1286"/>
      <c r="BD325" s="1286"/>
    </row>
    <row r="326" spans="1:56" ht="15.75" customHeight="1" x14ac:dyDescent="0.3">
      <c r="A326" s="50" t="str">
        <f t="shared" si="49"/>
        <v>Steel beam / W200x22 (W8x15) / American Institute of Steel Construction</v>
      </c>
      <c r="B326" s="50" t="s">
        <v>613</v>
      </c>
      <c r="C326" s="50" t="s">
        <v>614</v>
      </c>
      <c r="D326" s="50"/>
      <c r="E326" s="53" t="s">
        <v>1387</v>
      </c>
      <c r="H326" s="53" t="s">
        <v>1384</v>
      </c>
      <c r="I326" s="50" t="s">
        <v>3500</v>
      </c>
      <c r="J326" s="401">
        <v>45328</v>
      </c>
      <c r="K326" s="50">
        <v>1.22</v>
      </c>
      <c r="L326" s="50" t="s">
        <v>841</v>
      </c>
      <c r="M326" s="70">
        <v>27.45</v>
      </c>
      <c r="N326" s="50" t="s">
        <v>873</v>
      </c>
      <c r="O326" s="53" t="s">
        <v>4438</v>
      </c>
      <c r="P326" s="53" t="s">
        <v>3502</v>
      </c>
      <c r="Q326" s="367">
        <v>2026</v>
      </c>
      <c r="R326" s="53">
        <v>7800</v>
      </c>
      <c r="S326" s="53" t="s">
        <v>121</v>
      </c>
      <c r="T326" s="59">
        <v>22.5</v>
      </c>
      <c r="U326" s="53" t="s">
        <v>423</v>
      </c>
      <c r="AA326" s="78">
        <f t="shared" si="40"/>
        <v>0</v>
      </c>
      <c r="AG326" s="81"/>
      <c r="AN326" s="53" t="s">
        <v>4502</v>
      </c>
      <c r="AT326" s="53" t="b">
        <f>ISNUMBER(MATCH(IF(LEN('USER INPUT SHEET'!rng_province)&gt;0,'USER INPUT SHEET'!rng_province,"Canada"),$AU326:$BD326,0))</f>
        <v>0</v>
      </c>
      <c r="AU326" s="1286"/>
      <c r="AV326" s="1286"/>
      <c r="AW326" s="1286"/>
      <c r="AX326" s="1286"/>
      <c r="AY326" s="1286"/>
      <c r="AZ326" s="1286"/>
      <c r="BA326" s="1286"/>
      <c r="BB326" s="1286"/>
      <c r="BC326" s="1286"/>
      <c r="BD326" s="1286"/>
    </row>
    <row r="327" spans="1:56" ht="15.75" customHeight="1" x14ac:dyDescent="0.3">
      <c r="A327" s="50" t="str">
        <f t="shared" si="49"/>
        <v>Steel beam / W200x27 (W8x18) / American Institute of Steel Construction</v>
      </c>
      <c r="B327" s="50" t="s">
        <v>613</v>
      </c>
      <c r="C327" s="50" t="s">
        <v>614</v>
      </c>
      <c r="D327" s="50"/>
      <c r="E327" s="53" t="s">
        <v>1388</v>
      </c>
      <c r="H327" s="53" t="s">
        <v>1384</v>
      </c>
      <c r="I327" s="50" t="s">
        <v>3500</v>
      </c>
      <c r="J327" s="401">
        <v>45328</v>
      </c>
      <c r="K327" s="50">
        <v>1.22</v>
      </c>
      <c r="L327" s="50" t="s">
        <v>841</v>
      </c>
      <c r="M327" s="70">
        <v>32.451999999999998</v>
      </c>
      <c r="N327" s="50" t="s">
        <v>873</v>
      </c>
      <c r="O327" s="53" t="s">
        <v>4438</v>
      </c>
      <c r="P327" s="53" t="s">
        <v>3502</v>
      </c>
      <c r="Q327" s="367">
        <v>2026</v>
      </c>
      <c r="R327" s="53">
        <v>7800</v>
      </c>
      <c r="S327" s="53" t="s">
        <v>121</v>
      </c>
      <c r="T327" s="59">
        <v>26.6</v>
      </c>
      <c r="U327" s="53" t="s">
        <v>423</v>
      </c>
      <c r="AA327" s="78">
        <f t="shared" si="40"/>
        <v>0</v>
      </c>
      <c r="AG327" s="81"/>
      <c r="AN327" s="53" t="s">
        <v>4503</v>
      </c>
      <c r="AT327" s="53" t="b">
        <f>ISNUMBER(MATCH(IF(LEN('USER INPUT SHEET'!rng_province)&gt;0,'USER INPUT SHEET'!rng_province,"Canada"),$AU327:$BD327,0))</f>
        <v>0</v>
      </c>
      <c r="AU327" s="1286"/>
      <c r="AV327" s="1286"/>
      <c r="AW327" s="1286"/>
      <c r="AX327" s="1286"/>
      <c r="AY327" s="1286"/>
      <c r="AZ327" s="1286"/>
      <c r="BA327" s="1286"/>
      <c r="BB327" s="1286"/>
      <c r="BC327" s="1286"/>
      <c r="BD327" s="1286"/>
    </row>
    <row r="328" spans="1:56" ht="15.75" customHeight="1" x14ac:dyDescent="0.3">
      <c r="A328" s="50" t="str">
        <f t="shared" si="49"/>
        <v>Steel beam / W200x31 (W8x21) / American Institute of Steel Construction</v>
      </c>
      <c r="B328" s="50" t="s">
        <v>613</v>
      </c>
      <c r="C328" s="50" t="s">
        <v>614</v>
      </c>
      <c r="D328" s="50"/>
      <c r="E328" s="53" t="s">
        <v>1385</v>
      </c>
      <c r="H328" s="53" t="s">
        <v>1384</v>
      </c>
      <c r="I328" s="50" t="s">
        <v>3500</v>
      </c>
      <c r="J328" s="401">
        <v>45328</v>
      </c>
      <c r="K328" s="50">
        <v>1.22</v>
      </c>
      <c r="L328" s="50" t="s">
        <v>841</v>
      </c>
      <c r="M328" s="70">
        <v>38.186</v>
      </c>
      <c r="N328" s="50" t="s">
        <v>873</v>
      </c>
      <c r="O328" s="53" t="s">
        <v>4438</v>
      </c>
      <c r="P328" s="53" t="s">
        <v>3502</v>
      </c>
      <c r="Q328" s="367">
        <v>2026</v>
      </c>
      <c r="R328" s="53">
        <v>7800</v>
      </c>
      <c r="S328" s="53" t="s">
        <v>121</v>
      </c>
      <c r="T328" s="59">
        <v>31.3</v>
      </c>
      <c r="U328" s="53" t="s">
        <v>423</v>
      </c>
      <c r="AA328" s="78">
        <f t="shared" si="40"/>
        <v>0</v>
      </c>
      <c r="AG328" s="81"/>
      <c r="AN328" s="53" t="s">
        <v>4504</v>
      </c>
      <c r="AT328" s="53" t="b">
        <f>ISNUMBER(MATCH(IF(LEN('USER INPUT SHEET'!rng_province)&gt;0,'USER INPUT SHEET'!rng_province,"Canada"),$AU328:$BD328,0))</f>
        <v>0</v>
      </c>
      <c r="AU328" s="1286"/>
      <c r="AV328" s="1286"/>
      <c r="AW328" s="1286"/>
      <c r="AX328" s="1286"/>
      <c r="AY328" s="1286"/>
      <c r="AZ328" s="1286"/>
      <c r="BA328" s="1286"/>
      <c r="BB328" s="1286"/>
      <c r="BC328" s="1286"/>
      <c r="BD328" s="1286"/>
    </row>
    <row r="329" spans="1:56" ht="15.75" customHeight="1" x14ac:dyDescent="0.3">
      <c r="A329" s="50" t="str">
        <f t="shared" si="49"/>
        <v>Steel beam / W250x25 (W10x17) / American Institute of Steel Construction</v>
      </c>
      <c r="B329" s="50" t="s">
        <v>613</v>
      </c>
      <c r="C329" s="50" t="s">
        <v>614</v>
      </c>
      <c r="D329" s="50"/>
      <c r="E329" s="53" t="s">
        <v>1389</v>
      </c>
      <c r="H329" s="53" t="s">
        <v>1384</v>
      </c>
      <c r="I329" s="50" t="s">
        <v>3500</v>
      </c>
      <c r="J329" s="401">
        <v>45328</v>
      </c>
      <c r="K329" s="50">
        <v>1.22</v>
      </c>
      <c r="L329" s="50" t="s">
        <v>841</v>
      </c>
      <c r="M329" s="70">
        <v>30.866</v>
      </c>
      <c r="N329" s="50" t="s">
        <v>873</v>
      </c>
      <c r="O329" s="53" t="s">
        <v>4438</v>
      </c>
      <c r="P329" s="53" t="s">
        <v>3502</v>
      </c>
      <c r="Q329" s="367">
        <v>2026</v>
      </c>
      <c r="R329" s="53">
        <v>7800</v>
      </c>
      <c r="S329" s="53" t="s">
        <v>121</v>
      </c>
      <c r="T329" s="59">
        <v>25.3</v>
      </c>
      <c r="U329" s="53" t="s">
        <v>423</v>
      </c>
      <c r="AA329" s="78">
        <f t="shared" si="40"/>
        <v>0</v>
      </c>
      <c r="AG329" s="81"/>
      <c r="AN329" s="53" t="s">
        <v>2304</v>
      </c>
      <c r="AT329" s="53" t="b">
        <f>ISNUMBER(MATCH(IF(LEN('USER INPUT SHEET'!rng_province)&gt;0,'USER INPUT SHEET'!rng_province,"Canada"),$AU329:$BD329,0))</f>
        <v>0</v>
      </c>
      <c r="AU329" s="1286"/>
      <c r="AV329" s="1286"/>
      <c r="AW329" s="1286"/>
      <c r="AX329" s="1286"/>
      <c r="AY329" s="1286"/>
      <c r="AZ329" s="1286"/>
      <c r="BA329" s="1286"/>
      <c r="BB329" s="1286"/>
      <c r="BC329" s="1286"/>
      <c r="BD329" s="1286"/>
    </row>
    <row r="330" spans="1:56" ht="15.75" customHeight="1" x14ac:dyDescent="0.3">
      <c r="A330" s="50" t="str">
        <f t="shared" si="49"/>
        <v>Steel beam / W250x33 (W10x22) / American Institute of Steel Construction</v>
      </c>
      <c r="B330" s="50" t="s">
        <v>613</v>
      </c>
      <c r="C330" s="50" t="s">
        <v>614</v>
      </c>
      <c r="D330" s="50"/>
      <c r="E330" s="53" t="s">
        <v>1390</v>
      </c>
      <c r="H330" s="53" t="s">
        <v>1384</v>
      </c>
      <c r="I330" s="50" t="s">
        <v>3500</v>
      </c>
      <c r="J330" s="401">
        <v>45328</v>
      </c>
      <c r="K330" s="50">
        <v>1.22</v>
      </c>
      <c r="L330" s="50" t="s">
        <v>841</v>
      </c>
      <c r="M330" s="70">
        <v>39.894000000000005</v>
      </c>
      <c r="N330" s="50" t="s">
        <v>873</v>
      </c>
      <c r="O330" s="53" t="s">
        <v>4438</v>
      </c>
      <c r="P330" s="53" t="s">
        <v>3502</v>
      </c>
      <c r="Q330" s="367">
        <v>2026</v>
      </c>
      <c r="R330" s="53">
        <v>7800</v>
      </c>
      <c r="S330" s="53" t="s">
        <v>121</v>
      </c>
      <c r="T330" s="59">
        <v>32.700000000000003</v>
      </c>
      <c r="U330" s="53" t="s">
        <v>423</v>
      </c>
      <c r="AA330" s="78">
        <f t="shared" si="40"/>
        <v>0</v>
      </c>
      <c r="AG330" s="81"/>
      <c r="AN330" s="53" t="s">
        <v>4505</v>
      </c>
      <c r="AT330" s="53" t="b">
        <f>ISNUMBER(MATCH(IF(LEN('USER INPUT SHEET'!rng_province)&gt;0,'USER INPUT SHEET'!rng_province,"Canada"),$AU330:$BD330,0))</f>
        <v>0</v>
      </c>
      <c r="AU330" s="1286"/>
      <c r="AV330" s="1286"/>
      <c r="AW330" s="1286"/>
      <c r="AX330" s="1286"/>
      <c r="AY330" s="1286"/>
      <c r="AZ330" s="1286"/>
      <c r="BA330" s="1286"/>
      <c r="BB330" s="1286"/>
      <c r="BC330" s="1286"/>
      <c r="BD330" s="1286"/>
    </row>
    <row r="331" spans="1:56" ht="15.75" customHeight="1" x14ac:dyDescent="0.3">
      <c r="A331" s="50" t="str">
        <f t="shared" si="49"/>
        <v>Steel beam / W250x39 (W10x26) / American Institute of Steel Construction</v>
      </c>
      <c r="B331" s="50" t="s">
        <v>613</v>
      </c>
      <c r="C331" s="50" t="s">
        <v>614</v>
      </c>
      <c r="D331" s="50"/>
      <c r="E331" s="53" t="s">
        <v>1391</v>
      </c>
      <c r="H331" s="53" t="s">
        <v>1384</v>
      </c>
      <c r="I331" s="50" t="s">
        <v>3500</v>
      </c>
      <c r="J331" s="401">
        <v>45328</v>
      </c>
      <c r="K331" s="50">
        <v>1.22</v>
      </c>
      <c r="L331" s="50" t="s">
        <v>841</v>
      </c>
      <c r="M331" s="70">
        <v>46.97</v>
      </c>
      <c r="N331" s="50" t="s">
        <v>873</v>
      </c>
      <c r="O331" s="53" t="s">
        <v>4438</v>
      </c>
      <c r="P331" s="53" t="s">
        <v>3502</v>
      </c>
      <c r="Q331" s="367">
        <v>2026</v>
      </c>
      <c r="R331" s="53">
        <v>7800</v>
      </c>
      <c r="S331" s="53" t="s">
        <v>121</v>
      </c>
      <c r="T331" s="59">
        <v>38.5</v>
      </c>
      <c r="U331" s="53" t="s">
        <v>423</v>
      </c>
      <c r="AA331" s="78">
        <f t="shared" ref="AA331:AA350" si="50">_xlfn.NUMBERVALUE(IF(LEN(AG331)&gt;0,AG331,0))</f>
        <v>0</v>
      </c>
      <c r="AG331" s="81"/>
      <c r="AN331" s="53" t="s">
        <v>3992</v>
      </c>
      <c r="AT331" s="53" t="b">
        <f>ISNUMBER(MATCH(IF(LEN('USER INPUT SHEET'!rng_province)&gt;0,'USER INPUT SHEET'!rng_province,"Canada"),$AU331:$BD331,0))</f>
        <v>0</v>
      </c>
      <c r="AU331" s="1286"/>
      <c r="AV331" s="1286"/>
      <c r="AW331" s="1286"/>
      <c r="AX331" s="1286"/>
      <c r="AY331" s="1286"/>
      <c r="AZ331" s="1286"/>
      <c r="BA331" s="1286"/>
      <c r="BB331" s="1286"/>
      <c r="BC331" s="1286"/>
      <c r="BD331" s="1286"/>
    </row>
    <row r="332" spans="1:56" ht="15.75" customHeight="1" x14ac:dyDescent="0.3">
      <c r="A332" s="50" t="str">
        <f t="shared" si="49"/>
        <v>Steel beam / W310x33 (W12x22) / American Institute of Steel Construction</v>
      </c>
      <c r="B332" s="50" t="s">
        <v>613</v>
      </c>
      <c r="C332" s="50" t="s">
        <v>614</v>
      </c>
      <c r="D332" s="50"/>
      <c r="E332" s="53" t="s">
        <v>1392</v>
      </c>
      <c r="H332" s="53" t="s">
        <v>1384</v>
      </c>
      <c r="I332" s="50" t="s">
        <v>3500</v>
      </c>
      <c r="J332" s="401">
        <v>45328</v>
      </c>
      <c r="K332" s="50">
        <v>1.22</v>
      </c>
      <c r="L332" s="50" t="s">
        <v>841</v>
      </c>
      <c r="M332" s="70">
        <v>39.894000000000005</v>
      </c>
      <c r="N332" s="50" t="s">
        <v>873</v>
      </c>
      <c r="O332" s="53" t="s">
        <v>4438</v>
      </c>
      <c r="P332" s="53" t="s">
        <v>3502</v>
      </c>
      <c r="Q332" s="367">
        <v>2026</v>
      </c>
      <c r="R332" s="53">
        <v>7800</v>
      </c>
      <c r="S332" s="53" t="s">
        <v>121</v>
      </c>
      <c r="T332" s="59">
        <v>32.700000000000003</v>
      </c>
      <c r="U332" s="53" t="s">
        <v>423</v>
      </c>
      <c r="AA332" s="78">
        <f t="shared" si="50"/>
        <v>0</v>
      </c>
      <c r="AG332" s="81"/>
      <c r="AN332" s="53" t="s">
        <v>4506</v>
      </c>
      <c r="AT332" s="53" t="b">
        <f>ISNUMBER(MATCH(IF(LEN('USER INPUT SHEET'!rng_province)&gt;0,'USER INPUT SHEET'!rng_province,"Canada"),$AU332:$BD332,0))</f>
        <v>0</v>
      </c>
      <c r="AU332" s="1286"/>
      <c r="AV332" s="1286"/>
      <c r="AW332" s="1286"/>
      <c r="AX332" s="1286"/>
      <c r="AY332" s="1286"/>
      <c r="AZ332" s="1286"/>
      <c r="BA332" s="1286"/>
      <c r="BB332" s="1286"/>
      <c r="BC332" s="1286"/>
      <c r="BD332" s="1286"/>
    </row>
    <row r="333" spans="1:56" ht="15.75" customHeight="1" x14ac:dyDescent="0.3">
      <c r="A333" s="50" t="str">
        <f t="shared" si="49"/>
        <v>Steel beam / W310x39 (W12x26) / American Institute of Steel Construction</v>
      </c>
      <c r="B333" s="50" t="s">
        <v>613</v>
      </c>
      <c r="C333" s="50" t="s">
        <v>614</v>
      </c>
      <c r="D333" s="50"/>
      <c r="E333" s="53" t="s">
        <v>1393</v>
      </c>
      <c r="H333" s="53" t="s">
        <v>1384</v>
      </c>
      <c r="I333" s="50" t="s">
        <v>3500</v>
      </c>
      <c r="J333" s="401">
        <v>45328</v>
      </c>
      <c r="K333" s="50">
        <v>1.22</v>
      </c>
      <c r="L333" s="50" t="s">
        <v>841</v>
      </c>
      <c r="M333" s="70">
        <v>46.97</v>
      </c>
      <c r="N333" s="50" t="s">
        <v>873</v>
      </c>
      <c r="O333" s="53" t="s">
        <v>4438</v>
      </c>
      <c r="P333" s="53" t="s">
        <v>3502</v>
      </c>
      <c r="Q333" s="367">
        <v>2026</v>
      </c>
      <c r="R333" s="53">
        <v>7800</v>
      </c>
      <c r="S333" s="53" t="s">
        <v>121</v>
      </c>
      <c r="T333" s="59">
        <v>38.5</v>
      </c>
      <c r="U333" s="53" t="s">
        <v>423</v>
      </c>
      <c r="AA333" s="78">
        <f t="shared" si="50"/>
        <v>0</v>
      </c>
      <c r="AG333" s="81"/>
      <c r="AN333" s="53" t="s">
        <v>2330</v>
      </c>
      <c r="AT333" s="53" t="b">
        <f>ISNUMBER(MATCH(IF(LEN('USER INPUT SHEET'!rng_province)&gt;0,'USER INPUT SHEET'!rng_province,"Canada"),$AU333:$BD333,0))</f>
        <v>0</v>
      </c>
      <c r="AU333" s="1286"/>
      <c r="AV333" s="1286"/>
      <c r="AW333" s="1286"/>
      <c r="AX333" s="1286"/>
      <c r="AY333" s="1286"/>
      <c r="AZ333" s="1286"/>
      <c r="BA333" s="1286"/>
      <c r="BB333" s="1286"/>
      <c r="BC333" s="1286"/>
      <c r="BD333" s="1286"/>
    </row>
    <row r="334" spans="1:56" ht="15.75" customHeight="1" x14ac:dyDescent="0.3">
      <c r="A334" s="50" t="str">
        <f t="shared" si="27"/>
        <v>(ARCHIVED 2025) Steel joist, open web / Steel Joist Institute /  / 12" 12K3 joist</v>
      </c>
      <c r="B334" s="50" t="s">
        <v>4439</v>
      </c>
      <c r="C334" s="50" t="s">
        <v>617</v>
      </c>
      <c r="D334" s="50"/>
      <c r="E334" s="53" t="s">
        <v>874</v>
      </c>
      <c r="H334" s="50"/>
      <c r="I334" s="50" t="s">
        <v>124</v>
      </c>
      <c r="J334" s="50"/>
      <c r="K334" s="50">
        <v>1.38</v>
      </c>
      <c r="L334" s="50" t="s">
        <v>841</v>
      </c>
      <c r="M334" s="71">
        <f t="shared" si="48"/>
        <v>11.703751836734694</v>
      </c>
      <c r="N334" s="50" t="s">
        <v>873</v>
      </c>
      <c r="O334" s="53" t="s">
        <v>618</v>
      </c>
      <c r="P334" s="53" t="s">
        <v>143</v>
      </c>
      <c r="Q334" s="367">
        <v>2020</v>
      </c>
      <c r="R334" s="53">
        <v>7800</v>
      </c>
      <c r="S334" s="53" t="s">
        <v>121</v>
      </c>
      <c r="T334" s="62">
        <f>5.7/2.205*3.2808</f>
        <v>8.4809795918367357</v>
      </c>
      <c r="U334" s="53" t="s">
        <v>423</v>
      </c>
      <c r="AA334" s="78">
        <f t="shared" si="50"/>
        <v>0</v>
      </c>
      <c r="AG334" s="82"/>
      <c r="AN334" s="53">
        <v>198</v>
      </c>
      <c r="AR334" s="264" t="str">
        <f ca="1">IF(LEN(Q334)=4,IF(Q334&lt;YEAR(NOW()),_xlfn.CONCAT(IF(LOWER(Setting!rng_language)="english","Expired ","Expiré "),Q334),""),"")</f>
        <v>Expired 2020</v>
      </c>
      <c r="AT334" s="53" t="b">
        <f>ISNUMBER(MATCH(IF(LEN('USER INPUT SHEET'!rng_province)&gt;0,'USER INPUT SHEET'!rng_province,"Canada"),$AU334:$BD334,0))</f>
        <v>0</v>
      </c>
      <c r="AU334" s="1286"/>
      <c r="AV334" s="1286"/>
      <c r="AW334" s="1286"/>
      <c r="AX334" s="1286"/>
      <c r="AY334" s="1286"/>
      <c r="AZ334" s="1286"/>
      <c r="BA334" s="1286"/>
      <c r="BB334" s="1286"/>
      <c r="BC334" s="1286"/>
      <c r="BD334" s="1286"/>
    </row>
    <row r="335" spans="1:56" ht="15.75" customHeight="1" x14ac:dyDescent="0.3">
      <c r="A335" s="50" t="str">
        <f t="shared" si="27"/>
        <v>Steel joist, open web / Steel Joist Institute / Includes: Canam Steel, New Millenium Building Systems, Vulcraft/Nucor / 12" 12K3 joist</v>
      </c>
      <c r="B335" s="50" t="s">
        <v>616</v>
      </c>
      <c r="C335" s="50" t="s">
        <v>617</v>
      </c>
      <c r="D335" s="50" t="s">
        <v>4440</v>
      </c>
      <c r="E335" s="53" t="s">
        <v>874</v>
      </c>
      <c r="H335" s="50" t="s">
        <v>4440</v>
      </c>
      <c r="I335" s="50" t="s">
        <v>3500</v>
      </c>
      <c r="J335" s="401">
        <v>45328</v>
      </c>
      <c r="K335" s="50">
        <v>1.43</v>
      </c>
      <c r="L335" s="50" t="s">
        <v>841</v>
      </c>
      <c r="M335" s="70">
        <v>12.127800816326532</v>
      </c>
      <c r="N335" s="50" t="s">
        <v>873</v>
      </c>
      <c r="O335" s="53" t="s">
        <v>4441</v>
      </c>
      <c r="P335" s="53" t="s">
        <v>3502</v>
      </c>
      <c r="Q335" s="367">
        <v>2027</v>
      </c>
      <c r="R335" s="53">
        <v>7800</v>
      </c>
      <c r="S335" s="53" t="s">
        <v>121</v>
      </c>
      <c r="T335" s="62">
        <v>8.4809795918367357</v>
      </c>
      <c r="U335" s="53" t="s">
        <v>423</v>
      </c>
      <c r="AA335" s="78">
        <f t="shared" si="50"/>
        <v>0</v>
      </c>
      <c r="AG335" s="81"/>
      <c r="AN335" s="53" t="s">
        <v>4507</v>
      </c>
      <c r="AT335" s="53" t="b">
        <f>ISNUMBER(MATCH(IF(LEN('USER INPUT SHEET'!rng_province)&gt;0,'USER INPUT SHEET'!rng_province,"Canada"),$AU335:$BD335,0))</f>
        <v>0</v>
      </c>
      <c r="AU335" s="1286"/>
      <c r="AV335" s="1286"/>
      <c r="AW335" s="1286"/>
      <c r="AX335" s="1286"/>
      <c r="AY335" s="1286"/>
      <c r="AZ335" s="1286"/>
      <c r="BA335" s="1286"/>
      <c r="BB335" s="1286"/>
      <c r="BC335" s="1286"/>
      <c r="BD335" s="1286"/>
    </row>
    <row r="336" spans="1:56" ht="15.75" customHeight="1" x14ac:dyDescent="0.3">
      <c r="A336" s="50" t="str">
        <f t="shared" si="27"/>
        <v>Steel post / Generic /  / 3.5 x 0.216" (89 x 5.5 mm), Sched 40 STD</v>
      </c>
      <c r="B336" s="50" t="s">
        <v>619</v>
      </c>
      <c r="C336" s="53" t="s">
        <v>421</v>
      </c>
      <c r="E336" s="59" t="s">
        <v>892</v>
      </c>
      <c r="H336" s="50"/>
      <c r="K336" s="53">
        <v>2.48</v>
      </c>
      <c r="L336" s="53" t="s">
        <v>841</v>
      </c>
      <c r="M336" s="68">
        <f t="shared" ref="M336:M350" si="51">(T336*K336)</f>
        <v>30.464320000000001</v>
      </c>
      <c r="N336" s="53" t="s">
        <v>832</v>
      </c>
      <c r="O336" s="53" t="s">
        <v>620</v>
      </c>
      <c r="P336" s="53" t="s">
        <v>143</v>
      </c>
      <c r="Q336" s="367">
        <v>2021</v>
      </c>
      <c r="R336" s="53">
        <v>7800</v>
      </c>
      <c r="S336" s="53" t="s">
        <v>121</v>
      </c>
      <c r="T336" s="59">
        <v>12.284000000000001</v>
      </c>
      <c r="U336" s="53" t="s">
        <v>423</v>
      </c>
      <c r="AA336" s="78">
        <f t="shared" si="50"/>
        <v>0</v>
      </c>
      <c r="AG336" s="79"/>
      <c r="AN336" s="53">
        <v>199</v>
      </c>
      <c r="AR336" s="264" t="str">
        <f ca="1">IF(LEN(Q336)=4,IF(Q336&lt;YEAR(NOW()),_xlfn.CONCAT(IF(LOWER(Setting!rng_language)="english","Expired ","Expiré "),Q336),""),"")</f>
        <v>Expired 2021</v>
      </c>
      <c r="AT336" s="53" t="b">
        <f>ISNUMBER(MATCH(IF(LEN('USER INPUT SHEET'!rng_province)&gt;0,'USER INPUT SHEET'!rng_province,"Canada"),$AU336:$BD336,0))</f>
        <v>0</v>
      </c>
      <c r="AU336" s="1286"/>
      <c r="AV336" s="1286"/>
      <c r="AW336" s="1286"/>
      <c r="AX336" s="1286"/>
      <c r="AY336" s="1286"/>
      <c r="AZ336" s="1286"/>
      <c r="BA336" s="1286"/>
      <c r="BB336" s="1286"/>
      <c r="BC336" s="1286"/>
      <c r="BD336" s="1286"/>
    </row>
    <row r="337" spans="1:56" ht="15.75" customHeight="1" x14ac:dyDescent="0.3">
      <c r="A337" s="50" t="str">
        <f t="shared" si="27"/>
        <v>Steel studs - Load bearing  / ClarkDietrich /  / 600-S-137-54, 16 gauge</v>
      </c>
      <c r="B337" s="50" t="s">
        <v>3529</v>
      </c>
      <c r="C337" s="53" t="s">
        <v>622</v>
      </c>
      <c r="E337" s="59" t="s">
        <v>623</v>
      </c>
      <c r="H337" s="50"/>
      <c r="I337" s="53" t="s">
        <v>3500</v>
      </c>
      <c r="J337" s="358">
        <v>44983</v>
      </c>
      <c r="K337" s="53">
        <v>2.38</v>
      </c>
      <c r="L337" s="53" t="s">
        <v>841</v>
      </c>
      <c r="M337" s="67">
        <v>6.1975199999999999</v>
      </c>
      <c r="N337" s="53" t="s">
        <v>3530</v>
      </c>
      <c r="O337" s="53" t="s">
        <v>3531</v>
      </c>
      <c r="P337" s="53" t="s">
        <v>3502</v>
      </c>
      <c r="Q337" s="367">
        <v>2026</v>
      </c>
      <c r="R337" s="53">
        <v>7850</v>
      </c>
      <c r="S337" s="53" t="s">
        <v>121</v>
      </c>
      <c r="T337" s="59">
        <v>2.6040000000000001</v>
      </c>
      <c r="U337" s="53" t="s">
        <v>423</v>
      </c>
      <c r="AA337" s="78">
        <f t="shared" si="50"/>
        <v>0</v>
      </c>
      <c r="AG337" s="78"/>
      <c r="AN337" s="53">
        <v>200</v>
      </c>
      <c r="AR337" s="264" t="str">
        <f ca="1">IF(LEN(Q337)=4,IF(Q337&lt;YEAR(NOW()),_xlfn.CONCAT(IF(LOWER(Setting!rng_language)="english","Expired ","Expiré "),Q337),""),"")</f>
        <v/>
      </c>
      <c r="AT337" s="53" t="b">
        <f>ISNUMBER(MATCH(IF(LEN('USER INPUT SHEET'!rng_province)&gt;0,'USER INPUT SHEET'!rng_province,"Canada"),$AU337:$BD337,0))</f>
        <v>0</v>
      </c>
      <c r="AU337" s="1286"/>
      <c r="AV337" s="1286"/>
      <c r="AW337" s="1286"/>
      <c r="AX337" s="1286"/>
      <c r="AY337" s="1286"/>
      <c r="AZ337" s="1286"/>
      <c r="BA337" s="1286"/>
      <c r="BB337" s="1286"/>
      <c r="BC337" s="1286"/>
      <c r="BD337" s="1286"/>
    </row>
    <row r="338" spans="1:56" ht="15.75" customHeight="1" x14ac:dyDescent="0.3">
      <c r="A338" s="50" t="str">
        <f t="shared" si="27"/>
        <v>(ARCHIVED 2023) Steel studs - Load bearing / ClarkDietrich /  / 600-S-137-54, 16 gauge</v>
      </c>
      <c r="B338" s="50" t="s">
        <v>3770</v>
      </c>
      <c r="C338" s="50" t="s">
        <v>622</v>
      </c>
      <c r="D338" s="50"/>
      <c r="E338" s="50" t="s">
        <v>623</v>
      </c>
      <c r="H338" s="50"/>
      <c r="I338" s="50" t="s">
        <v>129</v>
      </c>
      <c r="J338" s="50"/>
      <c r="K338" s="50">
        <v>2.39</v>
      </c>
      <c r="L338" s="50" t="s">
        <v>841</v>
      </c>
      <c r="M338" s="71">
        <f t="shared" si="51"/>
        <v>6.2140000000000004</v>
      </c>
      <c r="N338" s="51" t="s">
        <v>899</v>
      </c>
      <c r="O338" s="53" t="s">
        <v>624</v>
      </c>
      <c r="P338" s="53" t="s">
        <v>158</v>
      </c>
      <c r="Q338" s="367">
        <v>2020</v>
      </c>
      <c r="R338" s="53">
        <v>7850</v>
      </c>
      <c r="S338" s="53" t="s">
        <v>121</v>
      </c>
      <c r="T338" s="179">
        <v>2.6</v>
      </c>
      <c r="U338" s="53" t="s">
        <v>423</v>
      </c>
      <c r="AA338" s="78">
        <f t="shared" si="50"/>
        <v>0</v>
      </c>
      <c r="AG338" s="82"/>
      <c r="AL338" s="49">
        <v>3.6920000000000002</v>
      </c>
      <c r="AN338" s="53" t="s">
        <v>3796</v>
      </c>
      <c r="AR338" s="264" t="str">
        <f ca="1">IF(LEN(Q338)=4,IF(Q338&lt;YEAR(NOW()),_xlfn.CONCAT(IF(LOWER(Setting!rng_language)="english","Expired ","Expiré "),Q338),""),"")</f>
        <v>Expired 2020</v>
      </c>
      <c r="AT338" s="53" t="b">
        <f>ISNUMBER(MATCH(IF(LEN('USER INPUT SHEET'!rng_province)&gt;0,'USER INPUT SHEET'!rng_province,"Canada"),$AU338:$BD338,0))</f>
        <v>0</v>
      </c>
      <c r="AU338" s="1289"/>
      <c r="AV338" s="1289"/>
      <c r="AW338" s="1289"/>
      <c r="AX338" s="1289"/>
      <c r="AY338" s="1289"/>
      <c r="AZ338" s="1289"/>
      <c r="BA338" s="1289"/>
      <c r="BB338" s="1289"/>
      <c r="BC338" s="1289"/>
      <c r="BD338" s="1289"/>
    </row>
    <row r="339" spans="1:56" ht="15.75" customHeight="1" x14ac:dyDescent="0.3">
      <c r="A339" s="50" t="str">
        <f t="shared" si="27"/>
        <v>Steel studs - Load bearing / MarinoWARE / Structural stud and track / 600-S-137-54, 16 gauge, "2x6"</v>
      </c>
      <c r="B339" s="50" t="s">
        <v>621</v>
      </c>
      <c r="C339" s="50" t="s">
        <v>625</v>
      </c>
      <c r="D339" s="50" t="s">
        <v>626</v>
      </c>
      <c r="E339" s="50" t="s">
        <v>3532</v>
      </c>
      <c r="H339" s="50"/>
      <c r="I339" s="50" t="s">
        <v>3500</v>
      </c>
      <c r="J339" s="50"/>
      <c r="K339" s="50">
        <v>2.48</v>
      </c>
      <c r="L339" s="50" t="s">
        <v>841</v>
      </c>
      <c r="M339" s="70">
        <v>6.4579200000000005</v>
      </c>
      <c r="N339" s="55" t="s">
        <v>3530</v>
      </c>
      <c r="O339" s="53" t="s">
        <v>3533</v>
      </c>
      <c r="P339" s="53" t="s">
        <v>3506</v>
      </c>
      <c r="Q339" s="367">
        <v>2026</v>
      </c>
      <c r="R339" s="53">
        <v>7800</v>
      </c>
      <c r="S339" s="53" t="s">
        <v>121</v>
      </c>
      <c r="T339" s="179">
        <v>2.6040000000000001</v>
      </c>
      <c r="U339" s="53" t="s">
        <v>423</v>
      </c>
      <c r="AA339" s="78">
        <f t="shared" si="50"/>
        <v>0</v>
      </c>
      <c r="AG339" s="81"/>
      <c r="AL339" s="52"/>
      <c r="AN339" s="53">
        <v>201</v>
      </c>
      <c r="AR339" s="264" t="str">
        <f ca="1">IF(LEN(Q339)=4,IF(Q339&lt;YEAR(NOW()),_xlfn.CONCAT(IF(LOWER(Setting!rng_language)="english","Expired ","Expiré "),Q339),""),"")</f>
        <v/>
      </c>
      <c r="AT339" s="53" t="b">
        <f>ISNUMBER(MATCH(IF(LEN('USER INPUT SHEET'!rng_province)&gt;0,'USER INPUT SHEET'!rng_province,"Canada"),$AU339:$BD339,0))</f>
        <v>0</v>
      </c>
      <c r="AU339" s="1289"/>
      <c r="AV339" s="1289"/>
      <c r="AW339" s="1289"/>
      <c r="AX339" s="1289"/>
      <c r="AY339" s="1289"/>
      <c r="AZ339" s="1289"/>
      <c r="BA339" s="1289"/>
      <c r="BB339" s="1289"/>
      <c r="BC339" s="1289"/>
      <c r="BD339" s="1289"/>
    </row>
    <row r="340" spans="1:56" ht="15.75" customHeight="1" x14ac:dyDescent="0.3">
      <c r="A340" s="50" t="str">
        <f t="shared" si="27"/>
        <v>(ARCHIVED 2023) Steel studs - Load bearing / MarinoWARE / Structural stud and track / 600-S-137-54, 16 gauge</v>
      </c>
      <c r="B340" s="50" t="s">
        <v>3770</v>
      </c>
      <c r="C340" s="50" t="s">
        <v>625</v>
      </c>
      <c r="D340" s="50" t="s">
        <v>626</v>
      </c>
      <c r="E340" s="50" t="s">
        <v>623</v>
      </c>
      <c r="H340" s="50"/>
      <c r="I340" s="50" t="s">
        <v>129</v>
      </c>
      <c r="J340" s="50"/>
      <c r="K340" s="50">
        <v>2.41</v>
      </c>
      <c r="L340" s="50" t="s">
        <v>841</v>
      </c>
      <c r="M340" s="71">
        <f t="shared" si="51"/>
        <v>6.2660000000000009</v>
      </c>
      <c r="N340" s="51" t="s">
        <v>899</v>
      </c>
      <c r="O340" s="53" t="s">
        <v>627</v>
      </c>
      <c r="P340" s="53" t="s">
        <v>143</v>
      </c>
      <c r="Q340" s="367">
        <v>2021</v>
      </c>
      <c r="R340" s="53">
        <v>7800</v>
      </c>
      <c r="S340" s="53" t="s">
        <v>121</v>
      </c>
      <c r="T340" s="53">
        <v>2.6</v>
      </c>
      <c r="U340" s="53" t="s">
        <v>423</v>
      </c>
      <c r="AA340" s="78">
        <f t="shared" si="50"/>
        <v>0</v>
      </c>
      <c r="AG340" s="82"/>
      <c r="AL340" s="49">
        <v>3.6920000000000002</v>
      </c>
      <c r="AN340" s="53" t="s">
        <v>3797</v>
      </c>
      <c r="AR340" s="264" t="str">
        <f ca="1">IF(LEN(Q340)=4,IF(Q340&lt;YEAR(NOW()),_xlfn.CONCAT(IF(LOWER(Setting!rng_language)="english","Expired ","Expiré "),Q340),""),"")</f>
        <v>Expired 2021</v>
      </c>
      <c r="AT340" s="53" t="b">
        <f>ISNUMBER(MATCH(IF(LEN('USER INPUT SHEET'!rng_province)&gt;0,'USER INPUT SHEET'!rng_province,"Canada"),$AU340:$BD340,0))</f>
        <v>0</v>
      </c>
      <c r="AU340" s="1289"/>
      <c r="AV340" s="1289"/>
      <c r="AW340" s="1289"/>
      <c r="AX340" s="1289"/>
      <c r="AY340" s="1289"/>
      <c r="AZ340" s="1289"/>
      <c r="BA340" s="1289"/>
      <c r="BB340" s="1289"/>
      <c r="BC340" s="1289"/>
      <c r="BD340" s="1289"/>
    </row>
    <row r="341" spans="1:56" ht="15.75" customHeight="1" x14ac:dyDescent="0.3">
      <c r="A341" s="50" t="str">
        <f t="shared" si="27"/>
        <v>(ARCHIVED 2025) Steel studs - Load bearing / MBA Building Supplies /  / 600-S-137-54, 16 gauge</v>
      </c>
      <c r="B341" s="50" t="s">
        <v>4442</v>
      </c>
      <c r="C341" s="50" t="s">
        <v>628</v>
      </c>
      <c r="D341" s="50"/>
      <c r="E341" s="50" t="s">
        <v>623</v>
      </c>
      <c r="H341" s="50"/>
      <c r="I341" s="50" t="s">
        <v>129</v>
      </c>
      <c r="J341" s="50"/>
      <c r="K341" s="50">
        <v>2.0099999999999998</v>
      </c>
      <c r="L341" s="50" t="s">
        <v>841</v>
      </c>
      <c r="M341" s="71">
        <f t="shared" si="51"/>
        <v>5.226</v>
      </c>
      <c r="N341" s="51" t="s">
        <v>899</v>
      </c>
      <c r="O341" s="53" t="s">
        <v>629</v>
      </c>
      <c r="P341" s="53" t="s">
        <v>415</v>
      </c>
      <c r="Q341" s="367">
        <v>2021</v>
      </c>
      <c r="R341" s="53">
        <v>7850</v>
      </c>
      <c r="S341" s="53" t="s">
        <v>121</v>
      </c>
      <c r="T341" s="53">
        <v>2.6</v>
      </c>
      <c r="U341" s="53" t="s">
        <v>423</v>
      </c>
      <c r="AA341" s="78">
        <f t="shared" si="50"/>
        <v>0</v>
      </c>
      <c r="AG341" s="82"/>
      <c r="AL341" s="49">
        <v>3.6920000000000002</v>
      </c>
      <c r="AN341" s="53">
        <v>202</v>
      </c>
      <c r="AR341" s="264" t="str">
        <f ca="1">IF(LEN(Q341)=4,IF(Q341&lt;YEAR(NOW()),_xlfn.CONCAT(IF(LOWER(Setting!rng_language)="english","Expired ","Expiré "),Q341),""),"")</f>
        <v>Expired 2021</v>
      </c>
      <c r="AT341" s="53" t="b">
        <f>ISNUMBER(MATCH(IF(LEN('USER INPUT SHEET'!rng_province)&gt;0,'USER INPUT SHEET'!rng_province,"Canada"),$AU341:$BD341,0))</f>
        <v>0</v>
      </c>
      <c r="AU341" s="1286"/>
      <c r="AV341" s="1286"/>
      <c r="AW341" s="1286"/>
      <c r="AX341" s="1286"/>
      <c r="AY341" s="1286"/>
      <c r="AZ341" s="1286"/>
      <c r="BA341" s="1286"/>
      <c r="BB341" s="1286"/>
      <c r="BC341" s="1286"/>
      <c r="BD341" s="1286"/>
    </row>
    <row r="342" spans="1:56" ht="15.75" customHeight="1" x14ac:dyDescent="0.3">
      <c r="A342" s="50" t="str">
        <f t="shared" si="27"/>
        <v>Steel studs - Load bearing / Scafco /  / 600-S-137-54, 16 gauge</v>
      </c>
      <c r="B342" s="50" t="s">
        <v>621</v>
      </c>
      <c r="C342" s="50" t="s">
        <v>630</v>
      </c>
      <c r="D342" s="50"/>
      <c r="E342" s="50" t="s">
        <v>623</v>
      </c>
      <c r="H342" s="50"/>
      <c r="I342" s="50" t="s">
        <v>129</v>
      </c>
      <c r="J342" s="50"/>
      <c r="K342" s="50">
        <v>3.29</v>
      </c>
      <c r="L342" s="50" t="s">
        <v>841</v>
      </c>
      <c r="M342" s="71">
        <f t="shared" si="51"/>
        <v>8.5540000000000003</v>
      </c>
      <c r="N342" s="51" t="s">
        <v>899</v>
      </c>
      <c r="O342" s="50" t="s">
        <v>631</v>
      </c>
      <c r="P342" s="53" t="s">
        <v>415</v>
      </c>
      <c r="Q342" s="367">
        <v>2024</v>
      </c>
      <c r="R342" s="53">
        <v>7850</v>
      </c>
      <c r="S342" s="53" t="s">
        <v>121</v>
      </c>
      <c r="T342" s="53">
        <v>2.6</v>
      </c>
      <c r="U342" s="53" t="s">
        <v>423</v>
      </c>
      <c r="AA342" s="78">
        <f t="shared" si="50"/>
        <v>0</v>
      </c>
      <c r="AG342" s="82"/>
      <c r="AL342" s="49">
        <v>3.6920000000000002</v>
      </c>
      <c r="AN342" s="53">
        <v>203</v>
      </c>
      <c r="AR342" s="264" t="str">
        <f ca="1">IF(LEN(Q342)=4,IF(Q342&lt;YEAR(NOW()),_xlfn.CONCAT(IF(LOWER(Setting!rng_language)="english","Expired ","Expiré "),Q342),""),"")</f>
        <v>Expired 2024</v>
      </c>
      <c r="AT342" s="53" t="b">
        <f>ISNUMBER(MATCH(IF(LEN('USER INPUT SHEET'!rng_province)&gt;0,'USER INPUT SHEET'!rng_province,"Canada"),$AU342:$BD342,0))</f>
        <v>0</v>
      </c>
      <c r="AU342" s="1286"/>
      <c r="AV342" s="1286"/>
      <c r="AW342" s="1286"/>
      <c r="AX342" s="1286"/>
      <c r="AY342" s="1286"/>
      <c r="AZ342" s="1286"/>
      <c r="BA342" s="1286"/>
      <c r="BB342" s="1286"/>
      <c r="BC342" s="1286"/>
      <c r="BD342" s="1286"/>
    </row>
    <row r="343" spans="1:56" ht="15.75" customHeight="1" x14ac:dyDescent="0.3">
      <c r="A343" s="50" t="str">
        <f t="shared" si="27"/>
        <v>(ARCHIVED 2025) Steel studs - Load bearing / Steel Recycling Institute /  / 600-S-137-54, 16 gauge</v>
      </c>
      <c r="B343" s="50" t="s">
        <v>4442</v>
      </c>
      <c r="C343" s="50" t="s">
        <v>632</v>
      </c>
      <c r="D343" s="50"/>
      <c r="E343" s="50" t="s">
        <v>623</v>
      </c>
      <c r="H343" s="50"/>
      <c r="I343" s="50" t="s">
        <v>124</v>
      </c>
      <c r="J343" s="50"/>
      <c r="K343" s="50">
        <v>2.2799999999999998</v>
      </c>
      <c r="L343" s="50" t="s">
        <v>841</v>
      </c>
      <c r="M343" s="71">
        <f t="shared" si="51"/>
        <v>5.9279999999999999</v>
      </c>
      <c r="N343" s="51" t="s">
        <v>899</v>
      </c>
      <c r="O343" s="53" t="s">
        <v>633</v>
      </c>
      <c r="P343" s="53" t="s">
        <v>415</v>
      </c>
      <c r="Q343" s="367">
        <v>2021</v>
      </c>
      <c r="R343" s="53">
        <v>7800</v>
      </c>
      <c r="S343" s="53" t="s">
        <v>121</v>
      </c>
      <c r="T343" s="53">
        <v>2.6</v>
      </c>
      <c r="U343" s="53" t="s">
        <v>423</v>
      </c>
      <c r="AA343" s="78">
        <f t="shared" si="50"/>
        <v>0</v>
      </c>
      <c r="AG343" s="82"/>
      <c r="AL343" s="49">
        <v>3.6920000000000002</v>
      </c>
      <c r="AN343" s="53">
        <v>204</v>
      </c>
      <c r="AR343" s="264" t="str">
        <f ca="1">IF(LEN(Q343)=4,IF(Q343&lt;YEAR(NOW()),_xlfn.CONCAT(IF(LOWER(Setting!rng_language)="english","Expired ","Expiré "),Q343),""),"")</f>
        <v>Expired 2021</v>
      </c>
      <c r="AT343" s="53" t="b">
        <f>ISNUMBER(MATCH(IF(LEN('USER INPUT SHEET'!rng_province)&gt;0,'USER INPUT SHEET'!rng_province,"Canada"),$AU343:$BD343,0))</f>
        <v>0</v>
      </c>
      <c r="AU343" s="1286"/>
      <c r="AV343" s="1286"/>
      <c r="AW343" s="1286"/>
      <c r="AX343" s="1286"/>
      <c r="AY343" s="1286"/>
      <c r="AZ343" s="1286"/>
      <c r="BA343" s="1286"/>
      <c r="BB343" s="1286"/>
      <c r="BC343" s="1286"/>
      <c r="BD343" s="1286"/>
    </row>
    <row r="344" spans="1:56" ht="15.75" customHeight="1" x14ac:dyDescent="0.3">
      <c r="A344" s="50" t="str">
        <f t="shared" si="27"/>
        <v>Steel studs - Non-loadbearing / ClarkDietrich /  / 362-S-125-18, 20EQ gauge, "2x4"</v>
      </c>
      <c r="B344" s="50" t="s">
        <v>634</v>
      </c>
      <c r="C344" s="50" t="s">
        <v>622</v>
      </c>
      <c r="D344" s="50"/>
      <c r="E344" s="50" t="s">
        <v>3534</v>
      </c>
      <c r="H344" s="50"/>
      <c r="I344" s="50" t="s">
        <v>3500</v>
      </c>
      <c r="J344" s="358">
        <v>44983</v>
      </c>
      <c r="K344" s="50">
        <v>2.38</v>
      </c>
      <c r="L344" s="50" t="s">
        <v>841</v>
      </c>
      <c r="M344" s="70">
        <v>1.4979284459999997</v>
      </c>
      <c r="N344" s="55" t="s">
        <v>3530</v>
      </c>
      <c r="O344" s="53" t="s">
        <v>3531</v>
      </c>
      <c r="P344" s="53" t="s">
        <v>3502</v>
      </c>
      <c r="Q344" s="367">
        <v>2026</v>
      </c>
      <c r="R344" s="53">
        <v>7850</v>
      </c>
      <c r="S344" s="53" t="s">
        <v>121</v>
      </c>
      <c r="T344" s="359">
        <v>0.62938169999999993</v>
      </c>
      <c r="U344" s="53" t="s">
        <v>423</v>
      </c>
      <c r="AA344" s="78">
        <f t="shared" si="50"/>
        <v>0</v>
      </c>
      <c r="AG344" s="81"/>
      <c r="AI344" s="165" t="s">
        <v>637</v>
      </c>
      <c r="AJ344" s="165" t="s">
        <v>638</v>
      </c>
      <c r="AK344" s="165" t="s">
        <v>636</v>
      </c>
      <c r="AL344" s="52"/>
      <c r="AN344" s="53">
        <v>205</v>
      </c>
      <c r="AR344" s="264" t="str">
        <f ca="1">IF(LEN(Q344)=4,IF(Q344&lt;YEAR(NOW()),_xlfn.CONCAT(IF(LOWER(Setting!rng_language)="english","Expired ","Expiré "),Q344),""),"")</f>
        <v/>
      </c>
      <c r="AT344" s="53" t="b">
        <f>ISNUMBER(MATCH(IF(LEN('USER INPUT SHEET'!rng_province)&gt;0,'USER INPUT SHEET'!rng_province,"Canada"),$AU344:$BD344,0))</f>
        <v>0</v>
      </c>
      <c r="AU344" s="1286"/>
      <c r="AV344" s="1286"/>
      <c r="AW344" s="1286"/>
      <c r="AX344" s="1286"/>
      <c r="AY344" s="1286"/>
      <c r="AZ344" s="1286"/>
      <c r="BA344" s="1286"/>
      <c r="BB344" s="1286"/>
      <c r="BC344" s="1286"/>
      <c r="BD344" s="1286"/>
    </row>
    <row r="345" spans="1:56" ht="15.75" customHeight="1" x14ac:dyDescent="0.3">
      <c r="A345" s="51" t="str">
        <f t="shared" si="27"/>
        <v>(ARCHIVED 2023) Steel studs - Non-loadbearing / ClarkDietrich /  / 362-S-125-18, 20EQ gauge</v>
      </c>
      <c r="B345" s="51" t="s">
        <v>3771</v>
      </c>
      <c r="C345" s="51" t="s">
        <v>622</v>
      </c>
      <c r="D345" s="51"/>
      <c r="E345" s="51" t="s">
        <v>859</v>
      </c>
      <c r="F345" s="49"/>
      <c r="G345" s="49"/>
      <c r="H345" s="51"/>
      <c r="I345" s="51" t="s">
        <v>129</v>
      </c>
      <c r="J345" s="51"/>
      <c r="K345" s="51">
        <v>2.39</v>
      </c>
      <c r="L345" s="51" t="s">
        <v>841</v>
      </c>
      <c r="M345" s="71">
        <f t="shared" si="51"/>
        <v>1.5042222629999999</v>
      </c>
      <c r="N345" s="51" t="s">
        <v>898</v>
      </c>
      <c r="O345" s="49" t="s">
        <v>635</v>
      </c>
      <c r="P345" s="49" t="s">
        <v>158</v>
      </c>
      <c r="Q345" s="368">
        <v>2020</v>
      </c>
      <c r="R345" s="49">
        <v>7850</v>
      </c>
      <c r="S345" s="49" t="s">
        <v>121</v>
      </c>
      <c r="T345" s="63">
        <f>0.423*1.4879</f>
        <v>0.62938169999999993</v>
      </c>
      <c r="U345" s="49" t="s">
        <v>423</v>
      </c>
      <c r="V345" s="49"/>
      <c r="W345" s="49"/>
      <c r="X345" s="49"/>
      <c r="Y345" s="49"/>
      <c r="Z345" s="49"/>
      <c r="AA345" s="78">
        <f t="shared" si="50"/>
        <v>0</v>
      </c>
      <c r="AB345" s="49"/>
      <c r="AC345" s="49"/>
      <c r="AD345" s="49"/>
      <c r="AE345" s="49"/>
      <c r="AF345" s="52"/>
      <c r="AG345" s="82"/>
      <c r="AH345" s="52"/>
      <c r="AI345" s="171" t="s">
        <v>636</v>
      </c>
      <c r="AJ345" s="171" t="s">
        <v>637</v>
      </c>
      <c r="AK345" s="171" t="s">
        <v>638</v>
      </c>
      <c r="AL345" s="49">
        <v>3.6920000000000002</v>
      </c>
      <c r="AN345" s="53" t="s">
        <v>3798</v>
      </c>
      <c r="AR345" s="264" t="str">
        <f ca="1">IF(LEN(Q345)=4,IF(Q345&lt;YEAR(NOW()),_xlfn.CONCAT(IF(LOWER(Setting!rng_language)="english","Expired ","Expiré "),Q345),""),"")</f>
        <v>Expired 2020</v>
      </c>
      <c r="AT345" s="53" t="b">
        <f>ISNUMBER(MATCH(IF(LEN('USER INPUT SHEET'!rng_province)&gt;0,'USER INPUT SHEET'!rng_province,"Canada"),$AU345:$BD345,0))</f>
        <v>0</v>
      </c>
      <c r="AU345" s="1289"/>
      <c r="AV345" s="1289"/>
      <c r="AW345" s="1289"/>
      <c r="AX345" s="1289"/>
      <c r="AY345" s="1289"/>
      <c r="AZ345" s="1289"/>
      <c r="BA345" s="1289"/>
      <c r="BB345" s="1289"/>
      <c r="BC345" s="1289"/>
      <c r="BD345" s="1289"/>
    </row>
    <row r="346" spans="1:56" ht="15.75" customHeight="1" x14ac:dyDescent="0.3">
      <c r="A346" s="50" t="str">
        <f t="shared" si="27"/>
        <v>Steel studs - Non-loadbearing / MarinoWARE / Viper Stud Viper 20 / 362-S-125-18, 20EQ gauge, "2x4"</v>
      </c>
      <c r="B346" s="55" t="s">
        <v>634</v>
      </c>
      <c r="C346" s="55" t="s">
        <v>625</v>
      </c>
      <c r="D346" s="55" t="s">
        <v>639</v>
      </c>
      <c r="E346" s="55" t="s">
        <v>3534</v>
      </c>
      <c r="F346" s="52"/>
      <c r="G346" s="52"/>
      <c r="H346" s="55"/>
      <c r="I346" s="55" t="s">
        <v>3500</v>
      </c>
      <c r="J346" s="55"/>
      <c r="K346" s="55">
        <v>2.48</v>
      </c>
      <c r="L346" s="55" t="s">
        <v>841</v>
      </c>
      <c r="M346" s="70">
        <v>1.5608666159999998</v>
      </c>
      <c r="N346" s="55" t="s">
        <v>3535</v>
      </c>
      <c r="O346" s="52" t="s">
        <v>3533</v>
      </c>
      <c r="P346" s="52" t="s">
        <v>3506</v>
      </c>
      <c r="Q346" s="367">
        <v>2026</v>
      </c>
      <c r="R346" s="52">
        <v>7850</v>
      </c>
      <c r="S346" s="52" t="s">
        <v>121</v>
      </c>
      <c r="T346" s="360">
        <v>0.62938169999999993</v>
      </c>
      <c r="U346" s="52" t="s">
        <v>423</v>
      </c>
      <c r="V346" s="52"/>
      <c r="W346" s="52"/>
      <c r="X346" s="52"/>
      <c r="Y346" s="52"/>
      <c r="Z346" s="52"/>
      <c r="AA346" s="78">
        <f t="shared" si="50"/>
        <v>0</v>
      </c>
      <c r="AB346" s="52"/>
      <c r="AC346" s="52"/>
      <c r="AD346" s="52"/>
      <c r="AE346" s="52"/>
      <c r="AF346" s="52"/>
      <c r="AG346" s="81"/>
      <c r="AH346" s="52"/>
      <c r="AI346" s="163"/>
      <c r="AJ346" s="163"/>
      <c r="AK346" s="163"/>
      <c r="AL346" s="52"/>
      <c r="AN346" s="53">
        <v>206</v>
      </c>
      <c r="AR346" s="264" t="str">
        <f ca="1">IF(LEN(Q346)=4,IF(Q346&lt;YEAR(NOW()),_xlfn.CONCAT(IF(LOWER(Setting!rng_language)="english","Expired ","Expiré "),Q346),""),"")</f>
        <v/>
      </c>
      <c r="AT346" s="53" t="b">
        <f>ISNUMBER(MATCH(IF(LEN('USER INPUT SHEET'!rng_province)&gt;0,'USER INPUT SHEET'!rng_province,"Canada"),$AU346:$BD346,0))</f>
        <v>0</v>
      </c>
      <c r="AU346" s="1289"/>
      <c r="AV346" s="1289"/>
      <c r="AW346" s="1289"/>
      <c r="AX346" s="1289"/>
      <c r="AY346" s="1289"/>
      <c r="AZ346" s="1289"/>
      <c r="BA346" s="1289"/>
      <c r="BB346" s="1289"/>
      <c r="BC346" s="1289"/>
      <c r="BD346" s="1289"/>
    </row>
    <row r="347" spans="1:56" ht="15.75" customHeight="1" x14ac:dyDescent="0.3">
      <c r="A347" s="50" t="str">
        <f t="shared" si="27"/>
        <v>(ARCHIVED 2023) Steel studs - Non-loadbearing / MarinoWARE / Viper Stud Viper 20 / 362-S-125-18, 20EQ gauge</v>
      </c>
      <c r="B347" s="50" t="s">
        <v>3771</v>
      </c>
      <c r="C347" s="50" t="s">
        <v>625</v>
      </c>
      <c r="D347" s="50" t="s">
        <v>639</v>
      </c>
      <c r="E347" s="53" t="s">
        <v>859</v>
      </c>
      <c r="I347" s="50"/>
      <c r="J347" s="50"/>
      <c r="K347" s="50">
        <v>2.41</v>
      </c>
      <c r="L347" s="50" t="s">
        <v>841</v>
      </c>
      <c r="M347" s="71">
        <f t="shared" si="51"/>
        <v>1.5168098969999999</v>
      </c>
      <c r="N347" s="51" t="s">
        <v>898</v>
      </c>
      <c r="O347" s="53" t="s">
        <v>640</v>
      </c>
      <c r="P347" s="53" t="s">
        <v>143</v>
      </c>
      <c r="Q347" s="367">
        <v>2021</v>
      </c>
      <c r="R347" s="53">
        <v>7850</v>
      </c>
      <c r="S347" s="53" t="s">
        <v>121</v>
      </c>
      <c r="T347" s="62">
        <f>0.423*1.4879</f>
        <v>0.62938169999999993</v>
      </c>
      <c r="U347" s="53" t="s">
        <v>423</v>
      </c>
      <c r="AA347" s="78">
        <f t="shared" si="50"/>
        <v>0</v>
      </c>
      <c r="AG347" s="82"/>
      <c r="AL347" s="49">
        <v>3.6920000000000002</v>
      </c>
      <c r="AN347" s="53" t="s">
        <v>3799</v>
      </c>
      <c r="AR347" s="264" t="str">
        <f ca="1">IF(LEN(Q347)=4,IF(Q347&lt;YEAR(NOW()),_xlfn.CONCAT(IF(LOWER(Setting!rng_language)="english","Expired ","Expiré "),Q347),""),"")</f>
        <v>Expired 2021</v>
      </c>
      <c r="AT347" s="53" t="b">
        <f>ISNUMBER(MATCH(IF(LEN('USER INPUT SHEET'!rng_province)&gt;0,'USER INPUT SHEET'!rng_province,"Canada"),$AU347:$BD347,0))</f>
        <v>0</v>
      </c>
      <c r="AU347" s="1289"/>
      <c r="AV347" s="1289"/>
      <c r="AW347" s="1289"/>
      <c r="AX347" s="1289"/>
      <c r="AY347" s="1289"/>
      <c r="AZ347" s="1289"/>
      <c r="BA347" s="1289"/>
      <c r="BB347" s="1289"/>
      <c r="BC347" s="1289"/>
      <c r="BD347" s="1289"/>
    </row>
    <row r="348" spans="1:56" ht="15.75" customHeight="1" x14ac:dyDescent="0.3">
      <c r="A348" s="50" t="str">
        <f t="shared" si="27"/>
        <v>(ARCHIVED 2025) Steel studs - Non-loadbearing / MBA Building Supplies /  / 362-S-125-18, 20EQ gauge, ProSTUD, ProTRAK</v>
      </c>
      <c r="B348" s="50" t="s">
        <v>4443</v>
      </c>
      <c r="C348" s="50" t="s">
        <v>628</v>
      </c>
      <c r="D348" s="50"/>
      <c r="E348" s="50" t="s">
        <v>860</v>
      </c>
      <c r="H348" s="50"/>
      <c r="I348" s="50" t="s">
        <v>129</v>
      </c>
      <c r="J348" s="50"/>
      <c r="K348" s="50">
        <v>2.0099999999999998</v>
      </c>
      <c r="L348" s="50" t="s">
        <v>841</v>
      </c>
      <c r="M348" s="71">
        <f t="shared" si="51"/>
        <v>1.2650572169999996</v>
      </c>
      <c r="N348" s="51" t="s">
        <v>898</v>
      </c>
      <c r="O348" s="53" t="s">
        <v>641</v>
      </c>
      <c r="P348" s="53" t="s">
        <v>415</v>
      </c>
      <c r="Q348" s="367">
        <v>2021</v>
      </c>
      <c r="R348" s="53">
        <v>7850</v>
      </c>
      <c r="S348" s="53" t="s">
        <v>121</v>
      </c>
      <c r="T348" s="61">
        <f>0.423*1.4879</f>
        <v>0.62938169999999993</v>
      </c>
      <c r="U348" s="53" t="s">
        <v>423</v>
      </c>
      <c r="AA348" s="78">
        <f t="shared" si="50"/>
        <v>0</v>
      </c>
      <c r="AG348" s="82"/>
      <c r="AL348" s="49">
        <v>3.6920000000000002</v>
      </c>
      <c r="AN348" s="53">
        <v>207</v>
      </c>
      <c r="AR348" s="264" t="str">
        <f ca="1">IF(LEN(Q348)=4,IF(Q348&lt;YEAR(NOW()),_xlfn.CONCAT(IF(LOWER(Setting!rng_language)="english","Expired ","Expiré "),Q348),""),"")</f>
        <v>Expired 2021</v>
      </c>
      <c r="AT348" s="53" t="b">
        <f>ISNUMBER(MATCH(IF(LEN('USER INPUT SHEET'!rng_province)&gt;0,'USER INPUT SHEET'!rng_province,"Canada"),$AU348:$BD348,0))</f>
        <v>0</v>
      </c>
      <c r="AU348" s="1286"/>
      <c r="AV348" s="1286"/>
      <c r="AW348" s="1286"/>
      <c r="AX348" s="1286"/>
      <c r="AY348" s="1286"/>
      <c r="AZ348" s="1286"/>
      <c r="BA348" s="1286"/>
      <c r="BB348" s="1286"/>
      <c r="BC348" s="1286"/>
      <c r="BD348" s="1286"/>
    </row>
    <row r="349" spans="1:56" ht="15.75" customHeight="1" x14ac:dyDescent="0.3">
      <c r="A349" s="50" t="str">
        <f t="shared" si="27"/>
        <v>(ARCHIVED 2026) Steel studs - Non-loadbearing / Scafco /  / 362VS125-18, 20EQ gauge</v>
      </c>
      <c r="B349" s="50" t="s">
        <v>7278</v>
      </c>
      <c r="C349" s="50" t="s">
        <v>630</v>
      </c>
      <c r="D349" s="50"/>
      <c r="E349" s="50" t="s">
        <v>861</v>
      </c>
      <c r="H349" s="50"/>
      <c r="I349" s="50" t="s">
        <v>129</v>
      </c>
      <c r="J349" s="50"/>
      <c r="K349" s="50">
        <v>3.29</v>
      </c>
      <c r="L349" s="50" t="s">
        <v>841</v>
      </c>
      <c r="M349" s="71">
        <f t="shared" si="51"/>
        <v>2.0706657929999999</v>
      </c>
      <c r="N349" s="51" t="s">
        <v>898</v>
      </c>
      <c r="O349" s="50" t="s">
        <v>642</v>
      </c>
      <c r="P349" s="53" t="s">
        <v>415</v>
      </c>
      <c r="Q349" s="367">
        <v>2024</v>
      </c>
      <c r="R349" s="53">
        <v>7850</v>
      </c>
      <c r="S349" s="53" t="s">
        <v>121</v>
      </c>
      <c r="T349" s="61">
        <f>0.423*1.4879</f>
        <v>0.62938169999999993</v>
      </c>
      <c r="U349" s="53" t="s">
        <v>423</v>
      </c>
      <c r="AA349" s="78">
        <f t="shared" si="50"/>
        <v>0</v>
      </c>
      <c r="AG349" s="82"/>
      <c r="AL349" s="49">
        <v>3.6920000000000002</v>
      </c>
      <c r="AN349" s="53">
        <v>208</v>
      </c>
      <c r="AR349" s="264" t="str">
        <f ca="1">IF(LEN(Q349)=4,IF(Q349&lt;YEAR(NOW()),_xlfn.CONCAT(IF(LOWER(Setting!rng_language)="english","Expired ","Expiré "),Q349),""),"")</f>
        <v>Expired 2024</v>
      </c>
      <c r="AT349" s="53" t="b">
        <f>ISNUMBER(MATCH(IF(LEN('USER INPUT SHEET'!rng_province)&gt;0,'USER INPUT SHEET'!rng_province,"Canada"),$AU349:$BD349,0))</f>
        <v>0</v>
      </c>
      <c r="AU349" s="1286"/>
      <c r="AV349" s="1286"/>
      <c r="AW349" s="1286"/>
      <c r="AX349" s="1286"/>
      <c r="AY349" s="1286"/>
      <c r="AZ349" s="1286"/>
      <c r="BA349" s="1286"/>
      <c r="BB349" s="1286"/>
      <c r="BC349" s="1286"/>
      <c r="BD349" s="1286"/>
    </row>
    <row r="350" spans="1:56" ht="15.75" customHeight="1" x14ac:dyDescent="0.3">
      <c r="A350" s="50" t="str">
        <f t="shared" si="27"/>
        <v>(ARCHIVED 2025) Steel studs - Non-loadbearing / Steel Recycling Institute /  / 362-S-125-18, 20EQ gauge</v>
      </c>
      <c r="B350" s="50" t="s">
        <v>4443</v>
      </c>
      <c r="C350" s="50" t="s">
        <v>632</v>
      </c>
      <c r="D350" s="50"/>
      <c r="E350" s="53" t="s">
        <v>859</v>
      </c>
      <c r="H350" s="50"/>
      <c r="I350" s="50" t="s">
        <v>124</v>
      </c>
      <c r="J350" s="50"/>
      <c r="K350" s="50">
        <v>2.2799999999999998</v>
      </c>
      <c r="L350" s="50" t="s">
        <v>841</v>
      </c>
      <c r="M350" s="71">
        <f t="shared" si="51"/>
        <v>1.4349902759999997</v>
      </c>
      <c r="N350" s="51" t="s">
        <v>898</v>
      </c>
      <c r="O350" s="53" t="s">
        <v>643</v>
      </c>
      <c r="P350" s="53" t="s">
        <v>415</v>
      </c>
      <c r="Q350" s="367">
        <v>2021</v>
      </c>
      <c r="R350" s="53">
        <v>7800</v>
      </c>
      <c r="S350" s="53" t="s">
        <v>121</v>
      </c>
      <c r="T350" s="61">
        <f>0.423*1.4879</f>
        <v>0.62938169999999993</v>
      </c>
      <c r="U350" s="53" t="s">
        <v>423</v>
      </c>
      <c r="AA350" s="78">
        <f t="shared" si="50"/>
        <v>0</v>
      </c>
      <c r="AG350" s="82"/>
      <c r="AL350" s="49">
        <v>3.6920000000000002</v>
      </c>
      <c r="AN350" s="53">
        <v>209</v>
      </c>
      <c r="AR350" s="264" t="str">
        <f ca="1">IF(LEN(Q350)=4,IF(Q350&lt;YEAR(NOW()),_xlfn.CONCAT(IF(LOWER(Setting!rng_language)="english","Expired ","Expiré "),Q350),""),"")</f>
        <v>Expired 2021</v>
      </c>
      <c r="AT350" s="53" t="b">
        <f>ISNUMBER(MATCH(IF(LEN('USER INPUT SHEET'!rng_province)&gt;0,'USER INPUT SHEET'!rng_province,"Canada"),$AU350:$BD350,0))</f>
        <v>0</v>
      </c>
      <c r="AU350" s="1286"/>
      <c r="AV350" s="1286"/>
      <c r="AW350" s="1286"/>
      <c r="AX350" s="1286"/>
      <c r="AY350" s="1286"/>
      <c r="AZ350" s="1286"/>
      <c r="BA350" s="1286"/>
      <c r="BB350" s="1286"/>
      <c r="BC350" s="1286"/>
      <c r="BD350" s="1286"/>
    </row>
    <row r="351" spans="1:56" ht="15.75" customHeight="1" x14ac:dyDescent="0.3">
      <c r="A351" s="50" t="str">
        <f t="shared" si="27"/>
        <v>(ARCHIVED 2025) Straw Bale /  / Wheat &amp; rye straw / R 3.3/inch</v>
      </c>
      <c r="B351" s="50" t="s">
        <v>4444</v>
      </c>
      <c r="C351" s="50"/>
      <c r="D351" s="50" t="s">
        <v>645</v>
      </c>
      <c r="E351" s="51" t="s">
        <v>991</v>
      </c>
      <c r="H351" s="50"/>
      <c r="I351" s="50" t="s">
        <v>120</v>
      </c>
      <c r="J351" s="50"/>
      <c r="K351" s="51">
        <v>7.79</v>
      </c>
      <c r="L351" s="51" t="s">
        <v>3</v>
      </c>
      <c r="M351" s="71">
        <f>(K351*W351)</f>
        <v>0.34276000000000001</v>
      </c>
      <c r="N351" s="50" t="s">
        <v>825</v>
      </c>
      <c r="O351" s="50" t="s">
        <v>647</v>
      </c>
      <c r="P351" s="53" t="s">
        <v>648</v>
      </c>
      <c r="Q351" s="367">
        <v>2019</v>
      </c>
      <c r="R351" s="53">
        <v>100</v>
      </c>
      <c r="S351" s="53" t="s">
        <v>121</v>
      </c>
      <c r="T351" s="361">
        <f>R351/K351*M351</f>
        <v>4.4000000000000004</v>
      </c>
      <c r="U351" s="49" t="s">
        <v>303</v>
      </c>
      <c r="V351" s="64">
        <f>0.0254*5.67826/W351</f>
        <v>3.2779046363636364</v>
      </c>
      <c r="W351" s="53">
        <v>4.3999999999999997E-2</v>
      </c>
      <c r="X351" s="49" t="s">
        <v>649</v>
      </c>
      <c r="Y351" s="53">
        <v>0.99909999999999999</v>
      </c>
      <c r="Z351" s="53">
        <v>0.47</v>
      </c>
      <c r="AA351" s="82">
        <f>(T351*Y351*Z351*44/12)*rng_biogenic_storage</f>
        <v>6.8182580399999999</v>
      </c>
      <c r="AB351" s="50" t="s">
        <v>825</v>
      </c>
      <c r="AG351" s="82"/>
      <c r="AN351" s="53">
        <v>210</v>
      </c>
      <c r="AR351" s="264" t="str">
        <f ca="1">IF(LEN(Q351)=4,IF(Q351&lt;YEAR(NOW()),_xlfn.CONCAT(IF(LOWER(Setting!rng_language)="english","Expired ","Expiré "),Q351),""),"")</f>
        <v>Expired 2019</v>
      </c>
      <c r="AT351" s="53" t="b">
        <f>ISNUMBER(MATCH(IF(LEN('USER INPUT SHEET'!rng_province)&gt;0,'USER INPUT SHEET'!rng_province,"Canada"),$AU351:$BD351,0))</f>
        <v>0</v>
      </c>
      <c r="AU351" s="1286"/>
      <c r="AV351" s="1286"/>
      <c r="AW351" s="1286"/>
      <c r="AX351" s="1286"/>
      <c r="AY351" s="1286"/>
      <c r="AZ351" s="1286"/>
      <c r="BA351" s="1286"/>
      <c r="BB351" s="1286"/>
      <c r="BC351" s="1286"/>
      <c r="BD351" s="1286"/>
    </row>
    <row r="352" spans="1:56" ht="15.75" customHeight="1" x14ac:dyDescent="0.3">
      <c r="A352" s="50" t="str">
        <f t="shared" si="27"/>
        <v>(ARCHIVED 2025) Straw Panels / EcoCocon /  / R 2.9/inch</v>
      </c>
      <c r="B352" s="50" t="s">
        <v>4445</v>
      </c>
      <c r="C352" s="50" t="s">
        <v>651</v>
      </c>
      <c r="D352" s="50"/>
      <c r="E352" s="50" t="s">
        <v>646</v>
      </c>
      <c r="H352" s="50" t="s">
        <v>1379</v>
      </c>
      <c r="I352" s="50" t="s">
        <v>120</v>
      </c>
      <c r="J352" s="50"/>
      <c r="K352" s="51">
        <v>8.8800000000000008</v>
      </c>
      <c r="L352" s="51" t="s">
        <v>5</v>
      </c>
      <c r="M352" s="71">
        <f>(K352*W352/0.4)</f>
        <v>1.0965264550684932</v>
      </c>
      <c r="N352" s="51" t="s">
        <v>825</v>
      </c>
      <c r="O352" s="53" t="s">
        <v>652</v>
      </c>
      <c r="P352" s="53" t="s">
        <v>653</v>
      </c>
      <c r="Q352" s="367">
        <v>2023</v>
      </c>
      <c r="R352" s="53">
        <v>63.2</v>
      </c>
      <c r="S352" s="53" t="s">
        <v>141</v>
      </c>
      <c r="T352" s="53">
        <v>5</v>
      </c>
      <c r="U352" s="53" t="s">
        <v>303</v>
      </c>
      <c r="V352" s="53">
        <v>2.92</v>
      </c>
      <c r="W352" s="65">
        <f>1/V352*0.0254*5.67826</f>
        <v>4.9393083561643833E-2</v>
      </c>
      <c r="X352" s="49" t="s">
        <v>649</v>
      </c>
      <c r="Y352" s="53">
        <v>0.99260000000000004</v>
      </c>
      <c r="Z352" s="53">
        <v>0.47</v>
      </c>
      <c r="AA352" s="82">
        <f>(40.62*Y352*Z352*44/12*W352/0.4)*rng_biogenic_storage</f>
        <v>7.7220415837455176</v>
      </c>
      <c r="AB352" s="50" t="s">
        <v>825</v>
      </c>
      <c r="AF352" s="53">
        <f>T352*Y352*Z352*3.67</f>
        <v>8.5606786999999986</v>
      </c>
      <c r="AG352" s="82"/>
      <c r="AN352" s="53">
        <v>211</v>
      </c>
      <c r="AR352" s="264" t="str">
        <f ca="1">IF(LEN(Q352)=4,IF(Q352&lt;YEAR(NOW()),_xlfn.CONCAT(IF(LOWER(Setting!rng_language)="english","Expired ","Expiré "),Q352),""),"")</f>
        <v>Expired 2023</v>
      </c>
      <c r="AT352" s="53" t="b">
        <f>ISNUMBER(MATCH(IF(LEN('USER INPUT SHEET'!rng_province)&gt;0,'USER INPUT SHEET'!rng_province,"Canada"),$AU352:$BD352,0))</f>
        <v>0</v>
      </c>
      <c r="AU352" s="1286"/>
      <c r="AV352" s="1286"/>
      <c r="AW352" s="1286"/>
      <c r="AX352" s="1286"/>
      <c r="AY352" s="1286"/>
      <c r="AZ352" s="1286"/>
      <c r="BA352" s="1286"/>
      <c r="BB352" s="1286"/>
      <c r="BC352" s="1286"/>
      <c r="BD352" s="1286"/>
    </row>
    <row r="353" spans="1:56" ht="15.75" customHeight="1" x14ac:dyDescent="0.3">
      <c r="A353" s="50" t="str">
        <f t="shared" si="27"/>
        <v xml:space="preserve">Acrylic Stucco Textured Finish / Sto / Stolit 1.0, Stolit 1.5, Stolit Freeform / </v>
      </c>
      <c r="B353" s="50" t="s">
        <v>1298</v>
      </c>
      <c r="C353" s="50" t="s">
        <v>654</v>
      </c>
      <c r="D353" s="53" t="s">
        <v>1297</v>
      </c>
      <c r="H353" s="50" t="s">
        <v>655</v>
      </c>
      <c r="I353" s="50" t="s">
        <v>129</v>
      </c>
      <c r="J353" s="50"/>
      <c r="K353" s="50">
        <v>35</v>
      </c>
      <c r="L353" s="50" t="s">
        <v>5</v>
      </c>
      <c r="M353" s="71">
        <f>(K353)</f>
        <v>35</v>
      </c>
      <c r="N353" s="50" t="s">
        <v>5</v>
      </c>
      <c r="O353" s="53" t="s">
        <v>656</v>
      </c>
      <c r="P353" s="50" t="s">
        <v>657</v>
      </c>
      <c r="Q353" s="368">
        <v>2024</v>
      </c>
      <c r="AA353" s="78">
        <f t="shared" ref="AA353:AA374" si="52">_xlfn.NUMBERVALUE(IF(LEN(AG353)&gt;0,AG353,0))</f>
        <v>0</v>
      </c>
      <c r="AG353" s="82"/>
      <c r="AN353" s="53">
        <v>212</v>
      </c>
      <c r="AR353" s="264" t="str">
        <f ca="1">IF(LEN(Q353)=4,IF(Q353&lt;YEAR(NOW()),_xlfn.CONCAT(IF(LOWER(Setting!rng_language)="english","Expired ","Expiré "),Q353),""),"")</f>
        <v>Expired 2024</v>
      </c>
      <c r="AT353" s="53" t="b">
        <f>ISNUMBER(MATCH(IF(LEN('USER INPUT SHEET'!rng_province)&gt;0,'USER INPUT SHEET'!rng_province,"Canada"),$AU353:$BD353,0))</f>
        <v>0</v>
      </c>
      <c r="AU353" s="1286"/>
      <c r="AV353" s="1286"/>
      <c r="AW353" s="1286"/>
      <c r="AX353" s="1286"/>
      <c r="AY353" s="1286"/>
      <c r="AZ353" s="1286"/>
      <c r="BA353" s="1286"/>
      <c r="BB353" s="1286"/>
      <c r="BC353" s="1286"/>
      <c r="BD353" s="1286"/>
    </row>
    <row r="354" spans="1:56" ht="15.75" customHeight="1" x14ac:dyDescent="0.3">
      <c r="A354" s="50" t="str">
        <f t="shared" si="27"/>
        <v>(ARCHIVED 2025) TPO Roofing Membrane / Carlisle /  / 60 mils</v>
      </c>
      <c r="B354" s="50" t="s">
        <v>4446</v>
      </c>
      <c r="C354" s="50" t="s">
        <v>539</v>
      </c>
      <c r="D354" s="50"/>
      <c r="E354" s="50" t="s">
        <v>659</v>
      </c>
      <c r="H354" s="50"/>
      <c r="I354" s="50" t="s">
        <v>129</v>
      </c>
      <c r="J354" s="50"/>
      <c r="K354" s="50">
        <v>4.42</v>
      </c>
      <c r="L354" s="50" t="s">
        <v>5</v>
      </c>
      <c r="M354" s="71">
        <f>(4.42)</f>
        <v>4.42</v>
      </c>
      <c r="N354" s="50" t="s">
        <v>5</v>
      </c>
      <c r="O354" s="50" t="s">
        <v>660</v>
      </c>
      <c r="P354" s="53" t="s">
        <v>143</v>
      </c>
      <c r="Q354" s="367">
        <v>2021</v>
      </c>
      <c r="R354" s="53">
        <v>1.42</v>
      </c>
      <c r="S354" s="53" t="s">
        <v>141</v>
      </c>
      <c r="AA354" s="78">
        <f t="shared" si="52"/>
        <v>0</v>
      </c>
      <c r="AG354" s="82"/>
      <c r="AN354" s="53">
        <v>213</v>
      </c>
      <c r="AR354" s="264" t="str">
        <f ca="1">IF(LEN(Q354)=4,IF(Q354&lt;YEAR(NOW()),_xlfn.CONCAT(IF(LOWER(Setting!rng_language)="english","Expired ","Expiré "),Q354),""),"")</f>
        <v>Expired 2021</v>
      </c>
      <c r="AT354" s="53" t="b">
        <f>ISNUMBER(MATCH(IF(LEN('USER INPUT SHEET'!rng_province)&gt;0,'USER INPUT SHEET'!rng_province,"Canada"),$AU354:$BD354,0))</f>
        <v>0</v>
      </c>
      <c r="AU354" s="1286"/>
      <c r="AV354" s="1286"/>
      <c r="AW354" s="1286"/>
      <c r="AX354" s="1286"/>
      <c r="AY354" s="1286"/>
      <c r="AZ354" s="1286"/>
      <c r="BA354" s="1286"/>
      <c r="BB354" s="1286"/>
      <c r="BC354" s="1286"/>
      <c r="BD354" s="1286"/>
    </row>
    <row r="355" spans="1:56" ht="15.75" customHeight="1" x14ac:dyDescent="0.3">
      <c r="A355" s="50" t="str">
        <f t="shared" si="27"/>
        <v>TPO Roofing Membrane / Carlisle / Sure-Weld / 60 mils</v>
      </c>
      <c r="B355" s="50" t="s">
        <v>658</v>
      </c>
      <c r="C355" s="50" t="s">
        <v>539</v>
      </c>
      <c r="D355" s="50" t="s">
        <v>4447</v>
      </c>
      <c r="E355" s="50" t="s">
        <v>659</v>
      </c>
      <c r="H355" s="50"/>
      <c r="I355" s="50" t="s">
        <v>3500</v>
      </c>
      <c r="J355" s="401">
        <v>45328</v>
      </c>
      <c r="K355" s="50">
        <v>3.77</v>
      </c>
      <c r="L355" s="50" t="s">
        <v>3501</v>
      </c>
      <c r="M355" s="70">
        <v>3.77</v>
      </c>
      <c r="N355" s="50" t="s">
        <v>3501</v>
      </c>
      <c r="O355" s="50" t="s">
        <v>4448</v>
      </c>
      <c r="P355" s="53" t="s">
        <v>3518</v>
      </c>
      <c r="Q355" s="367">
        <v>2028</v>
      </c>
      <c r="R355" s="53">
        <v>1.62</v>
      </c>
      <c r="S355" s="53" t="s">
        <v>141</v>
      </c>
      <c r="AA355" s="78">
        <f t="shared" si="52"/>
        <v>0</v>
      </c>
      <c r="AG355" s="81"/>
      <c r="AN355" s="53" t="s">
        <v>4508</v>
      </c>
      <c r="AT355" s="53" t="b">
        <f>ISNUMBER(MATCH(IF(LEN('USER INPUT SHEET'!rng_province)&gt;0,'USER INPUT SHEET'!rng_province,"Canada"),$AU355:$BD355,0))</f>
        <v>0</v>
      </c>
      <c r="AU355" s="1286"/>
      <c r="AV355" s="1286"/>
      <c r="AW355" s="1286"/>
      <c r="AX355" s="1286"/>
      <c r="AY355" s="1286"/>
      <c r="AZ355" s="1286"/>
      <c r="BA355" s="1286"/>
      <c r="BB355" s="1286"/>
      <c r="BC355" s="1286"/>
      <c r="BD355" s="1286"/>
    </row>
    <row r="356" spans="1:56" ht="15.75" customHeight="1" x14ac:dyDescent="0.3">
      <c r="A356" s="50" t="str">
        <f t="shared" si="27"/>
        <v>TPO roofing membrane / Single Ply Roofing Industry /  / 45 mils</v>
      </c>
      <c r="B356" s="50" t="s">
        <v>4449</v>
      </c>
      <c r="C356" s="50" t="s">
        <v>4450</v>
      </c>
      <c r="D356" s="50"/>
      <c r="E356" s="50" t="s">
        <v>4451</v>
      </c>
      <c r="H356" s="50" t="s">
        <v>4452</v>
      </c>
      <c r="I356" s="50" t="s">
        <v>3500</v>
      </c>
      <c r="J356" s="401">
        <v>45332</v>
      </c>
      <c r="K356" s="50">
        <v>5.8</v>
      </c>
      <c r="L356" s="50" t="s">
        <v>5</v>
      </c>
      <c r="M356" s="70">
        <v>5.8</v>
      </c>
      <c r="N356" s="50" t="s">
        <v>5</v>
      </c>
      <c r="O356" s="50" t="s">
        <v>4453</v>
      </c>
      <c r="P356" s="53" t="s">
        <v>3518</v>
      </c>
      <c r="Q356" s="367">
        <v>2028</v>
      </c>
      <c r="R356" s="53">
        <v>1.1499999999999999</v>
      </c>
      <c r="S356" s="53" t="s">
        <v>141</v>
      </c>
      <c r="AA356" s="78">
        <f t="shared" si="52"/>
        <v>0</v>
      </c>
      <c r="AG356" s="81"/>
      <c r="AN356" s="53" t="s">
        <v>4509</v>
      </c>
      <c r="AT356" s="53" t="b">
        <f>ISNUMBER(MATCH(IF(LEN('USER INPUT SHEET'!rng_province)&gt;0,'USER INPUT SHEET'!rng_province,"Canada"),$AU356:$BD356,0))</f>
        <v>0</v>
      </c>
      <c r="AU356" s="1286"/>
      <c r="AV356" s="1286"/>
      <c r="AW356" s="1286"/>
      <c r="AX356" s="1286"/>
      <c r="AY356" s="1286"/>
      <c r="AZ356" s="1286"/>
      <c r="BA356" s="1286"/>
      <c r="BB356" s="1286"/>
      <c r="BC356" s="1286"/>
      <c r="BD356" s="1286"/>
    </row>
    <row r="357" spans="1:56" ht="15.75" customHeight="1" x14ac:dyDescent="0.3">
      <c r="A357" s="50" t="str">
        <f t="shared" si="27"/>
        <v>TPO roofing membrane / Single Ply Roofing Industry /  / 60 mils</v>
      </c>
      <c r="B357" s="50" t="s">
        <v>4449</v>
      </c>
      <c r="C357" s="50" t="s">
        <v>4450</v>
      </c>
      <c r="D357" s="50"/>
      <c r="E357" s="50" t="s">
        <v>659</v>
      </c>
      <c r="H357" s="50" t="s">
        <v>4452</v>
      </c>
      <c r="I357" s="50" t="s">
        <v>3500</v>
      </c>
      <c r="J357" s="401">
        <v>45332</v>
      </c>
      <c r="K357" s="50">
        <v>7.5</v>
      </c>
      <c r="L357" s="50" t="s">
        <v>5</v>
      </c>
      <c r="M357" s="70">
        <v>7.5</v>
      </c>
      <c r="N357" s="50" t="s">
        <v>5</v>
      </c>
      <c r="O357" s="50" t="s">
        <v>4453</v>
      </c>
      <c r="P357" s="53" t="s">
        <v>3518</v>
      </c>
      <c r="Q357" s="367">
        <v>2028</v>
      </c>
      <c r="R357" s="53">
        <v>1.48</v>
      </c>
      <c r="S357" s="53" t="s">
        <v>141</v>
      </c>
      <c r="AA357" s="78">
        <f t="shared" si="52"/>
        <v>0</v>
      </c>
      <c r="AG357" s="81"/>
      <c r="AN357" s="53" t="s">
        <v>3968</v>
      </c>
      <c r="AT357" s="53" t="b">
        <f>ISNUMBER(MATCH(IF(LEN('USER INPUT SHEET'!rng_province)&gt;0,'USER INPUT SHEET'!rng_province,"Canada"),$AU357:$BD357,0))</f>
        <v>0</v>
      </c>
      <c r="AU357" s="1286"/>
      <c r="AV357" s="1286"/>
      <c r="AW357" s="1286"/>
      <c r="AX357" s="1286"/>
      <c r="AY357" s="1286"/>
      <c r="AZ357" s="1286"/>
      <c r="BA357" s="1286"/>
      <c r="BB357" s="1286"/>
      <c r="BC357" s="1286"/>
      <c r="BD357" s="1286"/>
    </row>
    <row r="358" spans="1:56" ht="15.75" customHeight="1" x14ac:dyDescent="0.3">
      <c r="A358" s="50" t="str">
        <f t="shared" si="27"/>
        <v>(ARCHIVED 2026) Vacuum Insulated Panel / Porextherm / Vacupor / R 30/inch</v>
      </c>
      <c r="B358" s="50" t="s">
        <v>7281</v>
      </c>
      <c r="C358" s="50" t="s">
        <v>3268</v>
      </c>
      <c r="D358" s="50" t="s">
        <v>662</v>
      </c>
      <c r="E358" s="50" t="s">
        <v>663</v>
      </c>
      <c r="H358" s="50"/>
      <c r="I358" s="50" t="s">
        <v>120</v>
      </c>
      <c r="J358" s="50"/>
      <c r="K358" s="51">
        <v>42.2</v>
      </c>
      <c r="L358" s="51" t="s">
        <v>849</v>
      </c>
      <c r="M358" s="71">
        <f>(K358/0.025*W358)</f>
        <v>7.4272</v>
      </c>
      <c r="N358" s="51" t="s">
        <v>825</v>
      </c>
      <c r="O358" s="53" t="s">
        <v>664</v>
      </c>
      <c r="P358" s="53" t="s">
        <v>122</v>
      </c>
      <c r="Q358" s="367">
        <v>2019</v>
      </c>
      <c r="R358" s="53">
        <v>181</v>
      </c>
      <c r="S358" s="53" t="s">
        <v>121</v>
      </c>
      <c r="V358" s="53">
        <v>30</v>
      </c>
      <c r="W358" s="53">
        <v>4.4000000000000003E-3</v>
      </c>
      <c r="X358" s="49" t="s">
        <v>649</v>
      </c>
      <c r="AA358" s="78">
        <f t="shared" si="52"/>
        <v>0</v>
      </c>
      <c r="AG358" s="82"/>
      <c r="AN358" s="53">
        <v>214</v>
      </c>
      <c r="AR358" s="264" t="str">
        <f ca="1">IF(LEN(Q358)=4,IF(Q358&lt;YEAR(NOW()),_xlfn.CONCAT(IF(LOWER(Setting!rng_language)="english","Expired ","Expiré "),Q358),""),"")</f>
        <v>Expired 2019</v>
      </c>
      <c r="AT358" s="53" t="b">
        <f>ISNUMBER(MATCH(IF(LEN('USER INPUT SHEET'!rng_province)&gt;0,'USER INPUT SHEET'!rng_province,"Canada"),$AU358:$BD358,0))</f>
        <v>0</v>
      </c>
      <c r="AU358" s="1286"/>
      <c r="AV358" s="1286"/>
      <c r="AW358" s="1286"/>
      <c r="AX358" s="1286"/>
      <c r="AY358" s="1286"/>
      <c r="AZ358" s="1286"/>
      <c r="BA358" s="1286"/>
      <c r="BB358" s="1286"/>
      <c r="BC358" s="1286"/>
      <c r="BD358" s="1286"/>
    </row>
    <row r="359" spans="1:56" ht="15.75" customHeight="1" x14ac:dyDescent="0.3">
      <c r="A359" s="50" t="str">
        <f t="shared" si="27"/>
        <v xml:space="preserve">(ARCHIVED 2026) Vinyl flooring / Altro / Altro Lavencia Click / </v>
      </c>
      <c r="B359" s="50" t="s">
        <v>7274</v>
      </c>
      <c r="C359" s="50" t="s">
        <v>666</v>
      </c>
      <c r="D359" s="50" t="s">
        <v>667</v>
      </c>
      <c r="E359" s="50"/>
      <c r="H359" s="50"/>
      <c r="I359" s="50" t="s">
        <v>124</v>
      </c>
      <c r="J359" s="50"/>
      <c r="K359" s="50">
        <v>14.2</v>
      </c>
      <c r="L359" s="50" t="s">
        <v>5</v>
      </c>
      <c r="M359" s="71">
        <f>(14.2)</f>
        <v>14.2</v>
      </c>
      <c r="N359" s="50" t="s">
        <v>5</v>
      </c>
      <c r="O359" s="50" t="s">
        <v>668</v>
      </c>
      <c r="P359" s="53" t="s">
        <v>415</v>
      </c>
      <c r="Q359" s="367">
        <v>2024</v>
      </c>
      <c r="R359" s="53">
        <v>9.7200000000000006</v>
      </c>
      <c r="S359" s="53" t="s">
        <v>141</v>
      </c>
      <c r="AA359" s="78">
        <f t="shared" si="52"/>
        <v>0</v>
      </c>
      <c r="AG359" s="82"/>
      <c r="AI359" s="165">
        <v>5.0000000000000001E-3</v>
      </c>
      <c r="AN359" s="53">
        <v>215</v>
      </c>
      <c r="AR359" s="264" t="str">
        <f ca="1">IF(LEN(Q359)=4,IF(Q359&lt;YEAR(NOW()),_xlfn.CONCAT(IF(LOWER(Setting!rng_language)="english","Expired ","Expiré "),Q359),""),"")</f>
        <v>Expired 2024</v>
      </c>
      <c r="AT359" s="53" t="b">
        <f>ISNUMBER(MATCH(IF(LEN('USER INPUT SHEET'!rng_province)&gt;0,'USER INPUT SHEET'!rng_province,"Canada"),$AU359:$BD359,0))</f>
        <v>0</v>
      </c>
      <c r="AU359" s="1286"/>
      <c r="AV359" s="1286"/>
      <c r="AW359" s="1286"/>
      <c r="AX359" s="1286"/>
      <c r="AY359" s="1286"/>
      <c r="AZ359" s="1286"/>
      <c r="BA359" s="1286"/>
      <c r="BB359" s="1286"/>
      <c r="BC359" s="1286"/>
      <c r="BD359" s="1286"/>
    </row>
    <row r="360" spans="1:56" ht="15.75" customHeight="1" x14ac:dyDescent="0.3">
      <c r="A360" s="50" t="str">
        <f t="shared" si="27"/>
        <v xml:space="preserve">(ARCHIVED 2025) Vinyl flooring / Altro / Altro Lavencia Plus / </v>
      </c>
      <c r="B360" s="50" t="s">
        <v>4454</v>
      </c>
      <c r="C360" s="50" t="s">
        <v>666</v>
      </c>
      <c r="D360" s="50" t="s">
        <v>669</v>
      </c>
      <c r="E360" s="50"/>
      <c r="H360" s="50"/>
      <c r="I360" s="50" t="s">
        <v>124</v>
      </c>
      <c r="J360" s="50"/>
      <c r="K360" s="50">
        <v>9.6</v>
      </c>
      <c r="L360" s="50" t="s">
        <v>5</v>
      </c>
      <c r="M360" s="71">
        <f>(9.6)</f>
        <v>9.6</v>
      </c>
      <c r="N360" s="50" t="s">
        <v>5</v>
      </c>
      <c r="O360" s="50" t="s">
        <v>670</v>
      </c>
      <c r="P360" s="53" t="s">
        <v>415</v>
      </c>
      <c r="Q360" s="367">
        <v>2023</v>
      </c>
      <c r="R360" s="53">
        <v>5.64</v>
      </c>
      <c r="S360" s="53" t="s">
        <v>141</v>
      </c>
      <c r="AA360" s="78">
        <f t="shared" si="52"/>
        <v>0</v>
      </c>
      <c r="AG360" s="82"/>
      <c r="AI360" s="165">
        <v>3.0000000000000001E-3</v>
      </c>
      <c r="AN360" s="53">
        <v>216</v>
      </c>
      <c r="AR360" s="264" t="str">
        <f ca="1">IF(LEN(Q360)=4,IF(Q360&lt;YEAR(NOW()),_xlfn.CONCAT(IF(LOWER(Setting!rng_language)="english","Expired ","Expiré "),Q360),""),"")</f>
        <v>Expired 2023</v>
      </c>
      <c r="AT360" s="53" t="b">
        <f>ISNUMBER(MATCH(IF(LEN('USER INPUT SHEET'!rng_province)&gt;0,'USER INPUT SHEET'!rng_province,"Canada"),$AU360:$BD360,0))</f>
        <v>0</v>
      </c>
      <c r="AU360" s="1286"/>
      <c r="AV360" s="1286"/>
      <c r="AW360" s="1286"/>
      <c r="AX360" s="1286"/>
      <c r="AY360" s="1286"/>
      <c r="AZ360" s="1286"/>
      <c r="BA360" s="1286"/>
      <c r="BB360" s="1286"/>
      <c r="BC360" s="1286"/>
      <c r="BD360" s="1286"/>
    </row>
    <row r="361" spans="1:56" ht="15.75" customHeight="1" x14ac:dyDescent="0.3">
      <c r="A361" s="50" t="str">
        <f t="shared" si="27"/>
        <v>Vinyl flooring / Altro / Altro Lavencia / 3.0 mm</v>
      </c>
      <c r="B361" s="50" t="s">
        <v>665</v>
      </c>
      <c r="C361" s="50" t="s">
        <v>666</v>
      </c>
      <c r="D361" s="50" t="s">
        <v>4455</v>
      </c>
      <c r="E361" s="50" t="s">
        <v>4456</v>
      </c>
      <c r="H361" s="50"/>
      <c r="I361" s="50"/>
      <c r="J361" s="401">
        <v>45358</v>
      </c>
      <c r="K361" s="50">
        <v>10.938000000000001</v>
      </c>
      <c r="L361" s="50" t="s">
        <v>3501</v>
      </c>
      <c r="M361" s="70">
        <v>10.938000000000001</v>
      </c>
      <c r="N361" s="50" t="s">
        <v>3501</v>
      </c>
      <c r="O361" s="50" t="s">
        <v>4457</v>
      </c>
      <c r="P361" s="53" t="s">
        <v>415</v>
      </c>
      <c r="Q361" s="401">
        <v>46181</v>
      </c>
      <c r="R361" s="53">
        <v>5103</v>
      </c>
      <c r="S361" s="53" t="s">
        <v>4458</v>
      </c>
      <c r="AA361" s="78">
        <f t="shared" si="52"/>
        <v>0</v>
      </c>
      <c r="AG361" s="81"/>
      <c r="AK361" s="165">
        <v>3.0000000000000001E-3</v>
      </c>
      <c r="AN361" s="53" t="s">
        <v>4510</v>
      </c>
      <c r="AT361" s="53" t="b">
        <f>ISNUMBER(MATCH(IF(LEN('USER INPUT SHEET'!rng_province)&gt;0,'USER INPUT SHEET'!rng_province,"Canada"),$AU361:$BD361,0))</f>
        <v>0</v>
      </c>
      <c r="AU361" s="1286"/>
      <c r="AV361" s="1286"/>
      <c r="AW361" s="1286"/>
      <c r="AX361" s="1286"/>
      <c r="AY361" s="1286"/>
      <c r="AZ361" s="1286"/>
      <c r="BA361" s="1286"/>
      <c r="BB361" s="1286"/>
      <c r="BC361" s="1286"/>
      <c r="BD361" s="1286"/>
    </row>
    <row r="362" spans="1:56" ht="15.75" customHeight="1" x14ac:dyDescent="0.3">
      <c r="A362" s="50" t="str">
        <f t="shared" si="27"/>
        <v xml:space="preserve">(ARCHIVED 2025) Vinyl flooring / Gerflor / Creation 70 CLIC / </v>
      </c>
      <c r="B362" s="50" t="s">
        <v>4454</v>
      </c>
      <c r="C362" s="50" t="s">
        <v>3304</v>
      </c>
      <c r="D362" s="50" t="s">
        <v>671</v>
      </c>
      <c r="E362" s="50"/>
      <c r="H362" s="50"/>
      <c r="I362" s="50" t="s">
        <v>129</v>
      </c>
      <c r="J362" s="50"/>
      <c r="K362" s="50">
        <v>6.24</v>
      </c>
      <c r="L362" s="50" t="s">
        <v>5</v>
      </c>
      <c r="M362" s="71">
        <f>(6.24)</f>
        <v>6.24</v>
      </c>
      <c r="N362" s="50" t="s">
        <v>5</v>
      </c>
      <c r="O362" s="50" t="s">
        <v>672</v>
      </c>
      <c r="P362" s="53" t="s">
        <v>143</v>
      </c>
      <c r="Q362" s="367">
        <v>2021</v>
      </c>
      <c r="R362" s="53">
        <v>9.8949999999999996</v>
      </c>
      <c r="S362" s="53" t="s">
        <v>141</v>
      </c>
      <c r="AA362" s="78">
        <f t="shared" si="52"/>
        <v>0</v>
      </c>
      <c r="AG362" s="82"/>
      <c r="AI362" s="165">
        <v>6.0000000000000001E-3</v>
      </c>
      <c r="AN362" s="53">
        <v>217</v>
      </c>
      <c r="AR362" s="264" t="str">
        <f ca="1">IF(LEN(Q362)=4,IF(Q362&lt;YEAR(NOW()),_xlfn.CONCAT(IF(LOWER(Setting!rng_language)="english","Expired ","Expiré "),Q362),""),"")</f>
        <v>Expired 2021</v>
      </c>
      <c r="AT362" s="53" t="b">
        <f>ISNUMBER(MATCH(IF(LEN('USER INPUT SHEET'!rng_province)&gt;0,'USER INPUT SHEET'!rng_province,"Canada"),$AU362:$BD362,0))</f>
        <v>0</v>
      </c>
      <c r="AU362" s="1286"/>
      <c r="AV362" s="1286"/>
      <c r="AW362" s="1286"/>
      <c r="AX362" s="1286"/>
      <c r="AY362" s="1286"/>
      <c r="AZ362" s="1286"/>
      <c r="BA362" s="1286"/>
      <c r="BB362" s="1286"/>
      <c r="BC362" s="1286"/>
      <c r="BD362" s="1286"/>
    </row>
    <row r="363" spans="1:56" ht="15.75" customHeight="1" x14ac:dyDescent="0.3">
      <c r="A363" s="50" t="str">
        <f t="shared" si="27"/>
        <v xml:space="preserve">(ARCHIVED 2026) Vinyl flooring / Resilient Floor Covering Institute / Includes tile products from Armstrong, Congoleum, Tarkett / </v>
      </c>
      <c r="B363" s="50" t="s">
        <v>7274</v>
      </c>
      <c r="C363" s="50" t="s">
        <v>592</v>
      </c>
      <c r="D363" s="50" t="s">
        <v>673</v>
      </c>
      <c r="E363" s="50"/>
      <c r="H363" s="50"/>
      <c r="I363" s="50" t="s">
        <v>124</v>
      </c>
      <c r="J363" s="50"/>
      <c r="K363" s="50">
        <v>4.96</v>
      </c>
      <c r="L363" s="50" t="s">
        <v>5</v>
      </c>
      <c r="M363" s="71">
        <f>(4.96)</f>
        <v>4.96</v>
      </c>
      <c r="N363" s="50" t="s">
        <v>5</v>
      </c>
      <c r="O363" s="50" t="s">
        <v>674</v>
      </c>
      <c r="P363" s="53" t="s">
        <v>143</v>
      </c>
      <c r="Q363" s="367">
        <v>2024</v>
      </c>
      <c r="R363" s="53">
        <v>6.5</v>
      </c>
      <c r="S363" s="53" t="s">
        <v>141</v>
      </c>
      <c r="AA363" s="78">
        <f t="shared" si="52"/>
        <v>0</v>
      </c>
      <c r="AG363" s="82"/>
      <c r="AI363" s="165">
        <v>2.8E-3</v>
      </c>
      <c r="AN363" s="53">
        <v>218</v>
      </c>
      <c r="AR363" s="264" t="str">
        <f ca="1">IF(LEN(Q363)=4,IF(Q363&lt;YEAR(NOW()),_xlfn.CONCAT(IF(LOWER(Setting!rng_language)="english","Expired ","Expiré "),Q363),""),"")</f>
        <v>Expired 2024</v>
      </c>
      <c r="AT363" s="53" t="b">
        <f>ISNUMBER(MATCH(IF(LEN('USER INPUT SHEET'!rng_province)&gt;0,'USER INPUT SHEET'!rng_province,"Canada"),$AU363:$BD363,0))</f>
        <v>0</v>
      </c>
      <c r="AU363" s="1286"/>
      <c r="AV363" s="1286"/>
      <c r="AW363" s="1286"/>
      <c r="AX363" s="1286"/>
      <c r="AY363" s="1286"/>
      <c r="AZ363" s="1286"/>
      <c r="BA363" s="1286"/>
      <c r="BB363" s="1286"/>
      <c r="BC363" s="1286"/>
      <c r="BD363" s="1286"/>
    </row>
    <row r="364" spans="1:56" ht="15.75" customHeight="1" x14ac:dyDescent="0.3">
      <c r="A364" s="50" t="str">
        <f t="shared" si="27"/>
        <v>Vinyl Siding / Vinyl Siding Institute / Double 4.5" products from: American Original, Associated Materials, CertainTeed, Novik, Ply Gem / 0.040" Double 4.5"</v>
      </c>
      <c r="B364" s="50" t="s">
        <v>675</v>
      </c>
      <c r="C364" s="50" t="s">
        <v>676</v>
      </c>
      <c r="D364" s="50" t="s">
        <v>677</v>
      </c>
      <c r="E364" s="50" t="s">
        <v>678</v>
      </c>
      <c r="H364" s="50"/>
      <c r="I364" s="50" t="s">
        <v>3515</v>
      </c>
      <c r="J364" s="50"/>
      <c r="K364" s="50">
        <v>4.71</v>
      </c>
      <c r="L364" s="50" t="s">
        <v>5</v>
      </c>
      <c r="M364" s="70">
        <v>4.71</v>
      </c>
      <c r="N364" s="50" t="s">
        <v>3501</v>
      </c>
      <c r="O364" s="50" t="s">
        <v>3536</v>
      </c>
      <c r="P364" s="53" t="s">
        <v>137</v>
      </c>
      <c r="Q364" s="367">
        <v>2027</v>
      </c>
      <c r="R364" s="53">
        <v>1430</v>
      </c>
      <c r="S364" s="53" t="s">
        <v>121</v>
      </c>
      <c r="AA364" s="78">
        <f t="shared" si="52"/>
        <v>0</v>
      </c>
      <c r="AG364" s="81"/>
      <c r="AN364" s="53">
        <v>219</v>
      </c>
      <c r="AR364" s="264" t="str">
        <f ca="1">IF(LEN(Q364)=4,IF(Q364&lt;YEAR(NOW()),_xlfn.CONCAT(IF(LOWER(Setting!rng_language)="english","Expired ","Expiré "),Q364),""),"")</f>
        <v/>
      </c>
      <c r="AT364" s="53" t="b">
        <f>ISNUMBER(MATCH(IF(LEN('USER INPUT SHEET'!rng_province)&gt;0,'USER INPUT SHEET'!rng_province,"Canada"),$AU364:$BD364,0))</f>
        <v>0</v>
      </c>
      <c r="AU364" s="1286"/>
      <c r="AV364" s="1286"/>
      <c r="AW364" s="1286"/>
      <c r="AX364" s="1286"/>
      <c r="AY364" s="1286"/>
      <c r="AZ364" s="1286"/>
      <c r="BA364" s="1286"/>
      <c r="BB364" s="1286"/>
      <c r="BC364" s="1286"/>
      <c r="BD364" s="1286"/>
    </row>
    <row r="365" spans="1:56" ht="15.75" customHeight="1" x14ac:dyDescent="0.3">
      <c r="A365" s="50" t="str">
        <f>B365&amp;" / "&amp;C365&amp;" / "&amp;E365</f>
        <v>(ARCHIVED 2023) Vinyl Siding / Vinyl Siding Institute / 0.040" Double 4.5"</v>
      </c>
      <c r="B365" s="50" t="s">
        <v>3772</v>
      </c>
      <c r="C365" s="50" t="s">
        <v>676</v>
      </c>
      <c r="D365" s="50" t="s">
        <v>677</v>
      </c>
      <c r="E365" s="50" t="s">
        <v>678</v>
      </c>
      <c r="H365" s="50"/>
      <c r="I365" s="50" t="s">
        <v>124</v>
      </c>
      <c r="J365" s="50"/>
      <c r="K365" s="50">
        <v>49.98</v>
      </c>
      <c r="L365" s="50" t="s">
        <v>845</v>
      </c>
      <c r="M365" s="71">
        <f>(K365/9.29)</f>
        <v>5.3799784714747041</v>
      </c>
      <c r="N365" s="50" t="s">
        <v>5</v>
      </c>
      <c r="O365" s="50" t="s">
        <v>679</v>
      </c>
      <c r="P365" s="50" t="s">
        <v>143</v>
      </c>
      <c r="Q365" s="172">
        <v>2021</v>
      </c>
      <c r="R365" s="50">
        <v>1430</v>
      </c>
      <c r="S365" s="50" t="s">
        <v>121</v>
      </c>
      <c r="T365" s="50"/>
      <c r="U365" s="50"/>
      <c r="AA365" s="78">
        <f t="shared" si="52"/>
        <v>0</v>
      </c>
      <c r="AG365" s="82"/>
      <c r="AI365" s="165">
        <v>1.016E-3</v>
      </c>
      <c r="AN365" s="53" t="s">
        <v>3800</v>
      </c>
      <c r="AR365" s="264" t="str">
        <f ca="1">IF(LEN(Q365)=4,IF(Q365&lt;YEAR(NOW()),_xlfn.CONCAT(IF(LOWER(Setting!rng_language)="english","Expired ","Expiré "),Q365),""),"")</f>
        <v>Expired 2021</v>
      </c>
      <c r="AT365" s="53" t="b">
        <f>ISNUMBER(MATCH(IF(LEN('USER INPUT SHEET'!rng_province)&gt;0,'USER INPUT SHEET'!rng_province,"Canada"),$AU365:$BD365,0))</f>
        <v>0</v>
      </c>
      <c r="AU365" s="1289"/>
      <c r="AV365" s="1289"/>
      <c r="AW365" s="1289"/>
      <c r="AX365" s="1289"/>
      <c r="AY365" s="1289"/>
      <c r="AZ365" s="1289"/>
      <c r="BA365" s="1289"/>
      <c r="BB365" s="1289"/>
      <c r="BC365" s="1289"/>
      <c r="BD365" s="1289"/>
    </row>
    <row r="366" spans="1:56" ht="15.75" customHeight="1" x14ac:dyDescent="0.3">
      <c r="A366" s="50" t="str">
        <f t="shared" si="27"/>
        <v xml:space="preserve">(ARCHIVED 2025) Waterproofing membrane adhesive / GCP / Bituthene / </v>
      </c>
      <c r="B366" s="50" t="s">
        <v>4459</v>
      </c>
      <c r="C366" s="50" t="s">
        <v>146</v>
      </c>
      <c r="D366" s="50" t="s">
        <v>680</v>
      </c>
      <c r="E366" s="50"/>
      <c r="H366" s="50"/>
      <c r="J366" s="50"/>
      <c r="K366" s="50">
        <v>2.4</v>
      </c>
      <c r="L366" s="50" t="s">
        <v>5</v>
      </c>
      <c r="M366" s="71">
        <f>(2.4)</f>
        <v>2.4</v>
      </c>
      <c r="N366" s="50" t="s">
        <v>5</v>
      </c>
      <c r="O366" s="53" t="s">
        <v>681</v>
      </c>
      <c r="P366" s="53" t="s">
        <v>137</v>
      </c>
      <c r="Q366" s="367">
        <v>2022</v>
      </c>
      <c r="AA366" s="78">
        <f t="shared" si="52"/>
        <v>0</v>
      </c>
      <c r="AG366" s="82"/>
      <c r="AN366" s="53">
        <v>220</v>
      </c>
      <c r="AR366" s="264" t="str">
        <f ca="1">IF(LEN(Q366)=4,IF(Q366&lt;YEAR(NOW()),_xlfn.CONCAT(IF(LOWER(Setting!rng_language)="english","Expired ","Expiré "),Q366),""),"")</f>
        <v>Expired 2022</v>
      </c>
      <c r="AT366" s="53" t="b">
        <f>ISNUMBER(MATCH(IF(LEN('USER INPUT SHEET'!rng_province)&gt;0,'USER INPUT SHEET'!rng_province,"Canada"),$AU366:$BD366,0))</f>
        <v>0</v>
      </c>
      <c r="AU366" s="1286"/>
      <c r="AV366" s="1286"/>
      <c r="AW366" s="1286"/>
      <c r="AX366" s="1286"/>
      <c r="AY366" s="1286"/>
      <c r="AZ366" s="1286"/>
      <c r="BA366" s="1286"/>
      <c r="BB366" s="1286"/>
      <c r="BC366" s="1286"/>
      <c r="BD366" s="1286"/>
    </row>
    <row r="367" spans="1:56" ht="15.75" customHeight="1" x14ac:dyDescent="0.3">
      <c r="A367" s="50" t="str">
        <f>B367&amp;" / "&amp;C367&amp;" / "&amp;D367&amp;" / "&amp;E367&amp;" / "&amp;I367</f>
        <v>(ARCHIVED 2025) Welded wire mesh / Serfas /  / 6" x 6" x 6/6g / Norway</v>
      </c>
      <c r="B367" s="50" t="s">
        <v>4460</v>
      </c>
      <c r="C367" s="50" t="s">
        <v>1291</v>
      </c>
      <c r="E367" s="53" t="s">
        <v>1292</v>
      </c>
      <c r="H367" s="50"/>
      <c r="I367" s="50" t="s">
        <v>1293</v>
      </c>
      <c r="J367" s="225"/>
      <c r="K367" s="50">
        <v>0.8</v>
      </c>
      <c r="L367" s="50" t="s">
        <v>841</v>
      </c>
      <c r="M367" s="71">
        <f>(K367*T367)</f>
        <v>1.64</v>
      </c>
      <c r="N367" s="50" t="s">
        <v>5</v>
      </c>
      <c r="O367" s="50" t="s">
        <v>1294</v>
      </c>
      <c r="P367" s="53" t="s">
        <v>389</v>
      </c>
      <c r="Q367" s="367">
        <v>2021</v>
      </c>
      <c r="T367" s="226">
        <v>2.0499999999999998</v>
      </c>
      <c r="U367" s="53" t="s">
        <v>141</v>
      </c>
      <c r="AA367" s="78">
        <f t="shared" si="52"/>
        <v>0</v>
      </c>
      <c r="AG367" s="83"/>
      <c r="AN367" s="53">
        <v>221</v>
      </c>
      <c r="AR367" s="264" t="str">
        <f ca="1">IF(LEN(Q367)=4,IF(Q367&lt;YEAR(NOW()),_xlfn.CONCAT(IF(LOWER(Setting!rng_language)="english","Expired ","Expiré "),Q367),""),"")</f>
        <v>Expired 2021</v>
      </c>
      <c r="AT367" s="53" t="b">
        <f>ISNUMBER(MATCH(IF(LEN('USER INPUT SHEET'!rng_province)&gt;0,'USER INPUT SHEET'!rng_province,"Canada"),$AU367:$BD367,0))</f>
        <v>0</v>
      </c>
      <c r="AU367" s="1286"/>
      <c r="AV367" s="1286"/>
      <c r="AW367" s="1286"/>
      <c r="AX367" s="1286"/>
      <c r="AY367" s="1286"/>
      <c r="AZ367" s="1286"/>
      <c r="BA367" s="1286"/>
      <c r="BB367" s="1286"/>
      <c r="BC367" s="1286"/>
      <c r="BD367" s="1286"/>
    </row>
    <row r="368" spans="1:56" ht="15.75" customHeight="1" x14ac:dyDescent="0.3">
      <c r="A368" s="50" t="str">
        <f t="shared" ref="A368:A369" si="53">B368&amp;" / "&amp;C368&amp;" / "&amp;D368&amp;" / "&amp;E368</f>
        <v xml:space="preserve">Welded wire reinforcement / Insteel Industries / 6" x 6" x 6/6g / </v>
      </c>
      <c r="B368" s="50" t="s">
        <v>4461</v>
      </c>
      <c r="C368" s="50" t="s">
        <v>4462</v>
      </c>
      <c r="D368" s="53" t="s">
        <v>1292</v>
      </c>
      <c r="H368" s="50"/>
      <c r="I368" s="50" t="s">
        <v>3500</v>
      </c>
      <c r="J368" s="225">
        <v>45329</v>
      </c>
      <c r="K368" s="50">
        <v>1.73</v>
      </c>
      <c r="L368" s="50" t="s">
        <v>841</v>
      </c>
      <c r="M368" s="70">
        <v>3.5464999999999995</v>
      </c>
      <c r="N368" s="50" t="s">
        <v>5</v>
      </c>
      <c r="O368" s="50" t="s">
        <v>4463</v>
      </c>
      <c r="P368" s="53" t="s">
        <v>137</v>
      </c>
      <c r="Q368" s="367">
        <v>2028</v>
      </c>
      <c r="R368" s="53">
        <v>42</v>
      </c>
      <c r="S368" s="53" t="s">
        <v>4464</v>
      </c>
      <c r="T368" s="226">
        <v>2.0499999999999998</v>
      </c>
      <c r="U368" s="53" t="s">
        <v>141</v>
      </c>
      <c r="AA368" s="78">
        <f t="shared" si="52"/>
        <v>0</v>
      </c>
      <c r="AG368" s="83"/>
      <c r="AN368" s="53" t="s">
        <v>2258</v>
      </c>
      <c r="AT368" s="53" t="b">
        <f>ISNUMBER(MATCH(IF(LEN('USER INPUT SHEET'!rng_province)&gt;0,'USER INPUT SHEET'!rng_province,"Canada"),$AU368:$BD368,0))</f>
        <v>0</v>
      </c>
      <c r="AU368" s="1286"/>
      <c r="AV368" s="1286"/>
      <c r="AW368" s="1286"/>
      <c r="AX368" s="1286"/>
      <c r="AY368" s="1286"/>
      <c r="AZ368" s="1286"/>
      <c r="BA368" s="1286"/>
      <c r="BB368" s="1286"/>
      <c r="BC368" s="1286"/>
      <c r="BD368" s="1286"/>
    </row>
    <row r="369" spans="1:56" ht="15.75" customHeight="1" x14ac:dyDescent="0.3">
      <c r="A369" s="50" t="str">
        <f t="shared" si="53"/>
        <v xml:space="preserve">Welded wire reinforcement / Insteel Industries / 4" x 4" x 6/6g / </v>
      </c>
      <c r="B369" s="50" t="s">
        <v>4461</v>
      </c>
      <c r="C369" s="50" t="s">
        <v>4462</v>
      </c>
      <c r="D369" s="53" t="s">
        <v>4465</v>
      </c>
      <c r="H369" s="50"/>
      <c r="I369" s="50" t="s">
        <v>3500</v>
      </c>
      <c r="J369" s="225">
        <v>45329</v>
      </c>
      <c r="K369" s="50">
        <v>1.73</v>
      </c>
      <c r="L369" s="50" t="s">
        <v>841</v>
      </c>
      <c r="M369" s="70">
        <v>5.2418999999999993</v>
      </c>
      <c r="N369" s="50" t="s">
        <v>5</v>
      </c>
      <c r="O369" s="50" t="s">
        <v>4463</v>
      </c>
      <c r="P369" s="53" t="s">
        <v>137</v>
      </c>
      <c r="Q369" s="367">
        <v>2028</v>
      </c>
      <c r="R369" s="53">
        <v>62</v>
      </c>
      <c r="S369" s="53" t="s">
        <v>4464</v>
      </c>
      <c r="T369" s="226">
        <v>3.03</v>
      </c>
      <c r="U369" s="53" t="s">
        <v>141</v>
      </c>
      <c r="AA369" s="78">
        <f t="shared" si="52"/>
        <v>0</v>
      </c>
      <c r="AG369" s="83"/>
      <c r="AN369" s="53" t="s">
        <v>4511</v>
      </c>
      <c r="AT369" s="53" t="b">
        <f>ISNUMBER(MATCH(IF(LEN('USER INPUT SHEET'!rng_province)&gt;0,'USER INPUT SHEET'!rng_province,"Canada"),$AU369:$BD369,0))</f>
        <v>0</v>
      </c>
      <c r="AU369" s="1286"/>
      <c r="AV369" s="1286"/>
      <c r="AW369" s="1286"/>
      <c r="AX369" s="1286"/>
      <c r="AY369" s="1286"/>
      <c r="AZ369" s="1286"/>
      <c r="BA369" s="1286"/>
      <c r="BB369" s="1286"/>
      <c r="BC369" s="1286"/>
      <c r="BD369" s="1286"/>
    </row>
    <row r="370" spans="1:56" ht="15.75" customHeight="1" x14ac:dyDescent="0.3">
      <c r="A370" s="50" t="str">
        <f>B370&amp;" / "&amp;E370&amp;" / "&amp;C370&amp;" / "&amp;I370</f>
        <v>Window - double pane / Fiberglass frame /  / USA &amp; CAN</v>
      </c>
      <c r="B370" s="50" t="s">
        <v>682</v>
      </c>
      <c r="E370" s="50" t="s">
        <v>683</v>
      </c>
      <c r="H370" s="50"/>
      <c r="I370" s="53" t="s">
        <v>124</v>
      </c>
      <c r="M370" s="71">
        <f>(114)</f>
        <v>114</v>
      </c>
      <c r="N370" s="51" t="s">
        <v>5</v>
      </c>
      <c r="O370" s="50" t="s">
        <v>1134</v>
      </c>
      <c r="P370" s="53" t="s">
        <v>1122</v>
      </c>
      <c r="Q370" s="367" t="s">
        <v>1772</v>
      </c>
      <c r="AA370" s="78">
        <f t="shared" si="52"/>
        <v>0</v>
      </c>
      <c r="AG370" s="82"/>
      <c r="AN370" s="53">
        <v>222</v>
      </c>
      <c r="AR370" s="265" t="s">
        <v>1134</v>
      </c>
      <c r="AT370" s="53" t="b">
        <f>ISNUMBER(MATCH(IF(LEN('USER INPUT SHEET'!rng_province)&gt;0,'USER INPUT SHEET'!rng_province,"Canada"),$AU370:$BD370,0))</f>
        <v>0</v>
      </c>
      <c r="AU370" s="1286"/>
      <c r="AV370" s="1286"/>
      <c r="AW370" s="1286"/>
      <c r="AX370" s="1286"/>
      <c r="AY370" s="1286"/>
      <c r="AZ370" s="1286"/>
      <c r="BA370" s="1286"/>
      <c r="BB370" s="1286"/>
      <c r="BC370" s="1286"/>
      <c r="BD370" s="1286"/>
    </row>
    <row r="371" spans="1:56" ht="15.75" customHeight="1" x14ac:dyDescent="0.3">
      <c r="A371" s="50" t="str">
        <f>B371&amp;" / "&amp;C371&amp;" / "&amp;D371&amp;" / "&amp;E371&amp;" / "&amp;I371</f>
        <v>(ARCHIVED 2025) Window - double pane / Andersen / Fibrex / PVC &amp; Wood composite / USA</v>
      </c>
      <c r="B371" s="50" t="s">
        <v>4466</v>
      </c>
      <c r="C371" s="53" t="s">
        <v>687</v>
      </c>
      <c r="D371" s="53" t="s">
        <v>688</v>
      </c>
      <c r="E371" s="50" t="s">
        <v>1133</v>
      </c>
      <c r="H371" s="50" t="s">
        <v>1379</v>
      </c>
      <c r="I371" s="50" t="s">
        <v>129</v>
      </c>
      <c r="K371" s="53">
        <v>69.099999999999994</v>
      </c>
      <c r="L371" s="53" t="s">
        <v>5</v>
      </c>
      <c r="M371" s="68">
        <f>(K371)</f>
        <v>69.099999999999994</v>
      </c>
      <c r="N371" s="51" t="s">
        <v>5</v>
      </c>
      <c r="O371" s="53" t="s">
        <v>689</v>
      </c>
      <c r="P371" s="53" t="s">
        <v>143</v>
      </c>
      <c r="Q371" s="367">
        <v>2020</v>
      </c>
      <c r="T371" s="53">
        <f>2.47*0.88</f>
        <v>2.1736</v>
      </c>
      <c r="U371" s="53" t="s">
        <v>943</v>
      </c>
      <c r="X371" s="180"/>
      <c r="Y371" s="53">
        <v>1</v>
      </c>
      <c r="Z371" s="53">
        <v>0.5</v>
      </c>
      <c r="AA371" s="78">
        <f t="shared" si="52"/>
        <v>0</v>
      </c>
      <c r="AB371" s="53" t="s">
        <v>5</v>
      </c>
      <c r="AC371" s="53">
        <v>1.84</v>
      </c>
      <c r="AD371" s="53">
        <f>T371*Y371*Z371</f>
        <v>1.0868</v>
      </c>
      <c r="AG371" s="79"/>
      <c r="AN371" s="53">
        <v>223</v>
      </c>
      <c r="AR371" s="264" t="str">
        <f ca="1">IF(LEN(Q371)=4,IF(Q371&lt;YEAR(NOW()),_xlfn.CONCAT(IF(LOWER(Setting!rng_language)="english","Expired ","Expiré "),Q371),""),"")</f>
        <v>Expired 2020</v>
      </c>
      <c r="AT371" s="53" t="b">
        <f>ISNUMBER(MATCH(IF(LEN('USER INPUT SHEET'!rng_province)&gt;0,'USER INPUT SHEET'!rng_province,"Canada"),$AU371:$BD371,0))</f>
        <v>0</v>
      </c>
      <c r="AU371" s="1286"/>
      <c r="AV371" s="1286"/>
      <c r="AW371" s="1286"/>
      <c r="AX371" s="1286"/>
      <c r="AY371" s="1286"/>
      <c r="AZ371" s="1286"/>
      <c r="BA371" s="1286"/>
      <c r="BB371" s="1286"/>
      <c r="BC371" s="1286"/>
      <c r="BD371" s="1286"/>
    </row>
    <row r="372" spans="1:56" ht="15.75" customHeight="1" x14ac:dyDescent="0.3">
      <c r="A372" s="50" t="str">
        <f t="shared" ref="A372:A382" si="54">B372&amp;" / "&amp;E372&amp;" / "&amp;C372&amp;" / "&amp;I372</f>
        <v>Window - double pane / Vinyl frame /  / USA &amp; CAN</v>
      </c>
      <c r="B372" s="50" t="s">
        <v>682</v>
      </c>
      <c r="E372" s="50" t="s">
        <v>684</v>
      </c>
      <c r="H372" s="50"/>
      <c r="I372" s="53" t="s">
        <v>124</v>
      </c>
      <c r="M372" s="70">
        <f>(86)</f>
        <v>86</v>
      </c>
      <c r="N372" s="51" t="s">
        <v>5</v>
      </c>
      <c r="O372" s="50" t="s">
        <v>1134</v>
      </c>
      <c r="P372" s="53" t="s">
        <v>1122</v>
      </c>
      <c r="Q372" s="367" t="s">
        <v>1772</v>
      </c>
      <c r="X372" s="180"/>
      <c r="AA372" s="78">
        <f t="shared" si="52"/>
        <v>0</v>
      </c>
      <c r="AG372" s="81"/>
      <c r="AN372" s="53">
        <v>224</v>
      </c>
      <c r="AR372" s="265" t="s">
        <v>1134</v>
      </c>
      <c r="AT372" s="53" t="b">
        <f>ISNUMBER(MATCH(IF(LEN('USER INPUT SHEET'!rng_province)&gt;0,'USER INPUT SHEET'!rng_province,"Canada"),$AU372:$BD372,0))</f>
        <v>0</v>
      </c>
      <c r="AU372" s="1286"/>
      <c r="AV372" s="1286"/>
      <c r="AW372" s="1286"/>
      <c r="AX372" s="1286"/>
      <c r="AY372" s="1286"/>
      <c r="AZ372" s="1286"/>
      <c r="BA372" s="1286"/>
      <c r="BB372" s="1286"/>
      <c r="BC372" s="1286"/>
      <c r="BD372" s="1286"/>
    </row>
    <row r="373" spans="1:56" ht="15.75" customHeight="1" x14ac:dyDescent="0.3">
      <c r="A373" s="50" t="str">
        <f t="shared" si="54"/>
        <v>(ARCHIVED 2025) Window - double pane / Wood frame /  / EU</v>
      </c>
      <c r="B373" s="50" t="s">
        <v>4466</v>
      </c>
      <c r="E373" s="53" t="s">
        <v>685</v>
      </c>
      <c r="H373" s="50" t="s">
        <v>1379</v>
      </c>
      <c r="I373" s="53" t="s">
        <v>120</v>
      </c>
      <c r="K373" s="53">
        <v>109</v>
      </c>
      <c r="L373" s="53" t="s">
        <v>939</v>
      </c>
      <c r="M373" s="71">
        <f>(K373/1.82)</f>
        <v>59.890109890109891</v>
      </c>
      <c r="N373" s="51" t="s">
        <v>5</v>
      </c>
      <c r="O373" s="50" t="s">
        <v>942</v>
      </c>
      <c r="P373" s="53" t="s">
        <v>392</v>
      </c>
      <c r="Q373" s="367">
        <v>2023</v>
      </c>
      <c r="T373" s="228">
        <f>18.4/1.82</f>
        <v>10.109890109890109</v>
      </c>
      <c r="U373" s="53" t="s">
        <v>940</v>
      </c>
      <c r="X373" s="180"/>
      <c r="Y373" s="53">
        <v>1</v>
      </c>
      <c r="Z373" s="53">
        <v>0.5</v>
      </c>
      <c r="AA373" s="78">
        <f t="shared" si="52"/>
        <v>0</v>
      </c>
      <c r="AB373" s="53" t="s">
        <v>5</v>
      </c>
      <c r="AC373" s="53">
        <v>1.26</v>
      </c>
      <c r="AD373" s="53">
        <f>T373*Y373*Z373</f>
        <v>5.0549450549450547</v>
      </c>
      <c r="AG373" s="82"/>
      <c r="AN373" s="53">
        <v>225</v>
      </c>
      <c r="AR373" s="264" t="str">
        <f ca="1">IF(LEN(Q373)=4,IF(Q373&lt;YEAR(NOW()),_xlfn.CONCAT(IF(LOWER(Setting!rng_language)="english","Expired ","Expiré "),Q373),""),"")</f>
        <v>Expired 2023</v>
      </c>
      <c r="AT373" s="53" t="b">
        <f>ISNUMBER(MATCH(IF(LEN('USER INPUT SHEET'!rng_province)&gt;0,'USER INPUT SHEET'!rng_province,"Canada"),$AU373:$BD373,0))</f>
        <v>0</v>
      </c>
      <c r="AU373" s="1286"/>
      <c r="AV373" s="1286"/>
      <c r="AW373" s="1286"/>
      <c r="AX373" s="1286"/>
      <c r="AY373" s="1286"/>
      <c r="AZ373" s="1286"/>
      <c r="BA373" s="1286"/>
      <c r="BB373" s="1286"/>
      <c r="BC373" s="1286"/>
      <c r="BD373" s="1286"/>
    </row>
    <row r="374" spans="1:56" ht="15.75" customHeight="1" x14ac:dyDescent="0.3">
      <c r="A374" s="50" t="str">
        <f t="shared" si="54"/>
        <v>Window - double pane / Wood frame /  / USA &amp; CAN</v>
      </c>
      <c r="B374" s="50" t="s">
        <v>682</v>
      </c>
      <c r="E374" s="50" t="s">
        <v>685</v>
      </c>
      <c r="H374" s="50" t="s">
        <v>1379</v>
      </c>
      <c r="I374" s="53" t="s">
        <v>124</v>
      </c>
      <c r="M374" s="71">
        <f>(72)</f>
        <v>72</v>
      </c>
      <c r="N374" s="51" t="s">
        <v>5</v>
      </c>
      <c r="O374" s="50" t="s">
        <v>1134</v>
      </c>
      <c r="P374" s="53" t="s">
        <v>1122</v>
      </c>
      <c r="Q374" s="367" t="s">
        <v>1772</v>
      </c>
      <c r="X374" s="180"/>
      <c r="AA374" s="78">
        <f t="shared" si="52"/>
        <v>16.428599999999999</v>
      </c>
      <c r="AB374" s="53" t="s">
        <v>5</v>
      </c>
      <c r="AF374" s="53">
        <v>18.254000000000001</v>
      </c>
      <c r="AG374" s="82">
        <f>(AF374)*rng_biogenic_storage</f>
        <v>16.428600000000003</v>
      </c>
      <c r="AH374" s="53" t="s">
        <v>3739</v>
      </c>
      <c r="AN374" s="53">
        <v>226</v>
      </c>
      <c r="AR374" s="265" t="s">
        <v>1134</v>
      </c>
      <c r="AT374" s="53" t="b">
        <f>ISNUMBER(MATCH(IF(LEN('USER INPUT SHEET'!rng_province)&gt;0,'USER INPUT SHEET'!rng_province,"Canada"),$AU374:$BD374,0))</f>
        <v>0</v>
      </c>
      <c r="AU374" s="1286"/>
      <c r="AV374" s="1286"/>
      <c r="AW374" s="1286"/>
      <c r="AX374" s="1286"/>
      <c r="AY374" s="1286"/>
      <c r="AZ374" s="1286"/>
      <c r="BA374" s="1286"/>
      <c r="BB374" s="1286"/>
      <c r="BC374" s="1286"/>
      <c r="BD374" s="1286"/>
    </row>
    <row r="375" spans="1:56" ht="15.75" customHeight="1" x14ac:dyDescent="0.3">
      <c r="A375" s="50" t="str">
        <f t="shared" si="54"/>
        <v>(ARCHIVED 2025) Window - double pane / Wood frame, aluminum cladding /  / EU</v>
      </c>
      <c r="B375" s="50" t="s">
        <v>4466</v>
      </c>
      <c r="E375" s="50" t="s">
        <v>686</v>
      </c>
      <c r="H375" s="50" t="s">
        <v>1379</v>
      </c>
      <c r="I375" s="53" t="s">
        <v>120</v>
      </c>
      <c r="K375" s="53">
        <v>97.4</v>
      </c>
      <c r="L375" s="53" t="s">
        <v>939</v>
      </c>
      <c r="M375" s="71">
        <f>(K375/1.82)</f>
        <v>53.516483516483518</v>
      </c>
      <c r="N375" s="51" t="s">
        <v>5</v>
      </c>
      <c r="O375" s="50" t="s">
        <v>941</v>
      </c>
      <c r="P375" s="53" t="s">
        <v>389</v>
      </c>
      <c r="Q375" s="367">
        <v>2019</v>
      </c>
      <c r="T375" s="53">
        <f>6/1.82</f>
        <v>3.2967032967032965</v>
      </c>
      <c r="U375" s="53" t="s">
        <v>940</v>
      </c>
      <c r="X375" s="180"/>
      <c r="Y375" s="53">
        <v>1</v>
      </c>
      <c r="Z375" s="53">
        <v>0.5</v>
      </c>
      <c r="AA375" s="78">
        <f>_xlfn.NUMBERVALUE(IF(LEN(AG375)&gt;0,AG375,0))</f>
        <v>0</v>
      </c>
      <c r="AB375" s="53" t="s">
        <v>5</v>
      </c>
      <c r="AC375" s="53">
        <v>1.26</v>
      </c>
      <c r="AD375" s="53">
        <f>T375*Y375*Z375</f>
        <v>1.6483516483516483</v>
      </c>
      <c r="AG375" s="82"/>
      <c r="AN375" s="53">
        <v>227</v>
      </c>
      <c r="AR375" s="264" t="str">
        <f ca="1">IF(LEN(Q375)=4,IF(Q375&lt;YEAR(NOW()),_xlfn.CONCAT(IF(LOWER(Setting!rng_language)="english","Expired ","Expiré "),Q375),""),"")</f>
        <v>Expired 2019</v>
      </c>
      <c r="AT375" s="53" t="b">
        <f>ISNUMBER(MATCH(IF(LEN('USER INPUT SHEET'!rng_province)&gt;0,'USER INPUT SHEET'!rng_province,"Canada"),$AU375:$BD375,0))</f>
        <v>0</v>
      </c>
      <c r="AU375" s="1286"/>
      <c r="AV375" s="1286"/>
      <c r="AW375" s="1286"/>
      <c r="AX375" s="1286"/>
      <c r="AY375" s="1286"/>
      <c r="AZ375" s="1286"/>
      <c r="BA375" s="1286"/>
      <c r="BB375" s="1286"/>
      <c r="BC375" s="1286"/>
      <c r="BD375" s="1286"/>
    </row>
    <row r="376" spans="1:56" ht="15.75" customHeight="1" x14ac:dyDescent="0.3">
      <c r="A376" s="50" t="str">
        <f t="shared" si="54"/>
        <v>Window - double pane / Wood frame, aluminum cladding /  / USA &amp; CAN</v>
      </c>
      <c r="B376" s="50" t="s">
        <v>682</v>
      </c>
      <c r="E376" s="50" t="s">
        <v>686</v>
      </c>
      <c r="H376" s="50" t="s">
        <v>1379</v>
      </c>
      <c r="I376" s="53" t="s">
        <v>124</v>
      </c>
      <c r="M376" s="70">
        <f>(99)</f>
        <v>99</v>
      </c>
      <c r="N376" s="51" t="s">
        <v>5</v>
      </c>
      <c r="O376" s="50" t="s">
        <v>1134</v>
      </c>
      <c r="P376" s="53" t="s">
        <v>1122</v>
      </c>
      <c r="Q376" s="367" t="s">
        <v>1772</v>
      </c>
      <c r="X376" s="180"/>
      <c r="AA376" s="78">
        <f t="shared" ref="AA376" si="55">_xlfn.NUMBERVALUE(IF(LEN(AG376)&gt;0,AG376,0))</f>
        <v>8.1404999999999994</v>
      </c>
      <c r="AB376" s="53" t="s">
        <v>5</v>
      </c>
      <c r="AF376" s="53">
        <v>9.0449999999999999</v>
      </c>
      <c r="AG376" s="81">
        <f>(AF376)*rng_biogenic_storage</f>
        <v>8.1404999999999994</v>
      </c>
      <c r="AH376" s="53" t="s">
        <v>3739</v>
      </c>
      <c r="AN376" s="53">
        <v>228</v>
      </c>
      <c r="AR376" s="265" t="s">
        <v>1134</v>
      </c>
      <c r="AT376" s="53" t="b">
        <f>ISNUMBER(MATCH(IF(LEN('USER INPUT SHEET'!rng_province)&gt;0,'USER INPUT SHEET'!rng_province,"Canada"),$AU376:$BD376,0))</f>
        <v>0</v>
      </c>
      <c r="AU376" s="1286"/>
      <c r="AV376" s="1286"/>
      <c r="AW376" s="1286"/>
      <c r="AX376" s="1286"/>
      <c r="AY376" s="1286"/>
      <c r="AZ376" s="1286"/>
      <c r="BA376" s="1286"/>
      <c r="BB376" s="1286"/>
      <c r="BC376" s="1286"/>
      <c r="BD376" s="1286"/>
    </row>
    <row r="377" spans="1:56" ht="15.75" customHeight="1" x14ac:dyDescent="0.3">
      <c r="A377" s="50" t="str">
        <f t="shared" si="54"/>
        <v>Window - triple pane / Fiberglass frame /  / USA &amp; CAN</v>
      </c>
      <c r="B377" s="50" t="s">
        <v>690</v>
      </c>
      <c r="E377" s="50" t="s">
        <v>683</v>
      </c>
      <c r="H377" s="50"/>
      <c r="I377" s="53" t="s">
        <v>124</v>
      </c>
      <c r="M377" s="71">
        <f>(127)</f>
        <v>127</v>
      </c>
      <c r="N377" s="51" t="s">
        <v>5</v>
      </c>
      <c r="O377" s="50" t="s">
        <v>1134</v>
      </c>
      <c r="P377" s="53" t="s">
        <v>1122</v>
      </c>
      <c r="Q377" s="367" t="s">
        <v>1772</v>
      </c>
      <c r="X377" s="180"/>
      <c r="AA377" s="78">
        <f t="shared" ref="AA377:AA380" si="56">_xlfn.NUMBERVALUE(IF(LEN(AG377)&gt;0,AG377,0))</f>
        <v>0</v>
      </c>
      <c r="AG377" s="82"/>
      <c r="AN377" s="53">
        <v>229</v>
      </c>
      <c r="AR377" s="265" t="s">
        <v>1134</v>
      </c>
      <c r="AT377" s="53" t="b">
        <f>ISNUMBER(MATCH(IF(LEN('USER INPUT SHEET'!rng_province)&gt;0,'USER INPUT SHEET'!rng_province,"Canada"),$AU377:$BD377,0))</f>
        <v>0</v>
      </c>
      <c r="AU377" s="1286"/>
      <c r="AV377" s="1286"/>
      <c r="AW377" s="1286"/>
      <c r="AX377" s="1286"/>
      <c r="AY377" s="1286"/>
      <c r="AZ377" s="1286"/>
      <c r="BA377" s="1286"/>
      <c r="BB377" s="1286"/>
      <c r="BC377" s="1286"/>
      <c r="BD377" s="1286"/>
    </row>
    <row r="378" spans="1:56" ht="15.75" customHeight="1" x14ac:dyDescent="0.3">
      <c r="A378" s="50" t="str">
        <f t="shared" si="54"/>
        <v>Window - triple pane / Vinyl frame /  / USA &amp; CAN</v>
      </c>
      <c r="B378" s="50" t="s">
        <v>690</v>
      </c>
      <c r="E378" s="50" t="s">
        <v>684</v>
      </c>
      <c r="H378" s="50"/>
      <c r="I378" s="53" t="s">
        <v>124</v>
      </c>
      <c r="M378" s="71">
        <f>(99)</f>
        <v>99</v>
      </c>
      <c r="N378" s="51" t="s">
        <v>5</v>
      </c>
      <c r="O378" s="50" t="s">
        <v>1134</v>
      </c>
      <c r="P378" s="53" t="s">
        <v>1122</v>
      </c>
      <c r="Q378" s="367" t="s">
        <v>1772</v>
      </c>
      <c r="X378" s="181"/>
      <c r="AA378" s="78">
        <f t="shared" si="56"/>
        <v>0</v>
      </c>
      <c r="AG378" s="82"/>
      <c r="AN378" s="53">
        <v>230</v>
      </c>
      <c r="AR378" s="265" t="s">
        <v>1134</v>
      </c>
      <c r="AT378" s="53" t="b">
        <f>ISNUMBER(MATCH(IF(LEN('USER INPUT SHEET'!rng_province)&gt;0,'USER INPUT SHEET'!rng_province,"Canada"),$AU378:$BD378,0))</f>
        <v>0</v>
      </c>
      <c r="AU378" s="1286"/>
      <c r="AV378" s="1286"/>
      <c r="AW378" s="1286"/>
      <c r="AX378" s="1286"/>
      <c r="AY378" s="1286"/>
      <c r="AZ378" s="1286"/>
      <c r="BA378" s="1286"/>
      <c r="BB378" s="1286"/>
      <c r="BC378" s="1286"/>
      <c r="BD378" s="1286"/>
    </row>
    <row r="379" spans="1:56" ht="15.75" customHeight="1" x14ac:dyDescent="0.3">
      <c r="A379" s="50" t="str">
        <f t="shared" si="54"/>
        <v>(ARCHIVED 2025) Window - triple pane / Wood frame /  / EU</v>
      </c>
      <c r="B379" s="50" t="s">
        <v>4467</v>
      </c>
      <c r="C379" s="50"/>
      <c r="E379" s="53" t="s">
        <v>685</v>
      </c>
      <c r="H379" s="50" t="s">
        <v>1379</v>
      </c>
      <c r="I379" s="53" t="s">
        <v>120</v>
      </c>
      <c r="K379" s="53">
        <v>115.19</v>
      </c>
      <c r="L379" s="53" t="s">
        <v>939</v>
      </c>
      <c r="M379" s="70">
        <f>(K379/1.82)</f>
        <v>63.291208791208788</v>
      </c>
      <c r="N379" s="51" t="s">
        <v>5</v>
      </c>
      <c r="O379" s="50" t="s">
        <v>938</v>
      </c>
      <c r="P379" s="53" t="s">
        <v>389</v>
      </c>
      <c r="Q379" s="367">
        <v>2019</v>
      </c>
      <c r="T379" s="58">
        <f>16.42/1.82</f>
        <v>9.0219780219780219</v>
      </c>
      <c r="U379" s="53" t="s">
        <v>940</v>
      </c>
      <c r="X379" s="180"/>
      <c r="Y379" s="53">
        <v>1</v>
      </c>
      <c r="Z379" s="53">
        <v>0.5</v>
      </c>
      <c r="AA379" s="78">
        <f t="shared" si="56"/>
        <v>0</v>
      </c>
      <c r="AB379" s="53" t="s">
        <v>5</v>
      </c>
      <c r="AC379" s="53">
        <v>1.26</v>
      </c>
      <c r="AD379" s="53">
        <f>T379*Y379*Z379</f>
        <v>4.5109890109890109</v>
      </c>
      <c r="AG379" s="81"/>
      <c r="AN379" s="53">
        <v>231</v>
      </c>
      <c r="AR379" s="264" t="str">
        <f ca="1">IF(LEN(Q379)=4,IF(Q379&lt;YEAR(NOW()),_xlfn.CONCAT(IF(LOWER(Setting!rng_language)="english","Expired ","Expiré "),Q379),""),"")</f>
        <v>Expired 2019</v>
      </c>
      <c r="AT379" s="53" t="b">
        <f>ISNUMBER(MATCH(IF(LEN('USER INPUT SHEET'!rng_province)&gt;0,'USER INPUT SHEET'!rng_province,"Canada"),$AU379:$BD379,0))</f>
        <v>0</v>
      </c>
      <c r="AU379" s="1286"/>
      <c r="AV379" s="1286"/>
      <c r="AW379" s="1286"/>
      <c r="AX379" s="1286"/>
      <c r="AY379" s="1286"/>
      <c r="AZ379" s="1286"/>
      <c r="BA379" s="1286"/>
      <c r="BB379" s="1286"/>
      <c r="BC379" s="1286"/>
      <c r="BD379" s="1286"/>
    </row>
    <row r="380" spans="1:56" ht="15.75" customHeight="1" x14ac:dyDescent="0.3">
      <c r="A380" s="50" t="str">
        <f t="shared" si="54"/>
        <v>Window - triple pane / Wood frame /  / USA &amp; CAN</v>
      </c>
      <c r="B380" s="50" t="s">
        <v>690</v>
      </c>
      <c r="E380" s="50" t="s">
        <v>685</v>
      </c>
      <c r="H380" s="50" t="s">
        <v>1379</v>
      </c>
      <c r="I380" s="53" t="s">
        <v>124</v>
      </c>
      <c r="M380" s="71">
        <f>(85)</f>
        <v>85</v>
      </c>
      <c r="N380" s="51" t="s">
        <v>5</v>
      </c>
      <c r="O380" s="50" t="s">
        <v>1134</v>
      </c>
      <c r="P380" s="53" t="s">
        <v>1122</v>
      </c>
      <c r="Q380" s="367" t="s">
        <v>1772</v>
      </c>
      <c r="X380" s="180"/>
      <c r="AA380" s="78">
        <f t="shared" si="56"/>
        <v>16.428599999999999</v>
      </c>
      <c r="AB380" s="53" t="s">
        <v>5</v>
      </c>
      <c r="AF380" s="53">
        <v>18.254000000000001</v>
      </c>
      <c r="AG380" s="82">
        <f>(AF380)*rng_biogenic_storage</f>
        <v>16.428600000000003</v>
      </c>
      <c r="AH380" s="53" t="s">
        <v>3739</v>
      </c>
      <c r="AN380" s="53">
        <v>232</v>
      </c>
      <c r="AR380" s="265" t="s">
        <v>1134</v>
      </c>
      <c r="AT380" s="53" t="b">
        <f>ISNUMBER(MATCH(IF(LEN('USER INPUT SHEET'!rng_province)&gt;0,'USER INPUT SHEET'!rng_province,"Canada"),$AU380:$BD380,0))</f>
        <v>0</v>
      </c>
      <c r="AU380" s="1286"/>
      <c r="AV380" s="1286"/>
      <c r="AW380" s="1286"/>
      <c r="AX380" s="1286"/>
      <c r="AY380" s="1286"/>
      <c r="AZ380" s="1286"/>
      <c r="BA380" s="1286"/>
      <c r="BB380" s="1286"/>
      <c r="BC380" s="1286"/>
      <c r="BD380" s="1286"/>
    </row>
    <row r="381" spans="1:56" ht="15.75" customHeight="1" x14ac:dyDescent="0.3">
      <c r="A381" s="50" t="str">
        <f t="shared" si="54"/>
        <v>(ARCHIVED 2025) Window - triple pane / Wood frame, aluminum cladding /  / EU</v>
      </c>
      <c r="B381" s="50" t="s">
        <v>4467</v>
      </c>
      <c r="C381" s="50"/>
      <c r="E381" s="50" t="s">
        <v>686</v>
      </c>
      <c r="H381" s="50" t="s">
        <v>1379</v>
      </c>
      <c r="I381" s="53" t="s">
        <v>120</v>
      </c>
      <c r="K381" s="53">
        <v>134.62</v>
      </c>
      <c r="L381" s="53" t="s">
        <v>939</v>
      </c>
      <c r="M381" s="71">
        <f>(K381/1.82)</f>
        <v>73.967032967032964</v>
      </c>
      <c r="N381" s="51" t="s">
        <v>5</v>
      </c>
      <c r="O381" s="50" t="s">
        <v>938</v>
      </c>
      <c r="P381" s="53" t="s">
        <v>389</v>
      </c>
      <c r="Q381" s="367">
        <v>2019</v>
      </c>
      <c r="T381" s="58">
        <f>16.42/1.82</f>
        <v>9.0219780219780219</v>
      </c>
      <c r="U381" s="53" t="s">
        <v>940</v>
      </c>
      <c r="X381" s="180"/>
      <c r="Y381" s="53">
        <v>1</v>
      </c>
      <c r="Z381" s="53">
        <v>0.5</v>
      </c>
      <c r="AA381" s="78">
        <f>_xlfn.NUMBERVALUE(IF(LEN(AG381)&gt;0,AG381,0))</f>
        <v>0</v>
      </c>
      <c r="AB381" s="53" t="s">
        <v>5</v>
      </c>
      <c r="AC381" s="53">
        <v>1.26</v>
      </c>
      <c r="AD381" s="53">
        <f>T381*Y381*Z381</f>
        <v>4.5109890109890109</v>
      </c>
      <c r="AG381" s="82"/>
      <c r="AN381" s="53">
        <v>233</v>
      </c>
      <c r="AR381" s="264" t="str">
        <f ca="1">IF(LEN(Q381)=4,IF(Q381&lt;YEAR(NOW()),_xlfn.CONCAT(IF(LOWER(Setting!rng_language)="english","Expired ","Expiré "),Q381),""),"")</f>
        <v>Expired 2019</v>
      </c>
      <c r="AT381" s="53" t="b">
        <f>ISNUMBER(MATCH(IF(LEN('USER INPUT SHEET'!rng_province)&gt;0,'USER INPUT SHEET'!rng_province,"Canada"),$AU381:$BD381,0))</f>
        <v>0</v>
      </c>
      <c r="AU381" s="1286"/>
      <c r="AV381" s="1286"/>
      <c r="AW381" s="1286"/>
      <c r="AX381" s="1286"/>
      <c r="AY381" s="1286"/>
      <c r="AZ381" s="1286"/>
      <c r="BA381" s="1286"/>
      <c r="BB381" s="1286"/>
      <c r="BC381" s="1286"/>
      <c r="BD381" s="1286"/>
    </row>
    <row r="382" spans="1:56" ht="15.75" customHeight="1" x14ac:dyDescent="0.3">
      <c r="A382" s="50" t="str">
        <f t="shared" si="54"/>
        <v>Window - triple pane / Wood frame, aluminum cladding /  / USA &amp; CAN</v>
      </c>
      <c r="B382" s="50" t="s">
        <v>690</v>
      </c>
      <c r="E382" s="50" t="s">
        <v>686</v>
      </c>
      <c r="H382" s="50" t="s">
        <v>1379</v>
      </c>
      <c r="I382" s="53" t="s">
        <v>124</v>
      </c>
      <c r="M382" s="70">
        <f>(112)</f>
        <v>112</v>
      </c>
      <c r="N382" s="51" t="s">
        <v>5</v>
      </c>
      <c r="O382" s="50" t="s">
        <v>1134</v>
      </c>
      <c r="P382" s="53" t="s">
        <v>1122</v>
      </c>
      <c r="Q382" s="367" t="s">
        <v>1772</v>
      </c>
      <c r="X382" s="180"/>
      <c r="AA382" s="78">
        <f t="shared" ref="AA382" si="57">_xlfn.NUMBERVALUE(IF(LEN(AG382)&gt;0,AG382,0))</f>
        <v>8.1404999999999994</v>
      </c>
      <c r="AB382" s="53" t="s">
        <v>5</v>
      </c>
      <c r="AF382" s="53">
        <v>9.0449999999999999</v>
      </c>
      <c r="AG382" s="81">
        <f>(AF382)*rng_biogenic_storage</f>
        <v>8.1404999999999994</v>
      </c>
      <c r="AH382" s="53" t="s">
        <v>3739</v>
      </c>
      <c r="AN382" s="53">
        <v>234</v>
      </c>
      <c r="AR382" s="265" t="s">
        <v>1134</v>
      </c>
      <c r="AT382" s="53" t="b">
        <f>ISNUMBER(MATCH(IF(LEN('USER INPUT SHEET'!rng_province)&gt;0,'USER INPUT SHEET'!rng_province,"Canada"),$AU382:$BD382,0))</f>
        <v>0</v>
      </c>
      <c r="AU382" s="1286"/>
      <c r="AV382" s="1286"/>
      <c r="AW382" s="1286"/>
      <c r="AX382" s="1286"/>
      <c r="AY382" s="1286"/>
      <c r="AZ382" s="1286"/>
      <c r="BA382" s="1286"/>
      <c r="BB382" s="1286"/>
      <c r="BC382" s="1286"/>
      <c r="BD382" s="1286"/>
    </row>
    <row r="383" spans="1:56" ht="15.75" customHeight="1" x14ac:dyDescent="0.3">
      <c r="A383" s="50" t="str">
        <f t="shared" si="27"/>
        <v>(ARCHIVED 2025) Wood chip cement ICF / Isospan / Okopur / NEEDS REVIEW</v>
      </c>
      <c r="B383" s="50" t="s">
        <v>4468</v>
      </c>
      <c r="C383" s="50" t="s">
        <v>692</v>
      </c>
      <c r="D383" s="50" t="s">
        <v>693</v>
      </c>
      <c r="E383" s="53" t="s">
        <v>1377</v>
      </c>
      <c r="H383" s="50" t="s">
        <v>694</v>
      </c>
      <c r="I383" s="50" t="s">
        <v>120</v>
      </c>
      <c r="J383" s="51"/>
      <c r="K383" s="51">
        <v>-52.1</v>
      </c>
      <c r="L383" s="50" t="s">
        <v>5</v>
      </c>
      <c r="M383" s="71">
        <f>(K383--AA383)</f>
        <v>16.280125000000005</v>
      </c>
      <c r="N383" s="50" t="s">
        <v>5</v>
      </c>
      <c r="O383" s="50" t="s">
        <v>695</v>
      </c>
      <c r="P383" s="50" t="s">
        <v>696</v>
      </c>
      <c r="Q383" s="172">
        <v>2022</v>
      </c>
      <c r="R383" s="50">
        <v>550</v>
      </c>
      <c r="S383" s="50" t="s">
        <v>121</v>
      </c>
      <c r="T383" s="50">
        <v>75.349999999999994</v>
      </c>
      <c r="U383" s="50" t="s">
        <v>702</v>
      </c>
      <c r="V383" s="53" t="s">
        <v>1382</v>
      </c>
      <c r="Y383" s="53">
        <v>0.55000000000000004</v>
      </c>
      <c r="Z383" s="53">
        <v>0.5</v>
      </c>
      <c r="AA383" s="83">
        <f>(44/12*AD383)*rng_biogenic_storage</f>
        <v>68.380125000000007</v>
      </c>
      <c r="AB383" s="53" t="s">
        <v>5</v>
      </c>
      <c r="AC383" s="53">
        <v>1.84</v>
      </c>
      <c r="AD383" s="53">
        <f>T383*Y383*Z383</f>
        <v>20.721250000000001</v>
      </c>
      <c r="AF383" s="53">
        <f>AD383*44/12</f>
        <v>75.977916666666673</v>
      </c>
      <c r="AG383" s="83"/>
      <c r="AI383" s="165">
        <v>0.36499999999999999</v>
      </c>
      <c r="AJ383" s="165">
        <v>1.25</v>
      </c>
      <c r="AK383" s="165">
        <v>0.25</v>
      </c>
      <c r="AN383" s="53">
        <v>235</v>
      </c>
      <c r="AR383" s="264" t="str">
        <f ca="1">IF(LEN(Q383)=4,IF(Q383&lt;YEAR(NOW()),_xlfn.CONCAT(IF(LOWER(Setting!rng_language)="english","Expired ","Expiré "),Q383),""),"")</f>
        <v>Expired 2022</v>
      </c>
      <c r="AT383" s="53" t="b">
        <f>ISNUMBER(MATCH(IF(LEN('USER INPUT SHEET'!rng_province)&gt;0,'USER INPUT SHEET'!rng_province,"Canada"),$AU383:$BD383,0))</f>
        <v>0</v>
      </c>
      <c r="AU383" s="1286"/>
      <c r="AV383" s="1286"/>
      <c r="AW383" s="1286"/>
      <c r="AX383" s="1286"/>
      <c r="AY383" s="1286"/>
      <c r="AZ383" s="1286"/>
      <c r="BA383" s="1286"/>
      <c r="BB383" s="1286"/>
      <c r="BC383" s="1286"/>
      <c r="BD383" s="1286"/>
    </row>
    <row r="384" spans="1:56" ht="15.75" customHeight="1" x14ac:dyDescent="0.3">
      <c r="A384" s="50" t="str">
        <f t="shared" si="27"/>
        <v>Wood chip cement ICF / Nexcem, Faswall /  / 12" R22 block</v>
      </c>
      <c r="B384" s="50" t="s">
        <v>691</v>
      </c>
      <c r="C384" s="53" t="s">
        <v>697</v>
      </c>
      <c r="E384" s="50" t="s">
        <v>698</v>
      </c>
      <c r="H384" s="50"/>
      <c r="I384" s="53" t="s">
        <v>124</v>
      </c>
      <c r="J384" s="227">
        <v>44274</v>
      </c>
      <c r="K384" s="53">
        <f>410-317</f>
        <v>93</v>
      </c>
      <c r="L384" s="53" t="s">
        <v>3</v>
      </c>
      <c r="M384" s="71">
        <f>(410*$T384)</f>
        <v>76.12811805233197</v>
      </c>
      <c r="N384" s="50" t="s">
        <v>5</v>
      </c>
      <c r="O384" s="50" t="s">
        <v>699</v>
      </c>
      <c r="P384" s="53" t="s">
        <v>700</v>
      </c>
      <c r="Q384" s="367" t="s">
        <v>1772</v>
      </c>
      <c r="R384" s="53">
        <v>550</v>
      </c>
      <c r="S384" s="53" t="s">
        <v>121</v>
      </c>
      <c r="T384" s="228">
        <f>19/R384*AM384</f>
        <v>0.18567833671300482</v>
      </c>
      <c r="U384" s="53" t="s">
        <v>880</v>
      </c>
      <c r="V384" s="53" t="s">
        <v>1380</v>
      </c>
      <c r="W384" s="53">
        <v>8.3000000000000004E-2</v>
      </c>
      <c r="X384" s="53" t="s">
        <v>136</v>
      </c>
      <c r="Y384" s="58">
        <v>0.7</v>
      </c>
      <c r="Z384" s="53">
        <v>0.52400000000000002</v>
      </c>
      <c r="AA384" s="81">
        <f>(317*T384)*rng_biogenic_storage</f>
        <v>52.974029464220273</v>
      </c>
      <c r="AB384" s="53" t="s">
        <v>5</v>
      </c>
      <c r="AG384" s="81"/>
      <c r="AI384" s="165">
        <v>0.30499999999999999</v>
      </c>
      <c r="AJ384" s="165">
        <v>0.61</v>
      </c>
      <c r="AK384" s="165">
        <v>0.30499999999999999</v>
      </c>
      <c r="AL384" s="228"/>
      <c r="AM384" s="61">
        <f>1/(AI384*AJ384)</f>
        <v>5.3748992206396133</v>
      </c>
      <c r="AN384" s="53">
        <v>236</v>
      </c>
      <c r="AR384" s="264" t="s">
        <v>1405</v>
      </c>
      <c r="AT384" s="53" t="b">
        <f>ISNUMBER(MATCH(IF(LEN('USER INPUT SHEET'!rng_province)&gt;0,'USER INPUT SHEET'!rng_province,"Canada"),$AU384:$BD384,0))</f>
        <v>0</v>
      </c>
      <c r="AU384" s="1286"/>
      <c r="AV384" s="1286"/>
      <c r="AW384" s="1286"/>
      <c r="AX384" s="1286"/>
      <c r="AY384" s="1286"/>
      <c r="AZ384" s="1286"/>
      <c r="BA384" s="1286"/>
      <c r="BB384" s="1286"/>
      <c r="BC384" s="1286"/>
      <c r="BD384" s="1286"/>
    </row>
    <row r="385" spans="1:56" ht="15.75" customHeight="1" x14ac:dyDescent="0.3">
      <c r="A385" s="50" t="str">
        <f t="shared" si="27"/>
        <v>Wood chip cement ICF / Nexcem, Faswall /  / 14" R28 block</v>
      </c>
      <c r="B385" s="50" t="s">
        <v>691</v>
      </c>
      <c r="C385" s="53" t="s">
        <v>697</v>
      </c>
      <c r="E385" s="50" t="s">
        <v>701</v>
      </c>
      <c r="H385" s="50"/>
      <c r="I385" s="53" t="s">
        <v>124</v>
      </c>
      <c r="J385" s="227">
        <v>44274</v>
      </c>
      <c r="K385" s="53">
        <f>410-317</f>
        <v>93</v>
      </c>
      <c r="L385" s="53" t="s">
        <v>3</v>
      </c>
      <c r="M385" s="71">
        <f>(410*T385)</f>
        <v>84.141604163103764</v>
      </c>
      <c r="N385" s="50" t="s">
        <v>5</v>
      </c>
      <c r="O385" s="50" t="s">
        <v>699</v>
      </c>
      <c r="P385" s="53" t="s">
        <v>700</v>
      </c>
      <c r="Q385" s="367" t="s">
        <v>1772</v>
      </c>
      <c r="R385" s="53">
        <v>550</v>
      </c>
      <c r="S385" s="53" t="s">
        <v>121</v>
      </c>
      <c r="T385" s="228">
        <f>21/R385*AM385</f>
        <v>0.20522342478805797</v>
      </c>
      <c r="U385" s="53" t="s">
        <v>880</v>
      </c>
      <c r="V385" s="53" t="s">
        <v>1381</v>
      </c>
      <c r="W385" s="53">
        <v>8.3000000000000004E-2</v>
      </c>
      <c r="X385" s="53" t="s">
        <v>136</v>
      </c>
      <c r="Y385" s="58">
        <v>0.7</v>
      </c>
      <c r="Z385" s="53">
        <v>0.52400000000000002</v>
      </c>
      <c r="AA385" s="81">
        <f>(317*T385)*rng_biogenic_storage</f>
        <v>58.550243092032943</v>
      </c>
      <c r="AB385" s="53" t="s">
        <v>5</v>
      </c>
      <c r="AG385" s="81"/>
      <c r="AI385" s="165">
        <v>0.30499999999999999</v>
      </c>
      <c r="AJ385" s="165">
        <v>0.61</v>
      </c>
      <c r="AK385" s="165">
        <v>0.36</v>
      </c>
      <c r="AL385" s="228"/>
      <c r="AM385" s="61">
        <f>1/(AI385*AJ385)</f>
        <v>5.3748992206396133</v>
      </c>
      <c r="AN385" s="53">
        <v>237</v>
      </c>
      <c r="AR385" s="264" t="s">
        <v>1405</v>
      </c>
      <c r="AT385" s="53" t="b">
        <f>ISNUMBER(MATCH(IF(LEN('USER INPUT SHEET'!rng_province)&gt;0,'USER INPUT SHEET'!rng_province,"Canada"),$AU385:$BD385,0))</f>
        <v>0</v>
      </c>
      <c r="AU385" s="1286"/>
      <c r="AV385" s="1286"/>
      <c r="AW385" s="1286"/>
      <c r="AX385" s="1286"/>
      <c r="AY385" s="1286"/>
      <c r="AZ385" s="1286"/>
      <c r="BA385" s="1286"/>
      <c r="BB385" s="1286"/>
      <c r="BC385" s="1286"/>
      <c r="BD385" s="1286"/>
    </row>
    <row r="386" spans="1:56" ht="15.75" customHeight="1" x14ac:dyDescent="0.3">
      <c r="A386" s="50" t="str">
        <f t="shared" si="27"/>
        <v>Wood fiber - loose fill / GUTEX / ThermoFiber / R 3.6/inch</v>
      </c>
      <c r="B386" s="50" t="s">
        <v>1378</v>
      </c>
      <c r="C386" s="53" t="s">
        <v>703</v>
      </c>
      <c r="D386" s="53" t="s">
        <v>704</v>
      </c>
      <c r="E386" s="50" t="s">
        <v>204</v>
      </c>
      <c r="H386" s="50" t="s">
        <v>3537</v>
      </c>
      <c r="J386" s="358">
        <v>44983</v>
      </c>
      <c r="K386" s="58">
        <v>-1.14483</v>
      </c>
      <c r="L386" s="53" t="s">
        <v>841</v>
      </c>
      <c r="M386" s="70">
        <v>0.5917380000000001</v>
      </c>
      <c r="N386" s="50" t="s">
        <v>3516</v>
      </c>
      <c r="O386" s="50" t="s">
        <v>3538</v>
      </c>
      <c r="P386" s="53" t="s">
        <v>122</v>
      </c>
      <c r="Q386" s="367">
        <v>2024</v>
      </c>
      <c r="R386" s="53">
        <v>35</v>
      </c>
      <c r="S386" s="53" t="s">
        <v>121</v>
      </c>
      <c r="T386" s="60">
        <f t="shared" ref="T386" si="58">R386*W386</f>
        <v>1.4000000000000001</v>
      </c>
      <c r="U386" s="53" t="s">
        <v>3539</v>
      </c>
      <c r="V386" s="60">
        <f t="shared" ref="V386" si="59">0.0254*5.678/W386</f>
        <v>3.6055299999999999</v>
      </c>
      <c r="W386" s="61">
        <v>0.04</v>
      </c>
      <c r="Y386" s="58">
        <v>0.95</v>
      </c>
      <c r="Z386" s="53">
        <v>0.5</v>
      </c>
      <c r="AA386" s="81">
        <f>(AF386)*rng_biogenic_storage</f>
        <v>2.1945000000000001</v>
      </c>
      <c r="AB386" s="53" t="s">
        <v>838</v>
      </c>
      <c r="AD386" s="53">
        <f t="shared" ref="AD386" si="60">T386*Y386*Z386</f>
        <v>0.66500000000000004</v>
      </c>
      <c r="AF386" s="53">
        <f t="shared" ref="AF386" si="61">AD386*44/12</f>
        <v>2.4383333333333335</v>
      </c>
      <c r="AG386" s="81"/>
      <c r="AL386" s="228"/>
      <c r="AM386" s="61"/>
      <c r="AN386" s="53">
        <v>238</v>
      </c>
      <c r="AR386" s="264" t="str">
        <f ca="1">IF(LEN(Q386)=4,IF(Q386&lt;YEAR(NOW()),_xlfn.CONCAT(IF(LOWER(Setting!rng_language)="english","Expired ","Expiré "),Q386),""),"")</f>
        <v>Expired 2024</v>
      </c>
      <c r="AT386" s="53" t="b">
        <f>ISNUMBER(MATCH(IF(LEN('USER INPUT SHEET'!rng_province)&gt;0,'USER INPUT SHEET'!rng_province,"Canada"),$AU386:$BD386,0))</f>
        <v>0</v>
      </c>
      <c r="AU386" s="1286"/>
      <c r="AV386" s="1286"/>
      <c r="AW386" s="1286"/>
      <c r="AX386" s="1286"/>
      <c r="AY386" s="1286"/>
      <c r="AZ386" s="1286"/>
      <c r="BA386" s="1286"/>
      <c r="BB386" s="1286"/>
      <c r="BC386" s="1286"/>
      <c r="BD386" s="1286"/>
    </row>
    <row r="387" spans="1:56" ht="15.75" customHeight="1" x14ac:dyDescent="0.3">
      <c r="A387" s="50" t="str">
        <f t="shared" si="27"/>
        <v>(ARCHIVED 2023) Wood fiber - loose fill / GUTEX / ThermoFiber / R 3.6/inch</v>
      </c>
      <c r="B387" s="50" t="s">
        <v>3773</v>
      </c>
      <c r="C387" s="50" t="s">
        <v>703</v>
      </c>
      <c r="D387" s="50" t="s">
        <v>704</v>
      </c>
      <c r="E387" s="50" t="s">
        <v>204</v>
      </c>
      <c r="H387" s="50"/>
      <c r="I387" s="50" t="s">
        <v>120</v>
      </c>
      <c r="J387" s="50"/>
      <c r="K387" s="51">
        <v>-43.2</v>
      </c>
      <c r="L387" s="51" t="s">
        <v>3</v>
      </c>
      <c r="M387" s="71">
        <f>((K387*W387)--AF387)</f>
        <v>0.60319999999999974</v>
      </c>
      <c r="N387" s="51" t="s">
        <v>838</v>
      </c>
      <c r="O387" s="53" t="s">
        <v>705</v>
      </c>
      <c r="P387" s="50" t="s">
        <v>122</v>
      </c>
      <c r="Q387" s="367">
        <v>2020</v>
      </c>
      <c r="R387" s="53">
        <v>32</v>
      </c>
      <c r="S387" s="53" t="s">
        <v>121</v>
      </c>
      <c r="T387" s="49">
        <f t="shared" ref="T387:T400" si="62">R387*W387</f>
        <v>1.248</v>
      </c>
      <c r="U387" s="49" t="s">
        <v>303</v>
      </c>
      <c r="W387" s="53">
        <v>3.9E-2</v>
      </c>
      <c r="X387" s="49" t="s">
        <v>136</v>
      </c>
      <c r="Y387" s="53">
        <v>1</v>
      </c>
      <c r="Z387" s="53">
        <v>0.5</v>
      </c>
      <c r="AA387" s="83">
        <f t="shared" ref="AA387:AA400" si="63">(AF387)*rng_biogenic_storage</f>
        <v>2.0591999999999997</v>
      </c>
      <c r="AB387" s="50" t="s">
        <v>838</v>
      </c>
      <c r="AD387" s="53">
        <f t="shared" ref="AD387:AD395" si="64">T387*Y387*Z387</f>
        <v>0.624</v>
      </c>
      <c r="AF387" s="53">
        <f>AD387*44/12</f>
        <v>2.2879999999999998</v>
      </c>
      <c r="AG387" s="83"/>
      <c r="AN387" s="53" t="s">
        <v>3801</v>
      </c>
      <c r="AR387" s="264" t="str">
        <f ca="1">IF(LEN(Q387)=4,IF(Q387&lt;YEAR(NOW()),_xlfn.CONCAT(IF(LOWER(Setting!rng_language)="english","Expired ","Expiré "),Q387),""),"")</f>
        <v>Expired 2020</v>
      </c>
      <c r="AT387" s="53" t="b">
        <f>ISNUMBER(MATCH(IF(LEN('USER INPUT SHEET'!rng_province)&gt;0,'USER INPUT SHEET'!rng_province,"Canada"),$AU387:$BD387,0))</f>
        <v>0</v>
      </c>
      <c r="AU387" s="1289"/>
      <c r="AV387" s="1289"/>
      <c r="AW387" s="1289"/>
      <c r="AX387" s="1289"/>
      <c r="AY387" s="1289"/>
      <c r="AZ387" s="1289"/>
      <c r="BA387" s="1289"/>
      <c r="BB387" s="1289"/>
      <c r="BC387" s="1289"/>
      <c r="BD387" s="1289"/>
    </row>
    <row r="388" spans="1:56" ht="15.75" customHeight="1" x14ac:dyDescent="0.3">
      <c r="A388" s="50" t="str">
        <f t="shared" si="27"/>
        <v>(ARCHIVED 2025) Wood fiber batt / GUTEX / ThermoFlex / R 4/inch</v>
      </c>
      <c r="B388" s="50" t="s">
        <v>4469</v>
      </c>
      <c r="C388" s="50" t="s">
        <v>703</v>
      </c>
      <c r="D388" s="50" t="s">
        <v>707</v>
      </c>
      <c r="E388" s="50" t="s">
        <v>3454</v>
      </c>
      <c r="H388" s="50"/>
      <c r="I388" s="50" t="s">
        <v>120</v>
      </c>
      <c r="J388" s="50"/>
      <c r="K388" s="51">
        <v>-67.5</v>
      </c>
      <c r="L388" s="51" t="s">
        <v>3</v>
      </c>
      <c r="M388" s="71">
        <f>((K388*W388)--AF388)</f>
        <v>0.375</v>
      </c>
      <c r="N388" s="51" t="s">
        <v>838</v>
      </c>
      <c r="O388" s="53" t="s">
        <v>708</v>
      </c>
      <c r="P388" s="50" t="s">
        <v>122</v>
      </c>
      <c r="Q388" s="367">
        <v>2023</v>
      </c>
      <c r="R388" s="53">
        <v>50</v>
      </c>
      <c r="S388" s="53" t="s">
        <v>121</v>
      </c>
      <c r="T388" s="49">
        <f t="shared" si="62"/>
        <v>1.7999999999999998</v>
      </c>
      <c r="U388" s="49" t="s">
        <v>303</v>
      </c>
      <c r="V388" s="53">
        <v>4</v>
      </c>
      <c r="W388" s="53">
        <v>3.5999999999999997E-2</v>
      </c>
      <c r="X388" s="53" t="s">
        <v>136</v>
      </c>
      <c r="Y388" s="53">
        <v>0.85</v>
      </c>
      <c r="Z388" s="53">
        <v>0.5</v>
      </c>
      <c r="AA388" s="83">
        <f t="shared" si="63"/>
        <v>2.5244999999999997</v>
      </c>
      <c r="AB388" s="50" t="s">
        <v>838</v>
      </c>
      <c r="AD388" s="53">
        <f t="shared" si="64"/>
        <v>0.7649999999999999</v>
      </c>
      <c r="AF388" s="53">
        <f>AD388*44/12</f>
        <v>2.8049999999999997</v>
      </c>
      <c r="AG388" s="83"/>
      <c r="AN388" s="53">
        <v>239</v>
      </c>
      <c r="AR388" s="264" t="str">
        <f ca="1">IF(LEN(Q388)=4,IF(Q388&lt;YEAR(NOW()),_xlfn.CONCAT(IF(LOWER(Setting!rng_language)="english","Expired ","Expiré "),Q388),""),"")</f>
        <v>Expired 2023</v>
      </c>
      <c r="AT388" s="53" t="b">
        <f>ISNUMBER(MATCH(IF(LEN('USER INPUT SHEET'!rng_province)&gt;0,'USER INPUT SHEET'!rng_province,"Canada"),$AU388:$BD388,0))</f>
        <v>0</v>
      </c>
      <c r="AU388" s="1291"/>
      <c r="AV388" s="1291"/>
      <c r="AW388" s="1291"/>
      <c r="AX388" s="1291"/>
      <c r="AY388" s="1291"/>
      <c r="AZ388" s="1291"/>
      <c r="BA388" s="1291"/>
      <c r="BB388" s="1291"/>
      <c r="BC388" s="1291"/>
      <c r="BD388" s="1291"/>
    </row>
    <row r="389" spans="1:56" ht="15.75" customHeight="1" x14ac:dyDescent="0.3">
      <c r="A389" s="51" t="str">
        <f t="shared" si="27"/>
        <v>(ARCHIVED 2025) Wood fiber batt / Pavatex / Pavaflex / R 3.8/inch</v>
      </c>
      <c r="B389" s="51" t="s">
        <v>4469</v>
      </c>
      <c r="C389" s="51" t="s">
        <v>709</v>
      </c>
      <c r="D389" s="51" t="s">
        <v>710</v>
      </c>
      <c r="E389" s="51" t="s">
        <v>506</v>
      </c>
      <c r="F389" s="49"/>
      <c r="G389" s="49"/>
      <c r="H389" s="51"/>
      <c r="I389" s="51" t="s">
        <v>120</v>
      </c>
      <c r="J389" s="51"/>
      <c r="K389" s="51">
        <v>1.63</v>
      </c>
      <c r="L389" s="51" t="s">
        <v>3</v>
      </c>
      <c r="M389" s="71">
        <f>(K389*W389)</f>
        <v>6.1939999999999995E-2</v>
      </c>
      <c r="N389" s="51" t="s">
        <v>838</v>
      </c>
      <c r="O389" s="49" t="s">
        <v>711</v>
      </c>
      <c r="P389" s="49" t="s">
        <v>122</v>
      </c>
      <c r="Q389" s="368">
        <v>2019</v>
      </c>
      <c r="R389" s="49">
        <v>55</v>
      </c>
      <c r="S389" s="49" t="s">
        <v>121</v>
      </c>
      <c r="T389" s="49">
        <f t="shared" si="62"/>
        <v>2.09</v>
      </c>
      <c r="U389" s="49" t="s">
        <v>303</v>
      </c>
      <c r="V389" s="49">
        <v>3.8</v>
      </c>
      <c r="W389" s="49">
        <v>3.7999999999999999E-2</v>
      </c>
      <c r="X389" s="49" t="s">
        <v>136</v>
      </c>
      <c r="Y389" s="49">
        <v>0.82499999999999996</v>
      </c>
      <c r="Z389" s="49">
        <v>0.5</v>
      </c>
      <c r="AA389" s="83">
        <f t="shared" si="63"/>
        <v>2.8450124999999997</v>
      </c>
      <c r="AB389" s="50" t="s">
        <v>838</v>
      </c>
      <c r="AD389" s="53">
        <f t="shared" si="64"/>
        <v>0.86212499999999992</v>
      </c>
      <c r="AF389" s="53">
        <f>AD389*44/12</f>
        <v>3.1611249999999997</v>
      </c>
      <c r="AG389" s="83"/>
      <c r="AI389" s="171"/>
      <c r="AJ389" s="171"/>
      <c r="AK389" s="171"/>
      <c r="AL389" s="49"/>
      <c r="AN389" s="53">
        <v>240</v>
      </c>
      <c r="AR389" s="264" t="str">
        <f ca="1">IF(LEN(Q389)=4,IF(Q389&lt;YEAR(NOW()),_xlfn.CONCAT(IF(LOWER(Setting!rng_language)="english","Expired ","Expiré "),Q389),""),"")</f>
        <v>Expired 2019</v>
      </c>
      <c r="AT389" s="53" t="b">
        <f>ISNUMBER(MATCH(IF(LEN('USER INPUT SHEET'!rng_province)&gt;0,'USER INPUT SHEET'!rng_province,"Canada"),$AU389:$BD389,0))</f>
        <v>0</v>
      </c>
      <c r="AU389" s="1286"/>
      <c r="AV389" s="1286"/>
      <c r="AW389" s="1286"/>
      <c r="AX389" s="1286"/>
      <c r="AY389" s="1286"/>
      <c r="AZ389" s="1286"/>
      <c r="BA389" s="1286"/>
      <c r="BB389" s="1286"/>
      <c r="BC389" s="1286"/>
      <c r="BD389" s="1286"/>
    </row>
    <row r="390" spans="1:56" ht="15.75" customHeight="1" x14ac:dyDescent="0.3">
      <c r="A390" s="50" t="str">
        <f t="shared" si="27"/>
        <v>(ARCHIVED 2025) Wood fiber batt / Steico / SteicoFlex / R 3.8/inch</v>
      </c>
      <c r="B390" s="50" t="s">
        <v>4469</v>
      </c>
      <c r="C390" s="50" t="s">
        <v>712</v>
      </c>
      <c r="D390" s="50" t="s">
        <v>713</v>
      </c>
      <c r="E390" s="50" t="s">
        <v>506</v>
      </c>
      <c r="H390" s="50"/>
      <c r="I390" s="50" t="s">
        <v>120</v>
      </c>
      <c r="J390" s="50"/>
      <c r="K390" s="51">
        <v>-70.16</v>
      </c>
      <c r="L390" s="51" t="s">
        <v>3</v>
      </c>
      <c r="M390" s="71">
        <f>((K390*W390)--AF390)</f>
        <v>0.43756999999999957</v>
      </c>
      <c r="N390" s="51" t="s">
        <v>838</v>
      </c>
      <c r="O390" s="53" t="s">
        <v>714</v>
      </c>
      <c r="P390" s="50" t="s">
        <v>122</v>
      </c>
      <c r="Q390" s="367">
        <v>2021</v>
      </c>
      <c r="R390" s="53">
        <v>50</v>
      </c>
      <c r="S390" s="53" t="s">
        <v>121</v>
      </c>
      <c r="T390" s="49">
        <f t="shared" si="62"/>
        <v>1.9</v>
      </c>
      <c r="U390" s="49" t="s">
        <v>303</v>
      </c>
      <c r="W390" s="53">
        <v>3.7999999999999999E-2</v>
      </c>
      <c r="X390" s="49" t="s">
        <v>136</v>
      </c>
      <c r="Y390" s="53">
        <v>0.89100000000000001</v>
      </c>
      <c r="Z390" s="53">
        <v>0.5</v>
      </c>
      <c r="AA390" s="83">
        <f t="shared" si="63"/>
        <v>2.7932849999999996</v>
      </c>
      <c r="AB390" s="50" t="s">
        <v>838</v>
      </c>
      <c r="AD390" s="53">
        <f t="shared" si="64"/>
        <v>0.84644999999999992</v>
      </c>
      <c r="AF390" s="53">
        <f>AD390*44/12</f>
        <v>3.1036499999999996</v>
      </c>
      <c r="AG390" s="83"/>
      <c r="AN390" s="53">
        <v>241</v>
      </c>
      <c r="AR390" s="264" t="str">
        <f ca="1">IF(LEN(Q390)=4,IF(Q390&lt;YEAR(NOW()),_xlfn.CONCAT(IF(LOWER(Setting!rng_language)="english","Expired ","Expiré "),Q390),""),"")</f>
        <v>Expired 2021</v>
      </c>
      <c r="AT390" s="53" t="b">
        <f>ISNUMBER(MATCH(IF(LEN('USER INPUT SHEET'!rng_province)&gt;0,'USER INPUT SHEET'!rng_province,"Canada"),$AU390:$BD390,0))</f>
        <v>0</v>
      </c>
      <c r="AU390" s="1286"/>
      <c r="AV390" s="1286"/>
      <c r="AW390" s="1286"/>
      <c r="AX390" s="1286"/>
      <c r="AY390" s="1286"/>
      <c r="AZ390" s="1286"/>
      <c r="BA390" s="1286"/>
      <c r="BB390" s="1286"/>
      <c r="BC390" s="1286"/>
      <c r="BD390" s="1286"/>
    </row>
    <row r="391" spans="1:56" ht="15.75" customHeight="1" x14ac:dyDescent="0.3">
      <c r="A391" s="50" t="str">
        <f t="shared" si="27"/>
        <v>Wood fiber batt / Steico / SteicoFlex / R 3.8/inch</v>
      </c>
      <c r="B391" s="50" t="s">
        <v>706</v>
      </c>
      <c r="C391" s="50" t="s">
        <v>712</v>
      </c>
      <c r="D391" s="50" t="s">
        <v>713</v>
      </c>
      <c r="E391" s="50" t="s">
        <v>506</v>
      </c>
      <c r="H391" s="50"/>
      <c r="I391" s="50"/>
      <c r="J391" s="401">
        <v>45329</v>
      </c>
      <c r="K391" s="55">
        <v>-28.27</v>
      </c>
      <c r="L391" s="55" t="s">
        <v>3</v>
      </c>
      <c r="M391" s="70">
        <v>1.9958790844473684</v>
      </c>
      <c r="N391" s="55" t="s">
        <v>3516</v>
      </c>
      <c r="O391" s="53" t="s">
        <v>714</v>
      </c>
      <c r="P391" s="50" t="s">
        <v>122</v>
      </c>
      <c r="Q391" s="367">
        <v>2025</v>
      </c>
      <c r="R391" s="53">
        <v>55</v>
      </c>
      <c r="S391" s="53" t="s">
        <v>121</v>
      </c>
      <c r="T391" s="52">
        <v>2.0874121052631578</v>
      </c>
      <c r="U391" s="52" t="s">
        <v>3539</v>
      </c>
      <c r="V391" s="53">
        <v>3.8</v>
      </c>
      <c r="W391" s="53">
        <v>3.7952947368421051E-2</v>
      </c>
      <c r="X391" s="52"/>
      <c r="Y391" s="53">
        <v>0.89100000000000001</v>
      </c>
      <c r="Z391" s="53">
        <v>0.5</v>
      </c>
      <c r="AA391" s="83">
        <f>(AF391)*rng_biogenic_storage</f>
        <v>3.0688089065526314</v>
      </c>
      <c r="AB391" s="50" t="s">
        <v>3516</v>
      </c>
      <c r="AD391" s="53">
        <f t="shared" si="64"/>
        <v>0.92994209289473684</v>
      </c>
      <c r="AF391" s="53">
        <f t="shared" ref="AF391" si="65">AD391*44/12</f>
        <v>3.4097876739473683</v>
      </c>
      <c r="AG391" s="83"/>
      <c r="AH391" s="53">
        <v>0.84644999999999992</v>
      </c>
      <c r="AN391" s="53" t="s">
        <v>3993</v>
      </c>
      <c r="AT391" s="53" t="b">
        <f>ISNUMBER(MATCH(IF(LEN('USER INPUT SHEET'!rng_province)&gt;0,'USER INPUT SHEET'!rng_province,"Canada"),$AU391:$BD391,0))</f>
        <v>0</v>
      </c>
      <c r="AU391" s="1286"/>
      <c r="AV391" s="1286"/>
      <c r="AW391" s="1286"/>
      <c r="AX391" s="1286"/>
      <c r="AY391" s="1286"/>
      <c r="AZ391" s="1286"/>
      <c r="BA391" s="1286"/>
      <c r="BB391" s="1286"/>
      <c r="BC391" s="1286"/>
      <c r="BD391" s="1286"/>
    </row>
    <row r="392" spans="1:56" ht="15.75" customHeight="1" x14ac:dyDescent="0.3">
      <c r="A392" s="50" t="str">
        <f t="shared" ref="A392:A412" si="66">B392&amp;" / "&amp;C392&amp;" / "&amp;D392&amp;" / "&amp;E392</f>
        <v>(ARCHIVED 2023) Wood fiber board / AWC/CWC / Includes: Georgia Pacific, Louisville, BPC, Temple-Inland, Blue Ridge, Int'l Bildrite / R 2.7/inch</v>
      </c>
      <c r="B392" s="50" t="s">
        <v>3774</v>
      </c>
      <c r="C392" s="50" t="s">
        <v>784</v>
      </c>
      <c r="D392" s="50" t="s">
        <v>716</v>
      </c>
      <c r="E392" s="50" t="s">
        <v>717</v>
      </c>
      <c r="H392" s="50"/>
      <c r="I392" s="50" t="s">
        <v>124</v>
      </c>
      <c r="J392" s="50"/>
      <c r="K392" s="51">
        <v>295.05</v>
      </c>
      <c r="L392" s="51" t="s">
        <v>3</v>
      </c>
      <c r="M392" s="71">
        <f>(K392*W392)</f>
        <v>15.99789983842105</v>
      </c>
      <c r="N392" s="51" t="s">
        <v>838</v>
      </c>
      <c r="O392" s="53" t="s">
        <v>718</v>
      </c>
      <c r="P392" s="53" t="s">
        <v>143</v>
      </c>
      <c r="Q392" s="367">
        <v>2021</v>
      </c>
      <c r="R392" s="53">
        <v>254</v>
      </c>
      <c r="S392" s="53" t="s">
        <v>121</v>
      </c>
      <c r="T392" s="65">
        <f t="shared" si="62"/>
        <v>13.772128652631576</v>
      </c>
      <c r="U392" s="49" t="s">
        <v>303</v>
      </c>
      <c r="V392" s="53">
        <v>2.66</v>
      </c>
      <c r="W392" s="49">
        <f>1/V392*0.0254*5.67826</f>
        <v>5.4220978947368409E-2</v>
      </c>
      <c r="X392" s="49" t="s">
        <v>136</v>
      </c>
      <c r="Y392" s="53">
        <v>0.92200000000000004</v>
      </c>
      <c r="Z392" s="53">
        <v>0.5</v>
      </c>
      <c r="AA392" s="83">
        <f t="shared" si="63"/>
        <v>20.951539319248422</v>
      </c>
      <c r="AB392" s="50" t="s">
        <v>838</v>
      </c>
      <c r="AD392" s="53">
        <f t="shared" si="64"/>
        <v>6.3489513088631568</v>
      </c>
      <c r="AF392" s="53">
        <f>AD392*44/12</f>
        <v>23.279488132498244</v>
      </c>
      <c r="AG392" s="83"/>
      <c r="AN392" s="53">
        <v>242</v>
      </c>
      <c r="AR392" s="264" t="str">
        <f ca="1">IF(LEN(Q392)=4,IF(Q392&lt;YEAR(NOW()),_xlfn.CONCAT(IF(LOWER(Setting!rng_language)="english","Expired ","Expiré "),Q392),""),"")</f>
        <v>Expired 2021</v>
      </c>
      <c r="AT392" s="53" t="b">
        <f>ISNUMBER(MATCH(IF(LEN('USER INPUT SHEET'!rng_province)&gt;0,'USER INPUT SHEET'!rng_province,"Canada"),$AU392:$BD392,0))</f>
        <v>0</v>
      </c>
      <c r="AU392" s="1286"/>
      <c r="AV392" s="1286"/>
      <c r="AW392" s="1286"/>
      <c r="AX392" s="1286"/>
      <c r="AY392" s="1286"/>
      <c r="AZ392" s="1286"/>
      <c r="BA392" s="1286"/>
      <c r="BB392" s="1286"/>
      <c r="BC392" s="1286"/>
      <c r="BD392" s="1286"/>
    </row>
    <row r="393" spans="1:56" ht="15.75" customHeight="1" x14ac:dyDescent="0.3">
      <c r="A393" s="50" t="str">
        <f t="shared" si="66"/>
        <v>Wood fiber board / GUTEX / Multi-Therm / R 3.6/inch, 40-200 mm</v>
      </c>
      <c r="B393" s="50" t="s">
        <v>715</v>
      </c>
      <c r="C393" s="50" t="s">
        <v>703</v>
      </c>
      <c r="D393" s="50" t="s">
        <v>719</v>
      </c>
      <c r="E393" s="50" t="s">
        <v>4590</v>
      </c>
      <c r="H393" s="50"/>
      <c r="I393" s="50"/>
      <c r="J393" s="358">
        <v>44983</v>
      </c>
      <c r="K393" s="55">
        <f>-198.4/167*R393</f>
        <v>-166.32335329341319</v>
      </c>
      <c r="L393" s="55" t="s">
        <v>3</v>
      </c>
      <c r="M393" s="70">
        <f>((K393*W393)--AA393)</f>
        <v>2.1250658682634729</v>
      </c>
      <c r="N393" s="55" t="s">
        <v>3516</v>
      </c>
      <c r="O393" s="53" t="s">
        <v>3540</v>
      </c>
      <c r="P393" s="53" t="s">
        <v>122</v>
      </c>
      <c r="Q393" s="367">
        <v>2025</v>
      </c>
      <c r="R393" s="53">
        <v>140</v>
      </c>
      <c r="S393" s="53" t="s">
        <v>121</v>
      </c>
      <c r="T393" s="52">
        <f t="shared" si="62"/>
        <v>5.6000000000000005</v>
      </c>
      <c r="U393" s="52" t="s">
        <v>3539</v>
      </c>
      <c r="V393" s="60">
        <f t="shared" ref="V393" si="67">0.0254*5.678/W393</f>
        <v>3.6055299999999999</v>
      </c>
      <c r="W393" s="52">
        <v>0.04</v>
      </c>
      <c r="X393" s="52"/>
      <c r="Y393" s="53">
        <v>0.95</v>
      </c>
      <c r="Z393" s="53">
        <v>0.5</v>
      </c>
      <c r="AA393" s="83">
        <f>(AF393)*rng_biogenic_storage</f>
        <v>8.7780000000000005</v>
      </c>
      <c r="AB393" s="50" t="s">
        <v>838</v>
      </c>
      <c r="AD393" s="53">
        <f t="shared" si="64"/>
        <v>2.66</v>
      </c>
      <c r="AF393" s="53">
        <f>$AD393*44/12</f>
        <v>9.7533333333333339</v>
      </c>
      <c r="AG393" s="83"/>
      <c r="AN393" s="53">
        <v>243</v>
      </c>
      <c r="AR393" s="264" t="str">
        <f ca="1">IF(LEN(Q393)=4,IF(Q393&lt;YEAR(NOW()),_xlfn.CONCAT(IF(LOWER(Setting!rng_language)="english","Expired ","Expiré "),Q393),""),"")</f>
        <v>Expired 2025</v>
      </c>
      <c r="AT393" s="53" t="b">
        <f>ISNUMBER(MATCH(IF(LEN('USER INPUT SHEET'!rng_province)&gt;0,'USER INPUT SHEET'!rng_province,"Canada"),$AU393:$BD393,0))</f>
        <v>0</v>
      </c>
      <c r="AU393" s="1286"/>
      <c r="AV393" s="1286"/>
      <c r="AW393" s="1286"/>
      <c r="AX393" s="1286"/>
      <c r="AY393" s="1286"/>
      <c r="AZ393" s="1286"/>
      <c r="BA393" s="1286"/>
      <c r="BB393" s="1286"/>
      <c r="BC393" s="1286"/>
      <c r="BD393" s="1286"/>
    </row>
    <row r="394" spans="1:56" ht="15.75" customHeight="1" x14ac:dyDescent="0.3">
      <c r="A394" s="50" t="str">
        <f t="shared" si="66"/>
        <v>(ARCHIVED 2023) Wood fiber board / GUTEX / Multi-Therm / R 3.6/inch, 40, 60, 80, 100, 120, 140, 160, 180, 200 mm</v>
      </c>
      <c r="B394" s="50" t="s">
        <v>3774</v>
      </c>
      <c r="C394" s="50" t="s">
        <v>703</v>
      </c>
      <c r="D394" s="50" t="s">
        <v>719</v>
      </c>
      <c r="E394" s="50" t="s">
        <v>1131</v>
      </c>
      <c r="H394" s="50"/>
      <c r="I394" s="50" t="s">
        <v>120</v>
      </c>
      <c r="J394" s="50"/>
      <c r="K394" s="51">
        <v>-132.69999999999999</v>
      </c>
      <c r="L394" s="51" t="s">
        <v>3</v>
      </c>
      <c r="M394" s="71">
        <f>((K394*W394)--AA394)</f>
        <v>3.4238</v>
      </c>
      <c r="N394" s="51" t="s">
        <v>838</v>
      </c>
      <c r="O394" s="53" t="s">
        <v>705</v>
      </c>
      <c r="P394" s="50" t="s">
        <v>122</v>
      </c>
      <c r="Q394" s="367">
        <v>2020</v>
      </c>
      <c r="R394" s="53">
        <v>140</v>
      </c>
      <c r="S394" s="53" t="s">
        <v>121</v>
      </c>
      <c r="T394" s="49">
        <f t="shared" si="62"/>
        <v>5.6000000000000005</v>
      </c>
      <c r="U394" s="49" t="s">
        <v>303</v>
      </c>
      <c r="V394" s="53">
        <v>3.6</v>
      </c>
      <c r="W394" s="53">
        <v>0.04</v>
      </c>
      <c r="X394" s="53" t="s">
        <v>136</v>
      </c>
      <c r="Y394" s="53">
        <v>0.94499999999999995</v>
      </c>
      <c r="Z394" s="53">
        <v>0.5</v>
      </c>
      <c r="AA394" s="83">
        <f t="shared" si="63"/>
        <v>8.7317999999999998</v>
      </c>
      <c r="AB394" s="50" t="s">
        <v>838</v>
      </c>
      <c r="AD394" s="53">
        <f>T394*Y394*Z394</f>
        <v>2.6459999999999999</v>
      </c>
      <c r="AF394" s="53">
        <f>$AD394*44/12</f>
        <v>9.702</v>
      </c>
      <c r="AG394" s="83"/>
      <c r="AN394" s="53" t="s">
        <v>3802</v>
      </c>
      <c r="AR394" s="264" t="str">
        <f ca="1">IF(LEN(Q394)=4,IF(Q394&lt;YEAR(NOW()),_xlfn.CONCAT(IF(LOWER(Setting!rng_language)="english","Expired ","Expiré "),Q394),""),"")</f>
        <v>Expired 2020</v>
      </c>
      <c r="AT394" s="53" t="b">
        <f>ISNUMBER(MATCH(IF(LEN('USER INPUT SHEET'!rng_province)&gt;0,'USER INPUT SHEET'!rng_province,"Canada"),$AU394:$BD394,0))</f>
        <v>0</v>
      </c>
      <c r="AU394" s="1289"/>
      <c r="AV394" s="1289"/>
      <c r="AW394" s="1289"/>
      <c r="AX394" s="1289"/>
      <c r="AY394" s="1289"/>
      <c r="AZ394" s="1289"/>
      <c r="BA394" s="1289"/>
      <c r="BB394" s="1289"/>
      <c r="BC394" s="1289"/>
      <c r="BD394" s="1289"/>
    </row>
    <row r="395" spans="1:56" ht="15.75" customHeight="1" x14ac:dyDescent="0.3">
      <c r="A395" s="50" t="str">
        <f t="shared" si="66"/>
        <v>(ARCHIVED 2025) Wood fiber board / Pavatex / Pavatherm / R 3.4/inch</v>
      </c>
      <c r="B395" s="50" t="s">
        <v>4470</v>
      </c>
      <c r="C395" s="50" t="s">
        <v>709</v>
      </c>
      <c r="D395" s="50" t="s">
        <v>720</v>
      </c>
      <c r="E395" s="50" t="s">
        <v>721</v>
      </c>
      <c r="H395" s="50"/>
      <c r="I395" s="50" t="s">
        <v>120</v>
      </c>
      <c r="J395" s="50"/>
      <c r="K395" s="51">
        <v>-219.34</v>
      </c>
      <c r="L395" s="51" t="s">
        <v>3</v>
      </c>
      <c r="M395" s="71">
        <f>((K395*W395)--AF395)</f>
        <v>4.1720799999999993</v>
      </c>
      <c r="N395" s="51" t="s">
        <v>838</v>
      </c>
      <c r="O395" s="53" t="s">
        <v>722</v>
      </c>
      <c r="P395" s="53" t="s">
        <v>122</v>
      </c>
      <c r="Q395" s="367">
        <v>2019</v>
      </c>
      <c r="R395" s="53">
        <v>180</v>
      </c>
      <c r="S395" s="53" t="s">
        <v>121</v>
      </c>
      <c r="T395" s="49">
        <f t="shared" si="62"/>
        <v>7.92</v>
      </c>
      <c r="U395" s="49" t="s">
        <v>303</v>
      </c>
      <c r="V395" s="53">
        <v>3.35</v>
      </c>
      <c r="W395" s="53">
        <v>4.3999999999999997E-2</v>
      </c>
      <c r="X395" s="49" t="s">
        <v>136</v>
      </c>
      <c r="Y395" s="53">
        <v>0.95199999999999996</v>
      </c>
      <c r="Z395" s="53">
        <v>0.5</v>
      </c>
      <c r="AA395" s="83">
        <f t="shared" si="63"/>
        <v>12.440735999999999</v>
      </c>
      <c r="AB395" s="50" t="s">
        <v>838</v>
      </c>
      <c r="AD395" s="53">
        <f t="shared" si="64"/>
        <v>3.7699199999999999</v>
      </c>
      <c r="AF395" s="53">
        <f>AD395*44/12</f>
        <v>13.823039999999999</v>
      </c>
      <c r="AG395" s="83"/>
      <c r="AN395" s="53">
        <v>244</v>
      </c>
      <c r="AR395" s="264" t="str">
        <f ca="1">IF(LEN(Q395)=4,IF(Q395&lt;YEAR(NOW()),_xlfn.CONCAT(IF(LOWER(Setting!rng_language)="english","Expired ","Expiré "),Q395),""),"")</f>
        <v>Expired 2019</v>
      </c>
      <c r="AT395" s="53" t="b">
        <f>ISNUMBER(MATCH(IF(LEN('USER INPUT SHEET'!rng_province)&gt;0,'USER INPUT SHEET'!rng_province,"Canada"),$AU395:$BD395,0))</f>
        <v>0</v>
      </c>
      <c r="AU395" s="1286"/>
      <c r="AV395" s="1286"/>
      <c r="AW395" s="1286"/>
      <c r="AX395" s="1286"/>
      <c r="AY395" s="1286"/>
      <c r="AZ395" s="1286"/>
      <c r="BA395" s="1286"/>
      <c r="BB395" s="1286"/>
      <c r="BC395" s="1286"/>
      <c r="BD395" s="1286"/>
    </row>
    <row r="396" spans="1:56" ht="15.75" customHeight="1" x14ac:dyDescent="0.3">
      <c r="A396" s="50" t="str">
        <f t="shared" si="66"/>
        <v>Wood fiber board / Pavatex / Isolair, Isoroof, Isolair Multi / R 3.3-inch / 200 kg/m3, 30-80 mm</v>
      </c>
      <c r="B396" s="50" t="s">
        <v>715</v>
      </c>
      <c r="C396" s="50" t="s">
        <v>709</v>
      </c>
      <c r="D396" s="50" t="s">
        <v>4471</v>
      </c>
      <c r="E396" s="50" t="s">
        <v>4472</v>
      </c>
      <c r="H396" s="50"/>
      <c r="I396" s="50" t="s">
        <v>120</v>
      </c>
      <c r="J396" s="401">
        <v>45323</v>
      </c>
      <c r="K396" s="55">
        <v>-253</v>
      </c>
      <c r="L396" s="55" t="s">
        <v>4473</v>
      </c>
      <c r="M396" s="70">
        <v>4.2031423999999991</v>
      </c>
      <c r="N396" s="55" t="s">
        <v>3516</v>
      </c>
      <c r="O396" s="53" t="s">
        <v>4474</v>
      </c>
      <c r="P396" s="53" t="s">
        <v>122</v>
      </c>
      <c r="Q396" s="367">
        <v>2025</v>
      </c>
      <c r="R396" s="53">
        <v>200</v>
      </c>
      <c r="S396" s="53" t="s">
        <v>121</v>
      </c>
      <c r="T396" s="52"/>
      <c r="U396" s="52"/>
      <c r="V396" s="53">
        <v>3.2777545454545454</v>
      </c>
      <c r="W396" s="53">
        <v>4.3999999999999997E-2</v>
      </c>
      <c r="X396" s="52"/>
      <c r="Y396" s="53">
        <v>0.95199999999999996</v>
      </c>
      <c r="Z396" s="53">
        <v>0.5</v>
      </c>
      <c r="AA396" s="83">
        <f t="shared" ref="AA396:AA399" si="68">(AF396)*rng_biogenic_storage</f>
        <v>13.709828159999999</v>
      </c>
      <c r="AB396" s="50" t="s">
        <v>3516</v>
      </c>
      <c r="AF396" s="53">
        <v>15.233142399999998</v>
      </c>
      <c r="AG396" s="83"/>
      <c r="AN396" s="53" t="s">
        <v>4512</v>
      </c>
      <c r="AT396" s="53" t="b">
        <f>ISNUMBER(MATCH(IF(LEN('USER INPUT SHEET'!rng_province)&gt;0,'USER INPUT SHEET'!rng_province,"Canada"),$AU396:$BD396,0))</f>
        <v>0</v>
      </c>
      <c r="AU396" s="1286"/>
      <c r="AV396" s="1286"/>
      <c r="AW396" s="1286"/>
      <c r="AX396" s="1286"/>
      <c r="AY396" s="1286"/>
      <c r="AZ396" s="1286"/>
      <c r="BA396" s="1286"/>
      <c r="BB396" s="1286"/>
      <c r="BC396" s="1286"/>
      <c r="BD396" s="1286"/>
    </row>
    <row r="397" spans="1:56" ht="15.75" customHeight="1" x14ac:dyDescent="0.3">
      <c r="A397" s="50" t="str">
        <f t="shared" si="66"/>
        <v>Wood fiber board / Pavatex / Pavatherm / R 3.3-inch / 110 kg/m3</v>
      </c>
      <c r="B397" s="50" t="s">
        <v>715</v>
      </c>
      <c r="C397" s="50" t="s">
        <v>709</v>
      </c>
      <c r="D397" s="50" t="s">
        <v>720</v>
      </c>
      <c r="E397" s="50" t="s">
        <v>4475</v>
      </c>
      <c r="H397" s="50"/>
      <c r="I397" s="50" t="s">
        <v>120</v>
      </c>
      <c r="J397" s="401">
        <v>45323</v>
      </c>
      <c r="K397" s="55">
        <v>-139.13</v>
      </c>
      <c r="L397" s="55" t="s">
        <v>4476</v>
      </c>
      <c r="M397" s="70">
        <v>43.56</v>
      </c>
      <c r="N397" s="55" t="s">
        <v>3516</v>
      </c>
      <c r="O397" s="53" t="s">
        <v>4474</v>
      </c>
      <c r="P397" s="53" t="s">
        <v>122</v>
      </c>
      <c r="Q397" s="367">
        <v>2025</v>
      </c>
      <c r="R397" s="53">
        <v>110</v>
      </c>
      <c r="S397" s="53" t="s">
        <v>121</v>
      </c>
      <c r="T397" s="52"/>
      <c r="U397" s="52"/>
      <c r="V397" s="53">
        <v>3.2777545454545454</v>
      </c>
      <c r="W397" s="53">
        <v>4.3999999999999997E-2</v>
      </c>
      <c r="X397" s="52"/>
      <c r="Y397" s="53">
        <v>0.95199999999999996</v>
      </c>
      <c r="Z397" s="53">
        <v>0.5</v>
      </c>
      <c r="AA397" s="83">
        <f t="shared" si="68"/>
        <v>7.7982508799999994</v>
      </c>
      <c r="AB397" s="50" t="s">
        <v>3516</v>
      </c>
      <c r="AF397" s="53">
        <v>8.6647231999999992</v>
      </c>
      <c r="AG397" s="83"/>
      <c r="AN397" s="53" t="s">
        <v>4513</v>
      </c>
      <c r="AT397" s="53" t="b">
        <f>ISNUMBER(MATCH(IF(LEN('USER INPUT SHEET'!rng_province)&gt;0,'USER INPUT SHEET'!rng_province,"Canada"),$AU397:$BD397,0))</f>
        <v>0</v>
      </c>
      <c r="AU397" s="1286"/>
      <c r="AV397" s="1286"/>
      <c r="AW397" s="1286"/>
      <c r="AX397" s="1286"/>
      <c r="AY397" s="1286"/>
      <c r="AZ397" s="1286"/>
      <c r="BA397" s="1286"/>
      <c r="BB397" s="1286"/>
      <c r="BC397" s="1286"/>
      <c r="BD397" s="1286"/>
    </row>
    <row r="398" spans="1:56" ht="15.75" customHeight="1" x14ac:dyDescent="0.3">
      <c r="A398" s="50" t="str">
        <f t="shared" si="66"/>
        <v xml:space="preserve">Wood fiber board / Pavatex / Pavawall GF, Pavawall Bloc, Pavawall GF XL / R 3.3-inch / 130 kg/m3 </v>
      </c>
      <c r="B398" s="50" t="s">
        <v>715</v>
      </c>
      <c r="C398" s="50" t="s">
        <v>709</v>
      </c>
      <c r="D398" s="50" t="s">
        <v>4477</v>
      </c>
      <c r="E398" s="50" t="s">
        <v>4478</v>
      </c>
      <c r="H398" s="50"/>
      <c r="I398" s="50" t="s">
        <v>120</v>
      </c>
      <c r="J398" s="401">
        <v>45323</v>
      </c>
      <c r="K398" s="55">
        <v>-164.49934980494149</v>
      </c>
      <c r="L398" s="55" t="s">
        <v>4473</v>
      </c>
      <c r="M398" s="70">
        <v>2.7308192457737324</v>
      </c>
      <c r="N398" s="55" t="s">
        <v>3516</v>
      </c>
      <c r="O398" s="53" t="s">
        <v>4474</v>
      </c>
      <c r="P398" s="53" t="s">
        <v>122</v>
      </c>
      <c r="Q398" s="367">
        <v>2025</v>
      </c>
      <c r="R398" s="53">
        <v>130</v>
      </c>
      <c r="S398" s="53" t="s">
        <v>121</v>
      </c>
      <c r="T398" s="52"/>
      <c r="U398" s="52"/>
      <c r="V398" s="53">
        <v>3.2777545454545454</v>
      </c>
      <c r="W398" s="53">
        <v>4.3999999999999997E-2</v>
      </c>
      <c r="X398" s="52"/>
      <c r="Y398" s="53">
        <v>0.95199999999999996</v>
      </c>
      <c r="Z398" s="53">
        <v>0.5</v>
      </c>
      <c r="AA398" s="83">
        <f t="shared" si="68"/>
        <v>8.9145327599999984</v>
      </c>
      <c r="AB398" s="50" t="s">
        <v>3516</v>
      </c>
      <c r="AF398" s="53">
        <v>9.9050363999999984</v>
      </c>
      <c r="AG398" s="83"/>
      <c r="AN398" s="53" t="s">
        <v>3974</v>
      </c>
      <c r="AT398" s="53" t="b">
        <f>ISNUMBER(MATCH(IF(LEN('USER INPUT SHEET'!rng_province)&gt;0,'USER INPUT SHEET'!rng_province,"Canada"),$AU398:$BD398,0))</f>
        <v>0</v>
      </c>
      <c r="AU398" s="1286"/>
      <c r="AV398" s="1286"/>
      <c r="AW398" s="1286"/>
      <c r="AX398" s="1286"/>
      <c r="AY398" s="1286"/>
      <c r="AZ398" s="1286"/>
      <c r="BA398" s="1286"/>
      <c r="BB398" s="1286"/>
      <c r="BC398" s="1286"/>
      <c r="BD398" s="1286"/>
    </row>
    <row r="399" spans="1:56" ht="15.75" customHeight="1" x14ac:dyDescent="0.3">
      <c r="A399" s="50" t="str">
        <f t="shared" si="66"/>
        <v>Wood fiber board / Pavatex / Pavawall Smart, Pavawall Light, Pavawall FW / R 3.3-inch / 115 kg/m3</v>
      </c>
      <c r="B399" s="50" t="s">
        <v>715</v>
      </c>
      <c r="C399" s="50" t="s">
        <v>709</v>
      </c>
      <c r="D399" s="50" t="s">
        <v>4479</v>
      </c>
      <c r="E399" s="50" t="s">
        <v>4480</v>
      </c>
      <c r="H399" s="50"/>
      <c r="I399" s="50" t="s">
        <v>120</v>
      </c>
      <c r="J399" s="401">
        <v>45323</v>
      </c>
      <c r="K399" s="55">
        <v>-145.47999999999999</v>
      </c>
      <c r="L399" s="55" t="s">
        <v>4481</v>
      </c>
      <c r="M399" s="70">
        <v>2.415</v>
      </c>
      <c r="N399" s="55" t="s">
        <v>3516</v>
      </c>
      <c r="O399" s="53" t="s">
        <v>4474</v>
      </c>
      <c r="P399" s="53" t="s">
        <v>122</v>
      </c>
      <c r="Q399" s="367">
        <v>2025</v>
      </c>
      <c r="R399" s="53">
        <v>115</v>
      </c>
      <c r="S399" s="53" t="s">
        <v>121</v>
      </c>
      <c r="T399" s="52"/>
      <c r="U399" s="52"/>
      <c r="V399" s="53">
        <v>3.2777545454545454</v>
      </c>
      <c r="W399" s="53">
        <v>4.3999999999999997E-2</v>
      </c>
      <c r="X399" s="52"/>
      <c r="Y399" s="53">
        <v>0.95199999999999996</v>
      </c>
      <c r="Z399" s="53">
        <v>0.5</v>
      </c>
      <c r="AA399" s="83">
        <f t="shared" si="68"/>
        <v>7.8831511920000015</v>
      </c>
      <c r="AB399" s="50" t="s">
        <v>3516</v>
      </c>
      <c r="AF399" s="53">
        <v>8.759056880000001</v>
      </c>
      <c r="AG399" s="83"/>
      <c r="AN399" s="53" t="s">
        <v>4514</v>
      </c>
      <c r="AT399" s="53" t="b">
        <f>ISNUMBER(MATCH(IF(LEN('USER INPUT SHEET'!rng_province)&gt;0,'USER INPUT SHEET'!rng_province,"Canada"),$AU399:$BD399,0))</f>
        <v>0</v>
      </c>
      <c r="AU399" s="1286"/>
      <c r="AV399" s="1286"/>
      <c r="AW399" s="1286"/>
      <c r="AX399" s="1286"/>
      <c r="AY399" s="1286"/>
      <c r="AZ399" s="1286"/>
      <c r="BA399" s="1286"/>
      <c r="BB399" s="1286"/>
      <c r="BC399" s="1286"/>
      <c r="BD399" s="1286"/>
    </row>
    <row r="400" spans="1:56" ht="15.75" customHeight="1" x14ac:dyDescent="0.3">
      <c r="A400" s="50" t="str">
        <f t="shared" si="66"/>
        <v>(ARCHIVED 2025) Wood fiber board / Steico / Special Dry / R 3.6/inch, 40, 120, 140, 160, 180, 200 mm</v>
      </c>
      <c r="B400" s="50" t="s">
        <v>4470</v>
      </c>
      <c r="C400" s="50" t="s">
        <v>712</v>
      </c>
      <c r="D400" s="50" t="s">
        <v>723</v>
      </c>
      <c r="E400" s="50" t="s">
        <v>1132</v>
      </c>
      <c r="H400" s="50"/>
      <c r="I400" s="50" t="s">
        <v>120</v>
      </c>
      <c r="J400" s="50"/>
      <c r="K400" s="51">
        <v>-196.44</v>
      </c>
      <c r="L400" s="51" t="s">
        <v>3</v>
      </c>
      <c r="M400" s="71">
        <f>((K400*W400)--AF400)</f>
        <v>1.8957333333333342</v>
      </c>
      <c r="N400" s="51" t="s">
        <v>838</v>
      </c>
      <c r="O400" s="53" t="s">
        <v>714</v>
      </c>
      <c r="P400" s="50" t="s">
        <v>122</v>
      </c>
      <c r="Q400" s="367">
        <v>2021</v>
      </c>
      <c r="R400" s="53">
        <v>140</v>
      </c>
      <c r="S400" s="53" t="s">
        <v>121</v>
      </c>
      <c r="T400" s="49">
        <f t="shared" si="62"/>
        <v>5.6000000000000005</v>
      </c>
      <c r="U400" s="49" t="s">
        <v>303</v>
      </c>
      <c r="V400" s="53">
        <v>3.6</v>
      </c>
      <c r="W400" s="49">
        <v>0.04</v>
      </c>
      <c r="X400" s="49" t="s">
        <v>136</v>
      </c>
      <c r="Y400" s="53">
        <v>0.95</v>
      </c>
      <c r="Z400" s="53">
        <v>0.5</v>
      </c>
      <c r="AA400" s="83">
        <f t="shared" si="63"/>
        <v>8.7780000000000005</v>
      </c>
      <c r="AB400" s="50" t="s">
        <v>838</v>
      </c>
      <c r="AD400" s="53">
        <f>T400*Y400*Z400</f>
        <v>2.66</v>
      </c>
      <c r="AF400" s="53">
        <f>AD400*44/12</f>
        <v>9.7533333333333339</v>
      </c>
      <c r="AG400" s="83"/>
      <c r="AN400" s="53">
        <v>245</v>
      </c>
      <c r="AR400" s="264" t="str">
        <f ca="1">IF(LEN(Q400)=4,IF(Q400&lt;YEAR(NOW()),_xlfn.CONCAT(IF(LOWER(Setting!rng_language)="english","Expired ","Expiré "),Q400),""),"")</f>
        <v>Expired 2021</v>
      </c>
      <c r="AT400" s="53" t="b">
        <f>ISNUMBER(MATCH(IF(LEN('USER INPUT SHEET'!rng_province)&gt;0,'USER INPUT SHEET'!rng_province,"Canada"),$AU400:$BD400,0))</f>
        <v>0</v>
      </c>
      <c r="AU400" s="1286"/>
      <c r="AV400" s="1286"/>
      <c r="AW400" s="1286"/>
      <c r="AX400" s="1286"/>
      <c r="AY400" s="1286"/>
      <c r="AZ400" s="1286"/>
      <c r="BA400" s="1286"/>
      <c r="BB400" s="1286"/>
      <c r="BC400" s="1286"/>
      <c r="BD400" s="1286"/>
    </row>
    <row r="401" spans="1:56" ht="15.75" customHeight="1" x14ac:dyDescent="0.3">
      <c r="A401" s="50" t="str">
        <f t="shared" si="66"/>
        <v xml:space="preserve">Wood fiber board / Steico / STEICOprotect M dry, STEICOroof dry, STEICOspecial dry, STEICOtop / R 3.6-inch, 140 kg/m3 </v>
      </c>
      <c r="B401" s="50" t="s">
        <v>715</v>
      </c>
      <c r="C401" s="50" t="s">
        <v>712</v>
      </c>
      <c r="D401" s="50" t="s">
        <v>4483</v>
      </c>
      <c r="E401" s="50" t="s">
        <v>4484</v>
      </c>
      <c r="H401" s="50"/>
      <c r="I401" s="50" t="s">
        <v>120</v>
      </c>
      <c r="J401" s="401">
        <v>45329</v>
      </c>
      <c r="K401" s="55">
        <v>-81.569999999999993</v>
      </c>
      <c r="L401" s="55" t="s">
        <v>3</v>
      </c>
      <c r="M401" s="70">
        <v>6.509383800555554</v>
      </c>
      <c r="N401" s="55" t="s">
        <v>3516</v>
      </c>
      <c r="O401" s="53" t="s">
        <v>714</v>
      </c>
      <c r="P401" s="50" t="s">
        <v>122</v>
      </c>
      <c r="Q401" s="367">
        <v>2025</v>
      </c>
      <c r="R401" s="53">
        <v>140</v>
      </c>
      <c r="S401" s="53" t="s">
        <v>121</v>
      </c>
      <c r="T401" s="52">
        <v>5.6086022222222214</v>
      </c>
      <c r="U401" s="52" t="s">
        <v>3539</v>
      </c>
      <c r="V401" s="53">
        <v>3.6</v>
      </c>
      <c r="W401" s="52">
        <v>4.0061444444444441E-2</v>
      </c>
      <c r="X401" s="52"/>
      <c r="Y401" s="53">
        <v>0.95</v>
      </c>
      <c r="Z401" s="53">
        <v>0.5</v>
      </c>
      <c r="AA401" s="83">
        <f t="shared" ref="AA401:AA403" si="69">(AF401)*rng_biogenic_storage</f>
        <v>8.799476241499999</v>
      </c>
      <c r="AB401" s="50" t="s">
        <v>3516</v>
      </c>
      <c r="AD401" s="53">
        <v>2.66</v>
      </c>
      <c r="AF401" s="53">
        <v>9.7771958238888867</v>
      </c>
      <c r="AG401" s="83"/>
      <c r="AH401" s="53">
        <v>2.66</v>
      </c>
      <c r="AN401" s="53" t="s">
        <v>2332</v>
      </c>
      <c r="AT401" s="53" t="b">
        <f>ISNUMBER(MATCH(IF(LEN('USER INPUT SHEET'!rng_province)&gt;0,'USER INPUT SHEET'!rng_province,"Canada"),$AU401:$BD401,0))</f>
        <v>0</v>
      </c>
      <c r="AU401" s="1286"/>
      <c r="AV401" s="1286"/>
      <c r="AW401" s="1286"/>
      <c r="AX401" s="1286"/>
      <c r="AY401" s="1286"/>
      <c r="AZ401" s="1286"/>
      <c r="BA401" s="1286"/>
      <c r="BB401" s="1286"/>
      <c r="BC401" s="1286"/>
      <c r="BD401" s="1286"/>
    </row>
    <row r="402" spans="1:56" ht="15.75" customHeight="1" x14ac:dyDescent="0.3">
      <c r="A402" s="50" t="str">
        <f t="shared" si="66"/>
        <v>Wood fiber board / Steico / STEICOprotect S dry, STEICOsafe 40, STEICOuniversal dry / R 3.6-inch, 210 kg/m3</v>
      </c>
      <c r="B402" s="50" t="s">
        <v>715</v>
      </c>
      <c r="C402" s="50" t="s">
        <v>712</v>
      </c>
      <c r="D402" s="50" t="s">
        <v>4485</v>
      </c>
      <c r="E402" s="50" t="s">
        <v>4486</v>
      </c>
      <c r="H402" s="50"/>
      <c r="I402" s="50" t="s">
        <v>120</v>
      </c>
      <c r="J402" s="401">
        <v>45329</v>
      </c>
      <c r="K402" s="55">
        <v>-81.569999999999993</v>
      </c>
      <c r="L402" s="55" t="s">
        <v>3</v>
      </c>
      <c r="M402" s="70">
        <v>11.397981712499998</v>
      </c>
      <c r="N402" s="55" t="s">
        <v>3516</v>
      </c>
      <c r="O402" s="53" t="s">
        <v>714</v>
      </c>
      <c r="P402" s="50" t="s">
        <v>122</v>
      </c>
      <c r="Q402" s="367">
        <v>2025</v>
      </c>
      <c r="R402" s="53">
        <v>210</v>
      </c>
      <c r="S402" s="53" t="s">
        <v>121</v>
      </c>
      <c r="T402" s="52">
        <v>8.4129033333333325</v>
      </c>
      <c r="U402" s="52" t="s">
        <v>3539</v>
      </c>
      <c r="V402" s="53">
        <v>3.6</v>
      </c>
      <c r="W402" s="52">
        <v>4.0061444444444441E-2</v>
      </c>
      <c r="X402" s="52"/>
      <c r="Y402" s="53">
        <v>0.95</v>
      </c>
      <c r="Z402" s="53">
        <v>0.5</v>
      </c>
      <c r="AA402" s="83">
        <f t="shared" si="69"/>
        <v>13.199214362249998</v>
      </c>
      <c r="AB402" s="50" t="s">
        <v>3516</v>
      </c>
      <c r="AD402" s="53">
        <v>2.66</v>
      </c>
      <c r="AF402" s="53">
        <v>14.665793735833331</v>
      </c>
      <c r="AG402" s="83"/>
      <c r="AH402" s="53">
        <v>2.66</v>
      </c>
      <c r="AN402" s="53" t="s">
        <v>4515</v>
      </c>
      <c r="AT402" s="53" t="b">
        <f>ISNUMBER(MATCH(IF(LEN('USER INPUT SHEET'!rng_province)&gt;0,'USER INPUT SHEET'!rng_province,"Canada"),$AU402:$BD402,0))</f>
        <v>0</v>
      </c>
      <c r="AU402" s="1286"/>
      <c r="AV402" s="1286"/>
      <c r="AW402" s="1286"/>
      <c r="AX402" s="1286"/>
      <c r="AY402" s="1286"/>
      <c r="AZ402" s="1286"/>
      <c r="BA402" s="1286"/>
      <c r="BB402" s="1286"/>
      <c r="BC402" s="1286"/>
      <c r="BD402" s="1286"/>
    </row>
    <row r="403" spans="1:56" ht="15.75" customHeight="1" x14ac:dyDescent="0.3">
      <c r="A403" s="50" t="str">
        <f t="shared" si="66"/>
        <v>Wood fiber board / Steico / STEICOtherm dry, STEICOprotect L dry, STEICOsafe / R 3.6-inch, 110 kg/m3</v>
      </c>
      <c r="B403" s="50" t="s">
        <v>715</v>
      </c>
      <c r="C403" s="50" t="s">
        <v>712</v>
      </c>
      <c r="D403" s="50" t="s">
        <v>4487</v>
      </c>
      <c r="E403" s="50" t="s">
        <v>4488</v>
      </c>
      <c r="H403" s="50"/>
      <c r="I403" s="50" t="s">
        <v>120</v>
      </c>
      <c r="J403" s="401">
        <v>45329</v>
      </c>
      <c r="K403" s="55">
        <v>-81.569999999999993</v>
      </c>
      <c r="L403" s="55" t="s">
        <v>3</v>
      </c>
      <c r="M403" s="70">
        <v>4.4142704097222225</v>
      </c>
      <c r="N403" s="55" t="s">
        <v>3516</v>
      </c>
      <c r="O403" s="53" t="s">
        <v>714</v>
      </c>
      <c r="P403" s="50" t="s">
        <v>122</v>
      </c>
      <c r="Q403" s="367">
        <v>2025</v>
      </c>
      <c r="R403" s="53">
        <v>110</v>
      </c>
      <c r="S403" s="53" t="s">
        <v>121</v>
      </c>
      <c r="T403" s="52">
        <v>4.4067588888888887</v>
      </c>
      <c r="U403" s="52" t="s">
        <v>3539</v>
      </c>
      <c r="V403" s="53">
        <v>3.6</v>
      </c>
      <c r="W403" s="52">
        <v>4.0061444444444441E-2</v>
      </c>
      <c r="X403" s="52"/>
      <c r="Y403" s="53">
        <v>0.95</v>
      </c>
      <c r="Z403" s="53">
        <v>0.5</v>
      </c>
      <c r="AA403" s="83">
        <f t="shared" si="69"/>
        <v>6.9138741897499996</v>
      </c>
      <c r="AB403" s="50" t="s">
        <v>3516</v>
      </c>
      <c r="AD403" s="53">
        <v>2.66</v>
      </c>
      <c r="AF403" s="53">
        <v>7.6820824330555553</v>
      </c>
      <c r="AG403" s="83"/>
      <c r="AH403" s="53">
        <v>2.66</v>
      </c>
      <c r="AN403" s="53" t="s">
        <v>4516</v>
      </c>
      <c r="AT403" s="53" t="b">
        <f>ISNUMBER(MATCH(IF(LEN('USER INPUT SHEET'!rng_province)&gt;0,'USER INPUT SHEET'!rng_province,"Canada"),$AU403:$BD403,0))</f>
        <v>0</v>
      </c>
      <c r="AU403" s="1286"/>
      <c r="AV403" s="1286"/>
      <c r="AW403" s="1286"/>
      <c r="AX403" s="1286"/>
      <c r="AY403" s="1286"/>
      <c r="AZ403" s="1286"/>
      <c r="BA403" s="1286"/>
      <c r="BB403" s="1286"/>
      <c r="BC403" s="1286"/>
      <c r="BD403" s="1286"/>
    </row>
    <row r="404" spans="1:56" ht="15.75" customHeight="1" x14ac:dyDescent="0.3">
      <c r="A404" s="50" t="str">
        <f t="shared" si="66"/>
        <v xml:space="preserve">(ARCHIVED 2025) Wood framing - Softwood / Roseburg /  / </v>
      </c>
      <c r="B404" s="50" t="s">
        <v>4482</v>
      </c>
      <c r="C404" s="50" t="s">
        <v>726</v>
      </c>
      <c r="D404" s="50"/>
      <c r="H404" s="50" t="s">
        <v>1379</v>
      </c>
      <c r="I404" s="50" t="s">
        <v>129</v>
      </c>
      <c r="J404" s="50"/>
      <c r="K404" s="50">
        <v>44.7</v>
      </c>
      <c r="L404" s="50" t="s">
        <v>3</v>
      </c>
      <c r="M404" s="72">
        <f>(K404)</f>
        <v>44.7</v>
      </c>
      <c r="N404" s="50" t="s">
        <v>3</v>
      </c>
      <c r="O404" s="53" t="s">
        <v>812</v>
      </c>
      <c r="P404" s="53" t="s">
        <v>143</v>
      </c>
      <c r="Q404" s="367">
        <v>2023</v>
      </c>
      <c r="R404" s="53">
        <v>456</v>
      </c>
      <c r="S404" s="53" t="s">
        <v>121</v>
      </c>
      <c r="Y404" s="53">
        <v>1</v>
      </c>
      <c r="Z404" s="53">
        <v>0.5</v>
      </c>
      <c r="AA404" s="78">
        <f>_xlfn.NUMBERVALUE(IF(LEN(AG404)&gt;0,AG404,0))</f>
        <v>0</v>
      </c>
      <c r="AB404" s="53" t="s">
        <v>3</v>
      </c>
      <c r="AC404" s="53">
        <v>0.82499999999999996</v>
      </c>
      <c r="AD404" s="53">
        <f>R404*Y404*Z404</f>
        <v>228</v>
      </c>
      <c r="AG404" s="83"/>
      <c r="AH404" s="53" t="s">
        <v>3</v>
      </c>
      <c r="AN404" s="53">
        <v>246</v>
      </c>
      <c r="AR404" s="264" t="str">
        <f ca="1">IF(LEN(Q404)=4,IF(Q404&lt;YEAR(NOW()),_xlfn.CONCAT(IF(LOWER(Setting!rng_language)="english","Expired ","Expiré "),Q404),""),"")</f>
        <v>Expired 2023</v>
      </c>
      <c r="AT404" s="53" t="b">
        <f>ISNUMBER(MATCH(IF(LEN('USER INPUT SHEET'!rng_province)&gt;0,'USER INPUT SHEET'!rng_province,"Canada"),$AU404:$BD404,0))</f>
        <v>0</v>
      </c>
      <c r="AU404" s="1286"/>
      <c r="AV404" s="1286"/>
      <c r="AW404" s="1286"/>
      <c r="AX404" s="1286"/>
      <c r="AY404" s="1286"/>
      <c r="AZ404" s="1286"/>
      <c r="BA404" s="1286"/>
      <c r="BB404" s="1286"/>
      <c r="BC404" s="1286"/>
      <c r="BD404" s="1286"/>
    </row>
    <row r="405" spans="1:56" ht="15.75" customHeight="1" x14ac:dyDescent="0.3">
      <c r="A405" s="50" t="str">
        <f t="shared" si="66"/>
        <v xml:space="preserve">Wood framing &amp; siding - Redwood / American Wood Council &amp; Canadian Wood Council /  / </v>
      </c>
      <c r="B405" s="50" t="s">
        <v>794</v>
      </c>
      <c r="C405" s="50" t="s">
        <v>402</v>
      </c>
      <c r="D405" s="50"/>
      <c r="H405" s="50" t="s">
        <v>1379</v>
      </c>
      <c r="I405" s="50" t="s">
        <v>129</v>
      </c>
      <c r="J405" s="50"/>
      <c r="K405" s="50">
        <v>37.97</v>
      </c>
      <c r="L405" s="50" t="s">
        <v>3</v>
      </c>
      <c r="M405" s="72">
        <f>(K405*0.0254)</f>
        <v>0.96443799999999991</v>
      </c>
      <c r="N405" s="50" t="s">
        <v>834</v>
      </c>
      <c r="O405" s="53" t="s">
        <v>724</v>
      </c>
      <c r="P405" s="53" t="s">
        <v>143</v>
      </c>
      <c r="Q405" s="367">
        <v>2025</v>
      </c>
      <c r="R405" s="53">
        <f>R404</f>
        <v>456</v>
      </c>
      <c r="S405" s="53" t="str">
        <f>S404</f>
        <v>kg/m3</v>
      </c>
      <c r="Y405" s="53">
        <v>1</v>
      </c>
      <c r="Z405" s="53">
        <v>0.5</v>
      </c>
      <c r="AA405" s="78">
        <f t="shared" ref="AA405:AA414" si="70">_xlfn.NUMBERVALUE(IF(LEN(AG405)&gt;0,AG405,0))</f>
        <v>19.110959999999999</v>
      </c>
      <c r="AB405" s="53" t="s">
        <v>3</v>
      </c>
      <c r="AC405" s="53">
        <f>AC404</f>
        <v>0.82499999999999996</v>
      </c>
      <c r="AD405" s="53">
        <f>R405*Y405*Z405</f>
        <v>228</v>
      </c>
      <c r="AE405" s="52"/>
      <c r="AF405" s="52"/>
      <c r="AG405" s="83">
        <f>(AD405*44/12*0.0254)*rng_biogenic_storage</f>
        <v>19.110960000000002</v>
      </c>
      <c r="AH405" s="52" t="s">
        <v>834</v>
      </c>
      <c r="AN405" s="53">
        <v>247</v>
      </c>
      <c r="AR405" s="264" t="str">
        <f ca="1">IF(LEN(Q405)=4,IF(Q405&lt;YEAR(NOW()),_xlfn.CONCAT(IF(LOWER(Setting!rng_language)="english","Expired ","Expiré "),Q405),""),"")</f>
        <v>Expired 2025</v>
      </c>
      <c r="AT405" s="53" t="b">
        <f>ISNUMBER(MATCH(IF(LEN('USER INPUT SHEET'!rng_province)&gt;0,'USER INPUT SHEET'!rng_province,"Canada"),$AU405:$BD405,0))</f>
        <v>0</v>
      </c>
      <c r="AU405" s="1286"/>
      <c r="AV405" s="1286"/>
      <c r="AW405" s="1286"/>
      <c r="AX405" s="1286"/>
      <c r="AY405" s="1286"/>
      <c r="AZ405" s="1286"/>
      <c r="BA405" s="1286"/>
      <c r="BB405" s="1286"/>
      <c r="BC405" s="1286"/>
      <c r="BD405" s="1286"/>
    </row>
    <row r="406" spans="1:56" ht="15.75" customHeight="1" x14ac:dyDescent="0.3">
      <c r="A406" s="50" t="str">
        <f t="shared" si="66"/>
        <v xml:space="preserve">(ARCHIVED 2026) Wood framing &amp; siding - SPF / American Wood Council &amp; Canadian Wood Council /  / </v>
      </c>
      <c r="B406" s="51" t="s">
        <v>6826</v>
      </c>
      <c r="C406" s="51" t="s">
        <v>402</v>
      </c>
      <c r="D406" s="49"/>
      <c r="E406" s="51"/>
      <c r="F406" s="49"/>
      <c r="G406" s="49"/>
      <c r="H406" s="50" t="s">
        <v>1379</v>
      </c>
      <c r="I406" s="51" t="s">
        <v>129</v>
      </c>
      <c r="J406" s="51"/>
      <c r="K406" s="51">
        <v>63.12</v>
      </c>
      <c r="L406" s="51" t="s">
        <v>3</v>
      </c>
      <c r="M406" s="71">
        <f>(63.12)</f>
        <v>63.12</v>
      </c>
      <c r="N406" s="51" t="s">
        <v>3</v>
      </c>
      <c r="O406" s="49" t="s">
        <v>725</v>
      </c>
      <c r="P406" s="49" t="s">
        <v>143</v>
      </c>
      <c r="Q406" s="368">
        <v>2025</v>
      </c>
      <c r="R406" s="49">
        <v>460</v>
      </c>
      <c r="S406" s="49" t="s">
        <v>121</v>
      </c>
      <c r="T406" s="49"/>
      <c r="U406" s="49"/>
      <c r="V406" s="49"/>
      <c r="W406" s="49"/>
      <c r="X406" s="49"/>
      <c r="Y406" s="49">
        <v>1</v>
      </c>
      <c r="Z406" s="49">
        <v>0.5</v>
      </c>
      <c r="AA406" s="78">
        <f t="shared" si="70"/>
        <v>759</v>
      </c>
      <c r="AB406" s="49" t="s">
        <v>3</v>
      </c>
      <c r="AC406" s="49">
        <v>0.82499999999999996</v>
      </c>
      <c r="AD406" s="49">
        <f>R406*Y406*Z406</f>
        <v>230</v>
      </c>
      <c r="AE406" s="49"/>
      <c r="AF406" s="52"/>
      <c r="AG406" s="82">
        <f>(AD406*44/12)*rng_biogenic_storage</f>
        <v>759</v>
      </c>
      <c r="AH406" s="52" t="s">
        <v>3</v>
      </c>
      <c r="AI406" s="171"/>
      <c r="AJ406" s="171"/>
      <c r="AK406" s="171"/>
      <c r="AL406" s="49"/>
      <c r="AN406" s="53">
        <v>248</v>
      </c>
      <c r="AR406" s="264" t="str">
        <f ca="1">IF(LEN(Q406)=4,IF(Q406&lt;YEAR(NOW()),_xlfn.CONCAT(IF(LOWER(Setting!rng_language)="english","Expired ","Expiré "),Q406),""),"")</f>
        <v>Expired 2025</v>
      </c>
      <c r="AT406" s="53" t="b">
        <f>ISNUMBER(MATCH(IF(LEN('USER INPUT SHEET'!rng_province)&gt;0,'USER INPUT SHEET'!rng_province,"Canada"),$AU406:$BD406,0))</f>
        <v>0</v>
      </c>
      <c r="AU406" s="1286"/>
      <c r="AV406" s="1286"/>
      <c r="AW406" s="1286"/>
      <c r="AX406" s="1286"/>
      <c r="AY406" s="1286"/>
      <c r="AZ406" s="1286"/>
      <c r="BA406" s="1286"/>
      <c r="BB406" s="1286"/>
      <c r="BC406" s="1286"/>
      <c r="BD406" s="1286"/>
    </row>
    <row r="407" spans="1:56" ht="15.75" customHeight="1" x14ac:dyDescent="0.3">
      <c r="A407" s="50" t="str">
        <f t="shared" si="66"/>
        <v xml:space="preserve">Wood - SPF / Canadian Wood Council / British Columbia / </v>
      </c>
      <c r="B407" s="55" t="s">
        <v>6827</v>
      </c>
      <c r="C407" s="55" t="s">
        <v>6806</v>
      </c>
      <c r="D407" s="52" t="s">
        <v>1206</v>
      </c>
      <c r="E407" s="55"/>
      <c r="F407" s="52"/>
      <c r="G407" s="52"/>
      <c r="H407" s="50"/>
      <c r="I407" s="55"/>
      <c r="J407" s="55"/>
      <c r="K407" s="55">
        <v>41.5</v>
      </c>
      <c r="L407" s="55" t="s">
        <v>3</v>
      </c>
      <c r="M407" s="70">
        <v>41.5</v>
      </c>
      <c r="N407" s="55" t="s">
        <v>4242</v>
      </c>
      <c r="O407" s="52" t="s">
        <v>6828</v>
      </c>
      <c r="P407" s="52" t="s">
        <v>3518</v>
      </c>
      <c r="Q407" s="426">
        <v>47518</v>
      </c>
      <c r="R407" s="52">
        <v>428</v>
      </c>
      <c r="S407" s="52" t="s">
        <v>121</v>
      </c>
      <c r="T407" s="52"/>
      <c r="U407" s="52"/>
      <c r="V407" s="52"/>
      <c r="W407" s="52"/>
      <c r="X407" s="52"/>
      <c r="Y407" s="52"/>
      <c r="Z407" s="52"/>
      <c r="AA407" s="78">
        <f t="shared" si="70"/>
        <v>1422</v>
      </c>
      <c r="AB407" s="52"/>
      <c r="AC407" s="52"/>
      <c r="AD407" s="52" t="s">
        <v>3</v>
      </c>
      <c r="AE407" s="52"/>
      <c r="AF407" s="52">
        <v>1580</v>
      </c>
      <c r="AG407" s="81">
        <f t="shared" ref="AG407:AG412" si="71">AF407*rng_biogenic_storage</f>
        <v>1422</v>
      </c>
      <c r="AH407" s="52" t="s">
        <v>3</v>
      </c>
      <c r="AI407" s="163">
        <v>1</v>
      </c>
      <c r="AJ407" s="163">
        <v>1</v>
      </c>
      <c r="AK407" s="163">
        <v>1</v>
      </c>
      <c r="AL407" s="52">
        <v>1</v>
      </c>
      <c r="AN407" s="53" t="s">
        <v>6830</v>
      </c>
      <c r="AT407" s="53" t="b">
        <f>ISNUMBER(MATCH(IF(LEN('USER INPUT SHEET'!rng_province)&gt;0,'USER INPUT SHEET'!rng_province,"Canada"),$AU407:$BD407,0))</f>
        <v>0</v>
      </c>
      <c r="AU407" s="1286"/>
      <c r="AV407" s="1286"/>
      <c r="AW407" s="1286"/>
      <c r="AX407" s="1286"/>
      <c r="AY407" s="1286"/>
      <c r="AZ407" s="1286"/>
      <c r="BA407" s="1286"/>
      <c r="BB407" s="1286"/>
      <c r="BC407" s="1286"/>
      <c r="BD407" s="1286"/>
    </row>
    <row r="408" spans="1:56" ht="15.75" customHeight="1" x14ac:dyDescent="0.3">
      <c r="A408" s="50" t="str">
        <f t="shared" si="66"/>
        <v xml:space="preserve">Wood - SPF / Canadian Wood Council / Alberta / </v>
      </c>
      <c r="B408" s="55" t="s">
        <v>6827</v>
      </c>
      <c r="C408" s="55" t="s">
        <v>6806</v>
      </c>
      <c r="D408" s="52" t="s">
        <v>1207</v>
      </c>
      <c r="E408" s="55"/>
      <c r="F408" s="52"/>
      <c r="G408" s="52"/>
      <c r="H408" s="50"/>
      <c r="I408" s="55"/>
      <c r="J408" s="55"/>
      <c r="K408" s="55">
        <v>57</v>
      </c>
      <c r="L408" s="55" t="s">
        <v>3</v>
      </c>
      <c r="M408" s="70">
        <v>57</v>
      </c>
      <c r="N408" s="55" t="s">
        <v>4242</v>
      </c>
      <c r="O408" s="52" t="s">
        <v>6828</v>
      </c>
      <c r="P408" s="52" t="s">
        <v>3518</v>
      </c>
      <c r="Q408" s="426">
        <v>47518</v>
      </c>
      <c r="R408" s="52">
        <v>428</v>
      </c>
      <c r="S408" s="52" t="s">
        <v>121</v>
      </c>
      <c r="T408" s="52"/>
      <c r="U408" s="52"/>
      <c r="V408" s="52"/>
      <c r="W408" s="52"/>
      <c r="X408" s="52"/>
      <c r="Y408" s="52"/>
      <c r="Z408" s="52"/>
      <c r="AA408" s="78">
        <f t="shared" si="70"/>
        <v>1512</v>
      </c>
      <c r="AB408" s="52"/>
      <c r="AC408" s="52"/>
      <c r="AD408" s="52" t="s">
        <v>3</v>
      </c>
      <c r="AE408" s="52"/>
      <c r="AF408" s="52">
        <v>1680</v>
      </c>
      <c r="AG408" s="81">
        <f t="shared" si="71"/>
        <v>1512</v>
      </c>
      <c r="AH408" s="52" t="s">
        <v>3</v>
      </c>
      <c r="AI408" s="163">
        <v>1</v>
      </c>
      <c r="AJ408" s="163">
        <v>1</v>
      </c>
      <c r="AK408" s="163">
        <v>1</v>
      </c>
      <c r="AL408" s="52">
        <v>1</v>
      </c>
      <c r="AN408" s="53" t="s">
        <v>6831</v>
      </c>
      <c r="AT408" s="53" t="b">
        <f>ISNUMBER(MATCH(IF(LEN('USER INPUT SHEET'!rng_province)&gt;0,'USER INPUT SHEET'!rng_province,"Canada"),$AU408:$BD408,0))</f>
        <v>0</v>
      </c>
      <c r="AU408" s="1286"/>
      <c r="AV408" s="1286"/>
      <c r="AW408" s="1286"/>
      <c r="AX408" s="1286"/>
      <c r="AY408" s="1286"/>
      <c r="AZ408" s="1286"/>
      <c r="BA408" s="1286"/>
      <c r="BB408" s="1286"/>
      <c r="BC408" s="1286"/>
      <c r="BD408" s="1286"/>
    </row>
    <row r="409" spans="1:56" ht="15.75" customHeight="1" x14ac:dyDescent="0.3">
      <c r="A409" s="50" t="str">
        <f t="shared" si="66"/>
        <v xml:space="preserve">Wood - SPF / Canadian Wood Council / Ontario / </v>
      </c>
      <c r="B409" s="55" t="s">
        <v>6827</v>
      </c>
      <c r="C409" s="55" t="s">
        <v>6806</v>
      </c>
      <c r="D409" s="52" t="s">
        <v>1110</v>
      </c>
      <c r="E409" s="55"/>
      <c r="F409" s="52"/>
      <c r="G409" s="52"/>
      <c r="H409" s="50"/>
      <c r="I409" s="55"/>
      <c r="J409" s="55"/>
      <c r="K409" s="55">
        <v>54.6</v>
      </c>
      <c r="L409" s="55" t="s">
        <v>3</v>
      </c>
      <c r="M409" s="70">
        <v>54.6</v>
      </c>
      <c r="N409" s="55" t="s">
        <v>4242</v>
      </c>
      <c r="O409" s="52" t="s">
        <v>6828</v>
      </c>
      <c r="P409" s="52" t="s">
        <v>3518</v>
      </c>
      <c r="Q409" s="426">
        <v>47518</v>
      </c>
      <c r="R409" s="52">
        <v>428</v>
      </c>
      <c r="S409" s="52" t="s">
        <v>121</v>
      </c>
      <c r="T409" s="52"/>
      <c r="U409" s="52"/>
      <c r="V409" s="52"/>
      <c r="W409" s="52"/>
      <c r="X409" s="52"/>
      <c r="Y409" s="52"/>
      <c r="Z409" s="52"/>
      <c r="AA409" s="78">
        <f t="shared" si="70"/>
        <v>1782</v>
      </c>
      <c r="AB409" s="52"/>
      <c r="AC409" s="52"/>
      <c r="AD409" s="52" t="s">
        <v>3</v>
      </c>
      <c r="AE409" s="52"/>
      <c r="AF409" s="52">
        <v>1980</v>
      </c>
      <c r="AG409" s="81">
        <f t="shared" si="71"/>
        <v>1782</v>
      </c>
      <c r="AH409" s="52" t="s">
        <v>3</v>
      </c>
      <c r="AI409" s="163">
        <v>1</v>
      </c>
      <c r="AJ409" s="163">
        <v>1</v>
      </c>
      <c r="AK409" s="163">
        <v>1</v>
      </c>
      <c r="AL409" s="52">
        <v>1</v>
      </c>
      <c r="AN409" s="53" t="s">
        <v>6832</v>
      </c>
      <c r="AT409" s="53" t="b">
        <f>ISNUMBER(MATCH(IF(LEN('USER INPUT SHEET'!rng_province)&gt;0,'USER INPUT SHEET'!rng_province,"Canada"),$AU409:$BD409,0))</f>
        <v>0</v>
      </c>
      <c r="AU409" s="1286"/>
      <c r="AV409" s="1286"/>
      <c r="AW409" s="1286"/>
      <c r="AX409" s="1286"/>
      <c r="AY409" s="1286"/>
      <c r="AZ409" s="1286"/>
      <c r="BA409" s="1286"/>
      <c r="BB409" s="1286"/>
      <c r="BC409" s="1286"/>
      <c r="BD409" s="1286"/>
    </row>
    <row r="410" spans="1:56" ht="15.75" customHeight="1" x14ac:dyDescent="0.3">
      <c r="A410" s="50" t="str">
        <f t="shared" si="66"/>
        <v xml:space="preserve">Wood - SPF / Canadian Wood Council / Quebec / </v>
      </c>
      <c r="B410" s="55" t="s">
        <v>6827</v>
      </c>
      <c r="C410" s="55" t="s">
        <v>6806</v>
      </c>
      <c r="D410" s="52" t="s">
        <v>1210</v>
      </c>
      <c r="E410" s="55"/>
      <c r="F410" s="52"/>
      <c r="G410" s="52"/>
      <c r="H410" s="50"/>
      <c r="I410" s="55"/>
      <c r="J410" s="55"/>
      <c r="K410" s="55">
        <v>24.8</v>
      </c>
      <c r="L410" s="55" t="s">
        <v>3</v>
      </c>
      <c r="M410" s="70">
        <v>24.8</v>
      </c>
      <c r="N410" s="55" t="s">
        <v>4242</v>
      </c>
      <c r="O410" s="52" t="s">
        <v>6828</v>
      </c>
      <c r="P410" s="52" t="s">
        <v>3518</v>
      </c>
      <c r="Q410" s="426">
        <v>47518</v>
      </c>
      <c r="R410" s="52">
        <v>428</v>
      </c>
      <c r="S410" s="52" t="s">
        <v>121</v>
      </c>
      <c r="T410" s="52"/>
      <c r="U410" s="52"/>
      <c r="V410" s="52"/>
      <c r="W410" s="52"/>
      <c r="X410" s="52"/>
      <c r="Y410" s="52"/>
      <c r="Z410" s="52"/>
      <c r="AA410" s="78">
        <f t="shared" si="70"/>
        <v>1656</v>
      </c>
      <c r="AB410" s="52"/>
      <c r="AC410" s="52"/>
      <c r="AD410" s="52" t="s">
        <v>3</v>
      </c>
      <c r="AE410" s="52"/>
      <c r="AF410" s="52">
        <v>1840</v>
      </c>
      <c r="AG410" s="81">
        <f t="shared" si="71"/>
        <v>1656</v>
      </c>
      <c r="AH410" s="52" t="s">
        <v>3</v>
      </c>
      <c r="AI410" s="163">
        <v>1</v>
      </c>
      <c r="AJ410" s="163">
        <v>1</v>
      </c>
      <c r="AK410" s="163">
        <v>1</v>
      </c>
      <c r="AL410" s="52">
        <v>1</v>
      </c>
      <c r="AN410" s="53" t="s">
        <v>6833</v>
      </c>
      <c r="AT410" s="53" t="b">
        <f>ISNUMBER(MATCH(IF(LEN('USER INPUT SHEET'!rng_province)&gt;0,'USER INPUT SHEET'!rng_province,"Canada"),$AU410:$BD410,0))</f>
        <v>0</v>
      </c>
      <c r="AU410" s="1286"/>
      <c r="AV410" s="1286"/>
      <c r="AW410" s="1286"/>
      <c r="AX410" s="1286"/>
      <c r="AY410" s="1286"/>
      <c r="AZ410" s="1286"/>
      <c r="BA410" s="1286"/>
      <c r="BB410" s="1286"/>
      <c r="BC410" s="1286"/>
      <c r="BD410" s="1286"/>
    </row>
    <row r="411" spans="1:56" ht="15.75" customHeight="1" x14ac:dyDescent="0.3">
      <c r="A411" s="50" t="str">
        <f t="shared" si="66"/>
        <v xml:space="preserve">Wood - SPF / Canadian Wood Council / New Brunswick / </v>
      </c>
      <c r="B411" s="55" t="s">
        <v>6827</v>
      </c>
      <c r="C411" s="55" t="s">
        <v>6806</v>
      </c>
      <c r="D411" s="52" t="s">
        <v>1212</v>
      </c>
      <c r="E411" s="55"/>
      <c r="F411" s="52"/>
      <c r="G411" s="52"/>
      <c r="H411" s="50"/>
      <c r="I411" s="55"/>
      <c r="J411" s="55"/>
      <c r="K411" s="55">
        <v>41.4</v>
      </c>
      <c r="L411" s="55" t="s">
        <v>3</v>
      </c>
      <c r="M411" s="70">
        <v>41.4</v>
      </c>
      <c r="N411" s="55" t="s">
        <v>4242</v>
      </c>
      <c r="O411" s="52" t="s">
        <v>6828</v>
      </c>
      <c r="P411" s="52" t="s">
        <v>3518</v>
      </c>
      <c r="Q411" s="426">
        <v>47518</v>
      </c>
      <c r="R411" s="52">
        <v>428</v>
      </c>
      <c r="S411" s="52" t="s">
        <v>121</v>
      </c>
      <c r="T411" s="52"/>
      <c r="U411" s="52"/>
      <c r="V411" s="52"/>
      <c r="W411" s="52"/>
      <c r="X411" s="52"/>
      <c r="Y411" s="52"/>
      <c r="Z411" s="52"/>
      <c r="AA411" s="78">
        <f t="shared" si="70"/>
        <v>1746</v>
      </c>
      <c r="AB411" s="52"/>
      <c r="AC411" s="52"/>
      <c r="AD411" s="52" t="s">
        <v>3</v>
      </c>
      <c r="AE411" s="52"/>
      <c r="AF411" s="52">
        <v>1940</v>
      </c>
      <c r="AG411" s="81">
        <f t="shared" si="71"/>
        <v>1746</v>
      </c>
      <c r="AH411" s="52" t="s">
        <v>3</v>
      </c>
      <c r="AI411" s="163">
        <v>1</v>
      </c>
      <c r="AJ411" s="163">
        <v>1</v>
      </c>
      <c r="AK411" s="163">
        <v>1</v>
      </c>
      <c r="AL411" s="52">
        <v>1</v>
      </c>
      <c r="AN411" s="53" t="s">
        <v>6834</v>
      </c>
      <c r="AT411" s="53" t="b">
        <f>ISNUMBER(MATCH(IF(LEN('USER INPUT SHEET'!rng_province)&gt;0,'USER INPUT SHEET'!rng_province,"Canada"),$AU411:$BD411,0))</f>
        <v>0</v>
      </c>
      <c r="AU411" s="1286"/>
      <c r="AV411" s="1286"/>
      <c r="AW411" s="1286"/>
      <c r="AX411" s="1286"/>
      <c r="AY411" s="1286"/>
      <c r="AZ411" s="1286"/>
      <c r="BA411" s="1286"/>
      <c r="BB411" s="1286"/>
      <c r="BC411" s="1286"/>
      <c r="BD411" s="1286"/>
    </row>
    <row r="412" spans="1:56" ht="15.75" customHeight="1" x14ac:dyDescent="0.3">
      <c r="A412" s="50" t="str">
        <f t="shared" si="66"/>
        <v xml:space="preserve">Wood - SPF / Canadian Wood Council / Atlantic Canada / </v>
      </c>
      <c r="B412" s="55" t="s">
        <v>6827</v>
      </c>
      <c r="C412" s="55" t="s">
        <v>6806</v>
      </c>
      <c r="D412" s="52" t="s">
        <v>6829</v>
      </c>
      <c r="E412" s="55"/>
      <c r="F412" s="52"/>
      <c r="G412" s="52"/>
      <c r="H412" s="50"/>
      <c r="I412" s="55"/>
      <c r="J412" s="55"/>
      <c r="K412" s="55">
        <v>37.1</v>
      </c>
      <c r="L412" s="55" t="s">
        <v>3</v>
      </c>
      <c r="M412" s="70">
        <v>37.1</v>
      </c>
      <c r="N412" s="55" t="s">
        <v>4242</v>
      </c>
      <c r="O412" s="52" t="s">
        <v>6828</v>
      </c>
      <c r="P412" s="52" t="s">
        <v>3518</v>
      </c>
      <c r="Q412" s="426">
        <v>47518</v>
      </c>
      <c r="R412" s="52">
        <v>428</v>
      </c>
      <c r="S412" s="52" t="s">
        <v>121</v>
      </c>
      <c r="T412" s="52"/>
      <c r="U412" s="52"/>
      <c r="V412" s="52"/>
      <c r="W412" s="52"/>
      <c r="X412" s="52"/>
      <c r="Y412" s="52"/>
      <c r="Z412" s="52"/>
      <c r="AA412" s="78">
        <f t="shared" si="70"/>
        <v>1602</v>
      </c>
      <c r="AB412" s="52"/>
      <c r="AC412" s="52"/>
      <c r="AD412" s="52" t="s">
        <v>3</v>
      </c>
      <c r="AE412" s="52"/>
      <c r="AF412" s="52">
        <v>1780</v>
      </c>
      <c r="AG412" s="81">
        <f t="shared" si="71"/>
        <v>1602</v>
      </c>
      <c r="AH412" s="52" t="s">
        <v>3</v>
      </c>
      <c r="AI412" s="163">
        <v>1</v>
      </c>
      <c r="AJ412" s="163">
        <v>1</v>
      </c>
      <c r="AK412" s="163">
        <v>1</v>
      </c>
      <c r="AL412" s="52">
        <v>1</v>
      </c>
      <c r="AN412" s="53" t="s">
        <v>6835</v>
      </c>
      <c r="AT412" s="53" t="b">
        <f>ISNUMBER(MATCH(IF(LEN('USER INPUT SHEET'!rng_province)&gt;0,'USER INPUT SHEET'!rng_province,"Canada"),$AU412:$BD412,0))</f>
        <v>0</v>
      </c>
      <c r="AU412" s="1286"/>
      <c r="AV412" s="1286"/>
      <c r="AW412" s="1286"/>
      <c r="AX412" s="1286"/>
      <c r="AY412" s="1286"/>
      <c r="AZ412" s="1286"/>
      <c r="BA412" s="1286"/>
      <c r="BB412" s="1286"/>
      <c r="BC412" s="1286"/>
      <c r="BD412" s="1286"/>
    </row>
    <row r="413" spans="1:56" ht="15.75" customHeight="1" x14ac:dyDescent="0.3">
      <c r="A413" s="51" t="str">
        <f t="shared" si="27"/>
        <v>(ARCHIVED 2026) Wood I joist / American Wood Council &amp; Canadian Wood Council /  / TJI 230/360</v>
      </c>
      <c r="B413" s="51" t="s">
        <v>6811</v>
      </c>
      <c r="C413" s="51" t="s">
        <v>402</v>
      </c>
      <c r="D413" s="49"/>
      <c r="E413" s="51" t="s">
        <v>821</v>
      </c>
      <c r="F413" s="49"/>
      <c r="G413" s="49"/>
      <c r="H413" s="50" t="s">
        <v>1379</v>
      </c>
      <c r="I413" s="51" t="s">
        <v>124</v>
      </c>
      <c r="J413" s="51"/>
      <c r="K413" s="51">
        <v>1.97</v>
      </c>
      <c r="L413" s="51" t="s">
        <v>857</v>
      </c>
      <c r="M413" s="71">
        <f>(1.054)</f>
        <v>1.054</v>
      </c>
      <c r="N413" s="51" t="s">
        <v>857</v>
      </c>
      <c r="O413" s="49" t="s">
        <v>729</v>
      </c>
      <c r="P413" s="49" t="s">
        <v>143</v>
      </c>
      <c r="Q413" s="368">
        <v>2025</v>
      </c>
      <c r="R413" s="49">
        <v>4.34</v>
      </c>
      <c r="S413" s="49" t="s">
        <v>728</v>
      </c>
      <c r="T413" s="49"/>
      <c r="U413" s="49"/>
      <c r="V413" s="49"/>
      <c r="W413" s="49"/>
      <c r="X413" s="49"/>
      <c r="Y413" s="49">
        <v>0.97499999999999998</v>
      </c>
      <c r="Z413" s="49">
        <v>0.5</v>
      </c>
      <c r="AA413" s="78">
        <f t="shared" si="70"/>
        <v>6.9819750000000003</v>
      </c>
      <c r="AB413" s="49" t="s">
        <v>22</v>
      </c>
      <c r="AC413" s="49">
        <v>0.82499999999999996</v>
      </c>
      <c r="AD413" s="49">
        <f>R413*Y413*Z413</f>
        <v>2.1157499999999998</v>
      </c>
      <c r="AE413" s="49" t="s">
        <v>818</v>
      </c>
      <c r="AF413" s="52"/>
      <c r="AG413" s="82">
        <f>(AD413*44/12)*rng_biogenic_storage</f>
        <v>6.9819749999999994</v>
      </c>
      <c r="AH413" s="52" t="s">
        <v>857</v>
      </c>
      <c r="AI413" s="171"/>
      <c r="AJ413" s="171"/>
      <c r="AK413" s="171"/>
      <c r="AL413" s="49"/>
      <c r="AN413" s="53" t="s">
        <v>6818</v>
      </c>
      <c r="AR413" s="264" t="str">
        <f ca="1">IF(LEN(Q413)=4,IF(Q413&lt;YEAR(NOW()),_xlfn.CONCAT(IF(LOWER(Setting!rng_language)="english","Expired ","Expiré "),Q413),""),"")</f>
        <v>Expired 2025</v>
      </c>
      <c r="AT413" s="53" t="b">
        <f>ISNUMBER(MATCH(IF(LEN('USER INPUT SHEET'!rng_province)&gt;0,'USER INPUT SHEET'!rng_province,"Canada"),$AU413:$BD413,0))</f>
        <v>0</v>
      </c>
      <c r="AU413" s="1286"/>
      <c r="AV413" s="1286"/>
      <c r="AW413" s="1286"/>
      <c r="AX413" s="1286"/>
      <c r="AY413" s="1286"/>
      <c r="AZ413" s="1286"/>
      <c r="BA413" s="1286"/>
      <c r="BB413" s="1286"/>
      <c r="BC413" s="1286"/>
      <c r="BD413" s="1286"/>
    </row>
    <row r="414" spans="1:56" ht="15.75" customHeight="1" x14ac:dyDescent="0.3">
      <c r="A414" s="51" t="str">
        <f t="shared" si="27"/>
        <v>Wood I joist / Canadian Wood Council /  / TJI 230/360</v>
      </c>
      <c r="B414" s="55" t="s">
        <v>727</v>
      </c>
      <c r="C414" s="55" t="s">
        <v>6806</v>
      </c>
      <c r="D414" s="52"/>
      <c r="E414" s="55" t="s">
        <v>821</v>
      </c>
      <c r="F414" s="52"/>
      <c r="G414" s="52"/>
      <c r="H414" s="50" t="s">
        <v>6812</v>
      </c>
      <c r="I414" s="55"/>
      <c r="J414" s="55"/>
      <c r="K414" s="55">
        <v>2.08</v>
      </c>
      <c r="L414" s="55" t="s">
        <v>6813</v>
      </c>
      <c r="M414" s="70">
        <v>2.08</v>
      </c>
      <c r="N414" s="55" t="s">
        <v>6814</v>
      </c>
      <c r="O414" s="52" t="s">
        <v>6815</v>
      </c>
      <c r="P414" s="52" t="s">
        <v>3518</v>
      </c>
      <c r="Q414" s="426">
        <v>47518</v>
      </c>
      <c r="R414" s="52">
        <v>4.66</v>
      </c>
      <c r="S414" s="52" t="s">
        <v>6816</v>
      </c>
      <c r="T414" s="52">
        <v>1</v>
      </c>
      <c r="U414" s="52" t="s">
        <v>6817</v>
      </c>
      <c r="V414" s="52"/>
      <c r="W414" s="52"/>
      <c r="X414" s="52"/>
      <c r="Y414" s="52"/>
      <c r="Z414" s="52"/>
      <c r="AA414" s="78">
        <f t="shared" si="70"/>
        <v>7.9379999999999997</v>
      </c>
      <c r="AB414" s="52"/>
      <c r="AC414" s="52"/>
      <c r="AD414" s="52"/>
      <c r="AE414" s="52"/>
      <c r="AF414" s="52">
        <v>8.82</v>
      </c>
      <c r="AG414" s="81">
        <f>AF414*rng_biogenic_storage</f>
        <v>7.9380000000000006</v>
      </c>
      <c r="AH414" s="52"/>
      <c r="AI414" s="163"/>
      <c r="AJ414" s="163"/>
      <c r="AK414" s="163"/>
      <c r="AL414" s="52"/>
      <c r="AN414" s="53">
        <v>249</v>
      </c>
      <c r="AT414" s="53" t="b">
        <f>ISNUMBER(MATCH(IF(LEN('USER INPUT SHEET'!rng_province)&gt;0,'USER INPUT SHEET'!rng_province,"Canada"),$AU414:$BD414,0))</f>
        <v>0</v>
      </c>
      <c r="AU414" s="1286"/>
      <c r="AV414" s="1286"/>
      <c r="AW414" s="1286"/>
      <c r="AX414" s="1286"/>
      <c r="AY414" s="1286"/>
      <c r="AZ414" s="1286"/>
      <c r="BA414" s="1286"/>
      <c r="BB414" s="1286"/>
      <c r="BC414" s="1286"/>
      <c r="BD414" s="1286"/>
    </row>
    <row r="415" spans="1:56" ht="15.75" customHeight="1" x14ac:dyDescent="0.3">
      <c r="A415" s="50" t="str">
        <f t="shared" si="27"/>
        <v xml:space="preserve">(ARCHIVED 2025) Wood I joist / Roseburg / RFPI Joist / </v>
      </c>
      <c r="B415" s="50" t="s">
        <v>4489</v>
      </c>
      <c r="C415" s="50" t="s">
        <v>726</v>
      </c>
      <c r="D415" s="50" t="s">
        <v>730</v>
      </c>
      <c r="E415" s="50"/>
      <c r="H415" s="50" t="s">
        <v>1379</v>
      </c>
      <c r="I415" s="50" t="s">
        <v>129</v>
      </c>
      <c r="J415" s="50"/>
      <c r="K415" s="50">
        <v>1.82</v>
      </c>
      <c r="L415" s="50" t="s">
        <v>22</v>
      </c>
      <c r="M415" s="71">
        <f>(K415)</f>
        <v>1.82</v>
      </c>
      <c r="N415" s="52" t="s">
        <v>853</v>
      </c>
      <c r="O415" s="53" t="s">
        <v>813</v>
      </c>
      <c r="P415" s="53" t="s">
        <v>143</v>
      </c>
      <c r="Q415" s="367">
        <v>2023</v>
      </c>
      <c r="R415" s="53">
        <v>3.9</v>
      </c>
      <c r="S415" s="53" t="s">
        <v>423</v>
      </c>
      <c r="Y415" s="53">
        <v>0.9</v>
      </c>
      <c r="Z415" s="53">
        <v>0.5</v>
      </c>
      <c r="AA415" s="78">
        <f>_xlfn.NUMBERVALUE(IF(LEN(AG415)&gt;0,AG415,0))</f>
        <v>0</v>
      </c>
      <c r="AB415" s="52" t="s">
        <v>853</v>
      </c>
      <c r="AC415" s="53">
        <v>0.82499999999999996</v>
      </c>
      <c r="AD415" s="53">
        <f>R415*Y415*Z415</f>
        <v>1.7549999999999999</v>
      </c>
      <c r="AG415" s="82"/>
      <c r="AN415" s="53">
        <v>250</v>
      </c>
      <c r="AR415" s="264" t="str">
        <f ca="1">IF(LEN(Q415)=4,IF(Q415&lt;YEAR(NOW()),_xlfn.CONCAT(IF(LOWER(Setting!rng_language)="english","Expired ","Expiré "),Q415),""),"")</f>
        <v>Expired 2023</v>
      </c>
      <c r="AT415" s="53" t="b">
        <f>ISNUMBER(MATCH(IF(LEN('USER INPUT SHEET'!rng_province)&gt;0,'USER INPUT SHEET'!rng_province,"Canada"),$AU415:$BD415,0))</f>
        <v>0</v>
      </c>
      <c r="AU415" s="1286"/>
      <c r="AV415" s="1286"/>
      <c r="AW415" s="1286"/>
      <c r="AX415" s="1286"/>
      <c r="AY415" s="1286"/>
      <c r="AZ415" s="1286"/>
      <c r="BA415" s="1286"/>
      <c r="BB415" s="1286"/>
      <c r="BC415" s="1286"/>
      <c r="BD415" s="1286"/>
    </row>
    <row r="416" spans="1:56" ht="15.75" customHeight="1" x14ac:dyDescent="0.3">
      <c r="A416" s="50" t="str">
        <f t="shared" si="27"/>
        <v>Wood I-joist / RedBuilt / Red I-45 / 11.875" depth, 1.75 x 1.5" LVL flanges</v>
      </c>
      <c r="B416" s="50" t="s">
        <v>4490</v>
      </c>
      <c r="C416" s="50" t="s">
        <v>441</v>
      </c>
      <c r="D416" s="50" t="s">
        <v>4491</v>
      </c>
      <c r="E416" s="50" t="s">
        <v>4492</v>
      </c>
      <c r="H416" s="50"/>
      <c r="I416" s="50" t="s">
        <v>3500</v>
      </c>
      <c r="J416" s="401">
        <v>45329</v>
      </c>
      <c r="K416" s="50">
        <v>2.5663716814159292</v>
      </c>
      <c r="L416" s="50" t="s">
        <v>22</v>
      </c>
      <c r="M416" s="70">
        <v>2.5663716814159292</v>
      </c>
      <c r="N416" s="52" t="s">
        <v>22</v>
      </c>
      <c r="O416" s="53" t="s">
        <v>4493</v>
      </c>
      <c r="P416" s="53" t="s">
        <v>415</v>
      </c>
      <c r="Q416" s="367">
        <v>2026</v>
      </c>
      <c r="T416" s="53">
        <v>3.28</v>
      </c>
      <c r="U416" s="53" t="s">
        <v>423</v>
      </c>
      <c r="Y416" s="53">
        <v>0.91</v>
      </c>
      <c r="Z416" s="53">
        <v>0.5</v>
      </c>
      <c r="AA416" s="78">
        <f t="shared" ref="AA416:AA425" si="72">_xlfn.NUMBERVALUE(IF(LEN(AG416)&gt;0,AG416,0))</f>
        <v>4.9249200000000002</v>
      </c>
      <c r="AB416" s="52" t="s">
        <v>4494</v>
      </c>
      <c r="AD416" s="53">
        <f>T416*Y416*Z416</f>
        <v>1.4923999999999999</v>
      </c>
      <c r="AF416" s="53">
        <v>5.4771079999999994</v>
      </c>
      <c r="AG416" s="81">
        <f t="shared" ref="AG416:AG421" si="73">(AD416*44/12)*rng_biogenic_storage</f>
        <v>4.9249199999999993</v>
      </c>
      <c r="AH416" s="53" t="s">
        <v>4494</v>
      </c>
      <c r="AN416" s="53" t="s">
        <v>4517</v>
      </c>
      <c r="AT416" s="53" t="b">
        <f>ISNUMBER(MATCH(IF(LEN('USER INPUT SHEET'!rng_province)&gt;0,'USER INPUT SHEET'!rng_province,"Canada"),$AU416:$BD416,0))</f>
        <v>0</v>
      </c>
      <c r="AU416" s="1286"/>
      <c r="AV416" s="1286"/>
      <c r="AW416" s="1286"/>
      <c r="AX416" s="1286"/>
      <c r="AY416" s="1286"/>
      <c r="AZ416" s="1286"/>
      <c r="BA416" s="1286"/>
      <c r="BB416" s="1286"/>
      <c r="BC416" s="1286"/>
      <c r="BD416" s="1286"/>
    </row>
    <row r="417" spans="1:56" ht="15.75" customHeight="1" x14ac:dyDescent="0.3">
      <c r="A417" s="50" t="str">
        <f t="shared" si="27"/>
        <v>Wood I-joist / RedBuilt / Red I-45 / 14" depth, 1.75 x 1.5" LVL flanges</v>
      </c>
      <c r="B417" s="50" t="s">
        <v>4490</v>
      </c>
      <c r="C417" s="50" t="s">
        <v>441</v>
      </c>
      <c r="D417" s="50" t="s">
        <v>4491</v>
      </c>
      <c r="E417" s="50" t="s">
        <v>4495</v>
      </c>
      <c r="H417" s="50"/>
      <c r="I417" s="50" t="s">
        <v>3500</v>
      </c>
      <c r="J417" s="401">
        <v>45329</v>
      </c>
      <c r="K417" s="50">
        <v>2.9</v>
      </c>
      <c r="L417" s="50" t="s">
        <v>22</v>
      </c>
      <c r="M417" s="70">
        <v>2.9</v>
      </c>
      <c r="N417" s="52" t="s">
        <v>22</v>
      </c>
      <c r="O417" s="53" t="s">
        <v>4493</v>
      </c>
      <c r="P417" s="53" t="s">
        <v>415</v>
      </c>
      <c r="Q417" s="367">
        <v>2026</v>
      </c>
      <c r="T417" s="53">
        <v>3.72</v>
      </c>
      <c r="U417" s="53" t="s">
        <v>423</v>
      </c>
      <c r="Y417" s="53">
        <v>0.91</v>
      </c>
      <c r="Z417" s="53">
        <v>0.5</v>
      </c>
      <c r="AA417" s="78">
        <f t="shared" si="72"/>
        <v>5.5855800000000002</v>
      </c>
      <c r="AB417" s="52" t="s">
        <v>4494</v>
      </c>
      <c r="AD417" s="53">
        <f t="shared" ref="AD417:AD421" si="74">T417*Y417*Z417</f>
        <v>1.6926000000000001</v>
      </c>
      <c r="AF417" s="53">
        <v>6.2118419999999999</v>
      </c>
      <c r="AG417" s="81">
        <f t="shared" si="73"/>
        <v>5.5855800000000002</v>
      </c>
      <c r="AH417" s="53" t="s">
        <v>4494</v>
      </c>
      <c r="AN417" s="53" t="s">
        <v>3975</v>
      </c>
      <c r="AT417" s="53" t="b">
        <f>ISNUMBER(MATCH(IF(LEN('USER INPUT SHEET'!rng_province)&gt;0,'USER INPUT SHEET'!rng_province,"Canada"),$AU417:$BD417,0))</f>
        <v>0</v>
      </c>
      <c r="AU417" s="1286"/>
      <c r="AV417" s="1286"/>
      <c r="AW417" s="1286"/>
      <c r="AX417" s="1286"/>
      <c r="AY417" s="1286"/>
      <c r="AZ417" s="1286"/>
      <c r="BA417" s="1286"/>
      <c r="BB417" s="1286"/>
      <c r="BC417" s="1286"/>
      <c r="BD417" s="1286"/>
    </row>
    <row r="418" spans="1:56" ht="15.75" customHeight="1" x14ac:dyDescent="0.3">
      <c r="A418" s="50" t="str">
        <f t="shared" si="27"/>
        <v>Wood I-joist / RedBuilt / Red I-45 / 16" depth, 1.75 x 1.5" LVL flanges</v>
      </c>
      <c r="B418" s="50" t="s">
        <v>4490</v>
      </c>
      <c r="C418" s="50" t="s">
        <v>441</v>
      </c>
      <c r="D418" s="50" t="s">
        <v>4491</v>
      </c>
      <c r="E418" s="50" t="s">
        <v>4496</v>
      </c>
      <c r="H418" s="50"/>
      <c r="I418" s="50" t="s">
        <v>3500</v>
      </c>
      <c r="J418" s="401">
        <v>45329</v>
      </c>
      <c r="K418" s="50">
        <v>3.4768817204301072</v>
      </c>
      <c r="L418" s="50" t="s">
        <v>22</v>
      </c>
      <c r="M418" s="70">
        <v>3.4768817204301072</v>
      </c>
      <c r="N418" s="52" t="s">
        <v>22</v>
      </c>
      <c r="O418" s="53" t="s">
        <v>4493</v>
      </c>
      <c r="P418" s="53" t="s">
        <v>415</v>
      </c>
      <c r="Q418" s="367">
        <v>2026</v>
      </c>
      <c r="T418" s="53">
        <v>4.46</v>
      </c>
      <c r="U418" s="53" t="s">
        <v>423</v>
      </c>
      <c r="Y418" s="53">
        <v>0.91</v>
      </c>
      <c r="Z418" s="53">
        <v>0.5</v>
      </c>
      <c r="AA418" s="78">
        <f t="shared" si="72"/>
        <v>6.6966900000000003</v>
      </c>
      <c r="AB418" s="52" t="s">
        <v>4494</v>
      </c>
      <c r="AD418" s="53">
        <f t="shared" si="74"/>
        <v>2.0293000000000001</v>
      </c>
      <c r="AF418" s="53">
        <v>7.4475310000000006</v>
      </c>
      <c r="AG418" s="81">
        <f t="shared" si="73"/>
        <v>6.6966900000000011</v>
      </c>
      <c r="AH418" s="53" t="s">
        <v>4494</v>
      </c>
      <c r="AN418" s="53" t="s">
        <v>4518</v>
      </c>
      <c r="AT418" s="53" t="b">
        <f>ISNUMBER(MATCH(IF(LEN('USER INPUT SHEET'!rng_province)&gt;0,'USER INPUT SHEET'!rng_province,"Canada"),$AU418:$BD418,0))</f>
        <v>0</v>
      </c>
      <c r="AU418" s="1286"/>
      <c r="AV418" s="1286"/>
      <c r="AW418" s="1286"/>
      <c r="AX418" s="1286"/>
      <c r="AY418" s="1286"/>
      <c r="AZ418" s="1286"/>
      <c r="BA418" s="1286"/>
      <c r="BB418" s="1286"/>
      <c r="BC418" s="1286"/>
      <c r="BD418" s="1286"/>
    </row>
    <row r="419" spans="1:56" ht="15.75" customHeight="1" x14ac:dyDescent="0.3">
      <c r="A419" s="50" t="str">
        <f t="shared" si="27"/>
        <v>Wood I-joist / RedBuilt / Red I-65 / 11.875" depth, 2.5 x 1.5" LVL flanges</v>
      </c>
      <c r="B419" s="50" t="s">
        <v>4490</v>
      </c>
      <c r="C419" s="50" t="s">
        <v>441</v>
      </c>
      <c r="D419" s="50" t="s">
        <v>4497</v>
      </c>
      <c r="E419" s="50" t="s">
        <v>4498</v>
      </c>
      <c r="H419" s="50"/>
      <c r="I419" s="50" t="s">
        <v>3500</v>
      </c>
      <c r="J419" s="401">
        <v>45329</v>
      </c>
      <c r="K419" s="50">
        <v>4.1706989247311821</v>
      </c>
      <c r="L419" s="50" t="s">
        <v>22</v>
      </c>
      <c r="M419" s="70">
        <v>4.1706989247311821</v>
      </c>
      <c r="N419" s="52" t="s">
        <v>22</v>
      </c>
      <c r="O419" s="53" t="s">
        <v>4493</v>
      </c>
      <c r="P419" s="53" t="s">
        <v>415</v>
      </c>
      <c r="Q419" s="367">
        <v>2026</v>
      </c>
      <c r="T419" s="53">
        <v>5.35</v>
      </c>
      <c r="U419" s="53" t="s">
        <v>423</v>
      </c>
      <c r="Y419" s="53">
        <v>0.91</v>
      </c>
      <c r="Z419" s="53">
        <v>0.5</v>
      </c>
      <c r="AA419" s="78">
        <f t="shared" si="72"/>
        <v>8.0330250000000003</v>
      </c>
      <c r="AB419" s="52" t="s">
        <v>4494</v>
      </c>
      <c r="AD419" s="53">
        <f t="shared" si="74"/>
        <v>2.43425</v>
      </c>
      <c r="AF419" s="53">
        <v>8.9336974999999992</v>
      </c>
      <c r="AG419" s="81">
        <f t="shared" si="73"/>
        <v>8.0330250000000003</v>
      </c>
      <c r="AH419" s="53" t="s">
        <v>4494</v>
      </c>
      <c r="AN419" s="53" t="s">
        <v>3976</v>
      </c>
      <c r="AT419" s="53" t="b">
        <f>ISNUMBER(MATCH(IF(LEN('USER INPUT SHEET'!rng_province)&gt;0,'USER INPUT SHEET'!rng_province,"Canada"),$AU419:$BD419,0))</f>
        <v>0</v>
      </c>
      <c r="AU419" s="1286"/>
      <c r="AV419" s="1286"/>
      <c r="AW419" s="1286"/>
      <c r="AX419" s="1286"/>
      <c r="AY419" s="1286"/>
      <c r="AZ419" s="1286"/>
      <c r="BA419" s="1286"/>
      <c r="BB419" s="1286"/>
      <c r="BC419" s="1286"/>
      <c r="BD419" s="1286"/>
    </row>
    <row r="420" spans="1:56" ht="15.75" customHeight="1" x14ac:dyDescent="0.3">
      <c r="A420" s="50" t="str">
        <f t="shared" si="27"/>
        <v>Wood I-joist / RedBuilt / Red I-65 / 14" depth, 2.5 x 1.5" LVL flanges</v>
      </c>
      <c r="B420" s="50" t="s">
        <v>4490</v>
      </c>
      <c r="C420" s="50" t="s">
        <v>441</v>
      </c>
      <c r="D420" s="50" t="s">
        <v>4497</v>
      </c>
      <c r="E420" s="50" t="s">
        <v>4499</v>
      </c>
      <c r="H420" s="50"/>
      <c r="I420" s="50" t="s">
        <v>3500</v>
      </c>
      <c r="J420" s="401">
        <v>45329</v>
      </c>
      <c r="K420" s="50">
        <v>4.5293010752688163</v>
      </c>
      <c r="L420" s="50" t="s">
        <v>22</v>
      </c>
      <c r="M420" s="70">
        <v>4.5293010752688163</v>
      </c>
      <c r="N420" s="52" t="s">
        <v>22</v>
      </c>
      <c r="O420" s="53" t="s">
        <v>4493</v>
      </c>
      <c r="P420" s="53" t="s">
        <v>415</v>
      </c>
      <c r="Q420" s="367">
        <v>2026</v>
      </c>
      <c r="T420" s="53">
        <v>5.81</v>
      </c>
      <c r="U420" s="53" t="s">
        <v>423</v>
      </c>
      <c r="Y420" s="53">
        <v>0.91</v>
      </c>
      <c r="Z420" s="53">
        <v>0.5</v>
      </c>
      <c r="AA420" s="78">
        <f t="shared" si="72"/>
        <v>8.7237150000000003</v>
      </c>
      <c r="AB420" s="52" t="s">
        <v>4494</v>
      </c>
      <c r="AD420" s="53">
        <f t="shared" si="74"/>
        <v>2.6435499999999998</v>
      </c>
      <c r="AF420" s="53">
        <v>9.7018284999999995</v>
      </c>
      <c r="AG420" s="81">
        <f t="shared" si="73"/>
        <v>8.7237150000000003</v>
      </c>
      <c r="AH420" s="53" t="s">
        <v>4494</v>
      </c>
      <c r="AN420" s="53" t="s">
        <v>2230</v>
      </c>
      <c r="AT420" s="53" t="b">
        <f>ISNUMBER(MATCH(IF(LEN('USER INPUT SHEET'!rng_province)&gt;0,'USER INPUT SHEET'!rng_province,"Canada"),$AU420:$BD420,0))</f>
        <v>0</v>
      </c>
      <c r="AU420" s="1286"/>
      <c r="AV420" s="1286"/>
      <c r="AW420" s="1286"/>
      <c r="AX420" s="1286"/>
      <c r="AY420" s="1286"/>
      <c r="AZ420" s="1286"/>
      <c r="BA420" s="1286"/>
      <c r="BB420" s="1286"/>
      <c r="BC420" s="1286"/>
      <c r="BD420" s="1286"/>
    </row>
    <row r="421" spans="1:56" ht="15.75" customHeight="1" x14ac:dyDescent="0.3">
      <c r="A421" s="50" t="str">
        <f t="shared" si="27"/>
        <v>Wood I-joist / RedBuilt / Red I-65 / 16" depth, 2.5 x 1.5" LVL flanges</v>
      </c>
      <c r="B421" s="50" t="s">
        <v>4490</v>
      </c>
      <c r="C421" s="50" t="s">
        <v>441</v>
      </c>
      <c r="D421" s="50" t="s">
        <v>4497</v>
      </c>
      <c r="E421" s="50" t="s">
        <v>4500</v>
      </c>
      <c r="H421" s="50"/>
      <c r="I421" s="50" t="s">
        <v>3500</v>
      </c>
      <c r="J421" s="401">
        <v>45329</v>
      </c>
      <c r="K421" s="50">
        <v>4.8801075268817193</v>
      </c>
      <c r="L421" s="50" t="s">
        <v>22</v>
      </c>
      <c r="M421" s="70">
        <v>4.8801075268817193</v>
      </c>
      <c r="N421" s="52" t="s">
        <v>22</v>
      </c>
      <c r="O421" s="53" t="s">
        <v>4493</v>
      </c>
      <c r="P421" s="53" t="s">
        <v>415</v>
      </c>
      <c r="Q421" s="367">
        <v>2026</v>
      </c>
      <c r="T421" s="53">
        <v>6.26</v>
      </c>
      <c r="U421" s="53" t="s">
        <v>423</v>
      </c>
      <c r="Y421" s="53">
        <v>0.91</v>
      </c>
      <c r="Z421" s="53">
        <v>0.5</v>
      </c>
      <c r="AA421" s="78">
        <f t="shared" si="72"/>
        <v>9.3993900000000004</v>
      </c>
      <c r="AB421" s="52" t="s">
        <v>4494</v>
      </c>
      <c r="AD421" s="53">
        <f t="shared" si="74"/>
        <v>2.8483000000000001</v>
      </c>
      <c r="AF421" s="53">
        <v>10.453260999999999</v>
      </c>
      <c r="AG421" s="81">
        <f t="shared" si="73"/>
        <v>9.3993900000000004</v>
      </c>
      <c r="AH421" s="53" t="s">
        <v>4494</v>
      </c>
      <c r="AN421" s="53" t="s">
        <v>2309</v>
      </c>
      <c r="AT421" s="53" t="b">
        <f>ISNUMBER(MATCH(IF(LEN('USER INPUT SHEET'!rng_province)&gt;0,'USER INPUT SHEET'!rng_province,"Canada"),$AU421:$BD421,0))</f>
        <v>0</v>
      </c>
      <c r="AU421" s="1286"/>
      <c r="AV421" s="1286"/>
      <c r="AW421" s="1286"/>
      <c r="AX421" s="1286"/>
      <c r="AY421" s="1286"/>
      <c r="AZ421" s="1286"/>
      <c r="BA421" s="1286"/>
      <c r="BB421" s="1286"/>
      <c r="BC421" s="1286"/>
      <c r="BD421" s="1286"/>
    </row>
    <row r="422" spans="1:56" ht="15.75" customHeight="1" x14ac:dyDescent="0.3">
      <c r="A422" s="55" t="str">
        <f>B422&amp;" / "&amp;C422&amp;" / "&amp;D422&amp;" / "&amp;E422</f>
        <v>(ARCHIVED 2026) Wood floor truss - prefabricated / Quebec Wood Export Bureau / Common (Warren, 45 deg) web pattern / Top chord bearing, variable depth</v>
      </c>
      <c r="B422" s="50" t="s">
        <v>6820</v>
      </c>
      <c r="C422" s="50" t="s">
        <v>926</v>
      </c>
      <c r="D422" s="50" t="s">
        <v>1265</v>
      </c>
      <c r="E422" s="53" t="s">
        <v>1266</v>
      </c>
      <c r="H422" s="50" t="s">
        <v>1379</v>
      </c>
      <c r="I422" s="50" t="s">
        <v>129</v>
      </c>
      <c r="J422" s="50"/>
      <c r="K422" s="50">
        <v>181.6</v>
      </c>
      <c r="L422" s="50" t="s">
        <v>3</v>
      </c>
      <c r="M422" s="72">
        <f>(K422*T422)</f>
        <v>2.0611600000000001</v>
      </c>
      <c r="N422" s="53" t="s">
        <v>1268</v>
      </c>
      <c r="O422" s="53" t="s">
        <v>1269</v>
      </c>
      <c r="P422" s="53" t="s">
        <v>928</v>
      </c>
      <c r="Q422" s="367">
        <v>2022</v>
      </c>
      <c r="R422" s="53">
        <v>417</v>
      </c>
      <c r="S422" s="53" t="s">
        <v>121</v>
      </c>
      <c r="T422" s="359">
        <v>1.1350000000000001E-2</v>
      </c>
      <c r="U422" s="53" t="s">
        <v>1267</v>
      </c>
      <c r="Y422" s="53">
        <v>0.95</v>
      </c>
      <c r="Z422" s="53">
        <v>0.5</v>
      </c>
      <c r="AA422" s="78">
        <f t="shared" si="72"/>
        <v>7.4188991250000003</v>
      </c>
      <c r="AB422" s="53" t="s">
        <v>1268</v>
      </c>
      <c r="AC422" s="52">
        <v>0.82499999999999996</v>
      </c>
      <c r="AD422" s="52">
        <f>R422*Y422*Z422*T422</f>
        <v>2.2481512499999998</v>
      </c>
      <c r="AG422" s="83">
        <f t="shared" ref="AG422:AG424" si="75">(AD422*44/12)*rng_biogenic_storage</f>
        <v>7.4188991249999994</v>
      </c>
      <c r="AH422" s="53" t="s">
        <v>1268</v>
      </c>
      <c r="AN422" s="53" t="s">
        <v>6821</v>
      </c>
      <c r="AR422" s="264" t="str">
        <f ca="1">IF(LEN(Q422)=4,IF(Q422&lt;YEAR(NOW()),_xlfn.CONCAT(IF(LOWER(Setting!rng_language)="english","Expired ","Expiré "),Q422),""),"")</f>
        <v>Expired 2022</v>
      </c>
      <c r="AT422" s="53" t="b">
        <f>ISNUMBER(MATCH(IF(LEN('USER INPUT SHEET'!rng_province)&gt;0,'USER INPUT SHEET'!rng_province,"Canada"),$AU422:$BD422,0))</f>
        <v>0</v>
      </c>
      <c r="AU422" s="1286"/>
      <c r="AV422" s="1286"/>
      <c r="AW422" s="1286"/>
      <c r="AX422" s="1286"/>
      <c r="AY422" s="1286"/>
      <c r="AZ422" s="1286"/>
      <c r="BA422" s="1286"/>
      <c r="BB422" s="1286"/>
      <c r="BC422" s="1286"/>
      <c r="BD422" s="1286"/>
    </row>
    <row r="423" spans="1:56" ht="15.75" customHeight="1" x14ac:dyDescent="0.3">
      <c r="A423" s="55" t="str">
        <f>B423&amp;" / "&amp;C423&amp;" / "&amp;D423&amp;" / "&amp;E423</f>
        <v>Wood floor truss - prefabricated / Canadian Wood Council / Common (Warren, 45 deg) web pattern / Top chord bearing, variable depth</v>
      </c>
      <c r="B423" s="50" t="s">
        <v>1264</v>
      </c>
      <c r="C423" s="50" t="s">
        <v>6806</v>
      </c>
      <c r="D423" s="50" t="s">
        <v>1265</v>
      </c>
      <c r="E423" s="53" t="s">
        <v>1266</v>
      </c>
      <c r="H423" s="50"/>
      <c r="I423" s="50"/>
      <c r="J423" s="50"/>
      <c r="K423" s="50">
        <v>181.6</v>
      </c>
      <c r="L423" s="50" t="s">
        <v>3</v>
      </c>
      <c r="M423" s="72">
        <v>2.0611600000000001</v>
      </c>
      <c r="N423" s="53" t="s">
        <v>1268</v>
      </c>
      <c r="O423" s="53" t="s">
        <v>6819</v>
      </c>
      <c r="P423" s="53" t="s">
        <v>3518</v>
      </c>
      <c r="Q423" s="426">
        <v>47518</v>
      </c>
      <c r="R423" s="53">
        <v>417</v>
      </c>
      <c r="S423" s="53" t="s">
        <v>121</v>
      </c>
      <c r="T423" s="359">
        <v>1.1350000000000001E-2</v>
      </c>
      <c r="U423" s="53" t="s">
        <v>1267</v>
      </c>
      <c r="Y423" s="53">
        <v>0.95</v>
      </c>
      <c r="Z423" s="53">
        <v>0.5</v>
      </c>
      <c r="AA423" s="78">
        <f t="shared" si="72"/>
        <v>7.4256435787499999</v>
      </c>
      <c r="AB423" s="53" t="s">
        <v>1268</v>
      </c>
      <c r="AC423" s="52"/>
      <c r="AD423" s="52">
        <v>2.2481512499999998</v>
      </c>
      <c r="AF423" s="53">
        <v>8.2507150875000015</v>
      </c>
      <c r="AG423" s="83">
        <f>AF423*rng_biogenic_storage</f>
        <v>7.4256435787500017</v>
      </c>
      <c r="AH423" s="53">
        <v>2.2481512499999998</v>
      </c>
      <c r="AN423" s="53">
        <v>251</v>
      </c>
      <c r="AT423" s="53" t="b">
        <f>ISNUMBER(MATCH(IF(LEN('USER INPUT SHEET'!rng_province)&gt;0,'USER INPUT SHEET'!rng_province,"Canada"),$AU423:$BD423,0))</f>
        <v>0</v>
      </c>
      <c r="AU423" s="1286"/>
      <c r="AV423" s="1286"/>
      <c r="AW423" s="1286"/>
      <c r="AX423" s="1286"/>
      <c r="AY423" s="1286"/>
      <c r="AZ423" s="1286"/>
      <c r="BA423" s="1286"/>
      <c r="BB423" s="1286"/>
      <c r="BC423" s="1286"/>
      <c r="BD423" s="1286"/>
    </row>
    <row r="424" spans="1:56" ht="15.75" customHeight="1" x14ac:dyDescent="0.3">
      <c r="A424" s="50" t="str">
        <f t="shared" si="27"/>
        <v>(ARCHIVED 2026) Wood roof truss - prefabricated / Quebec Wood Export Bureau / Common (Double Howe) Gabrel Roof / 2x6 Chords, 2x4 Webs, 4:12 Pitch, 40 ft span, 20" overhang</v>
      </c>
      <c r="B424" s="50" t="s">
        <v>6822</v>
      </c>
      <c r="C424" s="50" t="s">
        <v>926</v>
      </c>
      <c r="D424" s="50" t="s">
        <v>1262</v>
      </c>
      <c r="E424" s="53" t="s">
        <v>1270</v>
      </c>
      <c r="H424" s="50" t="s">
        <v>1379</v>
      </c>
      <c r="I424" s="50" t="s">
        <v>129</v>
      </c>
      <c r="J424" s="50"/>
      <c r="K424" s="50">
        <v>178</v>
      </c>
      <c r="L424" s="50" t="s">
        <v>3</v>
      </c>
      <c r="M424" s="72">
        <f>(K424*T424)</f>
        <v>2.5276000000000001</v>
      </c>
      <c r="N424" s="53" t="s">
        <v>1268</v>
      </c>
      <c r="O424" s="53" t="s">
        <v>927</v>
      </c>
      <c r="P424" s="53" t="s">
        <v>928</v>
      </c>
      <c r="Q424" s="367">
        <v>2022</v>
      </c>
      <c r="R424" s="53">
        <v>417</v>
      </c>
      <c r="S424" s="53" t="s">
        <v>121</v>
      </c>
      <c r="T424" s="53">
        <v>1.4200000000000001E-2</v>
      </c>
      <c r="U424" s="53" t="s">
        <v>1267</v>
      </c>
      <c r="Y424" s="53">
        <v>0.95</v>
      </c>
      <c r="Z424" s="53">
        <v>0.5</v>
      </c>
      <c r="AA424" s="78">
        <f t="shared" si="72"/>
        <v>9.2817945000000002</v>
      </c>
      <c r="AB424" s="53" t="s">
        <v>1268</v>
      </c>
      <c r="AC424" s="52"/>
      <c r="AD424" s="52">
        <f>R424*Y424*Z424*T424</f>
        <v>2.812665</v>
      </c>
      <c r="AG424" s="83">
        <f t="shared" si="75"/>
        <v>9.2817945000000002</v>
      </c>
      <c r="AH424" s="53" t="s">
        <v>1268</v>
      </c>
      <c r="AN424" s="53" t="s">
        <v>6825</v>
      </c>
      <c r="AR424" s="264" t="str">
        <f ca="1">IF(LEN(Q424)=4,IF(Q424&lt;YEAR(NOW()),_xlfn.CONCAT(IF(LOWER(Setting!rng_language)="english","Expired ","Expiré "),Q424),""),"")</f>
        <v>Expired 2022</v>
      </c>
      <c r="AT424" s="53" t="b">
        <f>ISNUMBER(MATCH(IF(LEN('USER INPUT SHEET'!rng_province)&gt;0,'USER INPUT SHEET'!rng_province,"Canada"),$AU424:$BD424,0))</f>
        <v>0</v>
      </c>
      <c r="AU424" s="1286"/>
      <c r="AV424" s="1286"/>
      <c r="AW424" s="1286"/>
      <c r="AX424" s="1286"/>
      <c r="AY424" s="1286"/>
      <c r="AZ424" s="1286"/>
      <c r="BA424" s="1286"/>
      <c r="BB424" s="1286"/>
      <c r="BC424" s="1286"/>
      <c r="BD424" s="1286"/>
    </row>
    <row r="425" spans="1:56" ht="15.75" customHeight="1" x14ac:dyDescent="0.3">
      <c r="A425" s="50" t="str">
        <f t="shared" si="27"/>
        <v>Wood roof truss - prefabricated / Canadian Wood Council / Common (Double Howe) Gable Roof / 2x6 Chords, 2x4 Webs, 4:12 Pitch, 40 ft span, 20" overhang</v>
      </c>
      <c r="B425" s="50" t="s">
        <v>1263</v>
      </c>
      <c r="C425" s="50" t="s">
        <v>6806</v>
      </c>
      <c r="D425" s="50" t="s">
        <v>6823</v>
      </c>
      <c r="E425" s="53" t="s">
        <v>1270</v>
      </c>
      <c r="H425" s="50" t="s">
        <v>6824</v>
      </c>
      <c r="I425" s="50"/>
      <c r="J425" s="50"/>
      <c r="K425" s="50">
        <v>178</v>
      </c>
      <c r="L425" s="50" t="s">
        <v>3</v>
      </c>
      <c r="M425" s="72">
        <v>2.5276000000000001</v>
      </c>
      <c r="N425" s="53" t="s">
        <v>1268</v>
      </c>
      <c r="O425" s="53" t="s">
        <v>6819</v>
      </c>
      <c r="P425" s="53" t="s">
        <v>3518</v>
      </c>
      <c r="Q425" s="426">
        <v>47518</v>
      </c>
      <c r="R425" s="53">
        <v>417</v>
      </c>
      <c r="S425" s="53" t="s">
        <v>121</v>
      </c>
      <c r="T425" s="53">
        <v>1.4200000000000001E-2</v>
      </c>
      <c r="U425" s="53" t="s">
        <v>1267</v>
      </c>
      <c r="Y425" s="53">
        <v>0.95</v>
      </c>
      <c r="Z425" s="53">
        <v>0.5</v>
      </c>
      <c r="AA425" s="78">
        <f t="shared" si="72"/>
        <v>9.2902324949999997</v>
      </c>
      <c r="AB425" s="53" t="s">
        <v>1268</v>
      </c>
      <c r="AC425" s="52"/>
      <c r="AD425" s="52"/>
      <c r="AF425" s="53">
        <v>10.32248055</v>
      </c>
      <c r="AG425" s="83">
        <f>AF425*rng_biogenic_storage</f>
        <v>9.2902324949999997</v>
      </c>
      <c r="AN425" s="53">
        <v>252</v>
      </c>
      <c r="AT425" s="53" t="b">
        <f>ISNUMBER(MATCH(IF(LEN('USER INPUT SHEET'!rng_province)&gt;0,'USER INPUT SHEET'!rng_province,"Canada"),$AU425:$BD425,0))</f>
        <v>0</v>
      </c>
      <c r="AU425" s="1286"/>
      <c r="AV425" s="1286"/>
      <c r="AW425" s="1286"/>
      <c r="AX425" s="1286"/>
      <c r="AY425" s="1286"/>
      <c r="AZ425" s="1286"/>
      <c r="BA425" s="1286"/>
      <c r="BB425" s="1286"/>
      <c r="BC425" s="1286"/>
      <c r="BD425" s="1286"/>
    </row>
    <row r="426" spans="1:56" ht="15.75" customHeight="1" x14ac:dyDescent="0.3">
      <c r="A426" s="50" t="str">
        <f t="shared" ref="A426:A431" si="76">B426&amp;" / "&amp;C426&amp;" / "&amp;D426&amp;" / "&amp;E426</f>
        <v>(ARCHIVED 2025) Wood wool boards / Armstrong / Tectum / 2" (50.8 mm)</v>
      </c>
      <c r="B426" s="50" t="s">
        <v>4501</v>
      </c>
      <c r="C426" s="50" t="s">
        <v>173</v>
      </c>
      <c r="D426" s="50" t="s">
        <v>731</v>
      </c>
      <c r="E426" s="50" t="s">
        <v>732</v>
      </c>
      <c r="H426" s="50"/>
      <c r="I426" s="50" t="s">
        <v>129</v>
      </c>
      <c r="J426" s="50"/>
      <c r="K426" s="50">
        <v>1.054</v>
      </c>
      <c r="L426" s="50" t="s">
        <v>5</v>
      </c>
      <c r="M426" s="71">
        <f>(1.054)</f>
        <v>1.054</v>
      </c>
      <c r="N426" s="50" t="s">
        <v>5</v>
      </c>
      <c r="O426" s="50" t="s">
        <v>733</v>
      </c>
      <c r="P426" s="50" t="s">
        <v>143</v>
      </c>
      <c r="Q426" s="172">
        <v>2022</v>
      </c>
      <c r="R426" s="50">
        <v>17.087</v>
      </c>
      <c r="S426" s="50" t="s">
        <v>141</v>
      </c>
      <c r="T426" s="50"/>
      <c r="U426" s="50"/>
      <c r="V426" s="50"/>
      <c r="W426" s="50"/>
      <c r="X426" s="50"/>
      <c r="Y426" s="50">
        <v>0.5</v>
      </c>
      <c r="Z426" s="50">
        <v>0.5</v>
      </c>
      <c r="AA426" s="83">
        <f>(AC426*AD426)*rng_biogenic_storage</f>
        <v>3.171774375</v>
      </c>
      <c r="AB426" s="50" t="s">
        <v>839</v>
      </c>
      <c r="AC426" s="53">
        <v>0.82499999999999996</v>
      </c>
      <c r="AD426" s="53">
        <f>R426*Y426*Z426</f>
        <v>4.2717499999999999</v>
      </c>
      <c r="AE426" s="50"/>
      <c r="AF426" s="50"/>
      <c r="AG426" s="83"/>
      <c r="AH426" s="50"/>
      <c r="AI426" s="167"/>
      <c r="AJ426" s="167"/>
      <c r="AK426" s="167"/>
      <c r="AL426" s="50"/>
      <c r="AN426" s="53">
        <v>253</v>
      </c>
      <c r="AR426" s="264" t="str">
        <f ca="1">IF(LEN(Q426)=4,IF(Q426&lt;YEAR(NOW()),_xlfn.CONCAT(IF(LOWER(Setting!rng_language)="english","Expired ","Expiré "),Q426),""),"")</f>
        <v>Expired 2022</v>
      </c>
      <c r="AT426" s="53" t="b">
        <f>ISNUMBER(MATCH(IF(LEN('USER INPUT SHEET'!rng_province)&gt;0,'USER INPUT SHEET'!rng_province,"Canada"),$AU426:$BD426,0))</f>
        <v>0</v>
      </c>
      <c r="AU426" s="1286"/>
      <c r="AV426" s="1286"/>
      <c r="AW426" s="1286"/>
      <c r="AX426" s="1286"/>
      <c r="AY426" s="1286"/>
      <c r="AZ426" s="1286"/>
      <c r="BA426" s="1286"/>
      <c r="BB426" s="1286"/>
      <c r="BC426" s="1286"/>
      <c r="BD426" s="1286"/>
    </row>
    <row r="427" spans="1:56" ht="15.75" customHeight="1" x14ac:dyDescent="0.3">
      <c r="A427" s="50" t="str">
        <f t="shared" si="76"/>
        <v>Wool batt / Havelock Wool /  / R 3.6/inch</v>
      </c>
      <c r="B427" s="50" t="s">
        <v>734</v>
      </c>
      <c r="C427" s="50" t="s">
        <v>735</v>
      </c>
      <c r="D427" s="50"/>
      <c r="E427" s="50" t="s">
        <v>204</v>
      </c>
      <c r="H427" s="50"/>
      <c r="I427" s="50" t="s">
        <v>129</v>
      </c>
      <c r="J427" s="50"/>
      <c r="K427" s="50">
        <v>2.99</v>
      </c>
      <c r="L427" s="50" t="s">
        <v>825</v>
      </c>
      <c r="M427" s="71">
        <f>(2.99)</f>
        <v>2.99</v>
      </c>
      <c r="N427" s="50" t="s">
        <v>825</v>
      </c>
      <c r="O427" s="50" t="s">
        <v>736</v>
      </c>
      <c r="P427" s="50" t="s">
        <v>206</v>
      </c>
      <c r="Q427" s="367">
        <v>2025</v>
      </c>
      <c r="R427" s="53">
        <v>24</v>
      </c>
      <c r="S427" s="53" t="s">
        <v>121</v>
      </c>
      <c r="T427" s="53">
        <v>0.93600000000000005</v>
      </c>
      <c r="U427" s="53" t="s">
        <v>207</v>
      </c>
      <c r="V427" s="53">
        <v>3.64</v>
      </c>
      <c r="Y427" s="53">
        <v>0.97850000000000004</v>
      </c>
      <c r="Z427" s="59">
        <v>0.505</v>
      </c>
      <c r="AA427" s="82">
        <f>(AD427*3.67)*rng_biogenic_storage</f>
        <v>1.5276949061400003</v>
      </c>
      <c r="AB427" s="53" t="s">
        <v>836</v>
      </c>
      <c r="AD427" s="53">
        <f>T427*Y427*Z427</f>
        <v>0.46251738000000009</v>
      </c>
      <c r="AG427" s="82"/>
      <c r="AN427" s="53">
        <v>254</v>
      </c>
      <c r="AR427" s="264" t="str">
        <f ca="1">IF(LEN(Q427)=4,IF(Q427&lt;YEAR(NOW()),_xlfn.CONCAT(IF(LOWER(Setting!rng_language)="english","Expired ","Expiré "),Q427),""),"")</f>
        <v>Expired 2025</v>
      </c>
      <c r="AT427" s="53" t="b">
        <f>ISNUMBER(MATCH(IF(LEN('USER INPUT SHEET'!rng_province)&gt;0,'USER INPUT SHEET'!rng_province,"Canada"),$AU427:$BD427,0))</f>
        <v>0</v>
      </c>
      <c r="AU427" s="1286"/>
      <c r="AV427" s="1286"/>
      <c r="AW427" s="1286"/>
      <c r="AX427" s="1286"/>
      <c r="AY427" s="1286"/>
      <c r="AZ427" s="1286"/>
      <c r="BA427" s="1286"/>
      <c r="BB427" s="1286"/>
      <c r="BC427" s="1286"/>
      <c r="BD427" s="1286"/>
    </row>
    <row r="428" spans="1:56" ht="15.75" customHeight="1" x14ac:dyDescent="0.3">
      <c r="A428" s="50" t="str">
        <f t="shared" si="76"/>
        <v>Wool loose fill / Havelock Wool /  / R 4.4/inch</v>
      </c>
      <c r="B428" s="50" t="s">
        <v>737</v>
      </c>
      <c r="C428" s="50" t="s">
        <v>735</v>
      </c>
      <c r="D428" s="50"/>
      <c r="E428" s="50" t="s">
        <v>738</v>
      </c>
      <c r="H428" s="50"/>
      <c r="I428" s="50" t="s">
        <v>129</v>
      </c>
      <c r="J428" s="50"/>
      <c r="K428" s="50">
        <v>2.99</v>
      </c>
      <c r="L428" s="50" t="s">
        <v>825</v>
      </c>
      <c r="M428" s="71">
        <f>(2.99)</f>
        <v>2.99</v>
      </c>
      <c r="N428" s="50" t="s">
        <v>825</v>
      </c>
      <c r="O428" s="50" t="s">
        <v>739</v>
      </c>
      <c r="P428" s="50" t="s">
        <v>206</v>
      </c>
      <c r="Q428" s="367">
        <v>2026</v>
      </c>
      <c r="R428" s="53">
        <v>18.100000000000001</v>
      </c>
      <c r="S428" s="53" t="s">
        <v>121</v>
      </c>
      <c r="T428" s="53">
        <v>0.59730000000000005</v>
      </c>
      <c r="U428" s="53" t="s">
        <v>207</v>
      </c>
      <c r="V428" s="53">
        <v>4.3600000000000003</v>
      </c>
      <c r="Y428" s="53">
        <v>0.97850000000000004</v>
      </c>
      <c r="Z428" s="59">
        <v>0.505</v>
      </c>
      <c r="AA428" s="82">
        <f>(AD428*3.67)*rng_biogenic_storage</f>
        <v>0.97488479427075014</v>
      </c>
      <c r="AB428" s="53" t="s">
        <v>836</v>
      </c>
      <c r="AD428" s="53">
        <f>T428*Y428*Z428</f>
        <v>0.29515131525000005</v>
      </c>
      <c r="AG428" s="82"/>
      <c r="AN428" s="53">
        <v>255</v>
      </c>
      <c r="AR428" s="264" t="str">
        <f ca="1">IF(LEN(Q428)=4,IF(Q428&lt;YEAR(NOW()),_xlfn.CONCAT(IF(LOWER(Setting!rng_language)="english","Expired ","Expiré "),Q428),""),"")</f>
        <v/>
      </c>
      <c r="AT428" s="53" t="b">
        <f>ISNUMBER(MATCH(IF(LEN('USER INPUT SHEET'!rng_province)&gt;0,'USER INPUT SHEET'!rng_province,"Canada"),$AU428:$BD428,0))</f>
        <v>0</v>
      </c>
      <c r="AU428" s="1286"/>
      <c r="AV428" s="1286"/>
      <c r="AW428" s="1286"/>
      <c r="AX428" s="1286"/>
      <c r="AY428" s="1286"/>
      <c r="AZ428" s="1286"/>
      <c r="BA428" s="1286"/>
      <c r="BB428" s="1286"/>
      <c r="BC428" s="1286"/>
      <c r="BD428" s="1286"/>
    </row>
    <row r="429" spans="1:56" ht="15.75" customHeight="1" x14ac:dyDescent="0.3">
      <c r="A429" s="50" t="str">
        <f t="shared" si="76"/>
        <v>(ARCHIVED 2023) XPS foam board / Dow Chemical Company / Styrofoam SM / R 5/inch</v>
      </c>
      <c r="B429" s="50" t="s">
        <v>3805</v>
      </c>
      <c r="C429" s="50" t="s">
        <v>552</v>
      </c>
      <c r="D429" s="50" t="s">
        <v>795</v>
      </c>
      <c r="E429" s="50" t="s">
        <v>741</v>
      </c>
      <c r="H429" s="50"/>
      <c r="I429" s="50" t="s">
        <v>124</v>
      </c>
      <c r="J429" s="50"/>
      <c r="K429" s="55">
        <f>95.3-33.3</f>
        <v>62</v>
      </c>
      <c r="L429" s="50" t="s">
        <v>825</v>
      </c>
      <c r="M429" s="70">
        <f>(61.63)</f>
        <v>61.63</v>
      </c>
      <c r="N429" s="50" t="s">
        <v>825</v>
      </c>
      <c r="O429" s="53" t="s">
        <v>742</v>
      </c>
      <c r="P429" s="53" t="s">
        <v>143</v>
      </c>
      <c r="Q429" s="367">
        <v>2019</v>
      </c>
      <c r="V429" s="53">
        <v>5</v>
      </c>
      <c r="AA429" s="78">
        <f t="shared" ref="AA429:AA431" si="77">_xlfn.NUMBERVALUE(IF(LEN(AG429)&gt;0,AG429,0))</f>
        <v>0</v>
      </c>
      <c r="AG429" s="81"/>
      <c r="AN429" s="53">
        <v>256</v>
      </c>
      <c r="AR429" s="264" t="s">
        <v>1404</v>
      </c>
      <c r="AT429" s="53" t="b">
        <f>ISNUMBER(MATCH(IF(LEN('USER INPUT SHEET'!rng_province)&gt;0,'USER INPUT SHEET'!rng_province,"Canada"),$AU429:$BD429,0))</f>
        <v>0</v>
      </c>
      <c r="AU429" s="1286"/>
      <c r="AV429" s="1286"/>
      <c r="AW429" s="1286"/>
      <c r="AX429" s="1286"/>
      <c r="AY429" s="1286"/>
      <c r="AZ429" s="1286"/>
      <c r="BA429" s="1286"/>
      <c r="BB429" s="1286"/>
      <c r="BC429" s="1286"/>
      <c r="BD429" s="1286"/>
    </row>
    <row r="430" spans="1:56" ht="15.75" customHeight="1" x14ac:dyDescent="0.3">
      <c r="A430" s="50" t="str">
        <f t="shared" si="76"/>
        <v>(ARCHIVED 2023) XPS foam board / Owens Corning / Foamular 250 / R 5/inch</v>
      </c>
      <c r="B430" s="50" t="s">
        <v>3805</v>
      </c>
      <c r="C430" s="50" t="s">
        <v>159</v>
      </c>
      <c r="D430" s="50" t="s">
        <v>3455</v>
      </c>
      <c r="E430" s="50" t="s">
        <v>741</v>
      </c>
      <c r="H430" s="50"/>
      <c r="I430" s="50" t="s">
        <v>124</v>
      </c>
      <c r="J430" s="50"/>
      <c r="K430" s="51">
        <v>50.5</v>
      </c>
      <c r="L430" s="50" t="s">
        <v>825</v>
      </c>
      <c r="M430" s="71">
        <f>(50.5)</f>
        <v>50.5</v>
      </c>
      <c r="N430" s="50" t="s">
        <v>825</v>
      </c>
      <c r="O430" s="53" t="s">
        <v>897</v>
      </c>
      <c r="P430" s="53" t="s">
        <v>143</v>
      </c>
      <c r="Q430" s="367">
        <v>2024</v>
      </c>
      <c r="R430" s="53">
        <v>24.8</v>
      </c>
      <c r="S430" s="53" t="s">
        <v>121</v>
      </c>
      <c r="V430" s="53">
        <v>5</v>
      </c>
      <c r="AA430" s="78">
        <f t="shared" si="77"/>
        <v>0</v>
      </c>
      <c r="AG430" s="82"/>
      <c r="AN430" s="53">
        <v>257</v>
      </c>
      <c r="AR430" s="264" t="s">
        <v>1200</v>
      </c>
      <c r="AT430" s="53" t="b">
        <f>ISNUMBER(MATCH(IF(LEN('USER INPUT SHEET'!rng_province)&gt;0,'USER INPUT SHEET'!rng_province,"Canada"),$AU430:$BD430,0))</f>
        <v>0</v>
      </c>
      <c r="AU430" s="1286"/>
      <c r="AV430" s="1286"/>
      <c r="AW430" s="1286"/>
      <c r="AX430" s="1286"/>
      <c r="AY430" s="1286"/>
      <c r="AZ430" s="1286"/>
      <c r="BA430" s="1286"/>
      <c r="BB430" s="1286"/>
      <c r="BC430" s="1286"/>
      <c r="BD430" s="1286"/>
    </row>
    <row r="431" spans="1:56" ht="15.75" customHeight="1" x14ac:dyDescent="0.3">
      <c r="A431" s="50" t="str">
        <f t="shared" si="76"/>
        <v>XPS foam board / Owens Corning / Foamular NGX 250  / R 5/inch</v>
      </c>
      <c r="B431" s="50" t="s">
        <v>740</v>
      </c>
      <c r="C431" s="50" t="s">
        <v>159</v>
      </c>
      <c r="D431" s="50" t="s">
        <v>3778</v>
      </c>
      <c r="E431" s="50" t="s">
        <v>741</v>
      </c>
      <c r="H431" s="50"/>
      <c r="I431" s="50" t="s">
        <v>124</v>
      </c>
      <c r="K431" s="53">
        <v>8.1199999999999992</v>
      </c>
      <c r="L431" s="50" t="s">
        <v>825</v>
      </c>
      <c r="M431" s="68">
        <f>(8.12)</f>
        <v>8.1199999999999992</v>
      </c>
      <c r="N431" s="50" t="s">
        <v>825</v>
      </c>
      <c r="O431" s="50" t="s">
        <v>896</v>
      </c>
      <c r="P431" s="53" t="s">
        <v>143</v>
      </c>
      <c r="Q431" s="367">
        <v>2026</v>
      </c>
      <c r="R431" s="53">
        <v>24.8</v>
      </c>
      <c r="S431" s="53" t="s">
        <v>121</v>
      </c>
      <c r="V431" s="53">
        <v>5</v>
      </c>
      <c r="AA431" s="78">
        <f t="shared" si="77"/>
        <v>0</v>
      </c>
      <c r="AG431" s="79"/>
      <c r="AN431" s="53">
        <v>258</v>
      </c>
      <c r="AR431" s="264" t="s">
        <v>1200</v>
      </c>
      <c r="AT431" s="53" t="b">
        <f>ISNUMBER(MATCH(IF(LEN('USER INPUT SHEET'!rng_province)&gt;0,'USER INPUT SHEET'!rng_province,"Canada"),$AU431:$BD431,0))</f>
        <v>0</v>
      </c>
      <c r="AU431" s="1286"/>
      <c r="AV431" s="1286"/>
      <c r="AW431" s="1286"/>
      <c r="AX431" s="1286"/>
      <c r="AY431" s="1286"/>
      <c r="AZ431" s="1286"/>
      <c r="BA431" s="1286"/>
      <c r="BB431" s="1286"/>
      <c r="BC431" s="1286"/>
      <c r="BD431" s="1286"/>
    </row>
    <row r="432" spans="1:56" ht="15.75" customHeight="1" x14ac:dyDescent="0.3">
      <c r="A432" s="50" t="str">
        <f>'Composite Master Sheet'!A2</f>
        <v>EPS FOAM ICF R-23, 2 Sheets of 2.75" @ R4/in., 15M rebar (6" CONCRETE CORE must be added separately)</v>
      </c>
      <c r="B432" s="53" t="s">
        <v>929</v>
      </c>
      <c r="H432" s="50"/>
      <c r="M432" s="68">
        <f>('Composite Master Sheet'!$B2)</f>
        <v>22.839155666782649</v>
      </c>
      <c r="N432" s="53" t="str">
        <f>'Composite Master Sheet'!$D2</f>
        <v>m2</v>
      </c>
      <c r="O432" s="50"/>
      <c r="Q432" s="367" t="s">
        <v>1772</v>
      </c>
      <c r="AA432" s="79">
        <f>VLOOKUP($A432,'Composite Master Sheet'!$A$1:$D$17,3,FALSE)*rng_biogenic_storage</f>
        <v>0</v>
      </c>
      <c r="AB432" s="53" t="str">
        <f>'Composite Master Sheet'!$D2</f>
        <v>m2</v>
      </c>
      <c r="AG432" s="79"/>
      <c r="AN432" s="53">
        <v>259</v>
      </c>
      <c r="AR432" s="264" t="str">
        <f ca="1">IF(LEN(Q432)=4,IF(Q432&lt;YEAR(NOW()),_xlfn.CONCAT(IF(LOWER(Setting!rng_language)="english","Expired ","Expiré "),Q432),""),"")</f>
        <v/>
      </c>
      <c r="AT432" s="53" t="b">
        <f>ISNUMBER(MATCH(IF(LEN('USER INPUT SHEET'!rng_province)&gt;0,'USER INPUT SHEET'!rng_province,"Canada"),$AU432:$BD432,0))</f>
        <v>0</v>
      </c>
      <c r="AU432" s="1286"/>
      <c r="AV432" s="1286"/>
      <c r="AW432" s="1286"/>
      <c r="AX432" s="1286"/>
      <c r="AY432" s="1286"/>
      <c r="AZ432" s="1286"/>
      <c r="BA432" s="1286"/>
      <c r="BB432" s="1286"/>
      <c r="BC432" s="1286"/>
      <c r="BD432" s="1286"/>
    </row>
    <row r="433" spans="1:56" ht="15.75" customHeight="1" x14ac:dyDescent="0.3">
      <c r="A433" s="50" t="str">
        <f>'Composite Master Sheet'!A3</f>
        <v>(ARCHIVED 2025) SIP PANEL - R23 6.5" - EPS 5.5" @ R4/in. core, 2 sheets 1/2" OSB</v>
      </c>
      <c r="B433" s="53" t="s">
        <v>929</v>
      </c>
      <c r="H433" s="50"/>
      <c r="M433" s="68">
        <f>('Composite Master Sheet'!$B3)</f>
        <v>20.76878807608313</v>
      </c>
      <c r="N433" s="53" t="str">
        <f>'Composite Master Sheet'!$D3</f>
        <v>m2</v>
      </c>
      <c r="O433" s="50"/>
      <c r="Q433" s="367" t="s">
        <v>1772</v>
      </c>
      <c r="AA433" s="79">
        <f>VLOOKUP($A433,'Composite Master Sheet'!$A$1:$D$17,3,FALSE)*rng_biogenic_storage</f>
        <v>22.423944128400002</v>
      </c>
      <c r="AB433" s="53" t="str">
        <f>'Composite Master Sheet'!$D3</f>
        <v>m2</v>
      </c>
      <c r="AG433" s="79"/>
      <c r="AN433" s="53">
        <v>260</v>
      </c>
      <c r="AR433" s="264" t="str">
        <f ca="1">IF(LEN(Q433)=4,IF(Q433&lt;YEAR(NOW()),_xlfn.CONCAT(IF(LOWER(Setting!rng_language)="english","Expired ","Expiré "),Q433),""),"")</f>
        <v/>
      </c>
      <c r="AT433" s="53" t="b">
        <f>ISNUMBER(MATCH(IF(LEN('USER INPUT SHEET'!rng_province)&gt;0,'USER INPUT SHEET'!rng_province,"Canada"),$AU433:$BD433,0))</f>
        <v>0</v>
      </c>
      <c r="AU433" s="1286"/>
      <c r="AV433" s="1286"/>
      <c r="AW433" s="1286"/>
      <c r="AX433" s="1286"/>
      <c r="AY433" s="1286"/>
      <c r="AZ433" s="1286"/>
      <c r="BA433" s="1286"/>
      <c r="BB433" s="1286"/>
      <c r="BC433" s="1286"/>
      <c r="BD433" s="1286"/>
    </row>
    <row r="434" spans="1:56" ht="15.75" customHeight="1" x14ac:dyDescent="0.3">
      <c r="A434" s="50" t="str">
        <f>'Composite Master Sheet'!A4</f>
        <v>(ARCHIVED 2025) SIP PANEL - R30 8.25" - EPS 7.25" @ R4/in. core, 2 sheets 1/2" OSB</v>
      </c>
      <c r="B434" s="53" t="s">
        <v>929</v>
      </c>
      <c r="H434" s="50"/>
      <c r="M434" s="68">
        <f>('Composite Master Sheet'!$B4)</f>
        <v>25.41655137301867</v>
      </c>
      <c r="N434" s="53" t="str">
        <f>'Composite Master Sheet'!$D4</f>
        <v>m2</v>
      </c>
      <c r="O434" s="50"/>
      <c r="Q434" s="367" t="s">
        <v>1772</v>
      </c>
      <c r="AA434" s="79">
        <f>VLOOKUP($A434,'Composite Master Sheet'!$A$1:$D$17,3,FALSE)*rng_biogenic_storage</f>
        <v>22.423944128400002</v>
      </c>
      <c r="AB434" s="53" t="str">
        <f>'Composite Master Sheet'!$D4</f>
        <v>m2</v>
      </c>
      <c r="AG434" s="79"/>
      <c r="AN434" s="53">
        <v>261</v>
      </c>
      <c r="AR434" s="264" t="str">
        <f ca="1">IF(LEN(Q434)=4,IF(Q434&lt;YEAR(NOW()),_xlfn.CONCAT(IF(LOWER(Setting!rng_language)="english","Expired ","Expiré "),Q434),""),"")</f>
        <v/>
      </c>
      <c r="AT434" s="53" t="b">
        <f>ISNUMBER(MATCH(IF(LEN('USER INPUT SHEET'!rng_province)&gt;0,'USER INPUT SHEET'!rng_province,"Canada"),$AU434:$BD434,0))</f>
        <v>0</v>
      </c>
      <c r="AU434" s="1286"/>
      <c r="AV434" s="1286"/>
      <c r="AW434" s="1286"/>
      <c r="AX434" s="1286"/>
      <c r="AY434" s="1286"/>
      <c r="AZ434" s="1286"/>
      <c r="BA434" s="1286"/>
      <c r="BB434" s="1286"/>
      <c r="BC434" s="1286"/>
      <c r="BD434" s="1286"/>
    </row>
    <row r="435" spans="1:56" ht="15.75" customHeight="1" x14ac:dyDescent="0.3">
      <c r="A435" s="50" t="str">
        <f>'Composite Master Sheet'!A5</f>
        <v>(ARCHIVED 2025) SIP PANEL - R38 10.5" - EPS 9.5" @ R4/in. core, 2 sheets 1/2" OSB</v>
      </c>
      <c r="B435" s="53" t="s">
        <v>929</v>
      </c>
      <c r="H435" s="50"/>
      <c r="M435" s="68">
        <f>('Composite Master Sheet'!$B5)</f>
        <v>31.392247040507225</v>
      </c>
      <c r="N435" s="53" t="str">
        <f>'Composite Master Sheet'!$D5</f>
        <v>m2</v>
      </c>
      <c r="O435" s="50"/>
      <c r="Q435" s="367" t="s">
        <v>1772</v>
      </c>
      <c r="AA435" s="79">
        <f>VLOOKUP($A435,'Composite Master Sheet'!$A$1:$D$17,3,FALSE)*rng_biogenic_storage</f>
        <v>22.423944128400002</v>
      </c>
      <c r="AB435" s="53" t="str">
        <f>'Composite Master Sheet'!$D5</f>
        <v>m2</v>
      </c>
      <c r="AG435" s="79"/>
      <c r="AN435" s="53">
        <v>262</v>
      </c>
      <c r="AR435" s="264" t="str">
        <f ca="1">IF(LEN(Q435)=4,IF(Q435&lt;YEAR(NOW()),_xlfn.CONCAT(IF(LOWER(Setting!rng_language)="english","Expired ","Expiré "),Q435),""),"")</f>
        <v/>
      </c>
      <c r="AT435" s="53" t="b">
        <f>ISNUMBER(MATCH(IF(LEN('USER INPUT SHEET'!rng_province)&gt;0,'USER INPUT SHEET'!rng_province,"Canada"),$AU435:$BD435,0))</f>
        <v>0</v>
      </c>
      <c r="AU435" s="1286"/>
      <c r="AV435" s="1286"/>
      <c r="AW435" s="1286"/>
      <c r="AX435" s="1286"/>
      <c r="AY435" s="1286"/>
      <c r="AZ435" s="1286"/>
      <c r="BA435" s="1286"/>
      <c r="BB435" s="1286"/>
      <c r="BC435" s="1286"/>
      <c r="BD435" s="1286"/>
    </row>
    <row r="436" spans="1:56" ht="15.75" customHeight="1" x14ac:dyDescent="0.3">
      <c r="A436" s="50" t="str">
        <f>'Composite Master Sheet'!A6</f>
        <v>(ARCHIVED 2025) SIP PANEL - R48 12-7/8" - EPS 11.875" @ R4/in. core, 2 sheets 1/2" OSB</v>
      </c>
      <c r="B436" s="53" t="s">
        <v>929</v>
      </c>
      <c r="H436" s="50"/>
      <c r="M436" s="68">
        <f>('Composite Master Sheet'!$B6)</f>
        <v>37.699925800634027</v>
      </c>
      <c r="N436" s="53" t="str">
        <f>'Composite Master Sheet'!$D6</f>
        <v>m2</v>
      </c>
      <c r="O436" s="50"/>
      <c r="Q436" s="367" t="s">
        <v>1772</v>
      </c>
      <c r="AA436" s="79">
        <f>VLOOKUP($A436,'Composite Master Sheet'!$A$1:$D$17,3,FALSE)*rng_biogenic_storage</f>
        <v>22.423944128400002</v>
      </c>
      <c r="AB436" s="53" t="str">
        <f>'Composite Master Sheet'!$D6</f>
        <v>m2</v>
      </c>
      <c r="AG436" s="79"/>
      <c r="AN436" s="53">
        <v>263</v>
      </c>
      <c r="AR436" s="264" t="str">
        <f ca="1">IF(LEN(Q436)=4,IF(Q436&lt;YEAR(NOW()),_xlfn.CONCAT(IF(LOWER(Setting!rng_language)="english","Expired ","Expiré "),Q436),""),"")</f>
        <v/>
      </c>
      <c r="AT436" s="53" t="b">
        <f>ISNUMBER(MATCH(IF(LEN('USER INPUT SHEET'!rng_province)&gt;0,'USER INPUT SHEET'!rng_province,"Canada"),$AU436:$BD436,0))</f>
        <v>0</v>
      </c>
      <c r="AU436" s="1286"/>
      <c r="AV436" s="1286"/>
      <c r="AW436" s="1286"/>
      <c r="AX436" s="1286"/>
      <c r="AY436" s="1286"/>
      <c r="AZ436" s="1286"/>
      <c r="BA436" s="1286"/>
      <c r="BB436" s="1286"/>
      <c r="BC436" s="1286"/>
      <c r="BD436" s="1286"/>
    </row>
    <row r="437" spans="1:56" ht="15.75" customHeight="1" x14ac:dyDescent="0.3">
      <c r="A437" s="50" t="str">
        <f>'Composite Master Sheet'!A7</f>
        <v>WOOD CHIP CEMENT ICF 12" R-22 with MINERAL WOOL INSERTS, (3 in. @ R4.2/in.), 15M REBAR</v>
      </c>
      <c r="B437" s="53" t="s">
        <v>929</v>
      </c>
      <c r="H437" s="50"/>
      <c r="M437" s="68">
        <f>('Composite Master Sheet'!$B7)</f>
        <v>95.686894236199521</v>
      </c>
      <c r="N437" s="53" t="str">
        <f>'Composite Master Sheet'!$D7</f>
        <v>m2</v>
      </c>
      <c r="O437" s="50"/>
      <c r="Q437" s="367" t="s">
        <v>1772</v>
      </c>
      <c r="AA437" s="79">
        <f>VLOOKUP($A437,'Composite Master Sheet'!$A$1:$D$17,3,FALSE)*rng_biogenic_storage</f>
        <v>47.676626517798248</v>
      </c>
      <c r="AB437" s="53" t="str">
        <f>'Composite Master Sheet'!$D7</f>
        <v>m2</v>
      </c>
      <c r="AG437" s="79"/>
      <c r="AN437" s="53">
        <v>264</v>
      </c>
      <c r="AR437" s="264" t="s">
        <v>1201</v>
      </c>
      <c r="AT437" s="53" t="b">
        <f>ISNUMBER(MATCH(IF(LEN('USER INPUT SHEET'!rng_province)&gt;0,'USER INPUT SHEET'!rng_province,"Canada"),$AU437:$BD437,0))</f>
        <v>0</v>
      </c>
      <c r="AU437" s="1286"/>
      <c r="AV437" s="1286"/>
      <c r="AW437" s="1286"/>
      <c r="AX437" s="1286"/>
      <c r="AY437" s="1286"/>
      <c r="AZ437" s="1286"/>
      <c r="BA437" s="1286"/>
      <c r="BB437" s="1286"/>
      <c r="BC437" s="1286"/>
      <c r="BD437" s="1286"/>
    </row>
    <row r="438" spans="1:56" ht="15.75" customHeight="1" x14ac:dyDescent="0.3">
      <c r="A438" s="50" t="str">
        <f>'Composite Master Sheet'!A8</f>
        <v>WOOD CHIP CEMENT ICF 14" R-28 with MINERAL WOOL INSERTS (5 in. @ R4.2/in.), 15M REBAR</v>
      </c>
      <c r="B438" s="53" t="s">
        <v>929</v>
      </c>
      <c r="H438" s="50"/>
      <c r="M438" s="68">
        <f>('Composite Master Sheet'!$B8)</f>
        <v>113.7898484695497</v>
      </c>
      <c r="N438" s="53" t="str">
        <f>'Composite Master Sheet'!$D8</f>
        <v>m2</v>
      </c>
      <c r="O438" s="50"/>
      <c r="Q438" s="367" t="s">
        <v>1772</v>
      </c>
      <c r="AA438" s="79">
        <f>VLOOKUP($A438,'Composite Master Sheet'!$A$1:$D$17,3,FALSE)*rng_biogenic_storage</f>
        <v>52.695218782829649</v>
      </c>
      <c r="AB438" s="53" t="str">
        <f>'Composite Master Sheet'!$D8</f>
        <v>m2</v>
      </c>
      <c r="AG438" s="79"/>
      <c r="AN438" s="53">
        <v>265</v>
      </c>
      <c r="AR438" s="264" t="s">
        <v>1201</v>
      </c>
      <c r="AT438" s="53" t="b">
        <f>ISNUMBER(MATCH(IF(LEN('USER INPUT SHEET'!rng_province)&gt;0,'USER INPUT SHEET'!rng_province,"Canada"),$AU438:$BD438,0))</f>
        <v>0</v>
      </c>
      <c r="AU438" s="1286"/>
      <c r="AV438" s="1286"/>
      <c r="AW438" s="1286"/>
      <c r="AX438" s="1286"/>
      <c r="AY438" s="1286"/>
      <c r="AZ438" s="1286"/>
      <c r="BA438" s="1286"/>
      <c r="BB438" s="1286"/>
      <c r="BC438" s="1286"/>
      <c r="BD438" s="1286"/>
    </row>
    <row r="439" spans="1:56" ht="15.75" customHeight="1" x14ac:dyDescent="0.3">
      <c r="A439" s="50" t="str">
        <f>'Composite Master Sheet'!A9</f>
        <v>WOOD CHIP CEMENT ICF 12" R-21 with CORK BOARD INSERTS (3 in. @ R4/in.), 15M REBAR</v>
      </c>
      <c r="B439" s="53" t="s">
        <v>929</v>
      </c>
      <c r="H439" s="50"/>
      <c r="M439" s="68">
        <f>('Composite Master Sheet'!$B9)</f>
        <v>87.552339815628898</v>
      </c>
      <c r="N439" s="53" t="str">
        <f>'Composite Master Sheet'!$D9</f>
        <v>m2</v>
      </c>
      <c r="O439" s="50"/>
      <c r="Q439" s="367" t="s">
        <v>1772</v>
      </c>
      <c r="AA439" s="79">
        <f>VLOOKUP($A439,'Composite Master Sheet'!$A$1:$D$17,3,FALSE)*rng_biogenic_storage</f>
        <v>66.328937895043765</v>
      </c>
      <c r="AB439" s="53" t="str">
        <f>'Composite Master Sheet'!$D9</f>
        <v>m2</v>
      </c>
      <c r="AG439" s="79"/>
      <c r="AN439" s="53">
        <v>266</v>
      </c>
      <c r="AR439" s="264" t="s">
        <v>1201</v>
      </c>
      <c r="AT439" s="53" t="b">
        <f>ISNUMBER(MATCH(IF(LEN('USER INPUT SHEET'!rng_province)&gt;0,'USER INPUT SHEET'!rng_province,"Canada"),$AU439:$BD439,0))</f>
        <v>0</v>
      </c>
      <c r="AU439" s="1286"/>
      <c r="AV439" s="1286"/>
      <c r="AW439" s="1286"/>
      <c r="AX439" s="1286"/>
      <c r="AY439" s="1286"/>
      <c r="AZ439" s="1286"/>
      <c r="BA439" s="1286"/>
      <c r="BB439" s="1286"/>
      <c r="BC439" s="1286"/>
      <c r="BD439" s="1286"/>
    </row>
    <row r="440" spans="1:56" ht="15.75" customHeight="1" x14ac:dyDescent="0.3">
      <c r="A440" s="50" t="str">
        <f>'Composite Master Sheet'!A10</f>
        <v>WOOD CHIP CEMENT ICF 14" R-27 with CORK BOARD INSERTS (5 in. @ R4/in.), 15M REBAR</v>
      </c>
      <c r="B440" s="53" t="s">
        <v>929</v>
      </c>
      <c r="H440" s="50"/>
      <c r="M440" s="68">
        <f>('Composite Master Sheet'!$B10)</f>
        <v>100.23225776859866</v>
      </c>
      <c r="N440" s="53" t="str">
        <f>'Composite Master Sheet'!$D10</f>
        <v>m2</v>
      </c>
      <c r="O440" s="50"/>
      <c r="Q440" s="367" t="s">
        <v>1772</v>
      </c>
      <c r="AA440" s="79">
        <f>VLOOKUP($A440,'Composite Master Sheet'!$A$1:$D$17,3,FALSE)*rng_biogenic_storage</f>
        <v>83.782404411572173</v>
      </c>
      <c r="AB440" s="53" t="str">
        <f>'Composite Master Sheet'!$D10</f>
        <v>m2</v>
      </c>
      <c r="AG440" s="79"/>
      <c r="AN440" s="53">
        <v>267</v>
      </c>
      <c r="AR440" s="264" t="s">
        <v>1201</v>
      </c>
      <c r="AT440" s="53" t="b">
        <f>ISNUMBER(MATCH(IF(LEN('USER INPUT SHEET'!rng_province)&gt;0,'USER INPUT SHEET'!rng_province,"Canada"),$AU440:$BD440,0))</f>
        <v>0</v>
      </c>
      <c r="AU440" s="1286"/>
      <c r="AV440" s="1286"/>
      <c r="AW440" s="1286"/>
      <c r="AX440" s="1286"/>
      <c r="AY440" s="1286"/>
      <c r="AZ440" s="1286"/>
      <c r="BA440" s="1286"/>
      <c r="BB440" s="1286"/>
      <c r="BC440" s="1286"/>
      <c r="BD440" s="1286"/>
    </row>
    <row r="441" spans="1:56" ht="15.75" customHeight="1" x14ac:dyDescent="0.3">
      <c r="A441" s="50" t="str">
        <f>'Composite Master Sheet'!A11</f>
        <v>TREATED WOOD FOUNDATION - 2x8 framing @ 16" OC, 3/4" plywood sheathing</v>
      </c>
      <c r="B441" s="53" t="s">
        <v>929</v>
      </c>
      <c r="H441" s="50" t="s">
        <v>1379</v>
      </c>
      <c r="M441" s="68">
        <f>('Composite Master Sheet'!$B11)</f>
        <v>8.5353442835717583</v>
      </c>
      <c r="N441" s="53" t="str">
        <f>'Composite Master Sheet'!$D11</f>
        <v>m2</v>
      </c>
      <c r="O441" s="50"/>
      <c r="Q441" s="367" t="s">
        <v>1772</v>
      </c>
      <c r="AA441" s="79">
        <f>VLOOKUP($A441,'Composite Master Sheet'!$A$1:$D$17,3,FALSE)*rng_biogenic_storage+AG441</f>
        <v>142.76052092999996</v>
      </c>
      <c r="AB441" s="53" t="str">
        <f>'Composite Master Sheet'!$D11</f>
        <v>m2</v>
      </c>
      <c r="AG441" s="79">
        <f>55.2384510333333*rng_biogenic_storage</f>
        <v>49.714605929999969</v>
      </c>
      <c r="AN441" s="53">
        <v>268</v>
      </c>
      <c r="AR441" s="264" t="str">
        <f ca="1">IF(LEN(Q441)=4,IF(Q441&lt;YEAR(NOW()),_xlfn.CONCAT(IF(LOWER(Setting!rng_language)="english","Expired ","Expiré "),Q441),""),"")</f>
        <v/>
      </c>
      <c r="AT441" s="53" t="b">
        <f>ISNUMBER(MATCH(IF(LEN('USER INPUT SHEET'!rng_province)&gt;0,'USER INPUT SHEET'!rng_province,"Canada"),$AU441:$BD441,0))</f>
        <v>0</v>
      </c>
      <c r="AU441" s="1286"/>
      <c r="AV441" s="1286"/>
      <c r="AW441" s="1286"/>
      <c r="AX441" s="1286"/>
      <c r="AY441" s="1286"/>
      <c r="AZ441" s="1286"/>
      <c r="BA441" s="1286"/>
      <c r="BB441" s="1286"/>
      <c r="BC441" s="1286"/>
      <c r="BD441" s="1286"/>
    </row>
    <row r="442" spans="1:56" ht="15.75" customHeight="1" x14ac:dyDescent="0.3">
      <c r="A442" s="50" t="str">
        <f>'Composite Master Sheet'!A12</f>
        <v>WOOD FRAME with STRAW BALE INFILL - 14" R-46, Double 2x4 @ 30" o/c</v>
      </c>
      <c r="B442" s="53" t="s">
        <v>929</v>
      </c>
      <c r="H442" s="50" t="s">
        <v>1379</v>
      </c>
      <c r="M442" s="68">
        <f>('Composite Master Sheet'!$B12)</f>
        <v>2.0269200000000001</v>
      </c>
      <c r="N442" s="53" t="str">
        <f>'Composite Master Sheet'!$D12</f>
        <v>m2</v>
      </c>
      <c r="O442" s="50"/>
      <c r="Q442" s="367" t="s">
        <v>1772</v>
      </c>
      <c r="AA442" s="79">
        <f>('Composite Master Sheet'!$C12)*rng_biogenic_storage</f>
        <v>48.390048</v>
      </c>
      <c r="AB442" s="53" t="str">
        <f>'Composite Master Sheet'!$D12</f>
        <v>m2</v>
      </c>
      <c r="AG442" s="79"/>
      <c r="AN442" s="53">
        <v>269</v>
      </c>
      <c r="AR442" s="264" t="s">
        <v>1201</v>
      </c>
      <c r="AT442" s="53" t="b">
        <f>ISNUMBER(MATCH(IF(LEN('USER INPUT SHEET'!rng_province)&gt;0,'USER INPUT SHEET'!rng_province,"Canada"),$AU442:$BD442,0))</f>
        <v>0</v>
      </c>
      <c r="AU442" s="1286"/>
      <c r="AV442" s="1286"/>
      <c r="AW442" s="1286"/>
      <c r="AX442" s="1286"/>
      <c r="AY442" s="1286"/>
      <c r="AZ442" s="1286"/>
      <c r="BA442" s="1286"/>
      <c r="BB442" s="1286"/>
      <c r="BC442" s="1286"/>
      <c r="BD442" s="1286"/>
    </row>
    <row r="443" spans="1:56" ht="15.75" customHeight="1" x14ac:dyDescent="0.3">
      <c r="A443" s="50" t="str">
        <f t="shared" ref="A443:A506" si="78">B443&amp;" / "&amp;C443&amp;" / "&amp;D443&amp;" / "&amp;E443</f>
        <v xml:space="preserve">Concrete - 25 MPa, Quebec Baseline Average / ABQ / Can. Quebec Avg. / </v>
      </c>
      <c r="B443" s="53" t="s">
        <v>3541</v>
      </c>
      <c r="C443" s="53" t="s">
        <v>3542</v>
      </c>
      <c r="D443" s="53" t="s">
        <v>3543</v>
      </c>
      <c r="H443" s="50" t="s">
        <v>3544</v>
      </c>
      <c r="I443" s="53" t="s">
        <v>3545</v>
      </c>
      <c r="J443" s="358">
        <v>44983</v>
      </c>
      <c r="K443" s="53">
        <v>293.14999999999998</v>
      </c>
      <c r="L443" s="53" t="s">
        <v>3</v>
      </c>
      <c r="M443" s="67">
        <f t="shared" ref="M443:M544" si="79">K443</f>
        <v>293.14999999999998</v>
      </c>
      <c r="N443" s="53" t="s">
        <v>3</v>
      </c>
      <c r="O443" s="50" t="s">
        <v>3546</v>
      </c>
      <c r="P443" s="53" t="s">
        <v>137</v>
      </c>
      <c r="Q443" s="1292">
        <v>2027</v>
      </c>
      <c r="R443" s="53">
        <v>2305</v>
      </c>
      <c r="S443" s="53" t="s">
        <v>121</v>
      </c>
      <c r="AA443" s="78">
        <f t="shared" ref="AA443:AA506" si="80">_xlfn.NUMBERVALUE(IF(LEN(AG443)&gt;0,AG443,0))</f>
        <v>0</v>
      </c>
      <c r="AG443" s="78"/>
      <c r="AN443" s="53">
        <v>270</v>
      </c>
      <c r="AO443" s="53" t="s">
        <v>3754</v>
      </c>
      <c r="AP443" s="53">
        <v>1</v>
      </c>
      <c r="AR443" s="264" t="str">
        <f ca="1">IF(LEN(Q443)=4,IF(Q443&lt;YEAR(NOW()),_xlfn.CONCAT(IF(LOWER(Setting!rng_language)="english","Expired ","Expiré "),Q443),""),"")</f>
        <v/>
      </c>
      <c r="AT443" s="53" t="b">
        <f>ISNUMBER(MATCH(IF(LEN('USER INPUT SHEET'!rng_province)&gt;0,'USER INPUT SHEET'!rng_province,"Canada"),$AU443:$BD443,0))</f>
        <v>0</v>
      </c>
      <c r="AU443" s="1286" t="s">
        <v>1210</v>
      </c>
      <c r="AV443" s="1286" t="s">
        <v>3278</v>
      </c>
      <c r="AW443" s="1286"/>
      <c r="AX443" s="1286"/>
      <c r="AY443" s="1286"/>
      <c r="AZ443" s="1286"/>
      <c r="BA443" s="1286"/>
      <c r="BB443" s="1286"/>
      <c r="BC443" s="1286"/>
      <c r="BD443" s="1286"/>
    </row>
    <row r="444" spans="1:56" ht="15.75" customHeight="1" x14ac:dyDescent="0.3">
      <c r="A444" s="50" t="str">
        <f t="shared" si="78"/>
        <v xml:space="preserve">Concrete - 25 MPa, 10% SL, GU / ABQ / Can. Quebec Avg. / </v>
      </c>
      <c r="B444" s="53" t="s">
        <v>3547</v>
      </c>
      <c r="C444" s="53" t="s">
        <v>3542</v>
      </c>
      <c r="D444" s="53" t="s">
        <v>3543</v>
      </c>
      <c r="H444" s="50" t="s">
        <v>3548</v>
      </c>
      <c r="I444" s="53" t="s">
        <v>3545</v>
      </c>
      <c r="J444" s="358">
        <v>44983</v>
      </c>
      <c r="K444" s="53">
        <v>280.57</v>
      </c>
      <c r="L444" s="53" t="s">
        <v>3</v>
      </c>
      <c r="M444" s="67">
        <f t="shared" si="79"/>
        <v>280.57</v>
      </c>
      <c r="N444" s="53" t="s">
        <v>3</v>
      </c>
      <c r="O444" s="50" t="s">
        <v>3546</v>
      </c>
      <c r="P444" s="53" t="s">
        <v>137</v>
      </c>
      <c r="Q444" s="1292">
        <v>2027</v>
      </c>
      <c r="R444" s="53">
        <v>2305</v>
      </c>
      <c r="S444" s="53" t="s">
        <v>121</v>
      </c>
      <c r="AA444" s="78">
        <f t="shared" si="80"/>
        <v>0</v>
      </c>
      <c r="AG444" s="78"/>
      <c r="AN444" s="53">
        <v>271</v>
      </c>
      <c r="AO444" s="53" t="s">
        <v>3754</v>
      </c>
      <c r="AP444" s="53">
        <v>2</v>
      </c>
      <c r="AR444" s="264" t="str">
        <f ca="1">IF(LEN(Q444)=4,IF(Q444&lt;YEAR(NOW()),_xlfn.CONCAT(IF(LOWER(Setting!rng_language)="english","Expired ","Expiré "),Q444),""),"")</f>
        <v/>
      </c>
      <c r="AT444" s="53" t="b">
        <f>ISNUMBER(MATCH(IF(LEN('USER INPUT SHEET'!rng_province)&gt;0,'USER INPUT SHEET'!rng_province,"Canada"),$AU444:$BD444,0))</f>
        <v>0</v>
      </c>
      <c r="AU444" s="1286" t="s">
        <v>1210</v>
      </c>
      <c r="AV444" s="1286" t="s">
        <v>3278</v>
      </c>
      <c r="AW444" s="1286"/>
      <c r="AX444" s="1286"/>
      <c r="AY444" s="1286"/>
      <c r="AZ444" s="1286"/>
      <c r="BA444" s="1286"/>
      <c r="BB444" s="1286"/>
      <c r="BC444" s="1286"/>
      <c r="BD444" s="1286"/>
    </row>
    <row r="445" spans="1:56" ht="15.75" customHeight="1" x14ac:dyDescent="0.3">
      <c r="A445" s="50" t="str">
        <f t="shared" si="78"/>
        <v xml:space="preserve">Concrete - 25 MPa, 10% FA, GU / ABQ / Can. Quebec Avg. / </v>
      </c>
      <c r="B445" s="53" t="s">
        <v>3549</v>
      </c>
      <c r="C445" s="53" t="s">
        <v>3542</v>
      </c>
      <c r="D445" s="53" t="s">
        <v>3543</v>
      </c>
      <c r="H445" s="50" t="s">
        <v>3548</v>
      </c>
      <c r="I445" s="53" t="s">
        <v>3545</v>
      </c>
      <c r="J445" s="358">
        <v>44983</v>
      </c>
      <c r="K445" s="53">
        <v>276.22000000000003</v>
      </c>
      <c r="L445" s="53" t="s">
        <v>3</v>
      </c>
      <c r="M445" s="67">
        <f t="shared" si="79"/>
        <v>276.22000000000003</v>
      </c>
      <c r="N445" s="53" t="s">
        <v>3</v>
      </c>
      <c r="O445" s="50" t="s">
        <v>3546</v>
      </c>
      <c r="P445" s="53" t="s">
        <v>137</v>
      </c>
      <c r="Q445" s="1292">
        <v>2027</v>
      </c>
      <c r="R445" s="53">
        <v>2305</v>
      </c>
      <c r="S445" s="53" t="s">
        <v>121</v>
      </c>
      <c r="AA445" s="78">
        <f t="shared" si="80"/>
        <v>0</v>
      </c>
      <c r="AG445" s="78"/>
      <c r="AN445" s="53">
        <v>272</v>
      </c>
      <c r="AO445" s="53" t="s">
        <v>3754</v>
      </c>
      <c r="AP445" s="53">
        <v>3</v>
      </c>
      <c r="AR445" s="264" t="str">
        <f ca="1">IF(LEN(Q445)=4,IF(Q445&lt;YEAR(NOW()),_xlfn.CONCAT(IF(LOWER(Setting!rng_language)="english","Expired ","Expiré "),Q445),""),"")</f>
        <v/>
      </c>
      <c r="AT445" s="53" t="b">
        <f>ISNUMBER(MATCH(IF(LEN('USER INPUT SHEET'!rng_province)&gt;0,'USER INPUT SHEET'!rng_province,"Canada"),$AU445:$BD445,0))</f>
        <v>0</v>
      </c>
      <c r="AU445" s="1286" t="s">
        <v>1210</v>
      </c>
      <c r="AV445" s="1286" t="s">
        <v>3278</v>
      </c>
      <c r="AW445" s="1286"/>
      <c r="AX445" s="1286"/>
      <c r="AY445" s="1286"/>
      <c r="AZ445" s="1286"/>
      <c r="BA445" s="1286"/>
      <c r="BB445" s="1286"/>
      <c r="BC445" s="1286"/>
      <c r="BD445" s="1286"/>
    </row>
    <row r="446" spans="1:56" ht="15.75" customHeight="1" x14ac:dyDescent="0.3">
      <c r="A446" s="50" t="str">
        <f t="shared" si="78"/>
        <v xml:space="preserve">Concrete - 25 MPa, 20% SL, GU / ABQ / Can. Quebec Avg. / </v>
      </c>
      <c r="B446" s="53" t="s">
        <v>3550</v>
      </c>
      <c r="C446" s="53" t="s">
        <v>3542</v>
      </c>
      <c r="D446" s="53" t="s">
        <v>3543</v>
      </c>
      <c r="H446" s="50" t="s">
        <v>3548</v>
      </c>
      <c r="I446" s="53" t="s">
        <v>3545</v>
      </c>
      <c r="J446" s="358">
        <v>44983</v>
      </c>
      <c r="K446" s="53">
        <v>258.8</v>
      </c>
      <c r="L446" s="53" t="s">
        <v>3</v>
      </c>
      <c r="M446" s="67">
        <f t="shared" si="79"/>
        <v>258.8</v>
      </c>
      <c r="N446" s="53" t="s">
        <v>3</v>
      </c>
      <c r="O446" s="50" t="s">
        <v>3546</v>
      </c>
      <c r="P446" s="53" t="s">
        <v>137</v>
      </c>
      <c r="Q446" s="1292">
        <v>2027</v>
      </c>
      <c r="R446" s="53">
        <v>2305</v>
      </c>
      <c r="S446" s="53" t="s">
        <v>121</v>
      </c>
      <c r="AA446" s="78">
        <f t="shared" si="80"/>
        <v>0</v>
      </c>
      <c r="AG446" s="78"/>
      <c r="AN446" s="53">
        <v>273</v>
      </c>
      <c r="AO446" s="53" t="s">
        <v>3754</v>
      </c>
      <c r="AP446" s="53">
        <v>4</v>
      </c>
      <c r="AR446" s="264" t="str">
        <f ca="1">IF(LEN(Q446)=4,IF(Q446&lt;YEAR(NOW()),_xlfn.CONCAT(IF(LOWER(Setting!rng_language)="english","Expired ","Expiré "),Q446),""),"")</f>
        <v/>
      </c>
      <c r="AT446" s="53" t="b">
        <f>ISNUMBER(MATCH(IF(LEN('USER INPUT SHEET'!rng_province)&gt;0,'USER INPUT SHEET'!rng_province,"Canada"),$AU446:$BD446,0))</f>
        <v>0</v>
      </c>
      <c r="AU446" s="1286" t="s">
        <v>1210</v>
      </c>
      <c r="AV446" s="1286" t="s">
        <v>3278</v>
      </c>
      <c r="AW446" s="1286"/>
      <c r="AX446" s="1286"/>
      <c r="AY446" s="1286"/>
      <c r="AZ446" s="1286"/>
      <c r="BA446" s="1286"/>
      <c r="BB446" s="1286"/>
      <c r="BC446" s="1286"/>
      <c r="BD446" s="1286"/>
    </row>
    <row r="447" spans="1:56" ht="15.75" customHeight="1" x14ac:dyDescent="0.3">
      <c r="A447" s="50" t="str">
        <f t="shared" si="78"/>
        <v xml:space="preserve">Concrete - 25 MPa, 20% FA, GU / ABQ / Can. Quebec Avg. / </v>
      </c>
      <c r="B447" s="53" t="s">
        <v>3551</v>
      </c>
      <c r="C447" s="53" t="s">
        <v>3542</v>
      </c>
      <c r="D447" s="53" t="s">
        <v>3543</v>
      </c>
      <c r="H447" s="50" t="s">
        <v>3548</v>
      </c>
      <c r="I447" s="53" t="s">
        <v>3545</v>
      </c>
      <c r="J447" s="358">
        <v>44983</v>
      </c>
      <c r="K447" s="53">
        <v>250.12</v>
      </c>
      <c r="L447" s="53" t="s">
        <v>3</v>
      </c>
      <c r="M447" s="67">
        <f t="shared" si="79"/>
        <v>250.12</v>
      </c>
      <c r="N447" s="53" t="s">
        <v>3</v>
      </c>
      <c r="O447" s="50" t="s">
        <v>3546</v>
      </c>
      <c r="P447" s="53" t="s">
        <v>137</v>
      </c>
      <c r="Q447" s="1292">
        <v>2027</v>
      </c>
      <c r="R447" s="53">
        <v>2305</v>
      </c>
      <c r="S447" s="53" t="s">
        <v>121</v>
      </c>
      <c r="AA447" s="78">
        <f t="shared" si="80"/>
        <v>0</v>
      </c>
      <c r="AG447" s="78"/>
      <c r="AN447" s="53">
        <v>274</v>
      </c>
      <c r="AO447" s="53" t="s">
        <v>3754</v>
      </c>
      <c r="AP447" s="53">
        <v>5</v>
      </c>
      <c r="AR447" s="264" t="str">
        <f ca="1">IF(LEN(Q447)=4,IF(Q447&lt;YEAR(NOW()),_xlfn.CONCAT(IF(LOWER(Setting!rng_language)="english","Expired ","Expiré "),Q447),""),"")</f>
        <v/>
      </c>
      <c r="AT447" s="53" t="b">
        <f>ISNUMBER(MATCH(IF(LEN('USER INPUT SHEET'!rng_province)&gt;0,'USER INPUT SHEET'!rng_province,"Canada"),$AU447:$BD447,0))</f>
        <v>0</v>
      </c>
      <c r="AU447" s="1286" t="s">
        <v>1210</v>
      </c>
      <c r="AV447" s="1286" t="s">
        <v>3278</v>
      </c>
      <c r="AW447" s="1286"/>
      <c r="AX447" s="1286"/>
      <c r="AY447" s="1286"/>
      <c r="AZ447" s="1286"/>
      <c r="BA447" s="1286"/>
      <c r="BB447" s="1286"/>
      <c r="BC447" s="1286"/>
      <c r="BD447" s="1286"/>
    </row>
    <row r="448" spans="1:56" ht="15.75" customHeight="1" x14ac:dyDescent="0.3">
      <c r="A448" s="50" t="str">
        <f t="shared" si="78"/>
        <v xml:space="preserve">Concrete - 25 MPa, 30% SL, GU / ABQ / Can. Quebec Avg. / </v>
      </c>
      <c r="B448" s="53" t="s">
        <v>3552</v>
      </c>
      <c r="C448" s="53" t="s">
        <v>3542</v>
      </c>
      <c r="D448" s="53" t="s">
        <v>3543</v>
      </c>
      <c r="H448" s="50" t="s">
        <v>3548</v>
      </c>
      <c r="I448" s="53" t="s">
        <v>3545</v>
      </c>
      <c r="J448" s="358">
        <v>44983</v>
      </c>
      <c r="K448" s="53">
        <v>237.5</v>
      </c>
      <c r="L448" s="53" t="s">
        <v>3</v>
      </c>
      <c r="M448" s="67">
        <f t="shared" si="79"/>
        <v>237.5</v>
      </c>
      <c r="N448" s="53" t="s">
        <v>3</v>
      </c>
      <c r="O448" s="50" t="s">
        <v>3546</v>
      </c>
      <c r="P448" s="53" t="s">
        <v>137</v>
      </c>
      <c r="Q448" s="1292">
        <v>2027</v>
      </c>
      <c r="R448" s="53">
        <v>2305</v>
      </c>
      <c r="S448" s="53" t="s">
        <v>121</v>
      </c>
      <c r="AA448" s="78">
        <f t="shared" si="80"/>
        <v>0</v>
      </c>
      <c r="AG448" s="78"/>
      <c r="AN448" s="53">
        <v>275</v>
      </c>
      <c r="AO448" s="53" t="s">
        <v>3754</v>
      </c>
      <c r="AP448" s="53">
        <v>6</v>
      </c>
      <c r="AR448" s="264" t="str">
        <f ca="1">IF(LEN(Q448)=4,IF(Q448&lt;YEAR(NOW()),_xlfn.CONCAT(IF(LOWER(Setting!rng_language)="english","Expired ","Expiré "),Q448),""),"")</f>
        <v/>
      </c>
      <c r="AT448" s="53" t="b">
        <f>ISNUMBER(MATCH(IF(LEN('USER INPUT SHEET'!rng_province)&gt;0,'USER INPUT SHEET'!rng_province,"Canada"),$AU448:$BD448,0))</f>
        <v>0</v>
      </c>
      <c r="AU448" s="1286" t="s">
        <v>1210</v>
      </c>
      <c r="AV448" s="1286" t="s">
        <v>3278</v>
      </c>
      <c r="AW448" s="1286"/>
      <c r="AX448" s="1286"/>
      <c r="AY448" s="1286"/>
      <c r="AZ448" s="1286"/>
      <c r="BA448" s="1286"/>
      <c r="BB448" s="1286"/>
      <c r="BC448" s="1286"/>
      <c r="BD448" s="1286"/>
    </row>
    <row r="449" spans="1:56" ht="15.75" customHeight="1" x14ac:dyDescent="0.3">
      <c r="A449" s="50" t="str">
        <f t="shared" si="78"/>
        <v xml:space="preserve">Concrete - 25 MPa, 30% FA, GU / ABQ / Can. Quebec Avg. / </v>
      </c>
      <c r="B449" s="53" t="s">
        <v>3553</v>
      </c>
      <c r="C449" s="53" t="s">
        <v>3542</v>
      </c>
      <c r="D449" s="53" t="s">
        <v>3543</v>
      </c>
      <c r="H449" s="50" t="s">
        <v>3548</v>
      </c>
      <c r="I449" s="53" t="s">
        <v>3545</v>
      </c>
      <c r="J449" s="358">
        <v>44983</v>
      </c>
      <c r="K449" s="53">
        <v>224.48</v>
      </c>
      <c r="L449" s="53" t="s">
        <v>3</v>
      </c>
      <c r="M449" s="67">
        <f t="shared" si="79"/>
        <v>224.48</v>
      </c>
      <c r="N449" s="53" t="s">
        <v>3</v>
      </c>
      <c r="O449" s="50" t="s">
        <v>3546</v>
      </c>
      <c r="P449" s="53" t="s">
        <v>137</v>
      </c>
      <c r="Q449" s="1292">
        <v>2027</v>
      </c>
      <c r="R449" s="53">
        <v>2305</v>
      </c>
      <c r="S449" s="53" t="s">
        <v>121</v>
      </c>
      <c r="AA449" s="78">
        <f t="shared" si="80"/>
        <v>0</v>
      </c>
      <c r="AG449" s="78"/>
      <c r="AN449" s="53">
        <v>276</v>
      </c>
      <c r="AO449" s="53" t="s">
        <v>3754</v>
      </c>
      <c r="AP449" s="53">
        <v>7</v>
      </c>
      <c r="AR449" s="264" t="str">
        <f ca="1">IF(LEN(Q449)=4,IF(Q449&lt;YEAR(NOW()),_xlfn.CONCAT(IF(LOWER(Setting!rng_language)="english","Expired ","Expiré "),Q449),""),"")</f>
        <v/>
      </c>
      <c r="AT449" s="53" t="b">
        <f>ISNUMBER(MATCH(IF(LEN('USER INPUT SHEET'!rng_province)&gt;0,'USER INPUT SHEET'!rng_province,"Canada"),$AU449:$BD449,0))</f>
        <v>0</v>
      </c>
      <c r="AU449" s="1286" t="s">
        <v>1210</v>
      </c>
      <c r="AV449" s="1286" t="s">
        <v>3278</v>
      </c>
      <c r="AW449" s="1286"/>
      <c r="AX449" s="1286"/>
      <c r="AY449" s="1286"/>
      <c r="AZ449" s="1286"/>
      <c r="BA449" s="1286"/>
      <c r="BB449" s="1286"/>
      <c r="BC449" s="1286"/>
      <c r="BD449" s="1286"/>
    </row>
    <row r="450" spans="1:56" ht="15.75" customHeight="1" x14ac:dyDescent="0.3">
      <c r="A450" s="50" t="str">
        <f t="shared" si="78"/>
        <v xml:space="preserve">Concrete - 30 MPa, Quebec Baseline Average / ABQ / Can. Quebec Avg. / </v>
      </c>
      <c r="B450" s="53" t="s">
        <v>3554</v>
      </c>
      <c r="C450" s="53" t="s">
        <v>3542</v>
      </c>
      <c r="D450" s="53" t="s">
        <v>3543</v>
      </c>
      <c r="H450" s="50" t="s">
        <v>3544</v>
      </c>
      <c r="I450" s="53" t="s">
        <v>3545</v>
      </c>
      <c r="J450" s="358">
        <v>44983</v>
      </c>
      <c r="K450" s="53">
        <v>326.97000000000003</v>
      </c>
      <c r="L450" s="53" t="s">
        <v>3</v>
      </c>
      <c r="M450" s="67">
        <f t="shared" si="79"/>
        <v>326.97000000000003</v>
      </c>
      <c r="N450" s="53" t="s">
        <v>3</v>
      </c>
      <c r="O450" s="50" t="s">
        <v>3546</v>
      </c>
      <c r="P450" s="53" t="s">
        <v>137</v>
      </c>
      <c r="Q450" s="1292">
        <v>2027</v>
      </c>
      <c r="R450" s="53">
        <v>2305</v>
      </c>
      <c r="S450" s="53" t="s">
        <v>121</v>
      </c>
      <c r="AA450" s="78">
        <f t="shared" si="80"/>
        <v>0</v>
      </c>
      <c r="AG450" s="78"/>
      <c r="AN450" s="53">
        <v>277</v>
      </c>
      <c r="AO450" s="53" t="s">
        <v>3755</v>
      </c>
      <c r="AP450" s="53">
        <v>1</v>
      </c>
      <c r="AR450" s="264" t="str">
        <f ca="1">IF(LEN(Q450)=4,IF(Q450&lt;YEAR(NOW()),_xlfn.CONCAT(IF(LOWER(Setting!rng_language)="english","Expired ","Expiré "),Q450),""),"")</f>
        <v/>
      </c>
      <c r="AT450" s="53" t="b">
        <f>ISNUMBER(MATCH(IF(LEN('USER INPUT SHEET'!rng_province)&gt;0,'USER INPUT SHEET'!rng_province,"Canada"),$AU450:$BD450,0))</f>
        <v>0</v>
      </c>
      <c r="AU450" s="1286" t="s">
        <v>1210</v>
      </c>
      <c r="AV450" s="1286" t="s">
        <v>3278</v>
      </c>
      <c r="AW450" s="1286"/>
      <c r="AX450" s="1286"/>
      <c r="AY450" s="1286"/>
      <c r="AZ450" s="1286"/>
      <c r="BA450" s="1286"/>
      <c r="BB450" s="1286"/>
      <c r="BC450" s="1286"/>
      <c r="BD450" s="1286"/>
    </row>
    <row r="451" spans="1:56" ht="15.75" customHeight="1" x14ac:dyDescent="0.3">
      <c r="A451" s="50" t="str">
        <f t="shared" si="78"/>
        <v xml:space="preserve">Concrete - 30 MPa, 10% SL, GU / ABQ / Can. Quebec Avg. / </v>
      </c>
      <c r="B451" s="53" t="s">
        <v>3555</v>
      </c>
      <c r="C451" s="53" t="s">
        <v>3542</v>
      </c>
      <c r="D451" s="53" t="s">
        <v>3543</v>
      </c>
      <c r="H451" s="50" t="s">
        <v>3548</v>
      </c>
      <c r="I451" s="53" t="s">
        <v>3545</v>
      </c>
      <c r="J451" s="358">
        <v>44983</v>
      </c>
      <c r="K451" s="53">
        <v>312.77999999999997</v>
      </c>
      <c r="L451" s="53" t="s">
        <v>3</v>
      </c>
      <c r="M451" s="67">
        <f t="shared" si="79"/>
        <v>312.77999999999997</v>
      </c>
      <c r="N451" s="53" t="s">
        <v>3</v>
      </c>
      <c r="O451" s="50" t="s">
        <v>3546</v>
      </c>
      <c r="P451" s="53" t="s">
        <v>137</v>
      </c>
      <c r="Q451" s="1292">
        <v>2027</v>
      </c>
      <c r="R451" s="53">
        <v>2305</v>
      </c>
      <c r="S451" s="53" t="s">
        <v>121</v>
      </c>
      <c r="AA451" s="78">
        <f t="shared" si="80"/>
        <v>0</v>
      </c>
      <c r="AG451" s="78"/>
      <c r="AN451" s="53">
        <v>278</v>
      </c>
      <c r="AO451" s="53" t="s">
        <v>3755</v>
      </c>
      <c r="AP451" s="53">
        <v>2</v>
      </c>
      <c r="AR451" s="264" t="str">
        <f ca="1">IF(LEN(Q451)=4,IF(Q451&lt;YEAR(NOW()),_xlfn.CONCAT(IF(LOWER(Setting!rng_language)="english","Expired ","Expiré "),Q451),""),"")</f>
        <v/>
      </c>
      <c r="AT451" s="53" t="b">
        <f>ISNUMBER(MATCH(IF(LEN('USER INPUT SHEET'!rng_province)&gt;0,'USER INPUT SHEET'!rng_province,"Canada"),$AU451:$BD451,0))</f>
        <v>0</v>
      </c>
      <c r="AU451" s="1286" t="s">
        <v>1210</v>
      </c>
      <c r="AV451" s="1286" t="s">
        <v>3278</v>
      </c>
      <c r="AW451" s="1286"/>
      <c r="AX451" s="1286"/>
      <c r="AY451" s="1286"/>
      <c r="AZ451" s="1286"/>
      <c r="BA451" s="1286"/>
      <c r="BB451" s="1286"/>
      <c r="BC451" s="1286"/>
      <c r="BD451" s="1286"/>
    </row>
    <row r="452" spans="1:56" ht="15.75" customHeight="1" x14ac:dyDescent="0.3">
      <c r="A452" s="50" t="str">
        <f t="shared" si="78"/>
        <v xml:space="preserve">Concrete - 30 MPa, 10% FA, GU / ABQ / Can. Quebec Avg. / </v>
      </c>
      <c r="B452" s="53" t="s">
        <v>3556</v>
      </c>
      <c r="C452" s="53" t="s">
        <v>3542</v>
      </c>
      <c r="D452" s="53" t="s">
        <v>3543</v>
      </c>
      <c r="H452" s="50" t="s">
        <v>3548</v>
      </c>
      <c r="I452" s="53" t="s">
        <v>3545</v>
      </c>
      <c r="J452" s="358">
        <v>44983</v>
      </c>
      <c r="K452" s="53">
        <v>307.94</v>
      </c>
      <c r="L452" s="53" t="s">
        <v>3</v>
      </c>
      <c r="M452" s="67">
        <f t="shared" si="79"/>
        <v>307.94</v>
      </c>
      <c r="N452" s="53" t="s">
        <v>3</v>
      </c>
      <c r="O452" s="50" t="s">
        <v>3546</v>
      </c>
      <c r="P452" s="53" t="s">
        <v>137</v>
      </c>
      <c r="Q452" s="1292">
        <v>2027</v>
      </c>
      <c r="R452" s="53">
        <v>2305</v>
      </c>
      <c r="S452" s="53" t="s">
        <v>121</v>
      </c>
      <c r="AA452" s="78">
        <f t="shared" si="80"/>
        <v>0</v>
      </c>
      <c r="AG452" s="78"/>
      <c r="AN452" s="53">
        <v>279</v>
      </c>
      <c r="AO452" s="53" t="s">
        <v>3755</v>
      </c>
      <c r="AP452" s="53">
        <v>3</v>
      </c>
      <c r="AR452" s="264" t="str">
        <f ca="1">IF(LEN(Q452)=4,IF(Q452&lt;YEAR(NOW()),_xlfn.CONCAT(IF(LOWER(Setting!rng_language)="english","Expired ","Expiré "),Q452),""),"")</f>
        <v/>
      </c>
      <c r="AT452" s="53" t="b">
        <f>ISNUMBER(MATCH(IF(LEN('USER INPUT SHEET'!rng_province)&gt;0,'USER INPUT SHEET'!rng_province,"Canada"),$AU452:$BD452,0))</f>
        <v>0</v>
      </c>
      <c r="AU452" s="1286" t="s">
        <v>1210</v>
      </c>
      <c r="AV452" s="1286" t="s">
        <v>3278</v>
      </c>
      <c r="AW452" s="1286"/>
      <c r="AX452" s="1286"/>
      <c r="AY452" s="1286"/>
      <c r="AZ452" s="1286"/>
      <c r="BA452" s="1286"/>
      <c r="BB452" s="1286"/>
      <c r="BC452" s="1286"/>
      <c r="BD452" s="1286"/>
    </row>
    <row r="453" spans="1:56" ht="15.75" customHeight="1" x14ac:dyDescent="0.3">
      <c r="A453" s="50" t="str">
        <f t="shared" si="78"/>
        <v xml:space="preserve">Concrete - 30 MPa, 20% SL, GU / ABQ / Can. Quebec Avg. / </v>
      </c>
      <c r="B453" s="53" t="s">
        <v>3557</v>
      </c>
      <c r="C453" s="53" t="s">
        <v>3542</v>
      </c>
      <c r="D453" s="53" t="s">
        <v>3543</v>
      </c>
      <c r="H453" s="50" t="s">
        <v>3548</v>
      </c>
      <c r="I453" s="53" t="s">
        <v>3545</v>
      </c>
      <c r="J453" s="358">
        <v>44983</v>
      </c>
      <c r="K453" s="53">
        <v>289.05</v>
      </c>
      <c r="L453" s="53" t="s">
        <v>3</v>
      </c>
      <c r="M453" s="67">
        <f t="shared" si="79"/>
        <v>289.05</v>
      </c>
      <c r="N453" s="53" t="s">
        <v>3</v>
      </c>
      <c r="O453" s="50" t="s">
        <v>3546</v>
      </c>
      <c r="P453" s="53" t="s">
        <v>137</v>
      </c>
      <c r="Q453" s="1292">
        <v>2027</v>
      </c>
      <c r="R453" s="53">
        <v>2305</v>
      </c>
      <c r="S453" s="53" t="s">
        <v>121</v>
      </c>
      <c r="AA453" s="78">
        <f t="shared" si="80"/>
        <v>0</v>
      </c>
      <c r="AG453" s="78"/>
      <c r="AN453" s="53">
        <v>280</v>
      </c>
      <c r="AO453" s="53" t="s">
        <v>3755</v>
      </c>
      <c r="AP453" s="53">
        <v>4</v>
      </c>
      <c r="AR453" s="264" t="str">
        <f ca="1">IF(LEN(Q453)=4,IF(Q453&lt;YEAR(NOW()),_xlfn.CONCAT(IF(LOWER(Setting!rng_language)="english","Expired ","Expiré "),Q453),""),"")</f>
        <v/>
      </c>
      <c r="AT453" s="53" t="b">
        <f>ISNUMBER(MATCH(IF(LEN('USER INPUT SHEET'!rng_province)&gt;0,'USER INPUT SHEET'!rng_province,"Canada"),$AU453:$BD453,0))</f>
        <v>0</v>
      </c>
      <c r="AU453" s="1286" t="s">
        <v>1210</v>
      </c>
      <c r="AV453" s="1286" t="s">
        <v>3278</v>
      </c>
      <c r="AW453" s="1286"/>
      <c r="AX453" s="1286"/>
      <c r="AY453" s="1286"/>
      <c r="AZ453" s="1286"/>
      <c r="BA453" s="1286"/>
      <c r="BB453" s="1286"/>
      <c r="BC453" s="1286"/>
      <c r="BD453" s="1286"/>
    </row>
    <row r="454" spans="1:56" ht="15.75" customHeight="1" x14ac:dyDescent="0.3">
      <c r="A454" s="50" t="str">
        <f t="shared" si="78"/>
        <v xml:space="preserve">Concrete - 30 MPa, 20% FA, GU / ABQ / Can. Quebec Avg. / </v>
      </c>
      <c r="B454" s="53" t="s">
        <v>3558</v>
      </c>
      <c r="C454" s="53" t="s">
        <v>3542</v>
      </c>
      <c r="D454" s="53" t="s">
        <v>3543</v>
      </c>
      <c r="H454" s="50" t="s">
        <v>3548</v>
      </c>
      <c r="I454" s="53" t="s">
        <v>3545</v>
      </c>
      <c r="J454" s="358">
        <v>44983</v>
      </c>
      <c r="K454" s="53">
        <v>279.27999999999997</v>
      </c>
      <c r="L454" s="53" t="s">
        <v>3</v>
      </c>
      <c r="M454" s="67">
        <f t="shared" si="79"/>
        <v>279.27999999999997</v>
      </c>
      <c r="N454" s="53" t="s">
        <v>3</v>
      </c>
      <c r="O454" s="50" t="s">
        <v>3546</v>
      </c>
      <c r="P454" s="53" t="s">
        <v>137</v>
      </c>
      <c r="Q454" s="1292">
        <v>2027</v>
      </c>
      <c r="R454" s="53">
        <v>2305</v>
      </c>
      <c r="S454" s="53" t="s">
        <v>121</v>
      </c>
      <c r="AA454" s="78">
        <f t="shared" si="80"/>
        <v>0</v>
      </c>
      <c r="AG454" s="78"/>
      <c r="AN454" s="53">
        <v>281</v>
      </c>
      <c r="AO454" s="53" t="s">
        <v>3755</v>
      </c>
      <c r="AP454" s="53">
        <v>5</v>
      </c>
      <c r="AR454" s="264" t="str">
        <f ca="1">IF(LEN(Q454)=4,IF(Q454&lt;YEAR(NOW()),_xlfn.CONCAT(IF(LOWER(Setting!rng_language)="english","Expired ","Expiré "),Q454),""),"")</f>
        <v/>
      </c>
      <c r="AT454" s="53" t="b">
        <f>ISNUMBER(MATCH(IF(LEN('USER INPUT SHEET'!rng_province)&gt;0,'USER INPUT SHEET'!rng_province,"Canada"),$AU454:$BD454,0))</f>
        <v>0</v>
      </c>
      <c r="AU454" s="1286" t="s">
        <v>1210</v>
      </c>
      <c r="AV454" s="1286" t="s">
        <v>3278</v>
      </c>
      <c r="AW454" s="1286"/>
      <c r="AX454" s="1286"/>
      <c r="AY454" s="1286"/>
      <c r="AZ454" s="1286"/>
      <c r="BA454" s="1286"/>
      <c r="BB454" s="1286"/>
      <c r="BC454" s="1286"/>
      <c r="BD454" s="1286"/>
    </row>
    <row r="455" spans="1:56" ht="15.75" customHeight="1" x14ac:dyDescent="0.3">
      <c r="A455" s="50" t="str">
        <f t="shared" si="78"/>
        <v xml:space="preserve">Concrete - 30 MPa, 30% SL, GU / ABQ / Can. Quebec Avg. / </v>
      </c>
      <c r="B455" s="53" t="s">
        <v>3559</v>
      </c>
      <c r="C455" s="53" t="s">
        <v>3542</v>
      </c>
      <c r="D455" s="53" t="s">
        <v>3543</v>
      </c>
      <c r="H455" s="50" t="s">
        <v>3548</v>
      </c>
      <c r="I455" s="53" t="s">
        <v>3545</v>
      </c>
      <c r="J455" s="358">
        <v>44983</v>
      </c>
      <c r="K455" s="53">
        <v>264.86</v>
      </c>
      <c r="L455" s="53" t="s">
        <v>3</v>
      </c>
      <c r="M455" s="67">
        <f t="shared" si="79"/>
        <v>264.86</v>
      </c>
      <c r="N455" s="53" t="s">
        <v>3</v>
      </c>
      <c r="O455" s="50" t="s">
        <v>3546</v>
      </c>
      <c r="P455" s="53" t="s">
        <v>137</v>
      </c>
      <c r="Q455" s="1292">
        <v>2027</v>
      </c>
      <c r="R455" s="53">
        <v>2305</v>
      </c>
      <c r="S455" s="53" t="s">
        <v>121</v>
      </c>
      <c r="AA455" s="78">
        <f t="shared" si="80"/>
        <v>0</v>
      </c>
      <c r="AG455" s="78"/>
      <c r="AN455" s="53">
        <v>282</v>
      </c>
      <c r="AO455" s="53" t="s">
        <v>3755</v>
      </c>
      <c r="AP455" s="53">
        <v>6</v>
      </c>
      <c r="AR455" s="264" t="str">
        <f ca="1">IF(LEN(Q455)=4,IF(Q455&lt;YEAR(NOW()),_xlfn.CONCAT(IF(LOWER(Setting!rng_language)="english","Expired ","Expiré "),Q455),""),"")</f>
        <v/>
      </c>
      <c r="AT455" s="53" t="b">
        <f>ISNUMBER(MATCH(IF(LEN('USER INPUT SHEET'!rng_province)&gt;0,'USER INPUT SHEET'!rng_province,"Canada"),$AU455:$BD455,0))</f>
        <v>0</v>
      </c>
      <c r="AU455" s="1286" t="s">
        <v>1210</v>
      </c>
      <c r="AV455" s="1286" t="s">
        <v>3278</v>
      </c>
      <c r="AW455" s="1286"/>
      <c r="AX455" s="1286"/>
      <c r="AY455" s="1286"/>
      <c r="AZ455" s="1286"/>
      <c r="BA455" s="1286"/>
      <c r="BB455" s="1286"/>
      <c r="BC455" s="1286"/>
      <c r="BD455" s="1286"/>
    </row>
    <row r="456" spans="1:56" ht="15.75" customHeight="1" x14ac:dyDescent="0.3">
      <c r="A456" s="50" t="str">
        <f t="shared" si="78"/>
        <v xml:space="preserve">Concrete - 30 MPa, 30% FA, GU / ABQ / Can. Quebec Avg. / </v>
      </c>
      <c r="B456" s="53" t="s">
        <v>3560</v>
      </c>
      <c r="C456" s="53" t="s">
        <v>3542</v>
      </c>
      <c r="D456" s="53" t="s">
        <v>3543</v>
      </c>
      <c r="H456" s="50" t="s">
        <v>3548</v>
      </c>
      <c r="I456" s="53" t="s">
        <v>3545</v>
      </c>
      <c r="J456" s="358">
        <v>44983</v>
      </c>
      <c r="K456" s="53">
        <v>250.16</v>
      </c>
      <c r="L456" s="53" t="s">
        <v>3</v>
      </c>
      <c r="M456" s="67">
        <f t="shared" si="79"/>
        <v>250.16</v>
      </c>
      <c r="N456" s="53" t="s">
        <v>3</v>
      </c>
      <c r="O456" s="50" t="s">
        <v>3546</v>
      </c>
      <c r="P456" s="53" t="s">
        <v>137</v>
      </c>
      <c r="Q456" s="1292">
        <v>2027</v>
      </c>
      <c r="R456" s="53">
        <v>2305</v>
      </c>
      <c r="S456" s="53" t="s">
        <v>121</v>
      </c>
      <c r="AA456" s="78">
        <f t="shared" si="80"/>
        <v>0</v>
      </c>
      <c r="AG456" s="78"/>
      <c r="AN456" s="53">
        <v>283</v>
      </c>
      <c r="AO456" s="53" t="s">
        <v>3755</v>
      </c>
      <c r="AP456" s="53">
        <v>7</v>
      </c>
      <c r="AR456" s="264" t="str">
        <f ca="1">IF(LEN(Q456)=4,IF(Q456&lt;YEAR(NOW()),_xlfn.CONCAT(IF(LOWER(Setting!rng_language)="english","Expired ","Expiré "),Q456),""),"")</f>
        <v/>
      </c>
      <c r="AT456" s="53" t="b">
        <f>ISNUMBER(MATCH(IF(LEN('USER INPUT SHEET'!rng_province)&gt;0,'USER INPUT SHEET'!rng_province,"Canada"),$AU456:$BD456,0))</f>
        <v>0</v>
      </c>
      <c r="AU456" s="1286" t="s">
        <v>1210</v>
      </c>
      <c r="AV456" s="1286" t="s">
        <v>3278</v>
      </c>
      <c r="AW456" s="1286"/>
      <c r="AX456" s="1286"/>
      <c r="AY456" s="1286"/>
      <c r="AZ456" s="1286"/>
      <c r="BA456" s="1286"/>
      <c r="BB456" s="1286"/>
      <c r="BC456" s="1286"/>
      <c r="BD456" s="1286"/>
    </row>
    <row r="457" spans="1:56" ht="15.75" customHeight="1" x14ac:dyDescent="0.3">
      <c r="A457" s="50" t="str">
        <f t="shared" si="78"/>
        <v xml:space="preserve">Concrete - 35 MPa, Quebec Baseline Average / ABQ / Can. Quebec Avg. / </v>
      </c>
      <c r="B457" s="53" t="s">
        <v>3561</v>
      </c>
      <c r="C457" s="53" t="s">
        <v>3542</v>
      </c>
      <c r="D457" s="53" t="s">
        <v>3543</v>
      </c>
      <c r="H457" s="50" t="s">
        <v>3544</v>
      </c>
      <c r="I457" s="53" t="s">
        <v>3545</v>
      </c>
      <c r="J457" s="358">
        <v>44983</v>
      </c>
      <c r="K457" s="53">
        <v>369.32</v>
      </c>
      <c r="L457" s="53" t="s">
        <v>3</v>
      </c>
      <c r="M457" s="67">
        <f t="shared" si="79"/>
        <v>369.32</v>
      </c>
      <c r="N457" s="53" t="s">
        <v>3</v>
      </c>
      <c r="O457" s="50" t="s">
        <v>3546</v>
      </c>
      <c r="P457" s="53" t="s">
        <v>137</v>
      </c>
      <c r="Q457" s="1292">
        <v>2027</v>
      </c>
      <c r="R457" s="53">
        <v>2305</v>
      </c>
      <c r="S457" s="53" t="s">
        <v>121</v>
      </c>
      <c r="AA457" s="78">
        <f t="shared" si="80"/>
        <v>0</v>
      </c>
      <c r="AG457" s="78"/>
      <c r="AN457" s="53">
        <v>284</v>
      </c>
      <c r="AO457" s="53" t="s">
        <v>3756</v>
      </c>
      <c r="AP457" s="53">
        <v>1</v>
      </c>
      <c r="AR457" s="264" t="str">
        <f ca="1">IF(LEN(Q457)=4,IF(Q457&lt;YEAR(NOW()),_xlfn.CONCAT(IF(LOWER(Setting!rng_language)="english","Expired ","Expiré "),Q457),""),"")</f>
        <v/>
      </c>
      <c r="AT457" s="53" t="b">
        <f>ISNUMBER(MATCH(IF(LEN('USER INPUT SHEET'!rng_province)&gt;0,'USER INPUT SHEET'!rng_province,"Canada"),$AU457:$BD457,0))</f>
        <v>0</v>
      </c>
      <c r="AU457" s="1286" t="s">
        <v>1210</v>
      </c>
      <c r="AV457" s="1286" t="s">
        <v>3278</v>
      </c>
      <c r="AW457" s="1286"/>
      <c r="AX457" s="1286"/>
      <c r="AY457" s="1286"/>
      <c r="AZ457" s="1286"/>
      <c r="BA457" s="1286"/>
      <c r="BB457" s="1286"/>
      <c r="BC457" s="1286"/>
      <c r="BD457" s="1286"/>
    </row>
    <row r="458" spans="1:56" ht="15.75" customHeight="1" x14ac:dyDescent="0.3">
      <c r="A458" s="50" t="str">
        <f t="shared" si="78"/>
        <v xml:space="preserve">Concrete - 35 MPa, 10% SL, GU / ABQ / Can. Quebec Avg. / </v>
      </c>
      <c r="B458" s="53" t="s">
        <v>3562</v>
      </c>
      <c r="C458" s="53" t="s">
        <v>3542</v>
      </c>
      <c r="D458" s="53" t="s">
        <v>3543</v>
      </c>
      <c r="H458" s="50" t="s">
        <v>3548</v>
      </c>
      <c r="I458" s="53" t="s">
        <v>3545</v>
      </c>
      <c r="J458" s="358">
        <v>44983</v>
      </c>
      <c r="K458" s="53">
        <v>353.75</v>
      </c>
      <c r="L458" s="53" t="s">
        <v>3</v>
      </c>
      <c r="M458" s="67">
        <f t="shared" si="79"/>
        <v>353.75</v>
      </c>
      <c r="N458" s="53" t="s">
        <v>3</v>
      </c>
      <c r="O458" s="50" t="s">
        <v>3546</v>
      </c>
      <c r="P458" s="53" t="s">
        <v>137</v>
      </c>
      <c r="Q458" s="1292">
        <v>2027</v>
      </c>
      <c r="R458" s="53">
        <v>2305</v>
      </c>
      <c r="S458" s="53" t="s">
        <v>121</v>
      </c>
      <c r="AA458" s="78">
        <f t="shared" si="80"/>
        <v>0</v>
      </c>
      <c r="AG458" s="78"/>
      <c r="AN458" s="53">
        <v>285</v>
      </c>
      <c r="AO458" s="53" t="s">
        <v>3756</v>
      </c>
      <c r="AP458" s="53">
        <v>2</v>
      </c>
      <c r="AR458" s="264" t="str">
        <f ca="1">IF(LEN(Q458)=4,IF(Q458&lt;YEAR(NOW()),_xlfn.CONCAT(IF(LOWER(Setting!rng_language)="english","Expired ","Expiré "),Q458),""),"")</f>
        <v/>
      </c>
      <c r="AT458" s="53" t="b">
        <f>ISNUMBER(MATCH(IF(LEN('USER INPUT SHEET'!rng_province)&gt;0,'USER INPUT SHEET'!rng_province,"Canada"),$AU458:$BD458,0))</f>
        <v>0</v>
      </c>
      <c r="AU458" s="1286" t="s">
        <v>1210</v>
      </c>
      <c r="AV458" s="1286" t="s">
        <v>3278</v>
      </c>
      <c r="AW458" s="1286"/>
      <c r="AX458" s="1286"/>
      <c r="AY458" s="1286"/>
      <c r="AZ458" s="1286"/>
      <c r="BA458" s="1286"/>
      <c r="BB458" s="1286"/>
      <c r="BC458" s="1286"/>
      <c r="BD458" s="1286"/>
    </row>
    <row r="459" spans="1:56" ht="15.75" customHeight="1" x14ac:dyDescent="0.3">
      <c r="A459" s="50" t="str">
        <f t="shared" si="78"/>
        <v xml:space="preserve">Concrete - 35 MPa, 10% FA, GU / ABQ / Can. Quebec Avg. / </v>
      </c>
      <c r="B459" s="53" t="s">
        <v>3563</v>
      </c>
      <c r="C459" s="53" t="s">
        <v>3542</v>
      </c>
      <c r="D459" s="53" t="s">
        <v>3543</v>
      </c>
      <c r="H459" s="50" t="s">
        <v>3548</v>
      </c>
      <c r="I459" s="53" t="s">
        <v>3545</v>
      </c>
      <c r="J459" s="358">
        <v>44983</v>
      </c>
      <c r="K459" s="53">
        <v>348.16</v>
      </c>
      <c r="L459" s="53" t="s">
        <v>3</v>
      </c>
      <c r="M459" s="67">
        <f t="shared" si="79"/>
        <v>348.16</v>
      </c>
      <c r="N459" s="53" t="s">
        <v>3</v>
      </c>
      <c r="O459" s="50" t="s">
        <v>3546</v>
      </c>
      <c r="P459" s="53" t="s">
        <v>137</v>
      </c>
      <c r="Q459" s="1292">
        <v>2027</v>
      </c>
      <c r="R459" s="53">
        <v>2305</v>
      </c>
      <c r="S459" s="53" t="s">
        <v>121</v>
      </c>
      <c r="AA459" s="78">
        <f t="shared" si="80"/>
        <v>0</v>
      </c>
      <c r="AG459" s="78"/>
      <c r="AN459" s="53">
        <v>286</v>
      </c>
      <c r="AO459" s="53" t="s">
        <v>3756</v>
      </c>
      <c r="AP459" s="53">
        <v>3</v>
      </c>
      <c r="AR459" s="264" t="str">
        <f ca="1">IF(LEN(Q459)=4,IF(Q459&lt;YEAR(NOW()),_xlfn.CONCAT(IF(LOWER(Setting!rng_language)="english","Expired ","Expiré "),Q459),""),"")</f>
        <v/>
      </c>
      <c r="AT459" s="53" t="b">
        <f>ISNUMBER(MATCH(IF(LEN('USER INPUT SHEET'!rng_province)&gt;0,'USER INPUT SHEET'!rng_province,"Canada"),$AU459:$BD459,0))</f>
        <v>0</v>
      </c>
      <c r="AU459" s="1286" t="s">
        <v>1210</v>
      </c>
      <c r="AV459" s="1286" t="s">
        <v>3278</v>
      </c>
      <c r="AW459" s="1286"/>
      <c r="AX459" s="1286"/>
      <c r="AY459" s="1286"/>
      <c r="AZ459" s="1286"/>
      <c r="BA459" s="1286"/>
      <c r="BB459" s="1286"/>
      <c r="BC459" s="1286"/>
      <c r="BD459" s="1286"/>
    </row>
    <row r="460" spans="1:56" ht="15.75" customHeight="1" x14ac:dyDescent="0.3">
      <c r="A460" s="50" t="str">
        <f t="shared" si="78"/>
        <v xml:space="preserve">Concrete - 35 MPa, 20% SL, GU / ABQ / Can. Quebec Avg. / </v>
      </c>
      <c r="B460" s="53" t="s">
        <v>3564</v>
      </c>
      <c r="C460" s="53" t="s">
        <v>3542</v>
      </c>
      <c r="D460" s="53" t="s">
        <v>3543</v>
      </c>
      <c r="H460" s="50" t="s">
        <v>3548</v>
      </c>
      <c r="I460" s="53" t="s">
        <v>3545</v>
      </c>
      <c r="J460" s="358">
        <v>44983</v>
      </c>
      <c r="K460" s="53">
        <v>326.39999999999998</v>
      </c>
      <c r="L460" s="53" t="s">
        <v>3</v>
      </c>
      <c r="M460" s="67">
        <f t="shared" si="79"/>
        <v>326.39999999999998</v>
      </c>
      <c r="N460" s="53" t="s">
        <v>3</v>
      </c>
      <c r="O460" s="50" t="s">
        <v>3546</v>
      </c>
      <c r="P460" s="53" t="s">
        <v>137</v>
      </c>
      <c r="Q460" s="1292">
        <v>2027</v>
      </c>
      <c r="R460" s="53">
        <v>2305</v>
      </c>
      <c r="S460" s="53" t="s">
        <v>121</v>
      </c>
      <c r="AA460" s="78">
        <f t="shared" si="80"/>
        <v>0</v>
      </c>
      <c r="AG460" s="78"/>
      <c r="AN460" s="53">
        <v>287</v>
      </c>
      <c r="AO460" s="53" t="s">
        <v>3756</v>
      </c>
      <c r="AP460" s="53">
        <v>4</v>
      </c>
      <c r="AR460" s="264" t="str">
        <f ca="1">IF(LEN(Q460)=4,IF(Q460&lt;YEAR(NOW()),_xlfn.CONCAT(IF(LOWER(Setting!rng_language)="english","Expired ","Expiré "),Q460),""),"")</f>
        <v/>
      </c>
      <c r="AT460" s="53" t="b">
        <f>ISNUMBER(MATCH(IF(LEN('USER INPUT SHEET'!rng_province)&gt;0,'USER INPUT SHEET'!rng_province,"Canada"),$AU460:$BD460,0))</f>
        <v>0</v>
      </c>
      <c r="AU460" s="1286" t="s">
        <v>1210</v>
      </c>
      <c r="AV460" s="1286" t="s">
        <v>3278</v>
      </c>
      <c r="AW460" s="1286"/>
      <c r="AX460" s="1286"/>
      <c r="AY460" s="1286"/>
      <c r="AZ460" s="1286"/>
      <c r="BA460" s="1286"/>
      <c r="BB460" s="1286"/>
      <c r="BC460" s="1286"/>
      <c r="BD460" s="1286"/>
    </row>
    <row r="461" spans="1:56" ht="15.75" customHeight="1" x14ac:dyDescent="0.3">
      <c r="A461" s="50" t="str">
        <f t="shared" si="78"/>
        <v xml:space="preserve">Concrete - 35 MPa, 20% FA, GU / ABQ / Can. Quebec Avg. / </v>
      </c>
      <c r="B461" s="53" t="s">
        <v>3565</v>
      </c>
      <c r="C461" s="53" t="s">
        <v>3542</v>
      </c>
      <c r="D461" s="53" t="s">
        <v>3543</v>
      </c>
      <c r="H461" s="50" t="s">
        <v>3548</v>
      </c>
      <c r="I461" s="53" t="s">
        <v>3545</v>
      </c>
      <c r="J461" s="358">
        <v>44983</v>
      </c>
      <c r="K461" s="53">
        <v>315.14999999999998</v>
      </c>
      <c r="L461" s="53" t="s">
        <v>3</v>
      </c>
      <c r="M461" s="67">
        <f t="shared" si="79"/>
        <v>315.14999999999998</v>
      </c>
      <c r="N461" s="53" t="s">
        <v>3</v>
      </c>
      <c r="O461" s="50" t="s">
        <v>3546</v>
      </c>
      <c r="P461" s="53" t="s">
        <v>137</v>
      </c>
      <c r="Q461" s="1292">
        <v>2027</v>
      </c>
      <c r="R461" s="53">
        <v>2305</v>
      </c>
      <c r="S461" s="53" t="s">
        <v>121</v>
      </c>
      <c r="AA461" s="78">
        <f t="shared" si="80"/>
        <v>0</v>
      </c>
      <c r="AG461" s="78"/>
      <c r="AN461" s="53">
        <v>288</v>
      </c>
      <c r="AO461" s="53" t="s">
        <v>3756</v>
      </c>
      <c r="AP461" s="53">
        <v>5</v>
      </c>
      <c r="AR461" s="264" t="str">
        <f ca="1">IF(LEN(Q461)=4,IF(Q461&lt;YEAR(NOW()),_xlfn.CONCAT(IF(LOWER(Setting!rng_language)="english","Expired ","Expiré "),Q461),""),"")</f>
        <v/>
      </c>
      <c r="AT461" s="53" t="b">
        <f>ISNUMBER(MATCH(IF(LEN('USER INPUT SHEET'!rng_province)&gt;0,'USER INPUT SHEET'!rng_province,"Canada"),$AU461:$BD461,0))</f>
        <v>0</v>
      </c>
      <c r="AU461" s="1286" t="s">
        <v>1210</v>
      </c>
      <c r="AV461" s="1286" t="s">
        <v>3278</v>
      </c>
      <c r="AW461" s="1286"/>
      <c r="AX461" s="1286"/>
      <c r="AY461" s="1286"/>
      <c r="AZ461" s="1286"/>
      <c r="BA461" s="1286"/>
      <c r="BB461" s="1286"/>
      <c r="BC461" s="1286"/>
      <c r="BD461" s="1286"/>
    </row>
    <row r="462" spans="1:56" ht="15.75" customHeight="1" x14ac:dyDescent="0.3">
      <c r="A462" s="50" t="str">
        <f t="shared" si="78"/>
        <v xml:space="preserve">Concrete - 35 MPa, 30% SL, GU / ABQ / Can. Quebec Avg. / </v>
      </c>
      <c r="B462" s="53" t="s">
        <v>3566</v>
      </c>
      <c r="C462" s="53" t="s">
        <v>3542</v>
      </c>
      <c r="D462" s="53" t="s">
        <v>3543</v>
      </c>
      <c r="H462" s="50" t="s">
        <v>3548</v>
      </c>
      <c r="I462" s="53" t="s">
        <v>3545</v>
      </c>
      <c r="J462" s="358">
        <v>44983</v>
      </c>
      <c r="K462" s="53">
        <v>298.49</v>
      </c>
      <c r="L462" s="53" t="s">
        <v>3</v>
      </c>
      <c r="M462" s="67">
        <f t="shared" si="79"/>
        <v>298.49</v>
      </c>
      <c r="N462" s="53" t="s">
        <v>3</v>
      </c>
      <c r="O462" s="50" t="s">
        <v>3546</v>
      </c>
      <c r="P462" s="53" t="s">
        <v>137</v>
      </c>
      <c r="Q462" s="1292">
        <v>2027</v>
      </c>
      <c r="R462" s="53">
        <v>2305</v>
      </c>
      <c r="S462" s="53" t="s">
        <v>121</v>
      </c>
      <c r="AA462" s="78">
        <f t="shared" si="80"/>
        <v>0</v>
      </c>
      <c r="AG462" s="78"/>
      <c r="AN462" s="53">
        <v>289</v>
      </c>
      <c r="AO462" s="53" t="s">
        <v>3756</v>
      </c>
      <c r="AP462" s="53">
        <v>6</v>
      </c>
      <c r="AR462" s="264" t="str">
        <f ca="1">IF(LEN(Q462)=4,IF(Q462&lt;YEAR(NOW()),_xlfn.CONCAT(IF(LOWER(Setting!rng_language)="english","Expired ","Expiré "),Q462),""),"")</f>
        <v/>
      </c>
      <c r="AT462" s="53" t="b">
        <f>ISNUMBER(MATCH(IF(LEN('USER INPUT SHEET'!rng_province)&gt;0,'USER INPUT SHEET'!rng_province,"Canada"),$AU462:$BD462,0))</f>
        <v>0</v>
      </c>
      <c r="AU462" s="1286" t="s">
        <v>1210</v>
      </c>
      <c r="AV462" s="1286" t="s">
        <v>3278</v>
      </c>
      <c r="AW462" s="1286"/>
      <c r="AX462" s="1286"/>
      <c r="AY462" s="1286"/>
      <c r="AZ462" s="1286"/>
      <c r="BA462" s="1286"/>
      <c r="BB462" s="1286"/>
      <c r="BC462" s="1286"/>
      <c r="BD462" s="1286"/>
    </row>
    <row r="463" spans="1:56" ht="15.75" customHeight="1" x14ac:dyDescent="0.3">
      <c r="A463" s="50" t="str">
        <f t="shared" si="78"/>
        <v xml:space="preserve">Concrete - 35 MPa, 30% FA, GU / ABQ / Can. Quebec Avg. / </v>
      </c>
      <c r="B463" s="53" t="s">
        <v>3567</v>
      </c>
      <c r="C463" s="53" t="s">
        <v>3542</v>
      </c>
      <c r="D463" s="53" t="s">
        <v>3543</v>
      </c>
      <c r="H463" s="50" t="s">
        <v>3548</v>
      </c>
      <c r="I463" s="53" t="s">
        <v>3545</v>
      </c>
      <c r="J463" s="358">
        <v>44983</v>
      </c>
      <c r="K463" s="53">
        <v>281.66000000000003</v>
      </c>
      <c r="L463" s="53" t="s">
        <v>3</v>
      </c>
      <c r="M463" s="67">
        <f t="shared" si="79"/>
        <v>281.66000000000003</v>
      </c>
      <c r="N463" s="53" t="s">
        <v>3</v>
      </c>
      <c r="O463" s="50" t="s">
        <v>3546</v>
      </c>
      <c r="P463" s="53" t="s">
        <v>137</v>
      </c>
      <c r="Q463" s="1292">
        <v>2027</v>
      </c>
      <c r="R463" s="53">
        <v>2305</v>
      </c>
      <c r="S463" s="53" t="s">
        <v>121</v>
      </c>
      <c r="AA463" s="78">
        <f t="shared" si="80"/>
        <v>0</v>
      </c>
      <c r="AG463" s="78"/>
      <c r="AN463" s="53">
        <v>290</v>
      </c>
      <c r="AO463" s="53" t="s">
        <v>3756</v>
      </c>
      <c r="AP463" s="53">
        <v>7</v>
      </c>
      <c r="AR463" s="264" t="str">
        <f ca="1">IF(LEN(Q463)=4,IF(Q463&lt;YEAR(NOW()),_xlfn.CONCAT(IF(LOWER(Setting!rng_language)="english","Expired ","Expiré "),Q463),""),"")</f>
        <v/>
      </c>
      <c r="AT463" s="53" t="b">
        <f>ISNUMBER(MATCH(IF(LEN('USER INPUT SHEET'!rng_province)&gt;0,'USER INPUT SHEET'!rng_province,"Canada"),$AU463:$BD463,0))</f>
        <v>0</v>
      </c>
      <c r="AU463" s="1286" t="s">
        <v>1210</v>
      </c>
      <c r="AV463" s="1286" t="s">
        <v>3278</v>
      </c>
      <c r="AW463" s="1286"/>
      <c r="AX463" s="1286"/>
      <c r="AY463" s="1286"/>
      <c r="AZ463" s="1286"/>
      <c r="BA463" s="1286"/>
      <c r="BB463" s="1286"/>
      <c r="BC463" s="1286"/>
      <c r="BD463" s="1286"/>
    </row>
    <row r="464" spans="1:56" ht="15.75" customHeight="1" x14ac:dyDescent="0.3">
      <c r="A464" s="50" t="str">
        <f t="shared" si="78"/>
        <v xml:space="preserve">Concrete - 25 MPa, GU / RMCAO / Can. Ontario Avg. / </v>
      </c>
      <c r="B464" s="53" t="s">
        <v>3568</v>
      </c>
      <c r="C464" s="53" t="s">
        <v>3569</v>
      </c>
      <c r="D464" s="53" t="s">
        <v>3570</v>
      </c>
      <c r="H464" s="50" t="s">
        <v>3571</v>
      </c>
      <c r="I464" s="53" t="s">
        <v>3545</v>
      </c>
      <c r="J464" s="358">
        <v>44983</v>
      </c>
      <c r="K464" s="53">
        <v>273.67</v>
      </c>
      <c r="L464" s="53" t="s">
        <v>3</v>
      </c>
      <c r="M464" s="67">
        <f t="shared" si="79"/>
        <v>273.67</v>
      </c>
      <c r="N464" s="53" t="s">
        <v>3</v>
      </c>
      <c r="O464" s="50" t="s">
        <v>3572</v>
      </c>
      <c r="P464" s="53" t="s">
        <v>137</v>
      </c>
      <c r="Q464" s="1292">
        <v>2027</v>
      </c>
      <c r="R464" s="53">
        <v>2305</v>
      </c>
      <c r="S464" s="53" t="s">
        <v>121</v>
      </c>
      <c r="AA464" s="78">
        <f t="shared" si="80"/>
        <v>0</v>
      </c>
      <c r="AG464" s="78"/>
      <c r="AN464" s="53">
        <v>291</v>
      </c>
      <c r="AO464" s="53" t="s">
        <v>3754</v>
      </c>
      <c r="AP464" s="53">
        <v>1</v>
      </c>
      <c r="AR464" s="264" t="str">
        <f ca="1">IF(LEN(Q464)=4,IF(Q464&lt;YEAR(NOW()),_xlfn.CONCAT(IF(LOWER(Setting!rng_language)="english","Expired ","Expiré "),Q464),""),"")</f>
        <v/>
      </c>
      <c r="AT464" s="53" t="b">
        <f>ISNUMBER(MATCH(IF(LEN('USER INPUT SHEET'!rng_province)&gt;0,'USER INPUT SHEET'!rng_province,"Canada"),$AU464:$BD464,0))</f>
        <v>0</v>
      </c>
      <c r="AU464" s="1286" t="s">
        <v>1110</v>
      </c>
      <c r="AV464" s="1286" t="s">
        <v>1110</v>
      </c>
      <c r="AW464" s="1286"/>
      <c r="AX464" s="1286"/>
      <c r="AY464" s="1286"/>
      <c r="AZ464" s="1286"/>
      <c r="BA464" s="1286"/>
      <c r="BB464" s="1286"/>
      <c r="BC464" s="1286"/>
      <c r="BD464" s="1286"/>
    </row>
    <row r="465" spans="1:56" ht="15.75" customHeight="1" x14ac:dyDescent="0.3">
      <c r="A465" s="50" t="str">
        <f t="shared" si="78"/>
        <v xml:space="preserve">Concrete - 25 MPa, 15% SL, GU / RMCAO / Can. Ontario Avg. / </v>
      </c>
      <c r="B465" s="53" t="s">
        <v>3573</v>
      </c>
      <c r="C465" s="53" t="s">
        <v>3569</v>
      </c>
      <c r="D465" s="53" t="s">
        <v>3570</v>
      </c>
      <c r="H465" s="50" t="s">
        <v>3571</v>
      </c>
      <c r="I465" s="53" t="s">
        <v>3545</v>
      </c>
      <c r="J465" s="358">
        <v>44983</v>
      </c>
      <c r="K465" s="53">
        <v>244.24</v>
      </c>
      <c r="L465" s="53" t="s">
        <v>3</v>
      </c>
      <c r="M465" s="67">
        <f t="shared" si="79"/>
        <v>244.24</v>
      </c>
      <c r="N465" s="53" t="s">
        <v>3</v>
      </c>
      <c r="O465" s="50" t="s">
        <v>3572</v>
      </c>
      <c r="P465" s="53" t="s">
        <v>137</v>
      </c>
      <c r="Q465" s="1292">
        <v>2027</v>
      </c>
      <c r="R465" s="53">
        <v>2305</v>
      </c>
      <c r="S465" s="53" t="s">
        <v>121</v>
      </c>
      <c r="AA465" s="78">
        <f t="shared" si="80"/>
        <v>0</v>
      </c>
      <c r="AG465" s="78"/>
      <c r="AN465" s="53">
        <v>292</v>
      </c>
      <c r="AO465" s="53" t="s">
        <v>3754</v>
      </c>
      <c r="AP465" s="53">
        <v>2</v>
      </c>
      <c r="AR465" s="264" t="str">
        <f ca="1">IF(LEN(Q465)=4,IF(Q465&lt;YEAR(NOW()),_xlfn.CONCAT(IF(LOWER(Setting!rng_language)="english","Expired ","Expiré "),Q465),""),"")</f>
        <v/>
      </c>
      <c r="AT465" s="53" t="b">
        <f>ISNUMBER(MATCH(IF(LEN('USER INPUT SHEET'!rng_province)&gt;0,'USER INPUT SHEET'!rng_province,"Canada"),$AU465:$BD465,0))</f>
        <v>0</v>
      </c>
      <c r="AU465" s="1286" t="s">
        <v>1110</v>
      </c>
      <c r="AV465" s="1286" t="s">
        <v>1110</v>
      </c>
      <c r="AW465" s="1286"/>
      <c r="AX465" s="1286"/>
      <c r="AY465" s="1286"/>
      <c r="AZ465" s="1286"/>
      <c r="BA465" s="1286"/>
      <c r="BB465" s="1286"/>
      <c r="BC465" s="1286"/>
      <c r="BD465" s="1286"/>
    </row>
    <row r="466" spans="1:56" ht="15.75" customHeight="1" x14ac:dyDescent="0.3">
      <c r="A466" s="50" t="str">
        <f t="shared" si="78"/>
        <v xml:space="preserve">Concrete - 25 MPa, 25% SL, GU / RMCAO / Can. Ontario Avg. / </v>
      </c>
      <c r="B466" s="53" t="s">
        <v>3574</v>
      </c>
      <c r="C466" s="53" t="s">
        <v>3569</v>
      </c>
      <c r="D466" s="53" t="s">
        <v>3570</v>
      </c>
      <c r="H466" s="50" t="s">
        <v>3571</v>
      </c>
      <c r="I466" s="53" t="s">
        <v>3545</v>
      </c>
      <c r="J466" s="358">
        <v>44983</v>
      </c>
      <c r="K466" s="53">
        <v>224.62</v>
      </c>
      <c r="L466" s="53" t="s">
        <v>3</v>
      </c>
      <c r="M466" s="67">
        <f t="shared" si="79"/>
        <v>224.62</v>
      </c>
      <c r="N466" s="53" t="s">
        <v>3</v>
      </c>
      <c r="O466" s="50" t="s">
        <v>3572</v>
      </c>
      <c r="P466" s="53" t="s">
        <v>137</v>
      </c>
      <c r="Q466" s="1292">
        <v>2027</v>
      </c>
      <c r="R466" s="53">
        <v>2305</v>
      </c>
      <c r="S466" s="53" t="s">
        <v>121</v>
      </c>
      <c r="AA466" s="78">
        <f t="shared" si="80"/>
        <v>0</v>
      </c>
      <c r="AG466" s="78"/>
      <c r="AN466" s="53">
        <v>293</v>
      </c>
      <c r="AO466" s="53" t="s">
        <v>3754</v>
      </c>
      <c r="AP466" s="53">
        <v>3</v>
      </c>
      <c r="AR466" s="264" t="str">
        <f ca="1">IF(LEN(Q466)=4,IF(Q466&lt;YEAR(NOW()),_xlfn.CONCAT(IF(LOWER(Setting!rng_language)="english","Expired ","Expiré "),Q466),""),"")</f>
        <v/>
      </c>
      <c r="AT466" s="53" t="b">
        <f>ISNUMBER(MATCH(IF(LEN('USER INPUT SHEET'!rng_province)&gt;0,'USER INPUT SHEET'!rng_province,"Canada"),$AU466:$BD466,0))</f>
        <v>0</v>
      </c>
      <c r="AU466" s="1286" t="s">
        <v>1110</v>
      </c>
      <c r="AV466" s="1286" t="s">
        <v>1110</v>
      </c>
      <c r="AW466" s="1286"/>
      <c r="AX466" s="1286"/>
      <c r="AY466" s="1286"/>
      <c r="AZ466" s="1286"/>
      <c r="BA466" s="1286"/>
      <c r="BB466" s="1286"/>
      <c r="BC466" s="1286"/>
      <c r="BD466" s="1286"/>
    </row>
    <row r="467" spans="1:56" ht="15.75" customHeight="1" x14ac:dyDescent="0.3">
      <c r="A467" s="50" t="str">
        <f t="shared" si="78"/>
        <v xml:space="preserve">Concrete - 25 MPa, 35% SL, GU / RMCAO / Can. Ontario Avg. / </v>
      </c>
      <c r="B467" s="53" t="s">
        <v>3575</v>
      </c>
      <c r="C467" s="53" t="s">
        <v>3569</v>
      </c>
      <c r="D467" s="53" t="s">
        <v>3570</v>
      </c>
      <c r="H467" s="50" t="s">
        <v>3571</v>
      </c>
      <c r="I467" s="53" t="s">
        <v>3545</v>
      </c>
      <c r="J467" s="358">
        <v>44983</v>
      </c>
      <c r="K467" s="53">
        <v>205.01</v>
      </c>
      <c r="L467" s="53" t="s">
        <v>3</v>
      </c>
      <c r="M467" s="67">
        <f t="shared" si="79"/>
        <v>205.01</v>
      </c>
      <c r="N467" s="53" t="s">
        <v>3</v>
      </c>
      <c r="O467" s="50" t="s">
        <v>3572</v>
      </c>
      <c r="P467" s="53" t="s">
        <v>137</v>
      </c>
      <c r="Q467" s="1292">
        <v>2027</v>
      </c>
      <c r="R467" s="53">
        <v>2305</v>
      </c>
      <c r="S467" s="53" t="s">
        <v>121</v>
      </c>
      <c r="AA467" s="78">
        <f t="shared" si="80"/>
        <v>0</v>
      </c>
      <c r="AG467" s="78"/>
      <c r="AN467" s="53">
        <v>294</v>
      </c>
      <c r="AO467" s="53" t="s">
        <v>3754</v>
      </c>
      <c r="AP467" s="53">
        <v>4</v>
      </c>
      <c r="AR467" s="264" t="str">
        <f ca="1">IF(LEN(Q467)=4,IF(Q467&lt;YEAR(NOW()),_xlfn.CONCAT(IF(LOWER(Setting!rng_language)="english","Expired ","Expiré "),Q467),""),"")</f>
        <v/>
      </c>
      <c r="AT467" s="53" t="b">
        <f>ISNUMBER(MATCH(IF(LEN('USER INPUT SHEET'!rng_province)&gt;0,'USER INPUT SHEET'!rng_province,"Canada"),$AU467:$BD467,0))</f>
        <v>0</v>
      </c>
      <c r="AU467" s="1286" t="s">
        <v>1110</v>
      </c>
      <c r="AV467" s="1286" t="s">
        <v>1110</v>
      </c>
      <c r="AW467" s="1286"/>
      <c r="AX467" s="1286"/>
      <c r="AY467" s="1286"/>
      <c r="AZ467" s="1286"/>
      <c r="BA467" s="1286"/>
      <c r="BB467" s="1286"/>
      <c r="BC467" s="1286"/>
      <c r="BD467" s="1286"/>
    </row>
    <row r="468" spans="1:56" ht="15.75" customHeight="1" x14ac:dyDescent="0.3">
      <c r="A468" s="50" t="str">
        <f t="shared" si="78"/>
        <v xml:space="preserve">Concrete - 25 MPa, 50% SL, GU / RMCAO / Can. Ontario Avg. / </v>
      </c>
      <c r="B468" s="53" t="s">
        <v>3576</v>
      </c>
      <c r="C468" s="53" t="s">
        <v>3569</v>
      </c>
      <c r="D468" s="53" t="s">
        <v>3570</v>
      </c>
      <c r="H468" s="50" t="s">
        <v>3571</v>
      </c>
      <c r="I468" s="53" t="s">
        <v>3545</v>
      </c>
      <c r="J468" s="358">
        <v>44983</v>
      </c>
      <c r="K468" s="53">
        <v>175.58</v>
      </c>
      <c r="L468" s="53" t="s">
        <v>3</v>
      </c>
      <c r="M468" s="67">
        <f t="shared" si="79"/>
        <v>175.58</v>
      </c>
      <c r="N468" s="53" t="s">
        <v>3</v>
      </c>
      <c r="O468" s="50" t="s">
        <v>3572</v>
      </c>
      <c r="P468" s="53" t="s">
        <v>137</v>
      </c>
      <c r="Q468" s="1292">
        <v>2027</v>
      </c>
      <c r="R468" s="53">
        <v>2305</v>
      </c>
      <c r="S468" s="53" t="s">
        <v>121</v>
      </c>
      <c r="AA468" s="78">
        <f t="shared" si="80"/>
        <v>0</v>
      </c>
      <c r="AG468" s="78"/>
      <c r="AN468" s="53">
        <v>295</v>
      </c>
      <c r="AO468" s="53" t="s">
        <v>3754</v>
      </c>
      <c r="AP468" s="53">
        <v>5</v>
      </c>
      <c r="AR468" s="264" t="str">
        <f ca="1">IF(LEN(Q468)=4,IF(Q468&lt;YEAR(NOW()),_xlfn.CONCAT(IF(LOWER(Setting!rng_language)="english","Expired ","Expiré "),Q468),""),"")</f>
        <v/>
      </c>
      <c r="AT468" s="53" t="b">
        <f>ISNUMBER(MATCH(IF(LEN('USER INPUT SHEET'!rng_province)&gt;0,'USER INPUT SHEET'!rng_province,"Canada"),$AU468:$BD468,0))</f>
        <v>0</v>
      </c>
      <c r="AU468" s="1286" t="s">
        <v>1110</v>
      </c>
      <c r="AV468" s="1286" t="s">
        <v>1110</v>
      </c>
      <c r="AW468" s="1286"/>
      <c r="AX468" s="1286"/>
      <c r="AY468" s="1286"/>
      <c r="AZ468" s="1286"/>
      <c r="BA468" s="1286"/>
      <c r="BB468" s="1286"/>
      <c r="BC468" s="1286"/>
      <c r="BD468" s="1286"/>
    </row>
    <row r="469" spans="1:56" ht="15.75" customHeight="1" x14ac:dyDescent="0.3">
      <c r="A469" s="50" t="str">
        <f t="shared" si="78"/>
        <v xml:space="preserve">Concrete - 30 MPa, GU / RMCAO / Can. Ontario Avg. / </v>
      </c>
      <c r="B469" s="53" t="s">
        <v>3577</v>
      </c>
      <c r="C469" s="53" t="s">
        <v>3569</v>
      </c>
      <c r="D469" s="53" t="s">
        <v>3570</v>
      </c>
      <c r="H469" s="50" t="s">
        <v>3571</v>
      </c>
      <c r="I469" s="53" t="s">
        <v>3545</v>
      </c>
      <c r="J469" s="358">
        <v>44983</v>
      </c>
      <c r="K469" s="53">
        <v>296.62</v>
      </c>
      <c r="L469" s="53" t="s">
        <v>3</v>
      </c>
      <c r="M469" s="67">
        <f t="shared" si="79"/>
        <v>296.62</v>
      </c>
      <c r="N469" s="53" t="s">
        <v>3</v>
      </c>
      <c r="O469" s="50" t="s">
        <v>3572</v>
      </c>
      <c r="P469" s="53" t="s">
        <v>137</v>
      </c>
      <c r="Q469" s="1292">
        <v>2027</v>
      </c>
      <c r="R469" s="53">
        <v>2305</v>
      </c>
      <c r="S469" s="53" t="s">
        <v>121</v>
      </c>
      <c r="AA469" s="78">
        <f t="shared" si="80"/>
        <v>0</v>
      </c>
      <c r="AG469" s="78"/>
      <c r="AN469" s="53">
        <v>296</v>
      </c>
      <c r="AO469" s="53" t="s">
        <v>3755</v>
      </c>
      <c r="AP469" s="53">
        <v>1</v>
      </c>
      <c r="AR469" s="264" t="str">
        <f ca="1">IF(LEN(Q469)=4,IF(Q469&lt;YEAR(NOW()),_xlfn.CONCAT(IF(LOWER(Setting!rng_language)="english","Expired ","Expiré "),Q469),""),"")</f>
        <v/>
      </c>
      <c r="AT469" s="53" t="b">
        <f>ISNUMBER(MATCH(IF(LEN('USER INPUT SHEET'!rng_province)&gt;0,'USER INPUT SHEET'!rng_province,"Canada"),$AU469:$BD469,0))</f>
        <v>0</v>
      </c>
      <c r="AU469" s="1286" t="s">
        <v>1110</v>
      </c>
      <c r="AV469" s="1286" t="s">
        <v>1110</v>
      </c>
      <c r="AW469" s="1286"/>
      <c r="AX469" s="1286"/>
      <c r="AY469" s="1286"/>
      <c r="AZ469" s="1286"/>
      <c r="BA469" s="1286"/>
      <c r="BB469" s="1286"/>
      <c r="BC469" s="1286"/>
      <c r="BD469" s="1286"/>
    </row>
    <row r="470" spans="1:56" ht="15.75" customHeight="1" x14ac:dyDescent="0.3">
      <c r="A470" s="50" t="str">
        <f t="shared" si="78"/>
        <v xml:space="preserve">Concrete - 30 MPa, 15% SL, GU / RMCAO / Can. Ontario Avg. / </v>
      </c>
      <c r="B470" s="53" t="s">
        <v>3578</v>
      </c>
      <c r="C470" s="53" t="s">
        <v>3569</v>
      </c>
      <c r="D470" s="53" t="s">
        <v>3570</v>
      </c>
      <c r="H470" s="50" t="s">
        <v>3571</v>
      </c>
      <c r="I470" s="53" t="s">
        <v>3545</v>
      </c>
      <c r="J470" s="358">
        <v>44983</v>
      </c>
      <c r="K470" s="53">
        <v>264.38</v>
      </c>
      <c r="L470" s="53" t="s">
        <v>3</v>
      </c>
      <c r="M470" s="67">
        <f t="shared" si="79"/>
        <v>264.38</v>
      </c>
      <c r="N470" s="53" t="s">
        <v>3</v>
      </c>
      <c r="O470" s="50" t="s">
        <v>3572</v>
      </c>
      <c r="P470" s="53" t="s">
        <v>137</v>
      </c>
      <c r="Q470" s="1292">
        <v>2027</v>
      </c>
      <c r="R470" s="53">
        <v>2305</v>
      </c>
      <c r="S470" s="53" t="s">
        <v>121</v>
      </c>
      <c r="AA470" s="78">
        <f t="shared" si="80"/>
        <v>0</v>
      </c>
      <c r="AG470" s="78"/>
      <c r="AN470" s="53">
        <v>297</v>
      </c>
      <c r="AO470" s="53" t="s">
        <v>3755</v>
      </c>
      <c r="AP470" s="53">
        <v>2</v>
      </c>
      <c r="AR470" s="264" t="str">
        <f ca="1">IF(LEN(Q470)=4,IF(Q470&lt;YEAR(NOW()),_xlfn.CONCAT(IF(LOWER(Setting!rng_language)="english","Expired ","Expiré "),Q470),""),"")</f>
        <v/>
      </c>
      <c r="AT470" s="53" t="b">
        <f>ISNUMBER(MATCH(IF(LEN('USER INPUT SHEET'!rng_province)&gt;0,'USER INPUT SHEET'!rng_province,"Canada"),$AU470:$BD470,0))</f>
        <v>0</v>
      </c>
      <c r="AU470" s="1286" t="s">
        <v>1110</v>
      </c>
      <c r="AV470" s="1286" t="s">
        <v>1110</v>
      </c>
      <c r="AW470" s="1286"/>
      <c r="AX470" s="1286"/>
      <c r="AY470" s="1286"/>
      <c r="AZ470" s="1286"/>
      <c r="BA470" s="1286"/>
      <c r="BB470" s="1286"/>
      <c r="BC470" s="1286"/>
      <c r="BD470" s="1286"/>
    </row>
    <row r="471" spans="1:56" ht="15.75" customHeight="1" x14ac:dyDescent="0.3">
      <c r="A471" s="50" t="str">
        <f t="shared" si="78"/>
        <v xml:space="preserve">Concrete - 30 MPa, 25% SL, GU / RMCAO / Can. Ontario Avg. / </v>
      </c>
      <c r="B471" s="53" t="s">
        <v>3579</v>
      </c>
      <c r="C471" s="53" t="s">
        <v>3569</v>
      </c>
      <c r="D471" s="53" t="s">
        <v>3570</v>
      </c>
      <c r="H471" s="50" t="s">
        <v>3571</v>
      </c>
      <c r="I471" s="53" t="s">
        <v>3545</v>
      </c>
      <c r="J471" s="358">
        <v>44983</v>
      </c>
      <c r="K471" s="53">
        <v>242.88</v>
      </c>
      <c r="L471" s="53" t="s">
        <v>3</v>
      </c>
      <c r="M471" s="67">
        <f t="shared" si="79"/>
        <v>242.88</v>
      </c>
      <c r="N471" s="53" t="s">
        <v>3</v>
      </c>
      <c r="O471" s="50" t="s">
        <v>3572</v>
      </c>
      <c r="P471" s="53" t="s">
        <v>137</v>
      </c>
      <c r="Q471" s="1292">
        <v>2027</v>
      </c>
      <c r="R471" s="53">
        <v>2305</v>
      </c>
      <c r="S471" s="53" t="s">
        <v>121</v>
      </c>
      <c r="AA471" s="78">
        <f t="shared" si="80"/>
        <v>0</v>
      </c>
      <c r="AG471" s="78"/>
      <c r="AN471" s="53">
        <v>298</v>
      </c>
      <c r="AO471" s="53" t="s">
        <v>3755</v>
      </c>
      <c r="AP471" s="53">
        <v>3</v>
      </c>
      <c r="AR471" s="264" t="str">
        <f ca="1">IF(LEN(Q471)=4,IF(Q471&lt;YEAR(NOW()),_xlfn.CONCAT(IF(LOWER(Setting!rng_language)="english","Expired ","Expiré "),Q471),""),"")</f>
        <v/>
      </c>
      <c r="AT471" s="53" t="b">
        <f>ISNUMBER(MATCH(IF(LEN('USER INPUT SHEET'!rng_province)&gt;0,'USER INPUT SHEET'!rng_province,"Canada"),$AU471:$BD471,0))</f>
        <v>0</v>
      </c>
      <c r="AU471" s="1286" t="s">
        <v>1110</v>
      </c>
      <c r="AV471" s="1286" t="s">
        <v>1110</v>
      </c>
      <c r="AW471" s="1286"/>
      <c r="AX471" s="1286"/>
      <c r="AY471" s="1286"/>
      <c r="AZ471" s="1286"/>
      <c r="BA471" s="1286"/>
      <c r="BB471" s="1286"/>
      <c r="BC471" s="1286"/>
      <c r="BD471" s="1286"/>
    </row>
    <row r="472" spans="1:56" ht="15.75" customHeight="1" x14ac:dyDescent="0.3">
      <c r="A472" s="50" t="str">
        <f t="shared" si="78"/>
        <v xml:space="preserve">Concrete - 30 MPa, 35% SL, GU / RMCAO / Can. Ontario Avg. / </v>
      </c>
      <c r="B472" s="53" t="s">
        <v>3580</v>
      </c>
      <c r="C472" s="53" t="s">
        <v>3569</v>
      </c>
      <c r="D472" s="53" t="s">
        <v>3570</v>
      </c>
      <c r="H472" s="50" t="s">
        <v>3571</v>
      </c>
      <c r="I472" s="53" t="s">
        <v>3545</v>
      </c>
      <c r="J472" s="358">
        <v>44983</v>
      </c>
      <c r="K472" s="53">
        <v>221.39</v>
      </c>
      <c r="L472" s="53" t="s">
        <v>3</v>
      </c>
      <c r="M472" s="67">
        <f t="shared" si="79"/>
        <v>221.39</v>
      </c>
      <c r="N472" s="53" t="s">
        <v>3</v>
      </c>
      <c r="O472" s="50" t="s">
        <v>3572</v>
      </c>
      <c r="P472" s="53" t="s">
        <v>137</v>
      </c>
      <c r="Q472" s="1292">
        <v>2027</v>
      </c>
      <c r="R472" s="53">
        <v>2305</v>
      </c>
      <c r="S472" s="53" t="s">
        <v>121</v>
      </c>
      <c r="AA472" s="78">
        <f t="shared" si="80"/>
        <v>0</v>
      </c>
      <c r="AG472" s="78"/>
      <c r="AN472" s="53">
        <v>299</v>
      </c>
      <c r="AO472" s="53" t="s">
        <v>3755</v>
      </c>
      <c r="AP472" s="53">
        <v>4</v>
      </c>
      <c r="AR472" s="264" t="str">
        <f ca="1">IF(LEN(Q472)=4,IF(Q472&lt;YEAR(NOW()),_xlfn.CONCAT(IF(LOWER(Setting!rng_language)="english","Expired ","Expiré "),Q472),""),"")</f>
        <v/>
      </c>
      <c r="AT472" s="53" t="b">
        <f>ISNUMBER(MATCH(IF(LEN('USER INPUT SHEET'!rng_province)&gt;0,'USER INPUT SHEET'!rng_province,"Canada"),$AU472:$BD472,0))</f>
        <v>0</v>
      </c>
      <c r="AU472" s="1286" t="s">
        <v>1110</v>
      </c>
      <c r="AV472" s="1286" t="s">
        <v>1110</v>
      </c>
      <c r="AW472" s="1286"/>
      <c r="AX472" s="1286"/>
      <c r="AY472" s="1286"/>
      <c r="AZ472" s="1286"/>
      <c r="BA472" s="1286"/>
      <c r="BB472" s="1286"/>
      <c r="BC472" s="1286"/>
      <c r="BD472" s="1286"/>
    </row>
    <row r="473" spans="1:56" ht="15.75" customHeight="1" x14ac:dyDescent="0.3">
      <c r="A473" s="50" t="str">
        <f t="shared" si="78"/>
        <v xml:space="preserve">Concrete - 30 MPa, 50% SL, GU / RMCAO / Can. Ontario Avg. / </v>
      </c>
      <c r="B473" s="53" t="s">
        <v>3581</v>
      </c>
      <c r="C473" s="53" t="s">
        <v>3569</v>
      </c>
      <c r="D473" s="53" t="s">
        <v>3570</v>
      </c>
      <c r="H473" s="50" t="s">
        <v>3571</v>
      </c>
      <c r="I473" s="53" t="s">
        <v>3545</v>
      </c>
      <c r="J473" s="358">
        <v>44983</v>
      </c>
      <c r="K473" s="53">
        <v>189.14</v>
      </c>
      <c r="L473" s="53" t="s">
        <v>3</v>
      </c>
      <c r="M473" s="67">
        <f t="shared" si="79"/>
        <v>189.14</v>
      </c>
      <c r="N473" s="53" t="s">
        <v>3</v>
      </c>
      <c r="O473" s="50" t="s">
        <v>3572</v>
      </c>
      <c r="P473" s="53" t="s">
        <v>137</v>
      </c>
      <c r="Q473" s="1292">
        <v>2027</v>
      </c>
      <c r="R473" s="53">
        <v>2305</v>
      </c>
      <c r="S473" s="53" t="s">
        <v>121</v>
      </c>
      <c r="AA473" s="78">
        <f t="shared" si="80"/>
        <v>0</v>
      </c>
      <c r="AG473" s="78"/>
      <c r="AN473" s="53">
        <v>300</v>
      </c>
      <c r="AO473" s="53" t="s">
        <v>3755</v>
      </c>
      <c r="AP473" s="53">
        <v>5</v>
      </c>
      <c r="AR473" s="264" t="str">
        <f ca="1">IF(LEN(Q473)=4,IF(Q473&lt;YEAR(NOW()),_xlfn.CONCAT(IF(LOWER(Setting!rng_language)="english","Expired ","Expiré "),Q473),""),"")</f>
        <v/>
      </c>
      <c r="AT473" s="53" t="b">
        <f>ISNUMBER(MATCH(IF(LEN('USER INPUT SHEET'!rng_province)&gt;0,'USER INPUT SHEET'!rng_province,"Canada"),$AU473:$BD473,0))</f>
        <v>0</v>
      </c>
      <c r="AU473" s="1286" t="s">
        <v>1110</v>
      </c>
      <c r="AV473" s="1286" t="s">
        <v>1110</v>
      </c>
      <c r="AW473" s="1286"/>
      <c r="AX473" s="1286"/>
      <c r="AY473" s="1286"/>
      <c r="AZ473" s="1286"/>
      <c r="BA473" s="1286"/>
      <c r="BB473" s="1286"/>
      <c r="BC473" s="1286"/>
      <c r="BD473" s="1286"/>
    </row>
    <row r="474" spans="1:56" ht="15.75" customHeight="1" x14ac:dyDescent="0.3">
      <c r="A474" s="50" t="str">
        <f t="shared" si="78"/>
        <v xml:space="preserve">Concrete - 35 MPa, GU / RMCAO / Can. Ontario Avg. / </v>
      </c>
      <c r="B474" s="53" t="s">
        <v>3582</v>
      </c>
      <c r="C474" s="53" t="s">
        <v>3569</v>
      </c>
      <c r="D474" s="53" t="s">
        <v>3570</v>
      </c>
      <c r="H474" s="50" t="s">
        <v>3548</v>
      </c>
      <c r="I474" s="53" t="s">
        <v>3545</v>
      </c>
      <c r="J474" s="358">
        <v>44983</v>
      </c>
      <c r="K474" s="53">
        <v>354.3</v>
      </c>
      <c r="L474" s="53" t="s">
        <v>3</v>
      </c>
      <c r="M474" s="67">
        <f t="shared" si="79"/>
        <v>354.3</v>
      </c>
      <c r="N474" s="53" t="s">
        <v>3</v>
      </c>
      <c r="O474" s="50" t="s">
        <v>3572</v>
      </c>
      <c r="P474" s="53" t="s">
        <v>137</v>
      </c>
      <c r="Q474" s="1292">
        <v>2027</v>
      </c>
      <c r="R474" s="53">
        <v>2305</v>
      </c>
      <c r="S474" s="53" t="s">
        <v>121</v>
      </c>
      <c r="AA474" s="78">
        <f t="shared" si="80"/>
        <v>0</v>
      </c>
      <c r="AG474" s="78"/>
      <c r="AN474" s="53">
        <v>301</v>
      </c>
      <c r="AO474" s="53" t="s">
        <v>3756</v>
      </c>
      <c r="AP474" s="53">
        <v>1</v>
      </c>
      <c r="AR474" s="264" t="str">
        <f ca="1">IF(LEN(Q474)=4,IF(Q474&lt;YEAR(NOW()),_xlfn.CONCAT(IF(LOWER(Setting!rng_language)="english","Expired ","Expiré "),Q474),""),"")</f>
        <v/>
      </c>
      <c r="AT474" s="53" t="b">
        <f>ISNUMBER(MATCH(IF(LEN('USER INPUT SHEET'!rng_province)&gt;0,'USER INPUT SHEET'!rng_province,"Canada"),$AU474:$BD474,0))</f>
        <v>0</v>
      </c>
      <c r="AU474" s="1286" t="s">
        <v>1110</v>
      </c>
      <c r="AV474" s="1286" t="s">
        <v>1110</v>
      </c>
      <c r="AW474" s="1286"/>
      <c r="AX474" s="1286"/>
      <c r="AY474" s="1286"/>
      <c r="AZ474" s="1286"/>
      <c r="BA474" s="1286"/>
      <c r="BB474" s="1286"/>
      <c r="BC474" s="1286"/>
      <c r="BD474" s="1286"/>
    </row>
    <row r="475" spans="1:56" ht="15.75" customHeight="1" x14ac:dyDescent="0.3">
      <c r="A475" s="50" t="str">
        <f t="shared" si="78"/>
        <v xml:space="preserve">Concrete - 35 MPa, 15% SL, GU / RMCAO / Can. Ontario Avg. / </v>
      </c>
      <c r="B475" s="53" t="s">
        <v>3583</v>
      </c>
      <c r="C475" s="53" t="s">
        <v>3569</v>
      </c>
      <c r="D475" s="53" t="s">
        <v>3570</v>
      </c>
      <c r="H475" s="50" t="s">
        <v>3548</v>
      </c>
      <c r="I475" s="53" t="s">
        <v>3545</v>
      </c>
      <c r="J475" s="358">
        <v>44983</v>
      </c>
      <c r="K475" s="53">
        <v>314.98</v>
      </c>
      <c r="L475" s="53" t="s">
        <v>3</v>
      </c>
      <c r="M475" s="67">
        <f t="shared" si="79"/>
        <v>314.98</v>
      </c>
      <c r="N475" s="53" t="s">
        <v>3</v>
      </c>
      <c r="O475" s="50" t="s">
        <v>3572</v>
      </c>
      <c r="P475" s="53" t="s">
        <v>137</v>
      </c>
      <c r="Q475" s="1292">
        <v>2027</v>
      </c>
      <c r="R475" s="53">
        <v>2305</v>
      </c>
      <c r="S475" s="53" t="s">
        <v>121</v>
      </c>
      <c r="AA475" s="78">
        <f t="shared" si="80"/>
        <v>0</v>
      </c>
      <c r="AG475" s="78"/>
      <c r="AN475" s="53">
        <v>302</v>
      </c>
      <c r="AO475" s="53" t="s">
        <v>3756</v>
      </c>
      <c r="AP475" s="53">
        <v>2</v>
      </c>
      <c r="AR475" s="264" t="str">
        <f ca="1">IF(LEN(Q475)=4,IF(Q475&lt;YEAR(NOW()),_xlfn.CONCAT(IF(LOWER(Setting!rng_language)="english","Expired ","Expiré "),Q475),""),"")</f>
        <v/>
      </c>
      <c r="AT475" s="53" t="b">
        <f>ISNUMBER(MATCH(IF(LEN('USER INPUT SHEET'!rng_province)&gt;0,'USER INPUT SHEET'!rng_province,"Canada"),$AU475:$BD475,0))</f>
        <v>0</v>
      </c>
      <c r="AU475" s="1286" t="s">
        <v>1110</v>
      </c>
      <c r="AV475" s="1286" t="s">
        <v>1110</v>
      </c>
      <c r="AW475" s="1286"/>
      <c r="AX475" s="1286"/>
      <c r="AY475" s="1286"/>
      <c r="AZ475" s="1286"/>
      <c r="BA475" s="1286"/>
      <c r="BB475" s="1286"/>
      <c r="BC475" s="1286"/>
      <c r="BD475" s="1286"/>
    </row>
    <row r="476" spans="1:56" ht="15.75" customHeight="1" x14ac:dyDescent="0.3">
      <c r="A476" s="50" t="str">
        <f t="shared" si="78"/>
        <v xml:space="preserve">Concrete - 35 MPa, 25% SL, GU / RMCAO / Can. Ontario Avg. / </v>
      </c>
      <c r="B476" s="53" t="s">
        <v>3584</v>
      </c>
      <c r="C476" s="53" t="s">
        <v>3569</v>
      </c>
      <c r="D476" s="53" t="s">
        <v>3570</v>
      </c>
      <c r="H476" s="50" t="s">
        <v>3548</v>
      </c>
      <c r="I476" s="53" t="s">
        <v>3545</v>
      </c>
      <c r="J476" s="358">
        <v>44983</v>
      </c>
      <c r="K476" s="53">
        <v>288.76</v>
      </c>
      <c r="L476" s="53" t="s">
        <v>3</v>
      </c>
      <c r="M476" s="67">
        <f t="shared" si="79"/>
        <v>288.76</v>
      </c>
      <c r="N476" s="53" t="s">
        <v>3</v>
      </c>
      <c r="O476" s="50" t="s">
        <v>3572</v>
      </c>
      <c r="P476" s="53" t="s">
        <v>137</v>
      </c>
      <c r="Q476" s="1292">
        <v>2027</v>
      </c>
      <c r="R476" s="53">
        <v>2305</v>
      </c>
      <c r="S476" s="53" t="s">
        <v>121</v>
      </c>
      <c r="AA476" s="78">
        <f t="shared" si="80"/>
        <v>0</v>
      </c>
      <c r="AG476" s="78"/>
      <c r="AN476" s="53">
        <v>303</v>
      </c>
      <c r="AO476" s="53" t="s">
        <v>3756</v>
      </c>
      <c r="AP476" s="53">
        <v>3</v>
      </c>
      <c r="AR476" s="264" t="str">
        <f ca="1">IF(LEN(Q476)=4,IF(Q476&lt;YEAR(NOW()),_xlfn.CONCAT(IF(LOWER(Setting!rng_language)="english","Expired ","Expiré "),Q476),""),"")</f>
        <v/>
      </c>
      <c r="AT476" s="53" t="b">
        <f>ISNUMBER(MATCH(IF(LEN('USER INPUT SHEET'!rng_province)&gt;0,'USER INPUT SHEET'!rng_province,"Canada"),$AU476:$BD476,0))</f>
        <v>0</v>
      </c>
      <c r="AU476" s="1286" t="s">
        <v>1110</v>
      </c>
      <c r="AV476" s="1286" t="s">
        <v>1110</v>
      </c>
      <c r="AW476" s="1286"/>
      <c r="AX476" s="1286"/>
      <c r="AY476" s="1286"/>
      <c r="AZ476" s="1286"/>
      <c r="BA476" s="1286"/>
      <c r="BB476" s="1286"/>
      <c r="BC476" s="1286"/>
      <c r="BD476" s="1286"/>
    </row>
    <row r="477" spans="1:56" ht="15.75" customHeight="1" x14ac:dyDescent="0.3">
      <c r="A477" s="50" t="str">
        <f t="shared" si="78"/>
        <v xml:space="preserve">Concrete - 35 MPa, 35% SL, GU / RMCAO / Can. Ontario Avg. / </v>
      </c>
      <c r="B477" s="53" t="s">
        <v>3585</v>
      </c>
      <c r="C477" s="53" t="s">
        <v>3569</v>
      </c>
      <c r="D477" s="53" t="s">
        <v>3570</v>
      </c>
      <c r="H477" s="50" t="s">
        <v>3548</v>
      </c>
      <c r="I477" s="53" t="s">
        <v>3545</v>
      </c>
      <c r="J477" s="358">
        <v>44983</v>
      </c>
      <c r="K477" s="53">
        <v>262.54000000000002</v>
      </c>
      <c r="L477" s="53" t="s">
        <v>3</v>
      </c>
      <c r="M477" s="67">
        <f t="shared" si="79"/>
        <v>262.54000000000002</v>
      </c>
      <c r="N477" s="53" t="s">
        <v>3</v>
      </c>
      <c r="O477" s="50" t="s">
        <v>3572</v>
      </c>
      <c r="P477" s="53" t="s">
        <v>137</v>
      </c>
      <c r="Q477" s="1292">
        <v>2027</v>
      </c>
      <c r="R477" s="53">
        <v>2305</v>
      </c>
      <c r="S477" s="53" t="s">
        <v>121</v>
      </c>
      <c r="AA477" s="78">
        <f t="shared" si="80"/>
        <v>0</v>
      </c>
      <c r="AG477" s="78"/>
      <c r="AN477" s="53">
        <v>304</v>
      </c>
      <c r="AO477" s="53" t="s">
        <v>3756</v>
      </c>
      <c r="AP477" s="53">
        <v>4</v>
      </c>
      <c r="AR477" s="264" t="str">
        <f ca="1">IF(LEN(Q477)=4,IF(Q477&lt;YEAR(NOW()),_xlfn.CONCAT(IF(LOWER(Setting!rng_language)="english","Expired ","Expiré "),Q477),""),"")</f>
        <v/>
      </c>
      <c r="AT477" s="53" t="b">
        <f>ISNUMBER(MATCH(IF(LEN('USER INPUT SHEET'!rng_province)&gt;0,'USER INPUT SHEET'!rng_province,"Canada"),$AU477:$BD477,0))</f>
        <v>0</v>
      </c>
      <c r="AU477" s="1286" t="s">
        <v>1110</v>
      </c>
      <c r="AV477" s="1286" t="s">
        <v>1110</v>
      </c>
      <c r="AW477" s="1286"/>
      <c r="AX477" s="1286"/>
      <c r="AY477" s="1286"/>
      <c r="AZ477" s="1286"/>
      <c r="BA477" s="1286"/>
      <c r="BB477" s="1286"/>
      <c r="BC477" s="1286"/>
      <c r="BD477" s="1286"/>
    </row>
    <row r="478" spans="1:56" ht="15.75" customHeight="1" x14ac:dyDescent="0.3">
      <c r="A478" s="50" t="str">
        <f t="shared" si="78"/>
        <v xml:space="preserve">Concrete - 35 MPa, 50% SL, GU / RMCAO / Can. Ontario Avg. / </v>
      </c>
      <c r="B478" s="53" t="s">
        <v>3586</v>
      </c>
      <c r="C478" s="53" t="s">
        <v>3569</v>
      </c>
      <c r="D478" s="53" t="s">
        <v>3570</v>
      </c>
      <c r="H478" s="50" t="s">
        <v>3548</v>
      </c>
      <c r="I478" s="53" t="s">
        <v>3545</v>
      </c>
      <c r="J478" s="358">
        <v>44983</v>
      </c>
      <c r="K478" s="53">
        <v>223.22</v>
      </c>
      <c r="L478" s="53" t="s">
        <v>3</v>
      </c>
      <c r="M478" s="67">
        <f t="shared" si="79"/>
        <v>223.22</v>
      </c>
      <c r="N478" s="53" t="s">
        <v>3</v>
      </c>
      <c r="O478" s="50" t="s">
        <v>3572</v>
      </c>
      <c r="P478" s="53" t="s">
        <v>137</v>
      </c>
      <c r="Q478" s="1292">
        <v>2027</v>
      </c>
      <c r="R478" s="53">
        <v>2305</v>
      </c>
      <c r="S478" s="53" t="s">
        <v>121</v>
      </c>
      <c r="AA478" s="78">
        <f t="shared" si="80"/>
        <v>0</v>
      </c>
      <c r="AG478" s="78"/>
      <c r="AN478" s="53">
        <v>305</v>
      </c>
      <c r="AO478" s="53" t="s">
        <v>3756</v>
      </c>
      <c r="AP478" s="53">
        <v>5</v>
      </c>
      <c r="AR478" s="264" t="str">
        <f ca="1">IF(LEN(Q478)=4,IF(Q478&lt;YEAR(NOW()),_xlfn.CONCAT(IF(LOWER(Setting!rng_language)="english","Expired ","Expiré "),Q478),""),"")</f>
        <v/>
      </c>
      <c r="AT478" s="53" t="b">
        <f>ISNUMBER(MATCH(IF(LEN('USER INPUT SHEET'!rng_province)&gt;0,'USER INPUT SHEET'!rng_province,"Canada"),$AU478:$BD478,0))</f>
        <v>0</v>
      </c>
      <c r="AU478" s="1286" t="s">
        <v>1110</v>
      </c>
      <c r="AV478" s="1286" t="s">
        <v>1110</v>
      </c>
      <c r="AW478" s="1286"/>
      <c r="AX478" s="1286"/>
      <c r="AY478" s="1286"/>
      <c r="AZ478" s="1286"/>
      <c r="BA478" s="1286"/>
      <c r="BB478" s="1286"/>
      <c r="BC478" s="1286"/>
      <c r="BD478" s="1286"/>
    </row>
    <row r="479" spans="1:56" ht="15.75" customHeight="1" x14ac:dyDescent="0.3">
      <c r="A479" s="50" t="str">
        <f t="shared" si="78"/>
        <v xml:space="preserve">Concrete - 25 MPa, GU / SRMCA / Can. Sask Avg. / </v>
      </c>
      <c r="B479" s="53" t="s">
        <v>3568</v>
      </c>
      <c r="C479" s="53" t="s">
        <v>3587</v>
      </c>
      <c r="D479" s="53" t="s">
        <v>3588</v>
      </c>
      <c r="H479" s="50" t="s">
        <v>3548</v>
      </c>
      <c r="I479" s="53" t="s">
        <v>3545</v>
      </c>
      <c r="J479" s="358">
        <v>44983</v>
      </c>
      <c r="K479" s="53">
        <v>345.28</v>
      </c>
      <c r="L479" s="53" t="s">
        <v>3</v>
      </c>
      <c r="M479" s="67">
        <f t="shared" si="79"/>
        <v>345.28</v>
      </c>
      <c r="N479" s="53" t="s">
        <v>3</v>
      </c>
      <c r="O479" s="50" t="s">
        <v>3589</v>
      </c>
      <c r="P479" s="53" t="s">
        <v>137</v>
      </c>
      <c r="Q479" s="1292">
        <v>2027</v>
      </c>
      <c r="R479" s="53">
        <v>2305</v>
      </c>
      <c r="S479" s="53" t="s">
        <v>121</v>
      </c>
      <c r="AA479" s="78">
        <f t="shared" si="80"/>
        <v>0</v>
      </c>
      <c r="AG479" s="78"/>
      <c r="AN479" s="53">
        <v>306</v>
      </c>
      <c r="AO479" s="53" t="s">
        <v>3754</v>
      </c>
      <c r="AP479" s="53">
        <v>1</v>
      </c>
      <c r="AR479" s="264" t="str">
        <f ca="1">IF(LEN(Q479)=4,IF(Q479&lt;YEAR(NOW()),_xlfn.CONCAT(IF(LOWER(Setting!rng_language)="english","Expired ","Expiré "),Q479),""),"")</f>
        <v/>
      </c>
      <c r="AT479" s="53" t="b">
        <f>ISNUMBER(MATCH(IF(LEN('USER INPUT SHEET'!rng_province)&gt;0,'USER INPUT SHEET'!rng_province,"Canada"),$AU479:$BD479,0))</f>
        <v>1</v>
      </c>
      <c r="AU479" s="1286" t="s">
        <v>1208</v>
      </c>
      <c r="AV479" s="1286" t="s">
        <v>1208</v>
      </c>
      <c r="AW479" s="1286"/>
      <c r="AX479" s="1286"/>
      <c r="AY479" s="1286"/>
      <c r="AZ479" s="1286"/>
      <c r="BA479" s="1286"/>
      <c r="BB479" s="1286"/>
      <c r="BC479" s="1286"/>
      <c r="BD479" s="1286"/>
    </row>
    <row r="480" spans="1:56" ht="15.75" customHeight="1" x14ac:dyDescent="0.3">
      <c r="A480" s="50" t="str">
        <f t="shared" si="78"/>
        <v xml:space="preserve">Concrete - 25 MPa, 10% FA, GU / SRMCA / Can. Sask Avg. / </v>
      </c>
      <c r="B480" s="53" t="s">
        <v>3549</v>
      </c>
      <c r="C480" s="53" t="s">
        <v>3587</v>
      </c>
      <c r="D480" s="53" t="s">
        <v>3588</v>
      </c>
      <c r="H480" s="50" t="s">
        <v>3548</v>
      </c>
      <c r="I480" s="53" t="s">
        <v>3545</v>
      </c>
      <c r="J480" s="358">
        <v>44983</v>
      </c>
      <c r="K480" s="53">
        <v>318.05</v>
      </c>
      <c r="L480" s="53" t="s">
        <v>3</v>
      </c>
      <c r="M480" s="67">
        <f t="shared" si="79"/>
        <v>318.05</v>
      </c>
      <c r="N480" s="53" t="s">
        <v>3</v>
      </c>
      <c r="O480" s="50" t="s">
        <v>3589</v>
      </c>
      <c r="P480" s="53" t="s">
        <v>137</v>
      </c>
      <c r="Q480" s="1292">
        <v>2027</v>
      </c>
      <c r="R480" s="53">
        <v>2305</v>
      </c>
      <c r="S480" s="53" t="s">
        <v>121</v>
      </c>
      <c r="AA480" s="78">
        <f t="shared" si="80"/>
        <v>0</v>
      </c>
      <c r="AG480" s="78"/>
      <c r="AN480" s="53">
        <v>307</v>
      </c>
      <c r="AO480" s="53" t="s">
        <v>3754</v>
      </c>
      <c r="AP480" s="53">
        <v>2</v>
      </c>
      <c r="AR480" s="264" t="str">
        <f ca="1">IF(LEN(Q480)=4,IF(Q480&lt;YEAR(NOW()),_xlfn.CONCAT(IF(LOWER(Setting!rng_language)="english","Expired ","Expiré "),Q480),""),"")</f>
        <v/>
      </c>
      <c r="AT480" s="53" t="b">
        <f>ISNUMBER(MATCH(IF(LEN('USER INPUT SHEET'!rng_province)&gt;0,'USER INPUT SHEET'!rng_province,"Canada"),$AU480:$BD480,0))</f>
        <v>1</v>
      </c>
      <c r="AU480" s="1286" t="s">
        <v>1208</v>
      </c>
      <c r="AV480" s="1286" t="s">
        <v>1208</v>
      </c>
      <c r="AW480" s="1286"/>
      <c r="AX480" s="1286"/>
      <c r="AY480" s="1286"/>
      <c r="AZ480" s="1286"/>
      <c r="BA480" s="1286"/>
      <c r="BB480" s="1286"/>
      <c r="BC480" s="1286"/>
      <c r="BD480" s="1286"/>
    </row>
    <row r="481" spans="1:56" ht="15.75" customHeight="1" x14ac:dyDescent="0.3">
      <c r="A481" s="50" t="str">
        <f t="shared" si="78"/>
        <v xml:space="preserve">Concrete - 25 MPa, 20% FA, GU / SRMCA / Can. Sask Avg. / </v>
      </c>
      <c r="B481" s="53" t="s">
        <v>3551</v>
      </c>
      <c r="C481" s="53" t="s">
        <v>3587</v>
      </c>
      <c r="D481" s="53" t="s">
        <v>3588</v>
      </c>
      <c r="H481" s="50" t="s">
        <v>3548</v>
      </c>
      <c r="I481" s="53" t="s">
        <v>3545</v>
      </c>
      <c r="J481" s="358">
        <v>44983</v>
      </c>
      <c r="K481" s="53">
        <v>290.83</v>
      </c>
      <c r="L481" s="53" t="s">
        <v>3</v>
      </c>
      <c r="M481" s="67">
        <f t="shared" si="79"/>
        <v>290.83</v>
      </c>
      <c r="N481" s="53" t="s">
        <v>3</v>
      </c>
      <c r="O481" s="50" t="s">
        <v>3589</v>
      </c>
      <c r="P481" s="53" t="s">
        <v>137</v>
      </c>
      <c r="Q481" s="1292">
        <v>2027</v>
      </c>
      <c r="R481" s="53">
        <v>2305</v>
      </c>
      <c r="S481" s="53" t="s">
        <v>121</v>
      </c>
      <c r="AA481" s="78">
        <f t="shared" si="80"/>
        <v>0</v>
      </c>
      <c r="AG481" s="78"/>
      <c r="AN481" s="53">
        <v>308</v>
      </c>
      <c r="AO481" s="53" t="s">
        <v>3754</v>
      </c>
      <c r="AP481" s="53">
        <v>3</v>
      </c>
      <c r="AR481" s="264" t="str">
        <f ca="1">IF(LEN(Q481)=4,IF(Q481&lt;YEAR(NOW()),_xlfn.CONCAT(IF(LOWER(Setting!rng_language)="english","Expired ","Expiré "),Q481),""),"")</f>
        <v/>
      </c>
      <c r="AT481" s="53" t="b">
        <f>ISNUMBER(MATCH(IF(LEN('USER INPUT SHEET'!rng_province)&gt;0,'USER INPUT SHEET'!rng_province,"Canada"),$AU481:$BD481,0))</f>
        <v>1</v>
      </c>
      <c r="AU481" s="1286" t="s">
        <v>1208</v>
      </c>
      <c r="AV481" s="1286" t="s">
        <v>1208</v>
      </c>
      <c r="AW481" s="1286"/>
      <c r="AX481" s="1286"/>
      <c r="AY481" s="1286"/>
      <c r="AZ481" s="1286"/>
      <c r="BA481" s="1286"/>
      <c r="BB481" s="1286"/>
      <c r="BC481" s="1286"/>
      <c r="BD481" s="1286"/>
    </row>
    <row r="482" spans="1:56" ht="15.75" customHeight="1" x14ac:dyDescent="0.3">
      <c r="A482" s="50" t="str">
        <f t="shared" si="78"/>
        <v xml:space="preserve">Concrete - 25 MPa, 30% FA, GU / SRMCA / Can. Sask Avg. / </v>
      </c>
      <c r="B482" s="53" t="s">
        <v>3553</v>
      </c>
      <c r="C482" s="53" t="s">
        <v>3587</v>
      </c>
      <c r="D482" s="53" t="s">
        <v>3588</v>
      </c>
      <c r="H482" s="50" t="s">
        <v>3548</v>
      </c>
      <c r="I482" s="53" t="s">
        <v>3545</v>
      </c>
      <c r="J482" s="358">
        <v>44983</v>
      </c>
      <c r="K482" s="53">
        <v>263.61</v>
      </c>
      <c r="L482" s="53" t="s">
        <v>3</v>
      </c>
      <c r="M482" s="67">
        <f t="shared" si="79"/>
        <v>263.61</v>
      </c>
      <c r="N482" s="53" t="s">
        <v>3</v>
      </c>
      <c r="O482" s="50" t="s">
        <v>3589</v>
      </c>
      <c r="P482" s="53" t="s">
        <v>137</v>
      </c>
      <c r="Q482" s="1292">
        <v>2027</v>
      </c>
      <c r="R482" s="53">
        <v>2305</v>
      </c>
      <c r="S482" s="53" t="s">
        <v>121</v>
      </c>
      <c r="AA482" s="78">
        <f t="shared" si="80"/>
        <v>0</v>
      </c>
      <c r="AG482" s="78"/>
      <c r="AN482" s="53">
        <v>309</v>
      </c>
      <c r="AO482" s="53" t="s">
        <v>3754</v>
      </c>
      <c r="AP482" s="53">
        <v>4</v>
      </c>
      <c r="AR482" s="264" t="str">
        <f ca="1">IF(LEN(Q482)=4,IF(Q482&lt;YEAR(NOW()),_xlfn.CONCAT(IF(LOWER(Setting!rng_language)="english","Expired ","Expiré "),Q482),""),"")</f>
        <v/>
      </c>
      <c r="AT482" s="53" t="b">
        <f>ISNUMBER(MATCH(IF(LEN('USER INPUT SHEET'!rng_province)&gt;0,'USER INPUT SHEET'!rng_province,"Canada"),$AU482:$BD482,0))</f>
        <v>1</v>
      </c>
      <c r="AU482" s="1286" t="s">
        <v>1208</v>
      </c>
      <c r="AV482" s="1286" t="s">
        <v>1208</v>
      </c>
      <c r="AW482" s="1286"/>
      <c r="AX482" s="1286"/>
      <c r="AY482" s="1286"/>
      <c r="AZ482" s="1286"/>
      <c r="BA482" s="1286"/>
      <c r="BB482" s="1286"/>
      <c r="BC482" s="1286"/>
      <c r="BD482" s="1286"/>
    </row>
    <row r="483" spans="1:56" ht="15.75" customHeight="1" x14ac:dyDescent="0.3">
      <c r="A483" s="50" t="str">
        <f t="shared" si="78"/>
        <v xml:space="preserve">Concrete - 25 MPa, 40% FA, GU / SRMCA / Can. Sask Avg. / </v>
      </c>
      <c r="B483" s="53" t="s">
        <v>3590</v>
      </c>
      <c r="C483" s="53" t="s">
        <v>3587</v>
      </c>
      <c r="D483" s="53" t="s">
        <v>3588</v>
      </c>
      <c r="H483" s="50" t="s">
        <v>3548</v>
      </c>
      <c r="I483" s="53" t="s">
        <v>3545</v>
      </c>
      <c r="J483" s="358">
        <v>44983</v>
      </c>
      <c r="K483" s="53">
        <v>236.39</v>
      </c>
      <c r="L483" s="53" t="s">
        <v>3</v>
      </c>
      <c r="M483" s="67">
        <f t="shared" si="79"/>
        <v>236.39</v>
      </c>
      <c r="N483" s="53" t="s">
        <v>3</v>
      </c>
      <c r="O483" s="50" t="s">
        <v>3589</v>
      </c>
      <c r="P483" s="53" t="s">
        <v>137</v>
      </c>
      <c r="Q483" s="1292">
        <v>2027</v>
      </c>
      <c r="R483" s="53">
        <v>2305</v>
      </c>
      <c r="S483" s="53" t="s">
        <v>121</v>
      </c>
      <c r="AA483" s="78">
        <f t="shared" si="80"/>
        <v>0</v>
      </c>
      <c r="AG483" s="78"/>
      <c r="AN483" s="53">
        <v>310</v>
      </c>
      <c r="AO483" s="53" t="s">
        <v>3754</v>
      </c>
      <c r="AP483" s="53">
        <v>5</v>
      </c>
      <c r="AR483" s="264" t="str">
        <f ca="1">IF(LEN(Q483)=4,IF(Q483&lt;YEAR(NOW()),_xlfn.CONCAT(IF(LOWER(Setting!rng_language)="english","Expired ","Expiré "),Q483),""),"")</f>
        <v/>
      </c>
      <c r="AT483" s="53" t="b">
        <f>ISNUMBER(MATCH(IF(LEN('USER INPUT SHEET'!rng_province)&gt;0,'USER INPUT SHEET'!rng_province,"Canada"),$AU483:$BD483,0))</f>
        <v>1</v>
      </c>
      <c r="AU483" s="1286" t="s">
        <v>1208</v>
      </c>
      <c r="AV483" s="1286" t="s">
        <v>1208</v>
      </c>
      <c r="AW483" s="1286"/>
      <c r="AX483" s="1286"/>
      <c r="AY483" s="1286"/>
      <c r="AZ483" s="1286"/>
      <c r="BA483" s="1286"/>
      <c r="BB483" s="1286"/>
      <c r="BC483" s="1286"/>
      <c r="BD483" s="1286"/>
    </row>
    <row r="484" spans="1:56" ht="15.75" customHeight="1" x14ac:dyDescent="0.3">
      <c r="A484" s="50" t="str">
        <f t="shared" si="78"/>
        <v xml:space="preserve">Concrete - 30 MPa, GU / SRMCA / Can. Sask Avg. / </v>
      </c>
      <c r="B484" s="53" t="s">
        <v>3577</v>
      </c>
      <c r="C484" s="53" t="s">
        <v>3587</v>
      </c>
      <c r="D484" s="53" t="s">
        <v>3588</v>
      </c>
      <c r="H484" s="50" t="s">
        <v>3548</v>
      </c>
      <c r="I484" s="53" t="s">
        <v>3545</v>
      </c>
      <c r="J484" s="358">
        <v>44983</v>
      </c>
      <c r="K484" s="53">
        <v>376.92</v>
      </c>
      <c r="L484" s="53" t="s">
        <v>3</v>
      </c>
      <c r="M484" s="67">
        <f t="shared" si="79"/>
        <v>376.92</v>
      </c>
      <c r="N484" s="53" t="s">
        <v>3</v>
      </c>
      <c r="O484" s="50" t="s">
        <v>3589</v>
      </c>
      <c r="P484" s="53" t="s">
        <v>137</v>
      </c>
      <c r="Q484" s="1292">
        <v>2027</v>
      </c>
      <c r="R484" s="53">
        <v>2305</v>
      </c>
      <c r="S484" s="53" t="s">
        <v>121</v>
      </c>
      <c r="AA484" s="78">
        <f t="shared" si="80"/>
        <v>0</v>
      </c>
      <c r="AG484" s="78"/>
      <c r="AN484" s="53">
        <v>311</v>
      </c>
      <c r="AO484" s="53" t="s">
        <v>3755</v>
      </c>
      <c r="AP484" s="53">
        <v>1</v>
      </c>
      <c r="AR484" s="264" t="str">
        <f ca="1">IF(LEN(Q484)=4,IF(Q484&lt;YEAR(NOW()),_xlfn.CONCAT(IF(LOWER(Setting!rng_language)="english","Expired ","Expiré "),Q484),""),"")</f>
        <v/>
      </c>
      <c r="AT484" s="53" t="b">
        <f>ISNUMBER(MATCH(IF(LEN('USER INPUT SHEET'!rng_province)&gt;0,'USER INPUT SHEET'!rng_province,"Canada"),$AU484:$BD484,0))</f>
        <v>1</v>
      </c>
      <c r="AU484" s="1286" t="s">
        <v>1208</v>
      </c>
      <c r="AV484" s="1286" t="s">
        <v>1208</v>
      </c>
      <c r="AW484" s="1286"/>
      <c r="AX484" s="1286"/>
      <c r="AY484" s="1286"/>
      <c r="AZ484" s="1286"/>
      <c r="BA484" s="1286"/>
      <c r="BB484" s="1286"/>
      <c r="BC484" s="1286"/>
      <c r="BD484" s="1286"/>
    </row>
    <row r="485" spans="1:56" ht="15.75" customHeight="1" x14ac:dyDescent="0.3">
      <c r="A485" s="50" t="str">
        <f t="shared" si="78"/>
        <v xml:space="preserve">Concrete - 30 MPa, 10% FA, GU / SRMCA / Can. Sask Avg. / </v>
      </c>
      <c r="B485" s="53" t="s">
        <v>3556</v>
      </c>
      <c r="C485" s="53" t="s">
        <v>3587</v>
      </c>
      <c r="D485" s="53" t="s">
        <v>3588</v>
      </c>
      <c r="H485" s="50" t="s">
        <v>3548</v>
      </c>
      <c r="I485" s="53" t="s">
        <v>3545</v>
      </c>
      <c r="J485" s="358">
        <v>44983</v>
      </c>
      <c r="K485" s="53">
        <v>346.99</v>
      </c>
      <c r="L485" s="53" t="s">
        <v>3</v>
      </c>
      <c r="M485" s="67">
        <f t="shared" si="79"/>
        <v>346.99</v>
      </c>
      <c r="N485" s="53" t="s">
        <v>3</v>
      </c>
      <c r="O485" s="50" t="s">
        <v>3589</v>
      </c>
      <c r="P485" s="53" t="s">
        <v>137</v>
      </c>
      <c r="Q485" s="1292">
        <v>2027</v>
      </c>
      <c r="R485" s="53">
        <v>2305</v>
      </c>
      <c r="S485" s="53" t="s">
        <v>121</v>
      </c>
      <c r="AA485" s="78">
        <f t="shared" si="80"/>
        <v>0</v>
      </c>
      <c r="AG485" s="78"/>
      <c r="AN485" s="53">
        <v>312</v>
      </c>
      <c r="AO485" s="53" t="s">
        <v>3755</v>
      </c>
      <c r="AP485" s="53">
        <v>2</v>
      </c>
      <c r="AR485" s="264" t="str">
        <f ca="1">IF(LEN(Q485)=4,IF(Q485&lt;YEAR(NOW()),_xlfn.CONCAT(IF(LOWER(Setting!rng_language)="english","Expired ","Expiré "),Q485),""),"")</f>
        <v/>
      </c>
      <c r="AT485" s="53" t="b">
        <f>ISNUMBER(MATCH(IF(LEN('USER INPUT SHEET'!rng_province)&gt;0,'USER INPUT SHEET'!rng_province,"Canada"),$AU485:$BD485,0))</f>
        <v>1</v>
      </c>
      <c r="AU485" s="1286" t="s">
        <v>1208</v>
      </c>
      <c r="AV485" s="1286" t="s">
        <v>1208</v>
      </c>
      <c r="AW485" s="1286"/>
      <c r="AX485" s="1286"/>
      <c r="AY485" s="1286"/>
      <c r="AZ485" s="1286"/>
      <c r="BA485" s="1286"/>
      <c r="BB485" s="1286"/>
      <c r="BC485" s="1286"/>
      <c r="BD485" s="1286"/>
    </row>
    <row r="486" spans="1:56" ht="15.75" customHeight="1" x14ac:dyDescent="0.3">
      <c r="A486" s="50" t="str">
        <f t="shared" si="78"/>
        <v xml:space="preserve">Concrete - 30 MPa, 20% FA, GU / SRMCA / Can. Sask Avg. / </v>
      </c>
      <c r="B486" s="53" t="s">
        <v>3558</v>
      </c>
      <c r="C486" s="53" t="s">
        <v>3587</v>
      </c>
      <c r="D486" s="53" t="s">
        <v>3588</v>
      </c>
      <c r="H486" s="50" t="s">
        <v>3548</v>
      </c>
      <c r="I486" s="53" t="s">
        <v>3545</v>
      </c>
      <c r="J486" s="358">
        <v>44983</v>
      </c>
      <c r="K486" s="53">
        <v>316.58</v>
      </c>
      <c r="L486" s="53" t="s">
        <v>3</v>
      </c>
      <c r="M486" s="67">
        <f t="shared" si="79"/>
        <v>316.58</v>
      </c>
      <c r="N486" s="53" t="s">
        <v>3</v>
      </c>
      <c r="O486" s="50" t="s">
        <v>3589</v>
      </c>
      <c r="P486" s="53" t="s">
        <v>137</v>
      </c>
      <c r="Q486" s="1292">
        <v>2027</v>
      </c>
      <c r="R486" s="53">
        <v>2305</v>
      </c>
      <c r="S486" s="53" t="s">
        <v>121</v>
      </c>
      <c r="AA486" s="78">
        <f t="shared" si="80"/>
        <v>0</v>
      </c>
      <c r="AG486" s="78"/>
      <c r="AN486" s="53">
        <v>313</v>
      </c>
      <c r="AO486" s="53" t="s">
        <v>3755</v>
      </c>
      <c r="AP486" s="53">
        <v>3</v>
      </c>
      <c r="AR486" s="264" t="str">
        <f ca="1">IF(LEN(Q486)=4,IF(Q486&lt;YEAR(NOW()),_xlfn.CONCAT(IF(LOWER(Setting!rng_language)="english","Expired ","Expiré "),Q486),""),"")</f>
        <v/>
      </c>
      <c r="AT486" s="53" t="b">
        <f>ISNUMBER(MATCH(IF(LEN('USER INPUT SHEET'!rng_province)&gt;0,'USER INPUT SHEET'!rng_province,"Canada"),$AU486:$BD486,0))</f>
        <v>1</v>
      </c>
      <c r="AU486" s="1286" t="s">
        <v>1208</v>
      </c>
      <c r="AV486" s="1286" t="s">
        <v>1208</v>
      </c>
      <c r="AW486" s="1286"/>
      <c r="AX486" s="1286"/>
      <c r="AY486" s="1286"/>
      <c r="AZ486" s="1286"/>
      <c r="BA486" s="1286"/>
      <c r="BB486" s="1286"/>
      <c r="BC486" s="1286"/>
      <c r="BD486" s="1286"/>
    </row>
    <row r="487" spans="1:56" ht="15.75" customHeight="1" x14ac:dyDescent="0.3">
      <c r="A487" s="50" t="str">
        <f t="shared" si="78"/>
        <v xml:space="preserve">Concrete - 30 MPa, 30% FA, GU / SRMCA / Can. Sask Avg. / </v>
      </c>
      <c r="B487" s="53" t="s">
        <v>3560</v>
      </c>
      <c r="C487" s="53" t="s">
        <v>3587</v>
      </c>
      <c r="D487" s="53" t="s">
        <v>3588</v>
      </c>
      <c r="H487" s="50" t="s">
        <v>3548</v>
      </c>
      <c r="I487" s="53" t="s">
        <v>3545</v>
      </c>
      <c r="J487" s="358">
        <v>44983</v>
      </c>
      <c r="K487" s="53">
        <v>286.64999999999998</v>
      </c>
      <c r="L487" s="53" t="s">
        <v>3</v>
      </c>
      <c r="M487" s="67">
        <f t="shared" si="79"/>
        <v>286.64999999999998</v>
      </c>
      <c r="N487" s="53" t="s">
        <v>3</v>
      </c>
      <c r="O487" s="50" t="s">
        <v>3589</v>
      </c>
      <c r="P487" s="53" t="s">
        <v>137</v>
      </c>
      <c r="Q487" s="1292">
        <v>2027</v>
      </c>
      <c r="R487" s="53">
        <v>2305</v>
      </c>
      <c r="S487" s="53" t="s">
        <v>121</v>
      </c>
      <c r="AA487" s="78">
        <f t="shared" si="80"/>
        <v>0</v>
      </c>
      <c r="AG487" s="78"/>
      <c r="AN487" s="53">
        <v>314</v>
      </c>
      <c r="AO487" s="53" t="s">
        <v>3755</v>
      </c>
      <c r="AP487" s="53">
        <v>4</v>
      </c>
      <c r="AR487" s="264" t="str">
        <f ca="1">IF(LEN(Q487)=4,IF(Q487&lt;YEAR(NOW()),_xlfn.CONCAT(IF(LOWER(Setting!rng_language)="english","Expired ","Expiré "),Q487),""),"")</f>
        <v/>
      </c>
      <c r="AT487" s="53" t="b">
        <f>ISNUMBER(MATCH(IF(LEN('USER INPUT SHEET'!rng_province)&gt;0,'USER INPUT SHEET'!rng_province,"Canada"),$AU487:$BD487,0))</f>
        <v>1</v>
      </c>
      <c r="AU487" s="1286" t="s">
        <v>1208</v>
      </c>
      <c r="AV487" s="1286" t="s">
        <v>1208</v>
      </c>
      <c r="AW487" s="1286"/>
      <c r="AX487" s="1286"/>
      <c r="AY487" s="1286"/>
      <c r="AZ487" s="1286"/>
      <c r="BA487" s="1286"/>
      <c r="BB487" s="1286"/>
      <c r="BC487" s="1286"/>
      <c r="BD487" s="1286"/>
    </row>
    <row r="488" spans="1:56" ht="15.75" customHeight="1" x14ac:dyDescent="0.3">
      <c r="A488" s="50" t="str">
        <f t="shared" si="78"/>
        <v xml:space="preserve">Concrete - 30 MPa, 40% FA, GU / SRMCA / Can. Sask Avg. / </v>
      </c>
      <c r="B488" s="53" t="s">
        <v>3591</v>
      </c>
      <c r="C488" s="53" t="s">
        <v>3587</v>
      </c>
      <c r="D488" s="53" t="s">
        <v>3588</v>
      </c>
      <c r="H488" s="50" t="s">
        <v>3548</v>
      </c>
      <c r="I488" s="53" t="s">
        <v>3545</v>
      </c>
      <c r="J488" s="358">
        <v>44983</v>
      </c>
      <c r="K488" s="53">
        <v>256.24</v>
      </c>
      <c r="L488" s="53" t="s">
        <v>3</v>
      </c>
      <c r="M488" s="67">
        <f t="shared" si="79"/>
        <v>256.24</v>
      </c>
      <c r="N488" s="53" t="s">
        <v>3</v>
      </c>
      <c r="O488" s="50" t="s">
        <v>3589</v>
      </c>
      <c r="P488" s="53" t="s">
        <v>137</v>
      </c>
      <c r="Q488" s="1292">
        <v>2027</v>
      </c>
      <c r="R488" s="53">
        <v>2305</v>
      </c>
      <c r="S488" s="53" t="s">
        <v>121</v>
      </c>
      <c r="AA488" s="78">
        <f t="shared" si="80"/>
        <v>0</v>
      </c>
      <c r="AG488" s="78"/>
      <c r="AN488" s="53">
        <v>315</v>
      </c>
      <c r="AO488" s="53" t="s">
        <v>3755</v>
      </c>
      <c r="AP488" s="53">
        <v>5</v>
      </c>
      <c r="AR488" s="264" t="str">
        <f ca="1">IF(LEN(Q488)=4,IF(Q488&lt;YEAR(NOW()),_xlfn.CONCAT(IF(LOWER(Setting!rng_language)="english","Expired ","Expiré "),Q488),""),"")</f>
        <v/>
      </c>
      <c r="AT488" s="53" t="b">
        <f>ISNUMBER(MATCH(IF(LEN('USER INPUT SHEET'!rng_province)&gt;0,'USER INPUT SHEET'!rng_province,"Canada"),$AU488:$BD488,0))</f>
        <v>1</v>
      </c>
      <c r="AU488" s="1286" t="s">
        <v>1208</v>
      </c>
      <c r="AV488" s="1286" t="s">
        <v>1208</v>
      </c>
      <c r="AW488" s="1286"/>
      <c r="AX488" s="1286"/>
      <c r="AY488" s="1286"/>
      <c r="AZ488" s="1286"/>
      <c r="BA488" s="1286"/>
      <c r="BB488" s="1286"/>
      <c r="BC488" s="1286"/>
      <c r="BD488" s="1286"/>
    </row>
    <row r="489" spans="1:56" ht="15.75" customHeight="1" x14ac:dyDescent="0.3">
      <c r="A489" s="50" t="str">
        <f t="shared" si="78"/>
        <v xml:space="preserve">Concrete - 35 MPa, GU / SRMCA / Can. Sask Avg. / </v>
      </c>
      <c r="B489" s="53" t="s">
        <v>3582</v>
      </c>
      <c r="C489" s="53" t="s">
        <v>3587</v>
      </c>
      <c r="D489" s="53" t="s">
        <v>3588</v>
      </c>
      <c r="H489" s="50" t="s">
        <v>3548</v>
      </c>
      <c r="I489" s="53" t="s">
        <v>3545</v>
      </c>
      <c r="J489" s="358">
        <v>44983</v>
      </c>
      <c r="K489" s="53">
        <v>442.03</v>
      </c>
      <c r="L489" s="53" t="s">
        <v>3</v>
      </c>
      <c r="M489" s="67">
        <f t="shared" si="79"/>
        <v>442.03</v>
      </c>
      <c r="N489" s="53" t="s">
        <v>3</v>
      </c>
      <c r="O489" s="50" t="s">
        <v>3589</v>
      </c>
      <c r="P489" s="53" t="s">
        <v>137</v>
      </c>
      <c r="Q489" s="1292">
        <v>2027</v>
      </c>
      <c r="R489" s="53">
        <v>2305</v>
      </c>
      <c r="S489" s="53" t="s">
        <v>121</v>
      </c>
      <c r="AA489" s="78">
        <f t="shared" si="80"/>
        <v>0</v>
      </c>
      <c r="AG489" s="78"/>
      <c r="AN489" s="53">
        <v>316</v>
      </c>
      <c r="AO489" s="53" t="s">
        <v>3756</v>
      </c>
      <c r="AP489" s="53">
        <v>1</v>
      </c>
      <c r="AR489" s="264" t="str">
        <f ca="1">IF(LEN(Q489)=4,IF(Q489&lt;YEAR(NOW()),_xlfn.CONCAT(IF(LOWER(Setting!rng_language)="english","Expired ","Expiré "),Q489),""),"")</f>
        <v/>
      </c>
      <c r="AT489" s="53" t="b">
        <f>ISNUMBER(MATCH(IF(LEN('USER INPUT SHEET'!rng_province)&gt;0,'USER INPUT SHEET'!rng_province,"Canada"),$AU489:$BD489,0))</f>
        <v>1</v>
      </c>
      <c r="AU489" s="1286" t="s">
        <v>1208</v>
      </c>
      <c r="AV489" s="1286" t="s">
        <v>1208</v>
      </c>
      <c r="AW489" s="1286"/>
      <c r="AX489" s="1286"/>
      <c r="AY489" s="1286"/>
      <c r="AZ489" s="1286"/>
      <c r="BA489" s="1286"/>
      <c r="BB489" s="1286"/>
      <c r="BC489" s="1286"/>
      <c r="BD489" s="1286"/>
    </row>
    <row r="490" spans="1:56" ht="15.75" customHeight="1" x14ac:dyDescent="0.3">
      <c r="A490" s="50" t="str">
        <f t="shared" si="78"/>
        <v xml:space="preserve">Concrete - 35 MPa, 10% FA, GU / SRMCA / Can. Sask Avg. / </v>
      </c>
      <c r="B490" s="53" t="s">
        <v>3563</v>
      </c>
      <c r="C490" s="53" t="s">
        <v>3587</v>
      </c>
      <c r="D490" s="53" t="s">
        <v>3588</v>
      </c>
      <c r="H490" s="50" t="s">
        <v>3548</v>
      </c>
      <c r="I490" s="53" t="s">
        <v>3545</v>
      </c>
      <c r="J490" s="358">
        <v>44983</v>
      </c>
      <c r="K490" s="53">
        <v>406.22</v>
      </c>
      <c r="L490" s="53" t="s">
        <v>3</v>
      </c>
      <c r="M490" s="67">
        <f t="shared" si="79"/>
        <v>406.22</v>
      </c>
      <c r="N490" s="53" t="s">
        <v>3</v>
      </c>
      <c r="O490" s="50" t="s">
        <v>3589</v>
      </c>
      <c r="P490" s="53" t="s">
        <v>137</v>
      </c>
      <c r="Q490" s="1292">
        <v>2027</v>
      </c>
      <c r="R490" s="53">
        <v>2305</v>
      </c>
      <c r="S490" s="53" t="s">
        <v>121</v>
      </c>
      <c r="AA490" s="78">
        <f t="shared" si="80"/>
        <v>0</v>
      </c>
      <c r="AG490" s="78"/>
      <c r="AN490" s="53">
        <v>317</v>
      </c>
      <c r="AO490" s="53" t="s">
        <v>3756</v>
      </c>
      <c r="AP490" s="53">
        <v>2</v>
      </c>
      <c r="AR490" s="264" t="str">
        <f ca="1">IF(LEN(Q490)=4,IF(Q490&lt;YEAR(NOW()),_xlfn.CONCAT(IF(LOWER(Setting!rng_language)="english","Expired ","Expiré "),Q490),""),"")</f>
        <v/>
      </c>
      <c r="AT490" s="53" t="b">
        <f>ISNUMBER(MATCH(IF(LEN('USER INPUT SHEET'!rng_province)&gt;0,'USER INPUT SHEET'!rng_province,"Canada"),$AU490:$BD490,0))</f>
        <v>1</v>
      </c>
      <c r="AU490" s="1286" t="s">
        <v>1208</v>
      </c>
      <c r="AV490" s="1286" t="s">
        <v>1208</v>
      </c>
      <c r="AW490" s="1286"/>
      <c r="AX490" s="1286"/>
      <c r="AY490" s="1286"/>
      <c r="AZ490" s="1286"/>
      <c r="BA490" s="1286"/>
      <c r="BB490" s="1286"/>
      <c r="BC490" s="1286"/>
      <c r="BD490" s="1286"/>
    </row>
    <row r="491" spans="1:56" ht="15.75" customHeight="1" x14ac:dyDescent="0.3">
      <c r="A491" s="50" t="str">
        <f t="shared" si="78"/>
        <v xml:space="preserve">Concrete - 35 MPa, 20% FA, GU / SRMCA / Can. Sask Avg. / </v>
      </c>
      <c r="B491" s="53" t="s">
        <v>3565</v>
      </c>
      <c r="C491" s="53" t="s">
        <v>3587</v>
      </c>
      <c r="D491" s="53" t="s">
        <v>3588</v>
      </c>
      <c r="H491" s="50" t="s">
        <v>3548</v>
      </c>
      <c r="I491" s="53" t="s">
        <v>3545</v>
      </c>
      <c r="J491" s="358">
        <v>44983</v>
      </c>
      <c r="K491" s="53">
        <v>369.44</v>
      </c>
      <c r="L491" s="53" t="s">
        <v>3</v>
      </c>
      <c r="M491" s="67">
        <f t="shared" si="79"/>
        <v>369.44</v>
      </c>
      <c r="N491" s="53" t="s">
        <v>3</v>
      </c>
      <c r="O491" s="50" t="s">
        <v>3589</v>
      </c>
      <c r="P491" s="53" t="s">
        <v>137</v>
      </c>
      <c r="Q491" s="1292">
        <v>2027</v>
      </c>
      <c r="R491" s="53">
        <v>2305</v>
      </c>
      <c r="S491" s="53" t="s">
        <v>121</v>
      </c>
      <c r="AA491" s="78">
        <f t="shared" si="80"/>
        <v>0</v>
      </c>
      <c r="AG491" s="78"/>
      <c r="AN491" s="53">
        <v>318</v>
      </c>
      <c r="AO491" s="53" t="s">
        <v>3756</v>
      </c>
      <c r="AP491" s="53">
        <v>3</v>
      </c>
      <c r="AR491" s="264" t="str">
        <f ca="1">IF(LEN(Q491)=4,IF(Q491&lt;YEAR(NOW()),_xlfn.CONCAT(IF(LOWER(Setting!rng_language)="english","Expired ","Expiré "),Q491),""),"")</f>
        <v/>
      </c>
      <c r="AT491" s="53" t="b">
        <f>ISNUMBER(MATCH(IF(LEN('USER INPUT SHEET'!rng_province)&gt;0,'USER INPUT SHEET'!rng_province,"Canada"),$AU491:$BD491,0))</f>
        <v>1</v>
      </c>
      <c r="AU491" s="1286" t="s">
        <v>1208</v>
      </c>
      <c r="AV491" s="1286" t="s">
        <v>1208</v>
      </c>
      <c r="AW491" s="1286"/>
      <c r="AX491" s="1286"/>
      <c r="AY491" s="1286"/>
      <c r="AZ491" s="1286"/>
      <c r="BA491" s="1286"/>
      <c r="BB491" s="1286"/>
      <c r="BC491" s="1286"/>
      <c r="BD491" s="1286"/>
    </row>
    <row r="492" spans="1:56" ht="15.75" customHeight="1" x14ac:dyDescent="0.3">
      <c r="A492" s="50" t="str">
        <f t="shared" si="78"/>
        <v xml:space="preserve">Concrete - 35 MPa, 30% FA, GU / SRMCA / Can. Sask Avg. / </v>
      </c>
      <c r="B492" s="53" t="s">
        <v>3567</v>
      </c>
      <c r="C492" s="53" t="s">
        <v>3587</v>
      </c>
      <c r="D492" s="53" t="s">
        <v>3588</v>
      </c>
      <c r="H492" s="50" t="s">
        <v>3548</v>
      </c>
      <c r="I492" s="53" t="s">
        <v>3545</v>
      </c>
      <c r="J492" s="358">
        <v>44983</v>
      </c>
      <c r="K492" s="53">
        <v>333.63</v>
      </c>
      <c r="L492" s="53" t="s">
        <v>3</v>
      </c>
      <c r="M492" s="67">
        <f t="shared" si="79"/>
        <v>333.63</v>
      </c>
      <c r="N492" s="53" t="s">
        <v>3</v>
      </c>
      <c r="O492" s="50" t="s">
        <v>3589</v>
      </c>
      <c r="P492" s="53" t="s">
        <v>137</v>
      </c>
      <c r="Q492" s="1292">
        <v>2027</v>
      </c>
      <c r="R492" s="53">
        <v>2305</v>
      </c>
      <c r="S492" s="53" t="s">
        <v>121</v>
      </c>
      <c r="AA492" s="78">
        <f t="shared" si="80"/>
        <v>0</v>
      </c>
      <c r="AG492" s="78"/>
      <c r="AN492" s="53">
        <v>319</v>
      </c>
      <c r="AO492" s="53" t="s">
        <v>3756</v>
      </c>
      <c r="AP492" s="53">
        <v>4</v>
      </c>
      <c r="AR492" s="264" t="str">
        <f ca="1">IF(LEN(Q492)=4,IF(Q492&lt;YEAR(NOW()),_xlfn.CONCAT(IF(LOWER(Setting!rng_language)="english","Expired ","Expiré "),Q492),""),"")</f>
        <v/>
      </c>
      <c r="AT492" s="53" t="b">
        <f>ISNUMBER(MATCH(IF(LEN('USER INPUT SHEET'!rng_province)&gt;0,'USER INPUT SHEET'!rng_province,"Canada"),$AU492:$BD492,0))</f>
        <v>1</v>
      </c>
      <c r="AU492" s="1286" t="s">
        <v>1208</v>
      </c>
      <c r="AV492" s="1286" t="s">
        <v>1208</v>
      </c>
      <c r="AW492" s="1286"/>
      <c r="AX492" s="1286"/>
      <c r="AY492" s="1286"/>
      <c r="AZ492" s="1286"/>
      <c r="BA492" s="1286"/>
      <c r="BB492" s="1286"/>
      <c r="BC492" s="1286"/>
      <c r="BD492" s="1286"/>
    </row>
    <row r="493" spans="1:56" ht="15.75" customHeight="1" x14ac:dyDescent="0.3">
      <c r="A493" s="50" t="str">
        <f t="shared" si="78"/>
        <v xml:space="preserve">Concrete - 35 MPa, 40% FA, GU / SRMCA / Can. Sask Avg. / </v>
      </c>
      <c r="B493" s="53" t="s">
        <v>3592</v>
      </c>
      <c r="C493" s="53" t="s">
        <v>3587</v>
      </c>
      <c r="D493" s="53" t="s">
        <v>3588</v>
      </c>
      <c r="H493" s="50" t="s">
        <v>3548</v>
      </c>
      <c r="I493" s="53" t="s">
        <v>3545</v>
      </c>
      <c r="J493" s="358">
        <v>44983</v>
      </c>
      <c r="K493" s="53">
        <v>296.83999999999997</v>
      </c>
      <c r="L493" s="53" t="s">
        <v>3</v>
      </c>
      <c r="M493" s="67">
        <f t="shared" si="79"/>
        <v>296.83999999999997</v>
      </c>
      <c r="N493" s="53" t="s">
        <v>3</v>
      </c>
      <c r="O493" s="50" t="s">
        <v>3589</v>
      </c>
      <c r="P493" s="53" t="s">
        <v>137</v>
      </c>
      <c r="Q493" s="1292">
        <v>2027</v>
      </c>
      <c r="R493" s="53">
        <v>2305</v>
      </c>
      <c r="S493" s="53" t="s">
        <v>121</v>
      </c>
      <c r="AA493" s="78">
        <f t="shared" si="80"/>
        <v>0</v>
      </c>
      <c r="AG493" s="78"/>
      <c r="AN493" s="53">
        <v>320</v>
      </c>
      <c r="AO493" s="53" t="s">
        <v>3756</v>
      </c>
      <c r="AP493" s="53">
        <v>5</v>
      </c>
      <c r="AR493" s="264" t="str">
        <f ca="1">IF(LEN(Q493)=4,IF(Q493&lt;YEAR(NOW()),_xlfn.CONCAT(IF(LOWER(Setting!rng_language)="english","Expired ","Expiré "),Q493),""),"")</f>
        <v/>
      </c>
      <c r="AT493" s="53" t="b">
        <f>ISNUMBER(MATCH(IF(LEN('USER INPUT SHEET'!rng_province)&gt;0,'USER INPUT SHEET'!rng_province,"Canada"),$AU493:$BD493,0))</f>
        <v>1</v>
      </c>
      <c r="AU493" s="1286" t="s">
        <v>1208</v>
      </c>
      <c r="AV493" s="1286" t="s">
        <v>1208</v>
      </c>
      <c r="AW493" s="1286"/>
      <c r="AX493" s="1286"/>
      <c r="AY493" s="1286"/>
      <c r="AZ493" s="1286"/>
      <c r="BA493" s="1286"/>
      <c r="BB493" s="1286"/>
      <c r="BC493" s="1286"/>
      <c r="BD493" s="1286"/>
    </row>
    <row r="494" spans="1:56" ht="15.75" customHeight="1" x14ac:dyDescent="0.3">
      <c r="A494" s="50" t="str">
        <f t="shared" si="78"/>
        <v xml:space="preserve">Concrete - 25 MPa, GU / MRMCA / Can. Manitoba Avg. / </v>
      </c>
      <c r="B494" s="53" t="s">
        <v>3568</v>
      </c>
      <c r="C494" s="53" t="s">
        <v>3593</v>
      </c>
      <c r="D494" s="53" t="s">
        <v>3594</v>
      </c>
      <c r="H494" s="50" t="s">
        <v>3548</v>
      </c>
      <c r="I494" s="53" t="s">
        <v>3545</v>
      </c>
      <c r="J494" s="358">
        <v>44983</v>
      </c>
      <c r="K494" s="53">
        <v>270.73</v>
      </c>
      <c r="L494" s="53" t="s">
        <v>3</v>
      </c>
      <c r="M494" s="67">
        <f t="shared" si="79"/>
        <v>270.73</v>
      </c>
      <c r="N494" s="53" t="s">
        <v>3</v>
      </c>
      <c r="O494" s="50" t="s">
        <v>3595</v>
      </c>
      <c r="P494" s="53" t="s">
        <v>137</v>
      </c>
      <c r="Q494" s="1292">
        <v>2027</v>
      </c>
      <c r="R494" s="53">
        <v>2305</v>
      </c>
      <c r="S494" s="53" t="s">
        <v>121</v>
      </c>
      <c r="AA494" s="78">
        <f t="shared" si="80"/>
        <v>0</v>
      </c>
      <c r="AG494" s="78"/>
      <c r="AN494" s="53">
        <v>321</v>
      </c>
      <c r="AO494" s="53" t="s">
        <v>3754</v>
      </c>
      <c r="AP494" s="53">
        <v>1</v>
      </c>
      <c r="AR494" s="264" t="str">
        <f ca="1">IF(LEN(Q494)=4,IF(Q494&lt;YEAR(NOW()),_xlfn.CONCAT(IF(LOWER(Setting!rng_language)="english","Expired ","Expiré "),Q494),""),"")</f>
        <v/>
      </c>
      <c r="AT494" s="53" t="b">
        <f>ISNUMBER(MATCH(IF(LEN('USER INPUT SHEET'!rng_province)&gt;0,'USER INPUT SHEET'!rng_province,"Canada"),$AU494:$BD494,0))</f>
        <v>0</v>
      </c>
      <c r="AU494" s="1286" t="s">
        <v>1209</v>
      </c>
      <c r="AV494" s="1286" t="s">
        <v>1209</v>
      </c>
      <c r="AW494" s="1286"/>
      <c r="AX494" s="1286"/>
      <c r="AY494" s="1286"/>
      <c r="AZ494" s="1286"/>
      <c r="BA494" s="1286"/>
      <c r="BB494" s="1286"/>
      <c r="BC494" s="1286"/>
      <c r="BD494" s="1286"/>
    </row>
    <row r="495" spans="1:56" ht="15.75" customHeight="1" x14ac:dyDescent="0.3">
      <c r="A495" s="50" t="str">
        <f t="shared" si="78"/>
        <v xml:space="preserve">Concrete - 25 MPa, 10% FA, GU / MRMCA / Can. Manitoba Avg. / </v>
      </c>
      <c r="B495" s="53" t="s">
        <v>3549</v>
      </c>
      <c r="C495" s="53" t="s">
        <v>3593</v>
      </c>
      <c r="D495" s="53" t="s">
        <v>3594</v>
      </c>
      <c r="H495" s="50" t="s">
        <v>3548</v>
      </c>
      <c r="I495" s="53" t="s">
        <v>3545</v>
      </c>
      <c r="J495" s="358">
        <v>44983</v>
      </c>
      <c r="K495" s="53">
        <v>249.17</v>
      </c>
      <c r="L495" s="53" t="s">
        <v>3</v>
      </c>
      <c r="M495" s="67">
        <f t="shared" si="79"/>
        <v>249.17</v>
      </c>
      <c r="N495" s="53" t="s">
        <v>3</v>
      </c>
      <c r="O495" s="50" t="s">
        <v>3595</v>
      </c>
      <c r="P495" s="53" t="s">
        <v>137</v>
      </c>
      <c r="Q495" s="1292">
        <v>2027</v>
      </c>
      <c r="R495" s="53">
        <v>2305</v>
      </c>
      <c r="S495" s="53" t="s">
        <v>121</v>
      </c>
      <c r="AA495" s="78">
        <f t="shared" si="80"/>
        <v>0</v>
      </c>
      <c r="AG495" s="78"/>
      <c r="AN495" s="53">
        <v>322</v>
      </c>
      <c r="AO495" s="53" t="s">
        <v>3754</v>
      </c>
      <c r="AP495" s="53">
        <v>2</v>
      </c>
      <c r="AR495" s="264" t="str">
        <f ca="1">IF(LEN(Q495)=4,IF(Q495&lt;YEAR(NOW()),_xlfn.CONCAT(IF(LOWER(Setting!rng_language)="english","Expired ","Expiré "),Q495),""),"")</f>
        <v/>
      </c>
      <c r="AT495" s="53" t="b">
        <f>ISNUMBER(MATCH(IF(LEN('USER INPUT SHEET'!rng_province)&gt;0,'USER INPUT SHEET'!rng_province,"Canada"),$AU495:$BD495,0))</f>
        <v>0</v>
      </c>
      <c r="AU495" s="1286" t="s">
        <v>1209</v>
      </c>
      <c r="AV495" s="1286" t="s">
        <v>1209</v>
      </c>
      <c r="AW495" s="1286"/>
      <c r="AX495" s="1286"/>
      <c r="AY495" s="1286"/>
      <c r="AZ495" s="1286"/>
      <c r="BA495" s="1286"/>
      <c r="BB495" s="1286"/>
      <c r="BC495" s="1286"/>
      <c r="BD495" s="1286"/>
    </row>
    <row r="496" spans="1:56" ht="15.75" customHeight="1" x14ac:dyDescent="0.3">
      <c r="A496" s="50" t="str">
        <f t="shared" si="78"/>
        <v xml:space="preserve">Concrete - 25 MPa, 20% FA, GU / MRMCA / Can. Manitoba Avg. / </v>
      </c>
      <c r="B496" s="53" t="s">
        <v>3551</v>
      </c>
      <c r="C496" s="53" t="s">
        <v>3593</v>
      </c>
      <c r="D496" s="53" t="s">
        <v>3594</v>
      </c>
      <c r="H496" s="50" t="s">
        <v>3548</v>
      </c>
      <c r="I496" s="53" t="s">
        <v>3545</v>
      </c>
      <c r="J496" s="358">
        <v>44983</v>
      </c>
      <c r="K496" s="53">
        <v>226.64</v>
      </c>
      <c r="L496" s="53" t="s">
        <v>3</v>
      </c>
      <c r="M496" s="67">
        <f t="shared" si="79"/>
        <v>226.64</v>
      </c>
      <c r="N496" s="53" t="s">
        <v>3</v>
      </c>
      <c r="O496" s="50" t="s">
        <v>3595</v>
      </c>
      <c r="P496" s="53" t="s">
        <v>137</v>
      </c>
      <c r="Q496" s="1292">
        <v>2027</v>
      </c>
      <c r="R496" s="53">
        <v>2305</v>
      </c>
      <c r="S496" s="53" t="s">
        <v>121</v>
      </c>
      <c r="AA496" s="78">
        <f t="shared" si="80"/>
        <v>0</v>
      </c>
      <c r="AG496" s="78"/>
      <c r="AN496" s="53">
        <v>323</v>
      </c>
      <c r="AO496" s="53" t="s">
        <v>3754</v>
      </c>
      <c r="AP496" s="53">
        <v>3</v>
      </c>
      <c r="AR496" s="264" t="str">
        <f ca="1">IF(LEN(Q496)=4,IF(Q496&lt;YEAR(NOW()),_xlfn.CONCAT(IF(LOWER(Setting!rng_language)="english","Expired ","Expiré "),Q496),""),"")</f>
        <v/>
      </c>
      <c r="AT496" s="53" t="b">
        <f>ISNUMBER(MATCH(IF(LEN('USER INPUT SHEET'!rng_province)&gt;0,'USER INPUT SHEET'!rng_province,"Canada"),$AU496:$BD496,0))</f>
        <v>0</v>
      </c>
      <c r="AU496" s="1286" t="s">
        <v>1209</v>
      </c>
      <c r="AV496" s="1286" t="s">
        <v>1209</v>
      </c>
      <c r="AW496" s="1286"/>
      <c r="AX496" s="1286"/>
      <c r="AY496" s="1286"/>
      <c r="AZ496" s="1286"/>
      <c r="BA496" s="1286"/>
      <c r="BB496" s="1286"/>
      <c r="BC496" s="1286"/>
      <c r="BD496" s="1286"/>
    </row>
    <row r="497" spans="1:56" ht="15.75" customHeight="1" x14ac:dyDescent="0.3">
      <c r="A497" s="50" t="str">
        <f t="shared" si="78"/>
        <v xml:space="preserve">Concrete - 25 MPa, 30% FA, GU / MRMCA / Can. Manitoba Avg. / </v>
      </c>
      <c r="B497" s="53" t="s">
        <v>3553</v>
      </c>
      <c r="C497" s="53" t="s">
        <v>3593</v>
      </c>
      <c r="D497" s="53" t="s">
        <v>3594</v>
      </c>
      <c r="H497" s="50" t="s">
        <v>3548</v>
      </c>
      <c r="I497" s="53" t="s">
        <v>3545</v>
      </c>
      <c r="J497" s="358">
        <v>44983</v>
      </c>
      <c r="K497" s="53">
        <v>205.07</v>
      </c>
      <c r="L497" s="53" t="s">
        <v>3</v>
      </c>
      <c r="M497" s="67">
        <f t="shared" si="79"/>
        <v>205.07</v>
      </c>
      <c r="N497" s="53" t="s">
        <v>3</v>
      </c>
      <c r="O497" s="50" t="s">
        <v>3595</v>
      </c>
      <c r="P497" s="53" t="s">
        <v>137</v>
      </c>
      <c r="Q497" s="1292">
        <v>2027</v>
      </c>
      <c r="R497" s="53">
        <v>2305</v>
      </c>
      <c r="S497" s="53" t="s">
        <v>121</v>
      </c>
      <c r="AA497" s="78">
        <f t="shared" si="80"/>
        <v>0</v>
      </c>
      <c r="AG497" s="78"/>
      <c r="AN497" s="53">
        <v>324</v>
      </c>
      <c r="AO497" s="53" t="s">
        <v>3754</v>
      </c>
      <c r="AP497" s="53">
        <v>4</v>
      </c>
      <c r="AR497" s="264" t="str">
        <f ca="1">IF(LEN(Q497)=4,IF(Q497&lt;YEAR(NOW()),_xlfn.CONCAT(IF(LOWER(Setting!rng_language)="english","Expired ","Expiré "),Q497),""),"")</f>
        <v/>
      </c>
      <c r="AT497" s="53" t="b">
        <f>ISNUMBER(MATCH(IF(LEN('USER INPUT SHEET'!rng_province)&gt;0,'USER INPUT SHEET'!rng_province,"Canada"),$AU497:$BD497,0))</f>
        <v>0</v>
      </c>
      <c r="AU497" s="1286" t="s">
        <v>1209</v>
      </c>
      <c r="AV497" s="1286" t="s">
        <v>1209</v>
      </c>
      <c r="AW497" s="1286"/>
      <c r="AX497" s="1286"/>
      <c r="AY497" s="1286"/>
      <c r="AZ497" s="1286"/>
      <c r="BA497" s="1286"/>
      <c r="BB497" s="1286"/>
      <c r="BC497" s="1286"/>
      <c r="BD497" s="1286"/>
    </row>
    <row r="498" spans="1:56" ht="15.75" customHeight="1" x14ac:dyDescent="0.3">
      <c r="A498" s="50" t="str">
        <f t="shared" si="78"/>
        <v xml:space="preserve">Concrete - 25 MPa, 40% FA, GU / MRMCA / Can. Manitoba Avg. / </v>
      </c>
      <c r="B498" s="53" t="s">
        <v>3590</v>
      </c>
      <c r="C498" s="53" t="s">
        <v>3593</v>
      </c>
      <c r="D498" s="53" t="s">
        <v>3594</v>
      </c>
      <c r="H498" s="50" t="s">
        <v>3548</v>
      </c>
      <c r="I498" s="53" t="s">
        <v>3545</v>
      </c>
      <c r="J498" s="358">
        <v>44983</v>
      </c>
      <c r="K498" s="53">
        <v>182.54</v>
      </c>
      <c r="L498" s="53" t="s">
        <v>3</v>
      </c>
      <c r="M498" s="67">
        <f t="shared" si="79"/>
        <v>182.54</v>
      </c>
      <c r="N498" s="53" t="s">
        <v>3</v>
      </c>
      <c r="O498" s="50" t="s">
        <v>3595</v>
      </c>
      <c r="P498" s="53" t="s">
        <v>137</v>
      </c>
      <c r="Q498" s="1292">
        <v>2027</v>
      </c>
      <c r="R498" s="53">
        <v>2305</v>
      </c>
      <c r="S498" s="53" t="s">
        <v>121</v>
      </c>
      <c r="AA498" s="78">
        <f t="shared" si="80"/>
        <v>0</v>
      </c>
      <c r="AG498" s="78"/>
      <c r="AN498" s="53">
        <v>325</v>
      </c>
      <c r="AO498" s="53" t="s">
        <v>3754</v>
      </c>
      <c r="AP498" s="53">
        <v>5</v>
      </c>
      <c r="AR498" s="264" t="str">
        <f ca="1">IF(LEN(Q498)=4,IF(Q498&lt;YEAR(NOW()),_xlfn.CONCAT(IF(LOWER(Setting!rng_language)="english","Expired ","Expiré "),Q498),""),"")</f>
        <v/>
      </c>
      <c r="AT498" s="53" t="b">
        <f>ISNUMBER(MATCH(IF(LEN('USER INPUT SHEET'!rng_province)&gt;0,'USER INPUT SHEET'!rng_province,"Canada"),$AU498:$BD498,0))</f>
        <v>0</v>
      </c>
      <c r="AU498" s="1286" t="s">
        <v>1209</v>
      </c>
      <c r="AV498" s="1286" t="s">
        <v>1209</v>
      </c>
      <c r="AW498" s="1286"/>
      <c r="AX498" s="1286"/>
      <c r="AY498" s="1286"/>
      <c r="AZ498" s="1286"/>
      <c r="BA498" s="1286"/>
      <c r="BB498" s="1286"/>
      <c r="BC498" s="1286"/>
      <c r="BD498" s="1286"/>
    </row>
    <row r="499" spans="1:56" ht="15.75" customHeight="1" x14ac:dyDescent="0.3">
      <c r="A499" s="50" t="str">
        <f t="shared" si="78"/>
        <v xml:space="preserve">Concrete - 30 MPa, GU / MRMCA / Can. Manitoba Avg. / </v>
      </c>
      <c r="B499" s="53" t="s">
        <v>3577</v>
      </c>
      <c r="C499" s="53" t="s">
        <v>3593</v>
      </c>
      <c r="D499" s="53" t="s">
        <v>3594</v>
      </c>
      <c r="H499" s="50" t="s">
        <v>3548</v>
      </c>
      <c r="I499" s="53" t="s">
        <v>3545</v>
      </c>
      <c r="J499" s="358">
        <v>44983</v>
      </c>
      <c r="K499" s="53">
        <v>298.23</v>
      </c>
      <c r="L499" s="53" t="s">
        <v>3</v>
      </c>
      <c r="M499" s="67">
        <f t="shared" si="79"/>
        <v>298.23</v>
      </c>
      <c r="N499" s="53" t="s">
        <v>3</v>
      </c>
      <c r="O499" s="50" t="s">
        <v>3595</v>
      </c>
      <c r="P499" s="53" t="s">
        <v>137</v>
      </c>
      <c r="Q499" s="1292">
        <v>2027</v>
      </c>
      <c r="R499" s="53">
        <v>2305</v>
      </c>
      <c r="S499" s="53" t="s">
        <v>121</v>
      </c>
      <c r="AA499" s="78">
        <f t="shared" si="80"/>
        <v>0</v>
      </c>
      <c r="AG499" s="78"/>
      <c r="AN499" s="53">
        <v>326</v>
      </c>
      <c r="AO499" s="53" t="s">
        <v>3755</v>
      </c>
      <c r="AP499" s="53">
        <v>1</v>
      </c>
      <c r="AR499" s="264" t="str">
        <f ca="1">IF(LEN(Q499)=4,IF(Q499&lt;YEAR(NOW()),_xlfn.CONCAT(IF(LOWER(Setting!rng_language)="english","Expired ","Expiré "),Q499),""),"")</f>
        <v/>
      </c>
      <c r="AT499" s="53" t="b">
        <f>ISNUMBER(MATCH(IF(LEN('USER INPUT SHEET'!rng_province)&gt;0,'USER INPUT SHEET'!rng_province,"Canada"),$AU499:$BD499,0))</f>
        <v>0</v>
      </c>
      <c r="AU499" s="1286" t="s">
        <v>1209</v>
      </c>
      <c r="AV499" s="1286" t="s">
        <v>1209</v>
      </c>
      <c r="AW499" s="1286"/>
      <c r="AX499" s="1286"/>
      <c r="AY499" s="1286"/>
      <c r="AZ499" s="1286"/>
      <c r="BA499" s="1286"/>
      <c r="BB499" s="1286"/>
      <c r="BC499" s="1286"/>
      <c r="BD499" s="1286"/>
    </row>
    <row r="500" spans="1:56" ht="15.75" customHeight="1" x14ac:dyDescent="0.3">
      <c r="A500" s="50" t="str">
        <f t="shared" si="78"/>
        <v xml:space="preserve">Concrete - 30 MPa, 10% FA, GU / MRMCA / Can. Manitoba Avg. / </v>
      </c>
      <c r="B500" s="53" t="s">
        <v>3556</v>
      </c>
      <c r="C500" s="53" t="s">
        <v>3593</v>
      </c>
      <c r="D500" s="53" t="s">
        <v>3594</v>
      </c>
      <c r="H500" s="50" t="s">
        <v>3548</v>
      </c>
      <c r="I500" s="53" t="s">
        <v>3545</v>
      </c>
      <c r="J500" s="358">
        <v>44983</v>
      </c>
      <c r="K500" s="53">
        <v>273.77</v>
      </c>
      <c r="L500" s="53" t="s">
        <v>3</v>
      </c>
      <c r="M500" s="67">
        <f t="shared" si="79"/>
        <v>273.77</v>
      </c>
      <c r="N500" s="53" t="s">
        <v>3</v>
      </c>
      <c r="O500" s="50" t="s">
        <v>3595</v>
      </c>
      <c r="P500" s="53" t="s">
        <v>137</v>
      </c>
      <c r="Q500" s="1292">
        <v>2027</v>
      </c>
      <c r="R500" s="53">
        <v>2305</v>
      </c>
      <c r="S500" s="53" t="s">
        <v>121</v>
      </c>
      <c r="AA500" s="78">
        <f t="shared" si="80"/>
        <v>0</v>
      </c>
      <c r="AG500" s="78"/>
      <c r="AN500" s="53">
        <v>327</v>
      </c>
      <c r="AO500" s="53" t="s">
        <v>3755</v>
      </c>
      <c r="AP500" s="53">
        <v>2</v>
      </c>
      <c r="AR500" s="264" t="str">
        <f ca="1">IF(LEN(Q500)=4,IF(Q500&lt;YEAR(NOW()),_xlfn.CONCAT(IF(LOWER(Setting!rng_language)="english","Expired ","Expiré "),Q500),""),"")</f>
        <v/>
      </c>
      <c r="AT500" s="53" t="b">
        <f>ISNUMBER(MATCH(IF(LEN('USER INPUT SHEET'!rng_province)&gt;0,'USER INPUT SHEET'!rng_province,"Canada"),$AU500:$BD500,0))</f>
        <v>0</v>
      </c>
      <c r="AU500" s="1286" t="s">
        <v>1209</v>
      </c>
      <c r="AV500" s="1286" t="s">
        <v>1209</v>
      </c>
      <c r="AW500" s="1286"/>
      <c r="AX500" s="1286"/>
      <c r="AY500" s="1286"/>
      <c r="AZ500" s="1286"/>
      <c r="BA500" s="1286"/>
      <c r="BB500" s="1286"/>
      <c r="BC500" s="1286"/>
      <c r="BD500" s="1286"/>
    </row>
    <row r="501" spans="1:56" ht="15.75" customHeight="1" x14ac:dyDescent="0.3">
      <c r="A501" s="50" t="str">
        <f t="shared" si="78"/>
        <v xml:space="preserve">Concrete - 30 MPa, 20% FA, GU / MRMCA / Can. Manitoba Avg. / </v>
      </c>
      <c r="B501" s="53" t="s">
        <v>3558</v>
      </c>
      <c r="C501" s="53" t="s">
        <v>3593</v>
      </c>
      <c r="D501" s="53" t="s">
        <v>3594</v>
      </c>
      <c r="H501" s="50" t="s">
        <v>3548</v>
      </c>
      <c r="I501" s="53" t="s">
        <v>3545</v>
      </c>
      <c r="J501" s="358">
        <v>44983</v>
      </c>
      <c r="K501" s="53">
        <v>249.23</v>
      </c>
      <c r="L501" s="53" t="s">
        <v>3</v>
      </c>
      <c r="M501" s="67">
        <f t="shared" si="79"/>
        <v>249.23</v>
      </c>
      <c r="N501" s="53" t="s">
        <v>3</v>
      </c>
      <c r="O501" s="50" t="s">
        <v>3595</v>
      </c>
      <c r="P501" s="53" t="s">
        <v>137</v>
      </c>
      <c r="Q501" s="1292">
        <v>2027</v>
      </c>
      <c r="R501" s="53">
        <v>2305</v>
      </c>
      <c r="S501" s="53" t="s">
        <v>121</v>
      </c>
      <c r="AA501" s="78">
        <f t="shared" si="80"/>
        <v>0</v>
      </c>
      <c r="AG501" s="78"/>
      <c r="AN501" s="53">
        <v>328</v>
      </c>
      <c r="AO501" s="53" t="s">
        <v>3755</v>
      </c>
      <c r="AP501" s="53">
        <v>3</v>
      </c>
      <c r="AR501" s="264" t="str">
        <f ca="1">IF(LEN(Q501)=4,IF(Q501&lt;YEAR(NOW()),_xlfn.CONCAT(IF(LOWER(Setting!rng_language)="english","Expired ","Expiré "),Q501),""),"")</f>
        <v/>
      </c>
      <c r="AT501" s="53" t="b">
        <f>ISNUMBER(MATCH(IF(LEN('USER INPUT SHEET'!rng_province)&gt;0,'USER INPUT SHEET'!rng_province,"Canada"),$AU501:$BD501,0))</f>
        <v>0</v>
      </c>
      <c r="AU501" s="1286" t="s">
        <v>1209</v>
      </c>
      <c r="AV501" s="1286" t="s">
        <v>1209</v>
      </c>
      <c r="AW501" s="1286"/>
      <c r="AX501" s="1286"/>
      <c r="AY501" s="1286"/>
      <c r="AZ501" s="1286"/>
      <c r="BA501" s="1286"/>
      <c r="BB501" s="1286"/>
      <c r="BC501" s="1286"/>
      <c r="BD501" s="1286"/>
    </row>
    <row r="502" spans="1:56" ht="15.75" customHeight="1" x14ac:dyDescent="0.3">
      <c r="A502" s="50" t="str">
        <f t="shared" si="78"/>
        <v xml:space="preserve">Concrete - 30 MPa, 30% FA, GU / MRMCA / Can. Manitoba Avg. / </v>
      </c>
      <c r="B502" s="53" t="s">
        <v>3560</v>
      </c>
      <c r="C502" s="53" t="s">
        <v>3593</v>
      </c>
      <c r="D502" s="53" t="s">
        <v>3594</v>
      </c>
      <c r="H502" s="50" t="s">
        <v>3548</v>
      </c>
      <c r="I502" s="53" t="s">
        <v>3545</v>
      </c>
      <c r="J502" s="358">
        <v>44983</v>
      </c>
      <c r="K502" s="53">
        <v>224.77</v>
      </c>
      <c r="L502" s="53" t="s">
        <v>3</v>
      </c>
      <c r="M502" s="67">
        <f t="shared" si="79"/>
        <v>224.77</v>
      </c>
      <c r="N502" s="53" t="s">
        <v>3</v>
      </c>
      <c r="O502" s="50" t="s">
        <v>3595</v>
      </c>
      <c r="P502" s="53" t="s">
        <v>137</v>
      </c>
      <c r="Q502" s="1292">
        <v>2027</v>
      </c>
      <c r="R502" s="53">
        <v>2305</v>
      </c>
      <c r="S502" s="53" t="s">
        <v>121</v>
      </c>
      <c r="AA502" s="78">
        <f t="shared" si="80"/>
        <v>0</v>
      </c>
      <c r="AG502" s="78"/>
      <c r="AN502" s="53">
        <v>329</v>
      </c>
      <c r="AO502" s="53" t="s">
        <v>3755</v>
      </c>
      <c r="AP502" s="53">
        <v>4</v>
      </c>
      <c r="AR502" s="264" t="str">
        <f ca="1">IF(LEN(Q502)=4,IF(Q502&lt;YEAR(NOW()),_xlfn.CONCAT(IF(LOWER(Setting!rng_language)="english","Expired ","Expiré "),Q502),""),"")</f>
        <v/>
      </c>
      <c r="AT502" s="53" t="b">
        <f>ISNUMBER(MATCH(IF(LEN('USER INPUT SHEET'!rng_province)&gt;0,'USER INPUT SHEET'!rng_province,"Canada"),$AU502:$BD502,0))</f>
        <v>0</v>
      </c>
      <c r="AU502" s="1286" t="s">
        <v>1209</v>
      </c>
      <c r="AV502" s="1286" t="s">
        <v>1209</v>
      </c>
      <c r="AW502" s="1286"/>
      <c r="AX502" s="1286"/>
      <c r="AY502" s="1286"/>
      <c r="AZ502" s="1286"/>
      <c r="BA502" s="1286"/>
      <c r="BB502" s="1286"/>
      <c r="BC502" s="1286"/>
      <c r="BD502" s="1286"/>
    </row>
    <row r="503" spans="1:56" ht="15.75" customHeight="1" x14ac:dyDescent="0.3">
      <c r="A503" s="50" t="str">
        <f t="shared" si="78"/>
        <v xml:space="preserve">Concrete - 30 MPa, 40% FA, GU / MRMCA / Can. Manitoba Avg. / </v>
      </c>
      <c r="B503" s="53" t="s">
        <v>3591</v>
      </c>
      <c r="C503" s="53" t="s">
        <v>3593</v>
      </c>
      <c r="D503" s="53" t="s">
        <v>3594</v>
      </c>
      <c r="H503" s="50" t="s">
        <v>3548</v>
      </c>
      <c r="I503" s="53" t="s">
        <v>3545</v>
      </c>
      <c r="J503" s="358">
        <v>44983</v>
      </c>
      <c r="K503" s="53">
        <v>200.24</v>
      </c>
      <c r="L503" s="53" t="s">
        <v>3</v>
      </c>
      <c r="M503" s="67">
        <f t="shared" si="79"/>
        <v>200.24</v>
      </c>
      <c r="N503" s="53" t="s">
        <v>3</v>
      </c>
      <c r="O503" s="50" t="s">
        <v>3595</v>
      </c>
      <c r="P503" s="53" t="s">
        <v>137</v>
      </c>
      <c r="Q503" s="1292">
        <v>2027</v>
      </c>
      <c r="R503" s="53">
        <v>2305</v>
      </c>
      <c r="S503" s="53" t="s">
        <v>121</v>
      </c>
      <c r="AA503" s="78">
        <f t="shared" si="80"/>
        <v>0</v>
      </c>
      <c r="AG503" s="78"/>
      <c r="AN503" s="53">
        <v>330</v>
      </c>
      <c r="AO503" s="53" t="s">
        <v>3755</v>
      </c>
      <c r="AP503" s="53">
        <v>5</v>
      </c>
      <c r="AR503" s="264" t="str">
        <f ca="1">IF(LEN(Q503)=4,IF(Q503&lt;YEAR(NOW()),_xlfn.CONCAT(IF(LOWER(Setting!rng_language)="english","Expired ","Expiré "),Q503),""),"")</f>
        <v/>
      </c>
      <c r="AT503" s="53" t="b">
        <f>ISNUMBER(MATCH(IF(LEN('USER INPUT SHEET'!rng_province)&gt;0,'USER INPUT SHEET'!rng_province,"Canada"),$AU503:$BD503,0))</f>
        <v>0</v>
      </c>
      <c r="AU503" s="1286" t="s">
        <v>1209</v>
      </c>
      <c r="AV503" s="1286" t="s">
        <v>1209</v>
      </c>
      <c r="AW503" s="1286"/>
      <c r="AX503" s="1286"/>
      <c r="AY503" s="1286"/>
      <c r="AZ503" s="1286"/>
      <c r="BA503" s="1286"/>
      <c r="BB503" s="1286"/>
      <c r="BC503" s="1286"/>
      <c r="BD503" s="1286"/>
    </row>
    <row r="504" spans="1:56" ht="15.75" customHeight="1" x14ac:dyDescent="0.3">
      <c r="A504" s="50" t="str">
        <f t="shared" si="78"/>
        <v xml:space="preserve">Concrete - 35 MPa, GU / MRMCA / Can. Manitoba Avg. / </v>
      </c>
      <c r="B504" s="53" t="s">
        <v>3582</v>
      </c>
      <c r="C504" s="53" t="s">
        <v>3593</v>
      </c>
      <c r="D504" s="53" t="s">
        <v>3594</v>
      </c>
      <c r="H504" s="50" t="s">
        <v>3548</v>
      </c>
      <c r="I504" s="53" t="s">
        <v>3545</v>
      </c>
      <c r="J504" s="358">
        <v>44983</v>
      </c>
      <c r="K504" s="53">
        <v>339.35</v>
      </c>
      <c r="L504" s="53" t="s">
        <v>3</v>
      </c>
      <c r="M504" s="67">
        <f t="shared" si="79"/>
        <v>339.35</v>
      </c>
      <c r="N504" s="53" t="s">
        <v>3</v>
      </c>
      <c r="O504" s="50" t="s">
        <v>3595</v>
      </c>
      <c r="P504" s="53" t="s">
        <v>137</v>
      </c>
      <c r="Q504" s="1292">
        <v>2027</v>
      </c>
      <c r="R504" s="53">
        <v>2305</v>
      </c>
      <c r="S504" s="53" t="s">
        <v>121</v>
      </c>
      <c r="AA504" s="78">
        <f t="shared" si="80"/>
        <v>0</v>
      </c>
      <c r="AG504" s="78"/>
      <c r="AN504" s="53">
        <v>331</v>
      </c>
      <c r="AO504" s="53" t="s">
        <v>3756</v>
      </c>
      <c r="AP504" s="53">
        <v>1</v>
      </c>
      <c r="AR504" s="264" t="str">
        <f ca="1">IF(LEN(Q504)=4,IF(Q504&lt;YEAR(NOW()),_xlfn.CONCAT(IF(LOWER(Setting!rng_language)="english","Expired ","Expiré "),Q504),""),"")</f>
        <v/>
      </c>
      <c r="AT504" s="53" t="b">
        <f>ISNUMBER(MATCH(IF(LEN('USER INPUT SHEET'!rng_province)&gt;0,'USER INPUT SHEET'!rng_province,"Canada"),$AU504:$BD504,0))</f>
        <v>0</v>
      </c>
      <c r="AU504" s="1286" t="s">
        <v>1209</v>
      </c>
      <c r="AV504" s="1286" t="s">
        <v>1209</v>
      </c>
      <c r="AW504" s="1286"/>
      <c r="AX504" s="1286"/>
      <c r="AY504" s="1286"/>
      <c r="AZ504" s="1286"/>
      <c r="BA504" s="1286"/>
      <c r="BB504" s="1286"/>
      <c r="BC504" s="1286"/>
      <c r="BD504" s="1286"/>
    </row>
    <row r="505" spans="1:56" ht="15.75" customHeight="1" x14ac:dyDescent="0.3">
      <c r="A505" s="50" t="str">
        <f t="shared" si="78"/>
        <v xml:space="preserve">Concrete - 35 MPa, 10% FA, GU / MRMCA / Can. Manitoba Avg. / </v>
      </c>
      <c r="B505" s="53" t="s">
        <v>3563</v>
      </c>
      <c r="C505" s="53" t="s">
        <v>3593</v>
      </c>
      <c r="D505" s="53" t="s">
        <v>3594</v>
      </c>
      <c r="H505" s="50" t="s">
        <v>3548</v>
      </c>
      <c r="I505" s="53" t="s">
        <v>3545</v>
      </c>
      <c r="J505" s="358">
        <v>44983</v>
      </c>
      <c r="K505" s="53">
        <v>311.66000000000003</v>
      </c>
      <c r="L505" s="53" t="s">
        <v>3</v>
      </c>
      <c r="M505" s="67">
        <f t="shared" si="79"/>
        <v>311.66000000000003</v>
      </c>
      <c r="N505" s="53" t="s">
        <v>3</v>
      </c>
      <c r="O505" s="50" t="s">
        <v>3595</v>
      </c>
      <c r="P505" s="53" t="s">
        <v>137</v>
      </c>
      <c r="Q505" s="1292">
        <v>2027</v>
      </c>
      <c r="R505" s="53">
        <v>2305</v>
      </c>
      <c r="S505" s="53" t="s">
        <v>121</v>
      </c>
      <c r="AA505" s="78">
        <f t="shared" si="80"/>
        <v>0</v>
      </c>
      <c r="AG505" s="78"/>
      <c r="AN505" s="53">
        <v>332</v>
      </c>
      <c r="AO505" s="53" t="s">
        <v>3756</v>
      </c>
      <c r="AP505" s="53">
        <v>2</v>
      </c>
      <c r="AR505" s="264" t="str">
        <f ca="1">IF(LEN(Q505)=4,IF(Q505&lt;YEAR(NOW()),_xlfn.CONCAT(IF(LOWER(Setting!rng_language)="english","Expired ","Expiré "),Q505),""),"")</f>
        <v/>
      </c>
      <c r="AT505" s="53" t="b">
        <f>ISNUMBER(MATCH(IF(LEN('USER INPUT SHEET'!rng_province)&gt;0,'USER INPUT SHEET'!rng_province,"Canada"),$AU505:$BD505,0))</f>
        <v>0</v>
      </c>
      <c r="AU505" s="1286" t="s">
        <v>1209</v>
      </c>
      <c r="AV505" s="1286" t="s">
        <v>1209</v>
      </c>
      <c r="AW505" s="1286"/>
      <c r="AX505" s="1286"/>
      <c r="AY505" s="1286"/>
      <c r="AZ505" s="1286"/>
      <c r="BA505" s="1286"/>
      <c r="BB505" s="1286"/>
      <c r="BC505" s="1286"/>
      <c r="BD505" s="1286"/>
    </row>
    <row r="506" spans="1:56" ht="15.75" customHeight="1" x14ac:dyDescent="0.3">
      <c r="A506" s="50" t="str">
        <f t="shared" si="78"/>
        <v xml:space="preserve">Concrete - 35 MPa, 20% FA, GU / MRMCA / Can. Manitoba Avg. / </v>
      </c>
      <c r="B506" s="53" t="s">
        <v>3565</v>
      </c>
      <c r="C506" s="53" t="s">
        <v>3593</v>
      </c>
      <c r="D506" s="53" t="s">
        <v>3594</v>
      </c>
      <c r="H506" s="50" t="s">
        <v>3548</v>
      </c>
      <c r="I506" s="53" t="s">
        <v>3545</v>
      </c>
      <c r="J506" s="358">
        <v>44983</v>
      </c>
      <c r="K506" s="53">
        <v>283</v>
      </c>
      <c r="L506" s="53" t="s">
        <v>3</v>
      </c>
      <c r="M506" s="67">
        <f t="shared" si="79"/>
        <v>283</v>
      </c>
      <c r="N506" s="53" t="s">
        <v>3</v>
      </c>
      <c r="O506" s="50" t="s">
        <v>3595</v>
      </c>
      <c r="P506" s="53" t="s">
        <v>137</v>
      </c>
      <c r="Q506" s="1292">
        <v>2027</v>
      </c>
      <c r="R506" s="53">
        <v>2305</v>
      </c>
      <c r="S506" s="53" t="s">
        <v>121</v>
      </c>
      <c r="AA506" s="78">
        <f t="shared" si="80"/>
        <v>0</v>
      </c>
      <c r="AG506" s="78"/>
      <c r="AN506" s="53">
        <v>333</v>
      </c>
      <c r="AO506" s="53" t="s">
        <v>3756</v>
      </c>
      <c r="AP506" s="53">
        <v>3</v>
      </c>
      <c r="AR506" s="264" t="str">
        <f ca="1">IF(LEN(Q506)=4,IF(Q506&lt;YEAR(NOW()),_xlfn.CONCAT(IF(LOWER(Setting!rng_language)="english","Expired ","Expiré "),Q506),""),"")</f>
        <v/>
      </c>
      <c r="AT506" s="53" t="b">
        <f>ISNUMBER(MATCH(IF(LEN('USER INPUT SHEET'!rng_province)&gt;0,'USER INPUT SHEET'!rng_province,"Canada"),$AU506:$BD506,0))</f>
        <v>0</v>
      </c>
      <c r="AU506" s="1286" t="s">
        <v>1209</v>
      </c>
      <c r="AV506" s="1286" t="s">
        <v>1209</v>
      </c>
      <c r="AW506" s="1286"/>
      <c r="AX506" s="1286"/>
      <c r="AY506" s="1286"/>
      <c r="AZ506" s="1286"/>
      <c r="BA506" s="1286"/>
      <c r="BB506" s="1286"/>
      <c r="BC506" s="1286"/>
      <c r="BD506" s="1286"/>
    </row>
    <row r="507" spans="1:56" ht="15.75" customHeight="1" x14ac:dyDescent="0.3">
      <c r="A507" s="50" t="str">
        <f t="shared" ref="A507:A570" si="81">B507&amp;" / "&amp;C507&amp;" / "&amp;D507&amp;" / "&amp;E507</f>
        <v xml:space="preserve">Concrete - 35 MPa, 30% FA, GU / MRMCA / Can. Manitoba Avg. / </v>
      </c>
      <c r="B507" s="53" t="s">
        <v>3567</v>
      </c>
      <c r="C507" s="53" t="s">
        <v>3593</v>
      </c>
      <c r="D507" s="53" t="s">
        <v>3594</v>
      </c>
      <c r="H507" s="50" t="s">
        <v>3548</v>
      </c>
      <c r="I507" s="53" t="s">
        <v>3545</v>
      </c>
      <c r="J507" s="358">
        <v>44983</v>
      </c>
      <c r="K507" s="53">
        <v>255.31</v>
      </c>
      <c r="L507" s="53" t="s">
        <v>3</v>
      </c>
      <c r="M507" s="67">
        <f t="shared" si="79"/>
        <v>255.31</v>
      </c>
      <c r="N507" s="53" t="s">
        <v>3</v>
      </c>
      <c r="O507" s="50" t="s">
        <v>3595</v>
      </c>
      <c r="P507" s="53" t="s">
        <v>137</v>
      </c>
      <c r="Q507" s="1292">
        <v>2027</v>
      </c>
      <c r="R507" s="53">
        <v>2305</v>
      </c>
      <c r="S507" s="53" t="s">
        <v>121</v>
      </c>
      <c r="AA507" s="78">
        <f t="shared" ref="AA507:AA545" si="82">_xlfn.NUMBERVALUE(IF(LEN(AG507)&gt;0,AG507,0))</f>
        <v>0</v>
      </c>
      <c r="AG507" s="78"/>
      <c r="AN507" s="53">
        <v>334</v>
      </c>
      <c r="AO507" s="53" t="s">
        <v>3756</v>
      </c>
      <c r="AP507" s="53">
        <v>4</v>
      </c>
      <c r="AR507" s="264" t="str">
        <f ca="1">IF(LEN(Q507)=4,IF(Q507&lt;YEAR(NOW()),_xlfn.CONCAT(IF(LOWER(Setting!rng_language)="english","Expired ","Expiré "),Q507),""),"")</f>
        <v/>
      </c>
      <c r="AT507" s="53" t="b">
        <f>ISNUMBER(MATCH(IF(LEN('USER INPUT SHEET'!rng_province)&gt;0,'USER INPUT SHEET'!rng_province,"Canada"),$AU507:$BD507,0))</f>
        <v>0</v>
      </c>
      <c r="AU507" s="1286" t="s">
        <v>1209</v>
      </c>
      <c r="AV507" s="1286" t="s">
        <v>1209</v>
      </c>
      <c r="AW507" s="1286"/>
      <c r="AX507" s="1286"/>
      <c r="AY507" s="1286"/>
      <c r="AZ507" s="1286"/>
      <c r="BA507" s="1286"/>
      <c r="BB507" s="1286"/>
      <c r="BC507" s="1286"/>
      <c r="BD507" s="1286"/>
    </row>
    <row r="508" spans="1:56" ht="15.75" customHeight="1" x14ac:dyDescent="0.3">
      <c r="A508" s="50" t="str">
        <f t="shared" si="81"/>
        <v xml:space="preserve">Concrete - 35 MPa, 40% FA, GU / MRMCA / Can. Manitoba Avg. / </v>
      </c>
      <c r="B508" s="53" t="s">
        <v>3592</v>
      </c>
      <c r="C508" s="53" t="s">
        <v>3593</v>
      </c>
      <c r="D508" s="53" t="s">
        <v>3594</v>
      </c>
      <c r="H508" s="50" t="s">
        <v>3548</v>
      </c>
      <c r="I508" s="53" t="s">
        <v>3545</v>
      </c>
      <c r="J508" s="358">
        <v>44983</v>
      </c>
      <c r="K508" s="53">
        <v>226.66</v>
      </c>
      <c r="L508" s="53" t="s">
        <v>3</v>
      </c>
      <c r="M508" s="67">
        <f t="shared" si="79"/>
        <v>226.66</v>
      </c>
      <c r="N508" s="53" t="s">
        <v>3</v>
      </c>
      <c r="O508" s="50" t="s">
        <v>3595</v>
      </c>
      <c r="P508" s="53" t="s">
        <v>137</v>
      </c>
      <c r="Q508" s="1292">
        <v>2027</v>
      </c>
      <c r="R508" s="53">
        <v>2305</v>
      </c>
      <c r="S508" s="53" t="s">
        <v>121</v>
      </c>
      <c r="AA508" s="78">
        <f t="shared" si="82"/>
        <v>0</v>
      </c>
      <c r="AG508" s="78"/>
      <c r="AN508" s="53">
        <v>335</v>
      </c>
      <c r="AO508" s="53" t="s">
        <v>3756</v>
      </c>
      <c r="AP508" s="53">
        <v>5</v>
      </c>
      <c r="AR508" s="264" t="str">
        <f ca="1">IF(LEN(Q508)=4,IF(Q508&lt;YEAR(NOW()),_xlfn.CONCAT(IF(LOWER(Setting!rng_language)="english","Expired ","Expiré "),Q508),""),"")</f>
        <v/>
      </c>
      <c r="AT508" s="53" t="b">
        <f>ISNUMBER(MATCH(IF(LEN('USER INPUT SHEET'!rng_province)&gt;0,'USER INPUT SHEET'!rng_province,"Canada"),$AU508:$BD508,0))</f>
        <v>0</v>
      </c>
      <c r="AU508" s="1286" t="s">
        <v>1209</v>
      </c>
      <c r="AV508" s="1286" t="s">
        <v>1209</v>
      </c>
      <c r="AW508" s="1286"/>
      <c r="AX508" s="1286"/>
      <c r="AY508" s="1286"/>
      <c r="AZ508" s="1286"/>
      <c r="BA508" s="1286"/>
      <c r="BB508" s="1286"/>
      <c r="BC508" s="1286"/>
      <c r="BD508" s="1286"/>
    </row>
    <row r="509" spans="1:56" ht="15.75" customHeight="1" x14ac:dyDescent="0.3">
      <c r="A509" s="50" t="str">
        <f t="shared" si="81"/>
        <v xml:space="preserve">Concrete - 25 MPa, GU / BCRMCA / Can. BC Avg. / </v>
      </c>
      <c r="B509" s="53" t="s">
        <v>3568</v>
      </c>
      <c r="C509" s="53" t="s">
        <v>3596</v>
      </c>
      <c r="D509" s="53" t="s">
        <v>3597</v>
      </c>
      <c r="H509" s="50" t="s">
        <v>3548</v>
      </c>
      <c r="I509" s="53" t="s">
        <v>3545</v>
      </c>
      <c r="J509" s="358">
        <v>44983</v>
      </c>
      <c r="K509" s="53">
        <v>263.94</v>
      </c>
      <c r="L509" s="53" t="s">
        <v>3</v>
      </c>
      <c r="M509" s="67">
        <f t="shared" si="79"/>
        <v>263.94</v>
      </c>
      <c r="N509" s="53" t="s">
        <v>3</v>
      </c>
      <c r="O509" s="50" t="s">
        <v>3598</v>
      </c>
      <c r="P509" s="53" t="s">
        <v>137</v>
      </c>
      <c r="Q509" s="1292">
        <v>2027</v>
      </c>
      <c r="R509" s="53">
        <v>2305</v>
      </c>
      <c r="S509" s="53" t="s">
        <v>121</v>
      </c>
      <c r="AA509" s="78">
        <f t="shared" si="82"/>
        <v>0</v>
      </c>
      <c r="AG509" s="78"/>
      <c r="AN509" s="53">
        <v>336</v>
      </c>
      <c r="AO509" s="53" t="s">
        <v>3754</v>
      </c>
      <c r="AP509" s="53">
        <v>1</v>
      </c>
      <c r="AR509" s="264" t="str">
        <f ca="1">IF(LEN(Q509)=4,IF(Q509&lt;YEAR(NOW()),_xlfn.CONCAT(IF(LOWER(Setting!rng_language)="english","Expired ","Expiré "),Q509),""),"")</f>
        <v/>
      </c>
      <c r="AT509" s="53" t="b">
        <f>ISNUMBER(MATCH(IF(LEN('USER INPUT SHEET'!rng_province)&gt;0,'USER INPUT SHEET'!rng_province,"Canada"),$AU509:$BD509,0))</f>
        <v>0</v>
      </c>
      <c r="AU509" s="1286" t="s">
        <v>1206</v>
      </c>
      <c r="AV509" s="1286" t="s">
        <v>3279</v>
      </c>
      <c r="AW509" s="1286"/>
      <c r="AX509" s="1286"/>
      <c r="AY509" s="1286"/>
      <c r="AZ509" s="1286"/>
      <c r="BA509" s="1286"/>
      <c r="BB509" s="1286"/>
      <c r="BC509" s="1286"/>
      <c r="BD509" s="1286"/>
    </row>
    <row r="510" spans="1:56" ht="15.75" customHeight="1" x14ac:dyDescent="0.3">
      <c r="A510" s="50" t="str">
        <f t="shared" si="81"/>
        <v xml:space="preserve">Concrete - 25 MPa, 15% SCM, GU / BCRMCA / Can. BC Avg. / </v>
      </c>
      <c r="B510" s="53" t="s">
        <v>3599</v>
      </c>
      <c r="C510" s="53" t="s">
        <v>3596</v>
      </c>
      <c r="D510" s="53" t="s">
        <v>3597</v>
      </c>
      <c r="H510" s="50" t="s">
        <v>3548</v>
      </c>
      <c r="I510" s="53" t="s">
        <v>3545</v>
      </c>
      <c r="J510" s="358">
        <v>44983</v>
      </c>
      <c r="K510" s="53">
        <v>234.65</v>
      </c>
      <c r="L510" s="53" t="s">
        <v>3</v>
      </c>
      <c r="M510" s="67">
        <f t="shared" si="79"/>
        <v>234.65</v>
      </c>
      <c r="N510" s="53" t="s">
        <v>3</v>
      </c>
      <c r="O510" s="50" t="s">
        <v>3598</v>
      </c>
      <c r="P510" s="53" t="s">
        <v>137</v>
      </c>
      <c r="Q510" s="1292">
        <v>2027</v>
      </c>
      <c r="R510" s="53">
        <v>2305</v>
      </c>
      <c r="S510" s="53" t="s">
        <v>121</v>
      </c>
      <c r="AA510" s="78">
        <f t="shared" si="82"/>
        <v>0</v>
      </c>
      <c r="AG510" s="78"/>
      <c r="AN510" s="53">
        <v>337</v>
      </c>
      <c r="AO510" s="53" t="s">
        <v>3754</v>
      </c>
      <c r="AP510" s="53">
        <v>2</v>
      </c>
      <c r="AR510" s="264" t="str">
        <f ca="1">IF(LEN(Q510)=4,IF(Q510&lt;YEAR(NOW()),_xlfn.CONCAT(IF(LOWER(Setting!rng_language)="english","Expired ","Expiré "),Q510),""),"")</f>
        <v/>
      </c>
      <c r="AT510" s="53" t="b">
        <f>ISNUMBER(MATCH(IF(LEN('USER INPUT SHEET'!rng_province)&gt;0,'USER INPUT SHEET'!rng_province,"Canada"),$AU510:$BD510,0))</f>
        <v>0</v>
      </c>
      <c r="AU510" s="1286" t="s">
        <v>1206</v>
      </c>
      <c r="AV510" s="1286" t="s">
        <v>3279</v>
      </c>
      <c r="AW510" s="1286"/>
      <c r="AX510" s="1286"/>
      <c r="AY510" s="1286"/>
      <c r="AZ510" s="1286"/>
      <c r="BA510" s="1286"/>
      <c r="BB510" s="1286"/>
      <c r="BC510" s="1286"/>
      <c r="BD510" s="1286"/>
    </row>
    <row r="511" spans="1:56" ht="15.75" customHeight="1" x14ac:dyDescent="0.3">
      <c r="A511" s="50" t="str">
        <f t="shared" si="81"/>
        <v xml:space="preserve">Concrete - 25 MPa, 25% SCM, GU / BCRMCA / Can. BC Avg. / </v>
      </c>
      <c r="B511" s="53" t="s">
        <v>3600</v>
      </c>
      <c r="C511" s="53" t="s">
        <v>3596</v>
      </c>
      <c r="D511" s="53" t="s">
        <v>3597</v>
      </c>
      <c r="H511" s="50" t="s">
        <v>3548</v>
      </c>
      <c r="I511" s="53" t="s">
        <v>3545</v>
      </c>
      <c r="J511" s="358">
        <v>44983</v>
      </c>
      <c r="K511" s="53">
        <v>215.66</v>
      </c>
      <c r="L511" s="53" t="s">
        <v>3</v>
      </c>
      <c r="M511" s="67">
        <f t="shared" si="79"/>
        <v>215.66</v>
      </c>
      <c r="N511" s="53" t="s">
        <v>3</v>
      </c>
      <c r="O511" s="50" t="s">
        <v>3598</v>
      </c>
      <c r="P511" s="53" t="s">
        <v>137</v>
      </c>
      <c r="Q511" s="1292">
        <v>2027</v>
      </c>
      <c r="R511" s="53">
        <v>2305</v>
      </c>
      <c r="S511" s="53" t="s">
        <v>121</v>
      </c>
      <c r="AA511" s="78">
        <f t="shared" si="82"/>
        <v>0</v>
      </c>
      <c r="AG511" s="78"/>
      <c r="AN511" s="53">
        <v>338</v>
      </c>
      <c r="AO511" s="53" t="s">
        <v>3754</v>
      </c>
      <c r="AP511" s="53">
        <v>3</v>
      </c>
      <c r="AR511" s="264" t="str">
        <f ca="1">IF(LEN(Q511)=4,IF(Q511&lt;YEAR(NOW()),_xlfn.CONCAT(IF(LOWER(Setting!rng_language)="english","Expired ","Expiré "),Q511),""),"")</f>
        <v/>
      </c>
      <c r="AT511" s="53" t="b">
        <f>ISNUMBER(MATCH(IF(LEN('USER INPUT SHEET'!rng_province)&gt;0,'USER INPUT SHEET'!rng_province,"Canada"),$AU511:$BD511,0))</f>
        <v>0</v>
      </c>
      <c r="AU511" s="1286" t="s">
        <v>1206</v>
      </c>
      <c r="AV511" s="1286" t="s">
        <v>3279</v>
      </c>
      <c r="AW511" s="1286"/>
      <c r="AX511" s="1286"/>
      <c r="AY511" s="1286"/>
      <c r="AZ511" s="1286"/>
      <c r="BA511" s="1286"/>
      <c r="BB511" s="1286"/>
      <c r="BC511" s="1286"/>
      <c r="BD511" s="1286"/>
    </row>
    <row r="512" spans="1:56" ht="15.75" customHeight="1" x14ac:dyDescent="0.3">
      <c r="A512" s="50" t="str">
        <f t="shared" si="81"/>
        <v xml:space="preserve">Concrete - 25 MPa, 40% SCM, GU / BCRMCA / Can. BC Avg. / </v>
      </c>
      <c r="B512" s="53" t="s">
        <v>3601</v>
      </c>
      <c r="C512" s="53" t="s">
        <v>3596</v>
      </c>
      <c r="D512" s="53" t="s">
        <v>3597</v>
      </c>
      <c r="H512" s="50" t="s">
        <v>3548</v>
      </c>
      <c r="I512" s="53" t="s">
        <v>3545</v>
      </c>
      <c r="J512" s="358">
        <v>44983</v>
      </c>
      <c r="K512" s="53">
        <v>186.29</v>
      </c>
      <c r="L512" s="53" t="s">
        <v>3</v>
      </c>
      <c r="M512" s="67">
        <f t="shared" si="79"/>
        <v>186.29</v>
      </c>
      <c r="N512" s="53" t="s">
        <v>3</v>
      </c>
      <c r="O512" s="50" t="s">
        <v>3598</v>
      </c>
      <c r="P512" s="53" t="s">
        <v>137</v>
      </c>
      <c r="Q512" s="1292">
        <v>2027</v>
      </c>
      <c r="R512" s="53">
        <v>2305</v>
      </c>
      <c r="S512" s="53" t="s">
        <v>121</v>
      </c>
      <c r="AA512" s="78">
        <f t="shared" si="82"/>
        <v>0</v>
      </c>
      <c r="AG512" s="78"/>
      <c r="AN512" s="53">
        <v>339</v>
      </c>
      <c r="AO512" s="53" t="s">
        <v>3754</v>
      </c>
      <c r="AP512" s="53">
        <v>4</v>
      </c>
      <c r="AR512" s="264" t="str">
        <f ca="1">IF(LEN(Q512)=4,IF(Q512&lt;YEAR(NOW()),_xlfn.CONCAT(IF(LOWER(Setting!rng_language)="english","Expired ","Expiré "),Q512),""),"")</f>
        <v/>
      </c>
      <c r="AT512" s="53" t="b">
        <f>ISNUMBER(MATCH(IF(LEN('USER INPUT SHEET'!rng_province)&gt;0,'USER INPUT SHEET'!rng_province,"Canada"),$AU512:$BD512,0))</f>
        <v>0</v>
      </c>
      <c r="AU512" s="1286" t="s">
        <v>1206</v>
      </c>
      <c r="AV512" s="1286" t="s">
        <v>3279</v>
      </c>
      <c r="AW512" s="1286"/>
      <c r="AX512" s="1286"/>
      <c r="AY512" s="1286"/>
      <c r="AZ512" s="1286"/>
      <c r="BA512" s="1286"/>
      <c r="BB512" s="1286"/>
      <c r="BC512" s="1286"/>
      <c r="BD512" s="1286"/>
    </row>
    <row r="513" spans="1:56" ht="15.75" customHeight="1" x14ac:dyDescent="0.3">
      <c r="A513" s="50" t="str">
        <f t="shared" si="81"/>
        <v xml:space="preserve">Concrete - 30 MPa, GU / BCRMCA / Can. BC Avg. / </v>
      </c>
      <c r="B513" s="53" t="s">
        <v>3577</v>
      </c>
      <c r="C513" s="53" t="s">
        <v>3596</v>
      </c>
      <c r="D513" s="53" t="s">
        <v>3597</v>
      </c>
      <c r="H513" s="50" t="s">
        <v>3548</v>
      </c>
      <c r="I513" s="53" t="s">
        <v>3545</v>
      </c>
      <c r="J513" s="358">
        <v>44983</v>
      </c>
      <c r="K513" s="53">
        <v>310.69</v>
      </c>
      <c r="L513" s="53" t="s">
        <v>3</v>
      </c>
      <c r="M513" s="67">
        <f t="shared" si="79"/>
        <v>310.69</v>
      </c>
      <c r="N513" s="53" t="s">
        <v>3</v>
      </c>
      <c r="O513" s="50" t="s">
        <v>3598</v>
      </c>
      <c r="P513" s="53" t="s">
        <v>137</v>
      </c>
      <c r="Q513" s="1292">
        <v>2027</v>
      </c>
      <c r="R513" s="53">
        <v>2305</v>
      </c>
      <c r="S513" s="53" t="s">
        <v>121</v>
      </c>
      <c r="AA513" s="78">
        <f t="shared" si="82"/>
        <v>0</v>
      </c>
      <c r="AG513" s="78"/>
      <c r="AN513" s="53">
        <v>340</v>
      </c>
      <c r="AO513" s="53" t="s">
        <v>3755</v>
      </c>
      <c r="AP513" s="53">
        <v>1</v>
      </c>
      <c r="AR513" s="264" t="str">
        <f ca="1">IF(LEN(Q513)=4,IF(Q513&lt;YEAR(NOW()),_xlfn.CONCAT(IF(LOWER(Setting!rng_language)="english","Expired ","Expiré "),Q513),""),"")</f>
        <v/>
      </c>
      <c r="AT513" s="53" t="b">
        <f>ISNUMBER(MATCH(IF(LEN('USER INPUT SHEET'!rng_province)&gt;0,'USER INPUT SHEET'!rng_province,"Canada"),$AU513:$BD513,0))</f>
        <v>0</v>
      </c>
      <c r="AU513" s="1286" t="s">
        <v>1206</v>
      </c>
      <c r="AV513" s="1286" t="s">
        <v>3279</v>
      </c>
      <c r="AW513" s="1286"/>
      <c r="AX513" s="1286"/>
      <c r="AY513" s="1286"/>
      <c r="AZ513" s="1286"/>
      <c r="BA513" s="1286"/>
      <c r="BB513" s="1286"/>
      <c r="BC513" s="1286"/>
      <c r="BD513" s="1286"/>
    </row>
    <row r="514" spans="1:56" ht="15.75" customHeight="1" x14ac:dyDescent="0.3">
      <c r="A514" s="50" t="str">
        <f t="shared" si="81"/>
        <v xml:space="preserve">Concrete - 30 MPa, 15% SCM, GU / BCRMCA / Can. BC Avg. / </v>
      </c>
      <c r="B514" s="53" t="s">
        <v>3602</v>
      </c>
      <c r="C514" s="53" t="s">
        <v>3596</v>
      </c>
      <c r="D514" s="53" t="s">
        <v>3597</v>
      </c>
      <c r="H514" s="50" t="s">
        <v>3548</v>
      </c>
      <c r="I514" s="53" t="s">
        <v>3545</v>
      </c>
      <c r="J514" s="358">
        <v>44983</v>
      </c>
      <c r="K514" s="53">
        <v>275.95999999999998</v>
      </c>
      <c r="L514" s="53" t="s">
        <v>3</v>
      </c>
      <c r="M514" s="67">
        <f t="shared" si="79"/>
        <v>275.95999999999998</v>
      </c>
      <c r="N514" s="53" t="s">
        <v>3</v>
      </c>
      <c r="O514" s="50" t="s">
        <v>3598</v>
      </c>
      <c r="P514" s="53" t="s">
        <v>137</v>
      </c>
      <c r="Q514" s="1292">
        <v>2027</v>
      </c>
      <c r="R514" s="53">
        <v>2305</v>
      </c>
      <c r="S514" s="53" t="s">
        <v>121</v>
      </c>
      <c r="AA514" s="78">
        <f t="shared" si="82"/>
        <v>0</v>
      </c>
      <c r="AG514" s="78"/>
      <c r="AN514" s="53">
        <v>341</v>
      </c>
      <c r="AO514" s="53" t="s">
        <v>3755</v>
      </c>
      <c r="AP514" s="53">
        <v>2</v>
      </c>
      <c r="AR514" s="264" t="str">
        <f ca="1">IF(LEN(Q514)=4,IF(Q514&lt;YEAR(NOW()),_xlfn.CONCAT(IF(LOWER(Setting!rng_language)="english","Expired ","Expiré "),Q514),""),"")</f>
        <v/>
      </c>
      <c r="AT514" s="53" t="b">
        <f>ISNUMBER(MATCH(IF(LEN('USER INPUT SHEET'!rng_province)&gt;0,'USER INPUT SHEET'!rng_province,"Canada"),$AU514:$BD514,0))</f>
        <v>0</v>
      </c>
      <c r="AU514" s="1286" t="s">
        <v>1206</v>
      </c>
      <c r="AV514" s="1286" t="s">
        <v>3279</v>
      </c>
      <c r="AW514" s="1286"/>
      <c r="AX514" s="1286"/>
      <c r="AY514" s="1286"/>
      <c r="AZ514" s="1286"/>
      <c r="BA514" s="1286"/>
      <c r="BB514" s="1286"/>
      <c r="BC514" s="1286"/>
      <c r="BD514" s="1286"/>
    </row>
    <row r="515" spans="1:56" ht="15.75" customHeight="1" x14ac:dyDescent="0.3">
      <c r="A515" s="50" t="str">
        <f t="shared" si="81"/>
        <v xml:space="preserve">Concrete - 30 MPa, 25% SCM, GU / BCRMCA / Can. BC Avg. / </v>
      </c>
      <c r="B515" s="53" t="s">
        <v>3603</v>
      </c>
      <c r="C515" s="53" t="s">
        <v>3596</v>
      </c>
      <c r="D515" s="53" t="s">
        <v>3597</v>
      </c>
      <c r="H515" s="50" t="s">
        <v>3548</v>
      </c>
      <c r="I515" s="53" t="s">
        <v>3545</v>
      </c>
      <c r="J515" s="358">
        <v>44983</v>
      </c>
      <c r="K515" s="53">
        <v>252.8</v>
      </c>
      <c r="L515" s="53" t="s">
        <v>3</v>
      </c>
      <c r="M515" s="67">
        <f t="shared" si="79"/>
        <v>252.8</v>
      </c>
      <c r="N515" s="53" t="s">
        <v>3</v>
      </c>
      <c r="O515" s="50" t="s">
        <v>3598</v>
      </c>
      <c r="P515" s="53" t="s">
        <v>137</v>
      </c>
      <c r="Q515" s="1292">
        <v>2027</v>
      </c>
      <c r="R515" s="53">
        <v>2305</v>
      </c>
      <c r="S515" s="53" t="s">
        <v>121</v>
      </c>
      <c r="AA515" s="78">
        <f t="shared" si="82"/>
        <v>0</v>
      </c>
      <c r="AG515" s="78"/>
      <c r="AN515" s="53">
        <v>342</v>
      </c>
      <c r="AO515" s="53" t="s">
        <v>3755</v>
      </c>
      <c r="AP515" s="53">
        <v>3</v>
      </c>
      <c r="AR515" s="264" t="str">
        <f ca="1">IF(LEN(Q515)=4,IF(Q515&lt;YEAR(NOW()),_xlfn.CONCAT(IF(LOWER(Setting!rng_language)="english","Expired ","Expiré "),Q515),""),"")</f>
        <v/>
      </c>
      <c r="AT515" s="53" t="b">
        <f>ISNUMBER(MATCH(IF(LEN('USER INPUT SHEET'!rng_province)&gt;0,'USER INPUT SHEET'!rng_province,"Canada"),$AU515:$BD515,0))</f>
        <v>0</v>
      </c>
      <c r="AU515" s="1286" t="s">
        <v>1206</v>
      </c>
      <c r="AV515" s="1286" t="s">
        <v>3279</v>
      </c>
      <c r="AW515" s="1286"/>
      <c r="AX515" s="1286"/>
      <c r="AY515" s="1286"/>
      <c r="AZ515" s="1286"/>
      <c r="BA515" s="1286"/>
      <c r="BB515" s="1286"/>
      <c r="BC515" s="1286"/>
      <c r="BD515" s="1286"/>
    </row>
    <row r="516" spans="1:56" ht="15.75" customHeight="1" x14ac:dyDescent="0.3">
      <c r="A516" s="50" t="str">
        <f t="shared" si="81"/>
        <v xml:space="preserve">Concrete - 30 MPa, 40% SCM, GU / BCRMCA / Can. BC Avg. / </v>
      </c>
      <c r="B516" s="53" t="s">
        <v>3604</v>
      </c>
      <c r="C516" s="53" t="s">
        <v>3596</v>
      </c>
      <c r="D516" s="53" t="s">
        <v>3597</v>
      </c>
      <c r="H516" s="50" t="s">
        <v>3548</v>
      </c>
      <c r="I516" s="53" t="s">
        <v>3545</v>
      </c>
      <c r="J516" s="358">
        <v>44983</v>
      </c>
      <c r="K516" s="53">
        <v>218.06</v>
      </c>
      <c r="L516" s="53" t="s">
        <v>3</v>
      </c>
      <c r="M516" s="67">
        <f t="shared" si="79"/>
        <v>218.06</v>
      </c>
      <c r="N516" s="53" t="s">
        <v>3</v>
      </c>
      <c r="O516" s="50" t="s">
        <v>3598</v>
      </c>
      <c r="P516" s="53" t="s">
        <v>137</v>
      </c>
      <c r="Q516" s="1292">
        <v>2027</v>
      </c>
      <c r="R516" s="53">
        <v>2305</v>
      </c>
      <c r="S516" s="53" t="s">
        <v>121</v>
      </c>
      <c r="AA516" s="78">
        <f t="shared" si="82"/>
        <v>0</v>
      </c>
      <c r="AG516" s="78"/>
      <c r="AN516" s="53">
        <v>343</v>
      </c>
      <c r="AO516" s="53" t="s">
        <v>3755</v>
      </c>
      <c r="AP516" s="53">
        <v>4</v>
      </c>
      <c r="AR516" s="264" t="str">
        <f ca="1">IF(LEN(Q516)=4,IF(Q516&lt;YEAR(NOW()),_xlfn.CONCAT(IF(LOWER(Setting!rng_language)="english","Expired ","Expiré "),Q516),""),"")</f>
        <v/>
      </c>
      <c r="AT516" s="53" t="b">
        <f>ISNUMBER(MATCH(IF(LEN('USER INPUT SHEET'!rng_province)&gt;0,'USER INPUT SHEET'!rng_province,"Canada"),$AU516:$BD516,0))</f>
        <v>0</v>
      </c>
      <c r="AU516" s="1286" t="s">
        <v>1206</v>
      </c>
      <c r="AV516" s="1286" t="s">
        <v>3279</v>
      </c>
      <c r="AW516" s="1286"/>
      <c r="AX516" s="1286"/>
      <c r="AY516" s="1286"/>
      <c r="AZ516" s="1286"/>
      <c r="BA516" s="1286"/>
      <c r="BB516" s="1286"/>
      <c r="BC516" s="1286"/>
      <c r="BD516" s="1286"/>
    </row>
    <row r="517" spans="1:56" ht="15.75" customHeight="1" x14ac:dyDescent="0.3">
      <c r="A517" s="50" t="str">
        <f t="shared" si="81"/>
        <v xml:space="preserve">Concrete - 35 MPa, GU / BCRMCA / Can. BC Avg. / </v>
      </c>
      <c r="B517" s="53" t="s">
        <v>3582</v>
      </c>
      <c r="C517" s="53" t="s">
        <v>3596</v>
      </c>
      <c r="D517" s="53" t="s">
        <v>3597</v>
      </c>
      <c r="H517" s="50" t="s">
        <v>3548</v>
      </c>
      <c r="I517" s="53" t="s">
        <v>3545</v>
      </c>
      <c r="J517" s="358">
        <v>44983</v>
      </c>
      <c r="K517" s="53">
        <v>355.26</v>
      </c>
      <c r="L517" s="53" t="s">
        <v>3</v>
      </c>
      <c r="M517" s="67">
        <f t="shared" si="79"/>
        <v>355.26</v>
      </c>
      <c r="N517" s="53" t="s">
        <v>3</v>
      </c>
      <c r="O517" s="50" t="s">
        <v>3598</v>
      </c>
      <c r="P517" s="53" t="s">
        <v>137</v>
      </c>
      <c r="Q517" s="1292">
        <v>2027</v>
      </c>
      <c r="R517" s="53">
        <v>2305</v>
      </c>
      <c r="S517" s="53" t="s">
        <v>121</v>
      </c>
      <c r="AA517" s="78">
        <f t="shared" si="82"/>
        <v>0</v>
      </c>
      <c r="AG517" s="78"/>
      <c r="AN517" s="53">
        <v>344</v>
      </c>
      <c r="AO517" s="53" t="s">
        <v>3756</v>
      </c>
      <c r="AP517" s="53">
        <v>1</v>
      </c>
      <c r="AR517" s="264" t="str">
        <f ca="1">IF(LEN(Q517)=4,IF(Q517&lt;YEAR(NOW()),_xlfn.CONCAT(IF(LOWER(Setting!rng_language)="english","Expired ","Expiré "),Q517),""),"")</f>
        <v/>
      </c>
      <c r="AT517" s="53" t="b">
        <f>ISNUMBER(MATCH(IF(LEN('USER INPUT SHEET'!rng_province)&gt;0,'USER INPUT SHEET'!rng_province,"Canada"),$AU517:$BD517,0))</f>
        <v>0</v>
      </c>
      <c r="AU517" s="1286" t="s">
        <v>1206</v>
      </c>
      <c r="AV517" s="1286" t="s">
        <v>3279</v>
      </c>
      <c r="AW517" s="1286"/>
      <c r="AX517" s="1286"/>
      <c r="AY517" s="1286"/>
      <c r="AZ517" s="1286"/>
      <c r="BA517" s="1286"/>
      <c r="BB517" s="1286"/>
      <c r="BC517" s="1286"/>
      <c r="BD517" s="1286"/>
    </row>
    <row r="518" spans="1:56" ht="15.75" customHeight="1" x14ac:dyDescent="0.3">
      <c r="A518" s="50" t="str">
        <f t="shared" si="81"/>
        <v xml:space="preserve">Concrete - 35 MPa, 15% SCM, GU / BCRMCA / Can. BC Avg. / </v>
      </c>
      <c r="B518" s="53" t="s">
        <v>3605</v>
      </c>
      <c r="C518" s="53" t="s">
        <v>3596</v>
      </c>
      <c r="D518" s="53" t="s">
        <v>3597</v>
      </c>
      <c r="H518" s="50" t="s">
        <v>3548</v>
      </c>
      <c r="I518" s="53" t="s">
        <v>3545</v>
      </c>
      <c r="J518" s="358">
        <v>44983</v>
      </c>
      <c r="K518" s="53">
        <v>315.41000000000003</v>
      </c>
      <c r="L518" s="53" t="s">
        <v>3</v>
      </c>
      <c r="M518" s="67">
        <f t="shared" si="79"/>
        <v>315.41000000000003</v>
      </c>
      <c r="N518" s="53" t="s">
        <v>3</v>
      </c>
      <c r="O518" s="50" t="s">
        <v>3598</v>
      </c>
      <c r="P518" s="53" t="s">
        <v>137</v>
      </c>
      <c r="Q518" s="1292">
        <v>2027</v>
      </c>
      <c r="R518" s="53">
        <v>2305</v>
      </c>
      <c r="S518" s="53" t="s">
        <v>121</v>
      </c>
      <c r="AA518" s="78">
        <f t="shared" si="82"/>
        <v>0</v>
      </c>
      <c r="AG518" s="78"/>
      <c r="AN518" s="53">
        <v>345</v>
      </c>
      <c r="AO518" s="53" t="s">
        <v>3756</v>
      </c>
      <c r="AP518" s="53">
        <v>2</v>
      </c>
      <c r="AR518" s="264" t="str">
        <f ca="1">IF(LEN(Q518)=4,IF(Q518&lt;YEAR(NOW()),_xlfn.CONCAT(IF(LOWER(Setting!rng_language)="english","Expired ","Expiré "),Q518),""),"")</f>
        <v/>
      </c>
      <c r="AT518" s="53" t="b">
        <f>ISNUMBER(MATCH(IF(LEN('USER INPUT SHEET'!rng_province)&gt;0,'USER INPUT SHEET'!rng_province,"Canada"),$AU518:$BD518,0))</f>
        <v>0</v>
      </c>
      <c r="AU518" s="1286" t="s">
        <v>1206</v>
      </c>
      <c r="AV518" s="1286" t="s">
        <v>3279</v>
      </c>
      <c r="AW518" s="1286"/>
      <c r="AX518" s="1286"/>
      <c r="AY518" s="1286"/>
      <c r="AZ518" s="1286"/>
      <c r="BA518" s="1286"/>
      <c r="BB518" s="1286"/>
      <c r="BC518" s="1286"/>
      <c r="BD518" s="1286"/>
    </row>
    <row r="519" spans="1:56" ht="15.75" customHeight="1" x14ac:dyDescent="0.3">
      <c r="A519" s="50" t="str">
        <f t="shared" si="81"/>
        <v xml:space="preserve">Concrete - 35 MPa, 25% SCM, GU / BCRMCA / Can. BC Avg. / </v>
      </c>
      <c r="B519" s="53" t="s">
        <v>3606</v>
      </c>
      <c r="C519" s="53" t="s">
        <v>3596</v>
      </c>
      <c r="D519" s="53" t="s">
        <v>3597</v>
      </c>
      <c r="H519" s="50" t="s">
        <v>3548</v>
      </c>
      <c r="I519" s="53" t="s">
        <v>3545</v>
      </c>
      <c r="J519" s="358">
        <v>44983</v>
      </c>
      <c r="K519" s="53">
        <v>288.94</v>
      </c>
      <c r="L519" s="53" t="s">
        <v>3</v>
      </c>
      <c r="M519" s="67">
        <f t="shared" si="79"/>
        <v>288.94</v>
      </c>
      <c r="N519" s="53" t="s">
        <v>3</v>
      </c>
      <c r="O519" s="50" t="s">
        <v>3598</v>
      </c>
      <c r="P519" s="53" t="s">
        <v>137</v>
      </c>
      <c r="Q519" s="1292">
        <v>2027</v>
      </c>
      <c r="R519" s="53">
        <v>2305</v>
      </c>
      <c r="S519" s="53" t="s">
        <v>121</v>
      </c>
      <c r="AA519" s="78">
        <f t="shared" si="82"/>
        <v>0</v>
      </c>
      <c r="AG519" s="78"/>
      <c r="AN519" s="53">
        <v>346</v>
      </c>
      <c r="AO519" s="53" t="s">
        <v>3756</v>
      </c>
      <c r="AP519" s="53">
        <v>3</v>
      </c>
      <c r="AR519" s="264" t="str">
        <f ca="1">IF(LEN(Q519)=4,IF(Q519&lt;YEAR(NOW()),_xlfn.CONCAT(IF(LOWER(Setting!rng_language)="english","Expired ","Expiré "),Q519),""),"")</f>
        <v/>
      </c>
      <c r="AT519" s="53" t="b">
        <f>ISNUMBER(MATCH(IF(LEN('USER INPUT SHEET'!rng_province)&gt;0,'USER INPUT SHEET'!rng_province,"Canada"),$AU519:$BD519,0))</f>
        <v>0</v>
      </c>
      <c r="AU519" s="1286" t="s">
        <v>1206</v>
      </c>
      <c r="AV519" s="1286" t="s">
        <v>3279</v>
      </c>
      <c r="AW519" s="1286"/>
      <c r="AX519" s="1286"/>
      <c r="AY519" s="1286"/>
      <c r="AZ519" s="1286"/>
      <c r="BA519" s="1286"/>
      <c r="BB519" s="1286"/>
      <c r="BC519" s="1286"/>
      <c r="BD519" s="1286"/>
    </row>
    <row r="520" spans="1:56" ht="15.75" customHeight="1" x14ac:dyDescent="0.3">
      <c r="A520" s="50" t="str">
        <f t="shared" si="81"/>
        <v xml:space="preserve">Concrete - 35 MPa, 40% SCM, GU / BCRMCA / Can. BC Avg. / </v>
      </c>
      <c r="B520" s="53" t="s">
        <v>3607</v>
      </c>
      <c r="C520" s="53" t="s">
        <v>3596</v>
      </c>
      <c r="D520" s="53" t="s">
        <v>3597</v>
      </c>
      <c r="H520" s="50" t="s">
        <v>3548</v>
      </c>
      <c r="I520" s="53" t="s">
        <v>3545</v>
      </c>
      <c r="J520" s="358">
        <v>44983</v>
      </c>
      <c r="K520" s="53">
        <v>248.67</v>
      </c>
      <c r="L520" s="53" t="s">
        <v>3</v>
      </c>
      <c r="M520" s="67">
        <f t="shared" si="79"/>
        <v>248.67</v>
      </c>
      <c r="N520" s="53" t="s">
        <v>3</v>
      </c>
      <c r="O520" s="50" t="s">
        <v>3598</v>
      </c>
      <c r="P520" s="53" t="s">
        <v>137</v>
      </c>
      <c r="Q520" s="1292">
        <v>2027</v>
      </c>
      <c r="R520" s="53">
        <v>2305</v>
      </c>
      <c r="S520" s="53" t="s">
        <v>121</v>
      </c>
      <c r="AA520" s="78">
        <f t="shared" si="82"/>
        <v>0</v>
      </c>
      <c r="AG520" s="78"/>
      <c r="AN520" s="53">
        <v>347</v>
      </c>
      <c r="AO520" s="53" t="s">
        <v>3756</v>
      </c>
      <c r="AP520" s="53">
        <v>4</v>
      </c>
      <c r="AR520" s="264" t="str">
        <f ca="1">IF(LEN(Q520)=4,IF(Q520&lt;YEAR(NOW()),_xlfn.CONCAT(IF(LOWER(Setting!rng_language)="english","Expired ","Expiré "),Q520),""),"")</f>
        <v/>
      </c>
      <c r="AT520" s="53" t="b">
        <f>ISNUMBER(MATCH(IF(LEN('USER INPUT SHEET'!rng_province)&gt;0,'USER INPUT SHEET'!rng_province,"Canada"),$AU520:$BD520,0))</f>
        <v>0</v>
      </c>
      <c r="AU520" s="1286" t="s">
        <v>1206</v>
      </c>
      <c r="AV520" s="1286" t="s">
        <v>3279</v>
      </c>
      <c r="AW520" s="1286"/>
      <c r="AX520" s="1286"/>
      <c r="AY520" s="1286"/>
      <c r="AZ520" s="1286"/>
      <c r="BA520" s="1286"/>
      <c r="BB520" s="1286"/>
      <c r="BC520" s="1286"/>
      <c r="BD520" s="1286"/>
    </row>
    <row r="521" spans="1:56" ht="15.75" customHeight="1" x14ac:dyDescent="0.3">
      <c r="A521" s="50" t="str">
        <f t="shared" si="81"/>
        <v xml:space="preserve">Concrete - 25 MPa, GU / ACA / Can. Atlantic Avg. / </v>
      </c>
      <c r="B521" s="53" t="s">
        <v>3568</v>
      </c>
      <c r="C521" s="53" t="s">
        <v>3608</v>
      </c>
      <c r="D521" s="53" t="s">
        <v>3609</v>
      </c>
      <c r="H521" s="50" t="s">
        <v>3548</v>
      </c>
      <c r="I521" s="53" t="s">
        <v>3545</v>
      </c>
      <c r="J521" s="358">
        <v>44983</v>
      </c>
      <c r="K521" s="53">
        <v>387.2</v>
      </c>
      <c r="L521" s="53" t="s">
        <v>3</v>
      </c>
      <c r="M521" s="67">
        <f t="shared" si="79"/>
        <v>387.2</v>
      </c>
      <c r="N521" s="53" t="s">
        <v>3</v>
      </c>
      <c r="O521" s="50" t="s">
        <v>3610</v>
      </c>
      <c r="P521" s="53" t="s">
        <v>137</v>
      </c>
      <c r="Q521" s="1292">
        <v>2027</v>
      </c>
      <c r="R521" s="53">
        <v>2305</v>
      </c>
      <c r="S521" s="53" t="s">
        <v>121</v>
      </c>
      <c r="AA521" s="78">
        <f t="shared" si="82"/>
        <v>0</v>
      </c>
      <c r="AG521" s="78"/>
      <c r="AN521" s="53">
        <v>348</v>
      </c>
      <c r="AO521" s="53" t="s">
        <v>3754</v>
      </c>
      <c r="AP521" s="53">
        <v>1</v>
      </c>
      <c r="AR521" s="264" t="str">
        <f ca="1">IF(LEN(Q521)=4,IF(Q521&lt;YEAR(NOW()),_xlfn.CONCAT(IF(LOWER(Setting!rng_language)="english","Expired ","Expiré "),Q521),""),"")</f>
        <v/>
      </c>
      <c r="AT521" s="53" t="b">
        <f>ISNUMBER(MATCH(IF(LEN('USER INPUT SHEET'!rng_province)&gt;0,'USER INPUT SHEET'!rng_province,"Canada"),$AU521:$BD521,0))</f>
        <v>0</v>
      </c>
      <c r="AU521" s="1286" t="s">
        <v>1212</v>
      </c>
      <c r="AV521" s="1286" t="s">
        <v>3277</v>
      </c>
      <c r="AW521" s="1286" t="s">
        <v>1218</v>
      </c>
      <c r="AX521" s="1286" t="s">
        <v>3274</v>
      </c>
      <c r="AY521" s="1286" t="s">
        <v>1216</v>
      </c>
      <c r="AZ521" s="1286" t="s">
        <v>3275</v>
      </c>
      <c r="BA521" s="1286" t="s">
        <v>1214</v>
      </c>
      <c r="BB521" s="1286" t="s">
        <v>3276</v>
      </c>
      <c r="BC521" s="1286"/>
      <c r="BD521" s="1286"/>
    </row>
    <row r="522" spans="1:56" ht="15.75" customHeight="1" x14ac:dyDescent="0.3">
      <c r="A522" s="50" t="str">
        <f t="shared" si="81"/>
        <v xml:space="preserve">Concrete - 25 MPa, 10% FA, GU / ACA / Can. Atlantic Avg. / </v>
      </c>
      <c r="B522" s="53" t="s">
        <v>3549</v>
      </c>
      <c r="C522" s="53" t="s">
        <v>3608</v>
      </c>
      <c r="D522" s="53" t="s">
        <v>3609</v>
      </c>
      <c r="H522" s="50" t="s">
        <v>3548</v>
      </c>
      <c r="I522" s="53" t="s">
        <v>3545</v>
      </c>
      <c r="J522" s="358">
        <v>44983</v>
      </c>
      <c r="K522" s="53">
        <v>357.51</v>
      </c>
      <c r="L522" s="53" t="s">
        <v>3</v>
      </c>
      <c r="M522" s="67">
        <f t="shared" si="79"/>
        <v>357.51</v>
      </c>
      <c r="N522" s="53" t="s">
        <v>3</v>
      </c>
      <c r="O522" s="50" t="s">
        <v>3610</v>
      </c>
      <c r="P522" s="53" t="s">
        <v>137</v>
      </c>
      <c r="Q522" s="1292">
        <v>2027</v>
      </c>
      <c r="R522" s="53">
        <v>2305</v>
      </c>
      <c r="S522" s="53" t="s">
        <v>121</v>
      </c>
      <c r="AA522" s="78">
        <f t="shared" si="82"/>
        <v>0</v>
      </c>
      <c r="AG522" s="78"/>
      <c r="AN522" s="53">
        <v>349</v>
      </c>
      <c r="AO522" s="53" t="s">
        <v>3754</v>
      </c>
      <c r="AP522" s="53">
        <v>2</v>
      </c>
      <c r="AR522" s="264" t="str">
        <f ca="1">IF(LEN(Q522)=4,IF(Q522&lt;YEAR(NOW()),_xlfn.CONCAT(IF(LOWER(Setting!rng_language)="english","Expired ","Expiré "),Q522),""),"")</f>
        <v/>
      </c>
      <c r="AT522" s="53" t="b">
        <f>ISNUMBER(MATCH(IF(LEN('USER INPUT SHEET'!rng_province)&gt;0,'USER INPUT SHEET'!rng_province,"Canada"),$AU522:$BD522,0))</f>
        <v>0</v>
      </c>
      <c r="AU522" s="1286" t="s">
        <v>1212</v>
      </c>
      <c r="AV522" s="1286" t="s">
        <v>3277</v>
      </c>
      <c r="AW522" s="1286" t="s">
        <v>1218</v>
      </c>
      <c r="AX522" s="1286" t="s">
        <v>3274</v>
      </c>
      <c r="AY522" s="1286" t="s">
        <v>1216</v>
      </c>
      <c r="AZ522" s="1286" t="s">
        <v>3275</v>
      </c>
      <c r="BA522" s="1286" t="s">
        <v>1214</v>
      </c>
      <c r="BB522" s="1286" t="s">
        <v>3276</v>
      </c>
      <c r="BC522" s="1286"/>
      <c r="BD522" s="1286"/>
    </row>
    <row r="523" spans="1:56" ht="15.75" customHeight="1" x14ac:dyDescent="0.3">
      <c r="A523" s="50" t="str">
        <f t="shared" si="81"/>
        <v xml:space="preserve">Concrete - 25 MPa, 20% FA, GU / ACA / Can. Atlantic Avg. / </v>
      </c>
      <c r="B523" s="53" t="s">
        <v>3551</v>
      </c>
      <c r="C523" s="53" t="s">
        <v>3608</v>
      </c>
      <c r="D523" s="53" t="s">
        <v>3609</v>
      </c>
      <c r="H523" s="50" t="s">
        <v>3548</v>
      </c>
      <c r="I523" s="53" t="s">
        <v>3545</v>
      </c>
      <c r="J523" s="358">
        <v>44983</v>
      </c>
      <c r="K523" s="53">
        <v>327.82</v>
      </c>
      <c r="L523" s="53" t="s">
        <v>3</v>
      </c>
      <c r="M523" s="67">
        <f t="shared" si="79"/>
        <v>327.82</v>
      </c>
      <c r="N523" s="53" t="s">
        <v>3</v>
      </c>
      <c r="O523" s="50" t="s">
        <v>3610</v>
      </c>
      <c r="P523" s="53" t="s">
        <v>137</v>
      </c>
      <c r="Q523" s="1292">
        <v>2027</v>
      </c>
      <c r="R523" s="53">
        <v>2305</v>
      </c>
      <c r="S523" s="53" t="s">
        <v>121</v>
      </c>
      <c r="AA523" s="78">
        <f t="shared" si="82"/>
        <v>0</v>
      </c>
      <c r="AG523" s="78"/>
      <c r="AN523" s="53">
        <v>350</v>
      </c>
      <c r="AO523" s="53" t="s">
        <v>3754</v>
      </c>
      <c r="AP523" s="53">
        <v>3</v>
      </c>
      <c r="AR523" s="264" t="str">
        <f ca="1">IF(LEN(Q523)=4,IF(Q523&lt;YEAR(NOW()),_xlfn.CONCAT(IF(LOWER(Setting!rng_language)="english","Expired ","Expiré "),Q523),""),"")</f>
        <v/>
      </c>
      <c r="AT523" s="53" t="b">
        <f>ISNUMBER(MATCH(IF(LEN('USER INPUT SHEET'!rng_province)&gt;0,'USER INPUT SHEET'!rng_province,"Canada"),$AU523:$BD523,0))</f>
        <v>0</v>
      </c>
      <c r="AU523" s="1286" t="s">
        <v>1212</v>
      </c>
      <c r="AV523" s="1286" t="s">
        <v>3277</v>
      </c>
      <c r="AW523" s="1286" t="s">
        <v>1218</v>
      </c>
      <c r="AX523" s="1286" t="s">
        <v>3274</v>
      </c>
      <c r="AY523" s="1286" t="s">
        <v>1216</v>
      </c>
      <c r="AZ523" s="1286" t="s">
        <v>3275</v>
      </c>
      <c r="BA523" s="1286" t="s">
        <v>1214</v>
      </c>
      <c r="BB523" s="1286" t="s">
        <v>3276</v>
      </c>
      <c r="BC523" s="1286"/>
      <c r="BD523" s="1286"/>
    </row>
    <row r="524" spans="1:56" ht="15.75" customHeight="1" x14ac:dyDescent="0.3">
      <c r="A524" s="50" t="str">
        <f t="shared" si="81"/>
        <v xml:space="preserve">Concrete - 25 MPa, 30% FA, GU / ACA / Can. Atlantic Avg. / </v>
      </c>
      <c r="B524" s="53" t="s">
        <v>3553</v>
      </c>
      <c r="C524" s="53" t="s">
        <v>3608</v>
      </c>
      <c r="D524" s="53" t="s">
        <v>3609</v>
      </c>
      <c r="H524" s="50" t="s">
        <v>3548</v>
      </c>
      <c r="I524" s="53" t="s">
        <v>3545</v>
      </c>
      <c r="J524" s="358">
        <v>44983</v>
      </c>
      <c r="K524" s="53">
        <v>298.12</v>
      </c>
      <c r="L524" s="53" t="s">
        <v>3</v>
      </c>
      <c r="M524" s="67">
        <f t="shared" si="79"/>
        <v>298.12</v>
      </c>
      <c r="N524" s="53" t="s">
        <v>3</v>
      </c>
      <c r="O524" s="50" t="s">
        <v>3610</v>
      </c>
      <c r="P524" s="53" t="s">
        <v>137</v>
      </c>
      <c r="Q524" s="1292">
        <v>2027</v>
      </c>
      <c r="R524" s="53">
        <v>2305</v>
      </c>
      <c r="S524" s="53" t="s">
        <v>121</v>
      </c>
      <c r="AA524" s="78">
        <f t="shared" si="82"/>
        <v>0</v>
      </c>
      <c r="AG524" s="78"/>
      <c r="AN524" s="53">
        <v>351</v>
      </c>
      <c r="AO524" s="53" t="s">
        <v>3754</v>
      </c>
      <c r="AP524" s="53">
        <v>4</v>
      </c>
      <c r="AR524" s="264" t="str">
        <f ca="1">IF(LEN(Q524)=4,IF(Q524&lt;YEAR(NOW()),_xlfn.CONCAT(IF(LOWER(Setting!rng_language)="english","Expired ","Expiré "),Q524),""),"")</f>
        <v/>
      </c>
      <c r="AT524" s="53" t="b">
        <f>ISNUMBER(MATCH(IF(LEN('USER INPUT SHEET'!rng_province)&gt;0,'USER INPUT SHEET'!rng_province,"Canada"),$AU524:$BD524,0))</f>
        <v>0</v>
      </c>
      <c r="AU524" s="1286" t="s">
        <v>1212</v>
      </c>
      <c r="AV524" s="1286" t="s">
        <v>3277</v>
      </c>
      <c r="AW524" s="1286" t="s">
        <v>1218</v>
      </c>
      <c r="AX524" s="1286" t="s">
        <v>3274</v>
      </c>
      <c r="AY524" s="1286" t="s">
        <v>1216</v>
      </c>
      <c r="AZ524" s="1286" t="s">
        <v>3275</v>
      </c>
      <c r="BA524" s="1286" t="s">
        <v>1214</v>
      </c>
      <c r="BB524" s="1286" t="s">
        <v>3276</v>
      </c>
      <c r="BC524" s="1286"/>
      <c r="BD524" s="1286"/>
    </row>
    <row r="525" spans="1:56" ht="15.75" customHeight="1" x14ac:dyDescent="0.3">
      <c r="A525" s="50" t="str">
        <f t="shared" si="81"/>
        <v xml:space="preserve">Concrete - 25 MPa, 40% FA, GU / ACA / Can. Atlantic Avg. / </v>
      </c>
      <c r="B525" s="53" t="s">
        <v>3590</v>
      </c>
      <c r="C525" s="53" t="s">
        <v>3608</v>
      </c>
      <c r="D525" s="53" t="s">
        <v>3609</v>
      </c>
      <c r="H525" s="50" t="s">
        <v>3548</v>
      </c>
      <c r="I525" s="53" t="s">
        <v>3545</v>
      </c>
      <c r="J525" s="358">
        <v>44983</v>
      </c>
      <c r="K525" s="53">
        <v>268.43</v>
      </c>
      <c r="L525" s="53" t="s">
        <v>3</v>
      </c>
      <c r="M525" s="67">
        <f t="shared" si="79"/>
        <v>268.43</v>
      </c>
      <c r="N525" s="53" t="s">
        <v>3</v>
      </c>
      <c r="O525" s="50" t="s">
        <v>3610</v>
      </c>
      <c r="P525" s="53" t="s">
        <v>137</v>
      </c>
      <c r="Q525" s="1292">
        <v>2027</v>
      </c>
      <c r="R525" s="53">
        <v>2305</v>
      </c>
      <c r="S525" s="53" t="s">
        <v>121</v>
      </c>
      <c r="AA525" s="78">
        <f t="shared" si="82"/>
        <v>0</v>
      </c>
      <c r="AG525" s="78"/>
      <c r="AN525" s="53">
        <v>352</v>
      </c>
      <c r="AO525" s="53" t="s">
        <v>3754</v>
      </c>
      <c r="AP525" s="53">
        <v>5</v>
      </c>
      <c r="AR525" s="264" t="str">
        <f ca="1">IF(LEN(Q525)=4,IF(Q525&lt;YEAR(NOW()),_xlfn.CONCAT(IF(LOWER(Setting!rng_language)="english","Expired ","Expiré "),Q525),""),"")</f>
        <v/>
      </c>
      <c r="AT525" s="53" t="b">
        <f>ISNUMBER(MATCH(IF(LEN('USER INPUT SHEET'!rng_province)&gt;0,'USER INPUT SHEET'!rng_province,"Canada"),$AU525:$BD525,0))</f>
        <v>0</v>
      </c>
      <c r="AU525" s="1286" t="s">
        <v>1212</v>
      </c>
      <c r="AV525" s="1286" t="s">
        <v>3277</v>
      </c>
      <c r="AW525" s="1286" t="s">
        <v>1218</v>
      </c>
      <c r="AX525" s="1286" t="s">
        <v>3274</v>
      </c>
      <c r="AY525" s="1286" t="s">
        <v>1216</v>
      </c>
      <c r="AZ525" s="1286" t="s">
        <v>3275</v>
      </c>
      <c r="BA525" s="1286" t="s">
        <v>1214</v>
      </c>
      <c r="BB525" s="1286" t="s">
        <v>3276</v>
      </c>
      <c r="BC525" s="1286"/>
      <c r="BD525" s="1286"/>
    </row>
    <row r="526" spans="1:56" ht="15.75" customHeight="1" x14ac:dyDescent="0.3">
      <c r="A526" s="50" t="str">
        <f t="shared" si="81"/>
        <v xml:space="preserve">Concrete - 30 MPa, GU / ACA / Can. Atlantic Avg. / </v>
      </c>
      <c r="B526" s="53" t="s">
        <v>3577</v>
      </c>
      <c r="C526" s="53" t="s">
        <v>3608</v>
      </c>
      <c r="D526" s="53" t="s">
        <v>3609</v>
      </c>
      <c r="H526" s="50" t="s">
        <v>3548</v>
      </c>
      <c r="I526" s="53" t="s">
        <v>3545</v>
      </c>
      <c r="J526" s="358">
        <v>44983</v>
      </c>
      <c r="K526" s="53">
        <v>419.64</v>
      </c>
      <c r="L526" s="53" t="s">
        <v>3</v>
      </c>
      <c r="M526" s="67">
        <f t="shared" si="79"/>
        <v>419.64</v>
      </c>
      <c r="N526" s="53" t="s">
        <v>3</v>
      </c>
      <c r="O526" s="50" t="s">
        <v>3610</v>
      </c>
      <c r="P526" s="53" t="s">
        <v>137</v>
      </c>
      <c r="Q526" s="1292">
        <v>2027</v>
      </c>
      <c r="R526" s="53">
        <v>2305</v>
      </c>
      <c r="S526" s="53" t="s">
        <v>121</v>
      </c>
      <c r="AA526" s="78">
        <f t="shared" si="82"/>
        <v>0</v>
      </c>
      <c r="AG526" s="78"/>
      <c r="AN526" s="53">
        <v>353</v>
      </c>
      <c r="AO526" s="53" t="s">
        <v>3755</v>
      </c>
      <c r="AP526" s="53">
        <v>1</v>
      </c>
      <c r="AR526" s="264" t="str">
        <f ca="1">IF(LEN(Q526)=4,IF(Q526&lt;YEAR(NOW()),_xlfn.CONCAT(IF(LOWER(Setting!rng_language)="english","Expired ","Expiré "),Q526),""),"")</f>
        <v/>
      </c>
      <c r="AT526" s="53" t="b">
        <f>ISNUMBER(MATCH(IF(LEN('USER INPUT SHEET'!rng_province)&gt;0,'USER INPUT SHEET'!rng_province,"Canada"),$AU526:$BD526,0))</f>
        <v>0</v>
      </c>
      <c r="AU526" s="1286" t="s">
        <v>1212</v>
      </c>
      <c r="AV526" s="1286" t="s">
        <v>3277</v>
      </c>
      <c r="AW526" s="1286" t="s">
        <v>1218</v>
      </c>
      <c r="AX526" s="1286" t="s">
        <v>3274</v>
      </c>
      <c r="AY526" s="1286" t="s">
        <v>1216</v>
      </c>
      <c r="AZ526" s="1286" t="s">
        <v>3275</v>
      </c>
      <c r="BA526" s="1286" t="s">
        <v>1214</v>
      </c>
      <c r="BB526" s="1286" t="s">
        <v>3276</v>
      </c>
      <c r="BC526" s="1286"/>
      <c r="BD526" s="1286"/>
    </row>
    <row r="527" spans="1:56" ht="15.75" customHeight="1" x14ac:dyDescent="0.3">
      <c r="A527" s="50" t="str">
        <f t="shared" si="81"/>
        <v xml:space="preserve">Concrete - 30 MPa, 10% FA, GU / ACA / Can. Atlantic Avg. / </v>
      </c>
      <c r="B527" s="53" t="s">
        <v>3556</v>
      </c>
      <c r="C527" s="53" t="s">
        <v>3608</v>
      </c>
      <c r="D527" s="53" t="s">
        <v>3609</v>
      </c>
      <c r="H527" s="50" t="s">
        <v>3548</v>
      </c>
      <c r="I527" s="53" t="s">
        <v>3545</v>
      </c>
      <c r="J527" s="358">
        <v>44983</v>
      </c>
      <c r="K527" s="53">
        <v>386.75</v>
      </c>
      <c r="L527" s="53" t="s">
        <v>3</v>
      </c>
      <c r="M527" s="67">
        <f t="shared" si="79"/>
        <v>386.75</v>
      </c>
      <c r="N527" s="53" t="s">
        <v>3</v>
      </c>
      <c r="O527" s="50" t="s">
        <v>3610</v>
      </c>
      <c r="P527" s="53" t="s">
        <v>137</v>
      </c>
      <c r="Q527" s="1292">
        <v>2027</v>
      </c>
      <c r="R527" s="53">
        <v>2305</v>
      </c>
      <c r="S527" s="53" t="s">
        <v>121</v>
      </c>
      <c r="AA527" s="78">
        <f t="shared" si="82"/>
        <v>0</v>
      </c>
      <c r="AG527" s="78"/>
      <c r="AN527" s="53">
        <v>354</v>
      </c>
      <c r="AO527" s="53" t="s">
        <v>3755</v>
      </c>
      <c r="AP527" s="53">
        <v>2</v>
      </c>
      <c r="AR527" s="264" t="str">
        <f ca="1">IF(LEN(Q527)=4,IF(Q527&lt;YEAR(NOW()),_xlfn.CONCAT(IF(LOWER(Setting!rng_language)="english","Expired ","Expiré "),Q527),""),"")</f>
        <v/>
      </c>
      <c r="AT527" s="53" t="b">
        <f>ISNUMBER(MATCH(IF(LEN('USER INPUT SHEET'!rng_province)&gt;0,'USER INPUT SHEET'!rng_province,"Canada"),$AU527:$BD527,0))</f>
        <v>0</v>
      </c>
      <c r="AU527" s="1286" t="s">
        <v>1212</v>
      </c>
      <c r="AV527" s="1286" t="s">
        <v>3277</v>
      </c>
      <c r="AW527" s="1286" t="s">
        <v>1218</v>
      </c>
      <c r="AX527" s="1286" t="s">
        <v>3274</v>
      </c>
      <c r="AY527" s="1286" t="s">
        <v>1216</v>
      </c>
      <c r="AZ527" s="1286" t="s">
        <v>3275</v>
      </c>
      <c r="BA527" s="1286" t="s">
        <v>1214</v>
      </c>
      <c r="BB527" s="1286" t="s">
        <v>3276</v>
      </c>
      <c r="BC527" s="1286"/>
      <c r="BD527" s="1286"/>
    </row>
    <row r="528" spans="1:56" ht="15.75" customHeight="1" x14ac:dyDescent="0.3">
      <c r="A528" s="50" t="str">
        <f t="shared" si="81"/>
        <v xml:space="preserve">Concrete - 30 MPa, 20% FA, GU / ACA / Can. Atlantic Avg. / </v>
      </c>
      <c r="B528" s="53" t="s">
        <v>3558</v>
      </c>
      <c r="C528" s="53" t="s">
        <v>3608</v>
      </c>
      <c r="D528" s="53" t="s">
        <v>3609</v>
      </c>
      <c r="H528" s="50" t="s">
        <v>3548</v>
      </c>
      <c r="I528" s="53" t="s">
        <v>3545</v>
      </c>
      <c r="J528" s="358">
        <v>44983</v>
      </c>
      <c r="K528" s="53">
        <v>353.86</v>
      </c>
      <c r="L528" s="53" t="s">
        <v>3</v>
      </c>
      <c r="M528" s="67">
        <f t="shared" si="79"/>
        <v>353.86</v>
      </c>
      <c r="N528" s="53" t="s">
        <v>3</v>
      </c>
      <c r="O528" s="50" t="s">
        <v>3610</v>
      </c>
      <c r="P528" s="53" t="s">
        <v>137</v>
      </c>
      <c r="Q528" s="1292">
        <v>2027</v>
      </c>
      <c r="R528" s="53">
        <v>2305</v>
      </c>
      <c r="S528" s="53" t="s">
        <v>121</v>
      </c>
      <c r="AA528" s="78">
        <f t="shared" si="82"/>
        <v>0</v>
      </c>
      <c r="AG528" s="78"/>
      <c r="AN528" s="53">
        <v>355</v>
      </c>
      <c r="AO528" s="53" t="s">
        <v>3755</v>
      </c>
      <c r="AP528" s="53">
        <v>3</v>
      </c>
      <c r="AR528" s="264" t="str">
        <f ca="1">IF(LEN(Q528)=4,IF(Q528&lt;YEAR(NOW()),_xlfn.CONCAT(IF(LOWER(Setting!rng_language)="english","Expired ","Expiré "),Q528),""),"")</f>
        <v/>
      </c>
      <c r="AT528" s="53" t="b">
        <f>ISNUMBER(MATCH(IF(LEN('USER INPUT SHEET'!rng_province)&gt;0,'USER INPUT SHEET'!rng_province,"Canada"),$AU528:$BD528,0))</f>
        <v>0</v>
      </c>
      <c r="AU528" s="1286" t="s">
        <v>1212</v>
      </c>
      <c r="AV528" s="1286" t="s">
        <v>3277</v>
      </c>
      <c r="AW528" s="1286" t="s">
        <v>1218</v>
      </c>
      <c r="AX528" s="1286" t="s">
        <v>3274</v>
      </c>
      <c r="AY528" s="1286" t="s">
        <v>1216</v>
      </c>
      <c r="AZ528" s="1286" t="s">
        <v>3275</v>
      </c>
      <c r="BA528" s="1286" t="s">
        <v>1214</v>
      </c>
      <c r="BB528" s="1286" t="s">
        <v>3276</v>
      </c>
      <c r="BC528" s="1286"/>
      <c r="BD528" s="1286"/>
    </row>
    <row r="529" spans="1:56" ht="15.75" customHeight="1" x14ac:dyDescent="0.3">
      <c r="A529" s="50" t="str">
        <f t="shared" si="81"/>
        <v xml:space="preserve">Concrete - 30 MPa, 30% FA, GU / ACA / Can. Atlantic Avg. / </v>
      </c>
      <c r="B529" s="53" t="s">
        <v>3560</v>
      </c>
      <c r="C529" s="53" t="s">
        <v>3608</v>
      </c>
      <c r="D529" s="53" t="s">
        <v>3609</v>
      </c>
      <c r="H529" s="50" t="s">
        <v>3548</v>
      </c>
      <c r="I529" s="53" t="s">
        <v>3545</v>
      </c>
      <c r="J529" s="358">
        <v>44983</v>
      </c>
      <c r="K529" s="53">
        <v>320.97000000000003</v>
      </c>
      <c r="L529" s="53" t="s">
        <v>3</v>
      </c>
      <c r="M529" s="67">
        <f t="shared" si="79"/>
        <v>320.97000000000003</v>
      </c>
      <c r="N529" s="53" t="s">
        <v>3</v>
      </c>
      <c r="O529" s="50" t="s">
        <v>3610</v>
      </c>
      <c r="P529" s="53" t="s">
        <v>137</v>
      </c>
      <c r="Q529" s="1292">
        <v>2027</v>
      </c>
      <c r="R529" s="53">
        <v>2305</v>
      </c>
      <c r="S529" s="53" t="s">
        <v>121</v>
      </c>
      <c r="AA529" s="78">
        <f t="shared" si="82"/>
        <v>0</v>
      </c>
      <c r="AG529" s="78"/>
      <c r="AN529" s="53">
        <v>356</v>
      </c>
      <c r="AO529" s="53" t="s">
        <v>3755</v>
      </c>
      <c r="AP529" s="53">
        <v>4</v>
      </c>
      <c r="AR529" s="264" t="str">
        <f ca="1">IF(LEN(Q529)=4,IF(Q529&lt;YEAR(NOW()),_xlfn.CONCAT(IF(LOWER(Setting!rng_language)="english","Expired ","Expiré "),Q529),""),"")</f>
        <v/>
      </c>
      <c r="AT529" s="53" t="b">
        <f>ISNUMBER(MATCH(IF(LEN('USER INPUT SHEET'!rng_province)&gt;0,'USER INPUT SHEET'!rng_province,"Canada"),$AU529:$BD529,0))</f>
        <v>0</v>
      </c>
      <c r="AU529" s="1286" t="s">
        <v>1212</v>
      </c>
      <c r="AV529" s="1286" t="s">
        <v>3277</v>
      </c>
      <c r="AW529" s="1286" t="s">
        <v>1218</v>
      </c>
      <c r="AX529" s="1286" t="s">
        <v>3274</v>
      </c>
      <c r="AY529" s="1286" t="s">
        <v>1216</v>
      </c>
      <c r="AZ529" s="1286" t="s">
        <v>3275</v>
      </c>
      <c r="BA529" s="1286" t="s">
        <v>1214</v>
      </c>
      <c r="BB529" s="1286" t="s">
        <v>3276</v>
      </c>
      <c r="BC529" s="1286"/>
      <c r="BD529" s="1286"/>
    </row>
    <row r="530" spans="1:56" ht="15.75" customHeight="1" x14ac:dyDescent="0.3">
      <c r="A530" s="50" t="str">
        <f t="shared" si="81"/>
        <v xml:space="preserve">Concrete - 30 MPa, 40% FA, GU / ACA / Can. Atlantic Avg. / </v>
      </c>
      <c r="B530" s="53" t="s">
        <v>3591</v>
      </c>
      <c r="C530" s="53" t="s">
        <v>3608</v>
      </c>
      <c r="D530" s="53" t="s">
        <v>3609</v>
      </c>
      <c r="H530" s="50" t="s">
        <v>3548</v>
      </c>
      <c r="I530" s="53" t="s">
        <v>3545</v>
      </c>
      <c r="J530" s="358">
        <v>44983</v>
      </c>
      <c r="K530" s="53">
        <v>288.08</v>
      </c>
      <c r="L530" s="53" t="s">
        <v>3</v>
      </c>
      <c r="M530" s="67">
        <f t="shared" si="79"/>
        <v>288.08</v>
      </c>
      <c r="N530" s="53" t="s">
        <v>3</v>
      </c>
      <c r="O530" s="50" t="s">
        <v>3610</v>
      </c>
      <c r="P530" s="53" t="s">
        <v>137</v>
      </c>
      <c r="Q530" s="1292">
        <v>2027</v>
      </c>
      <c r="R530" s="53">
        <v>2305</v>
      </c>
      <c r="S530" s="53" t="s">
        <v>121</v>
      </c>
      <c r="AA530" s="78">
        <f t="shared" si="82"/>
        <v>0</v>
      </c>
      <c r="AG530" s="78"/>
      <c r="AN530" s="53">
        <v>357</v>
      </c>
      <c r="AO530" s="53" t="s">
        <v>3755</v>
      </c>
      <c r="AP530" s="53">
        <v>5</v>
      </c>
      <c r="AR530" s="264" t="str">
        <f ca="1">IF(LEN(Q530)=4,IF(Q530&lt;YEAR(NOW()),_xlfn.CONCAT(IF(LOWER(Setting!rng_language)="english","Expired ","Expiré "),Q530),""),"")</f>
        <v/>
      </c>
      <c r="AT530" s="53" t="b">
        <f>ISNUMBER(MATCH(IF(LEN('USER INPUT SHEET'!rng_province)&gt;0,'USER INPUT SHEET'!rng_province,"Canada"),$AU530:$BD530,0))</f>
        <v>0</v>
      </c>
      <c r="AU530" s="1286" t="s">
        <v>1212</v>
      </c>
      <c r="AV530" s="1286" t="s">
        <v>3277</v>
      </c>
      <c r="AW530" s="1286" t="s">
        <v>1218</v>
      </c>
      <c r="AX530" s="1286" t="s">
        <v>3274</v>
      </c>
      <c r="AY530" s="1286" t="s">
        <v>1216</v>
      </c>
      <c r="AZ530" s="1286" t="s">
        <v>3275</v>
      </c>
      <c r="BA530" s="1286" t="s">
        <v>1214</v>
      </c>
      <c r="BB530" s="1286" t="s">
        <v>3276</v>
      </c>
      <c r="BC530" s="1286"/>
      <c r="BD530" s="1286"/>
    </row>
    <row r="531" spans="1:56" ht="15.75" customHeight="1" x14ac:dyDescent="0.3">
      <c r="A531" s="50" t="str">
        <f t="shared" si="81"/>
        <v xml:space="preserve">Concrete - 35 MPa, GU / ACA / Can. Atlantic Avg. / </v>
      </c>
      <c r="B531" s="53" t="s">
        <v>3582</v>
      </c>
      <c r="C531" s="53" t="s">
        <v>3608</v>
      </c>
      <c r="D531" s="53" t="s">
        <v>3609</v>
      </c>
      <c r="H531" s="50" t="s">
        <v>3548</v>
      </c>
      <c r="I531" s="53" t="s">
        <v>3545</v>
      </c>
      <c r="J531" s="358">
        <v>44983</v>
      </c>
      <c r="K531" s="53">
        <v>487.53</v>
      </c>
      <c r="L531" s="53" t="s">
        <v>3</v>
      </c>
      <c r="M531" s="67">
        <f t="shared" si="79"/>
        <v>487.53</v>
      </c>
      <c r="N531" s="53" t="s">
        <v>3</v>
      </c>
      <c r="O531" s="50" t="s">
        <v>3610</v>
      </c>
      <c r="P531" s="53" t="s">
        <v>137</v>
      </c>
      <c r="Q531" s="1292">
        <v>2027</v>
      </c>
      <c r="R531" s="53">
        <v>2305</v>
      </c>
      <c r="S531" s="53" t="s">
        <v>121</v>
      </c>
      <c r="AA531" s="78">
        <f t="shared" si="82"/>
        <v>0</v>
      </c>
      <c r="AG531" s="78"/>
      <c r="AN531" s="53">
        <v>358</v>
      </c>
      <c r="AO531" s="53" t="s">
        <v>3756</v>
      </c>
      <c r="AP531" s="53">
        <v>1</v>
      </c>
      <c r="AR531" s="264" t="str">
        <f ca="1">IF(LEN(Q531)=4,IF(Q531&lt;YEAR(NOW()),_xlfn.CONCAT(IF(LOWER(Setting!rng_language)="english","Expired ","Expiré "),Q531),""),"")</f>
        <v/>
      </c>
      <c r="AT531" s="53" t="b">
        <f>ISNUMBER(MATCH(IF(LEN('USER INPUT SHEET'!rng_province)&gt;0,'USER INPUT SHEET'!rng_province,"Canada"),$AU531:$BD531,0))</f>
        <v>0</v>
      </c>
      <c r="AU531" s="1286" t="s">
        <v>1212</v>
      </c>
      <c r="AV531" s="1286" t="s">
        <v>3277</v>
      </c>
      <c r="AW531" s="1286" t="s">
        <v>1218</v>
      </c>
      <c r="AX531" s="1286" t="s">
        <v>3274</v>
      </c>
      <c r="AY531" s="1286" t="s">
        <v>1216</v>
      </c>
      <c r="AZ531" s="1286" t="s">
        <v>3275</v>
      </c>
      <c r="BA531" s="1286" t="s">
        <v>1214</v>
      </c>
      <c r="BB531" s="1286" t="s">
        <v>3276</v>
      </c>
      <c r="BC531" s="1286"/>
      <c r="BD531" s="1286"/>
    </row>
    <row r="532" spans="1:56" ht="15.75" customHeight="1" x14ac:dyDescent="0.3">
      <c r="A532" s="50" t="str">
        <f t="shared" si="81"/>
        <v xml:space="preserve">Concrete - 35 MPa, 10% FA, GU / ACA / Can. Atlantic Avg. / </v>
      </c>
      <c r="B532" s="53" t="s">
        <v>3563</v>
      </c>
      <c r="C532" s="53" t="s">
        <v>3608</v>
      </c>
      <c r="D532" s="53" t="s">
        <v>3609</v>
      </c>
      <c r="H532" s="50" t="s">
        <v>3548</v>
      </c>
      <c r="I532" s="53" t="s">
        <v>3545</v>
      </c>
      <c r="J532" s="358">
        <v>44983</v>
      </c>
      <c r="K532" s="53">
        <v>448.25</v>
      </c>
      <c r="L532" s="53" t="s">
        <v>3</v>
      </c>
      <c r="M532" s="67">
        <f t="shared" si="79"/>
        <v>448.25</v>
      </c>
      <c r="N532" s="53" t="s">
        <v>3</v>
      </c>
      <c r="O532" s="50" t="s">
        <v>3610</v>
      </c>
      <c r="P532" s="53" t="s">
        <v>137</v>
      </c>
      <c r="Q532" s="1292">
        <v>2027</v>
      </c>
      <c r="R532" s="53">
        <v>2305</v>
      </c>
      <c r="S532" s="53" t="s">
        <v>121</v>
      </c>
      <c r="AA532" s="78">
        <f t="shared" si="82"/>
        <v>0</v>
      </c>
      <c r="AG532" s="78"/>
      <c r="AN532" s="53">
        <v>359</v>
      </c>
      <c r="AO532" s="53" t="s">
        <v>3756</v>
      </c>
      <c r="AP532" s="53">
        <v>2</v>
      </c>
      <c r="AR532" s="264" t="str">
        <f ca="1">IF(LEN(Q532)=4,IF(Q532&lt;YEAR(NOW()),_xlfn.CONCAT(IF(LOWER(Setting!rng_language)="english","Expired ","Expiré "),Q532),""),"")</f>
        <v/>
      </c>
      <c r="AT532" s="53" t="b">
        <f>ISNUMBER(MATCH(IF(LEN('USER INPUT SHEET'!rng_province)&gt;0,'USER INPUT SHEET'!rng_province,"Canada"),$AU532:$BD532,0))</f>
        <v>0</v>
      </c>
      <c r="AU532" s="1286" t="s">
        <v>1212</v>
      </c>
      <c r="AV532" s="1286" t="s">
        <v>3277</v>
      </c>
      <c r="AW532" s="1286" t="s">
        <v>1218</v>
      </c>
      <c r="AX532" s="1286" t="s">
        <v>3274</v>
      </c>
      <c r="AY532" s="1286" t="s">
        <v>1216</v>
      </c>
      <c r="AZ532" s="1286" t="s">
        <v>3275</v>
      </c>
      <c r="BA532" s="1286" t="s">
        <v>1214</v>
      </c>
      <c r="BB532" s="1286" t="s">
        <v>3276</v>
      </c>
      <c r="BC532" s="1286"/>
      <c r="BD532" s="1286"/>
    </row>
    <row r="533" spans="1:56" ht="15.75" customHeight="1" x14ac:dyDescent="0.3">
      <c r="A533" s="50" t="str">
        <f t="shared" si="81"/>
        <v xml:space="preserve">Concrete - 35 MPa, 20% FA, GU / ACA / Can. Atlantic Avg. / </v>
      </c>
      <c r="B533" s="53" t="s">
        <v>3565</v>
      </c>
      <c r="C533" s="53" t="s">
        <v>3608</v>
      </c>
      <c r="D533" s="53" t="s">
        <v>3609</v>
      </c>
      <c r="H533" s="50" t="s">
        <v>3548</v>
      </c>
      <c r="I533" s="53" t="s">
        <v>3545</v>
      </c>
      <c r="J533" s="358">
        <v>44983</v>
      </c>
      <c r="K533" s="53">
        <v>408.96</v>
      </c>
      <c r="L533" s="53" t="s">
        <v>3</v>
      </c>
      <c r="M533" s="67">
        <f t="shared" si="79"/>
        <v>408.96</v>
      </c>
      <c r="N533" s="53" t="s">
        <v>3</v>
      </c>
      <c r="O533" s="50" t="s">
        <v>3610</v>
      </c>
      <c r="P533" s="53" t="s">
        <v>137</v>
      </c>
      <c r="Q533" s="1292">
        <v>2027</v>
      </c>
      <c r="R533" s="53">
        <v>2305</v>
      </c>
      <c r="S533" s="53" t="s">
        <v>121</v>
      </c>
      <c r="AA533" s="78">
        <f t="shared" si="82"/>
        <v>0</v>
      </c>
      <c r="AG533" s="78"/>
      <c r="AN533" s="53">
        <v>360</v>
      </c>
      <c r="AO533" s="53" t="s">
        <v>3756</v>
      </c>
      <c r="AP533" s="53">
        <v>3</v>
      </c>
      <c r="AR533" s="264" t="str">
        <f ca="1">IF(LEN(Q533)=4,IF(Q533&lt;YEAR(NOW()),_xlfn.CONCAT(IF(LOWER(Setting!rng_language)="english","Expired ","Expiré "),Q533),""),"")</f>
        <v/>
      </c>
      <c r="AT533" s="53" t="b">
        <f>ISNUMBER(MATCH(IF(LEN('USER INPUT SHEET'!rng_province)&gt;0,'USER INPUT SHEET'!rng_province,"Canada"),$AU533:$BD533,0))</f>
        <v>0</v>
      </c>
      <c r="AU533" s="1286" t="s">
        <v>1212</v>
      </c>
      <c r="AV533" s="1286" t="s">
        <v>3277</v>
      </c>
      <c r="AW533" s="1286" t="s">
        <v>1218</v>
      </c>
      <c r="AX533" s="1286" t="s">
        <v>3274</v>
      </c>
      <c r="AY533" s="1286" t="s">
        <v>1216</v>
      </c>
      <c r="AZ533" s="1286" t="s">
        <v>3275</v>
      </c>
      <c r="BA533" s="1286" t="s">
        <v>1214</v>
      </c>
      <c r="BB533" s="1286" t="s">
        <v>3276</v>
      </c>
      <c r="BC533" s="1286"/>
      <c r="BD533" s="1286"/>
    </row>
    <row r="534" spans="1:56" ht="15.75" customHeight="1" x14ac:dyDescent="0.3">
      <c r="A534" s="50" t="str">
        <f t="shared" si="81"/>
        <v xml:space="preserve">Concrete - 35 MPa, 30% FA, GU / ACA / Can. Atlantic Avg. / </v>
      </c>
      <c r="B534" s="53" t="s">
        <v>3567</v>
      </c>
      <c r="C534" s="53" t="s">
        <v>3608</v>
      </c>
      <c r="D534" s="53" t="s">
        <v>3609</v>
      </c>
      <c r="H534" s="50" t="s">
        <v>3548</v>
      </c>
      <c r="I534" s="53" t="s">
        <v>3545</v>
      </c>
      <c r="J534" s="358">
        <v>44983</v>
      </c>
      <c r="K534" s="53">
        <v>369.67</v>
      </c>
      <c r="L534" s="53" t="s">
        <v>3</v>
      </c>
      <c r="M534" s="67">
        <f t="shared" si="79"/>
        <v>369.67</v>
      </c>
      <c r="N534" s="53" t="s">
        <v>3</v>
      </c>
      <c r="O534" s="50" t="s">
        <v>3610</v>
      </c>
      <c r="P534" s="53" t="s">
        <v>137</v>
      </c>
      <c r="Q534" s="1292">
        <v>2027</v>
      </c>
      <c r="R534" s="53">
        <v>2305</v>
      </c>
      <c r="S534" s="53" t="s">
        <v>121</v>
      </c>
      <c r="AA534" s="78">
        <f t="shared" si="82"/>
        <v>0</v>
      </c>
      <c r="AG534" s="78"/>
      <c r="AN534" s="53">
        <v>361</v>
      </c>
      <c r="AO534" s="53" t="s">
        <v>3756</v>
      </c>
      <c r="AP534" s="53">
        <v>4</v>
      </c>
      <c r="AR534" s="264" t="str">
        <f ca="1">IF(LEN(Q534)=4,IF(Q534&lt;YEAR(NOW()),_xlfn.CONCAT(IF(LOWER(Setting!rng_language)="english","Expired ","Expiré "),Q534),""),"")</f>
        <v/>
      </c>
      <c r="AT534" s="53" t="b">
        <f>ISNUMBER(MATCH(IF(LEN('USER INPUT SHEET'!rng_province)&gt;0,'USER INPUT SHEET'!rng_province,"Canada"),$AU534:$BD534,0))</f>
        <v>0</v>
      </c>
      <c r="AU534" s="1286" t="s">
        <v>1212</v>
      </c>
      <c r="AV534" s="1286" t="s">
        <v>3277</v>
      </c>
      <c r="AW534" s="1286" t="s">
        <v>1218</v>
      </c>
      <c r="AX534" s="1286" t="s">
        <v>3274</v>
      </c>
      <c r="AY534" s="1286" t="s">
        <v>1216</v>
      </c>
      <c r="AZ534" s="1286" t="s">
        <v>3275</v>
      </c>
      <c r="BA534" s="1286" t="s">
        <v>1214</v>
      </c>
      <c r="BB534" s="1286" t="s">
        <v>3276</v>
      </c>
      <c r="BC534" s="1286"/>
      <c r="BD534" s="1286"/>
    </row>
    <row r="535" spans="1:56" ht="15.75" customHeight="1" x14ac:dyDescent="0.3">
      <c r="A535" s="50" t="str">
        <f t="shared" si="81"/>
        <v xml:space="preserve">Concrete - 35 MPa, 40% FA, GU / ACA / Can. Atlantic Avg. / </v>
      </c>
      <c r="B535" s="53" t="s">
        <v>3592</v>
      </c>
      <c r="C535" s="53" t="s">
        <v>3608</v>
      </c>
      <c r="D535" s="53" t="s">
        <v>3609</v>
      </c>
      <c r="H535" s="50" t="s">
        <v>3548</v>
      </c>
      <c r="I535" s="53" t="s">
        <v>3545</v>
      </c>
      <c r="J535" s="358">
        <v>44983</v>
      </c>
      <c r="K535" s="53">
        <v>330.39</v>
      </c>
      <c r="L535" s="53" t="s">
        <v>3</v>
      </c>
      <c r="M535" s="67">
        <f t="shared" si="79"/>
        <v>330.39</v>
      </c>
      <c r="N535" s="53" t="s">
        <v>3</v>
      </c>
      <c r="O535" s="50" t="s">
        <v>3610</v>
      </c>
      <c r="P535" s="53" t="s">
        <v>137</v>
      </c>
      <c r="Q535" s="1292">
        <v>2027</v>
      </c>
      <c r="R535" s="53">
        <v>2305</v>
      </c>
      <c r="S535" s="53" t="s">
        <v>121</v>
      </c>
      <c r="AA535" s="78">
        <f t="shared" si="82"/>
        <v>0</v>
      </c>
      <c r="AG535" s="78"/>
      <c r="AN535" s="53">
        <v>362</v>
      </c>
      <c r="AO535" s="53" t="s">
        <v>3756</v>
      </c>
      <c r="AP535" s="53">
        <v>5</v>
      </c>
      <c r="AR535" s="264" t="str">
        <f ca="1">IF(LEN(Q535)=4,IF(Q535&lt;YEAR(NOW()),_xlfn.CONCAT(IF(LOWER(Setting!rng_language)="english","Expired ","Expiré "),Q535),""),"")</f>
        <v/>
      </c>
      <c r="AT535" s="53" t="b">
        <f>ISNUMBER(MATCH(IF(LEN('USER INPUT SHEET'!rng_province)&gt;0,'USER INPUT SHEET'!rng_province,"Canada"),$AU535:$BD535,0))</f>
        <v>0</v>
      </c>
      <c r="AU535" s="1286" t="s">
        <v>1212</v>
      </c>
      <c r="AV535" s="1286" t="s">
        <v>3277</v>
      </c>
      <c r="AW535" s="1286" t="s">
        <v>1218</v>
      </c>
      <c r="AX535" s="1286" t="s">
        <v>3274</v>
      </c>
      <c r="AY535" s="1286" t="s">
        <v>1216</v>
      </c>
      <c r="AZ535" s="1286" t="s">
        <v>3275</v>
      </c>
      <c r="BA535" s="1286" t="s">
        <v>1214</v>
      </c>
      <c r="BB535" s="1286" t="s">
        <v>3276</v>
      </c>
      <c r="BC535" s="1286"/>
      <c r="BD535" s="1286"/>
    </row>
    <row r="536" spans="1:56" ht="15.75" customHeight="1" x14ac:dyDescent="0.3">
      <c r="A536" s="50" t="str">
        <f t="shared" si="81"/>
        <v xml:space="preserve">Concrete - 25 MPa, GU / ARMCA / Can. Alberta Avg. / </v>
      </c>
      <c r="B536" s="53" t="s">
        <v>3568</v>
      </c>
      <c r="C536" s="53" t="s">
        <v>3611</v>
      </c>
      <c r="D536" s="53" t="s">
        <v>3612</v>
      </c>
      <c r="H536" s="50" t="s">
        <v>3548</v>
      </c>
      <c r="I536" s="53" t="s">
        <v>3545</v>
      </c>
      <c r="J536" s="358">
        <v>44983</v>
      </c>
      <c r="K536" s="53">
        <v>341.8</v>
      </c>
      <c r="L536" s="53" t="s">
        <v>3</v>
      </c>
      <c r="M536" s="67">
        <f t="shared" si="79"/>
        <v>341.8</v>
      </c>
      <c r="N536" s="53" t="s">
        <v>3</v>
      </c>
      <c r="O536" s="50" t="s">
        <v>3613</v>
      </c>
      <c r="P536" s="53" t="s">
        <v>137</v>
      </c>
      <c r="Q536" s="1292">
        <v>2027</v>
      </c>
      <c r="R536" s="53">
        <v>2305</v>
      </c>
      <c r="S536" s="53" t="s">
        <v>121</v>
      </c>
      <c r="AA536" s="78">
        <f t="shared" si="82"/>
        <v>0</v>
      </c>
      <c r="AG536" s="78"/>
      <c r="AN536" s="53">
        <v>363</v>
      </c>
      <c r="AO536" s="53" t="s">
        <v>3754</v>
      </c>
      <c r="AP536" s="53">
        <v>1</v>
      </c>
      <c r="AR536" s="264" t="str">
        <f ca="1">IF(LEN(Q536)=4,IF(Q536&lt;YEAR(NOW()),_xlfn.CONCAT(IF(LOWER(Setting!rng_language)="english","Expired ","Expiré "),Q536),""),"")</f>
        <v/>
      </c>
      <c r="AT536" s="53" t="b">
        <f>ISNUMBER(MATCH(IF(LEN('USER INPUT SHEET'!rng_province)&gt;0,'USER INPUT SHEET'!rng_province,"Canada"),$AU536:$BD536,0))</f>
        <v>0</v>
      </c>
      <c r="AU536" s="1286" t="s">
        <v>1207</v>
      </c>
      <c r="AV536" s="1286" t="s">
        <v>1207</v>
      </c>
      <c r="AW536" s="1286"/>
      <c r="AX536" s="1286"/>
      <c r="AY536" s="1286"/>
      <c r="AZ536" s="1286"/>
      <c r="BA536" s="1286"/>
      <c r="BB536" s="1286"/>
      <c r="BC536" s="1286"/>
      <c r="BD536" s="1286"/>
    </row>
    <row r="537" spans="1:56" ht="15.75" customHeight="1" x14ac:dyDescent="0.3">
      <c r="A537" s="50" t="str">
        <f t="shared" si="81"/>
        <v xml:space="preserve">Concrete - 25 MPa, 10% FA, GU / ARMCA / Can. Alberta Avg. / </v>
      </c>
      <c r="B537" s="53" t="s">
        <v>3549</v>
      </c>
      <c r="C537" s="53" t="s">
        <v>3611</v>
      </c>
      <c r="D537" s="53" t="s">
        <v>3612</v>
      </c>
      <c r="H537" s="50" t="s">
        <v>3548</v>
      </c>
      <c r="I537" s="53" t="s">
        <v>3545</v>
      </c>
      <c r="J537" s="358">
        <v>44983</v>
      </c>
      <c r="K537" s="53">
        <v>312.37</v>
      </c>
      <c r="L537" s="53" t="s">
        <v>3</v>
      </c>
      <c r="M537" s="67">
        <f t="shared" si="79"/>
        <v>312.37</v>
      </c>
      <c r="N537" s="53" t="s">
        <v>3</v>
      </c>
      <c r="O537" s="50" t="s">
        <v>3613</v>
      </c>
      <c r="P537" s="53" t="s">
        <v>137</v>
      </c>
      <c r="Q537" s="1292">
        <v>2027</v>
      </c>
      <c r="R537" s="53">
        <v>2305</v>
      </c>
      <c r="S537" s="53" t="s">
        <v>121</v>
      </c>
      <c r="AA537" s="78">
        <f t="shared" si="82"/>
        <v>0</v>
      </c>
      <c r="AG537" s="78"/>
      <c r="AN537" s="53">
        <v>364</v>
      </c>
      <c r="AO537" s="53" t="s">
        <v>3754</v>
      </c>
      <c r="AP537" s="53">
        <v>2</v>
      </c>
      <c r="AR537" s="264" t="str">
        <f ca="1">IF(LEN(Q537)=4,IF(Q537&lt;YEAR(NOW()),_xlfn.CONCAT(IF(LOWER(Setting!rng_language)="english","Expired ","Expiré "),Q537),""),"")</f>
        <v/>
      </c>
      <c r="AT537" s="53" t="b">
        <f>ISNUMBER(MATCH(IF(LEN('USER INPUT SHEET'!rng_province)&gt;0,'USER INPUT SHEET'!rng_province,"Canada"),$AU537:$BD537,0))</f>
        <v>0</v>
      </c>
      <c r="AU537" s="1286" t="s">
        <v>1207</v>
      </c>
      <c r="AV537" s="1286" t="s">
        <v>1207</v>
      </c>
      <c r="AW537" s="1286"/>
      <c r="AX537" s="1286"/>
      <c r="AY537" s="1286"/>
      <c r="AZ537" s="1286"/>
      <c r="BA537" s="1286"/>
      <c r="BB537" s="1286"/>
      <c r="BC537" s="1286"/>
      <c r="BD537" s="1286"/>
    </row>
    <row r="538" spans="1:56" ht="15.75" customHeight="1" x14ac:dyDescent="0.3">
      <c r="A538" s="50" t="str">
        <f t="shared" si="81"/>
        <v xml:space="preserve">Concrete - 25 MPa, 20% FA, GU / ARMCA / Can. Alberta Avg. / </v>
      </c>
      <c r="B538" s="53" t="s">
        <v>3551</v>
      </c>
      <c r="C538" s="53" t="s">
        <v>3611</v>
      </c>
      <c r="D538" s="53" t="s">
        <v>3612</v>
      </c>
      <c r="H538" s="50" t="s">
        <v>3548</v>
      </c>
      <c r="I538" s="53" t="s">
        <v>3545</v>
      </c>
      <c r="J538" s="358">
        <v>44983</v>
      </c>
      <c r="K538" s="53">
        <v>282.5</v>
      </c>
      <c r="L538" s="53" t="s">
        <v>3</v>
      </c>
      <c r="M538" s="67">
        <f t="shared" si="79"/>
        <v>282.5</v>
      </c>
      <c r="N538" s="53" t="s">
        <v>3</v>
      </c>
      <c r="O538" s="50" t="s">
        <v>3613</v>
      </c>
      <c r="P538" s="53" t="s">
        <v>137</v>
      </c>
      <c r="Q538" s="1292">
        <v>2027</v>
      </c>
      <c r="R538" s="53">
        <v>2305</v>
      </c>
      <c r="S538" s="53" t="s">
        <v>121</v>
      </c>
      <c r="AA538" s="78">
        <f t="shared" si="82"/>
        <v>0</v>
      </c>
      <c r="AG538" s="78"/>
      <c r="AN538" s="53">
        <v>365</v>
      </c>
      <c r="AO538" s="53" t="s">
        <v>3754</v>
      </c>
      <c r="AP538" s="53">
        <v>3</v>
      </c>
      <c r="AR538" s="264" t="str">
        <f ca="1">IF(LEN(Q538)=4,IF(Q538&lt;YEAR(NOW()),_xlfn.CONCAT(IF(LOWER(Setting!rng_language)="english","Expired ","Expiré "),Q538),""),"")</f>
        <v/>
      </c>
      <c r="AT538" s="53" t="b">
        <f>ISNUMBER(MATCH(IF(LEN('USER INPUT SHEET'!rng_province)&gt;0,'USER INPUT SHEET'!rng_province,"Canada"),$AU538:$BD538,0))</f>
        <v>0</v>
      </c>
      <c r="AU538" s="1286" t="s">
        <v>1207</v>
      </c>
      <c r="AV538" s="1286" t="s">
        <v>1207</v>
      </c>
      <c r="AW538" s="1286"/>
      <c r="AX538" s="1286"/>
      <c r="AY538" s="1286"/>
      <c r="AZ538" s="1286"/>
      <c r="BA538" s="1286"/>
      <c r="BB538" s="1286"/>
      <c r="BC538" s="1286"/>
      <c r="BD538" s="1286"/>
    </row>
    <row r="539" spans="1:56" ht="15.75" customHeight="1" x14ac:dyDescent="0.3">
      <c r="A539" s="50" t="str">
        <f t="shared" si="81"/>
        <v xml:space="preserve">Concrete - 30 MPa, GU / ARMCA / Can. Alberta Avg. / </v>
      </c>
      <c r="B539" s="53" t="s">
        <v>3577</v>
      </c>
      <c r="C539" s="53" t="s">
        <v>3611</v>
      </c>
      <c r="D539" s="53" t="s">
        <v>3612</v>
      </c>
      <c r="H539" s="50" t="s">
        <v>3548</v>
      </c>
      <c r="I539" s="53" t="s">
        <v>3545</v>
      </c>
      <c r="J539" s="358">
        <v>44983</v>
      </c>
      <c r="K539" s="53">
        <v>384.98</v>
      </c>
      <c r="L539" s="53" t="s">
        <v>3</v>
      </c>
      <c r="M539" s="67">
        <f t="shared" si="79"/>
        <v>384.98</v>
      </c>
      <c r="N539" s="53" t="s">
        <v>3</v>
      </c>
      <c r="O539" s="50" t="s">
        <v>3613</v>
      </c>
      <c r="P539" s="53" t="s">
        <v>137</v>
      </c>
      <c r="Q539" s="1292">
        <v>2027</v>
      </c>
      <c r="R539" s="53">
        <v>2305</v>
      </c>
      <c r="S539" s="53" t="s">
        <v>121</v>
      </c>
      <c r="AA539" s="78">
        <f t="shared" si="82"/>
        <v>0</v>
      </c>
      <c r="AG539" s="78"/>
      <c r="AN539" s="53">
        <v>366</v>
      </c>
      <c r="AO539" s="53" t="s">
        <v>3755</v>
      </c>
      <c r="AP539" s="53">
        <v>1</v>
      </c>
      <c r="AR539" s="264" t="str">
        <f ca="1">IF(LEN(Q539)=4,IF(Q539&lt;YEAR(NOW()),_xlfn.CONCAT(IF(LOWER(Setting!rng_language)="english","Expired ","Expiré "),Q539),""),"")</f>
        <v/>
      </c>
      <c r="AT539" s="53" t="b">
        <f>ISNUMBER(MATCH(IF(LEN('USER INPUT SHEET'!rng_province)&gt;0,'USER INPUT SHEET'!rng_province,"Canada"),$AU539:$BD539,0))</f>
        <v>0</v>
      </c>
      <c r="AU539" s="1286" t="s">
        <v>1207</v>
      </c>
      <c r="AV539" s="1286" t="s">
        <v>1207</v>
      </c>
      <c r="AW539" s="1286"/>
      <c r="AX539" s="1286"/>
      <c r="AY539" s="1286"/>
      <c r="AZ539" s="1286"/>
      <c r="BA539" s="1286"/>
      <c r="BB539" s="1286"/>
      <c r="BC539" s="1286"/>
      <c r="BD539" s="1286"/>
    </row>
    <row r="540" spans="1:56" ht="15.75" customHeight="1" x14ac:dyDescent="0.3">
      <c r="A540" s="50" t="str">
        <f t="shared" si="81"/>
        <v xml:space="preserve">Concrete - 30 MPa, 10% FA, GU / ARMCA / Can. Alberta Avg. / </v>
      </c>
      <c r="B540" s="53" t="s">
        <v>3556</v>
      </c>
      <c r="C540" s="53" t="s">
        <v>3611</v>
      </c>
      <c r="D540" s="53" t="s">
        <v>3612</v>
      </c>
      <c r="H540" s="50" t="s">
        <v>3548</v>
      </c>
      <c r="I540" s="53" t="s">
        <v>3545</v>
      </c>
      <c r="J540" s="358">
        <v>44983</v>
      </c>
      <c r="K540" s="53">
        <v>351.67</v>
      </c>
      <c r="L540" s="53" t="s">
        <v>3</v>
      </c>
      <c r="M540" s="67">
        <f t="shared" si="79"/>
        <v>351.67</v>
      </c>
      <c r="N540" s="53" t="s">
        <v>3</v>
      </c>
      <c r="O540" s="50" t="s">
        <v>3613</v>
      </c>
      <c r="P540" s="53" t="s">
        <v>137</v>
      </c>
      <c r="Q540" s="1292">
        <v>2027</v>
      </c>
      <c r="R540" s="53">
        <v>2305</v>
      </c>
      <c r="S540" s="53" t="s">
        <v>121</v>
      </c>
      <c r="AA540" s="78">
        <f t="shared" si="82"/>
        <v>0</v>
      </c>
      <c r="AG540" s="78"/>
      <c r="AN540" s="53">
        <v>367</v>
      </c>
      <c r="AO540" s="53" t="s">
        <v>3755</v>
      </c>
      <c r="AP540" s="53">
        <v>2</v>
      </c>
      <c r="AR540" s="264" t="str">
        <f ca="1">IF(LEN(Q540)=4,IF(Q540&lt;YEAR(NOW()),_xlfn.CONCAT(IF(LOWER(Setting!rng_language)="english","Expired ","Expiré "),Q540),""),"")</f>
        <v/>
      </c>
      <c r="AT540" s="53" t="b">
        <f>ISNUMBER(MATCH(IF(LEN('USER INPUT SHEET'!rng_province)&gt;0,'USER INPUT SHEET'!rng_province,"Canada"),$AU540:$BD540,0))</f>
        <v>0</v>
      </c>
      <c r="AU540" s="1286" t="s">
        <v>1207</v>
      </c>
      <c r="AV540" s="1286" t="s">
        <v>1207</v>
      </c>
      <c r="AW540" s="1286"/>
      <c r="AX540" s="1286"/>
      <c r="AY540" s="1286"/>
      <c r="AZ540" s="1286"/>
      <c r="BA540" s="1286"/>
      <c r="BB540" s="1286"/>
      <c r="BC540" s="1286"/>
      <c r="BD540" s="1286"/>
    </row>
    <row r="541" spans="1:56" ht="15.75" customHeight="1" x14ac:dyDescent="0.3">
      <c r="A541" s="50" t="str">
        <f t="shared" si="81"/>
        <v xml:space="preserve">Concrete - 30 MPa, 20% FA, GU / ARMCA / Can. Alberta Avg. / </v>
      </c>
      <c r="B541" s="53" t="s">
        <v>3558</v>
      </c>
      <c r="C541" s="53" t="s">
        <v>3611</v>
      </c>
      <c r="D541" s="53" t="s">
        <v>3612</v>
      </c>
      <c r="H541" s="50" t="s">
        <v>3548</v>
      </c>
      <c r="I541" s="53" t="s">
        <v>3545</v>
      </c>
      <c r="J541" s="358">
        <v>44983</v>
      </c>
      <c r="K541" s="53">
        <v>317.89999999999998</v>
      </c>
      <c r="L541" s="53" t="s">
        <v>3</v>
      </c>
      <c r="M541" s="67">
        <f t="shared" si="79"/>
        <v>317.89999999999998</v>
      </c>
      <c r="N541" s="53" t="s">
        <v>3</v>
      </c>
      <c r="O541" s="50" t="s">
        <v>3613</v>
      </c>
      <c r="P541" s="53" t="s">
        <v>137</v>
      </c>
      <c r="Q541" s="1292">
        <v>2027</v>
      </c>
      <c r="R541" s="53">
        <v>2305</v>
      </c>
      <c r="S541" s="53" t="s">
        <v>121</v>
      </c>
      <c r="AA541" s="78">
        <f t="shared" si="82"/>
        <v>0</v>
      </c>
      <c r="AG541" s="78"/>
      <c r="AN541" s="53">
        <v>368</v>
      </c>
      <c r="AO541" s="53" t="s">
        <v>3755</v>
      </c>
      <c r="AP541" s="53">
        <v>3</v>
      </c>
      <c r="AR541" s="264" t="str">
        <f ca="1">IF(LEN(Q541)=4,IF(Q541&lt;YEAR(NOW()),_xlfn.CONCAT(IF(LOWER(Setting!rng_language)="english","Expired ","Expiré "),Q541),""),"")</f>
        <v/>
      </c>
      <c r="AT541" s="53" t="b">
        <f>ISNUMBER(MATCH(IF(LEN('USER INPUT SHEET'!rng_province)&gt;0,'USER INPUT SHEET'!rng_province,"Canada"),$AU541:$BD541,0))</f>
        <v>0</v>
      </c>
      <c r="AU541" s="1286" t="s">
        <v>1207</v>
      </c>
      <c r="AV541" s="1286" t="s">
        <v>1207</v>
      </c>
      <c r="AW541" s="1286"/>
      <c r="AX541" s="1286"/>
      <c r="AY541" s="1286"/>
      <c r="AZ541" s="1286"/>
      <c r="BA541" s="1286"/>
      <c r="BB541" s="1286"/>
      <c r="BC541" s="1286"/>
      <c r="BD541" s="1286"/>
    </row>
    <row r="542" spans="1:56" ht="15.75" customHeight="1" x14ac:dyDescent="0.3">
      <c r="A542" s="50" t="str">
        <f t="shared" si="81"/>
        <v xml:space="preserve">Concrete - 35 MPa, GU / ARMCA / Can. Alberta Avg. / </v>
      </c>
      <c r="B542" s="53" t="s">
        <v>3582</v>
      </c>
      <c r="C542" s="53" t="s">
        <v>3611</v>
      </c>
      <c r="D542" s="53" t="s">
        <v>3612</v>
      </c>
      <c r="H542" s="50" t="s">
        <v>3548</v>
      </c>
      <c r="I542" s="53" t="s">
        <v>3545</v>
      </c>
      <c r="J542" s="358">
        <v>44983</v>
      </c>
      <c r="K542" s="53">
        <v>435.13</v>
      </c>
      <c r="L542" s="53" t="s">
        <v>3</v>
      </c>
      <c r="M542" s="67">
        <f t="shared" si="79"/>
        <v>435.13</v>
      </c>
      <c r="N542" s="53" t="s">
        <v>3</v>
      </c>
      <c r="O542" s="50" t="s">
        <v>3613</v>
      </c>
      <c r="P542" s="53" t="s">
        <v>137</v>
      </c>
      <c r="Q542" s="1292">
        <v>2027</v>
      </c>
      <c r="R542" s="53">
        <v>2305</v>
      </c>
      <c r="S542" s="53" t="s">
        <v>121</v>
      </c>
      <c r="AA542" s="78">
        <f t="shared" si="82"/>
        <v>0</v>
      </c>
      <c r="AG542" s="78"/>
      <c r="AN542" s="53">
        <v>369</v>
      </c>
      <c r="AO542" s="53" t="s">
        <v>3756</v>
      </c>
      <c r="AP542" s="53">
        <v>1</v>
      </c>
      <c r="AR542" s="264" t="str">
        <f ca="1">IF(LEN(Q542)=4,IF(Q542&lt;YEAR(NOW()),_xlfn.CONCAT(IF(LOWER(Setting!rng_language)="english","Expired ","Expiré "),Q542),""),"")</f>
        <v/>
      </c>
      <c r="AT542" s="53" t="b">
        <f>ISNUMBER(MATCH(IF(LEN('USER INPUT SHEET'!rng_province)&gt;0,'USER INPUT SHEET'!rng_province,"Canada"),$AU542:$BD542,0))</f>
        <v>0</v>
      </c>
      <c r="AU542" s="1286" t="s">
        <v>1207</v>
      </c>
      <c r="AV542" s="1286" t="s">
        <v>1207</v>
      </c>
      <c r="AW542" s="1286"/>
      <c r="AX542" s="1286"/>
      <c r="AY542" s="1286"/>
      <c r="AZ542" s="1286"/>
      <c r="BA542" s="1286"/>
      <c r="BB542" s="1286"/>
      <c r="BC542" s="1286"/>
      <c r="BD542" s="1286"/>
    </row>
    <row r="543" spans="1:56" ht="15.75" customHeight="1" x14ac:dyDescent="0.3">
      <c r="A543" s="50" t="str">
        <f t="shared" si="81"/>
        <v xml:space="preserve">Concrete - 35 MPa, 10% FA, GU / ARMCA / Can. Alberta Avg. / </v>
      </c>
      <c r="B543" s="53" t="s">
        <v>3563</v>
      </c>
      <c r="C543" s="53" t="s">
        <v>3611</v>
      </c>
      <c r="D543" s="53" t="s">
        <v>3612</v>
      </c>
      <c r="H543" s="50" t="s">
        <v>3548</v>
      </c>
      <c r="I543" s="53" t="s">
        <v>3545</v>
      </c>
      <c r="J543" s="358">
        <v>44983</v>
      </c>
      <c r="K543" s="53">
        <v>397.06</v>
      </c>
      <c r="L543" s="53" t="s">
        <v>3</v>
      </c>
      <c r="M543" s="67">
        <f t="shared" si="79"/>
        <v>397.06</v>
      </c>
      <c r="N543" s="53" t="s">
        <v>3</v>
      </c>
      <c r="O543" s="50" t="s">
        <v>3613</v>
      </c>
      <c r="P543" s="53" t="s">
        <v>137</v>
      </c>
      <c r="Q543" s="1292">
        <v>2027</v>
      </c>
      <c r="R543" s="53">
        <v>2305</v>
      </c>
      <c r="S543" s="53" t="s">
        <v>121</v>
      </c>
      <c r="AA543" s="78">
        <f t="shared" si="82"/>
        <v>0</v>
      </c>
      <c r="AG543" s="78"/>
      <c r="AN543" s="53">
        <v>370</v>
      </c>
      <c r="AO543" s="53" t="s">
        <v>3756</v>
      </c>
      <c r="AP543" s="53">
        <v>2</v>
      </c>
      <c r="AR543" s="264" t="str">
        <f ca="1">IF(LEN(Q543)=4,IF(Q543&lt;YEAR(NOW()),_xlfn.CONCAT(IF(LOWER(Setting!rng_language)="english","Expired ","Expiré "),Q543),""),"")</f>
        <v/>
      </c>
      <c r="AT543" s="53" t="b">
        <f>ISNUMBER(MATCH(IF(LEN('USER INPUT SHEET'!rng_province)&gt;0,'USER INPUT SHEET'!rng_province,"Canada"),$AU543:$BD543,0))</f>
        <v>0</v>
      </c>
      <c r="AU543" s="1286" t="s">
        <v>1207</v>
      </c>
      <c r="AV543" s="1286" t="s">
        <v>1207</v>
      </c>
      <c r="AW543" s="1286"/>
      <c r="AX543" s="1286"/>
      <c r="AY543" s="1286"/>
      <c r="AZ543" s="1286"/>
      <c r="BA543" s="1286"/>
      <c r="BB543" s="1286"/>
      <c r="BC543" s="1286"/>
      <c r="BD543" s="1286"/>
    </row>
    <row r="544" spans="1:56" ht="15.75" customHeight="1" x14ac:dyDescent="0.3">
      <c r="A544" s="50" t="str">
        <f t="shared" si="81"/>
        <v xml:space="preserve">Concrete - 35 MPa, 20% FA, GU / ARMCA / Can. Alberta Avg. / </v>
      </c>
      <c r="B544" s="53" t="s">
        <v>3565</v>
      </c>
      <c r="C544" s="53" t="s">
        <v>3611</v>
      </c>
      <c r="D544" s="53" t="s">
        <v>3612</v>
      </c>
      <c r="H544" s="50" t="s">
        <v>3548</v>
      </c>
      <c r="I544" s="53" t="s">
        <v>3545</v>
      </c>
      <c r="J544" s="358">
        <v>44983</v>
      </c>
      <c r="K544" s="53">
        <v>358.54</v>
      </c>
      <c r="L544" s="53" t="s">
        <v>3</v>
      </c>
      <c r="M544" s="67">
        <f t="shared" si="79"/>
        <v>358.54</v>
      </c>
      <c r="N544" s="53" t="s">
        <v>3</v>
      </c>
      <c r="O544" s="50" t="s">
        <v>3613</v>
      </c>
      <c r="P544" s="53" t="s">
        <v>137</v>
      </c>
      <c r="Q544" s="1292">
        <v>2027</v>
      </c>
      <c r="R544" s="53">
        <v>2305</v>
      </c>
      <c r="S544" s="53" t="s">
        <v>121</v>
      </c>
      <c r="AA544" s="78">
        <f t="shared" si="82"/>
        <v>0</v>
      </c>
      <c r="AG544" s="78"/>
      <c r="AN544" s="53">
        <v>371</v>
      </c>
      <c r="AO544" s="53" t="s">
        <v>3756</v>
      </c>
      <c r="AP544" s="53">
        <v>3</v>
      </c>
      <c r="AR544" s="264" t="str">
        <f ca="1">IF(LEN(Q544)=4,IF(Q544&lt;YEAR(NOW()),_xlfn.CONCAT(IF(LOWER(Setting!rng_language)="english","Expired ","Expiré "),Q544),""),"")</f>
        <v/>
      </c>
      <c r="AT544" s="53" t="b">
        <f>ISNUMBER(MATCH(IF(LEN('USER INPUT SHEET'!rng_province)&gt;0,'USER INPUT SHEET'!rng_province,"Canada"),$AU544:$BD544,0))</f>
        <v>0</v>
      </c>
      <c r="AU544" s="1286" t="s">
        <v>1207</v>
      </c>
      <c r="AV544" s="1286" t="s">
        <v>1207</v>
      </c>
      <c r="AW544" s="1286"/>
      <c r="AX544" s="1286"/>
      <c r="AY544" s="1286"/>
      <c r="AZ544" s="1286"/>
      <c r="BA544" s="1286"/>
      <c r="BB544" s="1286"/>
      <c r="BC544" s="1286"/>
      <c r="BD544" s="1286"/>
    </row>
    <row r="545" spans="1:56" ht="15.75" customHeight="1" x14ac:dyDescent="0.3">
      <c r="A545" s="50" t="str">
        <f t="shared" si="81"/>
        <v xml:space="preserve">Vinyl flooring / Shaw - Patcraft / Luxury Vinyl Tile / 2 - 5 mm </v>
      </c>
      <c r="B545" s="53" t="s">
        <v>665</v>
      </c>
      <c r="C545" s="53" t="s">
        <v>3614</v>
      </c>
      <c r="D545" s="53" t="s">
        <v>3615</v>
      </c>
      <c r="E545" s="53" t="s">
        <v>3616</v>
      </c>
      <c r="H545" s="50"/>
      <c r="I545" s="53" t="s">
        <v>3515</v>
      </c>
      <c r="J545" s="358">
        <v>44911</v>
      </c>
      <c r="K545" s="53">
        <v>9.59</v>
      </c>
      <c r="L545" s="53" t="s">
        <v>5</v>
      </c>
      <c r="M545" s="67">
        <v>9.59</v>
      </c>
      <c r="N545" s="53" t="s">
        <v>3501</v>
      </c>
      <c r="O545" s="50" t="s">
        <v>3617</v>
      </c>
      <c r="P545" s="53" t="s">
        <v>3502</v>
      </c>
      <c r="Q545" s="1292">
        <v>2026</v>
      </c>
      <c r="R545" s="53">
        <v>5.7600000000000004E-3</v>
      </c>
      <c r="S545" s="53" t="s">
        <v>3618</v>
      </c>
      <c r="AA545" s="78">
        <f t="shared" si="82"/>
        <v>0</v>
      </c>
      <c r="AG545" s="78"/>
      <c r="AN545" s="53">
        <v>372</v>
      </c>
      <c r="AR545" s="264" t="str">
        <f ca="1">IF(LEN(Q545)=4,IF(Q545&lt;YEAR(NOW()),_xlfn.CONCAT(IF(LOWER(Setting!rng_language)="english","Expired ","Expiré "),Q545),""),"")</f>
        <v/>
      </c>
      <c r="AT545" s="53" t="b">
        <f>ISNUMBER(MATCH(IF(LEN('USER INPUT SHEET'!rng_province)&gt;0,'USER INPUT SHEET'!rng_province,"Canada"),$AU545:$BD545,0))</f>
        <v>0</v>
      </c>
      <c r="AU545" s="1286"/>
      <c r="AV545" s="1286"/>
      <c r="AW545" s="1286"/>
      <c r="AX545" s="1286"/>
      <c r="AY545" s="1286"/>
      <c r="AZ545" s="1286"/>
      <c r="BA545" s="1286"/>
      <c r="BB545" s="1286"/>
      <c r="BC545" s="1286"/>
      <c r="BD545" s="1286"/>
    </row>
    <row r="546" spans="1:56" ht="15.75" customHeight="1" x14ac:dyDescent="0.3">
      <c r="A546" s="50" t="str">
        <f t="shared" si="81"/>
        <v>Linoleum flooring / Gerflor  / DLW Linoleum Compact / 2.5 mm sheet style linoleum</v>
      </c>
      <c r="B546" s="53" t="s">
        <v>452</v>
      </c>
      <c r="C546" s="53" t="s">
        <v>459</v>
      </c>
      <c r="D546" s="53" t="s">
        <v>3619</v>
      </c>
      <c r="E546" s="53" t="s">
        <v>453</v>
      </c>
      <c r="H546" s="50"/>
      <c r="I546" s="53" t="s">
        <v>3500</v>
      </c>
      <c r="J546" s="358">
        <v>44916</v>
      </c>
      <c r="K546" s="53">
        <v>0.10099999999999998</v>
      </c>
      <c r="L546" s="53" t="s">
        <v>3501</v>
      </c>
      <c r="M546" s="67">
        <v>4.6609400000000001</v>
      </c>
      <c r="N546" s="53" t="s">
        <v>3501</v>
      </c>
      <c r="O546" s="50" t="s">
        <v>3620</v>
      </c>
      <c r="P546" s="53" t="s">
        <v>3502</v>
      </c>
      <c r="Q546" s="1292">
        <v>2025</v>
      </c>
      <c r="R546" s="53">
        <v>2.94</v>
      </c>
      <c r="S546" s="53" t="s">
        <v>141</v>
      </c>
      <c r="AA546" s="78">
        <f>AF546*rng_biogenic_storage</f>
        <v>5.742</v>
      </c>
      <c r="AF546" s="53">
        <v>6.38</v>
      </c>
      <c r="AG546" s="78"/>
      <c r="AK546" s="165">
        <v>2.5300000000000001E-3</v>
      </c>
      <c r="AN546" s="53">
        <v>373</v>
      </c>
      <c r="AR546" s="264" t="str">
        <f ca="1">IF(LEN(Q546)=4,IF(Q546&lt;YEAR(NOW()),_xlfn.CONCAT(IF(LOWER(Setting!rng_language)="english","Expired ","Expiré "),Q546),""),"")</f>
        <v>Expired 2025</v>
      </c>
      <c r="AT546" s="53" t="b">
        <f>ISNUMBER(MATCH(IF(LEN('USER INPUT SHEET'!rng_province)&gt;0,'USER INPUT SHEET'!rng_province,"Canada"),$AU546:$BD546,0))</f>
        <v>0</v>
      </c>
      <c r="AU546" s="1286"/>
      <c r="AV546" s="1286"/>
      <c r="AW546" s="1286"/>
      <c r="AX546" s="1286"/>
      <c r="AY546" s="1286"/>
      <c r="AZ546" s="1286"/>
      <c r="BA546" s="1286"/>
      <c r="BB546" s="1286"/>
      <c r="BC546" s="1286"/>
      <c r="BD546" s="1286"/>
    </row>
    <row r="547" spans="1:56" ht="15.75" customHeight="1" x14ac:dyDescent="0.3">
      <c r="A547" s="50" t="str">
        <f t="shared" si="81"/>
        <v>Fiberglass loose fill / Johns Manville / Climate Pro, Attic Protector, JM Spider PLUS (Canada) / R 2.8/inch, Formaldehyde-free</v>
      </c>
      <c r="B547" s="53" t="s">
        <v>378</v>
      </c>
      <c r="C547" s="53" t="s">
        <v>3621</v>
      </c>
      <c r="D547" s="53" t="s">
        <v>3622</v>
      </c>
      <c r="E547" s="53" t="s">
        <v>3623</v>
      </c>
      <c r="H547" s="50"/>
      <c r="I547" s="53" t="s">
        <v>3515</v>
      </c>
      <c r="J547" s="358">
        <v>44916</v>
      </c>
      <c r="K547" s="53">
        <v>0.55100000000000005</v>
      </c>
      <c r="L547" s="53" t="s">
        <v>3516</v>
      </c>
      <c r="M547" s="67">
        <v>0.55100000000000005</v>
      </c>
      <c r="N547" s="53" t="s">
        <v>3516</v>
      </c>
      <c r="O547" s="50" t="s">
        <v>3624</v>
      </c>
      <c r="P547" s="53" t="s">
        <v>3502</v>
      </c>
      <c r="Q547" s="1292">
        <v>2028</v>
      </c>
      <c r="R547" s="53">
        <v>0.46</v>
      </c>
      <c r="S547" s="53" t="s">
        <v>141</v>
      </c>
      <c r="AA547" s="78">
        <f t="shared" ref="AA547:AA548" si="83">_xlfn.NUMBERVALUE(IF(LEN(AG547)&gt;0,AG547,0))</f>
        <v>0</v>
      </c>
      <c r="AG547" s="78"/>
      <c r="AN547" s="53">
        <v>374</v>
      </c>
      <c r="AR547" s="264" t="str">
        <f ca="1">IF(LEN(Q547)=4,IF(Q547&lt;YEAR(NOW()),_xlfn.CONCAT(IF(LOWER(Setting!rng_language)="english","Expired ","Expiré "),Q547),""),"")</f>
        <v/>
      </c>
      <c r="AT547" s="53" t="b">
        <f>ISNUMBER(MATCH(IF(LEN('USER INPUT SHEET'!rng_province)&gt;0,'USER INPUT SHEET'!rng_province,"Canada"),$AU547:$BD547,0))</f>
        <v>0</v>
      </c>
      <c r="AU547" s="1286"/>
      <c r="AV547" s="1286"/>
      <c r="AW547" s="1286"/>
      <c r="AX547" s="1286"/>
      <c r="AY547" s="1286"/>
      <c r="AZ547" s="1286"/>
      <c r="BA547" s="1286"/>
      <c r="BB547" s="1286"/>
      <c r="BC547" s="1286"/>
      <c r="BD547" s="1286"/>
    </row>
    <row r="548" spans="1:56" ht="15.75" customHeight="1" x14ac:dyDescent="0.3">
      <c r="A548" s="50" t="str">
        <f t="shared" si="81"/>
        <v>Window - double pane / Andersen / E-series (Average Double-hung/Awning/Picture) / Wood frame, aluminum cladding</v>
      </c>
      <c r="B548" s="53" t="s">
        <v>682</v>
      </c>
      <c r="C548" s="53" t="s">
        <v>687</v>
      </c>
      <c r="D548" s="53" t="s">
        <v>3625</v>
      </c>
      <c r="E548" s="53" t="s">
        <v>686</v>
      </c>
      <c r="H548" s="50" t="s">
        <v>3503</v>
      </c>
      <c r="I548" s="53" t="s">
        <v>3515</v>
      </c>
      <c r="J548" s="358">
        <v>44983</v>
      </c>
      <c r="K548" s="53">
        <v>73.8</v>
      </c>
      <c r="L548" s="53" t="s">
        <v>3501</v>
      </c>
      <c r="M548" s="67">
        <v>73.8</v>
      </c>
      <c r="N548" s="53" t="s">
        <v>3501</v>
      </c>
      <c r="O548" s="50" t="s">
        <v>3626</v>
      </c>
      <c r="P548" s="53" t="s">
        <v>3627</v>
      </c>
      <c r="Q548" s="1292">
        <v>2026</v>
      </c>
      <c r="AA548" s="78">
        <f t="shared" si="83"/>
        <v>0</v>
      </c>
      <c r="AG548" s="78"/>
      <c r="AN548" s="53">
        <v>375</v>
      </c>
      <c r="AR548" s="264" t="str">
        <f ca="1">IF(LEN(Q548)=4,IF(Q548&lt;YEAR(NOW()),_xlfn.CONCAT(IF(LOWER(Setting!rng_language)="english","Expired ","Expiré "),Q548),""),"")</f>
        <v/>
      </c>
      <c r="AT548" s="53" t="b">
        <f>ISNUMBER(MATCH(IF(LEN('USER INPUT SHEET'!rng_province)&gt;0,'USER INPUT SHEET'!rng_province,"Canada"),$AU548:$BD548,0))</f>
        <v>0</v>
      </c>
      <c r="AU548" s="1286"/>
      <c r="AV548" s="1286"/>
      <c r="AW548" s="1286"/>
      <c r="AX548" s="1286"/>
      <c r="AY548" s="1286"/>
      <c r="AZ548" s="1286"/>
      <c r="BA548" s="1286"/>
      <c r="BB548" s="1286"/>
      <c r="BC548" s="1286"/>
      <c r="BD548" s="1286"/>
    </row>
    <row r="549" spans="1:56" ht="15.75" customHeight="1" x14ac:dyDescent="0.3">
      <c r="A549" s="50" t="str">
        <f t="shared" si="81"/>
        <v>Drywall 1/2" / National Gypsum / Gold Bond XP Gypsum Board  / 1/2" (12.7 mm)</v>
      </c>
      <c r="B549" s="53" t="s">
        <v>324</v>
      </c>
      <c r="C549" s="53" t="s">
        <v>3628</v>
      </c>
      <c r="D549" s="53" t="s">
        <v>3629</v>
      </c>
      <c r="E549" s="53" t="s">
        <v>169</v>
      </c>
      <c r="H549" s="50"/>
      <c r="I549" s="53" t="s">
        <v>3515</v>
      </c>
      <c r="J549" s="358">
        <v>44983</v>
      </c>
      <c r="K549" s="60">
        <v>428</v>
      </c>
      <c r="L549" s="53" t="s">
        <v>846</v>
      </c>
      <c r="M549" s="67">
        <v>4.6071044133476855</v>
      </c>
      <c r="N549" s="53" t="s">
        <v>3504</v>
      </c>
      <c r="O549" s="50" t="s">
        <v>3630</v>
      </c>
      <c r="P549" s="53" t="s">
        <v>158</v>
      </c>
      <c r="Q549" s="1292">
        <v>2027</v>
      </c>
      <c r="R549" s="53">
        <v>859</v>
      </c>
      <c r="S549" s="53" t="s">
        <v>3631</v>
      </c>
      <c r="T549" s="58">
        <f t="shared" ref="T549:T550" si="84">R549/92.9</f>
        <v>9.2465016146393975</v>
      </c>
      <c r="U549" s="53" t="s">
        <v>141</v>
      </c>
      <c r="Y549" s="53">
        <v>0.05</v>
      </c>
      <c r="Z549" s="53">
        <v>0.5</v>
      </c>
      <c r="AA549" s="78">
        <f>(AF549)*rng_biogenic_storage</f>
        <v>0.76283638320775027</v>
      </c>
      <c r="AD549" s="58">
        <f>Y549*Z549*T549</f>
        <v>0.23116254036598494</v>
      </c>
      <c r="AF549" s="58">
        <f>AD549*44/12</f>
        <v>0.84759598134194469</v>
      </c>
      <c r="AG549" s="78"/>
      <c r="AH549" s="58"/>
      <c r="AN549" s="53">
        <v>376</v>
      </c>
      <c r="AR549" s="264" t="str">
        <f ca="1">IF(LEN(Q549)=4,IF(Q549&lt;YEAR(NOW()),_xlfn.CONCAT(IF(LOWER(Setting!rng_language)="english","Expired ","Expiré "),Q549),""),"")</f>
        <v/>
      </c>
      <c r="AT549" s="53" t="b">
        <f>ISNUMBER(MATCH(IF(LEN('USER INPUT SHEET'!rng_province)&gt;0,'USER INPUT SHEET'!rng_province,"Canada"),$AU549:$BD549,0))</f>
        <v>0</v>
      </c>
      <c r="AU549" s="1286"/>
      <c r="AV549" s="1286"/>
      <c r="AW549" s="1286"/>
      <c r="AX549" s="1286"/>
      <c r="AY549" s="1286"/>
      <c r="AZ549" s="1286"/>
      <c r="BA549" s="1286"/>
      <c r="BB549" s="1286"/>
      <c r="BC549" s="1286"/>
      <c r="BD549" s="1286"/>
    </row>
    <row r="550" spans="1:56" ht="15.75" customHeight="1" x14ac:dyDescent="0.3">
      <c r="A550" s="50" t="str">
        <f t="shared" si="81"/>
        <v>Drywall 5/8" Type X / National Gypsum / Gold Bond XP Fire-Shield Gypsum Board  / 5/8'' type X</v>
      </c>
      <c r="B550" s="53" t="s">
        <v>3777</v>
      </c>
      <c r="C550" s="53" t="s">
        <v>3628</v>
      </c>
      <c r="D550" s="53" t="s">
        <v>3632</v>
      </c>
      <c r="E550" s="53" t="s">
        <v>3633</v>
      </c>
      <c r="H550" s="50"/>
      <c r="I550" s="53" t="s">
        <v>3515</v>
      </c>
      <c r="J550" s="358">
        <v>44983</v>
      </c>
      <c r="K550" s="60">
        <v>481</v>
      </c>
      <c r="L550" s="53" t="s">
        <v>846</v>
      </c>
      <c r="M550" s="67">
        <v>5.177610333692142</v>
      </c>
      <c r="N550" s="53" t="s">
        <v>3634</v>
      </c>
      <c r="O550" s="50" t="s">
        <v>3630</v>
      </c>
      <c r="P550" s="53" t="s">
        <v>158</v>
      </c>
      <c r="Q550" s="1292">
        <v>2027</v>
      </c>
      <c r="R550" s="53">
        <v>1195</v>
      </c>
      <c r="S550" s="53" t="s">
        <v>3631</v>
      </c>
      <c r="T550" s="58">
        <f t="shared" si="84"/>
        <v>12.86329386437029</v>
      </c>
      <c r="U550" s="53" t="s">
        <v>141</v>
      </c>
      <c r="Y550" s="53">
        <v>0.05</v>
      </c>
      <c r="Z550" s="53">
        <v>0.5</v>
      </c>
      <c r="AA550" s="78">
        <f>(AF550)*rng_biogenic_storage</f>
        <v>1.0612217438105491</v>
      </c>
      <c r="AD550" s="58">
        <f>Y550*Z550*T550</f>
        <v>0.32158234660925727</v>
      </c>
      <c r="AF550" s="58">
        <f>AD550*44/12</f>
        <v>1.17913527090061</v>
      </c>
      <c r="AG550" s="78"/>
      <c r="AH550" s="58"/>
      <c r="AN550" s="53">
        <v>377</v>
      </c>
      <c r="AR550" s="264" t="str">
        <f ca="1">IF(LEN(Q550)=4,IF(Q550&lt;YEAR(NOW()),_xlfn.CONCAT(IF(LOWER(Setting!rng_language)="english","Expired ","Expiré "),Q550),""),"")</f>
        <v/>
      </c>
      <c r="AT550" s="53" t="b">
        <f>ISNUMBER(MATCH(IF(LEN('USER INPUT SHEET'!rng_province)&gt;0,'USER INPUT SHEET'!rng_province,"Canada"),$AU550:$BD550,0))</f>
        <v>0</v>
      </c>
      <c r="AU550" s="1286"/>
      <c r="AV550" s="1286"/>
      <c r="AW550" s="1286"/>
      <c r="AX550" s="1286"/>
      <c r="AY550" s="1286"/>
      <c r="AZ550" s="1286"/>
      <c r="BA550" s="1286"/>
      <c r="BB550" s="1286"/>
      <c r="BC550" s="1286"/>
      <c r="BD550" s="1286"/>
    </row>
    <row r="551" spans="1:56" ht="15.75" customHeight="1" x14ac:dyDescent="0.3">
      <c r="A551" s="50" t="str">
        <f t="shared" si="81"/>
        <v>(ARCHIVED 2026) Carpet / J+J Flooring / Standard Back / all Broadloom styles</v>
      </c>
      <c r="B551" s="53" t="s">
        <v>7275</v>
      </c>
      <c r="C551" s="53" t="s">
        <v>3635</v>
      </c>
      <c r="D551" s="53" t="s">
        <v>3636</v>
      </c>
      <c r="E551" s="53" t="s">
        <v>3637</v>
      </c>
      <c r="H551" s="50"/>
      <c r="I551" s="53" t="s">
        <v>3515</v>
      </c>
      <c r="J551" s="358">
        <v>44983</v>
      </c>
      <c r="K551" s="53">
        <v>9.44</v>
      </c>
      <c r="L551" s="53" t="s">
        <v>3501</v>
      </c>
      <c r="M551" s="67">
        <v>9.44</v>
      </c>
      <c r="N551" s="53" t="s">
        <v>3501</v>
      </c>
      <c r="O551" s="50" t="s">
        <v>3638</v>
      </c>
      <c r="P551" s="53" t="s">
        <v>158</v>
      </c>
      <c r="Q551" s="1292">
        <v>2024</v>
      </c>
      <c r="R551" s="53">
        <v>2.16</v>
      </c>
      <c r="S551" s="53" t="s">
        <v>141</v>
      </c>
      <c r="AA551" s="78">
        <f t="shared" ref="AA551:AA553" si="85">_xlfn.NUMBERVALUE(IF(LEN(AG551)&gt;0,AG551,0))</f>
        <v>0</v>
      </c>
      <c r="AG551" s="78"/>
      <c r="AK551" s="165">
        <v>1.065E-2</v>
      </c>
      <c r="AN551" s="53">
        <v>378</v>
      </c>
      <c r="AR551" s="264" t="str">
        <f ca="1">IF(LEN(Q551)=4,IF(Q551&lt;YEAR(NOW()),_xlfn.CONCAT(IF(LOWER(Setting!rng_language)="english","Expired ","Expiré "),Q551),""),"")</f>
        <v>Expired 2024</v>
      </c>
      <c r="AT551" s="53" t="b">
        <f>ISNUMBER(MATCH(IF(LEN('USER INPUT SHEET'!rng_province)&gt;0,'USER INPUT SHEET'!rng_province,"Canada"),$AU551:$BD551,0))</f>
        <v>0</v>
      </c>
      <c r="AU551" s="1286"/>
      <c r="AV551" s="1286"/>
      <c r="AW551" s="1286"/>
      <c r="AX551" s="1286"/>
      <c r="AY551" s="1286"/>
      <c r="AZ551" s="1286"/>
      <c r="BA551" s="1286"/>
      <c r="BB551" s="1286"/>
      <c r="BC551" s="1286"/>
      <c r="BD551" s="1286"/>
    </row>
    <row r="552" spans="1:56" ht="15.75" customHeight="1" x14ac:dyDescent="0.3">
      <c r="A552" s="50" t="str">
        <f t="shared" si="81"/>
        <v>Vinyl flooring / Mannington / Luxury Vinyl Tile / 2.5 mm Tile and Plank</v>
      </c>
      <c r="B552" s="53" t="s">
        <v>665</v>
      </c>
      <c r="C552" s="53" t="s">
        <v>3639</v>
      </c>
      <c r="D552" s="53" t="s">
        <v>3615</v>
      </c>
      <c r="E552" s="53" t="s">
        <v>3640</v>
      </c>
      <c r="H552" s="50"/>
      <c r="I552" s="53" t="s">
        <v>3515</v>
      </c>
      <c r="J552" s="358">
        <v>44983</v>
      </c>
      <c r="K552" s="53">
        <v>6.51</v>
      </c>
      <c r="L552" s="53" t="s">
        <v>3501</v>
      </c>
      <c r="M552" s="67">
        <v>6.51</v>
      </c>
      <c r="N552" s="53" t="s">
        <v>3501</v>
      </c>
      <c r="O552" s="50" t="s">
        <v>3641</v>
      </c>
      <c r="P552" s="53" t="s">
        <v>158</v>
      </c>
      <c r="Q552" s="1292">
        <v>2026</v>
      </c>
      <c r="R552" s="53">
        <v>2.79</v>
      </c>
      <c r="S552" s="53" t="s">
        <v>141</v>
      </c>
      <c r="AA552" s="78">
        <f t="shared" si="85"/>
        <v>0</v>
      </c>
      <c r="AG552" s="78"/>
      <c r="AK552" s="165">
        <v>2.5000000000000001E-3</v>
      </c>
      <c r="AN552" s="53">
        <v>379</v>
      </c>
      <c r="AR552" s="264" t="str">
        <f ca="1">IF(LEN(Q552)=4,IF(Q552&lt;YEAR(NOW()),_xlfn.CONCAT(IF(LOWER(Setting!rng_language)="english","Expired ","Expiré "),Q552),""),"")</f>
        <v/>
      </c>
      <c r="AT552" s="53" t="b">
        <f>ISNUMBER(MATCH(IF(LEN('USER INPUT SHEET'!rng_province)&gt;0,'USER INPUT SHEET'!rng_province,"Canada"),$AU552:$BD552,0))</f>
        <v>0</v>
      </c>
      <c r="AU552" s="1286"/>
      <c r="AV552" s="1286"/>
      <c r="AW552" s="1286"/>
      <c r="AX552" s="1286"/>
      <c r="AY552" s="1286"/>
      <c r="AZ552" s="1286"/>
      <c r="BA552" s="1286"/>
      <c r="BB552" s="1286"/>
      <c r="BC552" s="1286"/>
      <c r="BD552" s="1286"/>
    </row>
    <row r="553" spans="1:56" ht="15.75" customHeight="1" x14ac:dyDescent="0.3">
      <c r="A553" s="50" t="str">
        <f t="shared" si="81"/>
        <v xml:space="preserve">Asphalt Shingles / GAF / Timberline Cool Series / </v>
      </c>
      <c r="B553" s="53" t="s">
        <v>150</v>
      </c>
      <c r="C553" s="53" t="s">
        <v>154</v>
      </c>
      <c r="D553" s="53" t="s">
        <v>3642</v>
      </c>
      <c r="H553" s="50"/>
      <c r="I553" s="53" t="s">
        <v>3515</v>
      </c>
      <c r="J553" s="358">
        <v>44983</v>
      </c>
      <c r="K553" s="53">
        <v>4.34</v>
      </c>
      <c r="L553" s="53" t="s">
        <v>3501</v>
      </c>
      <c r="M553" s="67">
        <v>4.34</v>
      </c>
      <c r="N553" s="53" t="s">
        <v>3501</v>
      </c>
      <c r="O553" s="50" t="s">
        <v>3643</v>
      </c>
      <c r="P553" s="53" t="s">
        <v>158</v>
      </c>
      <c r="Q553" s="1292">
        <v>2025</v>
      </c>
      <c r="R553" s="53">
        <v>10.119999999999999</v>
      </c>
      <c r="S553" s="53" t="s">
        <v>141</v>
      </c>
      <c r="T553" s="53" t="s">
        <v>3644</v>
      </c>
      <c r="AA553" s="78">
        <f t="shared" si="85"/>
        <v>0</v>
      </c>
      <c r="AG553" s="78"/>
      <c r="AN553" s="53">
        <v>380</v>
      </c>
      <c r="AR553" s="264" t="str">
        <f ca="1">IF(LEN(Q553)=4,IF(Q553&lt;YEAR(NOW()),_xlfn.CONCAT(IF(LOWER(Setting!rng_language)="english","Expired ","Expiré "),Q553),""),"")</f>
        <v>Expired 2025</v>
      </c>
      <c r="AT553" s="53" t="b">
        <f>ISNUMBER(MATCH(IF(LEN('USER INPUT SHEET'!rng_province)&gt;0,'USER INPUT SHEET'!rng_province,"Canada"),$AU553:$BD553,0))</f>
        <v>0</v>
      </c>
      <c r="AU553" s="1286"/>
      <c r="AV553" s="1286"/>
      <c r="AW553" s="1286"/>
      <c r="AX553" s="1286"/>
      <c r="AY553" s="1286"/>
      <c r="AZ553" s="1286"/>
      <c r="BA553" s="1286"/>
      <c r="BB553" s="1286"/>
      <c r="BC553" s="1286"/>
      <c r="BD553" s="1286"/>
    </row>
    <row r="554" spans="1:56" ht="15.75" customHeight="1" x14ac:dyDescent="0.3">
      <c r="A554" s="50" t="str">
        <f t="shared" si="81"/>
        <v>Linoleum flooring / Mannington / Legato Flooring / liquid applied</v>
      </c>
      <c r="B554" s="53" t="s">
        <v>452</v>
      </c>
      <c r="C554" s="53" t="s">
        <v>3639</v>
      </c>
      <c r="D554" s="53" t="s">
        <v>3645</v>
      </c>
      <c r="E554" s="53" t="s">
        <v>3646</v>
      </c>
      <c r="H554" s="50"/>
      <c r="I554" s="53" t="s">
        <v>3515</v>
      </c>
      <c r="J554" s="358">
        <v>44983</v>
      </c>
      <c r="K554" s="53">
        <v>2.65</v>
      </c>
      <c r="L554" s="53" t="s">
        <v>3501</v>
      </c>
      <c r="M554" s="67">
        <v>2.65</v>
      </c>
      <c r="N554" s="53" t="s">
        <v>3501</v>
      </c>
      <c r="O554" s="50" t="s">
        <v>3647</v>
      </c>
      <c r="P554" s="53" t="s">
        <v>158</v>
      </c>
      <c r="Q554" s="1292">
        <v>2025</v>
      </c>
      <c r="R554" s="53">
        <v>0.9</v>
      </c>
      <c r="S554" s="53" t="s">
        <v>3648</v>
      </c>
      <c r="T554" s="53">
        <v>1.98</v>
      </c>
      <c r="U554" s="53" t="s">
        <v>141</v>
      </c>
      <c r="Z554" s="53">
        <v>0.6</v>
      </c>
      <c r="AA554" s="78">
        <f>(AF554)*rng_biogenic_storage</f>
        <v>3.9203999999999999</v>
      </c>
      <c r="AD554" s="53">
        <f>Z554*T554</f>
        <v>1.1879999999999999</v>
      </c>
      <c r="AF554" s="53">
        <f>AD554*44/12</f>
        <v>4.3559999999999999</v>
      </c>
      <c r="AG554" s="78"/>
      <c r="AK554" s="363">
        <v>2.2000000000000001E-3</v>
      </c>
      <c r="AN554" s="53">
        <v>381</v>
      </c>
      <c r="AR554" s="264" t="str">
        <f ca="1">IF(LEN(Q554)=4,IF(Q554&lt;YEAR(NOW()),_xlfn.CONCAT(IF(LOWER(Setting!rng_language)="english","Expired ","Expiré "),Q554),""),"")</f>
        <v>Expired 2025</v>
      </c>
      <c r="AT554" s="53" t="b">
        <f>ISNUMBER(MATCH(IF(LEN('USER INPUT SHEET'!rng_province)&gt;0,'USER INPUT SHEET'!rng_province,"Canada"),$AU554:$BD554,0))</f>
        <v>0</v>
      </c>
      <c r="AU554" s="1286"/>
      <c r="AV554" s="1286"/>
      <c r="AW554" s="1286"/>
      <c r="AX554" s="1286"/>
      <c r="AY554" s="1286"/>
      <c r="AZ554" s="1286"/>
      <c r="BA554" s="1286"/>
      <c r="BB554" s="1286"/>
      <c r="BC554" s="1286"/>
      <c r="BD554" s="1286"/>
    </row>
    <row r="555" spans="1:56" ht="15.75" customHeight="1" x14ac:dyDescent="0.3">
      <c r="A555" s="50" t="str">
        <f t="shared" si="81"/>
        <v>(ARCHIVED 2026) Ceramic tile / Fireclay Tile / Ceramic - recycled content / Standard and Second grade</v>
      </c>
      <c r="B555" s="53" t="s">
        <v>7273</v>
      </c>
      <c r="C555" s="53" t="s">
        <v>3649</v>
      </c>
      <c r="D555" s="53" t="s">
        <v>3650</v>
      </c>
      <c r="E555" s="53" t="s">
        <v>3651</v>
      </c>
      <c r="H555" s="50" t="s">
        <v>3652</v>
      </c>
      <c r="I555" s="53" t="s">
        <v>3515</v>
      </c>
      <c r="J555" s="358">
        <v>44983</v>
      </c>
      <c r="K555" s="53">
        <v>45.9</v>
      </c>
      <c r="L555" s="53" t="s">
        <v>3501</v>
      </c>
      <c r="M555" s="67">
        <v>45.9</v>
      </c>
      <c r="N555" s="53" t="s">
        <v>3501</v>
      </c>
      <c r="O555" s="50" t="s">
        <v>3653</v>
      </c>
      <c r="P555" s="53" t="s">
        <v>158</v>
      </c>
      <c r="Q555" s="1292">
        <v>2025</v>
      </c>
      <c r="R555" s="53">
        <v>17.579999999999998</v>
      </c>
      <c r="S555" s="53" t="s">
        <v>141</v>
      </c>
      <c r="AA555" s="78">
        <f t="shared" ref="AA555:AA556" si="86">_xlfn.NUMBERVALUE(IF(LEN(AG555)&gt;0,AG555,0))</f>
        <v>0</v>
      </c>
      <c r="AG555" s="78"/>
      <c r="AK555" s="363">
        <v>7.9399999999999991E-3</v>
      </c>
      <c r="AN555" s="53">
        <v>382</v>
      </c>
      <c r="AR555" s="264" t="str">
        <f ca="1">IF(LEN(Q555)=4,IF(Q555&lt;YEAR(NOW()),_xlfn.CONCAT(IF(LOWER(Setting!rng_language)="english","Expired ","Expiré "),Q555),""),"")</f>
        <v>Expired 2025</v>
      </c>
      <c r="AT555" s="53" t="b">
        <f>ISNUMBER(MATCH(IF(LEN('USER INPUT SHEET'!rng_province)&gt;0,'USER INPUT SHEET'!rng_province,"Canada"),$AU555:$BD555,0))</f>
        <v>0</v>
      </c>
      <c r="AU555" s="1286"/>
      <c r="AV555" s="1286"/>
      <c r="AW555" s="1286"/>
      <c r="AX555" s="1286"/>
      <c r="AY555" s="1286"/>
      <c r="AZ555" s="1286"/>
      <c r="BA555" s="1286"/>
      <c r="BB555" s="1286"/>
      <c r="BC555" s="1286"/>
      <c r="BD555" s="1286"/>
    </row>
    <row r="556" spans="1:56" ht="15.75" customHeight="1" x14ac:dyDescent="0.3">
      <c r="A556" s="50" t="str">
        <f t="shared" si="81"/>
        <v>(ARCHIVED 2026) Ceramic tile / American Wonder Porcelain / Procelain - recycled content / Standard and Second grade</v>
      </c>
      <c r="B556" s="53" t="s">
        <v>7273</v>
      </c>
      <c r="C556" s="53" t="s">
        <v>3654</v>
      </c>
      <c r="D556" s="53" t="s">
        <v>3655</v>
      </c>
      <c r="E556" s="53" t="s">
        <v>3651</v>
      </c>
      <c r="H556" s="50"/>
      <c r="I556" s="53" t="s">
        <v>3515</v>
      </c>
      <c r="J556" s="358">
        <v>44983</v>
      </c>
      <c r="K556" s="53">
        <v>11.5</v>
      </c>
      <c r="L556" s="53" t="s">
        <v>3501</v>
      </c>
      <c r="M556" s="67">
        <v>11.5</v>
      </c>
      <c r="N556" s="53" t="s">
        <v>3501</v>
      </c>
      <c r="O556" s="50" t="s">
        <v>3656</v>
      </c>
      <c r="P556" s="53" t="s">
        <v>158</v>
      </c>
      <c r="Q556" s="1292">
        <v>2024</v>
      </c>
      <c r="R556" s="53">
        <v>20.105</v>
      </c>
      <c r="S556" s="53" t="s">
        <v>141</v>
      </c>
      <c r="AA556" s="78">
        <f t="shared" si="86"/>
        <v>0</v>
      </c>
      <c r="AG556" s="78"/>
      <c r="AK556" s="363">
        <v>8.8500000000000002E-3</v>
      </c>
      <c r="AN556" s="53">
        <v>383</v>
      </c>
      <c r="AR556" s="264" t="str">
        <f ca="1">IF(LEN(Q556)=4,IF(Q556&lt;YEAR(NOW()),_xlfn.CONCAT(IF(LOWER(Setting!rng_language)="english","Expired ","Expiré "),Q556),""),"")</f>
        <v>Expired 2024</v>
      </c>
      <c r="AT556" s="53" t="b">
        <f>ISNUMBER(MATCH(IF(LEN('USER INPUT SHEET'!rng_province)&gt;0,'USER INPUT SHEET'!rng_province,"Canada"),$AU556:$BD556,0))</f>
        <v>0</v>
      </c>
      <c r="AU556" s="1286"/>
      <c r="AV556" s="1286"/>
      <c r="AW556" s="1286"/>
      <c r="AX556" s="1286"/>
      <c r="AY556" s="1286"/>
      <c r="AZ556" s="1286"/>
      <c r="BA556" s="1286"/>
      <c r="BB556" s="1286"/>
      <c r="BC556" s="1286"/>
      <c r="BD556" s="1286"/>
    </row>
    <row r="557" spans="1:56" ht="15.75" customHeight="1" x14ac:dyDescent="0.3">
      <c r="A557" s="50" t="str">
        <f t="shared" si="81"/>
        <v>Fiber Cement siding / Equitone / Pictura and Natura Pro / 8 mm (5/16")</v>
      </c>
      <c r="B557" s="53" t="s">
        <v>363</v>
      </c>
      <c r="C557" s="53" t="s">
        <v>3657</v>
      </c>
      <c r="D557" s="53" t="s">
        <v>3658</v>
      </c>
      <c r="E557" s="53" t="s">
        <v>3659</v>
      </c>
      <c r="H557" s="50"/>
      <c r="I557" s="53" t="s">
        <v>3660</v>
      </c>
      <c r="J557" s="358">
        <v>44983</v>
      </c>
      <c r="K557" s="53">
        <v>16.305</v>
      </c>
      <c r="L557" s="53" t="s">
        <v>3501</v>
      </c>
      <c r="M557" s="67">
        <v>16.305</v>
      </c>
      <c r="N557" s="53" t="s">
        <v>831</v>
      </c>
      <c r="O557" s="50" t="s">
        <v>3661</v>
      </c>
      <c r="P557" s="53" t="s">
        <v>122</v>
      </c>
      <c r="Q557" s="1292">
        <v>2025</v>
      </c>
      <c r="R557" s="53">
        <v>1850</v>
      </c>
      <c r="S557" s="53" t="s">
        <v>121</v>
      </c>
      <c r="T557" s="53">
        <f>R557*0.008</f>
        <v>14.8</v>
      </c>
      <c r="U557" s="53" t="s">
        <v>367</v>
      </c>
      <c r="Y557" s="53">
        <v>9.5000000000000001E-2</v>
      </c>
      <c r="Z557" s="53">
        <v>0.5</v>
      </c>
      <c r="AA557" s="78">
        <f>(AF557)*rng_biogenic_storage</f>
        <v>2.3199000000000005</v>
      </c>
      <c r="AB557" s="53" t="s">
        <v>3501</v>
      </c>
      <c r="AD557" s="53">
        <f>Y557*Z557*T557</f>
        <v>0.70300000000000007</v>
      </c>
      <c r="AF557" s="53">
        <f>AD557*44/12</f>
        <v>2.577666666666667</v>
      </c>
      <c r="AG557" s="78"/>
      <c r="AN557" s="53">
        <v>384</v>
      </c>
      <c r="AR557" s="264" t="str">
        <f ca="1">IF(LEN(Q557)=4,IF(Q557&lt;YEAR(NOW()),_xlfn.CONCAT(IF(LOWER(Setting!rng_language)="english","Expired ","Expiré "),Q557),""),"")</f>
        <v>Expired 2025</v>
      </c>
      <c r="AT557" s="53" t="b">
        <f>ISNUMBER(MATCH(IF(LEN('USER INPUT SHEET'!rng_province)&gt;0,'USER INPUT SHEET'!rng_province,"Canada"),$AU557:$BD557,0))</f>
        <v>0</v>
      </c>
      <c r="AU557" s="1286"/>
      <c r="AV557" s="1286"/>
      <c r="AW557" s="1286"/>
      <c r="AX557" s="1286"/>
      <c r="AY557" s="1286"/>
      <c r="AZ557" s="1286"/>
      <c r="BA557" s="1286"/>
      <c r="BB557" s="1286"/>
      <c r="BC557" s="1286"/>
      <c r="BD557" s="1286"/>
    </row>
    <row r="558" spans="1:56" ht="15.75" customHeight="1" x14ac:dyDescent="0.3">
      <c r="A558" s="50" t="str">
        <f t="shared" si="81"/>
        <v>(ARCHIVED 2025) Fiber Cement siding / Equitone / Tectiva / 8 mm (5/16")</v>
      </c>
      <c r="B558" s="53" t="s">
        <v>4204</v>
      </c>
      <c r="C558" s="53" t="s">
        <v>3657</v>
      </c>
      <c r="D558" s="53" t="s">
        <v>3662</v>
      </c>
      <c r="E558" s="53" t="s">
        <v>3659</v>
      </c>
      <c r="H558" s="50"/>
      <c r="I558" s="53" t="s">
        <v>3660</v>
      </c>
      <c r="J558" s="358">
        <v>44983</v>
      </c>
      <c r="K558" s="53">
        <v>8.06</v>
      </c>
      <c r="L558" s="53" t="s">
        <v>3501</v>
      </c>
      <c r="M558" s="67">
        <v>8.06</v>
      </c>
      <c r="N558" s="53" t="s">
        <v>831</v>
      </c>
      <c r="O558" s="50" t="s">
        <v>3663</v>
      </c>
      <c r="P558" s="53" t="s">
        <v>122</v>
      </c>
      <c r="Q558" s="1292">
        <v>2024</v>
      </c>
      <c r="T558" s="53">
        <v>14.22</v>
      </c>
      <c r="U558" s="53" t="s">
        <v>367</v>
      </c>
      <c r="Y558" s="53">
        <v>9.5000000000000001E-2</v>
      </c>
      <c r="Z558" s="53">
        <v>0.5</v>
      </c>
      <c r="AA558" s="78">
        <f>(AF558)*rng_biogenic_storage</f>
        <v>2.2289849999999998</v>
      </c>
      <c r="AB558" s="53" t="s">
        <v>3501</v>
      </c>
      <c r="AD558" s="53">
        <f>Y558*Z558*T558</f>
        <v>0.67544999999999999</v>
      </c>
      <c r="AF558" s="362">
        <f>AD558*44/12</f>
        <v>2.4766499999999998</v>
      </c>
      <c r="AG558" s="78"/>
      <c r="AH558" s="362"/>
      <c r="AN558" s="53">
        <v>385</v>
      </c>
      <c r="AR558" s="264" t="str">
        <f ca="1">IF(LEN(Q558)=4,IF(Q558&lt;YEAR(NOW()),_xlfn.CONCAT(IF(LOWER(Setting!rng_language)="english","Expired ","Expiré "),Q558),""),"")</f>
        <v>Expired 2024</v>
      </c>
      <c r="AT558" s="53" t="b">
        <f>ISNUMBER(MATCH(IF(LEN('USER INPUT SHEET'!rng_province)&gt;0,'USER INPUT SHEET'!rng_province,"Canada"),$AU558:$BD558,0))</f>
        <v>0</v>
      </c>
      <c r="AU558" s="1286"/>
      <c r="AV558" s="1286"/>
      <c r="AW558" s="1286"/>
      <c r="AX558" s="1286"/>
      <c r="AY558" s="1286"/>
      <c r="AZ558" s="1286"/>
      <c r="BA558" s="1286"/>
      <c r="BB558" s="1286"/>
      <c r="BC558" s="1286"/>
      <c r="BD558" s="1286"/>
    </row>
    <row r="559" spans="1:56" ht="15.75" customHeight="1" x14ac:dyDescent="0.3">
      <c r="A559" s="50" t="str">
        <f t="shared" si="81"/>
        <v>(ARCHIVED 2025) Fiber Cement siding / Equitone / Natura, Textura and Materia / 8 mm (5/16")</v>
      </c>
      <c r="B559" s="53" t="s">
        <v>4204</v>
      </c>
      <c r="C559" s="53" t="s">
        <v>3657</v>
      </c>
      <c r="D559" s="53" t="s">
        <v>3664</v>
      </c>
      <c r="E559" s="53" t="s">
        <v>3659</v>
      </c>
      <c r="H559" s="50"/>
      <c r="I559" s="53" t="s">
        <v>3660</v>
      </c>
      <c r="J559" s="358">
        <v>44983</v>
      </c>
      <c r="K559" s="53">
        <v>11.324</v>
      </c>
      <c r="L559" s="53" t="s">
        <v>3501</v>
      </c>
      <c r="M559" s="67">
        <v>11.324</v>
      </c>
      <c r="N559" s="53" t="s">
        <v>831</v>
      </c>
      <c r="O559" s="50" t="s">
        <v>3665</v>
      </c>
      <c r="P559" s="53" t="s">
        <v>122</v>
      </c>
      <c r="Q559" s="1292">
        <v>2024</v>
      </c>
      <c r="T559" s="53">
        <v>15.07</v>
      </c>
      <c r="U559" s="53" t="s">
        <v>367</v>
      </c>
      <c r="Y559" s="53">
        <v>0.05</v>
      </c>
      <c r="Z559" s="53">
        <v>0.5</v>
      </c>
      <c r="AA559" s="78">
        <f>(AF559)*rng_biogenic_storage</f>
        <v>1.2432750000000001</v>
      </c>
      <c r="AB559" s="53" t="s">
        <v>3501</v>
      </c>
      <c r="AD559" s="53">
        <f>Y559*Z559*T559</f>
        <v>0.37675000000000003</v>
      </c>
      <c r="AF559" s="362">
        <f>AD559*44/12</f>
        <v>1.3814166666666667</v>
      </c>
      <c r="AG559" s="78"/>
      <c r="AH559" s="362"/>
      <c r="AN559" s="53">
        <v>386</v>
      </c>
      <c r="AR559" s="264" t="str">
        <f ca="1">IF(LEN(Q559)=4,IF(Q559&lt;YEAR(NOW()),_xlfn.CONCAT(IF(LOWER(Setting!rng_language)="english","Expired ","Expiré "),Q559),""),"")</f>
        <v>Expired 2024</v>
      </c>
      <c r="AT559" s="53" t="b">
        <f>ISNUMBER(MATCH(IF(LEN('USER INPUT SHEET'!rng_province)&gt;0,'USER INPUT SHEET'!rng_province,"Canada"),$AU559:$BD559,0))</f>
        <v>0</v>
      </c>
      <c r="AU559" s="1286"/>
      <c r="AV559" s="1286"/>
      <c r="AW559" s="1286"/>
      <c r="AX559" s="1286"/>
      <c r="AY559" s="1286"/>
      <c r="AZ559" s="1286"/>
      <c r="BA559" s="1286"/>
      <c r="BB559" s="1286"/>
      <c r="BC559" s="1286"/>
      <c r="BD559" s="1286"/>
    </row>
    <row r="560" spans="1:56" ht="15.75" customHeight="1" x14ac:dyDescent="0.3">
      <c r="A560" s="50" t="str">
        <f t="shared" si="81"/>
        <v>Fiber Cement siding / Equitone / Linea|Lunara sheets / 10 mm</v>
      </c>
      <c r="B560" s="53" t="s">
        <v>363</v>
      </c>
      <c r="C560" s="53" t="s">
        <v>3657</v>
      </c>
      <c r="D560" s="53" t="s">
        <v>4519</v>
      </c>
      <c r="E560" s="53" t="s">
        <v>4520</v>
      </c>
      <c r="H560" s="50"/>
      <c r="I560" s="53" t="s">
        <v>120</v>
      </c>
      <c r="J560" s="358">
        <v>45325</v>
      </c>
      <c r="K560" s="53">
        <v>7.8</v>
      </c>
      <c r="L560" s="53" t="s">
        <v>3501</v>
      </c>
      <c r="M560" s="67">
        <v>7.8</v>
      </c>
      <c r="N560" s="53" t="s">
        <v>831</v>
      </c>
      <c r="O560" s="50" t="s">
        <v>4521</v>
      </c>
      <c r="P560" s="53" t="s">
        <v>122</v>
      </c>
      <c r="Q560" s="1292">
        <v>2025</v>
      </c>
      <c r="R560" s="53">
        <v>16.5</v>
      </c>
      <c r="S560" s="53" t="s">
        <v>4522</v>
      </c>
      <c r="Y560" s="53">
        <v>0.05</v>
      </c>
      <c r="Z560" s="53">
        <v>0.5</v>
      </c>
      <c r="AA560" s="78">
        <f>(AF560)*rng_biogenic_storage</f>
        <v>1.3612500000000003</v>
      </c>
      <c r="AB560" s="53" t="s">
        <v>3501</v>
      </c>
      <c r="AD560" s="53">
        <f>Y560*Z560*R560</f>
        <v>0.41250000000000003</v>
      </c>
      <c r="AF560" s="362">
        <f>AD560*44/12</f>
        <v>1.5125000000000002</v>
      </c>
      <c r="AG560" s="78"/>
      <c r="AH560" s="362">
        <v>0</v>
      </c>
      <c r="AN560" s="53" t="s">
        <v>4573</v>
      </c>
      <c r="AT560" s="53" t="b">
        <f>ISNUMBER(MATCH(IF(LEN('USER INPUT SHEET'!rng_province)&gt;0,'USER INPUT SHEET'!rng_province,"Canada"),$AU560:$BD560,0))</f>
        <v>0</v>
      </c>
      <c r="AU560" s="1286"/>
      <c r="AV560" s="1286"/>
      <c r="AW560" s="1286"/>
      <c r="AX560" s="1286"/>
      <c r="AY560" s="1286"/>
      <c r="AZ560" s="1286"/>
      <c r="BA560" s="1286"/>
      <c r="BB560" s="1286"/>
      <c r="BC560" s="1286"/>
      <c r="BD560" s="1286"/>
    </row>
    <row r="561" spans="1:56" ht="15.75" customHeight="1" x14ac:dyDescent="0.3">
      <c r="A561" s="50" t="str">
        <f t="shared" si="81"/>
        <v>Straw Panels / Ecocoon / Standard and Brace Panels / 40cm R16, panel only</v>
      </c>
      <c r="B561" s="53" t="s">
        <v>650</v>
      </c>
      <c r="C561" s="53" t="s">
        <v>3666</v>
      </c>
      <c r="D561" s="53" t="s">
        <v>3667</v>
      </c>
      <c r="E561" s="53" t="s">
        <v>3668</v>
      </c>
      <c r="H561" s="50" t="s">
        <v>3669</v>
      </c>
      <c r="J561" s="358">
        <v>44983</v>
      </c>
      <c r="K561" s="53">
        <v>14.3</v>
      </c>
      <c r="L561" s="53" t="s">
        <v>3501</v>
      </c>
      <c r="M561" s="67">
        <v>14.3</v>
      </c>
      <c r="N561" s="53" t="s">
        <v>3501</v>
      </c>
      <c r="O561" s="50" t="s">
        <v>3670</v>
      </c>
      <c r="P561" s="53" t="s">
        <v>3671</v>
      </c>
      <c r="Q561" s="1292">
        <v>2027</v>
      </c>
      <c r="R561" s="53">
        <v>110</v>
      </c>
      <c r="S561" s="53" t="s">
        <v>121</v>
      </c>
      <c r="T561" s="53">
        <f>R561*0.4</f>
        <v>44</v>
      </c>
      <c r="U561" s="53" t="s">
        <v>3672</v>
      </c>
      <c r="V561" s="60">
        <f>0.0254*5.678/W561</f>
        <v>0.99462896551724145</v>
      </c>
      <c r="W561" s="53">
        <v>0.14499999999999999</v>
      </c>
      <c r="Y561" s="53">
        <v>0.9</v>
      </c>
      <c r="Z561" s="53">
        <v>0.5</v>
      </c>
      <c r="AA561" s="78">
        <f>(AF561)*rng_biogenic_storage</f>
        <v>65.34</v>
      </c>
      <c r="AB561" s="53" t="s">
        <v>3501</v>
      </c>
      <c r="AD561" s="53">
        <f>Y561*Z561*T561</f>
        <v>19.8</v>
      </c>
      <c r="AF561" s="53">
        <f>AD561*44/12</f>
        <v>72.600000000000009</v>
      </c>
      <c r="AG561" s="78"/>
      <c r="AN561" s="53">
        <v>387</v>
      </c>
      <c r="AR561" s="264" t="str">
        <f ca="1">IF(LEN(Q561)=4,IF(Q561&lt;YEAR(NOW()),_xlfn.CONCAT(IF(LOWER(Setting!rng_language)="english","Expired ","Expiré "),Q561),""),"")</f>
        <v/>
      </c>
      <c r="AT561" s="53" t="b">
        <f>ISNUMBER(MATCH(IF(LEN('USER INPUT SHEET'!rng_province)&gt;0,'USER INPUT SHEET'!rng_province,"Canada"),$AU561:$BD561,0))</f>
        <v>0</v>
      </c>
      <c r="AU561" s="1286"/>
      <c r="AV561" s="1286"/>
      <c r="AW561" s="1286"/>
      <c r="AX561" s="1286"/>
      <c r="AY561" s="1286"/>
      <c r="AZ561" s="1286"/>
      <c r="BA561" s="1286"/>
      <c r="BB561" s="1286"/>
      <c r="BC561" s="1286"/>
      <c r="BD561" s="1286"/>
    </row>
    <row r="562" spans="1:56" ht="15.75" customHeight="1" x14ac:dyDescent="0.3">
      <c r="A562" s="50" t="str">
        <f t="shared" si="81"/>
        <v>Brick, Clay / SHAW / Slender - Thin Face Brick / 2 1/4" x 1/2" x 7-1/2" (57 x 12.7 mm x 190) incl. 3/8" mortar</v>
      </c>
      <c r="B562" s="53" t="s">
        <v>180</v>
      </c>
      <c r="C562" s="53" t="s">
        <v>3673</v>
      </c>
      <c r="D562" s="53" t="s">
        <v>3674</v>
      </c>
      <c r="E562" s="53" t="s">
        <v>3675</v>
      </c>
      <c r="H562" s="50"/>
      <c r="I562" s="53" t="s">
        <v>3515</v>
      </c>
      <c r="J562" s="358">
        <v>44983</v>
      </c>
      <c r="K562" s="53">
        <v>721</v>
      </c>
      <c r="L562" s="53" t="s">
        <v>3</v>
      </c>
      <c r="M562" s="67">
        <v>8.1808319999999988</v>
      </c>
      <c r="N562" s="53" t="s">
        <v>3501</v>
      </c>
      <c r="O562" s="50" t="s">
        <v>3676</v>
      </c>
      <c r="P562" s="53" t="s">
        <v>137</v>
      </c>
      <c r="Q562" s="1292">
        <v>2027</v>
      </c>
      <c r="R562" s="53">
        <v>269</v>
      </c>
      <c r="S562" s="53" t="s">
        <v>1010</v>
      </c>
      <c r="U562" s="53" t="s">
        <v>1011</v>
      </c>
      <c r="AA562" s="78">
        <f t="shared" ref="AA562:AA569" si="87">_xlfn.NUMBERVALUE(IF(LEN(AG562)&gt;0,AG562,0))</f>
        <v>0</v>
      </c>
      <c r="AG562" s="78"/>
      <c r="AI562" s="165">
        <v>0.56999999999999995</v>
      </c>
      <c r="AJ562" s="165">
        <v>0.19</v>
      </c>
      <c r="AK562" s="165">
        <v>1.2699999999999999E-2</v>
      </c>
      <c r="AL562" s="362">
        <f>AK562*AJ562*AI562</f>
        <v>1.3754099999999997E-3</v>
      </c>
      <c r="AN562" s="53">
        <v>388</v>
      </c>
      <c r="AR562" s="264" t="str">
        <f ca="1">IF(LEN(Q562)=4,IF(Q562&lt;YEAR(NOW()),_xlfn.CONCAT(IF(LOWER(Setting!rng_language)="english","Expired ","Expiré "),Q562),""),"")</f>
        <v/>
      </c>
      <c r="AT562" s="53" t="b">
        <f>ISNUMBER(MATCH(IF(LEN('USER INPUT SHEET'!rng_province)&gt;0,'USER INPUT SHEET'!rng_province,"Canada"),$AU562:$BD562,0))</f>
        <v>0</v>
      </c>
      <c r="AU562" s="1286"/>
      <c r="AV562" s="1286"/>
      <c r="AW562" s="1286"/>
      <c r="AX562" s="1286"/>
      <c r="AY562" s="1286"/>
      <c r="AZ562" s="1286"/>
      <c r="BA562" s="1286"/>
      <c r="BB562" s="1286"/>
      <c r="BC562" s="1286"/>
      <c r="BD562" s="1286"/>
    </row>
    <row r="563" spans="1:56" ht="15.75" customHeight="1" x14ac:dyDescent="0.3">
      <c r="A563" s="50" t="str">
        <f t="shared" si="81"/>
        <v>Brick, Clay / SHAW / Avg Face Brick / 3-5/8" x 2-3/4" x 7-5/8" (92 x 70 x 194 mm) incl. 3/8" mortar</v>
      </c>
      <c r="B563" s="53" t="s">
        <v>180</v>
      </c>
      <c r="C563" s="53" t="s">
        <v>3673</v>
      </c>
      <c r="D563" s="53" t="s">
        <v>1015</v>
      </c>
      <c r="E563" s="53" t="s">
        <v>1017</v>
      </c>
      <c r="H563" s="50"/>
      <c r="I563" s="53" t="s">
        <v>3515</v>
      </c>
      <c r="J563" s="358">
        <v>44983</v>
      </c>
      <c r="K563" s="53">
        <v>721</v>
      </c>
      <c r="L563" s="53" t="s">
        <v>3</v>
      </c>
      <c r="M563" s="67">
        <v>59.262719999999995</v>
      </c>
      <c r="N563" s="53" t="s">
        <v>3501</v>
      </c>
      <c r="O563" s="50" t="s">
        <v>3676</v>
      </c>
      <c r="P563" s="53" t="s">
        <v>137</v>
      </c>
      <c r="Q563" s="1293">
        <v>2027</v>
      </c>
      <c r="R563" s="53">
        <v>269</v>
      </c>
      <c r="S563" s="53" t="s">
        <v>1010</v>
      </c>
      <c r="U563" s="53" t="s">
        <v>1011</v>
      </c>
      <c r="AA563" s="78">
        <f t="shared" si="87"/>
        <v>0</v>
      </c>
      <c r="AG563" s="78"/>
      <c r="AI563" s="165">
        <v>7.0000000000000007E-2</v>
      </c>
      <c r="AJ563" s="165">
        <v>0.19367500000000001</v>
      </c>
      <c r="AK563" s="165">
        <v>9.1999999999999998E-2</v>
      </c>
      <c r="AL563" s="362">
        <f>AK563*AJ563*AI563</f>
        <v>1.247267E-3</v>
      </c>
      <c r="AN563" s="53">
        <v>389</v>
      </c>
      <c r="AR563" s="264" t="str">
        <f ca="1">IF(LEN(Q563)=4,IF(Q563&lt;YEAR(NOW()),_xlfn.CONCAT(IF(LOWER(Setting!rng_language)="english","Expired ","Expiré "),Q563),""),"")</f>
        <v/>
      </c>
      <c r="AT563" s="53" t="b">
        <f>ISNUMBER(MATCH(IF(LEN('USER INPUT SHEET'!rng_province)&gt;0,'USER INPUT SHEET'!rng_province,"Canada"),$AU563:$BD563,0))</f>
        <v>0</v>
      </c>
      <c r="AU563" s="1286"/>
      <c r="AV563" s="1286"/>
      <c r="AW563" s="1286"/>
      <c r="AX563" s="1286"/>
      <c r="AY563" s="1286"/>
      <c r="AZ563" s="1286"/>
      <c r="BA563" s="1286"/>
      <c r="BB563" s="1286"/>
      <c r="BC563" s="1286"/>
      <c r="BD563" s="1286"/>
    </row>
    <row r="564" spans="1:56" ht="15.75" customHeight="1" x14ac:dyDescent="0.3">
      <c r="A564" s="50" t="str">
        <f t="shared" si="81"/>
        <v>Rebar / Nucor Corporation / Canadian sizes / 10M</v>
      </c>
      <c r="B564" s="53" t="s">
        <v>583</v>
      </c>
      <c r="C564" s="53" t="s">
        <v>3677</v>
      </c>
      <c r="D564" s="53" t="s">
        <v>3678</v>
      </c>
      <c r="E564" s="53" t="s">
        <v>585</v>
      </c>
      <c r="H564" s="50"/>
      <c r="I564" s="53" t="s">
        <v>3679</v>
      </c>
      <c r="J564" s="358">
        <v>44637</v>
      </c>
      <c r="K564" s="53">
        <v>0.86299999999999999</v>
      </c>
      <c r="L564" s="53" t="s">
        <v>841</v>
      </c>
      <c r="M564" s="67">
        <v>0.67745500000000003</v>
      </c>
      <c r="N564" s="53" t="s">
        <v>22</v>
      </c>
      <c r="O564" s="50" t="s">
        <v>3680</v>
      </c>
      <c r="P564" s="53" t="s">
        <v>3502</v>
      </c>
      <c r="Q564" s="1293">
        <v>2026</v>
      </c>
      <c r="R564" s="53">
        <v>7800</v>
      </c>
      <c r="S564" s="53" t="s">
        <v>121</v>
      </c>
      <c r="T564" s="53">
        <v>0.78500000000000003</v>
      </c>
      <c r="U564" s="53" t="s">
        <v>423</v>
      </c>
      <c r="AA564" s="78">
        <f t="shared" si="87"/>
        <v>0</v>
      </c>
      <c r="AG564" s="78"/>
      <c r="AN564" s="53">
        <v>390</v>
      </c>
      <c r="AR564" s="264" t="str">
        <f ca="1">IF(LEN(Q564)=4,IF(Q564&lt;YEAR(NOW()),_xlfn.CONCAT(IF(LOWER(Setting!rng_language)="english","Expired ","Expiré "),Q564),""),"")</f>
        <v/>
      </c>
      <c r="AT564" s="53" t="b">
        <f>ISNUMBER(MATCH(IF(LEN('USER INPUT SHEET'!rng_province)&gt;0,'USER INPUT SHEET'!rng_province,"Canada"),$AU564:$BD564,0))</f>
        <v>0</v>
      </c>
      <c r="AU564" s="1286"/>
      <c r="AV564" s="1286"/>
      <c r="AW564" s="1286"/>
      <c r="AX564" s="1286"/>
      <c r="AY564" s="1286"/>
      <c r="AZ564" s="1286"/>
      <c r="BA564" s="1286"/>
      <c r="BB564" s="1286"/>
      <c r="BC564" s="1286"/>
      <c r="BD564" s="1286"/>
    </row>
    <row r="565" spans="1:56" ht="15.75" customHeight="1" x14ac:dyDescent="0.3">
      <c r="A565" s="50" t="str">
        <f t="shared" si="81"/>
        <v>Rebar / Nucor Corporation / Canadian sizes / 15M</v>
      </c>
      <c r="B565" s="53" t="s">
        <v>583</v>
      </c>
      <c r="C565" s="53" t="s">
        <v>3677</v>
      </c>
      <c r="D565" s="53" t="s">
        <v>3678</v>
      </c>
      <c r="E565" s="53" t="s">
        <v>587</v>
      </c>
      <c r="H565" s="50"/>
      <c r="I565" s="53" t="s">
        <v>3679</v>
      </c>
      <c r="J565" s="358">
        <v>44637</v>
      </c>
      <c r="K565" s="53">
        <v>0.86299999999999999</v>
      </c>
      <c r="L565" s="53" t="s">
        <v>841</v>
      </c>
      <c r="M565" s="67">
        <v>1.3549100000000001</v>
      </c>
      <c r="N565" s="53" t="s">
        <v>22</v>
      </c>
      <c r="O565" s="50" t="s">
        <v>3680</v>
      </c>
      <c r="P565" s="53" t="s">
        <v>3502</v>
      </c>
      <c r="Q565" s="1293">
        <v>2026</v>
      </c>
      <c r="R565" s="53">
        <v>7800</v>
      </c>
      <c r="S565" s="53" t="s">
        <v>121</v>
      </c>
      <c r="T565" s="53">
        <v>1.57</v>
      </c>
      <c r="U565" s="53" t="s">
        <v>423</v>
      </c>
      <c r="AA565" s="78">
        <f t="shared" si="87"/>
        <v>0</v>
      </c>
      <c r="AG565" s="78"/>
      <c r="AN565" s="53">
        <v>391</v>
      </c>
      <c r="AR565" s="264" t="str">
        <f ca="1">IF(LEN(Q565)=4,IF(Q565&lt;YEAR(NOW()),_xlfn.CONCAT(IF(LOWER(Setting!rng_language)="english","Expired ","Expiré "),Q565),""),"")</f>
        <v/>
      </c>
      <c r="AT565" s="53" t="b">
        <f>ISNUMBER(MATCH(IF(LEN('USER INPUT SHEET'!rng_province)&gt;0,'USER INPUT SHEET'!rng_province,"Canada"),$AU565:$BD565,0))</f>
        <v>0</v>
      </c>
      <c r="AU565" s="1286"/>
      <c r="AV565" s="1286"/>
      <c r="AW565" s="1286"/>
      <c r="AX565" s="1286"/>
      <c r="AY565" s="1286"/>
      <c r="AZ565" s="1286"/>
      <c r="BA565" s="1286"/>
      <c r="BB565" s="1286"/>
      <c r="BC565" s="1286"/>
      <c r="BD565" s="1286"/>
    </row>
    <row r="566" spans="1:56" ht="15.75" customHeight="1" x14ac:dyDescent="0.3">
      <c r="A566" s="50" t="str">
        <f t="shared" si="81"/>
        <v>Rebar / Nucor Corporation / Canadian sizes / 20M</v>
      </c>
      <c r="B566" s="53" t="s">
        <v>583</v>
      </c>
      <c r="C566" s="53" t="s">
        <v>3677</v>
      </c>
      <c r="D566" s="53" t="s">
        <v>3678</v>
      </c>
      <c r="E566" s="53" t="s">
        <v>3681</v>
      </c>
      <c r="H566" s="50"/>
      <c r="I566" s="53" t="s">
        <v>3679</v>
      </c>
      <c r="J566" s="358">
        <v>44637</v>
      </c>
      <c r="K566" s="53">
        <v>0.86299999999999999</v>
      </c>
      <c r="L566" s="53" t="s">
        <v>841</v>
      </c>
      <c r="M566" s="67">
        <v>2.032365</v>
      </c>
      <c r="N566" s="53" t="s">
        <v>22</v>
      </c>
      <c r="O566" s="50" t="s">
        <v>3680</v>
      </c>
      <c r="P566" s="53" t="s">
        <v>3502</v>
      </c>
      <c r="Q566" s="1293">
        <v>2026</v>
      </c>
      <c r="R566" s="53">
        <v>7800</v>
      </c>
      <c r="S566" s="53" t="s">
        <v>121</v>
      </c>
      <c r="T566" s="53">
        <v>2.355</v>
      </c>
      <c r="U566" s="53" t="s">
        <v>423</v>
      </c>
      <c r="AA566" s="78">
        <f t="shared" si="87"/>
        <v>0</v>
      </c>
      <c r="AG566" s="78"/>
      <c r="AN566" s="53">
        <v>392</v>
      </c>
      <c r="AR566" s="264" t="str">
        <f ca="1">IF(LEN(Q566)=4,IF(Q566&lt;YEAR(NOW()),_xlfn.CONCAT(IF(LOWER(Setting!rng_language)="english","Expired ","Expiré "),Q566),""),"")</f>
        <v/>
      </c>
      <c r="AT566" s="53" t="b">
        <f>ISNUMBER(MATCH(IF(LEN('USER INPUT SHEET'!rng_province)&gt;0,'USER INPUT SHEET'!rng_province,"Canada"),$AU566:$BD566,0))</f>
        <v>0</v>
      </c>
      <c r="AU566" s="1286"/>
      <c r="AV566" s="1286"/>
      <c r="AW566" s="1286"/>
      <c r="AX566" s="1286"/>
      <c r="AY566" s="1286"/>
      <c r="AZ566" s="1286"/>
      <c r="BA566" s="1286"/>
      <c r="BB566" s="1286"/>
      <c r="BC566" s="1286"/>
      <c r="BD566" s="1286"/>
    </row>
    <row r="567" spans="1:56" ht="15.75" customHeight="1" x14ac:dyDescent="0.3">
      <c r="A567" s="50" t="str">
        <f t="shared" si="81"/>
        <v>(ARCHIVED 2026) Rebar / ArcelorMittal Long Products Canada / Canadian sizes / 10M</v>
      </c>
      <c r="B567" s="53" t="s">
        <v>7271</v>
      </c>
      <c r="C567" s="53" t="s">
        <v>3682</v>
      </c>
      <c r="D567" s="53" t="s">
        <v>3678</v>
      </c>
      <c r="E567" s="53" t="s">
        <v>585</v>
      </c>
      <c r="H567" s="50"/>
      <c r="I567" s="53" t="s">
        <v>3683</v>
      </c>
      <c r="J567" s="358">
        <v>44637</v>
      </c>
      <c r="K567" s="58">
        <v>1.2855000000000001</v>
      </c>
      <c r="L567" s="53" t="s">
        <v>841</v>
      </c>
      <c r="M567" s="67">
        <v>1.0091175000000001</v>
      </c>
      <c r="N567" s="53" t="s">
        <v>22</v>
      </c>
      <c r="O567" s="50" t="s">
        <v>3684</v>
      </c>
      <c r="P567" s="53" t="s">
        <v>3685</v>
      </c>
      <c r="Q567" s="1293">
        <v>2024</v>
      </c>
      <c r="R567" s="53">
        <v>7850</v>
      </c>
      <c r="S567" s="53" t="s">
        <v>121</v>
      </c>
      <c r="T567" s="53">
        <v>0.78500000000000003</v>
      </c>
      <c r="U567" s="53" t="s">
        <v>423</v>
      </c>
      <c r="AA567" s="78">
        <f t="shared" si="87"/>
        <v>0</v>
      </c>
      <c r="AG567" s="78"/>
      <c r="AN567" s="53">
        <v>393</v>
      </c>
      <c r="AR567" s="264" t="str">
        <f ca="1">IF(LEN(Q567)=4,IF(Q567&lt;YEAR(NOW()),_xlfn.CONCAT(IF(LOWER(Setting!rng_language)="english","Expired ","Expiré "),Q567),""),"")</f>
        <v>Expired 2024</v>
      </c>
      <c r="AT567" s="53" t="b">
        <f>ISNUMBER(MATCH(IF(LEN('USER INPUT SHEET'!rng_province)&gt;0,'USER INPUT SHEET'!rng_province,"Canada"),$AU567:$BD567,0))</f>
        <v>0</v>
      </c>
      <c r="AU567" s="1286"/>
      <c r="AV567" s="1286"/>
      <c r="AW567" s="1286"/>
      <c r="AX567" s="1286"/>
      <c r="AY567" s="1286"/>
      <c r="AZ567" s="1286"/>
      <c r="BA567" s="1286"/>
      <c r="BB567" s="1286"/>
      <c r="BC567" s="1286"/>
      <c r="BD567" s="1286"/>
    </row>
    <row r="568" spans="1:56" ht="15.75" customHeight="1" x14ac:dyDescent="0.3">
      <c r="A568" s="50" t="str">
        <f t="shared" si="81"/>
        <v>(ARCHIVED 2026) Rebar / ArcelorMittal Long Products Canada / Canadian sizes / 15M</v>
      </c>
      <c r="B568" s="53" t="s">
        <v>7271</v>
      </c>
      <c r="C568" s="53" t="s">
        <v>3682</v>
      </c>
      <c r="D568" s="53" t="s">
        <v>3678</v>
      </c>
      <c r="E568" s="53" t="s">
        <v>587</v>
      </c>
      <c r="H568" s="50"/>
      <c r="I568" s="53" t="s">
        <v>3683</v>
      </c>
      <c r="J568" s="358">
        <v>44637</v>
      </c>
      <c r="K568" s="58">
        <v>1.2855000000000001</v>
      </c>
      <c r="L568" s="53" t="s">
        <v>841</v>
      </c>
      <c r="M568" s="67">
        <v>2.0182350000000002</v>
      </c>
      <c r="N568" s="53" t="s">
        <v>22</v>
      </c>
      <c r="O568" s="50" t="s">
        <v>3684</v>
      </c>
      <c r="P568" s="53" t="s">
        <v>3685</v>
      </c>
      <c r="Q568" s="1293">
        <v>2024</v>
      </c>
      <c r="R568" s="53">
        <v>7850</v>
      </c>
      <c r="S568" s="53" t="s">
        <v>121</v>
      </c>
      <c r="T568" s="53">
        <v>1.57</v>
      </c>
      <c r="U568" s="53" t="s">
        <v>423</v>
      </c>
      <c r="AA568" s="78">
        <f t="shared" si="87"/>
        <v>0</v>
      </c>
      <c r="AG568" s="78"/>
      <c r="AN568" s="53">
        <v>394</v>
      </c>
      <c r="AR568" s="264" t="str">
        <f ca="1">IF(LEN(Q568)=4,IF(Q568&lt;YEAR(NOW()),_xlfn.CONCAT(IF(LOWER(Setting!rng_language)="english","Expired ","Expiré "),Q568),""),"")</f>
        <v>Expired 2024</v>
      </c>
      <c r="AT568" s="53" t="b">
        <f>ISNUMBER(MATCH(IF(LEN('USER INPUT SHEET'!rng_province)&gt;0,'USER INPUT SHEET'!rng_province,"Canada"),$AU568:$BD568,0))</f>
        <v>0</v>
      </c>
      <c r="AU568" s="1286"/>
      <c r="AV568" s="1286"/>
      <c r="AW568" s="1286"/>
      <c r="AX568" s="1286"/>
      <c r="AY568" s="1286"/>
      <c r="AZ568" s="1286"/>
      <c r="BA568" s="1286"/>
      <c r="BB568" s="1286"/>
      <c r="BC568" s="1286"/>
      <c r="BD568" s="1286"/>
    </row>
    <row r="569" spans="1:56" ht="15.75" customHeight="1" x14ac:dyDescent="0.3">
      <c r="A569" s="50" t="str">
        <f t="shared" si="81"/>
        <v>(ARCHIVED 2026) Rebar / ArcelorMittal Long Products Canada / Canadian sizes / 20M</v>
      </c>
      <c r="B569" s="53" t="s">
        <v>7271</v>
      </c>
      <c r="C569" s="53" t="s">
        <v>3682</v>
      </c>
      <c r="D569" s="53" t="s">
        <v>3678</v>
      </c>
      <c r="E569" s="53" t="s">
        <v>3681</v>
      </c>
      <c r="H569" s="50"/>
      <c r="I569" s="53" t="s">
        <v>3683</v>
      </c>
      <c r="J569" s="358">
        <v>44637</v>
      </c>
      <c r="K569" s="58">
        <v>1.2855000000000001</v>
      </c>
      <c r="L569" s="53" t="s">
        <v>841</v>
      </c>
      <c r="M569" s="67">
        <v>3.0273525000000001</v>
      </c>
      <c r="N569" s="53" t="s">
        <v>22</v>
      </c>
      <c r="O569" s="50" t="s">
        <v>3684</v>
      </c>
      <c r="P569" s="53" t="s">
        <v>3685</v>
      </c>
      <c r="Q569" s="1293">
        <v>2024</v>
      </c>
      <c r="R569" s="53">
        <v>7850</v>
      </c>
      <c r="S569" s="53" t="s">
        <v>121</v>
      </c>
      <c r="T569" s="53">
        <v>2.355</v>
      </c>
      <c r="U569" s="53" t="s">
        <v>423</v>
      </c>
      <c r="AA569" s="78">
        <f t="shared" si="87"/>
        <v>0</v>
      </c>
      <c r="AG569" s="78"/>
      <c r="AN569" s="53">
        <v>395</v>
      </c>
      <c r="AR569" s="264" t="str">
        <f ca="1">IF(LEN(Q569)=4,IF(Q569&lt;YEAR(NOW()),_xlfn.CONCAT(IF(LOWER(Setting!rng_language)="english","Expired ","Expiré "),Q569),""),"")</f>
        <v>Expired 2024</v>
      </c>
      <c r="AT569" s="53" t="b">
        <f>ISNUMBER(MATCH(IF(LEN('USER INPUT SHEET'!rng_province)&gt;0,'USER INPUT SHEET'!rng_province,"Canada"),$AU569:$BD569,0))</f>
        <v>0</v>
      </c>
      <c r="AU569" s="1286"/>
      <c r="AV569" s="1286"/>
      <c r="AW569" s="1286"/>
      <c r="AX569" s="1286"/>
      <c r="AY569" s="1286"/>
      <c r="AZ569" s="1286"/>
      <c r="BA569" s="1286"/>
      <c r="BB569" s="1286"/>
      <c r="BC569" s="1286"/>
      <c r="BD569" s="1286"/>
    </row>
    <row r="570" spans="1:56" ht="15.75" customHeight="1" x14ac:dyDescent="0.3">
      <c r="A570" s="50" t="str">
        <f t="shared" si="81"/>
        <v>Wood fiber board / North American Fiberboard Association / Includes: MSL, Blue Ridge Fiberboard Inc. / R 2.7/inch</v>
      </c>
      <c r="B570" s="53" t="s">
        <v>715</v>
      </c>
      <c r="C570" s="53" t="s">
        <v>3687</v>
      </c>
      <c r="D570" s="53" t="s">
        <v>4022</v>
      </c>
      <c r="E570" s="53" t="s">
        <v>717</v>
      </c>
      <c r="H570" s="50"/>
      <c r="I570" s="53" t="s">
        <v>3515</v>
      </c>
      <c r="J570" s="358">
        <v>44640</v>
      </c>
      <c r="K570" s="53">
        <v>196.13</v>
      </c>
      <c r="L570" s="53" t="s">
        <v>3</v>
      </c>
      <c r="M570" s="67">
        <v>10.634360600947366</v>
      </c>
      <c r="N570" s="53" t="s">
        <v>3516</v>
      </c>
      <c r="O570" s="50" t="s">
        <v>3688</v>
      </c>
      <c r="P570" s="53" t="s">
        <v>3502</v>
      </c>
      <c r="Q570" s="1293">
        <v>2026</v>
      </c>
      <c r="R570" s="53">
        <v>254</v>
      </c>
      <c r="S570" s="53" t="s">
        <v>121</v>
      </c>
      <c r="T570" s="228">
        <v>13.772128652631576</v>
      </c>
      <c r="U570" s="53" t="s">
        <v>3539</v>
      </c>
      <c r="V570" s="53">
        <v>2.66</v>
      </c>
      <c r="W570" s="53">
        <f>1/V570*0.0254*5.67826</f>
        <v>5.4220978947368409E-2</v>
      </c>
      <c r="Y570" s="53">
        <v>0.92200000000000004</v>
      </c>
      <c r="Z570" s="53">
        <v>0.5</v>
      </c>
      <c r="AA570" s="78">
        <f>(AF570)*rng_biogenic_storage</f>
        <v>20.951539319248422</v>
      </c>
      <c r="AB570" s="53" t="s">
        <v>3516</v>
      </c>
      <c r="AD570" s="53">
        <f>Y570*Z570*T570</f>
        <v>6.3489513088631568</v>
      </c>
      <c r="AF570" s="53">
        <f>AD570*44/12</f>
        <v>23.279488132498244</v>
      </c>
      <c r="AG570" s="78"/>
      <c r="AN570" s="53">
        <v>397</v>
      </c>
      <c r="AR570" s="264" t="str">
        <f ca="1">IF(LEN(Q570)=4,IF(Q570&lt;YEAR(NOW()),_xlfn.CONCAT(IF(LOWER(Setting!rng_language)="english","Expired ","Expiré "),Q570),""),"")</f>
        <v/>
      </c>
      <c r="AT570" s="53" t="b">
        <f>ISNUMBER(MATCH(IF(LEN('USER INPUT SHEET'!rng_province)&gt;0,'USER INPUT SHEET'!rng_province,"Canada"),$AU570:$BD570,0))</f>
        <v>0</v>
      </c>
      <c r="AU570" s="1286"/>
      <c r="AV570" s="1286"/>
      <c r="AW570" s="1286"/>
      <c r="AX570" s="1286"/>
      <c r="AY570" s="1286"/>
      <c r="AZ570" s="1286"/>
      <c r="BA570" s="1286"/>
      <c r="BB570" s="1286"/>
      <c r="BC570" s="1286"/>
      <c r="BD570" s="1286"/>
    </row>
    <row r="571" spans="1:56" ht="15.75" customHeight="1" x14ac:dyDescent="0.3">
      <c r="A571" s="50" t="str">
        <f t="shared" ref="A571:A598" si="88">B571&amp;" / "&amp;C571&amp;" / "&amp;D571&amp;" / "&amp;E571</f>
        <v>(ARCHIVED 2023) XPS foam board / DuPont / Styrofoam (Blue) (Legacy) / R 5.6/inch</v>
      </c>
      <c r="B571" s="53" t="s">
        <v>3805</v>
      </c>
      <c r="C571" s="53" t="s">
        <v>3689</v>
      </c>
      <c r="D571" s="53" t="s">
        <v>3690</v>
      </c>
      <c r="E571" s="53" t="s">
        <v>3691</v>
      </c>
      <c r="H571" s="50" t="s">
        <v>3692</v>
      </c>
      <c r="I571" s="53" t="s">
        <v>3515</v>
      </c>
      <c r="K571" s="61">
        <v>60.8</v>
      </c>
      <c r="L571" s="53" t="s">
        <v>3516</v>
      </c>
      <c r="M571" s="67">
        <v>60.8</v>
      </c>
      <c r="N571" s="53" t="s">
        <v>3516</v>
      </c>
      <c r="O571" s="50" t="s">
        <v>3693</v>
      </c>
      <c r="P571" s="53" t="s">
        <v>3502</v>
      </c>
      <c r="Q571" s="1293">
        <v>2026</v>
      </c>
      <c r="V571" s="53">
        <v>5.6</v>
      </c>
      <c r="W571" s="61">
        <f t="shared" ref="W571:W581" si="89">0.0254*5.678/V571</f>
        <v>2.5753785714285715E-2</v>
      </c>
      <c r="AA571" s="78">
        <f t="shared" ref="AA571:AA582" si="90">_xlfn.NUMBERVALUE(IF(LEN(AG571)&gt;0,AG571,0))</f>
        <v>0</v>
      </c>
      <c r="AG571" s="78"/>
      <c r="AN571" s="53">
        <v>398</v>
      </c>
      <c r="AR571" s="264" t="s">
        <v>1200</v>
      </c>
      <c r="AT571" s="53" t="b">
        <f>ISNUMBER(MATCH(IF(LEN('USER INPUT SHEET'!rng_province)&gt;0,'USER INPUT SHEET'!rng_province,"Canada"),$AU571:$BD571,0))</f>
        <v>0</v>
      </c>
      <c r="AU571" s="1286"/>
      <c r="AV571" s="1286"/>
      <c r="AW571" s="1286"/>
      <c r="AX571" s="1286"/>
      <c r="AY571" s="1286"/>
      <c r="AZ571" s="1286"/>
      <c r="BA571" s="1286"/>
      <c r="BB571" s="1286"/>
      <c r="BC571" s="1286"/>
      <c r="BD571" s="1286"/>
    </row>
    <row r="572" spans="1:56" ht="15.75" customHeight="1" x14ac:dyDescent="0.3">
      <c r="A572" s="50" t="str">
        <f t="shared" si="88"/>
        <v>(ARCHIVED 2023) XPS foam board / DuPont / Styrofoam (Grey, Reduced GWP) / R 5.6/inch</v>
      </c>
      <c r="B572" s="53" t="s">
        <v>3805</v>
      </c>
      <c r="C572" s="53" t="s">
        <v>3689</v>
      </c>
      <c r="D572" s="53" t="s">
        <v>3694</v>
      </c>
      <c r="E572" s="53" t="s">
        <v>3691</v>
      </c>
      <c r="H572" s="50" t="s">
        <v>3692</v>
      </c>
      <c r="I572" s="53" t="s">
        <v>3515</v>
      </c>
      <c r="K572" s="53">
        <v>36.5</v>
      </c>
      <c r="L572" s="53" t="s">
        <v>3516</v>
      </c>
      <c r="M572" s="67">
        <v>36.5</v>
      </c>
      <c r="N572" s="53" t="s">
        <v>3516</v>
      </c>
      <c r="O572" s="50" t="s">
        <v>3695</v>
      </c>
      <c r="P572" s="53" t="s">
        <v>3502</v>
      </c>
      <c r="Q572" s="1293">
        <v>2026</v>
      </c>
      <c r="V572" s="53">
        <v>5.6</v>
      </c>
      <c r="W572" s="53">
        <f t="shared" si="89"/>
        <v>2.5753785714285715E-2</v>
      </c>
      <c r="AA572" s="78">
        <f t="shared" si="90"/>
        <v>0</v>
      </c>
      <c r="AG572" s="78"/>
      <c r="AN572" s="53">
        <v>399</v>
      </c>
      <c r="AR572" s="264" t="s">
        <v>1200</v>
      </c>
      <c r="AT572" s="53" t="b">
        <f>ISNUMBER(MATCH(IF(LEN('USER INPUT SHEET'!rng_province)&gt;0,'USER INPUT SHEET'!rng_province,"Canada"),$AU572:$BD572,0))</f>
        <v>0</v>
      </c>
      <c r="AU572" s="1286"/>
      <c r="AV572" s="1286"/>
      <c r="AW572" s="1286"/>
      <c r="AX572" s="1286"/>
      <c r="AY572" s="1286"/>
      <c r="AZ572" s="1286"/>
      <c r="BA572" s="1286"/>
      <c r="BB572" s="1286"/>
      <c r="BC572" s="1286"/>
      <c r="BD572" s="1286"/>
    </row>
    <row r="573" spans="1:56" ht="15.75" customHeight="1" x14ac:dyDescent="0.3">
      <c r="A573" s="50" t="str">
        <f t="shared" si="88"/>
        <v>XPS foam board / DuPont / Reduced GWP Grey Styrofoam™ (same as ST-100) / R 5.0/inch</v>
      </c>
      <c r="B573" s="53" t="s">
        <v>740</v>
      </c>
      <c r="C573" s="53" t="s">
        <v>3689</v>
      </c>
      <c r="D573" s="53" t="s">
        <v>4025</v>
      </c>
      <c r="E573" s="53" t="s">
        <v>3696</v>
      </c>
      <c r="H573" s="50" t="s">
        <v>3692</v>
      </c>
      <c r="I573" s="53" t="s">
        <v>3515</v>
      </c>
      <c r="K573" s="53">
        <v>4.67</v>
      </c>
      <c r="L573" s="53" t="s">
        <v>3516</v>
      </c>
      <c r="M573" s="67">
        <v>4.67</v>
      </c>
      <c r="N573" s="53" t="s">
        <v>3516</v>
      </c>
      <c r="O573" s="50" t="s">
        <v>4026</v>
      </c>
      <c r="P573" s="53" t="s">
        <v>3502</v>
      </c>
      <c r="Q573" s="1293">
        <v>2026</v>
      </c>
      <c r="V573" s="53">
        <v>5</v>
      </c>
      <c r="W573" s="53">
        <f t="shared" si="89"/>
        <v>2.884424E-2</v>
      </c>
      <c r="AA573" s="78">
        <f t="shared" si="90"/>
        <v>0</v>
      </c>
      <c r="AG573" s="78"/>
      <c r="AN573" s="53">
        <v>400</v>
      </c>
      <c r="AR573" s="264" t="s">
        <v>1200</v>
      </c>
      <c r="AT573" s="53" t="b">
        <f>ISNUMBER(MATCH(IF(LEN('USER INPUT SHEET'!rng_province)&gt;0,'USER INPUT SHEET'!rng_province,"Canada"),$AU573:$BD573,0))</f>
        <v>0</v>
      </c>
      <c r="AU573" s="1286"/>
      <c r="AV573" s="1286"/>
      <c r="AW573" s="1286"/>
      <c r="AX573" s="1286"/>
      <c r="AY573" s="1286"/>
      <c r="AZ573" s="1286"/>
      <c r="BA573" s="1286"/>
      <c r="BB573" s="1286"/>
      <c r="BC573" s="1286"/>
      <c r="BD573" s="1286"/>
    </row>
    <row r="574" spans="1:56" ht="15.75" customHeight="1" x14ac:dyDescent="0.3">
      <c r="A574" s="50" t="str">
        <f t="shared" si="88"/>
        <v>XPS foam board / Soprema / SOPRA-XPS / R 5.0/inch</v>
      </c>
      <c r="B574" s="53" t="s">
        <v>740</v>
      </c>
      <c r="C574" s="53" t="s">
        <v>3697</v>
      </c>
      <c r="D574" s="53" t="s">
        <v>3775</v>
      </c>
      <c r="E574" s="53" t="s">
        <v>3696</v>
      </c>
      <c r="H574" s="50" t="s">
        <v>3692</v>
      </c>
      <c r="I574" s="53" t="s">
        <v>3515</v>
      </c>
      <c r="J574" s="358">
        <v>44652</v>
      </c>
      <c r="K574" s="53">
        <v>1.92588</v>
      </c>
      <c r="L574" s="53" t="s">
        <v>3516</v>
      </c>
      <c r="M574" s="67">
        <v>1.92588</v>
      </c>
      <c r="N574" s="53" t="s">
        <v>3516</v>
      </c>
      <c r="O574" s="50" t="s">
        <v>3698</v>
      </c>
      <c r="P574" s="53" t="s">
        <v>3518</v>
      </c>
      <c r="Q574" s="1294">
        <v>2026</v>
      </c>
      <c r="R574" s="53">
        <v>32.799999999999997</v>
      </c>
      <c r="S574" s="53" t="s">
        <v>121</v>
      </c>
      <c r="T574" s="53">
        <v>1.1020000000000001</v>
      </c>
      <c r="U574" s="53" t="s">
        <v>207</v>
      </c>
      <c r="V574" s="53">
        <v>5</v>
      </c>
      <c r="W574" s="53">
        <f t="shared" si="89"/>
        <v>2.884424E-2</v>
      </c>
      <c r="AA574" s="78">
        <f t="shared" si="90"/>
        <v>0</v>
      </c>
      <c r="AG574" s="78"/>
      <c r="AI574" s="165">
        <v>2.4384000000000001</v>
      </c>
      <c r="AJ574" s="165">
        <v>0.60960000000000003</v>
      </c>
      <c r="AN574" s="53">
        <v>401</v>
      </c>
      <c r="AR574" s="264" t="s">
        <v>1200</v>
      </c>
      <c r="AT574" s="53" t="b">
        <f>ISNUMBER(MATCH(IF(LEN('USER INPUT SHEET'!rng_province)&gt;0,'USER INPUT SHEET'!rng_province,"Canada"),$AU574:$BD574,0))</f>
        <v>0</v>
      </c>
      <c r="AU574" s="1286"/>
      <c r="AV574" s="1286"/>
      <c r="AW574" s="1286"/>
      <c r="AX574" s="1286"/>
      <c r="AY574" s="1286"/>
      <c r="AZ574" s="1286"/>
      <c r="BA574" s="1286"/>
      <c r="BB574" s="1286"/>
      <c r="BC574" s="1286"/>
      <c r="BD574" s="1286"/>
    </row>
    <row r="575" spans="1:56" ht="15.75" customHeight="1" x14ac:dyDescent="0.3">
      <c r="A575" s="50" t="str">
        <f t="shared" si="88"/>
        <v>(ARCHIVED 2025) Mineral wool batt / Rockwool / ComfortBatt R14 / R 4.0/inch, 3.5"</v>
      </c>
      <c r="B575" s="53" t="s">
        <v>4345</v>
      </c>
      <c r="C575" s="53" t="s">
        <v>504</v>
      </c>
      <c r="D575" s="53" t="s">
        <v>3699</v>
      </c>
      <c r="E575" s="53" t="s">
        <v>3700</v>
      </c>
      <c r="H575" s="50"/>
      <c r="I575" s="53" t="s">
        <v>138</v>
      </c>
      <c r="J575" s="358">
        <v>44420</v>
      </c>
      <c r="K575" s="53">
        <v>1.179</v>
      </c>
      <c r="L575" s="53" t="s">
        <v>3516</v>
      </c>
      <c r="M575" s="67">
        <v>1.179</v>
      </c>
      <c r="N575" s="53" t="s">
        <v>3516</v>
      </c>
      <c r="O575" s="50" t="s">
        <v>507</v>
      </c>
      <c r="P575" s="53" t="s">
        <v>3502</v>
      </c>
      <c r="Q575" s="1293">
        <v>2024</v>
      </c>
      <c r="T575" s="53">
        <v>2.4700000000000002</v>
      </c>
      <c r="U575" s="53" t="s">
        <v>3701</v>
      </c>
      <c r="V575" s="53">
        <v>4</v>
      </c>
      <c r="W575" s="53">
        <f t="shared" si="89"/>
        <v>3.6055299999999998E-2</v>
      </c>
      <c r="AA575" s="78">
        <f t="shared" si="90"/>
        <v>0</v>
      </c>
      <c r="AG575" s="78"/>
      <c r="AJ575" s="165">
        <v>8.8999999999999996E-2</v>
      </c>
      <c r="AN575" s="53">
        <v>402</v>
      </c>
      <c r="AR575" s="264" t="str">
        <f ca="1">IF(LEN(Q575)=4,IF(Q575&lt;YEAR(NOW()),_xlfn.CONCAT(IF(LOWER(Setting!rng_language)="english","Expired ","Expiré "),Q575),""),"")</f>
        <v>Expired 2024</v>
      </c>
      <c r="AT575" s="53" t="b">
        <f>ISNUMBER(MATCH(IF(LEN('USER INPUT SHEET'!rng_province)&gt;0,'USER INPUT SHEET'!rng_province,"Canada"),$AU575:$BD575,0))</f>
        <v>0</v>
      </c>
      <c r="AU575" s="1286"/>
      <c r="AV575" s="1286"/>
      <c r="AW575" s="1286"/>
      <c r="AX575" s="1286"/>
      <c r="AY575" s="1286"/>
      <c r="AZ575" s="1286"/>
      <c r="BA575" s="1286"/>
      <c r="BB575" s="1286"/>
      <c r="BC575" s="1286"/>
      <c r="BD575" s="1286"/>
    </row>
    <row r="576" spans="1:56" ht="15.75" customHeight="1" x14ac:dyDescent="0.3">
      <c r="A576" s="50" t="str">
        <f t="shared" si="88"/>
        <v>(ARCHIVED 2025) Mineral wool batt / Rockwool / ComfortBatt R15 / R 4.3/inch, 3.5"</v>
      </c>
      <c r="B576" s="53" t="s">
        <v>4345</v>
      </c>
      <c r="C576" s="53" t="s">
        <v>504</v>
      </c>
      <c r="D576" s="53" t="s">
        <v>3702</v>
      </c>
      <c r="E576" s="53" t="s">
        <v>3703</v>
      </c>
      <c r="H576" s="50"/>
      <c r="I576" s="53" t="s">
        <v>3500</v>
      </c>
      <c r="J576" s="358">
        <v>44420</v>
      </c>
      <c r="K576" s="53">
        <v>1.31</v>
      </c>
      <c r="L576" s="53" t="s">
        <v>3516</v>
      </c>
      <c r="M576" s="67">
        <v>1.31</v>
      </c>
      <c r="N576" s="53" t="s">
        <v>3516</v>
      </c>
      <c r="O576" s="50" t="s">
        <v>507</v>
      </c>
      <c r="P576" s="53" t="s">
        <v>3502</v>
      </c>
      <c r="Q576" s="1293">
        <v>2024</v>
      </c>
      <c r="T576" s="53">
        <v>2.64</v>
      </c>
      <c r="U576" s="53" t="s">
        <v>3701</v>
      </c>
      <c r="V576" s="53">
        <v>4.3</v>
      </c>
      <c r="W576" s="53">
        <f t="shared" si="89"/>
        <v>3.3539813953488373E-2</v>
      </c>
      <c r="AA576" s="78">
        <f t="shared" si="90"/>
        <v>0</v>
      </c>
      <c r="AG576" s="78"/>
      <c r="AJ576" s="165">
        <v>8.8999999999999996E-2</v>
      </c>
      <c r="AN576" s="53">
        <v>403</v>
      </c>
      <c r="AR576" s="264" t="str">
        <f ca="1">IF(LEN(Q576)=4,IF(Q576&lt;YEAR(NOW()),_xlfn.CONCAT(IF(LOWER(Setting!rng_language)="english","Expired ","Expiré "),Q576),""),"")</f>
        <v>Expired 2024</v>
      </c>
      <c r="AT576" s="53" t="b">
        <f>ISNUMBER(MATCH(IF(LEN('USER INPUT SHEET'!rng_province)&gt;0,'USER INPUT SHEET'!rng_province,"Canada"),$AU576:$BD576,0))</f>
        <v>0</v>
      </c>
      <c r="AU576" s="1286"/>
      <c r="AV576" s="1286"/>
      <c r="AW576" s="1286"/>
      <c r="AX576" s="1286"/>
      <c r="AY576" s="1286"/>
      <c r="AZ576" s="1286"/>
      <c r="BA576" s="1286"/>
      <c r="BB576" s="1286"/>
      <c r="BC576" s="1286"/>
      <c r="BD576" s="1286"/>
    </row>
    <row r="577" spans="1:56" ht="15.75" customHeight="1" x14ac:dyDescent="0.3">
      <c r="A577" s="50" t="str">
        <f t="shared" si="88"/>
        <v>(ARCHIVED 2025) Mineral wool batt / Rockwool / ComfortBatt R22 / R 4.0/inch, 5.5"</v>
      </c>
      <c r="B577" s="53" t="s">
        <v>4345</v>
      </c>
      <c r="C577" s="53" t="s">
        <v>504</v>
      </c>
      <c r="D577" s="53" t="s">
        <v>3704</v>
      </c>
      <c r="E577" s="53" t="s">
        <v>3705</v>
      </c>
      <c r="H577" s="50"/>
      <c r="I577" s="53" t="s">
        <v>138</v>
      </c>
      <c r="J577" s="358">
        <v>44420</v>
      </c>
      <c r="K577" s="53">
        <v>1.179</v>
      </c>
      <c r="L577" s="53" t="s">
        <v>3516</v>
      </c>
      <c r="M577" s="67">
        <v>1.179</v>
      </c>
      <c r="N577" s="53" t="s">
        <v>3516</v>
      </c>
      <c r="O577" s="50" t="s">
        <v>507</v>
      </c>
      <c r="P577" s="53" t="s">
        <v>3502</v>
      </c>
      <c r="Q577" s="1293">
        <v>2024</v>
      </c>
      <c r="T577" s="53">
        <v>3.87</v>
      </c>
      <c r="U577" s="53" t="s">
        <v>3701</v>
      </c>
      <c r="V577" s="53">
        <v>4</v>
      </c>
      <c r="W577" s="53">
        <f t="shared" si="89"/>
        <v>3.6055299999999998E-2</v>
      </c>
      <c r="AA577" s="78">
        <f t="shared" si="90"/>
        <v>0</v>
      </c>
      <c r="AG577" s="78"/>
      <c r="AJ577" s="165">
        <v>0.14000000000000001</v>
      </c>
      <c r="AN577" s="53">
        <v>404</v>
      </c>
      <c r="AR577" s="264" t="str">
        <f ca="1">IF(LEN(Q577)=4,IF(Q577&lt;YEAR(NOW()),_xlfn.CONCAT(IF(LOWER(Setting!rng_language)="english","Expired ","Expiré "),Q577),""),"")</f>
        <v>Expired 2024</v>
      </c>
      <c r="AT577" s="53" t="b">
        <f>ISNUMBER(MATCH(IF(LEN('USER INPUT SHEET'!rng_province)&gt;0,'USER INPUT SHEET'!rng_province,"Canada"),$AU577:$BD577,0))</f>
        <v>0</v>
      </c>
      <c r="AU577" s="1286"/>
      <c r="AV577" s="1286"/>
      <c r="AW577" s="1286"/>
      <c r="AX577" s="1286"/>
      <c r="AY577" s="1286"/>
      <c r="AZ577" s="1286"/>
      <c r="BA577" s="1286"/>
      <c r="BB577" s="1286"/>
      <c r="BC577" s="1286"/>
      <c r="BD577" s="1286"/>
    </row>
    <row r="578" spans="1:56" ht="15.75" customHeight="1" x14ac:dyDescent="0.3">
      <c r="A578" s="50" t="str">
        <f t="shared" si="88"/>
        <v>(ARCHIVED 2025) Mineral wool batt / Rockwool / ComfortBatt R24 / R 4.4/inch, 5.5"</v>
      </c>
      <c r="B578" s="53" t="s">
        <v>4345</v>
      </c>
      <c r="C578" s="53" t="s">
        <v>504</v>
      </c>
      <c r="D578" s="53" t="s">
        <v>3706</v>
      </c>
      <c r="E578" s="53" t="s">
        <v>3707</v>
      </c>
      <c r="H578" s="50"/>
      <c r="I578" s="53" t="s">
        <v>138</v>
      </c>
      <c r="J578" s="358">
        <v>44420</v>
      </c>
      <c r="K578" s="53">
        <v>1.7030000000000001</v>
      </c>
      <c r="L578" s="53" t="s">
        <v>3516</v>
      </c>
      <c r="M578" s="67">
        <v>1.7030000000000001</v>
      </c>
      <c r="N578" s="53" t="s">
        <v>3516</v>
      </c>
      <c r="O578" s="50" t="s">
        <v>507</v>
      </c>
      <c r="P578" s="53" t="s">
        <v>3502</v>
      </c>
      <c r="Q578" s="1293">
        <v>2024</v>
      </c>
      <c r="T578" s="53">
        <v>4.2300000000000004</v>
      </c>
      <c r="U578" s="53" t="s">
        <v>3701</v>
      </c>
      <c r="V578" s="53">
        <v>4.367</v>
      </c>
      <c r="W578" s="53">
        <f t="shared" si="89"/>
        <v>3.3025234714907259E-2</v>
      </c>
      <c r="AA578" s="78">
        <f t="shared" si="90"/>
        <v>0</v>
      </c>
      <c r="AG578" s="78"/>
      <c r="AJ578" s="165">
        <v>0.14000000000000001</v>
      </c>
      <c r="AN578" s="53">
        <v>405</v>
      </c>
      <c r="AR578" s="264" t="str">
        <f ca="1">IF(LEN(Q578)=4,IF(Q578&lt;YEAR(NOW()),_xlfn.CONCAT(IF(LOWER(Setting!rng_language)="english","Expired ","Expiré "),Q578),""),"")</f>
        <v>Expired 2024</v>
      </c>
      <c r="AT578" s="53" t="b">
        <f>ISNUMBER(MATCH(IF(LEN('USER INPUT SHEET'!rng_province)&gt;0,'USER INPUT SHEET'!rng_province,"Canada"),$AU578:$BD578,0))</f>
        <v>0</v>
      </c>
      <c r="AU578" s="1286"/>
      <c r="AV578" s="1286"/>
      <c r="AW578" s="1286"/>
      <c r="AX578" s="1286"/>
      <c r="AY578" s="1286"/>
      <c r="AZ578" s="1286"/>
      <c r="BA578" s="1286"/>
      <c r="BB578" s="1286"/>
      <c r="BC578" s="1286"/>
      <c r="BD578" s="1286"/>
    </row>
    <row r="579" spans="1:56" ht="15.75" customHeight="1" x14ac:dyDescent="0.3">
      <c r="A579" s="50" t="str">
        <f t="shared" si="88"/>
        <v>(ARCHIVED 2025) Mineral wool batt / Rockwool / ComfortBatt R24 SS / R 4.0/inch, 6" Steel Studs</v>
      </c>
      <c r="B579" s="53" t="s">
        <v>4345</v>
      </c>
      <c r="C579" s="53" t="s">
        <v>504</v>
      </c>
      <c r="D579" s="53" t="s">
        <v>3708</v>
      </c>
      <c r="E579" s="53" t="s">
        <v>3709</v>
      </c>
      <c r="H579" s="50"/>
      <c r="I579" s="53" t="s">
        <v>138</v>
      </c>
      <c r="J579" s="358">
        <v>44420</v>
      </c>
      <c r="K579" s="53">
        <v>1.179</v>
      </c>
      <c r="L579" s="53" t="s">
        <v>3516</v>
      </c>
      <c r="M579" s="67">
        <v>1.179</v>
      </c>
      <c r="N579" s="53" t="s">
        <v>3516</v>
      </c>
      <c r="O579" s="50" t="s">
        <v>507</v>
      </c>
      <c r="P579" s="53" t="s">
        <v>3502</v>
      </c>
      <c r="Q579" s="1295">
        <v>2024</v>
      </c>
      <c r="T579" s="53">
        <v>4.2300000000000004</v>
      </c>
      <c r="U579" s="53" t="s">
        <v>3701</v>
      </c>
      <c r="V579" s="53">
        <v>4</v>
      </c>
      <c r="W579" s="53">
        <f t="shared" si="89"/>
        <v>3.6055299999999998E-2</v>
      </c>
      <c r="AA579" s="78">
        <f t="shared" si="90"/>
        <v>0</v>
      </c>
      <c r="AG579" s="78"/>
      <c r="AJ579" s="165">
        <v>0.152</v>
      </c>
      <c r="AN579" s="53">
        <v>406</v>
      </c>
      <c r="AR579" s="264" t="str">
        <f ca="1">IF(LEN(Q579)=4,IF(Q579&lt;YEAR(NOW()),_xlfn.CONCAT(IF(LOWER(Setting!rng_language)="english","Expired ","Expiré "),Q579),""),"")</f>
        <v>Expired 2024</v>
      </c>
      <c r="AT579" s="53" t="b">
        <f>ISNUMBER(MATCH(IF(LEN('USER INPUT SHEET'!rng_province)&gt;0,'USER INPUT SHEET'!rng_province,"Canada"),$AU579:$BD579,0))</f>
        <v>0</v>
      </c>
      <c r="AU579" s="1286"/>
      <c r="AV579" s="1286"/>
      <c r="AW579" s="1286"/>
      <c r="AX579" s="1286"/>
      <c r="AY579" s="1286"/>
      <c r="AZ579" s="1286"/>
      <c r="BA579" s="1286"/>
      <c r="BB579" s="1286"/>
      <c r="BC579" s="1286"/>
      <c r="BD579" s="1286"/>
    </row>
    <row r="580" spans="1:56" ht="15.75" customHeight="1" x14ac:dyDescent="0.3">
      <c r="A580" s="50" t="str">
        <f t="shared" si="88"/>
        <v>(ARCHIVED 2026) Mineral wool board  / Rockwool / Comfortboard 80 / R 4.2/inch</v>
      </c>
      <c r="B580" s="53" t="s">
        <v>7272</v>
      </c>
      <c r="C580" s="53" t="s">
        <v>504</v>
      </c>
      <c r="D580" s="53" t="s">
        <v>3710</v>
      </c>
      <c r="E580" s="53" t="s">
        <v>511</v>
      </c>
      <c r="H580" s="50"/>
      <c r="I580" s="53" t="s">
        <v>3515</v>
      </c>
      <c r="J580" s="358">
        <v>44470</v>
      </c>
      <c r="K580" s="53">
        <v>4.0609999999999999</v>
      </c>
      <c r="L580" s="53" t="s">
        <v>3516</v>
      </c>
      <c r="M580" s="67">
        <v>4.0609999999999999</v>
      </c>
      <c r="N580" s="53" t="s">
        <v>3516</v>
      </c>
      <c r="O580" s="50" t="s">
        <v>3711</v>
      </c>
      <c r="P580" s="53" t="s">
        <v>3502</v>
      </c>
      <c r="Q580" s="1293">
        <v>2024</v>
      </c>
      <c r="R580" s="53">
        <v>128</v>
      </c>
      <c r="S580" s="53" t="s">
        <v>121</v>
      </c>
      <c r="V580" s="53">
        <v>4.2</v>
      </c>
      <c r="W580" s="53">
        <f t="shared" si="89"/>
        <v>3.4338380952380947E-2</v>
      </c>
      <c r="AA580" s="78">
        <f t="shared" si="90"/>
        <v>0</v>
      </c>
      <c r="AG580" s="78"/>
      <c r="AN580" s="53">
        <v>407</v>
      </c>
      <c r="AR580" s="264" t="str">
        <f ca="1">IF(LEN(Q580)=4,IF(Q580&lt;YEAR(NOW()),_xlfn.CONCAT(IF(LOWER(Setting!rng_language)="english","Expired ","Expiré "),Q580),""),"")</f>
        <v>Expired 2024</v>
      </c>
      <c r="AT580" s="53" t="b">
        <f>ISNUMBER(MATCH(IF(LEN('USER INPUT SHEET'!rng_province)&gt;0,'USER INPUT SHEET'!rng_province,"Canada"),$AU580:$BD580,0))</f>
        <v>0</v>
      </c>
      <c r="AU580" s="1286"/>
      <c r="AV580" s="1286"/>
      <c r="AW580" s="1286"/>
      <c r="AX580" s="1286"/>
      <c r="AY580" s="1286"/>
      <c r="AZ580" s="1286"/>
      <c r="BA580" s="1286"/>
      <c r="BB580" s="1286"/>
      <c r="BC580" s="1286"/>
      <c r="BD580" s="1286"/>
    </row>
    <row r="581" spans="1:56" ht="15.75" customHeight="1" x14ac:dyDescent="0.3">
      <c r="A581" s="50" t="str">
        <f t="shared" si="88"/>
        <v>Polyiso - wall boards / DuPont / Thermax / R 6.5/inch</v>
      </c>
      <c r="B581" s="53" t="s">
        <v>551</v>
      </c>
      <c r="C581" s="53" t="s">
        <v>3689</v>
      </c>
      <c r="D581" s="53" t="s">
        <v>3712</v>
      </c>
      <c r="E581" s="53" t="s">
        <v>554</v>
      </c>
      <c r="H581" s="50"/>
      <c r="I581" s="53" t="s">
        <v>3515</v>
      </c>
      <c r="J581" s="358">
        <v>44631</v>
      </c>
      <c r="K581" s="53">
        <v>2.39</v>
      </c>
      <c r="L581" s="53" t="s">
        <v>3516</v>
      </c>
      <c r="M581" s="67">
        <v>2.39</v>
      </c>
      <c r="N581" s="53" t="s">
        <v>3516</v>
      </c>
      <c r="O581" s="50" t="s">
        <v>3713</v>
      </c>
      <c r="P581" s="53" t="s">
        <v>3502</v>
      </c>
      <c r="Q581" s="1293">
        <v>2026</v>
      </c>
      <c r="R581" s="53">
        <v>29.53</v>
      </c>
      <c r="S581" s="53" t="s">
        <v>121</v>
      </c>
      <c r="V581" s="53">
        <v>6.5</v>
      </c>
      <c r="W581" s="53">
        <f t="shared" si="89"/>
        <v>2.2187876923076923E-2</v>
      </c>
      <c r="AA581" s="78">
        <f t="shared" si="90"/>
        <v>0</v>
      </c>
      <c r="AG581" s="78"/>
      <c r="AN581" s="53">
        <v>408</v>
      </c>
      <c r="AR581" s="264" t="str">
        <f ca="1">IF(LEN(Q581)=4,IF(Q581&lt;YEAR(NOW()),_xlfn.CONCAT(IF(LOWER(Setting!rng_language)="english","Expired ","Expiré "),Q581),""),"")</f>
        <v/>
      </c>
      <c r="AT581" s="53" t="b">
        <f>ISNUMBER(MATCH(IF(LEN('USER INPUT SHEET'!rng_province)&gt;0,'USER INPUT SHEET'!rng_province,"Canada"),$AU581:$BD581,0))</f>
        <v>0</v>
      </c>
      <c r="AU581" s="1286"/>
      <c r="AV581" s="1286"/>
      <c r="AW581" s="1286"/>
      <c r="AX581" s="1286"/>
      <c r="AY581" s="1286"/>
      <c r="AZ581" s="1286"/>
      <c r="BA581" s="1286"/>
      <c r="BB581" s="1286"/>
      <c r="BC581" s="1286"/>
      <c r="BD581" s="1286"/>
    </row>
    <row r="582" spans="1:56" ht="15.75" customHeight="1" x14ac:dyDescent="0.3">
      <c r="A582" s="50" t="str">
        <f t="shared" si="88"/>
        <v xml:space="preserve">Laminated veneer lumber / Roseburg Forest Products / RigidLam LVL / </v>
      </c>
      <c r="B582" s="53" t="s">
        <v>439</v>
      </c>
      <c r="C582" s="53" t="s">
        <v>3714</v>
      </c>
      <c r="D582" s="53" t="s">
        <v>3715</v>
      </c>
      <c r="H582" s="50"/>
      <c r="I582" s="53" t="s">
        <v>3515</v>
      </c>
      <c r="J582" s="358">
        <v>44678</v>
      </c>
      <c r="K582" s="53">
        <v>274</v>
      </c>
      <c r="L582" s="53" t="s">
        <v>3</v>
      </c>
      <c r="M582" s="67">
        <v>274</v>
      </c>
      <c r="N582" s="53" t="s">
        <v>3</v>
      </c>
      <c r="O582" s="50" t="s">
        <v>3716</v>
      </c>
      <c r="P582" s="53" t="s">
        <v>3502</v>
      </c>
      <c r="Q582" s="1293">
        <v>2023</v>
      </c>
      <c r="R582" s="53">
        <v>539</v>
      </c>
      <c r="S582" s="53" t="s">
        <v>121</v>
      </c>
      <c r="Y582" s="53">
        <v>0.95599999999999996</v>
      </c>
      <c r="Z582" s="53">
        <v>0.5</v>
      </c>
      <c r="AA582" s="78">
        <f t="shared" si="90"/>
        <v>850.21860000000004</v>
      </c>
      <c r="AB582" s="53" t="s">
        <v>3</v>
      </c>
      <c r="AF582" s="53">
        <f>R582*Y582*Z582*44/12</f>
        <v>944.6873333333333</v>
      </c>
      <c r="AG582" s="78">
        <f>(AF582)*rng_biogenic_storage</f>
        <v>850.21860000000004</v>
      </c>
      <c r="AH582" s="53" t="s">
        <v>3</v>
      </c>
      <c r="AN582" s="53">
        <v>409</v>
      </c>
      <c r="AR582" s="264" t="str">
        <f ca="1">IF(LEN(Q582)=4,IF(Q582&lt;YEAR(NOW()),_xlfn.CONCAT(IF(LOWER(Setting!rng_language)="english","Expired ","Expiré "),Q582),""),"")</f>
        <v>Expired 2023</v>
      </c>
      <c r="AT582" s="53" t="b">
        <f>ISNUMBER(MATCH(IF(LEN('USER INPUT SHEET'!rng_province)&gt;0,'USER INPUT SHEET'!rng_province,"Canada"),$AU582:$BD582,0))</f>
        <v>0</v>
      </c>
      <c r="AU582" s="1286"/>
      <c r="AV582" s="1286"/>
      <c r="AW582" s="1286"/>
      <c r="AX582" s="1286"/>
      <c r="AY582" s="1286"/>
      <c r="AZ582" s="1286"/>
      <c r="BA582" s="1286"/>
      <c r="BB582" s="1286"/>
      <c r="BC582" s="1286"/>
      <c r="BD582" s="1286"/>
    </row>
    <row r="583" spans="1:56" ht="15.75" customHeight="1" x14ac:dyDescent="0.3">
      <c r="A583" s="50" t="str">
        <f t="shared" si="88"/>
        <v xml:space="preserve">Spray polyurethane foam - Closed Cell (HFO) / Huntsman Building Solutions / Heatlok HFO &amp; Heatlok Soya HFO / </v>
      </c>
      <c r="B583" s="53" t="s">
        <v>608</v>
      </c>
      <c r="C583" s="53" t="s">
        <v>3717</v>
      </c>
      <c r="D583" s="53" t="s">
        <v>3718</v>
      </c>
      <c r="H583" s="50"/>
      <c r="I583" s="53" t="s">
        <v>3515</v>
      </c>
      <c r="J583" s="358">
        <v>44677</v>
      </c>
      <c r="K583" s="53">
        <v>2.5026000000000002</v>
      </c>
      <c r="L583" s="53" t="s">
        <v>3516</v>
      </c>
      <c r="M583" s="67">
        <v>2.5026000000000002</v>
      </c>
      <c r="N583" s="53" t="s">
        <v>3516</v>
      </c>
      <c r="O583" s="50" t="s">
        <v>3719</v>
      </c>
      <c r="P583" s="53" t="s">
        <v>3502</v>
      </c>
      <c r="Q583" s="1293">
        <v>2026</v>
      </c>
      <c r="R583" s="53">
        <v>38.4</v>
      </c>
      <c r="S583" s="53" t="s">
        <v>121</v>
      </c>
      <c r="V583" s="53">
        <v>6.5</v>
      </c>
      <c r="W583" s="53">
        <f t="shared" ref="W583:W584" si="91">0.0254*5.678/V583</f>
        <v>2.2187876923076923E-2</v>
      </c>
      <c r="AA583" s="78">
        <f>_xlfn.NUMBERVALUE(IF(LEN(AG583)&gt;0,AG583,0))</f>
        <v>0</v>
      </c>
      <c r="AG583" s="78"/>
      <c r="AN583" s="53">
        <v>410</v>
      </c>
      <c r="AR583" s="264" t="s">
        <v>1200</v>
      </c>
      <c r="AT583" s="53" t="b">
        <f>ISNUMBER(MATCH(IF(LEN('USER INPUT SHEET'!rng_province)&gt;0,'USER INPUT SHEET'!rng_province,"Canada"),$AU583:$BD583,0))</f>
        <v>0</v>
      </c>
      <c r="AU583" s="1286"/>
      <c r="AV583" s="1286"/>
      <c r="AW583" s="1286"/>
      <c r="AX583" s="1286"/>
      <c r="AY583" s="1286"/>
      <c r="AZ583" s="1286"/>
      <c r="BA583" s="1286"/>
      <c r="BB583" s="1286"/>
      <c r="BC583" s="1286"/>
      <c r="BD583" s="1286"/>
    </row>
    <row r="584" spans="1:56" ht="15.75" customHeight="1" x14ac:dyDescent="0.3">
      <c r="A584" s="50" t="str">
        <f t="shared" si="88"/>
        <v>(ARCHIVED 2026) Polyiso - wall boards / PIMA / Includes: Atlas, Firestone, GAF, Johns Manville, Rmax, Carlisle, Iko, Soprema / R 6.5/inch</v>
      </c>
      <c r="B584" s="53" t="s">
        <v>7277</v>
      </c>
      <c r="C584" s="53" t="s">
        <v>545</v>
      </c>
      <c r="D584" s="53" t="s">
        <v>3720</v>
      </c>
      <c r="E584" s="53" t="s">
        <v>554</v>
      </c>
      <c r="H584" s="50"/>
      <c r="I584" s="53" t="s">
        <v>3500</v>
      </c>
      <c r="J584" s="358">
        <v>44633</v>
      </c>
      <c r="K584" s="53">
        <v>4.0959000000000003</v>
      </c>
      <c r="L584" s="53" t="s">
        <v>3516</v>
      </c>
      <c r="M584" s="67">
        <v>4.0959000000000003</v>
      </c>
      <c r="N584" s="53" t="s">
        <v>3516</v>
      </c>
      <c r="O584" s="50" t="s">
        <v>3721</v>
      </c>
      <c r="P584" s="53" t="s">
        <v>158</v>
      </c>
      <c r="Q584" s="1294">
        <v>2025</v>
      </c>
      <c r="R584" s="53">
        <v>49.09</v>
      </c>
      <c r="S584" s="53" t="s">
        <v>121</v>
      </c>
      <c r="V584" s="53">
        <v>6.5</v>
      </c>
      <c r="W584" s="53">
        <f t="shared" si="91"/>
        <v>2.2187876923076923E-2</v>
      </c>
      <c r="AA584" s="78">
        <f>_xlfn.NUMBERVALUE(IF(LEN(AG584)&gt;0,AG584,0))</f>
        <v>0</v>
      </c>
      <c r="AG584" s="78"/>
      <c r="AN584" s="53">
        <v>411</v>
      </c>
      <c r="AR584" s="264" t="str">
        <f ca="1">IF(LEN(Q584)=4,IF(Q584&lt;YEAR(NOW()),_xlfn.CONCAT(IF(LOWER(Setting!rng_language)="english","Expired ","Expiré "),Q584),""),"")</f>
        <v>Expired 2025</v>
      </c>
      <c r="AT584" s="53" t="b">
        <f>ISNUMBER(MATCH(IF(LEN('USER INPUT SHEET'!rng_province)&gt;0,'USER INPUT SHEET'!rng_province,"Canada"),$AU584:$BD584,0))</f>
        <v>0</v>
      </c>
      <c r="AU584" s="1286"/>
      <c r="AV584" s="1286"/>
      <c r="AW584" s="1286"/>
      <c r="AX584" s="1286"/>
      <c r="AY584" s="1286"/>
      <c r="AZ584" s="1286"/>
      <c r="BA584" s="1286"/>
      <c r="BB584" s="1286"/>
      <c r="BC584" s="1286"/>
      <c r="BD584" s="1286"/>
    </row>
    <row r="585" spans="1:56" ht="15.75" customHeight="1" x14ac:dyDescent="0.3">
      <c r="A585" s="50" t="str">
        <f t="shared" si="88"/>
        <v>Straw Bale / SNaB (UK) / Wheat &amp; barley straw / R 2.8/inch</v>
      </c>
      <c r="B585" s="53" t="s">
        <v>644</v>
      </c>
      <c r="C585" s="53" t="s">
        <v>3780</v>
      </c>
      <c r="D585" s="53" t="s">
        <v>3722</v>
      </c>
      <c r="E585" s="53" t="s">
        <v>385</v>
      </c>
      <c r="H585" s="50"/>
      <c r="I585" s="53" t="s">
        <v>120</v>
      </c>
      <c r="J585" s="358">
        <v>44634</v>
      </c>
      <c r="K585" s="53">
        <v>12.947115</v>
      </c>
      <c r="L585" s="53" t="s">
        <v>3</v>
      </c>
      <c r="M585" s="67">
        <v>0.67324998000000003</v>
      </c>
      <c r="N585" s="53" t="s">
        <v>3516</v>
      </c>
      <c r="O585" s="50" t="s">
        <v>3723</v>
      </c>
      <c r="P585" s="53" t="s">
        <v>392</v>
      </c>
      <c r="Q585" s="1294">
        <v>2026</v>
      </c>
      <c r="R585" s="53">
        <v>100</v>
      </c>
      <c r="S585" s="53" t="s">
        <v>121</v>
      </c>
      <c r="T585" s="53">
        <f>R585*W585</f>
        <v>5.2</v>
      </c>
      <c r="U585" s="53" t="s">
        <v>3539</v>
      </c>
      <c r="V585" s="53">
        <f>0.0254*5.678/W585</f>
        <v>2.7734846153846155</v>
      </c>
      <c r="W585" s="53">
        <v>5.1999999999999998E-2</v>
      </c>
      <c r="Z585" s="53">
        <v>0.47660000000000002</v>
      </c>
      <c r="AA585" s="78">
        <f>(AF585)*rng_biogenic_storage</f>
        <v>6.0371751959999997</v>
      </c>
      <c r="AB585" s="53" t="s">
        <v>3516</v>
      </c>
      <c r="AD585" s="53">
        <v>128.99947</v>
      </c>
      <c r="AE585" s="53" t="s">
        <v>3782</v>
      </c>
      <c r="AF585" s="53">
        <f>AD585*W585</f>
        <v>6.7079724399999998</v>
      </c>
      <c r="AG585" s="78"/>
      <c r="AN585" s="53">
        <v>412</v>
      </c>
      <c r="AR585" s="264" t="str">
        <f ca="1">IF(LEN(Q585)=4,IF(Q585&lt;YEAR(NOW()),_xlfn.CONCAT(IF(LOWER(Setting!rng_language)="english","Expired ","Expiré "),Q585),""),"")</f>
        <v/>
      </c>
      <c r="AT585" s="53" t="b">
        <f>ISNUMBER(MATCH(IF(LEN('USER INPUT SHEET'!rng_province)&gt;0,'USER INPUT SHEET'!rng_province,"Canada"),$AU585:$BD585,0))</f>
        <v>0</v>
      </c>
      <c r="AU585" s="1286"/>
      <c r="AV585" s="1286"/>
      <c r="AW585" s="1286"/>
      <c r="AX585" s="1286"/>
      <c r="AY585" s="1286"/>
      <c r="AZ585" s="1286"/>
      <c r="BA585" s="1286"/>
      <c r="BB585" s="1286"/>
      <c r="BC585" s="1286"/>
      <c r="BD585" s="1286"/>
    </row>
    <row r="586" spans="1:56" ht="15.75" customHeight="1" x14ac:dyDescent="0.3">
      <c r="A586" s="50" t="str">
        <f t="shared" si="88"/>
        <v>(ARCHIVED 2025) Engineered Wood Siding &amp; Trim / LP / SmartSide / 0.315" (8 mm)</v>
      </c>
      <c r="B586" s="53" t="s">
        <v>4523</v>
      </c>
      <c r="C586" s="53" t="s">
        <v>3725</v>
      </c>
      <c r="D586" s="53" t="s">
        <v>3726</v>
      </c>
      <c r="E586" s="53" t="s">
        <v>3727</v>
      </c>
      <c r="H586" s="50" t="s">
        <v>3728</v>
      </c>
      <c r="I586" s="53" t="s">
        <v>3515</v>
      </c>
      <c r="K586" s="53">
        <v>347.31</v>
      </c>
      <c r="L586" s="53" t="s">
        <v>3</v>
      </c>
      <c r="M586" s="67">
        <v>2.7784800000000001</v>
      </c>
      <c r="N586" s="53" t="s">
        <v>3729</v>
      </c>
      <c r="O586" s="50" t="s">
        <v>3730</v>
      </c>
      <c r="P586" s="53" t="s">
        <v>3518</v>
      </c>
      <c r="Q586" s="1293">
        <v>2026</v>
      </c>
      <c r="R586" s="53">
        <v>657</v>
      </c>
      <c r="S586" s="53" t="s">
        <v>121</v>
      </c>
      <c r="Y586" s="53">
        <v>0.8</v>
      </c>
      <c r="Z586" s="53">
        <v>0.48</v>
      </c>
      <c r="AA586" s="78">
        <f t="shared" ref="AA586:AA593" si="92">_xlfn.NUMBERVALUE(IF(LEN(AG586)&gt;0,AG586,0))</f>
        <v>0</v>
      </c>
      <c r="AB586" s="53" t="s">
        <v>831</v>
      </c>
      <c r="AG586" s="78"/>
      <c r="AK586" s="165">
        <v>8.0000000000000002E-3</v>
      </c>
      <c r="AN586" s="53">
        <v>413</v>
      </c>
      <c r="AR586" s="264" t="str">
        <f ca="1">IF(LEN(Q586)=4,IF(Q586&lt;YEAR(NOW()),_xlfn.CONCAT(IF(LOWER(Setting!rng_language)="english","Expired ","Expiré "),Q586),""),"")</f>
        <v/>
      </c>
      <c r="AT586" s="53" t="b">
        <f>ISNUMBER(MATCH(IF(LEN('USER INPUT SHEET'!rng_province)&gt;0,'USER INPUT SHEET'!rng_province,"Canada"),$AU586:$BD586,0))</f>
        <v>0</v>
      </c>
      <c r="AU586" s="1286"/>
      <c r="AV586" s="1286"/>
      <c r="AW586" s="1286"/>
      <c r="AX586" s="1286"/>
      <c r="AY586" s="1286"/>
      <c r="AZ586" s="1286"/>
      <c r="BA586" s="1286"/>
      <c r="BB586" s="1286"/>
      <c r="BC586" s="1286"/>
      <c r="BD586" s="1286"/>
    </row>
    <row r="587" spans="1:56" ht="15.75" customHeight="1" x14ac:dyDescent="0.3">
      <c r="A587" s="50" t="str">
        <f t="shared" si="88"/>
        <v>(ARCHIVED 2025) Engineered Wood Siding &amp; Trim / LP / SmartSide / 0.375" (9.5 mm)</v>
      </c>
      <c r="B587" s="53" t="s">
        <v>4523</v>
      </c>
      <c r="C587" s="53" t="s">
        <v>3725</v>
      </c>
      <c r="D587" s="53" t="s">
        <v>3726</v>
      </c>
      <c r="E587" s="53" t="s">
        <v>3731</v>
      </c>
      <c r="H587" s="50" t="s">
        <v>3728</v>
      </c>
      <c r="I587" s="53" t="s">
        <v>3515</v>
      </c>
      <c r="K587" s="53">
        <v>347.31</v>
      </c>
      <c r="L587" s="53" t="s">
        <v>3</v>
      </c>
      <c r="M587" s="67">
        <v>3.299445</v>
      </c>
      <c r="N587" s="53" t="s">
        <v>3732</v>
      </c>
      <c r="O587" s="50" t="s">
        <v>3730</v>
      </c>
      <c r="P587" s="53" t="s">
        <v>3518</v>
      </c>
      <c r="Q587" s="1293">
        <v>2026</v>
      </c>
      <c r="R587" s="53">
        <v>657</v>
      </c>
      <c r="S587" s="53" t="s">
        <v>121</v>
      </c>
      <c r="Y587" s="53">
        <v>0.81499999999999995</v>
      </c>
      <c r="Z587" s="53">
        <v>0.48</v>
      </c>
      <c r="AA587" s="78">
        <f t="shared" si="92"/>
        <v>0</v>
      </c>
      <c r="AB587" s="53" t="s">
        <v>3733</v>
      </c>
      <c r="AG587" s="78"/>
      <c r="AK587" s="165">
        <v>9.4999999999999998E-3</v>
      </c>
      <c r="AN587" s="53">
        <v>414</v>
      </c>
      <c r="AR587" s="264" t="str">
        <f ca="1">IF(LEN(Q587)=4,IF(Q587&lt;YEAR(NOW()),_xlfn.CONCAT(IF(LOWER(Setting!rng_language)="english","Expired ","Expiré "),Q587),""),"")</f>
        <v/>
      </c>
      <c r="AT587" s="53" t="b">
        <f>ISNUMBER(MATCH(IF(LEN('USER INPUT SHEET'!rng_province)&gt;0,'USER INPUT SHEET'!rng_province,"Canada"),$AU587:$BD587,0))</f>
        <v>0</v>
      </c>
      <c r="AU587" s="1286"/>
      <c r="AV587" s="1286"/>
      <c r="AW587" s="1286"/>
      <c r="AX587" s="1286"/>
      <c r="AY587" s="1286"/>
      <c r="AZ587" s="1286"/>
      <c r="BA587" s="1286"/>
      <c r="BB587" s="1286"/>
      <c r="BC587" s="1286"/>
      <c r="BD587" s="1286"/>
    </row>
    <row r="588" spans="1:56" ht="15.75" customHeight="1" x14ac:dyDescent="0.3">
      <c r="A588" s="50" t="str">
        <f t="shared" si="88"/>
        <v>(ARCHIVED 2025) Engineered Wood Siding &amp; Trim / LP / SmartSide / 0.530" (13.5 mm)</v>
      </c>
      <c r="B588" s="53" t="s">
        <v>4523</v>
      </c>
      <c r="C588" s="53" t="s">
        <v>3725</v>
      </c>
      <c r="D588" s="53" t="s">
        <v>3726</v>
      </c>
      <c r="E588" s="53" t="s">
        <v>3734</v>
      </c>
      <c r="H588" s="50" t="s">
        <v>3728</v>
      </c>
      <c r="I588" s="53" t="s">
        <v>3515</v>
      </c>
      <c r="K588" s="53">
        <v>347.31</v>
      </c>
      <c r="L588" s="53" t="s">
        <v>3</v>
      </c>
      <c r="M588" s="67">
        <v>4.6886849999999995</v>
      </c>
      <c r="N588" s="53" t="s">
        <v>3735</v>
      </c>
      <c r="O588" s="50" t="s">
        <v>3730</v>
      </c>
      <c r="P588" s="53" t="s">
        <v>3518</v>
      </c>
      <c r="Q588" s="1293">
        <v>2026</v>
      </c>
      <c r="R588" s="53">
        <v>657</v>
      </c>
      <c r="S588" s="53" t="s">
        <v>121</v>
      </c>
      <c r="Y588" s="53">
        <v>0.85499999999999998</v>
      </c>
      <c r="Z588" s="53">
        <v>0.48</v>
      </c>
      <c r="AA588" s="78">
        <f t="shared" si="92"/>
        <v>0</v>
      </c>
      <c r="AB588" s="53" t="s">
        <v>3735</v>
      </c>
      <c r="AG588" s="78"/>
      <c r="AK588" s="165">
        <v>1.35E-2</v>
      </c>
      <c r="AN588" s="53">
        <v>415</v>
      </c>
      <c r="AR588" s="264" t="str">
        <f ca="1">IF(LEN(Q588)=4,IF(Q588&lt;YEAR(NOW()),_xlfn.CONCAT(IF(LOWER(Setting!rng_language)="english","Expired ","Expiré "),Q588),""),"")</f>
        <v/>
      </c>
      <c r="AT588" s="53" t="b">
        <f>ISNUMBER(MATCH(IF(LEN('USER INPUT SHEET'!rng_province)&gt;0,'USER INPUT SHEET'!rng_province,"Canada"),$AU588:$BD588,0))</f>
        <v>0</v>
      </c>
      <c r="AU588" s="1286"/>
      <c r="AV588" s="1286"/>
      <c r="AW588" s="1286"/>
      <c r="AX588" s="1286"/>
      <c r="AY588" s="1286"/>
      <c r="AZ588" s="1286"/>
      <c r="BA588" s="1286"/>
      <c r="BB588" s="1286"/>
      <c r="BC588" s="1286"/>
      <c r="BD588" s="1286"/>
    </row>
    <row r="589" spans="1:56" ht="15.75" customHeight="1" x14ac:dyDescent="0.3">
      <c r="A589" s="50" t="str">
        <f t="shared" si="88"/>
        <v>Engineered Wood Siding &amp; Trim / LP / SmartSide / 0.354" (9 mm)</v>
      </c>
      <c r="B589" s="53" t="s">
        <v>3724</v>
      </c>
      <c r="C589" s="53" t="s">
        <v>3725</v>
      </c>
      <c r="D589" s="53" t="s">
        <v>3726</v>
      </c>
      <c r="E589" s="53" t="s">
        <v>4524</v>
      </c>
      <c r="H589" s="50" t="s">
        <v>3728</v>
      </c>
      <c r="J589" s="401">
        <v>45364</v>
      </c>
      <c r="K589" s="53">
        <v>279.43</v>
      </c>
      <c r="L589" s="53" t="s">
        <v>3</v>
      </c>
      <c r="M589" s="67">
        <v>2.5148699999999997</v>
      </c>
      <c r="N589" s="53" t="s">
        <v>4525</v>
      </c>
      <c r="O589" s="50" t="s">
        <v>4526</v>
      </c>
      <c r="P589" s="53" t="s">
        <v>3518</v>
      </c>
      <c r="Q589" s="401">
        <v>47078</v>
      </c>
      <c r="R589" s="53">
        <v>657</v>
      </c>
      <c r="S589" s="53" t="s">
        <v>121</v>
      </c>
      <c r="X589" s="53">
        <v>1886.06</v>
      </c>
      <c r="AA589" s="78">
        <f t="shared" si="92"/>
        <v>15.277086000000001</v>
      </c>
      <c r="AF589" s="53">
        <v>0</v>
      </c>
      <c r="AG589" s="78">
        <f>(X589*AK589)*rng_biogenic_storage</f>
        <v>15.277085999999999</v>
      </c>
      <c r="AH589" s="53" t="s">
        <v>4525</v>
      </c>
      <c r="AK589" s="165">
        <v>8.9999999999999993E-3</v>
      </c>
      <c r="AN589" s="53" t="s">
        <v>4574</v>
      </c>
      <c r="AT589" s="53" t="b">
        <f>ISNUMBER(MATCH(IF(LEN('USER INPUT SHEET'!rng_province)&gt;0,'USER INPUT SHEET'!rng_province,"Canada"),$AU589:$BD589,0))</f>
        <v>0</v>
      </c>
      <c r="AU589" s="1286"/>
      <c r="AV589" s="1286"/>
      <c r="AW589" s="1286"/>
      <c r="AX589" s="1286"/>
      <c r="AY589" s="1286"/>
      <c r="AZ589" s="1286"/>
      <c r="BA589" s="1286"/>
      <c r="BB589" s="1286"/>
      <c r="BC589" s="1286"/>
      <c r="BD589" s="1286"/>
    </row>
    <row r="590" spans="1:56" ht="15.75" customHeight="1" x14ac:dyDescent="0.3">
      <c r="A590" s="50" t="str">
        <f t="shared" si="88"/>
        <v>Engineered Wood Siding &amp; Trim / LP / SmartSide / 0.418" (10.6 mm)</v>
      </c>
      <c r="B590" s="53" t="s">
        <v>3724</v>
      </c>
      <c r="C590" s="53" t="s">
        <v>3725</v>
      </c>
      <c r="D590" s="53" t="s">
        <v>3726</v>
      </c>
      <c r="E590" s="53" t="s">
        <v>4527</v>
      </c>
      <c r="H590" s="50" t="s">
        <v>3728</v>
      </c>
      <c r="J590" s="401">
        <v>45364</v>
      </c>
      <c r="K590" s="53">
        <v>279.43</v>
      </c>
      <c r="L590" s="53" t="s">
        <v>3</v>
      </c>
      <c r="M590" s="67">
        <v>2.9619580000000001</v>
      </c>
      <c r="N590" s="53" t="s">
        <v>4528</v>
      </c>
      <c r="O590" s="50" t="s">
        <v>4526</v>
      </c>
      <c r="P590" s="53" t="s">
        <v>3518</v>
      </c>
      <c r="Q590" s="401">
        <v>47078</v>
      </c>
      <c r="R590" s="53">
        <v>657</v>
      </c>
      <c r="S590" s="53" t="s">
        <v>121</v>
      </c>
      <c r="X590" s="53">
        <v>1886.06</v>
      </c>
      <c r="AA590" s="78">
        <f t="shared" si="92"/>
        <v>17.993012400000001</v>
      </c>
      <c r="AF590" s="53">
        <v>0</v>
      </c>
      <c r="AG590" s="78">
        <f>(X590*AK590)*rng_biogenic_storage</f>
        <v>17.993012399999998</v>
      </c>
      <c r="AH590" s="53" t="s">
        <v>4528</v>
      </c>
      <c r="AK590" s="165">
        <v>1.06E-2</v>
      </c>
      <c r="AN590" s="53" t="s">
        <v>3977</v>
      </c>
      <c r="AT590" s="53" t="b">
        <f>ISNUMBER(MATCH(IF(LEN('USER INPUT SHEET'!rng_province)&gt;0,'USER INPUT SHEET'!rng_province,"Canada"),$AU590:$BD590,0))</f>
        <v>0</v>
      </c>
      <c r="AU590" s="1286"/>
      <c r="AV590" s="1286"/>
      <c r="AW590" s="1286"/>
      <c r="AX590" s="1286"/>
      <c r="AY590" s="1286"/>
      <c r="AZ590" s="1286"/>
      <c r="BA590" s="1286"/>
      <c r="BB590" s="1286"/>
      <c r="BC590" s="1286"/>
      <c r="BD590" s="1286"/>
    </row>
    <row r="591" spans="1:56" ht="15.75" customHeight="1" x14ac:dyDescent="0.3">
      <c r="A591" s="50" t="str">
        <f t="shared" si="88"/>
        <v>Engineered Wood Siding &amp; Trim / LP / SmartSide / 0.578" (14.7mm)</v>
      </c>
      <c r="B591" s="53" t="s">
        <v>3724</v>
      </c>
      <c r="C591" s="53" t="s">
        <v>3725</v>
      </c>
      <c r="D591" s="53" t="s">
        <v>3726</v>
      </c>
      <c r="E591" s="53" t="s">
        <v>4529</v>
      </c>
      <c r="H591" s="50" t="s">
        <v>3728</v>
      </c>
      <c r="J591" s="401">
        <v>45364</v>
      </c>
      <c r="K591" s="53">
        <v>279.43</v>
      </c>
      <c r="L591" s="53" t="s">
        <v>3</v>
      </c>
      <c r="M591" s="67">
        <v>4.107621</v>
      </c>
      <c r="N591" s="53" t="s">
        <v>4530</v>
      </c>
      <c r="O591" s="50" t="s">
        <v>4526</v>
      </c>
      <c r="P591" s="53" t="s">
        <v>3518</v>
      </c>
      <c r="Q591" s="401">
        <v>47078</v>
      </c>
      <c r="R591" s="53">
        <v>657</v>
      </c>
      <c r="S591" s="53" t="s">
        <v>121</v>
      </c>
      <c r="X591" s="53">
        <v>1886.06</v>
      </c>
      <c r="AA591" s="78">
        <f t="shared" si="92"/>
        <v>24.9525738</v>
      </c>
      <c r="AF591" s="53">
        <v>0</v>
      </c>
      <c r="AG591" s="78">
        <f>(X591*AK591)*rng_biogenic_storage</f>
        <v>24.952573799999996</v>
      </c>
      <c r="AH591" s="53" t="s">
        <v>4530</v>
      </c>
      <c r="AK591" s="165">
        <v>1.47E-2</v>
      </c>
      <c r="AN591" s="53" t="s">
        <v>4575</v>
      </c>
      <c r="AT591" s="53" t="b">
        <f>ISNUMBER(MATCH(IF(LEN('USER INPUT SHEET'!rng_province)&gt;0,'USER INPUT SHEET'!rng_province,"Canada"),$AU591:$BD591,0))</f>
        <v>0</v>
      </c>
      <c r="AU591" s="1286"/>
      <c r="AV591" s="1286"/>
      <c r="AW591" s="1286"/>
      <c r="AX591" s="1286"/>
      <c r="AY591" s="1286"/>
      <c r="AZ591" s="1286"/>
      <c r="BA591" s="1286"/>
      <c r="BB591" s="1286"/>
      <c r="BC591" s="1286"/>
      <c r="BD591" s="1286"/>
    </row>
    <row r="592" spans="1:56" ht="15.75" customHeight="1" x14ac:dyDescent="0.3">
      <c r="A592" s="50" t="str">
        <f t="shared" si="88"/>
        <v>Engineered Wood Siding &amp; Trim / LP / BuilderSeries® Lap Siding / 9/32" (7.3 mm)</v>
      </c>
      <c r="B592" s="53" t="s">
        <v>3724</v>
      </c>
      <c r="C592" s="53" t="s">
        <v>3725</v>
      </c>
      <c r="D592" s="53" t="s">
        <v>4531</v>
      </c>
      <c r="E592" s="53" t="s">
        <v>4532</v>
      </c>
      <c r="H592" s="50" t="s">
        <v>3728</v>
      </c>
      <c r="I592" s="53" t="s">
        <v>3500</v>
      </c>
      <c r="J592" s="401">
        <v>45316</v>
      </c>
      <c r="K592" s="53">
        <v>267.01</v>
      </c>
      <c r="L592" s="53" t="s">
        <v>3</v>
      </c>
      <c r="M592" s="67">
        <v>1.949173</v>
      </c>
      <c r="N592" s="53" t="s">
        <v>4533</v>
      </c>
      <c r="O592" s="50" t="s">
        <v>4534</v>
      </c>
      <c r="P592" s="53" t="s">
        <v>3518</v>
      </c>
      <c r="Q592" s="401">
        <v>47107</v>
      </c>
      <c r="R592" s="53">
        <v>644.77</v>
      </c>
      <c r="S592" s="53" t="s">
        <v>121</v>
      </c>
      <c r="T592" s="53">
        <v>3.67</v>
      </c>
      <c r="U592" s="53" t="s">
        <v>141</v>
      </c>
      <c r="X592" s="53">
        <v>1576.54</v>
      </c>
      <c r="AA592" s="78">
        <f t="shared" si="92"/>
        <v>10.357867799999999</v>
      </c>
      <c r="AG592" s="78">
        <f>(X592*AK592)*rng_biogenic_storage</f>
        <v>10.357867799999999</v>
      </c>
      <c r="AH592" s="53" t="s">
        <v>4535</v>
      </c>
      <c r="AK592" s="165">
        <v>7.3000000000000001E-3</v>
      </c>
      <c r="AN592" s="53" t="s">
        <v>4576</v>
      </c>
      <c r="AT592" s="53" t="b">
        <f>ISNUMBER(MATCH(IF(LEN('USER INPUT SHEET'!rng_province)&gt;0,'USER INPUT SHEET'!rng_province,"Canada"),$AU592:$BD592,0))</f>
        <v>0</v>
      </c>
      <c r="AU592" s="1286"/>
      <c r="AV592" s="1286"/>
      <c r="AW592" s="1286"/>
      <c r="AX592" s="1286"/>
      <c r="AY592" s="1286"/>
      <c r="AZ592" s="1286"/>
      <c r="BA592" s="1286"/>
      <c r="BB592" s="1286"/>
      <c r="BC592" s="1286"/>
      <c r="BD592" s="1286"/>
    </row>
    <row r="593" spans="1:56" ht="15.75" customHeight="1" x14ac:dyDescent="0.3">
      <c r="A593" s="50" t="str">
        <f t="shared" si="88"/>
        <v>Engineered Wood Siding &amp; Trim / LP / SmartSide ExpertFinish / 3/8" (9.5 mm)</v>
      </c>
      <c r="B593" s="53" t="s">
        <v>3724</v>
      </c>
      <c r="C593" s="53" t="s">
        <v>3725</v>
      </c>
      <c r="D593" s="53" t="s">
        <v>4536</v>
      </c>
      <c r="E593" s="53" t="s">
        <v>4537</v>
      </c>
      <c r="H593" s="50" t="s">
        <v>3728</v>
      </c>
      <c r="I593" s="53" t="s">
        <v>3500</v>
      </c>
      <c r="J593" s="401">
        <v>45316</v>
      </c>
      <c r="K593" s="53">
        <v>487.03</v>
      </c>
      <c r="L593" s="53" t="s">
        <v>3</v>
      </c>
      <c r="M593" s="67">
        <v>4.6267849999999999</v>
      </c>
      <c r="N593" s="53" t="s">
        <v>4538</v>
      </c>
      <c r="O593" s="50" t="s">
        <v>4539</v>
      </c>
      <c r="P593" s="53" t="s">
        <v>3518</v>
      </c>
      <c r="Q593" s="401">
        <v>47078</v>
      </c>
      <c r="R593" s="53">
        <v>657</v>
      </c>
      <c r="S593" s="53" t="s">
        <v>121</v>
      </c>
      <c r="X593" s="53">
        <v>1095.6199999999999</v>
      </c>
      <c r="Y593" s="53">
        <v>0.81499999999999995</v>
      </c>
      <c r="Z593" s="53">
        <v>0.48</v>
      </c>
      <c r="AA593" s="78">
        <f t="shared" si="92"/>
        <v>9.3675510000000006</v>
      </c>
      <c r="AG593" s="78">
        <f>(X593*AK593)*rng_biogenic_storage</f>
        <v>9.3675509999999989</v>
      </c>
      <c r="AH593" s="53" t="s">
        <v>3733</v>
      </c>
      <c r="AK593" s="165">
        <v>9.4999999999999998E-3</v>
      </c>
      <c r="AN593" s="53" t="s">
        <v>3994</v>
      </c>
      <c r="AT593" s="53" t="b">
        <f>ISNUMBER(MATCH(IF(LEN('USER INPUT SHEET'!rng_province)&gt;0,'USER INPUT SHEET'!rng_province,"Canada"),$AU593:$BD593,0))</f>
        <v>0</v>
      </c>
      <c r="AU593" s="1286"/>
      <c r="AV593" s="1286"/>
      <c r="AW593" s="1286"/>
      <c r="AX593" s="1286"/>
      <c r="AY593" s="1286"/>
      <c r="AZ593" s="1286"/>
      <c r="BA593" s="1286"/>
      <c r="BB593" s="1286"/>
      <c r="BC593" s="1286"/>
      <c r="BD593" s="1286"/>
    </row>
    <row r="594" spans="1:56" ht="15.75" customHeight="1" x14ac:dyDescent="0.3">
      <c r="A594" s="50" t="str">
        <f t="shared" si="88"/>
        <v>Window - double pane / Inline Fiberglass / 300 Series Tilt and Turn, 300 Series Fixed, 325 Series Awning/Casement, 325 Series Fixed, and 400 Series / Fiberglass frame</v>
      </c>
      <c r="B594" s="53" t="s">
        <v>682</v>
      </c>
      <c r="C594" s="53" t="s">
        <v>3736</v>
      </c>
      <c r="D594" s="53" t="s">
        <v>3737</v>
      </c>
      <c r="E594" s="53" t="s">
        <v>683</v>
      </c>
      <c r="H594" s="50" t="s">
        <v>3738</v>
      </c>
      <c r="I594" s="53" t="s">
        <v>138</v>
      </c>
      <c r="J594" s="358">
        <v>44639</v>
      </c>
      <c r="K594" s="53">
        <v>75.7</v>
      </c>
      <c r="L594" s="53" t="s">
        <v>3501</v>
      </c>
      <c r="M594" s="67">
        <v>75.7</v>
      </c>
      <c r="N594" s="53" t="s">
        <v>3739</v>
      </c>
      <c r="O594" s="50" t="s">
        <v>3740</v>
      </c>
      <c r="P594" s="53" t="s">
        <v>3518</v>
      </c>
      <c r="Q594" s="1293">
        <v>2026</v>
      </c>
      <c r="R594" s="53">
        <v>60.5</v>
      </c>
      <c r="S594" s="53" t="s">
        <v>841</v>
      </c>
      <c r="T594" s="53">
        <f>R594/(AI594*AJ594)</f>
        <v>31.025641025641022</v>
      </c>
      <c r="U594" s="53" t="s">
        <v>3741</v>
      </c>
      <c r="AA594" s="78">
        <f>_xlfn.NUMBERVALUE(IF(LEN(AG594)&gt;0,AG594,0))</f>
        <v>0</v>
      </c>
      <c r="AG594" s="78"/>
      <c r="AI594" s="165">
        <v>1.3</v>
      </c>
      <c r="AJ594" s="165">
        <v>1.5</v>
      </c>
      <c r="AN594" s="53">
        <v>416</v>
      </c>
      <c r="AR594" s="264" t="str">
        <f ca="1">IF(LEN(Q594)=4,IF(Q594&lt;YEAR(NOW()),_xlfn.CONCAT(IF(LOWER(Setting!rng_language)="english","Expired ","Expiré "),Q594),""),"")</f>
        <v/>
      </c>
      <c r="AT594" s="53" t="b">
        <f>ISNUMBER(MATCH(IF(LEN('USER INPUT SHEET'!rng_province)&gt;0,'USER INPUT SHEET'!rng_province,"Canada"),$AU594:$BD594,0))</f>
        <v>0</v>
      </c>
      <c r="AU594" s="1286"/>
      <c r="AV594" s="1286"/>
      <c r="AW594" s="1286"/>
      <c r="AX594" s="1286"/>
      <c r="AY594" s="1286"/>
      <c r="AZ594" s="1286"/>
      <c r="BA594" s="1286"/>
      <c r="BB594" s="1286"/>
      <c r="BC594" s="1286"/>
      <c r="BD594" s="1286"/>
    </row>
    <row r="595" spans="1:56" ht="15.75" customHeight="1" x14ac:dyDescent="0.3">
      <c r="A595" s="50" t="str">
        <f t="shared" si="88"/>
        <v>(ARCHIVED 2025) Fiber Cement siding / James Hardie / HardiePanel® / 8 mm</v>
      </c>
      <c r="B595" s="53" t="s">
        <v>4204</v>
      </c>
      <c r="C595" s="53" t="s">
        <v>3742</v>
      </c>
      <c r="D595" s="53" t="s">
        <v>3743</v>
      </c>
      <c r="E595" s="53" t="s">
        <v>3744</v>
      </c>
      <c r="H595" s="50"/>
      <c r="I595" s="53" t="s">
        <v>120</v>
      </c>
      <c r="J595" s="358">
        <v>44699</v>
      </c>
      <c r="K595" s="53">
        <v>8.94</v>
      </c>
      <c r="L595" s="53" t="s">
        <v>5</v>
      </c>
      <c r="M595" s="67">
        <v>8.94</v>
      </c>
      <c r="N595" s="53" t="s">
        <v>3501</v>
      </c>
      <c r="O595" s="50" t="s">
        <v>3745</v>
      </c>
      <c r="P595" s="53" t="s">
        <v>3806</v>
      </c>
      <c r="Q595" s="1293">
        <v>2023</v>
      </c>
      <c r="R595" s="53">
        <v>1300</v>
      </c>
      <c r="S595" s="53" t="s">
        <v>121</v>
      </c>
      <c r="T595" s="53">
        <v>11.2</v>
      </c>
      <c r="U595" s="53" t="s">
        <v>367</v>
      </c>
      <c r="Y595" s="53">
        <v>6.5000000000000002E-2</v>
      </c>
      <c r="Z595" s="53">
        <v>0.5</v>
      </c>
      <c r="AA595" s="78">
        <f>(AF595)*rng_biogenic_storage</f>
        <v>1.1970000000000001</v>
      </c>
      <c r="AB595" s="53" t="s">
        <v>3501</v>
      </c>
      <c r="AC595" s="53">
        <v>1.84</v>
      </c>
      <c r="AD595" s="53">
        <v>0.36399999999999999</v>
      </c>
      <c r="AF595" s="53">
        <v>1.33</v>
      </c>
      <c r="AG595" s="78"/>
      <c r="AK595" s="165">
        <v>8.0000000000000002E-3</v>
      </c>
      <c r="AN595" s="53">
        <v>417</v>
      </c>
      <c r="AR595" s="264" t="str">
        <f ca="1">IF(LEN(Q595)=4,IF(Q595&lt;YEAR(NOW()),_xlfn.CONCAT(IF(LOWER(Setting!rng_language)="english","Expired ","Expiré "),Q595),""),"")</f>
        <v>Expired 2023</v>
      </c>
      <c r="AT595" s="53" t="b">
        <f>ISNUMBER(MATCH(IF(LEN('USER INPUT SHEET'!rng_province)&gt;0,'USER INPUT SHEET'!rng_province,"Canada"),$AU595:$BD595,0))</f>
        <v>0</v>
      </c>
      <c r="AU595" s="1286"/>
      <c r="AV595" s="1286"/>
      <c r="AW595" s="1286"/>
      <c r="AX595" s="1286"/>
      <c r="AY595" s="1286"/>
      <c r="AZ595" s="1286"/>
      <c r="BA595" s="1286"/>
      <c r="BB595" s="1286"/>
      <c r="BC595" s="1286"/>
      <c r="BD595" s="1286"/>
    </row>
    <row r="596" spans="1:56" ht="15.75" customHeight="1" x14ac:dyDescent="0.3">
      <c r="A596" s="50" t="str">
        <f t="shared" si="88"/>
        <v xml:space="preserve">Gypsum panels - glass mat / CertainTeed / GlasRoc Sheathing gypsum board / 5/8" </v>
      </c>
      <c r="B596" s="53" t="s">
        <v>406</v>
      </c>
      <c r="C596" s="53" t="s">
        <v>325</v>
      </c>
      <c r="D596" s="53" t="s">
        <v>3746</v>
      </c>
      <c r="E596" s="53" t="s">
        <v>3747</v>
      </c>
      <c r="H596" s="50"/>
      <c r="I596" s="53" t="s">
        <v>3500</v>
      </c>
      <c r="K596" s="53">
        <v>310</v>
      </c>
      <c r="L596" s="53" t="s">
        <v>846</v>
      </c>
      <c r="M596" s="67">
        <v>3.3369214208826694</v>
      </c>
      <c r="N596" s="53" t="s">
        <v>3634</v>
      </c>
      <c r="O596" s="50" t="s">
        <v>3748</v>
      </c>
      <c r="P596" s="53" t="s">
        <v>3502</v>
      </c>
      <c r="Q596" s="1293">
        <v>2026</v>
      </c>
      <c r="R596" s="53">
        <v>1165</v>
      </c>
      <c r="S596" s="53" t="s">
        <v>3631</v>
      </c>
      <c r="T596" s="53">
        <f>R596/92.9</f>
        <v>12.540365984930032</v>
      </c>
      <c r="U596" s="53" t="s">
        <v>141</v>
      </c>
      <c r="AA596" s="78">
        <f t="shared" ref="AA596:AA598" si="93">_xlfn.NUMBERVALUE(IF(LEN(AG596)&gt;0,AG596,0))</f>
        <v>0</v>
      </c>
      <c r="AG596" s="78"/>
      <c r="AJ596" s="165">
        <v>5.8749999999999997E-2</v>
      </c>
      <c r="AN596" s="53">
        <v>418</v>
      </c>
      <c r="AR596" s="264" t="str">
        <f ca="1">IF(LEN(Q596)=4,IF(Q596&lt;YEAR(NOW()),_xlfn.CONCAT(IF(LOWER(Setting!rng_language)="english","Expired ","Expiré "),Q596),""),"")</f>
        <v/>
      </c>
      <c r="AT596" s="53" t="b">
        <f>ISNUMBER(MATCH(IF(LEN('USER INPUT SHEET'!rng_province)&gt;0,'USER INPUT SHEET'!rng_province,"Canada"),$AU596:$BD596,0))</f>
        <v>0</v>
      </c>
      <c r="AU596" s="1286"/>
      <c r="AV596" s="1286"/>
      <c r="AW596" s="1286"/>
      <c r="AX596" s="1286"/>
      <c r="AY596" s="1286"/>
      <c r="AZ596" s="1286"/>
      <c r="BA596" s="1286"/>
      <c r="BB596" s="1286"/>
      <c r="BC596" s="1286"/>
      <c r="BD596" s="1286"/>
    </row>
    <row r="597" spans="1:56" ht="15.75" customHeight="1" x14ac:dyDescent="0.3">
      <c r="A597" s="50" t="str">
        <f t="shared" si="88"/>
        <v>Gypsum panels - glass mat / Georgia-Pacific / DensGlass Sheathing / 5/8"</v>
      </c>
      <c r="B597" s="53" t="s">
        <v>406</v>
      </c>
      <c r="C597" s="53" t="s">
        <v>4251</v>
      </c>
      <c r="D597" s="53" t="s">
        <v>4540</v>
      </c>
      <c r="E597" s="53" t="s">
        <v>338</v>
      </c>
      <c r="H597" s="50"/>
      <c r="I597" s="53" t="s">
        <v>3500</v>
      </c>
      <c r="J597" s="401">
        <v>45294</v>
      </c>
      <c r="K597" s="53">
        <v>454</v>
      </c>
      <c r="L597" s="53" t="s">
        <v>846</v>
      </c>
      <c r="M597" s="67">
        <v>4.8869752421959092</v>
      </c>
      <c r="N597" s="53" t="s">
        <v>3501</v>
      </c>
      <c r="O597" s="50" t="s">
        <v>4541</v>
      </c>
      <c r="P597" s="53" t="s">
        <v>4254</v>
      </c>
      <c r="Q597" s="401">
        <v>45572</v>
      </c>
      <c r="R597" s="53">
        <v>12.680301399354143</v>
      </c>
      <c r="S597" s="53" t="s">
        <v>141</v>
      </c>
      <c r="AA597" s="78">
        <f t="shared" si="93"/>
        <v>0</v>
      </c>
      <c r="AG597" s="78"/>
      <c r="AN597" s="53" t="s">
        <v>4577</v>
      </c>
      <c r="AT597" s="53" t="b">
        <f>ISNUMBER(MATCH(IF(LEN('USER INPUT SHEET'!rng_province)&gt;0,'USER INPUT SHEET'!rng_province,"Canada"),$AU597:$BD597,0))</f>
        <v>0</v>
      </c>
      <c r="AU597" s="1286"/>
      <c r="AV597" s="1286"/>
      <c r="AW597" s="1286"/>
      <c r="AX597" s="1286"/>
      <c r="AY597" s="1286"/>
      <c r="AZ597" s="1286"/>
      <c r="BA597" s="1286"/>
      <c r="BB597" s="1286"/>
      <c r="BC597" s="1286"/>
      <c r="BD597" s="1286"/>
    </row>
    <row r="598" spans="1:56" ht="15.75" customHeight="1" x14ac:dyDescent="0.3">
      <c r="A598" s="50" t="str">
        <f t="shared" si="88"/>
        <v>Gypsum panels - glass mat / Gypsum Association / North American Industry Average / 5/8" Type X</v>
      </c>
      <c r="B598" s="53" t="s">
        <v>406</v>
      </c>
      <c r="C598" s="53" t="s">
        <v>4248</v>
      </c>
      <c r="D598" s="53" t="s">
        <v>4249</v>
      </c>
      <c r="E598" s="53" t="s">
        <v>4542</v>
      </c>
      <c r="H598" s="50"/>
      <c r="J598" s="401">
        <v>44462</v>
      </c>
      <c r="K598" s="53">
        <v>503.9</v>
      </c>
      <c r="L598" s="53" t="s">
        <v>846</v>
      </c>
      <c r="M598" s="67">
        <v>5.4241119483315385</v>
      </c>
      <c r="N598" s="53" t="s">
        <v>3634</v>
      </c>
      <c r="O598" s="50" t="s">
        <v>4250</v>
      </c>
      <c r="P598" s="53" t="s">
        <v>3518</v>
      </c>
      <c r="Q598" s="401">
        <v>46143</v>
      </c>
      <c r="AA598" s="78">
        <f t="shared" si="93"/>
        <v>0</v>
      </c>
      <c r="AG598" s="78"/>
      <c r="AN598" s="53" t="s">
        <v>4578</v>
      </c>
      <c r="AT598" s="53" t="b">
        <f>ISNUMBER(MATCH(IF(LEN('USER INPUT SHEET'!rng_province)&gt;0,'USER INPUT SHEET'!rng_province,"Canada"),$AU598:$BD598,0))</f>
        <v>0</v>
      </c>
      <c r="AU598" s="1286"/>
      <c r="AV598" s="1286"/>
      <c r="AW598" s="1286"/>
      <c r="AX598" s="1286"/>
      <c r="AY598" s="1286"/>
      <c r="AZ598" s="1286"/>
      <c r="BA598" s="1286"/>
      <c r="BB598" s="1286"/>
      <c r="BC598" s="1286"/>
      <c r="BD598" s="1286"/>
    </row>
    <row r="599" spans="1:56" ht="15.75" customHeight="1" x14ac:dyDescent="0.3">
      <c r="A599" s="53" t="str">
        <f t="shared" ref="A599:A659" si="94">B599&amp;" / "&amp;C599&amp;" / "&amp;D599&amp;" / "&amp;E599</f>
        <v>(ARCHIVED 2025) Fiber Cement siding / James Hardie / Hardie VL Plank / 11 mm</v>
      </c>
      <c r="B599" s="53" t="s">
        <v>4204</v>
      </c>
      <c r="C599" s="53" t="s">
        <v>3742</v>
      </c>
      <c r="D599" s="53" t="s">
        <v>3807</v>
      </c>
      <c r="E599" s="53" t="s">
        <v>3808</v>
      </c>
      <c r="H599" s="50"/>
      <c r="I599" s="53" t="s">
        <v>120</v>
      </c>
      <c r="J599" s="358">
        <v>44699</v>
      </c>
      <c r="K599" s="53">
        <v>12</v>
      </c>
      <c r="L599" s="53" t="s">
        <v>5</v>
      </c>
      <c r="M599" s="370">
        <v>12</v>
      </c>
      <c r="N599" s="53" t="s">
        <v>3501</v>
      </c>
      <c r="O599" s="50" t="s">
        <v>3809</v>
      </c>
      <c r="P599" s="53" t="s">
        <v>3806</v>
      </c>
      <c r="Q599" s="367">
        <v>2023</v>
      </c>
      <c r="R599" s="53">
        <v>1300</v>
      </c>
      <c r="S599" s="53" t="s">
        <v>121</v>
      </c>
      <c r="T599" s="53">
        <v>13.6</v>
      </c>
      <c r="U599" s="53" t="s">
        <v>3810</v>
      </c>
      <c r="Y599" s="53">
        <v>6.5000000000000002E-2</v>
      </c>
      <c r="Z599" s="53">
        <v>0.5</v>
      </c>
      <c r="AA599" s="411">
        <v>1.62</v>
      </c>
      <c r="AB599" s="53" t="s">
        <v>3501</v>
      </c>
      <c r="AD599" s="53">
        <v>0.442</v>
      </c>
      <c r="AF599" s="53">
        <v>1.62</v>
      </c>
      <c r="AG599" s="86"/>
      <c r="AK599" s="165">
        <v>1.0999999999999999E-2</v>
      </c>
      <c r="AN599" s="53">
        <v>419</v>
      </c>
      <c r="AT599" s="53" t="b">
        <f>ISNUMBER(MATCH(IF(LEN('USER INPUT SHEET'!rng_province)&gt;0,'USER INPUT SHEET'!rng_province,"Canada"),$AU599:$BD599,0))</f>
        <v>0</v>
      </c>
    </row>
    <row r="600" spans="1:56" ht="15.75" customHeight="1" x14ac:dyDescent="0.3">
      <c r="A600" s="53" t="str">
        <f t="shared" si="94"/>
        <v>(ARCHIVED 2025) Fiber Cement siding / James Hardie / HardiePlank / 8 mm</v>
      </c>
      <c r="B600" s="53" t="s">
        <v>4204</v>
      </c>
      <c r="C600" s="53" t="s">
        <v>3742</v>
      </c>
      <c r="D600" s="53" t="s">
        <v>3811</v>
      </c>
      <c r="E600" s="53" t="s">
        <v>3744</v>
      </c>
      <c r="H600" s="50"/>
      <c r="I600" s="53" t="s">
        <v>120</v>
      </c>
      <c r="J600" s="358">
        <v>44699</v>
      </c>
      <c r="K600" s="53">
        <v>7.34</v>
      </c>
      <c r="L600" s="53" t="s">
        <v>5</v>
      </c>
      <c r="M600" s="370">
        <v>7.34</v>
      </c>
      <c r="N600" s="53" t="s">
        <v>3501</v>
      </c>
      <c r="O600" s="50" t="s">
        <v>3809</v>
      </c>
      <c r="P600" s="53" t="s">
        <v>3806</v>
      </c>
      <c r="Q600" s="367">
        <v>2023</v>
      </c>
      <c r="R600" s="53">
        <v>1300</v>
      </c>
      <c r="S600" s="53" t="s">
        <v>121</v>
      </c>
      <c r="T600" s="53">
        <v>11.2</v>
      </c>
      <c r="U600" s="53" t="s">
        <v>367</v>
      </c>
      <c r="Y600" s="53">
        <v>6.5000000000000002E-2</v>
      </c>
      <c r="Z600" s="53">
        <v>0.5</v>
      </c>
      <c r="AA600" s="411">
        <v>1.33</v>
      </c>
      <c r="AB600" s="53" t="s">
        <v>3501</v>
      </c>
      <c r="AC600" s="53">
        <v>1.84</v>
      </c>
      <c r="AD600" s="53">
        <v>0.36399999999999999</v>
      </c>
      <c r="AF600" s="53">
        <v>1.33</v>
      </c>
      <c r="AG600" s="86"/>
      <c r="AK600" s="165">
        <v>8.0000000000000002E-3</v>
      </c>
      <c r="AN600" s="53">
        <v>420</v>
      </c>
      <c r="AT600" s="53" t="b">
        <f>ISNUMBER(MATCH(IF(LEN('USER INPUT SHEET'!rng_province)&gt;0,'USER INPUT SHEET'!rng_province,"Canada"),$AU600:$BD600,0))</f>
        <v>0</v>
      </c>
    </row>
    <row r="601" spans="1:56" ht="15.75" customHeight="1" x14ac:dyDescent="0.3">
      <c r="A601" s="53" t="str">
        <f t="shared" si="94"/>
        <v>Fiber Cement siding / James Hardie / Hardie Plank HZ10, Hardie Panel HZ10, Hardie Architectural Panel HZ10 / 8 mm</v>
      </c>
      <c r="B601" s="53" t="s">
        <v>363</v>
      </c>
      <c r="C601" s="53" t="s">
        <v>3742</v>
      </c>
      <c r="D601" s="53" t="s">
        <v>4543</v>
      </c>
      <c r="E601" s="53" t="s">
        <v>3744</v>
      </c>
      <c r="H601" s="50"/>
      <c r="I601" s="53" t="s">
        <v>3500</v>
      </c>
      <c r="J601" s="358">
        <v>45294</v>
      </c>
      <c r="K601" s="53">
        <v>6.84</v>
      </c>
      <c r="L601" s="53" t="s">
        <v>5</v>
      </c>
      <c r="M601" s="378">
        <v>6.84</v>
      </c>
      <c r="N601" s="53" t="s">
        <v>3501</v>
      </c>
      <c r="O601" s="50" t="s">
        <v>4544</v>
      </c>
      <c r="P601" s="53" t="s">
        <v>4545</v>
      </c>
      <c r="Q601" s="401">
        <v>46722</v>
      </c>
      <c r="R601" s="53">
        <v>9.7899999999999991</v>
      </c>
      <c r="S601" s="53" t="s">
        <v>141</v>
      </c>
      <c r="X601" s="53">
        <v>1.94</v>
      </c>
      <c r="AA601" s="379">
        <f>(X601)*rng_biogenic_storage</f>
        <v>1.746</v>
      </c>
      <c r="AB601" s="53" t="s">
        <v>3501</v>
      </c>
      <c r="AG601" s="379"/>
      <c r="AN601" s="53" t="s">
        <v>3995</v>
      </c>
      <c r="AT601" s="53" t="b">
        <f>ISNUMBER(MATCH(IF(LEN('USER INPUT SHEET'!rng_province)&gt;0,'USER INPUT SHEET'!rng_province,"Canada"),$AU601:$BD601,0))</f>
        <v>0</v>
      </c>
    </row>
    <row r="602" spans="1:56" ht="15.75" customHeight="1" x14ac:dyDescent="0.3">
      <c r="A602" s="53" t="str">
        <f t="shared" si="94"/>
        <v>Fiber Cement siding / James Hardie / Hardie Plank HZ5, Hardie Panel HZ5, Hardie Architectural Panel HZ5 / 8 mm</v>
      </c>
      <c r="B602" s="53" t="s">
        <v>363</v>
      </c>
      <c r="C602" s="53" t="s">
        <v>3742</v>
      </c>
      <c r="D602" s="53" t="s">
        <v>4546</v>
      </c>
      <c r="E602" s="53" t="s">
        <v>3744</v>
      </c>
      <c r="H602" s="50"/>
      <c r="I602" s="53" t="s">
        <v>3500</v>
      </c>
      <c r="J602" s="358">
        <v>45294</v>
      </c>
      <c r="K602" s="53">
        <v>7.63</v>
      </c>
      <c r="L602" s="53" t="s">
        <v>5</v>
      </c>
      <c r="M602" s="378">
        <v>7.63</v>
      </c>
      <c r="N602" s="53" t="s">
        <v>5</v>
      </c>
      <c r="O602" s="50" t="s">
        <v>4544</v>
      </c>
      <c r="P602" s="53" t="s">
        <v>4545</v>
      </c>
      <c r="Q602" s="401">
        <v>46722</v>
      </c>
      <c r="R602" s="53">
        <v>9.7899999999999991</v>
      </c>
      <c r="S602" s="53" t="s">
        <v>141</v>
      </c>
      <c r="X602" s="53">
        <v>1.93</v>
      </c>
      <c r="AA602" s="379">
        <f>(X602)*rng_biogenic_storage</f>
        <v>1.7369999999999999</v>
      </c>
      <c r="AB602" s="53" t="s">
        <v>3501</v>
      </c>
      <c r="AG602" s="379"/>
      <c r="AN602" s="53" t="s">
        <v>4579</v>
      </c>
      <c r="AT602" s="53" t="b">
        <f>ISNUMBER(MATCH(IF(LEN('USER INPUT SHEET'!rng_province)&gt;0,'USER INPUT SHEET'!rng_province,"Canada"),$AU602:$BD602,0))</f>
        <v>0</v>
      </c>
    </row>
    <row r="603" spans="1:56" ht="15.75" customHeight="1" x14ac:dyDescent="0.3">
      <c r="A603" s="53" t="str">
        <f t="shared" si="94"/>
        <v>Fiber Cement siding / James Hardie / Hardie Shingle HZ10 / 6.3mm</v>
      </c>
      <c r="B603" s="53" t="s">
        <v>363</v>
      </c>
      <c r="C603" s="53" t="s">
        <v>3742</v>
      </c>
      <c r="D603" s="53" t="s">
        <v>4547</v>
      </c>
      <c r="E603" s="53" t="s">
        <v>4548</v>
      </c>
      <c r="H603" s="50"/>
      <c r="I603" s="53" t="s">
        <v>3500</v>
      </c>
      <c r="J603" s="358">
        <v>45294</v>
      </c>
      <c r="K603" s="53">
        <v>5.1100000000000003</v>
      </c>
      <c r="L603" s="53" t="s">
        <v>5</v>
      </c>
      <c r="M603" s="378">
        <v>5.1100000000000003</v>
      </c>
      <c r="N603" s="53" t="s">
        <v>3501</v>
      </c>
      <c r="O603" s="50" t="s">
        <v>4544</v>
      </c>
      <c r="P603" s="53" t="s">
        <v>4545</v>
      </c>
      <c r="Q603" s="401">
        <v>46722</v>
      </c>
      <c r="R603" s="53">
        <v>7.86</v>
      </c>
      <c r="S603" s="53" t="s">
        <v>141</v>
      </c>
      <c r="X603" s="53">
        <v>1.36</v>
      </c>
      <c r="AA603" s="379">
        <f>(X603)*rng_biogenic_storage</f>
        <v>1.2240000000000002</v>
      </c>
      <c r="AB603" s="53" t="s">
        <v>3501</v>
      </c>
      <c r="AG603" s="379"/>
      <c r="AN603" s="53" t="s">
        <v>4580</v>
      </c>
      <c r="AT603" s="53" t="b">
        <f>ISNUMBER(MATCH(IF(LEN('USER INPUT SHEET'!rng_province)&gt;0,'USER INPUT SHEET'!rng_province,"Canada"),$AU603:$BD603,0))</f>
        <v>0</v>
      </c>
    </row>
    <row r="604" spans="1:56" ht="15.75" customHeight="1" x14ac:dyDescent="0.3">
      <c r="A604" s="53" t="str">
        <f t="shared" si="94"/>
        <v>Fiber Cement siding / James Hardie / Hardie Shingle HZ5 / 6.3mm</v>
      </c>
      <c r="B604" s="53" t="s">
        <v>363</v>
      </c>
      <c r="C604" s="53" t="s">
        <v>3742</v>
      </c>
      <c r="D604" s="53" t="s">
        <v>4549</v>
      </c>
      <c r="E604" s="53" t="s">
        <v>4548</v>
      </c>
      <c r="H604" s="50"/>
      <c r="I604" s="53" t="s">
        <v>3500</v>
      </c>
      <c r="J604" s="358">
        <v>45294</v>
      </c>
      <c r="K604" s="53">
        <v>5.98</v>
      </c>
      <c r="L604" s="53" t="s">
        <v>5</v>
      </c>
      <c r="M604" s="378">
        <v>5.98</v>
      </c>
      <c r="N604" s="53" t="s">
        <v>3501</v>
      </c>
      <c r="O604" s="50" t="s">
        <v>4544</v>
      </c>
      <c r="P604" s="53" t="s">
        <v>4545</v>
      </c>
      <c r="Q604" s="401">
        <v>46722</v>
      </c>
      <c r="R604" s="53">
        <v>7.86</v>
      </c>
      <c r="S604" s="53" t="s">
        <v>141</v>
      </c>
      <c r="X604" s="53">
        <v>1.56</v>
      </c>
      <c r="AA604" s="379">
        <f>(X604)*rng_biogenic_storage</f>
        <v>1.4040000000000001</v>
      </c>
      <c r="AB604" s="53" t="s">
        <v>3501</v>
      </c>
      <c r="AG604" s="379"/>
      <c r="AN604" s="53" t="s">
        <v>4581</v>
      </c>
      <c r="AT604" s="53" t="b">
        <f>ISNUMBER(MATCH(IF(LEN('USER INPUT SHEET'!rng_province)&gt;0,'USER INPUT SHEET'!rng_province,"Canada"),$AU604:$BD604,0))</f>
        <v>0</v>
      </c>
    </row>
    <row r="605" spans="1:56" ht="15.75" customHeight="1" x14ac:dyDescent="0.3">
      <c r="A605" s="53" t="str">
        <f t="shared" si="94"/>
        <v>Fiberglass board / NAIMA / Includes :  Johns Manville, Knauf, Owens Corning, CertainTeed / R-3.2/inch</v>
      </c>
      <c r="B605" s="53" t="s">
        <v>4550</v>
      </c>
      <c r="C605" s="53" t="s">
        <v>3305</v>
      </c>
      <c r="D605" s="53" t="s">
        <v>4551</v>
      </c>
      <c r="E605" s="53" t="s">
        <v>4552</v>
      </c>
      <c r="H605" s="50"/>
      <c r="I605" s="53" t="s">
        <v>3500</v>
      </c>
      <c r="J605" s="358">
        <v>45323</v>
      </c>
      <c r="K605" s="53">
        <v>5.0199999999999996</v>
      </c>
      <c r="L605" s="53" t="s">
        <v>3516</v>
      </c>
      <c r="M605" s="378">
        <v>5.0199999999999996</v>
      </c>
      <c r="N605" s="53" t="s">
        <v>3516</v>
      </c>
      <c r="O605" s="50" t="s">
        <v>4553</v>
      </c>
      <c r="P605" s="53" t="s">
        <v>4125</v>
      </c>
      <c r="Q605" s="367">
        <v>2028</v>
      </c>
      <c r="R605" s="53">
        <v>57.6</v>
      </c>
      <c r="S605" s="53" t="s">
        <v>121</v>
      </c>
      <c r="V605" s="53">
        <v>3.2</v>
      </c>
      <c r="AA605" s="78">
        <f t="shared" ref="AA605:AA668" si="95">_xlfn.NUMBERVALUE(IF(LEN(AG605)&gt;0,AG605,0))</f>
        <v>0</v>
      </c>
      <c r="AG605" s="379"/>
      <c r="AN605" s="53" t="s">
        <v>4582</v>
      </c>
      <c r="AT605" s="53" t="b">
        <f>ISNUMBER(MATCH(IF(LEN('USER INPUT SHEET'!rng_province)&gt;0,'USER INPUT SHEET'!rng_province,"Canada"),$AU605:$BD605,0))</f>
        <v>0</v>
      </c>
    </row>
    <row r="606" spans="1:56" ht="15.75" customHeight="1" x14ac:dyDescent="0.3">
      <c r="A606" s="53" t="str">
        <f t="shared" si="94"/>
        <v>Window - double-glazed  / AluQuebec / Avg of fixed, casement, slider, hung, tilt &amp; turn, awning / Aluminum frame</v>
      </c>
      <c r="B606" s="53" t="s">
        <v>4554</v>
      </c>
      <c r="C606" s="53" t="s">
        <v>4555</v>
      </c>
      <c r="D606" s="53" t="s">
        <v>4556</v>
      </c>
      <c r="E606" s="53" t="s">
        <v>4557</v>
      </c>
      <c r="H606" s="50"/>
      <c r="I606" s="53" t="s">
        <v>3545</v>
      </c>
      <c r="J606" s="358">
        <v>45324</v>
      </c>
      <c r="K606" s="53">
        <v>136</v>
      </c>
      <c r="L606" s="53" t="s">
        <v>5</v>
      </c>
      <c r="M606" s="378">
        <v>136</v>
      </c>
      <c r="N606" s="53" t="s">
        <v>5</v>
      </c>
      <c r="O606" s="50" t="s">
        <v>4558</v>
      </c>
      <c r="P606" s="53" t="s">
        <v>268</v>
      </c>
      <c r="Q606" s="367">
        <v>2024</v>
      </c>
      <c r="AA606" s="78">
        <f t="shared" si="95"/>
        <v>0</v>
      </c>
      <c r="AG606" s="379"/>
      <c r="AN606" s="53" t="s">
        <v>3979</v>
      </c>
      <c r="AT606" s="53" t="b">
        <f>ISNUMBER(MATCH(IF(LEN('USER INPUT SHEET'!rng_province)&gt;0,'USER INPUT SHEET'!rng_province,"Canada"),$AU606:$BD606,0))</f>
        <v>0</v>
      </c>
    </row>
    <row r="607" spans="1:56" ht="15.75" customHeight="1" x14ac:dyDescent="0.3">
      <c r="A607" s="53" t="str">
        <f t="shared" si="94"/>
        <v>Window - double-glazed  / Arcadia / CV200, T200 / Projected &amp; casement / Aluminum frame</v>
      </c>
      <c r="B607" s="53" t="s">
        <v>4554</v>
      </c>
      <c r="C607" s="53" t="s">
        <v>4559</v>
      </c>
      <c r="D607" s="53" t="s">
        <v>4560</v>
      </c>
      <c r="E607" s="53" t="s">
        <v>4557</v>
      </c>
      <c r="H607" s="50"/>
      <c r="I607" s="53" t="s">
        <v>3500</v>
      </c>
      <c r="J607" s="358">
        <v>45324</v>
      </c>
      <c r="K607" s="53">
        <v>125</v>
      </c>
      <c r="L607" s="53" t="s">
        <v>5</v>
      </c>
      <c r="M607" s="378">
        <v>125</v>
      </c>
      <c r="N607" s="53" t="s">
        <v>5</v>
      </c>
      <c r="O607" s="50">
        <v>200</v>
      </c>
      <c r="P607" s="53" t="s">
        <v>137</v>
      </c>
      <c r="Q607" s="367">
        <v>2026</v>
      </c>
      <c r="AA607" s="78">
        <f t="shared" si="95"/>
        <v>0</v>
      </c>
      <c r="AG607" s="379"/>
      <c r="AN607" s="53" t="s">
        <v>3996</v>
      </c>
      <c r="AT607" s="53" t="b">
        <f>ISNUMBER(MATCH(IF(LEN('USER INPUT SHEET'!rng_province)&gt;0,'USER INPUT SHEET'!rng_province,"Canada"),$AU607:$BD607,0))</f>
        <v>0</v>
      </c>
    </row>
    <row r="608" spans="1:56" ht="15.75" customHeight="1" x14ac:dyDescent="0.3">
      <c r="A608" s="53" t="str">
        <f t="shared" si="94"/>
        <v>Window - double-glazed  / EFCO / Xtherm, 5FXT, FX45, 6615, 6621, 6715, FX32, OG32, OG45 / Fixed / Aluminum frame</v>
      </c>
      <c r="B608" s="53" t="s">
        <v>4554</v>
      </c>
      <c r="C608" s="53" t="s">
        <v>4561</v>
      </c>
      <c r="D608" s="53" t="s">
        <v>4562</v>
      </c>
      <c r="E608" s="53" t="s">
        <v>4557</v>
      </c>
      <c r="H608" s="50"/>
      <c r="I608" s="53" t="s">
        <v>3500</v>
      </c>
      <c r="J608" s="358">
        <v>45324</v>
      </c>
      <c r="K608" s="53">
        <v>94.38</v>
      </c>
      <c r="L608" s="53" t="s">
        <v>5</v>
      </c>
      <c r="M608" s="378">
        <v>94.38</v>
      </c>
      <c r="N608" s="53" t="s">
        <v>5</v>
      </c>
      <c r="O608" s="50">
        <v>494</v>
      </c>
      <c r="P608" s="53" t="s">
        <v>137</v>
      </c>
      <c r="Q608" s="367">
        <v>2028</v>
      </c>
      <c r="AA608" s="78">
        <f t="shared" si="95"/>
        <v>0</v>
      </c>
      <c r="AG608" s="379"/>
      <c r="AN608" s="53" t="s">
        <v>4583</v>
      </c>
      <c r="AT608" s="53" t="b">
        <f>ISNUMBER(MATCH(IF(LEN('USER INPUT SHEET'!rng_province)&gt;0,'USER INPUT SHEET'!rng_province,"Canada"),$AU608:$BD608,0))</f>
        <v>0</v>
      </c>
    </row>
    <row r="609" spans="1:53" ht="15.75" customHeight="1" x14ac:dyDescent="0.3">
      <c r="A609" s="53" t="str">
        <f t="shared" si="94"/>
        <v>Window - double-glazed  / EFCO / Xtherm, 875V, 2700, 2701, 450G, 590X, 6725, PG32, PX32, WV410, WV430 / Projected &amp; casement / Aluminum frame</v>
      </c>
      <c r="B609" s="53" t="s">
        <v>4554</v>
      </c>
      <c r="C609" s="53" t="s">
        <v>4561</v>
      </c>
      <c r="D609" s="53" t="s">
        <v>4563</v>
      </c>
      <c r="E609" s="53" t="s">
        <v>4557</v>
      </c>
      <c r="H609" s="50"/>
      <c r="I609" s="53" t="s">
        <v>3500</v>
      </c>
      <c r="J609" s="358">
        <v>45324</v>
      </c>
      <c r="K609" s="53">
        <v>146.28</v>
      </c>
      <c r="L609" s="53" t="s">
        <v>5</v>
      </c>
      <c r="M609" s="378">
        <v>146.28</v>
      </c>
      <c r="N609" s="53" t="s">
        <v>5</v>
      </c>
      <c r="O609" s="50">
        <v>494</v>
      </c>
      <c r="P609" s="53" t="s">
        <v>137</v>
      </c>
      <c r="Q609" s="367">
        <v>2028</v>
      </c>
      <c r="AA609" s="78">
        <f t="shared" si="95"/>
        <v>0</v>
      </c>
      <c r="AG609" s="379"/>
      <c r="AN609" s="53" t="s">
        <v>4584</v>
      </c>
      <c r="AT609" s="53" t="b">
        <f>ISNUMBER(MATCH(IF(LEN('USER INPUT SHEET'!rng_province)&gt;0,'USER INPUT SHEET'!rng_province,"Canada"),$AU609:$BD609,0))</f>
        <v>0</v>
      </c>
    </row>
    <row r="610" spans="1:53" ht="15.75" customHeight="1" x14ac:dyDescent="0.3">
      <c r="A610" s="53" t="str">
        <f t="shared" si="94"/>
        <v>Window - double-glazed  / Kawneer / Optiq AA4325, 8225TL|TLF, 526, AA 6400|6500, NX-300|3000 / Projected &amp; casement / Aluminum frame</v>
      </c>
      <c r="B610" s="53" t="s">
        <v>4554</v>
      </c>
      <c r="C610" s="53" t="s">
        <v>4564</v>
      </c>
      <c r="D610" s="53" t="s">
        <v>4565</v>
      </c>
      <c r="E610" s="53" t="s">
        <v>4557</v>
      </c>
      <c r="H610" s="50"/>
      <c r="I610" s="53" t="s">
        <v>3500</v>
      </c>
      <c r="J610" s="358">
        <v>45324</v>
      </c>
      <c r="K610" s="53">
        <v>222</v>
      </c>
      <c r="L610" s="53" t="s">
        <v>5</v>
      </c>
      <c r="M610" s="378">
        <v>222</v>
      </c>
      <c r="N610" s="53" t="s">
        <v>5</v>
      </c>
      <c r="O610" s="50" t="s">
        <v>4566</v>
      </c>
      <c r="P610" s="53" t="s">
        <v>3502</v>
      </c>
      <c r="Q610" s="367">
        <v>2026</v>
      </c>
      <c r="AA610" s="78">
        <f t="shared" si="95"/>
        <v>0</v>
      </c>
      <c r="AG610" s="379"/>
      <c r="AN610" s="53" t="s">
        <v>4585</v>
      </c>
      <c r="AT610" s="53" t="b">
        <f>ISNUMBER(MATCH(IF(LEN('USER INPUT SHEET'!rng_province)&gt;0,'USER INPUT SHEET'!rng_province,"Canada"),$AU610:$BD610,0))</f>
        <v>0</v>
      </c>
    </row>
    <row r="611" spans="1:53" ht="15.75" customHeight="1" x14ac:dyDescent="0.3">
      <c r="A611" s="53" t="str">
        <f t="shared" si="94"/>
        <v>Window - double-glazed  / Kawneer / OptiQ AA5450, TR-9100, 8400TL, AA6400|6500|6600 / Hung &amp; sliding / Aluminum frame</v>
      </c>
      <c r="B611" s="53" t="s">
        <v>4554</v>
      </c>
      <c r="C611" s="53" t="s">
        <v>4564</v>
      </c>
      <c r="D611" s="53" t="s">
        <v>4567</v>
      </c>
      <c r="E611" s="53" t="s">
        <v>4557</v>
      </c>
      <c r="H611" s="50"/>
      <c r="I611" s="53" t="s">
        <v>3500</v>
      </c>
      <c r="J611" s="358">
        <v>45324</v>
      </c>
      <c r="K611" s="53">
        <v>188</v>
      </c>
      <c r="L611" s="53" t="s">
        <v>5</v>
      </c>
      <c r="M611" s="378">
        <v>188</v>
      </c>
      <c r="N611" s="53" t="s">
        <v>5</v>
      </c>
      <c r="O611" s="50" t="s">
        <v>4568</v>
      </c>
      <c r="P611" s="53" t="s">
        <v>3502</v>
      </c>
      <c r="Q611" s="367">
        <v>2026</v>
      </c>
      <c r="AA611" s="78">
        <f t="shared" si="95"/>
        <v>0</v>
      </c>
      <c r="AG611" s="379"/>
      <c r="AN611" s="53" t="s">
        <v>4586</v>
      </c>
      <c r="AT611" s="53" t="b">
        <f>ISNUMBER(MATCH(IF(LEN('USER INPUT SHEET'!rng_province)&gt;0,'USER INPUT SHEET'!rng_province,"Canada"),$AU611:$BD611,0))</f>
        <v>0</v>
      </c>
    </row>
    <row r="612" spans="1:53" ht="15.75" customHeight="1" x14ac:dyDescent="0.3">
      <c r="A612" s="53" t="str">
        <f t="shared" si="94"/>
        <v>Window - double-glazed  / Wasau / INvent casement windows / Aluminum frame</v>
      </c>
      <c r="B612" s="53" t="s">
        <v>4554</v>
      </c>
      <c r="C612" s="53" t="s">
        <v>4569</v>
      </c>
      <c r="D612" s="53" t="s">
        <v>4570</v>
      </c>
      <c r="E612" s="53" t="s">
        <v>4557</v>
      </c>
      <c r="H612" s="50"/>
      <c r="I612" s="53" t="s">
        <v>3500</v>
      </c>
      <c r="J612" s="358">
        <v>45323</v>
      </c>
      <c r="K612" s="53">
        <v>110.51</v>
      </c>
      <c r="L612" s="53" t="s">
        <v>5</v>
      </c>
      <c r="M612" s="378">
        <v>110.51</v>
      </c>
      <c r="N612" s="53" t="s">
        <v>5</v>
      </c>
      <c r="O612" s="50" t="s">
        <v>4571</v>
      </c>
      <c r="P612" s="53" t="s">
        <v>137</v>
      </c>
      <c r="Q612" s="367">
        <v>2028</v>
      </c>
      <c r="AA612" s="78">
        <f t="shared" si="95"/>
        <v>0</v>
      </c>
      <c r="AG612" s="379"/>
      <c r="AN612" s="53" t="s">
        <v>4587</v>
      </c>
      <c r="AT612" s="53" t="b">
        <f>ISNUMBER(MATCH(IF(LEN('USER INPUT SHEET'!rng_province)&gt;0,'USER INPUT SHEET'!rng_province,"Canada"),$AU612:$BD612,0))</f>
        <v>0</v>
      </c>
    </row>
    <row r="613" spans="1:53" ht="15.75" customHeight="1" x14ac:dyDescent="0.3">
      <c r="A613" s="53" t="str">
        <f t="shared" si="94"/>
        <v>Window - double-glazed  / Wasau / INvent fixed windows  / Aluminum frame</v>
      </c>
      <c r="B613" s="53" t="s">
        <v>4554</v>
      </c>
      <c r="C613" s="53" t="s">
        <v>4569</v>
      </c>
      <c r="D613" s="53" t="s">
        <v>4572</v>
      </c>
      <c r="E613" s="53" t="s">
        <v>4557</v>
      </c>
      <c r="H613" s="50"/>
      <c r="I613" s="53" t="s">
        <v>3500</v>
      </c>
      <c r="J613" s="358">
        <v>45323</v>
      </c>
      <c r="K613" s="53">
        <v>78.16</v>
      </c>
      <c r="L613" s="53" t="s">
        <v>5</v>
      </c>
      <c r="M613" s="378">
        <v>78.16</v>
      </c>
      <c r="N613" s="53" t="s">
        <v>5</v>
      </c>
      <c r="O613" s="50" t="s">
        <v>4571</v>
      </c>
      <c r="P613" s="53" t="s">
        <v>137</v>
      </c>
      <c r="Q613" s="367">
        <v>2028</v>
      </c>
      <c r="AA613" s="78">
        <f t="shared" si="95"/>
        <v>0</v>
      </c>
      <c r="AG613" s="379"/>
      <c r="AN613" s="53" t="s">
        <v>4588</v>
      </c>
      <c r="AT613" s="53" t="b">
        <f>ISNUMBER(MATCH(IF(LEN('USER INPUT SHEET'!rng_province)&gt;0,'USER INPUT SHEET'!rng_province,"Canada"),$AU613:$BD613,0))</f>
        <v>0</v>
      </c>
    </row>
    <row r="614" spans="1:53" ht="15.75" customHeight="1" x14ac:dyDescent="0.3">
      <c r="A614" s="1166" t="str">
        <f t="shared" si="94"/>
        <v>Int. Wall &amp; Ceiling Barrier, sheet / Rothoblaas / Vapor In Green 200 / Non-permeable / 0.35 mm</v>
      </c>
      <c r="B614" s="1296" t="s">
        <v>4594</v>
      </c>
      <c r="C614" s="1296" t="s">
        <v>4595</v>
      </c>
      <c r="D614" s="1296" t="s">
        <v>4596</v>
      </c>
      <c r="E614" s="1296" t="s">
        <v>4597</v>
      </c>
      <c r="F614" s="1296"/>
      <c r="G614" s="1296"/>
      <c r="H614" s="1296"/>
      <c r="I614" s="1296" t="s">
        <v>120</v>
      </c>
      <c r="J614" s="1297">
        <v>45318</v>
      </c>
      <c r="K614" s="1298" t="s">
        <v>4598</v>
      </c>
      <c r="L614" s="1296" t="s">
        <v>3501</v>
      </c>
      <c r="M614" s="1299" t="s">
        <v>4599</v>
      </c>
      <c r="N614" s="1296" t="s">
        <v>3501</v>
      </c>
      <c r="O614" s="1296" t="s">
        <v>4600</v>
      </c>
      <c r="P614" s="1296" t="s">
        <v>4601</v>
      </c>
      <c r="Q614" s="1298">
        <v>2026</v>
      </c>
      <c r="R614" s="1298">
        <v>200</v>
      </c>
      <c r="S614" s="1296" t="s">
        <v>4458</v>
      </c>
      <c r="T614" s="1296"/>
      <c r="U614" s="1296"/>
      <c r="V614" s="1296"/>
      <c r="W614" s="1296"/>
      <c r="X614" s="1296"/>
      <c r="Y614" s="1296"/>
      <c r="Z614" s="1296"/>
      <c r="AA614" s="1300">
        <v>0.16</v>
      </c>
      <c r="AB614" s="1296" t="s">
        <v>5</v>
      </c>
      <c r="AC614" s="1296"/>
      <c r="AD614" s="1296"/>
      <c r="AE614" s="1296"/>
      <c r="AF614" s="1296"/>
      <c r="AG614" s="1301"/>
      <c r="AH614" s="1296"/>
      <c r="AI614" s="1296"/>
      <c r="AJ614" s="1296"/>
      <c r="AK614" s="1296"/>
      <c r="AL614" s="1296"/>
      <c r="AM614" s="52"/>
      <c r="AN614" s="53" t="s">
        <v>4739</v>
      </c>
      <c r="AO614" s="52"/>
      <c r="AP614" s="52"/>
      <c r="AQ614" s="52"/>
      <c r="AR614" s="380"/>
      <c r="AS614" s="52"/>
      <c r="AT614" s="53" t="b">
        <f>ISNUMBER(MATCH(IF(LEN('USER INPUT SHEET'!rng_province)&gt;0,'USER INPUT SHEET'!rng_province,"Canada"),$AU614:$BD614,0))</f>
        <v>0</v>
      </c>
      <c r="AU614" s="52"/>
      <c r="AV614" s="52"/>
      <c r="AW614" s="52"/>
      <c r="AX614" s="52"/>
      <c r="AY614" s="52"/>
      <c r="AZ614" s="52"/>
      <c r="BA614" s="52"/>
    </row>
    <row r="615" spans="1:53" ht="15.75" customHeight="1" x14ac:dyDescent="0.3">
      <c r="A615" s="1166" t="str">
        <f t="shared" si="94"/>
        <v>Ext. &amp; Int. Wall &amp; Roof Barrier, sheet / Rothoblaas / Clima Control Net 160 / Moisture-variable / 0.5 mm</v>
      </c>
      <c r="B615" s="1296" t="s">
        <v>4602</v>
      </c>
      <c r="C615" s="1296" t="s">
        <v>4595</v>
      </c>
      <c r="D615" s="1296" t="s">
        <v>4603</v>
      </c>
      <c r="E615" s="1296" t="s">
        <v>4604</v>
      </c>
      <c r="F615" s="1296"/>
      <c r="G615" s="1296"/>
      <c r="H615" s="1296"/>
      <c r="I615" s="1296" t="s">
        <v>120</v>
      </c>
      <c r="J615" s="1297">
        <v>45318</v>
      </c>
      <c r="K615" s="1298" t="s">
        <v>4605</v>
      </c>
      <c r="L615" s="1296" t="s">
        <v>3501</v>
      </c>
      <c r="M615" s="1299" t="s">
        <v>4606</v>
      </c>
      <c r="N615" s="1296" t="s">
        <v>3501</v>
      </c>
      <c r="O615" s="1296" t="s">
        <v>4600</v>
      </c>
      <c r="P615" s="1296" t="s">
        <v>4601</v>
      </c>
      <c r="Q615" s="1298">
        <v>2026</v>
      </c>
      <c r="R615" s="1298">
        <v>160</v>
      </c>
      <c r="S615" s="1296" t="s">
        <v>4458</v>
      </c>
      <c r="T615" s="1296"/>
      <c r="U615" s="1296"/>
      <c r="V615" s="1296"/>
      <c r="W615" s="1296"/>
      <c r="X615" s="1296"/>
      <c r="Y615" s="1296"/>
      <c r="Z615" s="1296"/>
      <c r="AA615" s="78">
        <f t="shared" si="95"/>
        <v>0</v>
      </c>
      <c r="AB615" s="1296"/>
      <c r="AC615" s="1296"/>
      <c r="AD615" s="1296"/>
      <c r="AE615" s="1296"/>
      <c r="AF615" s="1296"/>
      <c r="AG615" s="1301"/>
      <c r="AH615" s="1296"/>
      <c r="AI615" s="1296"/>
      <c r="AJ615" s="1296"/>
      <c r="AK615" s="1296"/>
      <c r="AL615" s="1296"/>
      <c r="AM615" s="52"/>
      <c r="AN615" s="53" t="s">
        <v>2262</v>
      </c>
      <c r="AO615" s="52"/>
      <c r="AP615" s="52"/>
      <c r="AQ615" s="52"/>
      <c r="AR615" s="380"/>
      <c r="AS615" s="52"/>
      <c r="AT615" s="53" t="b">
        <f>ISNUMBER(MATCH(IF(LEN('USER INPUT SHEET'!rng_province)&gt;0,'USER INPUT SHEET'!rng_province,"Canada"),$AU615:$BD615,0))</f>
        <v>0</v>
      </c>
      <c r="AU615" s="52"/>
      <c r="AV615" s="52"/>
      <c r="AW615" s="52"/>
      <c r="AX615" s="52"/>
      <c r="AY615" s="52"/>
      <c r="AZ615" s="52"/>
      <c r="BA615" s="52"/>
    </row>
    <row r="616" spans="1:53" ht="15.75" customHeight="1" x14ac:dyDescent="0.3">
      <c r="A616" s="1166" t="str">
        <f t="shared" si="94"/>
        <v>Ext. &amp; Int. Wall &amp; Roof Barrier, sheet / Rothoblaas / Traspir EVO 160 / 12.3 Perms / 0.5 mm</v>
      </c>
      <c r="B616" s="1296" t="s">
        <v>4602</v>
      </c>
      <c r="C616" s="1296" t="s">
        <v>4595</v>
      </c>
      <c r="D616" s="1296" t="s">
        <v>4607</v>
      </c>
      <c r="E616" s="1296" t="s">
        <v>4604</v>
      </c>
      <c r="F616" s="1296"/>
      <c r="G616" s="1296"/>
      <c r="H616" s="1296"/>
      <c r="I616" s="1296" t="s">
        <v>120</v>
      </c>
      <c r="J616" s="1297">
        <v>45318</v>
      </c>
      <c r="K616" s="1298" t="s">
        <v>4608</v>
      </c>
      <c r="L616" s="1296" t="s">
        <v>3501</v>
      </c>
      <c r="M616" s="1299" t="s">
        <v>4609</v>
      </c>
      <c r="N616" s="1296" t="s">
        <v>3501</v>
      </c>
      <c r="O616" s="1296" t="s">
        <v>4600</v>
      </c>
      <c r="P616" s="1296" t="s">
        <v>4601</v>
      </c>
      <c r="Q616" s="1298">
        <v>2026</v>
      </c>
      <c r="R616" s="1298">
        <v>160</v>
      </c>
      <c r="S616" s="1296" t="s">
        <v>4458</v>
      </c>
      <c r="T616" s="1296"/>
      <c r="U616" s="1296"/>
      <c r="V616" s="1296"/>
      <c r="W616" s="1296"/>
      <c r="X616" s="1296"/>
      <c r="Y616" s="1296"/>
      <c r="Z616" s="1296"/>
      <c r="AA616" s="78">
        <f t="shared" si="95"/>
        <v>0</v>
      </c>
      <c r="AB616" s="1296"/>
      <c r="AC616" s="1296"/>
      <c r="AD616" s="1296"/>
      <c r="AE616" s="1296"/>
      <c r="AF616" s="1296"/>
      <c r="AG616" s="1301"/>
      <c r="AH616" s="1296"/>
      <c r="AI616" s="1296"/>
      <c r="AJ616" s="1296"/>
      <c r="AK616" s="1296"/>
      <c r="AL616" s="1296"/>
      <c r="AM616" s="52"/>
      <c r="AN616" s="53" t="s">
        <v>4740</v>
      </c>
      <c r="AO616" s="52"/>
      <c r="AP616" s="52"/>
      <c r="AQ616" s="52"/>
      <c r="AR616" s="380"/>
      <c r="AS616" s="52"/>
      <c r="AT616" s="53" t="b">
        <f>ISNUMBER(MATCH(IF(LEN('USER INPUT SHEET'!rng_province)&gt;0,'USER INPUT SHEET'!rng_province,"Canada"),$AU616:$BD616,0))</f>
        <v>0</v>
      </c>
      <c r="AU616" s="52"/>
      <c r="AV616" s="52"/>
      <c r="AW616" s="52"/>
      <c r="AX616" s="52"/>
      <c r="AY616" s="52"/>
      <c r="AZ616" s="52"/>
      <c r="BA616" s="52"/>
    </row>
    <row r="617" spans="1:53" ht="15.75" customHeight="1" x14ac:dyDescent="0.3">
      <c r="A617" s="1166" t="str">
        <f t="shared" si="94"/>
        <v>Ext. &amp; Int. Wall &amp; Roof Barrier, sheet / Rothoblaas / Traspir Vapor 225 / Non-permeable / 0.8 mm</v>
      </c>
      <c r="B617" s="1296" t="s">
        <v>4602</v>
      </c>
      <c r="C617" s="1296" t="s">
        <v>4595</v>
      </c>
      <c r="D617" s="1296" t="s">
        <v>4610</v>
      </c>
      <c r="E617" s="1296" t="s">
        <v>4611</v>
      </c>
      <c r="F617" s="1296"/>
      <c r="G617" s="1296"/>
      <c r="H617" s="1296"/>
      <c r="I617" s="1296" t="s">
        <v>120</v>
      </c>
      <c r="J617" s="1297">
        <v>45318</v>
      </c>
      <c r="K617" s="1298" t="s">
        <v>4612</v>
      </c>
      <c r="L617" s="1296" t="s">
        <v>3501</v>
      </c>
      <c r="M617" s="1299" t="s">
        <v>4613</v>
      </c>
      <c r="N617" s="1296" t="s">
        <v>3501</v>
      </c>
      <c r="O617" s="1296" t="s">
        <v>4600</v>
      </c>
      <c r="P617" s="1296" t="s">
        <v>4601</v>
      </c>
      <c r="Q617" s="1298">
        <v>2026</v>
      </c>
      <c r="R617" s="1298">
        <v>225</v>
      </c>
      <c r="S617" s="1296" t="s">
        <v>4458</v>
      </c>
      <c r="T617" s="1296"/>
      <c r="U617" s="1296"/>
      <c r="V617" s="1296"/>
      <c r="W617" s="1296"/>
      <c r="X617" s="1296"/>
      <c r="Y617" s="1296"/>
      <c r="Z617" s="1296"/>
      <c r="AA617" s="78">
        <f t="shared" si="95"/>
        <v>0</v>
      </c>
      <c r="AB617" s="1296"/>
      <c r="AC617" s="1296"/>
      <c r="AD617" s="1296"/>
      <c r="AE617" s="1296"/>
      <c r="AF617" s="1296"/>
      <c r="AG617" s="1301"/>
      <c r="AH617" s="1296"/>
      <c r="AI617" s="1296"/>
      <c r="AJ617" s="1296"/>
      <c r="AK617" s="1296"/>
      <c r="AL617" s="1296"/>
      <c r="AM617" s="52"/>
      <c r="AN617" s="53" t="s">
        <v>4741</v>
      </c>
      <c r="AO617" s="52"/>
      <c r="AP617" s="52"/>
      <c r="AQ617" s="52"/>
      <c r="AR617" s="380"/>
      <c r="AS617" s="52"/>
      <c r="AT617" s="53" t="b">
        <f>ISNUMBER(MATCH(IF(LEN('USER INPUT SHEET'!rng_province)&gt;0,'USER INPUT SHEET'!rng_province,"Canada"),$AU617:$BD617,0))</f>
        <v>0</v>
      </c>
      <c r="AU617" s="52"/>
      <c r="AV617" s="52"/>
      <c r="AW617" s="52"/>
      <c r="AX617" s="52"/>
      <c r="AY617" s="52"/>
      <c r="AZ617" s="52"/>
      <c r="BA617" s="52"/>
    </row>
    <row r="618" spans="1:53" ht="15.75" customHeight="1" x14ac:dyDescent="0.3">
      <c r="A618" s="1166" t="str">
        <f t="shared" si="94"/>
        <v>Ext. &amp; Int. Wall Barrier, sheet / Rothoblaas / Traspir 110 / 101 Perms / 0.4 mm</v>
      </c>
      <c r="B618" s="1296" t="s">
        <v>4614</v>
      </c>
      <c r="C618" s="1296" t="s">
        <v>4595</v>
      </c>
      <c r="D618" s="1296" t="s">
        <v>4615</v>
      </c>
      <c r="E618" s="1296" t="s">
        <v>4616</v>
      </c>
      <c r="F618" s="1296"/>
      <c r="G618" s="1296"/>
      <c r="H618" s="1296"/>
      <c r="I618" s="1296" t="s">
        <v>120</v>
      </c>
      <c r="J618" s="1297">
        <v>45318</v>
      </c>
      <c r="K618" s="1298" t="s">
        <v>4617</v>
      </c>
      <c r="L618" s="1296" t="s">
        <v>3501</v>
      </c>
      <c r="M618" s="1299" t="s">
        <v>4618</v>
      </c>
      <c r="N618" s="1296" t="s">
        <v>3501</v>
      </c>
      <c r="O618" s="1296" t="s">
        <v>4600</v>
      </c>
      <c r="P618" s="1296" t="s">
        <v>4601</v>
      </c>
      <c r="Q618" s="1298">
        <v>2026</v>
      </c>
      <c r="R618" s="1298">
        <v>112</v>
      </c>
      <c r="S618" s="1296" t="s">
        <v>4458</v>
      </c>
      <c r="T618" s="1296"/>
      <c r="U618" s="1296"/>
      <c r="V618" s="1296"/>
      <c r="W618" s="1296"/>
      <c r="X618" s="1296"/>
      <c r="Y618" s="1296"/>
      <c r="Z618" s="1296"/>
      <c r="AA618" s="78">
        <f t="shared" si="95"/>
        <v>0</v>
      </c>
      <c r="AB618" s="1296"/>
      <c r="AC618" s="1296"/>
      <c r="AD618" s="1296"/>
      <c r="AE618" s="1296"/>
      <c r="AF618" s="1296"/>
      <c r="AG618" s="1301"/>
      <c r="AH618" s="1296"/>
      <c r="AI618" s="1296"/>
      <c r="AJ618" s="1296"/>
      <c r="AK618" s="1296"/>
      <c r="AL618" s="1296"/>
      <c r="AM618" s="52"/>
      <c r="AN618" s="53" t="s">
        <v>4742</v>
      </c>
      <c r="AO618" s="52"/>
      <c r="AP618" s="52"/>
      <c r="AQ618" s="52"/>
      <c r="AR618" s="380"/>
      <c r="AS618" s="52"/>
      <c r="AT618" s="53" t="b">
        <f>ISNUMBER(MATCH(IF(LEN('USER INPUT SHEET'!rng_province)&gt;0,'USER INPUT SHEET'!rng_province,"Canada"),$AU618:$BD618,0))</f>
        <v>0</v>
      </c>
      <c r="AU618" s="52"/>
      <c r="AV618" s="52"/>
      <c r="AW618" s="52"/>
      <c r="AX618" s="52"/>
      <c r="AY618" s="52"/>
      <c r="AZ618" s="52"/>
      <c r="BA618" s="52"/>
    </row>
    <row r="619" spans="1:53" ht="15.75" customHeight="1" x14ac:dyDescent="0.3">
      <c r="A619" s="1166" t="str">
        <f t="shared" si="94"/>
        <v>Ext. &amp; Int. Wall Barrier, sheet / Rothoblaas / Traspir EVO UV 210 / 41.7 Perms / 0.3 mm</v>
      </c>
      <c r="B619" s="1296" t="s">
        <v>4614</v>
      </c>
      <c r="C619" s="1296" t="s">
        <v>4595</v>
      </c>
      <c r="D619" s="1296" t="s">
        <v>4619</v>
      </c>
      <c r="E619" s="1296" t="s">
        <v>4620</v>
      </c>
      <c r="F619" s="1296"/>
      <c r="G619" s="1296"/>
      <c r="H619" s="1296"/>
      <c r="I619" s="1296" t="s">
        <v>120</v>
      </c>
      <c r="J619" s="1297">
        <v>45318</v>
      </c>
      <c r="K619" s="1298" t="s">
        <v>4621</v>
      </c>
      <c r="L619" s="1296" t="s">
        <v>3501</v>
      </c>
      <c r="M619" s="1299" t="s">
        <v>4622</v>
      </c>
      <c r="N619" s="1296" t="s">
        <v>3501</v>
      </c>
      <c r="O619" s="1296" t="s">
        <v>4600</v>
      </c>
      <c r="P619" s="1296" t="s">
        <v>4601</v>
      </c>
      <c r="Q619" s="1298">
        <v>2026</v>
      </c>
      <c r="R619" s="1298">
        <v>210</v>
      </c>
      <c r="S619" s="1296" t="s">
        <v>4458</v>
      </c>
      <c r="T619" s="1296"/>
      <c r="U619" s="1296"/>
      <c r="V619" s="1296"/>
      <c r="W619" s="1296"/>
      <c r="X619" s="1296"/>
      <c r="Y619" s="1296"/>
      <c r="Z619" s="1296"/>
      <c r="AA619" s="78">
        <f t="shared" si="95"/>
        <v>0</v>
      </c>
      <c r="AB619" s="1296"/>
      <c r="AC619" s="1296"/>
      <c r="AD619" s="1296"/>
      <c r="AE619" s="1296"/>
      <c r="AF619" s="1296"/>
      <c r="AG619" s="1301"/>
      <c r="AH619" s="1296"/>
      <c r="AI619" s="1296"/>
      <c r="AJ619" s="1296"/>
      <c r="AK619" s="1296"/>
      <c r="AL619" s="1296"/>
      <c r="AM619" s="52"/>
      <c r="AN619" s="53" t="s">
        <v>4743</v>
      </c>
      <c r="AO619" s="52"/>
      <c r="AP619" s="52"/>
      <c r="AQ619" s="52"/>
      <c r="AR619" s="380"/>
      <c r="AS619" s="52"/>
      <c r="AT619" s="53" t="b">
        <f>ISNUMBER(MATCH(IF(LEN('USER INPUT SHEET'!rng_province)&gt;0,'USER INPUT SHEET'!rng_province,"Canada"),$AU619:$BD619,0))</f>
        <v>0</v>
      </c>
      <c r="AU619" s="52"/>
      <c r="AV619" s="52"/>
      <c r="AW619" s="52"/>
      <c r="AX619" s="52"/>
      <c r="AY619" s="52"/>
      <c r="AZ619" s="52"/>
      <c r="BA619" s="52"/>
    </row>
    <row r="620" spans="1:53" ht="15.75" customHeight="1" x14ac:dyDescent="0.3">
      <c r="A620" s="1166" t="str">
        <f t="shared" si="94"/>
        <v>Ext. Roof Barrier, sheet / Rothoblaas / Traspir Weld EVO 360 / 17.5 Perms / 1.0 mm</v>
      </c>
      <c r="B620" s="1296" t="s">
        <v>4623</v>
      </c>
      <c r="C620" s="1296" t="s">
        <v>4595</v>
      </c>
      <c r="D620" s="1296" t="s">
        <v>4624</v>
      </c>
      <c r="E620" s="1296" t="s">
        <v>4625</v>
      </c>
      <c r="F620" s="1296"/>
      <c r="G620" s="1296"/>
      <c r="H620" s="1296"/>
      <c r="I620" s="1296" t="s">
        <v>120</v>
      </c>
      <c r="J620" s="1297">
        <v>45318</v>
      </c>
      <c r="K620" s="1298" t="s">
        <v>4626</v>
      </c>
      <c r="L620" s="1296" t="s">
        <v>3501</v>
      </c>
      <c r="M620" s="1299" t="s">
        <v>4627</v>
      </c>
      <c r="N620" s="1296" t="s">
        <v>3501</v>
      </c>
      <c r="O620" s="1296" t="s">
        <v>4600</v>
      </c>
      <c r="P620" s="1296" t="s">
        <v>4601</v>
      </c>
      <c r="Q620" s="1298">
        <v>2026</v>
      </c>
      <c r="R620" s="1298">
        <v>360</v>
      </c>
      <c r="S620" s="1296" t="s">
        <v>4458</v>
      </c>
      <c r="T620" s="1296"/>
      <c r="U620" s="1296"/>
      <c r="V620" s="1296"/>
      <c r="W620" s="1296"/>
      <c r="X620" s="1296"/>
      <c r="Y620" s="1296"/>
      <c r="Z620" s="1296"/>
      <c r="AA620" s="78">
        <f t="shared" si="95"/>
        <v>0</v>
      </c>
      <c r="AB620" s="1296"/>
      <c r="AC620" s="1296"/>
      <c r="AD620" s="1296"/>
      <c r="AE620" s="1296"/>
      <c r="AF620" s="1296"/>
      <c r="AG620" s="1301"/>
      <c r="AH620" s="1296"/>
      <c r="AI620" s="1296"/>
      <c r="AJ620" s="1296"/>
      <c r="AK620" s="1296"/>
      <c r="AL620" s="1296"/>
      <c r="AM620" s="52"/>
      <c r="AN620" s="53" t="s">
        <v>4744</v>
      </c>
      <c r="AO620" s="52"/>
      <c r="AP620" s="52"/>
      <c r="AQ620" s="52"/>
      <c r="AR620" s="380"/>
      <c r="AS620" s="52"/>
      <c r="AT620" s="53" t="b">
        <f>ISNUMBER(MATCH(IF(LEN('USER INPUT SHEET'!rng_province)&gt;0,'USER INPUT SHEET'!rng_province,"Canada"),$AU620:$BD620,0))</f>
        <v>0</v>
      </c>
      <c r="AU620" s="52"/>
      <c r="AV620" s="52"/>
      <c r="AW620" s="52"/>
      <c r="AX620" s="52"/>
      <c r="AY620" s="52"/>
      <c r="AZ620" s="52"/>
      <c r="BA620" s="52"/>
    </row>
    <row r="621" spans="1:53" ht="15.75" customHeight="1" x14ac:dyDescent="0.3">
      <c r="A621" s="1166" t="str">
        <f t="shared" si="94"/>
        <v xml:space="preserve">Ext. Wall &amp; Roof Barrier, adhesive / Partel / Exoperm Mono SA 250 / Permeable / </v>
      </c>
      <c r="B621" s="1296" t="s">
        <v>4628</v>
      </c>
      <c r="C621" s="1296" t="s">
        <v>4629</v>
      </c>
      <c r="D621" s="1296" t="s">
        <v>4630</v>
      </c>
      <c r="E621" s="1296"/>
      <c r="F621" s="1296"/>
      <c r="G621" s="1296"/>
      <c r="H621" s="1296"/>
      <c r="I621" s="1296" t="s">
        <v>120</v>
      </c>
      <c r="J621" s="1297">
        <v>45319</v>
      </c>
      <c r="K621" s="1298" t="s">
        <v>4631</v>
      </c>
      <c r="L621" s="1296" t="s">
        <v>3501</v>
      </c>
      <c r="M621" s="1299" t="s">
        <v>4632</v>
      </c>
      <c r="N621" s="1296" t="s">
        <v>3501</v>
      </c>
      <c r="O621" s="1296" t="s">
        <v>4633</v>
      </c>
      <c r="P621" s="1296" t="s">
        <v>4634</v>
      </c>
      <c r="Q621" s="1298">
        <v>2027</v>
      </c>
      <c r="R621" s="1298">
        <v>250</v>
      </c>
      <c r="S621" s="1296" t="s">
        <v>4458</v>
      </c>
      <c r="T621" s="1296"/>
      <c r="U621" s="1296"/>
      <c r="V621" s="1296"/>
      <c r="W621" s="1296"/>
      <c r="X621" s="1296"/>
      <c r="Y621" s="1296"/>
      <c r="Z621" s="1296"/>
      <c r="AA621" s="78">
        <f t="shared" si="95"/>
        <v>0</v>
      </c>
      <c r="AB621" s="1296"/>
      <c r="AC621" s="1296"/>
      <c r="AD621" s="1296"/>
      <c r="AE621" s="1296"/>
      <c r="AF621" s="1296"/>
      <c r="AG621" s="1301"/>
      <c r="AH621" s="1296"/>
      <c r="AI621" s="1296"/>
      <c r="AJ621" s="1296"/>
      <c r="AK621" s="1296"/>
      <c r="AL621" s="1296"/>
      <c r="AM621" s="52"/>
      <c r="AN621" s="53" t="s">
        <v>4745</v>
      </c>
      <c r="AO621" s="52"/>
      <c r="AP621" s="52"/>
      <c r="AQ621" s="52"/>
      <c r="AR621" s="380"/>
      <c r="AS621" s="52"/>
      <c r="AT621" s="53" t="b">
        <f>ISNUMBER(MATCH(IF(LEN('USER INPUT SHEET'!rng_province)&gt;0,'USER INPUT SHEET'!rng_province,"Canada"),$AU621:$BD621,0))</f>
        <v>0</v>
      </c>
      <c r="AU621" s="52"/>
      <c r="AV621" s="52"/>
      <c r="AW621" s="52"/>
      <c r="AX621" s="52"/>
      <c r="AY621" s="52"/>
      <c r="AZ621" s="52"/>
      <c r="BA621" s="52"/>
    </row>
    <row r="622" spans="1:53" ht="15.75" customHeight="1" x14ac:dyDescent="0.3">
      <c r="A622" s="1166" t="str">
        <f t="shared" si="94"/>
        <v>Ext. Wall &amp; Roof Barrier, liquid applied / Carlisle / Barrithane VP / 11.1 Perms / 40 mils</v>
      </c>
      <c r="B622" s="1296" t="s">
        <v>4635</v>
      </c>
      <c r="C622" s="1296" t="s">
        <v>539</v>
      </c>
      <c r="D622" s="1296" t="s">
        <v>4636</v>
      </c>
      <c r="E622" s="1296" t="s">
        <v>4637</v>
      </c>
      <c r="F622" s="1296"/>
      <c r="G622" s="1296"/>
      <c r="H622" s="1296"/>
      <c r="I622" s="1296" t="s">
        <v>3500</v>
      </c>
      <c r="J622" s="1297">
        <v>45318</v>
      </c>
      <c r="K622" s="1298" t="s">
        <v>4638</v>
      </c>
      <c r="L622" s="1296" t="s">
        <v>3501</v>
      </c>
      <c r="M622" s="1299" t="s">
        <v>4639</v>
      </c>
      <c r="N622" s="1296" t="s">
        <v>3501</v>
      </c>
      <c r="O622" s="1296" t="s">
        <v>4640</v>
      </c>
      <c r="P622" s="1296" t="s">
        <v>158</v>
      </c>
      <c r="Q622" s="1298">
        <v>2026</v>
      </c>
      <c r="R622" s="1298" t="s">
        <v>4641</v>
      </c>
      <c r="S622" s="1296" t="s">
        <v>4642</v>
      </c>
      <c r="T622" s="1296"/>
      <c r="U622" s="1296"/>
      <c r="V622" s="1296"/>
      <c r="W622" s="1296"/>
      <c r="X622" s="1296"/>
      <c r="Y622" s="1296"/>
      <c r="Z622" s="1296"/>
      <c r="AA622" s="78">
        <f t="shared" si="95"/>
        <v>0</v>
      </c>
      <c r="AB622" s="1296"/>
      <c r="AC622" s="1296"/>
      <c r="AD622" s="1296"/>
      <c r="AE622" s="1296"/>
      <c r="AF622" s="1296"/>
      <c r="AG622" s="1301"/>
      <c r="AH622" s="1296"/>
      <c r="AI622" s="1296"/>
      <c r="AJ622" s="1296"/>
      <c r="AK622" s="1296"/>
      <c r="AL622" s="1296"/>
      <c r="AM622" s="52"/>
      <c r="AN622" s="53" t="s">
        <v>4746</v>
      </c>
      <c r="AO622" s="52"/>
      <c r="AP622" s="52"/>
      <c r="AQ622" s="52"/>
      <c r="AR622" s="380"/>
      <c r="AS622" s="52"/>
      <c r="AT622" s="53" t="b">
        <f>ISNUMBER(MATCH(IF(LEN('USER INPUT SHEET'!rng_province)&gt;0,'USER INPUT SHEET'!rng_province,"Canada"),$AU622:$BD622,0))</f>
        <v>0</v>
      </c>
      <c r="AU622" s="52"/>
      <c r="AV622" s="52"/>
      <c r="AW622" s="52"/>
      <c r="AX622" s="52"/>
      <c r="AY622" s="52"/>
      <c r="AZ622" s="52"/>
      <c r="BA622" s="52"/>
    </row>
    <row r="623" spans="1:53" ht="15.75" customHeight="1" x14ac:dyDescent="0.3">
      <c r="A623" s="1166" t="str">
        <f t="shared" si="94"/>
        <v xml:space="preserve">Ext. Wall &amp; Roof Barrier, sheet / Dupont / Tyvek Monolayer 60 / Permeable / </v>
      </c>
      <c r="B623" s="1296" t="s">
        <v>4643</v>
      </c>
      <c r="C623" s="1296" t="s">
        <v>139</v>
      </c>
      <c r="D623" s="1296" t="s">
        <v>4644</v>
      </c>
      <c r="E623" s="1296"/>
      <c r="F623" s="1296"/>
      <c r="G623" s="1296"/>
      <c r="H623" s="1296"/>
      <c r="I623" s="1296" t="s">
        <v>120</v>
      </c>
      <c r="J623" s="1297">
        <v>45311</v>
      </c>
      <c r="K623" s="1298" t="s">
        <v>4617</v>
      </c>
      <c r="L623" s="1296" t="s">
        <v>5</v>
      </c>
      <c r="M623" s="1299" t="s">
        <v>4645</v>
      </c>
      <c r="N623" s="1296" t="s">
        <v>5</v>
      </c>
      <c r="O623" s="1296" t="s">
        <v>4646</v>
      </c>
      <c r="P623" s="1296" t="s">
        <v>122</v>
      </c>
      <c r="Q623" s="1298">
        <v>2026</v>
      </c>
      <c r="R623" s="1298" t="s">
        <v>4647</v>
      </c>
      <c r="S623" s="1296" t="s">
        <v>141</v>
      </c>
      <c r="T623" s="1296"/>
      <c r="U623" s="1296"/>
      <c r="V623" s="1296"/>
      <c r="W623" s="1296"/>
      <c r="X623" s="1296"/>
      <c r="Y623" s="1296"/>
      <c r="Z623" s="1296"/>
      <c r="AA623" s="78">
        <f t="shared" si="95"/>
        <v>0</v>
      </c>
      <c r="AB623" s="1296"/>
      <c r="AC623" s="1296"/>
      <c r="AD623" s="1296"/>
      <c r="AE623" s="1296"/>
      <c r="AF623" s="1296"/>
      <c r="AG623" s="1301"/>
      <c r="AH623" s="1296"/>
      <c r="AI623" s="1296"/>
      <c r="AJ623" s="1296"/>
      <c r="AK623" s="1296"/>
      <c r="AL623" s="1296"/>
      <c r="AM623" s="52"/>
      <c r="AN623" s="53" t="s">
        <v>4747</v>
      </c>
      <c r="AO623" s="52"/>
      <c r="AP623" s="52"/>
      <c r="AQ623" s="52"/>
      <c r="AR623" s="380"/>
      <c r="AS623" s="52"/>
      <c r="AT623" s="53" t="b">
        <f>ISNUMBER(MATCH(IF(LEN('USER INPUT SHEET'!rng_province)&gt;0,'USER INPUT SHEET'!rng_province,"Canada"),$AU623:$BD623,0))</f>
        <v>0</v>
      </c>
      <c r="AU623" s="52"/>
      <c r="AV623" s="52"/>
      <c r="AW623" s="52"/>
      <c r="AX623" s="52"/>
      <c r="AY623" s="52"/>
      <c r="AZ623" s="52"/>
      <c r="BA623" s="52"/>
    </row>
    <row r="624" spans="1:53" ht="15.75" customHeight="1" x14ac:dyDescent="0.3">
      <c r="A624" s="1166" t="str">
        <f t="shared" si="94"/>
        <v xml:space="preserve">Ext. Wall &amp; Roof Barrier, sheet / Partel / Exoperm Mono 150 / Permeable / </v>
      </c>
      <c r="B624" s="1296" t="s">
        <v>4643</v>
      </c>
      <c r="C624" s="1296" t="s">
        <v>4629</v>
      </c>
      <c r="D624" s="1296" t="s">
        <v>4648</v>
      </c>
      <c r="E624" s="1296"/>
      <c r="F624" s="1296"/>
      <c r="G624" s="1296"/>
      <c r="H624" s="1296"/>
      <c r="I624" s="1296" t="s">
        <v>120</v>
      </c>
      <c r="J624" s="1297">
        <v>45319</v>
      </c>
      <c r="K624" s="1298" t="s">
        <v>4649</v>
      </c>
      <c r="L624" s="1296" t="s">
        <v>3501</v>
      </c>
      <c r="M624" s="1299" t="s">
        <v>4650</v>
      </c>
      <c r="N624" s="1296" t="s">
        <v>3501</v>
      </c>
      <c r="O624" s="1296" t="s">
        <v>4633</v>
      </c>
      <c r="P624" s="1296" t="s">
        <v>4634</v>
      </c>
      <c r="Q624" s="1298">
        <v>2027</v>
      </c>
      <c r="R624" s="1298">
        <v>150</v>
      </c>
      <c r="S624" s="1296" t="s">
        <v>4458</v>
      </c>
      <c r="T624" s="1296"/>
      <c r="U624" s="1296"/>
      <c r="V624" s="1296"/>
      <c r="W624" s="1296"/>
      <c r="X624" s="1296"/>
      <c r="Y624" s="1296"/>
      <c r="Z624" s="1296"/>
      <c r="AA624" s="78">
        <f t="shared" si="95"/>
        <v>0</v>
      </c>
      <c r="AB624" s="1296"/>
      <c r="AC624" s="1296"/>
      <c r="AD624" s="1296"/>
      <c r="AE624" s="1296"/>
      <c r="AF624" s="1296"/>
      <c r="AG624" s="1301"/>
      <c r="AH624" s="1296"/>
      <c r="AI624" s="1296"/>
      <c r="AJ624" s="1296"/>
      <c r="AK624" s="1296"/>
      <c r="AL624" s="1296"/>
      <c r="AM624" s="52"/>
      <c r="AN624" s="53" t="s">
        <v>4748</v>
      </c>
      <c r="AO624" s="52"/>
      <c r="AP624" s="52"/>
      <c r="AQ624" s="52"/>
      <c r="AR624" s="380"/>
      <c r="AS624" s="52"/>
      <c r="AT624" s="53" t="b">
        <f>ISNUMBER(MATCH(IF(LEN('USER INPUT SHEET'!rng_province)&gt;0,'USER INPUT SHEET'!rng_province,"Canada"),$AU624:$BD624,0))</f>
        <v>0</v>
      </c>
      <c r="AU624" s="52"/>
      <c r="AV624" s="52"/>
      <c r="AW624" s="52"/>
      <c r="AX624" s="52"/>
      <c r="AY624" s="52"/>
      <c r="AZ624" s="52"/>
      <c r="BA624" s="52"/>
    </row>
    <row r="625" spans="1:53" ht="15.75" customHeight="1" x14ac:dyDescent="0.3">
      <c r="A625" s="1166" t="str">
        <f t="shared" si="94"/>
        <v>Ext. Wall barrier, adhesive / GCP / Perm-a-Barrier / Non-permeable / 1 mm</v>
      </c>
      <c r="B625" s="1296" t="s">
        <v>4651</v>
      </c>
      <c r="C625" s="1296" t="s">
        <v>146</v>
      </c>
      <c r="D625" s="1296" t="s">
        <v>4652</v>
      </c>
      <c r="E625" s="1296" t="s">
        <v>4653</v>
      </c>
      <c r="F625" s="1296"/>
      <c r="G625" s="1296"/>
      <c r="H625" s="1296"/>
      <c r="I625" s="1296" t="s">
        <v>3500</v>
      </c>
      <c r="J625" s="1297">
        <v>45318</v>
      </c>
      <c r="K625" s="1298" t="s">
        <v>4654</v>
      </c>
      <c r="L625" s="1296" t="s">
        <v>3501</v>
      </c>
      <c r="M625" s="1299" t="s">
        <v>4654</v>
      </c>
      <c r="N625" s="1296" t="s">
        <v>3501</v>
      </c>
      <c r="O625" s="1296" t="s">
        <v>4655</v>
      </c>
      <c r="P625" s="1296" t="s">
        <v>158</v>
      </c>
      <c r="Q625" s="1298">
        <v>2027</v>
      </c>
      <c r="R625" s="1296"/>
      <c r="S625" s="1296"/>
      <c r="T625" s="1296"/>
      <c r="U625" s="1296"/>
      <c r="V625" s="1296"/>
      <c r="W625" s="1296"/>
      <c r="X625" s="1296"/>
      <c r="Y625" s="1296"/>
      <c r="Z625" s="1296"/>
      <c r="AA625" s="78">
        <f t="shared" si="95"/>
        <v>0</v>
      </c>
      <c r="AB625" s="1296"/>
      <c r="AC625" s="1296"/>
      <c r="AD625" s="1296"/>
      <c r="AE625" s="1296"/>
      <c r="AF625" s="1296"/>
      <c r="AG625" s="1301"/>
      <c r="AH625" s="1296"/>
      <c r="AI625" s="1296"/>
      <c r="AJ625" s="1296"/>
      <c r="AK625" s="1296"/>
      <c r="AL625" s="1296"/>
      <c r="AM625" s="52"/>
      <c r="AN625" s="53" t="s">
        <v>4749</v>
      </c>
      <c r="AO625" s="52"/>
      <c r="AP625" s="52"/>
      <c r="AQ625" s="52"/>
      <c r="AR625" s="380"/>
      <c r="AS625" s="52"/>
      <c r="AT625" s="53" t="b">
        <f>ISNUMBER(MATCH(IF(LEN('USER INPUT SHEET'!rng_province)&gt;0,'USER INPUT SHEET'!rng_province,"Canada"),$AU625:$BD625,0))</f>
        <v>0</v>
      </c>
      <c r="AU625" s="52"/>
      <c r="AV625" s="52"/>
      <c r="AW625" s="52"/>
      <c r="AX625" s="52"/>
      <c r="AY625" s="52"/>
      <c r="AZ625" s="52"/>
      <c r="BA625" s="52"/>
    </row>
    <row r="626" spans="1:53" ht="15.75" customHeight="1" x14ac:dyDescent="0.3">
      <c r="A626" s="1166" t="str">
        <f t="shared" si="94"/>
        <v>Ext. Wall Barrier, adhesive / Soprema / Sopraseal Stick 1100 T / Non-permeable / 1.0 mm</v>
      </c>
      <c r="B626" s="1296" t="s">
        <v>4656</v>
      </c>
      <c r="C626" s="1296" t="s">
        <v>3697</v>
      </c>
      <c r="D626" s="1296" t="s">
        <v>4657</v>
      </c>
      <c r="E626" s="1296" t="s">
        <v>4625</v>
      </c>
      <c r="F626" s="1296"/>
      <c r="G626" s="1296"/>
      <c r="H626" s="1296"/>
      <c r="I626" s="1296" t="s">
        <v>3545</v>
      </c>
      <c r="J626" s="1297">
        <v>45319</v>
      </c>
      <c r="K626" s="1298" t="s">
        <v>4658</v>
      </c>
      <c r="L626" s="1296" t="s">
        <v>3501</v>
      </c>
      <c r="M626" s="1299" t="s">
        <v>4659</v>
      </c>
      <c r="N626" s="1296" t="s">
        <v>3501</v>
      </c>
      <c r="O626" s="1296" t="s">
        <v>4660</v>
      </c>
      <c r="P626" s="1296" t="s">
        <v>137</v>
      </c>
      <c r="Q626" s="1298">
        <v>2028</v>
      </c>
      <c r="R626" s="1298" t="s">
        <v>4661</v>
      </c>
      <c r="S626" s="1296" t="s">
        <v>141</v>
      </c>
      <c r="T626" s="1296"/>
      <c r="U626" s="1296"/>
      <c r="V626" s="1296"/>
      <c r="W626" s="1296"/>
      <c r="X626" s="1296"/>
      <c r="Y626" s="1296"/>
      <c r="Z626" s="1296"/>
      <c r="AA626" s="78">
        <f t="shared" si="95"/>
        <v>0</v>
      </c>
      <c r="AB626" s="1296"/>
      <c r="AC626" s="1296"/>
      <c r="AD626" s="1296"/>
      <c r="AE626" s="1296"/>
      <c r="AF626" s="1296"/>
      <c r="AG626" s="1301"/>
      <c r="AH626" s="1296"/>
      <c r="AI626" s="1296"/>
      <c r="AJ626" s="1296"/>
      <c r="AK626" s="1296"/>
      <c r="AL626" s="1296"/>
      <c r="AM626" s="52"/>
      <c r="AN626" s="53" t="s">
        <v>4750</v>
      </c>
      <c r="AO626" s="52"/>
      <c r="AP626" s="52"/>
      <c r="AQ626" s="52"/>
      <c r="AR626" s="380"/>
      <c r="AS626" s="52"/>
      <c r="AT626" s="53" t="b">
        <f>ISNUMBER(MATCH(IF(LEN('USER INPUT SHEET'!rng_province)&gt;0,'USER INPUT SHEET'!rng_province,"Canada"),$AU626:$BD626,0))</f>
        <v>0</v>
      </c>
      <c r="AU626" s="52"/>
      <c r="AV626" s="52"/>
      <c r="AW626" s="52"/>
      <c r="AX626" s="52"/>
      <c r="AY626" s="52"/>
      <c r="AZ626" s="52"/>
      <c r="BA626" s="52"/>
    </row>
    <row r="627" spans="1:53" ht="15.75" customHeight="1" x14ac:dyDescent="0.3">
      <c r="A627" s="1166" t="str">
        <f t="shared" si="94"/>
        <v>Ext. Wall Barrier, adhesive / Soprema / Sopraseal Stick VP / 11-17 Perms / 0.6 mm</v>
      </c>
      <c r="B627" s="1296" t="s">
        <v>4656</v>
      </c>
      <c r="C627" s="1296" t="s">
        <v>3697</v>
      </c>
      <c r="D627" s="1296" t="s">
        <v>4662</v>
      </c>
      <c r="E627" s="1296" t="s">
        <v>4663</v>
      </c>
      <c r="F627" s="1296"/>
      <c r="G627" s="1296"/>
      <c r="H627" s="1296"/>
      <c r="I627" s="1296" t="s">
        <v>3545</v>
      </c>
      <c r="J627" s="1297">
        <v>45319</v>
      </c>
      <c r="K627" s="1298" t="s">
        <v>4664</v>
      </c>
      <c r="L627" s="1296" t="s">
        <v>3501</v>
      </c>
      <c r="M627" s="1299" t="s">
        <v>4665</v>
      </c>
      <c r="N627" s="1296" t="s">
        <v>3501</v>
      </c>
      <c r="O627" s="1296" t="s">
        <v>4666</v>
      </c>
      <c r="P627" s="1296" t="s">
        <v>137</v>
      </c>
      <c r="Q627" s="1298">
        <v>2028</v>
      </c>
      <c r="R627" s="1298" t="s">
        <v>4667</v>
      </c>
      <c r="S627" s="1296" t="s">
        <v>141</v>
      </c>
      <c r="T627" s="1296"/>
      <c r="U627" s="1296"/>
      <c r="V627" s="1296"/>
      <c r="W627" s="1296"/>
      <c r="X627" s="1296"/>
      <c r="Y627" s="1296"/>
      <c r="Z627" s="1296"/>
      <c r="AA627" s="78">
        <f t="shared" si="95"/>
        <v>0</v>
      </c>
      <c r="AB627" s="1296"/>
      <c r="AC627" s="1296"/>
      <c r="AD627" s="1296"/>
      <c r="AE627" s="1296"/>
      <c r="AF627" s="1296"/>
      <c r="AG627" s="1301"/>
      <c r="AH627" s="1296"/>
      <c r="AI627" s="1296"/>
      <c r="AJ627" s="1296"/>
      <c r="AK627" s="1296"/>
      <c r="AL627" s="1296"/>
      <c r="AM627" s="52"/>
      <c r="AN627" s="53" t="s">
        <v>4751</v>
      </c>
      <c r="AO627" s="52"/>
      <c r="AP627" s="52"/>
      <c r="AQ627" s="52"/>
      <c r="AR627" s="380"/>
      <c r="AS627" s="52"/>
      <c r="AT627" s="53" t="b">
        <f>ISNUMBER(MATCH(IF(LEN('USER INPUT SHEET'!rng_province)&gt;0,'USER INPUT SHEET'!rng_province,"Canada"),$AU627:$BD627,0))</f>
        <v>0</v>
      </c>
      <c r="AU627" s="52"/>
      <c r="AV627" s="52"/>
      <c r="AW627" s="52"/>
      <c r="AX627" s="52"/>
      <c r="AY627" s="52"/>
      <c r="AZ627" s="52"/>
      <c r="BA627" s="52"/>
    </row>
    <row r="628" spans="1:53" ht="15.75" customHeight="1" x14ac:dyDescent="0.3">
      <c r="A628" s="1166" t="str">
        <f t="shared" si="94"/>
        <v>Ext. Wall Barrier, adhesive / Soprema / Soprasolin HD / Non-permeable / 1.0 mm</v>
      </c>
      <c r="B628" s="1296" t="s">
        <v>4656</v>
      </c>
      <c r="C628" s="1296" t="s">
        <v>3697</v>
      </c>
      <c r="D628" s="1296" t="s">
        <v>4668</v>
      </c>
      <c r="E628" s="1296" t="s">
        <v>4625</v>
      </c>
      <c r="F628" s="1296"/>
      <c r="G628" s="1296"/>
      <c r="H628" s="1296"/>
      <c r="I628" s="1296" t="s">
        <v>3545</v>
      </c>
      <c r="J628" s="1297">
        <v>45319</v>
      </c>
      <c r="K628" s="1298" t="s">
        <v>4658</v>
      </c>
      <c r="L628" s="1296" t="s">
        <v>3501</v>
      </c>
      <c r="M628" s="1299" t="s">
        <v>4669</v>
      </c>
      <c r="N628" s="1296" t="s">
        <v>3501</v>
      </c>
      <c r="O628" s="1296" t="s">
        <v>4660</v>
      </c>
      <c r="P628" s="1296" t="s">
        <v>137</v>
      </c>
      <c r="Q628" s="1298">
        <v>2028</v>
      </c>
      <c r="R628" s="1298" t="s">
        <v>4670</v>
      </c>
      <c r="S628" s="1296" t="s">
        <v>141</v>
      </c>
      <c r="T628" s="1296"/>
      <c r="U628" s="1296"/>
      <c r="V628" s="1296"/>
      <c r="W628" s="1296"/>
      <c r="X628" s="1296"/>
      <c r="Y628" s="1296"/>
      <c r="Z628" s="1296"/>
      <c r="AA628" s="78">
        <f t="shared" si="95"/>
        <v>0</v>
      </c>
      <c r="AB628" s="1296"/>
      <c r="AC628" s="1296"/>
      <c r="AD628" s="1296"/>
      <c r="AE628" s="1296"/>
      <c r="AF628" s="1296"/>
      <c r="AG628" s="1301"/>
      <c r="AH628" s="1296"/>
      <c r="AI628" s="1296"/>
      <c r="AJ628" s="1296"/>
      <c r="AK628" s="1296"/>
      <c r="AL628" s="1296"/>
      <c r="AM628" s="52"/>
      <c r="AN628" s="53" t="s">
        <v>4752</v>
      </c>
      <c r="AO628" s="52"/>
      <c r="AP628" s="52"/>
      <c r="AQ628" s="52"/>
      <c r="AR628" s="380"/>
      <c r="AS628" s="52"/>
      <c r="AT628" s="53" t="b">
        <f>ISNUMBER(MATCH(IF(LEN('USER INPUT SHEET'!rng_province)&gt;0,'USER INPUT SHEET'!rng_province,"Canada"),$AU628:$BD628,0))</f>
        <v>0</v>
      </c>
      <c r="AU628" s="52"/>
      <c r="AV628" s="52"/>
      <c r="AW628" s="52"/>
      <c r="AX628" s="52"/>
      <c r="AY628" s="52"/>
      <c r="AZ628" s="52"/>
      <c r="BA628" s="52"/>
    </row>
    <row r="629" spans="1:53" ht="15.75" customHeight="1" x14ac:dyDescent="0.3">
      <c r="A629" s="1166" t="str">
        <f t="shared" si="94"/>
        <v>Ext. Wall Barrier, adhesive / Soprema / SOPRAVAP'R / Non-permeable / 0.8 mm</v>
      </c>
      <c r="B629" s="1296" t="s">
        <v>4656</v>
      </c>
      <c r="C629" s="1296" t="s">
        <v>3697</v>
      </c>
      <c r="D629" s="1296" t="s">
        <v>4671</v>
      </c>
      <c r="E629" s="1296" t="s">
        <v>4611</v>
      </c>
      <c r="F629" s="1296"/>
      <c r="G629" s="1296"/>
      <c r="H629" s="1296"/>
      <c r="I629" s="1296" t="s">
        <v>3545</v>
      </c>
      <c r="J629" s="1297">
        <v>45319</v>
      </c>
      <c r="K629" s="1298" t="s">
        <v>4672</v>
      </c>
      <c r="L629" s="1296" t="s">
        <v>3501</v>
      </c>
      <c r="M629" s="1299" t="s">
        <v>4673</v>
      </c>
      <c r="N629" s="1296" t="s">
        <v>3501</v>
      </c>
      <c r="O629" s="1296" t="s">
        <v>4660</v>
      </c>
      <c r="P629" s="1296" t="s">
        <v>137</v>
      </c>
      <c r="Q629" s="1298">
        <v>2028</v>
      </c>
      <c r="R629" s="1298" t="s">
        <v>4674</v>
      </c>
      <c r="S629" s="1296" t="s">
        <v>141</v>
      </c>
      <c r="T629" s="1296"/>
      <c r="U629" s="1296"/>
      <c r="V629" s="1296"/>
      <c r="W629" s="1296"/>
      <c r="X629" s="1296"/>
      <c r="Y629" s="1296"/>
      <c r="Z629" s="1296"/>
      <c r="AA629" s="78">
        <f t="shared" si="95"/>
        <v>0</v>
      </c>
      <c r="AB629" s="1296"/>
      <c r="AC629" s="1296"/>
      <c r="AD629" s="1296"/>
      <c r="AE629" s="1296"/>
      <c r="AF629" s="1296"/>
      <c r="AG629" s="1301"/>
      <c r="AH629" s="1296"/>
      <c r="AI629" s="1296"/>
      <c r="AJ629" s="1296"/>
      <c r="AK629" s="1296"/>
      <c r="AL629" s="1296"/>
      <c r="AM629" s="52"/>
      <c r="AN629" s="53" t="s">
        <v>4753</v>
      </c>
      <c r="AO629" s="52"/>
      <c r="AP629" s="52"/>
      <c r="AQ629" s="52"/>
      <c r="AR629" s="380"/>
      <c r="AS629" s="52"/>
      <c r="AT629" s="53" t="b">
        <f>ISNUMBER(MATCH(IF(LEN('USER INPUT SHEET'!rng_province)&gt;0,'USER INPUT SHEET'!rng_province,"Canada"),$AU629:$BD629,0))</f>
        <v>0</v>
      </c>
      <c r="AU629" s="52"/>
      <c r="AV629" s="52"/>
      <c r="AW629" s="52"/>
      <c r="AX629" s="52"/>
      <c r="AY629" s="52"/>
      <c r="AZ629" s="52"/>
      <c r="BA629" s="52"/>
    </row>
    <row r="630" spans="1:53" ht="15.75" customHeight="1" x14ac:dyDescent="0.3">
      <c r="A630" s="1166" t="str">
        <f t="shared" si="94"/>
        <v>Ext. Wall barrier, liquid applied / GCP / Perm-a-Barrier NPL 10 / Non-permeable / 1 mm</v>
      </c>
      <c r="B630" s="1296" t="s">
        <v>4675</v>
      </c>
      <c r="C630" s="1296" t="s">
        <v>146</v>
      </c>
      <c r="D630" s="1296" t="s">
        <v>4676</v>
      </c>
      <c r="E630" s="1296" t="s">
        <v>4653</v>
      </c>
      <c r="F630" s="1296"/>
      <c r="G630" s="1296"/>
      <c r="H630" s="1296"/>
      <c r="I630" s="1296" t="s">
        <v>3500</v>
      </c>
      <c r="J630" s="1297">
        <v>45318</v>
      </c>
      <c r="K630" s="1298" t="s">
        <v>4677</v>
      </c>
      <c r="L630" s="1296" t="s">
        <v>3501</v>
      </c>
      <c r="M630" s="1299" t="s">
        <v>4678</v>
      </c>
      <c r="N630" s="1296" t="s">
        <v>3501</v>
      </c>
      <c r="O630" s="1296" t="s">
        <v>4679</v>
      </c>
      <c r="P630" s="1296" t="s">
        <v>158</v>
      </c>
      <c r="Q630" s="401">
        <v>46656</v>
      </c>
      <c r="R630" s="1298" t="s">
        <v>4621</v>
      </c>
      <c r="S630" s="1296" t="s">
        <v>4680</v>
      </c>
      <c r="T630" s="1296"/>
      <c r="U630" s="1296"/>
      <c r="V630" s="1296"/>
      <c r="W630" s="1296"/>
      <c r="X630" s="1296"/>
      <c r="Y630" s="1296"/>
      <c r="Z630" s="1296"/>
      <c r="AA630" s="78">
        <f t="shared" si="95"/>
        <v>0</v>
      </c>
      <c r="AB630" s="1296"/>
      <c r="AC630" s="1296"/>
      <c r="AD630" s="1296"/>
      <c r="AE630" s="1296"/>
      <c r="AF630" s="1296"/>
      <c r="AG630" s="1301"/>
      <c r="AH630" s="1296"/>
      <c r="AI630" s="1296"/>
      <c r="AJ630" s="1296"/>
      <c r="AK630" s="1298" t="s">
        <v>4681</v>
      </c>
      <c r="AL630" s="1296"/>
      <c r="AM630" s="52"/>
      <c r="AN630" s="53" t="s">
        <v>4754</v>
      </c>
      <c r="AO630" s="52"/>
      <c r="AP630" s="52"/>
      <c r="AQ630" s="52"/>
      <c r="AR630" s="380"/>
      <c r="AS630" s="52"/>
      <c r="AT630" s="53" t="b">
        <f>ISNUMBER(MATCH(IF(LEN('USER INPUT SHEET'!rng_province)&gt;0,'USER INPUT SHEET'!rng_province,"Canada"),$AU630:$BD630,0))</f>
        <v>0</v>
      </c>
      <c r="AU630" s="52"/>
      <c r="AV630" s="52"/>
      <c r="AW630" s="52"/>
      <c r="AX630" s="52"/>
      <c r="AY630" s="52"/>
      <c r="AZ630" s="52"/>
      <c r="BA630" s="52"/>
    </row>
    <row r="631" spans="1:53" ht="15.75" customHeight="1" x14ac:dyDescent="0.3">
      <c r="A631" s="1166" t="str">
        <f t="shared" si="94"/>
        <v>Ext. Wall barrier, liquid applied / GCP / Perm-a-Barrier VPL / 20 Perms / 0.64 mm</v>
      </c>
      <c r="B631" s="1296" t="s">
        <v>4675</v>
      </c>
      <c r="C631" s="1296" t="s">
        <v>146</v>
      </c>
      <c r="D631" s="1296" t="s">
        <v>4682</v>
      </c>
      <c r="E631" s="1296" t="s">
        <v>4683</v>
      </c>
      <c r="F631" s="1296"/>
      <c r="G631" s="1296"/>
      <c r="H631" s="1296"/>
      <c r="I631" s="1296" t="s">
        <v>3500</v>
      </c>
      <c r="J631" s="1297">
        <v>45318</v>
      </c>
      <c r="K631" s="1298" t="s">
        <v>4684</v>
      </c>
      <c r="L631" s="1296" t="s">
        <v>3501</v>
      </c>
      <c r="M631" s="1299" t="s">
        <v>4684</v>
      </c>
      <c r="N631" s="1296" t="s">
        <v>3501</v>
      </c>
      <c r="O631" s="1296" t="s">
        <v>4679</v>
      </c>
      <c r="P631" s="1296" t="s">
        <v>158</v>
      </c>
      <c r="Q631" s="401">
        <v>46656</v>
      </c>
      <c r="R631" s="1298" t="s">
        <v>4621</v>
      </c>
      <c r="S631" s="1296" t="s">
        <v>4680</v>
      </c>
      <c r="T631" s="1296"/>
      <c r="U631" s="1296"/>
      <c r="V631" s="1296"/>
      <c r="W631" s="1296"/>
      <c r="X631" s="1296"/>
      <c r="Y631" s="1296"/>
      <c r="Z631" s="1296"/>
      <c r="AA631" s="78">
        <f t="shared" si="95"/>
        <v>0</v>
      </c>
      <c r="AB631" s="1296"/>
      <c r="AC631" s="1296"/>
      <c r="AD631" s="1296"/>
      <c r="AE631" s="1296"/>
      <c r="AF631" s="1296"/>
      <c r="AG631" s="1301"/>
      <c r="AH631" s="1296"/>
      <c r="AI631" s="1296"/>
      <c r="AJ631" s="1296"/>
      <c r="AK631" s="1298" t="s">
        <v>4681</v>
      </c>
      <c r="AL631" s="1296"/>
      <c r="AM631" s="52"/>
      <c r="AN631" s="53" t="s">
        <v>4755</v>
      </c>
      <c r="AO631" s="52"/>
      <c r="AP631" s="52"/>
      <c r="AQ631" s="52"/>
      <c r="AR631" s="380"/>
      <c r="AS631" s="52"/>
      <c r="AT631" s="53" t="b">
        <f>ISNUMBER(MATCH(IF(LEN('USER INPUT SHEET'!rng_province)&gt;0,'USER INPUT SHEET'!rng_province,"Canada"),$AU631:$BD631,0))</f>
        <v>0</v>
      </c>
      <c r="AU631" s="52"/>
      <c r="AV631" s="52"/>
      <c r="AW631" s="52"/>
      <c r="AX631" s="52"/>
      <c r="AY631" s="52"/>
      <c r="AZ631" s="52"/>
      <c r="BA631" s="52"/>
    </row>
    <row r="632" spans="1:53" ht="15.75" customHeight="1" x14ac:dyDescent="0.3">
      <c r="A632" s="1166" t="str">
        <f t="shared" si="94"/>
        <v>Ext. Wall barrier, liquid applied / GCP / Perm-a-Barrier VPL 50 RS / 13 Perms / 0.51 mm</v>
      </c>
      <c r="B632" s="1296" t="s">
        <v>4675</v>
      </c>
      <c r="C632" s="1296" t="s">
        <v>146</v>
      </c>
      <c r="D632" s="1296" t="s">
        <v>4685</v>
      </c>
      <c r="E632" s="1296" t="s">
        <v>4686</v>
      </c>
      <c r="F632" s="1296"/>
      <c r="G632" s="1296"/>
      <c r="H632" s="1296"/>
      <c r="I632" s="1296" t="s">
        <v>3500</v>
      </c>
      <c r="J632" s="1297">
        <v>45318</v>
      </c>
      <c r="K632" s="1298" t="s">
        <v>4687</v>
      </c>
      <c r="L632" s="1296" t="s">
        <v>3501</v>
      </c>
      <c r="M632" s="1299" t="s">
        <v>4687</v>
      </c>
      <c r="N632" s="1296" t="s">
        <v>3501</v>
      </c>
      <c r="O632" s="1296" t="s">
        <v>4679</v>
      </c>
      <c r="P632" s="1296" t="s">
        <v>158</v>
      </c>
      <c r="Q632" s="401">
        <v>46656</v>
      </c>
      <c r="R632" s="1298" t="s">
        <v>4621</v>
      </c>
      <c r="S632" s="1296" t="s">
        <v>4680</v>
      </c>
      <c r="T632" s="1296"/>
      <c r="U632" s="1296"/>
      <c r="V632" s="1296"/>
      <c r="W632" s="1296"/>
      <c r="X632" s="1296"/>
      <c r="Y632" s="1296"/>
      <c r="Z632" s="1296"/>
      <c r="AA632" s="78">
        <f t="shared" si="95"/>
        <v>0</v>
      </c>
      <c r="AB632" s="1296"/>
      <c r="AC632" s="1296"/>
      <c r="AD632" s="1296"/>
      <c r="AE632" s="1296"/>
      <c r="AF632" s="1296"/>
      <c r="AG632" s="1301"/>
      <c r="AH632" s="1296"/>
      <c r="AI632" s="1296"/>
      <c r="AJ632" s="1296"/>
      <c r="AK632" s="1298" t="s">
        <v>4681</v>
      </c>
      <c r="AL632" s="1296"/>
      <c r="AM632" s="52"/>
      <c r="AN632" s="53" t="s">
        <v>3980</v>
      </c>
      <c r="AO632" s="52"/>
      <c r="AP632" s="52"/>
      <c r="AQ632" s="52"/>
      <c r="AR632" s="380"/>
      <c r="AS632" s="52"/>
      <c r="AT632" s="53" t="b">
        <f>ISNUMBER(MATCH(IF(LEN('USER INPUT SHEET'!rng_province)&gt;0,'USER INPUT SHEET'!rng_province,"Canada"),$AU632:$BD632,0))</f>
        <v>0</v>
      </c>
      <c r="AU632" s="52"/>
      <c r="AV632" s="52"/>
      <c r="AW632" s="52"/>
      <c r="AX632" s="52"/>
      <c r="AY632" s="52"/>
      <c r="AZ632" s="52"/>
      <c r="BA632" s="52"/>
    </row>
    <row r="633" spans="1:53" ht="15.75" customHeight="1" x14ac:dyDescent="0.3">
      <c r="A633" s="1166" t="str">
        <f t="shared" si="94"/>
        <v>Ext. Wall barrier, sheet / GCP / Perm-a-Barrier NPS / Non-permeable / 0.46 mm</v>
      </c>
      <c r="B633" s="1296" t="s">
        <v>4688</v>
      </c>
      <c r="C633" s="1296" t="s">
        <v>146</v>
      </c>
      <c r="D633" s="1296" t="s">
        <v>4689</v>
      </c>
      <c r="E633" s="1296" t="s">
        <v>4690</v>
      </c>
      <c r="F633" s="1296"/>
      <c r="G633" s="1296"/>
      <c r="H633" s="1296"/>
      <c r="I633" s="1296" t="s">
        <v>3500</v>
      </c>
      <c r="J633" s="1297">
        <v>45318</v>
      </c>
      <c r="K633" s="1298" t="s">
        <v>4691</v>
      </c>
      <c r="L633" s="1296" t="s">
        <v>3501</v>
      </c>
      <c r="M633" s="1299" t="s">
        <v>4691</v>
      </c>
      <c r="N633" s="1296" t="s">
        <v>3501</v>
      </c>
      <c r="O633" s="1296" t="s">
        <v>4679</v>
      </c>
      <c r="P633" s="1296" t="s">
        <v>158</v>
      </c>
      <c r="Q633" s="401">
        <v>46656</v>
      </c>
      <c r="R633" s="1298" t="s">
        <v>4621</v>
      </c>
      <c r="S633" s="1296" t="s">
        <v>4680</v>
      </c>
      <c r="T633" s="1296"/>
      <c r="U633" s="1296"/>
      <c r="V633" s="1296"/>
      <c r="W633" s="1296"/>
      <c r="X633" s="1296"/>
      <c r="Y633" s="1296"/>
      <c r="Z633" s="1296"/>
      <c r="AA633" s="78">
        <f t="shared" si="95"/>
        <v>0</v>
      </c>
      <c r="AB633" s="1296"/>
      <c r="AC633" s="1296"/>
      <c r="AD633" s="1296"/>
      <c r="AE633" s="1296"/>
      <c r="AF633" s="1296"/>
      <c r="AG633" s="1301"/>
      <c r="AH633" s="1296"/>
      <c r="AI633" s="1296"/>
      <c r="AJ633" s="1296"/>
      <c r="AK633" s="1298" t="s">
        <v>4681</v>
      </c>
      <c r="AL633" s="1296"/>
      <c r="AM633" s="52"/>
      <c r="AN633" s="53" t="s">
        <v>3981</v>
      </c>
      <c r="AO633" s="52"/>
      <c r="AP633" s="52"/>
      <c r="AQ633" s="52"/>
      <c r="AR633" s="380"/>
      <c r="AS633" s="52"/>
      <c r="AT633" s="53" t="b">
        <f>ISNUMBER(MATCH(IF(LEN('USER INPUT SHEET'!rng_province)&gt;0,'USER INPUT SHEET'!rng_province,"Canada"),$AU633:$BD633,0))</f>
        <v>0</v>
      </c>
      <c r="AU633" s="52"/>
      <c r="AV633" s="52"/>
      <c r="AW633" s="52"/>
      <c r="AX633" s="52"/>
      <c r="AY633" s="52"/>
      <c r="AZ633" s="52"/>
      <c r="BA633" s="52"/>
    </row>
    <row r="634" spans="1:53" ht="15.75" customHeight="1" x14ac:dyDescent="0.3">
      <c r="A634" s="1166" t="str">
        <f t="shared" si="94"/>
        <v xml:space="preserve">Ext. Wall Barrier, liquid applied / Soprema / Sopraseal LM 200 S / 0.6 Perm / </v>
      </c>
      <c r="B634" s="1296" t="s">
        <v>4692</v>
      </c>
      <c r="C634" s="1296" t="s">
        <v>3697</v>
      </c>
      <c r="D634" s="1296" t="s">
        <v>4693</v>
      </c>
      <c r="E634" s="1296"/>
      <c r="F634" s="1296"/>
      <c r="G634" s="1296"/>
      <c r="H634" s="1296"/>
      <c r="I634" s="1296" t="s">
        <v>3545</v>
      </c>
      <c r="J634" s="1297">
        <v>45319</v>
      </c>
      <c r="K634" s="1298" t="s">
        <v>4694</v>
      </c>
      <c r="L634" s="1296" t="s">
        <v>3501</v>
      </c>
      <c r="M634" s="1299" t="s">
        <v>4695</v>
      </c>
      <c r="N634" s="1296" t="s">
        <v>3501</v>
      </c>
      <c r="O634" s="1296" t="s">
        <v>4696</v>
      </c>
      <c r="P634" s="1296" t="s">
        <v>137</v>
      </c>
      <c r="Q634" s="1298">
        <v>2028</v>
      </c>
      <c r="R634" s="1298" t="s">
        <v>4697</v>
      </c>
      <c r="S634" s="1296" t="s">
        <v>141</v>
      </c>
      <c r="T634" s="1296"/>
      <c r="U634" s="1296"/>
      <c r="V634" s="1296"/>
      <c r="W634" s="1296"/>
      <c r="X634" s="1296"/>
      <c r="Y634" s="1296"/>
      <c r="Z634" s="1296"/>
      <c r="AA634" s="78">
        <f t="shared" si="95"/>
        <v>0</v>
      </c>
      <c r="AB634" s="1296"/>
      <c r="AC634" s="1296"/>
      <c r="AD634" s="1296"/>
      <c r="AE634" s="1296"/>
      <c r="AF634" s="1296"/>
      <c r="AG634" s="1301"/>
      <c r="AH634" s="1296"/>
      <c r="AI634" s="1296"/>
      <c r="AJ634" s="1296"/>
      <c r="AK634" s="1296"/>
      <c r="AL634" s="1296"/>
      <c r="AM634" s="52"/>
      <c r="AN634" s="53" t="s">
        <v>2341</v>
      </c>
      <c r="AO634" s="52"/>
      <c r="AP634" s="52"/>
      <c r="AQ634" s="52"/>
      <c r="AR634" s="380"/>
      <c r="AS634" s="52"/>
      <c r="AT634" s="53" t="b">
        <f>ISNUMBER(MATCH(IF(LEN('USER INPUT SHEET'!rng_province)&gt;0,'USER INPUT SHEET'!rng_province,"Canada"),$AU634:$BD634,0))</f>
        <v>0</v>
      </c>
      <c r="AU634" s="52"/>
      <c r="AV634" s="52"/>
      <c r="AW634" s="52"/>
      <c r="AX634" s="52"/>
      <c r="AY634" s="52"/>
      <c r="AZ634" s="52"/>
      <c r="BA634" s="52"/>
    </row>
    <row r="635" spans="1:53" ht="15.75" customHeight="1" x14ac:dyDescent="0.3">
      <c r="A635" s="1166" t="str">
        <f t="shared" si="94"/>
        <v>Ext. Wall Barrier, liquid applied / Soprema / SOPRASEAL LM 204 VP / 10-17 Perms / 0.6 mm</v>
      </c>
      <c r="B635" s="1296" t="s">
        <v>4692</v>
      </c>
      <c r="C635" s="1296" t="s">
        <v>3697</v>
      </c>
      <c r="D635" s="1296" t="s">
        <v>4698</v>
      </c>
      <c r="E635" s="1296" t="s">
        <v>4663</v>
      </c>
      <c r="F635" s="1296"/>
      <c r="G635" s="1296"/>
      <c r="H635" s="1296"/>
      <c r="I635" s="1296" t="s">
        <v>3545</v>
      </c>
      <c r="J635" s="1297">
        <v>45319</v>
      </c>
      <c r="K635" s="1298" t="s">
        <v>4699</v>
      </c>
      <c r="L635" s="1296" t="s">
        <v>3501</v>
      </c>
      <c r="M635" s="1299" t="s">
        <v>4700</v>
      </c>
      <c r="N635" s="1296" t="s">
        <v>3501</v>
      </c>
      <c r="O635" s="1296" t="s">
        <v>4701</v>
      </c>
      <c r="P635" s="1296" t="s">
        <v>137</v>
      </c>
      <c r="Q635" s="1298">
        <v>2028</v>
      </c>
      <c r="R635" s="1298" t="s">
        <v>4702</v>
      </c>
      <c r="S635" s="1296" t="s">
        <v>141</v>
      </c>
      <c r="T635" s="1296"/>
      <c r="U635" s="1296"/>
      <c r="V635" s="1296"/>
      <c r="W635" s="1296"/>
      <c r="X635" s="1296"/>
      <c r="Y635" s="1296"/>
      <c r="Z635" s="1296"/>
      <c r="AA635" s="78">
        <f t="shared" si="95"/>
        <v>0</v>
      </c>
      <c r="AB635" s="1296"/>
      <c r="AC635" s="1296"/>
      <c r="AD635" s="1296"/>
      <c r="AE635" s="1296"/>
      <c r="AF635" s="1296"/>
      <c r="AG635" s="1301"/>
      <c r="AH635" s="1296"/>
      <c r="AI635" s="1296"/>
      <c r="AJ635" s="1296"/>
      <c r="AK635" s="1296"/>
      <c r="AL635" s="1296"/>
      <c r="AM635" s="52"/>
      <c r="AN635" s="53" t="s">
        <v>4756</v>
      </c>
      <c r="AO635" s="52"/>
      <c r="AP635" s="52"/>
      <c r="AQ635" s="52"/>
      <c r="AR635" s="380"/>
      <c r="AS635" s="52"/>
      <c r="AT635" s="53" t="b">
        <f>ISNUMBER(MATCH(IF(LEN('USER INPUT SHEET'!rng_province)&gt;0,'USER INPUT SHEET'!rng_province,"Canada"),$AU635:$BD635,0))</f>
        <v>0</v>
      </c>
      <c r="AU635" s="52"/>
      <c r="AV635" s="52"/>
      <c r="AW635" s="52"/>
      <c r="AX635" s="52"/>
      <c r="AY635" s="52"/>
      <c r="AZ635" s="52"/>
      <c r="BA635" s="52"/>
    </row>
    <row r="636" spans="1:53" ht="15.75" customHeight="1" x14ac:dyDescent="0.3">
      <c r="A636" s="1166" t="str">
        <f t="shared" si="94"/>
        <v xml:space="preserve">Ext. Waterproofing Barrier, adhesive / Carlisle / MiraPLY V / </v>
      </c>
      <c r="B636" s="1296" t="s">
        <v>4703</v>
      </c>
      <c r="C636" s="1296" t="s">
        <v>539</v>
      </c>
      <c r="D636" s="1296" t="s">
        <v>4704</v>
      </c>
      <c r="E636" s="1296"/>
      <c r="F636" s="1296"/>
      <c r="G636" s="1296"/>
      <c r="H636" s="1296"/>
      <c r="I636" s="1296" t="s">
        <v>3500</v>
      </c>
      <c r="J636" s="1297">
        <v>45318</v>
      </c>
      <c r="K636" s="1298" t="s">
        <v>4705</v>
      </c>
      <c r="L636" s="1296" t="s">
        <v>3501</v>
      </c>
      <c r="M636" s="1299" t="s">
        <v>4706</v>
      </c>
      <c r="N636" s="1296" t="s">
        <v>3501</v>
      </c>
      <c r="O636" s="1296" t="s">
        <v>4707</v>
      </c>
      <c r="P636" s="1296" t="s">
        <v>158</v>
      </c>
      <c r="Q636" s="1298">
        <v>2026</v>
      </c>
      <c r="R636" s="1298" t="s">
        <v>4708</v>
      </c>
      <c r="S636" s="1296" t="s">
        <v>4642</v>
      </c>
      <c r="T636" s="1296"/>
      <c r="U636" s="1296"/>
      <c r="V636" s="1296"/>
      <c r="W636" s="1296"/>
      <c r="X636" s="1296"/>
      <c r="Y636" s="1296"/>
      <c r="Z636" s="1296"/>
      <c r="AA636" s="78">
        <f t="shared" si="95"/>
        <v>0</v>
      </c>
      <c r="AB636" s="1296"/>
      <c r="AC636" s="1296"/>
      <c r="AD636" s="1296"/>
      <c r="AE636" s="1296"/>
      <c r="AF636" s="1296"/>
      <c r="AG636" s="1301"/>
      <c r="AH636" s="1296"/>
      <c r="AI636" s="1296"/>
      <c r="AJ636" s="1296"/>
      <c r="AK636" s="1296"/>
      <c r="AL636" s="1296"/>
      <c r="AM636" s="52"/>
      <c r="AN636" s="53" t="s">
        <v>3978</v>
      </c>
      <c r="AO636" s="52"/>
      <c r="AP636" s="52"/>
      <c r="AQ636" s="52"/>
      <c r="AR636" s="380"/>
      <c r="AS636" s="52"/>
      <c r="AT636" s="53" t="b">
        <f>ISNUMBER(MATCH(IF(LEN('USER INPUT SHEET'!rng_province)&gt;0,'USER INPUT SHEET'!rng_province,"Canada"),$AU636:$BD636,0))</f>
        <v>0</v>
      </c>
      <c r="AU636" s="52"/>
      <c r="AV636" s="52"/>
      <c r="AW636" s="52"/>
      <c r="AX636" s="52"/>
      <c r="AY636" s="52"/>
      <c r="AZ636" s="52"/>
      <c r="BA636" s="52"/>
    </row>
    <row r="637" spans="1:53" ht="15.75" customHeight="1" x14ac:dyDescent="0.3">
      <c r="A637" s="1166" t="str">
        <f t="shared" si="94"/>
        <v xml:space="preserve">Ext. Waterproofing Barrier, liquid applied / Carlisle / MiraSEAL &amp; MiraTITE / </v>
      </c>
      <c r="B637" s="1296" t="s">
        <v>4709</v>
      </c>
      <c r="C637" s="1296" t="s">
        <v>539</v>
      </c>
      <c r="D637" s="1296" t="s">
        <v>4710</v>
      </c>
      <c r="E637" s="1296"/>
      <c r="F637" s="1296"/>
      <c r="G637" s="1296"/>
      <c r="H637" s="1296"/>
      <c r="I637" s="1296" t="s">
        <v>3500</v>
      </c>
      <c r="J637" s="1297">
        <v>45318</v>
      </c>
      <c r="K637" s="1298" t="s">
        <v>4711</v>
      </c>
      <c r="L637" s="1296" t="s">
        <v>3501</v>
      </c>
      <c r="M637" s="1299" t="s">
        <v>4712</v>
      </c>
      <c r="N637" s="1296" t="s">
        <v>3501</v>
      </c>
      <c r="O637" s="1296" t="s">
        <v>4640</v>
      </c>
      <c r="P637" s="1296" t="s">
        <v>158</v>
      </c>
      <c r="Q637" s="1298">
        <v>2026</v>
      </c>
      <c r="R637" s="1298" t="s">
        <v>4713</v>
      </c>
      <c r="S637" s="1296" t="s">
        <v>4642</v>
      </c>
      <c r="T637" s="1296"/>
      <c r="U637" s="1296"/>
      <c r="V637" s="1296"/>
      <c r="W637" s="1296"/>
      <c r="X637" s="1296"/>
      <c r="Y637" s="1296"/>
      <c r="Z637" s="1296"/>
      <c r="AA637" s="78">
        <f t="shared" si="95"/>
        <v>0</v>
      </c>
      <c r="AB637" s="1296"/>
      <c r="AC637" s="1296"/>
      <c r="AD637" s="1296"/>
      <c r="AE637" s="1296"/>
      <c r="AF637" s="1296"/>
      <c r="AG637" s="1301"/>
      <c r="AH637" s="1296"/>
      <c r="AI637" s="1296"/>
      <c r="AJ637" s="1296"/>
      <c r="AK637" s="1296"/>
      <c r="AL637" s="1296"/>
      <c r="AM637" s="52"/>
      <c r="AN637" s="53" t="s">
        <v>4757</v>
      </c>
      <c r="AO637" s="52"/>
      <c r="AP637" s="52"/>
      <c r="AQ637" s="52"/>
      <c r="AR637" s="380"/>
      <c r="AS637" s="52"/>
      <c r="AT637" s="53" t="b">
        <f>ISNUMBER(MATCH(IF(LEN('USER INPUT SHEET'!rng_province)&gt;0,'USER INPUT SHEET'!rng_province,"Canada"),$AU637:$BD637,0))</f>
        <v>0</v>
      </c>
      <c r="AU637" s="52"/>
      <c r="AV637" s="52"/>
      <c r="AW637" s="52"/>
      <c r="AX637" s="52"/>
      <c r="AY637" s="52"/>
      <c r="AZ637" s="52"/>
      <c r="BA637" s="52"/>
    </row>
    <row r="638" spans="1:53" ht="15.75" customHeight="1" x14ac:dyDescent="0.3">
      <c r="A638" s="1166" t="str">
        <f t="shared" si="94"/>
        <v xml:space="preserve">Int. Wall &amp; Ceiling Barrier, sheet / Partel / IZOPERM PLUS / Non-permeable / </v>
      </c>
      <c r="B638" s="1296" t="s">
        <v>4594</v>
      </c>
      <c r="C638" s="1296" t="s">
        <v>4629</v>
      </c>
      <c r="D638" s="1296" t="s">
        <v>4714</v>
      </c>
      <c r="E638" s="1296"/>
      <c r="F638" s="1296"/>
      <c r="G638" s="1296"/>
      <c r="H638" s="1296"/>
      <c r="I638" s="1296" t="s">
        <v>120</v>
      </c>
      <c r="J638" s="1297">
        <v>45319</v>
      </c>
      <c r="K638" s="1298" t="s">
        <v>4598</v>
      </c>
      <c r="L638" s="1296" t="s">
        <v>3501</v>
      </c>
      <c r="M638" s="1299" t="s">
        <v>4599</v>
      </c>
      <c r="N638" s="1296" t="s">
        <v>3501</v>
      </c>
      <c r="O638" s="1296" t="s">
        <v>4715</v>
      </c>
      <c r="P638" s="1296" t="s">
        <v>4634</v>
      </c>
      <c r="Q638" s="1298">
        <v>2027</v>
      </c>
      <c r="R638" s="1298">
        <v>120</v>
      </c>
      <c r="S638" s="1296" t="s">
        <v>4458</v>
      </c>
      <c r="T638" s="1296"/>
      <c r="U638" s="1296"/>
      <c r="V638" s="1296"/>
      <c r="W638" s="1296"/>
      <c r="X638" s="1296"/>
      <c r="Y638" s="1296"/>
      <c r="Z638" s="1296"/>
      <c r="AA638" s="78">
        <f t="shared" si="95"/>
        <v>0</v>
      </c>
      <c r="AB638" s="1296"/>
      <c r="AC638" s="1296"/>
      <c r="AD638" s="1296"/>
      <c r="AE638" s="1296"/>
      <c r="AF638" s="1296"/>
      <c r="AG638" s="1301"/>
      <c r="AH638" s="1296"/>
      <c r="AI638" s="1296"/>
      <c r="AJ638" s="1296"/>
      <c r="AK638" s="1296"/>
      <c r="AL638" s="1296"/>
      <c r="AM638" s="52"/>
      <c r="AN638" s="53" t="s">
        <v>4758</v>
      </c>
      <c r="AO638" s="52"/>
      <c r="AP638" s="52"/>
      <c r="AQ638" s="52"/>
      <c r="AR638" s="380"/>
      <c r="AS638" s="52"/>
      <c r="AT638" s="53" t="b">
        <f>ISNUMBER(MATCH(IF(LEN('USER INPUT SHEET'!rng_province)&gt;0,'USER INPUT SHEET'!rng_province,"Canada"),$AU638:$BD638,0))</f>
        <v>0</v>
      </c>
      <c r="AU638" s="52"/>
      <c r="AV638" s="52"/>
      <c r="AW638" s="52"/>
      <c r="AX638" s="52"/>
      <c r="AY638" s="52"/>
      <c r="AZ638" s="52"/>
      <c r="BA638" s="52"/>
    </row>
    <row r="639" spans="1:53" ht="15.75" customHeight="1" x14ac:dyDescent="0.3">
      <c r="A639" s="1166" t="str">
        <f t="shared" si="94"/>
        <v xml:space="preserve">Int. Wall &amp; Ceiling Barrier, sheet / Partel / VARA PLUS / Moisture-variable / </v>
      </c>
      <c r="B639" s="1296" t="s">
        <v>4594</v>
      </c>
      <c r="C639" s="1296" t="s">
        <v>4629</v>
      </c>
      <c r="D639" s="1296" t="s">
        <v>4716</v>
      </c>
      <c r="E639" s="1296"/>
      <c r="F639" s="1296"/>
      <c r="G639" s="1296"/>
      <c r="H639" s="1296"/>
      <c r="I639" s="1296" t="s">
        <v>120</v>
      </c>
      <c r="J639" s="1297">
        <v>45319</v>
      </c>
      <c r="K639" s="1298" t="s">
        <v>4598</v>
      </c>
      <c r="L639" s="1296" t="s">
        <v>3501</v>
      </c>
      <c r="M639" s="1299" t="s">
        <v>4717</v>
      </c>
      <c r="N639" s="1296" t="s">
        <v>3501</v>
      </c>
      <c r="O639" s="1296" t="s">
        <v>4715</v>
      </c>
      <c r="P639" s="1296" t="s">
        <v>4634</v>
      </c>
      <c r="Q639" s="1298">
        <v>2027</v>
      </c>
      <c r="R639" s="1298">
        <v>120</v>
      </c>
      <c r="S639" s="1296" t="s">
        <v>4458</v>
      </c>
      <c r="T639" s="1296"/>
      <c r="U639" s="1296"/>
      <c r="V639" s="1296"/>
      <c r="W639" s="1296"/>
      <c r="X639" s="1296"/>
      <c r="Y639" s="1296"/>
      <c r="Z639" s="1296"/>
      <c r="AA639" s="78">
        <f t="shared" si="95"/>
        <v>0</v>
      </c>
      <c r="AB639" s="1296"/>
      <c r="AC639" s="1296"/>
      <c r="AD639" s="1296"/>
      <c r="AE639" s="1296"/>
      <c r="AF639" s="1296"/>
      <c r="AG639" s="1301"/>
      <c r="AH639" s="1296"/>
      <c r="AI639" s="1296"/>
      <c r="AJ639" s="1296"/>
      <c r="AK639" s="1296"/>
      <c r="AL639" s="1296"/>
      <c r="AM639" s="52"/>
      <c r="AN639" s="53" t="s">
        <v>4759</v>
      </c>
      <c r="AO639" s="52"/>
      <c r="AP639" s="52"/>
      <c r="AQ639" s="52"/>
      <c r="AR639" s="380"/>
      <c r="AS639" s="52"/>
      <c r="AT639" s="53" t="b">
        <f>ISNUMBER(MATCH(IF(LEN('USER INPUT SHEET'!rng_province)&gt;0,'USER INPUT SHEET'!rng_province,"Canada"),$AU639:$BD639,0))</f>
        <v>0</v>
      </c>
      <c r="AU639" s="52"/>
      <c r="AV639" s="52"/>
      <c r="AW639" s="52"/>
      <c r="AX639" s="52"/>
      <c r="AY639" s="52"/>
      <c r="AZ639" s="52"/>
      <c r="BA639" s="52"/>
    </row>
    <row r="640" spans="1:53" ht="15.75" customHeight="1" x14ac:dyDescent="0.3">
      <c r="A640" s="1166" t="str">
        <f t="shared" si="94"/>
        <v>Int. Wall &amp; Ceiling Barrier, sheet / Rothoblaas / Clima Control 80 / Moisture-variable / 0.22 mm</v>
      </c>
      <c r="B640" s="1296" t="s">
        <v>4594</v>
      </c>
      <c r="C640" s="1296" t="s">
        <v>4595</v>
      </c>
      <c r="D640" s="1296" t="s">
        <v>4718</v>
      </c>
      <c r="E640" s="1296" t="s">
        <v>4719</v>
      </c>
      <c r="F640" s="1296"/>
      <c r="G640" s="1296"/>
      <c r="H640" s="1296"/>
      <c r="I640" s="1296" t="s">
        <v>120</v>
      </c>
      <c r="J640" s="1297">
        <v>45318</v>
      </c>
      <c r="K640" s="1298" t="s">
        <v>4612</v>
      </c>
      <c r="L640" s="1296" t="s">
        <v>3501</v>
      </c>
      <c r="M640" s="1299" t="s">
        <v>4720</v>
      </c>
      <c r="N640" s="1296" t="s">
        <v>3501</v>
      </c>
      <c r="O640" s="1296" t="s">
        <v>4600</v>
      </c>
      <c r="P640" s="1296" t="s">
        <v>4601</v>
      </c>
      <c r="Q640" s="1298">
        <v>2026</v>
      </c>
      <c r="R640" s="1298">
        <v>80</v>
      </c>
      <c r="S640" s="1296" t="s">
        <v>4458</v>
      </c>
      <c r="T640" s="1296"/>
      <c r="U640" s="1296"/>
      <c r="V640" s="1296"/>
      <c r="W640" s="1296"/>
      <c r="X640" s="1296"/>
      <c r="Y640" s="1296"/>
      <c r="Z640" s="1296"/>
      <c r="AA640" s="78">
        <f t="shared" si="95"/>
        <v>0</v>
      </c>
      <c r="AB640" s="1296"/>
      <c r="AC640" s="1296"/>
      <c r="AD640" s="1296"/>
      <c r="AE640" s="1296"/>
      <c r="AF640" s="1296"/>
      <c r="AG640" s="1301"/>
      <c r="AH640" s="1296"/>
      <c r="AI640" s="1296"/>
      <c r="AJ640" s="1296"/>
      <c r="AK640" s="1296"/>
      <c r="AL640" s="1296"/>
      <c r="AM640" s="52"/>
      <c r="AN640" s="53" t="s">
        <v>4760</v>
      </c>
      <c r="AO640" s="52"/>
      <c r="AP640" s="52"/>
      <c r="AQ640" s="52"/>
      <c r="AR640" s="380"/>
      <c r="AS640" s="52"/>
      <c r="AT640" s="53" t="b">
        <f>ISNUMBER(MATCH(IF(LEN('USER INPUT SHEET'!rng_province)&gt;0,'USER INPUT SHEET'!rng_province,"Canada"),$AU640:$BD640,0))</f>
        <v>0</v>
      </c>
      <c r="AU640" s="52"/>
      <c r="AV640" s="52"/>
      <c r="AW640" s="52"/>
      <c r="AX640" s="52"/>
      <c r="AY640" s="52"/>
      <c r="AZ640" s="52"/>
      <c r="BA640" s="52"/>
    </row>
    <row r="641" spans="1:53" ht="15.75" customHeight="1" x14ac:dyDescent="0.3">
      <c r="A641" s="1166" t="str">
        <f t="shared" si="94"/>
        <v>Int. Wall &amp; Ceiling Barrier, sheet / Rothoblaas / Vapor in NET 140 / Non-permeable / 0.15 mm</v>
      </c>
      <c r="B641" s="1296" t="s">
        <v>4594</v>
      </c>
      <c r="C641" s="1296" t="s">
        <v>4595</v>
      </c>
      <c r="D641" s="1296" t="s">
        <v>4721</v>
      </c>
      <c r="E641" s="1296" t="s">
        <v>4722</v>
      </c>
      <c r="F641" s="1296"/>
      <c r="G641" s="1296"/>
      <c r="H641" s="1296"/>
      <c r="I641" s="1296" t="s">
        <v>120</v>
      </c>
      <c r="J641" s="1297">
        <v>45318</v>
      </c>
      <c r="K641" s="1298" t="s">
        <v>4598</v>
      </c>
      <c r="L641" s="1296" t="s">
        <v>3501</v>
      </c>
      <c r="M641" s="1299" t="s">
        <v>4723</v>
      </c>
      <c r="N641" s="1296" t="s">
        <v>3501</v>
      </c>
      <c r="O641" s="1296" t="s">
        <v>4600</v>
      </c>
      <c r="P641" s="1296" t="s">
        <v>4601</v>
      </c>
      <c r="Q641" s="1298">
        <v>2026</v>
      </c>
      <c r="R641" s="1298">
        <v>140</v>
      </c>
      <c r="S641" s="1296" t="s">
        <v>4458</v>
      </c>
      <c r="T641" s="1296"/>
      <c r="U641" s="1296"/>
      <c r="V641" s="1296"/>
      <c r="W641" s="1296"/>
      <c r="X641" s="1296"/>
      <c r="Y641" s="1296"/>
      <c r="Z641" s="1296"/>
      <c r="AA641" s="78">
        <f t="shared" si="95"/>
        <v>0</v>
      </c>
      <c r="AB641" s="1296"/>
      <c r="AC641" s="1296"/>
      <c r="AD641" s="1296"/>
      <c r="AE641" s="1296"/>
      <c r="AF641" s="1296"/>
      <c r="AG641" s="1301"/>
      <c r="AH641" s="1296"/>
      <c r="AI641" s="1296"/>
      <c r="AJ641" s="1296"/>
      <c r="AK641" s="1296"/>
      <c r="AL641" s="1296"/>
      <c r="AM641" s="52"/>
      <c r="AN641" s="53" t="s">
        <v>4761</v>
      </c>
      <c r="AO641" s="52"/>
      <c r="AP641" s="52"/>
      <c r="AQ641" s="52"/>
      <c r="AR641" s="380"/>
      <c r="AS641" s="52"/>
      <c r="AT641" s="53" t="b">
        <f>ISNUMBER(MATCH(IF(LEN('USER INPUT SHEET'!rng_province)&gt;0,'USER INPUT SHEET'!rng_province,"Canada"),$AU641:$BD641,0))</f>
        <v>0</v>
      </c>
      <c r="AU641" s="52"/>
      <c r="AV641" s="52"/>
      <c r="AW641" s="52"/>
      <c r="AX641" s="52"/>
      <c r="AY641" s="52"/>
      <c r="AZ641" s="52"/>
      <c r="BA641" s="52"/>
    </row>
    <row r="642" spans="1:53" ht="15.75" customHeight="1" x14ac:dyDescent="0.3">
      <c r="A642" s="1166" t="str">
        <f t="shared" si="94"/>
        <v xml:space="preserve">Int. Wall &amp; Ceiling Barrier, sheet / SIGA / Majrex 200 / Moisture-variable / </v>
      </c>
      <c r="B642" s="1296" t="s">
        <v>4594</v>
      </c>
      <c r="C642" s="1296" t="s">
        <v>4724</v>
      </c>
      <c r="D642" s="1296" t="s">
        <v>4725</v>
      </c>
      <c r="E642" s="1296"/>
      <c r="F642" s="1296"/>
      <c r="G642" s="1296"/>
      <c r="H642" s="1296"/>
      <c r="I642" s="1296" t="s">
        <v>120</v>
      </c>
      <c r="J642" s="1297">
        <v>45318</v>
      </c>
      <c r="K642" s="1298" t="s">
        <v>4664</v>
      </c>
      <c r="L642" s="1296" t="s">
        <v>3501</v>
      </c>
      <c r="M642" s="1299" t="s">
        <v>4726</v>
      </c>
      <c r="N642" s="1296" t="s">
        <v>5</v>
      </c>
      <c r="O642" s="1296" t="s">
        <v>4727</v>
      </c>
      <c r="P642" s="1296" t="s">
        <v>122</v>
      </c>
      <c r="Q642" s="1298">
        <v>2027</v>
      </c>
      <c r="R642" s="1298" t="s">
        <v>4728</v>
      </c>
      <c r="S642" s="1296" t="s">
        <v>141</v>
      </c>
      <c r="T642" s="1296"/>
      <c r="U642" s="1296"/>
      <c r="V642" s="1296"/>
      <c r="W642" s="1296"/>
      <c r="X642" s="1296"/>
      <c r="Y642" s="1296"/>
      <c r="Z642" s="1296"/>
      <c r="AA642" s="78">
        <f t="shared" si="95"/>
        <v>0</v>
      </c>
      <c r="AB642" s="1296"/>
      <c r="AC642" s="1296"/>
      <c r="AD642" s="1296"/>
      <c r="AE642" s="1296"/>
      <c r="AF642" s="1296"/>
      <c r="AG642" s="1301"/>
      <c r="AH642" s="1296"/>
      <c r="AI642" s="1296"/>
      <c r="AJ642" s="1296"/>
      <c r="AK642" s="1296"/>
      <c r="AL642" s="1296"/>
      <c r="AM642" s="52"/>
      <c r="AN642" s="53" t="s">
        <v>4762</v>
      </c>
      <c r="AO642" s="52"/>
      <c r="AP642" s="52"/>
      <c r="AQ642" s="52"/>
      <c r="AR642" s="380"/>
      <c r="AS642" s="52"/>
      <c r="AT642" s="53" t="b">
        <f>ISNUMBER(MATCH(IF(LEN('USER INPUT SHEET'!rng_province)&gt;0,'USER INPUT SHEET'!rng_province,"Canada"),$AU642:$BD642,0))</f>
        <v>0</v>
      </c>
      <c r="AU642" s="52"/>
      <c r="AV642" s="52"/>
      <c r="AW642" s="52"/>
      <c r="AX642" s="52"/>
      <c r="AY642" s="52"/>
      <c r="AZ642" s="52"/>
      <c r="BA642" s="52"/>
    </row>
    <row r="643" spans="1:53" ht="15.75" customHeight="1" x14ac:dyDescent="0.3">
      <c r="A643" s="1166" t="str">
        <f t="shared" si="94"/>
        <v>Barrier, sheet /  / Polyethylene sheet / 10 mil</v>
      </c>
      <c r="B643" s="1296" t="s">
        <v>4729</v>
      </c>
      <c r="C643" s="1296"/>
      <c r="D643" s="1296" t="s">
        <v>4730</v>
      </c>
      <c r="E643" s="1296" t="s">
        <v>4731</v>
      </c>
      <c r="F643" s="1296"/>
      <c r="G643" s="1296"/>
      <c r="H643" s="1296"/>
      <c r="I643" s="1296" t="s">
        <v>3515</v>
      </c>
      <c r="J643" s="1297">
        <v>45311</v>
      </c>
      <c r="K643" s="1298" t="s">
        <v>4608</v>
      </c>
      <c r="L643" s="1296" t="s">
        <v>5</v>
      </c>
      <c r="M643" s="1299" t="s">
        <v>4732</v>
      </c>
      <c r="N643" s="1296" t="s">
        <v>5</v>
      </c>
      <c r="O643" s="1296" t="s">
        <v>4733</v>
      </c>
      <c r="P643" s="1296"/>
      <c r="Q643" s="1296" t="s">
        <v>4734</v>
      </c>
      <c r="R643" s="1298" t="s">
        <v>4735</v>
      </c>
      <c r="S643" s="1296" t="s">
        <v>141</v>
      </c>
      <c r="T643" s="1296"/>
      <c r="U643" s="1296"/>
      <c r="V643" s="1296"/>
      <c r="W643" s="1296"/>
      <c r="X643" s="1296"/>
      <c r="Y643" s="1296"/>
      <c r="Z643" s="1296"/>
      <c r="AA643" s="78">
        <f t="shared" si="95"/>
        <v>0</v>
      </c>
      <c r="AB643" s="1296"/>
      <c r="AC643" s="1296"/>
      <c r="AD643" s="1296"/>
      <c r="AE643" s="1296"/>
      <c r="AF643" s="1296"/>
      <c r="AG643" s="1301"/>
      <c r="AH643" s="1296"/>
      <c r="AI643" s="1296"/>
      <c r="AJ643" s="1296"/>
      <c r="AK643" s="1296"/>
      <c r="AL643" s="1296"/>
      <c r="AM643" s="52"/>
      <c r="AN643" s="53" t="s">
        <v>4763</v>
      </c>
      <c r="AO643" s="52"/>
      <c r="AP643" s="52"/>
      <c r="AQ643" s="52"/>
      <c r="AR643" s="380"/>
      <c r="AS643" s="52"/>
      <c r="AT643" s="53" t="b">
        <f>ISNUMBER(MATCH(IF(LEN('USER INPUT SHEET'!rng_province)&gt;0,'USER INPUT SHEET'!rng_province,"Canada"),$AU643:$BD643,0))</f>
        <v>0</v>
      </c>
      <c r="AU643" s="52"/>
      <c r="AV643" s="52"/>
      <c r="AW643" s="52"/>
      <c r="AX643" s="52"/>
      <c r="AY643" s="52"/>
      <c r="AZ643" s="52"/>
      <c r="BA643" s="52"/>
    </row>
    <row r="644" spans="1:53" ht="15.75" customHeight="1" x14ac:dyDescent="0.3">
      <c r="A644" s="1166" t="str">
        <f t="shared" si="94"/>
        <v>Barrier, sheet /  / Polyethylene sheet / 6 mil</v>
      </c>
      <c r="B644" s="1296" t="s">
        <v>4729</v>
      </c>
      <c r="C644" s="1296"/>
      <c r="D644" s="1296" t="s">
        <v>4730</v>
      </c>
      <c r="E644" s="1296" t="s">
        <v>4736</v>
      </c>
      <c r="F644" s="1296"/>
      <c r="G644" s="1296"/>
      <c r="H644" s="1296"/>
      <c r="I644" s="1296" t="s">
        <v>3515</v>
      </c>
      <c r="J644" s="1297">
        <v>45311</v>
      </c>
      <c r="K644" s="1298" t="s">
        <v>4598</v>
      </c>
      <c r="L644" s="1296" t="s">
        <v>5</v>
      </c>
      <c r="M644" s="1299" t="s">
        <v>4737</v>
      </c>
      <c r="N644" s="1296" t="s">
        <v>5</v>
      </c>
      <c r="O644" s="1296" t="s">
        <v>4733</v>
      </c>
      <c r="P644" s="1296"/>
      <c r="Q644" s="1296" t="s">
        <v>4734</v>
      </c>
      <c r="R644" s="1298" t="s">
        <v>4738</v>
      </c>
      <c r="S644" s="1296" t="s">
        <v>141</v>
      </c>
      <c r="T644" s="1296"/>
      <c r="U644" s="1296"/>
      <c r="V644" s="1296"/>
      <c r="W644" s="1296"/>
      <c r="X644" s="1296"/>
      <c r="Y644" s="1296"/>
      <c r="Z644" s="1296"/>
      <c r="AA644" s="78">
        <f t="shared" si="95"/>
        <v>0</v>
      </c>
      <c r="AB644" s="1296"/>
      <c r="AC644" s="1296"/>
      <c r="AD644" s="1296"/>
      <c r="AE644" s="1296"/>
      <c r="AF644" s="1296"/>
      <c r="AG644" s="1301"/>
      <c r="AH644" s="1296"/>
      <c r="AI644" s="1296"/>
      <c r="AJ644" s="1296"/>
      <c r="AK644" s="1296"/>
      <c r="AL644" s="1296"/>
      <c r="AM644" s="52"/>
      <c r="AN644" s="53" t="s">
        <v>3984</v>
      </c>
      <c r="AO644" s="52"/>
      <c r="AP644" s="52"/>
      <c r="AQ644" s="52"/>
      <c r="AR644" s="380"/>
      <c r="AS644" s="52"/>
      <c r="AT644" s="53" t="b">
        <f>ISNUMBER(MATCH(IF(LEN('USER INPUT SHEET'!rng_province)&gt;0,'USER INPUT SHEET'!rng_province,"Canada"),$AU644:$BD644,0))</f>
        <v>0</v>
      </c>
      <c r="AU644" s="52"/>
      <c r="AV644" s="52"/>
      <c r="AW644" s="52"/>
      <c r="AX644" s="52"/>
      <c r="AY644" s="52"/>
      <c r="AZ644" s="52"/>
      <c r="BA644" s="52"/>
    </row>
    <row r="645" spans="1:53" ht="15.75" customHeight="1" x14ac:dyDescent="0.3">
      <c r="A645" s="1166" t="str">
        <f t="shared" si="94"/>
        <v>Mineral wool batt / Owens Corning / Thermafiber SAFB (4pcf), Versaboard 40 / R 3.7-inch</v>
      </c>
      <c r="B645" s="1296" t="s">
        <v>500</v>
      </c>
      <c r="C645" s="1296" t="s">
        <v>159</v>
      </c>
      <c r="D645" s="1296" t="s">
        <v>4808</v>
      </c>
      <c r="E645" s="1296" t="s">
        <v>4809</v>
      </c>
      <c r="F645" s="1296"/>
      <c r="G645" s="1296"/>
      <c r="H645" s="1296"/>
      <c r="I645" s="1296" t="s">
        <v>3500</v>
      </c>
      <c r="J645" s="1297">
        <v>45740</v>
      </c>
      <c r="K645" s="1298" t="s">
        <v>4810</v>
      </c>
      <c r="L645" s="1296" t="s">
        <v>3516</v>
      </c>
      <c r="M645" s="1299" t="s">
        <v>4810</v>
      </c>
      <c r="N645" s="1296" t="s">
        <v>3516</v>
      </c>
      <c r="O645" s="1296" t="s">
        <v>4811</v>
      </c>
      <c r="P645" s="1296" t="s">
        <v>3502</v>
      </c>
      <c r="Q645" s="401">
        <v>46296</v>
      </c>
      <c r="R645" s="1298">
        <v>40</v>
      </c>
      <c r="S645" s="1296" t="s">
        <v>121</v>
      </c>
      <c r="T645" s="1296" t="s">
        <v>4812</v>
      </c>
      <c r="U645" s="1296" t="s">
        <v>4813</v>
      </c>
      <c r="V645" s="1296" t="s">
        <v>4814</v>
      </c>
      <c r="W645" s="1296" t="s">
        <v>4815</v>
      </c>
      <c r="X645" s="1296"/>
      <c r="Y645" s="1296"/>
      <c r="Z645" s="1296"/>
      <c r="AA645" s="78">
        <f t="shared" si="95"/>
        <v>0</v>
      </c>
      <c r="AB645" s="1296"/>
      <c r="AC645" s="1296"/>
      <c r="AD645" s="1296"/>
      <c r="AE645" s="1296"/>
      <c r="AF645" s="1296"/>
      <c r="AG645" s="1301"/>
      <c r="AH645" s="1296"/>
      <c r="AI645" s="1296"/>
      <c r="AJ645" s="1296"/>
      <c r="AK645" s="1296"/>
      <c r="AL645" s="1296"/>
      <c r="AM645" s="52"/>
      <c r="AN645" s="53" t="s">
        <v>4882</v>
      </c>
      <c r="AO645" s="52"/>
      <c r="AP645" s="52"/>
      <c r="AQ645" s="52"/>
      <c r="AR645" s="380"/>
      <c r="AS645" s="52"/>
      <c r="AT645" s="53" t="b">
        <f>ISNUMBER(MATCH(IF(LEN('USER INPUT SHEET'!rng_province)&gt;0,'USER INPUT SHEET'!rng_province,"Canada"),$AU645:$BD645,0))</f>
        <v>0</v>
      </c>
      <c r="AU645" s="52"/>
      <c r="AV645" s="52"/>
      <c r="AW645" s="52"/>
      <c r="AX645" s="52"/>
      <c r="AY645" s="52"/>
      <c r="AZ645" s="52"/>
      <c r="BA645" s="52"/>
    </row>
    <row r="646" spans="1:53" ht="15.75" customHeight="1" x14ac:dyDescent="0.3">
      <c r="A646" s="1166" t="str">
        <f t="shared" si="94"/>
        <v>Mineral wool batt / Owens Corning / UltraBatt - Fire and Sound guard Plus R-15, R-30 / R 4.2-inch</v>
      </c>
      <c r="B646" s="1296" t="s">
        <v>500</v>
      </c>
      <c r="C646" s="1296" t="s">
        <v>159</v>
      </c>
      <c r="D646" s="1296" t="s">
        <v>4816</v>
      </c>
      <c r="E646" s="1296" t="s">
        <v>4817</v>
      </c>
      <c r="F646" s="1296"/>
      <c r="G646" s="1296"/>
      <c r="H646" s="1296"/>
      <c r="I646" s="1296" t="s">
        <v>3500</v>
      </c>
      <c r="J646" s="1297">
        <v>45742</v>
      </c>
      <c r="K646" s="1298" t="s">
        <v>4665</v>
      </c>
      <c r="L646" s="1296" t="s">
        <v>3516</v>
      </c>
      <c r="M646" s="1299" t="s">
        <v>4665</v>
      </c>
      <c r="N646" s="1296" t="s">
        <v>3516</v>
      </c>
      <c r="O646" s="1296" t="s">
        <v>4811</v>
      </c>
      <c r="P646" s="1296" t="s">
        <v>3502</v>
      </c>
      <c r="Q646" s="401">
        <v>46296</v>
      </c>
      <c r="R646" s="1298"/>
      <c r="S646" s="1296"/>
      <c r="T646" s="1296"/>
      <c r="U646" s="1296"/>
      <c r="V646" s="1296" t="s">
        <v>4818</v>
      </c>
      <c r="W646" s="1296" t="s">
        <v>4819</v>
      </c>
      <c r="X646" s="1296"/>
      <c r="Y646" s="1296"/>
      <c r="Z646" s="1296"/>
      <c r="AA646" s="78">
        <f t="shared" si="95"/>
        <v>0</v>
      </c>
      <c r="AB646" s="1296"/>
      <c r="AC646" s="1296"/>
      <c r="AD646" s="1296"/>
      <c r="AE646" s="1296"/>
      <c r="AF646" s="1296"/>
      <c r="AG646" s="1301"/>
      <c r="AH646" s="1296"/>
      <c r="AI646" s="1296"/>
      <c r="AJ646" s="1296"/>
      <c r="AK646" s="1296"/>
      <c r="AL646" s="1296"/>
      <c r="AM646" s="52"/>
      <c r="AN646" s="53" t="s">
        <v>4883</v>
      </c>
      <c r="AO646" s="52"/>
      <c r="AP646" s="52"/>
      <c r="AQ646" s="52"/>
      <c r="AR646" s="380"/>
      <c r="AS646" s="52"/>
      <c r="AT646" s="53" t="b">
        <f>ISNUMBER(MATCH(IF(LEN('USER INPUT SHEET'!rng_province)&gt;0,'USER INPUT SHEET'!rng_province,"Canada"),$AU646:$BD646,0))</f>
        <v>0</v>
      </c>
      <c r="AU646" s="52"/>
      <c r="AV646" s="52"/>
      <c r="AW646" s="52"/>
      <c r="AX646" s="52"/>
      <c r="AY646" s="52"/>
      <c r="AZ646" s="52"/>
      <c r="BA646" s="52"/>
    </row>
    <row r="647" spans="1:53" ht="15.75" customHeight="1" x14ac:dyDescent="0.3">
      <c r="A647" s="1166" t="str">
        <f t="shared" si="94"/>
        <v>Mineral wool batt / Owens Corning / UltraBatt - Fire and Sound guard Plus R-23 / R 4.2-inch</v>
      </c>
      <c r="B647" s="1296" t="s">
        <v>500</v>
      </c>
      <c r="C647" s="1296" t="s">
        <v>159</v>
      </c>
      <c r="D647" s="1296" t="s">
        <v>4820</v>
      </c>
      <c r="E647" s="1296" t="s">
        <v>4817</v>
      </c>
      <c r="F647" s="1296"/>
      <c r="G647" s="1296"/>
      <c r="H647" s="1296"/>
      <c r="I647" s="1296" t="s">
        <v>3500</v>
      </c>
      <c r="J647" s="1297">
        <v>45743</v>
      </c>
      <c r="K647" s="1298" t="s">
        <v>4821</v>
      </c>
      <c r="L647" s="1296" t="s">
        <v>3516</v>
      </c>
      <c r="M647" s="1299" t="s">
        <v>4821</v>
      </c>
      <c r="N647" s="1296" t="s">
        <v>3516</v>
      </c>
      <c r="O647" s="1296" t="s">
        <v>4811</v>
      </c>
      <c r="P647" s="1296" t="s">
        <v>3502</v>
      </c>
      <c r="Q647" s="401">
        <v>46296</v>
      </c>
      <c r="R647" s="1298"/>
      <c r="S647" s="1296"/>
      <c r="T647" s="1296"/>
      <c r="U647" s="1296"/>
      <c r="V647" s="1296" t="s">
        <v>4822</v>
      </c>
      <c r="W647" s="1296" t="s">
        <v>4823</v>
      </c>
      <c r="X647" s="1296"/>
      <c r="Y647" s="1296"/>
      <c r="Z647" s="1296"/>
      <c r="AA647" s="78">
        <f t="shared" si="95"/>
        <v>0</v>
      </c>
      <c r="AB647" s="1296"/>
      <c r="AC647" s="1296"/>
      <c r="AD647" s="1296"/>
      <c r="AE647" s="1296"/>
      <c r="AF647" s="1296"/>
      <c r="AG647" s="1301"/>
      <c r="AH647" s="1296"/>
      <c r="AI647" s="1296"/>
      <c r="AJ647" s="1296"/>
      <c r="AK647" s="1296"/>
      <c r="AL647" s="1296"/>
      <c r="AM647" s="52"/>
      <c r="AN647" s="53" t="s">
        <v>4884</v>
      </c>
      <c r="AO647" s="52"/>
      <c r="AP647" s="52"/>
      <c r="AQ647" s="52"/>
      <c r="AR647" s="380"/>
      <c r="AS647" s="52"/>
      <c r="AT647" s="53" t="b">
        <f>ISNUMBER(MATCH(IF(LEN('USER INPUT SHEET'!rng_province)&gt;0,'USER INPUT SHEET'!rng_province,"Canada"),$AU647:$BD647,0))</f>
        <v>0</v>
      </c>
      <c r="AU647" s="52"/>
      <c r="AV647" s="52"/>
      <c r="AW647" s="52"/>
      <c r="AX647" s="52"/>
      <c r="AY647" s="52"/>
      <c r="AZ647" s="52"/>
      <c r="BA647" s="52"/>
    </row>
    <row r="648" spans="1:53" ht="15.75" customHeight="1" x14ac:dyDescent="0.3">
      <c r="A648" s="1166" t="str">
        <f t="shared" si="94"/>
        <v>Mineral wool batt / Owens Corning / UltraBatt - Fire and Sound guard Plus R-24 / R 4.0-inch</v>
      </c>
      <c r="B648" s="1296" t="s">
        <v>500</v>
      </c>
      <c r="C648" s="1296" t="s">
        <v>159</v>
      </c>
      <c r="D648" s="1296" t="s">
        <v>4824</v>
      </c>
      <c r="E648" s="1296" t="s">
        <v>4825</v>
      </c>
      <c r="F648" s="1296"/>
      <c r="G648" s="1296"/>
      <c r="H648" s="1296"/>
      <c r="I648" s="1296" t="s">
        <v>3500</v>
      </c>
      <c r="J648" s="1297">
        <v>45744</v>
      </c>
      <c r="K648" s="1298" t="s">
        <v>4826</v>
      </c>
      <c r="L648" s="1296" t="s">
        <v>3516</v>
      </c>
      <c r="M648" s="1299" t="s">
        <v>4826</v>
      </c>
      <c r="N648" s="1296" t="s">
        <v>3516</v>
      </c>
      <c r="O648" s="1296" t="s">
        <v>4811</v>
      </c>
      <c r="P648" s="1296" t="s">
        <v>3502</v>
      </c>
      <c r="Q648" s="401">
        <v>46296</v>
      </c>
      <c r="R648" s="1298"/>
      <c r="S648" s="1296"/>
      <c r="T648" s="1296"/>
      <c r="U648" s="1296"/>
      <c r="V648" s="1296" t="s">
        <v>4827</v>
      </c>
      <c r="W648" s="1296" t="s">
        <v>4828</v>
      </c>
      <c r="X648" s="1296"/>
      <c r="Y648" s="1296"/>
      <c r="Z648" s="1296"/>
      <c r="AA648" s="78">
        <f t="shared" si="95"/>
        <v>0</v>
      </c>
      <c r="AB648" s="1296"/>
      <c r="AC648" s="1296"/>
      <c r="AD648" s="1296"/>
      <c r="AE648" s="1296"/>
      <c r="AF648" s="1296"/>
      <c r="AG648" s="1301"/>
      <c r="AH648" s="1296"/>
      <c r="AI648" s="1296"/>
      <c r="AJ648" s="1296"/>
      <c r="AK648" s="1296"/>
      <c r="AL648" s="1296"/>
      <c r="AM648" s="52"/>
      <c r="AN648" s="53" t="s">
        <v>4885</v>
      </c>
      <c r="AO648" s="52"/>
      <c r="AP648" s="52"/>
      <c r="AQ648" s="52"/>
      <c r="AR648" s="380"/>
      <c r="AS648" s="52"/>
      <c r="AT648" s="53" t="b">
        <f>ISNUMBER(MATCH(IF(LEN('USER INPUT SHEET'!rng_province)&gt;0,'USER INPUT SHEET'!rng_province,"Canada"),$AU648:$BD648,0))</f>
        <v>0</v>
      </c>
      <c r="AU648" s="52"/>
      <c r="AV648" s="52"/>
      <c r="AW648" s="52"/>
      <c r="AX648" s="52"/>
      <c r="AY648" s="52"/>
      <c r="AZ648" s="52"/>
      <c r="BA648" s="52"/>
    </row>
    <row r="649" spans="1:53" ht="15.75" customHeight="1" x14ac:dyDescent="0.3">
      <c r="A649" s="1166" t="str">
        <f t="shared" si="94"/>
        <v>Mineral wool board / Owens Corning / Thermafiber RainBarrier ci 80 / R 4.2-inch</v>
      </c>
      <c r="B649" s="1296" t="s">
        <v>4829</v>
      </c>
      <c r="C649" s="1296" t="s">
        <v>159</v>
      </c>
      <c r="D649" s="1296" t="s">
        <v>4830</v>
      </c>
      <c r="E649" s="1296" t="s">
        <v>4817</v>
      </c>
      <c r="F649" s="1296"/>
      <c r="G649" s="1296"/>
      <c r="H649" s="1296"/>
      <c r="I649" s="1296" t="s">
        <v>3500</v>
      </c>
      <c r="J649" s="1297">
        <v>45745</v>
      </c>
      <c r="K649" s="1298" t="s">
        <v>4831</v>
      </c>
      <c r="L649" s="1296" t="s">
        <v>3516</v>
      </c>
      <c r="M649" s="1299" t="s">
        <v>4831</v>
      </c>
      <c r="N649" s="1296" t="s">
        <v>3516</v>
      </c>
      <c r="O649" s="1296" t="s">
        <v>4811</v>
      </c>
      <c r="P649" s="1296" t="s">
        <v>3502</v>
      </c>
      <c r="Q649" s="401">
        <v>46296</v>
      </c>
      <c r="R649" s="1298"/>
      <c r="S649" s="1296"/>
      <c r="T649" s="1296"/>
      <c r="U649" s="1296"/>
      <c r="V649" s="1296" t="s">
        <v>4832</v>
      </c>
      <c r="W649" s="1296" t="s">
        <v>4833</v>
      </c>
      <c r="X649" s="1296"/>
      <c r="Y649" s="1296"/>
      <c r="Z649" s="1296"/>
      <c r="AA649" s="78">
        <f t="shared" si="95"/>
        <v>0</v>
      </c>
      <c r="AB649" s="1296"/>
      <c r="AC649" s="1296"/>
      <c r="AD649" s="1296"/>
      <c r="AE649" s="1296"/>
      <c r="AF649" s="1296"/>
      <c r="AG649" s="1301"/>
      <c r="AH649" s="1296"/>
      <c r="AI649" s="1296"/>
      <c r="AJ649" s="1296"/>
      <c r="AK649" s="1296"/>
      <c r="AL649" s="1296"/>
      <c r="AM649" s="52"/>
      <c r="AN649" s="53" t="s">
        <v>4886</v>
      </c>
      <c r="AO649" s="52"/>
      <c r="AP649" s="52"/>
      <c r="AQ649" s="52"/>
      <c r="AR649" s="380"/>
      <c r="AS649" s="52"/>
      <c r="AT649" s="53" t="b">
        <f>ISNUMBER(MATCH(IF(LEN('USER INPUT SHEET'!rng_province)&gt;0,'USER INPUT SHEET'!rng_province,"Canada"),$AU649:$BD649,0))</f>
        <v>0</v>
      </c>
      <c r="AU649" s="52"/>
      <c r="AV649" s="52"/>
      <c r="AW649" s="52"/>
      <c r="AX649" s="52"/>
      <c r="AY649" s="52"/>
      <c r="AZ649" s="52"/>
      <c r="BA649" s="52"/>
    </row>
    <row r="650" spans="1:53" ht="15.75" customHeight="1" x14ac:dyDescent="0.3">
      <c r="A650" s="1166" t="str">
        <f t="shared" si="94"/>
        <v>Mineral wool board / Owens Corning / Thermafiber RainBarrier ci HC 140 / R 4.2-inch</v>
      </c>
      <c r="B650" s="1296" t="s">
        <v>4829</v>
      </c>
      <c r="C650" s="1296" t="s">
        <v>159</v>
      </c>
      <c r="D650" s="1296" t="s">
        <v>4834</v>
      </c>
      <c r="E650" s="1296" t="s">
        <v>4817</v>
      </c>
      <c r="F650" s="1296"/>
      <c r="G650" s="1296"/>
      <c r="H650" s="1296"/>
      <c r="I650" s="1296" t="s">
        <v>3500</v>
      </c>
      <c r="J650" s="1297">
        <v>45746</v>
      </c>
      <c r="K650" s="1298" t="s">
        <v>4835</v>
      </c>
      <c r="L650" s="1296" t="s">
        <v>3516</v>
      </c>
      <c r="M650" s="1299" t="s">
        <v>4835</v>
      </c>
      <c r="N650" s="1296" t="s">
        <v>3516</v>
      </c>
      <c r="O650" s="1296" t="s">
        <v>4811</v>
      </c>
      <c r="P650" s="1296" t="s">
        <v>3502</v>
      </c>
      <c r="Q650" s="401">
        <v>46296</v>
      </c>
      <c r="R650" s="1298"/>
      <c r="S650" s="1296"/>
      <c r="T650" s="1296"/>
      <c r="U650" s="1296"/>
      <c r="V650" s="1296" t="s">
        <v>4832</v>
      </c>
      <c r="W650" s="1296" t="s">
        <v>4833</v>
      </c>
      <c r="X650" s="1296"/>
      <c r="Y650" s="1296"/>
      <c r="Z650" s="1296"/>
      <c r="AA650" s="78">
        <f t="shared" si="95"/>
        <v>0</v>
      </c>
      <c r="AB650" s="1296"/>
      <c r="AC650" s="1296"/>
      <c r="AD650" s="1296"/>
      <c r="AE650" s="1296"/>
      <c r="AF650" s="1296"/>
      <c r="AG650" s="1301"/>
      <c r="AH650" s="1296"/>
      <c r="AI650" s="1296"/>
      <c r="AJ650" s="1296"/>
      <c r="AK650" s="1296"/>
      <c r="AL650" s="1296"/>
      <c r="AM650" s="52"/>
      <c r="AN650" s="53" t="s">
        <v>4887</v>
      </c>
      <c r="AO650" s="52"/>
      <c r="AP650" s="52"/>
      <c r="AQ650" s="52"/>
      <c r="AR650" s="380"/>
      <c r="AS650" s="52"/>
      <c r="AT650" s="53" t="b">
        <f>ISNUMBER(MATCH(IF(LEN('USER INPUT SHEET'!rng_province)&gt;0,'USER INPUT SHEET'!rng_province,"Canada"),$AU650:$BD650,0))</f>
        <v>0</v>
      </c>
      <c r="AU650" s="52"/>
      <c r="AV650" s="52"/>
      <c r="AW650" s="52"/>
      <c r="AX650" s="52"/>
      <c r="AY650" s="52"/>
      <c r="AZ650" s="52"/>
      <c r="BA650" s="52"/>
    </row>
    <row r="651" spans="1:53" ht="15.75" customHeight="1" x14ac:dyDescent="0.3">
      <c r="A651" s="1166" t="str">
        <f t="shared" si="94"/>
        <v>Mineral wool board / Owens Corning / Thermafiber RainBarrier ci HC 110 / R 4.3-inch</v>
      </c>
      <c r="B651" s="1296" t="s">
        <v>4829</v>
      </c>
      <c r="C651" s="1296" t="s">
        <v>159</v>
      </c>
      <c r="D651" s="1296" t="s">
        <v>4836</v>
      </c>
      <c r="E651" s="1296" t="s">
        <v>4837</v>
      </c>
      <c r="F651" s="1296"/>
      <c r="G651" s="1296"/>
      <c r="H651" s="1296"/>
      <c r="I651" s="1296" t="s">
        <v>3500</v>
      </c>
      <c r="J651" s="1297">
        <v>45747</v>
      </c>
      <c r="K651" s="1298" t="s">
        <v>4838</v>
      </c>
      <c r="L651" s="1296" t="s">
        <v>3516</v>
      </c>
      <c r="M651" s="1299" t="s">
        <v>4838</v>
      </c>
      <c r="N651" s="1296" t="s">
        <v>3516</v>
      </c>
      <c r="O651" s="1296" t="s">
        <v>4811</v>
      </c>
      <c r="P651" s="1296" t="s">
        <v>3502</v>
      </c>
      <c r="Q651" s="401">
        <v>46296</v>
      </c>
      <c r="R651" s="1298"/>
      <c r="S651" s="1296"/>
      <c r="T651" s="1296"/>
      <c r="U651" s="1296"/>
      <c r="V651" s="1296" t="s">
        <v>4839</v>
      </c>
      <c r="W651" s="1296" t="s">
        <v>4840</v>
      </c>
      <c r="X651" s="1296"/>
      <c r="Y651" s="1296"/>
      <c r="Z651" s="1296"/>
      <c r="AA651" s="78">
        <f t="shared" si="95"/>
        <v>0</v>
      </c>
      <c r="AB651" s="1296"/>
      <c r="AC651" s="1296"/>
      <c r="AD651" s="1296"/>
      <c r="AE651" s="1296"/>
      <c r="AF651" s="1296"/>
      <c r="AG651" s="1301"/>
      <c r="AH651" s="1296"/>
      <c r="AI651" s="1296"/>
      <c r="AJ651" s="1296"/>
      <c r="AK651" s="1296"/>
      <c r="AL651" s="1296"/>
      <c r="AM651" s="52"/>
      <c r="AN651" s="53" t="s">
        <v>4888</v>
      </c>
      <c r="AO651" s="52"/>
      <c r="AP651" s="52"/>
      <c r="AQ651" s="52"/>
      <c r="AR651" s="380"/>
      <c r="AS651" s="52"/>
      <c r="AT651" s="53" t="b">
        <f>ISNUMBER(MATCH(IF(LEN('USER INPUT SHEET'!rng_province)&gt;0,'USER INPUT SHEET'!rng_province,"Canada"),$AU651:$BD651,0))</f>
        <v>0</v>
      </c>
      <c r="AU651" s="52"/>
      <c r="AV651" s="52"/>
      <c r="AW651" s="52"/>
      <c r="AX651" s="52"/>
      <c r="AY651" s="52"/>
      <c r="AZ651" s="52"/>
      <c r="BA651" s="52"/>
    </row>
    <row r="652" spans="1:53" ht="15.75" customHeight="1" x14ac:dyDescent="0.3">
      <c r="A652" s="1166" t="str">
        <f t="shared" si="94"/>
        <v>Mineral wool batt / Rockwool / ComfortBatt R-23 / R 4.2-inch</v>
      </c>
      <c r="B652" s="1296" t="s">
        <v>500</v>
      </c>
      <c r="C652" s="1296" t="s">
        <v>504</v>
      </c>
      <c r="D652" s="1296" t="s">
        <v>4841</v>
      </c>
      <c r="E652" s="1296" t="s">
        <v>4817</v>
      </c>
      <c r="F652" s="1296"/>
      <c r="G652" s="1296"/>
      <c r="H652" s="1296"/>
      <c r="I652" s="1296" t="s">
        <v>3515</v>
      </c>
      <c r="J652" s="1297">
        <v>45740</v>
      </c>
      <c r="K652" s="1298" t="s">
        <v>4842</v>
      </c>
      <c r="L652" s="1296" t="s">
        <v>3516</v>
      </c>
      <c r="M652" s="1299" t="s">
        <v>4842</v>
      </c>
      <c r="N652" s="1296" t="s">
        <v>3516</v>
      </c>
      <c r="O652" s="1296" t="s">
        <v>4843</v>
      </c>
      <c r="P652" s="1296" t="s">
        <v>3502</v>
      </c>
      <c r="Q652" s="401">
        <v>47538</v>
      </c>
      <c r="R652" s="1298"/>
      <c r="S652" s="1296"/>
      <c r="T652" s="1296"/>
      <c r="U652" s="1296"/>
      <c r="V652" s="1296" t="s">
        <v>4835</v>
      </c>
      <c r="W652" s="1296" t="s">
        <v>4823</v>
      </c>
      <c r="X652" s="1296"/>
      <c r="Y652" s="1296"/>
      <c r="Z652" s="1296"/>
      <c r="AA652" s="78">
        <f t="shared" si="95"/>
        <v>0</v>
      </c>
      <c r="AB652" s="1296"/>
      <c r="AC652" s="1296"/>
      <c r="AD652" s="1296"/>
      <c r="AE652" s="1296"/>
      <c r="AF652" s="1296"/>
      <c r="AG652" s="1301"/>
      <c r="AH652" s="1296"/>
      <c r="AI652" s="1296"/>
      <c r="AJ652" s="1296"/>
      <c r="AK652" s="1296"/>
      <c r="AL652" s="1296"/>
      <c r="AM652" s="52"/>
      <c r="AN652" s="53" t="s">
        <v>3985</v>
      </c>
      <c r="AO652" s="52"/>
      <c r="AP652" s="52"/>
      <c r="AQ652" s="52"/>
      <c r="AR652" s="380"/>
      <c r="AS652" s="52"/>
      <c r="AT652" s="53" t="b">
        <f>ISNUMBER(MATCH(IF(LEN('USER INPUT SHEET'!rng_province)&gt;0,'USER INPUT SHEET'!rng_province,"Canada"),$AU652:$BD652,0))</f>
        <v>0</v>
      </c>
      <c r="AU652" s="52"/>
      <c r="AV652" s="52"/>
      <c r="AW652" s="52"/>
      <c r="AX652" s="52"/>
      <c r="AY652" s="52"/>
      <c r="AZ652" s="52"/>
      <c r="BA652" s="52"/>
    </row>
    <row r="653" spans="1:53" ht="15.75" customHeight="1" x14ac:dyDescent="0.3">
      <c r="A653" s="1166" t="str">
        <f t="shared" si="94"/>
        <v>Mineral wool batt / Rockwool / ComfortBatt R-24 (Steel Studs) / R 4.0-inch</v>
      </c>
      <c r="B653" s="1296" t="s">
        <v>500</v>
      </c>
      <c r="C653" s="1296" t="s">
        <v>504</v>
      </c>
      <c r="D653" s="1296" t="s">
        <v>4844</v>
      </c>
      <c r="E653" s="1296" t="s">
        <v>4825</v>
      </c>
      <c r="F653" s="1296"/>
      <c r="G653" s="1296"/>
      <c r="H653" s="1296"/>
      <c r="I653" s="1296" t="s">
        <v>3515</v>
      </c>
      <c r="J653" s="1297">
        <v>45740</v>
      </c>
      <c r="K653" s="1298" t="s">
        <v>4845</v>
      </c>
      <c r="L653" s="1296" t="s">
        <v>3516</v>
      </c>
      <c r="M653" s="1299" t="s">
        <v>4845</v>
      </c>
      <c r="N653" s="1296" t="s">
        <v>3516</v>
      </c>
      <c r="O653" s="1296" t="s">
        <v>4843</v>
      </c>
      <c r="P653" s="1296" t="s">
        <v>3502</v>
      </c>
      <c r="Q653" s="401">
        <v>47538</v>
      </c>
      <c r="R653" s="1298"/>
      <c r="S653" s="1296"/>
      <c r="T653" s="1296"/>
      <c r="U653" s="1296"/>
      <c r="V653" s="1296" t="s">
        <v>4846</v>
      </c>
      <c r="W653" s="1296" t="s">
        <v>4828</v>
      </c>
      <c r="X653" s="1296"/>
      <c r="Y653" s="1296"/>
      <c r="Z653" s="1296"/>
      <c r="AA653" s="78">
        <f t="shared" si="95"/>
        <v>0</v>
      </c>
      <c r="AB653" s="1296"/>
      <c r="AC653" s="1296"/>
      <c r="AD653" s="1296"/>
      <c r="AE653" s="1296"/>
      <c r="AF653" s="1296"/>
      <c r="AG653" s="1301"/>
      <c r="AH653" s="1296"/>
      <c r="AI653" s="1296"/>
      <c r="AJ653" s="1296"/>
      <c r="AK653" s="1296"/>
      <c r="AL653" s="1296"/>
      <c r="AM653" s="52"/>
      <c r="AN653" s="53" t="s">
        <v>4889</v>
      </c>
      <c r="AO653" s="52"/>
      <c r="AP653" s="52"/>
      <c r="AQ653" s="52"/>
      <c r="AR653" s="380"/>
      <c r="AS653" s="52"/>
      <c r="AT653" s="53" t="b">
        <f>ISNUMBER(MATCH(IF(LEN('USER INPUT SHEET'!rng_province)&gt;0,'USER INPUT SHEET'!rng_province,"Canada"),$AU653:$BD653,0))</f>
        <v>0</v>
      </c>
      <c r="AU653" s="52"/>
      <c r="AV653" s="52"/>
      <c r="AW653" s="52"/>
      <c r="AX653" s="52"/>
      <c r="AY653" s="52"/>
      <c r="AZ653" s="52"/>
      <c r="BA653" s="52"/>
    </row>
    <row r="654" spans="1:53" ht="15.75" customHeight="1" x14ac:dyDescent="0.3">
      <c r="A654" s="1166" t="str">
        <f t="shared" si="94"/>
        <v>Mineral wool batt / Rockwool / ComfortBatt R-24 (Wood Studs) / R 4.4-inch</v>
      </c>
      <c r="B654" s="1296" t="s">
        <v>500</v>
      </c>
      <c r="C654" s="1296" t="s">
        <v>504</v>
      </c>
      <c r="D654" s="1296" t="s">
        <v>4847</v>
      </c>
      <c r="E654" s="1296" t="s">
        <v>4848</v>
      </c>
      <c r="F654" s="1296"/>
      <c r="G654" s="1296"/>
      <c r="H654" s="1296"/>
      <c r="I654" s="1296" t="s">
        <v>3515</v>
      </c>
      <c r="J654" s="1297">
        <v>45740</v>
      </c>
      <c r="K654" s="1298" t="s">
        <v>4849</v>
      </c>
      <c r="L654" s="1296" t="s">
        <v>3516</v>
      </c>
      <c r="M654" s="1299" t="s">
        <v>4849</v>
      </c>
      <c r="N654" s="1296" t="s">
        <v>3516</v>
      </c>
      <c r="O654" s="1296" t="s">
        <v>4843</v>
      </c>
      <c r="P654" s="1296" t="s">
        <v>3502</v>
      </c>
      <c r="Q654" s="401">
        <v>47538</v>
      </c>
      <c r="R654" s="1298"/>
      <c r="S654" s="1296"/>
      <c r="T654" s="1296"/>
      <c r="U654" s="1296"/>
      <c r="V654" s="1296" t="s">
        <v>4850</v>
      </c>
      <c r="W654" s="1296" t="s">
        <v>4851</v>
      </c>
      <c r="X654" s="1296"/>
      <c r="Y654" s="1296"/>
      <c r="Z654" s="1296"/>
      <c r="AA654" s="78">
        <f t="shared" si="95"/>
        <v>0</v>
      </c>
      <c r="AB654" s="1296"/>
      <c r="AC654" s="1296"/>
      <c r="AD654" s="1296"/>
      <c r="AE654" s="1296"/>
      <c r="AF654" s="1296"/>
      <c r="AG654" s="1301"/>
      <c r="AH654" s="1296"/>
      <c r="AI654" s="1296"/>
      <c r="AJ654" s="1296"/>
      <c r="AK654" s="1296"/>
      <c r="AL654" s="1296"/>
      <c r="AM654" s="52"/>
      <c r="AN654" s="53" t="s">
        <v>4890</v>
      </c>
      <c r="AO654" s="52"/>
      <c r="AP654" s="52"/>
      <c r="AQ654" s="52"/>
      <c r="AR654" s="380"/>
      <c r="AS654" s="52"/>
      <c r="AT654" s="53" t="b">
        <f>ISNUMBER(MATCH(IF(LEN('USER INPUT SHEET'!rng_province)&gt;0,'USER INPUT SHEET'!rng_province,"Canada"),$AU654:$BD654,0))</f>
        <v>0</v>
      </c>
      <c r="AU654" s="52"/>
      <c r="AV654" s="52"/>
      <c r="AW654" s="52"/>
      <c r="AX654" s="52"/>
      <c r="AY654" s="52"/>
      <c r="AZ654" s="52"/>
      <c r="BA654" s="52"/>
    </row>
    <row r="655" spans="1:53" ht="15.75" customHeight="1" x14ac:dyDescent="0.3">
      <c r="A655" s="1166" t="str">
        <f t="shared" si="94"/>
        <v>Mineral wool board / Rockwool / Cavityrock / R 4.3-inch</v>
      </c>
      <c r="B655" s="1296" t="s">
        <v>4829</v>
      </c>
      <c r="C655" s="1296" t="s">
        <v>504</v>
      </c>
      <c r="D655" s="1296" t="s">
        <v>4852</v>
      </c>
      <c r="E655" s="1296" t="s">
        <v>4837</v>
      </c>
      <c r="F655" s="1296"/>
      <c r="G655" s="1296"/>
      <c r="H655" s="1296"/>
      <c r="I655" s="1296" t="s">
        <v>3515</v>
      </c>
      <c r="J655" s="1297">
        <v>45740</v>
      </c>
      <c r="K655" s="1298" t="s">
        <v>4853</v>
      </c>
      <c r="L655" s="1296" t="s">
        <v>3516</v>
      </c>
      <c r="M655" s="1299" t="s">
        <v>4853</v>
      </c>
      <c r="N655" s="1296" t="s">
        <v>3516</v>
      </c>
      <c r="O655" s="1296" t="s">
        <v>4843</v>
      </c>
      <c r="P655" s="1296" t="s">
        <v>3502</v>
      </c>
      <c r="Q655" s="401">
        <v>47538</v>
      </c>
      <c r="R655" s="1298"/>
      <c r="S655" s="1296"/>
      <c r="T655" s="1296"/>
      <c r="U655" s="1296"/>
      <c r="V655" s="1296" t="s">
        <v>4854</v>
      </c>
      <c r="W655" s="1296" t="s">
        <v>4840</v>
      </c>
      <c r="X655" s="1296"/>
      <c r="Y655" s="1296"/>
      <c r="Z655" s="1296"/>
      <c r="AA655" s="78">
        <f t="shared" si="95"/>
        <v>0</v>
      </c>
      <c r="AB655" s="1296"/>
      <c r="AC655" s="1296"/>
      <c r="AD655" s="1296"/>
      <c r="AE655" s="1296"/>
      <c r="AF655" s="1296"/>
      <c r="AG655" s="1301"/>
      <c r="AH655" s="1296"/>
      <c r="AI655" s="1296"/>
      <c r="AJ655" s="1296"/>
      <c r="AK655" s="1296"/>
      <c r="AL655" s="1296"/>
      <c r="AM655" s="52"/>
      <c r="AN655" s="53" t="s">
        <v>4891</v>
      </c>
      <c r="AO655" s="52"/>
      <c r="AP655" s="52"/>
      <c r="AQ655" s="52"/>
      <c r="AR655" s="380"/>
      <c r="AS655" s="52"/>
      <c r="AT655" s="53" t="b">
        <f>ISNUMBER(MATCH(IF(LEN('USER INPUT SHEET'!rng_province)&gt;0,'USER INPUT SHEET'!rng_province,"Canada"),$AU655:$BD655,0))</f>
        <v>0</v>
      </c>
      <c r="AU655" s="52"/>
      <c r="AV655" s="52"/>
      <c r="AW655" s="52"/>
      <c r="AX655" s="52"/>
      <c r="AY655" s="52"/>
      <c r="AZ655" s="52"/>
      <c r="BA655" s="52"/>
    </row>
    <row r="656" spans="1:53" ht="15.75" customHeight="1" x14ac:dyDescent="0.3">
      <c r="A656" s="1166" t="str">
        <f t="shared" si="94"/>
        <v>Mineral wool board / Rockwool / Comfortboard 110 / R 4.0-inch</v>
      </c>
      <c r="B656" s="1296" t="s">
        <v>4829</v>
      </c>
      <c r="C656" s="1296" t="s">
        <v>504</v>
      </c>
      <c r="D656" s="1296" t="s">
        <v>4855</v>
      </c>
      <c r="E656" s="1296" t="s">
        <v>4825</v>
      </c>
      <c r="F656" s="1296"/>
      <c r="G656" s="1296"/>
      <c r="H656" s="1296"/>
      <c r="I656" s="1296" t="s">
        <v>3515</v>
      </c>
      <c r="J656" s="1297">
        <v>45740</v>
      </c>
      <c r="K656" s="1298" t="s">
        <v>4856</v>
      </c>
      <c r="L656" s="1296" t="s">
        <v>3516</v>
      </c>
      <c r="M656" s="1299" t="s">
        <v>4856</v>
      </c>
      <c r="N656" s="1296" t="s">
        <v>3516</v>
      </c>
      <c r="O656" s="1296" t="s">
        <v>4843</v>
      </c>
      <c r="P656" s="1296" t="s">
        <v>3502</v>
      </c>
      <c r="Q656" s="401">
        <v>47538</v>
      </c>
      <c r="R656" s="1298"/>
      <c r="S656" s="1296"/>
      <c r="T656" s="1296"/>
      <c r="U656" s="1296"/>
      <c r="V656" s="1296" t="s">
        <v>4846</v>
      </c>
      <c r="W656" s="1296" t="s">
        <v>4828</v>
      </c>
      <c r="X656" s="1296"/>
      <c r="Y656" s="1296"/>
      <c r="Z656" s="1296"/>
      <c r="AA656" s="78">
        <f t="shared" si="95"/>
        <v>0</v>
      </c>
      <c r="AB656" s="1296"/>
      <c r="AC656" s="1296"/>
      <c r="AD656" s="1296"/>
      <c r="AE656" s="1296"/>
      <c r="AF656" s="1296"/>
      <c r="AG656" s="1301"/>
      <c r="AH656" s="1296"/>
      <c r="AI656" s="1296"/>
      <c r="AJ656" s="1296"/>
      <c r="AK656" s="1296"/>
      <c r="AL656" s="1296"/>
      <c r="AM656" s="52"/>
      <c r="AN656" s="53" t="s">
        <v>3997</v>
      </c>
      <c r="AO656" s="52"/>
      <c r="AP656" s="52"/>
      <c r="AQ656" s="52"/>
      <c r="AR656" s="380"/>
      <c r="AS656" s="52"/>
      <c r="AT656" s="53" t="b">
        <f>ISNUMBER(MATCH(IF(LEN('USER INPUT SHEET'!rng_province)&gt;0,'USER INPUT SHEET'!rng_province,"Canada"),$AU656:$BD656,0))</f>
        <v>0</v>
      </c>
      <c r="AU656" s="52"/>
      <c r="AV656" s="52"/>
      <c r="AW656" s="52"/>
      <c r="AX656" s="52"/>
      <c r="AY656" s="52"/>
      <c r="AZ656" s="52"/>
      <c r="BA656" s="52"/>
    </row>
    <row r="657" spans="1:53" ht="15.75" customHeight="1" x14ac:dyDescent="0.3">
      <c r="A657" s="1166" t="str">
        <f t="shared" si="94"/>
        <v>Mineral wool board / Rockwool / Comfortboard 80 / R 4.2-inch</v>
      </c>
      <c r="B657" s="1296" t="s">
        <v>4829</v>
      </c>
      <c r="C657" s="1296" t="s">
        <v>504</v>
      </c>
      <c r="D657" s="1296" t="s">
        <v>3710</v>
      </c>
      <c r="E657" s="1296" t="s">
        <v>4817</v>
      </c>
      <c r="F657" s="1296"/>
      <c r="G657" s="1296"/>
      <c r="H657" s="1296"/>
      <c r="I657" s="1296" t="s">
        <v>3515</v>
      </c>
      <c r="J657" s="1297">
        <v>45740</v>
      </c>
      <c r="K657" s="1298" t="s">
        <v>4857</v>
      </c>
      <c r="L657" s="1296" t="s">
        <v>3516</v>
      </c>
      <c r="M657" s="1299" t="s">
        <v>4857</v>
      </c>
      <c r="N657" s="1296" t="s">
        <v>3516</v>
      </c>
      <c r="O657" s="1296" t="s">
        <v>4843</v>
      </c>
      <c r="P657" s="1296" t="s">
        <v>3502</v>
      </c>
      <c r="Q657" s="401">
        <v>47538</v>
      </c>
      <c r="R657" s="1298">
        <v>128</v>
      </c>
      <c r="S657" s="1296" t="s">
        <v>121</v>
      </c>
      <c r="T657" s="1296"/>
      <c r="U657" s="1296"/>
      <c r="V657" s="1296" t="s">
        <v>4858</v>
      </c>
      <c r="W657" s="1296" t="s">
        <v>4833</v>
      </c>
      <c r="X657" s="1296"/>
      <c r="Y657" s="1296"/>
      <c r="Z657" s="1296"/>
      <c r="AA657" s="78">
        <f t="shared" si="95"/>
        <v>0</v>
      </c>
      <c r="AB657" s="1296"/>
      <c r="AC657" s="1296"/>
      <c r="AD657" s="1296"/>
      <c r="AE657" s="1296"/>
      <c r="AF657" s="1296"/>
      <c r="AG657" s="1301"/>
      <c r="AH657" s="1296"/>
      <c r="AI657" s="1296"/>
      <c r="AJ657" s="1296"/>
      <c r="AK657" s="1296"/>
      <c r="AL657" s="1296"/>
      <c r="AM657" s="52"/>
      <c r="AN657" s="53" t="s">
        <v>4892</v>
      </c>
      <c r="AO657" s="52"/>
      <c r="AP657" s="52"/>
      <c r="AQ657" s="52"/>
      <c r="AR657" s="380"/>
      <c r="AS657" s="52"/>
      <c r="AT657" s="53" t="b">
        <f>ISNUMBER(MATCH(IF(LEN('USER INPUT SHEET'!rng_province)&gt;0,'USER INPUT SHEET'!rng_province,"Canada"),$AU657:$BD657,0))</f>
        <v>0</v>
      </c>
      <c r="AU657" s="52"/>
      <c r="AV657" s="52"/>
      <c r="AW657" s="52"/>
      <c r="AX657" s="52"/>
      <c r="AY657" s="52"/>
      <c r="AZ657" s="52"/>
      <c r="BA657" s="52"/>
    </row>
    <row r="658" spans="1:53" ht="15.75" customHeight="1" x14ac:dyDescent="0.3">
      <c r="A658" s="1166" t="str">
        <f t="shared" si="94"/>
        <v>Mineral wool board / Rockwool / Toprock DD / R 4.3-inch</v>
      </c>
      <c r="B658" s="1296" t="s">
        <v>4829</v>
      </c>
      <c r="C658" s="1296" t="s">
        <v>504</v>
      </c>
      <c r="D658" s="1296" t="s">
        <v>4859</v>
      </c>
      <c r="E658" s="1296" t="s">
        <v>4837</v>
      </c>
      <c r="F658" s="1296"/>
      <c r="G658" s="1296"/>
      <c r="H658" s="1296"/>
      <c r="I658" s="1296" t="s">
        <v>3515</v>
      </c>
      <c r="J658" s="1297">
        <v>45740</v>
      </c>
      <c r="K658" s="1298" t="s">
        <v>4860</v>
      </c>
      <c r="L658" s="1296" t="s">
        <v>3516</v>
      </c>
      <c r="M658" s="1299" t="s">
        <v>4860</v>
      </c>
      <c r="N658" s="1296" t="s">
        <v>3516</v>
      </c>
      <c r="O658" s="1296" t="s">
        <v>4843</v>
      </c>
      <c r="P658" s="1296" t="s">
        <v>3502</v>
      </c>
      <c r="Q658" s="401">
        <v>47538</v>
      </c>
      <c r="R658" s="1298"/>
      <c r="S658" s="1296"/>
      <c r="T658" s="1296"/>
      <c r="U658" s="1296"/>
      <c r="V658" s="1296" t="s">
        <v>4854</v>
      </c>
      <c r="W658" s="1296" t="s">
        <v>4840</v>
      </c>
      <c r="X658" s="1296"/>
      <c r="Y658" s="1296"/>
      <c r="Z658" s="1296"/>
      <c r="AA658" s="78">
        <f t="shared" si="95"/>
        <v>0</v>
      </c>
      <c r="AB658" s="1296"/>
      <c r="AC658" s="1296"/>
      <c r="AD658" s="1296"/>
      <c r="AE658" s="1296"/>
      <c r="AF658" s="1296"/>
      <c r="AG658" s="1301"/>
      <c r="AH658" s="1296"/>
      <c r="AI658" s="1296"/>
      <c r="AJ658" s="1296"/>
      <c r="AK658" s="1296"/>
      <c r="AL658" s="1296"/>
      <c r="AM658" s="52"/>
      <c r="AN658" s="53" t="s">
        <v>4893</v>
      </c>
      <c r="AO658" s="52"/>
      <c r="AP658" s="52"/>
      <c r="AQ658" s="52"/>
      <c r="AR658" s="380"/>
      <c r="AS658" s="52"/>
      <c r="AT658" s="53" t="b">
        <f>ISNUMBER(MATCH(IF(LEN('USER INPUT SHEET'!rng_province)&gt;0,'USER INPUT SHEET'!rng_province,"Canada"),$AU658:$BD658,0))</f>
        <v>0</v>
      </c>
      <c r="AU658" s="52"/>
      <c r="AV658" s="52"/>
      <c r="AW658" s="52"/>
      <c r="AX658" s="52"/>
      <c r="AY658" s="52"/>
      <c r="AZ658" s="52"/>
      <c r="BA658" s="52"/>
    </row>
    <row r="659" spans="1:53" ht="15.75" customHeight="1" x14ac:dyDescent="0.3">
      <c r="A659" s="1166" t="str">
        <f t="shared" si="94"/>
        <v>Mineral wool batt / Rockwool / Safe'n'Sound / R 4.0-inch</v>
      </c>
      <c r="B659" s="1296" t="s">
        <v>500</v>
      </c>
      <c r="C659" s="1296" t="s">
        <v>504</v>
      </c>
      <c r="D659" s="1296" t="s">
        <v>4861</v>
      </c>
      <c r="E659" s="1296" t="s">
        <v>4825</v>
      </c>
      <c r="F659" s="1296"/>
      <c r="G659" s="1296"/>
      <c r="H659" s="1296"/>
      <c r="I659" s="1296" t="s">
        <v>3515</v>
      </c>
      <c r="J659" s="1297">
        <v>45740</v>
      </c>
      <c r="K659" s="1298" t="s">
        <v>4862</v>
      </c>
      <c r="L659" s="1296" t="s">
        <v>3516</v>
      </c>
      <c r="M659" s="1299" t="s">
        <v>4862</v>
      </c>
      <c r="N659" s="1296" t="s">
        <v>3516</v>
      </c>
      <c r="O659" s="1296" t="s">
        <v>4843</v>
      </c>
      <c r="P659" s="1296" t="s">
        <v>3502</v>
      </c>
      <c r="Q659" s="401">
        <v>47538</v>
      </c>
      <c r="R659" s="1298"/>
      <c r="S659" s="1296"/>
      <c r="T659" s="1296" t="s">
        <v>4863</v>
      </c>
      <c r="U659" s="1296" t="s">
        <v>3701</v>
      </c>
      <c r="V659" s="1296" t="s">
        <v>4846</v>
      </c>
      <c r="W659" s="1296" t="s">
        <v>4828</v>
      </c>
      <c r="X659" s="1296"/>
      <c r="Y659" s="1296"/>
      <c r="Z659" s="1296"/>
      <c r="AA659" s="78">
        <f t="shared" si="95"/>
        <v>0</v>
      </c>
      <c r="AB659" s="1296"/>
      <c r="AC659" s="1296"/>
      <c r="AD659" s="1296"/>
      <c r="AE659" s="1296"/>
      <c r="AF659" s="1296"/>
      <c r="AG659" s="1301"/>
      <c r="AH659" s="1296"/>
      <c r="AI659" s="1296"/>
      <c r="AJ659" s="1296" t="s">
        <v>4864</v>
      </c>
      <c r="AK659" s="1296"/>
      <c r="AL659" s="1296"/>
      <c r="AM659" s="52"/>
      <c r="AN659" s="53" t="s">
        <v>2347</v>
      </c>
      <c r="AO659" s="52"/>
      <c r="AP659" s="52"/>
      <c r="AQ659" s="52"/>
      <c r="AR659" s="380"/>
      <c r="AS659" s="52"/>
      <c r="AT659" s="53" t="b">
        <f>ISNUMBER(MATCH(IF(LEN('USER INPUT SHEET'!rng_province)&gt;0,'USER INPUT SHEET'!rng_province,"Canada"),$AU659:$BD659,0))</f>
        <v>0</v>
      </c>
      <c r="AU659" s="52"/>
      <c r="AV659" s="52"/>
      <c r="AW659" s="52"/>
      <c r="AX659" s="52"/>
      <c r="AY659" s="52"/>
      <c r="AZ659" s="52"/>
      <c r="BA659" s="52"/>
    </row>
    <row r="660" spans="1:53" ht="15.75" customHeight="1" x14ac:dyDescent="0.3">
      <c r="A660" s="1166" t="str">
        <f t="shared" ref="A660:A663" si="96">B660&amp;" / "&amp;C660&amp;" / "&amp;D660&amp;" / "&amp;E660</f>
        <v>Foam glass aggregate / Foamit group /  / 191 kg/m3, 10-60 mm, R 1,5/inch</v>
      </c>
      <c r="B660" s="1296" t="s">
        <v>386</v>
      </c>
      <c r="C660" s="1296" t="s">
        <v>4865</v>
      </c>
      <c r="D660" s="1296"/>
      <c r="E660" s="1296" t="s">
        <v>4866</v>
      </c>
      <c r="F660" s="1296"/>
      <c r="G660" s="1296"/>
      <c r="H660" s="1296"/>
      <c r="I660" s="1296" t="s">
        <v>120</v>
      </c>
      <c r="J660" s="1297">
        <v>45757</v>
      </c>
      <c r="K660" s="1298">
        <v>34.6</v>
      </c>
      <c r="L660" s="1296" t="s">
        <v>3</v>
      </c>
      <c r="M660" s="1299">
        <f>K660*W660</f>
        <v>3.3562000000000003</v>
      </c>
      <c r="N660" s="1296" t="s">
        <v>3516</v>
      </c>
      <c r="O660" s="1296" t="s">
        <v>4867</v>
      </c>
      <c r="P660" s="1302" t="s">
        <v>4868</v>
      </c>
      <c r="Q660" s="1296">
        <v>2027</v>
      </c>
      <c r="R660" s="1298">
        <v>191</v>
      </c>
      <c r="S660" s="1296" t="s">
        <v>121</v>
      </c>
      <c r="T660" s="1296"/>
      <c r="U660" s="1296"/>
      <c r="V660" s="1296">
        <f>(0.0254*5.678)/W660</f>
        <v>1.4868164948453608</v>
      </c>
      <c r="W660" s="1296">
        <v>9.7000000000000003E-2</v>
      </c>
      <c r="X660" s="1296" t="s">
        <v>136</v>
      </c>
      <c r="Y660" s="1296"/>
      <c r="Z660" s="1296"/>
      <c r="AA660" s="78">
        <f t="shared" si="95"/>
        <v>0</v>
      </c>
      <c r="AB660" s="1296"/>
      <c r="AC660" s="1296"/>
      <c r="AD660" s="1296"/>
      <c r="AE660" s="1296"/>
      <c r="AF660" s="1296"/>
      <c r="AG660" s="1301"/>
      <c r="AH660" s="1296"/>
      <c r="AI660" s="1296"/>
      <c r="AJ660" s="1296"/>
      <c r="AK660" s="1296"/>
      <c r="AL660" s="1296"/>
      <c r="AM660" s="52"/>
      <c r="AN660" s="53" t="s">
        <v>2348</v>
      </c>
      <c r="AO660" s="52"/>
      <c r="AP660" s="52"/>
      <c r="AQ660" s="52"/>
      <c r="AR660" s="380"/>
      <c r="AS660" s="52"/>
      <c r="AT660" s="53" t="b">
        <f>ISNUMBER(MATCH(IF(LEN('USER INPUT SHEET'!rng_province)&gt;0,'USER INPUT SHEET'!rng_province,"Canada"),$AU660:$BD660,0))</f>
        <v>0</v>
      </c>
      <c r="AU660" s="52"/>
      <c r="AV660" s="52"/>
      <c r="AW660" s="52"/>
      <c r="AX660" s="52"/>
      <c r="AY660" s="52"/>
      <c r="AZ660" s="52"/>
      <c r="BA660" s="52"/>
    </row>
    <row r="661" spans="1:53" ht="15.75" customHeight="1" x14ac:dyDescent="0.3">
      <c r="A661" s="1166" t="str">
        <f t="shared" si="96"/>
        <v>Luxury vinyl tile / Resilient Floor Covering Institute / Looselay Flooring / 4.5 - 6mm</v>
      </c>
      <c r="B661" s="1296" t="s">
        <v>4869</v>
      </c>
      <c r="C661" s="1296" t="s">
        <v>592</v>
      </c>
      <c r="D661" s="1296" t="s">
        <v>4870</v>
      </c>
      <c r="E661" s="1296" t="s">
        <v>4871</v>
      </c>
      <c r="F661" s="1296"/>
      <c r="G661" s="1296"/>
      <c r="H661" s="1296" t="s">
        <v>4872</v>
      </c>
      <c r="I661" s="1296"/>
      <c r="J661" s="1297">
        <v>45757</v>
      </c>
      <c r="K661" s="1298">
        <v>11.635</v>
      </c>
      <c r="L661" s="1296" t="s">
        <v>3501</v>
      </c>
      <c r="M661" s="1299">
        <f>K661</f>
        <v>11.635</v>
      </c>
      <c r="N661" s="1296" t="s">
        <v>3501</v>
      </c>
      <c r="O661" s="1296" t="s">
        <v>4873</v>
      </c>
      <c r="P661" s="1296" t="s">
        <v>415</v>
      </c>
      <c r="Q661" s="1296">
        <v>2029</v>
      </c>
      <c r="R661" s="1298">
        <v>10.37</v>
      </c>
      <c r="S661" s="1296" t="s">
        <v>141</v>
      </c>
      <c r="T661" s="1296"/>
      <c r="U661" s="1296"/>
      <c r="V661" s="1296"/>
      <c r="W661" s="1296"/>
      <c r="X661" s="1296"/>
      <c r="Y661" s="1296"/>
      <c r="Z661" s="1296"/>
      <c r="AA661" s="78">
        <f t="shared" si="95"/>
        <v>0</v>
      </c>
      <c r="AB661" s="1296"/>
      <c r="AC661" s="1296"/>
      <c r="AD661" s="1296"/>
      <c r="AE661" s="1296"/>
      <c r="AF661" s="1296"/>
      <c r="AG661" s="1301"/>
      <c r="AH661" s="1296"/>
      <c r="AI661" s="1296"/>
      <c r="AJ661" s="1296"/>
      <c r="AK661" s="1296"/>
      <c r="AL661" s="1296"/>
      <c r="AM661" s="52"/>
      <c r="AN661" s="53" t="s">
        <v>4894</v>
      </c>
      <c r="AO661" s="52"/>
      <c r="AP661" s="52"/>
      <c r="AQ661" s="52"/>
      <c r="AR661" s="380"/>
      <c r="AS661" s="52"/>
      <c r="AT661" s="53" t="b">
        <f>ISNUMBER(MATCH(IF(LEN('USER INPUT SHEET'!rng_province)&gt;0,'USER INPUT SHEET'!rng_province,"Canada"),$AU661:$BD661,0))</f>
        <v>0</v>
      </c>
      <c r="AU661" s="52"/>
      <c r="AV661" s="52"/>
      <c r="AW661" s="52"/>
      <c r="AX661" s="52"/>
      <c r="AY661" s="52"/>
      <c r="AZ661" s="52"/>
      <c r="BA661" s="52"/>
    </row>
    <row r="662" spans="1:53" ht="15.75" customHeight="1" x14ac:dyDescent="0.3">
      <c r="A662" s="1166" t="str">
        <f t="shared" si="96"/>
        <v>Luxury vinyl tile / Resilient Floor Covering Institute / Gluedown / 1.5 - 4.5mm</v>
      </c>
      <c r="B662" s="1296" t="s">
        <v>4869</v>
      </c>
      <c r="C662" s="1296" t="s">
        <v>592</v>
      </c>
      <c r="D662" s="1296" t="s">
        <v>4874</v>
      </c>
      <c r="E662" s="1296" t="s">
        <v>4875</v>
      </c>
      <c r="F662" s="1296"/>
      <c r="G662" s="1296"/>
      <c r="H662" s="1296" t="s">
        <v>4876</v>
      </c>
      <c r="I662" s="1296"/>
      <c r="J662" s="1297">
        <v>45757</v>
      </c>
      <c r="K662" s="1298">
        <v>9.7469999999999999</v>
      </c>
      <c r="L662" s="1296" t="s">
        <v>3501</v>
      </c>
      <c r="M662" s="1299">
        <f t="shared" ref="M662:M663" si="97">K662</f>
        <v>9.7469999999999999</v>
      </c>
      <c r="N662" s="1296" t="s">
        <v>3501</v>
      </c>
      <c r="O662" s="1296" t="s">
        <v>4877</v>
      </c>
      <c r="P662" s="1296" t="s">
        <v>415</v>
      </c>
      <c r="Q662" s="1296">
        <v>2029</v>
      </c>
      <c r="R662" s="1298">
        <v>4.79</v>
      </c>
      <c r="S662" s="1296" t="s">
        <v>141</v>
      </c>
      <c r="T662" s="1296"/>
      <c r="U662" s="1296"/>
      <c r="V662" s="1296"/>
      <c r="W662" s="1296"/>
      <c r="X662" s="1296"/>
      <c r="Y662" s="1296"/>
      <c r="Z662" s="1296"/>
      <c r="AA662" s="78">
        <f t="shared" si="95"/>
        <v>0</v>
      </c>
      <c r="AB662" s="1296"/>
      <c r="AC662" s="1296"/>
      <c r="AD662" s="1296"/>
      <c r="AE662" s="1296"/>
      <c r="AF662" s="1296"/>
      <c r="AG662" s="1301"/>
      <c r="AH662" s="1296"/>
      <c r="AI662" s="1296"/>
      <c r="AJ662" s="1296"/>
      <c r="AK662" s="1296"/>
      <c r="AL662" s="1296"/>
      <c r="AM662" s="52"/>
      <c r="AN662" s="53" t="s">
        <v>4895</v>
      </c>
      <c r="AO662" s="52"/>
      <c r="AP662" s="52"/>
      <c r="AQ662" s="52"/>
      <c r="AR662" s="380"/>
      <c r="AS662" s="52"/>
      <c r="AT662" s="53" t="b">
        <f>ISNUMBER(MATCH(IF(LEN('USER INPUT SHEET'!rng_province)&gt;0,'USER INPUT SHEET'!rng_province,"Canada"),$AU662:$BD662,0))</f>
        <v>0</v>
      </c>
      <c r="AU662" s="52"/>
      <c r="AV662" s="52"/>
      <c r="AW662" s="52"/>
      <c r="AX662" s="52"/>
      <c r="AY662" s="52"/>
      <c r="AZ662" s="52"/>
      <c r="BA662" s="52"/>
    </row>
    <row r="663" spans="1:53" ht="15.75" customHeight="1" x14ac:dyDescent="0.3">
      <c r="A663" s="1166" t="str">
        <f t="shared" si="96"/>
        <v>Vinyl flooring / Resilient Floor Covering Institute / Heterogeneous sheet / 2mm</v>
      </c>
      <c r="B663" s="1296" t="s">
        <v>665</v>
      </c>
      <c r="C663" s="1296" t="s">
        <v>592</v>
      </c>
      <c r="D663" s="1296" t="s">
        <v>4878</v>
      </c>
      <c r="E663" s="1296" t="s">
        <v>4879</v>
      </c>
      <c r="F663" s="1296"/>
      <c r="G663" s="1296"/>
      <c r="H663" s="1296" t="s">
        <v>4880</v>
      </c>
      <c r="I663" s="1296"/>
      <c r="J663" s="1297">
        <v>45757</v>
      </c>
      <c r="K663" s="1298">
        <v>5.8719999999999999</v>
      </c>
      <c r="L663" s="1296" t="s">
        <v>3501</v>
      </c>
      <c r="M663" s="1299">
        <f t="shared" si="97"/>
        <v>5.8719999999999999</v>
      </c>
      <c r="N663" s="1296" t="s">
        <v>3501</v>
      </c>
      <c r="O663" s="1296" t="s">
        <v>4881</v>
      </c>
      <c r="P663" s="1296" t="s">
        <v>415</v>
      </c>
      <c r="Q663" s="1296">
        <v>2029</v>
      </c>
      <c r="R663" s="1298">
        <v>2.81</v>
      </c>
      <c r="S663" s="1296" t="s">
        <v>141</v>
      </c>
      <c r="T663" s="1296"/>
      <c r="U663" s="1296"/>
      <c r="V663" s="1296"/>
      <c r="W663" s="1296"/>
      <c r="X663" s="1296"/>
      <c r="Y663" s="1296"/>
      <c r="Z663" s="1296"/>
      <c r="AA663" s="78">
        <f t="shared" si="95"/>
        <v>0</v>
      </c>
      <c r="AB663" s="1296"/>
      <c r="AC663" s="1296"/>
      <c r="AD663" s="1296"/>
      <c r="AE663" s="1296"/>
      <c r="AF663" s="1296"/>
      <c r="AG663" s="1301"/>
      <c r="AH663" s="1296"/>
      <c r="AI663" s="1296"/>
      <c r="AJ663" s="1296"/>
      <c r="AK663" s="1296"/>
      <c r="AL663" s="1296"/>
      <c r="AM663" s="52"/>
      <c r="AN663" s="53" t="s">
        <v>4896</v>
      </c>
      <c r="AO663" s="52"/>
      <c r="AP663" s="52"/>
      <c r="AQ663" s="52"/>
      <c r="AR663" s="380"/>
      <c r="AS663" s="52"/>
      <c r="AT663" s="53" t="b">
        <f>ISNUMBER(MATCH(IF(LEN('USER INPUT SHEET'!rng_province)&gt;0,'USER INPUT SHEET'!rng_province,"Canada"),$AU663:$BD663,0))</f>
        <v>0</v>
      </c>
      <c r="AU663" s="52"/>
      <c r="AV663" s="52"/>
      <c r="AW663" s="52"/>
      <c r="AX663" s="52"/>
      <c r="AY663" s="52"/>
      <c r="AZ663" s="52"/>
      <c r="BA663" s="52"/>
    </row>
    <row r="664" spans="1:53" ht="15.75" customHeight="1" x14ac:dyDescent="0.3">
      <c r="A664" s="1166" t="str">
        <f>B664&amp;" / "&amp;C664&amp;" / "&amp;E664</f>
        <v>SIP panels - EPS foam &amp; OSB / SIPA / R-15 4.5" panel</v>
      </c>
      <c r="B664" s="1296" t="s">
        <v>4902</v>
      </c>
      <c r="C664" s="1296" t="s">
        <v>4903</v>
      </c>
      <c r="D664" s="1296" t="s">
        <v>4904</v>
      </c>
      <c r="E664" s="1296" t="s">
        <v>4905</v>
      </c>
      <c r="F664" s="1296"/>
      <c r="G664" s="1296"/>
      <c r="H664" s="1296"/>
      <c r="I664" s="1296" t="s">
        <v>3515</v>
      </c>
      <c r="J664" s="1297">
        <v>45792</v>
      </c>
      <c r="K664" s="1298">
        <v>18.75</v>
      </c>
      <c r="L664" s="1296" t="s">
        <v>5</v>
      </c>
      <c r="M664" s="1299">
        <f>K664</f>
        <v>18.75</v>
      </c>
      <c r="N664" s="1296" t="s">
        <v>5</v>
      </c>
      <c r="O664" s="1296" t="s">
        <v>4906</v>
      </c>
      <c r="P664" s="1296" t="s">
        <v>4160</v>
      </c>
      <c r="Q664" s="1296">
        <v>2029</v>
      </c>
      <c r="R664" s="1298">
        <v>17.815000000000001</v>
      </c>
      <c r="S664" s="1296" t="s">
        <v>4907</v>
      </c>
      <c r="T664" s="1296"/>
      <c r="U664" s="1296"/>
      <c r="V664" s="1296"/>
      <c r="W664" s="1296"/>
      <c r="X664" s="1296">
        <v>23.95</v>
      </c>
      <c r="Y664" s="1296">
        <v>0.92500000000000004</v>
      </c>
      <c r="Z664" s="1296">
        <v>0.5</v>
      </c>
      <c r="AA664" s="78">
        <f t="shared" si="95"/>
        <v>21.555</v>
      </c>
      <c r="AB664" s="1296" t="s">
        <v>5</v>
      </c>
      <c r="AC664" s="1296"/>
      <c r="AD664" s="1296"/>
      <c r="AE664" s="1296"/>
      <c r="AF664" s="1296" t="s">
        <v>4908</v>
      </c>
      <c r="AG664" s="1301">
        <f>(X664)*rng_biogenic_storage</f>
        <v>21.555</v>
      </c>
      <c r="AH664" s="1296" t="s">
        <v>5</v>
      </c>
      <c r="AI664" s="1296"/>
      <c r="AJ664" s="1296"/>
      <c r="AK664" s="1296"/>
      <c r="AL664" s="1296"/>
      <c r="AM664" s="52"/>
      <c r="AN664" s="53" t="s">
        <v>4913</v>
      </c>
      <c r="AO664" s="52"/>
      <c r="AP664" s="52"/>
      <c r="AQ664" s="52"/>
      <c r="AR664" s="380"/>
      <c r="AS664" s="52"/>
      <c r="AT664" s="53" t="b">
        <f>ISNUMBER(MATCH(IF(LEN('USER INPUT SHEET'!rng_province)&gt;0,'USER INPUT SHEET'!rng_province,"Canada"),$AU664:$BD664,0))</f>
        <v>0</v>
      </c>
      <c r="AU664" s="52"/>
      <c r="AV664" s="52"/>
      <c r="AW664" s="52"/>
      <c r="AX664" s="52"/>
      <c r="AY664" s="52"/>
      <c r="AZ664" s="52"/>
      <c r="BA664" s="52"/>
    </row>
    <row r="665" spans="1:53" ht="15.75" customHeight="1" x14ac:dyDescent="0.3">
      <c r="A665" s="1166" t="str">
        <f t="shared" ref="A665:A668" si="98">B665&amp;" / "&amp;C665&amp;" / "&amp;E665</f>
        <v>SIP panels - EPS foam &amp; OSB / SIPA / R-23 6.5" panel</v>
      </c>
      <c r="B665" s="1296" t="s">
        <v>4902</v>
      </c>
      <c r="C665" s="1296" t="s">
        <v>4903</v>
      </c>
      <c r="D665" s="1296" t="s">
        <v>4904</v>
      </c>
      <c r="E665" s="1296" t="s">
        <v>4909</v>
      </c>
      <c r="F665" s="1296"/>
      <c r="G665" s="1296"/>
      <c r="H665" s="1296"/>
      <c r="I665" s="1296" t="s">
        <v>3515</v>
      </c>
      <c r="J665" s="1297">
        <v>45792</v>
      </c>
      <c r="K665" s="1298">
        <v>23.29</v>
      </c>
      <c r="L665" s="1296" t="s">
        <v>5</v>
      </c>
      <c r="M665" s="1299">
        <f t="shared" ref="M665:M668" si="99">K665</f>
        <v>23.29</v>
      </c>
      <c r="N665" s="1296" t="s">
        <v>5</v>
      </c>
      <c r="O665" s="1296" t="s">
        <v>4906</v>
      </c>
      <c r="P665" s="1296" t="s">
        <v>4160</v>
      </c>
      <c r="Q665" s="1296">
        <v>2029</v>
      </c>
      <c r="R665" s="1298">
        <v>18.643000000000001</v>
      </c>
      <c r="S665" s="1296" t="s">
        <v>4907</v>
      </c>
      <c r="T665" s="1296"/>
      <c r="U665" s="1296"/>
      <c r="V665" s="1296"/>
      <c r="W665" s="1296"/>
      <c r="X665" s="1296">
        <v>23.95</v>
      </c>
      <c r="Y665" s="1296">
        <v>0.92500000000000004</v>
      </c>
      <c r="Z665" s="1296">
        <v>0.5</v>
      </c>
      <c r="AA665" s="78">
        <f t="shared" si="95"/>
        <v>21.555</v>
      </c>
      <c r="AB665" s="1296" t="s">
        <v>5</v>
      </c>
      <c r="AC665" s="1296"/>
      <c r="AD665" s="1296"/>
      <c r="AE665" s="1296"/>
      <c r="AF665" s="1296"/>
      <c r="AG665" s="1301">
        <f>(X665)*rng_biogenic_storage</f>
        <v>21.555</v>
      </c>
      <c r="AH665" s="1296" t="s">
        <v>5</v>
      </c>
      <c r="AI665" s="1296"/>
      <c r="AJ665" s="1296"/>
      <c r="AK665" s="1296"/>
      <c r="AL665" s="1296"/>
      <c r="AM665" s="52"/>
      <c r="AN665" s="53" t="s">
        <v>3982</v>
      </c>
      <c r="AO665" s="52"/>
      <c r="AP665" s="52"/>
      <c r="AQ665" s="52"/>
      <c r="AR665" s="380"/>
      <c r="AS665" s="52"/>
      <c r="AT665" s="53" t="b">
        <f>ISNUMBER(MATCH(IF(LEN('USER INPUT SHEET'!rng_province)&gt;0,'USER INPUT SHEET'!rng_province,"Canada"),$AU665:$BD665,0))</f>
        <v>0</v>
      </c>
      <c r="AU665" s="52"/>
      <c r="AV665" s="52"/>
      <c r="AW665" s="52"/>
      <c r="AX665" s="52"/>
      <c r="AY665" s="52"/>
      <c r="AZ665" s="52"/>
      <c r="BA665" s="52"/>
    </row>
    <row r="666" spans="1:53" ht="15.75" customHeight="1" x14ac:dyDescent="0.3">
      <c r="A666" s="1166" t="str">
        <f t="shared" si="98"/>
        <v>SIP panels - EPS foam &amp; OSB / SIPA / R-30 8.25" panel</v>
      </c>
      <c r="B666" s="1296" t="s">
        <v>4902</v>
      </c>
      <c r="C666" s="1296" t="s">
        <v>4903</v>
      </c>
      <c r="D666" s="1296" t="s">
        <v>4904</v>
      </c>
      <c r="E666" s="1296" t="s">
        <v>4910</v>
      </c>
      <c r="F666" s="1296"/>
      <c r="G666" s="1296"/>
      <c r="H666" s="1296"/>
      <c r="I666" s="1296" t="s">
        <v>3515</v>
      </c>
      <c r="J666" s="1297">
        <v>45792</v>
      </c>
      <c r="K666" s="1298">
        <v>26.68</v>
      </c>
      <c r="L666" s="1296" t="s">
        <v>5</v>
      </c>
      <c r="M666" s="1299">
        <f t="shared" si="99"/>
        <v>26.68</v>
      </c>
      <c r="N666" s="1296" t="s">
        <v>5</v>
      </c>
      <c r="O666" s="1296" t="s">
        <v>4906</v>
      </c>
      <c r="P666" s="1296" t="s">
        <v>4160</v>
      </c>
      <c r="Q666" s="1296">
        <v>2029</v>
      </c>
      <c r="R666" s="1298">
        <v>19.367999999999999</v>
      </c>
      <c r="S666" s="1296" t="s">
        <v>4907</v>
      </c>
      <c r="T666" s="1296"/>
      <c r="U666" s="1296"/>
      <c r="V666" s="1296"/>
      <c r="W666" s="1296"/>
      <c r="X666" s="1296">
        <v>23.95</v>
      </c>
      <c r="Y666" s="1296">
        <v>0.92500000000000004</v>
      </c>
      <c r="Z666" s="1296">
        <v>0.5</v>
      </c>
      <c r="AA666" s="78">
        <f t="shared" si="95"/>
        <v>21.555</v>
      </c>
      <c r="AB666" s="1296" t="s">
        <v>5</v>
      </c>
      <c r="AC666" s="1296"/>
      <c r="AD666" s="1296"/>
      <c r="AE666" s="1296"/>
      <c r="AF666" s="1296"/>
      <c r="AG666" s="1301">
        <f>(X666)*rng_biogenic_storage</f>
        <v>21.555</v>
      </c>
      <c r="AH666" s="1296" t="s">
        <v>5</v>
      </c>
      <c r="AI666" s="1296"/>
      <c r="AJ666" s="1296"/>
      <c r="AK666" s="1296"/>
      <c r="AL666" s="1296"/>
      <c r="AM666" s="52"/>
      <c r="AN666" s="53" t="s">
        <v>4914</v>
      </c>
      <c r="AO666" s="52"/>
      <c r="AP666" s="52"/>
      <c r="AQ666" s="52"/>
      <c r="AR666" s="380"/>
      <c r="AS666" s="52"/>
      <c r="AT666" s="53" t="b">
        <f>ISNUMBER(MATCH(IF(LEN('USER INPUT SHEET'!rng_province)&gt;0,'USER INPUT SHEET'!rng_province,"Canada"),$AU666:$BD666,0))</f>
        <v>0</v>
      </c>
      <c r="AU666" s="52"/>
      <c r="AV666" s="52"/>
      <c r="AW666" s="52"/>
      <c r="AX666" s="52"/>
      <c r="AY666" s="52"/>
      <c r="AZ666" s="52"/>
      <c r="BA666" s="52"/>
    </row>
    <row r="667" spans="1:53" ht="15.75" customHeight="1" x14ac:dyDescent="0.3">
      <c r="A667" s="1166" t="str">
        <f t="shared" si="98"/>
        <v>SIP panels - EPS foam &amp; OSB / SIPA / R-38 10.25" panel</v>
      </c>
      <c r="B667" s="1296" t="s">
        <v>4902</v>
      </c>
      <c r="C667" s="1296" t="s">
        <v>4903</v>
      </c>
      <c r="D667" s="1296" t="s">
        <v>4904</v>
      </c>
      <c r="E667" s="1296" t="s">
        <v>4911</v>
      </c>
      <c r="F667" s="1296"/>
      <c r="G667" s="1296"/>
      <c r="H667" s="1296"/>
      <c r="I667" s="1296" t="s">
        <v>3515</v>
      </c>
      <c r="J667" s="1297">
        <v>45792</v>
      </c>
      <c r="K667" s="1298">
        <v>30.59</v>
      </c>
      <c r="L667" s="1296" t="s">
        <v>5</v>
      </c>
      <c r="M667" s="1299">
        <f t="shared" si="99"/>
        <v>30.59</v>
      </c>
      <c r="N667" s="1296" t="s">
        <v>5</v>
      </c>
      <c r="O667" s="1296" t="s">
        <v>4906</v>
      </c>
      <c r="P667" s="1296" t="s">
        <v>4160</v>
      </c>
      <c r="Q667" s="1296">
        <v>2029</v>
      </c>
      <c r="R667" s="1298">
        <v>20.196000000000002</v>
      </c>
      <c r="S667" s="1296" t="s">
        <v>4907</v>
      </c>
      <c r="T667" s="1296"/>
      <c r="U667" s="1296"/>
      <c r="V667" s="1296"/>
      <c r="W667" s="1296"/>
      <c r="X667" s="1296">
        <v>23.95</v>
      </c>
      <c r="Y667" s="1296">
        <v>0.92500000000000004</v>
      </c>
      <c r="Z667" s="1296">
        <v>0.5</v>
      </c>
      <c r="AA667" s="78">
        <f t="shared" si="95"/>
        <v>21.555</v>
      </c>
      <c r="AB667" s="1296" t="s">
        <v>5</v>
      </c>
      <c r="AC667" s="1296"/>
      <c r="AD667" s="1296"/>
      <c r="AE667" s="1296"/>
      <c r="AF667" s="1296"/>
      <c r="AG667" s="1301">
        <f>(X667)*rng_biogenic_storage</f>
        <v>21.555</v>
      </c>
      <c r="AH667" s="1296" t="s">
        <v>5</v>
      </c>
      <c r="AI667" s="1296"/>
      <c r="AJ667" s="1296"/>
      <c r="AK667" s="1296"/>
      <c r="AL667" s="1296"/>
      <c r="AM667" s="52"/>
      <c r="AN667" s="53" t="s">
        <v>4915</v>
      </c>
      <c r="AO667" s="52"/>
      <c r="AP667" s="52"/>
      <c r="AQ667" s="52"/>
      <c r="AR667" s="380"/>
      <c r="AS667" s="52"/>
      <c r="AT667" s="53" t="b">
        <f>ISNUMBER(MATCH(IF(LEN('USER INPUT SHEET'!rng_province)&gt;0,'USER INPUT SHEET'!rng_province,"Canada"),$AU667:$BD667,0))</f>
        <v>0</v>
      </c>
      <c r="AU667" s="52"/>
      <c r="AV667" s="52"/>
      <c r="AW667" s="52"/>
      <c r="AX667" s="52"/>
      <c r="AY667" s="52"/>
      <c r="AZ667" s="52"/>
      <c r="BA667" s="52"/>
    </row>
    <row r="668" spans="1:53" ht="15.75" customHeight="1" x14ac:dyDescent="0.3">
      <c r="A668" s="1166" t="str">
        <f t="shared" si="98"/>
        <v>SIP panels - EPS foam &amp; OSB / SIPA / R-45 12.25" panel</v>
      </c>
      <c r="B668" s="1296" t="s">
        <v>4902</v>
      </c>
      <c r="C668" s="1296" t="s">
        <v>4903</v>
      </c>
      <c r="D668" s="1296" t="s">
        <v>4904</v>
      </c>
      <c r="E668" s="1296" t="s">
        <v>4912</v>
      </c>
      <c r="F668" s="1296"/>
      <c r="G668" s="1296"/>
      <c r="H668" s="1296"/>
      <c r="I668" s="1296" t="s">
        <v>3515</v>
      </c>
      <c r="J668" s="1297">
        <v>45792</v>
      </c>
      <c r="K668" s="1298">
        <v>34.450000000000003</v>
      </c>
      <c r="L668" s="1296" t="s">
        <v>5</v>
      </c>
      <c r="M668" s="1299">
        <f t="shared" si="99"/>
        <v>34.450000000000003</v>
      </c>
      <c r="N668" s="1296" t="s">
        <v>5</v>
      </c>
      <c r="O668" s="1296" t="s">
        <v>4906</v>
      </c>
      <c r="P668" s="1296" t="s">
        <v>4160</v>
      </c>
      <c r="Q668" s="1296">
        <v>2029</v>
      </c>
      <c r="R668" s="1298">
        <v>21.024000000000001</v>
      </c>
      <c r="S668" s="1296" t="s">
        <v>4907</v>
      </c>
      <c r="T668" s="1296"/>
      <c r="U668" s="1296"/>
      <c r="V668" s="1296"/>
      <c r="W668" s="1296"/>
      <c r="X668" s="1296">
        <v>23.95</v>
      </c>
      <c r="Y668" s="1296">
        <v>0.92500000000000004</v>
      </c>
      <c r="Z668" s="1296">
        <v>0.5</v>
      </c>
      <c r="AA668" s="78">
        <f t="shared" si="95"/>
        <v>21.555</v>
      </c>
      <c r="AB668" s="1296" t="s">
        <v>5</v>
      </c>
      <c r="AC668" s="1296"/>
      <c r="AD668" s="1296"/>
      <c r="AE668" s="1296"/>
      <c r="AF668" s="1296"/>
      <c r="AG668" s="1301">
        <f>(X668)*rng_biogenic_storage</f>
        <v>21.555</v>
      </c>
      <c r="AH668" s="1296" t="s">
        <v>5</v>
      </c>
      <c r="AI668" s="1296"/>
      <c r="AJ668" s="1296"/>
      <c r="AK668" s="1296"/>
      <c r="AL668" s="1296"/>
      <c r="AM668" s="52"/>
      <c r="AN668" s="53" t="s">
        <v>4916</v>
      </c>
      <c r="AO668" s="52"/>
      <c r="AP668" s="52"/>
      <c r="AQ668" s="52"/>
      <c r="AR668" s="380"/>
      <c r="AS668" s="52"/>
      <c r="AT668" s="53" t="b">
        <f>ISNUMBER(MATCH(IF(LEN('USER INPUT SHEET'!rng_province)&gt;0,'USER INPUT SHEET'!rng_province,"Canada"),$AU668:$BD668,0))</f>
        <v>0</v>
      </c>
      <c r="AU668" s="52"/>
      <c r="AV668" s="52"/>
      <c r="AW668" s="52"/>
      <c r="AX668" s="52"/>
      <c r="AY668" s="52"/>
      <c r="AZ668" s="52"/>
      <c r="BA668" s="52"/>
    </row>
    <row r="669" spans="1:53" ht="15.75" customHeight="1" x14ac:dyDescent="0.3">
      <c r="H669" s="50"/>
      <c r="J669" s="358"/>
      <c r="M669" s="370"/>
      <c r="O669" s="50"/>
      <c r="AA669" s="86"/>
      <c r="AG669" s="86"/>
    </row>
    <row r="670" spans="1:53" ht="15.75" customHeight="1" x14ac:dyDescent="0.3">
      <c r="H670" s="50"/>
      <c r="J670" s="358"/>
      <c r="M670" s="370"/>
      <c r="O670" s="50"/>
      <c r="AA670" s="86"/>
      <c r="AG670" s="86"/>
    </row>
    <row r="671" spans="1:53" ht="15.75" customHeight="1" x14ac:dyDescent="0.3">
      <c r="H671" s="50"/>
      <c r="J671" s="358"/>
      <c r="M671" s="378"/>
      <c r="O671" s="50"/>
      <c r="AA671" s="379"/>
      <c r="AG671" s="379"/>
    </row>
    <row r="672" spans="1:53" ht="15.75" customHeight="1" x14ac:dyDescent="0.3">
      <c r="H672" s="50"/>
      <c r="J672" s="358"/>
      <c r="M672" s="378"/>
      <c r="O672" s="50"/>
      <c r="AA672" s="379"/>
      <c r="AG672" s="379"/>
    </row>
    <row r="673" spans="1:53" ht="15.75" customHeight="1" x14ac:dyDescent="0.3">
      <c r="H673" s="50"/>
      <c r="J673" s="358"/>
      <c r="M673" s="378"/>
      <c r="O673" s="50"/>
      <c r="AA673" s="379"/>
      <c r="AG673" s="379"/>
    </row>
    <row r="674" spans="1:53" ht="15.75" customHeight="1" x14ac:dyDescent="0.3">
      <c r="H674" s="50"/>
      <c r="J674" s="358"/>
      <c r="M674" s="378"/>
      <c r="O674" s="50"/>
      <c r="AA674" s="379"/>
      <c r="AG674" s="379"/>
    </row>
    <row r="675" spans="1:53" ht="15.75" customHeight="1" x14ac:dyDescent="0.3">
      <c r="H675" s="50"/>
      <c r="J675" s="358"/>
      <c r="M675" s="378"/>
      <c r="O675" s="50"/>
      <c r="AA675" s="379"/>
      <c r="AG675" s="379"/>
    </row>
    <row r="676" spans="1:53" ht="15.75" customHeight="1" x14ac:dyDescent="0.3">
      <c r="H676" s="50"/>
      <c r="J676" s="358"/>
      <c r="M676" s="378"/>
      <c r="O676" s="50"/>
      <c r="AA676" s="379"/>
      <c r="AG676" s="379"/>
    </row>
    <row r="677" spans="1:53" ht="15.75" customHeight="1" x14ac:dyDescent="0.3">
      <c r="H677" s="50"/>
      <c r="J677" s="358"/>
      <c r="M677" s="378"/>
      <c r="O677" s="50"/>
      <c r="AA677" s="379"/>
      <c r="AG677" s="379"/>
    </row>
    <row r="678" spans="1:53" ht="15.75" customHeight="1" x14ac:dyDescent="0.3">
      <c r="H678" s="50"/>
      <c r="J678" s="358"/>
      <c r="M678" s="378"/>
      <c r="O678" s="50"/>
      <c r="AA678" s="379"/>
      <c r="AG678" s="379"/>
    </row>
    <row r="679" spans="1:53" ht="15.75" customHeight="1" x14ac:dyDescent="0.3">
      <c r="H679" s="50"/>
      <c r="J679" s="358"/>
      <c r="M679" s="378"/>
      <c r="O679" s="50"/>
      <c r="AA679" s="379"/>
      <c r="AG679" s="379"/>
    </row>
    <row r="680" spans="1:53" ht="15.75" customHeight="1" x14ac:dyDescent="0.3">
      <c r="H680" s="50"/>
      <c r="J680" s="358"/>
      <c r="M680" s="378"/>
      <c r="O680" s="50"/>
      <c r="AA680" s="379"/>
      <c r="AG680" s="379"/>
    </row>
    <row r="681" spans="1:53" ht="15.75" customHeight="1" x14ac:dyDescent="0.3">
      <c r="H681" s="50"/>
      <c r="J681" s="358"/>
      <c r="M681" s="378"/>
      <c r="O681" s="50"/>
      <c r="AA681" s="379"/>
      <c r="AG681" s="379"/>
    </row>
    <row r="682" spans="1:53" ht="15.75" customHeight="1" x14ac:dyDescent="0.3">
      <c r="H682" s="50"/>
      <c r="J682" s="358"/>
      <c r="M682" s="378"/>
      <c r="O682" s="50"/>
      <c r="AA682" s="379"/>
      <c r="AG682" s="379"/>
    </row>
    <row r="683" spans="1:53" ht="15.75" customHeight="1" x14ac:dyDescent="0.3">
      <c r="H683" s="50"/>
      <c r="J683" s="358"/>
      <c r="M683" s="378"/>
      <c r="O683" s="50"/>
      <c r="AA683" s="379"/>
      <c r="AG683" s="379"/>
    </row>
    <row r="684" spans="1:53" ht="15.75" customHeight="1" x14ac:dyDescent="0.3">
      <c r="A684" s="1166"/>
      <c r="B684" s="1296"/>
      <c r="C684" s="1296"/>
      <c r="D684" s="1296"/>
      <c r="E684" s="1296"/>
      <c r="F684" s="1296"/>
      <c r="G684" s="1296"/>
      <c r="H684" s="1296"/>
      <c r="I684" s="1296"/>
      <c r="J684" s="1297"/>
      <c r="K684" s="1298"/>
      <c r="L684" s="1296"/>
      <c r="M684" s="1299"/>
      <c r="N684" s="1296"/>
      <c r="O684" s="1296"/>
      <c r="P684" s="1296"/>
      <c r="Q684" s="1298"/>
      <c r="R684" s="1298"/>
      <c r="S684" s="1296"/>
      <c r="T684" s="1296"/>
      <c r="U684" s="1296"/>
      <c r="V684" s="1296"/>
      <c r="W684" s="1296"/>
      <c r="X684" s="1296"/>
      <c r="Y684" s="1296"/>
      <c r="Z684" s="1296"/>
      <c r="AA684" s="1300"/>
      <c r="AB684" s="1296"/>
      <c r="AC684" s="1296"/>
      <c r="AD684" s="1296"/>
      <c r="AE684" s="1296"/>
      <c r="AF684" s="1296"/>
      <c r="AG684" s="1301"/>
      <c r="AH684" s="1296"/>
      <c r="AI684" s="1296"/>
      <c r="AJ684" s="1296"/>
      <c r="AK684" s="1296"/>
      <c r="AL684" s="1296"/>
      <c r="AM684" s="52"/>
      <c r="AO684" s="52"/>
      <c r="AP684" s="52"/>
      <c r="AQ684" s="52"/>
      <c r="AR684" s="380"/>
      <c r="AS684" s="52"/>
      <c r="AT684" s="52"/>
      <c r="AU684" s="52"/>
      <c r="AV684" s="52"/>
      <c r="AW684" s="52"/>
      <c r="AX684" s="52"/>
      <c r="AY684" s="52"/>
      <c r="AZ684" s="52"/>
      <c r="BA684" s="52"/>
    </row>
    <row r="685" spans="1:53" ht="15.75" customHeight="1" x14ac:dyDescent="0.3">
      <c r="A685" s="1166"/>
      <c r="B685" s="1296"/>
      <c r="C685" s="1296"/>
      <c r="D685" s="1296"/>
      <c r="E685" s="1296"/>
      <c r="F685" s="1296"/>
      <c r="G685" s="1296"/>
      <c r="H685" s="1296"/>
      <c r="I685" s="1296"/>
      <c r="J685" s="1297"/>
      <c r="K685" s="1298"/>
      <c r="L685" s="1296"/>
      <c r="M685" s="1299"/>
      <c r="N685" s="1296"/>
      <c r="O685" s="1296"/>
      <c r="P685" s="1296"/>
      <c r="Q685" s="1298"/>
      <c r="R685" s="1298"/>
      <c r="S685" s="1296"/>
      <c r="T685" s="1296"/>
      <c r="U685" s="1296"/>
      <c r="V685" s="1296"/>
      <c r="W685" s="1296"/>
      <c r="X685" s="1296"/>
      <c r="Y685" s="1296"/>
      <c r="Z685" s="1296"/>
      <c r="AA685" s="1301"/>
      <c r="AB685" s="1296"/>
      <c r="AC685" s="1296"/>
      <c r="AD685" s="1296"/>
      <c r="AE685" s="1296"/>
      <c r="AF685" s="1296"/>
      <c r="AG685" s="1301"/>
      <c r="AH685" s="1296"/>
      <c r="AI685" s="1296"/>
      <c r="AJ685" s="1296"/>
      <c r="AK685" s="1296"/>
      <c r="AL685" s="1296"/>
      <c r="AM685" s="52"/>
      <c r="AO685" s="52"/>
      <c r="AP685" s="52"/>
      <c r="AQ685" s="52"/>
      <c r="AR685" s="380"/>
      <c r="AS685" s="52"/>
      <c r="AT685" s="52"/>
      <c r="AU685" s="52"/>
      <c r="AV685" s="52"/>
      <c r="AW685" s="52"/>
      <c r="AX685" s="52"/>
      <c r="AY685" s="52"/>
      <c r="AZ685" s="52"/>
      <c r="BA685" s="52"/>
    </row>
    <row r="686" spans="1:53" ht="15.75" customHeight="1" x14ac:dyDescent="0.3">
      <c r="A686" s="1166"/>
      <c r="B686" s="1296"/>
      <c r="C686" s="1296"/>
      <c r="D686" s="1296"/>
      <c r="E686" s="1296"/>
      <c r="F686" s="1296"/>
      <c r="G686" s="1296"/>
      <c r="H686" s="1296"/>
      <c r="I686" s="1296"/>
      <c r="J686" s="1297"/>
      <c r="K686" s="1298"/>
      <c r="L686" s="1296"/>
      <c r="M686" s="1299"/>
      <c r="N686" s="1296"/>
      <c r="O686" s="1296"/>
      <c r="P686" s="1296"/>
      <c r="Q686" s="1298"/>
      <c r="R686" s="1298"/>
      <c r="S686" s="1296"/>
      <c r="T686" s="1296"/>
      <c r="U686" s="1296"/>
      <c r="V686" s="1296"/>
      <c r="W686" s="1296"/>
      <c r="X686" s="1296"/>
      <c r="Y686" s="1296"/>
      <c r="Z686" s="1296"/>
      <c r="AA686" s="1301"/>
      <c r="AB686" s="1296"/>
      <c r="AC686" s="1296"/>
      <c r="AD686" s="1296"/>
      <c r="AE686" s="1296"/>
      <c r="AF686" s="1296"/>
      <c r="AG686" s="1301"/>
      <c r="AH686" s="1296"/>
      <c r="AI686" s="1296"/>
      <c r="AJ686" s="1296"/>
      <c r="AK686" s="1296"/>
      <c r="AL686" s="1296"/>
      <c r="AM686" s="52"/>
      <c r="AO686" s="52"/>
      <c r="AP686" s="52"/>
      <c r="AQ686" s="52"/>
      <c r="AR686" s="380"/>
      <c r="AS686" s="52"/>
      <c r="AT686" s="52"/>
      <c r="AU686" s="52"/>
      <c r="AV686" s="52"/>
      <c r="AW686" s="52"/>
      <c r="AX686" s="52"/>
      <c r="AY686" s="52"/>
      <c r="AZ686" s="52"/>
      <c r="BA686" s="52"/>
    </row>
    <row r="687" spans="1:53" ht="15.75" customHeight="1" x14ac:dyDescent="0.3">
      <c r="A687" s="1166"/>
      <c r="B687" s="1296"/>
      <c r="C687" s="1296"/>
      <c r="D687" s="1296"/>
      <c r="E687" s="1296"/>
      <c r="F687" s="1296"/>
      <c r="G687" s="1296"/>
      <c r="H687" s="1296"/>
      <c r="I687" s="1296"/>
      <c r="J687" s="1297"/>
      <c r="K687" s="1298"/>
      <c r="L687" s="1296"/>
      <c r="M687" s="1299"/>
      <c r="N687" s="1296"/>
      <c r="O687" s="1296"/>
      <c r="P687" s="1296"/>
      <c r="Q687" s="1298"/>
      <c r="R687" s="1298"/>
      <c r="S687" s="1296"/>
      <c r="T687" s="1296"/>
      <c r="U687" s="1296"/>
      <c r="V687" s="1296"/>
      <c r="W687" s="1296"/>
      <c r="X687" s="1296"/>
      <c r="Y687" s="1296"/>
      <c r="Z687" s="1296"/>
      <c r="AA687" s="1301"/>
      <c r="AB687" s="1296"/>
      <c r="AC687" s="1296"/>
      <c r="AD687" s="1296"/>
      <c r="AE687" s="1296"/>
      <c r="AF687" s="1296"/>
      <c r="AG687" s="1301"/>
      <c r="AH687" s="1296"/>
      <c r="AI687" s="1296"/>
      <c r="AJ687" s="1296"/>
      <c r="AK687" s="1296"/>
      <c r="AL687" s="1296"/>
      <c r="AM687" s="52"/>
      <c r="AO687" s="52"/>
      <c r="AP687" s="52"/>
      <c r="AQ687" s="52"/>
      <c r="AR687" s="380"/>
      <c r="AS687" s="52"/>
      <c r="AT687" s="52"/>
      <c r="AU687" s="52"/>
      <c r="AV687" s="52"/>
      <c r="AW687" s="52"/>
      <c r="AX687" s="52"/>
      <c r="AY687" s="52"/>
      <c r="AZ687" s="52"/>
      <c r="BA687" s="52"/>
    </row>
    <row r="688" spans="1:53" ht="15.75" customHeight="1" x14ac:dyDescent="0.3">
      <c r="A688" s="1166"/>
      <c r="B688" s="1296"/>
      <c r="C688" s="1296"/>
      <c r="D688" s="1296"/>
      <c r="E688" s="1296"/>
      <c r="F688" s="1296"/>
      <c r="G688" s="1296"/>
      <c r="H688" s="1296"/>
      <c r="I688" s="1296"/>
      <c r="J688" s="1297"/>
      <c r="K688" s="1298"/>
      <c r="L688" s="1296"/>
      <c r="M688" s="1299"/>
      <c r="N688" s="1296"/>
      <c r="O688" s="1296"/>
      <c r="P688" s="1296"/>
      <c r="Q688" s="1298"/>
      <c r="R688" s="1298"/>
      <c r="S688" s="1296"/>
      <c r="T688" s="1296"/>
      <c r="U688" s="1296"/>
      <c r="V688" s="1296"/>
      <c r="W688" s="1296"/>
      <c r="X688" s="1296"/>
      <c r="Y688" s="1296"/>
      <c r="Z688" s="1296"/>
      <c r="AA688" s="1301"/>
      <c r="AB688" s="1296"/>
      <c r="AC688" s="1296"/>
      <c r="AD688" s="1296"/>
      <c r="AE688" s="1296"/>
      <c r="AF688" s="1296"/>
      <c r="AG688" s="1301"/>
      <c r="AH688" s="1296"/>
      <c r="AI688" s="1296"/>
      <c r="AJ688" s="1296"/>
      <c r="AK688" s="1296"/>
      <c r="AL688" s="1296"/>
      <c r="AM688" s="52"/>
      <c r="AO688" s="52"/>
      <c r="AP688" s="52"/>
      <c r="AQ688" s="52"/>
      <c r="AR688" s="380"/>
      <c r="AS688" s="52"/>
      <c r="AT688" s="52"/>
      <c r="AU688" s="52"/>
      <c r="AV688" s="52"/>
      <c r="AW688" s="52"/>
      <c r="AX688" s="52"/>
      <c r="AY688" s="52"/>
      <c r="AZ688" s="52"/>
      <c r="BA688" s="52"/>
    </row>
    <row r="689" spans="1:53" ht="15.75" customHeight="1" x14ac:dyDescent="0.3">
      <c r="A689" s="1166"/>
      <c r="B689" s="1296"/>
      <c r="C689" s="1296"/>
      <c r="D689" s="1296"/>
      <c r="E689" s="1296"/>
      <c r="F689" s="1296"/>
      <c r="G689" s="1296"/>
      <c r="H689" s="1296"/>
      <c r="I689" s="1296"/>
      <c r="J689" s="1297"/>
      <c r="K689" s="1298"/>
      <c r="L689" s="1296"/>
      <c r="M689" s="1299"/>
      <c r="N689" s="1296"/>
      <c r="O689" s="1296"/>
      <c r="P689" s="1296"/>
      <c r="Q689" s="1298"/>
      <c r="R689" s="1298"/>
      <c r="S689" s="1296"/>
      <c r="T689" s="1296"/>
      <c r="U689" s="1296"/>
      <c r="V689" s="1296"/>
      <c r="W689" s="1296"/>
      <c r="X689" s="1296"/>
      <c r="Y689" s="1296"/>
      <c r="Z689" s="1296"/>
      <c r="AA689" s="1301"/>
      <c r="AB689" s="1296"/>
      <c r="AC689" s="1296"/>
      <c r="AD689" s="1296"/>
      <c r="AE689" s="1296"/>
      <c r="AF689" s="1296"/>
      <c r="AG689" s="1301"/>
      <c r="AH689" s="1296"/>
      <c r="AI689" s="1296"/>
      <c r="AJ689" s="1296"/>
      <c r="AK689" s="1296"/>
      <c r="AL689" s="1296"/>
      <c r="AM689" s="52"/>
      <c r="AO689" s="52"/>
      <c r="AP689" s="52"/>
      <c r="AQ689" s="52"/>
      <c r="AR689" s="380"/>
      <c r="AS689" s="52"/>
      <c r="AT689" s="52"/>
      <c r="AU689" s="52"/>
      <c r="AV689" s="52"/>
      <c r="AW689" s="52"/>
      <c r="AX689" s="52"/>
      <c r="AY689" s="52"/>
      <c r="AZ689" s="52"/>
      <c r="BA689" s="52"/>
    </row>
    <row r="690" spans="1:53" ht="15.75" customHeight="1" x14ac:dyDescent="0.3">
      <c r="A690" s="1166"/>
      <c r="B690" s="1296"/>
      <c r="C690" s="1296"/>
      <c r="D690" s="1296"/>
      <c r="E690" s="1296"/>
      <c r="F690" s="1296"/>
      <c r="G690" s="1296"/>
      <c r="H690" s="1296"/>
      <c r="I690" s="1296"/>
      <c r="J690" s="1297"/>
      <c r="K690" s="1298"/>
      <c r="L690" s="1296"/>
      <c r="M690" s="1299"/>
      <c r="N690" s="1296"/>
      <c r="O690" s="1296"/>
      <c r="P690" s="1296"/>
      <c r="Q690" s="1298"/>
      <c r="R690" s="1298"/>
      <c r="S690" s="1296"/>
      <c r="T690" s="1296"/>
      <c r="U690" s="1296"/>
      <c r="V690" s="1296"/>
      <c r="W690" s="1296"/>
      <c r="X690" s="1296"/>
      <c r="Y690" s="1296"/>
      <c r="Z690" s="1296"/>
      <c r="AA690" s="1301"/>
      <c r="AB690" s="1296"/>
      <c r="AC690" s="1296"/>
      <c r="AD690" s="1296"/>
      <c r="AE690" s="1296"/>
      <c r="AF690" s="1296"/>
      <c r="AG690" s="1301"/>
      <c r="AH690" s="1296"/>
      <c r="AI690" s="1296"/>
      <c r="AJ690" s="1296"/>
      <c r="AK690" s="1296"/>
      <c r="AL690" s="1296"/>
      <c r="AM690" s="52"/>
      <c r="AO690" s="52"/>
      <c r="AP690" s="52"/>
      <c r="AQ690" s="52"/>
      <c r="AR690" s="380"/>
      <c r="AS690" s="52"/>
      <c r="AT690" s="52"/>
      <c r="AU690" s="52"/>
      <c r="AV690" s="52"/>
      <c r="AW690" s="52"/>
      <c r="AX690" s="52"/>
      <c r="AY690" s="52"/>
      <c r="AZ690" s="52"/>
      <c r="BA690" s="52"/>
    </row>
    <row r="691" spans="1:53" ht="15.75" customHeight="1" x14ac:dyDescent="0.3">
      <c r="A691" s="1166"/>
      <c r="B691" s="1296"/>
      <c r="C691" s="1296"/>
      <c r="D691" s="1296"/>
      <c r="E691" s="1296"/>
      <c r="F691" s="1296"/>
      <c r="G691" s="1296"/>
      <c r="H691" s="1296"/>
      <c r="I691" s="1296"/>
      <c r="J691" s="1297"/>
      <c r="K691" s="1298"/>
      <c r="L691" s="1296"/>
      <c r="M691" s="1299"/>
      <c r="N691" s="1296"/>
      <c r="O691" s="1296"/>
      <c r="P691" s="1296"/>
      <c r="Q691" s="1298"/>
      <c r="R691" s="1298"/>
      <c r="S691" s="1296"/>
      <c r="T691" s="1296"/>
      <c r="U691" s="1296"/>
      <c r="V691" s="1296"/>
      <c r="W691" s="1296"/>
      <c r="X691" s="1296"/>
      <c r="Y691" s="1296"/>
      <c r="Z691" s="1296"/>
      <c r="AA691" s="1301"/>
      <c r="AB691" s="1296"/>
      <c r="AC691" s="1296"/>
      <c r="AD691" s="1296"/>
      <c r="AE691" s="1296"/>
      <c r="AF691" s="1296"/>
      <c r="AG691" s="1301"/>
      <c r="AH691" s="1296"/>
      <c r="AI691" s="1296"/>
      <c r="AJ691" s="1296"/>
      <c r="AK691" s="1296"/>
      <c r="AL691" s="1296"/>
      <c r="AM691" s="52"/>
      <c r="AO691" s="52"/>
      <c r="AP691" s="52"/>
      <c r="AQ691" s="52"/>
      <c r="AR691" s="380"/>
      <c r="AS691" s="52"/>
      <c r="AT691" s="52"/>
      <c r="AU691" s="52"/>
      <c r="AV691" s="52"/>
      <c r="AW691" s="52"/>
      <c r="AX691" s="52"/>
      <c r="AY691" s="52"/>
      <c r="AZ691" s="52"/>
      <c r="BA691" s="52"/>
    </row>
    <row r="692" spans="1:53" ht="15.75" customHeight="1" x14ac:dyDescent="0.3">
      <c r="A692" s="1166"/>
      <c r="B692" s="1296"/>
      <c r="C692" s="1296"/>
      <c r="D692" s="1296"/>
      <c r="E692" s="1296"/>
      <c r="F692" s="1296"/>
      <c r="G692" s="1296"/>
      <c r="H692" s="1296"/>
      <c r="I692" s="1296"/>
      <c r="J692" s="1297"/>
      <c r="K692" s="1298"/>
      <c r="L692" s="1296"/>
      <c r="M692" s="1299"/>
      <c r="N692" s="1296"/>
      <c r="O692" s="1296"/>
      <c r="P692" s="1296"/>
      <c r="Q692" s="1298"/>
      <c r="R692" s="1298"/>
      <c r="S692" s="1296"/>
      <c r="T692" s="1296"/>
      <c r="U692" s="1296"/>
      <c r="V692" s="1296"/>
      <c r="W692" s="1296"/>
      <c r="X692" s="1296"/>
      <c r="Y692" s="1296"/>
      <c r="Z692" s="1296"/>
      <c r="AA692" s="1301"/>
      <c r="AB692" s="1296"/>
      <c r="AC692" s="1296"/>
      <c r="AD692" s="1296"/>
      <c r="AE692" s="1296"/>
      <c r="AF692" s="1296"/>
      <c r="AG692" s="1301"/>
      <c r="AH692" s="1296"/>
      <c r="AI692" s="1296"/>
      <c r="AJ692" s="1296"/>
      <c r="AK692" s="1296"/>
      <c r="AL692" s="1296"/>
      <c r="AM692" s="52"/>
      <c r="AO692" s="52"/>
      <c r="AP692" s="52"/>
      <c r="AQ692" s="52"/>
      <c r="AR692" s="380"/>
      <c r="AS692" s="52"/>
      <c r="AT692" s="52"/>
      <c r="AU692" s="52"/>
      <c r="AV692" s="52"/>
      <c r="AW692" s="52"/>
      <c r="AX692" s="52"/>
      <c r="AY692" s="52"/>
      <c r="AZ692" s="52"/>
      <c r="BA692" s="52"/>
    </row>
    <row r="693" spans="1:53" ht="15.75" customHeight="1" x14ac:dyDescent="0.3">
      <c r="A693" s="1166"/>
      <c r="B693" s="1296"/>
      <c r="C693" s="1296"/>
      <c r="D693" s="1296"/>
      <c r="E693" s="1296"/>
      <c r="F693" s="1296"/>
      <c r="G693" s="1296"/>
      <c r="H693" s="1296"/>
      <c r="I693" s="1296"/>
      <c r="J693" s="1297"/>
      <c r="K693" s="1298"/>
      <c r="L693" s="1296"/>
      <c r="M693" s="1299"/>
      <c r="N693" s="1296"/>
      <c r="O693" s="1296"/>
      <c r="P693" s="1296"/>
      <c r="Q693" s="1298"/>
      <c r="R693" s="1298"/>
      <c r="S693" s="1296"/>
      <c r="T693" s="1296"/>
      <c r="U693" s="1296"/>
      <c r="V693" s="1296"/>
      <c r="W693" s="1296"/>
      <c r="X693" s="1296"/>
      <c r="Y693" s="1296"/>
      <c r="Z693" s="1296"/>
      <c r="AA693" s="1301"/>
      <c r="AB693" s="1296"/>
      <c r="AC693" s="1296"/>
      <c r="AD693" s="1296"/>
      <c r="AE693" s="1296"/>
      <c r="AF693" s="1296"/>
      <c r="AG693" s="1301"/>
      <c r="AH693" s="1296"/>
      <c r="AI693" s="1296"/>
      <c r="AJ693" s="1296"/>
      <c r="AK693" s="1296"/>
      <c r="AL693" s="1296"/>
      <c r="AM693" s="52"/>
      <c r="AO693" s="52"/>
      <c r="AP693" s="52"/>
      <c r="AQ693" s="52"/>
      <c r="AR693" s="380"/>
      <c r="AS693" s="52"/>
      <c r="AT693" s="52"/>
      <c r="AU693" s="52"/>
      <c r="AV693" s="52"/>
      <c r="AW693" s="52"/>
      <c r="AX693" s="52"/>
      <c r="AY693" s="52"/>
      <c r="AZ693" s="52"/>
      <c r="BA693" s="52"/>
    </row>
    <row r="694" spans="1:53" ht="15.75" customHeight="1" x14ac:dyDescent="0.3">
      <c r="A694" s="1166"/>
      <c r="B694" s="1296"/>
      <c r="C694" s="1296"/>
      <c r="D694" s="1296"/>
      <c r="E694" s="1296"/>
      <c r="F694" s="1296"/>
      <c r="G694" s="1296"/>
      <c r="H694" s="1296"/>
      <c r="I694" s="1296"/>
      <c r="J694" s="1297"/>
      <c r="K694" s="1298"/>
      <c r="L694" s="1296"/>
      <c r="M694" s="1299"/>
      <c r="N694" s="1296"/>
      <c r="O694" s="1296"/>
      <c r="P694" s="1296"/>
      <c r="Q694" s="1298"/>
      <c r="R694" s="1298"/>
      <c r="S694" s="1296"/>
      <c r="T694" s="1296"/>
      <c r="U694" s="1296"/>
      <c r="V694" s="1296"/>
      <c r="W694" s="1296"/>
      <c r="X694" s="1296"/>
      <c r="Y694" s="1296"/>
      <c r="Z694" s="1296"/>
      <c r="AA694" s="1301"/>
      <c r="AB694" s="1296"/>
      <c r="AC694" s="1296"/>
      <c r="AD694" s="1296"/>
      <c r="AE694" s="1296"/>
      <c r="AF694" s="1296"/>
      <c r="AG694" s="1301"/>
      <c r="AH694" s="1296"/>
      <c r="AI694" s="1296"/>
      <c r="AJ694" s="1296"/>
      <c r="AK694" s="1296"/>
      <c r="AL694" s="1296"/>
      <c r="AM694" s="52"/>
      <c r="AO694" s="52"/>
      <c r="AP694" s="52"/>
      <c r="AQ694" s="52"/>
      <c r="AR694" s="380"/>
      <c r="AS694" s="52"/>
      <c r="AT694" s="52"/>
      <c r="AU694" s="52"/>
      <c r="AV694" s="52"/>
      <c r="AW694" s="52"/>
      <c r="AX694" s="52"/>
      <c r="AY694" s="52"/>
      <c r="AZ694" s="52"/>
      <c r="BA694" s="52"/>
    </row>
    <row r="695" spans="1:53" ht="15.75" customHeight="1" x14ac:dyDescent="0.3">
      <c r="A695" s="1166"/>
      <c r="B695" s="1296"/>
      <c r="C695" s="1296"/>
      <c r="D695" s="1296"/>
      <c r="E695" s="1296"/>
      <c r="F695" s="1296"/>
      <c r="G695" s="1296"/>
      <c r="H695" s="1296"/>
      <c r="I695" s="1296"/>
      <c r="J695" s="1297"/>
      <c r="K695" s="1298"/>
      <c r="L695" s="1296"/>
      <c r="M695" s="1299"/>
      <c r="N695" s="1296"/>
      <c r="O695" s="1296"/>
      <c r="P695" s="1296"/>
      <c r="Q695" s="1298"/>
      <c r="R695" s="1296"/>
      <c r="S695" s="1296"/>
      <c r="T695" s="1296"/>
      <c r="U695" s="1296"/>
      <c r="V695" s="1296"/>
      <c r="W695" s="1296"/>
      <c r="X695" s="1296"/>
      <c r="Y695" s="1296"/>
      <c r="Z695" s="1296"/>
      <c r="AA695" s="1301"/>
      <c r="AB695" s="1296"/>
      <c r="AC695" s="1296"/>
      <c r="AD695" s="1296"/>
      <c r="AE695" s="1296"/>
      <c r="AF695" s="1296"/>
      <c r="AG695" s="1301"/>
      <c r="AH695" s="1296"/>
      <c r="AI695" s="1296"/>
      <c r="AJ695" s="1296"/>
      <c r="AK695" s="1296"/>
      <c r="AL695" s="1296"/>
      <c r="AM695" s="52"/>
      <c r="AO695" s="52"/>
      <c r="AP695" s="52"/>
      <c r="AQ695" s="52"/>
      <c r="AR695" s="380"/>
      <c r="AS695" s="52"/>
      <c r="AT695" s="52"/>
      <c r="AU695" s="52"/>
      <c r="AV695" s="52"/>
      <c r="AW695" s="52"/>
      <c r="AX695" s="52"/>
      <c r="AY695" s="52"/>
      <c r="AZ695" s="52"/>
      <c r="BA695" s="52"/>
    </row>
    <row r="696" spans="1:53" ht="15.75" customHeight="1" x14ac:dyDescent="0.3">
      <c r="A696" s="1166"/>
      <c r="B696" s="1296"/>
      <c r="C696" s="1296"/>
      <c r="D696" s="1296"/>
      <c r="E696" s="1296"/>
      <c r="F696" s="1296"/>
      <c r="G696" s="1296"/>
      <c r="H696" s="1296"/>
      <c r="I696" s="1296"/>
      <c r="J696" s="1297"/>
      <c r="K696" s="1298"/>
      <c r="L696" s="1296"/>
      <c r="M696" s="1299"/>
      <c r="N696" s="1296"/>
      <c r="O696" s="1296"/>
      <c r="P696" s="1296"/>
      <c r="Q696" s="1298"/>
      <c r="R696" s="1298"/>
      <c r="S696" s="1296"/>
      <c r="T696" s="1296"/>
      <c r="U696" s="1296"/>
      <c r="V696" s="1296"/>
      <c r="W696" s="1296"/>
      <c r="X696" s="1296"/>
      <c r="Y696" s="1296"/>
      <c r="Z696" s="1296"/>
      <c r="AA696" s="1301"/>
      <c r="AB696" s="1296"/>
      <c r="AC696" s="1296"/>
      <c r="AD696" s="1296"/>
      <c r="AE696" s="1296"/>
      <c r="AF696" s="1296"/>
      <c r="AG696" s="1301"/>
      <c r="AH696" s="1296"/>
      <c r="AI696" s="1296"/>
      <c r="AJ696" s="1296"/>
      <c r="AK696" s="1296"/>
      <c r="AL696" s="1296"/>
      <c r="AM696" s="52"/>
      <c r="AO696" s="52"/>
      <c r="AP696" s="52"/>
      <c r="AQ696" s="52"/>
      <c r="AR696" s="380"/>
      <c r="AS696" s="52"/>
      <c r="AT696" s="52"/>
      <c r="AU696" s="52"/>
      <c r="AV696" s="52"/>
      <c r="AW696" s="52"/>
      <c r="AX696" s="52"/>
      <c r="AY696" s="52"/>
      <c r="AZ696" s="52"/>
      <c r="BA696" s="52"/>
    </row>
    <row r="697" spans="1:53" ht="15.75" customHeight="1" x14ac:dyDescent="0.3">
      <c r="A697" s="1166"/>
      <c r="B697" s="1296"/>
      <c r="C697" s="1296"/>
      <c r="D697" s="1296"/>
      <c r="E697" s="1296"/>
      <c r="F697" s="1296"/>
      <c r="G697" s="1296"/>
      <c r="H697" s="1296"/>
      <c r="I697" s="1296"/>
      <c r="J697" s="1297"/>
      <c r="K697" s="1298"/>
      <c r="L697" s="1296"/>
      <c r="M697" s="1299"/>
      <c r="N697" s="1296"/>
      <c r="O697" s="1296"/>
      <c r="P697" s="1296"/>
      <c r="Q697" s="1298"/>
      <c r="R697" s="1298"/>
      <c r="S697" s="1296"/>
      <c r="T697" s="1296"/>
      <c r="U697" s="1296"/>
      <c r="V697" s="1296"/>
      <c r="W697" s="1296"/>
      <c r="X697" s="1296"/>
      <c r="Y697" s="1296"/>
      <c r="Z697" s="1296"/>
      <c r="AA697" s="1301"/>
      <c r="AB697" s="1296"/>
      <c r="AC697" s="1296"/>
      <c r="AD697" s="1296"/>
      <c r="AE697" s="1296"/>
      <c r="AF697" s="1296"/>
      <c r="AG697" s="1301"/>
      <c r="AH697" s="1296"/>
      <c r="AI697" s="1296"/>
      <c r="AJ697" s="1296"/>
      <c r="AK697" s="1296"/>
      <c r="AL697" s="1296"/>
      <c r="AM697" s="52"/>
      <c r="AO697" s="52"/>
      <c r="AP697" s="52"/>
      <c r="AQ697" s="52"/>
      <c r="AR697" s="380"/>
      <c r="AS697" s="52"/>
      <c r="AT697" s="52"/>
      <c r="AU697" s="52"/>
      <c r="AV697" s="52"/>
      <c r="AW697" s="52"/>
      <c r="AX697" s="52"/>
      <c r="AY697" s="52"/>
      <c r="AZ697" s="52"/>
      <c r="BA697" s="52"/>
    </row>
    <row r="698" spans="1:53" ht="15.75" customHeight="1" x14ac:dyDescent="0.3">
      <c r="A698" s="1166"/>
      <c r="B698" s="1296"/>
      <c r="C698" s="1296"/>
      <c r="D698" s="1296"/>
      <c r="E698" s="1296"/>
      <c r="F698" s="1296"/>
      <c r="G698" s="1296"/>
      <c r="H698" s="1296"/>
      <c r="I698" s="1296"/>
      <c r="J698" s="1297"/>
      <c r="K698" s="1298"/>
      <c r="L698" s="1296"/>
      <c r="M698" s="1299"/>
      <c r="N698" s="1296"/>
      <c r="O698" s="1296"/>
      <c r="P698" s="1296"/>
      <c r="Q698" s="1298"/>
      <c r="R698" s="1298"/>
      <c r="S698" s="1296"/>
      <c r="T698" s="1296"/>
      <c r="U698" s="1296"/>
      <c r="V698" s="1296"/>
      <c r="W698" s="1296"/>
      <c r="X698" s="1296"/>
      <c r="Y698" s="1296"/>
      <c r="Z698" s="1296"/>
      <c r="AA698" s="1301"/>
      <c r="AB698" s="1296"/>
      <c r="AC698" s="1296"/>
      <c r="AD698" s="1296"/>
      <c r="AE698" s="1296"/>
      <c r="AF698" s="1296"/>
      <c r="AG698" s="1301"/>
      <c r="AH698" s="1296"/>
      <c r="AI698" s="1296"/>
      <c r="AJ698" s="1296"/>
      <c r="AK698" s="1296"/>
      <c r="AL698" s="1296"/>
      <c r="AM698" s="52"/>
      <c r="AO698" s="52"/>
      <c r="AP698" s="52"/>
      <c r="AQ698" s="52"/>
      <c r="AR698" s="380"/>
      <c r="AS698" s="52"/>
      <c r="AT698" s="52"/>
      <c r="AU698" s="52"/>
      <c r="AV698" s="52"/>
      <c r="AW698" s="52"/>
      <c r="AX698" s="52"/>
      <c r="AY698" s="52"/>
      <c r="AZ698" s="52"/>
      <c r="BA698" s="52"/>
    </row>
    <row r="699" spans="1:53" ht="15.75" customHeight="1" x14ac:dyDescent="0.3">
      <c r="A699" s="1166"/>
      <c r="B699" s="1296"/>
      <c r="C699" s="1296"/>
      <c r="D699" s="1296"/>
      <c r="E699" s="1296"/>
      <c r="F699" s="1296"/>
      <c r="G699" s="1296"/>
      <c r="H699" s="1296"/>
      <c r="I699" s="1296"/>
      <c r="J699" s="1297"/>
      <c r="K699" s="1298"/>
      <c r="L699" s="1296"/>
      <c r="M699" s="1299"/>
      <c r="N699" s="1296"/>
      <c r="O699" s="1296"/>
      <c r="P699" s="1296"/>
      <c r="Q699" s="1298"/>
      <c r="R699" s="1298"/>
      <c r="S699" s="1296"/>
      <c r="T699" s="1296"/>
      <c r="U699" s="1296"/>
      <c r="V699" s="1296"/>
      <c r="W699" s="1296"/>
      <c r="X699" s="1296"/>
      <c r="Y699" s="1296"/>
      <c r="Z699" s="1296"/>
      <c r="AA699" s="1301"/>
      <c r="AB699" s="1296"/>
      <c r="AC699" s="1296"/>
      <c r="AD699" s="1296"/>
      <c r="AE699" s="1296"/>
      <c r="AF699" s="1296"/>
      <c r="AG699" s="1301"/>
      <c r="AH699" s="1296"/>
      <c r="AI699" s="1296"/>
      <c r="AJ699" s="1296"/>
      <c r="AK699" s="1296"/>
      <c r="AL699" s="1296"/>
      <c r="AM699" s="52"/>
      <c r="AO699" s="52"/>
      <c r="AP699" s="52"/>
      <c r="AQ699" s="52"/>
      <c r="AR699" s="380"/>
      <c r="AS699" s="52"/>
      <c r="AT699" s="52"/>
      <c r="AU699" s="52"/>
      <c r="AV699" s="52"/>
      <c r="AW699" s="52"/>
      <c r="AX699" s="52"/>
      <c r="AY699" s="52"/>
      <c r="AZ699" s="52"/>
      <c r="BA699" s="52"/>
    </row>
    <row r="700" spans="1:53" ht="15.75" customHeight="1" x14ac:dyDescent="0.3">
      <c r="A700" s="1166"/>
      <c r="B700" s="1296"/>
      <c r="C700" s="1296"/>
      <c r="D700" s="1296"/>
      <c r="E700" s="1296"/>
      <c r="F700" s="1296"/>
      <c r="G700" s="1296"/>
      <c r="H700" s="1296"/>
      <c r="I700" s="1296"/>
      <c r="J700" s="1297"/>
      <c r="K700" s="1298"/>
      <c r="L700" s="1296"/>
      <c r="M700" s="1299"/>
      <c r="N700" s="1296"/>
      <c r="O700" s="1296"/>
      <c r="P700" s="1296"/>
      <c r="Q700" s="1297"/>
      <c r="R700" s="1298"/>
      <c r="S700" s="1296"/>
      <c r="T700" s="1296"/>
      <c r="U700" s="1296"/>
      <c r="V700" s="1296"/>
      <c r="W700" s="1296"/>
      <c r="X700" s="1296"/>
      <c r="Y700" s="1296"/>
      <c r="Z700" s="1296"/>
      <c r="AA700" s="1301"/>
      <c r="AB700" s="1296"/>
      <c r="AC700" s="1296"/>
      <c r="AD700" s="1296"/>
      <c r="AE700" s="1296"/>
      <c r="AF700" s="1296"/>
      <c r="AG700" s="1301"/>
      <c r="AH700" s="1296"/>
      <c r="AI700" s="1296"/>
      <c r="AJ700" s="1296"/>
      <c r="AK700" s="1298"/>
      <c r="AL700" s="1296"/>
      <c r="AM700" s="52"/>
      <c r="AO700" s="52"/>
      <c r="AP700" s="52"/>
      <c r="AQ700" s="52"/>
      <c r="AR700" s="380"/>
      <c r="AS700" s="52"/>
      <c r="AT700" s="52"/>
      <c r="AU700" s="52"/>
      <c r="AV700" s="52"/>
      <c r="AW700" s="52"/>
      <c r="AX700" s="52"/>
      <c r="AY700" s="52"/>
      <c r="AZ700" s="52"/>
      <c r="BA700" s="52"/>
    </row>
    <row r="701" spans="1:53" ht="15.75" customHeight="1" x14ac:dyDescent="0.3">
      <c r="A701" s="1166"/>
      <c r="B701" s="1296"/>
      <c r="C701" s="1296"/>
      <c r="D701" s="1296"/>
      <c r="E701" s="1296"/>
      <c r="F701" s="1296"/>
      <c r="G701" s="1296"/>
      <c r="H701" s="1296"/>
      <c r="I701" s="1296"/>
      <c r="J701" s="1297"/>
      <c r="K701" s="1298"/>
      <c r="L701" s="1296"/>
      <c r="M701" s="1299"/>
      <c r="N701" s="1296"/>
      <c r="O701" s="1296"/>
      <c r="P701" s="1296"/>
      <c r="Q701" s="1297"/>
      <c r="R701" s="1298"/>
      <c r="S701" s="1296"/>
      <c r="T701" s="1296"/>
      <c r="U701" s="1296"/>
      <c r="V701" s="1296"/>
      <c r="W701" s="1296"/>
      <c r="X701" s="1296"/>
      <c r="Y701" s="1296"/>
      <c r="Z701" s="1296"/>
      <c r="AA701" s="1301"/>
      <c r="AB701" s="1296"/>
      <c r="AC701" s="1296"/>
      <c r="AD701" s="1296"/>
      <c r="AE701" s="1296"/>
      <c r="AF701" s="1296"/>
      <c r="AG701" s="1301"/>
      <c r="AH701" s="1296"/>
      <c r="AI701" s="1296"/>
      <c r="AJ701" s="1296"/>
      <c r="AK701" s="1298"/>
      <c r="AL701" s="1296"/>
      <c r="AM701" s="52"/>
      <c r="AO701" s="52"/>
      <c r="AP701" s="52"/>
      <c r="AQ701" s="52"/>
      <c r="AR701" s="380"/>
      <c r="AS701" s="52"/>
      <c r="AT701" s="52"/>
      <c r="AU701" s="52"/>
      <c r="AV701" s="52"/>
      <c r="AW701" s="52"/>
      <c r="AX701" s="52"/>
      <c r="AY701" s="52"/>
      <c r="AZ701" s="52"/>
      <c r="BA701" s="52"/>
    </row>
    <row r="702" spans="1:53" ht="15.75" customHeight="1" x14ac:dyDescent="0.3">
      <c r="A702" s="1166"/>
      <c r="B702" s="1296"/>
      <c r="C702" s="1296"/>
      <c r="D702" s="1296"/>
      <c r="E702" s="1296"/>
      <c r="F702" s="1296"/>
      <c r="G702" s="1296"/>
      <c r="H702" s="1296"/>
      <c r="I702" s="1296"/>
      <c r="J702" s="1297"/>
      <c r="K702" s="1298"/>
      <c r="L702" s="1296"/>
      <c r="M702" s="1299"/>
      <c r="N702" s="1296"/>
      <c r="O702" s="1296"/>
      <c r="P702" s="1296"/>
      <c r="Q702" s="1297"/>
      <c r="R702" s="1298"/>
      <c r="S702" s="1296"/>
      <c r="T702" s="1296"/>
      <c r="U702" s="1296"/>
      <c r="V702" s="1296"/>
      <c r="W702" s="1296"/>
      <c r="X702" s="1296"/>
      <c r="Y702" s="1296"/>
      <c r="Z702" s="1296"/>
      <c r="AA702" s="1301"/>
      <c r="AB702" s="1296"/>
      <c r="AC702" s="1296"/>
      <c r="AD702" s="1296"/>
      <c r="AE702" s="1296"/>
      <c r="AF702" s="1296"/>
      <c r="AG702" s="1301"/>
      <c r="AH702" s="1296"/>
      <c r="AI702" s="1296"/>
      <c r="AJ702" s="1296"/>
      <c r="AK702" s="1298"/>
      <c r="AL702" s="1296"/>
      <c r="AM702" s="52"/>
      <c r="AO702" s="52"/>
      <c r="AP702" s="52"/>
      <c r="AQ702" s="52"/>
      <c r="AR702" s="380"/>
      <c r="AS702" s="52"/>
      <c r="AT702" s="52"/>
      <c r="AU702" s="52"/>
      <c r="AV702" s="52"/>
      <c r="AW702" s="52"/>
      <c r="AX702" s="52"/>
      <c r="AY702" s="52"/>
      <c r="AZ702" s="52"/>
      <c r="BA702" s="52"/>
    </row>
    <row r="703" spans="1:53" ht="15.75" customHeight="1" x14ac:dyDescent="0.3">
      <c r="A703" s="1166"/>
      <c r="B703" s="1296"/>
      <c r="C703" s="1296"/>
      <c r="D703" s="1296"/>
      <c r="E703" s="1296"/>
      <c r="F703" s="1296"/>
      <c r="G703" s="1296"/>
      <c r="H703" s="1296"/>
      <c r="I703" s="1296"/>
      <c r="J703" s="1297"/>
      <c r="K703" s="1298"/>
      <c r="L703" s="1296"/>
      <c r="M703" s="1299"/>
      <c r="N703" s="1296"/>
      <c r="O703" s="1296"/>
      <c r="P703" s="1296"/>
      <c r="Q703" s="1297"/>
      <c r="R703" s="1298"/>
      <c r="S703" s="1296"/>
      <c r="T703" s="1296"/>
      <c r="U703" s="1296"/>
      <c r="V703" s="1296"/>
      <c r="W703" s="1296"/>
      <c r="X703" s="1296"/>
      <c r="Y703" s="1296"/>
      <c r="Z703" s="1296"/>
      <c r="AA703" s="1301"/>
      <c r="AB703" s="1296"/>
      <c r="AC703" s="1296"/>
      <c r="AD703" s="1296"/>
      <c r="AE703" s="1296"/>
      <c r="AF703" s="1296"/>
      <c r="AG703" s="1301"/>
      <c r="AH703" s="1296"/>
      <c r="AI703" s="1296"/>
      <c r="AJ703" s="1296"/>
      <c r="AK703" s="1298"/>
      <c r="AL703" s="1296"/>
      <c r="AM703" s="52"/>
      <c r="AO703" s="52"/>
      <c r="AP703" s="52"/>
      <c r="AQ703" s="52"/>
      <c r="AR703" s="380"/>
      <c r="AS703" s="52"/>
      <c r="AT703" s="52"/>
      <c r="AU703" s="52"/>
      <c r="AV703" s="52"/>
      <c r="AW703" s="52"/>
      <c r="AX703" s="52"/>
      <c r="AY703" s="52"/>
      <c r="AZ703" s="52"/>
      <c r="BA703" s="52"/>
    </row>
    <row r="704" spans="1:53" ht="15.75" customHeight="1" x14ac:dyDescent="0.3">
      <c r="A704" s="1166"/>
      <c r="B704" s="1296"/>
      <c r="C704" s="1296"/>
      <c r="D704" s="1296"/>
      <c r="E704" s="1296"/>
      <c r="F704" s="1296"/>
      <c r="G704" s="1296"/>
      <c r="H704" s="1296"/>
      <c r="I704" s="1296"/>
      <c r="J704" s="1297"/>
      <c r="K704" s="1298"/>
      <c r="L704" s="1296"/>
      <c r="M704" s="1299"/>
      <c r="N704" s="1296"/>
      <c r="O704" s="1296"/>
      <c r="P704" s="1296"/>
      <c r="Q704" s="1298"/>
      <c r="R704" s="1298"/>
      <c r="S704" s="1296"/>
      <c r="T704" s="1296"/>
      <c r="U704" s="1296"/>
      <c r="V704" s="1296"/>
      <c r="W704" s="1296"/>
      <c r="X704" s="1296"/>
      <c r="Y704" s="1296"/>
      <c r="Z704" s="1296"/>
      <c r="AA704" s="1301"/>
      <c r="AB704" s="1296"/>
      <c r="AC704" s="1296"/>
      <c r="AD704" s="1296"/>
      <c r="AE704" s="1296"/>
      <c r="AF704" s="1296"/>
      <c r="AG704" s="1301"/>
      <c r="AH704" s="1296"/>
      <c r="AI704" s="1296"/>
      <c r="AJ704" s="1296"/>
      <c r="AK704" s="1296"/>
      <c r="AL704" s="1296"/>
      <c r="AM704" s="52"/>
      <c r="AO704" s="52"/>
      <c r="AP704" s="52"/>
      <c r="AQ704" s="52"/>
      <c r="AR704" s="380"/>
      <c r="AS704" s="52"/>
      <c r="AT704" s="52"/>
      <c r="AU704" s="52"/>
      <c r="AV704" s="52"/>
      <c r="AW704" s="52"/>
      <c r="AX704" s="52"/>
      <c r="AY704" s="52"/>
      <c r="AZ704" s="52"/>
      <c r="BA704" s="52"/>
    </row>
    <row r="705" spans="1:53" ht="15.75" customHeight="1" x14ac:dyDescent="0.3">
      <c r="A705" s="1166"/>
      <c r="B705" s="1296"/>
      <c r="C705" s="1296"/>
      <c r="D705" s="1296"/>
      <c r="E705" s="1296"/>
      <c r="F705" s="1296"/>
      <c r="G705" s="1296"/>
      <c r="H705" s="1296"/>
      <c r="I705" s="1296"/>
      <c r="J705" s="1297"/>
      <c r="K705" s="1298"/>
      <c r="L705" s="1296"/>
      <c r="M705" s="1299"/>
      <c r="N705" s="1296"/>
      <c r="O705" s="1296"/>
      <c r="P705" s="1296"/>
      <c r="Q705" s="1298"/>
      <c r="R705" s="1298"/>
      <c r="S705" s="1296"/>
      <c r="T705" s="1296"/>
      <c r="U705" s="1296"/>
      <c r="V705" s="1296"/>
      <c r="W705" s="1296"/>
      <c r="X705" s="1296"/>
      <c r="Y705" s="1296"/>
      <c r="Z705" s="1296"/>
      <c r="AA705" s="1301"/>
      <c r="AB705" s="1296"/>
      <c r="AC705" s="1296"/>
      <c r="AD705" s="1296"/>
      <c r="AE705" s="1296"/>
      <c r="AF705" s="1296"/>
      <c r="AG705" s="1301"/>
      <c r="AH705" s="1296"/>
      <c r="AI705" s="1296"/>
      <c r="AJ705" s="1296"/>
      <c r="AK705" s="1296"/>
      <c r="AL705" s="1296"/>
      <c r="AM705" s="52"/>
      <c r="AO705" s="52"/>
      <c r="AP705" s="52"/>
      <c r="AQ705" s="52"/>
      <c r="AR705" s="380"/>
      <c r="AS705" s="52"/>
      <c r="AT705" s="52"/>
      <c r="AU705" s="52"/>
      <c r="AV705" s="52"/>
      <c r="AW705" s="52"/>
      <c r="AX705" s="52"/>
      <c r="AY705" s="52"/>
      <c r="AZ705" s="52"/>
      <c r="BA705" s="52"/>
    </row>
    <row r="706" spans="1:53" ht="15.75" customHeight="1" x14ac:dyDescent="0.3">
      <c r="A706" s="1166"/>
      <c r="B706" s="1296"/>
      <c r="C706" s="1296"/>
      <c r="D706" s="1296"/>
      <c r="E706" s="1296"/>
      <c r="F706" s="1296"/>
      <c r="G706" s="1296"/>
      <c r="H706" s="1296"/>
      <c r="I706" s="1296"/>
      <c r="J706" s="1297"/>
      <c r="K706" s="1298"/>
      <c r="L706" s="1296"/>
      <c r="M706" s="1299"/>
      <c r="N706" s="1296"/>
      <c r="O706" s="1296"/>
      <c r="P706" s="1296"/>
      <c r="Q706" s="1298"/>
      <c r="R706" s="1298"/>
      <c r="S706" s="1296"/>
      <c r="T706" s="1296"/>
      <c r="U706" s="1296"/>
      <c r="V706" s="1296"/>
      <c r="W706" s="1296"/>
      <c r="X706" s="1296"/>
      <c r="Y706" s="1296"/>
      <c r="Z706" s="1296"/>
      <c r="AA706" s="1301"/>
      <c r="AB706" s="1296"/>
      <c r="AC706" s="1296"/>
      <c r="AD706" s="1296"/>
      <c r="AE706" s="1296"/>
      <c r="AF706" s="1296"/>
      <c r="AG706" s="1301"/>
      <c r="AH706" s="1296"/>
      <c r="AI706" s="1296"/>
      <c r="AJ706" s="1296"/>
      <c r="AK706" s="1296"/>
      <c r="AL706" s="1296"/>
      <c r="AM706" s="52"/>
      <c r="AO706" s="52"/>
      <c r="AP706" s="52"/>
      <c r="AQ706" s="52"/>
      <c r="AR706" s="380"/>
      <c r="AS706" s="52"/>
      <c r="AT706" s="52"/>
      <c r="AU706" s="52"/>
      <c r="AV706" s="52"/>
      <c r="AW706" s="52"/>
      <c r="AX706" s="52"/>
      <c r="AY706" s="52"/>
      <c r="AZ706" s="52"/>
      <c r="BA706" s="52"/>
    </row>
    <row r="707" spans="1:53" ht="15.75" customHeight="1" x14ac:dyDescent="0.3">
      <c r="A707" s="1166"/>
      <c r="B707" s="1296"/>
      <c r="C707" s="1296"/>
      <c r="D707" s="1296"/>
      <c r="E707" s="1296"/>
      <c r="F707" s="1296"/>
      <c r="G707" s="1296"/>
      <c r="H707" s="1296"/>
      <c r="I707" s="1296"/>
      <c r="J707" s="1297"/>
      <c r="K707" s="1298"/>
      <c r="L707" s="1296"/>
      <c r="M707" s="1299"/>
      <c r="N707" s="1296"/>
      <c r="O707" s="1296"/>
      <c r="P707" s="1296"/>
      <c r="Q707" s="1298"/>
      <c r="R707" s="1298"/>
      <c r="S707" s="1296"/>
      <c r="T707" s="1296"/>
      <c r="U707" s="1296"/>
      <c r="V707" s="1296"/>
      <c r="W707" s="1296"/>
      <c r="X707" s="1296"/>
      <c r="Y707" s="1296"/>
      <c r="Z707" s="1296"/>
      <c r="AA707" s="1301"/>
      <c r="AB707" s="1296"/>
      <c r="AC707" s="1296"/>
      <c r="AD707" s="1296"/>
      <c r="AE707" s="1296"/>
      <c r="AF707" s="1296"/>
      <c r="AG707" s="1301"/>
      <c r="AH707" s="1296"/>
      <c r="AI707" s="1296"/>
      <c r="AJ707" s="1296"/>
      <c r="AK707" s="1296"/>
      <c r="AL707" s="1296"/>
      <c r="AM707" s="52"/>
      <c r="AO707" s="52"/>
      <c r="AP707" s="52"/>
      <c r="AQ707" s="52"/>
      <c r="AR707" s="380"/>
      <c r="AS707" s="52"/>
      <c r="AT707" s="52"/>
      <c r="AU707" s="52"/>
      <c r="AV707" s="52"/>
      <c r="AW707" s="52"/>
      <c r="AX707" s="52"/>
      <c r="AY707" s="52"/>
      <c r="AZ707" s="52"/>
      <c r="BA707" s="52"/>
    </row>
    <row r="708" spans="1:53" ht="15.75" customHeight="1" x14ac:dyDescent="0.3">
      <c r="A708" s="1166"/>
      <c r="B708" s="1296"/>
      <c r="C708" s="1296"/>
      <c r="D708" s="1296"/>
      <c r="E708" s="1296"/>
      <c r="F708" s="1296"/>
      <c r="G708" s="1296"/>
      <c r="H708" s="1296"/>
      <c r="I708" s="1296"/>
      <c r="J708" s="1297"/>
      <c r="K708" s="1298"/>
      <c r="L708" s="1296"/>
      <c r="M708" s="1299"/>
      <c r="N708" s="1296"/>
      <c r="O708" s="1296"/>
      <c r="P708" s="1296"/>
      <c r="Q708" s="1298"/>
      <c r="R708" s="1298"/>
      <c r="S708" s="1296"/>
      <c r="T708" s="1296"/>
      <c r="U708" s="1296"/>
      <c r="V708" s="1296"/>
      <c r="W708" s="1296"/>
      <c r="X708" s="1296"/>
      <c r="Y708" s="1296"/>
      <c r="Z708" s="1296"/>
      <c r="AA708" s="1301"/>
      <c r="AB708" s="1296"/>
      <c r="AC708" s="1296"/>
      <c r="AD708" s="1296"/>
      <c r="AE708" s="1296"/>
      <c r="AF708" s="1296"/>
      <c r="AG708" s="1301"/>
      <c r="AH708" s="1296"/>
      <c r="AI708" s="1296"/>
      <c r="AJ708" s="1296"/>
      <c r="AK708" s="1296"/>
      <c r="AL708" s="1296"/>
      <c r="AM708" s="52"/>
      <c r="AO708" s="52"/>
      <c r="AP708" s="52"/>
      <c r="AQ708" s="52"/>
      <c r="AR708" s="380"/>
      <c r="AS708" s="52"/>
      <c r="AT708" s="52"/>
      <c r="AU708" s="52"/>
      <c r="AV708" s="52"/>
      <c r="AW708" s="52"/>
      <c r="AX708" s="52"/>
      <c r="AY708" s="52"/>
      <c r="AZ708" s="52"/>
      <c r="BA708" s="52"/>
    </row>
    <row r="709" spans="1:53" ht="15.75" customHeight="1" x14ac:dyDescent="0.3">
      <c r="A709" s="1166"/>
      <c r="B709" s="1296"/>
      <c r="C709" s="1296"/>
      <c r="D709" s="1296"/>
      <c r="E709" s="1296"/>
      <c r="F709" s="1296"/>
      <c r="G709" s="1296"/>
      <c r="H709" s="1296"/>
      <c r="I709" s="1296"/>
      <c r="J709" s="1297"/>
      <c r="K709" s="1298"/>
      <c r="L709" s="1296"/>
      <c r="M709" s="1299"/>
      <c r="N709" s="1296"/>
      <c r="O709" s="1296"/>
      <c r="P709" s="1296"/>
      <c r="Q709" s="1298"/>
      <c r="R709" s="1298"/>
      <c r="S709" s="1296"/>
      <c r="T709" s="1296"/>
      <c r="U709" s="1296"/>
      <c r="V709" s="1296"/>
      <c r="W709" s="1296"/>
      <c r="X709" s="1296"/>
      <c r="Y709" s="1296"/>
      <c r="Z709" s="1296"/>
      <c r="AA709" s="1301"/>
      <c r="AB709" s="1296"/>
      <c r="AC709" s="1296"/>
      <c r="AD709" s="1296"/>
      <c r="AE709" s="1296"/>
      <c r="AF709" s="1296"/>
      <c r="AG709" s="1301"/>
      <c r="AH709" s="1296"/>
      <c r="AI709" s="1296"/>
      <c r="AJ709" s="1296"/>
      <c r="AK709" s="1296"/>
      <c r="AL709" s="1296"/>
      <c r="AM709" s="52"/>
      <c r="AO709" s="52"/>
      <c r="AP709" s="52"/>
      <c r="AQ709" s="52"/>
      <c r="AR709" s="380"/>
      <c r="AS709" s="52"/>
      <c r="AT709" s="52"/>
      <c r="AU709" s="52"/>
      <c r="AV709" s="52"/>
      <c r="AW709" s="52"/>
      <c r="AX709" s="52"/>
      <c r="AY709" s="52"/>
      <c r="AZ709" s="52"/>
      <c r="BA709" s="52"/>
    </row>
    <row r="710" spans="1:53" ht="15.75" customHeight="1" x14ac:dyDescent="0.3">
      <c r="A710" s="1166"/>
      <c r="B710" s="1296"/>
      <c r="C710" s="1296"/>
      <c r="D710" s="1296"/>
      <c r="E710" s="1296"/>
      <c r="F710" s="1296"/>
      <c r="G710" s="1296"/>
      <c r="H710" s="1296"/>
      <c r="I710" s="1296"/>
      <c r="J710" s="1297"/>
      <c r="K710" s="1298"/>
      <c r="L710" s="1296"/>
      <c r="M710" s="1299"/>
      <c r="N710" s="1296"/>
      <c r="O710" s="1296"/>
      <c r="P710" s="1296"/>
      <c r="Q710" s="1298"/>
      <c r="R710" s="1298"/>
      <c r="S710" s="1296"/>
      <c r="T710" s="1296"/>
      <c r="U710" s="1296"/>
      <c r="V710" s="1296"/>
      <c r="W710" s="1296"/>
      <c r="X710" s="1296"/>
      <c r="Y710" s="1296"/>
      <c r="Z710" s="1296"/>
      <c r="AA710" s="1301"/>
      <c r="AB710" s="1296"/>
      <c r="AC710" s="1296"/>
      <c r="AD710" s="1296"/>
      <c r="AE710" s="1296"/>
      <c r="AF710" s="1296"/>
      <c r="AG710" s="1301"/>
      <c r="AH710" s="1296"/>
      <c r="AI710" s="1296"/>
      <c r="AJ710" s="1296"/>
      <c r="AK710" s="1296"/>
      <c r="AL710" s="1296"/>
      <c r="AM710" s="52"/>
      <c r="AO710" s="52"/>
      <c r="AP710" s="52"/>
      <c r="AQ710" s="52"/>
      <c r="AR710" s="380"/>
      <c r="AS710" s="52"/>
      <c r="AT710" s="52"/>
      <c r="AU710" s="52"/>
      <c r="AV710" s="52"/>
      <c r="AW710" s="52"/>
      <c r="AX710" s="52"/>
      <c r="AY710" s="52"/>
      <c r="AZ710" s="52"/>
      <c r="BA710" s="52"/>
    </row>
    <row r="711" spans="1:53" ht="15.75" customHeight="1" x14ac:dyDescent="0.3">
      <c r="A711" s="1166"/>
      <c r="B711" s="1296"/>
      <c r="C711" s="1296"/>
      <c r="D711" s="1296"/>
      <c r="E711" s="1296"/>
      <c r="F711" s="1296"/>
      <c r="G711" s="1296"/>
      <c r="H711" s="1296"/>
      <c r="I711" s="1296"/>
      <c r="J711" s="1297"/>
      <c r="K711" s="1298"/>
      <c r="L711" s="1296"/>
      <c r="M711" s="1299"/>
      <c r="N711" s="1296"/>
      <c r="O711" s="1296"/>
      <c r="P711" s="1296"/>
      <c r="Q711" s="1298"/>
      <c r="R711" s="1298"/>
      <c r="S711" s="1296"/>
      <c r="T711" s="1296"/>
      <c r="U711" s="1296"/>
      <c r="V711" s="1296"/>
      <c r="W711" s="1296"/>
      <c r="X711" s="1296"/>
      <c r="Y711" s="1296"/>
      <c r="Z711" s="1296"/>
      <c r="AA711" s="1301"/>
      <c r="AB711" s="1296"/>
      <c r="AC711" s="1296"/>
      <c r="AD711" s="1296"/>
      <c r="AE711" s="1296"/>
      <c r="AF711" s="1296"/>
      <c r="AG711" s="1301"/>
      <c r="AH711" s="1296"/>
      <c r="AI711" s="1296"/>
      <c r="AJ711" s="1296"/>
      <c r="AK711" s="1296"/>
      <c r="AL711" s="1296"/>
      <c r="AM711" s="52"/>
      <c r="AO711" s="52"/>
      <c r="AP711" s="52"/>
      <c r="AQ711" s="52"/>
      <c r="AR711" s="380"/>
      <c r="AS711" s="52"/>
      <c r="AT711" s="52"/>
      <c r="AU711" s="52"/>
      <c r="AV711" s="52"/>
      <c r="AW711" s="52"/>
      <c r="AX711" s="52"/>
      <c r="AY711" s="52"/>
      <c r="AZ711" s="52"/>
      <c r="BA711" s="52"/>
    </row>
    <row r="712" spans="1:53" ht="15.75" customHeight="1" x14ac:dyDescent="0.3">
      <c r="A712" s="1166"/>
      <c r="B712" s="1296"/>
      <c r="C712" s="1296"/>
      <c r="D712" s="1296"/>
      <c r="E712" s="1296"/>
      <c r="F712" s="1296"/>
      <c r="G712" s="1296"/>
      <c r="H712" s="1296"/>
      <c r="I712" s="1296"/>
      <c r="J712" s="1297"/>
      <c r="K712" s="1298"/>
      <c r="L712" s="1296"/>
      <c r="M712" s="1299"/>
      <c r="N712" s="1296"/>
      <c r="O712" s="1296"/>
      <c r="P712" s="1296"/>
      <c r="Q712" s="1298"/>
      <c r="R712" s="1298"/>
      <c r="S712" s="1296"/>
      <c r="T712" s="1296"/>
      <c r="U712" s="1296"/>
      <c r="V712" s="1296"/>
      <c r="W712" s="1296"/>
      <c r="X712" s="1296"/>
      <c r="Y712" s="1296"/>
      <c r="Z712" s="1296"/>
      <c r="AA712" s="1301"/>
      <c r="AB712" s="1296"/>
      <c r="AC712" s="1296"/>
      <c r="AD712" s="1296"/>
      <c r="AE712" s="1296"/>
      <c r="AF712" s="1296"/>
      <c r="AG712" s="1301"/>
      <c r="AH712" s="1296"/>
      <c r="AI712" s="1296"/>
      <c r="AJ712" s="1296"/>
      <c r="AK712" s="1296"/>
      <c r="AL712" s="1296"/>
      <c r="AM712" s="52"/>
      <c r="AO712" s="52"/>
      <c r="AP712" s="52"/>
      <c r="AQ712" s="52"/>
      <c r="AR712" s="380"/>
      <c r="AS712" s="52"/>
      <c r="AT712" s="52"/>
      <c r="AU712" s="52"/>
      <c r="AV712" s="52"/>
      <c r="AW712" s="52"/>
      <c r="AX712" s="52"/>
      <c r="AY712" s="52"/>
      <c r="AZ712" s="52"/>
      <c r="BA712" s="52"/>
    </row>
    <row r="713" spans="1:53" ht="15.75" customHeight="1" x14ac:dyDescent="0.3">
      <c r="A713" s="1166"/>
      <c r="B713" s="1296"/>
      <c r="C713" s="1296"/>
      <c r="D713" s="1296"/>
      <c r="E713" s="1296"/>
      <c r="F713" s="1296"/>
      <c r="G713" s="1296"/>
      <c r="H713" s="1296"/>
      <c r="I713" s="1296"/>
      <c r="J713" s="1297"/>
      <c r="K713" s="1298"/>
      <c r="L713" s="1296"/>
      <c r="M713" s="1299"/>
      <c r="N713" s="1296"/>
      <c r="O713" s="1296"/>
      <c r="P713" s="1296"/>
      <c r="Q713" s="1296"/>
      <c r="R713" s="1298"/>
      <c r="S713" s="1296"/>
      <c r="T713" s="1296"/>
      <c r="U713" s="1296"/>
      <c r="V713" s="1296"/>
      <c r="W713" s="1296"/>
      <c r="X713" s="1296"/>
      <c r="Y713" s="1296"/>
      <c r="Z713" s="1296"/>
      <c r="AA713" s="1301"/>
      <c r="AB713" s="1296"/>
      <c r="AC713" s="1296"/>
      <c r="AD713" s="1296"/>
      <c r="AE713" s="1296"/>
      <c r="AF713" s="1296"/>
      <c r="AG713" s="1301"/>
      <c r="AH713" s="1296"/>
      <c r="AI713" s="1296"/>
      <c r="AJ713" s="1296"/>
      <c r="AK713" s="1296"/>
      <c r="AL713" s="1296"/>
      <c r="AM713" s="52"/>
      <c r="AO713" s="52"/>
      <c r="AP713" s="52"/>
      <c r="AQ713" s="52"/>
      <c r="AR713" s="380"/>
      <c r="AS713" s="52"/>
      <c r="AT713" s="52"/>
      <c r="AU713" s="52"/>
      <c r="AV713" s="52"/>
      <c r="AW713" s="52"/>
      <c r="AX713" s="52"/>
      <c r="AY713" s="52"/>
      <c r="AZ713" s="52"/>
      <c r="BA713" s="52"/>
    </row>
    <row r="714" spans="1:53" ht="15.75" customHeight="1" x14ac:dyDescent="0.3">
      <c r="A714" s="1166"/>
      <c r="B714" s="1296"/>
      <c r="C714" s="1296"/>
      <c r="D714" s="1296"/>
      <c r="E714" s="1296"/>
      <c r="F714" s="1296"/>
      <c r="G714" s="1296"/>
      <c r="H714" s="1296"/>
      <c r="I714" s="1296"/>
      <c r="J714" s="1297"/>
      <c r="K714" s="1298"/>
      <c r="L714" s="1296"/>
      <c r="M714" s="1299"/>
      <c r="N714" s="1296"/>
      <c r="O714" s="1296"/>
      <c r="P714" s="1296"/>
      <c r="Q714" s="1296"/>
      <c r="R714" s="1298"/>
      <c r="S714" s="1296"/>
      <c r="T714" s="1296"/>
      <c r="U714" s="1296"/>
      <c r="V714" s="1296"/>
      <c r="W714" s="1296"/>
      <c r="X714" s="1296"/>
      <c r="Y714" s="1296"/>
      <c r="Z714" s="1296"/>
      <c r="AA714" s="1301"/>
      <c r="AB714" s="1296"/>
      <c r="AC714" s="1296"/>
      <c r="AD714" s="1296"/>
      <c r="AE714" s="1296"/>
      <c r="AF714" s="1296"/>
      <c r="AG714" s="1301"/>
      <c r="AH714" s="1296"/>
      <c r="AI714" s="1296"/>
      <c r="AJ714" s="1296"/>
      <c r="AK714" s="1296"/>
      <c r="AL714" s="1296"/>
      <c r="AM714" s="52"/>
      <c r="AO714" s="52"/>
      <c r="AP714" s="52"/>
      <c r="AQ714" s="52"/>
      <c r="AR714" s="380"/>
      <c r="AS714" s="52"/>
      <c r="AT714" s="52"/>
      <c r="AU714" s="52"/>
      <c r="AV714" s="52"/>
      <c r="AW714" s="52"/>
      <c r="AX714" s="52"/>
      <c r="AY714" s="52"/>
      <c r="AZ714" s="52"/>
      <c r="BA714" s="52"/>
    </row>
    <row r="715" spans="1:53" ht="15.75" customHeight="1" x14ac:dyDescent="0.3">
      <c r="H715" s="50"/>
      <c r="M715" s="75"/>
      <c r="O715" s="50"/>
      <c r="AA715" s="86"/>
      <c r="AG715" s="86"/>
    </row>
    <row r="716" spans="1:53" ht="15.75" customHeight="1" x14ac:dyDescent="0.3">
      <c r="H716" s="50"/>
      <c r="M716" s="75"/>
      <c r="O716" s="50"/>
      <c r="AA716" s="86"/>
      <c r="AG716" s="86"/>
    </row>
    <row r="717" spans="1:53" ht="15.75" customHeight="1" x14ac:dyDescent="0.3">
      <c r="H717" s="50"/>
      <c r="M717" s="75"/>
      <c r="O717" s="50"/>
      <c r="AA717" s="86"/>
      <c r="AG717" s="86"/>
    </row>
    <row r="718" spans="1:53" ht="15.75" customHeight="1" x14ac:dyDescent="0.3">
      <c r="H718" s="50"/>
      <c r="M718" s="75"/>
      <c r="O718" s="50"/>
      <c r="AA718" s="86"/>
      <c r="AG718" s="86"/>
    </row>
    <row r="719" spans="1:53" ht="15.75" customHeight="1" x14ac:dyDescent="0.3">
      <c r="H719" s="50"/>
      <c r="M719" s="75"/>
      <c r="O719" s="50"/>
      <c r="AA719" s="86"/>
      <c r="AG719" s="86"/>
    </row>
    <row r="720" spans="1:53" ht="15.75" customHeight="1" x14ac:dyDescent="0.3">
      <c r="H720" s="50"/>
      <c r="M720" s="75"/>
      <c r="O720" s="50"/>
      <c r="AA720" s="86"/>
      <c r="AG720" s="86"/>
    </row>
    <row r="721" spans="8:33" ht="15.75" customHeight="1" x14ac:dyDescent="0.3">
      <c r="H721" s="50"/>
      <c r="M721" s="75"/>
      <c r="O721" s="50"/>
      <c r="AA721" s="86"/>
      <c r="AG721" s="86"/>
    </row>
    <row r="722" spans="8:33" ht="15.75" customHeight="1" x14ac:dyDescent="0.3">
      <c r="H722" s="50"/>
      <c r="M722" s="75"/>
      <c r="O722" s="50"/>
      <c r="AA722" s="86"/>
      <c r="AG722" s="86"/>
    </row>
    <row r="723" spans="8:33" ht="15.75" customHeight="1" x14ac:dyDescent="0.3">
      <c r="H723" s="50"/>
      <c r="M723" s="75"/>
      <c r="O723" s="50"/>
      <c r="AA723" s="86"/>
      <c r="AG723" s="86"/>
    </row>
    <row r="724" spans="8:33" ht="15.75" customHeight="1" x14ac:dyDescent="0.3">
      <c r="H724" s="50"/>
      <c r="M724" s="75"/>
      <c r="O724" s="50"/>
      <c r="AA724" s="86"/>
      <c r="AG724" s="86"/>
    </row>
    <row r="725" spans="8:33" ht="15.75" customHeight="1" x14ac:dyDescent="0.3">
      <c r="H725" s="50"/>
      <c r="M725" s="75"/>
      <c r="O725" s="50"/>
      <c r="AA725" s="86"/>
      <c r="AG725" s="86"/>
    </row>
    <row r="726" spans="8:33" ht="15.75" customHeight="1" x14ac:dyDescent="0.3">
      <c r="H726" s="50"/>
      <c r="M726" s="75"/>
      <c r="O726" s="50"/>
      <c r="AA726" s="86"/>
      <c r="AG726" s="86"/>
    </row>
    <row r="727" spans="8:33" ht="15.75" customHeight="1" x14ac:dyDescent="0.3">
      <c r="H727" s="50"/>
      <c r="M727" s="75"/>
      <c r="O727" s="50"/>
      <c r="AA727" s="86"/>
      <c r="AG727" s="86"/>
    </row>
    <row r="728" spans="8:33" ht="15.75" customHeight="1" x14ac:dyDescent="0.3">
      <c r="H728" s="50"/>
      <c r="M728" s="75"/>
      <c r="O728" s="50"/>
      <c r="AA728" s="86"/>
      <c r="AG728" s="86"/>
    </row>
    <row r="729" spans="8:33" ht="15.75" customHeight="1" x14ac:dyDescent="0.3">
      <c r="H729" s="50"/>
      <c r="M729" s="75"/>
      <c r="O729" s="50"/>
      <c r="AA729" s="86"/>
      <c r="AG729" s="86"/>
    </row>
    <row r="730" spans="8:33" ht="15.75" customHeight="1" x14ac:dyDescent="0.3">
      <c r="H730" s="50"/>
      <c r="M730" s="75"/>
      <c r="O730" s="50"/>
      <c r="AA730" s="86"/>
      <c r="AG730" s="86"/>
    </row>
    <row r="731" spans="8:33" ht="15.75" customHeight="1" x14ac:dyDescent="0.3">
      <c r="H731" s="50"/>
      <c r="M731" s="75"/>
      <c r="O731" s="50"/>
      <c r="AA731" s="86"/>
      <c r="AG731" s="86"/>
    </row>
    <row r="732" spans="8:33" ht="15.75" customHeight="1" x14ac:dyDescent="0.3">
      <c r="H732" s="50"/>
      <c r="M732" s="75"/>
      <c r="O732" s="50"/>
      <c r="AA732" s="86"/>
      <c r="AG732" s="86"/>
    </row>
    <row r="733" spans="8:33" ht="15.75" customHeight="1" x14ac:dyDescent="0.3">
      <c r="H733" s="50"/>
      <c r="M733" s="75"/>
      <c r="O733" s="50"/>
      <c r="AA733" s="86"/>
      <c r="AG733" s="86"/>
    </row>
    <row r="734" spans="8:33" ht="15.75" customHeight="1" x14ac:dyDescent="0.3">
      <c r="H734" s="50"/>
      <c r="M734" s="75"/>
      <c r="O734" s="50"/>
      <c r="AA734" s="86"/>
      <c r="AG734" s="86"/>
    </row>
    <row r="735" spans="8:33" ht="15.75" customHeight="1" x14ac:dyDescent="0.3">
      <c r="H735" s="50"/>
      <c r="M735" s="75"/>
      <c r="O735" s="50"/>
      <c r="AA735" s="86"/>
      <c r="AG735" s="86"/>
    </row>
    <row r="736" spans="8:33" ht="15.75" customHeight="1" x14ac:dyDescent="0.3">
      <c r="H736" s="50"/>
      <c r="M736" s="75"/>
      <c r="O736" s="50"/>
      <c r="AA736" s="86"/>
      <c r="AG736" s="86"/>
    </row>
    <row r="737" spans="8:33" ht="15.75" customHeight="1" x14ac:dyDescent="0.3">
      <c r="H737" s="50"/>
      <c r="M737" s="75"/>
      <c r="O737" s="50"/>
      <c r="AA737" s="86"/>
      <c r="AG737" s="86"/>
    </row>
    <row r="738" spans="8:33" ht="15.75" customHeight="1" x14ac:dyDescent="0.3">
      <c r="H738" s="50"/>
      <c r="M738" s="75"/>
      <c r="O738" s="50"/>
      <c r="AA738" s="86"/>
      <c r="AG738" s="86"/>
    </row>
    <row r="739" spans="8:33" ht="15.75" customHeight="1" x14ac:dyDescent="0.3">
      <c r="H739" s="50"/>
      <c r="M739" s="75"/>
      <c r="O739" s="50"/>
      <c r="AA739" s="86"/>
      <c r="AG739" s="86"/>
    </row>
    <row r="740" spans="8:33" ht="15.75" customHeight="1" x14ac:dyDescent="0.3">
      <c r="H740" s="50"/>
      <c r="M740" s="75"/>
      <c r="O740" s="50"/>
      <c r="AA740" s="86"/>
      <c r="AG740" s="86"/>
    </row>
    <row r="741" spans="8:33" ht="15.75" customHeight="1" x14ac:dyDescent="0.3">
      <c r="H741" s="50"/>
      <c r="M741" s="75"/>
      <c r="O741" s="50"/>
      <c r="AA741" s="86"/>
      <c r="AG741" s="86"/>
    </row>
    <row r="742" spans="8:33" ht="15.75" customHeight="1" x14ac:dyDescent="0.3">
      <c r="H742" s="50"/>
      <c r="M742" s="75"/>
      <c r="O742" s="50"/>
      <c r="AA742" s="86"/>
      <c r="AG742" s="86"/>
    </row>
    <row r="743" spans="8:33" ht="15.75" customHeight="1" x14ac:dyDescent="0.3">
      <c r="H743" s="50"/>
      <c r="M743" s="75"/>
      <c r="O743" s="50"/>
      <c r="AA743" s="86"/>
      <c r="AG743" s="86"/>
    </row>
    <row r="744" spans="8:33" ht="15.75" customHeight="1" x14ac:dyDescent="0.3">
      <c r="H744" s="50"/>
      <c r="M744" s="75"/>
      <c r="O744" s="50"/>
      <c r="AA744" s="86"/>
      <c r="AG744" s="86"/>
    </row>
    <row r="745" spans="8:33" ht="15.75" customHeight="1" x14ac:dyDescent="0.3">
      <c r="H745" s="50"/>
      <c r="M745" s="75"/>
      <c r="O745" s="50"/>
      <c r="AA745" s="86"/>
      <c r="AG745" s="86"/>
    </row>
    <row r="746" spans="8:33" ht="15.75" customHeight="1" x14ac:dyDescent="0.3">
      <c r="H746" s="50"/>
      <c r="M746" s="75"/>
      <c r="O746" s="50"/>
      <c r="AA746" s="86"/>
      <c r="AG746" s="86"/>
    </row>
    <row r="747" spans="8:33" ht="15.75" customHeight="1" x14ac:dyDescent="0.3">
      <c r="H747" s="50"/>
      <c r="M747" s="75"/>
      <c r="O747" s="50"/>
      <c r="AA747" s="86"/>
      <c r="AG747" s="86"/>
    </row>
    <row r="748" spans="8:33" ht="15.75" customHeight="1" x14ac:dyDescent="0.3">
      <c r="H748" s="50"/>
      <c r="M748" s="75"/>
      <c r="O748" s="50"/>
      <c r="AA748" s="86"/>
      <c r="AG748" s="86"/>
    </row>
    <row r="749" spans="8:33" ht="15.75" customHeight="1" x14ac:dyDescent="0.3">
      <c r="H749" s="50"/>
      <c r="M749" s="75"/>
      <c r="O749" s="50"/>
      <c r="AA749" s="86"/>
      <c r="AG749" s="86"/>
    </row>
    <row r="750" spans="8:33" ht="15.75" customHeight="1" x14ac:dyDescent="0.3">
      <c r="H750" s="50"/>
      <c r="M750" s="75"/>
      <c r="O750" s="50"/>
      <c r="AA750" s="86"/>
      <c r="AG750" s="86"/>
    </row>
    <row r="751" spans="8:33" ht="15.75" customHeight="1" x14ac:dyDescent="0.3">
      <c r="H751" s="50"/>
      <c r="M751" s="75"/>
      <c r="O751" s="50"/>
      <c r="AA751" s="86"/>
      <c r="AG751" s="86"/>
    </row>
    <row r="752" spans="8:33" ht="15.75" customHeight="1" x14ac:dyDescent="0.3">
      <c r="H752" s="50"/>
      <c r="M752" s="75"/>
      <c r="O752" s="50"/>
      <c r="AA752" s="86"/>
      <c r="AG752" s="86"/>
    </row>
    <row r="753" spans="8:33" ht="15.75" customHeight="1" x14ac:dyDescent="0.3">
      <c r="H753" s="50"/>
      <c r="M753" s="75"/>
      <c r="O753" s="50"/>
      <c r="AA753" s="86"/>
      <c r="AG753" s="86"/>
    </row>
    <row r="754" spans="8:33" ht="15.75" customHeight="1" x14ac:dyDescent="0.3">
      <c r="H754" s="50"/>
      <c r="M754" s="75"/>
      <c r="O754" s="50"/>
      <c r="AA754" s="86"/>
      <c r="AG754" s="86"/>
    </row>
    <row r="755" spans="8:33" ht="15.75" customHeight="1" x14ac:dyDescent="0.3">
      <c r="H755" s="50"/>
      <c r="M755" s="75"/>
      <c r="O755" s="50"/>
      <c r="AA755" s="86"/>
      <c r="AG755" s="86"/>
    </row>
    <row r="756" spans="8:33" ht="15.75" customHeight="1" x14ac:dyDescent="0.3">
      <c r="H756" s="50"/>
      <c r="M756" s="75"/>
      <c r="O756" s="50"/>
      <c r="AA756" s="86"/>
      <c r="AG756" s="86"/>
    </row>
    <row r="757" spans="8:33" ht="15.75" customHeight="1" x14ac:dyDescent="0.3">
      <c r="H757" s="50"/>
      <c r="M757" s="75"/>
      <c r="O757" s="50"/>
      <c r="AA757" s="86"/>
      <c r="AG757" s="86"/>
    </row>
    <row r="758" spans="8:33" ht="15.75" customHeight="1" x14ac:dyDescent="0.3">
      <c r="H758" s="50"/>
      <c r="M758" s="75"/>
      <c r="O758" s="50"/>
      <c r="AA758" s="86"/>
      <c r="AG758" s="86"/>
    </row>
    <row r="759" spans="8:33" ht="15.75" customHeight="1" x14ac:dyDescent="0.3">
      <c r="H759" s="50"/>
      <c r="M759" s="75"/>
      <c r="O759" s="50"/>
      <c r="AA759" s="86"/>
      <c r="AG759" s="86"/>
    </row>
    <row r="760" spans="8:33" ht="15.75" customHeight="1" x14ac:dyDescent="0.3">
      <c r="H760" s="50"/>
      <c r="M760" s="75"/>
      <c r="O760" s="50"/>
      <c r="AA760" s="86"/>
      <c r="AG760" s="86"/>
    </row>
    <row r="761" spans="8:33" ht="15.75" customHeight="1" x14ac:dyDescent="0.3">
      <c r="H761" s="50"/>
      <c r="M761" s="75"/>
      <c r="O761" s="50"/>
      <c r="AA761" s="86"/>
      <c r="AG761" s="86"/>
    </row>
    <row r="762" spans="8:33" ht="15.75" customHeight="1" x14ac:dyDescent="0.3">
      <c r="H762" s="50"/>
      <c r="M762" s="75"/>
      <c r="O762" s="50"/>
      <c r="AA762" s="86"/>
      <c r="AG762" s="86"/>
    </row>
    <row r="763" spans="8:33" ht="15.75" customHeight="1" x14ac:dyDescent="0.3">
      <c r="H763" s="50"/>
      <c r="M763" s="75"/>
      <c r="O763" s="50"/>
      <c r="AA763" s="86"/>
      <c r="AG763" s="86"/>
    </row>
    <row r="764" spans="8:33" ht="15.75" customHeight="1" x14ac:dyDescent="0.3">
      <c r="H764" s="50"/>
      <c r="M764" s="75"/>
      <c r="O764" s="50"/>
      <c r="AA764" s="86"/>
      <c r="AG764" s="86"/>
    </row>
    <row r="765" spans="8:33" ht="15.75" customHeight="1" x14ac:dyDescent="0.3">
      <c r="H765" s="50"/>
      <c r="M765" s="75"/>
      <c r="O765" s="50"/>
      <c r="AA765" s="86"/>
      <c r="AG765" s="86"/>
    </row>
    <row r="766" spans="8:33" ht="15.75" customHeight="1" x14ac:dyDescent="0.3">
      <c r="H766" s="50"/>
      <c r="M766" s="75"/>
      <c r="O766" s="50"/>
      <c r="AA766" s="86"/>
      <c r="AG766" s="86"/>
    </row>
    <row r="767" spans="8:33" ht="15.75" customHeight="1" x14ac:dyDescent="0.3">
      <c r="H767" s="50"/>
      <c r="M767" s="75"/>
      <c r="O767" s="50"/>
      <c r="AA767" s="86"/>
      <c r="AG767" s="86"/>
    </row>
    <row r="768" spans="8:33" ht="15.75" customHeight="1" x14ac:dyDescent="0.3">
      <c r="H768" s="50"/>
      <c r="M768" s="75"/>
      <c r="O768" s="50"/>
      <c r="AA768" s="86"/>
      <c r="AG768" s="86"/>
    </row>
    <row r="769" spans="8:33" ht="15.75" customHeight="1" x14ac:dyDescent="0.3">
      <c r="H769" s="50"/>
      <c r="M769" s="75"/>
      <c r="O769" s="50"/>
      <c r="AA769" s="86"/>
      <c r="AG769" s="86"/>
    </row>
    <row r="770" spans="8:33" ht="15.75" customHeight="1" x14ac:dyDescent="0.3">
      <c r="H770" s="50"/>
      <c r="M770" s="75"/>
      <c r="O770" s="50"/>
      <c r="AA770" s="86"/>
      <c r="AG770" s="86"/>
    </row>
    <row r="771" spans="8:33" ht="15.75" customHeight="1" x14ac:dyDescent="0.3">
      <c r="H771" s="50"/>
      <c r="M771" s="75"/>
      <c r="O771" s="50"/>
      <c r="AA771" s="86"/>
      <c r="AG771" s="86"/>
    </row>
    <row r="772" spans="8:33" ht="15.75" customHeight="1" x14ac:dyDescent="0.3">
      <c r="H772" s="50"/>
      <c r="M772" s="75"/>
      <c r="O772" s="50"/>
      <c r="AA772" s="86"/>
      <c r="AG772" s="86"/>
    </row>
    <row r="773" spans="8:33" ht="15.75" customHeight="1" x14ac:dyDescent="0.3">
      <c r="H773" s="50"/>
      <c r="M773" s="75"/>
      <c r="O773" s="50"/>
      <c r="AA773" s="86"/>
      <c r="AG773" s="86"/>
    </row>
    <row r="774" spans="8:33" ht="15.75" customHeight="1" x14ac:dyDescent="0.3">
      <c r="H774" s="50"/>
      <c r="M774" s="75"/>
      <c r="O774" s="50"/>
      <c r="AA774" s="86"/>
      <c r="AG774" s="86"/>
    </row>
    <row r="775" spans="8:33" ht="15.75" customHeight="1" x14ac:dyDescent="0.3">
      <c r="H775" s="50"/>
      <c r="M775" s="75"/>
      <c r="O775" s="50"/>
      <c r="AA775" s="86"/>
      <c r="AG775" s="86"/>
    </row>
    <row r="776" spans="8:33" ht="15.75" customHeight="1" x14ac:dyDescent="0.3">
      <c r="H776" s="50"/>
      <c r="M776" s="75"/>
      <c r="O776" s="50"/>
      <c r="AA776" s="86"/>
      <c r="AG776" s="86"/>
    </row>
    <row r="777" spans="8:33" ht="15.75" customHeight="1" x14ac:dyDescent="0.3">
      <c r="H777" s="50"/>
      <c r="M777" s="75"/>
      <c r="O777" s="50"/>
      <c r="AA777" s="86"/>
      <c r="AG777" s="86"/>
    </row>
    <row r="778" spans="8:33" ht="15.75" customHeight="1" x14ac:dyDescent="0.3">
      <c r="H778" s="50"/>
      <c r="M778" s="75"/>
      <c r="O778" s="50"/>
      <c r="AA778" s="86"/>
      <c r="AG778" s="86"/>
    </row>
    <row r="779" spans="8:33" ht="15.75" customHeight="1" x14ac:dyDescent="0.3">
      <c r="H779" s="50"/>
      <c r="M779" s="75"/>
      <c r="O779" s="50"/>
      <c r="AA779" s="86"/>
      <c r="AG779" s="86"/>
    </row>
    <row r="780" spans="8:33" ht="15.75" customHeight="1" x14ac:dyDescent="0.3">
      <c r="H780" s="50"/>
      <c r="M780" s="75"/>
      <c r="O780" s="50"/>
      <c r="AA780" s="86"/>
      <c r="AG780" s="86"/>
    </row>
    <row r="781" spans="8:33" ht="15.75" customHeight="1" x14ac:dyDescent="0.3">
      <c r="H781" s="50"/>
      <c r="M781" s="75"/>
      <c r="O781" s="50"/>
      <c r="AA781" s="86"/>
      <c r="AG781" s="86"/>
    </row>
    <row r="782" spans="8:33" ht="15.75" customHeight="1" x14ac:dyDescent="0.3">
      <c r="H782" s="50"/>
      <c r="M782" s="75"/>
      <c r="O782" s="50"/>
      <c r="AA782" s="86"/>
      <c r="AG782" s="86"/>
    </row>
    <row r="783" spans="8:33" ht="15.75" customHeight="1" x14ac:dyDescent="0.3">
      <c r="H783" s="50"/>
      <c r="M783" s="75"/>
      <c r="O783" s="50"/>
      <c r="AA783" s="86"/>
      <c r="AG783" s="86"/>
    </row>
    <row r="784" spans="8:33" ht="15.75" customHeight="1" x14ac:dyDescent="0.3">
      <c r="H784" s="50"/>
      <c r="M784" s="75"/>
      <c r="O784" s="50"/>
      <c r="AA784" s="86"/>
      <c r="AG784" s="86"/>
    </row>
    <row r="785" spans="8:33" ht="15.75" customHeight="1" x14ac:dyDescent="0.3">
      <c r="H785" s="50"/>
      <c r="M785" s="75"/>
      <c r="O785" s="50"/>
      <c r="AA785" s="86"/>
      <c r="AG785" s="86"/>
    </row>
    <row r="786" spans="8:33" ht="15.75" customHeight="1" x14ac:dyDescent="0.3">
      <c r="H786" s="50"/>
      <c r="M786" s="75"/>
      <c r="O786" s="50"/>
      <c r="AA786" s="86"/>
      <c r="AG786" s="86"/>
    </row>
    <row r="787" spans="8:33" ht="15.75" customHeight="1" x14ac:dyDescent="0.3">
      <c r="H787" s="50"/>
      <c r="M787" s="75"/>
      <c r="O787" s="50"/>
      <c r="AA787" s="86"/>
      <c r="AG787" s="86"/>
    </row>
    <row r="788" spans="8:33" ht="15.75" customHeight="1" x14ac:dyDescent="0.3">
      <c r="H788" s="50"/>
      <c r="M788" s="75"/>
      <c r="O788" s="50"/>
      <c r="AA788" s="86"/>
      <c r="AG788" s="86"/>
    </row>
    <row r="789" spans="8:33" ht="15.75" customHeight="1" x14ac:dyDescent="0.3">
      <c r="H789" s="50"/>
      <c r="M789" s="75"/>
      <c r="O789" s="50"/>
      <c r="AA789" s="86"/>
      <c r="AG789" s="86"/>
    </row>
    <row r="790" spans="8:33" ht="15.75" customHeight="1" x14ac:dyDescent="0.3">
      <c r="H790" s="50"/>
      <c r="M790" s="75"/>
      <c r="O790" s="50"/>
      <c r="AA790" s="86"/>
      <c r="AG790" s="86"/>
    </row>
    <row r="791" spans="8:33" ht="15.75" customHeight="1" x14ac:dyDescent="0.3">
      <c r="H791" s="50"/>
      <c r="M791" s="75"/>
      <c r="O791" s="50"/>
      <c r="AA791" s="86"/>
      <c r="AG791" s="86"/>
    </row>
    <row r="792" spans="8:33" ht="15.75" customHeight="1" x14ac:dyDescent="0.3">
      <c r="H792" s="50"/>
      <c r="M792" s="75"/>
      <c r="O792" s="50"/>
      <c r="AA792" s="86"/>
      <c r="AG792" s="86"/>
    </row>
    <row r="793" spans="8:33" ht="15.75" customHeight="1" x14ac:dyDescent="0.3">
      <c r="H793" s="50"/>
      <c r="M793" s="75"/>
      <c r="O793" s="50"/>
      <c r="AA793" s="86"/>
      <c r="AG793" s="86"/>
    </row>
    <row r="794" spans="8:33" ht="15.75" customHeight="1" x14ac:dyDescent="0.3">
      <c r="H794" s="50"/>
      <c r="M794" s="75"/>
      <c r="O794" s="50"/>
      <c r="AA794" s="86"/>
      <c r="AG794" s="86"/>
    </row>
    <row r="795" spans="8:33" ht="15.75" customHeight="1" x14ac:dyDescent="0.3">
      <c r="H795" s="50"/>
      <c r="M795" s="75"/>
      <c r="O795" s="50"/>
      <c r="AA795" s="86"/>
      <c r="AG795" s="86"/>
    </row>
    <row r="796" spans="8:33" ht="15.75" customHeight="1" x14ac:dyDescent="0.3">
      <c r="H796" s="50"/>
      <c r="M796" s="75"/>
      <c r="O796" s="50"/>
      <c r="AA796" s="86"/>
      <c r="AG796" s="86"/>
    </row>
    <row r="797" spans="8:33" ht="15.75" customHeight="1" x14ac:dyDescent="0.3">
      <c r="H797" s="50"/>
      <c r="M797" s="75"/>
      <c r="O797" s="50"/>
      <c r="AA797" s="86"/>
      <c r="AG797" s="86"/>
    </row>
    <row r="798" spans="8:33" ht="15.75" customHeight="1" x14ac:dyDescent="0.3">
      <c r="H798" s="50"/>
      <c r="M798" s="75"/>
      <c r="O798" s="50"/>
      <c r="AA798" s="86"/>
      <c r="AG798" s="86"/>
    </row>
    <row r="799" spans="8:33" ht="15.75" customHeight="1" x14ac:dyDescent="0.3">
      <c r="H799" s="50"/>
      <c r="M799" s="75"/>
      <c r="O799" s="50"/>
      <c r="AA799" s="86"/>
      <c r="AG799" s="86"/>
    </row>
    <row r="800" spans="8:33" ht="15.75" customHeight="1" x14ac:dyDescent="0.3">
      <c r="H800" s="50"/>
      <c r="M800" s="75"/>
      <c r="O800" s="50"/>
      <c r="AA800" s="86"/>
      <c r="AG800" s="86"/>
    </row>
    <row r="801" spans="8:33" ht="15.75" customHeight="1" x14ac:dyDescent="0.3">
      <c r="H801" s="50"/>
      <c r="M801" s="75"/>
      <c r="O801" s="50"/>
      <c r="AA801" s="86"/>
      <c r="AG801" s="86"/>
    </row>
    <row r="802" spans="8:33" ht="15.75" customHeight="1" x14ac:dyDescent="0.3">
      <c r="H802" s="50"/>
      <c r="M802" s="75"/>
      <c r="O802" s="50"/>
      <c r="AA802" s="86"/>
      <c r="AG802" s="86"/>
    </row>
    <row r="803" spans="8:33" ht="15.75" customHeight="1" x14ac:dyDescent="0.3">
      <c r="H803" s="50"/>
      <c r="M803" s="75"/>
      <c r="O803" s="50"/>
      <c r="AA803" s="86"/>
      <c r="AG803" s="86"/>
    </row>
    <row r="804" spans="8:33" ht="15.75" customHeight="1" x14ac:dyDescent="0.3">
      <c r="H804" s="50"/>
      <c r="M804" s="75"/>
      <c r="O804" s="50"/>
      <c r="AA804" s="86"/>
      <c r="AG804" s="86"/>
    </row>
    <row r="805" spans="8:33" ht="15.75" customHeight="1" x14ac:dyDescent="0.3">
      <c r="H805" s="50"/>
      <c r="M805" s="75"/>
      <c r="O805" s="50"/>
      <c r="AA805" s="86"/>
      <c r="AG805" s="86"/>
    </row>
    <row r="806" spans="8:33" ht="15.75" customHeight="1" x14ac:dyDescent="0.3">
      <c r="H806" s="50"/>
      <c r="M806" s="75"/>
      <c r="O806" s="50"/>
      <c r="AA806" s="86"/>
      <c r="AG806" s="86"/>
    </row>
    <row r="807" spans="8:33" ht="15.75" customHeight="1" x14ac:dyDescent="0.3">
      <c r="H807" s="50"/>
      <c r="M807" s="75"/>
      <c r="O807" s="50"/>
      <c r="AA807" s="86"/>
      <c r="AG807" s="86"/>
    </row>
    <row r="808" spans="8:33" ht="15.75" customHeight="1" x14ac:dyDescent="0.3">
      <c r="H808" s="50"/>
      <c r="M808" s="75"/>
      <c r="O808" s="50"/>
      <c r="AA808" s="86"/>
      <c r="AG808" s="86"/>
    </row>
    <row r="809" spans="8:33" ht="15.75" customHeight="1" x14ac:dyDescent="0.3">
      <c r="H809" s="50"/>
      <c r="M809" s="75"/>
      <c r="O809" s="50"/>
      <c r="AA809" s="86"/>
      <c r="AG809" s="86"/>
    </row>
    <row r="810" spans="8:33" ht="15.75" customHeight="1" x14ac:dyDescent="0.3">
      <c r="H810" s="50"/>
      <c r="M810" s="75"/>
      <c r="O810" s="50"/>
      <c r="AA810" s="86"/>
      <c r="AG810" s="86"/>
    </row>
    <row r="811" spans="8:33" ht="15.75" customHeight="1" x14ac:dyDescent="0.3">
      <c r="H811" s="50"/>
      <c r="M811" s="75"/>
      <c r="O811" s="50"/>
      <c r="AA811" s="86"/>
      <c r="AG811" s="86"/>
    </row>
    <row r="812" spans="8:33" ht="15.75" customHeight="1" x14ac:dyDescent="0.3">
      <c r="H812" s="50"/>
      <c r="M812" s="75"/>
      <c r="O812" s="50"/>
      <c r="AA812" s="86"/>
      <c r="AG812" s="86"/>
    </row>
    <row r="813" spans="8:33" ht="15.75" customHeight="1" x14ac:dyDescent="0.3">
      <c r="H813" s="50"/>
      <c r="M813" s="75"/>
      <c r="O813" s="50"/>
      <c r="AA813" s="86"/>
      <c r="AG813" s="86"/>
    </row>
    <row r="814" spans="8:33" ht="15.75" customHeight="1" x14ac:dyDescent="0.3">
      <c r="H814" s="50"/>
      <c r="M814" s="75"/>
      <c r="O814" s="50"/>
      <c r="AA814" s="86"/>
      <c r="AG814" s="86"/>
    </row>
    <row r="815" spans="8:33" ht="15.75" customHeight="1" x14ac:dyDescent="0.3">
      <c r="H815" s="50"/>
      <c r="M815" s="75"/>
      <c r="O815" s="50"/>
      <c r="AA815" s="86"/>
      <c r="AG815" s="86"/>
    </row>
    <row r="816" spans="8:33" ht="15.75" customHeight="1" x14ac:dyDescent="0.3">
      <c r="H816" s="50"/>
      <c r="M816" s="75"/>
      <c r="O816" s="50"/>
      <c r="AA816" s="86"/>
      <c r="AG816" s="86"/>
    </row>
    <row r="817" spans="8:33" ht="15.75" customHeight="1" x14ac:dyDescent="0.3">
      <c r="H817" s="50"/>
      <c r="M817" s="75"/>
      <c r="O817" s="50"/>
      <c r="AA817" s="86"/>
      <c r="AG817" s="86"/>
    </row>
    <row r="818" spans="8:33" ht="15.75" customHeight="1" x14ac:dyDescent="0.3">
      <c r="H818" s="50"/>
      <c r="M818" s="75"/>
      <c r="O818" s="50"/>
      <c r="AA818" s="86"/>
      <c r="AG818" s="86"/>
    </row>
    <row r="819" spans="8:33" ht="15.75" customHeight="1" x14ac:dyDescent="0.3">
      <c r="H819" s="50"/>
      <c r="M819" s="75"/>
      <c r="O819" s="50"/>
      <c r="AA819" s="86"/>
      <c r="AG819" s="86"/>
    </row>
    <row r="820" spans="8:33" ht="15.75" customHeight="1" x14ac:dyDescent="0.3">
      <c r="H820" s="50"/>
      <c r="M820" s="75"/>
      <c r="O820" s="50"/>
      <c r="AA820" s="86"/>
      <c r="AG820" s="86"/>
    </row>
    <row r="821" spans="8:33" ht="15.75" customHeight="1" x14ac:dyDescent="0.3">
      <c r="H821" s="50"/>
      <c r="M821" s="75"/>
      <c r="O821" s="50"/>
      <c r="AA821" s="86"/>
      <c r="AG821" s="86"/>
    </row>
    <row r="822" spans="8:33" ht="15.75" customHeight="1" x14ac:dyDescent="0.3">
      <c r="H822" s="50"/>
      <c r="M822" s="75"/>
      <c r="O822" s="50"/>
      <c r="AA822" s="86"/>
      <c r="AG822" s="86"/>
    </row>
    <row r="823" spans="8:33" ht="15.75" customHeight="1" x14ac:dyDescent="0.3">
      <c r="H823" s="50"/>
      <c r="M823" s="75"/>
      <c r="O823" s="50"/>
      <c r="AA823" s="86"/>
      <c r="AG823" s="86"/>
    </row>
    <row r="824" spans="8:33" ht="15.75" customHeight="1" x14ac:dyDescent="0.3">
      <c r="H824" s="50"/>
      <c r="M824" s="75"/>
      <c r="O824" s="50"/>
      <c r="AA824" s="86"/>
      <c r="AG824" s="86"/>
    </row>
    <row r="825" spans="8:33" ht="15.75" customHeight="1" x14ac:dyDescent="0.3">
      <c r="H825" s="50"/>
      <c r="M825" s="75"/>
      <c r="O825" s="50"/>
      <c r="AA825" s="86"/>
      <c r="AG825" s="86"/>
    </row>
    <row r="826" spans="8:33" ht="15.75" customHeight="1" x14ac:dyDescent="0.3">
      <c r="H826" s="50"/>
      <c r="M826" s="75"/>
      <c r="O826" s="50"/>
      <c r="AA826" s="86"/>
      <c r="AG826" s="86"/>
    </row>
    <row r="827" spans="8:33" ht="15.75" customHeight="1" x14ac:dyDescent="0.3">
      <c r="H827" s="50"/>
      <c r="M827" s="75"/>
      <c r="O827" s="50"/>
      <c r="AA827" s="86"/>
      <c r="AG827" s="86"/>
    </row>
    <row r="828" spans="8:33" ht="15.75" customHeight="1" x14ac:dyDescent="0.3">
      <c r="H828" s="50"/>
      <c r="M828" s="75"/>
      <c r="O828" s="50"/>
      <c r="AA828" s="86"/>
      <c r="AG828" s="86"/>
    </row>
    <row r="829" spans="8:33" ht="15.75" customHeight="1" x14ac:dyDescent="0.3">
      <c r="H829" s="50"/>
      <c r="M829" s="75"/>
      <c r="O829" s="50"/>
      <c r="AA829" s="86"/>
      <c r="AG829" s="86"/>
    </row>
    <row r="830" spans="8:33" ht="15.75" customHeight="1" x14ac:dyDescent="0.3">
      <c r="H830" s="50"/>
      <c r="M830" s="75"/>
      <c r="O830" s="50"/>
      <c r="AA830" s="86"/>
      <c r="AG830" s="86"/>
    </row>
    <row r="831" spans="8:33" ht="15.75" customHeight="1" x14ac:dyDescent="0.3">
      <c r="H831" s="50"/>
      <c r="M831" s="75"/>
      <c r="O831" s="50"/>
      <c r="AA831" s="86"/>
      <c r="AG831" s="86"/>
    </row>
    <row r="832" spans="8:33" ht="15.75" customHeight="1" x14ac:dyDescent="0.3">
      <c r="H832" s="50"/>
      <c r="M832" s="75"/>
      <c r="O832" s="50"/>
      <c r="AA832" s="86"/>
      <c r="AG832" s="86"/>
    </row>
    <row r="833" spans="8:33" ht="15.75" customHeight="1" x14ac:dyDescent="0.3">
      <c r="H833" s="50"/>
      <c r="M833" s="75"/>
      <c r="O833" s="50"/>
      <c r="AA833" s="86"/>
      <c r="AG833" s="86"/>
    </row>
    <row r="834" spans="8:33" ht="15.75" customHeight="1" x14ac:dyDescent="0.3">
      <c r="H834" s="50"/>
      <c r="M834" s="75"/>
      <c r="O834" s="50"/>
      <c r="AA834" s="86"/>
      <c r="AG834" s="86"/>
    </row>
    <row r="835" spans="8:33" ht="15.75" customHeight="1" x14ac:dyDescent="0.3">
      <c r="H835" s="50"/>
      <c r="M835" s="75"/>
      <c r="O835" s="50"/>
      <c r="AA835" s="86"/>
      <c r="AG835" s="86"/>
    </row>
    <row r="836" spans="8:33" ht="15.75" customHeight="1" x14ac:dyDescent="0.3">
      <c r="H836" s="50"/>
      <c r="M836" s="75"/>
      <c r="O836" s="50"/>
      <c r="AA836" s="86"/>
      <c r="AG836" s="86"/>
    </row>
    <row r="837" spans="8:33" ht="15.75" customHeight="1" x14ac:dyDescent="0.3">
      <c r="H837" s="50"/>
      <c r="M837" s="75"/>
      <c r="O837" s="50"/>
      <c r="AA837" s="86"/>
      <c r="AG837" s="86"/>
    </row>
    <row r="838" spans="8:33" ht="15.75" customHeight="1" x14ac:dyDescent="0.3">
      <c r="H838" s="50"/>
      <c r="M838" s="75"/>
      <c r="O838" s="50"/>
      <c r="AA838" s="86"/>
      <c r="AG838" s="86"/>
    </row>
    <row r="839" spans="8:33" ht="15.75" customHeight="1" x14ac:dyDescent="0.3">
      <c r="H839" s="50"/>
      <c r="M839" s="75"/>
      <c r="O839" s="50"/>
      <c r="AA839" s="86"/>
      <c r="AG839" s="86"/>
    </row>
    <row r="840" spans="8:33" ht="15.75" customHeight="1" x14ac:dyDescent="0.3">
      <c r="H840" s="50"/>
      <c r="M840" s="75"/>
      <c r="O840" s="50"/>
      <c r="AA840" s="86"/>
      <c r="AG840" s="86"/>
    </row>
    <row r="841" spans="8:33" ht="15.75" customHeight="1" x14ac:dyDescent="0.3">
      <c r="H841" s="50"/>
      <c r="M841" s="75"/>
      <c r="O841" s="50"/>
      <c r="AA841" s="86"/>
      <c r="AG841" s="86"/>
    </row>
    <row r="842" spans="8:33" ht="15.75" customHeight="1" x14ac:dyDescent="0.3">
      <c r="H842" s="50"/>
      <c r="M842" s="75"/>
      <c r="O842" s="50"/>
      <c r="AA842" s="86"/>
      <c r="AG842" s="86"/>
    </row>
    <row r="843" spans="8:33" ht="15.75" customHeight="1" x14ac:dyDescent="0.3">
      <c r="H843" s="50"/>
      <c r="M843" s="75"/>
      <c r="O843" s="50"/>
      <c r="AA843" s="86"/>
      <c r="AG843" s="86"/>
    </row>
    <row r="844" spans="8:33" ht="15.75" customHeight="1" x14ac:dyDescent="0.3">
      <c r="H844" s="50"/>
      <c r="M844" s="75"/>
      <c r="O844" s="50"/>
      <c r="AA844" s="86"/>
      <c r="AG844" s="86"/>
    </row>
    <row r="845" spans="8:33" ht="15.75" customHeight="1" x14ac:dyDescent="0.3">
      <c r="H845" s="50"/>
      <c r="M845" s="75"/>
      <c r="O845" s="50"/>
      <c r="AA845" s="86"/>
      <c r="AG845" s="86"/>
    </row>
    <row r="846" spans="8:33" ht="15.75" customHeight="1" x14ac:dyDescent="0.3">
      <c r="H846" s="50"/>
      <c r="M846" s="75"/>
      <c r="O846" s="50"/>
      <c r="AA846" s="86"/>
      <c r="AG846" s="86"/>
    </row>
    <row r="847" spans="8:33" ht="15.75" customHeight="1" x14ac:dyDescent="0.3">
      <c r="H847" s="50"/>
      <c r="M847" s="75"/>
      <c r="O847" s="50"/>
      <c r="AA847" s="86"/>
      <c r="AG847" s="86"/>
    </row>
    <row r="848" spans="8:33" ht="15.75" customHeight="1" x14ac:dyDescent="0.3">
      <c r="H848" s="50"/>
      <c r="M848" s="75"/>
      <c r="O848" s="50"/>
      <c r="AA848" s="86"/>
      <c r="AG848" s="86"/>
    </row>
    <row r="849" spans="8:33" ht="15.75" customHeight="1" x14ac:dyDescent="0.3">
      <c r="H849" s="50"/>
      <c r="M849" s="75"/>
      <c r="O849" s="50"/>
      <c r="AA849" s="86"/>
      <c r="AG849" s="86"/>
    </row>
    <row r="850" spans="8:33" ht="15.75" customHeight="1" x14ac:dyDescent="0.3">
      <c r="H850" s="50"/>
      <c r="M850" s="75"/>
      <c r="O850" s="50"/>
      <c r="AA850" s="86"/>
      <c r="AG850" s="86"/>
    </row>
    <row r="851" spans="8:33" ht="15.75" customHeight="1" x14ac:dyDescent="0.3">
      <c r="H851" s="50"/>
      <c r="M851" s="75"/>
      <c r="O851" s="50"/>
      <c r="AA851" s="86"/>
      <c r="AG851" s="86"/>
    </row>
    <row r="852" spans="8:33" ht="15.75" customHeight="1" x14ac:dyDescent="0.3">
      <c r="H852" s="50"/>
      <c r="M852" s="75"/>
      <c r="O852" s="50"/>
      <c r="AA852" s="86"/>
      <c r="AG852" s="86"/>
    </row>
    <row r="853" spans="8:33" ht="15.75" customHeight="1" x14ac:dyDescent="0.3">
      <c r="H853" s="50"/>
      <c r="M853" s="75"/>
      <c r="O853" s="50"/>
      <c r="AA853" s="86"/>
      <c r="AG853" s="86"/>
    </row>
    <row r="854" spans="8:33" ht="15.75" customHeight="1" x14ac:dyDescent="0.3">
      <c r="H854" s="50"/>
      <c r="M854" s="75"/>
      <c r="O854" s="50"/>
      <c r="AA854" s="86"/>
      <c r="AG854" s="86"/>
    </row>
    <row r="855" spans="8:33" ht="15.75" customHeight="1" x14ac:dyDescent="0.3">
      <c r="H855" s="50"/>
      <c r="M855" s="75"/>
      <c r="O855" s="50"/>
      <c r="AA855" s="86"/>
      <c r="AG855" s="86"/>
    </row>
    <row r="856" spans="8:33" ht="15.75" customHeight="1" x14ac:dyDescent="0.3">
      <c r="H856" s="50"/>
      <c r="M856" s="75"/>
      <c r="O856" s="50"/>
      <c r="AA856" s="86"/>
      <c r="AG856" s="86"/>
    </row>
    <row r="857" spans="8:33" ht="15.75" customHeight="1" x14ac:dyDescent="0.3">
      <c r="H857" s="50"/>
      <c r="M857" s="75"/>
      <c r="O857" s="50"/>
      <c r="AA857" s="86"/>
      <c r="AG857" s="86"/>
    </row>
    <row r="858" spans="8:33" ht="15.75" customHeight="1" x14ac:dyDescent="0.3">
      <c r="H858" s="50"/>
      <c r="M858" s="75"/>
      <c r="O858" s="50"/>
      <c r="AA858" s="86"/>
      <c r="AG858" s="86"/>
    </row>
    <row r="859" spans="8:33" ht="15.75" customHeight="1" x14ac:dyDescent="0.3">
      <c r="H859" s="50"/>
      <c r="M859" s="75"/>
      <c r="O859" s="50"/>
      <c r="AA859" s="86"/>
      <c r="AG859" s="86"/>
    </row>
    <row r="860" spans="8:33" ht="15.75" customHeight="1" x14ac:dyDescent="0.3">
      <c r="H860" s="50"/>
      <c r="M860" s="75"/>
      <c r="O860" s="50"/>
      <c r="AA860" s="86"/>
      <c r="AG860" s="86"/>
    </row>
    <row r="861" spans="8:33" ht="15.75" customHeight="1" x14ac:dyDescent="0.3">
      <c r="H861" s="50"/>
      <c r="M861" s="75"/>
      <c r="O861" s="50"/>
      <c r="AA861" s="86"/>
      <c r="AG861" s="86"/>
    </row>
    <row r="862" spans="8:33" ht="15.75" customHeight="1" x14ac:dyDescent="0.3">
      <c r="H862" s="50"/>
      <c r="M862" s="75"/>
      <c r="O862" s="50"/>
      <c r="AA862" s="86"/>
      <c r="AG862" s="86"/>
    </row>
    <row r="863" spans="8:33" ht="15.75" customHeight="1" x14ac:dyDescent="0.3">
      <c r="H863" s="50"/>
      <c r="M863" s="75"/>
      <c r="O863" s="50"/>
      <c r="AA863" s="86"/>
      <c r="AG863" s="86"/>
    </row>
    <row r="864" spans="8:33" ht="15.75" customHeight="1" x14ac:dyDescent="0.3">
      <c r="H864" s="50"/>
      <c r="M864" s="75"/>
      <c r="O864" s="50"/>
      <c r="AA864" s="86"/>
      <c r="AG864" s="86"/>
    </row>
    <row r="865" spans="8:33" ht="15.75" customHeight="1" x14ac:dyDescent="0.3">
      <c r="H865" s="50"/>
      <c r="M865" s="75"/>
      <c r="O865" s="50"/>
      <c r="AA865" s="86"/>
      <c r="AG865" s="86"/>
    </row>
    <row r="866" spans="8:33" ht="15.75" customHeight="1" x14ac:dyDescent="0.3">
      <c r="H866" s="50"/>
      <c r="M866" s="75"/>
      <c r="O866" s="50"/>
      <c r="AA866" s="86"/>
      <c r="AG866" s="86"/>
    </row>
    <row r="867" spans="8:33" ht="15.75" customHeight="1" x14ac:dyDescent="0.3">
      <c r="H867" s="50"/>
      <c r="M867" s="75"/>
      <c r="O867" s="50"/>
      <c r="AA867" s="86"/>
      <c r="AG867" s="86"/>
    </row>
    <row r="868" spans="8:33" ht="15.75" customHeight="1" x14ac:dyDescent="0.3">
      <c r="H868" s="50"/>
      <c r="M868" s="75"/>
      <c r="O868" s="50"/>
      <c r="AA868" s="86"/>
      <c r="AG868" s="86"/>
    </row>
    <row r="869" spans="8:33" ht="15.75" customHeight="1" x14ac:dyDescent="0.3">
      <c r="H869" s="50"/>
      <c r="M869" s="75"/>
      <c r="O869" s="50"/>
      <c r="AA869" s="86"/>
      <c r="AG869" s="86"/>
    </row>
    <row r="870" spans="8:33" ht="15.75" customHeight="1" x14ac:dyDescent="0.3">
      <c r="H870" s="50"/>
      <c r="M870" s="75"/>
      <c r="O870" s="50"/>
      <c r="AA870" s="86"/>
      <c r="AG870" s="86"/>
    </row>
    <row r="871" spans="8:33" ht="15.75" customHeight="1" x14ac:dyDescent="0.3">
      <c r="H871" s="50"/>
      <c r="M871" s="75"/>
      <c r="O871" s="50"/>
      <c r="AA871" s="86"/>
      <c r="AG871" s="86"/>
    </row>
    <row r="872" spans="8:33" ht="15.75" customHeight="1" x14ac:dyDescent="0.3">
      <c r="H872" s="50"/>
      <c r="M872" s="75"/>
      <c r="O872" s="50"/>
      <c r="AA872" s="86"/>
      <c r="AG872" s="86"/>
    </row>
    <row r="873" spans="8:33" ht="15.75" customHeight="1" x14ac:dyDescent="0.3">
      <c r="H873" s="50"/>
      <c r="M873" s="75"/>
      <c r="O873" s="50"/>
      <c r="AA873" s="86"/>
      <c r="AG873" s="86"/>
    </row>
    <row r="874" spans="8:33" ht="15.75" customHeight="1" x14ac:dyDescent="0.3">
      <c r="H874" s="50"/>
      <c r="M874" s="75"/>
      <c r="O874" s="50"/>
      <c r="AA874" s="86"/>
      <c r="AG874" s="86"/>
    </row>
    <row r="875" spans="8:33" ht="15.75" customHeight="1" x14ac:dyDescent="0.3">
      <c r="H875" s="50"/>
      <c r="M875" s="75"/>
      <c r="O875" s="50"/>
      <c r="AA875" s="86"/>
      <c r="AG875" s="86"/>
    </row>
    <row r="876" spans="8:33" ht="15.75" customHeight="1" x14ac:dyDescent="0.3">
      <c r="H876" s="50"/>
      <c r="M876" s="75"/>
      <c r="O876" s="50"/>
      <c r="AA876" s="86"/>
      <c r="AG876" s="86"/>
    </row>
    <row r="877" spans="8:33" ht="15.75" customHeight="1" x14ac:dyDescent="0.3">
      <c r="H877" s="50"/>
      <c r="M877" s="75"/>
      <c r="O877" s="50"/>
      <c r="AA877" s="86"/>
      <c r="AG877" s="86"/>
    </row>
    <row r="878" spans="8:33" ht="15.75" customHeight="1" x14ac:dyDescent="0.3">
      <c r="H878" s="50"/>
      <c r="M878" s="75"/>
      <c r="O878" s="50"/>
      <c r="AA878" s="86"/>
      <c r="AG878" s="86"/>
    </row>
    <row r="879" spans="8:33" ht="15.75" customHeight="1" x14ac:dyDescent="0.3">
      <c r="H879" s="50"/>
      <c r="M879" s="75"/>
      <c r="O879" s="50"/>
      <c r="AA879" s="86"/>
      <c r="AG879" s="86"/>
    </row>
    <row r="880" spans="8:33" ht="15.75" customHeight="1" x14ac:dyDescent="0.3">
      <c r="H880" s="50"/>
      <c r="M880" s="75"/>
      <c r="O880" s="50"/>
      <c r="AA880" s="86"/>
      <c r="AG880" s="86"/>
    </row>
    <row r="881" spans="8:33" ht="15.75" customHeight="1" x14ac:dyDescent="0.3">
      <c r="H881" s="50"/>
      <c r="M881" s="75"/>
      <c r="O881" s="50"/>
      <c r="AA881" s="86"/>
      <c r="AG881" s="86"/>
    </row>
    <row r="882" spans="8:33" ht="15.75" customHeight="1" x14ac:dyDescent="0.3">
      <c r="H882" s="50"/>
      <c r="M882" s="75"/>
      <c r="O882" s="50"/>
      <c r="AA882" s="86"/>
      <c r="AG882" s="86"/>
    </row>
    <row r="883" spans="8:33" ht="15.75" customHeight="1" x14ac:dyDescent="0.3">
      <c r="H883" s="50"/>
      <c r="M883" s="75"/>
      <c r="O883" s="50"/>
      <c r="AA883" s="86"/>
      <c r="AG883" s="86"/>
    </row>
    <row r="884" spans="8:33" ht="15.75" customHeight="1" x14ac:dyDescent="0.3">
      <c r="H884" s="50"/>
      <c r="M884" s="75"/>
      <c r="O884" s="50"/>
      <c r="AA884" s="86"/>
      <c r="AG884" s="86"/>
    </row>
    <row r="885" spans="8:33" ht="15.75" customHeight="1" x14ac:dyDescent="0.3">
      <c r="H885" s="50"/>
      <c r="M885" s="75"/>
      <c r="O885" s="50"/>
      <c r="AA885" s="86"/>
      <c r="AG885" s="86"/>
    </row>
    <row r="886" spans="8:33" ht="15.75" customHeight="1" x14ac:dyDescent="0.3">
      <c r="H886" s="50"/>
      <c r="M886" s="75"/>
      <c r="O886" s="50"/>
      <c r="AA886" s="86"/>
      <c r="AG886" s="86"/>
    </row>
    <row r="887" spans="8:33" ht="15.75" customHeight="1" x14ac:dyDescent="0.3">
      <c r="H887" s="50"/>
      <c r="M887" s="75"/>
      <c r="O887" s="50"/>
      <c r="AA887" s="86"/>
      <c r="AG887" s="86"/>
    </row>
    <row r="888" spans="8:33" ht="15.75" customHeight="1" x14ac:dyDescent="0.3">
      <c r="H888" s="50"/>
      <c r="M888" s="75"/>
      <c r="O888" s="50"/>
      <c r="AA888" s="86"/>
      <c r="AG888" s="86"/>
    </row>
    <row r="889" spans="8:33" ht="15.75" customHeight="1" x14ac:dyDescent="0.3">
      <c r="H889" s="50"/>
      <c r="M889" s="75"/>
      <c r="O889" s="50"/>
      <c r="AA889" s="86"/>
      <c r="AG889" s="86"/>
    </row>
    <row r="890" spans="8:33" ht="15.75" customHeight="1" x14ac:dyDescent="0.3">
      <c r="H890" s="50"/>
      <c r="M890" s="75"/>
      <c r="O890" s="50"/>
      <c r="AA890" s="86"/>
      <c r="AG890" s="86"/>
    </row>
    <row r="891" spans="8:33" ht="15.75" customHeight="1" x14ac:dyDescent="0.3">
      <c r="H891" s="50"/>
      <c r="M891" s="75"/>
      <c r="O891" s="50"/>
      <c r="AA891" s="86"/>
      <c r="AG891" s="86"/>
    </row>
    <row r="892" spans="8:33" ht="15.75" customHeight="1" x14ac:dyDescent="0.3">
      <c r="H892" s="50"/>
      <c r="M892" s="75"/>
      <c r="O892" s="50"/>
      <c r="AA892" s="86"/>
      <c r="AG892" s="86"/>
    </row>
    <row r="893" spans="8:33" ht="15.75" customHeight="1" x14ac:dyDescent="0.3">
      <c r="H893" s="50"/>
      <c r="M893" s="75"/>
      <c r="O893" s="50"/>
      <c r="AA893" s="86"/>
      <c r="AG893" s="86"/>
    </row>
    <row r="894" spans="8:33" ht="15.75" customHeight="1" x14ac:dyDescent="0.3">
      <c r="H894" s="50"/>
      <c r="M894" s="75"/>
      <c r="O894" s="50"/>
      <c r="AA894" s="86"/>
      <c r="AG894" s="86"/>
    </row>
    <row r="895" spans="8:33" ht="15.75" customHeight="1" x14ac:dyDescent="0.3">
      <c r="H895" s="50"/>
      <c r="M895" s="75"/>
      <c r="O895" s="50"/>
      <c r="AA895" s="86"/>
      <c r="AG895" s="86"/>
    </row>
    <row r="896" spans="8:33" ht="15.75" customHeight="1" x14ac:dyDescent="0.3">
      <c r="H896" s="50"/>
      <c r="M896" s="75"/>
      <c r="O896" s="50"/>
      <c r="AA896" s="86"/>
      <c r="AG896" s="86"/>
    </row>
    <row r="897" spans="8:33" ht="15.75" customHeight="1" x14ac:dyDescent="0.3">
      <c r="H897" s="50"/>
      <c r="M897" s="75"/>
      <c r="O897" s="50"/>
      <c r="AA897" s="86"/>
      <c r="AG897" s="86"/>
    </row>
    <row r="898" spans="8:33" ht="15.75" customHeight="1" x14ac:dyDescent="0.3">
      <c r="H898" s="50"/>
      <c r="M898" s="75"/>
      <c r="O898" s="50"/>
      <c r="AA898" s="86"/>
      <c r="AG898" s="86"/>
    </row>
    <row r="899" spans="8:33" ht="15.75" customHeight="1" x14ac:dyDescent="0.3">
      <c r="H899" s="50"/>
      <c r="M899" s="75"/>
      <c r="O899" s="50"/>
      <c r="AA899" s="86"/>
      <c r="AG899" s="86"/>
    </row>
    <row r="900" spans="8:33" ht="15.75" customHeight="1" x14ac:dyDescent="0.3">
      <c r="H900" s="50"/>
      <c r="M900" s="75"/>
      <c r="O900" s="50"/>
      <c r="AA900" s="86"/>
      <c r="AG900" s="86"/>
    </row>
    <row r="901" spans="8:33" ht="15.75" customHeight="1" x14ac:dyDescent="0.3">
      <c r="H901" s="50"/>
      <c r="M901" s="75"/>
      <c r="O901" s="50"/>
      <c r="AA901" s="86"/>
      <c r="AG901" s="86"/>
    </row>
    <row r="902" spans="8:33" ht="15.75" customHeight="1" x14ac:dyDescent="0.3">
      <c r="H902" s="50"/>
      <c r="M902" s="75"/>
      <c r="O902" s="50"/>
      <c r="AA902" s="86"/>
      <c r="AG902" s="86"/>
    </row>
    <row r="903" spans="8:33" ht="15.75" customHeight="1" x14ac:dyDescent="0.3">
      <c r="H903" s="50"/>
      <c r="M903" s="75"/>
      <c r="O903" s="50"/>
      <c r="AA903" s="86"/>
      <c r="AG903" s="86"/>
    </row>
    <row r="904" spans="8:33" ht="15.75" customHeight="1" x14ac:dyDescent="0.3">
      <c r="H904" s="50"/>
      <c r="M904" s="75"/>
      <c r="O904" s="50"/>
      <c r="AA904" s="86"/>
      <c r="AG904" s="86"/>
    </row>
    <row r="905" spans="8:33" ht="15.75" customHeight="1" x14ac:dyDescent="0.3">
      <c r="H905" s="50"/>
      <c r="M905" s="75"/>
      <c r="O905" s="50"/>
      <c r="AA905" s="86"/>
      <c r="AG905" s="86"/>
    </row>
    <row r="906" spans="8:33" ht="15.75" customHeight="1" x14ac:dyDescent="0.3">
      <c r="H906" s="50"/>
      <c r="M906" s="75"/>
      <c r="O906" s="50"/>
      <c r="AA906" s="86"/>
      <c r="AG906" s="86"/>
    </row>
    <row r="907" spans="8:33" ht="15.75" customHeight="1" x14ac:dyDescent="0.3">
      <c r="H907" s="50"/>
      <c r="M907" s="75"/>
      <c r="O907" s="50"/>
      <c r="AA907" s="86"/>
      <c r="AG907" s="86"/>
    </row>
    <row r="908" spans="8:33" ht="15.75" customHeight="1" x14ac:dyDescent="0.3">
      <c r="H908" s="50"/>
      <c r="M908" s="75"/>
      <c r="O908" s="50"/>
      <c r="AA908" s="86"/>
      <c r="AG908" s="86"/>
    </row>
    <row r="909" spans="8:33" ht="15.75" customHeight="1" x14ac:dyDescent="0.3">
      <c r="H909" s="50"/>
      <c r="M909" s="75"/>
      <c r="O909" s="50"/>
      <c r="AA909" s="86"/>
      <c r="AG909" s="86"/>
    </row>
    <row r="910" spans="8:33" ht="15.75" customHeight="1" x14ac:dyDescent="0.3">
      <c r="H910" s="50"/>
      <c r="M910" s="75"/>
      <c r="O910" s="50"/>
      <c r="AA910" s="86"/>
      <c r="AG910" s="86"/>
    </row>
    <row r="911" spans="8:33" ht="15.75" customHeight="1" x14ac:dyDescent="0.3">
      <c r="H911" s="50"/>
      <c r="M911" s="75"/>
      <c r="O911" s="50"/>
      <c r="AA911" s="86"/>
      <c r="AG911" s="86"/>
    </row>
    <row r="912" spans="8:33" ht="15.75" customHeight="1" x14ac:dyDescent="0.3">
      <c r="H912" s="50"/>
      <c r="M912" s="75"/>
      <c r="O912" s="50"/>
      <c r="AA912" s="86"/>
      <c r="AG912" s="86"/>
    </row>
    <row r="913" spans="8:33" ht="15.75" customHeight="1" x14ac:dyDescent="0.3">
      <c r="H913" s="50"/>
      <c r="M913" s="75"/>
      <c r="O913" s="50"/>
      <c r="AA913" s="86"/>
      <c r="AG913" s="86"/>
    </row>
    <row r="914" spans="8:33" ht="15.75" customHeight="1" x14ac:dyDescent="0.3">
      <c r="H914" s="50"/>
      <c r="M914" s="75"/>
      <c r="O914" s="50"/>
      <c r="AA914" s="86"/>
      <c r="AG914" s="86"/>
    </row>
    <row r="915" spans="8:33" ht="15.75" customHeight="1" x14ac:dyDescent="0.3">
      <c r="H915" s="50"/>
      <c r="M915" s="75"/>
      <c r="O915" s="50"/>
      <c r="AA915" s="86"/>
      <c r="AG915" s="86"/>
    </row>
    <row r="916" spans="8:33" ht="15.75" customHeight="1" x14ac:dyDescent="0.3">
      <c r="H916" s="50"/>
      <c r="M916" s="75"/>
      <c r="O916" s="50"/>
      <c r="AA916" s="86"/>
      <c r="AG916" s="86"/>
    </row>
    <row r="917" spans="8:33" ht="15.75" customHeight="1" x14ac:dyDescent="0.3">
      <c r="H917" s="50"/>
      <c r="M917" s="75"/>
      <c r="O917" s="50"/>
      <c r="AA917" s="86"/>
      <c r="AG917" s="86"/>
    </row>
    <row r="918" spans="8:33" ht="15.75" customHeight="1" x14ac:dyDescent="0.3">
      <c r="H918" s="50"/>
      <c r="M918" s="75"/>
      <c r="O918" s="50"/>
      <c r="AA918" s="86"/>
      <c r="AG918" s="86"/>
    </row>
    <row r="919" spans="8:33" ht="15.75" customHeight="1" x14ac:dyDescent="0.3">
      <c r="H919" s="50"/>
      <c r="M919" s="75"/>
      <c r="O919" s="50"/>
      <c r="AA919" s="86"/>
      <c r="AG919" s="86"/>
    </row>
    <row r="920" spans="8:33" ht="15.75" customHeight="1" x14ac:dyDescent="0.3">
      <c r="H920" s="50"/>
      <c r="M920" s="75"/>
      <c r="O920" s="50"/>
      <c r="AA920" s="86"/>
      <c r="AG920" s="86"/>
    </row>
    <row r="921" spans="8:33" ht="15.75" customHeight="1" x14ac:dyDescent="0.3">
      <c r="H921" s="50"/>
      <c r="M921" s="75"/>
      <c r="O921" s="50"/>
      <c r="AA921" s="86"/>
      <c r="AG921" s="86"/>
    </row>
    <row r="922" spans="8:33" ht="15.75" customHeight="1" x14ac:dyDescent="0.3">
      <c r="H922" s="50"/>
      <c r="M922" s="75"/>
      <c r="O922" s="50"/>
      <c r="AA922" s="86"/>
      <c r="AG922" s="86"/>
    </row>
    <row r="923" spans="8:33" ht="15.75" customHeight="1" x14ac:dyDescent="0.3">
      <c r="H923" s="50"/>
      <c r="M923" s="75"/>
      <c r="O923" s="50"/>
      <c r="AA923" s="86"/>
      <c r="AG923" s="86"/>
    </row>
    <row r="924" spans="8:33" ht="15.75" customHeight="1" x14ac:dyDescent="0.3">
      <c r="H924" s="50"/>
      <c r="M924" s="75"/>
      <c r="O924" s="50"/>
      <c r="AA924" s="86"/>
      <c r="AG924" s="86"/>
    </row>
    <row r="925" spans="8:33" ht="15.75" customHeight="1" x14ac:dyDescent="0.3">
      <c r="H925" s="50"/>
      <c r="M925" s="75"/>
      <c r="O925" s="50"/>
      <c r="AA925" s="86"/>
      <c r="AG925" s="86"/>
    </row>
    <row r="926" spans="8:33" ht="15.75" customHeight="1" x14ac:dyDescent="0.3">
      <c r="H926" s="50"/>
      <c r="M926" s="75"/>
      <c r="O926" s="50"/>
      <c r="AA926" s="86"/>
      <c r="AG926" s="86"/>
    </row>
    <row r="927" spans="8:33" ht="15.75" customHeight="1" x14ac:dyDescent="0.3">
      <c r="H927" s="50"/>
      <c r="M927" s="75"/>
      <c r="O927" s="50"/>
      <c r="AA927" s="86"/>
      <c r="AG927" s="86"/>
    </row>
    <row r="928" spans="8:33" ht="15.75" customHeight="1" x14ac:dyDescent="0.3">
      <c r="H928" s="50"/>
      <c r="M928" s="75"/>
      <c r="O928" s="50"/>
      <c r="AA928" s="86"/>
      <c r="AG928" s="86"/>
    </row>
    <row r="929" spans="8:33" ht="15.75" customHeight="1" x14ac:dyDescent="0.3">
      <c r="H929" s="50"/>
      <c r="M929" s="75"/>
      <c r="O929" s="50"/>
      <c r="AA929" s="86"/>
      <c r="AG929" s="86"/>
    </row>
    <row r="930" spans="8:33" ht="15.75" customHeight="1" x14ac:dyDescent="0.3">
      <c r="H930" s="50"/>
      <c r="M930" s="75"/>
      <c r="O930" s="50"/>
      <c r="AA930" s="86"/>
      <c r="AG930" s="86"/>
    </row>
    <row r="931" spans="8:33" ht="15.75" customHeight="1" x14ac:dyDescent="0.3">
      <c r="H931" s="50"/>
      <c r="M931" s="75"/>
      <c r="O931" s="50"/>
      <c r="AA931" s="86"/>
      <c r="AG931" s="86"/>
    </row>
    <row r="932" spans="8:33" ht="15.75" customHeight="1" x14ac:dyDescent="0.3">
      <c r="H932" s="50"/>
      <c r="M932" s="75"/>
      <c r="O932" s="50"/>
      <c r="AA932" s="86"/>
      <c r="AG932" s="86"/>
    </row>
    <row r="933" spans="8:33" ht="15.75" customHeight="1" x14ac:dyDescent="0.3">
      <c r="H933" s="50"/>
      <c r="M933" s="75"/>
      <c r="O933" s="50"/>
      <c r="AA933" s="86"/>
      <c r="AG933" s="86"/>
    </row>
    <row r="934" spans="8:33" ht="15.75" customHeight="1" x14ac:dyDescent="0.3">
      <c r="H934" s="50"/>
      <c r="M934" s="75"/>
      <c r="O934" s="50"/>
      <c r="AA934" s="86"/>
      <c r="AG934" s="86"/>
    </row>
    <row r="935" spans="8:33" ht="15.75" customHeight="1" x14ac:dyDescent="0.3">
      <c r="H935" s="50"/>
      <c r="M935" s="75"/>
      <c r="O935" s="50"/>
      <c r="AA935" s="86"/>
      <c r="AG935" s="86"/>
    </row>
    <row r="936" spans="8:33" ht="15.75" customHeight="1" x14ac:dyDescent="0.3">
      <c r="H936" s="50"/>
      <c r="M936" s="75"/>
      <c r="O936" s="50"/>
      <c r="AA936" s="86"/>
      <c r="AG936" s="86"/>
    </row>
    <row r="937" spans="8:33" ht="15.75" customHeight="1" x14ac:dyDescent="0.3">
      <c r="H937" s="50"/>
      <c r="M937" s="75"/>
      <c r="O937" s="50"/>
      <c r="AA937" s="86"/>
      <c r="AG937" s="86"/>
    </row>
    <row r="938" spans="8:33" ht="15.75" customHeight="1" x14ac:dyDescent="0.3">
      <c r="H938" s="50"/>
      <c r="M938" s="75"/>
      <c r="O938" s="50"/>
      <c r="AA938" s="86"/>
      <c r="AG938" s="86"/>
    </row>
    <row r="939" spans="8:33" ht="15.75" customHeight="1" x14ac:dyDescent="0.3">
      <c r="H939" s="50"/>
      <c r="M939" s="75"/>
      <c r="O939" s="50"/>
      <c r="AA939" s="86"/>
      <c r="AG939" s="86"/>
    </row>
    <row r="940" spans="8:33" ht="15.75" customHeight="1" x14ac:dyDescent="0.3">
      <c r="H940" s="50"/>
      <c r="M940" s="75"/>
      <c r="O940" s="50"/>
      <c r="AA940" s="86"/>
      <c r="AG940" s="86"/>
    </row>
    <row r="941" spans="8:33" ht="15.75" customHeight="1" x14ac:dyDescent="0.3">
      <c r="H941" s="50"/>
      <c r="M941" s="75"/>
      <c r="O941" s="50"/>
      <c r="AA941" s="86"/>
      <c r="AG941" s="86"/>
    </row>
    <row r="942" spans="8:33" ht="15.75" customHeight="1" x14ac:dyDescent="0.3">
      <c r="H942" s="50"/>
      <c r="M942" s="75"/>
      <c r="O942" s="50"/>
      <c r="AA942" s="86"/>
      <c r="AG942" s="86"/>
    </row>
    <row r="943" spans="8:33" ht="15.75" customHeight="1" x14ac:dyDescent="0.3">
      <c r="H943" s="50"/>
      <c r="M943" s="75"/>
      <c r="O943" s="50"/>
      <c r="AA943" s="86"/>
      <c r="AG943" s="86"/>
    </row>
    <row r="944" spans="8:33" ht="15.75" customHeight="1" x14ac:dyDescent="0.3">
      <c r="H944" s="50"/>
      <c r="M944" s="75"/>
      <c r="O944" s="50"/>
      <c r="AA944" s="86"/>
      <c r="AG944" s="86"/>
    </row>
    <row r="945" spans="8:33" ht="15.75" customHeight="1" x14ac:dyDescent="0.3">
      <c r="H945" s="50"/>
      <c r="M945" s="75"/>
      <c r="O945" s="50"/>
      <c r="AA945" s="86"/>
      <c r="AG945" s="86"/>
    </row>
    <row r="946" spans="8:33" ht="15.75" customHeight="1" x14ac:dyDescent="0.3">
      <c r="H946" s="50"/>
      <c r="M946" s="75"/>
      <c r="O946" s="50"/>
      <c r="AA946" s="86"/>
      <c r="AG946" s="86"/>
    </row>
    <row r="947" spans="8:33" ht="15.75" customHeight="1" x14ac:dyDescent="0.3">
      <c r="H947" s="50"/>
      <c r="M947" s="75"/>
      <c r="O947" s="50"/>
      <c r="AA947" s="86"/>
      <c r="AG947" s="86"/>
    </row>
    <row r="948" spans="8:33" ht="15.75" customHeight="1" x14ac:dyDescent="0.3">
      <c r="H948" s="50"/>
      <c r="M948" s="75"/>
      <c r="O948" s="50"/>
      <c r="AA948" s="86"/>
      <c r="AG948" s="86"/>
    </row>
    <row r="949" spans="8:33" ht="15.75" customHeight="1" x14ac:dyDescent="0.3">
      <c r="H949" s="50"/>
      <c r="M949" s="75"/>
      <c r="O949" s="50"/>
      <c r="AA949" s="86"/>
      <c r="AG949" s="86"/>
    </row>
    <row r="950" spans="8:33" ht="15.75" customHeight="1" x14ac:dyDescent="0.3">
      <c r="H950" s="50"/>
      <c r="M950" s="75"/>
      <c r="O950" s="50"/>
      <c r="AA950" s="86"/>
      <c r="AG950" s="86"/>
    </row>
    <row r="951" spans="8:33" ht="15.75" customHeight="1" x14ac:dyDescent="0.3">
      <c r="H951" s="50"/>
      <c r="M951" s="75"/>
      <c r="O951" s="50"/>
      <c r="AA951" s="86"/>
      <c r="AG951" s="86"/>
    </row>
    <row r="952" spans="8:33" ht="15.75" customHeight="1" x14ac:dyDescent="0.3">
      <c r="H952" s="50"/>
      <c r="M952" s="75"/>
      <c r="O952" s="50"/>
      <c r="AA952" s="86"/>
      <c r="AG952" s="86"/>
    </row>
    <row r="953" spans="8:33" ht="15.75" customHeight="1" x14ac:dyDescent="0.3">
      <c r="H953" s="50"/>
      <c r="M953" s="75"/>
      <c r="O953" s="50"/>
      <c r="AA953" s="86"/>
      <c r="AG953" s="86"/>
    </row>
    <row r="954" spans="8:33" ht="15.75" customHeight="1" x14ac:dyDescent="0.3">
      <c r="H954" s="50"/>
      <c r="M954" s="75"/>
      <c r="O954" s="50"/>
      <c r="AA954" s="86"/>
      <c r="AG954" s="86"/>
    </row>
    <row r="955" spans="8:33" ht="15.75" customHeight="1" x14ac:dyDescent="0.3">
      <c r="H955" s="50"/>
      <c r="M955" s="75"/>
      <c r="O955" s="50"/>
      <c r="AA955" s="86"/>
      <c r="AG955" s="86"/>
    </row>
    <row r="956" spans="8:33" ht="15.75" customHeight="1" x14ac:dyDescent="0.3">
      <c r="H956" s="50"/>
      <c r="M956" s="75"/>
      <c r="O956" s="50"/>
      <c r="AA956" s="86"/>
      <c r="AG956" s="86"/>
    </row>
    <row r="957" spans="8:33" ht="15.75" customHeight="1" x14ac:dyDescent="0.3">
      <c r="H957" s="50"/>
      <c r="M957" s="75"/>
      <c r="O957" s="50"/>
      <c r="AA957" s="86"/>
      <c r="AG957" s="86"/>
    </row>
    <row r="958" spans="8:33" ht="15.75" customHeight="1" x14ac:dyDescent="0.3">
      <c r="H958" s="50"/>
      <c r="M958" s="75"/>
      <c r="O958" s="50"/>
      <c r="AA958" s="86"/>
      <c r="AG958" s="86"/>
    </row>
    <row r="959" spans="8:33" ht="15.75" customHeight="1" x14ac:dyDescent="0.3">
      <c r="H959" s="50"/>
      <c r="M959" s="75"/>
      <c r="O959" s="50"/>
      <c r="AA959" s="86"/>
      <c r="AG959" s="86"/>
    </row>
    <row r="960" spans="8:33" ht="15.75" customHeight="1" x14ac:dyDescent="0.3">
      <c r="H960" s="50"/>
      <c r="M960" s="75"/>
      <c r="O960" s="50"/>
      <c r="AA960" s="86"/>
      <c r="AG960" s="86"/>
    </row>
    <row r="961" spans="8:33" ht="15.75" customHeight="1" x14ac:dyDescent="0.3">
      <c r="H961" s="50"/>
      <c r="M961" s="75"/>
      <c r="O961" s="50"/>
      <c r="AA961" s="86"/>
      <c r="AG961" s="86"/>
    </row>
    <row r="962" spans="8:33" ht="15.75" customHeight="1" x14ac:dyDescent="0.3">
      <c r="H962" s="50"/>
      <c r="M962" s="75"/>
      <c r="O962" s="50"/>
      <c r="AA962" s="86"/>
      <c r="AG962" s="86"/>
    </row>
    <row r="963" spans="8:33" ht="15.75" customHeight="1" x14ac:dyDescent="0.3">
      <c r="H963" s="50"/>
      <c r="M963" s="75"/>
      <c r="O963" s="50"/>
      <c r="AA963" s="86"/>
      <c r="AG963" s="86"/>
    </row>
    <row r="964" spans="8:33" ht="15.75" customHeight="1" x14ac:dyDescent="0.3">
      <c r="H964" s="50"/>
      <c r="M964" s="75"/>
      <c r="O964" s="50"/>
      <c r="AA964" s="86"/>
      <c r="AG964" s="86"/>
    </row>
    <row r="965" spans="8:33" ht="15.75" customHeight="1" x14ac:dyDescent="0.3">
      <c r="H965" s="50"/>
      <c r="M965" s="75"/>
      <c r="O965" s="50"/>
      <c r="AA965" s="86"/>
      <c r="AG965" s="86"/>
    </row>
    <row r="966" spans="8:33" ht="15.75" customHeight="1" x14ac:dyDescent="0.3">
      <c r="H966" s="50"/>
      <c r="M966" s="75"/>
      <c r="O966" s="50"/>
      <c r="AA966" s="86"/>
      <c r="AG966" s="86"/>
    </row>
    <row r="967" spans="8:33" ht="15.75" customHeight="1" x14ac:dyDescent="0.3">
      <c r="H967" s="50"/>
      <c r="M967" s="75"/>
      <c r="O967" s="50"/>
      <c r="AA967" s="86"/>
      <c r="AG967" s="86"/>
    </row>
    <row r="968" spans="8:33" ht="15.75" customHeight="1" x14ac:dyDescent="0.3">
      <c r="H968" s="50"/>
      <c r="M968" s="75"/>
      <c r="O968" s="50"/>
      <c r="AA968" s="86"/>
      <c r="AG968" s="86"/>
    </row>
    <row r="969" spans="8:33" ht="15.75" customHeight="1" x14ac:dyDescent="0.3">
      <c r="H969" s="50"/>
      <c r="M969" s="75"/>
      <c r="O969" s="50"/>
      <c r="AA969" s="86"/>
      <c r="AG969" s="86"/>
    </row>
    <row r="970" spans="8:33" ht="15.75" customHeight="1" x14ac:dyDescent="0.3">
      <c r="H970" s="50"/>
      <c r="M970" s="75"/>
      <c r="O970" s="50"/>
      <c r="AA970" s="86"/>
      <c r="AG970" s="86"/>
    </row>
    <row r="971" spans="8:33" ht="15.75" customHeight="1" x14ac:dyDescent="0.3">
      <c r="H971" s="50"/>
      <c r="M971" s="75"/>
      <c r="O971" s="50"/>
      <c r="AA971" s="86"/>
      <c r="AG971" s="86"/>
    </row>
    <row r="972" spans="8:33" ht="15.75" customHeight="1" x14ac:dyDescent="0.3">
      <c r="H972" s="50"/>
      <c r="M972" s="75"/>
      <c r="O972" s="50"/>
      <c r="AA972" s="86"/>
      <c r="AG972" s="86"/>
    </row>
    <row r="973" spans="8:33" ht="15.75" customHeight="1" x14ac:dyDescent="0.3">
      <c r="H973" s="50"/>
      <c r="M973" s="75"/>
      <c r="O973" s="50"/>
      <c r="AA973" s="86"/>
      <c r="AG973" s="86"/>
    </row>
    <row r="974" spans="8:33" ht="15.75" customHeight="1" x14ac:dyDescent="0.3">
      <c r="H974" s="50"/>
      <c r="M974" s="75"/>
      <c r="O974" s="50"/>
      <c r="AA974" s="86"/>
      <c r="AG974" s="86"/>
    </row>
    <row r="975" spans="8:33" ht="15.75" customHeight="1" x14ac:dyDescent="0.3">
      <c r="H975" s="50"/>
      <c r="M975" s="75"/>
      <c r="O975" s="50"/>
      <c r="AA975" s="86"/>
      <c r="AG975" s="86"/>
    </row>
    <row r="976" spans="8:33" ht="15.75" customHeight="1" x14ac:dyDescent="0.3">
      <c r="H976" s="50"/>
      <c r="M976" s="75"/>
      <c r="O976" s="50"/>
      <c r="AA976" s="86"/>
      <c r="AG976" s="86"/>
    </row>
    <row r="977" spans="8:33" ht="15.75" customHeight="1" x14ac:dyDescent="0.3">
      <c r="H977" s="50"/>
      <c r="M977" s="75"/>
      <c r="O977" s="50"/>
      <c r="AA977" s="86"/>
      <c r="AG977" s="86"/>
    </row>
    <row r="978" spans="8:33" ht="15.75" customHeight="1" x14ac:dyDescent="0.3">
      <c r="H978" s="50"/>
      <c r="M978" s="75"/>
      <c r="O978" s="50"/>
      <c r="AA978" s="86"/>
      <c r="AG978" s="86"/>
    </row>
    <row r="979" spans="8:33" ht="15.75" customHeight="1" x14ac:dyDescent="0.3">
      <c r="H979" s="50"/>
      <c r="M979" s="75"/>
      <c r="O979" s="50"/>
      <c r="AA979" s="86"/>
      <c r="AG979" s="86"/>
    </row>
    <row r="980" spans="8:33" ht="15.75" customHeight="1" x14ac:dyDescent="0.3">
      <c r="H980" s="50"/>
      <c r="M980" s="75"/>
      <c r="O980" s="50"/>
      <c r="AA980" s="86"/>
      <c r="AG980" s="86"/>
    </row>
    <row r="981" spans="8:33" ht="15.75" customHeight="1" x14ac:dyDescent="0.3">
      <c r="H981" s="50"/>
      <c r="M981" s="75"/>
      <c r="O981" s="50"/>
      <c r="AA981" s="86"/>
      <c r="AG981" s="86"/>
    </row>
    <row r="982" spans="8:33" ht="15.75" customHeight="1" x14ac:dyDescent="0.3">
      <c r="H982" s="50"/>
      <c r="M982" s="75"/>
      <c r="O982" s="50"/>
      <c r="AA982" s="86"/>
      <c r="AG982" s="86"/>
    </row>
    <row r="983" spans="8:33" ht="15.75" customHeight="1" x14ac:dyDescent="0.3">
      <c r="H983" s="50"/>
      <c r="M983" s="75"/>
      <c r="O983" s="50"/>
      <c r="AA983" s="86"/>
      <c r="AG983" s="86"/>
    </row>
    <row r="984" spans="8:33" ht="15.75" customHeight="1" x14ac:dyDescent="0.3">
      <c r="H984" s="50"/>
      <c r="M984" s="75"/>
      <c r="O984" s="50"/>
      <c r="AA984" s="86"/>
      <c r="AG984" s="86"/>
    </row>
    <row r="985" spans="8:33" ht="15.75" customHeight="1" x14ac:dyDescent="0.3">
      <c r="H985" s="50"/>
      <c r="M985" s="75"/>
      <c r="O985" s="50"/>
      <c r="AA985" s="86"/>
      <c r="AG985" s="86"/>
    </row>
    <row r="986" spans="8:33" ht="15.75" customHeight="1" x14ac:dyDescent="0.3">
      <c r="H986" s="50"/>
      <c r="M986" s="75"/>
      <c r="O986" s="50"/>
      <c r="AA986" s="86"/>
      <c r="AG986" s="86"/>
    </row>
    <row r="987" spans="8:33" ht="15.75" customHeight="1" x14ac:dyDescent="0.3">
      <c r="H987" s="50"/>
      <c r="M987" s="75"/>
      <c r="O987" s="50"/>
      <c r="AA987" s="86"/>
      <c r="AG987" s="86"/>
    </row>
    <row r="988" spans="8:33" ht="15.75" customHeight="1" x14ac:dyDescent="0.3">
      <c r="H988" s="50"/>
      <c r="M988" s="75"/>
      <c r="O988" s="50"/>
      <c r="AA988" s="86"/>
      <c r="AG988" s="86"/>
    </row>
    <row r="989" spans="8:33" ht="15.75" customHeight="1" x14ac:dyDescent="0.3">
      <c r="H989" s="50"/>
      <c r="M989" s="75"/>
      <c r="O989" s="50"/>
      <c r="AA989" s="86"/>
      <c r="AG989" s="86"/>
    </row>
    <row r="990" spans="8:33" ht="15.75" customHeight="1" x14ac:dyDescent="0.3">
      <c r="H990" s="50"/>
      <c r="M990" s="75"/>
      <c r="O990" s="50"/>
      <c r="AA990" s="86"/>
      <c r="AG990" s="86"/>
    </row>
    <row r="991" spans="8:33" ht="15.75" customHeight="1" x14ac:dyDescent="0.3">
      <c r="H991" s="50"/>
      <c r="M991" s="75"/>
      <c r="O991" s="50"/>
      <c r="AA991" s="86"/>
      <c r="AG991" s="86"/>
    </row>
    <row r="992" spans="8:33" ht="15.75" customHeight="1" x14ac:dyDescent="0.3">
      <c r="H992" s="50"/>
      <c r="M992" s="75"/>
      <c r="O992" s="50"/>
      <c r="AA992" s="86"/>
      <c r="AG992" s="86"/>
    </row>
    <row r="993" spans="8:33" ht="15.75" customHeight="1" x14ac:dyDescent="0.3">
      <c r="H993" s="50"/>
      <c r="M993" s="75"/>
      <c r="O993" s="50"/>
      <c r="AA993" s="86"/>
      <c r="AG993" s="86"/>
    </row>
    <row r="994" spans="8:33" ht="15.75" customHeight="1" x14ac:dyDescent="0.3">
      <c r="H994" s="50"/>
      <c r="M994" s="75"/>
      <c r="O994" s="50"/>
      <c r="AA994" s="86"/>
      <c r="AG994" s="86"/>
    </row>
    <row r="995" spans="8:33" ht="15.75" customHeight="1" x14ac:dyDescent="0.3">
      <c r="H995" s="50"/>
      <c r="M995" s="75"/>
      <c r="O995" s="50"/>
      <c r="AA995" s="86"/>
      <c r="AG995" s="86"/>
    </row>
    <row r="996" spans="8:33" ht="15.75" customHeight="1" x14ac:dyDescent="0.3">
      <c r="H996" s="50"/>
      <c r="M996" s="75"/>
      <c r="O996" s="50"/>
      <c r="AA996" s="86"/>
      <c r="AG996" s="86"/>
    </row>
    <row r="997" spans="8:33" ht="15.75" customHeight="1" x14ac:dyDescent="0.3">
      <c r="H997" s="50"/>
      <c r="M997" s="75"/>
      <c r="O997" s="50"/>
      <c r="AA997" s="86"/>
      <c r="AG997" s="86"/>
    </row>
    <row r="998" spans="8:33" ht="15.75" customHeight="1" x14ac:dyDescent="0.3">
      <c r="H998" s="50"/>
      <c r="M998" s="75"/>
      <c r="O998" s="50"/>
      <c r="AA998" s="86"/>
      <c r="AG998" s="86"/>
    </row>
    <row r="999" spans="8:33" ht="15.75" customHeight="1" x14ac:dyDescent="0.3">
      <c r="H999" s="50"/>
      <c r="M999" s="75"/>
      <c r="O999" s="50"/>
      <c r="AA999" s="86"/>
      <c r="AG999" s="86"/>
    </row>
    <row r="1000" spans="8:33" ht="15.75" customHeight="1" x14ac:dyDescent="0.3">
      <c r="H1000" s="50"/>
      <c r="M1000" s="75"/>
      <c r="O1000" s="50"/>
      <c r="AA1000" s="86"/>
      <c r="AG1000" s="86"/>
    </row>
    <row r="1001" spans="8:33" ht="15.75" customHeight="1" x14ac:dyDescent="0.3">
      <c r="H1001" s="50"/>
      <c r="M1001" s="75"/>
      <c r="O1001" s="50"/>
      <c r="AA1001" s="86"/>
      <c r="AG1001" s="86"/>
    </row>
    <row r="1002" spans="8:33" ht="15.75" customHeight="1" x14ac:dyDescent="0.3">
      <c r="H1002" s="50"/>
      <c r="M1002" s="75"/>
      <c r="O1002" s="50"/>
      <c r="AA1002" s="86"/>
      <c r="AG1002" s="86"/>
    </row>
    <row r="1003" spans="8:33" ht="15.75" customHeight="1" x14ac:dyDescent="0.3">
      <c r="H1003" s="50"/>
      <c r="M1003" s="75"/>
      <c r="O1003" s="50"/>
      <c r="AA1003" s="86"/>
      <c r="AG1003" s="86"/>
    </row>
    <row r="1004" spans="8:33" ht="15.75" customHeight="1" x14ac:dyDescent="0.3">
      <c r="H1004" s="50"/>
      <c r="M1004" s="75"/>
      <c r="O1004" s="50"/>
      <c r="AA1004" s="86"/>
      <c r="AG1004" s="86"/>
    </row>
    <row r="1005" spans="8:33" ht="15.75" customHeight="1" x14ac:dyDescent="0.3">
      <c r="H1005" s="50"/>
      <c r="M1005" s="75"/>
      <c r="O1005" s="50"/>
      <c r="AA1005" s="86"/>
      <c r="AG1005" s="86"/>
    </row>
    <row r="1006" spans="8:33" ht="15.75" customHeight="1" x14ac:dyDescent="0.3">
      <c r="H1006" s="50"/>
      <c r="M1006" s="75"/>
      <c r="O1006" s="50"/>
      <c r="AA1006" s="86"/>
      <c r="AG1006" s="86"/>
    </row>
    <row r="1007" spans="8:33" ht="15.75" customHeight="1" x14ac:dyDescent="0.3">
      <c r="H1007" s="50"/>
      <c r="M1007" s="75"/>
      <c r="O1007" s="50"/>
      <c r="AA1007" s="86"/>
      <c r="AG1007" s="86"/>
    </row>
    <row r="1008" spans="8:33" ht="15.75" customHeight="1" x14ac:dyDescent="0.3">
      <c r="H1008" s="50"/>
      <c r="M1008" s="75"/>
      <c r="O1008" s="50"/>
      <c r="AA1008" s="86"/>
      <c r="AG1008" s="86"/>
    </row>
    <row r="1009" spans="8:33" ht="15.75" customHeight="1" x14ac:dyDescent="0.3">
      <c r="H1009" s="50"/>
      <c r="M1009" s="75"/>
      <c r="O1009" s="50"/>
      <c r="AA1009" s="86"/>
      <c r="AG1009" s="86"/>
    </row>
    <row r="1010" spans="8:33" ht="15.75" customHeight="1" x14ac:dyDescent="0.3">
      <c r="H1010" s="50"/>
      <c r="M1010" s="75"/>
      <c r="O1010" s="50"/>
      <c r="AA1010" s="86"/>
      <c r="AG1010" s="86"/>
    </row>
    <row r="1011" spans="8:33" ht="15.75" customHeight="1" x14ac:dyDescent="0.3">
      <c r="H1011" s="50"/>
      <c r="M1011" s="75"/>
      <c r="O1011" s="50"/>
      <c r="AA1011" s="86"/>
      <c r="AG1011" s="86"/>
    </row>
    <row r="1012" spans="8:33" ht="15.75" customHeight="1" x14ac:dyDescent="0.3">
      <c r="H1012" s="50"/>
      <c r="M1012" s="75"/>
      <c r="O1012" s="50"/>
      <c r="AA1012" s="86"/>
      <c r="AG1012" s="86"/>
    </row>
    <row r="1013" spans="8:33" ht="15.75" customHeight="1" x14ac:dyDescent="0.3">
      <c r="H1013" s="50"/>
      <c r="M1013" s="75"/>
      <c r="O1013" s="50"/>
      <c r="AA1013" s="86"/>
      <c r="AG1013" s="86"/>
    </row>
    <row r="1014" spans="8:33" ht="15.75" customHeight="1" x14ac:dyDescent="0.3">
      <c r="H1014" s="50"/>
      <c r="M1014" s="75"/>
      <c r="O1014" s="50"/>
      <c r="AA1014" s="86"/>
      <c r="AG1014" s="86"/>
    </row>
    <row r="1015" spans="8:33" ht="15.75" customHeight="1" x14ac:dyDescent="0.3">
      <c r="H1015" s="50"/>
      <c r="M1015" s="75"/>
      <c r="O1015" s="50"/>
      <c r="AA1015" s="86"/>
      <c r="AG1015" s="86"/>
    </row>
    <row r="1016" spans="8:33" ht="15.75" customHeight="1" x14ac:dyDescent="0.3">
      <c r="H1016" s="50"/>
      <c r="M1016" s="75"/>
      <c r="O1016" s="50"/>
      <c r="AA1016" s="86"/>
      <c r="AG1016" s="86"/>
    </row>
    <row r="1017" spans="8:33" ht="15.75" customHeight="1" x14ac:dyDescent="0.3">
      <c r="H1017" s="50"/>
      <c r="M1017" s="75"/>
      <c r="O1017" s="50"/>
      <c r="AA1017" s="86"/>
      <c r="AG1017" s="86"/>
    </row>
    <row r="1018" spans="8:33" ht="15.75" customHeight="1" x14ac:dyDescent="0.3">
      <c r="H1018" s="50"/>
      <c r="M1018" s="75"/>
      <c r="O1018" s="50"/>
      <c r="AA1018" s="86"/>
      <c r="AG1018" s="86"/>
    </row>
    <row r="1019" spans="8:33" ht="15.75" customHeight="1" x14ac:dyDescent="0.3">
      <c r="H1019" s="50"/>
      <c r="M1019" s="75"/>
      <c r="O1019" s="50"/>
      <c r="AA1019" s="86"/>
      <c r="AG1019" s="86"/>
    </row>
    <row r="1020" spans="8:33" ht="15.75" customHeight="1" x14ac:dyDescent="0.3">
      <c r="H1020" s="50"/>
      <c r="M1020" s="75"/>
      <c r="O1020" s="50"/>
      <c r="AA1020" s="86"/>
      <c r="AG1020" s="86"/>
    </row>
    <row r="1021" spans="8:33" ht="15.75" customHeight="1" x14ac:dyDescent="0.3">
      <c r="H1021" s="50"/>
      <c r="M1021" s="75"/>
      <c r="O1021" s="50"/>
      <c r="AA1021" s="86"/>
      <c r="AG1021" s="86"/>
    </row>
    <row r="1022" spans="8:33" ht="15.75" customHeight="1" x14ac:dyDescent="0.3">
      <c r="H1022" s="50"/>
      <c r="M1022" s="75"/>
      <c r="O1022" s="50"/>
      <c r="AA1022" s="86"/>
      <c r="AG1022" s="86"/>
    </row>
    <row r="1023" spans="8:33" ht="15.75" customHeight="1" x14ac:dyDescent="0.3">
      <c r="H1023" s="50"/>
      <c r="M1023" s="75"/>
      <c r="O1023" s="50"/>
      <c r="AA1023" s="86"/>
      <c r="AG1023" s="86"/>
    </row>
    <row r="1024" spans="8:33" ht="15.75" customHeight="1" x14ac:dyDescent="0.3">
      <c r="H1024" s="50"/>
      <c r="M1024" s="75"/>
      <c r="O1024" s="50"/>
      <c r="AA1024" s="86"/>
      <c r="AG1024" s="86"/>
    </row>
    <row r="1025" spans="8:33" ht="15.75" customHeight="1" x14ac:dyDescent="0.3">
      <c r="H1025" s="50"/>
      <c r="M1025" s="75"/>
      <c r="O1025" s="50"/>
      <c r="AA1025" s="86"/>
      <c r="AG1025" s="86"/>
    </row>
    <row r="1026" spans="8:33" ht="15.75" customHeight="1" x14ac:dyDescent="0.3">
      <c r="H1026" s="50"/>
      <c r="M1026" s="75"/>
      <c r="O1026" s="50"/>
      <c r="AA1026" s="86"/>
      <c r="AG1026" s="86"/>
    </row>
    <row r="1027" spans="8:33" ht="15.75" customHeight="1" x14ac:dyDescent="0.3">
      <c r="H1027" s="50"/>
      <c r="M1027" s="75"/>
      <c r="O1027" s="50"/>
      <c r="AA1027" s="86"/>
      <c r="AG1027" s="86"/>
    </row>
    <row r="1028" spans="8:33" ht="15.75" customHeight="1" x14ac:dyDescent="0.3">
      <c r="H1028" s="50"/>
      <c r="M1028" s="75"/>
      <c r="O1028" s="50"/>
      <c r="AA1028" s="86"/>
      <c r="AG1028" s="86"/>
    </row>
    <row r="1029" spans="8:33" ht="15.75" customHeight="1" x14ac:dyDescent="0.3">
      <c r="H1029" s="50"/>
      <c r="M1029" s="75"/>
      <c r="O1029" s="50"/>
      <c r="AA1029" s="86"/>
      <c r="AG1029" s="86"/>
    </row>
    <row r="1030" spans="8:33" ht="15.75" customHeight="1" x14ac:dyDescent="0.3">
      <c r="H1030" s="50"/>
      <c r="M1030" s="75"/>
      <c r="O1030" s="50"/>
      <c r="AA1030" s="86"/>
      <c r="AG1030" s="86"/>
    </row>
    <row r="1031" spans="8:33" ht="15.75" customHeight="1" x14ac:dyDescent="0.3">
      <c r="H1031" s="50"/>
      <c r="M1031" s="75"/>
      <c r="O1031" s="50"/>
      <c r="AA1031" s="86"/>
      <c r="AG1031" s="86"/>
    </row>
    <row r="1032" spans="8:33" ht="15.75" customHeight="1" x14ac:dyDescent="0.3">
      <c r="H1032" s="50"/>
      <c r="M1032" s="75"/>
      <c r="O1032" s="50"/>
      <c r="AA1032" s="86"/>
      <c r="AG1032" s="86"/>
    </row>
    <row r="1033" spans="8:33" ht="15.75" customHeight="1" x14ac:dyDescent="0.3">
      <c r="H1033" s="50"/>
      <c r="M1033" s="75"/>
      <c r="O1033" s="50"/>
      <c r="AA1033" s="86"/>
      <c r="AG1033" s="86"/>
    </row>
    <row r="1034" spans="8:33" ht="15.75" customHeight="1" x14ac:dyDescent="0.3">
      <c r="H1034" s="50"/>
      <c r="M1034" s="75"/>
      <c r="O1034" s="50"/>
      <c r="AA1034" s="86"/>
      <c r="AG1034" s="86"/>
    </row>
    <row r="1035" spans="8:33" ht="15.75" customHeight="1" x14ac:dyDescent="0.3">
      <c r="H1035" s="50"/>
      <c r="M1035" s="75"/>
      <c r="O1035" s="50"/>
      <c r="AA1035" s="86"/>
      <c r="AG1035" s="86"/>
    </row>
    <row r="1036" spans="8:33" ht="15.75" customHeight="1" x14ac:dyDescent="0.3">
      <c r="H1036" s="50"/>
      <c r="M1036" s="75"/>
      <c r="O1036" s="50"/>
      <c r="AA1036" s="86"/>
      <c r="AG1036" s="86"/>
    </row>
    <row r="1037" spans="8:33" ht="15.75" customHeight="1" x14ac:dyDescent="0.3">
      <c r="H1037" s="50"/>
      <c r="M1037" s="75"/>
      <c r="O1037" s="50"/>
      <c r="AA1037" s="86"/>
      <c r="AG1037" s="86"/>
    </row>
    <row r="1038" spans="8:33" ht="15.75" customHeight="1" x14ac:dyDescent="0.3">
      <c r="H1038" s="50"/>
      <c r="M1038" s="75"/>
      <c r="O1038" s="50"/>
      <c r="AA1038" s="86"/>
      <c r="AG1038" s="86"/>
    </row>
    <row r="1039" spans="8:33" ht="15.75" customHeight="1" x14ac:dyDescent="0.3">
      <c r="H1039" s="50"/>
      <c r="M1039" s="75"/>
      <c r="O1039" s="50"/>
      <c r="AA1039" s="86"/>
      <c r="AG1039" s="86"/>
    </row>
    <row r="1040" spans="8:33" ht="15.75" customHeight="1" x14ac:dyDescent="0.3">
      <c r="H1040" s="50"/>
      <c r="M1040" s="75"/>
      <c r="O1040" s="50"/>
      <c r="AA1040" s="86"/>
      <c r="AG1040" s="86"/>
    </row>
    <row r="1041" spans="8:33" ht="15.75" customHeight="1" x14ac:dyDescent="0.3">
      <c r="H1041" s="50"/>
      <c r="M1041" s="75"/>
      <c r="O1041" s="50"/>
      <c r="AA1041" s="86"/>
      <c r="AG1041" s="86"/>
    </row>
    <row r="1042" spans="8:33" ht="15.75" customHeight="1" x14ac:dyDescent="0.3">
      <c r="H1042" s="50"/>
      <c r="M1042" s="75"/>
      <c r="O1042" s="50"/>
      <c r="AA1042" s="86"/>
      <c r="AG1042" s="86"/>
    </row>
    <row r="1043" spans="8:33" ht="15.75" customHeight="1" x14ac:dyDescent="0.3">
      <c r="H1043" s="50"/>
      <c r="M1043" s="75"/>
      <c r="O1043" s="50"/>
      <c r="AA1043" s="86"/>
      <c r="AG1043" s="86"/>
    </row>
    <row r="1044" spans="8:33" ht="15.75" customHeight="1" x14ac:dyDescent="0.3">
      <c r="H1044" s="50"/>
      <c r="M1044" s="75"/>
      <c r="O1044" s="50"/>
      <c r="AA1044" s="86"/>
      <c r="AG1044" s="86"/>
    </row>
    <row r="1045" spans="8:33" ht="15.75" customHeight="1" x14ac:dyDescent="0.3">
      <c r="H1045" s="50"/>
      <c r="M1045" s="75"/>
      <c r="O1045" s="50"/>
      <c r="AA1045" s="86"/>
      <c r="AG1045" s="86"/>
    </row>
    <row r="1046" spans="8:33" ht="15.75" customHeight="1" x14ac:dyDescent="0.3">
      <c r="H1046" s="50"/>
      <c r="M1046" s="75"/>
      <c r="O1046" s="50"/>
      <c r="AA1046" s="86"/>
      <c r="AG1046" s="86"/>
    </row>
    <row r="1047" spans="8:33" ht="15.75" customHeight="1" x14ac:dyDescent="0.3">
      <c r="H1047" s="50"/>
      <c r="M1047" s="75"/>
      <c r="O1047" s="50"/>
      <c r="AA1047" s="86"/>
      <c r="AG1047" s="86"/>
    </row>
    <row r="1048" spans="8:33" ht="15.75" customHeight="1" x14ac:dyDescent="0.3">
      <c r="H1048" s="50"/>
      <c r="M1048" s="75"/>
      <c r="O1048" s="50"/>
      <c r="AA1048" s="86"/>
      <c r="AG1048" s="86"/>
    </row>
    <row r="1049" spans="8:33" ht="15.75" customHeight="1" x14ac:dyDescent="0.3">
      <c r="H1049" s="50"/>
      <c r="M1049" s="75"/>
      <c r="O1049" s="50"/>
      <c r="AA1049" s="86"/>
      <c r="AG1049" s="86"/>
    </row>
    <row r="1050" spans="8:33" ht="15.75" customHeight="1" x14ac:dyDescent="0.3">
      <c r="H1050" s="50"/>
      <c r="M1050" s="75"/>
      <c r="O1050" s="50"/>
      <c r="AA1050" s="86"/>
      <c r="AG1050" s="86"/>
    </row>
    <row r="1051" spans="8:33" ht="15.75" customHeight="1" x14ac:dyDescent="0.3">
      <c r="H1051" s="50"/>
      <c r="M1051" s="75"/>
      <c r="O1051" s="50"/>
      <c r="AA1051" s="86"/>
      <c r="AG1051" s="86"/>
    </row>
    <row r="1052" spans="8:33" ht="15.75" customHeight="1" x14ac:dyDescent="0.3">
      <c r="H1052" s="50"/>
      <c r="M1052" s="75"/>
      <c r="O1052" s="50"/>
      <c r="AA1052" s="86"/>
      <c r="AG1052" s="86"/>
    </row>
    <row r="1053" spans="8:33" ht="15.75" customHeight="1" x14ac:dyDescent="0.3">
      <c r="H1053" s="50"/>
      <c r="M1053" s="75"/>
      <c r="O1053" s="50"/>
      <c r="AA1053" s="86"/>
      <c r="AG1053" s="86"/>
    </row>
    <row r="1054" spans="8:33" ht="15.75" customHeight="1" x14ac:dyDescent="0.3">
      <c r="H1054" s="50"/>
      <c r="M1054" s="75"/>
      <c r="O1054" s="50"/>
      <c r="AA1054" s="86"/>
      <c r="AG1054" s="86"/>
    </row>
    <row r="1055" spans="8:33" ht="15.75" customHeight="1" x14ac:dyDescent="0.3">
      <c r="H1055" s="50"/>
      <c r="M1055" s="75"/>
      <c r="O1055" s="50"/>
      <c r="AA1055" s="86"/>
      <c r="AG1055" s="86"/>
    </row>
    <row r="1056" spans="8:33" ht="15.75" customHeight="1" x14ac:dyDescent="0.3">
      <c r="H1056" s="50"/>
      <c r="M1056" s="75"/>
      <c r="O1056" s="50"/>
      <c r="AA1056" s="86"/>
      <c r="AG1056" s="86"/>
    </row>
    <row r="1057" spans="8:33" ht="15.75" customHeight="1" x14ac:dyDescent="0.3">
      <c r="H1057" s="50"/>
      <c r="M1057" s="75"/>
      <c r="O1057" s="50"/>
      <c r="AA1057" s="86"/>
      <c r="AG1057" s="86"/>
    </row>
    <row r="1058" spans="8:33" ht="15.75" customHeight="1" x14ac:dyDescent="0.3">
      <c r="H1058" s="50"/>
      <c r="M1058" s="75"/>
      <c r="O1058" s="50"/>
      <c r="AA1058" s="86"/>
      <c r="AG1058" s="86"/>
    </row>
    <row r="1059" spans="8:33" ht="15.75" customHeight="1" x14ac:dyDescent="0.3">
      <c r="H1059" s="50"/>
      <c r="M1059" s="75"/>
      <c r="O1059" s="50"/>
      <c r="AA1059" s="86"/>
      <c r="AG1059" s="86"/>
    </row>
    <row r="1060" spans="8:33" ht="15.75" customHeight="1" x14ac:dyDescent="0.3">
      <c r="H1060" s="50"/>
      <c r="M1060" s="75"/>
      <c r="O1060" s="50"/>
      <c r="AA1060" s="86"/>
      <c r="AG1060" s="86"/>
    </row>
    <row r="1061" spans="8:33" ht="15.75" customHeight="1" x14ac:dyDescent="0.3">
      <c r="H1061" s="50"/>
      <c r="M1061" s="75"/>
      <c r="O1061" s="50"/>
      <c r="AA1061" s="86"/>
      <c r="AG1061" s="86"/>
    </row>
    <row r="1062" spans="8:33" ht="15.75" customHeight="1" x14ac:dyDescent="0.3">
      <c r="H1062" s="50"/>
      <c r="M1062" s="75"/>
      <c r="O1062" s="50"/>
      <c r="AA1062" s="86"/>
      <c r="AG1062" s="86"/>
    </row>
    <row r="1063" spans="8:33" ht="15.75" customHeight="1" x14ac:dyDescent="0.3">
      <c r="H1063" s="50"/>
      <c r="M1063" s="75"/>
      <c r="O1063" s="50"/>
      <c r="AA1063" s="86"/>
      <c r="AG1063" s="86"/>
    </row>
    <row r="1064" spans="8:33" ht="15.75" customHeight="1" x14ac:dyDescent="0.3">
      <c r="H1064" s="50"/>
      <c r="M1064" s="75"/>
      <c r="O1064" s="50"/>
      <c r="AA1064" s="86"/>
      <c r="AG1064" s="86"/>
    </row>
    <row r="1065" spans="8:33" ht="15.75" customHeight="1" x14ac:dyDescent="0.3">
      <c r="H1065" s="50"/>
      <c r="M1065" s="75"/>
      <c r="O1065" s="50"/>
      <c r="AA1065" s="86"/>
      <c r="AG1065" s="86"/>
    </row>
    <row r="1066" spans="8:33" ht="15.75" customHeight="1" x14ac:dyDescent="0.3">
      <c r="H1066" s="50"/>
      <c r="M1066" s="75"/>
      <c r="O1066" s="50"/>
      <c r="AA1066" s="86"/>
      <c r="AG1066" s="86"/>
    </row>
    <row r="1067" spans="8:33" ht="15.75" customHeight="1" x14ac:dyDescent="0.3">
      <c r="H1067" s="50"/>
      <c r="M1067" s="75"/>
      <c r="O1067" s="50"/>
      <c r="AA1067" s="86"/>
      <c r="AG1067" s="86"/>
    </row>
    <row r="1068" spans="8:33" ht="15.75" customHeight="1" x14ac:dyDescent="0.3">
      <c r="H1068" s="50"/>
      <c r="M1068" s="75"/>
      <c r="O1068" s="50"/>
      <c r="AA1068" s="86"/>
      <c r="AG1068" s="86"/>
    </row>
    <row r="1069" spans="8:33" ht="15.75" customHeight="1" x14ac:dyDescent="0.3">
      <c r="H1069" s="50"/>
      <c r="M1069" s="75"/>
      <c r="O1069" s="50"/>
      <c r="AA1069" s="86"/>
      <c r="AG1069" s="86"/>
    </row>
    <row r="1070" spans="8:33" ht="15.75" customHeight="1" x14ac:dyDescent="0.3">
      <c r="H1070" s="50"/>
      <c r="M1070" s="75"/>
      <c r="O1070" s="50"/>
      <c r="AA1070" s="86"/>
      <c r="AG1070" s="86"/>
    </row>
    <row r="1071" spans="8:33" ht="15.75" customHeight="1" x14ac:dyDescent="0.3">
      <c r="H1071" s="50"/>
      <c r="M1071" s="75"/>
      <c r="O1071" s="50"/>
      <c r="AA1071" s="86"/>
      <c r="AG1071" s="86"/>
    </row>
    <row r="1072" spans="8:33" ht="15.75" customHeight="1" x14ac:dyDescent="0.3">
      <c r="H1072" s="50"/>
      <c r="M1072" s="75"/>
      <c r="O1072" s="50"/>
      <c r="AA1072" s="86"/>
      <c r="AG1072" s="86"/>
    </row>
    <row r="1073" spans="8:33" ht="15.75" customHeight="1" x14ac:dyDescent="0.3">
      <c r="H1073" s="50"/>
      <c r="M1073" s="75"/>
      <c r="O1073" s="50"/>
      <c r="AA1073" s="86"/>
      <c r="AG1073" s="86"/>
    </row>
    <row r="1074" spans="8:33" ht="15.75" customHeight="1" x14ac:dyDescent="0.3">
      <c r="H1074" s="50"/>
      <c r="M1074" s="75"/>
      <c r="O1074" s="50"/>
      <c r="AA1074" s="86"/>
      <c r="AG1074" s="86"/>
    </row>
    <row r="1075" spans="8:33" ht="15.75" customHeight="1" x14ac:dyDescent="0.3">
      <c r="H1075" s="50"/>
      <c r="M1075" s="75"/>
      <c r="O1075" s="50"/>
      <c r="AA1075" s="86"/>
      <c r="AG1075" s="86"/>
    </row>
    <row r="1076" spans="8:33" ht="15.75" customHeight="1" x14ac:dyDescent="0.3">
      <c r="H1076" s="50"/>
      <c r="M1076" s="75"/>
      <c r="O1076" s="50"/>
      <c r="AA1076" s="86"/>
      <c r="AG1076" s="86"/>
    </row>
    <row r="1077" spans="8:33" ht="15.75" customHeight="1" x14ac:dyDescent="0.3">
      <c r="H1077" s="50"/>
      <c r="M1077" s="75"/>
      <c r="O1077" s="50"/>
      <c r="AA1077" s="86"/>
      <c r="AG1077" s="86"/>
    </row>
    <row r="1078" spans="8:33" ht="15.75" customHeight="1" x14ac:dyDescent="0.3">
      <c r="H1078" s="50"/>
      <c r="M1078" s="75"/>
      <c r="O1078" s="50"/>
      <c r="AA1078" s="86"/>
      <c r="AG1078" s="86"/>
    </row>
    <row r="1079" spans="8:33" ht="15.75" customHeight="1" x14ac:dyDescent="0.3">
      <c r="H1079" s="50"/>
      <c r="M1079" s="75"/>
      <c r="O1079" s="50"/>
      <c r="AA1079" s="86"/>
      <c r="AG1079" s="86"/>
    </row>
    <row r="1080" spans="8:33" ht="15.75" customHeight="1" x14ac:dyDescent="0.3">
      <c r="H1080" s="50"/>
      <c r="M1080" s="75"/>
      <c r="O1080" s="50"/>
      <c r="AA1080" s="86"/>
      <c r="AG1080" s="86"/>
    </row>
    <row r="1081" spans="8:33" ht="15.75" customHeight="1" x14ac:dyDescent="0.3">
      <c r="H1081" s="50"/>
      <c r="M1081" s="75"/>
      <c r="O1081" s="50"/>
      <c r="AA1081" s="86"/>
      <c r="AG1081" s="86"/>
    </row>
    <row r="1082" spans="8:33" ht="15.75" customHeight="1" x14ac:dyDescent="0.3">
      <c r="H1082" s="50"/>
      <c r="M1082" s="75"/>
      <c r="O1082" s="50"/>
      <c r="AA1082" s="86"/>
      <c r="AG1082" s="86"/>
    </row>
    <row r="1083" spans="8:33" ht="15.75" customHeight="1" x14ac:dyDescent="0.3">
      <c r="H1083" s="50"/>
      <c r="M1083" s="75"/>
      <c r="O1083" s="50"/>
      <c r="AA1083" s="86"/>
      <c r="AG1083" s="86"/>
    </row>
    <row r="1084" spans="8:33" ht="15.75" customHeight="1" x14ac:dyDescent="0.3">
      <c r="H1084" s="50"/>
      <c r="M1084" s="75"/>
      <c r="O1084" s="50"/>
      <c r="AA1084" s="86"/>
      <c r="AG1084" s="86"/>
    </row>
    <row r="1085" spans="8:33" ht="15.75" customHeight="1" x14ac:dyDescent="0.3">
      <c r="H1085" s="50"/>
      <c r="M1085" s="75"/>
      <c r="O1085" s="50"/>
      <c r="AA1085" s="86"/>
      <c r="AG1085" s="86"/>
    </row>
    <row r="1086" spans="8:33" ht="15.75" customHeight="1" x14ac:dyDescent="0.3">
      <c r="H1086" s="50"/>
      <c r="M1086" s="75"/>
      <c r="O1086" s="50"/>
      <c r="AA1086" s="86"/>
      <c r="AG1086" s="86"/>
    </row>
    <row r="1087" spans="8:33" ht="15.75" customHeight="1" x14ac:dyDescent="0.3">
      <c r="H1087" s="50"/>
      <c r="M1087" s="75"/>
      <c r="O1087" s="50"/>
      <c r="AA1087" s="86"/>
      <c r="AG1087" s="86"/>
    </row>
    <row r="1088" spans="8:33" ht="15.75" customHeight="1" x14ac:dyDescent="0.3">
      <c r="H1088" s="50"/>
      <c r="M1088" s="75"/>
      <c r="O1088" s="50"/>
      <c r="AA1088" s="86"/>
      <c r="AG1088" s="86"/>
    </row>
    <row r="1089" spans="8:33" ht="15.75" customHeight="1" x14ac:dyDescent="0.3">
      <c r="H1089" s="50"/>
      <c r="M1089" s="75"/>
      <c r="O1089" s="50"/>
      <c r="AA1089" s="86"/>
      <c r="AG1089" s="86"/>
    </row>
    <row r="1090" spans="8:33" ht="15.75" customHeight="1" x14ac:dyDescent="0.3">
      <c r="H1090" s="50"/>
      <c r="M1090" s="75"/>
      <c r="O1090" s="50"/>
      <c r="AA1090" s="86"/>
      <c r="AG1090" s="86"/>
    </row>
    <row r="1091" spans="8:33" ht="15.75" customHeight="1" x14ac:dyDescent="0.3">
      <c r="H1091" s="50"/>
      <c r="M1091" s="75"/>
      <c r="O1091" s="50"/>
      <c r="AA1091" s="86"/>
      <c r="AG1091" s="86"/>
    </row>
    <row r="1092" spans="8:33" ht="15.75" customHeight="1" x14ac:dyDescent="0.3">
      <c r="H1092" s="50"/>
      <c r="M1092" s="75"/>
      <c r="O1092" s="50"/>
      <c r="AA1092" s="86"/>
      <c r="AG1092" s="86"/>
    </row>
    <row r="1093" spans="8:33" ht="15.75" customHeight="1" x14ac:dyDescent="0.3">
      <c r="H1093" s="50"/>
      <c r="M1093" s="75"/>
      <c r="O1093" s="50"/>
      <c r="AA1093" s="86"/>
      <c r="AG1093" s="86"/>
    </row>
    <row r="1094" spans="8:33" ht="15.75" customHeight="1" x14ac:dyDescent="0.3">
      <c r="H1094" s="50"/>
      <c r="M1094" s="75"/>
      <c r="O1094" s="50"/>
      <c r="AA1094" s="86"/>
      <c r="AG1094" s="86"/>
    </row>
    <row r="1095" spans="8:33" ht="15.75" customHeight="1" x14ac:dyDescent="0.3">
      <c r="H1095" s="50"/>
      <c r="M1095" s="75"/>
      <c r="O1095" s="50"/>
      <c r="AA1095" s="86"/>
      <c r="AG1095" s="86"/>
    </row>
    <row r="1096" spans="8:33" ht="15.75" customHeight="1" x14ac:dyDescent="0.3">
      <c r="H1096" s="50"/>
      <c r="M1096" s="75"/>
      <c r="O1096" s="50"/>
      <c r="AA1096" s="86"/>
      <c r="AG1096" s="86"/>
    </row>
    <row r="1097" spans="8:33" ht="15.75" customHeight="1" x14ac:dyDescent="0.3">
      <c r="H1097" s="50"/>
      <c r="M1097" s="75"/>
      <c r="O1097" s="50"/>
      <c r="AA1097" s="86"/>
      <c r="AG1097" s="86"/>
    </row>
    <row r="1098" spans="8:33" ht="15.75" customHeight="1" x14ac:dyDescent="0.3">
      <c r="H1098" s="50"/>
      <c r="M1098" s="75"/>
      <c r="O1098" s="50"/>
      <c r="AA1098" s="86"/>
      <c r="AG1098" s="86"/>
    </row>
    <row r="1099" spans="8:33" ht="15.75" customHeight="1" x14ac:dyDescent="0.3">
      <c r="H1099" s="50"/>
      <c r="M1099" s="75"/>
      <c r="O1099" s="50"/>
      <c r="AA1099" s="86"/>
      <c r="AG1099" s="86"/>
    </row>
    <row r="1100" spans="8:33" ht="15.75" customHeight="1" x14ac:dyDescent="0.3">
      <c r="H1100" s="50"/>
      <c r="M1100" s="75"/>
      <c r="O1100" s="50"/>
      <c r="AA1100" s="86"/>
      <c r="AG1100" s="86"/>
    </row>
    <row r="1101" spans="8:33" ht="15.75" customHeight="1" x14ac:dyDescent="0.3">
      <c r="H1101" s="50"/>
      <c r="M1101" s="75"/>
      <c r="O1101" s="50"/>
      <c r="AA1101" s="86"/>
      <c r="AG1101" s="86"/>
    </row>
    <row r="1102" spans="8:33" ht="15.75" customHeight="1" x14ac:dyDescent="0.3">
      <c r="H1102" s="50"/>
      <c r="M1102" s="75"/>
      <c r="O1102" s="50"/>
      <c r="AA1102" s="86"/>
      <c r="AG1102" s="86"/>
    </row>
    <row r="1103" spans="8:33" ht="15.75" customHeight="1" x14ac:dyDescent="0.3">
      <c r="H1103" s="50"/>
      <c r="M1103" s="75"/>
      <c r="O1103" s="50"/>
      <c r="AA1103" s="86"/>
      <c r="AG1103" s="86"/>
    </row>
    <row r="1104" spans="8:33" ht="15.75" customHeight="1" x14ac:dyDescent="0.3">
      <c r="H1104" s="50"/>
      <c r="M1104" s="75"/>
      <c r="O1104" s="50"/>
      <c r="AA1104" s="86"/>
      <c r="AG1104" s="86"/>
    </row>
    <row r="1105" spans="8:33" ht="15.75" customHeight="1" x14ac:dyDescent="0.3">
      <c r="H1105" s="50"/>
      <c r="M1105" s="75"/>
      <c r="O1105" s="50"/>
      <c r="AA1105" s="86"/>
      <c r="AG1105" s="86"/>
    </row>
    <row r="1106" spans="8:33" ht="15.75" customHeight="1" x14ac:dyDescent="0.3">
      <c r="H1106" s="50"/>
      <c r="M1106" s="75"/>
      <c r="O1106" s="50"/>
      <c r="AA1106" s="86"/>
      <c r="AG1106" s="86"/>
    </row>
    <row r="1107" spans="8:33" ht="15.75" customHeight="1" x14ac:dyDescent="0.3">
      <c r="H1107" s="50"/>
      <c r="M1107" s="75"/>
      <c r="O1107" s="50"/>
      <c r="AA1107" s="86"/>
      <c r="AG1107" s="86"/>
    </row>
    <row r="1108" spans="8:33" ht="15.75" customHeight="1" x14ac:dyDescent="0.3">
      <c r="H1108" s="50"/>
      <c r="M1108" s="75"/>
      <c r="O1108" s="50"/>
      <c r="AA1108" s="86"/>
      <c r="AG1108" s="86"/>
    </row>
    <row r="1109" spans="8:33" ht="15.75" customHeight="1" x14ac:dyDescent="0.3">
      <c r="H1109" s="50"/>
      <c r="M1109" s="75"/>
      <c r="O1109" s="50"/>
      <c r="AA1109" s="86"/>
      <c r="AG1109" s="86"/>
    </row>
    <row r="1110" spans="8:33" ht="15.75" customHeight="1" x14ac:dyDescent="0.3">
      <c r="H1110" s="50"/>
      <c r="M1110" s="75"/>
      <c r="O1110" s="50"/>
      <c r="AA1110" s="86"/>
      <c r="AG1110" s="86"/>
    </row>
    <row r="1111" spans="8:33" ht="15.75" customHeight="1" x14ac:dyDescent="0.3">
      <c r="H1111" s="50"/>
      <c r="M1111" s="75"/>
      <c r="O1111" s="50"/>
      <c r="AA1111" s="86"/>
      <c r="AG1111" s="86"/>
    </row>
    <row r="1112" spans="8:33" ht="15.75" customHeight="1" x14ac:dyDescent="0.3">
      <c r="H1112" s="50"/>
      <c r="M1112" s="75"/>
      <c r="O1112" s="50"/>
      <c r="AA1112" s="86"/>
      <c r="AG1112" s="86"/>
    </row>
    <row r="1113" spans="8:33" ht="15.75" customHeight="1" x14ac:dyDescent="0.3">
      <c r="H1113" s="50"/>
      <c r="M1113" s="75"/>
      <c r="O1113" s="50"/>
      <c r="AA1113" s="86"/>
      <c r="AG1113" s="86"/>
    </row>
    <row r="1114" spans="8:33" ht="15.75" customHeight="1" x14ac:dyDescent="0.3">
      <c r="H1114" s="50"/>
      <c r="M1114" s="75"/>
      <c r="O1114" s="50"/>
      <c r="AA1114" s="86"/>
      <c r="AG1114" s="86"/>
    </row>
    <row r="1115" spans="8:33" ht="15.75" customHeight="1" x14ac:dyDescent="0.3">
      <c r="H1115" s="50"/>
      <c r="M1115" s="75"/>
      <c r="O1115" s="50"/>
      <c r="AA1115" s="86"/>
      <c r="AG1115" s="86"/>
    </row>
    <row r="1116" spans="8:33" ht="15.75" customHeight="1" x14ac:dyDescent="0.3">
      <c r="H1116" s="50"/>
      <c r="M1116" s="75"/>
      <c r="O1116" s="50"/>
      <c r="AA1116" s="86"/>
      <c r="AG1116" s="86"/>
    </row>
    <row r="1117" spans="8:33" ht="15.75" customHeight="1" x14ac:dyDescent="0.3">
      <c r="H1117" s="50"/>
      <c r="M1117" s="75"/>
      <c r="O1117" s="50"/>
      <c r="AA1117" s="86"/>
      <c r="AG1117" s="86"/>
    </row>
    <row r="1118" spans="8:33" ht="15.75" customHeight="1" x14ac:dyDescent="0.3">
      <c r="H1118" s="50"/>
      <c r="M1118" s="75"/>
      <c r="O1118" s="50"/>
      <c r="AA1118" s="86"/>
      <c r="AG1118" s="86"/>
    </row>
    <row r="1119" spans="8:33" ht="15.75" customHeight="1" x14ac:dyDescent="0.3">
      <c r="H1119" s="50"/>
      <c r="M1119" s="75"/>
      <c r="O1119" s="50"/>
      <c r="AA1119" s="86"/>
      <c r="AG1119" s="86"/>
    </row>
    <row r="1120" spans="8:33" ht="15.75" customHeight="1" x14ac:dyDescent="0.3">
      <c r="H1120" s="50"/>
      <c r="M1120" s="75"/>
      <c r="O1120" s="50"/>
      <c r="AA1120" s="86"/>
      <c r="AG1120" s="86"/>
    </row>
    <row r="1121" spans="8:33" ht="15.75" customHeight="1" x14ac:dyDescent="0.3">
      <c r="H1121" s="50"/>
      <c r="M1121" s="75"/>
      <c r="O1121" s="50"/>
      <c r="AA1121" s="86"/>
      <c r="AG1121" s="86"/>
    </row>
    <row r="1122" spans="8:33" ht="15.75" customHeight="1" x14ac:dyDescent="0.3">
      <c r="H1122" s="50"/>
      <c r="M1122" s="75"/>
      <c r="O1122" s="50"/>
      <c r="AA1122" s="86"/>
      <c r="AG1122" s="86"/>
    </row>
    <row r="1123" spans="8:33" ht="15.75" customHeight="1" x14ac:dyDescent="0.3">
      <c r="H1123" s="50"/>
      <c r="M1123" s="75"/>
      <c r="O1123" s="50"/>
      <c r="AA1123" s="86"/>
      <c r="AG1123" s="86"/>
    </row>
    <row r="1124" spans="8:33" ht="15.75" customHeight="1" x14ac:dyDescent="0.3">
      <c r="H1124" s="50"/>
      <c r="M1124" s="75"/>
      <c r="O1124" s="50"/>
      <c r="AA1124" s="86"/>
      <c r="AG1124" s="86"/>
    </row>
    <row r="1125" spans="8:33" ht="15.75" customHeight="1" x14ac:dyDescent="0.3">
      <c r="H1125" s="50"/>
      <c r="M1125" s="75"/>
      <c r="O1125" s="50"/>
      <c r="AA1125" s="86"/>
      <c r="AG1125" s="86"/>
    </row>
    <row r="1126" spans="8:33" ht="15.75" customHeight="1" x14ac:dyDescent="0.3">
      <c r="H1126" s="50"/>
      <c r="M1126" s="75"/>
      <c r="O1126" s="50"/>
      <c r="AA1126" s="86"/>
      <c r="AG1126" s="86"/>
    </row>
    <row r="1127" spans="8:33" ht="15.75" customHeight="1" x14ac:dyDescent="0.3">
      <c r="H1127" s="50"/>
      <c r="M1127" s="75"/>
      <c r="O1127" s="50"/>
      <c r="AA1127" s="86"/>
      <c r="AG1127" s="86"/>
    </row>
    <row r="1128" spans="8:33" ht="15.75" customHeight="1" x14ac:dyDescent="0.3">
      <c r="H1128" s="50"/>
      <c r="M1128" s="75"/>
      <c r="O1128" s="50"/>
      <c r="AA1128" s="86"/>
      <c r="AG1128" s="86"/>
    </row>
    <row r="1129" spans="8:33" ht="15.75" customHeight="1" x14ac:dyDescent="0.3">
      <c r="H1129" s="50"/>
      <c r="M1129" s="75"/>
      <c r="O1129" s="50"/>
      <c r="AA1129" s="86"/>
      <c r="AG1129" s="86"/>
    </row>
    <row r="1130" spans="8:33" ht="15.75" customHeight="1" x14ac:dyDescent="0.3">
      <c r="H1130" s="50"/>
      <c r="M1130" s="75"/>
      <c r="O1130" s="50"/>
      <c r="AA1130" s="86"/>
      <c r="AG1130" s="86"/>
    </row>
    <row r="1131" spans="8:33" ht="15.75" customHeight="1" x14ac:dyDescent="0.3">
      <c r="H1131" s="50"/>
      <c r="M1131" s="75"/>
      <c r="O1131" s="50"/>
      <c r="AA1131" s="86"/>
      <c r="AG1131" s="86"/>
    </row>
    <row r="1132" spans="8:33" ht="15.75" customHeight="1" x14ac:dyDescent="0.3">
      <c r="H1132" s="50"/>
      <c r="M1132" s="75"/>
      <c r="O1132" s="50"/>
      <c r="AA1132" s="86"/>
      <c r="AG1132" s="86"/>
    </row>
    <row r="1133" spans="8:33" ht="15.75" customHeight="1" x14ac:dyDescent="0.3">
      <c r="H1133" s="50"/>
      <c r="M1133" s="75"/>
      <c r="O1133" s="50"/>
      <c r="AA1133" s="86"/>
      <c r="AG1133" s="86"/>
    </row>
    <row r="1134" spans="8:33" ht="15.75" customHeight="1" x14ac:dyDescent="0.3">
      <c r="H1134" s="50"/>
      <c r="M1134" s="75"/>
      <c r="O1134" s="50"/>
      <c r="AA1134" s="86"/>
      <c r="AG1134" s="86"/>
    </row>
    <row r="1135" spans="8:33" ht="15.75" customHeight="1" x14ac:dyDescent="0.3">
      <c r="H1135" s="50"/>
      <c r="M1135" s="75"/>
      <c r="O1135" s="50"/>
      <c r="AA1135" s="86"/>
      <c r="AG1135" s="86"/>
    </row>
    <row r="1136" spans="8:33" ht="15.75" customHeight="1" x14ac:dyDescent="0.3">
      <c r="H1136" s="50"/>
      <c r="M1136" s="75"/>
      <c r="O1136" s="50"/>
      <c r="AA1136" s="86"/>
      <c r="AG1136" s="86"/>
    </row>
    <row r="1137" spans="8:33" ht="15.75" customHeight="1" x14ac:dyDescent="0.3">
      <c r="H1137" s="50"/>
      <c r="M1137" s="75"/>
      <c r="O1137" s="50"/>
      <c r="AA1137" s="86"/>
      <c r="AG1137" s="86"/>
    </row>
    <row r="1138" spans="8:33" ht="15.75" customHeight="1" x14ac:dyDescent="0.3">
      <c r="H1138" s="50"/>
      <c r="M1138" s="75"/>
      <c r="O1138" s="50"/>
      <c r="AA1138" s="86"/>
      <c r="AG1138" s="86"/>
    </row>
    <row r="1139" spans="8:33" ht="15.75" customHeight="1" x14ac:dyDescent="0.3">
      <c r="H1139" s="50"/>
      <c r="M1139" s="75"/>
      <c r="O1139" s="50"/>
      <c r="AA1139" s="86"/>
      <c r="AG1139" s="86"/>
    </row>
    <row r="1140" spans="8:33" ht="15.75" customHeight="1" x14ac:dyDescent="0.3">
      <c r="H1140" s="50"/>
      <c r="M1140" s="75"/>
      <c r="O1140" s="50"/>
      <c r="AA1140" s="86"/>
      <c r="AG1140" s="86"/>
    </row>
    <row r="1141" spans="8:33" ht="15.75" customHeight="1" x14ac:dyDescent="0.3">
      <c r="H1141" s="50"/>
      <c r="M1141" s="75"/>
      <c r="O1141" s="50"/>
      <c r="AA1141" s="86"/>
      <c r="AG1141" s="86"/>
    </row>
    <row r="1142" spans="8:33" ht="15.75" customHeight="1" x14ac:dyDescent="0.3">
      <c r="H1142" s="50"/>
      <c r="M1142" s="75"/>
      <c r="O1142" s="50"/>
      <c r="AA1142" s="86"/>
      <c r="AG1142" s="86"/>
    </row>
    <row r="1143" spans="8:33" ht="15.75" customHeight="1" x14ac:dyDescent="0.3">
      <c r="H1143" s="50"/>
      <c r="M1143" s="75"/>
      <c r="O1143" s="50"/>
      <c r="AA1143" s="86"/>
      <c r="AG1143" s="86"/>
    </row>
    <row r="1144" spans="8:33" ht="15.75" customHeight="1" x14ac:dyDescent="0.3">
      <c r="H1144" s="50"/>
      <c r="M1144" s="75"/>
      <c r="O1144" s="50"/>
      <c r="AA1144" s="86"/>
      <c r="AG1144" s="86"/>
    </row>
    <row r="1145" spans="8:33" ht="15.75" customHeight="1" x14ac:dyDescent="0.3">
      <c r="H1145" s="50"/>
      <c r="M1145" s="75"/>
      <c r="O1145" s="50"/>
      <c r="AA1145" s="86"/>
      <c r="AG1145" s="86"/>
    </row>
    <row r="1146" spans="8:33" ht="15.75" customHeight="1" x14ac:dyDescent="0.3">
      <c r="H1146" s="50"/>
      <c r="M1146" s="75"/>
      <c r="O1146" s="50"/>
      <c r="AA1146" s="86"/>
      <c r="AG1146" s="86"/>
    </row>
    <row r="1147" spans="8:33" ht="15.75" customHeight="1" x14ac:dyDescent="0.3">
      <c r="H1147" s="50"/>
      <c r="M1147" s="75"/>
      <c r="O1147" s="50"/>
      <c r="AA1147" s="86"/>
      <c r="AG1147" s="86"/>
    </row>
    <row r="1148" spans="8:33" ht="15.75" customHeight="1" x14ac:dyDescent="0.3">
      <c r="H1148" s="50"/>
      <c r="M1148" s="75"/>
      <c r="O1148" s="50"/>
      <c r="AA1148" s="86"/>
      <c r="AG1148" s="86"/>
    </row>
    <row r="1149" spans="8:33" ht="15.75" customHeight="1" x14ac:dyDescent="0.3">
      <c r="H1149" s="50"/>
      <c r="M1149" s="75"/>
      <c r="O1149" s="50"/>
      <c r="AA1149" s="86"/>
      <c r="AG1149" s="86"/>
    </row>
    <row r="1150" spans="8:33" ht="15.75" customHeight="1" x14ac:dyDescent="0.3">
      <c r="H1150" s="50"/>
      <c r="M1150" s="75"/>
      <c r="O1150" s="50"/>
      <c r="AA1150" s="86"/>
      <c r="AG1150" s="86"/>
    </row>
    <row r="1151" spans="8:33" ht="15.75" customHeight="1" x14ac:dyDescent="0.3">
      <c r="H1151" s="50"/>
      <c r="M1151" s="75"/>
      <c r="O1151" s="50"/>
      <c r="AA1151" s="86"/>
      <c r="AG1151" s="86"/>
    </row>
    <row r="1152" spans="8:33" ht="15.75" customHeight="1" x14ac:dyDescent="0.3">
      <c r="H1152" s="50"/>
      <c r="M1152" s="75"/>
      <c r="O1152" s="50"/>
      <c r="AA1152" s="86"/>
      <c r="AG1152" s="86"/>
    </row>
    <row r="1153" spans="8:33" ht="15.75" customHeight="1" x14ac:dyDescent="0.3">
      <c r="H1153" s="50"/>
      <c r="M1153" s="75"/>
      <c r="O1153" s="50"/>
      <c r="AA1153" s="86"/>
      <c r="AG1153" s="86"/>
    </row>
    <row r="1154" spans="8:33" ht="15.75" customHeight="1" x14ac:dyDescent="0.3">
      <c r="H1154" s="50"/>
      <c r="M1154" s="75"/>
      <c r="O1154" s="50"/>
      <c r="AA1154" s="86"/>
      <c r="AG1154" s="86"/>
    </row>
    <row r="1155" spans="8:33" ht="15.75" customHeight="1" x14ac:dyDescent="0.3">
      <c r="H1155" s="50"/>
      <c r="M1155" s="75"/>
      <c r="O1155" s="50"/>
      <c r="AA1155" s="86"/>
      <c r="AG1155" s="86"/>
    </row>
    <row r="1156" spans="8:33" ht="15.75" customHeight="1" x14ac:dyDescent="0.3">
      <c r="H1156" s="50"/>
      <c r="M1156" s="75"/>
      <c r="O1156" s="50"/>
      <c r="AA1156" s="86"/>
      <c r="AG1156" s="86"/>
    </row>
    <row r="1157" spans="8:33" ht="15.75" customHeight="1" x14ac:dyDescent="0.3">
      <c r="H1157" s="50"/>
      <c r="M1157" s="75"/>
      <c r="O1157" s="50"/>
      <c r="AA1157" s="86"/>
      <c r="AG1157" s="86"/>
    </row>
    <row r="1158" spans="8:33" ht="15.75" customHeight="1" x14ac:dyDescent="0.3">
      <c r="H1158" s="50"/>
      <c r="M1158" s="75"/>
      <c r="O1158" s="50"/>
      <c r="AA1158" s="86"/>
      <c r="AG1158" s="86"/>
    </row>
    <row r="1159" spans="8:33" ht="15.75" customHeight="1" x14ac:dyDescent="0.3">
      <c r="H1159" s="50"/>
      <c r="M1159" s="75"/>
      <c r="O1159" s="50"/>
      <c r="AA1159" s="86"/>
      <c r="AG1159" s="86"/>
    </row>
    <row r="1160" spans="8:33" ht="15.75" customHeight="1" x14ac:dyDescent="0.3">
      <c r="H1160" s="50"/>
      <c r="M1160" s="75"/>
      <c r="O1160" s="50"/>
      <c r="AA1160" s="86"/>
      <c r="AG1160" s="86"/>
    </row>
    <row r="1161" spans="8:33" ht="15.75" customHeight="1" x14ac:dyDescent="0.3">
      <c r="H1161" s="50"/>
      <c r="M1161" s="75"/>
      <c r="O1161" s="50"/>
      <c r="AA1161" s="86"/>
      <c r="AG1161" s="86"/>
    </row>
    <row r="1162" spans="8:33" ht="15.75" customHeight="1" x14ac:dyDescent="0.3">
      <c r="H1162" s="50"/>
      <c r="M1162" s="75"/>
      <c r="O1162" s="50"/>
      <c r="AA1162" s="86"/>
      <c r="AG1162" s="86"/>
    </row>
    <row r="1163" spans="8:33" ht="15.75" customHeight="1" x14ac:dyDescent="0.3">
      <c r="H1163" s="50"/>
      <c r="M1163" s="75"/>
      <c r="O1163" s="50"/>
      <c r="AA1163" s="86"/>
      <c r="AG1163" s="86"/>
    </row>
    <row r="1164" spans="8:33" ht="15.75" customHeight="1" x14ac:dyDescent="0.3">
      <c r="H1164" s="50"/>
      <c r="M1164" s="75"/>
      <c r="O1164" s="50"/>
      <c r="AA1164" s="86"/>
      <c r="AG1164" s="86"/>
    </row>
    <row r="1165" spans="8:33" ht="15.75" customHeight="1" x14ac:dyDescent="0.3">
      <c r="H1165" s="50"/>
      <c r="M1165" s="75"/>
      <c r="O1165" s="50"/>
      <c r="AA1165" s="86"/>
      <c r="AG1165" s="86"/>
    </row>
    <row r="1166" spans="8:33" ht="15.75" customHeight="1" x14ac:dyDescent="0.3">
      <c r="H1166" s="50"/>
      <c r="M1166" s="75"/>
      <c r="O1166" s="50"/>
      <c r="AA1166" s="86"/>
      <c r="AG1166" s="86"/>
    </row>
    <row r="1167" spans="8:33" ht="15.75" customHeight="1" x14ac:dyDescent="0.3">
      <c r="H1167" s="50"/>
      <c r="M1167" s="75"/>
      <c r="O1167" s="50"/>
      <c r="AA1167" s="86"/>
      <c r="AG1167" s="86"/>
    </row>
    <row r="1168" spans="8:33" ht="15.75" customHeight="1" x14ac:dyDescent="0.3">
      <c r="H1168" s="50"/>
      <c r="M1168" s="75"/>
      <c r="O1168" s="50"/>
      <c r="AA1168" s="86"/>
      <c r="AG1168" s="86"/>
    </row>
    <row r="1169" spans="8:33" ht="15.75" customHeight="1" x14ac:dyDescent="0.3">
      <c r="H1169" s="50"/>
      <c r="M1169" s="75"/>
      <c r="O1169" s="50"/>
      <c r="AA1169" s="86"/>
      <c r="AG1169" s="86"/>
    </row>
    <row r="1170" spans="8:33" ht="15.75" customHeight="1" x14ac:dyDescent="0.3">
      <c r="H1170" s="50"/>
      <c r="M1170" s="75"/>
      <c r="O1170" s="50"/>
      <c r="AA1170" s="86"/>
      <c r="AG1170" s="86"/>
    </row>
    <row r="1171" spans="8:33" ht="15.75" customHeight="1" x14ac:dyDescent="0.3">
      <c r="H1171" s="50"/>
      <c r="M1171" s="75"/>
      <c r="O1171" s="50"/>
      <c r="AA1171" s="86"/>
      <c r="AG1171" s="86"/>
    </row>
    <row r="1172" spans="8:33" ht="15.75" customHeight="1" x14ac:dyDescent="0.3">
      <c r="H1172" s="50"/>
      <c r="M1172" s="75"/>
      <c r="O1172" s="50"/>
      <c r="AA1172" s="86"/>
      <c r="AG1172" s="86"/>
    </row>
    <row r="1173" spans="8:33" ht="15.75" customHeight="1" x14ac:dyDescent="0.3">
      <c r="H1173" s="50"/>
      <c r="M1173" s="75"/>
      <c r="O1173" s="50"/>
      <c r="AA1173" s="86"/>
      <c r="AG1173" s="86"/>
    </row>
    <row r="1174" spans="8:33" ht="15.75" customHeight="1" x14ac:dyDescent="0.3">
      <c r="H1174" s="50"/>
      <c r="M1174" s="75"/>
      <c r="O1174" s="50"/>
      <c r="AA1174" s="86"/>
      <c r="AG1174" s="86"/>
    </row>
    <row r="1175" spans="8:33" ht="15.75" customHeight="1" x14ac:dyDescent="0.3">
      <c r="H1175" s="50"/>
      <c r="M1175" s="75"/>
      <c r="O1175" s="50"/>
      <c r="AA1175" s="86"/>
      <c r="AG1175" s="86"/>
    </row>
    <row r="1176" spans="8:33" ht="15.75" customHeight="1" x14ac:dyDescent="0.3">
      <c r="H1176" s="50"/>
      <c r="M1176" s="75"/>
      <c r="O1176" s="50"/>
      <c r="AA1176" s="86"/>
      <c r="AG1176" s="86"/>
    </row>
    <row r="1177" spans="8:33" ht="15.75" customHeight="1" x14ac:dyDescent="0.3">
      <c r="H1177" s="50"/>
      <c r="M1177" s="75"/>
      <c r="O1177" s="50"/>
      <c r="AA1177" s="86"/>
      <c r="AG1177" s="86"/>
    </row>
    <row r="1178" spans="8:33" ht="15.75" customHeight="1" x14ac:dyDescent="0.3">
      <c r="H1178" s="50"/>
      <c r="M1178" s="75"/>
      <c r="O1178" s="50"/>
      <c r="AA1178" s="86"/>
      <c r="AG1178" s="86"/>
    </row>
    <row r="1179" spans="8:33" ht="15.75" customHeight="1" x14ac:dyDescent="0.3">
      <c r="H1179" s="50"/>
      <c r="M1179" s="75"/>
      <c r="O1179" s="50"/>
      <c r="AA1179" s="86"/>
      <c r="AG1179" s="86"/>
    </row>
    <row r="1180" spans="8:33" ht="15.75" customHeight="1" x14ac:dyDescent="0.3">
      <c r="H1180" s="50"/>
      <c r="M1180" s="75"/>
      <c r="O1180" s="50"/>
      <c r="AA1180" s="86"/>
      <c r="AG1180" s="86"/>
    </row>
    <row r="1181" spans="8:33" ht="15.75" customHeight="1" x14ac:dyDescent="0.3">
      <c r="H1181" s="50"/>
      <c r="M1181" s="75"/>
      <c r="O1181" s="50"/>
      <c r="AA1181" s="86"/>
      <c r="AG1181" s="86"/>
    </row>
    <row r="1182" spans="8:33" ht="15.75" customHeight="1" x14ac:dyDescent="0.3">
      <c r="H1182" s="50"/>
      <c r="M1182" s="75"/>
      <c r="O1182" s="50"/>
      <c r="AA1182" s="86"/>
      <c r="AG1182" s="86"/>
    </row>
    <row r="1183" spans="8:33" ht="15.75" customHeight="1" x14ac:dyDescent="0.3">
      <c r="H1183" s="50"/>
      <c r="M1183" s="75"/>
      <c r="O1183" s="50"/>
      <c r="AA1183" s="86"/>
      <c r="AG1183" s="86"/>
    </row>
    <row r="1184" spans="8:33" ht="15.75" customHeight="1" x14ac:dyDescent="0.3">
      <c r="H1184" s="50"/>
      <c r="M1184" s="75"/>
      <c r="O1184" s="50"/>
      <c r="AA1184" s="86"/>
      <c r="AG1184" s="86"/>
    </row>
    <row r="1185" spans="8:33" ht="15.75" customHeight="1" x14ac:dyDescent="0.3">
      <c r="H1185" s="50"/>
      <c r="M1185" s="75"/>
      <c r="O1185" s="50"/>
      <c r="AA1185" s="86"/>
      <c r="AG1185" s="86"/>
    </row>
    <row r="1186" spans="8:33" ht="15.75" customHeight="1" x14ac:dyDescent="0.3">
      <c r="H1186" s="50"/>
      <c r="M1186" s="75"/>
      <c r="O1186" s="50"/>
      <c r="AA1186" s="86"/>
      <c r="AG1186" s="86"/>
    </row>
    <row r="1187" spans="8:33" ht="15.75" customHeight="1" x14ac:dyDescent="0.3">
      <c r="H1187" s="50"/>
      <c r="M1187" s="75"/>
      <c r="O1187" s="50"/>
      <c r="AA1187" s="86"/>
      <c r="AG1187" s="86"/>
    </row>
    <row r="1188" spans="8:33" ht="15.75" customHeight="1" x14ac:dyDescent="0.3">
      <c r="H1188" s="50"/>
      <c r="M1188" s="75"/>
      <c r="O1188" s="50"/>
      <c r="AA1188" s="86"/>
      <c r="AG1188" s="86"/>
    </row>
    <row r="1189" spans="8:33" ht="15.75" customHeight="1" x14ac:dyDescent="0.3">
      <c r="H1189" s="50"/>
      <c r="M1189" s="75"/>
      <c r="O1189" s="50"/>
      <c r="AA1189" s="86"/>
      <c r="AG1189" s="86"/>
    </row>
    <row r="1190" spans="8:33" ht="15.75" customHeight="1" x14ac:dyDescent="0.3">
      <c r="H1190" s="50"/>
      <c r="M1190" s="75"/>
      <c r="O1190" s="50"/>
      <c r="AA1190" s="86"/>
      <c r="AG1190" s="86"/>
    </row>
    <row r="1191" spans="8:33" ht="15.75" customHeight="1" x14ac:dyDescent="0.3">
      <c r="H1191" s="50"/>
      <c r="M1191" s="75"/>
      <c r="O1191" s="50"/>
      <c r="AA1191" s="86"/>
      <c r="AG1191" s="86"/>
    </row>
    <row r="1192" spans="8:33" ht="15.75" customHeight="1" x14ac:dyDescent="0.3">
      <c r="H1192" s="50"/>
      <c r="M1192" s="75"/>
      <c r="O1192" s="50"/>
      <c r="AA1192" s="86"/>
      <c r="AG1192" s="86"/>
    </row>
    <row r="1193" spans="8:33" ht="15.75" customHeight="1" x14ac:dyDescent="0.3">
      <c r="H1193" s="50"/>
      <c r="M1193" s="75"/>
      <c r="O1193" s="50"/>
      <c r="AA1193" s="86"/>
      <c r="AG1193" s="86"/>
    </row>
    <row r="1194" spans="8:33" ht="15.75" customHeight="1" x14ac:dyDescent="0.3">
      <c r="H1194" s="50"/>
      <c r="M1194" s="75"/>
      <c r="O1194" s="50"/>
      <c r="AA1194" s="86"/>
      <c r="AG1194" s="86"/>
    </row>
    <row r="1195" spans="8:33" ht="15.75" customHeight="1" x14ac:dyDescent="0.3">
      <c r="H1195" s="50"/>
      <c r="M1195" s="75"/>
      <c r="O1195" s="50"/>
      <c r="AA1195" s="86"/>
      <c r="AG1195" s="86"/>
    </row>
    <row r="1196" spans="8:33" ht="15.75" customHeight="1" x14ac:dyDescent="0.3">
      <c r="H1196" s="50"/>
      <c r="M1196" s="75"/>
      <c r="O1196" s="50"/>
      <c r="AA1196" s="86"/>
      <c r="AG1196" s="86"/>
    </row>
    <row r="1197" spans="8:33" ht="15.75" customHeight="1" x14ac:dyDescent="0.3">
      <c r="H1197" s="50"/>
      <c r="M1197" s="75"/>
      <c r="O1197" s="50"/>
      <c r="AA1197" s="86"/>
      <c r="AG1197" s="86"/>
    </row>
    <row r="1198" spans="8:33" ht="15.75" customHeight="1" x14ac:dyDescent="0.3">
      <c r="H1198" s="50"/>
      <c r="M1198" s="75"/>
      <c r="O1198" s="50"/>
      <c r="AA1198" s="86"/>
      <c r="AG1198" s="86"/>
    </row>
    <row r="1199" spans="8:33" ht="15.75" customHeight="1" x14ac:dyDescent="0.3">
      <c r="H1199" s="50"/>
      <c r="M1199" s="75"/>
      <c r="O1199" s="50"/>
      <c r="AA1199" s="86"/>
      <c r="AG1199" s="86"/>
    </row>
    <row r="1200" spans="8:33" ht="15.75" customHeight="1" x14ac:dyDescent="0.3">
      <c r="H1200" s="50"/>
      <c r="M1200" s="75"/>
      <c r="O1200" s="50"/>
      <c r="AA1200" s="86"/>
      <c r="AG1200" s="86"/>
    </row>
    <row r="1201" spans="8:33" ht="15.75" customHeight="1" x14ac:dyDescent="0.3">
      <c r="H1201" s="50"/>
      <c r="M1201" s="75"/>
      <c r="O1201" s="50"/>
      <c r="AA1201" s="86"/>
      <c r="AG1201" s="86"/>
    </row>
    <row r="1202" spans="8:33" ht="15.75" customHeight="1" x14ac:dyDescent="0.3">
      <c r="H1202" s="50"/>
      <c r="M1202" s="75"/>
      <c r="O1202" s="50"/>
      <c r="AA1202" s="86"/>
      <c r="AG1202" s="86"/>
    </row>
    <row r="1203" spans="8:33" ht="15.75" customHeight="1" x14ac:dyDescent="0.3">
      <c r="H1203" s="50"/>
      <c r="M1203" s="75"/>
      <c r="O1203" s="50"/>
      <c r="AA1203" s="86"/>
      <c r="AG1203" s="86"/>
    </row>
    <row r="1204" spans="8:33" ht="15.75" customHeight="1" x14ac:dyDescent="0.3">
      <c r="H1204" s="50"/>
      <c r="M1204" s="75"/>
      <c r="O1204" s="50"/>
      <c r="AA1204" s="86"/>
      <c r="AG1204" s="86"/>
    </row>
    <row r="1205" spans="8:33" ht="15.75" customHeight="1" x14ac:dyDescent="0.3">
      <c r="H1205" s="50"/>
      <c r="M1205" s="75"/>
      <c r="O1205" s="50"/>
      <c r="AA1205" s="86"/>
      <c r="AG1205" s="86"/>
    </row>
    <row r="1206" spans="8:33" ht="15.75" customHeight="1" x14ac:dyDescent="0.3">
      <c r="H1206" s="50"/>
      <c r="M1206" s="75"/>
      <c r="O1206" s="50"/>
      <c r="AA1206" s="86"/>
      <c r="AG1206" s="86"/>
    </row>
    <row r="1207" spans="8:33" ht="15.75" customHeight="1" x14ac:dyDescent="0.3">
      <c r="H1207" s="50"/>
      <c r="M1207" s="75"/>
      <c r="O1207" s="50"/>
      <c r="AA1207" s="86"/>
      <c r="AG1207" s="86"/>
    </row>
    <row r="1208" spans="8:33" ht="15.75" customHeight="1" x14ac:dyDescent="0.3">
      <c r="H1208" s="50"/>
      <c r="M1208" s="75"/>
      <c r="O1208" s="50"/>
      <c r="AA1208" s="86"/>
      <c r="AG1208" s="86"/>
    </row>
    <row r="1209" spans="8:33" ht="15.75" customHeight="1" x14ac:dyDescent="0.3">
      <c r="H1209" s="50"/>
      <c r="M1209" s="75"/>
      <c r="O1209" s="50"/>
      <c r="AA1209" s="86"/>
      <c r="AG1209" s="86"/>
    </row>
    <row r="1210" spans="8:33" ht="15.75" customHeight="1" x14ac:dyDescent="0.3">
      <c r="H1210" s="50"/>
      <c r="M1210" s="75"/>
      <c r="O1210" s="50"/>
      <c r="AA1210" s="86"/>
      <c r="AG1210" s="86"/>
    </row>
    <row r="1211" spans="8:33" ht="15.75" customHeight="1" x14ac:dyDescent="0.3">
      <c r="H1211" s="50"/>
      <c r="M1211" s="75"/>
      <c r="O1211" s="50"/>
      <c r="AA1211" s="86"/>
      <c r="AG1211" s="86"/>
    </row>
    <row r="1212" spans="8:33" ht="15.75" customHeight="1" x14ac:dyDescent="0.3">
      <c r="H1212" s="50"/>
      <c r="M1212" s="75"/>
      <c r="O1212" s="50"/>
      <c r="AA1212" s="86"/>
      <c r="AG1212" s="86"/>
    </row>
    <row r="1213" spans="8:33" ht="15.75" customHeight="1" x14ac:dyDescent="0.3">
      <c r="H1213" s="50"/>
      <c r="M1213" s="75"/>
      <c r="O1213" s="50"/>
      <c r="AA1213" s="86"/>
      <c r="AG1213" s="86"/>
    </row>
    <row r="1214" spans="8:33" ht="15.75" customHeight="1" x14ac:dyDescent="0.3">
      <c r="H1214" s="50"/>
      <c r="M1214" s="75"/>
      <c r="O1214" s="50"/>
      <c r="AA1214" s="86"/>
      <c r="AG1214" s="86"/>
    </row>
    <row r="1215" spans="8:33" ht="15.75" customHeight="1" x14ac:dyDescent="0.3">
      <c r="H1215" s="50"/>
      <c r="M1215" s="75"/>
      <c r="O1215" s="50"/>
      <c r="AA1215" s="86"/>
      <c r="AG1215" s="86"/>
    </row>
    <row r="1216" spans="8:33" ht="15.75" customHeight="1" x14ac:dyDescent="0.3">
      <c r="H1216" s="50"/>
      <c r="M1216" s="75"/>
      <c r="O1216" s="50"/>
      <c r="AA1216" s="86"/>
      <c r="AG1216" s="86"/>
    </row>
    <row r="1217" spans="8:33" ht="15.75" customHeight="1" x14ac:dyDescent="0.3">
      <c r="H1217" s="50"/>
      <c r="M1217" s="75"/>
      <c r="O1217" s="50"/>
      <c r="AA1217" s="86"/>
      <c r="AG1217" s="86"/>
    </row>
    <row r="1218" spans="8:33" ht="15.75" customHeight="1" x14ac:dyDescent="0.3">
      <c r="H1218" s="50"/>
      <c r="M1218" s="75"/>
      <c r="O1218" s="50"/>
      <c r="AA1218" s="86"/>
      <c r="AG1218" s="86"/>
    </row>
    <row r="1219" spans="8:33" ht="15.75" customHeight="1" x14ac:dyDescent="0.3">
      <c r="H1219" s="50"/>
      <c r="M1219" s="75"/>
      <c r="O1219" s="50"/>
      <c r="AA1219" s="86"/>
      <c r="AG1219" s="86"/>
    </row>
    <row r="1220" spans="8:33" ht="15.75" customHeight="1" x14ac:dyDescent="0.3">
      <c r="H1220" s="50"/>
      <c r="M1220" s="75"/>
      <c r="O1220" s="50"/>
      <c r="AA1220" s="86"/>
      <c r="AG1220" s="86"/>
    </row>
    <row r="1221" spans="8:33" ht="15.75" customHeight="1" x14ac:dyDescent="0.3">
      <c r="H1221" s="50"/>
      <c r="M1221" s="75"/>
      <c r="O1221" s="50"/>
      <c r="AA1221" s="86"/>
      <c r="AG1221" s="86"/>
    </row>
    <row r="1222" spans="8:33" ht="15.75" customHeight="1" x14ac:dyDescent="0.3">
      <c r="H1222" s="50"/>
      <c r="M1222" s="75"/>
      <c r="O1222" s="50"/>
      <c r="AA1222" s="86"/>
      <c r="AG1222" s="86"/>
    </row>
    <row r="1223" spans="8:33" ht="15.75" customHeight="1" x14ac:dyDescent="0.3">
      <c r="H1223" s="50"/>
      <c r="M1223" s="75"/>
      <c r="O1223" s="50"/>
      <c r="AA1223" s="86"/>
      <c r="AG1223" s="86"/>
    </row>
    <row r="1224" spans="8:33" ht="15.75" customHeight="1" x14ac:dyDescent="0.3">
      <c r="H1224" s="50"/>
      <c r="M1224" s="75"/>
      <c r="O1224" s="50"/>
      <c r="AA1224" s="86"/>
      <c r="AG1224" s="86"/>
    </row>
    <row r="1225" spans="8:33" ht="15.75" customHeight="1" x14ac:dyDescent="0.3">
      <c r="H1225" s="50"/>
      <c r="M1225" s="75"/>
      <c r="O1225" s="50"/>
      <c r="AA1225" s="86"/>
      <c r="AG1225" s="86"/>
    </row>
    <row r="1226" spans="8:33" ht="15.75" customHeight="1" x14ac:dyDescent="0.3">
      <c r="H1226" s="50"/>
      <c r="M1226" s="75"/>
      <c r="O1226" s="50"/>
      <c r="AA1226" s="86"/>
      <c r="AG1226" s="86"/>
    </row>
    <row r="1227" spans="8:33" ht="15.75" customHeight="1" x14ac:dyDescent="0.3">
      <c r="H1227" s="50"/>
      <c r="M1227" s="75"/>
      <c r="O1227" s="50"/>
      <c r="AA1227" s="86"/>
      <c r="AG1227" s="86"/>
    </row>
    <row r="1228" spans="8:33" ht="15.75" customHeight="1" x14ac:dyDescent="0.3">
      <c r="H1228" s="50"/>
      <c r="M1228" s="75"/>
      <c r="O1228" s="50"/>
      <c r="AA1228" s="86"/>
      <c r="AG1228" s="86"/>
    </row>
    <row r="1229" spans="8:33" ht="15.75" customHeight="1" x14ac:dyDescent="0.3">
      <c r="H1229" s="50"/>
      <c r="M1229" s="75"/>
      <c r="O1229" s="50"/>
      <c r="AA1229" s="86"/>
      <c r="AG1229" s="86"/>
    </row>
    <row r="1230" spans="8:33" ht="15.75" customHeight="1" x14ac:dyDescent="0.3">
      <c r="H1230" s="50"/>
      <c r="M1230" s="75"/>
      <c r="O1230" s="50"/>
      <c r="AA1230" s="86"/>
      <c r="AG1230" s="86"/>
    </row>
    <row r="1231" spans="8:33" ht="15.75" customHeight="1" x14ac:dyDescent="0.3">
      <c r="H1231" s="50"/>
      <c r="M1231" s="75"/>
      <c r="O1231" s="50"/>
      <c r="AA1231" s="86"/>
      <c r="AG1231" s="86"/>
    </row>
    <row r="1232" spans="8:33" ht="15.75" customHeight="1" x14ac:dyDescent="0.3">
      <c r="H1232" s="50"/>
      <c r="M1232" s="75"/>
      <c r="O1232" s="50"/>
      <c r="AA1232" s="86"/>
      <c r="AG1232" s="86"/>
    </row>
    <row r="1233" spans="8:33" ht="15.75" customHeight="1" x14ac:dyDescent="0.3">
      <c r="H1233" s="50"/>
      <c r="M1233" s="75"/>
      <c r="O1233" s="50"/>
      <c r="AA1233" s="86"/>
      <c r="AG1233" s="86"/>
    </row>
    <row r="1234" spans="8:33" ht="15.75" customHeight="1" x14ac:dyDescent="0.3">
      <c r="H1234" s="50"/>
      <c r="M1234" s="75"/>
      <c r="O1234" s="50"/>
      <c r="AA1234" s="86"/>
      <c r="AG1234" s="86"/>
    </row>
    <row r="1235" spans="8:33" ht="15.75" customHeight="1" x14ac:dyDescent="0.3">
      <c r="H1235" s="50"/>
      <c r="M1235" s="75"/>
      <c r="O1235" s="50"/>
      <c r="AA1235" s="86"/>
      <c r="AG1235" s="86"/>
    </row>
    <row r="1236" spans="8:33" ht="15.75" customHeight="1" x14ac:dyDescent="0.3">
      <c r="H1236" s="50"/>
      <c r="M1236" s="75"/>
      <c r="O1236" s="50"/>
      <c r="AA1236" s="86"/>
      <c r="AG1236" s="86"/>
    </row>
    <row r="1237" spans="8:33" ht="15.75" customHeight="1" x14ac:dyDescent="0.3">
      <c r="H1237" s="50"/>
      <c r="M1237" s="75"/>
      <c r="O1237" s="50"/>
      <c r="AA1237" s="86"/>
      <c r="AG1237" s="86"/>
    </row>
    <row r="1238" spans="8:33" ht="15.75" customHeight="1" x14ac:dyDescent="0.3">
      <c r="H1238" s="50"/>
      <c r="M1238" s="75"/>
      <c r="O1238" s="50"/>
      <c r="AA1238" s="86"/>
      <c r="AG1238" s="86"/>
    </row>
    <row r="1239" spans="8:33" ht="15.75" customHeight="1" x14ac:dyDescent="0.3">
      <c r="H1239" s="50"/>
      <c r="M1239" s="75"/>
      <c r="O1239" s="50"/>
      <c r="AA1239" s="86"/>
      <c r="AG1239" s="86"/>
    </row>
    <row r="1240" spans="8:33" ht="15.75" customHeight="1" x14ac:dyDescent="0.3">
      <c r="H1240" s="50"/>
      <c r="M1240" s="75"/>
      <c r="O1240" s="50"/>
      <c r="AA1240" s="86"/>
      <c r="AG1240" s="86"/>
    </row>
    <row r="1241" spans="8:33" ht="15.75" customHeight="1" x14ac:dyDescent="0.3">
      <c r="H1241" s="50"/>
      <c r="M1241" s="75"/>
      <c r="O1241" s="50"/>
      <c r="AA1241" s="86"/>
      <c r="AG1241" s="86"/>
    </row>
    <row r="1242" spans="8:33" ht="15.75" customHeight="1" x14ac:dyDescent="0.3">
      <c r="H1242" s="50"/>
      <c r="M1242" s="75"/>
      <c r="O1242" s="50"/>
      <c r="AA1242" s="86"/>
      <c r="AG1242" s="86"/>
    </row>
    <row r="1243" spans="8:33" ht="15.75" customHeight="1" x14ac:dyDescent="0.3">
      <c r="H1243" s="50"/>
      <c r="M1243" s="75"/>
      <c r="O1243" s="50"/>
      <c r="AA1243" s="86"/>
      <c r="AG1243" s="86"/>
    </row>
    <row r="1244" spans="8:33" ht="15.75" customHeight="1" x14ac:dyDescent="0.3">
      <c r="H1244" s="50"/>
      <c r="M1244" s="75"/>
      <c r="O1244" s="50"/>
      <c r="AA1244" s="86"/>
      <c r="AG1244" s="86"/>
    </row>
    <row r="1245" spans="8:33" ht="15.75" customHeight="1" x14ac:dyDescent="0.3">
      <c r="H1245" s="50"/>
      <c r="M1245" s="75"/>
      <c r="O1245" s="50"/>
      <c r="AA1245" s="86"/>
      <c r="AG1245" s="86"/>
    </row>
    <row r="1246" spans="8:33" ht="15.75" customHeight="1" x14ac:dyDescent="0.3">
      <c r="H1246" s="50"/>
      <c r="M1246" s="75"/>
      <c r="O1246" s="50"/>
      <c r="AA1246" s="86"/>
      <c r="AG1246" s="86"/>
    </row>
    <row r="1247" spans="8:33" ht="15.75" customHeight="1" x14ac:dyDescent="0.3">
      <c r="H1247" s="50"/>
      <c r="M1247" s="75"/>
      <c r="O1247" s="50"/>
      <c r="AA1247" s="86"/>
      <c r="AG1247" s="86"/>
    </row>
    <row r="1248" spans="8:33" ht="15.75" customHeight="1" x14ac:dyDescent="0.3">
      <c r="H1248" s="50"/>
      <c r="M1248" s="75"/>
      <c r="O1248" s="50"/>
      <c r="AA1248" s="86"/>
      <c r="AG1248" s="86"/>
    </row>
    <row r="1249" spans="8:33" ht="15.75" customHeight="1" x14ac:dyDescent="0.3">
      <c r="H1249" s="50"/>
      <c r="M1249" s="75"/>
      <c r="O1249" s="50"/>
      <c r="AA1249" s="86"/>
      <c r="AG1249" s="86"/>
    </row>
    <row r="1250" spans="8:33" ht="15.75" customHeight="1" x14ac:dyDescent="0.3">
      <c r="H1250" s="50"/>
      <c r="M1250" s="75"/>
      <c r="O1250" s="50"/>
      <c r="AA1250" s="86"/>
      <c r="AG1250" s="86"/>
    </row>
    <row r="1251" spans="8:33" ht="15.75" customHeight="1" x14ac:dyDescent="0.3">
      <c r="H1251" s="50"/>
      <c r="M1251" s="75"/>
      <c r="O1251" s="50"/>
      <c r="AA1251" s="86"/>
      <c r="AG1251" s="86"/>
    </row>
    <row r="1252" spans="8:33" ht="15.75" customHeight="1" x14ac:dyDescent="0.3">
      <c r="H1252" s="50"/>
      <c r="M1252" s="75"/>
      <c r="O1252" s="50"/>
      <c r="AA1252" s="86"/>
      <c r="AG1252" s="86"/>
    </row>
    <row r="1253" spans="8:33" ht="15.75" customHeight="1" x14ac:dyDescent="0.3">
      <c r="H1253" s="50"/>
      <c r="M1253" s="75"/>
      <c r="O1253" s="50"/>
      <c r="AA1253" s="86"/>
      <c r="AG1253" s="86"/>
    </row>
    <row r="1254" spans="8:33" ht="15.75" customHeight="1" x14ac:dyDescent="0.3">
      <c r="H1254" s="50"/>
      <c r="M1254" s="75"/>
      <c r="O1254" s="50"/>
      <c r="AA1254" s="86"/>
      <c r="AG1254" s="86"/>
    </row>
    <row r="1255" spans="8:33" ht="15.75" customHeight="1" x14ac:dyDescent="0.3">
      <c r="H1255" s="50"/>
      <c r="M1255" s="75"/>
      <c r="O1255" s="50"/>
      <c r="AA1255" s="86"/>
      <c r="AG1255" s="86"/>
    </row>
    <row r="1256" spans="8:33" ht="15.75" customHeight="1" x14ac:dyDescent="0.3">
      <c r="H1256" s="50"/>
      <c r="M1256" s="75"/>
      <c r="O1256" s="50"/>
      <c r="AA1256" s="86"/>
      <c r="AG1256" s="86"/>
    </row>
    <row r="1257" spans="8:33" ht="15.75" customHeight="1" x14ac:dyDescent="0.3">
      <c r="H1257" s="50"/>
      <c r="M1257" s="75"/>
      <c r="O1257" s="50"/>
      <c r="AA1257" s="86"/>
      <c r="AG1257" s="86"/>
    </row>
    <row r="1258" spans="8:33" ht="15.75" customHeight="1" x14ac:dyDescent="0.3">
      <c r="H1258" s="50"/>
      <c r="M1258" s="75"/>
      <c r="O1258" s="50"/>
      <c r="AA1258" s="86"/>
      <c r="AG1258" s="86"/>
    </row>
    <row r="1259" spans="8:33" ht="15.75" customHeight="1" x14ac:dyDescent="0.3">
      <c r="H1259" s="50"/>
      <c r="M1259" s="75"/>
      <c r="O1259" s="50"/>
      <c r="AA1259" s="86"/>
      <c r="AG1259" s="86"/>
    </row>
    <row r="1260" spans="8:33" ht="15.75" customHeight="1" x14ac:dyDescent="0.3">
      <c r="H1260" s="50"/>
      <c r="M1260" s="75"/>
      <c r="O1260" s="50"/>
      <c r="AA1260" s="86"/>
      <c r="AG1260" s="86"/>
    </row>
    <row r="1261" spans="8:33" ht="15.75" customHeight="1" x14ac:dyDescent="0.3">
      <c r="H1261" s="50"/>
      <c r="M1261" s="75"/>
      <c r="O1261" s="50"/>
      <c r="AA1261" s="86"/>
      <c r="AG1261" s="86"/>
    </row>
    <row r="1262" spans="8:33" ht="15.75" customHeight="1" x14ac:dyDescent="0.3">
      <c r="H1262" s="50"/>
      <c r="M1262" s="75"/>
      <c r="O1262" s="50"/>
      <c r="AA1262" s="86"/>
      <c r="AG1262" s="86"/>
    </row>
    <row r="1263" spans="8:33" ht="15.75" customHeight="1" x14ac:dyDescent="0.3">
      <c r="H1263" s="50"/>
      <c r="M1263" s="75"/>
      <c r="O1263" s="50"/>
      <c r="AA1263" s="86"/>
      <c r="AG1263" s="86"/>
    </row>
    <row r="1264" spans="8:33" ht="15.75" customHeight="1" x14ac:dyDescent="0.3">
      <c r="H1264" s="50"/>
      <c r="M1264" s="75"/>
      <c r="O1264" s="50"/>
      <c r="AA1264" s="86"/>
      <c r="AG1264" s="86"/>
    </row>
    <row r="1265" spans="8:33" ht="15.75" customHeight="1" x14ac:dyDescent="0.3">
      <c r="H1265" s="50"/>
      <c r="M1265" s="75"/>
      <c r="O1265" s="50"/>
      <c r="AA1265" s="86"/>
      <c r="AG1265" s="86"/>
    </row>
    <row r="1266" spans="8:33" ht="15.75" customHeight="1" x14ac:dyDescent="0.3">
      <c r="H1266" s="50"/>
      <c r="M1266" s="75"/>
      <c r="O1266" s="50"/>
      <c r="AA1266" s="86"/>
      <c r="AG1266" s="86"/>
    </row>
    <row r="1267" spans="8:33" ht="15.75" customHeight="1" x14ac:dyDescent="0.3">
      <c r="H1267" s="50"/>
      <c r="M1267" s="75"/>
      <c r="O1267" s="50"/>
      <c r="AA1267" s="86"/>
      <c r="AG1267" s="86"/>
    </row>
    <row r="1268" spans="8:33" ht="15.75" customHeight="1" x14ac:dyDescent="0.3">
      <c r="H1268" s="50"/>
      <c r="M1268" s="75"/>
      <c r="O1268" s="50"/>
      <c r="AA1268" s="86"/>
      <c r="AG1268" s="86"/>
    </row>
    <row r="1269" spans="8:33" ht="15.75" customHeight="1" x14ac:dyDescent="0.3">
      <c r="H1269" s="50"/>
      <c r="M1269" s="75"/>
      <c r="O1269" s="50"/>
      <c r="AA1269" s="86"/>
      <c r="AG1269" s="86"/>
    </row>
    <row r="1270" spans="8:33" ht="15.75" customHeight="1" x14ac:dyDescent="0.3">
      <c r="H1270" s="50"/>
      <c r="M1270" s="75"/>
      <c r="O1270" s="50"/>
      <c r="AA1270" s="86"/>
      <c r="AG1270" s="86"/>
    </row>
    <row r="1271" spans="8:33" ht="15.75" customHeight="1" x14ac:dyDescent="0.3">
      <c r="H1271" s="50"/>
      <c r="M1271" s="75"/>
      <c r="O1271" s="50"/>
      <c r="AA1271" s="86"/>
      <c r="AG1271" s="86"/>
    </row>
    <row r="1272" spans="8:33" ht="15.75" customHeight="1" x14ac:dyDescent="0.3">
      <c r="H1272" s="50"/>
      <c r="M1272" s="75"/>
      <c r="O1272" s="50"/>
      <c r="AA1272" s="86"/>
      <c r="AG1272" s="86"/>
    </row>
    <row r="1273" spans="8:33" ht="15.75" customHeight="1" x14ac:dyDescent="0.3">
      <c r="H1273" s="50"/>
      <c r="M1273" s="75"/>
      <c r="O1273" s="50"/>
      <c r="AA1273" s="86"/>
      <c r="AG1273" s="86"/>
    </row>
    <row r="1274" spans="8:33" ht="15.75" customHeight="1" x14ac:dyDescent="0.3">
      <c r="H1274" s="50"/>
      <c r="M1274" s="75"/>
      <c r="O1274" s="50"/>
      <c r="AA1274" s="86"/>
      <c r="AG1274" s="86"/>
    </row>
    <row r="1275" spans="8:33" ht="15.75" customHeight="1" x14ac:dyDescent="0.3">
      <c r="H1275" s="50"/>
      <c r="M1275" s="75"/>
      <c r="O1275" s="50"/>
      <c r="AA1275" s="86"/>
      <c r="AG1275" s="86"/>
    </row>
    <row r="1276" spans="8:33" ht="15.75" customHeight="1" x14ac:dyDescent="0.3">
      <c r="H1276" s="50"/>
      <c r="M1276" s="75"/>
      <c r="O1276" s="50"/>
      <c r="AA1276" s="86"/>
      <c r="AG1276" s="86"/>
    </row>
    <row r="1277" spans="8:33" ht="15.75" customHeight="1" x14ac:dyDescent="0.3">
      <c r="H1277" s="50"/>
      <c r="M1277" s="75"/>
      <c r="O1277" s="50"/>
      <c r="AA1277" s="86"/>
      <c r="AG1277" s="86"/>
    </row>
    <row r="1278" spans="8:33" ht="15.75" customHeight="1" x14ac:dyDescent="0.3">
      <c r="H1278" s="50"/>
      <c r="M1278" s="75"/>
      <c r="O1278" s="50"/>
      <c r="AA1278" s="86"/>
      <c r="AG1278" s="86"/>
    </row>
    <row r="1279" spans="8:33" ht="15.75" customHeight="1" x14ac:dyDescent="0.3">
      <c r="H1279" s="50"/>
      <c r="M1279" s="75"/>
      <c r="O1279" s="50"/>
      <c r="AA1279" s="86"/>
      <c r="AG1279" s="86"/>
    </row>
    <row r="1280" spans="8:33" ht="15.75" customHeight="1" x14ac:dyDescent="0.3">
      <c r="H1280" s="50"/>
      <c r="M1280" s="75"/>
      <c r="O1280" s="50"/>
      <c r="AA1280" s="86"/>
      <c r="AG1280" s="86"/>
    </row>
    <row r="1281" spans="8:33" ht="15.75" customHeight="1" x14ac:dyDescent="0.3">
      <c r="H1281" s="50"/>
      <c r="M1281" s="75"/>
      <c r="O1281" s="50"/>
      <c r="AA1281" s="86"/>
      <c r="AG1281" s="86"/>
    </row>
    <row r="1282" spans="8:33" ht="15.75" customHeight="1" x14ac:dyDescent="0.3">
      <c r="H1282" s="50"/>
      <c r="M1282" s="75"/>
      <c r="O1282" s="50"/>
      <c r="AA1282" s="86"/>
      <c r="AG1282" s="86"/>
    </row>
    <row r="1283" spans="8:33" ht="15.75" customHeight="1" x14ac:dyDescent="0.3">
      <c r="H1283" s="50"/>
      <c r="M1283" s="75"/>
      <c r="O1283" s="50"/>
      <c r="AA1283" s="86"/>
      <c r="AG1283" s="86"/>
    </row>
    <row r="1284" spans="8:33" ht="15.75" customHeight="1" x14ac:dyDescent="0.3">
      <c r="H1284" s="50"/>
      <c r="M1284" s="75"/>
      <c r="O1284" s="50"/>
      <c r="AA1284" s="86"/>
      <c r="AG1284" s="86"/>
    </row>
    <row r="1285" spans="8:33" ht="15.75" customHeight="1" x14ac:dyDescent="0.3">
      <c r="H1285" s="50"/>
      <c r="M1285" s="75"/>
      <c r="O1285" s="50"/>
      <c r="AA1285" s="86"/>
      <c r="AG1285" s="86"/>
    </row>
    <row r="1286" spans="8:33" ht="15.75" customHeight="1" x14ac:dyDescent="0.3">
      <c r="H1286" s="50"/>
      <c r="M1286" s="75"/>
      <c r="O1286" s="50"/>
      <c r="AA1286" s="86"/>
      <c r="AG1286" s="86"/>
    </row>
    <row r="1287" spans="8:33" ht="15.75" customHeight="1" x14ac:dyDescent="0.3">
      <c r="H1287" s="50"/>
      <c r="M1287" s="75"/>
      <c r="O1287" s="50"/>
      <c r="AA1287" s="86"/>
      <c r="AG1287" s="86"/>
    </row>
    <row r="1288" spans="8:33" ht="15.75" customHeight="1" x14ac:dyDescent="0.3">
      <c r="H1288" s="50"/>
      <c r="M1288" s="75"/>
      <c r="O1288" s="50"/>
      <c r="AA1288" s="86"/>
      <c r="AG1288" s="86"/>
    </row>
    <row r="1289" spans="8:33" ht="15.75" customHeight="1" x14ac:dyDescent="0.3">
      <c r="H1289" s="50"/>
      <c r="M1289" s="75"/>
      <c r="O1289" s="50"/>
      <c r="AA1289" s="86"/>
      <c r="AG1289" s="86"/>
    </row>
    <row r="1290" spans="8:33" ht="15.75" customHeight="1" x14ac:dyDescent="0.3">
      <c r="H1290" s="50"/>
      <c r="M1290" s="75"/>
      <c r="O1290" s="50"/>
      <c r="AA1290" s="86"/>
      <c r="AG1290" s="86"/>
    </row>
    <row r="1291" spans="8:33" ht="15.75" customHeight="1" x14ac:dyDescent="0.3">
      <c r="H1291" s="50"/>
      <c r="M1291" s="75"/>
      <c r="O1291" s="50"/>
      <c r="AA1291" s="86"/>
      <c r="AG1291" s="86"/>
    </row>
    <row r="1292" spans="8:33" ht="15.75" customHeight="1" x14ac:dyDescent="0.3">
      <c r="H1292" s="50"/>
      <c r="M1292" s="75"/>
      <c r="O1292" s="50"/>
      <c r="AA1292" s="86"/>
      <c r="AG1292" s="86"/>
    </row>
    <row r="1293" spans="8:33" ht="15.75" customHeight="1" x14ac:dyDescent="0.3">
      <c r="H1293" s="50"/>
      <c r="M1293" s="75"/>
      <c r="O1293" s="50"/>
      <c r="AA1293" s="86"/>
      <c r="AG1293" s="86"/>
    </row>
    <row r="1294" spans="8:33" ht="15.75" customHeight="1" x14ac:dyDescent="0.3">
      <c r="H1294" s="50"/>
      <c r="M1294" s="75"/>
      <c r="O1294" s="50"/>
      <c r="AA1294" s="86"/>
      <c r="AG1294" s="86"/>
    </row>
    <row r="1295" spans="8:33" ht="15.75" customHeight="1" x14ac:dyDescent="0.3">
      <c r="H1295" s="50"/>
      <c r="M1295" s="75"/>
      <c r="O1295" s="50"/>
      <c r="AA1295" s="86"/>
      <c r="AG1295" s="86"/>
    </row>
    <row r="1296" spans="8:33" ht="15.75" customHeight="1" x14ac:dyDescent="0.3">
      <c r="H1296" s="50"/>
      <c r="M1296" s="75"/>
      <c r="O1296" s="50"/>
      <c r="AA1296" s="86"/>
      <c r="AG1296" s="86"/>
    </row>
    <row r="1297" spans="8:33" ht="15.75" customHeight="1" x14ac:dyDescent="0.3">
      <c r="H1297" s="50"/>
      <c r="M1297" s="75"/>
      <c r="O1297" s="50"/>
      <c r="AA1297" s="86"/>
      <c r="AG1297" s="86"/>
    </row>
    <row r="1298" spans="8:33" ht="15.75" customHeight="1" x14ac:dyDescent="0.3">
      <c r="H1298" s="50"/>
      <c r="M1298" s="75"/>
      <c r="O1298" s="50"/>
      <c r="AA1298" s="86"/>
      <c r="AG1298" s="86"/>
    </row>
    <row r="1299" spans="8:33" ht="15.75" customHeight="1" x14ac:dyDescent="0.3">
      <c r="H1299" s="50"/>
      <c r="M1299" s="75"/>
      <c r="O1299" s="50"/>
      <c r="AA1299" s="86"/>
      <c r="AG1299" s="86"/>
    </row>
    <row r="1300" spans="8:33" ht="15.75" customHeight="1" x14ac:dyDescent="0.3">
      <c r="H1300" s="50"/>
      <c r="M1300" s="75"/>
      <c r="O1300" s="50"/>
      <c r="AA1300" s="86"/>
      <c r="AG1300" s="86"/>
    </row>
    <row r="1301" spans="8:33" ht="15.75" customHeight="1" x14ac:dyDescent="0.3">
      <c r="H1301" s="50"/>
      <c r="M1301" s="75"/>
      <c r="O1301" s="50"/>
      <c r="AA1301" s="86"/>
      <c r="AG1301" s="86"/>
    </row>
    <row r="1302" spans="8:33" ht="15.75" customHeight="1" x14ac:dyDescent="0.3">
      <c r="H1302" s="50"/>
      <c r="M1302" s="75"/>
      <c r="O1302" s="50"/>
      <c r="AA1302" s="86"/>
      <c r="AG1302" s="86"/>
    </row>
    <row r="1303" spans="8:33" ht="15.75" customHeight="1" x14ac:dyDescent="0.3">
      <c r="H1303" s="50"/>
      <c r="M1303" s="75"/>
      <c r="O1303" s="50"/>
      <c r="AA1303" s="86"/>
      <c r="AG1303" s="86"/>
    </row>
    <row r="1304" spans="8:33" ht="15.75" customHeight="1" x14ac:dyDescent="0.3">
      <c r="H1304" s="50"/>
      <c r="M1304" s="75"/>
      <c r="O1304" s="50"/>
      <c r="AA1304" s="86"/>
      <c r="AG1304" s="86"/>
    </row>
    <row r="1305" spans="8:33" ht="15.75" customHeight="1" x14ac:dyDescent="0.3">
      <c r="H1305" s="50"/>
      <c r="M1305" s="75"/>
      <c r="O1305" s="50"/>
      <c r="AA1305" s="86"/>
      <c r="AG1305" s="86"/>
    </row>
    <row r="1306" spans="8:33" ht="15.75" customHeight="1" x14ac:dyDescent="0.3">
      <c r="H1306" s="50"/>
      <c r="M1306" s="75"/>
      <c r="O1306" s="50"/>
      <c r="AA1306" s="86"/>
      <c r="AG1306" s="86"/>
    </row>
    <row r="1307" spans="8:33" ht="15.75" customHeight="1" x14ac:dyDescent="0.3">
      <c r="H1307" s="50"/>
      <c r="M1307" s="75"/>
      <c r="O1307" s="50"/>
      <c r="AA1307" s="86"/>
      <c r="AG1307" s="86"/>
    </row>
    <row r="1308" spans="8:33" ht="15.75" customHeight="1" x14ac:dyDescent="0.3">
      <c r="H1308" s="50"/>
      <c r="M1308" s="75"/>
      <c r="O1308" s="50"/>
      <c r="AA1308" s="86"/>
      <c r="AG1308" s="86"/>
    </row>
    <row r="1309" spans="8:33" ht="15.75" customHeight="1" x14ac:dyDescent="0.3">
      <c r="H1309" s="50"/>
      <c r="M1309" s="75"/>
      <c r="O1309" s="50"/>
      <c r="AA1309" s="86"/>
      <c r="AG1309" s="86"/>
    </row>
    <row r="1310" spans="8:33" ht="15.75" customHeight="1" x14ac:dyDescent="0.3">
      <c r="H1310" s="50"/>
      <c r="M1310" s="75"/>
      <c r="O1310" s="50"/>
      <c r="AA1310" s="86"/>
      <c r="AG1310" s="86"/>
    </row>
    <row r="1311" spans="8:33" ht="15.75" customHeight="1" x14ac:dyDescent="0.3">
      <c r="H1311" s="50"/>
      <c r="M1311" s="75"/>
      <c r="O1311" s="50"/>
      <c r="AA1311" s="86"/>
      <c r="AG1311" s="86"/>
    </row>
    <row r="1312" spans="8:33" ht="15.75" customHeight="1" x14ac:dyDescent="0.3">
      <c r="H1312" s="50"/>
      <c r="M1312" s="75"/>
      <c r="O1312" s="50"/>
      <c r="AA1312" s="86"/>
      <c r="AG1312" s="86"/>
    </row>
    <row r="1313" spans="8:33" ht="15.75" customHeight="1" x14ac:dyDescent="0.3">
      <c r="H1313" s="50"/>
      <c r="M1313" s="75"/>
      <c r="O1313" s="50"/>
      <c r="AA1313" s="86"/>
      <c r="AG1313" s="86"/>
    </row>
    <row r="1314" spans="8:33" ht="15.75" customHeight="1" x14ac:dyDescent="0.3">
      <c r="H1314" s="50"/>
      <c r="M1314" s="75"/>
      <c r="O1314" s="50"/>
      <c r="AA1314" s="86"/>
      <c r="AG1314" s="86"/>
    </row>
    <row r="1315" spans="8:33" ht="15.75" customHeight="1" x14ac:dyDescent="0.3">
      <c r="H1315" s="50"/>
      <c r="M1315" s="75"/>
      <c r="O1315" s="50"/>
      <c r="AA1315" s="86"/>
      <c r="AG1315" s="86"/>
    </row>
    <row r="1316" spans="8:33" ht="15.75" customHeight="1" x14ac:dyDescent="0.3">
      <c r="H1316" s="50"/>
      <c r="M1316" s="75"/>
      <c r="O1316" s="50"/>
      <c r="AA1316" s="86"/>
      <c r="AG1316" s="86"/>
    </row>
    <row r="1317" spans="8:33" ht="15.75" customHeight="1" x14ac:dyDescent="0.3">
      <c r="H1317" s="50"/>
      <c r="M1317" s="75"/>
      <c r="O1317" s="50"/>
      <c r="AA1317" s="86"/>
      <c r="AG1317" s="86"/>
    </row>
    <row r="1318" spans="8:33" ht="15.75" customHeight="1" x14ac:dyDescent="0.3">
      <c r="H1318" s="50"/>
      <c r="M1318" s="75"/>
      <c r="O1318" s="50"/>
      <c r="AA1318" s="86"/>
      <c r="AG1318" s="86"/>
    </row>
    <row r="1319" spans="8:33" ht="15.75" customHeight="1" x14ac:dyDescent="0.3">
      <c r="H1319" s="50"/>
      <c r="M1319" s="75"/>
      <c r="O1319" s="50"/>
      <c r="AA1319" s="86"/>
      <c r="AG1319" s="86"/>
    </row>
    <row r="1320" spans="8:33" ht="15.75" customHeight="1" x14ac:dyDescent="0.3">
      <c r="H1320" s="50"/>
      <c r="M1320" s="75"/>
      <c r="O1320" s="50"/>
      <c r="AA1320" s="86"/>
      <c r="AG1320" s="86"/>
    </row>
    <row r="1321" spans="8:33" ht="15.75" customHeight="1" x14ac:dyDescent="0.3">
      <c r="H1321" s="50"/>
      <c r="M1321" s="75"/>
      <c r="O1321" s="50"/>
      <c r="AA1321" s="86"/>
      <c r="AG1321" s="86"/>
    </row>
    <row r="1322" spans="8:33" ht="15.75" customHeight="1" x14ac:dyDescent="0.3">
      <c r="H1322" s="50"/>
      <c r="M1322" s="75"/>
      <c r="O1322" s="50"/>
      <c r="AA1322" s="86"/>
      <c r="AG1322" s="86"/>
    </row>
    <row r="1323" spans="8:33" ht="15.75" customHeight="1" x14ac:dyDescent="0.3">
      <c r="H1323" s="50"/>
      <c r="M1323" s="75"/>
      <c r="O1323" s="50"/>
      <c r="AA1323" s="86"/>
      <c r="AG1323" s="86"/>
    </row>
    <row r="1324" spans="8:33" ht="15.75" customHeight="1" x14ac:dyDescent="0.3">
      <c r="H1324" s="50"/>
      <c r="M1324" s="75"/>
      <c r="O1324" s="50"/>
      <c r="AA1324" s="86"/>
      <c r="AG1324" s="86"/>
    </row>
    <row r="1325" spans="8:33" ht="15.75" customHeight="1" x14ac:dyDescent="0.3">
      <c r="H1325" s="50"/>
      <c r="M1325" s="75"/>
      <c r="O1325" s="50"/>
      <c r="AA1325" s="86"/>
      <c r="AG1325" s="86"/>
    </row>
    <row r="1326" spans="8:33" ht="15.75" customHeight="1" x14ac:dyDescent="0.3">
      <c r="H1326" s="50"/>
      <c r="M1326" s="75"/>
      <c r="O1326" s="50"/>
      <c r="AA1326" s="86"/>
      <c r="AG1326" s="86"/>
    </row>
    <row r="1327" spans="8:33" ht="15.75" customHeight="1" x14ac:dyDescent="0.3">
      <c r="H1327" s="50"/>
      <c r="M1327" s="75"/>
      <c r="O1327" s="50"/>
      <c r="AA1327" s="86"/>
      <c r="AG1327" s="86"/>
    </row>
    <row r="1328" spans="8:33" ht="15.75" customHeight="1" x14ac:dyDescent="0.3">
      <c r="H1328" s="50"/>
      <c r="M1328" s="75"/>
      <c r="O1328" s="50"/>
      <c r="AA1328" s="86"/>
      <c r="AG1328" s="86"/>
    </row>
    <row r="1329" spans="8:33" ht="15.75" customHeight="1" x14ac:dyDescent="0.3">
      <c r="H1329" s="50"/>
      <c r="M1329" s="75"/>
      <c r="O1329" s="50"/>
      <c r="AA1329" s="86"/>
      <c r="AG1329" s="86"/>
    </row>
    <row r="1330" spans="8:33" ht="15.75" customHeight="1" x14ac:dyDescent="0.3">
      <c r="H1330" s="50"/>
      <c r="M1330" s="75"/>
      <c r="O1330" s="50"/>
      <c r="AA1330" s="86"/>
      <c r="AG1330" s="86"/>
    </row>
    <row r="1331" spans="8:33" ht="15.75" customHeight="1" x14ac:dyDescent="0.3">
      <c r="H1331" s="50"/>
      <c r="M1331" s="75"/>
      <c r="O1331" s="50"/>
      <c r="AA1331" s="86"/>
      <c r="AG1331" s="86"/>
    </row>
    <row r="1332" spans="8:33" ht="15.75" customHeight="1" x14ac:dyDescent="0.3">
      <c r="H1332" s="50"/>
      <c r="M1332" s="75"/>
      <c r="O1332" s="50"/>
      <c r="AA1332" s="86"/>
      <c r="AG1332" s="86"/>
    </row>
    <row r="1333" spans="8:33" ht="15.75" customHeight="1" x14ac:dyDescent="0.3">
      <c r="H1333" s="50"/>
      <c r="M1333" s="75"/>
      <c r="O1333" s="50"/>
      <c r="AA1333" s="86"/>
      <c r="AG1333" s="86"/>
    </row>
    <row r="1334" spans="8:33" ht="15.75" customHeight="1" x14ac:dyDescent="0.3">
      <c r="H1334" s="50"/>
      <c r="M1334" s="75"/>
      <c r="O1334" s="50"/>
      <c r="AA1334" s="86"/>
      <c r="AG1334" s="86"/>
    </row>
    <row r="1335" spans="8:33" ht="15.75" customHeight="1" x14ac:dyDescent="0.3">
      <c r="H1335" s="50"/>
      <c r="M1335" s="75"/>
      <c r="O1335" s="50"/>
      <c r="AA1335" s="86"/>
      <c r="AG1335" s="86"/>
    </row>
    <row r="1336" spans="8:33" ht="15.75" customHeight="1" x14ac:dyDescent="0.3">
      <c r="H1336" s="50"/>
      <c r="M1336" s="75"/>
      <c r="O1336" s="50"/>
      <c r="AA1336" s="86"/>
      <c r="AG1336" s="86"/>
    </row>
    <row r="1337" spans="8:33" ht="15.75" customHeight="1" x14ac:dyDescent="0.3">
      <c r="H1337" s="50"/>
      <c r="M1337" s="75"/>
      <c r="O1337" s="50"/>
      <c r="AA1337" s="86"/>
      <c r="AG1337" s="86"/>
    </row>
    <row r="1338" spans="8:33" ht="15.75" customHeight="1" x14ac:dyDescent="0.3">
      <c r="H1338" s="50"/>
      <c r="M1338" s="75"/>
      <c r="O1338" s="50"/>
      <c r="AA1338" s="86"/>
      <c r="AG1338" s="86"/>
    </row>
    <row r="1339" spans="8:33" ht="15.75" customHeight="1" x14ac:dyDescent="0.3">
      <c r="H1339" s="50"/>
      <c r="M1339" s="75"/>
      <c r="O1339" s="50"/>
      <c r="AA1339" s="86"/>
      <c r="AG1339" s="86"/>
    </row>
    <row r="1340" spans="8:33" ht="15.75" customHeight="1" x14ac:dyDescent="0.3">
      <c r="H1340" s="50"/>
      <c r="M1340" s="75"/>
      <c r="O1340" s="50"/>
      <c r="AA1340" s="86"/>
      <c r="AG1340" s="86"/>
    </row>
    <row r="1341" spans="8:33" ht="15.75" customHeight="1" x14ac:dyDescent="0.3">
      <c r="H1341" s="50"/>
      <c r="M1341" s="75"/>
      <c r="O1341" s="50"/>
      <c r="AA1341" s="86"/>
      <c r="AG1341" s="86"/>
    </row>
    <row r="1342" spans="8:33" ht="15.75" customHeight="1" x14ac:dyDescent="0.3">
      <c r="H1342" s="50"/>
      <c r="M1342" s="75"/>
      <c r="O1342" s="50"/>
      <c r="AA1342" s="86"/>
      <c r="AG1342" s="86"/>
    </row>
    <row r="1343" spans="8:33" ht="15.75" customHeight="1" x14ac:dyDescent="0.3">
      <c r="H1343" s="50"/>
      <c r="M1343" s="75"/>
      <c r="O1343" s="50"/>
      <c r="AA1343" s="86"/>
      <c r="AG1343" s="86"/>
    </row>
    <row r="1344" spans="8:33" ht="15.75" customHeight="1" x14ac:dyDescent="0.3">
      <c r="H1344" s="50"/>
      <c r="M1344" s="75"/>
      <c r="O1344" s="50"/>
      <c r="AA1344" s="86"/>
      <c r="AG1344" s="86"/>
    </row>
    <row r="1345" spans="8:33" ht="15.75" customHeight="1" x14ac:dyDescent="0.3">
      <c r="H1345" s="50"/>
      <c r="M1345" s="75"/>
      <c r="O1345" s="50"/>
      <c r="AA1345" s="86"/>
      <c r="AG1345" s="86"/>
    </row>
    <row r="1346" spans="8:33" ht="15.75" customHeight="1" x14ac:dyDescent="0.3">
      <c r="H1346" s="50"/>
      <c r="M1346" s="75"/>
      <c r="O1346" s="50"/>
      <c r="AA1346" s="86"/>
      <c r="AG1346" s="86"/>
    </row>
    <row r="1347" spans="8:33" ht="15.75" customHeight="1" x14ac:dyDescent="0.3">
      <c r="H1347" s="50"/>
      <c r="M1347" s="75"/>
      <c r="O1347" s="50"/>
      <c r="AA1347" s="86"/>
      <c r="AG1347" s="86"/>
    </row>
    <row r="1348" spans="8:33" ht="15.75" customHeight="1" x14ac:dyDescent="0.3">
      <c r="H1348" s="50"/>
      <c r="M1348" s="75"/>
      <c r="O1348" s="50"/>
      <c r="AA1348" s="86"/>
      <c r="AG1348" s="86"/>
    </row>
    <row r="1349" spans="8:33" ht="15.75" customHeight="1" x14ac:dyDescent="0.3">
      <c r="H1349" s="50"/>
      <c r="M1349" s="75"/>
      <c r="O1349" s="50"/>
      <c r="AA1349" s="86"/>
      <c r="AG1349" s="86"/>
    </row>
    <row r="1350" spans="8:33" ht="15.75" customHeight="1" x14ac:dyDescent="0.3">
      <c r="H1350" s="50"/>
      <c r="M1350" s="75"/>
      <c r="O1350" s="50"/>
      <c r="AA1350" s="86"/>
      <c r="AG1350" s="86"/>
    </row>
    <row r="1351" spans="8:33" ht="15.75" customHeight="1" x14ac:dyDescent="0.3">
      <c r="H1351" s="50"/>
      <c r="M1351" s="75"/>
      <c r="O1351" s="50"/>
      <c r="AA1351" s="86"/>
      <c r="AG1351" s="86"/>
    </row>
    <row r="1352" spans="8:33" ht="15.75" customHeight="1" x14ac:dyDescent="0.3">
      <c r="H1352" s="50"/>
      <c r="M1352" s="75"/>
      <c r="O1352" s="50"/>
      <c r="AA1352" s="86"/>
      <c r="AG1352" s="86"/>
    </row>
    <row r="1353" spans="8:33" ht="15.75" customHeight="1" x14ac:dyDescent="0.3">
      <c r="H1353" s="50"/>
      <c r="M1353" s="75"/>
      <c r="O1353" s="50"/>
      <c r="AA1353" s="86"/>
      <c r="AG1353" s="86"/>
    </row>
    <row r="1354" spans="8:33" ht="15.75" customHeight="1" x14ac:dyDescent="0.3">
      <c r="H1354" s="50"/>
      <c r="M1354" s="75"/>
      <c r="O1354" s="50"/>
      <c r="AA1354" s="86"/>
      <c r="AG1354" s="86"/>
    </row>
    <row r="1355" spans="8:33" ht="15.75" customHeight="1" x14ac:dyDescent="0.3">
      <c r="H1355" s="50"/>
      <c r="M1355" s="75"/>
      <c r="O1355" s="50"/>
      <c r="AA1355" s="86"/>
      <c r="AG1355" s="86"/>
    </row>
    <row r="1356" spans="8:33" ht="15.75" customHeight="1" x14ac:dyDescent="0.3">
      <c r="H1356" s="50"/>
      <c r="M1356" s="75"/>
      <c r="O1356" s="50"/>
      <c r="AA1356" s="86"/>
      <c r="AG1356" s="86"/>
    </row>
    <row r="1357" spans="8:33" ht="15.75" customHeight="1" x14ac:dyDescent="0.3">
      <c r="H1357" s="50"/>
      <c r="M1357" s="75"/>
      <c r="O1357" s="50"/>
      <c r="AA1357" s="86"/>
      <c r="AG1357" s="86"/>
    </row>
    <row r="1358" spans="8:33" ht="15.75" customHeight="1" x14ac:dyDescent="0.3">
      <c r="H1358" s="50"/>
      <c r="M1358" s="75"/>
      <c r="O1358" s="50"/>
      <c r="AA1358" s="86"/>
      <c r="AG1358" s="86"/>
    </row>
    <row r="1359" spans="8:33" ht="15.75" customHeight="1" x14ac:dyDescent="0.3">
      <c r="H1359" s="50"/>
      <c r="M1359" s="75"/>
      <c r="O1359" s="50"/>
      <c r="AA1359" s="86"/>
      <c r="AG1359" s="86"/>
    </row>
    <row r="1360" spans="8:33" ht="15.75" customHeight="1" x14ac:dyDescent="0.3">
      <c r="H1360" s="50"/>
      <c r="M1360" s="75"/>
      <c r="O1360" s="50"/>
      <c r="AA1360" s="86"/>
      <c r="AG1360" s="86"/>
    </row>
    <row r="1361" spans="8:33" ht="15.75" customHeight="1" x14ac:dyDescent="0.3">
      <c r="H1361" s="50"/>
      <c r="M1361" s="75"/>
      <c r="O1361" s="50"/>
      <c r="AA1361" s="86"/>
      <c r="AG1361" s="86"/>
    </row>
    <row r="1362" spans="8:33" ht="15.75" customHeight="1" x14ac:dyDescent="0.3">
      <c r="H1362" s="50"/>
      <c r="M1362" s="75"/>
      <c r="O1362" s="50"/>
      <c r="AA1362" s="86"/>
      <c r="AG1362" s="86"/>
    </row>
    <row r="1363" spans="8:33" ht="15.75" customHeight="1" x14ac:dyDescent="0.3">
      <c r="H1363" s="50"/>
      <c r="M1363" s="75"/>
      <c r="O1363" s="50"/>
      <c r="AA1363" s="86"/>
      <c r="AG1363" s="86"/>
    </row>
    <row r="1364" spans="8:33" ht="15.75" customHeight="1" x14ac:dyDescent="0.3">
      <c r="H1364" s="50"/>
      <c r="M1364" s="75"/>
      <c r="O1364" s="50"/>
      <c r="AA1364" s="86"/>
      <c r="AG1364" s="86"/>
    </row>
    <row r="1365" spans="8:33" ht="15.75" customHeight="1" x14ac:dyDescent="0.3">
      <c r="H1365" s="50"/>
      <c r="M1365" s="75"/>
      <c r="O1365" s="50"/>
      <c r="AA1365" s="86"/>
      <c r="AG1365" s="86"/>
    </row>
    <row r="1366" spans="8:33" ht="15.75" customHeight="1" x14ac:dyDescent="0.3">
      <c r="H1366" s="50"/>
      <c r="M1366" s="75"/>
      <c r="O1366" s="50"/>
      <c r="AA1366" s="86"/>
      <c r="AG1366" s="86"/>
    </row>
    <row r="1367" spans="8:33" ht="15.75" customHeight="1" x14ac:dyDescent="0.3">
      <c r="H1367" s="50"/>
      <c r="M1367" s="75"/>
      <c r="O1367" s="50"/>
      <c r="AA1367" s="86"/>
      <c r="AG1367" s="86"/>
    </row>
    <row r="1368" spans="8:33" ht="15.75" customHeight="1" x14ac:dyDescent="0.3">
      <c r="H1368" s="50"/>
      <c r="M1368" s="75"/>
      <c r="O1368" s="50"/>
      <c r="AA1368" s="86"/>
      <c r="AG1368" s="86"/>
    </row>
    <row r="1369" spans="8:33" ht="15.75" customHeight="1" x14ac:dyDescent="0.3">
      <c r="H1369" s="50"/>
      <c r="M1369" s="75"/>
      <c r="O1369" s="50"/>
      <c r="AA1369" s="86"/>
      <c r="AG1369" s="86"/>
    </row>
    <row r="1370" spans="8:33" ht="15.75" customHeight="1" x14ac:dyDescent="0.3">
      <c r="H1370" s="50"/>
      <c r="M1370" s="75"/>
      <c r="O1370" s="50"/>
      <c r="AA1370" s="86"/>
      <c r="AG1370" s="86"/>
    </row>
    <row r="1371" spans="8:33" ht="15.75" customHeight="1" x14ac:dyDescent="0.3">
      <c r="H1371" s="50"/>
      <c r="M1371" s="75"/>
      <c r="O1371" s="50"/>
      <c r="AA1371" s="86"/>
      <c r="AG1371" s="86"/>
    </row>
    <row r="1372" spans="8:33" ht="15.75" customHeight="1" x14ac:dyDescent="0.3">
      <c r="H1372" s="50"/>
      <c r="M1372" s="75"/>
      <c r="O1372" s="50"/>
      <c r="AA1372" s="86"/>
      <c r="AG1372" s="86"/>
    </row>
    <row r="1373" spans="8:33" ht="15.75" customHeight="1" x14ac:dyDescent="0.3">
      <c r="H1373" s="50"/>
      <c r="M1373" s="75"/>
      <c r="O1373" s="50"/>
      <c r="AA1373" s="86"/>
      <c r="AG1373" s="86"/>
    </row>
    <row r="1374" spans="8:33" ht="15.75" customHeight="1" x14ac:dyDescent="0.3">
      <c r="H1374" s="50"/>
      <c r="M1374" s="75"/>
      <c r="O1374" s="50"/>
      <c r="AA1374" s="86"/>
      <c r="AG1374" s="86"/>
    </row>
    <row r="1375" spans="8:33" ht="15.75" customHeight="1" x14ac:dyDescent="0.3">
      <c r="H1375" s="50"/>
      <c r="M1375" s="75"/>
      <c r="O1375" s="50"/>
      <c r="AA1375" s="86"/>
      <c r="AG1375" s="86"/>
    </row>
    <row r="1376" spans="8:33" ht="15.75" customHeight="1" x14ac:dyDescent="0.3">
      <c r="H1376" s="50"/>
      <c r="M1376" s="75"/>
      <c r="O1376" s="50"/>
      <c r="AA1376" s="86"/>
      <c r="AG1376" s="86"/>
    </row>
    <row r="1377" spans="8:33" ht="15.75" customHeight="1" x14ac:dyDescent="0.3">
      <c r="H1377" s="50"/>
      <c r="M1377" s="75"/>
      <c r="O1377" s="50"/>
      <c r="AA1377" s="86"/>
      <c r="AG1377" s="86"/>
    </row>
    <row r="1378" spans="8:33" ht="15.75" customHeight="1" x14ac:dyDescent="0.3">
      <c r="H1378" s="50"/>
      <c r="M1378" s="75"/>
      <c r="O1378" s="50"/>
      <c r="AA1378" s="86"/>
      <c r="AG1378" s="86"/>
    </row>
    <row r="1379" spans="8:33" ht="15.75" customHeight="1" x14ac:dyDescent="0.3">
      <c r="H1379" s="50"/>
      <c r="M1379" s="75"/>
      <c r="O1379" s="50"/>
      <c r="AA1379" s="86"/>
      <c r="AG1379" s="86"/>
    </row>
    <row r="1380" spans="8:33" ht="15.75" customHeight="1" x14ac:dyDescent="0.3">
      <c r="H1380" s="50"/>
      <c r="M1380" s="75"/>
      <c r="O1380" s="50"/>
      <c r="AA1380" s="86"/>
      <c r="AG1380" s="86"/>
    </row>
    <row r="1381" spans="8:33" ht="15.75" customHeight="1" x14ac:dyDescent="0.3">
      <c r="H1381" s="50"/>
      <c r="M1381" s="75"/>
      <c r="O1381" s="50"/>
      <c r="AA1381" s="86"/>
      <c r="AG1381" s="86"/>
    </row>
    <row r="1382" spans="8:33" ht="15.75" customHeight="1" x14ac:dyDescent="0.3">
      <c r="H1382" s="50"/>
      <c r="M1382" s="75"/>
      <c r="O1382" s="50"/>
      <c r="AA1382" s="86"/>
      <c r="AG1382" s="86"/>
    </row>
    <row r="1383" spans="8:33" ht="15.75" customHeight="1" x14ac:dyDescent="0.3">
      <c r="H1383" s="50"/>
      <c r="M1383" s="75"/>
      <c r="O1383" s="50"/>
      <c r="AA1383" s="86"/>
      <c r="AG1383" s="86"/>
    </row>
    <row r="1384" spans="8:33" ht="15.75" customHeight="1" x14ac:dyDescent="0.3">
      <c r="H1384" s="50"/>
      <c r="M1384" s="75"/>
      <c r="O1384" s="50"/>
      <c r="AA1384" s="86"/>
      <c r="AG1384" s="86"/>
    </row>
    <row r="1385" spans="8:33" ht="15.75" customHeight="1" x14ac:dyDescent="0.3">
      <c r="H1385" s="50"/>
      <c r="M1385" s="75"/>
      <c r="O1385" s="50"/>
      <c r="AA1385" s="86"/>
      <c r="AG1385" s="86"/>
    </row>
    <row r="1386" spans="8:33" ht="15.75" customHeight="1" x14ac:dyDescent="0.3">
      <c r="H1386" s="50"/>
      <c r="M1386" s="75"/>
      <c r="O1386" s="50"/>
      <c r="AA1386" s="86"/>
      <c r="AG1386" s="86"/>
    </row>
    <row r="1387" spans="8:33" ht="15.75" customHeight="1" x14ac:dyDescent="0.3">
      <c r="H1387" s="50"/>
      <c r="M1387" s="75"/>
      <c r="O1387" s="50"/>
      <c r="AA1387" s="86"/>
      <c r="AG1387" s="86"/>
    </row>
    <row r="1388" spans="8:33" ht="15.75" customHeight="1" x14ac:dyDescent="0.3">
      <c r="H1388" s="50"/>
      <c r="M1388" s="75"/>
      <c r="O1388" s="50"/>
      <c r="AA1388" s="86"/>
      <c r="AG1388" s="86"/>
    </row>
    <row r="1389" spans="8:33" ht="15.75" customHeight="1" x14ac:dyDescent="0.3">
      <c r="H1389" s="50"/>
      <c r="M1389" s="75"/>
      <c r="O1389" s="50"/>
      <c r="AA1389" s="86"/>
      <c r="AG1389" s="86"/>
    </row>
    <row r="1390" spans="8:33" ht="15.75" customHeight="1" x14ac:dyDescent="0.3">
      <c r="H1390" s="50"/>
      <c r="M1390" s="75"/>
      <c r="O1390" s="50"/>
      <c r="AA1390" s="86"/>
      <c r="AG1390" s="86"/>
    </row>
    <row r="1391" spans="8:33" ht="15.75" customHeight="1" x14ac:dyDescent="0.3">
      <c r="H1391" s="50"/>
      <c r="M1391" s="75"/>
      <c r="O1391" s="50"/>
      <c r="AA1391" s="86"/>
      <c r="AG1391" s="86"/>
    </row>
    <row r="1392" spans="8:33" ht="15.75" customHeight="1" x14ac:dyDescent="0.3">
      <c r="H1392" s="50"/>
      <c r="M1392" s="75"/>
      <c r="O1392" s="50"/>
      <c r="AA1392" s="86"/>
      <c r="AG1392" s="86"/>
    </row>
    <row r="1393" spans="8:33" ht="15.75" customHeight="1" x14ac:dyDescent="0.3">
      <c r="H1393" s="50"/>
      <c r="M1393" s="75"/>
      <c r="O1393" s="50"/>
      <c r="AA1393" s="86"/>
      <c r="AG1393" s="86"/>
    </row>
    <row r="1394" spans="8:33" ht="15.75" customHeight="1" x14ac:dyDescent="0.3">
      <c r="H1394" s="50"/>
      <c r="M1394" s="75"/>
      <c r="O1394" s="50"/>
      <c r="AA1394" s="86"/>
      <c r="AG1394" s="86"/>
    </row>
    <row r="1395" spans="8:33" ht="15.75" customHeight="1" x14ac:dyDescent="0.3">
      <c r="H1395" s="50"/>
      <c r="M1395" s="75"/>
      <c r="O1395" s="50"/>
      <c r="AA1395" s="86"/>
      <c r="AG1395" s="86"/>
    </row>
    <row r="1396" spans="8:33" ht="15.75" customHeight="1" x14ac:dyDescent="0.3">
      <c r="H1396" s="50"/>
      <c r="M1396" s="75"/>
      <c r="O1396" s="50"/>
      <c r="AA1396" s="86"/>
      <c r="AG1396" s="86"/>
    </row>
    <row r="1397" spans="8:33" ht="15.75" customHeight="1" x14ac:dyDescent="0.3">
      <c r="H1397" s="50"/>
      <c r="M1397" s="75"/>
      <c r="O1397" s="50"/>
      <c r="AA1397" s="86"/>
      <c r="AG1397" s="86"/>
    </row>
    <row r="1398" spans="8:33" ht="15.75" customHeight="1" x14ac:dyDescent="0.3">
      <c r="H1398" s="50"/>
      <c r="M1398" s="75"/>
      <c r="O1398" s="50"/>
      <c r="AA1398" s="86"/>
      <c r="AG1398" s="86"/>
    </row>
    <row r="1399" spans="8:33" ht="15.75" customHeight="1" x14ac:dyDescent="0.3">
      <c r="H1399" s="50"/>
      <c r="M1399" s="75"/>
      <c r="O1399" s="50"/>
      <c r="AA1399" s="86"/>
      <c r="AG1399" s="86"/>
    </row>
    <row r="1400" spans="8:33" ht="15.75" customHeight="1" x14ac:dyDescent="0.3">
      <c r="H1400" s="50"/>
      <c r="M1400" s="75"/>
      <c r="O1400" s="50"/>
      <c r="AA1400" s="86"/>
      <c r="AG1400" s="86"/>
    </row>
    <row r="1401" spans="8:33" ht="15.75" customHeight="1" x14ac:dyDescent="0.3">
      <c r="H1401" s="50"/>
      <c r="M1401" s="75"/>
      <c r="O1401" s="50"/>
      <c r="AA1401" s="86"/>
      <c r="AG1401" s="86"/>
    </row>
    <row r="1402" spans="8:33" ht="15.75" customHeight="1" x14ac:dyDescent="0.3">
      <c r="H1402" s="50"/>
      <c r="M1402" s="75"/>
      <c r="O1402" s="50"/>
      <c r="AA1402" s="86"/>
      <c r="AG1402" s="86"/>
    </row>
    <row r="1403" spans="8:33" ht="15.75" customHeight="1" x14ac:dyDescent="0.3">
      <c r="H1403" s="50"/>
      <c r="M1403" s="75"/>
      <c r="O1403" s="50"/>
      <c r="AA1403" s="86"/>
      <c r="AG1403" s="86"/>
    </row>
    <row r="1404" spans="8:33" ht="15.75" customHeight="1" x14ac:dyDescent="0.3">
      <c r="H1404" s="50"/>
      <c r="M1404" s="75"/>
      <c r="O1404" s="50"/>
      <c r="AA1404" s="86"/>
      <c r="AG1404" s="86"/>
    </row>
    <row r="1405" spans="8:33" ht="15.75" customHeight="1" x14ac:dyDescent="0.3">
      <c r="H1405" s="50"/>
      <c r="M1405" s="75"/>
      <c r="O1405" s="50"/>
      <c r="AA1405" s="86"/>
      <c r="AG1405" s="86"/>
    </row>
    <row r="1406" spans="8:33" ht="15.75" customHeight="1" x14ac:dyDescent="0.3">
      <c r="H1406" s="50"/>
      <c r="M1406" s="75"/>
      <c r="O1406" s="50"/>
      <c r="AA1406" s="86"/>
      <c r="AG1406" s="86"/>
    </row>
    <row r="1407" spans="8:33" ht="15.75" customHeight="1" x14ac:dyDescent="0.3">
      <c r="H1407" s="50"/>
      <c r="M1407" s="75"/>
      <c r="O1407" s="50"/>
      <c r="AA1407" s="86"/>
      <c r="AG1407" s="86"/>
    </row>
    <row r="1408" spans="8:33" ht="15.75" customHeight="1" x14ac:dyDescent="0.3">
      <c r="H1408" s="50"/>
      <c r="M1408" s="75"/>
      <c r="O1408" s="50"/>
      <c r="AA1408" s="86"/>
      <c r="AG1408" s="86"/>
    </row>
    <row r="1409" spans="8:33" ht="15.75" customHeight="1" x14ac:dyDescent="0.3">
      <c r="H1409" s="50"/>
      <c r="M1409" s="75"/>
      <c r="O1409" s="50"/>
      <c r="AA1409" s="86"/>
      <c r="AG1409" s="86"/>
    </row>
    <row r="1410" spans="8:33" ht="15.75" customHeight="1" x14ac:dyDescent="0.3">
      <c r="H1410" s="50"/>
      <c r="M1410" s="75"/>
      <c r="O1410" s="50"/>
      <c r="AA1410" s="86"/>
      <c r="AG1410" s="86"/>
    </row>
    <row r="1411" spans="8:33" ht="15.75" customHeight="1" x14ac:dyDescent="0.3">
      <c r="H1411" s="50"/>
      <c r="M1411" s="75"/>
      <c r="O1411" s="50"/>
      <c r="AA1411" s="86"/>
      <c r="AG1411" s="86"/>
    </row>
    <row r="1412" spans="8:33" ht="15.75" customHeight="1" x14ac:dyDescent="0.3">
      <c r="H1412" s="50"/>
      <c r="M1412" s="75"/>
      <c r="O1412" s="50"/>
      <c r="AA1412" s="86"/>
      <c r="AG1412" s="86"/>
    </row>
    <row r="1413" spans="8:33" ht="15.75" customHeight="1" x14ac:dyDescent="0.3">
      <c r="H1413" s="50"/>
      <c r="M1413" s="75"/>
      <c r="O1413" s="50"/>
      <c r="AA1413" s="86"/>
      <c r="AG1413" s="86"/>
    </row>
    <row r="1414" spans="8:33" ht="15.75" customHeight="1" x14ac:dyDescent="0.3">
      <c r="H1414" s="50"/>
      <c r="M1414" s="75"/>
      <c r="O1414" s="50"/>
      <c r="AA1414" s="86"/>
      <c r="AG1414" s="86"/>
    </row>
    <row r="1415" spans="8:33" ht="15.75" customHeight="1" x14ac:dyDescent="0.3">
      <c r="H1415" s="50"/>
      <c r="M1415" s="75"/>
      <c r="O1415" s="50"/>
      <c r="AA1415" s="86"/>
      <c r="AG1415" s="86"/>
    </row>
    <row r="1416" spans="8:33" ht="15.75" customHeight="1" x14ac:dyDescent="0.3">
      <c r="H1416" s="50"/>
      <c r="M1416" s="75"/>
      <c r="O1416" s="50"/>
      <c r="AA1416" s="86"/>
      <c r="AG1416" s="86"/>
    </row>
    <row r="1417" spans="8:33" ht="15.75" customHeight="1" x14ac:dyDescent="0.3">
      <c r="H1417" s="50"/>
      <c r="M1417" s="75"/>
      <c r="O1417" s="50"/>
      <c r="AA1417" s="86"/>
      <c r="AG1417" s="86"/>
    </row>
    <row r="1418" spans="8:33" ht="15.75" customHeight="1" x14ac:dyDescent="0.3">
      <c r="H1418" s="50"/>
      <c r="M1418" s="75"/>
      <c r="O1418" s="50"/>
      <c r="AA1418" s="86"/>
      <c r="AG1418" s="86"/>
    </row>
    <row r="1419" spans="8:33" ht="15.75" customHeight="1" x14ac:dyDescent="0.3">
      <c r="H1419" s="50"/>
      <c r="M1419" s="75"/>
      <c r="O1419" s="50"/>
      <c r="AA1419" s="86"/>
      <c r="AG1419" s="86"/>
    </row>
    <row r="1420" spans="8:33" ht="15.75" customHeight="1" x14ac:dyDescent="0.3">
      <c r="H1420" s="50"/>
      <c r="M1420" s="75"/>
      <c r="O1420" s="50"/>
      <c r="AA1420" s="86"/>
      <c r="AG1420" s="86"/>
    </row>
    <row r="1421" spans="8:33" ht="15.75" customHeight="1" x14ac:dyDescent="0.3">
      <c r="H1421" s="50"/>
      <c r="M1421" s="75"/>
      <c r="O1421" s="50"/>
      <c r="AA1421" s="86"/>
      <c r="AG1421" s="86"/>
    </row>
    <row r="1422" spans="8:33" ht="15.75" customHeight="1" x14ac:dyDescent="0.3">
      <c r="H1422" s="50"/>
      <c r="M1422" s="75"/>
      <c r="O1422" s="50"/>
      <c r="AA1422" s="86"/>
      <c r="AG1422" s="86"/>
    </row>
    <row r="1423" spans="8:33" ht="15.75" customHeight="1" x14ac:dyDescent="0.3">
      <c r="H1423" s="50"/>
      <c r="M1423" s="75"/>
      <c r="O1423" s="50"/>
      <c r="AA1423" s="86"/>
      <c r="AG1423" s="86"/>
    </row>
    <row r="1424" spans="8:33" ht="15.75" customHeight="1" x14ac:dyDescent="0.3">
      <c r="H1424" s="50"/>
      <c r="M1424" s="75"/>
      <c r="O1424" s="50"/>
      <c r="AA1424" s="86"/>
      <c r="AG1424" s="86"/>
    </row>
    <row r="1425" spans="8:33" ht="15.75" customHeight="1" x14ac:dyDescent="0.3">
      <c r="H1425" s="50"/>
      <c r="M1425" s="75"/>
      <c r="O1425" s="50"/>
      <c r="AA1425" s="86"/>
      <c r="AG1425" s="86"/>
    </row>
    <row r="1426" spans="8:33" ht="15.75" customHeight="1" x14ac:dyDescent="0.3">
      <c r="H1426" s="50"/>
      <c r="M1426" s="75"/>
      <c r="O1426" s="50"/>
      <c r="AA1426" s="86"/>
      <c r="AG1426" s="86"/>
    </row>
    <row r="1427" spans="8:33" ht="15.75" customHeight="1" x14ac:dyDescent="0.3">
      <c r="H1427" s="50"/>
      <c r="M1427" s="75"/>
      <c r="O1427" s="50"/>
      <c r="AA1427" s="86"/>
      <c r="AG1427" s="86"/>
    </row>
    <row r="1428" spans="8:33" ht="15.75" customHeight="1" x14ac:dyDescent="0.3">
      <c r="H1428" s="50"/>
      <c r="M1428" s="75"/>
      <c r="O1428" s="50"/>
      <c r="AA1428" s="86"/>
      <c r="AG1428" s="86"/>
    </row>
    <row r="1429" spans="8:33" ht="15.75" customHeight="1" x14ac:dyDescent="0.3">
      <c r="H1429" s="50"/>
      <c r="M1429" s="75"/>
      <c r="O1429" s="50"/>
      <c r="AA1429" s="86"/>
      <c r="AG1429" s="86"/>
    </row>
    <row r="1430" spans="8:33" ht="15.75" customHeight="1" x14ac:dyDescent="0.3">
      <c r="H1430" s="50"/>
      <c r="M1430" s="75"/>
      <c r="O1430" s="50"/>
      <c r="AA1430" s="86"/>
      <c r="AG1430" s="86"/>
    </row>
    <row r="1431" spans="8:33" ht="15.75" customHeight="1" x14ac:dyDescent="0.3">
      <c r="H1431" s="50"/>
      <c r="M1431" s="75"/>
      <c r="O1431" s="50"/>
      <c r="AA1431" s="86"/>
      <c r="AG1431" s="86"/>
    </row>
    <row r="1432" spans="8:33" ht="15.75" customHeight="1" x14ac:dyDescent="0.3">
      <c r="H1432" s="50"/>
      <c r="M1432" s="75"/>
      <c r="O1432" s="50"/>
      <c r="AA1432" s="86"/>
      <c r="AG1432" s="86"/>
    </row>
    <row r="1433" spans="8:33" ht="15.75" customHeight="1" x14ac:dyDescent="0.3">
      <c r="H1433" s="50"/>
      <c r="M1433" s="75"/>
      <c r="O1433" s="50"/>
      <c r="AA1433" s="86"/>
      <c r="AG1433" s="86"/>
    </row>
    <row r="1434" spans="8:33" ht="15.75" customHeight="1" x14ac:dyDescent="0.3">
      <c r="H1434" s="50"/>
      <c r="M1434" s="75"/>
      <c r="O1434" s="50"/>
      <c r="AA1434" s="86"/>
      <c r="AG1434" s="86"/>
    </row>
    <row r="1435" spans="8:33" ht="15.75" customHeight="1" x14ac:dyDescent="0.3">
      <c r="H1435" s="50"/>
      <c r="M1435" s="75"/>
      <c r="O1435" s="50"/>
      <c r="AA1435" s="86"/>
      <c r="AG1435" s="86"/>
    </row>
    <row r="1436" spans="8:33" ht="15.75" customHeight="1" x14ac:dyDescent="0.3">
      <c r="H1436" s="50"/>
      <c r="M1436" s="75"/>
      <c r="O1436" s="50"/>
      <c r="AA1436" s="86"/>
      <c r="AG1436" s="86"/>
    </row>
    <row r="1437" spans="8:33" ht="15.75" customHeight="1" x14ac:dyDescent="0.3">
      <c r="H1437" s="50"/>
      <c r="M1437" s="75"/>
      <c r="O1437" s="50"/>
      <c r="AA1437" s="86"/>
      <c r="AG1437" s="86"/>
    </row>
    <row r="1438" spans="8:33" ht="15.75" customHeight="1" x14ac:dyDescent="0.3">
      <c r="H1438" s="50"/>
      <c r="M1438" s="75"/>
      <c r="O1438" s="50"/>
      <c r="AA1438" s="86"/>
      <c r="AG1438" s="86"/>
    </row>
    <row r="1439" spans="8:33" ht="15.75" customHeight="1" x14ac:dyDescent="0.3">
      <c r="H1439" s="50"/>
      <c r="M1439" s="75"/>
      <c r="O1439" s="50"/>
      <c r="AA1439" s="86"/>
      <c r="AG1439" s="86"/>
    </row>
    <row r="1440" spans="8:33" ht="15.75" customHeight="1" x14ac:dyDescent="0.3">
      <c r="H1440" s="50"/>
      <c r="M1440" s="75"/>
      <c r="O1440" s="50"/>
      <c r="AA1440" s="86"/>
      <c r="AG1440" s="86"/>
    </row>
    <row r="1441" spans="8:33" ht="15.75" customHeight="1" x14ac:dyDescent="0.3">
      <c r="H1441" s="50"/>
      <c r="M1441" s="75"/>
      <c r="O1441" s="50"/>
      <c r="AA1441" s="86"/>
      <c r="AG1441" s="86"/>
    </row>
    <row r="1442" spans="8:33" ht="15.75" customHeight="1" x14ac:dyDescent="0.3">
      <c r="H1442" s="50"/>
      <c r="M1442" s="75"/>
      <c r="O1442" s="50"/>
      <c r="AA1442" s="86"/>
      <c r="AG1442" s="86"/>
    </row>
    <row r="1443" spans="8:33" ht="15.75" customHeight="1" x14ac:dyDescent="0.3">
      <c r="H1443" s="50"/>
      <c r="M1443" s="75"/>
      <c r="O1443" s="50"/>
      <c r="AA1443" s="86"/>
      <c r="AG1443" s="86"/>
    </row>
    <row r="1444" spans="8:33" ht="15.75" customHeight="1" x14ac:dyDescent="0.3">
      <c r="H1444" s="50"/>
      <c r="M1444" s="75"/>
      <c r="O1444" s="50"/>
      <c r="AA1444" s="86"/>
      <c r="AG1444" s="86"/>
    </row>
    <row r="1445" spans="8:33" ht="15.75" customHeight="1" x14ac:dyDescent="0.3">
      <c r="H1445" s="50"/>
      <c r="M1445" s="75"/>
      <c r="O1445" s="50"/>
      <c r="AA1445" s="86"/>
      <c r="AG1445" s="86"/>
    </row>
    <row r="1446" spans="8:33" ht="15.75" customHeight="1" x14ac:dyDescent="0.3">
      <c r="H1446" s="50"/>
      <c r="M1446" s="75"/>
      <c r="O1446" s="50"/>
      <c r="AA1446" s="86"/>
      <c r="AG1446" s="86"/>
    </row>
    <row r="1447" spans="8:33" ht="15.75" customHeight="1" x14ac:dyDescent="0.3">
      <c r="H1447" s="50"/>
      <c r="M1447" s="75"/>
      <c r="O1447" s="50"/>
      <c r="AA1447" s="86"/>
      <c r="AG1447" s="86"/>
    </row>
    <row r="1448" spans="8:33" ht="15.75" customHeight="1" x14ac:dyDescent="0.3">
      <c r="H1448" s="50"/>
      <c r="M1448" s="75"/>
      <c r="O1448" s="50"/>
      <c r="AA1448" s="86"/>
      <c r="AG1448" s="86"/>
    </row>
    <row r="1449" spans="8:33" ht="15.6" x14ac:dyDescent="0.3">
      <c r="H1449" s="50"/>
      <c r="M1449" s="75"/>
      <c r="O1449" s="50"/>
      <c r="AA1449" s="86"/>
      <c r="AG1449" s="86"/>
    </row>
    <row r="1450" spans="8:33" ht="15" customHeight="1" x14ac:dyDescent="0.3">
      <c r="H1450" s="50"/>
      <c r="M1450" s="75"/>
      <c r="O1450" s="50"/>
      <c r="AA1450" s="86"/>
      <c r="AG1450" s="86"/>
    </row>
    <row r="1451" spans="8:33" ht="15" customHeight="1" x14ac:dyDescent="0.3">
      <c r="M1451" s="75"/>
      <c r="AA1451" s="86"/>
      <c r="AG1451" s="86"/>
    </row>
  </sheetData>
  <sheetProtection algorithmName="SHA-512" hashValue="hoVWI2exuG6I/81o2wlXqZKSOB/acr/1hV9uilhzaUwNVktZ0a/wxGHAIYrRI3LFwCJ1RfC1p+rsNW/0Ej7D+Q==" saltValue="A6QqcClomEa4TG9MJt5UnQ==" spinCount="100000" sheet="1" objects="1" scenarios="1"/>
  <sortState xmlns:xlrd2="http://schemas.microsoft.com/office/spreadsheetml/2017/richdata2" ref="A370:AM381">
    <sortCondition ref="A370:A381"/>
  </sortState>
  <phoneticPr fontId="173" type="noConversion"/>
  <conditionalFormatting sqref="Q2:Q14 Q669:Q683 Q37:Q51 Q715:Q910 Q22:Q31 Q34:Q35 Q53:Q60 Q62 Q73:Q109 Q111:Q120 Q122:Q131 Q134:Q143 Q145:Q148 Q151:Q162 Q166:Q167 Q170:Q173 Q175:Q177 Q179:Q182 Q184:Q194 Q196:Q201 Q245:Q246 Q251:Q252 Q264:Q267 Q269:Q270 Q272:Q273 Q275 Q285:Q286 Q288:Q360 Q65:Q71 Q205:Q242 Q254:Q260 Q362:Q442">
    <cfRule type="cellIs" dxfId="10" priority="36" operator="between">
      <formula>2010</formula>
      <formula>2020</formula>
    </cfRule>
  </conditionalFormatting>
  <conditionalFormatting sqref="Q36">
    <cfRule type="cellIs" dxfId="9" priority="10" operator="between">
      <formula>2010</formula>
      <formula>2020</formula>
    </cfRule>
  </conditionalFormatting>
  <conditionalFormatting sqref="Q75">
    <cfRule type="cellIs" dxfId="8" priority="9" operator="between">
      <formula>2010</formula>
      <formula>2020</formula>
    </cfRule>
  </conditionalFormatting>
  <conditionalFormatting sqref="Q545:Q546 Q564:Q588 Q594:Q595">
    <cfRule type="cellIs" dxfId="7" priority="8" operator="between">
      <formula>2010</formula>
      <formula>2020</formula>
    </cfRule>
  </conditionalFormatting>
  <conditionalFormatting sqref="Q555:Q556">
    <cfRule type="cellIs" dxfId="6" priority="4" operator="between">
      <formula>2010</formula>
      <formula>2020</formula>
    </cfRule>
  </conditionalFormatting>
  <conditionalFormatting sqref="Q547">
    <cfRule type="cellIs" dxfId="5" priority="7" operator="between">
      <formula>2010</formula>
      <formula>2020</formula>
    </cfRule>
  </conditionalFormatting>
  <conditionalFormatting sqref="Q548:Q550">
    <cfRule type="cellIs" dxfId="4" priority="6" operator="between">
      <formula>2010</formula>
      <formula>2020</formula>
    </cfRule>
  </conditionalFormatting>
  <conditionalFormatting sqref="Q551:Q554">
    <cfRule type="cellIs" dxfId="3" priority="5" operator="between">
      <formula>2010</formula>
      <formula>2020</formula>
    </cfRule>
  </conditionalFormatting>
  <conditionalFormatting sqref="Q557:Q563">
    <cfRule type="cellIs" dxfId="2" priority="3" operator="between">
      <formula>2010</formula>
      <formula>2020</formula>
    </cfRule>
  </conditionalFormatting>
  <conditionalFormatting sqref="Q596">
    <cfRule type="cellIs" dxfId="1" priority="2" operator="between">
      <formula>2010</formula>
      <formula>2020</formula>
    </cfRule>
  </conditionalFormatting>
  <conditionalFormatting sqref="Q599:Q600 Q605:Q613">
    <cfRule type="cellIs" dxfId="0" priority="1" operator="between">
      <formula>2010</formula>
      <formula>2020</formula>
    </cfRule>
  </conditionalFormatting>
  <dataValidations disablePrompts="1" count="2">
    <dataValidation type="list" allowBlank="1" showInputMessage="1" showErrorMessage="1" sqref="AO79:AO102 AO443:AO544" xr:uid="{B860C93D-189C-4236-9911-0D19948A2AD4}">
      <formula1>"0-25,26-30,31-35"</formula1>
    </dataValidation>
    <dataValidation type="list" allowBlank="1" showInputMessage="1" showErrorMessage="1" sqref="BF2:BF683" xr:uid="{12AB75D5-D5B2-4234-A305-2478C2086608}">
      <formula1>"Always show,Show if the button is on"</formula1>
    </dataValidation>
  </dataValidations>
  <hyperlinks>
    <hyperlink ref="Z26" r:id="rId1" display="https://phyllis.nl/Browse/Standard/ECN-Phyllis" xr:uid="{00000000-0004-0000-1D00-000000000000}"/>
    <hyperlink ref="E39" r:id="rId2" xr:uid="{00000000-0004-0000-1D00-000001000000}"/>
    <hyperlink ref="E40" r:id="rId3" xr:uid="{00000000-0004-0000-1D00-000002000000}"/>
    <hyperlink ref="T44" r:id="rId4" display="https://www.unitconverters.net/volume-lumber/board-feet-to-cubic-meter.htm" xr:uid="{00000000-0004-0000-1D00-000003000000}"/>
    <hyperlink ref="O57" r:id="rId5" xr:uid="{00000000-0004-0000-1D00-000004000000}"/>
    <hyperlink ref="T65" r:id="rId6" display="https://ncma.org/resource/concrete-masonry-wall-weights/" xr:uid="{00000000-0004-0000-1D00-000005000000}"/>
    <hyperlink ref="T70" r:id="rId7" display="https://ncma.org/resource/concrete-masonry-wall-weights/" xr:uid="{00000000-0004-0000-1D00-000006000000}"/>
    <hyperlink ref="O76" r:id="rId8" xr:uid="{00000000-0004-0000-1D00-000007000000}"/>
    <hyperlink ref="O77" r:id="rId9" xr:uid="{00000000-0004-0000-1D00-000008000000}"/>
    <hyperlink ref="Z78" r:id="rId10" display="https://phyllis.nl/Browse/Standard/ECN-Phyllis" xr:uid="{00000000-0004-0000-1D00-000009000000}"/>
    <hyperlink ref="Z105" r:id="rId11" display="https://www.sciencedirect.com/science/article/abs/pii/S0959652616320832" xr:uid="{00000000-0004-0000-1D00-00000A000000}"/>
    <hyperlink ref="Z106" r:id="rId12" display="https://www.sciencedirect.com/science/article/abs/pii/S0959652616320832" xr:uid="{00000000-0004-0000-1D00-00000B000000}"/>
    <hyperlink ref="T176" r:id="rId13" display="https://www.octalsteel.com/pdf/steel-pipe-weight-chart.pdf" xr:uid="{00000000-0004-0000-1D00-00000C000000}"/>
    <hyperlink ref="O187" r:id="rId14" xr:uid="{00000000-0004-0000-1D00-00000D000000}"/>
    <hyperlink ref="O188" r:id="rId15" xr:uid="{00000000-0004-0000-1D00-00000E000000}"/>
    <hyperlink ref="Z197" r:id="rId16" display="https://www.sciencedirect.com/science/article/abs/pii/S0959652616320832" xr:uid="{00000000-0004-0000-1D00-00000F000000}"/>
    <hyperlink ref="AI211" r:id="rId17" display="https://www.stainlesssupply.com/order-metal-online/docs/gaugeChart.htm" xr:uid="{00000000-0004-0000-1D00-000010000000}"/>
    <hyperlink ref="AI218" r:id="rId18" display="https://www.stainlesssupply.com/order-metal-online/docs/gaugeChart.htm" xr:uid="{00000000-0004-0000-1D00-000011000000}"/>
    <hyperlink ref="D220" r:id="rId19" xr:uid="{00000000-0004-0000-1D00-000012000000}"/>
    <hyperlink ref="AI220" r:id="rId20" display="https://www.stainlesssupply.com/order-metal-online/docs/gaugeChart.htm" xr:uid="{00000000-0004-0000-1D00-000013000000}"/>
    <hyperlink ref="AI222" r:id="rId21" display="https://www.stainlesssupply.com/order-metal-online/docs/gaugeChart.htm" xr:uid="{00000000-0004-0000-1D00-000014000000}"/>
    <hyperlink ref="R254" r:id="rId22" display="https://www.huberwood.com/uploads/documents/technical/documents/Mill-Product-Listing-Subfloor-Wall-and-Roof-AdvanTech.pdf" xr:uid="{00000000-0004-0000-1D00-000015000000}"/>
    <hyperlink ref="O295" r:id="rId23" xr:uid="{00000000-0004-0000-1D00-000016000000}"/>
    <hyperlink ref="O296" r:id="rId24" xr:uid="{00000000-0004-0000-1D00-000017000000}"/>
    <hyperlink ref="O297" r:id="rId25" xr:uid="{00000000-0004-0000-1D00-000018000000}"/>
    <hyperlink ref="T298" r:id="rId26" display="https://www.spikevm.com/calculators/concrete/canadian-weight.php" xr:uid="{00000000-0004-0000-1D00-000019000000}"/>
    <hyperlink ref="T300" r:id="rId27" display="https://www.spikevm.com/calculators/concrete/canadian-weight.php" xr:uid="{00000000-0004-0000-1D00-00001A000000}"/>
    <hyperlink ref="T334" r:id="rId28" display="https://steeljoist.org/wp-content/uploads/K-Series_2010.pdf" xr:uid="{00000000-0004-0000-1D00-00001B000000}"/>
    <hyperlink ref="E336" r:id="rId29" display="3.5 x 0.216&quot; (89 x 5.486 mm), Sched 40 STD" xr:uid="{00000000-0004-0000-1D00-00001C000000}"/>
    <hyperlink ref="T336" r:id="rId30" display="https://www.octalsteel.com/pdf/steel-pipe-weight-chart.pdf" xr:uid="{00000000-0004-0000-1D00-00001D000000}"/>
    <hyperlink ref="T347" r:id="rId31" display="https://www.marinoware.com/wp-content/uploads/2020/10/MW-ViperStud-Catalog.pdf" xr:uid="{00000000-0004-0000-1D00-00001E000000}"/>
    <hyperlink ref="E38" r:id="rId32" xr:uid="{00000000-0004-0000-1D00-00001F000000}"/>
    <hyperlink ref="T43" r:id="rId33" display="https://www.unitconverters.net/volume-lumber/board-feet-to-cubic-meter.htm" xr:uid="{00000000-0004-0000-1D00-000020000000}"/>
    <hyperlink ref="T338" r:id="rId34" display="https://www.itools.clarkdietrich.com/submittalpro/dyn_pdf/%7B%22pdf_type%22%3A%22individual_product%22%2C%22project_product_code%22%3A%22product%7Cstructural_stud~product_code%7C600S137-54~coating%7CCP60~punched%7Ctrue%22%7D/CD_600S137-54.pdf" xr:uid="{00000000-0004-0000-1D00-000021000000}"/>
    <hyperlink ref="Z103" r:id="rId35" display="https://www.sciencedirect.com/science/article/abs/pii/S0959652616320832" xr:uid="{00000000-0004-0000-1D00-000022000000}"/>
    <hyperlink ref="O2" r:id="rId36" display="Bolin &amp; Smith, LCA Assessment of ACQ-treated lumber, Journal of Cleaner Production 19 (2011) 620e629" xr:uid="{00000000-0004-0000-1D00-000023000000}"/>
    <hyperlink ref="R3" r:id="rId37" display="https://aces.nmsu.edu/pubs/_g/G521/" xr:uid="{00000000-0004-0000-1D00-000024000000}"/>
    <hyperlink ref="O3" r:id="rId38" display="Christoforou et al LCA, 2016" xr:uid="{00000000-0004-0000-1D00-000025000000}"/>
    <hyperlink ref="O177" r:id="rId39" xr:uid="{00000000-0004-0000-1D00-000026000000}"/>
    <hyperlink ref="T367" r:id="rId40" display="https://www.treeisland.com/sites/default/files/documents/brochures-spec-sheets/WWR_Brochure.pdf" xr:uid="{00000000-0004-0000-1D00-000027000000}"/>
    <hyperlink ref="R98" r:id="rId41" display="https://www.nrmca.org/wp-content/uploads/2020/02/NRMCA_REGIONAL_BENCHMARK_Nov2019.pdf" xr:uid="{00000000-0004-0000-1D00-000028000000}"/>
    <hyperlink ref="T316" r:id="rId42" display="https://www.engineeringtoolbox.com/american-wide-flange-steel-beams-d_1318.html" xr:uid="{00000000-0004-0000-1D00-000029000000}"/>
    <hyperlink ref="O75" r:id="rId43" xr:uid="{00000000-0004-0000-1D00-00002A000000}"/>
    <hyperlink ref="Z75" r:id="rId44" display="https://phyllis.nl/Browse/Standard/ECN-Phyllis" xr:uid="{00000000-0004-0000-1D00-00002B000000}"/>
    <hyperlink ref="Z76" r:id="rId45" display="https://phyllis.nl/Browse/Standard/ECN-Phyllis" xr:uid="{00000000-0004-0000-1D00-00002C000000}"/>
  </hyperlinks>
  <pageMargins left="0.7" right="0.7" top="0.75" bottom="0.75" header="0" footer="0"/>
  <pageSetup orientation="landscape" r:id="rId46"/>
  <headerFooter>
    <oddHeader>&amp;R&amp;"Aptos"&amp;12&amp;K000000 UNCLASSIFIED - NON CLASSIFIÉ&amp;1#_x000D_</oddHeader>
  </headerFooter>
  <ignoredErrors>
    <ignoredError sqref="A365" formula="1"/>
  </ignoredErrors>
  <drawing r:id="rId47"/>
  <legacyDrawing r:id="rId48"/>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15">
    <tabColor theme="2" tint="-0.14999847407452621"/>
  </sheetPr>
  <dimension ref="A1:AM998"/>
  <sheetViews>
    <sheetView zoomScale="70" zoomScaleNormal="70" workbookViewId="0">
      <pane ySplit="1" topLeftCell="A7" activePane="bottomLeft" state="frozen"/>
      <selection activeCell="A133" sqref="A133"/>
      <selection pane="bottomLeft" activeCell="E11" sqref="E11"/>
    </sheetView>
  </sheetViews>
  <sheetFormatPr defaultColWidth="11.36328125" defaultRowHeight="15" customHeight="1" x14ac:dyDescent="0.25"/>
  <cols>
    <col min="1" max="1" width="36.1796875" style="137" customWidth="1"/>
    <col min="2" max="3" width="12.453125" style="137" customWidth="1"/>
    <col min="4" max="4" width="9" style="137" customWidth="1"/>
    <col min="5" max="5" width="20.6328125" style="152" customWidth="1"/>
    <col min="6" max="8" width="12.6328125" style="137" customWidth="1"/>
    <col min="9" max="9" width="20.6328125" style="152" customWidth="1"/>
    <col min="10" max="12" width="12.6328125" style="137" customWidth="1"/>
    <col min="13" max="13" width="20.6328125" style="152" customWidth="1"/>
    <col min="14" max="16" width="12.6328125" style="137" customWidth="1"/>
    <col min="17" max="17" width="20.6328125" style="152" customWidth="1"/>
    <col min="18" max="20" width="12.6328125" style="137" customWidth="1"/>
    <col min="21" max="21" width="20.6328125" style="152" customWidth="1"/>
    <col min="22" max="24" width="12.6328125" style="137" customWidth="1"/>
    <col min="25" max="25" width="54.36328125" style="137" customWidth="1"/>
    <col min="26" max="16384" width="11.36328125" style="137"/>
  </cols>
  <sheetData>
    <row r="1" spans="1:39" s="118" customFormat="1" ht="71.400000000000006" customHeight="1" x14ac:dyDescent="0.3">
      <c r="A1" s="112" t="s">
        <v>743</v>
      </c>
      <c r="B1" s="113" t="s">
        <v>985</v>
      </c>
      <c r="C1" s="114" t="s">
        <v>984</v>
      </c>
      <c r="D1" s="115" t="s">
        <v>913</v>
      </c>
      <c r="E1" s="116" t="s">
        <v>744</v>
      </c>
      <c r="F1" s="117" t="s">
        <v>930</v>
      </c>
      <c r="G1" s="113" t="s">
        <v>882</v>
      </c>
      <c r="H1" s="114" t="s">
        <v>883</v>
      </c>
      <c r="I1" s="116" t="s">
        <v>745</v>
      </c>
      <c r="J1" s="117" t="s">
        <v>930</v>
      </c>
      <c r="K1" s="113" t="s">
        <v>881</v>
      </c>
      <c r="L1" s="114" t="s">
        <v>884</v>
      </c>
      <c r="M1" s="116" t="s">
        <v>746</v>
      </c>
      <c r="N1" s="117" t="s">
        <v>930</v>
      </c>
      <c r="O1" s="113" t="s">
        <v>885</v>
      </c>
      <c r="P1" s="114" t="s">
        <v>886</v>
      </c>
      <c r="Q1" s="116" t="s">
        <v>747</v>
      </c>
      <c r="R1" s="117" t="s">
        <v>930</v>
      </c>
      <c r="S1" s="113" t="s">
        <v>887</v>
      </c>
      <c r="T1" s="114" t="s">
        <v>888</v>
      </c>
      <c r="U1" s="116" t="s">
        <v>748</v>
      </c>
      <c r="V1" s="117" t="s">
        <v>930</v>
      </c>
      <c r="W1" s="113" t="s">
        <v>889</v>
      </c>
      <c r="X1" s="114" t="s">
        <v>890</v>
      </c>
      <c r="Y1" s="116" t="s">
        <v>108</v>
      </c>
      <c r="Z1" s="116" t="s">
        <v>1767</v>
      </c>
      <c r="AA1" s="116" t="s">
        <v>1768</v>
      </c>
      <c r="AB1" s="116" t="s">
        <v>1769</v>
      </c>
      <c r="AC1" s="116" t="s">
        <v>1770</v>
      </c>
      <c r="AD1" s="116" t="s">
        <v>1771</v>
      </c>
      <c r="AG1" s="112" t="s">
        <v>7175</v>
      </c>
      <c r="AH1" s="112" t="s">
        <v>1766</v>
      </c>
      <c r="AI1" s="112" t="s">
        <v>7166</v>
      </c>
      <c r="AJ1" s="112" t="s">
        <v>7168</v>
      </c>
      <c r="AK1" s="112" t="s">
        <v>7167</v>
      </c>
    </row>
    <row r="2" spans="1:39" s="128" customFormat="1" ht="75.599999999999994" customHeight="1" x14ac:dyDescent="0.25">
      <c r="A2" s="119" t="s">
        <v>1352</v>
      </c>
      <c r="B2" s="120">
        <f t="shared" ref="B2:C6" si="0">G2+K2+O2+S2+W2</f>
        <v>22.839155666782649</v>
      </c>
      <c r="C2" s="121">
        <f t="shared" si="0"/>
        <v>0</v>
      </c>
      <c r="D2" s="122" t="s">
        <v>5</v>
      </c>
      <c r="E2" s="123" t="str">
        <f>_xlfn.IFNA(INDEX('Master sheet'!$A$1:$A$670,MATCH('Composite Master Sheet'!Z2,'Master sheet'!$AN$1:$AN$670,0)),"")</f>
        <v>EPS foam board / EPS Industry Alliance /  / R 4.0/inch, Type II, 15 psi (100 kPa)</v>
      </c>
      <c r="F2" s="124" t="s">
        <v>825</v>
      </c>
      <c r="G2" s="125">
        <f>VLOOKUP($E2,'Master sheet'!$A:$AL,13,FALSE)*2*2.75*4/5.678</f>
        <v>13.29258368494612</v>
      </c>
      <c r="H2" s="125">
        <f>VLOOKUP($E2,'Master sheet'!$A:$AL,27,FALSE)*2*2.75*4/5.678</f>
        <v>0</v>
      </c>
      <c r="I2" s="123" t="str">
        <f>_xlfn.IFNA(INDEX('Master sheet'!$A$1:$A$670,MATCH('Composite Master Sheet'!AA2,'Master sheet'!$AN$1:$AN$670,0)),"")</f>
        <v xml:space="preserve">Polypropylene ICF webbing /  /  / </v>
      </c>
      <c r="J2" s="122" t="s">
        <v>5</v>
      </c>
      <c r="K2" s="125">
        <f>VLOOKUP($I2,'Master sheet'!$A:$AL,13,FALSE)</f>
        <v>5.1219979818365289</v>
      </c>
      <c r="L2" s="125">
        <f>VLOOKUP(I2,'Master sheet'!$A:$AL,27,FALSE)</f>
        <v>0</v>
      </c>
      <c r="M2" s="123" t="str">
        <f>_xlfn.IFNA(INDEX('Master sheet'!$A$1:$A$670,MATCH('Composite Master Sheet'!AB2,'Master sheet'!$AN$1:$AN$670,0)),"")</f>
        <v>Rebar / Concrete Reinforcing Steel Institute / Canadian sizes -98% recycled, EAF / 15M</v>
      </c>
      <c r="N2" s="122" t="s">
        <v>22</v>
      </c>
      <c r="O2" s="125">
        <f>VLOOKUP(M2,'Master sheet'!$A:$AL,13,FALSE)*3.3</f>
        <v>4.4245739999999998</v>
      </c>
      <c r="P2" s="125">
        <f>VLOOKUP(M2,'Master sheet'!$A:$AL,27,FALSE)*3.3</f>
        <v>0</v>
      </c>
      <c r="Q2" s="123" t="str">
        <f>_xlfn.IFNA(INDEX('Master sheet'!$A$1:$A$670,MATCH('Composite Master Sheet'!AC2,'Master sheet'!$AN$1:$AN$670,0)),"")</f>
        <v/>
      </c>
      <c r="R2" s="126"/>
      <c r="S2" s="126"/>
      <c r="T2" s="126"/>
      <c r="U2" s="123" t="str">
        <f>_xlfn.IFNA(INDEX('Master sheet'!$A$1:$A$670,MATCH('Composite Master Sheet'!AD2,'Master sheet'!$AN$1:$AN$670,0)),"")</f>
        <v/>
      </c>
      <c r="V2" s="126"/>
      <c r="W2" s="126"/>
      <c r="X2" s="126"/>
      <c r="Y2" s="127" t="s">
        <v>921</v>
      </c>
      <c r="Z2" s="128" t="s">
        <v>2168</v>
      </c>
      <c r="AA2" s="128">
        <v>171</v>
      </c>
      <c r="AB2" s="128" t="s">
        <v>3967</v>
      </c>
      <c r="AC2" s="128" t="s">
        <v>1772</v>
      </c>
      <c r="AD2" s="128" t="s">
        <v>1772</v>
      </c>
      <c r="AH2" s="128" t="s">
        <v>6830</v>
      </c>
      <c r="AI2" s="128">
        <f>MATCH($AH2,'Master sheet'!$AN$1:$AN$673,0)</f>
        <v>407</v>
      </c>
      <c r="AJ2" s="412" t="s">
        <v>7172</v>
      </c>
      <c r="AK2" s="128" t="b">
        <f>NOT(ISERROR(FIND('USER INPUT SHEET'!rng_province,AJ2)))</f>
        <v>0</v>
      </c>
      <c r="AM2" s="137"/>
    </row>
    <row r="3" spans="1:39" ht="69.900000000000006" customHeight="1" x14ac:dyDescent="0.25">
      <c r="A3" s="415" t="s">
        <v>4920</v>
      </c>
      <c r="B3" s="120">
        <f t="shared" si="0"/>
        <v>20.76878807608313</v>
      </c>
      <c r="C3" s="121">
        <f t="shared" si="0"/>
        <v>24.915493476000002</v>
      </c>
      <c r="D3" s="122" t="s">
        <v>5</v>
      </c>
      <c r="E3" s="123" t="str">
        <f>_xlfn.IFNA(INDEX('Master sheet'!$A$1:$A$670,MATCH('Composite Master Sheet'!Z3,'Master sheet'!$AN$1:$AN$670,0)),"")</f>
        <v>(ARCHIVED 2025) EPS foam board / EPS Industry Alliance /  / R 4/inch, Type II, 15 psi (Type 2, 110 kPa)</v>
      </c>
      <c r="F3" s="124" t="s">
        <v>825</v>
      </c>
      <c r="G3" s="130">
        <f>VLOOKUP($E3,'Master sheet'!$A:$AL,13,FALSE)*4/5.678*5.5</f>
        <v>14.607256076083129</v>
      </c>
      <c r="H3" s="130">
        <f>VLOOKUP($E3,'Master sheet'!$A:$AL,27,FALSE)</f>
        <v>0</v>
      </c>
      <c r="I3" s="123" t="str">
        <f>_xlfn.IFNA(INDEX('Master sheet'!$A$1:$A$670,MATCH('Composite Master Sheet'!AA3,'Master sheet'!$AN$1:$AN$670,0)),"")</f>
        <v>(ARCHIVED 2026) OSB sheathing / American Wood Council &amp; Canadian Wood Council /  / 1/2"</v>
      </c>
      <c r="J3" s="131" t="s">
        <v>5</v>
      </c>
      <c r="K3" s="132">
        <f>VLOOKUP($I3,'Master sheet'!$A:$AL,13,FALSE)*2</f>
        <v>6.1615320000000002</v>
      </c>
      <c r="L3" s="133">
        <f>VLOOKUP($I3,'Master sheet'!$A:$AL,27,FALSE)*2</f>
        <v>24.915493476000002</v>
      </c>
      <c r="M3" s="123" t="str">
        <f>_xlfn.IFNA(INDEX('Master sheet'!$A$1:$A$670,MATCH('Composite Master Sheet'!AB3,'Master sheet'!$AN$1:$AN$670,0)),"")</f>
        <v/>
      </c>
      <c r="N3" s="134"/>
      <c r="O3" s="132"/>
      <c r="P3" s="135"/>
      <c r="Q3" s="123" t="str">
        <f>_xlfn.IFNA(INDEX('Master sheet'!$A$1:$A$670,MATCH('Composite Master Sheet'!AC3,'Master sheet'!$AN$1:$AN$670,0)),"")</f>
        <v/>
      </c>
      <c r="R3" s="136"/>
      <c r="S3" s="136"/>
      <c r="T3" s="136"/>
      <c r="U3" s="123" t="str">
        <f>_xlfn.IFNA(INDEX('Master sheet'!$A$1:$A$670,MATCH('Composite Master Sheet'!AD3,'Master sheet'!$AN$1:$AN$670,0)),"")</f>
        <v/>
      </c>
      <c r="V3" s="136"/>
      <c r="W3" s="136"/>
      <c r="X3" s="136"/>
      <c r="Z3" s="128">
        <v>94</v>
      </c>
      <c r="AA3" s="128">
        <v>154</v>
      </c>
      <c r="AB3" s="128" t="s">
        <v>1772</v>
      </c>
      <c r="AC3" s="128" t="s">
        <v>1772</v>
      </c>
      <c r="AD3" s="128" t="s">
        <v>1772</v>
      </c>
      <c r="AH3" s="137" t="s">
        <v>6831</v>
      </c>
      <c r="AI3" s="128">
        <f>MATCH($AH3,'Master sheet'!$AN$1:$AN$673,0)</f>
        <v>408</v>
      </c>
      <c r="AJ3" s="413" t="s">
        <v>7171</v>
      </c>
      <c r="AK3" s="128" t="b">
        <f>NOT(ISERROR(FIND('USER INPUT SHEET'!rng_province,AJ3)))</f>
        <v>1</v>
      </c>
    </row>
    <row r="4" spans="1:39" ht="69.900000000000006" customHeight="1" x14ac:dyDescent="0.25">
      <c r="A4" s="415" t="s">
        <v>4921</v>
      </c>
      <c r="B4" s="120">
        <f t="shared" si="0"/>
        <v>25.41655137301867</v>
      </c>
      <c r="C4" s="121">
        <f t="shared" si="0"/>
        <v>24.915493476000002</v>
      </c>
      <c r="D4" s="122" t="s">
        <v>5</v>
      </c>
      <c r="E4" s="123" t="str">
        <f>_xlfn.IFNA(INDEX('Master sheet'!$A$1:$A$670,MATCH('Composite Master Sheet'!Z4,'Master sheet'!$AN$1:$AN$670,0)),"")</f>
        <v>(ARCHIVED 2025) EPS foam board / EPS Industry Alliance /  / R 4/inch, Type II, 15 psi (Type 2, 110 kPa)</v>
      </c>
      <c r="F4" s="124" t="s">
        <v>825</v>
      </c>
      <c r="G4" s="130">
        <f>VLOOKUP($E4,'Master sheet'!$A:$AL,13,FALSE)*4/5.678*7.25</f>
        <v>19.255019373018669</v>
      </c>
      <c r="H4" s="130">
        <f>VLOOKUP($E4,'Master sheet'!$A:$AL,27,FALSE)</f>
        <v>0</v>
      </c>
      <c r="I4" s="123" t="str">
        <f>_xlfn.IFNA(INDEX('Master sheet'!$A$1:$A$670,MATCH('Composite Master Sheet'!AA4,'Master sheet'!$AN$1:$AN$670,0)),"")</f>
        <v>(ARCHIVED 2026) OSB sheathing / American Wood Council &amp; Canadian Wood Council /  / 1/2"</v>
      </c>
      <c r="J4" s="131" t="s">
        <v>5</v>
      </c>
      <c r="K4" s="132">
        <f>VLOOKUP($I4,'Master sheet'!$A:$AL,13,FALSE)*2</f>
        <v>6.1615320000000002</v>
      </c>
      <c r="L4" s="133">
        <f>VLOOKUP($I4,'Master sheet'!$A:$AL,27,FALSE)*2</f>
        <v>24.915493476000002</v>
      </c>
      <c r="M4" s="123" t="str">
        <f>_xlfn.IFNA(INDEX('Master sheet'!$A$1:$A$670,MATCH('Composite Master Sheet'!AB4,'Master sheet'!$AN$1:$AN$670,0)),"")</f>
        <v/>
      </c>
      <c r="N4" s="134"/>
      <c r="O4" s="132"/>
      <c r="P4" s="135"/>
      <c r="Q4" s="123" t="str">
        <f>_xlfn.IFNA(INDEX('Master sheet'!$A$1:$A$670,MATCH('Composite Master Sheet'!AC4,'Master sheet'!$AN$1:$AN$670,0)),"")</f>
        <v/>
      </c>
      <c r="R4" s="136"/>
      <c r="S4" s="136"/>
      <c r="T4" s="136"/>
      <c r="U4" s="123" t="str">
        <f>_xlfn.IFNA(INDEX('Master sheet'!$A$1:$A$670,MATCH('Composite Master Sheet'!AD4,'Master sheet'!$AN$1:$AN$670,0)),"")</f>
        <v/>
      </c>
      <c r="V4" s="136"/>
      <c r="W4" s="136"/>
      <c r="X4" s="136"/>
      <c r="Z4" s="128">
        <v>94</v>
      </c>
      <c r="AA4" s="128">
        <v>154</v>
      </c>
      <c r="AB4" s="128" t="s">
        <v>1772</v>
      </c>
      <c r="AC4" s="128" t="s">
        <v>1772</v>
      </c>
      <c r="AD4" s="128" t="s">
        <v>1772</v>
      </c>
      <c r="AH4" s="137" t="s">
        <v>6832</v>
      </c>
      <c r="AI4" s="128">
        <f>MATCH($AH4,'Master sheet'!$AN$1:$AN$673,0)</f>
        <v>409</v>
      </c>
      <c r="AJ4" s="413" t="s">
        <v>7173</v>
      </c>
      <c r="AK4" s="128" t="b">
        <f>NOT(ISERROR(FIND('USER INPUT SHEET'!rng_province,AJ4)))</f>
        <v>0</v>
      </c>
    </row>
    <row r="5" spans="1:39" ht="69.900000000000006" customHeight="1" x14ac:dyDescent="0.25">
      <c r="A5" s="415" t="s">
        <v>4922</v>
      </c>
      <c r="B5" s="120">
        <f t="shared" si="0"/>
        <v>31.392247040507225</v>
      </c>
      <c r="C5" s="121">
        <f t="shared" si="0"/>
        <v>24.915493476000002</v>
      </c>
      <c r="D5" s="122" t="s">
        <v>5</v>
      </c>
      <c r="E5" s="123" t="str">
        <f>_xlfn.IFNA(INDEX('Master sheet'!$A$1:$A$670,MATCH('Composite Master Sheet'!Z5,'Master sheet'!$AN$1:$AN$670,0)),"")</f>
        <v>(ARCHIVED 2025) EPS foam board / EPS Industry Alliance /  / R 4/inch, Type II, 15 psi (Type 2, 110 kPa)</v>
      </c>
      <c r="F5" s="124" t="s">
        <v>825</v>
      </c>
      <c r="G5" s="130">
        <f>VLOOKUP($E5,'Master sheet'!$A:$AL,13,FALSE)*4/5.678*9.5</f>
        <v>25.230715040507224</v>
      </c>
      <c r="H5" s="130">
        <f>VLOOKUP($E5,'Master sheet'!$A:$AL,27,FALSE)*4/5.678*9.5</f>
        <v>0</v>
      </c>
      <c r="I5" s="123" t="str">
        <f>_xlfn.IFNA(INDEX('Master sheet'!$A$1:$A$670,MATCH('Composite Master Sheet'!AA5,'Master sheet'!$AN$1:$AN$670,0)),"")</f>
        <v>(ARCHIVED 2026) OSB sheathing / American Wood Council &amp; Canadian Wood Council /  / 1/2"</v>
      </c>
      <c r="J5" s="131" t="s">
        <v>5</v>
      </c>
      <c r="K5" s="132">
        <f>VLOOKUP($I5,'Master sheet'!$A:$AL,13,FALSE)*2</f>
        <v>6.1615320000000002</v>
      </c>
      <c r="L5" s="133">
        <f>VLOOKUP($I5,'Master sheet'!$A:$AL,27,FALSE)*2</f>
        <v>24.915493476000002</v>
      </c>
      <c r="M5" s="123" t="str">
        <f>_xlfn.IFNA(INDEX('Master sheet'!$A$1:$A$670,MATCH('Composite Master Sheet'!AB5,'Master sheet'!$AN$1:$AN$670,0)),"")</f>
        <v/>
      </c>
      <c r="N5" s="134"/>
      <c r="O5" s="132"/>
      <c r="P5" s="135"/>
      <c r="Q5" s="123" t="str">
        <f>_xlfn.IFNA(INDEX('Master sheet'!$A$1:$A$670,MATCH('Composite Master Sheet'!AC5,'Master sheet'!$AN$1:$AN$670,0)),"")</f>
        <v/>
      </c>
      <c r="R5" s="136"/>
      <c r="S5" s="136"/>
      <c r="T5" s="136"/>
      <c r="U5" s="123" t="str">
        <f>_xlfn.IFNA(INDEX('Master sheet'!$A$1:$A$670,MATCH('Composite Master Sheet'!AD5,'Master sheet'!$AN$1:$AN$670,0)),"")</f>
        <v/>
      </c>
      <c r="V5" s="136"/>
      <c r="W5" s="136"/>
      <c r="X5" s="136"/>
      <c r="Z5" s="128">
        <v>94</v>
      </c>
      <c r="AA5" s="128">
        <v>154</v>
      </c>
      <c r="AB5" s="128" t="s">
        <v>1772</v>
      </c>
      <c r="AC5" s="128" t="s">
        <v>1772</v>
      </c>
      <c r="AD5" s="128" t="s">
        <v>1772</v>
      </c>
      <c r="AH5" s="137" t="s">
        <v>6833</v>
      </c>
      <c r="AI5" s="128">
        <f>MATCH($AH5,'Master sheet'!$AN$1:$AN$673,0)</f>
        <v>410</v>
      </c>
      <c r="AJ5" s="413" t="s">
        <v>7169</v>
      </c>
      <c r="AK5" s="128" t="b">
        <f>NOT(ISERROR(FIND('USER INPUT SHEET'!rng_province,AJ5)))</f>
        <v>0</v>
      </c>
    </row>
    <row r="6" spans="1:39" ht="69.900000000000006" customHeight="1" x14ac:dyDescent="0.25">
      <c r="A6" s="415" t="s">
        <v>4923</v>
      </c>
      <c r="B6" s="120">
        <f t="shared" si="0"/>
        <v>37.699925800634027</v>
      </c>
      <c r="C6" s="121">
        <f t="shared" si="0"/>
        <v>24.915493476000002</v>
      </c>
      <c r="D6" s="122" t="s">
        <v>5</v>
      </c>
      <c r="E6" s="123" t="str">
        <f>_xlfn.IFNA(INDEX('Master sheet'!$A$1:$A$670,MATCH('Composite Master Sheet'!Z6,'Master sheet'!$AN$1:$AN$670,0)),"")</f>
        <v>(ARCHIVED 2025) EPS foam board / EPS Industry Alliance /  / R 4/inch, Type II, 15 psi (Type 2, 110 kPa)</v>
      </c>
      <c r="F6" s="124" t="s">
        <v>825</v>
      </c>
      <c r="G6" s="130">
        <f>VLOOKUP($E6,'Master sheet'!$A:$AL,13,FALSE)*4/5.678*11.875</f>
        <v>31.538393800634029</v>
      </c>
      <c r="H6" s="130">
        <f>VLOOKUP($E6,'Master sheet'!$A:$AL,27,FALSE)</f>
        <v>0</v>
      </c>
      <c r="I6" s="123" t="str">
        <f>_xlfn.IFNA(INDEX('Master sheet'!$A$1:$A$670,MATCH('Composite Master Sheet'!AA6,'Master sheet'!$AN$1:$AN$670,0)),"")</f>
        <v>(ARCHIVED 2026) OSB sheathing / American Wood Council &amp; Canadian Wood Council /  / 1/2"</v>
      </c>
      <c r="J6" s="131" t="s">
        <v>5</v>
      </c>
      <c r="K6" s="132">
        <f>VLOOKUP($I6,'Master sheet'!$A:$AL,13,FALSE)*2</f>
        <v>6.1615320000000002</v>
      </c>
      <c r="L6" s="133">
        <f>VLOOKUP($I6,'Master sheet'!$A:$AL,27,FALSE)*2</f>
        <v>24.915493476000002</v>
      </c>
      <c r="M6" s="123" t="str">
        <f>_xlfn.IFNA(INDEX('Master sheet'!$A$1:$A$670,MATCH('Composite Master Sheet'!AB6,'Master sheet'!$AN$1:$AN$670,0)),"")</f>
        <v/>
      </c>
      <c r="N6" s="134"/>
      <c r="O6" s="132"/>
      <c r="P6" s="135"/>
      <c r="Q6" s="123" t="str">
        <f>_xlfn.IFNA(INDEX('Master sheet'!$A$1:$A$670,MATCH('Composite Master Sheet'!AC6,'Master sheet'!$AN$1:$AN$670,0)),"")</f>
        <v/>
      </c>
      <c r="R6" s="136"/>
      <c r="S6" s="136"/>
      <c r="T6" s="136"/>
      <c r="U6" s="123" t="str">
        <f>_xlfn.IFNA(INDEX('Master sheet'!$A$1:$A$670,MATCH('Composite Master Sheet'!AD6,'Master sheet'!$AN$1:$AN$670,0)),"")</f>
        <v/>
      </c>
      <c r="V6" s="136"/>
      <c r="W6" s="136"/>
      <c r="X6" s="136"/>
      <c r="Z6" s="128">
        <v>94</v>
      </c>
      <c r="AA6" s="128">
        <v>154</v>
      </c>
      <c r="AB6" s="128" t="s">
        <v>1772</v>
      </c>
      <c r="AC6" s="128" t="s">
        <v>1772</v>
      </c>
      <c r="AD6" s="128" t="s">
        <v>1772</v>
      </c>
      <c r="AH6" s="137" t="s">
        <v>6834</v>
      </c>
      <c r="AI6" s="128">
        <f>MATCH($AH6,'Master sheet'!$AN$1:$AN$673,0)</f>
        <v>411</v>
      </c>
      <c r="AJ6" s="413" t="s">
        <v>7170</v>
      </c>
      <c r="AK6" s="128" t="b">
        <f>NOT(ISERROR(FIND('USER INPUT SHEET'!rng_province,AJ6)))</f>
        <v>0</v>
      </c>
    </row>
    <row r="7" spans="1:39" ht="76.2" customHeight="1" x14ac:dyDescent="0.25">
      <c r="A7" s="129" t="s">
        <v>916</v>
      </c>
      <c r="B7" s="120">
        <f t="shared" ref="B7:C11" si="1">G7+K7+O7+S7+W7</f>
        <v>95.686894236199521</v>
      </c>
      <c r="C7" s="121">
        <f t="shared" si="1"/>
        <v>52.974029464220273</v>
      </c>
      <c r="D7" s="122" t="s">
        <v>5</v>
      </c>
      <c r="E7" s="123" t="str">
        <f>_xlfn.IFNA(INDEX('Master sheet'!$A$1:$A$670,MATCH('Composite Master Sheet'!Z7,'Master sheet'!$AN$1:$AN$670,0)),"")</f>
        <v>Wood chip cement ICF / Nexcem, Faswall /  / 12" R22 block</v>
      </c>
      <c r="F7" s="138" t="s">
        <v>5</v>
      </c>
      <c r="G7" s="139">
        <f>VLOOKUP($E7,'Master sheet'!$A:$AL,13,FALSE)</f>
        <v>76.12811805233197</v>
      </c>
      <c r="H7" s="139">
        <f>VLOOKUP($E7,'Master sheet'!$A:$AL,27,FALSE)</f>
        <v>52.974029464220273</v>
      </c>
      <c r="I7" s="123" t="str">
        <f>_xlfn.IFNA(INDEX('Master sheet'!$A$1:$A$670,MATCH('Composite Master Sheet'!AA7,'Master sheet'!$AN$1:$AN$670,0)),"")</f>
        <v>Mineral wool board - heavy density / NAIMA / Owens Corning, Johns Manville, Rolan / R 4.4/inch</v>
      </c>
      <c r="J7" s="124" t="s">
        <v>825</v>
      </c>
      <c r="K7" s="139">
        <f>VLOOKUP($I7,'Master sheet'!$A:$AL,13,FALSE)*(3*4.2/5.678)</f>
        <v>15.134202183867561</v>
      </c>
      <c r="L7" s="139">
        <f>VLOOKUP(I7,'Master sheet'!$A:$AL,27,FALSE)*(3*4.2/5.678)</f>
        <v>0</v>
      </c>
      <c r="M7" s="123" t="str">
        <f>_xlfn.IFNA(INDEX('Master sheet'!$A$1:$A$670,MATCH('Composite Master Sheet'!AB7,'Master sheet'!$AN$1:$AN$670,0)),"")</f>
        <v>Rebar / Concrete Reinforcing Steel Institute / Canadian sizes -98% recycled, EAF / 15M</v>
      </c>
      <c r="N7" s="138" t="s">
        <v>22</v>
      </c>
      <c r="O7" s="139">
        <f>VLOOKUP(M7,'Master sheet'!$A:$AL,13,FALSE)*3.3</f>
        <v>4.4245739999999998</v>
      </c>
      <c r="P7" s="139">
        <f>VLOOKUP(M7,'Master sheet'!$A:$AL,27,FALSE)*3.3</f>
        <v>0</v>
      </c>
      <c r="Q7" s="123" t="str">
        <f>_xlfn.IFNA(INDEX('Master sheet'!$A$1:$A$670,MATCH('Composite Master Sheet'!AC7,'Master sheet'!$AN$1:$AN$670,0)),"")</f>
        <v/>
      </c>
      <c r="R7" s="140"/>
      <c r="S7" s="140"/>
      <c r="T7" s="140"/>
      <c r="U7" s="123" t="str">
        <f>_xlfn.IFNA(INDEX('Master sheet'!$A$1:$A$670,MATCH('Composite Master Sheet'!AD7,'Master sheet'!$AN$1:$AN$670,0)),"")</f>
        <v/>
      </c>
      <c r="V7" s="140"/>
      <c r="W7" s="140"/>
      <c r="X7" s="140"/>
      <c r="Y7" s="141" t="s">
        <v>919</v>
      </c>
      <c r="Z7" s="128">
        <v>236</v>
      </c>
      <c r="AA7" s="128" t="s">
        <v>4377</v>
      </c>
      <c r="AB7" s="128" t="s">
        <v>3967</v>
      </c>
      <c r="AC7" s="128" t="s">
        <v>1772</v>
      </c>
      <c r="AD7" s="128" t="s">
        <v>1772</v>
      </c>
      <c r="AH7" s="137" t="s">
        <v>6835</v>
      </c>
      <c r="AI7" s="128">
        <f>MATCH($AH7,'Master sheet'!$AN$1:$AN$673,0)</f>
        <v>412</v>
      </c>
      <c r="AJ7" s="414" t="s">
        <v>7174</v>
      </c>
      <c r="AK7" s="128" t="b">
        <f>NOT(ISERROR(FIND('USER INPUT SHEET'!rng_province,AJ7)))</f>
        <v>0</v>
      </c>
    </row>
    <row r="8" spans="1:39" ht="76.2" customHeight="1" x14ac:dyDescent="0.25">
      <c r="A8" s="129" t="s">
        <v>915</v>
      </c>
      <c r="B8" s="120">
        <f t="shared" si="1"/>
        <v>113.7898484695497</v>
      </c>
      <c r="C8" s="121">
        <f t="shared" si="1"/>
        <v>58.550243092032943</v>
      </c>
      <c r="D8" s="122" t="s">
        <v>5</v>
      </c>
      <c r="E8" s="123" t="str">
        <f>_xlfn.IFNA(INDEX('Master sheet'!$A$1:$A$670,MATCH('Composite Master Sheet'!Z8,'Master sheet'!$AN$1:$AN$670,0)),"")</f>
        <v>Wood chip cement ICF / Nexcem, Faswall /  / 14" R28 block</v>
      </c>
      <c r="F8" s="138" t="s">
        <v>5</v>
      </c>
      <c r="G8" s="139">
        <f>VLOOKUP($E8,'Master sheet'!$A:$AL,13,FALSE)</f>
        <v>84.141604163103764</v>
      </c>
      <c r="H8" s="139">
        <f>VLOOKUP($E8,'Master sheet'!$A:$AL,27,FALSE)</f>
        <v>58.550243092032943</v>
      </c>
      <c r="I8" s="123" t="str">
        <f>_xlfn.IFNA(INDEX('Master sheet'!$A$1:$A$670,MATCH('Composite Master Sheet'!AA8,'Master sheet'!$AN$1:$AN$670,0)),"")</f>
        <v>Mineral wool board - heavy density / NAIMA / Owens Corning, Johns Manville, Rolan / R 4.4/inch</v>
      </c>
      <c r="J8" s="124" t="s">
        <v>825</v>
      </c>
      <c r="K8" s="139">
        <f>VLOOKUP($I8,'Master sheet'!$A:$AL,13,FALSE)*(5*4.2/5.678)</f>
        <v>25.223670306445932</v>
      </c>
      <c r="L8" s="139">
        <f>VLOOKUP($I8,'Master sheet'!$A:$AL,27,FALSE)*(5*4.2/5.678)</f>
        <v>0</v>
      </c>
      <c r="M8" s="123" t="str">
        <f>_xlfn.IFNA(INDEX('Master sheet'!$A$1:$A$670,MATCH('Composite Master Sheet'!AB8,'Master sheet'!$AN$1:$AN$670,0)),"")</f>
        <v>Rebar / Concrete Reinforcing Steel Institute / Canadian sizes -98% recycled, EAF / 15M</v>
      </c>
      <c r="N8" s="138" t="s">
        <v>22</v>
      </c>
      <c r="O8" s="139">
        <f>VLOOKUP(M8,'Master sheet'!$A:$AL,13,FALSE)*3.3</f>
        <v>4.4245739999999998</v>
      </c>
      <c r="P8" s="139">
        <f>VLOOKUP(M8,'Master sheet'!$A:$AL,27,FALSE)*3.3</f>
        <v>0</v>
      </c>
      <c r="Q8" s="123" t="str">
        <f>_xlfn.IFNA(INDEX('Master sheet'!$A$1:$A$670,MATCH('Composite Master Sheet'!AC8,'Master sheet'!$AN$1:$AN$670,0)),"")</f>
        <v/>
      </c>
      <c r="R8" s="140"/>
      <c r="S8" s="140"/>
      <c r="T8" s="140"/>
      <c r="U8" s="123" t="str">
        <f>_xlfn.IFNA(INDEX('Master sheet'!$A$1:$A$670,MATCH('Composite Master Sheet'!AD8,'Master sheet'!$AN$1:$AN$670,0)),"")</f>
        <v/>
      </c>
      <c r="V8" s="140"/>
      <c r="W8" s="140"/>
      <c r="X8" s="140"/>
      <c r="Y8" s="141" t="s">
        <v>920</v>
      </c>
      <c r="Z8" s="128">
        <v>237</v>
      </c>
      <c r="AA8" s="128" t="s">
        <v>4377</v>
      </c>
      <c r="AB8" s="128" t="s">
        <v>3967</v>
      </c>
      <c r="AC8" s="128" t="s">
        <v>1772</v>
      </c>
      <c r="AD8" s="128" t="s">
        <v>1772</v>
      </c>
    </row>
    <row r="9" spans="1:39" ht="76.2" customHeight="1" x14ac:dyDescent="0.25">
      <c r="A9" s="129" t="s">
        <v>1261</v>
      </c>
      <c r="B9" s="120">
        <f>G9+K9+O9+S9+W9</f>
        <v>87.552339815628898</v>
      </c>
      <c r="C9" s="121">
        <f>H9+L9+P9+T9+X9</f>
        <v>73.698819883381958</v>
      </c>
      <c r="D9" s="122" t="s">
        <v>5</v>
      </c>
      <c r="E9" s="123" t="str">
        <f>_xlfn.IFNA(INDEX('Master sheet'!$A$1:$A$670,MATCH('Composite Master Sheet'!Z9,'Master sheet'!$AN$1:$AN$670,0)),"")</f>
        <v>Wood chip cement ICF / Nexcem, Faswall /  / 12" R22 block</v>
      </c>
      <c r="F9" s="138" t="s">
        <v>5</v>
      </c>
      <c r="G9" s="139">
        <f>VLOOKUP($E9,'Master sheet'!$A:$AL,13,FALSE)</f>
        <v>76.12811805233197</v>
      </c>
      <c r="H9" s="139">
        <f>VLOOKUP($E9,'Master sheet'!$A:$AL,27,FALSE)</f>
        <v>52.974029464220273</v>
      </c>
      <c r="I9" s="123" t="str">
        <f>_xlfn.IFNA(INDEX('Master sheet'!$A$1:$A$670,MATCH('Composite Master Sheet'!AA9,'Master sheet'!$AN$1:$AN$670,0)),"")</f>
        <v>Cork board insulation / Amorim  / Expanded Insulation Corkboard (ICB) / R3.6-inch, 115 kg/m3</v>
      </c>
      <c r="J9" s="124" t="s">
        <v>825</v>
      </c>
      <c r="K9" s="139">
        <f>VLOOKUP($I9,'Master sheet'!$A:$AL,13,FALSE)*(3*4/5.678)</f>
        <v>6.9996477632969354</v>
      </c>
      <c r="L9" s="139">
        <f>VLOOKUP(I9,'Master sheet'!$A:$AL,27,FALSE)*(3*4/5.678)</f>
        <v>20.724790419161678</v>
      </c>
      <c r="M9" s="123" t="str">
        <f>_xlfn.IFNA(INDEX('Master sheet'!$A$1:$A$670,MATCH('Composite Master Sheet'!AB9,'Master sheet'!$AN$1:$AN$670,0)),"")</f>
        <v>Rebar / Concrete Reinforcing Steel Institute / Canadian sizes -98% recycled, EAF / 15M</v>
      </c>
      <c r="N9" s="138" t="s">
        <v>22</v>
      </c>
      <c r="O9" s="139">
        <f>VLOOKUP(M9,'Master sheet'!$A:$AL,13,FALSE)*3.3</f>
        <v>4.4245739999999998</v>
      </c>
      <c r="P9" s="139">
        <f>VLOOKUP(M9,'Master sheet'!$A:$AL,27,FALSE)*3.3</f>
        <v>0</v>
      </c>
      <c r="Q9" s="123" t="str">
        <f>_xlfn.IFNA(INDEX('Master sheet'!$A$1:$A$670,MATCH('Composite Master Sheet'!AC9,'Master sheet'!$AN$1:$AN$670,0)),"")</f>
        <v/>
      </c>
      <c r="R9" s="140"/>
      <c r="S9" s="140"/>
      <c r="T9" s="140"/>
      <c r="U9" s="123" t="str">
        <f>_xlfn.IFNA(INDEX('Master sheet'!$A$1:$A$670,MATCH('Composite Master Sheet'!AD9,'Master sheet'!$AN$1:$AN$670,0)),"")</f>
        <v/>
      </c>
      <c r="V9" s="140"/>
      <c r="W9" s="140"/>
      <c r="X9" s="140"/>
      <c r="Y9" s="141" t="s">
        <v>919</v>
      </c>
      <c r="Z9" s="128">
        <v>236</v>
      </c>
      <c r="AA9" s="128" t="s">
        <v>2139</v>
      </c>
      <c r="AB9" s="128" t="s">
        <v>3967</v>
      </c>
      <c r="AC9" s="128" t="s">
        <v>1772</v>
      </c>
      <c r="AD9" s="128" t="s">
        <v>1772</v>
      </c>
    </row>
    <row r="10" spans="1:39" ht="76.2" customHeight="1" x14ac:dyDescent="0.25">
      <c r="A10" s="129" t="s">
        <v>1260</v>
      </c>
      <c r="B10" s="120">
        <f>G10+K10+O10+S10+W10</f>
        <v>100.23225776859866</v>
      </c>
      <c r="C10" s="121">
        <f>H10+L10+P10+T10+X10</f>
        <v>93.091560457302407</v>
      </c>
      <c r="D10" s="122" t="s">
        <v>5</v>
      </c>
      <c r="E10" s="123" t="str">
        <f>_xlfn.IFNA(INDEX('Master sheet'!$A$1:$A$670,MATCH('Composite Master Sheet'!Z10,'Master sheet'!$AN$1:$AN$670,0)),"")</f>
        <v>Wood chip cement ICF / Nexcem, Faswall /  / 14" R28 block</v>
      </c>
      <c r="F10" s="138" t="s">
        <v>5</v>
      </c>
      <c r="G10" s="139">
        <f>VLOOKUP($E10,'Master sheet'!$A:$AL,13,FALSE)</f>
        <v>84.141604163103764</v>
      </c>
      <c r="H10" s="139">
        <f>VLOOKUP($E10,'Master sheet'!$A:$AL,27,FALSE)</f>
        <v>58.550243092032943</v>
      </c>
      <c r="I10" s="123" t="str">
        <f>_xlfn.IFNA(INDEX('Master sheet'!$A$1:$A$670,MATCH('Composite Master Sheet'!AA10,'Master sheet'!$AN$1:$AN$670,0)),"")</f>
        <v>Cork board insulation / Amorim  / Expanded Insulation Corkboard (ICB) / R3.6-inch, 115 kg/m3</v>
      </c>
      <c r="J10" s="124" t="s">
        <v>825</v>
      </c>
      <c r="K10" s="139">
        <f>VLOOKUP($I10,'Master sheet'!$A:$AL,13,FALSE)*(5*4/5.678)</f>
        <v>11.666079605494891</v>
      </c>
      <c r="L10" s="139">
        <f>VLOOKUP($I10,'Master sheet'!$A:$AL,27,FALSE)*(5*4/5.678)</f>
        <v>34.541317365269464</v>
      </c>
      <c r="M10" s="123" t="str">
        <f>_xlfn.IFNA(INDEX('Master sheet'!$A$1:$A$670,MATCH('Composite Master Sheet'!AB10,'Master sheet'!$AN$1:$AN$670,0)),"")</f>
        <v>Rebar / Concrete Reinforcing Steel Institute / Canadian sizes -98% recycled, EAF / 15M</v>
      </c>
      <c r="N10" s="138" t="s">
        <v>22</v>
      </c>
      <c r="O10" s="139">
        <f>VLOOKUP(M10,'Master sheet'!$A:$AL,13,FALSE)*3.3</f>
        <v>4.4245739999999998</v>
      </c>
      <c r="P10" s="139">
        <f>VLOOKUP(M10,'Master sheet'!$A:$AL,27,FALSE)*3.3</f>
        <v>0</v>
      </c>
      <c r="Q10" s="123" t="str">
        <f>_xlfn.IFNA(INDEX('Master sheet'!$A$1:$A$670,MATCH('Composite Master Sheet'!AC10,'Master sheet'!$AN$1:$AN$670,0)),"")</f>
        <v/>
      </c>
      <c r="R10" s="140"/>
      <c r="S10" s="140"/>
      <c r="T10" s="140"/>
      <c r="U10" s="123" t="str">
        <f>_xlfn.IFNA(INDEX('Master sheet'!$A$1:$A$670,MATCH('Composite Master Sheet'!AD10,'Master sheet'!$AN$1:$AN$670,0)),"")</f>
        <v/>
      </c>
      <c r="V10" s="140"/>
      <c r="W10" s="140"/>
      <c r="X10" s="140"/>
      <c r="Y10" s="141" t="s">
        <v>920</v>
      </c>
      <c r="Z10" s="128">
        <v>237</v>
      </c>
      <c r="AA10" s="128" t="s">
        <v>2139</v>
      </c>
      <c r="AB10" s="128" t="s">
        <v>3967</v>
      </c>
      <c r="AC10" s="128" t="s">
        <v>1772</v>
      </c>
      <c r="AD10" s="128" t="s">
        <v>1772</v>
      </c>
    </row>
    <row r="11" spans="1:39" ht="77.400000000000006" customHeight="1" x14ac:dyDescent="0.25">
      <c r="A11" s="129" t="s">
        <v>990</v>
      </c>
      <c r="B11" s="120">
        <f t="shared" si="1"/>
        <v>8.5353442835717583</v>
      </c>
      <c r="C11" s="121">
        <f t="shared" si="1"/>
        <v>103.38435</v>
      </c>
      <c r="D11" s="122" t="s">
        <v>5</v>
      </c>
      <c r="E11" s="123" t="str">
        <f>_xlfn.IFNA(INDEX('Master sheet'!$A$1:$A$670,MATCH('Composite Master Sheet'!Z11,'Master sheet'!$AN$1:$AN$670,0)),"")</f>
        <v xml:space="preserve">Wood - SPF / Canadian Wood Council / Alberta / </v>
      </c>
      <c r="F11" s="138" t="s">
        <v>3</v>
      </c>
      <c r="G11" s="139">
        <f>VLOOKUP($E11,'Master sheet'!$A:$AL,13,FALSE)*7.25*0.0254*0.25</f>
        <v>2.6241374999999998</v>
      </c>
      <c r="H11" s="139">
        <f>VLOOKUP($E11,'Master sheet'!$A:$AL,27,FALSE)*7.25*0.0254*0.25</f>
        <v>69.608699999999999</v>
      </c>
      <c r="I11" s="123" t="str">
        <f>_xlfn.IFNA(INDEX('Master sheet'!$A$1:$A$670,MATCH('Composite Master Sheet'!AA11,'Master sheet'!$AN$1:$AN$670,0)),"")</f>
        <v>Plywood / Canadian Wood Council /  / 3/4"</v>
      </c>
      <c r="J11" s="138" t="s">
        <v>5</v>
      </c>
      <c r="K11" s="139">
        <f>VLOOKUP($I11,'Master sheet'!$A:$AL,13,FALSE)</f>
        <v>4.3052999999999999</v>
      </c>
      <c r="L11" s="139">
        <f>VLOOKUP($I11,'Master sheet'!$A:$AL,27,FALSE)</f>
        <v>33.775649999999999</v>
      </c>
      <c r="M11" s="123" t="str">
        <f>_xlfn.IFNA(INDEX('Master sheet'!$A$1:$A$670,MATCH('Composite Master Sheet'!AB11,'Master sheet'!$AN$1:$AN$670,0)),"")</f>
        <v xml:space="preserve">ACQ wood treatment /  /  / </v>
      </c>
      <c r="N11" s="138" t="s">
        <v>5</v>
      </c>
      <c r="O11" s="139">
        <f>VLOOKUP(M11,'Master sheet'!$A:$AL,13,FALSE)*2</f>
        <v>1.6059067835717582</v>
      </c>
      <c r="P11" s="139">
        <f>VLOOKUP(M11,'Master sheet'!$A:$AL,27,FALSE)*2</f>
        <v>0</v>
      </c>
      <c r="Q11" s="123" t="str">
        <f>_xlfn.IFNA(INDEX('Master sheet'!$A$1:$A$670,MATCH('Composite Master Sheet'!AC11,'Master sheet'!$AN$1:$AN$670,0)),"")</f>
        <v/>
      </c>
      <c r="R11" s="142"/>
      <c r="S11" s="142"/>
      <c r="T11" s="142"/>
      <c r="U11" s="123" t="str">
        <f>_xlfn.IFNA(INDEX('Master sheet'!$A$1:$A$670,MATCH('Composite Master Sheet'!AD11,'Master sheet'!$AN$1:$AN$670,0)),"")</f>
        <v/>
      </c>
      <c r="V11" s="142"/>
      <c r="W11" s="142"/>
      <c r="X11" s="142"/>
      <c r="Z11" s="128" t="str">
        <f>INDEX($AH$1:$AH$9,MATCH(TRUE,$AK$1:$AK$9,0))</f>
        <v>248-2</v>
      </c>
      <c r="AA11" s="128">
        <v>161</v>
      </c>
      <c r="AB11" s="128">
        <v>1</v>
      </c>
      <c r="AC11" s="128" t="s">
        <v>1772</v>
      </c>
      <c r="AD11" s="128" t="s">
        <v>1772</v>
      </c>
    </row>
    <row r="12" spans="1:39" ht="77.400000000000006" customHeight="1" x14ac:dyDescent="0.25">
      <c r="A12" s="129" t="s">
        <v>992</v>
      </c>
      <c r="B12" s="120">
        <f>G12+K12+O12+S12+W12</f>
        <v>2.0269200000000001</v>
      </c>
      <c r="C12" s="121">
        <f>H12+L12+P12+T12+X12</f>
        <v>53.766719999999999</v>
      </c>
      <c r="D12" s="122" t="s">
        <v>5</v>
      </c>
      <c r="E12" s="123" t="str">
        <f>_xlfn.IFNA(INDEX('Master sheet'!$A$1:$A$670,MATCH('Composite Master Sheet'!Z12,'Master sheet'!$AN$1:$AN$670,0)),"")</f>
        <v xml:space="preserve">Wood - SPF / Canadian Wood Council / Alberta / </v>
      </c>
      <c r="F12" s="138" t="s">
        <v>3</v>
      </c>
      <c r="G12" s="139">
        <f>VLOOKUP($E12,'Master sheet'!$A:$AL,13,FALSE)*2*3.5*0.0254*0.2</f>
        <v>2.0269200000000001</v>
      </c>
      <c r="H12" s="139">
        <f>VLOOKUP($E12,'Master sheet'!$A:$AL,27,FALSE)*2*3.5*0.0254*0.2</f>
        <v>53.766719999999999</v>
      </c>
      <c r="I12" s="123"/>
      <c r="J12" s="124"/>
      <c r="K12" s="139"/>
      <c r="L12" s="139"/>
      <c r="M12" s="123" t="str">
        <f>_xlfn.IFNA(INDEX('Master sheet'!$A$1:$A$670,MATCH('Composite Master Sheet'!AB12,'Master sheet'!$AN$1:$AN$670,0)),"")</f>
        <v/>
      </c>
      <c r="N12" s="140"/>
      <c r="O12" s="139"/>
      <c r="P12" s="143"/>
      <c r="Q12" s="123" t="str">
        <f>_xlfn.IFNA(INDEX('Master sheet'!$A$1:$A$670,MATCH('Composite Master Sheet'!AC12,'Master sheet'!$AN$1:$AN$670,0)),"")</f>
        <v/>
      </c>
      <c r="R12" s="142"/>
      <c r="S12" s="142"/>
      <c r="T12" s="142"/>
      <c r="U12" s="123" t="str">
        <f>_xlfn.IFNA(INDEX('Master sheet'!$A$1:$A$670,MATCH('Composite Master Sheet'!AD12,'Master sheet'!$AN$1:$AN$670,0)),"")</f>
        <v/>
      </c>
      <c r="V12" s="142"/>
      <c r="W12" s="142"/>
      <c r="X12" s="142"/>
      <c r="Z12" s="128" t="str">
        <f>INDEX($AH$1:$AH$9,MATCH(TRUE,$AK$1:$AK$9,0))</f>
        <v>248-2</v>
      </c>
      <c r="AA12" s="128"/>
      <c r="AB12" s="128" t="s">
        <v>1772</v>
      </c>
      <c r="AC12" s="128" t="s">
        <v>1772</v>
      </c>
      <c r="AD12" s="128" t="s">
        <v>1772</v>
      </c>
    </row>
    <row r="13" spans="1:39" ht="77.400000000000006" customHeight="1" x14ac:dyDescent="0.25">
      <c r="A13" s="129"/>
      <c r="B13" s="120"/>
      <c r="C13" s="121"/>
      <c r="D13" s="122"/>
      <c r="E13" s="123" t="str">
        <f>_xlfn.IFNA(INDEX('Master sheet'!$A$1:$A$670,MATCH('Composite Master Sheet'!Z13,'Master sheet'!$AN$1:$AN$670,0)),"")</f>
        <v/>
      </c>
      <c r="F13" s="138"/>
      <c r="G13" s="139"/>
      <c r="H13" s="139"/>
      <c r="I13" s="123" t="str">
        <f>_xlfn.IFNA(INDEX('Master sheet'!$A$1:$A$670,MATCH('Composite Master Sheet'!AA13,'Master sheet'!$AN$1:$AN$670,0)),"")</f>
        <v/>
      </c>
      <c r="J13" s="124"/>
      <c r="K13" s="139"/>
      <c r="L13" s="139"/>
      <c r="M13" s="123" t="str">
        <f>_xlfn.IFNA(INDEX('Master sheet'!$A$1:$A$670,MATCH('Composite Master Sheet'!AB13,'Master sheet'!$AN$1:$AN$670,0)),"")</f>
        <v/>
      </c>
      <c r="N13" s="140"/>
      <c r="O13" s="139"/>
      <c r="P13" s="143"/>
      <c r="Q13" s="123" t="str">
        <f>_xlfn.IFNA(INDEX('Master sheet'!$A$1:$A$670,MATCH('Composite Master Sheet'!AC13,'Master sheet'!$AN$1:$AN$670,0)),"")</f>
        <v/>
      </c>
      <c r="R13" s="142"/>
      <c r="S13" s="142"/>
      <c r="T13" s="142"/>
      <c r="U13" s="123" t="str">
        <f>_xlfn.IFNA(INDEX('Master sheet'!$A$1:$A$670,MATCH('Composite Master Sheet'!AD13,'Master sheet'!$AN$1:$AN$670,0)),"")</f>
        <v/>
      </c>
      <c r="V13" s="142"/>
      <c r="W13" s="142"/>
      <c r="X13" s="142"/>
      <c r="Z13" s="128" t="s">
        <v>1772</v>
      </c>
      <c r="AA13" s="128" t="s">
        <v>1772</v>
      </c>
      <c r="AB13" s="128" t="s">
        <v>1772</v>
      </c>
      <c r="AC13" s="128" t="s">
        <v>1772</v>
      </c>
      <c r="AD13" s="128" t="s">
        <v>1772</v>
      </c>
    </row>
    <row r="14" spans="1:39" ht="77.400000000000006" customHeight="1" x14ac:dyDescent="0.25">
      <c r="A14" s="129"/>
      <c r="B14" s="120"/>
      <c r="C14" s="121"/>
      <c r="D14" s="122"/>
      <c r="E14" s="123" t="str">
        <f>_xlfn.IFNA(INDEX('Master sheet'!$A$1:$A$670,MATCH('Composite Master Sheet'!Z14,'Master sheet'!$AN$1:$AN$670,0)),"")</f>
        <v/>
      </c>
      <c r="F14" s="138"/>
      <c r="G14" s="139"/>
      <c r="H14" s="139"/>
      <c r="I14" s="123" t="str">
        <f>_xlfn.IFNA(INDEX('Master sheet'!$A$1:$A$670,MATCH('Composite Master Sheet'!AA14,'Master sheet'!$AN$1:$AN$670,0)),"")</f>
        <v/>
      </c>
      <c r="J14" s="124"/>
      <c r="K14" s="139"/>
      <c r="L14" s="139"/>
      <c r="M14" s="123" t="str">
        <f>_xlfn.IFNA(INDEX('Master sheet'!$A$1:$A$670,MATCH('Composite Master Sheet'!AB14,'Master sheet'!$AN$1:$AN$670,0)),"")</f>
        <v/>
      </c>
      <c r="N14" s="140"/>
      <c r="O14" s="139"/>
      <c r="P14" s="143"/>
      <c r="Q14" s="123" t="str">
        <f>_xlfn.IFNA(INDEX('Master sheet'!$A$1:$A$670,MATCH('Composite Master Sheet'!AC14,'Master sheet'!$AN$1:$AN$670,0)),"")</f>
        <v/>
      </c>
      <c r="R14" s="142"/>
      <c r="S14" s="142"/>
      <c r="T14" s="142"/>
      <c r="U14" s="123" t="str">
        <f>_xlfn.IFNA(INDEX('Master sheet'!$A$1:$A$670,MATCH('Composite Master Sheet'!AD14,'Master sheet'!$AN$1:$AN$670,0)),"")</f>
        <v/>
      </c>
      <c r="V14" s="142"/>
      <c r="W14" s="142"/>
      <c r="X14" s="142"/>
      <c r="Z14" s="128" t="s">
        <v>1772</v>
      </c>
      <c r="AA14" s="128" t="s">
        <v>1772</v>
      </c>
      <c r="AB14" s="128" t="s">
        <v>1772</v>
      </c>
      <c r="AC14" s="128" t="s">
        <v>1772</v>
      </c>
      <c r="AD14" s="128" t="s">
        <v>1772</v>
      </c>
    </row>
    <row r="15" spans="1:39" ht="15.75" customHeight="1" x14ac:dyDescent="0.3">
      <c r="A15" s="144"/>
      <c r="B15" s="136"/>
      <c r="C15" s="136"/>
      <c r="D15" s="136"/>
      <c r="E15" s="123"/>
      <c r="F15" s="136"/>
      <c r="G15" s="136"/>
      <c r="H15" s="136"/>
      <c r="I15" s="145"/>
      <c r="J15" s="136"/>
      <c r="K15" s="135"/>
      <c r="L15" s="135"/>
      <c r="M15" s="145"/>
      <c r="N15" s="136"/>
      <c r="O15" s="136"/>
      <c r="P15" s="136"/>
      <c r="Q15" s="146"/>
      <c r="R15" s="136"/>
      <c r="S15" s="136"/>
      <c r="T15" s="136"/>
      <c r="U15" s="146"/>
      <c r="V15" s="136"/>
      <c r="W15" s="136"/>
      <c r="X15" s="136"/>
      <c r="Z15" s="128" t="s">
        <v>1772</v>
      </c>
      <c r="AA15" s="128" t="s">
        <v>1772</v>
      </c>
      <c r="AB15" s="128" t="s">
        <v>1772</v>
      </c>
      <c r="AC15" s="128" t="s">
        <v>1772</v>
      </c>
      <c r="AD15" s="128" t="s">
        <v>1772</v>
      </c>
    </row>
    <row r="16" spans="1:39" ht="15.75" customHeight="1" x14ac:dyDescent="0.3">
      <c r="A16" s="144"/>
      <c r="B16" s="136"/>
      <c r="C16" s="136"/>
      <c r="D16" s="136"/>
      <c r="E16" s="145"/>
      <c r="F16" s="136"/>
      <c r="G16" s="136"/>
      <c r="H16" s="136"/>
      <c r="I16" s="145"/>
      <c r="J16" s="136"/>
      <c r="K16" s="136"/>
      <c r="L16" s="136"/>
      <c r="M16" s="145"/>
      <c r="N16" s="136"/>
      <c r="O16" s="136"/>
      <c r="P16" s="136"/>
      <c r="Q16" s="146"/>
      <c r="R16" s="136"/>
      <c r="S16" s="136"/>
      <c r="T16" s="136"/>
      <c r="U16" s="146"/>
      <c r="V16" s="136"/>
      <c r="W16" s="136"/>
      <c r="X16" s="136"/>
    </row>
    <row r="17" spans="1:24" ht="15.75" customHeight="1" x14ac:dyDescent="0.3">
      <c r="A17" s="144"/>
      <c r="B17" s="136"/>
      <c r="C17" s="136"/>
      <c r="D17" s="136"/>
      <c r="E17" s="145"/>
      <c r="F17" s="136"/>
      <c r="G17" s="136"/>
      <c r="H17" s="136"/>
      <c r="I17" s="145"/>
      <c r="J17" s="136"/>
      <c r="K17" s="136"/>
      <c r="L17" s="136"/>
      <c r="M17" s="145"/>
      <c r="N17" s="136"/>
      <c r="O17" s="136"/>
      <c r="P17" s="136"/>
      <c r="Q17" s="146"/>
      <c r="R17" s="136"/>
      <c r="S17" s="136"/>
      <c r="T17" s="136"/>
      <c r="U17" s="146"/>
      <c r="V17" s="136"/>
      <c r="W17" s="136"/>
      <c r="X17" s="136"/>
    </row>
    <row r="18" spans="1:24" ht="15.75" customHeight="1" x14ac:dyDescent="0.3">
      <c r="A18" s="144"/>
      <c r="B18" s="136"/>
      <c r="C18" s="136"/>
      <c r="D18" s="136"/>
      <c r="E18" s="145"/>
      <c r="F18" s="136"/>
      <c r="G18" s="136"/>
      <c r="H18" s="136"/>
      <c r="I18" s="145"/>
      <c r="J18" s="136"/>
      <c r="K18" s="136"/>
      <c r="L18" s="136"/>
      <c r="M18" s="145"/>
      <c r="N18" s="136"/>
      <c r="O18" s="136"/>
      <c r="P18" s="136"/>
      <c r="Q18" s="146"/>
      <c r="R18" s="136"/>
      <c r="S18" s="136"/>
      <c r="T18" s="136"/>
      <c r="U18" s="146"/>
      <c r="V18" s="136"/>
      <c r="W18" s="136"/>
      <c r="X18" s="136"/>
    </row>
    <row r="19" spans="1:24" ht="15.75" customHeight="1" x14ac:dyDescent="0.3">
      <c r="A19" s="144"/>
      <c r="B19" s="136"/>
      <c r="C19" s="136"/>
      <c r="D19" s="136"/>
      <c r="E19" s="145"/>
      <c r="F19" s="136"/>
      <c r="G19" s="136"/>
      <c r="H19" s="136"/>
      <c r="I19" s="145"/>
      <c r="J19" s="136"/>
      <c r="K19" s="136"/>
      <c r="L19" s="136"/>
      <c r="M19" s="145"/>
      <c r="N19" s="136"/>
      <c r="O19" s="136"/>
      <c r="P19" s="136"/>
      <c r="Q19" s="146"/>
      <c r="R19" s="136"/>
      <c r="S19" s="136"/>
      <c r="T19" s="136"/>
      <c r="U19" s="146"/>
      <c r="V19" s="136"/>
      <c r="W19" s="136"/>
      <c r="X19" s="136"/>
    </row>
    <row r="20" spans="1:24" ht="15.75" customHeight="1" x14ac:dyDescent="0.3">
      <c r="A20" s="144"/>
      <c r="B20" s="136"/>
      <c r="C20" s="136"/>
      <c r="D20" s="136"/>
      <c r="E20" s="145"/>
      <c r="F20" s="136"/>
      <c r="G20" s="136"/>
      <c r="H20" s="136"/>
      <c r="I20" s="145"/>
      <c r="J20" s="136"/>
      <c r="K20" s="136"/>
      <c r="L20" s="136"/>
      <c r="M20" s="145"/>
      <c r="N20" s="136"/>
      <c r="O20" s="136"/>
      <c r="P20" s="136"/>
      <c r="Q20" s="146"/>
      <c r="R20" s="136"/>
      <c r="S20" s="136"/>
      <c r="T20" s="136"/>
      <c r="U20" s="146"/>
      <c r="V20" s="136"/>
      <c r="W20" s="136"/>
      <c r="X20" s="136"/>
    </row>
    <row r="21" spans="1:24" ht="15.75" customHeight="1" x14ac:dyDescent="0.3">
      <c r="A21" s="144"/>
      <c r="B21" s="136"/>
      <c r="C21" s="136"/>
      <c r="D21" s="136"/>
      <c r="E21" s="145"/>
      <c r="F21" s="136"/>
      <c r="G21" s="136"/>
      <c r="H21" s="136"/>
      <c r="I21" s="145"/>
      <c r="J21" s="136"/>
      <c r="K21" s="136"/>
      <c r="L21" s="136"/>
      <c r="M21" s="145"/>
      <c r="N21" s="136"/>
      <c r="O21" s="136"/>
      <c r="P21" s="136"/>
      <c r="Q21" s="146"/>
      <c r="R21" s="136"/>
      <c r="S21" s="136"/>
      <c r="T21" s="136"/>
      <c r="U21" s="146"/>
      <c r="V21" s="136"/>
      <c r="W21" s="136"/>
      <c r="X21" s="136"/>
    </row>
    <row r="22" spans="1:24" ht="15.75" customHeight="1" x14ac:dyDescent="0.3">
      <c r="A22" s="144"/>
      <c r="B22" s="136"/>
      <c r="C22" s="136"/>
      <c r="D22" s="136"/>
      <c r="E22" s="145"/>
      <c r="F22" s="136"/>
      <c r="G22" s="136"/>
      <c r="H22" s="136"/>
      <c r="I22" s="145"/>
      <c r="J22" s="136"/>
      <c r="K22" s="136"/>
      <c r="L22" s="136"/>
      <c r="M22" s="145"/>
      <c r="N22" s="136"/>
      <c r="O22" s="136"/>
      <c r="P22" s="136"/>
      <c r="Q22" s="146"/>
      <c r="R22" s="136"/>
      <c r="S22" s="136"/>
      <c r="T22" s="136"/>
      <c r="U22" s="146"/>
      <c r="V22" s="136"/>
      <c r="W22" s="136"/>
      <c r="X22" s="136"/>
    </row>
    <row r="23" spans="1:24" ht="15.75" customHeight="1" x14ac:dyDescent="0.3">
      <c r="A23" s="144"/>
      <c r="B23" s="136"/>
      <c r="C23" s="136"/>
      <c r="D23" s="136"/>
      <c r="E23" s="145"/>
      <c r="F23" s="136"/>
      <c r="G23" s="136"/>
      <c r="H23" s="136"/>
      <c r="I23" s="145"/>
      <c r="J23" s="136"/>
      <c r="K23" s="136"/>
      <c r="L23" s="136"/>
      <c r="M23" s="145"/>
      <c r="N23" s="136"/>
      <c r="O23" s="136"/>
      <c r="P23" s="136"/>
      <c r="Q23" s="146"/>
      <c r="R23" s="136"/>
      <c r="S23" s="136"/>
      <c r="T23" s="136"/>
      <c r="U23" s="146"/>
      <c r="V23" s="136"/>
      <c r="W23" s="136"/>
      <c r="X23" s="136"/>
    </row>
    <row r="24" spans="1:24" ht="15.75" customHeight="1" x14ac:dyDescent="0.3">
      <c r="A24" s="144"/>
      <c r="B24" s="136"/>
      <c r="C24" s="136"/>
      <c r="D24" s="136"/>
      <c r="E24" s="145"/>
      <c r="F24" s="136"/>
      <c r="G24" s="136"/>
      <c r="H24" s="136"/>
      <c r="I24" s="145"/>
      <c r="J24" s="136"/>
      <c r="K24" s="136"/>
      <c r="L24" s="136"/>
      <c r="M24" s="145"/>
      <c r="N24" s="136"/>
      <c r="O24" s="136"/>
      <c r="P24" s="136"/>
      <c r="Q24" s="146"/>
      <c r="R24" s="136"/>
      <c r="S24" s="136"/>
      <c r="T24" s="136"/>
      <c r="U24" s="146"/>
      <c r="V24" s="136"/>
      <c r="W24" s="136"/>
      <c r="X24" s="136"/>
    </row>
    <row r="25" spans="1:24" ht="15.75" customHeight="1" x14ac:dyDescent="0.3">
      <c r="A25" s="144"/>
      <c r="B25" s="136"/>
      <c r="C25" s="136"/>
      <c r="D25" s="136"/>
      <c r="E25" s="145"/>
      <c r="F25" s="136"/>
      <c r="G25" s="136"/>
      <c r="H25" s="136"/>
      <c r="I25" s="145"/>
      <c r="J25" s="136"/>
      <c r="K25" s="136"/>
      <c r="L25" s="136"/>
      <c r="M25" s="145"/>
      <c r="N25" s="136"/>
      <c r="O25" s="136"/>
      <c r="P25" s="136"/>
      <c r="Q25" s="146"/>
      <c r="R25" s="136"/>
      <c r="S25" s="136"/>
      <c r="T25" s="136"/>
      <c r="U25" s="146"/>
      <c r="V25" s="136"/>
      <c r="W25" s="136"/>
      <c r="X25" s="136"/>
    </row>
    <row r="26" spans="1:24" ht="15.75" customHeight="1" x14ac:dyDescent="0.3">
      <c r="A26" s="144"/>
      <c r="B26" s="136"/>
      <c r="C26" s="136"/>
      <c r="D26" s="136"/>
      <c r="E26" s="145"/>
      <c r="F26" s="136"/>
      <c r="G26" s="136"/>
      <c r="H26" s="136"/>
      <c r="I26" s="145"/>
      <c r="J26" s="136"/>
      <c r="K26" s="136"/>
      <c r="L26" s="136"/>
      <c r="M26" s="145"/>
      <c r="N26" s="136"/>
      <c r="O26" s="136"/>
      <c r="P26" s="136"/>
      <c r="Q26" s="146"/>
      <c r="R26" s="136"/>
      <c r="S26" s="136"/>
      <c r="T26" s="136"/>
      <c r="U26" s="146"/>
      <c r="V26" s="136"/>
      <c r="W26" s="136"/>
      <c r="X26" s="136"/>
    </row>
    <row r="27" spans="1:24" ht="15.75" customHeight="1" x14ac:dyDescent="0.3">
      <c r="A27" s="144"/>
      <c r="B27" s="136"/>
      <c r="C27" s="136"/>
      <c r="D27" s="136"/>
      <c r="E27" s="145"/>
      <c r="F27" s="136"/>
      <c r="G27" s="136"/>
      <c r="H27" s="136"/>
      <c r="I27" s="145"/>
      <c r="J27" s="136"/>
      <c r="K27" s="136"/>
      <c r="L27" s="136"/>
      <c r="M27" s="145"/>
      <c r="N27" s="136"/>
      <c r="O27" s="136"/>
      <c r="P27" s="136"/>
      <c r="Q27" s="146"/>
      <c r="R27" s="136"/>
      <c r="S27" s="136"/>
      <c r="T27" s="136"/>
      <c r="U27" s="146"/>
      <c r="V27" s="136"/>
      <c r="W27" s="136"/>
      <c r="X27" s="136"/>
    </row>
    <row r="28" spans="1:24" ht="15.75" customHeight="1" x14ac:dyDescent="0.3">
      <c r="A28" s="144"/>
      <c r="B28" s="136"/>
      <c r="C28" s="136"/>
      <c r="D28" s="136"/>
      <c r="E28" s="145"/>
      <c r="F28" s="136"/>
      <c r="G28" s="136"/>
      <c r="H28" s="136"/>
      <c r="I28" s="145"/>
      <c r="J28" s="136"/>
      <c r="K28" s="136"/>
      <c r="L28" s="136"/>
      <c r="M28" s="145"/>
      <c r="N28" s="136"/>
      <c r="O28" s="136"/>
      <c r="P28" s="136"/>
      <c r="Q28" s="146"/>
      <c r="R28" s="136"/>
      <c r="S28" s="136"/>
      <c r="T28" s="136"/>
      <c r="U28" s="146"/>
      <c r="V28" s="136"/>
      <c r="W28" s="136"/>
      <c r="X28" s="136"/>
    </row>
    <row r="29" spans="1:24" ht="15.75" customHeight="1" x14ac:dyDescent="0.3">
      <c r="A29" s="144"/>
      <c r="B29" s="136"/>
      <c r="C29" s="136"/>
      <c r="D29" s="136"/>
      <c r="E29" s="145"/>
      <c r="F29" s="136"/>
      <c r="G29" s="136"/>
      <c r="H29" s="136"/>
      <c r="I29" s="145"/>
      <c r="J29" s="136"/>
      <c r="K29" s="136"/>
      <c r="L29" s="136"/>
      <c r="M29" s="145"/>
      <c r="N29" s="136"/>
      <c r="O29" s="136"/>
      <c r="P29" s="136"/>
      <c r="Q29" s="146"/>
      <c r="R29" s="136"/>
      <c r="S29" s="136"/>
      <c r="T29" s="136"/>
      <c r="U29" s="146"/>
      <c r="V29" s="136"/>
      <c r="W29" s="136"/>
      <c r="X29" s="136"/>
    </row>
    <row r="30" spans="1:24" ht="15.75" customHeight="1" x14ac:dyDescent="0.3">
      <c r="A30" s="144"/>
      <c r="B30" s="136"/>
      <c r="C30" s="136"/>
      <c r="D30" s="136"/>
      <c r="E30" s="145"/>
      <c r="F30" s="136"/>
      <c r="G30" s="136"/>
      <c r="H30" s="136"/>
      <c r="I30" s="145"/>
      <c r="J30" s="136"/>
      <c r="K30" s="136"/>
      <c r="L30" s="136"/>
      <c r="M30" s="145"/>
      <c r="N30" s="136"/>
      <c r="O30" s="136"/>
      <c r="P30" s="136"/>
      <c r="Q30" s="146"/>
      <c r="R30" s="136"/>
      <c r="S30" s="136"/>
      <c r="T30" s="136"/>
      <c r="U30" s="146"/>
      <c r="V30" s="136"/>
      <c r="W30" s="136"/>
      <c r="X30" s="136"/>
    </row>
    <row r="31" spans="1:24" ht="15.75" customHeight="1" x14ac:dyDescent="0.3">
      <c r="A31" s="144"/>
      <c r="B31" s="136"/>
      <c r="C31" s="136"/>
      <c r="D31" s="136"/>
      <c r="E31" s="145"/>
      <c r="F31" s="136"/>
      <c r="G31" s="136"/>
      <c r="H31" s="136"/>
      <c r="I31" s="145"/>
      <c r="J31" s="136"/>
      <c r="K31" s="136"/>
      <c r="L31" s="136"/>
      <c r="M31" s="145"/>
      <c r="N31" s="136"/>
      <c r="O31" s="136"/>
      <c r="P31" s="136"/>
      <c r="Q31" s="146"/>
      <c r="R31" s="136"/>
      <c r="S31" s="136"/>
      <c r="T31" s="136"/>
      <c r="U31" s="146"/>
      <c r="V31" s="136"/>
      <c r="W31" s="136"/>
      <c r="X31" s="136"/>
    </row>
    <row r="32" spans="1:24" ht="15.75" customHeight="1" x14ac:dyDescent="0.3">
      <c r="A32" s="144"/>
      <c r="B32" s="136"/>
      <c r="C32" s="136"/>
      <c r="D32" s="136"/>
      <c r="E32" s="145"/>
      <c r="F32" s="136"/>
      <c r="G32" s="136"/>
      <c r="H32" s="136"/>
      <c r="I32" s="145"/>
      <c r="J32" s="136"/>
      <c r="K32" s="136"/>
      <c r="L32" s="136"/>
      <c r="M32" s="145"/>
      <c r="N32" s="136"/>
      <c r="O32" s="136"/>
      <c r="P32" s="136"/>
      <c r="Q32" s="146"/>
      <c r="R32" s="136"/>
      <c r="S32" s="136"/>
      <c r="T32" s="136"/>
      <c r="U32" s="146"/>
      <c r="V32" s="136"/>
      <c r="W32" s="136"/>
      <c r="X32" s="136"/>
    </row>
    <row r="33" spans="1:24" ht="15.75" customHeight="1" x14ac:dyDescent="0.3">
      <c r="A33" s="144"/>
      <c r="B33" s="136"/>
      <c r="C33" s="136"/>
      <c r="D33" s="136"/>
      <c r="E33" s="145"/>
      <c r="F33" s="136"/>
      <c r="G33" s="136"/>
      <c r="H33" s="136"/>
      <c r="I33" s="145"/>
      <c r="J33" s="136"/>
      <c r="K33" s="136"/>
      <c r="L33" s="136"/>
      <c r="M33" s="145"/>
      <c r="N33" s="136"/>
      <c r="O33" s="136"/>
      <c r="P33" s="136"/>
      <c r="Q33" s="146"/>
      <c r="R33" s="136"/>
      <c r="S33" s="136"/>
      <c r="T33" s="136"/>
      <c r="U33" s="146"/>
      <c r="V33" s="136"/>
      <c r="W33" s="136"/>
      <c r="X33" s="136"/>
    </row>
    <row r="34" spans="1:24" ht="15.75" customHeight="1" x14ac:dyDescent="0.3">
      <c r="A34" s="144"/>
      <c r="B34" s="136"/>
      <c r="C34" s="136"/>
      <c r="D34" s="136"/>
      <c r="E34" s="145"/>
      <c r="F34" s="136"/>
      <c r="G34" s="136"/>
      <c r="H34" s="136"/>
      <c r="I34" s="145"/>
      <c r="J34" s="136"/>
      <c r="K34" s="136"/>
      <c r="L34" s="136"/>
      <c r="M34" s="145"/>
      <c r="N34" s="136"/>
      <c r="O34" s="136"/>
      <c r="P34" s="136"/>
      <c r="Q34" s="146"/>
      <c r="R34" s="136"/>
      <c r="S34" s="136"/>
      <c r="T34" s="136"/>
      <c r="U34" s="146"/>
      <c r="V34" s="136"/>
      <c r="W34" s="136"/>
      <c r="X34" s="136"/>
    </row>
    <row r="35" spans="1:24" ht="15.75" customHeight="1" x14ac:dyDescent="0.3">
      <c r="A35" s="144"/>
      <c r="B35" s="136"/>
      <c r="C35" s="136"/>
      <c r="D35" s="136"/>
      <c r="E35" s="145"/>
      <c r="F35" s="136"/>
      <c r="G35" s="136"/>
      <c r="H35" s="136"/>
      <c r="I35" s="145"/>
      <c r="J35" s="136"/>
      <c r="K35" s="136"/>
      <c r="L35" s="136"/>
      <c r="M35" s="145"/>
      <c r="N35" s="136"/>
      <c r="O35" s="136"/>
      <c r="P35" s="136"/>
      <c r="Q35" s="146"/>
      <c r="R35" s="136"/>
      <c r="S35" s="136"/>
      <c r="T35" s="136"/>
      <c r="U35" s="146"/>
      <c r="V35" s="136"/>
      <c r="W35" s="136"/>
      <c r="X35" s="136"/>
    </row>
    <row r="36" spans="1:24" ht="15.75" customHeight="1" x14ac:dyDescent="0.3">
      <c r="A36" s="144"/>
      <c r="B36" s="136"/>
      <c r="C36" s="136"/>
      <c r="D36" s="136"/>
      <c r="E36" s="145"/>
      <c r="F36" s="136"/>
      <c r="G36" s="136"/>
      <c r="H36" s="136"/>
      <c r="I36" s="145"/>
      <c r="J36" s="136"/>
      <c r="K36" s="136"/>
      <c r="L36" s="136"/>
      <c r="M36" s="145"/>
      <c r="N36" s="136"/>
      <c r="O36" s="136"/>
      <c r="P36" s="136"/>
      <c r="Q36" s="146"/>
      <c r="R36" s="136"/>
      <c r="S36" s="136"/>
      <c r="T36" s="136"/>
      <c r="U36" s="146"/>
      <c r="V36" s="136"/>
      <c r="W36" s="136"/>
      <c r="X36" s="136"/>
    </row>
    <row r="37" spans="1:24" ht="15.75" customHeight="1" x14ac:dyDescent="0.3">
      <c r="A37" s="144"/>
      <c r="B37" s="136"/>
      <c r="C37" s="136"/>
      <c r="D37" s="136"/>
      <c r="E37" s="145"/>
      <c r="F37" s="136"/>
      <c r="G37" s="136"/>
      <c r="H37" s="136"/>
      <c r="I37" s="145"/>
      <c r="J37" s="136"/>
      <c r="K37" s="136"/>
      <c r="L37" s="136"/>
      <c r="M37" s="145"/>
      <c r="N37" s="136"/>
      <c r="O37" s="136"/>
      <c r="P37" s="136"/>
      <c r="Q37" s="146"/>
      <c r="R37" s="136"/>
      <c r="S37" s="136"/>
      <c r="T37" s="136"/>
      <c r="U37" s="146"/>
      <c r="V37" s="136"/>
      <c r="W37" s="136"/>
      <c r="X37" s="136"/>
    </row>
    <row r="38" spans="1:24" ht="15.75" customHeight="1" x14ac:dyDescent="0.3">
      <c r="A38" s="144"/>
      <c r="B38" s="136"/>
      <c r="C38" s="136"/>
      <c r="D38" s="136"/>
      <c r="E38" s="145"/>
      <c r="F38" s="136"/>
      <c r="G38" s="136"/>
      <c r="H38" s="136"/>
      <c r="I38" s="145"/>
      <c r="J38" s="136"/>
      <c r="K38" s="136"/>
      <c r="L38" s="136"/>
      <c r="M38" s="145"/>
      <c r="N38" s="136"/>
      <c r="O38" s="136"/>
      <c r="P38" s="136"/>
      <c r="Q38" s="146"/>
      <c r="R38" s="136"/>
      <c r="S38" s="136"/>
      <c r="T38" s="136"/>
      <c r="U38" s="146"/>
      <c r="V38" s="136"/>
      <c r="W38" s="136"/>
      <c r="X38" s="136"/>
    </row>
    <row r="39" spans="1:24" ht="15.75" customHeight="1" x14ac:dyDescent="0.3">
      <c r="A39" s="144"/>
      <c r="B39" s="136"/>
      <c r="C39" s="136"/>
      <c r="D39" s="136"/>
      <c r="E39" s="145"/>
      <c r="F39" s="136"/>
      <c r="G39" s="136"/>
      <c r="H39" s="136"/>
      <c r="I39" s="145"/>
      <c r="J39" s="136"/>
      <c r="K39" s="136"/>
      <c r="L39" s="136"/>
      <c r="M39" s="145"/>
      <c r="N39" s="136"/>
      <c r="O39" s="136"/>
      <c r="P39" s="136"/>
      <c r="Q39" s="146"/>
      <c r="R39" s="136"/>
      <c r="S39" s="136"/>
      <c r="T39" s="136"/>
      <c r="U39" s="146"/>
      <c r="V39" s="136"/>
      <c r="W39" s="136"/>
      <c r="X39" s="136"/>
    </row>
    <row r="40" spans="1:24" ht="15.75" customHeight="1" x14ac:dyDescent="0.3">
      <c r="A40" s="144"/>
      <c r="B40" s="136"/>
      <c r="C40" s="136"/>
      <c r="D40" s="136"/>
      <c r="E40" s="145"/>
      <c r="F40" s="136"/>
      <c r="G40" s="136"/>
      <c r="H40" s="136"/>
      <c r="I40" s="145"/>
      <c r="J40" s="136"/>
      <c r="K40" s="136"/>
      <c r="L40" s="136"/>
      <c r="M40" s="145"/>
      <c r="N40" s="136"/>
      <c r="O40" s="136"/>
      <c r="P40" s="136"/>
      <c r="Q40" s="146"/>
      <c r="R40" s="136"/>
      <c r="S40" s="136"/>
      <c r="T40" s="136"/>
      <c r="U40" s="146"/>
      <c r="V40" s="136"/>
      <c r="W40" s="136"/>
      <c r="X40" s="136"/>
    </row>
    <row r="41" spans="1:24" ht="15.75" customHeight="1" x14ac:dyDescent="0.3">
      <c r="A41" s="144"/>
      <c r="B41" s="136"/>
      <c r="C41" s="136"/>
      <c r="D41" s="136"/>
      <c r="E41" s="145"/>
      <c r="F41" s="136"/>
      <c r="G41" s="136"/>
      <c r="H41" s="136"/>
      <c r="I41" s="145"/>
      <c r="J41" s="136"/>
      <c r="K41" s="136"/>
      <c r="L41" s="136"/>
      <c r="M41" s="145"/>
      <c r="N41" s="136"/>
      <c r="O41" s="136"/>
      <c r="P41" s="136"/>
      <c r="Q41" s="146"/>
      <c r="R41" s="136"/>
      <c r="S41" s="136"/>
      <c r="T41" s="136"/>
      <c r="U41" s="146"/>
      <c r="V41" s="136"/>
      <c r="W41" s="136"/>
      <c r="X41" s="136"/>
    </row>
    <row r="42" spans="1:24" ht="15.75" customHeight="1" x14ac:dyDescent="0.3">
      <c r="A42" s="144"/>
      <c r="B42" s="136"/>
      <c r="C42" s="136"/>
      <c r="D42" s="136"/>
      <c r="E42" s="145"/>
      <c r="F42" s="136"/>
      <c r="G42" s="136"/>
      <c r="H42" s="136"/>
      <c r="I42" s="145"/>
      <c r="J42" s="136"/>
      <c r="K42" s="136"/>
      <c r="L42" s="136"/>
      <c r="M42" s="145"/>
      <c r="N42" s="136"/>
      <c r="O42" s="136"/>
      <c r="P42" s="136"/>
      <c r="Q42" s="146"/>
      <c r="R42" s="136"/>
      <c r="S42" s="136"/>
      <c r="T42" s="136"/>
      <c r="U42" s="146"/>
      <c r="V42" s="136"/>
      <c r="W42" s="136"/>
      <c r="X42" s="136"/>
    </row>
    <row r="43" spans="1:24" ht="15.75" customHeight="1" x14ac:dyDescent="0.3">
      <c r="A43" s="144"/>
      <c r="B43" s="136"/>
      <c r="C43" s="136"/>
      <c r="D43" s="136"/>
      <c r="E43" s="145"/>
      <c r="F43" s="136"/>
      <c r="G43" s="136"/>
      <c r="H43" s="136"/>
      <c r="I43" s="145"/>
      <c r="J43" s="136"/>
      <c r="K43" s="136"/>
      <c r="L43" s="136"/>
      <c r="M43" s="145"/>
      <c r="N43" s="136"/>
      <c r="O43" s="136"/>
      <c r="P43" s="136"/>
      <c r="Q43" s="146"/>
      <c r="R43" s="136"/>
      <c r="S43" s="136"/>
      <c r="T43" s="136"/>
      <c r="U43" s="146"/>
      <c r="V43" s="136"/>
      <c r="W43" s="136"/>
      <c r="X43" s="136"/>
    </row>
    <row r="44" spans="1:24" ht="15.75" customHeight="1" x14ac:dyDescent="0.3">
      <c r="A44" s="144"/>
      <c r="B44" s="136"/>
      <c r="C44" s="136"/>
      <c r="D44" s="136"/>
      <c r="E44" s="145"/>
      <c r="F44" s="136"/>
      <c r="G44" s="136"/>
      <c r="H44" s="136"/>
      <c r="I44" s="145"/>
      <c r="J44" s="136"/>
      <c r="K44" s="136"/>
      <c r="L44" s="136"/>
      <c r="M44" s="145"/>
      <c r="N44" s="136"/>
      <c r="O44" s="136"/>
      <c r="P44" s="136"/>
      <c r="Q44" s="146"/>
      <c r="R44" s="136"/>
      <c r="S44" s="136"/>
      <c r="T44" s="136"/>
      <c r="U44" s="146"/>
      <c r="V44" s="136"/>
      <c r="W44" s="136"/>
      <c r="X44" s="136"/>
    </row>
    <row r="45" spans="1:24" ht="15.75" customHeight="1" x14ac:dyDescent="0.3">
      <c r="A45" s="144"/>
      <c r="B45" s="136"/>
      <c r="C45" s="136"/>
      <c r="D45" s="136"/>
      <c r="E45" s="145"/>
      <c r="F45" s="136"/>
      <c r="G45" s="136"/>
      <c r="H45" s="136"/>
      <c r="I45" s="145"/>
      <c r="J45" s="136"/>
      <c r="K45" s="136"/>
      <c r="L45" s="136"/>
      <c r="M45" s="145"/>
      <c r="N45" s="136"/>
      <c r="O45" s="136"/>
      <c r="P45" s="136"/>
      <c r="Q45" s="146"/>
      <c r="R45" s="136"/>
      <c r="S45" s="136"/>
      <c r="T45" s="136"/>
      <c r="U45" s="146"/>
      <c r="V45" s="136"/>
      <c r="W45" s="136"/>
      <c r="X45" s="136"/>
    </row>
    <row r="46" spans="1:24" ht="15.75" customHeight="1" x14ac:dyDescent="0.3">
      <c r="A46" s="144"/>
      <c r="B46" s="136"/>
      <c r="C46" s="136"/>
      <c r="D46" s="136"/>
      <c r="E46" s="145"/>
      <c r="F46" s="136"/>
      <c r="G46" s="136"/>
      <c r="H46" s="136"/>
      <c r="I46" s="145"/>
      <c r="J46" s="136"/>
      <c r="K46" s="136"/>
      <c r="L46" s="136"/>
      <c r="M46" s="145"/>
      <c r="N46" s="136"/>
      <c r="O46" s="136"/>
      <c r="P46" s="136"/>
      <c r="Q46" s="146"/>
      <c r="R46" s="136"/>
      <c r="S46" s="136"/>
      <c r="T46" s="136"/>
      <c r="U46" s="146"/>
      <c r="V46" s="136"/>
      <c r="W46" s="136"/>
      <c r="X46" s="136"/>
    </row>
    <row r="47" spans="1:24" ht="15.75" customHeight="1" x14ac:dyDescent="0.3">
      <c r="A47" s="144"/>
      <c r="B47" s="136"/>
      <c r="C47" s="136"/>
      <c r="D47" s="136"/>
      <c r="E47" s="145"/>
      <c r="F47" s="136"/>
      <c r="G47" s="136"/>
      <c r="H47" s="136"/>
      <c r="I47" s="145"/>
      <c r="J47" s="136"/>
      <c r="K47" s="136"/>
      <c r="L47" s="136"/>
      <c r="M47" s="145"/>
      <c r="N47" s="136"/>
      <c r="O47" s="136"/>
      <c r="P47" s="136"/>
      <c r="Q47" s="146"/>
      <c r="R47" s="136"/>
      <c r="S47" s="136"/>
      <c r="T47" s="136"/>
      <c r="U47" s="146"/>
      <c r="V47" s="136"/>
      <c r="W47" s="136"/>
      <c r="X47" s="136"/>
    </row>
    <row r="48" spans="1:24" ht="15.75" customHeight="1" x14ac:dyDescent="0.3">
      <c r="A48" s="144"/>
      <c r="B48" s="136"/>
      <c r="C48" s="136"/>
      <c r="D48" s="136"/>
      <c r="E48" s="145"/>
      <c r="F48" s="136"/>
      <c r="G48" s="136"/>
      <c r="H48" s="136"/>
      <c r="I48" s="145"/>
      <c r="J48" s="136"/>
      <c r="K48" s="136"/>
      <c r="L48" s="136"/>
      <c r="M48" s="145"/>
      <c r="N48" s="136"/>
      <c r="O48" s="136"/>
      <c r="P48" s="136"/>
      <c r="Q48" s="146"/>
      <c r="R48" s="136"/>
      <c r="S48" s="136"/>
      <c r="T48" s="136"/>
      <c r="U48" s="146"/>
      <c r="V48" s="136"/>
      <c r="W48" s="136"/>
      <c r="X48" s="136"/>
    </row>
    <row r="49" spans="1:24" ht="15.75" customHeight="1" x14ac:dyDescent="0.3">
      <c r="A49" s="144"/>
      <c r="B49" s="136"/>
      <c r="C49" s="136"/>
      <c r="D49" s="136"/>
      <c r="E49" s="145"/>
      <c r="F49" s="136"/>
      <c r="G49" s="136"/>
      <c r="H49" s="136"/>
      <c r="I49" s="145"/>
      <c r="J49" s="136"/>
      <c r="K49" s="136"/>
      <c r="L49" s="136"/>
      <c r="M49" s="145"/>
      <c r="N49" s="136"/>
      <c r="O49" s="136"/>
      <c r="P49" s="136"/>
      <c r="Q49" s="146"/>
      <c r="R49" s="136"/>
      <c r="S49" s="136"/>
      <c r="T49" s="136"/>
      <c r="U49" s="146"/>
      <c r="V49" s="136"/>
      <c r="W49" s="136"/>
      <c r="X49" s="136"/>
    </row>
    <row r="50" spans="1:24" ht="15.75" customHeight="1" x14ac:dyDescent="0.3">
      <c r="A50" s="144"/>
      <c r="B50" s="136"/>
      <c r="C50" s="136"/>
      <c r="D50" s="136"/>
      <c r="E50" s="145"/>
      <c r="F50" s="136"/>
      <c r="G50" s="136"/>
      <c r="H50" s="136"/>
      <c r="I50" s="145"/>
      <c r="J50" s="136"/>
      <c r="K50" s="136"/>
      <c r="L50" s="136"/>
      <c r="M50" s="145"/>
      <c r="N50" s="136"/>
      <c r="O50" s="136"/>
      <c r="P50" s="136"/>
      <c r="Q50" s="146"/>
      <c r="R50" s="136"/>
      <c r="S50" s="136"/>
      <c r="T50" s="136"/>
      <c r="U50" s="146"/>
      <c r="V50" s="136"/>
      <c r="W50" s="136"/>
      <c r="X50" s="136"/>
    </row>
    <row r="51" spans="1:24" ht="15.75" customHeight="1" x14ac:dyDescent="0.3">
      <c r="A51" s="144"/>
      <c r="B51" s="136"/>
      <c r="C51" s="136"/>
      <c r="D51" s="136"/>
      <c r="E51" s="145"/>
      <c r="F51" s="136"/>
      <c r="G51" s="136"/>
      <c r="H51" s="136"/>
      <c r="I51" s="145"/>
      <c r="J51" s="136"/>
      <c r="K51" s="136"/>
      <c r="L51" s="136"/>
      <c r="M51" s="145"/>
      <c r="N51" s="136"/>
      <c r="O51" s="136"/>
      <c r="P51" s="136"/>
      <c r="Q51" s="146"/>
      <c r="R51" s="136"/>
      <c r="S51" s="136"/>
      <c r="T51" s="136"/>
      <c r="U51" s="146"/>
      <c r="V51" s="136"/>
      <c r="W51" s="136"/>
      <c r="X51" s="136"/>
    </row>
    <row r="52" spans="1:24" ht="15.75" customHeight="1" x14ac:dyDescent="0.3">
      <c r="A52" s="144"/>
      <c r="B52" s="136"/>
      <c r="C52" s="136"/>
      <c r="D52" s="136"/>
      <c r="E52" s="145"/>
      <c r="F52" s="136"/>
      <c r="G52" s="136"/>
      <c r="H52" s="136"/>
      <c r="I52" s="145"/>
      <c r="J52" s="136"/>
      <c r="K52" s="136"/>
      <c r="L52" s="136"/>
      <c r="M52" s="145"/>
      <c r="N52" s="136"/>
      <c r="O52" s="136"/>
      <c r="P52" s="136"/>
      <c r="Q52" s="146"/>
      <c r="R52" s="136"/>
      <c r="S52" s="136"/>
      <c r="T52" s="136"/>
      <c r="U52" s="146"/>
      <c r="V52" s="136"/>
      <c r="W52" s="136"/>
      <c r="X52" s="136"/>
    </row>
    <row r="53" spans="1:24" ht="15.75" customHeight="1" x14ac:dyDescent="0.3">
      <c r="A53" s="144"/>
      <c r="B53" s="136"/>
      <c r="C53" s="136"/>
      <c r="D53" s="136"/>
      <c r="E53" s="145"/>
      <c r="F53" s="136"/>
      <c r="G53" s="136"/>
      <c r="H53" s="136"/>
      <c r="I53" s="145"/>
      <c r="J53" s="136"/>
      <c r="K53" s="136"/>
      <c r="L53" s="136"/>
      <c r="M53" s="145"/>
      <c r="N53" s="136"/>
      <c r="O53" s="136"/>
      <c r="P53" s="136"/>
      <c r="Q53" s="146"/>
      <c r="R53" s="136"/>
      <c r="S53" s="136"/>
      <c r="T53" s="136"/>
      <c r="U53" s="146"/>
      <c r="V53" s="136"/>
      <c r="W53" s="136"/>
      <c r="X53" s="136"/>
    </row>
    <row r="54" spans="1:24" ht="15.75" customHeight="1" x14ac:dyDescent="0.3">
      <c r="A54" s="144"/>
      <c r="B54" s="136"/>
      <c r="C54" s="136"/>
      <c r="D54" s="136"/>
      <c r="E54" s="145"/>
      <c r="F54" s="136"/>
      <c r="G54" s="136"/>
      <c r="H54" s="136"/>
      <c r="I54" s="145"/>
      <c r="J54" s="136"/>
      <c r="K54" s="136"/>
      <c r="L54" s="136"/>
      <c r="M54" s="145"/>
      <c r="N54" s="136"/>
      <c r="O54" s="136"/>
      <c r="P54" s="136"/>
      <c r="Q54" s="146"/>
      <c r="R54" s="136"/>
      <c r="S54" s="136"/>
      <c r="T54" s="136"/>
      <c r="U54" s="146"/>
      <c r="V54" s="136"/>
      <c r="W54" s="136"/>
      <c r="X54" s="136"/>
    </row>
    <row r="55" spans="1:24" ht="15.75" customHeight="1" x14ac:dyDescent="0.3">
      <c r="A55" s="144"/>
      <c r="B55" s="136"/>
      <c r="C55" s="136"/>
      <c r="D55" s="136"/>
      <c r="E55" s="145"/>
      <c r="F55" s="136"/>
      <c r="G55" s="136"/>
      <c r="H55" s="136"/>
      <c r="I55" s="145"/>
      <c r="J55" s="136"/>
      <c r="K55" s="136"/>
      <c r="L55" s="136"/>
      <c r="M55" s="145"/>
      <c r="N55" s="136"/>
      <c r="O55" s="136"/>
      <c r="P55" s="136"/>
      <c r="Q55" s="146"/>
      <c r="R55" s="136"/>
      <c r="S55" s="136"/>
      <c r="T55" s="136"/>
      <c r="U55" s="146"/>
      <c r="V55" s="136"/>
      <c r="W55" s="136"/>
      <c r="X55" s="136"/>
    </row>
    <row r="56" spans="1:24" ht="15.75" customHeight="1" x14ac:dyDescent="0.3">
      <c r="A56" s="144"/>
      <c r="B56" s="136"/>
      <c r="C56" s="136"/>
      <c r="D56" s="136"/>
      <c r="E56" s="145"/>
      <c r="F56" s="136"/>
      <c r="G56" s="136"/>
      <c r="H56" s="136"/>
      <c r="I56" s="145"/>
      <c r="J56" s="136"/>
      <c r="K56" s="136"/>
      <c r="L56" s="136"/>
      <c r="M56" s="145"/>
      <c r="N56" s="136"/>
      <c r="O56" s="136"/>
      <c r="P56" s="136"/>
      <c r="Q56" s="146"/>
      <c r="R56" s="136"/>
      <c r="S56" s="136"/>
      <c r="T56" s="136"/>
      <c r="U56" s="146"/>
      <c r="V56" s="136"/>
      <c r="W56" s="136"/>
      <c r="X56" s="136"/>
    </row>
    <row r="57" spans="1:24" ht="15.75" customHeight="1" x14ac:dyDescent="0.3">
      <c r="A57" s="144"/>
      <c r="B57" s="136"/>
      <c r="C57" s="136"/>
      <c r="D57" s="136"/>
      <c r="E57" s="145"/>
      <c r="F57" s="136"/>
      <c r="G57" s="136"/>
      <c r="H57" s="136"/>
      <c r="I57" s="145"/>
      <c r="J57" s="136"/>
      <c r="K57" s="136"/>
      <c r="L57" s="136"/>
      <c r="M57" s="145"/>
      <c r="N57" s="136"/>
      <c r="O57" s="136"/>
      <c r="P57" s="136"/>
      <c r="Q57" s="146"/>
      <c r="R57" s="136"/>
      <c r="S57" s="136"/>
      <c r="T57" s="136"/>
      <c r="U57" s="146"/>
      <c r="V57" s="136"/>
      <c r="W57" s="136"/>
      <c r="X57" s="136"/>
    </row>
    <row r="58" spans="1:24" ht="15.75" customHeight="1" x14ac:dyDescent="0.3">
      <c r="A58" s="144"/>
      <c r="B58" s="136"/>
      <c r="C58" s="136"/>
      <c r="D58" s="136"/>
      <c r="E58" s="145"/>
      <c r="F58" s="136"/>
      <c r="G58" s="136"/>
      <c r="H58" s="136"/>
      <c r="I58" s="145"/>
      <c r="J58" s="136"/>
      <c r="K58" s="136"/>
      <c r="L58" s="136"/>
      <c r="M58" s="145"/>
      <c r="N58" s="136"/>
      <c r="O58" s="136"/>
      <c r="P58" s="136"/>
      <c r="Q58" s="146"/>
      <c r="R58" s="136"/>
      <c r="S58" s="136"/>
      <c r="T58" s="136"/>
      <c r="U58" s="146"/>
      <c r="V58" s="136"/>
      <c r="W58" s="136"/>
      <c r="X58" s="136"/>
    </row>
    <row r="59" spans="1:24" ht="15.75" customHeight="1" x14ac:dyDescent="0.3">
      <c r="A59" s="144"/>
      <c r="B59" s="136"/>
      <c r="C59" s="136"/>
      <c r="D59" s="136"/>
      <c r="E59" s="145"/>
      <c r="F59" s="136"/>
      <c r="G59" s="136"/>
      <c r="H59" s="136"/>
      <c r="I59" s="145"/>
      <c r="J59" s="136"/>
      <c r="K59" s="136"/>
      <c r="L59" s="136"/>
      <c r="M59" s="145"/>
      <c r="N59" s="136"/>
      <c r="O59" s="136"/>
      <c r="P59" s="136"/>
      <c r="Q59" s="146"/>
      <c r="R59" s="136"/>
      <c r="S59" s="136"/>
      <c r="T59" s="136"/>
      <c r="U59" s="146"/>
      <c r="V59" s="136"/>
      <c r="W59" s="136"/>
      <c r="X59" s="136"/>
    </row>
    <row r="60" spans="1:24" ht="15.75" customHeight="1" x14ac:dyDescent="0.3">
      <c r="A60" s="144"/>
      <c r="B60" s="136"/>
      <c r="C60" s="136"/>
      <c r="D60" s="136"/>
      <c r="E60" s="145"/>
      <c r="F60" s="136"/>
      <c r="G60" s="136"/>
      <c r="H60" s="136"/>
      <c r="I60" s="145"/>
      <c r="J60" s="136"/>
      <c r="K60" s="136"/>
      <c r="L60" s="136"/>
      <c r="M60" s="145"/>
      <c r="N60" s="136"/>
      <c r="O60" s="136"/>
      <c r="P60" s="136"/>
      <c r="Q60" s="146"/>
      <c r="R60" s="136"/>
      <c r="S60" s="136"/>
      <c r="T60" s="136"/>
      <c r="U60" s="146"/>
      <c r="V60" s="136"/>
      <c r="W60" s="136"/>
      <c r="X60" s="136"/>
    </row>
    <row r="61" spans="1:24" ht="15.75" customHeight="1" x14ac:dyDescent="0.3">
      <c r="A61" s="144"/>
      <c r="B61" s="136"/>
      <c r="C61" s="136"/>
      <c r="D61" s="136"/>
      <c r="E61" s="145"/>
      <c r="F61" s="136"/>
      <c r="G61" s="136"/>
      <c r="H61" s="136"/>
      <c r="I61" s="145"/>
      <c r="J61" s="136"/>
      <c r="K61" s="136"/>
      <c r="L61" s="136"/>
      <c r="M61" s="145"/>
      <c r="N61" s="136"/>
      <c r="O61" s="136"/>
      <c r="P61" s="136"/>
      <c r="Q61" s="146"/>
      <c r="R61" s="136"/>
      <c r="S61" s="136"/>
      <c r="T61" s="136"/>
      <c r="U61" s="146"/>
      <c r="V61" s="136"/>
      <c r="W61" s="136"/>
      <c r="X61" s="136"/>
    </row>
    <row r="62" spans="1:24" ht="15.75" customHeight="1" x14ac:dyDescent="0.3">
      <c r="A62" s="144"/>
      <c r="B62" s="136"/>
      <c r="C62" s="136"/>
      <c r="D62" s="136"/>
      <c r="E62" s="145"/>
      <c r="F62" s="136"/>
      <c r="G62" s="136"/>
      <c r="H62" s="136"/>
      <c r="I62" s="145"/>
      <c r="J62" s="136"/>
      <c r="K62" s="136"/>
      <c r="L62" s="136"/>
      <c r="M62" s="145"/>
      <c r="N62" s="136"/>
      <c r="O62" s="136"/>
      <c r="P62" s="136"/>
      <c r="Q62" s="146"/>
      <c r="R62" s="136"/>
      <c r="S62" s="136"/>
      <c r="T62" s="136"/>
      <c r="U62" s="146"/>
      <c r="V62" s="136"/>
      <c r="W62" s="136"/>
      <c r="X62" s="136"/>
    </row>
    <row r="63" spans="1:24" ht="15.75" customHeight="1" x14ac:dyDescent="0.3">
      <c r="A63" s="144"/>
      <c r="B63" s="136"/>
      <c r="C63" s="136"/>
      <c r="D63" s="136"/>
      <c r="E63" s="145"/>
      <c r="F63" s="136"/>
      <c r="G63" s="136"/>
      <c r="H63" s="136"/>
      <c r="I63" s="145"/>
      <c r="J63" s="136"/>
      <c r="K63" s="136"/>
      <c r="L63" s="136"/>
      <c r="M63" s="145"/>
      <c r="N63" s="136"/>
      <c r="O63" s="136"/>
      <c r="P63" s="136"/>
      <c r="Q63" s="146"/>
      <c r="R63" s="136"/>
      <c r="S63" s="136"/>
      <c r="T63" s="136"/>
      <c r="U63" s="146"/>
      <c r="V63" s="136"/>
      <c r="W63" s="136"/>
      <c r="X63" s="136"/>
    </row>
    <row r="64" spans="1:24" ht="15.75" customHeight="1" x14ac:dyDescent="0.3">
      <c r="A64" s="144"/>
      <c r="B64" s="136"/>
      <c r="C64" s="136"/>
      <c r="D64" s="136"/>
      <c r="E64" s="145"/>
      <c r="F64" s="136"/>
      <c r="G64" s="136"/>
      <c r="H64" s="136"/>
      <c r="I64" s="145"/>
      <c r="J64" s="136"/>
      <c r="K64" s="136"/>
      <c r="L64" s="136"/>
      <c r="M64" s="145"/>
      <c r="N64" s="136"/>
      <c r="O64" s="136"/>
      <c r="P64" s="136"/>
      <c r="Q64" s="146"/>
      <c r="R64" s="136"/>
      <c r="S64" s="136"/>
      <c r="T64" s="136"/>
      <c r="U64" s="146"/>
      <c r="V64" s="136"/>
      <c r="W64" s="136"/>
      <c r="X64" s="136"/>
    </row>
    <row r="65" spans="1:24" ht="15.75" customHeight="1" x14ac:dyDescent="0.3">
      <c r="A65" s="144"/>
      <c r="B65" s="136"/>
      <c r="C65" s="136"/>
      <c r="D65" s="136"/>
      <c r="E65" s="145"/>
      <c r="F65" s="136"/>
      <c r="G65" s="136"/>
      <c r="H65" s="136"/>
      <c r="I65" s="145"/>
      <c r="J65" s="136"/>
      <c r="K65" s="136"/>
      <c r="L65" s="136"/>
      <c r="M65" s="145"/>
      <c r="N65" s="136"/>
      <c r="O65" s="136"/>
      <c r="P65" s="136"/>
      <c r="Q65" s="146"/>
      <c r="R65" s="136"/>
      <c r="S65" s="136"/>
      <c r="T65" s="136"/>
      <c r="U65" s="146"/>
      <c r="V65" s="136"/>
      <c r="W65" s="136"/>
      <c r="X65" s="136"/>
    </row>
    <row r="66" spans="1:24" ht="15.75" customHeight="1" x14ac:dyDescent="0.3">
      <c r="A66" s="144"/>
      <c r="B66" s="136"/>
      <c r="C66" s="136"/>
      <c r="D66" s="136"/>
      <c r="E66" s="145"/>
      <c r="F66" s="136"/>
      <c r="G66" s="136"/>
      <c r="H66" s="136"/>
      <c r="I66" s="145"/>
      <c r="J66" s="136"/>
      <c r="K66" s="136"/>
      <c r="L66" s="136"/>
      <c r="M66" s="145"/>
      <c r="N66" s="136"/>
      <c r="O66" s="136"/>
      <c r="P66" s="136"/>
      <c r="Q66" s="146"/>
      <c r="R66" s="136"/>
      <c r="S66" s="136"/>
      <c r="T66" s="136"/>
      <c r="U66" s="146"/>
      <c r="V66" s="136"/>
      <c r="W66" s="136"/>
      <c r="X66" s="136"/>
    </row>
    <row r="67" spans="1:24" ht="15.75" customHeight="1" x14ac:dyDescent="0.3">
      <c r="A67" s="144"/>
      <c r="B67" s="136"/>
      <c r="C67" s="136"/>
      <c r="D67" s="136"/>
      <c r="E67" s="145"/>
      <c r="F67" s="136"/>
      <c r="G67" s="136"/>
      <c r="H67" s="136"/>
      <c r="I67" s="145"/>
      <c r="J67" s="136"/>
      <c r="K67" s="136"/>
      <c r="L67" s="136"/>
      <c r="M67" s="145"/>
      <c r="N67" s="136"/>
      <c r="O67" s="136"/>
      <c r="P67" s="136"/>
      <c r="Q67" s="146"/>
      <c r="R67" s="136"/>
      <c r="S67" s="136"/>
      <c r="T67" s="136"/>
      <c r="U67" s="146"/>
      <c r="V67" s="136"/>
      <c r="W67" s="136"/>
      <c r="X67" s="136"/>
    </row>
    <row r="68" spans="1:24" ht="15.75" customHeight="1" x14ac:dyDescent="0.3">
      <c r="A68" s="144"/>
      <c r="B68" s="136"/>
      <c r="C68" s="136"/>
      <c r="D68" s="136"/>
      <c r="E68" s="145"/>
      <c r="F68" s="136"/>
      <c r="G68" s="136"/>
      <c r="H68" s="136"/>
      <c r="I68" s="145"/>
      <c r="J68" s="136"/>
      <c r="K68" s="136"/>
      <c r="L68" s="136"/>
      <c r="M68" s="145"/>
      <c r="N68" s="136"/>
      <c r="O68" s="136"/>
      <c r="P68" s="136"/>
      <c r="Q68" s="146"/>
      <c r="R68" s="136"/>
      <c r="S68" s="136"/>
      <c r="T68" s="136"/>
      <c r="U68" s="146"/>
      <c r="V68" s="136"/>
      <c r="W68" s="136"/>
      <c r="X68" s="136"/>
    </row>
    <row r="69" spans="1:24" ht="15.75" customHeight="1" x14ac:dyDescent="0.3">
      <c r="A69" s="144"/>
      <c r="B69" s="136"/>
      <c r="C69" s="136"/>
      <c r="D69" s="136"/>
      <c r="E69" s="145"/>
      <c r="F69" s="136"/>
      <c r="G69" s="136"/>
      <c r="H69" s="136"/>
      <c r="I69" s="145"/>
      <c r="J69" s="136"/>
      <c r="K69" s="136"/>
      <c r="L69" s="136"/>
      <c r="M69" s="145"/>
      <c r="N69" s="136"/>
      <c r="O69" s="136"/>
      <c r="P69" s="136"/>
      <c r="Q69" s="146"/>
      <c r="R69" s="136"/>
      <c r="S69" s="136"/>
      <c r="T69" s="136"/>
      <c r="U69" s="146"/>
      <c r="V69" s="136"/>
      <c r="W69" s="136"/>
      <c r="X69" s="136"/>
    </row>
    <row r="70" spans="1:24" ht="15.75" customHeight="1" x14ac:dyDescent="0.3">
      <c r="A70" s="144"/>
      <c r="B70" s="136"/>
      <c r="C70" s="136"/>
      <c r="D70" s="136"/>
      <c r="E70" s="145"/>
      <c r="F70" s="136"/>
      <c r="G70" s="136"/>
      <c r="H70" s="136"/>
      <c r="I70" s="145"/>
      <c r="J70" s="136"/>
      <c r="K70" s="136"/>
      <c r="L70" s="136"/>
      <c r="M70" s="145"/>
      <c r="N70" s="136"/>
      <c r="O70" s="136"/>
      <c r="P70" s="136"/>
      <c r="Q70" s="146"/>
      <c r="R70" s="136"/>
      <c r="S70" s="136"/>
      <c r="T70" s="136"/>
      <c r="U70" s="146"/>
      <c r="V70" s="136"/>
      <c r="W70" s="136"/>
      <c r="X70" s="136"/>
    </row>
    <row r="71" spans="1:24" ht="15.75" customHeight="1" x14ac:dyDescent="0.3">
      <c r="A71" s="144"/>
      <c r="B71" s="136"/>
      <c r="C71" s="136"/>
      <c r="D71" s="136"/>
      <c r="E71" s="145"/>
      <c r="F71" s="136"/>
      <c r="G71" s="136"/>
      <c r="H71" s="136"/>
      <c r="I71" s="145"/>
      <c r="J71" s="136"/>
      <c r="K71" s="136"/>
      <c r="L71" s="136"/>
      <c r="M71" s="145"/>
      <c r="N71" s="136"/>
      <c r="O71" s="136"/>
      <c r="P71" s="136"/>
      <c r="Q71" s="146"/>
      <c r="R71" s="136"/>
      <c r="S71" s="136"/>
      <c r="T71" s="136"/>
      <c r="U71" s="146"/>
      <c r="V71" s="136"/>
      <c r="W71" s="136"/>
      <c r="X71" s="136"/>
    </row>
    <row r="72" spans="1:24" ht="15.75" customHeight="1" x14ac:dyDescent="0.3">
      <c r="A72" s="144"/>
      <c r="B72" s="136"/>
      <c r="C72" s="136"/>
      <c r="D72" s="136"/>
      <c r="E72" s="145"/>
      <c r="F72" s="136"/>
      <c r="G72" s="136"/>
      <c r="H72" s="136"/>
      <c r="I72" s="145"/>
      <c r="J72" s="136"/>
      <c r="K72" s="136"/>
      <c r="L72" s="136"/>
      <c r="M72" s="145"/>
      <c r="N72" s="136"/>
      <c r="O72" s="136"/>
      <c r="P72" s="136"/>
      <c r="Q72" s="146"/>
      <c r="R72" s="136"/>
      <c r="S72" s="136"/>
      <c r="T72" s="136"/>
      <c r="U72" s="146"/>
      <c r="V72" s="136"/>
      <c r="W72" s="136"/>
      <c r="X72" s="136"/>
    </row>
    <row r="73" spans="1:24" ht="15.75" customHeight="1" x14ac:dyDescent="0.3">
      <c r="A73" s="144"/>
      <c r="B73" s="136"/>
      <c r="C73" s="136"/>
      <c r="D73" s="136"/>
      <c r="E73" s="145"/>
      <c r="F73" s="136"/>
      <c r="G73" s="136"/>
      <c r="H73" s="136"/>
      <c r="I73" s="145"/>
      <c r="J73" s="136"/>
      <c r="K73" s="136"/>
      <c r="L73" s="136"/>
      <c r="M73" s="145"/>
      <c r="N73" s="136"/>
      <c r="O73" s="136"/>
      <c r="P73" s="136"/>
      <c r="Q73" s="146"/>
      <c r="R73" s="136"/>
      <c r="S73" s="136"/>
      <c r="T73" s="136"/>
      <c r="U73" s="146"/>
      <c r="V73" s="136"/>
      <c r="W73" s="136"/>
      <c r="X73" s="136"/>
    </row>
    <row r="74" spans="1:24" ht="15.75" customHeight="1" x14ac:dyDescent="0.3">
      <c r="A74" s="144"/>
      <c r="B74" s="136"/>
      <c r="C74" s="136"/>
      <c r="D74" s="136"/>
      <c r="E74" s="145"/>
      <c r="F74" s="136"/>
      <c r="G74" s="136"/>
      <c r="H74" s="136"/>
      <c r="I74" s="145"/>
      <c r="J74" s="136"/>
      <c r="K74" s="136"/>
      <c r="L74" s="136"/>
      <c r="M74" s="145"/>
      <c r="N74" s="136"/>
      <c r="O74" s="136"/>
      <c r="P74" s="136"/>
      <c r="Q74" s="146"/>
      <c r="R74" s="136"/>
      <c r="S74" s="136"/>
      <c r="T74" s="136"/>
      <c r="U74" s="146"/>
      <c r="V74" s="136"/>
      <c r="W74" s="136"/>
      <c r="X74" s="136"/>
    </row>
    <row r="75" spans="1:24" ht="15.75" customHeight="1" x14ac:dyDescent="0.3">
      <c r="A75" s="144"/>
      <c r="B75" s="136"/>
      <c r="C75" s="136"/>
      <c r="D75" s="136"/>
      <c r="E75" s="145"/>
      <c r="F75" s="136"/>
      <c r="G75" s="136"/>
      <c r="H75" s="136"/>
      <c r="I75" s="145"/>
      <c r="J75" s="136"/>
      <c r="K75" s="136"/>
      <c r="L75" s="136"/>
      <c r="M75" s="145"/>
      <c r="N75" s="136"/>
      <c r="O75" s="136"/>
      <c r="P75" s="136"/>
      <c r="Q75" s="146"/>
      <c r="R75" s="136"/>
      <c r="S75" s="136"/>
      <c r="T75" s="136"/>
      <c r="U75" s="146"/>
      <c r="V75" s="136"/>
      <c r="W75" s="136"/>
      <c r="X75" s="136"/>
    </row>
    <row r="76" spans="1:24" ht="15.75" customHeight="1" x14ac:dyDescent="0.3">
      <c r="A76" s="144"/>
      <c r="B76" s="136"/>
      <c r="C76" s="136"/>
      <c r="D76" s="136"/>
      <c r="E76" s="145"/>
      <c r="F76" s="136"/>
      <c r="G76" s="136"/>
      <c r="H76" s="136"/>
      <c r="I76" s="145"/>
      <c r="J76" s="136"/>
      <c r="K76" s="136"/>
      <c r="L76" s="136"/>
      <c r="M76" s="145"/>
      <c r="N76" s="136"/>
      <c r="O76" s="136"/>
      <c r="P76" s="136"/>
      <c r="Q76" s="146"/>
      <c r="R76" s="136"/>
      <c r="S76" s="136"/>
      <c r="T76" s="136"/>
      <c r="U76" s="146"/>
      <c r="V76" s="136"/>
      <c r="W76" s="136"/>
      <c r="X76" s="136"/>
    </row>
    <row r="77" spans="1:24" ht="15.75" customHeight="1" x14ac:dyDescent="0.3">
      <c r="A77" s="144"/>
      <c r="B77" s="136"/>
      <c r="C77" s="136"/>
      <c r="D77" s="136"/>
      <c r="E77" s="145"/>
      <c r="F77" s="136"/>
      <c r="G77" s="136"/>
      <c r="H77" s="136"/>
      <c r="I77" s="145"/>
      <c r="J77" s="136"/>
      <c r="K77" s="136"/>
      <c r="L77" s="136"/>
      <c r="M77" s="145"/>
      <c r="N77" s="136"/>
      <c r="O77" s="136"/>
      <c r="P77" s="136"/>
      <c r="Q77" s="146"/>
      <c r="R77" s="136"/>
      <c r="S77" s="136"/>
      <c r="T77" s="136"/>
      <c r="U77" s="146"/>
      <c r="V77" s="136"/>
      <c r="W77" s="136"/>
      <c r="X77" s="136"/>
    </row>
    <row r="78" spans="1:24" ht="15.75" customHeight="1" x14ac:dyDescent="0.3">
      <c r="A78" s="144"/>
      <c r="B78" s="136"/>
      <c r="C78" s="136"/>
      <c r="D78" s="136"/>
      <c r="E78" s="145"/>
      <c r="F78" s="136"/>
      <c r="G78" s="136"/>
      <c r="H78" s="136"/>
      <c r="I78" s="145"/>
      <c r="J78" s="136"/>
      <c r="K78" s="136"/>
      <c r="L78" s="136"/>
      <c r="M78" s="145"/>
      <c r="N78" s="136"/>
      <c r="O78" s="136"/>
      <c r="P78" s="136"/>
      <c r="Q78" s="146"/>
      <c r="R78" s="136"/>
      <c r="S78" s="136"/>
      <c r="T78" s="136"/>
      <c r="U78" s="146"/>
      <c r="V78" s="136"/>
      <c r="W78" s="136"/>
      <c r="X78" s="136"/>
    </row>
    <row r="79" spans="1:24" ht="15.75" customHeight="1" x14ac:dyDescent="0.3">
      <c r="A79" s="144"/>
      <c r="B79" s="136"/>
      <c r="C79" s="136"/>
      <c r="D79" s="136"/>
      <c r="E79" s="145"/>
      <c r="F79" s="136"/>
      <c r="G79" s="136"/>
      <c r="H79" s="136"/>
      <c r="I79" s="145"/>
      <c r="J79" s="136"/>
      <c r="K79" s="136"/>
      <c r="L79" s="136"/>
      <c r="M79" s="145"/>
      <c r="N79" s="136"/>
      <c r="O79" s="136"/>
      <c r="P79" s="136"/>
      <c r="Q79" s="146"/>
      <c r="R79" s="136"/>
      <c r="S79" s="136"/>
      <c r="T79" s="136"/>
      <c r="U79" s="146"/>
      <c r="V79" s="136"/>
      <c r="W79" s="136"/>
      <c r="X79" s="136"/>
    </row>
    <row r="80" spans="1:24" ht="15.75" customHeight="1" x14ac:dyDescent="0.3">
      <c r="A80" s="144"/>
      <c r="B80" s="136"/>
      <c r="C80" s="136"/>
      <c r="D80" s="136"/>
      <c r="E80" s="145"/>
      <c r="F80" s="136"/>
      <c r="G80" s="136"/>
      <c r="H80" s="136"/>
      <c r="I80" s="145"/>
      <c r="J80" s="136"/>
      <c r="K80" s="136"/>
      <c r="L80" s="136"/>
      <c r="M80" s="145"/>
      <c r="N80" s="136"/>
      <c r="O80" s="136"/>
      <c r="P80" s="136"/>
      <c r="Q80" s="146"/>
      <c r="R80" s="136"/>
      <c r="S80" s="136"/>
      <c r="T80" s="136"/>
      <c r="U80" s="146"/>
      <c r="V80" s="136"/>
      <c r="W80" s="136"/>
      <c r="X80" s="136"/>
    </row>
    <row r="81" spans="1:24" ht="15.75" customHeight="1" x14ac:dyDescent="0.3">
      <c r="A81" s="144"/>
      <c r="B81" s="136"/>
      <c r="C81" s="136"/>
      <c r="D81" s="136"/>
      <c r="E81" s="145"/>
      <c r="F81" s="136"/>
      <c r="G81" s="136"/>
      <c r="H81" s="136"/>
      <c r="I81" s="145"/>
      <c r="J81" s="136"/>
      <c r="K81" s="136"/>
      <c r="L81" s="136"/>
      <c r="M81" s="145"/>
      <c r="N81" s="136"/>
      <c r="O81" s="136"/>
      <c r="P81" s="136"/>
      <c r="Q81" s="146"/>
      <c r="R81" s="136"/>
      <c r="S81" s="136"/>
      <c r="T81" s="136"/>
      <c r="U81" s="146"/>
      <c r="V81" s="136"/>
      <c r="W81" s="136"/>
      <c r="X81" s="136"/>
    </row>
    <row r="82" spans="1:24" ht="15.75" customHeight="1" x14ac:dyDescent="0.3">
      <c r="A82" s="144"/>
      <c r="B82" s="136"/>
      <c r="C82" s="136"/>
      <c r="D82" s="136"/>
      <c r="E82" s="145"/>
      <c r="F82" s="136"/>
      <c r="G82" s="136"/>
      <c r="H82" s="136"/>
      <c r="I82" s="145"/>
      <c r="J82" s="136"/>
      <c r="K82" s="136"/>
      <c r="L82" s="136"/>
      <c r="M82" s="145"/>
      <c r="N82" s="136"/>
      <c r="O82" s="136"/>
      <c r="P82" s="136"/>
      <c r="Q82" s="146"/>
      <c r="R82" s="136"/>
      <c r="S82" s="136"/>
      <c r="T82" s="136"/>
      <c r="U82" s="146"/>
      <c r="V82" s="136"/>
      <c r="W82" s="136"/>
      <c r="X82" s="136"/>
    </row>
    <row r="83" spans="1:24" ht="15.75" customHeight="1" x14ac:dyDescent="0.3">
      <c r="A83" s="144"/>
      <c r="B83" s="136"/>
      <c r="C83" s="136"/>
      <c r="D83" s="136"/>
      <c r="E83" s="145"/>
      <c r="F83" s="136"/>
      <c r="G83" s="136"/>
      <c r="H83" s="136"/>
      <c r="I83" s="145"/>
      <c r="J83" s="136"/>
      <c r="K83" s="136"/>
      <c r="L83" s="136"/>
      <c r="M83" s="145"/>
      <c r="N83" s="136"/>
      <c r="O83" s="136"/>
      <c r="P83" s="136"/>
      <c r="Q83" s="146"/>
      <c r="R83" s="136"/>
      <c r="S83" s="136"/>
      <c r="T83" s="136"/>
      <c r="U83" s="146"/>
      <c r="V83" s="136"/>
      <c r="W83" s="136"/>
      <c r="X83" s="136"/>
    </row>
    <row r="84" spans="1:24" ht="15.75" customHeight="1" x14ac:dyDescent="0.3">
      <c r="A84" s="144"/>
      <c r="B84" s="136"/>
      <c r="C84" s="136"/>
      <c r="D84" s="136"/>
      <c r="E84" s="145"/>
      <c r="F84" s="136"/>
      <c r="G84" s="136"/>
      <c r="H84" s="136"/>
      <c r="I84" s="145"/>
      <c r="J84" s="136"/>
      <c r="K84" s="136"/>
      <c r="L84" s="136"/>
      <c r="M84" s="145"/>
      <c r="N84" s="136"/>
      <c r="O84" s="136"/>
      <c r="P84" s="136"/>
      <c r="Q84" s="146"/>
      <c r="R84" s="136"/>
      <c r="S84" s="136"/>
      <c r="T84" s="136"/>
      <c r="U84" s="146"/>
      <c r="V84" s="136"/>
      <c r="W84" s="136"/>
      <c r="X84" s="136"/>
    </row>
    <row r="85" spans="1:24" ht="15.75" customHeight="1" x14ac:dyDescent="0.3">
      <c r="A85" s="144"/>
      <c r="B85" s="136"/>
      <c r="C85" s="136"/>
      <c r="D85" s="136"/>
      <c r="E85" s="145"/>
      <c r="F85" s="136"/>
      <c r="G85" s="136"/>
      <c r="H85" s="136"/>
      <c r="I85" s="145"/>
      <c r="J85" s="136"/>
      <c r="K85" s="136"/>
      <c r="L85" s="136"/>
      <c r="M85" s="145"/>
      <c r="N85" s="136"/>
      <c r="O85" s="136"/>
      <c r="P85" s="136"/>
      <c r="Q85" s="146"/>
      <c r="R85" s="136"/>
      <c r="S85" s="136"/>
      <c r="T85" s="136"/>
      <c r="U85" s="146"/>
      <c r="V85" s="136"/>
      <c r="W85" s="136"/>
      <c r="X85" s="136"/>
    </row>
    <row r="86" spans="1:24" ht="15.75" customHeight="1" x14ac:dyDescent="0.3">
      <c r="A86" s="144"/>
      <c r="B86" s="136"/>
      <c r="C86" s="136"/>
      <c r="D86" s="136"/>
      <c r="E86" s="145"/>
      <c r="F86" s="136"/>
      <c r="G86" s="136"/>
      <c r="H86" s="136"/>
      <c r="I86" s="145"/>
      <c r="J86" s="136"/>
      <c r="K86" s="136"/>
      <c r="L86" s="136"/>
      <c r="M86" s="145"/>
      <c r="N86" s="136"/>
      <c r="O86" s="136"/>
      <c r="P86" s="136"/>
      <c r="Q86" s="146"/>
      <c r="R86" s="136"/>
      <c r="S86" s="136"/>
      <c r="T86" s="136"/>
      <c r="U86" s="146"/>
      <c r="V86" s="136"/>
      <c r="W86" s="136"/>
      <c r="X86" s="136"/>
    </row>
    <row r="87" spans="1:24" ht="15.75" customHeight="1" x14ac:dyDescent="0.3">
      <c r="A87" s="144"/>
      <c r="B87" s="136"/>
      <c r="C87" s="136"/>
      <c r="D87" s="136"/>
      <c r="E87" s="145"/>
      <c r="F87" s="136"/>
      <c r="G87" s="136"/>
      <c r="H87" s="136"/>
      <c r="I87" s="145"/>
      <c r="J87" s="136"/>
      <c r="K87" s="136"/>
      <c r="L87" s="136"/>
      <c r="M87" s="145"/>
      <c r="N87" s="136"/>
      <c r="O87" s="136"/>
      <c r="P87" s="136"/>
      <c r="Q87" s="146"/>
      <c r="R87" s="136"/>
      <c r="S87" s="136"/>
      <c r="T87" s="136"/>
      <c r="U87" s="146"/>
      <c r="V87" s="136"/>
      <c r="W87" s="136"/>
      <c r="X87" s="136"/>
    </row>
    <row r="88" spans="1:24" ht="15.75" customHeight="1" x14ac:dyDescent="0.3">
      <c r="A88" s="144"/>
      <c r="B88" s="136"/>
      <c r="C88" s="136"/>
      <c r="D88" s="136"/>
      <c r="E88" s="145"/>
      <c r="F88" s="136"/>
      <c r="G88" s="136"/>
      <c r="H88" s="136"/>
      <c r="I88" s="145"/>
      <c r="J88" s="136"/>
      <c r="K88" s="136"/>
      <c r="L88" s="136"/>
      <c r="M88" s="145"/>
      <c r="N88" s="136"/>
      <c r="O88" s="136"/>
      <c r="P88" s="136"/>
      <c r="Q88" s="146"/>
      <c r="R88" s="136"/>
      <c r="S88" s="136"/>
      <c r="T88" s="136"/>
      <c r="U88" s="146"/>
      <c r="V88" s="136"/>
      <c r="W88" s="136"/>
      <c r="X88" s="136"/>
    </row>
    <row r="89" spans="1:24" ht="15.75" customHeight="1" x14ac:dyDescent="0.3">
      <c r="A89" s="144"/>
      <c r="B89" s="136"/>
      <c r="C89" s="136"/>
      <c r="D89" s="136"/>
      <c r="E89" s="145"/>
      <c r="F89" s="136"/>
      <c r="G89" s="136"/>
      <c r="H89" s="136"/>
      <c r="I89" s="145"/>
      <c r="J89" s="136"/>
      <c r="K89" s="136"/>
      <c r="L89" s="136"/>
      <c r="M89" s="145"/>
      <c r="N89" s="136"/>
      <c r="O89" s="136"/>
      <c r="P89" s="136"/>
      <c r="Q89" s="146"/>
      <c r="R89" s="136"/>
      <c r="S89" s="136"/>
      <c r="T89" s="136"/>
      <c r="U89" s="146"/>
      <c r="V89" s="136"/>
      <c r="W89" s="136"/>
      <c r="X89" s="136"/>
    </row>
    <row r="90" spans="1:24" ht="15.75" customHeight="1" x14ac:dyDescent="0.3">
      <c r="A90" s="144"/>
      <c r="B90" s="136"/>
      <c r="C90" s="136"/>
      <c r="D90" s="136"/>
      <c r="E90" s="145"/>
      <c r="F90" s="136"/>
      <c r="G90" s="136"/>
      <c r="H90" s="136"/>
      <c r="I90" s="145"/>
      <c r="J90" s="136"/>
      <c r="K90" s="136"/>
      <c r="L90" s="136"/>
      <c r="M90" s="145"/>
      <c r="N90" s="136"/>
      <c r="O90" s="136"/>
      <c r="P90" s="136"/>
      <c r="Q90" s="146"/>
      <c r="R90" s="136"/>
      <c r="S90" s="136"/>
      <c r="T90" s="136"/>
      <c r="U90" s="146"/>
      <c r="V90" s="136"/>
      <c r="W90" s="136"/>
      <c r="X90" s="136"/>
    </row>
    <row r="91" spans="1:24" ht="15.75" customHeight="1" x14ac:dyDescent="0.3">
      <c r="A91" s="144"/>
      <c r="B91" s="136"/>
      <c r="C91" s="136"/>
      <c r="D91" s="136"/>
      <c r="E91" s="145"/>
      <c r="F91" s="136"/>
      <c r="G91" s="136"/>
      <c r="H91" s="136"/>
      <c r="I91" s="145"/>
      <c r="J91" s="136"/>
      <c r="K91" s="136"/>
      <c r="L91" s="136"/>
      <c r="M91" s="145"/>
      <c r="N91" s="136"/>
      <c r="O91" s="136"/>
      <c r="P91" s="136"/>
      <c r="Q91" s="146"/>
      <c r="R91" s="136"/>
      <c r="S91" s="136"/>
      <c r="T91" s="136"/>
      <c r="U91" s="146"/>
      <c r="V91" s="136"/>
      <c r="W91" s="136"/>
      <c r="X91" s="136"/>
    </row>
    <row r="92" spans="1:24" ht="15.75" customHeight="1" x14ac:dyDescent="0.3">
      <c r="A92" s="144"/>
      <c r="B92" s="136"/>
      <c r="C92" s="136"/>
      <c r="D92" s="136"/>
      <c r="E92" s="145"/>
      <c r="F92" s="136"/>
      <c r="G92" s="136"/>
      <c r="H92" s="136"/>
      <c r="I92" s="145"/>
      <c r="J92" s="136"/>
      <c r="K92" s="136"/>
      <c r="L92" s="136"/>
      <c r="M92" s="145"/>
      <c r="N92" s="136"/>
      <c r="O92" s="136"/>
      <c r="P92" s="136"/>
      <c r="Q92" s="146"/>
      <c r="R92" s="136"/>
      <c r="S92" s="136"/>
      <c r="T92" s="136"/>
      <c r="U92" s="146"/>
      <c r="V92" s="136"/>
      <c r="W92" s="136"/>
      <c r="X92" s="136"/>
    </row>
    <row r="93" spans="1:24" ht="15.75" customHeight="1" x14ac:dyDescent="0.3">
      <c r="A93" s="144"/>
      <c r="B93" s="136"/>
      <c r="C93" s="136"/>
      <c r="D93" s="136"/>
      <c r="E93" s="145"/>
      <c r="F93" s="136"/>
      <c r="G93" s="136"/>
      <c r="H93" s="136"/>
      <c r="I93" s="145"/>
      <c r="J93" s="136"/>
      <c r="K93" s="136"/>
      <c r="L93" s="136"/>
      <c r="M93" s="145"/>
      <c r="N93" s="136"/>
      <c r="O93" s="136"/>
      <c r="P93" s="136"/>
      <c r="Q93" s="146"/>
      <c r="R93" s="136"/>
      <c r="S93" s="136"/>
      <c r="T93" s="136"/>
      <c r="U93" s="146"/>
      <c r="V93" s="136"/>
      <c r="W93" s="136"/>
      <c r="X93" s="136"/>
    </row>
    <row r="94" spans="1:24" ht="15.75" customHeight="1" x14ac:dyDescent="0.3">
      <c r="A94" s="144"/>
      <c r="B94" s="136"/>
      <c r="C94" s="136"/>
      <c r="D94" s="136"/>
      <c r="E94" s="145"/>
      <c r="F94" s="136"/>
      <c r="G94" s="136"/>
      <c r="H94" s="136"/>
      <c r="I94" s="145"/>
      <c r="J94" s="136"/>
      <c r="K94" s="136"/>
      <c r="L94" s="136"/>
      <c r="M94" s="145"/>
      <c r="N94" s="136"/>
      <c r="O94" s="136"/>
      <c r="P94" s="136"/>
      <c r="Q94" s="146"/>
      <c r="R94" s="136"/>
      <c r="S94" s="136"/>
      <c r="T94" s="136"/>
      <c r="U94" s="146"/>
      <c r="V94" s="136"/>
      <c r="W94" s="136"/>
      <c r="X94" s="136"/>
    </row>
    <row r="95" spans="1:24" ht="15.75" customHeight="1" x14ac:dyDescent="0.3">
      <c r="A95" s="144"/>
      <c r="B95" s="136"/>
      <c r="C95" s="136"/>
      <c r="D95" s="136"/>
      <c r="E95" s="145"/>
      <c r="F95" s="136"/>
      <c r="G95" s="136"/>
      <c r="H95" s="136"/>
      <c r="I95" s="145"/>
      <c r="J95" s="136"/>
      <c r="K95" s="136"/>
      <c r="L95" s="136"/>
      <c r="M95" s="145"/>
      <c r="N95" s="136"/>
      <c r="O95" s="136"/>
      <c r="P95" s="136"/>
      <c r="Q95" s="146"/>
      <c r="R95" s="136"/>
      <c r="S95" s="136"/>
      <c r="T95" s="136"/>
      <c r="U95" s="146"/>
      <c r="V95" s="136"/>
      <c r="W95" s="136"/>
      <c r="X95" s="136"/>
    </row>
    <row r="96" spans="1:24" ht="15.75" customHeight="1" x14ac:dyDescent="0.3">
      <c r="A96" s="144"/>
      <c r="B96" s="136"/>
      <c r="C96" s="136"/>
      <c r="D96" s="136"/>
      <c r="E96" s="145"/>
      <c r="F96" s="136"/>
      <c r="G96" s="136"/>
      <c r="H96" s="136"/>
      <c r="I96" s="145"/>
      <c r="J96" s="136"/>
      <c r="K96" s="136"/>
      <c r="L96" s="136"/>
      <c r="M96" s="145"/>
      <c r="N96" s="136"/>
      <c r="O96" s="136"/>
      <c r="P96" s="136"/>
      <c r="Q96" s="146"/>
      <c r="R96" s="136"/>
      <c r="S96" s="136"/>
      <c r="T96" s="136"/>
      <c r="U96" s="146"/>
      <c r="V96" s="136"/>
      <c r="W96" s="136"/>
      <c r="X96" s="136"/>
    </row>
    <row r="97" spans="1:24" ht="15.75" customHeight="1" x14ac:dyDescent="0.3">
      <c r="A97" s="144"/>
      <c r="B97" s="136"/>
      <c r="C97" s="136"/>
      <c r="D97" s="136"/>
      <c r="E97" s="145"/>
      <c r="F97" s="136"/>
      <c r="G97" s="136"/>
      <c r="H97" s="136"/>
      <c r="I97" s="145"/>
      <c r="J97" s="136"/>
      <c r="K97" s="136"/>
      <c r="L97" s="136"/>
      <c r="M97" s="145"/>
      <c r="N97" s="136"/>
      <c r="O97" s="136"/>
      <c r="P97" s="136"/>
      <c r="Q97" s="146"/>
      <c r="R97" s="136"/>
      <c r="S97" s="136"/>
      <c r="T97" s="136"/>
      <c r="U97" s="146"/>
      <c r="V97" s="136"/>
      <c r="W97" s="136"/>
      <c r="X97" s="136"/>
    </row>
    <row r="98" spans="1:24" ht="15.75" customHeight="1" x14ac:dyDescent="0.3">
      <c r="A98" s="144"/>
      <c r="B98" s="136"/>
      <c r="C98" s="136"/>
      <c r="D98" s="136"/>
      <c r="E98" s="145"/>
      <c r="F98" s="136"/>
      <c r="G98" s="136"/>
      <c r="H98" s="136"/>
      <c r="I98" s="145"/>
      <c r="J98" s="136"/>
      <c r="K98" s="136"/>
      <c r="L98" s="136"/>
      <c r="M98" s="145"/>
      <c r="N98" s="136"/>
      <c r="O98" s="136"/>
      <c r="P98" s="136"/>
      <c r="Q98" s="146"/>
      <c r="R98" s="136"/>
      <c r="S98" s="136"/>
      <c r="T98" s="136"/>
      <c r="U98" s="146"/>
      <c r="V98" s="136"/>
      <c r="W98" s="136"/>
      <c r="X98" s="136"/>
    </row>
    <row r="99" spans="1:24" ht="15.75" customHeight="1" x14ac:dyDescent="0.3">
      <c r="A99" s="144"/>
      <c r="B99" s="136"/>
      <c r="C99" s="136"/>
      <c r="D99" s="136"/>
      <c r="E99" s="145"/>
      <c r="F99" s="136"/>
      <c r="G99" s="136"/>
      <c r="H99" s="136"/>
      <c r="I99" s="145"/>
      <c r="J99" s="136"/>
      <c r="K99" s="136"/>
      <c r="L99" s="136"/>
      <c r="M99" s="145"/>
      <c r="N99" s="136"/>
      <c r="O99" s="136"/>
      <c r="P99" s="136"/>
      <c r="Q99" s="146"/>
      <c r="R99" s="136"/>
      <c r="S99" s="136"/>
      <c r="T99" s="136"/>
      <c r="U99" s="146"/>
      <c r="V99" s="136"/>
      <c r="W99" s="136"/>
      <c r="X99" s="136"/>
    </row>
    <row r="100" spans="1:24" ht="15.75" customHeight="1" x14ac:dyDescent="0.3">
      <c r="A100" s="144"/>
      <c r="B100" s="136"/>
      <c r="C100" s="136"/>
      <c r="D100" s="136"/>
      <c r="E100" s="145"/>
      <c r="F100" s="136"/>
      <c r="G100" s="136"/>
      <c r="H100" s="136"/>
      <c r="I100" s="145"/>
      <c r="J100" s="136"/>
      <c r="K100" s="136"/>
      <c r="L100" s="136"/>
      <c r="M100" s="145"/>
      <c r="N100" s="136"/>
      <c r="O100" s="136"/>
      <c r="P100" s="136"/>
      <c r="Q100" s="146"/>
      <c r="R100" s="136"/>
      <c r="S100" s="136"/>
      <c r="T100" s="136"/>
      <c r="U100" s="146"/>
      <c r="V100" s="136"/>
      <c r="W100" s="136"/>
      <c r="X100" s="136"/>
    </row>
    <row r="101" spans="1:24" ht="15.75" customHeight="1" x14ac:dyDescent="0.3">
      <c r="A101" s="144"/>
      <c r="B101" s="136"/>
      <c r="C101" s="136"/>
      <c r="D101" s="136"/>
      <c r="E101" s="145"/>
      <c r="F101" s="136"/>
      <c r="G101" s="136"/>
      <c r="H101" s="136"/>
      <c r="I101" s="145"/>
      <c r="J101" s="136"/>
      <c r="K101" s="136"/>
      <c r="L101" s="136"/>
      <c r="M101" s="145"/>
      <c r="N101" s="136"/>
      <c r="O101" s="136"/>
      <c r="P101" s="136"/>
      <c r="Q101" s="146"/>
      <c r="R101" s="136"/>
      <c r="S101" s="136"/>
      <c r="T101" s="136"/>
      <c r="U101" s="146"/>
      <c r="V101" s="136"/>
      <c r="W101" s="136"/>
      <c r="X101" s="136"/>
    </row>
    <row r="102" spans="1:24" ht="15.75" customHeight="1" x14ac:dyDescent="0.3">
      <c r="A102" s="144"/>
      <c r="B102" s="136"/>
      <c r="C102" s="136"/>
      <c r="D102" s="136"/>
      <c r="E102" s="145"/>
      <c r="F102" s="136"/>
      <c r="G102" s="136"/>
      <c r="H102" s="136"/>
      <c r="I102" s="145"/>
      <c r="J102" s="136"/>
      <c r="K102" s="136"/>
      <c r="L102" s="136"/>
      <c r="M102" s="145"/>
      <c r="N102" s="136"/>
      <c r="O102" s="136"/>
      <c r="P102" s="136"/>
      <c r="Q102" s="146"/>
      <c r="R102" s="136"/>
      <c r="S102" s="136"/>
      <c r="T102" s="136"/>
      <c r="U102" s="146"/>
      <c r="V102" s="136"/>
      <c r="W102" s="136"/>
      <c r="X102" s="136"/>
    </row>
    <row r="103" spans="1:24" ht="15.75" customHeight="1" x14ac:dyDescent="0.3">
      <c r="A103" s="144"/>
      <c r="B103" s="136"/>
      <c r="C103" s="136"/>
      <c r="D103" s="136"/>
      <c r="E103" s="145"/>
      <c r="F103" s="136"/>
      <c r="G103" s="136"/>
      <c r="H103" s="136"/>
      <c r="I103" s="145"/>
      <c r="J103" s="136"/>
      <c r="K103" s="136"/>
      <c r="L103" s="136"/>
      <c r="M103" s="145"/>
      <c r="N103" s="136"/>
      <c r="O103" s="136"/>
      <c r="P103" s="136"/>
      <c r="Q103" s="146"/>
      <c r="R103" s="136"/>
      <c r="S103" s="136"/>
      <c r="T103" s="136"/>
      <c r="U103" s="146"/>
      <c r="V103" s="136"/>
      <c r="W103" s="136"/>
      <c r="X103" s="136"/>
    </row>
    <row r="104" spans="1:24" ht="15.75" customHeight="1" x14ac:dyDescent="0.3">
      <c r="A104" s="144"/>
      <c r="B104" s="136"/>
      <c r="C104" s="136"/>
      <c r="D104" s="136"/>
      <c r="E104" s="145"/>
      <c r="F104" s="136"/>
      <c r="G104" s="136"/>
      <c r="H104" s="136"/>
      <c r="I104" s="145"/>
      <c r="J104" s="136"/>
      <c r="K104" s="136"/>
      <c r="L104" s="136"/>
      <c r="M104" s="145"/>
      <c r="N104" s="136"/>
      <c r="O104" s="136"/>
      <c r="P104" s="136"/>
      <c r="Q104" s="146"/>
      <c r="R104" s="136"/>
      <c r="S104" s="136"/>
      <c r="T104" s="136"/>
      <c r="U104" s="146"/>
      <c r="V104" s="136"/>
      <c r="W104" s="136"/>
      <c r="X104" s="136"/>
    </row>
    <row r="105" spans="1:24" ht="15.75" customHeight="1" x14ac:dyDescent="0.3">
      <c r="A105" s="144"/>
      <c r="B105" s="136"/>
      <c r="C105" s="136"/>
      <c r="D105" s="136"/>
      <c r="E105" s="145"/>
      <c r="F105" s="136"/>
      <c r="G105" s="136"/>
      <c r="H105" s="136"/>
      <c r="I105" s="145"/>
      <c r="J105" s="136"/>
      <c r="K105" s="136"/>
      <c r="L105" s="136"/>
      <c r="M105" s="145"/>
      <c r="N105" s="136"/>
      <c r="O105" s="136"/>
      <c r="P105" s="136"/>
      <c r="Q105" s="146"/>
      <c r="R105" s="136"/>
      <c r="S105" s="136"/>
      <c r="T105" s="136"/>
      <c r="U105" s="146"/>
      <c r="V105" s="136"/>
      <c r="W105" s="136"/>
      <c r="X105" s="136"/>
    </row>
    <row r="106" spans="1:24" ht="15.75" customHeight="1" x14ac:dyDescent="0.3">
      <c r="A106" s="144"/>
      <c r="B106" s="136"/>
      <c r="C106" s="136"/>
      <c r="D106" s="136"/>
      <c r="E106" s="145"/>
      <c r="F106" s="136"/>
      <c r="G106" s="136"/>
      <c r="H106" s="136"/>
      <c r="I106" s="145"/>
      <c r="J106" s="136"/>
      <c r="K106" s="136"/>
      <c r="L106" s="136"/>
      <c r="M106" s="145"/>
      <c r="N106" s="136"/>
      <c r="O106" s="136"/>
      <c r="P106" s="136"/>
      <c r="Q106" s="146"/>
      <c r="R106" s="136"/>
      <c r="S106" s="136"/>
      <c r="T106" s="136"/>
      <c r="U106" s="146"/>
      <c r="V106" s="136"/>
      <c r="W106" s="136"/>
      <c r="X106" s="136"/>
    </row>
    <row r="107" spans="1:24" ht="15.75" customHeight="1" x14ac:dyDescent="0.3">
      <c r="A107" s="144"/>
      <c r="B107" s="136"/>
      <c r="C107" s="136"/>
      <c r="D107" s="136"/>
      <c r="E107" s="145"/>
      <c r="F107" s="136"/>
      <c r="G107" s="136"/>
      <c r="H107" s="136"/>
      <c r="I107" s="145"/>
      <c r="J107" s="136"/>
      <c r="K107" s="136"/>
      <c r="L107" s="136"/>
      <c r="M107" s="145"/>
      <c r="N107" s="136"/>
      <c r="O107" s="136"/>
      <c r="P107" s="136"/>
      <c r="Q107" s="146"/>
      <c r="R107" s="136"/>
      <c r="S107" s="136"/>
      <c r="T107" s="136"/>
      <c r="U107" s="146"/>
      <c r="V107" s="136"/>
      <c r="W107" s="136"/>
      <c r="X107" s="136"/>
    </row>
    <row r="108" spans="1:24" ht="15.75" customHeight="1" x14ac:dyDescent="0.3">
      <c r="A108" s="144"/>
      <c r="B108" s="136"/>
      <c r="C108" s="136"/>
      <c r="D108" s="136"/>
      <c r="E108" s="145"/>
      <c r="F108" s="136"/>
      <c r="G108" s="136"/>
      <c r="H108" s="136"/>
      <c r="I108" s="145"/>
      <c r="J108" s="136"/>
      <c r="K108" s="136"/>
      <c r="L108" s="136"/>
      <c r="M108" s="145"/>
      <c r="N108" s="136"/>
      <c r="O108" s="136"/>
      <c r="P108" s="136"/>
      <c r="Q108" s="146"/>
      <c r="R108" s="136"/>
      <c r="S108" s="136"/>
      <c r="T108" s="136"/>
      <c r="U108" s="146"/>
      <c r="V108" s="136"/>
      <c r="W108" s="136"/>
      <c r="X108" s="136"/>
    </row>
    <row r="109" spans="1:24" ht="15.75" customHeight="1" x14ac:dyDescent="0.3">
      <c r="A109" s="144"/>
      <c r="B109" s="136"/>
      <c r="C109" s="136"/>
      <c r="D109" s="136"/>
      <c r="E109" s="145"/>
      <c r="F109" s="136"/>
      <c r="G109" s="136"/>
      <c r="H109" s="136"/>
      <c r="I109" s="145"/>
      <c r="J109" s="136"/>
      <c r="K109" s="136"/>
      <c r="L109" s="136"/>
      <c r="M109" s="145"/>
      <c r="N109" s="136"/>
      <c r="O109" s="136"/>
      <c r="P109" s="136"/>
      <c r="Q109" s="146"/>
      <c r="R109" s="136"/>
      <c r="S109" s="136"/>
      <c r="T109" s="136"/>
      <c r="U109" s="146"/>
      <c r="V109" s="136"/>
      <c r="W109" s="136"/>
      <c r="X109" s="136"/>
    </row>
    <row r="110" spans="1:24" ht="15.75" customHeight="1" x14ac:dyDescent="0.3">
      <c r="A110" s="144"/>
      <c r="B110" s="136"/>
      <c r="C110" s="136"/>
      <c r="D110" s="136"/>
      <c r="E110" s="145"/>
      <c r="F110" s="136"/>
      <c r="G110" s="136"/>
      <c r="H110" s="136"/>
      <c r="I110" s="145"/>
      <c r="J110" s="136"/>
      <c r="K110" s="136"/>
      <c r="L110" s="136"/>
      <c r="M110" s="145"/>
      <c r="N110" s="136"/>
      <c r="O110" s="136"/>
      <c r="P110" s="136"/>
      <c r="Q110" s="146"/>
      <c r="R110" s="136"/>
      <c r="S110" s="136"/>
      <c r="T110" s="136"/>
      <c r="U110" s="146"/>
      <c r="V110" s="136"/>
      <c r="W110" s="136"/>
      <c r="X110" s="136"/>
    </row>
    <row r="111" spans="1:24" ht="15.75" customHeight="1" x14ac:dyDescent="0.3">
      <c r="A111" s="144"/>
      <c r="B111" s="136"/>
      <c r="C111" s="136"/>
      <c r="D111" s="136"/>
      <c r="E111" s="145"/>
      <c r="F111" s="136"/>
      <c r="G111" s="136"/>
      <c r="H111" s="136"/>
      <c r="I111" s="145"/>
      <c r="J111" s="136"/>
      <c r="K111" s="136"/>
      <c r="L111" s="136"/>
      <c r="M111" s="145"/>
      <c r="N111" s="136"/>
      <c r="O111" s="136"/>
      <c r="P111" s="136"/>
      <c r="Q111" s="146"/>
      <c r="R111" s="136"/>
      <c r="S111" s="136"/>
      <c r="T111" s="136"/>
      <c r="U111" s="146"/>
      <c r="V111" s="136"/>
      <c r="W111" s="136"/>
      <c r="X111" s="136"/>
    </row>
    <row r="112" spans="1:24" ht="15.75" customHeight="1" x14ac:dyDescent="0.3">
      <c r="A112" s="144"/>
      <c r="B112" s="136"/>
      <c r="C112" s="136"/>
      <c r="D112" s="136"/>
      <c r="E112" s="145"/>
      <c r="F112" s="136"/>
      <c r="G112" s="136"/>
      <c r="H112" s="136"/>
      <c r="I112" s="145"/>
      <c r="J112" s="136"/>
      <c r="K112" s="136"/>
      <c r="L112" s="136"/>
      <c r="M112" s="145"/>
      <c r="N112" s="136"/>
      <c r="O112" s="136"/>
      <c r="P112" s="136"/>
      <c r="Q112" s="146"/>
      <c r="R112" s="136"/>
      <c r="S112" s="136"/>
      <c r="T112" s="136"/>
      <c r="U112" s="146"/>
      <c r="V112" s="136"/>
      <c r="W112" s="136"/>
      <c r="X112" s="136"/>
    </row>
    <row r="113" spans="1:24" ht="15.75" customHeight="1" x14ac:dyDescent="0.3">
      <c r="A113" s="144"/>
      <c r="B113" s="136"/>
      <c r="C113" s="136"/>
      <c r="D113" s="136"/>
      <c r="E113" s="145"/>
      <c r="F113" s="136"/>
      <c r="G113" s="136"/>
      <c r="H113" s="136"/>
      <c r="I113" s="145"/>
      <c r="J113" s="136"/>
      <c r="K113" s="136"/>
      <c r="L113" s="136"/>
      <c r="M113" s="145"/>
      <c r="N113" s="136"/>
      <c r="O113" s="136"/>
      <c r="P113" s="136"/>
      <c r="Q113" s="146"/>
      <c r="R113" s="136"/>
      <c r="S113" s="136"/>
      <c r="T113" s="136"/>
      <c r="U113" s="146"/>
      <c r="V113" s="136"/>
      <c r="W113" s="136"/>
      <c r="X113" s="136"/>
    </row>
    <row r="114" spans="1:24" ht="15.75" customHeight="1" x14ac:dyDescent="0.3">
      <c r="A114" s="144"/>
      <c r="B114" s="136"/>
      <c r="C114" s="136"/>
      <c r="D114" s="136"/>
      <c r="E114" s="145"/>
      <c r="F114" s="136"/>
      <c r="G114" s="136"/>
      <c r="H114" s="136"/>
      <c r="I114" s="145"/>
      <c r="J114" s="136"/>
      <c r="K114" s="136"/>
      <c r="L114" s="136"/>
      <c r="M114" s="145"/>
      <c r="N114" s="136"/>
      <c r="O114" s="136"/>
      <c r="P114" s="136"/>
      <c r="Q114" s="146"/>
      <c r="R114" s="136"/>
      <c r="S114" s="136"/>
      <c r="T114" s="136"/>
      <c r="U114" s="146"/>
      <c r="V114" s="136"/>
      <c r="W114" s="136"/>
      <c r="X114" s="136"/>
    </row>
    <row r="115" spans="1:24" ht="15.75" customHeight="1" x14ac:dyDescent="0.3">
      <c r="A115" s="144"/>
      <c r="B115" s="136"/>
      <c r="C115" s="136"/>
      <c r="D115" s="136"/>
      <c r="E115" s="145"/>
      <c r="F115" s="136"/>
      <c r="G115" s="136"/>
      <c r="H115" s="136"/>
      <c r="I115" s="145"/>
      <c r="J115" s="136"/>
      <c r="K115" s="136"/>
      <c r="L115" s="136"/>
      <c r="M115" s="145"/>
      <c r="N115" s="136"/>
      <c r="O115" s="136"/>
      <c r="P115" s="136"/>
      <c r="Q115" s="146"/>
      <c r="R115" s="136"/>
      <c r="S115" s="136"/>
      <c r="T115" s="136"/>
      <c r="U115" s="146"/>
      <c r="V115" s="136"/>
      <c r="W115" s="136"/>
      <c r="X115" s="136"/>
    </row>
    <row r="116" spans="1:24" ht="15.75" customHeight="1" x14ac:dyDescent="0.3">
      <c r="A116" s="144"/>
      <c r="B116" s="136"/>
      <c r="C116" s="136"/>
      <c r="D116" s="136"/>
      <c r="E116" s="145"/>
      <c r="F116" s="136"/>
      <c r="G116" s="136"/>
      <c r="H116" s="136"/>
      <c r="I116" s="145"/>
      <c r="J116" s="136"/>
      <c r="K116" s="136"/>
      <c r="L116" s="136"/>
      <c r="M116" s="145"/>
      <c r="N116" s="136"/>
      <c r="O116" s="136"/>
      <c r="P116" s="136"/>
      <c r="Q116" s="146"/>
      <c r="R116" s="136"/>
      <c r="S116" s="136"/>
      <c r="T116" s="136"/>
      <c r="U116" s="146"/>
      <c r="V116" s="136"/>
      <c r="W116" s="136"/>
      <c r="X116" s="136"/>
    </row>
    <row r="117" spans="1:24" ht="15.75" customHeight="1" x14ac:dyDescent="0.3">
      <c r="A117" s="144"/>
      <c r="B117" s="136"/>
      <c r="C117" s="136"/>
      <c r="D117" s="136"/>
      <c r="E117" s="145"/>
      <c r="F117" s="136"/>
      <c r="G117" s="136"/>
      <c r="H117" s="136"/>
      <c r="I117" s="145"/>
      <c r="J117" s="136"/>
      <c r="K117" s="136"/>
      <c r="L117" s="136"/>
      <c r="M117" s="145"/>
      <c r="N117" s="136"/>
      <c r="O117" s="136"/>
      <c r="P117" s="136"/>
      <c r="Q117" s="146"/>
      <c r="R117" s="136"/>
      <c r="S117" s="136"/>
      <c r="T117" s="136"/>
      <c r="U117" s="146"/>
      <c r="V117" s="136"/>
      <c r="W117" s="136"/>
      <c r="X117" s="136"/>
    </row>
    <row r="118" spans="1:24" ht="15.75" customHeight="1" x14ac:dyDescent="0.3">
      <c r="A118" s="144"/>
      <c r="B118" s="136"/>
      <c r="C118" s="136"/>
      <c r="D118" s="136"/>
      <c r="E118" s="145"/>
      <c r="F118" s="136"/>
      <c r="G118" s="136"/>
      <c r="H118" s="136"/>
      <c r="I118" s="145"/>
      <c r="J118" s="136"/>
      <c r="K118" s="136"/>
      <c r="L118" s="136"/>
      <c r="M118" s="145"/>
      <c r="N118" s="136"/>
      <c r="O118" s="136"/>
      <c r="P118" s="136"/>
      <c r="Q118" s="146"/>
      <c r="R118" s="136"/>
      <c r="S118" s="136"/>
      <c r="T118" s="136"/>
      <c r="U118" s="146"/>
      <c r="V118" s="136"/>
      <c r="W118" s="136"/>
      <c r="X118" s="136"/>
    </row>
    <row r="119" spans="1:24" ht="15.75" customHeight="1" x14ac:dyDescent="0.3">
      <c r="A119" s="144"/>
      <c r="B119" s="136"/>
      <c r="C119" s="136"/>
      <c r="D119" s="136"/>
      <c r="E119" s="145"/>
      <c r="F119" s="136"/>
      <c r="G119" s="136"/>
      <c r="H119" s="136"/>
      <c r="I119" s="145"/>
      <c r="J119" s="136"/>
      <c r="K119" s="136"/>
      <c r="L119" s="136"/>
      <c r="M119" s="145"/>
      <c r="N119" s="136"/>
      <c r="O119" s="136"/>
      <c r="P119" s="136"/>
      <c r="Q119" s="146"/>
      <c r="R119" s="136"/>
      <c r="S119" s="136"/>
      <c r="T119" s="136"/>
      <c r="U119" s="146"/>
      <c r="V119" s="136"/>
      <c r="W119" s="136"/>
      <c r="X119" s="136"/>
    </row>
    <row r="120" spans="1:24" ht="15.75" customHeight="1" x14ac:dyDescent="0.3">
      <c r="A120" s="144"/>
      <c r="B120" s="136"/>
      <c r="C120" s="136"/>
      <c r="D120" s="136"/>
      <c r="E120" s="145"/>
      <c r="F120" s="136"/>
      <c r="G120" s="136"/>
      <c r="H120" s="136"/>
      <c r="I120" s="145"/>
      <c r="J120" s="136"/>
      <c r="K120" s="136"/>
      <c r="L120" s="136"/>
      <c r="M120" s="145"/>
      <c r="N120" s="136"/>
      <c r="O120" s="136"/>
      <c r="P120" s="136"/>
      <c r="Q120" s="146"/>
      <c r="R120" s="136"/>
      <c r="S120" s="136"/>
      <c r="T120" s="136"/>
      <c r="U120" s="146"/>
      <c r="V120" s="136"/>
      <c r="W120" s="136"/>
      <c r="X120" s="136"/>
    </row>
    <row r="121" spans="1:24" ht="15.75" customHeight="1" x14ac:dyDescent="0.3">
      <c r="A121" s="144"/>
      <c r="B121" s="136"/>
      <c r="C121" s="136"/>
      <c r="D121" s="136"/>
      <c r="E121" s="145"/>
      <c r="F121" s="136"/>
      <c r="G121" s="136"/>
      <c r="H121" s="136"/>
      <c r="I121" s="145"/>
      <c r="J121" s="136"/>
      <c r="K121" s="136"/>
      <c r="L121" s="136"/>
      <c r="M121" s="145"/>
      <c r="N121" s="136"/>
      <c r="O121" s="136"/>
      <c r="P121" s="136"/>
      <c r="Q121" s="146"/>
      <c r="R121" s="136"/>
      <c r="S121" s="136"/>
      <c r="T121" s="136"/>
      <c r="U121" s="146"/>
      <c r="V121" s="136"/>
      <c r="W121" s="136"/>
      <c r="X121" s="136"/>
    </row>
    <row r="122" spans="1:24" ht="15.75" customHeight="1" x14ac:dyDescent="0.3">
      <c r="A122" s="144" t="str">
        <f>B122&amp;" / "&amp;C122&amp;" / "&amp;E122</f>
        <v xml:space="preserve"> /  / </v>
      </c>
      <c r="B122" s="136"/>
      <c r="C122" s="136"/>
      <c r="D122" s="136"/>
      <c r="E122" s="145"/>
      <c r="F122" s="136"/>
      <c r="G122" s="136"/>
      <c r="H122" s="136"/>
      <c r="I122" s="145"/>
      <c r="J122" s="136"/>
      <c r="K122" s="136"/>
      <c r="L122" s="136"/>
      <c r="M122" s="145"/>
      <c r="N122" s="136"/>
      <c r="O122" s="136"/>
      <c r="P122" s="136"/>
      <c r="Q122" s="146"/>
      <c r="R122" s="136"/>
      <c r="S122" s="136"/>
      <c r="T122" s="136"/>
      <c r="U122" s="146"/>
      <c r="V122" s="136"/>
      <c r="W122" s="136"/>
      <c r="X122" s="136"/>
    </row>
    <row r="123" spans="1:24" ht="15.75" customHeight="1" x14ac:dyDescent="0.3">
      <c r="A123" s="144" t="str">
        <f>B123&amp;" / "&amp;C123&amp;" / "&amp;E123</f>
        <v xml:space="preserve"> /  / </v>
      </c>
      <c r="B123" s="136"/>
      <c r="C123" s="136"/>
      <c r="D123" s="136"/>
      <c r="E123" s="145"/>
      <c r="F123" s="136"/>
      <c r="G123" s="136"/>
      <c r="H123" s="136"/>
      <c r="I123" s="145"/>
      <c r="J123" s="136"/>
      <c r="K123" s="136"/>
      <c r="L123" s="136"/>
      <c r="M123" s="145"/>
      <c r="N123" s="136"/>
      <c r="O123" s="136"/>
      <c r="P123" s="136"/>
      <c r="Q123" s="146"/>
      <c r="R123" s="136"/>
      <c r="S123" s="136"/>
      <c r="T123" s="136"/>
      <c r="U123" s="146"/>
      <c r="V123" s="136"/>
      <c r="W123" s="136"/>
      <c r="X123" s="136"/>
    </row>
    <row r="124" spans="1:24" ht="15.75" customHeight="1" x14ac:dyDescent="0.3">
      <c r="A124" s="144"/>
      <c r="B124" s="136"/>
      <c r="C124" s="136"/>
      <c r="D124" s="136"/>
      <c r="E124" s="145"/>
      <c r="F124" s="136"/>
      <c r="G124" s="136"/>
      <c r="H124" s="136"/>
      <c r="I124" s="145"/>
      <c r="J124" s="136"/>
      <c r="K124" s="136"/>
      <c r="L124" s="136"/>
      <c r="M124" s="145"/>
      <c r="N124" s="136"/>
      <c r="O124" s="136"/>
      <c r="P124" s="136"/>
      <c r="Q124" s="146"/>
      <c r="R124" s="136"/>
      <c r="S124" s="136"/>
      <c r="T124" s="136"/>
      <c r="U124" s="146"/>
      <c r="V124" s="136"/>
      <c r="W124" s="136"/>
      <c r="X124" s="136"/>
    </row>
    <row r="125" spans="1:24" ht="15.75" customHeight="1" x14ac:dyDescent="0.3">
      <c r="A125" s="144"/>
      <c r="B125" s="136"/>
      <c r="C125" s="136"/>
      <c r="D125" s="136"/>
      <c r="E125" s="145"/>
      <c r="F125" s="136"/>
      <c r="G125" s="136"/>
      <c r="H125" s="136"/>
      <c r="I125" s="145"/>
      <c r="J125" s="136"/>
      <c r="K125" s="136"/>
      <c r="L125" s="136"/>
      <c r="M125" s="145"/>
      <c r="N125" s="136"/>
      <c r="O125" s="136"/>
      <c r="P125" s="136"/>
      <c r="Q125" s="146"/>
      <c r="R125" s="136"/>
      <c r="S125" s="136"/>
      <c r="T125" s="136"/>
      <c r="U125" s="146"/>
      <c r="V125" s="136"/>
      <c r="W125" s="136"/>
      <c r="X125" s="136"/>
    </row>
    <row r="126" spans="1:24" ht="15.75" customHeight="1" x14ac:dyDescent="0.3">
      <c r="A126" s="144"/>
      <c r="B126" s="136"/>
      <c r="C126" s="136"/>
      <c r="D126" s="136"/>
      <c r="E126" s="145"/>
      <c r="F126" s="136"/>
      <c r="G126" s="136"/>
      <c r="H126" s="136"/>
      <c r="I126" s="145"/>
      <c r="J126" s="136"/>
      <c r="K126" s="136"/>
      <c r="L126" s="136"/>
      <c r="M126" s="145"/>
      <c r="N126" s="136"/>
      <c r="O126" s="136"/>
      <c r="P126" s="136"/>
      <c r="Q126" s="146"/>
      <c r="R126" s="136"/>
      <c r="S126" s="136"/>
      <c r="T126" s="136"/>
      <c r="U126" s="146"/>
      <c r="V126" s="136"/>
      <c r="W126" s="136"/>
      <c r="X126" s="136"/>
    </row>
    <row r="127" spans="1:24" ht="15.75" customHeight="1" x14ac:dyDescent="0.3">
      <c r="A127" s="144"/>
      <c r="B127" s="136"/>
      <c r="C127" s="136"/>
      <c r="D127" s="136"/>
      <c r="E127" s="145"/>
      <c r="F127" s="136"/>
      <c r="G127" s="136"/>
      <c r="H127" s="136"/>
      <c r="I127" s="145"/>
      <c r="J127" s="136"/>
      <c r="K127" s="136"/>
      <c r="L127" s="136"/>
      <c r="M127" s="145"/>
      <c r="N127" s="136"/>
      <c r="O127" s="136"/>
      <c r="P127" s="136"/>
      <c r="Q127" s="146"/>
      <c r="R127" s="136"/>
      <c r="S127" s="136"/>
      <c r="T127" s="136"/>
      <c r="U127" s="146"/>
      <c r="V127" s="136"/>
      <c r="W127" s="136"/>
      <c r="X127" s="136"/>
    </row>
    <row r="128" spans="1:24" ht="15.75" customHeight="1" x14ac:dyDescent="0.3">
      <c r="A128" s="144" t="str">
        <f>B128&amp;" / "&amp;C128&amp;" / "&amp;E128</f>
        <v xml:space="preserve"> /  / </v>
      </c>
      <c r="B128" s="136"/>
      <c r="C128" s="136"/>
      <c r="D128" s="136"/>
      <c r="E128" s="145"/>
      <c r="F128" s="136"/>
      <c r="G128" s="136"/>
      <c r="H128" s="136"/>
      <c r="I128" s="145"/>
      <c r="J128" s="136"/>
      <c r="K128" s="136"/>
      <c r="L128" s="136"/>
      <c r="M128" s="145"/>
      <c r="N128" s="136"/>
      <c r="O128" s="136"/>
      <c r="P128" s="136"/>
      <c r="Q128" s="146"/>
      <c r="R128" s="136"/>
      <c r="S128" s="136"/>
      <c r="T128" s="136"/>
      <c r="U128" s="146"/>
      <c r="V128" s="136"/>
      <c r="W128" s="136"/>
      <c r="X128" s="136"/>
    </row>
    <row r="129" spans="1:35" ht="15.75" customHeight="1" x14ac:dyDescent="0.3">
      <c r="A129" s="144" t="str">
        <f>B129&amp;" / "&amp;C129&amp;" / "&amp;E129</f>
        <v xml:space="preserve"> /  / </v>
      </c>
      <c r="B129" s="136"/>
      <c r="C129" s="136"/>
      <c r="D129" s="136"/>
      <c r="E129" s="145"/>
      <c r="F129" s="136"/>
      <c r="G129" s="136"/>
      <c r="H129" s="136"/>
      <c r="I129" s="145"/>
      <c r="J129" s="136"/>
      <c r="K129" s="136"/>
      <c r="L129" s="136"/>
      <c r="M129" s="145"/>
      <c r="N129" s="136"/>
      <c r="O129" s="136"/>
      <c r="P129" s="136"/>
      <c r="Q129" s="146"/>
      <c r="R129" s="136"/>
      <c r="S129" s="136"/>
      <c r="T129" s="136"/>
      <c r="U129" s="146"/>
      <c r="V129" s="136"/>
      <c r="W129" s="136"/>
      <c r="X129" s="136"/>
    </row>
    <row r="130" spans="1:35" ht="15.75" customHeight="1" x14ac:dyDescent="0.3">
      <c r="A130" s="144"/>
      <c r="B130" s="136"/>
      <c r="C130" s="136"/>
      <c r="D130" s="136"/>
      <c r="E130" s="145"/>
      <c r="F130" s="136"/>
      <c r="G130" s="136"/>
      <c r="H130" s="136"/>
      <c r="I130" s="145"/>
      <c r="J130" s="136"/>
      <c r="K130" s="136"/>
      <c r="L130" s="136"/>
      <c r="M130" s="145"/>
      <c r="N130" s="136"/>
      <c r="O130" s="136"/>
      <c r="P130" s="136"/>
      <c r="Q130" s="146"/>
      <c r="R130" s="136"/>
      <c r="S130" s="136"/>
      <c r="T130" s="136"/>
      <c r="U130" s="146"/>
      <c r="V130" s="136"/>
      <c r="W130" s="136"/>
      <c r="X130" s="136"/>
    </row>
    <row r="131" spans="1:35" ht="15.75" customHeight="1" x14ac:dyDescent="0.3">
      <c r="A131" s="144"/>
      <c r="B131" s="136"/>
      <c r="C131" s="136"/>
      <c r="D131" s="136"/>
      <c r="E131" s="145"/>
      <c r="F131" s="136"/>
      <c r="G131" s="136"/>
      <c r="H131" s="136"/>
      <c r="I131" s="145"/>
      <c r="J131" s="136"/>
      <c r="K131" s="136"/>
      <c r="L131" s="136"/>
      <c r="M131" s="145"/>
      <c r="N131" s="136"/>
      <c r="O131" s="136"/>
      <c r="P131" s="136"/>
      <c r="Q131" s="146"/>
      <c r="R131" s="136"/>
      <c r="S131" s="136"/>
      <c r="T131" s="136"/>
      <c r="U131" s="146"/>
      <c r="V131" s="136"/>
      <c r="W131" s="136"/>
      <c r="X131" s="136"/>
    </row>
    <row r="132" spans="1:35" ht="15.75" customHeight="1" x14ac:dyDescent="0.3">
      <c r="A132" s="144"/>
      <c r="B132" s="136"/>
      <c r="C132" s="136"/>
      <c r="D132" s="136"/>
      <c r="E132" s="145"/>
      <c r="F132" s="136"/>
      <c r="G132" s="136"/>
      <c r="H132" s="136"/>
      <c r="I132" s="145"/>
      <c r="J132" s="136"/>
      <c r="K132" s="136"/>
      <c r="L132" s="136"/>
      <c r="M132" s="145"/>
      <c r="N132" s="136"/>
      <c r="O132" s="136"/>
      <c r="P132" s="136"/>
      <c r="Q132" s="146"/>
      <c r="R132" s="136"/>
      <c r="S132" s="136"/>
      <c r="T132" s="136"/>
      <c r="U132" s="146"/>
      <c r="V132" s="136"/>
      <c r="W132" s="136"/>
      <c r="X132" s="136"/>
    </row>
    <row r="133" spans="1:35" ht="15.75" customHeight="1" x14ac:dyDescent="0.3">
      <c r="A133" s="144"/>
      <c r="B133" s="136"/>
      <c r="C133" s="136"/>
      <c r="D133" s="136"/>
      <c r="E133" s="145"/>
      <c r="F133" s="136"/>
      <c r="G133" s="136"/>
      <c r="H133" s="136"/>
      <c r="I133" s="145"/>
      <c r="J133" s="136"/>
      <c r="K133" s="136"/>
      <c r="L133" s="136"/>
      <c r="M133" s="145"/>
      <c r="N133" s="136"/>
      <c r="O133" s="136"/>
      <c r="P133" s="136"/>
      <c r="Q133" s="146"/>
      <c r="R133" s="136"/>
      <c r="S133" s="136"/>
      <c r="T133" s="136"/>
      <c r="U133" s="146"/>
      <c r="V133" s="136"/>
      <c r="W133" s="136"/>
      <c r="X133" s="136"/>
    </row>
    <row r="134" spans="1:35" ht="15.75" customHeight="1" x14ac:dyDescent="0.3">
      <c r="A134" s="144" t="str">
        <f>B134&amp;" / "&amp;C134&amp;" / "&amp;E134</f>
        <v xml:space="preserve"> /  / </v>
      </c>
      <c r="B134" s="136"/>
      <c r="C134" s="136"/>
      <c r="D134" s="136"/>
      <c r="E134" s="145"/>
      <c r="F134" s="136"/>
      <c r="G134" s="136"/>
      <c r="H134" s="136"/>
      <c r="I134" s="145"/>
      <c r="J134" s="136"/>
      <c r="K134" s="136"/>
      <c r="L134" s="136"/>
      <c r="M134" s="145"/>
      <c r="N134" s="136"/>
      <c r="O134" s="136"/>
      <c r="P134" s="136"/>
      <c r="Q134" s="146"/>
      <c r="R134" s="136"/>
      <c r="S134" s="136"/>
      <c r="T134" s="136"/>
      <c r="U134" s="146"/>
      <c r="V134" s="136"/>
      <c r="W134" s="136"/>
      <c r="X134" s="136"/>
    </row>
    <row r="135" spans="1:35" ht="15.75" customHeight="1" x14ac:dyDescent="0.3">
      <c r="A135" s="144"/>
      <c r="B135" s="136"/>
      <c r="C135" s="136"/>
      <c r="D135" s="136"/>
      <c r="E135" s="145"/>
      <c r="F135" s="136"/>
      <c r="G135" s="136"/>
      <c r="H135" s="136"/>
      <c r="I135" s="145"/>
      <c r="J135" s="136"/>
      <c r="K135" s="136"/>
      <c r="L135" s="136"/>
      <c r="M135" s="145"/>
      <c r="N135" s="136"/>
      <c r="O135" s="136"/>
      <c r="P135" s="136"/>
      <c r="Q135" s="146"/>
      <c r="R135" s="136"/>
      <c r="S135" s="136"/>
      <c r="T135" s="136"/>
      <c r="U135" s="146"/>
      <c r="V135" s="136"/>
      <c r="W135" s="136"/>
      <c r="X135" s="136"/>
    </row>
    <row r="136" spans="1:35" ht="15.75" customHeight="1" x14ac:dyDescent="0.3">
      <c r="A136" s="144" t="str">
        <f>B136&amp;" / "&amp;C136&amp;" / "&amp;E136</f>
        <v xml:space="preserve"> /  / </v>
      </c>
      <c r="B136" s="136"/>
      <c r="C136" s="136"/>
      <c r="D136" s="136"/>
      <c r="E136" s="145"/>
      <c r="F136" s="136"/>
      <c r="G136" s="136"/>
      <c r="H136" s="136"/>
      <c r="I136" s="145"/>
      <c r="J136" s="136"/>
      <c r="K136" s="136"/>
      <c r="L136" s="136"/>
      <c r="M136" s="145"/>
      <c r="N136" s="136"/>
      <c r="O136" s="136"/>
      <c r="P136" s="136"/>
      <c r="Q136" s="146"/>
      <c r="R136" s="136"/>
      <c r="S136" s="136"/>
      <c r="T136" s="136"/>
      <c r="U136" s="146"/>
      <c r="V136" s="136"/>
      <c r="W136" s="136"/>
      <c r="X136" s="136"/>
    </row>
    <row r="137" spans="1:35" ht="15.75" customHeight="1" x14ac:dyDescent="0.3">
      <c r="A137" s="144" t="str">
        <f>B137&amp;" / "&amp;C137&amp;" / "&amp;E137</f>
        <v xml:space="preserve"> /  / </v>
      </c>
      <c r="B137" s="136"/>
      <c r="C137" s="136"/>
      <c r="D137" s="136"/>
      <c r="E137" s="145"/>
      <c r="F137" s="136"/>
      <c r="G137" s="136"/>
      <c r="H137" s="136"/>
      <c r="I137" s="145"/>
      <c r="J137" s="136"/>
      <c r="K137" s="136"/>
      <c r="L137" s="136"/>
      <c r="M137" s="145"/>
      <c r="N137" s="136"/>
      <c r="O137" s="136"/>
      <c r="P137" s="136"/>
      <c r="Q137" s="146"/>
      <c r="R137" s="136"/>
      <c r="S137" s="136"/>
      <c r="T137" s="136"/>
      <c r="U137" s="146"/>
      <c r="V137" s="136"/>
      <c r="W137" s="136"/>
      <c r="X137" s="136"/>
    </row>
    <row r="138" spans="1:35" ht="15.75" customHeight="1" x14ac:dyDescent="0.3">
      <c r="A138" s="144"/>
      <c r="B138" s="136"/>
      <c r="C138" s="136"/>
      <c r="D138" s="136"/>
      <c r="E138" s="145" t="s">
        <v>922</v>
      </c>
      <c r="F138" s="136"/>
      <c r="G138" s="136"/>
      <c r="H138" s="136"/>
      <c r="I138" s="145"/>
      <c r="J138" s="136"/>
      <c r="K138" s="136"/>
      <c r="L138" s="136"/>
      <c r="M138" s="145">
        <f>K138*0.0111</f>
        <v>0</v>
      </c>
      <c r="N138" s="136" t="s">
        <v>923</v>
      </c>
      <c r="O138" s="136"/>
      <c r="P138" s="136"/>
      <c r="Q138" s="146"/>
      <c r="R138" s="136"/>
      <c r="S138" s="136"/>
      <c r="T138" s="136">
        <f>R138*0.0111</f>
        <v>0</v>
      </c>
      <c r="U138" s="146" t="s">
        <v>808</v>
      </c>
      <c r="V138" s="136"/>
      <c r="W138" s="136"/>
      <c r="X138" s="136" t="e">
        <f>P138*T138*U138</f>
        <v>#VALUE!</v>
      </c>
      <c r="AI138" s="137">
        <v>1.2699999999999999E-2</v>
      </c>
    </row>
    <row r="139" spans="1:35" ht="15.75" customHeight="1" x14ac:dyDescent="0.3">
      <c r="A139" s="144"/>
      <c r="B139" s="136"/>
      <c r="C139" s="136"/>
      <c r="D139" s="136"/>
      <c r="E139" s="145"/>
      <c r="F139" s="136"/>
      <c r="G139" s="136"/>
      <c r="H139" s="136"/>
      <c r="I139" s="145"/>
      <c r="J139" s="136"/>
      <c r="K139" s="136"/>
      <c r="L139" s="136"/>
      <c r="M139" s="145"/>
      <c r="N139" s="136"/>
      <c r="O139" s="136"/>
      <c r="P139" s="136"/>
      <c r="Q139" s="146"/>
      <c r="R139" s="136"/>
      <c r="S139" s="136"/>
      <c r="T139" s="136"/>
      <c r="U139" s="146"/>
      <c r="V139" s="136"/>
      <c r="W139" s="136"/>
      <c r="X139" s="136">
        <f>P139*T139*U139</f>
        <v>0</v>
      </c>
      <c r="AI139" s="137">
        <v>1.2699999999999999E-2</v>
      </c>
    </row>
    <row r="140" spans="1:35" ht="15.75" customHeight="1" x14ac:dyDescent="0.3">
      <c r="A140" s="144"/>
      <c r="B140" s="136"/>
      <c r="C140" s="136"/>
      <c r="D140" s="136"/>
      <c r="E140" s="145"/>
      <c r="F140" s="136"/>
      <c r="G140" s="136"/>
      <c r="H140" s="136"/>
      <c r="I140" s="145"/>
      <c r="J140" s="136"/>
      <c r="K140" s="136"/>
      <c r="L140" s="136"/>
      <c r="M140" s="145"/>
      <c r="N140" s="136"/>
      <c r="O140" s="136"/>
      <c r="P140" s="136"/>
      <c r="Q140" s="146"/>
      <c r="R140" s="136"/>
      <c r="S140" s="136"/>
      <c r="T140" s="136"/>
      <c r="U140" s="146"/>
      <c r="V140" s="136"/>
      <c r="W140" s="136"/>
      <c r="X140" s="136"/>
    </row>
    <row r="141" spans="1:35" ht="15.75" customHeight="1" x14ac:dyDescent="0.3">
      <c r="A141" s="144"/>
      <c r="B141" s="136"/>
      <c r="C141" s="136"/>
      <c r="D141" s="136"/>
      <c r="E141" s="145"/>
      <c r="F141" s="136"/>
      <c r="G141" s="136"/>
      <c r="H141" s="136"/>
      <c r="I141" s="145"/>
      <c r="J141" s="136"/>
      <c r="K141" s="136"/>
      <c r="L141" s="136"/>
      <c r="M141" s="145"/>
      <c r="N141" s="136"/>
      <c r="O141" s="136"/>
      <c r="P141" s="136"/>
      <c r="Q141" s="146"/>
      <c r="R141" s="136"/>
      <c r="S141" s="136"/>
      <c r="T141" s="136"/>
      <c r="U141" s="146"/>
      <c r="V141" s="136"/>
      <c r="W141" s="136"/>
      <c r="X141" s="136"/>
    </row>
    <row r="142" spans="1:35" ht="15.75" customHeight="1" x14ac:dyDescent="0.3">
      <c r="A142" s="144"/>
      <c r="B142" s="136"/>
      <c r="C142" s="136"/>
      <c r="D142" s="136"/>
      <c r="E142" s="145"/>
      <c r="F142" s="136"/>
      <c r="G142" s="136"/>
      <c r="H142" s="136"/>
      <c r="I142" s="145"/>
      <c r="J142" s="136"/>
      <c r="K142" s="136"/>
      <c r="L142" s="136"/>
      <c r="M142" s="145"/>
      <c r="N142" s="136"/>
      <c r="O142" s="136"/>
      <c r="P142" s="136"/>
      <c r="Q142" s="146"/>
      <c r="R142" s="136"/>
      <c r="S142" s="136"/>
      <c r="T142" s="136"/>
      <c r="U142" s="146"/>
      <c r="V142" s="136"/>
      <c r="W142" s="136"/>
      <c r="X142" s="136"/>
    </row>
    <row r="143" spans="1:35" ht="15.75" customHeight="1" x14ac:dyDescent="0.3">
      <c r="A143" s="144"/>
      <c r="B143" s="136"/>
      <c r="C143" s="136"/>
      <c r="D143" s="136"/>
      <c r="E143" s="145"/>
      <c r="F143" s="136"/>
      <c r="G143" s="136"/>
      <c r="H143" s="136"/>
      <c r="I143" s="145"/>
      <c r="J143" s="136"/>
      <c r="K143" s="136"/>
      <c r="L143" s="136"/>
      <c r="M143" s="145"/>
      <c r="N143" s="136"/>
      <c r="O143" s="136"/>
      <c r="P143" s="136"/>
      <c r="Q143" s="146"/>
      <c r="R143" s="136"/>
      <c r="S143" s="136"/>
      <c r="T143" s="136"/>
      <c r="U143" s="146"/>
      <c r="V143" s="136"/>
      <c r="W143" s="136"/>
      <c r="X143" s="136"/>
    </row>
    <row r="144" spans="1:35" ht="15.75" customHeight="1" x14ac:dyDescent="0.3">
      <c r="A144" s="144"/>
      <c r="B144" s="136"/>
      <c r="C144" s="136"/>
      <c r="D144" s="136"/>
      <c r="E144" s="145"/>
      <c r="F144" s="136"/>
      <c r="G144" s="136"/>
      <c r="H144" s="136"/>
      <c r="I144" s="145"/>
      <c r="J144" s="136"/>
      <c r="K144" s="136"/>
      <c r="L144" s="136"/>
      <c r="M144" s="145"/>
      <c r="N144" s="136"/>
      <c r="O144" s="136"/>
      <c r="P144" s="136"/>
      <c r="Q144" s="146"/>
      <c r="R144" s="136"/>
      <c r="S144" s="136"/>
      <c r="T144" s="136"/>
      <c r="U144" s="146"/>
      <c r="V144" s="136"/>
      <c r="W144" s="136"/>
      <c r="X144" s="136"/>
    </row>
    <row r="145" spans="1:24" ht="15.75" customHeight="1" x14ac:dyDescent="0.3">
      <c r="A145" s="144"/>
      <c r="B145" s="136"/>
      <c r="C145" s="136"/>
      <c r="D145" s="136"/>
      <c r="E145" s="145"/>
      <c r="F145" s="136"/>
      <c r="G145" s="136"/>
      <c r="H145" s="136"/>
      <c r="I145" s="145"/>
      <c r="J145" s="136"/>
      <c r="K145" s="136"/>
      <c r="L145" s="136"/>
      <c r="M145" s="145"/>
      <c r="N145" s="136"/>
      <c r="O145" s="136"/>
      <c r="P145" s="136"/>
      <c r="Q145" s="146"/>
      <c r="R145" s="136"/>
      <c r="S145" s="136"/>
      <c r="T145" s="136"/>
      <c r="U145" s="146"/>
      <c r="V145" s="136"/>
      <c r="W145" s="136"/>
      <c r="X145" s="136"/>
    </row>
    <row r="146" spans="1:24" ht="15.75" customHeight="1" x14ac:dyDescent="0.3">
      <c r="A146" s="144"/>
      <c r="B146" s="136"/>
      <c r="C146" s="136"/>
      <c r="D146" s="136"/>
      <c r="E146" s="145"/>
      <c r="F146" s="136"/>
      <c r="G146" s="136"/>
      <c r="H146" s="136"/>
      <c r="I146" s="145"/>
      <c r="J146" s="136"/>
      <c r="K146" s="136"/>
      <c r="L146" s="136"/>
      <c r="M146" s="145"/>
      <c r="N146" s="136"/>
      <c r="O146" s="136"/>
      <c r="P146" s="136"/>
      <c r="Q146" s="146"/>
      <c r="R146" s="136"/>
      <c r="S146" s="136"/>
      <c r="T146" s="136"/>
      <c r="U146" s="146"/>
      <c r="V146" s="136"/>
      <c r="W146" s="136"/>
      <c r="X146" s="136"/>
    </row>
    <row r="147" spans="1:24" ht="15.75" customHeight="1" x14ac:dyDescent="0.3">
      <c r="A147" s="144"/>
      <c r="B147" s="136"/>
      <c r="C147" s="136"/>
      <c r="D147" s="136"/>
      <c r="E147" s="145"/>
      <c r="F147" s="136"/>
      <c r="G147" s="136"/>
      <c r="H147" s="136"/>
      <c r="I147" s="145"/>
      <c r="J147" s="136"/>
      <c r="K147" s="136"/>
      <c r="L147" s="136"/>
      <c r="M147" s="145"/>
      <c r="N147" s="136"/>
      <c r="O147" s="136"/>
      <c r="P147" s="136"/>
      <c r="Q147" s="146"/>
      <c r="R147" s="136"/>
      <c r="S147" s="136"/>
      <c r="T147" s="136"/>
      <c r="U147" s="146"/>
      <c r="V147" s="136"/>
      <c r="W147" s="136"/>
      <c r="X147" s="136"/>
    </row>
    <row r="148" spans="1:24" ht="15.75" customHeight="1" x14ac:dyDescent="0.3">
      <c r="A148" s="144"/>
      <c r="B148" s="136"/>
      <c r="C148" s="136"/>
      <c r="D148" s="136"/>
      <c r="E148" s="145"/>
      <c r="F148" s="136"/>
      <c r="G148" s="136"/>
      <c r="H148" s="136"/>
      <c r="I148" s="145"/>
      <c r="J148" s="136"/>
      <c r="K148" s="136"/>
      <c r="L148" s="136"/>
      <c r="M148" s="145"/>
      <c r="N148" s="136"/>
      <c r="O148" s="136"/>
      <c r="P148" s="136"/>
      <c r="Q148" s="146"/>
      <c r="R148" s="136"/>
      <c r="S148" s="136"/>
      <c r="T148" s="136"/>
      <c r="U148" s="146"/>
      <c r="V148" s="136"/>
      <c r="W148" s="136"/>
      <c r="X148" s="136"/>
    </row>
    <row r="149" spans="1:24" ht="15.75" customHeight="1" x14ac:dyDescent="0.3">
      <c r="A149" s="144"/>
      <c r="B149" s="136"/>
      <c r="C149" s="136"/>
      <c r="D149" s="136"/>
      <c r="E149" s="145"/>
      <c r="F149" s="136"/>
      <c r="G149" s="136"/>
      <c r="H149" s="136"/>
      <c r="I149" s="145"/>
      <c r="J149" s="136"/>
      <c r="K149" s="136"/>
      <c r="L149" s="136"/>
      <c r="M149" s="145"/>
      <c r="N149" s="136"/>
      <c r="O149" s="136"/>
      <c r="P149" s="136"/>
      <c r="Q149" s="146"/>
      <c r="R149" s="136"/>
      <c r="S149" s="136"/>
      <c r="T149" s="136"/>
      <c r="U149" s="146"/>
      <c r="V149" s="136"/>
      <c r="W149" s="136"/>
      <c r="X149" s="136"/>
    </row>
    <row r="150" spans="1:24" ht="15.75" customHeight="1" x14ac:dyDescent="0.3">
      <c r="A150" s="144"/>
      <c r="B150" s="136"/>
      <c r="C150" s="136"/>
      <c r="D150" s="136"/>
      <c r="E150" s="145"/>
      <c r="F150" s="136"/>
      <c r="G150" s="136"/>
      <c r="H150" s="136"/>
      <c r="I150" s="145"/>
      <c r="J150" s="136"/>
      <c r="K150" s="136"/>
      <c r="L150" s="136"/>
      <c r="M150" s="145"/>
      <c r="N150" s="136"/>
      <c r="O150" s="136"/>
      <c r="P150" s="136"/>
      <c r="Q150" s="146"/>
      <c r="R150" s="136"/>
      <c r="S150" s="136"/>
      <c r="T150" s="136"/>
      <c r="U150" s="146"/>
      <c r="V150" s="136"/>
      <c r="W150" s="136"/>
      <c r="X150" s="136"/>
    </row>
    <row r="151" spans="1:24" ht="15.75" customHeight="1" x14ac:dyDescent="0.3">
      <c r="A151" s="144"/>
      <c r="B151" s="136"/>
      <c r="C151" s="136"/>
      <c r="D151" s="136"/>
      <c r="E151" s="145"/>
      <c r="F151" s="136"/>
      <c r="G151" s="136"/>
      <c r="H151" s="136"/>
      <c r="I151" s="145"/>
      <c r="J151" s="136"/>
      <c r="K151" s="136"/>
      <c r="L151" s="136"/>
      <c r="M151" s="145"/>
      <c r="N151" s="136"/>
      <c r="O151" s="136"/>
      <c r="P151" s="136"/>
      <c r="Q151" s="146"/>
      <c r="R151" s="136"/>
      <c r="S151" s="136"/>
      <c r="T151" s="136"/>
      <c r="U151" s="146"/>
      <c r="V151" s="136"/>
      <c r="W151" s="136"/>
      <c r="X151" s="136"/>
    </row>
    <row r="152" spans="1:24" ht="15.75" customHeight="1" x14ac:dyDescent="0.3">
      <c r="A152" s="144"/>
      <c r="B152" s="136"/>
      <c r="C152" s="136"/>
      <c r="D152" s="136"/>
      <c r="E152" s="145"/>
      <c r="F152" s="136"/>
      <c r="G152" s="136"/>
      <c r="H152" s="136"/>
      <c r="I152" s="145"/>
      <c r="J152" s="136"/>
      <c r="K152" s="136"/>
      <c r="L152" s="136"/>
      <c r="M152" s="145"/>
      <c r="N152" s="136"/>
      <c r="O152" s="136"/>
      <c r="P152" s="136"/>
      <c r="Q152" s="146"/>
      <c r="R152" s="136"/>
      <c r="S152" s="136"/>
      <c r="T152" s="136"/>
      <c r="U152" s="146"/>
      <c r="V152" s="136"/>
      <c r="W152" s="136"/>
      <c r="X152" s="136"/>
    </row>
    <row r="153" spans="1:24" ht="15.75" customHeight="1" x14ac:dyDescent="0.3">
      <c r="A153" s="144"/>
      <c r="B153" s="136"/>
      <c r="C153" s="136"/>
      <c r="D153" s="136"/>
      <c r="E153" s="145"/>
      <c r="F153" s="136"/>
      <c r="G153" s="136"/>
      <c r="H153" s="136"/>
      <c r="I153" s="145"/>
      <c r="J153" s="136"/>
      <c r="K153" s="136"/>
      <c r="L153" s="136"/>
      <c r="M153" s="145"/>
      <c r="N153" s="136"/>
      <c r="O153" s="136"/>
      <c r="P153" s="136"/>
      <c r="Q153" s="146"/>
      <c r="R153" s="136"/>
      <c r="S153" s="136"/>
      <c r="T153" s="136"/>
      <c r="U153" s="146"/>
      <c r="V153" s="136"/>
      <c r="W153" s="136"/>
      <c r="X153" s="136"/>
    </row>
    <row r="154" spans="1:24" ht="15.75" customHeight="1" x14ac:dyDescent="0.3">
      <c r="A154" s="144"/>
      <c r="B154" s="136"/>
      <c r="C154" s="136"/>
      <c r="D154" s="136"/>
      <c r="E154" s="145" t="s">
        <v>931</v>
      </c>
      <c r="F154" s="136"/>
      <c r="G154" s="136"/>
      <c r="H154" s="136"/>
      <c r="I154" s="145"/>
      <c r="J154" s="136"/>
      <c r="K154" s="136"/>
      <c r="L154" s="136"/>
      <c r="M154" s="145"/>
      <c r="N154" s="136"/>
      <c r="O154" s="136"/>
      <c r="P154" s="136"/>
      <c r="Q154" s="146"/>
      <c r="R154" s="136"/>
      <c r="S154" s="136"/>
      <c r="T154" s="136"/>
      <c r="U154" s="146"/>
      <c r="V154" s="136"/>
      <c r="W154" s="136"/>
      <c r="X154" s="136"/>
    </row>
    <row r="155" spans="1:24" ht="15.75" customHeight="1" x14ac:dyDescent="0.3">
      <c r="A155" s="144"/>
      <c r="B155" s="136"/>
      <c r="C155" s="136"/>
      <c r="D155" s="136"/>
      <c r="E155" s="145"/>
      <c r="F155" s="136"/>
      <c r="G155" s="136"/>
      <c r="H155" s="136"/>
      <c r="I155" s="145"/>
      <c r="J155" s="136"/>
      <c r="K155" s="136"/>
      <c r="L155" s="136"/>
      <c r="M155" s="145"/>
      <c r="N155" s="136"/>
      <c r="O155" s="136"/>
      <c r="P155" s="136"/>
      <c r="Q155" s="146"/>
      <c r="R155" s="136"/>
      <c r="S155" s="136"/>
      <c r="T155" s="136"/>
      <c r="U155" s="146"/>
      <c r="V155" s="136"/>
      <c r="W155" s="136"/>
      <c r="X155" s="136"/>
    </row>
    <row r="156" spans="1:24" ht="15.75" customHeight="1" x14ac:dyDescent="0.3">
      <c r="A156" s="144"/>
      <c r="B156" s="136"/>
      <c r="C156" s="136"/>
      <c r="D156" s="136"/>
      <c r="E156" s="145"/>
      <c r="F156" s="136"/>
      <c r="G156" s="136"/>
      <c r="H156" s="136"/>
      <c r="I156" s="145"/>
      <c r="J156" s="136"/>
      <c r="K156" s="136"/>
      <c r="L156" s="136"/>
      <c r="M156" s="145"/>
      <c r="N156" s="136"/>
      <c r="O156" s="136"/>
      <c r="P156" s="136"/>
      <c r="Q156" s="146"/>
      <c r="R156" s="136"/>
      <c r="S156" s="136"/>
      <c r="T156" s="136"/>
      <c r="U156" s="146"/>
      <c r="V156" s="136"/>
      <c r="W156" s="136"/>
      <c r="X156" s="136"/>
    </row>
    <row r="157" spans="1:24" ht="15.75" customHeight="1" x14ac:dyDescent="0.3">
      <c r="A157" s="144"/>
      <c r="B157" s="136"/>
      <c r="C157" s="136"/>
      <c r="D157" s="136"/>
      <c r="E157" s="145"/>
      <c r="F157" s="136"/>
      <c r="G157" s="136"/>
      <c r="H157" s="136"/>
      <c r="I157" s="145"/>
      <c r="J157" s="136"/>
      <c r="K157" s="136"/>
      <c r="L157" s="136"/>
      <c r="M157" s="145"/>
      <c r="N157" s="136"/>
      <c r="O157" s="136"/>
      <c r="P157" s="136"/>
      <c r="Q157" s="146"/>
      <c r="R157" s="136"/>
      <c r="S157" s="136"/>
      <c r="T157" s="136"/>
      <c r="U157" s="146"/>
      <c r="V157" s="136"/>
      <c r="W157" s="136"/>
      <c r="X157" s="136"/>
    </row>
    <row r="158" spans="1:24" ht="15.75" customHeight="1" x14ac:dyDescent="0.3">
      <c r="A158" s="144"/>
      <c r="B158" s="136"/>
      <c r="C158" s="136"/>
      <c r="D158" s="136"/>
      <c r="E158" s="145"/>
      <c r="F158" s="136"/>
      <c r="G158" s="136"/>
      <c r="H158" s="136"/>
      <c r="I158" s="145"/>
      <c r="J158" s="136"/>
      <c r="K158" s="136"/>
      <c r="L158" s="136"/>
      <c r="M158" s="145"/>
      <c r="N158" s="136"/>
      <c r="O158" s="136"/>
      <c r="P158" s="136"/>
      <c r="Q158" s="146"/>
      <c r="R158" s="136"/>
      <c r="S158" s="136"/>
      <c r="T158" s="136"/>
      <c r="U158" s="146"/>
      <c r="V158" s="136"/>
      <c r="W158" s="136"/>
      <c r="X158" s="136"/>
    </row>
    <row r="159" spans="1:24" ht="15.75" customHeight="1" x14ac:dyDescent="0.3">
      <c r="A159" s="144"/>
      <c r="B159" s="136"/>
      <c r="C159" s="136"/>
      <c r="D159" s="136"/>
      <c r="E159" s="145"/>
      <c r="F159" s="136"/>
      <c r="G159" s="136"/>
      <c r="H159" s="136"/>
      <c r="I159" s="145"/>
      <c r="J159" s="136"/>
      <c r="K159" s="136"/>
      <c r="L159" s="136"/>
      <c r="M159" s="145"/>
      <c r="N159" s="136"/>
      <c r="O159" s="136"/>
      <c r="P159" s="136"/>
      <c r="Q159" s="146"/>
      <c r="R159" s="136"/>
      <c r="S159" s="136"/>
      <c r="T159" s="136"/>
      <c r="U159" s="146"/>
      <c r="V159" s="136"/>
      <c r="W159" s="136"/>
      <c r="X159" s="136"/>
    </row>
    <row r="160" spans="1:24" ht="15.75" customHeight="1" x14ac:dyDescent="0.3">
      <c r="A160" s="144"/>
      <c r="B160" s="136"/>
      <c r="C160" s="136"/>
      <c r="D160" s="136"/>
      <c r="E160" s="145"/>
      <c r="F160" s="136"/>
      <c r="G160" s="136"/>
      <c r="H160" s="136"/>
      <c r="I160" s="145"/>
      <c r="J160" s="136"/>
      <c r="K160" s="136"/>
      <c r="L160" s="136"/>
      <c r="M160" s="145"/>
      <c r="N160" s="136"/>
      <c r="O160" s="136"/>
      <c r="P160" s="136"/>
      <c r="Q160" s="146"/>
      <c r="R160" s="136"/>
      <c r="S160" s="136"/>
      <c r="T160" s="136"/>
      <c r="U160" s="146"/>
      <c r="V160" s="136"/>
      <c r="W160" s="136"/>
      <c r="X160" s="136"/>
    </row>
    <row r="161" spans="1:24" ht="15.75" customHeight="1" x14ac:dyDescent="0.3">
      <c r="A161" s="144"/>
      <c r="B161" s="136"/>
      <c r="C161" s="136"/>
      <c r="D161" s="136"/>
      <c r="E161" s="145"/>
      <c r="F161" s="136"/>
      <c r="G161" s="136"/>
      <c r="H161" s="136"/>
      <c r="I161" s="145"/>
      <c r="J161" s="136"/>
      <c r="K161" s="136"/>
      <c r="L161" s="136"/>
      <c r="M161" s="145"/>
      <c r="N161" s="136"/>
      <c r="O161" s="136"/>
      <c r="P161" s="136"/>
      <c r="Q161" s="146"/>
      <c r="R161" s="136"/>
      <c r="S161" s="136"/>
      <c r="T161" s="136"/>
      <c r="U161" s="146"/>
      <c r="V161" s="136"/>
      <c r="W161" s="136"/>
      <c r="X161" s="136"/>
    </row>
    <row r="162" spans="1:24" ht="15.75" customHeight="1" x14ac:dyDescent="0.3">
      <c r="A162" s="144"/>
      <c r="B162" s="136"/>
      <c r="C162" s="136"/>
      <c r="D162" s="136"/>
      <c r="E162" s="145"/>
      <c r="F162" s="136"/>
      <c r="G162" s="136"/>
      <c r="H162" s="136"/>
      <c r="I162" s="145"/>
      <c r="J162" s="136"/>
      <c r="K162" s="136"/>
      <c r="L162" s="136"/>
      <c r="M162" s="145"/>
      <c r="N162" s="136"/>
      <c r="O162" s="136"/>
      <c r="P162" s="136"/>
      <c r="Q162" s="146"/>
      <c r="R162" s="136"/>
      <c r="S162" s="136"/>
      <c r="T162" s="136"/>
      <c r="U162" s="146"/>
      <c r="V162" s="136"/>
      <c r="W162" s="136"/>
      <c r="X162" s="136"/>
    </row>
    <row r="163" spans="1:24" ht="15.75" customHeight="1" x14ac:dyDescent="0.3">
      <c r="A163" s="144"/>
      <c r="B163" s="136"/>
      <c r="C163" s="136"/>
      <c r="D163" s="136"/>
      <c r="E163" s="145"/>
      <c r="F163" s="136"/>
      <c r="G163" s="136"/>
      <c r="H163" s="136"/>
      <c r="I163" s="145"/>
      <c r="J163" s="136"/>
      <c r="K163" s="136"/>
      <c r="L163" s="136"/>
      <c r="M163" s="145"/>
      <c r="N163" s="136"/>
      <c r="O163" s="136"/>
      <c r="P163" s="136"/>
      <c r="Q163" s="146"/>
      <c r="R163" s="136"/>
      <c r="S163" s="136"/>
      <c r="T163" s="136"/>
      <c r="U163" s="146"/>
      <c r="V163" s="136"/>
      <c r="W163" s="136"/>
      <c r="X163" s="136"/>
    </row>
    <row r="164" spans="1:24" ht="15.75" customHeight="1" x14ac:dyDescent="0.3">
      <c r="A164" s="144"/>
      <c r="B164" s="136"/>
      <c r="C164" s="136"/>
      <c r="D164" s="136"/>
      <c r="E164" s="145"/>
      <c r="F164" s="136"/>
      <c r="G164" s="136"/>
      <c r="H164" s="136"/>
      <c r="I164" s="145"/>
      <c r="J164" s="136"/>
      <c r="K164" s="136"/>
      <c r="L164" s="136"/>
      <c r="M164" s="145"/>
      <c r="N164" s="136"/>
      <c r="O164" s="136"/>
      <c r="P164" s="136"/>
      <c r="Q164" s="146"/>
      <c r="R164" s="136"/>
      <c r="S164" s="136"/>
      <c r="T164" s="136"/>
      <c r="U164" s="146"/>
      <c r="V164" s="136"/>
      <c r="W164" s="136"/>
      <c r="X164" s="136"/>
    </row>
    <row r="165" spans="1:24" ht="15.75" customHeight="1" x14ac:dyDescent="0.3">
      <c r="A165" s="144"/>
      <c r="B165" s="136"/>
      <c r="C165" s="136"/>
      <c r="D165" s="136"/>
      <c r="E165" s="145"/>
      <c r="F165" s="136"/>
      <c r="G165" s="136"/>
      <c r="H165" s="136"/>
      <c r="I165" s="145"/>
      <c r="J165" s="136"/>
      <c r="K165" s="136"/>
      <c r="L165" s="136"/>
      <c r="M165" s="145"/>
      <c r="N165" s="136"/>
      <c r="O165" s="136"/>
      <c r="P165" s="136"/>
      <c r="Q165" s="146"/>
      <c r="R165" s="136"/>
      <c r="S165" s="136"/>
      <c r="T165" s="136"/>
      <c r="U165" s="146"/>
      <c r="V165" s="136"/>
      <c r="W165" s="136"/>
      <c r="X165" s="136"/>
    </row>
    <row r="166" spans="1:24" ht="15.75" customHeight="1" x14ac:dyDescent="0.3">
      <c r="A166" s="144"/>
      <c r="B166" s="136"/>
      <c r="C166" s="136"/>
      <c r="D166" s="136"/>
      <c r="E166" s="145"/>
      <c r="F166" s="136"/>
      <c r="G166" s="136"/>
      <c r="H166" s="136"/>
      <c r="I166" s="145"/>
      <c r="J166" s="136"/>
      <c r="K166" s="136"/>
      <c r="L166" s="136"/>
      <c r="M166" s="145"/>
      <c r="N166" s="136"/>
      <c r="O166" s="136"/>
      <c r="P166" s="136"/>
      <c r="Q166" s="146"/>
      <c r="R166" s="136"/>
      <c r="S166" s="136"/>
      <c r="T166" s="136"/>
      <c r="U166" s="146"/>
      <c r="V166" s="136"/>
      <c r="W166" s="136"/>
      <c r="X166" s="136"/>
    </row>
    <row r="167" spans="1:24" ht="15.75" customHeight="1" x14ac:dyDescent="0.3">
      <c r="A167" s="144"/>
      <c r="B167" s="136"/>
      <c r="C167" s="136"/>
      <c r="D167" s="136"/>
      <c r="E167" s="145"/>
      <c r="F167" s="136"/>
      <c r="G167" s="136"/>
      <c r="H167" s="136"/>
      <c r="I167" s="145"/>
      <c r="J167" s="136"/>
      <c r="K167" s="136"/>
      <c r="L167" s="136"/>
      <c r="M167" s="145"/>
      <c r="N167" s="136"/>
      <c r="O167" s="136"/>
      <c r="P167" s="136"/>
      <c r="Q167" s="146"/>
      <c r="R167" s="136"/>
      <c r="S167" s="136"/>
      <c r="T167" s="136"/>
      <c r="U167" s="146"/>
      <c r="V167" s="136"/>
      <c r="W167" s="136"/>
      <c r="X167" s="136"/>
    </row>
    <row r="168" spans="1:24" ht="15.75" customHeight="1" x14ac:dyDescent="0.3">
      <c r="A168" s="144"/>
      <c r="B168" s="136"/>
      <c r="C168" s="136"/>
      <c r="D168" s="136"/>
      <c r="E168" s="145"/>
      <c r="F168" s="136"/>
      <c r="G168" s="136"/>
      <c r="H168" s="136"/>
      <c r="I168" s="145"/>
      <c r="J168" s="136"/>
      <c r="K168" s="136"/>
      <c r="L168" s="136"/>
      <c r="M168" s="145"/>
      <c r="N168" s="136"/>
      <c r="O168" s="136"/>
      <c r="P168" s="136"/>
      <c r="Q168" s="146"/>
      <c r="R168" s="136"/>
      <c r="S168" s="136"/>
      <c r="T168" s="136"/>
      <c r="U168" s="146"/>
      <c r="V168" s="136"/>
      <c r="W168" s="136"/>
      <c r="X168" s="136"/>
    </row>
    <row r="169" spans="1:24" ht="15.75" customHeight="1" x14ac:dyDescent="0.3">
      <c r="A169" s="144"/>
      <c r="B169" s="136"/>
      <c r="C169" s="136"/>
      <c r="D169" s="136"/>
      <c r="E169" s="145"/>
      <c r="F169" s="136"/>
      <c r="G169" s="136"/>
      <c r="H169" s="136"/>
      <c r="I169" s="145"/>
      <c r="J169" s="136"/>
      <c r="K169" s="136"/>
      <c r="L169" s="136"/>
      <c r="M169" s="145"/>
      <c r="N169" s="136"/>
      <c r="O169" s="136"/>
      <c r="P169" s="136"/>
      <c r="Q169" s="146"/>
      <c r="R169" s="136"/>
      <c r="S169" s="136"/>
      <c r="T169" s="136"/>
      <c r="U169" s="146"/>
      <c r="V169" s="136"/>
      <c r="W169" s="136"/>
      <c r="X169" s="136"/>
    </row>
    <row r="170" spans="1:24" ht="15.75" customHeight="1" x14ac:dyDescent="0.3">
      <c r="A170" s="144"/>
      <c r="B170" s="136"/>
      <c r="C170" s="136"/>
      <c r="D170" s="136"/>
      <c r="E170" s="145"/>
      <c r="F170" s="136"/>
      <c r="G170" s="136"/>
      <c r="H170" s="136"/>
      <c r="I170" s="145"/>
      <c r="J170" s="136"/>
      <c r="K170" s="136"/>
      <c r="L170" s="136"/>
      <c r="M170" s="145"/>
      <c r="N170" s="136"/>
      <c r="O170" s="136"/>
      <c r="P170" s="136"/>
      <c r="Q170" s="146"/>
      <c r="R170" s="136"/>
      <c r="S170" s="136"/>
      <c r="T170" s="136"/>
      <c r="U170" s="146"/>
      <c r="V170" s="136"/>
      <c r="W170" s="136"/>
      <c r="X170" s="136"/>
    </row>
    <row r="171" spans="1:24" ht="15.75" customHeight="1" x14ac:dyDescent="0.3">
      <c r="A171" s="144"/>
      <c r="B171" s="136"/>
      <c r="C171" s="136"/>
      <c r="D171" s="136"/>
      <c r="E171" s="145"/>
      <c r="F171" s="136"/>
      <c r="G171" s="136"/>
      <c r="H171" s="136"/>
      <c r="I171" s="145"/>
      <c r="J171" s="136"/>
      <c r="K171" s="136"/>
      <c r="L171" s="136"/>
      <c r="M171" s="145"/>
      <c r="N171" s="136"/>
      <c r="O171" s="136"/>
      <c r="P171" s="136"/>
      <c r="Q171" s="146"/>
      <c r="R171" s="136"/>
      <c r="S171" s="136"/>
      <c r="T171" s="136"/>
      <c r="U171" s="146"/>
      <c r="V171" s="136"/>
      <c r="W171" s="136"/>
      <c r="X171" s="136"/>
    </row>
    <row r="172" spans="1:24" ht="15.75" customHeight="1" x14ac:dyDescent="0.3">
      <c r="A172" s="144"/>
      <c r="B172" s="136"/>
      <c r="C172" s="136"/>
      <c r="D172" s="136"/>
      <c r="E172" s="145"/>
      <c r="F172" s="136"/>
      <c r="G172" s="136"/>
      <c r="H172" s="136"/>
      <c r="I172" s="145"/>
      <c r="J172" s="136"/>
      <c r="K172" s="136"/>
      <c r="L172" s="136"/>
      <c r="M172" s="145"/>
      <c r="N172" s="136"/>
      <c r="O172" s="136"/>
      <c r="P172" s="136"/>
      <c r="Q172" s="146"/>
      <c r="R172" s="136"/>
      <c r="S172" s="136"/>
      <c r="T172" s="136"/>
      <c r="U172" s="146"/>
      <c r="V172" s="136"/>
      <c r="W172" s="136"/>
      <c r="X172" s="136"/>
    </row>
    <row r="173" spans="1:24" ht="15.75" customHeight="1" x14ac:dyDescent="0.3">
      <c r="A173" s="144"/>
      <c r="B173" s="136"/>
      <c r="C173" s="136"/>
      <c r="D173" s="136"/>
      <c r="E173" s="145"/>
      <c r="F173" s="136"/>
      <c r="G173" s="136"/>
      <c r="H173" s="136"/>
      <c r="I173" s="145"/>
      <c r="J173" s="136"/>
      <c r="K173" s="136"/>
      <c r="L173" s="136"/>
      <c r="M173" s="145"/>
      <c r="N173" s="136"/>
      <c r="O173" s="136"/>
      <c r="P173" s="136"/>
      <c r="Q173" s="146"/>
      <c r="R173" s="136"/>
      <c r="S173" s="136"/>
      <c r="T173" s="136"/>
      <c r="U173" s="146"/>
      <c r="V173" s="136"/>
      <c r="W173" s="136"/>
      <c r="X173" s="136"/>
    </row>
    <row r="174" spans="1:24" ht="15.75" customHeight="1" x14ac:dyDescent="0.3">
      <c r="A174" s="144"/>
      <c r="B174" s="136"/>
      <c r="C174" s="136"/>
      <c r="D174" s="136"/>
      <c r="E174" s="145"/>
      <c r="F174" s="136"/>
      <c r="G174" s="136"/>
      <c r="H174" s="136"/>
      <c r="I174" s="145"/>
      <c r="J174" s="136"/>
      <c r="K174" s="136"/>
      <c r="L174" s="136"/>
      <c r="M174" s="145"/>
      <c r="N174" s="136"/>
      <c r="O174" s="136"/>
      <c r="P174" s="136"/>
      <c r="Q174" s="146"/>
      <c r="R174" s="136"/>
      <c r="S174" s="136"/>
      <c r="T174" s="136"/>
      <c r="U174" s="146"/>
      <c r="V174" s="136"/>
      <c r="W174" s="136"/>
      <c r="X174" s="136"/>
    </row>
    <row r="175" spans="1:24" ht="15.75" customHeight="1" x14ac:dyDescent="0.3">
      <c r="A175" s="144"/>
      <c r="B175" s="136"/>
      <c r="C175" s="136"/>
      <c r="D175" s="136"/>
      <c r="E175" s="145"/>
      <c r="F175" s="136"/>
      <c r="G175" s="136"/>
      <c r="H175" s="136"/>
      <c r="I175" s="145"/>
      <c r="J175" s="136"/>
      <c r="K175" s="136"/>
      <c r="L175" s="136"/>
      <c r="M175" s="145"/>
      <c r="N175" s="136"/>
      <c r="O175" s="136"/>
      <c r="P175" s="136"/>
      <c r="Q175" s="146"/>
      <c r="R175" s="136"/>
      <c r="S175" s="136"/>
      <c r="T175" s="136"/>
      <c r="U175" s="146"/>
      <c r="V175" s="136"/>
      <c r="W175" s="136"/>
      <c r="X175" s="136"/>
    </row>
    <row r="176" spans="1:24" ht="15.75" customHeight="1" x14ac:dyDescent="0.3">
      <c r="A176" s="144"/>
      <c r="B176" s="136"/>
      <c r="C176" s="136"/>
      <c r="D176" s="136"/>
      <c r="E176" s="145"/>
      <c r="F176" s="136"/>
      <c r="G176" s="136"/>
      <c r="H176" s="136"/>
      <c r="I176" s="145"/>
      <c r="J176" s="136"/>
      <c r="K176" s="136"/>
      <c r="L176" s="136"/>
      <c r="M176" s="145"/>
      <c r="N176" s="136"/>
      <c r="O176" s="136"/>
      <c r="P176" s="136"/>
      <c r="Q176" s="146"/>
      <c r="R176" s="136"/>
      <c r="S176" s="136"/>
      <c r="T176" s="136"/>
      <c r="U176" s="146"/>
      <c r="V176" s="136"/>
      <c r="W176" s="136"/>
      <c r="X176" s="136"/>
    </row>
    <row r="177" spans="1:24" ht="15.75" customHeight="1" x14ac:dyDescent="0.3">
      <c r="A177" s="144"/>
      <c r="B177" s="136"/>
      <c r="C177" s="136"/>
      <c r="D177" s="136"/>
      <c r="E177" s="145"/>
      <c r="F177" s="136"/>
      <c r="G177" s="136"/>
      <c r="H177" s="136"/>
      <c r="I177" s="145"/>
      <c r="J177" s="136"/>
      <c r="K177" s="136"/>
      <c r="L177" s="136"/>
      <c r="M177" s="145"/>
      <c r="N177" s="136"/>
      <c r="O177" s="136"/>
      <c r="P177" s="136"/>
      <c r="Q177" s="146"/>
      <c r="R177" s="136"/>
      <c r="S177" s="136"/>
      <c r="T177" s="136"/>
      <c r="U177" s="146"/>
      <c r="V177" s="136"/>
      <c r="W177" s="136"/>
      <c r="X177" s="136"/>
    </row>
    <row r="178" spans="1:24" ht="15.75" customHeight="1" x14ac:dyDescent="0.3">
      <c r="A178" s="144"/>
      <c r="B178" s="136"/>
      <c r="C178" s="136"/>
      <c r="D178" s="136"/>
      <c r="E178" s="145"/>
      <c r="F178" s="136"/>
      <c r="G178" s="136"/>
      <c r="H178" s="136"/>
      <c r="I178" s="145"/>
      <c r="J178" s="136"/>
      <c r="K178" s="136"/>
      <c r="L178" s="136"/>
      <c r="M178" s="145"/>
      <c r="N178" s="136"/>
      <c r="O178" s="136"/>
      <c r="P178" s="136"/>
      <c r="Q178" s="146"/>
      <c r="R178" s="136"/>
      <c r="S178" s="136"/>
      <c r="T178" s="136"/>
      <c r="U178" s="146"/>
      <c r="V178" s="136"/>
      <c r="W178" s="136"/>
      <c r="X178" s="136"/>
    </row>
    <row r="179" spans="1:24" ht="15.75" customHeight="1" x14ac:dyDescent="0.3">
      <c r="A179" s="144" t="str">
        <f>B179&amp;" / "&amp;D179&amp;" / "&amp;E179</f>
        <v xml:space="preserve"> /  / </v>
      </c>
      <c r="B179" s="136"/>
      <c r="C179" s="136"/>
      <c r="D179" s="136"/>
      <c r="E179" s="145"/>
      <c r="F179" s="136"/>
      <c r="G179" s="136"/>
      <c r="H179" s="136"/>
      <c r="I179" s="145"/>
      <c r="J179" s="136"/>
      <c r="K179" s="136"/>
      <c r="L179" s="136"/>
      <c r="M179" s="145"/>
      <c r="N179" s="136"/>
      <c r="O179" s="136"/>
      <c r="P179" s="136"/>
      <c r="Q179" s="146"/>
      <c r="R179" s="136"/>
      <c r="S179" s="136"/>
      <c r="T179" s="136"/>
      <c r="U179" s="146"/>
      <c r="V179" s="136"/>
      <c r="W179" s="136"/>
      <c r="X179" s="136"/>
    </row>
    <row r="180" spans="1:24" ht="15.75" customHeight="1" x14ac:dyDescent="0.3">
      <c r="A180" s="144"/>
      <c r="B180" s="136"/>
      <c r="C180" s="136"/>
      <c r="D180" s="136"/>
      <c r="E180" s="145"/>
      <c r="F180" s="136"/>
      <c r="G180" s="136"/>
      <c r="H180" s="136"/>
      <c r="I180" s="145"/>
      <c r="J180" s="136"/>
      <c r="K180" s="136"/>
      <c r="L180" s="136"/>
      <c r="M180" s="145"/>
      <c r="N180" s="136"/>
      <c r="O180" s="136"/>
      <c r="P180" s="136"/>
      <c r="Q180" s="146"/>
      <c r="R180" s="136"/>
      <c r="S180" s="136"/>
      <c r="T180" s="136"/>
      <c r="U180" s="146"/>
      <c r="V180" s="136"/>
      <c r="W180" s="136"/>
      <c r="X180" s="136"/>
    </row>
    <row r="181" spans="1:24" ht="15.75" customHeight="1" x14ac:dyDescent="0.3">
      <c r="A181" s="144"/>
      <c r="B181" s="136"/>
      <c r="C181" s="136"/>
      <c r="D181" s="136"/>
      <c r="E181" s="145"/>
      <c r="F181" s="136"/>
      <c r="G181" s="136"/>
      <c r="H181" s="136"/>
      <c r="I181" s="145"/>
      <c r="J181" s="136"/>
      <c r="K181" s="136"/>
      <c r="L181" s="136"/>
      <c r="M181" s="145"/>
      <c r="N181" s="136"/>
      <c r="O181" s="136"/>
      <c r="P181" s="136"/>
      <c r="Q181" s="146"/>
      <c r="R181" s="136"/>
      <c r="S181" s="136"/>
      <c r="T181" s="136"/>
      <c r="U181" s="146"/>
      <c r="V181" s="136"/>
      <c r="W181" s="136"/>
      <c r="X181" s="136"/>
    </row>
    <row r="182" spans="1:24" ht="15.75" customHeight="1" x14ac:dyDescent="0.3">
      <c r="A182" s="144"/>
      <c r="B182" s="136"/>
      <c r="C182" s="136"/>
      <c r="D182" s="136"/>
      <c r="E182" s="145"/>
      <c r="F182" s="136"/>
      <c r="G182" s="136"/>
      <c r="H182" s="136"/>
      <c r="I182" s="145"/>
      <c r="J182" s="136"/>
      <c r="K182" s="136"/>
      <c r="L182" s="136"/>
      <c r="M182" s="145"/>
      <c r="N182" s="136"/>
      <c r="O182" s="136"/>
      <c r="P182" s="136"/>
      <c r="Q182" s="146"/>
      <c r="R182" s="136"/>
      <c r="S182" s="136"/>
      <c r="T182" s="136"/>
      <c r="U182" s="146"/>
      <c r="V182" s="136"/>
      <c r="W182" s="136"/>
      <c r="X182" s="136"/>
    </row>
    <row r="183" spans="1:24" ht="15.75" customHeight="1" x14ac:dyDescent="0.3">
      <c r="A183" s="144"/>
      <c r="B183" s="136"/>
      <c r="C183" s="136"/>
      <c r="D183" s="136"/>
      <c r="E183" s="145"/>
      <c r="F183" s="136"/>
      <c r="G183" s="136"/>
      <c r="H183" s="136"/>
      <c r="I183" s="145"/>
      <c r="J183" s="136"/>
      <c r="K183" s="136"/>
      <c r="L183" s="136"/>
      <c r="M183" s="145"/>
      <c r="N183" s="136"/>
      <c r="O183" s="136"/>
      <c r="P183" s="136"/>
      <c r="Q183" s="146"/>
      <c r="R183" s="136"/>
      <c r="S183" s="136"/>
      <c r="T183" s="136"/>
      <c r="U183" s="146"/>
      <c r="V183" s="136"/>
      <c r="W183" s="136"/>
      <c r="X183" s="136"/>
    </row>
    <row r="184" spans="1:24" ht="15.75" customHeight="1" x14ac:dyDescent="0.3">
      <c r="A184" s="144"/>
      <c r="B184" s="136"/>
      <c r="C184" s="136"/>
      <c r="D184" s="136"/>
      <c r="E184" s="145"/>
      <c r="F184" s="136"/>
      <c r="G184" s="136"/>
      <c r="H184" s="136"/>
      <c r="I184" s="145"/>
      <c r="J184" s="136"/>
      <c r="K184" s="136"/>
      <c r="L184" s="136"/>
      <c r="M184" s="145"/>
      <c r="N184" s="136"/>
      <c r="O184" s="136"/>
      <c r="P184" s="136"/>
      <c r="Q184" s="146"/>
      <c r="R184" s="136"/>
      <c r="S184" s="136"/>
      <c r="T184" s="136"/>
      <c r="U184" s="146"/>
      <c r="V184" s="136"/>
      <c r="W184" s="136"/>
      <c r="X184" s="136"/>
    </row>
    <row r="185" spans="1:24" ht="15.75" customHeight="1" x14ac:dyDescent="0.3">
      <c r="A185" s="144"/>
      <c r="B185" s="136"/>
      <c r="C185" s="136"/>
      <c r="D185" s="136"/>
      <c r="E185" s="145"/>
      <c r="F185" s="136"/>
      <c r="G185" s="136"/>
      <c r="H185" s="136"/>
      <c r="I185" s="145"/>
      <c r="J185" s="136"/>
      <c r="K185" s="136"/>
      <c r="L185" s="136"/>
      <c r="M185" s="145"/>
      <c r="N185" s="136"/>
      <c r="O185" s="136"/>
      <c r="P185" s="136"/>
      <c r="Q185" s="146"/>
      <c r="R185" s="136"/>
      <c r="S185" s="136"/>
      <c r="T185" s="136"/>
      <c r="U185" s="146"/>
      <c r="V185" s="136"/>
      <c r="W185" s="136"/>
      <c r="X185" s="136"/>
    </row>
    <row r="186" spans="1:24" ht="15.75" customHeight="1" x14ac:dyDescent="0.3">
      <c r="A186" s="144"/>
      <c r="B186" s="136"/>
      <c r="C186" s="136"/>
      <c r="D186" s="136"/>
      <c r="E186" s="145"/>
      <c r="F186" s="136"/>
      <c r="G186" s="136"/>
      <c r="H186" s="136"/>
      <c r="I186" s="145"/>
      <c r="J186" s="136"/>
      <c r="K186" s="136"/>
      <c r="L186" s="136"/>
      <c r="M186" s="145"/>
      <c r="N186" s="136"/>
      <c r="O186" s="136"/>
      <c r="P186" s="136"/>
      <c r="Q186" s="146"/>
      <c r="R186" s="136"/>
      <c r="S186" s="136"/>
      <c r="T186" s="136"/>
      <c r="U186" s="146"/>
      <c r="V186" s="136"/>
      <c r="W186" s="136"/>
      <c r="X186" s="136"/>
    </row>
    <row r="187" spans="1:24" ht="15.75" customHeight="1" x14ac:dyDescent="0.3">
      <c r="A187" s="144"/>
      <c r="B187" s="136"/>
      <c r="C187" s="136"/>
      <c r="D187" s="136"/>
      <c r="E187" s="145"/>
      <c r="F187" s="136"/>
      <c r="G187" s="136"/>
      <c r="H187" s="136"/>
      <c r="I187" s="145"/>
      <c r="J187" s="136"/>
      <c r="K187" s="136"/>
      <c r="L187" s="136"/>
      <c r="M187" s="145"/>
      <c r="N187" s="136"/>
      <c r="O187" s="136"/>
      <c r="P187" s="136"/>
      <c r="Q187" s="146"/>
      <c r="R187" s="136"/>
      <c r="S187" s="136"/>
      <c r="T187" s="136"/>
      <c r="U187" s="146"/>
      <c r="V187" s="136"/>
      <c r="W187" s="136"/>
      <c r="X187" s="136"/>
    </row>
    <row r="188" spans="1:24" ht="15.75" customHeight="1" x14ac:dyDescent="0.3">
      <c r="A188" s="144"/>
      <c r="B188" s="136"/>
      <c r="C188" s="136"/>
      <c r="D188" s="136"/>
      <c r="E188" s="145"/>
      <c r="F188" s="136"/>
      <c r="G188" s="136"/>
      <c r="H188" s="136"/>
      <c r="I188" s="145"/>
      <c r="J188" s="136"/>
      <c r="K188" s="136"/>
      <c r="L188" s="136"/>
      <c r="M188" s="145"/>
      <c r="N188" s="136"/>
      <c r="O188" s="136"/>
      <c r="P188" s="136"/>
      <c r="Q188" s="146"/>
      <c r="R188" s="136"/>
      <c r="S188" s="136"/>
      <c r="T188" s="136"/>
      <c r="U188" s="146"/>
      <c r="V188" s="136"/>
      <c r="W188" s="136"/>
      <c r="X188" s="136"/>
    </row>
    <row r="189" spans="1:24" ht="15.75" customHeight="1" x14ac:dyDescent="0.3">
      <c r="A189" s="144"/>
      <c r="B189" s="136"/>
      <c r="C189" s="136"/>
      <c r="D189" s="136"/>
      <c r="E189" s="145"/>
      <c r="F189" s="136"/>
      <c r="G189" s="136"/>
      <c r="H189" s="136"/>
      <c r="I189" s="145"/>
      <c r="J189" s="136"/>
      <c r="K189" s="136"/>
      <c r="L189" s="136"/>
      <c r="M189" s="145"/>
      <c r="N189" s="136"/>
      <c r="O189" s="136"/>
      <c r="P189" s="136"/>
      <c r="Q189" s="146"/>
      <c r="R189" s="136"/>
      <c r="S189" s="136"/>
      <c r="T189" s="136"/>
      <c r="U189" s="146"/>
      <c r="V189" s="136"/>
      <c r="W189" s="136"/>
      <c r="X189" s="136"/>
    </row>
    <row r="190" spans="1:24" ht="15.75" customHeight="1" x14ac:dyDescent="0.3">
      <c r="A190" s="144"/>
      <c r="B190" s="136"/>
      <c r="C190" s="136"/>
      <c r="D190" s="136"/>
      <c r="E190" s="145"/>
      <c r="F190" s="136"/>
      <c r="G190" s="136"/>
      <c r="H190" s="136"/>
      <c r="I190" s="145"/>
      <c r="J190" s="136"/>
      <c r="K190" s="136"/>
      <c r="L190" s="136"/>
      <c r="M190" s="145"/>
      <c r="N190" s="136"/>
      <c r="O190" s="136"/>
      <c r="P190" s="136"/>
      <c r="Q190" s="146"/>
      <c r="R190" s="136"/>
      <c r="S190" s="136"/>
      <c r="T190" s="136"/>
      <c r="U190" s="146"/>
      <c r="V190" s="136"/>
      <c r="W190" s="136"/>
      <c r="X190" s="136"/>
    </row>
    <row r="191" spans="1:24" ht="15.75" customHeight="1" x14ac:dyDescent="0.3">
      <c r="A191" s="144"/>
      <c r="B191" s="136"/>
      <c r="C191" s="136"/>
      <c r="D191" s="136"/>
      <c r="E191" s="145"/>
      <c r="F191" s="136"/>
      <c r="G191" s="136"/>
      <c r="H191" s="136"/>
      <c r="I191" s="145"/>
      <c r="J191" s="136"/>
      <c r="K191" s="136"/>
      <c r="L191" s="136"/>
      <c r="M191" s="145"/>
      <c r="N191" s="136"/>
      <c r="O191" s="136"/>
      <c r="P191" s="136"/>
      <c r="Q191" s="146"/>
      <c r="R191" s="136"/>
      <c r="S191" s="136"/>
      <c r="T191" s="136"/>
      <c r="U191" s="146"/>
      <c r="V191" s="136"/>
      <c r="W191" s="136"/>
      <c r="X191" s="136"/>
    </row>
    <row r="192" spans="1:24" ht="15.75" customHeight="1" x14ac:dyDescent="0.3">
      <c r="A192" s="144"/>
      <c r="B192" s="136"/>
      <c r="C192" s="136"/>
      <c r="D192" s="136"/>
      <c r="E192" s="145"/>
      <c r="F192" s="136"/>
      <c r="G192" s="136"/>
      <c r="H192" s="136"/>
      <c r="I192" s="145"/>
      <c r="J192" s="136"/>
      <c r="K192" s="136"/>
      <c r="L192" s="136"/>
      <c r="M192" s="145"/>
      <c r="N192" s="136"/>
      <c r="O192" s="136"/>
      <c r="P192" s="136"/>
      <c r="Q192" s="146"/>
      <c r="R192" s="136"/>
      <c r="S192" s="136"/>
      <c r="T192" s="136"/>
      <c r="U192" s="146"/>
      <c r="V192" s="136"/>
      <c r="W192" s="136"/>
      <c r="X192" s="136"/>
    </row>
    <row r="193" spans="1:24" s="150" customFormat="1" ht="15.75" customHeight="1" x14ac:dyDescent="0.3">
      <c r="A193" s="144"/>
      <c r="B193" s="147" t="s">
        <v>933</v>
      </c>
      <c r="C193" s="147"/>
      <c r="D193" s="147"/>
      <c r="E193" s="148"/>
      <c r="F193" s="147"/>
      <c r="G193" s="147"/>
      <c r="H193" s="147"/>
      <c r="I193" s="148"/>
      <c r="J193" s="147"/>
      <c r="K193" s="147"/>
      <c r="L193" s="147"/>
      <c r="M193" s="148"/>
      <c r="N193" s="147"/>
      <c r="O193" s="147"/>
      <c r="P193" s="147"/>
      <c r="Q193" s="149"/>
      <c r="R193" s="147"/>
      <c r="S193" s="147"/>
      <c r="T193" s="147"/>
      <c r="U193" s="149"/>
      <c r="V193" s="147"/>
      <c r="W193" s="147"/>
      <c r="X193" s="147"/>
    </row>
    <row r="194" spans="1:24" ht="15.75" customHeight="1" x14ac:dyDescent="0.3">
      <c r="A194" s="144"/>
      <c r="B194" s="136"/>
      <c r="C194" s="136"/>
      <c r="D194" s="136"/>
      <c r="E194" s="145"/>
      <c r="F194" s="136"/>
      <c r="G194" s="136"/>
      <c r="H194" s="136"/>
      <c r="I194" s="145"/>
      <c r="J194" s="136"/>
      <c r="K194" s="136"/>
      <c r="L194" s="136"/>
      <c r="M194" s="145"/>
      <c r="N194" s="136"/>
      <c r="O194" s="136"/>
      <c r="P194" s="136"/>
      <c r="Q194" s="146"/>
      <c r="R194" s="136"/>
      <c r="S194" s="136"/>
      <c r="T194" s="136"/>
      <c r="U194" s="146"/>
      <c r="V194" s="136"/>
      <c r="W194" s="136"/>
      <c r="X194" s="136"/>
    </row>
    <row r="195" spans="1:24" ht="15.75" customHeight="1" x14ac:dyDescent="0.3">
      <c r="A195" s="144"/>
      <c r="B195" s="136"/>
      <c r="C195" s="136"/>
      <c r="D195" s="136"/>
      <c r="E195" s="145"/>
      <c r="F195" s="136"/>
      <c r="G195" s="136"/>
      <c r="H195" s="136"/>
      <c r="I195" s="145"/>
      <c r="J195" s="136"/>
      <c r="K195" s="136"/>
      <c r="L195" s="136"/>
      <c r="M195" s="145"/>
      <c r="N195" s="136"/>
      <c r="O195" s="136"/>
      <c r="P195" s="136"/>
      <c r="Q195" s="146"/>
      <c r="R195" s="136"/>
      <c r="S195" s="136"/>
      <c r="T195" s="136"/>
      <c r="U195" s="146"/>
      <c r="V195" s="136"/>
      <c r="W195" s="136"/>
      <c r="X195" s="136"/>
    </row>
    <row r="196" spans="1:24" ht="15.75" customHeight="1" x14ac:dyDescent="0.3">
      <c r="A196" s="144"/>
      <c r="B196" s="136"/>
      <c r="C196" s="136"/>
      <c r="D196" s="136"/>
      <c r="E196" s="145"/>
      <c r="F196" s="136"/>
      <c r="G196" s="136"/>
      <c r="H196" s="136"/>
      <c r="I196" s="145"/>
      <c r="J196" s="136"/>
      <c r="K196" s="136"/>
      <c r="L196" s="136"/>
      <c r="M196" s="145"/>
      <c r="N196" s="136"/>
      <c r="O196" s="136"/>
      <c r="P196" s="136"/>
      <c r="Q196" s="146"/>
      <c r="R196" s="136"/>
      <c r="S196" s="136"/>
      <c r="T196" s="136"/>
      <c r="U196" s="146"/>
      <c r="V196" s="136"/>
      <c r="W196" s="136"/>
      <c r="X196" s="136"/>
    </row>
    <row r="197" spans="1:24" ht="15.75" customHeight="1" x14ac:dyDescent="0.3">
      <c r="A197" s="144"/>
      <c r="B197" s="136"/>
      <c r="C197" s="136"/>
      <c r="D197" s="136"/>
      <c r="E197" s="145"/>
      <c r="F197" s="136"/>
      <c r="G197" s="136"/>
      <c r="H197" s="136"/>
      <c r="I197" s="145"/>
      <c r="J197" s="136"/>
      <c r="K197" s="136"/>
      <c r="L197" s="136"/>
      <c r="M197" s="145"/>
      <c r="N197" s="136"/>
      <c r="O197" s="136"/>
      <c r="P197" s="136"/>
      <c r="Q197" s="146"/>
      <c r="R197" s="136"/>
      <c r="S197" s="136"/>
      <c r="T197" s="136"/>
      <c r="U197" s="146"/>
      <c r="V197" s="136"/>
      <c r="W197" s="136"/>
      <c r="X197" s="136"/>
    </row>
    <row r="198" spans="1:24" ht="15.75" customHeight="1" x14ac:dyDescent="0.3">
      <c r="A198" s="144"/>
      <c r="B198" s="136"/>
      <c r="C198" s="136"/>
      <c r="D198" s="136"/>
      <c r="E198" s="145"/>
      <c r="F198" s="136"/>
      <c r="G198" s="136"/>
      <c r="H198" s="136"/>
      <c r="I198" s="145"/>
      <c r="J198" s="136"/>
      <c r="K198" s="136"/>
      <c r="L198" s="136"/>
      <c r="M198" s="145"/>
      <c r="N198" s="136"/>
      <c r="O198" s="136"/>
      <c r="P198" s="136"/>
      <c r="Q198" s="146"/>
      <c r="R198" s="136"/>
      <c r="S198" s="136"/>
      <c r="T198" s="136"/>
      <c r="U198" s="146"/>
      <c r="V198" s="136"/>
      <c r="W198" s="136"/>
      <c r="X198" s="136"/>
    </row>
    <row r="199" spans="1:24" ht="15.75" customHeight="1" x14ac:dyDescent="0.3">
      <c r="A199" s="144"/>
      <c r="B199" s="136"/>
      <c r="C199" s="136"/>
      <c r="D199" s="136"/>
      <c r="E199" s="145"/>
      <c r="F199" s="136"/>
      <c r="G199" s="136"/>
      <c r="H199" s="136"/>
      <c r="I199" s="145"/>
      <c r="J199" s="136"/>
      <c r="K199" s="136"/>
      <c r="L199" s="136"/>
      <c r="M199" s="145"/>
      <c r="N199" s="136"/>
      <c r="O199" s="136"/>
      <c r="P199" s="136"/>
      <c r="Q199" s="146"/>
      <c r="R199" s="136"/>
      <c r="S199" s="136"/>
      <c r="T199" s="136"/>
      <c r="U199" s="146"/>
      <c r="V199" s="136"/>
      <c r="W199" s="136"/>
      <c r="X199" s="136"/>
    </row>
    <row r="200" spans="1:24" ht="15.75" customHeight="1" x14ac:dyDescent="0.3">
      <c r="A200" s="144"/>
      <c r="B200" s="136"/>
      <c r="C200" s="136"/>
      <c r="D200" s="136"/>
      <c r="E200" s="145"/>
      <c r="F200" s="136"/>
      <c r="G200" s="136"/>
      <c r="H200" s="136"/>
      <c r="I200" s="145"/>
      <c r="J200" s="136"/>
      <c r="K200" s="136"/>
      <c r="L200" s="136"/>
      <c r="M200" s="145"/>
      <c r="N200" s="136"/>
      <c r="O200" s="136"/>
      <c r="P200" s="136"/>
      <c r="Q200" s="146"/>
      <c r="R200" s="136"/>
      <c r="S200" s="136"/>
      <c r="T200" s="136"/>
      <c r="U200" s="146"/>
      <c r="V200" s="136"/>
      <c r="W200" s="136"/>
      <c r="X200" s="136"/>
    </row>
    <row r="201" spans="1:24" ht="15.75" customHeight="1" x14ac:dyDescent="0.3">
      <c r="A201" s="144"/>
      <c r="B201" s="136"/>
      <c r="C201" s="136"/>
      <c r="D201" s="136"/>
      <c r="E201" s="145"/>
      <c r="F201" s="136"/>
      <c r="G201" s="136"/>
      <c r="H201" s="136"/>
      <c r="I201" s="145"/>
      <c r="J201" s="136"/>
      <c r="K201" s="136"/>
      <c r="L201" s="136"/>
      <c r="M201" s="145"/>
      <c r="N201" s="136"/>
      <c r="O201" s="136"/>
      <c r="P201" s="136"/>
      <c r="Q201" s="146"/>
      <c r="R201" s="136"/>
      <c r="S201" s="136"/>
      <c r="T201" s="136"/>
      <c r="U201" s="146"/>
      <c r="V201" s="136"/>
      <c r="W201" s="136"/>
      <c r="X201" s="136"/>
    </row>
    <row r="202" spans="1:24" ht="15.75" customHeight="1" x14ac:dyDescent="0.3">
      <c r="A202" s="144"/>
      <c r="B202" s="136"/>
      <c r="C202" s="136"/>
      <c r="D202" s="136"/>
      <c r="E202" s="145"/>
      <c r="F202" s="136"/>
      <c r="G202" s="136"/>
      <c r="H202" s="136"/>
      <c r="I202" s="145"/>
      <c r="J202" s="136"/>
      <c r="K202" s="136"/>
      <c r="L202" s="136"/>
      <c r="M202" s="145"/>
      <c r="N202" s="136"/>
      <c r="O202" s="136"/>
      <c r="P202" s="136"/>
      <c r="Q202" s="146"/>
      <c r="R202" s="136"/>
      <c r="S202" s="136"/>
      <c r="T202" s="136"/>
      <c r="U202" s="146"/>
      <c r="V202" s="136"/>
      <c r="W202" s="136"/>
      <c r="X202" s="136"/>
    </row>
    <row r="203" spans="1:24" ht="15.75" customHeight="1" x14ac:dyDescent="0.3">
      <c r="A203" s="144" t="str">
        <f>B203&amp;" / "&amp;D203&amp;" / "&amp;E203</f>
        <v xml:space="preserve"> /  / </v>
      </c>
      <c r="B203" s="136"/>
      <c r="C203" s="136"/>
      <c r="D203" s="136"/>
      <c r="E203" s="145"/>
      <c r="F203" s="136"/>
      <c r="G203" s="136"/>
      <c r="H203" s="136"/>
      <c r="I203" s="145"/>
      <c r="J203" s="136"/>
      <c r="K203" s="136"/>
      <c r="L203" s="136"/>
      <c r="M203" s="145"/>
      <c r="N203" s="136"/>
      <c r="O203" s="136"/>
      <c r="P203" s="136"/>
      <c r="Q203" s="146"/>
      <c r="R203" s="136"/>
      <c r="S203" s="136"/>
      <c r="T203" s="136"/>
      <c r="U203" s="146"/>
      <c r="V203" s="136"/>
      <c r="W203" s="136"/>
      <c r="X203" s="136"/>
    </row>
    <row r="204" spans="1:24" ht="15.75" customHeight="1" x14ac:dyDescent="0.3">
      <c r="A204" s="144" t="str">
        <f>B204&amp;" / "&amp;D204&amp;" / "&amp;E204</f>
        <v xml:space="preserve"> /  / </v>
      </c>
      <c r="B204" s="136"/>
      <c r="C204" s="136"/>
      <c r="D204" s="136"/>
      <c r="E204" s="145"/>
      <c r="F204" s="136"/>
      <c r="G204" s="136"/>
      <c r="H204" s="136"/>
      <c r="I204" s="145"/>
      <c r="J204" s="136"/>
      <c r="K204" s="136"/>
      <c r="L204" s="136"/>
      <c r="M204" s="145"/>
      <c r="N204" s="136"/>
      <c r="O204" s="136"/>
      <c r="P204" s="136"/>
      <c r="Q204" s="146"/>
      <c r="R204" s="136"/>
      <c r="S204" s="136"/>
      <c r="T204" s="136"/>
      <c r="U204" s="146"/>
      <c r="V204" s="136"/>
      <c r="W204" s="136"/>
      <c r="X204" s="136"/>
    </row>
    <row r="205" spans="1:24" ht="15.75" customHeight="1" x14ac:dyDescent="0.3">
      <c r="A205" s="144"/>
      <c r="B205" s="136"/>
      <c r="C205" s="136"/>
      <c r="D205" s="136"/>
      <c r="E205" s="145"/>
      <c r="F205" s="136"/>
      <c r="G205" s="136"/>
      <c r="H205" s="136"/>
      <c r="I205" s="145"/>
      <c r="J205" s="136"/>
      <c r="K205" s="136"/>
      <c r="L205" s="136"/>
      <c r="M205" s="145"/>
      <c r="N205" s="136"/>
      <c r="O205" s="136"/>
      <c r="P205" s="136"/>
      <c r="Q205" s="146"/>
      <c r="R205" s="136"/>
      <c r="S205" s="136"/>
      <c r="T205" s="136"/>
      <c r="U205" s="146"/>
      <c r="V205" s="136"/>
      <c r="W205" s="136"/>
      <c r="X205" s="136"/>
    </row>
    <row r="206" spans="1:24" ht="15.75" customHeight="1" x14ac:dyDescent="0.3">
      <c r="A206" s="144"/>
      <c r="B206" s="136"/>
      <c r="C206" s="136"/>
      <c r="D206" s="136"/>
      <c r="E206" s="145"/>
      <c r="F206" s="136"/>
      <c r="G206" s="136"/>
      <c r="H206" s="136"/>
      <c r="I206" s="145"/>
      <c r="J206" s="136"/>
      <c r="K206" s="136"/>
      <c r="L206" s="136"/>
      <c r="M206" s="145"/>
      <c r="N206" s="136"/>
      <c r="O206" s="136"/>
      <c r="P206" s="136"/>
      <c r="Q206" s="146"/>
      <c r="R206" s="136"/>
      <c r="S206" s="136"/>
      <c r="T206" s="136"/>
      <c r="U206" s="146"/>
      <c r="V206" s="136"/>
      <c r="W206" s="136"/>
      <c r="X206" s="136"/>
    </row>
    <row r="207" spans="1:24" ht="15.75" customHeight="1" x14ac:dyDescent="0.3">
      <c r="A207" s="144"/>
      <c r="B207" s="136"/>
      <c r="C207" s="136"/>
      <c r="D207" s="136"/>
      <c r="E207" s="145"/>
      <c r="F207" s="136"/>
      <c r="G207" s="136"/>
      <c r="H207" s="136"/>
      <c r="I207" s="145"/>
      <c r="J207" s="136"/>
      <c r="K207" s="136"/>
      <c r="L207" s="136"/>
      <c r="M207" s="145"/>
      <c r="N207" s="136"/>
      <c r="O207" s="136"/>
      <c r="P207" s="136"/>
      <c r="Q207" s="146"/>
      <c r="R207" s="136"/>
      <c r="S207" s="136"/>
      <c r="T207" s="136"/>
      <c r="U207" s="146"/>
      <c r="V207" s="136"/>
      <c r="W207" s="136"/>
      <c r="X207" s="136"/>
    </row>
    <row r="208" spans="1:24" ht="15.75" customHeight="1" x14ac:dyDescent="0.3">
      <c r="A208" s="144"/>
      <c r="B208" s="136"/>
      <c r="C208" s="136"/>
      <c r="D208" s="136"/>
      <c r="E208" s="145"/>
      <c r="F208" s="136"/>
      <c r="G208" s="136"/>
      <c r="H208" s="136"/>
      <c r="I208" s="145"/>
      <c r="J208" s="136"/>
      <c r="K208" s="136"/>
      <c r="L208" s="136"/>
      <c r="M208" s="145"/>
      <c r="N208" s="136"/>
      <c r="O208" s="136"/>
      <c r="P208" s="136"/>
      <c r="Q208" s="146"/>
      <c r="R208" s="136"/>
      <c r="S208" s="136"/>
      <c r="T208" s="136"/>
      <c r="U208" s="146"/>
      <c r="V208" s="136"/>
      <c r="W208" s="136"/>
      <c r="X208" s="136"/>
    </row>
    <row r="209" spans="1:24" ht="15.75" customHeight="1" x14ac:dyDescent="0.3">
      <c r="A209" s="144"/>
      <c r="B209" s="136"/>
      <c r="C209" s="136"/>
      <c r="D209" s="136"/>
      <c r="E209" s="145"/>
      <c r="F209" s="136"/>
      <c r="G209" s="136"/>
      <c r="H209" s="136"/>
      <c r="I209" s="145"/>
      <c r="J209" s="136"/>
      <c r="K209" s="136"/>
      <c r="L209" s="136"/>
      <c r="M209" s="145"/>
      <c r="N209" s="136"/>
      <c r="O209" s="136"/>
      <c r="P209" s="136"/>
      <c r="Q209" s="146"/>
      <c r="R209" s="136"/>
      <c r="S209" s="136"/>
      <c r="T209" s="136"/>
      <c r="U209" s="146"/>
      <c r="V209" s="136"/>
      <c r="W209" s="136"/>
      <c r="X209" s="136"/>
    </row>
    <row r="210" spans="1:24" ht="15.75" customHeight="1" x14ac:dyDescent="0.3">
      <c r="A210" s="144"/>
      <c r="B210" s="136"/>
      <c r="C210" s="136"/>
      <c r="D210" s="136"/>
      <c r="E210" s="145"/>
      <c r="F210" s="136"/>
      <c r="G210" s="136"/>
      <c r="H210" s="136"/>
      <c r="I210" s="145"/>
      <c r="J210" s="136"/>
      <c r="K210" s="136"/>
      <c r="L210" s="136"/>
      <c r="M210" s="145"/>
      <c r="N210" s="136"/>
      <c r="O210" s="136"/>
      <c r="P210" s="136"/>
      <c r="Q210" s="146"/>
      <c r="R210" s="136"/>
      <c r="S210" s="136"/>
      <c r="T210" s="136"/>
      <c r="U210" s="146"/>
      <c r="V210" s="136"/>
      <c r="W210" s="136"/>
      <c r="X210" s="136"/>
    </row>
    <row r="211" spans="1:24" ht="15.75" customHeight="1" x14ac:dyDescent="0.3">
      <c r="A211" s="144"/>
      <c r="B211" s="136"/>
      <c r="C211" s="136"/>
      <c r="D211" s="136"/>
      <c r="E211" s="145"/>
      <c r="F211" s="136"/>
      <c r="G211" s="136"/>
      <c r="H211" s="136"/>
      <c r="I211" s="145"/>
      <c r="J211" s="136"/>
      <c r="K211" s="136"/>
      <c r="L211" s="136"/>
      <c r="M211" s="145"/>
      <c r="N211" s="136"/>
      <c r="O211" s="136"/>
      <c r="P211" s="136"/>
      <c r="Q211" s="146"/>
      <c r="R211" s="136"/>
      <c r="S211" s="136"/>
      <c r="T211" s="136"/>
      <c r="U211" s="146"/>
      <c r="V211" s="136"/>
      <c r="W211" s="136"/>
      <c r="X211" s="136"/>
    </row>
    <row r="212" spans="1:24" ht="15.75" customHeight="1" x14ac:dyDescent="0.3">
      <c r="A212" s="144"/>
      <c r="B212" s="136"/>
      <c r="C212" s="136"/>
      <c r="D212" s="136"/>
      <c r="E212" s="145"/>
      <c r="F212" s="136"/>
      <c r="G212" s="136"/>
      <c r="H212" s="136"/>
      <c r="I212" s="145"/>
      <c r="J212" s="136"/>
      <c r="K212" s="136"/>
      <c r="L212" s="136"/>
      <c r="M212" s="145"/>
      <c r="N212" s="136"/>
      <c r="O212" s="136"/>
      <c r="P212" s="136"/>
      <c r="Q212" s="146"/>
      <c r="R212" s="136"/>
      <c r="S212" s="136"/>
      <c r="T212" s="136"/>
      <c r="U212" s="146"/>
      <c r="V212" s="136"/>
      <c r="W212" s="136"/>
      <c r="X212" s="136"/>
    </row>
    <row r="213" spans="1:24" ht="15.75" customHeight="1" x14ac:dyDescent="0.3">
      <c r="A213" s="144"/>
      <c r="B213" s="136"/>
      <c r="C213" s="136"/>
      <c r="D213" s="136"/>
      <c r="E213" s="145"/>
      <c r="F213" s="136"/>
      <c r="G213" s="136"/>
      <c r="H213" s="136"/>
      <c r="I213" s="145"/>
      <c r="J213" s="136"/>
      <c r="K213" s="136"/>
      <c r="L213" s="136"/>
      <c r="M213" s="145"/>
      <c r="N213" s="136"/>
      <c r="O213" s="136"/>
      <c r="P213" s="136"/>
      <c r="Q213" s="146"/>
      <c r="R213" s="136"/>
      <c r="S213" s="136"/>
      <c r="T213" s="136"/>
      <c r="U213" s="146"/>
      <c r="V213" s="136"/>
      <c r="W213" s="136"/>
      <c r="X213" s="136"/>
    </row>
    <row r="214" spans="1:24" ht="15.75" customHeight="1" x14ac:dyDescent="0.3">
      <c r="A214" s="144"/>
      <c r="B214" s="136"/>
      <c r="C214" s="136"/>
      <c r="D214" s="136"/>
      <c r="E214" s="145"/>
      <c r="F214" s="136"/>
      <c r="G214" s="136"/>
      <c r="H214" s="136"/>
      <c r="I214" s="145"/>
      <c r="J214" s="136"/>
      <c r="K214" s="136"/>
      <c r="L214" s="136"/>
      <c r="M214" s="145"/>
      <c r="N214" s="136"/>
      <c r="O214" s="136"/>
      <c r="P214" s="136"/>
      <c r="Q214" s="146"/>
      <c r="R214" s="136"/>
      <c r="S214" s="136"/>
      <c r="T214" s="136"/>
      <c r="U214" s="146"/>
      <c r="V214" s="136"/>
      <c r="W214" s="136"/>
      <c r="X214" s="136"/>
    </row>
    <row r="215" spans="1:24" ht="15.75" customHeight="1" x14ac:dyDescent="0.3">
      <c r="A215" s="144"/>
      <c r="B215" s="136"/>
      <c r="C215" s="136"/>
      <c r="D215" s="136"/>
      <c r="E215" s="145"/>
      <c r="F215" s="136"/>
      <c r="G215" s="136"/>
      <c r="H215" s="136"/>
      <c r="I215" s="145"/>
      <c r="J215" s="136"/>
      <c r="K215" s="136"/>
      <c r="L215" s="136"/>
      <c r="M215" s="145"/>
      <c r="N215" s="136"/>
      <c r="O215" s="136"/>
      <c r="P215" s="136"/>
      <c r="Q215" s="146"/>
      <c r="R215" s="136"/>
      <c r="S215" s="136"/>
      <c r="T215" s="136"/>
      <c r="U215" s="146"/>
      <c r="V215" s="136"/>
      <c r="W215" s="136"/>
      <c r="X215" s="136"/>
    </row>
    <row r="216" spans="1:24" ht="15.75" customHeight="1" x14ac:dyDescent="0.3">
      <c r="A216" s="144"/>
      <c r="B216" s="136"/>
      <c r="C216" s="136"/>
      <c r="D216" s="136"/>
      <c r="E216" s="145"/>
      <c r="F216" s="136"/>
      <c r="G216" s="136"/>
      <c r="H216" s="136"/>
      <c r="I216" s="145"/>
      <c r="J216" s="136"/>
      <c r="K216" s="136"/>
      <c r="L216" s="136"/>
      <c r="M216" s="145"/>
      <c r="N216" s="136"/>
      <c r="O216" s="136"/>
      <c r="P216" s="136"/>
      <c r="Q216" s="146"/>
      <c r="R216" s="136"/>
      <c r="S216" s="136"/>
      <c r="T216" s="136"/>
      <c r="U216" s="146"/>
      <c r="V216" s="136"/>
      <c r="W216" s="136"/>
      <c r="X216" s="136"/>
    </row>
    <row r="217" spans="1:24" ht="15.75" customHeight="1" x14ac:dyDescent="0.3">
      <c r="A217" s="144"/>
      <c r="B217" s="136"/>
      <c r="C217" s="136"/>
      <c r="D217" s="136"/>
      <c r="E217" s="145"/>
      <c r="F217" s="136"/>
      <c r="G217" s="136"/>
      <c r="H217" s="136"/>
      <c r="I217" s="145"/>
      <c r="J217" s="136"/>
      <c r="K217" s="136"/>
      <c r="L217" s="136"/>
      <c r="M217" s="145"/>
      <c r="N217" s="136"/>
      <c r="O217" s="136"/>
      <c r="P217" s="136"/>
      <c r="Q217" s="146"/>
      <c r="R217" s="136"/>
      <c r="S217" s="136"/>
      <c r="T217" s="136"/>
      <c r="U217" s="146"/>
      <c r="V217" s="136"/>
      <c r="W217" s="136"/>
      <c r="X217" s="136"/>
    </row>
    <row r="218" spans="1:24" ht="15.75" customHeight="1" x14ac:dyDescent="0.3">
      <c r="A218" s="144"/>
      <c r="B218" s="136"/>
      <c r="C218" s="136"/>
      <c r="D218" s="136"/>
      <c r="E218" s="145"/>
      <c r="F218" s="136"/>
      <c r="G218" s="136"/>
      <c r="H218" s="136"/>
      <c r="I218" s="145"/>
      <c r="J218" s="136"/>
      <c r="K218" s="136"/>
      <c r="L218" s="136"/>
      <c r="M218" s="145"/>
      <c r="N218" s="136"/>
      <c r="O218" s="136"/>
      <c r="P218" s="136"/>
      <c r="Q218" s="146"/>
      <c r="R218" s="136"/>
      <c r="S218" s="136"/>
      <c r="T218" s="136"/>
      <c r="U218" s="146"/>
      <c r="V218" s="136"/>
      <c r="W218" s="136"/>
      <c r="X218" s="136"/>
    </row>
    <row r="219" spans="1:24" ht="15.75" customHeight="1" x14ac:dyDescent="0.3">
      <c r="A219" s="144"/>
      <c r="B219" s="136"/>
      <c r="C219" s="136"/>
      <c r="D219" s="136"/>
      <c r="E219" s="145"/>
      <c r="F219" s="136"/>
      <c r="G219" s="136"/>
      <c r="H219" s="136"/>
      <c r="I219" s="145"/>
      <c r="J219" s="136"/>
      <c r="K219" s="136"/>
      <c r="L219" s="136"/>
      <c r="M219" s="145"/>
      <c r="N219" s="136"/>
      <c r="O219" s="136"/>
      <c r="P219" s="136"/>
      <c r="Q219" s="146"/>
      <c r="R219" s="136"/>
      <c r="S219" s="136"/>
      <c r="T219" s="136"/>
      <c r="U219" s="146"/>
      <c r="V219" s="136"/>
      <c r="W219" s="136"/>
      <c r="X219" s="136"/>
    </row>
    <row r="220" spans="1:24" ht="15.75" customHeight="1" x14ac:dyDescent="0.3">
      <c r="A220" s="144"/>
      <c r="B220" s="136"/>
      <c r="C220" s="136"/>
      <c r="D220" s="136"/>
      <c r="E220" s="145"/>
      <c r="F220" s="136"/>
      <c r="G220" s="136"/>
      <c r="H220" s="136"/>
      <c r="I220" s="145"/>
      <c r="J220" s="136"/>
      <c r="K220" s="136"/>
      <c r="L220" s="136"/>
      <c r="M220" s="145"/>
      <c r="N220" s="136"/>
      <c r="O220" s="136"/>
      <c r="P220" s="136"/>
      <c r="Q220" s="146"/>
      <c r="R220" s="136"/>
      <c r="S220" s="136"/>
      <c r="T220" s="136"/>
      <c r="U220" s="146"/>
      <c r="V220" s="136"/>
      <c r="W220" s="136"/>
      <c r="X220" s="136"/>
    </row>
    <row r="221" spans="1:24" ht="15.75" customHeight="1" x14ac:dyDescent="0.3">
      <c r="A221" s="144"/>
      <c r="B221" s="136"/>
      <c r="C221" s="136"/>
      <c r="D221" s="136"/>
      <c r="E221" s="145"/>
      <c r="F221" s="136"/>
      <c r="G221" s="136"/>
      <c r="H221" s="136"/>
      <c r="I221" s="145"/>
      <c r="J221" s="136"/>
      <c r="K221" s="136"/>
      <c r="L221" s="136"/>
      <c r="M221" s="145"/>
      <c r="N221" s="136"/>
      <c r="O221" s="136"/>
      <c r="P221" s="136"/>
      <c r="Q221" s="146"/>
      <c r="R221" s="136"/>
      <c r="S221" s="136"/>
      <c r="T221" s="136"/>
      <c r="U221" s="146"/>
      <c r="V221" s="136"/>
      <c r="W221" s="136"/>
      <c r="X221" s="136"/>
    </row>
    <row r="222" spans="1:24" ht="15.75" customHeight="1" x14ac:dyDescent="0.3">
      <c r="A222" s="144"/>
      <c r="B222" s="136"/>
      <c r="C222" s="136"/>
      <c r="D222" s="136"/>
      <c r="E222" s="145"/>
      <c r="F222" s="136"/>
      <c r="G222" s="136"/>
      <c r="H222" s="136"/>
      <c r="I222" s="145"/>
      <c r="J222" s="136"/>
      <c r="K222" s="136"/>
      <c r="L222" s="136"/>
      <c r="M222" s="145"/>
      <c r="N222" s="136"/>
      <c r="O222" s="136"/>
      <c r="P222" s="136"/>
      <c r="Q222" s="146"/>
      <c r="R222" s="136"/>
      <c r="S222" s="136"/>
      <c r="T222" s="136"/>
      <c r="U222" s="146"/>
      <c r="V222" s="136"/>
      <c r="W222" s="136"/>
      <c r="X222" s="136"/>
    </row>
    <row r="223" spans="1:24" ht="15.75" customHeight="1" x14ac:dyDescent="0.3">
      <c r="A223" s="144"/>
      <c r="B223" s="136"/>
      <c r="C223" s="136"/>
      <c r="D223" s="136"/>
      <c r="E223" s="145"/>
      <c r="F223" s="136"/>
      <c r="G223" s="136"/>
      <c r="H223" s="136"/>
      <c r="I223" s="145"/>
      <c r="J223" s="136"/>
      <c r="K223" s="136"/>
      <c r="L223" s="136"/>
      <c r="M223" s="145"/>
      <c r="N223" s="136"/>
      <c r="O223" s="136"/>
      <c r="P223" s="136"/>
      <c r="Q223" s="146"/>
      <c r="R223" s="136"/>
      <c r="S223" s="136"/>
      <c r="T223" s="136"/>
      <c r="U223" s="146"/>
      <c r="V223" s="136"/>
      <c r="W223" s="136"/>
      <c r="X223" s="136"/>
    </row>
    <row r="224" spans="1:24" ht="15.75" customHeight="1" x14ac:dyDescent="0.3">
      <c r="A224" s="144"/>
      <c r="B224" s="136"/>
      <c r="C224" s="136"/>
      <c r="D224" s="136"/>
      <c r="E224" s="145"/>
      <c r="F224" s="136"/>
      <c r="G224" s="136"/>
      <c r="H224" s="136"/>
      <c r="I224" s="145"/>
      <c r="J224" s="136"/>
      <c r="K224" s="136"/>
      <c r="L224" s="136"/>
      <c r="M224" s="145"/>
      <c r="N224" s="136"/>
      <c r="O224" s="136"/>
      <c r="P224" s="136"/>
      <c r="Q224" s="146"/>
      <c r="R224" s="136"/>
      <c r="S224" s="136"/>
      <c r="T224" s="136"/>
      <c r="U224" s="146"/>
      <c r="V224" s="136"/>
      <c r="W224" s="136"/>
      <c r="X224" s="136"/>
    </row>
    <row r="225" spans="1:24" ht="15.75" customHeight="1" x14ac:dyDescent="0.3">
      <c r="A225" s="144"/>
      <c r="B225" s="136"/>
      <c r="C225" s="136"/>
      <c r="D225" s="136"/>
      <c r="E225" s="145"/>
      <c r="F225" s="136"/>
      <c r="G225" s="136"/>
      <c r="H225" s="136"/>
      <c r="I225" s="145"/>
      <c r="J225" s="136"/>
      <c r="K225" s="136"/>
      <c r="L225" s="136"/>
      <c r="M225" s="145"/>
      <c r="N225" s="136"/>
      <c r="O225" s="136"/>
      <c r="P225" s="136"/>
      <c r="Q225" s="146"/>
      <c r="R225" s="136"/>
      <c r="S225" s="136"/>
      <c r="T225" s="136"/>
      <c r="U225" s="146"/>
      <c r="V225" s="136"/>
      <c r="W225" s="136"/>
      <c r="X225" s="136"/>
    </row>
    <row r="226" spans="1:24" ht="15.75" customHeight="1" x14ac:dyDescent="0.3">
      <c r="A226" s="144"/>
      <c r="B226" s="136"/>
      <c r="C226" s="136"/>
      <c r="D226" s="136"/>
      <c r="E226" s="145"/>
      <c r="F226" s="136"/>
      <c r="G226" s="136"/>
      <c r="H226" s="136"/>
      <c r="I226" s="145"/>
      <c r="J226" s="136"/>
      <c r="K226" s="136"/>
      <c r="L226" s="136"/>
      <c r="M226" s="145"/>
      <c r="N226" s="136"/>
      <c r="O226" s="136"/>
      <c r="P226" s="136"/>
      <c r="Q226" s="146"/>
      <c r="R226" s="136"/>
      <c r="S226" s="136"/>
      <c r="T226" s="136"/>
      <c r="U226" s="146"/>
      <c r="V226" s="136"/>
      <c r="W226" s="136"/>
      <c r="X226" s="136"/>
    </row>
    <row r="227" spans="1:24" ht="15.75" customHeight="1" x14ac:dyDescent="0.3">
      <c r="A227" s="144"/>
      <c r="B227" s="136"/>
      <c r="C227" s="136"/>
      <c r="D227" s="136"/>
      <c r="E227" s="145"/>
      <c r="F227" s="136"/>
      <c r="G227" s="136"/>
      <c r="H227" s="136"/>
      <c r="I227" s="145"/>
      <c r="J227" s="136"/>
      <c r="K227" s="136"/>
      <c r="L227" s="136"/>
      <c r="M227" s="145"/>
      <c r="N227" s="136"/>
      <c r="O227" s="136"/>
      <c r="P227" s="136"/>
      <c r="Q227" s="146"/>
      <c r="R227" s="136"/>
      <c r="S227" s="136"/>
      <c r="T227" s="136"/>
      <c r="U227" s="146"/>
      <c r="V227" s="136"/>
      <c r="W227" s="136"/>
      <c r="X227" s="136"/>
    </row>
    <row r="228" spans="1:24" ht="15.75" customHeight="1" x14ac:dyDescent="0.3">
      <c r="A228" s="144"/>
      <c r="B228" s="136"/>
      <c r="C228" s="136"/>
      <c r="D228" s="136"/>
      <c r="E228" s="145"/>
      <c r="F228" s="136"/>
      <c r="G228" s="136"/>
      <c r="H228" s="136"/>
      <c r="I228" s="145"/>
      <c r="J228" s="136"/>
      <c r="K228" s="136"/>
      <c r="L228" s="136"/>
      <c r="M228" s="145"/>
      <c r="N228" s="136"/>
      <c r="O228" s="136"/>
      <c r="P228" s="136"/>
      <c r="Q228" s="146"/>
      <c r="R228" s="136"/>
      <c r="S228" s="136"/>
      <c r="T228" s="136"/>
      <c r="U228" s="146"/>
      <c r="V228" s="136"/>
      <c r="W228" s="136"/>
      <c r="X228" s="136"/>
    </row>
    <row r="229" spans="1:24" ht="15.75" customHeight="1" x14ac:dyDescent="0.3">
      <c r="A229" s="144"/>
      <c r="B229" s="136"/>
      <c r="C229" s="136"/>
      <c r="D229" s="136"/>
      <c r="E229" s="145"/>
      <c r="F229" s="136"/>
      <c r="G229" s="136"/>
      <c r="H229" s="136"/>
      <c r="I229" s="145"/>
      <c r="J229" s="136"/>
      <c r="K229" s="136"/>
      <c r="L229" s="136"/>
      <c r="M229" s="145"/>
      <c r="N229" s="136"/>
      <c r="O229" s="136"/>
      <c r="P229" s="136"/>
      <c r="Q229" s="146"/>
      <c r="R229" s="136"/>
      <c r="S229" s="136"/>
      <c r="T229" s="136"/>
      <c r="U229" s="146"/>
      <c r="V229" s="136"/>
      <c r="W229" s="136"/>
      <c r="X229" s="136"/>
    </row>
    <row r="230" spans="1:24" ht="15.75" customHeight="1" x14ac:dyDescent="0.3">
      <c r="A230" s="144"/>
      <c r="B230" s="136"/>
      <c r="C230" s="136"/>
      <c r="D230" s="136"/>
      <c r="E230" s="145"/>
      <c r="F230" s="136"/>
      <c r="G230" s="136"/>
      <c r="H230" s="136"/>
      <c r="I230" s="145"/>
      <c r="J230" s="136"/>
      <c r="K230" s="136"/>
      <c r="L230" s="136"/>
      <c r="M230" s="145"/>
      <c r="N230" s="136"/>
      <c r="O230" s="136"/>
      <c r="P230" s="136"/>
      <c r="Q230" s="146"/>
      <c r="R230" s="136"/>
      <c r="S230" s="136"/>
      <c r="T230" s="136"/>
      <c r="U230" s="146"/>
      <c r="V230" s="136"/>
      <c r="W230" s="136"/>
      <c r="X230" s="136"/>
    </row>
    <row r="231" spans="1:24" ht="15.75" customHeight="1" x14ac:dyDescent="0.3">
      <c r="A231" s="144"/>
      <c r="B231" s="136"/>
      <c r="C231" s="136"/>
      <c r="D231" s="136"/>
      <c r="E231" s="145"/>
      <c r="F231" s="136"/>
      <c r="G231" s="136"/>
      <c r="H231" s="136"/>
      <c r="I231" s="145"/>
      <c r="J231" s="136"/>
      <c r="K231" s="136"/>
      <c r="L231" s="136"/>
      <c r="M231" s="145"/>
      <c r="N231" s="136"/>
      <c r="O231" s="136"/>
      <c r="P231" s="136"/>
      <c r="Q231" s="146"/>
      <c r="R231" s="136"/>
      <c r="S231" s="136"/>
      <c r="T231" s="136"/>
      <c r="U231" s="146"/>
      <c r="V231" s="136"/>
      <c r="W231" s="136"/>
      <c r="X231" s="136"/>
    </row>
    <row r="232" spans="1:24" ht="15.75" customHeight="1" x14ac:dyDescent="0.3">
      <c r="A232" s="144"/>
      <c r="B232" s="136"/>
      <c r="C232" s="136"/>
      <c r="D232" s="136"/>
      <c r="E232" s="145"/>
      <c r="F232" s="136"/>
      <c r="G232" s="136"/>
      <c r="H232" s="136"/>
      <c r="I232" s="145"/>
      <c r="J232" s="136"/>
      <c r="K232" s="136"/>
      <c r="L232" s="136"/>
      <c r="M232" s="145"/>
      <c r="N232" s="136"/>
      <c r="O232" s="136"/>
      <c r="P232" s="136"/>
      <c r="Q232" s="146"/>
      <c r="R232" s="136"/>
      <c r="S232" s="136"/>
      <c r="T232" s="136"/>
      <c r="U232" s="146"/>
      <c r="V232" s="136"/>
      <c r="W232" s="136"/>
      <c r="X232" s="136"/>
    </row>
    <row r="233" spans="1:24" ht="15.75" customHeight="1" x14ac:dyDescent="0.3">
      <c r="A233" s="144"/>
      <c r="B233" s="136"/>
      <c r="C233" s="136"/>
      <c r="D233" s="136"/>
      <c r="E233" s="145"/>
      <c r="F233" s="136"/>
      <c r="G233" s="136"/>
      <c r="H233" s="136"/>
      <c r="I233" s="145"/>
      <c r="J233" s="136"/>
      <c r="K233" s="136"/>
      <c r="L233" s="136"/>
      <c r="M233" s="145"/>
      <c r="N233" s="136"/>
      <c r="O233" s="136"/>
      <c r="P233" s="136"/>
      <c r="Q233" s="146"/>
      <c r="R233" s="136"/>
      <c r="S233" s="136"/>
      <c r="T233" s="136"/>
      <c r="U233" s="146"/>
      <c r="V233" s="136"/>
      <c r="W233" s="136"/>
      <c r="X233" s="136"/>
    </row>
    <row r="234" spans="1:24" ht="15.75" customHeight="1" x14ac:dyDescent="0.3">
      <c r="A234" s="144"/>
      <c r="B234" s="136"/>
      <c r="C234" s="136"/>
      <c r="D234" s="136"/>
      <c r="E234" s="145"/>
      <c r="F234" s="136"/>
      <c r="G234" s="136"/>
      <c r="H234" s="136"/>
      <c r="I234" s="145"/>
      <c r="J234" s="136"/>
      <c r="K234" s="136"/>
      <c r="L234" s="136"/>
      <c r="M234" s="145"/>
      <c r="N234" s="136"/>
      <c r="O234" s="136"/>
      <c r="P234" s="136"/>
      <c r="Q234" s="146"/>
      <c r="R234" s="136"/>
      <c r="S234" s="136"/>
      <c r="T234" s="136"/>
      <c r="U234" s="146"/>
      <c r="V234" s="136"/>
      <c r="W234" s="136"/>
      <c r="X234" s="136"/>
    </row>
    <row r="235" spans="1:24" ht="15.75" customHeight="1" x14ac:dyDescent="0.3">
      <c r="A235" s="144"/>
      <c r="B235" s="136"/>
      <c r="C235" s="136"/>
      <c r="D235" s="136"/>
      <c r="E235" s="145"/>
      <c r="F235" s="136"/>
      <c r="G235" s="136"/>
      <c r="H235" s="136"/>
      <c r="I235" s="145"/>
      <c r="J235" s="136"/>
      <c r="K235" s="136"/>
      <c r="L235" s="136"/>
      <c r="M235" s="145"/>
      <c r="N235" s="136"/>
      <c r="O235" s="136"/>
      <c r="P235" s="136"/>
      <c r="Q235" s="146"/>
      <c r="R235" s="136"/>
      <c r="S235" s="136"/>
      <c r="T235" s="136"/>
      <c r="U235" s="146"/>
      <c r="V235" s="136"/>
      <c r="W235" s="136"/>
      <c r="X235" s="136"/>
    </row>
    <row r="236" spans="1:24" ht="15.75" customHeight="1" x14ac:dyDescent="0.3">
      <c r="A236" s="144"/>
      <c r="B236" s="136"/>
      <c r="C236" s="136"/>
      <c r="D236" s="136"/>
      <c r="E236" s="145"/>
      <c r="F236" s="136"/>
      <c r="G236" s="136"/>
      <c r="H236" s="136"/>
      <c r="I236" s="145"/>
      <c r="J236" s="136"/>
      <c r="K236" s="136"/>
      <c r="L236" s="136"/>
      <c r="M236" s="145"/>
      <c r="N236" s="136"/>
      <c r="O236" s="136"/>
      <c r="P236" s="136"/>
      <c r="Q236" s="146"/>
      <c r="R236" s="136"/>
      <c r="S236" s="136"/>
      <c r="T236" s="136"/>
      <c r="U236" s="146"/>
      <c r="V236" s="136"/>
      <c r="W236" s="136"/>
      <c r="X236" s="136"/>
    </row>
    <row r="237" spans="1:24" ht="15.75" customHeight="1" x14ac:dyDescent="0.3">
      <c r="A237" s="144"/>
      <c r="B237" s="136"/>
      <c r="C237" s="136"/>
      <c r="D237" s="136"/>
      <c r="E237" s="145"/>
      <c r="F237" s="136"/>
      <c r="G237" s="136"/>
      <c r="H237" s="136"/>
      <c r="I237" s="145"/>
      <c r="J237" s="136"/>
      <c r="K237" s="136"/>
      <c r="L237" s="136"/>
      <c r="M237" s="145"/>
      <c r="N237" s="136"/>
      <c r="O237" s="136"/>
      <c r="P237" s="136"/>
      <c r="Q237" s="146"/>
      <c r="R237" s="136"/>
      <c r="S237" s="136"/>
      <c r="T237" s="136"/>
      <c r="U237" s="146"/>
      <c r="V237" s="136"/>
      <c r="W237" s="136"/>
      <c r="X237" s="136"/>
    </row>
    <row r="238" spans="1:24" ht="15.75" customHeight="1" x14ac:dyDescent="0.3">
      <c r="A238" s="144"/>
      <c r="B238" s="136"/>
      <c r="C238" s="136"/>
      <c r="D238" s="136"/>
      <c r="E238" s="145"/>
      <c r="F238" s="136"/>
      <c r="G238" s="136"/>
      <c r="H238" s="136"/>
      <c r="I238" s="145"/>
      <c r="J238" s="136"/>
      <c r="K238" s="136"/>
      <c r="L238" s="136"/>
      <c r="M238" s="145"/>
      <c r="N238" s="136"/>
      <c r="O238" s="136"/>
      <c r="P238" s="136"/>
      <c r="Q238" s="146"/>
      <c r="R238" s="136"/>
      <c r="S238" s="136"/>
      <c r="T238" s="136"/>
      <c r="U238" s="146"/>
      <c r="V238" s="136"/>
      <c r="W238" s="136"/>
      <c r="X238" s="136"/>
    </row>
    <row r="239" spans="1:24" ht="15.75" customHeight="1" x14ac:dyDescent="0.3">
      <c r="A239" s="144"/>
      <c r="B239" s="136"/>
      <c r="C239" s="136"/>
      <c r="D239" s="136"/>
      <c r="E239" s="145"/>
      <c r="F239" s="136"/>
      <c r="G239" s="136"/>
      <c r="H239" s="136"/>
      <c r="I239" s="145"/>
      <c r="J239" s="136"/>
      <c r="K239" s="136"/>
      <c r="L239" s="136"/>
      <c r="M239" s="145"/>
      <c r="N239" s="136"/>
      <c r="O239" s="136"/>
      <c r="P239" s="136"/>
      <c r="Q239" s="146"/>
      <c r="R239" s="136"/>
      <c r="S239" s="136"/>
      <c r="T239" s="136"/>
      <c r="U239" s="146"/>
      <c r="V239" s="136"/>
      <c r="W239" s="136"/>
      <c r="X239" s="136"/>
    </row>
    <row r="240" spans="1:24" ht="15.75" customHeight="1" x14ac:dyDescent="0.25">
      <c r="A240" s="151" t="s">
        <v>36</v>
      </c>
      <c r="B240" s="136" t="s">
        <v>929</v>
      </c>
      <c r="C240" s="136"/>
      <c r="D240" s="136"/>
      <c r="E240" s="145"/>
      <c r="F240" s="136"/>
      <c r="G240" s="136"/>
      <c r="H240" s="136"/>
      <c r="I240" s="145"/>
      <c r="J240" s="136"/>
      <c r="K240" s="136"/>
      <c r="L240" s="136"/>
      <c r="M240" s="145"/>
      <c r="N240" s="136"/>
      <c r="O240" s="136"/>
      <c r="P240" s="136"/>
      <c r="Q240" s="146"/>
      <c r="R240" s="136"/>
      <c r="S240" s="136"/>
      <c r="T240" s="136"/>
      <c r="U240" s="146"/>
      <c r="V240" s="136"/>
      <c r="W240" s="136"/>
      <c r="X240" s="136"/>
    </row>
    <row r="241" spans="1:24" ht="15.75" customHeight="1" x14ac:dyDescent="0.3">
      <c r="A241" s="144"/>
      <c r="B241" s="136" t="s">
        <v>929</v>
      </c>
      <c r="C241" s="136"/>
      <c r="D241" s="136"/>
      <c r="E241" s="145"/>
      <c r="F241" s="136"/>
      <c r="G241" s="136"/>
      <c r="H241" s="136"/>
      <c r="I241" s="145"/>
      <c r="J241" s="136"/>
      <c r="K241" s="136"/>
      <c r="L241" s="136"/>
      <c r="M241" s="145"/>
      <c r="N241" s="136"/>
      <c r="O241" s="136"/>
      <c r="P241" s="136"/>
      <c r="Q241" s="146"/>
      <c r="R241" s="136"/>
      <c r="S241" s="136"/>
      <c r="T241" s="136"/>
      <c r="U241" s="146"/>
      <c r="V241" s="136"/>
      <c r="W241" s="136"/>
      <c r="X241" s="136"/>
    </row>
    <row r="242" spans="1:24" ht="15.75" customHeight="1" x14ac:dyDescent="0.3">
      <c r="A242" s="144"/>
      <c r="B242" s="136" t="s">
        <v>929</v>
      </c>
      <c r="C242" s="136"/>
      <c r="D242" s="136"/>
      <c r="E242" s="145"/>
      <c r="F242" s="136"/>
      <c r="G242" s="136"/>
      <c r="H242" s="136"/>
      <c r="I242" s="145"/>
      <c r="J242" s="136"/>
      <c r="K242" s="136"/>
      <c r="L242" s="136"/>
      <c r="M242" s="145"/>
      <c r="N242" s="136"/>
      <c r="O242" s="136"/>
      <c r="P242" s="136"/>
      <c r="Q242" s="146"/>
      <c r="R242" s="136"/>
      <c r="S242" s="136"/>
      <c r="T242" s="136"/>
      <c r="U242" s="146"/>
      <c r="V242" s="136"/>
      <c r="W242" s="136"/>
      <c r="X242" s="136"/>
    </row>
    <row r="243" spans="1:24" ht="15.75" customHeight="1" x14ac:dyDescent="0.3">
      <c r="A243" s="144"/>
      <c r="B243" s="136" t="s">
        <v>929</v>
      </c>
      <c r="C243" s="136"/>
      <c r="D243" s="136"/>
      <c r="E243" s="145"/>
      <c r="F243" s="136"/>
      <c r="G243" s="136"/>
      <c r="H243" s="136"/>
      <c r="I243" s="145"/>
      <c r="J243" s="136"/>
      <c r="K243" s="136"/>
      <c r="L243" s="136"/>
      <c r="M243" s="145"/>
      <c r="N243" s="136"/>
      <c r="O243" s="136"/>
      <c r="P243" s="136"/>
      <c r="Q243" s="146"/>
      <c r="R243" s="136"/>
      <c r="S243" s="136"/>
      <c r="T243" s="136"/>
      <c r="U243" s="146"/>
      <c r="V243" s="136"/>
      <c r="W243" s="136"/>
      <c r="X243" s="136"/>
    </row>
    <row r="244" spans="1:24" ht="15.75" customHeight="1" x14ac:dyDescent="0.3">
      <c r="A244" s="144"/>
      <c r="B244" s="136" t="s">
        <v>929</v>
      </c>
      <c r="C244" s="136"/>
      <c r="D244" s="136"/>
      <c r="E244" s="145"/>
      <c r="F244" s="136"/>
      <c r="G244" s="136"/>
      <c r="H244" s="136"/>
      <c r="I244" s="145"/>
      <c r="J244" s="136"/>
      <c r="K244" s="136"/>
      <c r="L244" s="136"/>
      <c r="M244" s="145"/>
      <c r="N244" s="136"/>
      <c r="O244" s="136"/>
      <c r="P244" s="136"/>
      <c r="Q244" s="146"/>
      <c r="R244" s="136"/>
      <c r="S244" s="136"/>
      <c r="T244" s="136"/>
      <c r="U244" s="146"/>
      <c r="V244" s="136"/>
      <c r="W244" s="136"/>
      <c r="X244" s="136"/>
    </row>
    <row r="245" spans="1:24" ht="15.75" customHeight="1" x14ac:dyDescent="0.3">
      <c r="A245" s="144"/>
      <c r="B245" s="136"/>
      <c r="C245" s="136"/>
      <c r="D245" s="136"/>
      <c r="E245" s="145"/>
      <c r="F245" s="136"/>
      <c r="G245" s="136"/>
      <c r="H245" s="136"/>
      <c r="I245" s="145"/>
      <c r="J245" s="136"/>
      <c r="K245" s="136"/>
      <c r="L245" s="136"/>
      <c r="M245" s="145"/>
      <c r="N245" s="136"/>
      <c r="O245" s="136"/>
      <c r="P245" s="136"/>
      <c r="Q245" s="146"/>
      <c r="R245" s="136"/>
      <c r="S245" s="136"/>
      <c r="T245" s="136"/>
      <c r="U245" s="146"/>
      <c r="V245" s="136"/>
      <c r="W245" s="136"/>
      <c r="X245" s="136"/>
    </row>
    <row r="246" spans="1:24" ht="15.75" customHeight="1" x14ac:dyDescent="0.3">
      <c r="A246" s="144"/>
      <c r="B246" s="136"/>
      <c r="C246" s="136"/>
      <c r="D246" s="136"/>
      <c r="E246" s="145"/>
      <c r="F246" s="136"/>
      <c r="G246" s="136"/>
      <c r="H246" s="136"/>
      <c r="I246" s="145"/>
      <c r="J246" s="136"/>
      <c r="K246" s="136"/>
      <c r="L246" s="136"/>
      <c r="M246" s="145"/>
      <c r="N246" s="136"/>
      <c r="O246" s="136"/>
      <c r="P246" s="136"/>
      <c r="Q246" s="146"/>
      <c r="R246" s="136"/>
      <c r="S246" s="136"/>
      <c r="T246" s="136"/>
      <c r="U246" s="146"/>
      <c r="V246" s="136"/>
      <c r="W246" s="136"/>
      <c r="X246" s="136"/>
    </row>
    <row r="247" spans="1:24" ht="15.75" customHeight="1" x14ac:dyDescent="0.3">
      <c r="A247" s="144"/>
      <c r="B247" s="136"/>
      <c r="C247" s="136"/>
      <c r="D247" s="136"/>
      <c r="E247" s="145"/>
      <c r="F247" s="136"/>
      <c r="G247" s="136"/>
      <c r="H247" s="136"/>
      <c r="I247" s="145"/>
      <c r="J247" s="136"/>
      <c r="K247" s="136"/>
      <c r="L247" s="136"/>
      <c r="M247" s="145"/>
      <c r="N247" s="136"/>
      <c r="O247" s="136"/>
      <c r="P247" s="136"/>
      <c r="Q247" s="146"/>
      <c r="R247" s="136"/>
      <c r="S247" s="136"/>
      <c r="T247" s="136"/>
      <c r="U247" s="146"/>
      <c r="V247" s="136"/>
      <c r="W247" s="136"/>
      <c r="X247" s="136"/>
    </row>
    <row r="248" spans="1:24" ht="15.75" customHeight="1" x14ac:dyDescent="0.3">
      <c r="A248" s="144"/>
      <c r="B248" s="136"/>
      <c r="C248" s="136"/>
      <c r="D248" s="136"/>
      <c r="E248" s="145"/>
      <c r="F248" s="136"/>
      <c r="G248" s="136"/>
      <c r="H248" s="136"/>
      <c r="I248" s="145"/>
      <c r="J248" s="136"/>
      <c r="K248" s="136"/>
      <c r="L248" s="136"/>
      <c r="M248" s="145"/>
      <c r="N248" s="136"/>
      <c r="O248" s="136"/>
      <c r="P248" s="136"/>
      <c r="Q248" s="146"/>
      <c r="R248" s="136"/>
      <c r="S248" s="136"/>
      <c r="T248" s="136"/>
      <c r="U248" s="146"/>
      <c r="V248" s="136"/>
      <c r="W248" s="136"/>
      <c r="X248" s="136"/>
    </row>
    <row r="249" spans="1:24" ht="15.75" customHeight="1" x14ac:dyDescent="0.3">
      <c r="A249" s="144"/>
      <c r="B249" s="136"/>
      <c r="C249" s="136"/>
      <c r="D249" s="136"/>
      <c r="E249" s="145"/>
      <c r="F249" s="136"/>
      <c r="G249" s="136"/>
      <c r="H249" s="136"/>
      <c r="I249" s="145"/>
      <c r="J249" s="136"/>
      <c r="K249" s="136"/>
      <c r="L249" s="136"/>
      <c r="M249" s="145"/>
      <c r="N249" s="136"/>
      <c r="O249" s="136"/>
      <c r="P249" s="136"/>
      <c r="Q249" s="146"/>
      <c r="R249" s="136"/>
      <c r="S249" s="136"/>
      <c r="T249" s="136"/>
      <c r="U249" s="146"/>
      <c r="V249" s="136"/>
      <c r="W249" s="136"/>
      <c r="X249" s="136"/>
    </row>
    <row r="250" spans="1:24" ht="15.75" customHeight="1" x14ac:dyDescent="0.3">
      <c r="A250" s="144"/>
      <c r="B250" s="136"/>
      <c r="C250" s="136"/>
      <c r="D250" s="136"/>
      <c r="E250" s="145"/>
      <c r="F250" s="136"/>
      <c r="G250" s="136"/>
      <c r="H250" s="136"/>
      <c r="I250" s="145"/>
      <c r="J250" s="136"/>
      <c r="K250" s="136"/>
      <c r="L250" s="136"/>
      <c r="M250" s="145"/>
      <c r="N250" s="136"/>
      <c r="O250" s="136"/>
      <c r="P250" s="136"/>
      <c r="Q250" s="146"/>
      <c r="R250" s="136"/>
      <c r="S250" s="136"/>
      <c r="T250" s="136"/>
      <c r="U250" s="146"/>
      <c r="V250" s="136"/>
      <c r="W250" s="136"/>
      <c r="X250" s="136"/>
    </row>
    <row r="251" spans="1:24" ht="15.75" customHeight="1" x14ac:dyDescent="0.3">
      <c r="A251" s="144"/>
      <c r="B251" s="136"/>
      <c r="C251" s="136"/>
      <c r="D251" s="136"/>
      <c r="E251" s="145"/>
      <c r="F251" s="136"/>
      <c r="G251" s="136"/>
      <c r="H251" s="136"/>
      <c r="I251" s="145"/>
      <c r="J251" s="136"/>
      <c r="K251" s="136"/>
      <c r="L251" s="136"/>
      <c r="M251" s="145"/>
      <c r="N251" s="136"/>
      <c r="O251" s="136"/>
      <c r="P251" s="136"/>
      <c r="Q251" s="146"/>
      <c r="R251" s="136"/>
      <c r="S251" s="136"/>
      <c r="T251" s="136"/>
      <c r="U251" s="146"/>
      <c r="V251" s="136"/>
      <c r="W251" s="136"/>
      <c r="X251" s="136"/>
    </row>
    <row r="252" spans="1:24" ht="15.75" customHeight="1" x14ac:dyDescent="0.3">
      <c r="A252" s="144"/>
      <c r="B252" s="136"/>
      <c r="C252" s="136"/>
      <c r="D252" s="136"/>
      <c r="E252" s="145"/>
      <c r="F252" s="136"/>
      <c r="G252" s="136"/>
      <c r="H252" s="136"/>
      <c r="I252" s="145"/>
      <c r="J252" s="136"/>
      <c r="K252" s="136"/>
      <c r="L252" s="136"/>
      <c r="M252" s="145"/>
      <c r="N252" s="136"/>
      <c r="O252" s="136"/>
      <c r="P252" s="136"/>
      <c r="Q252" s="146"/>
      <c r="R252" s="136"/>
      <c r="S252" s="136"/>
      <c r="T252" s="136"/>
      <c r="U252" s="146"/>
      <c r="V252" s="136"/>
      <c r="W252" s="136"/>
      <c r="X252" s="136"/>
    </row>
    <row r="253" spans="1:24" ht="15.75" customHeight="1" x14ac:dyDescent="0.3">
      <c r="A253" s="144"/>
      <c r="B253" s="136"/>
      <c r="C253" s="136"/>
      <c r="D253" s="136"/>
      <c r="E253" s="145"/>
      <c r="F253" s="136"/>
      <c r="G253" s="136"/>
      <c r="H253" s="136"/>
      <c r="I253" s="145"/>
      <c r="J253" s="136"/>
      <c r="K253" s="136"/>
      <c r="L253" s="136"/>
      <c r="M253" s="145"/>
      <c r="N253" s="136"/>
      <c r="O253" s="136"/>
      <c r="P253" s="136"/>
      <c r="Q253" s="146"/>
      <c r="R253" s="136"/>
      <c r="S253" s="136"/>
      <c r="T253" s="136"/>
      <c r="U253" s="146"/>
      <c r="V253" s="136"/>
      <c r="W253" s="136"/>
      <c r="X253" s="136"/>
    </row>
    <row r="254" spans="1:24" ht="15.75" customHeight="1" x14ac:dyDescent="0.3">
      <c r="A254" s="144"/>
      <c r="B254" s="136"/>
      <c r="C254" s="136"/>
      <c r="D254" s="136"/>
      <c r="E254" s="145"/>
      <c r="F254" s="136"/>
      <c r="G254" s="136"/>
      <c r="H254" s="136"/>
      <c r="I254" s="145"/>
      <c r="J254" s="136"/>
      <c r="K254" s="136"/>
      <c r="L254" s="136"/>
      <c r="M254" s="145"/>
      <c r="N254" s="136"/>
      <c r="O254" s="136"/>
      <c r="P254" s="136"/>
      <c r="Q254" s="146"/>
      <c r="R254" s="136"/>
      <c r="S254" s="136"/>
      <c r="T254" s="136"/>
      <c r="U254" s="146"/>
      <c r="V254" s="136"/>
      <c r="W254" s="136"/>
      <c r="X254" s="136"/>
    </row>
    <row r="255" spans="1:24" ht="15.75" customHeight="1" x14ac:dyDescent="0.3">
      <c r="A255" s="144"/>
      <c r="B255" s="136"/>
      <c r="C255" s="136"/>
      <c r="D255" s="136"/>
      <c r="E255" s="145"/>
      <c r="F255" s="136"/>
      <c r="G255" s="136"/>
      <c r="H255" s="136"/>
      <c r="I255" s="145"/>
      <c r="J255" s="136"/>
      <c r="K255" s="136"/>
      <c r="L255" s="136"/>
      <c r="M255" s="145"/>
      <c r="N255" s="136"/>
      <c r="O255" s="136"/>
      <c r="P255" s="136"/>
      <c r="Q255" s="146"/>
      <c r="R255" s="136"/>
      <c r="S255" s="136"/>
      <c r="T255" s="136"/>
      <c r="U255" s="146"/>
      <c r="V255" s="136"/>
      <c r="W255" s="136"/>
      <c r="X255" s="136"/>
    </row>
    <row r="256" spans="1:24" ht="15.75" customHeight="1" x14ac:dyDescent="0.3">
      <c r="A256" s="144"/>
      <c r="B256" s="136"/>
      <c r="C256" s="136"/>
      <c r="D256" s="136"/>
      <c r="E256" s="145"/>
      <c r="F256" s="136"/>
      <c r="G256" s="136"/>
      <c r="H256" s="136"/>
      <c r="I256" s="145"/>
      <c r="J256" s="136"/>
      <c r="K256" s="136"/>
      <c r="L256" s="136"/>
      <c r="M256" s="145"/>
      <c r="N256" s="136"/>
      <c r="O256" s="136"/>
      <c r="P256" s="136"/>
      <c r="Q256" s="146"/>
      <c r="R256" s="136"/>
      <c r="S256" s="136"/>
      <c r="T256" s="136"/>
      <c r="U256" s="146"/>
      <c r="V256" s="136"/>
      <c r="W256" s="136"/>
      <c r="X256" s="136"/>
    </row>
    <row r="257" spans="1:24" ht="15.75" customHeight="1" x14ac:dyDescent="0.3">
      <c r="A257" s="144"/>
      <c r="B257" s="136"/>
      <c r="C257" s="136"/>
      <c r="D257" s="136"/>
      <c r="E257" s="145"/>
      <c r="F257" s="136"/>
      <c r="G257" s="136"/>
      <c r="H257" s="136"/>
      <c r="I257" s="145"/>
      <c r="J257" s="136"/>
      <c r="K257" s="136"/>
      <c r="L257" s="136"/>
      <c r="M257" s="145"/>
      <c r="N257" s="136"/>
      <c r="O257" s="136"/>
      <c r="P257" s="136"/>
      <c r="Q257" s="146"/>
      <c r="R257" s="136"/>
      <c r="S257" s="136"/>
      <c r="T257" s="136"/>
      <c r="U257" s="146"/>
      <c r="V257" s="136"/>
      <c r="W257" s="136"/>
      <c r="X257" s="136"/>
    </row>
    <row r="258" spans="1:24" ht="15.75" customHeight="1" x14ac:dyDescent="0.3">
      <c r="A258" s="144"/>
      <c r="B258" s="136"/>
      <c r="C258" s="136"/>
      <c r="D258" s="136"/>
      <c r="E258" s="145"/>
      <c r="F258" s="136"/>
      <c r="G258" s="136"/>
      <c r="H258" s="136"/>
      <c r="I258" s="145"/>
      <c r="J258" s="136"/>
      <c r="K258" s="136"/>
      <c r="L258" s="136"/>
      <c r="M258" s="145"/>
      <c r="N258" s="136"/>
      <c r="O258" s="136"/>
      <c r="P258" s="136"/>
      <c r="Q258" s="146"/>
      <c r="R258" s="136"/>
      <c r="S258" s="136"/>
      <c r="T258" s="136"/>
      <c r="U258" s="146"/>
      <c r="V258" s="136"/>
      <c r="W258" s="136"/>
      <c r="X258" s="136"/>
    </row>
    <row r="259" spans="1:24" ht="15.75" customHeight="1" x14ac:dyDescent="0.3">
      <c r="A259" s="144"/>
      <c r="B259" s="136"/>
      <c r="C259" s="136"/>
      <c r="D259" s="136"/>
      <c r="E259" s="145"/>
      <c r="F259" s="136"/>
      <c r="G259" s="136"/>
      <c r="H259" s="136"/>
      <c r="I259" s="145"/>
      <c r="J259" s="136"/>
      <c r="K259" s="136"/>
      <c r="L259" s="136"/>
      <c r="M259" s="145"/>
      <c r="N259" s="136"/>
      <c r="O259" s="136"/>
      <c r="P259" s="136"/>
      <c r="Q259" s="146"/>
      <c r="R259" s="136"/>
      <c r="S259" s="136"/>
      <c r="T259" s="136"/>
      <c r="U259" s="146"/>
      <c r="V259" s="136"/>
      <c r="W259" s="136"/>
      <c r="X259" s="136"/>
    </row>
    <row r="260" spans="1:24" ht="15.75" customHeight="1" x14ac:dyDescent="0.3">
      <c r="A260" s="144"/>
      <c r="B260" s="136"/>
      <c r="C260" s="136"/>
      <c r="D260" s="136"/>
      <c r="E260" s="145"/>
      <c r="F260" s="136"/>
      <c r="G260" s="136"/>
      <c r="H260" s="136"/>
      <c r="I260" s="145"/>
      <c r="J260" s="136"/>
      <c r="K260" s="136"/>
      <c r="L260" s="136"/>
      <c r="M260" s="145"/>
      <c r="N260" s="136"/>
      <c r="O260" s="136"/>
      <c r="P260" s="136"/>
      <c r="Q260" s="146"/>
      <c r="R260" s="136"/>
      <c r="S260" s="136"/>
      <c r="T260" s="136"/>
      <c r="U260" s="146"/>
      <c r="V260" s="136"/>
      <c r="W260" s="136"/>
      <c r="X260" s="136"/>
    </row>
    <row r="261" spans="1:24" ht="15.75" customHeight="1" x14ac:dyDescent="0.3">
      <c r="A261" s="144"/>
      <c r="B261" s="136"/>
      <c r="C261" s="136"/>
      <c r="D261" s="136"/>
      <c r="E261" s="145"/>
      <c r="F261" s="136"/>
      <c r="G261" s="136"/>
      <c r="H261" s="136"/>
      <c r="I261" s="145"/>
      <c r="J261" s="136"/>
      <c r="K261" s="136"/>
      <c r="L261" s="136"/>
      <c r="M261" s="145"/>
      <c r="N261" s="136"/>
      <c r="O261" s="136"/>
      <c r="P261" s="136"/>
      <c r="Q261" s="146"/>
      <c r="R261" s="136"/>
      <c r="S261" s="136"/>
      <c r="T261" s="136"/>
      <c r="U261" s="146"/>
      <c r="V261" s="136"/>
      <c r="W261" s="136"/>
      <c r="X261" s="136"/>
    </row>
    <row r="262" spans="1:24" ht="15.75" customHeight="1" x14ac:dyDescent="0.3">
      <c r="A262" s="144"/>
      <c r="B262" s="136"/>
      <c r="C262" s="136"/>
      <c r="D262" s="136"/>
      <c r="E262" s="145"/>
      <c r="F262" s="136"/>
      <c r="G262" s="136"/>
      <c r="H262" s="136"/>
      <c r="I262" s="145"/>
      <c r="J262" s="136"/>
      <c r="K262" s="136"/>
      <c r="L262" s="136"/>
      <c r="M262" s="145"/>
      <c r="N262" s="136"/>
      <c r="O262" s="136"/>
      <c r="P262" s="136"/>
      <c r="Q262" s="146"/>
      <c r="R262" s="136"/>
      <c r="S262" s="136"/>
      <c r="T262" s="136"/>
      <c r="U262" s="146"/>
      <c r="V262" s="136"/>
      <c r="W262" s="136"/>
      <c r="X262" s="136"/>
    </row>
    <row r="263" spans="1:24" ht="15.75" customHeight="1" x14ac:dyDescent="0.3">
      <c r="A263" s="144"/>
      <c r="B263" s="136"/>
      <c r="C263" s="136"/>
      <c r="D263" s="136"/>
      <c r="E263" s="145"/>
      <c r="F263" s="136"/>
      <c r="G263" s="136"/>
      <c r="H263" s="136"/>
      <c r="I263" s="145"/>
      <c r="J263" s="136"/>
      <c r="K263" s="136"/>
      <c r="L263" s="136"/>
      <c r="M263" s="145"/>
      <c r="N263" s="136"/>
      <c r="O263" s="136"/>
      <c r="P263" s="136"/>
      <c r="Q263" s="146"/>
      <c r="R263" s="136"/>
      <c r="S263" s="136"/>
      <c r="T263" s="136"/>
      <c r="U263" s="146"/>
      <c r="V263" s="136"/>
      <c r="W263" s="136"/>
      <c r="X263" s="136"/>
    </row>
    <row r="264" spans="1:24" ht="15.75" customHeight="1" x14ac:dyDescent="0.3">
      <c r="A264" s="144"/>
      <c r="B264" s="136"/>
      <c r="C264" s="136"/>
      <c r="D264" s="136"/>
      <c r="E264" s="145"/>
      <c r="F264" s="136"/>
      <c r="G264" s="136"/>
      <c r="H264" s="136"/>
      <c r="I264" s="145"/>
      <c r="J264" s="136"/>
      <c r="K264" s="136"/>
      <c r="L264" s="136"/>
      <c r="M264" s="145"/>
      <c r="N264" s="136"/>
      <c r="O264" s="136"/>
      <c r="P264" s="136"/>
      <c r="Q264" s="146"/>
      <c r="R264" s="136"/>
      <c r="S264" s="136"/>
      <c r="T264" s="136"/>
      <c r="U264" s="146"/>
      <c r="V264" s="136"/>
      <c r="W264" s="136"/>
      <c r="X264" s="136"/>
    </row>
    <row r="265" spans="1:24" ht="15.75" customHeight="1" x14ac:dyDescent="0.3">
      <c r="A265" s="144"/>
      <c r="B265" s="136"/>
      <c r="C265" s="136"/>
      <c r="D265" s="136"/>
      <c r="E265" s="145"/>
      <c r="F265" s="136"/>
      <c r="G265" s="136"/>
      <c r="H265" s="136"/>
      <c r="I265" s="145"/>
      <c r="J265" s="136"/>
      <c r="K265" s="136"/>
      <c r="L265" s="136"/>
      <c r="M265" s="145"/>
      <c r="N265" s="136"/>
      <c r="O265" s="136"/>
      <c r="P265" s="136"/>
      <c r="Q265" s="146"/>
      <c r="R265" s="136"/>
      <c r="S265" s="136"/>
      <c r="T265" s="136"/>
      <c r="U265" s="146"/>
      <c r="V265" s="136"/>
      <c r="W265" s="136"/>
      <c r="X265" s="136"/>
    </row>
    <row r="266" spans="1:24" ht="15.75" customHeight="1" x14ac:dyDescent="0.3">
      <c r="A266" s="144"/>
      <c r="B266" s="136"/>
      <c r="C266" s="136"/>
      <c r="D266" s="136"/>
      <c r="E266" s="145"/>
      <c r="F266" s="136"/>
      <c r="G266" s="136"/>
      <c r="H266" s="136"/>
      <c r="I266" s="145"/>
      <c r="J266" s="136"/>
      <c r="K266" s="136"/>
      <c r="L266" s="136"/>
      <c r="M266" s="145"/>
      <c r="N266" s="136"/>
      <c r="O266" s="136"/>
      <c r="P266" s="136"/>
      <c r="Q266" s="146"/>
      <c r="R266" s="136"/>
      <c r="S266" s="136"/>
      <c r="T266" s="136"/>
      <c r="U266" s="146"/>
      <c r="V266" s="136"/>
      <c r="W266" s="136"/>
      <c r="X266" s="136"/>
    </row>
    <row r="267" spans="1:24" ht="15.75" customHeight="1" x14ac:dyDescent="0.3">
      <c r="A267" s="144"/>
      <c r="B267" s="136"/>
      <c r="C267" s="136"/>
      <c r="D267" s="136"/>
      <c r="E267" s="145"/>
      <c r="F267" s="136"/>
      <c r="G267" s="136"/>
      <c r="H267" s="136"/>
      <c r="I267" s="145"/>
      <c r="J267" s="136"/>
      <c r="K267" s="136"/>
      <c r="L267" s="136"/>
      <c r="M267" s="145"/>
      <c r="N267" s="136"/>
      <c r="O267" s="136"/>
      <c r="P267" s="136"/>
      <c r="Q267" s="146"/>
      <c r="R267" s="136"/>
      <c r="S267" s="136"/>
      <c r="T267" s="136"/>
      <c r="U267" s="146"/>
      <c r="V267" s="136"/>
      <c r="W267" s="136"/>
      <c r="X267" s="136"/>
    </row>
    <row r="268" spans="1:24" ht="15.75" customHeight="1" x14ac:dyDescent="0.3">
      <c r="A268" s="144"/>
      <c r="B268" s="136"/>
      <c r="C268" s="136"/>
      <c r="D268" s="136"/>
      <c r="E268" s="145"/>
      <c r="F268" s="136"/>
      <c r="G268" s="136"/>
      <c r="H268" s="136"/>
      <c r="I268" s="145"/>
      <c r="J268" s="136"/>
      <c r="K268" s="136"/>
      <c r="L268" s="136"/>
      <c r="M268" s="145"/>
      <c r="N268" s="136"/>
      <c r="O268" s="136"/>
      <c r="P268" s="136"/>
      <c r="Q268" s="146"/>
      <c r="R268" s="136"/>
      <c r="S268" s="136"/>
      <c r="T268" s="136"/>
      <c r="U268" s="146"/>
      <c r="V268" s="136"/>
      <c r="W268" s="136"/>
      <c r="X268" s="136"/>
    </row>
    <row r="269" spans="1:24" ht="15.75" customHeight="1" x14ac:dyDescent="0.3">
      <c r="A269" s="144"/>
      <c r="B269" s="136"/>
      <c r="C269" s="136"/>
      <c r="D269" s="136"/>
      <c r="E269" s="145"/>
      <c r="F269" s="136"/>
      <c r="G269" s="136"/>
      <c r="H269" s="136"/>
      <c r="I269" s="145"/>
      <c r="J269" s="136"/>
      <c r="K269" s="136"/>
      <c r="L269" s="136"/>
      <c r="M269" s="145"/>
      <c r="N269" s="136"/>
      <c r="O269" s="136"/>
      <c r="P269" s="136"/>
      <c r="Q269" s="146"/>
      <c r="R269" s="136"/>
      <c r="S269" s="136"/>
      <c r="T269" s="136"/>
      <c r="U269" s="146"/>
      <c r="V269" s="136"/>
      <c r="W269" s="136"/>
      <c r="X269" s="136"/>
    </row>
    <row r="270" spans="1:24" ht="15.75" customHeight="1" x14ac:dyDescent="0.3">
      <c r="A270" s="144"/>
      <c r="B270" s="136"/>
      <c r="C270" s="136"/>
      <c r="D270" s="136"/>
      <c r="E270" s="145"/>
      <c r="F270" s="136"/>
      <c r="G270" s="136"/>
      <c r="H270" s="136"/>
      <c r="I270" s="145"/>
      <c r="J270" s="136"/>
      <c r="K270" s="136"/>
      <c r="L270" s="136"/>
      <c r="M270" s="145"/>
      <c r="N270" s="136"/>
      <c r="O270" s="136"/>
      <c r="P270" s="136"/>
      <c r="Q270" s="146"/>
      <c r="R270" s="136"/>
      <c r="S270" s="136"/>
      <c r="T270" s="136"/>
      <c r="U270" s="146"/>
      <c r="V270" s="136"/>
      <c r="W270" s="136"/>
      <c r="X270" s="136"/>
    </row>
    <row r="271" spans="1:24" ht="15.75" customHeight="1" x14ac:dyDescent="0.3">
      <c r="A271" s="144"/>
      <c r="B271" s="136"/>
      <c r="C271" s="136"/>
      <c r="D271" s="136"/>
      <c r="E271" s="145"/>
      <c r="F271" s="136"/>
      <c r="G271" s="136"/>
      <c r="H271" s="136"/>
      <c r="I271" s="145"/>
      <c r="J271" s="136"/>
      <c r="K271" s="136"/>
      <c r="L271" s="136"/>
      <c r="M271" s="145"/>
      <c r="N271" s="136"/>
      <c r="O271" s="136"/>
      <c r="P271" s="136"/>
      <c r="Q271" s="146"/>
      <c r="R271" s="136"/>
      <c r="S271" s="136"/>
      <c r="T271" s="136"/>
      <c r="U271" s="146"/>
      <c r="V271" s="136"/>
      <c r="W271" s="136"/>
      <c r="X271" s="136"/>
    </row>
    <row r="272" spans="1:24" ht="15.75" customHeight="1" x14ac:dyDescent="0.3">
      <c r="A272" s="144"/>
      <c r="B272" s="136"/>
      <c r="C272" s="136"/>
      <c r="D272" s="136"/>
      <c r="E272" s="145"/>
      <c r="F272" s="136"/>
      <c r="G272" s="136"/>
      <c r="H272" s="136"/>
      <c r="I272" s="145"/>
      <c r="J272" s="136"/>
      <c r="K272" s="136"/>
      <c r="L272" s="136"/>
      <c r="M272" s="145"/>
      <c r="N272" s="136"/>
      <c r="O272" s="136"/>
      <c r="P272" s="136"/>
      <c r="Q272" s="146"/>
      <c r="R272" s="136"/>
      <c r="S272" s="136"/>
      <c r="T272" s="136"/>
      <c r="U272" s="146"/>
      <c r="V272" s="136"/>
      <c r="W272" s="136"/>
      <c r="X272" s="136"/>
    </row>
    <row r="273" spans="1:24" ht="15.75" customHeight="1" x14ac:dyDescent="0.3">
      <c r="A273" s="144"/>
      <c r="B273" s="136"/>
      <c r="C273" s="136"/>
      <c r="D273" s="136"/>
      <c r="E273" s="145"/>
      <c r="F273" s="136"/>
      <c r="G273" s="136"/>
      <c r="H273" s="136"/>
      <c r="I273" s="145"/>
      <c r="J273" s="136"/>
      <c r="K273" s="136"/>
      <c r="L273" s="136"/>
      <c r="M273" s="145"/>
      <c r="N273" s="136"/>
      <c r="O273" s="136"/>
      <c r="P273" s="136"/>
      <c r="Q273" s="146"/>
      <c r="R273" s="136"/>
      <c r="S273" s="136"/>
      <c r="T273" s="136"/>
      <c r="U273" s="146"/>
      <c r="V273" s="136"/>
      <c r="W273" s="136"/>
      <c r="X273" s="136"/>
    </row>
    <row r="274" spans="1:24" ht="15.75" customHeight="1" x14ac:dyDescent="0.3">
      <c r="A274" s="144"/>
      <c r="B274" s="136"/>
      <c r="C274" s="136"/>
      <c r="D274" s="136"/>
      <c r="E274" s="145"/>
      <c r="F274" s="136"/>
      <c r="G274" s="136"/>
      <c r="H274" s="136"/>
      <c r="I274" s="145"/>
      <c r="J274" s="136"/>
      <c r="K274" s="136"/>
      <c r="L274" s="136"/>
      <c r="M274" s="145"/>
      <c r="N274" s="136"/>
      <c r="O274" s="136"/>
      <c r="P274" s="136"/>
      <c r="Q274" s="146"/>
      <c r="R274" s="136"/>
      <c r="S274" s="136"/>
      <c r="T274" s="136"/>
      <c r="U274" s="146"/>
      <c r="V274" s="136"/>
      <c r="W274" s="136"/>
      <c r="X274" s="136"/>
    </row>
    <row r="275" spans="1:24" ht="15.75" customHeight="1" x14ac:dyDescent="0.3">
      <c r="A275" s="144"/>
      <c r="B275" s="136"/>
      <c r="C275" s="136"/>
      <c r="D275" s="136"/>
      <c r="E275" s="145"/>
      <c r="F275" s="136"/>
      <c r="G275" s="136"/>
      <c r="H275" s="136"/>
      <c r="I275" s="145"/>
      <c r="J275" s="136"/>
      <c r="K275" s="136"/>
      <c r="L275" s="136"/>
      <c r="M275" s="145"/>
      <c r="N275" s="136"/>
      <c r="O275" s="136"/>
      <c r="P275" s="136"/>
      <c r="Q275" s="146"/>
      <c r="R275" s="136"/>
      <c r="S275" s="136"/>
      <c r="T275" s="136"/>
      <c r="U275" s="146"/>
      <c r="V275" s="136"/>
      <c r="W275" s="136"/>
      <c r="X275" s="136"/>
    </row>
    <row r="276" spans="1:24" ht="15.75" customHeight="1" x14ac:dyDescent="0.3">
      <c r="A276" s="144"/>
      <c r="B276" s="136"/>
      <c r="C276" s="136"/>
      <c r="D276" s="136"/>
      <c r="E276" s="145"/>
      <c r="F276" s="136"/>
      <c r="G276" s="136"/>
      <c r="H276" s="136"/>
      <c r="I276" s="145"/>
      <c r="J276" s="136"/>
      <c r="K276" s="136"/>
      <c r="L276" s="136"/>
      <c r="M276" s="145"/>
      <c r="N276" s="136"/>
      <c r="O276" s="136"/>
      <c r="P276" s="136"/>
      <c r="Q276" s="146"/>
      <c r="R276" s="136"/>
      <c r="S276" s="136"/>
      <c r="T276" s="136"/>
      <c r="U276" s="146"/>
      <c r="V276" s="136"/>
      <c r="W276" s="136"/>
      <c r="X276" s="136"/>
    </row>
    <row r="277" spans="1:24" ht="15.75" customHeight="1" x14ac:dyDescent="0.3">
      <c r="A277" s="144"/>
      <c r="B277" s="136"/>
      <c r="C277" s="136"/>
      <c r="D277" s="136"/>
      <c r="E277" s="145"/>
      <c r="F277" s="136"/>
      <c r="G277" s="136"/>
      <c r="H277" s="136"/>
      <c r="I277" s="145"/>
      <c r="J277" s="136"/>
      <c r="K277" s="136"/>
      <c r="L277" s="136"/>
      <c r="M277" s="145"/>
      <c r="N277" s="136"/>
      <c r="O277" s="136"/>
      <c r="P277" s="136"/>
      <c r="Q277" s="146"/>
      <c r="R277" s="136"/>
      <c r="S277" s="136"/>
      <c r="T277" s="136"/>
      <c r="U277" s="146"/>
      <c r="V277" s="136"/>
      <c r="W277" s="136"/>
      <c r="X277" s="136"/>
    </row>
    <row r="278" spans="1:24" ht="15.75" customHeight="1" x14ac:dyDescent="0.3">
      <c r="A278" s="144"/>
      <c r="B278" s="136"/>
      <c r="C278" s="136"/>
      <c r="D278" s="136"/>
      <c r="E278" s="145"/>
      <c r="F278" s="136"/>
      <c r="G278" s="136"/>
      <c r="H278" s="136"/>
      <c r="I278" s="145"/>
      <c r="J278" s="136"/>
      <c r="K278" s="136"/>
      <c r="L278" s="136"/>
      <c r="M278" s="145"/>
      <c r="N278" s="136"/>
      <c r="O278" s="136"/>
      <c r="P278" s="136"/>
      <c r="Q278" s="146"/>
      <c r="R278" s="136"/>
      <c r="S278" s="136"/>
      <c r="T278" s="136"/>
      <c r="U278" s="146"/>
      <c r="V278" s="136"/>
      <c r="W278" s="136"/>
      <c r="X278" s="136"/>
    </row>
    <row r="279" spans="1:24" ht="15.75" customHeight="1" x14ac:dyDescent="0.3">
      <c r="A279" s="144"/>
      <c r="B279" s="136"/>
      <c r="C279" s="136"/>
      <c r="D279" s="136"/>
      <c r="E279" s="145"/>
      <c r="F279" s="136"/>
      <c r="G279" s="136"/>
      <c r="H279" s="136"/>
      <c r="I279" s="145"/>
      <c r="J279" s="136"/>
      <c r="K279" s="136"/>
      <c r="L279" s="136"/>
      <c r="M279" s="145"/>
      <c r="N279" s="136"/>
      <c r="O279" s="136"/>
      <c r="P279" s="136"/>
      <c r="Q279" s="146"/>
      <c r="R279" s="136"/>
      <c r="S279" s="136"/>
      <c r="T279" s="136"/>
      <c r="U279" s="146"/>
      <c r="V279" s="136"/>
      <c r="W279" s="136"/>
      <c r="X279" s="136"/>
    </row>
    <row r="280" spans="1:24" ht="15.75" customHeight="1" x14ac:dyDescent="0.3">
      <c r="A280" s="144"/>
      <c r="B280" s="136"/>
      <c r="C280" s="136"/>
      <c r="D280" s="136"/>
      <c r="E280" s="145"/>
      <c r="F280" s="136"/>
      <c r="G280" s="136"/>
      <c r="H280" s="136"/>
      <c r="I280" s="145"/>
      <c r="J280" s="136"/>
      <c r="K280" s="136"/>
      <c r="L280" s="136"/>
      <c r="M280" s="145"/>
      <c r="N280" s="136"/>
      <c r="O280" s="136"/>
      <c r="P280" s="136"/>
      <c r="Q280" s="146"/>
      <c r="R280" s="136"/>
      <c r="S280" s="136"/>
      <c r="T280" s="136"/>
      <c r="U280" s="146"/>
      <c r="V280" s="136"/>
      <c r="W280" s="136"/>
      <c r="X280" s="136"/>
    </row>
    <row r="281" spans="1:24" ht="15.75" customHeight="1" x14ac:dyDescent="0.3">
      <c r="A281" s="144"/>
      <c r="B281" s="136"/>
      <c r="C281" s="136"/>
      <c r="D281" s="136"/>
      <c r="E281" s="145"/>
      <c r="F281" s="136"/>
      <c r="G281" s="136"/>
      <c r="H281" s="136"/>
      <c r="I281" s="145"/>
      <c r="J281" s="136"/>
      <c r="K281" s="136"/>
      <c r="L281" s="136"/>
      <c r="M281" s="145"/>
      <c r="N281" s="136"/>
      <c r="O281" s="136"/>
      <c r="P281" s="136"/>
      <c r="Q281" s="146"/>
      <c r="R281" s="136"/>
      <c r="S281" s="136"/>
      <c r="T281" s="136"/>
      <c r="U281" s="146"/>
      <c r="V281" s="136"/>
      <c r="W281" s="136"/>
      <c r="X281" s="136"/>
    </row>
    <row r="282" spans="1:24" ht="15.75" customHeight="1" x14ac:dyDescent="0.3">
      <c r="A282" s="144"/>
      <c r="B282" s="136"/>
      <c r="C282" s="136"/>
      <c r="D282" s="136"/>
      <c r="E282" s="145"/>
      <c r="F282" s="136"/>
      <c r="G282" s="136"/>
      <c r="H282" s="136"/>
      <c r="I282" s="145"/>
      <c r="J282" s="136"/>
      <c r="K282" s="136"/>
      <c r="L282" s="136"/>
      <c r="M282" s="145"/>
      <c r="N282" s="136"/>
      <c r="O282" s="136"/>
      <c r="P282" s="136"/>
      <c r="Q282" s="146"/>
      <c r="R282" s="136"/>
      <c r="S282" s="136"/>
      <c r="T282" s="136"/>
      <c r="U282" s="146"/>
      <c r="V282" s="136"/>
      <c r="W282" s="136"/>
      <c r="X282" s="136"/>
    </row>
    <row r="283" spans="1:24" ht="15.75" customHeight="1" x14ac:dyDescent="0.3">
      <c r="A283" s="144"/>
      <c r="B283" s="136"/>
      <c r="C283" s="136"/>
      <c r="D283" s="136"/>
      <c r="E283" s="145"/>
      <c r="F283" s="136"/>
      <c r="G283" s="136"/>
      <c r="H283" s="136"/>
      <c r="I283" s="145"/>
      <c r="J283" s="136"/>
      <c r="K283" s="136"/>
      <c r="L283" s="136"/>
      <c r="M283" s="145"/>
      <c r="N283" s="136"/>
      <c r="O283" s="136"/>
      <c r="P283" s="136"/>
      <c r="Q283" s="146"/>
      <c r="R283" s="136"/>
      <c r="S283" s="136"/>
      <c r="T283" s="136"/>
      <c r="U283" s="146"/>
      <c r="V283" s="136"/>
      <c r="W283" s="136"/>
      <c r="X283" s="136"/>
    </row>
    <row r="284" spans="1:24" ht="15.75" customHeight="1" x14ac:dyDescent="0.3">
      <c r="A284" s="144"/>
      <c r="B284" s="136"/>
      <c r="C284" s="136"/>
      <c r="D284" s="136"/>
      <c r="E284" s="145"/>
      <c r="F284" s="136"/>
      <c r="G284" s="136"/>
      <c r="H284" s="136"/>
      <c r="I284" s="145"/>
      <c r="J284" s="136"/>
      <c r="K284" s="136"/>
      <c r="L284" s="136"/>
      <c r="M284" s="145"/>
      <c r="N284" s="136"/>
      <c r="O284" s="136"/>
      <c r="P284" s="136"/>
      <c r="Q284" s="146"/>
      <c r="R284" s="136"/>
      <c r="S284" s="136"/>
      <c r="T284" s="136"/>
      <c r="U284" s="146"/>
      <c r="V284" s="136"/>
      <c r="W284" s="136"/>
      <c r="X284" s="136"/>
    </row>
    <row r="285" spans="1:24" ht="15.75" customHeight="1" x14ac:dyDescent="0.3">
      <c r="A285" s="144"/>
      <c r="B285" s="136"/>
      <c r="C285" s="136"/>
      <c r="D285" s="136"/>
      <c r="E285" s="145"/>
      <c r="F285" s="136"/>
      <c r="G285" s="136"/>
      <c r="H285" s="136"/>
      <c r="I285" s="145"/>
      <c r="J285" s="136"/>
      <c r="K285" s="136"/>
      <c r="L285" s="136"/>
      <c r="M285" s="145"/>
      <c r="N285" s="136"/>
      <c r="O285" s="136"/>
      <c r="P285" s="136"/>
      <c r="Q285" s="146"/>
      <c r="R285" s="136"/>
      <c r="S285" s="136"/>
      <c r="T285" s="136"/>
      <c r="U285" s="146"/>
      <c r="V285" s="136"/>
      <c r="W285" s="136"/>
      <c r="X285" s="136"/>
    </row>
    <row r="286" spans="1:24" ht="15.75" customHeight="1" x14ac:dyDescent="0.3">
      <c r="A286" s="144"/>
      <c r="B286" s="136"/>
      <c r="C286" s="136"/>
      <c r="D286" s="136"/>
      <c r="E286" s="145"/>
      <c r="F286" s="136"/>
      <c r="G286" s="136"/>
      <c r="H286" s="136"/>
      <c r="I286" s="145"/>
      <c r="J286" s="136"/>
      <c r="K286" s="136"/>
      <c r="L286" s="136"/>
      <c r="M286" s="145"/>
      <c r="N286" s="136"/>
      <c r="O286" s="136"/>
      <c r="P286" s="136"/>
      <c r="Q286" s="146"/>
      <c r="R286" s="136"/>
      <c r="S286" s="136"/>
      <c r="T286" s="136"/>
      <c r="U286" s="146"/>
      <c r="V286" s="136"/>
      <c r="W286" s="136"/>
      <c r="X286" s="136"/>
    </row>
    <row r="287" spans="1:24" ht="15.75" customHeight="1" x14ac:dyDescent="0.3">
      <c r="A287" s="144"/>
      <c r="B287" s="136"/>
      <c r="C287" s="136"/>
      <c r="D287" s="136"/>
      <c r="E287" s="145"/>
      <c r="F287" s="136"/>
      <c r="G287" s="136"/>
      <c r="H287" s="136"/>
      <c r="I287" s="145"/>
      <c r="J287" s="136"/>
      <c r="K287" s="136"/>
      <c r="L287" s="136"/>
      <c r="M287" s="145"/>
      <c r="N287" s="136"/>
      <c r="O287" s="136"/>
      <c r="P287" s="136"/>
      <c r="Q287" s="146"/>
      <c r="R287" s="136"/>
      <c r="S287" s="136"/>
      <c r="T287" s="136"/>
      <c r="U287" s="146"/>
      <c r="V287" s="136"/>
      <c r="W287" s="136"/>
      <c r="X287" s="136"/>
    </row>
    <row r="288" spans="1:24" ht="15.75" customHeight="1" x14ac:dyDescent="0.3">
      <c r="A288" s="144"/>
      <c r="B288" s="136"/>
      <c r="C288" s="136"/>
      <c r="D288" s="136"/>
      <c r="E288" s="145"/>
      <c r="F288" s="136"/>
      <c r="G288" s="136"/>
      <c r="H288" s="136"/>
      <c r="I288" s="145"/>
      <c r="J288" s="136"/>
      <c r="K288" s="136"/>
      <c r="L288" s="136"/>
      <c r="M288" s="145"/>
      <c r="N288" s="136"/>
      <c r="O288" s="136"/>
      <c r="P288" s="136"/>
      <c r="Q288" s="146"/>
      <c r="R288" s="136"/>
      <c r="S288" s="136"/>
      <c r="T288" s="136"/>
      <c r="U288" s="146"/>
      <c r="V288" s="136"/>
      <c r="W288" s="136"/>
      <c r="X288" s="136"/>
    </row>
    <row r="289" spans="1:24" ht="15.75" customHeight="1" x14ac:dyDescent="0.3">
      <c r="A289" s="144"/>
      <c r="B289" s="136"/>
      <c r="C289" s="136"/>
      <c r="D289" s="136"/>
      <c r="E289" s="145"/>
      <c r="F289" s="136"/>
      <c r="G289" s="136"/>
      <c r="H289" s="136"/>
      <c r="I289" s="145"/>
      <c r="J289" s="136"/>
      <c r="K289" s="136"/>
      <c r="L289" s="136"/>
      <c r="M289" s="145"/>
      <c r="N289" s="136"/>
      <c r="O289" s="136"/>
      <c r="P289" s="136"/>
      <c r="Q289" s="146"/>
      <c r="R289" s="136"/>
      <c r="S289" s="136"/>
      <c r="T289" s="136"/>
      <c r="U289" s="146"/>
      <c r="V289" s="136"/>
      <c r="W289" s="136"/>
      <c r="X289" s="136"/>
    </row>
    <row r="290" spans="1:24" ht="15.75" customHeight="1" x14ac:dyDescent="0.3">
      <c r="A290" s="144"/>
      <c r="B290" s="136"/>
      <c r="C290" s="136"/>
      <c r="D290" s="136"/>
      <c r="E290" s="145"/>
      <c r="F290" s="136"/>
      <c r="G290" s="136"/>
      <c r="H290" s="136"/>
      <c r="I290" s="145"/>
      <c r="J290" s="136"/>
      <c r="K290" s="136"/>
      <c r="L290" s="136"/>
      <c r="M290" s="145"/>
      <c r="N290" s="136"/>
      <c r="O290" s="136"/>
      <c r="P290" s="136"/>
      <c r="Q290" s="146"/>
      <c r="R290" s="136"/>
      <c r="S290" s="136"/>
      <c r="T290" s="136"/>
      <c r="U290" s="146"/>
      <c r="V290" s="136"/>
      <c r="W290" s="136"/>
      <c r="X290" s="136"/>
    </row>
    <row r="291" spans="1:24" ht="15.75" customHeight="1" x14ac:dyDescent="0.3">
      <c r="A291" s="144"/>
      <c r="B291" s="136"/>
      <c r="C291" s="136"/>
      <c r="D291" s="136"/>
      <c r="E291" s="145"/>
      <c r="F291" s="136"/>
      <c r="G291" s="136"/>
      <c r="H291" s="136"/>
      <c r="I291" s="145"/>
      <c r="J291" s="136"/>
      <c r="K291" s="136"/>
      <c r="L291" s="136"/>
      <c r="M291" s="145"/>
      <c r="N291" s="136"/>
      <c r="O291" s="136"/>
      <c r="P291" s="136"/>
      <c r="Q291" s="146"/>
      <c r="R291" s="136"/>
      <c r="S291" s="136"/>
      <c r="T291" s="136"/>
      <c r="U291" s="146"/>
      <c r="V291" s="136"/>
      <c r="W291" s="136"/>
      <c r="X291" s="136"/>
    </row>
    <row r="292" spans="1:24" ht="15.75" customHeight="1" x14ac:dyDescent="0.3">
      <c r="A292" s="144"/>
      <c r="B292" s="136"/>
      <c r="C292" s="136"/>
      <c r="D292" s="136"/>
      <c r="E292" s="145"/>
      <c r="F292" s="136"/>
      <c r="G292" s="136"/>
      <c r="H292" s="136"/>
      <c r="I292" s="145"/>
      <c r="J292" s="136"/>
      <c r="K292" s="136"/>
      <c r="L292" s="136"/>
      <c r="M292" s="145"/>
      <c r="N292" s="136"/>
      <c r="O292" s="136"/>
      <c r="P292" s="136"/>
      <c r="Q292" s="146"/>
      <c r="R292" s="136"/>
      <c r="S292" s="136"/>
      <c r="T292" s="136"/>
      <c r="U292" s="146"/>
      <c r="V292" s="136"/>
      <c r="W292" s="136"/>
      <c r="X292" s="136"/>
    </row>
    <row r="293" spans="1:24" ht="15.75" customHeight="1" x14ac:dyDescent="0.3">
      <c r="A293" s="144"/>
      <c r="B293" s="136"/>
      <c r="C293" s="136"/>
      <c r="D293" s="136"/>
      <c r="E293" s="145"/>
      <c r="F293" s="136"/>
      <c r="G293" s="136"/>
      <c r="H293" s="136"/>
      <c r="I293" s="145"/>
      <c r="J293" s="136"/>
      <c r="K293" s="136"/>
      <c r="L293" s="136"/>
      <c r="M293" s="145"/>
      <c r="N293" s="136"/>
      <c r="O293" s="136"/>
      <c r="P293" s="136"/>
      <c r="Q293" s="146"/>
      <c r="R293" s="136"/>
      <c r="S293" s="136"/>
      <c r="T293" s="136"/>
      <c r="U293" s="146"/>
      <c r="V293" s="136"/>
      <c r="W293" s="136"/>
      <c r="X293" s="136"/>
    </row>
    <row r="294" spans="1:24" ht="15.75" customHeight="1" x14ac:dyDescent="0.3">
      <c r="A294" s="144"/>
      <c r="B294" s="136"/>
      <c r="C294" s="136"/>
      <c r="D294" s="136"/>
      <c r="E294" s="145"/>
      <c r="F294" s="136"/>
      <c r="G294" s="136"/>
      <c r="H294" s="136"/>
      <c r="I294" s="145"/>
      <c r="J294" s="136"/>
      <c r="K294" s="136"/>
      <c r="L294" s="136"/>
      <c r="M294" s="145"/>
      <c r="N294" s="136"/>
      <c r="O294" s="136"/>
      <c r="P294" s="136"/>
      <c r="Q294" s="146"/>
      <c r="R294" s="136"/>
      <c r="S294" s="136"/>
      <c r="T294" s="136"/>
      <c r="U294" s="146"/>
      <c r="V294" s="136"/>
      <c r="W294" s="136"/>
      <c r="X294" s="136"/>
    </row>
    <row r="295" spans="1:24" ht="15.75" customHeight="1" x14ac:dyDescent="0.3">
      <c r="A295" s="144"/>
      <c r="B295" s="136"/>
      <c r="C295" s="136"/>
      <c r="D295" s="136"/>
      <c r="E295" s="145"/>
      <c r="F295" s="136"/>
      <c r="G295" s="136"/>
      <c r="H295" s="136"/>
      <c r="I295" s="145"/>
      <c r="J295" s="136"/>
      <c r="K295" s="136"/>
      <c r="L295" s="136"/>
      <c r="M295" s="145"/>
      <c r="N295" s="136"/>
      <c r="O295" s="136"/>
      <c r="P295" s="136"/>
      <c r="Q295" s="146"/>
      <c r="R295" s="136"/>
      <c r="S295" s="136"/>
      <c r="T295" s="136"/>
      <c r="U295" s="146"/>
      <c r="V295" s="136"/>
      <c r="W295" s="136"/>
      <c r="X295" s="136"/>
    </row>
    <row r="296" spans="1:24" ht="15.75" customHeight="1" x14ac:dyDescent="0.3">
      <c r="A296" s="144"/>
      <c r="B296" s="136"/>
      <c r="C296" s="136"/>
      <c r="D296" s="136"/>
      <c r="E296" s="145"/>
      <c r="F296" s="136"/>
      <c r="G296" s="136"/>
      <c r="H296" s="136"/>
      <c r="I296" s="145"/>
      <c r="J296" s="136"/>
      <c r="K296" s="136"/>
      <c r="L296" s="136"/>
      <c r="M296" s="145"/>
      <c r="N296" s="136"/>
      <c r="O296" s="136"/>
      <c r="P296" s="136"/>
      <c r="Q296" s="146"/>
      <c r="R296" s="136"/>
      <c r="S296" s="136"/>
      <c r="T296" s="136"/>
      <c r="U296" s="146"/>
      <c r="V296" s="136"/>
      <c r="W296" s="136"/>
      <c r="X296" s="136"/>
    </row>
    <row r="297" spans="1:24" ht="15.75" customHeight="1" x14ac:dyDescent="0.3">
      <c r="A297" s="144"/>
      <c r="B297" s="136"/>
      <c r="C297" s="136"/>
      <c r="D297" s="136"/>
      <c r="E297" s="145"/>
      <c r="F297" s="136"/>
      <c r="G297" s="136"/>
      <c r="H297" s="136"/>
      <c r="I297" s="145"/>
      <c r="J297" s="136"/>
      <c r="K297" s="136"/>
      <c r="L297" s="136"/>
      <c r="M297" s="145"/>
      <c r="N297" s="136"/>
      <c r="O297" s="136"/>
      <c r="P297" s="136"/>
      <c r="Q297" s="146"/>
      <c r="R297" s="136"/>
      <c r="S297" s="136"/>
      <c r="T297" s="136"/>
      <c r="U297" s="146"/>
      <c r="V297" s="136"/>
      <c r="W297" s="136"/>
      <c r="X297" s="136"/>
    </row>
    <row r="298" spans="1:24" ht="15.75" customHeight="1" x14ac:dyDescent="0.3">
      <c r="A298" s="144"/>
      <c r="B298" s="136"/>
      <c r="C298" s="136"/>
      <c r="D298" s="136"/>
      <c r="E298" s="145"/>
      <c r="F298" s="136"/>
      <c r="G298" s="136"/>
      <c r="H298" s="136"/>
      <c r="I298" s="145"/>
      <c r="J298" s="136"/>
      <c r="K298" s="136"/>
      <c r="L298" s="136"/>
      <c r="M298" s="145"/>
      <c r="N298" s="136"/>
      <c r="O298" s="136"/>
      <c r="P298" s="136"/>
      <c r="Q298" s="146"/>
      <c r="R298" s="136"/>
      <c r="S298" s="136"/>
      <c r="T298" s="136"/>
      <c r="U298" s="146"/>
      <c r="V298" s="136"/>
      <c r="W298" s="136"/>
      <c r="X298" s="136"/>
    </row>
    <row r="299" spans="1:24" ht="15.75" customHeight="1" x14ac:dyDescent="0.3">
      <c r="A299" s="144"/>
      <c r="B299" s="136"/>
      <c r="C299" s="136"/>
      <c r="D299" s="136"/>
      <c r="E299" s="145"/>
      <c r="F299" s="136"/>
      <c r="G299" s="136"/>
      <c r="H299" s="136"/>
      <c r="I299" s="145"/>
      <c r="J299" s="136"/>
      <c r="K299" s="136"/>
      <c r="L299" s="136"/>
      <c r="M299" s="145"/>
      <c r="N299" s="136"/>
      <c r="O299" s="136"/>
      <c r="P299" s="136"/>
      <c r="Q299" s="146"/>
      <c r="R299" s="136"/>
      <c r="S299" s="136"/>
      <c r="T299" s="136"/>
      <c r="U299" s="146"/>
      <c r="V299" s="136"/>
      <c r="W299" s="136"/>
      <c r="X299" s="136"/>
    </row>
    <row r="300" spans="1:24" ht="15.75" customHeight="1" x14ac:dyDescent="0.3">
      <c r="A300" s="144"/>
      <c r="B300" s="136"/>
      <c r="C300" s="136"/>
      <c r="D300" s="136"/>
      <c r="E300" s="145"/>
      <c r="F300" s="136"/>
      <c r="G300" s="136"/>
      <c r="H300" s="136"/>
      <c r="I300" s="145"/>
      <c r="J300" s="136"/>
      <c r="K300" s="136"/>
      <c r="L300" s="136"/>
      <c r="M300" s="145"/>
      <c r="N300" s="136"/>
      <c r="O300" s="136"/>
      <c r="P300" s="136"/>
      <c r="Q300" s="146"/>
      <c r="R300" s="136"/>
      <c r="S300" s="136"/>
      <c r="T300" s="136"/>
      <c r="U300" s="146"/>
      <c r="V300" s="136"/>
      <c r="W300" s="136"/>
      <c r="X300" s="136"/>
    </row>
    <row r="301" spans="1:24" ht="15.75" customHeight="1" x14ac:dyDescent="0.3">
      <c r="A301" s="144"/>
      <c r="B301" s="136"/>
      <c r="C301" s="136"/>
      <c r="D301" s="136"/>
      <c r="E301" s="145"/>
      <c r="F301" s="136"/>
      <c r="G301" s="136"/>
      <c r="H301" s="136"/>
      <c r="I301" s="145"/>
      <c r="J301" s="136"/>
      <c r="K301" s="136"/>
      <c r="L301" s="136"/>
      <c r="M301" s="145"/>
      <c r="N301" s="136"/>
      <c r="O301" s="136"/>
      <c r="P301" s="136"/>
      <c r="Q301" s="146"/>
      <c r="R301" s="136"/>
      <c r="S301" s="136"/>
      <c r="T301" s="136"/>
      <c r="U301" s="146"/>
      <c r="V301" s="136"/>
      <c r="W301" s="136"/>
      <c r="X301" s="136"/>
    </row>
    <row r="302" spans="1:24" ht="15.75" customHeight="1" x14ac:dyDescent="0.3">
      <c r="A302" s="144"/>
      <c r="B302" s="136"/>
      <c r="C302" s="136"/>
      <c r="D302" s="136"/>
      <c r="E302" s="145"/>
      <c r="F302" s="136"/>
      <c r="G302" s="136"/>
      <c r="H302" s="136"/>
      <c r="I302" s="145"/>
      <c r="J302" s="136"/>
      <c r="K302" s="136"/>
      <c r="L302" s="136"/>
      <c r="M302" s="145"/>
      <c r="N302" s="136"/>
      <c r="O302" s="136"/>
      <c r="P302" s="136"/>
      <c r="Q302" s="146"/>
      <c r="R302" s="136"/>
      <c r="S302" s="136"/>
      <c r="T302" s="136"/>
      <c r="U302" s="146"/>
      <c r="V302" s="136"/>
      <c r="W302" s="136"/>
      <c r="X302" s="136"/>
    </row>
    <row r="303" spans="1:24" ht="15.75" customHeight="1" x14ac:dyDescent="0.3">
      <c r="A303" s="144"/>
      <c r="B303" s="136"/>
      <c r="C303" s="136"/>
      <c r="D303" s="136"/>
      <c r="E303" s="145"/>
      <c r="F303" s="136"/>
      <c r="G303" s="136"/>
      <c r="H303" s="136"/>
      <c r="I303" s="145"/>
      <c r="J303" s="136"/>
      <c r="K303" s="136"/>
      <c r="L303" s="136"/>
      <c r="M303" s="145"/>
      <c r="N303" s="136"/>
      <c r="O303" s="136"/>
      <c r="P303" s="136"/>
      <c r="Q303" s="146"/>
      <c r="R303" s="136"/>
      <c r="S303" s="136"/>
      <c r="T303" s="136"/>
      <c r="U303" s="146"/>
      <c r="V303" s="136"/>
      <c r="W303" s="136"/>
      <c r="X303" s="136"/>
    </row>
    <row r="304" spans="1:24" ht="15.75" customHeight="1" x14ac:dyDescent="0.3">
      <c r="A304" s="144"/>
      <c r="B304" s="136"/>
      <c r="C304" s="136"/>
      <c r="D304" s="136"/>
      <c r="E304" s="145"/>
      <c r="F304" s="136"/>
      <c r="G304" s="136"/>
      <c r="H304" s="136"/>
      <c r="I304" s="145"/>
      <c r="J304" s="136"/>
      <c r="K304" s="136"/>
      <c r="L304" s="136"/>
      <c r="M304" s="145"/>
      <c r="N304" s="136"/>
      <c r="O304" s="136"/>
      <c r="P304" s="136"/>
      <c r="Q304" s="146"/>
      <c r="R304" s="136"/>
      <c r="S304" s="136"/>
      <c r="T304" s="136"/>
      <c r="U304" s="146"/>
      <c r="V304" s="136"/>
      <c r="W304" s="136"/>
      <c r="X304" s="136"/>
    </row>
    <row r="305" spans="1:24" ht="15.75" customHeight="1" x14ac:dyDescent="0.3">
      <c r="A305" s="144"/>
      <c r="B305" s="136"/>
      <c r="C305" s="136"/>
      <c r="D305" s="136"/>
      <c r="E305" s="145"/>
      <c r="F305" s="136"/>
      <c r="G305" s="136"/>
      <c r="H305" s="136"/>
      <c r="I305" s="145"/>
      <c r="J305" s="136"/>
      <c r="K305" s="136"/>
      <c r="L305" s="136"/>
      <c r="M305" s="145"/>
      <c r="N305" s="136"/>
      <c r="O305" s="136"/>
      <c r="P305" s="136"/>
      <c r="Q305" s="146"/>
      <c r="R305" s="136"/>
      <c r="S305" s="136"/>
      <c r="T305" s="136"/>
      <c r="U305" s="146"/>
      <c r="V305" s="136"/>
      <c r="W305" s="136"/>
      <c r="X305" s="136"/>
    </row>
    <row r="306" spans="1:24" ht="15.75" customHeight="1" x14ac:dyDescent="0.3">
      <c r="A306" s="144"/>
      <c r="B306" s="136"/>
      <c r="C306" s="136"/>
      <c r="D306" s="136"/>
      <c r="E306" s="145"/>
      <c r="F306" s="136"/>
      <c r="G306" s="136"/>
      <c r="H306" s="136"/>
      <c r="I306" s="145"/>
      <c r="J306" s="136"/>
      <c r="K306" s="136"/>
      <c r="L306" s="136"/>
      <c r="M306" s="145"/>
      <c r="N306" s="136"/>
      <c r="O306" s="136"/>
      <c r="P306" s="136"/>
      <c r="Q306" s="146"/>
      <c r="R306" s="136"/>
      <c r="S306" s="136"/>
      <c r="T306" s="136"/>
      <c r="U306" s="146"/>
      <c r="V306" s="136"/>
      <c r="W306" s="136"/>
      <c r="X306" s="136"/>
    </row>
    <row r="307" spans="1:24" ht="15.75" customHeight="1" x14ac:dyDescent="0.3">
      <c r="A307" s="144"/>
      <c r="B307" s="136"/>
      <c r="C307" s="136"/>
      <c r="D307" s="136"/>
      <c r="E307" s="145"/>
      <c r="F307" s="136"/>
      <c r="G307" s="136"/>
      <c r="H307" s="136"/>
      <c r="I307" s="145"/>
      <c r="J307" s="136"/>
      <c r="K307" s="136"/>
      <c r="L307" s="136"/>
      <c r="M307" s="145"/>
      <c r="N307" s="136"/>
      <c r="O307" s="136"/>
      <c r="P307" s="136"/>
      <c r="Q307" s="146"/>
      <c r="R307" s="136"/>
      <c r="S307" s="136"/>
      <c r="T307" s="136"/>
      <c r="U307" s="146"/>
      <c r="V307" s="136"/>
      <c r="W307" s="136"/>
      <c r="X307" s="136"/>
    </row>
    <row r="308" spans="1:24" ht="15.75" customHeight="1" x14ac:dyDescent="0.3">
      <c r="A308" s="144"/>
      <c r="B308" s="136"/>
      <c r="C308" s="136"/>
      <c r="D308" s="136"/>
      <c r="E308" s="145"/>
      <c r="F308" s="136"/>
      <c r="G308" s="136"/>
      <c r="H308" s="136"/>
      <c r="I308" s="145"/>
      <c r="J308" s="136"/>
      <c r="K308" s="136"/>
      <c r="L308" s="136"/>
      <c r="M308" s="145"/>
      <c r="N308" s="136"/>
      <c r="O308" s="136"/>
      <c r="P308" s="136"/>
      <c r="Q308" s="146"/>
      <c r="R308" s="136"/>
      <c r="S308" s="136"/>
      <c r="T308" s="136"/>
      <c r="U308" s="146"/>
      <c r="V308" s="136"/>
      <c r="W308" s="136"/>
      <c r="X308" s="136"/>
    </row>
    <row r="309" spans="1:24" ht="15.75" customHeight="1" x14ac:dyDescent="0.3">
      <c r="A309" s="144"/>
      <c r="B309" s="136"/>
      <c r="C309" s="136"/>
      <c r="D309" s="136"/>
      <c r="E309" s="145"/>
      <c r="F309" s="136"/>
      <c r="G309" s="136"/>
      <c r="H309" s="136"/>
      <c r="I309" s="145"/>
      <c r="J309" s="136"/>
      <c r="K309" s="136"/>
      <c r="L309" s="136"/>
      <c r="M309" s="145"/>
      <c r="N309" s="136"/>
      <c r="O309" s="136"/>
      <c r="P309" s="136"/>
      <c r="Q309" s="146"/>
      <c r="R309" s="136"/>
      <c r="S309" s="136"/>
      <c r="T309" s="136"/>
      <c r="U309" s="146"/>
      <c r="V309" s="136"/>
      <c r="W309" s="136"/>
      <c r="X309" s="136"/>
    </row>
    <row r="310" spans="1:24" ht="15.75" customHeight="1" x14ac:dyDescent="0.3">
      <c r="A310" s="144"/>
      <c r="B310" s="136"/>
      <c r="C310" s="136"/>
      <c r="D310" s="136"/>
      <c r="E310" s="145"/>
      <c r="F310" s="136"/>
      <c r="G310" s="136"/>
      <c r="H310" s="136"/>
      <c r="I310" s="145"/>
      <c r="J310" s="136"/>
      <c r="K310" s="136"/>
      <c r="L310" s="136"/>
      <c r="M310" s="145"/>
      <c r="N310" s="136"/>
      <c r="O310" s="136"/>
      <c r="P310" s="136"/>
      <c r="Q310" s="146"/>
      <c r="R310" s="136"/>
      <c r="S310" s="136"/>
      <c r="T310" s="136"/>
      <c r="U310" s="146"/>
      <c r="V310" s="136"/>
      <c r="W310" s="136"/>
      <c r="X310" s="136"/>
    </row>
    <row r="311" spans="1:24" ht="15.75" customHeight="1" x14ac:dyDescent="0.3">
      <c r="A311" s="144"/>
      <c r="B311" s="136"/>
      <c r="C311" s="136"/>
      <c r="D311" s="136"/>
      <c r="E311" s="145"/>
      <c r="F311" s="136"/>
      <c r="G311" s="136"/>
      <c r="H311" s="136"/>
      <c r="I311" s="145"/>
      <c r="J311" s="136"/>
      <c r="K311" s="136"/>
      <c r="L311" s="136"/>
      <c r="M311" s="145"/>
      <c r="N311" s="136"/>
      <c r="O311" s="136"/>
      <c r="P311" s="136"/>
      <c r="Q311" s="146"/>
      <c r="R311" s="136"/>
      <c r="S311" s="136"/>
      <c r="T311" s="136"/>
      <c r="U311" s="146"/>
      <c r="V311" s="136"/>
      <c r="W311" s="136"/>
      <c r="X311" s="136"/>
    </row>
    <row r="312" spans="1:24" ht="15.75" customHeight="1" x14ac:dyDescent="0.3">
      <c r="A312" s="144"/>
      <c r="B312" s="136"/>
      <c r="C312" s="136"/>
      <c r="D312" s="136"/>
      <c r="E312" s="145"/>
      <c r="F312" s="136"/>
      <c r="G312" s="136"/>
      <c r="H312" s="136"/>
      <c r="I312" s="145"/>
      <c r="J312" s="136"/>
      <c r="K312" s="136"/>
      <c r="L312" s="136"/>
      <c r="M312" s="145"/>
      <c r="N312" s="136"/>
      <c r="O312" s="136"/>
      <c r="P312" s="136"/>
      <c r="Q312" s="146"/>
      <c r="R312" s="136"/>
      <c r="S312" s="136"/>
      <c r="T312" s="136"/>
      <c r="U312" s="146"/>
      <c r="V312" s="136"/>
      <c r="W312" s="136"/>
      <c r="X312" s="136"/>
    </row>
    <row r="313" spans="1:24" ht="15.75" customHeight="1" x14ac:dyDescent="0.3">
      <c r="A313" s="144"/>
      <c r="B313" s="136"/>
      <c r="C313" s="136"/>
      <c r="D313" s="136"/>
      <c r="E313" s="145"/>
      <c r="F313" s="136"/>
      <c r="G313" s="136"/>
      <c r="H313" s="136"/>
      <c r="I313" s="145"/>
      <c r="J313" s="136"/>
      <c r="K313" s="136"/>
      <c r="L313" s="136"/>
      <c r="M313" s="145"/>
      <c r="N313" s="136"/>
      <c r="O313" s="136"/>
      <c r="P313" s="136"/>
      <c r="Q313" s="146"/>
      <c r="R313" s="136"/>
      <c r="S313" s="136"/>
      <c r="T313" s="136"/>
      <c r="U313" s="146"/>
      <c r="V313" s="136"/>
      <c r="W313" s="136"/>
      <c r="X313" s="136"/>
    </row>
    <row r="314" spans="1:24" ht="15.75" customHeight="1" x14ac:dyDescent="0.3">
      <c r="A314" s="144"/>
      <c r="B314" s="136"/>
      <c r="C314" s="136"/>
      <c r="D314" s="136"/>
      <c r="E314" s="145"/>
      <c r="F314" s="136"/>
      <c r="G314" s="136"/>
      <c r="H314" s="136"/>
      <c r="I314" s="145"/>
      <c r="J314" s="136"/>
      <c r="K314" s="136"/>
      <c r="L314" s="136"/>
      <c r="M314" s="145"/>
      <c r="N314" s="136"/>
      <c r="O314" s="136"/>
      <c r="P314" s="136"/>
      <c r="Q314" s="146"/>
      <c r="R314" s="136"/>
      <c r="S314" s="136"/>
      <c r="T314" s="136"/>
      <c r="U314" s="146"/>
      <c r="V314" s="136"/>
      <c r="W314" s="136"/>
      <c r="X314" s="136"/>
    </row>
    <row r="315" spans="1:24" ht="15.75" customHeight="1" x14ac:dyDescent="0.3">
      <c r="A315" s="144"/>
      <c r="B315" s="136"/>
      <c r="C315" s="136"/>
      <c r="D315" s="136"/>
      <c r="E315" s="145"/>
      <c r="F315" s="136"/>
      <c r="G315" s="136"/>
      <c r="H315" s="136"/>
      <c r="I315" s="145"/>
      <c r="J315" s="136"/>
      <c r="K315" s="136"/>
      <c r="L315" s="136"/>
      <c r="M315" s="145"/>
      <c r="N315" s="136"/>
      <c r="O315" s="136"/>
      <c r="P315" s="136"/>
      <c r="Q315" s="146"/>
      <c r="R315" s="136"/>
      <c r="S315" s="136"/>
      <c r="T315" s="136"/>
      <c r="U315" s="146"/>
      <c r="V315" s="136"/>
      <c r="W315" s="136"/>
      <c r="X315" s="136"/>
    </row>
    <row r="316" spans="1:24" ht="15.75" customHeight="1" x14ac:dyDescent="0.3">
      <c r="A316" s="144"/>
      <c r="B316" s="136"/>
      <c r="C316" s="136"/>
      <c r="D316" s="136"/>
      <c r="E316" s="145"/>
      <c r="F316" s="136"/>
      <c r="G316" s="136"/>
      <c r="H316" s="136"/>
      <c r="I316" s="145"/>
      <c r="J316" s="136"/>
      <c r="K316" s="136"/>
      <c r="L316" s="136"/>
      <c r="M316" s="145"/>
      <c r="N316" s="136"/>
      <c r="O316" s="136"/>
      <c r="P316" s="136"/>
      <c r="Q316" s="146"/>
      <c r="R316" s="136"/>
      <c r="S316" s="136"/>
      <c r="T316" s="136"/>
      <c r="U316" s="146"/>
      <c r="V316" s="136"/>
      <c r="W316" s="136"/>
      <c r="X316" s="136"/>
    </row>
    <row r="317" spans="1:24" ht="15.75" customHeight="1" x14ac:dyDescent="0.3">
      <c r="A317" s="144"/>
      <c r="B317" s="136"/>
      <c r="C317" s="136"/>
      <c r="D317" s="136"/>
      <c r="E317" s="145"/>
      <c r="F317" s="136"/>
      <c r="G317" s="136"/>
      <c r="H317" s="136"/>
      <c r="I317" s="145"/>
      <c r="J317" s="136"/>
      <c r="K317" s="136"/>
      <c r="L317" s="136"/>
      <c r="M317" s="145"/>
      <c r="N317" s="136"/>
      <c r="O317" s="136"/>
      <c r="P317" s="136"/>
      <c r="Q317" s="146"/>
      <c r="R317" s="136"/>
      <c r="S317" s="136"/>
      <c r="T317" s="136"/>
      <c r="U317" s="146"/>
      <c r="V317" s="136"/>
      <c r="W317" s="136"/>
      <c r="X317" s="136"/>
    </row>
    <row r="318" spans="1:24" ht="15.75" customHeight="1" x14ac:dyDescent="0.3">
      <c r="A318" s="144"/>
      <c r="B318" s="136"/>
      <c r="C318" s="136"/>
      <c r="D318" s="136"/>
      <c r="E318" s="145"/>
      <c r="F318" s="136"/>
      <c r="G318" s="136"/>
      <c r="H318" s="136"/>
      <c r="I318" s="145"/>
      <c r="J318" s="136"/>
      <c r="K318" s="136"/>
      <c r="L318" s="136"/>
      <c r="M318" s="145"/>
      <c r="N318" s="136"/>
      <c r="O318" s="136"/>
      <c r="P318" s="136"/>
      <c r="Q318" s="146"/>
      <c r="R318" s="136"/>
      <c r="S318" s="136"/>
      <c r="T318" s="136"/>
      <c r="U318" s="146"/>
      <c r="V318" s="136"/>
      <c r="W318" s="136"/>
      <c r="X318" s="136"/>
    </row>
    <row r="319" spans="1:24" ht="15.75" customHeight="1" x14ac:dyDescent="0.3">
      <c r="A319" s="144"/>
      <c r="B319" s="136"/>
      <c r="C319" s="136"/>
      <c r="D319" s="136"/>
      <c r="E319" s="145"/>
      <c r="F319" s="136"/>
      <c r="G319" s="136"/>
      <c r="H319" s="136"/>
      <c r="I319" s="145"/>
      <c r="J319" s="136"/>
      <c r="K319" s="136"/>
      <c r="L319" s="136"/>
      <c r="M319" s="145"/>
      <c r="N319" s="136"/>
      <c r="O319" s="136"/>
      <c r="P319" s="136"/>
      <c r="Q319" s="146"/>
      <c r="R319" s="136"/>
      <c r="S319" s="136"/>
      <c r="T319" s="136"/>
      <c r="U319" s="146"/>
      <c r="V319" s="136"/>
      <c r="W319" s="136"/>
      <c r="X319" s="136"/>
    </row>
    <row r="320" spans="1:24" ht="15.75" customHeight="1" x14ac:dyDescent="0.3">
      <c r="A320" s="144"/>
      <c r="B320" s="136"/>
      <c r="C320" s="136"/>
      <c r="D320" s="136"/>
      <c r="E320" s="145"/>
      <c r="F320" s="136"/>
      <c r="G320" s="136"/>
      <c r="H320" s="136"/>
      <c r="I320" s="145"/>
      <c r="J320" s="136"/>
      <c r="K320" s="136"/>
      <c r="L320" s="136"/>
      <c r="M320" s="145"/>
      <c r="N320" s="136"/>
      <c r="O320" s="136"/>
      <c r="P320" s="136"/>
      <c r="Q320" s="146"/>
      <c r="R320" s="136"/>
      <c r="S320" s="136"/>
      <c r="T320" s="136"/>
      <c r="U320" s="146"/>
      <c r="V320" s="136"/>
      <c r="W320" s="136"/>
      <c r="X320" s="136"/>
    </row>
    <row r="321" spans="1:24" ht="15.75" customHeight="1" x14ac:dyDescent="0.3">
      <c r="A321" s="144"/>
      <c r="B321" s="136"/>
      <c r="C321" s="136"/>
      <c r="D321" s="136"/>
      <c r="E321" s="145"/>
      <c r="F321" s="136"/>
      <c r="G321" s="136"/>
      <c r="H321" s="136"/>
      <c r="I321" s="145"/>
      <c r="J321" s="136"/>
      <c r="K321" s="136"/>
      <c r="L321" s="136"/>
      <c r="M321" s="145"/>
      <c r="N321" s="136"/>
      <c r="O321" s="136"/>
      <c r="P321" s="136"/>
      <c r="Q321" s="146"/>
      <c r="R321" s="136"/>
      <c r="S321" s="136"/>
      <c r="T321" s="136"/>
      <c r="U321" s="146"/>
      <c r="V321" s="136"/>
      <c r="W321" s="136"/>
      <c r="X321" s="136"/>
    </row>
    <row r="322" spans="1:24" ht="15.75" customHeight="1" x14ac:dyDescent="0.3">
      <c r="A322" s="144"/>
      <c r="B322" s="136"/>
      <c r="C322" s="136"/>
      <c r="D322" s="136"/>
      <c r="E322" s="145"/>
      <c r="F322" s="136"/>
      <c r="G322" s="136"/>
      <c r="H322" s="136"/>
      <c r="I322" s="145"/>
      <c r="J322" s="136"/>
      <c r="K322" s="136"/>
      <c r="L322" s="136"/>
      <c r="M322" s="145"/>
      <c r="N322" s="136"/>
      <c r="O322" s="136"/>
      <c r="P322" s="136"/>
      <c r="Q322" s="146"/>
      <c r="R322" s="136"/>
      <c r="S322" s="136"/>
      <c r="T322" s="136"/>
      <c r="U322" s="146"/>
      <c r="V322" s="136"/>
      <c r="W322" s="136"/>
      <c r="X322" s="136"/>
    </row>
    <row r="323" spans="1:24" ht="15.75" customHeight="1" x14ac:dyDescent="0.3">
      <c r="A323" s="144"/>
      <c r="B323" s="136"/>
      <c r="C323" s="136"/>
      <c r="D323" s="136"/>
      <c r="E323" s="145"/>
      <c r="F323" s="136"/>
      <c r="G323" s="136"/>
      <c r="H323" s="136"/>
      <c r="I323" s="145"/>
      <c r="J323" s="136"/>
      <c r="K323" s="136"/>
      <c r="L323" s="136"/>
      <c r="M323" s="145"/>
      <c r="N323" s="136"/>
      <c r="O323" s="136"/>
      <c r="P323" s="136"/>
      <c r="Q323" s="146"/>
      <c r="R323" s="136"/>
      <c r="S323" s="136"/>
      <c r="T323" s="136"/>
      <c r="U323" s="146"/>
      <c r="V323" s="136"/>
      <c r="W323" s="136"/>
      <c r="X323" s="136"/>
    </row>
    <row r="324" spans="1:24" ht="15.75" customHeight="1" x14ac:dyDescent="0.3">
      <c r="A324" s="144"/>
      <c r="B324" s="136"/>
      <c r="C324" s="136"/>
      <c r="D324" s="136"/>
      <c r="E324" s="145"/>
      <c r="F324" s="136"/>
      <c r="G324" s="136"/>
      <c r="H324" s="136"/>
      <c r="I324" s="145"/>
      <c r="J324" s="136"/>
      <c r="K324" s="136"/>
      <c r="L324" s="136"/>
      <c r="M324" s="145"/>
      <c r="N324" s="136"/>
      <c r="O324" s="136"/>
      <c r="P324" s="136"/>
      <c r="Q324" s="146"/>
      <c r="R324" s="136"/>
      <c r="S324" s="136"/>
      <c r="T324" s="136"/>
      <c r="U324" s="146"/>
      <c r="V324" s="136"/>
      <c r="W324" s="136"/>
      <c r="X324" s="136"/>
    </row>
    <row r="325" spans="1:24" ht="15.75" customHeight="1" x14ac:dyDescent="0.3">
      <c r="A325" s="144"/>
      <c r="B325" s="136"/>
      <c r="C325" s="136"/>
      <c r="D325" s="136"/>
      <c r="E325" s="145"/>
      <c r="F325" s="136"/>
      <c r="G325" s="136"/>
      <c r="H325" s="136"/>
      <c r="I325" s="145"/>
      <c r="J325" s="136"/>
      <c r="K325" s="136"/>
      <c r="L325" s="136"/>
      <c r="M325" s="145"/>
      <c r="N325" s="136"/>
      <c r="O325" s="136"/>
      <c r="P325" s="136"/>
      <c r="Q325" s="146"/>
      <c r="R325" s="136"/>
      <c r="S325" s="136"/>
      <c r="T325" s="136"/>
      <c r="U325" s="146"/>
      <c r="V325" s="136"/>
      <c r="W325" s="136"/>
      <c r="X325" s="136"/>
    </row>
    <row r="326" spans="1:24" ht="15.75" customHeight="1" x14ac:dyDescent="0.3">
      <c r="A326" s="144"/>
      <c r="B326" s="136"/>
      <c r="C326" s="136"/>
      <c r="D326" s="136"/>
      <c r="E326" s="145"/>
      <c r="F326" s="136"/>
      <c r="G326" s="136"/>
      <c r="H326" s="136"/>
      <c r="I326" s="145"/>
      <c r="J326" s="136"/>
      <c r="K326" s="136"/>
      <c r="L326" s="136"/>
      <c r="M326" s="145"/>
      <c r="N326" s="136"/>
      <c r="O326" s="136"/>
      <c r="P326" s="136"/>
      <c r="Q326" s="146"/>
      <c r="R326" s="136"/>
      <c r="S326" s="136"/>
      <c r="T326" s="136"/>
      <c r="U326" s="146"/>
      <c r="V326" s="136"/>
      <c r="W326" s="136"/>
      <c r="X326" s="136"/>
    </row>
    <row r="327" spans="1:24" ht="15.75" customHeight="1" x14ac:dyDescent="0.3">
      <c r="A327" s="144"/>
      <c r="B327" s="136"/>
      <c r="C327" s="136"/>
      <c r="D327" s="136"/>
      <c r="E327" s="145"/>
      <c r="F327" s="136"/>
      <c r="G327" s="136"/>
      <c r="H327" s="136"/>
      <c r="I327" s="145"/>
      <c r="J327" s="136"/>
      <c r="K327" s="136"/>
      <c r="L327" s="136"/>
      <c r="M327" s="145"/>
      <c r="N327" s="136"/>
      <c r="O327" s="136"/>
      <c r="P327" s="136"/>
      <c r="Q327" s="146"/>
      <c r="R327" s="136"/>
      <c r="S327" s="136"/>
      <c r="T327" s="136"/>
      <c r="U327" s="146"/>
      <c r="V327" s="136"/>
      <c r="W327" s="136"/>
      <c r="X327" s="136"/>
    </row>
    <row r="328" spans="1:24" ht="15.75" customHeight="1" x14ac:dyDescent="0.3">
      <c r="A328" s="144"/>
      <c r="B328" s="136"/>
      <c r="C328" s="136"/>
      <c r="D328" s="136"/>
      <c r="E328" s="145"/>
      <c r="F328" s="136"/>
      <c r="G328" s="136"/>
      <c r="H328" s="136"/>
      <c r="I328" s="145"/>
      <c r="J328" s="136"/>
      <c r="K328" s="136"/>
      <c r="L328" s="136"/>
      <c r="M328" s="145"/>
      <c r="N328" s="136"/>
      <c r="O328" s="136"/>
      <c r="P328" s="136"/>
      <c r="Q328" s="146"/>
      <c r="R328" s="136"/>
      <c r="S328" s="136"/>
      <c r="T328" s="136"/>
      <c r="U328" s="146"/>
      <c r="V328" s="136"/>
      <c r="W328" s="136"/>
      <c r="X328" s="136"/>
    </row>
    <row r="329" spans="1:24" ht="15.75" customHeight="1" x14ac:dyDescent="0.3">
      <c r="A329" s="144"/>
      <c r="B329" s="136"/>
      <c r="C329" s="136"/>
      <c r="D329" s="136"/>
      <c r="E329" s="145"/>
      <c r="F329" s="136"/>
      <c r="G329" s="136"/>
      <c r="H329" s="136"/>
      <c r="I329" s="145"/>
      <c r="J329" s="136"/>
      <c r="K329" s="136"/>
      <c r="L329" s="136"/>
      <c r="M329" s="145"/>
      <c r="N329" s="136"/>
      <c r="O329" s="136"/>
      <c r="P329" s="136"/>
      <c r="Q329" s="146"/>
      <c r="R329" s="136"/>
      <c r="S329" s="136"/>
      <c r="T329" s="136"/>
      <c r="U329" s="146"/>
      <c r="V329" s="136"/>
      <c r="W329" s="136"/>
      <c r="X329" s="136"/>
    </row>
    <row r="330" spans="1:24" ht="15.75" customHeight="1" x14ac:dyDescent="0.3">
      <c r="A330" s="144"/>
      <c r="B330" s="136"/>
      <c r="C330" s="136"/>
      <c r="D330" s="136"/>
      <c r="E330" s="145"/>
      <c r="F330" s="136"/>
      <c r="G330" s="136"/>
      <c r="H330" s="136"/>
      <c r="I330" s="145"/>
      <c r="J330" s="136"/>
      <c r="K330" s="136"/>
      <c r="L330" s="136"/>
      <c r="M330" s="145"/>
      <c r="N330" s="136"/>
      <c r="O330" s="136"/>
      <c r="P330" s="136"/>
      <c r="Q330" s="146"/>
      <c r="R330" s="136"/>
      <c r="S330" s="136"/>
      <c r="T330" s="136"/>
      <c r="U330" s="146"/>
      <c r="V330" s="136"/>
      <c r="W330" s="136"/>
      <c r="X330" s="136"/>
    </row>
    <row r="331" spans="1:24" ht="15.75" customHeight="1" x14ac:dyDescent="0.3">
      <c r="A331" s="144"/>
      <c r="B331" s="136"/>
      <c r="C331" s="136"/>
      <c r="D331" s="136"/>
      <c r="E331" s="145"/>
      <c r="F331" s="136"/>
      <c r="G331" s="136"/>
      <c r="H331" s="136"/>
      <c r="I331" s="145"/>
      <c r="J331" s="136"/>
      <c r="K331" s="136"/>
      <c r="L331" s="136"/>
      <c r="M331" s="145"/>
      <c r="N331" s="136"/>
      <c r="O331" s="136"/>
      <c r="P331" s="136"/>
      <c r="Q331" s="146"/>
      <c r="R331" s="136"/>
      <c r="S331" s="136"/>
      <c r="T331" s="136"/>
      <c r="U331" s="146"/>
      <c r="V331" s="136"/>
      <c r="W331" s="136"/>
      <c r="X331" s="136"/>
    </row>
    <row r="332" spans="1:24" ht="15.75" customHeight="1" x14ac:dyDescent="0.3">
      <c r="A332" s="144"/>
      <c r="B332" s="136"/>
      <c r="C332" s="136"/>
      <c r="D332" s="136"/>
      <c r="E332" s="145"/>
      <c r="F332" s="136"/>
      <c r="G332" s="136"/>
      <c r="H332" s="136"/>
      <c r="I332" s="145"/>
      <c r="J332" s="136"/>
      <c r="K332" s="136"/>
      <c r="L332" s="136"/>
      <c r="M332" s="145"/>
      <c r="N332" s="136"/>
      <c r="O332" s="136"/>
      <c r="P332" s="136"/>
      <c r="Q332" s="146"/>
      <c r="R332" s="136"/>
      <c r="S332" s="136"/>
      <c r="T332" s="136"/>
      <c r="U332" s="146"/>
      <c r="V332" s="136"/>
      <c r="W332" s="136"/>
      <c r="X332" s="136"/>
    </row>
    <row r="333" spans="1:24" ht="15.75" customHeight="1" x14ac:dyDescent="0.3">
      <c r="A333" s="144"/>
      <c r="B333" s="136"/>
      <c r="C333" s="136"/>
      <c r="D333" s="136"/>
      <c r="E333" s="145"/>
      <c r="F333" s="136"/>
      <c r="G333" s="136"/>
      <c r="H333" s="136"/>
      <c r="I333" s="145"/>
      <c r="J333" s="136"/>
      <c r="K333" s="136"/>
      <c r="L333" s="136"/>
      <c r="M333" s="145"/>
      <c r="N333" s="136"/>
      <c r="O333" s="136"/>
      <c r="P333" s="136"/>
      <c r="Q333" s="146"/>
      <c r="R333" s="136"/>
      <c r="S333" s="136"/>
      <c r="T333" s="136"/>
      <c r="U333" s="146"/>
      <c r="V333" s="136"/>
      <c r="W333" s="136"/>
      <c r="X333" s="136"/>
    </row>
    <row r="334" spans="1:24" ht="15.75" customHeight="1" x14ac:dyDescent="0.3">
      <c r="A334" s="144"/>
      <c r="B334" s="136"/>
      <c r="C334" s="136"/>
      <c r="D334" s="136"/>
      <c r="E334" s="145"/>
      <c r="F334" s="136"/>
      <c r="G334" s="136"/>
      <c r="H334" s="136"/>
      <c r="I334" s="145"/>
      <c r="J334" s="136"/>
      <c r="K334" s="136"/>
      <c r="L334" s="136"/>
      <c r="M334" s="145"/>
      <c r="N334" s="136"/>
      <c r="O334" s="136"/>
      <c r="P334" s="136"/>
      <c r="Q334" s="146"/>
      <c r="R334" s="136"/>
      <c r="S334" s="136"/>
      <c r="T334" s="136"/>
      <c r="U334" s="146"/>
      <c r="V334" s="136"/>
      <c r="W334" s="136"/>
      <c r="X334" s="136"/>
    </row>
    <row r="335" spans="1:24" ht="15.75" customHeight="1" x14ac:dyDescent="0.3">
      <c r="A335" s="144"/>
      <c r="B335" s="136"/>
      <c r="C335" s="136"/>
      <c r="D335" s="136"/>
      <c r="E335" s="145"/>
      <c r="F335" s="136"/>
      <c r="G335" s="136"/>
      <c r="H335" s="136"/>
      <c r="I335" s="145"/>
      <c r="J335" s="136"/>
      <c r="K335" s="136"/>
      <c r="L335" s="136"/>
      <c r="M335" s="145"/>
      <c r="N335" s="136"/>
      <c r="O335" s="136"/>
      <c r="P335" s="136"/>
      <c r="Q335" s="146"/>
      <c r="R335" s="136"/>
      <c r="S335" s="136"/>
      <c r="T335" s="136"/>
      <c r="U335" s="146"/>
      <c r="V335" s="136"/>
      <c r="W335" s="136"/>
      <c r="X335" s="136"/>
    </row>
    <row r="336" spans="1:24" ht="15.75" customHeight="1" x14ac:dyDescent="0.3">
      <c r="A336" s="144"/>
      <c r="B336" s="136"/>
      <c r="C336" s="136"/>
      <c r="D336" s="136"/>
      <c r="E336" s="145"/>
      <c r="F336" s="136"/>
      <c r="G336" s="136"/>
      <c r="H336" s="136"/>
      <c r="I336" s="145"/>
      <c r="J336" s="136"/>
      <c r="K336" s="136"/>
      <c r="L336" s="136"/>
      <c r="M336" s="145"/>
      <c r="N336" s="136"/>
      <c r="O336" s="136"/>
      <c r="P336" s="136"/>
      <c r="Q336" s="146"/>
      <c r="R336" s="136"/>
      <c r="S336" s="136"/>
      <c r="T336" s="136"/>
      <c r="U336" s="146"/>
      <c r="V336" s="136"/>
      <c r="W336" s="136"/>
      <c r="X336" s="136"/>
    </row>
    <row r="337" spans="1:24" ht="15.75" customHeight="1" x14ac:dyDescent="0.3">
      <c r="A337" s="144"/>
      <c r="B337" s="136"/>
      <c r="C337" s="136"/>
      <c r="D337" s="136"/>
      <c r="E337" s="145"/>
      <c r="F337" s="136"/>
      <c r="G337" s="136"/>
      <c r="H337" s="136"/>
      <c r="I337" s="145"/>
      <c r="J337" s="136"/>
      <c r="K337" s="136"/>
      <c r="L337" s="136"/>
      <c r="M337" s="145"/>
      <c r="N337" s="136"/>
      <c r="O337" s="136"/>
      <c r="P337" s="136"/>
      <c r="Q337" s="146"/>
      <c r="R337" s="136"/>
      <c r="S337" s="136"/>
      <c r="T337" s="136"/>
      <c r="U337" s="146"/>
      <c r="V337" s="136"/>
      <c r="W337" s="136"/>
      <c r="X337" s="136"/>
    </row>
    <row r="338" spans="1:24" ht="15.75" customHeight="1" x14ac:dyDescent="0.3">
      <c r="A338" s="144"/>
      <c r="B338" s="136"/>
      <c r="C338" s="136"/>
      <c r="D338" s="136"/>
      <c r="E338" s="145"/>
      <c r="F338" s="136"/>
      <c r="G338" s="136"/>
      <c r="H338" s="136"/>
      <c r="I338" s="145"/>
      <c r="J338" s="136"/>
      <c r="K338" s="136"/>
      <c r="L338" s="136"/>
      <c r="M338" s="145"/>
      <c r="N338" s="136"/>
      <c r="O338" s="136"/>
      <c r="P338" s="136"/>
      <c r="Q338" s="146"/>
      <c r="R338" s="136"/>
      <c r="S338" s="136"/>
      <c r="T338" s="136"/>
      <c r="U338" s="146"/>
      <c r="V338" s="136"/>
      <c r="W338" s="136"/>
      <c r="X338" s="136"/>
    </row>
    <row r="339" spans="1:24" ht="15.75" customHeight="1" x14ac:dyDescent="0.3">
      <c r="A339" s="144"/>
      <c r="B339" s="136"/>
      <c r="C339" s="136"/>
      <c r="D339" s="136"/>
      <c r="E339" s="145"/>
      <c r="F339" s="136"/>
      <c r="G339" s="136"/>
      <c r="H339" s="136"/>
      <c r="I339" s="145"/>
      <c r="J339" s="136"/>
      <c r="K339" s="136"/>
      <c r="L339" s="136"/>
      <c r="M339" s="145"/>
      <c r="N339" s="136"/>
      <c r="O339" s="136"/>
      <c r="P339" s="136"/>
      <c r="Q339" s="146"/>
      <c r="R339" s="136"/>
      <c r="S339" s="136"/>
      <c r="T339" s="136"/>
      <c r="U339" s="146"/>
      <c r="V339" s="136"/>
      <c r="W339" s="136"/>
      <c r="X339" s="136"/>
    </row>
    <row r="340" spans="1:24" ht="15.75" customHeight="1" x14ac:dyDescent="0.3">
      <c r="A340" s="144"/>
      <c r="B340" s="136"/>
      <c r="C340" s="136"/>
      <c r="D340" s="136"/>
      <c r="E340" s="145"/>
      <c r="F340" s="136"/>
      <c r="G340" s="136"/>
      <c r="H340" s="136"/>
      <c r="I340" s="145"/>
      <c r="J340" s="136"/>
      <c r="K340" s="136"/>
      <c r="L340" s="136"/>
      <c r="M340" s="145"/>
      <c r="N340" s="136"/>
      <c r="O340" s="136"/>
      <c r="P340" s="136"/>
      <c r="Q340" s="146"/>
      <c r="R340" s="136"/>
      <c r="S340" s="136"/>
      <c r="T340" s="136"/>
      <c r="U340" s="146"/>
      <c r="V340" s="136"/>
      <c r="W340" s="136"/>
      <c r="X340" s="136"/>
    </row>
    <row r="341" spans="1:24" ht="15.75" customHeight="1" x14ac:dyDescent="0.3">
      <c r="A341" s="144"/>
      <c r="B341" s="136"/>
      <c r="C341" s="136"/>
      <c r="D341" s="136"/>
      <c r="E341" s="145"/>
      <c r="F341" s="136"/>
      <c r="G341" s="136"/>
      <c r="H341" s="136"/>
      <c r="I341" s="145"/>
      <c r="J341" s="136"/>
      <c r="K341" s="136"/>
      <c r="L341" s="136"/>
      <c r="M341" s="145"/>
      <c r="N341" s="136"/>
      <c r="O341" s="136"/>
      <c r="P341" s="136"/>
      <c r="Q341" s="146"/>
      <c r="R341" s="136"/>
      <c r="S341" s="136"/>
      <c r="T341" s="136"/>
      <c r="U341" s="146"/>
      <c r="V341" s="136"/>
      <c r="W341" s="136"/>
      <c r="X341" s="136"/>
    </row>
    <row r="342" spans="1:24" ht="15.75" customHeight="1" x14ac:dyDescent="0.3">
      <c r="A342" s="144"/>
      <c r="B342" s="136"/>
      <c r="C342" s="136"/>
      <c r="D342" s="136"/>
      <c r="E342" s="145"/>
      <c r="F342" s="136"/>
      <c r="G342" s="136"/>
      <c r="H342" s="136"/>
      <c r="I342" s="145"/>
      <c r="J342" s="136"/>
      <c r="K342" s="136"/>
      <c r="L342" s="136"/>
      <c r="M342" s="145"/>
      <c r="N342" s="136"/>
      <c r="O342" s="136"/>
      <c r="P342" s="136"/>
      <c r="Q342" s="146"/>
      <c r="R342" s="136"/>
      <c r="S342" s="136"/>
      <c r="T342" s="136"/>
      <c r="U342" s="146"/>
      <c r="V342" s="136"/>
      <c r="W342" s="136"/>
      <c r="X342" s="136"/>
    </row>
    <row r="343" spans="1:24" ht="15.75" customHeight="1" x14ac:dyDescent="0.3">
      <c r="A343" s="144"/>
      <c r="B343" s="136"/>
      <c r="C343" s="136"/>
      <c r="D343" s="136"/>
      <c r="E343" s="145"/>
      <c r="F343" s="136"/>
      <c r="G343" s="136"/>
      <c r="H343" s="136"/>
      <c r="I343" s="145"/>
      <c r="J343" s="136"/>
      <c r="K343" s="136"/>
      <c r="L343" s="136"/>
      <c r="M343" s="145"/>
      <c r="N343" s="136"/>
      <c r="O343" s="136"/>
      <c r="P343" s="136"/>
      <c r="Q343" s="146"/>
      <c r="R343" s="136"/>
      <c r="S343" s="136"/>
      <c r="T343" s="136"/>
      <c r="U343" s="146"/>
      <c r="V343" s="136"/>
      <c r="W343" s="136"/>
      <c r="X343" s="136"/>
    </row>
    <row r="344" spans="1:24" ht="15.75" customHeight="1" x14ac:dyDescent="0.3">
      <c r="A344" s="144"/>
      <c r="B344" s="136"/>
      <c r="C344" s="136"/>
      <c r="D344" s="136"/>
      <c r="E344" s="145"/>
      <c r="F344" s="136"/>
      <c r="G344" s="136"/>
      <c r="H344" s="136"/>
      <c r="I344" s="145"/>
      <c r="J344" s="136"/>
      <c r="K344" s="136"/>
      <c r="L344" s="136"/>
      <c r="M344" s="145"/>
      <c r="N344" s="136"/>
      <c r="O344" s="136"/>
      <c r="P344" s="136"/>
      <c r="Q344" s="146"/>
      <c r="R344" s="136"/>
      <c r="S344" s="136"/>
      <c r="T344" s="136"/>
      <c r="U344" s="146"/>
      <c r="V344" s="136"/>
      <c r="W344" s="136"/>
      <c r="X344" s="136"/>
    </row>
    <row r="345" spans="1:24" ht="15.75" customHeight="1" x14ac:dyDescent="0.3">
      <c r="A345" s="144"/>
      <c r="B345" s="136"/>
      <c r="C345" s="136"/>
      <c r="D345" s="136"/>
      <c r="E345" s="145"/>
      <c r="F345" s="136"/>
      <c r="G345" s="136"/>
      <c r="H345" s="136"/>
      <c r="I345" s="145"/>
      <c r="J345" s="136"/>
      <c r="K345" s="136"/>
      <c r="L345" s="136"/>
      <c r="M345" s="145"/>
      <c r="N345" s="136"/>
      <c r="O345" s="136"/>
      <c r="P345" s="136"/>
      <c r="Q345" s="146"/>
      <c r="R345" s="136"/>
      <c r="S345" s="136"/>
      <c r="T345" s="136"/>
      <c r="U345" s="146"/>
      <c r="V345" s="136"/>
      <c r="W345" s="136"/>
      <c r="X345" s="136"/>
    </row>
    <row r="346" spans="1:24" ht="15.75" customHeight="1" x14ac:dyDescent="0.3">
      <c r="A346" s="144"/>
      <c r="B346" s="136"/>
      <c r="C346" s="136"/>
      <c r="D346" s="136"/>
      <c r="E346" s="145"/>
      <c r="F346" s="136"/>
      <c r="G346" s="136"/>
      <c r="H346" s="136"/>
      <c r="I346" s="145"/>
      <c r="J346" s="136"/>
      <c r="K346" s="136"/>
      <c r="L346" s="136"/>
      <c r="M346" s="145"/>
      <c r="N346" s="136"/>
      <c r="O346" s="136"/>
      <c r="P346" s="136"/>
      <c r="Q346" s="146"/>
      <c r="R346" s="136"/>
      <c r="S346" s="136"/>
      <c r="T346" s="136"/>
      <c r="U346" s="146"/>
      <c r="V346" s="136"/>
      <c r="W346" s="136"/>
      <c r="X346" s="136"/>
    </row>
    <row r="347" spans="1:24" ht="15.75" customHeight="1" x14ac:dyDescent="0.3">
      <c r="A347" s="144"/>
      <c r="B347" s="136"/>
      <c r="C347" s="136"/>
      <c r="D347" s="136"/>
      <c r="E347" s="145"/>
      <c r="F347" s="136"/>
      <c r="G347" s="136"/>
      <c r="H347" s="136"/>
      <c r="I347" s="145"/>
      <c r="J347" s="136"/>
      <c r="K347" s="136"/>
      <c r="L347" s="136"/>
      <c r="M347" s="145"/>
      <c r="N347" s="136"/>
      <c r="O347" s="136"/>
      <c r="P347" s="136"/>
      <c r="Q347" s="146"/>
      <c r="R347" s="136"/>
      <c r="S347" s="136"/>
      <c r="T347" s="136"/>
      <c r="U347" s="146"/>
      <c r="V347" s="136"/>
      <c r="W347" s="136"/>
      <c r="X347" s="136"/>
    </row>
    <row r="348" spans="1:24" ht="15.75" customHeight="1" x14ac:dyDescent="0.3">
      <c r="A348" s="144"/>
      <c r="B348" s="136"/>
      <c r="C348" s="136"/>
      <c r="D348" s="136"/>
      <c r="E348" s="145"/>
      <c r="F348" s="136"/>
      <c r="G348" s="136"/>
      <c r="H348" s="136"/>
      <c r="I348" s="145"/>
      <c r="J348" s="136"/>
      <c r="K348" s="136"/>
      <c r="L348" s="136"/>
      <c r="M348" s="145"/>
      <c r="N348" s="136"/>
      <c r="O348" s="136"/>
      <c r="P348" s="136"/>
      <c r="Q348" s="146"/>
      <c r="R348" s="136"/>
      <c r="S348" s="136"/>
      <c r="T348" s="136"/>
      <c r="U348" s="146"/>
      <c r="V348" s="136"/>
      <c r="W348" s="136"/>
      <c r="X348" s="136"/>
    </row>
    <row r="349" spans="1:24" ht="15.75" customHeight="1" x14ac:dyDescent="0.3">
      <c r="A349" s="144"/>
      <c r="B349" s="136"/>
      <c r="C349" s="136"/>
      <c r="D349" s="136"/>
      <c r="E349" s="145"/>
      <c r="F349" s="136"/>
      <c r="G349" s="136"/>
      <c r="H349" s="136"/>
      <c r="I349" s="145"/>
      <c r="J349" s="136"/>
      <c r="K349" s="136"/>
      <c r="L349" s="136"/>
      <c r="M349" s="145"/>
      <c r="N349" s="136"/>
      <c r="O349" s="136"/>
      <c r="P349" s="136"/>
      <c r="Q349" s="146"/>
      <c r="R349" s="136"/>
      <c r="S349" s="136"/>
      <c r="T349" s="136"/>
      <c r="U349" s="146"/>
      <c r="V349" s="136"/>
      <c r="W349" s="136"/>
      <c r="X349" s="136"/>
    </row>
    <row r="350" spans="1:24" ht="15.75" customHeight="1" x14ac:dyDescent="0.3">
      <c r="A350" s="144"/>
      <c r="B350" s="136"/>
      <c r="C350" s="136"/>
      <c r="D350" s="136"/>
      <c r="E350" s="145"/>
      <c r="F350" s="136"/>
      <c r="G350" s="136"/>
      <c r="H350" s="136"/>
      <c r="I350" s="145"/>
      <c r="J350" s="136"/>
      <c r="K350" s="136"/>
      <c r="L350" s="136"/>
      <c r="M350" s="145"/>
      <c r="N350" s="136"/>
      <c r="O350" s="136"/>
      <c r="P350" s="136"/>
      <c r="Q350" s="146"/>
      <c r="R350" s="136"/>
      <c r="S350" s="136"/>
      <c r="T350" s="136"/>
      <c r="U350" s="146"/>
      <c r="V350" s="136"/>
      <c r="W350" s="136"/>
      <c r="X350" s="136"/>
    </row>
    <row r="351" spans="1:24" ht="15.75" customHeight="1" x14ac:dyDescent="0.3">
      <c r="A351" s="144"/>
      <c r="B351" s="136"/>
      <c r="C351" s="136"/>
      <c r="D351" s="136"/>
      <c r="E351" s="145"/>
      <c r="F351" s="136"/>
      <c r="G351" s="136"/>
      <c r="H351" s="136"/>
      <c r="I351" s="145"/>
      <c r="J351" s="136"/>
      <c r="K351" s="136"/>
      <c r="L351" s="136"/>
      <c r="M351" s="145"/>
      <c r="N351" s="136"/>
      <c r="O351" s="136"/>
      <c r="P351" s="136"/>
      <c r="Q351" s="146"/>
      <c r="R351" s="136"/>
      <c r="S351" s="136"/>
      <c r="T351" s="136"/>
      <c r="U351" s="146"/>
      <c r="V351" s="136"/>
      <c r="W351" s="136"/>
      <c r="X351" s="136"/>
    </row>
    <row r="352" spans="1:24" ht="15.75" customHeight="1" x14ac:dyDescent="0.3">
      <c r="A352" s="144"/>
      <c r="B352" s="136"/>
      <c r="C352" s="136"/>
      <c r="D352" s="136"/>
      <c r="E352" s="145"/>
      <c r="F352" s="136"/>
      <c r="G352" s="136"/>
      <c r="H352" s="136"/>
      <c r="I352" s="145"/>
      <c r="J352" s="136"/>
      <c r="K352" s="136"/>
      <c r="L352" s="136"/>
      <c r="M352" s="145"/>
      <c r="N352" s="136"/>
      <c r="O352" s="136"/>
      <c r="P352" s="136"/>
      <c r="Q352" s="146"/>
      <c r="R352" s="136"/>
      <c r="S352" s="136"/>
      <c r="T352" s="136"/>
      <c r="U352" s="146"/>
      <c r="V352" s="136"/>
      <c r="W352" s="136"/>
      <c r="X352" s="136"/>
    </row>
    <row r="353" spans="1:24" ht="15.75" customHeight="1" x14ac:dyDescent="0.3">
      <c r="A353" s="144"/>
      <c r="B353" s="136"/>
      <c r="C353" s="136"/>
      <c r="D353" s="136"/>
      <c r="E353" s="145"/>
      <c r="F353" s="136"/>
      <c r="G353" s="136"/>
      <c r="H353" s="136"/>
      <c r="I353" s="145"/>
      <c r="J353" s="136"/>
      <c r="K353" s="136"/>
      <c r="L353" s="136"/>
      <c r="M353" s="145"/>
      <c r="N353" s="136"/>
      <c r="O353" s="136"/>
      <c r="P353" s="136"/>
      <c r="Q353" s="146"/>
      <c r="R353" s="136"/>
      <c r="S353" s="136"/>
      <c r="T353" s="136"/>
      <c r="U353" s="146"/>
      <c r="V353" s="136"/>
      <c r="W353" s="136"/>
      <c r="X353" s="136"/>
    </row>
    <row r="354" spans="1:24" ht="15.75" customHeight="1" x14ac:dyDescent="0.3">
      <c r="A354" s="144"/>
      <c r="B354" s="136"/>
      <c r="C354" s="136"/>
      <c r="D354" s="136"/>
      <c r="E354" s="145"/>
      <c r="F354" s="136"/>
      <c r="G354" s="136"/>
      <c r="H354" s="136"/>
      <c r="I354" s="145"/>
      <c r="J354" s="136"/>
      <c r="K354" s="136"/>
      <c r="L354" s="136"/>
      <c r="M354" s="145"/>
      <c r="N354" s="136"/>
      <c r="O354" s="136"/>
      <c r="P354" s="136"/>
      <c r="Q354" s="146"/>
      <c r="R354" s="136"/>
      <c r="S354" s="136"/>
      <c r="T354" s="136"/>
      <c r="U354" s="146"/>
      <c r="V354" s="136"/>
      <c r="W354" s="136"/>
      <c r="X354" s="136"/>
    </row>
    <row r="355" spans="1:24" ht="15.75" customHeight="1" x14ac:dyDescent="0.3">
      <c r="A355" s="144"/>
      <c r="B355" s="136"/>
      <c r="C355" s="136"/>
      <c r="D355" s="136"/>
      <c r="E355" s="145"/>
      <c r="F355" s="136"/>
      <c r="G355" s="136"/>
      <c r="H355" s="136"/>
      <c r="I355" s="145"/>
      <c r="J355" s="136"/>
      <c r="K355" s="136"/>
      <c r="L355" s="136"/>
      <c r="M355" s="145"/>
      <c r="N355" s="136"/>
      <c r="O355" s="136"/>
      <c r="P355" s="136"/>
      <c r="Q355" s="146"/>
      <c r="R355" s="136"/>
      <c r="S355" s="136"/>
      <c r="T355" s="136"/>
      <c r="U355" s="146"/>
      <c r="V355" s="136"/>
      <c r="W355" s="136"/>
      <c r="X355" s="136"/>
    </row>
    <row r="356" spans="1:24" ht="15.75" customHeight="1" x14ac:dyDescent="0.3">
      <c r="A356" s="144"/>
      <c r="B356" s="136"/>
      <c r="C356" s="136"/>
      <c r="D356" s="136"/>
      <c r="E356" s="145"/>
      <c r="F356" s="136"/>
      <c r="G356" s="136"/>
      <c r="H356" s="136"/>
      <c r="I356" s="145"/>
      <c r="J356" s="136"/>
      <c r="K356" s="136"/>
      <c r="L356" s="136"/>
      <c r="M356" s="145"/>
      <c r="N356" s="136"/>
      <c r="O356" s="136"/>
      <c r="P356" s="136"/>
      <c r="Q356" s="146"/>
      <c r="R356" s="136"/>
      <c r="S356" s="136"/>
      <c r="T356" s="136"/>
      <c r="U356" s="146"/>
      <c r="V356" s="136"/>
      <c r="W356" s="136"/>
      <c r="X356" s="136"/>
    </row>
    <row r="357" spans="1:24" ht="15.75" customHeight="1" x14ac:dyDescent="0.3">
      <c r="A357" s="144"/>
      <c r="B357" s="136"/>
      <c r="C357" s="136"/>
      <c r="D357" s="136"/>
      <c r="E357" s="145"/>
      <c r="F357" s="136"/>
      <c r="G357" s="136"/>
      <c r="H357" s="136"/>
      <c r="I357" s="145"/>
      <c r="J357" s="136"/>
      <c r="K357" s="136"/>
      <c r="L357" s="136"/>
      <c r="M357" s="145"/>
      <c r="N357" s="136"/>
      <c r="O357" s="136"/>
      <c r="P357" s="136"/>
      <c r="Q357" s="146"/>
      <c r="R357" s="136"/>
      <c r="S357" s="136"/>
      <c r="T357" s="136"/>
      <c r="U357" s="146"/>
      <c r="V357" s="136"/>
      <c r="W357" s="136"/>
      <c r="X357" s="136"/>
    </row>
    <row r="358" spans="1:24" ht="15.75" customHeight="1" x14ac:dyDescent="0.3">
      <c r="A358" s="144"/>
      <c r="B358" s="136"/>
      <c r="C358" s="136"/>
      <c r="D358" s="136"/>
      <c r="E358" s="145"/>
      <c r="F358" s="136"/>
      <c r="G358" s="136"/>
      <c r="H358" s="136"/>
      <c r="I358" s="145"/>
      <c r="J358" s="136"/>
      <c r="K358" s="136"/>
      <c r="L358" s="136"/>
      <c r="M358" s="145"/>
      <c r="N358" s="136"/>
      <c r="O358" s="136"/>
      <c r="P358" s="136"/>
      <c r="Q358" s="146"/>
      <c r="R358" s="136"/>
      <c r="S358" s="136"/>
      <c r="T358" s="136"/>
      <c r="U358" s="146"/>
      <c r="V358" s="136"/>
      <c r="W358" s="136"/>
      <c r="X358" s="136"/>
    </row>
    <row r="359" spans="1:24" ht="15.75" customHeight="1" x14ac:dyDescent="0.3">
      <c r="A359" s="144"/>
      <c r="B359" s="136"/>
      <c r="C359" s="136"/>
      <c r="D359" s="136"/>
      <c r="E359" s="145"/>
      <c r="F359" s="136"/>
      <c r="G359" s="136"/>
      <c r="H359" s="136"/>
      <c r="I359" s="145"/>
      <c r="J359" s="136"/>
      <c r="K359" s="136"/>
      <c r="L359" s="136"/>
      <c r="M359" s="145"/>
      <c r="N359" s="136"/>
      <c r="O359" s="136"/>
      <c r="P359" s="136"/>
      <c r="Q359" s="146"/>
      <c r="R359" s="136"/>
      <c r="S359" s="136"/>
      <c r="T359" s="136"/>
      <c r="U359" s="146"/>
      <c r="V359" s="136"/>
      <c r="W359" s="136"/>
      <c r="X359" s="136"/>
    </row>
    <row r="360" spans="1:24" ht="15.75" customHeight="1" x14ac:dyDescent="0.3">
      <c r="A360" s="144"/>
      <c r="B360" s="136"/>
      <c r="C360" s="136"/>
      <c r="D360" s="136"/>
      <c r="E360" s="145"/>
      <c r="F360" s="136"/>
      <c r="G360" s="136"/>
      <c r="H360" s="136"/>
      <c r="I360" s="145"/>
      <c r="J360" s="136"/>
      <c r="K360" s="136"/>
      <c r="L360" s="136"/>
      <c r="M360" s="145"/>
      <c r="N360" s="136"/>
      <c r="O360" s="136"/>
      <c r="P360" s="136"/>
      <c r="Q360" s="146"/>
      <c r="R360" s="136"/>
      <c r="S360" s="136"/>
      <c r="T360" s="136"/>
      <c r="U360" s="146"/>
      <c r="V360" s="136"/>
      <c r="W360" s="136"/>
      <c r="X360" s="136"/>
    </row>
    <row r="361" spans="1:24" ht="15.75" customHeight="1" x14ac:dyDescent="0.3">
      <c r="A361" s="144"/>
      <c r="B361" s="136"/>
      <c r="C361" s="136"/>
      <c r="D361" s="136"/>
      <c r="E361" s="145"/>
      <c r="F361" s="136"/>
      <c r="G361" s="136"/>
      <c r="H361" s="136"/>
      <c r="I361" s="145"/>
      <c r="J361" s="136"/>
      <c r="K361" s="136"/>
      <c r="L361" s="136"/>
      <c r="M361" s="145"/>
      <c r="N361" s="136"/>
      <c r="O361" s="136"/>
      <c r="P361" s="136"/>
      <c r="Q361" s="146"/>
      <c r="R361" s="136"/>
      <c r="S361" s="136"/>
      <c r="T361" s="136"/>
      <c r="U361" s="146"/>
      <c r="V361" s="136"/>
      <c r="W361" s="136"/>
      <c r="X361" s="136"/>
    </row>
    <row r="362" spans="1:24" ht="15.75" customHeight="1" x14ac:dyDescent="0.3">
      <c r="A362" s="144"/>
      <c r="B362" s="136"/>
      <c r="C362" s="136"/>
      <c r="D362" s="136"/>
      <c r="E362" s="145"/>
      <c r="F362" s="136"/>
      <c r="G362" s="136"/>
      <c r="H362" s="136"/>
      <c r="I362" s="145"/>
      <c r="J362" s="136"/>
      <c r="K362" s="136"/>
      <c r="L362" s="136"/>
      <c r="M362" s="145"/>
      <c r="N362" s="136"/>
      <c r="O362" s="136"/>
      <c r="P362" s="136"/>
      <c r="Q362" s="146"/>
      <c r="R362" s="136"/>
      <c r="S362" s="136"/>
      <c r="T362" s="136"/>
      <c r="U362" s="146"/>
      <c r="V362" s="136"/>
      <c r="W362" s="136"/>
      <c r="X362" s="136"/>
    </row>
    <row r="363" spans="1:24" ht="15.75" customHeight="1" x14ac:dyDescent="0.3">
      <c r="A363" s="144"/>
      <c r="B363" s="136"/>
      <c r="C363" s="136"/>
      <c r="D363" s="136"/>
      <c r="E363" s="145"/>
      <c r="F363" s="136"/>
      <c r="G363" s="136"/>
      <c r="H363" s="136"/>
      <c r="I363" s="145"/>
      <c r="J363" s="136"/>
      <c r="K363" s="136"/>
      <c r="L363" s="136"/>
      <c r="M363" s="145"/>
      <c r="N363" s="136"/>
      <c r="O363" s="136"/>
      <c r="P363" s="136"/>
      <c r="Q363" s="146"/>
      <c r="R363" s="136"/>
      <c r="S363" s="136"/>
      <c r="T363" s="136"/>
      <c r="U363" s="146"/>
      <c r="V363" s="136"/>
      <c r="W363" s="136"/>
      <c r="X363" s="136"/>
    </row>
    <row r="364" spans="1:24" ht="15.75" customHeight="1" x14ac:dyDescent="0.3">
      <c r="A364" s="144"/>
      <c r="B364" s="136"/>
      <c r="C364" s="136"/>
      <c r="D364" s="136"/>
      <c r="E364" s="145"/>
      <c r="F364" s="136"/>
      <c r="G364" s="136"/>
      <c r="H364" s="136"/>
      <c r="I364" s="145"/>
      <c r="J364" s="136"/>
      <c r="K364" s="136"/>
      <c r="L364" s="136"/>
      <c r="M364" s="145"/>
      <c r="N364" s="136"/>
      <c r="O364" s="136"/>
      <c r="P364" s="136"/>
      <c r="Q364" s="146"/>
      <c r="R364" s="136"/>
      <c r="S364" s="136"/>
      <c r="T364" s="136"/>
      <c r="U364" s="146"/>
      <c r="V364" s="136"/>
      <c r="W364" s="136"/>
      <c r="X364" s="136"/>
    </row>
    <row r="365" spans="1:24" ht="15.75" customHeight="1" x14ac:dyDescent="0.3">
      <c r="A365" s="144"/>
      <c r="B365" s="136"/>
      <c r="C365" s="136"/>
      <c r="D365" s="136"/>
      <c r="E365" s="145"/>
      <c r="F365" s="136"/>
      <c r="G365" s="136"/>
      <c r="H365" s="136"/>
      <c r="I365" s="145"/>
      <c r="J365" s="136"/>
      <c r="K365" s="136"/>
      <c r="L365" s="136"/>
      <c r="M365" s="145"/>
      <c r="N365" s="136"/>
      <c r="O365" s="136"/>
      <c r="P365" s="136"/>
      <c r="Q365" s="146"/>
      <c r="R365" s="136"/>
      <c r="S365" s="136"/>
      <c r="T365" s="136"/>
      <c r="U365" s="146"/>
      <c r="V365" s="136"/>
      <c r="W365" s="136"/>
      <c r="X365" s="136"/>
    </row>
    <row r="366" spans="1:24" ht="15.75" customHeight="1" x14ac:dyDescent="0.3">
      <c r="A366" s="144"/>
      <c r="B366" s="136"/>
      <c r="C366" s="136"/>
      <c r="D366" s="136"/>
      <c r="E366" s="145"/>
      <c r="F366" s="136"/>
      <c r="G366" s="136"/>
      <c r="H366" s="136"/>
      <c r="I366" s="145"/>
      <c r="J366" s="136"/>
      <c r="K366" s="136"/>
      <c r="L366" s="136"/>
      <c r="M366" s="145"/>
      <c r="N366" s="136"/>
      <c r="O366" s="136"/>
      <c r="P366" s="136"/>
      <c r="Q366" s="146"/>
      <c r="R366" s="136"/>
      <c r="S366" s="136"/>
      <c r="T366" s="136"/>
      <c r="U366" s="146"/>
      <c r="V366" s="136"/>
      <c r="W366" s="136"/>
      <c r="X366" s="136"/>
    </row>
    <row r="367" spans="1:24" ht="15.75" customHeight="1" x14ac:dyDescent="0.3">
      <c r="A367" s="144"/>
      <c r="B367" s="136"/>
      <c r="C367" s="136"/>
      <c r="D367" s="136"/>
      <c r="E367" s="145"/>
      <c r="F367" s="136"/>
      <c r="G367" s="136"/>
      <c r="H367" s="136"/>
      <c r="I367" s="145"/>
      <c r="J367" s="136"/>
      <c r="K367" s="136"/>
      <c r="L367" s="136"/>
      <c r="M367" s="145"/>
      <c r="N367" s="136"/>
      <c r="O367" s="136"/>
      <c r="P367" s="136"/>
      <c r="Q367" s="146"/>
      <c r="R367" s="136"/>
      <c r="S367" s="136"/>
      <c r="T367" s="136"/>
      <c r="U367" s="146"/>
      <c r="V367" s="136"/>
      <c r="W367" s="136"/>
      <c r="X367" s="136"/>
    </row>
    <row r="368" spans="1:24" ht="15.75" customHeight="1" x14ac:dyDescent="0.3">
      <c r="A368" s="144"/>
      <c r="B368" s="136"/>
      <c r="C368" s="136"/>
      <c r="D368" s="136"/>
      <c r="E368" s="145"/>
      <c r="F368" s="136"/>
      <c r="G368" s="136"/>
      <c r="H368" s="136"/>
      <c r="I368" s="145"/>
      <c r="J368" s="136"/>
      <c r="K368" s="136"/>
      <c r="L368" s="136"/>
      <c r="M368" s="145"/>
      <c r="N368" s="136"/>
      <c r="O368" s="136"/>
      <c r="P368" s="136"/>
      <c r="Q368" s="146"/>
      <c r="R368" s="136"/>
      <c r="S368" s="136"/>
      <c r="T368" s="136"/>
      <c r="U368" s="146"/>
      <c r="V368" s="136"/>
      <c r="W368" s="136"/>
      <c r="X368" s="136"/>
    </row>
    <row r="369" spans="1:24" ht="15.75" customHeight="1" x14ac:dyDescent="0.3">
      <c r="A369" s="144"/>
      <c r="B369" s="136"/>
      <c r="C369" s="136"/>
      <c r="D369" s="136"/>
      <c r="E369" s="145"/>
      <c r="F369" s="136"/>
      <c r="G369" s="136"/>
      <c r="H369" s="136"/>
      <c r="I369" s="145"/>
      <c r="J369" s="136"/>
      <c r="K369" s="136"/>
      <c r="L369" s="136"/>
      <c r="M369" s="145"/>
      <c r="N369" s="136"/>
      <c r="O369" s="136"/>
      <c r="P369" s="136"/>
      <c r="Q369" s="146"/>
      <c r="R369" s="136"/>
      <c r="S369" s="136"/>
      <c r="T369" s="136"/>
      <c r="U369" s="146"/>
      <c r="V369" s="136"/>
      <c r="W369" s="136"/>
      <c r="X369" s="136"/>
    </row>
    <row r="370" spans="1:24" ht="15.75" customHeight="1" x14ac:dyDescent="0.3">
      <c r="A370" s="144"/>
      <c r="B370" s="136"/>
      <c r="C370" s="136"/>
      <c r="D370" s="136"/>
      <c r="E370" s="145"/>
      <c r="F370" s="136"/>
      <c r="G370" s="136"/>
      <c r="H370" s="136"/>
      <c r="I370" s="145"/>
      <c r="J370" s="136"/>
      <c r="K370" s="136"/>
      <c r="L370" s="136"/>
      <c r="M370" s="145"/>
      <c r="N370" s="136"/>
      <c r="O370" s="136"/>
      <c r="P370" s="136"/>
      <c r="Q370" s="146"/>
      <c r="R370" s="136"/>
      <c r="S370" s="136"/>
      <c r="T370" s="136"/>
      <c r="U370" s="146"/>
      <c r="V370" s="136"/>
      <c r="W370" s="136"/>
      <c r="X370" s="136"/>
    </row>
    <row r="371" spans="1:24" ht="15.75" customHeight="1" x14ac:dyDescent="0.3">
      <c r="A371" s="144"/>
      <c r="B371" s="136"/>
      <c r="C371" s="136"/>
      <c r="D371" s="136"/>
      <c r="E371" s="145"/>
      <c r="F371" s="136"/>
      <c r="G371" s="136"/>
      <c r="H371" s="136"/>
      <c r="I371" s="145"/>
      <c r="J371" s="136"/>
      <c r="K371" s="136"/>
      <c r="L371" s="136"/>
      <c r="M371" s="145"/>
      <c r="N371" s="136"/>
      <c r="O371" s="136"/>
      <c r="P371" s="136"/>
      <c r="Q371" s="146"/>
      <c r="R371" s="136"/>
      <c r="S371" s="136"/>
      <c r="T371" s="136"/>
      <c r="U371" s="146"/>
      <c r="V371" s="136"/>
      <c r="W371" s="136"/>
      <c r="X371" s="136"/>
    </row>
    <row r="372" spans="1:24" ht="15.75" customHeight="1" x14ac:dyDescent="0.3">
      <c r="A372" s="144"/>
      <c r="B372" s="136"/>
      <c r="C372" s="136"/>
      <c r="D372" s="136"/>
      <c r="E372" s="145"/>
      <c r="F372" s="136"/>
      <c r="G372" s="136"/>
      <c r="H372" s="136"/>
      <c r="I372" s="145"/>
      <c r="J372" s="136"/>
      <c r="K372" s="136"/>
      <c r="L372" s="136"/>
      <c r="M372" s="145"/>
      <c r="N372" s="136"/>
      <c r="O372" s="136"/>
      <c r="P372" s="136"/>
      <c r="Q372" s="146"/>
      <c r="R372" s="136"/>
      <c r="S372" s="136"/>
      <c r="T372" s="136"/>
      <c r="U372" s="146"/>
      <c r="V372" s="136"/>
      <c r="W372" s="136"/>
      <c r="X372" s="136"/>
    </row>
    <row r="373" spans="1:24" ht="15.75" customHeight="1" x14ac:dyDescent="0.3">
      <c r="A373" s="144"/>
      <c r="B373" s="136"/>
      <c r="C373" s="136"/>
      <c r="D373" s="136"/>
      <c r="E373" s="145"/>
      <c r="F373" s="136"/>
      <c r="G373" s="136"/>
      <c r="H373" s="136"/>
      <c r="I373" s="145"/>
      <c r="J373" s="136"/>
      <c r="K373" s="136"/>
      <c r="L373" s="136"/>
      <c r="M373" s="145"/>
      <c r="N373" s="136"/>
      <c r="O373" s="136"/>
      <c r="P373" s="136"/>
      <c r="Q373" s="146"/>
      <c r="R373" s="136"/>
      <c r="S373" s="136"/>
      <c r="T373" s="136"/>
      <c r="U373" s="146"/>
      <c r="V373" s="136"/>
      <c r="W373" s="136"/>
      <c r="X373" s="136"/>
    </row>
    <row r="374" spans="1:24" ht="15.75" customHeight="1" x14ac:dyDescent="0.3">
      <c r="A374" s="144"/>
      <c r="B374" s="136"/>
      <c r="C374" s="136"/>
      <c r="D374" s="136"/>
      <c r="E374" s="145"/>
      <c r="F374" s="136"/>
      <c r="G374" s="136"/>
      <c r="H374" s="136"/>
      <c r="I374" s="145"/>
      <c r="J374" s="136"/>
      <c r="K374" s="136"/>
      <c r="L374" s="136"/>
      <c r="M374" s="145"/>
      <c r="N374" s="136"/>
      <c r="O374" s="136"/>
      <c r="P374" s="136"/>
      <c r="Q374" s="146"/>
      <c r="R374" s="136"/>
      <c r="S374" s="136"/>
      <c r="T374" s="136"/>
      <c r="U374" s="146"/>
      <c r="V374" s="136"/>
      <c r="W374" s="136"/>
      <c r="X374" s="136"/>
    </row>
    <row r="375" spans="1:24" ht="15.75" customHeight="1" x14ac:dyDescent="0.3">
      <c r="A375" s="144"/>
      <c r="B375" s="136"/>
      <c r="C375" s="136"/>
      <c r="D375" s="136"/>
      <c r="E375" s="145"/>
      <c r="F375" s="136"/>
      <c r="G375" s="136"/>
      <c r="H375" s="136"/>
      <c r="I375" s="145"/>
      <c r="J375" s="136"/>
      <c r="K375" s="136"/>
      <c r="L375" s="136"/>
      <c r="M375" s="145"/>
      <c r="N375" s="136"/>
      <c r="O375" s="136"/>
      <c r="P375" s="136"/>
      <c r="Q375" s="146"/>
      <c r="R375" s="136"/>
      <c r="S375" s="136"/>
      <c r="T375" s="136"/>
      <c r="U375" s="146"/>
      <c r="V375" s="136"/>
      <c r="W375" s="136"/>
      <c r="X375" s="136"/>
    </row>
    <row r="376" spans="1:24" ht="15.75" customHeight="1" x14ac:dyDescent="0.3">
      <c r="A376" s="144"/>
      <c r="B376" s="136"/>
      <c r="C376" s="136"/>
      <c r="D376" s="136"/>
      <c r="E376" s="145"/>
      <c r="F376" s="136"/>
      <c r="G376" s="136"/>
      <c r="H376" s="136"/>
      <c r="I376" s="145"/>
      <c r="J376" s="136"/>
      <c r="K376" s="136"/>
      <c r="L376" s="136"/>
      <c r="M376" s="145"/>
      <c r="N376" s="136"/>
      <c r="O376" s="136"/>
      <c r="P376" s="136"/>
      <c r="Q376" s="146"/>
      <c r="R376" s="136"/>
      <c r="S376" s="136"/>
      <c r="T376" s="136"/>
      <c r="U376" s="146"/>
      <c r="V376" s="136"/>
      <c r="W376" s="136"/>
      <c r="X376" s="136"/>
    </row>
    <row r="377" spans="1:24" ht="15.75" customHeight="1" x14ac:dyDescent="0.3">
      <c r="A377" s="144"/>
      <c r="B377" s="136"/>
      <c r="C377" s="136"/>
      <c r="D377" s="136"/>
      <c r="E377" s="145"/>
      <c r="F377" s="136"/>
      <c r="G377" s="136"/>
      <c r="H377" s="136"/>
      <c r="I377" s="145"/>
      <c r="J377" s="136"/>
      <c r="K377" s="136"/>
      <c r="L377" s="136"/>
      <c r="M377" s="145"/>
      <c r="N377" s="136"/>
      <c r="O377" s="136"/>
      <c r="P377" s="136"/>
      <c r="Q377" s="146"/>
      <c r="R377" s="136"/>
      <c r="S377" s="136"/>
      <c r="T377" s="136"/>
      <c r="U377" s="146"/>
      <c r="V377" s="136"/>
      <c r="W377" s="136"/>
      <c r="X377" s="136"/>
    </row>
    <row r="378" spans="1:24" ht="15.75" customHeight="1" x14ac:dyDescent="0.3">
      <c r="A378" s="144"/>
      <c r="B378" s="136"/>
      <c r="C378" s="136"/>
      <c r="D378" s="136"/>
      <c r="E378" s="145"/>
      <c r="F378" s="136"/>
      <c r="G378" s="136"/>
      <c r="H378" s="136"/>
      <c r="I378" s="145"/>
      <c r="J378" s="136"/>
      <c r="K378" s="136"/>
      <c r="L378" s="136"/>
      <c r="M378" s="145"/>
      <c r="N378" s="136"/>
      <c r="O378" s="136"/>
      <c r="P378" s="136"/>
      <c r="Q378" s="146"/>
      <c r="R378" s="136"/>
      <c r="S378" s="136"/>
      <c r="T378" s="136"/>
      <c r="U378" s="146"/>
      <c r="V378" s="136"/>
      <c r="W378" s="136"/>
      <c r="X378" s="136"/>
    </row>
    <row r="379" spans="1:24" ht="15.75" customHeight="1" x14ac:dyDescent="0.3">
      <c r="A379" s="144"/>
      <c r="B379" s="136"/>
      <c r="C379" s="136"/>
      <c r="D379" s="136"/>
      <c r="E379" s="145"/>
      <c r="F379" s="136"/>
      <c r="G379" s="136"/>
      <c r="H379" s="136"/>
      <c r="I379" s="145"/>
      <c r="J379" s="136"/>
      <c r="K379" s="136"/>
      <c r="L379" s="136"/>
      <c r="M379" s="145"/>
      <c r="N379" s="136"/>
      <c r="O379" s="136"/>
      <c r="P379" s="136"/>
      <c r="Q379" s="146"/>
      <c r="R379" s="136"/>
      <c r="S379" s="136"/>
      <c r="T379" s="136"/>
      <c r="U379" s="146"/>
      <c r="V379" s="136"/>
      <c r="W379" s="136"/>
      <c r="X379" s="136"/>
    </row>
    <row r="380" spans="1:24" ht="15.75" customHeight="1" x14ac:dyDescent="0.3">
      <c r="A380" s="144"/>
      <c r="B380" s="136"/>
      <c r="C380" s="136"/>
      <c r="D380" s="136"/>
      <c r="E380" s="145"/>
      <c r="F380" s="136"/>
      <c r="G380" s="136"/>
      <c r="H380" s="136"/>
      <c r="I380" s="145"/>
      <c r="J380" s="136"/>
      <c r="K380" s="136"/>
      <c r="L380" s="136"/>
      <c r="M380" s="145"/>
      <c r="N380" s="136"/>
      <c r="O380" s="136"/>
      <c r="P380" s="136"/>
      <c r="Q380" s="146"/>
      <c r="R380" s="136"/>
      <c r="S380" s="136"/>
      <c r="T380" s="136"/>
      <c r="U380" s="146"/>
      <c r="V380" s="136"/>
      <c r="W380" s="136"/>
      <c r="X380" s="136"/>
    </row>
    <row r="381" spans="1:24" ht="15.75" customHeight="1" x14ac:dyDescent="0.3">
      <c r="A381" s="144"/>
      <c r="B381" s="136"/>
      <c r="C381" s="136"/>
      <c r="D381" s="136"/>
      <c r="E381" s="145"/>
      <c r="F381" s="136"/>
      <c r="G381" s="136"/>
      <c r="H381" s="136"/>
      <c r="I381" s="145"/>
      <c r="J381" s="136"/>
      <c r="K381" s="136"/>
      <c r="L381" s="136"/>
      <c r="M381" s="145"/>
      <c r="N381" s="136"/>
      <c r="O381" s="136"/>
      <c r="P381" s="136"/>
      <c r="Q381" s="146"/>
      <c r="R381" s="136"/>
      <c r="S381" s="136"/>
      <c r="T381" s="136"/>
      <c r="U381" s="146"/>
      <c r="V381" s="136"/>
      <c r="W381" s="136"/>
      <c r="X381" s="136"/>
    </row>
    <row r="382" spans="1:24" ht="15.75" customHeight="1" x14ac:dyDescent="0.3">
      <c r="A382" s="144"/>
      <c r="B382" s="136"/>
      <c r="C382" s="136"/>
      <c r="D382" s="136"/>
      <c r="E382" s="145"/>
      <c r="F382" s="136"/>
      <c r="G382" s="136"/>
      <c r="H382" s="136"/>
      <c r="I382" s="145"/>
      <c r="J382" s="136"/>
      <c r="K382" s="136"/>
      <c r="L382" s="136"/>
      <c r="M382" s="145"/>
      <c r="N382" s="136"/>
      <c r="O382" s="136"/>
      <c r="P382" s="136"/>
      <c r="Q382" s="146"/>
      <c r="R382" s="136"/>
      <c r="S382" s="136"/>
      <c r="T382" s="136"/>
      <c r="U382" s="146"/>
      <c r="V382" s="136"/>
      <c r="W382" s="136"/>
      <c r="X382" s="136"/>
    </row>
    <row r="383" spans="1:24" ht="15.75" customHeight="1" x14ac:dyDescent="0.3">
      <c r="A383" s="144"/>
      <c r="B383" s="136"/>
      <c r="C383" s="136"/>
      <c r="D383" s="136"/>
      <c r="E383" s="145"/>
      <c r="F383" s="136"/>
      <c r="G383" s="136"/>
      <c r="H383" s="136"/>
      <c r="I383" s="145"/>
      <c r="J383" s="136"/>
      <c r="K383" s="136"/>
      <c r="L383" s="136"/>
      <c r="M383" s="145"/>
      <c r="N383" s="136"/>
      <c r="O383" s="136"/>
      <c r="P383" s="136"/>
      <c r="Q383" s="146"/>
      <c r="R383" s="136"/>
      <c r="S383" s="136"/>
      <c r="T383" s="136"/>
      <c r="U383" s="146"/>
      <c r="V383" s="136"/>
      <c r="W383" s="136"/>
      <c r="X383" s="136"/>
    </row>
    <row r="384" spans="1:24" ht="15.75" customHeight="1" x14ac:dyDescent="0.3">
      <c r="A384" s="144"/>
      <c r="B384" s="136"/>
      <c r="C384" s="136"/>
      <c r="D384" s="136"/>
      <c r="E384" s="145"/>
      <c r="F384" s="136"/>
      <c r="G384" s="136"/>
      <c r="H384" s="136"/>
      <c r="I384" s="145"/>
      <c r="J384" s="136"/>
      <c r="K384" s="136"/>
      <c r="L384" s="136"/>
      <c r="M384" s="145"/>
      <c r="N384" s="136"/>
      <c r="O384" s="136"/>
      <c r="P384" s="136"/>
      <c r="Q384" s="146"/>
      <c r="R384" s="136"/>
      <c r="S384" s="136"/>
      <c r="T384" s="136"/>
      <c r="U384" s="146"/>
      <c r="V384" s="136"/>
      <c r="W384" s="136"/>
      <c r="X384" s="136"/>
    </row>
    <row r="385" spans="1:24" ht="15.75" customHeight="1" x14ac:dyDescent="0.3">
      <c r="A385" s="144"/>
      <c r="B385" s="136"/>
      <c r="C385" s="136"/>
      <c r="D385" s="136"/>
      <c r="E385" s="145"/>
      <c r="F385" s="136"/>
      <c r="G385" s="136"/>
      <c r="H385" s="136"/>
      <c r="I385" s="145"/>
      <c r="J385" s="136"/>
      <c r="K385" s="136"/>
      <c r="L385" s="136"/>
      <c r="M385" s="145"/>
      <c r="N385" s="136"/>
      <c r="O385" s="136"/>
      <c r="P385" s="136"/>
      <c r="Q385" s="146"/>
      <c r="R385" s="136"/>
      <c r="S385" s="136"/>
      <c r="T385" s="136"/>
      <c r="U385" s="146"/>
      <c r="V385" s="136"/>
      <c r="W385" s="136"/>
      <c r="X385" s="136"/>
    </row>
    <row r="386" spans="1:24" ht="15.75" customHeight="1" x14ac:dyDescent="0.3">
      <c r="A386" s="144"/>
      <c r="B386" s="136"/>
      <c r="C386" s="136"/>
      <c r="D386" s="136"/>
      <c r="E386" s="145"/>
      <c r="F386" s="136"/>
      <c r="G386" s="136"/>
      <c r="H386" s="136"/>
      <c r="I386" s="145"/>
      <c r="J386" s="136"/>
      <c r="K386" s="136"/>
      <c r="L386" s="136"/>
      <c r="M386" s="145"/>
      <c r="N386" s="136"/>
      <c r="O386" s="136"/>
      <c r="P386" s="136"/>
      <c r="Q386" s="146"/>
      <c r="R386" s="136"/>
      <c r="S386" s="136"/>
      <c r="T386" s="136"/>
      <c r="U386" s="146"/>
      <c r="V386" s="136"/>
      <c r="W386" s="136"/>
      <c r="X386" s="136"/>
    </row>
    <row r="387" spans="1:24" ht="15.75" customHeight="1" x14ac:dyDescent="0.3">
      <c r="A387" s="144"/>
      <c r="B387" s="136"/>
      <c r="C387" s="136"/>
      <c r="D387" s="136"/>
      <c r="E387" s="145"/>
      <c r="F387" s="136"/>
      <c r="G387" s="136"/>
      <c r="H387" s="136"/>
      <c r="I387" s="145"/>
      <c r="J387" s="136"/>
      <c r="K387" s="136"/>
      <c r="L387" s="136"/>
      <c r="M387" s="145"/>
      <c r="N387" s="136"/>
      <c r="O387" s="136"/>
      <c r="P387" s="136"/>
      <c r="Q387" s="146"/>
      <c r="R387" s="136"/>
      <c r="S387" s="136"/>
      <c r="T387" s="136"/>
      <c r="U387" s="146"/>
      <c r="V387" s="136"/>
      <c r="W387" s="136"/>
      <c r="X387" s="136"/>
    </row>
    <row r="388" spans="1:24" ht="15.75" customHeight="1" x14ac:dyDescent="0.3">
      <c r="A388" s="144"/>
      <c r="B388" s="136"/>
      <c r="C388" s="136"/>
      <c r="D388" s="136"/>
      <c r="E388" s="145"/>
      <c r="F388" s="136"/>
      <c r="G388" s="136"/>
      <c r="H388" s="136"/>
      <c r="I388" s="145"/>
      <c r="J388" s="136"/>
      <c r="K388" s="136"/>
      <c r="L388" s="136"/>
      <c r="M388" s="145"/>
      <c r="N388" s="136"/>
      <c r="O388" s="136"/>
      <c r="P388" s="136"/>
      <c r="Q388" s="146"/>
      <c r="R388" s="136"/>
      <c r="S388" s="136"/>
      <c r="T388" s="136"/>
      <c r="U388" s="146"/>
      <c r="V388" s="136"/>
      <c r="W388" s="136"/>
      <c r="X388" s="136"/>
    </row>
    <row r="389" spans="1:24" ht="15.75" customHeight="1" x14ac:dyDescent="0.3">
      <c r="A389" s="144"/>
      <c r="B389" s="136"/>
      <c r="C389" s="136"/>
      <c r="D389" s="136"/>
      <c r="E389" s="145"/>
      <c r="F389" s="136"/>
      <c r="G389" s="136"/>
      <c r="H389" s="136"/>
      <c r="I389" s="145"/>
      <c r="J389" s="136"/>
      <c r="K389" s="136"/>
      <c r="L389" s="136"/>
      <c r="M389" s="145"/>
      <c r="N389" s="136"/>
      <c r="O389" s="136"/>
      <c r="P389" s="136"/>
      <c r="Q389" s="146"/>
      <c r="R389" s="136"/>
      <c r="S389" s="136"/>
      <c r="T389" s="136"/>
      <c r="U389" s="146"/>
      <c r="V389" s="136"/>
      <c r="W389" s="136"/>
      <c r="X389" s="136"/>
    </row>
    <row r="390" spans="1:24" ht="15.75" customHeight="1" x14ac:dyDescent="0.3">
      <c r="A390" s="144"/>
      <c r="B390" s="136"/>
      <c r="C390" s="136"/>
      <c r="D390" s="136"/>
      <c r="E390" s="145"/>
      <c r="F390" s="136"/>
      <c r="G390" s="136"/>
      <c r="H390" s="136"/>
      <c r="I390" s="145"/>
      <c r="J390" s="136"/>
      <c r="K390" s="136"/>
      <c r="L390" s="136"/>
      <c r="M390" s="145"/>
      <c r="N390" s="136"/>
      <c r="O390" s="136"/>
      <c r="P390" s="136"/>
      <c r="Q390" s="146"/>
      <c r="R390" s="136"/>
      <c r="S390" s="136"/>
      <c r="T390" s="136"/>
      <c r="U390" s="146"/>
      <c r="V390" s="136"/>
      <c r="W390" s="136"/>
      <c r="X390" s="136"/>
    </row>
    <row r="391" spans="1:24" ht="15.75" customHeight="1" x14ac:dyDescent="0.3">
      <c r="A391" s="144"/>
      <c r="B391" s="136"/>
      <c r="C391" s="136"/>
      <c r="D391" s="136"/>
      <c r="E391" s="145"/>
      <c r="F391" s="136"/>
      <c r="G391" s="136"/>
      <c r="H391" s="136"/>
      <c r="I391" s="145"/>
      <c r="J391" s="136"/>
      <c r="K391" s="136"/>
      <c r="L391" s="136"/>
      <c r="M391" s="145"/>
      <c r="N391" s="136"/>
      <c r="O391" s="136"/>
      <c r="P391" s="136"/>
      <c r="Q391" s="146"/>
      <c r="R391" s="136"/>
      <c r="S391" s="136"/>
      <c r="T391" s="136"/>
      <c r="U391" s="146"/>
      <c r="V391" s="136"/>
      <c r="W391" s="136"/>
      <c r="X391" s="136"/>
    </row>
    <row r="392" spans="1:24" ht="15.75" customHeight="1" x14ac:dyDescent="0.3">
      <c r="A392" s="144"/>
      <c r="B392" s="136"/>
      <c r="C392" s="136"/>
      <c r="D392" s="136"/>
      <c r="E392" s="145"/>
      <c r="F392" s="136"/>
      <c r="G392" s="136"/>
      <c r="H392" s="136"/>
      <c r="I392" s="145"/>
      <c r="J392" s="136"/>
      <c r="K392" s="136"/>
      <c r="L392" s="136"/>
      <c r="M392" s="145"/>
      <c r="N392" s="136"/>
      <c r="O392" s="136"/>
      <c r="P392" s="136"/>
      <c r="Q392" s="146"/>
      <c r="R392" s="136"/>
      <c r="S392" s="136"/>
      <c r="T392" s="136"/>
      <c r="U392" s="146"/>
      <c r="V392" s="136"/>
      <c r="W392" s="136"/>
      <c r="X392" s="136"/>
    </row>
    <row r="393" spans="1:24" ht="15.75" customHeight="1" x14ac:dyDescent="0.3">
      <c r="A393" s="144"/>
      <c r="B393" s="136"/>
      <c r="C393" s="136"/>
      <c r="D393" s="136"/>
      <c r="E393" s="145"/>
      <c r="F393" s="136"/>
      <c r="G393" s="136"/>
      <c r="H393" s="136"/>
      <c r="I393" s="145"/>
      <c r="J393" s="136"/>
      <c r="K393" s="136"/>
      <c r="L393" s="136"/>
      <c r="M393" s="145"/>
      <c r="N393" s="136"/>
      <c r="O393" s="136"/>
      <c r="P393" s="136"/>
      <c r="Q393" s="146"/>
      <c r="R393" s="136"/>
      <c r="S393" s="136"/>
      <c r="T393" s="136"/>
      <c r="U393" s="146"/>
      <c r="V393" s="136"/>
      <c r="W393" s="136"/>
      <c r="X393" s="136"/>
    </row>
    <row r="394" spans="1:24" ht="15.75" customHeight="1" x14ac:dyDescent="0.3">
      <c r="A394" s="144"/>
      <c r="B394" s="136"/>
      <c r="C394" s="136"/>
      <c r="D394" s="136"/>
      <c r="E394" s="145"/>
      <c r="F394" s="136"/>
      <c r="G394" s="136"/>
      <c r="H394" s="136"/>
      <c r="I394" s="145"/>
      <c r="J394" s="136"/>
      <c r="K394" s="136"/>
      <c r="L394" s="136"/>
      <c r="M394" s="145"/>
      <c r="N394" s="136"/>
      <c r="O394" s="136"/>
      <c r="P394" s="136"/>
      <c r="Q394" s="146"/>
      <c r="R394" s="136"/>
      <c r="S394" s="136"/>
      <c r="T394" s="136"/>
      <c r="U394" s="146"/>
      <c r="V394" s="136"/>
      <c r="W394" s="136"/>
      <c r="X394" s="136"/>
    </row>
    <row r="395" spans="1:24" ht="15.75" customHeight="1" x14ac:dyDescent="0.3">
      <c r="A395" s="144"/>
      <c r="B395" s="136"/>
      <c r="C395" s="136"/>
      <c r="D395" s="136"/>
      <c r="E395" s="145"/>
      <c r="F395" s="136"/>
      <c r="G395" s="136"/>
      <c r="H395" s="136"/>
      <c r="I395" s="145"/>
      <c r="J395" s="136"/>
      <c r="K395" s="136"/>
      <c r="L395" s="136"/>
      <c r="M395" s="145"/>
      <c r="N395" s="136"/>
      <c r="O395" s="136"/>
      <c r="P395" s="136"/>
      <c r="Q395" s="146"/>
      <c r="R395" s="136"/>
      <c r="S395" s="136"/>
      <c r="T395" s="136"/>
      <c r="U395" s="146"/>
      <c r="V395" s="136"/>
      <c r="W395" s="136"/>
      <c r="X395" s="136"/>
    </row>
    <row r="396" spans="1:24" ht="15.75" customHeight="1" x14ac:dyDescent="0.3">
      <c r="A396" s="144"/>
      <c r="B396" s="136"/>
      <c r="C396" s="136"/>
      <c r="D396" s="136"/>
      <c r="E396" s="145"/>
      <c r="F396" s="136"/>
      <c r="G396" s="136"/>
      <c r="H396" s="136"/>
      <c r="I396" s="145"/>
      <c r="J396" s="136"/>
      <c r="K396" s="136"/>
      <c r="L396" s="136"/>
      <c r="M396" s="145"/>
      <c r="N396" s="136"/>
      <c r="O396" s="136"/>
      <c r="P396" s="136"/>
      <c r="Q396" s="146"/>
      <c r="R396" s="136"/>
      <c r="S396" s="136"/>
      <c r="T396" s="136"/>
      <c r="U396" s="146"/>
      <c r="V396" s="136"/>
      <c r="W396" s="136"/>
      <c r="X396" s="136"/>
    </row>
    <row r="397" spans="1:24" ht="15.75" customHeight="1" x14ac:dyDescent="0.3">
      <c r="A397" s="144"/>
      <c r="B397" s="136"/>
      <c r="C397" s="136"/>
      <c r="D397" s="136"/>
      <c r="E397" s="145"/>
      <c r="F397" s="136"/>
      <c r="G397" s="136"/>
      <c r="H397" s="136"/>
      <c r="I397" s="145"/>
      <c r="J397" s="136"/>
      <c r="K397" s="136"/>
      <c r="L397" s="136"/>
      <c r="M397" s="145"/>
      <c r="N397" s="136"/>
      <c r="O397" s="136"/>
      <c r="P397" s="136"/>
      <c r="Q397" s="146"/>
      <c r="R397" s="136"/>
      <c r="S397" s="136"/>
      <c r="T397" s="136"/>
      <c r="U397" s="146"/>
      <c r="V397" s="136"/>
      <c r="W397" s="136"/>
      <c r="X397" s="136"/>
    </row>
    <row r="398" spans="1:24" ht="15.75" customHeight="1" x14ac:dyDescent="0.3">
      <c r="A398" s="144"/>
      <c r="B398" s="136"/>
      <c r="C398" s="136"/>
      <c r="D398" s="136"/>
      <c r="E398" s="145"/>
      <c r="F398" s="136"/>
      <c r="G398" s="136"/>
      <c r="H398" s="136"/>
      <c r="I398" s="145"/>
      <c r="J398" s="136"/>
      <c r="K398" s="136"/>
      <c r="L398" s="136"/>
      <c r="M398" s="145"/>
      <c r="N398" s="136"/>
      <c r="O398" s="136"/>
      <c r="P398" s="136"/>
      <c r="Q398" s="146"/>
      <c r="R398" s="136"/>
      <c r="S398" s="136"/>
      <c r="T398" s="136"/>
      <c r="U398" s="146"/>
      <c r="V398" s="136"/>
      <c r="W398" s="136"/>
      <c r="X398" s="136"/>
    </row>
    <row r="399" spans="1:24" ht="15.75" customHeight="1" x14ac:dyDescent="0.3">
      <c r="A399" s="144"/>
      <c r="B399" s="136"/>
      <c r="C399" s="136"/>
      <c r="D399" s="136"/>
      <c r="E399" s="145"/>
      <c r="F399" s="136"/>
      <c r="G399" s="136"/>
      <c r="H399" s="136"/>
      <c r="I399" s="145"/>
      <c r="J399" s="136"/>
      <c r="K399" s="136"/>
      <c r="L399" s="136"/>
      <c r="M399" s="145"/>
      <c r="N399" s="136"/>
      <c r="O399" s="136"/>
      <c r="P399" s="136"/>
      <c r="Q399" s="146"/>
      <c r="R399" s="136"/>
      <c r="S399" s="136"/>
      <c r="T399" s="136"/>
      <c r="U399" s="146"/>
      <c r="V399" s="136"/>
      <c r="W399" s="136"/>
      <c r="X399" s="136"/>
    </row>
    <row r="400" spans="1:24" ht="15.75" customHeight="1" x14ac:dyDescent="0.3">
      <c r="A400" s="144"/>
      <c r="B400" s="136"/>
      <c r="C400" s="136"/>
      <c r="D400" s="136"/>
      <c r="E400" s="145"/>
      <c r="F400" s="136"/>
      <c r="G400" s="136"/>
      <c r="H400" s="136"/>
      <c r="I400" s="145"/>
      <c r="J400" s="136"/>
      <c r="K400" s="136"/>
      <c r="L400" s="136"/>
      <c r="M400" s="145"/>
      <c r="N400" s="136"/>
      <c r="O400" s="136"/>
      <c r="P400" s="136"/>
      <c r="Q400" s="146"/>
      <c r="R400" s="136"/>
      <c r="S400" s="136"/>
      <c r="T400" s="136"/>
      <c r="U400" s="146"/>
      <c r="V400" s="136"/>
      <c r="W400" s="136"/>
      <c r="X400" s="136"/>
    </row>
    <row r="401" spans="1:24" ht="15.75" customHeight="1" x14ac:dyDescent="0.3">
      <c r="A401" s="144"/>
      <c r="B401" s="136"/>
      <c r="C401" s="136"/>
      <c r="D401" s="136"/>
      <c r="E401" s="145"/>
      <c r="F401" s="136"/>
      <c r="G401" s="136"/>
      <c r="H401" s="136"/>
      <c r="I401" s="145"/>
      <c r="J401" s="136"/>
      <c r="K401" s="136"/>
      <c r="L401" s="136"/>
      <c r="M401" s="145"/>
      <c r="N401" s="136"/>
      <c r="O401" s="136"/>
      <c r="P401" s="136"/>
      <c r="Q401" s="146"/>
      <c r="R401" s="136"/>
      <c r="S401" s="136"/>
      <c r="T401" s="136"/>
      <c r="U401" s="146"/>
      <c r="V401" s="136"/>
      <c r="W401" s="136"/>
      <c r="X401" s="136"/>
    </row>
    <row r="402" spans="1:24" ht="15.75" customHeight="1" x14ac:dyDescent="0.3">
      <c r="A402" s="144"/>
      <c r="B402" s="136"/>
      <c r="C402" s="136"/>
      <c r="D402" s="136"/>
      <c r="E402" s="145"/>
      <c r="F402" s="136"/>
      <c r="G402" s="136"/>
      <c r="H402" s="136"/>
      <c r="I402" s="145"/>
      <c r="J402" s="136"/>
      <c r="K402" s="136"/>
      <c r="L402" s="136"/>
      <c r="M402" s="145"/>
      <c r="N402" s="136"/>
      <c r="O402" s="136"/>
      <c r="P402" s="136"/>
      <c r="Q402" s="146"/>
      <c r="R402" s="136"/>
      <c r="S402" s="136"/>
      <c r="T402" s="136"/>
      <c r="U402" s="146"/>
      <c r="V402" s="136"/>
      <c r="W402" s="136"/>
      <c r="X402" s="136"/>
    </row>
    <row r="403" spans="1:24" ht="15.75" customHeight="1" x14ac:dyDescent="0.3">
      <c r="A403" s="144"/>
      <c r="B403" s="136"/>
      <c r="C403" s="136"/>
      <c r="D403" s="136"/>
      <c r="E403" s="145"/>
      <c r="F403" s="136"/>
      <c r="G403" s="136"/>
      <c r="H403" s="136"/>
      <c r="I403" s="145"/>
      <c r="J403" s="136"/>
      <c r="K403" s="136"/>
      <c r="L403" s="136"/>
      <c r="M403" s="145"/>
      <c r="N403" s="136"/>
      <c r="O403" s="136"/>
      <c r="P403" s="136"/>
      <c r="Q403" s="146"/>
      <c r="R403" s="136"/>
      <c r="S403" s="136"/>
      <c r="T403" s="136"/>
      <c r="U403" s="146"/>
      <c r="V403" s="136"/>
      <c r="W403" s="136"/>
      <c r="X403" s="136"/>
    </row>
    <row r="404" spans="1:24" ht="15.75" customHeight="1" x14ac:dyDescent="0.3">
      <c r="A404" s="144"/>
      <c r="B404" s="136"/>
      <c r="C404" s="136"/>
      <c r="D404" s="136"/>
      <c r="E404" s="145"/>
      <c r="F404" s="136"/>
      <c r="G404" s="136"/>
      <c r="H404" s="136"/>
      <c r="I404" s="145"/>
      <c r="J404" s="136"/>
      <c r="K404" s="136"/>
      <c r="L404" s="136"/>
      <c r="M404" s="145"/>
      <c r="N404" s="136"/>
      <c r="O404" s="136"/>
      <c r="P404" s="136"/>
      <c r="Q404" s="146"/>
      <c r="R404" s="136"/>
      <c r="S404" s="136"/>
      <c r="T404" s="136"/>
      <c r="U404" s="146"/>
      <c r="V404" s="136"/>
      <c r="W404" s="136"/>
      <c r="X404" s="136"/>
    </row>
    <row r="405" spans="1:24" ht="15.75" customHeight="1" x14ac:dyDescent="0.3">
      <c r="A405" s="144"/>
      <c r="B405" s="136"/>
      <c r="C405" s="136"/>
      <c r="D405" s="136"/>
      <c r="E405" s="145"/>
      <c r="F405" s="136"/>
      <c r="G405" s="136"/>
      <c r="H405" s="136"/>
      <c r="I405" s="145"/>
      <c r="J405" s="136"/>
      <c r="K405" s="136"/>
      <c r="L405" s="136"/>
      <c r="M405" s="145"/>
      <c r="N405" s="136"/>
      <c r="O405" s="136"/>
      <c r="P405" s="136"/>
      <c r="Q405" s="146"/>
      <c r="R405" s="136"/>
      <c r="S405" s="136"/>
      <c r="T405" s="136"/>
      <c r="U405" s="146"/>
      <c r="V405" s="136"/>
      <c r="W405" s="136"/>
      <c r="X405" s="136"/>
    </row>
    <row r="406" spans="1:24" ht="15.75" customHeight="1" x14ac:dyDescent="0.3">
      <c r="A406" s="144"/>
      <c r="B406" s="136"/>
      <c r="C406" s="136"/>
      <c r="D406" s="136"/>
      <c r="E406" s="145"/>
      <c r="F406" s="136"/>
      <c r="G406" s="136"/>
      <c r="H406" s="136"/>
      <c r="I406" s="145"/>
      <c r="J406" s="136"/>
      <c r="K406" s="136"/>
      <c r="L406" s="136"/>
      <c r="M406" s="145"/>
      <c r="N406" s="136"/>
      <c r="O406" s="136"/>
      <c r="P406" s="136"/>
      <c r="Q406" s="146"/>
      <c r="R406" s="136"/>
      <c r="S406" s="136"/>
      <c r="T406" s="136"/>
      <c r="U406" s="146"/>
      <c r="V406" s="136"/>
      <c r="W406" s="136"/>
      <c r="X406" s="136"/>
    </row>
    <row r="407" spans="1:24" ht="15.75" customHeight="1" x14ac:dyDescent="0.3">
      <c r="A407" s="144"/>
      <c r="B407" s="136"/>
      <c r="C407" s="136"/>
      <c r="D407" s="136"/>
      <c r="E407" s="145"/>
      <c r="F407" s="136"/>
      <c r="G407" s="136"/>
      <c r="H407" s="136"/>
      <c r="I407" s="145"/>
      <c r="J407" s="136"/>
      <c r="K407" s="136"/>
      <c r="L407" s="136"/>
      <c r="M407" s="145"/>
      <c r="N407" s="136"/>
      <c r="O407" s="136"/>
      <c r="P407" s="136"/>
      <c r="Q407" s="146"/>
      <c r="R407" s="136"/>
      <c r="S407" s="136"/>
      <c r="T407" s="136"/>
      <c r="U407" s="146"/>
      <c r="V407" s="136"/>
      <c r="W407" s="136"/>
      <c r="X407" s="136"/>
    </row>
    <row r="408" spans="1:24" ht="15.75" customHeight="1" x14ac:dyDescent="0.3">
      <c r="A408" s="144"/>
      <c r="B408" s="136"/>
      <c r="C408" s="136"/>
      <c r="D408" s="136"/>
      <c r="E408" s="145"/>
      <c r="F408" s="136"/>
      <c r="G408" s="136"/>
      <c r="H408" s="136"/>
      <c r="I408" s="145"/>
      <c r="J408" s="136"/>
      <c r="K408" s="136"/>
      <c r="L408" s="136"/>
      <c r="M408" s="145"/>
      <c r="N408" s="136"/>
      <c r="O408" s="136"/>
      <c r="P408" s="136"/>
      <c r="Q408" s="146"/>
      <c r="R408" s="136"/>
      <c r="S408" s="136"/>
      <c r="T408" s="136"/>
      <c r="U408" s="146"/>
      <c r="V408" s="136"/>
      <c r="W408" s="136"/>
      <c r="X408" s="136"/>
    </row>
    <row r="409" spans="1:24" ht="15.75" customHeight="1" x14ac:dyDescent="0.3">
      <c r="A409" s="144"/>
      <c r="B409" s="136"/>
      <c r="C409" s="136"/>
      <c r="D409" s="136"/>
      <c r="E409" s="145"/>
      <c r="F409" s="136"/>
      <c r="G409" s="136"/>
      <c r="H409" s="136"/>
      <c r="I409" s="145"/>
      <c r="J409" s="136"/>
      <c r="K409" s="136"/>
      <c r="L409" s="136"/>
      <c r="M409" s="145"/>
      <c r="N409" s="136"/>
      <c r="O409" s="136"/>
      <c r="P409" s="136"/>
      <c r="Q409" s="146"/>
      <c r="R409" s="136"/>
      <c r="S409" s="136"/>
      <c r="T409" s="136"/>
      <c r="U409" s="146"/>
      <c r="V409" s="136"/>
      <c r="W409" s="136"/>
      <c r="X409" s="136"/>
    </row>
    <row r="410" spans="1:24" ht="15.75" customHeight="1" x14ac:dyDescent="0.3">
      <c r="A410" s="144"/>
      <c r="B410" s="136"/>
      <c r="C410" s="136"/>
      <c r="D410" s="136"/>
      <c r="E410" s="145"/>
      <c r="F410" s="136"/>
      <c r="G410" s="136"/>
      <c r="H410" s="136"/>
      <c r="I410" s="145"/>
      <c r="J410" s="136"/>
      <c r="K410" s="136"/>
      <c r="L410" s="136"/>
      <c r="M410" s="145"/>
      <c r="N410" s="136"/>
      <c r="O410" s="136"/>
      <c r="P410" s="136"/>
      <c r="Q410" s="146"/>
      <c r="R410" s="136"/>
      <c r="S410" s="136"/>
      <c r="T410" s="136"/>
      <c r="U410" s="146"/>
      <c r="V410" s="136"/>
      <c r="W410" s="136"/>
      <c r="X410" s="136"/>
    </row>
    <row r="411" spans="1:24" ht="15.75" customHeight="1" x14ac:dyDescent="0.3">
      <c r="A411" s="144"/>
      <c r="B411" s="136"/>
      <c r="C411" s="136"/>
      <c r="D411" s="136"/>
      <c r="E411" s="145"/>
      <c r="F411" s="136"/>
      <c r="G411" s="136"/>
      <c r="H411" s="136"/>
      <c r="I411" s="145"/>
      <c r="J411" s="136"/>
      <c r="K411" s="136"/>
      <c r="L411" s="136"/>
      <c r="M411" s="145"/>
      <c r="N411" s="136"/>
      <c r="O411" s="136"/>
      <c r="P411" s="136"/>
      <c r="Q411" s="146"/>
      <c r="R411" s="136"/>
      <c r="S411" s="136"/>
      <c r="T411" s="136"/>
      <c r="U411" s="146"/>
      <c r="V411" s="136"/>
      <c r="W411" s="136"/>
      <c r="X411" s="136"/>
    </row>
    <row r="412" spans="1:24" ht="15.75" customHeight="1" x14ac:dyDescent="0.3">
      <c r="A412" s="144"/>
      <c r="B412" s="136"/>
      <c r="C412" s="136"/>
      <c r="D412" s="136"/>
      <c r="E412" s="145"/>
      <c r="F412" s="136"/>
      <c r="G412" s="136"/>
      <c r="H412" s="136"/>
      <c r="I412" s="145"/>
      <c r="J412" s="136"/>
      <c r="K412" s="136"/>
      <c r="L412" s="136"/>
      <c r="M412" s="145"/>
      <c r="N412" s="136"/>
      <c r="O412" s="136"/>
      <c r="P412" s="136"/>
      <c r="Q412" s="146"/>
      <c r="R412" s="136"/>
      <c r="S412" s="136"/>
      <c r="T412" s="136"/>
      <c r="U412" s="146"/>
      <c r="V412" s="136"/>
      <c r="W412" s="136"/>
      <c r="X412" s="136"/>
    </row>
    <row r="413" spans="1:24" ht="15.75" customHeight="1" x14ac:dyDescent="0.3">
      <c r="A413" s="144"/>
      <c r="B413" s="136"/>
      <c r="C413" s="136"/>
      <c r="D413" s="136"/>
      <c r="E413" s="145"/>
      <c r="F413" s="136"/>
      <c r="G413" s="136"/>
      <c r="H413" s="136"/>
      <c r="I413" s="145"/>
      <c r="J413" s="136"/>
      <c r="K413" s="136"/>
      <c r="L413" s="136"/>
      <c r="M413" s="145"/>
      <c r="N413" s="136"/>
      <c r="O413" s="136"/>
      <c r="P413" s="136"/>
      <c r="Q413" s="146"/>
      <c r="R413" s="136"/>
      <c r="S413" s="136"/>
      <c r="T413" s="136"/>
      <c r="U413" s="146"/>
      <c r="V413" s="136"/>
      <c r="W413" s="136"/>
      <c r="X413" s="136"/>
    </row>
    <row r="414" spans="1:24" ht="15.75" customHeight="1" x14ac:dyDescent="0.3">
      <c r="A414" s="144"/>
      <c r="B414" s="136"/>
      <c r="C414" s="136"/>
      <c r="D414" s="136"/>
      <c r="E414" s="145"/>
      <c r="F414" s="136"/>
      <c r="G414" s="136"/>
      <c r="H414" s="136"/>
      <c r="I414" s="145"/>
      <c r="J414" s="136"/>
      <c r="K414" s="136"/>
      <c r="L414" s="136"/>
      <c r="M414" s="145"/>
      <c r="N414" s="136"/>
      <c r="O414" s="136"/>
      <c r="P414" s="136"/>
      <c r="Q414" s="146"/>
      <c r="R414" s="136"/>
      <c r="S414" s="136"/>
      <c r="T414" s="136"/>
      <c r="U414" s="146"/>
      <c r="V414" s="136"/>
      <c r="W414" s="136"/>
      <c r="X414" s="136"/>
    </row>
    <row r="415" spans="1:24" ht="15.75" customHeight="1" x14ac:dyDescent="0.3">
      <c r="A415" s="144"/>
      <c r="B415" s="136"/>
      <c r="C415" s="136"/>
      <c r="D415" s="136"/>
      <c r="E415" s="145"/>
      <c r="F415" s="136"/>
      <c r="G415" s="136"/>
      <c r="H415" s="136"/>
      <c r="I415" s="145"/>
      <c r="J415" s="136"/>
      <c r="K415" s="136"/>
      <c r="L415" s="136"/>
      <c r="M415" s="145"/>
      <c r="N415" s="136"/>
      <c r="O415" s="136"/>
      <c r="P415" s="136"/>
      <c r="Q415" s="146"/>
      <c r="R415" s="136"/>
      <c r="S415" s="136"/>
      <c r="T415" s="136"/>
      <c r="U415" s="146"/>
      <c r="V415" s="136"/>
      <c r="W415" s="136"/>
      <c r="X415" s="136"/>
    </row>
    <row r="416" spans="1:24" ht="15.75" customHeight="1" x14ac:dyDescent="0.3">
      <c r="A416" s="144"/>
      <c r="B416" s="136"/>
      <c r="C416" s="136"/>
      <c r="D416" s="136"/>
      <c r="E416" s="145"/>
      <c r="F416" s="136"/>
      <c r="G416" s="136"/>
      <c r="H416" s="136"/>
      <c r="I416" s="145"/>
      <c r="J416" s="136"/>
      <c r="K416" s="136"/>
      <c r="L416" s="136"/>
      <c r="M416" s="145"/>
      <c r="N416" s="136"/>
      <c r="O416" s="136"/>
      <c r="P416" s="136"/>
      <c r="Q416" s="146"/>
      <c r="R416" s="136"/>
      <c r="S416" s="136"/>
      <c r="T416" s="136"/>
      <c r="U416" s="146"/>
      <c r="V416" s="136"/>
      <c r="W416" s="136"/>
      <c r="X416" s="136"/>
    </row>
    <row r="417" spans="1:24" ht="15.75" customHeight="1" x14ac:dyDescent="0.3">
      <c r="A417" s="144"/>
      <c r="B417" s="136"/>
      <c r="C417" s="136"/>
      <c r="D417" s="136"/>
      <c r="E417" s="145"/>
      <c r="F417" s="136"/>
      <c r="G417" s="136"/>
      <c r="H417" s="136"/>
      <c r="I417" s="145"/>
      <c r="J417" s="136"/>
      <c r="K417" s="136"/>
      <c r="L417" s="136"/>
      <c r="M417" s="145"/>
      <c r="N417" s="136"/>
      <c r="O417" s="136"/>
      <c r="P417" s="136"/>
      <c r="Q417" s="146"/>
      <c r="R417" s="136"/>
      <c r="S417" s="136"/>
      <c r="T417" s="136"/>
      <c r="U417" s="146"/>
      <c r="V417" s="136"/>
      <c r="W417" s="136"/>
      <c r="X417" s="136"/>
    </row>
    <row r="418" spans="1:24" ht="15.75" customHeight="1" x14ac:dyDescent="0.3">
      <c r="A418" s="144"/>
      <c r="B418" s="136"/>
      <c r="C418" s="136"/>
      <c r="D418" s="136"/>
      <c r="E418" s="145"/>
      <c r="F418" s="136"/>
      <c r="G418" s="136"/>
      <c r="H418" s="136"/>
      <c r="I418" s="145"/>
      <c r="J418" s="136"/>
      <c r="K418" s="136"/>
      <c r="L418" s="136"/>
      <c r="M418" s="145"/>
      <c r="N418" s="136"/>
      <c r="O418" s="136"/>
      <c r="P418" s="136"/>
      <c r="Q418" s="146"/>
      <c r="R418" s="136"/>
      <c r="S418" s="136"/>
      <c r="T418" s="136"/>
      <c r="U418" s="146"/>
      <c r="V418" s="136"/>
      <c r="W418" s="136"/>
      <c r="X418" s="136"/>
    </row>
    <row r="419" spans="1:24" ht="15.75" customHeight="1" x14ac:dyDescent="0.3">
      <c r="A419" s="144"/>
      <c r="B419" s="136"/>
      <c r="C419" s="136"/>
      <c r="D419" s="136"/>
      <c r="E419" s="145"/>
      <c r="F419" s="136"/>
      <c r="G419" s="136"/>
      <c r="H419" s="136"/>
      <c r="I419" s="145"/>
      <c r="J419" s="136"/>
      <c r="K419" s="136"/>
      <c r="L419" s="136"/>
      <c r="M419" s="145"/>
      <c r="N419" s="136"/>
      <c r="O419" s="136"/>
      <c r="P419" s="136"/>
      <c r="Q419" s="146"/>
      <c r="R419" s="136"/>
      <c r="S419" s="136"/>
      <c r="T419" s="136"/>
      <c r="U419" s="146"/>
      <c r="V419" s="136"/>
      <c r="W419" s="136"/>
      <c r="X419" s="136"/>
    </row>
    <row r="420" spans="1:24" ht="15.75" customHeight="1" x14ac:dyDescent="0.3">
      <c r="A420" s="144"/>
      <c r="B420" s="136"/>
      <c r="C420" s="136"/>
      <c r="D420" s="136"/>
      <c r="E420" s="145"/>
      <c r="F420" s="136"/>
      <c r="G420" s="136"/>
      <c r="H420" s="136"/>
      <c r="I420" s="145"/>
      <c r="J420" s="136"/>
      <c r="K420" s="136"/>
      <c r="L420" s="136"/>
      <c r="M420" s="145"/>
      <c r="N420" s="136"/>
      <c r="O420" s="136"/>
      <c r="P420" s="136"/>
      <c r="Q420" s="146"/>
      <c r="R420" s="136"/>
      <c r="S420" s="136"/>
      <c r="T420" s="136"/>
      <c r="U420" s="146"/>
      <c r="V420" s="136"/>
      <c r="W420" s="136"/>
      <c r="X420" s="136"/>
    </row>
    <row r="421" spans="1:24" ht="15.75" customHeight="1" x14ac:dyDescent="0.3">
      <c r="A421" s="144"/>
      <c r="B421" s="136"/>
      <c r="C421" s="136"/>
      <c r="D421" s="136"/>
      <c r="E421" s="145"/>
      <c r="F421" s="136"/>
      <c r="G421" s="136"/>
      <c r="H421" s="136"/>
      <c r="I421" s="145"/>
      <c r="J421" s="136"/>
      <c r="K421" s="136"/>
      <c r="L421" s="136"/>
      <c r="M421" s="145"/>
      <c r="N421" s="136"/>
      <c r="O421" s="136"/>
      <c r="P421" s="136"/>
      <c r="Q421" s="146"/>
      <c r="R421" s="136"/>
      <c r="S421" s="136"/>
      <c r="T421" s="136"/>
      <c r="U421" s="146"/>
      <c r="V421" s="136"/>
      <c r="W421" s="136"/>
      <c r="X421" s="136"/>
    </row>
    <row r="422" spans="1:24" ht="15.75" customHeight="1" x14ac:dyDescent="0.3">
      <c r="A422" s="144"/>
      <c r="B422" s="136"/>
      <c r="C422" s="136"/>
      <c r="D422" s="136"/>
      <c r="E422" s="145"/>
      <c r="F422" s="136"/>
      <c r="G422" s="136"/>
      <c r="H422" s="136"/>
      <c r="I422" s="145"/>
      <c r="J422" s="136"/>
      <c r="K422" s="136"/>
      <c r="L422" s="136"/>
      <c r="M422" s="145"/>
      <c r="N422" s="136"/>
      <c r="O422" s="136"/>
      <c r="P422" s="136"/>
      <c r="Q422" s="146"/>
      <c r="R422" s="136"/>
      <c r="S422" s="136"/>
      <c r="T422" s="136"/>
      <c r="U422" s="146"/>
      <c r="V422" s="136"/>
      <c r="W422" s="136"/>
      <c r="X422" s="136"/>
    </row>
    <row r="423" spans="1:24" ht="15.75" customHeight="1" x14ac:dyDescent="0.3">
      <c r="A423" s="144"/>
      <c r="B423" s="136"/>
      <c r="C423" s="136"/>
      <c r="D423" s="136"/>
      <c r="E423" s="145"/>
      <c r="F423" s="136"/>
      <c r="G423" s="136"/>
      <c r="H423" s="136"/>
      <c r="I423" s="145"/>
      <c r="J423" s="136"/>
      <c r="K423" s="136"/>
      <c r="L423" s="136"/>
      <c r="M423" s="145"/>
      <c r="N423" s="136"/>
      <c r="O423" s="136"/>
      <c r="P423" s="136"/>
      <c r="Q423" s="146"/>
      <c r="R423" s="136"/>
      <c r="S423" s="136"/>
      <c r="T423" s="136"/>
      <c r="U423" s="146"/>
      <c r="V423" s="136"/>
      <c r="W423" s="136"/>
      <c r="X423" s="136"/>
    </row>
    <row r="424" spans="1:24" ht="15.75" customHeight="1" x14ac:dyDescent="0.3">
      <c r="A424" s="144"/>
      <c r="B424" s="136"/>
      <c r="C424" s="136"/>
      <c r="D424" s="136"/>
      <c r="E424" s="145"/>
      <c r="F424" s="136"/>
      <c r="G424" s="136"/>
      <c r="H424" s="136"/>
      <c r="I424" s="145"/>
      <c r="J424" s="136"/>
      <c r="K424" s="136"/>
      <c r="L424" s="136"/>
      <c r="M424" s="145"/>
      <c r="N424" s="136"/>
      <c r="O424" s="136"/>
      <c r="P424" s="136"/>
      <c r="Q424" s="146"/>
      <c r="R424" s="136"/>
      <c r="S424" s="136"/>
      <c r="T424" s="136"/>
      <c r="U424" s="146"/>
      <c r="V424" s="136"/>
      <c r="W424" s="136"/>
      <c r="X424" s="136"/>
    </row>
    <row r="425" spans="1:24" ht="15.75" customHeight="1" x14ac:dyDescent="0.3">
      <c r="A425" s="144"/>
      <c r="B425" s="136"/>
      <c r="C425" s="136"/>
      <c r="D425" s="136"/>
      <c r="E425" s="145"/>
      <c r="F425" s="136"/>
      <c r="G425" s="136"/>
      <c r="H425" s="136"/>
      <c r="I425" s="145"/>
      <c r="J425" s="136"/>
      <c r="K425" s="136"/>
      <c r="L425" s="136"/>
      <c r="M425" s="145"/>
      <c r="N425" s="136"/>
      <c r="O425" s="136"/>
      <c r="P425" s="136"/>
      <c r="Q425" s="146"/>
      <c r="R425" s="136"/>
      <c r="S425" s="136"/>
      <c r="T425" s="136"/>
      <c r="U425" s="146"/>
      <c r="V425" s="136"/>
      <c r="W425" s="136"/>
      <c r="X425" s="136"/>
    </row>
    <row r="426" spans="1:24" ht="15.75" customHeight="1" x14ac:dyDescent="0.3">
      <c r="A426" s="144"/>
      <c r="B426" s="136"/>
      <c r="C426" s="136"/>
      <c r="D426" s="136"/>
      <c r="E426" s="145"/>
      <c r="F426" s="136"/>
      <c r="G426" s="136"/>
      <c r="H426" s="136"/>
      <c r="I426" s="145"/>
      <c r="J426" s="136"/>
      <c r="K426" s="136"/>
      <c r="L426" s="136"/>
      <c r="M426" s="145"/>
      <c r="N426" s="136"/>
      <c r="O426" s="136"/>
      <c r="P426" s="136"/>
      <c r="Q426" s="146"/>
      <c r="R426" s="136"/>
      <c r="S426" s="136"/>
      <c r="T426" s="136"/>
      <c r="U426" s="146"/>
      <c r="V426" s="136"/>
      <c r="W426" s="136"/>
      <c r="X426" s="136"/>
    </row>
    <row r="427" spans="1:24" ht="15.75" customHeight="1" x14ac:dyDescent="0.3">
      <c r="A427" s="144"/>
      <c r="B427" s="136"/>
      <c r="C427" s="136"/>
      <c r="D427" s="136"/>
      <c r="E427" s="145"/>
      <c r="F427" s="136"/>
      <c r="G427" s="136"/>
      <c r="H427" s="136"/>
      <c r="I427" s="145"/>
      <c r="J427" s="136"/>
      <c r="K427" s="136"/>
      <c r="L427" s="136"/>
      <c r="M427" s="145"/>
      <c r="N427" s="136"/>
      <c r="O427" s="136"/>
      <c r="P427" s="136"/>
      <c r="Q427" s="146"/>
      <c r="R427" s="136"/>
      <c r="S427" s="136"/>
      <c r="T427" s="136"/>
      <c r="U427" s="146"/>
      <c r="V427" s="136"/>
      <c r="W427" s="136"/>
      <c r="X427" s="136"/>
    </row>
    <row r="428" spans="1:24" ht="15.75" customHeight="1" x14ac:dyDescent="0.3">
      <c r="A428" s="144"/>
      <c r="B428" s="136"/>
      <c r="C428" s="136"/>
      <c r="D428" s="136"/>
      <c r="E428" s="145"/>
      <c r="F428" s="136"/>
      <c r="G428" s="136"/>
      <c r="H428" s="136"/>
      <c r="I428" s="145"/>
      <c r="J428" s="136"/>
      <c r="K428" s="136"/>
      <c r="L428" s="136"/>
      <c r="M428" s="145"/>
      <c r="N428" s="136"/>
      <c r="O428" s="136"/>
      <c r="P428" s="136"/>
      <c r="Q428" s="146"/>
      <c r="R428" s="136"/>
      <c r="S428" s="136"/>
      <c r="T428" s="136"/>
      <c r="U428" s="146"/>
      <c r="V428" s="136"/>
      <c r="W428" s="136"/>
      <c r="X428" s="136"/>
    </row>
    <row r="429" spans="1:24" ht="15.75" customHeight="1" x14ac:dyDescent="0.3">
      <c r="A429" s="144"/>
      <c r="B429" s="136"/>
      <c r="C429" s="136"/>
      <c r="D429" s="136"/>
      <c r="E429" s="145"/>
      <c r="F429" s="136"/>
      <c r="G429" s="136"/>
      <c r="H429" s="136"/>
      <c r="I429" s="145"/>
      <c r="J429" s="136"/>
      <c r="K429" s="136"/>
      <c r="L429" s="136"/>
      <c r="M429" s="145"/>
      <c r="N429" s="136"/>
      <c r="O429" s="136"/>
      <c r="P429" s="136"/>
      <c r="Q429" s="146"/>
      <c r="R429" s="136"/>
      <c r="S429" s="136"/>
      <c r="T429" s="136"/>
      <c r="U429" s="146"/>
      <c r="V429" s="136"/>
      <c r="W429" s="136"/>
      <c r="X429" s="136"/>
    </row>
    <row r="430" spans="1:24" ht="15.75" customHeight="1" x14ac:dyDescent="0.3">
      <c r="A430" s="144"/>
      <c r="B430" s="136"/>
      <c r="C430" s="136"/>
      <c r="D430" s="136"/>
      <c r="E430" s="145"/>
      <c r="F430" s="136"/>
      <c r="G430" s="136"/>
      <c r="H430" s="136"/>
      <c r="I430" s="145"/>
      <c r="J430" s="136"/>
      <c r="K430" s="136"/>
      <c r="L430" s="136"/>
      <c r="M430" s="145"/>
      <c r="N430" s="136"/>
      <c r="O430" s="136"/>
      <c r="P430" s="136"/>
      <c r="Q430" s="146"/>
      <c r="R430" s="136"/>
      <c r="S430" s="136"/>
      <c r="T430" s="136"/>
      <c r="U430" s="146"/>
      <c r="V430" s="136"/>
      <c r="W430" s="136"/>
      <c r="X430" s="136"/>
    </row>
    <row r="431" spans="1:24" ht="15.75" customHeight="1" x14ac:dyDescent="0.3">
      <c r="A431" s="144"/>
      <c r="B431" s="136"/>
      <c r="C431" s="136"/>
      <c r="D431" s="136"/>
      <c r="E431" s="145"/>
      <c r="F431" s="136"/>
      <c r="G431" s="136"/>
      <c r="H431" s="136"/>
      <c r="I431" s="145"/>
      <c r="J431" s="136"/>
      <c r="K431" s="136"/>
      <c r="L431" s="136"/>
      <c r="M431" s="145"/>
      <c r="N431" s="136"/>
      <c r="O431" s="136"/>
      <c r="P431" s="136"/>
      <c r="Q431" s="146"/>
      <c r="R431" s="136"/>
      <c r="S431" s="136"/>
      <c r="T431" s="136"/>
      <c r="U431" s="146"/>
      <c r="V431" s="136"/>
      <c r="W431" s="136"/>
      <c r="X431" s="136"/>
    </row>
    <row r="432" spans="1:24" ht="15.75" customHeight="1" x14ac:dyDescent="0.3">
      <c r="A432" s="144"/>
      <c r="B432" s="136"/>
      <c r="C432" s="136"/>
      <c r="D432" s="136"/>
      <c r="E432" s="145"/>
      <c r="F432" s="136"/>
      <c r="G432" s="136"/>
      <c r="H432" s="136"/>
      <c r="I432" s="145"/>
      <c r="J432" s="136"/>
      <c r="K432" s="136"/>
      <c r="L432" s="136"/>
      <c r="M432" s="145"/>
      <c r="N432" s="136"/>
      <c r="O432" s="136"/>
      <c r="P432" s="136"/>
      <c r="Q432" s="146"/>
      <c r="R432" s="136"/>
      <c r="S432" s="136"/>
      <c r="T432" s="136"/>
      <c r="U432" s="146"/>
      <c r="V432" s="136"/>
      <c r="W432" s="136"/>
      <c r="X432" s="136"/>
    </row>
    <row r="433" spans="1:24" ht="15.75" customHeight="1" x14ac:dyDescent="0.3">
      <c r="A433" s="144"/>
      <c r="B433" s="136"/>
      <c r="C433" s="136"/>
      <c r="D433" s="136"/>
      <c r="E433" s="145"/>
      <c r="F433" s="136"/>
      <c r="G433" s="136"/>
      <c r="H433" s="136"/>
      <c r="I433" s="145"/>
      <c r="J433" s="136"/>
      <c r="K433" s="136"/>
      <c r="L433" s="136"/>
      <c r="M433" s="145"/>
      <c r="N433" s="136"/>
      <c r="O433" s="136"/>
      <c r="P433" s="136"/>
      <c r="Q433" s="146"/>
      <c r="R433" s="136"/>
      <c r="S433" s="136"/>
      <c r="T433" s="136"/>
      <c r="U433" s="146"/>
      <c r="V433" s="136"/>
      <c r="W433" s="136"/>
      <c r="X433" s="136"/>
    </row>
    <row r="434" spans="1:24" ht="15.75" customHeight="1" x14ac:dyDescent="0.3">
      <c r="A434" s="144"/>
      <c r="B434" s="136"/>
      <c r="C434" s="136"/>
      <c r="D434" s="136"/>
      <c r="E434" s="145"/>
      <c r="F434" s="136"/>
      <c r="G434" s="136"/>
      <c r="H434" s="136"/>
      <c r="I434" s="145"/>
      <c r="J434" s="136"/>
      <c r="K434" s="136"/>
      <c r="L434" s="136"/>
      <c r="M434" s="145"/>
      <c r="N434" s="136"/>
      <c r="O434" s="136"/>
      <c r="P434" s="136"/>
      <c r="Q434" s="146"/>
      <c r="R434" s="136"/>
      <c r="S434" s="136"/>
      <c r="T434" s="136"/>
      <c r="U434" s="146"/>
      <c r="V434" s="136"/>
      <c r="W434" s="136"/>
      <c r="X434" s="136"/>
    </row>
    <row r="435" spans="1:24" ht="15.75" customHeight="1" x14ac:dyDescent="0.3">
      <c r="A435" s="144"/>
      <c r="B435" s="136"/>
      <c r="C435" s="136"/>
      <c r="D435" s="136"/>
      <c r="E435" s="145"/>
      <c r="F435" s="136"/>
      <c r="G435" s="136"/>
      <c r="H435" s="136"/>
      <c r="I435" s="145"/>
      <c r="J435" s="136"/>
      <c r="K435" s="136"/>
      <c r="L435" s="136"/>
      <c r="M435" s="145"/>
      <c r="N435" s="136"/>
      <c r="O435" s="136"/>
      <c r="P435" s="136"/>
      <c r="Q435" s="146"/>
      <c r="R435" s="136"/>
      <c r="S435" s="136"/>
      <c r="T435" s="136"/>
      <c r="U435" s="146"/>
      <c r="V435" s="136"/>
      <c r="W435" s="136"/>
      <c r="X435" s="136"/>
    </row>
    <row r="436" spans="1:24" ht="15.75" customHeight="1" x14ac:dyDescent="0.3">
      <c r="A436" s="144"/>
      <c r="B436" s="136"/>
      <c r="C436" s="136"/>
      <c r="D436" s="136"/>
      <c r="E436" s="145"/>
      <c r="F436" s="136"/>
      <c r="G436" s="136"/>
      <c r="H436" s="136"/>
      <c r="I436" s="145"/>
      <c r="J436" s="136"/>
      <c r="K436" s="136"/>
      <c r="L436" s="136"/>
      <c r="M436" s="145"/>
      <c r="N436" s="136"/>
      <c r="O436" s="136"/>
      <c r="P436" s="136"/>
      <c r="Q436" s="146"/>
      <c r="R436" s="136"/>
      <c r="S436" s="136"/>
      <c r="T436" s="136"/>
      <c r="U436" s="146"/>
      <c r="V436" s="136"/>
      <c r="W436" s="136"/>
      <c r="X436" s="136"/>
    </row>
    <row r="437" spans="1:24" ht="15.75" customHeight="1" x14ac:dyDescent="0.3">
      <c r="A437" s="144"/>
      <c r="B437" s="136"/>
      <c r="C437" s="136"/>
      <c r="D437" s="136"/>
      <c r="E437" s="145"/>
      <c r="F437" s="136"/>
      <c r="G437" s="136"/>
      <c r="H437" s="136"/>
      <c r="I437" s="145"/>
      <c r="J437" s="136"/>
      <c r="K437" s="136"/>
      <c r="L437" s="136"/>
      <c r="M437" s="145"/>
      <c r="N437" s="136"/>
      <c r="O437" s="136"/>
      <c r="P437" s="136"/>
      <c r="Q437" s="146"/>
      <c r="R437" s="136"/>
      <c r="S437" s="136"/>
      <c r="T437" s="136"/>
      <c r="U437" s="146"/>
      <c r="V437" s="136"/>
      <c r="W437" s="136"/>
      <c r="X437" s="136"/>
    </row>
    <row r="438" spans="1:24" ht="15.75" customHeight="1" x14ac:dyDescent="0.3">
      <c r="A438" s="144"/>
      <c r="B438" s="136"/>
      <c r="C438" s="136"/>
      <c r="D438" s="136"/>
      <c r="E438" s="145"/>
      <c r="F438" s="136"/>
      <c r="G438" s="136"/>
      <c r="H438" s="136"/>
      <c r="I438" s="145"/>
      <c r="J438" s="136"/>
      <c r="K438" s="136"/>
      <c r="L438" s="136"/>
      <c r="M438" s="145"/>
      <c r="N438" s="136"/>
      <c r="O438" s="136"/>
      <c r="P438" s="136"/>
      <c r="Q438" s="146"/>
      <c r="R438" s="136"/>
      <c r="S438" s="136"/>
      <c r="T438" s="136"/>
      <c r="U438" s="146"/>
      <c r="V438" s="136"/>
      <c r="W438" s="136"/>
      <c r="X438" s="136"/>
    </row>
    <row r="439" spans="1:24" ht="15.75" customHeight="1" x14ac:dyDescent="0.3">
      <c r="A439" s="144"/>
      <c r="B439" s="136"/>
      <c r="C439" s="136"/>
      <c r="D439" s="136"/>
      <c r="E439" s="145"/>
      <c r="F439" s="136"/>
      <c r="G439" s="136"/>
      <c r="H439" s="136"/>
      <c r="I439" s="145"/>
      <c r="J439" s="136"/>
      <c r="K439" s="136"/>
      <c r="L439" s="136"/>
      <c r="M439" s="145"/>
      <c r="N439" s="136"/>
      <c r="O439" s="136"/>
      <c r="P439" s="136"/>
      <c r="Q439" s="146"/>
      <c r="R439" s="136"/>
      <c r="S439" s="136"/>
      <c r="T439" s="136"/>
      <c r="U439" s="146"/>
      <c r="V439" s="136"/>
      <c r="W439" s="136"/>
      <c r="X439" s="136"/>
    </row>
    <row r="440" spans="1:24" ht="15.75" customHeight="1" x14ac:dyDescent="0.3">
      <c r="A440" s="144"/>
      <c r="B440" s="136"/>
      <c r="C440" s="136"/>
      <c r="D440" s="136"/>
      <c r="E440" s="145"/>
      <c r="F440" s="136"/>
      <c r="G440" s="136"/>
      <c r="H440" s="136"/>
      <c r="I440" s="145"/>
      <c r="J440" s="136"/>
      <c r="K440" s="136"/>
      <c r="L440" s="136"/>
      <c r="M440" s="145"/>
      <c r="N440" s="136"/>
      <c r="O440" s="136"/>
      <c r="P440" s="136"/>
      <c r="Q440" s="146"/>
      <c r="R440" s="136"/>
      <c r="S440" s="136"/>
      <c r="T440" s="136"/>
      <c r="U440" s="146"/>
      <c r="V440" s="136"/>
      <c r="W440" s="136"/>
      <c r="X440" s="136"/>
    </row>
    <row r="441" spans="1:24" ht="15.75" customHeight="1" x14ac:dyDescent="0.3">
      <c r="A441" s="144"/>
      <c r="B441" s="136"/>
      <c r="C441" s="136"/>
      <c r="D441" s="136"/>
      <c r="E441" s="145"/>
      <c r="F441" s="136"/>
      <c r="G441" s="136"/>
      <c r="H441" s="136"/>
      <c r="I441" s="145"/>
      <c r="J441" s="136"/>
      <c r="K441" s="136"/>
      <c r="L441" s="136"/>
      <c r="M441" s="145"/>
      <c r="N441" s="136"/>
      <c r="O441" s="136"/>
      <c r="P441" s="136"/>
      <c r="Q441" s="146"/>
      <c r="R441" s="136"/>
      <c r="S441" s="136"/>
      <c r="T441" s="136"/>
      <c r="U441" s="146"/>
      <c r="V441" s="136"/>
      <c r="W441" s="136"/>
      <c r="X441" s="136"/>
    </row>
    <row r="442" spans="1:24" ht="15.75" customHeight="1" x14ac:dyDescent="0.3">
      <c r="A442" s="144"/>
      <c r="B442" s="136"/>
      <c r="C442" s="136"/>
      <c r="D442" s="136"/>
      <c r="E442" s="145"/>
      <c r="F442" s="136"/>
      <c r="G442" s="136"/>
      <c r="H442" s="136"/>
      <c r="I442" s="145"/>
      <c r="J442" s="136"/>
      <c r="K442" s="136"/>
      <c r="L442" s="136"/>
      <c r="M442" s="145"/>
      <c r="N442" s="136"/>
      <c r="O442" s="136"/>
      <c r="P442" s="136"/>
      <c r="Q442" s="146"/>
      <c r="R442" s="136"/>
      <c r="S442" s="136"/>
      <c r="T442" s="136"/>
      <c r="U442" s="146"/>
      <c r="V442" s="136"/>
      <c r="W442" s="136"/>
      <c r="X442" s="136"/>
    </row>
    <row r="443" spans="1:24" ht="15.75" customHeight="1" x14ac:dyDescent="0.3">
      <c r="A443" s="144"/>
      <c r="B443" s="136"/>
      <c r="C443" s="136"/>
      <c r="D443" s="136"/>
      <c r="E443" s="145"/>
      <c r="F443" s="136"/>
      <c r="G443" s="136"/>
      <c r="H443" s="136"/>
      <c r="I443" s="145"/>
      <c r="J443" s="136"/>
      <c r="K443" s="136"/>
      <c r="L443" s="136"/>
      <c r="M443" s="145"/>
      <c r="N443" s="136"/>
      <c r="O443" s="136"/>
      <c r="P443" s="136"/>
      <c r="Q443" s="146"/>
      <c r="R443" s="136"/>
      <c r="S443" s="136"/>
      <c r="T443" s="136"/>
      <c r="U443" s="146"/>
      <c r="V443" s="136"/>
      <c r="W443" s="136"/>
      <c r="X443" s="136"/>
    </row>
    <row r="444" spans="1:24" ht="15.75" customHeight="1" x14ac:dyDescent="0.3">
      <c r="A444" s="144"/>
      <c r="B444" s="136"/>
      <c r="C444" s="136"/>
      <c r="D444" s="136"/>
      <c r="E444" s="145"/>
      <c r="F444" s="136"/>
      <c r="G444" s="136"/>
      <c r="H444" s="136"/>
      <c r="I444" s="145"/>
      <c r="J444" s="136"/>
      <c r="K444" s="136"/>
      <c r="L444" s="136"/>
      <c r="M444" s="145"/>
      <c r="N444" s="136"/>
      <c r="O444" s="136"/>
      <c r="P444" s="136"/>
      <c r="Q444" s="146"/>
      <c r="R444" s="136"/>
      <c r="S444" s="136"/>
      <c r="T444" s="136"/>
      <c r="U444" s="146"/>
      <c r="V444" s="136"/>
      <c r="W444" s="136"/>
      <c r="X444" s="136"/>
    </row>
    <row r="445" spans="1:24" ht="15.75" customHeight="1" x14ac:dyDescent="0.3">
      <c r="A445" s="144"/>
      <c r="B445" s="136"/>
      <c r="C445" s="136"/>
      <c r="D445" s="136"/>
      <c r="E445" s="145"/>
      <c r="F445" s="136"/>
      <c r="G445" s="136"/>
      <c r="H445" s="136"/>
      <c r="I445" s="145"/>
      <c r="J445" s="136"/>
      <c r="K445" s="136"/>
      <c r="L445" s="136"/>
      <c r="M445" s="145"/>
      <c r="N445" s="136"/>
      <c r="O445" s="136"/>
      <c r="P445" s="136"/>
      <c r="Q445" s="146"/>
      <c r="R445" s="136"/>
      <c r="S445" s="136"/>
      <c r="T445" s="136"/>
      <c r="U445" s="146"/>
      <c r="V445" s="136"/>
      <c r="W445" s="136"/>
      <c r="X445" s="136"/>
    </row>
    <row r="446" spans="1:24" ht="15.75" customHeight="1" x14ac:dyDescent="0.3">
      <c r="A446" s="144"/>
      <c r="B446" s="136"/>
      <c r="C446" s="136"/>
      <c r="D446" s="136"/>
      <c r="E446" s="145"/>
      <c r="F446" s="136"/>
      <c r="G446" s="136"/>
      <c r="H446" s="136"/>
      <c r="I446" s="145"/>
      <c r="J446" s="136"/>
      <c r="K446" s="136"/>
      <c r="L446" s="136"/>
      <c r="M446" s="145"/>
      <c r="N446" s="136"/>
      <c r="O446" s="136"/>
      <c r="P446" s="136"/>
      <c r="Q446" s="146"/>
      <c r="R446" s="136"/>
      <c r="S446" s="136"/>
      <c r="T446" s="136"/>
      <c r="U446" s="146"/>
      <c r="V446" s="136"/>
      <c r="W446" s="136"/>
      <c r="X446" s="136"/>
    </row>
    <row r="447" spans="1:24" ht="15.75" customHeight="1" x14ac:dyDescent="0.3">
      <c r="A447" s="144"/>
      <c r="B447" s="136"/>
      <c r="C447" s="136"/>
      <c r="D447" s="136"/>
      <c r="E447" s="145"/>
      <c r="F447" s="136"/>
      <c r="G447" s="136"/>
      <c r="H447" s="136"/>
      <c r="I447" s="145"/>
      <c r="J447" s="136"/>
      <c r="K447" s="136"/>
      <c r="L447" s="136"/>
      <c r="M447" s="145"/>
      <c r="N447" s="136"/>
      <c r="O447" s="136"/>
      <c r="P447" s="136"/>
      <c r="Q447" s="146"/>
      <c r="R447" s="136"/>
      <c r="S447" s="136"/>
      <c r="T447" s="136"/>
      <c r="U447" s="146"/>
      <c r="V447" s="136"/>
      <c r="W447" s="136"/>
      <c r="X447" s="136"/>
    </row>
    <row r="448" spans="1:24" ht="15.75" customHeight="1" x14ac:dyDescent="0.3">
      <c r="A448" s="144"/>
      <c r="B448" s="136"/>
      <c r="C448" s="136"/>
      <c r="D448" s="136"/>
      <c r="E448" s="145"/>
      <c r="F448" s="136"/>
      <c r="G448" s="136"/>
      <c r="H448" s="136"/>
      <c r="I448" s="145"/>
      <c r="J448" s="136"/>
      <c r="K448" s="136"/>
      <c r="L448" s="136"/>
      <c r="M448" s="145"/>
      <c r="N448" s="136"/>
      <c r="O448" s="136"/>
      <c r="P448" s="136"/>
      <c r="Q448" s="146"/>
      <c r="R448" s="136"/>
      <c r="S448" s="136"/>
      <c r="T448" s="136"/>
      <c r="U448" s="146"/>
      <c r="V448" s="136"/>
      <c r="W448" s="136"/>
      <c r="X448" s="136"/>
    </row>
    <row r="449" spans="1:24" ht="15.75" customHeight="1" x14ac:dyDescent="0.3">
      <c r="A449" s="144"/>
      <c r="B449" s="136"/>
      <c r="C449" s="136"/>
      <c r="D449" s="136"/>
      <c r="E449" s="145"/>
      <c r="F449" s="136"/>
      <c r="G449" s="136"/>
      <c r="H449" s="136"/>
      <c r="I449" s="145"/>
      <c r="J449" s="136"/>
      <c r="K449" s="136"/>
      <c r="L449" s="136"/>
      <c r="M449" s="145"/>
      <c r="N449" s="136"/>
      <c r="O449" s="136"/>
      <c r="P449" s="136"/>
      <c r="Q449" s="146"/>
      <c r="R449" s="136"/>
      <c r="S449" s="136"/>
      <c r="T449" s="136"/>
      <c r="U449" s="146"/>
      <c r="V449" s="136"/>
      <c r="W449" s="136"/>
      <c r="X449" s="136"/>
    </row>
    <row r="450" spans="1:24" ht="15.75" customHeight="1" x14ac:dyDescent="0.3">
      <c r="A450" s="144"/>
      <c r="B450" s="136"/>
      <c r="C450" s="136"/>
      <c r="D450" s="136"/>
      <c r="E450" s="145"/>
      <c r="F450" s="136"/>
      <c r="G450" s="136"/>
      <c r="H450" s="136"/>
      <c r="I450" s="145"/>
      <c r="J450" s="136"/>
      <c r="K450" s="136"/>
      <c r="L450" s="136"/>
      <c r="M450" s="145"/>
      <c r="N450" s="136"/>
      <c r="O450" s="136"/>
      <c r="P450" s="136"/>
      <c r="Q450" s="146"/>
      <c r="R450" s="136"/>
      <c r="S450" s="136"/>
      <c r="T450" s="136"/>
      <c r="U450" s="146"/>
      <c r="V450" s="136"/>
      <c r="W450" s="136"/>
      <c r="X450" s="136"/>
    </row>
    <row r="451" spans="1:24" ht="15.75" customHeight="1" x14ac:dyDescent="0.3">
      <c r="A451" s="144"/>
      <c r="B451" s="136"/>
      <c r="C451" s="136"/>
      <c r="D451" s="136"/>
      <c r="E451" s="145"/>
      <c r="F451" s="136"/>
      <c r="G451" s="136"/>
      <c r="H451" s="136"/>
      <c r="I451" s="145"/>
      <c r="J451" s="136"/>
      <c r="K451" s="136"/>
      <c r="L451" s="136"/>
      <c r="M451" s="145"/>
      <c r="N451" s="136"/>
      <c r="O451" s="136"/>
      <c r="P451" s="136"/>
      <c r="Q451" s="146"/>
      <c r="R451" s="136"/>
      <c r="S451" s="136"/>
      <c r="T451" s="136"/>
      <c r="U451" s="146"/>
      <c r="V451" s="136"/>
      <c r="W451" s="136"/>
      <c r="X451" s="136"/>
    </row>
    <row r="452" spans="1:24" ht="15.75" customHeight="1" x14ac:dyDescent="0.3">
      <c r="A452" s="144"/>
      <c r="B452" s="136"/>
      <c r="C452" s="136"/>
      <c r="D452" s="136"/>
      <c r="E452" s="145"/>
      <c r="F452" s="136"/>
      <c r="G452" s="136"/>
      <c r="H452" s="136"/>
      <c r="I452" s="145"/>
      <c r="J452" s="136"/>
      <c r="K452" s="136"/>
      <c r="L452" s="136"/>
      <c r="M452" s="145"/>
      <c r="N452" s="136"/>
      <c r="O452" s="136"/>
      <c r="P452" s="136"/>
      <c r="Q452" s="146"/>
      <c r="R452" s="136"/>
      <c r="S452" s="136"/>
      <c r="T452" s="136"/>
      <c r="U452" s="146"/>
      <c r="V452" s="136"/>
      <c r="W452" s="136"/>
      <c r="X452" s="136"/>
    </row>
    <row r="453" spans="1:24" ht="15.75" customHeight="1" x14ac:dyDescent="0.3">
      <c r="A453" s="144"/>
      <c r="B453" s="136"/>
      <c r="C453" s="136"/>
      <c r="D453" s="136"/>
      <c r="E453" s="145"/>
      <c r="F453" s="136"/>
      <c r="G453" s="136"/>
      <c r="H453" s="136"/>
      <c r="I453" s="145"/>
      <c r="J453" s="136"/>
      <c r="K453" s="136"/>
      <c r="L453" s="136"/>
      <c r="M453" s="145"/>
      <c r="N453" s="136"/>
      <c r="O453" s="136"/>
      <c r="P453" s="136"/>
      <c r="Q453" s="146"/>
      <c r="R453" s="136"/>
      <c r="S453" s="136"/>
      <c r="T453" s="136"/>
      <c r="U453" s="146"/>
      <c r="V453" s="136"/>
      <c r="W453" s="136"/>
      <c r="X453" s="136"/>
    </row>
    <row r="454" spans="1:24" ht="15.75" customHeight="1" x14ac:dyDescent="0.3">
      <c r="A454" s="144"/>
      <c r="B454" s="136"/>
      <c r="C454" s="136"/>
      <c r="D454" s="136"/>
      <c r="E454" s="145"/>
      <c r="F454" s="136"/>
      <c r="G454" s="136"/>
      <c r="H454" s="136"/>
      <c r="I454" s="145"/>
      <c r="J454" s="136"/>
      <c r="K454" s="136"/>
      <c r="L454" s="136"/>
      <c r="M454" s="145"/>
      <c r="N454" s="136"/>
      <c r="O454" s="136"/>
      <c r="P454" s="136"/>
      <c r="Q454" s="146"/>
      <c r="R454" s="136"/>
      <c r="S454" s="136"/>
      <c r="T454" s="136"/>
      <c r="U454" s="146"/>
      <c r="V454" s="136"/>
      <c r="W454" s="136"/>
      <c r="X454" s="136"/>
    </row>
    <row r="455" spans="1:24" ht="15.75" customHeight="1" x14ac:dyDescent="0.3">
      <c r="A455" s="144"/>
      <c r="B455" s="136"/>
      <c r="C455" s="136"/>
      <c r="D455" s="136"/>
      <c r="E455" s="145"/>
      <c r="F455" s="136"/>
      <c r="G455" s="136"/>
      <c r="H455" s="136"/>
      <c r="I455" s="145"/>
      <c r="J455" s="136"/>
      <c r="K455" s="136"/>
      <c r="L455" s="136"/>
      <c r="M455" s="145"/>
      <c r="N455" s="136"/>
      <c r="O455" s="136"/>
      <c r="P455" s="136"/>
      <c r="Q455" s="146"/>
      <c r="R455" s="136"/>
      <c r="S455" s="136"/>
      <c r="T455" s="136"/>
      <c r="U455" s="146"/>
      <c r="V455" s="136"/>
      <c r="W455" s="136"/>
      <c r="X455" s="136"/>
    </row>
    <row r="456" spans="1:24" ht="15.75" customHeight="1" x14ac:dyDescent="0.3">
      <c r="A456" s="144"/>
      <c r="B456" s="136"/>
      <c r="C456" s="136"/>
      <c r="D456" s="136"/>
      <c r="E456" s="145"/>
      <c r="F456" s="136"/>
      <c r="G456" s="136"/>
      <c r="H456" s="136"/>
      <c r="I456" s="145"/>
      <c r="J456" s="136"/>
      <c r="K456" s="136"/>
      <c r="L456" s="136"/>
      <c r="M456" s="145"/>
      <c r="N456" s="136"/>
      <c r="O456" s="136"/>
      <c r="P456" s="136"/>
      <c r="Q456" s="146"/>
      <c r="R456" s="136"/>
      <c r="S456" s="136"/>
      <c r="T456" s="136"/>
      <c r="U456" s="146"/>
      <c r="V456" s="136"/>
      <c r="W456" s="136"/>
      <c r="X456" s="136"/>
    </row>
    <row r="457" spans="1:24" ht="15.75" customHeight="1" x14ac:dyDescent="0.3">
      <c r="A457" s="144"/>
      <c r="B457" s="136"/>
      <c r="C457" s="136"/>
      <c r="D457" s="136"/>
      <c r="E457" s="145"/>
      <c r="F457" s="136"/>
      <c r="G457" s="136"/>
      <c r="H457" s="136"/>
      <c r="I457" s="145"/>
      <c r="J457" s="136"/>
      <c r="K457" s="136"/>
      <c r="L457" s="136"/>
      <c r="M457" s="145"/>
      <c r="N457" s="136"/>
      <c r="O457" s="136"/>
      <c r="P457" s="136"/>
      <c r="Q457" s="146"/>
      <c r="R457" s="136"/>
      <c r="S457" s="136"/>
      <c r="T457" s="136"/>
      <c r="U457" s="146"/>
      <c r="V457" s="136"/>
      <c r="W457" s="136"/>
      <c r="X457" s="136"/>
    </row>
    <row r="458" spans="1:24" ht="15.75" customHeight="1" x14ac:dyDescent="0.3">
      <c r="A458" s="144"/>
      <c r="B458" s="136"/>
      <c r="C458" s="136"/>
      <c r="D458" s="136"/>
      <c r="E458" s="145"/>
      <c r="F458" s="136"/>
      <c r="G458" s="136"/>
      <c r="H458" s="136"/>
      <c r="I458" s="145"/>
      <c r="J458" s="136"/>
      <c r="K458" s="136"/>
      <c r="L458" s="136"/>
      <c r="M458" s="145"/>
      <c r="N458" s="136"/>
      <c r="O458" s="136"/>
      <c r="P458" s="136"/>
      <c r="Q458" s="146"/>
      <c r="R458" s="136"/>
      <c r="S458" s="136"/>
      <c r="T458" s="136"/>
      <c r="U458" s="146"/>
      <c r="V458" s="136"/>
      <c r="W458" s="136"/>
      <c r="X458" s="136"/>
    </row>
    <row r="459" spans="1:24" ht="15.75" customHeight="1" x14ac:dyDescent="0.3">
      <c r="A459" s="144"/>
      <c r="B459" s="136"/>
      <c r="C459" s="136"/>
      <c r="D459" s="136"/>
      <c r="E459" s="145"/>
      <c r="F459" s="136"/>
      <c r="G459" s="136"/>
      <c r="H459" s="136"/>
      <c r="I459" s="145"/>
      <c r="J459" s="136"/>
      <c r="K459" s="136"/>
      <c r="L459" s="136"/>
      <c r="M459" s="145"/>
      <c r="N459" s="136"/>
      <c r="O459" s="136"/>
      <c r="P459" s="136"/>
      <c r="Q459" s="146"/>
      <c r="R459" s="136"/>
      <c r="S459" s="136"/>
      <c r="T459" s="136"/>
      <c r="U459" s="146"/>
      <c r="V459" s="136"/>
      <c r="W459" s="136"/>
      <c r="X459" s="136"/>
    </row>
    <row r="460" spans="1:24" ht="15.75" customHeight="1" x14ac:dyDescent="0.3">
      <c r="A460" s="144"/>
      <c r="B460" s="136"/>
      <c r="C460" s="136"/>
      <c r="D460" s="136"/>
      <c r="E460" s="145"/>
      <c r="F460" s="136"/>
      <c r="G460" s="136"/>
      <c r="H460" s="136"/>
      <c r="I460" s="145"/>
      <c r="J460" s="136"/>
      <c r="K460" s="136"/>
      <c r="L460" s="136"/>
      <c r="M460" s="145"/>
      <c r="N460" s="136"/>
      <c r="O460" s="136"/>
      <c r="P460" s="136"/>
      <c r="Q460" s="146"/>
      <c r="R460" s="136"/>
      <c r="S460" s="136"/>
      <c r="T460" s="136"/>
      <c r="U460" s="146"/>
      <c r="V460" s="136"/>
      <c r="W460" s="136"/>
      <c r="X460" s="136"/>
    </row>
    <row r="461" spans="1:24" ht="15.75" customHeight="1" x14ac:dyDescent="0.3">
      <c r="A461" s="144"/>
      <c r="B461" s="136"/>
      <c r="C461" s="136"/>
      <c r="D461" s="136"/>
      <c r="E461" s="145"/>
      <c r="F461" s="136"/>
      <c r="G461" s="136"/>
      <c r="H461" s="136"/>
      <c r="I461" s="145"/>
      <c r="J461" s="136"/>
      <c r="K461" s="136"/>
      <c r="L461" s="136"/>
      <c r="M461" s="145"/>
      <c r="N461" s="136"/>
      <c r="O461" s="136"/>
      <c r="P461" s="136"/>
      <c r="Q461" s="146"/>
      <c r="R461" s="136"/>
      <c r="S461" s="136"/>
      <c r="T461" s="136"/>
      <c r="U461" s="146"/>
      <c r="V461" s="136"/>
      <c r="W461" s="136"/>
      <c r="X461" s="136"/>
    </row>
    <row r="462" spans="1:24" ht="15.75" customHeight="1" x14ac:dyDescent="0.3">
      <c r="A462" s="144"/>
      <c r="B462" s="136"/>
      <c r="C462" s="136"/>
      <c r="D462" s="136"/>
      <c r="E462" s="145"/>
      <c r="F462" s="136"/>
      <c r="G462" s="136"/>
      <c r="H462" s="136"/>
      <c r="I462" s="145"/>
      <c r="J462" s="136"/>
      <c r="K462" s="136"/>
      <c r="L462" s="136"/>
      <c r="M462" s="145"/>
      <c r="N462" s="136"/>
      <c r="O462" s="136"/>
      <c r="P462" s="136"/>
      <c r="Q462" s="146"/>
      <c r="R462" s="136"/>
      <c r="S462" s="136"/>
      <c r="T462" s="136"/>
      <c r="U462" s="146"/>
      <c r="V462" s="136"/>
      <c r="W462" s="136"/>
      <c r="X462" s="136"/>
    </row>
    <row r="463" spans="1:24" ht="15.75" customHeight="1" x14ac:dyDescent="0.3">
      <c r="A463" s="144"/>
      <c r="B463" s="136"/>
      <c r="C463" s="136"/>
      <c r="D463" s="136"/>
      <c r="E463" s="145"/>
      <c r="F463" s="136"/>
      <c r="G463" s="136"/>
      <c r="H463" s="136"/>
      <c r="I463" s="145"/>
      <c r="J463" s="136"/>
      <c r="K463" s="136"/>
      <c r="L463" s="136"/>
      <c r="M463" s="145"/>
      <c r="N463" s="136"/>
      <c r="O463" s="136"/>
      <c r="P463" s="136"/>
      <c r="Q463" s="146"/>
      <c r="R463" s="136"/>
      <c r="S463" s="136"/>
      <c r="T463" s="136"/>
      <c r="U463" s="146"/>
      <c r="V463" s="136"/>
      <c r="W463" s="136"/>
      <c r="X463" s="136"/>
    </row>
    <row r="464" spans="1:24" ht="15.75" customHeight="1" x14ac:dyDescent="0.3">
      <c r="A464" s="144"/>
      <c r="B464" s="136"/>
      <c r="C464" s="136"/>
      <c r="D464" s="136"/>
      <c r="E464" s="145"/>
      <c r="F464" s="136"/>
      <c r="G464" s="136"/>
      <c r="H464" s="136"/>
      <c r="I464" s="145"/>
      <c r="J464" s="136"/>
      <c r="K464" s="136"/>
      <c r="L464" s="136"/>
      <c r="M464" s="145"/>
      <c r="N464" s="136"/>
      <c r="O464" s="136"/>
      <c r="P464" s="136"/>
      <c r="Q464" s="146"/>
      <c r="R464" s="136"/>
      <c r="S464" s="136"/>
      <c r="T464" s="136"/>
      <c r="U464" s="146"/>
      <c r="V464" s="136"/>
      <c r="W464" s="136"/>
      <c r="X464" s="136"/>
    </row>
    <row r="465" spans="1:24" ht="15.75" customHeight="1" x14ac:dyDescent="0.3">
      <c r="A465" s="144"/>
      <c r="B465" s="136"/>
      <c r="C465" s="136"/>
      <c r="D465" s="136"/>
      <c r="E465" s="145"/>
      <c r="F465" s="136"/>
      <c r="G465" s="136"/>
      <c r="H465" s="136"/>
      <c r="I465" s="145"/>
      <c r="J465" s="136"/>
      <c r="K465" s="136"/>
      <c r="L465" s="136"/>
      <c r="M465" s="145"/>
      <c r="N465" s="136"/>
      <c r="O465" s="136"/>
      <c r="P465" s="136"/>
      <c r="Q465" s="146"/>
      <c r="R465" s="136"/>
      <c r="S465" s="136"/>
      <c r="T465" s="136"/>
      <c r="U465" s="146"/>
      <c r="V465" s="136"/>
      <c r="W465" s="136"/>
      <c r="X465" s="136"/>
    </row>
    <row r="466" spans="1:24" ht="15.75" customHeight="1" x14ac:dyDescent="0.3">
      <c r="A466" s="144"/>
      <c r="B466" s="136"/>
      <c r="C466" s="136"/>
      <c r="D466" s="136"/>
      <c r="E466" s="145"/>
      <c r="F466" s="136"/>
      <c r="G466" s="136"/>
      <c r="H466" s="136"/>
      <c r="I466" s="145"/>
      <c r="J466" s="136"/>
      <c r="K466" s="136"/>
      <c r="L466" s="136"/>
      <c r="M466" s="145"/>
      <c r="N466" s="136"/>
      <c r="O466" s="136"/>
      <c r="P466" s="136"/>
      <c r="Q466" s="146"/>
      <c r="R466" s="136"/>
      <c r="S466" s="136"/>
      <c r="T466" s="136"/>
      <c r="U466" s="146"/>
      <c r="V466" s="136"/>
      <c r="W466" s="136"/>
      <c r="X466" s="136"/>
    </row>
    <row r="467" spans="1:24" ht="15.75" customHeight="1" x14ac:dyDescent="0.3">
      <c r="A467" s="144"/>
      <c r="B467" s="136"/>
      <c r="C467" s="136"/>
      <c r="D467" s="136"/>
      <c r="E467" s="145"/>
      <c r="F467" s="136"/>
      <c r="G467" s="136"/>
      <c r="H467" s="136"/>
      <c r="I467" s="145"/>
      <c r="J467" s="136"/>
      <c r="K467" s="136"/>
      <c r="L467" s="136"/>
      <c r="M467" s="145"/>
      <c r="N467" s="136"/>
      <c r="O467" s="136"/>
      <c r="P467" s="136"/>
      <c r="Q467" s="146"/>
      <c r="R467" s="136"/>
      <c r="S467" s="136"/>
      <c r="T467" s="136"/>
      <c r="U467" s="146"/>
      <c r="V467" s="136"/>
      <c r="W467" s="136"/>
      <c r="X467" s="136"/>
    </row>
    <row r="468" spans="1:24" ht="15.75" customHeight="1" x14ac:dyDescent="0.3">
      <c r="A468" s="144"/>
      <c r="B468" s="136"/>
      <c r="C468" s="136"/>
      <c r="D468" s="136"/>
      <c r="E468" s="145"/>
      <c r="F468" s="136"/>
      <c r="G468" s="136"/>
      <c r="H468" s="136"/>
      <c r="I468" s="145"/>
      <c r="J468" s="136"/>
      <c r="K468" s="136"/>
      <c r="L468" s="136"/>
      <c r="M468" s="145"/>
      <c r="N468" s="136"/>
      <c r="O468" s="136"/>
      <c r="P468" s="136"/>
      <c r="Q468" s="146"/>
      <c r="R468" s="136"/>
      <c r="S468" s="136"/>
      <c r="T468" s="136"/>
      <c r="U468" s="146"/>
      <c r="V468" s="136"/>
      <c r="W468" s="136"/>
      <c r="X468" s="136"/>
    </row>
    <row r="469" spans="1:24" ht="15.75" customHeight="1" x14ac:dyDescent="0.3">
      <c r="A469" s="144"/>
      <c r="B469" s="136"/>
      <c r="C469" s="136"/>
      <c r="D469" s="136"/>
      <c r="E469" s="145"/>
      <c r="F469" s="136"/>
      <c r="G469" s="136"/>
      <c r="H469" s="136"/>
      <c r="I469" s="145"/>
      <c r="J469" s="136"/>
      <c r="K469" s="136"/>
      <c r="L469" s="136"/>
      <c r="M469" s="145"/>
      <c r="N469" s="136"/>
      <c r="O469" s="136"/>
      <c r="P469" s="136"/>
      <c r="Q469" s="146"/>
      <c r="R469" s="136"/>
      <c r="S469" s="136"/>
      <c r="T469" s="136"/>
      <c r="U469" s="146"/>
      <c r="V469" s="136"/>
      <c r="W469" s="136"/>
      <c r="X469" s="136"/>
    </row>
    <row r="470" spans="1:24" ht="15.75" customHeight="1" x14ac:dyDescent="0.3">
      <c r="A470" s="144"/>
      <c r="B470" s="136"/>
      <c r="C470" s="136"/>
      <c r="D470" s="136"/>
      <c r="E470" s="145"/>
      <c r="F470" s="136"/>
      <c r="G470" s="136"/>
      <c r="H470" s="136"/>
      <c r="I470" s="145"/>
      <c r="J470" s="136"/>
      <c r="K470" s="136"/>
      <c r="L470" s="136"/>
      <c r="M470" s="145"/>
      <c r="N470" s="136"/>
      <c r="O470" s="136"/>
      <c r="P470" s="136"/>
      <c r="Q470" s="146"/>
      <c r="R470" s="136"/>
      <c r="S470" s="136"/>
      <c r="T470" s="136"/>
      <c r="U470" s="146"/>
      <c r="V470" s="136"/>
      <c r="W470" s="136"/>
      <c r="X470" s="136"/>
    </row>
    <row r="471" spans="1:24" ht="15.75" customHeight="1" x14ac:dyDescent="0.3">
      <c r="A471" s="144"/>
      <c r="B471" s="136"/>
      <c r="C471" s="136"/>
      <c r="D471" s="136"/>
      <c r="E471" s="145"/>
      <c r="F471" s="136"/>
      <c r="G471" s="136"/>
      <c r="H471" s="136"/>
      <c r="I471" s="145"/>
      <c r="J471" s="136"/>
      <c r="K471" s="136"/>
      <c r="L471" s="136"/>
      <c r="M471" s="145"/>
      <c r="N471" s="136"/>
      <c r="O471" s="136"/>
      <c r="P471" s="136"/>
      <c r="Q471" s="146"/>
      <c r="R471" s="136"/>
      <c r="S471" s="136"/>
      <c r="T471" s="136"/>
      <c r="U471" s="146"/>
      <c r="V471" s="136"/>
      <c r="W471" s="136"/>
      <c r="X471" s="136"/>
    </row>
    <row r="472" spans="1:24" ht="15.75" customHeight="1" x14ac:dyDescent="0.3">
      <c r="A472" s="144"/>
      <c r="B472" s="136"/>
      <c r="C472" s="136"/>
      <c r="D472" s="136"/>
      <c r="E472" s="145"/>
      <c r="F472" s="136"/>
      <c r="G472" s="136"/>
      <c r="H472" s="136"/>
      <c r="I472" s="145"/>
      <c r="J472" s="136"/>
      <c r="K472" s="136"/>
      <c r="L472" s="136"/>
      <c r="M472" s="145"/>
      <c r="N472" s="136"/>
      <c r="O472" s="136"/>
      <c r="P472" s="136"/>
      <c r="Q472" s="146"/>
      <c r="R472" s="136"/>
      <c r="S472" s="136"/>
      <c r="T472" s="136"/>
      <c r="U472" s="146"/>
      <c r="V472" s="136"/>
      <c r="W472" s="136"/>
      <c r="X472" s="136"/>
    </row>
    <row r="473" spans="1:24" ht="15.75" customHeight="1" x14ac:dyDescent="0.3">
      <c r="A473" s="144"/>
      <c r="B473" s="136"/>
      <c r="C473" s="136"/>
      <c r="D473" s="136"/>
      <c r="E473" s="145"/>
      <c r="F473" s="136"/>
      <c r="G473" s="136"/>
      <c r="H473" s="136"/>
      <c r="I473" s="145"/>
      <c r="J473" s="136"/>
      <c r="K473" s="136"/>
      <c r="L473" s="136"/>
      <c r="M473" s="145"/>
      <c r="N473" s="136"/>
      <c r="O473" s="136"/>
      <c r="P473" s="136"/>
      <c r="Q473" s="146"/>
      <c r="R473" s="136"/>
      <c r="S473" s="136"/>
      <c r="T473" s="136"/>
      <c r="U473" s="146"/>
      <c r="V473" s="136"/>
      <c r="W473" s="136"/>
      <c r="X473" s="136"/>
    </row>
    <row r="474" spans="1:24" ht="15.75" customHeight="1" x14ac:dyDescent="0.3">
      <c r="A474" s="144"/>
      <c r="B474" s="136"/>
      <c r="C474" s="136"/>
      <c r="D474" s="136"/>
      <c r="E474" s="145"/>
      <c r="F474" s="136"/>
      <c r="G474" s="136"/>
      <c r="H474" s="136"/>
      <c r="I474" s="145"/>
      <c r="J474" s="136"/>
      <c r="K474" s="136"/>
      <c r="L474" s="136"/>
      <c r="M474" s="145"/>
      <c r="N474" s="136"/>
      <c r="O474" s="136"/>
      <c r="P474" s="136"/>
      <c r="Q474" s="146"/>
      <c r="R474" s="136"/>
      <c r="S474" s="136"/>
      <c r="T474" s="136"/>
      <c r="U474" s="146"/>
      <c r="V474" s="136"/>
      <c r="W474" s="136"/>
      <c r="X474" s="136"/>
    </row>
    <row r="475" spans="1:24" ht="15.75" customHeight="1" x14ac:dyDescent="0.3">
      <c r="A475" s="144"/>
      <c r="B475" s="136"/>
      <c r="C475" s="136"/>
      <c r="D475" s="136"/>
      <c r="E475" s="145"/>
      <c r="F475" s="136"/>
      <c r="G475" s="136"/>
      <c r="H475" s="136"/>
      <c r="I475" s="145"/>
      <c r="J475" s="136"/>
      <c r="K475" s="136"/>
      <c r="L475" s="136"/>
      <c r="M475" s="145"/>
      <c r="N475" s="136"/>
      <c r="O475" s="136"/>
      <c r="P475" s="136"/>
      <c r="Q475" s="146"/>
      <c r="R475" s="136"/>
      <c r="S475" s="136"/>
      <c r="T475" s="136"/>
      <c r="U475" s="146"/>
      <c r="V475" s="136"/>
      <c r="W475" s="136"/>
      <c r="X475" s="136"/>
    </row>
    <row r="476" spans="1:24" ht="15.75" customHeight="1" x14ac:dyDescent="0.3">
      <c r="A476" s="144"/>
      <c r="B476" s="136"/>
      <c r="C476" s="136"/>
      <c r="D476" s="136"/>
      <c r="E476" s="145"/>
      <c r="F476" s="136"/>
      <c r="G476" s="136"/>
      <c r="H476" s="136"/>
      <c r="I476" s="145"/>
      <c r="J476" s="136"/>
      <c r="K476" s="136"/>
      <c r="L476" s="136"/>
      <c r="M476" s="145"/>
      <c r="N476" s="136"/>
      <c r="O476" s="136"/>
      <c r="P476" s="136"/>
      <c r="Q476" s="146"/>
      <c r="R476" s="136"/>
      <c r="S476" s="136"/>
      <c r="T476" s="136"/>
      <c r="U476" s="146"/>
      <c r="V476" s="136"/>
      <c r="W476" s="136"/>
      <c r="X476" s="136"/>
    </row>
    <row r="477" spans="1:24" ht="15.75" customHeight="1" x14ac:dyDescent="0.3">
      <c r="A477" s="144"/>
      <c r="B477" s="136"/>
      <c r="C477" s="136"/>
      <c r="D477" s="136"/>
      <c r="E477" s="145"/>
      <c r="F477" s="136"/>
      <c r="G477" s="136"/>
      <c r="H477" s="136"/>
      <c r="I477" s="145"/>
      <c r="J477" s="136"/>
      <c r="K477" s="136"/>
      <c r="L477" s="136"/>
      <c r="M477" s="145"/>
      <c r="N477" s="136"/>
      <c r="O477" s="136"/>
      <c r="P477" s="136"/>
      <c r="Q477" s="146"/>
      <c r="R477" s="136"/>
      <c r="S477" s="136"/>
      <c r="T477" s="136"/>
      <c r="U477" s="146"/>
      <c r="V477" s="136"/>
      <c r="W477" s="136"/>
      <c r="X477" s="136"/>
    </row>
    <row r="478" spans="1:24" ht="15.75" customHeight="1" x14ac:dyDescent="0.3">
      <c r="A478" s="144"/>
      <c r="B478" s="136"/>
      <c r="C478" s="136"/>
      <c r="D478" s="136"/>
      <c r="E478" s="145"/>
      <c r="F478" s="136"/>
      <c r="G478" s="136"/>
      <c r="H478" s="136"/>
      <c r="I478" s="145"/>
      <c r="J478" s="136"/>
      <c r="K478" s="136"/>
      <c r="L478" s="136"/>
      <c r="M478" s="145"/>
      <c r="N478" s="136"/>
      <c r="O478" s="136"/>
      <c r="P478" s="136"/>
      <c r="Q478" s="146"/>
      <c r="R478" s="136"/>
      <c r="S478" s="136"/>
      <c r="T478" s="136"/>
      <c r="U478" s="146"/>
      <c r="V478" s="136"/>
      <c r="W478" s="136"/>
      <c r="X478" s="136"/>
    </row>
    <row r="479" spans="1:24" ht="15.75" customHeight="1" x14ac:dyDescent="0.3">
      <c r="A479" s="144"/>
      <c r="B479" s="136"/>
      <c r="C479" s="136"/>
      <c r="D479" s="136"/>
      <c r="E479" s="145"/>
      <c r="F479" s="136"/>
      <c r="G479" s="136"/>
      <c r="H479" s="136"/>
      <c r="I479" s="145"/>
      <c r="J479" s="136"/>
      <c r="K479" s="136"/>
      <c r="L479" s="136"/>
      <c r="M479" s="145"/>
      <c r="N479" s="136"/>
      <c r="O479" s="136"/>
      <c r="P479" s="136"/>
      <c r="Q479" s="146"/>
      <c r="R479" s="136"/>
      <c r="S479" s="136"/>
      <c r="T479" s="136"/>
      <c r="U479" s="146"/>
      <c r="V479" s="136"/>
      <c r="W479" s="136"/>
      <c r="X479" s="136"/>
    </row>
    <row r="480" spans="1:24" ht="15.75" customHeight="1" x14ac:dyDescent="0.3">
      <c r="A480" s="144"/>
      <c r="B480" s="136"/>
      <c r="C480" s="136"/>
      <c r="D480" s="136"/>
      <c r="E480" s="145"/>
      <c r="F480" s="136"/>
      <c r="G480" s="136"/>
      <c r="H480" s="136"/>
      <c r="I480" s="145"/>
      <c r="J480" s="136"/>
      <c r="K480" s="136"/>
      <c r="L480" s="136"/>
      <c r="M480" s="145"/>
      <c r="N480" s="136"/>
      <c r="O480" s="136"/>
      <c r="P480" s="136"/>
      <c r="Q480" s="146"/>
      <c r="R480" s="136"/>
      <c r="S480" s="136"/>
      <c r="T480" s="136"/>
      <c r="U480" s="146"/>
      <c r="V480" s="136"/>
      <c r="W480" s="136"/>
      <c r="X480" s="136"/>
    </row>
    <row r="481" spans="1:24" ht="15.75" customHeight="1" x14ac:dyDescent="0.3">
      <c r="A481" s="144"/>
      <c r="B481" s="136"/>
      <c r="C481" s="136"/>
      <c r="D481" s="136"/>
      <c r="E481" s="145"/>
      <c r="F481" s="136"/>
      <c r="G481" s="136"/>
      <c r="H481" s="136"/>
      <c r="I481" s="145"/>
      <c r="J481" s="136"/>
      <c r="K481" s="136"/>
      <c r="L481" s="136"/>
      <c r="M481" s="145"/>
      <c r="N481" s="136"/>
      <c r="O481" s="136"/>
      <c r="P481" s="136"/>
      <c r="Q481" s="146"/>
      <c r="R481" s="136"/>
      <c r="S481" s="136"/>
      <c r="T481" s="136"/>
      <c r="U481" s="146"/>
      <c r="V481" s="136"/>
      <c r="W481" s="136"/>
      <c r="X481" s="136"/>
    </row>
    <row r="482" spans="1:24" ht="15.75" customHeight="1" x14ac:dyDescent="0.3">
      <c r="A482" s="144"/>
      <c r="B482" s="136"/>
      <c r="C482" s="136"/>
      <c r="D482" s="136"/>
      <c r="E482" s="145"/>
      <c r="F482" s="136"/>
      <c r="G482" s="136"/>
      <c r="H482" s="136"/>
      <c r="I482" s="145"/>
      <c r="J482" s="136"/>
      <c r="K482" s="136"/>
      <c r="L482" s="136"/>
      <c r="M482" s="145"/>
      <c r="N482" s="136"/>
      <c r="O482" s="136"/>
      <c r="P482" s="136"/>
      <c r="Q482" s="146"/>
      <c r="R482" s="136"/>
      <c r="S482" s="136"/>
      <c r="T482" s="136"/>
      <c r="U482" s="146"/>
      <c r="V482" s="136"/>
      <c r="W482" s="136"/>
      <c r="X482" s="136"/>
    </row>
    <row r="483" spans="1:24" ht="15.75" customHeight="1" x14ac:dyDescent="0.3">
      <c r="A483" s="144"/>
      <c r="B483" s="136"/>
      <c r="C483" s="136"/>
      <c r="D483" s="136"/>
      <c r="E483" s="145"/>
      <c r="F483" s="136"/>
      <c r="G483" s="136"/>
      <c r="H483" s="136"/>
      <c r="I483" s="145"/>
      <c r="J483" s="136"/>
      <c r="K483" s="136"/>
      <c r="L483" s="136"/>
      <c r="M483" s="145"/>
      <c r="N483" s="136"/>
      <c r="O483" s="136"/>
      <c r="P483" s="136"/>
      <c r="Q483" s="146"/>
      <c r="R483" s="136"/>
      <c r="S483" s="136"/>
      <c r="T483" s="136"/>
      <c r="U483" s="146"/>
      <c r="V483" s="136"/>
      <c r="W483" s="136"/>
      <c r="X483" s="136"/>
    </row>
    <row r="484" spans="1:24" ht="15.75" customHeight="1" x14ac:dyDescent="0.3">
      <c r="A484" s="144"/>
      <c r="B484" s="136"/>
      <c r="C484" s="136"/>
      <c r="D484" s="136"/>
      <c r="E484" s="145"/>
      <c r="F484" s="136"/>
      <c r="G484" s="136"/>
      <c r="H484" s="136"/>
      <c r="I484" s="145"/>
      <c r="J484" s="136"/>
      <c r="K484" s="136"/>
      <c r="L484" s="136"/>
      <c r="M484" s="145"/>
      <c r="N484" s="136"/>
      <c r="O484" s="136"/>
      <c r="P484" s="136"/>
      <c r="Q484" s="146"/>
      <c r="R484" s="136"/>
      <c r="S484" s="136"/>
      <c r="T484" s="136"/>
      <c r="U484" s="146"/>
      <c r="V484" s="136"/>
      <c r="W484" s="136"/>
      <c r="X484" s="136"/>
    </row>
    <row r="485" spans="1:24" ht="15.75" customHeight="1" x14ac:dyDescent="0.3">
      <c r="A485" s="144"/>
      <c r="B485" s="136"/>
      <c r="C485" s="136"/>
      <c r="D485" s="136"/>
      <c r="E485" s="145"/>
      <c r="F485" s="136"/>
      <c r="G485" s="136"/>
      <c r="H485" s="136"/>
      <c r="I485" s="145"/>
      <c r="J485" s="136"/>
      <c r="K485" s="136"/>
      <c r="L485" s="136"/>
      <c r="M485" s="145"/>
      <c r="N485" s="136"/>
      <c r="O485" s="136"/>
      <c r="P485" s="136"/>
      <c r="Q485" s="146"/>
      <c r="R485" s="136"/>
      <c r="S485" s="136"/>
      <c r="T485" s="136"/>
      <c r="U485" s="146"/>
      <c r="V485" s="136"/>
      <c r="W485" s="136"/>
      <c r="X485" s="136"/>
    </row>
    <row r="486" spans="1:24" ht="15.75" customHeight="1" x14ac:dyDescent="0.3">
      <c r="A486" s="144"/>
      <c r="B486" s="136"/>
      <c r="C486" s="136"/>
      <c r="D486" s="136"/>
      <c r="E486" s="145"/>
      <c r="F486" s="136"/>
      <c r="G486" s="136"/>
      <c r="H486" s="136"/>
      <c r="I486" s="145"/>
      <c r="J486" s="136"/>
      <c r="K486" s="136"/>
      <c r="L486" s="136"/>
      <c r="M486" s="145"/>
      <c r="N486" s="136"/>
      <c r="O486" s="136"/>
      <c r="P486" s="136"/>
      <c r="Q486" s="146"/>
      <c r="R486" s="136"/>
      <c r="S486" s="136"/>
      <c r="T486" s="136"/>
      <c r="U486" s="146"/>
      <c r="V486" s="136"/>
      <c r="W486" s="136"/>
      <c r="X486" s="136"/>
    </row>
    <row r="487" spans="1:24" ht="15.75" customHeight="1" x14ac:dyDescent="0.3">
      <c r="A487" s="144"/>
      <c r="B487" s="136"/>
      <c r="C487" s="136"/>
      <c r="D487" s="136"/>
      <c r="E487" s="145"/>
      <c r="F487" s="136"/>
      <c r="G487" s="136"/>
      <c r="H487" s="136"/>
      <c r="I487" s="145"/>
      <c r="J487" s="136"/>
      <c r="K487" s="136"/>
      <c r="L487" s="136"/>
      <c r="M487" s="145"/>
      <c r="N487" s="136"/>
      <c r="O487" s="136"/>
      <c r="P487" s="136"/>
      <c r="Q487" s="146"/>
      <c r="R487" s="136"/>
      <c r="S487" s="136"/>
      <c r="T487" s="136"/>
      <c r="U487" s="146"/>
      <c r="V487" s="136"/>
      <c r="W487" s="136"/>
      <c r="X487" s="136"/>
    </row>
    <row r="488" spans="1:24" ht="15.75" customHeight="1" x14ac:dyDescent="0.3">
      <c r="A488" s="144"/>
      <c r="B488" s="136"/>
      <c r="C488" s="136"/>
      <c r="D488" s="136"/>
      <c r="E488" s="145"/>
      <c r="F488" s="136"/>
      <c r="G488" s="136"/>
      <c r="H488" s="136"/>
      <c r="I488" s="145"/>
      <c r="J488" s="136"/>
      <c r="K488" s="136"/>
      <c r="L488" s="136"/>
      <c r="M488" s="145"/>
      <c r="N488" s="136"/>
      <c r="O488" s="136"/>
      <c r="P488" s="136"/>
      <c r="Q488" s="146"/>
      <c r="R488" s="136"/>
      <c r="S488" s="136"/>
      <c r="T488" s="136"/>
      <c r="U488" s="146"/>
      <c r="V488" s="136"/>
      <c r="W488" s="136"/>
      <c r="X488" s="136"/>
    </row>
    <row r="489" spans="1:24" ht="15.75" customHeight="1" x14ac:dyDescent="0.3">
      <c r="A489" s="144"/>
      <c r="B489" s="136"/>
      <c r="C489" s="136"/>
      <c r="D489" s="136"/>
      <c r="E489" s="145"/>
      <c r="F489" s="136"/>
      <c r="G489" s="136"/>
      <c r="H489" s="136"/>
      <c r="I489" s="145"/>
      <c r="J489" s="136"/>
      <c r="K489" s="136"/>
      <c r="L489" s="136"/>
      <c r="M489" s="145"/>
      <c r="N489" s="136"/>
      <c r="O489" s="136"/>
      <c r="P489" s="136"/>
      <c r="Q489" s="146"/>
      <c r="R489" s="136"/>
      <c r="S489" s="136"/>
      <c r="T489" s="136"/>
      <c r="U489" s="146"/>
      <c r="V489" s="136"/>
      <c r="W489" s="136"/>
      <c r="X489" s="136"/>
    </row>
    <row r="490" spans="1:24" ht="15.75" customHeight="1" x14ac:dyDescent="0.3">
      <c r="A490" s="144"/>
      <c r="B490" s="136"/>
      <c r="C490" s="136"/>
      <c r="D490" s="136"/>
      <c r="E490" s="145"/>
      <c r="F490" s="136"/>
      <c r="G490" s="136"/>
      <c r="H490" s="136"/>
      <c r="I490" s="145"/>
      <c r="J490" s="136"/>
      <c r="K490" s="136"/>
      <c r="L490" s="136"/>
      <c r="M490" s="145"/>
      <c r="N490" s="136"/>
      <c r="O490" s="136"/>
      <c r="P490" s="136"/>
      <c r="Q490" s="146"/>
      <c r="R490" s="136"/>
      <c r="S490" s="136"/>
      <c r="T490" s="136"/>
      <c r="U490" s="146"/>
      <c r="V490" s="136"/>
      <c r="W490" s="136"/>
      <c r="X490" s="136"/>
    </row>
    <row r="491" spans="1:24" ht="15.75" customHeight="1" x14ac:dyDescent="0.3">
      <c r="A491" s="144"/>
      <c r="B491" s="136"/>
      <c r="C491" s="136"/>
      <c r="D491" s="136"/>
      <c r="E491" s="145"/>
      <c r="F491" s="136"/>
      <c r="G491" s="136"/>
      <c r="H491" s="136"/>
      <c r="I491" s="145"/>
      <c r="J491" s="136"/>
      <c r="K491" s="136"/>
      <c r="L491" s="136"/>
      <c r="M491" s="145"/>
      <c r="N491" s="136"/>
      <c r="O491" s="136"/>
      <c r="P491" s="136"/>
      <c r="Q491" s="146"/>
      <c r="R491" s="136"/>
      <c r="S491" s="136"/>
      <c r="T491" s="136"/>
      <c r="U491" s="146"/>
      <c r="V491" s="136"/>
      <c r="W491" s="136"/>
      <c r="X491" s="136"/>
    </row>
    <row r="492" spans="1:24" ht="15.75" customHeight="1" x14ac:dyDescent="0.3">
      <c r="A492" s="144"/>
      <c r="B492" s="136"/>
      <c r="C492" s="136"/>
      <c r="D492" s="136"/>
      <c r="E492" s="145"/>
      <c r="F492" s="136"/>
      <c r="G492" s="136"/>
      <c r="H492" s="136"/>
      <c r="I492" s="145"/>
      <c r="J492" s="136"/>
      <c r="K492" s="136"/>
      <c r="L492" s="136"/>
      <c r="M492" s="145"/>
      <c r="N492" s="136"/>
      <c r="O492" s="136"/>
      <c r="P492" s="136"/>
      <c r="Q492" s="146"/>
      <c r="R492" s="136"/>
      <c r="S492" s="136"/>
      <c r="T492" s="136"/>
      <c r="U492" s="146"/>
      <c r="V492" s="136"/>
      <c r="W492" s="136"/>
      <c r="X492" s="136"/>
    </row>
    <row r="493" spans="1:24" ht="15.75" customHeight="1" x14ac:dyDescent="0.3">
      <c r="A493" s="144"/>
      <c r="B493" s="136"/>
      <c r="C493" s="136"/>
      <c r="D493" s="136"/>
      <c r="E493" s="145"/>
      <c r="F493" s="136"/>
      <c r="G493" s="136"/>
      <c r="H493" s="136"/>
      <c r="I493" s="145"/>
      <c r="J493" s="136"/>
      <c r="K493" s="136"/>
      <c r="L493" s="136"/>
      <c r="M493" s="145"/>
      <c r="N493" s="136"/>
      <c r="O493" s="136"/>
      <c r="P493" s="136"/>
      <c r="Q493" s="146"/>
      <c r="R493" s="136"/>
      <c r="S493" s="136"/>
      <c r="T493" s="136"/>
      <c r="U493" s="146"/>
      <c r="V493" s="136"/>
      <c r="W493" s="136"/>
      <c r="X493" s="136"/>
    </row>
    <row r="494" spans="1:24" ht="15.75" customHeight="1" x14ac:dyDescent="0.3">
      <c r="A494" s="144"/>
      <c r="B494" s="136"/>
      <c r="C494" s="136"/>
      <c r="D494" s="136"/>
      <c r="E494" s="145"/>
      <c r="F494" s="136"/>
      <c r="G494" s="136"/>
      <c r="H494" s="136"/>
      <c r="I494" s="145"/>
      <c r="J494" s="136"/>
      <c r="K494" s="136"/>
      <c r="L494" s="136"/>
      <c r="M494" s="145"/>
      <c r="N494" s="136"/>
      <c r="O494" s="136"/>
      <c r="P494" s="136"/>
      <c r="Q494" s="146"/>
      <c r="R494" s="136"/>
      <c r="S494" s="136"/>
      <c r="T494" s="136"/>
      <c r="U494" s="146"/>
      <c r="V494" s="136"/>
      <c r="W494" s="136"/>
      <c r="X494" s="136"/>
    </row>
    <row r="495" spans="1:24" ht="15.75" customHeight="1" x14ac:dyDescent="0.3">
      <c r="A495" s="144"/>
      <c r="B495" s="136"/>
      <c r="C495" s="136"/>
      <c r="D495" s="136"/>
      <c r="E495" s="145"/>
      <c r="F495" s="136"/>
      <c r="G495" s="136"/>
      <c r="H495" s="136"/>
      <c r="I495" s="145"/>
      <c r="J495" s="136"/>
      <c r="K495" s="136"/>
      <c r="L495" s="136"/>
      <c r="M495" s="145"/>
      <c r="N495" s="136"/>
      <c r="O495" s="136"/>
      <c r="P495" s="136"/>
      <c r="Q495" s="146"/>
      <c r="R495" s="136"/>
      <c r="S495" s="136"/>
      <c r="T495" s="136"/>
      <c r="U495" s="146"/>
      <c r="V495" s="136"/>
      <c r="W495" s="136"/>
      <c r="X495" s="136"/>
    </row>
    <row r="496" spans="1:24" ht="15.75" customHeight="1" x14ac:dyDescent="0.3">
      <c r="A496" s="144"/>
      <c r="B496" s="136"/>
      <c r="C496" s="136"/>
      <c r="D496" s="136"/>
      <c r="E496" s="145"/>
      <c r="F496" s="136"/>
      <c r="G496" s="136"/>
      <c r="H496" s="136"/>
      <c r="I496" s="145"/>
      <c r="J496" s="136"/>
      <c r="K496" s="136"/>
      <c r="L496" s="136"/>
      <c r="M496" s="145"/>
      <c r="N496" s="136"/>
      <c r="O496" s="136"/>
      <c r="P496" s="136"/>
      <c r="Q496" s="146"/>
      <c r="R496" s="136"/>
      <c r="S496" s="136"/>
      <c r="T496" s="136"/>
      <c r="U496" s="146"/>
      <c r="V496" s="136"/>
      <c r="W496" s="136"/>
      <c r="X496" s="136"/>
    </row>
    <row r="497" spans="1:24" ht="15.75" customHeight="1" x14ac:dyDescent="0.3">
      <c r="A497" s="144"/>
      <c r="B497" s="136"/>
      <c r="C497" s="136"/>
      <c r="D497" s="136"/>
      <c r="E497" s="145"/>
      <c r="F497" s="136"/>
      <c r="G497" s="136"/>
      <c r="H497" s="136"/>
      <c r="I497" s="145"/>
      <c r="J497" s="136"/>
      <c r="K497" s="136"/>
      <c r="L497" s="136"/>
      <c r="M497" s="145"/>
      <c r="N497" s="136"/>
      <c r="O497" s="136"/>
      <c r="P497" s="136"/>
      <c r="Q497" s="146"/>
      <c r="R497" s="136"/>
      <c r="S497" s="136"/>
      <c r="T497" s="136"/>
      <c r="U497" s="146"/>
      <c r="V497" s="136"/>
      <c r="W497" s="136"/>
      <c r="X497" s="136"/>
    </row>
    <row r="498" spans="1:24" ht="15.75" customHeight="1" x14ac:dyDescent="0.3">
      <c r="A498" s="144"/>
      <c r="B498" s="136"/>
      <c r="C498" s="136"/>
      <c r="D498" s="136"/>
      <c r="E498" s="145"/>
      <c r="F498" s="136"/>
      <c r="G498" s="136"/>
      <c r="H498" s="136"/>
      <c r="I498" s="145"/>
      <c r="J498" s="136"/>
      <c r="K498" s="136"/>
      <c r="L498" s="136"/>
      <c r="M498" s="145"/>
      <c r="N498" s="136"/>
      <c r="O498" s="136"/>
      <c r="P498" s="136"/>
      <c r="Q498" s="146"/>
      <c r="R498" s="136"/>
      <c r="S498" s="136"/>
      <c r="T498" s="136"/>
      <c r="U498" s="146"/>
      <c r="V498" s="136"/>
      <c r="W498" s="136"/>
      <c r="X498" s="136"/>
    </row>
    <row r="499" spans="1:24" ht="15.75" customHeight="1" x14ac:dyDescent="0.3">
      <c r="A499" s="144"/>
      <c r="B499" s="136"/>
      <c r="C499" s="136"/>
      <c r="D499" s="136"/>
      <c r="E499" s="145"/>
      <c r="F499" s="136"/>
      <c r="G499" s="136"/>
      <c r="H499" s="136"/>
      <c r="I499" s="145"/>
      <c r="J499" s="136"/>
      <c r="K499" s="136"/>
      <c r="L499" s="136"/>
      <c r="M499" s="145"/>
      <c r="N499" s="136"/>
      <c r="O499" s="136"/>
      <c r="P499" s="136"/>
      <c r="Q499" s="146"/>
      <c r="R499" s="136"/>
      <c r="S499" s="136"/>
      <c r="T499" s="136"/>
      <c r="U499" s="146"/>
      <c r="V499" s="136"/>
      <c r="W499" s="136"/>
      <c r="X499" s="136"/>
    </row>
    <row r="500" spans="1:24" ht="15.75" customHeight="1" x14ac:dyDescent="0.3">
      <c r="A500" s="144"/>
      <c r="B500" s="136"/>
      <c r="C500" s="136"/>
      <c r="D500" s="136"/>
      <c r="E500" s="145"/>
      <c r="F500" s="136"/>
      <c r="G500" s="136"/>
      <c r="H500" s="136"/>
      <c r="I500" s="145"/>
      <c r="J500" s="136"/>
      <c r="K500" s="136"/>
      <c r="L500" s="136"/>
      <c r="M500" s="145"/>
      <c r="N500" s="136"/>
      <c r="O500" s="136"/>
      <c r="P500" s="136"/>
      <c r="Q500" s="146"/>
      <c r="R500" s="136"/>
      <c r="S500" s="136"/>
      <c r="T500" s="136"/>
      <c r="U500" s="146"/>
      <c r="V500" s="136"/>
      <c r="W500" s="136"/>
      <c r="X500" s="136"/>
    </row>
    <row r="501" spans="1:24" ht="15.75" customHeight="1" x14ac:dyDescent="0.3">
      <c r="A501" s="144"/>
      <c r="B501" s="136"/>
      <c r="C501" s="136"/>
      <c r="D501" s="136"/>
      <c r="E501" s="145"/>
      <c r="F501" s="136"/>
      <c r="G501" s="136"/>
      <c r="H501" s="136"/>
      <c r="I501" s="145"/>
      <c r="J501" s="136"/>
      <c r="K501" s="136"/>
      <c r="L501" s="136"/>
      <c r="M501" s="145"/>
      <c r="N501" s="136"/>
      <c r="O501" s="136"/>
      <c r="P501" s="136"/>
      <c r="Q501" s="146"/>
      <c r="R501" s="136"/>
      <c r="S501" s="136"/>
      <c r="T501" s="136"/>
      <c r="U501" s="146"/>
      <c r="V501" s="136"/>
      <c r="W501" s="136"/>
      <c r="X501" s="136"/>
    </row>
    <row r="502" spans="1:24" ht="15.75" customHeight="1" x14ac:dyDescent="0.3">
      <c r="A502" s="144"/>
      <c r="B502" s="136"/>
      <c r="C502" s="136"/>
      <c r="D502" s="136"/>
      <c r="E502" s="145"/>
      <c r="F502" s="136"/>
      <c r="G502" s="136"/>
      <c r="H502" s="136"/>
      <c r="I502" s="145"/>
      <c r="J502" s="136"/>
      <c r="K502" s="136"/>
      <c r="L502" s="136"/>
      <c r="M502" s="145"/>
      <c r="N502" s="136"/>
      <c r="O502" s="136"/>
      <c r="P502" s="136"/>
      <c r="Q502" s="146"/>
      <c r="R502" s="136"/>
      <c r="S502" s="136"/>
      <c r="T502" s="136"/>
      <c r="U502" s="146"/>
      <c r="V502" s="136"/>
      <c r="W502" s="136"/>
      <c r="X502" s="136"/>
    </row>
    <row r="503" spans="1:24" ht="15.75" customHeight="1" x14ac:dyDescent="0.3">
      <c r="A503" s="144"/>
      <c r="B503" s="136"/>
      <c r="C503" s="136"/>
      <c r="D503" s="136"/>
      <c r="E503" s="145"/>
      <c r="F503" s="136"/>
      <c r="G503" s="136"/>
      <c r="H503" s="136"/>
      <c r="I503" s="145"/>
      <c r="J503" s="136"/>
      <c r="K503" s="136"/>
      <c r="L503" s="136"/>
      <c r="M503" s="145"/>
      <c r="N503" s="136"/>
      <c r="O503" s="136"/>
      <c r="P503" s="136"/>
      <c r="Q503" s="146"/>
      <c r="R503" s="136"/>
      <c r="S503" s="136"/>
      <c r="T503" s="136"/>
      <c r="U503" s="146"/>
      <c r="V503" s="136"/>
      <c r="W503" s="136"/>
      <c r="X503" s="136"/>
    </row>
    <row r="504" spans="1:24" ht="15.75" customHeight="1" x14ac:dyDescent="0.3">
      <c r="A504" s="144"/>
      <c r="B504" s="136"/>
      <c r="C504" s="136"/>
      <c r="D504" s="136"/>
      <c r="E504" s="145"/>
      <c r="F504" s="136"/>
      <c r="G504" s="136"/>
      <c r="H504" s="136"/>
      <c r="I504" s="145"/>
      <c r="J504" s="136"/>
      <c r="K504" s="136"/>
      <c r="L504" s="136"/>
      <c r="M504" s="145"/>
      <c r="N504" s="136"/>
      <c r="O504" s="136"/>
      <c r="P504" s="136"/>
      <c r="Q504" s="146"/>
      <c r="R504" s="136"/>
      <c r="S504" s="136"/>
      <c r="T504" s="136"/>
      <c r="U504" s="146"/>
      <c r="V504" s="136"/>
      <c r="W504" s="136"/>
      <c r="X504" s="136"/>
    </row>
    <row r="505" spans="1:24" ht="15.75" customHeight="1" x14ac:dyDescent="0.3">
      <c r="A505" s="144"/>
      <c r="B505" s="136"/>
      <c r="C505" s="136"/>
      <c r="D505" s="136"/>
      <c r="E505" s="145"/>
      <c r="F505" s="136"/>
      <c r="G505" s="136"/>
      <c r="H505" s="136"/>
      <c r="I505" s="145"/>
      <c r="J505" s="136"/>
      <c r="K505" s="136"/>
      <c r="L505" s="136"/>
      <c r="M505" s="145"/>
      <c r="N505" s="136"/>
      <c r="O505" s="136"/>
      <c r="P505" s="136"/>
      <c r="Q505" s="146"/>
      <c r="R505" s="136"/>
      <c r="S505" s="136"/>
      <c r="T505" s="136"/>
      <c r="U505" s="146"/>
      <c r="V505" s="136"/>
      <c r="W505" s="136"/>
      <c r="X505" s="136"/>
    </row>
    <row r="506" spans="1:24" ht="15.75" customHeight="1" x14ac:dyDescent="0.3">
      <c r="A506" s="144"/>
      <c r="B506" s="136"/>
      <c r="C506" s="136"/>
      <c r="D506" s="136"/>
      <c r="E506" s="145"/>
      <c r="F506" s="136"/>
      <c r="G506" s="136"/>
      <c r="H506" s="136"/>
      <c r="I506" s="145"/>
      <c r="J506" s="136"/>
      <c r="K506" s="136"/>
      <c r="L506" s="136"/>
      <c r="M506" s="145"/>
      <c r="N506" s="136"/>
      <c r="O506" s="136"/>
      <c r="P506" s="136"/>
      <c r="Q506" s="146"/>
      <c r="R506" s="136"/>
      <c r="S506" s="136"/>
      <c r="T506" s="136"/>
      <c r="U506" s="146"/>
      <c r="V506" s="136"/>
      <c r="W506" s="136"/>
      <c r="X506" s="136"/>
    </row>
    <row r="507" spans="1:24" ht="15.75" customHeight="1" x14ac:dyDescent="0.3">
      <c r="A507" s="144"/>
      <c r="B507" s="136"/>
      <c r="C507" s="136"/>
      <c r="D507" s="136"/>
      <c r="E507" s="145"/>
      <c r="F507" s="136"/>
      <c r="G507" s="136"/>
      <c r="H507" s="136"/>
      <c r="I507" s="145"/>
      <c r="J507" s="136"/>
      <c r="K507" s="136"/>
      <c r="L507" s="136"/>
      <c r="M507" s="145"/>
      <c r="N507" s="136"/>
      <c r="O507" s="136"/>
      <c r="P507" s="136"/>
      <c r="Q507" s="146"/>
      <c r="R507" s="136"/>
      <c r="S507" s="136"/>
      <c r="T507" s="136"/>
      <c r="U507" s="146"/>
      <c r="V507" s="136"/>
      <c r="W507" s="136"/>
      <c r="X507" s="136"/>
    </row>
    <row r="508" spans="1:24" ht="15.75" customHeight="1" x14ac:dyDescent="0.3">
      <c r="A508" s="144"/>
      <c r="B508" s="136"/>
      <c r="C508" s="136"/>
      <c r="D508" s="136"/>
      <c r="E508" s="145"/>
      <c r="F508" s="136"/>
      <c r="G508" s="136"/>
      <c r="H508" s="136"/>
      <c r="I508" s="145"/>
      <c r="J508" s="136"/>
      <c r="K508" s="136"/>
      <c r="L508" s="136"/>
      <c r="M508" s="145"/>
      <c r="N508" s="136"/>
      <c r="O508" s="136"/>
      <c r="P508" s="136"/>
      <c r="Q508" s="146"/>
      <c r="R508" s="136"/>
      <c r="S508" s="136"/>
      <c r="T508" s="136"/>
      <c r="U508" s="146"/>
      <c r="V508" s="136"/>
      <c r="W508" s="136"/>
      <c r="X508" s="136"/>
    </row>
    <row r="509" spans="1:24" ht="15.75" customHeight="1" x14ac:dyDescent="0.3">
      <c r="A509" s="144"/>
      <c r="B509" s="136"/>
      <c r="C509" s="136"/>
      <c r="D509" s="136"/>
      <c r="E509" s="145"/>
      <c r="F509" s="136"/>
      <c r="G509" s="136"/>
      <c r="H509" s="136"/>
      <c r="I509" s="145"/>
      <c r="J509" s="136"/>
      <c r="K509" s="136"/>
      <c r="L509" s="136"/>
      <c r="M509" s="145"/>
      <c r="N509" s="136"/>
      <c r="O509" s="136"/>
      <c r="P509" s="136"/>
      <c r="Q509" s="146"/>
      <c r="R509" s="136"/>
      <c r="S509" s="136"/>
      <c r="T509" s="136"/>
      <c r="U509" s="146"/>
      <c r="V509" s="136"/>
      <c r="W509" s="136"/>
      <c r="X509" s="136"/>
    </row>
    <row r="510" spans="1:24" ht="15.75" customHeight="1" x14ac:dyDescent="0.3">
      <c r="A510" s="144"/>
      <c r="B510" s="136"/>
      <c r="C510" s="136"/>
      <c r="D510" s="136"/>
      <c r="E510" s="145"/>
      <c r="F510" s="136"/>
      <c r="G510" s="136"/>
      <c r="H510" s="136"/>
      <c r="I510" s="145"/>
      <c r="J510" s="136"/>
      <c r="K510" s="136"/>
      <c r="L510" s="136"/>
      <c r="M510" s="145"/>
      <c r="N510" s="136"/>
      <c r="O510" s="136"/>
      <c r="P510" s="136"/>
      <c r="Q510" s="146"/>
      <c r="R510" s="136"/>
      <c r="S510" s="136"/>
      <c r="T510" s="136"/>
      <c r="U510" s="146"/>
      <c r="V510" s="136"/>
      <c r="W510" s="136"/>
      <c r="X510" s="136"/>
    </row>
    <row r="511" spans="1:24" ht="15.75" customHeight="1" x14ac:dyDescent="0.3">
      <c r="A511" s="144"/>
      <c r="B511" s="136"/>
      <c r="C511" s="136"/>
      <c r="D511" s="136"/>
      <c r="E511" s="145"/>
      <c r="F511" s="136"/>
      <c r="G511" s="136"/>
      <c r="H511" s="136"/>
      <c r="I511" s="145"/>
      <c r="J511" s="136"/>
      <c r="K511" s="136"/>
      <c r="L511" s="136"/>
      <c r="M511" s="145"/>
      <c r="N511" s="136"/>
      <c r="O511" s="136"/>
      <c r="P511" s="136"/>
      <c r="Q511" s="146"/>
      <c r="R511" s="136"/>
      <c r="S511" s="136"/>
      <c r="T511" s="136"/>
      <c r="U511" s="146"/>
      <c r="V511" s="136"/>
      <c r="W511" s="136"/>
      <c r="X511" s="136"/>
    </row>
    <row r="512" spans="1:24" ht="15.75" customHeight="1" x14ac:dyDescent="0.3">
      <c r="A512" s="144"/>
      <c r="B512" s="136"/>
      <c r="C512" s="136"/>
      <c r="D512" s="136"/>
      <c r="E512" s="145"/>
      <c r="F512" s="136"/>
      <c r="G512" s="136"/>
      <c r="H512" s="136"/>
      <c r="I512" s="145"/>
      <c r="J512" s="136"/>
      <c r="K512" s="136"/>
      <c r="L512" s="136"/>
      <c r="M512" s="145"/>
      <c r="N512" s="136"/>
      <c r="O512" s="136"/>
      <c r="P512" s="136"/>
      <c r="Q512" s="146"/>
      <c r="R512" s="136"/>
      <c r="S512" s="136"/>
      <c r="T512" s="136"/>
      <c r="U512" s="146"/>
      <c r="V512" s="136"/>
      <c r="W512" s="136"/>
      <c r="X512" s="136"/>
    </row>
    <row r="513" spans="1:24" ht="15.75" customHeight="1" x14ac:dyDescent="0.3">
      <c r="A513" s="144"/>
      <c r="B513" s="136"/>
      <c r="C513" s="136"/>
      <c r="D513" s="136"/>
      <c r="E513" s="145"/>
      <c r="F513" s="136"/>
      <c r="G513" s="136"/>
      <c r="H513" s="136"/>
      <c r="I513" s="145"/>
      <c r="J513" s="136"/>
      <c r="K513" s="136"/>
      <c r="L513" s="136"/>
      <c r="M513" s="145"/>
      <c r="N513" s="136"/>
      <c r="O513" s="136"/>
      <c r="P513" s="136"/>
      <c r="Q513" s="146"/>
      <c r="R513" s="136"/>
      <c r="S513" s="136"/>
      <c r="T513" s="136"/>
      <c r="U513" s="146"/>
      <c r="V513" s="136"/>
      <c r="W513" s="136"/>
      <c r="X513" s="136"/>
    </row>
    <row r="514" spans="1:24" ht="15.75" customHeight="1" x14ac:dyDescent="0.3">
      <c r="A514" s="144"/>
      <c r="B514" s="136"/>
      <c r="C514" s="136"/>
      <c r="D514" s="136"/>
      <c r="E514" s="145"/>
      <c r="F514" s="136"/>
      <c r="G514" s="136"/>
      <c r="H514" s="136"/>
      <c r="I514" s="145"/>
      <c r="J514" s="136"/>
      <c r="K514" s="136"/>
      <c r="L514" s="136"/>
      <c r="M514" s="145"/>
      <c r="N514" s="136"/>
      <c r="O514" s="136"/>
      <c r="P514" s="136"/>
      <c r="Q514" s="146"/>
      <c r="R514" s="136"/>
      <c r="S514" s="136"/>
      <c r="T514" s="136"/>
      <c r="U514" s="146"/>
      <c r="V514" s="136"/>
      <c r="W514" s="136"/>
      <c r="X514" s="136"/>
    </row>
    <row r="515" spans="1:24" ht="15.75" customHeight="1" x14ac:dyDescent="0.3">
      <c r="A515" s="144"/>
      <c r="B515" s="136"/>
      <c r="C515" s="136"/>
      <c r="D515" s="136"/>
      <c r="E515" s="145"/>
      <c r="F515" s="136"/>
      <c r="G515" s="136"/>
      <c r="H515" s="136"/>
      <c r="I515" s="145"/>
      <c r="J515" s="136"/>
      <c r="K515" s="136"/>
      <c r="L515" s="136"/>
      <c r="M515" s="145"/>
      <c r="N515" s="136"/>
      <c r="O515" s="136"/>
      <c r="P515" s="136"/>
      <c r="Q515" s="146"/>
      <c r="R515" s="136"/>
      <c r="S515" s="136"/>
      <c r="T515" s="136"/>
      <c r="U515" s="146"/>
      <c r="V515" s="136"/>
      <c r="W515" s="136"/>
      <c r="X515" s="136"/>
    </row>
    <row r="516" spans="1:24" ht="15.75" customHeight="1" x14ac:dyDescent="0.3">
      <c r="A516" s="144"/>
      <c r="B516" s="136"/>
      <c r="C516" s="136"/>
      <c r="D516" s="136"/>
      <c r="E516" s="145"/>
      <c r="F516" s="136"/>
      <c r="G516" s="136"/>
      <c r="H516" s="136"/>
      <c r="I516" s="145"/>
      <c r="J516" s="136"/>
      <c r="K516" s="136"/>
      <c r="L516" s="136"/>
      <c r="M516" s="145"/>
      <c r="N516" s="136"/>
      <c r="O516" s="136"/>
      <c r="P516" s="136"/>
      <c r="Q516" s="146"/>
      <c r="R516" s="136"/>
      <c r="S516" s="136"/>
      <c r="T516" s="136"/>
      <c r="U516" s="146"/>
      <c r="V516" s="136"/>
      <c r="W516" s="136"/>
      <c r="X516" s="136"/>
    </row>
    <row r="517" spans="1:24" ht="15.75" customHeight="1" x14ac:dyDescent="0.3">
      <c r="A517" s="144"/>
      <c r="B517" s="136"/>
      <c r="C517" s="136"/>
      <c r="D517" s="136"/>
      <c r="E517" s="145"/>
      <c r="F517" s="136"/>
      <c r="G517" s="136"/>
      <c r="H517" s="136"/>
      <c r="I517" s="145"/>
      <c r="J517" s="136"/>
      <c r="K517" s="136"/>
      <c r="L517" s="136"/>
      <c r="M517" s="145"/>
      <c r="N517" s="136"/>
      <c r="O517" s="136"/>
      <c r="P517" s="136"/>
      <c r="Q517" s="146"/>
      <c r="R517" s="136"/>
      <c r="S517" s="136"/>
      <c r="T517" s="136"/>
      <c r="U517" s="146"/>
      <c r="V517" s="136"/>
      <c r="W517" s="136"/>
      <c r="X517" s="136"/>
    </row>
    <row r="518" spans="1:24" ht="15.75" customHeight="1" x14ac:dyDescent="0.3">
      <c r="A518" s="144"/>
      <c r="B518" s="136"/>
      <c r="C518" s="136"/>
      <c r="D518" s="136"/>
      <c r="E518" s="145"/>
      <c r="F518" s="136"/>
      <c r="G518" s="136"/>
      <c r="H518" s="136"/>
      <c r="I518" s="145"/>
      <c r="J518" s="136"/>
      <c r="K518" s="136"/>
      <c r="L518" s="136"/>
      <c r="M518" s="145"/>
      <c r="N518" s="136"/>
      <c r="O518" s="136"/>
      <c r="P518" s="136"/>
      <c r="Q518" s="146"/>
      <c r="R518" s="136"/>
      <c r="S518" s="136"/>
      <c r="T518" s="136"/>
      <c r="U518" s="146"/>
      <c r="V518" s="136"/>
      <c r="W518" s="136"/>
      <c r="X518" s="136"/>
    </row>
    <row r="519" spans="1:24" ht="15.75" customHeight="1" x14ac:dyDescent="0.3">
      <c r="A519" s="144"/>
      <c r="B519" s="136"/>
      <c r="C519" s="136"/>
      <c r="D519" s="136"/>
      <c r="E519" s="145"/>
      <c r="F519" s="136"/>
      <c r="G519" s="136"/>
      <c r="H519" s="136"/>
      <c r="I519" s="145"/>
      <c r="J519" s="136"/>
      <c r="K519" s="136"/>
      <c r="L519" s="136"/>
      <c r="M519" s="145"/>
      <c r="N519" s="136"/>
      <c r="O519" s="136"/>
      <c r="P519" s="136"/>
      <c r="Q519" s="146"/>
      <c r="R519" s="136"/>
      <c r="S519" s="136"/>
      <c r="T519" s="136"/>
      <c r="U519" s="146"/>
      <c r="V519" s="136"/>
      <c r="W519" s="136"/>
      <c r="X519" s="136"/>
    </row>
    <row r="520" spans="1:24" ht="15.75" customHeight="1" x14ac:dyDescent="0.3">
      <c r="A520" s="144"/>
      <c r="B520" s="136"/>
      <c r="C520" s="136"/>
      <c r="D520" s="136"/>
      <c r="E520" s="145"/>
      <c r="F520" s="136"/>
      <c r="G520" s="136"/>
      <c r="H520" s="136"/>
      <c r="I520" s="145"/>
      <c r="J520" s="136"/>
      <c r="K520" s="136"/>
      <c r="L520" s="136"/>
      <c r="M520" s="145"/>
      <c r="N520" s="136"/>
      <c r="O520" s="136"/>
      <c r="P520" s="136"/>
      <c r="Q520" s="146"/>
      <c r="R520" s="136"/>
      <c r="S520" s="136"/>
      <c r="T520" s="136"/>
      <c r="U520" s="146"/>
      <c r="V520" s="136"/>
      <c r="W520" s="136"/>
      <c r="X520" s="136"/>
    </row>
    <row r="521" spans="1:24" ht="15.75" customHeight="1" x14ac:dyDescent="0.3">
      <c r="A521" s="144"/>
      <c r="B521" s="136"/>
      <c r="C521" s="136"/>
      <c r="D521" s="136"/>
      <c r="E521" s="145"/>
      <c r="F521" s="136"/>
      <c r="G521" s="136"/>
      <c r="H521" s="136"/>
      <c r="I521" s="145"/>
      <c r="J521" s="136"/>
      <c r="K521" s="136"/>
      <c r="L521" s="136"/>
      <c r="M521" s="145"/>
      <c r="N521" s="136"/>
      <c r="O521" s="136"/>
      <c r="P521" s="136"/>
      <c r="Q521" s="146"/>
      <c r="R521" s="136"/>
      <c r="S521" s="136"/>
      <c r="T521" s="136"/>
      <c r="U521" s="146"/>
      <c r="V521" s="136"/>
      <c r="W521" s="136"/>
      <c r="X521" s="136"/>
    </row>
    <row r="522" spans="1:24" ht="15.75" customHeight="1" x14ac:dyDescent="0.3">
      <c r="A522" s="144"/>
      <c r="B522" s="136"/>
      <c r="C522" s="136"/>
      <c r="D522" s="136"/>
      <c r="E522" s="145"/>
      <c r="F522" s="136"/>
      <c r="G522" s="136"/>
      <c r="H522" s="136"/>
      <c r="I522" s="145"/>
      <c r="J522" s="136"/>
      <c r="K522" s="136"/>
      <c r="L522" s="136"/>
      <c r="M522" s="145"/>
      <c r="N522" s="136"/>
      <c r="O522" s="136"/>
      <c r="P522" s="136"/>
      <c r="Q522" s="146"/>
      <c r="R522" s="136"/>
      <c r="S522" s="136"/>
      <c r="T522" s="136"/>
      <c r="U522" s="146"/>
      <c r="V522" s="136"/>
      <c r="W522" s="136"/>
      <c r="X522" s="136"/>
    </row>
    <row r="523" spans="1:24" ht="15.75" customHeight="1" x14ac:dyDescent="0.3">
      <c r="A523" s="144"/>
      <c r="B523" s="136"/>
      <c r="C523" s="136"/>
      <c r="D523" s="136"/>
      <c r="E523" s="145"/>
      <c r="F523" s="136"/>
      <c r="G523" s="136"/>
      <c r="H523" s="136"/>
      <c r="I523" s="145"/>
      <c r="J523" s="136"/>
      <c r="K523" s="136"/>
      <c r="L523" s="136"/>
      <c r="M523" s="145"/>
      <c r="N523" s="136"/>
      <c r="O523" s="136"/>
      <c r="P523" s="136"/>
      <c r="Q523" s="146"/>
      <c r="R523" s="136"/>
      <c r="S523" s="136"/>
      <c r="T523" s="136"/>
      <c r="U523" s="146"/>
      <c r="V523" s="136"/>
      <c r="W523" s="136"/>
      <c r="X523" s="136"/>
    </row>
    <row r="524" spans="1:24" ht="15.75" customHeight="1" x14ac:dyDescent="0.3">
      <c r="A524" s="144"/>
      <c r="B524" s="136"/>
      <c r="C524" s="136"/>
      <c r="D524" s="136"/>
      <c r="E524" s="145"/>
      <c r="F524" s="136"/>
      <c r="G524" s="136"/>
      <c r="H524" s="136"/>
      <c r="I524" s="145"/>
      <c r="J524" s="136"/>
      <c r="K524" s="136"/>
      <c r="L524" s="136"/>
      <c r="M524" s="145"/>
      <c r="N524" s="136"/>
      <c r="O524" s="136"/>
      <c r="P524" s="136"/>
      <c r="Q524" s="146"/>
      <c r="R524" s="136"/>
      <c r="S524" s="136"/>
      <c r="T524" s="136"/>
      <c r="U524" s="146"/>
      <c r="V524" s="136"/>
      <c r="W524" s="136"/>
      <c r="X524" s="136"/>
    </row>
    <row r="525" spans="1:24" ht="15.75" customHeight="1" x14ac:dyDescent="0.3">
      <c r="A525" s="144"/>
      <c r="B525" s="136"/>
      <c r="C525" s="136"/>
      <c r="D525" s="136"/>
      <c r="E525" s="145"/>
      <c r="F525" s="136"/>
      <c r="G525" s="136"/>
      <c r="H525" s="136"/>
      <c r="I525" s="145"/>
      <c r="J525" s="136"/>
      <c r="K525" s="136"/>
      <c r="L525" s="136"/>
      <c r="M525" s="145"/>
      <c r="N525" s="136"/>
      <c r="O525" s="136"/>
      <c r="P525" s="136"/>
      <c r="Q525" s="146"/>
      <c r="R525" s="136"/>
      <c r="S525" s="136"/>
      <c r="T525" s="136"/>
      <c r="U525" s="146"/>
      <c r="V525" s="136"/>
      <c r="W525" s="136"/>
      <c r="X525" s="136"/>
    </row>
    <row r="526" spans="1:24" ht="15.75" customHeight="1" x14ac:dyDescent="0.3">
      <c r="A526" s="144"/>
      <c r="B526" s="136"/>
      <c r="C526" s="136"/>
      <c r="D526" s="136"/>
      <c r="E526" s="145"/>
      <c r="F526" s="136"/>
      <c r="G526" s="136"/>
      <c r="H526" s="136"/>
      <c r="I526" s="145"/>
      <c r="J526" s="136"/>
      <c r="K526" s="136"/>
      <c r="L526" s="136"/>
      <c r="M526" s="145"/>
      <c r="N526" s="136"/>
      <c r="O526" s="136"/>
      <c r="P526" s="136"/>
      <c r="Q526" s="146"/>
      <c r="R526" s="136"/>
      <c r="S526" s="136"/>
      <c r="T526" s="136"/>
      <c r="U526" s="146"/>
      <c r="V526" s="136"/>
      <c r="W526" s="136"/>
      <c r="X526" s="136"/>
    </row>
    <row r="527" spans="1:24" ht="15.75" customHeight="1" x14ac:dyDescent="0.3">
      <c r="A527" s="144"/>
      <c r="B527" s="136"/>
      <c r="C527" s="136"/>
      <c r="D527" s="136"/>
      <c r="E527" s="145"/>
      <c r="F527" s="136"/>
      <c r="G527" s="136"/>
      <c r="H527" s="136"/>
      <c r="I527" s="145"/>
      <c r="J527" s="136"/>
      <c r="K527" s="136"/>
      <c r="L527" s="136"/>
      <c r="M527" s="145"/>
      <c r="N527" s="136"/>
      <c r="O527" s="136"/>
      <c r="P527" s="136"/>
      <c r="Q527" s="146"/>
      <c r="R527" s="136"/>
      <c r="S527" s="136"/>
      <c r="T527" s="136"/>
      <c r="U527" s="146"/>
      <c r="V527" s="136"/>
      <c r="W527" s="136"/>
      <c r="X527" s="136"/>
    </row>
    <row r="528" spans="1:24" ht="15.75" customHeight="1" x14ac:dyDescent="0.3">
      <c r="A528" s="144"/>
      <c r="B528" s="136"/>
      <c r="C528" s="136"/>
      <c r="D528" s="136"/>
      <c r="E528" s="145"/>
      <c r="F528" s="136"/>
      <c r="G528" s="136"/>
      <c r="H528" s="136"/>
      <c r="I528" s="145"/>
      <c r="J528" s="136"/>
      <c r="K528" s="136"/>
      <c r="L528" s="136"/>
      <c r="M528" s="145"/>
      <c r="N528" s="136"/>
      <c r="O528" s="136"/>
      <c r="P528" s="136"/>
      <c r="Q528" s="146"/>
      <c r="R528" s="136"/>
      <c r="S528" s="136"/>
      <c r="T528" s="136"/>
      <c r="U528" s="146"/>
      <c r="V528" s="136"/>
      <c r="W528" s="136"/>
      <c r="X528" s="136"/>
    </row>
    <row r="529" spans="1:24" ht="15.75" customHeight="1" x14ac:dyDescent="0.3">
      <c r="A529" s="144"/>
      <c r="B529" s="136"/>
      <c r="C529" s="136"/>
      <c r="D529" s="136"/>
      <c r="E529" s="145"/>
      <c r="F529" s="136"/>
      <c r="G529" s="136"/>
      <c r="H529" s="136"/>
      <c r="I529" s="145"/>
      <c r="J529" s="136"/>
      <c r="K529" s="136"/>
      <c r="L529" s="136"/>
      <c r="M529" s="145"/>
      <c r="N529" s="136"/>
      <c r="O529" s="136"/>
      <c r="P529" s="136"/>
      <c r="Q529" s="146"/>
      <c r="R529" s="136"/>
      <c r="S529" s="136"/>
      <c r="T529" s="136"/>
      <c r="U529" s="146"/>
      <c r="V529" s="136"/>
      <c r="W529" s="136"/>
      <c r="X529" s="136"/>
    </row>
    <row r="530" spans="1:24" ht="15.75" customHeight="1" x14ac:dyDescent="0.3">
      <c r="A530" s="144"/>
      <c r="B530" s="136"/>
      <c r="C530" s="136"/>
      <c r="D530" s="136"/>
      <c r="E530" s="145"/>
      <c r="F530" s="136"/>
      <c r="G530" s="136"/>
      <c r="H530" s="136"/>
      <c r="I530" s="145"/>
      <c r="J530" s="136"/>
      <c r="K530" s="136"/>
      <c r="L530" s="136"/>
      <c r="M530" s="145"/>
      <c r="N530" s="136"/>
      <c r="O530" s="136"/>
      <c r="P530" s="136"/>
      <c r="Q530" s="146"/>
      <c r="R530" s="136"/>
      <c r="S530" s="136"/>
      <c r="T530" s="136"/>
      <c r="U530" s="146"/>
      <c r="V530" s="136"/>
      <c r="W530" s="136"/>
      <c r="X530" s="136"/>
    </row>
    <row r="531" spans="1:24" ht="15.75" customHeight="1" x14ac:dyDescent="0.3">
      <c r="A531" s="144"/>
      <c r="B531" s="136"/>
      <c r="C531" s="136"/>
      <c r="D531" s="136"/>
      <c r="E531" s="145"/>
      <c r="F531" s="136"/>
      <c r="G531" s="136"/>
      <c r="H531" s="136"/>
      <c r="I531" s="145"/>
      <c r="J531" s="136"/>
      <c r="K531" s="136"/>
      <c r="L531" s="136"/>
      <c r="M531" s="145"/>
      <c r="N531" s="136"/>
      <c r="O531" s="136"/>
      <c r="P531" s="136"/>
      <c r="Q531" s="146"/>
      <c r="R531" s="136"/>
      <c r="S531" s="136"/>
      <c r="T531" s="136"/>
      <c r="U531" s="146"/>
      <c r="V531" s="136"/>
      <c r="W531" s="136"/>
      <c r="X531" s="136"/>
    </row>
    <row r="532" spans="1:24" ht="15.75" customHeight="1" x14ac:dyDescent="0.3">
      <c r="A532" s="144"/>
      <c r="B532" s="136"/>
      <c r="C532" s="136"/>
      <c r="D532" s="136"/>
      <c r="E532" s="145"/>
      <c r="F532" s="136"/>
      <c r="G532" s="136"/>
      <c r="H532" s="136"/>
      <c r="I532" s="145"/>
      <c r="J532" s="136"/>
      <c r="K532" s="136"/>
      <c r="L532" s="136"/>
      <c r="M532" s="145"/>
      <c r="N532" s="136"/>
      <c r="O532" s="136"/>
      <c r="P532" s="136"/>
      <c r="Q532" s="146"/>
      <c r="R532" s="136"/>
      <c r="S532" s="136"/>
      <c r="T532" s="136"/>
      <c r="U532" s="146"/>
      <c r="V532" s="136"/>
      <c r="W532" s="136"/>
      <c r="X532" s="136"/>
    </row>
    <row r="533" spans="1:24" ht="15.75" customHeight="1" x14ac:dyDescent="0.3">
      <c r="A533" s="144"/>
      <c r="B533" s="136"/>
      <c r="C533" s="136"/>
      <c r="D533" s="136"/>
      <c r="E533" s="145"/>
      <c r="F533" s="136"/>
      <c r="G533" s="136"/>
      <c r="H533" s="136"/>
      <c r="I533" s="145"/>
      <c r="J533" s="136"/>
      <c r="K533" s="136"/>
      <c r="L533" s="136"/>
      <c r="M533" s="145"/>
      <c r="N533" s="136"/>
      <c r="O533" s="136"/>
      <c r="P533" s="136"/>
      <c r="Q533" s="146"/>
      <c r="R533" s="136"/>
      <c r="S533" s="136"/>
      <c r="T533" s="136"/>
      <c r="U533" s="146"/>
      <c r="V533" s="136"/>
      <c r="W533" s="136"/>
      <c r="X533" s="136"/>
    </row>
    <row r="534" spans="1:24" ht="15.75" customHeight="1" x14ac:dyDescent="0.3">
      <c r="A534" s="144"/>
      <c r="B534" s="136"/>
      <c r="C534" s="136"/>
      <c r="D534" s="136"/>
      <c r="E534" s="145"/>
      <c r="F534" s="136"/>
      <c r="G534" s="136"/>
      <c r="H534" s="136"/>
      <c r="I534" s="145"/>
      <c r="J534" s="136"/>
      <c r="K534" s="136"/>
      <c r="L534" s="136"/>
      <c r="M534" s="145"/>
      <c r="N534" s="136"/>
      <c r="O534" s="136"/>
      <c r="P534" s="136"/>
      <c r="Q534" s="146"/>
      <c r="R534" s="136"/>
      <c r="S534" s="136"/>
      <c r="T534" s="136"/>
      <c r="U534" s="146"/>
      <c r="V534" s="136"/>
      <c r="W534" s="136"/>
      <c r="X534" s="136"/>
    </row>
    <row r="535" spans="1:24" ht="15.75" customHeight="1" x14ac:dyDescent="0.3">
      <c r="A535" s="144"/>
      <c r="B535" s="136"/>
      <c r="C535" s="136"/>
      <c r="D535" s="136"/>
      <c r="E535" s="145"/>
      <c r="F535" s="136"/>
      <c r="G535" s="136"/>
      <c r="H535" s="136"/>
      <c r="I535" s="145"/>
      <c r="J535" s="136"/>
      <c r="K535" s="136"/>
      <c r="L535" s="136"/>
      <c r="M535" s="145"/>
      <c r="N535" s="136"/>
      <c r="O535" s="136"/>
      <c r="P535" s="136"/>
      <c r="Q535" s="146"/>
      <c r="R535" s="136"/>
      <c r="S535" s="136"/>
      <c r="T535" s="136"/>
      <c r="U535" s="146"/>
      <c r="V535" s="136"/>
      <c r="W535" s="136"/>
      <c r="X535" s="136"/>
    </row>
    <row r="536" spans="1:24" ht="15.75" customHeight="1" x14ac:dyDescent="0.3">
      <c r="A536" s="144"/>
      <c r="B536" s="136"/>
      <c r="C536" s="136"/>
      <c r="D536" s="136"/>
      <c r="E536" s="145"/>
      <c r="F536" s="136"/>
      <c r="G536" s="136"/>
      <c r="H536" s="136"/>
      <c r="I536" s="145"/>
      <c r="J536" s="136"/>
      <c r="K536" s="136"/>
      <c r="L536" s="136"/>
      <c r="M536" s="145"/>
      <c r="N536" s="136"/>
      <c r="O536" s="136"/>
      <c r="P536" s="136"/>
      <c r="Q536" s="146"/>
      <c r="R536" s="136"/>
      <c r="S536" s="136"/>
      <c r="T536" s="136"/>
      <c r="U536" s="146"/>
      <c r="V536" s="136"/>
      <c r="W536" s="136"/>
      <c r="X536" s="136"/>
    </row>
    <row r="537" spans="1:24" ht="15.75" customHeight="1" x14ac:dyDescent="0.3">
      <c r="A537" s="144"/>
      <c r="B537" s="136"/>
      <c r="C537" s="136"/>
      <c r="D537" s="136"/>
      <c r="E537" s="145"/>
      <c r="F537" s="136"/>
      <c r="G537" s="136"/>
      <c r="H537" s="136"/>
      <c r="I537" s="145"/>
      <c r="J537" s="136"/>
      <c r="K537" s="136"/>
      <c r="L537" s="136"/>
      <c r="M537" s="145"/>
      <c r="N537" s="136"/>
      <c r="O537" s="136"/>
      <c r="P537" s="136"/>
      <c r="Q537" s="146"/>
      <c r="R537" s="136"/>
      <c r="S537" s="136"/>
      <c r="T537" s="136"/>
      <c r="U537" s="146"/>
      <c r="V537" s="136"/>
      <c r="W537" s="136"/>
      <c r="X537" s="136"/>
    </row>
    <row r="538" spans="1:24" ht="15.75" customHeight="1" x14ac:dyDescent="0.3">
      <c r="A538" s="144"/>
      <c r="B538" s="136"/>
      <c r="C538" s="136"/>
      <c r="D538" s="136"/>
      <c r="E538" s="145"/>
      <c r="F538" s="136"/>
      <c r="G538" s="136"/>
      <c r="H538" s="136"/>
      <c r="I538" s="145"/>
      <c r="J538" s="136"/>
      <c r="K538" s="136"/>
      <c r="L538" s="136"/>
      <c r="M538" s="145"/>
      <c r="N538" s="136"/>
      <c r="O538" s="136"/>
      <c r="P538" s="136"/>
      <c r="Q538" s="146"/>
      <c r="R538" s="136"/>
      <c r="S538" s="136"/>
      <c r="T538" s="136"/>
      <c r="U538" s="146"/>
      <c r="V538" s="136"/>
      <c r="W538" s="136"/>
      <c r="X538" s="136"/>
    </row>
    <row r="539" spans="1:24" ht="15.75" customHeight="1" x14ac:dyDescent="0.3">
      <c r="A539" s="144"/>
      <c r="B539" s="136"/>
      <c r="C539" s="136"/>
      <c r="D539" s="136"/>
      <c r="E539" s="145"/>
      <c r="F539" s="136"/>
      <c r="G539" s="136"/>
      <c r="H539" s="136"/>
      <c r="I539" s="145"/>
      <c r="J539" s="136"/>
      <c r="K539" s="136"/>
      <c r="L539" s="136"/>
      <c r="M539" s="145"/>
      <c r="N539" s="136"/>
      <c r="O539" s="136"/>
      <c r="P539" s="136"/>
      <c r="Q539" s="146"/>
      <c r="R539" s="136"/>
      <c r="S539" s="136"/>
      <c r="T539" s="136"/>
      <c r="U539" s="146"/>
      <c r="V539" s="136"/>
      <c r="W539" s="136"/>
      <c r="X539" s="136"/>
    </row>
    <row r="540" spans="1:24" ht="15.75" customHeight="1" x14ac:dyDescent="0.3">
      <c r="A540" s="144"/>
      <c r="B540" s="136"/>
      <c r="C540" s="136"/>
      <c r="D540" s="136"/>
      <c r="E540" s="145"/>
      <c r="F540" s="136"/>
      <c r="G540" s="136"/>
      <c r="H540" s="136"/>
      <c r="I540" s="145"/>
      <c r="J540" s="136"/>
      <c r="K540" s="136"/>
      <c r="L540" s="136"/>
      <c r="M540" s="145"/>
      <c r="N540" s="136"/>
      <c r="O540" s="136"/>
      <c r="P540" s="136"/>
      <c r="Q540" s="146"/>
      <c r="R540" s="136"/>
      <c r="S540" s="136"/>
      <c r="T540" s="136"/>
      <c r="U540" s="146"/>
      <c r="V540" s="136"/>
      <c r="W540" s="136"/>
      <c r="X540" s="136"/>
    </row>
    <row r="541" spans="1:24" ht="15.75" customHeight="1" x14ac:dyDescent="0.3">
      <c r="A541" s="144"/>
      <c r="B541" s="136"/>
      <c r="C541" s="136"/>
      <c r="D541" s="136"/>
      <c r="E541" s="145"/>
      <c r="F541" s="136"/>
      <c r="G541" s="136"/>
      <c r="H541" s="136"/>
      <c r="I541" s="145"/>
      <c r="J541" s="136"/>
      <c r="K541" s="136"/>
      <c r="L541" s="136"/>
      <c r="M541" s="145"/>
      <c r="N541" s="136"/>
      <c r="O541" s="136"/>
      <c r="P541" s="136"/>
      <c r="Q541" s="146"/>
      <c r="R541" s="136"/>
      <c r="S541" s="136"/>
      <c r="T541" s="136"/>
      <c r="U541" s="146"/>
      <c r="V541" s="136"/>
      <c r="W541" s="136"/>
      <c r="X541" s="136"/>
    </row>
    <row r="542" spans="1:24" ht="15.75" customHeight="1" x14ac:dyDescent="0.3">
      <c r="A542" s="144"/>
      <c r="B542" s="136"/>
      <c r="C542" s="136"/>
      <c r="D542" s="136"/>
      <c r="E542" s="145"/>
      <c r="F542" s="136"/>
      <c r="G542" s="136"/>
      <c r="H542" s="136"/>
      <c r="I542" s="145"/>
      <c r="J542" s="136"/>
      <c r="K542" s="136"/>
      <c r="L542" s="136"/>
      <c r="M542" s="145"/>
      <c r="N542" s="136"/>
      <c r="O542" s="136"/>
      <c r="P542" s="136"/>
      <c r="Q542" s="146"/>
      <c r="R542" s="136"/>
      <c r="S542" s="136"/>
      <c r="T542" s="136"/>
      <c r="U542" s="146"/>
      <c r="V542" s="136"/>
      <c r="W542" s="136"/>
      <c r="X542" s="136"/>
    </row>
    <row r="543" spans="1:24" ht="15.75" customHeight="1" x14ac:dyDescent="0.3">
      <c r="A543" s="144"/>
      <c r="B543" s="136"/>
      <c r="C543" s="136"/>
      <c r="D543" s="136"/>
      <c r="E543" s="145"/>
      <c r="F543" s="136"/>
      <c r="G543" s="136"/>
      <c r="H543" s="136"/>
      <c r="I543" s="145"/>
      <c r="J543" s="136"/>
      <c r="K543" s="136"/>
      <c r="L543" s="136"/>
      <c r="M543" s="145"/>
      <c r="N543" s="136"/>
      <c r="O543" s="136"/>
      <c r="P543" s="136"/>
      <c r="Q543" s="146"/>
      <c r="R543" s="136"/>
      <c r="S543" s="136"/>
      <c r="T543" s="136"/>
      <c r="U543" s="146"/>
      <c r="V543" s="136"/>
      <c r="W543" s="136"/>
      <c r="X543" s="136"/>
    </row>
    <row r="544" spans="1:24" ht="15.75" customHeight="1" x14ac:dyDescent="0.3">
      <c r="A544" s="144"/>
      <c r="B544" s="136"/>
      <c r="C544" s="136"/>
      <c r="D544" s="136"/>
      <c r="E544" s="145"/>
      <c r="F544" s="136"/>
      <c r="G544" s="136"/>
      <c r="H544" s="136"/>
      <c r="I544" s="145"/>
      <c r="J544" s="136"/>
      <c r="K544" s="136"/>
      <c r="L544" s="136"/>
      <c r="M544" s="145"/>
      <c r="N544" s="136"/>
      <c r="O544" s="136"/>
      <c r="P544" s="136"/>
      <c r="Q544" s="146"/>
      <c r="R544" s="136"/>
      <c r="S544" s="136"/>
      <c r="T544" s="136"/>
      <c r="U544" s="146"/>
      <c r="V544" s="136"/>
      <c r="W544" s="136"/>
      <c r="X544" s="136"/>
    </row>
    <row r="545" spans="1:24" ht="15.75" customHeight="1" x14ac:dyDescent="0.3">
      <c r="A545" s="144"/>
      <c r="B545" s="136"/>
      <c r="C545" s="136"/>
      <c r="D545" s="136"/>
      <c r="E545" s="145"/>
      <c r="F545" s="136"/>
      <c r="G545" s="136"/>
      <c r="H545" s="136"/>
      <c r="I545" s="145"/>
      <c r="J545" s="136"/>
      <c r="K545" s="136"/>
      <c r="L545" s="136"/>
      <c r="M545" s="145"/>
      <c r="N545" s="136"/>
      <c r="O545" s="136"/>
      <c r="P545" s="136"/>
      <c r="Q545" s="146"/>
      <c r="R545" s="136"/>
      <c r="S545" s="136"/>
      <c r="T545" s="136"/>
      <c r="U545" s="146"/>
      <c r="V545" s="136"/>
      <c r="W545" s="136"/>
      <c r="X545" s="136"/>
    </row>
    <row r="546" spans="1:24" ht="15.75" customHeight="1" x14ac:dyDescent="0.3">
      <c r="A546" s="144"/>
      <c r="B546" s="136"/>
      <c r="C546" s="136"/>
      <c r="D546" s="136"/>
      <c r="E546" s="145"/>
      <c r="F546" s="136"/>
      <c r="G546" s="136"/>
      <c r="H546" s="136"/>
      <c r="I546" s="145"/>
      <c r="J546" s="136"/>
      <c r="K546" s="136"/>
      <c r="L546" s="136"/>
      <c r="M546" s="145"/>
      <c r="N546" s="136"/>
      <c r="O546" s="136"/>
      <c r="P546" s="136"/>
      <c r="Q546" s="146"/>
      <c r="R546" s="136"/>
      <c r="S546" s="136"/>
      <c r="T546" s="136"/>
      <c r="U546" s="146"/>
      <c r="V546" s="136"/>
      <c r="W546" s="136"/>
      <c r="X546" s="136"/>
    </row>
    <row r="547" spans="1:24" ht="15.75" customHeight="1" x14ac:dyDescent="0.3">
      <c r="A547" s="144"/>
      <c r="B547" s="136"/>
      <c r="C547" s="136"/>
      <c r="D547" s="136"/>
      <c r="E547" s="145"/>
      <c r="F547" s="136"/>
      <c r="G547" s="136"/>
      <c r="H547" s="136"/>
      <c r="I547" s="145"/>
      <c r="J547" s="136"/>
      <c r="K547" s="136"/>
      <c r="L547" s="136"/>
      <c r="M547" s="145"/>
      <c r="N547" s="136"/>
      <c r="O547" s="136"/>
      <c r="P547" s="136"/>
      <c r="Q547" s="146"/>
      <c r="R547" s="136"/>
      <c r="S547" s="136"/>
      <c r="T547" s="136"/>
      <c r="U547" s="146"/>
      <c r="V547" s="136"/>
      <c r="W547" s="136"/>
      <c r="X547" s="136"/>
    </row>
    <row r="548" spans="1:24" ht="15.75" customHeight="1" x14ac:dyDescent="0.3">
      <c r="A548" s="144"/>
      <c r="B548" s="136"/>
      <c r="C548" s="136"/>
      <c r="D548" s="136"/>
      <c r="E548" s="145"/>
      <c r="F548" s="136"/>
      <c r="G548" s="136"/>
      <c r="H548" s="136"/>
      <c r="I548" s="145"/>
      <c r="J548" s="136"/>
      <c r="K548" s="136"/>
      <c r="L548" s="136"/>
      <c r="M548" s="145"/>
      <c r="N548" s="136"/>
      <c r="O548" s="136"/>
      <c r="P548" s="136"/>
      <c r="Q548" s="146"/>
      <c r="R548" s="136"/>
      <c r="S548" s="136"/>
      <c r="T548" s="136"/>
      <c r="U548" s="146"/>
      <c r="V548" s="136"/>
      <c r="W548" s="136"/>
      <c r="X548" s="136"/>
    </row>
    <row r="549" spans="1:24" ht="15.75" customHeight="1" x14ac:dyDescent="0.3">
      <c r="A549" s="144"/>
      <c r="B549" s="136"/>
      <c r="C549" s="136"/>
      <c r="D549" s="136"/>
      <c r="E549" s="145"/>
      <c r="F549" s="136"/>
      <c r="G549" s="136"/>
      <c r="H549" s="136"/>
      <c r="I549" s="145"/>
      <c r="J549" s="136"/>
      <c r="K549" s="136"/>
      <c r="L549" s="136"/>
      <c r="M549" s="145"/>
      <c r="N549" s="136"/>
      <c r="O549" s="136"/>
      <c r="P549" s="136"/>
      <c r="Q549" s="146"/>
      <c r="R549" s="136"/>
      <c r="S549" s="136"/>
      <c r="T549" s="136"/>
      <c r="U549" s="146"/>
      <c r="V549" s="136"/>
      <c r="W549" s="136"/>
      <c r="X549" s="136"/>
    </row>
    <row r="550" spans="1:24" ht="15.75" customHeight="1" x14ac:dyDescent="0.3">
      <c r="A550" s="144"/>
      <c r="B550" s="136"/>
      <c r="C550" s="136"/>
      <c r="D550" s="136"/>
      <c r="E550" s="145"/>
      <c r="F550" s="136"/>
      <c r="G550" s="136"/>
      <c r="H550" s="136"/>
      <c r="I550" s="145"/>
      <c r="J550" s="136"/>
      <c r="K550" s="136"/>
      <c r="L550" s="136"/>
      <c r="M550" s="145"/>
      <c r="N550" s="136"/>
      <c r="O550" s="136"/>
      <c r="P550" s="136"/>
      <c r="Q550" s="146"/>
      <c r="R550" s="136"/>
      <c r="S550" s="136"/>
      <c r="T550" s="136"/>
      <c r="U550" s="146"/>
      <c r="V550" s="136"/>
      <c r="W550" s="136"/>
      <c r="X550" s="136"/>
    </row>
    <row r="551" spans="1:24" ht="15.75" customHeight="1" x14ac:dyDescent="0.3">
      <c r="A551" s="144"/>
      <c r="B551" s="136"/>
      <c r="C551" s="136"/>
      <c r="D551" s="136"/>
      <c r="E551" s="145"/>
      <c r="F551" s="136"/>
      <c r="G551" s="136"/>
      <c r="H551" s="136"/>
      <c r="I551" s="145"/>
      <c r="J551" s="136"/>
      <c r="K551" s="136"/>
      <c r="L551" s="136"/>
      <c r="M551" s="145"/>
      <c r="N551" s="136"/>
      <c r="O551" s="136"/>
      <c r="P551" s="136"/>
      <c r="Q551" s="146"/>
      <c r="R551" s="136"/>
      <c r="S551" s="136"/>
      <c r="T551" s="136"/>
      <c r="U551" s="146"/>
      <c r="V551" s="136"/>
      <c r="W551" s="136"/>
      <c r="X551" s="136"/>
    </row>
    <row r="552" spans="1:24" ht="15.75" customHeight="1" x14ac:dyDescent="0.3">
      <c r="A552" s="144"/>
      <c r="B552" s="136"/>
      <c r="C552" s="136"/>
      <c r="D552" s="136"/>
      <c r="E552" s="145"/>
      <c r="F552" s="136"/>
      <c r="G552" s="136"/>
      <c r="H552" s="136"/>
      <c r="I552" s="145"/>
      <c r="J552" s="136"/>
      <c r="K552" s="136"/>
      <c r="L552" s="136"/>
      <c r="M552" s="145"/>
      <c r="N552" s="136"/>
      <c r="O552" s="136"/>
      <c r="P552" s="136"/>
      <c r="Q552" s="146"/>
      <c r="R552" s="136"/>
      <c r="S552" s="136"/>
      <c r="T552" s="136"/>
      <c r="U552" s="146"/>
      <c r="V552" s="136"/>
      <c r="W552" s="136"/>
      <c r="X552" s="136"/>
    </row>
    <row r="553" spans="1:24" ht="15.75" customHeight="1" x14ac:dyDescent="0.3">
      <c r="A553" s="144"/>
      <c r="B553" s="136"/>
      <c r="C553" s="136"/>
      <c r="D553" s="136"/>
      <c r="E553" s="145"/>
      <c r="F553" s="136"/>
      <c r="G553" s="136"/>
      <c r="H553" s="136"/>
      <c r="I553" s="145"/>
      <c r="J553" s="136"/>
      <c r="K553" s="136"/>
      <c r="L553" s="136"/>
      <c r="M553" s="145"/>
      <c r="N553" s="136"/>
      <c r="O553" s="136"/>
      <c r="P553" s="136"/>
      <c r="Q553" s="146"/>
      <c r="R553" s="136"/>
      <c r="S553" s="136"/>
      <c r="T553" s="136"/>
      <c r="U553" s="146"/>
      <c r="V553" s="136"/>
      <c r="W553" s="136"/>
      <c r="X553" s="136"/>
    </row>
    <row r="554" spans="1:24" ht="15.75" customHeight="1" x14ac:dyDescent="0.3">
      <c r="A554" s="144"/>
      <c r="B554" s="136"/>
      <c r="C554" s="136"/>
      <c r="D554" s="136"/>
      <c r="E554" s="145"/>
      <c r="F554" s="136"/>
      <c r="G554" s="136"/>
      <c r="H554" s="136"/>
      <c r="I554" s="145"/>
      <c r="J554" s="136"/>
      <c r="K554" s="136"/>
      <c r="L554" s="136"/>
      <c r="M554" s="145"/>
      <c r="N554" s="136"/>
      <c r="O554" s="136"/>
      <c r="P554" s="136"/>
      <c r="Q554" s="146"/>
      <c r="R554" s="136"/>
      <c r="S554" s="136"/>
      <c r="T554" s="136"/>
      <c r="U554" s="146"/>
      <c r="V554" s="136"/>
      <c r="W554" s="136"/>
      <c r="X554" s="136"/>
    </row>
    <row r="555" spans="1:24" ht="15.75" customHeight="1" x14ac:dyDescent="0.3">
      <c r="A555" s="144"/>
      <c r="B555" s="136"/>
      <c r="C555" s="136"/>
      <c r="D555" s="136"/>
      <c r="E555" s="145"/>
      <c r="F555" s="136"/>
      <c r="G555" s="136"/>
      <c r="H555" s="136"/>
      <c r="I555" s="145"/>
      <c r="J555" s="136"/>
      <c r="K555" s="136"/>
      <c r="L555" s="136"/>
      <c r="M555" s="145"/>
      <c r="N555" s="136"/>
      <c r="O555" s="136"/>
      <c r="P555" s="136"/>
      <c r="Q555" s="146"/>
      <c r="R555" s="136"/>
      <c r="S555" s="136"/>
      <c r="T555" s="136"/>
      <c r="U555" s="146"/>
      <c r="V555" s="136"/>
      <c r="W555" s="136"/>
      <c r="X555" s="136"/>
    </row>
    <row r="556" spans="1:24" ht="15.75" customHeight="1" x14ac:dyDescent="0.3">
      <c r="A556" s="144"/>
      <c r="B556" s="136"/>
      <c r="C556" s="136"/>
      <c r="D556" s="136"/>
      <c r="E556" s="145"/>
      <c r="F556" s="136"/>
      <c r="G556" s="136"/>
      <c r="H556" s="136"/>
      <c r="I556" s="145"/>
      <c r="J556" s="136"/>
      <c r="K556" s="136"/>
      <c r="L556" s="136"/>
      <c r="M556" s="145"/>
      <c r="N556" s="136"/>
      <c r="O556" s="136"/>
      <c r="P556" s="136"/>
      <c r="Q556" s="146"/>
      <c r="R556" s="136"/>
      <c r="S556" s="136"/>
      <c r="T556" s="136"/>
      <c r="U556" s="146"/>
      <c r="V556" s="136"/>
      <c r="W556" s="136"/>
      <c r="X556" s="136"/>
    </row>
    <row r="557" spans="1:24" ht="15.75" customHeight="1" x14ac:dyDescent="0.3">
      <c r="A557" s="144"/>
      <c r="B557" s="136"/>
      <c r="C557" s="136"/>
      <c r="D557" s="136"/>
      <c r="E557" s="145"/>
      <c r="F557" s="136"/>
      <c r="G557" s="136"/>
      <c r="H557" s="136"/>
      <c r="I557" s="145"/>
      <c r="J557" s="136"/>
      <c r="K557" s="136"/>
      <c r="L557" s="136"/>
      <c r="M557" s="145"/>
      <c r="N557" s="136"/>
      <c r="O557" s="136"/>
      <c r="P557" s="136"/>
      <c r="Q557" s="146"/>
      <c r="R557" s="136"/>
      <c r="S557" s="136"/>
      <c r="T557" s="136"/>
      <c r="U557" s="146"/>
      <c r="V557" s="136"/>
      <c r="W557" s="136"/>
      <c r="X557" s="136"/>
    </row>
    <row r="558" spans="1:24" ht="15.75" customHeight="1" x14ac:dyDescent="0.3">
      <c r="A558" s="144"/>
      <c r="B558" s="136"/>
      <c r="C558" s="136"/>
      <c r="D558" s="136"/>
      <c r="E558" s="145"/>
      <c r="F558" s="136"/>
      <c r="G558" s="136"/>
      <c r="H558" s="136"/>
      <c r="I558" s="145"/>
      <c r="J558" s="136"/>
      <c r="K558" s="136"/>
      <c r="L558" s="136"/>
      <c r="M558" s="145"/>
      <c r="N558" s="136"/>
      <c r="O558" s="136"/>
      <c r="P558" s="136"/>
      <c r="Q558" s="146"/>
      <c r="R558" s="136"/>
      <c r="S558" s="136"/>
      <c r="T558" s="136"/>
      <c r="U558" s="146"/>
      <c r="V558" s="136"/>
      <c r="W558" s="136"/>
      <c r="X558" s="136"/>
    </row>
    <row r="559" spans="1:24" ht="15.75" customHeight="1" x14ac:dyDescent="0.3">
      <c r="A559" s="144"/>
      <c r="B559" s="136"/>
      <c r="C559" s="136"/>
      <c r="D559" s="136"/>
      <c r="E559" s="145"/>
      <c r="F559" s="136"/>
      <c r="G559" s="136"/>
      <c r="H559" s="136"/>
      <c r="I559" s="145"/>
      <c r="J559" s="136"/>
      <c r="K559" s="136"/>
      <c r="L559" s="136"/>
      <c r="M559" s="145"/>
      <c r="N559" s="136"/>
      <c r="O559" s="136"/>
      <c r="P559" s="136"/>
      <c r="Q559" s="146"/>
      <c r="R559" s="136"/>
      <c r="S559" s="136"/>
      <c r="T559" s="136"/>
      <c r="U559" s="146"/>
      <c r="V559" s="136"/>
      <c r="W559" s="136"/>
      <c r="X559" s="136"/>
    </row>
    <row r="560" spans="1:24" ht="15.75" customHeight="1" x14ac:dyDescent="0.3">
      <c r="A560" s="144"/>
      <c r="B560" s="136"/>
      <c r="C560" s="136"/>
      <c r="D560" s="136"/>
      <c r="E560" s="145"/>
      <c r="F560" s="136"/>
      <c r="G560" s="136"/>
      <c r="H560" s="136"/>
      <c r="I560" s="145"/>
      <c r="J560" s="136"/>
      <c r="K560" s="136"/>
      <c r="L560" s="136"/>
      <c r="M560" s="145"/>
      <c r="N560" s="136"/>
      <c r="O560" s="136"/>
      <c r="P560" s="136"/>
      <c r="Q560" s="146"/>
      <c r="R560" s="136"/>
      <c r="S560" s="136"/>
      <c r="T560" s="136"/>
      <c r="U560" s="146"/>
      <c r="V560" s="136"/>
      <c r="W560" s="136"/>
      <c r="X560" s="136"/>
    </row>
    <row r="561" spans="1:24" ht="15.75" customHeight="1" x14ac:dyDescent="0.3">
      <c r="A561" s="144"/>
      <c r="B561" s="136"/>
      <c r="C561" s="136"/>
      <c r="D561" s="136"/>
      <c r="E561" s="145"/>
      <c r="F561" s="136"/>
      <c r="G561" s="136"/>
      <c r="H561" s="136"/>
      <c r="I561" s="145"/>
      <c r="J561" s="136"/>
      <c r="K561" s="136"/>
      <c r="L561" s="136"/>
      <c r="M561" s="145"/>
      <c r="N561" s="136"/>
      <c r="O561" s="136"/>
      <c r="P561" s="136"/>
      <c r="Q561" s="146"/>
      <c r="R561" s="136"/>
      <c r="S561" s="136"/>
      <c r="T561" s="136"/>
      <c r="U561" s="146"/>
      <c r="V561" s="136"/>
      <c r="W561" s="136"/>
      <c r="X561" s="136"/>
    </row>
    <row r="562" spans="1:24" ht="15.75" customHeight="1" x14ac:dyDescent="0.3">
      <c r="A562" s="144"/>
      <c r="B562" s="136"/>
      <c r="C562" s="136"/>
      <c r="D562" s="136"/>
      <c r="E562" s="145"/>
      <c r="F562" s="136"/>
      <c r="G562" s="136"/>
      <c r="H562" s="136"/>
      <c r="I562" s="145"/>
      <c r="J562" s="136"/>
      <c r="K562" s="136"/>
      <c r="L562" s="136"/>
      <c r="M562" s="145"/>
      <c r="N562" s="136"/>
      <c r="O562" s="136"/>
      <c r="P562" s="136"/>
      <c r="Q562" s="146"/>
      <c r="R562" s="136"/>
      <c r="S562" s="136"/>
      <c r="T562" s="136"/>
      <c r="U562" s="146"/>
      <c r="V562" s="136"/>
      <c r="W562" s="136"/>
      <c r="X562" s="136"/>
    </row>
    <row r="563" spans="1:24" ht="15.75" customHeight="1" x14ac:dyDescent="0.3">
      <c r="A563" s="144"/>
      <c r="B563" s="136"/>
      <c r="C563" s="136"/>
      <c r="D563" s="136"/>
      <c r="E563" s="145"/>
      <c r="F563" s="136"/>
      <c r="G563" s="136"/>
      <c r="H563" s="136"/>
      <c r="I563" s="145"/>
      <c r="J563" s="136"/>
      <c r="K563" s="136"/>
      <c r="L563" s="136"/>
      <c r="M563" s="145"/>
      <c r="N563" s="136"/>
      <c r="O563" s="136"/>
      <c r="P563" s="136"/>
      <c r="Q563" s="146"/>
      <c r="R563" s="136"/>
      <c r="S563" s="136"/>
      <c r="T563" s="136"/>
      <c r="U563" s="146"/>
      <c r="V563" s="136"/>
      <c r="W563" s="136"/>
      <c r="X563" s="136"/>
    </row>
    <row r="564" spans="1:24" ht="15.75" customHeight="1" x14ac:dyDescent="0.3">
      <c r="A564" s="144"/>
      <c r="B564" s="136"/>
      <c r="C564" s="136"/>
      <c r="D564" s="136"/>
      <c r="E564" s="145"/>
      <c r="F564" s="136"/>
      <c r="G564" s="136"/>
      <c r="H564" s="136"/>
      <c r="I564" s="145"/>
      <c r="J564" s="136"/>
      <c r="K564" s="136"/>
      <c r="L564" s="136"/>
      <c r="M564" s="145"/>
      <c r="N564" s="136"/>
      <c r="O564" s="136"/>
      <c r="P564" s="136"/>
      <c r="Q564" s="146"/>
      <c r="R564" s="136"/>
      <c r="S564" s="136"/>
      <c r="T564" s="136"/>
      <c r="U564" s="146"/>
      <c r="V564" s="136"/>
      <c r="W564" s="136"/>
      <c r="X564" s="136"/>
    </row>
    <row r="565" spans="1:24" ht="15.75" customHeight="1" x14ac:dyDescent="0.3">
      <c r="A565" s="144"/>
      <c r="B565" s="136"/>
      <c r="C565" s="136"/>
      <c r="D565" s="136"/>
      <c r="E565" s="145"/>
      <c r="F565" s="136"/>
      <c r="G565" s="136"/>
      <c r="H565" s="136"/>
      <c r="I565" s="145"/>
      <c r="J565" s="136"/>
      <c r="K565" s="136"/>
      <c r="L565" s="136"/>
      <c r="M565" s="145"/>
      <c r="N565" s="136"/>
      <c r="O565" s="136"/>
      <c r="P565" s="136"/>
      <c r="Q565" s="146"/>
      <c r="R565" s="136"/>
      <c r="S565" s="136"/>
      <c r="T565" s="136"/>
      <c r="U565" s="146"/>
      <c r="V565" s="136"/>
      <c r="W565" s="136"/>
      <c r="X565" s="136"/>
    </row>
    <row r="566" spans="1:24" ht="15.75" customHeight="1" x14ac:dyDescent="0.3">
      <c r="A566" s="144"/>
      <c r="B566" s="136"/>
      <c r="C566" s="136"/>
      <c r="D566" s="136"/>
      <c r="E566" s="145"/>
      <c r="F566" s="136"/>
      <c r="G566" s="136"/>
      <c r="H566" s="136"/>
      <c r="I566" s="145"/>
      <c r="J566" s="136"/>
      <c r="K566" s="136"/>
      <c r="L566" s="136"/>
      <c r="M566" s="145"/>
      <c r="N566" s="136"/>
      <c r="O566" s="136"/>
      <c r="P566" s="136"/>
      <c r="Q566" s="146"/>
      <c r="R566" s="136"/>
      <c r="S566" s="136"/>
      <c r="T566" s="136"/>
      <c r="U566" s="146"/>
      <c r="V566" s="136"/>
      <c r="W566" s="136"/>
      <c r="X566" s="136"/>
    </row>
    <row r="567" spans="1:24" ht="15.75" customHeight="1" x14ac:dyDescent="0.3">
      <c r="A567" s="144"/>
      <c r="B567" s="136"/>
      <c r="C567" s="136"/>
      <c r="D567" s="136"/>
      <c r="E567" s="145"/>
      <c r="F567" s="136"/>
      <c r="G567" s="136"/>
      <c r="H567" s="136"/>
      <c r="I567" s="145"/>
      <c r="J567" s="136"/>
      <c r="K567" s="136"/>
      <c r="L567" s="136"/>
      <c r="M567" s="145"/>
      <c r="N567" s="136"/>
      <c r="O567" s="136"/>
      <c r="P567" s="136"/>
      <c r="Q567" s="146"/>
      <c r="R567" s="136"/>
      <c r="S567" s="136"/>
      <c r="T567" s="136"/>
      <c r="U567" s="146"/>
      <c r="V567" s="136"/>
      <c r="W567" s="136"/>
      <c r="X567" s="136"/>
    </row>
    <row r="568" spans="1:24" ht="15.75" customHeight="1" x14ac:dyDescent="0.3">
      <c r="A568" s="144"/>
      <c r="B568" s="136"/>
      <c r="C568" s="136"/>
      <c r="D568" s="136"/>
      <c r="E568" s="145"/>
      <c r="F568" s="136"/>
      <c r="G568" s="136"/>
      <c r="H568" s="136"/>
      <c r="I568" s="145"/>
      <c r="J568" s="136"/>
      <c r="K568" s="136"/>
      <c r="L568" s="136"/>
      <c r="M568" s="145"/>
      <c r="N568" s="136"/>
      <c r="O568" s="136"/>
      <c r="P568" s="136"/>
      <c r="Q568" s="146"/>
      <c r="R568" s="136"/>
      <c r="S568" s="136"/>
      <c r="T568" s="136"/>
      <c r="U568" s="146"/>
      <c r="V568" s="136"/>
      <c r="W568" s="136"/>
      <c r="X568" s="136"/>
    </row>
    <row r="569" spans="1:24" ht="15.75" customHeight="1" x14ac:dyDescent="0.3">
      <c r="A569" s="144"/>
      <c r="B569" s="136"/>
      <c r="C569" s="136"/>
      <c r="D569" s="136"/>
      <c r="E569" s="145"/>
      <c r="F569" s="136"/>
      <c r="G569" s="136"/>
      <c r="H569" s="136"/>
      <c r="I569" s="145"/>
      <c r="J569" s="136"/>
      <c r="K569" s="136"/>
      <c r="L569" s="136"/>
      <c r="M569" s="145"/>
      <c r="N569" s="136"/>
      <c r="O569" s="136"/>
      <c r="P569" s="136"/>
      <c r="Q569" s="146"/>
      <c r="R569" s="136"/>
      <c r="S569" s="136"/>
      <c r="T569" s="136"/>
      <c r="U569" s="146"/>
      <c r="V569" s="136"/>
      <c r="W569" s="136"/>
      <c r="X569" s="136"/>
    </row>
    <row r="570" spans="1:24" ht="15.75" customHeight="1" x14ac:dyDescent="0.3">
      <c r="A570" s="144"/>
      <c r="B570" s="136"/>
      <c r="C570" s="136"/>
      <c r="D570" s="136"/>
      <c r="E570" s="145"/>
      <c r="F570" s="136"/>
      <c r="G570" s="136"/>
      <c r="H570" s="136"/>
      <c r="I570" s="145"/>
      <c r="J570" s="136"/>
      <c r="K570" s="136"/>
      <c r="L570" s="136"/>
      <c r="M570" s="145"/>
      <c r="N570" s="136"/>
      <c r="O570" s="136"/>
      <c r="P570" s="136"/>
      <c r="Q570" s="146"/>
      <c r="R570" s="136"/>
      <c r="S570" s="136"/>
      <c r="T570" s="136"/>
      <c r="U570" s="146"/>
      <c r="V570" s="136"/>
      <c r="W570" s="136"/>
      <c r="X570" s="136"/>
    </row>
    <row r="571" spans="1:24" ht="15.75" customHeight="1" x14ac:dyDescent="0.3">
      <c r="A571" s="144"/>
      <c r="B571" s="136"/>
      <c r="C571" s="136"/>
      <c r="D571" s="136"/>
      <c r="E571" s="145"/>
      <c r="F571" s="136"/>
      <c r="G571" s="136"/>
      <c r="H571" s="136"/>
      <c r="I571" s="145"/>
      <c r="J571" s="136"/>
      <c r="K571" s="136"/>
      <c r="L571" s="136"/>
      <c r="M571" s="145"/>
      <c r="N571" s="136"/>
      <c r="O571" s="136"/>
      <c r="P571" s="136"/>
      <c r="Q571" s="146"/>
      <c r="R571" s="136"/>
      <c r="S571" s="136"/>
      <c r="T571" s="136"/>
      <c r="U571" s="146"/>
      <c r="V571" s="136"/>
      <c r="W571" s="136"/>
      <c r="X571" s="136"/>
    </row>
    <row r="572" spans="1:24" ht="15.75" customHeight="1" x14ac:dyDescent="0.3">
      <c r="A572" s="144"/>
      <c r="B572" s="136"/>
      <c r="C572" s="136"/>
      <c r="D572" s="136"/>
      <c r="E572" s="145"/>
      <c r="F572" s="136"/>
      <c r="G572" s="136"/>
      <c r="H572" s="136"/>
      <c r="I572" s="145"/>
      <c r="J572" s="136"/>
      <c r="K572" s="136"/>
      <c r="L572" s="136"/>
      <c r="M572" s="145"/>
      <c r="N572" s="136"/>
      <c r="O572" s="136"/>
      <c r="P572" s="136"/>
      <c r="Q572" s="146"/>
      <c r="R572" s="136"/>
      <c r="S572" s="136"/>
      <c r="T572" s="136"/>
      <c r="U572" s="146"/>
      <c r="V572" s="136"/>
      <c r="W572" s="136"/>
      <c r="X572" s="136"/>
    </row>
    <row r="573" spans="1:24" ht="15.75" customHeight="1" x14ac:dyDescent="0.3">
      <c r="A573" s="144"/>
      <c r="B573" s="136"/>
      <c r="C573" s="136"/>
      <c r="D573" s="136"/>
      <c r="E573" s="145"/>
      <c r="F573" s="136"/>
      <c r="G573" s="136"/>
      <c r="H573" s="136"/>
      <c r="I573" s="145"/>
      <c r="J573" s="136"/>
      <c r="K573" s="136"/>
      <c r="L573" s="136"/>
      <c r="M573" s="145"/>
      <c r="N573" s="136"/>
      <c r="O573" s="136"/>
      <c r="P573" s="136"/>
      <c r="Q573" s="146"/>
      <c r="R573" s="136"/>
      <c r="S573" s="136"/>
      <c r="T573" s="136"/>
      <c r="U573" s="146"/>
      <c r="V573" s="136"/>
      <c r="W573" s="136"/>
      <c r="X573" s="136"/>
    </row>
    <row r="574" spans="1:24" ht="15.75" customHeight="1" x14ac:dyDescent="0.3">
      <c r="A574" s="144"/>
      <c r="B574" s="136"/>
      <c r="C574" s="136"/>
      <c r="D574" s="136"/>
      <c r="E574" s="145"/>
      <c r="F574" s="136"/>
      <c r="G574" s="136"/>
      <c r="H574" s="136"/>
      <c r="I574" s="145"/>
      <c r="J574" s="136"/>
      <c r="K574" s="136"/>
      <c r="L574" s="136"/>
      <c r="M574" s="145"/>
      <c r="N574" s="136"/>
      <c r="O574" s="136"/>
      <c r="P574" s="136"/>
      <c r="Q574" s="146"/>
      <c r="R574" s="136"/>
      <c r="S574" s="136"/>
      <c r="T574" s="136"/>
      <c r="U574" s="146"/>
      <c r="V574" s="136"/>
      <c r="W574" s="136"/>
      <c r="X574" s="136"/>
    </row>
    <row r="575" spans="1:24" ht="15.75" customHeight="1" x14ac:dyDescent="0.3">
      <c r="A575" s="144"/>
      <c r="B575" s="136"/>
      <c r="C575" s="136"/>
      <c r="D575" s="136"/>
      <c r="E575" s="145"/>
      <c r="F575" s="136"/>
      <c r="G575" s="136"/>
      <c r="H575" s="136"/>
      <c r="I575" s="145"/>
      <c r="J575" s="136"/>
      <c r="K575" s="136"/>
      <c r="L575" s="136"/>
      <c r="M575" s="145"/>
      <c r="N575" s="136"/>
      <c r="O575" s="136"/>
      <c r="P575" s="136"/>
      <c r="Q575" s="146"/>
      <c r="R575" s="136"/>
      <c r="S575" s="136"/>
      <c r="T575" s="136"/>
      <c r="U575" s="146"/>
      <c r="V575" s="136"/>
      <c r="W575" s="136"/>
      <c r="X575" s="136"/>
    </row>
    <row r="576" spans="1:24" ht="15.75" customHeight="1" x14ac:dyDescent="0.3">
      <c r="A576" s="144"/>
      <c r="B576" s="136"/>
      <c r="C576" s="136"/>
      <c r="D576" s="136"/>
      <c r="E576" s="145"/>
      <c r="F576" s="136"/>
      <c r="G576" s="136"/>
      <c r="H576" s="136"/>
      <c r="I576" s="145"/>
      <c r="J576" s="136"/>
      <c r="K576" s="136"/>
      <c r="L576" s="136"/>
      <c r="M576" s="145"/>
      <c r="N576" s="136"/>
      <c r="O576" s="136"/>
      <c r="P576" s="136"/>
      <c r="Q576" s="146"/>
      <c r="R576" s="136"/>
      <c r="S576" s="136"/>
      <c r="T576" s="136"/>
      <c r="U576" s="146"/>
      <c r="V576" s="136"/>
      <c r="W576" s="136"/>
      <c r="X576" s="136"/>
    </row>
    <row r="577" spans="1:24" ht="15.75" customHeight="1" x14ac:dyDescent="0.3">
      <c r="A577" s="144"/>
      <c r="B577" s="136"/>
      <c r="C577" s="136"/>
      <c r="D577" s="136"/>
      <c r="E577" s="145"/>
      <c r="F577" s="136"/>
      <c r="G577" s="136"/>
      <c r="H577" s="136"/>
      <c r="I577" s="145"/>
      <c r="J577" s="136"/>
      <c r="K577" s="136"/>
      <c r="L577" s="136"/>
      <c r="M577" s="145"/>
      <c r="N577" s="136"/>
      <c r="O577" s="136"/>
      <c r="P577" s="136"/>
      <c r="Q577" s="146"/>
      <c r="R577" s="136"/>
      <c r="S577" s="136"/>
      <c r="T577" s="136"/>
      <c r="U577" s="146"/>
      <c r="V577" s="136"/>
      <c r="W577" s="136"/>
      <c r="X577" s="136"/>
    </row>
    <row r="578" spans="1:24" ht="15.75" customHeight="1" x14ac:dyDescent="0.3">
      <c r="A578" s="144"/>
      <c r="B578" s="136"/>
      <c r="C578" s="136"/>
      <c r="D578" s="136"/>
      <c r="E578" s="145"/>
      <c r="F578" s="136"/>
      <c r="G578" s="136"/>
      <c r="H578" s="136"/>
      <c r="I578" s="145"/>
      <c r="J578" s="136"/>
      <c r="K578" s="136"/>
      <c r="L578" s="136"/>
      <c r="M578" s="145"/>
      <c r="N578" s="136"/>
      <c r="O578" s="136"/>
      <c r="P578" s="136"/>
      <c r="Q578" s="146"/>
      <c r="R578" s="136"/>
      <c r="S578" s="136"/>
      <c r="T578" s="136"/>
      <c r="U578" s="146"/>
      <c r="V578" s="136"/>
      <c r="W578" s="136"/>
      <c r="X578" s="136"/>
    </row>
    <row r="579" spans="1:24" ht="15.75" customHeight="1" x14ac:dyDescent="0.3">
      <c r="A579" s="144"/>
      <c r="B579" s="136"/>
      <c r="C579" s="136"/>
      <c r="D579" s="136"/>
      <c r="E579" s="145"/>
      <c r="F579" s="136"/>
      <c r="G579" s="136"/>
      <c r="H579" s="136"/>
      <c r="I579" s="145"/>
      <c r="J579" s="136"/>
      <c r="K579" s="136"/>
      <c r="L579" s="136"/>
      <c r="M579" s="145"/>
      <c r="N579" s="136"/>
      <c r="O579" s="136"/>
      <c r="P579" s="136"/>
      <c r="Q579" s="146"/>
      <c r="R579" s="136"/>
      <c r="S579" s="136"/>
      <c r="T579" s="136"/>
      <c r="U579" s="146"/>
      <c r="V579" s="136"/>
      <c r="W579" s="136"/>
      <c r="X579" s="136"/>
    </row>
    <row r="580" spans="1:24" ht="15.75" customHeight="1" x14ac:dyDescent="0.3">
      <c r="A580" s="144"/>
      <c r="B580" s="136"/>
      <c r="C580" s="136"/>
      <c r="D580" s="136"/>
      <c r="E580" s="145"/>
      <c r="F580" s="136"/>
      <c r="G580" s="136"/>
      <c r="H580" s="136"/>
      <c r="I580" s="145"/>
      <c r="J580" s="136"/>
      <c r="K580" s="136"/>
      <c r="L580" s="136"/>
      <c r="M580" s="145"/>
      <c r="N580" s="136"/>
      <c r="O580" s="136"/>
      <c r="P580" s="136"/>
      <c r="Q580" s="146"/>
      <c r="R580" s="136"/>
      <c r="S580" s="136"/>
      <c r="T580" s="136"/>
      <c r="U580" s="146"/>
      <c r="V580" s="136"/>
      <c r="W580" s="136"/>
      <c r="X580" s="136"/>
    </row>
    <row r="581" spans="1:24" ht="15.75" customHeight="1" x14ac:dyDescent="0.3">
      <c r="A581" s="144"/>
      <c r="B581" s="136"/>
      <c r="C581" s="136"/>
      <c r="D581" s="136"/>
      <c r="E581" s="145"/>
      <c r="F581" s="136"/>
      <c r="G581" s="136"/>
      <c r="H581" s="136"/>
      <c r="I581" s="145"/>
      <c r="J581" s="136"/>
      <c r="K581" s="136"/>
      <c r="L581" s="136"/>
      <c r="M581" s="145"/>
      <c r="N581" s="136"/>
      <c r="O581" s="136"/>
      <c r="P581" s="136"/>
      <c r="Q581" s="146"/>
      <c r="R581" s="136"/>
      <c r="S581" s="136"/>
      <c r="T581" s="136"/>
      <c r="U581" s="146"/>
      <c r="V581" s="136"/>
      <c r="W581" s="136"/>
      <c r="X581" s="136"/>
    </row>
    <row r="582" spans="1:24" ht="15.75" customHeight="1" x14ac:dyDescent="0.3">
      <c r="A582" s="144"/>
      <c r="B582" s="136"/>
      <c r="C582" s="136"/>
      <c r="D582" s="136"/>
      <c r="E582" s="145"/>
      <c r="F582" s="136"/>
      <c r="G582" s="136"/>
      <c r="H582" s="136"/>
      <c r="I582" s="145"/>
      <c r="J582" s="136"/>
      <c r="K582" s="136"/>
      <c r="L582" s="136"/>
      <c r="M582" s="145"/>
      <c r="N582" s="136"/>
      <c r="O582" s="136"/>
      <c r="P582" s="136"/>
      <c r="Q582" s="146"/>
      <c r="R582" s="136"/>
      <c r="S582" s="136"/>
      <c r="T582" s="136"/>
      <c r="U582" s="146"/>
      <c r="V582" s="136"/>
      <c r="W582" s="136"/>
      <c r="X582" s="136"/>
    </row>
    <row r="583" spans="1:24" ht="15.75" customHeight="1" x14ac:dyDescent="0.3">
      <c r="A583" s="144"/>
      <c r="B583" s="136"/>
      <c r="C583" s="136"/>
      <c r="D583" s="136"/>
      <c r="E583" s="145"/>
      <c r="F583" s="136"/>
      <c r="G583" s="136"/>
      <c r="H583" s="136"/>
      <c r="I583" s="145"/>
      <c r="J583" s="136"/>
      <c r="K583" s="136"/>
      <c r="L583" s="136"/>
      <c r="M583" s="145"/>
      <c r="N583" s="136"/>
      <c r="O583" s="136"/>
      <c r="P583" s="136"/>
      <c r="Q583" s="146"/>
      <c r="R583" s="136"/>
      <c r="S583" s="136"/>
      <c r="T583" s="136"/>
      <c r="U583" s="146"/>
      <c r="V583" s="136"/>
      <c r="W583" s="136"/>
      <c r="X583" s="136"/>
    </row>
    <row r="584" spans="1:24" ht="15.75" customHeight="1" x14ac:dyDescent="0.3">
      <c r="A584" s="144"/>
      <c r="B584" s="136"/>
      <c r="C584" s="136"/>
      <c r="D584" s="136"/>
      <c r="E584" s="145"/>
      <c r="F584" s="136"/>
      <c r="G584" s="136"/>
      <c r="H584" s="136"/>
      <c r="I584" s="145"/>
      <c r="J584" s="136"/>
      <c r="K584" s="136"/>
      <c r="L584" s="136"/>
      <c r="M584" s="145"/>
      <c r="N584" s="136"/>
      <c r="O584" s="136"/>
      <c r="P584" s="136"/>
      <c r="Q584" s="146"/>
      <c r="R584" s="136"/>
      <c r="S584" s="136"/>
      <c r="T584" s="136"/>
      <c r="U584" s="146"/>
      <c r="V584" s="136"/>
      <c r="W584" s="136"/>
      <c r="X584" s="136"/>
    </row>
    <row r="585" spans="1:24" ht="15.75" customHeight="1" x14ac:dyDescent="0.3">
      <c r="A585" s="144"/>
      <c r="B585" s="136"/>
      <c r="C585" s="136"/>
      <c r="D585" s="136"/>
      <c r="E585" s="145"/>
      <c r="F585" s="136"/>
      <c r="G585" s="136"/>
      <c r="H585" s="136"/>
      <c r="I585" s="145"/>
      <c r="J585" s="136"/>
      <c r="K585" s="136"/>
      <c r="L585" s="136"/>
      <c r="M585" s="145"/>
      <c r="N585" s="136"/>
      <c r="O585" s="136"/>
      <c r="P585" s="136"/>
      <c r="Q585" s="146"/>
      <c r="R585" s="136"/>
      <c r="S585" s="136"/>
      <c r="T585" s="136"/>
      <c r="U585" s="146"/>
      <c r="V585" s="136"/>
      <c r="W585" s="136"/>
      <c r="X585" s="136"/>
    </row>
    <row r="586" spans="1:24" ht="15.75" customHeight="1" x14ac:dyDescent="0.3">
      <c r="A586" s="144"/>
      <c r="B586" s="136"/>
      <c r="C586" s="136"/>
      <c r="D586" s="136"/>
      <c r="E586" s="145"/>
      <c r="F586" s="136"/>
      <c r="G586" s="136"/>
      <c r="H586" s="136"/>
      <c r="I586" s="145"/>
      <c r="J586" s="136"/>
      <c r="K586" s="136"/>
      <c r="L586" s="136"/>
      <c r="M586" s="145"/>
      <c r="N586" s="136"/>
      <c r="O586" s="136"/>
      <c r="P586" s="136"/>
      <c r="Q586" s="146"/>
      <c r="R586" s="136"/>
      <c r="S586" s="136"/>
      <c r="T586" s="136"/>
      <c r="U586" s="146"/>
      <c r="V586" s="136"/>
      <c r="W586" s="136"/>
      <c r="X586" s="136"/>
    </row>
    <row r="587" spans="1:24" ht="15.75" customHeight="1" x14ac:dyDescent="0.3">
      <c r="A587" s="144"/>
      <c r="B587" s="136"/>
      <c r="C587" s="136"/>
      <c r="D587" s="136"/>
      <c r="E587" s="145"/>
      <c r="F587" s="136"/>
      <c r="G587" s="136"/>
      <c r="H587" s="136"/>
      <c r="I587" s="145"/>
      <c r="J587" s="136"/>
      <c r="K587" s="136"/>
      <c r="L587" s="136"/>
      <c r="M587" s="145"/>
      <c r="N587" s="136"/>
      <c r="O587" s="136"/>
      <c r="P587" s="136"/>
      <c r="Q587" s="146"/>
      <c r="R587" s="136"/>
      <c r="S587" s="136"/>
      <c r="T587" s="136"/>
      <c r="U587" s="146"/>
      <c r="V587" s="136"/>
      <c r="W587" s="136"/>
      <c r="X587" s="136"/>
    </row>
    <row r="588" spans="1:24" ht="15.75" customHeight="1" x14ac:dyDescent="0.3">
      <c r="A588" s="144"/>
      <c r="B588" s="136"/>
      <c r="C588" s="136"/>
      <c r="D588" s="136"/>
      <c r="E588" s="145"/>
      <c r="F588" s="136"/>
      <c r="G588" s="136"/>
      <c r="H588" s="136"/>
      <c r="I588" s="145"/>
      <c r="J588" s="136"/>
      <c r="K588" s="136"/>
      <c r="L588" s="136"/>
      <c r="M588" s="145"/>
      <c r="N588" s="136"/>
      <c r="O588" s="136"/>
      <c r="P588" s="136"/>
      <c r="Q588" s="146"/>
      <c r="R588" s="136"/>
      <c r="S588" s="136"/>
      <c r="T588" s="136"/>
      <c r="U588" s="146"/>
      <c r="V588" s="136"/>
      <c r="W588" s="136"/>
      <c r="X588" s="136"/>
    </row>
    <row r="589" spans="1:24" ht="15.75" customHeight="1" x14ac:dyDescent="0.3">
      <c r="A589" s="144"/>
      <c r="B589" s="136"/>
      <c r="C589" s="136"/>
      <c r="D589" s="136"/>
      <c r="E589" s="145"/>
      <c r="F589" s="136"/>
      <c r="G589" s="136"/>
      <c r="H589" s="136"/>
      <c r="I589" s="145"/>
      <c r="J589" s="136"/>
      <c r="K589" s="136"/>
      <c r="L589" s="136"/>
      <c r="M589" s="145"/>
      <c r="N589" s="136"/>
      <c r="O589" s="136"/>
      <c r="P589" s="136"/>
      <c r="Q589" s="146"/>
      <c r="R589" s="136"/>
      <c r="S589" s="136"/>
      <c r="T589" s="136"/>
      <c r="U589" s="146"/>
      <c r="V589" s="136"/>
      <c r="W589" s="136"/>
      <c r="X589" s="136"/>
    </row>
    <row r="590" spans="1:24" ht="15.75" customHeight="1" x14ac:dyDescent="0.3">
      <c r="A590" s="144"/>
      <c r="B590" s="136"/>
      <c r="C590" s="136"/>
      <c r="D590" s="136"/>
      <c r="E590" s="145"/>
      <c r="F590" s="136"/>
      <c r="G590" s="136"/>
      <c r="H590" s="136"/>
      <c r="I590" s="145"/>
      <c r="J590" s="136"/>
      <c r="K590" s="136"/>
      <c r="L590" s="136"/>
      <c r="M590" s="145"/>
      <c r="N590" s="136"/>
      <c r="O590" s="136"/>
      <c r="P590" s="136"/>
      <c r="Q590" s="146"/>
      <c r="R590" s="136"/>
      <c r="S590" s="136"/>
      <c r="T590" s="136"/>
      <c r="U590" s="146"/>
      <c r="V590" s="136"/>
      <c r="W590" s="136"/>
      <c r="X590" s="136"/>
    </row>
    <row r="591" spans="1:24" ht="15.75" customHeight="1" x14ac:dyDescent="0.3">
      <c r="A591" s="144"/>
      <c r="B591" s="136"/>
      <c r="C591" s="136"/>
      <c r="D591" s="136"/>
      <c r="E591" s="145"/>
      <c r="F591" s="136"/>
      <c r="G591" s="136"/>
      <c r="H591" s="136"/>
      <c r="I591" s="145"/>
      <c r="J591" s="136"/>
      <c r="K591" s="136"/>
      <c r="L591" s="136"/>
      <c r="M591" s="145"/>
      <c r="N591" s="136"/>
      <c r="O591" s="136"/>
      <c r="P591" s="136"/>
      <c r="Q591" s="146"/>
      <c r="R591" s="136"/>
      <c r="S591" s="136"/>
      <c r="T591" s="136"/>
      <c r="U591" s="146"/>
      <c r="V591" s="136"/>
      <c r="W591" s="136"/>
      <c r="X591" s="136"/>
    </row>
    <row r="592" spans="1:24" ht="15.75" customHeight="1" x14ac:dyDescent="0.3">
      <c r="A592" s="144"/>
      <c r="B592" s="136"/>
      <c r="C592" s="136"/>
      <c r="D592" s="136"/>
      <c r="E592" s="145"/>
      <c r="F592" s="136"/>
      <c r="G592" s="136"/>
      <c r="H592" s="136"/>
      <c r="I592" s="145"/>
      <c r="J592" s="136"/>
      <c r="K592" s="136"/>
      <c r="L592" s="136"/>
      <c r="M592" s="145"/>
      <c r="N592" s="136"/>
      <c r="O592" s="136"/>
      <c r="P592" s="136"/>
      <c r="Q592" s="146"/>
      <c r="R592" s="136"/>
      <c r="S592" s="136"/>
      <c r="T592" s="136"/>
      <c r="U592" s="146"/>
      <c r="V592" s="136"/>
      <c r="W592" s="136"/>
      <c r="X592" s="136"/>
    </row>
    <row r="593" spans="1:24" ht="15.75" customHeight="1" x14ac:dyDescent="0.3">
      <c r="A593" s="144"/>
      <c r="B593" s="136"/>
      <c r="C593" s="136"/>
      <c r="D593" s="136"/>
      <c r="E593" s="145"/>
      <c r="F593" s="136"/>
      <c r="G593" s="136"/>
      <c r="H593" s="136"/>
      <c r="I593" s="145"/>
      <c r="J593" s="136"/>
      <c r="K593" s="136"/>
      <c r="L593" s="136"/>
      <c r="M593" s="145"/>
      <c r="N593" s="136"/>
      <c r="O593" s="136"/>
      <c r="P593" s="136"/>
      <c r="Q593" s="146"/>
      <c r="R593" s="136"/>
      <c r="S593" s="136"/>
      <c r="T593" s="136"/>
      <c r="U593" s="146"/>
      <c r="V593" s="136"/>
      <c r="W593" s="136"/>
      <c r="X593" s="136"/>
    </row>
    <row r="594" spans="1:24" ht="15.75" customHeight="1" x14ac:dyDescent="0.3">
      <c r="A594" s="144"/>
      <c r="B594" s="136"/>
      <c r="C594" s="136"/>
      <c r="D594" s="136"/>
      <c r="E594" s="145"/>
      <c r="F594" s="136"/>
      <c r="G594" s="136"/>
      <c r="H594" s="136"/>
      <c r="I594" s="145"/>
      <c r="J594" s="136"/>
      <c r="K594" s="136"/>
      <c r="L594" s="136"/>
      <c r="M594" s="145"/>
      <c r="N594" s="136"/>
      <c r="O594" s="136"/>
      <c r="P594" s="136"/>
      <c r="Q594" s="146"/>
      <c r="R594" s="136"/>
      <c r="S594" s="136"/>
      <c r="T594" s="136"/>
      <c r="U594" s="146"/>
      <c r="V594" s="136"/>
      <c r="W594" s="136"/>
      <c r="X594" s="136"/>
    </row>
    <row r="595" spans="1:24" ht="15.75" customHeight="1" x14ac:dyDescent="0.3">
      <c r="A595" s="144"/>
      <c r="B595" s="136"/>
      <c r="C595" s="136"/>
      <c r="D595" s="136"/>
      <c r="E595" s="145"/>
      <c r="F595" s="136"/>
      <c r="G595" s="136"/>
      <c r="H595" s="136"/>
      <c r="I595" s="145"/>
      <c r="J595" s="136"/>
      <c r="K595" s="136"/>
      <c r="L595" s="136"/>
      <c r="M595" s="145"/>
      <c r="N595" s="136"/>
      <c r="O595" s="136"/>
      <c r="P595" s="136"/>
      <c r="Q595" s="146"/>
      <c r="R595" s="136"/>
      <c r="S595" s="136"/>
      <c r="T595" s="136"/>
      <c r="U595" s="146"/>
      <c r="V595" s="136"/>
      <c r="W595" s="136"/>
      <c r="X595" s="136"/>
    </row>
    <row r="596" spans="1:24" ht="15.75" customHeight="1" x14ac:dyDescent="0.3">
      <c r="A596" s="144"/>
      <c r="B596" s="136"/>
      <c r="C596" s="136"/>
      <c r="D596" s="136"/>
      <c r="E596" s="145"/>
      <c r="F596" s="136"/>
      <c r="G596" s="136"/>
      <c r="H596" s="136"/>
      <c r="I596" s="145"/>
      <c r="J596" s="136"/>
      <c r="K596" s="136"/>
      <c r="L596" s="136"/>
      <c r="M596" s="145"/>
      <c r="N596" s="136"/>
      <c r="O596" s="136"/>
      <c r="P596" s="136"/>
      <c r="Q596" s="146"/>
      <c r="R596" s="136"/>
      <c r="S596" s="136"/>
      <c r="T596" s="136"/>
      <c r="U596" s="146"/>
      <c r="V596" s="136"/>
      <c r="W596" s="136"/>
      <c r="X596" s="136"/>
    </row>
    <row r="597" spans="1:24" ht="15.75" customHeight="1" x14ac:dyDescent="0.3">
      <c r="A597" s="144"/>
      <c r="B597" s="136"/>
      <c r="C597" s="136"/>
      <c r="D597" s="136"/>
      <c r="E597" s="145"/>
      <c r="F597" s="136"/>
      <c r="G597" s="136"/>
      <c r="H597" s="136"/>
      <c r="I597" s="145"/>
      <c r="J597" s="136"/>
      <c r="K597" s="136"/>
      <c r="L597" s="136"/>
      <c r="M597" s="145"/>
      <c r="N597" s="136"/>
      <c r="O597" s="136"/>
      <c r="P597" s="136"/>
      <c r="Q597" s="146"/>
      <c r="R597" s="136"/>
      <c r="S597" s="136"/>
      <c r="T597" s="136"/>
      <c r="U597" s="146"/>
      <c r="V597" s="136"/>
      <c r="W597" s="136"/>
      <c r="X597" s="136"/>
    </row>
    <row r="598" spans="1:24" ht="15.75" customHeight="1" x14ac:dyDescent="0.3">
      <c r="A598" s="144"/>
      <c r="B598" s="136"/>
      <c r="C598" s="136"/>
      <c r="D598" s="136"/>
      <c r="E598" s="145"/>
      <c r="F598" s="136"/>
      <c r="G598" s="136"/>
      <c r="H598" s="136"/>
      <c r="I598" s="145"/>
      <c r="J598" s="136"/>
      <c r="K598" s="136"/>
      <c r="L598" s="136"/>
      <c r="M598" s="145"/>
      <c r="N598" s="136"/>
      <c r="O598" s="136"/>
      <c r="P598" s="136"/>
      <c r="Q598" s="146"/>
      <c r="R598" s="136"/>
      <c r="S598" s="136"/>
      <c r="T598" s="136"/>
      <c r="U598" s="146"/>
      <c r="V598" s="136"/>
      <c r="W598" s="136"/>
      <c r="X598" s="136"/>
    </row>
    <row r="599" spans="1:24" ht="15.75" customHeight="1" x14ac:dyDescent="0.3">
      <c r="A599" s="144"/>
      <c r="B599" s="136"/>
      <c r="C599" s="136"/>
      <c r="D599" s="136"/>
      <c r="E599" s="145"/>
      <c r="F599" s="136"/>
      <c r="G599" s="136"/>
      <c r="H599" s="136"/>
      <c r="I599" s="145"/>
      <c r="J599" s="136"/>
      <c r="K599" s="136"/>
      <c r="L599" s="136"/>
      <c r="M599" s="145"/>
      <c r="N599" s="136"/>
      <c r="O599" s="136"/>
      <c r="P599" s="136"/>
      <c r="Q599" s="146"/>
      <c r="R599" s="136"/>
      <c r="S599" s="136"/>
      <c r="T599" s="136"/>
      <c r="U599" s="146"/>
      <c r="V599" s="136"/>
      <c r="W599" s="136"/>
      <c r="X599" s="136"/>
    </row>
    <row r="600" spans="1:24" ht="15.75" customHeight="1" x14ac:dyDescent="0.3">
      <c r="A600" s="144"/>
      <c r="B600" s="136"/>
      <c r="C600" s="136"/>
      <c r="D600" s="136"/>
      <c r="E600" s="145"/>
      <c r="F600" s="136"/>
      <c r="G600" s="136"/>
      <c r="H600" s="136"/>
      <c r="I600" s="145"/>
      <c r="J600" s="136"/>
      <c r="K600" s="136"/>
      <c r="L600" s="136"/>
      <c r="M600" s="145"/>
      <c r="N600" s="136"/>
      <c r="O600" s="136"/>
      <c r="P600" s="136"/>
      <c r="Q600" s="146"/>
      <c r="R600" s="136"/>
      <c r="S600" s="136"/>
      <c r="T600" s="136"/>
      <c r="U600" s="146"/>
      <c r="V600" s="136"/>
      <c r="W600" s="136"/>
      <c r="X600" s="136"/>
    </row>
    <row r="601" spans="1:24" ht="15.75" customHeight="1" x14ac:dyDescent="0.3">
      <c r="A601" s="144"/>
      <c r="B601" s="136"/>
      <c r="C601" s="136"/>
      <c r="D601" s="136"/>
      <c r="E601" s="145"/>
      <c r="F601" s="136"/>
      <c r="G601" s="136"/>
      <c r="H601" s="136"/>
      <c r="I601" s="145"/>
      <c r="J601" s="136"/>
      <c r="K601" s="136"/>
      <c r="L601" s="136"/>
      <c r="M601" s="145"/>
      <c r="N601" s="136"/>
      <c r="O601" s="136"/>
      <c r="P601" s="136"/>
      <c r="Q601" s="146"/>
      <c r="R601" s="136"/>
      <c r="S601" s="136"/>
      <c r="T601" s="136"/>
      <c r="U601" s="146"/>
      <c r="V601" s="136"/>
      <c r="W601" s="136"/>
      <c r="X601" s="136"/>
    </row>
    <row r="602" spans="1:24" ht="15.75" customHeight="1" x14ac:dyDescent="0.3">
      <c r="A602" s="144"/>
      <c r="B602" s="136"/>
      <c r="C602" s="136"/>
      <c r="D602" s="136"/>
      <c r="E602" s="145"/>
      <c r="F602" s="136"/>
      <c r="G602" s="136"/>
      <c r="H602" s="136"/>
      <c r="I602" s="145"/>
      <c r="J602" s="136"/>
      <c r="K602" s="136"/>
      <c r="L602" s="136"/>
      <c r="M602" s="145"/>
      <c r="N602" s="136"/>
      <c r="O602" s="136"/>
      <c r="P602" s="136"/>
      <c r="Q602" s="146"/>
      <c r="R602" s="136"/>
      <c r="S602" s="136"/>
      <c r="T602" s="136"/>
      <c r="U602" s="146"/>
      <c r="V602" s="136"/>
      <c r="W602" s="136"/>
      <c r="X602" s="136"/>
    </row>
    <row r="603" spans="1:24" ht="15.75" customHeight="1" x14ac:dyDescent="0.3">
      <c r="A603" s="144"/>
      <c r="B603" s="136"/>
      <c r="C603" s="136"/>
      <c r="D603" s="136"/>
      <c r="E603" s="145"/>
      <c r="F603" s="136"/>
      <c r="G603" s="136"/>
      <c r="H603" s="136"/>
      <c r="I603" s="145"/>
      <c r="J603" s="136"/>
      <c r="K603" s="136"/>
      <c r="L603" s="136"/>
      <c r="M603" s="145"/>
      <c r="N603" s="136"/>
      <c r="O603" s="136"/>
      <c r="P603" s="136"/>
      <c r="Q603" s="146"/>
      <c r="R603" s="136"/>
      <c r="S603" s="136"/>
      <c r="T603" s="136"/>
      <c r="U603" s="146"/>
      <c r="V603" s="136"/>
      <c r="W603" s="136"/>
      <c r="X603" s="136"/>
    </row>
    <row r="604" spans="1:24" ht="15.75" customHeight="1" x14ac:dyDescent="0.3">
      <c r="A604" s="144"/>
      <c r="B604" s="136"/>
      <c r="C604" s="136"/>
      <c r="D604" s="136"/>
      <c r="E604" s="145"/>
      <c r="F604" s="136"/>
      <c r="G604" s="136"/>
      <c r="H604" s="136"/>
      <c r="I604" s="145"/>
      <c r="J604" s="136"/>
      <c r="K604" s="136"/>
      <c r="L604" s="136"/>
      <c r="M604" s="145"/>
      <c r="N604" s="136"/>
      <c r="O604" s="136"/>
      <c r="P604" s="136"/>
      <c r="Q604" s="146"/>
      <c r="R604" s="136"/>
      <c r="S604" s="136"/>
      <c r="T604" s="136"/>
      <c r="U604" s="146"/>
      <c r="V604" s="136"/>
      <c r="W604" s="136"/>
      <c r="X604" s="136"/>
    </row>
    <row r="605" spans="1:24" ht="15.75" customHeight="1" x14ac:dyDescent="0.3">
      <c r="A605" s="144"/>
      <c r="B605" s="136"/>
      <c r="C605" s="136"/>
      <c r="D605" s="136"/>
      <c r="E605" s="145"/>
      <c r="F605" s="136"/>
      <c r="G605" s="136"/>
      <c r="H605" s="136"/>
      <c r="I605" s="145"/>
      <c r="J605" s="136"/>
      <c r="K605" s="136"/>
      <c r="L605" s="136"/>
      <c r="M605" s="145"/>
      <c r="N605" s="136"/>
      <c r="O605" s="136"/>
      <c r="P605" s="136"/>
      <c r="Q605" s="146"/>
      <c r="R605" s="136"/>
      <c r="S605" s="136"/>
      <c r="T605" s="136"/>
      <c r="U605" s="146"/>
      <c r="V605" s="136"/>
      <c r="W605" s="136"/>
      <c r="X605" s="136"/>
    </row>
    <row r="606" spans="1:24" ht="15.75" customHeight="1" x14ac:dyDescent="0.3">
      <c r="A606" s="144"/>
      <c r="B606" s="136"/>
      <c r="C606" s="136"/>
      <c r="D606" s="136"/>
      <c r="E606" s="145"/>
      <c r="F606" s="136"/>
      <c r="G606" s="136"/>
      <c r="H606" s="136"/>
      <c r="I606" s="145"/>
      <c r="J606" s="136"/>
      <c r="K606" s="136"/>
      <c r="L606" s="136"/>
      <c r="M606" s="145"/>
      <c r="N606" s="136"/>
      <c r="O606" s="136"/>
      <c r="P606" s="136"/>
      <c r="Q606" s="146"/>
      <c r="R606" s="136"/>
      <c r="S606" s="136"/>
      <c r="T606" s="136"/>
      <c r="U606" s="146"/>
      <c r="V606" s="136"/>
      <c r="W606" s="136"/>
      <c r="X606" s="136"/>
    </row>
    <row r="607" spans="1:24" ht="15.75" customHeight="1" x14ac:dyDescent="0.3">
      <c r="A607" s="144"/>
      <c r="B607" s="136"/>
      <c r="C607" s="136"/>
      <c r="D607" s="136"/>
      <c r="E607" s="145"/>
      <c r="F607" s="136"/>
      <c r="G607" s="136"/>
      <c r="H607" s="136"/>
      <c r="I607" s="145"/>
      <c r="J607" s="136"/>
      <c r="K607" s="136"/>
      <c r="L607" s="136"/>
      <c r="M607" s="145"/>
      <c r="N607" s="136"/>
      <c r="O607" s="136"/>
      <c r="P607" s="136"/>
      <c r="Q607" s="146"/>
      <c r="R607" s="136"/>
      <c r="S607" s="136"/>
      <c r="T607" s="136"/>
      <c r="U607" s="146"/>
      <c r="V607" s="136"/>
      <c r="W607" s="136"/>
      <c r="X607" s="136"/>
    </row>
    <row r="608" spans="1:24" ht="15.75" customHeight="1" x14ac:dyDescent="0.3">
      <c r="A608" s="144"/>
      <c r="B608" s="136"/>
      <c r="C608" s="136"/>
      <c r="D608" s="136"/>
      <c r="E608" s="145"/>
      <c r="F608" s="136"/>
      <c r="G608" s="136"/>
      <c r="H608" s="136"/>
      <c r="I608" s="145"/>
      <c r="J608" s="136"/>
      <c r="K608" s="136"/>
      <c r="L608" s="136"/>
      <c r="M608" s="145"/>
      <c r="N608" s="136"/>
      <c r="O608" s="136"/>
      <c r="P608" s="136"/>
      <c r="Q608" s="146"/>
      <c r="R608" s="136"/>
      <c r="S608" s="136"/>
      <c r="T608" s="136"/>
      <c r="U608" s="146"/>
      <c r="V608" s="136"/>
      <c r="W608" s="136"/>
      <c r="X608" s="136"/>
    </row>
    <row r="609" spans="1:24" ht="15.75" customHeight="1" x14ac:dyDescent="0.3">
      <c r="A609" s="144"/>
      <c r="B609" s="136"/>
      <c r="C609" s="136"/>
      <c r="D609" s="136"/>
      <c r="E609" s="145"/>
      <c r="F609" s="136"/>
      <c r="G609" s="136"/>
      <c r="H609" s="136"/>
      <c r="I609" s="145"/>
      <c r="J609" s="136"/>
      <c r="K609" s="136"/>
      <c r="L609" s="136"/>
      <c r="M609" s="145"/>
      <c r="N609" s="136"/>
      <c r="O609" s="136"/>
      <c r="P609" s="136"/>
      <c r="Q609" s="146"/>
      <c r="R609" s="136"/>
      <c r="S609" s="136"/>
      <c r="T609" s="136"/>
      <c r="U609" s="146"/>
      <c r="V609" s="136"/>
      <c r="W609" s="136"/>
      <c r="X609" s="136"/>
    </row>
    <row r="610" spans="1:24" ht="15.75" customHeight="1" x14ac:dyDescent="0.3">
      <c r="A610" s="144"/>
      <c r="B610" s="136"/>
      <c r="C610" s="136"/>
      <c r="D610" s="136"/>
      <c r="E610" s="145"/>
      <c r="F610" s="136"/>
      <c r="G610" s="136"/>
      <c r="H610" s="136"/>
      <c r="I610" s="145"/>
      <c r="J610" s="136"/>
      <c r="K610" s="136"/>
      <c r="L610" s="136"/>
      <c r="M610" s="145"/>
      <c r="N610" s="136"/>
      <c r="O610" s="136"/>
      <c r="P610" s="136"/>
      <c r="Q610" s="146"/>
      <c r="R610" s="136"/>
      <c r="S610" s="136"/>
      <c r="T610" s="136"/>
      <c r="U610" s="146"/>
      <c r="V610" s="136"/>
      <c r="W610" s="136"/>
      <c r="X610" s="136"/>
    </row>
    <row r="611" spans="1:24" ht="15.75" customHeight="1" x14ac:dyDescent="0.3">
      <c r="A611" s="144"/>
      <c r="B611" s="136"/>
      <c r="C611" s="136"/>
      <c r="D611" s="136"/>
      <c r="E611" s="145"/>
      <c r="F611" s="136"/>
      <c r="G611" s="136"/>
      <c r="H611" s="136"/>
      <c r="I611" s="145"/>
      <c r="J611" s="136"/>
      <c r="K611" s="136"/>
      <c r="L611" s="136"/>
      <c r="M611" s="145"/>
      <c r="N611" s="136"/>
      <c r="O611" s="136"/>
      <c r="P611" s="136"/>
      <c r="Q611" s="146"/>
      <c r="R611" s="136"/>
      <c r="S611" s="136"/>
      <c r="T611" s="136"/>
      <c r="U611" s="146"/>
      <c r="V611" s="136"/>
      <c r="W611" s="136"/>
      <c r="X611" s="136"/>
    </row>
    <row r="612" spans="1:24" ht="15.75" customHeight="1" x14ac:dyDescent="0.3">
      <c r="A612" s="144"/>
      <c r="B612" s="136"/>
      <c r="C612" s="136"/>
      <c r="D612" s="136"/>
      <c r="E612" s="145"/>
      <c r="F612" s="136"/>
      <c r="G612" s="136"/>
      <c r="H612" s="136"/>
      <c r="I612" s="145"/>
      <c r="J612" s="136"/>
      <c r="K612" s="136"/>
      <c r="L612" s="136"/>
      <c r="M612" s="145"/>
      <c r="N612" s="136"/>
      <c r="O612" s="136"/>
      <c r="P612" s="136"/>
      <c r="Q612" s="146"/>
      <c r="R612" s="136"/>
      <c r="S612" s="136"/>
      <c r="T612" s="136"/>
      <c r="U612" s="146"/>
      <c r="V612" s="136"/>
      <c r="W612" s="136"/>
      <c r="X612" s="136"/>
    </row>
    <row r="613" spans="1:24" ht="15.75" customHeight="1" x14ac:dyDescent="0.3">
      <c r="A613" s="144"/>
      <c r="B613" s="136"/>
      <c r="C613" s="136"/>
      <c r="D613" s="136"/>
      <c r="E613" s="145"/>
      <c r="F613" s="136"/>
      <c r="G613" s="136"/>
      <c r="H613" s="136"/>
      <c r="I613" s="145"/>
      <c r="J613" s="136"/>
      <c r="K613" s="136"/>
      <c r="L613" s="136"/>
      <c r="M613" s="145"/>
      <c r="N613" s="136"/>
      <c r="O613" s="136"/>
      <c r="P613" s="136"/>
      <c r="Q613" s="146"/>
      <c r="R613" s="136"/>
      <c r="S613" s="136"/>
      <c r="T613" s="136"/>
      <c r="U613" s="146"/>
      <c r="V613" s="136"/>
      <c r="W613" s="136"/>
      <c r="X613" s="136"/>
    </row>
    <row r="614" spans="1:24" ht="15.75" customHeight="1" x14ac:dyDescent="0.3">
      <c r="A614" s="144"/>
      <c r="B614" s="136"/>
      <c r="C614" s="136"/>
      <c r="D614" s="136"/>
      <c r="E614" s="145"/>
      <c r="F614" s="136"/>
      <c r="G614" s="136"/>
      <c r="H614" s="136"/>
      <c r="I614" s="145"/>
      <c r="J614" s="136"/>
      <c r="K614" s="136"/>
      <c r="L614" s="136"/>
      <c r="M614" s="145"/>
      <c r="N614" s="136"/>
      <c r="O614" s="136"/>
      <c r="P614" s="136"/>
      <c r="Q614" s="146"/>
      <c r="R614" s="136"/>
      <c r="S614" s="136"/>
      <c r="T614" s="136"/>
      <c r="U614" s="146"/>
      <c r="V614" s="136"/>
      <c r="W614" s="136"/>
      <c r="X614" s="136"/>
    </row>
    <row r="615" spans="1:24" ht="15.75" customHeight="1" x14ac:dyDescent="0.3">
      <c r="A615" s="144"/>
      <c r="B615" s="136"/>
      <c r="C615" s="136"/>
      <c r="D615" s="136"/>
      <c r="E615" s="145"/>
      <c r="F615" s="136"/>
      <c r="G615" s="136"/>
      <c r="H615" s="136"/>
      <c r="I615" s="145"/>
      <c r="J615" s="136"/>
      <c r="K615" s="136"/>
      <c r="L615" s="136"/>
      <c r="M615" s="145"/>
      <c r="N615" s="136"/>
      <c r="O615" s="136"/>
      <c r="P615" s="136"/>
      <c r="Q615" s="146"/>
      <c r="R615" s="136"/>
      <c r="S615" s="136"/>
      <c r="T615" s="136"/>
      <c r="U615" s="146"/>
      <c r="V615" s="136"/>
      <c r="W615" s="136"/>
      <c r="X615" s="136"/>
    </row>
    <row r="616" spans="1:24" ht="15.75" customHeight="1" x14ac:dyDescent="0.3">
      <c r="A616" s="144"/>
      <c r="B616" s="136"/>
      <c r="C616" s="136"/>
      <c r="D616" s="136"/>
      <c r="E616" s="145"/>
      <c r="F616" s="136"/>
      <c r="G616" s="136"/>
      <c r="H616" s="136"/>
      <c r="I616" s="145"/>
      <c r="J616" s="136"/>
      <c r="K616" s="136"/>
      <c r="L616" s="136"/>
      <c r="M616" s="145"/>
      <c r="N616" s="136"/>
      <c r="O616" s="136"/>
      <c r="P616" s="136"/>
      <c r="Q616" s="146"/>
      <c r="R616" s="136"/>
      <c r="S616" s="136"/>
      <c r="T616" s="136"/>
      <c r="U616" s="146"/>
      <c r="V616" s="136"/>
      <c r="W616" s="136"/>
      <c r="X616" s="136"/>
    </row>
    <row r="617" spans="1:24" ht="15.75" customHeight="1" x14ac:dyDescent="0.3">
      <c r="A617" s="144"/>
      <c r="B617" s="136"/>
      <c r="C617" s="136"/>
      <c r="D617" s="136"/>
      <c r="E617" s="145"/>
      <c r="F617" s="136"/>
      <c r="G617" s="136"/>
      <c r="H617" s="136"/>
      <c r="I617" s="145"/>
      <c r="J617" s="136"/>
      <c r="K617" s="136"/>
      <c r="L617" s="136"/>
      <c r="M617" s="145"/>
      <c r="N617" s="136"/>
      <c r="O617" s="136"/>
      <c r="P617" s="136"/>
      <c r="Q617" s="146"/>
      <c r="R617" s="136"/>
      <c r="S617" s="136"/>
      <c r="T617" s="136"/>
      <c r="U617" s="146"/>
      <c r="V617" s="136"/>
      <c r="W617" s="136"/>
      <c r="X617" s="136"/>
    </row>
    <row r="618" spans="1:24" ht="15.75" customHeight="1" x14ac:dyDescent="0.3">
      <c r="A618" s="144"/>
      <c r="B618" s="136"/>
      <c r="C618" s="136"/>
      <c r="D618" s="136"/>
      <c r="E618" s="145"/>
      <c r="F618" s="136"/>
      <c r="G618" s="136"/>
      <c r="H618" s="136"/>
      <c r="I618" s="145"/>
      <c r="J618" s="136"/>
      <c r="K618" s="136"/>
      <c r="L618" s="136"/>
      <c r="M618" s="145"/>
      <c r="N618" s="136"/>
      <c r="O618" s="136"/>
      <c r="P618" s="136"/>
      <c r="Q618" s="146"/>
      <c r="R618" s="136"/>
      <c r="S618" s="136"/>
      <c r="T618" s="136"/>
      <c r="U618" s="146"/>
      <c r="V618" s="136"/>
      <c r="W618" s="136"/>
      <c r="X618" s="136"/>
    </row>
    <row r="619" spans="1:24" ht="15.75" customHeight="1" x14ac:dyDescent="0.3">
      <c r="A619" s="144"/>
      <c r="B619" s="136"/>
      <c r="C619" s="136"/>
      <c r="D619" s="136"/>
      <c r="E619" s="145"/>
      <c r="F619" s="136"/>
      <c r="G619" s="136"/>
      <c r="H619" s="136"/>
      <c r="I619" s="145"/>
      <c r="J619" s="136"/>
      <c r="K619" s="136"/>
      <c r="L619" s="136"/>
      <c r="M619" s="145"/>
      <c r="N619" s="136"/>
      <c r="O619" s="136"/>
      <c r="P619" s="136"/>
      <c r="Q619" s="146"/>
      <c r="R619" s="136"/>
      <c r="S619" s="136"/>
      <c r="T619" s="136"/>
      <c r="U619" s="146"/>
      <c r="V619" s="136"/>
      <c r="W619" s="136"/>
      <c r="X619" s="136"/>
    </row>
    <row r="620" spans="1:24" ht="15.75" customHeight="1" x14ac:dyDescent="0.3">
      <c r="A620" s="144"/>
      <c r="B620" s="136"/>
      <c r="C620" s="136"/>
      <c r="D620" s="136"/>
      <c r="E620" s="145"/>
      <c r="F620" s="136"/>
      <c r="G620" s="136"/>
      <c r="H620" s="136"/>
      <c r="I620" s="145"/>
      <c r="J620" s="136"/>
      <c r="K620" s="136"/>
      <c r="L620" s="136"/>
      <c r="M620" s="145"/>
      <c r="N620" s="136"/>
      <c r="O620" s="136"/>
      <c r="P620" s="136"/>
      <c r="Q620" s="146"/>
      <c r="R620" s="136"/>
      <c r="S620" s="136"/>
      <c r="T620" s="136"/>
      <c r="U620" s="146"/>
      <c r="V620" s="136"/>
      <c r="W620" s="136"/>
      <c r="X620" s="136"/>
    </row>
    <row r="621" spans="1:24" ht="15.75" customHeight="1" x14ac:dyDescent="0.3">
      <c r="A621" s="144"/>
      <c r="B621" s="136"/>
      <c r="C621" s="136"/>
      <c r="D621" s="136"/>
      <c r="E621" s="145"/>
      <c r="F621" s="136"/>
      <c r="G621" s="136"/>
      <c r="H621" s="136"/>
      <c r="I621" s="145"/>
      <c r="J621" s="136"/>
      <c r="K621" s="136"/>
      <c r="L621" s="136"/>
      <c r="M621" s="145"/>
      <c r="N621" s="136"/>
      <c r="O621" s="136"/>
      <c r="P621" s="136"/>
      <c r="Q621" s="146"/>
      <c r="R621" s="136"/>
      <c r="S621" s="136"/>
      <c r="T621" s="136"/>
      <c r="U621" s="146"/>
      <c r="V621" s="136"/>
      <c r="W621" s="136"/>
      <c r="X621" s="136"/>
    </row>
    <row r="622" spans="1:24" ht="15.75" customHeight="1" x14ac:dyDescent="0.3">
      <c r="A622" s="144"/>
      <c r="B622" s="136"/>
      <c r="C622" s="136"/>
      <c r="D622" s="136"/>
      <c r="E622" s="145"/>
      <c r="F622" s="136"/>
      <c r="G622" s="136"/>
      <c r="H622" s="136"/>
      <c r="I622" s="145"/>
      <c r="J622" s="136"/>
      <c r="K622" s="136"/>
      <c r="L622" s="136"/>
      <c r="M622" s="145"/>
      <c r="N622" s="136"/>
      <c r="O622" s="136"/>
      <c r="P622" s="136"/>
      <c r="Q622" s="146"/>
      <c r="R622" s="136"/>
      <c r="S622" s="136"/>
      <c r="T622" s="136"/>
      <c r="U622" s="146"/>
      <c r="V622" s="136"/>
      <c r="W622" s="136"/>
      <c r="X622" s="136"/>
    </row>
    <row r="623" spans="1:24" ht="15.75" customHeight="1" x14ac:dyDescent="0.3">
      <c r="A623" s="144"/>
      <c r="B623" s="136"/>
      <c r="C623" s="136"/>
      <c r="D623" s="136"/>
      <c r="E623" s="145"/>
      <c r="F623" s="136"/>
      <c r="G623" s="136"/>
      <c r="H623" s="136"/>
      <c r="I623" s="145"/>
      <c r="J623" s="136"/>
      <c r="K623" s="136"/>
      <c r="L623" s="136"/>
      <c r="M623" s="145"/>
      <c r="N623" s="136"/>
      <c r="O623" s="136"/>
      <c r="P623" s="136"/>
      <c r="Q623" s="146"/>
      <c r="R623" s="136"/>
      <c r="S623" s="136"/>
      <c r="T623" s="136"/>
      <c r="U623" s="146"/>
      <c r="V623" s="136"/>
      <c r="W623" s="136"/>
      <c r="X623" s="136"/>
    </row>
    <row r="624" spans="1:24" ht="15.75" customHeight="1" x14ac:dyDescent="0.3">
      <c r="A624" s="144"/>
      <c r="B624" s="136"/>
      <c r="C624" s="136"/>
      <c r="D624" s="136"/>
      <c r="E624" s="145"/>
      <c r="F624" s="136"/>
      <c r="G624" s="136"/>
      <c r="H624" s="136"/>
      <c r="I624" s="145"/>
      <c r="J624" s="136"/>
      <c r="K624" s="136"/>
      <c r="L624" s="136"/>
      <c r="M624" s="145"/>
      <c r="N624" s="136"/>
      <c r="O624" s="136"/>
      <c r="P624" s="136"/>
      <c r="Q624" s="146"/>
      <c r="R624" s="136"/>
      <c r="S624" s="136"/>
      <c r="T624" s="136"/>
      <c r="U624" s="146"/>
      <c r="V624" s="136"/>
      <c r="W624" s="136"/>
      <c r="X624" s="136"/>
    </row>
    <row r="625" spans="1:24" ht="15.75" customHeight="1" x14ac:dyDescent="0.3">
      <c r="A625" s="144"/>
      <c r="B625" s="136"/>
      <c r="C625" s="136"/>
      <c r="D625" s="136"/>
      <c r="E625" s="145"/>
      <c r="F625" s="136"/>
      <c r="G625" s="136"/>
      <c r="H625" s="136"/>
      <c r="I625" s="145"/>
      <c r="J625" s="136"/>
      <c r="K625" s="136"/>
      <c r="L625" s="136"/>
      <c r="M625" s="145"/>
      <c r="N625" s="136"/>
      <c r="O625" s="136"/>
      <c r="P625" s="136"/>
      <c r="Q625" s="146"/>
      <c r="R625" s="136"/>
      <c r="S625" s="136"/>
      <c r="T625" s="136"/>
      <c r="U625" s="146"/>
      <c r="V625" s="136"/>
      <c r="W625" s="136"/>
      <c r="X625" s="136"/>
    </row>
    <row r="626" spans="1:24" ht="15.75" customHeight="1" x14ac:dyDescent="0.3">
      <c r="A626" s="144"/>
      <c r="B626" s="136"/>
      <c r="C626" s="136"/>
      <c r="D626" s="136"/>
      <c r="E626" s="145"/>
      <c r="F626" s="136"/>
      <c r="G626" s="136"/>
      <c r="H626" s="136"/>
      <c r="I626" s="145"/>
      <c r="J626" s="136"/>
      <c r="K626" s="136"/>
      <c r="L626" s="136"/>
      <c r="M626" s="145"/>
      <c r="N626" s="136"/>
      <c r="O626" s="136"/>
      <c r="P626" s="136"/>
      <c r="Q626" s="146"/>
      <c r="R626" s="136"/>
      <c r="S626" s="136"/>
      <c r="T626" s="136"/>
      <c r="U626" s="146"/>
      <c r="V626" s="136"/>
      <c r="W626" s="136"/>
      <c r="X626" s="136"/>
    </row>
    <row r="627" spans="1:24" ht="15.75" customHeight="1" x14ac:dyDescent="0.3">
      <c r="A627" s="144"/>
      <c r="B627" s="136"/>
      <c r="C627" s="136"/>
      <c r="D627" s="136"/>
      <c r="E627" s="145"/>
      <c r="F627" s="136"/>
      <c r="G627" s="136"/>
      <c r="H627" s="136"/>
      <c r="I627" s="145"/>
      <c r="J627" s="136"/>
      <c r="K627" s="136"/>
      <c r="L627" s="136"/>
      <c r="M627" s="145"/>
      <c r="N627" s="136"/>
      <c r="O627" s="136"/>
      <c r="P627" s="136"/>
      <c r="Q627" s="146"/>
      <c r="R627" s="136"/>
      <c r="S627" s="136"/>
      <c r="T627" s="136"/>
      <c r="U627" s="146"/>
      <c r="V627" s="136"/>
      <c r="W627" s="136"/>
      <c r="X627" s="136"/>
    </row>
    <row r="628" spans="1:24" ht="15.75" customHeight="1" x14ac:dyDescent="0.3">
      <c r="A628" s="144"/>
      <c r="B628" s="136"/>
      <c r="C628" s="136"/>
      <c r="D628" s="136"/>
      <c r="E628" s="145"/>
      <c r="F628" s="136"/>
      <c r="G628" s="136"/>
      <c r="H628" s="136"/>
      <c r="I628" s="145"/>
      <c r="J628" s="136"/>
      <c r="K628" s="136"/>
      <c r="L628" s="136"/>
      <c r="M628" s="145"/>
      <c r="N628" s="136"/>
      <c r="O628" s="136"/>
      <c r="P628" s="136"/>
      <c r="Q628" s="146"/>
      <c r="R628" s="136"/>
      <c r="S628" s="136"/>
      <c r="T628" s="136"/>
      <c r="U628" s="146"/>
      <c r="V628" s="136"/>
      <c r="W628" s="136"/>
      <c r="X628" s="136"/>
    </row>
    <row r="629" spans="1:24" ht="15.75" customHeight="1" x14ac:dyDescent="0.3">
      <c r="A629" s="144"/>
      <c r="B629" s="136"/>
      <c r="C629" s="136"/>
      <c r="D629" s="136"/>
      <c r="E629" s="145"/>
      <c r="F629" s="136"/>
      <c r="G629" s="136"/>
      <c r="H629" s="136"/>
      <c r="I629" s="145"/>
      <c r="J629" s="136"/>
      <c r="K629" s="136"/>
      <c r="L629" s="136"/>
      <c r="M629" s="145"/>
      <c r="N629" s="136"/>
      <c r="O629" s="136"/>
      <c r="P629" s="136"/>
      <c r="Q629" s="146"/>
      <c r="R629" s="136"/>
      <c r="S629" s="136"/>
      <c r="T629" s="136"/>
      <c r="U629" s="146"/>
      <c r="V629" s="136"/>
      <c r="W629" s="136"/>
      <c r="X629" s="136"/>
    </row>
    <row r="630" spans="1:24" ht="15.75" customHeight="1" x14ac:dyDescent="0.3">
      <c r="A630" s="144"/>
      <c r="B630" s="136"/>
      <c r="C630" s="136"/>
      <c r="D630" s="136"/>
      <c r="E630" s="145"/>
      <c r="F630" s="136"/>
      <c r="G630" s="136"/>
      <c r="H630" s="136"/>
      <c r="I630" s="145"/>
      <c r="J630" s="136"/>
      <c r="K630" s="136"/>
      <c r="L630" s="136"/>
      <c r="M630" s="145"/>
      <c r="N630" s="136"/>
      <c r="O630" s="136"/>
      <c r="P630" s="136"/>
      <c r="Q630" s="146"/>
      <c r="R630" s="136"/>
      <c r="S630" s="136"/>
      <c r="T630" s="136"/>
      <c r="U630" s="146"/>
      <c r="V630" s="136"/>
      <c r="W630" s="136"/>
      <c r="X630" s="136"/>
    </row>
    <row r="631" spans="1:24" ht="15.75" customHeight="1" x14ac:dyDescent="0.3">
      <c r="A631" s="144"/>
      <c r="B631" s="136"/>
      <c r="C631" s="136"/>
      <c r="D631" s="136"/>
      <c r="E631" s="145"/>
      <c r="F631" s="136"/>
      <c r="G631" s="136"/>
      <c r="H631" s="136"/>
      <c r="I631" s="145"/>
      <c r="J631" s="136"/>
      <c r="K631" s="136"/>
      <c r="L631" s="136"/>
      <c r="M631" s="145"/>
      <c r="N631" s="136"/>
      <c r="O631" s="136"/>
      <c r="P631" s="136"/>
      <c r="Q631" s="146"/>
      <c r="R631" s="136"/>
      <c r="S631" s="136"/>
      <c r="T631" s="136"/>
      <c r="U631" s="146"/>
      <c r="V631" s="136"/>
      <c r="W631" s="136"/>
      <c r="X631" s="136"/>
    </row>
    <row r="632" spans="1:24" ht="15.75" customHeight="1" x14ac:dyDescent="0.3">
      <c r="A632" s="144"/>
      <c r="B632" s="136"/>
      <c r="C632" s="136"/>
      <c r="D632" s="136"/>
      <c r="E632" s="145"/>
      <c r="F632" s="136"/>
      <c r="G632" s="136"/>
      <c r="H632" s="136"/>
      <c r="I632" s="145"/>
      <c r="J632" s="136"/>
      <c r="K632" s="136"/>
      <c r="L632" s="136"/>
      <c r="M632" s="145"/>
      <c r="N632" s="136"/>
      <c r="O632" s="136"/>
      <c r="P632" s="136"/>
      <c r="Q632" s="146"/>
      <c r="R632" s="136"/>
      <c r="S632" s="136"/>
      <c r="T632" s="136"/>
      <c r="U632" s="146"/>
      <c r="V632" s="136"/>
      <c r="W632" s="136"/>
      <c r="X632" s="136"/>
    </row>
    <row r="633" spans="1:24" ht="15.75" customHeight="1" x14ac:dyDescent="0.3">
      <c r="A633" s="144"/>
      <c r="B633" s="136"/>
      <c r="C633" s="136"/>
      <c r="D633" s="136"/>
      <c r="E633" s="145"/>
      <c r="F633" s="136"/>
      <c r="G633" s="136"/>
      <c r="H633" s="136"/>
      <c r="I633" s="145"/>
      <c r="J633" s="136"/>
      <c r="K633" s="136"/>
      <c r="L633" s="136"/>
      <c r="M633" s="145"/>
      <c r="N633" s="136"/>
      <c r="O633" s="136"/>
      <c r="P633" s="136"/>
      <c r="Q633" s="146"/>
      <c r="R633" s="136"/>
      <c r="S633" s="136"/>
      <c r="T633" s="136"/>
      <c r="U633" s="146"/>
      <c r="V633" s="136"/>
      <c r="W633" s="136"/>
      <c r="X633" s="136"/>
    </row>
    <row r="634" spans="1:24" ht="15.75" customHeight="1" x14ac:dyDescent="0.3">
      <c r="A634" s="144"/>
      <c r="B634" s="136"/>
      <c r="C634" s="136"/>
      <c r="D634" s="136"/>
      <c r="E634" s="145"/>
      <c r="F634" s="136"/>
      <c r="G634" s="136"/>
      <c r="H634" s="136"/>
      <c r="I634" s="145"/>
      <c r="J634" s="136"/>
      <c r="K634" s="136"/>
      <c r="L634" s="136"/>
      <c r="M634" s="145"/>
      <c r="N634" s="136"/>
      <c r="O634" s="136"/>
      <c r="P634" s="136"/>
      <c r="Q634" s="146"/>
      <c r="R634" s="136"/>
      <c r="S634" s="136"/>
      <c r="T634" s="136"/>
      <c r="U634" s="146"/>
      <c r="V634" s="136"/>
      <c r="W634" s="136"/>
      <c r="X634" s="136"/>
    </row>
    <row r="635" spans="1:24" ht="15.75" customHeight="1" x14ac:dyDescent="0.3">
      <c r="A635" s="144"/>
      <c r="B635" s="136"/>
      <c r="C635" s="136"/>
      <c r="D635" s="136"/>
      <c r="E635" s="145"/>
      <c r="F635" s="136"/>
      <c r="G635" s="136"/>
      <c r="H635" s="136"/>
      <c r="I635" s="145"/>
      <c r="J635" s="136"/>
      <c r="K635" s="136"/>
      <c r="L635" s="136"/>
      <c r="M635" s="145"/>
      <c r="N635" s="136"/>
      <c r="O635" s="136"/>
      <c r="P635" s="136"/>
      <c r="Q635" s="146"/>
      <c r="R635" s="136"/>
      <c r="S635" s="136"/>
      <c r="T635" s="136"/>
      <c r="U635" s="146"/>
      <c r="V635" s="136"/>
      <c r="W635" s="136"/>
      <c r="X635" s="136"/>
    </row>
    <row r="636" spans="1:24" ht="15.75" customHeight="1" x14ac:dyDescent="0.3">
      <c r="A636" s="144"/>
      <c r="B636" s="136"/>
      <c r="C636" s="136"/>
      <c r="D636" s="136"/>
      <c r="E636" s="145"/>
      <c r="F636" s="136"/>
      <c r="G636" s="136"/>
      <c r="H636" s="136"/>
      <c r="I636" s="145"/>
      <c r="J636" s="136"/>
      <c r="K636" s="136"/>
      <c r="L636" s="136"/>
      <c r="M636" s="145"/>
      <c r="N636" s="136"/>
      <c r="O636" s="136"/>
      <c r="P636" s="136"/>
      <c r="Q636" s="146"/>
      <c r="R636" s="136"/>
      <c r="S636" s="136"/>
      <c r="T636" s="136"/>
      <c r="U636" s="146"/>
      <c r="V636" s="136"/>
      <c r="W636" s="136"/>
      <c r="X636" s="136"/>
    </row>
    <row r="637" spans="1:24" ht="15.75" customHeight="1" x14ac:dyDescent="0.3">
      <c r="A637" s="144"/>
      <c r="B637" s="136"/>
      <c r="C637" s="136"/>
      <c r="D637" s="136"/>
      <c r="E637" s="145"/>
      <c r="F637" s="136"/>
      <c r="G637" s="136"/>
      <c r="H637" s="136"/>
      <c r="I637" s="145"/>
      <c r="J637" s="136"/>
      <c r="K637" s="136"/>
      <c r="L637" s="136"/>
      <c r="M637" s="145"/>
      <c r="N637" s="136"/>
      <c r="O637" s="136"/>
      <c r="P637" s="136"/>
      <c r="Q637" s="146"/>
      <c r="R637" s="136"/>
      <c r="S637" s="136"/>
      <c r="T637" s="136"/>
      <c r="U637" s="146"/>
      <c r="V637" s="136"/>
      <c r="W637" s="136"/>
      <c r="X637" s="136"/>
    </row>
    <row r="638" spans="1:24" ht="15.75" customHeight="1" x14ac:dyDescent="0.3">
      <c r="A638" s="144"/>
      <c r="B638" s="136"/>
      <c r="C638" s="136"/>
      <c r="D638" s="136"/>
      <c r="E638" s="145"/>
      <c r="F638" s="136"/>
      <c r="G638" s="136"/>
      <c r="H638" s="136"/>
      <c r="I638" s="145"/>
      <c r="J638" s="136"/>
      <c r="K638" s="136"/>
      <c r="L638" s="136"/>
      <c r="M638" s="145"/>
      <c r="N638" s="136"/>
      <c r="O638" s="136"/>
      <c r="P638" s="136"/>
      <c r="Q638" s="146"/>
      <c r="R638" s="136"/>
      <c r="S638" s="136"/>
      <c r="T638" s="136"/>
      <c r="U638" s="146"/>
      <c r="V638" s="136"/>
      <c r="W638" s="136"/>
      <c r="X638" s="136"/>
    </row>
    <row r="639" spans="1:24" ht="15.75" customHeight="1" x14ac:dyDescent="0.3">
      <c r="A639" s="144"/>
      <c r="B639" s="136"/>
      <c r="C639" s="136"/>
      <c r="D639" s="136"/>
      <c r="E639" s="145"/>
      <c r="F639" s="136"/>
      <c r="G639" s="136"/>
      <c r="H639" s="136"/>
      <c r="I639" s="145"/>
      <c r="J639" s="136"/>
      <c r="K639" s="136"/>
      <c r="L639" s="136"/>
      <c r="M639" s="145"/>
      <c r="N639" s="136"/>
      <c r="O639" s="136"/>
      <c r="P639" s="136"/>
      <c r="Q639" s="146"/>
      <c r="R639" s="136"/>
      <c r="S639" s="136"/>
      <c r="T639" s="136"/>
      <c r="U639" s="146"/>
      <c r="V639" s="136"/>
      <c r="W639" s="136"/>
      <c r="X639" s="136"/>
    </row>
    <row r="640" spans="1:24" ht="15.75" customHeight="1" x14ac:dyDescent="0.3">
      <c r="A640" s="144"/>
      <c r="B640" s="136"/>
      <c r="C640" s="136"/>
      <c r="D640" s="136"/>
      <c r="E640" s="145"/>
      <c r="F640" s="136"/>
      <c r="G640" s="136"/>
      <c r="H640" s="136"/>
      <c r="I640" s="145"/>
      <c r="J640" s="136"/>
      <c r="K640" s="136"/>
      <c r="L640" s="136"/>
      <c r="M640" s="145"/>
      <c r="N640" s="136"/>
      <c r="O640" s="136"/>
      <c r="P640" s="136"/>
      <c r="Q640" s="146"/>
      <c r="R640" s="136"/>
      <c r="S640" s="136"/>
      <c r="T640" s="136"/>
      <c r="U640" s="146"/>
      <c r="V640" s="136"/>
      <c r="W640" s="136"/>
      <c r="X640" s="136"/>
    </row>
    <row r="641" spans="1:24" ht="15.75" customHeight="1" x14ac:dyDescent="0.3">
      <c r="A641" s="144"/>
      <c r="B641" s="136"/>
      <c r="C641" s="136"/>
      <c r="D641" s="136"/>
      <c r="E641" s="145"/>
      <c r="F641" s="136"/>
      <c r="G641" s="136"/>
      <c r="H641" s="136"/>
      <c r="I641" s="145"/>
      <c r="J641" s="136"/>
      <c r="K641" s="136"/>
      <c r="L641" s="136"/>
      <c r="M641" s="145"/>
      <c r="N641" s="136"/>
      <c r="O641" s="136"/>
      <c r="P641" s="136"/>
      <c r="Q641" s="146"/>
      <c r="R641" s="136"/>
      <c r="S641" s="136"/>
      <c r="T641" s="136"/>
      <c r="U641" s="146"/>
      <c r="V641" s="136"/>
      <c r="W641" s="136"/>
      <c r="X641" s="136"/>
    </row>
    <row r="642" spans="1:24" ht="15.75" customHeight="1" x14ac:dyDescent="0.3">
      <c r="A642" s="144"/>
      <c r="B642" s="136"/>
      <c r="C642" s="136"/>
      <c r="D642" s="136"/>
      <c r="E642" s="145"/>
      <c r="F642" s="136"/>
      <c r="G642" s="136"/>
      <c r="H642" s="136"/>
      <c r="I642" s="145"/>
      <c r="J642" s="136"/>
      <c r="K642" s="136"/>
      <c r="L642" s="136"/>
      <c r="M642" s="145"/>
      <c r="N642" s="136"/>
      <c r="O642" s="136"/>
      <c r="P642" s="136"/>
      <c r="Q642" s="146"/>
      <c r="R642" s="136"/>
      <c r="S642" s="136"/>
      <c r="T642" s="136"/>
      <c r="U642" s="146"/>
      <c r="V642" s="136"/>
      <c r="W642" s="136"/>
      <c r="X642" s="136"/>
    </row>
    <row r="643" spans="1:24" ht="15.75" customHeight="1" x14ac:dyDescent="0.3">
      <c r="A643" s="144"/>
      <c r="B643" s="136"/>
      <c r="C643" s="136"/>
      <c r="D643" s="136"/>
      <c r="E643" s="145"/>
      <c r="F643" s="136"/>
      <c r="G643" s="136"/>
      <c r="H643" s="136"/>
      <c r="I643" s="145"/>
      <c r="J643" s="136"/>
      <c r="K643" s="136"/>
      <c r="L643" s="136"/>
      <c r="M643" s="145"/>
      <c r="N643" s="136"/>
      <c r="O643" s="136"/>
      <c r="P643" s="136"/>
      <c r="Q643" s="146"/>
      <c r="R643" s="136"/>
      <c r="S643" s="136"/>
      <c r="T643" s="136"/>
      <c r="U643" s="146"/>
      <c r="V643" s="136"/>
      <c r="W643" s="136"/>
      <c r="X643" s="136"/>
    </row>
    <row r="644" spans="1:24" ht="15.75" customHeight="1" x14ac:dyDescent="0.3">
      <c r="A644" s="144"/>
      <c r="B644" s="136"/>
      <c r="C644" s="136"/>
      <c r="D644" s="136"/>
      <c r="E644" s="145"/>
      <c r="F644" s="136"/>
      <c r="G644" s="136"/>
      <c r="H644" s="136"/>
      <c r="I644" s="145"/>
      <c r="J644" s="136"/>
      <c r="K644" s="136"/>
      <c r="L644" s="136"/>
      <c r="M644" s="145"/>
      <c r="N644" s="136"/>
      <c r="O644" s="136"/>
      <c r="P644" s="136"/>
      <c r="Q644" s="146"/>
      <c r="R644" s="136"/>
      <c r="S644" s="136"/>
      <c r="T644" s="136"/>
      <c r="U644" s="146"/>
      <c r="V644" s="136"/>
      <c r="W644" s="136"/>
      <c r="X644" s="136"/>
    </row>
    <row r="645" spans="1:24" ht="15.75" customHeight="1" x14ac:dyDescent="0.3">
      <c r="A645" s="144"/>
      <c r="B645" s="136"/>
      <c r="C645" s="136"/>
      <c r="D645" s="136"/>
      <c r="E645" s="145"/>
      <c r="F645" s="136"/>
      <c r="G645" s="136"/>
      <c r="H645" s="136"/>
      <c r="I645" s="145"/>
      <c r="J645" s="136"/>
      <c r="K645" s="136"/>
      <c r="L645" s="136"/>
      <c r="M645" s="145"/>
      <c r="N645" s="136"/>
      <c r="O645" s="136"/>
      <c r="P645" s="136"/>
      <c r="Q645" s="146"/>
      <c r="R645" s="136"/>
      <c r="S645" s="136"/>
      <c r="T645" s="136"/>
      <c r="U645" s="146"/>
      <c r="V645" s="136"/>
      <c r="W645" s="136"/>
      <c r="X645" s="136"/>
    </row>
    <row r="646" spans="1:24" ht="15.75" customHeight="1" x14ac:dyDescent="0.3">
      <c r="A646" s="144"/>
      <c r="B646" s="136"/>
      <c r="C646" s="136"/>
      <c r="D646" s="136"/>
      <c r="E646" s="145"/>
      <c r="F646" s="136"/>
      <c r="G646" s="136"/>
      <c r="H646" s="136"/>
      <c r="I646" s="145"/>
      <c r="J646" s="136"/>
      <c r="K646" s="136"/>
      <c r="L646" s="136"/>
      <c r="M646" s="145"/>
      <c r="N646" s="136"/>
      <c r="O646" s="136"/>
      <c r="P646" s="136"/>
      <c r="Q646" s="146"/>
      <c r="R646" s="136"/>
      <c r="S646" s="136"/>
      <c r="T646" s="136"/>
      <c r="U646" s="146"/>
      <c r="V646" s="136"/>
      <c r="W646" s="136"/>
      <c r="X646" s="136"/>
    </row>
    <row r="647" spans="1:24" ht="15.75" customHeight="1" x14ac:dyDescent="0.3">
      <c r="A647" s="144"/>
      <c r="B647" s="136"/>
      <c r="C647" s="136"/>
      <c r="D647" s="136"/>
      <c r="E647" s="145"/>
      <c r="F647" s="136"/>
      <c r="G647" s="136"/>
      <c r="H647" s="136"/>
      <c r="I647" s="145"/>
      <c r="J647" s="136"/>
      <c r="K647" s="136"/>
      <c r="L647" s="136"/>
      <c r="M647" s="145"/>
      <c r="N647" s="136"/>
      <c r="O647" s="136"/>
      <c r="P647" s="136"/>
      <c r="Q647" s="146"/>
      <c r="R647" s="136"/>
      <c r="S647" s="136"/>
      <c r="T647" s="136"/>
      <c r="U647" s="146"/>
      <c r="V647" s="136"/>
      <c r="W647" s="136"/>
      <c r="X647" s="136"/>
    </row>
    <row r="648" spans="1:24" ht="15.75" customHeight="1" x14ac:dyDescent="0.3">
      <c r="A648" s="144"/>
      <c r="B648" s="136"/>
      <c r="C648" s="136"/>
      <c r="D648" s="136"/>
      <c r="E648" s="145"/>
      <c r="F648" s="136"/>
      <c r="G648" s="136"/>
      <c r="H648" s="136"/>
      <c r="I648" s="145"/>
      <c r="J648" s="136"/>
      <c r="K648" s="136"/>
      <c r="L648" s="136"/>
      <c r="M648" s="145"/>
      <c r="N648" s="136"/>
      <c r="O648" s="136"/>
      <c r="P648" s="136"/>
      <c r="Q648" s="146"/>
      <c r="R648" s="136"/>
      <c r="S648" s="136"/>
      <c r="T648" s="136"/>
      <c r="U648" s="146"/>
      <c r="V648" s="136"/>
      <c r="W648" s="136"/>
      <c r="X648" s="136"/>
    </row>
    <row r="649" spans="1:24" ht="15.75" customHeight="1" x14ac:dyDescent="0.3">
      <c r="A649" s="144"/>
      <c r="B649" s="136"/>
      <c r="C649" s="136"/>
      <c r="D649" s="136"/>
      <c r="E649" s="145"/>
      <c r="F649" s="136"/>
      <c r="G649" s="136"/>
      <c r="H649" s="136"/>
      <c r="I649" s="145"/>
      <c r="J649" s="136"/>
      <c r="K649" s="136"/>
      <c r="L649" s="136"/>
      <c r="M649" s="145"/>
      <c r="N649" s="136"/>
      <c r="O649" s="136"/>
      <c r="P649" s="136"/>
      <c r="Q649" s="146"/>
      <c r="R649" s="136"/>
      <c r="S649" s="136"/>
      <c r="T649" s="136"/>
      <c r="U649" s="146"/>
      <c r="V649" s="136"/>
      <c r="W649" s="136"/>
      <c r="X649" s="136"/>
    </row>
    <row r="650" spans="1:24" ht="15.75" customHeight="1" x14ac:dyDescent="0.3">
      <c r="A650" s="144"/>
      <c r="B650" s="136"/>
      <c r="C650" s="136"/>
      <c r="D650" s="136"/>
      <c r="E650" s="145"/>
      <c r="F650" s="136"/>
      <c r="G650" s="136"/>
      <c r="H650" s="136"/>
      <c r="I650" s="145"/>
      <c r="J650" s="136"/>
      <c r="K650" s="136"/>
      <c r="L650" s="136"/>
      <c r="M650" s="145"/>
      <c r="N650" s="136"/>
      <c r="O650" s="136"/>
      <c r="P650" s="136"/>
      <c r="Q650" s="146"/>
      <c r="R650" s="136"/>
      <c r="S650" s="136"/>
      <c r="T650" s="136"/>
      <c r="U650" s="146"/>
      <c r="V650" s="136"/>
      <c r="W650" s="136"/>
      <c r="X650" s="136"/>
    </row>
    <row r="651" spans="1:24" ht="15.75" customHeight="1" x14ac:dyDescent="0.3">
      <c r="A651" s="144"/>
      <c r="B651" s="136"/>
      <c r="C651" s="136"/>
      <c r="D651" s="136"/>
      <c r="E651" s="145"/>
      <c r="F651" s="136"/>
      <c r="G651" s="136"/>
      <c r="H651" s="136"/>
      <c r="I651" s="145"/>
      <c r="J651" s="136"/>
      <c r="K651" s="136"/>
      <c r="L651" s="136"/>
      <c r="M651" s="145"/>
      <c r="N651" s="136"/>
      <c r="O651" s="136"/>
      <c r="P651" s="136"/>
      <c r="Q651" s="146"/>
      <c r="R651" s="136"/>
      <c r="S651" s="136"/>
      <c r="T651" s="136"/>
      <c r="U651" s="146"/>
      <c r="V651" s="136"/>
      <c r="W651" s="136"/>
      <c r="X651" s="136"/>
    </row>
    <row r="652" spans="1:24" ht="15.75" customHeight="1" x14ac:dyDescent="0.3">
      <c r="A652" s="144"/>
      <c r="B652" s="136"/>
      <c r="C652" s="136"/>
      <c r="D652" s="136"/>
      <c r="E652" s="145"/>
      <c r="F652" s="136"/>
      <c r="G652" s="136"/>
      <c r="H652" s="136"/>
      <c r="I652" s="145"/>
      <c r="J652" s="136"/>
      <c r="K652" s="136"/>
      <c r="L652" s="136"/>
      <c r="M652" s="145"/>
      <c r="N652" s="136"/>
      <c r="O652" s="136"/>
      <c r="P652" s="136"/>
      <c r="Q652" s="146"/>
      <c r="R652" s="136"/>
      <c r="S652" s="136"/>
      <c r="T652" s="136"/>
      <c r="U652" s="146"/>
      <c r="V652" s="136"/>
      <c r="W652" s="136"/>
      <c r="X652" s="136"/>
    </row>
    <row r="653" spans="1:24" ht="15.75" customHeight="1" x14ac:dyDescent="0.3">
      <c r="A653" s="144"/>
      <c r="B653" s="136"/>
      <c r="C653" s="136"/>
      <c r="D653" s="136"/>
      <c r="E653" s="145"/>
      <c r="F653" s="136"/>
      <c r="G653" s="136"/>
      <c r="H653" s="136"/>
      <c r="I653" s="145"/>
      <c r="J653" s="136"/>
      <c r="K653" s="136"/>
      <c r="L653" s="136"/>
      <c r="M653" s="145"/>
      <c r="N653" s="136"/>
      <c r="O653" s="136"/>
      <c r="P653" s="136"/>
      <c r="Q653" s="146"/>
      <c r="R653" s="136"/>
      <c r="S653" s="136"/>
      <c r="T653" s="136"/>
      <c r="U653" s="146"/>
      <c r="V653" s="136"/>
      <c r="W653" s="136"/>
      <c r="X653" s="136"/>
    </row>
    <row r="654" spans="1:24" ht="15.75" customHeight="1" x14ac:dyDescent="0.3">
      <c r="A654" s="144"/>
      <c r="B654" s="136"/>
      <c r="C654" s="136"/>
      <c r="D654" s="136"/>
      <c r="E654" s="145"/>
      <c r="F654" s="136"/>
      <c r="G654" s="136"/>
      <c r="H654" s="136"/>
      <c r="I654" s="145"/>
      <c r="J654" s="136"/>
      <c r="K654" s="136"/>
      <c r="L654" s="136"/>
      <c r="M654" s="145"/>
      <c r="N654" s="136"/>
      <c r="O654" s="136"/>
      <c r="P654" s="136"/>
      <c r="Q654" s="146"/>
      <c r="R654" s="136"/>
      <c r="S654" s="136"/>
      <c r="T654" s="136"/>
      <c r="U654" s="146"/>
      <c r="V654" s="136"/>
      <c r="W654" s="136"/>
      <c r="X654" s="136"/>
    </row>
    <row r="655" spans="1:24" ht="15.75" customHeight="1" x14ac:dyDescent="0.3">
      <c r="A655" s="144"/>
      <c r="B655" s="136"/>
      <c r="C655" s="136"/>
      <c r="D655" s="136"/>
      <c r="E655" s="145"/>
      <c r="F655" s="136"/>
      <c r="G655" s="136"/>
      <c r="H655" s="136"/>
      <c r="I655" s="145"/>
      <c r="J655" s="136"/>
      <c r="K655" s="136"/>
      <c r="L655" s="136"/>
      <c r="M655" s="145"/>
      <c r="N655" s="136"/>
      <c r="O655" s="136"/>
      <c r="P655" s="136"/>
      <c r="Q655" s="146"/>
      <c r="R655" s="136"/>
      <c r="S655" s="136"/>
      <c r="T655" s="136"/>
      <c r="U655" s="146"/>
      <c r="V655" s="136"/>
      <c r="W655" s="136"/>
      <c r="X655" s="136"/>
    </row>
    <row r="656" spans="1:24" ht="15.75" customHeight="1" x14ac:dyDescent="0.3">
      <c r="A656" s="144"/>
      <c r="B656" s="136"/>
      <c r="C656" s="136"/>
      <c r="D656" s="136"/>
      <c r="E656" s="145"/>
      <c r="F656" s="136"/>
      <c r="G656" s="136"/>
      <c r="H656" s="136"/>
      <c r="I656" s="145"/>
      <c r="J656" s="136"/>
      <c r="K656" s="136"/>
      <c r="L656" s="136"/>
      <c r="M656" s="145"/>
      <c r="N656" s="136"/>
      <c r="O656" s="136"/>
      <c r="P656" s="136"/>
      <c r="Q656" s="146"/>
      <c r="R656" s="136"/>
      <c r="S656" s="136"/>
      <c r="T656" s="136"/>
      <c r="U656" s="146"/>
      <c r="V656" s="136"/>
      <c r="W656" s="136"/>
      <c r="X656" s="136"/>
    </row>
    <row r="657" spans="1:24" ht="15.75" customHeight="1" x14ac:dyDescent="0.3">
      <c r="A657" s="144"/>
      <c r="B657" s="136"/>
      <c r="C657" s="136"/>
      <c r="D657" s="136"/>
      <c r="E657" s="145"/>
      <c r="F657" s="136"/>
      <c r="G657" s="136"/>
      <c r="H657" s="136"/>
      <c r="I657" s="145"/>
      <c r="J657" s="136"/>
      <c r="K657" s="136"/>
      <c r="L657" s="136"/>
      <c r="M657" s="145"/>
      <c r="N657" s="136"/>
      <c r="O657" s="136"/>
      <c r="P657" s="136"/>
      <c r="Q657" s="146"/>
      <c r="R657" s="136"/>
      <c r="S657" s="136"/>
      <c r="T657" s="136"/>
      <c r="U657" s="146"/>
      <c r="V657" s="136"/>
      <c r="W657" s="136"/>
      <c r="X657" s="136"/>
    </row>
    <row r="658" spans="1:24" ht="15.75" customHeight="1" x14ac:dyDescent="0.3">
      <c r="A658" s="144"/>
      <c r="B658" s="136"/>
      <c r="C658" s="136"/>
      <c r="D658" s="136"/>
      <c r="E658" s="145"/>
      <c r="F658" s="136"/>
      <c r="G658" s="136"/>
      <c r="H658" s="136"/>
      <c r="I658" s="145"/>
      <c r="J658" s="136"/>
      <c r="K658" s="136"/>
      <c r="L658" s="136"/>
      <c r="M658" s="145"/>
      <c r="N658" s="136"/>
      <c r="O658" s="136"/>
      <c r="P658" s="136"/>
      <c r="Q658" s="146"/>
      <c r="R658" s="136"/>
      <c r="S658" s="136"/>
      <c r="T658" s="136"/>
      <c r="U658" s="146"/>
      <c r="V658" s="136"/>
      <c r="W658" s="136"/>
      <c r="X658" s="136"/>
    </row>
    <row r="659" spans="1:24" ht="15.75" customHeight="1" x14ac:dyDescent="0.3">
      <c r="A659" s="144"/>
      <c r="B659" s="136"/>
      <c r="C659" s="136"/>
      <c r="D659" s="136"/>
      <c r="E659" s="145"/>
      <c r="F659" s="136"/>
      <c r="G659" s="136"/>
      <c r="H659" s="136"/>
      <c r="I659" s="145"/>
      <c r="J659" s="136"/>
      <c r="K659" s="136"/>
      <c r="L659" s="136"/>
      <c r="M659" s="145"/>
      <c r="N659" s="136"/>
      <c r="O659" s="136"/>
      <c r="P659" s="136"/>
      <c r="Q659" s="146"/>
      <c r="R659" s="136"/>
      <c r="S659" s="136"/>
      <c r="T659" s="136"/>
      <c r="U659" s="146"/>
      <c r="V659" s="136"/>
      <c r="W659" s="136"/>
      <c r="X659" s="136"/>
    </row>
    <row r="660" spans="1:24" ht="15.75" customHeight="1" x14ac:dyDescent="0.3">
      <c r="A660" s="144"/>
      <c r="B660" s="136"/>
      <c r="C660" s="136"/>
      <c r="D660" s="136"/>
      <c r="E660" s="145"/>
      <c r="F660" s="136"/>
      <c r="G660" s="136"/>
      <c r="H660" s="136"/>
      <c r="I660" s="145"/>
      <c r="J660" s="136"/>
      <c r="K660" s="136"/>
      <c r="L660" s="136"/>
      <c r="M660" s="145"/>
      <c r="N660" s="136"/>
      <c r="O660" s="136"/>
      <c r="P660" s="136"/>
      <c r="Q660" s="146"/>
      <c r="R660" s="136"/>
      <c r="S660" s="136"/>
      <c r="T660" s="136"/>
      <c r="U660" s="146"/>
      <c r="V660" s="136"/>
      <c r="W660" s="136"/>
      <c r="X660" s="136"/>
    </row>
    <row r="661" spans="1:24" ht="15.75" customHeight="1" x14ac:dyDescent="0.3">
      <c r="A661" s="144"/>
      <c r="B661" s="136"/>
      <c r="C661" s="136"/>
      <c r="D661" s="136"/>
      <c r="E661" s="145"/>
      <c r="F661" s="136"/>
      <c r="G661" s="136"/>
      <c r="H661" s="136"/>
      <c r="I661" s="145"/>
      <c r="J661" s="136"/>
      <c r="K661" s="136"/>
      <c r="L661" s="136"/>
      <c r="M661" s="145"/>
      <c r="N661" s="136"/>
      <c r="O661" s="136"/>
      <c r="P661" s="136"/>
      <c r="Q661" s="146"/>
      <c r="R661" s="136"/>
      <c r="S661" s="136"/>
      <c r="T661" s="136"/>
      <c r="U661" s="146"/>
      <c r="V661" s="136"/>
      <c r="W661" s="136"/>
      <c r="X661" s="136"/>
    </row>
    <row r="662" spans="1:24" ht="15.75" customHeight="1" x14ac:dyDescent="0.3">
      <c r="A662" s="144"/>
      <c r="B662" s="136"/>
      <c r="C662" s="136"/>
      <c r="D662" s="136"/>
      <c r="E662" s="145"/>
      <c r="F662" s="136"/>
      <c r="G662" s="136"/>
      <c r="H662" s="136"/>
      <c r="I662" s="145"/>
      <c r="J662" s="136"/>
      <c r="K662" s="136"/>
      <c r="L662" s="136"/>
      <c r="M662" s="145"/>
      <c r="N662" s="136"/>
      <c r="O662" s="136"/>
      <c r="P662" s="136"/>
      <c r="Q662" s="146"/>
      <c r="R662" s="136"/>
      <c r="S662" s="136"/>
      <c r="T662" s="136"/>
      <c r="U662" s="146"/>
      <c r="V662" s="136"/>
      <c r="W662" s="136"/>
      <c r="X662" s="136"/>
    </row>
    <row r="663" spans="1:24" ht="15.75" customHeight="1" x14ac:dyDescent="0.3">
      <c r="A663" s="144"/>
      <c r="B663" s="136"/>
      <c r="C663" s="136"/>
      <c r="D663" s="136"/>
      <c r="E663" s="145"/>
      <c r="F663" s="136"/>
      <c r="G663" s="136"/>
      <c r="H663" s="136"/>
      <c r="I663" s="145"/>
      <c r="J663" s="136"/>
      <c r="K663" s="136"/>
      <c r="L663" s="136"/>
      <c r="M663" s="145"/>
      <c r="N663" s="136"/>
      <c r="O663" s="136"/>
      <c r="P663" s="136"/>
      <c r="Q663" s="146"/>
      <c r="R663" s="136"/>
      <c r="S663" s="136"/>
      <c r="T663" s="136"/>
      <c r="U663" s="146"/>
      <c r="V663" s="136"/>
      <c r="W663" s="136"/>
      <c r="X663" s="136"/>
    </row>
    <row r="664" spans="1:24" ht="15.75" customHeight="1" x14ac:dyDescent="0.3">
      <c r="A664" s="144"/>
      <c r="B664" s="136"/>
      <c r="C664" s="136"/>
      <c r="D664" s="136"/>
      <c r="E664" s="145"/>
      <c r="F664" s="136"/>
      <c r="G664" s="136"/>
      <c r="H664" s="136"/>
      <c r="I664" s="145"/>
      <c r="J664" s="136"/>
      <c r="K664" s="136"/>
      <c r="L664" s="136"/>
      <c r="M664" s="145"/>
      <c r="N664" s="136"/>
      <c r="O664" s="136"/>
      <c r="P664" s="136"/>
      <c r="Q664" s="146"/>
      <c r="R664" s="136"/>
      <c r="S664" s="136"/>
      <c r="T664" s="136"/>
      <c r="U664" s="146"/>
      <c r="V664" s="136"/>
      <c r="W664" s="136"/>
      <c r="X664" s="136"/>
    </row>
    <row r="665" spans="1:24" ht="15.75" customHeight="1" x14ac:dyDescent="0.3">
      <c r="A665" s="144"/>
      <c r="B665" s="136"/>
      <c r="C665" s="136"/>
      <c r="D665" s="136"/>
      <c r="E665" s="145"/>
      <c r="F665" s="136"/>
      <c r="G665" s="136"/>
      <c r="H665" s="136"/>
      <c r="I665" s="145"/>
      <c r="J665" s="136"/>
      <c r="K665" s="136"/>
      <c r="L665" s="136"/>
      <c r="M665" s="145"/>
      <c r="N665" s="136"/>
      <c r="O665" s="136"/>
      <c r="P665" s="136"/>
      <c r="Q665" s="146"/>
      <c r="R665" s="136"/>
      <c r="S665" s="136"/>
      <c r="T665" s="136"/>
      <c r="U665" s="146"/>
      <c r="V665" s="136"/>
      <c r="W665" s="136"/>
      <c r="X665" s="136"/>
    </row>
    <row r="666" spans="1:24" ht="15.75" customHeight="1" x14ac:dyDescent="0.3">
      <c r="A666" s="144"/>
      <c r="B666" s="136"/>
      <c r="C666" s="136"/>
      <c r="D666" s="136"/>
      <c r="E666" s="145"/>
      <c r="F666" s="136"/>
      <c r="G666" s="136"/>
      <c r="H666" s="136"/>
      <c r="I666" s="145"/>
      <c r="J666" s="136"/>
      <c r="K666" s="136"/>
      <c r="L666" s="136"/>
      <c r="M666" s="145"/>
      <c r="N666" s="136"/>
      <c r="O666" s="136"/>
      <c r="P666" s="136"/>
      <c r="Q666" s="146"/>
      <c r="R666" s="136"/>
      <c r="S666" s="136"/>
      <c r="T666" s="136"/>
      <c r="U666" s="146"/>
      <c r="V666" s="136"/>
      <c r="W666" s="136"/>
      <c r="X666" s="136"/>
    </row>
    <row r="667" spans="1:24" ht="15.75" customHeight="1" x14ac:dyDescent="0.3">
      <c r="A667" s="144"/>
      <c r="B667" s="136"/>
      <c r="C667" s="136"/>
      <c r="D667" s="136"/>
      <c r="E667" s="145"/>
      <c r="F667" s="136"/>
      <c r="G667" s="136"/>
      <c r="H667" s="136"/>
      <c r="I667" s="145"/>
      <c r="J667" s="136"/>
      <c r="K667" s="136"/>
      <c r="L667" s="136"/>
      <c r="M667" s="145"/>
      <c r="N667" s="136"/>
      <c r="O667" s="136"/>
      <c r="P667" s="136"/>
      <c r="Q667" s="146"/>
      <c r="R667" s="136"/>
      <c r="S667" s="136"/>
      <c r="T667" s="136"/>
      <c r="U667" s="146"/>
      <c r="V667" s="136"/>
      <c r="W667" s="136"/>
      <c r="X667" s="136"/>
    </row>
    <row r="668" spans="1:24" ht="15.75" customHeight="1" x14ac:dyDescent="0.3">
      <c r="A668" s="144"/>
      <c r="B668" s="136"/>
      <c r="C668" s="136"/>
      <c r="D668" s="136"/>
      <c r="E668" s="145"/>
      <c r="F668" s="136"/>
      <c r="G668" s="136"/>
      <c r="H668" s="136"/>
      <c r="I668" s="145"/>
      <c r="J668" s="136"/>
      <c r="K668" s="136"/>
      <c r="L668" s="136"/>
      <c r="M668" s="145"/>
      <c r="N668" s="136"/>
      <c r="O668" s="136"/>
      <c r="P668" s="136"/>
      <c r="Q668" s="146"/>
      <c r="R668" s="136"/>
      <c r="S668" s="136"/>
      <c r="T668" s="136"/>
      <c r="U668" s="146"/>
      <c r="V668" s="136"/>
      <c r="W668" s="136"/>
      <c r="X668" s="136"/>
    </row>
    <row r="669" spans="1:24" ht="15.75" customHeight="1" x14ac:dyDescent="0.3">
      <c r="A669" s="144"/>
      <c r="B669" s="136"/>
      <c r="C669" s="136"/>
      <c r="D669" s="136"/>
      <c r="E669" s="145"/>
      <c r="F669" s="136"/>
      <c r="G669" s="136"/>
      <c r="H669" s="136"/>
      <c r="I669" s="145"/>
      <c r="J669" s="136"/>
      <c r="K669" s="136"/>
      <c r="L669" s="136"/>
      <c r="M669" s="145"/>
      <c r="N669" s="136"/>
      <c r="O669" s="136"/>
      <c r="P669" s="136"/>
      <c r="Q669" s="146"/>
      <c r="R669" s="136"/>
      <c r="S669" s="136"/>
      <c r="T669" s="136"/>
      <c r="U669" s="146"/>
      <c r="V669" s="136"/>
      <c r="W669" s="136"/>
      <c r="X669" s="136"/>
    </row>
    <row r="670" spans="1:24" ht="15.75" customHeight="1" x14ac:dyDescent="0.3">
      <c r="A670" s="144"/>
      <c r="B670" s="136"/>
      <c r="C670" s="136"/>
      <c r="D670" s="136"/>
      <c r="E670" s="145"/>
      <c r="F670" s="136"/>
      <c r="G670" s="136"/>
      <c r="H670" s="136"/>
      <c r="I670" s="145"/>
      <c r="J670" s="136"/>
      <c r="K670" s="136"/>
      <c r="L670" s="136"/>
      <c r="M670" s="145"/>
      <c r="N670" s="136"/>
      <c r="O670" s="136"/>
      <c r="P670" s="136"/>
      <c r="Q670" s="146"/>
      <c r="R670" s="136"/>
      <c r="S670" s="136"/>
      <c r="T670" s="136"/>
      <c r="U670" s="146"/>
      <c r="V670" s="136"/>
      <c r="W670" s="136"/>
      <c r="X670" s="136"/>
    </row>
    <row r="671" spans="1:24" ht="15.75" customHeight="1" x14ac:dyDescent="0.3">
      <c r="A671" s="144"/>
      <c r="B671" s="136"/>
      <c r="C671" s="136"/>
      <c r="D671" s="136"/>
      <c r="E671" s="145"/>
      <c r="F671" s="136"/>
      <c r="G671" s="136"/>
      <c r="H671" s="136"/>
      <c r="I671" s="145"/>
      <c r="J671" s="136"/>
      <c r="K671" s="136"/>
      <c r="L671" s="136"/>
      <c r="M671" s="145"/>
      <c r="N671" s="136"/>
      <c r="O671" s="136"/>
      <c r="P671" s="136"/>
      <c r="Q671" s="146"/>
      <c r="R671" s="136"/>
      <c r="S671" s="136"/>
      <c r="T671" s="136"/>
      <c r="U671" s="146"/>
      <c r="V671" s="136"/>
      <c r="W671" s="136"/>
      <c r="X671" s="136"/>
    </row>
    <row r="672" spans="1:24" ht="15.75" customHeight="1" x14ac:dyDescent="0.3">
      <c r="A672" s="144"/>
      <c r="B672" s="136"/>
      <c r="C672" s="136"/>
      <c r="D672" s="136"/>
      <c r="E672" s="145"/>
      <c r="F672" s="136"/>
      <c r="G672" s="136"/>
      <c r="H672" s="136"/>
      <c r="I672" s="145"/>
      <c r="J672" s="136"/>
      <c r="K672" s="136"/>
      <c r="L672" s="136"/>
      <c r="M672" s="145"/>
      <c r="N672" s="136"/>
      <c r="O672" s="136"/>
      <c r="P672" s="136"/>
      <c r="Q672" s="146"/>
      <c r="R672" s="136"/>
      <c r="S672" s="136"/>
      <c r="T672" s="136"/>
      <c r="U672" s="146"/>
      <c r="V672" s="136"/>
      <c r="W672" s="136"/>
      <c r="X672" s="136"/>
    </row>
    <row r="673" spans="1:24" ht="15.75" customHeight="1" x14ac:dyDescent="0.3">
      <c r="A673" s="144"/>
      <c r="B673" s="136"/>
      <c r="C673" s="136"/>
      <c r="D673" s="136"/>
      <c r="E673" s="145"/>
      <c r="F673" s="136"/>
      <c r="G673" s="136"/>
      <c r="H673" s="136"/>
      <c r="I673" s="145"/>
      <c r="J673" s="136"/>
      <c r="K673" s="136"/>
      <c r="L673" s="136"/>
      <c r="M673" s="145"/>
      <c r="N673" s="136"/>
      <c r="O673" s="136"/>
      <c r="P673" s="136"/>
      <c r="Q673" s="146"/>
      <c r="R673" s="136"/>
      <c r="S673" s="136"/>
      <c r="T673" s="136"/>
      <c r="U673" s="146"/>
      <c r="V673" s="136"/>
      <c r="W673" s="136"/>
      <c r="X673" s="136"/>
    </row>
    <row r="674" spans="1:24" ht="15.75" customHeight="1" x14ac:dyDescent="0.3">
      <c r="A674" s="144"/>
      <c r="B674" s="136"/>
      <c r="C674" s="136"/>
      <c r="D674" s="136"/>
      <c r="E674" s="145"/>
      <c r="F674" s="136"/>
      <c r="G674" s="136"/>
      <c r="H674" s="136"/>
      <c r="I674" s="145"/>
      <c r="J674" s="136"/>
      <c r="K674" s="136"/>
      <c r="L674" s="136"/>
      <c r="M674" s="145"/>
      <c r="N674" s="136"/>
      <c r="O674" s="136"/>
      <c r="P674" s="136"/>
      <c r="Q674" s="146"/>
      <c r="R674" s="136"/>
      <c r="S674" s="136"/>
      <c r="T674" s="136"/>
      <c r="U674" s="146"/>
      <c r="V674" s="136"/>
      <c r="W674" s="136"/>
      <c r="X674" s="136"/>
    </row>
    <row r="675" spans="1:24" ht="15.75" customHeight="1" x14ac:dyDescent="0.3">
      <c r="A675" s="144"/>
      <c r="B675" s="136"/>
      <c r="C675" s="136"/>
      <c r="D675" s="136"/>
      <c r="E675" s="145"/>
      <c r="F675" s="136"/>
      <c r="G675" s="136"/>
      <c r="H675" s="136"/>
      <c r="I675" s="145"/>
      <c r="J675" s="136"/>
      <c r="K675" s="136"/>
      <c r="L675" s="136"/>
      <c r="M675" s="145"/>
      <c r="N675" s="136"/>
      <c r="O675" s="136"/>
      <c r="P675" s="136"/>
      <c r="Q675" s="146"/>
      <c r="R675" s="136"/>
      <c r="S675" s="136"/>
      <c r="T675" s="136"/>
      <c r="U675" s="146"/>
      <c r="V675" s="136"/>
      <c r="W675" s="136"/>
      <c r="X675" s="136"/>
    </row>
    <row r="676" spans="1:24" ht="15.75" customHeight="1" x14ac:dyDescent="0.3">
      <c r="A676" s="144"/>
      <c r="B676" s="136"/>
      <c r="C676" s="136"/>
      <c r="D676" s="136"/>
      <c r="E676" s="145"/>
      <c r="F676" s="136"/>
      <c r="G676" s="136"/>
      <c r="H676" s="136"/>
      <c r="I676" s="145"/>
      <c r="J676" s="136"/>
      <c r="K676" s="136"/>
      <c r="L676" s="136"/>
      <c r="M676" s="145"/>
      <c r="N676" s="136"/>
      <c r="O676" s="136"/>
      <c r="P676" s="136"/>
      <c r="Q676" s="146"/>
      <c r="R676" s="136"/>
      <c r="S676" s="136"/>
      <c r="T676" s="136"/>
      <c r="U676" s="146"/>
      <c r="V676" s="136"/>
      <c r="W676" s="136"/>
      <c r="X676" s="136"/>
    </row>
    <row r="677" spans="1:24" ht="15.75" customHeight="1" x14ac:dyDescent="0.3">
      <c r="A677" s="144"/>
      <c r="B677" s="136"/>
      <c r="C677" s="136"/>
      <c r="D677" s="136"/>
      <c r="E677" s="145"/>
      <c r="F677" s="136"/>
      <c r="G677" s="136"/>
      <c r="H677" s="136"/>
      <c r="I677" s="145"/>
      <c r="J677" s="136"/>
      <c r="K677" s="136"/>
      <c r="L677" s="136"/>
      <c r="M677" s="145"/>
      <c r="N677" s="136"/>
      <c r="O677" s="136"/>
      <c r="P677" s="136"/>
      <c r="Q677" s="146"/>
      <c r="R677" s="136"/>
      <c r="S677" s="136"/>
      <c r="T677" s="136"/>
      <c r="U677" s="146"/>
      <c r="V677" s="136"/>
      <c r="W677" s="136"/>
      <c r="X677" s="136"/>
    </row>
    <row r="678" spans="1:24" ht="15.75" customHeight="1" x14ac:dyDescent="0.3">
      <c r="A678" s="144"/>
      <c r="B678" s="136"/>
      <c r="C678" s="136"/>
      <c r="D678" s="136"/>
      <c r="E678" s="145"/>
      <c r="F678" s="136"/>
      <c r="G678" s="136"/>
      <c r="H678" s="136"/>
      <c r="I678" s="145"/>
      <c r="J678" s="136"/>
      <c r="K678" s="136"/>
      <c r="L678" s="136"/>
      <c r="M678" s="145"/>
      <c r="N678" s="136"/>
      <c r="O678" s="136"/>
      <c r="P678" s="136"/>
      <c r="Q678" s="146"/>
      <c r="R678" s="136"/>
      <c r="S678" s="136"/>
      <c r="T678" s="136"/>
      <c r="U678" s="146"/>
      <c r="V678" s="136"/>
      <c r="W678" s="136"/>
      <c r="X678" s="136"/>
    </row>
    <row r="679" spans="1:24" ht="15.75" customHeight="1" x14ac:dyDescent="0.3">
      <c r="A679" s="144"/>
      <c r="B679" s="136"/>
      <c r="C679" s="136"/>
      <c r="D679" s="136"/>
      <c r="E679" s="145"/>
      <c r="F679" s="136"/>
      <c r="G679" s="136"/>
      <c r="H679" s="136"/>
      <c r="I679" s="145"/>
      <c r="J679" s="136"/>
      <c r="K679" s="136"/>
      <c r="L679" s="136"/>
      <c r="M679" s="145"/>
      <c r="N679" s="136"/>
      <c r="O679" s="136"/>
      <c r="P679" s="136"/>
      <c r="Q679" s="146"/>
      <c r="R679" s="136"/>
      <c r="S679" s="136"/>
      <c r="T679" s="136"/>
      <c r="U679" s="146"/>
      <c r="V679" s="136"/>
      <c r="W679" s="136"/>
      <c r="X679" s="136"/>
    </row>
    <row r="680" spans="1:24" ht="15.75" customHeight="1" x14ac:dyDescent="0.3">
      <c r="A680" s="144"/>
      <c r="B680" s="136"/>
      <c r="C680" s="136"/>
      <c r="D680" s="136"/>
      <c r="E680" s="145"/>
      <c r="F680" s="136"/>
      <c r="G680" s="136"/>
      <c r="H680" s="136"/>
      <c r="I680" s="145"/>
      <c r="J680" s="136"/>
      <c r="K680" s="136"/>
      <c r="L680" s="136"/>
      <c r="M680" s="145"/>
      <c r="N680" s="136"/>
      <c r="O680" s="136"/>
      <c r="P680" s="136"/>
      <c r="Q680" s="146"/>
      <c r="R680" s="136"/>
      <c r="S680" s="136"/>
      <c r="T680" s="136"/>
      <c r="U680" s="146"/>
      <c r="V680" s="136"/>
      <c r="W680" s="136"/>
      <c r="X680" s="136"/>
    </row>
    <row r="681" spans="1:24" ht="15.75" customHeight="1" x14ac:dyDescent="0.3">
      <c r="A681" s="144"/>
      <c r="B681" s="136"/>
      <c r="C681" s="136"/>
      <c r="D681" s="136"/>
      <c r="E681" s="145"/>
      <c r="F681" s="136"/>
      <c r="G681" s="136"/>
      <c r="H681" s="136"/>
      <c r="I681" s="145"/>
      <c r="J681" s="136"/>
      <c r="K681" s="136"/>
      <c r="L681" s="136"/>
      <c r="M681" s="145"/>
      <c r="N681" s="136"/>
      <c r="O681" s="136"/>
      <c r="P681" s="136"/>
      <c r="Q681" s="146"/>
      <c r="R681" s="136"/>
      <c r="S681" s="136"/>
      <c r="T681" s="136"/>
      <c r="U681" s="146"/>
      <c r="V681" s="136"/>
      <c r="W681" s="136"/>
      <c r="X681" s="136"/>
    </row>
    <row r="682" spans="1:24" ht="15.75" customHeight="1" x14ac:dyDescent="0.3">
      <c r="A682" s="144"/>
      <c r="B682" s="136"/>
      <c r="C682" s="136"/>
      <c r="D682" s="136"/>
      <c r="E682" s="145"/>
      <c r="F682" s="136"/>
      <c r="G682" s="136"/>
      <c r="H682" s="136"/>
      <c r="I682" s="145"/>
      <c r="J682" s="136"/>
      <c r="K682" s="136"/>
      <c r="L682" s="136"/>
      <c r="M682" s="145"/>
      <c r="N682" s="136"/>
      <c r="O682" s="136"/>
      <c r="P682" s="136"/>
      <c r="Q682" s="146"/>
      <c r="R682" s="136"/>
      <c r="S682" s="136"/>
      <c r="T682" s="136"/>
      <c r="U682" s="146"/>
      <c r="V682" s="136"/>
      <c r="W682" s="136"/>
      <c r="X682" s="136"/>
    </row>
    <row r="683" spans="1:24" ht="15.75" customHeight="1" x14ac:dyDescent="0.3">
      <c r="A683" s="144"/>
      <c r="B683" s="136"/>
      <c r="C683" s="136"/>
      <c r="D683" s="136"/>
      <c r="E683" s="145"/>
      <c r="F683" s="136"/>
      <c r="G683" s="136"/>
      <c r="H683" s="136"/>
      <c r="I683" s="145"/>
      <c r="J683" s="136"/>
      <c r="K683" s="136"/>
      <c r="L683" s="136"/>
      <c r="M683" s="145"/>
      <c r="N683" s="136"/>
      <c r="O683" s="136"/>
      <c r="P683" s="136"/>
      <c r="Q683" s="146"/>
      <c r="R683" s="136"/>
      <c r="S683" s="136"/>
      <c r="T683" s="136"/>
      <c r="U683" s="146"/>
      <c r="V683" s="136"/>
      <c r="W683" s="136"/>
      <c r="X683" s="136"/>
    </row>
    <row r="684" spans="1:24" ht="15.75" customHeight="1" x14ac:dyDescent="0.3">
      <c r="A684" s="144"/>
      <c r="B684" s="136"/>
      <c r="C684" s="136"/>
      <c r="D684" s="136"/>
      <c r="E684" s="145"/>
      <c r="F684" s="136"/>
      <c r="G684" s="136"/>
      <c r="H684" s="136"/>
      <c r="I684" s="145"/>
      <c r="J684" s="136"/>
      <c r="K684" s="136"/>
      <c r="L684" s="136"/>
      <c r="M684" s="145"/>
      <c r="N684" s="136"/>
      <c r="O684" s="136"/>
      <c r="P684" s="136"/>
      <c r="Q684" s="146"/>
      <c r="R684" s="136"/>
      <c r="S684" s="136"/>
      <c r="T684" s="136"/>
      <c r="U684" s="146"/>
      <c r="V684" s="136"/>
      <c r="W684" s="136"/>
      <c r="X684" s="136"/>
    </row>
    <row r="685" spans="1:24" ht="15.75" customHeight="1" x14ac:dyDescent="0.3">
      <c r="A685" s="144"/>
      <c r="B685" s="136"/>
      <c r="C685" s="136"/>
      <c r="D685" s="136"/>
      <c r="E685" s="145"/>
      <c r="F685" s="136"/>
      <c r="G685" s="136"/>
      <c r="H685" s="136"/>
      <c r="I685" s="145"/>
      <c r="J685" s="136"/>
      <c r="K685" s="136"/>
      <c r="L685" s="136"/>
      <c r="M685" s="145"/>
      <c r="N685" s="136"/>
      <c r="O685" s="136"/>
      <c r="P685" s="136"/>
      <c r="Q685" s="146"/>
      <c r="R685" s="136"/>
      <c r="S685" s="136"/>
      <c r="T685" s="136"/>
      <c r="U685" s="146"/>
      <c r="V685" s="136"/>
      <c r="W685" s="136"/>
      <c r="X685" s="136"/>
    </row>
    <row r="686" spans="1:24" ht="15.75" customHeight="1" x14ac:dyDescent="0.3">
      <c r="A686" s="144"/>
      <c r="B686" s="136"/>
      <c r="C686" s="136"/>
      <c r="D686" s="136"/>
      <c r="E686" s="145"/>
      <c r="F686" s="136"/>
      <c r="G686" s="136"/>
      <c r="H686" s="136"/>
      <c r="I686" s="145"/>
      <c r="J686" s="136"/>
      <c r="K686" s="136"/>
      <c r="L686" s="136"/>
      <c r="M686" s="145"/>
      <c r="N686" s="136"/>
      <c r="O686" s="136"/>
      <c r="P686" s="136"/>
      <c r="Q686" s="146"/>
      <c r="R686" s="136"/>
      <c r="S686" s="136"/>
      <c r="T686" s="136"/>
      <c r="U686" s="146"/>
      <c r="V686" s="136"/>
      <c r="W686" s="136"/>
      <c r="X686" s="136"/>
    </row>
    <row r="687" spans="1:24" ht="15.75" customHeight="1" x14ac:dyDescent="0.3">
      <c r="A687" s="144"/>
      <c r="B687" s="136"/>
      <c r="C687" s="136"/>
      <c r="D687" s="136"/>
      <c r="E687" s="145"/>
      <c r="F687" s="136"/>
      <c r="G687" s="136"/>
      <c r="H687" s="136"/>
      <c r="I687" s="145"/>
      <c r="J687" s="136"/>
      <c r="K687" s="136"/>
      <c r="L687" s="136"/>
      <c r="M687" s="145"/>
      <c r="N687" s="136"/>
      <c r="O687" s="136"/>
      <c r="P687" s="136"/>
      <c r="Q687" s="146"/>
      <c r="R687" s="136"/>
      <c r="S687" s="136"/>
      <c r="T687" s="136"/>
      <c r="U687" s="146"/>
      <c r="V687" s="136"/>
      <c r="W687" s="136"/>
      <c r="X687" s="136"/>
    </row>
    <row r="688" spans="1:24" ht="15.75" customHeight="1" x14ac:dyDescent="0.3">
      <c r="A688" s="144"/>
      <c r="B688" s="136"/>
      <c r="C688" s="136"/>
      <c r="D688" s="136"/>
      <c r="E688" s="145"/>
      <c r="F688" s="136"/>
      <c r="G688" s="136"/>
      <c r="H688" s="136"/>
      <c r="I688" s="145"/>
      <c r="J688" s="136"/>
      <c r="K688" s="136"/>
      <c r="L688" s="136"/>
      <c r="M688" s="145"/>
      <c r="N688" s="136"/>
      <c r="O688" s="136"/>
      <c r="P688" s="136"/>
      <c r="Q688" s="146"/>
      <c r="R688" s="136"/>
      <c r="S688" s="136"/>
      <c r="T688" s="136"/>
      <c r="U688" s="146"/>
      <c r="V688" s="136"/>
      <c r="W688" s="136"/>
      <c r="X688" s="136"/>
    </row>
    <row r="689" spans="1:24" ht="15.75" customHeight="1" x14ac:dyDescent="0.3">
      <c r="A689" s="144"/>
      <c r="B689" s="136"/>
      <c r="C689" s="136"/>
      <c r="D689" s="136"/>
      <c r="E689" s="145"/>
      <c r="F689" s="136"/>
      <c r="G689" s="136"/>
      <c r="H689" s="136"/>
      <c r="I689" s="145"/>
      <c r="J689" s="136"/>
      <c r="K689" s="136"/>
      <c r="L689" s="136"/>
      <c r="M689" s="145"/>
      <c r="N689" s="136"/>
      <c r="O689" s="136"/>
      <c r="P689" s="136"/>
      <c r="Q689" s="146"/>
      <c r="R689" s="136"/>
      <c r="S689" s="136"/>
      <c r="T689" s="136"/>
      <c r="U689" s="146"/>
      <c r="V689" s="136"/>
      <c r="W689" s="136"/>
      <c r="X689" s="136"/>
    </row>
    <row r="690" spans="1:24" ht="15.75" customHeight="1" x14ac:dyDescent="0.3">
      <c r="A690" s="144"/>
      <c r="B690" s="136"/>
      <c r="C690" s="136"/>
      <c r="D690" s="136"/>
      <c r="E690" s="145"/>
      <c r="F690" s="136"/>
      <c r="G690" s="136"/>
      <c r="H690" s="136"/>
      <c r="I690" s="145"/>
      <c r="J690" s="136"/>
      <c r="K690" s="136"/>
      <c r="L690" s="136"/>
      <c r="M690" s="145"/>
      <c r="N690" s="136"/>
      <c r="O690" s="136"/>
      <c r="P690" s="136"/>
      <c r="Q690" s="146"/>
      <c r="R690" s="136"/>
      <c r="S690" s="136"/>
      <c r="T690" s="136"/>
      <c r="U690" s="146"/>
      <c r="V690" s="136"/>
      <c r="W690" s="136"/>
      <c r="X690" s="136"/>
    </row>
    <row r="691" spans="1:24" ht="15.75" customHeight="1" x14ac:dyDescent="0.3">
      <c r="A691" s="144"/>
      <c r="B691" s="136"/>
      <c r="C691" s="136"/>
      <c r="D691" s="136"/>
      <c r="E691" s="145"/>
      <c r="F691" s="136"/>
      <c r="G691" s="136"/>
      <c r="H691" s="136"/>
      <c r="I691" s="145"/>
      <c r="J691" s="136"/>
      <c r="K691" s="136"/>
      <c r="L691" s="136"/>
      <c r="M691" s="145"/>
      <c r="N691" s="136"/>
      <c r="O691" s="136"/>
      <c r="P691" s="136"/>
      <c r="Q691" s="146"/>
      <c r="R691" s="136"/>
      <c r="S691" s="136"/>
      <c r="T691" s="136"/>
      <c r="U691" s="146"/>
      <c r="V691" s="136"/>
      <c r="W691" s="136"/>
      <c r="X691" s="136"/>
    </row>
    <row r="692" spans="1:24" ht="15.75" customHeight="1" x14ac:dyDescent="0.3">
      <c r="A692" s="144"/>
      <c r="B692" s="136"/>
      <c r="C692" s="136"/>
      <c r="D692" s="136"/>
      <c r="E692" s="145"/>
      <c r="F692" s="136"/>
      <c r="G692" s="136"/>
      <c r="H692" s="136"/>
      <c r="I692" s="145"/>
      <c r="J692" s="136"/>
      <c r="K692" s="136"/>
      <c r="L692" s="136"/>
      <c r="M692" s="145"/>
      <c r="N692" s="136"/>
      <c r="O692" s="136"/>
      <c r="P692" s="136"/>
      <c r="Q692" s="146"/>
      <c r="R692" s="136"/>
      <c r="S692" s="136"/>
      <c r="T692" s="136"/>
      <c r="U692" s="146"/>
      <c r="V692" s="136"/>
      <c r="W692" s="136"/>
      <c r="X692" s="136"/>
    </row>
    <row r="693" spans="1:24" ht="15.75" customHeight="1" x14ac:dyDescent="0.3">
      <c r="A693" s="144"/>
      <c r="B693" s="136"/>
      <c r="C693" s="136"/>
      <c r="D693" s="136"/>
      <c r="E693" s="145"/>
      <c r="F693" s="136"/>
      <c r="G693" s="136"/>
      <c r="H693" s="136"/>
      <c r="I693" s="145"/>
      <c r="J693" s="136"/>
      <c r="K693" s="136"/>
      <c r="L693" s="136"/>
      <c r="M693" s="145"/>
      <c r="N693" s="136"/>
      <c r="O693" s="136"/>
      <c r="P693" s="136"/>
      <c r="Q693" s="146"/>
      <c r="R693" s="136"/>
      <c r="S693" s="136"/>
      <c r="T693" s="136"/>
      <c r="U693" s="146"/>
      <c r="V693" s="136"/>
      <c r="W693" s="136"/>
      <c r="X693" s="136"/>
    </row>
    <row r="694" spans="1:24" ht="15.75" customHeight="1" x14ac:dyDescent="0.3">
      <c r="A694" s="144"/>
      <c r="B694" s="136"/>
      <c r="C694" s="136"/>
      <c r="D694" s="136"/>
      <c r="E694" s="145"/>
      <c r="F694" s="136"/>
      <c r="G694" s="136"/>
      <c r="H694" s="136"/>
      <c r="I694" s="145"/>
      <c r="J694" s="136"/>
      <c r="K694" s="136"/>
      <c r="L694" s="136"/>
      <c r="M694" s="145"/>
      <c r="N694" s="136"/>
      <c r="O694" s="136"/>
      <c r="P694" s="136"/>
      <c r="Q694" s="146"/>
      <c r="R694" s="136"/>
      <c r="S694" s="136"/>
      <c r="T694" s="136"/>
      <c r="U694" s="146"/>
      <c r="V694" s="136"/>
      <c r="W694" s="136"/>
      <c r="X694" s="136"/>
    </row>
    <row r="695" spans="1:24" ht="15.75" customHeight="1" x14ac:dyDescent="0.3">
      <c r="A695" s="144"/>
      <c r="B695" s="136"/>
      <c r="C695" s="136"/>
      <c r="D695" s="136"/>
      <c r="E695" s="145"/>
      <c r="F695" s="136"/>
      <c r="G695" s="136"/>
      <c r="H695" s="136"/>
      <c r="I695" s="145"/>
      <c r="J695" s="136"/>
      <c r="K695" s="136"/>
      <c r="L695" s="136"/>
      <c r="M695" s="145"/>
      <c r="N695" s="136"/>
      <c r="O695" s="136"/>
      <c r="P695" s="136"/>
      <c r="Q695" s="146"/>
      <c r="R695" s="136"/>
      <c r="S695" s="136"/>
      <c r="T695" s="136"/>
      <c r="U695" s="146"/>
      <c r="V695" s="136"/>
      <c r="W695" s="136"/>
      <c r="X695" s="136"/>
    </row>
    <row r="696" spans="1:24" ht="15.75" customHeight="1" x14ac:dyDescent="0.3">
      <c r="A696" s="144"/>
      <c r="B696" s="136"/>
      <c r="C696" s="136"/>
      <c r="D696" s="136"/>
      <c r="E696" s="145"/>
      <c r="F696" s="136"/>
      <c r="G696" s="136"/>
      <c r="H696" s="136"/>
      <c r="I696" s="145"/>
      <c r="J696" s="136"/>
      <c r="K696" s="136"/>
      <c r="L696" s="136"/>
      <c r="M696" s="145"/>
      <c r="N696" s="136"/>
      <c r="O696" s="136"/>
      <c r="P696" s="136"/>
      <c r="Q696" s="146"/>
      <c r="R696" s="136"/>
      <c r="S696" s="136"/>
      <c r="T696" s="136"/>
      <c r="U696" s="146"/>
      <c r="V696" s="136"/>
      <c r="W696" s="136"/>
      <c r="X696" s="136"/>
    </row>
    <row r="697" spans="1:24" ht="15.75" customHeight="1" x14ac:dyDescent="0.3">
      <c r="A697" s="144"/>
      <c r="B697" s="136"/>
      <c r="C697" s="136"/>
      <c r="D697" s="136"/>
      <c r="E697" s="145"/>
      <c r="F697" s="136"/>
      <c r="G697" s="136"/>
      <c r="H697" s="136"/>
      <c r="I697" s="145"/>
      <c r="J697" s="136"/>
      <c r="K697" s="136"/>
      <c r="L697" s="136"/>
      <c r="M697" s="145"/>
      <c r="N697" s="136"/>
      <c r="O697" s="136"/>
      <c r="P697" s="136"/>
      <c r="Q697" s="146"/>
      <c r="R697" s="136"/>
      <c r="S697" s="136"/>
      <c r="T697" s="136"/>
      <c r="U697" s="146"/>
      <c r="V697" s="136"/>
      <c r="W697" s="136"/>
      <c r="X697" s="136"/>
    </row>
    <row r="698" spans="1:24" ht="15.75" customHeight="1" x14ac:dyDescent="0.3">
      <c r="A698" s="144"/>
      <c r="B698" s="136"/>
      <c r="C698" s="136"/>
      <c r="D698" s="136"/>
      <c r="E698" s="145"/>
      <c r="F698" s="136"/>
      <c r="G698" s="136"/>
      <c r="H698" s="136"/>
      <c r="I698" s="145"/>
      <c r="J698" s="136"/>
      <c r="K698" s="136"/>
      <c r="L698" s="136"/>
      <c r="M698" s="145"/>
      <c r="N698" s="136"/>
      <c r="O698" s="136"/>
      <c r="P698" s="136"/>
      <c r="Q698" s="146"/>
      <c r="R698" s="136"/>
      <c r="S698" s="136"/>
      <c r="T698" s="136"/>
      <c r="U698" s="146"/>
      <c r="V698" s="136"/>
      <c r="W698" s="136"/>
      <c r="X698" s="136"/>
    </row>
    <row r="699" spans="1:24" ht="15.75" customHeight="1" x14ac:dyDescent="0.3">
      <c r="A699" s="144"/>
      <c r="B699" s="136"/>
      <c r="C699" s="136"/>
      <c r="D699" s="136"/>
      <c r="E699" s="145"/>
      <c r="F699" s="136"/>
      <c r="G699" s="136"/>
      <c r="H699" s="136"/>
      <c r="I699" s="145"/>
      <c r="J699" s="136"/>
      <c r="K699" s="136"/>
      <c r="L699" s="136"/>
      <c r="M699" s="145"/>
      <c r="N699" s="136"/>
      <c r="O699" s="136"/>
      <c r="P699" s="136"/>
      <c r="Q699" s="146"/>
      <c r="R699" s="136"/>
      <c r="S699" s="136"/>
      <c r="T699" s="136"/>
      <c r="U699" s="146"/>
      <c r="V699" s="136"/>
      <c r="W699" s="136"/>
      <c r="X699" s="136"/>
    </row>
    <row r="700" spans="1:24" ht="15.75" customHeight="1" x14ac:dyDescent="0.3">
      <c r="A700" s="144"/>
      <c r="B700" s="136"/>
      <c r="C700" s="136"/>
      <c r="D700" s="136"/>
      <c r="E700" s="145"/>
      <c r="F700" s="136"/>
      <c r="G700" s="136"/>
      <c r="H700" s="136"/>
      <c r="I700" s="145"/>
      <c r="J700" s="136"/>
      <c r="K700" s="136"/>
      <c r="L700" s="136"/>
      <c r="M700" s="145"/>
      <c r="N700" s="136"/>
      <c r="O700" s="136"/>
      <c r="P700" s="136"/>
      <c r="Q700" s="146"/>
      <c r="R700" s="136"/>
      <c r="S700" s="136"/>
      <c r="T700" s="136"/>
      <c r="U700" s="146"/>
      <c r="V700" s="136"/>
      <c r="W700" s="136"/>
      <c r="X700" s="136"/>
    </row>
    <row r="701" spans="1:24" ht="15.75" customHeight="1" x14ac:dyDescent="0.3">
      <c r="A701" s="144"/>
      <c r="B701" s="136"/>
      <c r="C701" s="136"/>
      <c r="D701" s="136"/>
      <c r="E701" s="145"/>
      <c r="F701" s="136"/>
      <c r="G701" s="136"/>
      <c r="H701" s="136"/>
      <c r="I701" s="145"/>
      <c r="J701" s="136"/>
      <c r="K701" s="136"/>
      <c r="L701" s="136"/>
      <c r="M701" s="145"/>
      <c r="N701" s="136"/>
      <c r="O701" s="136"/>
      <c r="P701" s="136"/>
      <c r="Q701" s="146"/>
      <c r="R701" s="136"/>
      <c r="S701" s="136"/>
      <c r="T701" s="136"/>
      <c r="U701" s="146"/>
      <c r="V701" s="136"/>
      <c r="W701" s="136"/>
      <c r="X701" s="136"/>
    </row>
    <row r="702" spans="1:24" ht="15.75" customHeight="1" x14ac:dyDescent="0.3">
      <c r="A702" s="144"/>
      <c r="B702" s="136"/>
      <c r="C702" s="136"/>
      <c r="D702" s="136"/>
      <c r="E702" s="145"/>
      <c r="F702" s="136"/>
      <c r="G702" s="136"/>
      <c r="H702" s="136"/>
      <c r="I702" s="145"/>
      <c r="J702" s="136"/>
      <c r="K702" s="136"/>
      <c r="L702" s="136"/>
      <c r="M702" s="145"/>
      <c r="N702" s="136"/>
      <c r="O702" s="136"/>
      <c r="P702" s="136"/>
      <c r="Q702" s="146"/>
      <c r="R702" s="136"/>
      <c r="S702" s="136"/>
      <c r="T702" s="136"/>
      <c r="U702" s="146"/>
      <c r="V702" s="136"/>
      <c r="W702" s="136"/>
      <c r="X702" s="136"/>
    </row>
    <row r="703" spans="1:24" ht="15.75" customHeight="1" x14ac:dyDescent="0.3">
      <c r="A703" s="144"/>
      <c r="B703" s="136"/>
      <c r="C703" s="136"/>
      <c r="D703" s="136"/>
      <c r="E703" s="145"/>
      <c r="F703" s="136"/>
      <c r="G703" s="136"/>
      <c r="H703" s="136"/>
      <c r="I703" s="145"/>
      <c r="J703" s="136"/>
      <c r="K703" s="136"/>
      <c r="L703" s="136"/>
      <c r="M703" s="145"/>
      <c r="N703" s="136"/>
      <c r="O703" s="136"/>
      <c r="P703" s="136"/>
      <c r="Q703" s="146"/>
      <c r="R703" s="136"/>
      <c r="S703" s="136"/>
      <c r="T703" s="136"/>
      <c r="U703" s="146"/>
      <c r="V703" s="136"/>
      <c r="W703" s="136"/>
      <c r="X703" s="136"/>
    </row>
    <row r="704" spans="1:24" ht="15.75" customHeight="1" x14ac:dyDescent="0.3">
      <c r="A704" s="144"/>
      <c r="B704" s="136"/>
      <c r="C704" s="136"/>
      <c r="D704" s="136"/>
      <c r="E704" s="145"/>
      <c r="F704" s="136"/>
      <c r="G704" s="136"/>
      <c r="H704" s="136"/>
      <c r="I704" s="145"/>
      <c r="J704" s="136"/>
      <c r="K704" s="136"/>
      <c r="L704" s="136"/>
      <c r="M704" s="145"/>
      <c r="N704" s="136"/>
      <c r="O704" s="136"/>
      <c r="P704" s="136"/>
      <c r="Q704" s="146"/>
      <c r="R704" s="136"/>
      <c r="S704" s="136"/>
      <c r="T704" s="136"/>
      <c r="U704" s="146"/>
      <c r="V704" s="136"/>
      <c r="W704" s="136"/>
      <c r="X704" s="136"/>
    </row>
    <row r="705" spans="1:24" ht="15.75" customHeight="1" x14ac:dyDescent="0.3">
      <c r="A705" s="144"/>
      <c r="B705" s="136"/>
      <c r="C705" s="136"/>
      <c r="D705" s="136"/>
      <c r="E705" s="145"/>
      <c r="F705" s="136"/>
      <c r="G705" s="136"/>
      <c r="H705" s="136"/>
      <c r="I705" s="145"/>
      <c r="J705" s="136"/>
      <c r="K705" s="136"/>
      <c r="L705" s="136"/>
      <c r="M705" s="145"/>
      <c r="N705" s="136"/>
      <c r="O705" s="136"/>
      <c r="P705" s="136"/>
      <c r="Q705" s="146"/>
      <c r="R705" s="136"/>
      <c r="S705" s="136"/>
      <c r="T705" s="136"/>
      <c r="U705" s="146"/>
      <c r="V705" s="136"/>
      <c r="W705" s="136"/>
      <c r="X705" s="136"/>
    </row>
    <row r="706" spans="1:24" ht="15.75" customHeight="1" x14ac:dyDescent="0.3">
      <c r="A706" s="144"/>
      <c r="B706" s="136"/>
      <c r="C706" s="136"/>
      <c r="D706" s="136"/>
      <c r="E706" s="145"/>
      <c r="F706" s="136"/>
      <c r="G706" s="136"/>
      <c r="H706" s="136"/>
      <c r="I706" s="145"/>
      <c r="J706" s="136"/>
      <c r="K706" s="136"/>
      <c r="L706" s="136"/>
      <c r="M706" s="145"/>
      <c r="N706" s="136"/>
      <c r="O706" s="136"/>
      <c r="P706" s="136"/>
      <c r="Q706" s="146"/>
      <c r="R706" s="136"/>
      <c r="S706" s="136"/>
      <c r="T706" s="136"/>
      <c r="U706" s="146"/>
      <c r="V706" s="136"/>
      <c r="W706" s="136"/>
      <c r="X706" s="136"/>
    </row>
    <row r="707" spans="1:24" ht="15.75" customHeight="1" x14ac:dyDescent="0.3">
      <c r="A707" s="144"/>
      <c r="B707" s="136"/>
      <c r="C707" s="136"/>
      <c r="D707" s="136"/>
      <c r="E707" s="145"/>
      <c r="F707" s="136"/>
      <c r="G707" s="136"/>
      <c r="H707" s="136"/>
      <c r="I707" s="145"/>
      <c r="J707" s="136"/>
      <c r="K707" s="136"/>
      <c r="L707" s="136"/>
      <c r="M707" s="145"/>
      <c r="N707" s="136"/>
      <c r="O707" s="136"/>
      <c r="P707" s="136"/>
      <c r="Q707" s="146"/>
      <c r="R707" s="136"/>
      <c r="S707" s="136"/>
      <c r="T707" s="136"/>
      <c r="U707" s="146"/>
      <c r="V707" s="136"/>
      <c r="W707" s="136"/>
      <c r="X707" s="136"/>
    </row>
    <row r="708" spans="1:24" ht="15.75" customHeight="1" x14ac:dyDescent="0.3">
      <c r="A708" s="144"/>
      <c r="B708" s="136"/>
      <c r="C708" s="136"/>
      <c r="D708" s="136"/>
      <c r="E708" s="145"/>
      <c r="F708" s="136"/>
      <c r="G708" s="136"/>
      <c r="H708" s="136"/>
      <c r="I708" s="145"/>
      <c r="J708" s="136"/>
      <c r="K708" s="136"/>
      <c r="L708" s="136"/>
      <c r="M708" s="145"/>
      <c r="N708" s="136"/>
      <c r="O708" s="136"/>
      <c r="P708" s="136"/>
      <c r="Q708" s="146"/>
      <c r="R708" s="136"/>
      <c r="S708" s="136"/>
      <c r="T708" s="136"/>
      <c r="U708" s="146"/>
      <c r="V708" s="136"/>
      <c r="W708" s="136"/>
      <c r="X708" s="136"/>
    </row>
    <row r="709" spans="1:24" ht="15.75" customHeight="1" x14ac:dyDescent="0.3">
      <c r="A709" s="144"/>
      <c r="B709" s="136"/>
      <c r="C709" s="136"/>
      <c r="D709" s="136"/>
      <c r="E709" s="145"/>
      <c r="F709" s="136"/>
      <c r="G709" s="136"/>
      <c r="H709" s="136"/>
      <c r="I709" s="145"/>
      <c r="J709" s="136"/>
      <c r="K709" s="136"/>
      <c r="L709" s="136"/>
      <c r="M709" s="145"/>
      <c r="N709" s="136"/>
      <c r="O709" s="136"/>
      <c r="P709" s="136"/>
      <c r="Q709" s="146"/>
      <c r="R709" s="136"/>
      <c r="S709" s="136"/>
      <c r="T709" s="136"/>
      <c r="U709" s="146"/>
      <c r="V709" s="136"/>
      <c r="W709" s="136"/>
      <c r="X709" s="136"/>
    </row>
    <row r="710" spans="1:24" ht="15.75" customHeight="1" x14ac:dyDescent="0.3">
      <c r="A710" s="144"/>
      <c r="B710" s="136"/>
      <c r="C710" s="136"/>
      <c r="D710" s="136"/>
      <c r="E710" s="145"/>
      <c r="F710" s="136"/>
      <c r="G710" s="136"/>
      <c r="H710" s="136"/>
      <c r="I710" s="145"/>
      <c r="J710" s="136"/>
      <c r="K710" s="136"/>
      <c r="L710" s="136"/>
      <c r="M710" s="145"/>
      <c r="N710" s="136"/>
      <c r="O710" s="136"/>
      <c r="P710" s="136"/>
      <c r="Q710" s="146"/>
      <c r="R710" s="136"/>
      <c r="S710" s="136"/>
      <c r="T710" s="136"/>
      <c r="U710" s="146"/>
      <c r="V710" s="136"/>
      <c r="W710" s="136"/>
      <c r="X710" s="136"/>
    </row>
    <row r="711" spans="1:24" ht="15.75" customHeight="1" x14ac:dyDescent="0.3">
      <c r="A711" s="144"/>
      <c r="B711" s="136"/>
      <c r="C711" s="136"/>
      <c r="D711" s="136"/>
      <c r="E711" s="145"/>
      <c r="F711" s="136"/>
      <c r="G711" s="136"/>
      <c r="H711" s="136"/>
      <c r="I711" s="145"/>
      <c r="J711" s="136"/>
      <c r="K711" s="136"/>
      <c r="L711" s="136"/>
      <c r="M711" s="145"/>
      <c r="N711" s="136"/>
      <c r="O711" s="136"/>
      <c r="P711" s="136"/>
      <c r="Q711" s="146"/>
      <c r="R711" s="136"/>
      <c r="S711" s="136"/>
      <c r="T711" s="136"/>
      <c r="U711" s="146"/>
      <c r="V711" s="136"/>
      <c r="W711" s="136"/>
      <c r="X711" s="136"/>
    </row>
    <row r="712" spans="1:24" ht="15.75" customHeight="1" x14ac:dyDescent="0.3">
      <c r="A712" s="144"/>
      <c r="B712" s="136"/>
      <c r="C712" s="136"/>
      <c r="D712" s="136"/>
      <c r="E712" s="145"/>
      <c r="F712" s="136"/>
      <c r="G712" s="136"/>
      <c r="H712" s="136"/>
      <c r="I712" s="145"/>
      <c r="J712" s="136"/>
      <c r="K712" s="136"/>
      <c r="L712" s="136"/>
      <c r="M712" s="145"/>
      <c r="N712" s="136"/>
      <c r="O712" s="136"/>
      <c r="P712" s="136"/>
      <c r="Q712" s="146"/>
      <c r="R712" s="136"/>
      <c r="S712" s="136"/>
      <c r="T712" s="136"/>
      <c r="U712" s="146"/>
      <c r="V712" s="136"/>
      <c r="W712" s="136"/>
      <c r="X712" s="136"/>
    </row>
    <row r="713" spans="1:24" ht="15.75" customHeight="1" x14ac:dyDescent="0.3">
      <c r="A713" s="144"/>
      <c r="B713" s="136"/>
      <c r="C713" s="136"/>
      <c r="D713" s="136"/>
      <c r="E713" s="145"/>
      <c r="F713" s="136"/>
      <c r="G713" s="136"/>
      <c r="H713" s="136"/>
      <c r="I713" s="145"/>
      <c r="J713" s="136"/>
      <c r="K713" s="136"/>
      <c r="L713" s="136"/>
      <c r="M713" s="145"/>
      <c r="N713" s="136"/>
      <c r="O713" s="136"/>
      <c r="P713" s="136"/>
      <c r="Q713" s="146"/>
      <c r="R713" s="136"/>
      <c r="S713" s="136"/>
      <c r="T713" s="136"/>
      <c r="U713" s="146"/>
      <c r="V713" s="136"/>
      <c r="W713" s="136"/>
      <c r="X713" s="136"/>
    </row>
    <row r="714" spans="1:24" ht="15.75" customHeight="1" x14ac:dyDescent="0.3">
      <c r="A714" s="144"/>
      <c r="B714" s="136"/>
      <c r="C714" s="136"/>
      <c r="D714" s="136"/>
      <c r="E714" s="145"/>
      <c r="F714" s="136"/>
      <c r="G714" s="136"/>
      <c r="H714" s="136"/>
      <c r="I714" s="145"/>
      <c r="J714" s="136"/>
      <c r="K714" s="136"/>
      <c r="L714" s="136"/>
      <c r="M714" s="145"/>
      <c r="N714" s="136"/>
      <c r="O714" s="136"/>
      <c r="P714" s="136"/>
      <c r="Q714" s="146"/>
      <c r="R714" s="136"/>
      <c r="S714" s="136"/>
      <c r="T714" s="136"/>
      <c r="U714" s="146"/>
      <c r="V714" s="136"/>
      <c r="W714" s="136"/>
      <c r="X714" s="136"/>
    </row>
    <row r="715" spans="1:24" ht="15.75" customHeight="1" x14ac:dyDescent="0.3">
      <c r="A715" s="144"/>
      <c r="B715" s="136"/>
      <c r="C715" s="136"/>
      <c r="D715" s="136"/>
      <c r="E715" s="145"/>
      <c r="F715" s="136"/>
      <c r="G715" s="136"/>
      <c r="H715" s="136"/>
      <c r="I715" s="145"/>
      <c r="J715" s="136"/>
      <c r="K715" s="136"/>
      <c r="L715" s="136"/>
      <c r="M715" s="145"/>
      <c r="N715" s="136"/>
      <c r="O715" s="136"/>
      <c r="P715" s="136"/>
      <c r="Q715" s="146"/>
      <c r="R715" s="136"/>
      <c r="S715" s="136"/>
      <c r="T715" s="136"/>
      <c r="U715" s="146"/>
      <c r="V715" s="136"/>
      <c r="W715" s="136"/>
      <c r="X715" s="136"/>
    </row>
    <row r="716" spans="1:24" ht="15.75" customHeight="1" x14ac:dyDescent="0.3">
      <c r="A716" s="144"/>
      <c r="B716" s="136"/>
      <c r="C716" s="136"/>
      <c r="D716" s="136"/>
      <c r="E716" s="145"/>
      <c r="F716" s="136"/>
      <c r="G716" s="136"/>
      <c r="H716" s="136"/>
      <c r="I716" s="145"/>
      <c r="J716" s="136"/>
      <c r="K716" s="136"/>
      <c r="L716" s="136"/>
      <c r="M716" s="145"/>
      <c r="N716" s="136"/>
      <c r="O716" s="136"/>
      <c r="P716" s="136"/>
      <c r="Q716" s="146"/>
      <c r="R716" s="136"/>
      <c r="S716" s="136"/>
      <c r="T716" s="136"/>
      <c r="U716" s="146"/>
      <c r="V716" s="136"/>
      <c r="W716" s="136"/>
      <c r="X716" s="136"/>
    </row>
    <row r="717" spans="1:24" ht="15.75" customHeight="1" x14ac:dyDescent="0.3">
      <c r="A717" s="144"/>
      <c r="B717" s="136"/>
      <c r="C717" s="136"/>
      <c r="D717" s="136"/>
      <c r="E717" s="145"/>
      <c r="F717" s="136"/>
      <c r="G717" s="136"/>
      <c r="H717" s="136"/>
      <c r="I717" s="145"/>
      <c r="J717" s="136"/>
      <c r="K717" s="136"/>
      <c r="L717" s="136"/>
      <c r="M717" s="145"/>
      <c r="N717" s="136"/>
      <c r="O717" s="136"/>
      <c r="P717" s="136"/>
      <c r="Q717" s="146"/>
      <c r="R717" s="136"/>
      <c r="S717" s="136"/>
      <c r="T717" s="136"/>
      <c r="U717" s="146"/>
      <c r="V717" s="136"/>
      <c r="W717" s="136"/>
      <c r="X717" s="136"/>
    </row>
    <row r="718" spans="1:24" ht="15.75" customHeight="1" x14ac:dyDescent="0.3">
      <c r="A718" s="144"/>
      <c r="B718" s="136"/>
      <c r="C718" s="136"/>
      <c r="D718" s="136"/>
      <c r="E718" s="145"/>
      <c r="F718" s="136"/>
      <c r="G718" s="136"/>
      <c r="H718" s="136"/>
      <c r="I718" s="145"/>
      <c r="J718" s="136"/>
      <c r="K718" s="136"/>
      <c r="L718" s="136"/>
      <c r="M718" s="145"/>
      <c r="N718" s="136"/>
      <c r="O718" s="136"/>
      <c r="P718" s="136"/>
      <c r="Q718" s="146"/>
      <c r="R718" s="136"/>
      <c r="S718" s="136"/>
      <c r="T718" s="136"/>
      <c r="U718" s="146"/>
      <c r="V718" s="136"/>
      <c r="W718" s="136"/>
      <c r="X718" s="136"/>
    </row>
    <row r="719" spans="1:24" ht="15.75" customHeight="1" x14ac:dyDescent="0.3">
      <c r="A719" s="144"/>
      <c r="B719" s="136"/>
      <c r="C719" s="136"/>
      <c r="D719" s="136"/>
      <c r="E719" s="145"/>
      <c r="F719" s="136"/>
      <c r="G719" s="136"/>
      <c r="H719" s="136"/>
      <c r="I719" s="145"/>
      <c r="J719" s="136"/>
      <c r="K719" s="136"/>
      <c r="L719" s="136"/>
      <c r="M719" s="145"/>
      <c r="N719" s="136"/>
      <c r="O719" s="136"/>
      <c r="P719" s="136"/>
      <c r="Q719" s="146"/>
      <c r="R719" s="136"/>
      <c r="S719" s="136"/>
      <c r="T719" s="136"/>
      <c r="U719" s="146"/>
      <c r="V719" s="136"/>
      <c r="W719" s="136"/>
      <c r="X719" s="136"/>
    </row>
    <row r="720" spans="1:24" ht="15.75" customHeight="1" x14ac:dyDescent="0.3">
      <c r="A720" s="144"/>
      <c r="B720" s="136"/>
      <c r="C720" s="136"/>
      <c r="D720" s="136"/>
      <c r="E720" s="145"/>
      <c r="F720" s="136"/>
      <c r="G720" s="136"/>
      <c r="H720" s="136"/>
      <c r="I720" s="145"/>
      <c r="J720" s="136"/>
      <c r="K720" s="136"/>
      <c r="L720" s="136"/>
      <c r="M720" s="145"/>
      <c r="N720" s="136"/>
      <c r="O720" s="136"/>
      <c r="P720" s="136"/>
      <c r="Q720" s="146"/>
      <c r="R720" s="136"/>
      <c r="S720" s="136"/>
      <c r="T720" s="136"/>
      <c r="U720" s="146"/>
      <c r="V720" s="136"/>
      <c r="W720" s="136"/>
      <c r="X720" s="136"/>
    </row>
    <row r="721" spans="1:24" ht="15.75" customHeight="1" x14ac:dyDescent="0.3">
      <c r="A721" s="144"/>
      <c r="B721" s="136"/>
      <c r="C721" s="136"/>
      <c r="D721" s="136"/>
      <c r="E721" s="145"/>
      <c r="F721" s="136"/>
      <c r="G721" s="136"/>
      <c r="H721" s="136"/>
      <c r="I721" s="145"/>
      <c r="J721" s="136"/>
      <c r="K721" s="136"/>
      <c r="L721" s="136"/>
      <c r="M721" s="145"/>
      <c r="N721" s="136"/>
      <c r="O721" s="136"/>
      <c r="P721" s="136"/>
      <c r="Q721" s="146"/>
      <c r="R721" s="136"/>
      <c r="S721" s="136"/>
      <c r="T721" s="136"/>
      <c r="U721" s="146"/>
      <c r="V721" s="136"/>
      <c r="W721" s="136"/>
      <c r="X721" s="136"/>
    </row>
    <row r="722" spans="1:24" ht="15.75" customHeight="1" x14ac:dyDescent="0.3">
      <c r="A722" s="144"/>
      <c r="B722" s="136"/>
      <c r="C722" s="136"/>
      <c r="D722" s="136"/>
      <c r="E722" s="145"/>
      <c r="F722" s="136"/>
      <c r="G722" s="136"/>
      <c r="H722" s="136"/>
      <c r="I722" s="145"/>
      <c r="J722" s="136"/>
      <c r="K722" s="136"/>
      <c r="L722" s="136"/>
      <c r="M722" s="145"/>
      <c r="N722" s="136"/>
      <c r="O722" s="136"/>
      <c r="P722" s="136"/>
      <c r="Q722" s="146"/>
      <c r="R722" s="136"/>
      <c r="S722" s="136"/>
      <c r="T722" s="136"/>
      <c r="U722" s="146"/>
      <c r="V722" s="136"/>
      <c r="W722" s="136"/>
      <c r="X722" s="136"/>
    </row>
    <row r="723" spans="1:24" ht="15.75" customHeight="1" x14ac:dyDescent="0.3">
      <c r="A723" s="144"/>
      <c r="B723" s="136"/>
      <c r="C723" s="136"/>
      <c r="D723" s="136"/>
      <c r="E723" s="145"/>
      <c r="F723" s="136"/>
      <c r="G723" s="136"/>
      <c r="H723" s="136"/>
      <c r="I723" s="145"/>
      <c r="J723" s="136"/>
      <c r="K723" s="136"/>
      <c r="L723" s="136"/>
      <c r="M723" s="145"/>
      <c r="N723" s="136"/>
      <c r="O723" s="136"/>
      <c r="P723" s="136"/>
      <c r="Q723" s="146"/>
      <c r="R723" s="136"/>
      <c r="S723" s="136"/>
      <c r="T723" s="136"/>
      <c r="U723" s="146"/>
      <c r="V723" s="136"/>
      <c r="W723" s="136"/>
      <c r="X723" s="136"/>
    </row>
    <row r="724" spans="1:24" ht="15.75" customHeight="1" x14ac:dyDescent="0.3">
      <c r="A724" s="144"/>
      <c r="B724" s="136"/>
      <c r="C724" s="136"/>
      <c r="D724" s="136"/>
      <c r="E724" s="145"/>
      <c r="F724" s="136"/>
      <c r="G724" s="136"/>
      <c r="H724" s="136"/>
      <c r="I724" s="145"/>
      <c r="J724" s="136"/>
      <c r="K724" s="136"/>
      <c r="L724" s="136"/>
      <c r="M724" s="145"/>
      <c r="N724" s="136"/>
      <c r="O724" s="136"/>
      <c r="P724" s="136"/>
      <c r="Q724" s="146"/>
      <c r="R724" s="136"/>
      <c r="S724" s="136"/>
      <c r="T724" s="136"/>
      <c r="U724" s="146"/>
      <c r="V724" s="136"/>
      <c r="W724" s="136"/>
      <c r="X724" s="136"/>
    </row>
    <row r="725" spans="1:24" ht="15.75" customHeight="1" x14ac:dyDescent="0.3">
      <c r="A725" s="144"/>
      <c r="B725" s="136"/>
      <c r="C725" s="136"/>
      <c r="D725" s="136"/>
      <c r="E725" s="145"/>
      <c r="F725" s="136"/>
      <c r="G725" s="136"/>
      <c r="H725" s="136"/>
      <c r="I725" s="145"/>
      <c r="J725" s="136"/>
      <c r="K725" s="136"/>
      <c r="L725" s="136"/>
      <c r="M725" s="145"/>
      <c r="N725" s="136"/>
      <c r="O725" s="136"/>
      <c r="P725" s="136"/>
      <c r="Q725" s="146"/>
      <c r="R725" s="136"/>
      <c r="S725" s="136"/>
      <c r="T725" s="136"/>
      <c r="U725" s="146"/>
      <c r="V725" s="136"/>
      <c r="W725" s="136"/>
      <c r="X725" s="136"/>
    </row>
    <row r="726" spans="1:24" ht="15.75" customHeight="1" x14ac:dyDescent="0.3">
      <c r="A726" s="144"/>
      <c r="B726" s="136"/>
      <c r="C726" s="136"/>
      <c r="D726" s="136"/>
      <c r="E726" s="145"/>
      <c r="F726" s="136"/>
      <c r="G726" s="136"/>
      <c r="H726" s="136"/>
      <c r="I726" s="145"/>
      <c r="J726" s="136"/>
      <c r="K726" s="136"/>
      <c r="L726" s="136"/>
      <c r="M726" s="145"/>
      <c r="N726" s="136"/>
      <c r="O726" s="136"/>
      <c r="P726" s="136"/>
      <c r="Q726" s="146"/>
      <c r="R726" s="136"/>
      <c r="S726" s="136"/>
      <c r="T726" s="136"/>
      <c r="U726" s="146"/>
      <c r="V726" s="136"/>
      <c r="W726" s="136"/>
      <c r="X726" s="136"/>
    </row>
    <row r="727" spans="1:24" ht="15.75" customHeight="1" x14ac:dyDescent="0.3">
      <c r="A727" s="144"/>
      <c r="B727" s="136"/>
      <c r="C727" s="136"/>
      <c r="D727" s="136"/>
      <c r="E727" s="145"/>
      <c r="F727" s="136"/>
      <c r="G727" s="136"/>
      <c r="H727" s="136"/>
      <c r="I727" s="145"/>
      <c r="J727" s="136"/>
      <c r="K727" s="136"/>
      <c r="L727" s="136"/>
      <c r="M727" s="145"/>
      <c r="N727" s="136"/>
      <c r="O727" s="136"/>
      <c r="P727" s="136"/>
      <c r="Q727" s="146"/>
      <c r="R727" s="136"/>
      <c r="S727" s="136"/>
      <c r="T727" s="136"/>
      <c r="U727" s="146"/>
      <c r="V727" s="136"/>
      <c r="W727" s="136"/>
      <c r="X727" s="136"/>
    </row>
    <row r="728" spans="1:24" ht="15.75" customHeight="1" x14ac:dyDescent="0.3">
      <c r="A728" s="144"/>
      <c r="B728" s="136"/>
      <c r="C728" s="136"/>
      <c r="D728" s="136"/>
      <c r="E728" s="145"/>
      <c r="F728" s="136"/>
      <c r="G728" s="136"/>
      <c r="H728" s="136"/>
      <c r="I728" s="145"/>
      <c r="J728" s="136"/>
      <c r="K728" s="136"/>
      <c r="L728" s="136"/>
      <c r="M728" s="145"/>
      <c r="N728" s="136"/>
      <c r="O728" s="136"/>
      <c r="P728" s="136"/>
      <c r="Q728" s="146"/>
      <c r="R728" s="136"/>
      <c r="S728" s="136"/>
      <c r="T728" s="136"/>
      <c r="U728" s="146"/>
      <c r="V728" s="136"/>
      <c r="W728" s="136"/>
      <c r="X728" s="136"/>
    </row>
    <row r="729" spans="1:24" ht="15.75" customHeight="1" x14ac:dyDescent="0.3">
      <c r="A729" s="144"/>
      <c r="B729" s="136"/>
      <c r="C729" s="136"/>
      <c r="D729" s="136"/>
      <c r="E729" s="145"/>
      <c r="F729" s="136"/>
      <c r="G729" s="136"/>
      <c r="H729" s="136"/>
      <c r="I729" s="145"/>
      <c r="J729" s="136"/>
      <c r="K729" s="136"/>
      <c r="L729" s="136"/>
      <c r="M729" s="145"/>
      <c r="N729" s="136"/>
      <c r="O729" s="136"/>
      <c r="P729" s="136"/>
      <c r="Q729" s="146"/>
      <c r="R729" s="136"/>
      <c r="S729" s="136"/>
      <c r="T729" s="136"/>
      <c r="U729" s="146"/>
      <c r="V729" s="136"/>
      <c r="W729" s="136"/>
      <c r="X729" s="136"/>
    </row>
    <row r="730" spans="1:24" ht="15.75" customHeight="1" x14ac:dyDescent="0.3">
      <c r="A730" s="144"/>
      <c r="B730" s="136"/>
      <c r="C730" s="136"/>
      <c r="D730" s="136"/>
      <c r="E730" s="145"/>
      <c r="F730" s="136"/>
      <c r="G730" s="136"/>
      <c r="H730" s="136"/>
      <c r="I730" s="145"/>
      <c r="J730" s="136"/>
      <c r="K730" s="136"/>
      <c r="L730" s="136"/>
      <c r="M730" s="145"/>
      <c r="N730" s="136"/>
      <c r="O730" s="136"/>
      <c r="P730" s="136"/>
      <c r="Q730" s="146"/>
      <c r="R730" s="136"/>
      <c r="S730" s="136"/>
      <c r="T730" s="136"/>
      <c r="U730" s="146"/>
      <c r="V730" s="136"/>
      <c r="W730" s="136"/>
      <c r="X730" s="136"/>
    </row>
    <row r="731" spans="1:24" ht="15.75" customHeight="1" x14ac:dyDescent="0.3">
      <c r="A731" s="144"/>
      <c r="B731" s="136"/>
      <c r="C731" s="136"/>
      <c r="D731" s="136"/>
      <c r="E731" s="145"/>
      <c r="F731" s="136"/>
      <c r="G731" s="136"/>
      <c r="H731" s="136"/>
      <c r="I731" s="145"/>
      <c r="J731" s="136"/>
      <c r="K731" s="136"/>
      <c r="L731" s="136"/>
      <c r="M731" s="145"/>
      <c r="N731" s="136"/>
      <c r="O731" s="136"/>
      <c r="P731" s="136"/>
      <c r="Q731" s="146"/>
      <c r="R731" s="136"/>
      <c r="S731" s="136"/>
      <c r="T731" s="136"/>
      <c r="U731" s="146"/>
      <c r="V731" s="136"/>
      <c r="W731" s="136"/>
      <c r="X731" s="136"/>
    </row>
    <row r="732" spans="1:24" ht="15.75" customHeight="1" x14ac:dyDescent="0.3">
      <c r="A732" s="144"/>
      <c r="B732" s="136"/>
      <c r="C732" s="136"/>
      <c r="D732" s="136"/>
      <c r="E732" s="145"/>
      <c r="F732" s="136"/>
      <c r="G732" s="136"/>
      <c r="H732" s="136"/>
      <c r="I732" s="145"/>
      <c r="J732" s="136"/>
      <c r="K732" s="136"/>
      <c r="L732" s="136"/>
      <c r="M732" s="145"/>
      <c r="N732" s="136"/>
      <c r="O732" s="136"/>
      <c r="P732" s="136"/>
      <c r="Q732" s="146"/>
      <c r="R732" s="136"/>
      <c r="S732" s="136"/>
      <c r="T732" s="136"/>
      <c r="U732" s="146"/>
      <c r="V732" s="136"/>
      <c r="W732" s="136"/>
      <c r="X732" s="136"/>
    </row>
    <row r="733" spans="1:24" ht="15.75" customHeight="1" x14ac:dyDescent="0.3">
      <c r="A733" s="144"/>
      <c r="B733" s="136"/>
      <c r="C733" s="136"/>
      <c r="D733" s="136"/>
      <c r="E733" s="145"/>
      <c r="F733" s="136"/>
      <c r="G733" s="136"/>
      <c r="H733" s="136"/>
      <c r="I733" s="145"/>
      <c r="J733" s="136"/>
      <c r="K733" s="136"/>
      <c r="L733" s="136"/>
      <c r="M733" s="145"/>
      <c r="N733" s="136"/>
      <c r="O733" s="136"/>
      <c r="P733" s="136"/>
      <c r="Q733" s="146"/>
      <c r="R733" s="136"/>
      <c r="S733" s="136"/>
      <c r="T733" s="136"/>
      <c r="U733" s="146"/>
      <c r="V733" s="136"/>
      <c r="W733" s="136"/>
      <c r="X733" s="136"/>
    </row>
    <row r="734" spans="1:24" ht="15.75" customHeight="1" x14ac:dyDescent="0.3">
      <c r="A734" s="144"/>
      <c r="B734" s="136"/>
      <c r="C734" s="136"/>
      <c r="D734" s="136"/>
      <c r="E734" s="145"/>
      <c r="F734" s="136"/>
      <c r="G734" s="136"/>
      <c r="H734" s="136"/>
      <c r="I734" s="145"/>
      <c r="J734" s="136"/>
      <c r="K734" s="136"/>
      <c r="L734" s="136"/>
      <c r="M734" s="145"/>
      <c r="N734" s="136"/>
      <c r="O734" s="136"/>
      <c r="P734" s="136"/>
      <c r="Q734" s="146"/>
      <c r="R734" s="136"/>
      <c r="S734" s="136"/>
      <c r="T734" s="136"/>
      <c r="U734" s="146"/>
      <c r="V734" s="136"/>
      <c r="W734" s="136"/>
      <c r="X734" s="136"/>
    </row>
    <row r="735" spans="1:24" ht="15.75" customHeight="1" x14ac:dyDescent="0.3">
      <c r="A735" s="144"/>
      <c r="B735" s="136"/>
      <c r="C735" s="136"/>
      <c r="D735" s="136"/>
      <c r="E735" s="145"/>
      <c r="F735" s="136"/>
      <c r="G735" s="136"/>
      <c r="H735" s="136"/>
      <c r="I735" s="145"/>
      <c r="J735" s="136"/>
      <c r="K735" s="136"/>
      <c r="L735" s="136"/>
      <c r="M735" s="145"/>
      <c r="N735" s="136"/>
      <c r="O735" s="136"/>
      <c r="P735" s="136"/>
      <c r="Q735" s="146"/>
      <c r="R735" s="136"/>
      <c r="S735" s="136"/>
      <c r="T735" s="136"/>
      <c r="U735" s="146"/>
      <c r="V735" s="136"/>
      <c r="W735" s="136"/>
      <c r="X735" s="136"/>
    </row>
    <row r="736" spans="1:24" ht="15.75" customHeight="1" x14ac:dyDescent="0.3">
      <c r="A736" s="144"/>
      <c r="B736" s="136"/>
      <c r="C736" s="136"/>
      <c r="D736" s="136"/>
      <c r="E736" s="145"/>
      <c r="F736" s="136"/>
      <c r="G736" s="136"/>
      <c r="H736" s="136"/>
      <c r="I736" s="145"/>
      <c r="J736" s="136"/>
      <c r="K736" s="136"/>
      <c r="L736" s="136"/>
      <c r="M736" s="145"/>
      <c r="N736" s="136"/>
      <c r="O736" s="136"/>
      <c r="P736" s="136"/>
      <c r="Q736" s="146"/>
      <c r="R736" s="136"/>
      <c r="S736" s="136"/>
      <c r="T736" s="136"/>
      <c r="U736" s="146"/>
      <c r="V736" s="136"/>
      <c r="W736" s="136"/>
      <c r="X736" s="136"/>
    </row>
    <row r="737" spans="1:24" ht="15.75" customHeight="1" x14ac:dyDescent="0.3">
      <c r="A737" s="144"/>
      <c r="B737" s="136"/>
      <c r="C737" s="136"/>
      <c r="D737" s="136"/>
      <c r="E737" s="145"/>
      <c r="F737" s="136"/>
      <c r="G737" s="136"/>
      <c r="H737" s="136"/>
      <c r="I737" s="145"/>
      <c r="J737" s="136"/>
      <c r="K737" s="136"/>
      <c r="L737" s="136"/>
      <c r="M737" s="145"/>
      <c r="N737" s="136"/>
      <c r="O737" s="136"/>
      <c r="P737" s="136"/>
      <c r="Q737" s="146"/>
      <c r="R737" s="136"/>
      <c r="S737" s="136"/>
      <c r="T737" s="136"/>
      <c r="U737" s="146"/>
      <c r="V737" s="136"/>
      <c r="W737" s="136"/>
      <c r="X737" s="136"/>
    </row>
    <row r="738" spans="1:24" ht="15.75" customHeight="1" x14ac:dyDescent="0.3">
      <c r="A738" s="144"/>
      <c r="B738" s="136"/>
      <c r="C738" s="136"/>
      <c r="D738" s="136"/>
      <c r="E738" s="145"/>
      <c r="F738" s="136"/>
      <c r="G738" s="136"/>
      <c r="H738" s="136"/>
      <c r="I738" s="145"/>
      <c r="J738" s="136"/>
      <c r="K738" s="136"/>
      <c r="L738" s="136"/>
      <c r="M738" s="145"/>
      <c r="N738" s="136"/>
      <c r="O738" s="136"/>
      <c r="P738" s="136"/>
      <c r="Q738" s="146"/>
      <c r="R738" s="136"/>
      <c r="S738" s="136"/>
      <c r="T738" s="136"/>
      <c r="U738" s="146"/>
      <c r="V738" s="136"/>
      <c r="W738" s="136"/>
      <c r="X738" s="136"/>
    </row>
    <row r="739" spans="1:24" ht="15.75" customHeight="1" x14ac:dyDescent="0.3">
      <c r="A739" s="144"/>
      <c r="B739" s="136"/>
      <c r="C739" s="136"/>
      <c r="D739" s="136"/>
      <c r="E739" s="145"/>
      <c r="F739" s="136"/>
      <c r="G739" s="136"/>
      <c r="H739" s="136"/>
      <c r="I739" s="145"/>
      <c r="J739" s="136"/>
      <c r="K739" s="136"/>
      <c r="L739" s="136"/>
      <c r="M739" s="145"/>
      <c r="N739" s="136"/>
      <c r="O739" s="136"/>
      <c r="P739" s="136"/>
      <c r="Q739" s="146"/>
      <c r="R739" s="136"/>
      <c r="S739" s="136"/>
      <c r="T739" s="136"/>
      <c r="U739" s="146"/>
      <c r="V739" s="136"/>
      <c r="W739" s="136"/>
      <c r="X739" s="136"/>
    </row>
    <row r="740" spans="1:24" ht="15.75" customHeight="1" x14ac:dyDescent="0.3">
      <c r="A740" s="144"/>
      <c r="B740" s="136"/>
      <c r="C740" s="136"/>
      <c r="D740" s="136"/>
      <c r="E740" s="145"/>
      <c r="F740" s="136"/>
      <c r="G740" s="136"/>
      <c r="H740" s="136"/>
      <c r="I740" s="145"/>
      <c r="J740" s="136"/>
      <c r="K740" s="136"/>
      <c r="L740" s="136"/>
      <c r="M740" s="145"/>
      <c r="N740" s="136"/>
      <c r="O740" s="136"/>
      <c r="P740" s="136"/>
      <c r="Q740" s="146"/>
      <c r="R740" s="136"/>
      <c r="S740" s="136"/>
      <c r="T740" s="136"/>
      <c r="U740" s="146"/>
      <c r="V740" s="136"/>
      <c r="W740" s="136"/>
      <c r="X740" s="136"/>
    </row>
    <row r="741" spans="1:24" ht="15.75" customHeight="1" x14ac:dyDescent="0.3">
      <c r="A741" s="144"/>
      <c r="B741" s="136"/>
      <c r="C741" s="136"/>
      <c r="D741" s="136"/>
      <c r="E741" s="145"/>
      <c r="F741" s="136"/>
      <c r="G741" s="136"/>
      <c r="H741" s="136"/>
      <c r="I741" s="145"/>
      <c r="J741" s="136"/>
      <c r="K741" s="136"/>
      <c r="L741" s="136"/>
      <c r="M741" s="145"/>
      <c r="N741" s="136"/>
      <c r="O741" s="136"/>
      <c r="P741" s="136"/>
      <c r="Q741" s="146"/>
      <c r="R741" s="136"/>
      <c r="S741" s="136"/>
      <c r="T741" s="136"/>
      <c r="U741" s="146"/>
      <c r="V741" s="136"/>
      <c r="W741" s="136"/>
      <c r="X741" s="136"/>
    </row>
    <row r="742" spans="1:24" ht="15.75" customHeight="1" x14ac:dyDescent="0.3">
      <c r="A742" s="144"/>
      <c r="B742" s="136"/>
      <c r="C742" s="136"/>
      <c r="D742" s="136"/>
      <c r="E742" s="145"/>
      <c r="F742" s="136"/>
      <c r="G742" s="136"/>
      <c r="H742" s="136"/>
      <c r="I742" s="145"/>
      <c r="J742" s="136"/>
      <c r="K742" s="136"/>
      <c r="L742" s="136"/>
      <c r="M742" s="145"/>
      <c r="N742" s="136"/>
      <c r="O742" s="136"/>
      <c r="P742" s="136"/>
      <c r="Q742" s="146"/>
      <c r="R742" s="136"/>
      <c r="S742" s="136"/>
      <c r="T742" s="136"/>
      <c r="U742" s="146"/>
      <c r="V742" s="136"/>
      <c r="W742" s="136"/>
      <c r="X742" s="136"/>
    </row>
    <row r="743" spans="1:24" ht="15.75" customHeight="1" x14ac:dyDescent="0.3">
      <c r="A743" s="144"/>
      <c r="B743" s="136"/>
      <c r="C743" s="136"/>
      <c r="D743" s="136"/>
      <c r="E743" s="145"/>
      <c r="F743" s="136"/>
      <c r="G743" s="136"/>
      <c r="H743" s="136"/>
      <c r="I743" s="145"/>
      <c r="J743" s="136"/>
      <c r="K743" s="136"/>
      <c r="L743" s="136"/>
      <c r="M743" s="145"/>
      <c r="N743" s="136"/>
      <c r="O743" s="136"/>
      <c r="P743" s="136"/>
      <c r="Q743" s="146"/>
      <c r="R743" s="136"/>
      <c r="S743" s="136"/>
      <c r="T743" s="136"/>
      <c r="U743" s="146"/>
      <c r="V743" s="136"/>
      <c r="W743" s="136"/>
      <c r="X743" s="136"/>
    </row>
    <row r="744" spans="1:24" ht="15.75" customHeight="1" x14ac:dyDescent="0.3">
      <c r="A744" s="144"/>
      <c r="B744" s="136"/>
      <c r="C744" s="136"/>
      <c r="D744" s="136"/>
      <c r="E744" s="145"/>
      <c r="F744" s="136"/>
      <c r="G744" s="136"/>
      <c r="H744" s="136"/>
      <c r="I744" s="145"/>
      <c r="J744" s="136"/>
      <c r="K744" s="136"/>
      <c r="L744" s="136"/>
      <c r="M744" s="145"/>
      <c r="N744" s="136"/>
      <c r="O744" s="136"/>
      <c r="P744" s="136"/>
      <c r="Q744" s="146"/>
      <c r="R744" s="136"/>
      <c r="S744" s="136"/>
      <c r="T744" s="136"/>
      <c r="U744" s="146"/>
      <c r="V744" s="136"/>
      <c r="W744" s="136"/>
      <c r="X744" s="136"/>
    </row>
    <row r="745" spans="1:24" ht="15.75" customHeight="1" x14ac:dyDescent="0.3">
      <c r="A745" s="144"/>
      <c r="B745" s="136"/>
      <c r="C745" s="136"/>
      <c r="D745" s="136"/>
      <c r="E745" s="145"/>
      <c r="F745" s="136"/>
      <c r="G745" s="136"/>
      <c r="H745" s="136"/>
      <c r="I745" s="145"/>
      <c r="J745" s="136"/>
      <c r="K745" s="136"/>
      <c r="L745" s="136"/>
      <c r="M745" s="145"/>
      <c r="N745" s="136"/>
      <c r="O745" s="136"/>
      <c r="P745" s="136"/>
      <c r="Q745" s="146"/>
      <c r="R745" s="136"/>
      <c r="S745" s="136"/>
      <c r="T745" s="136"/>
      <c r="U745" s="146"/>
      <c r="V745" s="136"/>
      <c r="W745" s="136"/>
      <c r="X745" s="136"/>
    </row>
    <row r="746" spans="1:24" ht="15.75" customHeight="1" x14ac:dyDescent="0.3">
      <c r="A746" s="144"/>
      <c r="B746" s="136"/>
      <c r="C746" s="136"/>
      <c r="D746" s="136"/>
      <c r="E746" s="145"/>
      <c r="F746" s="136"/>
      <c r="G746" s="136"/>
      <c r="H746" s="136"/>
      <c r="I746" s="145"/>
      <c r="J746" s="136"/>
      <c r="K746" s="136"/>
      <c r="L746" s="136"/>
      <c r="M746" s="145"/>
      <c r="N746" s="136"/>
      <c r="O746" s="136"/>
      <c r="P746" s="136"/>
      <c r="Q746" s="146"/>
      <c r="R746" s="136"/>
      <c r="S746" s="136"/>
      <c r="T746" s="136"/>
      <c r="U746" s="146"/>
      <c r="V746" s="136"/>
      <c r="W746" s="136"/>
      <c r="X746" s="136"/>
    </row>
    <row r="747" spans="1:24" ht="15.75" customHeight="1" x14ac:dyDescent="0.3">
      <c r="A747" s="144"/>
      <c r="B747" s="136"/>
      <c r="C747" s="136"/>
      <c r="D747" s="136"/>
      <c r="E747" s="145"/>
      <c r="F747" s="136"/>
      <c r="G747" s="136"/>
      <c r="H747" s="136"/>
      <c r="I747" s="145"/>
      <c r="J747" s="136"/>
      <c r="K747" s="136"/>
      <c r="L747" s="136"/>
      <c r="M747" s="145"/>
      <c r="N747" s="136"/>
      <c r="O747" s="136"/>
      <c r="P747" s="136"/>
      <c r="Q747" s="146"/>
      <c r="R747" s="136"/>
      <c r="S747" s="136"/>
      <c r="T747" s="136"/>
      <c r="U747" s="146"/>
      <c r="V747" s="136"/>
      <c r="W747" s="136"/>
      <c r="X747" s="136"/>
    </row>
    <row r="748" spans="1:24" ht="15.75" customHeight="1" x14ac:dyDescent="0.3">
      <c r="A748" s="144"/>
      <c r="B748" s="136"/>
      <c r="C748" s="136"/>
      <c r="D748" s="136"/>
      <c r="E748" s="145"/>
      <c r="F748" s="136"/>
      <c r="G748" s="136"/>
      <c r="H748" s="136"/>
      <c r="I748" s="145"/>
      <c r="J748" s="136"/>
      <c r="K748" s="136"/>
      <c r="L748" s="136"/>
      <c r="M748" s="145"/>
      <c r="N748" s="136"/>
      <c r="O748" s="136"/>
      <c r="P748" s="136"/>
      <c r="Q748" s="146"/>
      <c r="R748" s="136"/>
      <c r="S748" s="136"/>
      <c r="T748" s="136"/>
      <c r="U748" s="146"/>
      <c r="V748" s="136"/>
      <c r="W748" s="136"/>
      <c r="X748" s="136"/>
    </row>
    <row r="749" spans="1:24" ht="15.75" customHeight="1" x14ac:dyDescent="0.3">
      <c r="A749" s="144"/>
      <c r="B749" s="136"/>
      <c r="C749" s="136"/>
      <c r="D749" s="136"/>
      <c r="E749" s="145"/>
      <c r="F749" s="136"/>
      <c r="G749" s="136"/>
      <c r="H749" s="136"/>
      <c r="I749" s="145"/>
      <c r="J749" s="136"/>
      <c r="K749" s="136"/>
      <c r="L749" s="136"/>
      <c r="M749" s="145"/>
      <c r="N749" s="136"/>
      <c r="O749" s="136"/>
      <c r="P749" s="136"/>
      <c r="Q749" s="146"/>
      <c r="R749" s="136"/>
      <c r="S749" s="136"/>
      <c r="T749" s="136"/>
      <c r="U749" s="146"/>
      <c r="V749" s="136"/>
      <c r="W749" s="136"/>
      <c r="X749" s="136"/>
    </row>
    <row r="750" spans="1:24" ht="15.75" customHeight="1" x14ac:dyDescent="0.3">
      <c r="A750" s="144"/>
      <c r="B750" s="136"/>
      <c r="C750" s="136"/>
      <c r="D750" s="136"/>
      <c r="E750" s="145"/>
      <c r="F750" s="136"/>
      <c r="G750" s="136"/>
      <c r="H750" s="136"/>
      <c r="I750" s="145"/>
      <c r="J750" s="136"/>
      <c r="K750" s="136"/>
      <c r="L750" s="136"/>
      <c r="M750" s="145"/>
      <c r="N750" s="136"/>
      <c r="O750" s="136"/>
      <c r="P750" s="136"/>
      <c r="Q750" s="146"/>
      <c r="R750" s="136"/>
      <c r="S750" s="136"/>
      <c r="T750" s="136"/>
      <c r="U750" s="146"/>
      <c r="V750" s="136"/>
      <c r="W750" s="136"/>
      <c r="X750" s="136"/>
    </row>
    <row r="751" spans="1:24" ht="15.75" customHeight="1" x14ac:dyDescent="0.3">
      <c r="A751" s="144"/>
      <c r="B751" s="136"/>
      <c r="C751" s="136"/>
      <c r="D751" s="136"/>
      <c r="E751" s="145"/>
      <c r="F751" s="136"/>
      <c r="G751" s="136"/>
      <c r="H751" s="136"/>
      <c r="I751" s="145"/>
      <c r="J751" s="136"/>
      <c r="K751" s="136"/>
      <c r="L751" s="136"/>
      <c r="M751" s="145"/>
      <c r="N751" s="136"/>
      <c r="O751" s="136"/>
      <c r="P751" s="136"/>
      <c r="Q751" s="146"/>
      <c r="R751" s="136"/>
      <c r="S751" s="136"/>
      <c r="T751" s="136"/>
      <c r="U751" s="146"/>
      <c r="V751" s="136"/>
      <c r="W751" s="136"/>
      <c r="X751" s="136"/>
    </row>
    <row r="752" spans="1:24" ht="15.75" customHeight="1" x14ac:dyDescent="0.3">
      <c r="A752" s="144"/>
      <c r="B752" s="136"/>
      <c r="C752" s="136"/>
      <c r="D752" s="136"/>
      <c r="E752" s="145"/>
      <c r="F752" s="136"/>
      <c r="G752" s="136"/>
      <c r="H752" s="136"/>
      <c r="I752" s="145"/>
      <c r="J752" s="136"/>
      <c r="K752" s="136"/>
      <c r="L752" s="136"/>
      <c r="M752" s="145"/>
      <c r="N752" s="136"/>
      <c r="O752" s="136"/>
      <c r="P752" s="136"/>
      <c r="Q752" s="146"/>
      <c r="R752" s="136"/>
      <c r="S752" s="136"/>
      <c r="T752" s="136"/>
      <c r="U752" s="146"/>
      <c r="V752" s="136"/>
      <c r="W752" s="136"/>
      <c r="X752" s="136"/>
    </row>
    <row r="753" spans="1:24" ht="15.75" customHeight="1" x14ac:dyDescent="0.3">
      <c r="A753" s="144"/>
      <c r="B753" s="136"/>
      <c r="C753" s="136"/>
      <c r="D753" s="136"/>
      <c r="E753" s="145"/>
      <c r="F753" s="136"/>
      <c r="G753" s="136"/>
      <c r="H753" s="136"/>
      <c r="I753" s="145"/>
      <c r="J753" s="136"/>
      <c r="K753" s="136"/>
      <c r="L753" s="136"/>
      <c r="M753" s="145"/>
      <c r="N753" s="136"/>
      <c r="O753" s="136"/>
      <c r="P753" s="136"/>
      <c r="Q753" s="146"/>
      <c r="R753" s="136"/>
      <c r="S753" s="136"/>
      <c r="T753" s="136"/>
      <c r="U753" s="146"/>
      <c r="V753" s="136"/>
      <c r="W753" s="136"/>
      <c r="X753" s="136"/>
    </row>
    <row r="754" spans="1:24" ht="15.75" customHeight="1" x14ac:dyDescent="0.3">
      <c r="A754" s="144"/>
      <c r="B754" s="136"/>
      <c r="C754" s="136"/>
      <c r="D754" s="136"/>
      <c r="E754" s="145"/>
      <c r="F754" s="136"/>
      <c r="G754" s="136"/>
      <c r="H754" s="136"/>
      <c r="I754" s="145"/>
      <c r="J754" s="136"/>
      <c r="K754" s="136"/>
      <c r="L754" s="136"/>
      <c r="M754" s="145"/>
      <c r="N754" s="136"/>
      <c r="O754" s="136"/>
      <c r="P754" s="136"/>
      <c r="Q754" s="146"/>
      <c r="R754" s="136"/>
      <c r="S754" s="136"/>
      <c r="T754" s="136"/>
      <c r="U754" s="146"/>
      <c r="V754" s="136"/>
      <c r="W754" s="136"/>
      <c r="X754" s="136"/>
    </row>
    <row r="755" spans="1:24" ht="15.75" customHeight="1" x14ac:dyDescent="0.3">
      <c r="A755" s="144"/>
      <c r="B755" s="136"/>
      <c r="C755" s="136"/>
      <c r="D755" s="136"/>
      <c r="E755" s="145"/>
      <c r="F755" s="136"/>
      <c r="G755" s="136"/>
      <c r="H755" s="136"/>
      <c r="I755" s="145"/>
      <c r="J755" s="136"/>
      <c r="K755" s="136"/>
      <c r="L755" s="136"/>
      <c r="M755" s="145"/>
      <c r="N755" s="136"/>
      <c r="O755" s="136"/>
      <c r="P755" s="136"/>
      <c r="Q755" s="146"/>
      <c r="R755" s="136"/>
      <c r="S755" s="136"/>
      <c r="T755" s="136"/>
      <c r="U755" s="146"/>
      <c r="V755" s="136"/>
      <c r="W755" s="136"/>
      <c r="X755" s="136"/>
    </row>
    <row r="756" spans="1:24" ht="15.75" customHeight="1" x14ac:dyDescent="0.3">
      <c r="A756" s="144"/>
      <c r="B756" s="136"/>
      <c r="C756" s="136"/>
      <c r="D756" s="136"/>
      <c r="E756" s="145"/>
      <c r="F756" s="136"/>
      <c r="G756" s="136"/>
      <c r="H756" s="136"/>
      <c r="I756" s="145"/>
      <c r="J756" s="136"/>
      <c r="K756" s="136"/>
      <c r="L756" s="136"/>
      <c r="M756" s="145"/>
      <c r="N756" s="136"/>
      <c r="O756" s="136"/>
      <c r="P756" s="136"/>
      <c r="Q756" s="146"/>
      <c r="R756" s="136"/>
      <c r="S756" s="136"/>
      <c r="T756" s="136"/>
      <c r="U756" s="146"/>
      <c r="V756" s="136"/>
      <c r="W756" s="136"/>
      <c r="X756" s="136"/>
    </row>
    <row r="757" spans="1:24" ht="15.75" customHeight="1" x14ac:dyDescent="0.3">
      <c r="A757" s="144"/>
      <c r="B757" s="136"/>
      <c r="C757" s="136"/>
      <c r="D757" s="136"/>
      <c r="E757" s="145"/>
      <c r="F757" s="136"/>
      <c r="G757" s="136"/>
      <c r="H757" s="136"/>
      <c r="I757" s="145"/>
      <c r="J757" s="136"/>
      <c r="K757" s="136"/>
      <c r="L757" s="136"/>
      <c r="M757" s="145"/>
      <c r="N757" s="136"/>
      <c r="O757" s="136"/>
      <c r="P757" s="136"/>
      <c r="Q757" s="146"/>
      <c r="R757" s="136"/>
      <c r="S757" s="136"/>
      <c r="T757" s="136"/>
      <c r="U757" s="146"/>
      <c r="V757" s="136"/>
      <c r="W757" s="136"/>
      <c r="X757" s="136"/>
    </row>
    <row r="758" spans="1:24" ht="15.75" customHeight="1" x14ac:dyDescent="0.3">
      <c r="A758" s="144"/>
      <c r="B758" s="136"/>
      <c r="C758" s="136"/>
      <c r="D758" s="136"/>
      <c r="E758" s="145"/>
      <c r="F758" s="136"/>
      <c r="G758" s="136"/>
      <c r="H758" s="136"/>
      <c r="I758" s="145"/>
      <c r="J758" s="136"/>
      <c r="K758" s="136"/>
      <c r="L758" s="136"/>
      <c r="M758" s="145"/>
      <c r="N758" s="136"/>
      <c r="O758" s="136"/>
      <c r="P758" s="136"/>
      <c r="Q758" s="146"/>
      <c r="R758" s="136"/>
      <c r="S758" s="136"/>
      <c r="T758" s="136"/>
      <c r="U758" s="146"/>
      <c r="V758" s="136"/>
      <c r="W758" s="136"/>
      <c r="X758" s="136"/>
    </row>
    <row r="759" spans="1:24" ht="15.75" customHeight="1" x14ac:dyDescent="0.3">
      <c r="A759" s="144"/>
      <c r="B759" s="136"/>
      <c r="C759" s="136"/>
      <c r="D759" s="136"/>
      <c r="E759" s="145"/>
      <c r="F759" s="136"/>
      <c r="G759" s="136"/>
      <c r="H759" s="136"/>
      <c r="I759" s="145"/>
      <c r="J759" s="136"/>
      <c r="K759" s="136"/>
      <c r="L759" s="136"/>
      <c r="M759" s="145"/>
      <c r="N759" s="136"/>
      <c r="O759" s="136"/>
      <c r="P759" s="136"/>
      <c r="Q759" s="146"/>
      <c r="R759" s="136"/>
      <c r="S759" s="136"/>
      <c r="T759" s="136"/>
      <c r="U759" s="146"/>
      <c r="V759" s="136"/>
      <c r="W759" s="136"/>
      <c r="X759" s="136"/>
    </row>
    <row r="760" spans="1:24" ht="15.75" customHeight="1" x14ac:dyDescent="0.3">
      <c r="A760" s="144"/>
      <c r="B760" s="136"/>
      <c r="C760" s="136"/>
      <c r="D760" s="136"/>
      <c r="E760" s="145"/>
      <c r="F760" s="136"/>
      <c r="G760" s="136"/>
      <c r="H760" s="136"/>
      <c r="I760" s="145"/>
      <c r="J760" s="136"/>
      <c r="K760" s="136"/>
      <c r="L760" s="136"/>
      <c r="M760" s="145"/>
      <c r="N760" s="136"/>
      <c r="O760" s="136"/>
      <c r="P760" s="136"/>
      <c r="Q760" s="146"/>
      <c r="R760" s="136"/>
      <c r="S760" s="136"/>
      <c r="T760" s="136"/>
      <c r="U760" s="146"/>
      <c r="V760" s="136"/>
      <c r="W760" s="136"/>
      <c r="X760" s="136"/>
    </row>
    <row r="761" spans="1:24" ht="15.75" customHeight="1" x14ac:dyDescent="0.3">
      <c r="A761" s="144"/>
      <c r="B761" s="136"/>
      <c r="C761" s="136"/>
      <c r="D761" s="136"/>
      <c r="E761" s="145"/>
      <c r="F761" s="136"/>
      <c r="G761" s="136"/>
      <c r="H761" s="136"/>
      <c r="I761" s="145"/>
      <c r="J761" s="136"/>
      <c r="K761" s="136"/>
      <c r="L761" s="136"/>
      <c r="M761" s="145"/>
      <c r="N761" s="136"/>
      <c r="O761" s="136"/>
      <c r="P761" s="136"/>
      <c r="Q761" s="146"/>
      <c r="R761" s="136"/>
      <c r="S761" s="136"/>
      <c r="T761" s="136"/>
      <c r="U761" s="146"/>
      <c r="V761" s="136"/>
      <c r="W761" s="136"/>
      <c r="X761" s="136"/>
    </row>
    <row r="762" spans="1:24" ht="15.75" customHeight="1" x14ac:dyDescent="0.3">
      <c r="A762" s="144"/>
      <c r="B762" s="136"/>
      <c r="C762" s="136"/>
      <c r="D762" s="136"/>
      <c r="E762" s="145"/>
      <c r="F762" s="136"/>
      <c r="G762" s="136"/>
      <c r="H762" s="136"/>
      <c r="I762" s="145"/>
      <c r="J762" s="136"/>
      <c r="K762" s="136"/>
      <c r="L762" s="136"/>
      <c r="M762" s="145"/>
      <c r="N762" s="136"/>
      <c r="O762" s="136"/>
      <c r="P762" s="136"/>
      <c r="Q762" s="146"/>
      <c r="R762" s="136"/>
      <c r="S762" s="136"/>
      <c r="T762" s="136"/>
      <c r="U762" s="146"/>
      <c r="V762" s="136"/>
      <c r="W762" s="136"/>
      <c r="X762" s="136"/>
    </row>
    <row r="763" spans="1:24" ht="15.75" customHeight="1" x14ac:dyDescent="0.3">
      <c r="A763" s="144"/>
      <c r="B763" s="136"/>
      <c r="C763" s="136"/>
      <c r="D763" s="136"/>
      <c r="E763" s="145"/>
      <c r="F763" s="136"/>
      <c r="G763" s="136"/>
      <c r="H763" s="136"/>
      <c r="I763" s="145"/>
      <c r="J763" s="136"/>
      <c r="K763" s="136"/>
      <c r="L763" s="136"/>
      <c r="M763" s="145"/>
      <c r="N763" s="136"/>
      <c r="O763" s="136"/>
      <c r="P763" s="136"/>
      <c r="Q763" s="146"/>
      <c r="R763" s="136"/>
      <c r="S763" s="136"/>
      <c r="T763" s="136"/>
      <c r="U763" s="146"/>
      <c r="V763" s="136"/>
      <c r="W763" s="136"/>
      <c r="X763" s="136"/>
    </row>
    <row r="764" spans="1:24" ht="15.75" customHeight="1" x14ac:dyDescent="0.3">
      <c r="A764" s="144"/>
      <c r="B764" s="136"/>
      <c r="C764" s="136"/>
      <c r="D764" s="136"/>
      <c r="E764" s="145"/>
      <c r="F764" s="136"/>
      <c r="G764" s="136"/>
      <c r="H764" s="136"/>
      <c r="I764" s="145"/>
      <c r="J764" s="136"/>
      <c r="K764" s="136"/>
      <c r="L764" s="136"/>
      <c r="M764" s="145"/>
      <c r="N764" s="136"/>
      <c r="O764" s="136"/>
      <c r="P764" s="136"/>
      <c r="Q764" s="146"/>
      <c r="R764" s="136"/>
      <c r="S764" s="136"/>
      <c r="T764" s="136"/>
      <c r="U764" s="146"/>
      <c r="V764" s="136"/>
      <c r="W764" s="136"/>
      <c r="X764" s="136"/>
    </row>
    <row r="765" spans="1:24" ht="15.75" customHeight="1" x14ac:dyDescent="0.3">
      <c r="A765" s="144"/>
      <c r="B765" s="136"/>
      <c r="C765" s="136"/>
      <c r="D765" s="136"/>
      <c r="E765" s="145"/>
      <c r="F765" s="136"/>
      <c r="G765" s="136"/>
      <c r="H765" s="136"/>
      <c r="I765" s="145"/>
      <c r="J765" s="136"/>
      <c r="K765" s="136"/>
      <c r="L765" s="136"/>
      <c r="M765" s="145"/>
      <c r="N765" s="136"/>
      <c r="O765" s="136"/>
      <c r="P765" s="136"/>
      <c r="Q765" s="146"/>
      <c r="R765" s="136"/>
      <c r="S765" s="136"/>
      <c r="T765" s="136"/>
      <c r="U765" s="146"/>
      <c r="V765" s="136"/>
      <c r="W765" s="136"/>
      <c r="X765" s="136"/>
    </row>
    <row r="766" spans="1:24" ht="15.75" customHeight="1" x14ac:dyDescent="0.3">
      <c r="A766" s="144"/>
      <c r="B766" s="136"/>
      <c r="C766" s="136"/>
      <c r="D766" s="136"/>
      <c r="E766" s="145"/>
      <c r="F766" s="136"/>
      <c r="G766" s="136"/>
      <c r="H766" s="136"/>
      <c r="I766" s="145"/>
      <c r="J766" s="136"/>
      <c r="K766" s="136"/>
      <c r="L766" s="136"/>
      <c r="M766" s="145"/>
      <c r="N766" s="136"/>
      <c r="O766" s="136"/>
      <c r="P766" s="136"/>
      <c r="Q766" s="146"/>
      <c r="R766" s="136"/>
      <c r="S766" s="136"/>
      <c r="T766" s="136"/>
      <c r="U766" s="146"/>
      <c r="V766" s="136"/>
      <c r="W766" s="136"/>
      <c r="X766" s="136"/>
    </row>
    <row r="767" spans="1:24" ht="15.75" customHeight="1" x14ac:dyDescent="0.3">
      <c r="A767" s="144"/>
      <c r="B767" s="136"/>
      <c r="C767" s="136"/>
      <c r="D767" s="136"/>
      <c r="E767" s="145"/>
      <c r="F767" s="136"/>
      <c r="G767" s="136"/>
      <c r="H767" s="136"/>
      <c r="I767" s="145"/>
      <c r="J767" s="136"/>
      <c r="K767" s="136"/>
      <c r="L767" s="136"/>
      <c r="M767" s="145"/>
      <c r="N767" s="136"/>
      <c r="O767" s="136"/>
      <c r="P767" s="136"/>
      <c r="Q767" s="146"/>
      <c r="R767" s="136"/>
      <c r="S767" s="136"/>
      <c r="T767" s="136"/>
      <c r="U767" s="146"/>
      <c r="V767" s="136"/>
      <c r="W767" s="136"/>
      <c r="X767" s="136"/>
    </row>
    <row r="768" spans="1:24" ht="15.75" customHeight="1" x14ac:dyDescent="0.3">
      <c r="A768" s="144"/>
      <c r="B768" s="136"/>
      <c r="C768" s="136"/>
      <c r="D768" s="136"/>
      <c r="E768" s="145"/>
      <c r="F768" s="136"/>
      <c r="G768" s="136"/>
      <c r="H768" s="136"/>
      <c r="I768" s="145"/>
      <c r="J768" s="136"/>
      <c r="K768" s="136"/>
      <c r="L768" s="136"/>
      <c r="M768" s="145"/>
      <c r="N768" s="136"/>
      <c r="O768" s="136"/>
      <c r="P768" s="136"/>
      <c r="Q768" s="146"/>
      <c r="R768" s="136"/>
      <c r="S768" s="136"/>
      <c r="T768" s="136"/>
      <c r="U768" s="146"/>
      <c r="V768" s="136"/>
      <c r="W768" s="136"/>
      <c r="X768" s="136"/>
    </row>
    <row r="769" spans="1:24" ht="15.75" customHeight="1" x14ac:dyDescent="0.3">
      <c r="A769" s="144"/>
      <c r="B769" s="136"/>
      <c r="C769" s="136"/>
      <c r="D769" s="136"/>
      <c r="E769" s="145"/>
      <c r="F769" s="136"/>
      <c r="G769" s="136"/>
      <c r="H769" s="136"/>
      <c r="I769" s="145"/>
      <c r="J769" s="136"/>
      <c r="K769" s="136"/>
      <c r="L769" s="136"/>
      <c r="M769" s="145"/>
      <c r="N769" s="136"/>
      <c r="O769" s="136"/>
      <c r="P769" s="136"/>
      <c r="Q769" s="146"/>
      <c r="R769" s="136"/>
      <c r="S769" s="136"/>
      <c r="T769" s="136"/>
      <c r="U769" s="146"/>
      <c r="V769" s="136"/>
      <c r="W769" s="136"/>
      <c r="X769" s="136"/>
    </row>
    <row r="770" spans="1:24" ht="15.75" customHeight="1" x14ac:dyDescent="0.3">
      <c r="A770" s="144"/>
      <c r="B770" s="136"/>
      <c r="C770" s="136"/>
      <c r="D770" s="136"/>
      <c r="E770" s="145"/>
      <c r="F770" s="136"/>
      <c r="G770" s="136"/>
      <c r="H770" s="136"/>
      <c r="I770" s="145"/>
      <c r="J770" s="136"/>
      <c r="K770" s="136"/>
      <c r="L770" s="136"/>
      <c r="M770" s="145"/>
      <c r="N770" s="136"/>
      <c r="O770" s="136"/>
      <c r="P770" s="136"/>
      <c r="Q770" s="146"/>
      <c r="R770" s="136"/>
      <c r="S770" s="136"/>
      <c r="T770" s="136"/>
      <c r="U770" s="146"/>
      <c r="V770" s="136"/>
      <c r="W770" s="136"/>
      <c r="X770" s="136"/>
    </row>
    <row r="771" spans="1:24" ht="15.75" customHeight="1" x14ac:dyDescent="0.3">
      <c r="A771" s="144"/>
      <c r="B771" s="136"/>
      <c r="C771" s="136"/>
      <c r="D771" s="136"/>
      <c r="E771" s="145"/>
      <c r="F771" s="136"/>
      <c r="G771" s="136"/>
      <c r="H771" s="136"/>
      <c r="I771" s="145"/>
      <c r="J771" s="136"/>
      <c r="K771" s="136"/>
      <c r="L771" s="136"/>
      <c r="M771" s="145"/>
      <c r="N771" s="136"/>
      <c r="O771" s="136"/>
      <c r="P771" s="136"/>
      <c r="Q771" s="146"/>
      <c r="R771" s="136"/>
      <c r="S771" s="136"/>
      <c r="T771" s="136"/>
      <c r="U771" s="146"/>
      <c r="V771" s="136"/>
      <c r="W771" s="136"/>
      <c r="X771" s="136"/>
    </row>
    <row r="772" spans="1:24" ht="15.75" customHeight="1" x14ac:dyDescent="0.3">
      <c r="A772" s="144"/>
      <c r="B772" s="136"/>
      <c r="C772" s="136"/>
      <c r="D772" s="136"/>
      <c r="E772" s="145"/>
      <c r="F772" s="136"/>
      <c r="G772" s="136"/>
      <c r="H772" s="136"/>
      <c r="I772" s="145"/>
      <c r="J772" s="136"/>
      <c r="K772" s="136"/>
      <c r="L772" s="136"/>
      <c r="M772" s="145"/>
      <c r="N772" s="136"/>
      <c r="O772" s="136"/>
      <c r="P772" s="136"/>
      <c r="Q772" s="146"/>
      <c r="R772" s="136"/>
      <c r="S772" s="136"/>
      <c r="T772" s="136"/>
      <c r="U772" s="146"/>
      <c r="V772" s="136"/>
      <c r="W772" s="136"/>
      <c r="X772" s="136"/>
    </row>
    <row r="773" spans="1:24" ht="15.75" customHeight="1" x14ac:dyDescent="0.3">
      <c r="A773" s="144"/>
      <c r="B773" s="136"/>
      <c r="C773" s="136"/>
      <c r="D773" s="136"/>
      <c r="E773" s="145"/>
      <c r="F773" s="136"/>
      <c r="G773" s="136"/>
      <c r="H773" s="136"/>
      <c r="I773" s="145"/>
      <c r="J773" s="136"/>
      <c r="K773" s="136"/>
      <c r="L773" s="136"/>
      <c r="M773" s="145"/>
      <c r="N773" s="136"/>
      <c r="O773" s="136"/>
      <c r="P773" s="136"/>
      <c r="Q773" s="146"/>
      <c r="R773" s="136"/>
      <c r="S773" s="136"/>
      <c r="T773" s="136"/>
      <c r="U773" s="146"/>
      <c r="V773" s="136"/>
      <c r="W773" s="136"/>
      <c r="X773" s="136"/>
    </row>
    <row r="774" spans="1:24" ht="15.75" customHeight="1" x14ac:dyDescent="0.3">
      <c r="A774" s="144"/>
      <c r="B774" s="136"/>
      <c r="C774" s="136"/>
      <c r="D774" s="136"/>
      <c r="E774" s="145"/>
      <c r="F774" s="136"/>
      <c r="G774" s="136"/>
      <c r="H774" s="136"/>
      <c r="I774" s="145"/>
      <c r="J774" s="136"/>
      <c r="K774" s="136"/>
      <c r="L774" s="136"/>
      <c r="M774" s="145"/>
      <c r="N774" s="136"/>
      <c r="O774" s="136"/>
      <c r="P774" s="136"/>
      <c r="Q774" s="146"/>
      <c r="R774" s="136"/>
      <c r="S774" s="136"/>
      <c r="T774" s="136"/>
      <c r="U774" s="146"/>
      <c r="V774" s="136"/>
      <c r="W774" s="136"/>
      <c r="X774" s="136"/>
    </row>
    <row r="775" spans="1:24" ht="15.75" customHeight="1" x14ac:dyDescent="0.3">
      <c r="A775" s="144"/>
      <c r="B775" s="136"/>
      <c r="C775" s="136"/>
      <c r="D775" s="136"/>
      <c r="E775" s="145"/>
      <c r="F775" s="136"/>
      <c r="G775" s="136"/>
      <c r="H775" s="136"/>
      <c r="I775" s="145"/>
      <c r="J775" s="136"/>
      <c r="K775" s="136"/>
      <c r="L775" s="136"/>
      <c r="M775" s="145"/>
      <c r="N775" s="136"/>
      <c r="O775" s="136"/>
      <c r="P775" s="136"/>
      <c r="Q775" s="146"/>
      <c r="R775" s="136"/>
      <c r="S775" s="136"/>
      <c r="T775" s="136"/>
      <c r="U775" s="146"/>
      <c r="V775" s="136"/>
      <c r="W775" s="136"/>
      <c r="X775" s="136"/>
    </row>
    <row r="776" spans="1:24" ht="15.75" customHeight="1" x14ac:dyDescent="0.3">
      <c r="A776" s="144"/>
      <c r="B776" s="136"/>
      <c r="C776" s="136"/>
      <c r="D776" s="136"/>
      <c r="E776" s="145"/>
      <c r="F776" s="136"/>
      <c r="G776" s="136"/>
      <c r="H776" s="136"/>
      <c r="I776" s="145"/>
      <c r="J776" s="136"/>
      <c r="K776" s="136"/>
      <c r="L776" s="136"/>
      <c r="M776" s="145"/>
      <c r="N776" s="136"/>
      <c r="O776" s="136"/>
      <c r="P776" s="136"/>
      <c r="Q776" s="146"/>
      <c r="R776" s="136"/>
      <c r="S776" s="136"/>
      <c r="T776" s="136"/>
      <c r="U776" s="146"/>
      <c r="V776" s="136"/>
      <c r="W776" s="136"/>
      <c r="X776" s="136"/>
    </row>
    <row r="777" spans="1:24" ht="15.75" customHeight="1" x14ac:dyDescent="0.3">
      <c r="A777" s="144"/>
      <c r="B777" s="136"/>
      <c r="C777" s="136"/>
      <c r="D777" s="136"/>
      <c r="E777" s="145"/>
      <c r="F777" s="136"/>
      <c r="G777" s="136"/>
      <c r="H777" s="136"/>
      <c r="I777" s="145"/>
      <c r="J777" s="136"/>
      <c r="K777" s="136"/>
      <c r="L777" s="136"/>
      <c r="M777" s="145"/>
      <c r="N777" s="136"/>
      <c r="O777" s="136"/>
      <c r="P777" s="136"/>
      <c r="Q777" s="146"/>
      <c r="R777" s="136"/>
      <c r="S777" s="136"/>
      <c r="T777" s="136"/>
      <c r="U777" s="146"/>
      <c r="V777" s="136"/>
      <c r="W777" s="136"/>
      <c r="X777" s="136"/>
    </row>
    <row r="778" spans="1:24" ht="15.75" customHeight="1" x14ac:dyDescent="0.3">
      <c r="A778" s="144"/>
      <c r="B778" s="136"/>
      <c r="C778" s="136"/>
      <c r="D778" s="136"/>
      <c r="E778" s="145"/>
      <c r="F778" s="136"/>
      <c r="G778" s="136"/>
      <c r="H778" s="136"/>
      <c r="I778" s="145"/>
      <c r="J778" s="136"/>
      <c r="K778" s="136"/>
      <c r="L778" s="136"/>
      <c r="M778" s="145"/>
      <c r="N778" s="136"/>
      <c r="O778" s="136"/>
      <c r="P778" s="136"/>
      <c r="Q778" s="146"/>
      <c r="R778" s="136"/>
      <c r="S778" s="136"/>
      <c r="T778" s="136"/>
      <c r="U778" s="146"/>
      <c r="V778" s="136"/>
      <c r="W778" s="136"/>
      <c r="X778" s="136"/>
    </row>
    <row r="779" spans="1:24" ht="15.75" customHeight="1" x14ac:dyDescent="0.3">
      <c r="A779" s="144"/>
      <c r="B779" s="136"/>
      <c r="C779" s="136"/>
      <c r="D779" s="136"/>
      <c r="E779" s="145"/>
      <c r="F779" s="136"/>
      <c r="G779" s="136"/>
      <c r="H779" s="136"/>
      <c r="I779" s="145"/>
      <c r="J779" s="136"/>
      <c r="K779" s="136"/>
      <c r="L779" s="136"/>
      <c r="M779" s="145"/>
      <c r="N779" s="136"/>
      <c r="O779" s="136"/>
      <c r="P779" s="136"/>
      <c r="Q779" s="146"/>
      <c r="R779" s="136"/>
      <c r="S779" s="136"/>
      <c r="T779" s="136"/>
      <c r="U779" s="146"/>
      <c r="V779" s="136"/>
      <c r="W779" s="136"/>
      <c r="X779" s="136"/>
    </row>
    <row r="780" spans="1:24" ht="15.75" customHeight="1" x14ac:dyDescent="0.3">
      <c r="A780" s="144"/>
      <c r="B780" s="136"/>
      <c r="C780" s="136"/>
      <c r="D780" s="136"/>
      <c r="E780" s="145"/>
      <c r="F780" s="136"/>
      <c r="G780" s="136"/>
      <c r="H780" s="136"/>
      <c r="I780" s="145"/>
      <c r="J780" s="136"/>
      <c r="K780" s="136"/>
      <c r="L780" s="136"/>
      <c r="M780" s="145"/>
      <c r="N780" s="136"/>
      <c r="O780" s="136"/>
      <c r="P780" s="136"/>
      <c r="Q780" s="146"/>
      <c r="R780" s="136"/>
      <c r="S780" s="136"/>
      <c r="T780" s="136"/>
      <c r="U780" s="146"/>
      <c r="V780" s="136"/>
      <c r="W780" s="136"/>
      <c r="X780" s="136"/>
    </row>
    <row r="781" spans="1:24" ht="15.75" customHeight="1" x14ac:dyDescent="0.3">
      <c r="A781" s="144"/>
      <c r="B781" s="136"/>
      <c r="C781" s="136"/>
      <c r="D781" s="136"/>
      <c r="E781" s="145"/>
      <c r="F781" s="136"/>
      <c r="G781" s="136"/>
      <c r="H781" s="136"/>
      <c r="I781" s="145"/>
      <c r="J781" s="136"/>
      <c r="K781" s="136"/>
      <c r="L781" s="136"/>
      <c r="M781" s="145"/>
      <c r="N781" s="136"/>
      <c r="O781" s="136"/>
      <c r="P781" s="136"/>
      <c r="Q781" s="146"/>
      <c r="R781" s="136"/>
      <c r="S781" s="136"/>
      <c r="T781" s="136"/>
      <c r="U781" s="146"/>
      <c r="V781" s="136"/>
      <c r="W781" s="136"/>
      <c r="X781" s="136"/>
    </row>
    <row r="782" spans="1:24" ht="15.75" customHeight="1" x14ac:dyDescent="0.3">
      <c r="A782" s="144"/>
      <c r="B782" s="136"/>
      <c r="C782" s="136"/>
      <c r="D782" s="136"/>
      <c r="E782" s="145"/>
      <c r="F782" s="136"/>
      <c r="G782" s="136"/>
      <c r="H782" s="136"/>
      <c r="I782" s="145"/>
      <c r="J782" s="136"/>
      <c r="K782" s="136"/>
      <c r="L782" s="136"/>
      <c r="M782" s="145"/>
      <c r="N782" s="136"/>
      <c r="O782" s="136"/>
      <c r="P782" s="136"/>
      <c r="Q782" s="146"/>
      <c r="R782" s="136"/>
      <c r="S782" s="136"/>
      <c r="T782" s="136"/>
      <c r="U782" s="146"/>
      <c r="V782" s="136"/>
      <c r="W782" s="136"/>
      <c r="X782" s="136"/>
    </row>
    <row r="783" spans="1:24" ht="15.75" customHeight="1" x14ac:dyDescent="0.3">
      <c r="A783" s="144"/>
      <c r="B783" s="136"/>
      <c r="C783" s="136"/>
      <c r="D783" s="136"/>
      <c r="E783" s="145"/>
      <c r="F783" s="136"/>
      <c r="G783" s="136"/>
      <c r="H783" s="136"/>
      <c r="I783" s="145"/>
      <c r="J783" s="136"/>
      <c r="K783" s="136"/>
      <c r="L783" s="136"/>
      <c r="M783" s="145"/>
      <c r="N783" s="136"/>
      <c r="O783" s="136"/>
      <c r="P783" s="136"/>
      <c r="Q783" s="146"/>
      <c r="R783" s="136"/>
      <c r="S783" s="136"/>
      <c r="T783" s="136"/>
      <c r="U783" s="146"/>
      <c r="V783" s="136"/>
      <c r="W783" s="136"/>
      <c r="X783" s="136"/>
    </row>
    <row r="784" spans="1:24" ht="15.75" customHeight="1" x14ac:dyDescent="0.3">
      <c r="A784" s="144"/>
      <c r="B784" s="136"/>
      <c r="C784" s="136"/>
      <c r="D784" s="136"/>
      <c r="E784" s="145"/>
      <c r="F784" s="136"/>
      <c r="G784" s="136"/>
      <c r="H784" s="136"/>
      <c r="I784" s="145"/>
      <c r="J784" s="136"/>
      <c r="K784" s="136"/>
      <c r="L784" s="136"/>
      <c r="M784" s="145"/>
      <c r="N784" s="136"/>
      <c r="O784" s="136"/>
      <c r="P784" s="136"/>
      <c r="Q784" s="146"/>
      <c r="R784" s="136"/>
      <c r="S784" s="136"/>
      <c r="T784" s="136"/>
      <c r="U784" s="146"/>
      <c r="V784" s="136"/>
      <c r="W784" s="136"/>
      <c r="X784" s="136"/>
    </row>
    <row r="785" spans="1:24" ht="15.75" customHeight="1" x14ac:dyDescent="0.3">
      <c r="A785" s="144"/>
      <c r="B785" s="136"/>
      <c r="C785" s="136"/>
      <c r="D785" s="136"/>
      <c r="E785" s="145"/>
      <c r="F785" s="136"/>
      <c r="G785" s="136"/>
      <c r="H785" s="136"/>
      <c r="I785" s="145"/>
      <c r="J785" s="136"/>
      <c r="K785" s="136"/>
      <c r="L785" s="136"/>
      <c r="M785" s="145"/>
      <c r="N785" s="136"/>
      <c r="O785" s="136"/>
      <c r="P785" s="136"/>
      <c r="Q785" s="146"/>
      <c r="R785" s="136"/>
      <c r="S785" s="136"/>
      <c r="T785" s="136"/>
      <c r="U785" s="146"/>
      <c r="V785" s="136"/>
      <c r="W785" s="136"/>
      <c r="X785" s="136"/>
    </row>
    <row r="786" spans="1:24" ht="15.75" customHeight="1" x14ac:dyDescent="0.3">
      <c r="A786" s="144"/>
      <c r="B786" s="136"/>
      <c r="C786" s="136"/>
      <c r="D786" s="136"/>
      <c r="E786" s="145"/>
      <c r="F786" s="136"/>
      <c r="G786" s="136"/>
      <c r="H786" s="136"/>
      <c r="I786" s="145"/>
      <c r="J786" s="136"/>
      <c r="K786" s="136"/>
      <c r="L786" s="136"/>
      <c r="M786" s="145"/>
      <c r="N786" s="136"/>
      <c r="O786" s="136"/>
      <c r="P786" s="136"/>
      <c r="Q786" s="146"/>
      <c r="R786" s="136"/>
      <c r="S786" s="136"/>
      <c r="T786" s="136"/>
      <c r="U786" s="146"/>
      <c r="V786" s="136"/>
      <c r="W786" s="136"/>
      <c r="X786" s="136"/>
    </row>
    <row r="787" spans="1:24" ht="15.75" customHeight="1" x14ac:dyDescent="0.3">
      <c r="A787" s="144"/>
      <c r="B787" s="136"/>
      <c r="C787" s="136"/>
      <c r="D787" s="136"/>
      <c r="E787" s="145"/>
      <c r="F787" s="136"/>
      <c r="G787" s="136"/>
      <c r="H787" s="136"/>
      <c r="I787" s="145"/>
      <c r="J787" s="136"/>
      <c r="K787" s="136"/>
      <c r="L787" s="136"/>
      <c r="M787" s="145"/>
      <c r="N787" s="136"/>
      <c r="O787" s="136"/>
      <c r="P787" s="136"/>
      <c r="Q787" s="146"/>
      <c r="R787" s="136"/>
      <c r="S787" s="136"/>
      <c r="T787" s="136"/>
      <c r="U787" s="146"/>
      <c r="V787" s="136"/>
      <c r="W787" s="136"/>
      <c r="X787" s="136"/>
    </row>
    <row r="788" spans="1:24" ht="15.75" customHeight="1" x14ac:dyDescent="0.3">
      <c r="A788" s="144"/>
      <c r="B788" s="136"/>
      <c r="C788" s="136"/>
      <c r="D788" s="136"/>
      <c r="E788" s="145"/>
      <c r="F788" s="136"/>
      <c r="G788" s="136"/>
      <c r="H788" s="136"/>
      <c r="I788" s="145"/>
      <c r="J788" s="136"/>
      <c r="K788" s="136"/>
      <c r="L788" s="136"/>
      <c r="M788" s="145"/>
      <c r="N788" s="136"/>
      <c r="O788" s="136"/>
      <c r="P788" s="136"/>
      <c r="Q788" s="146"/>
      <c r="R788" s="136"/>
      <c r="S788" s="136"/>
      <c r="T788" s="136"/>
      <c r="U788" s="146"/>
      <c r="V788" s="136"/>
      <c r="W788" s="136"/>
      <c r="X788" s="136"/>
    </row>
    <row r="789" spans="1:24" ht="15.75" customHeight="1" x14ac:dyDescent="0.3">
      <c r="A789" s="144"/>
      <c r="B789" s="136"/>
      <c r="C789" s="136"/>
      <c r="D789" s="136"/>
      <c r="E789" s="145"/>
      <c r="F789" s="136"/>
      <c r="G789" s="136"/>
      <c r="H789" s="136"/>
      <c r="I789" s="145"/>
      <c r="J789" s="136"/>
      <c r="K789" s="136"/>
      <c r="L789" s="136"/>
      <c r="M789" s="145"/>
      <c r="N789" s="136"/>
      <c r="O789" s="136"/>
      <c r="P789" s="136"/>
      <c r="Q789" s="146"/>
      <c r="R789" s="136"/>
      <c r="S789" s="136"/>
      <c r="T789" s="136"/>
      <c r="U789" s="146"/>
      <c r="V789" s="136"/>
      <c r="W789" s="136"/>
      <c r="X789" s="136"/>
    </row>
    <row r="790" spans="1:24" ht="15.75" customHeight="1" x14ac:dyDescent="0.3">
      <c r="A790" s="144"/>
      <c r="B790" s="136"/>
      <c r="C790" s="136"/>
      <c r="D790" s="136"/>
      <c r="E790" s="145"/>
      <c r="F790" s="136"/>
      <c r="G790" s="136"/>
      <c r="H790" s="136"/>
      <c r="I790" s="145"/>
      <c r="J790" s="136"/>
      <c r="K790" s="136"/>
      <c r="L790" s="136"/>
      <c r="M790" s="145"/>
      <c r="N790" s="136"/>
      <c r="O790" s="136"/>
      <c r="P790" s="136"/>
      <c r="Q790" s="146"/>
      <c r="R790" s="136"/>
      <c r="S790" s="136"/>
      <c r="T790" s="136"/>
      <c r="U790" s="146"/>
      <c r="V790" s="136"/>
      <c r="W790" s="136"/>
      <c r="X790" s="136"/>
    </row>
    <row r="791" spans="1:24" ht="15.75" customHeight="1" x14ac:dyDescent="0.3">
      <c r="A791" s="144"/>
      <c r="B791" s="136"/>
      <c r="C791" s="136"/>
      <c r="D791" s="136"/>
      <c r="E791" s="145"/>
      <c r="F791" s="136"/>
      <c r="G791" s="136"/>
      <c r="H791" s="136"/>
      <c r="I791" s="145"/>
      <c r="J791" s="136"/>
      <c r="K791" s="136"/>
      <c r="L791" s="136"/>
      <c r="M791" s="145"/>
      <c r="N791" s="136"/>
      <c r="O791" s="136"/>
      <c r="P791" s="136"/>
      <c r="Q791" s="146"/>
      <c r="R791" s="136"/>
      <c r="S791" s="136"/>
      <c r="T791" s="136"/>
      <c r="U791" s="146"/>
      <c r="V791" s="136"/>
      <c r="W791" s="136"/>
      <c r="X791" s="136"/>
    </row>
    <row r="792" spans="1:24" ht="15.75" customHeight="1" x14ac:dyDescent="0.3">
      <c r="A792" s="144"/>
      <c r="B792" s="136"/>
      <c r="C792" s="136"/>
      <c r="D792" s="136"/>
      <c r="E792" s="145"/>
      <c r="F792" s="136"/>
      <c r="G792" s="136"/>
      <c r="H792" s="136"/>
      <c r="I792" s="145"/>
      <c r="J792" s="136"/>
      <c r="K792" s="136"/>
      <c r="L792" s="136"/>
      <c r="M792" s="145"/>
      <c r="N792" s="136"/>
      <c r="O792" s="136"/>
      <c r="P792" s="136"/>
      <c r="Q792" s="146"/>
      <c r="R792" s="136"/>
      <c r="S792" s="136"/>
      <c r="T792" s="136"/>
      <c r="U792" s="146"/>
      <c r="V792" s="136"/>
      <c r="W792" s="136"/>
      <c r="X792" s="136"/>
    </row>
    <row r="793" spans="1:24" ht="15.75" customHeight="1" x14ac:dyDescent="0.3">
      <c r="A793" s="144"/>
      <c r="B793" s="136"/>
      <c r="C793" s="136"/>
      <c r="D793" s="136"/>
      <c r="E793" s="145"/>
      <c r="F793" s="136"/>
      <c r="G793" s="136"/>
      <c r="H793" s="136"/>
      <c r="I793" s="145"/>
      <c r="J793" s="136"/>
      <c r="K793" s="136"/>
      <c r="L793" s="136"/>
      <c r="M793" s="145"/>
      <c r="N793" s="136"/>
      <c r="O793" s="136"/>
      <c r="P793" s="136"/>
      <c r="Q793" s="146"/>
      <c r="R793" s="136"/>
      <c r="S793" s="136"/>
      <c r="T793" s="136"/>
      <c r="U793" s="146"/>
      <c r="V793" s="136"/>
      <c r="W793" s="136"/>
      <c r="X793" s="136"/>
    </row>
    <row r="794" spans="1:24" ht="15.75" customHeight="1" x14ac:dyDescent="0.3">
      <c r="A794" s="144"/>
      <c r="B794" s="136"/>
      <c r="C794" s="136"/>
      <c r="D794" s="136"/>
      <c r="E794" s="145"/>
      <c r="F794" s="136"/>
      <c r="G794" s="136"/>
      <c r="H794" s="136"/>
      <c r="I794" s="145"/>
      <c r="J794" s="136"/>
      <c r="K794" s="136"/>
      <c r="L794" s="136"/>
      <c r="M794" s="145"/>
      <c r="N794" s="136"/>
      <c r="O794" s="136"/>
      <c r="P794" s="136"/>
      <c r="Q794" s="146"/>
      <c r="R794" s="136"/>
      <c r="S794" s="136"/>
      <c r="T794" s="136"/>
      <c r="U794" s="146"/>
      <c r="V794" s="136"/>
      <c r="W794" s="136"/>
      <c r="X794" s="136"/>
    </row>
    <row r="795" spans="1:24" ht="15.75" customHeight="1" x14ac:dyDescent="0.3">
      <c r="A795" s="144"/>
      <c r="B795" s="136"/>
      <c r="C795" s="136"/>
      <c r="D795" s="136"/>
      <c r="E795" s="145"/>
      <c r="F795" s="136"/>
      <c r="G795" s="136"/>
      <c r="H795" s="136"/>
      <c r="I795" s="145"/>
      <c r="J795" s="136"/>
      <c r="K795" s="136"/>
      <c r="L795" s="136"/>
      <c r="M795" s="145"/>
      <c r="N795" s="136"/>
      <c r="O795" s="136"/>
      <c r="P795" s="136"/>
      <c r="Q795" s="146"/>
      <c r="R795" s="136"/>
      <c r="S795" s="136"/>
      <c r="T795" s="136"/>
      <c r="U795" s="146"/>
      <c r="V795" s="136"/>
      <c r="W795" s="136"/>
      <c r="X795" s="136"/>
    </row>
    <row r="796" spans="1:24" ht="15.75" customHeight="1" x14ac:dyDescent="0.3">
      <c r="A796" s="144"/>
      <c r="B796" s="136"/>
      <c r="C796" s="136"/>
      <c r="D796" s="136"/>
      <c r="E796" s="145"/>
      <c r="F796" s="136"/>
      <c r="G796" s="136"/>
      <c r="H796" s="136"/>
      <c r="I796" s="145"/>
      <c r="J796" s="136"/>
      <c r="K796" s="136"/>
      <c r="L796" s="136"/>
      <c r="M796" s="145"/>
      <c r="N796" s="136"/>
      <c r="O796" s="136"/>
      <c r="P796" s="136"/>
      <c r="Q796" s="146"/>
      <c r="R796" s="136"/>
      <c r="S796" s="136"/>
      <c r="T796" s="136"/>
      <c r="U796" s="146"/>
      <c r="V796" s="136"/>
      <c r="W796" s="136"/>
      <c r="X796" s="136"/>
    </row>
    <row r="797" spans="1:24" ht="15.75" customHeight="1" x14ac:dyDescent="0.3">
      <c r="A797" s="144"/>
      <c r="B797" s="136"/>
      <c r="C797" s="136"/>
      <c r="D797" s="136"/>
      <c r="E797" s="145"/>
      <c r="F797" s="136"/>
      <c r="G797" s="136"/>
      <c r="H797" s="136"/>
      <c r="I797" s="145"/>
      <c r="J797" s="136"/>
      <c r="K797" s="136"/>
      <c r="L797" s="136"/>
      <c r="M797" s="145"/>
      <c r="N797" s="136"/>
      <c r="O797" s="136"/>
      <c r="P797" s="136"/>
      <c r="Q797" s="146"/>
      <c r="R797" s="136"/>
      <c r="S797" s="136"/>
      <c r="T797" s="136"/>
      <c r="U797" s="146"/>
      <c r="V797" s="136"/>
      <c r="W797" s="136"/>
      <c r="X797" s="136"/>
    </row>
    <row r="798" spans="1:24" ht="15.75" customHeight="1" x14ac:dyDescent="0.3">
      <c r="A798" s="144"/>
      <c r="B798" s="136"/>
      <c r="C798" s="136"/>
      <c r="D798" s="136"/>
      <c r="E798" s="145"/>
      <c r="F798" s="136"/>
      <c r="G798" s="136"/>
      <c r="H798" s="136"/>
      <c r="I798" s="145"/>
      <c r="J798" s="136"/>
      <c r="K798" s="136"/>
      <c r="L798" s="136"/>
      <c r="M798" s="145"/>
      <c r="N798" s="136"/>
      <c r="O798" s="136"/>
      <c r="P798" s="136"/>
      <c r="Q798" s="146"/>
      <c r="R798" s="136"/>
      <c r="S798" s="136"/>
      <c r="T798" s="136"/>
      <c r="U798" s="146"/>
      <c r="V798" s="136"/>
      <c r="W798" s="136"/>
      <c r="X798" s="136"/>
    </row>
    <row r="799" spans="1:24" ht="15.75" customHeight="1" x14ac:dyDescent="0.3">
      <c r="A799" s="144"/>
      <c r="B799" s="136"/>
      <c r="C799" s="136"/>
      <c r="D799" s="136"/>
      <c r="E799" s="145"/>
      <c r="F799" s="136"/>
      <c r="G799" s="136"/>
      <c r="H799" s="136"/>
      <c r="I799" s="145"/>
      <c r="J799" s="136"/>
      <c r="K799" s="136"/>
      <c r="L799" s="136"/>
      <c r="M799" s="145"/>
      <c r="N799" s="136"/>
      <c r="O799" s="136"/>
      <c r="P799" s="136"/>
      <c r="Q799" s="146"/>
      <c r="R799" s="136"/>
      <c r="S799" s="136"/>
      <c r="T799" s="136"/>
      <c r="U799" s="146"/>
      <c r="V799" s="136"/>
      <c r="W799" s="136"/>
      <c r="X799" s="136"/>
    </row>
    <row r="800" spans="1:24" ht="15.75" customHeight="1" x14ac:dyDescent="0.3">
      <c r="A800" s="144"/>
      <c r="B800" s="136"/>
      <c r="C800" s="136"/>
      <c r="D800" s="136"/>
      <c r="E800" s="145"/>
      <c r="F800" s="136"/>
      <c r="G800" s="136"/>
      <c r="H800" s="136"/>
      <c r="I800" s="145"/>
      <c r="J800" s="136"/>
      <c r="K800" s="136"/>
      <c r="L800" s="136"/>
      <c r="M800" s="145"/>
      <c r="N800" s="136"/>
      <c r="O800" s="136"/>
      <c r="P800" s="136"/>
      <c r="Q800" s="146"/>
      <c r="R800" s="136"/>
      <c r="S800" s="136"/>
      <c r="T800" s="136"/>
      <c r="U800" s="146"/>
      <c r="V800" s="136"/>
      <c r="W800" s="136"/>
      <c r="X800" s="136"/>
    </row>
    <row r="801" spans="1:24" ht="15.75" customHeight="1" x14ac:dyDescent="0.3">
      <c r="A801" s="144"/>
      <c r="B801" s="136"/>
      <c r="C801" s="136"/>
      <c r="D801" s="136"/>
      <c r="E801" s="145"/>
      <c r="F801" s="136"/>
      <c r="G801" s="136"/>
      <c r="H801" s="136"/>
      <c r="I801" s="145"/>
      <c r="J801" s="136"/>
      <c r="K801" s="136"/>
      <c r="L801" s="136"/>
      <c r="M801" s="145"/>
      <c r="N801" s="136"/>
      <c r="O801" s="136"/>
      <c r="P801" s="136"/>
      <c r="Q801" s="146"/>
      <c r="R801" s="136"/>
      <c r="S801" s="136"/>
      <c r="T801" s="136"/>
      <c r="U801" s="146"/>
      <c r="V801" s="136"/>
      <c r="W801" s="136"/>
      <c r="X801" s="136"/>
    </row>
    <row r="802" spans="1:24" ht="15.75" customHeight="1" x14ac:dyDescent="0.3">
      <c r="A802" s="144"/>
      <c r="B802" s="136"/>
      <c r="C802" s="136"/>
      <c r="D802" s="136"/>
      <c r="E802" s="145"/>
      <c r="F802" s="136"/>
      <c r="G802" s="136"/>
      <c r="H802" s="136"/>
      <c r="I802" s="145"/>
      <c r="J802" s="136"/>
      <c r="K802" s="136"/>
      <c r="L802" s="136"/>
      <c r="M802" s="145"/>
      <c r="N802" s="136"/>
      <c r="O802" s="136"/>
      <c r="P802" s="136"/>
      <c r="Q802" s="146"/>
      <c r="R802" s="136"/>
      <c r="S802" s="136"/>
      <c r="T802" s="136"/>
      <c r="U802" s="146"/>
      <c r="V802" s="136"/>
      <c r="W802" s="136"/>
      <c r="X802" s="136"/>
    </row>
    <row r="803" spans="1:24" ht="15.75" customHeight="1" x14ac:dyDescent="0.3">
      <c r="A803" s="144"/>
      <c r="B803" s="136"/>
      <c r="C803" s="136"/>
      <c r="D803" s="136"/>
      <c r="E803" s="145"/>
      <c r="F803" s="136"/>
      <c r="G803" s="136"/>
      <c r="H803" s="136"/>
      <c r="I803" s="145"/>
      <c r="J803" s="136"/>
      <c r="K803" s="136"/>
      <c r="L803" s="136"/>
      <c r="M803" s="145"/>
      <c r="N803" s="136"/>
      <c r="O803" s="136"/>
      <c r="P803" s="136"/>
      <c r="Q803" s="146"/>
      <c r="R803" s="136"/>
      <c r="S803" s="136"/>
      <c r="T803" s="136"/>
      <c r="U803" s="146"/>
      <c r="V803" s="136"/>
      <c r="W803" s="136"/>
      <c r="X803" s="136"/>
    </row>
    <row r="804" spans="1:24" ht="15.75" customHeight="1" x14ac:dyDescent="0.3">
      <c r="A804" s="144"/>
      <c r="B804" s="136"/>
      <c r="C804" s="136"/>
      <c r="D804" s="136"/>
      <c r="E804" s="145"/>
      <c r="F804" s="136"/>
      <c r="G804" s="136"/>
      <c r="H804" s="136"/>
      <c r="I804" s="145"/>
      <c r="J804" s="136"/>
      <c r="K804" s="136"/>
      <c r="L804" s="136"/>
      <c r="M804" s="145"/>
      <c r="N804" s="136"/>
      <c r="O804" s="136"/>
      <c r="P804" s="136"/>
      <c r="Q804" s="146"/>
      <c r="R804" s="136"/>
      <c r="S804" s="136"/>
      <c r="T804" s="136"/>
      <c r="U804" s="146"/>
      <c r="V804" s="136"/>
      <c r="W804" s="136"/>
      <c r="X804" s="136"/>
    </row>
    <row r="805" spans="1:24" ht="15.75" customHeight="1" x14ac:dyDescent="0.3">
      <c r="A805" s="144"/>
      <c r="B805" s="136"/>
      <c r="C805" s="136"/>
      <c r="D805" s="136"/>
      <c r="E805" s="145"/>
      <c r="F805" s="136"/>
      <c r="G805" s="136"/>
      <c r="H805" s="136"/>
      <c r="I805" s="145"/>
      <c r="J805" s="136"/>
      <c r="K805" s="136"/>
      <c r="L805" s="136"/>
      <c r="M805" s="145"/>
      <c r="N805" s="136"/>
      <c r="O805" s="136"/>
      <c r="P805" s="136"/>
      <c r="Q805" s="146"/>
      <c r="R805" s="136"/>
      <c r="S805" s="136"/>
      <c r="T805" s="136"/>
      <c r="U805" s="146"/>
      <c r="V805" s="136"/>
      <c r="W805" s="136"/>
      <c r="X805" s="136"/>
    </row>
    <row r="806" spans="1:24" ht="15.75" customHeight="1" x14ac:dyDescent="0.3">
      <c r="A806" s="144"/>
      <c r="B806" s="136"/>
      <c r="C806" s="136"/>
      <c r="D806" s="136"/>
      <c r="E806" s="145"/>
      <c r="F806" s="136"/>
      <c r="G806" s="136"/>
      <c r="H806" s="136"/>
      <c r="I806" s="145"/>
      <c r="J806" s="136"/>
      <c r="K806" s="136"/>
      <c r="L806" s="136"/>
      <c r="M806" s="145"/>
      <c r="N806" s="136"/>
      <c r="O806" s="136"/>
      <c r="P806" s="136"/>
      <c r="Q806" s="146"/>
      <c r="R806" s="136"/>
      <c r="S806" s="136"/>
      <c r="T806" s="136"/>
      <c r="U806" s="146"/>
      <c r="V806" s="136"/>
      <c r="W806" s="136"/>
      <c r="X806" s="136"/>
    </row>
    <row r="807" spans="1:24" ht="15.75" customHeight="1" x14ac:dyDescent="0.3">
      <c r="A807" s="144"/>
      <c r="B807" s="136"/>
      <c r="C807" s="136"/>
      <c r="D807" s="136"/>
      <c r="E807" s="145"/>
      <c r="F807" s="136"/>
      <c r="G807" s="136"/>
      <c r="H807" s="136"/>
      <c r="I807" s="145"/>
      <c r="J807" s="136"/>
      <c r="K807" s="136"/>
      <c r="L807" s="136"/>
      <c r="M807" s="145"/>
      <c r="N807" s="136"/>
      <c r="O807" s="136"/>
      <c r="P807" s="136"/>
      <c r="Q807" s="146"/>
      <c r="R807" s="136"/>
      <c r="S807" s="136"/>
      <c r="T807" s="136"/>
      <c r="U807" s="146"/>
      <c r="V807" s="136"/>
      <c r="W807" s="136"/>
      <c r="X807" s="136"/>
    </row>
    <row r="808" spans="1:24" ht="15.75" customHeight="1" x14ac:dyDescent="0.3">
      <c r="A808" s="144"/>
      <c r="B808" s="136"/>
      <c r="C808" s="136"/>
      <c r="D808" s="136"/>
      <c r="E808" s="145"/>
      <c r="F808" s="136"/>
      <c r="G808" s="136"/>
      <c r="H808" s="136"/>
      <c r="I808" s="145"/>
      <c r="J808" s="136"/>
      <c r="K808" s="136"/>
      <c r="L808" s="136"/>
      <c r="M808" s="145"/>
      <c r="N808" s="136"/>
      <c r="O808" s="136"/>
      <c r="P808" s="136"/>
      <c r="Q808" s="146"/>
      <c r="R808" s="136"/>
      <c r="S808" s="136"/>
      <c r="T808" s="136"/>
      <c r="U808" s="146"/>
      <c r="V808" s="136"/>
      <c r="W808" s="136"/>
      <c r="X808" s="136"/>
    </row>
    <row r="809" spans="1:24" ht="15.75" customHeight="1" x14ac:dyDescent="0.3">
      <c r="A809" s="144"/>
      <c r="B809" s="136"/>
      <c r="C809" s="136"/>
      <c r="D809" s="136"/>
      <c r="E809" s="145"/>
      <c r="F809" s="136"/>
      <c r="G809" s="136"/>
      <c r="H809" s="136"/>
      <c r="I809" s="145"/>
      <c r="J809" s="136"/>
      <c r="K809" s="136"/>
      <c r="L809" s="136"/>
      <c r="M809" s="145"/>
      <c r="N809" s="136"/>
      <c r="O809" s="136"/>
      <c r="P809" s="136"/>
      <c r="Q809" s="146"/>
      <c r="R809" s="136"/>
      <c r="S809" s="136"/>
      <c r="T809" s="136"/>
      <c r="U809" s="146"/>
      <c r="V809" s="136"/>
      <c r="W809" s="136"/>
      <c r="X809" s="136"/>
    </row>
    <row r="810" spans="1:24" ht="15.75" customHeight="1" x14ac:dyDescent="0.3">
      <c r="A810" s="144"/>
      <c r="B810" s="136"/>
      <c r="C810" s="136"/>
      <c r="D810" s="136"/>
      <c r="E810" s="145"/>
      <c r="F810" s="136"/>
      <c r="G810" s="136"/>
      <c r="H810" s="136"/>
      <c r="I810" s="145"/>
      <c r="J810" s="136"/>
      <c r="K810" s="136"/>
      <c r="L810" s="136"/>
      <c r="M810" s="145"/>
      <c r="N810" s="136"/>
      <c r="O810" s="136"/>
      <c r="P810" s="136"/>
      <c r="Q810" s="146"/>
      <c r="R810" s="136"/>
      <c r="S810" s="136"/>
      <c r="T810" s="136"/>
      <c r="U810" s="146"/>
      <c r="V810" s="136"/>
      <c r="W810" s="136"/>
      <c r="X810" s="136"/>
    </row>
    <row r="811" spans="1:24" ht="15.75" customHeight="1" x14ac:dyDescent="0.3">
      <c r="A811" s="144"/>
      <c r="B811" s="136"/>
      <c r="C811" s="136"/>
      <c r="D811" s="136"/>
      <c r="E811" s="145"/>
      <c r="F811" s="136"/>
      <c r="G811" s="136"/>
      <c r="H811" s="136"/>
      <c r="I811" s="145"/>
      <c r="J811" s="136"/>
      <c r="K811" s="136"/>
      <c r="L811" s="136"/>
      <c r="M811" s="145"/>
      <c r="N811" s="136"/>
      <c r="O811" s="136"/>
      <c r="P811" s="136"/>
      <c r="Q811" s="146"/>
      <c r="R811" s="136"/>
      <c r="S811" s="136"/>
      <c r="T811" s="136"/>
      <c r="U811" s="146"/>
      <c r="V811" s="136"/>
      <c r="W811" s="136"/>
      <c r="X811" s="136"/>
    </row>
    <row r="812" spans="1:24" ht="15.75" customHeight="1" x14ac:dyDescent="0.3">
      <c r="A812" s="144"/>
      <c r="B812" s="136"/>
      <c r="C812" s="136"/>
      <c r="D812" s="136"/>
      <c r="E812" s="145"/>
      <c r="F812" s="136"/>
      <c r="G812" s="136"/>
      <c r="H812" s="136"/>
      <c r="I812" s="145"/>
      <c r="J812" s="136"/>
      <c r="K812" s="136"/>
      <c r="L812" s="136"/>
      <c r="M812" s="145"/>
      <c r="N812" s="136"/>
      <c r="O812" s="136"/>
      <c r="P812" s="136"/>
      <c r="Q812" s="146"/>
      <c r="R812" s="136"/>
      <c r="S812" s="136"/>
      <c r="T812" s="136"/>
      <c r="U812" s="146"/>
      <c r="V812" s="136"/>
      <c r="W812" s="136"/>
      <c r="X812" s="136"/>
    </row>
    <row r="813" spans="1:24" ht="15.75" customHeight="1" x14ac:dyDescent="0.3">
      <c r="A813" s="144"/>
      <c r="B813" s="136"/>
      <c r="C813" s="136"/>
      <c r="D813" s="136"/>
      <c r="E813" s="145"/>
      <c r="F813" s="136"/>
      <c r="G813" s="136"/>
      <c r="H813" s="136"/>
      <c r="I813" s="145"/>
      <c r="J813" s="136"/>
      <c r="K813" s="136"/>
      <c r="L813" s="136"/>
      <c r="M813" s="145"/>
      <c r="N813" s="136"/>
      <c r="O813" s="136"/>
      <c r="P813" s="136"/>
      <c r="Q813" s="146"/>
      <c r="R813" s="136"/>
      <c r="S813" s="136"/>
      <c r="T813" s="136"/>
      <c r="U813" s="146"/>
      <c r="V813" s="136"/>
      <c r="W813" s="136"/>
      <c r="X813" s="136"/>
    </row>
    <row r="814" spans="1:24" ht="15.75" customHeight="1" x14ac:dyDescent="0.3">
      <c r="A814" s="144"/>
      <c r="B814" s="136"/>
      <c r="C814" s="136"/>
      <c r="D814" s="136"/>
      <c r="E814" s="145"/>
      <c r="F814" s="136"/>
      <c r="G814" s="136"/>
      <c r="H814" s="136"/>
      <c r="I814" s="145"/>
      <c r="J814" s="136"/>
      <c r="K814" s="136"/>
      <c r="L814" s="136"/>
      <c r="M814" s="145"/>
      <c r="N814" s="136"/>
      <c r="O814" s="136"/>
      <c r="P814" s="136"/>
      <c r="Q814" s="146"/>
      <c r="R814" s="136"/>
      <c r="S814" s="136"/>
      <c r="T814" s="136"/>
      <c r="U814" s="146"/>
      <c r="V814" s="136"/>
      <c r="W814" s="136"/>
      <c r="X814" s="136"/>
    </row>
    <row r="815" spans="1:24" ht="15.75" customHeight="1" x14ac:dyDescent="0.3">
      <c r="A815" s="144"/>
      <c r="B815" s="136"/>
      <c r="C815" s="136"/>
      <c r="D815" s="136"/>
      <c r="E815" s="145"/>
      <c r="F815" s="136"/>
      <c r="G815" s="136"/>
      <c r="H815" s="136"/>
      <c r="I815" s="145"/>
      <c r="J815" s="136"/>
      <c r="K815" s="136"/>
      <c r="L815" s="136"/>
      <c r="M815" s="145"/>
      <c r="N815" s="136"/>
      <c r="O815" s="136"/>
      <c r="P815" s="136"/>
      <c r="Q815" s="146"/>
      <c r="R815" s="136"/>
      <c r="S815" s="136"/>
      <c r="T815" s="136"/>
      <c r="U815" s="146"/>
      <c r="V815" s="136"/>
      <c r="W815" s="136"/>
      <c r="X815" s="136"/>
    </row>
    <row r="816" spans="1:24" ht="15.75" customHeight="1" x14ac:dyDescent="0.3">
      <c r="A816" s="144"/>
      <c r="B816" s="136"/>
      <c r="C816" s="136"/>
      <c r="D816" s="136"/>
      <c r="E816" s="145"/>
      <c r="F816" s="136"/>
      <c r="G816" s="136"/>
      <c r="H816" s="136"/>
      <c r="I816" s="145"/>
      <c r="J816" s="136"/>
      <c r="K816" s="136"/>
      <c r="L816" s="136"/>
      <c r="M816" s="145"/>
      <c r="N816" s="136"/>
      <c r="O816" s="136"/>
      <c r="P816" s="136"/>
      <c r="Q816" s="146"/>
      <c r="R816" s="136"/>
      <c r="S816" s="136"/>
      <c r="T816" s="136"/>
      <c r="U816" s="146"/>
      <c r="V816" s="136"/>
      <c r="W816" s="136"/>
      <c r="X816" s="136"/>
    </row>
    <row r="817" spans="1:24" ht="15.75" customHeight="1" x14ac:dyDescent="0.3">
      <c r="A817" s="144"/>
      <c r="B817" s="136"/>
      <c r="C817" s="136"/>
      <c r="D817" s="136"/>
      <c r="E817" s="145"/>
      <c r="F817" s="136"/>
      <c r="G817" s="136"/>
      <c r="H817" s="136"/>
      <c r="I817" s="145"/>
      <c r="J817" s="136"/>
      <c r="K817" s="136"/>
      <c r="L817" s="136"/>
      <c r="M817" s="145"/>
      <c r="N817" s="136"/>
      <c r="O817" s="136"/>
      <c r="P817" s="136"/>
      <c r="Q817" s="146"/>
      <c r="R817" s="136"/>
      <c r="S817" s="136"/>
      <c r="T817" s="136"/>
      <c r="U817" s="146"/>
      <c r="V817" s="136"/>
      <c r="W817" s="136"/>
      <c r="X817" s="136"/>
    </row>
    <row r="818" spans="1:24" ht="15.75" customHeight="1" x14ac:dyDescent="0.3">
      <c r="A818" s="144"/>
      <c r="B818" s="136"/>
      <c r="C818" s="136"/>
      <c r="D818" s="136"/>
      <c r="E818" s="145"/>
      <c r="F818" s="136"/>
      <c r="G818" s="136"/>
      <c r="H818" s="136"/>
      <c r="I818" s="145"/>
      <c r="J818" s="136"/>
      <c r="K818" s="136"/>
      <c r="L818" s="136"/>
      <c r="M818" s="145"/>
      <c r="N818" s="136"/>
      <c r="O818" s="136"/>
      <c r="P818" s="136"/>
      <c r="Q818" s="146"/>
      <c r="R818" s="136"/>
      <c r="S818" s="136"/>
      <c r="T818" s="136"/>
      <c r="U818" s="146"/>
      <c r="V818" s="136"/>
      <c r="W818" s="136"/>
      <c r="X818" s="136"/>
    </row>
    <row r="819" spans="1:24" ht="15.75" customHeight="1" x14ac:dyDescent="0.3">
      <c r="A819" s="144"/>
      <c r="B819" s="136"/>
      <c r="C819" s="136"/>
      <c r="D819" s="136"/>
      <c r="E819" s="145"/>
      <c r="F819" s="136"/>
      <c r="G819" s="136"/>
      <c r="H819" s="136"/>
      <c r="I819" s="145"/>
      <c r="J819" s="136"/>
      <c r="K819" s="136"/>
      <c r="L819" s="136"/>
      <c r="M819" s="145"/>
      <c r="N819" s="136"/>
      <c r="O819" s="136"/>
      <c r="P819" s="136"/>
      <c r="Q819" s="146"/>
      <c r="R819" s="136"/>
      <c r="S819" s="136"/>
      <c r="T819" s="136"/>
      <c r="U819" s="146"/>
      <c r="V819" s="136"/>
      <c r="W819" s="136"/>
      <c r="X819" s="136"/>
    </row>
    <row r="820" spans="1:24" ht="15.75" customHeight="1" x14ac:dyDescent="0.3">
      <c r="A820" s="144"/>
      <c r="B820" s="136"/>
      <c r="C820" s="136"/>
      <c r="D820" s="136"/>
      <c r="E820" s="145"/>
      <c r="F820" s="136"/>
      <c r="G820" s="136"/>
      <c r="H820" s="136"/>
      <c r="I820" s="145"/>
      <c r="J820" s="136"/>
      <c r="K820" s="136"/>
      <c r="L820" s="136"/>
      <c r="M820" s="145"/>
      <c r="N820" s="136"/>
      <c r="O820" s="136"/>
      <c r="P820" s="136"/>
      <c r="Q820" s="146"/>
      <c r="R820" s="136"/>
      <c r="S820" s="136"/>
      <c r="T820" s="136"/>
      <c r="U820" s="146"/>
      <c r="V820" s="136"/>
      <c r="W820" s="136"/>
      <c r="X820" s="136"/>
    </row>
    <row r="821" spans="1:24" ht="15.75" customHeight="1" x14ac:dyDescent="0.3">
      <c r="A821" s="144"/>
      <c r="B821" s="136"/>
      <c r="C821" s="136"/>
      <c r="D821" s="136"/>
      <c r="E821" s="145"/>
      <c r="F821" s="136"/>
      <c r="G821" s="136"/>
      <c r="H821" s="136"/>
      <c r="I821" s="145"/>
      <c r="J821" s="136"/>
      <c r="K821" s="136"/>
      <c r="L821" s="136"/>
      <c r="M821" s="145"/>
      <c r="N821" s="136"/>
      <c r="O821" s="136"/>
      <c r="P821" s="136"/>
      <c r="Q821" s="146"/>
      <c r="R821" s="136"/>
      <c r="S821" s="136"/>
      <c r="T821" s="136"/>
      <c r="U821" s="146"/>
      <c r="V821" s="136"/>
      <c r="W821" s="136"/>
      <c r="X821" s="136"/>
    </row>
    <row r="822" spans="1:24" ht="15.75" customHeight="1" x14ac:dyDescent="0.3">
      <c r="A822" s="144"/>
      <c r="B822" s="136"/>
      <c r="C822" s="136"/>
      <c r="D822" s="136"/>
      <c r="E822" s="145"/>
      <c r="F822" s="136"/>
      <c r="G822" s="136"/>
      <c r="H822" s="136"/>
      <c r="I822" s="145"/>
      <c r="J822" s="136"/>
      <c r="K822" s="136"/>
      <c r="L822" s="136"/>
      <c r="M822" s="145"/>
      <c r="N822" s="136"/>
      <c r="O822" s="136"/>
      <c r="P822" s="136"/>
      <c r="Q822" s="146"/>
      <c r="R822" s="136"/>
      <c r="S822" s="136"/>
      <c r="T822" s="136"/>
      <c r="U822" s="146"/>
      <c r="V822" s="136"/>
      <c r="W822" s="136"/>
      <c r="X822" s="136"/>
    </row>
    <row r="823" spans="1:24" ht="15.75" customHeight="1" x14ac:dyDescent="0.3">
      <c r="A823" s="144"/>
      <c r="B823" s="136"/>
      <c r="C823" s="136"/>
      <c r="D823" s="136"/>
      <c r="E823" s="145"/>
      <c r="F823" s="136"/>
      <c r="G823" s="136"/>
      <c r="H823" s="136"/>
      <c r="I823" s="145"/>
      <c r="J823" s="136"/>
      <c r="K823" s="136"/>
      <c r="L823" s="136"/>
      <c r="M823" s="145"/>
      <c r="N823" s="136"/>
      <c r="O823" s="136"/>
      <c r="P823" s="136"/>
      <c r="Q823" s="146"/>
      <c r="R823" s="136"/>
      <c r="S823" s="136"/>
      <c r="T823" s="136"/>
      <c r="U823" s="146"/>
      <c r="V823" s="136"/>
      <c r="W823" s="136"/>
      <c r="X823" s="136"/>
    </row>
    <row r="824" spans="1:24" ht="15.75" customHeight="1" x14ac:dyDescent="0.3">
      <c r="A824" s="144"/>
      <c r="B824" s="136"/>
      <c r="C824" s="136"/>
      <c r="D824" s="136"/>
      <c r="E824" s="145"/>
      <c r="F824" s="136"/>
      <c r="G824" s="136"/>
      <c r="H824" s="136"/>
      <c r="I824" s="145"/>
      <c r="J824" s="136"/>
      <c r="K824" s="136"/>
      <c r="L824" s="136"/>
      <c r="M824" s="145"/>
      <c r="N824" s="136"/>
      <c r="O824" s="136"/>
      <c r="P824" s="136"/>
      <c r="Q824" s="146"/>
      <c r="R824" s="136"/>
      <c r="S824" s="136"/>
      <c r="T824" s="136"/>
      <c r="U824" s="146"/>
      <c r="V824" s="136"/>
      <c r="W824" s="136"/>
      <c r="X824" s="136"/>
    </row>
    <row r="825" spans="1:24" ht="15.75" customHeight="1" x14ac:dyDescent="0.3">
      <c r="A825" s="144"/>
      <c r="B825" s="136"/>
      <c r="C825" s="136"/>
      <c r="D825" s="136"/>
      <c r="E825" s="145"/>
      <c r="F825" s="136"/>
      <c r="G825" s="136"/>
      <c r="H825" s="136"/>
      <c r="I825" s="145"/>
      <c r="J825" s="136"/>
      <c r="K825" s="136"/>
      <c r="L825" s="136"/>
      <c r="M825" s="145"/>
      <c r="N825" s="136"/>
      <c r="O825" s="136"/>
      <c r="P825" s="136"/>
      <c r="Q825" s="146"/>
      <c r="R825" s="136"/>
      <c r="S825" s="136"/>
      <c r="T825" s="136"/>
      <c r="U825" s="146"/>
      <c r="V825" s="136"/>
      <c r="W825" s="136"/>
      <c r="X825" s="136"/>
    </row>
    <row r="826" spans="1:24" ht="15.75" customHeight="1" x14ac:dyDescent="0.3">
      <c r="A826" s="144"/>
      <c r="B826" s="136"/>
      <c r="C826" s="136"/>
      <c r="D826" s="136"/>
      <c r="E826" s="145"/>
      <c r="F826" s="136"/>
      <c r="G826" s="136"/>
      <c r="H826" s="136"/>
      <c r="I826" s="145"/>
      <c r="J826" s="136"/>
      <c r="K826" s="136"/>
      <c r="L826" s="136"/>
      <c r="M826" s="145"/>
      <c r="N826" s="136"/>
      <c r="O826" s="136"/>
      <c r="P826" s="136"/>
      <c r="Q826" s="146"/>
      <c r="R826" s="136"/>
      <c r="S826" s="136"/>
      <c r="T826" s="136"/>
      <c r="U826" s="146"/>
      <c r="V826" s="136"/>
      <c r="W826" s="136"/>
      <c r="X826" s="136"/>
    </row>
    <row r="827" spans="1:24" ht="15.75" customHeight="1" x14ac:dyDescent="0.3">
      <c r="A827" s="144"/>
      <c r="B827" s="136"/>
      <c r="C827" s="136"/>
      <c r="D827" s="136"/>
      <c r="E827" s="145"/>
      <c r="F827" s="136"/>
      <c r="G827" s="136"/>
      <c r="H827" s="136"/>
      <c r="I827" s="145"/>
      <c r="J827" s="136"/>
      <c r="K827" s="136"/>
      <c r="L827" s="136"/>
      <c r="M827" s="145"/>
      <c r="N827" s="136"/>
      <c r="O827" s="136"/>
      <c r="P827" s="136"/>
      <c r="Q827" s="146"/>
      <c r="R827" s="136"/>
      <c r="S827" s="136"/>
      <c r="T827" s="136"/>
      <c r="U827" s="146"/>
      <c r="V827" s="136"/>
      <c r="W827" s="136"/>
      <c r="X827" s="136"/>
    </row>
    <row r="828" spans="1:24" ht="15.75" customHeight="1" x14ac:dyDescent="0.3">
      <c r="A828" s="144"/>
      <c r="B828" s="136"/>
      <c r="C828" s="136"/>
      <c r="D828" s="136"/>
      <c r="E828" s="145"/>
      <c r="F828" s="136"/>
      <c r="G828" s="136"/>
      <c r="H828" s="136"/>
      <c r="I828" s="145"/>
      <c r="J828" s="136"/>
      <c r="K828" s="136"/>
      <c r="L828" s="136"/>
      <c r="M828" s="145"/>
      <c r="N828" s="136"/>
      <c r="O828" s="136"/>
      <c r="P828" s="136"/>
      <c r="Q828" s="146"/>
      <c r="R828" s="136"/>
      <c r="S828" s="136"/>
      <c r="T828" s="136"/>
      <c r="U828" s="146"/>
      <c r="V828" s="136"/>
      <c r="W828" s="136"/>
      <c r="X828" s="136"/>
    </row>
    <row r="829" spans="1:24" ht="15.75" customHeight="1" x14ac:dyDescent="0.3">
      <c r="A829" s="144"/>
      <c r="B829" s="136"/>
      <c r="C829" s="136"/>
      <c r="D829" s="136"/>
      <c r="E829" s="145"/>
      <c r="F829" s="136"/>
      <c r="G829" s="136"/>
      <c r="H829" s="136"/>
      <c r="I829" s="145"/>
      <c r="J829" s="136"/>
      <c r="K829" s="136"/>
      <c r="L829" s="136"/>
      <c r="M829" s="145"/>
      <c r="N829" s="136"/>
      <c r="O829" s="136"/>
      <c r="P829" s="136"/>
      <c r="Q829" s="146"/>
      <c r="R829" s="136"/>
      <c r="S829" s="136"/>
      <c r="T829" s="136"/>
      <c r="U829" s="146"/>
      <c r="V829" s="136"/>
      <c r="W829" s="136"/>
      <c r="X829" s="136"/>
    </row>
    <row r="830" spans="1:24" ht="15.75" customHeight="1" x14ac:dyDescent="0.3">
      <c r="A830" s="144"/>
      <c r="B830" s="136"/>
      <c r="C830" s="136"/>
      <c r="D830" s="136"/>
      <c r="E830" s="145"/>
      <c r="F830" s="136"/>
      <c r="G830" s="136"/>
      <c r="H830" s="136"/>
      <c r="I830" s="145"/>
      <c r="J830" s="136"/>
      <c r="K830" s="136"/>
      <c r="L830" s="136"/>
      <c r="M830" s="145"/>
      <c r="N830" s="136"/>
      <c r="O830" s="136"/>
      <c r="P830" s="136"/>
      <c r="Q830" s="146"/>
      <c r="R830" s="136"/>
      <c r="S830" s="136"/>
      <c r="T830" s="136"/>
      <c r="U830" s="146"/>
      <c r="V830" s="136"/>
      <c r="W830" s="136"/>
      <c r="X830" s="136"/>
    </row>
    <row r="831" spans="1:24" ht="15.75" customHeight="1" x14ac:dyDescent="0.3">
      <c r="A831" s="144"/>
      <c r="B831" s="136"/>
      <c r="C831" s="136"/>
      <c r="D831" s="136"/>
      <c r="E831" s="145"/>
      <c r="F831" s="136"/>
      <c r="G831" s="136"/>
      <c r="H831" s="136"/>
      <c r="I831" s="145"/>
      <c r="J831" s="136"/>
      <c r="K831" s="136"/>
      <c r="L831" s="136"/>
      <c r="M831" s="145"/>
      <c r="N831" s="136"/>
      <c r="O831" s="136"/>
      <c r="P831" s="136"/>
      <c r="Q831" s="146"/>
      <c r="R831" s="136"/>
      <c r="S831" s="136"/>
      <c r="T831" s="136"/>
      <c r="U831" s="146"/>
      <c r="V831" s="136"/>
      <c r="W831" s="136"/>
      <c r="X831" s="136"/>
    </row>
    <row r="832" spans="1:24" ht="15.75" customHeight="1" x14ac:dyDescent="0.3">
      <c r="A832" s="144"/>
      <c r="B832" s="136"/>
      <c r="C832" s="136"/>
      <c r="D832" s="136"/>
      <c r="E832" s="145"/>
      <c r="F832" s="136"/>
      <c r="G832" s="136"/>
      <c r="H832" s="136"/>
      <c r="I832" s="145"/>
      <c r="J832" s="136"/>
      <c r="K832" s="136"/>
      <c r="L832" s="136"/>
      <c r="M832" s="145"/>
      <c r="N832" s="136"/>
      <c r="O832" s="136"/>
      <c r="P832" s="136"/>
      <c r="Q832" s="146"/>
      <c r="R832" s="136"/>
      <c r="S832" s="136"/>
      <c r="T832" s="136"/>
      <c r="U832" s="146"/>
      <c r="V832" s="136"/>
      <c r="W832" s="136"/>
      <c r="X832" s="136"/>
    </row>
    <row r="833" spans="1:24" ht="15.75" customHeight="1" x14ac:dyDescent="0.3">
      <c r="A833" s="144"/>
      <c r="B833" s="136"/>
      <c r="C833" s="136"/>
      <c r="D833" s="136"/>
      <c r="E833" s="145"/>
      <c r="F833" s="136"/>
      <c r="G833" s="136"/>
      <c r="H833" s="136"/>
      <c r="I833" s="145"/>
      <c r="J833" s="136"/>
      <c r="K833" s="136"/>
      <c r="L833" s="136"/>
      <c r="M833" s="145"/>
      <c r="N833" s="136"/>
      <c r="O833" s="136"/>
      <c r="P833" s="136"/>
      <c r="Q833" s="146"/>
      <c r="R833" s="136"/>
      <c r="S833" s="136"/>
      <c r="T833" s="136"/>
      <c r="U833" s="146"/>
      <c r="V833" s="136"/>
      <c r="W833" s="136"/>
      <c r="X833" s="136"/>
    </row>
    <row r="834" spans="1:24" ht="15.75" customHeight="1" x14ac:dyDescent="0.3">
      <c r="A834" s="144"/>
      <c r="B834" s="136"/>
      <c r="C834" s="136"/>
      <c r="D834" s="136"/>
      <c r="E834" s="145"/>
      <c r="F834" s="136"/>
      <c r="G834" s="136"/>
      <c r="H834" s="136"/>
      <c r="I834" s="145"/>
      <c r="J834" s="136"/>
      <c r="K834" s="136"/>
      <c r="L834" s="136"/>
      <c r="M834" s="145"/>
      <c r="N834" s="136"/>
      <c r="O834" s="136"/>
      <c r="P834" s="136"/>
      <c r="Q834" s="146"/>
      <c r="R834" s="136"/>
      <c r="S834" s="136"/>
      <c r="T834" s="136"/>
      <c r="U834" s="146"/>
      <c r="V834" s="136"/>
      <c r="W834" s="136"/>
      <c r="X834" s="136"/>
    </row>
    <row r="835" spans="1:24" ht="15.75" customHeight="1" x14ac:dyDescent="0.3">
      <c r="A835" s="144"/>
      <c r="B835" s="136"/>
      <c r="C835" s="136"/>
      <c r="D835" s="136"/>
      <c r="E835" s="145"/>
      <c r="F835" s="136"/>
      <c r="G835" s="136"/>
      <c r="H835" s="136"/>
      <c r="I835" s="145"/>
      <c r="J835" s="136"/>
      <c r="K835" s="136"/>
      <c r="L835" s="136"/>
      <c r="M835" s="145"/>
      <c r="N835" s="136"/>
      <c r="O835" s="136"/>
      <c r="P835" s="136"/>
      <c r="Q835" s="146"/>
      <c r="R835" s="136"/>
      <c r="S835" s="136"/>
      <c r="T835" s="136"/>
      <c r="U835" s="146"/>
      <c r="V835" s="136"/>
      <c r="W835" s="136"/>
      <c r="X835" s="136"/>
    </row>
    <row r="836" spans="1:24" ht="15.75" customHeight="1" x14ac:dyDescent="0.3">
      <c r="A836" s="144"/>
      <c r="B836" s="136"/>
      <c r="C836" s="136"/>
      <c r="D836" s="136"/>
      <c r="E836" s="145"/>
      <c r="F836" s="136"/>
      <c r="G836" s="136"/>
      <c r="H836" s="136"/>
      <c r="I836" s="145"/>
      <c r="J836" s="136"/>
      <c r="K836" s="136"/>
      <c r="L836" s="136"/>
      <c r="M836" s="145"/>
      <c r="N836" s="136"/>
      <c r="O836" s="136"/>
      <c r="P836" s="136"/>
      <c r="Q836" s="146"/>
      <c r="R836" s="136"/>
      <c r="S836" s="136"/>
      <c r="T836" s="136"/>
      <c r="U836" s="146"/>
      <c r="V836" s="136"/>
      <c r="W836" s="136"/>
      <c r="X836" s="136"/>
    </row>
    <row r="837" spans="1:24" ht="15.75" customHeight="1" x14ac:dyDescent="0.3">
      <c r="A837" s="144"/>
      <c r="B837" s="136"/>
      <c r="C837" s="136"/>
      <c r="D837" s="136"/>
      <c r="E837" s="145"/>
      <c r="F837" s="136"/>
      <c r="G837" s="136"/>
      <c r="H837" s="136"/>
      <c r="I837" s="145"/>
      <c r="J837" s="136"/>
      <c r="K837" s="136"/>
      <c r="L837" s="136"/>
      <c r="M837" s="145"/>
      <c r="N837" s="136"/>
      <c r="O837" s="136"/>
      <c r="P837" s="136"/>
      <c r="Q837" s="146"/>
      <c r="R837" s="136"/>
      <c r="S837" s="136"/>
      <c r="T837" s="136"/>
      <c r="U837" s="146"/>
      <c r="V837" s="136"/>
      <c r="W837" s="136"/>
      <c r="X837" s="136"/>
    </row>
    <row r="838" spans="1:24" ht="15.75" customHeight="1" x14ac:dyDescent="0.3">
      <c r="A838" s="144"/>
      <c r="B838" s="136"/>
      <c r="C838" s="136"/>
      <c r="D838" s="136"/>
      <c r="E838" s="145"/>
      <c r="F838" s="136"/>
      <c r="G838" s="136"/>
      <c r="H838" s="136"/>
      <c r="I838" s="145"/>
      <c r="J838" s="136"/>
      <c r="K838" s="136"/>
      <c r="L838" s="136"/>
      <c r="M838" s="145"/>
      <c r="N838" s="136"/>
      <c r="O838" s="136"/>
      <c r="P838" s="136"/>
      <c r="Q838" s="146"/>
      <c r="R838" s="136"/>
      <c r="S838" s="136"/>
      <c r="T838" s="136"/>
      <c r="U838" s="146"/>
      <c r="V838" s="136"/>
      <c r="W838" s="136"/>
      <c r="X838" s="136"/>
    </row>
    <row r="839" spans="1:24" ht="15.75" customHeight="1" x14ac:dyDescent="0.3">
      <c r="A839" s="144"/>
      <c r="B839" s="136"/>
      <c r="C839" s="136"/>
      <c r="D839" s="136"/>
      <c r="E839" s="145"/>
      <c r="F839" s="136"/>
      <c r="G839" s="136"/>
      <c r="H839" s="136"/>
      <c r="I839" s="145"/>
      <c r="J839" s="136"/>
      <c r="K839" s="136"/>
      <c r="L839" s="136"/>
      <c r="M839" s="145"/>
      <c r="N839" s="136"/>
      <c r="O839" s="136"/>
      <c r="P839" s="136"/>
      <c r="Q839" s="146"/>
      <c r="R839" s="136"/>
      <c r="S839" s="136"/>
      <c r="T839" s="136"/>
      <c r="U839" s="146"/>
      <c r="V839" s="136"/>
      <c r="W839" s="136"/>
      <c r="X839" s="136"/>
    </row>
    <row r="840" spans="1:24" ht="15.75" customHeight="1" x14ac:dyDescent="0.3">
      <c r="A840" s="144"/>
      <c r="B840" s="136"/>
      <c r="C840" s="136"/>
      <c r="D840" s="136"/>
      <c r="E840" s="145"/>
      <c r="F840" s="136"/>
      <c r="G840" s="136"/>
      <c r="H840" s="136"/>
      <c r="I840" s="145"/>
      <c r="J840" s="136"/>
      <c r="K840" s="136"/>
      <c r="L840" s="136"/>
      <c r="M840" s="145"/>
      <c r="N840" s="136"/>
      <c r="O840" s="136"/>
      <c r="P840" s="136"/>
      <c r="Q840" s="146"/>
      <c r="R840" s="136"/>
      <c r="S840" s="136"/>
      <c r="T840" s="136"/>
      <c r="U840" s="146"/>
      <c r="V840" s="136"/>
      <c r="W840" s="136"/>
      <c r="X840" s="136"/>
    </row>
    <row r="841" spans="1:24" ht="15.75" customHeight="1" x14ac:dyDescent="0.3">
      <c r="A841" s="144"/>
      <c r="B841" s="136"/>
      <c r="C841" s="136"/>
      <c r="D841" s="136"/>
      <c r="E841" s="145"/>
      <c r="F841" s="136"/>
      <c r="G841" s="136"/>
      <c r="H841" s="136"/>
      <c r="I841" s="145"/>
      <c r="J841" s="136"/>
      <c r="K841" s="136"/>
      <c r="L841" s="136"/>
      <c r="M841" s="145"/>
      <c r="N841" s="136"/>
      <c r="O841" s="136"/>
      <c r="P841" s="136"/>
      <c r="Q841" s="146"/>
      <c r="R841" s="136"/>
      <c r="S841" s="136"/>
      <c r="T841" s="136"/>
      <c r="U841" s="146"/>
      <c r="V841" s="136"/>
      <c r="W841" s="136"/>
      <c r="X841" s="136"/>
    </row>
    <row r="842" spans="1:24" ht="15.75" customHeight="1" x14ac:dyDescent="0.3">
      <c r="A842" s="144"/>
      <c r="B842" s="136"/>
      <c r="C842" s="136"/>
      <c r="D842" s="136"/>
      <c r="E842" s="145"/>
      <c r="F842" s="136"/>
      <c r="G842" s="136"/>
      <c r="H842" s="136"/>
      <c r="I842" s="145"/>
      <c r="J842" s="136"/>
      <c r="K842" s="136"/>
      <c r="L842" s="136"/>
      <c r="M842" s="145"/>
      <c r="N842" s="136"/>
      <c r="O842" s="136"/>
      <c r="P842" s="136"/>
      <c r="Q842" s="146"/>
      <c r="R842" s="136"/>
      <c r="S842" s="136"/>
      <c r="T842" s="136"/>
      <c r="U842" s="146"/>
      <c r="V842" s="136"/>
      <c r="W842" s="136"/>
      <c r="X842" s="136"/>
    </row>
    <row r="843" spans="1:24" ht="15.75" customHeight="1" x14ac:dyDescent="0.3">
      <c r="A843" s="144"/>
      <c r="B843" s="136"/>
      <c r="C843" s="136"/>
      <c r="D843" s="136"/>
      <c r="E843" s="145"/>
      <c r="F843" s="136"/>
      <c r="G843" s="136"/>
      <c r="H843" s="136"/>
      <c r="I843" s="145"/>
      <c r="J843" s="136"/>
      <c r="K843" s="136"/>
      <c r="L843" s="136"/>
      <c r="M843" s="145"/>
      <c r="N843" s="136"/>
      <c r="O843" s="136"/>
      <c r="P843" s="136"/>
      <c r="Q843" s="146"/>
      <c r="R843" s="136"/>
      <c r="S843" s="136"/>
      <c r="T843" s="136"/>
      <c r="U843" s="146"/>
      <c r="V843" s="136"/>
      <c r="W843" s="136"/>
      <c r="X843" s="136"/>
    </row>
    <row r="844" spans="1:24" ht="15.75" customHeight="1" x14ac:dyDescent="0.3">
      <c r="A844" s="144"/>
      <c r="B844" s="136"/>
      <c r="C844" s="136"/>
      <c r="D844" s="136"/>
      <c r="E844" s="145"/>
      <c r="F844" s="136"/>
      <c r="G844" s="136"/>
      <c r="H844" s="136"/>
      <c r="I844" s="145"/>
      <c r="J844" s="136"/>
      <c r="K844" s="136"/>
      <c r="L844" s="136"/>
      <c r="M844" s="145"/>
      <c r="N844" s="136"/>
      <c r="O844" s="136"/>
      <c r="P844" s="136"/>
      <c r="Q844" s="146"/>
      <c r="R844" s="136"/>
      <c r="S844" s="136"/>
      <c r="T844" s="136"/>
      <c r="U844" s="146"/>
      <c r="V844" s="136"/>
      <c r="W844" s="136"/>
      <c r="X844" s="136"/>
    </row>
    <row r="845" spans="1:24" ht="15.75" customHeight="1" x14ac:dyDescent="0.3">
      <c r="A845" s="144"/>
      <c r="B845" s="136"/>
      <c r="C845" s="136"/>
      <c r="D845" s="136"/>
      <c r="E845" s="145"/>
      <c r="F845" s="136"/>
      <c r="G845" s="136"/>
      <c r="H845" s="136"/>
      <c r="I845" s="145"/>
      <c r="J845" s="136"/>
      <c r="K845" s="136"/>
      <c r="L845" s="136"/>
      <c r="M845" s="145"/>
      <c r="N845" s="136"/>
      <c r="O845" s="136"/>
      <c r="P845" s="136"/>
      <c r="Q845" s="146"/>
      <c r="R845" s="136"/>
      <c r="S845" s="136"/>
      <c r="T845" s="136"/>
      <c r="U845" s="146"/>
      <c r="V845" s="136"/>
      <c r="W845" s="136"/>
      <c r="X845" s="136"/>
    </row>
    <row r="846" spans="1:24" ht="15.75" customHeight="1" x14ac:dyDescent="0.3">
      <c r="A846" s="144"/>
      <c r="B846" s="136"/>
      <c r="C846" s="136"/>
      <c r="D846" s="136"/>
      <c r="E846" s="145"/>
      <c r="F846" s="136"/>
      <c r="G846" s="136"/>
      <c r="H846" s="136"/>
      <c r="I846" s="145"/>
      <c r="J846" s="136"/>
      <c r="K846" s="136"/>
      <c r="L846" s="136"/>
      <c r="M846" s="145"/>
      <c r="N846" s="136"/>
      <c r="O846" s="136"/>
      <c r="P846" s="136"/>
      <c r="Q846" s="146"/>
      <c r="R846" s="136"/>
      <c r="S846" s="136"/>
      <c r="T846" s="136"/>
      <c r="U846" s="146"/>
      <c r="V846" s="136"/>
      <c r="W846" s="136"/>
      <c r="X846" s="136"/>
    </row>
    <row r="847" spans="1:24" ht="15.75" customHeight="1" x14ac:dyDescent="0.3">
      <c r="A847" s="144"/>
      <c r="B847" s="136"/>
      <c r="C847" s="136"/>
      <c r="D847" s="136"/>
      <c r="E847" s="145"/>
      <c r="F847" s="136"/>
      <c r="G847" s="136"/>
      <c r="H847" s="136"/>
      <c r="I847" s="145"/>
      <c r="J847" s="136"/>
      <c r="K847" s="136"/>
      <c r="L847" s="136"/>
      <c r="M847" s="145"/>
      <c r="N847" s="136"/>
      <c r="O847" s="136"/>
      <c r="P847" s="136"/>
      <c r="Q847" s="146"/>
      <c r="R847" s="136"/>
      <c r="S847" s="136"/>
      <c r="T847" s="136"/>
      <c r="U847" s="146"/>
      <c r="V847" s="136"/>
      <c r="W847" s="136"/>
      <c r="X847" s="136"/>
    </row>
    <row r="848" spans="1:24" ht="15.75" customHeight="1" x14ac:dyDescent="0.3">
      <c r="A848" s="144"/>
      <c r="B848" s="136"/>
      <c r="C848" s="136"/>
      <c r="D848" s="136"/>
      <c r="E848" s="145"/>
      <c r="F848" s="136"/>
      <c r="G848" s="136"/>
      <c r="H848" s="136"/>
      <c r="I848" s="145"/>
      <c r="J848" s="136"/>
      <c r="K848" s="136"/>
      <c r="L848" s="136"/>
      <c r="M848" s="145"/>
      <c r="N848" s="136"/>
      <c r="O848" s="136"/>
      <c r="P848" s="136"/>
      <c r="Q848" s="146"/>
      <c r="R848" s="136"/>
      <c r="S848" s="136"/>
      <c r="T848" s="136"/>
      <c r="U848" s="146"/>
      <c r="V848" s="136"/>
      <c r="W848" s="136"/>
      <c r="X848" s="136"/>
    </row>
    <row r="849" spans="1:24" ht="15.75" customHeight="1" x14ac:dyDescent="0.3">
      <c r="A849" s="144"/>
      <c r="B849" s="136"/>
      <c r="C849" s="136"/>
      <c r="D849" s="136"/>
      <c r="E849" s="145"/>
      <c r="F849" s="136"/>
      <c r="G849" s="136"/>
      <c r="H849" s="136"/>
      <c r="I849" s="145"/>
      <c r="J849" s="136"/>
      <c r="K849" s="136"/>
      <c r="L849" s="136"/>
      <c r="M849" s="145"/>
      <c r="N849" s="136"/>
      <c r="O849" s="136"/>
      <c r="P849" s="136"/>
      <c r="Q849" s="146"/>
      <c r="R849" s="136"/>
      <c r="S849" s="136"/>
      <c r="T849" s="136"/>
      <c r="U849" s="146"/>
      <c r="V849" s="136"/>
      <c r="W849" s="136"/>
      <c r="X849" s="136"/>
    </row>
    <row r="850" spans="1:24" ht="15.75" customHeight="1" x14ac:dyDescent="0.3">
      <c r="A850" s="144"/>
      <c r="B850" s="136"/>
      <c r="C850" s="136"/>
      <c r="D850" s="136"/>
      <c r="E850" s="145"/>
      <c r="F850" s="136"/>
      <c r="G850" s="136"/>
      <c r="H850" s="136"/>
      <c r="I850" s="145"/>
      <c r="J850" s="136"/>
      <c r="K850" s="136"/>
      <c r="L850" s="136"/>
      <c r="M850" s="145"/>
      <c r="N850" s="136"/>
      <c r="O850" s="136"/>
      <c r="P850" s="136"/>
      <c r="Q850" s="146"/>
      <c r="R850" s="136"/>
      <c r="S850" s="136"/>
      <c r="T850" s="136"/>
      <c r="U850" s="146"/>
      <c r="V850" s="136"/>
      <c r="W850" s="136"/>
      <c r="X850" s="136"/>
    </row>
    <row r="851" spans="1:24" ht="15.75" customHeight="1" x14ac:dyDescent="0.3">
      <c r="A851" s="144"/>
      <c r="B851" s="136"/>
      <c r="C851" s="136"/>
      <c r="D851" s="136"/>
      <c r="E851" s="145"/>
      <c r="F851" s="136"/>
      <c r="G851" s="136"/>
      <c r="H851" s="136"/>
      <c r="I851" s="145"/>
      <c r="J851" s="136"/>
      <c r="K851" s="136"/>
      <c r="L851" s="136"/>
      <c r="M851" s="145"/>
      <c r="N851" s="136"/>
      <c r="O851" s="136"/>
      <c r="P851" s="136"/>
      <c r="Q851" s="146"/>
      <c r="R851" s="136"/>
      <c r="S851" s="136"/>
      <c r="T851" s="136"/>
      <c r="U851" s="146"/>
      <c r="V851" s="136"/>
      <c r="W851" s="136"/>
      <c r="X851" s="136"/>
    </row>
    <row r="852" spans="1:24" ht="15.75" customHeight="1" x14ac:dyDescent="0.3">
      <c r="A852" s="144"/>
      <c r="B852" s="136"/>
      <c r="C852" s="136"/>
      <c r="D852" s="136"/>
      <c r="E852" s="145"/>
      <c r="F852" s="136"/>
      <c r="G852" s="136"/>
      <c r="H852" s="136"/>
      <c r="I852" s="145"/>
      <c r="J852" s="136"/>
      <c r="K852" s="136"/>
      <c r="L852" s="136"/>
      <c r="M852" s="145"/>
      <c r="N852" s="136"/>
      <c r="O852" s="136"/>
      <c r="P852" s="136"/>
      <c r="Q852" s="146"/>
      <c r="R852" s="136"/>
      <c r="S852" s="136"/>
      <c r="T852" s="136"/>
      <c r="U852" s="146"/>
      <c r="V852" s="136"/>
      <c r="W852" s="136"/>
      <c r="X852" s="136"/>
    </row>
    <row r="853" spans="1:24" ht="15.75" customHeight="1" x14ac:dyDescent="0.3">
      <c r="A853" s="144"/>
      <c r="B853" s="136"/>
      <c r="C853" s="136"/>
      <c r="D853" s="136"/>
      <c r="E853" s="145"/>
      <c r="F853" s="136"/>
      <c r="G853" s="136"/>
      <c r="H853" s="136"/>
      <c r="I853" s="145"/>
      <c r="J853" s="136"/>
      <c r="K853" s="136"/>
      <c r="L853" s="136"/>
      <c r="M853" s="145"/>
      <c r="N853" s="136"/>
      <c r="O853" s="136"/>
      <c r="P853" s="136"/>
      <c r="Q853" s="146"/>
      <c r="R853" s="136"/>
      <c r="S853" s="136"/>
      <c r="T853" s="136"/>
      <c r="U853" s="146"/>
      <c r="V853" s="136"/>
      <c r="W853" s="136"/>
      <c r="X853" s="136"/>
    </row>
    <row r="854" spans="1:24" ht="15.75" customHeight="1" x14ac:dyDescent="0.3">
      <c r="A854" s="144"/>
      <c r="B854" s="136"/>
      <c r="C854" s="136"/>
      <c r="D854" s="136"/>
      <c r="E854" s="145"/>
      <c r="F854" s="136"/>
      <c r="G854" s="136"/>
      <c r="H854" s="136"/>
      <c r="I854" s="145"/>
      <c r="J854" s="136"/>
      <c r="K854" s="136"/>
      <c r="L854" s="136"/>
      <c r="M854" s="145"/>
      <c r="N854" s="136"/>
      <c r="O854" s="136"/>
      <c r="P854" s="136"/>
      <c r="Q854" s="146"/>
      <c r="R854" s="136"/>
      <c r="S854" s="136"/>
      <c r="T854" s="136"/>
      <c r="U854" s="146"/>
      <c r="V854" s="136"/>
      <c r="W854" s="136"/>
      <c r="X854" s="136"/>
    </row>
    <row r="855" spans="1:24" ht="15.75" customHeight="1" x14ac:dyDescent="0.3">
      <c r="A855" s="144"/>
      <c r="B855" s="136"/>
      <c r="C855" s="136"/>
      <c r="D855" s="136"/>
      <c r="E855" s="145"/>
      <c r="F855" s="136"/>
      <c r="G855" s="136"/>
      <c r="H855" s="136"/>
      <c r="I855" s="145"/>
      <c r="J855" s="136"/>
      <c r="K855" s="136"/>
      <c r="L855" s="136"/>
      <c r="M855" s="145"/>
      <c r="N855" s="136"/>
      <c r="O855" s="136"/>
      <c r="P855" s="136"/>
      <c r="Q855" s="146"/>
      <c r="R855" s="136"/>
      <c r="S855" s="136"/>
      <c r="T855" s="136"/>
      <c r="U855" s="146"/>
      <c r="V855" s="136"/>
      <c r="W855" s="136"/>
      <c r="X855" s="136"/>
    </row>
    <row r="856" spans="1:24" ht="15.75" customHeight="1" x14ac:dyDescent="0.3">
      <c r="A856" s="144"/>
      <c r="B856" s="136"/>
      <c r="C856" s="136"/>
      <c r="D856" s="136"/>
      <c r="E856" s="145"/>
      <c r="F856" s="136"/>
      <c r="G856" s="136"/>
      <c r="H856" s="136"/>
      <c r="I856" s="145"/>
      <c r="J856" s="136"/>
      <c r="K856" s="136"/>
      <c r="L856" s="136"/>
      <c r="M856" s="145"/>
      <c r="N856" s="136"/>
      <c r="O856" s="136"/>
      <c r="P856" s="136"/>
      <c r="Q856" s="146"/>
      <c r="R856" s="136"/>
      <c r="S856" s="136"/>
      <c r="T856" s="136"/>
      <c r="U856" s="146"/>
      <c r="V856" s="136"/>
      <c r="W856" s="136"/>
      <c r="X856" s="136"/>
    </row>
    <row r="857" spans="1:24" ht="15.75" customHeight="1" x14ac:dyDescent="0.3">
      <c r="A857" s="144"/>
      <c r="B857" s="136"/>
      <c r="C857" s="136"/>
      <c r="D857" s="136"/>
      <c r="E857" s="145"/>
      <c r="F857" s="136"/>
      <c r="G857" s="136"/>
      <c r="H857" s="136"/>
      <c r="I857" s="145"/>
      <c r="J857" s="136"/>
      <c r="K857" s="136"/>
      <c r="L857" s="136"/>
      <c r="M857" s="145"/>
      <c r="N857" s="136"/>
      <c r="O857" s="136"/>
      <c r="P857" s="136"/>
      <c r="Q857" s="146"/>
      <c r="R857" s="136"/>
      <c r="S857" s="136"/>
      <c r="T857" s="136"/>
      <c r="U857" s="146"/>
      <c r="V857" s="136"/>
      <c r="W857" s="136"/>
      <c r="X857" s="136"/>
    </row>
    <row r="858" spans="1:24" ht="15.75" customHeight="1" x14ac:dyDescent="0.3">
      <c r="A858" s="144"/>
      <c r="B858" s="136"/>
      <c r="C858" s="136"/>
      <c r="D858" s="136"/>
      <c r="E858" s="145"/>
      <c r="F858" s="136"/>
      <c r="G858" s="136"/>
      <c r="H858" s="136"/>
      <c r="I858" s="145"/>
      <c r="J858" s="136"/>
      <c r="K858" s="136"/>
      <c r="L858" s="136"/>
      <c r="M858" s="145"/>
      <c r="N858" s="136"/>
      <c r="O858" s="136"/>
      <c r="P858" s="136"/>
      <c r="Q858" s="146"/>
      <c r="R858" s="136"/>
      <c r="S858" s="136"/>
      <c r="T858" s="136"/>
      <c r="U858" s="146"/>
      <c r="V858" s="136"/>
      <c r="W858" s="136"/>
      <c r="X858" s="136"/>
    </row>
    <row r="859" spans="1:24" ht="15.75" customHeight="1" x14ac:dyDescent="0.3">
      <c r="A859" s="144"/>
      <c r="B859" s="136"/>
      <c r="C859" s="136"/>
      <c r="D859" s="136"/>
      <c r="E859" s="145"/>
      <c r="F859" s="136"/>
      <c r="G859" s="136"/>
      <c r="H859" s="136"/>
      <c r="I859" s="145"/>
      <c r="J859" s="136"/>
      <c r="K859" s="136"/>
      <c r="L859" s="136"/>
      <c r="M859" s="145"/>
      <c r="N859" s="136"/>
      <c r="O859" s="136"/>
      <c r="P859" s="136"/>
      <c r="Q859" s="146"/>
      <c r="R859" s="136"/>
      <c r="S859" s="136"/>
      <c r="T859" s="136"/>
      <c r="U859" s="146"/>
      <c r="V859" s="136"/>
      <c r="W859" s="136"/>
      <c r="X859" s="136"/>
    </row>
    <row r="860" spans="1:24" ht="15.75" customHeight="1" x14ac:dyDescent="0.3">
      <c r="A860" s="144"/>
      <c r="B860" s="136"/>
      <c r="C860" s="136"/>
      <c r="D860" s="136"/>
      <c r="E860" s="145"/>
      <c r="F860" s="136"/>
      <c r="G860" s="136"/>
      <c r="H860" s="136"/>
      <c r="I860" s="145"/>
      <c r="J860" s="136"/>
      <c r="K860" s="136"/>
      <c r="L860" s="136"/>
      <c r="M860" s="145"/>
      <c r="N860" s="136"/>
      <c r="O860" s="136"/>
      <c r="P860" s="136"/>
      <c r="Q860" s="146"/>
      <c r="R860" s="136"/>
      <c r="S860" s="136"/>
      <c r="T860" s="136"/>
      <c r="U860" s="146"/>
      <c r="V860" s="136"/>
      <c r="W860" s="136"/>
      <c r="X860" s="136"/>
    </row>
    <row r="861" spans="1:24" ht="15.75" customHeight="1" x14ac:dyDescent="0.3">
      <c r="A861" s="144"/>
      <c r="B861" s="136"/>
      <c r="C861" s="136"/>
      <c r="D861" s="136"/>
      <c r="E861" s="145"/>
      <c r="F861" s="136"/>
      <c r="G861" s="136"/>
      <c r="H861" s="136"/>
      <c r="I861" s="145"/>
      <c r="J861" s="136"/>
      <c r="K861" s="136"/>
      <c r="L861" s="136"/>
      <c r="M861" s="145"/>
      <c r="N861" s="136"/>
      <c r="O861" s="136"/>
      <c r="P861" s="136"/>
      <c r="Q861" s="146"/>
      <c r="R861" s="136"/>
      <c r="S861" s="136"/>
      <c r="T861" s="136"/>
      <c r="U861" s="146"/>
      <c r="V861" s="136"/>
      <c r="W861" s="136"/>
      <c r="X861" s="136"/>
    </row>
    <row r="862" spans="1:24" ht="15.75" customHeight="1" x14ac:dyDescent="0.3">
      <c r="A862" s="144"/>
      <c r="B862" s="136"/>
      <c r="C862" s="136"/>
      <c r="D862" s="136"/>
      <c r="E862" s="145"/>
      <c r="F862" s="136"/>
      <c r="G862" s="136"/>
      <c r="H862" s="136"/>
      <c r="I862" s="145"/>
      <c r="J862" s="136"/>
      <c r="K862" s="136"/>
      <c r="L862" s="136"/>
      <c r="M862" s="145"/>
      <c r="N862" s="136"/>
      <c r="O862" s="136"/>
      <c r="P862" s="136"/>
      <c r="Q862" s="146"/>
      <c r="R862" s="136"/>
      <c r="S862" s="136"/>
      <c r="T862" s="136"/>
      <c r="U862" s="146"/>
      <c r="V862" s="136"/>
      <c r="W862" s="136"/>
      <c r="X862" s="136"/>
    </row>
    <row r="863" spans="1:24" ht="15.75" customHeight="1" x14ac:dyDescent="0.3">
      <c r="A863" s="144"/>
      <c r="B863" s="136"/>
      <c r="C863" s="136"/>
      <c r="D863" s="136"/>
      <c r="E863" s="145"/>
      <c r="F863" s="136"/>
      <c r="G863" s="136"/>
      <c r="H863" s="136"/>
      <c r="I863" s="145"/>
      <c r="J863" s="136"/>
      <c r="K863" s="136"/>
      <c r="L863" s="136"/>
      <c r="M863" s="145"/>
      <c r="N863" s="136"/>
      <c r="O863" s="136"/>
      <c r="P863" s="136"/>
      <c r="Q863" s="146"/>
      <c r="R863" s="136"/>
      <c r="S863" s="136"/>
      <c r="T863" s="136"/>
      <c r="U863" s="146"/>
      <c r="V863" s="136"/>
      <c r="W863" s="136"/>
      <c r="X863" s="136"/>
    </row>
    <row r="864" spans="1:24" ht="15.75" customHeight="1" x14ac:dyDescent="0.3">
      <c r="A864" s="144"/>
      <c r="B864" s="136"/>
      <c r="C864" s="136"/>
      <c r="D864" s="136"/>
      <c r="E864" s="145"/>
      <c r="F864" s="136"/>
      <c r="G864" s="136"/>
      <c r="H864" s="136"/>
      <c r="I864" s="145"/>
      <c r="J864" s="136"/>
      <c r="K864" s="136"/>
      <c r="L864" s="136"/>
      <c r="M864" s="145"/>
      <c r="N864" s="136"/>
      <c r="O864" s="136"/>
      <c r="P864" s="136"/>
      <c r="Q864" s="146"/>
      <c r="R864" s="136"/>
      <c r="S864" s="136"/>
      <c r="T864" s="136"/>
      <c r="U864" s="146"/>
      <c r="V864" s="136"/>
      <c r="W864" s="136"/>
      <c r="X864" s="136"/>
    </row>
    <row r="865" spans="1:24" ht="15.75" customHeight="1" x14ac:dyDescent="0.3">
      <c r="A865" s="144"/>
      <c r="B865" s="136"/>
      <c r="C865" s="136"/>
      <c r="D865" s="136"/>
      <c r="E865" s="145"/>
      <c r="F865" s="136"/>
      <c r="G865" s="136"/>
      <c r="H865" s="136"/>
      <c r="I865" s="145"/>
      <c r="J865" s="136"/>
      <c r="K865" s="136"/>
      <c r="L865" s="136"/>
      <c r="M865" s="145"/>
      <c r="N865" s="136"/>
      <c r="O865" s="136"/>
      <c r="P865" s="136"/>
      <c r="Q865" s="146"/>
      <c r="R865" s="136"/>
      <c r="S865" s="136"/>
      <c r="T865" s="136"/>
      <c r="U865" s="146"/>
      <c r="V865" s="136"/>
      <c r="W865" s="136"/>
      <c r="X865" s="136"/>
    </row>
    <row r="866" spans="1:24" ht="15.75" customHeight="1" x14ac:dyDescent="0.3">
      <c r="A866" s="144"/>
      <c r="B866" s="136"/>
      <c r="C866" s="136"/>
      <c r="D866" s="136"/>
      <c r="E866" s="145"/>
      <c r="F866" s="136"/>
      <c r="G866" s="136"/>
      <c r="H866" s="136"/>
      <c r="I866" s="145"/>
      <c r="J866" s="136"/>
      <c r="K866" s="136"/>
      <c r="L866" s="136"/>
      <c r="M866" s="145"/>
      <c r="N866" s="136"/>
      <c r="O866" s="136"/>
      <c r="P866" s="136"/>
      <c r="Q866" s="146"/>
      <c r="R866" s="136"/>
      <c r="S866" s="136"/>
      <c r="T866" s="136"/>
      <c r="U866" s="146"/>
      <c r="V866" s="136"/>
      <c r="W866" s="136"/>
      <c r="X866" s="136"/>
    </row>
    <row r="867" spans="1:24" ht="15.75" customHeight="1" x14ac:dyDescent="0.3">
      <c r="A867" s="144"/>
      <c r="B867" s="136"/>
      <c r="C867" s="136"/>
      <c r="D867" s="136"/>
      <c r="E867" s="145"/>
      <c r="F867" s="136"/>
      <c r="G867" s="136"/>
      <c r="H867" s="136"/>
      <c r="I867" s="145"/>
      <c r="J867" s="136"/>
      <c r="K867" s="136"/>
      <c r="L867" s="136"/>
      <c r="M867" s="145"/>
      <c r="N867" s="136"/>
      <c r="O867" s="136"/>
      <c r="P867" s="136"/>
      <c r="Q867" s="146"/>
      <c r="R867" s="136"/>
      <c r="S867" s="136"/>
      <c r="T867" s="136"/>
      <c r="U867" s="146"/>
      <c r="V867" s="136"/>
      <c r="W867" s="136"/>
      <c r="X867" s="136"/>
    </row>
    <row r="868" spans="1:24" ht="15.75" customHeight="1" x14ac:dyDescent="0.3">
      <c r="A868" s="144"/>
      <c r="B868" s="136"/>
      <c r="C868" s="136"/>
      <c r="D868" s="136"/>
      <c r="E868" s="145"/>
      <c r="F868" s="136"/>
      <c r="G868" s="136"/>
      <c r="H868" s="136"/>
      <c r="I868" s="145"/>
      <c r="J868" s="136"/>
      <c r="K868" s="136"/>
      <c r="L868" s="136"/>
      <c r="M868" s="145"/>
      <c r="N868" s="136"/>
      <c r="O868" s="136"/>
      <c r="P868" s="136"/>
      <c r="Q868" s="146"/>
      <c r="R868" s="136"/>
      <c r="S868" s="136"/>
      <c r="T868" s="136"/>
      <c r="U868" s="146"/>
      <c r="V868" s="136"/>
      <c r="W868" s="136"/>
      <c r="X868" s="136"/>
    </row>
    <row r="869" spans="1:24" ht="15.75" customHeight="1" x14ac:dyDescent="0.3">
      <c r="A869" s="144"/>
      <c r="B869" s="136"/>
      <c r="C869" s="136"/>
      <c r="D869" s="136"/>
      <c r="E869" s="145"/>
      <c r="F869" s="136"/>
      <c r="G869" s="136"/>
      <c r="H869" s="136"/>
      <c r="I869" s="145"/>
      <c r="J869" s="136"/>
      <c r="K869" s="136"/>
      <c r="L869" s="136"/>
      <c r="M869" s="145"/>
      <c r="N869" s="136"/>
      <c r="O869" s="136"/>
      <c r="P869" s="136"/>
      <c r="Q869" s="146"/>
      <c r="R869" s="136"/>
      <c r="S869" s="136"/>
      <c r="T869" s="136"/>
      <c r="U869" s="146"/>
      <c r="V869" s="136"/>
      <c r="W869" s="136"/>
      <c r="X869" s="136"/>
    </row>
    <row r="870" spans="1:24" ht="15.75" customHeight="1" x14ac:dyDescent="0.3">
      <c r="A870" s="144"/>
      <c r="B870" s="136"/>
      <c r="C870" s="136"/>
      <c r="D870" s="136"/>
      <c r="E870" s="145"/>
      <c r="F870" s="136"/>
      <c r="G870" s="136"/>
      <c r="H870" s="136"/>
      <c r="I870" s="145"/>
      <c r="J870" s="136"/>
      <c r="K870" s="136"/>
      <c r="L870" s="136"/>
      <c r="M870" s="145"/>
      <c r="N870" s="136"/>
      <c r="O870" s="136"/>
      <c r="P870" s="136"/>
      <c r="Q870" s="146"/>
      <c r="R870" s="136"/>
      <c r="S870" s="136"/>
      <c r="T870" s="136"/>
      <c r="U870" s="146"/>
      <c r="V870" s="136"/>
      <c r="W870" s="136"/>
      <c r="X870" s="136"/>
    </row>
    <row r="871" spans="1:24" ht="15.75" customHeight="1" x14ac:dyDescent="0.3">
      <c r="A871" s="144"/>
      <c r="B871" s="136"/>
      <c r="C871" s="136"/>
      <c r="D871" s="136"/>
      <c r="E871" s="145"/>
      <c r="F871" s="136"/>
      <c r="G871" s="136"/>
      <c r="H871" s="136"/>
      <c r="I871" s="145"/>
      <c r="J871" s="136"/>
      <c r="K871" s="136"/>
      <c r="L871" s="136"/>
      <c r="M871" s="145"/>
      <c r="N871" s="136"/>
      <c r="O871" s="136"/>
      <c r="P871" s="136"/>
      <c r="Q871" s="146"/>
      <c r="R871" s="136"/>
      <c r="S871" s="136"/>
      <c r="T871" s="136"/>
      <c r="U871" s="146"/>
      <c r="V871" s="136"/>
      <c r="W871" s="136"/>
      <c r="X871" s="136"/>
    </row>
    <row r="872" spans="1:24" ht="15.75" customHeight="1" x14ac:dyDescent="0.3">
      <c r="A872" s="144"/>
      <c r="B872" s="136"/>
      <c r="C872" s="136"/>
      <c r="D872" s="136"/>
      <c r="E872" s="145"/>
      <c r="F872" s="136"/>
      <c r="G872" s="136"/>
      <c r="H872" s="136"/>
      <c r="I872" s="145"/>
      <c r="J872" s="136"/>
      <c r="K872" s="136"/>
      <c r="L872" s="136"/>
      <c r="M872" s="145"/>
      <c r="N872" s="136"/>
      <c r="O872" s="136"/>
      <c r="P872" s="136"/>
      <c r="Q872" s="146"/>
      <c r="R872" s="136"/>
      <c r="S872" s="136"/>
      <c r="T872" s="136"/>
      <c r="U872" s="146"/>
      <c r="V872" s="136"/>
      <c r="W872" s="136"/>
      <c r="X872" s="136"/>
    </row>
    <row r="873" spans="1:24" ht="15.75" customHeight="1" x14ac:dyDescent="0.3">
      <c r="A873" s="144"/>
      <c r="B873" s="136"/>
      <c r="C873" s="136"/>
      <c r="D873" s="136"/>
      <c r="E873" s="145"/>
      <c r="F873" s="136"/>
      <c r="G873" s="136"/>
      <c r="H873" s="136"/>
      <c r="I873" s="145"/>
      <c r="J873" s="136"/>
      <c r="K873" s="136"/>
      <c r="L873" s="136"/>
      <c r="M873" s="145"/>
      <c r="N873" s="136"/>
      <c r="O873" s="136"/>
      <c r="P873" s="136"/>
      <c r="Q873" s="146"/>
      <c r="R873" s="136"/>
      <c r="S873" s="136"/>
      <c r="T873" s="136"/>
      <c r="U873" s="146"/>
      <c r="V873" s="136"/>
      <c r="W873" s="136"/>
      <c r="X873" s="136"/>
    </row>
    <row r="874" spans="1:24" ht="15.75" customHeight="1" x14ac:dyDescent="0.3">
      <c r="A874" s="144"/>
      <c r="B874" s="136"/>
      <c r="C874" s="136"/>
      <c r="D874" s="136"/>
      <c r="E874" s="145"/>
      <c r="F874" s="136"/>
      <c r="G874" s="136"/>
      <c r="H874" s="136"/>
      <c r="I874" s="145"/>
      <c r="J874" s="136"/>
      <c r="K874" s="136"/>
      <c r="L874" s="136"/>
      <c r="M874" s="145"/>
      <c r="N874" s="136"/>
      <c r="O874" s="136"/>
      <c r="P874" s="136"/>
      <c r="Q874" s="146"/>
      <c r="R874" s="136"/>
      <c r="S874" s="136"/>
      <c r="T874" s="136"/>
      <c r="U874" s="146"/>
      <c r="V874" s="136"/>
      <c r="W874" s="136"/>
      <c r="X874" s="136"/>
    </row>
    <row r="875" spans="1:24" ht="15.75" customHeight="1" x14ac:dyDescent="0.3">
      <c r="A875" s="144"/>
      <c r="B875" s="136"/>
      <c r="C875" s="136"/>
      <c r="D875" s="136"/>
      <c r="E875" s="145"/>
      <c r="F875" s="136"/>
      <c r="G875" s="136"/>
      <c r="H875" s="136"/>
      <c r="I875" s="145"/>
      <c r="J875" s="136"/>
      <c r="K875" s="136"/>
      <c r="L875" s="136"/>
      <c r="M875" s="145"/>
      <c r="N875" s="136"/>
      <c r="O875" s="136"/>
      <c r="P875" s="136"/>
      <c r="Q875" s="146"/>
      <c r="R875" s="136"/>
      <c r="S875" s="136"/>
      <c r="T875" s="136"/>
      <c r="U875" s="146"/>
      <c r="V875" s="136"/>
      <c r="W875" s="136"/>
      <c r="X875" s="136"/>
    </row>
    <row r="876" spans="1:24" ht="15.75" customHeight="1" x14ac:dyDescent="0.3">
      <c r="A876" s="144"/>
      <c r="B876" s="136"/>
      <c r="C876" s="136"/>
      <c r="D876" s="136"/>
      <c r="E876" s="145"/>
      <c r="F876" s="136"/>
      <c r="G876" s="136"/>
      <c r="H876" s="136"/>
      <c r="I876" s="145"/>
      <c r="J876" s="136"/>
      <c r="K876" s="136"/>
      <c r="L876" s="136"/>
      <c r="M876" s="145"/>
      <c r="N876" s="136"/>
      <c r="O876" s="136"/>
      <c r="P876" s="136"/>
      <c r="Q876" s="146"/>
      <c r="R876" s="136"/>
      <c r="S876" s="136"/>
      <c r="T876" s="136"/>
      <c r="U876" s="146"/>
      <c r="V876" s="136"/>
      <c r="W876" s="136"/>
      <c r="X876" s="136"/>
    </row>
    <row r="877" spans="1:24" ht="15.75" customHeight="1" x14ac:dyDescent="0.3">
      <c r="A877" s="144"/>
      <c r="B877" s="136"/>
      <c r="C877" s="136"/>
      <c r="D877" s="136"/>
      <c r="E877" s="145"/>
      <c r="F877" s="136"/>
      <c r="G877" s="136"/>
      <c r="H877" s="136"/>
      <c r="I877" s="145"/>
      <c r="J877" s="136"/>
      <c r="K877" s="136"/>
      <c r="L877" s="136"/>
      <c r="M877" s="145"/>
      <c r="N877" s="136"/>
      <c r="O877" s="136"/>
      <c r="P877" s="136"/>
      <c r="Q877" s="146"/>
      <c r="R877" s="136"/>
      <c r="S877" s="136"/>
      <c r="T877" s="136"/>
      <c r="U877" s="146"/>
      <c r="V877" s="136"/>
      <c r="W877" s="136"/>
      <c r="X877" s="136"/>
    </row>
    <row r="878" spans="1:24" ht="15.75" customHeight="1" x14ac:dyDescent="0.3">
      <c r="A878" s="144"/>
      <c r="B878" s="136"/>
      <c r="C878" s="136"/>
      <c r="D878" s="136"/>
      <c r="E878" s="145"/>
      <c r="F878" s="136"/>
      <c r="G878" s="136"/>
      <c r="H878" s="136"/>
      <c r="I878" s="145"/>
      <c r="J878" s="136"/>
      <c r="K878" s="136"/>
      <c r="L878" s="136"/>
      <c r="M878" s="145"/>
      <c r="N878" s="136"/>
      <c r="O878" s="136"/>
      <c r="P878" s="136"/>
      <c r="Q878" s="146"/>
      <c r="R878" s="136"/>
      <c r="S878" s="136"/>
      <c r="T878" s="136"/>
      <c r="U878" s="146"/>
      <c r="V878" s="136"/>
      <c r="W878" s="136"/>
      <c r="X878" s="136"/>
    </row>
    <row r="879" spans="1:24" ht="15.75" customHeight="1" x14ac:dyDescent="0.3">
      <c r="A879" s="144"/>
      <c r="B879" s="136"/>
      <c r="C879" s="136"/>
      <c r="D879" s="136"/>
      <c r="E879" s="145"/>
      <c r="F879" s="136"/>
      <c r="G879" s="136"/>
      <c r="H879" s="136"/>
      <c r="I879" s="145"/>
      <c r="J879" s="136"/>
      <c r="K879" s="136"/>
      <c r="L879" s="136"/>
      <c r="M879" s="145"/>
      <c r="N879" s="136"/>
      <c r="O879" s="136"/>
      <c r="P879" s="136"/>
      <c r="Q879" s="146"/>
      <c r="R879" s="136"/>
      <c r="S879" s="136"/>
      <c r="T879" s="136"/>
      <c r="U879" s="146"/>
      <c r="V879" s="136"/>
      <c r="W879" s="136"/>
      <c r="X879" s="136"/>
    </row>
    <row r="880" spans="1:24" ht="15.75" customHeight="1" x14ac:dyDescent="0.3">
      <c r="A880" s="144"/>
      <c r="B880" s="136"/>
      <c r="C880" s="136"/>
      <c r="D880" s="136"/>
      <c r="E880" s="145"/>
      <c r="F880" s="136"/>
      <c r="G880" s="136"/>
      <c r="H880" s="136"/>
      <c r="I880" s="145"/>
      <c r="J880" s="136"/>
      <c r="K880" s="136"/>
      <c r="L880" s="136"/>
      <c r="M880" s="145"/>
      <c r="N880" s="136"/>
      <c r="O880" s="136"/>
      <c r="P880" s="136"/>
      <c r="Q880" s="146"/>
      <c r="R880" s="136"/>
      <c r="S880" s="136"/>
      <c r="T880" s="136"/>
      <c r="U880" s="146"/>
      <c r="V880" s="136"/>
      <c r="W880" s="136"/>
      <c r="X880" s="136"/>
    </row>
    <row r="881" spans="1:24" ht="15.75" customHeight="1" x14ac:dyDescent="0.3">
      <c r="A881" s="144"/>
      <c r="B881" s="136"/>
      <c r="C881" s="136"/>
      <c r="D881" s="136"/>
      <c r="E881" s="145"/>
      <c r="F881" s="136"/>
      <c r="G881" s="136"/>
      <c r="H881" s="136"/>
      <c r="I881" s="145"/>
      <c r="J881" s="136"/>
      <c r="K881" s="136"/>
      <c r="L881" s="136"/>
      <c r="M881" s="145"/>
      <c r="N881" s="136"/>
      <c r="O881" s="136"/>
      <c r="P881" s="136"/>
      <c r="Q881" s="146"/>
      <c r="R881" s="136"/>
      <c r="S881" s="136"/>
      <c r="T881" s="136"/>
      <c r="U881" s="146"/>
      <c r="V881" s="136"/>
      <c r="W881" s="136"/>
      <c r="X881" s="136"/>
    </row>
    <row r="882" spans="1:24" ht="15.75" customHeight="1" x14ac:dyDescent="0.3">
      <c r="A882" s="144"/>
      <c r="B882" s="136"/>
      <c r="C882" s="136"/>
      <c r="D882" s="136"/>
      <c r="E882" s="145"/>
      <c r="F882" s="136"/>
      <c r="G882" s="136"/>
      <c r="H882" s="136"/>
      <c r="I882" s="145"/>
      <c r="J882" s="136"/>
      <c r="K882" s="136"/>
      <c r="L882" s="136"/>
      <c r="M882" s="145"/>
      <c r="N882" s="136"/>
      <c r="O882" s="136"/>
      <c r="P882" s="136"/>
      <c r="Q882" s="146"/>
      <c r="R882" s="136"/>
      <c r="S882" s="136"/>
      <c r="T882" s="136"/>
      <c r="U882" s="146"/>
      <c r="V882" s="136"/>
      <c r="W882" s="136"/>
      <c r="X882" s="136"/>
    </row>
    <row r="883" spans="1:24" ht="15.75" customHeight="1" x14ac:dyDescent="0.3">
      <c r="A883" s="144"/>
      <c r="B883" s="136"/>
      <c r="C883" s="136"/>
      <c r="D883" s="136"/>
      <c r="E883" s="145"/>
      <c r="F883" s="136"/>
      <c r="G883" s="136"/>
      <c r="H883" s="136"/>
      <c r="I883" s="145"/>
      <c r="J883" s="136"/>
      <c r="K883" s="136"/>
      <c r="L883" s="136"/>
      <c r="M883" s="145"/>
      <c r="N883" s="136"/>
      <c r="O883" s="136"/>
      <c r="P883" s="136"/>
      <c r="Q883" s="146"/>
      <c r="R883" s="136"/>
      <c r="S883" s="136"/>
      <c r="T883" s="136"/>
      <c r="U883" s="146"/>
      <c r="V883" s="136"/>
      <c r="W883" s="136"/>
      <c r="X883" s="136"/>
    </row>
    <row r="884" spans="1:24" ht="15.75" customHeight="1" x14ac:dyDescent="0.3">
      <c r="A884" s="144"/>
      <c r="B884" s="136"/>
      <c r="C884" s="136"/>
      <c r="D884" s="136"/>
      <c r="E884" s="145"/>
      <c r="F884" s="136"/>
      <c r="G884" s="136"/>
      <c r="H884" s="136"/>
      <c r="I884" s="145"/>
      <c r="J884" s="136"/>
      <c r="K884" s="136"/>
      <c r="L884" s="136"/>
      <c r="M884" s="145"/>
      <c r="N884" s="136"/>
      <c r="O884" s="136"/>
      <c r="P884" s="136"/>
      <c r="Q884" s="146"/>
      <c r="R884" s="136"/>
      <c r="S884" s="136"/>
      <c r="T884" s="136"/>
      <c r="U884" s="146"/>
      <c r="V884" s="136"/>
      <c r="W884" s="136"/>
      <c r="X884" s="136"/>
    </row>
    <row r="885" spans="1:24" ht="15.75" customHeight="1" x14ac:dyDescent="0.3">
      <c r="A885" s="144"/>
      <c r="B885" s="136"/>
      <c r="C885" s="136"/>
      <c r="D885" s="136"/>
      <c r="E885" s="145"/>
      <c r="F885" s="136"/>
      <c r="G885" s="136"/>
      <c r="H885" s="136"/>
      <c r="I885" s="145"/>
      <c r="J885" s="136"/>
      <c r="K885" s="136"/>
      <c r="L885" s="136"/>
      <c r="M885" s="145"/>
      <c r="N885" s="136"/>
      <c r="O885" s="136"/>
      <c r="P885" s="136"/>
      <c r="Q885" s="146"/>
      <c r="R885" s="136"/>
      <c r="S885" s="136"/>
      <c r="T885" s="136"/>
      <c r="U885" s="146"/>
      <c r="V885" s="136"/>
      <c r="W885" s="136"/>
      <c r="X885" s="136"/>
    </row>
    <row r="886" spans="1:24" ht="15.75" customHeight="1" x14ac:dyDescent="0.3">
      <c r="A886" s="144"/>
      <c r="B886" s="136"/>
      <c r="C886" s="136"/>
      <c r="D886" s="136"/>
      <c r="E886" s="145"/>
      <c r="F886" s="136"/>
      <c r="G886" s="136"/>
      <c r="H886" s="136"/>
      <c r="I886" s="145"/>
      <c r="J886" s="136"/>
      <c r="K886" s="136"/>
      <c r="L886" s="136"/>
      <c r="M886" s="145"/>
      <c r="N886" s="136"/>
      <c r="O886" s="136"/>
      <c r="P886" s="136"/>
      <c r="Q886" s="146"/>
      <c r="R886" s="136"/>
      <c r="S886" s="136"/>
      <c r="T886" s="136"/>
      <c r="U886" s="146"/>
      <c r="V886" s="136"/>
      <c r="W886" s="136"/>
      <c r="X886" s="136"/>
    </row>
    <row r="887" spans="1:24" ht="15.75" customHeight="1" x14ac:dyDescent="0.3">
      <c r="A887" s="144"/>
      <c r="B887" s="136"/>
      <c r="C887" s="136"/>
      <c r="D887" s="136"/>
      <c r="E887" s="145"/>
      <c r="F887" s="136"/>
      <c r="G887" s="136"/>
      <c r="H887" s="136"/>
      <c r="I887" s="145"/>
      <c r="J887" s="136"/>
      <c r="K887" s="136"/>
      <c r="L887" s="136"/>
      <c r="M887" s="145"/>
      <c r="N887" s="136"/>
      <c r="O887" s="136"/>
      <c r="P887" s="136"/>
      <c r="Q887" s="146"/>
      <c r="R887" s="136"/>
      <c r="S887" s="136"/>
      <c r="T887" s="136"/>
      <c r="U887" s="146"/>
      <c r="V887" s="136"/>
      <c r="W887" s="136"/>
      <c r="X887" s="136"/>
    </row>
    <row r="888" spans="1:24" ht="15.75" customHeight="1" x14ac:dyDescent="0.3">
      <c r="A888" s="144"/>
      <c r="B888" s="136"/>
      <c r="C888" s="136"/>
      <c r="D888" s="136"/>
      <c r="E888" s="145"/>
      <c r="F888" s="136"/>
      <c r="G888" s="136"/>
      <c r="H888" s="136"/>
      <c r="I888" s="145"/>
      <c r="J888" s="136"/>
      <c r="K888" s="136"/>
      <c r="L888" s="136"/>
      <c r="M888" s="145"/>
      <c r="N888" s="136"/>
      <c r="O888" s="136"/>
      <c r="P888" s="136"/>
      <c r="Q888" s="146"/>
      <c r="R888" s="136"/>
      <c r="S888" s="136"/>
      <c r="T888" s="136"/>
      <c r="U888" s="146"/>
      <c r="V888" s="136"/>
      <c r="W888" s="136"/>
      <c r="X888" s="136"/>
    </row>
    <row r="889" spans="1:24" ht="15.75" customHeight="1" x14ac:dyDescent="0.3">
      <c r="A889" s="144"/>
      <c r="B889" s="136"/>
      <c r="C889" s="136"/>
      <c r="D889" s="136"/>
      <c r="E889" s="145"/>
      <c r="F889" s="136"/>
      <c r="G889" s="136"/>
      <c r="H889" s="136"/>
      <c r="I889" s="145"/>
      <c r="J889" s="136"/>
      <c r="K889" s="136"/>
      <c r="L889" s="136"/>
      <c r="M889" s="145"/>
      <c r="N889" s="136"/>
      <c r="O889" s="136"/>
      <c r="P889" s="136"/>
      <c r="Q889" s="146"/>
      <c r="R889" s="136"/>
      <c r="S889" s="136"/>
      <c r="T889" s="136"/>
      <c r="U889" s="146"/>
      <c r="V889" s="136"/>
      <c r="W889" s="136"/>
      <c r="X889" s="136"/>
    </row>
    <row r="890" spans="1:24" ht="15.75" customHeight="1" x14ac:dyDescent="0.3">
      <c r="A890" s="144"/>
      <c r="B890" s="136"/>
      <c r="C890" s="136"/>
      <c r="D890" s="136"/>
      <c r="E890" s="145"/>
      <c r="F890" s="136"/>
      <c r="G890" s="136"/>
      <c r="H890" s="136"/>
      <c r="I890" s="145"/>
      <c r="J890" s="136"/>
      <c r="K890" s="136"/>
      <c r="L890" s="136"/>
      <c r="M890" s="145"/>
      <c r="N890" s="136"/>
      <c r="O890" s="136"/>
      <c r="P890" s="136"/>
      <c r="Q890" s="146"/>
      <c r="R890" s="136"/>
      <c r="S890" s="136"/>
      <c r="T890" s="136"/>
      <c r="U890" s="146"/>
      <c r="V890" s="136"/>
      <c r="W890" s="136"/>
      <c r="X890" s="136"/>
    </row>
    <row r="891" spans="1:24" ht="15.75" customHeight="1" x14ac:dyDescent="0.3">
      <c r="A891" s="144"/>
      <c r="B891" s="136"/>
      <c r="C891" s="136"/>
      <c r="D891" s="136"/>
      <c r="E891" s="145"/>
      <c r="F891" s="136"/>
      <c r="G891" s="136"/>
      <c r="H891" s="136"/>
      <c r="I891" s="145"/>
      <c r="J891" s="136"/>
      <c r="K891" s="136"/>
      <c r="L891" s="136"/>
      <c r="M891" s="145"/>
      <c r="N891" s="136"/>
      <c r="O891" s="136"/>
      <c r="P891" s="136"/>
      <c r="Q891" s="146"/>
      <c r="R891" s="136"/>
      <c r="S891" s="136"/>
      <c r="T891" s="136"/>
      <c r="U891" s="146"/>
      <c r="V891" s="136"/>
      <c r="W891" s="136"/>
      <c r="X891" s="136"/>
    </row>
    <row r="892" spans="1:24" ht="15.75" customHeight="1" x14ac:dyDescent="0.3">
      <c r="A892" s="144"/>
      <c r="B892" s="136"/>
      <c r="C892" s="136"/>
      <c r="D892" s="136"/>
      <c r="E892" s="145"/>
      <c r="F892" s="136"/>
      <c r="G892" s="136"/>
      <c r="H892" s="136"/>
      <c r="I892" s="145"/>
      <c r="J892" s="136"/>
      <c r="K892" s="136"/>
      <c r="L892" s="136"/>
      <c r="M892" s="145"/>
      <c r="N892" s="136"/>
      <c r="O892" s="136"/>
      <c r="P892" s="136"/>
      <c r="Q892" s="146"/>
      <c r="R892" s="136"/>
      <c r="S892" s="136"/>
      <c r="T892" s="136"/>
      <c r="U892" s="146"/>
      <c r="V892" s="136"/>
      <c r="W892" s="136"/>
      <c r="X892" s="136"/>
    </row>
    <row r="893" spans="1:24" ht="15.75" customHeight="1" x14ac:dyDescent="0.3">
      <c r="A893" s="144"/>
      <c r="B893" s="136"/>
      <c r="C893" s="136"/>
      <c r="D893" s="136"/>
      <c r="E893" s="145"/>
      <c r="F893" s="136"/>
      <c r="G893" s="136"/>
      <c r="H893" s="136"/>
      <c r="I893" s="145"/>
      <c r="J893" s="136"/>
      <c r="K893" s="136"/>
      <c r="L893" s="136"/>
      <c r="M893" s="145"/>
      <c r="N893" s="136"/>
      <c r="O893" s="136"/>
      <c r="P893" s="136"/>
      <c r="Q893" s="146"/>
      <c r="R893" s="136"/>
      <c r="S893" s="136"/>
      <c r="T893" s="136"/>
      <c r="U893" s="146"/>
      <c r="V893" s="136"/>
      <c r="W893" s="136"/>
      <c r="X893" s="136"/>
    </row>
    <row r="894" spans="1:24" ht="15.75" customHeight="1" x14ac:dyDescent="0.3">
      <c r="A894" s="144"/>
      <c r="B894" s="136"/>
      <c r="C894" s="136"/>
      <c r="D894" s="136"/>
      <c r="E894" s="145"/>
      <c r="F894" s="136"/>
      <c r="G894" s="136"/>
      <c r="H894" s="136"/>
      <c r="I894" s="145"/>
      <c r="J894" s="136"/>
      <c r="K894" s="136"/>
      <c r="L894" s="136"/>
      <c r="M894" s="145"/>
      <c r="N894" s="136"/>
      <c r="O894" s="136"/>
      <c r="P894" s="136"/>
      <c r="Q894" s="146"/>
      <c r="R894" s="136"/>
      <c r="S894" s="136"/>
      <c r="T894" s="136"/>
      <c r="U894" s="146"/>
      <c r="V894" s="136"/>
      <c r="W894" s="136"/>
      <c r="X894" s="136"/>
    </row>
    <row r="895" spans="1:24" ht="15.75" customHeight="1" x14ac:dyDescent="0.3">
      <c r="A895" s="144"/>
      <c r="B895" s="136"/>
      <c r="C895" s="136"/>
      <c r="D895" s="136"/>
      <c r="E895" s="145"/>
      <c r="F895" s="136"/>
      <c r="G895" s="136"/>
      <c r="H895" s="136"/>
      <c r="I895" s="145"/>
      <c r="J895" s="136"/>
      <c r="K895" s="136"/>
      <c r="L895" s="136"/>
      <c r="M895" s="145"/>
      <c r="N895" s="136"/>
      <c r="O895" s="136"/>
      <c r="P895" s="136"/>
      <c r="Q895" s="146"/>
      <c r="R895" s="136"/>
      <c r="S895" s="136"/>
      <c r="T895" s="136"/>
      <c r="U895" s="146"/>
      <c r="V895" s="136"/>
      <c r="W895" s="136"/>
      <c r="X895" s="136"/>
    </row>
    <row r="896" spans="1:24" ht="15.75" customHeight="1" x14ac:dyDescent="0.3">
      <c r="A896" s="144"/>
      <c r="B896" s="136"/>
      <c r="C896" s="136"/>
      <c r="D896" s="136"/>
      <c r="E896" s="145"/>
      <c r="F896" s="136"/>
      <c r="G896" s="136"/>
      <c r="H896" s="136"/>
      <c r="I896" s="145"/>
      <c r="J896" s="136"/>
      <c r="K896" s="136"/>
      <c r="L896" s="136"/>
      <c r="M896" s="145"/>
      <c r="N896" s="136"/>
      <c r="O896" s="136"/>
      <c r="P896" s="136"/>
      <c r="Q896" s="146"/>
      <c r="R896" s="136"/>
      <c r="S896" s="136"/>
      <c r="T896" s="136"/>
      <c r="U896" s="146"/>
      <c r="V896" s="136"/>
      <c r="W896" s="136"/>
      <c r="X896" s="136"/>
    </row>
    <row r="897" spans="1:24" ht="15.75" customHeight="1" x14ac:dyDescent="0.3">
      <c r="A897" s="144"/>
      <c r="B897" s="136"/>
      <c r="C897" s="136"/>
      <c r="D897" s="136"/>
      <c r="E897" s="145"/>
      <c r="F897" s="136"/>
      <c r="G897" s="136"/>
      <c r="H897" s="136"/>
      <c r="I897" s="145"/>
      <c r="J897" s="136"/>
      <c r="K897" s="136"/>
      <c r="L897" s="136"/>
      <c r="M897" s="145"/>
      <c r="N897" s="136"/>
      <c r="O897" s="136"/>
      <c r="P897" s="136"/>
      <c r="Q897" s="146"/>
      <c r="R897" s="136"/>
      <c r="S897" s="136"/>
      <c r="T897" s="136"/>
      <c r="U897" s="146"/>
      <c r="V897" s="136"/>
      <c r="W897" s="136"/>
      <c r="X897" s="136"/>
    </row>
    <row r="898" spans="1:24" ht="15.75" customHeight="1" x14ac:dyDescent="0.3">
      <c r="A898" s="144"/>
      <c r="B898" s="136"/>
      <c r="C898" s="136"/>
      <c r="D898" s="136"/>
      <c r="E898" s="145"/>
      <c r="F898" s="136"/>
      <c r="G898" s="136"/>
      <c r="H898" s="136"/>
      <c r="I898" s="145"/>
      <c r="J898" s="136"/>
      <c r="K898" s="136"/>
      <c r="L898" s="136"/>
      <c r="M898" s="145"/>
      <c r="N898" s="136"/>
      <c r="O898" s="136"/>
      <c r="P898" s="136"/>
      <c r="Q898" s="146"/>
      <c r="R898" s="136"/>
      <c r="S898" s="136"/>
      <c r="T898" s="136"/>
      <c r="U898" s="146"/>
      <c r="V898" s="136"/>
      <c r="W898" s="136"/>
      <c r="X898" s="136"/>
    </row>
    <row r="899" spans="1:24" ht="15.75" customHeight="1" x14ac:dyDescent="0.3">
      <c r="A899" s="144"/>
      <c r="B899" s="136"/>
      <c r="C899" s="136"/>
      <c r="D899" s="136"/>
      <c r="E899" s="145"/>
      <c r="F899" s="136"/>
      <c r="G899" s="136"/>
      <c r="H899" s="136"/>
      <c r="I899" s="145"/>
      <c r="J899" s="136"/>
      <c r="K899" s="136"/>
      <c r="L899" s="136"/>
      <c r="M899" s="145"/>
      <c r="N899" s="136"/>
      <c r="O899" s="136"/>
      <c r="P899" s="136"/>
      <c r="Q899" s="146"/>
      <c r="R899" s="136"/>
      <c r="S899" s="136"/>
      <c r="T899" s="136"/>
      <c r="U899" s="146"/>
      <c r="V899" s="136"/>
      <c r="W899" s="136"/>
      <c r="X899" s="136"/>
    </row>
    <row r="900" spans="1:24" ht="15.75" customHeight="1" x14ac:dyDescent="0.3">
      <c r="A900" s="144"/>
      <c r="B900" s="136"/>
      <c r="C900" s="136"/>
      <c r="D900" s="136"/>
      <c r="E900" s="145"/>
      <c r="F900" s="136"/>
      <c r="G900" s="136"/>
      <c r="H900" s="136"/>
      <c r="I900" s="145"/>
      <c r="J900" s="136"/>
      <c r="K900" s="136"/>
      <c r="L900" s="136"/>
      <c r="M900" s="145"/>
      <c r="N900" s="136"/>
      <c r="O900" s="136"/>
      <c r="P900" s="136"/>
      <c r="Q900" s="146"/>
      <c r="R900" s="136"/>
      <c r="S900" s="136"/>
      <c r="T900" s="136"/>
      <c r="U900" s="146"/>
      <c r="V900" s="136"/>
      <c r="W900" s="136"/>
      <c r="X900" s="136"/>
    </row>
    <row r="901" spans="1:24" ht="15.75" customHeight="1" x14ac:dyDescent="0.3">
      <c r="A901" s="144"/>
      <c r="B901" s="136"/>
      <c r="C901" s="136"/>
      <c r="D901" s="136"/>
      <c r="E901" s="145"/>
      <c r="F901" s="136"/>
      <c r="G901" s="136"/>
      <c r="H901" s="136"/>
      <c r="I901" s="145"/>
      <c r="J901" s="136"/>
      <c r="K901" s="136"/>
      <c r="L901" s="136"/>
      <c r="M901" s="145"/>
      <c r="N901" s="136"/>
      <c r="O901" s="136"/>
      <c r="P901" s="136"/>
      <c r="Q901" s="146"/>
      <c r="R901" s="136"/>
      <c r="S901" s="136"/>
      <c r="T901" s="136"/>
      <c r="U901" s="146"/>
      <c r="V901" s="136"/>
      <c r="W901" s="136"/>
      <c r="X901" s="136"/>
    </row>
    <row r="902" spans="1:24" ht="15.75" customHeight="1" x14ac:dyDescent="0.3">
      <c r="A902" s="144"/>
      <c r="B902" s="136"/>
      <c r="C902" s="136"/>
      <c r="D902" s="136"/>
      <c r="E902" s="145"/>
      <c r="F902" s="136"/>
      <c r="G902" s="136"/>
      <c r="H902" s="136"/>
      <c r="I902" s="145"/>
      <c r="J902" s="136"/>
      <c r="K902" s="136"/>
      <c r="L902" s="136"/>
      <c r="M902" s="145"/>
      <c r="N902" s="136"/>
      <c r="O902" s="136"/>
      <c r="P902" s="136"/>
      <c r="Q902" s="146"/>
      <c r="R902" s="136"/>
      <c r="S902" s="136"/>
      <c r="T902" s="136"/>
      <c r="U902" s="146"/>
      <c r="V902" s="136"/>
      <c r="W902" s="136"/>
      <c r="X902" s="136"/>
    </row>
    <row r="903" spans="1:24" ht="15.75" customHeight="1" x14ac:dyDescent="0.3">
      <c r="A903" s="144"/>
      <c r="B903" s="136"/>
      <c r="C903" s="136"/>
      <c r="D903" s="136"/>
      <c r="E903" s="145"/>
      <c r="F903" s="136"/>
      <c r="G903" s="136"/>
      <c r="H903" s="136"/>
      <c r="I903" s="145"/>
      <c r="J903" s="136"/>
      <c r="K903" s="136"/>
      <c r="L903" s="136"/>
      <c r="M903" s="145"/>
      <c r="N903" s="136"/>
      <c r="O903" s="136"/>
      <c r="P903" s="136"/>
      <c r="Q903" s="146"/>
      <c r="R903" s="136"/>
      <c r="S903" s="136"/>
      <c r="T903" s="136"/>
      <c r="U903" s="146"/>
      <c r="V903" s="136"/>
      <c r="W903" s="136"/>
      <c r="X903" s="136"/>
    </row>
    <row r="904" spans="1:24" ht="15.75" customHeight="1" x14ac:dyDescent="0.3">
      <c r="A904" s="144"/>
      <c r="B904" s="136"/>
      <c r="C904" s="136"/>
      <c r="D904" s="136"/>
      <c r="E904" s="145"/>
      <c r="F904" s="136"/>
      <c r="G904" s="136"/>
      <c r="H904" s="136"/>
      <c r="I904" s="145"/>
      <c r="J904" s="136"/>
      <c r="K904" s="136"/>
      <c r="L904" s="136"/>
      <c r="M904" s="145"/>
      <c r="N904" s="136"/>
      <c r="O904" s="136"/>
      <c r="P904" s="136"/>
      <c r="Q904" s="146"/>
      <c r="R904" s="136"/>
      <c r="S904" s="136"/>
      <c r="T904" s="136"/>
      <c r="U904" s="146"/>
      <c r="V904" s="136"/>
      <c r="W904" s="136"/>
      <c r="X904" s="136"/>
    </row>
    <row r="905" spans="1:24" ht="15.75" customHeight="1" x14ac:dyDescent="0.3">
      <c r="A905" s="144"/>
      <c r="B905" s="136"/>
      <c r="C905" s="136"/>
      <c r="D905" s="136"/>
      <c r="E905" s="145"/>
      <c r="F905" s="136"/>
      <c r="G905" s="136"/>
      <c r="H905" s="136"/>
      <c r="I905" s="145"/>
      <c r="J905" s="136"/>
      <c r="K905" s="136"/>
      <c r="L905" s="136"/>
      <c r="M905" s="145"/>
      <c r="N905" s="136"/>
      <c r="O905" s="136"/>
      <c r="P905" s="136"/>
      <c r="Q905" s="146"/>
      <c r="R905" s="136"/>
      <c r="S905" s="136"/>
      <c r="T905" s="136"/>
      <c r="U905" s="146"/>
      <c r="V905" s="136"/>
      <c r="W905" s="136"/>
      <c r="X905" s="136"/>
    </row>
    <row r="906" spans="1:24" ht="15.75" customHeight="1" x14ac:dyDescent="0.3">
      <c r="A906" s="144"/>
      <c r="B906" s="136"/>
      <c r="C906" s="136"/>
      <c r="D906" s="136"/>
      <c r="E906" s="145"/>
      <c r="F906" s="136"/>
      <c r="G906" s="136"/>
      <c r="H906" s="136"/>
      <c r="I906" s="145"/>
      <c r="J906" s="136"/>
      <c r="K906" s="136"/>
      <c r="L906" s="136"/>
      <c r="M906" s="145"/>
      <c r="N906" s="136"/>
      <c r="O906" s="136"/>
      <c r="P906" s="136"/>
      <c r="Q906" s="146"/>
      <c r="R906" s="136"/>
      <c r="S906" s="136"/>
      <c r="T906" s="136"/>
      <c r="U906" s="146"/>
      <c r="V906" s="136"/>
      <c r="W906" s="136"/>
      <c r="X906" s="136"/>
    </row>
    <row r="907" spans="1:24" ht="15.75" customHeight="1" x14ac:dyDescent="0.3">
      <c r="A907" s="144"/>
      <c r="B907" s="136"/>
      <c r="C907" s="136"/>
      <c r="D907" s="136"/>
      <c r="E907" s="145"/>
      <c r="F907" s="136"/>
      <c r="G907" s="136"/>
      <c r="H907" s="136"/>
      <c r="I907" s="145"/>
      <c r="J907" s="136"/>
      <c r="K907" s="136"/>
      <c r="L907" s="136"/>
      <c r="M907" s="145"/>
      <c r="N907" s="136"/>
      <c r="O907" s="136"/>
      <c r="P907" s="136"/>
      <c r="Q907" s="146"/>
      <c r="R907" s="136"/>
      <c r="S907" s="136"/>
      <c r="T907" s="136"/>
      <c r="U907" s="146"/>
      <c r="V907" s="136"/>
      <c r="W907" s="136"/>
      <c r="X907" s="136"/>
    </row>
    <row r="908" spans="1:24" ht="15.75" customHeight="1" x14ac:dyDescent="0.3">
      <c r="A908" s="144"/>
      <c r="B908" s="136"/>
      <c r="C908" s="136"/>
      <c r="D908" s="136"/>
      <c r="E908" s="145"/>
      <c r="F908" s="136"/>
      <c r="G908" s="136"/>
      <c r="H908" s="136"/>
      <c r="I908" s="145"/>
      <c r="J908" s="136"/>
      <c r="K908" s="136"/>
      <c r="L908" s="136"/>
      <c r="M908" s="145"/>
      <c r="N908" s="136"/>
      <c r="O908" s="136"/>
      <c r="P908" s="136"/>
      <c r="Q908" s="146"/>
      <c r="R908" s="136"/>
      <c r="S908" s="136"/>
      <c r="T908" s="136"/>
      <c r="U908" s="146"/>
      <c r="V908" s="136"/>
      <c r="W908" s="136"/>
      <c r="X908" s="136"/>
    </row>
    <row r="909" spans="1:24" ht="15.75" customHeight="1" x14ac:dyDescent="0.3">
      <c r="A909" s="144"/>
      <c r="B909" s="136"/>
      <c r="C909" s="136"/>
      <c r="D909" s="136"/>
      <c r="E909" s="145"/>
      <c r="F909" s="136"/>
      <c r="G909" s="136"/>
      <c r="H909" s="136"/>
      <c r="I909" s="145"/>
      <c r="J909" s="136"/>
      <c r="K909" s="136"/>
      <c r="L909" s="136"/>
      <c r="M909" s="145"/>
      <c r="N909" s="136"/>
      <c r="O909" s="136"/>
      <c r="P909" s="136"/>
      <c r="Q909" s="146"/>
      <c r="R909" s="136"/>
      <c r="S909" s="136"/>
      <c r="T909" s="136"/>
      <c r="U909" s="146"/>
      <c r="V909" s="136"/>
      <c r="W909" s="136"/>
      <c r="X909" s="136"/>
    </row>
    <row r="910" spans="1:24" ht="15.75" customHeight="1" x14ac:dyDescent="0.3">
      <c r="A910" s="144"/>
      <c r="B910" s="136"/>
      <c r="C910" s="136"/>
      <c r="D910" s="136"/>
      <c r="E910" s="145"/>
      <c r="F910" s="136"/>
      <c r="G910" s="136"/>
      <c r="H910" s="136"/>
      <c r="I910" s="145"/>
      <c r="J910" s="136"/>
      <c r="K910" s="136"/>
      <c r="L910" s="136"/>
      <c r="M910" s="145"/>
      <c r="N910" s="136"/>
      <c r="O910" s="136"/>
      <c r="P910" s="136"/>
      <c r="Q910" s="146"/>
      <c r="R910" s="136"/>
      <c r="S910" s="136"/>
      <c r="T910" s="136"/>
      <c r="U910" s="146"/>
      <c r="V910" s="136"/>
      <c r="W910" s="136"/>
      <c r="X910" s="136"/>
    </row>
    <row r="911" spans="1:24" ht="15.75" customHeight="1" x14ac:dyDescent="0.3">
      <c r="A911" s="144"/>
      <c r="B911" s="136"/>
      <c r="C911" s="136"/>
      <c r="D911" s="136"/>
      <c r="E911" s="145"/>
      <c r="F911" s="136"/>
      <c r="G911" s="136"/>
      <c r="H911" s="136"/>
      <c r="I911" s="145"/>
      <c r="J911" s="136"/>
      <c r="K911" s="136"/>
      <c r="L911" s="136"/>
      <c r="M911" s="145"/>
      <c r="N911" s="136"/>
      <c r="O911" s="136"/>
      <c r="P911" s="136"/>
      <c r="Q911" s="146"/>
      <c r="R911" s="136"/>
      <c r="S911" s="136"/>
      <c r="T911" s="136"/>
      <c r="U911" s="146"/>
      <c r="V911" s="136"/>
      <c r="W911" s="136"/>
      <c r="X911" s="136"/>
    </row>
    <row r="912" spans="1:24" ht="15.75" customHeight="1" x14ac:dyDescent="0.3">
      <c r="A912" s="144"/>
      <c r="B912" s="136"/>
      <c r="C912" s="136"/>
      <c r="D912" s="136"/>
      <c r="E912" s="145"/>
      <c r="F912" s="136"/>
      <c r="G912" s="136"/>
      <c r="H912" s="136"/>
      <c r="I912" s="145"/>
      <c r="J912" s="136"/>
      <c r="K912" s="136"/>
      <c r="L912" s="136"/>
      <c r="M912" s="145"/>
      <c r="N912" s="136"/>
      <c r="O912" s="136"/>
      <c r="P912" s="136"/>
      <c r="Q912" s="146"/>
      <c r="R912" s="136"/>
      <c r="S912" s="136"/>
      <c r="T912" s="136"/>
      <c r="U912" s="146"/>
      <c r="V912" s="136"/>
      <c r="W912" s="136"/>
      <c r="X912" s="136"/>
    </row>
    <row r="913" spans="1:24" ht="15.75" customHeight="1" x14ac:dyDescent="0.3">
      <c r="A913" s="144"/>
      <c r="B913" s="136"/>
      <c r="C913" s="136"/>
      <c r="D913" s="136"/>
      <c r="E913" s="145"/>
      <c r="F913" s="136"/>
      <c r="G913" s="136"/>
      <c r="H913" s="136"/>
      <c r="I913" s="145"/>
      <c r="J913" s="136"/>
      <c r="K913" s="136"/>
      <c r="L913" s="136"/>
      <c r="M913" s="145"/>
      <c r="N913" s="136"/>
      <c r="O913" s="136"/>
      <c r="P913" s="136"/>
      <c r="Q913" s="146"/>
      <c r="R913" s="136"/>
      <c r="S913" s="136"/>
      <c r="T913" s="136"/>
      <c r="U913" s="146"/>
      <c r="V913" s="136"/>
      <c r="W913" s="136"/>
      <c r="X913" s="136"/>
    </row>
    <row r="914" spans="1:24" ht="15.75" customHeight="1" x14ac:dyDescent="0.3">
      <c r="A914" s="144"/>
      <c r="B914" s="136"/>
      <c r="C914" s="136"/>
      <c r="D914" s="136"/>
      <c r="E914" s="145"/>
      <c r="F914" s="136"/>
      <c r="G914" s="136"/>
      <c r="H914" s="136"/>
      <c r="I914" s="145"/>
      <c r="J914" s="136"/>
      <c r="K914" s="136"/>
      <c r="L914" s="136"/>
      <c r="M914" s="145"/>
      <c r="N914" s="136"/>
      <c r="O914" s="136"/>
      <c r="P914" s="136"/>
      <c r="Q914" s="146"/>
      <c r="R914" s="136"/>
      <c r="S914" s="136"/>
      <c r="T914" s="136"/>
      <c r="U914" s="146"/>
      <c r="V914" s="136"/>
      <c r="W914" s="136"/>
      <c r="X914" s="136"/>
    </row>
    <row r="915" spans="1:24" ht="15.75" customHeight="1" x14ac:dyDescent="0.3">
      <c r="A915" s="144"/>
      <c r="B915" s="136"/>
      <c r="C915" s="136"/>
      <c r="D915" s="136"/>
      <c r="E915" s="145"/>
      <c r="F915" s="136"/>
      <c r="G915" s="136"/>
      <c r="H915" s="136"/>
      <c r="I915" s="145"/>
      <c r="J915" s="136"/>
      <c r="K915" s="136"/>
      <c r="L915" s="136"/>
      <c r="M915" s="145"/>
      <c r="N915" s="136"/>
      <c r="O915" s="136"/>
      <c r="P915" s="136"/>
      <c r="Q915" s="146"/>
      <c r="R915" s="136"/>
      <c r="S915" s="136"/>
      <c r="T915" s="136"/>
      <c r="U915" s="146"/>
      <c r="V915" s="136"/>
      <c r="W915" s="136"/>
      <c r="X915" s="136"/>
    </row>
    <row r="916" spans="1:24" ht="15.75" customHeight="1" x14ac:dyDescent="0.3">
      <c r="A916" s="144"/>
      <c r="B916" s="136"/>
      <c r="C916" s="136"/>
      <c r="D916" s="136"/>
      <c r="E916" s="145"/>
      <c r="F916" s="136"/>
      <c r="G916" s="136"/>
      <c r="H916" s="136"/>
      <c r="I916" s="145"/>
      <c r="J916" s="136"/>
      <c r="K916" s="136"/>
      <c r="L916" s="136"/>
      <c r="M916" s="145"/>
      <c r="N916" s="136"/>
      <c r="O916" s="136"/>
      <c r="P916" s="136"/>
      <c r="Q916" s="146"/>
      <c r="R916" s="136"/>
      <c r="S916" s="136"/>
      <c r="T916" s="136"/>
      <c r="U916" s="146"/>
      <c r="V916" s="136"/>
      <c r="W916" s="136"/>
      <c r="X916" s="136"/>
    </row>
    <row r="917" spans="1:24" ht="15.75" customHeight="1" x14ac:dyDescent="0.3">
      <c r="A917" s="144"/>
      <c r="B917" s="136"/>
      <c r="C917" s="136"/>
      <c r="D917" s="136"/>
      <c r="E917" s="145"/>
      <c r="F917" s="136"/>
      <c r="G917" s="136"/>
      <c r="H917" s="136"/>
      <c r="I917" s="145"/>
      <c r="J917" s="136"/>
      <c r="K917" s="136"/>
      <c r="L917" s="136"/>
      <c r="M917" s="145"/>
      <c r="N917" s="136"/>
      <c r="O917" s="136"/>
      <c r="P917" s="136"/>
      <c r="Q917" s="146"/>
      <c r="R917" s="136"/>
      <c r="S917" s="136"/>
      <c r="T917" s="136"/>
      <c r="U917" s="146"/>
      <c r="V917" s="136"/>
      <c r="W917" s="136"/>
      <c r="X917" s="136"/>
    </row>
    <row r="918" spans="1:24" ht="15.75" customHeight="1" x14ac:dyDescent="0.3">
      <c r="A918" s="144"/>
      <c r="B918" s="136"/>
      <c r="C918" s="136"/>
      <c r="D918" s="136"/>
      <c r="E918" s="145"/>
      <c r="F918" s="136"/>
      <c r="G918" s="136"/>
      <c r="H918" s="136"/>
      <c r="I918" s="145"/>
      <c r="J918" s="136"/>
      <c r="K918" s="136"/>
      <c r="L918" s="136"/>
      <c r="M918" s="145"/>
      <c r="N918" s="136"/>
      <c r="O918" s="136"/>
      <c r="P918" s="136"/>
      <c r="Q918" s="146"/>
      <c r="R918" s="136"/>
      <c r="S918" s="136"/>
      <c r="T918" s="136"/>
      <c r="U918" s="146"/>
      <c r="V918" s="136"/>
      <c r="W918" s="136"/>
      <c r="X918" s="136"/>
    </row>
    <row r="919" spans="1:24" ht="15.75" customHeight="1" x14ac:dyDescent="0.3">
      <c r="A919" s="144"/>
      <c r="B919" s="136"/>
      <c r="C919" s="136"/>
      <c r="D919" s="136"/>
      <c r="E919" s="145"/>
      <c r="F919" s="136"/>
      <c r="G919" s="136"/>
      <c r="H919" s="136"/>
      <c r="I919" s="145"/>
      <c r="J919" s="136"/>
      <c r="K919" s="136"/>
      <c r="L919" s="136"/>
      <c r="M919" s="145"/>
      <c r="N919" s="136"/>
      <c r="O919" s="136"/>
      <c r="P919" s="136"/>
      <c r="Q919" s="146"/>
      <c r="R919" s="136"/>
      <c r="S919" s="136"/>
      <c r="T919" s="136"/>
      <c r="U919" s="146"/>
      <c r="V919" s="136"/>
      <c r="W919" s="136"/>
      <c r="X919" s="136"/>
    </row>
    <row r="920" spans="1:24" ht="15.75" customHeight="1" x14ac:dyDescent="0.3">
      <c r="A920" s="144"/>
      <c r="B920" s="136"/>
      <c r="C920" s="136"/>
      <c r="D920" s="136"/>
      <c r="E920" s="145"/>
      <c r="F920" s="136"/>
      <c r="G920" s="136"/>
      <c r="H920" s="136"/>
      <c r="I920" s="145"/>
      <c r="J920" s="136"/>
      <c r="K920" s="136"/>
      <c r="L920" s="136"/>
      <c r="M920" s="145"/>
      <c r="N920" s="136"/>
      <c r="O920" s="136"/>
      <c r="P920" s="136"/>
      <c r="Q920" s="146"/>
      <c r="R920" s="136"/>
      <c r="S920" s="136"/>
      <c r="T920" s="136"/>
      <c r="U920" s="146"/>
      <c r="V920" s="136"/>
      <c r="W920" s="136"/>
      <c r="X920" s="136"/>
    </row>
    <row r="921" spans="1:24" ht="15.75" customHeight="1" x14ac:dyDescent="0.3">
      <c r="A921" s="144"/>
      <c r="B921" s="136"/>
      <c r="C921" s="136"/>
      <c r="D921" s="136"/>
      <c r="E921" s="145"/>
      <c r="F921" s="136"/>
      <c r="G921" s="136"/>
      <c r="H921" s="136"/>
      <c r="I921" s="145"/>
      <c r="J921" s="136"/>
      <c r="K921" s="136"/>
      <c r="L921" s="136"/>
      <c r="M921" s="145"/>
      <c r="N921" s="136"/>
      <c r="O921" s="136"/>
      <c r="P921" s="136"/>
      <c r="Q921" s="146"/>
      <c r="R921" s="136"/>
      <c r="S921" s="136"/>
      <c r="T921" s="136"/>
      <c r="U921" s="146"/>
      <c r="V921" s="136"/>
      <c r="W921" s="136"/>
      <c r="X921" s="136"/>
    </row>
    <row r="922" spans="1:24" ht="15.75" customHeight="1" x14ac:dyDescent="0.3">
      <c r="A922" s="144"/>
      <c r="B922" s="136"/>
      <c r="C922" s="136"/>
      <c r="D922" s="136"/>
      <c r="E922" s="145"/>
      <c r="F922" s="136"/>
      <c r="G922" s="136"/>
      <c r="H922" s="136"/>
      <c r="I922" s="145"/>
      <c r="J922" s="136"/>
      <c r="K922" s="136"/>
      <c r="L922" s="136"/>
      <c r="M922" s="145"/>
      <c r="N922" s="136"/>
      <c r="O922" s="136"/>
      <c r="P922" s="136"/>
      <c r="Q922" s="146"/>
      <c r="R922" s="136"/>
      <c r="S922" s="136"/>
      <c r="T922" s="136"/>
      <c r="U922" s="146"/>
      <c r="V922" s="136"/>
      <c r="W922" s="136"/>
      <c r="X922" s="136"/>
    </row>
    <row r="923" spans="1:24" ht="15.75" customHeight="1" x14ac:dyDescent="0.3">
      <c r="A923" s="144"/>
      <c r="B923" s="136"/>
      <c r="C923" s="136"/>
      <c r="D923" s="136"/>
      <c r="E923" s="145"/>
      <c r="F923" s="136"/>
      <c r="G923" s="136"/>
      <c r="H923" s="136"/>
      <c r="I923" s="145"/>
      <c r="J923" s="136"/>
      <c r="K923" s="136"/>
      <c r="L923" s="136"/>
      <c r="M923" s="145"/>
      <c r="N923" s="136"/>
      <c r="O923" s="136"/>
      <c r="P923" s="136"/>
      <c r="Q923" s="146"/>
      <c r="R923" s="136"/>
      <c r="S923" s="136"/>
      <c r="T923" s="136"/>
      <c r="U923" s="146"/>
      <c r="V923" s="136"/>
      <c r="W923" s="136"/>
      <c r="X923" s="136"/>
    </row>
    <row r="924" spans="1:24" ht="15.75" customHeight="1" x14ac:dyDescent="0.3">
      <c r="A924" s="144"/>
      <c r="B924" s="136"/>
      <c r="C924" s="136"/>
      <c r="D924" s="136"/>
      <c r="E924" s="145"/>
      <c r="F924" s="136"/>
      <c r="G924" s="136"/>
      <c r="H924" s="136"/>
      <c r="I924" s="145"/>
      <c r="J924" s="136"/>
      <c r="K924" s="136"/>
      <c r="L924" s="136"/>
      <c r="M924" s="145"/>
      <c r="N924" s="136"/>
      <c r="O924" s="136"/>
      <c r="P924" s="136"/>
      <c r="Q924" s="146"/>
      <c r="R924" s="136"/>
      <c r="S924" s="136"/>
      <c r="T924" s="136"/>
      <c r="U924" s="146"/>
      <c r="V924" s="136"/>
      <c r="W924" s="136"/>
      <c r="X924" s="136"/>
    </row>
    <row r="925" spans="1:24" ht="15.75" customHeight="1" x14ac:dyDescent="0.3">
      <c r="A925" s="144"/>
      <c r="B925" s="136"/>
      <c r="C925" s="136"/>
      <c r="D925" s="136"/>
      <c r="E925" s="145"/>
      <c r="F925" s="136"/>
      <c r="G925" s="136"/>
      <c r="H925" s="136"/>
      <c r="I925" s="145"/>
      <c r="J925" s="136"/>
      <c r="K925" s="136"/>
      <c r="L925" s="136"/>
      <c r="M925" s="145"/>
      <c r="N925" s="136"/>
      <c r="O925" s="136"/>
      <c r="P925" s="136"/>
      <c r="Q925" s="146"/>
      <c r="R925" s="136"/>
      <c r="S925" s="136"/>
      <c r="T925" s="136"/>
      <c r="U925" s="146"/>
      <c r="V925" s="136"/>
      <c r="W925" s="136"/>
      <c r="X925" s="136"/>
    </row>
    <row r="926" spans="1:24" ht="15.75" customHeight="1" x14ac:dyDescent="0.3">
      <c r="A926" s="144"/>
      <c r="B926" s="136"/>
      <c r="C926" s="136"/>
      <c r="D926" s="136"/>
      <c r="E926" s="145"/>
      <c r="F926" s="136"/>
      <c r="G926" s="136"/>
      <c r="H926" s="136"/>
      <c r="I926" s="145"/>
      <c r="J926" s="136"/>
      <c r="K926" s="136"/>
      <c r="L926" s="136"/>
      <c r="M926" s="145"/>
      <c r="N926" s="136"/>
      <c r="O926" s="136"/>
      <c r="P926" s="136"/>
      <c r="Q926" s="146"/>
      <c r="R926" s="136"/>
      <c r="S926" s="136"/>
      <c r="T926" s="136"/>
      <c r="U926" s="146"/>
      <c r="V926" s="136"/>
      <c r="W926" s="136"/>
      <c r="X926" s="136"/>
    </row>
    <row r="927" spans="1:24" ht="15.75" customHeight="1" x14ac:dyDescent="0.3">
      <c r="A927" s="144"/>
      <c r="B927" s="136"/>
      <c r="C927" s="136"/>
      <c r="D927" s="136"/>
      <c r="E927" s="145"/>
      <c r="F927" s="136"/>
      <c r="G927" s="136"/>
      <c r="H927" s="136"/>
      <c r="I927" s="145"/>
      <c r="J927" s="136"/>
      <c r="K927" s="136"/>
      <c r="L927" s="136"/>
      <c r="M927" s="145"/>
      <c r="N927" s="136"/>
      <c r="O927" s="136"/>
      <c r="P927" s="136"/>
      <c r="Q927" s="146"/>
      <c r="R927" s="136"/>
      <c r="S927" s="136"/>
      <c r="T927" s="136"/>
      <c r="U927" s="146"/>
      <c r="V927" s="136"/>
      <c r="W927" s="136"/>
      <c r="X927" s="136"/>
    </row>
    <row r="928" spans="1:24" ht="15.75" customHeight="1" x14ac:dyDescent="0.3">
      <c r="A928" s="144"/>
      <c r="B928" s="136"/>
      <c r="C928" s="136"/>
      <c r="D928" s="136"/>
      <c r="E928" s="145"/>
      <c r="F928" s="136"/>
      <c r="G928" s="136"/>
      <c r="H928" s="136"/>
      <c r="I928" s="145"/>
      <c r="J928" s="136"/>
      <c r="K928" s="136"/>
      <c r="L928" s="136"/>
      <c r="M928" s="145"/>
      <c r="N928" s="136"/>
      <c r="O928" s="136"/>
      <c r="P928" s="136"/>
      <c r="Q928" s="146"/>
      <c r="R928" s="136"/>
      <c r="S928" s="136"/>
      <c r="T928" s="136"/>
      <c r="U928" s="146"/>
      <c r="V928" s="136"/>
      <c r="W928" s="136"/>
      <c r="X928" s="136"/>
    </row>
    <row r="929" spans="1:24" ht="15.75" customHeight="1" x14ac:dyDescent="0.3">
      <c r="A929" s="144"/>
      <c r="B929" s="136"/>
      <c r="C929" s="136"/>
      <c r="D929" s="136"/>
      <c r="E929" s="145"/>
      <c r="F929" s="136"/>
      <c r="G929" s="136"/>
      <c r="H929" s="136"/>
      <c r="I929" s="145"/>
      <c r="J929" s="136"/>
      <c r="K929" s="136"/>
      <c r="L929" s="136"/>
      <c r="M929" s="145"/>
      <c r="N929" s="136"/>
      <c r="O929" s="136"/>
      <c r="P929" s="136"/>
      <c r="Q929" s="146"/>
      <c r="R929" s="136"/>
      <c r="S929" s="136"/>
      <c r="T929" s="136"/>
      <c r="U929" s="146"/>
      <c r="V929" s="136"/>
      <c r="W929" s="136"/>
      <c r="X929" s="136"/>
    </row>
    <row r="930" spans="1:24" ht="15.75" customHeight="1" x14ac:dyDescent="0.3">
      <c r="A930" s="144"/>
      <c r="B930" s="136"/>
      <c r="C930" s="136"/>
      <c r="D930" s="136"/>
      <c r="E930" s="145"/>
      <c r="F930" s="136"/>
      <c r="G930" s="136"/>
      <c r="H930" s="136"/>
      <c r="I930" s="145"/>
      <c r="J930" s="136"/>
      <c r="K930" s="136"/>
      <c r="L930" s="136"/>
      <c r="M930" s="145"/>
      <c r="N930" s="136"/>
      <c r="O930" s="136"/>
      <c r="P930" s="136"/>
      <c r="Q930" s="146"/>
      <c r="R930" s="136"/>
      <c r="S930" s="136"/>
      <c r="T930" s="136"/>
      <c r="U930" s="146"/>
      <c r="V930" s="136"/>
      <c r="W930" s="136"/>
      <c r="X930" s="136"/>
    </row>
    <row r="931" spans="1:24" ht="15.75" customHeight="1" x14ac:dyDescent="0.3">
      <c r="A931" s="144"/>
      <c r="B931" s="136"/>
      <c r="C931" s="136"/>
      <c r="D931" s="136"/>
      <c r="E931" s="145"/>
      <c r="F931" s="136"/>
      <c r="G931" s="136"/>
      <c r="H931" s="136"/>
      <c r="I931" s="145"/>
      <c r="J931" s="136"/>
      <c r="K931" s="136"/>
      <c r="L931" s="136"/>
      <c r="M931" s="145"/>
      <c r="N931" s="136"/>
      <c r="O931" s="136"/>
      <c r="P931" s="136"/>
      <c r="Q931" s="146"/>
      <c r="R931" s="136"/>
      <c r="S931" s="136"/>
      <c r="T931" s="136"/>
      <c r="U931" s="146"/>
      <c r="V931" s="136"/>
      <c r="W931" s="136"/>
      <c r="X931" s="136"/>
    </row>
    <row r="932" spans="1:24" ht="15.75" customHeight="1" x14ac:dyDescent="0.3">
      <c r="A932" s="144"/>
      <c r="B932" s="136"/>
      <c r="C932" s="136"/>
      <c r="D932" s="136"/>
      <c r="E932" s="145"/>
      <c r="F932" s="136"/>
      <c r="G932" s="136"/>
      <c r="H932" s="136"/>
      <c r="I932" s="145"/>
      <c r="J932" s="136"/>
      <c r="K932" s="136"/>
      <c r="L932" s="136"/>
      <c r="M932" s="145"/>
      <c r="N932" s="136"/>
      <c r="O932" s="136"/>
      <c r="P932" s="136"/>
      <c r="Q932" s="146"/>
      <c r="R932" s="136"/>
      <c r="S932" s="136"/>
      <c r="T932" s="136"/>
      <c r="U932" s="146"/>
      <c r="V932" s="136"/>
      <c r="W932" s="136"/>
      <c r="X932" s="136"/>
    </row>
    <row r="933" spans="1:24" ht="15.75" customHeight="1" x14ac:dyDescent="0.3">
      <c r="A933" s="144"/>
      <c r="B933" s="136"/>
      <c r="C933" s="136"/>
      <c r="D933" s="136"/>
      <c r="E933" s="145"/>
      <c r="F933" s="136"/>
      <c r="G933" s="136"/>
      <c r="H933" s="136"/>
      <c r="I933" s="145"/>
      <c r="J933" s="136"/>
      <c r="K933" s="136"/>
      <c r="L933" s="136"/>
      <c r="M933" s="145"/>
      <c r="N933" s="136"/>
      <c r="O933" s="136"/>
      <c r="P933" s="136"/>
      <c r="Q933" s="146"/>
      <c r="R933" s="136"/>
      <c r="S933" s="136"/>
      <c r="T933" s="136"/>
      <c r="U933" s="146"/>
      <c r="V933" s="136"/>
      <c r="W933" s="136"/>
      <c r="X933" s="136"/>
    </row>
    <row r="934" spans="1:24" ht="15.75" customHeight="1" x14ac:dyDescent="0.3">
      <c r="A934" s="144"/>
      <c r="B934" s="136"/>
      <c r="C934" s="136"/>
      <c r="D934" s="136"/>
      <c r="E934" s="145"/>
      <c r="F934" s="136"/>
      <c r="G934" s="136"/>
      <c r="H934" s="136"/>
      <c r="I934" s="145"/>
      <c r="J934" s="136"/>
      <c r="K934" s="136"/>
      <c r="L934" s="136"/>
      <c r="M934" s="145"/>
      <c r="N934" s="136"/>
      <c r="O934" s="136"/>
      <c r="P934" s="136"/>
      <c r="Q934" s="146"/>
      <c r="R934" s="136"/>
      <c r="S934" s="136"/>
      <c r="T934" s="136"/>
      <c r="U934" s="146"/>
      <c r="V934" s="136"/>
      <c r="W934" s="136"/>
      <c r="X934" s="136"/>
    </row>
    <row r="935" spans="1:24" ht="15.75" customHeight="1" x14ac:dyDescent="0.3">
      <c r="A935" s="144"/>
      <c r="B935" s="136"/>
      <c r="C935" s="136"/>
      <c r="D935" s="136"/>
      <c r="E935" s="145"/>
      <c r="F935" s="136"/>
      <c r="G935" s="136"/>
      <c r="H935" s="136"/>
      <c r="I935" s="145"/>
      <c r="J935" s="136"/>
      <c r="K935" s="136"/>
      <c r="L935" s="136"/>
      <c r="M935" s="145"/>
      <c r="N935" s="136"/>
      <c r="O935" s="136"/>
      <c r="P935" s="136"/>
      <c r="Q935" s="146"/>
      <c r="R935" s="136"/>
      <c r="S935" s="136"/>
      <c r="T935" s="136"/>
      <c r="U935" s="146"/>
      <c r="V935" s="136"/>
      <c r="W935" s="136"/>
      <c r="X935" s="136"/>
    </row>
    <row r="936" spans="1:24" ht="15.75" customHeight="1" x14ac:dyDescent="0.3">
      <c r="A936" s="144"/>
      <c r="B936" s="136"/>
      <c r="C936" s="136"/>
      <c r="D936" s="136"/>
      <c r="E936" s="145"/>
      <c r="F936" s="136"/>
      <c r="G936" s="136"/>
      <c r="H936" s="136"/>
      <c r="I936" s="145"/>
      <c r="J936" s="136"/>
      <c r="K936" s="136"/>
      <c r="L936" s="136"/>
      <c r="M936" s="145"/>
      <c r="N936" s="136"/>
      <c r="O936" s="136"/>
      <c r="P936" s="136"/>
      <c r="Q936" s="146"/>
      <c r="R936" s="136"/>
      <c r="S936" s="136"/>
      <c r="T936" s="136"/>
      <c r="U936" s="146"/>
      <c r="V936" s="136"/>
      <c r="W936" s="136"/>
      <c r="X936" s="136"/>
    </row>
    <row r="937" spans="1:24" ht="15.75" customHeight="1" x14ac:dyDescent="0.3">
      <c r="A937" s="144"/>
      <c r="B937" s="136"/>
      <c r="C937" s="136"/>
      <c r="D937" s="136"/>
      <c r="E937" s="145"/>
      <c r="F937" s="136"/>
      <c r="G937" s="136"/>
      <c r="H937" s="136"/>
      <c r="I937" s="145"/>
      <c r="J937" s="136"/>
      <c r="K937" s="136"/>
      <c r="L937" s="136"/>
      <c r="M937" s="145"/>
      <c r="N937" s="136"/>
      <c r="O937" s="136"/>
      <c r="P937" s="136"/>
      <c r="Q937" s="146"/>
      <c r="R937" s="136"/>
      <c r="S937" s="136"/>
      <c r="T937" s="136"/>
      <c r="U937" s="146"/>
      <c r="V937" s="136"/>
      <c r="W937" s="136"/>
      <c r="X937" s="136"/>
    </row>
    <row r="938" spans="1:24" ht="15.75" customHeight="1" x14ac:dyDescent="0.3">
      <c r="A938" s="144"/>
      <c r="B938" s="136"/>
      <c r="C938" s="136"/>
      <c r="D938" s="136"/>
      <c r="E938" s="145"/>
      <c r="F938" s="136"/>
      <c r="G938" s="136"/>
      <c r="H938" s="136"/>
      <c r="I938" s="145"/>
      <c r="J938" s="136"/>
      <c r="K938" s="136"/>
      <c r="L938" s="136"/>
      <c r="M938" s="145"/>
      <c r="N938" s="136"/>
      <c r="O938" s="136"/>
      <c r="P938" s="136"/>
      <c r="Q938" s="146"/>
      <c r="R938" s="136"/>
      <c r="S938" s="136"/>
      <c r="T938" s="136"/>
      <c r="U938" s="146"/>
      <c r="V938" s="136"/>
      <c r="W938" s="136"/>
      <c r="X938" s="136"/>
    </row>
    <row r="939" spans="1:24" ht="15.75" customHeight="1" x14ac:dyDescent="0.3">
      <c r="A939" s="144"/>
      <c r="B939" s="136"/>
      <c r="C939" s="136"/>
      <c r="D939" s="136"/>
      <c r="E939" s="145"/>
      <c r="F939" s="136"/>
      <c r="G939" s="136"/>
      <c r="H939" s="136"/>
      <c r="I939" s="145"/>
      <c r="J939" s="136"/>
      <c r="K939" s="136"/>
      <c r="L939" s="136"/>
      <c r="M939" s="145"/>
      <c r="N939" s="136"/>
      <c r="O939" s="136"/>
      <c r="P939" s="136"/>
      <c r="Q939" s="146"/>
      <c r="R939" s="136"/>
      <c r="S939" s="136"/>
      <c r="T939" s="136"/>
      <c r="U939" s="146"/>
      <c r="V939" s="136"/>
      <c r="W939" s="136"/>
      <c r="X939" s="136"/>
    </row>
    <row r="940" spans="1:24" ht="15.75" customHeight="1" x14ac:dyDescent="0.3">
      <c r="A940" s="144"/>
      <c r="B940" s="136"/>
      <c r="C940" s="136"/>
      <c r="D940" s="136"/>
      <c r="E940" s="145"/>
      <c r="F940" s="136"/>
      <c r="G940" s="136"/>
      <c r="H940" s="136"/>
      <c r="I940" s="145"/>
      <c r="J940" s="136"/>
      <c r="K940" s="136"/>
      <c r="L940" s="136"/>
      <c r="M940" s="145"/>
      <c r="N940" s="136"/>
      <c r="O940" s="136"/>
      <c r="P940" s="136"/>
      <c r="Q940" s="146"/>
      <c r="R940" s="136"/>
      <c r="S940" s="136"/>
      <c r="T940" s="136"/>
      <c r="U940" s="146"/>
      <c r="V940" s="136"/>
      <c r="W940" s="136"/>
      <c r="X940" s="136"/>
    </row>
    <row r="941" spans="1:24" ht="15.75" customHeight="1" x14ac:dyDescent="0.3">
      <c r="A941" s="144"/>
      <c r="B941" s="136"/>
      <c r="C941" s="136"/>
      <c r="D941" s="136"/>
      <c r="E941" s="145"/>
      <c r="F941" s="136"/>
      <c r="G941" s="136"/>
      <c r="H941" s="136"/>
      <c r="I941" s="145"/>
      <c r="J941" s="136"/>
      <c r="K941" s="136"/>
      <c r="L941" s="136"/>
      <c r="M941" s="145"/>
      <c r="N941" s="136"/>
      <c r="O941" s="136"/>
      <c r="P941" s="136"/>
      <c r="Q941" s="146"/>
      <c r="R941" s="136"/>
      <c r="S941" s="136"/>
      <c r="T941" s="136"/>
      <c r="U941" s="146"/>
      <c r="V941" s="136"/>
      <c r="W941" s="136"/>
      <c r="X941" s="136"/>
    </row>
    <row r="942" spans="1:24" ht="15.75" customHeight="1" x14ac:dyDescent="0.3">
      <c r="A942" s="144"/>
      <c r="B942" s="136"/>
      <c r="C942" s="136"/>
      <c r="D942" s="136"/>
      <c r="E942" s="145"/>
      <c r="F942" s="136"/>
      <c r="G942" s="136"/>
      <c r="H942" s="136"/>
      <c r="I942" s="145"/>
      <c r="J942" s="136"/>
      <c r="K942" s="136"/>
      <c r="L942" s="136"/>
      <c r="M942" s="145"/>
      <c r="N942" s="136"/>
      <c r="O942" s="136"/>
      <c r="P942" s="136"/>
      <c r="Q942" s="146"/>
      <c r="R942" s="136"/>
      <c r="S942" s="136"/>
      <c r="T942" s="136"/>
      <c r="U942" s="146"/>
      <c r="V942" s="136"/>
      <c r="W942" s="136"/>
      <c r="X942" s="136"/>
    </row>
    <row r="943" spans="1:24" ht="15.75" customHeight="1" x14ac:dyDescent="0.3">
      <c r="A943" s="144"/>
      <c r="B943" s="136"/>
      <c r="C943" s="136"/>
      <c r="D943" s="136"/>
      <c r="E943" s="145"/>
      <c r="F943" s="136"/>
      <c r="G943" s="136"/>
      <c r="H943" s="136"/>
      <c r="I943" s="145"/>
      <c r="J943" s="136"/>
      <c r="K943" s="136"/>
      <c r="L943" s="136"/>
      <c r="M943" s="145"/>
      <c r="N943" s="136"/>
      <c r="O943" s="136"/>
      <c r="P943" s="136"/>
      <c r="Q943" s="146"/>
      <c r="R943" s="136"/>
      <c r="S943" s="136"/>
      <c r="T943" s="136"/>
      <c r="U943" s="146"/>
      <c r="V943" s="136"/>
      <c r="W943" s="136"/>
      <c r="X943" s="136"/>
    </row>
    <row r="944" spans="1:24" ht="15.75" customHeight="1" x14ac:dyDescent="0.3">
      <c r="A944" s="144"/>
      <c r="B944" s="136"/>
      <c r="C944" s="136"/>
      <c r="D944" s="136"/>
      <c r="E944" s="145"/>
      <c r="F944" s="136"/>
      <c r="G944" s="136"/>
      <c r="H944" s="136"/>
      <c r="I944" s="145"/>
      <c r="J944" s="136"/>
      <c r="K944" s="136"/>
      <c r="L944" s="136"/>
      <c r="M944" s="145"/>
      <c r="N944" s="136"/>
      <c r="O944" s="136"/>
      <c r="P944" s="136"/>
      <c r="Q944" s="146"/>
      <c r="R944" s="136"/>
      <c r="S944" s="136"/>
      <c r="T944" s="136"/>
      <c r="U944" s="146"/>
      <c r="V944" s="136"/>
      <c r="W944" s="136"/>
      <c r="X944" s="136"/>
    </row>
    <row r="945" spans="1:24" ht="15.75" customHeight="1" x14ac:dyDescent="0.3">
      <c r="A945" s="144"/>
      <c r="B945" s="136"/>
      <c r="C945" s="136"/>
      <c r="D945" s="136"/>
      <c r="E945" s="145"/>
      <c r="F945" s="136"/>
      <c r="G945" s="136"/>
      <c r="H945" s="136"/>
      <c r="I945" s="145"/>
      <c r="J945" s="136"/>
      <c r="K945" s="136"/>
      <c r="L945" s="136"/>
      <c r="M945" s="145"/>
      <c r="N945" s="136"/>
      <c r="O945" s="136"/>
      <c r="P945" s="136"/>
      <c r="Q945" s="146"/>
      <c r="R945" s="136"/>
      <c r="S945" s="136"/>
      <c r="T945" s="136"/>
      <c r="U945" s="146"/>
      <c r="V945" s="136"/>
      <c r="W945" s="136"/>
      <c r="X945" s="136"/>
    </row>
    <row r="946" spans="1:24" ht="15.75" customHeight="1" x14ac:dyDescent="0.3">
      <c r="A946" s="144"/>
      <c r="B946" s="136"/>
      <c r="C946" s="136"/>
      <c r="D946" s="136"/>
      <c r="E946" s="145"/>
      <c r="F946" s="136"/>
      <c r="G946" s="136"/>
      <c r="H946" s="136"/>
      <c r="I946" s="145"/>
      <c r="J946" s="136"/>
      <c r="K946" s="136"/>
      <c r="L946" s="136"/>
      <c r="M946" s="145"/>
      <c r="N946" s="136"/>
      <c r="O946" s="136"/>
      <c r="P946" s="136"/>
      <c r="Q946" s="146"/>
      <c r="R946" s="136"/>
      <c r="S946" s="136"/>
      <c r="T946" s="136"/>
      <c r="U946" s="146"/>
      <c r="V946" s="136"/>
      <c r="W946" s="136"/>
      <c r="X946" s="136"/>
    </row>
    <row r="947" spans="1:24" ht="15.75" customHeight="1" x14ac:dyDescent="0.3">
      <c r="A947" s="144"/>
      <c r="B947" s="136"/>
      <c r="C947" s="136"/>
      <c r="D947" s="136"/>
      <c r="E947" s="145"/>
      <c r="F947" s="136"/>
      <c r="G947" s="136"/>
      <c r="H947" s="136"/>
      <c r="I947" s="145"/>
      <c r="J947" s="136"/>
      <c r="K947" s="136"/>
      <c r="L947" s="136"/>
      <c r="M947" s="145"/>
      <c r="N947" s="136"/>
      <c r="O947" s="136"/>
      <c r="P947" s="136"/>
      <c r="Q947" s="146"/>
      <c r="R947" s="136"/>
      <c r="S947" s="136"/>
      <c r="T947" s="136"/>
      <c r="U947" s="146"/>
      <c r="V947" s="136"/>
      <c r="W947" s="136"/>
      <c r="X947" s="136"/>
    </row>
    <row r="948" spans="1:24" ht="15.75" customHeight="1" x14ac:dyDescent="0.3">
      <c r="A948" s="144"/>
      <c r="B948" s="136"/>
      <c r="C948" s="136"/>
      <c r="D948" s="136"/>
      <c r="E948" s="145"/>
      <c r="F948" s="136"/>
      <c r="G948" s="136"/>
      <c r="H948" s="136"/>
      <c r="I948" s="145"/>
      <c r="J948" s="136"/>
      <c r="K948" s="136"/>
      <c r="L948" s="136"/>
      <c r="M948" s="145"/>
      <c r="N948" s="136"/>
      <c r="O948" s="136"/>
      <c r="P948" s="136"/>
      <c r="Q948" s="146"/>
      <c r="R948" s="136"/>
      <c r="S948" s="136"/>
      <c r="T948" s="136"/>
      <c r="U948" s="146"/>
      <c r="V948" s="136"/>
      <c r="W948" s="136"/>
      <c r="X948" s="136"/>
    </row>
    <row r="949" spans="1:24" ht="15.75" customHeight="1" x14ac:dyDescent="0.3">
      <c r="A949" s="144"/>
      <c r="B949" s="136"/>
      <c r="C949" s="136"/>
      <c r="D949" s="136"/>
      <c r="E949" s="145"/>
      <c r="F949" s="136"/>
      <c r="G949" s="136"/>
      <c r="H949" s="136"/>
      <c r="I949" s="145"/>
      <c r="J949" s="136"/>
      <c r="K949" s="136"/>
      <c r="L949" s="136"/>
      <c r="M949" s="145"/>
      <c r="N949" s="136"/>
      <c r="O949" s="136"/>
      <c r="P949" s="136"/>
      <c r="Q949" s="146"/>
      <c r="R949" s="136"/>
      <c r="S949" s="136"/>
      <c r="T949" s="136"/>
      <c r="U949" s="146"/>
      <c r="V949" s="136"/>
      <c r="W949" s="136"/>
      <c r="X949" s="136"/>
    </row>
    <row r="950" spans="1:24" ht="15.75" customHeight="1" x14ac:dyDescent="0.3">
      <c r="A950" s="144"/>
      <c r="B950" s="136"/>
      <c r="C950" s="136"/>
      <c r="D950" s="136"/>
      <c r="E950" s="145"/>
      <c r="F950" s="136"/>
      <c r="G950" s="136"/>
      <c r="H950" s="136"/>
      <c r="I950" s="145"/>
      <c r="J950" s="136"/>
      <c r="K950" s="136"/>
      <c r="L950" s="136"/>
      <c r="M950" s="145"/>
      <c r="N950" s="136"/>
      <c r="O950" s="136"/>
      <c r="P950" s="136"/>
      <c r="Q950" s="146"/>
      <c r="R950" s="136"/>
      <c r="S950" s="136"/>
      <c r="T950" s="136"/>
      <c r="U950" s="146"/>
      <c r="V950" s="136"/>
      <c r="W950" s="136"/>
      <c r="X950" s="136"/>
    </row>
    <row r="951" spans="1:24" ht="15.75" customHeight="1" x14ac:dyDescent="0.3">
      <c r="A951" s="144"/>
      <c r="B951" s="136"/>
      <c r="C951" s="136"/>
      <c r="D951" s="136"/>
      <c r="E951" s="145"/>
      <c r="F951" s="136"/>
      <c r="G951" s="136"/>
      <c r="H951" s="136"/>
      <c r="I951" s="145"/>
      <c r="J951" s="136"/>
      <c r="K951" s="136"/>
      <c r="L951" s="136"/>
      <c r="M951" s="145"/>
      <c r="N951" s="136"/>
      <c r="O951" s="136"/>
      <c r="P951" s="136"/>
      <c r="Q951" s="146"/>
      <c r="R951" s="136"/>
      <c r="S951" s="136"/>
      <c r="T951" s="136"/>
      <c r="U951" s="146"/>
      <c r="V951" s="136"/>
      <c r="W951" s="136"/>
      <c r="X951" s="136"/>
    </row>
    <row r="952" spans="1:24" ht="15.75" customHeight="1" x14ac:dyDescent="0.3">
      <c r="A952" s="144"/>
      <c r="B952" s="136"/>
      <c r="C952" s="136"/>
      <c r="D952" s="136"/>
      <c r="E952" s="145"/>
      <c r="F952" s="136"/>
      <c r="G952" s="136"/>
      <c r="H952" s="136"/>
      <c r="I952" s="145"/>
      <c r="J952" s="136"/>
      <c r="K952" s="136"/>
      <c r="L952" s="136"/>
      <c r="M952" s="145"/>
      <c r="N952" s="136"/>
      <c r="O952" s="136"/>
      <c r="P952" s="136"/>
      <c r="Q952" s="146"/>
      <c r="R952" s="136"/>
      <c r="S952" s="136"/>
      <c r="T952" s="136"/>
      <c r="U952" s="146"/>
      <c r="V952" s="136"/>
      <c r="W952" s="136"/>
      <c r="X952" s="136"/>
    </row>
    <row r="953" spans="1:24" ht="15.75" customHeight="1" x14ac:dyDescent="0.3">
      <c r="A953" s="144"/>
      <c r="B953" s="136"/>
      <c r="C953" s="136"/>
      <c r="D953" s="136"/>
      <c r="E953" s="145"/>
      <c r="F953" s="136"/>
      <c r="G953" s="136"/>
      <c r="H953" s="136"/>
      <c r="I953" s="145"/>
      <c r="J953" s="136"/>
      <c r="K953" s="136"/>
      <c r="L953" s="136"/>
      <c r="M953" s="145"/>
      <c r="N953" s="136"/>
      <c r="O953" s="136"/>
      <c r="P953" s="136"/>
      <c r="Q953" s="146"/>
      <c r="R953" s="136"/>
      <c r="S953" s="136"/>
      <c r="T953" s="136"/>
      <c r="U953" s="146"/>
      <c r="V953" s="136"/>
      <c r="W953" s="136"/>
      <c r="X953" s="136"/>
    </row>
    <row r="954" spans="1:24" ht="15.75" customHeight="1" x14ac:dyDescent="0.3">
      <c r="A954" s="144"/>
      <c r="B954" s="136"/>
      <c r="C954" s="136"/>
      <c r="D954" s="136"/>
      <c r="E954" s="145"/>
      <c r="F954" s="136"/>
      <c r="G954" s="136"/>
      <c r="H954" s="136"/>
      <c r="I954" s="145"/>
      <c r="J954" s="136"/>
      <c r="K954" s="136"/>
      <c r="L954" s="136"/>
      <c r="M954" s="145"/>
      <c r="N954" s="136"/>
      <c r="O954" s="136"/>
      <c r="P954" s="136"/>
      <c r="Q954" s="146"/>
      <c r="R954" s="136"/>
      <c r="S954" s="136"/>
      <c r="T954" s="136"/>
      <c r="U954" s="146"/>
      <c r="V954" s="136"/>
      <c r="W954" s="136"/>
      <c r="X954" s="136"/>
    </row>
    <row r="955" spans="1:24" ht="15.75" customHeight="1" x14ac:dyDescent="0.3">
      <c r="A955" s="144"/>
      <c r="B955" s="136"/>
      <c r="C955" s="136"/>
      <c r="D955" s="136"/>
      <c r="E955" s="145"/>
      <c r="F955" s="136"/>
      <c r="G955" s="136"/>
      <c r="H955" s="136"/>
      <c r="I955" s="145"/>
      <c r="J955" s="136"/>
      <c r="K955" s="136"/>
      <c r="L955" s="136"/>
      <c r="M955" s="145"/>
      <c r="N955" s="136"/>
      <c r="O955" s="136"/>
      <c r="P955" s="136"/>
      <c r="Q955" s="146"/>
      <c r="R955" s="136"/>
      <c r="S955" s="136"/>
      <c r="T955" s="136"/>
      <c r="U955" s="146"/>
      <c r="V955" s="136"/>
      <c r="W955" s="136"/>
      <c r="X955" s="136"/>
    </row>
    <row r="956" spans="1:24" ht="15.75" customHeight="1" x14ac:dyDescent="0.3">
      <c r="A956" s="144"/>
      <c r="B956" s="136"/>
      <c r="C956" s="136"/>
      <c r="D956" s="136"/>
      <c r="E956" s="145"/>
      <c r="F956" s="136"/>
      <c r="G956" s="136"/>
      <c r="H956" s="136"/>
      <c r="I956" s="145"/>
      <c r="J956" s="136"/>
      <c r="K956" s="136"/>
      <c r="L956" s="136"/>
      <c r="M956" s="145"/>
      <c r="N956" s="136"/>
      <c r="O956" s="136"/>
      <c r="P956" s="136"/>
      <c r="Q956" s="146"/>
      <c r="R956" s="136"/>
      <c r="S956" s="136"/>
      <c r="T956" s="136"/>
      <c r="U956" s="146"/>
      <c r="V956" s="136"/>
      <c r="W956" s="136"/>
      <c r="X956" s="136"/>
    </row>
    <row r="957" spans="1:24" ht="15.75" customHeight="1" x14ac:dyDescent="0.3">
      <c r="A957" s="144"/>
      <c r="B957" s="136"/>
      <c r="C957" s="136"/>
      <c r="D957" s="136"/>
      <c r="E957" s="145"/>
      <c r="F957" s="136"/>
      <c r="G957" s="136"/>
      <c r="H957" s="136"/>
      <c r="I957" s="145"/>
      <c r="J957" s="136"/>
      <c r="K957" s="136"/>
      <c r="L957" s="136"/>
      <c r="M957" s="145"/>
      <c r="N957" s="136"/>
      <c r="O957" s="136"/>
      <c r="P957" s="136"/>
      <c r="Q957" s="146"/>
      <c r="R957" s="136"/>
      <c r="S957" s="136"/>
      <c r="T957" s="136"/>
      <c r="U957" s="146"/>
      <c r="V957" s="136"/>
      <c r="W957" s="136"/>
      <c r="X957" s="136"/>
    </row>
    <row r="958" spans="1:24" ht="15.75" customHeight="1" x14ac:dyDescent="0.3">
      <c r="A958" s="144"/>
      <c r="B958" s="136"/>
      <c r="C958" s="136"/>
      <c r="D958" s="136"/>
      <c r="E958" s="145"/>
      <c r="F958" s="136"/>
      <c r="G958" s="136"/>
      <c r="H958" s="136"/>
      <c r="I958" s="145"/>
      <c r="J958" s="136"/>
      <c r="K958" s="136"/>
      <c r="L958" s="136"/>
      <c r="M958" s="145"/>
      <c r="N958" s="136"/>
      <c r="O958" s="136"/>
      <c r="P958" s="136"/>
      <c r="Q958" s="146"/>
      <c r="R958" s="136"/>
      <c r="S958" s="136"/>
      <c r="T958" s="136"/>
      <c r="U958" s="146"/>
      <c r="V958" s="136"/>
      <c r="W958" s="136"/>
      <c r="X958" s="136"/>
    </row>
    <row r="959" spans="1:24" ht="15.75" customHeight="1" x14ac:dyDescent="0.3">
      <c r="A959" s="144"/>
      <c r="B959" s="136"/>
      <c r="C959" s="136"/>
      <c r="D959" s="136"/>
      <c r="E959" s="145"/>
      <c r="F959" s="136"/>
      <c r="G959" s="136"/>
      <c r="H959" s="136"/>
      <c r="I959" s="145"/>
      <c r="J959" s="136"/>
      <c r="K959" s="136"/>
      <c r="L959" s="136"/>
      <c r="M959" s="145"/>
      <c r="N959" s="136"/>
      <c r="O959" s="136"/>
      <c r="P959" s="136"/>
      <c r="Q959" s="146"/>
      <c r="R959" s="136"/>
      <c r="S959" s="136"/>
      <c r="T959" s="136"/>
      <c r="U959" s="146"/>
      <c r="V959" s="136"/>
      <c r="W959" s="136"/>
      <c r="X959" s="136"/>
    </row>
    <row r="960" spans="1:24" ht="15.75" customHeight="1" x14ac:dyDescent="0.3">
      <c r="A960" s="144"/>
      <c r="B960" s="136"/>
      <c r="C960" s="136"/>
      <c r="D960" s="136"/>
      <c r="E960" s="145"/>
      <c r="F960" s="136"/>
      <c r="G960" s="136"/>
      <c r="H960" s="136"/>
      <c r="I960" s="145"/>
      <c r="J960" s="136"/>
      <c r="K960" s="136"/>
      <c r="L960" s="136"/>
      <c r="M960" s="145"/>
      <c r="N960" s="136"/>
      <c r="O960" s="136"/>
      <c r="P960" s="136"/>
      <c r="Q960" s="146"/>
      <c r="R960" s="136"/>
      <c r="S960" s="136"/>
      <c r="T960" s="136"/>
      <c r="U960" s="146"/>
      <c r="V960" s="136"/>
      <c r="W960" s="136"/>
      <c r="X960" s="136"/>
    </row>
    <row r="961" spans="1:24" ht="15.75" customHeight="1" x14ac:dyDescent="0.3">
      <c r="A961" s="144"/>
      <c r="B961" s="136"/>
      <c r="C961" s="136"/>
      <c r="D961" s="136"/>
      <c r="E961" s="145"/>
      <c r="F961" s="136"/>
      <c r="G961" s="136"/>
      <c r="H961" s="136"/>
      <c r="I961" s="145"/>
      <c r="J961" s="136"/>
      <c r="K961" s="136"/>
      <c r="L961" s="136"/>
      <c r="M961" s="145"/>
      <c r="N961" s="136"/>
      <c r="O961" s="136"/>
      <c r="P961" s="136"/>
      <c r="Q961" s="146"/>
      <c r="R961" s="136"/>
      <c r="S961" s="136"/>
      <c r="T961" s="136"/>
      <c r="U961" s="146"/>
      <c r="V961" s="136"/>
      <c r="W961" s="136"/>
      <c r="X961" s="136"/>
    </row>
    <row r="962" spans="1:24" ht="15.75" customHeight="1" x14ac:dyDescent="0.3">
      <c r="A962" s="144"/>
      <c r="B962" s="136"/>
      <c r="C962" s="136"/>
      <c r="D962" s="136"/>
      <c r="E962" s="145"/>
      <c r="F962" s="136"/>
      <c r="G962" s="136"/>
      <c r="H962" s="136"/>
      <c r="I962" s="145"/>
      <c r="J962" s="136"/>
      <c r="K962" s="136"/>
      <c r="L962" s="136"/>
      <c r="M962" s="145"/>
      <c r="N962" s="136"/>
      <c r="O962" s="136"/>
      <c r="P962" s="136"/>
      <c r="Q962" s="146"/>
      <c r="R962" s="136"/>
      <c r="S962" s="136"/>
      <c r="T962" s="136"/>
      <c r="U962" s="146"/>
      <c r="V962" s="136"/>
      <c r="W962" s="136"/>
      <c r="X962" s="136"/>
    </row>
    <row r="963" spans="1:24" ht="15.75" customHeight="1" x14ac:dyDescent="0.3">
      <c r="A963" s="144"/>
      <c r="B963" s="136"/>
      <c r="C963" s="136"/>
      <c r="D963" s="136"/>
      <c r="E963" s="145"/>
      <c r="F963" s="136"/>
      <c r="G963" s="136"/>
      <c r="H963" s="136"/>
      <c r="I963" s="145"/>
      <c r="J963" s="136"/>
      <c r="K963" s="136"/>
      <c r="L963" s="136"/>
      <c r="M963" s="145"/>
      <c r="N963" s="136"/>
      <c r="O963" s="136"/>
      <c r="P963" s="136"/>
      <c r="Q963" s="146"/>
      <c r="R963" s="136"/>
      <c r="S963" s="136"/>
      <c r="T963" s="136"/>
      <c r="U963" s="146"/>
      <c r="V963" s="136"/>
      <c r="W963" s="136"/>
      <c r="X963" s="136"/>
    </row>
    <row r="964" spans="1:24" ht="15.75" customHeight="1" x14ac:dyDescent="0.3">
      <c r="A964" s="144"/>
      <c r="B964" s="136"/>
      <c r="C964" s="136"/>
      <c r="D964" s="136"/>
      <c r="E964" s="145"/>
      <c r="F964" s="136"/>
      <c r="G964" s="136"/>
      <c r="H964" s="136"/>
      <c r="I964" s="145"/>
      <c r="J964" s="136"/>
      <c r="K964" s="136"/>
      <c r="L964" s="136"/>
      <c r="M964" s="145"/>
      <c r="N964" s="136"/>
      <c r="O964" s="136"/>
      <c r="P964" s="136"/>
      <c r="Q964" s="146"/>
      <c r="R964" s="136"/>
      <c r="S964" s="136"/>
      <c r="T964" s="136"/>
      <c r="U964" s="146"/>
      <c r="V964" s="136"/>
      <c r="W964" s="136"/>
      <c r="X964" s="136"/>
    </row>
    <row r="965" spans="1:24" ht="15.75" customHeight="1" x14ac:dyDescent="0.3">
      <c r="A965" s="144"/>
      <c r="B965" s="136"/>
      <c r="C965" s="136"/>
      <c r="D965" s="136"/>
      <c r="E965" s="145"/>
      <c r="F965" s="136"/>
      <c r="G965" s="136"/>
      <c r="H965" s="136"/>
      <c r="I965" s="145"/>
      <c r="J965" s="136"/>
      <c r="K965" s="136"/>
      <c r="L965" s="136"/>
      <c r="M965" s="145"/>
      <c r="N965" s="136"/>
      <c r="O965" s="136"/>
      <c r="P965" s="136"/>
      <c r="Q965" s="146"/>
      <c r="R965" s="136"/>
      <c r="S965" s="136"/>
      <c r="T965" s="136"/>
      <c r="U965" s="146"/>
      <c r="V965" s="136"/>
      <c r="W965" s="136"/>
      <c r="X965" s="136"/>
    </row>
    <row r="966" spans="1:24" ht="15.75" customHeight="1" x14ac:dyDescent="0.3">
      <c r="A966" s="144"/>
      <c r="B966" s="136"/>
      <c r="C966" s="136"/>
      <c r="D966" s="136"/>
      <c r="E966" s="145"/>
      <c r="F966" s="136"/>
      <c r="G966" s="136"/>
      <c r="H966" s="136"/>
      <c r="I966" s="145"/>
      <c r="J966" s="136"/>
      <c r="K966" s="136"/>
      <c r="L966" s="136"/>
      <c r="M966" s="145"/>
      <c r="N966" s="136"/>
      <c r="O966" s="136"/>
      <c r="P966" s="136"/>
      <c r="Q966" s="146"/>
      <c r="R966" s="136"/>
      <c r="S966" s="136"/>
      <c r="T966" s="136"/>
      <c r="U966" s="146"/>
      <c r="V966" s="136"/>
      <c r="W966" s="136"/>
      <c r="X966" s="136"/>
    </row>
    <row r="967" spans="1:24" ht="15.75" customHeight="1" x14ac:dyDescent="0.3">
      <c r="A967" s="144"/>
      <c r="B967" s="136"/>
      <c r="C967" s="136"/>
      <c r="D967" s="136"/>
      <c r="E967" s="145"/>
      <c r="F967" s="136"/>
      <c r="G967" s="136"/>
      <c r="H967" s="136"/>
      <c r="I967" s="145"/>
      <c r="J967" s="136"/>
      <c r="K967" s="136"/>
      <c r="L967" s="136"/>
      <c r="M967" s="145"/>
      <c r="N967" s="136"/>
      <c r="O967" s="136"/>
      <c r="P967" s="136"/>
      <c r="Q967" s="146"/>
      <c r="R967" s="136"/>
      <c r="S967" s="136"/>
      <c r="T967" s="136"/>
      <c r="U967" s="146"/>
      <c r="V967" s="136"/>
      <c r="W967" s="136"/>
      <c r="X967" s="136"/>
    </row>
    <row r="968" spans="1:24" ht="15.75" customHeight="1" x14ac:dyDescent="0.3">
      <c r="A968" s="144"/>
      <c r="B968" s="136"/>
      <c r="C968" s="136"/>
      <c r="D968" s="136"/>
      <c r="E968" s="145"/>
      <c r="F968" s="136"/>
      <c r="G968" s="136"/>
      <c r="H968" s="136"/>
      <c r="I968" s="145"/>
      <c r="J968" s="136"/>
      <c r="K968" s="136"/>
      <c r="L968" s="136"/>
      <c r="M968" s="145"/>
      <c r="N968" s="136"/>
      <c r="O968" s="136"/>
      <c r="P968" s="136"/>
      <c r="Q968" s="146"/>
      <c r="R968" s="136"/>
      <c r="S968" s="136"/>
      <c r="T968" s="136"/>
      <c r="U968" s="146"/>
      <c r="V968" s="136"/>
      <c r="W968" s="136"/>
      <c r="X968" s="136"/>
    </row>
    <row r="969" spans="1:24" ht="15.75" customHeight="1" x14ac:dyDescent="0.3">
      <c r="A969" s="144"/>
      <c r="B969" s="136"/>
      <c r="C969" s="136"/>
      <c r="D969" s="136"/>
      <c r="E969" s="145"/>
      <c r="F969" s="136"/>
      <c r="G969" s="136"/>
      <c r="H969" s="136"/>
      <c r="I969" s="145"/>
      <c r="J969" s="136"/>
      <c r="K969" s="136"/>
      <c r="L969" s="136"/>
      <c r="M969" s="145"/>
      <c r="N969" s="136"/>
      <c r="O969" s="136"/>
      <c r="P969" s="136"/>
      <c r="Q969" s="146"/>
      <c r="R969" s="136"/>
      <c r="S969" s="136"/>
      <c r="T969" s="136"/>
      <c r="U969" s="146"/>
      <c r="V969" s="136"/>
      <c r="W969" s="136"/>
      <c r="X969" s="136"/>
    </row>
    <row r="970" spans="1:24" ht="15.75" customHeight="1" x14ac:dyDescent="0.3">
      <c r="A970" s="144"/>
      <c r="B970" s="136"/>
      <c r="C970" s="136"/>
      <c r="D970" s="136"/>
      <c r="E970" s="145"/>
      <c r="F970" s="136"/>
      <c r="G970" s="136"/>
      <c r="H970" s="136"/>
      <c r="I970" s="145"/>
      <c r="J970" s="136"/>
      <c r="K970" s="136"/>
      <c r="L970" s="136"/>
      <c r="M970" s="145"/>
      <c r="N970" s="136"/>
      <c r="O970" s="136"/>
      <c r="P970" s="136"/>
      <c r="Q970" s="146"/>
      <c r="R970" s="136"/>
      <c r="S970" s="136"/>
      <c r="T970" s="136"/>
      <c r="U970" s="146"/>
      <c r="V970" s="136"/>
      <c r="W970" s="136"/>
      <c r="X970" s="136"/>
    </row>
    <row r="971" spans="1:24" ht="15.75" customHeight="1" x14ac:dyDescent="0.3">
      <c r="A971" s="144"/>
      <c r="B971" s="136"/>
      <c r="C971" s="136"/>
      <c r="D971" s="136"/>
      <c r="E971" s="145"/>
      <c r="F971" s="136"/>
      <c r="G971" s="136"/>
      <c r="H971" s="136"/>
      <c r="I971" s="145"/>
      <c r="J971" s="136"/>
      <c r="K971" s="136"/>
      <c r="L971" s="136"/>
      <c r="M971" s="145"/>
      <c r="N971" s="136"/>
      <c r="O971" s="136"/>
      <c r="P971" s="136"/>
      <c r="Q971" s="146"/>
      <c r="R971" s="136"/>
      <c r="S971" s="136"/>
      <c r="T971" s="136"/>
      <c r="U971" s="146"/>
      <c r="V971" s="136"/>
      <c r="W971" s="136"/>
      <c r="X971" s="136"/>
    </row>
    <row r="972" spans="1:24" ht="15.75" customHeight="1" x14ac:dyDescent="0.3">
      <c r="A972" s="144"/>
      <c r="B972" s="136"/>
      <c r="C972" s="136"/>
      <c r="D972" s="136"/>
      <c r="E972" s="145"/>
      <c r="F972" s="136"/>
      <c r="G972" s="136"/>
      <c r="H972" s="136"/>
      <c r="I972" s="145"/>
      <c r="J972" s="136"/>
      <c r="K972" s="136"/>
      <c r="L972" s="136"/>
      <c r="M972" s="145"/>
      <c r="N972" s="136"/>
      <c r="O972" s="136"/>
      <c r="P972" s="136"/>
      <c r="Q972" s="146"/>
      <c r="R972" s="136"/>
      <c r="S972" s="136"/>
      <c r="T972" s="136"/>
      <c r="U972" s="146"/>
      <c r="V972" s="136"/>
      <c r="W972" s="136"/>
      <c r="X972" s="136"/>
    </row>
    <row r="973" spans="1:24" ht="15.75" customHeight="1" x14ac:dyDescent="0.3">
      <c r="A973" s="144"/>
      <c r="B973" s="136"/>
      <c r="C973" s="136"/>
      <c r="D973" s="136"/>
      <c r="E973" s="145"/>
      <c r="F973" s="136"/>
      <c r="G973" s="136"/>
      <c r="H973" s="136"/>
      <c r="I973" s="145"/>
      <c r="J973" s="136"/>
      <c r="K973" s="136"/>
      <c r="L973" s="136"/>
      <c r="M973" s="145"/>
      <c r="N973" s="136"/>
      <c r="O973" s="136"/>
      <c r="P973" s="136"/>
      <c r="Q973" s="146"/>
      <c r="R973" s="136"/>
      <c r="S973" s="136"/>
      <c r="T973" s="136"/>
      <c r="U973" s="146"/>
      <c r="V973" s="136"/>
      <c r="W973" s="136"/>
      <c r="X973" s="136"/>
    </row>
    <row r="974" spans="1:24" ht="15.75" customHeight="1" x14ac:dyDescent="0.3">
      <c r="A974" s="144"/>
      <c r="B974" s="136"/>
      <c r="C974" s="136"/>
      <c r="D974" s="136"/>
      <c r="E974" s="145"/>
      <c r="F974" s="136"/>
      <c r="G974" s="136"/>
      <c r="H974" s="136"/>
      <c r="I974" s="145"/>
      <c r="J974" s="136"/>
      <c r="K974" s="136"/>
      <c r="L974" s="136"/>
      <c r="M974" s="145"/>
      <c r="N974" s="136"/>
      <c r="O974" s="136"/>
      <c r="P974" s="136"/>
      <c r="Q974" s="146"/>
      <c r="R974" s="136"/>
      <c r="S974" s="136"/>
      <c r="T974" s="136"/>
      <c r="U974" s="146"/>
      <c r="V974" s="136"/>
      <c r="W974" s="136"/>
      <c r="X974" s="136"/>
    </row>
    <row r="975" spans="1:24" ht="15.75" customHeight="1" x14ac:dyDescent="0.3">
      <c r="A975" s="144"/>
      <c r="B975" s="136"/>
      <c r="C975" s="136"/>
      <c r="D975" s="136"/>
      <c r="E975" s="145"/>
      <c r="F975" s="136"/>
      <c r="G975" s="136"/>
      <c r="H975" s="136"/>
      <c r="I975" s="145"/>
      <c r="J975" s="136"/>
      <c r="K975" s="136"/>
      <c r="L975" s="136"/>
      <c r="M975" s="145"/>
      <c r="N975" s="136"/>
      <c r="O975" s="136"/>
      <c r="P975" s="136"/>
      <c r="Q975" s="146"/>
      <c r="R975" s="136"/>
      <c r="S975" s="136"/>
      <c r="T975" s="136"/>
      <c r="U975" s="146"/>
      <c r="V975" s="136"/>
      <c r="W975" s="136"/>
      <c r="X975" s="136"/>
    </row>
    <row r="976" spans="1:24" ht="15.75" customHeight="1" x14ac:dyDescent="0.3">
      <c r="A976" s="144"/>
      <c r="B976" s="136"/>
      <c r="C976" s="136"/>
      <c r="D976" s="136"/>
      <c r="E976" s="145"/>
      <c r="F976" s="136"/>
      <c r="G976" s="136"/>
      <c r="H976" s="136"/>
      <c r="I976" s="145"/>
      <c r="J976" s="136"/>
      <c r="K976" s="136"/>
      <c r="L976" s="136"/>
      <c r="M976" s="145"/>
      <c r="N976" s="136"/>
      <c r="O976" s="136"/>
      <c r="P976" s="136"/>
      <c r="Q976" s="146"/>
      <c r="R976" s="136"/>
      <c r="S976" s="136"/>
      <c r="T976" s="136"/>
      <c r="U976" s="146"/>
      <c r="V976" s="136"/>
      <c r="W976" s="136"/>
      <c r="X976" s="136"/>
    </row>
    <row r="977" spans="1:24" ht="15.75" customHeight="1" x14ac:dyDescent="0.3">
      <c r="A977" s="144"/>
      <c r="B977" s="136"/>
      <c r="C977" s="136"/>
      <c r="D977" s="136"/>
      <c r="E977" s="145"/>
      <c r="F977" s="136"/>
      <c r="G977" s="136"/>
      <c r="H977" s="136"/>
      <c r="I977" s="145"/>
      <c r="J977" s="136"/>
      <c r="K977" s="136"/>
      <c r="L977" s="136"/>
      <c r="M977" s="145"/>
      <c r="N977" s="136"/>
      <c r="O977" s="136"/>
      <c r="P977" s="136"/>
      <c r="Q977" s="146"/>
      <c r="R977" s="136"/>
      <c r="S977" s="136"/>
      <c r="T977" s="136"/>
      <c r="U977" s="146"/>
      <c r="V977" s="136"/>
      <c r="W977" s="136"/>
      <c r="X977" s="136"/>
    </row>
    <row r="978" spans="1:24" ht="15.75" customHeight="1" x14ac:dyDescent="0.3">
      <c r="A978" s="144"/>
      <c r="B978" s="136"/>
      <c r="C978" s="136"/>
      <c r="D978" s="136"/>
      <c r="E978" s="145"/>
      <c r="F978" s="136"/>
      <c r="G978" s="136"/>
      <c r="H978" s="136"/>
      <c r="I978" s="145"/>
      <c r="J978" s="136"/>
      <c r="K978" s="136"/>
      <c r="L978" s="136"/>
      <c r="M978" s="145"/>
      <c r="N978" s="136"/>
      <c r="O978" s="136"/>
      <c r="P978" s="136"/>
      <c r="Q978" s="146"/>
      <c r="R978" s="136"/>
      <c r="S978" s="136"/>
      <c r="T978" s="136"/>
      <c r="U978" s="146"/>
      <c r="V978" s="136"/>
      <c r="W978" s="136"/>
      <c r="X978" s="136"/>
    </row>
    <row r="979" spans="1:24" ht="15.75" customHeight="1" x14ac:dyDescent="0.3">
      <c r="A979" s="144"/>
      <c r="B979" s="136"/>
      <c r="C979" s="136"/>
      <c r="D979" s="136"/>
      <c r="E979" s="145"/>
      <c r="F979" s="136"/>
      <c r="G979" s="136"/>
      <c r="H979" s="136"/>
      <c r="I979" s="145"/>
      <c r="J979" s="136"/>
      <c r="K979" s="136"/>
      <c r="L979" s="136"/>
      <c r="M979" s="145"/>
      <c r="N979" s="136"/>
      <c r="O979" s="136"/>
      <c r="P979" s="136"/>
      <c r="Q979" s="146"/>
      <c r="R979" s="136"/>
      <c r="S979" s="136"/>
      <c r="T979" s="136"/>
      <c r="U979" s="146"/>
      <c r="V979" s="136"/>
      <c r="W979" s="136"/>
      <c r="X979" s="136"/>
    </row>
    <row r="980" spans="1:24" ht="15.75" customHeight="1" x14ac:dyDescent="0.3">
      <c r="A980" s="144"/>
      <c r="B980" s="136"/>
      <c r="C980" s="136"/>
      <c r="D980" s="136"/>
      <c r="E980" s="145"/>
      <c r="F980" s="136"/>
      <c r="G980" s="136"/>
      <c r="H980" s="136"/>
      <c r="I980" s="145"/>
      <c r="J980" s="136"/>
      <c r="K980" s="136"/>
      <c r="L980" s="136"/>
      <c r="M980" s="145"/>
      <c r="N980" s="136"/>
      <c r="O980" s="136"/>
      <c r="P980" s="136"/>
      <c r="Q980" s="146"/>
      <c r="R980" s="136"/>
      <c r="S980" s="136"/>
      <c r="T980" s="136"/>
      <c r="U980" s="146"/>
      <c r="V980" s="136"/>
      <c r="W980" s="136"/>
      <c r="X980" s="136"/>
    </row>
    <row r="981" spans="1:24" ht="15.75" customHeight="1" x14ac:dyDescent="0.3">
      <c r="A981" s="144"/>
      <c r="B981" s="136"/>
      <c r="C981" s="136"/>
      <c r="D981" s="136"/>
      <c r="E981" s="145"/>
      <c r="F981" s="136"/>
      <c r="G981" s="136"/>
      <c r="H981" s="136"/>
      <c r="I981" s="145"/>
      <c r="J981" s="136"/>
      <c r="K981" s="136"/>
      <c r="L981" s="136"/>
      <c r="M981" s="145"/>
      <c r="N981" s="136"/>
      <c r="O981" s="136"/>
      <c r="P981" s="136"/>
      <c r="Q981" s="146"/>
      <c r="R981" s="136"/>
      <c r="S981" s="136"/>
      <c r="T981" s="136"/>
      <c r="U981" s="146"/>
      <c r="V981" s="136"/>
      <c r="W981" s="136"/>
      <c r="X981" s="136"/>
    </row>
    <row r="982" spans="1:24" ht="15.75" customHeight="1" x14ac:dyDescent="0.3">
      <c r="A982" s="144"/>
      <c r="B982" s="136"/>
      <c r="C982" s="136"/>
      <c r="D982" s="136"/>
      <c r="E982" s="145"/>
      <c r="F982" s="136"/>
      <c r="G982" s="136"/>
      <c r="H982" s="136"/>
      <c r="I982" s="145"/>
      <c r="J982" s="136"/>
      <c r="K982" s="136"/>
      <c r="L982" s="136"/>
      <c r="M982" s="145"/>
      <c r="N982" s="136"/>
      <c r="O982" s="136"/>
      <c r="P982" s="136"/>
      <c r="Q982" s="146"/>
      <c r="R982" s="136"/>
      <c r="S982" s="136"/>
      <c r="T982" s="136"/>
      <c r="U982" s="146"/>
      <c r="V982" s="136"/>
      <c r="W982" s="136"/>
      <c r="X982" s="136"/>
    </row>
    <row r="983" spans="1:24" ht="15.75" customHeight="1" x14ac:dyDescent="0.3">
      <c r="A983" s="144"/>
      <c r="B983" s="136"/>
      <c r="C983" s="136"/>
      <c r="D983" s="136"/>
      <c r="E983" s="145"/>
      <c r="F983" s="136"/>
      <c r="G983" s="136"/>
      <c r="H983" s="136"/>
      <c r="I983" s="145"/>
      <c r="J983" s="136"/>
      <c r="K983" s="136"/>
      <c r="L983" s="136"/>
      <c r="M983" s="145"/>
      <c r="N983" s="136"/>
      <c r="O983" s="136"/>
      <c r="P983" s="136"/>
      <c r="Q983" s="146"/>
      <c r="R983" s="136"/>
      <c r="S983" s="136"/>
      <c r="T983" s="136"/>
      <c r="U983" s="146"/>
      <c r="V983" s="136"/>
      <c r="W983" s="136"/>
      <c r="X983" s="136"/>
    </row>
    <row r="984" spans="1:24" ht="15.75" customHeight="1" x14ac:dyDescent="0.3">
      <c r="A984" s="144"/>
      <c r="B984" s="136"/>
      <c r="C984" s="136"/>
      <c r="D984" s="136"/>
      <c r="E984" s="145"/>
      <c r="F984" s="136"/>
      <c r="G984" s="136"/>
      <c r="H984" s="136"/>
      <c r="I984" s="145"/>
      <c r="J984" s="136"/>
      <c r="K984" s="136"/>
      <c r="L984" s="136"/>
      <c r="M984" s="145"/>
      <c r="N984" s="136"/>
      <c r="O984" s="136"/>
      <c r="P984" s="136"/>
      <c r="Q984" s="146"/>
      <c r="R984" s="136"/>
      <c r="S984" s="136"/>
      <c r="T984" s="136"/>
      <c r="U984" s="146"/>
      <c r="V984" s="136"/>
      <c r="W984" s="136"/>
      <c r="X984" s="136"/>
    </row>
    <row r="985" spans="1:24" ht="15.75" customHeight="1" x14ac:dyDescent="0.3">
      <c r="A985" s="144"/>
      <c r="B985" s="136"/>
      <c r="C985" s="136"/>
      <c r="D985" s="136"/>
      <c r="E985" s="145"/>
      <c r="F985" s="136"/>
      <c r="G985" s="136"/>
      <c r="H985" s="136"/>
      <c r="I985" s="145"/>
      <c r="J985" s="136"/>
      <c r="K985" s="136"/>
      <c r="L985" s="136"/>
      <c r="M985" s="145"/>
      <c r="N985" s="136"/>
      <c r="O985" s="136"/>
      <c r="P985" s="136"/>
      <c r="Q985" s="146"/>
      <c r="R985" s="136"/>
      <c r="S985" s="136"/>
      <c r="T985" s="136"/>
      <c r="U985" s="146"/>
      <c r="V985" s="136"/>
      <c r="W985" s="136"/>
      <c r="X985" s="136"/>
    </row>
    <row r="986" spans="1:24" ht="15.75" customHeight="1" x14ac:dyDescent="0.3">
      <c r="A986" s="144"/>
      <c r="B986" s="136"/>
      <c r="C986" s="136"/>
      <c r="D986" s="136"/>
      <c r="E986" s="145"/>
      <c r="F986" s="136"/>
      <c r="G986" s="136"/>
      <c r="H986" s="136"/>
      <c r="I986" s="145"/>
      <c r="J986" s="136"/>
      <c r="K986" s="136"/>
      <c r="L986" s="136"/>
      <c r="M986" s="145"/>
      <c r="N986" s="136"/>
      <c r="O986" s="136"/>
      <c r="P986" s="136"/>
      <c r="Q986" s="146"/>
      <c r="R986" s="136"/>
      <c r="S986" s="136"/>
      <c r="T986" s="136"/>
      <c r="U986" s="146"/>
      <c r="V986" s="136"/>
      <c r="W986" s="136"/>
      <c r="X986" s="136"/>
    </row>
    <row r="987" spans="1:24" ht="15.75" customHeight="1" x14ac:dyDescent="0.3">
      <c r="A987" s="144"/>
      <c r="B987" s="136"/>
      <c r="C987" s="136"/>
      <c r="D987" s="136"/>
      <c r="E987" s="145"/>
      <c r="F987" s="136"/>
      <c r="G987" s="136"/>
      <c r="H987" s="136"/>
      <c r="I987" s="145"/>
      <c r="J987" s="136"/>
      <c r="K987" s="136"/>
      <c r="L987" s="136"/>
      <c r="M987" s="145"/>
      <c r="N987" s="136"/>
      <c r="O987" s="136"/>
      <c r="P987" s="136"/>
      <c r="Q987" s="146"/>
      <c r="R987" s="136"/>
      <c r="S987" s="136"/>
      <c r="T987" s="136"/>
      <c r="U987" s="146"/>
      <c r="V987" s="136"/>
      <c r="W987" s="136"/>
      <c r="X987" s="136"/>
    </row>
    <row r="988" spans="1:24" ht="15.75" customHeight="1" x14ac:dyDescent="0.3">
      <c r="A988" s="144"/>
      <c r="B988" s="136"/>
      <c r="C988" s="136"/>
      <c r="D988" s="136"/>
      <c r="E988" s="145"/>
      <c r="F988" s="136"/>
      <c r="G988" s="136"/>
      <c r="H988" s="136"/>
      <c r="I988" s="145"/>
      <c r="J988" s="136"/>
      <c r="K988" s="136"/>
      <c r="L988" s="136"/>
      <c r="M988" s="145"/>
      <c r="N988" s="136"/>
      <c r="O988" s="136"/>
      <c r="P988" s="136"/>
      <c r="Q988" s="146"/>
      <c r="R988" s="136"/>
      <c r="S988" s="136"/>
      <c r="T988" s="136"/>
      <c r="U988" s="146"/>
      <c r="V988" s="136"/>
      <c r="W988" s="136"/>
      <c r="X988" s="136"/>
    </row>
    <row r="989" spans="1:24" ht="15.75" customHeight="1" x14ac:dyDescent="0.3">
      <c r="A989" s="144"/>
      <c r="B989" s="136"/>
      <c r="C989" s="136"/>
      <c r="D989" s="136"/>
      <c r="E989" s="145"/>
      <c r="F989" s="136"/>
      <c r="G989" s="136"/>
      <c r="H989" s="136"/>
      <c r="I989" s="145"/>
      <c r="J989" s="136"/>
      <c r="K989" s="136"/>
      <c r="L989" s="136"/>
      <c r="M989" s="145"/>
      <c r="N989" s="136"/>
      <c r="O989" s="136"/>
      <c r="P989" s="136"/>
      <c r="Q989" s="146"/>
      <c r="R989" s="136"/>
      <c r="S989" s="136"/>
      <c r="T989" s="136"/>
      <c r="U989" s="146"/>
      <c r="V989" s="136"/>
      <c r="W989" s="136"/>
      <c r="X989" s="136"/>
    </row>
    <row r="990" spans="1:24" ht="15.75" customHeight="1" x14ac:dyDescent="0.3">
      <c r="A990" s="144"/>
      <c r="B990" s="136"/>
      <c r="C990" s="136"/>
      <c r="D990" s="136"/>
      <c r="E990" s="145"/>
      <c r="F990" s="136"/>
      <c r="G990" s="136"/>
      <c r="H990" s="136"/>
      <c r="I990" s="145"/>
      <c r="J990" s="136"/>
      <c r="K990" s="136"/>
      <c r="L990" s="136"/>
      <c r="M990" s="145"/>
      <c r="N990" s="136"/>
      <c r="O990" s="136"/>
      <c r="P990" s="136"/>
      <c r="Q990" s="146"/>
      <c r="R990" s="136"/>
      <c r="S990" s="136"/>
      <c r="T990" s="136"/>
      <c r="U990" s="146"/>
      <c r="V990" s="136"/>
      <c r="W990" s="136"/>
      <c r="X990" s="136"/>
    </row>
    <row r="991" spans="1:24" ht="15.75" customHeight="1" x14ac:dyDescent="0.3">
      <c r="A991" s="144"/>
      <c r="B991" s="136"/>
      <c r="C991" s="136"/>
      <c r="D991" s="136"/>
      <c r="E991" s="145"/>
      <c r="F991" s="136"/>
      <c r="G991" s="136"/>
      <c r="H991" s="136"/>
      <c r="I991" s="145"/>
      <c r="J991" s="136"/>
      <c r="K991" s="136"/>
      <c r="L991" s="136"/>
      <c r="M991" s="145"/>
      <c r="N991" s="136"/>
      <c r="O991" s="136"/>
      <c r="P991" s="136"/>
      <c r="Q991" s="146"/>
      <c r="R991" s="136"/>
      <c r="S991" s="136"/>
      <c r="T991" s="136"/>
      <c r="U991" s="146"/>
      <c r="V991" s="136"/>
      <c r="W991" s="136"/>
      <c r="X991" s="136"/>
    </row>
    <row r="992" spans="1:24" ht="15.75" customHeight="1" x14ac:dyDescent="0.3">
      <c r="A992" s="144"/>
      <c r="B992" s="136"/>
      <c r="C992" s="136"/>
      <c r="D992" s="136"/>
      <c r="E992" s="145"/>
      <c r="F992" s="136"/>
      <c r="G992" s="136"/>
      <c r="H992" s="136"/>
      <c r="I992" s="145"/>
      <c r="J992" s="136"/>
      <c r="K992" s="136"/>
      <c r="L992" s="136"/>
      <c r="M992" s="145"/>
      <c r="N992" s="136"/>
      <c r="O992" s="136"/>
      <c r="P992" s="136"/>
      <c r="Q992" s="146"/>
      <c r="R992" s="136"/>
      <c r="S992" s="136"/>
      <c r="T992" s="136"/>
      <c r="U992" s="146"/>
      <c r="V992" s="136"/>
      <c r="W992" s="136"/>
      <c r="X992" s="136"/>
    </row>
    <row r="993" spans="1:24" ht="15.75" customHeight="1" x14ac:dyDescent="0.3">
      <c r="A993" s="144"/>
      <c r="B993" s="136"/>
      <c r="C993" s="136"/>
      <c r="D993" s="136"/>
      <c r="E993" s="145"/>
      <c r="F993" s="136"/>
      <c r="G993" s="136"/>
      <c r="H993" s="136"/>
      <c r="I993" s="145"/>
      <c r="J993" s="136"/>
      <c r="K993" s="136"/>
      <c r="L993" s="136"/>
      <c r="M993" s="145"/>
      <c r="N993" s="136"/>
      <c r="O993" s="136"/>
      <c r="P993" s="136"/>
      <c r="Q993" s="146"/>
      <c r="R993" s="136"/>
      <c r="S993" s="136"/>
      <c r="T993" s="136"/>
      <c r="U993" s="146"/>
      <c r="V993" s="136"/>
      <c r="W993" s="136"/>
      <c r="X993" s="136"/>
    </row>
    <row r="994" spans="1:24" ht="15.75" customHeight="1" x14ac:dyDescent="0.3">
      <c r="A994" s="144"/>
      <c r="B994" s="136"/>
      <c r="C994" s="136"/>
      <c r="D994" s="136"/>
      <c r="E994" s="145"/>
      <c r="F994" s="136"/>
      <c r="G994" s="136"/>
      <c r="H994" s="136"/>
      <c r="I994" s="145"/>
      <c r="J994" s="136"/>
      <c r="K994" s="136"/>
      <c r="L994" s="136"/>
      <c r="M994" s="145"/>
      <c r="N994" s="136"/>
      <c r="O994" s="136"/>
      <c r="P994" s="136"/>
      <c r="Q994" s="146"/>
      <c r="R994" s="136"/>
      <c r="S994" s="136"/>
      <c r="T994" s="136"/>
      <c r="U994" s="146"/>
      <c r="V994" s="136"/>
      <c r="W994" s="136"/>
      <c r="X994" s="136"/>
    </row>
    <row r="995" spans="1:24" ht="15.75" customHeight="1" x14ac:dyDescent="0.3">
      <c r="A995" s="144"/>
      <c r="B995" s="136"/>
      <c r="C995" s="136"/>
      <c r="D995" s="136"/>
      <c r="E995" s="145"/>
      <c r="F995" s="136"/>
      <c r="G995" s="136"/>
      <c r="H995" s="136"/>
      <c r="I995" s="145"/>
      <c r="J995" s="136"/>
      <c r="K995" s="136"/>
      <c r="L995" s="136"/>
      <c r="M995" s="145"/>
      <c r="N995" s="136"/>
      <c r="O995" s="136"/>
      <c r="P995" s="136"/>
      <c r="Q995" s="146"/>
      <c r="R995" s="136"/>
      <c r="S995" s="136"/>
      <c r="T995" s="136"/>
      <c r="U995" s="146"/>
      <c r="V995" s="136"/>
      <c r="W995" s="136"/>
      <c r="X995" s="136"/>
    </row>
    <row r="996" spans="1:24" ht="15.75" customHeight="1" x14ac:dyDescent="0.3">
      <c r="A996" s="144"/>
      <c r="B996" s="136"/>
      <c r="C996" s="136"/>
      <c r="D996" s="136"/>
      <c r="E996" s="145"/>
      <c r="F996" s="136"/>
      <c r="G996" s="136"/>
      <c r="H996" s="136"/>
      <c r="I996" s="145"/>
      <c r="J996" s="136"/>
      <c r="K996" s="136"/>
      <c r="L996" s="136"/>
      <c r="M996" s="145"/>
      <c r="N996" s="136"/>
      <c r="O996" s="136"/>
      <c r="P996" s="136"/>
      <c r="Q996" s="146"/>
      <c r="R996" s="136"/>
      <c r="S996" s="136"/>
      <c r="T996" s="136"/>
      <c r="U996" s="146"/>
      <c r="V996" s="136"/>
      <c r="W996" s="136"/>
      <c r="X996" s="136"/>
    </row>
    <row r="997" spans="1:24" ht="15.75" customHeight="1" x14ac:dyDescent="0.3">
      <c r="A997" s="144"/>
      <c r="B997" s="136"/>
      <c r="C997" s="136"/>
      <c r="D997" s="136"/>
      <c r="E997" s="145"/>
      <c r="F997" s="136"/>
      <c r="G997" s="136"/>
      <c r="H997" s="136"/>
      <c r="I997" s="145"/>
      <c r="J997" s="136"/>
      <c r="K997" s="136"/>
      <c r="L997" s="136"/>
      <c r="M997" s="145"/>
      <c r="N997" s="136"/>
      <c r="O997" s="136"/>
      <c r="P997" s="136"/>
      <c r="Q997" s="146"/>
      <c r="R997" s="136"/>
      <c r="S997" s="136"/>
      <c r="T997" s="136"/>
      <c r="U997" s="146"/>
      <c r="V997" s="136"/>
      <c r="W997" s="136"/>
      <c r="X997" s="136"/>
    </row>
    <row r="998" spans="1:24" ht="15.75" customHeight="1" x14ac:dyDescent="0.3">
      <c r="A998" s="144"/>
      <c r="B998" s="136"/>
      <c r="C998" s="136"/>
      <c r="D998" s="136"/>
      <c r="E998" s="145"/>
      <c r="F998" s="136"/>
      <c r="G998" s="136"/>
      <c r="H998" s="136"/>
      <c r="I998" s="145"/>
      <c r="J998" s="136"/>
      <c r="K998" s="136"/>
      <c r="L998" s="136"/>
      <c r="M998" s="145"/>
      <c r="N998" s="136"/>
      <c r="O998" s="136"/>
      <c r="P998" s="136"/>
      <c r="Q998" s="146"/>
      <c r="R998" s="136"/>
      <c r="S998" s="136"/>
      <c r="T998" s="136"/>
      <c r="U998" s="146"/>
      <c r="V998" s="136"/>
      <c r="W998" s="136"/>
      <c r="X998" s="136"/>
    </row>
  </sheetData>
  <sheetProtection algorithmName="SHA-512" hashValue="ik5S9KlyjS7dC8j8rytclWPRZl7ftWcXLE3SAPBXd0KUD04XeMq5+sQ5wvqFrnI8BNgz6VL9NJvnndlYJ0ueTQ==" saltValue="XY9X/2EQ6kW9i6umiqWZlQ==" spinCount="100000" sheet="1" objects="1" scenarios="1"/>
  <pageMargins left="0.7" right="0.7" top="0.75" bottom="0.75" header="0" footer="0"/>
  <pageSetup orientation="portrait" r:id="rId1"/>
  <headerFooter>
    <oddHeader>&amp;R&amp;"Aptos"&amp;12&amp;K000000 UNCLASSIFIED - NON CLASSIFIÉ&amp;1#_x000D_</oddHeader>
  </headerFooter>
  <drawing r:id="rId2"/>
  <legacyDrawing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20"/>
  <dimension ref="B3:I45"/>
  <sheetViews>
    <sheetView workbookViewId="0"/>
  </sheetViews>
  <sheetFormatPr defaultColWidth="8.90625" defaultRowHeight="15" x14ac:dyDescent="0.25"/>
  <cols>
    <col min="2" max="2" width="26.453125" style="619" customWidth="1"/>
    <col min="3" max="5" width="10.54296875" style="619" customWidth="1"/>
    <col min="6" max="7" width="11.36328125" style="619" customWidth="1"/>
    <col min="8" max="8" width="77.453125" style="619" customWidth="1"/>
    <col min="9" max="9" width="8.81640625" style="619" customWidth="1"/>
  </cols>
  <sheetData>
    <row r="3" spans="2:9" x14ac:dyDescent="0.25">
      <c r="B3" s="623"/>
      <c r="C3" s="623"/>
      <c r="D3" s="623"/>
      <c r="E3" s="623"/>
      <c r="F3" s="623"/>
      <c r="G3" s="623"/>
      <c r="H3" s="623"/>
      <c r="I3" s="624"/>
    </row>
    <row r="4" spans="2:9" x14ac:dyDescent="0.25">
      <c r="B4" s="624"/>
      <c r="C4" s="624"/>
      <c r="D4" s="624"/>
      <c r="E4" s="624"/>
      <c r="F4" s="624"/>
      <c r="G4" s="624"/>
      <c r="H4" s="624"/>
      <c r="I4" s="624"/>
    </row>
    <row r="5" spans="2:9" ht="16.2" thickBot="1" x14ac:dyDescent="0.3">
      <c r="B5" s="638"/>
      <c r="C5" s="638"/>
      <c r="D5" s="638"/>
      <c r="E5" s="638"/>
      <c r="F5" s="638"/>
      <c r="G5" s="623"/>
      <c r="H5" s="624"/>
      <c r="I5" s="624"/>
    </row>
    <row r="6" spans="2:9" ht="21" x14ac:dyDescent="0.4">
      <c r="B6" s="1303" t="s">
        <v>1135</v>
      </c>
      <c r="C6" s="1304"/>
      <c r="D6" s="1304"/>
      <c r="E6" s="1304"/>
      <c r="F6" s="1304"/>
      <c r="G6" s="1304"/>
      <c r="H6" s="1304"/>
      <c r="I6" s="1305"/>
    </row>
    <row r="7" spans="2:9" ht="15.6" x14ac:dyDescent="0.3">
      <c r="B7" s="1306" t="s">
        <v>1136</v>
      </c>
      <c r="C7" s="786"/>
      <c r="D7" s="786"/>
      <c r="E7" s="786"/>
      <c r="F7" s="786"/>
      <c r="G7" s="786"/>
      <c r="H7" s="786"/>
      <c r="I7" s="1307"/>
    </row>
    <row r="8" spans="2:9" ht="43.2" x14ac:dyDescent="0.3">
      <c r="B8" s="1308" t="s">
        <v>1137</v>
      </c>
      <c r="C8" s="1309" t="s">
        <v>1138</v>
      </c>
      <c r="D8" s="1310" t="s">
        <v>1139</v>
      </c>
      <c r="E8" s="1310" t="s">
        <v>1140</v>
      </c>
      <c r="F8" s="1310" t="s">
        <v>1141</v>
      </c>
      <c r="G8" s="1310" t="s">
        <v>1142</v>
      </c>
      <c r="H8" s="1309" t="s">
        <v>108</v>
      </c>
      <c r="I8" s="1311"/>
    </row>
    <row r="9" spans="2:9" ht="15.6" x14ac:dyDescent="0.3">
      <c r="B9" s="1312" t="s">
        <v>1143</v>
      </c>
      <c r="C9" s="1313"/>
      <c r="D9" s="37">
        <f>46.23/1.11484</f>
        <v>41.467833949266257</v>
      </c>
      <c r="E9" s="1314"/>
      <c r="F9" s="1314"/>
      <c r="G9" s="1314"/>
      <c r="H9" s="1315" t="s">
        <v>1144</v>
      </c>
      <c r="I9" s="1316"/>
    </row>
    <row r="10" spans="2:9" ht="15.6" x14ac:dyDescent="0.3">
      <c r="B10" s="1312" t="s">
        <v>1145</v>
      </c>
      <c r="C10" s="1313"/>
      <c r="D10" s="37">
        <f>54.21/1.11484</f>
        <v>48.625811775680816</v>
      </c>
      <c r="E10" s="1314"/>
      <c r="F10" s="1314"/>
      <c r="G10" s="1314"/>
      <c r="H10" s="1317" t="s">
        <v>1146</v>
      </c>
      <c r="I10" s="1316"/>
    </row>
    <row r="11" spans="2:9" ht="15.6" x14ac:dyDescent="0.3">
      <c r="B11" s="1312" t="s">
        <v>1147</v>
      </c>
      <c r="C11" s="1313"/>
      <c r="D11" s="38">
        <f>D15-D10-D9</f>
        <v>21.581572243550646</v>
      </c>
      <c r="E11" s="1314"/>
      <c r="F11" s="1314"/>
      <c r="G11" s="32">
        <f>C34</f>
        <v>2.0880000000000001</v>
      </c>
      <c r="H11" s="1317" t="s">
        <v>1148</v>
      </c>
      <c r="I11" s="1316"/>
    </row>
    <row r="12" spans="2:9" ht="28.8" x14ac:dyDescent="0.3">
      <c r="B12" s="1312" t="s">
        <v>1149</v>
      </c>
      <c r="C12" s="1318">
        <v>13</v>
      </c>
      <c r="D12" s="39">
        <f>80.79/1.11484</f>
        <v>72.467798069678167</v>
      </c>
      <c r="E12" s="33">
        <f>60.48/1.11484</f>
        <v>54.249937210720816</v>
      </c>
      <c r="F12" s="34">
        <f>D12-E12</f>
        <v>18.217860858957351</v>
      </c>
      <c r="G12" s="35">
        <f>D12-D11+G11</f>
        <v>52.974225826127523</v>
      </c>
      <c r="H12" s="1317" t="s">
        <v>1150</v>
      </c>
      <c r="I12" s="1316"/>
    </row>
    <row r="13" spans="2:9" ht="15.6" x14ac:dyDescent="0.3">
      <c r="B13" s="1312" t="s">
        <v>1151</v>
      </c>
      <c r="C13" s="1318">
        <v>18</v>
      </c>
      <c r="D13" s="33">
        <f>94.69/1.11484</f>
        <v>84.935954935237334</v>
      </c>
      <c r="E13" s="33">
        <f>74.75/1.11484</f>
        <v>67.049980266226541</v>
      </c>
      <c r="F13" s="34">
        <f>D13-E13</f>
        <v>17.885974669010793</v>
      </c>
      <c r="G13" s="35">
        <f>D13-D11+G11</f>
        <v>65.442382691686689</v>
      </c>
      <c r="H13" s="1317" t="s">
        <v>1152</v>
      </c>
      <c r="I13" s="1316"/>
    </row>
    <row r="14" spans="2:9" ht="28.8" x14ac:dyDescent="0.3">
      <c r="B14" s="1312" t="s">
        <v>1153</v>
      </c>
      <c r="C14" s="1318">
        <v>43</v>
      </c>
      <c r="D14" s="40">
        <f>110.6/1.11484</f>
        <v>99.207061102938525</v>
      </c>
      <c r="E14" s="36">
        <f>99.88/1.11484</f>
        <v>89.591331491514467</v>
      </c>
      <c r="F14" s="34">
        <f>D14-E14</f>
        <v>9.615729611424058</v>
      </c>
      <c r="G14" s="35">
        <f>D14-D11+G11</f>
        <v>79.713488859387866</v>
      </c>
      <c r="H14" s="1317" t="s">
        <v>1154</v>
      </c>
      <c r="I14" s="1316"/>
    </row>
    <row r="15" spans="2:9" ht="28.8" x14ac:dyDescent="0.3">
      <c r="B15" s="1312" t="s">
        <v>1155</v>
      </c>
      <c r="C15" s="1318">
        <v>57</v>
      </c>
      <c r="D15" s="40">
        <f>124.5/1.11484</f>
        <v>111.67521796849772</v>
      </c>
      <c r="E15" s="36">
        <f>114.1/1.11484</f>
        <v>102.34652506189228</v>
      </c>
      <c r="F15" s="34">
        <f>D15-E15</f>
        <v>9.3286929066054398</v>
      </c>
      <c r="G15" s="35">
        <f>D15-D11+G11</f>
        <v>92.18164572494706</v>
      </c>
      <c r="H15" s="1317" t="s">
        <v>1154</v>
      </c>
      <c r="I15" s="1316"/>
    </row>
    <row r="16" spans="2:9" ht="15.6" x14ac:dyDescent="0.3">
      <c r="B16" s="1312" t="s">
        <v>1156</v>
      </c>
      <c r="C16" s="1318">
        <v>82</v>
      </c>
      <c r="D16" s="33">
        <f>95.77/1.11484</f>
        <v>85.904703814000214</v>
      </c>
      <c r="E16" s="1319" t="s">
        <v>1157</v>
      </c>
      <c r="F16" s="1318"/>
      <c r="G16" s="1318"/>
      <c r="H16" s="1317" t="s">
        <v>1158</v>
      </c>
      <c r="I16" s="1316"/>
    </row>
    <row r="17" spans="2:9" ht="15.6" x14ac:dyDescent="0.3">
      <c r="B17" s="1312" t="s">
        <v>1159</v>
      </c>
      <c r="C17" s="1318">
        <v>109</v>
      </c>
      <c r="D17" s="33">
        <f>110/1.11484</f>
        <v>98.668867281403607</v>
      </c>
      <c r="E17" s="1319" t="s">
        <v>1157</v>
      </c>
      <c r="F17" s="1318"/>
      <c r="G17" s="1318"/>
      <c r="H17" s="1317" t="s">
        <v>1158</v>
      </c>
      <c r="I17" s="1316"/>
    </row>
    <row r="18" spans="2:9" ht="15.6" x14ac:dyDescent="0.3">
      <c r="B18" s="1312" t="s">
        <v>1160</v>
      </c>
      <c r="C18" s="1319" t="s">
        <v>1157</v>
      </c>
      <c r="D18" s="33">
        <f>127.4/1.11484</f>
        <v>114.27648810591654</v>
      </c>
      <c r="E18" s="1319" t="s">
        <v>1157</v>
      </c>
      <c r="F18" s="1318"/>
      <c r="G18" s="1318"/>
      <c r="H18" s="1317" t="s">
        <v>1161</v>
      </c>
      <c r="I18" s="1316"/>
    </row>
    <row r="19" spans="2:9" ht="15.6" x14ac:dyDescent="0.3">
      <c r="B19" s="1312" t="s">
        <v>1162</v>
      </c>
      <c r="C19" s="1319" t="s">
        <v>1157</v>
      </c>
      <c r="D19" s="33">
        <f>141.6/1.11484</f>
        <v>127.01374188224318</v>
      </c>
      <c r="E19" s="1319" t="s">
        <v>1157</v>
      </c>
      <c r="F19" s="1318"/>
      <c r="G19" s="1318"/>
      <c r="H19" s="1317" t="s">
        <v>1161</v>
      </c>
      <c r="I19" s="1316"/>
    </row>
    <row r="20" spans="2:9" ht="15.6" x14ac:dyDescent="0.3">
      <c r="B20" s="1320"/>
      <c r="C20" s="1319"/>
      <c r="D20" s="1321"/>
      <c r="E20" s="1319"/>
      <c r="F20" s="1318"/>
      <c r="G20" s="1318"/>
      <c r="H20" s="1318"/>
      <c r="I20" s="1316"/>
    </row>
    <row r="21" spans="2:9" ht="15.6" x14ac:dyDescent="0.3">
      <c r="B21" s="1312" t="s">
        <v>1163</v>
      </c>
      <c r="C21" s="1318"/>
      <c r="D21" s="1318">
        <v>69.099999999999994</v>
      </c>
      <c r="E21" s="1318" t="s">
        <v>141</v>
      </c>
      <c r="F21" s="1318"/>
      <c r="G21" s="1318"/>
      <c r="H21" s="1318"/>
      <c r="I21" s="1316"/>
    </row>
    <row r="22" spans="2:9" ht="15.6" x14ac:dyDescent="0.3">
      <c r="B22" s="1312" t="s">
        <v>1164</v>
      </c>
      <c r="C22" s="1318"/>
      <c r="D22" s="1318"/>
      <c r="E22" s="1318"/>
      <c r="F22" s="1318"/>
      <c r="G22" s="1318"/>
      <c r="H22" s="1318"/>
      <c r="I22" s="1316"/>
    </row>
    <row r="23" spans="2:9" ht="15.6" x14ac:dyDescent="0.3">
      <c r="B23" s="1320"/>
      <c r="C23" s="1318"/>
      <c r="D23" s="1318"/>
      <c r="E23" s="1318"/>
      <c r="F23" s="1318"/>
      <c r="G23" s="1318"/>
      <c r="H23" s="1318"/>
      <c r="I23" s="1316"/>
    </row>
    <row r="24" spans="2:9" ht="15.6" x14ac:dyDescent="0.3">
      <c r="B24" s="1320" t="s">
        <v>1165</v>
      </c>
      <c r="C24" s="1318"/>
      <c r="D24" s="1318"/>
      <c r="E24" s="1318"/>
      <c r="F24" s="1318"/>
      <c r="G24" s="1318"/>
      <c r="H24" s="1318"/>
      <c r="I24" s="1316"/>
    </row>
    <row r="25" spans="2:9" ht="15.6" x14ac:dyDescent="0.3">
      <c r="B25" s="1320" t="s">
        <v>1166</v>
      </c>
      <c r="C25" s="1318"/>
      <c r="D25" s="1318"/>
      <c r="E25" s="1318"/>
      <c r="F25" s="1318"/>
      <c r="G25" s="1318"/>
      <c r="H25" s="1318"/>
      <c r="I25" s="1316"/>
    </row>
    <row r="26" spans="2:9" ht="15.6" x14ac:dyDescent="0.3">
      <c r="B26" s="1320" t="s">
        <v>1167</v>
      </c>
      <c r="C26" s="1318"/>
      <c r="D26" s="1318"/>
      <c r="E26" s="1318"/>
      <c r="F26" s="1318"/>
      <c r="G26" s="1318"/>
      <c r="H26" s="1318"/>
      <c r="I26" s="1316"/>
    </row>
    <row r="27" spans="2:9" ht="15.6" x14ac:dyDescent="0.3">
      <c r="B27" s="1320" t="s">
        <v>1168</v>
      </c>
      <c r="C27" s="1318"/>
      <c r="D27" s="1318"/>
      <c r="E27" s="1318"/>
      <c r="F27" s="1318"/>
      <c r="G27" s="1318"/>
      <c r="H27" s="1318"/>
      <c r="I27" s="1316"/>
    </row>
    <row r="28" spans="2:9" ht="15.6" x14ac:dyDescent="0.3">
      <c r="B28" s="1320"/>
      <c r="C28" s="1318"/>
      <c r="D28" s="1318"/>
      <c r="E28" s="1318"/>
      <c r="F28" s="1318"/>
      <c r="G28" s="1318"/>
      <c r="H28" s="1318"/>
      <c r="I28" s="1316"/>
    </row>
    <row r="29" spans="2:9" ht="15.6" x14ac:dyDescent="0.3">
      <c r="B29" s="1322" t="s">
        <v>1169</v>
      </c>
      <c r="C29" s="1318"/>
      <c r="D29" s="1318"/>
      <c r="E29" s="1318"/>
      <c r="F29" s="1318"/>
      <c r="G29" s="1318"/>
      <c r="H29" s="1318"/>
      <c r="I29" s="1316"/>
    </row>
    <row r="30" spans="2:9" ht="15.6" x14ac:dyDescent="0.3">
      <c r="B30" s="1320" t="s">
        <v>1170</v>
      </c>
      <c r="C30" s="1318">
        <v>72</v>
      </c>
      <c r="D30" s="1318"/>
      <c r="E30" s="1318" t="s">
        <v>1171</v>
      </c>
      <c r="F30" s="1318"/>
      <c r="G30" s="1318"/>
      <c r="H30" s="1318"/>
      <c r="I30" s="1316"/>
    </row>
    <row r="31" spans="2:9" ht="15.6" x14ac:dyDescent="0.3">
      <c r="B31" s="1320" t="s">
        <v>1172</v>
      </c>
      <c r="C31" s="1318">
        <v>11.6</v>
      </c>
      <c r="D31" s="1318" t="s">
        <v>841</v>
      </c>
      <c r="E31" s="1318" t="s">
        <v>1173</v>
      </c>
      <c r="F31" s="1318"/>
      <c r="G31" s="1318"/>
      <c r="H31" s="1318"/>
      <c r="I31" s="1316"/>
    </row>
    <row r="32" spans="2:9" ht="15.6" x14ac:dyDescent="0.3">
      <c r="B32" s="1320" t="s">
        <v>1174</v>
      </c>
      <c r="C32" s="1318">
        <v>400</v>
      </c>
      <c r="D32" s="1318" t="s">
        <v>121</v>
      </c>
      <c r="E32" s="1318" t="s">
        <v>1175</v>
      </c>
      <c r="F32" s="1318"/>
      <c r="G32" s="1318"/>
      <c r="H32" s="1318"/>
      <c r="I32" s="1316"/>
    </row>
    <row r="33" spans="2:9" ht="15.6" x14ac:dyDescent="0.3">
      <c r="B33" s="1320" t="s">
        <v>1176</v>
      </c>
      <c r="C33" s="41">
        <f>C31/C32</f>
        <v>2.8999999999999998E-2</v>
      </c>
      <c r="D33" s="1318" t="s">
        <v>3</v>
      </c>
      <c r="E33" s="1318"/>
      <c r="F33" s="1318"/>
      <c r="G33" s="1318"/>
      <c r="H33" s="1318"/>
      <c r="I33" s="1316"/>
    </row>
    <row r="34" spans="2:9" ht="15.6" x14ac:dyDescent="0.3">
      <c r="B34" s="1320" t="s">
        <v>1177</v>
      </c>
      <c r="C34" s="41">
        <f>C30*C33</f>
        <v>2.0880000000000001</v>
      </c>
      <c r="D34" s="1318" t="s">
        <v>1178</v>
      </c>
      <c r="E34" s="1318" t="s">
        <v>1171</v>
      </c>
      <c r="F34" s="1318"/>
      <c r="G34" s="1318"/>
      <c r="H34" s="1318"/>
      <c r="I34" s="1316"/>
    </row>
    <row r="35" spans="2:9" ht="15.6" x14ac:dyDescent="0.3">
      <c r="B35" s="1320" t="s">
        <v>1179</v>
      </c>
      <c r="C35" s="33">
        <f>D11</f>
        <v>21.581572243550646</v>
      </c>
      <c r="D35" s="1318" t="s">
        <v>1178</v>
      </c>
      <c r="E35" s="1318" t="s">
        <v>1180</v>
      </c>
      <c r="F35" s="1318"/>
      <c r="G35" s="1318"/>
      <c r="H35" s="1318"/>
      <c r="I35" s="1316"/>
    </row>
    <row r="36" spans="2:9" ht="15.6" x14ac:dyDescent="0.3">
      <c r="B36" s="1323"/>
      <c r="C36" s="1318"/>
      <c r="D36" s="1318"/>
      <c r="E36" s="1318"/>
      <c r="F36" s="1318"/>
      <c r="G36" s="1318"/>
      <c r="H36" s="1318"/>
      <c r="I36" s="1316"/>
    </row>
    <row r="37" spans="2:9" ht="15.6" x14ac:dyDescent="0.3">
      <c r="B37" s="1324" t="s">
        <v>1181</v>
      </c>
      <c r="C37" s="1325"/>
      <c r="D37" s="1325"/>
      <c r="E37" s="1325"/>
      <c r="F37" s="1325"/>
      <c r="G37" s="1325"/>
      <c r="H37" s="1326"/>
      <c r="I37" s="1316"/>
    </row>
    <row r="38" spans="2:9" ht="15.6" x14ac:dyDescent="0.3">
      <c r="B38" s="1323" t="s">
        <v>1182</v>
      </c>
      <c r="C38" s="1318">
        <v>4.26</v>
      </c>
      <c r="D38" s="1318" t="s">
        <v>22</v>
      </c>
      <c r="E38" s="1318" t="s">
        <v>1173</v>
      </c>
      <c r="F38" s="1318"/>
      <c r="G38" s="1318"/>
      <c r="H38" s="1327"/>
      <c r="I38" s="1316"/>
    </row>
    <row r="39" spans="2:9" ht="15.6" x14ac:dyDescent="0.3">
      <c r="B39" s="1323" t="s">
        <v>1183</v>
      </c>
      <c r="C39" s="1318">
        <v>7.54</v>
      </c>
      <c r="D39" s="1318" t="s">
        <v>1184</v>
      </c>
      <c r="E39" s="1318" t="s">
        <v>1185</v>
      </c>
      <c r="F39" s="1318"/>
      <c r="G39" s="1318"/>
      <c r="H39" s="1327"/>
      <c r="I39" s="1316"/>
    </row>
    <row r="40" spans="2:9" ht="15.6" x14ac:dyDescent="0.3">
      <c r="B40" s="1320"/>
      <c r="C40" s="1318">
        <v>4.7999999999999996E-3</v>
      </c>
      <c r="D40" s="1318" t="s">
        <v>5</v>
      </c>
      <c r="E40" s="1318" t="s">
        <v>1186</v>
      </c>
      <c r="F40" s="1318"/>
      <c r="G40" s="1318"/>
      <c r="H40" s="1327"/>
      <c r="I40" s="1316"/>
    </row>
    <row r="41" spans="2:9" ht="16.2" thickBot="1" x14ac:dyDescent="0.35">
      <c r="B41" s="1328"/>
      <c r="C41" s="42">
        <f>C38*(C40*2*0.75)</f>
        <v>3.0671999999999998E-2</v>
      </c>
      <c r="D41" s="1329" t="s">
        <v>3</v>
      </c>
      <c r="E41" s="1329" t="s">
        <v>1187</v>
      </c>
      <c r="F41" s="1329"/>
      <c r="G41" s="1329"/>
      <c r="H41" s="1330"/>
      <c r="I41" s="1331"/>
    </row>
    <row r="44" spans="2:9" x14ac:dyDescent="0.25">
      <c r="B44" s="770" t="s">
        <v>4899</v>
      </c>
    </row>
    <row r="45" spans="2:9" x14ac:dyDescent="0.25">
      <c r="B45" s="770" t="s">
        <v>4900</v>
      </c>
    </row>
  </sheetData>
  <sheetProtection algorithmName="SHA-512" hashValue="eMy2UK65aZe3s7nlbvfHR6zJW3ca6O/lv/frMWHAIZ7HhkODEAhrjgO1JLghMo4rkh3S9CmRwe/gw8fw/yHMGA==" saltValue="oD3z+5DtAYvaIMv7zgRWkQ==" spinCount="100000" sheet="1" objects="1" scenarios="1"/>
  <pageMargins left="0.7" right="0.7" top="0.75" bottom="0.75" header="0.3" footer="0.3"/>
  <headerFooter>
    <oddHeader>&amp;R&amp;"Aptos"&amp;12&amp;K000000 UNCLASSIFIED - NON CLASSIFIÉ&amp;1#_x000D_</oddHead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16">
    <tabColor theme="2" tint="-0.499984740745262"/>
  </sheetPr>
  <dimension ref="A1:AD1010"/>
  <sheetViews>
    <sheetView topLeftCell="G1" workbookViewId="0">
      <pane ySplit="1" topLeftCell="A59" activePane="bottomLeft" state="frozen"/>
      <selection activeCell="D1" sqref="D1"/>
      <selection pane="bottomLeft" activeCell="H70" sqref="H70"/>
    </sheetView>
  </sheetViews>
  <sheetFormatPr defaultColWidth="11.36328125" defaultRowHeight="15" customHeight="1" x14ac:dyDescent="0.25"/>
  <cols>
    <col min="1" max="3" width="17.90625" customWidth="1"/>
    <col min="4" max="4" width="29.36328125" customWidth="1"/>
    <col min="5" max="5" width="75.08984375" style="1343" customWidth="1"/>
    <col min="6" max="8" width="75.08984375" style="1342" customWidth="1"/>
    <col min="9" max="11" width="22.54296875" customWidth="1"/>
    <col min="12" max="24" width="8.6328125" customWidth="1"/>
    <col min="25" max="26" width="11.36328125" customWidth="1"/>
  </cols>
  <sheetData>
    <row r="1" spans="1:26" ht="15.6" x14ac:dyDescent="0.3">
      <c r="A1" s="1332" t="s">
        <v>749</v>
      </c>
      <c r="B1" s="1332" t="s">
        <v>750</v>
      </c>
      <c r="C1" s="1332" t="s">
        <v>872</v>
      </c>
      <c r="D1" s="1332" t="s">
        <v>1542</v>
      </c>
      <c r="E1" s="1333" t="s">
        <v>4931</v>
      </c>
      <c r="F1" s="1333" t="s">
        <v>4932</v>
      </c>
      <c r="G1" s="1333" t="s">
        <v>4933</v>
      </c>
      <c r="H1" s="1333" t="s">
        <v>4934</v>
      </c>
      <c r="I1" s="1334"/>
      <c r="J1" s="1334" t="s">
        <v>1559</v>
      </c>
      <c r="K1" s="1335" t="s">
        <v>3310</v>
      </c>
      <c r="L1" s="1334"/>
      <c r="M1" s="1334"/>
      <c r="N1" s="1334"/>
      <c r="O1" s="1334"/>
      <c r="P1" s="1334"/>
      <c r="Q1" s="1334"/>
      <c r="R1" s="1334"/>
      <c r="S1" s="1334"/>
      <c r="T1" s="1334"/>
      <c r="U1" s="1334"/>
      <c r="V1" s="1334"/>
      <c r="W1" s="1334"/>
      <c r="X1" s="1334"/>
      <c r="Y1" s="1334"/>
      <c r="Z1" s="1334"/>
    </row>
    <row r="2" spans="1:26" ht="15.6" x14ac:dyDescent="0.3">
      <c r="A2" s="1336" t="s">
        <v>20</v>
      </c>
      <c r="B2" s="1336">
        <v>16</v>
      </c>
      <c r="C2" s="1337">
        <v>24</v>
      </c>
      <c r="D2" s="1337" t="s">
        <v>1543</v>
      </c>
      <c r="E2" s="1338" t="str">
        <f>INDEX('Master sheet'!$A$1:$A$670,MATCH(24,'Master sheet'!$AN$1:$AN$670,0))</f>
        <v xml:space="preserve">Brick, Clay / Brick Industry Association / US-Canada Industrywide Average / </v>
      </c>
      <c r="F2" s="1338" t="str">
        <f>INDEX('Master sheet'!$A$1:$A$670,MATCH("A1",'Master sheet'!$AN$1:$AN$670,0))</f>
        <v xml:space="preserve">Asphalt Shingles / Asphalt Roofing Manufacturers Association / Fiberglass Asphalt Shingles  / </v>
      </c>
      <c r="G2" s="1338" t="str">
        <f>INDEX('Master sheet'!$A$1:$A$670,MATCH(120,'Master sheet'!$AN$1:$AN$670,0))</f>
        <v>Helical pier / Generic /  / 3" Nominal Pipe, 3.5 x 3/16" (89 x 5.5 mm), 10" Helix, Sched 40 STD Galvanized steel</v>
      </c>
      <c r="H2" s="1338" t="str">
        <f>INDEX('Master sheet'!$A$1:$A$670,MATCH(3,'Master sheet'!$AN$1:$AN$670,0))</f>
        <v>(ARCHIVED 2026) Aerogel blanket / Aspen Aerogels /  / R9.6/inch, White/Grey blanket</v>
      </c>
      <c r="I2" s="1334"/>
      <c r="J2" s="1334" t="s">
        <v>1560</v>
      </c>
      <c r="K2" s="1334" t="str">
        <f>VLOOKUP("Footings &amp; Slabs",Setting!$E$6:$H$33,4,FALSE)</f>
        <v>Footings &amp; Slabs</v>
      </c>
      <c r="L2" s="1334"/>
      <c r="M2" s="1334"/>
      <c r="N2" s="1334"/>
      <c r="O2" s="1334"/>
      <c r="P2" s="1334"/>
      <c r="Q2" s="1334"/>
      <c r="R2" s="1334"/>
      <c r="S2" s="1334"/>
      <c r="T2" s="1334"/>
      <c r="U2" s="1334"/>
      <c r="V2" s="1334"/>
      <c r="W2" s="1334"/>
      <c r="X2" s="1334"/>
      <c r="Y2" s="1334"/>
      <c r="Z2" s="1334"/>
    </row>
    <row r="3" spans="1:26" ht="15.6" x14ac:dyDescent="0.3">
      <c r="A3" s="1336" t="s">
        <v>752</v>
      </c>
      <c r="B3" s="1336">
        <v>24</v>
      </c>
      <c r="C3" s="1337">
        <v>36</v>
      </c>
      <c r="D3" s="1337" t="s">
        <v>1544</v>
      </c>
      <c r="E3" s="1338" t="str">
        <f>INDEX('Master sheet'!$A$1:$A$670,MATCH(56,'Master sheet'!$AN$1:$AN$670,0))</f>
        <v xml:space="preserve">Concrete / Butler Concrete / Avg of 19 different 25 Mpa mixes / </v>
      </c>
      <c r="F3" s="1338" t="str">
        <f>INDEX('Master sheet'!$A$1:$A$670,MATCH("A2",'Master sheet'!$AN$1:$AN$670,0))</f>
        <v xml:space="preserve">Asphalt Shingles / Malarkey Roofing / Ecoasis NEX / </v>
      </c>
      <c r="G3" s="1338" t="str">
        <f>INDEX('Master sheet'!$A$1:$A$670,MATCH("A104",'Master sheet'!$AN$1:$AN$670,0))</f>
        <v>Rebar / Concrete Reinforcing Steel Institute / Canadian sizes -98% recycled, EAF / 10M</v>
      </c>
      <c r="H3" s="1338" t="str">
        <f>INDEX('Master sheet'!$A$1:$A$670,MATCH(32,'Master sheet'!$AN$1:$AN$670,0))</f>
        <v>Cellulose - batt / CMS / R 3.6/inch / EcoCell</v>
      </c>
      <c r="I3" s="1334"/>
      <c r="J3" s="1334" t="s">
        <v>1561</v>
      </c>
      <c r="K3" s="1334" t="str">
        <f>VLOOKUP("Foundation Walls",Setting!$E$6:$H$33,4,FALSE)</f>
        <v>Foundation Walls</v>
      </c>
      <c r="L3" s="1334"/>
      <c r="M3" s="1334"/>
      <c r="N3" s="1334"/>
      <c r="O3" s="1334"/>
      <c r="P3" s="1334"/>
      <c r="Q3" s="1334"/>
      <c r="R3" s="1334"/>
      <c r="S3" s="1334"/>
      <c r="T3" s="1334"/>
      <c r="U3" s="1334"/>
      <c r="V3" s="1334"/>
      <c r="W3" s="1334"/>
      <c r="X3" s="1334"/>
      <c r="Y3" s="1334"/>
      <c r="Z3" s="1334"/>
    </row>
    <row r="4" spans="1:26" ht="15" customHeight="1" x14ac:dyDescent="0.3">
      <c r="A4" s="1339"/>
      <c r="D4" s="1340"/>
      <c r="E4" s="1338" t="str">
        <f>INDEX('Master sheet'!$A$1:$A$670,MATCH(57,'Master sheet'!$AN$1:$AN$670,0))</f>
        <v xml:space="preserve">Concrete - 0-25 MPa, Industry Average Benchmark / CRMCA / Can. Avg. / </v>
      </c>
      <c r="F4" s="1338" t="str">
        <f>INDEX('Master sheet'!$A$1:$A$670,MATCH("A3",'Master sheet'!$AN$1:$AN$670,0))</f>
        <v xml:space="preserve">Asphalt Shingles / Malarkey Roofing / Ecoasis Premium / </v>
      </c>
      <c r="G4" s="1338" t="str">
        <f>INDEX('Master sheet'!$A$1:$A$670,MATCH("A105",'Master sheet'!$AN$1:$AN$670,0))</f>
        <v>Rebar / Concrete Reinforcing Steel Institute / Canadian sizes -98% recycled, EAF / 15M</v>
      </c>
      <c r="H4" s="1338" t="str">
        <f>INDEX('Master sheet'!$A$1:$A$670,MATCH(33,'Master sheet'!$AN$1:$AN$670,0))</f>
        <v>Cellulose - dense pack /  / R 3.7/inch / Includes AFT, Applegate, Can-Cell, Cell-Pak, Cleanfiber, Climatizer, Fiberlite, Igloo, ICC, Mason City, Nu-Wool, Soprema, Thermo-Kool</v>
      </c>
      <c r="I4" s="1334"/>
      <c r="J4" s="1334"/>
      <c r="K4" s="1334" t="str">
        <f>VLOOKUP("Structural Elements",Setting!$E$6:$H$33,4,FALSE)</f>
        <v>Structural Elements</v>
      </c>
      <c r="L4" s="1334"/>
      <c r="M4" s="1334"/>
      <c r="N4" s="1334"/>
      <c r="O4" s="1334"/>
      <c r="P4" s="1334"/>
      <c r="Q4" s="1334"/>
      <c r="R4" s="1334"/>
      <c r="S4" s="1334"/>
      <c r="T4" s="1334"/>
      <c r="U4" s="1334"/>
      <c r="V4" s="1334"/>
      <c r="W4" s="1334"/>
      <c r="X4" s="1334"/>
      <c r="Y4" s="1334"/>
      <c r="Z4" s="1334"/>
    </row>
    <row r="5" spans="1:26" ht="15" customHeight="1" x14ac:dyDescent="0.3">
      <c r="D5" s="1334"/>
      <c r="E5" s="1338" t="str">
        <f>INDEX('Master sheet'!$A$1:$A$670,MATCH(58,'Master sheet'!$AN$1:$AN$670,0))</f>
        <v xml:space="preserve">Concrete - 0-25 MPa, 0-14% FA/SL, GU / CRMCA / Can. Avg. / </v>
      </c>
      <c r="F5" s="1338" t="str">
        <f>INDEX('Master sheet'!$A$1:$A$670,MATCH("A4",'Master sheet'!$AN$1:$AN$670,0))</f>
        <v xml:space="preserve">Asphalt Shingles / Malarkey Roofing / Dura-Seal / </v>
      </c>
      <c r="G5" s="1338" t="str">
        <f>INDEX('Master sheet'!$A$1:$A$670,MATCH("A106",'Master sheet'!$AN$1:$AN$670,0))</f>
        <v>Steel beam / W150x22 (W6x15) / American Institute of Steel Construction</v>
      </c>
      <c r="H5" s="1338" t="str">
        <f>INDEX('Master sheet'!$A$1:$A$670,MATCH(34,'Master sheet'!$AN$1:$AN$670,0))</f>
        <v>Cellulose - loose fill /  / R 3.7/inch / Includes: AFT, Applegate, Can-Cell, Cell-Pak, Cleanfiber, Climatizer, Fiberlite, Igloo, ICC, Mason City, Nu-Wool, Soprema, Thermo-Kool</v>
      </c>
      <c r="I5" s="1334"/>
      <c r="J5" s="1334"/>
      <c r="K5" s="1334" t="str">
        <f>VLOOKUP("Ext. Walls",Setting!$E$6:$H$33,4,FALSE)</f>
        <v>Ext. Walls</v>
      </c>
      <c r="L5" s="1334"/>
      <c r="M5" s="1334"/>
      <c r="N5" s="1334"/>
      <c r="O5" s="1334"/>
      <c r="P5" s="1334"/>
      <c r="Q5" s="1334"/>
      <c r="R5" s="1334"/>
      <c r="S5" s="1334"/>
      <c r="T5" s="1334"/>
      <c r="U5" s="1334"/>
      <c r="V5" s="1334"/>
      <c r="W5" s="1334"/>
      <c r="X5" s="1334"/>
      <c r="Y5" s="1334"/>
      <c r="Z5" s="1334"/>
    </row>
    <row r="6" spans="1:26" ht="15" customHeight="1" x14ac:dyDescent="0.3">
      <c r="E6" s="1338" t="str">
        <f>INDEX('Master sheet'!$A$1:$A$670,MATCH(59,'Master sheet'!$AN$1:$AN$670,0))</f>
        <v xml:space="preserve">Concrete - 0-25 MPa, 15-29% Fly Ash, GU / CRMCA / Can. Avg. / </v>
      </c>
      <c r="F6" s="1338" t="str">
        <f>INDEX('Master sheet'!$A$1:$A$670,MATCH("A5",'Master sheet'!$AN$1:$AN$670,0))</f>
        <v xml:space="preserve">Asphalt Shingles / Malarkey Roofing / Highlander NEX / </v>
      </c>
      <c r="G6" s="1338" t="str">
        <f>INDEX('Master sheet'!$A$1:$A$670,MATCH("A107",'Master sheet'!$AN$1:$AN$670,0))</f>
        <v>Steel beam / W200x22 (W8x15) / American Institute of Steel Construction</v>
      </c>
      <c r="H6" s="1338" t="str">
        <f>INDEX('Master sheet'!$A$1:$A$670,MATCH(35,'Master sheet'!$AN$1:$AN$670,0))</f>
        <v>Cellulose - spray applied / R 3.75/inch / International Cellulose Corp. / K-13, ThermoCon</v>
      </c>
      <c r="I6" s="1334"/>
      <c r="J6" s="1334"/>
      <c r="K6" s="1334" t="str">
        <f>VLOOKUP("Ext. Wall Systems",Setting!$E$6:$H$33,4,FALSE)</f>
        <v>Ext. Wall Systems</v>
      </c>
      <c r="L6" s="1334"/>
      <c r="M6" s="1334"/>
      <c r="N6" s="1334"/>
      <c r="O6" s="1334"/>
      <c r="P6" s="1334"/>
      <c r="Q6" s="1334"/>
      <c r="R6" s="1334"/>
      <c r="S6" s="1334"/>
      <c r="T6" s="1334"/>
      <c r="U6" s="1334"/>
      <c r="V6" s="1334"/>
      <c r="W6" s="1334"/>
      <c r="X6" s="1334"/>
      <c r="Y6" s="1334"/>
      <c r="Z6" s="1334"/>
    </row>
    <row r="7" spans="1:26" ht="15.75" customHeight="1" x14ac:dyDescent="0.3">
      <c r="E7" s="1338" t="str">
        <f>INDEX('Master sheet'!$A$1:$A$670,MATCH(60,'Master sheet'!$AN$1:$AN$670,0))</f>
        <v xml:space="preserve">Concrete - 0-25 MPa, 30-40% Fly Ash, GU / CRMCA / Can. Avg. / </v>
      </c>
      <c r="F7" s="1338" t="str">
        <f>INDEX('Master sheet'!$A$1:$A$670,MATCH("A6",'Master sheet'!$AN$1:$AN$670,0))</f>
        <v xml:space="preserve">Asphalt Shingles / Malarkey Roofing / Legacy / </v>
      </c>
      <c r="G7" s="1338" t="str">
        <f>INDEX('Master sheet'!$A$1:$A$670,MATCH("A108",'Master sheet'!$AN$1:$AN$670,0))</f>
        <v>Steel beam / W200x27 (W8x18) / American Institute of Steel Construction</v>
      </c>
      <c r="H7" s="1338" t="str">
        <f>INDEX('Master sheet'!$A$1:$A$670,MATCH("A21",'Master sheet'!$AN$1:$AN$670,0))</f>
        <v>Cork board insulation / Amorim  / Expanded Insulation Corkboard (ICB) / R3.6-inch, 115 kg/m3</v>
      </c>
      <c r="I7" s="1334"/>
      <c r="J7" s="1334"/>
      <c r="K7" s="1334" t="str">
        <f>VLOOKUP("Party Walls",Setting!$E$6:$H$33,4,FALSE)</f>
        <v>Party Walls</v>
      </c>
      <c r="L7" s="1334"/>
      <c r="M7" s="1334"/>
      <c r="N7" s="1334"/>
      <c r="O7" s="1334"/>
      <c r="P7" s="1334"/>
      <c r="Q7" s="1334"/>
      <c r="R7" s="1334"/>
      <c r="S7" s="1334"/>
      <c r="T7" s="1334"/>
      <c r="U7" s="1334"/>
      <c r="V7" s="1334"/>
      <c r="W7" s="1334"/>
      <c r="X7" s="1334"/>
      <c r="Y7" s="1334"/>
      <c r="Z7" s="1334"/>
    </row>
    <row r="8" spans="1:26" ht="15.75" customHeight="1" x14ac:dyDescent="0.3">
      <c r="E8" s="1338" t="str">
        <f>INDEX('Master sheet'!$A$1:$A$670,MATCH(61,'Master sheet'!$AN$1:$AN$670,0))</f>
        <v xml:space="preserve">Concrete - 0-25 MPa, 25-34% Slag, GU / CRMCA / Can. Avg. / </v>
      </c>
      <c r="F8" s="1338" t="str">
        <f>INDEX('Master sheet'!$A$1:$A$670,MATCH("A7",'Master sheet'!$AN$1:$AN$670,0))</f>
        <v xml:space="preserve">Asphalt Shingles / Malarkey Roofing / Vista / </v>
      </c>
      <c r="G8" s="1338" t="str">
        <f>INDEX('Master sheet'!$A$1:$A$670,MATCH("A109",'Master sheet'!$AN$1:$AN$670,0))</f>
        <v>Steel beam / W200x31 (W8x21) / American Institute of Steel Construction</v>
      </c>
      <c r="H8" s="1338" t="str">
        <f>INDEX('Master sheet'!$A$1:$A$670,MATCH("A28",'Master sheet'!$AN$1:$AN$670,0))</f>
        <v>EPS foam board / EPS Industry Alliance /  / R 3.6/inch, Type I, 10 psi (70 kPa)</v>
      </c>
      <c r="I8" s="1334"/>
      <c r="J8" s="1334"/>
      <c r="K8" s="1334" t="str">
        <f>VLOOKUP("Cladding",Setting!$E$6:$H$33,4,FALSE)</f>
        <v>Cladding</v>
      </c>
      <c r="L8" s="1334"/>
      <c r="M8" s="1334"/>
      <c r="N8" s="1334"/>
      <c r="O8" s="1334"/>
      <c r="P8" s="1334"/>
      <c r="Q8" s="1334"/>
      <c r="R8" s="1334"/>
      <c r="S8" s="1334"/>
      <c r="T8" s="1334"/>
      <c r="U8" s="1334"/>
      <c r="V8" s="1334"/>
      <c r="W8" s="1334"/>
      <c r="X8" s="1334"/>
      <c r="Y8" s="1334"/>
      <c r="Z8" s="1334"/>
    </row>
    <row r="9" spans="1:26" ht="15.75" customHeight="1" x14ac:dyDescent="0.3">
      <c r="E9" s="1338" t="str">
        <f>INDEX('Master sheet'!$A$1:$A$670,MATCH(62,'Master sheet'!$AN$1:$AN$670,0))</f>
        <v xml:space="preserve">Concrete - 0-25 MPa, 35-50% Slag, GU / CRMCA / Can. Avg. / </v>
      </c>
      <c r="F9" s="1338" t="str">
        <f>INDEX('Master sheet'!$A$1:$A$670,MATCH("A8",'Master sheet'!$AN$1:$AN$670,0))</f>
        <v xml:space="preserve">Asphalt Shingles / Malarkey Roofing / Windsor / </v>
      </c>
      <c r="G9" s="1338" t="str">
        <f>INDEX('Master sheet'!$A$1:$A$670,MATCH("A110",'Master sheet'!$AN$1:$AN$670,0))</f>
        <v>Steel beam / W250x25 (W10x17) / American Institute of Steel Construction</v>
      </c>
      <c r="H9" s="1338" t="str">
        <f>INDEX('Master sheet'!$A$1:$A$670,MATCH("A29",'Master sheet'!$AN$1:$AN$670,0))</f>
        <v>EPS foam board / EPS Industry Alliance /  / R 4.0/inch, Type II, 15 psi (100 kPa)</v>
      </c>
      <c r="I9" s="1334"/>
      <c r="J9" s="1334"/>
      <c r="K9" s="1334" t="str">
        <f>VLOOKUP("Windows",Setting!$E$6:$H$33,4,FALSE)</f>
        <v>Windows</v>
      </c>
      <c r="L9" s="1334"/>
      <c r="M9" s="1334"/>
      <c r="N9" s="1334"/>
      <c r="O9" s="1334"/>
      <c r="P9" s="1334"/>
      <c r="Q9" s="1334"/>
      <c r="R9" s="1334"/>
      <c r="S9" s="1334"/>
      <c r="T9" s="1334"/>
      <c r="U9" s="1334"/>
      <c r="V9" s="1334"/>
      <c r="W9" s="1334"/>
      <c r="X9" s="1334"/>
      <c r="Y9" s="1334"/>
      <c r="Z9" s="1334"/>
    </row>
    <row r="10" spans="1:26" ht="15.75" customHeight="1" x14ac:dyDescent="0.3">
      <c r="E10" s="1338" t="str">
        <f>INDEX('Master sheet'!$A$1:$A$670,MATCH(63,'Master sheet'!$AN$1:$AN$670,0))</f>
        <v xml:space="preserve">Concrete - 26-30 MPa, Canadian Benchmark Average / CRMCA / Can. Avg. / </v>
      </c>
      <c r="F10" s="1338" t="str">
        <f>INDEX('Master sheet'!$A$1:$A$670,MATCH(13,'Master sheet'!$AN$1:$AN$670,0))</f>
        <v>Asphalt Shingles / GAF / Timberline / Timberline</v>
      </c>
      <c r="G10" s="1338" t="str">
        <f>INDEX('Master sheet'!$A$1:$A$670,MATCH("A111",'Master sheet'!$AN$1:$AN$670,0))</f>
        <v>Steel beam / W250x33 (W10x22) / American Institute of Steel Construction</v>
      </c>
      <c r="H10" s="1338" t="str">
        <f>INDEX('Master sheet'!$A$1:$A$670,MATCH("A30",'Master sheet'!$AN$1:$AN$670,0))</f>
        <v>EPS foam board / EPS Industry Alliance /  / R 4.2/inch, Type IX, 25 psi (170 kPa)</v>
      </c>
      <c r="I10" s="1334"/>
      <c r="J10" s="1334"/>
      <c r="K10" s="1334" t="str">
        <f>VLOOKUP("Int. Walls",Setting!$E$6:$H$33,4,FALSE)</f>
        <v>Int. Walls</v>
      </c>
      <c r="L10" s="1334"/>
      <c r="M10" s="1334"/>
      <c r="N10" s="1334"/>
      <c r="O10" s="1334"/>
      <c r="P10" s="1334"/>
      <c r="Q10" s="1334"/>
      <c r="R10" s="1334"/>
      <c r="S10" s="1334"/>
      <c r="T10" s="1334"/>
      <c r="U10" s="1334"/>
      <c r="V10" s="1334"/>
      <c r="W10" s="1334"/>
      <c r="X10" s="1334"/>
      <c r="Y10" s="1334"/>
      <c r="Z10" s="1334"/>
    </row>
    <row r="11" spans="1:26" ht="15.75" customHeight="1" x14ac:dyDescent="0.3">
      <c r="E11" s="1338" t="str">
        <f>INDEX('Master sheet'!$A$1:$A$670,MATCH(64,'Master sheet'!$AN$1:$AN$670,0))</f>
        <v xml:space="preserve">Concrete - 26-30 MPa, 0-14% FA/SL, GU / CRMCA / Can. Avg. / </v>
      </c>
      <c r="F11" s="1338" t="str">
        <f>INDEX('Master sheet'!$A$1:$A$670,MATCH(14,'Master sheet'!$AN$1:$AN$670,0))</f>
        <v xml:space="preserve">Asphalt Shingles / Owens Corning / Duration / </v>
      </c>
      <c r="G11" s="1338" t="str">
        <f>INDEX('Master sheet'!$A$1:$A$670,MATCH("A112",'Master sheet'!$AN$1:$AN$670,0))</f>
        <v>Steel beam / W250x39 (W10x26) / American Institute of Steel Construction</v>
      </c>
      <c r="H11" s="1338" t="str">
        <f>INDEX('Master sheet'!$A$1:$A$670,MATCH("A31",'Master sheet'!$AN$1:$AN$670,0))</f>
        <v>EPS foam board / EPS Industry Alliance /  / R 4.3/inch, Type XV, 60 psi (400 kPa)</v>
      </c>
      <c r="I11" s="1334"/>
      <c r="J11" s="1334"/>
      <c r="K11" s="1334" t="str">
        <f>VLOOKUP("Floors",Setting!$E$6:$H$33,4,FALSE)</f>
        <v>Floors</v>
      </c>
      <c r="L11" s="1334"/>
      <c r="M11" s="1334"/>
      <c r="N11" s="1334"/>
      <c r="O11" s="1334"/>
      <c r="P11" s="1334"/>
      <c r="Q11" s="1334"/>
      <c r="R11" s="1334"/>
      <c r="S11" s="1334"/>
      <c r="T11" s="1334"/>
      <c r="U11" s="1334"/>
      <c r="V11" s="1334"/>
      <c r="W11" s="1334"/>
      <c r="X11" s="1334"/>
      <c r="Y11" s="1334"/>
      <c r="Z11" s="1334"/>
    </row>
    <row r="12" spans="1:26" ht="15.75" customHeight="1" x14ac:dyDescent="0.3">
      <c r="E12" s="1338" t="str">
        <f>INDEX('Master sheet'!$A$1:$A$670,MATCH(65,'Master sheet'!$AN$1:$AN$670,0))</f>
        <v xml:space="preserve">Concrete - 26-30 MPa, 15-29% Fly Ash, GU / CRMCA / Can. Avg. / </v>
      </c>
      <c r="F12" s="1338" t="str">
        <f>INDEX('Master sheet'!$A$1:$A$670,MATCH(15,'Master sheet'!$AN$1:$AN$670,0))</f>
        <v xml:space="preserve">Asphalt Shingles / Owens Corning / Oakridge / </v>
      </c>
      <c r="G12" s="1338" t="str">
        <f>INDEX('Master sheet'!$A$1:$A$670,MATCH("A113",'Master sheet'!$AN$1:$AN$670,0))</f>
        <v>Steel beam / W310x33 (W12x22) / American Institute of Steel Construction</v>
      </c>
      <c r="H12" s="1338" t="str">
        <f>INDEX('Master sheet'!$A$1:$A$670,MATCH("A32",'Master sheet'!$AN$1:$AN$670,0))</f>
        <v>EPS foam board with graphite / BASF  / Neopor F 5200 Plus / R 4.7-inch, Type IX, 25 psi</v>
      </c>
      <c r="I12" s="1334"/>
      <c r="J12" s="1334"/>
      <c r="K12" s="1334" t="str">
        <f>VLOOKUP("Ceilings",Setting!$E$6:$H$33,4,FALSE)</f>
        <v>Ceilings</v>
      </c>
      <c r="L12" s="1334"/>
      <c r="M12" s="1334"/>
      <c r="N12" s="1334"/>
      <c r="O12" s="1334"/>
      <c r="P12" s="1334"/>
      <c r="Q12" s="1334"/>
      <c r="R12" s="1334"/>
      <c r="S12" s="1334"/>
      <c r="T12" s="1334"/>
      <c r="U12" s="1334"/>
      <c r="V12" s="1334"/>
      <c r="W12" s="1334"/>
      <c r="X12" s="1334"/>
      <c r="Y12" s="1334"/>
      <c r="Z12" s="1334"/>
    </row>
    <row r="13" spans="1:26" ht="15" customHeight="1" x14ac:dyDescent="0.3">
      <c r="E13" s="1338" t="str">
        <f>INDEX('Master sheet'!$A$1:$A$670,MATCH(66,'Master sheet'!$AN$1:$AN$670,0))</f>
        <v xml:space="preserve">Concrete - 26-30 MPa, 30-40% Fly Ash, GU / CRMCA / Can. Avg. / </v>
      </c>
      <c r="F13" s="1338" t="str">
        <f>INDEX('Master sheet'!$A$1:$A$670,MATCH(16,'Master sheet'!$AN$1:$AN$670,0))</f>
        <v xml:space="preserve">Asphalt Shingles / Owens Corning / Supreme / </v>
      </c>
      <c r="G13" s="1338" t="str">
        <f>INDEX('Master sheet'!$A$1:$A$670,MATCH("A114",'Master sheet'!$AN$1:$AN$670,0))</f>
        <v>Steel beam / W310x39 (W12x26) / American Institute of Steel Construction</v>
      </c>
      <c r="H13" s="1338" t="str">
        <f>INDEX('Master sheet'!$A$1:$A$670,MATCH("A33",'Master sheet'!$AN$1:$AN$670,0))</f>
        <v>EPS foam board with graphite / BASF  / Neopor F 5200 &amp; F 5300 Plus BMB / R 4.7/inch, Type II, 15 psi (Type 2, 110 kPa)</v>
      </c>
      <c r="I13" s="1334"/>
      <c r="J13" s="1334"/>
      <c r="K13" s="1334" t="str">
        <f>VLOOKUP("Roof",Setting!$E$6:$H$33,4,FALSE)</f>
        <v>Roof</v>
      </c>
      <c r="L13" s="1334"/>
      <c r="M13" s="1334"/>
      <c r="N13" s="1334"/>
      <c r="O13" s="1334"/>
      <c r="P13" s="1334"/>
      <c r="Q13" s="1334"/>
      <c r="R13" s="1334"/>
      <c r="S13" s="1334"/>
      <c r="T13" s="1334"/>
      <c r="U13" s="1334"/>
      <c r="V13" s="1334"/>
      <c r="W13" s="1334"/>
      <c r="X13" s="1334"/>
      <c r="Y13" s="1334"/>
      <c r="Z13" s="1334"/>
    </row>
    <row r="14" spans="1:26" ht="15" customHeight="1" x14ac:dyDescent="0.3">
      <c r="E14" s="1338" t="str">
        <f>INDEX('Master sheet'!$A$1:$A$670,MATCH(67,'Master sheet'!$AN$1:$AN$670,0))</f>
        <v xml:space="preserve">Concrete - 26-30 MPa, 25-34% Slag, GU / CRMCA / Can. Avg. / </v>
      </c>
      <c r="F14" s="1338" t="str">
        <f>INDEX('Master sheet'!$A$1:$A$670,MATCH(18,'Master sheet'!$AN$1:$AN$670,0))</f>
        <v>(ARCHIVED 2026) BioBased Tile / Armstrong / BioBased Tile / Non-PVC with BioStride polyester binder, Striations BBT and Migrations BBT</v>
      </c>
      <c r="G14" s="1338" t="str">
        <f>INDEX('Master sheet'!$A$1:$A$670,MATCH("A115",'Master sheet'!$AN$1:$AN$670,0))</f>
        <v>Steel joist, open web / Steel Joist Institute / Includes: Canam Steel, New Millenium Building Systems, Vulcraft/Nucor / 12" 12K3 joist</v>
      </c>
      <c r="H14" s="1338" t="str">
        <f>INDEX('Master sheet'!$A$1:$A$670,MATCH("A34",'Master sheet'!$AN$1:$AN$670,0))</f>
        <v>EPS foam board with graphite / BASF  / Neopor F 5200 &amp; F 5300 Plus BMB / R 4.7/inch, Type IX, 25 psi (Type 9, 175 kPa)</v>
      </c>
      <c r="I14" s="1334"/>
      <c r="J14" s="1334"/>
      <c r="K14" s="1334" t="str">
        <f>VLOOKUP("Garage",Setting!$E$6:$H$33,4,FALSE)</f>
        <v>Garage</v>
      </c>
      <c r="L14" s="1334"/>
      <c r="M14" s="1334"/>
      <c r="N14" s="1334"/>
      <c r="O14" s="1334"/>
      <c r="P14" s="1334"/>
      <c r="Q14" s="1334"/>
      <c r="R14" s="1334"/>
      <c r="S14" s="1334"/>
      <c r="T14" s="1334"/>
      <c r="U14" s="1334"/>
      <c r="V14" s="1334"/>
      <c r="W14" s="1334"/>
      <c r="X14" s="1334"/>
      <c r="Y14" s="1334"/>
      <c r="Z14" s="1334"/>
    </row>
    <row r="15" spans="1:26" ht="15.75" customHeight="1" x14ac:dyDescent="0.3">
      <c r="E15" s="1338" t="str">
        <f>INDEX('Master sheet'!$A$1:$A$670,MATCH(68,'Master sheet'!$AN$1:$AN$670,0))</f>
        <v xml:space="preserve">Concrete - 26-30 MPa, 35-50% Slag, GU / CRMCA / Can. Avg. / </v>
      </c>
      <c r="F15" s="1338" t="str">
        <f>INDEX('Master sheet'!$A$1:$A$670,MATCH("A11",'Master sheet'!$AN$1:$AN$670,0))</f>
        <v>Brick, Clay / Mutual Materials / Avg Face Brick (plant Avg) / 3-5/8" x 2-3/4" x 7-5/8" (92 x 70 x 194 mm) incl. 3/8" mortar</v>
      </c>
      <c r="G15" s="1338" t="str">
        <f>INDEX('Master sheet'!$A$1:$A$670,MATCH(199,'Master sheet'!$AN$1:$AN$670,0))</f>
        <v>Steel post / Generic /  / 3.5 x 0.216" (89 x 5.5 mm), Sched 40 STD</v>
      </c>
      <c r="H15" s="1338" t="str">
        <f>INDEX('Master sheet'!$A$1:$A$670,MATCH("A35",'Master sheet'!$AN$1:$AN$670,0))</f>
        <v>EPS foam board with graphite / BASF / Neopor F 5200 Plus / R 4.7/inch, Type II, 15 psi (Type 2, 110 kPa)</v>
      </c>
      <c r="I15" s="1334"/>
      <c r="J15" s="1334"/>
      <c r="K15" s="1334"/>
      <c r="L15" s="1334"/>
      <c r="M15" s="1334"/>
      <c r="N15" s="1334"/>
      <c r="O15" s="1334"/>
      <c r="P15" s="1334"/>
      <c r="Q15" s="1334"/>
      <c r="R15" s="1334"/>
      <c r="S15" s="1334"/>
      <c r="T15" s="1334"/>
      <c r="U15" s="1334"/>
      <c r="V15" s="1334"/>
      <c r="W15" s="1334"/>
      <c r="X15" s="1334"/>
      <c r="Y15" s="1334"/>
      <c r="Z15" s="1334"/>
    </row>
    <row r="16" spans="1:26" ht="15.75" customHeight="1" x14ac:dyDescent="0.3">
      <c r="E16" s="1338" t="str">
        <f>INDEX('Master sheet'!$A$1:$A$670,MATCH(69,'Master sheet'!$AN$1:$AN$670,0))</f>
        <v xml:space="preserve">Concrete - 31-35 MPa, Canadian Benchmark Average / CRMCA / Can. Avg. / </v>
      </c>
      <c r="F16" s="1338" t="str">
        <f>INDEX('Master sheet'!$A$1:$A$670,MATCH("A12",'Master sheet'!$AN$1:$AN$670,0))</f>
        <v>Brick, Clay / Mutual Materials / Avg Thin Face Brick, Columbia Plant / 2-1/2" x 5/8" x 7-1/2" (64 x 16 x 190 mm) incl. 3/8" mortar</v>
      </c>
      <c r="G16" s="1338" t="str">
        <f>INDEX('Master sheet'!$A$1:$A$670,MATCH("A130",'Master sheet'!$AN$1:$AN$670,0))</f>
        <v>Wood I-joist / RedBuilt / Red I-45 / 11.875" depth, 1.75 x 1.5" LVL flanges</v>
      </c>
      <c r="H16" s="1338" t="str">
        <f>INDEX('Master sheet'!$A$1:$A$670,MATCH(102,'Master sheet'!$AN$1:$AN$670,0))</f>
        <v>(ARCHIVED 2026) Fiberglass batt / CertainTeed / Sustainable Insulation / R 3.6/inch</v>
      </c>
      <c r="I16" s="1334"/>
      <c r="J16" s="1334"/>
      <c r="K16" s="1334"/>
      <c r="L16" s="1334"/>
      <c r="M16" s="1334"/>
      <c r="N16" s="1334"/>
      <c r="O16" s="1334"/>
      <c r="P16" s="1334"/>
      <c r="Q16" s="1334"/>
      <c r="R16" s="1334"/>
      <c r="S16" s="1334"/>
      <c r="T16" s="1334"/>
      <c r="U16" s="1334"/>
      <c r="V16" s="1334"/>
      <c r="W16" s="1334"/>
      <c r="X16" s="1334"/>
      <c r="Y16" s="1334"/>
      <c r="Z16" s="1334"/>
    </row>
    <row r="17" spans="4:26" ht="15.75" customHeight="1" x14ac:dyDescent="0.3">
      <c r="E17" s="1338" t="str">
        <f>INDEX('Master sheet'!$A$1:$A$670,MATCH(70,'Master sheet'!$AN$1:$AN$670,0))</f>
        <v xml:space="preserve">Concrete - 31-35 MPa, 0-14% FA/SL, GU / CRMCA / Can. Avg. / </v>
      </c>
      <c r="F17" s="1338" t="str">
        <f>INDEX('Master sheet'!$A$1:$A$670,MATCH(21,'Master sheet'!$AN$1:$AN$670,0))</f>
        <v>Brick, Clay / Interstate / Avg Face Brick / 3-5/8" x 2-3/4" x 7-5/8" (92 x 70 x 194 mm) incl. 3/8" mortar</v>
      </c>
      <c r="G17" s="1338" t="str">
        <f>INDEX('Master sheet'!$A$1:$A$670,MATCH("A131",'Master sheet'!$AN$1:$AN$670,0))</f>
        <v>Wood I-joist / RedBuilt / Red I-45 / 14" depth, 1.75 x 1.5" LVL flanges</v>
      </c>
      <c r="H17" s="1338" t="str">
        <f>INDEX('Master sheet'!$A$1:$A$670,MATCH("A36",'Master sheet'!$AN$1:$AN$670,0))</f>
        <v>Fiberglass batt / Johns Manville / Unfaced, ComfortTherm, Cavity-SHIELD, FSK-25 / R 3.4/inch</v>
      </c>
      <c r="I17" s="1334"/>
      <c r="J17" s="1334"/>
      <c r="K17" s="1334"/>
      <c r="L17" s="1334"/>
      <c r="M17" s="1334"/>
      <c r="N17" s="1334"/>
      <c r="O17" s="1334"/>
      <c r="P17" s="1334"/>
      <c r="Q17" s="1334"/>
      <c r="R17" s="1334"/>
      <c r="S17" s="1334"/>
      <c r="T17" s="1334"/>
      <c r="U17" s="1334"/>
      <c r="V17" s="1334"/>
      <c r="W17" s="1334"/>
      <c r="X17" s="1334"/>
      <c r="Y17" s="1334"/>
      <c r="Z17" s="1334"/>
    </row>
    <row r="18" spans="4:26" ht="15.75" customHeight="1" x14ac:dyDescent="0.3">
      <c r="E18" s="1338" t="str">
        <f>INDEX('Master sheet'!$A$1:$A$670,MATCH(71,'Master sheet'!$AN$1:$AN$670,0))</f>
        <v xml:space="preserve">Concrete - 31-35 MPa, 15-29% Fly Ash, GU / CRMCA / Can. Avg. / </v>
      </c>
      <c r="F18" s="1338" t="str">
        <f>INDEX('Master sheet'!$A$1:$A$670,MATCH(22,'Master sheet'!$AN$1:$AN$670,0))</f>
        <v>Brick, Clay / Interstate / Avg Thin Face Brick / 3-9/16" x 5/8" x 11-5/8" (90 x 16 mm x 295) incl. 3/8" mortar</v>
      </c>
      <c r="G18" s="1338" t="str">
        <f>INDEX('Master sheet'!$A$1:$A$670,MATCH("A132",'Master sheet'!$AN$1:$AN$670,0))</f>
        <v>Wood I-joist / RedBuilt / Red I-45 / 16" depth, 1.75 x 1.5" LVL flanges</v>
      </c>
      <c r="H18" s="1338" t="str">
        <f>INDEX('Master sheet'!$A$1:$A$670,MATCH("A37",'Master sheet'!$AN$1:$AN$670,0))</f>
        <v>Fiberglass batt / NAIMA  /  / R 4.4/inch</v>
      </c>
      <c r="I18" s="1334"/>
      <c r="J18" s="1334"/>
      <c r="K18" s="1334"/>
      <c r="L18" s="1334"/>
      <c r="M18" s="1334"/>
      <c r="N18" s="1334"/>
      <c r="O18" s="1334"/>
      <c r="P18" s="1334"/>
      <c r="Q18" s="1334"/>
      <c r="R18" s="1334"/>
      <c r="S18" s="1334"/>
      <c r="T18" s="1334"/>
      <c r="U18" s="1334"/>
      <c r="V18" s="1334"/>
      <c r="W18" s="1334"/>
      <c r="X18" s="1334"/>
      <c r="Y18" s="1334"/>
      <c r="Z18" s="1334"/>
    </row>
    <row r="19" spans="4:26" ht="15.75" customHeight="1" x14ac:dyDescent="0.3">
      <c r="E19" s="1338" t="str">
        <f>INDEX('Master sheet'!$A$1:$A$670,MATCH(72,'Master sheet'!$AN$1:$AN$670,0))</f>
        <v xml:space="preserve">Concrete - 31-35 MPa, 30-40% Fly Ash, GU / CRMCA / Can. Avg. / </v>
      </c>
      <c r="F19" s="1338" t="str">
        <f>INDEX('Master sheet'!$A$1:$A$670,MATCH(23,'Master sheet'!$AN$1:$AN$670,0))</f>
        <v>Brick, Clay, Generic Modular / Brick Industry Association / US-Canada Industry Average / 3-5/8" x 2-3/4" x 7-5/8" incl. 3/8" mortar</v>
      </c>
      <c r="G19" s="1338" t="str">
        <f>INDEX('Master sheet'!$A$1:$A$670,MATCH("A133",'Master sheet'!$AN$1:$AN$670,0))</f>
        <v>Wood I-joist / RedBuilt / Red I-65 / 11.875" depth, 2.5 x 1.5" LVL flanges</v>
      </c>
      <c r="H19" s="1338" t="str">
        <f>INDEX('Master sheet'!$A$1:$A$670,MATCH("A38",'Master sheet'!$AN$1:$AN$670,0))</f>
        <v>Fiberglass batt &amp; roll  / Owens Corning /  Unfaced, PINK Next Gen Fiberglas / R 3.6/inch avg.</v>
      </c>
      <c r="I19" s="1334"/>
      <c r="J19" s="1334"/>
      <c r="K19" s="1334"/>
      <c r="L19" s="1334"/>
      <c r="M19" s="1334"/>
      <c r="N19" s="1334"/>
      <c r="O19" s="1334"/>
      <c r="P19" s="1334"/>
      <c r="Q19" s="1334"/>
      <c r="R19" s="1334"/>
      <c r="S19" s="1334"/>
      <c r="T19" s="1334"/>
      <c r="U19" s="1334"/>
      <c r="V19" s="1334"/>
      <c r="W19" s="1334"/>
      <c r="X19" s="1334"/>
      <c r="Y19" s="1334"/>
      <c r="Z19" s="1334"/>
    </row>
    <row r="20" spans="4:26" ht="15.75" customHeight="1" x14ac:dyDescent="0.3">
      <c r="E20" s="1338" t="str">
        <f>INDEX('Master sheet'!$A$1:$A$670,MATCH(73,'Master sheet'!$AN$1:$AN$670,0))</f>
        <v xml:space="preserve">Concrete - 31-35 MPa, 25-34% Slag, GU / CRMCA / Can. Avg. / </v>
      </c>
      <c r="F20" s="1338" t="str">
        <f>INDEX('Master sheet'!$A$1:$A$670,MATCH(25,'Master sheet'!$AN$1:$AN$670,0))</f>
        <v>Carpet /  /  / Average from 150 samples in the EC3 database</v>
      </c>
      <c r="G20" s="1338" t="str">
        <f>INDEX('Master sheet'!$A$1:$A$670,MATCH("A134",'Master sheet'!$AN$1:$AN$670,0))</f>
        <v>Wood I-joist / RedBuilt / Red I-65 / 14" depth, 2.5 x 1.5" LVL flanges</v>
      </c>
      <c r="H20" s="1338" t="str">
        <f>INDEX('Master sheet'!$A$1:$A$670,MATCH(105,'Master sheet'!$AN$1:$AN$670,0))</f>
        <v>Fiberglass loose fill / CertainTeed / InsulSafe, Optima, TruComfort / R 2.6/inch</v>
      </c>
      <c r="I20" s="1334"/>
      <c r="J20" s="1334"/>
      <c r="K20" s="1334"/>
      <c r="L20" s="1334"/>
      <c r="M20" s="1334"/>
      <c r="N20" s="1334"/>
      <c r="O20" s="1334"/>
      <c r="P20" s="1334"/>
      <c r="Q20" s="1334"/>
      <c r="R20" s="1334"/>
      <c r="S20" s="1334"/>
      <c r="T20" s="1334"/>
      <c r="U20" s="1334"/>
      <c r="V20" s="1334"/>
      <c r="W20" s="1334"/>
      <c r="X20" s="1334"/>
      <c r="Y20" s="1334"/>
      <c r="Z20" s="1334"/>
    </row>
    <row r="21" spans="4:26" ht="15.75" customHeight="1" x14ac:dyDescent="0.3">
      <c r="E21" s="1338" t="str">
        <f>INDEX('Master sheet'!$A$1:$A$670,MATCH(74,'Master sheet'!$AN$1:$AN$670,0))</f>
        <v xml:space="preserve">Concrete - 31-35 MPa, 35-50% Slag, GU / CRMCA / Can. Avg. / </v>
      </c>
      <c r="F21" s="1338" t="str">
        <f>INDEX('Master sheet'!$A$1:$A$670,MATCH(26,'Master sheet'!$AN$1:$AN$670,0))</f>
        <v>Carpet /  / Achievable from EC3 / Achievable from 150 samples in the EC3 database</v>
      </c>
      <c r="G21" s="1338" t="str">
        <f>INDEX('Master sheet'!$A$1:$A$670,MATCH("A135",'Master sheet'!$AN$1:$AN$670,0))</f>
        <v>Wood I-joist / RedBuilt / Red I-65 / 16" depth, 2.5 x 1.5" LVL flanges</v>
      </c>
      <c r="H21" s="1338" t="str">
        <f>INDEX('Master sheet'!$A$1:$A$670,MATCH("A39",'Master sheet'!$AN$1:$AN$670,0))</f>
        <v>Fiberglass loose fill / Owens Corning / AttiCat, ProCat, ProPink / R 3.28/inch</v>
      </c>
      <c r="I21" s="1334"/>
      <c r="J21" s="1334"/>
      <c r="K21" s="1334"/>
      <c r="L21" s="1334"/>
      <c r="M21" s="1334"/>
      <c r="N21" s="1334"/>
      <c r="O21" s="1334"/>
      <c r="P21" s="1334"/>
      <c r="Q21" s="1334"/>
      <c r="R21" s="1334"/>
      <c r="S21" s="1334"/>
      <c r="T21" s="1334"/>
      <c r="U21" s="1334"/>
      <c r="V21" s="1334"/>
      <c r="W21" s="1334"/>
      <c r="X21" s="1334"/>
      <c r="Y21" s="1334"/>
      <c r="Z21" s="1334"/>
    </row>
    <row r="22" spans="4:26" ht="15.75" customHeight="1" x14ac:dyDescent="0.3">
      <c r="D22" s="1334"/>
      <c r="E22" s="1338" t="str">
        <f>INDEX('Master sheet'!$A$1:$A$670,MATCH(75,'Master sheet'!$AN$1:$AN$670,0))</f>
        <v xml:space="preserve">Concrete - 20 MPa, Standard mix / NRMCA / US Avg / </v>
      </c>
      <c r="F22" s="1338" t="str">
        <f>INDEX('Master sheet'!$A$1:$A$670,MATCH(27,'Master sheet'!$AN$1:$AN$670,0))</f>
        <v>Carpet /  / Conservative from EC3 / Conservative from 150 samples in the EC3 database</v>
      </c>
      <c r="G22" s="1338" t="str">
        <f>INDEX('Master sheet'!$A$1:$A$670,MATCH(251,'Master sheet'!$AN$1:$AN$670,0))</f>
        <v>Wood floor truss - prefabricated / Canadian Wood Council / Common (Warren, 45 deg) web pattern / Top chord bearing, variable depth</v>
      </c>
      <c r="H22" s="1338" t="str">
        <f>INDEX('Master sheet'!$A$1:$A$670,MATCH("A40",'Master sheet'!$AN$1:$AN$670,0))</f>
        <v>Fiberglass loose fill / NAIMA  / Includes : CertainTeed, Inc. Saint-Gobin, Johns Manville, Knauf Insulation North America, Owens Corning / R 2.2/inch</v>
      </c>
      <c r="I22" s="1334"/>
      <c r="J22" s="1334"/>
      <c r="K22" s="1334"/>
      <c r="L22" s="1334"/>
      <c r="M22" s="1334"/>
      <c r="N22" s="1334"/>
      <c r="O22" s="1334"/>
      <c r="P22" s="1334"/>
      <c r="Q22" s="1334"/>
      <c r="R22" s="1334"/>
      <c r="S22" s="1334"/>
      <c r="T22" s="1334"/>
      <c r="U22" s="1334"/>
      <c r="V22" s="1334"/>
      <c r="W22" s="1334"/>
      <c r="X22" s="1334"/>
      <c r="Y22" s="1334"/>
      <c r="Z22" s="1334"/>
    </row>
    <row r="23" spans="4:26" ht="15.75" customHeight="1" x14ac:dyDescent="0.3">
      <c r="D23" s="1334"/>
      <c r="E23" s="1338" t="str">
        <f>INDEX('Master sheet'!$A$1:$A$670,MATCH(76,'Master sheet'!$AN$1:$AN$670,0))</f>
        <v xml:space="preserve">Concrete - 20 MPa, 20-30% Fly Ash / NRMCA / US Avg / </v>
      </c>
      <c r="F23" s="1338" t="str">
        <f>INDEX('Master sheet'!$A$1:$A$670,MATCH(29,'Master sheet'!$AN$1:$AN$670,0))</f>
        <v>(ARCHIVED 2026) Carpet / Interface / Cquest BioX / 1.5 mm Modular tile carpet</v>
      </c>
      <c r="G23" s="1338" t="str">
        <f>INDEX('Master sheet'!$A$1:$A$670,MATCH(252,'Master sheet'!$AN$1:$AN$670,0))</f>
        <v>Wood roof truss - prefabricated / Canadian Wood Council / Common (Double Howe) Gable Roof / 2x6 Chords, 2x4 Webs, 4:12 Pitch, 40 ft span, 20" overhang</v>
      </c>
      <c r="H23" s="1338" t="str">
        <f>INDEX('Master sheet'!$A$1:$A$670,MATCH("A41",'Master sheet'!$AN$1:$AN$670,0))</f>
        <v>Foam glass board / Pittsburgh Corning Europe / FOAMGLAS T4+ / R 3.5/inch</v>
      </c>
      <c r="I23" s="1334"/>
      <c r="J23" s="1334"/>
      <c r="K23" s="1334"/>
      <c r="L23" s="1334"/>
      <c r="M23" s="1334"/>
      <c r="N23" s="1334"/>
      <c r="O23" s="1334"/>
      <c r="P23" s="1334"/>
      <c r="Q23" s="1334"/>
      <c r="R23" s="1334"/>
      <c r="S23" s="1334"/>
      <c r="T23" s="1334"/>
      <c r="U23" s="1334"/>
      <c r="V23" s="1334"/>
      <c r="W23" s="1334"/>
      <c r="X23" s="1334"/>
      <c r="Y23" s="1334"/>
      <c r="Z23" s="1334"/>
    </row>
    <row r="24" spans="4:26" ht="15.75" customHeight="1" x14ac:dyDescent="0.3">
      <c r="D24" s="1334"/>
      <c r="E24" s="1338" t="str">
        <f>INDEX('Master sheet'!$A$1:$A$670,MATCH(77,'Master sheet'!$AN$1:$AN$670,0))</f>
        <v xml:space="preserve">Concrete - 20 MPa, 30-40% FA/SL / NRMCA / US Avg / </v>
      </c>
      <c r="F24" s="1338" t="str">
        <f>INDEX('Master sheet'!$A$1:$A$670,MATCH(36,'Master sheet'!$AN$1:$AN$670,0))</f>
        <v>Cement board 1/2" / USG / Durock (132) / 1/2" (12.7 mm)</v>
      </c>
      <c r="G24" s="1338" t="str">
        <f>INDEX('Master sheet'!$A$1:$A$670,MATCH(390,'Master sheet'!$AN$1:$AN$670,0))</f>
        <v>Rebar / Nucor Corporation / Canadian sizes / 10M</v>
      </c>
      <c r="H24" s="1338" t="str">
        <f>INDEX('Master sheet'!$A$1:$A$670,MATCH("A42",'Master sheet'!$AN$1:$AN$670,0))</f>
        <v>Foam glass board / Pittsburgh Corning Europe / FOAMGLAS F / R 2.9/inch</v>
      </c>
      <c r="I24" s="1334"/>
      <c r="J24" s="1334"/>
      <c r="K24" s="1334"/>
      <c r="L24" s="1334"/>
      <c r="M24" s="1334"/>
      <c r="N24" s="1334"/>
      <c r="O24" s="1334"/>
      <c r="P24" s="1334"/>
      <c r="Q24" s="1334"/>
      <c r="R24" s="1334"/>
      <c r="S24" s="1334"/>
      <c r="T24" s="1334"/>
      <c r="U24" s="1334"/>
      <c r="V24" s="1334"/>
      <c r="W24" s="1334"/>
      <c r="X24" s="1334"/>
      <c r="Y24" s="1334"/>
      <c r="Z24" s="1334"/>
    </row>
    <row r="25" spans="4:26" ht="15.75" customHeight="1" x14ac:dyDescent="0.3">
      <c r="D25" s="1334"/>
      <c r="E25" s="1338" t="str">
        <f>INDEX('Master sheet'!$A$1:$A$670,MATCH(78,'Master sheet'!$AN$1:$AN$670,0))</f>
        <v xml:space="preserve">Concrete - 20 MPa, 40-50% FA/SL mix / NRMCA / US Avg / </v>
      </c>
      <c r="F25" s="1338" t="str">
        <f>INDEX('Master sheet'!$A$1:$A$670,MATCH(37,'Master sheet'!$AN$1:$AN$670,0))</f>
        <v>Cement board 1/2" / USG / Durock (133) / 1/2" (12.7 mm)</v>
      </c>
      <c r="G25" s="1338" t="str">
        <f>INDEX('Master sheet'!$A$1:$A$670,MATCH(391,'Master sheet'!$AN$1:$AN$670,0))</f>
        <v>Rebar / Nucor Corporation / Canadian sizes / 15M</v>
      </c>
      <c r="H25" s="1338" t="str">
        <f>INDEX('Master sheet'!$A$1:$A$670,MATCH("A43",'Master sheet'!$AN$1:$AN$670,0))</f>
        <v>Foam glass board / Pittsburgh Corning Europe / FOAMGLAS S3 / R 3.2/inch</v>
      </c>
      <c r="I25" s="1334"/>
      <c r="J25" s="1334"/>
      <c r="K25" s="1334"/>
      <c r="L25" s="1334"/>
      <c r="M25" s="1334"/>
      <c r="N25" s="1334"/>
      <c r="O25" s="1334"/>
      <c r="P25" s="1334"/>
      <c r="Q25" s="1334"/>
      <c r="R25" s="1334"/>
      <c r="S25" s="1334"/>
      <c r="T25" s="1334"/>
      <c r="U25" s="1334"/>
      <c r="V25" s="1334"/>
      <c r="W25" s="1334"/>
      <c r="X25" s="1334"/>
      <c r="Y25" s="1334"/>
      <c r="Z25" s="1334"/>
    </row>
    <row r="26" spans="4:26" ht="15.75" customHeight="1" x14ac:dyDescent="0.3">
      <c r="D26" s="1334"/>
      <c r="E26" s="1338" t="str">
        <f>INDEX('Master sheet'!$A$1:$A$670,MATCH(79,'Master sheet'!$AN$1:$AN$670,0))</f>
        <v xml:space="preserve">Concrete - 20 MPa, &gt;50% SCM mix / NRMCA / US Avg / </v>
      </c>
      <c r="F26" s="1338" t="str">
        <f>INDEX('Master sheet'!$A$1:$A$670,MATCH("A13",'Master sheet'!$AN$1:$AN$670,0))</f>
        <v>Cement mortar, tile / Tile Council of North America / Industry average. Includes dry-set, modified dry-set and improved modified dry-set cement mortar</v>
      </c>
      <c r="G26" s="1338" t="str">
        <f>INDEX('Master sheet'!$A$1:$A$670,MATCH(392,'Master sheet'!$AN$1:$AN$670,0))</f>
        <v>Rebar / Nucor Corporation / Canadian sizes / 20M</v>
      </c>
      <c r="H26" s="1338" t="str">
        <f>INDEX('Master sheet'!$A$1:$A$670,MATCH("A44",'Master sheet'!$AN$1:$AN$670,0))</f>
        <v>Foam glass board / Pittsburgh Corning Europe / FOAMGLAS T3+ / R 4.0/inch</v>
      </c>
      <c r="I26" s="1334"/>
      <c r="J26" s="1334"/>
      <c r="K26" s="1334"/>
      <c r="L26" s="1334"/>
      <c r="M26" s="1334"/>
      <c r="N26" s="1334"/>
      <c r="O26" s="1334"/>
      <c r="P26" s="1334"/>
      <c r="Q26" s="1334"/>
      <c r="R26" s="1334"/>
      <c r="S26" s="1334"/>
      <c r="T26" s="1334"/>
      <c r="U26" s="1334"/>
      <c r="V26" s="1334"/>
      <c r="W26" s="1334"/>
      <c r="X26" s="1334"/>
      <c r="Y26" s="1334"/>
      <c r="Z26" s="1334"/>
    </row>
    <row r="27" spans="4:26" ht="15.75" customHeight="1" x14ac:dyDescent="0.3">
      <c r="D27" s="1334"/>
      <c r="E27" s="1338" t="str">
        <f>INDEX('Master sheet'!$A$1:$A$670,MATCH(113,'Master sheet'!$AN$1:$AN$670,0))</f>
        <v xml:space="preserve">Glued laminated timber / American Wood Council &amp; Canadian Wood Council /  / </v>
      </c>
      <c r="F27" s="1338" t="str">
        <f>INDEX('Master sheet'!$A$1:$A$670,MATCH(39,'Master sheet'!$AN$1:$AN$670,0))</f>
        <v>(ARCHIVED 2026) Ceramic tile / Crossville / Porcelain / Standard grade</v>
      </c>
      <c r="G27" s="1338" t="str">
        <f>INDEX('Master sheet'!$A$1:$A$670,MATCH(393,'Master sheet'!$AN$1:$AN$670,0))</f>
        <v>(ARCHIVED 2026) Rebar / ArcelorMittal Long Products Canada / Canadian sizes / 10M</v>
      </c>
      <c r="H27" s="1338" t="str">
        <f>INDEX('Master sheet'!$A$1:$A$670,MATCH("A54",'Master sheet'!$AN$1:$AN$670,0))</f>
        <v>Hemp fiber batt / NaturFibre / Hemp Wool / R 3.7/inch</v>
      </c>
      <c r="I27" s="1334"/>
      <c r="J27" s="1334"/>
      <c r="K27" s="1334"/>
      <c r="L27" s="1334"/>
      <c r="M27" s="1334"/>
      <c r="N27" s="1334"/>
      <c r="O27" s="1334"/>
      <c r="P27" s="1334"/>
      <c r="Q27" s="1334"/>
      <c r="R27" s="1334"/>
      <c r="S27" s="1334"/>
      <c r="T27" s="1334"/>
      <c r="U27" s="1334"/>
      <c r="V27" s="1334"/>
      <c r="W27" s="1334"/>
      <c r="X27" s="1334"/>
      <c r="Y27" s="1334"/>
      <c r="Z27" s="1334"/>
    </row>
    <row r="28" spans="4:26" ht="15.75" customHeight="1" x14ac:dyDescent="0.3">
      <c r="D28" s="1334"/>
      <c r="E28" s="1338" t="str">
        <f>INDEX('Master sheet'!$A$1:$A$670,MATCH(114,'Master sheet'!$AN$1:$AN$670,0))</f>
        <v>Glued laminated timber / Structurlam / Glulam Plus / 3-1/2" (90mm) thick</v>
      </c>
      <c r="F28" s="1338" t="str">
        <f>INDEX('Master sheet'!$A$1:$A$670,MATCH("A14",'Master sheet'!$AN$1:$AN$670,0))</f>
        <v xml:space="preserve">Ceramic tile / Tile Council of North America / Industry average. Includes porcelain, pressed, mosaic and quarry tile / 18.8 kg/m2 </v>
      </c>
      <c r="G28" s="1338" t="str">
        <f>INDEX('Master sheet'!$A$1:$A$670,MATCH(394,'Master sheet'!$AN$1:$AN$670,0))</f>
        <v>(ARCHIVED 2026) Rebar / ArcelorMittal Long Products Canada / Canadian sizes / 15M</v>
      </c>
      <c r="H28" s="1338" t="str">
        <f>INDEX('Master sheet'!$A$1:$A$670,MATCH("A57",'Master sheet'!$AN$1:$AN$670,0))</f>
        <v>Hempcrete / Cast in-situ / IsoHemp / Europe / R 2.1/inch</v>
      </c>
      <c r="I28" s="1334"/>
      <c r="J28" s="1334"/>
      <c r="K28" s="1334"/>
      <c r="L28" s="1334"/>
      <c r="M28" s="1334"/>
      <c r="N28" s="1334"/>
      <c r="O28" s="1334"/>
      <c r="P28" s="1334"/>
      <c r="Q28" s="1334"/>
      <c r="R28" s="1334"/>
      <c r="S28" s="1334"/>
      <c r="T28" s="1334"/>
      <c r="U28" s="1334"/>
      <c r="V28" s="1334"/>
      <c r="W28" s="1334"/>
      <c r="X28" s="1334"/>
      <c r="Y28" s="1334"/>
      <c r="Z28" s="1334"/>
    </row>
    <row r="29" spans="4:26" ht="15.75" customHeight="1" x14ac:dyDescent="0.3">
      <c r="D29" s="1334"/>
      <c r="E29" s="1338" t="str">
        <f>INDEX('Master sheet'!$A$1:$A$670,MATCH("A45",'Master sheet'!$AN$1:$AN$670,0))</f>
        <v>Glued Laminated Timber (Glulam) / Vaagen Timbers /  / Colville, WA</v>
      </c>
      <c r="F29" s="1338" t="str">
        <f>INDEX('Master sheet'!$A$1:$A$670,MATCH(43,'Master sheet'!$AN$1:$AN$670,0))</f>
        <v xml:space="preserve">Clay roof tiles / HISPALYT /  / </v>
      </c>
      <c r="G29" s="1338" t="str">
        <f>INDEX('Master sheet'!$A$1:$A$670,MATCH(395,'Master sheet'!$AN$1:$AN$670,0))</f>
        <v>(ARCHIVED 2026) Rebar / ArcelorMittal Long Products Canada / Canadian sizes / 20M</v>
      </c>
      <c r="H29" s="1338" t="str">
        <f>INDEX('Master sheet'!$A$1:$A$670,MATCH("A58",'Master sheet'!$AN$1:$AN$670,0))</f>
        <v>Hempcrete block / Isohemp / Hemp Block PAL36EX including mortar / 600 x 300 x 360 mm  / R 2/inch</v>
      </c>
      <c r="I29" s="1334"/>
      <c r="J29" s="1334"/>
      <c r="K29" s="1334"/>
      <c r="L29" s="1334"/>
      <c r="M29" s="1334"/>
      <c r="N29" s="1334"/>
      <c r="O29" s="1334"/>
      <c r="P29" s="1334"/>
      <c r="Q29" s="1334"/>
      <c r="R29" s="1334"/>
      <c r="S29" s="1334"/>
      <c r="T29" s="1334"/>
      <c r="U29" s="1334"/>
      <c r="V29" s="1334"/>
      <c r="W29" s="1334"/>
      <c r="X29" s="1334"/>
      <c r="Y29" s="1334"/>
      <c r="Z29" s="1334"/>
    </row>
    <row r="30" spans="4:26" ht="15.75" customHeight="1" x14ac:dyDescent="0.3">
      <c r="D30" s="1334"/>
      <c r="E30" s="1338" t="str">
        <f>INDEX('Master sheet'!$A$1:$A$670,MATCH("A46",'Master sheet'!$AN$1:$AN$670,0))</f>
        <v>Glued Laminated Timber (Glulam) / Kalesnikoff Lumber Co. /  / BC</v>
      </c>
      <c r="F30" s="1338" t="str">
        <f>INDEX('Master sheet'!$A$1:$A$670,MATCH(52,'Master sheet'!$AN$1:$AN$670,0))</f>
        <v>Earthen Floor / Site made /  / 3" cob, 1" clay plaster</v>
      </c>
      <c r="G30" s="1338"/>
      <c r="H30" s="1338" t="str">
        <f>INDEX('Master sheet'!$A$1:$A$670,MATCH("A59",'Master sheet'!$AN$1:$AN$670,0))</f>
        <v>Hempcrete block / Senini / Blocco Ambiente / 200 x 500 x 300 mm / 330 kg/m3 / R 2.1/inch</v>
      </c>
      <c r="I30" s="1334"/>
      <c r="J30" s="1334"/>
      <c r="K30" s="1334"/>
      <c r="L30" s="1334"/>
      <c r="M30" s="1334"/>
      <c r="N30" s="1334"/>
      <c r="O30" s="1334"/>
      <c r="P30" s="1334"/>
      <c r="Q30" s="1334"/>
      <c r="R30" s="1334"/>
      <c r="S30" s="1334"/>
      <c r="T30" s="1334"/>
      <c r="U30" s="1334"/>
      <c r="V30" s="1334"/>
      <c r="W30" s="1334"/>
      <c r="X30" s="1334"/>
      <c r="Y30" s="1334"/>
      <c r="Z30" s="1334"/>
    </row>
    <row r="31" spans="4:26" ht="15.75" customHeight="1" x14ac:dyDescent="0.3">
      <c r="D31" s="1334"/>
      <c r="E31" s="1338" t="str">
        <f>INDEX('Master sheet'!$A$1:$A$670,MATCH("A47",'Master sheet'!$AN$1:$AN$670,0))</f>
        <v>Glued Laminated Timber (Glulam) / Western Archrib /  / Manitoba</v>
      </c>
      <c r="F31" s="1338" t="str">
        <f>INDEX('Master sheet'!$A$1:$A$670,MATCH(55,'Master sheet'!$AN$1:$AN$670,0))</f>
        <v>Compressed straw board / Stramit / 60 mm board / R 3.9/inch</v>
      </c>
      <c r="G31" s="1338"/>
      <c r="H31" s="1338" t="str">
        <f>INDEX('Master sheet'!$A$1:$A$670,MATCH("A60",'Master sheet'!$AN$1:$AN$670,0))</f>
        <v xml:space="preserve">Hempcrete / Cast in-situ / Senini / Bio Beton Jet / 230 kg/m3 / R 2.7/inch </v>
      </c>
      <c r="I31" s="1334"/>
      <c r="J31" s="1334"/>
      <c r="K31" s="1334"/>
      <c r="L31" s="1334"/>
      <c r="M31" s="1334"/>
      <c r="N31" s="1334"/>
      <c r="O31" s="1334"/>
      <c r="P31" s="1334"/>
      <c r="Q31" s="1334"/>
      <c r="R31" s="1334"/>
      <c r="S31" s="1334"/>
      <c r="T31" s="1334"/>
      <c r="U31" s="1334"/>
      <c r="V31" s="1334"/>
      <c r="W31" s="1334"/>
      <c r="X31" s="1334"/>
      <c r="Y31" s="1334"/>
      <c r="Z31" s="1334"/>
    </row>
    <row r="32" spans="4:26" ht="15.75" customHeight="1" x14ac:dyDescent="0.3">
      <c r="D32" s="1334"/>
      <c r="E32" s="1338" t="str">
        <f>INDEX('Master sheet'!$A$1:$A$670,MATCH("A48",'Master sheet'!$AN$1:$AN$670,0))</f>
        <v>Glued Laminated Timber (Glulam) / Western Archrib /  / Alberta</v>
      </c>
      <c r="F32" s="1338" t="str">
        <f>INDEX('Master sheet'!$A$1:$A$670,MATCH(82,'Master sheet'!$AN$1:$AN$670,0))</f>
        <v>Cork flooring / European Resilient Flooring Manufacturers' Institute / Includes: Altro, Amorim, Amtico, Artigo, Aspecta, BeauFlor, Dickson, Mflor, Forbo, Gerflor, IVC, Nora, Polyflor, Tarkett, Kahrs, Windmoller / Cork floor tiles</v>
      </c>
      <c r="G32" s="1338"/>
      <c r="H32" s="1338" t="str">
        <f>INDEX('Master sheet'!$A$1:$A$670,MATCH("A61",'Master sheet'!$AN$1:$AN$670,0))</f>
        <v xml:space="preserve">Hempcrete dry fill / Senini / Bio Beton Pronto / 190 kg/m3 / R 2.7/inch </v>
      </c>
      <c r="I32" s="1334"/>
      <c r="J32" s="1334"/>
      <c r="K32" s="1334"/>
      <c r="L32" s="1334"/>
      <c r="M32" s="1334"/>
      <c r="N32" s="1334"/>
      <c r="O32" s="1334"/>
      <c r="P32" s="1334"/>
      <c r="Q32" s="1334"/>
      <c r="R32" s="1334"/>
      <c r="S32" s="1334"/>
      <c r="T32" s="1334"/>
      <c r="U32" s="1334"/>
      <c r="V32" s="1334"/>
      <c r="W32" s="1334"/>
      <c r="X32" s="1334"/>
      <c r="Y32" s="1334"/>
      <c r="Z32" s="1334"/>
    </row>
    <row r="33" spans="4:26" ht="15.75" customHeight="1" x14ac:dyDescent="0.3">
      <c r="D33" s="1334"/>
      <c r="E33" s="1338" t="str">
        <f>INDEX('Master sheet'!$A$1:$A$670,MATCH("A49",'Master sheet'!$AN$1:$AN$670,0))</f>
        <v>Glued Laminated Timber (Glulam) / Element5 /  / Ontario</v>
      </c>
      <c r="F33" s="1338" t="str">
        <f>INDEX('Master sheet'!$A$1:$A$670,MATCH(89,'Master sheet'!$AN$1:$AN$670,0))</f>
        <v>Drywall 1/2" / Pabco / QuietRock / QuietRock 1/2"</v>
      </c>
      <c r="G33" s="1338"/>
      <c r="H33" s="1338" t="str">
        <f>INDEX('Master sheet'!$A$1:$A$670,MATCH(123,'Master sheet'!$AN$1:$AN$670,0))</f>
        <v>Hempcrete / Cast in-situ / Site mixed / Europe / R 2.1/inch, Avg. of 9 mixes</v>
      </c>
      <c r="I33" s="1334"/>
      <c r="J33" s="1334"/>
      <c r="K33" s="1334"/>
      <c r="L33" s="1334"/>
      <c r="M33" s="1334"/>
      <c r="N33" s="1334"/>
      <c r="O33" s="1334"/>
      <c r="P33" s="1334"/>
      <c r="Q33" s="1334"/>
      <c r="R33" s="1334"/>
      <c r="S33" s="1334"/>
      <c r="T33" s="1334"/>
      <c r="U33" s="1334"/>
      <c r="V33" s="1334"/>
      <c r="W33" s="1334"/>
      <c r="X33" s="1334"/>
      <c r="Y33" s="1334"/>
      <c r="Z33" s="1334"/>
    </row>
    <row r="34" spans="4:26" ht="15.75" customHeight="1" x14ac:dyDescent="0.3">
      <c r="D34" s="1334"/>
      <c r="E34" s="1338" t="str">
        <f>INDEX('Master sheet'!$A$1:$A$670,MATCH(126,'Master sheet'!$AN$1:$AN$670,0))</f>
        <v xml:space="preserve">Laminated strand lumber (LSL) / American Wood Council &amp; Canadian Wood Council /  / </v>
      </c>
      <c r="F34" s="1338" t="str">
        <f>INDEX('Master sheet'!$A$1:$A$670,MATCH(90,'Master sheet'!$AN$1:$AN$670,0))</f>
        <v>Drywall 5/8" /  / Includes American Gypsum, CertainTeed, Continental, Georgia-Pacific, National Gypsum, Pabco, USG, CGC / 5/8"</v>
      </c>
      <c r="G34" s="1338"/>
      <c r="H34" s="1338" t="str">
        <f>INDEX('Master sheet'!$A$1:$A$670,MATCH(124,'Master sheet'!$AN$1:$AN$670,0))</f>
        <v>Hempcrete / Cast in-situ / Site mixed / USA / R 2.1/inch, Avg. mix using NHL &amp; PHL</v>
      </c>
      <c r="I34" s="1334"/>
      <c r="J34" s="1334"/>
      <c r="K34" s="1334"/>
      <c r="L34" s="1334"/>
      <c r="M34" s="1334"/>
      <c r="N34" s="1334"/>
      <c r="O34" s="1334"/>
      <c r="P34" s="1334"/>
      <c r="Q34" s="1334"/>
      <c r="R34" s="1334"/>
      <c r="S34" s="1334"/>
      <c r="T34" s="1334"/>
      <c r="U34" s="1334"/>
      <c r="V34" s="1334"/>
      <c r="W34" s="1334"/>
      <c r="X34" s="1334"/>
      <c r="Y34" s="1334"/>
      <c r="Z34" s="1334"/>
    </row>
    <row r="35" spans="4:26" ht="15.75" customHeight="1" x14ac:dyDescent="0.3">
      <c r="D35" s="1334"/>
      <c r="E35" s="1338" t="str">
        <f>INDEX('Master sheet'!$A$1:$A$670,MATCH(127,'Master sheet'!$AN$1:$AN$670,0))</f>
        <v xml:space="preserve">Laminated veneer lumber (LVL) / American Wood Council &amp; Canadian Wood Council /  / </v>
      </c>
      <c r="F35" s="1338" t="str">
        <f>INDEX('Master sheet'!$A$1:$A$670,MATCH("A27",'Master sheet'!$AN$1:$AN$670,0))</f>
        <v>Drywall 5/8"  / USG / Sheetrock Brand EcoSmart Firecode X  / 5/8'' type X</v>
      </c>
      <c r="G35" s="1338"/>
      <c r="H35" s="1338" t="str">
        <f>INDEX('Master sheet'!$A$1:$A$670,MATCH("A75",'Master sheet'!$AN$1:$AN$670,0))</f>
        <v>Mineral wool board - heavy density / NAIMA / Owens Corning, Johns Manville, Rolan / R 4.4/inch</v>
      </c>
      <c r="I35" s="1334"/>
      <c r="J35" s="1334"/>
      <c r="K35" s="1334"/>
      <c r="L35" s="1334"/>
      <c r="M35" s="1334"/>
      <c r="N35" s="1334"/>
      <c r="O35" s="1334"/>
      <c r="P35" s="1334"/>
      <c r="Q35" s="1334"/>
      <c r="R35" s="1334"/>
      <c r="S35" s="1334"/>
      <c r="T35" s="1334"/>
      <c r="U35" s="1334"/>
      <c r="V35" s="1334"/>
      <c r="W35" s="1334"/>
      <c r="X35" s="1334"/>
      <c r="Y35" s="1334"/>
      <c r="Z35" s="1334"/>
    </row>
    <row r="36" spans="4:26" ht="15.75" customHeight="1" x14ac:dyDescent="0.3">
      <c r="D36" s="1334"/>
      <c r="E36" s="1338" t="str">
        <f>INDEX('Master sheet'!$A$1:$A$670,MATCH("A62",'Master sheet'!$AN$1:$AN$670,0))</f>
        <v xml:space="preserve">Laminated veneer lumber (LVL)  / RedBuilt / RedLam LVL / </v>
      </c>
      <c r="F36" s="1338" t="str">
        <f>INDEX('Master sheet'!$A$1:$A$670,MATCH(92,'Master sheet'!$AN$1:$AN$670,0))</f>
        <v xml:space="preserve">EPDM Roofing Membrane / SPRI /  / </v>
      </c>
      <c r="G36" s="1338"/>
      <c r="H36" s="1338" t="str">
        <f>INDEX('Master sheet'!$A$1:$A$670,MATCH("A76",'Master sheet'!$AN$1:$AN$670,0))</f>
        <v>Mineral wool board - light density / NAIMA / Owens Corning, Johns Manville, Rolan / R 3.9/inch</v>
      </c>
      <c r="I36" s="1334"/>
      <c r="J36" s="1334"/>
      <c r="K36" s="1334"/>
      <c r="L36" s="1334"/>
      <c r="M36" s="1334"/>
      <c r="N36" s="1334"/>
      <c r="O36" s="1334"/>
      <c r="P36" s="1334"/>
      <c r="Q36" s="1334"/>
      <c r="R36" s="1334"/>
      <c r="S36" s="1334"/>
      <c r="T36" s="1334"/>
      <c r="U36" s="1334"/>
      <c r="V36" s="1334"/>
      <c r="W36" s="1334"/>
      <c r="X36" s="1334"/>
      <c r="Y36" s="1334"/>
      <c r="Z36" s="1334"/>
    </row>
    <row r="37" spans="4:26" ht="15.75" customHeight="1" x14ac:dyDescent="0.3">
      <c r="D37" s="1334"/>
      <c r="E37" s="1338" t="str">
        <f>INDEX('Master sheet'!$A$1:$A$670,MATCH("A63",'Master sheet'!$AN$1:$AN$670,0))</f>
        <v xml:space="preserve">Laminated veneer lumber (LVL)  / Boise Cascade / Versa-Lam / </v>
      </c>
      <c r="F37" s="1338" t="str">
        <f>INDEX('Master sheet'!$A$1:$A$670,MATCH("A51",'Master sheet'!$AN$1:$AN$670,0))</f>
        <v>Gypsum panels - glass mat / Georgia-Pacific / DensGlass Sheathing  / 1/2"</v>
      </c>
      <c r="G37" s="1338"/>
      <c r="H37" s="1338" t="str">
        <f>INDEX('Master sheet'!$A$1:$A$670,MATCH("A77",'Master sheet'!$AN$1:$AN$670,0))</f>
        <v>Mineral wool loose fill / NAIMA / USG, American Rockwool  / R 3/inch</v>
      </c>
      <c r="I37" s="1334"/>
      <c r="J37" s="1334"/>
      <c r="K37" s="1334"/>
      <c r="L37" s="1334"/>
      <c r="M37" s="1334"/>
      <c r="N37" s="1334"/>
      <c r="O37" s="1334"/>
      <c r="P37" s="1334"/>
      <c r="Q37" s="1334"/>
      <c r="R37" s="1334"/>
      <c r="S37" s="1334"/>
      <c r="T37" s="1334"/>
      <c r="U37" s="1334"/>
      <c r="V37" s="1334"/>
      <c r="W37" s="1334"/>
      <c r="X37" s="1334"/>
      <c r="Y37" s="1334"/>
      <c r="Z37" s="1334"/>
    </row>
    <row r="38" spans="4:26" ht="15.75" customHeight="1" x14ac:dyDescent="0.3">
      <c r="D38" s="1334"/>
      <c r="E38" s="1338" t="str">
        <f>INDEX('Master sheet'!$A$1:$A$670,MATCH(137,'Master sheet'!$AN$1:$AN$670,0))</f>
        <v xml:space="preserve">Masonry Mortar Mix / 1 part Masonry cement / 3 parts avg sand / </v>
      </c>
      <c r="F38" s="1338" t="str">
        <f>INDEX('Master sheet'!$A$1:$A$670,MATCH(116,'Master sheet'!$AN$1:$AN$670,0))</f>
        <v>Gypsum panels - glass mat / USG / Securock ExoAir 430 / 1/2"</v>
      </c>
      <c r="G38" s="1338"/>
      <c r="H38" s="1338" t="str">
        <f>INDEX('Master sheet'!$A$1:$A$670,MATCH(153,'Master sheet'!$AN$1:$AN$670,0))</f>
        <v>Mycelium board / Ecovative / Mycofoam / R 3.7/inch</v>
      </c>
      <c r="I38" s="1334"/>
      <c r="J38" s="1334"/>
      <c r="K38" s="1334"/>
      <c r="L38" s="1334"/>
      <c r="M38" s="1334"/>
      <c r="N38" s="1334"/>
      <c r="O38" s="1334"/>
      <c r="P38" s="1334"/>
      <c r="Q38" s="1334"/>
      <c r="R38" s="1334"/>
      <c r="S38" s="1334"/>
      <c r="T38" s="1334"/>
      <c r="U38" s="1334"/>
      <c r="V38" s="1334"/>
      <c r="W38" s="1334"/>
      <c r="X38" s="1334"/>
      <c r="Y38" s="1334"/>
      <c r="Z38" s="1334"/>
    </row>
    <row r="39" spans="4:26" ht="15.75" customHeight="1" x14ac:dyDescent="0.3">
      <c r="D39" s="1334"/>
      <c r="E39" s="1338" t="str">
        <f>INDEX('Master sheet'!$A$1:$A$670,MATCH("248-1",'Master sheet'!$AN$1:$AN$670,0))</f>
        <v xml:space="preserve">Wood - SPF / Canadian Wood Council / British Columbia / </v>
      </c>
      <c r="F39" s="1338" t="str">
        <f>INDEX('Master sheet'!$A$1:$A$670,MATCH(118,'Master sheet'!$AN$1:$AN$670,0))</f>
        <v>Hardwood flooring / mafi / Natural Hardwood Planks / 3/4", 3 ply laminated solid, oil pre-finished</v>
      </c>
      <c r="G39" s="1338"/>
      <c r="H39" s="1338" t="str">
        <f>INDEX('Master sheet'!$A$1:$A$670,MATCH("A91",'Master sheet'!$AN$1:$AN$670,0))</f>
        <v>Polyiso - roof boards / Carlisle / GRF cellulosic facer / GRF facer / Type II R 5.6-inch, 16 psi</v>
      </c>
      <c r="I39" s="1334"/>
      <c r="J39" s="1334"/>
      <c r="K39" s="1334"/>
      <c r="L39" s="1334"/>
      <c r="M39" s="1334"/>
      <c r="N39" s="1334"/>
      <c r="O39" s="1334"/>
      <c r="P39" s="1334"/>
      <c r="Q39" s="1334"/>
      <c r="R39" s="1334"/>
      <c r="S39" s="1334"/>
      <c r="T39" s="1334"/>
      <c r="U39" s="1334"/>
      <c r="V39" s="1334"/>
      <c r="W39" s="1334"/>
      <c r="X39" s="1334"/>
      <c r="Y39" s="1334"/>
      <c r="Z39" s="1334"/>
    </row>
    <row r="40" spans="4:26" ht="15.75" customHeight="1" x14ac:dyDescent="0.3">
      <c r="D40" s="1334"/>
      <c r="E40" s="1338" t="str">
        <f>INDEX('Master sheet'!$A$1:$A$670,MATCH("248-2",'Master sheet'!$AN$1:$AN$670,0))</f>
        <v xml:space="preserve">Wood - SPF / Canadian Wood Council / Alberta / </v>
      </c>
      <c r="F40" s="1338" t="str">
        <f>INDEX('Master sheet'!$A$1:$A$670,MATCH("A52",'Master sheet'!$AN$1:$AN$670,0))</f>
        <v>Hardwood flooring / NWFA and Decorative Hardwoods Association / Solid Wood Flooring / 3/4"</v>
      </c>
      <c r="G40" s="1338"/>
      <c r="H40" s="1338" t="str">
        <f>INDEX('Master sheet'!$A$1:$A$670,MATCH("A92",'Master sheet'!$AN$1:$AN$670,0))</f>
        <v>Polyiso - roof boards / Hunter / H-Shield / GRF facer / Type II R 5.6-inch, 16 psi</v>
      </c>
      <c r="I40" s="1334"/>
      <c r="J40" s="1334"/>
      <c r="K40" s="1334"/>
      <c r="L40" s="1334"/>
      <c r="M40" s="1334"/>
      <c r="N40" s="1334"/>
      <c r="O40" s="1334"/>
      <c r="P40" s="1334"/>
      <c r="Q40" s="1334"/>
      <c r="R40" s="1334"/>
      <c r="S40" s="1334"/>
      <c r="T40" s="1334"/>
      <c r="U40" s="1334"/>
      <c r="V40" s="1334"/>
      <c r="W40" s="1334"/>
      <c r="X40" s="1334"/>
      <c r="Y40" s="1334"/>
      <c r="Z40" s="1334"/>
    </row>
    <row r="41" spans="4:26" ht="15.75" customHeight="1" x14ac:dyDescent="0.3">
      <c r="D41" s="1334"/>
      <c r="E41" s="1338" t="str">
        <f>INDEX('Master sheet'!$A$1:$A$670,MATCH("248-3",'Master sheet'!$AN$1:$AN$670,0))</f>
        <v xml:space="preserve">Wood - SPF / Canadian Wood Council / Ontario / </v>
      </c>
      <c r="F41" s="1338" t="str">
        <f>INDEX('Master sheet'!$A$1:$A$670,MATCH("A53",'Master sheet'!$AN$1:$AN$670,0))</f>
        <v>Hardwood flooring / Wickham / Solid Hardwood / 3/4"</v>
      </c>
      <c r="G41" s="1338"/>
      <c r="H41" s="1338" t="str">
        <f>INDEX('Master sheet'!$A$1:$A$670,MATCH("A93",'Master sheet'!$AN$1:$AN$670,0))</f>
        <v>Polyiso - roof boards / PIMA / Includes: Atlas, Firestone, GAF, Johns Manville, Rmax, Carlisle, Iko, Soprema / GRF facer / R 5.6/inch</v>
      </c>
      <c r="I41" s="1334"/>
      <c r="J41" s="1334"/>
      <c r="K41" s="1334"/>
      <c r="L41" s="1334"/>
      <c r="M41" s="1334"/>
      <c r="N41" s="1334"/>
      <c r="O41" s="1334"/>
      <c r="P41" s="1334"/>
      <c r="Q41" s="1334"/>
      <c r="R41" s="1334"/>
      <c r="S41" s="1334"/>
      <c r="T41" s="1334"/>
      <c r="U41" s="1334"/>
      <c r="V41" s="1334"/>
      <c r="W41" s="1334"/>
      <c r="X41" s="1334"/>
      <c r="Y41" s="1334"/>
      <c r="Z41" s="1334"/>
    </row>
    <row r="42" spans="4:26" ht="15.75" customHeight="1" x14ac:dyDescent="0.3">
      <c r="D42" s="1334"/>
      <c r="E42" s="1338" t="str">
        <f>INDEX('Master sheet'!$A$1:$A$670,MATCH("248-4",'Master sheet'!$AN$1:$AN$670,0))</f>
        <v xml:space="preserve">Wood - SPF / Canadian Wood Council / Quebec / </v>
      </c>
      <c r="F42" s="1338" t="str">
        <f>INDEX('Master sheet'!$A$1:$A$670,MATCH("A66",'Master sheet'!$AN$1:$AN$670,0))</f>
        <v>Linoleum flooring / Tarkett / Lino Acoustic  / 3.8 mm sheet style linoleum with polyurethane foam backing</v>
      </c>
      <c r="G42" s="1338"/>
      <c r="H42" s="1338" t="str">
        <f>INDEX('Master sheet'!$A$1:$A$670,MATCH("A94",'Master sheet'!$AN$1:$AN$670,0))</f>
        <v>Polyiso - roof boards / Versico / VersiCore, SecurShield, DuraFaceR / GRF facer / Type II R 5.6-inch, 16 psi</v>
      </c>
      <c r="I42" s="1334"/>
      <c r="J42" s="1334"/>
      <c r="K42" s="1334"/>
      <c r="L42" s="1334"/>
      <c r="M42" s="1334"/>
      <c r="N42" s="1334"/>
      <c r="O42" s="1334"/>
      <c r="P42" s="1334"/>
      <c r="Q42" s="1334"/>
      <c r="R42" s="1334"/>
      <c r="S42" s="1334"/>
      <c r="T42" s="1334"/>
      <c r="U42" s="1334"/>
      <c r="V42" s="1334"/>
      <c r="W42" s="1334"/>
      <c r="X42" s="1334"/>
      <c r="Y42" s="1334"/>
      <c r="Z42" s="1334"/>
    </row>
    <row r="43" spans="4:26" ht="15.75" customHeight="1" x14ac:dyDescent="0.3">
      <c r="D43" s="1334"/>
      <c r="E43" s="1338" t="str">
        <f>INDEX('Master sheet'!$A$1:$A$670,MATCH("248-5",'Master sheet'!$AN$1:$AN$670,0))</f>
        <v xml:space="preserve">Wood - SPF / Canadian Wood Council / New Brunswick / </v>
      </c>
      <c r="F43" s="1338" t="str">
        <f>INDEX('Master sheet'!$A$1:$A$670,MATCH("A67",'Master sheet'!$AN$1:$AN$670,0))</f>
        <v>Linoleum flooring / Tarkett / Lino Veneto xf2, Etrusco, Style Elle|Emme, Veneto, Originale, LinoRail, Linosport / 2.5 mm sheet style linoleum</v>
      </c>
      <c r="G43" s="1338"/>
      <c r="H43" s="1338" t="str">
        <f>INDEX('Master sheet'!$A$1:$A$670,MATCH("A95",'Master sheet'!$AN$1:$AN$670,0))</f>
        <v>Polyisocyanurate - roof boards / Carlisle / CGF facer / CGF facer / Type II R 5.6/inch, 16 psi</v>
      </c>
      <c r="I43" s="1334"/>
      <c r="J43" s="1334"/>
      <c r="K43" s="1334"/>
      <c r="L43" s="1334"/>
      <c r="M43" s="1334"/>
      <c r="N43" s="1334"/>
      <c r="O43" s="1334"/>
      <c r="P43" s="1334"/>
      <c r="Q43" s="1334"/>
      <c r="R43" s="1334"/>
      <c r="S43" s="1334"/>
      <c r="T43" s="1334"/>
      <c r="U43" s="1334"/>
      <c r="V43" s="1334"/>
      <c r="W43" s="1334"/>
      <c r="X43" s="1334"/>
      <c r="Y43" s="1334"/>
      <c r="Z43" s="1334"/>
    </row>
    <row r="44" spans="4:26" ht="15.75" customHeight="1" x14ac:dyDescent="0.3">
      <c r="D44" s="1334"/>
      <c r="E44" s="1338" t="str">
        <f>INDEX('Master sheet'!$A$1:$A$670,MATCH("248-6",'Master sheet'!$AN$1:$AN$670,0))</f>
        <v xml:space="preserve">Wood - SPF / Canadian Wood Council / Atlantic Canada / </v>
      </c>
      <c r="F44" s="1338" t="str">
        <f>INDEX('Master sheet'!$A$1:$A$670,MATCH("A68",'Master sheet'!$AN$1:$AN$670,0))</f>
        <v>Linoleum flooring / Tarkett / Veneto Acoustic Cork / 4.4 mm sheet style linoleum with cork backing</v>
      </c>
      <c r="G44" s="1338"/>
      <c r="H44" s="1338" t="str">
        <f>INDEX('Master sheet'!$A$1:$A$670,MATCH("A96",'Master sheet'!$AN$1:$AN$670,0))</f>
        <v>Polyisocyanurate - roof boards / Hunter / H-Shield CG / CGF facer / Type II R 5.6/inch, 16 psi</v>
      </c>
      <c r="I44" s="1334"/>
      <c r="J44" s="1334"/>
      <c r="K44" s="1334"/>
      <c r="L44" s="1334"/>
      <c r="M44" s="1334"/>
      <c r="N44" s="1334"/>
      <c r="O44" s="1334"/>
      <c r="P44" s="1334"/>
      <c r="Q44" s="1334"/>
      <c r="R44" s="1334"/>
      <c r="S44" s="1334"/>
      <c r="T44" s="1334"/>
      <c r="U44" s="1334"/>
      <c r="V44" s="1334"/>
      <c r="W44" s="1334"/>
      <c r="X44" s="1334"/>
      <c r="Y44" s="1334"/>
      <c r="Z44" s="1334"/>
    </row>
    <row r="45" spans="4:26" ht="15.75" customHeight="1" x14ac:dyDescent="0.3">
      <c r="D45" s="1334"/>
      <c r="E45" s="1338" t="str">
        <f>INDEX('Master sheet'!$A$1:$A$670,MATCH(270,'Master sheet'!$AN$1:$AN$670,0))</f>
        <v xml:space="preserve">Concrete - 25 MPa, Quebec Baseline Average / ABQ / Can. Quebec Avg. / </v>
      </c>
      <c r="F45" s="1338" t="str">
        <f>INDEX('Master sheet'!$A$1:$A$670,MATCH(133,'Master sheet'!$AN$1:$AN$670,0))</f>
        <v>Linoleum flooring / Forbo / Marmoleum Striato / 2.5 mm sheet style linoleum</v>
      </c>
      <c r="G45" s="1338"/>
      <c r="H45" s="1338" t="str">
        <f>INDEX('Master sheet'!$A$1:$A$670,MATCH("A97",'Master sheet'!$AN$1:$AN$670,0))</f>
        <v>Polyisocyanurate - roof boards / PIMA / Includes: Atlas, Firestone, GAF, Johns Manville, Rmax, Carlisle, Iko, Soprema / CGF facer R 5.8/inch</v>
      </c>
      <c r="I45" s="1334"/>
      <c r="J45" s="1334"/>
      <c r="K45" s="1334"/>
      <c r="L45" s="1334"/>
      <c r="M45" s="1334"/>
      <c r="N45" s="1334"/>
      <c r="O45" s="1334"/>
      <c r="P45" s="1334"/>
      <c r="Q45" s="1334"/>
      <c r="R45" s="1334"/>
      <c r="S45" s="1334"/>
      <c r="T45" s="1334"/>
      <c r="U45" s="1334"/>
      <c r="V45" s="1334"/>
      <c r="W45" s="1334"/>
      <c r="X45" s="1334"/>
      <c r="Y45" s="1334"/>
      <c r="Z45" s="1334"/>
    </row>
    <row r="46" spans="4:26" ht="15.75" customHeight="1" x14ac:dyDescent="0.3">
      <c r="D46" s="1334"/>
      <c r="E46" s="1338" t="str">
        <f>INDEX('Master sheet'!$A$1:$A$670,MATCH(271,'Master sheet'!$AN$1:$AN$670,0))</f>
        <v xml:space="preserve">Concrete - 25 MPa, 10% SL, GU / ABQ / Can. Quebec Avg. / </v>
      </c>
      <c r="F46" s="1338" t="str">
        <f>INDEX('Master sheet'!$A$1:$A$670,MATCH(138,'Master sheet'!$AN$1:$AN$670,0))</f>
        <v>Metal Panels - Aluminum / Metal Construction Assn. / 22 gauge / Includes: ATAS, DMI, Englert, Fabral,McElroy, Pac-Clad</v>
      </c>
      <c r="G46" s="1338"/>
      <c r="H46" s="1338" t="str">
        <f>INDEX('Master sheet'!$A$1:$A$670,MATCH("A98",'Master sheet'!$AN$1:$AN$670,0))</f>
        <v>Polyisocyanurate - roof boards / Versico / VersiCore, SecurShield, DuraFaceR / CGF facer / Type II R 5.6-inch, 16 psi</v>
      </c>
      <c r="I46" s="1334"/>
      <c r="J46" s="1334"/>
      <c r="K46" s="1334"/>
      <c r="L46" s="1334"/>
      <c r="M46" s="1334"/>
      <c r="N46" s="1334"/>
      <c r="O46" s="1334"/>
      <c r="P46" s="1334"/>
      <c r="Q46" s="1334"/>
      <c r="R46" s="1334"/>
      <c r="S46" s="1334"/>
      <c r="T46" s="1334"/>
      <c r="U46" s="1334"/>
      <c r="V46" s="1334"/>
      <c r="W46" s="1334"/>
      <c r="X46" s="1334"/>
      <c r="Y46" s="1334"/>
      <c r="Z46" s="1334"/>
    </row>
    <row r="47" spans="4:26" ht="15.75" customHeight="1" x14ac:dyDescent="0.3">
      <c r="D47" s="1334"/>
      <c r="E47" s="1338" t="str">
        <f>INDEX('Master sheet'!$A$1:$A$670,MATCH(272,'Master sheet'!$AN$1:$AN$670,0))</f>
        <v xml:space="preserve">Concrete - 25 MPa, 10% FA, GU / ABQ / Can. Quebec Avg. / </v>
      </c>
      <c r="F47" s="1338" t="str">
        <f>INDEX('Master sheet'!$A$1:$A$670,MATCH("A69",'Master sheet'!$AN$1:$AN$670,0))</f>
        <v>Metal Panels - Aluminum / Petersen Aluminum Corp / Pac-Clad, all profiles / 20 gauge</v>
      </c>
      <c r="G47" s="1338"/>
      <c r="H47" s="1338" t="str">
        <f>INDEX('Master sheet'!$A$1:$A$670,MATCH("A99",'Master sheet'!$AN$1:$AN$670,0))</f>
        <v>Polyisocyanurate - roof boards / Carlisle / High density cover boards / Type II, R 5.0-inch, 80 psi</v>
      </c>
      <c r="I47" s="1334"/>
      <c r="J47" s="1334"/>
      <c r="K47" s="1334"/>
      <c r="L47" s="1334"/>
      <c r="M47" s="1334"/>
      <c r="N47" s="1334"/>
      <c r="O47" s="1334"/>
      <c r="P47" s="1334"/>
      <c r="Q47" s="1334"/>
      <c r="R47" s="1334"/>
      <c r="S47" s="1334"/>
      <c r="T47" s="1334"/>
      <c r="U47" s="1334"/>
      <c r="V47" s="1334"/>
      <c r="W47" s="1334"/>
      <c r="X47" s="1334"/>
      <c r="Y47" s="1334"/>
      <c r="Z47" s="1334"/>
    </row>
    <row r="48" spans="4:26" ht="15.75" customHeight="1" x14ac:dyDescent="0.3">
      <c r="D48" s="1334"/>
      <c r="E48" s="1338" t="str">
        <f>INDEX('Master sheet'!$A$1:$A$670,MATCH(273,'Master sheet'!$AN$1:$AN$670,0))</f>
        <v xml:space="preserve">Concrete - 25 MPa, 20% SL, GU / ABQ / Can. Quebec Avg. / </v>
      </c>
      <c r="F48" s="1338" t="str">
        <f>INDEX('Master sheet'!$A$1:$A$670,MATCH("A70",'Master sheet'!$AN$1:$AN$670,0))</f>
        <v>Metal Panels - Steel / AEP Span / All roofing &amp; wall products / 24 gauge</v>
      </c>
      <c r="G48" s="1338"/>
      <c r="H48" s="1338" t="str">
        <f>INDEX('Master sheet'!$A$1:$A$670,MATCH("A100",'Master sheet'!$AN$1:$AN$670,0))</f>
        <v>Polyisocyanurate - roof boards / Hunter / High density cover boards / Type II, R 5.0-inch, 80 psi</v>
      </c>
      <c r="I48" s="1334"/>
      <c r="J48" s="1334"/>
      <c r="K48" s="1334"/>
      <c r="L48" s="1334"/>
      <c r="M48" s="1334"/>
      <c r="N48" s="1334"/>
      <c r="O48" s="1334"/>
      <c r="P48" s="1334"/>
      <c r="Q48" s="1334"/>
      <c r="R48" s="1334"/>
      <c r="S48" s="1334"/>
      <c r="T48" s="1334"/>
      <c r="U48" s="1334"/>
      <c r="V48" s="1334"/>
      <c r="W48" s="1334"/>
      <c r="X48" s="1334"/>
      <c r="Y48" s="1334"/>
      <c r="Z48" s="1334"/>
    </row>
    <row r="49" spans="4:26" ht="15.75" customHeight="1" x14ac:dyDescent="0.3">
      <c r="D49" s="1334"/>
      <c r="E49" s="1338" t="str">
        <f>INDEX('Master sheet'!$A$1:$A$670,MATCH(274,'Master sheet'!$AN$1:$AN$670,0))</f>
        <v xml:space="preserve">Concrete - 25 MPa, 20% FA, GU / ABQ / Can. Quebec Avg. / </v>
      </c>
      <c r="F49" s="1338" t="str">
        <f>INDEX('Master sheet'!$A$1:$A$670,MATCH("A71",'Master sheet'!$AN$1:$AN$670,0))</f>
        <v>Metal Panels - Steel / ArcelorMittal / XCarb RRP / 24 gauge</v>
      </c>
      <c r="G49" s="1338"/>
      <c r="H49" s="1338" t="str">
        <f>INDEX('Master sheet'!$A$1:$A$670,MATCH("A101",'Master sheet'!$AN$1:$AN$670,0))</f>
        <v>Polyisocyanurate - roof boards / PIMA / Includes: Atlas, Firestone, GAF, Johns Manville, Carlisle, Iko, Soprema / R 5.0/inch</v>
      </c>
      <c r="I49" s="1334"/>
      <c r="J49" s="1334"/>
      <c r="K49" s="1334"/>
      <c r="L49" s="1334"/>
      <c r="M49" s="1334"/>
      <c r="N49" s="1334"/>
      <c r="O49" s="1334"/>
      <c r="P49" s="1334"/>
      <c r="Q49" s="1334"/>
      <c r="R49" s="1334"/>
      <c r="S49" s="1334"/>
      <c r="T49" s="1334"/>
      <c r="U49" s="1334"/>
      <c r="V49" s="1334"/>
      <c r="W49" s="1334"/>
      <c r="X49" s="1334"/>
      <c r="Y49" s="1334"/>
      <c r="Z49" s="1334"/>
    </row>
    <row r="50" spans="4:26" ht="15.75" customHeight="1" x14ac:dyDescent="0.3">
      <c r="D50" s="1334"/>
      <c r="E50" s="1338" t="str">
        <f>INDEX('Master sheet'!$A$1:$A$670,MATCH(275,'Master sheet'!$AN$1:$AN$670,0))</f>
        <v xml:space="preserve">Concrete - 25 MPa, 30% SL, GU / ABQ / Can. Quebec Avg. / </v>
      </c>
      <c r="F50" s="1338" t="str">
        <f>INDEX('Master sheet'!$A$1:$A$670,MATCH("A72",'Master sheet'!$AN$1:$AN$670,0))</f>
        <v>Metal Panels - Steel / Canadian Sheet Steel Building Institute / 24 gauge</v>
      </c>
      <c r="G50" s="1338"/>
      <c r="H50" s="1338" t="str">
        <f>INDEX('Master sheet'!$A$1:$A$670,MATCH("A102",'Master sheet'!$AN$1:$AN$670,0))</f>
        <v>Polyisocyanurate - roof boards / Versico / High density cover boards / Type II, R 5.0-inch, 80 psi</v>
      </c>
      <c r="I50" s="1334"/>
      <c r="J50" s="1334"/>
      <c r="K50" s="1334"/>
      <c r="L50" s="1334"/>
      <c r="M50" s="1334"/>
      <c r="N50" s="1334"/>
      <c r="O50" s="1334"/>
      <c r="P50" s="1334"/>
      <c r="Q50" s="1334"/>
      <c r="R50" s="1334"/>
      <c r="S50" s="1334"/>
      <c r="T50" s="1334"/>
      <c r="U50" s="1334"/>
      <c r="V50" s="1334"/>
      <c r="W50" s="1334"/>
      <c r="X50" s="1334"/>
      <c r="Y50" s="1334"/>
      <c r="Z50" s="1334"/>
    </row>
    <row r="51" spans="4:26" ht="15.75" customHeight="1" x14ac:dyDescent="0.3">
      <c r="D51" s="1334"/>
      <c r="E51" s="1338" t="str">
        <f>INDEX('Master sheet'!$A$1:$A$670,MATCH(276,'Master sheet'!$AN$1:$AN$670,0))</f>
        <v xml:space="preserve">Concrete - 25 MPa, 30% FA, GU / ABQ / Can. Quebec Avg. / </v>
      </c>
      <c r="F51" s="1338" t="str">
        <f>INDEX('Master sheet'!$A$1:$A$670,MATCH("A73",'Master sheet'!$AN$1:$AN$670,0))</f>
        <v>Metal Panels - Steel / Metal Building Manufacturers Assn / List of participating members: https://www.mbma.com/System_Members.html  / 24 gauge</v>
      </c>
      <c r="G51" s="1338"/>
      <c r="H51" s="1338" t="str">
        <f>INDEX('Master sheet'!$A$1:$A$670,MATCH(167,'Master sheet'!$AN$1:$AN$670,0))</f>
        <v>Polyiso - wall boards / Hunter / Polysio Wall insulation boards / R 6.5/inch</v>
      </c>
      <c r="I51" s="1334"/>
      <c r="J51" s="1334"/>
      <c r="K51" s="1334"/>
      <c r="L51" s="1334"/>
      <c r="M51" s="1334"/>
      <c r="N51" s="1334"/>
      <c r="O51" s="1334"/>
      <c r="P51" s="1334"/>
      <c r="Q51" s="1334"/>
      <c r="R51" s="1334"/>
      <c r="S51" s="1334"/>
      <c r="T51" s="1334"/>
      <c r="U51" s="1334"/>
      <c r="V51" s="1334"/>
      <c r="W51" s="1334"/>
      <c r="X51" s="1334"/>
      <c r="Y51" s="1334"/>
      <c r="Z51" s="1334"/>
    </row>
    <row r="52" spans="4:26" ht="15.75" customHeight="1" x14ac:dyDescent="0.3">
      <c r="D52" s="1334"/>
      <c r="E52" s="1338" t="str">
        <f>INDEX('Master sheet'!$A$1:$A$670,MATCH(277,'Master sheet'!$AN$1:$AN$670,0))</f>
        <v xml:space="preserve">Concrete - 30 MPa, Quebec Baseline Average / ABQ / Can. Quebec Avg. / </v>
      </c>
      <c r="F52" s="1338" t="str">
        <f>INDEX('Master sheet'!$A$1:$A$670,MATCH(144,'Master sheet'!$AN$1:$AN$670,0))</f>
        <v>Metal Panels - Steel / Metal Construction Assn. / 24 gauge</v>
      </c>
      <c r="G52" s="1338"/>
      <c r="H52" s="1338" t="str">
        <f>INDEX('Master sheet'!$A$1:$A$670,MATCH("A103",'Master sheet'!$AN$1:$AN$670,0))</f>
        <v>Polyiso - wall boards / Carlisle  / R2+ Silver  / R 6.3/inch, 20 psi</v>
      </c>
      <c r="I52" s="1334"/>
      <c r="J52" s="1334"/>
      <c r="K52" s="1334"/>
      <c r="L52" s="1334"/>
      <c r="M52" s="1334"/>
      <c r="N52" s="1334"/>
      <c r="O52" s="1334"/>
      <c r="P52" s="1334"/>
      <c r="Q52" s="1334"/>
      <c r="R52" s="1334"/>
      <c r="S52" s="1334"/>
      <c r="T52" s="1334"/>
      <c r="U52" s="1334"/>
      <c r="V52" s="1334"/>
      <c r="W52" s="1334"/>
      <c r="X52" s="1334"/>
      <c r="Y52" s="1334"/>
      <c r="Z52" s="1334"/>
    </row>
    <row r="53" spans="4:26" ht="15.75" customHeight="1" x14ac:dyDescent="0.3">
      <c r="D53" s="1334"/>
      <c r="E53" s="1338" t="str">
        <f>INDEX('Master sheet'!$A$1:$A$670,MATCH(278,'Master sheet'!$AN$1:$AN$670,0))</f>
        <v xml:space="preserve">Concrete - 30 MPa, 10% SL, GU / ABQ / Can. Quebec Avg. / </v>
      </c>
      <c r="F53" s="1338" t="str">
        <f>INDEX('Master sheet'!$A$1:$A$670,MATCH("A74",'Master sheet'!$AN$1:$AN$670,0))</f>
        <v>Metal Panels - Steel / Petersen Aluminum Corp / Pac-Clad, all profiles / 24 gauge</v>
      </c>
      <c r="G53" s="1338"/>
      <c r="H53" s="1338" t="str">
        <f>INDEX('Master sheet'!$A$1:$A$670,MATCH(184,'Master sheet'!$AN$1:$AN$670,0))</f>
        <v>Spray polyurethane foam - Closed Cell - HFO gas filled / SPFA /  / R 6.6/inch</v>
      </c>
      <c r="I53" s="1334"/>
      <c r="J53" s="1334"/>
      <c r="K53" s="1334"/>
      <c r="L53" s="1334"/>
      <c r="M53" s="1334"/>
      <c r="N53" s="1334"/>
      <c r="O53" s="1334"/>
      <c r="P53" s="1334"/>
      <c r="Q53" s="1334"/>
      <c r="R53" s="1334"/>
      <c r="S53" s="1334"/>
      <c r="T53" s="1334"/>
      <c r="U53" s="1334"/>
      <c r="V53" s="1334"/>
      <c r="W53" s="1334"/>
      <c r="X53" s="1334"/>
      <c r="Y53" s="1334"/>
      <c r="Z53" s="1334"/>
    </row>
    <row r="54" spans="4:26" ht="15.75" customHeight="1" x14ac:dyDescent="0.3">
      <c r="D54" s="1334"/>
      <c r="E54" s="1338" t="str">
        <f>INDEX('Master sheet'!$A$1:$A$670,MATCH(279,'Master sheet'!$AN$1:$AN$670,0))</f>
        <v xml:space="preserve">Concrete - 30 MPa, 10% FA, GU / ABQ / Can. Quebec Avg. / </v>
      </c>
      <c r="F54" s="1338" t="str">
        <f>INDEX('Master sheet'!$A$1:$A$670,MATCH(146,'Master sheet'!$AN$1:$AN$670,0))</f>
        <v>MgO board 1/2" / North American MgO / MagTech Ultra / 1/2"</v>
      </c>
      <c r="G54" s="1338"/>
      <c r="H54" s="1338" t="str">
        <f>INDEX('Master sheet'!$A$1:$A$670,MATCH(186,'Master sheet'!$AN$1:$AN$670,0))</f>
        <v>Spray polyurethane foam - High Density - HFO gas filled / SPFA /  / R 6.5/inch</v>
      </c>
      <c r="I54" s="1334"/>
      <c r="J54" s="1334"/>
      <c r="K54" s="1334"/>
      <c r="L54" s="1334"/>
      <c r="M54" s="1334"/>
      <c r="N54" s="1334"/>
      <c r="O54" s="1334"/>
      <c r="P54" s="1334"/>
      <c r="Q54" s="1334"/>
      <c r="R54" s="1334"/>
      <c r="S54" s="1334"/>
      <c r="T54" s="1334"/>
      <c r="U54" s="1334"/>
      <c r="V54" s="1334"/>
      <c r="W54" s="1334"/>
      <c r="X54" s="1334"/>
      <c r="Y54" s="1334"/>
      <c r="Z54" s="1334"/>
    </row>
    <row r="55" spans="4:26" ht="15.75" customHeight="1" x14ac:dyDescent="0.3">
      <c r="D55" s="1334"/>
      <c r="E55" s="1338" t="str">
        <f>INDEX('Master sheet'!$A$1:$A$670,MATCH(280,'Master sheet'!$AN$1:$AN$670,0))</f>
        <v xml:space="preserve">Concrete - 30 MPa, 20% SL, GU / ABQ / Can. Quebec Avg. / </v>
      </c>
      <c r="F55" s="1338" t="str">
        <f>INDEX('Master sheet'!$A$1:$A$670,MATCH("A80",'Master sheet'!$AN$1:$AN$670,0))</f>
        <v>OSB sheathing &amp; barrier / Huber  / ZIP System - Wall and Roof Sheathing / 5/8"</v>
      </c>
      <c r="G55" s="1338"/>
      <c r="H55" s="1338" t="str">
        <f>INDEX('Master sheet'!$A$1:$A$670,MATCH(188,'Master sheet'!$AN$1:$AN$670,0))</f>
        <v>Spray polyurethane foam - Open Cell - HFO gas / SPFA /  / R 4.1/inch</v>
      </c>
      <c r="I55" s="1334"/>
      <c r="J55" s="1334"/>
      <c r="K55" s="1334"/>
      <c r="L55" s="1334"/>
      <c r="M55" s="1334"/>
      <c r="N55" s="1334"/>
      <c r="O55" s="1334"/>
      <c r="P55" s="1334"/>
      <c r="Q55" s="1334"/>
      <c r="R55" s="1334"/>
      <c r="S55" s="1334"/>
      <c r="T55" s="1334"/>
      <c r="U55" s="1334"/>
      <c r="V55" s="1334"/>
      <c r="W55" s="1334"/>
      <c r="X55" s="1334"/>
      <c r="Y55" s="1334"/>
      <c r="Z55" s="1334"/>
    </row>
    <row r="56" spans="4:26" ht="15.75" customHeight="1" x14ac:dyDescent="0.3">
      <c r="D56" s="1334"/>
      <c r="E56" s="1338" t="str">
        <f>INDEX('Master sheet'!$A$1:$A$670,MATCH(281,'Master sheet'!$AN$1:$AN$670,0))</f>
        <v xml:space="preserve">Concrete - 30 MPa, 20% FA, GU / ABQ / Can. Quebec Avg. / </v>
      </c>
      <c r="F56" s="1338" t="str">
        <f>INDEX('Master sheet'!$A$1:$A$670,MATCH("A81",'Master sheet'!$AN$1:$AN$670,0))</f>
        <v>OSB sheathing &amp; barrier / Huber  / ZIP System - Wall and Roof Sheathing / 1/2"</v>
      </c>
      <c r="G56" s="1338"/>
      <c r="H56" s="1338" t="str">
        <f>INDEX('Master sheet'!$A$1:$A$670,MATCH(214,'Master sheet'!$AN$1:$AN$670,0))</f>
        <v>(ARCHIVED 2026) Vacuum Insulated Panel / Porextherm / Vacupor / R 30/inch</v>
      </c>
      <c r="I56" s="1334"/>
      <c r="J56" s="1334"/>
      <c r="K56" s="1334"/>
      <c r="L56" s="1334"/>
      <c r="M56" s="1334"/>
      <c r="N56" s="1334"/>
      <c r="O56" s="1334"/>
      <c r="P56" s="1334"/>
      <c r="Q56" s="1334"/>
      <c r="R56" s="1334"/>
      <c r="S56" s="1334"/>
      <c r="T56" s="1334"/>
      <c r="U56" s="1334"/>
      <c r="V56" s="1334"/>
      <c r="W56" s="1334"/>
      <c r="X56" s="1334"/>
      <c r="Y56" s="1334"/>
      <c r="Z56" s="1334"/>
    </row>
    <row r="57" spans="4:26" ht="15.75" customHeight="1" x14ac:dyDescent="0.3">
      <c r="D57" s="1334"/>
      <c r="E57" s="1338" t="str">
        <f>INDEX('Master sheet'!$A$1:$A$670,MATCH(282,'Master sheet'!$AN$1:$AN$670,0))</f>
        <v xml:space="preserve">Concrete - 30 MPa, 30% SL, GU / ABQ / Can. Quebec Avg. / </v>
      </c>
      <c r="F57" s="1338" t="str">
        <f>INDEX('Master sheet'!$A$1:$A$670,MATCH("A85",'Master sheet'!$AN$1:$AN$670,0))</f>
        <v>Plywood / British Columbia Average / Includes : West Fraser Mills, Thompson River Veneer Products / 1/2"</v>
      </c>
      <c r="G57" s="1338"/>
      <c r="H57" s="1338" t="str">
        <f>INDEX('Master sheet'!$A$1:$A$670,MATCH(238,'Master sheet'!$AN$1:$AN$670,0))</f>
        <v>Wood fiber - loose fill / GUTEX / ThermoFiber / R 3.6/inch</v>
      </c>
      <c r="I57" s="1334"/>
      <c r="J57" s="1334"/>
      <c r="K57" s="1334"/>
      <c r="L57" s="1334"/>
      <c r="M57" s="1334"/>
      <c r="N57" s="1334"/>
      <c r="O57" s="1334"/>
      <c r="P57" s="1334"/>
      <c r="Q57" s="1334"/>
      <c r="R57" s="1334"/>
      <c r="S57" s="1334"/>
      <c r="T57" s="1334"/>
      <c r="U57" s="1334"/>
      <c r="V57" s="1334"/>
      <c r="W57" s="1334"/>
      <c r="X57" s="1334"/>
      <c r="Y57" s="1334"/>
      <c r="Z57" s="1334"/>
    </row>
    <row r="58" spans="4:26" ht="15.75" customHeight="1" x14ac:dyDescent="0.3">
      <c r="D58" s="1334"/>
      <c r="E58" s="1338" t="str">
        <f>INDEX('Master sheet'!$A$1:$A$670,MATCH(283,'Master sheet'!$AN$1:$AN$670,0))</f>
        <v xml:space="preserve">Concrete - 30 MPa, 30% FA, GU / ABQ / Can. Quebec Avg. / </v>
      </c>
      <c r="F58" s="1338" t="str">
        <f>INDEX('Master sheet'!$A$1:$A$670,MATCH("A86",'Master sheet'!$AN$1:$AN$670,0))</f>
        <v>Plywood / British Columbia Average / Includes : West Fraser Mills, Thompson River Veneer Products / 3/4"</v>
      </c>
      <c r="G58" s="1338"/>
      <c r="H58" s="1338" t="str">
        <f>INDEX('Master sheet'!$A$1:$A$670,MATCH("A122",'Master sheet'!$AN$1:$AN$670,0))</f>
        <v>Wood fiber batt / Steico / SteicoFlex / R 3.8/inch</v>
      </c>
      <c r="I58" s="1334"/>
      <c r="J58" s="1334"/>
      <c r="K58" s="1334"/>
      <c r="L58" s="1334"/>
      <c r="M58" s="1334"/>
      <c r="N58" s="1334"/>
      <c r="O58" s="1334"/>
      <c r="P58" s="1334"/>
      <c r="Q58" s="1334"/>
      <c r="R58" s="1334"/>
      <c r="S58" s="1334"/>
      <c r="T58" s="1334"/>
      <c r="U58" s="1334"/>
      <c r="V58" s="1334"/>
      <c r="W58" s="1334"/>
      <c r="X58" s="1334"/>
      <c r="Y58" s="1334"/>
      <c r="Z58" s="1334"/>
    </row>
    <row r="59" spans="4:26" ht="15.75" customHeight="1" x14ac:dyDescent="0.3">
      <c r="D59" s="1334"/>
      <c r="E59" s="1338" t="str">
        <f>INDEX('Master sheet'!$A$1:$A$670,MATCH(284,'Master sheet'!$AN$1:$AN$670,0))</f>
        <v xml:space="preserve">Concrete - 35 MPa, Quebec Baseline Average / ABQ / Can. Quebec Avg. / </v>
      </c>
      <c r="F59" s="1338" t="str">
        <f>INDEX('Master sheet'!$A$1:$A$670,MATCH("A87",'Master sheet'!$AN$1:$AN$670,0))</f>
        <v>Plywood / British Columbia Average / Includes : West Fraser Mills, Thompson River Veneer Products / 5/8"</v>
      </c>
      <c r="G59" s="1338"/>
      <c r="H59" s="1338" t="str">
        <f>INDEX('Master sheet'!$A$1:$A$670,MATCH(243,'Master sheet'!$AN$1:$AN$670,0))</f>
        <v>Wood fiber board / GUTEX / Multi-Therm / R 3.6/inch, 40-200 mm</v>
      </c>
      <c r="I59" s="1334"/>
      <c r="J59" s="1334"/>
      <c r="K59" s="1334"/>
      <c r="L59" s="1334"/>
      <c r="M59" s="1334"/>
      <c r="N59" s="1334"/>
      <c r="O59" s="1334"/>
      <c r="P59" s="1334"/>
      <c r="Q59" s="1334"/>
      <c r="R59" s="1334"/>
      <c r="S59" s="1334"/>
      <c r="T59" s="1334"/>
      <c r="U59" s="1334"/>
      <c r="V59" s="1334"/>
      <c r="W59" s="1334"/>
      <c r="X59" s="1334"/>
      <c r="Y59" s="1334"/>
      <c r="Z59" s="1334"/>
    </row>
    <row r="60" spans="4:26" ht="15.75" customHeight="1" x14ac:dyDescent="0.3">
      <c r="D60" s="1334"/>
      <c r="E60" s="1338" t="str">
        <f>INDEX('Master sheet'!$A$1:$A$670,MATCH(285,'Master sheet'!$AN$1:$AN$670,0))</f>
        <v xml:space="preserve">Concrete - 35 MPa, 10% SL, GU / ABQ / Can. Quebec Avg. / </v>
      </c>
      <c r="F60" s="1338" t="str">
        <f>INDEX('Master sheet'!$A$1:$A$670,MATCH("A88",'Master sheet'!$AN$1:$AN$670,0))</f>
        <v>Plywood / Roseburg / Hardwood plywood. Includes:  walnut, alder, cherry, mahogany, oak, birch, maple faces  / 3/4"</v>
      </c>
      <c r="G60" s="1338"/>
      <c r="H60" s="1338" t="str">
        <f>INDEX('Master sheet'!$A$1:$A$670,MATCH("A123",'Master sheet'!$AN$1:$AN$670,0))</f>
        <v>Wood fiber board / Pavatex / Isolair, Isoroof, Isolair Multi / R 3.3-inch / 200 kg/m3, 30-80 mm</v>
      </c>
      <c r="I60" s="1334"/>
      <c r="J60" s="1334"/>
      <c r="K60" s="1334"/>
      <c r="L60" s="1334"/>
      <c r="M60" s="1334"/>
      <c r="N60" s="1334"/>
      <c r="O60" s="1334"/>
      <c r="P60" s="1334"/>
      <c r="Q60" s="1334"/>
      <c r="R60" s="1334"/>
      <c r="S60" s="1334"/>
      <c r="T60" s="1334"/>
      <c r="U60" s="1334"/>
      <c r="V60" s="1334"/>
      <c r="W60" s="1334"/>
      <c r="X60" s="1334"/>
      <c r="Y60" s="1334"/>
      <c r="Z60" s="1334"/>
    </row>
    <row r="61" spans="4:26" ht="15.75" customHeight="1" x14ac:dyDescent="0.3">
      <c r="D61" s="1334"/>
      <c r="E61" s="1338" t="str">
        <f>INDEX('Master sheet'!$A$1:$A$670,MATCH(286,'Master sheet'!$AN$1:$AN$670,0))</f>
        <v xml:space="preserve">Concrete - 35 MPa, 10% FA, GU / ABQ / Can. Quebec Avg. / </v>
      </c>
      <c r="F61" s="1338" t="str">
        <f>INDEX('Master sheet'!$A$1:$A$670,MATCH("A89",'Master sheet'!$AN$1:$AN$670,0))</f>
        <v>Plywood / Roseburg / softwood plywood / 1/2"</v>
      </c>
      <c r="G61" s="1338"/>
      <c r="H61" s="1338" t="str">
        <f>INDEX('Master sheet'!$A$1:$A$670,MATCH("A124",'Master sheet'!$AN$1:$AN$670,0))</f>
        <v>Wood fiber board / Pavatex / Pavatherm / R 3.3-inch / 110 kg/m3</v>
      </c>
      <c r="I61" s="1334"/>
      <c r="J61" s="1334"/>
      <c r="K61" s="1334"/>
      <c r="L61" s="1334"/>
      <c r="M61" s="1334"/>
      <c r="N61" s="1334"/>
      <c r="O61" s="1334"/>
      <c r="P61" s="1334"/>
      <c r="Q61" s="1334"/>
      <c r="R61" s="1334"/>
      <c r="S61" s="1334"/>
      <c r="T61" s="1334"/>
      <c r="U61" s="1334"/>
      <c r="V61" s="1334"/>
      <c r="W61" s="1334"/>
      <c r="X61" s="1334"/>
      <c r="Y61" s="1334"/>
      <c r="Z61" s="1334"/>
    </row>
    <row r="62" spans="4:26" ht="15.75" customHeight="1" x14ac:dyDescent="0.3">
      <c r="D62" s="1334"/>
      <c r="E62" s="1338" t="str">
        <f>INDEX('Master sheet'!$A$1:$A$670,MATCH(287,'Master sheet'!$AN$1:$AN$670,0))</f>
        <v xml:space="preserve">Concrete - 35 MPa, 20% SL, GU / ABQ / Can. Quebec Avg. / </v>
      </c>
      <c r="F62" s="1338" t="str">
        <f>INDEX('Master sheet'!$A$1:$A$670,MATCH("A90",'Master sheet'!$AN$1:$AN$670,0))</f>
        <v>Plywood / Roseburg / softwood plywood / 3/4"</v>
      </c>
      <c r="G62" s="1338"/>
      <c r="H62" s="1338" t="str">
        <f>INDEX('Master sheet'!$A$1:$A$670,MATCH("A125",'Master sheet'!$AN$1:$AN$670,0))</f>
        <v xml:space="preserve">Wood fiber board / Pavatex / Pavawall GF, Pavawall Bloc, Pavawall GF XL / R 3.3-inch / 130 kg/m3 </v>
      </c>
      <c r="I62" s="1334"/>
      <c r="J62" s="1334"/>
      <c r="K62" s="1334"/>
      <c r="L62" s="1334"/>
      <c r="M62" s="1334"/>
      <c r="N62" s="1334"/>
      <c r="O62" s="1334"/>
      <c r="P62" s="1334"/>
      <c r="Q62" s="1334"/>
      <c r="R62" s="1334"/>
      <c r="S62" s="1334"/>
      <c r="T62" s="1334"/>
      <c r="U62" s="1334"/>
      <c r="V62" s="1334"/>
      <c r="W62" s="1334"/>
      <c r="X62" s="1334"/>
      <c r="Y62" s="1334"/>
      <c r="Z62" s="1334"/>
    </row>
    <row r="63" spans="4:26" ht="15.75" customHeight="1" x14ac:dyDescent="0.3">
      <c r="D63" s="1334"/>
      <c r="E63" s="1338" t="str">
        <f>INDEX('Master sheet'!$A$1:$A$670,MATCH(288,'Master sheet'!$AN$1:$AN$670,0))</f>
        <v xml:space="preserve">Concrete - 35 MPa, 20% FA, GU / ABQ / Can. Quebec Avg. / </v>
      </c>
      <c r="F63" s="1338" t="str">
        <f>INDEX('Master sheet'!$A$1:$A$670,MATCH(170,'Master sheet'!$AN$1:$AN$670,0))</f>
        <v>Polypropylene siding / Vinyl Siding Institute  /  / 0.085" Single 7" wood Shake appearance</v>
      </c>
      <c r="G63" s="1338"/>
      <c r="H63" s="1338" t="str">
        <f>INDEX('Master sheet'!$A$1:$A$670,MATCH("A126",'Master sheet'!$AN$1:$AN$670,0))</f>
        <v>Wood fiber board / Pavatex / Pavawall Smart, Pavawall Light, Pavawall FW / R 3.3-inch / 115 kg/m3</v>
      </c>
      <c r="I63" s="1334"/>
      <c r="J63" s="1334"/>
      <c r="K63" s="1334"/>
      <c r="L63" s="1334"/>
      <c r="M63" s="1334"/>
      <c r="N63" s="1334"/>
      <c r="O63" s="1334"/>
      <c r="P63" s="1334"/>
      <c r="Q63" s="1334"/>
      <c r="R63" s="1334"/>
      <c r="S63" s="1334"/>
      <c r="T63" s="1334"/>
      <c r="U63" s="1334"/>
      <c r="V63" s="1334"/>
      <c r="W63" s="1334"/>
      <c r="X63" s="1334"/>
      <c r="Y63" s="1334"/>
      <c r="Z63" s="1334"/>
    </row>
    <row r="64" spans="4:26" ht="15.75" customHeight="1" x14ac:dyDescent="0.3">
      <c r="D64" s="1334"/>
      <c r="E64" s="1338" t="str">
        <f>INDEX('Master sheet'!$A$1:$A$670,MATCH(289,'Master sheet'!$AN$1:$AN$670,0))</f>
        <v xml:space="preserve">Concrete - 35 MPa, 30% SL, GU / ABQ / Can. Quebec Avg. / </v>
      </c>
      <c r="F64" s="1338" t="str">
        <f>INDEX('Master sheet'!$A$1:$A$670,MATCH(172,'Master sheet'!$AN$1:$AN$670,0))</f>
        <v>PVC Roofing Membrane / CIFA / Includes: Canadian General-Tower, Duro-Last, FiberTite / 48 mils</v>
      </c>
      <c r="G64" s="1338"/>
      <c r="H64" s="1338" t="str">
        <f>INDEX('Master sheet'!$A$1:$A$670,MATCH("A127",'Master sheet'!$AN$1:$AN$670,0))</f>
        <v xml:space="preserve">Wood fiber board / Steico / STEICOprotect M dry, STEICOroof dry, STEICOspecial dry, STEICOtop / R 3.6-inch, 140 kg/m3 </v>
      </c>
      <c r="I64" s="1334"/>
      <c r="J64" s="1334"/>
      <c r="K64" s="1334"/>
      <c r="L64" s="1334"/>
      <c r="M64" s="1334"/>
      <c r="N64" s="1334"/>
      <c r="O64" s="1334"/>
      <c r="P64" s="1334"/>
      <c r="Q64" s="1334"/>
      <c r="R64" s="1334"/>
      <c r="S64" s="1334"/>
      <c r="T64" s="1334"/>
      <c r="U64" s="1334"/>
      <c r="V64" s="1334"/>
      <c r="W64" s="1334"/>
      <c r="X64" s="1334"/>
      <c r="Y64" s="1334"/>
      <c r="Z64" s="1334"/>
    </row>
    <row r="65" spans="4:26" ht="15.75" customHeight="1" x14ac:dyDescent="0.3">
      <c r="D65" s="1334"/>
      <c r="E65" s="1338" t="str">
        <f>INDEX('Master sheet'!$A$1:$A$670,MATCH(290,'Master sheet'!$AN$1:$AN$670,0))</f>
        <v xml:space="preserve">Concrete - 35 MPa, 30% FA, GU / ABQ / Can. Quebec Avg. / </v>
      </c>
      <c r="F65" s="1338" t="str">
        <f>INDEX('Master sheet'!$A$1:$A$670,MATCH(179,'Master sheet'!$AN$1:$AN$670,0))</f>
        <v xml:space="preserve">Rubber flooring / Resilient Floor Covering Institute / Includes tiles and rolls from American Biltrite, Armstrong, Burke, FLEXCO, Johnsonite, Mannington, Roppe, Tarkett / </v>
      </c>
      <c r="G65" s="1338"/>
      <c r="H65" s="1338" t="str">
        <f>INDEX('Master sheet'!$A$1:$A$670,MATCH("A128",'Master sheet'!$AN$1:$AN$670,0))</f>
        <v>Wood fiber board / Steico / STEICOprotect S dry, STEICOsafe 40, STEICOuniversal dry / R 3.6-inch, 210 kg/m3</v>
      </c>
      <c r="I65" s="1334"/>
      <c r="J65" s="1334"/>
      <c r="K65" s="1334"/>
      <c r="L65" s="1334"/>
      <c r="M65" s="1334"/>
      <c r="N65" s="1334"/>
      <c r="O65" s="1334"/>
      <c r="P65" s="1334"/>
      <c r="Q65" s="1334"/>
      <c r="R65" s="1334"/>
      <c r="S65" s="1334"/>
      <c r="T65" s="1334"/>
      <c r="U65" s="1334"/>
      <c r="V65" s="1334"/>
      <c r="W65" s="1334"/>
      <c r="X65" s="1334"/>
      <c r="Y65" s="1334"/>
      <c r="Z65" s="1334"/>
    </row>
    <row r="66" spans="4:26" ht="15.75" customHeight="1" x14ac:dyDescent="0.3">
      <c r="D66" s="1334"/>
      <c r="E66" s="1338" t="str">
        <f>INDEX('Master sheet'!$A$1:$A$670,MATCH(291,'Master sheet'!$AN$1:$AN$670,0))</f>
        <v xml:space="preserve">Concrete - 25 MPa, GU / RMCAO / Can. Ontario Avg. / </v>
      </c>
      <c r="F66" s="1338" t="str">
        <f>INDEX('Master sheet'!$A$1:$A$670,MATCH(180,'Master sheet'!$AN$1:$AN$670,0))</f>
        <v xml:space="preserve">SBS Modified Bitumen Roofing / ARMA / Includes: CertainTeed, Firestone, GAF, Henry, IKO, Johns Mansville, Malarkey, Siplast, Soprema / </v>
      </c>
      <c r="G66" s="1338"/>
      <c r="H66" s="1338" t="str">
        <f>INDEX('Master sheet'!$A$1:$A$670,MATCH("A129",'Master sheet'!$AN$1:$AN$670,0))</f>
        <v>Wood fiber board / Steico / STEICOtherm dry, STEICOprotect L dry, STEICOsafe / R 3.6-inch, 110 kg/m3</v>
      </c>
      <c r="I66" s="1334"/>
      <c r="J66" s="1334"/>
      <c r="K66" s="1334"/>
      <c r="L66" s="1334"/>
      <c r="M66" s="1334"/>
      <c r="N66" s="1334"/>
      <c r="O66" s="1334"/>
      <c r="P66" s="1334"/>
      <c r="Q66" s="1334"/>
      <c r="R66" s="1334"/>
      <c r="S66" s="1334"/>
      <c r="T66" s="1334"/>
      <c r="U66" s="1334"/>
      <c r="V66" s="1334"/>
      <c r="W66" s="1334"/>
      <c r="X66" s="1334"/>
      <c r="Y66" s="1334"/>
      <c r="Z66" s="1334"/>
    </row>
    <row r="67" spans="4:26" ht="15.75" customHeight="1" x14ac:dyDescent="0.3">
      <c r="D67" s="1334"/>
      <c r="E67" s="1338" t="str">
        <f>INDEX('Master sheet'!$A$1:$A$670,MATCH(292,'Master sheet'!$AN$1:$AN$670,0))</f>
        <v xml:space="preserve">Concrete - 25 MPa, 15% SL, GU / RMCAO / Can. Ontario Avg. / </v>
      </c>
      <c r="F67" s="1338" t="str">
        <f>INDEX('Master sheet'!$A$1:$A$670,MATCH(212,'Master sheet'!$AN$1:$AN$670,0))</f>
        <v xml:space="preserve">Acrylic Stucco Textured Finish / Sto / Stolit 1.0, Stolit 1.5, Stolit Freeform / </v>
      </c>
      <c r="G67" s="1338"/>
      <c r="H67" s="1338" t="str">
        <f>INDEX('Master sheet'!$A$1:$A$670,MATCH(254,'Master sheet'!$AN$1:$AN$670,0))</f>
        <v>Wool batt / Havelock Wool /  / R 3.6/inch</v>
      </c>
      <c r="I67" s="1334"/>
      <c r="J67" s="1334"/>
      <c r="K67" s="1334"/>
      <c r="L67" s="1334"/>
      <c r="M67" s="1334"/>
      <c r="N67" s="1334"/>
      <c r="O67" s="1334"/>
      <c r="P67" s="1334"/>
      <c r="Q67" s="1334"/>
      <c r="R67" s="1334"/>
      <c r="S67" s="1334"/>
      <c r="T67" s="1334"/>
      <c r="U67" s="1334"/>
      <c r="V67" s="1334"/>
      <c r="W67" s="1334"/>
      <c r="X67" s="1334"/>
      <c r="Y67" s="1334"/>
      <c r="Z67" s="1334"/>
    </row>
    <row r="68" spans="4:26" ht="15.75" customHeight="1" x14ac:dyDescent="0.3">
      <c r="D68" s="1334"/>
      <c r="E68" s="1338" t="str">
        <f>INDEX('Master sheet'!$A$1:$A$670,MATCH(293,'Master sheet'!$AN$1:$AN$670,0))</f>
        <v xml:space="preserve">Concrete - 25 MPa, 25% SL, GU / RMCAO / Can. Ontario Avg. / </v>
      </c>
      <c r="F68" s="1338" t="str">
        <f>INDEX('Master sheet'!$A$1:$A$670,MATCH("A116",'Master sheet'!$AN$1:$AN$670,0))</f>
        <v>TPO Roofing Membrane / Carlisle / Sure-Weld / 60 mils</v>
      </c>
      <c r="G68" s="1338"/>
      <c r="H68" s="1338" t="str">
        <f>INDEX('Master sheet'!$A$1:$A$670,MATCH(255,'Master sheet'!$AN$1:$AN$670,0))</f>
        <v>Wool loose fill / Havelock Wool /  / R 4.4/inch</v>
      </c>
      <c r="I68" s="1334"/>
      <c r="J68" s="1334"/>
      <c r="K68" s="1334"/>
      <c r="L68" s="1334"/>
      <c r="M68" s="1334"/>
      <c r="N68" s="1334"/>
      <c r="O68" s="1334"/>
      <c r="P68" s="1334"/>
      <c r="Q68" s="1334"/>
      <c r="R68" s="1334"/>
      <c r="S68" s="1334"/>
      <c r="T68" s="1334"/>
      <c r="U68" s="1334"/>
      <c r="V68" s="1334"/>
      <c r="W68" s="1334"/>
      <c r="X68" s="1334"/>
      <c r="Y68" s="1334"/>
      <c r="Z68" s="1334"/>
    </row>
    <row r="69" spans="4:26" ht="15.75" customHeight="1" x14ac:dyDescent="0.3">
      <c r="D69" s="1334"/>
      <c r="E69" s="1338" t="str">
        <f>INDEX('Master sheet'!$A$1:$A$670,MATCH(294,'Master sheet'!$AN$1:$AN$670,0))</f>
        <v xml:space="preserve">Concrete - 25 MPa, 35% SL, GU / RMCAO / Can. Ontario Avg. / </v>
      </c>
      <c r="F69" s="1338" t="str">
        <f>INDEX('Master sheet'!$A$1:$A$670,MATCH("A117",'Master sheet'!$AN$1:$AN$670,0))</f>
        <v>TPO roofing membrane / Single Ply Roofing Industry /  / 45 mils</v>
      </c>
      <c r="G69" s="1338"/>
      <c r="H69" s="1338" t="str">
        <f>INDEX('Master sheet'!$A$1:$A$670,MATCH(258,'Master sheet'!$AN$1:$AN$670,0))</f>
        <v>XPS foam board / Owens Corning / Foamular NGX 250  / R 5/inch</v>
      </c>
      <c r="I69" s="1334"/>
      <c r="J69" s="1334"/>
      <c r="K69" s="1334"/>
      <c r="L69" s="1334"/>
      <c r="M69" s="1334"/>
      <c r="N69" s="1334"/>
      <c r="O69" s="1334"/>
      <c r="P69" s="1334"/>
      <c r="Q69" s="1334"/>
      <c r="R69" s="1334"/>
      <c r="S69" s="1334"/>
      <c r="T69" s="1334"/>
      <c r="U69" s="1334"/>
      <c r="V69" s="1334"/>
      <c r="W69" s="1334"/>
      <c r="X69" s="1334"/>
      <c r="Y69" s="1334"/>
      <c r="Z69" s="1334"/>
    </row>
    <row r="70" spans="4:26" ht="15.75" customHeight="1" x14ac:dyDescent="0.3">
      <c r="D70" s="1334"/>
      <c r="E70" s="1338" t="str">
        <f>INDEX('Master sheet'!$A$1:$A$670,MATCH(295,'Master sheet'!$AN$1:$AN$670,0))</f>
        <v xml:space="preserve">Concrete - 25 MPa, 50% SL, GU / RMCAO / Can. Ontario Avg. / </v>
      </c>
      <c r="F70" s="1338" t="str">
        <f>INDEX('Master sheet'!$A$1:$A$670,MATCH("A118",'Master sheet'!$AN$1:$AN$670,0))</f>
        <v>TPO roofing membrane / Single Ply Roofing Industry /  / 60 mils</v>
      </c>
      <c r="G70" s="1338"/>
      <c r="H70" s="1338" t="str">
        <f>INDEX('Master sheet'!$A$1:$A$670,MATCH(374,'Master sheet'!$AN$1:$AN$670,0))</f>
        <v>Fiberglass loose fill / Johns Manville / Climate Pro, Attic Protector, JM Spider PLUS (Canada) / R 2.8/inch, Formaldehyde-free</v>
      </c>
      <c r="I70" s="1334"/>
      <c r="J70" s="1334"/>
      <c r="K70" s="1334"/>
      <c r="L70" s="1334"/>
      <c r="M70" s="1334"/>
      <c r="N70" s="1334"/>
      <c r="O70" s="1334"/>
      <c r="P70" s="1334"/>
      <c r="Q70" s="1334"/>
      <c r="R70" s="1334"/>
      <c r="S70" s="1334"/>
      <c r="T70" s="1334"/>
      <c r="U70" s="1334"/>
      <c r="V70" s="1334"/>
      <c r="W70" s="1334"/>
      <c r="X70" s="1334"/>
      <c r="Y70" s="1334"/>
      <c r="Z70" s="1334"/>
    </row>
    <row r="71" spans="4:26" ht="15.75" customHeight="1" x14ac:dyDescent="0.3">
      <c r="D71" s="1334"/>
      <c r="E71" s="1338" t="str">
        <f>INDEX('Master sheet'!$A$1:$A$670,MATCH(296,'Master sheet'!$AN$1:$AN$670,0))</f>
        <v xml:space="preserve">Concrete - 30 MPa, GU / RMCAO / Can. Ontario Avg. / </v>
      </c>
      <c r="F71" s="1338" t="str">
        <f>INDEX('Master sheet'!$A$1:$A$670,MATCH(215,'Master sheet'!$AN$1:$AN$670,0))</f>
        <v xml:space="preserve">(ARCHIVED 2026) Vinyl flooring / Altro / Altro Lavencia Click / </v>
      </c>
      <c r="G71" s="1338"/>
      <c r="H71" s="1338" t="str">
        <f>INDEX('Master sheet'!$A$1:$A$670,MATCH(397,'Master sheet'!$AN$1:$AN$670,0))</f>
        <v>Wood fiber board / North American Fiberboard Association / Includes: MSL, Blue Ridge Fiberboard Inc. / R 2.7/inch</v>
      </c>
      <c r="I71" s="1334"/>
      <c r="J71" s="1334"/>
      <c r="K71" s="1334"/>
      <c r="L71" s="1334"/>
      <c r="M71" s="1334"/>
      <c r="N71" s="1334"/>
      <c r="O71" s="1334"/>
      <c r="P71" s="1334"/>
      <c r="Q71" s="1334"/>
      <c r="R71" s="1334"/>
      <c r="S71" s="1334"/>
      <c r="T71" s="1334"/>
      <c r="U71" s="1334"/>
      <c r="V71" s="1334"/>
      <c r="W71" s="1334"/>
      <c r="X71" s="1334"/>
      <c r="Y71" s="1334"/>
      <c r="Z71" s="1334"/>
    </row>
    <row r="72" spans="4:26" ht="15.75" customHeight="1" x14ac:dyDescent="0.3">
      <c r="D72" s="1334"/>
      <c r="E72" s="1338" t="str">
        <f>INDEX('Master sheet'!$A$1:$A$670,MATCH(297,'Master sheet'!$AN$1:$AN$670,0))</f>
        <v xml:space="preserve">Concrete - 30 MPa, 15% SL, GU / RMCAO / Can. Ontario Avg. / </v>
      </c>
      <c r="F72" s="1338" t="str">
        <f>INDEX('Master sheet'!$A$1:$A$670,MATCH("A119",'Master sheet'!$AN$1:$AN$670,0))</f>
        <v>Vinyl flooring / Altro / Altro Lavencia / 3.0 mm</v>
      </c>
      <c r="G72" s="1338"/>
      <c r="H72" s="1338" t="str">
        <f>INDEX('Master sheet'!$A$1:$A$670,MATCH(400,'Master sheet'!$AN$1:$AN$670,0))</f>
        <v>XPS foam board / DuPont / Reduced GWP Grey Styrofoam™ (same as ST-100) / R 5.0/inch</v>
      </c>
      <c r="I72" s="1334"/>
      <c r="J72" s="1334"/>
      <c r="K72" s="1334"/>
      <c r="L72" s="1334"/>
      <c r="M72" s="1334"/>
      <c r="N72" s="1334"/>
      <c r="O72" s="1334"/>
      <c r="P72" s="1334"/>
      <c r="Q72" s="1334"/>
      <c r="R72" s="1334"/>
      <c r="S72" s="1334"/>
      <c r="T72" s="1334"/>
      <c r="U72" s="1334"/>
      <c r="V72" s="1334"/>
      <c r="W72" s="1334"/>
      <c r="X72" s="1334"/>
      <c r="Y72" s="1334"/>
      <c r="Z72" s="1334"/>
    </row>
    <row r="73" spans="4:26" ht="15.75" customHeight="1" x14ac:dyDescent="0.3">
      <c r="D73" s="1334"/>
      <c r="E73" s="1338" t="str">
        <f>INDEX('Master sheet'!$A$1:$A$670,MATCH(298,'Master sheet'!$AN$1:$AN$670,0))</f>
        <v xml:space="preserve">Concrete - 30 MPa, 25% SL, GU / RMCAO / Can. Ontario Avg. / </v>
      </c>
      <c r="F73" s="1338" t="str">
        <f>INDEX('Master sheet'!$A$1:$A$670,MATCH(218,'Master sheet'!$AN$1:$AN$670,0))</f>
        <v xml:space="preserve">(ARCHIVED 2026) Vinyl flooring / Resilient Floor Covering Institute / Includes tile products from Armstrong, Congoleum, Tarkett / </v>
      </c>
      <c r="G73" s="1338"/>
      <c r="H73" s="1338" t="str">
        <f>INDEX('Master sheet'!$A$1:$A$670,MATCH(401,'Master sheet'!$AN$1:$AN$670,0))</f>
        <v>XPS foam board / Soprema / SOPRA-XPS / R 5.0/inch</v>
      </c>
      <c r="I73" s="1334"/>
      <c r="J73" s="1334"/>
      <c r="K73" s="1334"/>
      <c r="L73" s="1334"/>
      <c r="M73" s="1334"/>
      <c r="N73" s="1334"/>
      <c r="O73" s="1334"/>
      <c r="P73" s="1334"/>
      <c r="Q73" s="1334"/>
      <c r="R73" s="1334"/>
      <c r="S73" s="1334"/>
      <c r="T73" s="1334"/>
      <c r="U73" s="1334"/>
      <c r="V73" s="1334"/>
      <c r="W73" s="1334"/>
      <c r="X73" s="1334"/>
      <c r="Y73" s="1334"/>
      <c r="Z73" s="1334"/>
    </row>
    <row r="74" spans="4:26" ht="15.75" customHeight="1" x14ac:dyDescent="0.3">
      <c r="D74" s="1334"/>
      <c r="E74" s="1338" t="str">
        <f>INDEX('Master sheet'!$A$1:$A$670,MATCH(299,'Master sheet'!$AN$1:$AN$670,0))</f>
        <v xml:space="preserve">Concrete - 30 MPa, 35% SL, GU / RMCAO / Can. Ontario Avg. / </v>
      </c>
      <c r="F74" s="1338" t="str">
        <f>INDEX('Master sheet'!$A$1:$A$670,MATCH(219,'Master sheet'!$AN$1:$AN$670,0))</f>
        <v>Vinyl Siding / Vinyl Siding Institute / Double 4.5" products from: American Original, Associated Materials, CertainTeed, Novik, Ply Gem / 0.040" Double 4.5"</v>
      </c>
      <c r="G74" s="1338"/>
      <c r="H74" s="1338" t="str">
        <f>INDEX('Master sheet'!$A$1:$A$670,MATCH("A200",'Master sheet'!$AN$1:$AN$670,0))</f>
        <v>Mineral wool board / Rockwool / Comfortboard 80 / R 4.2-inch</v>
      </c>
      <c r="I74" s="1334"/>
      <c r="J74" s="1334"/>
      <c r="K74" s="1334"/>
      <c r="L74" s="1334"/>
      <c r="M74" s="1334"/>
      <c r="N74" s="1334"/>
      <c r="O74" s="1334"/>
      <c r="P74" s="1334"/>
      <c r="Q74" s="1334"/>
      <c r="R74" s="1334"/>
      <c r="S74" s="1334"/>
      <c r="T74" s="1334"/>
      <c r="U74" s="1334"/>
      <c r="V74" s="1334"/>
      <c r="W74" s="1334"/>
      <c r="X74" s="1334"/>
      <c r="Y74" s="1334"/>
      <c r="Z74" s="1334"/>
    </row>
    <row r="75" spans="4:26" ht="15.75" customHeight="1" x14ac:dyDescent="0.3">
      <c r="D75" s="1334"/>
      <c r="E75" s="1338" t="str">
        <f>INDEX('Master sheet'!$A$1:$A$670,MATCH(300,'Master sheet'!$AN$1:$AN$670,0))</f>
        <v xml:space="preserve">Concrete - 30 MPa, 50% SL, GU / RMCAO / Can. Ontario Avg. / </v>
      </c>
      <c r="F75" s="1338" t="str">
        <f>INDEX('Master sheet'!$A$1:$A$670,MATCH("A120",'Master sheet'!$AN$1:$AN$670,0))</f>
        <v xml:space="preserve">Welded wire reinforcement / Insteel Industries / 6" x 6" x 6/6g / </v>
      </c>
      <c r="G75" s="1338"/>
      <c r="H75" s="1338" t="str">
        <f>INDEX('Master sheet'!$A$1:$A$670,MATCH(408,'Master sheet'!$AN$1:$AN$670,0))</f>
        <v>Polyiso - wall boards / DuPont / Thermax / R 6.5/inch</v>
      </c>
      <c r="I75" s="1334"/>
      <c r="J75" s="1334"/>
      <c r="K75" s="1334"/>
      <c r="L75" s="1334"/>
      <c r="M75" s="1334"/>
      <c r="N75" s="1334"/>
      <c r="O75" s="1334"/>
      <c r="P75" s="1334"/>
      <c r="Q75" s="1334"/>
      <c r="R75" s="1334"/>
      <c r="S75" s="1334"/>
      <c r="T75" s="1334"/>
      <c r="U75" s="1334"/>
      <c r="V75" s="1334"/>
      <c r="W75" s="1334"/>
      <c r="X75" s="1334"/>
      <c r="Y75" s="1334"/>
      <c r="Z75" s="1334"/>
    </row>
    <row r="76" spans="4:26" ht="15.75" customHeight="1" x14ac:dyDescent="0.3">
      <c r="D76" s="1334"/>
      <c r="E76" s="1338" t="str">
        <f>INDEX('Master sheet'!$A$1:$A$670,MATCH(301,'Master sheet'!$AN$1:$AN$670,0))</f>
        <v xml:space="preserve">Concrete - 35 MPa, GU / RMCAO / Can. Ontario Avg. / </v>
      </c>
      <c r="F76" s="1338" t="str">
        <f>INDEX('Master sheet'!$A$1:$A$670,MATCH("A121",'Master sheet'!$AN$1:$AN$670,0))</f>
        <v xml:space="preserve">Welded wire reinforcement / Insteel Industries / 4" x 4" x 6/6g / </v>
      </c>
      <c r="G76" s="1338"/>
      <c r="H76" s="1338" t="str">
        <f>INDEX('Master sheet'!$A$1:$A$670,MATCH(410,'Master sheet'!$AN$1:$AN$670,0))</f>
        <v xml:space="preserve">Spray polyurethane foam - Closed Cell (HFO) / Huntsman Building Solutions / Heatlok HFO &amp; Heatlok Soya HFO / </v>
      </c>
      <c r="I76" s="1334"/>
      <c r="J76" s="1334"/>
      <c r="K76" s="1334"/>
      <c r="L76" s="1334"/>
      <c r="M76" s="1334"/>
      <c r="N76" s="1334"/>
      <c r="O76" s="1334"/>
      <c r="P76" s="1334"/>
      <c r="Q76" s="1334"/>
      <c r="R76" s="1334"/>
      <c r="S76" s="1334"/>
      <c r="T76" s="1334"/>
      <c r="U76" s="1334"/>
      <c r="V76" s="1334"/>
      <c r="W76" s="1334"/>
      <c r="X76" s="1334"/>
      <c r="Y76" s="1334"/>
      <c r="Z76" s="1334"/>
    </row>
    <row r="77" spans="4:26" ht="15.75" customHeight="1" x14ac:dyDescent="0.3">
      <c r="D77" s="1334"/>
      <c r="E77" s="1338" t="str">
        <f>INDEX('Master sheet'!$A$1:$A$670,MATCH(302,'Master sheet'!$AN$1:$AN$670,0))</f>
        <v xml:space="preserve">Concrete - 35 MPa, 15% SL, GU / RMCAO / Can. Ontario Avg. / </v>
      </c>
      <c r="F77" s="1338" t="str">
        <f>INDEX('Master sheet'!$A$1:$A$670,MATCH(222,'Master sheet'!$AN$1:$AN$670,0))</f>
        <v>Window - double pane / Fiberglass frame /  / USA &amp; CAN</v>
      </c>
      <c r="G77" s="1338"/>
      <c r="H77" s="1338" t="str">
        <f>INDEX('Master sheet'!$A$1:$A$670,MATCH(411,'Master sheet'!$AN$1:$AN$670,0))</f>
        <v>(ARCHIVED 2026) Polyiso - wall boards / PIMA / Includes: Atlas, Firestone, GAF, Johns Manville, Rmax, Carlisle, Iko, Soprema / R 6.5/inch</v>
      </c>
      <c r="I77" s="1334"/>
      <c r="J77" s="1334"/>
      <c r="K77" s="1334"/>
      <c r="L77" s="1334"/>
      <c r="M77" s="1334"/>
      <c r="N77" s="1334"/>
      <c r="O77" s="1334"/>
      <c r="P77" s="1334"/>
      <c r="Q77" s="1334"/>
      <c r="R77" s="1334"/>
      <c r="S77" s="1334"/>
      <c r="T77" s="1334"/>
      <c r="U77" s="1334"/>
      <c r="V77" s="1334"/>
      <c r="W77" s="1334"/>
      <c r="X77" s="1334"/>
      <c r="Y77" s="1334"/>
      <c r="Z77" s="1334"/>
    </row>
    <row r="78" spans="4:26" ht="15.75" customHeight="1" x14ac:dyDescent="0.3">
      <c r="D78" s="1334"/>
      <c r="E78" s="1338" t="str">
        <f>INDEX('Master sheet'!$A$1:$A$670,MATCH(303,'Master sheet'!$AN$1:$AN$670,0))</f>
        <v xml:space="preserve">Concrete - 35 MPa, 25% SL, GU / RMCAO / Can. Ontario Avg. / </v>
      </c>
      <c r="F78" s="1338" t="str">
        <f>INDEX('Master sheet'!$A$1:$A$670,MATCH(224,'Master sheet'!$AN$1:$AN$670,0))</f>
        <v>Window - double pane / Vinyl frame /  / USA &amp; CAN</v>
      </c>
      <c r="G78" s="1338"/>
      <c r="H78" s="1338" t="str">
        <f>INDEX('Master sheet'!$A$1:$A$670,MATCH(412,'Master sheet'!$AN$1:$AN$670,0))</f>
        <v>Straw Bale / SNaB (UK) / Wheat &amp; barley straw / R 2.8/inch</v>
      </c>
      <c r="I78" s="1334"/>
      <c r="J78" s="1334"/>
      <c r="K78" s="1334"/>
      <c r="L78" s="1334"/>
      <c r="M78" s="1334"/>
      <c r="N78" s="1334"/>
      <c r="O78" s="1334"/>
      <c r="P78" s="1334"/>
      <c r="Q78" s="1334"/>
      <c r="R78" s="1334"/>
      <c r="S78" s="1334"/>
      <c r="T78" s="1334"/>
      <c r="U78" s="1334"/>
      <c r="V78" s="1334"/>
      <c r="W78" s="1334"/>
      <c r="X78" s="1334"/>
      <c r="Y78" s="1334"/>
      <c r="Z78" s="1334"/>
    </row>
    <row r="79" spans="4:26" ht="15.75" customHeight="1" x14ac:dyDescent="0.3">
      <c r="D79" s="1334"/>
      <c r="E79" s="1338" t="str">
        <f>INDEX('Master sheet'!$A$1:$A$670,MATCH(304,'Master sheet'!$AN$1:$AN$670,0))</f>
        <v xml:space="preserve">Concrete - 35 MPa, 35% SL, GU / RMCAO / Can. Ontario Avg. / </v>
      </c>
      <c r="F79" s="1338" t="str">
        <f>INDEX('Master sheet'!$A$1:$A$670,MATCH(226,'Master sheet'!$AN$1:$AN$670,0))</f>
        <v>Window - double pane / Wood frame /  / USA &amp; CAN</v>
      </c>
      <c r="G79" s="1338"/>
      <c r="H79" s="1338" t="str">
        <f>INDEX('Master sheet'!$A$1:$A$670,MATCH("A148",'Master sheet'!$AN$1:$AN$670,0))</f>
        <v>Fiberglass board / NAIMA / Includes :  Johns Manville, Knauf, Owens Corning, CertainTeed / R-3.2/inch</v>
      </c>
      <c r="I79" s="1334"/>
      <c r="J79" s="1334"/>
      <c r="K79" s="1334"/>
      <c r="L79" s="1334"/>
      <c r="M79" s="1334"/>
      <c r="N79" s="1334"/>
      <c r="O79" s="1334"/>
      <c r="P79" s="1334"/>
      <c r="Q79" s="1334"/>
      <c r="R79" s="1334"/>
      <c r="S79" s="1334"/>
      <c r="T79" s="1334"/>
      <c r="U79" s="1334"/>
      <c r="V79" s="1334"/>
      <c r="W79" s="1334"/>
      <c r="X79" s="1334"/>
      <c r="Y79" s="1334"/>
      <c r="Z79" s="1334"/>
    </row>
    <row r="80" spans="4:26" ht="15.75" customHeight="1" x14ac:dyDescent="0.3">
      <c r="D80" s="1334"/>
      <c r="E80" s="1338" t="str">
        <f>INDEX('Master sheet'!$A$1:$A$670,MATCH(305,'Master sheet'!$AN$1:$AN$670,0))</f>
        <v xml:space="preserve">Concrete - 35 MPa, 50% SL, GU / RMCAO / Can. Ontario Avg. / </v>
      </c>
      <c r="F80" s="1338" t="str">
        <f>INDEX('Master sheet'!$A$1:$A$670,MATCH(228,'Master sheet'!$AN$1:$AN$670,0))</f>
        <v>Window - double pane / Wood frame, aluminum cladding /  / USA &amp; CAN</v>
      </c>
      <c r="G80" s="1338"/>
      <c r="H80" s="1338" t="str">
        <f>INDEX('Master sheet'!$A$1:$A$670,MATCH("A188",'Master sheet'!$AN$1:$AN$670,0))</f>
        <v>Mineral wool batt / Owens Corning / Thermafiber SAFB (4pcf), Versaboard 40 / R 3.7-inch</v>
      </c>
      <c r="I80" s="1334"/>
      <c r="J80" s="1334"/>
      <c r="K80" s="1334"/>
      <c r="L80" s="1334"/>
      <c r="M80" s="1334"/>
      <c r="N80" s="1334"/>
      <c r="O80" s="1334"/>
      <c r="P80" s="1334"/>
      <c r="Q80" s="1334"/>
      <c r="R80" s="1334"/>
      <c r="S80" s="1334"/>
      <c r="T80" s="1334"/>
      <c r="U80" s="1334"/>
      <c r="V80" s="1334"/>
      <c r="W80" s="1334"/>
      <c r="X80" s="1334"/>
      <c r="Y80" s="1334"/>
      <c r="Z80" s="1334"/>
    </row>
    <row r="81" spans="4:26" ht="15.75" customHeight="1" x14ac:dyDescent="0.3">
      <c r="D81" s="1334"/>
      <c r="E81" s="1338" t="str">
        <f>INDEX('Master sheet'!$A$1:$A$670,MATCH(306,'Master sheet'!$AN$1:$AN$670,0))</f>
        <v xml:space="preserve">Concrete - 25 MPa, GU / SRMCA / Can. Sask Avg. / </v>
      </c>
      <c r="F81" s="1338" t="str">
        <f>INDEX('Master sheet'!$A$1:$A$670,MATCH(229,'Master sheet'!$AN$1:$AN$670,0))</f>
        <v>Window - triple pane / Fiberglass frame /  / USA &amp; CAN</v>
      </c>
      <c r="G81" s="1338"/>
      <c r="H81" s="1338" t="str">
        <f>INDEX('Master sheet'!$A$1:$A$670,MATCH("A189",'Master sheet'!$AN$1:$AN$670,0))</f>
        <v>Mineral wool batt / Owens Corning / UltraBatt - Fire and Sound guard Plus R-15, R-30 / R 4.2-inch</v>
      </c>
      <c r="I81" s="1334"/>
      <c r="J81" s="1334"/>
      <c r="K81" s="1334"/>
      <c r="L81" s="1334"/>
      <c r="M81" s="1334"/>
      <c r="N81" s="1334"/>
      <c r="O81" s="1334"/>
      <c r="P81" s="1334"/>
      <c r="Q81" s="1334"/>
      <c r="R81" s="1334"/>
      <c r="S81" s="1334"/>
      <c r="T81" s="1334"/>
      <c r="U81" s="1334"/>
      <c r="V81" s="1334"/>
      <c r="W81" s="1334"/>
      <c r="X81" s="1334"/>
      <c r="Y81" s="1334"/>
      <c r="Z81" s="1334"/>
    </row>
    <row r="82" spans="4:26" ht="15.75" customHeight="1" x14ac:dyDescent="0.3">
      <c r="D82" s="1334"/>
      <c r="E82" s="1338" t="str">
        <f>INDEX('Master sheet'!$A$1:$A$670,MATCH(307,'Master sheet'!$AN$1:$AN$670,0))</f>
        <v xml:space="preserve">Concrete - 25 MPa, 10% FA, GU / SRMCA / Can. Sask Avg. / </v>
      </c>
      <c r="F82" s="1338" t="str">
        <f>INDEX('Master sheet'!$A$1:$A$670,MATCH(230,'Master sheet'!$AN$1:$AN$670,0))</f>
        <v>Window - triple pane / Vinyl frame /  / USA &amp; CAN</v>
      </c>
      <c r="G82" s="1338"/>
      <c r="H82" s="1338" t="str">
        <f>INDEX('Master sheet'!$A$1:$A$670,MATCH("A190",'Master sheet'!$AN$1:$AN$670,0))</f>
        <v>Mineral wool batt / Owens Corning / UltraBatt - Fire and Sound guard Plus R-23 / R 4.2-inch</v>
      </c>
      <c r="I82" s="1334"/>
      <c r="J82" s="1334"/>
      <c r="K82" s="1334"/>
      <c r="L82" s="1334"/>
      <c r="M82" s="1334"/>
      <c r="N82" s="1334"/>
      <c r="O82" s="1334"/>
      <c r="P82" s="1334"/>
      <c r="Q82" s="1334"/>
      <c r="R82" s="1334"/>
      <c r="S82" s="1334"/>
      <c r="T82" s="1334"/>
      <c r="U82" s="1334"/>
      <c r="V82" s="1334"/>
      <c r="W82" s="1334"/>
      <c r="X82" s="1334"/>
      <c r="Y82" s="1334"/>
      <c r="Z82" s="1334"/>
    </row>
    <row r="83" spans="4:26" ht="15.75" customHeight="1" x14ac:dyDescent="0.3">
      <c r="D83" s="1334"/>
      <c r="E83" s="1338" t="str">
        <f>INDEX('Master sheet'!$A$1:$A$670,MATCH(308,'Master sheet'!$AN$1:$AN$670,0))</f>
        <v xml:space="preserve">Concrete - 25 MPa, 20% FA, GU / SRMCA / Can. Sask Avg. / </v>
      </c>
      <c r="F83" s="1338" t="str">
        <f>INDEX('Master sheet'!$A$1:$A$670,MATCH(232,'Master sheet'!$AN$1:$AN$670,0))</f>
        <v>Window - triple pane / Wood frame /  / USA &amp; CAN</v>
      </c>
      <c r="G83" s="1338"/>
      <c r="H83" s="1338" t="str">
        <f>INDEX('Master sheet'!$A$1:$A$670,MATCH("A191",'Master sheet'!$AN$1:$AN$670,0))</f>
        <v>Mineral wool batt / Owens Corning / UltraBatt - Fire and Sound guard Plus R-24 / R 4.0-inch</v>
      </c>
      <c r="I83" s="1334"/>
      <c r="J83" s="1334"/>
      <c r="K83" s="1334"/>
      <c r="L83" s="1334"/>
      <c r="M83" s="1334"/>
      <c r="N83" s="1334"/>
      <c r="O83" s="1334"/>
      <c r="P83" s="1334"/>
      <c r="Q83" s="1334"/>
      <c r="R83" s="1334"/>
      <c r="S83" s="1334"/>
      <c r="T83" s="1334"/>
      <c r="U83" s="1334"/>
      <c r="V83" s="1334"/>
      <c r="W83" s="1334"/>
      <c r="X83" s="1334"/>
      <c r="Y83" s="1334"/>
      <c r="Z83" s="1334"/>
    </row>
    <row r="84" spans="4:26" ht="15.75" customHeight="1" x14ac:dyDescent="0.3">
      <c r="D84" s="1334"/>
      <c r="E84" s="1338" t="str">
        <f>INDEX('Master sheet'!$A$1:$A$670,MATCH(309,'Master sheet'!$AN$1:$AN$670,0))</f>
        <v xml:space="preserve">Concrete - 25 MPa, 30% FA, GU / SRMCA / Can. Sask Avg. / </v>
      </c>
      <c r="F84" s="1338" t="str">
        <f>INDEX('Master sheet'!$A$1:$A$670,MATCH(234,'Master sheet'!$AN$1:$AN$670,0))</f>
        <v>Window - triple pane / Wood frame, aluminum cladding /  / USA &amp; CAN</v>
      </c>
      <c r="G84" s="1338"/>
      <c r="H84" s="1338" t="str">
        <f>INDEX('Master sheet'!$A$1:$A$670,MATCH("A192",'Master sheet'!$AN$1:$AN$670,0))</f>
        <v>Mineral wool board / Owens Corning / Thermafiber RainBarrier ci 80 / R 4.2-inch</v>
      </c>
      <c r="I84" s="1334"/>
      <c r="J84" s="1334"/>
      <c r="K84" s="1334"/>
      <c r="L84" s="1334"/>
      <c r="M84" s="1334"/>
      <c r="N84" s="1334"/>
      <c r="O84" s="1334"/>
      <c r="P84" s="1334"/>
      <c r="Q84" s="1334"/>
      <c r="R84" s="1334"/>
      <c r="S84" s="1334"/>
      <c r="T84" s="1334"/>
      <c r="U84" s="1334"/>
      <c r="V84" s="1334"/>
      <c r="W84" s="1334"/>
      <c r="X84" s="1334"/>
      <c r="Y84" s="1334"/>
      <c r="Z84" s="1334"/>
    </row>
    <row r="85" spans="4:26" ht="15.75" customHeight="1" x14ac:dyDescent="0.3">
      <c r="D85" s="1334"/>
      <c r="E85" s="1338" t="str">
        <f>INDEX('Master sheet'!$A$1:$A$670,MATCH(310,'Master sheet'!$AN$1:$AN$670,0))</f>
        <v xml:space="preserve">Concrete - 25 MPa, 40% FA, GU / SRMCA / Can. Sask Avg. / </v>
      </c>
      <c r="F85" s="1338" t="str">
        <f>INDEX('Master sheet'!$A$1:$A$670,MATCH(236,'Master sheet'!$AN$1:$AN$670,0))</f>
        <v>Wood chip cement ICF / Nexcem, Faswall /  / 12" R22 block</v>
      </c>
      <c r="G85" s="1338"/>
      <c r="H85" s="1338" t="str">
        <f>INDEX('Master sheet'!$A$1:$A$670,MATCH("A193",'Master sheet'!$AN$1:$AN$670,0))</f>
        <v>Mineral wool board / Owens Corning / Thermafiber RainBarrier ci HC 140 / R 4.2-inch</v>
      </c>
      <c r="I85" s="1334"/>
      <c r="J85" s="1334"/>
      <c r="K85" s="1334"/>
      <c r="L85" s="1334"/>
      <c r="M85" s="1334"/>
      <c r="N85" s="1334"/>
      <c r="O85" s="1334"/>
      <c r="P85" s="1334"/>
      <c r="Q85" s="1334"/>
      <c r="R85" s="1334"/>
      <c r="S85" s="1334"/>
      <c r="T85" s="1334"/>
      <c r="U85" s="1334"/>
      <c r="V85" s="1334"/>
      <c r="W85" s="1334"/>
      <c r="X85" s="1334"/>
      <c r="Y85" s="1334"/>
      <c r="Z85" s="1334"/>
    </row>
    <row r="86" spans="4:26" ht="15.75" customHeight="1" x14ac:dyDescent="0.3">
      <c r="D86" s="1334"/>
      <c r="E86" s="1338" t="str">
        <f>INDEX('Master sheet'!$A$1:$A$670,MATCH(311,'Master sheet'!$AN$1:$AN$670,0))</f>
        <v xml:space="preserve">Concrete - 30 MPa, GU / SRMCA / Can. Sask Avg. / </v>
      </c>
      <c r="F86" s="1338" t="str">
        <f>INDEX('Master sheet'!$A$1:$A$670,MATCH(237,'Master sheet'!$AN$1:$AN$670,0))</f>
        <v>Wood chip cement ICF / Nexcem, Faswall /  / 14" R28 block</v>
      </c>
      <c r="G86" s="1338"/>
      <c r="H86" s="1338" t="str">
        <f>INDEX('Master sheet'!$A$1:$A$670,MATCH("A194",'Master sheet'!$AN$1:$AN$670,0))</f>
        <v>Mineral wool board / Owens Corning / Thermafiber RainBarrier ci HC 110 / R 4.3-inch</v>
      </c>
      <c r="I86" s="1334"/>
      <c r="J86" s="1334"/>
      <c r="K86" s="1334"/>
      <c r="L86" s="1334"/>
      <c r="M86" s="1334"/>
      <c r="N86" s="1334"/>
      <c r="O86" s="1334"/>
      <c r="P86" s="1334"/>
      <c r="Q86" s="1334"/>
      <c r="R86" s="1334"/>
      <c r="S86" s="1334"/>
      <c r="T86" s="1334"/>
      <c r="U86" s="1334"/>
      <c r="V86" s="1334"/>
      <c r="W86" s="1334"/>
      <c r="X86" s="1334"/>
      <c r="Y86" s="1334"/>
      <c r="Z86" s="1334"/>
    </row>
    <row r="87" spans="4:26" ht="15.75" customHeight="1" x14ac:dyDescent="0.3">
      <c r="D87" s="1334"/>
      <c r="E87" s="1338" t="str">
        <f>INDEX('Master sheet'!$A$1:$A$670,MATCH(312,'Master sheet'!$AN$1:$AN$670,0))</f>
        <v xml:space="preserve">Concrete - 30 MPa, 10% FA, GU / SRMCA / Can. Sask Avg. / </v>
      </c>
      <c r="F87" s="1338" t="str">
        <f>INDEX('Master sheet'!$A$1:$A$670,MATCH(259,'Master sheet'!$AN$1:$AN$670,0))</f>
        <v>EPS FOAM ICF R-23, 2 Sheets of 2.75" @ R4/in., 15M rebar (6" CONCRETE CORE must be added separately)</v>
      </c>
      <c r="G87" s="1338"/>
      <c r="H87" s="1338" t="str">
        <f>INDEX('Master sheet'!$A$1:$A$670,MATCH("A195",'Master sheet'!$AN$1:$AN$670,0))</f>
        <v>Mineral wool batt / Rockwool / ComfortBatt R-23 / R 4.2-inch</v>
      </c>
      <c r="I87" s="1334"/>
      <c r="J87" s="1334"/>
      <c r="K87" s="1334"/>
      <c r="L87" s="1334"/>
      <c r="M87" s="1334"/>
      <c r="N87" s="1334"/>
      <c r="O87" s="1334"/>
      <c r="P87" s="1334"/>
      <c r="Q87" s="1334"/>
      <c r="R87" s="1334"/>
      <c r="S87" s="1334"/>
      <c r="T87" s="1334"/>
      <c r="U87" s="1334"/>
      <c r="V87" s="1334"/>
      <c r="W87" s="1334"/>
      <c r="X87" s="1334"/>
      <c r="Y87" s="1334"/>
      <c r="Z87" s="1334"/>
    </row>
    <row r="88" spans="4:26" ht="15.75" customHeight="1" x14ac:dyDescent="0.3">
      <c r="D88" s="1334"/>
      <c r="E88" s="1338" t="str">
        <f>INDEX('Master sheet'!$A$1:$A$670,MATCH(313,'Master sheet'!$AN$1:$AN$670,0))</f>
        <v xml:space="preserve">Concrete - 30 MPa, 20% FA, GU / SRMCA / Can. Sask Avg. / </v>
      </c>
      <c r="F88" s="1338" t="str">
        <f>INDEX('Master sheet'!$A$1:$A$670,MATCH(264,'Master sheet'!$AN$1:$AN$670,0))</f>
        <v>WOOD CHIP CEMENT ICF 12" R-22 with MINERAL WOOL INSERTS, (3 in. @ R4.2/in.), 15M REBAR</v>
      </c>
      <c r="G88" s="1338"/>
      <c r="H88" s="1338" t="str">
        <f>INDEX('Master sheet'!$A$1:$A$670,MATCH("A196",'Master sheet'!$AN$1:$AN$670,0))</f>
        <v>Mineral wool batt / Rockwool / ComfortBatt R-24 (Steel Studs) / R 4.0-inch</v>
      </c>
      <c r="I88" s="1334"/>
      <c r="J88" s="1334"/>
      <c r="K88" s="1334"/>
      <c r="L88" s="1334"/>
      <c r="M88" s="1334"/>
      <c r="N88" s="1334"/>
      <c r="O88" s="1334"/>
      <c r="P88" s="1334"/>
      <c r="Q88" s="1334"/>
      <c r="R88" s="1334"/>
      <c r="S88" s="1334"/>
      <c r="T88" s="1334"/>
      <c r="U88" s="1334"/>
      <c r="V88" s="1334"/>
      <c r="W88" s="1334"/>
      <c r="X88" s="1334"/>
      <c r="Y88" s="1334"/>
      <c r="Z88" s="1334"/>
    </row>
    <row r="89" spans="4:26" ht="15.75" customHeight="1" x14ac:dyDescent="0.3">
      <c r="D89" s="1334"/>
      <c r="E89" s="1338" t="str">
        <f>INDEX('Master sheet'!$A$1:$A$670,MATCH(314,'Master sheet'!$AN$1:$AN$670,0))</f>
        <v xml:space="preserve">Concrete - 30 MPa, 30% FA, GU / SRMCA / Can. Sask Avg. / </v>
      </c>
      <c r="F89" s="1338" t="str">
        <f>INDEX('Master sheet'!$A$1:$A$670,MATCH(265,'Master sheet'!$AN$1:$AN$670,0))</f>
        <v>WOOD CHIP CEMENT ICF 14" R-28 with MINERAL WOOL INSERTS (5 in. @ R4.2/in.), 15M REBAR</v>
      </c>
      <c r="G89" s="1338"/>
      <c r="H89" s="1338" t="str">
        <f>INDEX('Master sheet'!$A$1:$A$670,MATCH("A197",'Master sheet'!$AN$1:$AN$670,0))</f>
        <v>Mineral wool batt / Rockwool / ComfortBatt R-24 (Wood Studs) / R 4.4-inch</v>
      </c>
      <c r="I89" s="1334"/>
      <c r="J89" s="1334"/>
      <c r="K89" s="1334"/>
      <c r="L89" s="1334"/>
      <c r="M89" s="1334"/>
      <c r="N89" s="1334"/>
      <c r="O89" s="1334"/>
      <c r="P89" s="1334"/>
      <c r="Q89" s="1334"/>
      <c r="R89" s="1334"/>
      <c r="S89" s="1334"/>
      <c r="T89" s="1334"/>
      <c r="U89" s="1334"/>
      <c r="V89" s="1334"/>
      <c r="W89" s="1334"/>
      <c r="X89" s="1334"/>
      <c r="Y89" s="1334"/>
      <c r="Z89" s="1334"/>
    </row>
    <row r="90" spans="4:26" ht="15.75" customHeight="1" x14ac:dyDescent="0.3">
      <c r="D90" s="1334"/>
      <c r="E90" s="1338" t="str">
        <f>INDEX('Master sheet'!$A$1:$A$670,MATCH(315,'Master sheet'!$AN$1:$AN$670,0))</f>
        <v xml:space="preserve">Concrete - 30 MPa, 40% FA, GU / SRMCA / Can. Sask Avg. / </v>
      </c>
      <c r="F90" s="1338" t="str">
        <f>INDEX('Master sheet'!$A$1:$A$670,MATCH(266,'Master sheet'!$AN$1:$AN$670,0))</f>
        <v>WOOD CHIP CEMENT ICF 12" R-21 with CORK BOARD INSERTS (3 in. @ R4/in.), 15M REBAR</v>
      </c>
      <c r="G90" s="1338"/>
      <c r="H90" s="1338" t="str">
        <f>INDEX('Master sheet'!$A$1:$A$670,MATCH("A198",'Master sheet'!$AN$1:$AN$670,0))</f>
        <v>Mineral wool board / Rockwool / Cavityrock / R 4.3-inch</v>
      </c>
      <c r="I90" s="1334"/>
      <c r="J90" s="1334"/>
      <c r="K90" s="1334"/>
      <c r="L90" s="1334"/>
      <c r="M90" s="1334"/>
      <c r="N90" s="1334"/>
      <c r="O90" s="1334"/>
      <c r="P90" s="1334"/>
      <c r="Q90" s="1334"/>
      <c r="R90" s="1334"/>
      <c r="S90" s="1334"/>
      <c r="T90" s="1334"/>
      <c r="U90" s="1334"/>
      <c r="V90" s="1334"/>
      <c r="W90" s="1334"/>
      <c r="X90" s="1334"/>
      <c r="Y90" s="1334"/>
      <c r="Z90" s="1334"/>
    </row>
    <row r="91" spans="4:26" ht="15.75" customHeight="1" x14ac:dyDescent="0.3">
      <c r="D91" s="1334"/>
      <c r="E91" s="1338" t="str">
        <f>INDEX('Master sheet'!$A$1:$A$670,MATCH(316,'Master sheet'!$AN$1:$AN$670,0))</f>
        <v xml:space="preserve">Concrete - 35 MPa, GU / SRMCA / Can. Sask Avg. / </v>
      </c>
      <c r="F91" s="1338" t="str">
        <f>INDEX('Master sheet'!$A$1:$A$670,MATCH(267,'Master sheet'!$AN$1:$AN$670,0))</f>
        <v>WOOD CHIP CEMENT ICF 14" R-27 with CORK BOARD INSERTS (5 in. @ R4/in.), 15M REBAR</v>
      </c>
      <c r="G91" s="1338"/>
      <c r="H91" s="1338" t="str">
        <f>INDEX('Master sheet'!$A$1:$A$670,MATCH("A199",'Master sheet'!$AN$1:$AN$670,0))</f>
        <v>Mineral wool board / Rockwool / Comfortboard 110 / R 4.0-inch</v>
      </c>
      <c r="I91" s="1334"/>
      <c r="J91" s="1334"/>
      <c r="K91" s="1334"/>
      <c r="L91" s="1334"/>
      <c r="M91" s="1334"/>
      <c r="N91" s="1334"/>
      <c r="O91" s="1334"/>
      <c r="P91" s="1334"/>
      <c r="Q91" s="1334"/>
      <c r="R91" s="1334"/>
      <c r="S91" s="1334"/>
      <c r="T91" s="1334"/>
      <c r="U91" s="1334"/>
      <c r="V91" s="1334"/>
      <c r="W91" s="1334"/>
      <c r="X91" s="1334"/>
      <c r="Y91" s="1334"/>
      <c r="Z91" s="1334"/>
    </row>
    <row r="92" spans="4:26" ht="15.75" customHeight="1" x14ac:dyDescent="0.3">
      <c r="D92" s="1334"/>
      <c r="E92" s="1338" t="str">
        <f>INDEX('Master sheet'!$A$1:$A$670,MATCH(317,'Master sheet'!$AN$1:$AN$670,0))</f>
        <v xml:space="preserve">Concrete - 35 MPa, 10% FA, GU / SRMCA / Can. Sask Avg. / </v>
      </c>
      <c r="F92" s="1338" t="str">
        <f>INDEX('Master sheet'!$A$1:$A$670,MATCH(268,'Master sheet'!$AN$1:$AN$670,0))</f>
        <v>TREATED WOOD FOUNDATION - 2x8 framing @ 16" OC, 3/4" plywood sheathing</v>
      </c>
      <c r="G92" s="1338"/>
      <c r="H92" s="1338" t="str">
        <f>INDEX('Master sheet'!$A$1:$A$670,MATCH("A200",'Master sheet'!$AN$1:$AN$670,0))</f>
        <v>Mineral wool board / Rockwool / Comfortboard 80 / R 4.2-inch</v>
      </c>
      <c r="I92" s="1334"/>
      <c r="J92" s="1334"/>
      <c r="K92" s="1334"/>
      <c r="L92" s="1334"/>
      <c r="M92" s="1334"/>
      <c r="N92" s="1334"/>
      <c r="O92" s="1334"/>
      <c r="P92" s="1334"/>
      <c r="Q92" s="1334"/>
      <c r="R92" s="1334"/>
      <c r="S92" s="1334"/>
      <c r="T92" s="1334"/>
      <c r="U92" s="1334"/>
      <c r="V92" s="1334"/>
      <c r="W92" s="1334"/>
      <c r="X92" s="1334"/>
      <c r="Y92" s="1334"/>
      <c r="Z92" s="1334"/>
    </row>
    <row r="93" spans="4:26" ht="15.75" customHeight="1" x14ac:dyDescent="0.3">
      <c r="D93" s="1334"/>
      <c r="E93" s="1338" t="str">
        <f>INDEX('Master sheet'!$A$1:$A$670,MATCH(318,'Master sheet'!$AN$1:$AN$670,0))</f>
        <v xml:space="preserve">Concrete - 35 MPa, 20% FA, GU / SRMCA / Can. Sask Avg. / </v>
      </c>
      <c r="F93" s="1338" t="str">
        <f>INDEX('Master sheet'!$A$1:$A$670,MATCH(269,'Master sheet'!$AN$1:$AN$670,0))</f>
        <v>WOOD FRAME with STRAW BALE INFILL - 14" R-46, Double 2x4 @ 30" o/c</v>
      </c>
      <c r="G93" s="1338"/>
      <c r="H93" s="1338" t="str">
        <f>INDEX('Master sheet'!$A$1:$A$670,MATCH("A201",'Master sheet'!$AN$1:$AN$670,0))</f>
        <v>Mineral wool board / Rockwool / Toprock DD / R 4.3-inch</v>
      </c>
      <c r="I93" s="1334"/>
      <c r="J93" s="1334"/>
      <c r="K93" s="1334"/>
      <c r="L93" s="1334"/>
      <c r="M93" s="1334"/>
      <c r="N93" s="1334"/>
      <c r="O93" s="1334"/>
      <c r="P93" s="1334"/>
      <c r="Q93" s="1334"/>
      <c r="R93" s="1334"/>
      <c r="S93" s="1334"/>
      <c r="T93" s="1334"/>
      <c r="U93" s="1334"/>
      <c r="V93" s="1334"/>
      <c r="W93" s="1334"/>
      <c r="X93" s="1334"/>
      <c r="Y93" s="1334"/>
      <c r="Z93" s="1334"/>
    </row>
    <row r="94" spans="4:26" ht="15.75" customHeight="1" x14ac:dyDescent="0.3">
      <c r="D94" s="1334"/>
      <c r="E94" s="1338" t="str">
        <f>INDEX('Master sheet'!$A$1:$A$670,MATCH(319,'Master sheet'!$AN$1:$AN$670,0))</f>
        <v xml:space="preserve">Concrete - 35 MPa, 30% FA, GU / SRMCA / Can. Sask Avg. / </v>
      </c>
      <c r="F94" s="1338" t="str">
        <f>INDEX('Master sheet'!$A$1:$A$670,MATCH(372,'Master sheet'!$AN$1:$AN$670,0))</f>
        <v xml:space="preserve">Vinyl flooring / Shaw - Patcraft / Luxury Vinyl Tile / 2 - 5 mm </v>
      </c>
      <c r="G94" s="1338"/>
      <c r="H94" s="1338" t="str">
        <f>INDEX('Master sheet'!$A$1:$A$670,MATCH("A202",'Master sheet'!$AN$1:$AN$670,0))</f>
        <v>Mineral wool batt / Rockwool / Safe'n'Sound / R 4.0-inch</v>
      </c>
      <c r="I94" s="1334"/>
      <c r="J94" s="1334"/>
      <c r="K94" s="1334"/>
      <c r="L94" s="1334"/>
      <c r="M94" s="1334"/>
      <c r="N94" s="1334"/>
      <c r="O94" s="1334"/>
      <c r="P94" s="1334"/>
      <c r="Q94" s="1334"/>
      <c r="R94" s="1334"/>
      <c r="S94" s="1334"/>
      <c r="T94" s="1334"/>
      <c r="U94" s="1334"/>
      <c r="V94" s="1334"/>
      <c r="W94" s="1334"/>
      <c r="X94" s="1334"/>
      <c r="Y94" s="1334"/>
      <c r="Z94" s="1334"/>
    </row>
    <row r="95" spans="4:26" ht="15.75" customHeight="1" x14ac:dyDescent="0.3">
      <c r="D95" s="1334"/>
      <c r="E95" s="1338" t="str">
        <f>INDEX('Master sheet'!$A$1:$A$670,MATCH(320,'Master sheet'!$AN$1:$AN$670,0))</f>
        <v xml:space="preserve">Concrete - 35 MPa, 40% FA, GU / SRMCA / Can. Sask Avg. / </v>
      </c>
      <c r="F95" s="1338" t="str">
        <f>INDEX('Master sheet'!$A$1:$A$670,MATCH(373,'Master sheet'!$AN$1:$AN$670,0))</f>
        <v>Linoleum flooring / Gerflor  / DLW Linoleum Compact / 2.5 mm sheet style linoleum</v>
      </c>
      <c r="G95" s="1338"/>
      <c r="H95" s="1338" t="str">
        <f>INDEX('Master sheet'!$A$1:$A$670,MATCH("A203",'Master sheet'!$AN$1:$AN$670,0))</f>
        <v>Foam glass aggregate / Foamit group /  / 191 kg/m3, 10-60 mm, R 1,5/inch</v>
      </c>
      <c r="I95" s="1334"/>
      <c r="J95" s="1334"/>
      <c r="K95" s="1334"/>
      <c r="L95" s="1334"/>
      <c r="M95" s="1334"/>
      <c r="N95" s="1334"/>
      <c r="O95" s="1334"/>
      <c r="P95" s="1334"/>
      <c r="Q95" s="1334"/>
      <c r="R95" s="1334"/>
      <c r="S95" s="1334"/>
      <c r="T95" s="1334"/>
      <c r="U95" s="1334"/>
      <c r="V95" s="1334"/>
      <c r="W95" s="1334"/>
      <c r="X95" s="1334"/>
      <c r="Y95" s="1334"/>
      <c r="Z95" s="1334"/>
    </row>
    <row r="96" spans="4:26" ht="15.75" customHeight="1" x14ac:dyDescent="0.3">
      <c r="D96" s="1334"/>
      <c r="E96" s="1338" t="str">
        <f>INDEX('Master sheet'!$A$1:$A$670,MATCH(321,'Master sheet'!$AN$1:$AN$670,0))</f>
        <v xml:space="preserve">Concrete - 25 MPa, GU / MRMCA / Can. Manitoba Avg. / </v>
      </c>
      <c r="F96" s="1338" t="str">
        <f>INDEX('Master sheet'!$A$1:$A$670,MATCH(375,'Master sheet'!$AN$1:$AN$670,0))</f>
        <v>Window - double pane / Andersen / E-series (Average Double-hung/Awning/Picture) / Wood frame, aluminum cladding</v>
      </c>
      <c r="G96" s="1338"/>
      <c r="H96" s="1338"/>
      <c r="I96" s="1334"/>
      <c r="J96" s="1334"/>
      <c r="K96" s="1334"/>
      <c r="L96" s="1334"/>
      <c r="M96" s="1334"/>
      <c r="N96" s="1334"/>
      <c r="O96" s="1334"/>
      <c r="P96" s="1334"/>
      <c r="Q96" s="1334"/>
      <c r="R96" s="1334"/>
      <c r="S96" s="1334"/>
      <c r="T96" s="1334"/>
      <c r="U96" s="1334"/>
      <c r="V96" s="1334"/>
      <c r="W96" s="1334"/>
      <c r="X96" s="1334"/>
      <c r="Y96" s="1334"/>
      <c r="Z96" s="1334"/>
    </row>
    <row r="97" spans="4:26" ht="15.75" customHeight="1" x14ac:dyDescent="0.3">
      <c r="D97" s="1334"/>
      <c r="E97" s="1338" t="str">
        <f>INDEX('Master sheet'!$A$1:$A$670,MATCH(322,'Master sheet'!$AN$1:$AN$670,0))</f>
        <v xml:space="preserve">Concrete - 25 MPa, 10% FA, GU / MRMCA / Can. Manitoba Avg. / </v>
      </c>
      <c r="F97" s="1338" t="str">
        <f>INDEX('Master sheet'!$A$1:$A$670,MATCH(378,'Master sheet'!$AN$1:$AN$670,0))</f>
        <v>(ARCHIVED 2026) Carpet / J+J Flooring / Standard Back / all Broadloom styles</v>
      </c>
      <c r="G97" s="1338"/>
      <c r="H97" s="1338"/>
      <c r="I97" s="1334"/>
      <c r="J97" s="1334"/>
      <c r="K97" s="1334"/>
      <c r="L97" s="1334"/>
      <c r="M97" s="1334"/>
      <c r="N97" s="1334"/>
      <c r="O97" s="1334"/>
      <c r="P97" s="1334"/>
      <c r="Q97" s="1334"/>
      <c r="R97" s="1334"/>
      <c r="S97" s="1334"/>
      <c r="T97" s="1334"/>
      <c r="U97" s="1334"/>
      <c r="V97" s="1334"/>
      <c r="W97" s="1334"/>
      <c r="X97" s="1334"/>
      <c r="Y97" s="1334"/>
      <c r="Z97" s="1334"/>
    </row>
    <row r="98" spans="4:26" ht="15.75" customHeight="1" x14ac:dyDescent="0.3">
      <c r="D98" s="1334"/>
      <c r="E98" s="1338" t="str">
        <f>INDEX('Master sheet'!$A$1:$A$670,MATCH(323,'Master sheet'!$AN$1:$AN$670,0))</f>
        <v xml:space="preserve">Concrete - 25 MPa, 20% FA, GU / MRMCA / Can. Manitoba Avg. / </v>
      </c>
      <c r="F98" s="1338" t="str">
        <f>INDEX('Master sheet'!$A$1:$A$670,MATCH(379,'Master sheet'!$AN$1:$AN$670,0))</f>
        <v>Vinyl flooring / Mannington / Luxury Vinyl Tile / 2.5 mm Tile and Plank</v>
      </c>
      <c r="G98" s="1338"/>
      <c r="H98" s="1338"/>
      <c r="I98" s="1334"/>
      <c r="J98" s="1334"/>
      <c r="K98" s="1334"/>
      <c r="L98" s="1334"/>
      <c r="M98" s="1334"/>
      <c r="N98" s="1334"/>
      <c r="O98" s="1334"/>
      <c r="P98" s="1334"/>
      <c r="Q98" s="1334"/>
      <c r="R98" s="1334"/>
      <c r="S98" s="1334"/>
      <c r="T98" s="1334"/>
      <c r="U98" s="1334"/>
      <c r="V98" s="1334"/>
      <c r="W98" s="1334"/>
      <c r="X98" s="1334"/>
      <c r="Y98" s="1334"/>
      <c r="Z98" s="1334"/>
    </row>
    <row r="99" spans="4:26" ht="15.75" customHeight="1" x14ac:dyDescent="0.3">
      <c r="D99" s="1334"/>
      <c r="E99" s="1338" t="str">
        <f>INDEX('Master sheet'!$A$1:$A$670,MATCH(324,'Master sheet'!$AN$1:$AN$670,0))</f>
        <v xml:space="preserve">Concrete - 25 MPa, 30% FA, GU / MRMCA / Can. Manitoba Avg. / </v>
      </c>
      <c r="F99" s="1338" t="str">
        <f>INDEX('Master sheet'!$A$1:$A$670,MATCH(380,'Master sheet'!$AN$1:$AN$670,0))</f>
        <v xml:space="preserve">Asphalt Shingles / GAF / Timberline Cool Series / </v>
      </c>
      <c r="G99" s="1338"/>
      <c r="H99" s="1338"/>
      <c r="I99" s="1334"/>
      <c r="J99" s="1334"/>
      <c r="K99" s="1334"/>
      <c r="L99" s="1334"/>
      <c r="M99" s="1334"/>
      <c r="N99" s="1334"/>
      <c r="O99" s="1334"/>
      <c r="P99" s="1334"/>
      <c r="Q99" s="1334"/>
      <c r="R99" s="1334"/>
      <c r="S99" s="1334"/>
      <c r="T99" s="1334"/>
      <c r="U99" s="1334"/>
      <c r="V99" s="1334"/>
      <c r="W99" s="1334"/>
      <c r="X99" s="1334"/>
      <c r="Y99" s="1334"/>
      <c r="Z99" s="1334"/>
    </row>
    <row r="100" spans="4:26" ht="15.75" customHeight="1" x14ac:dyDescent="0.3">
      <c r="D100" s="1334"/>
      <c r="E100" s="1338" t="str">
        <f>INDEX('Master sheet'!$A$1:$A$670,MATCH(325,'Master sheet'!$AN$1:$AN$670,0))</f>
        <v xml:space="preserve">Concrete - 25 MPa, 40% FA, GU / MRMCA / Can. Manitoba Avg. / </v>
      </c>
      <c r="F100" s="1338" t="str">
        <f>INDEX('Master sheet'!$A$1:$A$670,MATCH(381,'Master sheet'!$AN$1:$AN$670,0))</f>
        <v>Linoleum flooring / Mannington / Legato Flooring / liquid applied</v>
      </c>
      <c r="G100" s="1338"/>
      <c r="H100" s="1338"/>
      <c r="I100" s="1334"/>
      <c r="J100" s="1334"/>
      <c r="K100" s="1334"/>
      <c r="L100" s="1334"/>
      <c r="M100" s="1334"/>
      <c r="N100" s="1334"/>
      <c r="O100" s="1334"/>
      <c r="P100" s="1334"/>
      <c r="Q100" s="1334"/>
      <c r="R100" s="1334"/>
      <c r="S100" s="1334"/>
      <c r="T100" s="1334"/>
      <c r="U100" s="1334"/>
      <c r="V100" s="1334"/>
      <c r="W100" s="1334"/>
      <c r="X100" s="1334"/>
      <c r="Y100" s="1334"/>
      <c r="Z100" s="1334"/>
    </row>
    <row r="101" spans="4:26" ht="15.75" customHeight="1" x14ac:dyDescent="0.3">
      <c r="D101" s="1334"/>
      <c r="E101" s="1338" t="str">
        <f>INDEX('Master sheet'!$A$1:$A$670,MATCH(326,'Master sheet'!$AN$1:$AN$670,0))</f>
        <v xml:space="preserve">Concrete - 30 MPa, GU / MRMCA / Can. Manitoba Avg. / </v>
      </c>
      <c r="F101" s="1338" t="str">
        <f>INDEX('Master sheet'!$A$1:$A$670,MATCH(382,'Master sheet'!$AN$1:$AN$670,0))</f>
        <v>(ARCHIVED 2026) Ceramic tile / Fireclay Tile / Ceramic - recycled content / Standard and Second grade</v>
      </c>
      <c r="G101" s="1338"/>
      <c r="H101" s="1338"/>
      <c r="I101" s="1334"/>
      <c r="J101" s="1334"/>
      <c r="K101" s="1334"/>
      <c r="L101" s="1334"/>
      <c r="M101" s="1334"/>
      <c r="N101" s="1334"/>
      <c r="O101" s="1334"/>
      <c r="P101" s="1334"/>
      <c r="Q101" s="1334"/>
      <c r="R101" s="1334"/>
      <c r="S101" s="1334"/>
      <c r="T101" s="1334"/>
      <c r="U101" s="1334"/>
      <c r="V101" s="1334"/>
      <c r="W101" s="1334"/>
      <c r="X101" s="1334"/>
      <c r="Y101" s="1334"/>
      <c r="Z101" s="1334"/>
    </row>
    <row r="102" spans="4:26" ht="15.75" customHeight="1" x14ac:dyDescent="0.3">
      <c r="D102" s="1334"/>
      <c r="E102" s="1338" t="str">
        <f>INDEX('Master sheet'!$A$1:$A$670,MATCH(327,'Master sheet'!$AN$1:$AN$670,0))</f>
        <v xml:space="preserve">Concrete - 30 MPa, 10% FA, GU / MRMCA / Can. Manitoba Avg. / </v>
      </c>
      <c r="F102" s="1338" t="str">
        <f>INDEX('Master sheet'!$A$1:$A$670,MATCH(383,'Master sheet'!$AN$1:$AN$670,0))</f>
        <v>(ARCHIVED 2026) Ceramic tile / American Wonder Porcelain / Procelain - recycled content / Standard and Second grade</v>
      </c>
      <c r="G102" s="1338"/>
      <c r="H102" s="1338"/>
      <c r="I102" s="1334"/>
      <c r="J102" s="1334"/>
      <c r="K102" s="1334"/>
      <c r="L102" s="1334"/>
      <c r="M102" s="1334"/>
      <c r="N102" s="1334"/>
      <c r="O102" s="1334"/>
      <c r="P102" s="1334"/>
      <c r="Q102" s="1334"/>
      <c r="R102" s="1334"/>
      <c r="S102" s="1334"/>
      <c r="T102" s="1334"/>
      <c r="U102" s="1334"/>
      <c r="V102" s="1334"/>
      <c r="W102" s="1334"/>
      <c r="X102" s="1334"/>
      <c r="Y102" s="1334"/>
      <c r="Z102" s="1334"/>
    </row>
    <row r="103" spans="4:26" ht="15.75" customHeight="1" x14ac:dyDescent="0.3">
      <c r="D103" s="1334"/>
      <c r="E103" s="1338" t="str">
        <f>INDEX('Master sheet'!$A$1:$A$670,MATCH(328,'Master sheet'!$AN$1:$AN$670,0))</f>
        <v xml:space="preserve">Concrete - 30 MPa, 20% FA, GU / MRMCA / Can. Manitoba Avg. / </v>
      </c>
      <c r="F103" s="1338" t="str">
        <f>INDEX('Master sheet'!$A$1:$A$670,MATCH(387,'Master sheet'!$AN$1:$AN$670,0))</f>
        <v>Straw Panels / Ecocoon / Standard and Brace Panels / 40cm R16, panel only</v>
      </c>
      <c r="G103" s="1338"/>
      <c r="H103" s="1338"/>
      <c r="I103" s="1334"/>
      <c r="J103" s="1334"/>
      <c r="K103" s="1334"/>
      <c r="L103" s="1334"/>
      <c r="M103" s="1334"/>
      <c r="N103" s="1334"/>
      <c r="O103" s="1334"/>
      <c r="P103" s="1334"/>
      <c r="Q103" s="1334"/>
      <c r="R103" s="1334"/>
      <c r="S103" s="1334"/>
      <c r="T103" s="1334"/>
      <c r="U103" s="1334"/>
      <c r="V103" s="1334"/>
      <c r="W103" s="1334"/>
      <c r="X103" s="1334"/>
      <c r="Y103" s="1334"/>
      <c r="Z103" s="1334"/>
    </row>
    <row r="104" spans="4:26" ht="15.75" customHeight="1" x14ac:dyDescent="0.3">
      <c r="D104" s="1334"/>
      <c r="E104" s="1338" t="str">
        <f>INDEX('Master sheet'!$A$1:$A$670,MATCH(329,'Master sheet'!$AN$1:$AN$670,0))</f>
        <v xml:space="preserve">Concrete - 30 MPa, 30% FA, GU / MRMCA / Can. Manitoba Avg. / </v>
      </c>
      <c r="F104" s="1338" t="str">
        <f>INDEX('Master sheet'!$A$1:$A$670,MATCH(388,'Master sheet'!$AN$1:$AN$670,0))</f>
        <v>Brick, Clay / SHAW / Slender - Thin Face Brick / 2 1/4" x 1/2" x 7-1/2" (57 x 12.7 mm x 190) incl. 3/8" mortar</v>
      </c>
      <c r="G104" s="1338"/>
      <c r="H104" s="1338"/>
      <c r="I104" s="1334"/>
      <c r="J104" s="1334"/>
      <c r="K104" s="1334"/>
      <c r="L104" s="1334"/>
      <c r="M104" s="1334"/>
      <c r="N104" s="1334"/>
      <c r="O104" s="1334"/>
      <c r="P104" s="1334"/>
      <c r="Q104" s="1334"/>
      <c r="R104" s="1334"/>
      <c r="S104" s="1334"/>
      <c r="T104" s="1334"/>
      <c r="U104" s="1334"/>
      <c r="V104" s="1334"/>
      <c r="W104" s="1334"/>
      <c r="X104" s="1334"/>
      <c r="Y104" s="1334"/>
      <c r="Z104" s="1334"/>
    </row>
    <row r="105" spans="4:26" ht="15.75" customHeight="1" x14ac:dyDescent="0.3">
      <c r="D105" s="1334"/>
      <c r="E105" s="1338" t="str">
        <f>INDEX('Master sheet'!$A$1:$A$670,MATCH(330,'Master sheet'!$AN$1:$AN$670,0))</f>
        <v xml:space="preserve">Concrete - 30 MPa, 40% FA, GU / MRMCA / Can. Manitoba Avg. / </v>
      </c>
      <c r="F105" s="1338" t="str">
        <f>INDEX('Master sheet'!$A$1:$A$670,MATCH(389,'Master sheet'!$AN$1:$AN$670,0))</f>
        <v>Brick, Clay / SHAW / Avg Face Brick / 3-5/8" x 2-3/4" x 7-5/8" (92 x 70 x 194 mm) incl. 3/8" mortar</v>
      </c>
      <c r="G105" s="1338"/>
      <c r="H105" s="1338"/>
      <c r="I105" s="1334"/>
      <c r="J105" s="1334"/>
      <c r="K105" s="1334"/>
      <c r="L105" s="1334"/>
      <c r="M105" s="1334"/>
      <c r="N105" s="1334"/>
      <c r="O105" s="1334"/>
      <c r="P105" s="1334"/>
      <c r="Q105" s="1334"/>
      <c r="R105" s="1334"/>
      <c r="S105" s="1334"/>
      <c r="T105" s="1334"/>
      <c r="U105" s="1334"/>
      <c r="V105" s="1334"/>
      <c r="W105" s="1334"/>
      <c r="X105" s="1334"/>
      <c r="Y105" s="1334"/>
      <c r="Z105" s="1334"/>
    </row>
    <row r="106" spans="4:26" ht="15.75" customHeight="1" x14ac:dyDescent="0.3">
      <c r="D106" s="1334"/>
      <c r="E106" s="1338" t="str">
        <f>INDEX('Master sheet'!$A$1:$A$670,MATCH(331,'Master sheet'!$AN$1:$AN$670,0))</f>
        <v xml:space="preserve">Concrete - 35 MPa, GU / MRMCA / Can. Manitoba Avg. / </v>
      </c>
      <c r="F106" s="1338" t="str">
        <f>INDEX('Master sheet'!$A$1:$A$670,MATCH("A142",'Master sheet'!$AN$1:$AN$670,0))</f>
        <v>Gypsum panels - glass mat / Georgia-Pacific / DensGlass Sheathing / 5/8"</v>
      </c>
      <c r="G106" s="1338"/>
      <c r="H106" s="1338"/>
      <c r="I106" s="1334"/>
      <c r="J106" s="1334"/>
      <c r="K106" s="1334"/>
      <c r="L106" s="1334"/>
      <c r="M106" s="1334"/>
      <c r="N106" s="1334"/>
      <c r="O106" s="1334"/>
      <c r="P106" s="1334"/>
      <c r="Q106" s="1334"/>
      <c r="R106" s="1334"/>
      <c r="S106" s="1334"/>
      <c r="T106" s="1334"/>
      <c r="U106" s="1334"/>
      <c r="V106" s="1334"/>
      <c r="W106" s="1334"/>
      <c r="X106" s="1334"/>
      <c r="Y106" s="1334"/>
      <c r="Z106" s="1334"/>
    </row>
    <row r="107" spans="4:26" ht="15.75" customHeight="1" x14ac:dyDescent="0.3">
      <c r="D107" s="1334"/>
      <c r="E107" s="1338" t="str">
        <f>INDEX('Master sheet'!$A$1:$A$670,MATCH(332,'Master sheet'!$AN$1:$AN$670,0))</f>
        <v xml:space="preserve">Concrete - 35 MPa, 10% FA, GU / MRMCA / Can. Manitoba Avg. / </v>
      </c>
      <c r="F107" s="1338" t="str">
        <f>INDEX('Master sheet'!$A$1:$A$670,MATCH("A144",'Master sheet'!$AN$1:$AN$670,0))</f>
        <v>Fiber Cement siding / James Hardie / Hardie Plank HZ10, Hardie Panel HZ10, Hardie Architectural Panel HZ10 / 8 mm</v>
      </c>
      <c r="G107" s="1338"/>
      <c r="H107" s="1338"/>
      <c r="I107" s="1334"/>
      <c r="J107" s="1334"/>
      <c r="K107" s="1334"/>
      <c r="L107" s="1334"/>
      <c r="M107" s="1334"/>
      <c r="N107" s="1334"/>
      <c r="O107" s="1334"/>
      <c r="P107" s="1334"/>
      <c r="Q107" s="1334"/>
      <c r="R107" s="1334"/>
      <c r="S107" s="1334"/>
      <c r="T107" s="1334"/>
      <c r="U107" s="1334"/>
      <c r="V107" s="1334"/>
      <c r="W107" s="1334"/>
      <c r="X107" s="1334"/>
      <c r="Y107" s="1334"/>
      <c r="Z107" s="1334"/>
    </row>
    <row r="108" spans="4:26" ht="15.75" customHeight="1" x14ac:dyDescent="0.3">
      <c r="D108" s="1334"/>
      <c r="E108" s="1338" t="str">
        <f>INDEX('Master sheet'!$A$1:$A$670,MATCH(333,'Master sheet'!$AN$1:$AN$670,0))</f>
        <v xml:space="preserve">Concrete - 35 MPa, 20% FA, GU / MRMCA / Can. Manitoba Avg. / </v>
      </c>
      <c r="F108" s="1338" t="str">
        <f>INDEX('Master sheet'!$A$1:$A$670,MATCH("A145",'Master sheet'!$AN$1:$AN$670,0))</f>
        <v>Fiber Cement siding / James Hardie / Hardie Plank HZ5, Hardie Panel HZ5, Hardie Architectural Panel HZ5 / 8 mm</v>
      </c>
      <c r="G108" s="1338"/>
      <c r="H108" s="1338"/>
      <c r="I108" s="1334"/>
      <c r="J108" s="1334"/>
      <c r="K108" s="1334"/>
      <c r="L108" s="1334"/>
      <c r="M108" s="1334"/>
      <c r="N108" s="1334"/>
      <c r="O108" s="1334"/>
      <c r="P108" s="1334"/>
      <c r="Q108" s="1334"/>
      <c r="R108" s="1334"/>
      <c r="S108" s="1334"/>
      <c r="T108" s="1334"/>
      <c r="U108" s="1334"/>
      <c r="V108" s="1334"/>
      <c r="W108" s="1334"/>
      <c r="X108" s="1334"/>
      <c r="Y108" s="1334"/>
      <c r="Z108" s="1334"/>
    </row>
    <row r="109" spans="4:26" ht="15.75" customHeight="1" x14ac:dyDescent="0.3">
      <c r="D109" s="1334"/>
      <c r="E109" s="1338" t="str">
        <f>INDEX('Master sheet'!$A$1:$A$670,MATCH(334,'Master sheet'!$AN$1:$AN$670,0))</f>
        <v xml:space="preserve">Concrete - 35 MPa, 30% FA, GU / MRMCA / Can. Manitoba Avg. / </v>
      </c>
      <c r="F109" s="1338" t="str">
        <f>INDEX('Master sheet'!$A$1:$A$670,MATCH("A146",'Master sheet'!$AN$1:$AN$670,0))</f>
        <v>Fiber Cement siding / James Hardie / Hardie Shingle HZ10 / 6.3mm</v>
      </c>
      <c r="G109" s="1338"/>
      <c r="H109" s="1338"/>
      <c r="I109" s="1334"/>
      <c r="J109" s="1334"/>
      <c r="K109" s="1334"/>
      <c r="L109" s="1334"/>
      <c r="M109" s="1334"/>
      <c r="N109" s="1334"/>
      <c r="O109" s="1334"/>
      <c r="P109" s="1334"/>
      <c r="Q109" s="1334"/>
      <c r="R109" s="1334"/>
      <c r="S109" s="1334"/>
      <c r="T109" s="1334"/>
      <c r="U109" s="1334"/>
      <c r="V109" s="1334"/>
      <c r="W109" s="1334"/>
      <c r="X109" s="1334"/>
      <c r="Y109" s="1334"/>
      <c r="Z109" s="1334"/>
    </row>
    <row r="110" spans="4:26" ht="15.75" customHeight="1" x14ac:dyDescent="0.3">
      <c r="D110" s="1334"/>
      <c r="E110" s="1338" t="str">
        <f>INDEX('Master sheet'!$A$1:$A$670,MATCH(335,'Master sheet'!$AN$1:$AN$670,0))</f>
        <v xml:space="preserve">Concrete - 35 MPa, 40% FA, GU / MRMCA / Can. Manitoba Avg. / </v>
      </c>
      <c r="F110" s="1338" t="str">
        <f>INDEX('Master sheet'!$A$1:$A$670,MATCH("A147",'Master sheet'!$AN$1:$AN$670,0))</f>
        <v>Fiber Cement siding / James Hardie / Hardie Shingle HZ5 / 6.3mm</v>
      </c>
      <c r="G110" s="1338"/>
      <c r="H110" s="1338"/>
      <c r="I110" s="1334"/>
      <c r="J110" s="1334"/>
      <c r="K110" s="1334"/>
      <c r="L110" s="1334"/>
      <c r="M110" s="1334"/>
      <c r="N110" s="1334"/>
      <c r="O110" s="1334"/>
      <c r="P110" s="1334"/>
      <c r="Q110" s="1334"/>
      <c r="R110" s="1334"/>
      <c r="S110" s="1334"/>
      <c r="T110" s="1334"/>
      <c r="U110" s="1334"/>
      <c r="V110" s="1334"/>
      <c r="W110" s="1334"/>
      <c r="X110" s="1334"/>
      <c r="Y110" s="1334"/>
      <c r="Z110" s="1334"/>
    </row>
    <row r="111" spans="4:26" ht="15.75" customHeight="1" x14ac:dyDescent="0.3">
      <c r="D111" s="1334"/>
      <c r="E111" s="1338" t="str">
        <f>INDEX('Master sheet'!$A$1:$A$670,MATCH(336,'Master sheet'!$AN$1:$AN$670,0))</f>
        <v xml:space="preserve">Concrete - 25 MPa, GU / BCRMCA / Can. BC Avg. / </v>
      </c>
      <c r="F111" s="1338" t="str">
        <f>INDEX('Master sheet'!$A$1:$A$670,MATCH("A149",'Master sheet'!$AN$1:$AN$670,0))</f>
        <v>Window - double-glazed  / AluQuebec / Avg of fixed, casement, slider, hung, tilt &amp; turn, awning / Aluminum frame</v>
      </c>
      <c r="G111" s="1338"/>
      <c r="H111" s="1338"/>
      <c r="I111" s="1334"/>
      <c r="J111" s="1334"/>
      <c r="K111" s="1334"/>
      <c r="L111" s="1334"/>
      <c r="M111" s="1334"/>
      <c r="N111" s="1334"/>
      <c r="O111" s="1334"/>
      <c r="P111" s="1334"/>
      <c r="Q111" s="1334"/>
      <c r="R111" s="1334"/>
      <c r="S111" s="1334"/>
      <c r="T111" s="1334"/>
      <c r="U111" s="1334"/>
      <c r="V111" s="1334"/>
      <c r="W111" s="1334"/>
      <c r="X111" s="1334"/>
      <c r="Y111" s="1334"/>
      <c r="Z111" s="1334"/>
    </row>
    <row r="112" spans="4:26" ht="15.75" customHeight="1" x14ac:dyDescent="0.3">
      <c r="D112" s="1334"/>
      <c r="E112" s="1338" t="str">
        <f>INDEX('Master sheet'!$A$1:$A$670,MATCH(337,'Master sheet'!$AN$1:$AN$670,0))</f>
        <v xml:space="preserve">Concrete - 25 MPa, 15% SCM, GU / BCRMCA / Can. BC Avg. / </v>
      </c>
      <c r="F112" s="1338" t="str">
        <f>INDEX('Master sheet'!$A$1:$A$670,MATCH("A150",'Master sheet'!$AN$1:$AN$670,0))</f>
        <v>Window - double-glazed  / Arcadia / CV200, T200 / Projected &amp; casement / Aluminum frame</v>
      </c>
      <c r="G112" s="1338"/>
      <c r="H112" s="1338"/>
      <c r="I112" s="1334"/>
      <c r="J112" s="1334"/>
      <c r="K112" s="1334"/>
      <c r="L112" s="1334"/>
      <c r="M112" s="1334"/>
      <c r="N112" s="1334"/>
      <c r="O112" s="1334"/>
      <c r="P112" s="1334"/>
      <c r="Q112" s="1334"/>
      <c r="R112" s="1334"/>
      <c r="S112" s="1334"/>
      <c r="T112" s="1334"/>
      <c r="U112" s="1334"/>
      <c r="V112" s="1334"/>
      <c r="W112" s="1334"/>
      <c r="X112" s="1334"/>
      <c r="Y112" s="1334"/>
      <c r="Z112" s="1334"/>
    </row>
    <row r="113" spans="4:26" ht="15.75" customHeight="1" x14ac:dyDescent="0.3">
      <c r="D113" s="1334"/>
      <c r="E113" s="1338" t="str">
        <f>INDEX('Master sheet'!$A$1:$A$670,MATCH(338,'Master sheet'!$AN$1:$AN$670,0))</f>
        <v xml:space="preserve">Concrete - 25 MPa, 25% SCM, GU / BCRMCA / Can. BC Avg. / </v>
      </c>
      <c r="F113" s="1338" t="str">
        <f>INDEX('Master sheet'!$A$1:$A$670,MATCH("A151",'Master sheet'!$AN$1:$AN$670,0))</f>
        <v>Window - double-glazed  / EFCO / Xtherm, 5FXT, FX45, 6615, 6621, 6715, FX32, OG32, OG45 / Fixed / Aluminum frame</v>
      </c>
      <c r="G113" s="1338"/>
      <c r="H113" s="1338"/>
      <c r="I113" s="1334"/>
      <c r="J113" s="1334"/>
      <c r="K113" s="1334"/>
      <c r="L113" s="1334"/>
      <c r="M113" s="1334"/>
      <c r="N113" s="1334"/>
      <c r="O113" s="1334"/>
      <c r="P113" s="1334"/>
      <c r="Q113" s="1334"/>
      <c r="R113" s="1334"/>
      <c r="S113" s="1334"/>
      <c r="T113" s="1334"/>
      <c r="U113" s="1334"/>
      <c r="V113" s="1334"/>
      <c r="W113" s="1334"/>
      <c r="X113" s="1334"/>
      <c r="Y113" s="1334"/>
      <c r="Z113" s="1334"/>
    </row>
    <row r="114" spans="4:26" ht="15.75" customHeight="1" x14ac:dyDescent="0.3">
      <c r="D114" s="1334"/>
      <c r="E114" s="1338" t="str">
        <f>INDEX('Master sheet'!$A$1:$A$670,MATCH(339,'Master sheet'!$AN$1:$AN$670,0))</f>
        <v xml:space="preserve">Concrete - 25 MPa, 40% SCM, GU / BCRMCA / Can. BC Avg. / </v>
      </c>
      <c r="F114" s="1338" t="str">
        <f>INDEX('Master sheet'!$A$1:$A$670,MATCH("A152",'Master sheet'!$AN$1:$AN$670,0))</f>
        <v>Window - double-glazed  / EFCO / Xtherm, 875V, 2700, 2701, 450G, 590X, 6725, PG32, PX32, WV410, WV430 / Projected &amp; casement / Aluminum frame</v>
      </c>
      <c r="G114" s="1338"/>
      <c r="H114" s="1338"/>
      <c r="I114" s="1334"/>
      <c r="J114" s="1334"/>
      <c r="K114" s="1334"/>
      <c r="L114" s="1334"/>
      <c r="M114" s="1334"/>
      <c r="N114" s="1334"/>
      <c r="O114" s="1334"/>
      <c r="P114" s="1334"/>
      <c r="Q114" s="1334"/>
      <c r="R114" s="1334"/>
      <c r="S114" s="1334"/>
      <c r="T114" s="1334"/>
      <c r="U114" s="1334"/>
      <c r="V114" s="1334"/>
      <c r="W114" s="1334"/>
      <c r="X114" s="1334"/>
      <c r="Y114" s="1334"/>
      <c r="Z114" s="1334"/>
    </row>
    <row r="115" spans="4:26" ht="15.75" customHeight="1" x14ac:dyDescent="0.3">
      <c r="D115" s="1334"/>
      <c r="E115" s="1338" t="str">
        <f>INDEX('Master sheet'!$A$1:$A$670,MATCH(340,'Master sheet'!$AN$1:$AN$670,0))</f>
        <v xml:space="preserve">Concrete - 30 MPa, GU / BCRMCA / Can. BC Avg. / </v>
      </c>
      <c r="F115" s="1338" t="str">
        <f>INDEX('Master sheet'!$A$1:$A$670,MATCH("A153",'Master sheet'!$AN$1:$AN$670,0))</f>
        <v>Window - double-glazed  / Kawneer / Optiq AA4325, 8225TL|TLF, 526, AA 6400|6500, NX-300|3000 / Projected &amp; casement / Aluminum frame</v>
      </c>
      <c r="G115" s="1338"/>
      <c r="H115" s="1338"/>
      <c r="I115" s="1334"/>
      <c r="J115" s="1334"/>
      <c r="K115" s="1334"/>
      <c r="L115" s="1334"/>
      <c r="M115" s="1334"/>
      <c r="N115" s="1334"/>
      <c r="O115" s="1334"/>
      <c r="P115" s="1334"/>
      <c r="Q115" s="1334"/>
      <c r="R115" s="1334"/>
      <c r="S115" s="1334"/>
      <c r="T115" s="1334"/>
      <c r="U115" s="1334"/>
      <c r="V115" s="1334"/>
      <c r="W115" s="1334"/>
      <c r="X115" s="1334"/>
      <c r="Y115" s="1334"/>
      <c r="Z115" s="1334"/>
    </row>
    <row r="116" spans="4:26" ht="15.75" customHeight="1" x14ac:dyDescent="0.3">
      <c r="D116" s="1334"/>
      <c r="E116" s="1338" t="str">
        <f>INDEX('Master sheet'!$A$1:$A$670,MATCH(341,'Master sheet'!$AN$1:$AN$670,0))</f>
        <v xml:space="preserve">Concrete - 30 MPa, 15% SCM, GU / BCRMCA / Can. BC Avg. / </v>
      </c>
      <c r="F116" s="1338" t="str">
        <f>INDEX('Master sheet'!$A$1:$A$670,MATCH("A154",'Master sheet'!$AN$1:$AN$670,0))</f>
        <v>Window - double-glazed  / Kawneer / OptiQ AA5450, TR-9100, 8400TL, AA6400|6500|6600 / Hung &amp; sliding / Aluminum frame</v>
      </c>
      <c r="G116" s="1338"/>
      <c r="H116" s="1338"/>
      <c r="I116" s="1334"/>
      <c r="J116" s="1334"/>
      <c r="K116" s="1334"/>
      <c r="L116" s="1334"/>
      <c r="M116" s="1334"/>
      <c r="N116" s="1334"/>
      <c r="O116" s="1334"/>
      <c r="P116" s="1334"/>
      <c r="Q116" s="1334"/>
      <c r="R116" s="1334"/>
      <c r="S116" s="1334"/>
      <c r="T116" s="1334"/>
      <c r="U116" s="1334"/>
      <c r="V116" s="1334"/>
      <c r="W116" s="1334"/>
      <c r="X116" s="1334"/>
      <c r="Y116" s="1334"/>
      <c r="Z116" s="1334"/>
    </row>
    <row r="117" spans="4:26" ht="15.75" customHeight="1" x14ac:dyDescent="0.3">
      <c r="D117" s="1334"/>
      <c r="E117" s="1338" t="str">
        <f>INDEX('Master sheet'!$A$1:$A$670,MATCH(342,'Master sheet'!$AN$1:$AN$670,0))</f>
        <v xml:space="preserve">Concrete - 30 MPa, 25% SCM, GU / BCRMCA / Can. BC Avg. / </v>
      </c>
      <c r="F117" s="1338" t="str">
        <f>INDEX('Master sheet'!$A$1:$A$670,MATCH("A155",'Master sheet'!$AN$1:$AN$670,0))</f>
        <v>Window - double-glazed  / Wasau / INvent casement windows / Aluminum frame</v>
      </c>
      <c r="G117" s="1338"/>
      <c r="H117" s="1338"/>
      <c r="I117" s="1334"/>
      <c r="J117" s="1334"/>
      <c r="K117" s="1334"/>
      <c r="L117" s="1334"/>
      <c r="M117" s="1334"/>
      <c r="N117" s="1334"/>
      <c r="O117" s="1334"/>
      <c r="P117" s="1334"/>
      <c r="Q117" s="1334"/>
      <c r="R117" s="1334"/>
      <c r="S117" s="1334"/>
      <c r="T117" s="1334"/>
      <c r="U117" s="1334"/>
      <c r="V117" s="1334"/>
      <c r="W117" s="1334"/>
      <c r="X117" s="1334"/>
      <c r="Y117" s="1334"/>
      <c r="Z117" s="1334"/>
    </row>
    <row r="118" spans="4:26" ht="15.75" customHeight="1" x14ac:dyDescent="0.3">
      <c r="D118" s="1334"/>
      <c r="E118" s="1338" t="str">
        <f>INDEX('Master sheet'!$A$1:$A$670,MATCH(343,'Master sheet'!$AN$1:$AN$670,0))</f>
        <v xml:space="preserve">Concrete - 30 MPa, 40% SCM, GU / BCRMCA / Can. BC Avg. / </v>
      </c>
      <c r="F118" s="1338" t="str">
        <f>INDEX('Master sheet'!$A$1:$A$670,MATCH("A156",'Master sheet'!$AN$1:$AN$670,0))</f>
        <v>Window - double-glazed  / Wasau / INvent fixed windows  / Aluminum frame</v>
      </c>
      <c r="G118" s="1338"/>
      <c r="H118" s="1338"/>
      <c r="I118" s="1334"/>
      <c r="J118" s="1334"/>
      <c r="K118" s="1334"/>
      <c r="L118" s="1334"/>
      <c r="M118" s="1334"/>
      <c r="N118" s="1334"/>
      <c r="O118" s="1334"/>
      <c r="P118" s="1334"/>
      <c r="Q118" s="1334"/>
      <c r="R118" s="1334"/>
      <c r="S118" s="1334"/>
      <c r="T118" s="1334"/>
      <c r="U118" s="1334"/>
      <c r="V118" s="1334"/>
      <c r="W118" s="1334"/>
      <c r="X118" s="1334"/>
      <c r="Y118" s="1334"/>
      <c r="Z118" s="1334"/>
    </row>
    <row r="119" spans="4:26" ht="15.75" customHeight="1" x14ac:dyDescent="0.3">
      <c r="D119" s="1334"/>
      <c r="E119" s="1338" t="str">
        <f>INDEX('Master sheet'!$A$1:$A$670,MATCH(344,'Master sheet'!$AN$1:$AN$670,0))</f>
        <v xml:space="preserve">Concrete - 35 MPa, GU / BCRMCA / Can. BC Avg. / </v>
      </c>
      <c r="F119" s="1338" t="str">
        <f>INDEX('Master sheet'!$A$1:$A$670,MATCH("A157",'Master sheet'!$AN$1:$AN$670,0))</f>
        <v>Int. Wall &amp; Ceiling Barrier, sheet / Rothoblaas / Vapor In Green 200 / Non-permeable / 0.35 mm</v>
      </c>
      <c r="G119" s="1338"/>
      <c r="H119" s="1338"/>
      <c r="I119" s="1334"/>
      <c r="J119" s="1334"/>
      <c r="K119" s="1334"/>
      <c r="L119" s="1334"/>
      <c r="M119" s="1334"/>
      <c r="N119" s="1334"/>
      <c r="O119" s="1334"/>
      <c r="P119" s="1334"/>
      <c r="Q119" s="1334"/>
      <c r="R119" s="1334"/>
      <c r="S119" s="1334"/>
      <c r="T119" s="1334"/>
      <c r="U119" s="1334"/>
      <c r="V119" s="1334"/>
      <c r="W119" s="1334"/>
      <c r="X119" s="1334"/>
      <c r="Y119" s="1334"/>
      <c r="Z119" s="1334"/>
    </row>
    <row r="120" spans="4:26" ht="15.75" customHeight="1" x14ac:dyDescent="0.3">
      <c r="D120" s="1334"/>
      <c r="E120" s="1338" t="str">
        <f>INDEX('Master sheet'!$A$1:$A$670,MATCH(345,'Master sheet'!$AN$1:$AN$670,0))</f>
        <v xml:space="preserve">Concrete - 35 MPa, 15% SCM, GU / BCRMCA / Can. BC Avg. / </v>
      </c>
      <c r="F120" s="1338" t="str">
        <f>INDEX('Master sheet'!$A$1:$A$670,MATCH("A158",'Master sheet'!$AN$1:$AN$670,0))</f>
        <v>Ext. &amp; Int. Wall &amp; Roof Barrier, sheet / Rothoblaas / Clima Control Net 160 / Moisture-variable / 0.5 mm</v>
      </c>
      <c r="G120" s="1338"/>
      <c r="H120" s="1338"/>
      <c r="I120" s="1334"/>
      <c r="J120" s="1334"/>
      <c r="K120" s="1334"/>
      <c r="L120" s="1334"/>
      <c r="M120" s="1334"/>
      <c r="N120" s="1334"/>
      <c r="O120" s="1334"/>
      <c r="P120" s="1334"/>
      <c r="Q120" s="1334"/>
      <c r="R120" s="1334"/>
      <c r="S120" s="1334"/>
      <c r="T120" s="1334"/>
      <c r="U120" s="1334"/>
      <c r="V120" s="1334"/>
      <c r="W120" s="1334"/>
      <c r="X120" s="1334"/>
      <c r="Y120" s="1334"/>
      <c r="Z120" s="1334"/>
    </row>
    <row r="121" spans="4:26" ht="15.75" customHeight="1" x14ac:dyDescent="0.3">
      <c r="D121" s="1334"/>
      <c r="E121" s="1338" t="str">
        <f>INDEX('Master sheet'!$A$1:$A$670,MATCH(346,'Master sheet'!$AN$1:$AN$670,0))</f>
        <v xml:space="preserve">Concrete - 35 MPa, 25% SCM, GU / BCRMCA / Can. BC Avg. / </v>
      </c>
      <c r="F121" s="1338" t="str">
        <f>INDEX('Master sheet'!$A$1:$A$670,MATCH("A159",'Master sheet'!$AN$1:$AN$670,0))</f>
        <v>Ext. &amp; Int. Wall &amp; Roof Barrier, sheet / Rothoblaas / Traspir EVO 160 / 12.3 Perms / 0.5 mm</v>
      </c>
      <c r="G121" s="1338"/>
      <c r="H121" s="1338"/>
      <c r="I121" s="1334"/>
      <c r="J121" s="1334"/>
      <c r="K121" s="1334"/>
      <c r="L121" s="1334"/>
      <c r="M121" s="1334"/>
      <c r="N121" s="1334"/>
      <c r="O121" s="1334"/>
      <c r="P121" s="1334"/>
      <c r="Q121" s="1334"/>
      <c r="R121" s="1334"/>
      <c r="S121" s="1334"/>
      <c r="T121" s="1334"/>
      <c r="U121" s="1334"/>
      <c r="V121" s="1334"/>
      <c r="W121" s="1334"/>
      <c r="X121" s="1334"/>
      <c r="Y121" s="1334"/>
      <c r="Z121" s="1334"/>
    </row>
    <row r="122" spans="4:26" ht="15.75" customHeight="1" x14ac:dyDescent="0.3">
      <c r="D122" s="1334"/>
      <c r="E122" s="1338" t="str">
        <f>INDEX('Master sheet'!$A$1:$A$670,MATCH(347,'Master sheet'!$AN$1:$AN$670,0))</f>
        <v xml:space="preserve">Concrete - 35 MPa, 40% SCM, GU / BCRMCA / Can. BC Avg. / </v>
      </c>
      <c r="F122" s="1338" t="str">
        <f>INDEX('Master sheet'!$A$1:$A$670,MATCH("A160",'Master sheet'!$AN$1:$AN$670,0))</f>
        <v>Ext. &amp; Int. Wall &amp; Roof Barrier, sheet / Rothoblaas / Traspir Vapor 225 / Non-permeable / 0.8 mm</v>
      </c>
      <c r="G122" s="1338"/>
      <c r="H122" s="1338"/>
      <c r="I122" s="1334"/>
      <c r="J122" s="1334"/>
      <c r="K122" s="1334"/>
      <c r="L122" s="1334"/>
      <c r="M122" s="1334"/>
      <c r="N122" s="1334"/>
      <c r="O122" s="1334"/>
      <c r="P122" s="1334"/>
      <c r="Q122" s="1334"/>
      <c r="R122" s="1334"/>
      <c r="S122" s="1334"/>
      <c r="T122" s="1334"/>
      <c r="U122" s="1334"/>
      <c r="V122" s="1334"/>
      <c r="W122" s="1334"/>
      <c r="X122" s="1334"/>
      <c r="Y122" s="1334"/>
      <c r="Z122" s="1334"/>
    </row>
    <row r="123" spans="4:26" ht="15.75" customHeight="1" x14ac:dyDescent="0.3">
      <c r="D123" s="1334"/>
      <c r="E123" s="1338" t="str">
        <f>INDEX('Master sheet'!$A$1:$A$670,MATCH(348,'Master sheet'!$AN$1:$AN$670,0))</f>
        <v xml:space="preserve">Concrete - 25 MPa, GU / ACA / Can. Atlantic Avg. / </v>
      </c>
      <c r="F123" s="1338" t="str">
        <f>INDEX('Master sheet'!$A$1:$A$670,MATCH("A161",'Master sheet'!$AN$1:$AN$670,0))</f>
        <v>Ext. &amp; Int. Wall Barrier, sheet / Rothoblaas / Traspir 110 / 101 Perms / 0.4 mm</v>
      </c>
      <c r="G123" s="1338"/>
      <c r="H123" s="1338"/>
      <c r="I123" s="1334"/>
      <c r="J123" s="1334"/>
      <c r="K123" s="1334"/>
      <c r="L123" s="1334"/>
      <c r="M123" s="1334"/>
      <c r="N123" s="1334"/>
      <c r="O123" s="1334"/>
      <c r="P123" s="1334"/>
      <c r="Q123" s="1334"/>
      <c r="R123" s="1334"/>
      <c r="S123" s="1334"/>
      <c r="T123" s="1334"/>
      <c r="U123" s="1334"/>
      <c r="V123" s="1334"/>
      <c r="W123" s="1334"/>
      <c r="X123" s="1334"/>
      <c r="Y123" s="1334"/>
      <c r="Z123" s="1334"/>
    </row>
    <row r="124" spans="4:26" ht="15.75" customHeight="1" x14ac:dyDescent="0.3">
      <c r="D124" s="1334"/>
      <c r="E124" s="1338" t="str">
        <f>INDEX('Master sheet'!$A$1:$A$670,MATCH(349,'Master sheet'!$AN$1:$AN$670,0))</f>
        <v xml:space="preserve">Concrete - 25 MPa, 10% FA, GU / ACA / Can. Atlantic Avg. / </v>
      </c>
      <c r="F124" s="1338" t="str">
        <f>INDEX('Master sheet'!$A$1:$A$670,MATCH("A162",'Master sheet'!$AN$1:$AN$670,0))</f>
        <v>Ext. &amp; Int. Wall Barrier, sheet / Rothoblaas / Traspir EVO UV 210 / 41.7 Perms / 0.3 mm</v>
      </c>
      <c r="G124" s="1338"/>
      <c r="H124" s="1338"/>
      <c r="I124" s="1334"/>
      <c r="J124" s="1334"/>
      <c r="K124" s="1334"/>
      <c r="L124" s="1334"/>
      <c r="M124" s="1334"/>
      <c r="N124" s="1334"/>
      <c r="O124" s="1334"/>
      <c r="P124" s="1334"/>
      <c r="Q124" s="1334"/>
      <c r="R124" s="1334"/>
      <c r="S124" s="1334"/>
      <c r="T124" s="1334"/>
      <c r="U124" s="1334"/>
      <c r="V124" s="1334"/>
      <c r="W124" s="1334"/>
      <c r="X124" s="1334"/>
      <c r="Y124" s="1334"/>
      <c r="Z124" s="1334"/>
    </row>
    <row r="125" spans="4:26" ht="15.75" customHeight="1" x14ac:dyDescent="0.3">
      <c r="D125" s="1334"/>
      <c r="E125" s="1338" t="str">
        <f>INDEX('Master sheet'!$A$1:$A$670,MATCH(350,'Master sheet'!$AN$1:$AN$670,0))</f>
        <v xml:space="preserve">Concrete - 25 MPa, 20% FA, GU / ACA / Can. Atlantic Avg. / </v>
      </c>
      <c r="F125" s="1338" t="str">
        <f>INDEX('Master sheet'!$A$1:$A$670,MATCH("A163",'Master sheet'!$AN$1:$AN$670,0))</f>
        <v>Ext. Roof Barrier, sheet / Rothoblaas / Traspir Weld EVO 360 / 17.5 Perms / 1.0 mm</v>
      </c>
      <c r="G125" s="1338"/>
      <c r="H125" s="1338"/>
      <c r="I125" s="1334"/>
      <c r="J125" s="1334"/>
      <c r="K125" s="1334"/>
      <c r="L125" s="1334"/>
      <c r="M125" s="1334"/>
      <c r="N125" s="1334"/>
      <c r="O125" s="1334"/>
      <c r="P125" s="1334"/>
      <c r="Q125" s="1334"/>
      <c r="R125" s="1334"/>
      <c r="S125" s="1334"/>
      <c r="T125" s="1334"/>
      <c r="U125" s="1334"/>
      <c r="V125" s="1334"/>
      <c r="W125" s="1334"/>
      <c r="X125" s="1334"/>
      <c r="Y125" s="1334"/>
      <c r="Z125" s="1334"/>
    </row>
    <row r="126" spans="4:26" ht="15.75" customHeight="1" x14ac:dyDescent="0.3">
      <c r="D126" s="1334"/>
      <c r="E126" s="1338" t="str">
        <f>INDEX('Master sheet'!$A$1:$A$670,MATCH(351,'Master sheet'!$AN$1:$AN$670,0))</f>
        <v xml:space="preserve">Concrete - 25 MPa, 30% FA, GU / ACA / Can. Atlantic Avg. / </v>
      </c>
      <c r="F126" s="1338" t="str">
        <f>INDEX('Master sheet'!$A$1:$A$670,MATCH("A164",'Master sheet'!$AN$1:$AN$670,0))</f>
        <v xml:space="preserve">Ext. Wall &amp; Roof Barrier, adhesive / Partel / Exoperm Mono SA 250 / Permeable / </v>
      </c>
      <c r="G126" s="1338"/>
      <c r="H126" s="1338"/>
      <c r="I126" s="1334"/>
      <c r="J126" s="1334"/>
      <c r="K126" s="1334"/>
      <c r="L126" s="1334"/>
      <c r="M126" s="1334"/>
      <c r="N126" s="1334"/>
      <c r="O126" s="1334"/>
      <c r="P126" s="1334"/>
      <c r="Q126" s="1334"/>
      <c r="R126" s="1334"/>
      <c r="S126" s="1334"/>
      <c r="T126" s="1334"/>
      <c r="U126" s="1334"/>
      <c r="V126" s="1334"/>
      <c r="W126" s="1334"/>
      <c r="X126" s="1334"/>
      <c r="Y126" s="1334"/>
      <c r="Z126" s="1334"/>
    </row>
    <row r="127" spans="4:26" ht="15.75" customHeight="1" x14ac:dyDescent="0.3">
      <c r="D127" s="1334"/>
      <c r="E127" s="1338" t="str">
        <f>INDEX('Master sheet'!$A$1:$A$670,MATCH(352,'Master sheet'!$AN$1:$AN$670,0))</f>
        <v xml:space="preserve">Concrete - 25 MPa, 40% FA, GU / ACA / Can. Atlantic Avg. / </v>
      </c>
      <c r="F127" s="1338" t="str">
        <f>INDEX('Master sheet'!$A$1:$A$670,MATCH("A165",'Master sheet'!$AN$1:$AN$670,0))</f>
        <v>Ext. Wall &amp; Roof Barrier, liquid applied / Carlisle / Barrithane VP / 11.1 Perms / 40 mils</v>
      </c>
      <c r="G127" s="1338"/>
      <c r="H127" s="1338"/>
      <c r="I127" s="1334"/>
      <c r="J127" s="1334"/>
      <c r="K127" s="1334"/>
      <c r="L127" s="1334"/>
      <c r="M127" s="1334"/>
      <c r="N127" s="1334"/>
      <c r="O127" s="1334"/>
      <c r="P127" s="1334"/>
      <c r="Q127" s="1334"/>
      <c r="R127" s="1334"/>
      <c r="S127" s="1334"/>
      <c r="T127" s="1334"/>
      <c r="U127" s="1334"/>
      <c r="V127" s="1334"/>
      <c r="W127" s="1334"/>
      <c r="X127" s="1334"/>
      <c r="Y127" s="1334"/>
      <c r="Z127" s="1334"/>
    </row>
    <row r="128" spans="4:26" ht="15.75" customHeight="1" x14ac:dyDescent="0.3">
      <c r="D128" s="1334"/>
      <c r="E128" s="1338" t="str">
        <f>INDEX('Master sheet'!$A$1:$A$670,MATCH(353,'Master sheet'!$AN$1:$AN$670,0))</f>
        <v xml:space="preserve">Concrete - 30 MPa, GU / ACA / Can. Atlantic Avg. / </v>
      </c>
      <c r="F128" s="1338" t="str">
        <f>INDEX('Master sheet'!$A$1:$A$670,MATCH("A166",'Master sheet'!$AN$1:$AN$670,0))</f>
        <v xml:space="preserve">Ext. Wall &amp; Roof Barrier, sheet / Dupont / Tyvek Monolayer 60 / Permeable / </v>
      </c>
      <c r="G128" s="1338"/>
      <c r="H128" s="1338"/>
      <c r="I128" s="1334"/>
      <c r="J128" s="1334"/>
      <c r="K128" s="1334"/>
      <c r="L128" s="1334"/>
      <c r="M128" s="1334"/>
      <c r="N128" s="1334"/>
      <c r="O128" s="1334"/>
      <c r="P128" s="1334"/>
      <c r="Q128" s="1334"/>
      <c r="R128" s="1334"/>
      <c r="S128" s="1334"/>
      <c r="T128" s="1334"/>
      <c r="U128" s="1334"/>
      <c r="V128" s="1334"/>
      <c r="W128" s="1334"/>
      <c r="X128" s="1334"/>
      <c r="Y128" s="1334"/>
      <c r="Z128" s="1334"/>
    </row>
    <row r="129" spans="4:30" ht="15.75" customHeight="1" x14ac:dyDescent="0.3">
      <c r="D129" s="1334"/>
      <c r="E129" s="1338" t="str">
        <f>INDEX('Master sheet'!$A$1:$A$670,MATCH(354,'Master sheet'!$AN$1:$AN$670,0))</f>
        <v xml:space="preserve">Concrete - 30 MPa, 10% FA, GU / ACA / Can. Atlantic Avg. / </v>
      </c>
      <c r="F129" s="1338" t="str">
        <f>INDEX('Master sheet'!$A$1:$A$670,MATCH("A167",'Master sheet'!$AN$1:$AN$670,0))</f>
        <v xml:space="preserve">Ext. Wall &amp; Roof Barrier, sheet / Partel / Exoperm Mono 150 / Permeable / </v>
      </c>
      <c r="G129" s="1338"/>
      <c r="H129" s="1338"/>
      <c r="I129" s="1334"/>
      <c r="J129" s="1334"/>
      <c r="K129" s="1334"/>
      <c r="L129" s="1334"/>
      <c r="M129" s="1334"/>
      <c r="N129" s="1334"/>
      <c r="O129" s="1334"/>
      <c r="P129" s="1334"/>
      <c r="Q129" s="1334"/>
      <c r="R129" s="1334"/>
      <c r="S129" s="1334"/>
      <c r="T129" s="1334"/>
      <c r="U129" s="1334"/>
      <c r="V129" s="1334"/>
      <c r="W129" s="1334"/>
      <c r="X129" s="1334"/>
      <c r="Y129" s="1334"/>
      <c r="Z129" s="1334"/>
    </row>
    <row r="130" spans="4:30" ht="15.75" customHeight="1" x14ac:dyDescent="0.3">
      <c r="D130" s="1334"/>
      <c r="E130" s="1338" t="str">
        <f>INDEX('Master sheet'!$A$1:$A$670,MATCH(355,'Master sheet'!$AN$1:$AN$670,0))</f>
        <v xml:space="preserve">Concrete - 30 MPa, 20% FA, GU / ACA / Can. Atlantic Avg. / </v>
      </c>
      <c r="F130" s="1338" t="str">
        <f>INDEX('Master sheet'!$A$1:$A$670,MATCH("A168",'Master sheet'!$AN$1:$AN$670,0))</f>
        <v>Ext. Wall barrier, adhesive / GCP / Perm-a-Barrier / Non-permeable / 1 mm</v>
      </c>
      <c r="G130" s="1338"/>
      <c r="H130" s="1338"/>
      <c r="I130" s="1334"/>
      <c r="J130" s="1334"/>
      <c r="K130" s="1334"/>
      <c r="L130" s="1334"/>
      <c r="M130" s="1334"/>
      <c r="N130" s="1334"/>
      <c r="O130" s="1334"/>
      <c r="P130" s="1334"/>
      <c r="Q130" s="1334"/>
      <c r="R130" s="1334"/>
      <c r="S130" s="1334"/>
      <c r="T130" s="1334"/>
      <c r="U130" s="1334"/>
      <c r="V130" s="1334"/>
      <c r="W130" s="1334"/>
      <c r="X130" s="1334"/>
      <c r="Y130" s="1334"/>
      <c r="Z130" s="1334"/>
    </row>
    <row r="131" spans="4:30" ht="15.75" customHeight="1" x14ac:dyDescent="0.3">
      <c r="D131" s="1334"/>
      <c r="E131" s="1338" t="str">
        <f>INDEX('Master sheet'!$A$1:$A$670,MATCH(356,'Master sheet'!$AN$1:$AN$670,0))</f>
        <v xml:space="preserve">Concrete - 30 MPa, 30% FA, GU / ACA / Can. Atlantic Avg. / </v>
      </c>
      <c r="F131" s="1338" t="str">
        <f>INDEX('Master sheet'!$A$1:$A$670,MATCH("A169",'Master sheet'!$AN$1:$AN$670,0))</f>
        <v>Ext. Wall Barrier, adhesive / Soprema / Sopraseal Stick 1100 T / Non-permeable / 1.0 mm</v>
      </c>
      <c r="G131" s="1338"/>
      <c r="H131" s="1338"/>
      <c r="I131" s="1334"/>
      <c r="J131" s="1334"/>
      <c r="K131" s="1334"/>
      <c r="L131" s="1334"/>
      <c r="M131" s="1334"/>
      <c r="N131" s="1334"/>
      <c r="O131" s="1334"/>
      <c r="P131" s="1334"/>
      <c r="Q131" s="1334"/>
      <c r="R131" s="1334"/>
      <c r="S131" s="1334"/>
      <c r="T131" s="1334"/>
      <c r="U131" s="1334"/>
      <c r="V131" s="1334"/>
      <c r="W131" s="1334"/>
      <c r="X131" s="1334"/>
      <c r="Y131" s="1334"/>
      <c r="Z131" s="1334"/>
    </row>
    <row r="132" spans="4:30" ht="15.75" customHeight="1" x14ac:dyDescent="0.3">
      <c r="D132" s="1334"/>
      <c r="E132" s="1338" t="str">
        <f>INDEX('Master sheet'!$A$1:$A$670,MATCH(357,'Master sheet'!$AN$1:$AN$670,0))</f>
        <v xml:space="preserve">Concrete - 30 MPa, 40% FA, GU / ACA / Can. Atlantic Avg. / </v>
      </c>
      <c r="F132" s="1338" t="str">
        <f>INDEX('Master sheet'!$A$1:$A$670,MATCH("A170",'Master sheet'!$AN$1:$AN$670,0))</f>
        <v>Ext. Wall Barrier, adhesive / Soprema / Sopraseal Stick VP / 11-17 Perms / 0.6 mm</v>
      </c>
      <c r="G132" s="1338"/>
      <c r="H132" s="1338"/>
      <c r="I132" s="1334"/>
      <c r="J132" s="1334"/>
      <c r="K132" s="1334"/>
      <c r="L132" s="1334"/>
      <c r="M132" s="1334"/>
      <c r="N132" s="1334"/>
      <c r="O132" s="1334"/>
      <c r="P132" s="1334"/>
      <c r="Q132" s="1334"/>
      <c r="R132" s="1334"/>
      <c r="S132" s="1334"/>
      <c r="T132" s="1334"/>
      <c r="U132" s="1334"/>
      <c r="V132" s="1334"/>
      <c r="W132" s="1334"/>
      <c r="X132" s="1334"/>
      <c r="Y132" s="1334"/>
      <c r="Z132" s="1334"/>
    </row>
    <row r="133" spans="4:30" ht="15.75" customHeight="1" x14ac:dyDescent="0.3">
      <c r="D133" s="1334"/>
      <c r="E133" s="1338" t="str">
        <f>INDEX('Master sheet'!$A$1:$A$670,MATCH(358,'Master sheet'!$AN$1:$AN$670,0))</f>
        <v xml:space="preserve">Concrete - 35 MPa, GU / ACA / Can. Atlantic Avg. / </v>
      </c>
      <c r="F133" s="1338" t="str">
        <f>INDEX('Master sheet'!$A$1:$A$670,MATCH("A171",'Master sheet'!$AN$1:$AN$670,0))</f>
        <v>Ext. Wall Barrier, adhesive / Soprema / Soprasolin HD / Non-permeable / 1.0 mm</v>
      </c>
      <c r="G133" s="1338"/>
      <c r="H133" s="1338"/>
      <c r="I133" s="1334"/>
      <c r="J133" s="1334"/>
      <c r="K133" s="1334"/>
      <c r="L133" s="1334"/>
      <c r="M133" s="1334"/>
      <c r="N133" s="1334"/>
      <c r="O133" s="1334"/>
      <c r="P133" s="1334"/>
      <c r="Q133" s="1334"/>
      <c r="R133" s="1334"/>
      <c r="S133" s="1334"/>
      <c r="T133" s="1334"/>
      <c r="U133" s="1334"/>
      <c r="V133" s="1334"/>
      <c r="W133" s="1334"/>
      <c r="X133" s="1334"/>
      <c r="Y133" s="1334"/>
      <c r="Z133" s="1334"/>
    </row>
    <row r="134" spans="4:30" ht="15.75" customHeight="1" x14ac:dyDescent="0.3">
      <c r="D134" s="1334"/>
      <c r="E134" s="1338" t="str">
        <f>INDEX('Master sheet'!$A$1:$A$670,MATCH(359,'Master sheet'!$AN$1:$AN$670,0))</f>
        <v xml:space="preserve">Concrete - 35 MPa, 10% FA, GU / ACA / Can. Atlantic Avg. / </v>
      </c>
      <c r="F134" s="1338" t="str">
        <f>INDEX('Master sheet'!$A$1:$A$670,MATCH("A172",'Master sheet'!$AN$1:$AN$670,0))</f>
        <v>Ext. Wall Barrier, adhesive / Soprema / SOPRAVAP'R / Non-permeable / 0.8 mm</v>
      </c>
      <c r="G134" s="1338"/>
      <c r="H134" s="1338"/>
      <c r="I134" s="1334"/>
      <c r="J134" s="1334"/>
      <c r="K134" s="1334"/>
      <c r="L134" s="1334"/>
      <c r="M134" s="1334"/>
      <c r="N134" s="1334"/>
      <c r="O134" s="1334"/>
      <c r="P134" s="1334"/>
      <c r="Q134" s="1334"/>
      <c r="R134" s="1334"/>
      <c r="S134" s="1334"/>
      <c r="T134" s="1334"/>
      <c r="U134" s="1334"/>
      <c r="V134" s="1334"/>
      <c r="W134" s="1334"/>
      <c r="X134" s="1334"/>
      <c r="Y134" s="1334"/>
      <c r="Z134" s="1334"/>
    </row>
    <row r="135" spans="4:30" ht="15.75" customHeight="1" x14ac:dyDescent="0.3">
      <c r="D135" s="1334"/>
      <c r="E135" s="1338" t="str">
        <f>INDEX('Master sheet'!$A$1:$A$670,MATCH(360,'Master sheet'!$AN$1:$AN$670,0))</f>
        <v xml:space="preserve">Concrete - 35 MPa, 20% FA, GU / ACA / Can. Atlantic Avg. / </v>
      </c>
      <c r="F135" s="1338" t="str">
        <f>INDEX('Master sheet'!$A$1:$A$670,MATCH("A173",'Master sheet'!$AN$1:$AN$670,0))</f>
        <v>Ext. Wall barrier, liquid applied / GCP / Perm-a-Barrier NPL 10 / Non-permeable / 1 mm</v>
      </c>
      <c r="G135" s="1338"/>
      <c r="H135" s="1338"/>
      <c r="I135" s="1334"/>
      <c r="J135" s="1334"/>
      <c r="K135" s="1334"/>
      <c r="L135" s="1334"/>
      <c r="M135" s="1334"/>
      <c r="N135" s="1334"/>
      <c r="O135" s="1334"/>
      <c r="P135" s="1334"/>
      <c r="Q135" s="1334"/>
      <c r="R135" s="1334"/>
      <c r="S135" s="1334"/>
      <c r="T135" s="1334"/>
      <c r="U135" s="1334"/>
      <c r="V135" s="1334"/>
      <c r="W135" s="1334"/>
      <c r="X135" s="1334"/>
      <c r="Y135" s="1334"/>
      <c r="Z135" s="1334"/>
    </row>
    <row r="136" spans="4:30" ht="15.75" customHeight="1" x14ac:dyDescent="0.3">
      <c r="D136" s="1334"/>
      <c r="E136" s="1338" t="str">
        <f>INDEX('Master sheet'!$A$1:$A$670,MATCH(361,'Master sheet'!$AN$1:$AN$670,0))</f>
        <v xml:space="preserve">Concrete - 35 MPa, 30% FA, GU / ACA / Can. Atlantic Avg. / </v>
      </c>
      <c r="F136" s="1338" t="str">
        <f>INDEX('Master sheet'!$A$1:$A$670,MATCH("A174",'Master sheet'!$AN$1:$AN$670,0))</f>
        <v>Ext. Wall barrier, liquid applied / GCP / Perm-a-Barrier VPL / 20 Perms / 0.64 mm</v>
      </c>
      <c r="G136" s="1338"/>
      <c r="H136" s="1338"/>
      <c r="I136" s="1334"/>
      <c r="J136" s="1334"/>
      <c r="K136" s="1334"/>
      <c r="L136" s="1334"/>
      <c r="M136" s="1334"/>
      <c r="N136" s="1334"/>
      <c r="O136" s="1334"/>
      <c r="P136" s="1334"/>
      <c r="Q136" s="1334"/>
      <c r="R136" s="1334"/>
      <c r="S136" s="1334"/>
      <c r="T136" s="1334"/>
      <c r="U136" s="1334"/>
      <c r="V136" s="1334"/>
      <c r="W136" s="1334"/>
      <c r="X136" s="1334"/>
      <c r="Y136" s="1334"/>
      <c r="Z136" s="1334"/>
    </row>
    <row r="137" spans="4:30" ht="15.75" customHeight="1" x14ac:dyDescent="0.3">
      <c r="D137" s="1334"/>
      <c r="E137" s="1338" t="str">
        <f>INDEX('Master sheet'!$A$1:$A$670,MATCH(362,'Master sheet'!$AN$1:$AN$670,0))</f>
        <v xml:space="preserve">Concrete - 35 MPa, 40% FA, GU / ACA / Can. Atlantic Avg. / </v>
      </c>
      <c r="F137" s="1338" t="str">
        <f>INDEX('Master sheet'!$A$1:$A$670,MATCH("A175",'Master sheet'!$AN$1:$AN$670,0))</f>
        <v>Ext. Wall barrier, liquid applied / GCP / Perm-a-Barrier VPL 50 RS / 13 Perms / 0.51 mm</v>
      </c>
      <c r="G137" s="1338"/>
      <c r="H137" s="1338"/>
      <c r="I137" s="1334"/>
      <c r="J137" s="1334"/>
      <c r="K137" s="1334"/>
      <c r="L137" s="1334"/>
      <c r="M137" s="1334"/>
      <c r="N137" s="1334"/>
      <c r="O137" s="1334"/>
      <c r="P137" s="1334"/>
      <c r="Q137" s="1334"/>
      <c r="R137" s="1334"/>
      <c r="S137" s="1334"/>
      <c r="T137" s="1334"/>
      <c r="U137" s="1334"/>
      <c r="V137" s="1334"/>
      <c r="W137" s="1334"/>
      <c r="X137" s="1334"/>
      <c r="Y137" s="1334"/>
      <c r="Z137" s="1334"/>
    </row>
    <row r="138" spans="4:30" ht="15.75" customHeight="1" x14ac:dyDescent="0.3">
      <c r="D138" s="1334"/>
      <c r="E138" s="1338" t="str">
        <f>INDEX('Master sheet'!$A$1:$A$670,MATCH(363,'Master sheet'!$AN$1:$AN$670,0))</f>
        <v xml:space="preserve">Concrete - 25 MPa, GU / ARMCA / Can. Alberta Avg. / </v>
      </c>
      <c r="F138" s="1338" t="str">
        <f>INDEX('Master sheet'!$A$1:$A$670,MATCH("A176",'Master sheet'!$AN$1:$AN$670,0))</f>
        <v>Ext. Wall barrier, sheet / GCP / Perm-a-Barrier NPS / Non-permeable / 0.46 mm</v>
      </c>
      <c r="G138" s="1338"/>
      <c r="H138" s="1338"/>
      <c r="I138" s="1334"/>
      <c r="J138" s="1334"/>
      <c r="K138" s="1334"/>
      <c r="L138" s="1334"/>
      <c r="M138" s="1334"/>
      <c r="N138" s="1334"/>
      <c r="O138" s="1334"/>
      <c r="P138" s="1334"/>
      <c r="Q138" s="1334"/>
      <c r="R138" s="1334"/>
      <c r="S138" s="1334"/>
      <c r="T138" s="1334"/>
      <c r="U138" s="1334"/>
      <c r="V138" s="1334"/>
      <c r="W138" s="1334"/>
      <c r="X138" s="1334"/>
      <c r="Y138" s="1334"/>
      <c r="Z138" s="1334"/>
    </row>
    <row r="139" spans="4:30" ht="15.75" customHeight="1" x14ac:dyDescent="0.3">
      <c r="D139" s="1334"/>
      <c r="E139" s="1338" t="str">
        <f>INDEX('Master sheet'!$A$1:$A$670,MATCH(364,'Master sheet'!$AN$1:$AN$670,0))</f>
        <v xml:space="preserve">Concrete - 25 MPa, 10% FA, GU / ARMCA / Can. Alberta Avg. / </v>
      </c>
      <c r="F139" s="1338" t="str">
        <f>INDEX('Master sheet'!$A$1:$A$670,MATCH("A177",'Master sheet'!$AN$1:$AN$670,0))</f>
        <v xml:space="preserve">Ext. Wall Barrier, liquid applied / Soprema / Sopraseal LM 200 S / 0.6 Perm / </v>
      </c>
      <c r="G139" s="1338"/>
      <c r="H139" s="1338"/>
      <c r="I139" s="1334"/>
      <c r="J139" s="1334"/>
      <c r="K139" s="1334"/>
      <c r="L139" s="1334"/>
      <c r="M139" s="1334"/>
      <c r="N139" s="1334"/>
      <c r="O139" s="1334"/>
      <c r="P139" s="1334"/>
      <c r="Q139" s="1334"/>
      <c r="R139" s="1334"/>
      <c r="S139" s="1334"/>
      <c r="T139" s="1334"/>
      <c r="U139" s="1334"/>
      <c r="V139" s="1334"/>
      <c r="W139" s="1334"/>
      <c r="X139" s="1334"/>
      <c r="Y139" s="1334"/>
      <c r="Z139" s="1334"/>
    </row>
    <row r="140" spans="4:30" ht="15.75" customHeight="1" x14ac:dyDescent="0.3">
      <c r="D140" s="1334"/>
      <c r="E140" s="1341" t="str">
        <f>INDEX('Master sheet'!$A$1:$A$670,MATCH(365,'Master sheet'!$AN$1:$AN$670,0))</f>
        <v xml:space="preserve">Concrete - 25 MPa, 20% FA, GU / ARMCA / Can. Alberta Avg. / </v>
      </c>
      <c r="F140" s="1338" t="str">
        <f>INDEX('Master sheet'!$A$1:$A$670,MATCH("A178",'Master sheet'!$AN$1:$AN$670,0))</f>
        <v>Ext. Wall Barrier, liquid applied / Soprema / SOPRASEAL LM 204 VP / 10-17 Perms / 0.6 mm</v>
      </c>
      <c r="G140" s="1338"/>
      <c r="H140" s="1338"/>
      <c r="I140" s="1334"/>
      <c r="J140" s="1334"/>
      <c r="K140" s="1334"/>
      <c r="L140" s="1334"/>
      <c r="M140" s="1334"/>
      <c r="N140" s="1334"/>
      <c r="O140" s="1334"/>
      <c r="P140" s="1334"/>
      <c r="Q140" s="1334"/>
      <c r="R140" s="1334"/>
      <c r="S140" s="1334"/>
      <c r="T140" s="1334"/>
      <c r="U140" s="1334"/>
      <c r="V140" s="1334"/>
      <c r="W140" s="1334"/>
      <c r="X140" s="1334"/>
      <c r="Y140" s="1334"/>
      <c r="Z140" s="1334"/>
    </row>
    <row r="141" spans="4:30" ht="15.75" customHeight="1" x14ac:dyDescent="0.3">
      <c r="D141" s="1334"/>
      <c r="E141" s="1341" t="str">
        <f>INDEX('Master sheet'!$A$1:$A$670,MATCH(366,'Master sheet'!$AN$1:$AN$670,0))</f>
        <v xml:space="preserve">Concrete - 30 MPa, GU / ARMCA / Can. Alberta Avg. / </v>
      </c>
      <c r="F141" s="1338" t="str">
        <f>INDEX('Master sheet'!$A$1:$A$670,MATCH("A179",'Master sheet'!$AN$1:$AN$670,0))</f>
        <v xml:space="preserve">Ext. Waterproofing Barrier, adhesive / Carlisle / MiraPLY V / </v>
      </c>
      <c r="G141" s="1338"/>
      <c r="H141" s="1338"/>
      <c r="I141" s="1334"/>
      <c r="J141" s="1334"/>
      <c r="K141" s="1334"/>
      <c r="L141" s="1334"/>
      <c r="M141" s="1334"/>
      <c r="N141" s="1334"/>
      <c r="O141" s="1334"/>
      <c r="P141" s="1334"/>
      <c r="Q141" s="1334"/>
      <c r="R141" s="1334"/>
      <c r="S141" s="1334"/>
      <c r="T141" s="1334"/>
      <c r="U141" s="1334"/>
      <c r="V141" s="1334"/>
      <c r="W141" s="1334"/>
      <c r="X141" s="1334"/>
      <c r="Y141" s="1334"/>
      <c r="Z141" s="1334"/>
      <c r="AD141">
        <f>T141*Y141*Z141</f>
        <v>0</v>
      </c>
    </row>
    <row r="142" spans="4:30" ht="15.75" customHeight="1" x14ac:dyDescent="0.3">
      <c r="D142" s="1334"/>
      <c r="E142" s="1341" t="str">
        <f>INDEX('Master sheet'!$A$1:$A$670,MATCH(367,'Master sheet'!$AN$1:$AN$670,0))</f>
        <v xml:space="preserve">Concrete - 30 MPa, 10% FA, GU / ARMCA / Can. Alberta Avg. / </v>
      </c>
      <c r="F142" s="1338" t="str">
        <f>INDEX('Master sheet'!$A$1:$A$670,MATCH("A180",'Master sheet'!$AN$1:$AN$670,0))</f>
        <v xml:space="preserve">Ext. Waterproofing Barrier, liquid applied / Carlisle / MiraSEAL &amp; MiraTITE / </v>
      </c>
      <c r="G142" s="1338"/>
      <c r="H142" s="1338"/>
      <c r="I142" s="1334"/>
      <c r="J142" s="1334"/>
      <c r="K142" s="1334"/>
      <c r="L142" s="1334"/>
      <c r="M142" s="1334"/>
      <c r="N142" s="1334"/>
      <c r="O142" s="1334"/>
      <c r="P142" s="1334"/>
      <c r="Q142" s="1334"/>
      <c r="R142" s="1334"/>
      <c r="S142" s="1334"/>
      <c r="T142" s="1334"/>
      <c r="U142" s="1334"/>
      <c r="V142" s="1334"/>
      <c r="W142" s="1334"/>
      <c r="X142" s="1334"/>
      <c r="Y142" s="1334"/>
      <c r="Z142" s="1334"/>
    </row>
    <row r="143" spans="4:30" ht="15.75" customHeight="1" x14ac:dyDescent="0.3">
      <c r="D143" s="1334"/>
      <c r="E143" s="1341" t="str">
        <f>INDEX('Master sheet'!$A$1:$A$670,MATCH(368,'Master sheet'!$AN$1:$AN$670,0))</f>
        <v xml:space="preserve">Concrete - 30 MPa, 20% FA, GU / ARMCA / Can. Alberta Avg. / </v>
      </c>
      <c r="F143" s="1338" t="str">
        <f>INDEX('Master sheet'!$A$1:$A$670,MATCH("A181",'Master sheet'!$AN$1:$AN$670,0))</f>
        <v xml:space="preserve">Int. Wall &amp; Ceiling Barrier, sheet / Partel / IZOPERM PLUS / Non-permeable / </v>
      </c>
      <c r="G143" s="1338"/>
      <c r="H143" s="1338"/>
      <c r="I143" s="1334"/>
      <c r="J143" s="1334"/>
      <c r="K143" s="1334"/>
      <c r="L143" s="1334"/>
      <c r="M143" s="1334"/>
      <c r="N143" s="1334"/>
      <c r="O143" s="1334"/>
      <c r="P143" s="1334"/>
      <c r="Q143" s="1334"/>
      <c r="R143" s="1334"/>
      <c r="S143" s="1334"/>
      <c r="T143" s="1334"/>
      <c r="U143" s="1334"/>
      <c r="V143" s="1334"/>
      <c r="W143" s="1334"/>
      <c r="X143" s="1334"/>
      <c r="Y143" s="1334"/>
      <c r="Z143" s="1334"/>
    </row>
    <row r="144" spans="4:30" ht="15.75" customHeight="1" x14ac:dyDescent="0.3">
      <c r="D144" s="1334"/>
      <c r="E144" s="1341" t="str">
        <f>INDEX('Master sheet'!$A$1:$A$670,MATCH(369,'Master sheet'!$AN$1:$AN$670,0))</f>
        <v xml:space="preserve">Concrete - 35 MPa, GU / ARMCA / Can. Alberta Avg. / </v>
      </c>
      <c r="F144" s="1338" t="str">
        <f>INDEX('Master sheet'!$A$1:$A$670,MATCH("A182",'Master sheet'!$AN$1:$AN$670,0))</f>
        <v xml:space="preserve">Int. Wall &amp; Ceiling Barrier, sheet / Partel / VARA PLUS / Moisture-variable / </v>
      </c>
      <c r="G144" s="1338"/>
      <c r="H144" s="1338"/>
      <c r="I144" s="1334"/>
      <c r="J144" s="1334"/>
      <c r="K144" s="1334"/>
      <c r="L144" s="1334"/>
      <c r="M144" s="1334"/>
      <c r="N144" s="1334"/>
      <c r="O144" s="1334"/>
      <c r="P144" s="1334"/>
      <c r="Q144" s="1334"/>
      <c r="R144" s="1334"/>
      <c r="S144" s="1334"/>
      <c r="T144" s="1334"/>
      <c r="U144" s="1334"/>
      <c r="V144" s="1334"/>
      <c r="W144" s="1334"/>
      <c r="X144" s="1334"/>
      <c r="Y144" s="1334"/>
      <c r="Z144" s="1334"/>
    </row>
    <row r="145" spans="4:26" ht="15.75" customHeight="1" x14ac:dyDescent="0.3">
      <c r="D145" s="1334"/>
      <c r="E145" s="1341" t="str">
        <f>INDEX('Master sheet'!$A$1:$A$670,MATCH(370,'Master sheet'!$AN$1:$AN$670,0))</f>
        <v xml:space="preserve">Concrete - 35 MPa, 10% FA, GU / ARMCA / Can. Alberta Avg. / </v>
      </c>
      <c r="F145" s="1338" t="str">
        <f>INDEX('Master sheet'!$A$1:$A$670,MATCH("A183",'Master sheet'!$AN$1:$AN$670,0))</f>
        <v>Int. Wall &amp; Ceiling Barrier, sheet / Rothoblaas / Clima Control 80 / Moisture-variable / 0.22 mm</v>
      </c>
      <c r="G145" s="1338"/>
      <c r="H145" s="1338"/>
      <c r="I145" s="1334"/>
      <c r="J145" s="1334"/>
      <c r="K145" s="1334"/>
      <c r="L145" s="1334"/>
      <c r="M145" s="1334"/>
      <c r="N145" s="1334"/>
      <c r="O145" s="1334"/>
      <c r="P145" s="1334"/>
      <c r="Q145" s="1334"/>
      <c r="R145" s="1334"/>
      <c r="S145" s="1334"/>
      <c r="T145" s="1334"/>
      <c r="U145" s="1334"/>
      <c r="V145" s="1334"/>
      <c r="W145" s="1334"/>
      <c r="X145" s="1334"/>
      <c r="Y145" s="1334"/>
      <c r="Z145" s="1334"/>
    </row>
    <row r="146" spans="4:26" ht="15.75" customHeight="1" x14ac:dyDescent="0.3">
      <c r="D146" s="1334"/>
      <c r="E146" s="1341" t="str">
        <f>INDEX('Master sheet'!$A$1:$A$670,MATCH(371,'Master sheet'!$AN$1:$AN$670,0))</f>
        <v xml:space="preserve">Concrete - 35 MPa, 20% FA, GU / ARMCA / Can. Alberta Avg. / </v>
      </c>
      <c r="F146" s="1338" t="str">
        <f>INDEX('Master sheet'!$A$1:$A$670,MATCH("A184",'Master sheet'!$AN$1:$AN$670,0))</f>
        <v>Int. Wall &amp; Ceiling Barrier, sheet / Rothoblaas / Vapor in NET 140 / Non-permeable / 0.15 mm</v>
      </c>
      <c r="G146" s="1338"/>
      <c r="H146" s="1338"/>
      <c r="I146" s="1334"/>
      <c r="J146" s="1334"/>
      <c r="K146" s="1334"/>
      <c r="L146" s="1334"/>
      <c r="M146" s="1334"/>
      <c r="N146" s="1334"/>
      <c r="O146" s="1334"/>
      <c r="P146" s="1334"/>
      <c r="Q146" s="1334"/>
      <c r="R146" s="1334"/>
      <c r="S146" s="1334"/>
      <c r="T146" s="1334"/>
      <c r="U146" s="1334"/>
      <c r="V146" s="1334"/>
      <c r="W146" s="1334"/>
      <c r="X146" s="1334"/>
      <c r="Y146" s="1334"/>
      <c r="Z146" s="1334"/>
    </row>
    <row r="147" spans="4:26" ht="15.75" customHeight="1" x14ac:dyDescent="0.3">
      <c r="D147" s="1334"/>
      <c r="E147" s="1341" t="str">
        <f>INDEX('Master sheet'!$A$1:$A$670,MATCH(409,'Master sheet'!$AN$1:$AN$670,0))</f>
        <v xml:space="preserve">Laminated veneer lumber / Roseburg Forest Products / RigidLam LVL / </v>
      </c>
      <c r="F147" s="1338" t="str">
        <f>INDEX('Master sheet'!$A$1:$A$670,MATCH("A185",'Master sheet'!$AN$1:$AN$670,0))</f>
        <v xml:space="preserve">Int. Wall &amp; Ceiling Barrier, sheet / SIGA / Majrex 200 / Moisture-variable / </v>
      </c>
      <c r="G147" s="1338"/>
      <c r="H147" s="1338"/>
      <c r="I147" s="1334"/>
      <c r="J147" s="1334"/>
      <c r="K147" s="1334"/>
      <c r="L147" s="1334"/>
      <c r="M147" s="1334"/>
      <c r="N147" s="1334"/>
      <c r="O147" s="1334"/>
      <c r="P147" s="1334"/>
      <c r="Q147" s="1334"/>
      <c r="R147" s="1334"/>
      <c r="S147" s="1334"/>
      <c r="T147" s="1334"/>
      <c r="U147" s="1334"/>
      <c r="V147" s="1334"/>
      <c r="W147" s="1334"/>
      <c r="X147" s="1334"/>
      <c r="Y147" s="1334"/>
      <c r="Z147" s="1334"/>
    </row>
    <row r="148" spans="4:26" ht="15.75" customHeight="1" x14ac:dyDescent="0.3">
      <c r="D148" s="1334"/>
      <c r="E148" s="1341"/>
      <c r="F148" s="1338" t="str">
        <f>INDEX('Master sheet'!$A$1:$A$670,MATCH("A186",'Master sheet'!$AN$1:$AN$670,0))</f>
        <v>Barrier, sheet /  / Polyethylene sheet / 10 mil</v>
      </c>
      <c r="G148" s="1338"/>
      <c r="H148" s="1338"/>
      <c r="I148" s="1334"/>
      <c r="J148" s="1334"/>
      <c r="K148" s="1334"/>
      <c r="L148" s="1334"/>
      <c r="M148" s="1334"/>
      <c r="N148" s="1334"/>
      <c r="O148" s="1334"/>
      <c r="P148" s="1334"/>
      <c r="Q148" s="1334"/>
      <c r="R148" s="1334"/>
      <c r="S148" s="1334"/>
      <c r="T148" s="1334"/>
      <c r="U148" s="1334"/>
      <c r="V148" s="1334"/>
      <c r="W148" s="1334"/>
      <c r="X148" s="1334"/>
      <c r="Y148" s="1334"/>
      <c r="Z148" s="1334"/>
    </row>
    <row r="149" spans="4:26" ht="15.75" customHeight="1" x14ac:dyDescent="0.3">
      <c r="D149" s="1334"/>
      <c r="E149" s="1341"/>
      <c r="F149" s="1338" t="str">
        <f>INDEX('Master sheet'!$A$1:$A$670,MATCH("A187",'Master sheet'!$AN$1:$AN$670,0))</f>
        <v>Barrier, sheet /  / Polyethylene sheet / 6 mil</v>
      </c>
      <c r="G149" s="1338"/>
      <c r="H149" s="1338"/>
      <c r="I149" s="1334"/>
      <c r="J149" s="1334"/>
      <c r="K149" s="1334"/>
      <c r="L149" s="1334"/>
      <c r="M149" s="1334"/>
      <c r="N149" s="1334"/>
      <c r="O149" s="1334"/>
      <c r="P149" s="1334"/>
      <c r="Q149" s="1334"/>
      <c r="R149" s="1334"/>
      <c r="S149" s="1334"/>
      <c r="T149" s="1334"/>
      <c r="U149" s="1334"/>
      <c r="V149" s="1334"/>
      <c r="W149" s="1334"/>
      <c r="X149" s="1334"/>
      <c r="Y149" s="1334"/>
      <c r="Z149" s="1334"/>
    </row>
    <row r="150" spans="4:26" ht="15.75" customHeight="1" x14ac:dyDescent="0.3">
      <c r="D150" s="1334"/>
      <c r="E150" s="1341"/>
      <c r="F150" s="1338" t="str">
        <f>INDEX('Master sheet'!$A$1:$A$670,MATCH("A204",'Master sheet'!$AN$1:$AN$670,0))</f>
        <v>Luxury vinyl tile / Resilient Floor Covering Institute / Looselay Flooring / 4.5 - 6mm</v>
      </c>
      <c r="G150" s="1338"/>
      <c r="H150" s="1338"/>
      <c r="I150" s="1334"/>
      <c r="J150" s="1334"/>
      <c r="K150" s="1334"/>
      <c r="L150" s="1334"/>
      <c r="M150" s="1334"/>
      <c r="N150" s="1334"/>
      <c r="O150" s="1334"/>
      <c r="P150" s="1334"/>
      <c r="Q150" s="1334"/>
      <c r="R150" s="1334"/>
      <c r="S150" s="1334"/>
      <c r="T150" s="1334"/>
      <c r="U150" s="1334"/>
      <c r="V150" s="1334"/>
      <c r="W150" s="1334"/>
      <c r="X150" s="1334"/>
      <c r="Y150" s="1334"/>
      <c r="Z150" s="1334"/>
    </row>
    <row r="151" spans="4:26" ht="15.75" customHeight="1" x14ac:dyDescent="0.3">
      <c r="D151" s="1334"/>
      <c r="E151" s="1341"/>
      <c r="F151" s="1338" t="str">
        <f>INDEX('Master sheet'!$A$1:$A$670,MATCH("A205",'Master sheet'!$AN$1:$AN$670,0))</f>
        <v>Luxury vinyl tile / Resilient Floor Covering Institute / Gluedown / 1.5 - 4.5mm</v>
      </c>
      <c r="G151" s="1338"/>
      <c r="H151" s="1338"/>
      <c r="I151" s="1334"/>
      <c r="J151" s="1334"/>
      <c r="K151" s="1334"/>
      <c r="L151" s="1334"/>
      <c r="M151" s="1334"/>
      <c r="N151" s="1334"/>
      <c r="O151" s="1334"/>
      <c r="P151" s="1334"/>
      <c r="Q151" s="1334"/>
      <c r="R151" s="1334"/>
      <c r="S151" s="1334"/>
      <c r="T151" s="1334"/>
      <c r="U151" s="1334"/>
      <c r="V151" s="1334"/>
      <c r="W151" s="1334"/>
      <c r="X151" s="1334"/>
      <c r="Y151" s="1334"/>
      <c r="Z151" s="1334"/>
    </row>
    <row r="152" spans="4:26" ht="15.75" customHeight="1" x14ac:dyDescent="0.3">
      <c r="D152" s="1334"/>
      <c r="E152" s="1341"/>
      <c r="F152" s="1338" t="str">
        <f>INDEX('Master sheet'!$A$1:$A$670,MATCH("A206",'Master sheet'!$AN$1:$AN$670,0))</f>
        <v>Vinyl flooring / Resilient Floor Covering Institute / Heterogeneous sheet / 2mm</v>
      </c>
      <c r="G152" s="1338"/>
      <c r="H152" s="1338"/>
      <c r="I152" s="1334"/>
      <c r="J152" s="1334"/>
      <c r="K152" s="1334"/>
      <c r="L152" s="1334"/>
      <c r="M152" s="1334"/>
      <c r="N152" s="1334"/>
      <c r="O152" s="1334"/>
      <c r="P152" s="1334"/>
      <c r="Q152" s="1334"/>
      <c r="R152" s="1334"/>
      <c r="S152" s="1334"/>
      <c r="T152" s="1334"/>
      <c r="U152" s="1334"/>
      <c r="V152" s="1334"/>
      <c r="W152" s="1334"/>
      <c r="X152" s="1334"/>
      <c r="Y152" s="1334"/>
      <c r="Z152" s="1334"/>
    </row>
    <row r="153" spans="4:26" ht="15.75" customHeight="1" x14ac:dyDescent="0.3">
      <c r="D153" s="1334"/>
      <c r="E153" s="1341"/>
      <c r="F153" s="1338" t="str">
        <f>INDEX('Master sheet'!$A$1:$A$670,MATCH("A207",'Master sheet'!$AN$1:$AN$670,0))</f>
        <v>SIP panels - EPS foam &amp; OSB / SIPA / R-15 4.5" panel</v>
      </c>
      <c r="G153" s="1338"/>
      <c r="H153" s="1338"/>
      <c r="I153" s="1334"/>
      <c r="J153" s="1334"/>
      <c r="K153" s="1334"/>
      <c r="L153" s="1334"/>
      <c r="M153" s="1334"/>
      <c r="N153" s="1334"/>
      <c r="O153" s="1334"/>
      <c r="P153" s="1334"/>
      <c r="Q153" s="1334"/>
      <c r="R153" s="1334"/>
      <c r="S153" s="1334"/>
      <c r="T153" s="1334"/>
      <c r="U153" s="1334"/>
      <c r="V153" s="1334"/>
      <c r="W153" s="1334"/>
      <c r="X153" s="1334"/>
      <c r="Y153" s="1334"/>
      <c r="Z153" s="1334"/>
    </row>
    <row r="154" spans="4:26" ht="15.75" customHeight="1" x14ac:dyDescent="0.3">
      <c r="D154" s="1334"/>
      <c r="E154" s="1341"/>
      <c r="F154" s="1338" t="str">
        <f>INDEX('Master sheet'!$A$1:$A$670,MATCH("A208",'Master sheet'!$AN$1:$AN$670,0))</f>
        <v>SIP panels - EPS foam &amp; OSB / SIPA / R-23 6.5" panel</v>
      </c>
      <c r="G154" s="1338"/>
      <c r="H154" s="1338"/>
      <c r="I154" s="1334"/>
      <c r="J154" s="1334"/>
      <c r="K154" s="1334"/>
      <c r="L154" s="1334"/>
      <c r="M154" s="1334"/>
      <c r="N154" s="1334"/>
      <c r="O154" s="1334"/>
      <c r="P154" s="1334"/>
      <c r="Q154" s="1334"/>
      <c r="R154" s="1334"/>
      <c r="S154" s="1334"/>
      <c r="T154" s="1334"/>
      <c r="U154" s="1334"/>
      <c r="V154" s="1334"/>
      <c r="W154" s="1334"/>
      <c r="X154" s="1334"/>
      <c r="Y154" s="1334"/>
      <c r="Z154" s="1334"/>
    </row>
    <row r="155" spans="4:26" ht="15.75" customHeight="1" x14ac:dyDescent="0.3">
      <c r="D155" s="1334"/>
      <c r="E155" s="1341"/>
      <c r="F155" s="1338" t="str">
        <f>INDEX('Master sheet'!$A$1:$A$670,MATCH("A209",'Master sheet'!$AN$1:$AN$670,0))</f>
        <v>SIP panels - EPS foam &amp; OSB / SIPA / R-30 8.25" panel</v>
      </c>
      <c r="G155" s="1338"/>
      <c r="H155" s="1338"/>
      <c r="I155" s="1334"/>
      <c r="J155" s="1334"/>
      <c r="K155" s="1334"/>
      <c r="L155" s="1334"/>
      <c r="M155" s="1334"/>
      <c r="N155" s="1334"/>
      <c r="O155" s="1334"/>
      <c r="P155" s="1334"/>
      <c r="Q155" s="1334"/>
      <c r="R155" s="1334"/>
      <c r="S155" s="1334"/>
      <c r="T155" s="1334"/>
      <c r="U155" s="1334"/>
      <c r="V155" s="1334"/>
      <c r="W155" s="1334"/>
      <c r="X155" s="1334"/>
      <c r="Y155" s="1334"/>
      <c r="Z155" s="1334"/>
    </row>
    <row r="156" spans="4:26" ht="15.75" customHeight="1" x14ac:dyDescent="0.3">
      <c r="D156" s="1334"/>
      <c r="E156" s="1341"/>
      <c r="F156" s="1338" t="str">
        <f>INDEX('Master sheet'!$A$1:$A$670,MATCH("A210",'Master sheet'!$AN$1:$AN$670,0))</f>
        <v>SIP panels - EPS foam &amp; OSB / SIPA / R-38 10.25" panel</v>
      </c>
      <c r="G156" s="1338"/>
      <c r="H156" s="1338"/>
      <c r="I156" s="1334"/>
      <c r="J156" s="1334"/>
      <c r="K156" s="1334"/>
      <c r="L156" s="1334"/>
      <c r="M156" s="1334"/>
      <c r="N156" s="1334"/>
      <c r="O156" s="1334"/>
      <c r="P156" s="1334"/>
      <c r="Q156" s="1334"/>
      <c r="R156" s="1334"/>
      <c r="S156" s="1334"/>
      <c r="T156" s="1334"/>
      <c r="U156" s="1334"/>
      <c r="V156" s="1334"/>
      <c r="W156" s="1334"/>
      <c r="X156" s="1334"/>
      <c r="Y156" s="1334"/>
      <c r="Z156" s="1334"/>
    </row>
    <row r="157" spans="4:26" ht="15.75" customHeight="1" x14ac:dyDescent="0.3">
      <c r="D157" s="1334"/>
      <c r="E157" s="1341"/>
      <c r="F157" s="1338" t="str">
        <f>INDEX('Master sheet'!$A$1:$A$670,MATCH("A211",'Master sheet'!$AN$1:$AN$670,0))</f>
        <v>SIP panels - EPS foam &amp; OSB / SIPA / R-45 12.25" panel</v>
      </c>
      <c r="G157" s="1338"/>
      <c r="H157" s="1338"/>
      <c r="I157" s="1334"/>
      <c r="J157" s="1334"/>
      <c r="K157" s="1334"/>
      <c r="L157" s="1334"/>
      <c r="M157" s="1334"/>
      <c r="N157" s="1334"/>
      <c r="O157" s="1334"/>
      <c r="P157" s="1334"/>
      <c r="Q157" s="1334"/>
      <c r="R157" s="1334"/>
      <c r="S157" s="1334"/>
      <c r="T157" s="1334"/>
      <c r="U157" s="1334"/>
      <c r="V157" s="1334"/>
      <c r="W157" s="1334"/>
      <c r="X157" s="1334"/>
      <c r="Y157" s="1334"/>
      <c r="Z157" s="1334"/>
    </row>
    <row r="158" spans="4:26" ht="15.75" customHeight="1" x14ac:dyDescent="0.3">
      <c r="D158" s="1334"/>
      <c r="E158" s="1341"/>
      <c r="F158" s="1338"/>
      <c r="G158" s="1338"/>
      <c r="H158" s="1338"/>
      <c r="I158" s="1334"/>
      <c r="J158" s="1334"/>
      <c r="K158" s="1334"/>
      <c r="L158" s="1334"/>
      <c r="M158" s="1334"/>
      <c r="N158" s="1334"/>
      <c r="O158" s="1334"/>
      <c r="P158" s="1334"/>
      <c r="Q158" s="1334"/>
      <c r="R158" s="1334"/>
      <c r="S158" s="1334"/>
      <c r="T158" s="1334"/>
      <c r="U158" s="1334"/>
      <c r="V158" s="1334"/>
      <c r="W158" s="1334"/>
      <c r="X158" s="1334"/>
      <c r="Y158" s="1334"/>
      <c r="Z158" s="1334"/>
    </row>
    <row r="159" spans="4:26" ht="15.75" customHeight="1" x14ac:dyDescent="0.3">
      <c r="D159" s="1334"/>
      <c r="E159" s="1341"/>
      <c r="F159" s="1338"/>
      <c r="G159" s="1338"/>
      <c r="H159" s="1338"/>
      <c r="I159" s="1334"/>
      <c r="J159" s="1334"/>
      <c r="K159" s="1334"/>
      <c r="L159" s="1334"/>
      <c r="M159" s="1334"/>
      <c r="N159" s="1334"/>
      <c r="O159" s="1334"/>
      <c r="P159" s="1334"/>
      <c r="Q159" s="1334"/>
      <c r="R159" s="1334"/>
      <c r="S159" s="1334"/>
      <c r="T159" s="1334"/>
      <c r="U159" s="1334"/>
      <c r="V159" s="1334"/>
      <c r="W159" s="1334"/>
      <c r="X159" s="1334"/>
      <c r="Y159" s="1334"/>
      <c r="Z159" s="1334"/>
    </row>
    <row r="160" spans="4:26" ht="15.75" customHeight="1" x14ac:dyDescent="0.3">
      <c r="D160" s="1334"/>
      <c r="E160" s="1341"/>
      <c r="F160" s="1338"/>
      <c r="G160" s="1338"/>
      <c r="H160" s="1338"/>
      <c r="I160" s="1334"/>
      <c r="J160" s="1334"/>
      <c r="K160" s="1334"/>
      <c r="L160" s="1334"/>
      <c r="M160" s="1334"/>
      <c r="N160" s="1334"/>
      <c r="O160" s="1334"/>
      <c r="P160" s="1334"/>
      <c r="Q160" s="1334"/>
      <c r="R160" s="1334"/>
      <c r="S160" s="1334"/>
      <c r="T160" s="1334"/>
      <c r="U160" s="1334"/>
      <c r="V160" s="1334"/>
      <c r="W160" s="1334"/>
      <c r="X160" s="1334"/>
      <c r="Y160" s="1334"/>
      <c r="Z160" s="1334"/>
    </row>
    <row r="161" spans="4:26" ht="15.75" customHeight="1" x14ac:dyDescent="0.3">
      <c r="D161" s="1334"/>
      <c r="E161" s="1341"/>
      <c r="F161" s="1338"/>
      <c r="G161" s="1338"/>
      <c r="H161" s="1338"/>
      <c r="I161" s="1334"/>
      <c r="J161" s="1334"/>
      <c r="K161" s="1334"/>
      <c r="L161" s="1334"/>
      <c r="M161" s="1334"/>
      <c r="N161" s="1334"/>
      <c r="O161" s="1334"/>
      <c r="P161" s="1334"/>
      <c r="Q161" s="1334"/>
      <c r="R161" s="1334"/>
      <c r="S161" s="1334"/>
      <c r="T161" s="1334"/>
      <c r="U161" s="1334"/>
      <c r="V161" s="1334"/>
      <c r="W161" s="1334"/>
      <c r="X161" s="1334"/>
      <c r="Y161" s="1334"/>
      <c r="Z161" s="1334"/>
    </row>
    <row r="162" spans="4:26" ht="15.75" customHeight="1" x14ac:dyDescent="0.3">
      <c r="D162" s="1334"/>
      <c r="E162" s="1341"/>
      <c r="F162" s="1338"/>
      <c r="G162" s="1338"/>
      <c r="H162" s="1338"/>
      <c r="I162" s="1334"/>
      <c r="J162" s="1334"/>
      <c r="K162" s="1334"/>
      <c r="L162" s="1334"/>
      <c r="M162" s="1334"/>
      <c r="N162" s="1334"/>
      <c r="O162" s="1334"/>
      <c r="P162" s="1334"/>
      <c r="Q162" s="1334"/>
      <c r="R162" s="1334"/>
      <c r="S162" s="1334"/>
      <c r="T162" s="1334"/>
      <c r="U162" s="1334"/>
      <c r="V162" s="1334"/>
      <c r="W162" s="1334"/>
      <c r="X162" s="1334"/>
      <c r="Y162" s="1334"/>
      <c r="Z162" s="1334"/>
    </row>
    <row r="163" spans="4:26" ht="15.75" customHeight="1" x14ac:dyDescent="0.3">
      <c r="D163" s="1334"/>
      <c r="E163" s="1341"/>
      <c r="F163" s="1338"/>
      <c r="G163" s="1338"/>
      <c r="H163" s="1338"/>
      <c r="I163" s="1334"/>
      <c r="J163" s="1334"/>
      <c r="K163" s="1334"/>
      <c r="L163" s="1334"/>
      <c r="M163" s="1334"/>
      <c r="N163" s="1334"/>
      <c r="O163" s="1334"/>
      <c r="P163" s="1334"/>
      <c r="Q163" s="1334"/>
      <c r="R163" s="1334"/>
      <c r="S163" s="1334"/>
      <c r="T163" s="1334"/>
      <c r="U163" s="1334"/>
      <c r="V163" s="1334"/>
      <c r="W163" s="1334"/>
      <c r="X163" s="1334"/>
      <c r="Y163" s="1334"/>
      <c r="Z163" s="1334"/>
    </row>
    <row r="164" spans="4:26" ht="15.75" customHeight="1" x14ac:dyDescent="0.3">
      <c r="D164" s="1334"/>
      <c r="E164" s="1341"/>
      <c r="F164" s="1338"/>
      <c r="G164" s="1338"/>
      <c r="H164" s="1338"/>
      <c r="I164" s="1334"/>
      <c r="J164" s="1334"/>
      <c r="K164" s="1334"/>
      <c r="L164" s="1334"/>
      <c r="M164" s="1334"/>
      <c r="N164" s="1334"/>
      <c r="O164" s="1334"/>
      <c r="P164" s="1334"/>
      <c r="Q164" s="1334"/>
      <c r="R164" s="1334"/>
      <c r="S164" s="1334"/>
      <c r="T164" s="1334"/>
      <c r="U164" s="1334"/>
      <c r="V164" s="1334"/>
      <c r="W164" s="1334"/>
      <c r="X164" s="1334"/>
      <c r="Y164" s="1334"/>
      <c r="Z164" s="1334"/>
    </row>
    <row r="165" spans="4:26" ht="15.75" customHeight="1" x14ac:dyDescent="0.3">
      <c r="D165" s="1334"/>
      <c r="E165" s="1341"/>
      <c r="F165" s="1338"/>
      <c r="G165" s="1338"/>
      <c r="H165" s="1338"/>
      <c r="I165" s="1334"/>
      <c r="J165" s="1334"/>
      <c r="K165" s="1334"/>
      <c r="L165" s="1334"/>
      <c r="M165" s="1334"/>
      <c r="N165" s="1334"/>
      <c r="O165" s="1334"/>
      <c r="P165" s="1334"/>
      <c r="Q165" s="1334"/>
      <c r="R165" s="1334"/>
      <c r="S165" s="1334"/>
      <c r="T165" s="1334"/>
      <c r="U165" s="1334"/>
      <c r="V165" s="1334"/>
      <c r="W165" s="1334"/>
      <c r="X165" s="1334"/>
      <c r="Y165" s="1334"/>
      <c r="Z165" s="1334"/>
    </row>
    <row r="166" spans="4:26" ht="15.75" customHeight="1" x14ac:dyDescent="0.3">
      <c r="D166" s="1334"/>
      <c r="E166" s="1341"/>
      <c r="F166" s="1338"/>
      <c r="G166" s="1338"/>
      <c r="H166" s="1338"/>
      <c r="I166" s="1334"/>
      <c r="J166" s="1334"/>
      <c r="K166" s="1334"/>
      <c r="L166" s="1334"/>
      <c r="M166" s="1334"/>
      <c r="N166" s="1334"/>
      <c r="O166" s="1334"/>
      <c r="P166" s="1334"/>
      <c r="Q166" s="1334"/>
      <c r="R166" s="1334"/>
      <c r="S166" s="1334"/>
      <c r="T166" s="1334"/>
      <c r="U166" s="1334"/>
      <c r="V166" s="1334"/>
      <c r="W166" s="1334"/>
      <c r="X166" s="1334"/>
      <c r="Y166" s="1334"/>
      <c r="Z166" s="1334"/>
    </row>
    <row r="167" spans="4:26" ht="15.75" customHeight="1" x14ac:dyDescent="0.3">
      <c r="D167" s="1334"/>
      <c r="E167" s="1341"/>
      <c r="F167" s="1338"/>
      <c r="G167" s="1338"/>
      <c r="H167" s="1338"/>
      <c r="I167" s="1334"/>
      <c r="J167" s="1334"/>
      <c r="K167" s="1334"/>
      <c r="L167" s="1334"/>
      <c r="M167" s="1334"/>
      <c r="N167" s="1334"/>
      <c r="O167" s="1334"/>
      <c r="P167" s="1334"/>
      <c r="Q167" s="1334"/>
      <c r="R167" s="1334"/>
      <c r="S167" s="1334"/>
      <c r="T167" s="1334"/>
      <c r="U167" s="1334"/>
      <c r="V167" s="1334"/>
      <c r="W167" s="1334"/>
      <c r="X167" s="1334"/>
      <c r="Y167" s="1334"/>
      <c r="Z167" s="1334"/>
    </row>
    <row r="168" spans="4:26" ht="15.75" customHeight="1" x14ac:dyDescent="0.3">
      <c r="D168" s="1334"/>
      <c r="E168" s="1341"/>
      <c r="F168" s="1338"/>
      <c r="G168" s="1338"/>
      <c r="H168" s="1338"/>
      <c r="I168" s="1334"/>
      <c r="J168" s="1334"/>
      <c r="K168" s="1334"/>
      <c r="L168" s="1334"/>
      <c r="M168" s="1334"/>
      <c r="N168" s="1334"/>
      <c r="O168" s="1334"/>
      <c r="P168" s="1334"/>
      <c r="Q168" s="1334"/>
      <c r="R168" s="1334"/>
      <c r="S168" s="1334"/>
      <c r="T168" s="1334"/>
      <c r="U168" s="1334"/>
      <c r="V168" s="1334"/>
      <c r="W168" s="1334"/>
      <c r="X168" s="1334"/>
      <c r="Y168" s="1334"/>
      <c r="Z168" s="1334"/>
    </row>
    <row r="169" spans="4:26" ht="15.75" customHeight="1" x14ac:dyDescent="0.3">
      <c r="D169" s="1334"/>
      <c r="E169" s="1341"/>
      <c r="F169" s="1338"/>
      <c r="G169" s="1338"/>
      <c r="H169" s="1338"/>
      <c r="I169" s="1334"/>
      <c r="J169" s="1334"/>
      <c r="K169" s="1334"/>
      <c r="L169" s="1334"/>
      <c r="M169" s="1334"/>
      <c r="N169" s="1334"/>
      <c r="O169" s="1334"/>
      <c r="P169" s="1334"/>
      <c r="Q169" s="1334"/>
      <c r="R169" s="1334"/>
      <c r="S169" s="1334"/>
      <c r="T169" s="1334"/>
      <c r="U169" s="1334"/>
      <c r="V169" s="1334"/>
      <c r="W169" s="1334"/>
      <c r="X169" s="1334"/>
      <c r="Y169" s="1334"/>
      <c r="Z169" s="1334"/>
    </row>
    <row r="170" spans="4:26" ht="15.75" customHeight="1" x14ac:dyDescent="0.3">
      <c r="D170" s="1334"/>
      <c r="E170" s="1341"/>
      <c r="F170" s="1338"/>
      <c r="G170" s="1338"/>
      <c r="H170" s="1338"/>
      <c r="I170" s="1334"/>
      <c r="J170" s="1334"/>
      <c r="K170" s="1334"/>
      <c r="L170" s="1334"/>
      <c r="M170" s="1334"/>
      <c r="N170" s="1334"/>
      <c r="O170" s="1334"/>
      <c r="P170" s="1334"/>
      <c r="Q170" s="1334"/>
      <c r="R170" s="1334"/>
      <c r="S170" s="1334"/>
      <c r="T170" s="1334"/>
      <c r="U170" s="1334"/>
      <c r="V170" s="1334"/>
      <c r="W170" s="1334"/>
      <c r="X170" s="1334"/>
      <c r="Y170" s="1334"/>
      <c r="Z170" s="1334"/>
    </row>
    <row r="171" spans="4:26" ht="15.75" customHeight="1" x14ac:dyDescent="0.3">
      <c r="D171" s="1334"/>
      <c r="E171" s="1341"/>
      <c r="F171" s="1338"/>
      <c r="G171" s="1338"/>
      <c r="H171" s="1338"/>
      <c r="I171" s="1334"/>
      <c r="J171" s="1334"/>
      <c r="K171" s="1334"/>
      <c r="L171" s="1334"/>
      <c r="M171" s="1334"/>
      <c r="N171" s="1334"/>
      <c r="O171" s="1334"/>
      <c r="P171" s="1334"/>
      <c r="Q171" s="1334"/>
      <c r="R171" s="1334"/>
      <c r="S171" s="1334"/>
      <c r="T171" s="1334"/>
      <c r="U171" s="1334"/>
      <c r="V171" s="1334"/>
      <c r="W171" s="1334"/>
      <c r="X171" s="1334"/>
      <c r="Y171" s="1334"/>
      <c r="Z171" s="1334"/>
    </row>
    <row r="172" spans="4:26" ht="15.75" customHeight="1" x14ac:dyDescent="0.3">
      <c r="D172" s="1334"/>
      <c r="E172" s="1341"/>
      <c r="F172" s="1338"/>
      <c r="G172" s="1338"/>
      <c r="H172" s="1338"/>
      <c r="I172" s="1334"/>
      <c r="J172" s="1334"/>
      <c r="K172" s="1334"/>
      <c r="L172" s="1334"/>
      <c r="M172" s="1334"/>
      <c r="N172" s="1334"/>
      <c r="O172" s="1334"/>
      <c r="P172" s="1334"/>
      <c r="Q172" s="1334"/>
      <c r="R172" s="1334"/>
      <c r="S172" s="1334"/>
      <c r="T172" s="1334"/>
      <c r="U172" s="1334"/>
      <c r="V172" s="1334"/>
      <c r="W172" s="1334"/>
      <c r="X172" s="1334"/>
      <c r="Y172" s="1334"/>
      <c r="Z172" s="1334"/>
    </row>
    <row r="173" spans="4:26" ht="15.75" customHeight="1" x14ac:dyDescent="0.3">
      <c r="D173" s="1334"/>
      <c r="E173" s="1341"/>
      <c r="F173" s="1338"/>
      <c r="G173" s="1338"/>
      <c r="H173" s="1338"/>
      <c r="I173" s="1334"/>
      <c r="J173" s="1334"/>
      <c r="K173" s="1334"/>
      <c r="L173" s="1334"/>
      <c r="M173" s="1334"/>
      <c r="N173" s="1334"/>
      <c r="O173" s="1334"/>
      <c r="P173" s="1334"/>
      <c r="Q173" s="1334"/>
      <c r="R173" s="1334"/>
      <c r="S173" s="1334"/>
      <c r="T173" s="1334"/>
      <c r="U173" s="1334"/>
      <c r="V173" s="1334"/>
      <c r="W173" s="1334"/>
      <c r="X173" s="1334"/>
      <c r="Y173" s="1334"/>
      <c r="Z173" s="1334"/>
    </row>
    <row r="174" spans="4:26" ht="15.75" customHeight="1" x14ac:dyDescent="0.3">
      <c r="D174" s="1334"/>
      <c r="E174" s="1341"/>
      <c r="F174" s="1338"/>
      <c r="G174" s="1338"/>
      <c r="H174" s="1338"/>
      <c r="I174" s="1334"/>
      <c r="J174" s="1334"/>
      <c r="K174" s="1334"/>
      <c r="L174" s="1334"/>
      <c r="M174" s="1334"/>
      <c r="N174" s="1334"/>
      <c r="O174" s="1334"/>
      <c r="P174" s="1334"/>
      <c r="Q174" s="1334"/>
      <c r="R174" s="1334"/>
      <c r="S174" s="1334"/>
      <c r="T174" s="1334"/>
      <c r="U174" s="1334"/>
      <c r="V174" s="1334"/>
      <c r="W174" s="1334"/>
      <c r="X174" s="1334"/>
      <c r="Y174" s="1334"/>
      <c r="Z174" s="1334"/>
    </row>
    <row r="175" spans="4:26" ht="15.75" customHeight="1" x14ac:dyDescent="0.3">
      <c r="D175" s="1334"/>
      <c r="E175" s="1341"/>
      <c r="F175" s="1338"/>
      <c r="G175" s="1338"/>
      <c r="H175" s="1338"/>
      <c r="I175" s="1334"/>
      <c r="J175" s="1334"/>
      <c r="K175" s="1334"/>
      <c r="L175" s="1334"/>
      <c r="M175" s="1334"/>
      <c r="N175" s="1334"/>
      <c r="O175" s="1334"/>
      <c r="P175" s="1334"/>
      <c r="Q175" s="1334"/>
      <c r="R175" s="1334"/>
      <c r="S175" s="1334"/>
      <c r="T175" s="1334"/>
      <c r="U175" s="1334"/>
      <c r="V175" s="1334"/>
      <c r="W175" s="1334"/>
      <c r="X175" s="1334"/>
      <c r="Y175" s="1334"/>
      <c r="Z175" s="1334"/>
    </row>
    <row r="176" spans="4:26" ht="15.75" customHeight="1" x14ac:dyDescent="0.3">
      <c r="D176" s="1334"/>
      <c r="E176" s="1341"/>
      <c r="F176" s="1338"/>
      <c r="G176" s="1338"/>
      <c r="H176" s="1338"/>
      <c r="I176" s="1334"/>
      <c r="J176" s="1334"/>
      <c r="K176" s="1334"/>
      <c r="L176" s="1334"/>
      <c r="M176" s="1334"/>
      <c r="N176" s="1334"/>
      <c r="O176" s="1334"/>
      <c r="P176" s="1334"/>
      <c r="Q176" s="1334"/>
      <c r="R176" s="1334"/>
      <c r="S176" s="1334"/>
      <c r="T176" s="1334"/>
      <c r="U176" s="1334"/>
      <c r="V176" s="1334"/>
      <c r="W176" s="1334"/>
      <c r="X176" s="1334"/>
      <c r="Y176" s="1334"/>
      <c r="Z176" s="1334"/>
    </row>
    <row r="177" spans="4:26" ht="15.75" customHeight="1" x14ac:dyDescent="0.3">
      <c r="D177" s="1334"/>
      <c r="E177" s="1341"/>
      <c r="F177" s="1338"/>
      <c r="G177" s="1338"/>
      <c r="H177" s="1338"/>
      <c r="I177" s="1334"/>
      <c r="J177" s="1334"/>
      <c r="K177" s="1334"/>
      <c r="L177" s="1334"/>
      <c r="M177" s="1334"/>
      <c r="N177" s="1334"/>
      <c r="O177" s="1334"/>
      <c r="P177" s="1334"/>
      <c r="Q177" s="1334"/>
      <c r="R177" s="1334"/>
      <c r="S177" s="1334"/>
      <c r="T177" s="1334"/>
      <c r="U177" s="1334"/>
      <c r="V177" s="1334"/>
      <c r="W177" s="1334"/>
      <c r="X177" s="1334"/>
      <c r="Y177" s="1334"/>
      <c r="Z177" s="1334"/>
    </row>
    <row r="178" spans="4:26" ht="15.75" customHeight="1" x14ac:dyDescent="0.3">
      <c r="D178" s="1334"/>
      <c r="E178" s="1341"/>
      <c r="F178" s="1338"/>
      <c r="G178" s="1338"/>
      <c r="H178" s="1338"/>
      <c r="I178" s="1334"/>
      <c r="J178" s="1334"/>
      <c r="K178" s="1334"/>
      <c r="L178" s="1334"/>
      <c r="M178" s="1334"/>
      <c r="N178" s="1334"/>
      <c r="O178" s="1334"/>
      <c r="P178" s="1334"/>
      <c r="Q178" s="1334"/>
      <c r="R178" s="1334"/>
      <c r="S178" s="1334"/>
      <c r="T178" s="1334"/>
      <c r="U178" s="1334"/>
      <c r="V178" s="1334"/>
      <c r="W178" s="1334"/>
      <c r="X178" s="1334"/>
      <c r="Y178" s="1334"/>
      <c r="Z178" s="1334"/>
    </row>
    <row r="179" spans="4:26" ht="15.75" customHeight="1" x14ac:dyDescent="0.3">
      <c r="D179" s="1334"/>
      <c r="E179" s="1341"/>
      <c r="F179" s="1338"/>
      <c r="G179" s="1338"/>
      <c r="H179" s="1338"/>
      <c r="I179" s="1334"/>
      <c r="J179" s="1334"/>
      <c r="K179" s="1334"/>
      <c r="L179" s="1334"/>
      <c r="M179" s="1334"/>
      <c r="N179" s="1334"/>
      <c r="O179" s="1334"/>
      <c r="P179" s="1334"/>
      <c r="Q179" s="1334"/>
      <c r="R179" s="1334"/>
      <c r="S179" s="1334"/>
      <c r="T179" s="1334"/>
      <c r="U179" s="1334"/>
      <c r="V179" s="1334"/>
      <c r="W179" s="1334"/>
      <c r="X179" s="1334"/>
      <c r="Y179" s="1334"/>
      <c r="Z179" s="1334"/>
    </row>
    <row r="180" spans="4:26" ht="15.75" customHeight="1" x14ac:dyDescent="0.3">
      <c r="D180" s="1334"/>
      <c r="E180" s="1341"/>
      <c r="F180" s="1338"/>
      <c r="G180" s="1338"/>
      <c r="H180" s="1338"/>
      <c r="I180" s="1334"/>
      <c r="J180" s="1334"/>
      <c r="K180" s="1334"/>
      <c r="L180" s="1334"/>
      <c r="M180" s="1334"/>
      <c r="N180" s="1334"/>
      <c r="O180" s="1334"/>
      <c r="P180" s="1334"/>
      <c r="Q180" s="1334"/>
      <c r="R180" s="1334"/>
      <c r="S180" s="1334"/>
      <c r="T180" s="1334"/>
      <c r="U180" s="1334"/>
      <c r="V180" s="1334"/>
      <c r="W180" s="1334"/>
      <c r="X180" s="1334"/>
      <c r="Y180" s="1334"/>
      <c r="Z180" s="1334"/>
    </row>
    <row r="181" spans="4:26" ht="15.75" customHeight="1" x14ac:dyDescent="0.3">
      <c r="D181" s="1334"/>
      <c r="E181" s="1341"/>
      <c r="F181" s="1338"/>
      <c r="G181" s="1338"/>
      <c r="H181" s="1338"/>
      <c r="I181" s="1334"/>
      <c r="J181" s="1334"/>
      <c r="K181" s="1334"/>
      <c r="L181" s="1334"/>
      <c r="M181" s="1334"/>
      <c r="N181" s="1334"/>
      <c r="O181" s="1334"/>
      <c r="P181" s="1334"/>
      <c r="Q181" s="1334"/>
      <c r="R181" s="1334"/>
      <c r="S181" s="1334"/>
      <c r="T181" s="1334"/>
      <c r="U181" s="1334"/>
      <c r="V181" s="1334"/>
      <c r="W181" s="1334"/>
      <c r="X181" s="1334"/>
      <c r="Y181" s="1334"/>
      <c r="Z181" s="1334"/>
    </row>
    <row r="182" spans="4:26" ht="15.75" customHeight="1" x14ac:dyDescent="0.3">
      <c r="D182" s="1334"/>
      <c r="E182" s="1341"/>
      <c r="F182" s="1338"/>
      <c r="G182" s="1338"/>
      <c r="H182" s="1338"/>
      <c r="I182" s="1334"/>
      <c r="J182" s="1334"/>
      <c r="K182" s="1334"/>
      <c r="L182" s="1334"/>
      <c r="M182" s="1334"/>
      <c r="N182" s="1334"/>
      <c r="O182" s="1334"/>
      <c r="P182" s="1334"/>
      <c r="Q182" s="1334"/>
      <c r="R182" s="1334"/>
      <c r="S182" s="1334"/>
      <c r="T182" s="1334"/>
      <c r="U182" s="1334"/>
      <c r="V182" s="1334"/>
      <c r="W182" s="1334"/>
      <c r="X182" s="1334"/>
      <c r="Y182" s="1334"/>
      <c r="Z182" s="1334"/>
    </row>
    <row r="183" spans="4:26" ht="15.75" customHeight="1" x14ac:dyDescent="0.3">
      <c r="D183" s="1334"/>
      <c r="E183" s="1341"/>
      <c r="F183" s="1338"/>
      <c r="G183" s="1338"/>
      <c r="H183" s="1338"/>
      <c r="I183" s="1334"/>
      <c r="J183" s="1334"/>
      <c r="K183" s="1334"/>
      <c r="L183" s="1334"/>
      <c r="M183" s="1334"/>
      <c r="N183" s="1334"/>
      <c r="O183" s="1334"/>
      <c r="P183" s="1334"/>
      <c r="Q183" s="1334"/>
      <c r="R183" s="1334"/>
      <c r="S183" s="1334"/>
      <c r="T183" s="1334"/>
      <c r="U183" s="1334"/>
      <c r="V183" s="1334"/>
      <c r="W183" s="1334"/>
      <c r="X183" s="1334"/>
      <c r="Y183" s="1334"/>
      <c r="Z183" s="1334"/>
    </row>
    <row r="184" spans="4:26" ht="15.75" customHeight="1" x14ac:dyDescent="0.3">
      <c r="D184" s="1334"/>
      <c r="E184" s="1341"/>
      <c r="F184" s="1338"/>
      <c r="G184" s="1338"/>
      <c r="H184" s="1338"/>
      <c r="I184" s="1334"/>
      <c r="J184" s="1334"/>
      <c r="K184" s="1334"/>
      <c r="L184" s="1334"/>
      <c r="M184" s="1334"/>
      <c r="N184" s="1334"/>
      <c r="O184" s="1334"/>
      <c r="P184" s="1334"/>
      <c r="Q184" s="1334"/>
      <c r="R184" s="1334"/>
      <c r="S184" s="1334"/>
      <c r="T184" s="1334"/>
      <c r="U184" s="1334"/>
      <c r="V184" s="1334"/>
      <c r="W184" s="1334"/>
      <c r="X184" s="1334"/>
      <c r="Y184" s="1334"/>
      <c r="Z184" s="1334"/>
    </row>
    <row r="185" spans="4:26" ht="15.75" customHeight="1" x14ac:dyDescent="0.3">
      <c r="D185" s="1334"/>
      <c r="E185" s="1341"/>
      <c r="F185" s="1338"/>
      <c r="G185" s="1338"/>
      <c r="H185" s="1338"/>
      <c r="I185" s="1334"/>
      <c r="J185" s="1334"/>
      <c r="K185" s="1334"/>
      <c r="L185" s="1334"/>
      <c r="M185" s="1334"/>
      <c r="N185" s="1334"/>
      <c r="O185" s="1334"/>
      <c r="P185" s="1334"/>
      <c r="Q185" s="1334"/>
      <c r="R185" s="1334"/>
      <c r="S185" s="1334"/>
      <c r="T185" s="1334"/>
      <c r="U185" s="1334"/>
      <c r="V185" s="1334"/>
      <c r="W185" s="1334"/>
      <c r="X185" s="1334"/>
      <c r="Y185" s="1334"/>
      <c r="Z185" s="1334"/>
    </row>
    <row r="186" spans="4:26" ht="15.75" customHeight="1" x14ac:dyDescent="0.3">
      <c r="D186" s="1334"/>
      <c r="E186" s="1341"/>
      <c r="F186" s="1338"/>
      <c r="G186" s="1338"/>
      <c r="H186" s="1338"/>
      <c r="I186" s="1334"/>
      <c r="J186" s="1334"/>
      <c r="K186" s="1334"/>
      <c r="L186" s="1334"/>
      <c r="M186" s="1334"/>
      <c r="N186" s="1334"/>
      <c r="O186" s="1334"/>
      <c r="P186" s="1334"/>
      <c r="Q186" s="1334"/>
      <c r="R186" s="1334"/>
      <c r="S186" s="1334"/>
      <c r="T186" s="1334"/>
      <c r="U186" s="1334"/>
      <c r="V186" s="1334"/>
      <c r="W186" s="1334"/>
      <c r="X186" s="1334"/>
      <c r="Y186" s="1334"/>
      <c r="Z186" s="1334"/>
    </row>
    <row r="187" spans="4:26" ht="15.75" customHeight="1" x14ac:dyDescent="0.3">
      <c r="D187" s="1334"/>
      <c r="E187" s="1341"/>
      <c r="F187" s="1338"/>
      <c r="G187" s="1338"/>
      <c r="H187" s="1338"/>
      <c r="I187" s="1334"/>
      <c r="J187" s="1334"/>
      <c r="K187" s="1334"/>
      <c r="L187" s="1334"/>
      <c r="M187" s="1334"/>
      <c r="N187" s="1334"/>
      <c r="O187" s="1334"/>
      <c r="P187" s="1334"/>
      <c r="Q187" s="1334"/>
      <c r="R187" s="1334"/>
      <c r="S187" s="1334"/>
      <c r="T187" s="1334"/>
      <c r="U187" s="1334"/>
      <c r="V187" s="1334"/>
      <c r="W187" s="1334"/>
      <c r="X187" s="1334"/>
      <c r="Y187" s="1334"/>
      <c r="Z187" s="1334"/>
    </row>
    <row r="188" spans="4:26" ht="15.75" customHeight="1" x14ac:dyDescent="0.3">
      <c r="D188" s="1334"/>
      <c r="E188" s="1341"/>
      <c r="F188" s="1338"/>
      <c r="G188" s="1338"/>
      <c r="H188" s="1338"/>
      <c r="I188" s="1334"/>
      <c r="J188" s="1334"/>
      <c r="K188" s="1334"/>
      <c r="L188" s="1334"/>
      <c r="M188" s="1334"/>
      <c r="N188" s="1334"/>
      <c r="O188" s="1334"/>
      <c r="P188" s="1334"/>
      <c r="Q188" s="1334"/>
      <c r="R188" s="1334"/>
      <c r="S188" s="1334"/>
      <c r="T188" s="1334"/>
      <c r="U188" s="1334"/>
      <c r="V188" s="1334"/>
      <c r="W188" s="1334"/>
      <c r="X188" s="1334"/>
      <c r="Y188" s="1334"/>
      <c r="Z188" s="1334"/>
    </row>
    <row r="189" spans="4:26" ht="15.75" customHeight="1" x14ac:dyDescent="0.3">
      <c r="D189" s="1334"/>
      <c r="E189" s="1341"/>
      <c r="F189" s="1338"/>
      <c r="G189" s="1338"/>
      <c r="H189" s="1338"/>
      <c r="I189" s="1334"/>
      <c r="J189" s="1334"/>
      <c r="K189" s="1334"/>
      <c r="L189" s="1334"/>
      <c r="M189" s="1334"/>
      <c r="N189" s="1334"/>
      <c r="O189" s="1334"/>
      <c r="P189" s="1334"/>
      <c r="Q189" s="1334"/>
      <c r="R189" s="1334"/>
      <c r="S189" s="1334"/>
      <c r="T189" s="1334"/>
      <c r="U189" s="1334"/>
      <c r="V189" s="1334"/>
      <c r="W189" s="1334"/>
      <c r="X189" s="1334"/>
      <c r="Y189" s="1334"/>
      <c r="Z189" s="1334"/>
    </row>
    <row r="190" spans="4:26" ht="15.75" customHeight="1" x14ac:dyDescent="0.3">
      <c r="D190" s="1334"/>
      <c r="E190" s="1341"/>
      <c r="F190" s="1338"/>
      <c r="G190" s="1338"/>
      <c r="H190" s="1338"/>
      <c r="I190" s="1334"/>
      <c r="J190" s="1334"/>
      <c r="K190" s="1334"/>
      <c r="L190" s="1334"/>
      <c r="M190" s="1334"/>
      <c r="N190" s="1334"/>
      <c r="O190" s="1334"/>
      <c r="P190" s="1334"/>
      <c r="Q190" s="1334"/>
      <c r="R190" s="1334"/>
      <c r="S190" s="1334"/>
      <c r="T190" s="1334"/>
      <c r="U190" s="1334"/>
      <c r="V190" s="1334"/>
      <c r="W190" s="1334"/>
      <c r="X190" s="1334"/>
      <c r="Y190" s="1334"/>
      <c r="Z190" s="1334"/>
    </row>
    <row r="191" spans="4:26" ht="15.75" customHeight="1" x14ac:dyDescent="0.3">
      <c r="D191" s="1334"/>
      <c r="E191" s="1341"/>
      <c r="F191" s="1338"/>
      <c r="G191" s="1338"/>
      <c r="H191" s="1338"/>
      <c r="I191" s="1334"/>
      <c r="J191" s="1334"/>
      <c r="K191" s="1334"/>
      <c r="L191" s="1334"/>
      <c r="M191" s="1334"/>
      <c r="N191" s="1334"/>
      <c r="O191" s="1334"/>
      <c r="P191" s="1334"/>
      <c r="Q191" s="1334"/>
      <c r="R191" s="1334"/>
      <c r="S191" s="1334"/>
      <c r="T191" s="1334"/>
      <c r="U191" s="1334"/>
      <c r="V191" s="1334"/>
      <c r="W191" s="1334"/>
      <c r="X191" s="1334"/>
      <c r="Y191" s="1334"/>
      <c r="Z191" s="1334"/>
    </row>
    <row r="192" spans="4:26" ht="15.75" customHeight="1" x14ac:dyDescent="0.3">
      <c r="D192" s="1334"/>
      <c r="E192" s="1341"/>
      <c r="F192" s="1338"/>
      <c r="G192" s="1338"/>
      <c r="H192" s="1338"/>
      <c r="I192" s="1334"/>
      <c r="J192" s="1334"/>
      <c r="K192" s="1334"/>
      <c r="L192" s="1334"/>
      <c r="M192" s="1334"/>
      <c r="N192" s="1334"/>
      <c r="O192" s="1334"/>
      <c r="P192" s="1334"/>
      <c r="Q192" s="1334"/>
      <c r="R192" s="1334"/>
      <c r="S192" s="1334"/>
      <c r="T192" s="1334"/>
      <c r="U192" s="1334"/>
      <c r="V192" s="1334"/>
      <c r="W192" s="1334"/>
      <c r="X192" s="1334"/>
      <c r="Y192" s="1334"/>
      <c r="Z192" s="1334"/>
    </row>
    <row r="193" spans="4:26" ht="15.75" customHeight="1" x14ac:dyDescent="0.3">
      <c r="D193" s="1334"/>
      <c r="E193" s="1341"/>
      <c r="F193" s="1338"/>
      <c r="G193" s="1338"/>
      <c r="H193" s="1338"/>
      <c r="I193" s="1334"/>
      <c r="J193" s="1334"/>
      <c r="K193" s="1334"/>
      <c r="L193" s="1334"/>
      <c r="M193" s="1334"/>
      <c r="N193" s="1334"/>
      <c r="O193" s="1334"/>
      <c r="P193" s="1334"/>
      <c r="Q193" s="1334"/>
      <c r="R193" s="1334"/>
      <c r="S193" s="1334"/>
      <c r="T193" s="1334"/>
      <c r="U193" s="1334"/>
      <c r="V193" s="1334"/>
      <c r="W193" s="1334"/>
      <c r="X193" s="1334"/>
      <c r="Y193" s="1334"/>
      <c r="Z193" s="1334"/>
    </row>
    <row r="194" spans="4:26" ht="15.75" customHeight="1" x14ac:dyDescent="0.3">
      <c r="D194" s="1334"/>
      <c r="E194" s="1341"/>
      <c r="F194" s="1338"/>
      <c r="G194" s="1338"/>
      <c r="H194" s="1338"/>
      <c r="I194" s="1334"/>
      <c r="J194" s="1334"/>
      <c r="K194" s="1334"/>
      <c r="L194" s="1334"/>
      <c r="M194" s="1334"/>
      <c r="N194" s="1334"/>
      <c r="O194" s="1334"/>
      <c r="P194" s="1334"/>
      <c r="Q194" s="1334"/>
      <c r="R194" s="1334"/>
      <c r="S194" s="1334"/>
      <c r="T194" s="1334"/>
      <c r="U194" s="1334"/>
      <c r="V194" s="1334"/>
      <c r="W194" s="1334"/>
      <c r="X194" s="1334"/>
      <c r="Y194" s="1334"/>
      <c r="Z194" s="1334"/>
    </row>
    <row r="195" spans="4:26" ht="15.75" customHeight="1" x14ac:dyDescent="0.3">
      <c r="D195" s="1334"/>
      <c r="E195" s="1341"/>
      <c r="F195" s="1338"/>
      <c r="G195" s="1338"/>
      <c r="H195" s="1338"/>
      <c r="I195" s="1334"/>
      <c r="J195" s="1334"/>
      <c r="K195" s="1334"/>
      <c r="L195" s="1334"/>
      <c r="M195" s="1334"/>
      <c r="N195" s="1334"/>
      <c r="O195" s="1334"/>
      <c r="P195" s="1334"/>
      <c r="Q195" s="1334"/>
      <c r="R195" s="1334"/>
      <c r="S195" s="1334"/>
      <c r="T195" s="1334"/>
      <c r="U195" s="1334"/>
      <c r="V195" s="1334"/>
      <c r="W195" s="1334"/>
      <c r="X195" s="1334"/>
      <c r="Y195" s="1334"/>
      <c r="Z195" s="1334"/>
    </row>
    <row r="196" spans="4:26" ht="15.75" customHeight="1" x14ac:dyDescent="0.3">
      <c r="D196" s="1334"/>
      <c r="E196" s="1341"/>
      <c r="F196" s="1338"/>
      <c r="G196" s="1338"/>
      <c r="H196" s="1338"/>
      <c r="I196" s="1334"/>
      <c r="J196" s="1334"/>
      <c r="K196" s="1334"/>
      <c r="L196" s="1334"/>
      <c r="M196" s="1334"/>
      <c r="N196" s="1334"/>
      <c r="O196" s="1334"/>
      <c r="P196" s="1334"/>
      <c r="Q196" s="1334"/>
      <c r="R196" s="1334"/>
      <c r="S196" s="1334"/>
      <c r="T196" s="1334"/>
      <c r="U196" s="1334"/>
      <c r="V196" s="1334"/>
      <c r="W196" s="1334"/>
      <c r="X196" s="1334"/>
      <c r="Y196" s="1334"/>
      <c r="Z196" s="1334"/>
    </row>
    <row r="197" spans="4:26" ht="15.75" customHeight="1" x14ac:dyDescent="0.3">
      <c r="D197" s="1334"/>
      <c r="E197" s="1341"/>
      <c r="F197" s="1338"/>
      <c r="G197" s="1338"/>
      <c r="H197" s="1338"/>
      <c r="I197" s="1334"/>
      <c r="J197" s="1334"/>
      <c r="K197" s="1334"/>
      <c r="L197" s="1334"/>
      <c r="M197" s="1334"/>
      <c r="N197" s="1334"/>
      <c r="O197" s="1334"/>
      <c r="P197" s="1334"/>
      <c r="Q197" s="1334"/>
      <c r="R197" s="1334"/>
      <c r="S197" s="1334"/>
      <c r="T197" s="1334"/>
      <c r="U197" s="1334"/>
      <c r="V197" s="1334"/>
      <c r="W197" s="1334"/>
      <c r="X197" s="1334"/>
      <c r="Y197" s="1334"/>
      <c r="Z197" s="1334"/>
    </row>
    <row r="198" spans="4:26" ht="15.75" customHeight="1" x14ac:dyDescent="0.3">
      <c r="D198" s="1334"/>
      <c r="E198" s="1341"/>
      <c r="F198" s="1338"/>
      <c r="G198" s="1338"/>
      <c r="H198" s="1338"/>
      <c r="I198" s="1334"/>
      <c r="J198" s="1334"/>
      <c r="K198" s="1334"/>
      <c r="L198" s="1334"/>
      <c r="M198" s="1334"/>
      <c r="N198" s="1334"/>
      <c r="O198" s="1334"/>
      <c r="P198" s="1334"/>
      <c r="Q198" s="1334"/>
      <c r="R198" s="1334"/>
      <c r="S198" s="1334"/>
      <c r="T198" s="1334"/>
      <c r="U198" s="1334"/>
      <c r="V198" s="1334"/>
      <c r="W198" s="1334"/>
      <c r="X198" s="1334"/>
      <c r="Y198" s="1334"/>
      <c r="Z198" s="1334"/>
    </row>
    <row r="199" spans="4:26" ht="15.75" customHeight="1" x14ac:dyDescent="0.3">
      <c r="D199" s="1334"/>
      <c r="E199" s="1341"/>
      <c r="F199" s="1338"/>
      <c r="G199" s="1338"/>
      <c r="H199" s="1338"/>
      <c r="I199" s="1334"/>
      <c r="J199" s="1334"/>
      <c r="K199" s="1334"/>
      <c r="L199" s="1334"/>
      <c r="M199" s="1334"/>
      <c r="N199" s="1334"/>
      <c r="O199" s="1334"/>
      <c r="P199" s="1334"/>
      <c r="Q199" s="1334"/>
      <c r="R199" s="1334"/>
      <c r="S199" s="1334"/>
      <c r="T199" s="1334"/>
      <c r="U199" s="1334"/>
      <c r="V199" s="1334"/>
      <c r="W199" s="1334"/>
      <c r="X199" s="1334"/>
      <c r="Y199" s="1334"/>
      <c r="Z199" s="1334"/>
    </row>
    <row r="200" spans="4:26" ht="15.75" customHeight="1" x14ac:dyDescent="0.3">
      <c r="D200" s="1334"/>
      <c r="E200" s="1341"/>
      <c r="F200" s="1338"/>
      <c r="G200" s="1338"/>
      <c r="H200" s="1338"/>
      <c r="I200" s="1334"/>
      <c r="J200" s="1334"/>
      <c r="K200" s="1334"/>
      <c r="L200" s="1334"/>
      <c r="M200" s="1334"/>
      <c r="N200" s="1334"/>
      <c r="O200" s="1334"/>
      <c r="P200" s="1334"/>
      <c r="Q200" s="1334"/>
      <c r="R200" s="1334"/>
      <c r="S200" s="1334"/>
      <c r="T200" s="1334"/>
      <c r="U200" s="1334"/>
      <c r="V200" s="1334"/>
      <c r="W200" s="1334"/>
      <c r="X200" s="1334"/>
      <c r="Y200" s="1334"/>
      <c r="Z200" s="1334"/>
    </row>
    <row r="201" spans="4:26" ht="15.75" customHeight="1" x14ac:dyDescent="0.3">
      <c r="D201" s="1334"/>
      <c r="E201" s="1341"/>
      <c r="F201" s="1338"/>
      <c r="G201" s="1338"/>
      <c r="H201" s="1338"/>
      <c r="I201" s="1334"/>
      <c r="J201" s="1334"/>
      <c r="K201" s="1334"/>
      <c r="L201" s="1334"/>
      <c r="M201" s="1334"/>
      <c r="N201" s="1334"/>
      <c r="O201" s="1334"/>
      <c r="P201" s="1334"/>
      <c r="Q201" s="1334"/>
      <c r="R201" s="1334"/>
      <c r="S201" s="1334"/>
      <c r="T201" s="1334"/>
      <c r="U201" s="1334"/>
      <c r="V201" s="1334"/>
      <c r="W201" s="1334"/>
      <c r="X201" s="1334"/>
      <c r="Y201" s="1334"/>
      <c r="Z201" s="1334"/>
    </row>
    <row r="202" spans="4:26" ht="15.75" customHeight="1" x14ac:dyDescent="0.3">
      <c r="D202" s="1334"/>
      <c r="E202" s="1341"/>
      <c r="F202" s="1338"/>
      <c r="G202" s="1338"/>
      <c r="H202" s="1338"/>
      <c r="I202" s="1334"/>
      <c r="J202" s="1334"/>
      <c r="K202" s="1334"/>
      <c r="L202" s="1334"/>
      <c r="M202" s="1334"/>
      <c r="N202" s="1334"/>
      <c r="O202" s="1334"/>
      <c r="P202" s="1334"/>
      <c r="Q202" s="1334"/>
      <c r="R202" s="1334"/>
      <c r="S202" s="1334"/>
      <c r="T202" s="1334"/>
      <c r="U202" s="1334"/>
      <c r="V202" s="1334"/>
      <c r="W202" s="1334"/>
      <c r="X202" s="1334"/>
      <c r="Y202" s="1334"/>
      <c r="Z202" s="1334"/>
    </row>
    <row r="203" spans="4:26" ht="15.75" customHeight="1" x14ac:dyDescent="0.3">
      <c r="D203" s="1334"/>
      <c r="E203" s="1341"/>
      <c r="F203" s="1338"/>
      <c r="G203" s="1338"/>
      <c r="H203" s="1338"/>
      <c r="I203" s="1334"/>
      <c r="J203" s="1334"/>
      <c r="K203" s="1334"/>
      <c r="L203" s="1334"/>
      <c r="M203" s="1334"/>
      <c r="N203" s="1334"/>
      <c r="O203" s="1334"/>
      <c r="P203" s="1334"/>
      <c r="Q203" s="1334"/>
      <c r="R203" s="1334"/>
      <c r="S203" s="1334"/>
      <c r="T203" s="1334"/>
      <c r="U203" s="1334"/>
      <c r="V203" s="1334"/>
      <c r="W203" s="1334"/>
      <c r="X203" s="1334"/>
      <c r="Y203" s="1334"/>
      <c r="Z203" s="1334"/>
    </row>
    <row r="204" spans="4:26" ht="15.75" customHeight="1" x14ac:dyDescent="0.3">
      <c r="D204" s="1334"/>
      <c r="E204" s="1341"/>
      <c r="F204" s="1338"/>
      <c r="G204" s="1338"/>
      <c r="H204" s="1338"/>
      <c r="I204" s="1334"/>
      <c r="J204" s="1334"/>
      <c r="K204" s="1334"/>
      <c r="L204" s="1334"/>
      <c r="M204" s="1334"/>
      <c r="N204" s="1334"/>
      <c r="O204" s="1334"/>
      <c r="P204" s="1334"/>
      <c r="Q204" s="1334"/>
      <c r="R204" s="1334"/>
      <c r="S204" s="1334"/>
      <c r="T204" s="1334"/>
      <c r="U204" s="1334"/>
      <c r="V204" s="1334"/>
      <c r="W204" s="1334"/>
      <c r="X204" s="1334"/>
      <c r="Y204" s="1334"/>
      <c r="Z204" s="1334"/>
    </row>
    <row r="205" spans="4:26" ht="15.75" customHeight="1" x14ac:dyDescent="0.3">
      <c r="D205" s="1334"/>
      <c r="E205" s="1341"/>
      <c r="F205" s="1338"/>
      <c r="G205" s="1338"/>
      <c r="H205" s="1338"/>
      <c r="I205" s="1334"/>
      <c r="J205" s="1334"/>
      <c r="K205" s="1334"/>
      <c r="L205" s="1334"/>
      <c r="M205" s="1334"/>
      <c r="N205" s="1334"/>
      <c r="O205" s="1334"/>
      <c r="P205" s="1334"/>
      <c r="Q205" s="1334"/>
      <c r="R205" s="1334"/>
      <c r="S205" s="1334"/>
      <c r="T205" s="1334"/>
      <c r="U205" s="1334"/>
      <c r="V205" s="1334"/>
      <c r="W205" s="1334"/>
      <c r="X205" s="1334"/>
      <c r="Y205" s="1334"/>
      <c r="Z205" s="1334"/>
    </row>
    <row r="206" spans="4:26" ht="15.75" customHeight="1" x14ac:dyDescent="0.3">
      <c r="D206" s="1334"/>
      <c r="E206" s="1341"/>
      <c r="F206" s="1338"/>
      <c r="G206" s="1338"/>
      <c r="H206" s="1338"/>
      <c r="I206" s="1334"/>
      <c r="J206" s="1334"/>
      <c r="K206" s="1334"/>
      <c r="L206" s="1334"/>
      <c r="M206" s="1334"/>
      <c r="N206" s="1334"/>
      <c r="O206" s="1334"/>
      <c r="P206" s="1334"/>
      <c r="Q206" s="1334"/>
      <c r="R206" s="1334"/>
      <c r="S206" s="1334"/>
      <c r="T206" s="1334"/>
      <c r="U206" s="1334"/>
      <c r="V206" s="1334"/>
      <c r="W206" s="1334"/>
      <c r="X206" s="1334"/>
      <c r="Y206" s="1334"/>
      <c r="Z206" s="1334"/>
    </row>
    <row r="207" spans="4:26" ht="15.75" customHeight="1" x14ac:dyDescent="0.3">
      <c r="D207" s="1334"/>
      <c r="E207" s="1341"/>
      <c r="F207" s="1338"/>
      <c r="G207" s="1338"/>
      <c r="H207" s="1338"/>
      <c r="I207" s="1334"/>
      <c r="J207" s="1334"/>
      <c r="K207" s="1334"/>
      <c r="L207" s="1334"/>
      <c r="M207" s="1334"/>
      <c r="N207" s="1334"/>
      <c r="O207" s="1334"/>
      <c r="P207" s="1334"/>
      <c r="Q207" s="1334"/>
      <c r="R207" s="1334"/>
      <c r="S207" s="1334"/>
      <c r="T207" s="1334"/>
      <c r="U207" s="1334"/>
      <c r="V207" s="1334"/>
      <c r="W207" s="1334"/>
      <c r="X207" s="1334"/>
      <c r="Y207" s="1334"/>
      <c r="Z207" s="1334"/>
    </row>
    <row r="208" spans="4:26" ht="15.75" customHeight="1" x14ac:dyDescent="0.3">
      <c r="D208" s="1334"/>
      <c r="E208" s="1341"/>
      <c r="F208" s="1338"/>
      <c r="G208" s="1338"/>
      <c r="H208" s="1338"/>
      <c r="I208" s="1334"/>
      <c r="J208" s="1334"/>
      <c r="K208" s="1334"/>
      <c r="L208" s="1334"/>
      <c r="M208" s="1334"/>
      <c r="N208" s="1334"/>
      <c r="O208" s="1334"/>
      <c r="P208" s="1334"/>
      <c r="Q208" s="1334"/>
      <c r="R208" s="1334"/>
      <c r="S208" s="1334"/>
      <c r="T208" s="1334"/>
      <c r="U208" s="1334"/>
      <c r="V208" s="1334"/>
      <c r="W208" s="1334"/>
      <c r="X208" s="1334"/>
      <c r="Y208" s="1334"/>
      <c r="Z208" s="1334"/>
    </row>
    <row r="209" spans="4:26" ht="15.75" customHeight="1" x14ac:dyDescent="0.3">
      <c r="D209" s="1334"/>
      <c r="E209" s="1341"/>
      <c r="F209" s="1338"/>
      <c r="G209" s="1338"/>
      <c r="H209" s="1338"/>
      <c r="I209" s="1334"/>
      <c r="J209" s="1334"/>
      <c r="K209" s="1334"/>
      <c r="L209" s="1334"/>
      <c r="M209" s="1334"/>
      <c r="N209" s="1334"/>
      <c r="O209" s="1334"/>
      <c r="P209" s="1334"/>
      <c r="Q209" s="1334"/>
      <c r="R209" s="1334"/>
      <c r="S209" s="1334"/>
      <c r="T209" s="1334"/>
      <c r="U209" s="1334"/>
      <c r="V209" s="1334"/>
      <c r="W209" s="1334"/>
      <c r="X209" s="1334"/>
      <c r="Y209" s="1334"/>
      <c r="Z209" s="1334"/>
    </row>
    <row r="210" spans="4:26" ht="15.75" customHeight="1" x14ac:dyDescent="0.3">
      <c r="D210" s="1334"/>
      <c r="E210" s="1341"/>
      <c r="F210" s="1338"/>
      <c r="G210" s="1338"/>
      <c r="H210" s="1338"/>
      <c r="I210" s="1334"/>
      <c r="J210" s="1334"/>
      <c r="K210" s="1334"/>
      <c r="L210" s="1334"/>
      <c r="M210" s="1334"/>
      <c r="N210" s="1334"/>
      <c r="O210" s="1334"/>
      <c r="P210" s="1334"/>
      <c r="Q210" s="1334"/>
      <c r="R210" s="1334"/>
      <c r="S210" s="1334"/>
      <c r="T210" s="1334"/>
      <c r="U210" s="1334"/>
      <c r="V210" s="1334"/>
      <c r="W210" s="1334"/>
      <c r="X210" s="1334"/>
      <c r="Y210" s="1334"/>
      <c r="Z210" s="1334"/>
    </row>
    <row r="211" spans="4:26" ht="15.75" customHeight="1" x14ac:dyDescent="0.3">
      <c r="D211" s="1334"/>
      <c r="E211" s="1341"/>
      <c r="F211" s="1338"/>
      <c r="G211" s="1338"/>
      <c r="H211" s="1338"/>
      <c r="I211" s="1334"/>
      <c r="J211" s="1334"/>
      <c r="K211" s="1334"/>
      <c r="L211" s="1334"/>
      <c r="M211" s="1334"/>
      <c r="N211" s="1334"/>
      <c r="O211" s="1334"/>
      <c r="P211" s="1334"/>
      <c r="Q211" s="1334"/>
      <c r="R211" s="1334"/>
      <c r="S211" s="1334"/>
      <c r="T211" s="1334"/>
      <c r="U211" s="1334"/>
      <c r="V211" s="1334"/>
      <c r="W211" s="1334"/>
      <c r="X211" s="1334"/>
      <c r="Y211" s="1334"/>
      <c r="Z211" s="1334"/>
    </row>
    <row r="212" spans="4:26" ht="15.75" customHeight="1" x14ac:dyDescent="0.3">
      <c r="D212" s="1334"/>
      <c r="E212" s="1341"/>
      <c r="F212" s="1338"/>
      <c r="G212" s="1338"/>
      <c r="H212" s="1338"/>
      <c r="I212" s="1334"/>
      <c r="J212" s="1334"/>
      <c r="K212" s="1334"/>
      <c r="L212" s="1334"/>
      <c r="M212" s="1334"/>
      <c r="N212" s="1334"/>
      <c r="O212" s="1334"/>
      <c r="P212" s="1334"/>
      <c r="Q212" s="1334"/>
      <c r="R212" s="1334"/>
      <c r="S212" s="1334"/>
      <c r="T212" s="1334"/>
      <c r="U212" s="1334"/>
      <c r="V212" s="1334"/>
      <c r="W212" s="1334"/>
      <c r="X212" s="1334"/>
      <c r="Y212" s="1334"/>
      <c r="Z212" s="1334"/>
    </row>
    <row r="213" spans="4:26" ht="15.75" customHeight="1" x14ac:dyDescent="0.3">
      <c r="D213" s="1334"/>
      <c r="E213" s="1341"/>
      <c r="F213" s="1338"/>
      <c r="G213" s="1338"/>
      <c r="H213" s="1338"/>
      <c r="I213" s="1334"/>
      <c r="J213" s="1334"/>
      <c r="K213" s="1334"/>
      <c r="L213" s="1334"/>
      <c r="M213" s="1334"/>
      <c r="N213" s="1334"/>
      <c r="O213" s="1334"/>
      <c r="P213" s="1334"/>
      <c r="Q213" s="1334"/>
      <c r="R213" s="1334"/>
      <c r="S213" s="1334"/>
      <c r="T213" s="1334"/>
      <c r="U213" s="1334"/>
      <c r="V213" s="1334"/>
      <c r="W213" s="1334"/>
      <c r="X213" s="1334"/>
      <c r="Y213" s="1334"/>
      <c r="Z213" s="1334"/>
    </row>
    <row r="214" spans="4:26" ht="15.75" customHeight="1" x14ac:dyDescent="0.3">
      <c r="D214" s="1334"/>
      <c r="E214" s="1341"/>
      <c r="F214" s="1338"/>
      <c r="G214" s="1338"/>
      <c r="H214" s="1338"/>
      <c r="I214" s="1334"/>
      <c r="J214" s="1334"/>
      <c r="K214" s="1334"/>
      <c r="L214" s="1334"/>
      <c r="M214" s="1334"/>
      <c r="N214" s="1334"/>
      <c r="O214" s="1334"/>
      <c r="P214" s="1334"/>
      <c r="Q214" s="1334"/>
      <c r="R214" s="1334"/>
      <c r="S214" s="1334"/>
      <c r="T214" s="1334"/>
      <c r="U214" s="1334"/>
      <c r="V214" s="1334"/>
      <c r="W214" s="1334"/>
      <c r="X214" s="1334"/>
      <c r="Y214" s="1334"/>
      <c r="Z214" s="1334"/>
    </row>
    <row r="215" spans="4:26" ht="15.75" customHeight="1" x14ac:dyDescent="0.3">
      <c r="D215" s="1334"/>
      <c r="E215" s="1341"/>
      <c r="F215" s="1338"/>
      <c r="G215" s="1338"/>
      <c r="H215" s="1338"/>
      <c r="I215" s="1334"/>
      <c r="J215" s="1334"/>
      <c r="K215" s="1334"/>
      <c r="L215" s="1334"/>
      <c r="M215" s="1334"/>
      <c r="N215" s="1334"/>
      <c r="O215" s="1334"/>
      <c r="P215" s="1334"/>
      <c r="Q215" s="1334"/>
      <c r="R215" s="1334"/>
      <c r="S215" s="1334"/>
      <c r="T215" s="1334"/>
      <c r="U215" s="1334"/>
      <c r="V215" s="1334"/>
      <c r="W215" s="1334"/>
      <c r="X215" s="1334"/>
      <c r="Y215" s="1334"/>
      <c r="Z215" s="1334"/>
    </row>
    <row r="216" spans="4:26" ht="15.75" customHeight="1" x14ac:dyDescent="0.3">
      <c r="D216" s="1334"/>
      <c r="E216" s="1341"/>
      <c r="F216" s="1338"/>
      <c r="G216" s="1338"/>
      <c r="H216" s="1338"/>
      <c r="I216" s="1334"/>
      <c r="J216" s="1334"/>
      <c r="K216" s="1334"/>
      <c r="L216" s="1334"/>
      <c r="M216" s="1334"/>
      <c r="N216" s="1334"/>
      <c r="O216" s="1334"/>
      <c r="P216" s="1334"/>
      <c r="Q216" s="1334"/>
      <c r="R216" s="1334"/>
      <c r="S216" s="1334"/>
      <c r="T216" s="1334"/>
      <c r="U216" s="1334"/>
      <c r="V216" s="1334"/>
      <c r="W216" s="1334"/>
      <c r="X216" s="1334"/>
      <c r="Y216" s="1334"/>
      <c r="Z216" s="1334"/>
    </row>
    <row r="217" spans="4:26" ht="15.75" customHeight="1" x14ac:dyDescent="0.3">
      <c r="D217" s="1334"/>
      <c r="E217" s="1341"/>
      <c r="F217" s="1338"/>
      <c r="G217" s="1338"/>
      <c r="H217" s="1338"/>
      <c r="I217" s="1334"/>
      <c r="J217" s="1334"/>
      <c r="K217" s="1334"/>
      <c r="L217" s="1334"/>
      <c r="M217" s="1334"/>
      <c r="N217" s="1334"/>
      <c r="O217" s="1334"/>
      <c r="P217" s="1334"/>
      <c r="Q217" s="1334"/>
      <c r="R217" s="1334"/>
      <c r="S217" s="1334"/>
      <c r="T217" s="1334"/>
      <c r="U217" s="1334"/>
      <c r="V217" s="1334"/>
      <c r="W217" s="1334"/>
      <c r="X217" s="1334"/>
      <c r="Y217" s="1334"/>
      <c r="Z217" s="1334"/>
    </row>
    <row r="218" spans="4:26" ht="15.75" customHeight="1" x14ac:dyDescent="0.3">
      <c r="D218" s="1334"/>
      <c r="E218" s="1341"/>
      <c r="F218" s="1338"/>
      <c r="G218" s="1338"/>
      <c r="H218" s="1338"/>
      <c r="I218" s="1334"/>
      <c r="J218" s="1334"/>
      <c r="K218" s="1334"/>
      <c r="L218" s="1334"/>
      <c r="M218" s="1334"/>
      <c r="N218" s="1334"/>
      <c r="O218" s="1334"/>
      <c r="P218" s="1334"/>
      <c r="Q218" s="1334"/>
      <c r="R218" s="1334"/>
      <c r="S218" s="1334"/>
      <c r="T218" s="1334"/>
      <c r="U218" s="1334"/>
      <c r="V218" s="1334"/>
      <c r="W218" s="1334"/>
      <c r="X218" s="1334"/>
      <c r="Y218" s="1334"/>
      <c r="Z218" s="1334"/>
    </row>
    <row r="219" spans="4:26" ht="15.75" customHeight="1" x14ac:dyDescent="0.3">
      <c r="D219" s="1334"/>
      <c r="E219" s="1341"/>
      <c r="F219" s="1338"/>
      <c r="G219" s="1338"/>
      <c r="H219" s="1338"/>
      <c r="I219" s="1334"/>
      <c r="J219" s="1334"/>
      <c r="K219" s="1334"/>
      <c r="L219" s="1334"/>
      <c r="M219" s="1334"/>
      <c r="N219" s="1334"/>
      <c r="O219" s="1334"/>
      <c r="P219" s="1334"/>
      <c r="Q219" s="1334"/>
      <c r="R219" s="1334"/>
      <c r="S219" s="1334"/>
      <c r="T219" s="1334"/>
      <c r="U219" s="1334"/>
      <c r="V219" s="1334"/>
      <c r="W219" s="1334"/>
      <c r="X219" s="1334"/>
      <c r="Y219" s="1334"/>
      <c r="Z219" s="1334"/>
    </row>
    <row r="220" spans="4:26" ht="15.75" customHeight="1" x14ac:dyDescent="0.3">
      <c r="D220" s="1334"/>
      <c r="E220" s="1341"/>
      <c r="F220" s="1338"/>
      <c r="G220" s="1338"/>
      <c r="H220" s="1338"/>
      <c r="I220" s="1334"/>
      <c r="J220" s="1334"/>
      <c r="K220" s="1334"/>
      <c r="L220" s="1334"/>
      <c r="M220" s="1334"/>
      <c r="N220" s="1334"/>
      <c r="O220" s="1334"/>
      <c r="P220" s="1334"/>
      <c r="Q220" s="1334"/>
      <c r="R220" s="1334"/>
      <c r="S220" s="1334"/>
      <c r="T220" s="1334"/>
      <c r="U220" s="1334"/>
      <c r="V220" s="1334"/>
      <c r="W220" s="1334"/>
      <c r="X220" s="1334"/>
      <c r="Y220" s="1334"/>
      <c r="Z220" s="1334"/>
    </row>
    <row r="221" spans="4:26" ht="15.75" customHeight="1" x14ac:dyDescent="0.3">
      <c r="D221" s="1334"/>
      <c r="E221" s="1341"/>
      <c r="F221" s="1338"/>
      <c r="G221" s="1338"/>
      <c r="H221" s="1338"/>
      <c r="I221" s="1334"/>
      <c r="J221" s="1334"/>
      <c r="K221" s="1334"/>
      <c r="L221" s="1334"/>
      <c r="M221" s="1334"/>
      <c r="N221" s="1334"/>
      <c r="O221" s="1334"/>
      <c r="P221" s="1334"/>
      <c r="Q221" s="1334"/>
      <c r="R221" s="1334"/>
      <c r="S221" s="1334"/>
      <c r="T221" s="1334"/>
      <c r="U221" s="1334"/>
      <c r="V221" s="1334"/>
      <c r="W221" s="1334"/>
      <c r="X221" s="1334"/>
      <c r="Y221" s="1334"/>
      <c r="Z221" s="1334"/>
    </row>
    <row r="222" spans="4:26" ht="15.75" customHeight="1" x14ac:dyDescent="0.3">
      <c r="D222" s="1334"/>
      <c r="E222" s="1341"/>
      <c r="F222" s="1338"/>
      <c r="G222" s="1338"/>
      <c r="H222" s="1338"/>
      <c r="I222" s="1334"/>
      <c r="J222" s="1334"/>
      <c r="K222" s="1334"/>
      <c r="L222" s="1334"/>
      <c r="M222" s="1334"/>
      <c r="N222" s="1334"/>
      <c r="O222" s="1334"/>
      <c r="P222" s="1334"/>
      <c r="Q222" s="1334"/>
      <c r="R222" s="1334"/>
      <c r="S222" s="1334"/>
      <c r="T222" s="1334"/>
      <c r="U222" s="1334"/>
      <c r="V222" s="1334"/>
      <c r="W222" s="1334"/>
      <c r="X222" s="1334"/>
      <c r="Y222" s="1334"/>
      <c r="Z222" s="1334"/>
    </row>
    <row r="223" spans="4:26" ht="15.75" customHeight="1" x14ac:dyDescent="0.3">
      <c r="D223" s="1334"/>
      <c r="E223" s="1341"/>
      <c r="F223" s="1338"/>
      <c r="G223" s="1338"/>
      <c r="H223" s="1338"/>
      <c r="I223" s="1334"/>
      <c r="J223" s="1334"/>
      <c r="K223" s="1334"/>
      <c r="L223" s="1334"/>
      <c r="M223" s="1334"/>
      <c r="N223" s="1334"/>
      <c r="O223" s="1334"/>
      <c r="P223" s="1334"/>
      <c r="Q223" s="1334"/>
      <c r="R223" s="1334"/>
      <c r="S223" s="1334"/>
      <c r="T223" s="1334"/>
      <c r="U223" s="1334"/>
      <c r="V223" s="1334"/>
      <c r="W223" s="1334"/>
      <c r="X223" s="1334"/>
      <c r="Y223" s="1334"/>
      <c r="Z223" s="1334"/>
    </row>
    <row r="224" spans="4:26" ht="15.75" customHeight="1" x14ac:dyDescent="0.3">
      <c r="D224" s="1334"/>
      <c r="E224" s="1341"/>
      <c r="F224" s="1338"/>
      <c r="G224" s="1338"/>
      <c r="H224" s="1338"/>
      <c r="I224" s="1334"/>
      <c r="J224" s="1334"/>
      <c r="K224" s="1334"/>
      <c r="L224" s="1334"/>
      <c r="M224" s="1334"/>
      <c r="N224" s="1334"/>
      <c r="O224" s="1334"/>
      <c r="P224" s="1334"/>
      <c r="Q224" s="1334"/>
      <c r="R224" s="1334"/>
      <c r="S224" s="1334"/>
      <c r="T224" s="1334"/>
      <c r="U224" s="1334"/>
      <c r="V224" s="1334"/>
      <c r="W224" s="1334"/>
      <c r="X224" s="1334"/>
      <c r="Y224" s="1334"/>
      <c r="Z224" s="1334"/>
    </row>
    <row r="225" spans="4:26" ht="15.75" customHeight="1" x14ac:dyDescent="0.3">
      <c r="D225" s="1334"/>
      <c r="E225" s="1341"/>
      <c r="F225" s="1338"/>
      <c r="G225" s="1338"/>
      <c r="H225" s="1338"/>
      <c r="I225" s="1334"/>
      <c r="J225" s="1334"/>
      <c r="K225" s="1334"/>
      <c r="L225" s="1334"/>
      <c r="M225" s="1334"/>
      <c r="N225" s="1334"/>
      <c r="O225" s="1334"/>
      <c r="P225" s="1334"/>
      <c r="Q225" s="1334"/>
      <c r="R225" s="1334"/>
      <c r="S225" s="1334"/>
      <c r="T225" s="1334"/>
      <c r="U225" s="1334"/>
      <c r="V225" s="1334"/>
      <c r="W225" s="1334"/>
      <c r="X225" s="1334"/>
      <c r="Y225" s="1334"/>
      <c r="Z225" s="1334"/>
    </row>
    <row r="226" spans="4:26" ht="15.75" customHeight="1" x14ac:dyDescent="0.3">
      <c r="D226" s="1334"/>
      <c r="E226" s="1341"/>
      <c r="F226" s="1338"/>
      <c r="G226" s="1338"/>
      <c r="H226" s="1338"/>
      <c r="I226" s="1334"/>
      <c r="J226" s="1334"/>
      <c r="K226" s="1334"/>
      <c r="L226" s="1334"/>
      <c r="M226" s="1334"/>
      <c r="N226" s="1334"/>
      <c r="O226" s="1334"/>
      <c r="P226" s="1334"/>
      <c r="Q226" s="1334"/>
      <c r="R226" s="1334"/>
      <c r="S226" s="1334"/>
      <c r="T226" s="1334"/>
      <c r="U226" s="1334"/>
      <c r="V226" s="1334"/>
      <c r="W226" s="1334"/>
      <c r="X226" s="1334"/>
      <c r="Y226" s="1334"/>
      <c r="Z226" s="1334"/>
    </row>
    <row r="227" spans="4:26" ht="15.75" customHeight="1" x14ac:dyDescent="0.3">
      <c r="D227" s="1334"/>
      <c r="E227" s="1341"/>
      <c r="F227" s="1338"/>
      <c r="G227" s="1338"/>
      <c r="H227" s="1338"/>
      <c r="I227" s="1334"/>
      <c r="J227" s="1334"/>
      <c r="K227" s="1334"/>
      <c r="L227" s="1334"/>
      <c r="M227" s="1334"/>
      <c r="N227" s="1334"/>
      <c r="O227" s="1334"/>
      <c r="P227" s="1334"/>
      <c r="Q227" s="1334"/>
      <c r="R227" s="1334"/>
      <c r="S227" s="1334"/>
      <c r="T227" s="1334"/>
      <c r="U227" s="1334"/>
      <c r="V227" s="1334"/>
      <c r="W227" s="1334"/>
      <c r="X227" s="1334"/>
      <c r="Y227" s="1334"/>
      <c r="Z227" s="1334"/>
    </row>
    <row r="228" spans="4:26" ht="15.75" customHeight="1" x14ac:dyDescent="0.3">
      <c r="D228" s="1334"/>
      <c r="E228" s="1341"/>
      <c r="F228" s="1338"/>
      <c r="G228" s="1338"/>
      <c r="H228" s="1338"/>
      <c r="I228" s="1334"/>
      <c r="J228" s="1334"/>
      <c r="K228" s="1334"/>
      <c r="L228" s="1334"/>
      <c r="M228" s="1334"/>
      <c r="N228" s="1334"/>
      <c r="O228" s="1334"/>
      <c r="P228" s="1334"/>
      <c r="Q228" s="1334"/>
      <c r="R228" s="1334"/>
      <c r="S228" s="1334"/>
      <c r="T228" s="1334"/>
      <c r="U228" s="1334"/>
      <c r="V228" s="1334"/>
      <c r="W228" s="1334"/>
      <c r="X228" s="1334"/>
      <c r="Y228" s="1334"/>
      <c r="Z228" s="1334"/>
    </row>
    <row r="229" spans="4:26" ht="15.75" customHeight="1" x14ac:dyDescent="0.3">
      <c r="D229" s="1334"/>
      <c r="E229" s="1341"/>
      <c r="F229" s="1338"/>
      <c r="G229" s="1338"/>
      <c r="H229" s="1338"/>
      <c r="I229" s="1334"/>
      <c r="J229" s="1334"/>
      <c r="K229" s="1334"/>
      <c r="L229" s="1334"/>
      <c r="M229" s="1334"/>
      <c r="N229" s="1334"/>
      <c r="O229" s="1334"/>
      <c r="P229" s="1334"/>
      <c r="Q229" s="1334"/>
      <c r="R229" s="1334"/>
      <c r="S229" s="1334"/>
      <c r="T229" s="1334"/>
      <c r="U229" s="1334"/>
      <c r="V229" s="1334"/>
      <c r="W229" s="1334"/>
      <c r="X229" s="1334"/>
      <c r="Y229" s="1334"/>
      <c r="Z229" s="1334"/>
    </row>
    <row r="230" spans="4:26" ht="15.75" customHeight="1" x14ac:dyDescent="0.3">
      <c r="D230" s="1334"/>
      <c r="E230" s="1341"/>
      <c r="F230" s="1338"/>
      <c r="G230" s="1338"/>
      <c r="H230" s="1338"/>
      <c r="I230" s="1334"/>
      <c r="J230" s="1334"/>
      <c r="K230" s="1334"/>
      <c r="L230" s="1334"/>
      <c r="M230" s="1334"/>
      <c r="N230" s="1334"/>
      <c r="O230" s="1334"/>
      <c r="P230" s="1334"/>
      <c r="Q230" s="1334"/>
      <c r="R230" s="1334"/>
      <c r="S230" s="1334"/>
      <c r="T230" s="1334"/>
      <c r="U230" s="1334"/>
      <c r="V230" s="1334"/>
      <c r="W230" s="1334"/>
      <c r="X230" s="1334"/>
      <c r="Y230" s="1334"/>
      <c r="Z230" s="1334"/>
    </row>
    <row r="231" spans="4:26" ht="15.75" customHeight="1" x14ac:dyDescent="0.3">
      <c r="D231" s="1334"/>
      <c r="E231" s="1341"/>
      <c r="F231" s="1338"/>
      <c r="G231" s="1338"/>
      <c r="H231" s="1338"/>
      <c r="I231" s="1334"/>
      <c r="J231" s="1334"/>
      <c r="K231" s="1334"/>
      <c r="L231" s="1334"/>
      <c r="M231" s="1334"/>
      <c r="N231" s="1334"/>
      <c r="O231" s="1334"/>
      <c r="P231" s="1334"/>
      <c r="Q231" s="1334"/>
      <c r="R231" s="1334"/>
      <c r="S231" s="1334"/>
      <c r="T231" s="1334"/>
      <c r="U231" s="1334"/>
      <c r="V231" s="1334"/>
      <c r="W231" s="1334"/>
      <c r="X231" s="1334"/>
      <c r="Y231" s="1334"/>
      <c r="Z231" s="1334"/>
    </row>
    <row r="232" spans="4:26" ht="15.75" customHeight="1" x14ac:dyDescent="0.3">
      <c r="D232" s="1334"/>
      <c r="E232" s="1341"/>
      <c r="F232" s="1338"/>
      <c r="G232" s="1338"/>
      <c r="H232" s="1338"/>
      <c r="I232" s="1334"/>
      <c r="J232" s="1334"/>
      <c r="K232" s="1334"/>
      <c r="L232" s="1334"/>
      <c r="M232" s="1334"/>
      <c r="N232" s="1334"/>
      <c r="O232" s="1334"/>
      <c r="P232" s="1334"/>
      <c r="Q232" s="1334"/>
      <c r="R232" s="1334"/>
      <c r="S232" s="1334"/>
      <c r="T232" s="1334"/>
      <c r="U232" s="1334"/>
      <c r="V232" s="1334"/>
      <c r="W232" s="1334"/>
      <c r="X232" s="1334"/>
      <c r="Y232" s="1334"/>
      <c r="Z232" s="1334"/>
    </row>
    <row r="233" spans="4:26" ht="15.75" customHeight="1" x14ac:dyDescent="0.3">
      <c r="D233" s="1334"/>
      <c r="E233" s="1341"/>
      <c r="F233" s="1338"/>
      <c r="G233" s="1338"/>
      <c r="H233" s="1338"/>
      <c r="I233" s="1334"/>
      <c r="J233" s="1334"/>
      <c r="K233" s="1334"/>
      <c r="L233" s="1334"/>
      <c r="M233" s="1334"/>
      <c r="N233" s="1334"/>
      <c r="O233" s="1334"/>
      <c r="P233" s="1334"/>
      <c r="Q233" s="1334"/>
      <c r="R233" s="1334"/>
      <c r="S233" s="1334"/>
      <c r="T233" s="1334"/>
      <c r="U233" s="1334"/>
      <c r="V233" s="1334"/>
      <c r="W233" s="1334"/>
      <c r="X233" s="1334"/>
      <c r="Y233" s="1334"/>
      <c r="Z233" s="1334"/>
    </row>
    <row r="234" spans="4:26" ht="15.75" customHeight="1" x14ac:dyDescent="0.3">
      <c r="D234" s="1334"/>
      <c r="E234" s="1341"/>
      <c r="F234" s="1338"/>
      <c r="G234" s="1338"/>
      <c r="H234" s="1338"/>
      <c r="I234" s="1334"/>
      <c r="J234" s="1334"/>
      <c r="K234" s="1334"/>
      <c r="L234" s="1334"/>
      <c r="M234" s="1334"/>
      <c r="N234" s="1334"/>
      <c r="O234" s="1334"/>
      <c r="P234" s="1334"/>
      <c r="Q234" s="1334"/>
      <c r="R234" s="1334"/>
      <c r="S234" s="1334"/>
      <c r="T234" s="1334"/>
      <c r="U234" s="1334"/>
      <c r="V234" s="1334"/>
      <c r="W234" s="1334"/>
      <c r="X234" s="1334"/>
      <c r="Y234" s="1334"/>
      <c r="Z234" s="1334"/>
    </row>
    <row r="235" spans="4:26" ht="15.75" customHeight="1" x14ac:dyDescent="0.3">
      <c r="D235" s="1334"/>
      <c r="E235" s="1341"/>
      <c r="F235" s="1338"/>
      <c r="G235" s="1338"/>
      <c r="H235" s="1338"/>
      <c r="I235" s="1334"/>
      <c r="J235" s="1334"/>
      <c r="K235" s="1334"/>
      <c r="L235" s="1334"/>
      <c r="M235" s="1334"/>
      <c r="N235" s="1334"/>
      <c r="O235" s="1334"/>
      <c r="P235" s="1334"/>
      <c r="Q235" s="1334"/>
      <c r="R235" s="1334"/>
      <c r="S235" s="1334"/>
      <c r="T235" s="1334"/>
      <c r="U235" s="1334"/>
      <c r="V235" s="1334"/>
      <c r="W235" s="1334"/>
      <c r="X235" s="1334"/>
      <c r="Y235" s="1334"/>
      <c r="Z235" s="1334"/>
    </row>
    <row r="236" spans="4:26" ht="15.75" customHeight="1" x14ac:dyDescent="0.3">
      <c r="D236" s="1334"/>
      <c r="E236" s="1341"/>
      <c r="F236" s="1338"/>
      <c r="G236" s="1338"/>
      <c r="H236" s="1338"/>
      <c r="I236" s="1334"/>
      <c r="J236" s="1334"/>
      <c r="K236" s="1334"/>
      <c r="L236" s="1334"/>
      <c r="M236" s="1334"/>
      <c r="N236" s="1334"/>
      <c r="O236" s="1334"/>
      <c r="P236" s="1334"/>
      <c r="Q236" s="1334"/>
      <c r="R236" s="1334"/>
      <c r="S236" s="1334"/>
      <c r="T236" s="1334"/>
      <c r="U236" s="1334"/>
      <c r="V236" s="1334"/>
      <c r="W236" s="1334"/>
      <c r="X236" s="1334"/>
      <c r="Y236" s="1334"/>
      <c r="Z236" s="1334"/>
    </row>
    <row r="237" spans="4:26" ht="15.75" customHeight="1" x14ac:dyDescent="0.3">
      <c r="D237" s="1334"/>
      <c r="E237" s="1341"/>
      <c r="F237" s="1338"/>
      <c r="G237" s="1338"/>
      <c r="H237" s="1338"/>
      <c r="I237" s="1334"/>
      <c r="J237" s="1334"/>
      <c r="K237" s="1334"/>
      <c r="L237" s="1334"/>
      <c r="M237" s="1334"/>
      <c r="N237" s="1334"/>
      <c r="O237" s="1334"/>
      <c r="P237" s="1334"/>
      <c r="Q237" s="1334"/>
      <c r="R237" s="1334"/>
      <c r="S237" s="1334"/>
      <c r="T237" s="1334"/>
      <c r="U237" s="1334"/>
      <c r="V237" s="1334"/>
      <c r="W237" s="1334"/>
      <c r="X237" s="1334"/>
      <c r="Y237" s="1334"/>
      <c r="Z237" s="1334"/>
    </row>
    <row r="238" spans="4:26" ht="15.75" customHeight="1" x14ac:dyDescent="0.3">
      <c r="D238" s="1334"/>
      <c r="E238" s="1341"/>
      <c r="F238" s="1338"/>
      <c r="G238" s="1338"/>
      <c r="H238" s="1338"/>
      <c r="I238" s="1334"/>
      <c r="J238" s="1334"/>
      <c r="K238" s="1334"/>
      <c r="L238" s="1334"/>
      <c r="M238" s="1334"/>
      <c r="N238" s="1334"/>
      <c r="O238" s="1334"/>
      <c r="P238" s="1334"/>
      <c r="Q238" s="1334"/>
      <c r="R238" s="1334"/>
      <c r="S238" s="1334"/>
      <c r="T238" s="1334"/>
      <c r="U238" s="1334"/>
      <c r="V238" s="1334"/>
      <c r="W238" s="1334"/>
      <c r="X238" s="1334"/>
      <c r="Y238" s="1334"/>
      <c r="Z238" s="1334"/>
    </row>
    <row r="239" spans="4:26" ht="15.75" customHeight="1" x14ac:dyDescent="0.3">
      <c r="D239" s="1334"/>
      <c r="E239" s="1341"/>
      <c r="F239" s="1338"/>
      <c r="G239" s="1338"/>
      <c r="H239" s="1338"/>
      <c r="I239" s="1334"/>
      <c r="J239" s="1334"/>
      <c r="K239" s="1334"/>
      <c r="L239" s="1334"/>
      <c r="M239" s="1334"/>
      <c r="N239" s="1334"/>
      <c r="O239" s="1334"/>
      <c r="P239" s="1334"/>
      <c r="Q239" s="1334"/>
      <c r="R239" s="1334"/>
      <c r="S239" s="1334"/>
      <c r="T239" s="1334"/>
      <c r="U239" s="1334"/>
      <c r="V239" s="1334"/>
      <c r="W239" s="1334"/>
      <c r="X239" s="1334"/>
      <c r="Y239" s="1334"/>
      <c r="Z239" s="1334"/>
    </row>
    <row r="240" spans="4:26" ht="15.75" customHeight="1" x14ac:dyDescent="0.3">
      <c r="D240" s="1334"/>
      <c r="E240" s="1341"/>
      <c r="F240" s="1338"/>
      <c r="G240" s="1338"/>
      <c r="H240" s="1338"/>
      <c r="I240" s="1334"/>
      <c r="J240" s="1334"/>
      <c r="K240" s="1334"/>
      <c r="L240" s="1334"/>
      <c r="M240" s="1334"/>
      <c r="N240" s="1334"/>
      <c r="O240" s="1334"/>
      <c r="P240" s="1334"/>
      <c r="Q240" s="1334"/>
      <c r="R240" s="1334"/>
      <c r="S240" s="1334"/>
      <c r="T240" s="1334"/>
      <c r="U240" s="1334"/>
      <c r="V240" s="1334"/>
      <c r="W240" s="1334"/>
      <c r="X240" s="1334"/>
      <c r="Y240" s="1334"/>
      <c r="Z240" s="1334"/>
    </row>
    <row r="241" spans="4:26" ht="15.75" customHeight="1" x14ac:dyDescent="0.3">
      <c r="D241" s="1334"/>
      <c r="E241" s="1341"/>
      <c r="F241" s="1338"/>
      <c r="G241" s="1338"/>
      <c r="H241" s="1338"/>
      <c r="I241" s="1334"/>
      <c r="J241" s="1334"/>
      <c r="K241" s="1334"/>
      <c r="L241" s="1334"/>
      <c r="M241" s="1334"/>
      <c r="N241" s="1334"/>
      <c r="O241" s="1334"/>
      <c r="P241" s="1334"/>
      <c r="Q241" s="1334"/>
      <c r="R241" s="1334"/>
      <c r="S241" s="1334"/>
      <c r="T241" s="1334"/>
      <c r="U241" s="1334"/>
      <c r="V241" s="1334"/>
      <c r="W241" s="1334"/>
      <c r="X241" s="1334"/>
      <c r="Y241" s="1334"/>
      <c r="Z241" s="1334"/>
    </row>
    <row r="242" spans="4:26" ht="15.75" customHeight="1" x14ac:dyDescent="0.3">
      <c r="D242" s="1334"/>
      <c r="E242" s="1341"/>
      <c r="F242" s="1338"/>
      <c r="G242" s="1338"/>
      <c r="H242" s="1338"/>
      <c r="I242" s="1334"/>
      <c r="J242" s="1334"/>
      <c r="K242" s="1334"/>
      <c r="L242" s="1334"/>
      <c r="M242" s="1334"/>
      <c r="N242" s="1334"/>
      <c r="O242" s="1334"/>
      <c r="P242" s="1334"/>
      <c r="Q242" s="1334"/>
      <c r="R242" s="1334"/>
      <c r="S242" s="1334"/>
      <c r="T242" s="1334"/>
      <c r="U242" s="1334"/>
      <c r="V242" s="1334"/>
      <c r="W242" s="1334"/>
      <c r="X242" s="1334"/>
      <c r="Y242" s="1334"/>
      <c r="Z242" s="1334"/>
    </row>
    <row r="243" spans="4:26" ht="15.75" customHeight="1" x14ac:dyDescent="0.3">
      <c r="D243" s="1334"/>
      <c r="E243" s="1341"/>
      <c r="F243" s="1338"/>
      <c r="G243" s="1338"/>
      <c r="H243" s="1338"/>
      <c r="I243" s="1334"/>
      <c r="J243" s="1334"/>
      <c r="K243" s="1334"/>
      <c r="L243" s="1334"/>
      <c r="M243" s="1334"/>
      <c r="N243" s="1334"/>
      <c r="O243" s="1334"/>
      <c r="P243" s="1334"/>
      <c r="Q243" s="1334"/>
      <c r="R243" s="1334"/>
      <c r="S243" s="1334"/>
      <c r="T243" s="1334"/>
      <c r="U243" s="1334"/>
      <c r="V243" s="1334"/>
      <c r="W243" s="1334"/>
      <c r="X243" s="1334"/>
      <c r="Y243" s="1334"/>
      <c r="Z243" s="1334"/>
    </row>
    <row r="244" spans="4:26" ht="15.75" customHeight="1" x14ac:dyDescent="0.3">
      <c r="D244" s="1334"/>
      <c r="E244" s="1341"/>
      <c r="F244" s="1338"/>
      <c r="G244" s="1338"/>
      <c r="H244" s="1338"/>
      <c r="I244" s="1334"/>
      <c r="J244" s="1334"/>
      <c r="K244" s="1334"/>
      <c r="L244" s="1334"/>
      <c r="M244" s="1334"/>
      <c r="N244" s="1334"/>
      <c r="O244" s="1334"/>
      <c r="P244" s="1334"/>
      <c r="Q244" s="1334"/>
      <c r="R244" s="1334"/>
      <c r="S244" s="1334"/>
      <c r="T244" s="1334"/>
      <c r="U244" s="1334"/>
      <c r="V244" s="1334"/>
      <c r="W244" s="1334"/>
      <c r="X244" s="1334"/>
      <c r="Y244" s="1334"/>
      <c r="Z244" s="1334"/>
    </row>
    <row r="245" spans="4:26" ht="15.75" customHeight="1" x14ac:dyDescent="0.3">
      <c r="D245" s="1334"/>
      <c r="E245" s="1341"/>
      <c r="F245" s="1338"/>
      <c r="G245" s="1338"/>
      <c r="H245" s="1338"/>
      <c r="I245" s="1334"/>
      <c r="J245" s="1334"/>
      <c r="K245" s="1334"/>
      <c r="L245" s="1334"/>
      <c r="M245" s="1334"/>
      <c r="N245" s="1334"/>
      <c r="O245" s="1334"/>
      <c r="P245" s="1334"/>
      <c r="Q245" s="1334"/>
      <c r="R245" s="1334"/>
      <c r="S245" s="1334"/>
      <c r="T245" s="1334"/>
      <c r="U245" s="1334"/>
      <c r="V245" s="1334"/>
      <c r="W245" s="1334"/>
      <c r="X245" s="1334"/>
      <c r="Y245" s="1334"/>
      <c r="Z245" s="1334"/>
    </row>
    <row r="246" spans="4:26" ht="15.75" customHeight="1" x14ac:dyDescent="0.3">
      <c r="D246" s="1334"/>
      <c r="E246" s="1341"/>
      <c r="F246" s="1338"/>
      <c r="G246" s="1338"/>
      <c r="H246" s="1338"/>
      <c r="I246" s="1334"/>
      <c r="J246" s="1334"/>
      <c r="K246" s="1334"/>
      <c r="L246" s="1334"/>
      <c r="M246" s="1334"/>
      <c r="N246" s="1334"/>
      <c r="O246" s="1334"/>
      <c r="P246" s="1334"/>
      <c r="Q246" s="1334"/>
      <c r="R246" s="1334"/>
      <c r="S246" s="1334"/>
      <c r="T246" s="1334"/>
      <c r="U246" s="1334"/>
      <c r="V246" s="1334"/>
      <c r="W246" s="1334"/>
      <c r="X246" s="1334"/>
      <c r="Y246" s="1334"/>
      <c r="Z246" s="1334"/>
    </row>
    <row r="247" spans="4:26" ht="15.75" customHeight="1" x14ac:dyDescent="0.3">
      <c r="D247" s="1334"/>
      <c r="E247" s="1341"/>
      <c r="F247" s="1338"/>
      <c r="G247" s="1338"/>
      <c r="H247" s="1338"/>
      <c r="I247" s="1334"/>
      <c r="J247" s="1334"/>
      <c r="K247" s="1334"/>
      <c r="L247" s="1334"/>
      <c r="M247" s="1334"/>
      <c r="N247" s="1334"/>
      <c r="O247" s="1334"/>
      <c r="P247" s="1334"/>
      <c r="Q247" s="1334"/>
      <c r="R247" s="1334"/>
      <c r="S247" s="1334"/>
      <c r="T247" s="1334"/>
      <c r="U247" s="1334"/>
      <c r="V247" s="1334"/>
      <c r="W247" s="1334"/>
      <c r="X247" s="1334"/>
      <c r="Y247" s="1334"/>
      <c r="Z247" s="1334"/>
    </row>
    <row r="248" spans="4:26" ht="15.75" customHeight="1" x14ac:dyDescent="0.3">
      <c r="D248" s="1334"/>
      <c r="E248" s="1341"/>
      <c r="F248" s="1338"/>
      <c r="G248" s="1338"/>
      <c r="H248" s="1338"/>
      <c r="I248" s="1334"/>
      <c r="J248" s="1334"/>
      <c r="K248" s="1334"/>
      <c r="L248" s="1334"/>
      <c r="M248" s="1334"/>
      <c r="N248" s="1334"/>
      <c r="O248" s="1334"/>
      <c r="P248" s="1334"/>
      <c r="Q248" s="1334"/>
      <c r="R248" s="1334"/>
      <c r="S248" s="1334"/>
      <c r="T248" s="1334"/>
      <c r="U248" s="1334"/>
      <c r="V248" s="1334"/>
      <c r="W248" s="1334"/>
      <c r="X248" s="1334"/>
      <c r="Y248" s="1334"/>
      <c r="Z248" s="1334"/>
    </row>
    <row r="249" spans="4:26" ht="15.75" customHeight="1" x14ac:dyDescent="0.3">
      <c r="D249" s="1334"/>
      <c r="E249" s="1341"/>
      <c r="F249" s="1338"/>
      <c r="G249" s="1338"/>
      <c r="H249" s="1338"/>
      <c r="I249" s="1334"/>
      <c r="J249" s="1334"/>
      <c r="K249" s="1334"/>
      <c r="L249" s="1334"/>
      <c r="M249" s="1334"/>
      <c r="N249" s="1334"/>
      <c r="O249" s="1334"/>
      <c r="P249" s="1334"/>
      <c r="Q249" s="1334"/>
      <c r="R249" s="1334"/>
      <c r="S249" s="1334"/>
      <c r="T249" s="1334"/>
      <c r="U249" s="1334"/>
      <c r="V249" s="1334"/>
      <c r="W249" s="1334"/>
      <c r="X249" s="1334"/>
      <c r="Y249" s="1334"/>
      <c r="Z249" s="1334"/>
    </row>
    <row r="250" spans="4:26" ht="15.75" customHeight="1" x14ac:dyDescent="0.3">
      <c r="D250" s="1334"/>
      <c r="E250" s="1341"/>
      <c r="F250" s="1338"/>
      <c r="G250" s="1338"/>
      <c r="H250" s="1338"/>
      <c r="I250" s="1334"/>
      <c r="J250" s="1334"/>
      <c r="K250" s="1334"/>
      <c r="L250" s="1334"/>
      <c r="M250" s="1334"/>
      <c r="N250" s="1334"/>
      <c r="O250" s="1334"/>
      <c r="P250" s="1334"/>
      <c r="Q250" s="1334"/>
      <c r="R250" s="1334"/>
      <c r="S250" s="1334"/>
      <c r="T250" s="1334"/>
      <c r="U250" s="1334"/>
      <c r="V250" s="1334"/>
      <c r="W250" s="1334"/>
      <c r="X250" s="1334"/>
      <c r="Y250" s="1334"/>
      <c r="Z250" s="1334"/>
    </row>
    <row r="251" spans="4:26" ht="15.75" customHeight="1" x14ac:dyDescent="0.3">
      <c r="D251" s="1334"/>
      <c r="E251" s="1341"/>
      <c r="F251" s="1338"/>
      <c r="G251" s="1338"/>
      <c r="H251" s="1338"/>
      <c r="I251" s="1334"/>
      <c r="J251" s="1334"/>
      <c r="K251" s="1334"/>
      <c r="L251" s="1334"/>
      <c r="M251" s="1334"/>
      <c r="N251" s="1334"/>
      <c r="O251" s="1334"/>
      <c r="P251" s="1334"/>
      <c r="Q251" s="1334"/>
      <c r="R251" s="1334"/>
      <c r="S251" s="1334"/>
      <c r="T251" s="1334"/>
      <c r="U251" s="1334"/>
      <c r="V251" s="1334"/>
      <c r="W251" s="1334"/>
      <c r="X251" s="1334"/>
      <c r="Y251" s="1334"/>
      <c r="Z251" s="1334"/>
    </row>
    <row r="252" spans="4:26" ht="15.75" customHeight="1" x14ac:dyDescent="0.3">
      <c r="D252" s="1334"/>
      <c r="E252" s="1341"/>
      <c r="F252" s="1338"/>
      <c r="G252" s="1338"/>
      <c r="H252" s="1338"/>
      <c r="I252" s="1334"/>
      <c r="J252" s="1334"/>
      <c r="K252" s="1334"/>
      <c r="L252" s="1334"/>
      <c r="M252" s="1334"/>
      <c r="N252" s="1334"/>
      <c r="O252" s="1334"/>
      <c r="P252" s="1334"/>
      <c r="Q252" s="1334"/>
      <c r="R252" s="1334"/>
      <c r="S252" s="1334"/>
      <c r="T252" s="1334"/>
      <c r="U252" s="1334"/>
      <c r="V252" s="1334"/>
      <c r="W252" s="1334"/>
      <c r="X252" s="1334"/>
      <c r="Y252" s="1334"/>
      <c r="Z252" s="1334"/>
    </row>
    <row r="253" spans="4:26" ht="15.75" customHeight="1" x14ac:dyDescent="0.3">
      <c r="D253" s="1334"/>
      <c r="E253" s="1341"/>
      <c r="F253" s="1338"/>
      <c r="G253" s="1338"/>
      <c r="H253" s="1338"/>
      <c r="I253" s="1334"/>
      <c r="J253" s="1334"/>
      <c r="K253" s="1334"/>
      <c r="L253" s="1334"/>
      <c r="M253" s="1334"/>
      <c r="N253" s="1334"/>
      <c r="O253" s="1334"/>
      <c r="P253" s="1334"/>
      <c r="Q253" s="1334"/>
      <c r="R253" s="1334"/>
      <c r="S253" s="1334"/>
      <c r="T253" s="1334"/>
      <c r="U253" s="1334"/>
      <c r="V253" s="1334"/>
      <c r="W253" s="1334"/>
      <c r="X253" s="1334"/>
      <c r="Y253" s="1334"/>
      <c r="Z253" s="1334"/>
    </row>
    <row r="254" spans="4:26" ht="15.75" customHeight="1" x14ac:dyDescent="0.3">
      <c r="D254" s="1334"/>
      <c r="E254" s="1341"/>
      <c r="F254" s="1338"/>
      <c r="G254" s="1338"/>
      <c r="H254" s="1338"/>
      <c r="I254" s="1334"/>
      <c r="J254" s="1334"/>
      <c r="K254" s="1334"/>
      <c r="L254" s="1334"/>
      <c r="M254" s="1334"/>
      <c r="N254" s="1334"/>
      <c r="O254" s="1334"/>
      <c r="P254" s="1334"/>
      <c r="Q254" s="1334"/>
      <c r="R254" s="1334"/>
      <c r="S254" s="1334"/>
      <c r="T254" s="1334"/>
      <c r="U254" s="1334"/>
      <c r="V254" s="1334"/>
      <c r="W254" s="1334"/>
      <c r="X254" s="1334"/>
      <c r="Y254" s="1334"/>
      <c r="Z254" s="1334"/>
    </row>
    <row r="255" spans="4:26" ht="15.75" customHeight="1" x14ac:dyDescent="0.3">
      <c r="D255" s="1334"/>
      <c r="E255" s="1341"/>
      <c r="F255" s="1338"/>
      <c r="G255" s="1338"/>
      <c r="H255" s="1338"/>
      <c r="I255" s="1334"/>
      <c r="J255" s="1334"/>
      <c r="K255" s="1334"/>
      <c r="L255" s="1334"/>
      <c r="M255" s="1334"/>
      <c r="N255" s="1334"/>
      <c r="O255" s="1334"/>
      <c r="P255" s="1334"/>
      <c r="Q255" s="1334"/>
      <c r="R255" s="1334"/>
      <c r="S255" s="1334"/>
      <c r="T255" s="1334"/>
      <c r="U255" s="1334"/>
      <c r="V255" s="1334"/>
      <c r="W255" s="1334"/>
      <c r="X255" s="1334"/>
      <c r="Y255" s="1334"/>
      <c r="Z255" s="1334"/>
    </row>
    <row r="256" spans="4:26" ht="15.75" customHeight="1" x14ac:dyDescent="0.3">
      <c r="D256" s="1334"/>
      <c r="E256" s="1341"/>
      <c r="F256" s="1338"/>
      <c r="G256" s="1338"/>
      <c r="H256" s="1338"/>
      <c r="I256" s="1334"/>
      <c r="J256" s="1334"/>
      <c r="K256" s="1334"/>
      <c r="L256" s="1334"/>
      <c r="M256" s="1334"/>
      <c r="N256" s="1334"/>
      <c r="O256" s="1334"/>
      <c r="P256" s="1334"/>
      <c r="Q256" s="1334"/>
      <c r="R256" s="1334"/>
      <c r="S256" s="1334"/>
      <c r="T256" s="1334"/>
      <c r="U256" s="1334"/>
      <c r="V256" s="1334"/>
      <c r="W256" s="1334"/>
      <c r="X256" s="1334"/>
      <c r="Y256" s="1334"/>
      <c r="Z256" s="1334"/>
    </row>
    <row r="257" spans="4:26" ht="15.75" customHeight="1" x14ac:dyDescent="0.3">
      <c r="D257" s="1334"/>
      <c r="E257" s="1341"/>
      <c r="F257" s="1338"/>
      <c r="G257" s="1338"/>
      <c r="H257" s="1338"/>
      <c r="I257" s="1334"/>
      <c r="J257" s="1334"/>
      <c r="K257" s="1334"/>
      <c r="L257" s="1334"/>
      <c r="M257" s="1334"/>
      <c r="N257" s="1334"/>
      <c r="O257" s="1334"/>
      <c r="P257" s="1334"/>
      <c r="Q257" s="1334"/>
      <c r="R257" s="1334"/>
      <c r="S257" s="1334"/>
      <c r="T257" s="1334"/>
      <c r="U257" s="1334"/>
      <c r="V257" s="1334"/>
      <c r="W257" s="1334"/>
      <c r="X257" s="1334"/>
      <c r="Y257" s="1334"/>
      <c r="Z257" s="1334"/>
    </row>
    <row r="258" spans="4:26" ht="15.75" customHeight="1" x14ac:dyDescent="0.3">
      <c r="D258" s="1334"/>
      <c r="E258" s="1341"/>
      <c r="F258" s="1338"/>
      <c r="G258" s="1338"/>
      <c r="H258" s="1338"/>
      <c r="I258" s="1334"/>
      <c r="J258" s="1334"/>
      <c r="K258" s="1334"/>
      <c r="L258" s="1334"/>
      <c r="M258" s="1334"/>
      <c r="N258" s="1334"/>
      <c r="O258" s="1334"/>
      <c r="P258" s="1334"/>
      <c r="Q258" s="1334"/>
      <c r="R258" s="1334"/>
      <c r="S258" s="1334"/>
      <c r="T258" s="1334"/>
      <c r="U258" s="1334"/>
      <c r="V258" s="1334"/>
      <c r="W258" s="1334"/>
      <c r="X258" s="1334"/>
      <c r="Y258" s="1334"/>
      <c r="Z258" s="1334"/>
    </row>
    <row r="259" spans="4:26" ht="15.75" customHeight="1" x14ac:dyDescent="0.3">
      <c r="D259" s="1334"/>
      <c r="E259" s="1341"/>
      <c r="F259" s="1338"/>
      <c r="G259" s="1338"/>
      <c r="H259" s="1338"/>
      <c r="I259" s="1334"/>
      <c r="J259" s="1334"/>
      <c r="K259" s="1334"/>
      <c r="L259" s="1334"/>
      <c r="M259" s="1334"/>
      <c r="N259" s="1334"/>
      <c r="O259" s="1334"/>
      <c r="P259" s="1334"/>
      <c r="Q259" s="1334"/>
      <c r="R259" s="1334"/>
      <c r="S259" s="1334"/>
      <c r="T259" s="1334"/>
      <c r="U259" s="1334"/>
      <c r="V259" s="1334"/>
      <c r="W259" s="1334"/>
      <c r="X259" s="1334"/>
      <c r="Y259" s="1334"/>
      <c r="Z259" s="1334"/>
    </row>
    <row r="260" spans="4:26" ht="15.75" customHeight="1" x14ac:dyDescent="0.3">
      <c r="D260" s="1334"/>
      <c r="E260" s="1341"/>
      <c r="F260" s="1338"/>
      <c r="G260" s="1338"/>
      <c r="H260" s="1338"/>
      <c r="I260" s="1334"/>
      <c r="J260" s="1334"/>
      <c r="K260" s="1334"/>
      <c r="L260" s="1334"/>
      <c r="M260" s="1334"/>
      <c r="N260" s="1334"/>
      <c r="O260" s="1334"/>
      <c r="P260" s="1334"/>
      <c r="Q260" s="1334"/>
      <c r="R260" s="1334"/>
      <c r="S260" s="1334"/>
      <c r="T260" s="1334"/>
      <c r="U260" s="1334"/>
      <c r="V260" s="1334"/>
      <c r="W260" s="1334"/>
      <c r="X260" s="1334"/>
      <c r="Y260" s="1334"/>
      <c r="Z260" s="1334"/>
    </row>
    <row r="261" spans="4:26" ht="15.75" customHeight="1" x14ac:dyDescent="0.3">
      <c r="D261" s="1334"/>
      <c r="E261" s="1341"/>
      <c r="F261" s="1338"/>
      <c r="G261" s="1338"/>
      <c r="H261" s="1338"/>
      <c r="I261" s="1334"/>
      <c r="J261" s="1334"/>
      <c r="K261" s="1334"/>
      <c r="L261" s="1334"/>
      <c r="M261" s="1334"/>
      <c r="N261" s="1334"/>
      <c r="O261" s="1334"/>
      <c r="P261" s="1334"/>
      <c r="Q261" s="1334"/>
      <c r="R261" s="1334"/>
      <c r="S261" s="1334"/>
      <c r="T261" s="1334"/>
      <c r="U261" s="1334"/>
      <c r="V261" s="1334"/>
      <c r="W261" s="1334"/>
      <c r="X261" s="1334"/>
      <c r="Y261" s="1334"/>
      <c r="Z261" s="1334"/>
    </row>
    <row r="262" spans="4:26" ht="15.75" customHeight="1" x14ac:dyDescent="0.3">
      <c r="D262" s="1334"/>
      <c r="E262" s="1341"/>
      <c r="F262" s="1338"/>
      <c r="G262" s="1338"/>
      <c r="H262" s="1338"/>
      <c r="I262" s="1334"/>
      <c r="J262" s="1334"/>
      <c r="K262" s="1334"/>
      <c r="L262" s="1334"/>
      <c r="M262" s="1334"/>
      <c r="N262" s="1334"/>
      <c r="O262" s="1334"/>
      <c r="P262" s="1334"/>
      <c r="Q262" s="1334"/>
      <c r="R262" s="1334"/>
      <c r="S262" s="1334"/>
      <c r="T262" s="1334"/>
      <c r="U262" s="1334"/>
      <c r="V262" s="1334"/>
      <c r="W262" s="1334"/>
      <c r="X262" s="1334"/>
      <c r="Y262" s="1334"/>
      <c r="Z262" s="1334"/>
    </row>
    <row r="263" spans="4:26" ht="15.75" customHeight="1" x14ac:dyDescent="0.3">
      <c r="D263" s="1334"/>
      <c r="E263" s="1341"/>
      <c r="F263" s="1338"/>
      <c r="G263" s="1338"/>
      <c r="H263" s="1338"/>
      <c r="I263" s="1334"/>
      <c r="J263" s="1334"/>
      <c r="K263" s="1334"/>
      <c r="L263" s="1334"/>
      <c r="M263" s="1334"/>
      <c r="N263" s="1334"/>
      <c r="O263" s="1334"/>
      <c r="P263" s="1334"/>
      <c r="Q263" s="1334"/>
      <c r="R263" s="1334"/>
      <c r="S263" s="1334"/>
      <c r="T263" s="1334"/>
      <c r="U263" s="1334"/>
      <c r="V263" s="1334"/>
      <c r="W263" s="1334"/>
      <c r="X263" s="1334"/>
      <c r="Y263" s="1334"/>
      <c r="Z263" s="1334"/>
    </row>
    <row r="264" spans="4:26" ht="15.75" customHeight="1" x14ac:dyDescent="0.3">
      <c r="D264" s="1334"/>
      <c r="E264" s="1341"/>
      <c r="F264" s="1338"/>
      <c r="G264" s="1338"/>
      <c r="H264" s="1338"/>
      <c r="I264" s="1334"/>
      <c r="J264" s="1334"/>
      <c r="K264" s="1334"/>
      <c r="L264" s="1334"/>
      <c r="M264" s="1334"/>
      <c r="N264" s="1334"/>
      <c r="O264" s="1334"/>
      <c r="P264" s="1334"/>
      <c r="Q264" s="1334"/>
      <c r="R264" s="1334"/>
      <c r="S264" s="1334"/>
      <c r="T264" s="1334"/>
      <c r="U264" s="1334"/>
      <c r="V264" s="1334"/>
      <c r="W264" s="1334"/>
      <c r="X264" s="1334"/>
      <c r="Y264" s="1334"/>
      <c r="Z264" s="1334"/>
    </row>
    <row r="265" spans="4:26" ht="15.75" customHeight="1" x14ac:dyDescent="0.3">
      <c r="D265" s="1334"/>
      <c r="E265" s="1341"/>
      <c r="F265" s="1338"/>
      <c r="G265" s="1338"/>
      <c r="H265" s="1338"/>
      <c r="I265" s="1334"/>
      <c r="J265" s="1334"/>
      <c r="K265" s="1334"/>
      <c r="L265" s="1334"/>
      <c r="M265" s="1334"/>
      <c r="N265" s="1334"/>
      <c r="O265" s="1334"/>
      <c r="P265" s="1334"/>
      <c r="Q265" s="1334"/>
      <c r="R265" s="1334"/>
      <c r="S265" s="1334"/>
      <c r="T265" s="1334"/>
      <c r="U265" s="1334"/>
      <c r="V265" s="1334"/>
      <c r="W265" s="1334"/>
      <c r="X265" s="1334"/>
      <c r="Y265" s="1334"/>
      <c r="Z265" s="1334"/>
    </row>
    <row r="266" spans="4:26" ht="15.75" customHeight="1" x14ac:dyDescent="0.3">
      <c r="D266" s="1334"/>
      <c r="E266" s="1341"/>
      <c r="F266" s="1338"/>
      <c r="G266" s="1338"/>
      <c r="H266" s="1338"/>
      <c r="I266" s="1334"/>
      <c r="J266" s="1334"/>
      <c r="K266" s="1334"/>
      <c r="L266" s="1334"/>
      <c r="M266" s="1334"/>
      <c r="N266" s="1334"/>
      <c r="O266" s="1334"/>
      <c r="P266" s="1334"/>
      <c r="Q266" s="1334"/>
      <c r="R266" s="1334"/>
      <c r="S266" s="1334"/>
      <c r="T266" s="1334"/>
      <c r="U266" s="1334"/>
      <c r="V266" s="1334"/>
      <c r="W266" s="1334"/>
      <c r="X266" s="1334"/>
      <c r="Y266" s="1334"/>
      <c r="Z266" s="1334"/>
    </row>
    <row r="267" spans="4:26" ht="15.75" customHeight="1" x14ac:dyDescent="0.3">
      <c r="D267" s="1334"/>
      <c r="E267" s="1341"/>
      <c r="F267" s="1338"/>
      <c r="G267" s="1338"/>
      <c r="H267" s="1338"/>
      <c r="I267" s="1334"/>
      <c r="J267" s="1334"/>
      <c r="K267" s="1334"/>
      <c r="L267" s="1334"/>
      <c r="M267" s="1334"/>
      <c r="N267" s="1334"/>
      <c r="O267" s="1334"/>
      <c r="P267" s="1334"/>
      <c r="Q267" s="1334"/>
      <c r="R267" s="1334"/>
      <c r="S267" s="1334"/>
      <c r="T267" s="1334"/>
      <c r="U267" s="1334"/>
      <c r="V267" s="1334"/>
      <c r="W267" s="1334"/>
      <c r="X267" s="1334"/>
      <c r="Y267" s="1334"/>
      <c r="Z267" s="1334"/>
    </row>
    <row r="268" spans="4:26" ht="15.75" customHeight="1" x14ac:dyDescent="0.3">
      <c r="D268" s="1334"/>
      <c r="E268" s="1341"/>
      <c r="F268" s="1338"/>
      <c r="G268" s="1338"/>
      <c r="H268" s="1338"/>
      <c r="I268" s="1334"/>
      <c r="J268" s="1334"/>
      <c r="K268" s="1334"/>
      <c r="L268" s="1334"/>
      <c r="M268" s="1334"/>
      <c r="N268" s="1334"/>
      <c r="O268" s="1334"/>
      <c r="P268" s="1334"/>
      <c r="Q268" s="1334"/>
      <c r="R268" s="1334"/>
      <c r="S268" s="1334"/>
      <c r="T268" s="1334"/>
      <c r="U268" s="1334"/>
      <c r="V268" s="1334"/>
      <c r="W268" s="1334"/>
      <c r="X268" s="1334"/>
      <c r="Y268" s="1334"/>
      <c r="Z268" s="1334"/>
    </row>
    <row r="269" spans="4:26" ht="15.75" customHeight="1" x14ac:dyDescent="0.3">
      <c r="D269" s="1334"/>
      <c r="E269" s="1341"/>
      <c r="F269" s="1338"/>
      <c r="G269" s="1338"/>
      <c r="H269" s="1338"/>
      <c r="I269" s="1334"/>
      <c r="J269" s="1334"/>
      <c r="K269" s="1334"/>
      <c r="L269" s="1334"/>
      <c r="M269" s="1334"/>
      <c r="N269" s="1334"/>
      <c r="O269" s="1334"/>
      <c r="P269" s="1334"/>
      <c r="Q269" s="1334"/>
      <c r="R269" s="1334"/>
      <c r="S269" s="1334"/>
      <c r="T269" s="1334"/>
      <c r="U269" s="1334"/>
      <c r="V269" s="1334"/>
      <c r="W269" s="1334"/>
      <c r="X269" s="1334"/>
      <c r="Y269" s="1334"/>
      <c r="Z269" s="1334"/>
    </row>
    <row r="270" spans="4:26" ht="15.75" customHeight="1" x14ac:dyDescent="0.3">
      <c r="D270" s="1334"/>
      <c r="E270" s="1341"/>
      <c r="F270" s="1338"/>
      <c r="G270" s="1338"/>
      <c r="H270" s="1338"/>
      <c r="I270" s="1334"/>
      <c r="J270" s="1334"/>
      <c r="K270" s="1334"/>
      <c r="L270" s="1334"/>
      <c r="M270" s="1334"/>
      <c r="N270" s="1334"/>
      <c r="O270" s="1334"/>
      <c r="P270" s="1334"/>
      <c r="Q270" s="1334"/>
      <c r="R270" s="1334"/>
      <c r="S270" s="1334"/>
      <c r="T270" s="1334"/>
      <c r="U270" s="1334"/>
      <c r="V270" s="1334"/>
      <c r="W270" s="1334"/>
      <c r="X270" s="1334"/>
      <c r="Y270" s="1334"/>
      <c r="Z270" s="1334"/>
    </row>
    <row r="271" spans="4:26" ht="15.75" customHeight="1" x14ac:dyDescent="0.3">
      <c r="D271" s="1334"/>
      <c r="E271" s="1341"/>
      <c r="F271" s="1338"/>
      <c r="G271" s="1338"/>
      <c r="H271" s="1338"/>
      <c r="I271" s="1334"/>
      <c r="J271" s="1334"/>
      <c r="K271" s="1334"/>
      <c r="L271" s="1334"/>
      <c r="M271" s="1334"/>
      <c r="N271" s="1334"/>
      <c r="O271" s="1334"/>
      <c r="P271" s="1334"/>
      <c r="Q271" s="1334"/>
      <c r="R271" s="1334"/>
      <c r="S271" s="1334"/>
      <c r="T271" s="1334"/>
      <c r="U271" s="1334"/>
      <c r="V271" s="1334"/>
      <c r="W271" s="1334"/>
      <c r="X271" s="1334"/>
      <c r="Y271" s="1334"/>
      <c r="Z271" s="1334"/>
    </row>
    <row r="272" spans="4:26" ht="15.75" customHeight="1" x14ac:dyDescent="0.3">
      <c r="D272" s="1334"/>
      <c r="E272" s="1341"/>
      <c r="F272" s="1338"/>
      <c r="G272" s="1338"/>
      <c r="H272" s="1338"/>
      <c r="I272" s="1334"/>
      <c r="J272" s="1334"/>
      <c r="K272" s="1334"/>
      <c r="L272" s="1334"/>
      <c r="M272" s="1334"/>
      <c r="N272" s="1334"/>
      <c r="O272" s="1334"/>
      <c r="P272" s="1334"/>
      <c r="Q272" s="1334"/>
      <c r="R272" s="1334"/>
      <c r="S272" s="1334"/>
      <c r="T272" s="1334"/>
      <c r="U272" s="1334"/>
      <c r="V272" s="1334"/>
      <c r="W272" s="1334"/>
      <c r="X272" s="1334"/>
      <c r="Y272" s="1334"/>
      <c r="Z272" s="1334"/>
    </row>
    <row r="273" spans="4:26" ht="15.75" customHeight="1" x14ac:dyDescent="0.3">
      <c r="D273" s="1334"/>
      <c r="E273" s="1341"/>
      <c r="F273" s="1338"/>
      <c r="G273" s="1338"/>
      <c r="H273" s="1338"/>
      <c r="I273" s="1334"/>
      <c r="J273" s="1334"/>
      <c r="K273" s="1334"/>
      <c r="L273" s="1334"/>
      <c r="M273" s="1334"/>
      <c r="N273" s="1334"/>
      <c r="O273" s="1334"/>
      <c r="P273" s="1334"/>
      <c r="Q273" s="1334"/>
      <c r="R273" s="1334"/>
      <c r="S273" s="1334"/>
      <c r="T273" s="1334"/>
      <c r="U273" s="1334"/>
      <c r="V273" s="1334"/>
      <c r="W273" s="1334"/>
      <c r="X273" s="1334"/>
      <c r="Y273" s="1334"/>
      <c r="Z273" s="1334"/>
    </row>
    <row r="274" spans="4:26" ht="15.75" customHeight="1" x14ac:dyDescent="0.3">
      <c r="D274" s="1334"/>
      <c r="E274" s="1341"/>
      <c r="F274" s="1338"/>
      <c r="G274" s="1338"/>
      <c r="H274" s="1338"/>
      <c r="I274" s="1334"/>
      <c r="J274" s="1334"/>
      <c r="K274" s="1334"/>
      <c r="L274" s="1334"/>
      <c r="M274" s="1334"/>
      <c r="N274" s="1334"/>
      <c r="O274" s="1334"/>
      <c r="P274" s="1334"/>
      <c r="Q274" s="1334"/>
      <c r="R274" s="1334"/>
      <c r="S274" s="1334"/>
      <c r="T274" s="1334"/>
      <c r="U274" s="1334"/>
      <c r="V274" s="1334"/>
      <c r="W274" s="1334"/>
      <c r="X274" s="1334"/>
      <c r="Y274" s="1334"/>
      <c r="Z274" s="1334"/>
    </row>
    <row r="275" spans="4:26" ht="15.75" customHeight="1" x14ac:dyDescent="0.3">
      <c r="D275" s="1334"/>
      <c r="E275" s="1341"/>
      <c r="F275" s="1338"/>
      <c r="G275" s="1338"/>
      <c r="H275" s="1338"/>
      <c r="I275" s="1334"/>
      <c r="J275" s="1334"/>
      <c r="K275" s="1334"/>
      <c r="L275" s="1334"/>
      <c r="M275" s="1334"/>
      <c r="N275" s="1334"/>
      <c r="O275" s="1334"/>
      <c r="P275" s="1334"/>
      <c r="Q275" s="1334"/>
      <c r="R275" s="1334"/>
      <c r="S275" s="1334"/>
      <c r="T275" s="1334"/>
      <c r="U275" s="1334"/>
      <c r="V275" s="1334"/>
      <c r="W275" s="1334"/>
      <c r="X275" s="1334"/>
      <c r="Y275" s="1334"/>
      <c r="Z275" s="1334"/>
    </row>
    <row r="276" spans="4:26" ht="15.75" customHeight="1" x14ac:dyDescent="0.3">
      <c r="D276" s="1334"/>
      <c r="E276" s="1341"/>
      <c r="F276" s="1338"/>
      <c r="G276" s="1338"/>
      <c r="H276" s="1338"/>
      <c r="I276" s="1334"/>
      <c r="J276" s="1334"/>
      <c r="K276" s="1334"/>
      <c r="L276" s="1334"/>
      <c r="M276" s="1334"/>
      <c r="N276" s="1334"/>
      <c r="O276" s="1334"/>
      <c r="P276" s="1334"/>
      <c r="Q276" s="1334"/>
      <c r="R276" s="1334"/>
      <c r="S276" s="1334"/>
      <c r="T276" s="1334"/>
      <c r="U276" s="1334"/>
      <c r="V276" s="1334"/>
      <c r="W276" s="1334"/>
      <c r="X276" s="1334"/>
      <c r="Y276" s="1334"/>
      <c r="Z276" s="1334"/>
    </row>
    <row r="277" spans="4:26" ht="15.75" customHeight="1" x14ac:dyDescent="0.3">
      <c r="D277" s="1334"/>
      <c r="E277" s="1341"/>
      <c r="F277" s="1338"/>
      <c r="G277" s="1338"/>
      <c r="H277" s="1338"/>
      <c r="I277" s="1334"/>
      <c r="J277" s="1334"/>
      <c r="K277" s="1334"/>
      <c r="L277" s="1334"/>
      <c r="M277" s="1334"/>
      <c r="N277" s="1334"/>
      <c r="O277" s="1334"/>
      <c r="P277" s="1334"/>
      <c r="Q277" s="1334"/>
      <c r="R277" s="1334"/>
      <c r="S277" s="1334"/>
      <c r="T277" s="1334"/>
      <c r="U277" s="1334"/>
      <c r="V277" s="1334"/>
      <c r="W277" s="1334"/>
      <c r="X277" s="1334"/>
      <c r="Y277" s="1334"/>
      <c r="Z277" s="1334"/>
    </row>
    <row r="278" spans="4:26" ht="15.75" customHeight="1" x14ac:dyDescent="0.3">
      <c r="D278" s="1334"/>
      <c r="E278" s="1341"/>
      <c r="F278" s="1338"/>
      <c r="G278" s="1338"/>
      <c r="H278" s="1338"/>
      <c r="I278" s="1334"/>
      <c r="J278" s="1334"/>
      <c r="K278" s="1334"/>
      <c r="L278" s="1334"/>
      <c r="M278" s="1334"/>
      <c r="N278" s="1334"/>
      <c r="O278" s="1334"/>
      <c r="P278" s="1334"/>
      <c r="Q278" s="1334"/>
      <c r="R278" s="1334"/>
      <c r="S278" s="1334"/>
      <c r="T278" s="1334"/>
      <c r="U278" s="1334"/>
      <c r="V278" s="1334"/>
      <c r="W278" s="1334"/>
      <c r="X278" s="1334"/>
      <c r="Y278" s="1334"/>
      <c r="Z278" s="1334"/>
    </row>
    <row r="279" spans="4:26" ht="15.75" customHeight="1" x14ac:dyDescent="0.3">
      <c r="D279" s="1334"/>
      <c r="E279" s="1341"/>
      <c r="F279" s="1338"/>
      <c r="G279" s="1338"/>
      <c r="H279" s="1338"/>
      <c r="I279" s="1334"/>
      <c r="J279" s="1334"/>
      <c r="K279" s="1334"/>
      <c r="L279" s="1334"/>
      <c r="M279" s="1334"/>
      <c r="N279" s="1334"/>
      <c r="O279" s="1334"/>
      <c r="P279" s="1334"/>
      <c r="Q279" s="1334"/>
      <c r="R279" s="1334"/>
      <c r="S279" s="1334"/>
      <c r="T279" s="1334"/>
      <c r="U279" s="1334"/>
      <c r="V279" s="1334"/>
      <c r="W279" s="1334"/>
      <c r="X279" s="1334"/>
      <c r="Y279" s="1334"/>
      <c r="Z279" s="1334"/>
    </row>
    <row r="280" spans="4:26" ht="15.75" customHeight="1" x14ac:dyDescent="0.3">
      <c r="D280" s="1334"/>
      <c r="E280" s="1341"/>
      <c r="F280" s="1338"/>
      <c r="G280" s="1338"/>
      <c r="H280" s="1338"/>
      <c r="I280" s="1334"/>
      <c r="J280" s="1334"/>
      <c r="K280" s="1334"/>
      <c r="L280" s="1334"/>
      <c r="M280" s="1334"/>
      <c r="N280" s="1334"/>
      <c r="O280" s="1334"/>
      <c r="P280" s="1334"/>
      <c r="Q280" s="1334"/>
      <c r="R280" s="1334"/>
      <c r="S280" s="1334"/>
      <c r="T280" s="1334"/>
      <c r="U280" s="1334"/>
      <c r="V280" s="1334"/>
      <c r="W280" s="1334"/>
      <c r="X280" s="1334"/>
      <c r="Y280" s="1334"/>
      <c r="Z280" s="1334"/>
    </row>
    <row r="281" spans="4:26" ht="15.75" customHeight="1" x14ac:dyDescent="0.3">
      <c r="D281" s="1334"/>
      <c r="E281" s="1341"/>
      <c r="F281" s="1338"/>
      <c r="G281" s="1338"/>
      <c r="H281" s="1338"/>
      <c r="I281" s="1334"/>
      <c r="J281" s="1334"/>
      <c r="K281" s="1334"/>
      <c r="L281" s="1334"/>
      <c r="M281" s="1334"/>
      <c r="N281" s="1334"/>
      <c r="O281" s="1334"/>
      <c r="P281" s="1334"/>
      <c r="Q281" s="1334"/>
      <c r="R281" s="1334"/>
      <c r="S281" s="1334"/>
      <c r="T281" s="1334"/>
      <c r="U281" s="1334"/>
      <c r="V281" s="1334"/>
      <c r="W281" s="1334"/>
      <c r="X281" s="1334"/>
      <c r="Y281" s="1334"/>
      <c r="Z281" s="1334"/>
    </row>
    <row r="282" spans="4:26" ht="15.75" customHeight="1" x14ac:dyDescent="0.3">
      <c r="D282" s="1334"/>
      <c r="E282" s="1341"/>
      <c r="F282" s="1338"/>
      <c r="G282" s="1338"/>
      <c r="H282" s="1338"/>
      <c r="I282" s="1334"/>
      <c r="J282" s="1334"/>
      <c r="K282" s="1334"/>
      <c r="L282" s="1334"/>
      <c r="M282" s="1334"/>
      <c r="N282" s="1334"/>
      <c r="O282" s="1334"/>
      <c r="P282" s="1334"/>
      <c r="Q282" s="1334"/>
      <c r="R282" s="1334"/>
      <c r="S282" s="1334"/>
      <c r="T282" s="1334"/>
      <c r="U282" s="1334"/>
      <c r="V282" s="1334"/>
      <c r="W282" s="1334"/>
      <c r="X282" s="1334"/>
      <c r="Y282" s="1334"/>
      <c r="Z282" s="1334"/>
    </row>
    <row r="283" spans="4:26" ht="15.75" customHeight="1" x14ac:dyDescent="0.3">
      <c r="D283" s="1334"/>
      <c r="E283" s="1341"/>
      <c r="F283" s="1338"/>
      <c r="G283" s="1338"/>
      <c r="H283" s="1338"/>
      <c r="I283" s="1334"/>
      <c r="J283" s="1334"/>
      <c r="K283" s="1334"/>
      <c r="L283" s="1334"/>
      <c r="M283" s="1334"/>
      <c r="N283" s="1334"/>
      <c r="O283" s="1334"/>
      <c r="P283" s="1334"/>
      <c r="Q283" s="1334"/>
      <c r="R283" s="1334"/>
      <c r="S283" s="1334"/>
      <c r="T283" s="1334"/>
      <c r="U283" s="1334"/>
      <c r="V283" s="1334"/>
      <c r="W283" s="1334"/>
      <c r="X283" s="1334"/>
      <c r="Y283" s="1334"/>
      <c r="Z283" s="1334"/>
    </row>
    <row r="284" spans="4:26" ht="15.75" customHeight="1" x14ac:dyDescent="0.3">
      <c r="D284" s="1334"/>
      <c r="E284" s="1341"/>
      <c r="F284" s="1338"/>
      <c r="G284" s="1338"/>
      <c r="H284" s="1338"/>
      <c r="I284" s="1334"/>
      <c r="J284" s="1334"/>
      <c r="K284" s="1334"/>
      <c r="L284" s="1334"/>
      <c r="M284" s="1334"/>
      <c r="N284" s="1334"/>
      <c r="O284" s="1334"/>
      <c r="P284" s="1334"/>
      <c r="Q284" s="1334"/>
      <c r="R284" s="1334"/>
      <c r="S284" s="1334"/>
      <c r="T284" s="1334"/>
      <c r="U284" s="1334"/>
      <c r="V284" s="1334"/>
      <c r="W284" s="1334"/>
      <c r="X284" s="1334"/>
      <c r="Y284" s="1334"/>
      <c r="Z284" s="1334"/>
    </row>
    <row r="285" spans="4:26" ht="15.75" customHeight="1" x14ac:dyDescent="0.3">
      <c r="D285" s="1334"/>
      <c r="E285" s="1341"/>
      <c r="F285" s="1338"/>
      <c r="G285" s="1338"/>
      <c r="H285" s="1338"/>
      <c r="I285" s="1334"/>
      <c r="J285" s="1334"/>
      <c r="K285" s="1334"/>
      <c r="L285" s="1334"/>
      <c r="M285" s="1334"/>
      <c r="N285" s="1334"/>
      <c r="O285" s="1334"/>
      <c r="P285" s="1334"/>
      <c r="Q285" s="1334"/>
      <c r="R285" s="1334"/>
      <c r="S285" s="1334"/>
      <c r="T285" s="1334"/>
      <c r="U285" s="1334"/>
      <c r="V285" s="1334"/>
      <c r="W285" s="1334"/>
      <c r="X285" s="1334"/>
      <c r="Y285" s="1334"/>
      <c r="Z285" s="1334"/>
    </row>
    <row r="286" spans="4:26" ht="15.75" customHeight="1" x14ac:dyDescent="0.3">
      <c r="D286" s="1334"/>
      <c r="E286" s="1341"/>
      <c r="F286" s="1338"/>
      <c r="G286" s="1338"/>
      <c r="H286" s="1338"/>
      <c r="I286" s="1334"/>
      <c r="J286" s="1334"/>
      <c r="K286" s="1334"/>
      <c r="L286" s="1334"/>
      <c r="M286" s="1334"/>
      <c r="N286" s="1334"/>
      <c r="O286" s="1334"/>
      <c r="P286" s="1334"/>
      <c r="Q286" s="1334"/>
      <c r="R286" s="1334"/>
      <c r="S286" s="1334"/>
      <c r="T286" s="1334"/>
      <c r="U286" s="1334"/>
      <c r="V286" s="1334"/>
      <c r="W286" s="1334"/>
      <c r="X286" s="1334"/>
      <c r="Y286" s="1334"/>
      <c r="Z286" s="1334"/>
    </row>
    <row r="287" spans="4:26" ht="15.75" customHeight="1" x14ac:dyDescent="0.3">
      <c r="D287" s="1334"/>
      <c r="E287" s="1341"/>
      <c r="F287" s="1338"/>
      <c r="G287" s="1338"/>
      <c r="H287" s="1338"/>
      <c r="I287" s="1334"/>
      <c r="J287" s="1334"/>
      <c r="K287" s="1334"/>
      <c r="L287" s="1334"/>
      <c r="M287" s="1334"/>
      <c r="N287" s="1334"/>
      <c r="O287" s="1334"/>
      <c r="P287" s="1334"/>
      <c r="Q287" s="1334"/>
      <c r="R287" s="1334"/>
      <c r="S287" s="1334"/>
      <c r="T287" s="1334"/>
      <c r="U287" s="1334"/>
      <c r="V287" s="1334"/>
      <c r="W287" s="1334"/>
      <c r="X287" s="1334"/>
      <c r="Y287" s="1334"/>
      <c r="Z287" s="1334"/>
    </row>
    <row r="288" spans="4:26" ht="15.75" customHeight="1" x14ac:dyDescent="0.3">
      <c r="D288" s="1334"/>
      <c r="E288" s="1341"/>
      <c r="F288" s="1338"/>
      <c r="G288" s="1338"/>
      <c r="H288" s="1338"/>
      <c r="I288" s="1334"/>
      <c r="J288" s="1334"/>
      <c r="K288" s="1334"/>
      <c r="L288" s="1334"/>
      <c r="M288" s="1334"/>
      <c r="N288" s="1334"/>
      <c r="O288" s="1334"/>
      <c r="P288" s="1334"/>
      <c r="Q288" s="1334"/>
      <c r="R288" s="1334"/>
      <c r="S288" s="1334"/>
      <c r="T288" s="1334"/>
      <c r="U288" s="1334"/>
      <c r="V288" s="1334"/>
      <c r="W288" s="1334"/>
      <c r="X288" s="1334"/>
      <c r="Y288" s="1334"/>
      <c r="Z288" s="1334"/>
    </row>
    <row r="289" spans="4:26" ht="15.75" customHeight="1" x14ac:dyDescent="0.3">
      <c r="D289" s="1334"/>
      <c r="E289" s="1341"/>
      <c r="F289" s="1338"/>
      <c r="G289" s="1338"/>
      <c r="H289" s="1338"/>
      <c r="I289" s="1334"/>
      <c r="J289" s="1334"/>
      <c r="K289" s="1334"/>
      <c r="L289" s="1334"/>
      <c r="M289" s="1334"/>
      <c r="N289" s="1334"/>
      <c r="O289" s="1334"/>
      <c r="P289" s="1334"/>
      <c r="Q289" s="1334"/>
      <c r="R289" s="1334"/>
      <c r="S289" s="1334"/>
      <c r="T289" s="1334"/>
      <c r="U289" s="1334"/>
      <c r="V289" s="1334"/>
      <c r="W289" s="1334"/>
      <c r="X289" s="1334"/>
      <c r="Y289" s="1334"/>
      <c r="Z289" s="1334"/>
    </row>
    <row r="290" spans="4:26" ht="15.75" customHeight="1" x14ac:dyDescent="0.3">
      <c r="D290" s="1334"/>
      <c r="E290" s="1341"/>
      <c r="F290" s="1338"/>
      <c r="G290" s="1338"/>
      <c r="H290" s="1338"/>
      <c r="I290" s="1334"/>
      <c r="J290" s="1334"/>
      <c r="K290" s="1334"/>
      <c r="L290" s="1334"/>
      <c r="M290" s="1334"/>
      <c r="N290" s="1334"/>
      <c r="O290" s="1334"/>
      <c r="P290" s="1334"/>
      <c r="Q290" s="1334"/>
      <c r="R290" s="1334"/>
      <c r="S290" s="1334"/>
      <c r="T290" s="1334"/>
      <c r="U290" s="1334"/>
      <c r="V290" s="1334"/>
      <c r="W290" s="1334"/>
      <c r="X290" s="1334"/>
      <c r="Y290" s="1334"/>
      <c r="Z290" s="1334"/>
    </row>
    <row r="291" spans="4:26" ht="15.75" customHeight="1" x14ac:dyDescent="0.3">
      <c r="D291" s="1334"/>
      <c r="E291" s="1341"/>
      <c r="F291" s="1338"/>
      <c r="G291" s="1338"/>
      <c r="H291" s="1338"/>
      <c r="I291" s="1334"/>
      <c r="J291" s="1334"/>
      <c r="K291" s="1334"/>
      <c r="L291" s="1334"/>
      <c r="M291" s="1334"/>
      <c r="N291" s="1334"/>
      <c r="O291" s="1334"/>
      <c r="P291" s="1334"/>
      <c r="Q291" s="1334"/>
      <c r="R291" s="1334"/>
      <c r="S291" s="1334"/>
      <c r="T291" s="1334"/>
      <c r="U291" s="1334"/>
      <c r="V291" s="1334"/>
      <c r="W291" s="1334"/>
      <c r="X291" s="1334"/>
      <c r="Y291" s="1334"/>
      <c r="Z291" s="1334"/>
    </row>
    <row r="292" spans="4:26" ht="15.75" customHeight="1" x14ac:dyDescent="0.3">
      <c r="D292" s="1334"/>
      <c r="E292" s="1341"/>
      <c r="F292" s="1338"/>
      <c r="G292" s="1338"/>
      <c r="H292" s="1338"/>
      <c r="I292" s="1334"/>
      <c r="J292" s="1334"/>
      <c r="K292" s="1334"/>
      <c r="L292" s="1334"/>
      <c r="M292" s="1334"/>
      <c r="N292" s="1334"/>
      <c r="O292" s="1334"/>
      <c r="P292" s="1334"/>
      <c r="Q292" s="1334"/>
      <c r="R292" s="1334"/>
      <c r="S292" s="1334"/>
      <c r="T292" s="1334"/>
      <c r="U292" s="1334"/>
      <c r="V292" s="1334"/>
      <c r="W292" s="1334"/>
      <c r="X292" s="1334"/>
      <c r="Y292" s="1334"/>
      <c r="Z292" s="1334"/>
    </row>
    <row r="293" spans="4:26" ht="15.75" customHeight="1" x14ac:dyDescent="0.3">
      <c r="D293" s="1334"/>
      <c r="E293" s="1341"/>
      <c r="F293" s="1338"/>
      <c r="G293" s="1338"/>
      <c r="H293" s="1338"/>
      <c r="I293" s="1334"/>
      <c r="J293" s="1334"/>
      <c r="K293" s="1334"/>
      <c r="L293" s="1334"/>
      <c r="M293" s="1334"/>
      <c r="N293" s="1334"/>
      <c r="O293" s="1334"/>
      <c r="P293" s="1334"/>
      <c r="Q293" s="1334"/>
      <c r="R293" s="1334"/>
      <c r="S293" s="1334"/>
      <c r="T293" s="1334"/>
      <c r="U293" s="1334"/>
      <c r="V293" s="1334"/>
      <c r="W293" s="1334"/>
      <c r="X293" s="1334"/>
      <c r="Y293" s="1334"/>
      <c r="Z293" s="1334"/>
    </row>
    <row r="294" spans="4:26" ht="15.75" customHeight="1" x14ac:dyDescent="0.3">
      <c r="D294" s="1334"/>
      <c r="E294" s="1341"/>
      <c r="F294" s="1338"/>
      <c r="G294" s="1338"/>
      <c r="H294" s="1338"/>
      <c r="I294" s="1334"/>
      <c r="J294" s="1334"/>
      <c r="K294" s="1334"/>
      <c r="L294" s="1334"/>
      <c r="M294" s="1334"/>
      <c r="N294" s="1334"/>
      <c r="O294" s="1334"/>
      <c r="P294" s="1334"/>
      <c r="Q294" s="1334"/>
      <c r="R294" s="1334"/>
      <c r="S294" s="1334"/>
      <c r="T294" s="1334"/>
      <c r="U294" s="1334"/>
      <c r="V294" s="1334"/>
      <c r="W294" s="1334"/>
      <c r="X294" s="1334"/>
      <c r="Y294" s="1334"/>
      <c r="Z294" s="1334"/>
    </row>
    <row r="295" spans="4:26" ht="15.75" customHeight="1" x14ac:dyDescent="0.3">
      <c r="D295" s="1334"/>
      <c r="E295" s="1341"/>
      <c r="F295" s="1338"/>
      <c r="G295" s="1338"/>
      <c r="H295" s="1338"/>
      <c r="I295" s="1334"/>
      <c r="J295" s="1334"/>
      <c r="K295" s="1334"/>
      <c r="L295" s="1334"/>
      <c r="M295" s="1334"/>
      <c r="N295" s="1334"/>
      <c r="O295" s="1334"/>
      <c r="P295" s="1334"/>
      <c r="Q295" s="1334"/>
      <c r="R295" s="1334"/>
      <c r="S295" s="1334"/>
      <c r="T295" s="1334"/>
      <c r="U295" s="1334"/>
      <c r="V295" s="1334"/>
      <c r="W295" s="1334"/>
      <c r="X295" s="1334"/>
      <c r="Y295" s="1334"/>
      <c r="Z295" s="1334"/>
    </row>
    <row r="296" spans="4:26" ht="15.75" customHeight="1" x14ac:dyDescent="0.3">
      <c r="D296" s="1334"/>
      <c r="E296" s="1341"/>
      <c r="F296" s="1338"/>
      <c r="G296" s="1338"/>
      <c r="H296" s="1338"/>
      <c r="I296" s="1334"/>
      <c r="J296" s="1334"/>
      <c r="K296" s="1334"/>
      <c r="L296" s="1334"/>
      <c r="M296" s="1334"/>
      <c r="N296" s="1334"/>
      <c r="O296" s="1334"/>
      <c r="P296" s="1334"/>
      <c r="Q296" s="1334"/>
      <c r="R296" s="1334"/>
      <c r="S296" s="1334"/>
      <c r="T296" s="1334"/>
      <c r="U296" s="1334"/>
      <c r="V296" s="1334"/>
      <c r="W296" s="1334"/>
      <c r="X296" s="1334"/>
      <c r="Y296" s="1334"/>
      <c r="Z296" s="1334"/>
    </row>
    <row r="297" spans="4:26" ht="15.75" customHeight="1" x14ac:dyDescent="0.3">
      <c r="D297" s="1334"/>
      <c r="E297" s="1341"/>
      <c r="F297" s="1338"/>
      <c r="G297" s="1338"/>
      <c r="H297" s="1338"/>
      <c r="I297" s="1334"/>
      <c r="J297" s="1334"/>
      <c r="K297" s="1334"/>
      <c r="L297" s="1334"/>
      <c r="M297" s="1334"/>
      <c r="N297" s="1334"/>
      <c r="O297" s="1334"/>
      <c r="P297" s="1334"/>
      <c r="Q297" s="1334"/>
      <c r="R297" s="1334"/>
      <c r="S297" s="1334"/>
      <c r="T297" s="1334"/>
      <c r="U297" s="1334"/>
      <c r="V297" s="1334"/>
      <c r="W297" s="1334"/>
      <c r="X297" s="1334"/>
      <c r="Y297" s="1334"/>
      <c r="Z297" s="1334"/>
    </row>
    <row r="298" spans="4:26" ht="15.75" customHeight="1" x14ac:dyDescent="0.3">
      <c r="D298" s="1334"/>
      <c r="E298" s="1341"/>
      <c r="F298" s="1338"/>
      <c r="G298" s="1338"/>
      <c r="H298" s="1338"/>
      <c r="I298" s="1334"/>
      <c r="J298" s="1334"/>
      <c r="K298" s="1334"/>
      <c r="L298" s="1334"/>
      <c r="M298" s="1334"/>
      <c r="N298" s="1334"/>
      <c r="O298" s="1334"/>
      <c r="P298" s="1334"/>
      <c r="Q298" s="1334"/>
      <c r="R298" s="1334"/>
      <c r="S298" s="1334"/>
      <c r="T298" s="1334"/>
      <c r="U298" s="1334"/>
      <c r="V298" s="1334"/>
      <c r="W298" s="1334"/>
      <c r="X298" s="1334"/>
      <c r="Y298" s="1334"/>
      <c r="Z298" s="1334"/>
    </row>
    <row r="299" spans="4:26" ht="15.75" customHeight="1" x14ac:dyDescent="0.3">
      <c r="D299" s="1334"/>
      <c r="E299" s="1341"/>
      <c r="F299" s="1338"/>
      <c r="G299" s="1338"/>
      <c r="H299" s="1338"/>
      <c r="I299" s="1334"/>
      <c r="J299" s="1334"/>
      <c r="K299" s="1334"/>
      <c r="L299" s="1334"/>
      <c r="M299" s="1334"/>
      <c r="N299" s="1334"/>
      <c r="O299" s="1334"/>
      <c r="P299" s="1334"/>
      <c r="Q299" s="1334"/>
      <c r="R299" s="1334"/>
      <c r="S299" s="1334"/>
      <c r="T299" s="1334"/>
      <c r="U299" s="1334"/>
      <c r="V299" s="1334"/>
      <c r="W299" s="1334"/>
      <c r="X299" s="1334"/>
      <c r="Y299" s="1334"/>
      <c r="Z299" s="1334"/>
    </row>
    <row r="300" spans="4:26" ht="15.75" customHeight="1" x14ac:dyDescent="0.3">
      <c r="D300" s="1334"/>
      <c r="E300" s="1341"/>
      <c r="F300" s="1338"/>
      <c r="G300" s="1338"/>
      <c r="H300" s="1338"/>
      <c r="I300" s="1334"/>
      <c r="J300" s="1334"/>
      <c r="K300" s="1334"/>
      <c r="L300" s="1334"/>
      <c r="M300" s="1334"/>
      <c r="N300" s="1334"/>
      <c r="O300" s="1334"/>
      <c r="P300" s="1334"/>
      <c r="Q300" s="1334"/>
      <c r="R300" s="1334"/>
      <c r="S300" s="1334"/>
      <c r="T300" s="1334"/>
      <c r="U300" s="1334"/>
      <c r="V300" s="1334"/>
      <c r="W300" s="1334"/>
      <c r="X300" s="1334"/>
      <c r="Y300" s="1334"/>
      <c r="Z300" s="1334"/>
    </row>
    <row r="301" spans="4:26" ht="15.75" customHeight="1" x14ac:dyDescent="0.3">
      <c r="D301" s="1334"/>
      <c r="E301" s="1341"/>
      <c r="F301" s="1338"/>
      <c r="G301" s="1338"/>
      <c r="H301" s="1338"/>
      <c r="I301" s="1334"/>
      <c r="J301" s="1334"/>
      <c r="K301" s="1334"/>
      <c r="L301" s="1334"/>
      <c r="M301" s="1334"/>
      <c r="N301" s="1334"/>
      <c r="O301" s="1334"/>
      <c r="P301" s="1334"/>
      <c r="Q301" s="1334"/>
      <c r="R301" s="1334"/>
      <c r="S301" s="1334"/>
      <c r="T301" s="1334"/>
      <c r="U301" s="1334"/>
      <c r="V301" s="1334"/>
      <c r="W301" s="1334"/>
      <c r="X301" s="1334"/>
      <c r="Y301" s="1334"/>
      <c r="Z301" s="1334"/>
    </row>
    <row r="302" spans="4:26" ht="15.75" customHeight="1" x14ac:dyDescent="0.3">
      <c r="D302" s="1334"/>
      <c r="E302" s="1341"/>
      <c r="F302" s="1338"/>
      <c r="G302" s="1338"/>
      <c r="H302" s="1338"/>
      <c r="I302" s="1334"/>
      <c r="J302" s="1334"/>
      <c r="K302" s="1334"/>
      <c r="L302" s="1334"/>
      <c r="M302" s="1334"/>
      <c r="N302" s="1334"/>
      <c r="O302" s="1334"/>
      <c r="P302" s="1334"/>
      <c r="Q302" s="1334"/>
      <c r="R302" s="1334"/>
      <c r="S302" s="1334"/>
      <c r="T302" s="1334"/>
      <c r="U302" s="1334"/>
      <c r="V302" s="1334"/>
      <c r="W302" s="1334"/>
      <c r="X302" s="1334"/>
      <c r="Y302" s="1334"/>
      <c r="Z302" s="1334"/>
    </row>
    <row r="303" spans="4:26" ht="15.75" customHeight="1" x14ac:dyDescent="0.3">
      <c r="D303" s="1334"/>
      <c r="E303" s="1341"/>
      <c r="F303" s="1338"/>
      <c r="G303" s="1338"/>
      <c r="H303" s="1338"/>
      <c r="I303" s="1334"/>
      <c r="J303" s="1334"/>
      <c r="K303" s="1334"/>
      <c r="L303" s="1334"/>
      <c r="M303" s="1334"/>
      <c r="N303" s="1334"/>
      <c r="O303" s="1334"/>
      <c r="P303" s="1334"/>
      <c r="Q303" s="1334"/>
      <c r="R303" s="1334"/>
      <c r="S303" s="1334"/>
      <c r="T303" s="1334"/>
      <c r="U303" s="1334"/>
      <c r="V303" s="1334"/>
      <c r="W303" s="1334"/>
      <c r="X303" s="1334"/>
      <c r="Y303" s="1334"/>
      <c r="Z303" s="1334"/>
    </row>
    <row r="304" spans="4:26" ht="15.75" customHeight="1" x14ac:dyDescent="0.3">
      <c r="D304" s="1334"/>
      <c r="E304" s="1341"/>
      <c r="F304" s="1338"/>
      <c r="G304" s="1338"/>
      <c r="H304" s="1338"/>
      <c r="I304" s="1334"/>
      <c r="J304" s="1334"/>
      <c r="K304" s="1334"/>
      <c r="L304" s="1334"/>
      <c r="M304" s="1334"/>
      <c r="N304" s="1334"/>
      <c r="O304" s="1334"/>
      <c r="P304" s="1334"/>
      <c r="Q304" s="1334"/>
      <c r="R304" s="1334"/>
      <c r="S304" s="1334"/>
      <c r="T304" s="1334"/>
      <c r="U304" s="1334"/>
      <c r="V304" s="1334"/>
      <c r="W304" s="1334"/>
      <c r="X304" s="1334"/>
      <c r="Y304" s="1334"/>
      <c r="Z304" s="1334"/>
    </row>
    <row r="305" spans="4:26" ht="15.75" customHeight="1" x14ac:dyDescent="0.3">
      <c r="D305" s="1334"/>
      <c r="E305" s="1341"/>
      <c r="F305" s="1338"/>
      <c r="G305" s="1338"/>
      <c r="H305" s="1338"/>
      <c r="I305" s="1334"/>
      <c r="J305" s="1334"/>
      <c r="K305" s="1334"/>
      <c r="L305" s="1334"/>
      <c r="M305" s="1334"/>
      <c r="N305" s="1334"/>
      <c r="O305" s="1334"/>
      <c r="P305" s="1334"/>
      <c r="Q305" s="1334"/>
      <c r="R305" s="1334"/>
      <c r="S305" s="1334"/>
      <c r="T305" s="1334"/>
      <c r="U305" s="1334"/>
      <c r="V305" s="1334"/>
      <c r="W305" s="1334"/>
      <c r="X305" s="1334"/>
      <c r="Y305" s="1334"/>
      <c r="Z305" s="1334"/>
    </row>
    <row r="306" spans="4:26" ht="15.75" customHeight="1" x14ac:dyDescent="0.3">
      <c r="D306" s="1334"/>
      <c r="E306" s="1341"/>
      <c r="F306" s="1338"/>
      <c r="G306" s="1338"/>
      <c r="H306" s="1338"/>
      <c r="I306" s="1334"/>
      <c r="J306" s="1334"/>
      <c r="K306" s="1334"/>
      <c r="L306" s="1334"/>
      <c r="M306" s="1334"/>
      <c r="N306" s="1334"/>
      <c r="O306" s="1334"/>
      <c r="P306" s="1334"/>
      <c r="Q306" s="1334"/>
      <c r="R306" s="1334"/>
      <c r="S306" s="1334"/>
      <c r="T306" s="1334"/>
      <c r="U306" s="1334"/>
      <c r="V306" s="1334"/>
      <c r="W306" s="1334"/>
      <c r="X306" s="1334"/>
      <c r="Y306" s="1334"/>
      <c r="Z306" s="1334"/>
    </row>
    <row r="307" spans="4:26" ht="15.75" customHeight="1" x14ac:dyDescent="0.3">
      <c r="D307" s="1334"/>
      <c r="E307" s="1341"/>
      <c r="F307" s="1338"/>
      <c r="G307" s="1338"/>
      <c r="H307" s="1338"/>
      <c r="I307" s="1334"/>
      <c r="J307" s="1334"/>
      <c r="K307" s="1334"/>
      <c r="L307" s="1334"/>
      <c r="M307" s="1334"/>
      <c r="N307" s="1334"/>
      <c r="O307" s="1334"/>
      <c r="P307" s="1334"/>
      <c r="Q307" s="1334"/>
      <c r="R307" s="1334"/>
      <c r="S307" s="1334"/>
      <c r="T307" s="1334"/>
      <c r="U307" s="1334"/>
      <c r="V307" s="1334"/>
      <c r="W307" s="1334"/>
      <c r="X307" s="1334"/>
      <c r="Y307" s="1334"/>
      <c r="Z307" s="1334"/>
    </row>
    <row r="308" spans="4:26" ht="15.75" customHeight="1" x14ac:dyDescent="0.3">
      <c r="D308" s="1334"/>
      <c r="E308" s="1341"/>
      <c r="F308" s="1338"/>
      <c r="G308" s="1338"/>
      <c r="H308" s="1338"/>
      <c r="I308" s="1334"/>
      <c r="J308" s="1334"/>
      <c r="K308" s="1334"/>
      <c r="L308" s="1334"/>
      <c r="M308" s="1334"/>
      <c r="N308" s="1334"/>
      <c r="O308" s="1334"/>
      <c r="P308" s="1334"/>
      <c r="Q308" s="1334"/>
      <c r="R308" s="1334"/>
      <c r="S308" s="1334"/>
      <c r="T308" s="1334"/>
      <c r="U308" s="1334"/>
      <c r="V308" s="1334"/>
      <c r="W308" s="1334"/>
      <c r="X308" s="1334"/>
      <c r="Y308" s="1334"/>
      <c r="Z308" s="1334"/>
    </row>
    <row r="309" spans="4:26" ht="15.75" customHeight="1" x14ac:dyDescent="0.3">
      <c r="D309" s="1334"/>
      <c r="E309" s="1341"/>
      <c r="F309" s="1338"/>
      <c r="G309" s="1338"/>
      <c r="H309" s="1338"/>
      <c r="I309" s="1334"/>
      <c r="J309" s="1334"/>
      <c r="K309" s="1334"/>
      <c r="L309" s="1334"/>
      <c r="M309" s="1334"/>
      <c r="N309" s="1334"/>
      <c r="O309" s="1334"/>
      <c r="P309" s="1334"/>
      <c r="Q309" s="1334"/>
      <c r="R309" s="1334"/>
      <c r="S309" s="1334"/>
      <c r="T309" s="1334"/>
      <c r="U309" s="1334"/>
      <c r="V309" s="1334"/>
      <c r="W309" s="1334"/>
      <c r="X309" s="1334"/>
      <c r="Y309" s="1334"/>
      <c r="Z309" s="1334"/>
    </row>
    <row r="310" spans="4:26" ht="15.75" customHeight="1" x14ac:dyDescent="0.3">
      <c r="D310" s="1334"/>
      <c r="E310" s="1341"/>
      <c r="F310" s="1338"/>
      <c r="G310" s="1338"/>
      <c r="H310" s="1338"/>
      <c r="I310" s="1334"/>
      <c r="J310" s="1334"/>
      <c r="K310" s="1334"/>
      <c r="L310" s="1334"/>
      <c r="M310" s="1334"/>
      <c r="N310" s="1334"/>
      <c r="O310" s="1334"/>
      <c r="P310" s="1334"/>
      <c r="Q310" s="1334"/>
      <c r="R310" s="1334"/>
      <c r="S310" s="1334"/>
      <c r="T310" s="1334"/>
      <c r="U310" s="1334"/>
      <c r="V310" s="1334"/>
      <c r="W310" s="1334"/>
      <c r="X310" s="1334"/>
      <c r="Y310" s="1334"/>
      <c r="Z310" s="1334"/>
    </row>
    <row r="311" spans="4:26" ht="15.75" customHeight="1" x14ac:dyDescent="0.3">
      <c r="D311" s="1334"/>
      <c r="E311" s="1341"/>
      <c r="F311" s="1338"/>
      <c r="G311" s="1338"/>
      <c r="H311" s="1338"/>
      <c r="I311" s="1334"/>
      <c r="J311" s="1334"/>
      <c r="K311" s="1334"/>
      <c r="L311" s="1334"/>
      <c r="M311" s="1334"/>
      <c r="N311" s="1334"/>
      <c r="O311" s="1334"/>
      <c r="P311" s="1334"/>
      <c r="Q311" s="1334"/>
      <c r="R311" s="1334"/>
      <c r="S311" s="1334"/>
      <c r="T311" s="1334"/>
      <c r="U311" s="1334"/>
      <c r="V311" s="1334"/>
      <c r="W311" s="1334"/>
      <c r="X311" s="1334"/>
      <c r="Y311" s="1334"/>
      <c r="Z311" s="1334"/>
    </row>
    <row r="312" spans="4:26" ht="15.75" customHeight="1" x14ac:dyDescent="0.3">
      <c r="D312" s="1334"/>
      <c r="E312" s="1341"/>
      <c r="F312" s="1338"/>
      <c r="G312" s="1338"/>
      <c r="H312" s="1338"/>
      <c r="I312" s="1334"/>
      <c r="J312" s="1334"/>
      <c r="K312" s="1334"/>
      <c r="L312" s="1334"/>
      <c r="M312" s="1334"/>
      <c r="N312" s="1334"/>
      <c r="O312" s="1334"/>
      <c r="P312" s="1334"/>
      <c r="Q312" s="1334"/>
      <c r="R312" s="1334"/>
      <c r="S312" s="1334"/>
      <c r="T312" s="1334"/>
      <c r="U312" s="1334"/>
      <c r="V312" s="1334"/>
      <c r="W312" s="1334"/>
      <c r="X312" s="1334"/>
      <c r="Y312" s="1334"/>
      <c r="Z312" s="1334"/>
    </row>
    <row r="313" spans="4:26" ht="15.75" customHeight="1" x14ac:dyDescent="0.3">
      <c r="D313" s="1334"/>
      <c r="E313" s="1341"/>
      <c r="F313" s="1338"/>
      <c r="G313" s="1338"/>
      <c r="H313" s="1338"/>
      <c r="I313" s="1334"/>
      <c r="J313" s="1334"/>
      <c r="K313" s="1334"/>
      <c r="L313" s="1334"/>
      <c r="M313" s="1334"/>
      <c r="N313" s="1334"/>
      <c r="O313" s="1334"/>
      <c r="P313" s="1334"/>
      <c r="Q313" s="1334"/>
      <c r="R313" s="1334"/>
      <c r="S313" s="1334"/>
      <c r="T313" s="1334"/>
      <c r="U313" s="1334"/>
      <c r="V313" s="1334"/>
      <c r="W313" s="1334"/>
      <c r="X313" s="1334"/>
      <c r="Y313" s="1334"/>
      <c r="Z313" s="1334"/>
    </row>
    <row r="314" spans="4:26" ht="15.75" customHeight="1" x14ac:dyDescent="0.3">
      <c r="D314" s="1334"/>
      <c r="E314" s="1341"/>
      <c r="F314" s="1338"/>
      <c r="G314" s="1338"/>
      <c r="H314" s="1338"/>
      <c r="I314" s="1334"/>
      <c r="J314" s="1334"/>
      <c r="K314" s="1334"/>
      <c r="L314" s="1334"/>
      <c r="M314" s="1334"/>
      <c r="N314" s="1334"/>
      <c r="O314" s="1334"/>
      <c r="P314" s="1334"/>
      <c r="Q314" s="1334"/>
      <c r="R314" s="1334"/>
      <c r="S314" s="1334"/>
      <c r="T314" s="1334"/>
      <c r="U314" s="1334"/>
      <c r="V314" s="1334"/>
      <c r="W314" s="1334"/>
      <c r="X314" s="1334"/>
      <c r="Y314" s="1334"/>
      <c r="Z314" s="1334"/>
    </row>
    <row r="315" spans="4:26" ht="15.75" customHeight="1" x14ac:dyDescent="0.3">
      <c r="D315" s="1334"/>
      <c r="E315" s="1341"/>
      <c r="F315" s="1338"/>
      <c r="G315" s="1338"/>
      <c r="H315" s="1338"/>
      <c r="I315" s="1334"/>
      <c r="J315" s="1334"/>
      <c r="K315" s="1334"/>
      <c r="L315" s="1334"/>
      <c r="M315" s="1334"/>
      <c r="N315" s="1334"/>
      <c r="O315" s="1334"/>
      <c r="P315" s="1334"/>
      <c r="Q315" s="1334"/>
      <c r="R315" s="1334"/>
      <c r="S315" s="1334"/>
      <c r="T315" s="1334"/>
      <c r="U315" s="1334"/>
      <c r="V315" s="1334"/>
      <c r="W315" s="1334"/>
      <c r="X315" s="1334"/>
      <c r="Y315" s="1334"/>
      <c r="Z315" s="1334"/>
    </row>
    <row r="316" spans="4:26" ht="15.75" customHeight="1" x14ac:dyDescent="0.3">
      <c r="D316" s="1334"/>
      <c r="E316" s="1341"/>
      <c r="F316" s="1338"/>
      <c r="G316" s="1338"/>
      <c r="H316" s="1338"/>
      <c r="I316" s="1334"/>
      <c r="J316" s="1334"/>
      <c r="K316" s="1334"/>
      <c r="L316" s="1334"/>
      <c r="M316" s="1334"/>
      <c r="N316" s="1334"/>
      <c r="O316" s="1334"/>
      <c r="P316" s="1334"/>
      <c r="Q316" s="1334"/>
      <c r="R316" s="1334"/>
      <c r="S316" s="1334"/>
      <c r="T316" s="1334"/>
      <c r="U316" s="1334"/>
      <c r="V316" s="1334"/>
      <c r="W316" s="1334"/>
      <c r="X316" s="1334"/>
      <c r="Y316" s="1334"/>
      <c r="Z316" s="1334"/>
    </row>
    <row r="317" spans="4:26" ht="15.75" customHeight="1" x14ac:dyDescent="0.3">
      <c r="D317" s="1334"/>
      <c r="E317" s="1341"/>
      <c r="F317" s="1338"/>
      <c r="G317" s="1338"/>
      <c r="H317" s="1338"/>
      <c r="I317" s="1334"/>
      <c r="J317" s="1334"/>
      <c r="K317" s="1334"/>
      <c r="L317" s="1334"/>
      <c r="M317" s="1334"/>
      <c r="N317" s="1334"/>
      <c r="O317" s="1334"/>
      <c r="P317" s="1334"/>
      <c r="Q317" s="1334"/>
      <c r="R317" s="1334"/>
      <c r="S317" s="1334"/>
      <c r="T317" s="1334"/>
      <c r="U317" s="1334"/>
      <c r="V317" s="1334"/>
      <c r="W317" s="1334"/>
      <c r="X317" s="1334"/>
      <c r="Y317" s="1334"/>
      <c r="Z317" s="1334"/>
    </row>
    <row r="318" spans="4:26" ht="15.75" customHeight="1" x14ac:dyDescent="0.3">
      <c r="D318" s="1334"/>
      <c r="E318" s="1341"/>
      <c r="F318" s="1338"/>
      <c r="G318" s="1338"/>
      <c r="H318" s="1338"/>
      <c r="I318" s="1334"/>
      <c r="J318" s="1334"/>
      <c r="K318" s="1334"/>
      <c r="L318" s="1334"/>
      <c r="M318" s="1334"/>
      <c r="N318" s="1334"/>
      <c r="O318" s="1334"/>
      <c r="P318" s="1334"/>
      <c r="Q318" s="1334"/>
      <c r="R318" s="1334"/>
      <c r="S318" s="1334"/>
      <c r="T318" s="1334"/>
      <c r="U318" s="1334"/>
      <c r="V318" s="1334"/>
      <c r="W318" s="1334"/>
      <c r="X318" s="1334"/>
      <c r="Y318" s="1334"/>
      <c r="Z318" s="1334"/>
    </row>
    <row r="319" spans="4:26" ht="15.75" customHeight="1" x14ac:dyDescent="0.3">
      <c r="D319" s="1334"/>
      <c r="E319" s="1341"/>
      <c r="F319" s="1338"/>
      <c r="G319" s="1338"/>
      <c r="H319" s="1338"/>
      <c r="I319" s="1334"/>
      <c r="J319" s="1334"/>
      <c r="K319" s="1334"/>
      <c r="L319" s="1334"/>
      <c r="M319" s="1334"/>
      <c r="N319" s="1334"/>
      <c r="O319" s="1334"/>
      <c r="P319" s="1334"/>
      <c r="Q319" s="1334"/>
      <c r="R319" s="1334"/>
      <c r="S319" s="1334"/>
      <c r="T319" s="1334"/>
      <c r="U319" s="1334"/>
      <c r="V319" s="1334"/>
      <c r="W319" s="1334"/>
      <c r="X319" s="1334"/>
      <c r="Y319" s="1334"/>
      <c r="Z319" s="1334"/>
    </row>
    <row r="320" spans="4:26" ht="15.75" customHeight="1" x14ac:dyDescent="0.3">
      <c r="D320" s="1334"/>
      <c r="E320" s="1341"/>
      <c r="F320" s="1338"/>
      <c r="G320" s="1338"/>
      <c r="H320" s="1338"/>
      <c r="I320" s="1334"/>
      <c r="J320" s="1334"/>
      <c r="K320" s="1334"/>
      <c r="L320" s="1334"/>
      <c r="M320" s="1334"/>
      <c r="N320" s="1334"/>
      <c r="O320" s="1334"/>
      <c r="P320" s="1334"/>
      <c r="Q320" s="1334"/>
      <c r="R320" s="1334"/>
      <c r="S320" s="1334"/>
      <c r="T320" s="1334"/>
      <c r="U320" s="1334"/>
      <c r="V320" s="1334"/>
      <c r="W320" s="1334"/>
      <c r="X320" s="1334"/>
      <c r="Y320" s="1334"/>
      <c r="Z320" s="1334"/>
    </row>
    <row r="321" spans="4:26" ht="15.75" customHeight="1" x14ac:dyDescent="0.3">
      <c r="D321" s="1334"/>
      <c r="E321" s="1341"/>
      <c r="F321" s="1338"/>
      <c r="G321" s="1338"/>
      <c r="H321" s="1338"/>
      <c r="I321" s="1334"/>
      <c r="J321" s="1334"/>
      <c r="K321" s="1334"/>
      <c r="L321" s="1334"/>
      <c r="M321" s="1334"/>
      <c r="N321" s="1334"/>
      <c r="O321" s="1334"/>
      <c r="P321" s="1334"/>
      <c r="Q321" s="1334"/>
      <c r="R321" s="1334"/>
      <c r="S321" s="1334"/>
      <c r="T321" s="1334"/>
      <c r="U321" s="1334"/>
      <c r="V321" s="1334"/>
      <c r="W321" s="1334"/>
      <c r="X321" s="1334"/>
      <c r="Y321" s="1334"/>
      <c r="Z321" s="1334"/>
    </row>
    <row r="322" spans="4:26" ht="15.75" customHeight="1" x14ac:dyDescent="0.3">
      <c r="D322" s="1334"/>
      <c r="E322" s="1341"/>
      <c r="F322" s="1338"/>
      <c r="G322" s="1338"/>
      <c r="H322" s="1338"/>
      <c r="I322" s="1334"/>
      <c r="J322" s="1334"/>
      <c r="K322" s="1334"/>
      <c r="L322" s="1334"/>
      <c r="M322" s="1334"/>
      <c r="N322" s="1334"/>
      <c r="O322" s="1334"/>
      <c r="P322" s="1334"/>
      <c r="Q322" s="1334"/>
      <c r="R322" s="1334"/>
      <c r="S322" s="1334"/>
      <c r="T322" s="1334"/>
      <c r="U322" s="1334"/>
      <c r="V322" s="1334"/>
      <c r="W322" s="1334"/>
      <c r="X322" s="1334"/>
      <c r="Y322" s="1334"/>
      <c r="Z322" s="1334"/>
    </row>
    <row r="323" spans="4:26" ht="15.75" customHeight="1" x14ac:dyDescent="0.3">
      <c r="D323" s="1334"/>
      <c r="E323" s="1341"/>
      <c r="F323" s="1338"/>
      <c r="G323" s="1338"/>
      <c r="H323" s="1338"/>
      <c r="I323" s="1334"/>
      <c r="J323" s="1334"/>
      <c r="K323" s="1334"/>
      <c r="L323" s="1334"/>
      <c r="M323" s="1334"/>
      <c r="N323" s="1334"/>
      <c r="O323" s="1334"/>
      <c r="P323" s="1334"/>
      <c r="Q323" s="1334"/>
      <c r="R323" s="1334"/>
      <c r="S323" s="1334"/>
      <c r="T323" s="1334"/>
      <c r="U323" s="1334"/>
      <c r="V323" s="1334"/>
      <c r="W323" s="1334"/>
      <c r="X323" s="1334"/>
      <c r="Y323" s="1334"/>
      <c r="Z323" s="1334"/>
    </row>
    <row r="324" spans="4:26" ht="15.75" customHeight="1" x14ac:dyDescent="0.3">
      <c r="D324" s="1334"/>
      <c r="E324" s="1341"/>
      <c r="F324" s="1338"/>
      <c r="G324" s="1338"/>
      <c r="H324" s="1338"/>
      <c r="I324" s="1334"/>
      <c r="J324" s="1334"/>
      <c r="K324" s="1334"/>
      <c r="L324" s="1334"/>
      <c r="M324" s="1334"/>
      <c r="N324" s="1334"/>
      <c r="O324" s="1334"/>
      <c r="P324" s="1334"/>
      <c r="Q324" s="1334"/>
      <c r="R324" s="1334"/>
      <c r="S324" s="1334"/>
      <c r="T324" s="1334"/>
      <c r="U324" s="1334"/>
      <c r="V324" s="1334"/>
      <c r="W324" s="1334"/>
      <c r="X324" s="1334"/>
      <c r="Y324" s="1334"/>
      <c r="Z324" s="1334"/>
    </row>
    <row r="325" spans="4:26" ht="15.75" customHeight="1" x14ac:dyDescent="0.3">
      <c r="D325" s="1334"/>
      <c r="E325" s="1341"/>
      <c r="F325" s="1338"/>
      <c r="G325" s="1338"/>
      <c r="H325" s="1338"/>
      <c r="I325" s="1334"/>
      <c r="J325" s="1334"/>
      <c r="K325" s="1334"/>
      <c r="L325" s="1334"/>
      <c r="M325" s="1334"/>
      <c r="N325" s="1334"/>
      <c r="O325" s="1334"/>
      <c r="P325" s="1334"/>
      <c r="Q325" s="1334"/>
      <c r="R325" s="1334"/>
      <c r="S325" s="1334"/>
      <c r="T325" s="1334"/>
      <c r="U325" s="1334"/>
      <c r="V325" s="1334"/>
      <c r="W325" s="1334"/>
      <c r="X325" s="1334"/>
      <c r="Y325" s="1334"/>
      <c r="Z325" s="1334"/>
    </row>
    <row r="326" spans="4:26" ht="15.75" customHeight="1" x14ac:dyDescent="0.3">
      <c r="D326" s="1334"/>
      <c r="E326" s="1341"/>
      <c r="F326" s="1338"/>
      <c r="G326" s="1338"/>
      <c r="H326" s="1338"/>
      <c r="I326" s="1334"/>
      <c r="J326" s="1334"/>
      <c r="K326" s="1334"/>
      <c r="L326" s="1334"/>
      <c r="M326" s="1334"/>
      <c r="N326" s="1334"/>
      <c r="O326" s="1334"/>
      <c r="P326" s="1334"/>
      <c r="Q326" s="1334"/>
      <c r="R326" s="1334"/>
      <c r="S326" s="1334"/>
      <c r="T326" s="1334"/>
      <c r="U326" s="1334"/>
      <c r="V326" s="1334"/>
      <c r="W326" s="1334"/>
      <c r="X326" s="1334"/>
      <c r="Y326" s="1334"/>
      <c r="Z326" s="1334"/>
    </row>
    <row r="327" spans="4:26" ht="15.75" customHeight="1" x14ac:dyDescent="0.3">
      <c r="D327" s="1334"/>
      <c r="E327" s="1341"/>
      <c r="F327" s="1338"/>
      <c r="G327" s="1338"/>
      <c r="H327" s="1338"/>
      <c r="I327" s="1334"/>
      <c r="J327" s="1334"/>
      <c r="K327" s="1334"/>
      <c r="L327" s="1334"/>
      <c r="M327" s="1334"/>
      <c r="N327" s="1334"/>
      <c r="O327" s="1334"/>
      <c r="P327" s="1334"/>
      <c r="Q327" s="1334"/>
      <c r="R327" s="1334"/>
      <c r="S327" s="1334"/>
      <c r="T327" s="1334"/>
      <c r="U327" s="1334"/>
      <c r="V327" s="1334"/>
      <c r="W327" s="1334"/>
      <c r="X327" s="1334"/>
      <c r="Y327" s="1334"/>
      <c r="Z327" s="1334"/>
    </row>
    <row r="328" spans="4:26" ht="15.75" customHeight="1" x14ac:dyDescent="0.3">
      <c r="D328" s="1334"/>
      <c r="E328" s="1341"/>
      <c r="F328" s="1338"/>
      <c r="G328" s="1338"/>
      <c r="H328" s="1338"/>
      <c r="I328" s="1334"/>
      <c r="J328" s="1334"/>
      <c r="K328" s="1334"/>
      <c r="L328" s="1334"/>
      <c r="M328" s="1334"/>
      <c r="N328" s="1334"/>
      <c r="O328" s="1334"/>
      <c r="P328" s="1334"/>
      <c r="Q328" s="1334"/>
      <c r="R328" s="1334"/>
      <c r="S328" s="1334"/>
      <c r="T328" s="1334"/>
      <c r="U328" s="1334"/>
      <c r="V328" s="1334"/>
      <c r="W328" s="1334"/>
      <c r="X328" s="1334"/>
      <c r="Y328" s="1334"/>
      <c r="Z328" s="1334"/>
    </row>
    <row r="329" spans="4:26" ht="15.75" customHeight="1" x14ac:dyDescent="0.3">
      <c r="D329" s="1334"/>
      <c r="E329" s="1341"/>
      <c r="F329" s="1338"/>
      <c r="G329" s="1338"/>
      <c r="H329" s="1338"/>
      <c r="I329" s="1334"/>
      <c r="J329" s="1334"/>
      <c r="K329" s="1334"/>
      <c r="L329" s="1334"/>
      <c r="M329" s="1334"/>
      <c r="N329" s="1334"/>
      <c r="O329" s="1334"/>
      <c r="P329" s="1334"/>
      <c r="Q329" s="1334"/>
      <c r="R329" s="1334"/>
      <c r="S329" s="1334"/>
      <c r="T329" s="1334"/>
      <c r="U329" s="1334"/>
      <c r="V329" s="1334"/>
      <c r="W329" s="1334"/>
      <c r="X329" s="1334"/>
      <c r="Y329" s="1334"/>
      <c r="Z329" s="1334"/>
    </row>
    <row r="330" spans="4:26" ht="15.75" customHeight="1" x14ac:dyDescent="0.3">
      <c r="D330" s="1334"/>
      <c r="E330" s="1341"/>
      <c r="F330" s="1338"/>
      <c r="G330" s="1338"/>
      <c r="H330" s="1338"/>
      <c r="I330" s="1334"/>
      <c r="J330" s="1334"/>
      <c r="K330" s="1334"/>
      <c r="L330" s="1334"/>
      <c r="M330" s="1334"/>
      <c r="N330" s="1334"/>
      <c r="O330" s="1334"/>
      <c r="P330" s="1334"/>
      <c r="Q330" s="1334"/>
      <c r="R330" s="1334"/>
      <c r="S330" s="1334"/>
      <c r="T330" s="1334"/>
      <c r="U330" s="1334"/>
      <c r="V330" s="1334"/>
      <c r="W330" s="1334"/>
      <c r="X330" s="1334"/>
      <c r="Y330" s="1334"/>
      <c r="Z330" s="1334"/>
    </row>
    <row r="331" spans="4:26" ht="15.75" customHeight="1" x14ac:dyDescent="0.3">
      <c r="D331" s="1334"/>
      <c r="E331" s="1341"/>
      <c r="F331" s="1338"/>
      <c r="G331" s="1338"/>
      <c r="H331" s="1338"/>
      <c r="I331" s="1334"/>
      <c r="J331" s="1334"/>
      <c r="K331" s="1334"/>
      <c r="L331" s="1334"/>
      <c r="M331" s="1334"/>
      <c r="N331" s="1334"/>
      <c r="O331" s="1334"/>
      <c r="P331" s="1334"/>
      <c r="Q331" s="1334"/>
      <c r="R331" s="1334"/>
      <c r="S331" s="1334"/>
      <c r="T331" s="1334"/>
      <c r="U331" s="1334"/>
      <c r="V331" s="1334"/>
      <c r="W331" s="1334"/>
      <c r="X331" s="1334"/>
      <c r="Y331" s="1334"/>
      <c r="Z331" s="1334"/>
    </row>
    <row r="332" spans="4:26" ht="15.75" customHeight="1" x14ac:dyDescent="0.3">
      <c r="D332" s="1334"/>
      <c r="E332" s="1341"/>
      <c r="F332" s="1338"/>
      <c r="G332" s="1338"/>
      <c r="H332" s="1338"/>
      <c r="I332" s="1334"/>
      <c r="J332" s="1334"/>
      <c r="K332" s="1334"/>
      <c r="L332" s="1334"/>
      <c r="M332" s="1334"/>
      <c r="N332" s="1334"/>
      <c r="O332" s="1334"/>
      <c r="P332" s="1334"/>
      <c r="Q332" s="1334"/>
      <c r="R332" s="1334"/>
      <c r="S332" s="1334"/>
      <c r="T332" s="1334"/>
      <c r="U332" s="1334"/>
      <c r="V332" s="1334"/>
      <c r="W332" s="1334"/>
      <c r="X332" s="1334"/>
      <c r="Y332" s="1334"/>
      <c r="Z332" s="1334"/>
    </row>
    <row r="333" spans="4:26" ht="15.75" customHeight="1" x14ac:dyDescent="0.3">
      <c r="D333" s="1334"/>
      <c r="E333" s="1341"/>
      <c r="F333" s="1338"/>
      <c r="G333" s="1338"/>
      <c r="H333" s="1338"/>
      <c r="I333" s="1334"/>
      <c r="J333" s="1334"/>
      <c r="K333" s="1334"/>
      <c r="L333" s="1334"/>
      <c r="M333" s="1334"/>
      <c r="N333" s="1334"/>
      <c r="O333" s="1334"/>
      <c r="P333" s="1334"/>
      <c r="Q333" s="1334"/>
      <c r="R333" s="1334"/>
      <c r="S333" s="1334"/>
      <c r="T333" s="1334"/>
      <c r="U333" s="1334"/>
      <c r="V333" s="1334"/>
      <c r="W333" s="1334"/>
      <c r="X333" s="1334"/>
      <c r="Y333" s="1334"/>
      <c r="Z333" s="1334"/>
    </row>
    <row r="334" spans="4:26" ht="15.75" customHeight="1" x14ac:dyDescent="0.3">
      <c r="D334" s="1334"/>
      <c r="E334" s="1341"/>
      <c r="F334" s="1338"/>
      <c r="G334" s="1338"/>
      <c r="H334" s="1338"/>
      <c r="I334" s="1334"/>
      <c r="J334" s="1334"/>
      <c r="K334" s="1334"/>
      <c r="L334" s="1334"/>
      <c r="M334" s="1334"/>
      <c r="N334" s="1334"/>
      <c r="O334" s="1334"/>
      <c r="P334" s="1334"/>
      <c r="Q334" s="1334"/>
      <c r="R334" s="1334"/>
      <c r="S334" s="1334"/>
      <c r="T334" s="1334"/>
      <c r="U334" s="1334"/>
      <c r="V334" s="1334"/>
      <c r="W334" s="1334"/>
      <c r="X334" s="1334"/>
      <c r="Y334" s="1334"/>
      <c r="Z334" s="1334"/>
    </row>
    <row r="335" spans="4:26" ht="15.75" customHeight="1" x14ac:dyDescent="0.3">
      <c r="D335" s="1334"/>
      <c r="E335" s="1341"/>
      <c r="F335" s="1338"/>
      <c r="G335" s="1338"/>
      <c r="H335" s="1338"/>
      <c r="I335" s="1334"/>
      <c r="J335" s="1334"/>
      <c r="K335" s="1334"/>
      <c r="L335" s="1334"/>
      <c r="M335" s="1334"/>
      <c r="N335" s="1334"/>
      <c r="O335" s="1334"/>
      <c r="P335" s="1334"/>
      <c r="Q335" s="1334"/>
      <c r="R335" s="1334"/>
      <c r="S335" s="1334"/>
      <c r="T335" s="1334"/>
      <c r="U335" s="1334"/>
      <c r="V335" s="1334"/>
      <c r="W335" s="1334"/>
      <c r="X335" s="1334"/>
      <c r="Y335" s="1334"/>
      <c r="Z335" s="1334"/>
    </row>
    <row r="336" spans="4:26" ht="15.75" customHeight="1" x14ac:dyDescent="0.3">
      <c r="D336" s="1334"/>
      <c r="E336" s="1341"/>
      <c r="F336" s="1338"/>
      <c r="G336" s="1338"/>
      <c r="H336" s="1338"/>
      <c r="I336" s="1334"/>
      <c r="J336" s="1334"/>
      <c r="K336" s="1334"/>
      <c r="L336" s="1334"/>
      <c r="M336" s="1334"/>
      <c r="N336" s="1334"/>
      <c r="O336" s="1334"/>
      <c r="P336" s="1334"/>
      <c r="Q336" s="1334"/>
      <c r="R336" s="1334"/>
      <c r="S336" s="1334"/>
      <c r="T336" s="1334"/>
      <c r="U336" s="1334"/>
      <c r="V336" s="1334"/>
      <c r="W336" s="1334"/>
      <c r="X336" s="1334"/>
      <c r="Y336" s="1334"/>
      <c r="Z336" s="1334"/>
    </row>
    <row r="337" spans="4:26" ht="15.75" customHeight="1" x14ac:dyDescent="0.3">
      <c r="D337" s="1334"/>
      <c r="E337" s="1341"/>
      <c r="F337" s="1338"/>
      <c r="G337" s="1338"/>
      <c r="H337" s="1338"/>
      <c r="I337" s="1334"/>
      <c r="J337" s="1334"/>
      <c r="K337" s="1334"/>
      <c r="L337" s="1334"/>
      <c r="M337" s="1334"/>
      <c r="N337" s="1334"/>
      <c r="O337" s="1334"/>
      <c r="P337" s="1334"/>
      <c r="Q337" s="1334"/>
      <c r="R337" s="1334"/>
      <c r="S337" s="1334"/>
      <c r="T337" s="1334"/>
      <c r="U337" s="1334"/>
      <c r="V337" s="1334"/>
      <c r="W337" s="1334"/>
      <c r="X337" s="1334"/>
      <c r="Y337" s="1334"/>
      <c r="Z337" s="1334"/>
    </row>
    <row r="338" spans="4:26" ht="15.75" customHeight="1" x14ac:dyDescent="0.3">
      <c r="D338" s="1334"/>
      <c r="E338" s="1341"/>
      <c r="F338" s="1338"/>
      <c r="G338" s="1338"/>
      <c r="H338" s="1338"/>
      <c r="I338" s="1334"/>
      <c r="J338" s="1334"/>
      <c r="K338" s="1334"/>
      <c r="L338" s="1334"/>
      <c r="M338" s="1334"/>
      <c r="N338" s="1334"/>
      <c r="O338" s="1334"/>
      <c r="P338" s="1334"/>
      <c r="Q338" s="1334"/>
      <c r="R338" s="1334"/>
      <c r="S338" s="1334"/>
      <c r="T338" s="1334"/>
      <c r="U338" s="1334"/>
      <c r="V338" s="1334"/>
      <c r="W338" s="1334"/>
      <c r="X338" s="1334"/>
      <c r="Y338" s="1334"/>
      <c r="Z338" s="1334"/>
    </row>
    <row r="339" spans="4:26" ht="15.75" customHeight="1" x14ac:dyDescent="0.3">
      <c r="D339" s="1334"/>
      <c r="E339" s="1341"/>
      <c r="F339" s="1338"/>
      <c r="G339" s="1338"/>
      <c r="H339" s="1338"/>
      <c r="I339" s="1334"/>
      <c r="J339" s="1334"/>
      <c r="K339" s="1334"/>
      <c r="L339" s="1334"/>
      <c r="M339" s="1334"/>
      <c r="N339" s="1334"/>
      <c r="O339" s="1334"/>
      <c r="P339" s="1334"/>
      <c r="Q339" s="1334"/>
      <c r="R339" s="1334"/>
      <c r="S339" s="1334"/>
      <c r="T339" s="1334"/>
      <c r="U339" s="1334"/>
      <c r="V339" s="1334"/>
      <c r="W339" s="1334"/>
      <c r="X339" s="1334"/>
      <c r="Y339" s="1334"/>
      <c r="Z339" s="1334"/>
    </row>
    <row r="340" spans="4:26" ht="15.75" customHeight="1" x14ac:dyDescent="0.3">
      <c r="D340" s="1334"/>
      <c r="E340" s="1341"/>
      <c r="F340" s="1338"/>
      <c r="G340" s="1338"/>
      <c r="H340" s="1338"/>
      <c r="I340" s="1334"/>
      <c r="J340" s="1334"/>
      <c r="K340" s="1334"/>
      <c r="L340" s="1334"/>
      <c r="M340" s="1334"/>
      <c r="N340" s="1334"/>
      <c r="O340" s="1334"/>
      <c r="P340" s="1334"/>
      <c r="Q340" s="1334"/>
      <c r="R340" s="1334"/>
      <c r="S340" s="1334"/>
      <c r="T340" s="1334"/>
      <c r="U340" s="1334"/>
      <c r="V340" s="1334"/>
      <c r="W340" s="1334"/>
      <c r="X340" s="1334"/>
      <c r="Y340" s="1334"/>
      <c r="Z340" s="1334"/>
    </row>
    <row r="341" spans="4:26" ht="15.75" customHeight="1" x14ac:dyDescent="0.3">
      <c r="D341" s="1334"/>
      <c r="E341" s="1341"/>
      <c r="F341" s="1338"/>
      <c r="G341" s="1338"/>
      <c r="H341" s="1338"/>
      <c r="I341" s="1334"/>
      <c r="J341" s="1334"/>
      <c r="K341" s="1334"/>
      <c r="L341" s="1334"/>
      <c r="M341" s="1334"/>
      <c r="N341" s="1334"/>
      <c r="O341" s="1334"/>
      <c r="P341" s="1334"/>
      <c r="Q341" s="1334"/>
      <c r="R341" s="1334"/>
      <c r="S341" s="1334"/>
      <c r="T341" s="1334"/>
      <c r="U341" s="1334"/>
      <c r="V341" s="1334"/>
      <c r="W341" s="1334"/>
      <c r="X341" s="1334"/>
      <c r="Y341" s="1334"/>
      <c r="Z341" s="1334"/>
    </row>
    <row r="342" spans="4:26" ht="15.75" customHeight="1" x14ac:dyDescent="0.3">
      <c r="D342" s="1334"/>
      <c r="E342" s="1341"/>
      <c r="F342" s="1338"/>
      <c r="G342" s="1338"/>
      <c r="H342" s="1338"/>
      <c r="I342" s="1334"/>
      <c r="J342" s="1334"/>
      <c r="K342" s="1334"/>
      <c r="L342" s="1334"/>
      <c r="M342" s="1334"/>
      <c r="N342" s="1334"/>
      <c r="O342" s="1334"/>
      <c r="P342" s="1334"/>
      <c r="Q342" s="1334"/>
      <c r="R342" s="1334"/>
      <c r="S342" s="1334"/>
      <c r="T342" s="1334"/>
      <c r="U342" s="1334"/>
      <c r="V342" s="1334"/>
      <c r="W342" s="1334"/>
      <c r="X342" s="1334"/>
      <c r="Y342" s="1334"/>
      <c r="Z342" s="1334"/>
    </row>
    <row r="343" spans="4:26" ht="15.75" customHeight="1" x14ac:dyDescent="0.3">
      <c r="D343" s="1334"/>
      <c r="E343" s="1341"/>
      <c r="F343" s="1338"/>
      <c r="G343" s="1338"/>
      <c r="H343" s="1338"/>
      <c r="I343" s="1334"/>
      <c r="J343" s="1334"/>
      <c r="K343" s="1334"/>
      <c r="L343" s="1334"/>
      <c r="M343" s="1334"/>
      <c r="N343" s="1334"/>
      <c r="O343" s="1334"/>
      <c r="P343" s="1334"/>
      <c r="Q343" s="1334"/>
      <c r="R343" s="1334"/>
      <c r="S343" s="1334"/>
      <c r="T343" s="1334"/>
      <c r="U343" s="1334"/>
      <c r="V343" s="1334"/>
      <c r="W343" s="1334"/>
      <c r="X343" s="1334"/>
      <c r="Y343" s="1334"/>
      <c r="Z343" s="1334"/>
    </row>
    <row r="344" spans="4:26" ht="15.75" customHeight="1" x14ac:dyDescent="0.3">
      <c r="D344" s="1334"/>
      <c r="E344" s="1341"/>
      <c r="F344" s="1338"/>
      <c r="G344" s="1338"/>
      <c r="H344" s="1338"/>
      <c r="I344" s="1334"/>
      <c r="J344" s="1334"/>
      <c r="K344" s="1334"/>
      <c r="L344" s="1334"/>
      <c r="M344" s="1334"/>
      <c r="N344" s="1334"/>
      <c r="O344" s="1334"/>
      <c r="P344" s="1334"/>
      <c r="Q344" s="1334"/>
      <c r="R344" s="1334"/>
      <c r="S344" s="1334"/>
      <c r="T344" s="1334"/>
      <c r="U344" s="1334"/>
      <c r="V344" s="1334"/>
      <c r="W344" s="1334"/>
      <c r="X344" s="1334"/>
      <c r="Y344" s="1334"/>
      <c r="Z344" s="1334"/>
    </row>
    <row r="345" spans="4:26" ht="15.75" customHeight="1" x14ac:dyDescent="0.3">
      <c r="D345" s="1334"/>
      <c r="E345" s="1341"/>
      <c r="F345" s="1338"/>
      <c r="G345" s="1338"/>
      <c r="H345" s="1338"/>
      <c r="I345" s="1334"/>
      <c r="J345" s="1334"/>
      <c r="K345" s="1334"/>
      <c r="L345" s="1334"/>
      <c r="M345" s="1334"/>
      <c r="N345" s="1334"/>
      <c r="O345" s="1334"/>
      <c r="P345" s="1334"/>
      <c r="Q345" s="1334"/>
      <c r="R345" s="1334"/>
      <c r="S345" s="1334"/>
      <c r="T345" s="1334"/>
      <c r="U345" s="1334"/>
      <c r="V345" s="1334"/>
      <c r="W345" s="1334"/>
      <c r="X345" s="1334"/>
      <c r="Y345" s="1334"/>
      <c r="Z345" s="1334"/>
    </row>
    <row r="346" spans="4:26" ht="15.75" customHeight="1" x14ac:dyDescent="0.3">
      <c r="D346" s="1334"/>
      <c r="E346" s="1341"/>
      <c r="F346" s="1338"/>
      <c r="G346" s="1338"/>
      <c r="H346" s="1338"/>
      <c r="I346" s="1334"/>
      <c r="J346" s="1334"/>
      <c r="K346" s="1334"/>
      <c r="L346" s="1334"/>
      <c r="M346" s="1334"/>
      <c r="N346" s="1334"/>
      <c r="O346" s="1334"/>
      <c r="P346" s="1334"/>
      <c r="Q346" s="1334"/>
      <c r="R346" s="1334"/>
      <c r="S346" s="1334"/>
      <c r="T346" s="1334"/>
      <c r="U346" s="1334"/>
      <c r="V346" s="1334"/>
      <c r="W346" s="1334"/>
      <c r="X346" s="1334"/>
      <c r="Y346" s="1334"/>
      <c r="Z346" s="1334"/>
    </row>
    <row r="347" spans="4:26" ht="15.75" customHeight="1" x14ac:dyDescent="0.3">
      <c r="D347" s="1334"/>
      <c r="E347" s="1341"/>
      <c r="F347" s="1338"/>
      <c r="G347" s="1338"/>
      <c r="H347" s="1338"/>
      <c r="I347" s="1334"/>
      <c r="J347" s="1334"/>
      <c r="K347" s="1334"/>
      <c r="L347" s="1334"/>
      <c r="M347" s="1334"/>
      <c r="N347" s="1334"/>
      <c r="O347" s="1334"/>
      <c r="P347" s="1334"/>
      <c r="Q347" s="1334"/>
      <c r="R347" s="1334"/>
      <c r="S347" s="1334"/>
      <c r="T347" s="1334"/>
      <c r="U347" s="1334"/>
      <c r="V347" s="1334"/>
      <c r="W347" s="1334"/>
      <c r="X347" s="1334"/>
      <c r="Y347" s="1334"/>
      <c r="Z347" s="1334"/>
    </row>
    <row r="348" spans="4:26" ht="15.75" customHeight="1" x14ac:dyDescent="0.3">
      <c r="D348" s="1334"/>
      <c r="E348" s="1341"/>
      <c r="F348" s="1338"/>
      <c r="G348" s="1338"/>
      <c r="H348" s="1338"/>
      <c r="I348" s="1334"/>
      <c r="J348" s="1334"/>
      <c r="K348" s="1334"/>
      <c r="L348" s="1334"/>
      <c r="M348" s="1334"/>
      <c r="N348" s="1334"/>
      <c r="O348" s="1334"/>
      <c r="P348" s="1334"/>
      <c r="Q348" s="1334"/>
      <c r="R348" s="1334"/>
      <c r="S348" s="1334"/>
      <c r="T348" s="1334"/>
      <c r="U348" s="1334"/>
      <c r="V348" s="1334"/>
      <c r="W348" s="1334"/>
      <c r="X348" s="1334"/>
      <c r="Y348" s="1334"/>
      <c r="Z348" s="1334"/>
    </row>
    <row r="349" spans="4:26" ht="15.75" customHeight="1" x14ac:dyDescent="0.3">
      <c r="D349" s="1334"/>
      <c r="E349" s="1341"/>
      <c r="F349" s="1338"/>
      <c r="G349" s="1338"/>
      <c r="H349" s="1338"/>
      <c r="I349" s="1334"/>
      <c r="J349" s="1334"/>
      <c r="K349" s="1334"/>
      <c r="L349" s="1334"/>
      <c r="M349" s="1334"/>
      <c r="N349" s="1334"/>
      <c r="O349" s="1334"/>
      <c r="P349" s="1334"/>
      <c r="Q349" s="1334"/>
      <c r="R349" s="1334"/>
      <c r="S349" s="1334"/>
      <c r="T349" s="1334"/>
      <c r="U349" s="1334"/>
      <c r="V349" s="1334"/>
      <c r="W349" s="1334"/>
      <c r="X349" s="1334"/>
      <c r="Y349" s="1334"/>
      <c r="Z349" s="1334"/>
    </row>
    <row r="350" spans="4:26" ht="15.75" customHeight="1" x14ac:dyDescent="0.3">
      <c r="D350" s="1334"/>
      <c r="E350" s="1341"/>
      <c r="F350" s="1338"/>
      <c r="G350" s="1338"/>
      <c r="H350" s="1338"/>
      <c r="I350" s="1334"/>
      <c r="J350" s="1334"/>
      <c r="K350" s="1334"/>
      <c r="L350" s="1334"/>
      <c r="M350" s="1334"/>
      <c r="N350" s="1334"/>
      <c r="O350" s="1334"/>
      <c r="P350" s="1334"/>
      <c r="Q350" s="1334"/>
      <c r="R350" s="1334"/>
      <c r="S350" s="1334"/>
      <c r="T350" s="1334"/>
      <c r="U350" s="1334"/>
      <c r="V350" s="1334"/>
      <c r="W350" s="1334"/>
      <c r="X350" s="1334"/>
      <c r="Y350" s="1334"/>
      <c r="Z350" s="1334"/>
    </row>
    <row r="351" spans="4:26" ht="15.75" customHeight="1" x14ac:dyDescent="0.3">
      <c r="D351" s="1334"/>
      <c r="E351" s="1341"/>
      <c r="F351" s="1338"/>
      <c r="G351" s="1338"/>
      <c r="H351" s="1338"/>
      <c r="I351" s="1334"/>
      <c r="J351" s="1334"/>
      <c r="K351" s="1334"/>
      <c r="L351" s="1334"/>
      <c r="M351" s="1334"/>
      <c r="N351" s="1334"/>
      <c r="O351" s="1334"/>
      <c r="P351" s="1334"/>
      <c r="Q351" s="1334"/>
      <c r="R351" s="1334"/>
      <c r="S351" s="1334"/>
      <c r="T351" s="1334"/>
      <c r="U351" s="1334"/>
      <c r="V351" s="1334"/>
      <c r="W351" s="1334"/>
      <c r="X351" s="1334"/>
      <c r="Y351" s="1334"/>
      <c r="Z351" s="1334"/>
    </row>
    <row r="352" spans="4:26" ht="15.75" customHeight="1" x14ac:dyDescent="0.3">
      <c r="D352" s="1334"/>
      <c r="E352" s="1341"/>
      <c r="F352" s="1338"/>
      <c r="G352" s="1338"/>
      <c r="H352" s="1338"/>
      <c r="I352" s="1334"/>
      <c r="J352" s="1334"/>
      <c r="K352" s="1334"/>
      <c r="L352" s="1334"/>
      <c r="M352" s="1334"/>
      <c r="N352" s="1334"/>
      <c r="O352" s="1334"/>
      <c r="P352" s="1334"/>
      <c r="Q352" s="1334"/>
      <c r="R352" s="1334"/>
      <c r="S352" s="1334"/>
      <c r="T352" s="1334"/>
      <c r="U352" s="1334"/>
      <c r="V352" s="1334"/>
      <c r="W352" s="1334"/>
      <c r="X352" s="1334"/>
      <c r="Y352" s="1334"/>
      <c r="Z352" s="1334"/>
    </row>
    <row r="353" spans="4:26" ht="15.75" customHeight="1" x14ac:dyDescent="0.3">
      <c r="D353" s="1334"/>
      <c r="E353" s="1341"/>
      <c r="F353" s="1338"/>
      <c r="G353" s="1338"/>
      <c r="H353" s="1338"/>
      <c r="I353" s="1334"/>
      <c r="J353" s="1334"/>
      <c r="K353" s="1334"/>
      <c r="L353" s="1334"/>
      <c r="M353" s="1334"/>
      <c r="N353" s="1334"/>
      <c r="O353" s="1334"/>
      <c r="P353" s="1334"/>
      <c r="Q353" s="1334"/>
      <c r="R353" s="1334"/>
      <c r="S353" s="1334"/>
      <c r="T353" s="1334"/>
      <c r="U353" s="1334"/>
      <c r="V353" s="1334"/>
      <c r="W353" s="1334"/>
      <c r="X353" s="1334"/>
      <c r="Y353" s="1334"/>
      <c r="Z353" s="1334"/>
    </row>
    <row r="354" spans="4:26" ht="15.75" customHeight="1" x14ac:dyDescent="0.3">
      <c r="D354" s="1334"/>
      <c r="E354" s="1341"/>
      <c r="F354" s="1338"/>
      <c r="G354" s="1338"/>
      <c r="H354" s="1338"/>
      <c r="I354" s="1334"/>
      <c r="J354" s="1334"/>
      <c r="K354" s="1334"/>
      <c r="L354" s="1334"/>
      <c r="M354" s="1334"/>
      <c r="N354" s="1334"/>
      <c r="O354" s="1334"/>
      <c r="P354" s="1334"/>
      <c r="Q354" s="1334"/>
      <c r="R354" s="1334"/>
      <c r="S354" s="1334"/>
      <c r="T354" s="1334"/>
      <c r="U354" s="1334"/>
      <c r="V354" s="1334"/>
      <c r="W354" s="1334"/>
      <c r="X354" s="1334"/>
      <c r="Y354" s="1334"/>
      <c r="Z354" s="1334"/>
    </row>
    <row r="355" spans="4:26" ht="15.75" customHeight="1" x14ac:dyDescent="0.3">
      <c r="D355" s="1334"/>
      <c r="E355" s="1341"/>
      <c r="F355" s="1338"/>
      <c r="G355" s="1338"/>
      <c r="H355" s="1338"/>
      <c r="I355" s="1334"/>
      <c r="J355" s="1334"/>
      <c r="K355" s="1334"/>
      <c r="L355" s="1334"/>
      <c r="M355" s="1334"/>
      <c r="N355" s="1334"/>
      <c r="O355" s="1334"/>
      <c r="P355" s="1334"/>
      <c r="Q355" s="1334"/>
      <c r="R355" s="1334"/>
      <c r="S355" s="1334"/>
      <c r="T355" s="1334"/>
      <c r="U355" s="1334"/>
      <c r="V355" s="1334"/>
      <c r="W355" s="1334"/>
      <c r="X355" s="1334"/>
      <c r="Y355" s="1334"/>
      <c r="Z355" s="1334"/>
    </row>
    <row r="356" spans="4:26" ht="15.75" customHeight="1" x14ac:dyDescent="0.3">
      <c r="D356" s="1334"/>
      <c r="E356" s="1341"/>
      <c r="F356" s="1338"/>
      <c r="G356" s="1338"/>
      <c r="H356" s="1338"/>
      <c r="I356" s="1334"/>
      <c r="J356" s="1334"/>
      <c r="K356" s="1334"/>
      <c r="L356" s="1334"/>
      <c r="M356" s="1334"/>
      <c r="N356" s="1334"/>
      <c r="O356" s="1334"/>
      <c r="P356" s="1334"/>
      <c r="Q356" s="1334"/>
      <c r="R356" s="1334"/>
      <c r="S356" s="1334"/>
      <c r="T356" s="1334"/>
      <c r="U356" s="1334"/>
      <c r="V356" s="1334"/>
      <c r="W356" s="1334"/>
      <c r="X356" s="1334"/>
      <c r="Y356" s="1334"/>
      <c r="Z356" s="1334"/>
    </row>
    <row r="357" spans="4:26" ht="15.75" customHeight="1" x14ac:dyDescent="0.3">
      <c r="D357" s="1334"/>
      <c r="E357" s="1341"/>
      <c r="F357" s="1338"/>
      <c r="G357" s="1338"/>
      <c r="H357" s="1338"/>
      <c r="I357" s="1334"/>
      <c r="J357" s="1334"/>
      <c r="K357" s="1334"/>
      <c r="L357" s="1334"/>
      <c r="M357" s="1334"/>
      <c r="N357" s="1334"/>
      <c r="O357" s="1334"/>
      <c r="P357" s="1334"/>
      <c r="Q357" s="1334"/>
      <c r="R357" s="1334"/>
      <c r="S357" s="1334"/>
      <c r="T357" s="1334"/>
      <c r="U357" s="1334"/>
      <c r="V357" s="1334"/>
      <c r="W357" s="1334"/>
      <c r="X357" s="1334"/>
      <c r="Y357" s="1334"/>
      <c r="Z357" s="1334"/>
    </row>
    <row r="358" spans="4:26" ht="15.75" customHeight="1" x14ac:dyDescent="0.3">
      <c r="D358" s="1334"/>
      <c r="E358" s="1341"/>
      <c r="F358" s="1338"/>
      <c r="G358" s="1338"/>
      <c r="H358" s="1338"/>
      <c r="I358" s="1334"/>
      <c r="J358" s="1334"/>
      <c r="K358" s="1334"/>
      <c r="L358" s="1334"/>
      <c r="M358" s="1334"/>
      <c r="N358" s="1334"/>
      <c r="O358" s="1334"/>
      <c r="P358" s="1334"/>
      <c r="Q358" s="1334"/>
      <c r="R358" s="1334"/>
      <c r="S358" s="1334"/>
      <c r="T358" s="1334"/>
      <c r="U358" s="1334"/>
      <c r="V358" s="1334"/>
      <c r="W358" s="1334"/>
      <c r="X358" s="1334"/>
      <c r="Y358" s="1334"/>
      <c r="Z358" s="1334"/>
    </row>
    <row r="359" spans="4:26" ht="15.75" customHeight="1" x14ac:dyDescent="0.3">
      <c r="D359" s="1334"/>
      <c r="E359" s="1341"/>
      <c r="F359" s="1338"/>
      <c r="G359" s="1338"/>
      <c r="H359" s="1338"/>
      <c r="I359" s="1334"/>
      <c r="J359" s="1334"/>
      <c r="K359" s="1334"/>
      <c r="L359" s="1334"/>
      <c r="M359" s="1334"/>
      <c r="N359" s="1334"/>
      <c r="O359" s="1334"/>
      <c r="P359" s="1334"/>
      <c r="Q359" s="1334"/>
      <c r="R359" s="1334"/>
      <c r="S359" s="1334"/>
      <c r="T359" s="1334"/>
      <c r="U359" s="1334"/>
      <c r="V359" s="1334"/>
      <c r="W359" s="1334"/>
      <c r="X359" s="1334"/>
      <c r="Y359" s="1334"/>
      <c r="Z359" s="1334"/>
    </row>
    <row r="360" spans="4:26" ht="15.75" customHeight="1" x14ac:dyDescent="0.3">
      <c r="D360" s="1334"/>
      <c r="E360" s="1341"/>
      <c r="F360" s="1338"/>
      <c r="G360" s="1338"/>
      <c r="H360" s="1338"/>
      <c r="I360" s="1334"/>
      <c r="J360" s="1334"/>
      <c r="K360" s="1334"/>
      <c r="L360" s="1334"/>
      <c r="M360" s="1334"/>
      <c r="N360" s="1334"/>
      <c r="O360" s="1334"/>
      <c r="P360" s="1334"/>
      <c r="Q360" s="1334"/>
      <c r="R360" s="1334"/>
      <c r="S360" s="1334"/>
      <c r="T360" s="1334"/>
      <c r="U360" s="1334"/>
      <c r="V360" s="1334"/>
      <c r="W360" s="1334"/>
      <c r="X360" s="1334"/>
      <c r="Y360" s="1334"/>
      <c r="Z360" s="1334"/>
    </row>
    <row r="361" spans="4:26" ht="15.75" customHeight="1" x14ac:dyDescent="0.3">
      <c r="D361" s="1334"/>
      <c r="E361" s="1341"/>
      <c r="F361" s="1338"/>
      <c r="G361" s="1338"/>
      <c r="H361" s="1338"/>
      <c r="I361" s="1334"/>
      <c r="J361" s="1334"/>
      <c r="K361" s="1334"/>
      <c r="L361" s="1334"/>
      <c r="M361" s="1334"/>
      <c r="N361" s="1334"/>
      <c r="O361" s="1334"/>
      <c r="P361" s="1334"/>
      <c r="Q361" s="1334"/>
      <c r="R361" s="1334"/>
      <c r="S361" s="1334"/>
      <c r="T361" s="1334"/>
      <c r="U361" s="1334"/>
      <c r="V361" s="1334"/>
      <c r="W361" s="1334"/>
      <c r="X361" s="1334"/>
      <c r="Y361" s="1334"/>
      <c r="Z361" s="1334"/>
    </row>
    <row r="362" spans="4:26" ht="15.75" customHeight="1" x14ac:dyDescent="0.3">
      <c r="D362" s="1334"/>
      <c r="E362" s="1341"/>
      <c r="F362" s="1338"/>
      <c r="G362" s="1338"/>
      <c r="H362" s="1338"/>
      <c r="I362" s="1334"/>
      <c r="J362" s="1334"/>
      <c r="K362" s="1334"/>
      <c r="L362" s="1334"/>
      <c r="M362" s="1334"/>
      <c r="N362" s="1334"/>
      <c r="O362" s="1334"/>
      <c r="P362" s="1334"/>
      <c r="Q362" s="1334"/>
      <c r="R362" s="1334"/>
      <c r="S362" s="1334"/>
      <c r="T362" s="1334"/>
      <c r="U362" s="1334"/>
      <c r="V362" s="1334"/>
      <c r="W362" s="1334"/>
      <c r="X362" s="1334"/>
      <c r="Y362" s="1334"/>
      <c r="Z362" s="1334"/>
    </row>
    <row r="363" spans="4:26" ht="15.75" customHeight="1" x14ac:dyDescent="0.3">
      <c r="D363" s="1334"/>
      <c r="E363" s="1341"/>
      <c r="F363" s="1338"/>
      <c r="G363" s="1338"/>
      <c r="H363" s="1338"/>
      <c r="I363" s="1334"/>
      <c r="J363" s="1334"/>
      <c r="K363" s="1334"/>
      <c r="L363" s="1334"/>
      <c r="M363" s="1334"/>
      <c r="N363" s="1334"/>
      <c r="O363" s="1334"/>
      <c r="P363" s="1334"/>
      <c r="Q363" s="1334"/>
      <c r="R363" s="1334"/>
      <c r="S363" s="1334"/>
      <c r="T363" s="1334"/>
      <c r="U363" s="1334"/>
      <c r="V363" s="1334"/>
      <c r="W363" s="1334"/>
      <c r="X363" s="1334"/>
      <c r="Y363" s="1334"/>
      <c r="Z363" s="1334"/>
    </row>
    <row r="364" spans="4:26" ht="15.75" customHeight="1" x14ac:dyDescent="0.3">
      <c r="D364" s="1334"/>
      <c r="E364" s="1341"/>
      <c r="F364" s="1338"/>
      <c r="G364" s="1338"/>
      <c r="H364" s="1338"/>
      <c r="I364" s="1334"/>
      <c r="J364" s="1334"/>
      <c r="K364" s="1334"/>
      <c r="L364" s="1334"/>
      <c r="M364" s="1334"/>
      <c r="N364" s="1334"/>
      <c r="O364" s="1334"/>
      <c r="P364" s="1334"/>
      <c r="Q364" s="1334"/>
      <c r="R364" s="1334"/>
      <c r="S364" s="1334"/>
      <c r="T364" s="1334"/>
      <c r="U364" s="1334"/>
      <c r="V364" s="1334"/>
      <c r="W364" s="1334"/>
      <c r="X364" s="1334"/>
      <c r="Y364" s="1334"/>
      <c r="Z364" s="1334"/>
    </row>
    <row r="365" spans="4:26" ht="15.75" customHeight="1" x14ac:dyDescent="0.3">
      <c r="D365" s="1334"/>
      <c r="E365" s="1341"/>
      <c r="F365" s="1338"/>
      <c r="G365" s="1338"/>
      <c r="H365" s="1338"/>
      <c r="I365" s="1334"/>
      <c r="J365" s="1334"/>
      <c r="K365" s="1334"/>
      <c r="L365" s="1334"/>
      <c r="M365" s="1334"/>
      <c r="N365" s="1334"/>
      <c r="O365" s="1334"/>
      <c r="P365" s="1334"/>
      <c r="Q365" s="1334"/>
      <c r="R365" s="1334"/>
      <c r="S365" s="1334"/>
      <c r="T365" s="1334"/>
      <c r="U365" s="1334"/>
      <c r="V365" s="1334"/>
      <c r="W365" s="1334"/>
      <c r="X365" s="1334"/>
      <c r="Y365" s="1334"/>
      <c r="Z365" s="1334"/>
    </row>
    <row r="366" spans="4:26" ht="15.75" customHeight="1" x14ac:dyDescent="0.3">
      <c r="D366" s="1334"/>
      <c r="E366" s="1341"/>
      <c r="F366" s="1338"/>
      <c r="G366" s="1338"/>
      <c r="H366" s="1338"/>
      <c r="I366" s="1334"/>
      <c r="J366" s="1334"/>
      <c r="K366" s="1334"/>
      <c r="L366" s="1334"/>
      <c r="M366" s="1334"/>
      <c r="N366" s="1334"/>
      <c r="O366" s="1334"/>
      <c r="P366" s="1334"/>
      <c r="Q366" s="1334"/>
      <c r="R366" s="1334"/>
      <c r="S366" s="1334"/>
      <c r="T366" s="1334"/>
      <c r="U366" s="1334"/>
      <c r="V366" s="1334"/>
      <c r="W366" s="1334"/>
      <c r="X366" s="1334"/>
      <c r="Y366" s="1334"/>
      <c r="Z366" s="1334"/>
    </row>
    <row r="367" spans="4:26" ht="15.75" customHeight="1" x14ac:dyDescent="0.3">
      <c r="D367" s="1334"/>
      <c r="E367" s="1341"/>
      <c r="F367" s="1338"/>
      <c r="G367" s="1338"/>
      <c r="H367" s="1338"/>
      <c r="I367" s="1334"/>
      <c r="J367" s="1334"/>
      <c r="K367" s="1334"/>
      <c r="L367" s="1334"/>
      <c r="M367" s="1334"/>
      <c r="N367" s="1334"/>
      <c r="O367" s="1334"/>
      <c r="P367" s="1334"/>
      <c r="Q367" s="1334"/>
      <c r="R367" s="1334"/>
      <c r="S367" s="1334"/>
      <c r="T367" s="1334"/>
      <c r="U367" s="1334"/>
      <c r="V367" s="1334"/>
      <c r="W367" s="1334"/>
      <c r="X367" s="1334"/>
      <c r="Y367" s="1334"/>
      <c r="Z367" s="1334"/>
    </row>
    <row r="368" spans="4:26" ht="15.75" customHeight="1" x14ac:dyDescent="0.3">
      <c r="D368" s="1334"/>
      <c r="E368" s="1341"/>
      <c r="F368" s="1338"/>
      <c r="G368" s="1338"/>
      <c r="H368" s="1338"/>
      <c r="I368" s="1334"/>
      <c r="J368" s="1334"/>
      <c r="K368" s="1334"/>
      <c r="L368" s="1334"/>
      <c r="M368" s="1334"/>
      <c r="N368" s="1334"/>
      <c r="O368" s="1334"/>
      <c r="P368" s="1334"/>
      <c r="Q368" s="1334"/>
      <c r="R368" s="1334"/>
      <c r="S368" s="1334"/>
      <c r="T368" s="1334"/>
      <c r="U368" s="1334"/>
      <c r="V368" s="1334"/>
      <c r="W368" s="1334"/>
      <c r="X368" s="1334"/>
      <c r="Y368" s="1334"/>
      <c r="Z368" s="1334"/>
    </row>
    <row r="369" spans="4:26" ht="15.75" customHeight="1" x14ac:dyDescent="0.3">
      <c r="D369" s="1334"/>
      <c r="E369" s="1341"/>
      <c r="F369" s="1338"/>
      <c r="G369" s="1338"/>
      <c r="H369" s="1338"/>
      <c r="I369" s="1334"/>
      <c r="J369" s="1334"/>
      <c r="K369" s="1334"/>
      <c r="L369" s="1334"/>
      <c r="M369" s="1334"/>
      <c r="N369" s="1334"/>
      <c r="O369" s="1334"/>
      <c r="P369" s="1334"/>
      <c r="Q369" s="1334"/>
      <c r="R369" s="1334"/>
      <c r="S369" s="1334"/>
      <c r="T369" s="1334"/>
      <c r="U369" s="1334"/>
      <c r="V369" s="1334"/>
      <c r="W369" s="1334"/>
      <c r="X369" s="1334"/>
      <c r="Y369" s="1334"/>
      <c r="Z369" s="1334"/>
    </row>
    <row r="370" spans="4:26" ht="15.75" customHeight="1" x14ac:dyDescent="0.3">
      <c r="D370" s="1334"/>
      <c r="E370" s="1341"/>
      <c r="F370" s="1338"/>
      <c r="G370" s="1338"/>
      <c r="H370" s="1338"/>
      <c r="I370" s="1334"/>
      <c r="J370" s="1334"/>
      <c r="K370" s="1334"/>
      <c r="L370" s="1334"/>
      <c r="M370" s="1334"/>
      <c r="N370" s="1334"/>
      <c r="O370" s="1334"/>
      <c r="P370" s="1334"/>
      <c r="Q370" s="1334"/>
      <c r="R370" s="1334"/>
      <c r="S370" s="1334"/>
      <c r="T370" s="1334"/>
      <c r="U370" s="1334"/>
      <c r="V370" s="1334"/>
      <c r="W370" s="1334"/>
      <c r="X370" s="1334"/>
      <c r="Y370" s="1334"/>
      <c r="Z370" s="1334"/>
    </row>
    <row r="371" spans="4:26" ht="15.75" customHeight="1" x14ac:dyDescent="0.3">
      <c r="D371" s="1334"/>
      <c r="E371" s="1341"/>
      <c r="F371" s="1338"/>
      <c r="G371" s="1338"/>
      <c r="H371" s="1338"/>
      <c r="I371" s="1334"/>
      <c r="J371" s="1334"/>
      <c r="K371" s="1334"/>
      <c r="L371" s="1334"/>
      <c r="M371" s="1334"/>
      <c r="N371" s="1334"/>
      <c r="O371" s="1334"/>
      <c r="P371" s="1334"/>
      <c r="Q371" s="1334"/>
      <c r="R371" s="1334"/>
      <c r="S371" s="1334"/>
      <c r="T371" s="1334"/>
      <c r="U371" s="1334"/>
      <c r="V371" s="1334"/>
      <c r="W371" s="1334"/>
      <c r="X371" s="1334"/>
      <c r="Y371" s="1334"/>
      <c r="Z371" s="1334"/>
    </row>
    <row r="372" spans="4:26" ht="15.75" customHeight="1" x14ac:dyDescent="0.3">
      <c r="D372" s="1334"/>
      <c r="E372" s="1341"/>
      <c r="F372" s="1338"/>
      <c r="G372" s="1338"/>
      <c r="H372" s="1338"/>
      <c r="I372" s="1334"/>
      <c r="J372" s="1334"/>
      <c r="K372" s="1334"/>
      <c r="L372" s="1334"/>
      <c r="M372" s="1334"/>
      <c r="N372" s="1334"/>
      <c r="O372" s="1334"/>
      <c r="P372" s="1334"/>
      <c r="Q372" s="1334"/>
      <c r="R372" s="1334"/>
      <c r="S372" s="1334"/>
      <c r="T372" s="1334"/>
      <c r="U372" s="1334"/>
      <c r="V372" s="1334"/>
      <c r="W372" s="1334"/>
      <c r="X372" s="1334"/>
      <c r="Y372" s="1334"/>
      <c r="Z372" s="1334"/>
    </row>
    <row r="373" spans="4:26" ht="15.75" customHeight="1" x14ac:dyDescent="0.3">
      <c r="D373" s="1334"/>
      <c r="E373" s="1341"/>
      <c r="F373" s="1338"/>
      <c r="G373" s="1338"/>
      <c r="H373" s="1338"/>
      <c r="I373" s="1334"/>
      <c r="J373" s="1334"/>
      <c r="K373" s="1334"/>
      <c r="L373" s="1334"/>
      <c r="M373" s="1334"/>
      <c r="N373" s="1334"/>
      <c r="O373" s="1334"/>
      <c r="P373" s="1334"/>
      <c r="Q373" s="1334"/>
      <c r="R373" s="1334"/>
      <c r="S373" s="1334"/>
      <c r="T373" s="1334"/>
      <c r="U373" s="1334"/>
      <c r="V373" s="1334"/>
      <c r="W373" s="1334"/>
      <c r="X373" s="1334"/>
      <c r="Y373" s="1334"/>
      <c r="Z373" s="1334"/>
    </row>
    <row r="374" spans="4:26" ht="15.75" customHeight="1" x14ac:dyDescent="0.3">
      <c r="D374" s="1334"/>
      <c r="E374" s="1341"/>
      <c r="F374" s="1338"/>
      <c r="G374" s="1338"/>
      <c r="H374" s="1338"/>
      <c r="I374" s="1334"/>
      <c r="J374" s="1334"/>
      <c r="K374" s="1334"/>
      <c r="L374" s="1334"/>
      <c r="M374" s="1334"/>
      <c r="N374" s="1334"/>
      <c r="O374" s="1334"/>
      <c r="P374" s="1334"/>
      <c r="Q374" s="1334"/>
      <c r="R374" s="1334"/>
      <c r="S374" s="1334"/>
      <c r="T374" s="1334"/>
      <c r="U374" s="1334"/>
      <c r="V374" s="1334"/>
      <c r="W374" s="1334"/>
      <c r="X374" s="1334"/>
      <c r="Y374" s="1334"/>
      <c r="Z374" s="1334"/>
    </row>
    <row r="375" spans="4:26" ht="15.75" customHeight="1" x14ac:dyDescent="0.3">
      <c r="D375" s="1334"/>
      <c r="E375" s="1341"/>
      <c r="F375" s="1338"/>
      <c r="G375" s="1338"/>
      <c r="H375" s="1338"/>
      <c r="I375" s="1334"/>
      <c r="J375" s="1334"/>
      <c r="K375" s="1334"/>
      <c r="L375" s="1334"/>
      <c r="M375" s="1334"/>
      <c r="N375" s="1334"/>
      <c r="O375" s="1334"/>
      <c r="P375" s="1334"/>
      <c r="Q375" s="1334"/>
      <c r="R375" s="1334"/>
      <c r="S375" s="1334"/>
      <c r="T375" s="1334"/>
      <c r="U375" s="1334"/>
      <c r="V375" s="1334"/>
      <c r="W375" s="1334"/>
      <c r="X375" s="1334"/>
      <c r="Y375" s="1334"/>
      <c r="Z375" s="1334"/>
    </row>
    <row r="376" spans="4:26" ht="15.75" customHeight="1" x14ac:dyDescent="0.3">
      <c r="D376" s="1334"/>
      <c r="E376" s="1341"/>
      <c r="F376" s="1338"/>
      <c r="G376" s="1338"/>
      <c r="H376" s="1338"/>
      <c r="I376" s="1334"/>
      <c r="J376" s="1334"/>
      <c r="K376" s="1334"/>
      <c r="L376" s="1334"/>
      <c r="M376" s="1334"/>
      <c r="N376" s="1334"/>
      <c r="O376" s="1334"/>
      <c r="P376" s="1334"/>
      <c r="Q376" s="1334"/>
      <c r="R376" s="1334"/>
      <c r="S376" s="1334"/>
      <c r="T376" s="1334"/>
      <c r="U376" s="1334"/>
      <c r="V376" s="1334"/>
      <c r="W376" s="1334"/>
      <c r="X376" s="1334"/>
      <c r="Y376" s="1334"/>
      <c r="Z376" s="1334"/>
    </row>
    <row r="377" spans="4:26" ht="15.75" customHeight="1" x14ac:dyDescent="0.3">
      <c r="D377" s="1334"/>
      <c r="E377" s="1341"/>
      <c r="F377" s="1338"/>
      <c r="G377" s="1338"/>
      <c r="H377" s="1338"/>
      <c r="I377" s="1334"/>
      <c r="J377" s="1334"/>
      <c r="K377" s="1334"/>
      <c r="L377" s="1334"/>
      <c r="M377" s="1334"/>
      <c r="N377" s="1334"/>
      <c r="O377" s="1334"/>
      <c r="P377" s="1334"/>
      <c r="Q377" s="1334"/>
      <c r="R377" s="1334"/>
      <c r="S377" s="1334"/>
      <c r="T377" s="1334"/>
      <c r="U377" s="1334"/>
      <c r="V377" s="1334"/>
      <c r="W377" s="1334"/>
      <c r="X377" s="1334"/>
      <c r="Y377" s="1334"/>
      <c r="Z377" s="1334"/>
    </row>
    <row r="378" spans="4:26" ht="15.75" customHeight="1" x14ac:dyDescent="0.3">
      <c r="D378" s="1334"/>
      <c r="E378" s="1341"/>
      <c r="F378" s="1338"/>
      <c r="G378" s="1338"/>
      <c r="H378" s="1338"/>
      <c r="I378" s="1334"/>
      <c r="J378" s="1334"/>
      <c r="K378" s="1334"/>
      <c r="L378" s="1334"/>
      <c r="M378" s="1334"/>
      <c r="N378" s="1334"/>
      <c r="O378" s="1334"/>
      <c r="P378" s="1334"/>
      <c r="Q378" s="1334"/>
      <c r="R378" s="1334"/>
      <c r="S378" s="1334"/>
      <c r="T378" s="1334"/>
      <c r="U378" s="1334"/>
      <c r="V378" s="1334"/>
      <c r="W378" s="1334"/>
      <c r="X378" s="1334"/>
      <c r="Y378" s="1334"/>
      <c r="Z378" s="1334"/>
    </row>
    <row r="379" spans="4:26" ht="15.75" customHeight="1" x14ac:dyDescent="0.3">
      <c r="D379" s="1334"/>
      <c r="E379" s="1341"/>
      <c r="F379" s="1338"/>
      <c r="G379" s="1338"/>
      <c r="H379" s="1338"/>
      <c r="I379" s="1334"/>
      <c r="J379" s="1334"/>
      <c r="K379" s="1334"/>
      <c r="L379" s="1334"/>
      <c r="M379" s="1334"/>
      <c r="N379" s="1334"/>
      <c r="O379" s="1334"/>
      <c r="P379" s="1334"/>
      <c r="Q379" s="1334"/>
      <c r="R379" s="1334"/>
      <c r="S379" s="1334"/>
      <c r="T379" s="1334"/>
      <c r="U379" s="1334"/>
      <c r="V379" s="1334"/>
      <c r="W379" s="1334"/>
      <c r="X379" s="1334"/>
      <c r="Y379" s="1334"/>
      <c r="Z379" s="1334"/>
    </row>
    <row r="380" spans="4:26" ht="15.75" customHeight="1" x14ac:dyDescent="0.3">
      <c r="D380" s="1334"/>
      <c r="E380" s="1341"/>
      <c r="F380" s="1338"/>
      <c r="G380" s="1338"/>
      <c r="H380" s="1338"/>
      <c r="I380" s="1334"/>
      <c r="J380" s="1334"/>
      <c r="K380" s="1334"/>
      <c r="L380" s="1334"/>
      <c r="M380" s="1334"/>
      <c r="N380" s="1334"/>
      <c r="O380" s="1334"/>
      <c r="P380" s="1334"/>
      <c r="Q380" s="1334"/>
      <c r="R380" s="1334"/>
      <c r="S380" s="1334"/>
      <c r="T380" s="1334"/>
      <c r="U380" s="1334"/>
      <c r="V380" s="1334"/>
      <c r="W380" s="1334"/>
      <c r="X380" s="1334"/>
      <c r="Y380" s="1334"/>
      <c r="Z380" s="1334"/>
    </row>
    <row r="381" spans="4:26" ht="15.75" customHeight="1" x14ac:dyDescent="0.3">
      <c r="D381" s="1334"/>
      <c r="E381" s="1341"/>
      <c r="F381" s="1338"/>
      <c r="G381" s="1338"/>
      <c r="H381" s="1338"/>
      <c r="I381" s="1334"/>
      <c r="J381" s="1334"/>
      <c r="K381" s="1334"/>
      <c r="L381" s="1334"/>
      <c r="M381" s="1334"/>
      <c r="N381" s="1334"/>
      <c r="O381" s="1334"/>
      <c r="P381" s="1334"/>
      <c r="Q381" s="1334"/>
      <c r="R381" s="1334"/>
      <c r="S381" s="1334"/>
      <c r="T381" s="1334"/>
      <c r="U381" s="1334"/>
      <c r="V381" s="1334"/>
      <c r="W381" s="1334"/>
      <c r="X381" s="1334"/>
      <c r="Y381" s="1334"/>
      <c r="Z381" s="1334"/>
    </row>
    <row r="382" spans="4:26" ht="15.75" customHeight="1" x14ac:dyDescent="0.3">
      <c r="D382" s="1334"/>
      <c r="E382" s="1341"/>
      <c r="F382" s="1338"/>
      <c r="G382" s="1338"/>
      <c r="H382" s="1338"/>
      <c r="I382" s="1334"/>
      <c r="J382" s="1334"/>
      <c r="K382" s="1334"/>
      <c r="L382" s="1334"/>
      <c r="M382" s="1334"/>
      <c r="N382" s="1334"/>
      <c r="O382" s="1334"/>
      <c r="P382" s="1334"/>
      <c r="Q382" s="1334"/>
      <c r="R382" s="1334"/>
      <c r="S382" s="1334"/>
      <c r="T382" s="1334"/>
      <c r="U382" s="1334"/>
      <c r="V382" s="1334"/>
      <c r="W382" s="1334"/>
      <c r="X382" s="1334"/>
      <c r="Y382" s="1334"/>
      <c r="Z382" s="1334"/>
    </row>
    <row r="383" spans="4:26" ht="15.75" customHeight="1" x14ac:dyDescent="0.3">
      <c r="D383" s="1334"/>
      <c r="E383" s="1341"/>
      <c r="F383" s="1338"/>
      <c r="G383" s="1338"/>
      <c r="H383" s="1338"/>
      <c r="I383" s="1334"/>
      <c r="J383" s="1334"/>
      <c r="K383" s="1334"/>
      <c r="L383" s="1334"/>
      <c r="M383" s="1334"/>
      <c r="N383" s="1334"/>
      <c r="O383" s="1334"/>
      <c r="P383" s="1334"/>
      <c r="Q383" s="1334"/>
      <c r="R383" s="1334"/>
      <c r="S383" s="1334"/>
      <c r="T383" s="1334"/>
      <c r="U383" s="1334"/>
      <c r="V383" s="1334"/>
      <c r="W383" s="1334"/>
      <c r="X383" s="1334"/>
      <c r="Y383" s="1334"/>
      <c r="Z383" s="1334"/>
    </row>
    <row r="384" spans="4:26" ht="15.75" customHeight="1" x14ac:dyDescent="0.3">
      <c r="D384" s="1334"/>
      <c r="E384" s="1341"/>
      <c r="F384" s="1338"/>
      <c r="G384" s="1338"/>
      <c r="H384" s="1338"/>
      <c r="I384" s="1334"/>
      <c r="J384" s="1334"/>
      <c r="K384" s="1334"/>
      <c r="L384" s="1334"/>
      <c r="M384" s="1334"/>
      <c r="N384" s="1334"/>
      <c r="O384" s="1334"/>
      <c r="P384" s="1334"/>
      <c r="Q384" s="1334"/>
      <c r="R384" s="1334"/>
      <c r="S384" s="1334"/>
      <c r="T384" s="1334"/>
      <c r="U384" s="1334"/>
      <c r="V384" s="1334"/>
      <c r="W384" s="1334"/>
      <c r="X384" s="1334"/>
      <c r="Y384" s="1334"/>
      <c r="Z384" s="1334"/>
    </row>
    <row r="385" spans="4:26" ht="15.75" customHeight="1" x14ac:dyDescent="0.3">
      <c r="D385" s="1334"/>
      <c r="E385" s="1341"/>
      <c r="F385" s="1338"/>
      <c r="G385" s="1338"/>
      <c r="H385" s="1338"/>
      <c r="I385" s="1334"/>
      <c r="J385" s="1334"/>
      <c r="K385" s="1334"/>
      <c r="L385" s="1334"/>
      <c r="M385" s="1334"/>
      <c r="N385" s="1334"/>
      <c r="O385" s="1334"/>
      <c r="P385" s="1334"/>
      <c r="Q385" s="1334"/>
      <c r="R385" s="1334"/>
      <c r="S385" s="1334"/>
      <c r="T385" s="1334"/>
      <c r="U385" s="1334"/>
      <c r="V385" s="1334"/>
      <c r="W385" s="1334"/>
      <c r="X385" s="1334"/>
      <c r="Y385" s="1334"/>
      <c r="Z385" s="1334"/>
    </row>
    <row r="386" spans="4:26" ht="15.75" customHeight="1" x14ac:dyDescent="0.3">
      <c r="D386" s="1334"/>
      <c r="E386" s="1341"/>
      <c r="F386" s="1338"/>
      <c r="G386" s="1338"/>
      <c r="H386" s="1338"/>
      <c r="I386" s="1334"/>
      <c r="J386" s="1334"/>
      <c r="K386" s="1334"/>
      <c r="L386" s="1334"/>
      <c r="M386" s="1334"/>
      <c r="N386" s="1334"/>
      <c r="O386" s="1334"/>
      <c r="P386" s="1334"/>
      <c r="Q386" s="1334"/>
      <c r="R386" s="1334"/>
      <c r="S386" s="1334"/>
      <c r="T386" s="1334"/>
      <c r="U386" s="1334"/>
      <c r="V386" s="1334"/>
      <c r="W386" s="1334"/>
      <c r="X386" s="1334"/>
      <c r="Y386" s="1334"/>
      <c r="Z386" s="1334"/>
    </row>
    <row r="387" spans="4:26" ht="15.75" customHeight="1" x14ac:dyDescent="0.3">
      <c r="D387" s="1334"/>
      <c r="E387" s="1341"/>
      <c r="F387" s="1338"/>
      <c r="G387" s="1338"/>
      <c r="H387" s="1338"/>
      <c r="I387" s="1334"/>
      <c r="J387" s="1334"/>
      <c r="K387" s="1334"/>
      <c r="L387" s="1334"/>
      <c r="M387" s="1334"/>
      <c r="N387" s="1334"/>
      <c r="O387" s="1334"/>
      <c r="P387" s="1334"/>
      <c r="Q387" s="1334"/>
      <c r="R387" s="1334"/>
      <c r="S387" s="1334"/>
      <c r="T387" s="1334"/>
      <c r="U387" s="1334"/>
      <c r="V387" s="1334"/>
      <c r="W387" s="1334"/>
      <c r="X387" s="1334"/>
      <c r="Y387" s="1334"/>
      <c r="Z387" s="1334"/>
    </row>
    <row r="388" spans="4:26" ht="15.75" customHeight="1" x14ac:dyDescent="0.3">
      <c r="D388" s="1334"/>
      <c r="E388" s="1341"/>
      <c r="F388" s="1338"/>
      <c r="G388" s="1338"/>
      <c r="H388" s="1338"/>
      <c r="I388" s="1334"/>
      <c r="J388" s="1334"/>
      <c r="K388" s="1334"/>
      <c r="L388" s="1334"/>
      <c r="M388" s="1334"/>
      <c r="N388" s="1334"/>
      <c r="O388" s="1334"/>
      <c r="P388" s="1334"/>
      <c r="Q388" s="1334"/>
      <c r="R388" s="1334"/>
      <c r="S388" s="1334"/>
      <c r="T388" s="1334"/>
      <c r="U388" s="1334"/>
      <c r="V388" s="1334"/>
      <c r="W388" s="1334"/>
      <c r="X388" s="1334"/>
      <c r="Y388" s="1334"/>
      <c r="Z388" s="1334"/>
    </row>
    <row r="389" spans="4:26" ht="15.75" customHeight="1" x14ac:dyDescent="0.3">
      <c r="D389" s="1334"/>
      <c r="E389" s="1341"/>
      <c r="F389" s="1338"/>
      <c r="G389" s="1338"/>
      <c r="H389" s="1338"/>
      <c r="I389" s="1334"/>
      <c r="J389" s="1334"/>
      <c r="K389" s="1334"/>
      <c r="L389" s="1334"/>
      <c r="M389" s="1334"/>
      <c r="N389" s="1334"/>
      <c r="O389" s="1334"/>
      <c r="P389" s="1334"/>
      <c r="Q389" s="1334"/>
      <c r="R389" s="1334"/>
      <c r="S389" s="1334"/>
      <c r="T389" s="1334"/>
      <c r="U389" s="1334"/>
      <c r="V389" s="1334"/>
      <c r="W389" s="1334"/>
      <c r="X389" s="1334"/>
      <c r="Y389" s="1334"/>
      <c r="Z389" s="1334"/>
    </row>
    <row r="390" spans="4:26" ht="15.75" customHeight="1" x14ac:dyDescent="0.3">
      <c r="D390" s="1334"/>
      <c r="E390" s="1341"/>
      <c r="F390" s="1338"/>
      <c r="G390" s="1338"/>
      <c r="H390" s="1338"/>
      <c r="I390" s="1334"/>
      <c r="J390" s="1334"/>
      <c r="K390" s="1334"/>
      <c r="L390" s="1334"/>
      <c r="M390" s="1334"/>
      <c r="N390" s="1334"/>
      <c r="O390" s="1334"/>
      <c r="P390" s="1334"/>
      <c r="Q390" s="1334"/>
      <c r="R390" s="1334"/>
      <c r="S390" s="1334"/>
      <c r="T390" s="1334"/>
      <c r="U390" s="1334"/>
      <c r="V390" s="1334"/>
      <c r="W390" s="1334"/>
      <c r="X390" s="1334"/>
      <c r="Y390" s="1334"/>
      <c r="Z390" s="1334"/>
    </row>
    <row r="391" spans="4:26" ht="15.75" customHeight="1" x14ac:dyDescent="0.3">
      <c r="D391" s="1334"/>
      <c r="E391" s="1341"/>
      <c r="F391" s="1338"/>
      <c r="G391" s="1338"/>
      <c r="H391" s="1338"/>
      <c r="I391" s="1334"/>
      <c r="J391" s="1334"/>
      <c r="K391" s="1334"/>
      <c r="L391" s="1334"/>
      <c r="M391" s="1334"/>
      <c r="N391" s="1334"/>
      <c r="O391" s="1334"/>
      <c r="P391" s="1334"/>
      <c r="Q391" s="1334"/>
      <c r="R391" s="1334"/>
      <c r="S391" s="1334"/>
      <c r="T391" s="1334"/>
      <c r="U391" s="1334"/>
      <c r="V391" s="1334"/>
      <c r="W391" s="1334"/>
      <c r="X391" s="1334"/>
      <c r="Y391" s="1334"/>
      <c r="Z391" s="1334"/>
    </row>
    <row r="392" spans="4:26" ht="15.75" customHeight="1" x14ac:dyDescent="0.3">
      <c r="D392" s="1334"/>
      <c r="E392" s="1341"/>
      <c r="F392" s="1338"/>
      <c r="G392" s="1338"/>
      <c r="H392" s="1338"/>
      <c r="I392" s="1334"/>
      <c r="J392" s="1334"/>
      <c r="K392" s="1334"/>
      <c r="L392" s="1334"/>
      <c r="M392" s="1334"/>
      <c r="N392" s="1334"/>
      <c r="O392" s="1334"/>
      <c r="P392" s="1334"/>
      <c r="Q392" s="1334"/>
      <c r="R392" s="1334"/>
      <c r="S392" s="1334"/>
      <c r="T392" s="1334"/>
      <c r="U392" s="1334"/>
      <c r="V392" s="1334"/>
      <c r="W392" s="1334"/>
      <c r="X392" s="1334"/>
      <c r="Y392" s="1334"/>
      <c r="Z392" s="1334"/>
    </row>
    <row r="393" spans="4:26" ht="15.75" customHeight="1" x14ac:dyDescent="0.3">
      <c r="D393" s="1334"/>
      <c r="E393" s="1341"/>
      <c r="F393" s="1338"/>
      <c r="G393" s="1338"/>
      <c r="H393" s="1338"/>
      <c r="I393" s="1334"/>
      <c r="J393" s="1334"/>
      <c r="K393" s="1334"/>
      <c r="L393" s="1334"/>
      <c r="M393" s="1334"/>
      <c r="N393" s="1334"/>
      <c r="O393" s="1334"/>
      <c r="P393" s="1334"/>
      <c r="Q393" s="1334"/>
      <c r="R393" s="1334"/>
      <c r="S393" s="1334"/>
      <c r="T393" s="1334"/>
      <c r="U393" s="1334"/>
      <c r="V393" s="1334"/>
      <c r="W393" s="1334"/>
      <c r="X393" s="1334"/>
      <c r="Y393" s="1334"/>
      <c r="Z393" s="1334"/>
    </row>
    <row r="394" spans="4:26" ht="15.75" customHeight="1" x14ac:dyDescent="0.3">
      <c r="D394" s="1334"/>
      <c r="E394" s="1341"/>
      <c r="F394" s="1338"/>
      <c r="G394" s="1338"/>
      <c r="H394" s="1338"/>
      <c r="I394" s="1334"/>
      <c r="J394" s="1334"/>
      <c r="K394" s="1334"/>
      <c r="L394" s="1334"/>
      <c r="M394" s="1334"/>
      <c r="N394" s="1334"/>
      <c r="O394" s="1334"/>
      <c r="P394" s="1334"/>
      <c r="Q394" s="1334"/>
      <c r="R394" s="1334"/>
      <c r="S394" s="1334"/>
      <c r="T394" s="1334"/>
      <c r="U394" s="1334"/>
      <c r="V394" s="1334"/>
      <c r="W394" s="1334"/>
      <c r="X394" s="1334"/>
      <c r="Y394" s="1334"/>
      <c r="Z394" s="1334"/>
    </row>
    <row r="395" spans="4:26" ht="15.75" customHeight="1" x14ac:dyDescent="0.3">
      <c r="D395" s="1334"/>
      <c r="E395" s="1341"/>
      <c r="F395" s="1338"/>
      <c r="G395" s="1338"/>
      <c r="H395" s="1338"/>
      <c r="I395" s="1334"/>
      <c r="J395" s="1334"/>
      <c r="K395" s="1334"/>
      <c r="L395" s="1334"/>
      <c r="M395" s="1334"/>
      <c r="N395" s="1334"/>
      <c r="O395" s="1334"/>
      <c r="P395" s="1334"/>
      <c r="Q395" s="1334"/>
      <c r="R395" s="1334"/>
      <c r="S395" s="1334"/>
      <c r="T395" s="1334"/>
      <c r="U395" s="1334"/>
      <c r="V395" s="1334"/>
      <c r="W395" s="1334"/>
      <c r="X395" s="1334"/>
      <c r="Y395" s="1334"/>
      <c r="Z395" s="1334"/>
    </row>
    <row r="396" spans="4:26" ht="15.75" customHeight="1" x14ac:dyDescent="0.3">
      <c r="D396" s="1334"/>
      <c r="E396" s="1341"/>
      <c r="F396" s="1338"/>
      <c r="G396" s="1338"/>
      <c r="H396" s="1338"/>
      <c r="I396" s="1334"/>
      <c r="J396" s="1334"/>
      <c r="K396" s="1334"/>
      <c r="L396" s="1334"/>
      <c r="M396" s="1334"/>
      <c r="N396" s="1334"/>
      <c r="O396" s="1334"/>
      <c r="P396" s="1334"/>
      <c r="Q396" s="1334"/>
      <c r="R396" s="1334"/>
      <c r="S396" s="1334"/>
      <c r="T396" s="1334"/>
      <c r="U396" s="1334"/>
      <c r="V396" s="1334"/>
      <c r="W396" s="1334"/>
      <c r="X396" s="1334"/>
      <c r="Y396" s="1334"/>
      <c r="Z396" s="1334"/>
    </row>
    <row r="397" spans="4:26" ht="15.75" customHeight="1" x14ac:dyDescent="0.3">
      <c r="D397" s="1334"/>
      <c r="E397" s="1341"/>
      <c r="F397" s="1338"/>
      <c r="G397" s="1338"/>
      <c r="H397" s="1338"/>
      <c r="I397" s="1334"/>
      <c r="J397" s="1334"/>
      <c r="K397" s="1334"/>
      <c r="L397" s="1334"/>
      <c r="M397" s="1334"/>
      <c r="N397" s="1334"/>
      <c r="O397" s="1334"/>
      <c r="P397" s="1334"/>
      <c r="Q397" s="1334"/>
      <c r="R397" s="1334"/>
      <c r="S397" s="1334"/>
      <c r="T397" s="1334"/>
      <c r="U397" s="1334"/>
      <c r="V397" s="1334"/>
      <c r="W397" s="1334"/>
      <c r="X397" s="1334"/>
      <c r="Y397" s="1334"/>
      <c r="Z397" s="1334"/>
    </row>
    <row r="398" spans="4:26" ht="15.75" customHeight="1" x14ac:dyDescent="0.3">
      <c r="D398" s="1334"/>
      <c r="E398" s="1341"/>
      <c r="F398" s="1338"/>
      <c r="G398" s="1338"/>
      <c r="H398" s="1338"/>
      <c r="I398" s="1334"/>
      <c r="J398" s="1334"/>
      <c r="K398" s="1334"/>
      <c r="L398" s="1334"/>
      <c r="M398" s="1334"/>
      <c r="N398" s="1334"/>
      <c r="O398" s="1334"/>
      <c r="P398" s="1334"/>
      <c r="Q398" s="1334"/>
      <c r="R398" s="1334"/>
      <c r="S398" s="1334"/>
      <c r="T398" s="1334"/>
      <c r="U398" s="1334"/>
      <c r="V398" s="1334"/>
      <c r="W398" s="1334"/>
      <c r="X398" s="1334"/>
      <c r="Y398" s="1334"/>
      <c r="Z398" s="1334"/>
    </row>
    <row r="399" spans="4:26" ht="15.75" customHeight="1" x14ac:dyDescent="0.3">
      <c r="D399" s="1334"/>
      <c r="E399" s="1341"/>
      <c r="F399" s="1338"/>
      <c r="G399" s="1338"/>
      <c r="H399" s="1338"/>
      <c r="I399" s="1334"/>
      <c r="J399" s="1334"/>
      <c r="K399" s="1334"/>
      <c r="L399" s="1334"/>
      <c r="M399" s="1334"/>
      <c r="N399" s="1334"/>
      <c r="O399" s="1334"/>
      <c r="P399" s="1334"/>
      <c r="Q399" s="1334"/>
      <c r="R399" s="1334"/>
      <c r="S399" s="1334"/>
      <c r="T399" s="1334"/>
      <c r="U399" s="1334"/>
      <c r="V399" s="1334"/>
      <c r="W399" s="1334"/>
      <c r="X399" s="1334"/>
      <c r="Y399" s="1334"/>
      <c r="Z399" s="1334"/>
    </row>
    <row r="400" spans="4:26" ht="15.75" customHeight="1" x14ac:dyDescent="0.3">
      <c r="D400" s="1334"/>
      <c r="E400" s="1341"/>
      <c r="F400" s="1338"/>
      <c r="G400" s="1338"/>
      <c r="H400" s="1338"/>
      <c r="I400" s="1334"/>
      <c r="J400" s="1334"/>
      <c r="K400" s="1334"/>
      <c r="L400" s="1334"/>
      <c r="M400" s="1334"/>
      <c r="N400" s="1334"/>
      <c r="O400" s="1334"/>
      <c r="P400" s="1334"/>
      <c r="Q400" s="1334"/>
      <c r="R400" s="1334"/>
      <c r="S400" s="1334"/>
      <c r="T400" s="1334"/>
      <c r="U400" s="1334"/>
      <c r="V400" s="1334"/>
      <c r="W400" s="1334"/>
      <c r="X400" s="1334"/>
      <c r="Y400" s="1334"/>
      <c r="Z400" s="1334"/>
    </row>
    <row r="401" spans="4:26" ht="15.75" customHeight="1" x14ac:dyDescent="0.3">
      <c r="D401" s="1334"/>
      <c r="E401" s="1341"/>
      <c r="F401" s="1338"/>
      <c r="G401" s="1338"/>
      <c r="H401" s="1338"/>
      <c r="I401" s="1334"/>
      <c r="J401" s="1334"/>
      <c r="K401" s="1334"/>
      <c r="L401" s="1334"/>
      <c r="M401" s="1334"/>
      <c r="N401" s="1334"/>
      <c r="O401" s="1334"/>
      <c r="P401" s="1334"/>
      <c r="Q401" s="1334"/>
      <c r="R401" s="1334"/>
      <c r="S401" s="1334"/>
      <c r="T401" s="1334"/>
      <c r="U401" s="1334"/>
      <c r="V401" s="1334"/>
      <c r="W401" s="1334"/>
      <c r="X401" s="1334"/>
      <c r="Y401" s="1334"/>
      <c r="Z401" s="1334"/>
    </row>
    <row r="402" spans="4:26" ht="15.75" customHeight="1" x14ac:dyDescent="0.3">
      <c r="D402" s="1334"/>
      <c r="E402" s="1341"/>
      <c r="F402" s="1338"/>
      <c r="G402" s="1338"/>
      <c r="H402" s="1338"/>
      <c r="I402" s="1334"/>
      <c r="J402" s="1334"/>
      <c r="K402" s="1334"/>
      <c r="L402" s="1334"/>
      <c r="M402" s="1334"/>
      <c r="N402" s="1334"/>
      <c r="O402" s="1334"/>
      <c r="P402" s="1334"/>
      <c r="Q402" s="1334"/>
      <c r="R402" s="1334"/>
      <c r="S402" s="1334"/>
      <c r="T402" s="1334"/>
      <c r="U402" s="1334"/>
      <c r="V402" s="1334"/>
      <c r="W402" s="1334"/>
      <c r="X402" s="1334"/>
      <c r="Y402" s="1334"/>
      <c r="Z402" s="1334"/>
    </row>
    <row r="403" spans="4:26" ht="15.75" customHeight="1" x14ac:dyDescent="0.3">
      <c r="D403" s="1334"/>
      <c r="E403" s="1341"/>
      <c r="F403" s="1338"/>
      <c r="G403" s="1338"/>
      <c r="H403" s="1338"/>
      <c r="I403" s="1334"/>
      <c r="J403" s="1334"/>
      <c r="K403" s="1334"/>
      <c r="L403" s="1334"/>
      <c r="M403" s="1334"/>
      <c r="N403" s="1334"/>
      <c r="O403" s="1334"/>
      <c r="P403" s="1334"/>
      <c r="Q403" s="1334"/>
      <c r="R403" s="1334"/>
      <c r="S403" s="1334"/>
      <c r="T403" s="1334"/>
      <c r="U403" s="1334"/>
      <c r="V403" s="1334"/>
      <c r="W403" s="1334"/>
      <c r="X403" s="1334"/>
      <c r="Y403" s="1334"/>
      <c r="Z403" s="1334"/>
    </row>
    <row r="404" spans="4:26" ht="15.75" customHeight="1" x14ac:dyDescent="0.3">
      <c r="D404" s="1334"/>
      <c r="E404" s="1341"/>
      <c r="F404" s="1338"/>
      <c r="G404" s="1338"/>
      <c r="H404" s="1338"/>
      <c r="I404" s="1334"/>
      <c r="J404" s="1334"/>
      <c r="K404" s="1334"/>
      <c r="L404" s="1334"/>
      <c r="M404" s="1334"/>
      <c r="N404" s="1334"/>
      <c r="O404" s="1334"/>
      <c r="P404" s="1334"/>
      <c r="Q404" s="1334"/>
      <c r="R404" s="1334"/>
      <c r="S404" s="1334"/>
      <c r="T404" s="1334"/>
      <c r="U404" s="1334"/>
      <c r="V404" s="1334"/>
      <c r="W404" s="1334"/>
      <c r="X404" s="1334"/>
      <c r="Y404" s="1334"/>
      <c r="Z404" s="1334"/>
    </row>
    <row r="405" spans="4:26" ht="15.75" customHeight="1" x14ac:dyDescent="0.3">
      <c r="D405" s="1334"/>
      <c r="E405" s="1341"/>
      <c r="F405" s="1338"/>
      <c r="G405" s="1338"/>
      <c r="H405" s="1338"/>
      <c r="I405" s="1334"/>
      <c r="J405" s="1334"/>
      <c r="K405" s="1334"/>
      <c r="L405" s="1334"/>
      <c r="M405" s="1334"/>
      <c r="N405" s="1334"/>
      <c r="O405" s="1334"/>
      <c r="P405" s="1334"/>
      <c r="Q405" s="1334"/>
      <c r="R405" s="1334"/>
      <c r="S405" s="1334"/>
      <c r="T405" s="1334"/>
      <c r="U405" s="1334"/>
      <c r="V405" s="1334"/>
      <c r="W405" s="1334"/>
      <c r="X405" s="1334"/>
      <c r="Y405" s="1334"/>
      <c r="Z405" s="1334"/>
    </row>
    <row r="406" spans="4:26" ht="15.75" customHeight="1" x14ac:dyDescent="0.3">
      <c r="D406" s="1334"/>
      <c r="E406" s="1341"/>
      <c r="F406" s="1338"/>
      <c r="G406" s="1338"/>
      <c r="H406" s="1338"/>
      <c r="I406" s="1334"/>
      <c r="J406" s="1334"/>
      <c r="K406" s="1334"/>
      <c r="L406" s="1334"/>
      <c r="M406" s="1334"/>
      <c r="N406" s="1334"/>
      <c r="O406" s="1334"/>
      <c r="P406" s="1334"/>
      <c r="Q406" s="1334"/>
      <c r="R406" s="1334"/>
      <c r="S406" s="1334"/>
      <c r="T406" s="1334"/>
      <c r="U406" s="1334"/>
      <c r="V406" s="1334"/>
      <c r="W406" s="1334"/>
      <c r="X406" s="1334"/>
      <c r="Y406" s="1334"/>
      <c r="Z406" s="1334"/>
    </row>
    <row r="407" spans="4:26" ht="15.75" customHeight="1" x14ac:dyDescent="0.3">
      <c r="D407" s="1334"/>
      <c r="E407" s="1341"/>
      <c r="F407" s="1338"/>
      <c r="G407" s="1338"/>
      <c r="H407" s="1338"/>
      <c r="I407" s="1334"/>
      <c r="J407" s="1334"/>
      <c r="K407" s="1334"/>
      <c r="L407" s="1334"/>
      <c r="M407" s="1334"/>
      <c r="N407" s="1334"/>
      <c r="O407" s="1334"/>
      <c r="P407" s="1334"/>
      <c r="Q407" s="1334"/>
      <c r="R407" s="1334"/>
      <c r="S407" s="1334"/>
      <c r="T407" s="1334"/>
      <c r="U407" s="1334"/>
      <c r="V407" s="1334"/>
      <c r="W407" s="1334"/>
      <c r="X407" s="1334"/>
      <c r="Y407" s="1334"/>
      <c r="Z407" s="1334"/>
    </row>
    <row r="408" spans="4:26" ht="15.75" customHeight="1" x14ac:dyDescent="0.3">
      <c r="D408" s="1334"/>
      <c r="E408" s="1341"/>
      <c r="F408" s="1338"/>
      <c r="G408" s="1338"/>
      <c r="H408" s="1338"/>
      <c r="I408" s="1334"/>
      <c r="J408" s="1334"/>
      <c r="K408" s="1334"/>
      <c r="L408" s="1334"/>
      <c r="M408" s="1334"/>
      <c r="N408" s="1334"/>
      <c r="O408" s="1334"/>
      <c r="P408" s="1334"/>
      <c r="Q408" s="1334"/>
      <c r="R408" s="1334"/>
      <c r="S408" s="1334"/>
      <c r="T408" s="1334"/>
      <c r="U408" s="1334"/>
      <c r="V408" s="1334"/>
      <c r="W408" s="1334"/>
      <c r="X408" s="1334"/>
      <c r="Y408" s="1334"/>
      <c r="Z408" s="1334"/>
    </row>
    <row r="409" spans="4:26" ht="15.75" customHeight="1" x14ac:dyDescent="0.3">
      <c r="D409" s="1334"/>
      <c r="E409" s="1341"/>
      <c r="F409" s="1338"/>
      <c r="G409" s="1338"/>
      <c r="H409" s="1338"/>
      <c r="I409" s="1334"/>
      <c r="J409" s="1334"/>
      <c r="K409" s="1334"/>
      <c r="L409" s="1334"/>
      <c r="M409" s="1334"/>
      <c r="N409" s="1334"/>
      <c r="O409" s="1334"/>
      <c r="P409" s="1334"/>
      <c r="Q409" s="1334"/>
      <c r="R409" s="1334"/>
      <c r="S409" s="1334"/>
      <c r="T409" s="1334"/>
      <c r="U409" s="1334"/>
      <c r="V409" s="1334"/>
      <c r="W409" s="1334"/>
      <c r="X409" s="1334"/>
      <c r="Y409" s="1334"/>
      <c r="Z409" s="1334"/>
    </row>
    <row r="410" spans="4:26" ht="15.75" customHeight="1" x14ac:dyDescent="0.3">
      <c r="D410" s="1334"/>
      <c r="E410" s="1341"/>
      <c r="F410" s="1338"/>
      <c r="G410" s="1338"/>
      <c r="H410" s="1338"/>
      <c r="I410" s="1334"/>
      <c r="J410" s="1334"/>
      <c r="K410" s="1334"/>
      <c r="L410" s="1334"/>
      <c r="M410" s="1334"/>
      <c r="N410" s="1334"/>
      <c r="O410" s="1334"/>
      <c r="P410" s="1334"/>
      <c r="Q410" s="1334"/>
      <c r="R410" s="1334"/>
      <c r="S410" s="1334"/>
      <c r="T410" s="1334"/>
      <c r="U410" s="1334"/>
      <c r="V410" s="1334"/>
      <c r="W410" s="1334"/>
      <c r="X410" s="1334"/>
      <c r="Y410" s="1334"/>
      <c r="Z410" s="1334"/>
    </row>
    <row r="411" spans="4:26" ht="15.75" customHeight="1" x14ac:dyDescent="0.3">
      <c r="D411" s="1334"/>
      <c r="E411" s="1341"/>
      <c r="F411" s="1338"/>
      <c r="G411" s="1338"/>
      <c r="H411" s="1338"/>
      <c r="I411" s="1334"/>
      <c r="J411" s="1334"/>
      <c r="K411" s="1334"/>
      <c r="L411" s="1334"/>
      <c r="M411" s="1334"/>
      <c r="N411" s="1334"/>
      <c r="O411" s="1334"/>
      <c r="P411" s="1334"/>
      <c r="Q411" s="1334"/>
      <c r="R411" s="1334"/>
      <c r="S411" s="1334"/>
      <c r="T411" s="1334"/>
      <c r="U411" s="1334"/>
      <c r="V411" s="1334"/>
      <c r="W411" s="1334"/>
      <c r="X411" s="1334"/>
      <c r="Y411" s="1334"/>
      <c r="Z411" s="1334"/>
    </row>
    <row r="412" spans="4:26" ht="15.75" customHeight="1" x14ac:dyDescent="0.3">
      <c r="D412" s="1334"/>
      <c r="E412" s="1341"/>
      <c r="F412" s="1338"/>
      <c r="G412" s="1338"/>
      <c r="H412" s="1338"/>
      <c r="I412" s="1334"/>
      <c r="J412" s="1334"/>
      <c r="K412" s="1334"/>
      <c r="L412" s="1334"/>
      <c r="M412" s="1334"/>
      <c r="N412" s="1334"/>
      <c r="O412" s="1334"/>
      <c r="P412" s="1334"/>
      <c r="Q412" s="1334"/>
      <c r="R412" s="1334"/>
      <c r="S412" s="1334"/>
      <c r="T412" s="1334"/>
      <c r="U412" s="1334"/>
      <c r="V412" s="1334"/>
      <c r="W412" s="1334"/>
      <c r="X412" s="1334"/>
      <c r="Y412" s="1334"/>
      <c r="Z412" s="1334"/>
    </row>
    <row r="413" spans="4:26" ht="15.75" customHeight="1" x14ac:dyDescent="0.3">
      <c r="D413" s="1334"/>
      <c r="E413" s="1341"/>
      <c r="F413" s="1338"/>
      <c r="G413" s="1338"/>
      <c r="H413" s="1338"/>
      <c r="I413" s="1334"/>
      <c r="J413" s="1334"/>
      <c r="K413" s="1334"/>
      <c r="L413" s="1334"/>
      <c r="M413" s="1334"/>
      <c r="N413" s="1334"/>
      <c r="O413" s="1334"/>
      <c r="P413" s="1334"/>
      <c r="Q413" s="1334"/>
      <c r="R413" s="1334"/>
      <c r="S413" s="1334"/>
      <c r="T413" s="1334"/>
      <c r="U413" s="1334"/>
      <c r="V413" s="1334"/>
      <c r="W413" s="1334"/>
      <c r="X413" s="1334"/>
      <c r="Y413" s="1334"/>
      <c r="Z413" s="1334"/>
    </row>
    <row r="414" spans="4:26" ht="15.75" customHeight="1" x14ac:dyDescent="0.3">
      <c r="D414" s="1334"/>
      <c r="E414" s="1341"/>
      <c r="F414" s="1338"/>
      <c r="G414" s="1338"/>
      <c r="H414" s="1338"/>
      <c r="I414" s="1334"/>
      <c r="J414" s="1334"/>
      <c r="K414" s="1334"/>
      <c r="L414" s="1334"/>
      <c r="M414" s="1334"/>
      <c r="N414" s="1334"/>
      <c r="O414" s="1334"/>
      <c r="P414" s="1334"/>
      <c r="Q414" s="1334"/>
      <c r="R414" s="1334"/>
      <c r="S414" s="1334"/>
      <c r="T414" s="1334"/>
      <c r="U414" s="1334"/>
      <c r="V414" s="1334"/>
      <c r="W414" s="1334"/>
      <c r="X414" s="1334"/>
      <c r="Y414" s="1334"/>
      <c r="Z414" s="1334"/>
    </row>
    <row r="415" spans="4:26" ht="15.75" customHeight="1" x14ac:dyDescent="0.3">
      <c r="D415" s="1334"/>
      <c r="E415" s="1341"/>
      <c r="F415" s="1338"/>
      <c r="G415" s="1338"/>
      <c r="H415" s="1338"/>
      <c r="I415" s="1334"/>
      <c r="J415" s="1334"/>
      <c r="K415" s="1334"/>
      <c r="L415" s="1334"/>
      <c r="M415" s="1334"/>
      <c r="N415" s="1334"/>
      <c r="O415" s="1334"/>
      <c r="P415" s="1334"/>
      <c r="Q415" s="1334"/>
      <c r="R415" s="1334"/>
      <c r="S415" s="1334"/>
      <c r="T415" s="1334"/>
      <c r="U415" s="1334"/>
      <c r="V415" s="1334"/>
      <c r="W415" s="1334"/>
      <c r="X415" s="1334"/>
      <c r="Y415" s="1334"/>
      <c r="Z415" s="1334"/>
    </row>
    <row r="416" spans="4:26" ht="15.75" customHeight="1" x14ac:dyDescent="0.3">
      <c r="D416" s="1334"/>
      <c r="E416" s="1341"/>
      <c r="F416" s="1338"/>
      <c r="G416" s="1338"/>
      <c r="H416" s="1338"/>
      <c r="I416" s="1334"/>
      <c r="J416" s="1334"/>
      <c r="K416" s="1334"/>
      <c r="L416" s="1334"/>
      <c r="M416" s="1334"/>
      <c r="N416" s="1334"/>
      <c r="O416" s="1334"/>
      <c r="P416" s="1334"/>
      <c r="Q416" s="1334"/>
      <c r="R416" s="1334"/>
      <c r="S416" s="1334"/>
      <c r="T416" s="1334"/>
      <c r="U416" s="1334"/>
      <c r="V416" s="1334"/>
      <c r="W416" s="1334"/>
      <c r="X416" s="1334"/>
      <c r="Y416" s="1334"/>
      <c r="Z416" s="1334"/>
    </row>
    <row r="417" spans="4:26" ht="15.75" customHeight="1" x14ac:dyDescent="0.3">
      <c r="D417" s="1334"/>
      <c r="E417" s="1341"/>
      <c r="F417" s="1338"/>
      <c r="G417" s="1338"/>
      <c r="H417" s="1338"/>
      <c r="I417" s="1334"/>
      <c r="J417" s="1334"/>
      <c r="K417" s="1334"/>
      <c r="L417" s="1334"/>
      <c r="M417" s="1334"/>
      <c r="N417" s="1334"/>
      <c r="O417" s="1334"/>
      <c r="P417" s="1334"/>
      <c r="Q417" s="1334"/>
      <c r="R417" s="1334"/>
      <c r="S417" s="1334"/>
      <c r="T417" s="1334"/>
      <c r="U417" s="1334"/>
      <c r="V417" s="1334"/>
      <c r="W417" s="1334"/>
      <c r="X417" s="1334"/>
      <c r="Y417" s="1334"/>
      <c r="Z417" s="1334"/>
    </row>
    <row r="418" spans="4:26" ht="15.75" customHeight="1" x14ac:dyDescent="0.3">
      <c r="D418" s="1334"/>
      <c r="E418" s="1341"/>
      <c r="F418" s="1338"/>
      <c r="G418" s="1338"/>
      <c r="H418" s="1338"/>
      <c r="I418" s="1334"/>
      <c r="J418" s="1334"/>
      <c r="K418" s="1334"/>
      <c r="L418" s="1334"/>
      <c r="M418" s="1334"/>
      <c r="N418" s="1334"/>
      <c r="O418" s="1334"/>
      <c r="P418" s="1334"/>
      <c r="Q418" s="1334"/>
      <c r="R418" s="1334"/>
      <c r="S418" s="1334"/>
      <c r="T418" s="1334"/>
      <c r="U418" s="1334"/>
      <c r="V418" s="1334"/>
      <c r="W418" s="1334"/>
      <c r="X418" s="1334"/>
      <c r="Y418" s="1334"/>
      <c r="Z418" s="1334"/>
    </row>
    <row r="419" spans="4:26" ht="15.75" customHeight="1" x14ac:dyDescent="0.3">
      <c r="D419" s="1334"/>
      <c r="E419" s="1341"/>
      <c r="F419" s="1338"/>
      <c r="G419" s="1338"/>
      <c r="H419" s="1338"/>
      <c r="I419" s="1334"/>
      <c r="J419" s="1334"/>
      <c r="K419" s="1334"/>
      <c r="L419" s="1334"/>
      <c r="M419" s="1334"/>
      <c r="N419" s="1334"/>
      <c r="O419" s="1334"/>
      <c r="P419" s="1334"/>
      <c r="Q419" s="1334"/>
      <c r="R419" s="1334"/>
      <c r="S419" s="1334"/>
      <c r="T419" s="1334"/>
      <c r="U419" s="1334"/>
      <c r="V419" s="1334"/>
      <c r="W419" s="1334"/>
      <c r="X419" s="1334"/>
      <c r="Y419" s="1334"/>
      <c r="Z419" s="1334"/>
    </row>
    <row r="420" spans="4:26" ht="15.75" customHeight="1" x14ac:dyDescent="0.3">
      <c r="D420" s="1334"/>
      <c r="E420" s="1341"/>
      <c r="F420" s="1338"/>
      <c r="G420" s="1338"/>
      <c r="H420" s="1338"/>
      <c r="I420" s="1334"/>
      <c r="J420" s="1334"/>
      <c r="K420" s="1334"/>
      <c r="L420" s="1334"/>
      <c r="M420" s="1334"/>
      <c r="N420" s="1334"/>
      <c r="O420" s="1334"/>
      <c r="P420" s="1334"/>
      <c r="Q420" s="1334"/>
      <c r="R420" s="1334"/>
      <c r="S420" s="1334"/>
      <c r="T420" s="1334"/>
      <c r="U420" s="1334"/>
      <c r="V420" s="1334"/>
      <c r="W420" s="1334"/>
      <c r="X420" s="1334"/>
      <c r="Y420" s="1334"/>
      <c r="Z420" s="1334"/>
    </row>
    <row r="421" spans="4:26" ht="15.75" customHeight="1" x14ac:dyDescent="0.3">
      <c r="D421" s="1334"/>
      <c r="E421" s="1341"/>
      <c r="F421" s="1338"/>
      <c r="G421" s="1338"/>
      <c r="H421" s="1338"/>
      <c r="I421" s="1334"/>
      <c r="J421" s="1334"/>
      <c r="K421" s="1334"/>
      <c r="L421" s="1334"/>
      <c r="M421" s="1334"/>
      <c r="N421" s="1334"/>
      <c r="O421" s="1334"/>
      <c r="P421" s="1334"/>
      <c r="Q421" s="1334"/>
      <c r="R421" s="1334"/>
      <c r="S421" s="1334"/>
      <c r="T421" s="1334"/>
      <c r="U421" s="1334"/>
      <c r="V421" s="1334"/>
      <c r="W421" s="1334"/>
      <c r="X421" s="1334"/>
      <c r="Y421" s="1334"/>
      <c r="Z421" s="1334"/>
    </row>
    <row r="422" spans="4:26" ht="15.75" customHeight="1" x14ac:dyDescent="0.3">
      <c r="D422" s="1334"/>
      <c r="E422" s="1341"/>
      <c r="F422" s="1338"/>
      <c r="G422" s="1338"/>
      <c r="H422" s="1338"/>
      <c r="I422" s="1334"/>
      <c r="J422" s="1334"/>
      <c r="K422" s="1334"/>
      <c r="L422" s="1334"/>
      <c r="M422" s="1334"/>
      <c r="N422" s="1334"/>
      <c r="O422" s="1334"/>
      <c r="P422" s="1334"/>
      <c r="Q422" s="1334"/>
      <c r="R422" s="1334"/>
      <c r="S422" s="1334"/>
      <c r="T422" s="1334"/>
      <c r="U422" s="1334"/>
      <c r="V422" s="1334"/>
      <c r="W422" s="1334"/>
      <c r="X422" s="1334"/>
      <c r="Y422" s="1334"/>
      <c r="Z422" s="1334"/>
    </row>
    <row r="423" spans="4:26" ht="15.75" customHeight="1" x14ac:dyDescent="0.3">
      <c r="D423" s="1334"/>
      <c r="E423" s="1341"/>
      <c r="F423" s="1338"/>
      <c r="G423" s="1338"/>
      <c r="H423" s="1338"/>
      <c r="I423" s="1334"/>
      <c r="J423" s="1334"/>
      <c r="K423" s="1334"/>
      <c r="L423" s="1334"/>
      <c r="M423" s="1334"/>
      <c r="N423" s="1334"/>
      <c r="O423" s="1334"/>
      <c r="P423" s="1334"/>
      <c r="Q423" s="1334"/>
      <c r="R423" s="1334"/>
      <c r="S423" s="1334"/>
      <c r="T423" s="1334"/>
      <c r="U423" s="1334"/>
      <c r="V423" s="1334"/>
      <c r="W423" s="1334"/>
      <c r="X423" s="1334"/>
      <c r="Y423" s="1334"/>
      <c r="Z423" s="1334"/>
    </row>
    <row r="424" spans="4:26" ht="15.75" customHeight="1" x14ac:dyDescent="0.3">
      <c r="D424" s="1334"/>
      <c r="E424" s="1341"/>
      <c r="F424" s="1338"/>
      <c r="G424" s="1338"/>
      <c r="H424" s="1338"/>
      <c r="I424" s="1334"/>
      <c r="J424" s="1334"/>
      <c r="K424" s="1334"/>
      <c r="L424" s="1334"/>
      <c r="M424" s="1334"/>
      <c r="N424" s="1334"/>
      <c r="O424" s="1334"/>
      <c r="P424" s="1334"/>
      <c r="Q424" s="1334"/>
      <c r="R424" s="1334"/>
      <c r="S424" s="1334"/>
      <c r="T424" s="1334"/>
      <c r="U424" s="1334"/>
      <c r="V424" s="1334"/>
      <c r="W424" s="1334"/>
      <c r="X424" s="1334"/>
      <c r="Y424" s="1334"/>
      <c r="Z424" s="1334"/>
    </row>
    <row r="425" spans="4:26" ht="15.75" customHeight="1" x14ac:dyDescent="0.3">
      <c r="D425" s="1334"/>
      <c r="E425" s="1341"/>
      <c r="F425" s="1338"/>
      <c r="G425" s="1338"/>
      <c r="H425" s="1338"/>
      <c r="I425" s="1334"/>
      <c r="J425" s="1334"/>
      <c r="K425" s="1334"/>
      <c r="L425" s="1334"/>
      <c r="M425" s="1334"/>
      <c r="N425" s="1334"/>
      <c r="O425" s="1334"/>
      <c r="P425" s="1334"/>
      <c r="Q425" s="1334"/>
      <c r="R425" s="1334"/>
      <c r="S425" s="1334"/>
      <c r="T425" s="1334"/>
      <c r="U425" s="1334"/>
      <c r="V425" s="1334"/>
      <c r="W425" s="1334"/>
      <c r="X425" s="1334"/>
      <c r="Y425" s="1334"/>
      <c r="Z425" s="1334"/>
    </row>
    <row r="426" spans="4:26" ht="15.75" customHeight="1" x14ac:dyDescent="0.3">
      <c r="D426" s="1334"/>
      <c r="E426" s="1341"/>
      <c r="F426" s="1338"/>
      <c r="G426" s="1338"/>
      <c r="H426" s="1338"/>
      <c r="I426" s="1334"/>
      <c r="J426" s="1334"/>
      <c r="K426" s="1334"/>
      <c r="L426" s="1334"/>
      <c r="M426" s="1334"/>
      <c r="N426" s="1334"/>
      <c r="O426" s="1334"/>
      <c r="P426" s="1334"/>
      <c r="Q426" s="1334"/>
      <c r="R426" s="1334"/>
      <c r="S426" s="1334"/>
      <c r="T426" s="1334"/>
      <c r="U426" s="1334"/>
      <c r="V426" s="1334"/>
      <c r="W426" s="1334"/>
      <c r="X426" s="1334"/>
      <c r="Y426" s="1334"/>
      <c r="Z426" s="1334"/>
    </row>
    <row r="427" spans="4:26" ht="15.75" customHeight="1" x14ac:dyDescent="0.3">
      <c r="D427" s="1334"/>
      <c r="E427" s="1341"/>
      <c r="F427" s="1338"/>
      <c r="G427" s="1338"/>
      <c r="H427" s="1338"/>
      <c r="I427" s="1334"/>
      <c r="J427" s="1334"/>
      <c r="K427" s="1334"/>
      <c r="L427" s="1334"/>
      <c r="M427" s="1334"/>
      <c r="N427" s="1334"/>
      <c r="O427" s="1334"/>
      <c r="P427" s="1334"/>
      <c r="Q427" s="1334"/>
      <c r="R427" s="1334"/>
      <c r="S427" s="1334"/>
      <c r="T427" s="1334"/>
      <c r="U427" s="1334"/>
      <c r="V427" s="1334"/>
      <c r="W427" s="1334"/>
      <c r="X427" s="1334"/>
      <c r="Y427" s="1334"/>
      <c r="Z427" s="1334"/>
    </row>
    <row r="428" spans="4:26" ht="15.75" customHeight="1" x14ac:dyDescent="0.3">
      <c r="D428" s="1334"/>
      <c r="E428" s="1341"/>
      <c r="F428" s="1338"/>
      <c r="G428" s="1338"/>
      <c r="H428" s="1338"/>
      <c r="I428" s="1334"/>
      <c r="J428" s="1334"/>
      <c r="K428" s="1334"/>
      <c r="L428" s="1334"/>
      <c r="M428" s="1334"/>
      <c r="N428" s="1334"/>
      <c r="O428" s="1334"/>
      <c r="P428" s="1334"/>
      <c r="Q428" s="1334"/>
      <c r="R428" s="1334"/>
      <c r="S428" s="1334"/>
      <c r="T428" s="1334"/>
      <c r="U428" s="1334"/>
      <c r="V428" s="1334"/>
      <c r="W428" s="1334"/>
      <c r="X428" s="1334"/>
      <c r="Y428" s="1334"/>
      <c r="Z428" s="1334"/>
    </row>
    <row r="429" spans="4:26" ht="15.75" customHeight="1" x14ac:dyDescent="0.3">
      <c r="D429" s="1334"/>
      <c r="E429" s="1341"/>
      <c r="F429" s="1338"/>
      <c r="G429" s="1338"/>
      <c r="H429" s="1338"/>
      <c r="I429" s="1334"/>
      <c r="J429" s="1334"/>
      <c r="K429" s="1334"/>
      <c r="L429" s="1334"/>
      <c r="M429" s="1334"/>
      <c r="N429" s="1334"/>
      <c r="O429" s="1334"/>
      <c r="P429" s="1334"/>
      <c r="Q429" s="1334"/>
      <c r="R429" s="1334"/>
      <c r="S429" s="1334"/>
      <c r="T429" s="1334"/>
      <c r="U429" s="1334"/>
      <c r="V429" s="1334"/>
      <c r="W429" s="1334"/>
      <c r="X429" s="1334"/>
      <c r="Y429" s="1334"/>
      <c r="Z429" s="1334"/>
    </row>
    <row r="430" spans="4:26" ht="15.75" customHeight="1" x14ac:dyDescent="0.3">
      <c r="D430" s="1334"/>
      <c r="E430" s="1341"/>
      <c r="F430" s="1338"/>
      <c r="G430" s="1338"/>
      <c r="H430" s="1338"/>
      <c r="I430" s="1334"/>
      <c r="J430" s="1334"/>
      <c r="K430" s="1334"/>
      <c r="L430" s="1334"/>
      <c r="M430" s="1334"/>
      <c r="N430" s="1334"/>
      <c r="O430" s="1334"/>
      <c r="P430" s="1334"/>
      <c r="Q430" s="1334"/>
      <c r="R430" s="1334"/>
      <c r="S430" s="1334"/>
      <c r="T430" s="1334"/>
      <c r="U430" s="1334"/>
      <c r="V430" s="1334"/>
      <c r="W430" s="1334"/>
      <c r="X430" s="1334"/>
      <c r="Y430" s="1334"/>
      <c r="Z430" s="1334"/>
    </row>
    <row r="431" spans="4:26" ht="15.75" customHeight="1" x14ac:dyDescent="0.3">
      <c r="D431" s="1334"/>
      <c r="E431" s="1341"/>
      <c r="F431" s="1338"/>
      <c r="G431" s="1338"/>
      <c r="H431" s="1338"/>
      <c r="I431" s="1334"/>
      <c r="J431" s="1334"/>
      <c r="K431" s="1334"/>
      <c r="L431" s="1334"/>
      <c r="M431" s="1334"/>
      <c r="N431" s="1334"/>
      <c r="O431" s="1334"/>
      <c r="P431" s="1334"/>
      <c r="Q431" s="1334"/>
      <c r="R431" s="1334"/>
      <c r="S431" s="1334"/>
      <c r="T431" s="1334"/>
      <c r="U431" s="1334"/>
      <c r="V431" s="1334"/>
      <c r="W431" s="1334"/>
      <c r="X431" s="1334"/>
      <c r="Y431" s="1334"/>
      <c r="Z431" s="1334"/>
    </row>
    <row r="432" spans="4:26" ht="15.75" customHeight="1" x14ac:dyDescent="0.3">
      <c r="D432" s="1334"/>
      <c r="E432" s="1341"/>
      <c r="F432" s="1338"/>
      <c r="G432" s="1338"/>
      <c r="H432" s="1338"/>
      <c r="I432" s="1334"/>
      <c r="J432" s="1334"/>
      <c r="K432" s="1334"/>
      <c r="L432" s="1334"/>
      <c r="M432" s="1334"/>
      <c r="N432" s="1334"/>
      <c r="O432" s="1334"/>
      <c r="P432" s="1334"/>
      <c r="Q432" s="1334"/>
      <c r="R432" s="1334"/>
      <c r="S432" s="1334"/>
      <c r="T432" s="1334"/>
      <c r="U432" s="1334"/>
      <c r="V432" s="1334"/>
      <c r="W432" s="1334"/>
      <c r="X432" s="1334"/>
      <c r="Y432" s="1334"/>
      <c r="Z432" s="1334"/>
    </row>
    <row r="433" spans="4:26" ht="15.75" customHeight="1" x14ac:dyDescent="0.3">
      <c r="D433" s="1334"/>
      <c r="E433" s="1341"/>
      <c r="F433" s="1338"/>
      <c r="G433" s="1338"/>
      <c r="H433" s="1338"/>
      <c r="I433" s="1334"/>
      <c r="J433" s="1334"/>
      <c r="K433" s="1334"/>
      <c r="L433" s="1334"/>
      <c r="M433" s="1334"/>
      <c r="N433" s="1334"/>
      <c r="O433" s="1334"/>
      <c r="P433" s="1334"/>
      <c r="Q433" s="1334"/>
      <c r="R433" s="1334"/>
      <c r="S433" s="1334"/>
      <c r="T433" s="1334"/>
      <c r="U433" s="1334"/>
      <c r="V433" s="1334"/>
      <c r="W433" s="1334"/>
      <c r="X433" s="1334"/>
      <c r="Y433" s="1334"/>
      <c r="Z433" s="1334"/>
    </row>
    <row r="434" spans="4:26" ht="15.75" customHeight="1" x14ac:dyDescent="0.3">
      <c r="D434" s="1334"/>
      <c r="E434" s="1341"/>
      <c r="F434" s="1338"/>
      <c r="G434" s="1338"/>
      <c r="H434" s="1338"/>
      <c r="I434" s="1334"/>
      <c r="J434" s="1334"/>
      <c r="K434" s="1334"/>
      <c r="L434" s="1334"/>
      <c r="M434" s="1334"/>
      <c r="N434" s="1334"/>
      <c r="O434" s="1334"/>
      <c r="P434" s="1334"/>
      <c r="Q434" s="1334"/>
      <c r="R434" s="1334"/>
      <c r="S434" s="1334"/>
      <c r="T434" s="1334"/>
      <c r="U434" s="1334"/>
      <c r="V434" s="1334"/>
      <c r="W434" s="1334"/>
      <c r="X434" s="1334"/>
      <c r="Y434" s="1334"/>
      <c r="Z434" s="1334"/>
    </row>
    <row r="435" spans="4:26" ht="15.75" customHeight="1" x14ac:dyDescent="0.3">
      <c r="D435" s="1334"/>
      <c r="E435" s="1341"/>
      <c r="F435" s="1338"/>
      <c r="G435" s="1338"/>
      <c r="H435" s="1338"/>
      <c r="I435" s="1334"/>
      <c r="J435" s="1334"/>
      <c r="K435" s="1334"/>
      <c r="L435" s="1334"/>
      <c r="M435" s="1334"/>
      <c r="N435" s="1334"/>
      <c r="O435" s="1334"/>
      <c r="P435" s="1334"/>
      <c r="Q435" s="1334"/>
      <c r="R435" s="1334"/>
      <c r="S435" s="1334"/>
      <c r="T435" s="1334"/>
      <c r="U435" s="1334"/>
      <c r="V435" s="1334"/>
      <c r="W435" s="1334"/>
      <c r="X435" s="1334"/>
      <c r="Y435" s="1334"/>
      <c r="Z435" s="1334"/>
    </row>
    <row r="436" spans="4:26" ht="15.75" customHeight="1" x14ac:dyDescent="0.3">
      <c r="D436" s="1334"/>
      <c r="E436" s="1341"/>
      <c r="F436" s="1338"/>
      <c r="G436" s="1338"/>
      <c r="H436" s="1338"/>
      <c r="I436" s="1334"/>
      <c r="J436" s="1334"/>
      <c r="K436" s="1334"/>
      <c r="L436" s="1334"/>
      <c r="M436" s="1334"/>
      <c r="N436" s="1334"/>
      <c r="O436" s="1334"/>
      <c r="P436" s="1334"/>
      <c r="Q436" s="1334"/>
      <c r="R436" s="1334"/>
      <c r="S436" s="1334"/>
      <c r="T436" s="1334"/>
      <c r="U436" s="1334"/>
      <c r="V436" s="1334"/>
      <c r="W436" s="1334"/>
      <c r="X436" s="1334"/>
      <c r="Y436" s="1334"/>
      <c r="Z436" s="1334"/>
    </row>
    <row r="437" spans="4:26" ht="15.75" customHeight="1" x14ac:dyDescent="0.3">
      <c r="D437" s="1334"/>
      <c r="E437" s="1341"/>
      <c r="F437" s="1338"/>
      <c r="G437" s="1338"/>
      <c r="H437" s="1338"/>
      <c r="I437" s="1334"/>
      <c r="J437" s="1334"/>
      <c r="K437" s="1334"/>
      <c r="L437" s="1334"/>
      <c r="M437" s="1334"/>
      <c r="N437" s="1334"/>
      <c r="O437" s="1334"/>
      <c r="P437" s="1334"/>
      <c r="Q437" s="1334"/>
      <c r="R437" s="1334"/>
      <c r="S437" s="1334"/>
      <c r="T437" s="1334"/>
      <c r="U437" s="1334"/>
      <c r="V437" s="1334"/>
      <c r="W437" s="1334"/>
      <c r="X437" s="1334"/>
      <c r="Y437" s="1334"/>
      <c r="Z437" s="1334"/>
    </row>
    <row r="438" spans="4:26" ht="15.75" customHeight="1" x14ac:dyDescent="0.3">
      <c r="D438" s="1334"/>
      <c r="E438" s="1341"/>
      <c r="F438" s="1338"/>
      <c r="G438" s="1338"/>
      <c r="H438" s="1338"/>
      <c r="I438" s="1334"/>
      <c r="J438" s="1334"/>
      <c r="K438" s="1334"/>
      <c r="L438" s="1334"/>
      <c r="M438" s="1334"/>
      <c r="N438" s="1334"/>
      <c r="O438" s="1334"/>
      <c r="P438" s="1334"/>
      <c r="Q438" s="1334"/>
      <c r="R438" s="1334"/>
      <c r="S438" s="1334"/>
      <c r="T438" s="1334"/>
      <c r="U438" s="1334"/>
      <c r="V438" s="1334"/>
      <c r="W438" s="1334"/>
      <c r="X438" s="1334"/>
      <c r="Y438" s="1334"/>
      <c r="Z438" s="1334"/>
    </row>
    <row r="439" spans="4:26" ht="15.75" customHeight="1" x14ac:dyDescent="0.3">
      <c r="D439" s="1334"/>
      <c r="E439" s="1341"/>
      <c r="F439" s="1338"/>
      <c r="G439" s="1338"/>
      <c r="H439" s="1338"/>
      <c r="I439" s="1334"/>
      <c r="J439" s="1334"/>
      <c r="K439" s="1334"/>
      <c r="L439" s="1334"/>
      <c r="M439" s="1334"/>
      <c r="N439" s="1334"/>
      <c r="O439" s="1334"/>
      <c r="P439" s="1334"/>
      <c r="Q439" s="1334"/>
      <c r="R439" s="1334"/>
      <c r="S439" s="1334"/>
      <c r="T439" s="1334"/>
      <c r="U439" s="1334"/>
      <c r="V439" s="1334"/>
      <c r="W439" s="1334"/>
      <c r="X439" s="1334"/>
      <c r="Y439" s="1334"/>
      <c r="Z439" s="1334"/>
    </row>
    <row r="440" spans="4:26" ht="15.75" customHeight="1" x14ac:dyDescent="0.3">
      <c r="D440" s="1334"/>
      <c r="E440" s="1341"/>
      <c r="F440" s="1338"/>
      <c r="G440" s="1338"/>
      <c r="H440" s="1338"/>
      <c r="I440" s="1334"/>
      <c r="J440" s="1334"/>
      <c r="K440" s="1334"/>
      <c r="L440" s="1334"/>
      <c r="M440" s="1334"/>
      <c r="N440" s="1334"/>
      <c r="O440" s="1334"/>
      <c r="P440" s="1334"/>
      <c r="Q440" s="1334"/>
      <c r="R440" s="1334"/>
      <c r="S440" s="1334"/>
      <c r="T440" s="1334"/>
      <c r="U440" s="1334"/>
      <c r="V440" s="1334"/>
      <c r="W440" s="1334"/>
      <c r="X440" s="1334"/>
      <c r="Y440" s="1334"/>
      <c r="Z440" s="1334"/>
    </row>
    <row r="441" spans="4:26" ht="15.75" customHeight="1" x14ac:dyDescent="0.3">
      <c r="D441" s="1334"/>
      <c r="E441" s="1341"/>
      <c r="F441" s="1338"/>
      <c r="G441" s="1338"/>
      <c r="H441" s="1338"/>
      <c r="I441" s="1334"/>
      <c r="J441" s="1334"/>
      <c r="K441" s="1334"/>
      <c r="L441" s="1334"/>
      <c r="M441" s="1334"/>
      <c r="N441" s="1334"/>
      <c r="O441" s="1334"/>
      <c r="P441" s="1334"/>
      <c r="Q441" s="1334"/>
      <c r="R441" s="1334"/>
      <c r="S441" s="1334"/>
      <c r="T441" s="1334"/>
      <c r="U441" s="1334"/>
      <c r="V441" s="1334"/>
      <c r="W441" s="1334"/>
      <c r="X441" s="1334"/>
      <c r="Y441" s="1334"/>
      <c r="Z441" s="1334"/>
    </row>
    <row r="442" spans="4:26" ht="15.75" customHeight="1" x14ac:dyDescent="0.3">
      <c r="D442" s="1334"/>
      <c r="E442" s="1341"/>
      <c r="F442" s="1338"/>
      <c r="G442" s="1338"/>
      <c r="H442" s="1338"/>
      <c r="I442" s="1334"/>
      <c r="J442" s="1334"/>
      <c r="K442" s="1334"/>
      <c r="L442" s="1334"/>
      <c r="M442" s="1334"/>
      <c r="N442" s="1334"/>
      <c r="O442" s="1334"/>
      <c r="P442" s="1334"/>
      <c r="Q442" s="1334"/>
      <c r="R442" s="1334"/>
      <c r="S442" s="1334"/>
      <c r="T442" s="1334"/>
      <c r="U442" s="1334"/>
      <c r="V442" s="1334"/>
      <c r="W442" s="1334"/>
      <c r="X442" s="1334"/>
      <c r="Y442" s="1334"/>
      <c r="Z442" s="1334"/>
    </row>
    <row r="443" spans="4:26" ht="15.75" customHeight="1" x14ac:dyDescent="0.3">
      <c r="D443" s="1334"/>
      <c r="E443" s="1341"/>
      <c r="F443" s="1338"/>
      <c r="G443" s="1338"/>
      <c r="H443" s="1338"/>
      <c r="I443" s="1334"/>
      <c r="J443" s="1334"/>
      <c r="K443" s="1334"/>
      <c r="L443" s="1334"/>
      <c r="M443" s="1334"/>
      <c r="N443" s="1334"/>
      <c r="O443" s="1334"/>
      <c r="P443" s="1334"/>
      <c r="Q443" s="1334"/>
      <c r="R443" s="1334"/>
      <c r="S443" s="1334"/>
      <c r="T443" s="1334"/>
      <c r="U443" s="1334"/>
      <c r="V443" s="1334"/>
      <c r="W443" s="1334"/>
      <c r="X443" s="1334"/>
      <c r="Y443" s="1334"/>
      <c r="Z443" s="1334"/>
    </row>
    <row r="444" spans="4:26" ht="15.75" customHeight="1" x14ac:dyDescent="0.3">
      <c r="D444" s="1334"/>
      <c r="E444" s="1341"/>
      <c r="F444" s="1338"/>
      <c r="G444" s="1338"/>
      <c r="H444" s="1338"/>
      <c r="I444" s="1334"/>
      <c r="J444" s="1334"/>
      <c r="K444" s="1334"/>
      <c r="L444" s="1334"/>
      <c r="M444" s="1334"/>
      <c r="N444" s="1334"/>
      <c r="O444" s="1334"/>
      <c r="P444" s="1334"/>
      <c r="Q444" s="1334"/>
      <c r="R444" s="1334"/>
      <c r="S444" s="1334"/>
      <c r="T444" s="1334"/>
      <c r="U444" s="1334"/>
      <c r="V444" s="1334"/>
      <c r="W444" s="1334"/>
      <c r="X444" s="1334"/>
      <c r="Y444" s="1334"/>
      <c r="Z444" s="1334"/>
    </row>
    <row r="445" spans="4:26" ht="15.75" customHeight="1" x14ac:dyDescent="0.3">
      <c r="D445" s="1334"/>
      <c r="E445" s="1341"/>
      <c r="F445" s="1338"/>
      <c r="G445" s="1338"/>
      <c r="H445" s="1338"/>
      <c r="I445" s="1334"/>
      <c r="J445" s="1334"/>
      <c r="K445" s="1334"/>
      <c r="L445" s="1334"/>
      <c r="M445" s="1334"/>
      <c r="N445" s="1334"/>
      <c r="O445" s="1334"/>
      <c r="P445" s="1334"/>
      <c r="Q445" s="1334"/>
      <c r="R445" s="1334"/>
      <c r="S445" s="1334"/>
      <c r="T445" s="1334"/>
      <c r="U445" s="1334"/>
      <c r="V445" s="1334"/>
      <c r="W445" s="1334"/>
      <c r="X445" s="1334"/>
      <c r="Y445" s="1334"/>
      <c r="Z445" s="1334"/>
    </row>
    <row r="446" spans="4:26" ht="15.75" customHeight="1" x14ac:dyDescent="0.3">
      <c r="D446" s="1334"/>
      <c r="E446" s="1341"/>
      <c r="F446" s="1338"/>
      <c r="G446" s="1338"/>
      <c r="H446" s="1338"/>
      <c r="I446" s="1334"/>
      <c r="J446" s="1334"/>
      <c r="K446" s="1334"/>
      <c r="L446" s="1334"/>
      <c r="M446" s="1334"/>
      <c r="N446" s="1334"/>
      <c r="O446" s="1334"/>
      <c r="P446" s="1334"/>
      <c r="Q446" s="1334"/>
      <c r="R446" s="1334"/>
      <c r="S446" s="1334"/>
      <c r="T446" s="1334"/>
      <c r="U446" s="1334"/>
      <c r="V446" s="1334"/>
      <c r="W446" s="1334"/>
      <c r="X446" s="1334"/>
      <c r="Y446" s="1334"/>
      <c r="Z446" s="1334"/>
    </row>
    <row r="447" spans="4:26" ht="15.75" customHeight="1" x14ac:dyDescent="0.3">
      <c r="D447" s="1334"/>
      <c r="E447" s="1341"/>
      <c r="F447" s="1338"/>
      <c r="G447" s="1338"/>
      <c r="H447" s="1338"/>
      <c r="I447" s="1334"/>
      <c r="J447" s="1334"/>
      <c r="K447" s="1334"/>
      <c r="L447" s="1334"/>
      <c r="M447" s="1334"/>
      <c r="N447" s="1334"/>
      <c r="O447" s="1334"/>
      <c r="P447" s="1334"/>
      <c r="Q447" s="1334"/>
      <c r="R447" s="1334"/>
      <c r="S447" s="1334"/>
      <c r="T447" s="1334"/>
      <c r="U447" s="1334"/>
      <c r="V447" s="1334"/>
      <c r="W447" s="1334"/>
      <c r="X447" s="1334"/>
      <c r="Y447" s="1334"/>
      <c r="Z447" s="1334"/>
    </row>
    <row r="448" spans="4:26" ht="15.75" customHeight="1" x14ac:dyDescent="0.3">
      <c r="D448" s="1334"/>
      <c r="E448" s="1341"/>
      <c r="F448" s="1338"/>
      <c r="G448" s="1338"/>
      <c r="H448" s="1338"/>
      <c r="I448" s="1334"/>
      <c r="J448" s="1334"/>
      <c r="K448" s="1334"/>
      <c r="L448" s="1334"/>
      <c r="M448" s="1334"/>
      <c r="N448" s="1334"/>
      <c r="O448" s="1334"/>
      <c r="P448" s="1334"/>
      <c r="Q448" s="1334"/>
      <c r="R448" s="1334"/>
      <c r="S448" s="1334"/>
      <c r="T448" s="1334"/>
      <c r="U448" s="1334"/>
      <c r="V448" s="1334"/>
      <c r="W448" s="1334"/>
      <c r="X448" s="1334"/>
      <c r="Y448" s="1334"/>
      <c r="Z448" s="1334"/>
    </row>
    <row r="449" spans="4:26" ht="15.75" customHeight="1" x14ac:dyDescent="0.3">
      <c r="D449" s="1334"/>
      <c r="E449" s="1341"/>
      <c r="F449" s="1338"/>
      <c r="G449" s="1338"/>
      <c r="H449" s="1338"/>
      <c r="I449" s="1334"/>
      <c r="J449" s="1334"/>
      <c r="K449" s="1334"/>
      <c r="L449" s="1334"/>
      <c r="M449" s="1334"/>
      <c r="N449" s="1334"/>
      <c r="O449" s="1334"/>
      <c r="P449" s="1334"/>
      <c r="Q449" s="1334"/>
      <c r="R449" s="1334"/>
      <c r="S449" s="1334"/>
      <c r="T449" s="1334"/>
      <c r="U449" s="1334"/>
      <c r="V449" s="1334"/>
      <c r="W449" s="1334"/>
      <c r="X449" s="1334"/>
      <c r="Y449" s="1334"/>
      <c r="Z449" s="1334"/>
    </row>
    <row r="450" spans="4:26" ht="15.75" customHeight="1" x14ac:dyDescent="0.3">
      <c r="D450" s="1334"/>
      <c r="E450" s="1341"/>
      <c r="F450" s="1338"/>
      <c r="G450" s="1338"/>
      <c r="H450" s="1338"/>
      <c r="I450" s="1334"/>
      <c r="J450" s="1334"/>
      <c r="K450" s="1334"/>
      <c r="L450" s="1334"/>
      <c r="M450" s="1334"/>
      <c r="N450" s="1334"/>
      <c r="O450" s="1334"/>
      <c r="P450" s="1334"/>
      <c r="Q450" s="1334"/>
      <c r="R450" s="1334"/>
      <c r="S450" s="1334"/>
      <c r="T450" s="1334"/>
      <c r="U450" s="1334"/>
      <c r="V450" s="1334"/>
      <c r="W450" s="1334"/>
      <c r="X450" s="1334"/>
      <c r="Y450" s="1334"/>
      <c r="Z450" s="1334"/>
    </row>
    <row r="451" spans="4:26" ht="15.75" customHeight="1" x14ac:dyDescent="0.3">
      <c r="D451" s="1334"/>
      <c r="E451" s="1341"/>
      <c r="F451" s="1338"/>
      <c r="G451" s="1338"/>
      <c r="H451" s="1338"/>
      <c r="I451" s="1334"/>
      <c r="J451" s="1334"/>
      <c r="K451" s="1334"/>
      <c r="L451" s="1334"/>
      <c r="M451" s="1334"/>
      <c r="N451" s="1334"/>
      <c r="O451" s="1334"/>
      <c r="P451" s="1334"/>
      <c r="Q451" s="1334"/>
      <c r="R451" s="1334"/>
      <c r="S451" s="1334"/>
      <c r="T451" s="1334"/>
      <c r="U451" s="1334"/>
      <c r="V451" s="1334"/>
      <c r="W451" s="1334"/>
      <c r="X451" s="1334"/>
      <c r="Y451" s="1334"/>
      <c r="Z451" s="1334"/>
    </row>
    <row r="452" spans="4:26" ht="15.75" customHeight="1" x14ac:dyDescent="0.3">
      <c r="D452" s="1334"/>
      <c r="E452" s="1341"/>
      <c r="F452" s="1338"/>
      <c r="G452" s="1338"/>
      <c r="H452" s="1338"/>
      <c r="I452" s="1334"/>
      <c r="J452" s="1334"/>
      <c r="K452" s="1334"/>
      <c r="L452" s="1334"/>
      <c r="M452" s="1334"/>
      <c r="N452" s="1334"/>
      <c r="O452" s="1334"/>
      <c r="P452" s="1334"/>
      <c r="Q452" s="1334"/>
      <c r="R452" s="1334"/>
      <c r="S452" s="1334"/>
      <c r="T452" s="1334"/>
      <c r="U452" s="1334"/>
      <c r="V452" s="1334"/>
      <c r="W452" s="1334"/>
      <c r="X452" s="1334"/>
      <c r="Y452" s="1334"/>
      <c r="Z452" s="1334"/>
    </row>
    <row r="453" spans="4:26" ht="15.75" customHeight="1" x14ac:dyDescent="0.3">
      <c r="D453" s="1334"/>
      <c r="E453" s="1341"/>
      <c r="F453" s="1338"/>
      <c r="G453" s="1338"/>
      <c r="H453" s="1338"/>
      <c r="I453" s="1334"/>
      <c r="J453" s="1334"/>
      <c r="K453" s="1334"/>
      <c r="L453" s="1334"/>
      <c r="M453" s="1334"/>
      <c r="N453" s="1334"/>
      <c r="O453" s="1334"/>
      <c r="P453" s="1334"/>
      <c r="Q453" s="1334"/>
      <c r="R453" s="1334"/>
      <c r="S453" s="1334"/>
      <c r="T453" s="1334"/>
      <c r="U453" s="1334"/>
      <c r="V453" s="1334"/>
      <c r="W453" s="1334"/>
      <c r="X453" s="1334"/>
      <c r="Y453" s="1334"/>
      <c r="Z453" s="1334"/>
    </row>
    <row r="454" spans="4:26" ht="15.75" customHeight="1" x14ac:dyDescent="0.3">
      <c r="D454" s="1334"/>
      <c r="E454" s="1341"/>
      <c r="F454" s="1338"/>
      <c r="G454" s="1338"/>
      <c r="H454" s="1338"/>
      <c r="I454" s="1334"/>
      <c r="J454" s="1334"/>
      <c r="K454" s="1334"/>
      <c r="L454" s="1334"/>
      <c r="M454" s="1334"/>
      <c r="N454" s="1334"/>
      <c r="O454" s="1334"/>
      <c r="P454" s="1334"/>
      <c r="Q454" s="1334"/>
      <c r="R454" s="1334"/>
      <c r="S454" s="1334"/>
      <c r="T454" s="1334"/>
      <c r="U454" s="1334"/>
      <c r="V454" s="1334"/>
      <c r="W454" s="1334"/>
      <c r="X454" s="1334"/>
      <c r="Y454" s="1334"/>
      <c r="Z454" s="1334"/>
    </row>
    <row r="455" spans="4:26" ht="15.75" customHeight="1" x14ac:dyDescent="0.3">
      <c r="D455" s="1334"/>
      <c r="E455" s="1341"/>
      <c r="F455" s="1338"/>
      <c r="G455" s="1338"/>
      <c r="H455" s="1338"/>
      <c r="I455" s="1334"/>
      <c r="J455" s="1334"/>
      <c r="K455" s="1334"/>
      <c r="L455" s="1334"/>
      <c r="M455" s="1334"/>
      <c r="N455" s="1334"/>
      <c r="O455" s="1334"/>
      <c r="P455" s="1334"/>
      <c r="Q455" s="1334"/>
      <c r="R455" s="1334"/>
      <c r="S455" s="1334"/>
      <c r="T455" s="1334"/>
      <c r="U455" s="1334"/>
      <c r="V455" s="1334"/>
      <c r="W455" s="1334"/>
      <c r="X455" s="1334"/>
      <c r="Y455" s="1334"/>
      <c r="Z455" s="1334"/>
    </row>
    <row r="456" spans="4:26" ht="15.75" customHeight="1" x14ac:dyDescent="0.3">
      <c r="D456" s="1334"/>
      <c r="E456" s="1341"/>
      <c r="F456" s="1338"/>
      <c r="G456" s="1338"/>
      <c r="H456" s="1338"/>
      <c r="I456" s="1334"/>
      <c r="J456" s="1334"/>
      <c r="K456" s="1334"/>
      <c r="L456" s="1334"/>
      <c r="M456" s="1334"/>
      <c r="N456" s="1334"/>
      <c r="O456" s="1334"/>
      <c r="P456" s="1334"/>
      <c r="Q456" s="1334"/>
      <c r="R456" s="1334"/>
      <c r="S456" s="1334"/>
      <c r="T456" s="1334"/>
      <c r="U456" s="1334"/>
      <c r="V456" s="1334"/>
      <c r="W456" s="1334"/>
      <c r="X456" s="1334"/>
      <c r="Y456" s="1334"/>
      <c r="Z456" s="1334"/>
    </row>
    <row r="457" spans="4:26" ht="15.75" customHeight="1" x14ac:dyDescent="0.3">
      <c r="D457" s="1334"/>
      <c r="E457" s="1341"/>
      <c r="F457" s="1338"/>
      <c r="G457" s="1338"/>
      <c r="H457" s="1338"/>
      <c r="I457" s="1334"/>
      <c r="J457" s="1334"/>
      <c r="K457" s="1334"/>
      <c r="L457" s="1334"/>
      <c r="M457" s="1334"/>
      <c r="N457" s="1334"/>
      <c r="O457" s="1334"/>
      <c r="P457" s="1334"/>
      <c r="Q457" s="1334"/>
      <c r="R457" s="1334"/>
      <c r="S457" s="1334"/>
      <c r="T457" s="1334"/>
      <c r="U457" s="1334"/>
      <c r="V457" s="1334"/>
      <c r="W457" s="1334"/>
      <c r="X457" s="1334"/>
      <c r="Y457" s="1334"/>
      <c r="Z457" s="1334"/>
    </row>
    <row r="458" spans="4:26" ht="15.75" customHeight="1" x14ac:dyDescent="0.3">
      <c r="D458" s="1334"/>
      <c r="E458" s="1341"/>
      <c r="F458" s="1338"/>
      <c r="G458" s="1338"/>
      <c r="H458" s="1338"/>
      <c r="I458" s="1334"/>
      <c r="J458" s="1334"/>
      <c r="K458" s="1334"/>
      <c r="L458" s="1334"/>
      <c r="M458" s="1334"/>
      <c r="N458" s="1334"/>
      <c r="O458" s="1334"/>
      <c r="P458" s="1334"/>
      <c r="Q458" s="1334"/>
      <c r="R458" s="1334"/>
      <c r="S458" s="1334"/>
      <c r="T458" s="1334"/>
      <c r="U458" s="1334"/>
      <c r="V458" s="1334"/>
      <c r="W458" s="1334"/>
      <c r="X458" s="1334"/>
      <c r="Y458" s="1334"/>
      <c r="Z458" s="1334"/>
    </row>
    <row r="459" spans="4:26" ht="15.75" customHeight="1" x14ac:dyDescent="0.3">
      <c r="D459" s="1334"/>
      <c r="E459" s="1341"/>
      <c r="F459" s="1338"/>
      <c r="G459" s="1338"/>
      <c r="H459" s="1338"/>
      <c r="I459" s="1334"/>
      <c r="J459" s="1334"/>
      <c r="K459" s="1334"/>
      <c r="L459" s="1334"/>
      <c r="M459" s="1334"/>
      <c r="N459" s="1334"/>
      <c r="O459" s="1334"/>
      <c r="P459" s="1334"/>
      <c r="Q459" s="1334"/>
      <c r="R459" s="1334"/>
      <c r="S459" s="1334"/>
      <c r="T459" s="1334"/>
      <c r="U459" s="1334"/>
      <c r="V459" s="1334"/>
      <c r="W459" s="1334"/>
      <c r="X459" s="1334"/>
      <c r="Y459" s="1334"/>
      <c r="Z459" s="1334"/>
    </row>
    <row r="460" spans="4:26" ht="15.75" customHeight="1" x14ac:dyDescent="0.3">
      <c r="D460" s="1334"/>
      <c r="E460" s="1341"/>
      <c r="F460" s="1338"/>
      <c r="G460" s="1338"/>
      <c r="H460" s="1338"/>
      <c r="I460" s="1334"/>
      <c r="J460" s="1334"/>
      <c r="K460" s="1334"/>
      <c r="L460" s="1334"/>
      <c r="M460" s="1334"/>
      <c r="N460" s="1334"/>
      <c r="O460" s="1334"/>
      <c r="P460" s="1334"/>
      <c r="Q460" s="1334"/>
      <c r="R460" s="1334"/>
      <c r="S460" s="1334"/>
      <c r="T460" s="1334"/>
      <c r="U460" s="1334"/>
      <c r="V460" s="1334"/>
      <c r="W460" s="1334"/>
      <c r="X460" s="1334"/>
      <c r="Y460" s="1334"/>
      <c r="Z460" s="1334"/>
    </row>
    <row r="461" spans="4:26" ht="15.75" customHeight="1" x14ac:dyDescent="0.3">
      <c r="D461" s="1334"/>
      <c r="E461" s="1341"/>
      <c r="F461" s="1338"/>
      <c r="G461" s="1338"/>
      <c r="H461" s="1338"/>
      <c r="I461" s="1334"/>
      <c r="J461" s="1334"/>
      <c r="K461" s="1334"/>
      <c r="L461" s="1334"/>
      <c r="M461" s="1334"/>
      <c r="N461" s="1334"/>
      <c r="O461" s="1334"/>
      <c r="P461" s="1334"/>
      <c r="Q461" s="1334"/>
      <c r="R461" s="1334"/>
      <c r="S461" s="1334"/>
      <c r="T461" s="1334"/>
      <c r="U461" s="1334"/>
      <c r="V461" s="1334"/>
      <c r="W461" s="1334"/>
      <c r="X461" s="1334"/>
      <c r="Y461" s="1334"/>
      <c r="Z461" s="1334"/>
    </row>
    <row r="462" spans="4:26" ht="15.75" customHeight="1" x14ac:dyDescent="0.3">
      <c r="D462" s="1334"/>
      <c r="E462" s="1341"/>
      <c r="F462" s="1338"/>
      <c r="G462" s="1338"/>
      <c r="H462" s="1338"/>
      <c r="I462" s="1334"/>
      <c r="J462" s="1334"/>
      <c r="K462" s="1334"/>
      <c r="L462" s="1334"/>
      <c r="M462" s="1334"/>
      <c r="N462" s="1334"/>
      <c r="O462" s="1334"/>
      <c r="P462" s="1334"/>
      <c r="Q462" s="1334"/>
      <c r="R462" s="1334"/>
      <c r="S462" s="1334"/>
      <c r="T462" s="1334"/>
      <c r="U462" s="1334"/>
      <c r="V462" s="1334"/>
      <c r="W462" s="1334"/>
      <c r="X462" s="1334"/>
      <c r="Y462" s="1334"/>
      <c r="Z462" s="1334"/>
    </row>
    <row r="463" spans="4:26" ht="15.75" customHeight="1" x14ac:dyDescent="0.3">
      <c r="D463" s="1334"/>
      <c r="E463" s="1341"/>
      <c r="F463" s="1338"/>
      <c r="G463" s="1338"/>
      <c r="H463" s="1338"/>
      <c r="I463" s="1334"/>
      <c r="J463" s="1334"/>
      <c r="K463" s="1334"/>
      <c r="L463" s="1334"/>
      <c r="M463" s="1334"/>
      <c r="N463" s="1334"/>
      <c r="O463" s="1334"/>
      <c r="P463" s="1334"/>
      <c r="Q463" s="1334"/>
      <c r="R463" s="1334"/>
      <c r="S463" s="1334"/>
      <c r="T463" s="1334"/>
      <c r="U463" s="1334"/>
      <c r="V463" s="1334"/>
      <c r="W463" s="1334"/>
      <c r="X463" s="1334"/>
      <c r="Y463" s="1334"/>
      <c r="Z463" s="1334"/>
    </row>
    <row r="464" spans="4:26" ht="15.75" customHeight="1" x14ac:dyDescent="0.3">
      <c r="D464" s="1334"/>
      <c r="E464" s="1341"/>
      <c r="F464" s="1338"/>
      <c r="G464" s="1338"/>
      <c r="H464" s="1338"/>
      <c r="I464" s="1334"/>
      <c r="J464" s="1334"/>
      <c r="K464" s="1334"/>
      <c r="L464" s="1334"/>
      <c r="M464" s="1334"/>
      <c r="N464" s="1334"/>
      <c r="O464" s="1334"/>
      <c r="P464" s="1334"/>
      <c r="Q464" s="1334"/>
      <c r="R464" s="1334"/>
      <c r="S464" s="1334"/>
      <c r="T464" s="1334"/>
      <c r="U464" s="1334"/>
      <c r="V464" s="1334"/>
      <c r="W464" s="1334"/>
      <c r="X464" s="1334"/>
      <c r="Y464" s="1334"/>
      <c r="Z464" s="1334"/>
    </row>
    <row r="465" spans="4:26" ht="15.75" customHeight="1" x14ac:dyDescent="0.3">
      <c r="D465" s="1334"/>
      <c r="E465" s="1341"/>
      <c r="F465" s="1338"/>
      <c r="G465" s="1338"/>
      <c r="H465" s="1338"/>
      <c r="I465" s="1334"/>
      <c r="J465" s="1334"/>
      <c r="K465" s="1334"/>
      <c r="L465" s="1334"/>
      <c r="M465" s="1334"/>
      <c r="N465" s="1334"/>
      <c r="O465" s="1334"/>
      <c r="P465" s="1334"/>
      <c r="Q465" s="1334"/>
      <c r="R465" s="1334"/>
      <c r="S465" s="1334"/>
      <c r="T465" s="1334"/>
      <c r="U465" s="1334"/>
      <c r="V465" s="1334"/>
      <c r="W465" s="1334"/>
      <c r="X465" s="1334"/>
      <c r="Y465" s="1334"/>
      <c r="Z465" s="1334"/>
    </row>
    <row r="466" spans="4:26" ht="15.75" customHeight="1" x14ac:dyDescent="0.3">
      <c r="D466" s="1334"/>
      <c r="E466" s="1341"/>
      <c r="F466" s="1338"/>
      <c r="G466" s="1338"/>
      <c r="H466" s="1338"/>
      <c r="I466" s="1334"/>
      <c r="J466" s="1334"/>
      <c r="K466" s="1334"/>
      <c r="L466" s="1334"/>
      <c r="M466" s="1334"/>
      <c r="N466" s="1334"/>
      <c r="O466" s="1334"/>
      <c r="P466" s="1334"/>
      <c r="Q466" s="1334"/>
      <c r="R466" s="1334"/>
      <c r="S466" s="1334"/>
      <c r="T466" s="1334"/>
      <c r="U466" s="1334"/>
      <c r="V466" s="1334"/>
      <c r="W466" s="1334"/>
      <c r="X466" s="1334"/>
      <c r="Y466" s="1334"/>
      <c r="Z466" s="1334"/>
    </row>
    <row r="467" spans="4:26" ht="15.75" customHeight="1" x14ac:dyDescent="0.3">
      <c r="D467" s="1334"/>
      <c r="E467" s="1341"/>
      <c r="F467" s="1338"/>
      <c r="G467" s="1338"/>
      <c r="H467" s="1338"/>
      <c r="I467" s="1334"/>
      <c r="J467" s="1334"/>
      <c r="K467" s="1334"/>
      <c r="L467" s="1334"/>
      <c r="M467" s="1334"/>
      <c r="N467" s="1334"/>
      <c r="O467" s="1334"/>
      <c r="P467" s="1334"/>
      <c r="Q467" s="1334"/>
      <c r="R467" s="1334"/>
      <c r="S467" s="1334"/>
      <c r="T467" s="1334"/>
      <c r="U467" s="1334"/>
      <c r="V467" s="1334"/>
      <c r="W467" s="1334"/>
      <c r="X467" s="1334"/>
      <c r="Y467" s="1334"/>
      <c r="Z467" s="1334"/>
    </row>
    <row r="468" spans="4:26" ht="15.75" customHeight="1" x14ac:dyDescent="0.3">
      <c r="D468" s="1334"/>
      <c r="E468" s="1341"/>
      <c r="F468" s="1338"/>
      <c r="G468" s="1338"/>
      <c r="H468" s="1338"/>
      <c r="I468" s="1334"/>
      <c r="J468" s="1334"/>
      <c r="K468" s="1334"/>
      <c r="L468" s="1334"/>
      <c r="M468" s="1334"/>
      <c r="N468" s="1334"/>
      <c r="O468" s="1334"/>
      <c r="P468" s="1334"/>
      <c r="Q468" s="1334"/>
      <c r="R468" s="1334"/>
      <c r="S468" s="1334"/>
      <c r="T468" s="1334"/>
      <c r="U468" s="1334"/>
      <c r="V468" s="1334"/>
      <c r="W468" s="1334"/>
      <c r="X468" s="1334"/>
      <c r="Y468" s="1334"/>
      <c r="Z468" s="1334"/>
    </row>
    <row r="469" spans="4:26" ht="15.75" customHeight="1" x14ac:dyDescent="0.3">
      <c r="D469" s="1334"/>
      <c r="E469" s="1341"/>
      <c r="F469" s="1338"/>
      <c r="G469" s="1338"/>
      <c r="H469" s="1338"/>
      <c r="I469" s="1334"/>
      <c r="J469" s="1334"/>
      <c r="K469" s="1334"/>
      <c r="L469" s="1334"/>
      <c r="M469" s="1334"/>
      <c r="N469" s="1334"/>
      <c r="O469" s="1334"/>
      <c r="P469" s="1334"/>
      <c r="Q469" s="1334"/>
      <c r="R469" s="1334"/>
      <c r="S469" s="1334"/>
      <c r="T469" s="1334"/>
      <c r="U469" s="1334"/>
      <c r="V469" s="1334"/>
      <c r="W469" s="1334"/>
      <c r="X469" s="1334"/>
      <c r="Y469" s="1334"/>
      <c r="Z469" s="1334"/>
    </row>
    <row r="470" spans="4:26" ht="15.75" customHeight="1" x14ac:dyDescent="0.3">
      <c r="D470" s="1334"/>
      <c r="E470" s="1341"/>
      <c r="F470" s="1338"/>
      <c r="G470" s="1338"/>
      <c r="H470" s="1338"/>
      <c r="I470" s="1334"/>
      <c r="J470" s="1334"/>
      <c r="K470" s="1334"/>
      <c r="L470" s="1334"/>
      <c r="M470" s="1334"/>
      <c r="N470" s="1334"/>
      <c r="O470" s="1334"/>
      <c r="P470" s="1334"/>
      <c r="Q470" s="1334"/>
      <c r="R470" s="1334"/>
      <c r="S470" s="1334"/>
      <c r="T470" s="1334"/>
      <c r="U470" s="1334"/>
      <c r="V470" s="1334"/>
      <c r="W470" s="1334"/>
      <c r="X470" s="1334"/>
      <c r="Y470" s="1334"/>
      <c r="Z470" s="1334"/>
    </row>
    <row r="471" spans="4:26" ht="15.75" customHeight="1" x14ac:dyDescent="0.3">
      <c r="D471" s="1334"/>
      <c r="E471" s="1341"/>
      <c r="F471" s="1338"/>
      <c r="G471" s="1338"/>
      <c r="H471" s="1338"/>
      <c r="I471" s="1334"/>
      <c r="J471" s="1334"/>
      <c r="K471" s="1334"/>
      <c r="L471" s="1334"/>
      <c r="M471" s="1334"/>
      <c r="N471" s="1334"/>
      <c r="O471" s="1334"/>
      <c r="P471" s="1334"/>
      <c r="Q471" s="1334"/>
      <c r="R471" s="1334"/>
      <c r="S471" s="1334"/>
      <c r="T471" s="1334"/>
      <c r="U471" s="1334"/>
      <c r="V471" s="1334"/>
      <c r="W471" s="1334"/>
      <c r="X471" s="1334"/>
      <c r="Y471" s="1334"/>
      <c r="Z471" s="1334"/>
    </row>
    <row r="472" spans="4:26" ht="15.75" customHeight="1" x14ac:dyDescent="0.3">
      <c r="D472" s="1334"/>
      <c r="E472" s="1341"/>
      <c r="F472" s="1338"/>
      <c r="G472" s="1338"/>
      <c r="H472" s="1338"/>
      <c r="I472" s="1334"/>
      <c r="J472" s="1334"/>
      <c r="K472" s="1334"/>
      <c r="L472" s="1334"/>
      <c r="M472" s="1334"/>
      <c r="N472" s="1334"/>
      <c r="O472" s="1334"/>
      <c r="P472" s="1334"/>
      <c r="Q472" s="1334"/>
      <c r="R472" s="1334"/>
      <c r="S472" s="1334"/>
      <c r="T472" s="1334"/>
      <c r="U472" s="1334"/>
      <c r="V472" s="1334"/>
      <c r="W472" s="1334"/>
      <c r="X472" s="1334"/>
      <c r="Y472" s="1334"/>
      <c r="Z472" s="1334"/>
    </row>
    <row r="473" spans="4:26" ht="15.75" customHeight="1" x14ac:dyDescent="0.3">
      <c r="D473" s="1334"/>
      <c r="E473" s="1341"/>
      <c r="F473" s="1338"/>
      <c r="G473" s="1338"/>
      <c r="H473" s="1338"/>
      <c r="I473" s="1334"/>
      <c r="J473" s="1334"/>
      <c r="K473" s="1334"/>
      <c r="L473" s="1334"/>
      <c r="M473" s="1334"/>
      <c r="N473" s="1334"/>
      <c r="O473" s="1334"/>
      <c r="P473" s="1334"/>
      <c r="Q473" s="1334"/>
      <c r="R473" s="1334"/>
      <c r="S473" s="1334"/>
      <c r="T473" s="1334"/>
      <c r="U473" s="1334"/>
      <c r="V473" s="1334"/>
      <c r="W473" s="1334"/>
      <c r="X473" s="1334"/>
      <c r="Y473" s="1334"/>
      <c r="Z473" s="1334"/>
    </row>
    <row r="474" spans="4:26" ht="15.75" customHeight="1" x14ac:dyDescent="0.3">
      <c r="D474" s="1334"/>
      <c r="E474" s="1341"/>
      <c r="F474" s="1338"/>
      <c r="G474" s="1338"/>
      <c r="H474" s="1338"/>
      <c r="I474" s="1334"/>
      <c r="J474" s="1334"/>
      <c r="K474" s="1334"/>
      <c r="L474" s="1334"/>
      <c r="M474" s="1334"/>
      <c r="N474" s="1334"/>
      <c r="O474" s="1334"/>
      <c r="P474" s="1334"/>
      <c r="Q474" s="1334"/>
      <c r="R474" s="1334"/>
      <c r="S474" s="1334"/>
      <c r="T474" s="1334"/>
      <c r="U474" s="1334"/>
      <c r="V474" s="1334"/>
      <c r="W474" s="1334"/>
      <c r="X474" s="1334"/>
      <c r="Y474" s="1334"/>
      <c r="Z474" s="1334"/>
    </row>
    <row r="475" spans="4:26" ht="15.75" customHeight="1" x14ac:dyDescent="0.3">
      <c r="D475" s="1334"/>
      <c r="E475" s="1341"/>
      <c r="F475" s="1338"/>
      <c r="G475" s="1338"/>
      <c r="H475" s="1338"/>
      <c r="I475" s="1334"/>
      <c r="J475" s="1334"/>
      <c r="K475" s="1334"/>
      <c r="L475" s="1334"/>
      <c r="M475" s="1334"/>
      <c r="N475" s="1334"/>
      <c r="O475" s="1334"/>
      <c r="P475" s="1334"/>
      <c r="Q475" s="1334"/>
      <c r="R475" s="1334"/>
      <c r="S475" s="1334"/>
      <c r="T475" s="1334"/>
      <c r="U475" s="1334"/>
      <c r="V475" s="1334"/>
      <c r="W475" s="1334"/>
      <c r="X475" s="1334"/>
      <c r="Y475" s="1334"/>
      <c r="Z475" s="1334"/>
    </row>
    <row r="476" spans="4:26" ht="15.75" customHeight="1" x14ac:dyDescent="0.3">
      <c r="D476" s="1334"/>
      <c r="E476" s="1341"/>
      <c r="F476" s="1338"/>
      <c r="G476" s="1338"/>
      <c r="H476" s="1338"/>
      <c r="I476" s="1334"/>
      <c r="J476" s="1334"/>
      <c r="K476" s="1334"/>
      <c r="L476" s="1334"/>
      <c r="M476" s="1334"/>
      <c r="N476" s="1334"/>
      <c r="O476" s="1334"/>
      <c r="P476" s="1334"/>
      <c r="Q476" s="1334"/>
      <c r="R476" s="1334"/>
      <c r="S476" s="1334"/>
      <c r="T476" s="1334"/>
      <c r="U476" s="1334"/>
      <c r="V476" s="1334"/>
      <c r="W476" s="1334"/>
      <c r="X476" s="1334"/>
      <c r="Y476" s="1334"/>
      <c r="Z476" s="1334"/>
    </row>
    <row r="477" spans="4:26" ht="15.75" customHeight="1" x14ac:dyDescent="0.3">
      <c r="D477" s="1334"/>
      <c r="E477" s="1341"/>
      <c r="F477" s="1338"/>
      <c r="G477" s="1338"/>
      <c r="H477" s="1338"/>
      <c r="I477" s="1334"/>
      <c r="J477" s="1334"/>
      <c r="K477" s="1334"/>
      <c r="L477" s="1334"/>
      <c r="M477" s="1334"/>
      <c r="N477" s="1334"/>
      <c r="O477" s="1334"/>
      <c r="P477" s="1334"/>
      <c r="Q477" s="1334"/>
      <c r="R477" s="1334"/>
      <c r="S477" s="1334"/>
      <c r="T477" s="1334"/>
      <c r="U477" s="1334"/>
      <c r="V477" s="1334"/>
      <c r="W477" s="1334"/>
      <c r="X477" s="1334"/>
      <c r="Y477" s="1334"/>
      <c r="Z477" s="1334"/>
    </row>
    <row r="478" spans="4:26" ht="15.75" customHeight="1" x14ac:dyDescent="0.3">
      <c r="D478" s="1334"/>
      <c r="E478" s="1341"/>
      <c r="F478" s="1338"/>
      <c r="G478" s="1338"/>
      <c r="H478" s="1338"/>
      <c r="I478" s="1334"/>
      <c r="J478" s="1334"/>
      <c r="K478" s="1334"/>
      <c r="L478" s="1334"/>
      <c r="M478" s="1334"/>
      <c r="N478" s="1334"/>
      <c r="O478" s="1334"/>
      <c r="P478" s="1334"/>
      <c r="Q478" s="1334"/>
      <c r="R478" s="1334"/>
      <c r="S478" s="1334"/>
      <c r="T478" s="1334"/>
      <c r="U478" s="1334"/>
      <c r="V478" s="1334"/>
      <c r="W478" s="1334"/>
      <c r="X478" s="1334"/>
      <c r="Y478" s="1334"/>
      <c r="Z478" s="1334"/>
    </row>
    <row r="479" spans="4:26" ht="15.75" customHeight="1" x14ac:dyDescent="0.3">
      <c r="D479" s="1334"/>
      <c r="E479" s="1341"/>
      <c r="F479" s="1338"/>
      <c r="G479" s="1338"/>
      <c r="H479" s="1338"/>
      <c r="I479" s="1334"/>
      <c r="J479" s="1334"/>
      <c r="K479" s="1334"/>
      <c r="L479" s="1334"/>
      <c r="M479" s="1334"/>
      <c r="N479" s="1334"/>
      <c r="O479" s="1334"/>
      <c r="P479" s="1334"/>
      <c r="Q479" s="1334"/>
      <c r="R479" s="1334"/>
      <c r="S479" s="1334"/>
      <c r="T479" s="1334"/>
      <c r="U479" s="1334"/>
      <c r="V479" s="1334"/>
      <c r="W479" s="1334"/>
      <c r="X479" s="1334"/>
      <c r="Y479" s="1334"/>
      <c r="Z479" s="1334"/>
    </row>
    <row r="480" spans="4:26" ht="15.75" customHeight="1" x14ac:dyDescent="0.3">
      <c r="D480" s="1334"/>
      <c r="E480" s="1341"/>
      <c r="F480" s="1338"/>
      <c r="G480" s="1338"/>
      <c r="H480" s="1338"/>
      <c r="I480" s="1334"/>
      <c r="J480" s="1334"/>
      <c r="K480" s="1334"/>
      <c r="L480" s="1334"/>
      <c r="M480" s="1334"/>
      <c r="N480" s="1334"/>
      <c r="O480" s="1334"/>
      <c r="P480" s="1334"/>
      <c r="Q480" s="1334"/>
      <c r="R480" s="1334"/>
      <c r="S480" s="1334"/>
      <c r="T480" s="1334"/>
      <c r="U480" s="1334"/>
      <c r="V480" s="1334"/>
      <c r="W480" s="1334"/>
      <c r="X480" s="1334"/>
      <c r="Y480" s="1334"/>
      <c r="Z480" s="1334"/>
    </row>
    <row r="481" spans="4:26" ht="15.75" customHeight="1" x14ac:dyDescent="0.3">
      <c r="D481" s="1334"/>
      <c r="E481" s="1341"/>
      <c r="F481" s="1338"/>
      <c r="G481" s="1338"/>
      <c r="H481" s="1338"/>
      <c r="I481" s="1334"/>
      <c r="J481" s="1334"/>
      <c r="K481" s="1334"/>
      <c r="L481" s="1334"/>
      <c r="M481" s="1334"/>
      <c r="N481" s="1334"/>
      <c r="O481" s="1334"/>
      <c r="P481" s="1334"/>
      <c r="Q481" s="1334"/>
      <c r="R481" s="1334"/>
      <c r="S481" s="1334"/>
      <c r="T481" s="1334"/>
      <c r="U481" s="1334"/>
      <c r="V481" s="1334"/>
      <c r="W481" s="1334"/>
      <c r="X481" s="1334"/>
      <c r="Y481" s="1334"/>
      <c r="Z481" s="1334"/>
    </row>
    <row r="482" spans="4:26" ht="15.75" customHeight="1" x14ac:dyDescent="0.3">
      <c r="D482" s="1334"/>
      <c r="E482" s="1341"/>
      <c r="F482" s="1338"/>
      <c r="G482" s="1338"/>
      <c r="H482" s="1338"/>
      <c r="I482" s="1334"/>
      <c r="J482" s="1334"/>
      <c r="K482" s="1334"/>
      <c r="L482" s="1334"/>
      <c r="M482" s="1334"/>
      <c r="N482" s="1334"/>
      <c r="O482" s="1334"/>
      <c r="P482" s="1334"/>
      <c r="Q482" s="1334"/>
      <c r="R482" s="1334"/>
      <c r="S482" s="1334"/>
      <c r="T482" s="1334"/>
      <c r="U482" s="1334"/>
      <c r="V482" s="1334"/>
      <c r="W482" s="1334"/>
      <c r="X482" s="1334"/>
      <c r="Y482" s="1334"/>
      <c r="Z482" s="1334"/>
    </row>
    <row r="483" spans="4:26" ht="15.75" customHeight="1" x14ac:dyDescent="0.3">
      <c r="D483" s="1334"/>
      <c r="E483" s="1341"/>
      <c r="F483" s="1338"/>
      <c r="G483" s="1338"/>
      <c r="H483" s="1338"/>
      <c r="I483" s="1334"/>
      <c r="J483" s="1334"/>
      <c r="K483" s="1334"/>
      <c r="L483" s="1334"/>
      <c r="M483" s="1334"/>
      <c r="N483" s="1334"/>
      <c r="O483" s="1334"/>
      <c r="P483" s="1334"/>
      <c r="Q483" s="1334"/>
      <c r="R483" s="1334"/>
      <c r="S483" s="1334"/>
      <c r="T483" s="1334"/>
      <c r="U483" s="1334"/>
      <c r="V483" s="1334"/>
      <c r="W483" s="1334"/>
      <c r="X483" s="1334"/>
      <c r="Y483" s="1334"/>
      <c r="Z483" s="1334"/>
    </row>
    <row r="484" spans="4:26" ht="15.75" customHeight="1" x14ac:dyDescent="0.3">
      <c r="D484" s="1334"/>
      <c r="E484" s="1341"/>
      <c r="F484" s="1338"/>
      <c r="G484" s="1338"/>
      <c r="H484" s="1338"/>
      <c r="I484" s="1334"/>
      <c r="J484" s="1334"/>
      <c r="K484" s="1334"/>
      <c r="L484" s="1334"/>
      <c r="M484" s="1334"/>
      <c r="N484" s="1334"/>
      <c r="O484" s="1334"/>
      <c r="P484" s="1334"/>
      <c r="Q484" s="1334"/>
      <c r="R484" s="1334"/>
      <c r="S484" s="1334"/>
      <c r="T484" s="1334"/>
      <c r="U484" s="1334"/>
      <c r="V484" s="1334"/>
      <c r="W484" s="1334"/>
      <c r="X484" s="1334"/>
      <c r="Y484" s="1334"/>
      <c r="Z484" s="1334"/>
    </row>
    <row r="485" spans="4:26" ht="15.75" customHeight="1" x14ac:dyDescent="0.3">
      <c r="D485" s="1334"/>
      <c r="E485" s="1341"/>
      <c r="F485" s="1338"/>
      <c r="G485" s="1338"/>
      <c r="H485" s="1338"/>
      <c r="I485" s="1334"/>
      <c r="J485" s="1334"/>
      <c r="K485" s="1334"/>
      <c r="L485" s="1334"/>
      <c r="M485" s="1334"/>
      <c r="N485" s="1334"/>
      <c r="O485" s="1334"/>
      <c r="P485" s="1334"/>
      <c r="Q485" s="1334"/>
      <c r="R485" s="1334"/>
      <c r="S485" s="1334"/>
      <c r="T485" s="1334"/>
      <c r="U485" s="1334"/>
      <c r="V485" s="1334"/>
      <c r="W485" s="1334"/>
      <c r="X485" s="1334"/>
      <c r="Y485" s="1334"/>
      <c r="Z485" s="1334"/>
    </row>
    <row r="486" spans="4:26" ht="15.75" customHeight="1" x14ac:dyDescent="0.3">
      <c r="D486" s="1334"/>
      <c r="E486" s="1341"/>
      <c r="F486" s="1338"/>
      <c r="G486" s="1338"/>
      <c r="H486" s="1338"/>
      <c r="I486" s="1334"/>
      <c r="J486" s="1334"/>
      <c r="K486" s="1334"/>
      <c r="L486" s="1334"/>
      <c r="M486" s="1334"/>
      <c r="N486" s="1334"/>
      <c r="O486" s="1334"/>
      <c r="P486" s="1334"/>
      <c r="Q486" s="1334"/>
      <c r="R486" s="1334"/>
      <c r="S486" s="1334"/>
      <c r="T486" s="1334"/>
      <c r="U486" s="1334"/>
      <c r="V486" s="1334"/>
      <c r="W486" s="1334"/>
      <c r="X486" s="1334"/>
      <c r="Y486" s="1334"/>
      <c r="Z486" s="1334"/>
    </row>
    <row r="487" spans="4:26" ht="15.75" customHeight="1" x14ac:dyDescent="0.3">
      <c r="D487" s="1334"/>
      <c r="E487" s="1341"/>
      <c r="F487" s="1338"/>
      <c r="G487" s="1338"/>
      <c r="H487" s="1338"/>
      <c r="I487" s="1334"/>
      <c r="J487" s="1334"/>
      <c r="K487" s="1334"/>
      <c r="L487" s="1334"/>
      <c r="M487" s="1334"/>
      <c r="N487" s="1334"/>
      <c r="O487" s="1334"/>
      <c r="P487" s="1334"/>
      <c r="Q487" s="1334"/>
      <c r="R487" s="1334"/>
      <c r="S487" s="1334"/>
      <c r="T487" s="1334"/>
      <c r="U487" s="1334"/>
      <c r="V487" s="1334"/>
      <c r="W487" s="1334"/>
      <c r="X487" s="1334"/>
      <c r="Y487" s="1334"/>
      <c r="Z487" s="1334"/>
    </row>
    <row r="488" spans="4:26" ht="15.75" customHeight="1" x14ac:dyDescent="0.3">
      <c r="D488" s="1334"/>
      <c r="E488" s="1341"/>
      <c r="F488" s="1338"/>
      <c r="G488" s="1338"/>
      <c r="H488" s="1338"/>
      <c r="I488" s="1334"/>
      <c r="J488" s="1334"/>
      <c r="K488" s="1334"/>
      <c r="L488" s="1334"/>
      <c r="M488" s="1334"/>
      <c r="N488" s="1334"/>
      <c r="O488" s="1334"/>
      <c r="P488" s="1334"/>
      <c r="Q488" s="1334"/>
      <c r="R488" s="1334"/>
      <c r="S488" s="1334"/>
      <c r="T488" s="1334"/>
      <c r="U488" s="1334"/>
      <c r="V488" s="1334"/>
      <c r="W488" s="1334"/>
      <c r="X488" s="1334"/>
      <c r="Y488" s="1334"/>
      <c r="Z488" s="1334"/>
    </row>
    <row r="489" spans="4:26" ht="15.75" customHeight="1" x14ac:dyDescent="0.3">
      <c r="D489" s="1334"/>
      <c r="E489" s="1341"/>
      <c r="F489" s="1338"/>
      <c r="G489" s="1338"/>
      <c r="H489" s="1338"/>
      <c r="I489" s="1334"/>
      <c r="J489" s="1334"/>
      <c r="K489" s="1334"/>
      <c r="L489" s="1334"/>
      <c r="M489" s="1334"/>
      <c r="N489" s="1334"/>
      <c r="O489" s="1334"/>
      <c r="P489" s="1334"/>
      <c r="Q489" s="1334"/>
      <c r="R489" s="1334"/>
      <c r="S489" s="1334"/>
      <c r="T489" s="1334"/>
      <c r="U489" s="1334"/>
      <c r="V489" s="1334"/>
      <c r="W489" s="1334"/>
      <c r="X489" s="1334"/>
      <c r="Y489" s="1334"/>
      <c r="Z489" s="1334"/>
    </row>
    <row r="490" spans="4:26" ht="15.75" customHeight="1" x14ac:dyDescent="0.3">
      <c r="D490" s="1334"/>
      <c r="E490" s="1341"/>
      <c r="F490" s="1338"/>
      <c r="G490" s="1338"/>
      <c r="H490" s="1338"/>
      <c r="I490" s="1334"/>
      <c r="J490" s="1334"/>
      <c r="K490" s="1334"/>
      <c r="L490" s="1334"/>
      <c r="M490" s="1334"/>
      <c r="N490" s="1334"/>
      <c r="O490" s="1334"/>
      <c r="P490" s="1334"/>
      <c r="Q490" s="1334"/>
      <c r="R490" s="1334"/>
      <c r="S490" s="1334"/>
      <c r="T490" s="1334"/>
      <c r="U490" s="1334"/>
      <c r="V490" s="1334"/>
      <c r="W490" s="1334"/>
      <c r="X490" s="1334"/>
      <c r="Y490" s="1334"/>
      <c r="Z490" s="1334"/>
    </row>
    <row r="491" spans="4:26" ht="15.75" customHeight="1" x14ac:dyDescent="0.3">
      <c r="D491" s="1334"/>
      <c r="E491" s="1341"/>
      <c r="F491" s="1338"/>
      <c r="G491" s="1338"/>
      <c r="H491" s="1338"/>
      <c r="I491" s="1334"/>
      <c r="J491" s="1334"/>
      <c r="K491" s="1334"/>
      <c r="L491" s="1334"/>
      <c r="M491" s="1334"/>
      <c r="N491" s="1334"/>
      <c r="O491" s="1334"/>
      <c r="P491" s="1334"/>
      <c r="Q491" s="1334"/>
      <c r="R491" s="1334"/>
      <c r="S491" s="1334"/>
      <c r="T491" s="1334"/>
      <c r="U491" s="1334"/>
      <c r="V491" s="1334"/>
      <c r="W491" s="1334"/>
      <c r="X491" s="1334"/>
      <c r="Y491" s="1334"/>
      <c r="Z491" s="1334"/>
    </row>
    <row r="492" spans="4:26" ht="15.75" customHeight="1" x14ac:dyDescent="0.3">
      <c r="D492" s="1334"/>
      <c r="E492" s="1341"/>
      <c r="F492" s="1338"/>
      <c r="G492" s="1338"/>
      <c r="H492" s="1338"/>
      <c r="I492" s="1334"/>
      <c r="J492" s="1334"/>
      <c r="K492" s="1334"/>
      <c r="L492" s="1334"/>
      <c r="M492" s="1334"/>
      <c r="N492" s="1334"/>
      <c r="O492" s="1334"/>
      <c r="P492" s="1334"/>
      <c r="Q492" s="1334"/>
      <c r="R492" s="1334"/>
      <c r="S492" s="1334"/>
      <c r="T492" s="1334"/>
      <c r="U492" s="1334"/>
      <c r="V492" s="1334"/>
      <c r="W492" s="1334"/>
      <c r="X492" s="1334"/>
      <c r="Y492" s="1334"/>
      <c r="Z492" s="1334"/>
    </row>
    <row r="493" spans="4:26" ht="15.75" customHeight="1" x14ac:dyDescent="0.3">
      <c r="D493" s="1334"/>
      <c r="E493" s="1341"/>
      <c r="F493" s="1338"/>
      <c r="G493" s="1338"/>
      <c r="H493" s="1338"/>
      <c r="I493" s="1334"/>
      <c r="J493" s="1334"/>
      <c r="K493" s="1334"/>
      <c r="L493" s="1334"/>
      <c r="M493" s="1334"/>
      <c r="N493" s="1334"/>
      <c r="O493" s="1334"/>
      <c r="P493" s="1334"/>
      <c r="Q493" s="1334"/>
      <c r="R493" s="1334"/>
      <c r="S493" s="1334"/>
      <c r="T493" s="1334"/>
      <c r="U493" s="1334"/>
      <c r="V493" s="1334"/>
      <c r="W493" s="1334"/>
      <c r="X493" s="1334"/>
      <c r="Y493" s="1334"/>
      <c r="Z493" s="1334"/>
    </row>
    <row r="494" spans="4:26" ht="15.75" customHeight="1" x14ac:dyDescent="0.3">
      <c r="D494" s="1334"/>
      <c r="E494" s="1341"/>
      <c r="F494" s="1338"/>
      <c r="G494" s="1338"/>
      <c r="H494" s="1338"/>
      <c r="I494" s="1334"/>
      <c r="J494" s="1334"/>
      <c r="K494" s="1334"/>
      <c r="L494" s="1334"/>
      <c r="M494" s="1334"/>
      <c r="N494" s="1334"/>
      <c r="O494" s="1334"/>
      <c r="P494" s="1334"/>
      <c r="Q494" s="1334"/>
      <c r="R494" s="1334"/>
      <c r="S494" s="1334"/>
      <c r="T494" s="1334"/>
      <c r="U494" s="1334"/>
      <c r="V494" s="1334"/>
      <c r="W494" s="1334"/>
      <c r="X494" s="1334"/>
      <c r="Y494" s="1334"/>
      <c r="Z494" s="1334"/>
    </row>
    <row r="495" spans="4:26" ht="15.75" customHeight="1" x14ac:dyDescent="0.3">
      <c r="D495" s="1334"/>
      <c r="E495" s="1341"/>
      <c r="F495" s="1338"/>
      <c r="G495" s="1338"/>
      <c r="H495" s="1338"/>
      <c r="I495" s="1334"/>
      <c r="J495" s="1334"/>
      <c r="K495" s="1334"/>
      <c r="L495" s="1334"/>
      <c r="M495" s="1334"/>
      <c r="N495" s="1334"/>
      <c r="O495" s="1334"/>
      <c r="P495" s="1334"/>
      <c r="Q495" s="1334"/>
      <c r="R495" s="1334"/>
      <c r="S495" s="1334"/>
      <c r="T495" s="1334"/>
      <c r="U495" s="1334"/>
      <c r="V495" s="1334"/>
      <c r="W495" s="1334"/>
      <c r="X495" s="1334"/>
      <c r="Y495" s="1334"/>
      <c r="Z495" s="1334"/>
    </row>
    <row r="496" spans="4:26" ht="15.75" customHeight="1" x14ac:dyDescent="0.3">
      <c r="D496" s="1334"/>
      <c r="E496" s="1341"/>
      <c r="F496" s="1338"/>
      <c r="G496" s="1338"/>
      <c r="H496" s="1338"/>
      <c r="I496" s="1334"/>
      <c r="J496" s="1334"/>
      <c r="K496" s="1334"/>
      <c r="L496" s="1334"/>
      <c r="M496" s="1334"/>
      <c r="N496" s="1334"/>
      <c r="O496" s="1334"/>
      <c r="P496" s="1334"/>
      <c r="Q496" s="1334"/>
      <c r="R496" s="1334"/>
      <c r="S496" s="1334"/>
      <c r="T496" s="1334"/>
      <c r="U496" s="1334"/>
      <c r="V496" s="1334"/>
      <c r="W496" s="1334"/>
      <c r="X496" s="1334"/>
      <c r="Y496" s="1334"/>
      <c r="Z496" s="1334"/>
    </row>
    <row r="497" spans="4:26" ht="15.75" customHeight="1" x14ac:dyDescent="0.3">
      <c r="D497" s="1334"/>
      <c r="E497" s="1341"/>
      <c r="F497" s="1338"/>
      <c r="G497" s="1338"/>
      <c r="H497" s="1338"/>
      <c r="I497" s="1334"/>
      <c r="J497" s="1334"/>
      <c r="K497" s="1334"/>
      <c r="L497" s="1334"/>
      <c r="M497" s="1334"/>
      <c r="N497" s="1334"/>
      <c r="O497" s="1334"/>
      <c r="P497" s="1334"/>
      <c r="Q497" s="1334"/>
      <c r="R497" s="1334"/>
      <c r="S497" s="1334"/>
      <c r="T497" s="1334"/>
      <c r="U497" s="1334"/>
      <c r="V497" s="1334"/>
      <c r="W497" s="1334"/>
      <c r="X497" s="1334"/>
      <c r="Y497" s="1334"/>
      <c r="Z497" s="1334"/>
    </row>
    <row r="498" spans="4:26" ht="15.75" customHeight="1" x14ac:dyDescent="0.3">
      <c r="D498" s="1334"/>
      <c r="E498" s="1341"/>
      <c r="F498" s="1338"/>
      <c r="G498" s="1338"/>
      <c r="H498" s="1338"/>
      <c r="I498" s="1334"/>
      <c r="J498" s="1334"/>
      <c r="K498" s="1334"/>
      <c r="L498" s="1334"/>
      <c r="M498" s="1334"/>
      <c r="N498" s="1334"/>
      <c r="O498" s="1334"/>
      <c r="P498" s="1334"/>
      <c r="Q498" s="1334"/>
      <c r="R498" s="1334"/>
      <c r="S498" s="1334"/>
      <c r="T498" s="1334"/>
      <c r="U498" s="1334"/>
      <c r="V498" s="1334"/>
      <c r="W498" s="1334"/>
      <c r="X498" s="1334"/>
      <c r="Y498" s="1334"/>
      <c r="Z498" s="1334"/>
    </row>
    <row r="499" spans="4:26" ht="15.75" customHeight="1" x14ac:dyDescent="0.3">
      <c r="D499" s="1334"/>
      <c r="E499" s="1341"/>
      <c r="F499" s="1338"/>
      <c r="G499" s="1338"/>
      <c r="H499" s="1338"/>
      <c r="I499" s="1334"/>
      <c r="J499" s="1334"/>
      <c r="K499" s="1334"/>
      <c r="L499" s="1334"/>
      <c r="M499" s="1334"/>
      <c r="N499" s="1334"/>
      <c r="O499" s="1334"/>
      <c r="P499" s="1334"/>
      <c r="Q499" s="1334"/>
      <c r="R499" s="1334"/>
      <c r="S499" s="1334"/>
      <c r="T499" s="1334"/>
      <c r="U499" s="1334"/>
      <c r="V499" s="1334"/>
      <c r="W499" s="1334"/>
      <c r="X499" s="1334"/>
      <c r="Y499" s="1334"/>
      <c r="Z499" s="1334"/>
    </row>
    <row r="500" spans="4:26" ht="15.75" customHeight="1" x14ac:dyDescent="0.3">
      <c r="D500" s="1334"/>
      <c r="E500" s="1341"/>
      <c r="F500" s="1338"/>
      <c r="G500" s="1338"/>
      <c r="H500" s="1338"/>
      <c r="I500" s="1334"/>
      <c r="J500" s="1334"/>
      <c r="K500" s="1334"/>
      <c r="L500" s="1334"/>
      <c r="M500" s="1334"/>
      <c r="N500" s="1334"/>
      <c r="O500" s="1334"/>
      <c r="P500" s="1334"/>
      <c r="Q500" s="1334"/>
      <c r="R500" s="1334"/>
      <c r="S500" s="1334"/>
      <c r="T500" s="1334"/>
      <c r="U500" s="1334"/>
      <c r="V500" s="1334"/>
      <c r="W500" s="1334"/>
      <c r="X500" s="1334"/>
      <c r="Y500" s="1334"/>
      <c r="Z500" s="1334"/>
    </row>
    <row r="501" spans="4:26" ht="15.75" customHeight="1" x14ac:dyDescent="0.3">
      <c r="D501" s="1334"/>
      <c r="E501" s="1341"/>
      <c r="F501" s="1338"/>
      <c r="G501" s="1338"/>
      <c r="H501" s="1338"/>
      <c r="I501" s="1334"/>
      <c r="J501" s="1334"/>
      <c r="K501" s="1334"/>
      <c r="L501" s="1334"/>
      <c r="M501" s="1334"/>
      <c r="N501" s="1334"/>
      <c r="O501" s="1334"/>
      <c r="P501" s="1334"/>
      <c r="Q501" s="1334"/>
      <c r="R501" s="1334"/>
      <c r="S501" s="1334"/>
      <c r="T501" s="1334"/>
      <c r="U501" s="1334"/>
      <c r="V501" s="1334"/>
      <c r="W501" s="1334"/>
      <c r="X501" s="1334"/>
      <c r="Y501" s="1334"/>
      <c r="Z501" s="1334"/>
    </row>
    <row r="502" spans="4:26" ht="15.75" customHeight="1" x14ac:dyDescent="0.3">
      <c r="D502" s="1334"/>
      <c r="E502" s="1341"/>
      <c r="F502" s="1338"/>
      <c r="G502" s="1338"/>
      <c r="H502" s="1338"/>
      <c r="I502" s="1334"/>
      <c r="J502" s="1334"/>
      <c r="K502" s="1334"/>
      <c r="L502" s="1334"/>
      <c r="M502" s="1334"/>
      <c r="N502" s="1334"/>
      <c r="O502" s="1334"/>
      <c r="P502" s="1334"/>
      <c r="Q502" s="1334"/>
      <c r="R502" s="1334"/>
      <c r="S502" s="1334"/>
      <c r="T502" s="1334"/>
      <c r="U502" s="1334"/>
      <c r="V502" s="1334"/>
      <c r="W502" s="1334"/>
      <c r="X502" s="1334"/>
      <c r="Y502" s="1334"/>
      <c r="Z502" s="1334"/>
    </row>
    <row r="503" spans="4:26" ht="15.75" customHeight="1" x14ac:dyDescent="0.3">
      <c r="D503" s="1334"/>
      <c r="E503" s="1341"/>
      <c r="F503" s="1338"/>
      <c r="G503" s="1338"/>
      <c r="H503" s="1338"/>
      <c r="I503" s="1334"/>
      <c r="J503" s="1334"/>
      <c r="K503" s="1334"/>
      <c r="L503" s="1334"/>
      <c r="M503" s="1334"/>
      <c r="N503" s="1334"/>
      <c r="O503" s="1334"/>
      <c r="P503" s="1334"/>
      <c r="Q503" s="1334"/>
      <c r="R503" s="1334"/>
      <c r="S503" s="1334"/>
      <c r="T503" s="1334"/>
      <c r="U503" s="1334"/>
      <c r="V503" s="1334"/>
      <c r="W503" s="1334"/>
      <c r="X503" s="1334"/>
      <c r="Y503" s="1334"/>
      <c r="Z503" s="1334"/>
    </row>
    <row r="504" spans="4:26" ht="15.75" customHeight="1" x14ac:dyDescent="0.3">
      <c r="D504" s="1334"/>
      <c r="E504" s="1341"/>
      <c r="F504" s="1338"/>
      <c r="G504" s="1338"/>
      <c r="H504" s="1338"/>
      <c r="I504" s="1334"/>
      <c r="J504" s="1334"/>
      <c r="K504" s="1334"/>
      <c r="L504" s="1334"/>
      <c r="M504" s="1334"/>
      <c r="N504" s="1334"/>
      <c r="O504" s="1334"/>
      <c r="P504" s="1334"/>
      <c r="Q504" s="1334"/>
      <c r="R504" s="1334"/>
      <c r="S504" s="1334"/>
      <c r="T504" s="1334"/>
      <c r="U504" s="1334"/>
      <c r="V504" s="1334"/>
      <c r="W504" s="1334"/>
      <c r="X504" s="1334"/>
      <c r="Y504" s="1334"/>
      <c r="Z504" s="1334"/>
    </row>
    <row r="505" spans="4:26" ht="15.75" customHeight="1" x14ac:dyDescent="0.3">
      <c r="D505" s="1334"/>
      <c r="E505" s="1341"/>
      <c r="F505" s="1338"/>
      <c r="G505" s="1338"/>
      <c r="H505" s="1338"/>
      <c r="I505" s="1334"/>
      <c r="J505" s="1334"/>
      <c r="K505" s="1334"/>
      <c r="L505" s="1334"/>
      <c r="M505" s="1334"/>
      <c r="N505" s="1334"/>
      <c r="O505" s="1334"/>
      <c r="P505" s="1334"/>
      <c r="Q505" s="1334"/>
      <c r="R505" s="1334"/>
      <c r="S505" s="1334"/>
      <c r="T505" s="1334"/>
      <c r="U505" s="1334"/>
      <c r="V505" s="1334"/>
      <c r="W505" s="1334"/>
      <c r="X505" s="1334"/>
      <c r="Y505" s="1334"/>
      <c r="Z505" s="1334"/>
    </row>
    <row r="506" spans="4:26" ht="15.75" customHeight="1" x14ac:dyDescent="0.3">
      <c r="D506" s="1334"/>
      <c r="E506" s="1341"/>
      <c r="F506" s="1338"/>
      <c r="G506" s="1338"/>
      <c r="H506" s="1338"/>
      <c r="I506" s="1334"/>
      <c r="J506" s="1334"/>
      <c r="K506" s="1334"/>
      <c r="L506" s="1334"/>
      <c r="M506" s="1334"/>
      <c r="N506" s="1334"/>
      <c r="O506" s="1334"/>
      <c r="P506" s="1334"/>
      <c r="Q506" s="1334"/>
      <c r="R506" s="1334"/>
      <c r="S506" s="1334"/>
      <c r="T506" s="1334"/>
      <c r="U506" s="1334"/>
      <c r="V506" s="1334"/>
      <c r="W506" s="1334"/>
      <c r="X506" s="1334"/>
      <c r="Y506" s="1334"/>
      <c r="Z506" s="1334"/>
    </row>
    <row r="507" spans="4:26" ht="15.75" customHeight="1" x14ac:dyDescent="0.3">
      <c r="D507" s="1334"/>
      <c r="E507" s="1341"/>
      <c r="F507" s="1338"/>
      <c r="G507" s="1338"/>
      <c r="H507" s="1338"/>
      <c r="I507" s="1334"/>
      <c r="J507" s="1334"/>
      <c r="K507" s="1334"/>
      <c r="L507" s="1334"/>
      <c r="M507" s="1334"/>
      <c r="N507" s="1334"/>
      <c r="O507" s="1334"/>
      <c r="P507" s="1334"/>
      <c r="Q507" s="1334"/>
      <c r="R507" s="1334"/>
      <c r="S507" s="1334"/>
      <c r="T507" s="1334"/>
      <c r="U507" s="1334"/>
      <c r="V507" s="1334"/>
      <c r="W507" s="1334"/>
      <c r="X507" s="1334"/>
      <c r="Y507" s="1334"/>
      <c r="Z507" s="1334"/>
    </row>
    <row r="508" spans="4:26" ht="15.75" customHeight="1" x14ac:dyDescent="0.3">
      <c r="D508" s="1334"/>
      <c r="E508" s="1341"/>
      <c r="F508" s="1338"/>
      <c r="G508" s="1338"/>
      <c r="H508" s="1338"/>
      <c r="I508" s="1334"/>
      <c r="J508" s="1334"/>
      <c r="K508" s="1334"/>
      <c r="L508" s="1334"/>
      <c r="M508" s="1334"/>
      <c r="N508" s="1334"/>
      <c r="O508" s="1334"/>
      <c r="P508" s="1334"/>
      <c r="Q508" s="1334"/>
      <c r="R508" s="1334"/>
      <c r="S508" s="1334"/>
      <c r="T508" s="1334"/>
      <c r="U508" s="1334"/>
      <c r="V508" s="1334"/>
      <c r="W508" s="1334"/>
      <c r="X508" s="1334"/>
      <c r="Y508" s="1334"/>
      <c r="Z508" s="1334"/>
    </row>
    <row r="509" spans="4:26" ht="15.75" customHeight="1" x14ac:dyDescent="0.3">
      <c r="D509" s="1334"/>
      <c r="E509" s="1341"/>
      <c r="F509" s="1338"/>
      <c r="G509" s="1338"/>
      <c r="H509" s="1338"/>
      <c r="I509" s="1334"/>
      <c r="J509" s="1334"/>
      <c r="K509" s="1334"/>
      <c r="L509" s="1334"/>
      <c r="M509" s="1334"/>
      <c r="N509" s="1334"/>
      <c r="O509" s="1334"/>
      <c r="P509" s="1334"/>
      <c r="Q509" s="1334"/>
      <c r="R509" s="1334"/>
      <c r="S509" s="1334"/>
      <c r="T509" s="1334"/>
      <c r="U509" s="1334"/>
      <c r="V509" s="1334"/>
      <c r="W509" s="1334"/>
      <c r="X509" s="1334"/>
      <c r="Y509" s="1334"/>
      <c r="Z509" s="1334"/>
    </row>
    <row r="510" spans="4:26" ht="15.75" customHeight="1" x14ac:dyDescent="0.3">
      <c r="D510" s="1334"/>
      <c r="E510" s="1341"/>
      <c r="F510" s="1338"/>
      <c r="G510" s="1338"/>
      <c r="H510" s="1338"/>
      <c r="I510" s="1334"/>
      <c r="J510" s="1334"/>
      <c r="K510" s="1334"/>
      <c r="L510" s="1334"/>
      <c r="M510" s="1334"/>
      <c r="N510" s="1334"/>
      <c r="O510" s="1334"/>
      <c r="P510" s="1334"/>
      <c r="Q510" s="1334"/>
      <c r="R510" s="1334"/>
      <c r="S510" s="1334"/>
      <c r="T510" s="1334"/>
      <c r="U510" s="1334"/>
      <c r="V510" s="1334"/>
      <c r="W510" s="1334"/>
      <c r="X510" s="1334"/>
      <c r="Y510" s="1334"/>
      <c r="Z510" s="1334"/>
    </row>
    <row r="511" spans="4:26" ht="15.75" customHeight="1" x14ac:dyDescent="0.3">
      <c r="D511" s="1334"/>
      <c r="E511" s="1341"/>
      <c r="F511" s="1338"/>
      <c r="G511" s="1338"/>
      <c r="H511" s="1338"/>
      <c r="I511" s="1334"/>
      <c r="J511" s="1334"/>
      <c r="K511" s="1334"/>
      <c r="L511" s="1334"/>
      <c r="M511" s="1334"/>
      <c r="N511" s="1334"/>
      <c r="O511" s="1334"/>
      <c r="P511" s="1334"/>
      <c r="Q511" s="1334"/>
      <c r="R511" s="1334"/>
      <c r="S511" s="1334"/>
      <c r="T511" s="1334"/>
      <c r="U511" s="1334"/>
      <c r="V511" s="1334"/>
      <c r="W511" s="1334"/>
      <c r="X511" s="1334"/>
      <c r="Y511" s="1334"/>
      <c r="Z511" s="1334"/>
    </row>
    <row r="512" spans="4:26" ht="15.75" customHeight="1" x14ac:dyDescent="0.3">
      <c r="D512" s="1334"/>
      <c r="E512" s="1341"/>
      <c r="F512" s="1338"/>
      <c r="G512" s="1338"/>
      <c r="H512" s="1338"/>
      <c r="I512" s="1334"/>
      <c r="J512" s="1334"/>
      <c r="K512" s="1334"/>
      <c r="L512" s="1334"/>
      <c r="M512" s="1334"/>
      <c r="N512" s="1334"/>
      <c r="O512" s="1334"/>
      <c r="P512" s="1334"/>
      <c r="Q512" s="1334"/>
      <c r="R512" s="1334"/>
      <c r="S512" s="1334"/>
      <c r="T512" s="1334"/>
      <c r="U512" s="1334"/>
      <c r="V512" s="1334"/>
      <c r="W512" s="1334"/>
      <c r="X512" s="1334"/>
      <c r="Y512" s="1334"/>
      <c r="Z512" s="1334"/>
    </row>
    <row r="513" spans="4:26" ht="15.75" customHeight="1" x14ac:dyDescent="0.3">
      <c r="D513" s="1334"/>
      <c r="E513" s="1341"/>
      <c r="F513" s="1338"/>
      <c r="G513" s="1338"/>
      <c r="H513" s="1338"/>
      <c r="I513" s="1334"/>
      <c r="J513" s="1334"/>
      <c r="K513" s="1334"/>
      <c r="L513" s="1334"/>
      <c r="M513" s="1334"/>
      <c r="N513" s="1334"/>
      <c r="O513" s="1334"/>
      <c r="P513" s="1334"/>
      <c r="Q513" s="1334"/>
      <c r="R513" s="1334"/>
      <c r="S513" s="1334"/>
      <c r="T513" s="1334"/>
      <c r="U513" s="1334"/>
      <c r="V513" s="1334"/>
      <c r="W513" s="1334"/>
      <c r="X513" s="1334"/>
      <c r="Y513" s="1334"/>
      <c r="Z513" s="1334"/>
    </row>
    <row r="514" spans="4:26" ht="15.75" customHeight="1" x14ac:dyDescent="0.3">
      <c r="D514" s="1334"/>
      <c r="E514" s="1341"/>
      <c r="F514" s="1338"/>
      <c r="G514" s="1338"/>
      <c r="H514" s="1338"/>
      <c r="I514" s="1334"/>
      <c r="J514" s="1334"/>
      <c r="K514" s="1334"/>
      <c r="L514" s="1334"/>
      <c r="M514" s="1334"/>
      <c r="N514" s="1334"/>
      <c r="O514" s="1334"/>
      <c r="P514" s="1334"/>
      <c r="Q514" s="1334"/>
      <c r="R514" s="1334"/>
      <c r="S514" s="1334"/>
      <c r="T514" s="1334"/>
      <c r="U514" s="1334"/>
      <c r="V514" s="1334"/>
      <c r="W514" s="1334"/>
      <c r="X514" s="1334"/>
      <c r="Y514" s="1334"/>
      <c r="Z514" s="1334"/>
    </row>
    <row r="515" spans="4:26" ht="15.75" customHeight="1" x14ac:dyDescent="0.3">
      <c r="D515" s="1334"/>
      <c r="E515" s="1341"/>
      <c r="F515" s="1338"/>
      <c r="G515" s="1338"/>
      <c r="H515" s="1338"/>
      <c r="I515" s="1334"/>
      <c r="J515" s="1334"/>
      <c r="K515" s="1334"/>
      <c r="L515" s="1334"/>
      <c r="M515" s="1334"/>
      <c r="N515" s="1334"/>
      <c r="O515" s="1334"/>
      <c r="P515" s="1334"/>
      <c r="Q515" s="1334"/>
      <c r="R515" s="1334"/>
      <c r="S515" s="1334"/>
      <c r="T515" s="1334"/>
      <c r="U515" s="1334"/>
      <c r="V515" s="1334"/>
      <c r="W515" s="1334"/>
      <c r="X515" s="1334"/>
      <c r="Y515" s="1334"/>
      <c r="Z515" s="1334"/>
    </row>
    <row r="516" spans="4:26" ht="15.75" customHeight="1" x14ac:dyDescent="0.3">
      <c r="D516" s="1334"/>
      <c r="E516" s="1341"/>
      <c r="F516" s="1338"/>
      <c r="G516" s="1338"/>
      <c r="H516" s="1338"/>
      <c r="I516" s="1334"/>
      <c r="J516" s="1334"/>
      <c r="K516" s="1334"/>
      <c r="L516" s="1334"/>
      <c r="M516" s="1334"/>
      <c r="N516" s="1334"/>
      <c r="O516" s="1334"/>
      <c r="P516" s="1334"/>
      <c r="Q516" s="1334"/>
      <c r="R516" s="1334"/>
      <c r="S516" s="1334"/>
      <c r="T516" s="1334"/>
      <c r="U516" s="1334"/>
      <c r="V516" s="1334"/>
      <c r="W516" s="1334"/>
      <c r="X516" s="1334"/>
      <c r="Y516" s="1334"/>
      <c r="Z516" s="1334"/>
    </row>
    <row r="517" spans="4:26" ht="15.75" customHeight="1" x14ac:dyDescent="0.3">
      <c r="D517" s="1334"/>
      <c r="E517" s="1341"/>
      <c r="F517" s="1338"/>
      <c r="G517" s="1338"/>
      <c r="H517" s="1338"/>
      <c r="I517" s="1334"/>
      <c r="J517" s="1334"/>
      <c r="K517" s="1334"/>
      <c r="L517" s="1334"/>
      <c r="M517" s="1334"/>
      <c r="N517" s="1334"/>
      <c r="O517" s="1334"/>
      <c r="P517" s="1334"/>
      <c r="Q517" s="1334"/>
      <c r="R517" s="1334"/>
      <c r="S517" s="1334"/>
      <c r="T517" s="1334"/>
      <c r="U517" s="1334"/>
      <c r="V517" s="1334"/>
      <c r="W517" s="1334"/>
      <c r="X517" s="1334"/>
      <c r="Y517" s="1334"/>
      <c r="Z517" s="1334"/>
    </row>
    <row r="518" spans="4:26" ht="15.75" customHeight="1" x14ac:dyDescent="0.3">
      <c r="D518" s="1334"/>
      <c r="E518" s="1341"/>
      <c r="F518" s="1338"/>
      <c r="G518" s="1338"/>
      <c r="H518" s="1338"/>
      <c r="I518" s="1334"/>
      <c r="J518" s="1334"/>
      <c r="K518" s="1334"/>
      <c r="L518" s="1334"/>
      <c r="M518" s="1334"/>
      <c r="N518" s="1334"/>
      <c r="O518" s="1334"/>
      <c r="P518" s="1334"/>
      <c r="Q518" s="1334"/>
      <c r="R518" s="1334"/>
      <c r="S518" s="1334"/>
      <c r="T518" s="1334"/>
      <c r="U518" s="1334"/>
      <c r="V518" s="1334"/>
      <c r="W518" s="1334"/>
      <c r="X518" s="1334"/>
      <c r="Y518" s="1334"/>
      <c r="Z518" s="1334"/>
    </row>
    <row r="519" spans="4:26" ht="15.75" customHeight="1" x14ac:dyDescent="0.3">
      <c r="D519" s="1334"/>
      <c r="E519" s="1341"/>
      <c r="F519" s="1338"/>
      <c r="G519" s="1338"/>
      <c r="H519" s="1338"/>
      <c r="I519" s="1334"/>
      <c r="J519" s="1334"/>
      <c r="K519" s="1334"/>
      <c r="L519" s="1334"/>
      <c r="M519" s="1334"/>
      <c r="N519" s="1334"/>
      <c r="O519" s="1334"/>
      <c r="P519" s="1334"/>
      <c r="Q519" s="1334"/>
      <c r="R519" s="1334"/>
      <c r="S519" s="1334"/>
      <c r="T519" s="1334"/>
      <c r="U519" s="1334"/>
      <c r="V519" s="1334"/>
      <c r="W519" s="1334"/>
      <c r="X519" s="1334"/>
      <c r="Y519" s="1334"/>
      <c r="Z519" s="1334"/>
    </row>
    <row r="520" spans="4:26" ht="15.75" customHeight="1" x14ac:dyDescent="0.3">
      <c r="D520" s="1334"/>
      <c r="E520" s="1341"/>
      <c r="F520" s="1338"/>
      <c r="G520" s="1338"/>
      <c r="H520" s="1338"/>
      <c r="I520" s="1334"/>
      <c r="J520" s="1334"/>
      <c r="K520" s="1334"/>
      <c r="L520" s="1334"/>
      <c r="M520" s="1334"/>
      <c r="N520" s="1334"/>
      <c r="O520" s="1334"/>
      <c r="P520" s="1334"/>
      <c r="Q520" s="1334"/>
      <c r="R520" s="1334"/>
      <c r="S520" s="1334"/>
      <c r="T520" s="1334"/>
      <c r="U520" s="1334"/>
      <c r="V520" s="1334"/>
      <c r="W520" s="1334"/>
      <c r="X520" s="1334"/>
      <c r="Y520" s="1334"/>
      <c r="Z520" s="1334"/>
    </row>
    <row r="521" spans="4:26" ht="15.75" customHeight="1" x14ac:dyDescent="0.3">
      <c r="D521" s="1334"/>
      <c r="E521" s="1341"/>
      <c r="F521" s="1338"/>
      <c r="G521" s="1338"/>
      <c r="H521" s="1338"/>
      <c r="I521" s="1334"/>
      <c r="J521" s="1334"/>
      <c r="K521" s="1334"/>
      <c r="L521" s="1334"/>
      <c r="M521" s="1334"/>
      <c r="N521" s="1334"/>
      <c r="O521" s="1334"/>
      <c r="P521" s="1334"/>
      <c r="Q521" s="1334"/>
      <c r="R521" s="1334"/>
      <c r="S521" s="1334"/>
      <c r="T521" s="1334"/>
      <c r="U521" s="1334"/>
      <c r="V521" s="1334"/>
      <c r="W521" s="1334"/>
      <c r="X521" s="1334"/>
      <c r="Y521" s="1334"/>
      <c r="Z521" s="1334"/>
    </row>
    <row r="522" spans="4:26" ht="15.75" customHeight="1" x14ac:dyDescent="0.3">
      <c r="D522" s="1334"/>
      <c r="E522" s="1341"/>
      <c r="F522" s="1338"/>
      <c r="G522" s="1338"/>
      <c r="H522" s="1338"/>
      <c r="I522" s="1334"/>
      <c r="J522" s="1334"/>
      <c r="K522" s="1334"/>
      <c r="L522" s="1334"/>
      <c r="M522" s="1334"/>
      <c r="N522" s="1334"/>
      <c r="O522" s="1334"/>
      <c r="P522" s="1334"/>
      <c r="Q522" s="1334"/>
      <c r="R522" s="1334"/>
      <c r="S522" s="1334"/>
      <c r="T522" s="1334"/>
      <c r="U522" s="1334"/>
      <c r="V522" s="1334"/>
      <c r="W522" s="1334"/>
      <c r="X522" s="1334"/>
      <c r="Y522" s="1334"/>
      <c r="Z522" s="1334"/>
    </row>
    <row r="523" spans="4:26" ht="15.75" customHeight="1" x14ac:dyDescent="0.3">
      <c r="D523" s="1334"/>
      <c r="E523" s="1341"/>
      <c r="F523" s="1338"/>
      <c r="G523" s="1338"/>
      <c r="H523" s="1338"/>
      <c r="I523" s="1334"/>
      <c r="J523" s="1334"/>
      <c r="K523" s="1334"/>
      <c r="L523" s="1334"/>
      <c r="M523" s="1334"/>
      <c r="N523" s="1334"/>
      <c r="O523" s="1334"/>
      <c r="P523" s="1334"/>
      <c r="Q523" s="1334"/>
      <c r="R523" s="1334"/>
      <c r="S523" s="1334"/>
      <c r="T523" s="1334"/>
      <c r="U523" s="1334"/>
      <c r="V523" s="1334"/>
      <c r="W523" s="1334"/>
      <c r="X523" s="1334"/>
      <c r="Y523" s="1334"/>
      <c r="Z523" s="1334"/>
    </row>
    <row r="524" spans="4:26" ht="15.75" customHeight="1" x14ac:dyDescent="0.3">
      <c r="D524" s="1334"/>
      <c r="E524" s="1341"/>
      <c r="F524" s="1338"/>
      <c r="G524" s="1338"/>
      <c r="H524" s="1338"/>
      <c r="I524" s="1334"/>
      <c r="J524" s="1334"/>
      <c r="K524" s="1334"/>
      <c r="L524" s="1334"/>
      <c r="M524" s="1334"/>
      <c r="N524" s="1334"/>
      <c r="O524" s="1334"/>
      <c r="P524" s="1334"/>
      <c r="Q524" s="1334"/>
      <c r="R524" s="1334"/>
      <c r="S524" s="1334"/>
      <c r="T524" s="1334"/>
      <c r="U524" s="1334"/>
      <c r="V524" s="1334"/>
      <c r="W524" s="1334"/>
      <c r="X524" s="1334"/>
      <c r="Y524" s="1334"/>
      <c r="Z524" s="1334"/>
    </row>
    <row r="525" spans="4:26" ht="15.75" customHeight="1" x14ac:dyDescent="0.3">
      <c r="D525" s="1334"/>
      <c r="E525" s="1341"/>
      <c r="F525" s="1338"/>
      <c r="G525" s="1338"/>
      <c r="H525" s="1338"/>
      <c r="I525" s="1334"/>
      <c r="J525" s="1334"/>
      <c r="K525" s="1334"/>
      <c r="L525" s="1334"/>
      <c r="M525" s="1334"/>
      <c r="N525" s="1334"/>
      <c r="O525" s="1334"/>
      <c r="P525" s="1334"/>
      <c r="Q525" s="1334"/>
      <c r="R525" s="1334"/>
      <c r="S525" s="1334"/>
      <c r="T525" s="1334"/>
      <c r="U525" s="1334"/>
      <c r="V525" s="1334"/>
      <c r="W525" s="1334"/>
      <c r="X525" s="1334"/>
      <c r="Y525" s="1334"/>
      <c r="Z525" s="1334"/>
    </row>
    <row r="526" spans="4:26" ht="15.75" customHeight="1" x14ac:dyDescent="0.3">
      <c r="D526" s="1334"/>
      <c r="E526" s="1341"/>
      <c r="F526" s="1338"/>
      <c r="G526" s="1338"/>
      <c r="H526" s="1338"/>
      <c r="I526" s="1334"/>
      <c r="J526" s="1334"/>
      <c r="K526" s="1334"/>
      <c r="L526" s="1334"/>
      <c r="M526" s="1334"/>
      <c r="N526" s="1334"/>
      <c r="O526" s="1334"/>
      <c r="P526" s="1334"/>
      <c r="Q526" s="1334"/>
      <c r="R526" s="1334"/>
      <c r="S526" s="1334"/>
      <c r="T526" s="1334"/>
      <c r="U526" s="1334"/>
      <c r="V526" s="1334"/>
      <c r="W526" s="1334"/>
      <c r="X526" s="1334"/>
      <c r="Y526" s="1334"/>
      <c r="Z526" s="1334"/>
    </row>
    <row r="527" spans="4:26" ht="15.75" customHeight="1" x14ac:dyDescent="0.3">
      <c r="D527" s="1334"/>
      <c r="E527" s="1341"/>
      <c r="F527" s="1338"/>
      <c r="G527" s="1338"/>
      <c r="H527" s="1338"/>
      <c r="I527" s="1334"/>
      <c r="J527" s="1334"/>
      <c r="K527" s="1334"/>
      <c r="L527" s="1334"/>
      <c r="M527" s="1334"/>
      <c r="N527" s="1334"/>
      <c r="O527" s="1334"/>
      <c r="P527" s="1334"/>
      <c r="Q527" s="1334"/>
      <c r="R527" s="1334"/>
      <c r="S527" s="1334"/>
      <c r="T527" s="1334"/>
      <c r="U527" s="1334"/>
      <c r="V527" s="1334"/>
      <c r="W527" s="1334"/>
      <c r="X527" s="1334"/>
      <c r="Y527" s="1334"/>
      <c r="Z527" s="1334"/>
    </row>
    <row r="528" spans="4:26" ht="15.75" customHeight="1" x14ac:dyDescent="0.3">
      <c r="D528" s="1334"/>
      <c r="E528" s="1341"/>
      <c r="F528" s="1338"/>
      <c r="G528" s="1338"/>
      <c r="H528" s="1338"/>
      <c r="I528" s="1334"/>
      <c r="J528" s="1334"/>
      <c r="K528" s="1334"/>
      <c r="L528" s="1334"/>
      <c r="M528" s="1334"/>
      <c r="N528" s="1334"/>
      <c r="O528" s="1334"/>
      <c r="P528" s="1334"/>
      <c r="Q528" s="1334"/>
      <c r="R528" s="1334"/>
      <c r="S528" s="1334"/>
      <c r="T528" s="1334"/>
      <c r="U528" s="1334"/>
      <c r="V528" s="1334"/>
      <c r="W528" s="1334"/>
      <c r="X528" s="1334"/>
      <c r="Y528" s="1334"/>
      <c r="Z528" s="1334"/>
    </row>
    <row r="529" spans="4:26" ht="15.75" customHeight="1" x14ac:dyDescent="0.3">
      <c r="D529" s="1334"/>
      <c r="E529" s="1341"/>
      <c r="F529" s="1338"/>
      <c r="G529" s="1338"/>
      <c r="H529" s="1338"/>
      <c r="I529" s="1334"/>
      <c r="J529" s="1334"/>
      <c r="K529" s="1334"/>
      <c r="L529" s="1334"/>
      <c r="M529" s="1334"/>
      <c r="N529" s="1334"/>
      <c r="O529" s="1334"/>
      <c r="P529" s="1334"/>
      <c r="Q529" s="1334"/>
      <c r="R529" s="1334"/>
      <c r="S529" s="1334"/>
      <c r="T529" s="1334"/>
      <c r="U529" s="1334"/>
      <c r="V529" s="1334"/>
      <c r="W529" s="1334"/>
      <c r="X529" s="1334"/>
      <c r="Y529" s="1334"/>
      <c r="Z529" s="1334"/>
    </row>
    <row r="530" spans="4:26" ht="15.75" customHeight="1" x14ac:dyDescent="0.3">
      <c r="D530" s="1334"/>
      <c r="E530" s="1341"/>
      <c r="F530" s="1338"/>
      <c r="G530" s="1338"/>
      <c r="H530" s="1338"/>
      <c r="I530" s="1334"/>
      <c r="J530" s="1334"/>
      <c r="K530" s="1334"/>
      <c r="L530" s="1334"/>
      <c r="M530" s="1334"/>
      <c r="N530" s="1334"/>
      <c r="O530" s="1334"/>
      <c r="P530" s="1334"/>
      <c r="Q530" s="1334"/>
      <c r="R530" s="1334"/>
      <c r="S530" s="1334"/>
      <c r="T530" s="1334"/>
      <c r="U530" s="1334"/>
      <c r="V530" s="1334"/>
      <c r="W530" s="1334"/>
      <c r="X530" s="1334"/>
      <c r="Y530" s="1334"/>
      <c r="Z530" s="1334"/>
    </row>
    <row r="531" spans="4:26" ht="15.75" customHeight="1" x14ac:dyDescent="0.3">
      <c r="D531" s="1334"/>
      <c r="E531" s="1341"/>
      <c r="F531" s="1338"/>
      <c r="G531" s="1338"/>
      <c r="H531" s="1338"/>
      <c r="I531" s="1334"/>
      <c r="J531" s="1334"/>
      <c r="K531" s="1334"/>
      <c r="L531" s="1334"/>
      <c r="M531" s="1334"/>
      <c r="N531" s="1334"/>
      <c r="O531" s="1334"/>
      <c r="P531" s="1334"/>
      <c r="Q531" s="1334"/>
      <c r="R531" s="1334"/>
      <c r="S531" s="1334"/>
      <c r="T531" s="1334"/>
      <c r="U531" s="1334"/>
      <c r="V531" s="1334"/>
      <c r="W531" s="1334"/>
      <c r="X531" s="1334"/>
      <c r="Y531" s="1334"/>
      <c r="Z531" s="1334"/>
    </row>
    <row r="532" spans="4:26" ht="15.75" customHeight="1" x14ac:dyDescent="0.3">
      <c r="D532" s="1334"/>
      <c r="E532" s="1341"/>
      <c r="F532" s="1338"/>
      <c r="G532" s="1338"/>
      <c r="H532" s="1338"/>
      <c r="I532" s="1334"/>
      <c r="J532" s="1334"/>
      <c r="K532" s="1334"/>
      <c r="L532" s="1334"/>
      <c r="M532" s="1334"/>
      <c r="N532" s="1334"/>
      <c r="O532" s="1334"/>
      <c r="P532" s="1334"/>
      <c r="Q532" s="1334"/>
      <c r="R532" s="1334"/>
      <c r="S532" s="1334"/>
      <c r="T532" s="1334"/>
      <c r="U532" s="1334"/>
      <c r="V532" s="1334"/>
      <c r="W532" s="1334"/>
      <c r="X532" s="1334"/>
      <c r="Y532" s="1334"/>
      <c r="Z532" s="1334"/>
    </row>
    <row r="533" spans="4:26" ht="15.75" customHeight="1" x14ac:dyDescent="0.3">
      <c r="D533" s="1334"/>
      <c r="E533" s="1341"/>
      <c r="F533" s="1338"/>
      <c r="G533" s="1338"/>
      <c r="H533" s="1338"/>
      <c r="I533" s="1334"/>
      <c r="J533" s="1334"/>
      <c r="K533" s="1334"/>
      <c r="L533" s="1334"/>
      <c r="M533" s="1334"/>
      <c r="N533" s="1334"/>
      <c r="O533" s="1334"/>
      <c r="P533" s="1334"/>
      <c r="Q533" s="1334"/>
      <c r="R533" s="1334"/>
      <c r="S533" s="1334"/>
      <c r="T533" s="1334"/>
      <c r="U533" s="1334"/>
      <c r="V533" s="1334"/>
      <c r="W533" s="1334"/>
      <c r="X533" s="1334"/>
      <c r="Y533" s="1334"/>
      <c r="Z533" s="1334"/>
    </row>
    <row r="534" spans="4:26" ht="15.75" customHeight="1" x14ac:dyDescent="0.3">
      <c r="D534" s="1334"/>
      <c r="E534" s="1341"/>
      <c r="F534" s="1338"/>
      <c r="G534" s="1338"/>
      <c r="H534" s="1338"/>
      <c r="I534" s="1334"/>
      <c r="J534" s="1334"/>
      <c r="K534" s="1334"/>
      <c r="L534" s="1334"/>
      <c r="M534" s="1334"/>
      <c r="N534" s="1334"/>
      <c r="O534" s="1334"/>
      <c r="P534" s="1334"/>
      <c r="Q534" s="1334"/>
      <c r="R534" s="1334"/>
      <c r="S534" s="1334"/>
      <c r="T534" s="1334"/>
      <c r="U534" s="1334"/>
      <c r="V534" s="1334"/>
      <c r="W534" s="1334"/>
      <c r="X534" s="1334"/>
      <c r="Y534" s="1334"/>
      <c r="Z534" s="1334"/>
    </row>
    <row r="535" spans="4:26" ht="15.75" customHeight="1" x14ac:dyDescent="0.3">
      <c r="D535" s="1334"/>
      <c r="E535" s="1341"/>
      <c r="F535" s="1338"/>
      <c r="G535" s="1338"/>
      <c r="H535" s="1338"/>
      <c r="I535" s="1334"/>
      <c r="J535" s="1334"/>
      <c r="K535" s="1334"/>
      <c r="L535" s="1334"/>
      <c r="M535" s="1334"/>
      <c r="N535" s="1334"/>
      <c r="O535" s="1334"/>
      <c r="P535" s="1334"/>
      <c r="Q535" s="1334"/>
      <c r="R535" s="1334"/>
      <c r="S535" s="1334"/>
      <c r="T535" s="1334"/>
      <c r="U535" s="1334"/>
      <c r="V535" s="1334"/>
      <c r="W535" s="1334"/>
      <c r="X535" s="1334"/>
      <c r="Y535" s="1334"/>
      <c r="Z535" s="1334"/>
    </row>
    <row r="536" spans="4:26" ht="15.75" customHeight="1" x14ac:dyDescent="0.3">
      <c r="D536" s="1334"/>
      <c r="E536" s="1341"/>
      <c r="F536" s="1338"/>
      <c r="G536" s="1338"/>
      <c r="H536" s="1338"/>
      <c r="I536" s="1334"/>
      <c r="J536" s="1334"/>
      <c r="K536" s="1334"/>
      <c r="L536" s="1334"/>
      <c r="M536" s="1334"/>
      <c r="N536" s="1334"/>
      <c r="O536" s="1334"/>
      <c r="P536" s="1334"/>
      <c r="Q536" s="1334"/>
      <c r="R536" s="1334"/>
      <c r="S536" s="1334"/>
      <c r="T536" s="1334"/>
      <c r="U536" s="1334"/>
      <c r="V536" s="1334"/>
      <c r="W536" s="1334"/>
      <c r="X536" s="1334"/>
      <c r="Y536" s="1334"/>
      <c r="Z536" s="1334"/>
    </row>
    <row r="537" spans="4:26" ht="15.75" customHeight="1" x14ac:dyDescent="0.3">
      <c r="D537" s="1334"/>
      <c r="E537" s="1341"/>
      <c r="F537" s="1338"/>
      <c r="G537" s="1338"/>
      <c r="H537" s="1338"/>
      <c r="I537" s="1334"/>
      <c r="J537" s="1334"/>
      <c r="K537" s="1334"/>
      <c r="L537" s="1334"/>
      <c r="M537" s="1334"/>
      <c r="N537" s="1334"/>
      <c r="O537" s="1334"/>
      <c r="P537" s="1334"/>
      <c r="Q537" s="1334"/>
      <c r="R537" s="1334"/>
      <c r="S537" s="1334"/>
      <c r="T537" s="1334"/>
      <c r="U537" s="1334"/>
      <c r="V537" s="1334"/>
      <c r="W537" s="1334"/>
      <c r="X537" s="1334"/>
      <c r="Y537" s="1334"/>
      <c r="Z537" s="1334"/>
    </row>
    <row r="538" spans="4:26" ht="15.75" customHeight="1" x14ac:dyDescent="0.3">
      <c r="D538" s="1334"/>
      <c r="E538" s="1341"/>
      <c r="F538" s="1338"/>
      <c r="G538" s="1338"/>
      <c r="H538" s="1338"/>
      <c r="I538" s="1334"/>
      <c r="J538" s="1334"/>
      <c r="K538" s="1334"/>
      <c r="L538" s="1334"/>
      <c r="M538" s="1334"/>
      <c r="N538" s="1334"/>
      <c r="O538" s="1334"/>
      <c r="P538" s="1334"/>
      <c r="Q538" s="1334"/>
      <c r="R538" s="1334"/>
      <c r="S538" s="1334"/>
      <c r="T538" s="1334"/>
      <c r="U538" s="1334"/>
      <c r="V538" s="1334"/>
      <c r="W538" s="1334"/>
      <c r="X538" s="1334"/>
      <c r="Y538" s="1334"/>
      <c r="Z538" s="1334"/>
    </row>
    <row r="539" spans="4:26" ht="15.75" customHeight="1" x14ac:dyDescent="0.3">
      <c r="D539" s="1334"/>
      <c r="E539" s="1341"/>
      <c r="F539" s="1338"/>
      <c r="G539" s="1338"/>
      <c r="H539" s="1338"/>
      <c r="I539" s="1334"/>
      <c r="J539" s="1334"/>
      <c r="K539" s="1334"/>
      <c r="L539" s="1334"/>
      <c r="M539" s="1334"/>
      <c r="N539" s="1334"/>
      <c r="O539" s="1334"/>
      <c r="P539" s="1334"/>
      <c r="Q539" s="1334"/>
      <c r="R539" s="1334"/>
      <c r="S539" s="1334"/>
      <c r="T539" s="1334"/>
      <c r="U539" s="1334"/>
      <c r="V539" s="1334"/>
      <c r="W539" s="1334"/>
      <c r="X539" s="1334"/>
      <c r="Y539" s="1334"/>
      <c r="Z539" s="1334"/>
    </row>
    <row r="540" spans="4:26" ht="15.75" customHeight="1" x14ac:dyDescent="0.3">
      <c r="D540" s="1334"/>
      <c r="E540" s="1341"/>
      <c r="F540" s="1338"/>
      <c r="G540" s="1338"/>
      <c r="H540" s="1338"/>
      <c r="I540" s="1334"/>
      <c r="J540" s="1334"/>
      <c r="K540" s="1334"/>
      <c r="L540" s="1334"/>
      <c r="M540" s="1334"/>
      <c r="N540" s="1334"/>
      <c r="O540" s="1334"/>
      <c r="P540" s="1334"/>
      <c r="Q540" s="1334"/>
      <c r="R540" s="1334"/>
      <c r="S540" s="1334"/>
      <c r="T540" s="1334"/>
      <c r="U540" s="1334"/>
      <c r="V540" s="1334"/>
      <c r="W540" s="1334"/>
      <c r="X540" s="1334"/>
      <c r="Y540" s="1334"/>
      <c r="Z540" s="1334"/>
    </row>
    <row r="541" spans="4:26" ht="15.75" customHeight="1" x14ac:dyDescent="0.3">
      <c r="D541" s="1334"/>
      <c r="E541" s="1341"/>
      <c r="F541" s="1338"/>
      <c r="G541" s="1338"/>
      <c r="H541" s="1338"/>
      <c r="I541" s="1334"/>
      <c r="J541" s="1334"/>
      <c r="K541" s="1334"/>
      <c r="L541" s="1334"/>
      <c r="M541" s="1334"/>
      <c r="N541" s="1334"/>
      <c r="O541" s="1334"/>
      <c r="P541" s="1334"/>
      <c r="Q541" s="1334"/>
      <c r="R541" s="1334"/>
      <c r="S541" s="1334"/>
      <c r="T541" s="1334"/>
      <c r="U541" s="1334"/>
      <c r="V541" s="1334"/>
      <c r="W541" s="1334"/>
      <c r="X541" s="1334"/>
      <c r="Y541" s="1334"/>
      <c r="Z541" s="1334"/>
    </row>
    <row r="542" spans="4:26" ht="15.75" customHeight="1" x14ac:dyDescent="0.3">
      <c r="D542" s="1334"/>
      <c r="E542" s="1341"/>
      <c r="F542" s="1338"/>
      <c r="G542" s="1338"/>
      <c r="H542" s="1338"/>
      <c r="I542" s="1334"/>
      <c r="J542" s="1334"/>
      <c r="K542" s="1334"/>
      <c r="L542" s="1334"/>
      <c r="M542" s="1334"/>
      <c r="N542" s="1334"/>
      <c r="O542" s="1334"/>
      <c r="P542" s="1334"/>
      <c r="Q542" s="1334"/>
      <c r="R542" s="1334"/>
      <c r="S542" s="1334"/>
      <c r="T542" s="1334"/>
      <c r="U542" s="1334"/>
      <c r="V542" s="1334"/>
      <c r="W542" s="1334"/>
      <c r="X542" s="1334"/>
      <c r="Y542" s="1334"/>
      <c r="Z542" s="1334"/>
    </row>
    <row r="543" spans="4:26" ht="15.75" customHeight="1" x14ac:dyDescent="0.3">
      <c r="D543" s="1334"/>
      <c r="E543" s="1341"/>
      <c r="F543" s="1338"/>
      <c r="G543" s="1338"/>
      <c r="H543" s="1338"/>
      <c r="I543" s="1334"/>
      <c r="J543" s="1334"/>
      <c r="K543" s="1334"/>
      <c r="L543" s="1334"/>
      <c r="M543" s="1334"/>
      <c r="N543" s="1334"/>
      <c r="O543" s="1334"/>
      <c r="P543" s="1334"/>
      <c r="Q543" s="1334"/>
      <c r="R543" s="1334"/>
      <c r="S543" s="1334"/>
      <c r="T543" s="1334"/>
      <c r="U543" s="1334"/>
      <c r="V543" s="1334"/>
      <c r="W543" s="1334"/>
      <c r="X543" s="1334"/>
      <c r="Y543" s="1334"/>
      <c r="Z543" s="1334"/>
    </row>
    <row r="544" spans="4:26" ht="15.75" customHeight="1" x14ac:dyDescent="0.3">
      <c r="D544" s="1334"/>
      <c r="E544" s="1341"/>
      <c r="F544" s="1338"/>
      <c r="G544" s="1338"/>
      <c r="H544" s="1338"/>
      <c r="I544" s="1334"/>
      <c r="J544" s="1334"/>
      <c r="K544" s="1334"/>
      <c r="L544" s="1334"/>
      <c r="M544" s="1334"/>
      <c r="N544" s="1334"/>
      <c r="O544" s="1334"/>
      <c r="P544" s="1334"/>
      <c r="Q544" s="1334"/>
      <c r="R544" s="1334"/>
      <c r="S544" s="1334"/>
      <c r="T544" s="1334"/>
      <c r="U544" s="1334"/>
      <c r="V544" s="1334"/>
      <c r="W544" s="1334"/>
      <c r="X544" s="1334"/>
      <c r="Y544" s="1334"/>
      <c r="Z544" s="1334"/>
    </row>
    <row r="545" spans="4:26" ht="15.75" customHeight="1" x14ac:dyDescent="0.3">
      <c r="D545" s="1334"/>
      <c r="E545" s="1341"/>
      <c r="F545" s="1338"/>
      <c r="G545" s="1338"/>
      <c r="H545" s="1338"/>
      <c r="I545" s="1334"/>
      <c r="J545" s="1334"/>
      <c r="K545" s="1334"/>
      <c r="L545" s="1334"/>
      <c r="M545" s="1334"/>
      <c r="N545" s="1334"/>
      <c r="O545" s="1334"/>
      <c r="P545" s="1334"/>
      <c r="Q545" s="1334"/>
      <c r="R545" s="1334"/>
      <c r="S545" s="1334"/>
      <c r="T545" s="1334"/>
      <c r="U545" s="1334"/>
      <c r="V545" s="1334"/>
      <c r="W545" s="1334"/>
      <c r="X545" s="1334"/>
      <c r="Y545" s="1334"/>
      <c r="Z545" s="1334"/>
    </row>
    <row r="546" spans="4:26" ht="15.75" customHeight="1" x14ac:dyDescent="0.3">
      <c r="D546" s="1334"/>
      <c r="E546" s="1341"/>
      <c r="F546" s="1338"/>
      <c r="G546" s="1338"/>
      <c r="H546" s="1338"/>
      <c r="I546" s="1334"/>
      <c r="J546" s="1334"/>
      <c r="K546" s="1334"/>
      <c r="L546" s="1334"/>
      <c r="M546" s="1334"/>
      <c r="N546" s="1334"/>
      <c r="O546" s="1334"/>
      <c r="P546" s="1334"/>
      <c r="Q546" s="1334"/>
      <c r="R546" s="1334"/>
      <c r="S546" s="1334"/>
      <c r="T546" s="1334"/>
      <c r="U546" s="1334"/>
      <c r="V546" s="1334"/>
      <c r="W546" s="1334"/>
      <c r="X546" s="1334"/>
      <c r="Y546" s="1334"/>
      <c r="Z546" s="1334"/>
    </row>
    <row r="547" spans="4:26" ht="15.75" customHeight="1" x14ac:dyDescent="0.3">
      <c r="D547" s="1334"/>
      <c r="E547" s="1341"/>
      <c r="F547" s="1338"/>
      <c r="G547" s="1338"/>
      <c r="H547" s="1338"/>
      <c r="I547" s="1334"/>
      <c r="J547" s="1334"/>
      <c r="K547" s="1334"/>
      <c r="L547" s="1334"/>
      <c r="M547" s="1334"/>
      <c r="N547" s="1334"/>
      <c r="O547" s="1334"/>
      <c r="P547" s="1334"/>
      <c r="Q547" s="1334"/>
      <c r="R547" s="1334"/>
      <c r="S547" s="1334"/>
      <c r="T547" s="1334"/>
      <c r="U547" s="1334"/>
      <c r="V547" s="1334"/>
      <c r="W547" s="1334"/>
      <c r="X547" s="1334"/>
      <c r="Y547" s="1334"/>
      <c r="Z547" s="1334"/>
    </row>
    <row r="548" spans="4:26" ht="15.75" customHeight="1" x14ac:dyDescent="0.3">
      <c r="D548" s="1334"/>
      <c r="E548" s="1341"/>
      <c r="F548" s="1338"/>
      <c r="G548" s="1338"/>
      <c r="H548" s="1338"/>
      <c r="I548" s="1334"/>
      <c r="J548" s="1334"/>
      <c r="K548" s="1334"/>
      <c r="L548" s="1334"/>
      <c r="M548" s="1334"/>
      <c r="N548" s="1334"/>
      <c r="O548" s="1334"/>
      <c r="P548" s="1334"/>
      <c r="Q548" s="1334"/>
      <c r="R548" s="1334"/>
      <c r="S548" s="1334"/>
      <c r="T548" s="1334"/>
      <c r="U548" s="1334"/>
      <c r="V548" s="1334"/>
      <c r="W548" s="1334"/>
      <c r="X548" s="1334"/>
      <c r="Y548" s="1334"/>
      <c r="Z548" s="1334"/>
    </row>
    <row r="549" spans="4:26" ht="15.75" customHeight="1" x14ac:dyDescent="0.3">
      <c r="D549" s="1334"/>
      <c r="E549" s="1341"/>
      <c r="F549" s="1338"/>
      <c r="G549" s="1338"/>
      <c r="H549" s="1338"/>
      <c r="I549" s="1334"/>
      <c r="J549" s="1334"/>
      <c r="K549" s="1334"/>
      <c r="L549" s="1334"/>
      <c r="M549" s="1334"/>
      <c r="N549" s="1334"/>
      <c r="O549" s="1334"/>
      <c r="P549" s="1334"/>
      <c r="Q549" s="1334"/>
      <c r="R549" s="1334"/>
      <c r="S549" s="1334"/>
      <c r="T549" s="1334"/>
      <c r="U549" s="1334"/>
      <c r="V549" s="1334"/>
      <c r="W549" s="1334"/>
      <c r="X549" s="1334"/>
      <c r="Y549" s="1334"/>
      <c r="Z549" s="1334"/>
    </row>
    <row r="550" spans="4:26" ht="15.75" customHeight="1" x14ac:dyDescent="0.3">
      <c r="D550" s="1334"/>
      <c r="E550" s="1341"/>
      <c r="F550" s="1338"/>
      <c r="G550" s="1338"/>
      <c r="H550" s="1338"/>
      <c r="I550" s="1334"/>
      <c r="J550" s="1334"/>
      <c r="K550" s="1334"/>
      <c r="L550" s="1334"/>
      <c r="M550" s="1334"/>
      <c r="N550" s="1334"/>
      <c r="O550" s="1334"/>
      <c r="P550" s="1334"/>
      <c r="Q550" s="1334"/>
      <c r="R550" s="1334"/>
      <c r="S550" s="1334"/>
      <c r="T550" s="1334"/>
      <c r="U550" s="1334"/>
      <c r="V550" s="1334"/>
      <c r="W550" s="1334"/>
      <c r="X550" s="1334"/>
      <c r="Y550" s="1334"/>
      <c r="Z550" s="1334"/>
    </row>
    <row r="551" spans="4:26" ht="15.75" customHeight="1" x14ac:dyDescent="0.3">
      <c r="D551" s="1334"/>
      <c r="E551" s="1341"/>
      <c r="F551" s="1338"/>
      <c r="G551" s="1338"/>
      <c r="H551" s="1338"/>
      <c r="I551" s="1334"/>
      <c r="J551" s="1334"/>
      <c r="K551" s="1334"/>
      <c r="L551" s="1334"/>
      <c r="M551" s="1334"/>
      <c r="N551" s="1334"/>
      <c r="O551" s="1334"/>
      <c r="P551" s="1334"/>
      <c r="Q551" s="1334"/>
      <c r="R551" s="1334"/>
      <c r="S551" s="1334"/>
      <c r="T551" s="1334"/>
      <c r="U551" s="1334"/>
      <c r="V551" s="1334"/>
      <c r="W551" s="1334"/>
      <c r="X551" s="1334"/>
      <c r="Y551" s="1334"/>
      <c r="Z551" s="1334"/>
    </row>
    <row r="552" spans="4:26" ht="15.75" customHeight="1" x14ac:dyDescent="0.3">
      <c r="D552" s="1334"/>
      <c r="E552" s="1341"/>
      <c r="F552" s="1338"/>
      <c r="G552" s="1338"/>
      <c r="H552" s="1338"/>
      <c r="I552" s="1334"/>
      <c r="J552" s="1334"/>
      <c r="K552" s="1334"/>
      <c r="L552" s="1334"/>
      <c r="M552" s="1334"/>
      <c r="N552" s="1334"/>
      <c r="O552" s="1334"/>
      <c r="P552" s="1334"/>
      <c r="Q552" s="1334"/>
      <c r="R552" s="1334"/>
      <c r="S552" s="1334"/>
      <c r="T552" s="1334"/>
      <c r="U552" s="1334"/>
      <c r="V552" s="1334"/>
      <c r="W552" s="1334"/>
      <c r="X552" s="1334"/>
      <c r="Y552" s="1334"/>
      <c r="Z552" s="1334"/>
    </row>
    <row r="553" spans="4:26" ht="15.75" customHeight="1" x14ac:dyDescent="0.3">
      <c r="D553" s="1334"/>
      <c r="E553" s="1341"/>
      <c r="F553" s="1338"/>
      <c r="G553" s="1338"/>
      <c r="H553" s="1338"/>
      <c r="I553" s="1334"/>
      <c r="J553" s="1334"/>
      <c r="K553" s="1334"/>
      <c r="L553" s="1334"/>
      <c r="M553" s="1334"/>
      <c r="N553" s="1334"/>
      <c r="O553" s="1334"/>
      <c r="P553" s="1334"/>
      <c r="Q553" s="1334"/>
      <c r="R553" s="1334"/>
      <c r="S553" s="1334"/>
      <c r="T553" s="1334"/>
      <c r="U553" s="1334"/>
      <c r="V553" s="1334"/>
      <c r="W553" s="1334"/>
      <c r="X553" s="1334"/>
      <c r="Y553" s="1334"/>
      <c r="Z553" s="1334"/>
    </row>
    <row r="554" spans="4:26" ht="15.75" customHeight="1" x14ac:dyDescent="0.3">
      <c r="D554" s="1334"/>
      <c r="E554" s="1341"/>
      <c r="F554" s="1338"/>
      <c r="G554" s="1338"/>
      <c r="H554" s="1338"/>
      <c r="I554" s="1334"/>
      <c r="J554" s="1334"/>
      <c r="K554" s="1334"/>
      <c r="L554" s="1334"/>
      <c r="M554" s="1334"/>
      <c r="N554" s="1334"/>
      <c r="O554" s="1334"/>
      <c r="P554" s="1334"/>
      <c r="Q554" s="1334"/>
      <c r="R554" s="1334"/>
      <c r="S554" s="1334"/>
      <c r="T554" s="1334"/>
      <c r="U554" s="1334"/>
      <c r="V554" s="1334"/>
      <c r="W554" s="1334"/>
      <c r="X554" s="1334"/>
      <c r="Y554" s="1334"/>
      <c r="Z554" s="1334"/>
    </row>
    <row r="555" spans="4:26" ht="15.75" customHeight="1" x14ac:dyDescent="0.3">
      <c r="D555" s="1334"/>
      <c r="E555" s="1341"/>
      <c r="F555" s="1338"/>
      <c r="G555" s="1338"/>
      <c r="H555" s="1338"/>
      <c r="I555" s="1334"/>
      <c r="J555" s="1334"/>
      <c r="K555" s="1334"/>
      <c r="L555" s="1334"/>
      <c r="M555" s="1334"/>
      <c r="N555" s="1334"/>
      <c r="O555" s="1334"/>
      <c r="P555" s="1334"/>
      <c r="Q555" s="1334"/>
      <c r="R555" s="1334"/>
      <c r="S555" s="1334"/>
      <c r="T555" s="1334"/>
      <c r="U555" s="1334"/>
      <c r="V555" s="1334"/>
      <c r="W555" s="1334"/>
      <c r="X555" s="1334"/>
      <c r="Y555" s="1334"/>
      <c r="Z555" s="1334"/>
    </row>
    <row r="556" spans="4:26" ht="15.75" customHeight="1" x14ac:dyDescent="0.3">
      <c r="D556" s="1334"/>
      <c r="E556" s="1341"/>
      <c r="F556" s="1338"/>
      <c r="G556" s="1338"/>
      <c r="H556" s="1338"/>
      <c r="I556" s="1334"/>
      <c r="J556" s="1334"/>
      <c r="K556" s="1334"/>
      <c r="L556" s="1334"/>
      <c r="M556" s="1334"/>
      <c r="N556" s="1334"/>
      <c r="O556" s="1334"/>
      <c r="P556" s="1334"/>
      <c r="Q556" s="1334"/>
      <c r="R556" s="1334"/>
      <c r="S556" s="1334"/>
      <c r="T556" s="1334"/>
      <c r="U556" s="1334"/>
      <c r="V556" s="1334"/>
      <c r="W556" s="1334"/>
      <c r="X556" s="1334"/>
      <c r="Y556" s="1334"/>
      <c r="Z556" s="1334"/>
    </row>
    <row r="557" spans="4:26" ht="15.75" customHeight="1" x14ac:dyDescent="0.3">
      <c r="D557" s="1334"/>
      <c r="E557" s="1341"/>
      <c r="F557" s="1338"/>
      <c r="G557" s="1338"/>
      <c r="H557" s="1338"/>
      <c r="I557" s="1334"/>
      <c r="J557" s="1334"/>
      <c r="K557" s="1334"/>
      <c r="L557" s="1334"/>
      <c r="M557" s="1334"/>
      <c r="N557" s="1334"/>
      <c r="O557" s="1334"/>
      <c r="P557" s="1334"/>
      <c r="Q557" s="1334"/>
      <c r="R557" s="1334"/>
      <c r="S557" s="1334"/>
      <c r="T557" s="1334"/>
      <c r="U557" s="1334"/>
      <c r="V557" s="1334"/>
      <c r="W557" s="1334"/>
      <c r="X557" s="1334"/>
      <c r="Y557" s="1334"/>
      <c r="Z557" s="1334"/>
    </row>
    <row r="558" spans="4:26" ht="15.75" customHeight="1" x14ac:dyDescent="0.3">
      <c r="D558" s="1334"/>
      <c r="E558" s="1341"/>
      <c r="F558" s="1338"/>
      <c r="G558" s="1338"/>
      <c r="H558" s="1338"/>
      <c r="I558" s="1334"/>
      <c r="J558" s="1334"/>
      <c r="K558" s="1334"/>
      <c r="L558" s="1334"/>
      <c r="M558" s="1334"/>
      <c r="N558" s="1334"/>
      <c r="O558" s="1334"/>
      <c r="P558" s="1334"/>
      <c r="Q558" s="1334"/>
      <c r="R558" s="1334"/>
      <c r="S558" s="1334"/>
      <c r="T558" s="1334"/>
      <c r="U558" s="1334"/>
      <c r="V558" s="1334"/>
      <c r="W558" s="1334"/>
      <c r="X558" s="1334"/>
      <c r="Y558" s="1334"/>
      <c r="Z558" s="1334"/>
    </row>
    <row r="559" spans="4:26" ht="15.75" customHeight="1" x14ac:dyDescent="0.3">
      <c r="D559" s="1334"/>
      <c r="E559" s="1341"/>
      <c r="F559" s="1338"/>
      <c r="G559" s="1338"/>
      <c r="H559" s="1338"/>
      <c r="I559" s="1334"/>
      <c r="J559" s="1334"/>
      <c r="K559" s="1334"/>
      <c r="L559" s="1334"/>
      <c r="M559" s="1334"/>
      <c r="N559" s="1334"/>
      <c r="O559" s="1334"/>
      <c r="P559" s="1334"/>
      <c r="Q559" s="1334"/>
      <c r="R559" s="1334"/>
      <c r="S559" s="1334"/>
      <c r="T559" s="1334"/>
      <c r="U559" s="1334"/>
      <c r="V559" s="1334"/>
      <c r="W559" s="1334"/>
      <c r="X559" s="1334"/>
      <c r="Y559" s="1334"/>
      <c r="Z559" s="1334"/>
    </row>
    <row r="560" spans="4:26" ht="15.75" customHeight="1" x14ac:dyDescent="0.3">
      <c r="D560" s="1334"/>
      <c r="E560" s="1341"/>
      <c r="F560" s="1338"/>
      <c r="G560" s="1338"/>
      <c r="H560" s="1338"/>
      <c r="I560" s="1334"/>
      <c r="J560" s="1334"/>
      <c r="K560" s="1334"/>
      <c r="L560" s="1334"/>
      <c r="M560" s="1334"/>
      <c r="N560" s="1334"/>
      <c r="O560" s="1334"/>
      <c r="P560" s="1334"/>
      <c r="Q560" s="1334"/>
      <c r="R560" s="1334"/>
      <c r="S560" s="1334"/>
      <c r="T560" s="1334"/>
      <c r="U560" s="1334"/>
      <c r="V560" s="1334"/>
      <c r="W560" s="1334"/>
      <c r="X560" s="1334"/>
      <c r="Y560" s="1334"/>
      <c r="Z560" s="1334"/>
    </row>
    <row r="561" spans="4:26" ht="15.75" customHeight="1" x14ac:dyDescent="0.3">
      <c r="D561" s="1334"/>
      <c r="E561" s="1341"/>
      <c r="F561" s="1338"/>
      <c r="G561" s="1338"/>
      <c r="H561" s="1338"/>
      <c r="I561" s="1334"/>
      <c r="J561" s="1334"/>
      <c r="K561" s="1334"/>
      <c r="L561" s="1334"/>
      <c r="M561" s="1334"/>
      <c r="N561" s="1334"/>
      <c r="O561" s="1334"/>
      <c r="P561" s="1334"/>
      <c r="Q561" s="1334"/>
      <c r="R561" s="1334"/>
      <c r="S561" s="1334"/>
      <c r="T561" s="1334"/>
      <c r="U561" s="1334"/>
      <c r="V561" s="1334"/>
      <c r="W561" s="1334"/>
      <c r="X561" s="1334"/>
      <c r="Y561" s="1334"/>
      <c r="Z561" s="1334"/>
    </row>
    <row r="562" spans="4:26" ht="15.75" customHeight="1" x14ac:dyDescent="0.3">
      <c r="D562" s="1334"/>
      <c r="E562" s="1341"/>
      <c r="F562" s="1338"/>
      <c r="G562" s="1338"/>
      <c r="H562" s="1338"/>
      <c r="I562" s="1334"/>
      <c r="J562" s="1334"/>
      <c r="K562" s="1334"/>
      <c r="L562" s="1334"/>
      <c r="M562" s="1334"/>
      <c r="N562" s="1334"/>
      <c r="O562" s="1334"/>
      <c r="P562" s="1334"/>
      <c r="Q562" s="1334"/>
      <c r="R562" s="1334"/>
      <c r="S562" s="1334"/>
      <c r="T562" s="1334"/>
      <c r="U562" s="1334"/>
      <c r="V562" s="1334"/>
      <c r="W562" s="1334"/>
      <c r="X562" s="1334"/>
      <c r="Y562" s="1334"/>
      <c r="Z562" s="1334"/>
    </row>
    <row r="563" spans="4:26" ht="15.75" customHeight="1" x14ac:dyDescent="0.3">
      <c r="D563" s="1334"/>
      <c r="E563" s="1341"/>
      <c r="F563" s="1338"/>
      <c r="G563" s="1338"/>
      <c r="H563" s="1338"/>
      <c r="I563" s="1334"/>
      <c r="J563" s="1334"/>
      <c r="K563" s="1334"/>
      <c r="L563" s="1334"/>
      <c r="M563" s="1334"/>
      <c r="N563" s="1334"/>
      <c r="O563" s="1334"/>
      <c r="P563" s="1334"/>
      <c r="Q563" s="1334"/>
      <c r="R563" s="1334"/>
      <c r="S563" s="1334"/>
      <c r="T563" s="1334"/>
      <c r="U563" s="1334"/>
      <c r="V563" s="1334"/>
      <c r="W563" s="1334"/>
      <c r="X563" s="1334"/>
      <c r="Y563" s="1334"/>
      <c r="Z563" s="1334"/>
    </row>
    <row r="564" spans="4:26" ht="15.75" customHeight="1" x14ac:dyDescent="0.3">
      <c r="D564" s="1334"/>
      <c r="E564" s="1341"/>
      <c r="F564" s="1338"/>
      <c r="G564" s="1338"/>
      <c r="H564" s="1338"/>
      <c r="I564" s="1334"/>
      <c r="J564" s="1334"/>
      <c r="K564" s="1334"/>
      <c r="L564" s="1334"/>
      <c r="M564" s="1334"/>
      <c r="N564" s="1334"/>
      <c r="O564" s="1334"/>
      <c r="P564" s="1334"/>
      <c r="Q564" s="1334"/>
      <c r="R564" s="1334"/>
      <c r="S564" s="1334"/>
      <c r="T564" s="1334"/>
      <c r="U564" s="1334"/>
      <c r="V564" s="1334"/>
      <c r="W564" s="1334"/>
      <c r="X564" s="1334"/>
      <c r="Y564" s="1334"/>
      <c r="Z564" s="1334"/>
    </row>
    <row r="565" spans="4:26" ht="15.75" customHeight="1" x14ac:dyDescent="0.3">
      <c r="D565" s="1334"/>
      <c r="E565" s="1341"/>
      <c r="F565" s="1338"/>
      <c r="G565" s="1338"/>
      <c r="H565" s="1338"/>
      <c r="I565" s="1334"/>
      <c r="J565" s="1334"/>
      <c r="K565" s="1334"/>
      <c r="L565" s="1334"/>
      <c r="M565" s="1334"/>
      <c r="N565" s="1334"/>
      <c r="O565" s="1334"/>
      <c r="P565" s="1334"/>
      <c r="Q565" s="1334"/>
      <c r="R565" s="1334"/>
      <c r="S565" s="1334"/>
      <c r="T565" s="1334"/>
      <c r="U565" s="1334"/>
      <c r="V565" s="1334"/>
      <c r="W565" s="1334"/>
      <c r="X565" s="1334"/>
      <c r="Y565" s="1334"/>
      <c r="Z565" s="1334"/>
    </row>
    <row r="566" spans="4:26" ht="15.75" customHeight="1" x14ac:dyDescent="0.3">
      <c r="D566" s="1334"/>
      <c r="E566" s="1341"/>
      <c r="F566" s="1338"/>
      <c r="G566" s="1338"/>
      <c r="H566" s="1338"/>
      <c r="I566" s="1334"/>
      <c r="J566" s="1334"/>
      <c r="K566" s="1334"/>
      <c r="L566" s="1334"/>
      <c r="M566" s="1334"/>
      <c r="N566" s="1334"/>
      <c r="O566" s="1334"/>
      <c r="P566" s="1334"/>
      <c r="Q566" s="1334"/>
      <c r="R566" s="1334"/>
      <c r="S566" s="1334"/>
      <c r="T566" s="1334"/>
      <c r="U566" s="1334"/>
      <c r="V566" s="1334"/>
      <c r="W566" s="1334"/>
      <c r="X566" s="1334"/>
      <c r="Y566" s="1334"/>
      <c r="Z566" s="1334"/>
    </row>
    <row r="567" spans="4:26" ht="15.75" customHeight="1" x14ac:dyDescent="0.3">
      <c r="D567" s="1334"/>
      <c r="E567" s="1341"/>
      <c r="F567" s="1338"/>
      <c r="G567" s="1338"/>
      <c r="H567" s="1338"/>
      <c r="I567" s="1334"/>
      <c r="J567" s="1334"/>
      <c r="K567" s="1334"/>
      <c r="L567" s="1334"/>
      <c r="M567" s="1334"/>
      <c r="N567" s="1334"/>
      <c r="O567" s="1334"/>
      <c r="P567" s="1334"/>
      <c r="Q567" s="1334"/>
      <c r="R567" s="1334"/>
      <c r="S567" s="1334"/>
      <c r="T567" s="1334"/>
      <c r="U567" s="1334"/>
      <c r="V567" s="1334"/>
      <c r="W567" s="1334"/>
      <c r="X567" s="1334"/>
      <c r="Y567" s="1334"/>
      <c r="Z567" s="1334"/>
    </row>
    <row r="568" spans="4:26" ht="15.75" customHeight="1" x14ac:dyDescent="0.3">
      <c r="D568" s="1334"/>
      <c r="E568" s="1341"/>
      <c r="F568" s="1338"/>
      <c r="G568" s="1338"/>
      <c r="H568" s="1338"/>
      <c r="I568" s="1334"/>
      <c r="J568" s="1334"/>
      <c r="K568" s="1334"/>
      <c r="L568" s="1334"/>
      <c r="M568" s="1334"/>
      <c r="N568" s="1334"/>
      <c r="O568" s="1334"/>
      <c r="P568" s="1334"/>
      <c r="Q568" s="1334"/>
      <c r="R568" s="1334"/>
      <c r="S568" s="1334"/>
      <c r="T568" s="1334"/>
      <c r="U568" s="1334"/>
      <c r="V568" s="1334"/>
      <c r="W568" s="1334"/>
      <c r="X568" s="1334"/>
      <c r="Y568" s="1334"/>
      <c r="Z568" s="1334"/>
    </row>
    <row r="569" spans="4:26" ht="15.75" customHeight="1" x14ac:dyDescent="0.3">
      <c r="D569" s="1334"/>
      <c r="E569" s="1341"/>
      <c r="F569" s="1338"/>
      <c r="G569" s="1338"/>
      <c r="H569" s="1338"/>
      <c r="I569" s="1334"/>
      <c r="J569" s="1334"/>
      <c r="K569" s="1334"/>
      <c r="L569" s="1334"/>
      <c r="M569" s="1334"/>
      <c r="N569" s="1334"/>
      <c r="O569" s="1334"/>
      <c r="P569" s="1334"/>
      <c r="Q569" s="1334"/>
      <c r="R569" s="1334"/>
      <c r="S569" s="1334"/>
      <c r="T569" s="1334"/>
      <c r="U569" s="1334"/>
      <c r="V569" s="1334"/>
      <c r="W569" s="1334"/>
      <c r="X569" s="1334"/>
      <c r="Y569" s="1334"/>
      <c r="Z569" s="1334"/>
    </row>
    <row r="570" spans="4:26" ht="15.75" customHeight="1" x14ac:dyDescent="0.3">
      <c r="D570" s="1334"/>
      <c r="E570" s="1341"/>
      <c r="F570" s="1338"/>
      <c r="G570" s="1338"/>
      <c r="H570" s="1338"/>
      <c r="I570" s="1334"/>
      <c r="J570" s="1334"/>
      <c r="K570" s="1334"/>
      <c r="L570" s="1334"/>
      <c r="M570" s="1334"/>
      <c r="N570" s="1334"/>
      <c r="O570" s="1334"/>
      <c r="P570" s="1334"/>
      <c r="Q570" s="1334"/>
      <c r="R570" s="1334"/>
      <c r="S570" s="1334"/>
      <c r="T570" s="1334"/>
      <c r="U570" s="1334"/>
      <c r="V570" s="1334"/>
      <c r="W570" s="1334"/>
      <c r="X570" s="1334"/>
      <c r="Y570" s="1334"/>
      <c r="Z570" s="1334"/>
    </row>
    <row r="571" spans="4:26" ht="15.75" customHeight="1" x14ac:dyDescent="0.3">
      <c r="D571" s="1334"/>
      <c r="E571" s="1341"/>
      <c r="F571" s="1338"/>
      <c r="G571" s="1338"/>
      <c r="H571" s="1338"/>
      <c r="I571" s="1334"/>
      <c r="J571" s="1334"/>
      <c r="K571" s="1334"/>
      <c r="L571" s="1334"/>
      <c r="M571" s="1334"/>
      <c r="N571" s="1334"/>
      <c r="O571" s="1334"/>
      <c r="P571" s="1334"/>
      <c r="Q571" s="1334"/>
      <c r="R571" s="1334"/>
      <c r="S571" s="1334"/>
      <c r="T571" s="1334"/>
      <c r="U571" s="1334"/>
      <c r="V571" s="1334"/>
      <c r="W571" s="1334"/>
      <c r="X571" s="1334"/>
      <c r="Y571" s="1334"/>
      <c r="Z571" s="1334"/>
    </row>
    <row r="572" spans="4:26" ht="15.75" customHeight="1" x14ac:dyDescent="0.3">
      <c r="D572" s="1334"/>
      <c r="E572" s="1341"/>
      <c r="F572" s="1338"/>
      <c r="G572" s="1338"/>
      <c r="H572" s="1338"/>
      <c r="I572" s="1334"/>
      <c r="J572" s="1334"/>
      <c r="K572" s="1334"/>
      <c r="L572" s="1334"/>
      <c r="M572" s="1334"/>
      <c r="N572" s="1334"/>
      <c r="O572" s="1334"/>
      <c r="P572" s="1334"/>
      <c r="Q572" s="1334"/>
      <c r="R572" s="1334"/>
      <c r="S572" s="1334"/>
      <c r="T572" s="1334"/>
      <c r="U572" s="1334"/>
      <c r="V572" s="1334"/>
      <c r="W572" s="1334"/>
      <c r="X572" s="1334"/>
      <c r="Y572" s="1334"/>
      <c r="Z572" s="1334"/>
    </row>
    <row r="573" spans="4:26" ht="15.75" customHeight="1" x14ac:dyDescent="0.3">
      <c r="D573" s="1334"/>
      <c r="E573" s="1341"/>
      <c r="F573" s="1338"/>
      <c r="G573" s="1338"/>
      <c r="H573" s="1338"/>
      <c r="I573" s="1334"/>
      <c r="J573" s="1334"/>
      <c r="K573" s="1334"/>
      <c r="L573" s="1334"/>
      <c r="M573" s="1334"/>
      <c r="N573" s="1334"/>
      <c r="O573" s="1334"/>
      <c r="P573" s="1334"/>
      <c r="Q573" s="1334"/>
      <c r="R573" s="1334"/>
      <c r="S573" s="1334"/>
      <c r="T573" s="1334"/>
      <c r="U573" s="1334"/>
      <c r="V573" s="1334"/>
      <c r="W573" s="1334"/>
      <c r="X573" s="1334"/>
      <c r="Y573" s="1334"/>
      <c r="Z573" s="1334"/>
    </row>
    <row r="574" spans="4:26" ht="15.75" customHeight="1" x14ac:dyDescent="0.3">
      <c r="D574" s="1334"/>
      <c r="E574" s="1341"/>
      <c r="F574" s="1338"/>
      <c r="G574" s="1338"/>
      <c r="H574" s="1338"/>
      <c r="I574" s="1334"/>
      <c r="J574" s="1334"/>
      <c r="K574" s="1334"/>
      <c r="L574" s="1334"/>
      <c r="M574" s="1334"/>
      <c r="N574" s="1334"/>
      <c r="O574" s="1334"/>
      <c r="P574" s="1334"/>
      <c r="Q574" s="1334"/>
      <c r="R574" s="1334"/>
      <c r="S574" s="1334"/>
      <c r="T574" s="1334"/>
      <c r="U574" s="1334"/>
      <c r="V574" s="1334"/>
      <c r="W574" s="1334"/>
      <c r="X574" s="1334"/>
      <c r="Y574" s="1334"/>
      <c r="Z574" s="1334"/>
    </row>
    <row r="575" spans="4:26" ht="15.75" customHeight="1" x14ac:dyDescent="0.3">
      <c r="D575" s="1334"/>
      <c r="E575" s="1341"/>
      <c r="F575" s="1338"/>
      <c r="G575" s="1338"/>
      <c r="H575" s="1338"/>
      <c r="I575" s="1334"/>
      <c r="J575" s="1334"/>
      <c r="K575" s="1334"/>
      <c r="L575" s="1334"/>
      <c r="M575" s="1334"/>
      <c r="N575" s="1334"/>
      <c r="O575" s="1334"/>
      <c r="P575" s="1334"/>
      <c r="Q575" s="1334"/>
      <c r="R575" s="1334"/>
      <c r="S575" s="1334"/>
      <c r="T575" s="1334"/>
      <c r="U575" s="1334"/>
      <c r="V575" s="1334"/>
      <c r="W575" s="1334"/>
      <c r="X575" s="1334"/>
      <c r="Y575" s="1334"/>
      <c r="Z575" s="1334"/>
    </row>
    <row r="576" spans="4:26" ht="15.75" customHeight="1" x14ac:dyDescent="0.3">
      <c r="D576" s="1334"/>
      <c r="E576" s="1341"/>
      <c r="F576" s="1338"/>
      <c r="G576" s="1338"/>
      <c r="H576" s="1338"/>
      <c r="I576" s="1334"/>
      <c r="J576" s="1334"/>
      <c r="K576" s="1334"/>
      <c r="L576" s="1334"/>
      <c r="M576" s="1334"/>
      <c r="N576" s="1334"/>
      <c r="O576" s="1334"/>
      <c r="P576" s="1334"/>
      <c r="Q576" s="1334"/>
      <c r="R576" s="1334"/>
      <c r="S576" s="1334"/>
      <c r="T576" s="1334"/>
      <c r="U576" s="1334"/>
      <c r="V576" s="1334"/>
      <c r="W576" s="1334"/>
      <c r="X576" s="1334"/>
      <c r="Y576" s="1334"/>
      <c r="Z576" s="1334"/>
    </row>
    <row r="577" spans="4:26" ht="15.75" customHeight="1" x14ac:dyDescent="0.3">
      <c r="D577" s="1334"/>
      <c r="E577" s="1341"/>
      <c r="F577" s="1338"/>
      <c r="G577" s="1338"/>
      <c r="H577" s="1338"/>
      <c r="I577" s="1334"/>
      <c r="J577" s="1334"/>
      <c r="K577" s="1334"/>
      <c r="L577" s="1334"/>
      <c r="M577" s="1334"/>
      <c r="N577" s="1334"/>
      <c r="O577" s="1334"/>
      <c r="P577" s="1334"/>
      <c r="Q577" s="1334"/>
      <c r="R577" s="1334"/>
      <c r="S577" s="1334"/>
      <c r="T577" s="1334"/>
      <c r="U577" s="1334"/>
      <c r="V577" s="1334"/>
      <c r="W577" s="1334"/>
      <c r="X577" s="1334"/>
      <c r="Y577" s="1334"/>
      <c r="Z577" s="1334"/>
    </row>
    <row r="578" spans="4:26" ht="15.75" customHeight="1" x14ac:dyDescent="0.3">
      <c r="D578" s="1334"/>
      <c r="E578" s="1341"/>
      <c r="F578" s="1338"/>
      <c r="G578" s="1338"/>
      <c r="H578" s="1338"/>
      <c r="I578" s="1334"/>
      <c r="J578" s="1334"/>
      <c r="K578" s="1334"/>
      <c r="L578" s="1334"/>
      <c r="M578" s="1334"/>
      <c r="N578" s="1334"/>
      <c r="O578" s="1334"/>
      <c r="P578" s="1334"/>
      <c r="Q578" s="1334"/>
      <c r="R578" s="1334"/>
      <c r="S578" s="1334"/>
      <c r="T578" s="1334"/>
      <c r="U578" s="1334"/>
      <c r="V578" s="1334"/>
      <c r="W578" s="1334"/>
      <c r="X578" s="1334"/>
      <c r="Y578" s="1334"/>
      <c r="Z578" s="1334"/>
    </row>
    <row r="579" spans="4:26" ht="15.75" customHeight="1" x14ac:dyDescent="0.3">
      <c r="D579" s="1334"/>
      <c r="E579" s="1341"/>
      <c r="F579" s="1338"/>
      <c r="G579" s="1338"/>
      <c r="H579" s="1338"/>
      <c r="I579" s="1334"/>
      <c r="J579" s="1334"/>
      <c r="K579" s="1334"/>
      <c r="L579" s="1334"/>
      <c r="M579" s="1334"/>
      <c r="N579" s="1334"/>
      <c r="O579" s="1334"/>
      <c r="P579" s="1334"/>
      <c r="Q579" s="1334"/>
      <c r="R579" s="1334"/>
      <c r="S579" s="1334"/>
      <c r="T579" s="1334"/>
      <c r="U579" s="1334"/>
      <c r="V579" s="1334"/>
      <c r="W579" s="1334"/>
      <c r="X579" s="1334"/>
      <c r="Y579" s="1334"/>
      <c r="Z579" s="1334"/>
    </row>
    <row r="580" spans="4:26" ht="15.75" customHeight="1" x14ac:dyDescent="0.3">
      <c r="D580" s="1334"/>
      <c r="E580" s="1341"/>
      <c r="F580" s="1338"/>
      <c r="G580" s="1338"/>
      <c r="H580" s="1338"/>
      <c r="I580" s="1334"/>
      <c r="J580" s="1334"/>
      <c r="K580" s="1334"/>
      <c r="L580" s="1334"/>
      <c r="M580" s="1334"/>
      <c r="N580" s="1334"/>
      <c r="O580" s="1334"/>
      <c r="P580" s="1334"/>
      <c r="Q580" s="1334"/>
      <c r="R580" s="1334"/>
      <c r="S580" s="1334"/>
      <c r="T580" s="1334"/>
      <c r="U580" s="1334"/>
      <c r="V580" s="1334"/>
      <c r="W580" s="1334"/>
      <c r="X580" s="1334"/>
      <c r="Y580" s="1334"/>
      <c r="Z580" s="1334"/>
    </row>
    <row r="581" spans="4:26" ht="15.75" customHeight="1" x14ac:dyDescent="0.3">
      <c r="D581" s="1334"/>
      <c r="E581" s="1341"/>
      <c r="F581" s="1338"/>
      <c r="G581" s="1338"/>
      <c r="H581" s="1338"/>
      <c r="I581" s="1334"/>
      <c r="J581" s="1334"/>
      <c r="K581" s="1334"/>
      <c r="L581" s="1334"/>
      <c r="M581" s="1334"/>
      <c r="N581" s="1334"/>
      <c r="O581" s="1334"/>
      <c r="P581" s="1334"/>
      <c r="Q581" s="1334"/>
      <c r="R581" s="1334"/>
      <c r="S581" s="1334"/>
      <c r="T581" s="1334"/>
      <c r="U581" s="1334"/>
      <c r="V581" s="1334"/>
      <c r="W581" s="1334"/>
      <c r="X581" s="1334"/>
      <c r="Y581" s="1334"/>
      <c r="Z581" s="1334"/>
    </row>
    <row r="582" spans="4:26" ht="15.75" customHeight="1" x14ac:dyDescent="0.3">
      <c r="D582" s="1334"/>
      <c r="E582" s="1341"/>
      <c r="F582" s="1338"/>
      <c r="G582" s="1338"/>
      <c r="H582" s="1338"/>
      <c r="I582" s="1334"/>
      <c r="J582" s="1334"/>
      <c r="K582" s="1334"/>
      <c r="L582" s="1334"/>
      <c r="M582" s="1334"/>
      <c r="N582" s="1334"/>
      <c r="O582" s="1334"/>
      <c r="P582" s="1334"/>
      <c r="Q582" s="1334"/>
      <c r="R582" s="1334"/>
      <c r="S582" s="1334"/>
      <c r="T582" s="1334"/>
      <c r="U582" s="1334"/>
      <c r="V582" s="1334"/>
      <c r="W582" s="1334"/>
      <c r="X582" s="1334"/>
      <c r="Y582" s="1334"/>
      <c r="Z582" s="1334"/>
    </row>
    <row r="583" spans="4:26" ht="15.75" customHeight="1" x14ac:dyDescent="0.3">
      <c r="D583" s="1334"/>
      <c r="E583" s="1341"/>
      <c r="F583" s="1338"/>
      <c r="G583" s="1338"/>
      <c r="H583" s="1338"/>
      <c r="I583" s="1334"/>
      <c r="J583" s="1334"/>
      <c r="K583" s="1334"/>
      <c r="L583" s="1334"/>
      <c r="M583" s="1334"/>
      <c r="N583" s="1334"/>
      <c r="O583" s="1334"/>
      <c r="P583" s="1334"/>
      <c r="Q583" s="1334"/>
      <c r="R583" s="1334"/>
      <c r="S583" s="1334"/>
      <c r="T583" s="1334"/>
      <c r="U583" s="1334"/>
      <c r="V583" s="1334"/>
      <c r="W583" s="1334"/>
      <c r="X583" s="1334"/>
      <c r="Y583" s="1334"/>
      <c r="Z583" s="1334"/>
    </row>
    <row r="584" spans="4:26" ht="15.75" customHeight="1" x14ac:dyDescent="0.3">
      <c r="D584" s="1334"/>
      <c r="E584" s="1341"/>
      <c r="F584" s="1338"/>
      <c r="G584" s="1338"/>
      <c r="H584" s="1338"/>
      <c r="I584" s="1334"/>
      <c r="J584" s="1334"/>
      <c r="K584" s="1334"/>
      <c r="L584" s="1334"/>
      <c r="M584" s="1334"/>
      <c r="N584" s="1334"/>
      <c r="O584" s="1334"/>
      <c r="P584" s="1334"/>
      <c r="Q584" s="1334"/>
      <c r="R584" s="1334"/>
      <c r="S584" s="1334"/>
      <c r="T584" s="1334"/>
      <c r="U584" s="1334"/>
      <c r="V584" s="1334"/>
      <c r="W584" s="1334"/>
      <c r="X584" s="1334"/>
      <c r="Y584" s="1334"/>
      <c r="Z584" s="1334"/>
    </row>
    <row r="585" spans="4:26" ht="15.75" customHeight="1" x14ac:dyDescent="0.3">
      <c r="D585" s="1334"/>
      <c r="E585" s="1341"/>
      <c r="F585" s="1338"/>
      <c r="G585" s="1338"/>
      <c r="H585" s="1338"/>
      <c r="I585" s="1334"/>
      <c r="J585" s="1334"/>
      <c r="K585" s="1334"/>
      <c r="L585" s="1334"/>
      <c r="M585" s="1334"/>
      <c r="N585" s="1334"/>
      <c r="O585" s="1334"/>
      <c r="P585" s="1334"/>
      <c r="Q585" s="1334"/>
      <c r="R585" s="1334"/>
      <c r="S585" s="1334"/>
      <c r="T585" s="1334"/>
      <c r="U585" s="1334"/>
      <c r="V585" s="1334"/>
      <c r="W585" s="1334"/>
      <c r="X585" s="1334"/>
      <c r="Y585" s="1334"/>
      <c r="Z585" s="1334"/>
    </row>
    <row r="586" spans="4:26" ht="15.75" customHeight="1" x14ac:dyDescent="0.3">
      <c r="D586" s="1334"/>
      <c r="E586" s="1341"/>
      <c r="F586" s="1338"/>
      <c r="G586" s="1338"/>
      <c r="H586" s="1338"/>
      <c r="I586" s="1334"/>
      <c r="J586" s="1334"/>
      <c r="K586" s="1334"/>
      <c r="L586" s="1334"/>
      <c r="M586" s="1334"/>
      <c r="N586" s="1334"/>
      <c r="O586" s="1334"/>
      <c r="P586" s="1334"/>
      <c r="Q586" s="1334"/>
      <c r="R586" s="1334"/>
      <c r="S586" s="1334"/>
      <c r="T586" s="1334"/>
      <c r="U586" s="1334"/>
      <c r="V586" s="1334"/>
      <c r="W586" s="1334"/>
      <c r="X586" s="1334"/>
      <c r="Y586" s="1334"/>
      <c r="Z586" s="1334"/>
    </row>
    <row r="587" spans="4:26" ht="15.75" customHeight="1" x14ac:dyDescent="0.3">
      <c r="D587" s="1334"/>
      <c r="E587" s="1341"/>
      <c r="F587" s="1338"/>
      <c r="G587" s="1338"/>
      <c r="H587" s="1338"/>
      <c r="I587" s="1334"/>
      <c r="J587" s="1334"/>
      <c r="K587" s="1334"/>
      <c r="L587" s="1334"/>
      <c r="M587" s="1334"/>
      <c r="N587" s="1334"/>
      <c r="O587" s="1334"/>
      <c r="P587" s="1334"/>
      <c r="Q587" s="1334"/>
      <c r="R587" s="1334"/>
      <c r="S587" s="1334"/>
      <c r="T587" s="1334"/>
      <c r="U587" s="1334"/>
      <c r="V587" s="1334"/>
      <c r="W587" s="1334"/>
      <c r="X587" s="1334"/>
      <c r="Y587" s="1334"/>
      <c r="Z587" s="1334"/>
    </row>
    <row r="588" spans="4:26" ht="15.75" customHeight="1" x14ac:dyDescent="0.3">
      <c r="D588" s="1334"/>
      <c r="E588" s="1341"/>
      <c r="F588" s="1338"/>
      <c r="G588" s="1338"/>
      <c r="H588" s="1338"/>
      <c r="I588" s="1334"/>
      <c r="J588" s="1334"/>
      <c r="K588" s="1334"/>
      <c r="L588" s="1334"/>
      <c r="M588" s="1334"/>
      <c r="N588" s="1334"/>
      <c r="O588" s="1334"/>
      <c r="P588" s="1334"/>
      <c r="Q588" s="1334"/>
      <c r="R588" s="1334"/>
      <c r="S588" s="1334"/>
      <c r="T588" s="1334"/>
      <c r="U588" s="1334"/>
      <c r="V588" s="1334"/>
      <c r="W588" s="1334"/>
      <c r="X588" s="1334"/>
      <c r="Y588" s="1334"/>
      <c r="Z588" s="1334"/>
    </row>
    <row r="589" spans="4:26" ht="15.75" customHeight="1" x14ac:dyDescent="0.3">
      <c r="D589" s="1334"/>
      <c r="E589" s="1341"/>
      <c r="F589" s="1338"/>
      <c r="G589" s="1338"/>
      <c r="H589" s="1338"/>
      <c r="I589" s="1334"/>
      <c r="J589" s="1334"/>
      <c r="K589" s="1334"/>
      <c r="L589" s="1334"/>
      <c r="M589" s="1334"/>
      <c r="N589" s="1334"/>
      <c r="O589" s="1334"/>
      <c r="P589" s="1334"/>
      <c r="Q589" s="1334"/>
      <c r="R589" s="1334"/>
      <c r="S589" s="1334"/>
      <c r="T589" s="1334"/>
      <c r="U589" s="1334"/>
      <c r="V589" s="1334"/>
      <c r="W589" s="1334"/>
      <c r="X589" s="1334"/>
      <c r="Y589" s="1334"/>
      <c r="Z589" s="1334"/>
    </row>
    <row r="590" spans="4:26" ht="15.75" customHeight="1" x14ac:dyDescent="0.3">
      <c r="D590" s="1334"/>
      <c r="E590" s="1341"/>
      <c r="F590" s="1338"/>
      <c r="G590" s="1338"/>
      <c r="H590" s="1338"/>
      <c r="I590" s="1334"/>
      <c r="J590" s="1334"/>
      <c r="K590" s="1334"/>
      <c r="L590" s="1334"/>
      <c r="M590" s="1334"/>
      <c r="N590" s="1334"/>
      <c r="O590" s="1334"/>
      <c r="P590" s="1334"/>
      <c r="Q590" s="1334"/>
      <c r="R590" s="1334"/>
      <c r="S590" s="1334"/>
      <c r="T590" s="1334"/>
      <c r="U590" s="1334"/>
      <c r="V590" s="1334"/>
      <c r="W590" s="1334"/>
      <c r="X590" s="1334"/>
      <c r="Y590" s="1334"/>
      <c r="Z590" s="1334"/>
    </row>
    <row r="591" spans="4:26" ht="15.75" customHeight="1" x14ac:dyDescent="0.3">
      <c r="D591" s="1334"/>
      <c r="E591" s="1341"/>
      <c r="F591" s="1338"/>
      <c r="G591" s="1338"/>
      <c r="H591" s="1338"/>
      <c r="I591" s="1334"/>
      <c r="J591" s="1334"/>
      <c r="K591" s="1334"/>
      <c r="L591" s="1334"/>
      <c r="M591" s="1334"/>
      <c r="N591" s="1334"/>
      <c r="O591" s="1334"/>
      <c r="P591" s="1334"/>
      <c r="Q591" s="1334"/>
      <c r="R591" s="1334"/>
      <c r="S591" s="1334"/>
      <c r="T591" s="1334"/>
      <c r="U591" s="1334"/>
      <c r="V591" s="1334"/>
      <c r="W591" s="1334"/>
      <c r="X591" s="1334"/>
      <c r="Y591" s="1334"/>
      <c r="Z591" s="1334"/>
    </row>
    <row r="592" spans="4:26" ht="15.75" customHeight="1" x14ac:dyDescent="0.3">
      <c r="D592" s="1334"/>
      <c r="E592" s="1341"/>
      <c r="F592" s="1338"/>
      <c r="G592" s="1338"/>
      <c r="H592" s="1338"/>
      <c r="I592" s="1334"/>
      <c r="J592" s="1334"/>
      <c r="K592" s="1334"/>
      <c r="L592" s="1334"/>
      <c r="M592" s="1334"/>
      <c r="N592" s="1334"/>
      <c r="O592" s="1334"/>
      <c r="P592" s="1334"/>
      <c r="Q592" s="1334"/>
      <c r="R592" s="1334"/>
      <c r="S592" s="1334"/>
      <c r="T592" s="1334"/>
      <c r="U592" s="1334"/>
      <c r="V592" s="1334"/>
      <c r="W592" s="1334"/>
      <c r="X592" s="1334"/>
      <c r="Y592" s="1334"/>
      <c r="Z592" s="1334"/>
    </row>
    <row r="593" spans="4:26" ht="15.75" customHeight="1" x14ac:dyDescent="0.3">
      <c r="D593" s="1334"/>
      <c r="E593" s="1341"/>
      <c r="F593" s="1338"/>
      <c r="G593" s="1338"/>
      <c r="H593" s="1338"/>
      <c r="I593" s="1334"/>
      <c r="J593" s="1334"/>
      <c r="K593" s="1334"/>
      <c r="L593" s="1334"/>
      <c r="M593" s="1334"/>
      <c r="N593" s="1334"/>
      <c r="O593" s="1334"/>
      <c r="P593" s="1334"/>
      <c r="Q593" s="1334"/>
      <c r="R593" s="1334"/>
      <c r="S593" s="1334"/>
      <c r="T593" s="1334"/>
      <c r="U593" s="1334"/>
      <c r="V593" s="1334"/>
      <c r="W593" s="1334"/>
      <c r="X593" s="1334"/>
      <c r="Y593" s="1334"/>
      <c r="Z593" s="1334"/>
    </row>
    <row r="594" spans="4:26" ht="15.75" customHeight="1" x14ac:dyDescent="0.3">
      <c r="D594" s="1334"/>
      <c r="E594" s="1341"/>
      <c r="F594" s="1338"/>
      <c r="G594" s="1338"/>
      <c r="H594" s="1338"/>
      <c r="I594" s="1334"/>
      <c r="J594" s="1334"/>
      <c r="K594" s="1334"/>
      <c r="L594" s="1334"/>
      <c r="M594" s="1334"/>
      <c r="N594" s="1334"/>
      <c r="O594" s="1334"/>
      <c r="P594" s="1334"/>
      <c r="Q594" s="1334"/>
      <c r="R594" s="1334"/>
      <c r="S594" s="1334"/>
      <c r="T594" s="1334"/>
      <c r="U594" s="1334"/>
      <c r="V594" s="1334"/>
      <c r="W594" s="1334"/>
      <c r="X594" s="1334"/>
      <c r="Y594" s="1334"/>
      <c r="Z594" s="1334"/>
    </row>
    <row r="595" spans="4:26" ht="15.75" customHeight="1" x14ac:dyDescent="0.3">
      <c r="D595" s="1334"/>
      <c r="E595" s="1341"/>
      <c r="F595" s="1338"/>
      <c r="G595" s="1338"/>
      <c r="H595" s="1338"/>
      <c r="I595" s="1334"/>
      <c r="J595" s="1334"/>
      <c r="K595" s="1334"/>
      <c r="L595" s="1334"/>
      <c r="M595" s="1334"/>
      <c r="N595" s="1334"/>
      <c r="O595" s="1334"/>
      <c r="P595" s="1334"/>
      <c r="Q595" s="1334"/>
      <c r="R595" s="1334"/>
      <c r="S595" s="1334"/>
      <c r="T595" s="1334"/>
      <c r="U595" s="1334"/>
      <c r="V595" s="1334"/>
      <c r="W595" s="1334"/>
      <c r="X595" s="1334"/>
      <c r="Y595" s="1334"/>
      <c r="Z595" s="1334"/>
    </row>
    <row r="596" spans="4:26" ht="15.75" customHeight="1" x14ac:dyDescent="0.3">
      <c r="D596" s="1334"/>
      <c r="E596" s="1341"/>
      <c r="F596" s="1338"/>
      <c r="G596" s="1338"/>
      <c r="H596" s="1338"/>
      <c r="I596" s="1334"/>
      <c r="J596" s="1334"/>
      <c r="K596" s="1334"/>
      <c r="L596" s="1334"/>
      <c r="M596" s="1334"/>
      <c r="N596" s="1334"/>
      <c r="O596" s="1334"/>
      <c r="P596" s="1334"/>
      <c r="Q596" s="1334"/>
      <c r="R596" s="1334"/>
      <c r="S596" s="1334"/>
      <c r="T596" s="1334"/>
      <c r="U596" s="1334"/>
      <c r="V596" s="1334"/>
      <c r="W596" s="1334"/>
      <c r="X596" s="1334"/>
      <c r="Y596" s="1334"/>
      <c r="Z596" s="1334"/>
    </row>
    <row r="597" spans="4:26" ht="15.75" customHeight="1" x14ac:dyDescent="0.3">
      <c r="D597" s="1334"/>
      <c r="E597" s="1341"/>
      <c r="F597" s="1338"/>
      <c r="G597" s="1338"/>
      <c r="H597" s="1338"/>
      <c r="I597" s="1334"/>
      <c r="J597" s="1334"/>
      <c r="K597" s="1334"/>
      <c r="L597" s="1334"/>
      <c r="M597" s="1334"/>
      <c r="N597" s="1334"/>
      <c r="O597" s="1334"/>
      <c r="P597" s="1334"/>
      <c r="Q597" s="1334"/>
      <c r="R597" s="1334"/>
      <c r="S597" s="1334"/>
      <c r="T597" s="1334"/>
      <c r="U597" s="1334"/>
      <c r="V597" s="1334"/>
      <c r="W597" s="1334"/>
      <c r="X597" s="1334"/>
      <c r="Y597" s="1334"/>
      <c r="Z597" s="1334"/>
    </row>
    <row r="598" spans="4:26" ht="15.75" customHeight="1" x14ac:dyDescent="0.3">
      <c r="D598" s="1334"/>
      <c r="E598" s="1341"/>
      <c r="F598" s="1338"/>
      <c r="G598" s="1338"/>
      <c r="H598" s="1338"/>
      <c r="I598" s="1334"/>
      <c r="J598" s="1334"/>
      <c r="K598" s="1334"/>
      <c r="L598" s="1334"/>
      <c r="M598" s="1334"/>
      <c r="N598" s="1334"/>
      <c r="O598" s="1334"/>
      <c r="P598" s="1334"/>
      <c r="Q598" s="1334"/>
      <c r="R598" s="1334"/>
      <c r="S598" s="1334"/>
      <c r="T598" s="1334"/>
      <c r="U598" s="1334"/>
      <c r="V598" s="1334"/>
      <c r="W598" s="1334"/>
      <c r="X598" s="1334"/>
      <c r="Y598" s="1334"/>
      <c r="Z598" s="1334"/>
    </row>
    <row r="599" spans="4:26" ht="15.75" customHeight="1" x14ac:dyDescent="0.3">
      <c r="D599" s="1334"/>
      <c r="E599" s="1341"/>
      <c r="F599" s="1338"/>
      <c r="G599" s="1338"/>
      <c r="H599" s="1338"/>
      <c r="I599" s="1334"/>
      <c r="J599" s="1334"/>
      <c r="K599" s="1334"/>
      <c r="L599" s="1334"/>
      <c r="M599" s="1334"/>
      <c r="N599" s="1334"/>
      <c r="O599" s="1334"/>
      <c r="P599" s="1334"/>
      <c r="Q599" s="1334"/>
      <c r="R599" s="1334"/>
      <c r="S599" s="1334"/>
      <c r="T599" s="1334"/>
      <c r="U599" s="1334"/>
      <c r="V599" s="1334"/>
      <c r="W599" s="1334"/>
      <c r="X599" s="1334"/>
      <c r="Y599" s="1334"/>
      <c r="Z599" s="1334"/>
    </row>
    <row r="600" spans="4:26" ht="15.75" customHeight="1" x14ac:dyDescent="0.3">
      <c r="D600" s="1334"/>
      <c r="E600" s="1341"/>
      <c r="F600" s="1338"/>
      <c r="G600" s="1338"/>
      <c r="H600" s="1338"/>
      <c r="I600" s="1334"/>
      <c r="J600" s="1334"/>
      <c r="K600" s="1334"/>
      <c r="L600" s="1334"/>
      <c r="M600" s="1334"/>
      <c r="N600" s="1334"/>
      <c r="O600" s="1334"/>
      <c r="P600" s="1334"/>
      <c r="Q600" s="1334"/>
      <c r="R600" s="1334"/>
      <c r="S600" s="1334"/>
      <c r="T600" s="1334"/>
      <c r="U600" s="1334"/>
      <c r="V600" s="1334"/>
      <c r="W600" s="1334"/>
      <c r="X600" s="1334"/>
      <c r="Y600" s="1334"/>
      <c r="Z600" s="1334"/>
    </row>
    <row r="601" spans="4:26" ht="15.75" customHeight="1" x14ac:dyDescent="0.3">
      <c r="D601" s="1334"/>
      <c r="E601" s="1341"/>
      <c r="F601" s="1338"/>
      <c r="G601" s="1338"/>
      <c r="H601" s="1338"/>
      <c r="I601" s="1334"/>
      <c r="J601" s="1334"/>
      <c r="K601" s="1334"/>
      <c r="L601" s="1334"/>
      <c r="M601" s="1334"/>
      <c r="N601" s="1334"/>
      <c r="O601" s="1334"/>
      <c r="P601" s="1334"/>
      <c r="Q601" s="1334"/>
      <c r="R601" s="1334"/>
      <c r="S601" s="1334"/>
      <c r="T601" s="1334"/>
      <c r="U601" s="1334"/>
      <c r="V601" s="1334"/>
      <c r="W601" s="1334"/>
      <c r="X601" s="1334"/>
      <c r="Y601" s="1334"/>
      <c r="Z601" s="1334"/>
    </row>
    <row r="602" spans="4:26" ht="15.75" customHeight="1" x14ac:dyDescent="0.3">
      <c r="D602" s="1334"/>
      <c r="E602" s="1341"/>
      <c r="F602" s="1338"/>
      <c r="G602" s="1338"/>
      <c r="H602" s="1338"/>
      <c r="I602" s="1334"/>
      <c r="J602" s="1334"/>
      <c r="K602" s="1334"/>
      <c r="L602" s="1334"/>
      <c r="M602" s="1334"/>
      <c r="N602" s="1334"/>
      <c r="O602" s="1334"/>
      <c r="P602" s="1334"/>
      <c r="Q602" s="1334"/>
      <c r="R602" s="1334"/>
      <c r="S602" s="1334"/>
      <c r="T602" s="1334"/>
      <c r="U602" s="1334"/>
      <c r="V602" s="1334"/>
      <c r="W602" s="1334"/>
      <c r="X602" s="1334"/>
      <c r="Y602" s="1334"/>
      <c r="Z602" s="1334"/>
    </row>
    <row r="603" spans="4:26" ht="15.75" customHeight="1" x14ac:dyDescent="0.3">
      <c r="D603" s="1334"/>
      <c r="E603" s="1341"/>
      <c r="F603" s="1338"/>
      <c r="G603" s="1338"/>
      <c r="H603" s="1338"/>
      <c r="I603" s="1334"/>
      <c r="J603" s="1334"/>
      <c r="K603" s="1334"/>
      <c r="L603" s="1334"/>
      <c r="M603" s="1334"/>
      <c r="N603" s="1334"/>
      <c r="O603" s="1334"/>
      <c r="P603" s="1334"/>
      <c r="Q603" s="1334"/>
      <c r="R603" s="1334"/>
      <c r="S603" s="1334"/>
      <c r="T603" s="1334"/>
      <c r="U603" s="1334"/>
      <c r="V603" s="1334"/>
      <c r="W603" s="1334"/>
      <c r="X603" s="1334"/>
      <c r="Y603" s="1334"/>
      <c r="Z603" s="1334"/>
    </row>
    <row r="604" spans="4:26" ht="15.75" customHeight="1" x14ac:dyDescent="0.3">
      <c r="D604" s="1334"/>
      <c r="E604" s="1341"/>
      <c r="F604" s="1338"/>
      <c r="G604" s="1338"/>
      <c r="H604" s="1338"/>
      <c r="I604" s="1334"/>
      <c r="J604" s="1334"/>
      <c r="K604" s="1334"/>
      <c r="L604" s="1334"/>
      <c r="M604" s="1334"/>
      <c r="N604" s="1334"/>
      <c r="O604" s="1334"/>
      <c r="P604" s="1334"/>
      <c r="Q604" s="1334"/>
      <c r="R604" s="1334"/>
      <c r="S604" s="1334"/>
      <c r="T604" s="1334"/>
      <c r="U604" s="1334"/>
      <c r="V604" s="1334"/>
      <c r="W604" s="1334"/>
      <c r="X604" s="1334"/>
      <c r="Y604" s="1334"/>
      <c r="Z604" s="1334"/>
    </row>
    <row r="605" spans="4:26" ht="15.75" customHeight="1" x14ac:dyDescent="0.3">
      <c r="D605" s="1334"/>
      <c r="E605" s="1341"/>
      <c r="F605" s="1338"/>
      <c r="G605" s="1338"/>
      <c r="H605" s="1338"/>
      <c r="I605" s="1334"/>
      <c r="J605" s="1334"/>
      <c r="K605" s="1334"/>
      <c r="L605" s="1334"/>
      <c r="M605" s="1334"/>
      <c r="N605" s="1334"/>
      <c r="O605" s="1334"/>
      <c r="P605" s="1334"/>
      <c r="Q605" s="1334"/>
      <c r="R605" s="1334"/>
      <c r="S605" s="1334"/>
      <c r="T605" s="1334"/>
      <c r="U605" s="1334"/>
      <c r="V605" s="1334"/>
      <c r="W605" s="1334"/>
      <c r="X605" s="1334"/>
      <c r="Y605" s="1334"/>
      <c r="Z605" s="1334"/>
    </row>
    <row r="606" spans="4:26" ht="15.75" customHeight="1" x14ac:dyDescent="0.3">
      <c r="D606" s="1334"/>
      <c r="E606" s="1341"/>
      <c r="F606" s="1338"/>
      <c r="G606" s="1338"/>
      <c r="H606" s="1338"/>
      <c r="I606" s="1334"/>
      <c r="J606" s="1334"/>
      <c r="K606" s="1334"/>
      <c r="L606" s="1334"/>
      <c r="M606" s="1334"/>
      <c r="N606" s="1334"/>
      <c r="O606" s="1334"/>
      <c r="P606" s="1334"/>
      <c r="Q606" s="1334"/>
      <c r="R606" s="1334"/>
      <c r="S606" s="1334"/>
      <c r="T606" s="1334"/>
      <c r="U606" s="1334"/>
      <c r="V606" s="1334"/>
      <c r="W606" s="1334"/>
      <c r="X606" s="1334"/>
      <c r="Y606" s="1334"/>
      <c r="Z606" s="1334"/>
    </row>
    <row r="607" spans="4:26" ht="15.75" customHeight="1" x14ac:dyDescent="0.3">
      <c r="D607" s="1334"/>
      <c r="E607" s="1341"/>
      <c r="F607" s="1338"/>
      <c r="G607" s="1338"/>
      <c r="H607" s="1338"/>
      <c r="I607" s="1334"/>
      <c r="J607" s="1334"/>
      <c r="K607" s="1334"/>
      <c r="L607" s="1334"/>
      <c r="M607" s="1334"/>
      <c r="N607" s="1334"/>
      <c r="O607" s="1334"/>
      <c r="P607" s="1334"/>
      <c r="Q607" s="1334"/>
      <c r="R607" s="1334"/>
      <c r="S607" s="1334"/>
      <c r="T607" s="1334"/>
      <c r="U607" s="1334"/>
      <c r="V607" s="1334"/>
      <c r="W607" s="1334"/>
      <c r="X607" s="1334"/>
      <c r="Y607" s="1334"/>
      <c r="Z607" s="1334"/>
    </row>
    <row r="608" spans="4:26" ht="15.75" customHeight="1" x14ac:dyDescent="0.3">
      <c r="D608" s="1334"/>
      <c r="E608" s="1341"/>
      <c r="F608" s="1338"/>
      <c r="G608" s="1338"/>
      <c r="H608" s="1338"/>
      <c r="I608" s="1334"/>
      <c r="J608" s="1334"/>
      <c r="K608" s="1334"/>
      <c r="L608" s="1334"/>
      <c r="M608" s="1334"/>
      <c r="N608" s="1334"/>
      <c r="O608" s="1334"/>
      <c r="P608" s="1334"/>
      <c r="Q608" s="1334"/>
      <c r="R608" s="1334"/>
      <c r="S608" s="1334"/>
      <c r="T608" s="1334"/>
      <c r="U608" s="1334"/>
      <c r="V608" s="1334"/>
      <c r="W608" s="1334"/>
      <c r="X608" s="1334"/>
      <c r="Y608" s="1334"/>
      <c r="Z608" s="1334"/>
    </row>
    <row r="609" spans="4:26" ht="15.75" customHeight="1" x14ac:dyDescent="0.3">
      <c r="D609" s="1334"/>
      <c r="E609" s="1341"/>
      <c r="F609" s="1338"/>
      <c r="G609" s="1338"/>
      <c r="H609" s="1338"/>
      <c r="I609" s="1334"/>
      <c r="J609" s="1334"/>
      <c r="K609" s="1334"/>
      <c r="L609" s="1334"/>
      <c r="M609" s="1334"/>
      <c r="N609" s="1334"/>
      <c r="O609" s="1334"/>
      <c r="P609" s="1334"/>
      <c r="Q609" s="1334"/>
      <c r="R609" s="1334"/>
      <c r="S609" s="1334"/>
      <c r="T609" s="1334"/>
      <c r="U609" s="1334"/>
      <c r="V609" s="1334"/>
      <c r="W609" s="1334"/>
      <c r="X609" s="1334"/>
      <c r="Y609" s="1334"/>
      <c r="Z609" s="1334"/>
    </row>
    <row r="610" spans="4:26" ht="15.75" customHeight="1" x14ac:dyDescent="0.3">
      <c r="D610" s="1334"/>
      <c r="E610" s="1341"/>
      <c r="F610" s="1338"/>
      <c r="G610" s="1338"/>
      <c r="H610" s="1338"/>
      <c r="I610" s="1334"/>
      <c r="J610" s="1334"/>
      <c r="K610" s="1334"/>
      <c r="L610" s="1334"/>
      <c r="M610" s="1334"/>
      <c r="N610" s="1334"/>
      <c r="O610" s="1334"/>
      <c r="P610" s="1334"/>
      <c r="Q610" s="1334"/>
      <c r="R610" s="1334"/>
      <c r="S610" s="1334"/>
      <c r="T610" s="1334"/>
      <c r="U610" s="1334"/>
      <c r="V610" s="1334"/>
      <c r="W610" s="1334"/>
      <c r="X610" s="1334"/>
      <c r="Y610" s="1334"/>
      <c r="Z610" s="1334"/>
    </row>
    <row r="611" spans="4:26" ht="15.75" customHeight="1" x14ac:dyDescent="0.3">
      <c r="D611" s="1334"/>
      <c r="E611" s="1341"/>
      <c r="F611" s="1338"/>
      <c r="G611" s="1338"/>
      <c r="H611" s="1338"/>
      <c r="I611" s="1334"/>
      <c r="J611" s="1334"/>
      <c r="K611" s="1334"/>
      <c r="L611" s="1334"/>
      <c r="M611" s="1334"/>
      <c r="N611" s="1334"/>
      <c r="O611" s="1334"/>
      <c r="P611" s="1334"/>
      <c r="Q611" s="1334"/>
      <c r="R611" s="1334"/>
      <c r="S611" s="1334"/>
      <c r="T611" s="1334"/>
      <c r="U611" s="1334"/>
      <c r="V611" s="1334"/>
      <c r="W611" s="1334"/>
      <c r="X611" s="1334"/>
      <c r="Y611" s="1334"/>
      <c r="Z611" s="1334"/>
    </row>
    <row r="612" spans="4:26" ht="15.75" customHeight="1" x14ac:dyDescent="0.3">
      <c r="D612" s="1334"/>
      <c r="E612" s="1341"/>
      <c r="F612" s="1338"/>
      <c r="G612" s="1338"/>
      <c r="H612" s="1338"/>
      <c r="I612" s="1334"/>
      <c r="J612" s="1334"/>
      <c r="K612" s="1334"/>
      <c r="L612" s="1334"/>
      <c r="M612" s="1334"/>
      <c r="N612" s="1334"/>
      <c r="O612" s="1334"/>
      <c r="P612" s="1334"/>
      <c r="Q612" s="1334"/>
      <c r="R612" s="1334"/>
      <c r="S612" s="1334"/>
      <c r="T612" s="1334"/>
      <c r="U612" s="1334"/>
      <c r="V612" s="1334"/>
      <c r="W612" s="1334"/>
      <c r="X612" s="1334"/>
      <c r="Y612" s="1334"/>
      <c r="Z612" s="1334"/>
    </row>
    <row r="613" spans="4:26" ht="15.75" customHeight="1" x14ac:dyDescent="0.3">
      <c r="D613" s="1334"/>
      <c r="E613" s="1341"/>
      <c r="F613" s="1338"/>
      <c r="G613" s="1338"/>
      <c r="H613" s="1338"/>
      <c r="I613" s="1334"/>
      <c r="J613" s="1334"/>
      <c r="K613" s="1334"/>
      <c r="L613" s="1334"/>
      <c r="M613" s="1334"/>
      <c r="N613" s="1334"/>
      <c r="O613" s="1334"/>
      <c r="P613" s="1334"/>
      <c r="Q613" s="1334"/>
      <c r="R613" s="1334"/>
      <c r="S613" s="1334"/>
      <c r="T613" s="1334"/>
      <c r="U613" s="1334"/>
      <c r="V613" s="1334"/>
      <c r="W613" s="1334"/>
      <c r="X613" s="1334"/>
      <c r="Y613" s="1334"/>
      <c r="Z613" s="1334"/>
    </row>
    <row r="614" spans="4:26" ht="15.75" customHeight="1" x14ac:dyDescent="0.3">
      <c r="D614" s="1334"/>
      <c r="E614" s="1341"/>
      <c r="F614" s="1338"/>
      <c r="G614" s="1338"/>
      <c r="H614" s="1338"/>
      <c r="I614" s="1334"/>
      <c r="J614" s="1334"/>
      <c r="K614" s="1334"/>
      <c r="L614" s="1334"/>
      <c r="M614" s="1334"/>
      <c r="N614" s="1334"/>
      <c r="O614" s="1334"/>
      <c r="P614" s="1334"/>
      <c r="Q614" s="1334"/>
      <c r="R614" s="1334"/>
      <c r="S614" s="1334"/>
      <c r="T614" s="1334"/>
      <c r="U614" s="1334"/>
      <c r="V614" s="1334"/>
      <c r="W614" s="1334"/>
      <c r="X614" s="1334"/>
      <c r="Y614" s="1334"/>
      <c r="Z614" s="1334"/>
    </row>
    <row r="615" spans="4:26" ht="15.75" customHeight="1" x14ac:dyDescent="0.3">
      <c r="D615" s="1334"/>
      <c r="E615" s="1341"/>
      <c r="F615" s="1338"/>
      <c r="G615" s="1338"/>
      <c r="H615" s="1338"/>
      <c r="I615" s="1334"/>
      <c r="J615" s="1334"/>
      <c r="K615" s="1334"/>
      <c r="L615" s="1334"/>
      <c r="M615" s="1334"/>
      <c r="N615" s="1334"/>
      <c r="O615" s="1334"/>
      <c r="P615" s="1334"/>
      <c r="Q615" s="1334"/>
      <c r="R615" s="1334"/>
      <c r="S615" s="1334"/>
      <c r="T615" s="1334"/>
      <c r="U615" s="1334"/>
      <c r="V615" s="1334"/>
      <c r="W615" s="1334"/>
      <c r="X615" s="1334"/>
      <c r="Y615" s="1334"/>
      <c r="Z615" s="1334"/>
    </row>
    <row r="616" spans="4:26" ht="15.75" customHeight="1" x14ac:dyDescent="0.3">
      <c r="D616" s="1334"/>
      <c r="E616" s="1341"/>
      <c r="F616" s="1338"/>
      <c r="G616" s="1338"/>
      <c r="H616" s="1338"/>
      <c r="I616" s="1334"/>
      <c r="J616" s="1334"/>
      <c r="K616" s="1334"/>
      <c r="L616" s="1334"/>
      <c r="M616" s="1334"/>
      <c r="N616" s="1334"/>
      <c r="O616" s="1334"/>
      <c r="P616" s="1334"/>
      <c r="Q616" s="1334"/>
      <c r="R616" s="1334"/>
      <c r="S616" s="1334"/>
      <c r="T616" s="1334"/>
      <c r="U616" s="1334"/>
      <c r="V616" s="1334"/>
      <c r="W616" s="1334"/>
      <c r="X616" s="1334"/>
      <c r="Y616" s="1334"/>
      <c r="Z616" s="1334"/>
    </row>
    <row r="617" spans="4:26" ht="15.75" customHeight="1" x14ac:dyDescent="0.3">
      <c r="D617" s="1334"/>
      <c r="E617" s="1341"/>
      <c r="F617" s="1338"/>
      <c r="G617" s="1338"/>
      <c r="H617" s="1338"/>
      <c r="I617" s="1334"/>
      <c r="J617" s="1334"/>
      <c r="K617" s="1334"/>
      <c r="L617" s="1334"/>
      <c r="M617" s="1334"/>
      <c r="N617" s="1334"/>
      <c r="O617" s="1334"/>
      <c r="P617" s="1334"/>
      <c r="Q617" s="1334"/>
      <c r="R617" s="1334"/>
      <c r="S617" s="1334"/>
      <c r="T617" s="1334"/>
      <c r="U617" s="1334"/>
      <c r="V617" s="1334"/>
      <c r="W617" s="1334"/>
      <c r="X617" s="1334"/>
      <c r="Y617" s="1334"/>
      <c r="Z617" s="1334"/>
    </row>
    <row r="618" spans="4:26" ht="15.75" customHeight="1" x14ac:dyDescent="0.3">
      <c r="D618" s="1334"/>
      <c r="E618" s="1341"/>
      <c r="F618" s="1338"/>
      <c r="G618" s="1338"/>
      <c r="H618" s="1338"/>
      <c r="I618" s="1334"/>
      <c r="J618" s="1334"/>
      <c r="K618" s="1334"/>
      <c r="L618" s="1334"/>
      <c r="M618" s="1334"/>
      <c r="N618" s="1334"/>
      <c r="O618" s="1334"/>
      <c r="P618" s="1334"/>
      <c r="Q618" s="1334"/>
      <c r="R618" s="1334"/>
      <c r="S618" s="1334"/>
      <c r="T618" s="1334"/>
      <c r="U618" s="1334"/>
      <c r="V618" s="1334"/>
      <c r="W618" s="1334"/>
      <c r="X618" s="1334"/>
      <c r="Y618" s="1334"/>
      <c r="Z618" s="1334"/>
    </row>
    <row r="619" spans="4:26" ht="15.75" customHeight="1" x14ac:dyDescent="0.3">
      <c r="D619" s="1334"/>
      <c r="E619" s="1341"/>
      <c r="F619" s="1338"/>
      <c r="G619" s="1338"/>
      <c r="H619" s="1338"/>
      <c r="I619" s="1334"/>
      <c r="J619" s="1334"/>
      <c r="K619" s="1334"/>
      <c r="L619" s="1334"/>
      <c r="M619" s="1334"/>
      <c r="N619" s="1334"/>
      <c r="O619" s="1334"/>
      <c r="P619" s="1334"/>
      <c r="Q619" s="1334"/>
      <c r="R619" s="1334"/>
      <c r="S619" s="1334"/>
      <c r="T619" s="1334"/>
      <c r="U619" s="1334"/>
      <c r="V619" s="1334"/>
      <c r="W619" s="1334"/>
      <c r="X619" s="1334"/>
      <c r="Y619" s="1334"/>
      <c r="Z619" s="1334"/>
    </row>
    <row r="620" spans="4:26" ht="15.75" customHeight="1" x14ac:dyDescent="0.3">
      <c r="D620" s="1334"/>
      <c r="E620" s="1341"/>
      <c r="F620" s="1338"/>
      <c r="G620" s="1338"/>
      <c r="H620" s="1338"/>
      <c r="I620" s="1334"/>
      <c r="J620" s="1334"/>
      <c r="K620" s="1334"/>
      <c r="L620" s="1334"/>
      <c r="M620" s="1334"/>
      <c r="N620" s="1334"/>
      <c r="O620" s="1334"/>
      <c r="P620" s="1334"/>
      <c r="Q620" s="1334"/>
      <c r="R620" s="1334"/>
      <c r="S620" s="1334"/>
      <c r="T620" s="1334"/>
      <c r="U620" s="1334"/>
      <c r="V620" s="1334"/>
      <c r="W620" s="1334"/>
      <c r="X620" s="1334"/>
      <c r="Y620" s="1334"/>
      <c r="Z620" s="1334"/>
    </row>
    <row r="621" spans="4:26" ht="15.75" customHeight="1" x14ac:dyDescent="0.3">
      <c r="D621" s="1334"/>
      <c r="E621" s="1341"/>
      <c r="F621" s="1338"/>
      <c r="G621" s="1338"/>
      <c r="H621" s="1338"/>
      <c r="I621" s="1334"/>
      <c r="J621" s="1334"/>
      <c r="K621" s="1334"/>
      <c r="L621" s="1334"/>
      <c r="M621" s="1334"/>
      <c r="N621" s="1334"/>
      <c r="O621" s="1334"/>
      <c r="P621" s="1334"/>
      <c r="Q621" s="1334"/>
      <c r="R621" s="1334"/>
      <c r="S621" s="1334"/>
      <c r="T621" s="1334"/>
      <c r="U621" s="1334"/>
      <c r="V621" s="1334"/>
      <c r="W621" s="1334"/>
      <c r="X621" s="1334"/>
      <c r="Y621" s="1334"/>
      <c r="Z621" s="1334"/>
    </row>
    <row r="622" spans="4:26" ht="15.75" customHeight="1" x14ac:dyDescent="0.3">
      <c r="D622" s="1334"/>
      <c r="E622" s="1341"/>
      <c r="F622" s="1338"/>
      <c r="G622" s="1338"/>
      <c r="H622" s="1338"/>
      <c r="I622" s="1334"/>
      <c r="J622" s="1334"/>
      <c r="K622" s="1334"/>
      <c r="L622" s="1334"/>
      <c r="M622" s="1334"/>
      <c r="N622" s="1334"/>
      <c r="O622" s="1334"/>
      <c r="P622" s="1334"/>
      <c r="Q622" s="1334"/>
      <c r="R622" s="1334"/>
      <c r="S622" s="1334"/>
      <c r="T622" s="1334"/>
      <c r="U622" s="1334"/>
      <c r="V622" s="1334"/>
      <c r="W622" s="1334"/>
      <c r="X622" s="1334"/>
      <c r="Y622" s="1334"/>
      <c r="Z622" s="1334"/>
    </row>
    <row r="623" spans="4:26" ht="15.75" customHeight="1" x14ac:dyDescent="0.3">
      <c r="D623" s="1334"/>
      <c r="E623" s="1341"/>
      <c r="F623" s="1338"/>
      <c r="G623" s="1338"/>
      <c r="H623" s="1338"/>
      <c r="I623" s="1334"/>
      <c r="J623" s="1334"/>
      <c r="K623" s="1334"/>
      <c r="L623" s="1334"/>
      <c r="M623" s="1334"/>
      <c r="N623" s="1334"/>
      <c r="O623" s="1334"/>
      <c r="P623" s="1334"/>
      <c r="Q623" s="1334"/>
      <c r="R623" s="1334"/>
      <c r="S623" s="1334"/>
      <c r="T623" s="1334"/>
      <c r="U623" s="1334"/>
      <c r="V623" s="1334"/>
      <c r="W623" s="1334"/>
      <c r="X623" s="1334"/>
      <c r="Y623" s="1334"/>
      <c r="Z623" s="1334"/>
    </row>
    <row r="624" spans="4:26" ht="15.75" customHeight="1" x14ac:dyDescent="0.3">
      <c r="D624" s="1334"/>
      <c r="E624" s="1341"/>
      <c r="F624" s="1338"/>
      <c r="G624" s="1338"/>
      <c r="H624" s="1338"/>
      <c r="I624" s="1334"/>
      <c r="J624" s="1334"/>
      <c r="K624" s="1334"/>
      <c r="L624" s="1334"/>
      <c r="M624" s="1334"/>
      <c r="N624" s="1334"/>
      <c r="O624" s="1334"/>
      <c r="P624" s="1334"/>
      <c r="Q624" s="1334"/>
      <c r="R624" s="1334"/>
      <c r="S624" s="1334"/>
      <c r="T624" s="1334"/>
      <c r="U624" s="1334"/>
      <c r="V624" s="1334"/>
      <c r="W624" s="1334"/>
      <c r="X624" s="1334"/>
      <c r="Y624" s="1334"/>
      <c r="Z624" s="1334"/>
    </row>
    <row r="625" spans="4:26" ht="15.75" customHeight="1" x14ac:dyDescent="0.3">
      <c r="D625" s="1334"/>
      <c r="E625" s="1341"/>
      <c r="F625" s="1338"/>
      <c r="G625" s="1338"/>
      <c r="H625" s="1338"/>
      <c r="I625" s="1334"/>
      <c r="J625" s="1334"/>
      <c r="K625" s="1334"/>
      <c r="L625" s="1334"/>
      <c r="M625" s="1334"/>
      <c r="N625" s="1334"/>
      <c r="O625" s="1334"/>
      <c r="P625" s="1334"/>
      <c r="Q625" s="1334"/>
      <c r="R625" s="1334"/>
      <c r="S625" s="1334"/>
      <c r="T625" s="1334"/>
      <c r="U625" s="1334"/>
      <c r="V625" s="1334"/>
      <c r="W625" s="1334"/>
      <c r="X625" s="1334"/>
      <c r="Y625" s="1334"/>
      <c r="Z625" s="1334"/>
    </row>
    <row r="626" spans="4:26" ht="15.75" customHeight="1" x14ac:dyDescent="0.3">
      <c r="D626" s="1334"/>
      <c r="E626" s="1341"/>
      <c r="F626" s="1338"/>
      <c r="G626" s="1338"/>
      <c r="H626" s="1338"/>
      <c r="I626" s="1334"/>
      <c r="J626" s="1334"/>
      <c r="K626" s="1334"/>
      <c r="L626" s="1334"/>
      <c r="M626" s="1334"/>
      <c r="N626" s="1334"/>
      <c r="O626" s="1334"/>
      <c r="P626" s="1334"/>
      <c r="Q626" s="1334"/>
      <c r="R626" s="1334"/>
      <c r="S626" s="1334"/>
      <c r="T626" s="1334"/>
      <c r="U626" s="1334"/>
      <c r="V626" s="1334"/>
      <c r="W626" s="1334"/>
      <c r="X626" s="1334"/>
      <c r="Y626" s="1334"/>
      <c r="Z626" s="1334"/>
    </row>
    <row r="627" spans="4:26" ht="15.75" customHeight="1" x14ac:dyDescent="0.3">
      <c r="D627" s="1334"/>
      <c r="E627" s="1341"/>
      <c r="F627" s="1338"/>
      <c r="G627" s="1338"/>
      <c r="H627" s="1338"/>
      <c r="I627" s="1334"/>
      <c r="J627" s="1334"/>
      <c r="K627" s="1334"/>
      <c r="L627" s="1334"/>
      <c r="M627" s="1334"/>
      <c r="N627" s="1334"/>
      <c r="O627" s="1334"/>
      <c r="P627" s="1334"/>
      <c r="Q627" s="1334"/>
      <c r="R627" s="1334"/>
      <c r="S627" s="1334"/>
      <c r="T627" s="1334"/>
      <c r="U627" s="1334"/>
      <c r="V627" s="1334"/>
      <c r="W627" s="1334"/>
      <c r="X627" s="1334"/>
      <c r="Y627" s="1334"/>
      <c r="Z627" s="1334"/>
    </row>
    <row r="628" spans="4:26" ht="15.75" customHeight="1" x14ac:dyDescent="0.3">
      <c r="D628" s="1334"/>
      <c r="E628" s="1341"/>
      <c r="F628" s="1338"/>
      <c r="G628" s="1338"/>
      <c r="H628" s="1338"/>
      <c r="I628" s="1334"/>
      <c r="J628" s="1334"/>
      <c r="K628" s="1334"/>
      <c r="L628" s="1334"/>
      <c r="M628" s="1334"/>
      <c r="N628" s="1334"/>
      <c r="O628" s="1334"/>
      <c r="P628" s="1334"/>
      <c r="Q628" s="1334"/>
      <c r="R628" s="1334"/>
      <c r="S628" s="1334"/>
      <c r="T628" s="1334"/>
      <c r="U628" s="1334"/>
      <c r="V628" s="1334"/>
      <c r="W628" s="1334"/>
      <c r="X628" s="1334"/>
      <c r="Y628" s="1334"/>
      <c r="Z628" s="1334"/>
    </row>
    <row r="629" spans="4:26" ht="15.75" customHeight="1" x14ac:dyDescent="0.3">
      <c r="D629" s="1334"/>
      <c r="E629" s="1341"/>
      <c r="F629" s="1338"/>
      <c r="G629" s="1338"/>
      <c r="H629" s="1338"/>
      <c r="I629" s="1334"/>
      <c r="J629" s="1334"/>
      <c r="K629" s="1334"/>
      <c r="L629" s="1334"/>
      <c r="M629" s="1334"/>
      <c r="N629" s="1334"/>
      <c r="O629" s="1334"/>
      <c r="P629" s="1334"/>
      <c r="Q629" s="1334"/>
      <c r="R629" s="1334"/>
      <c r="S629" s="1334"/>
      <c r="T629" s="1334"/>
      <c r="U629" s="1334"/>
      <c r="V629" s="1334"/>
      <c r="W629" s="1334"/>
      <c r="X629" s="1334"/>
      <c r="Y629" s="1334"/>
      <c r="Z629" s="1334"/>
    </row>
    <row r="630" spans="4:26" ht="15.75" customHeight="1" x14ac:dyDescent="0.3">
      <c r="D630" s="1334"/>
      <c r="E630" s="1341"/>
      <c r="F630" s="1338"/>
      <c r="G630" s="1338"/>
      <c r="H630" s="1338"/>
      <c r="I630" s="1334"/>
      <c r="J630" s="1334"/>
      <c r="K630" s="1334"/>
      <c r="L630" s="1334"/>
      <c r="M630" s="1334"/>
      <c r="N630" s="1334"/>
      <c r="O630" s="1334"/>
      <c r="P630" s="1334"/>
      <c r="Q630" s="1334"/>
      <c r="R630" s="1334"/>
      <c r="S630" s="1334"/>
      <c r="T630" s="1334"/>
      <c r="U630" s="1334"/>
      <c r="V630" s="1334"/>
      <c r="W630" s="1334"/>
      <c r="X630" s="1334"/>
      <c r="Y630" s="1334"/>
      <c r="Z630" s="1334"/>
    </row>
    <row r="631" spans="4:26" ht="15.75" customHeight="1" x14ac:dyDescent="0.3">
      <c r="D631" s="1334"/>
      <c r="E631" s="1341"/>
      <c r="F631" s="1338"/>
      <c r="G631" s="1338"/>
      <c r="H631" s="1338"/>
      <c r="I631" s="1334"/>
      <c r="J631" s="1334"/>
      <c r="K631" s="1334"/>
      <c r="L631" s="1334"/>
      <c r="M631" s="1334"/>
      <c r="N631" s="1334"/>
      <c r="O631" s="1334"/>
      <c r="P631" s="1334"/>
      <c r="Q631" s="1334"/>
      <c r="R631" s="1334"/>
      <c r="S631" s="1334"/>
      <c r="T631" s="1334"/>
      <c r="U631" s="1334"/>
      <c r="V631" s="1334"/>
      <c r="W631" s="1334"/>
      <c r="X631" s="1334"/>
      <c r="Y631" s="1334"/>
      <c r="Z631" s="1334"/>
    </row>
    <row r="632" spans="4:26" ht="15.75" customHeight="1" x14ac:dyDescent="0.3">
      <c r="D632" s="1334"/>
      <c r="E632" s="1341"/>
      <c r="F632" s="1338"/>
      <c r="G632" s="1338"/>
      <c r="H632" s="1338"/>
      <c r="I632" s="1334"/>
      <c r="J632" s="1334"/>
      <c r="K632" s="1334"/>
      <c r="L632" s="1334"/>
      <c r="M632" s="1334"/>
      <c r="N632" s="1334"/>
      <c r="O632" s="1334"/>
      <c r="P632" s="1334"/>
      <c r="Q632" s="1334"/>
      <c r="R632" s="1334"/>
      <c r="S632" s="1334"/>
      <c r="T632" s="1334"/>
      <c r="U632" s="1334"/>
      <c r="V632" s="1334"/>
      <c r="W632" s="1334"/>
      <c r="X632" s="1334"/>
      <c r="Y632" s="1334"/>
      <c r="Z632" s="1334"/>
    </row>
    <row r="633" spans="4:26" ht="15.75" customHeight="1" x14ac:dyDescent="0.3">
      <c r="D633" s="1334"/>
      <c r="E633" s="1341"/>
      <c r="F633" s="1338"/>
      <c r="G633" s="1338"/>
      <c r="H633" s="1338"/>
      <c r="I633" s="1334"/>
      <c r="J633" s="1334"/>
      <c r="K633" s="1334"/>
      <c r="L633" s="1334"/>
      <c r="M633" s="1334"/>
      <c r="N633" s="1334"/>
      <c r="O633" s="1334"/>
      <c r="P633" s="1334"/>
      <c r="Q633" s="1334"/>
      <c r="R633" s="1334"/>
      <c r="S633" s="1334"/>
      <c r="T633" s="1334"/>
      <c r="U633" s="1334"/>
      <c r="V633" s="1334"/>
      <c r="W633" s="1334"/>
      <c r="X633" s="1334"/>
      <c r="Y633" s="1334"/>
      <c r="Z633" s="1334"/>
    </row>
    <row r="634" spans="4:26" ht="15.75" customHeight="1" x14ac:dyDescent="0.3">
      <c r="D634" s="1334"/>
      <c r="E634" s="1341"/>
      <c r="F634" s="1338"/>
      <c r="G634" s="1338"/>
      <c r="H634" s="1338"/>
      <c r="I634" s="1334"/>
      <c r="J634" s="1334"/>
      <c r="K634" s="1334"/>
      <c r="L634" s="1334"/>
      <c r="M634" s="1334"/>
      <c r="N634" s="1334"/>
      <c r="O634" s="1334"/>
      <c r="P634" s="1334"/>
      <c r="Q634" s="1334"/>
      <c r="R634" s="1334"/>
      <c r="S634" s="1334"/>
      <c r="T634" s="1334"/>
      <c r="U634" s="1334"/>
      <c r="V634" s="1334"/>
      <c r="W634" s="1334"/>
      <c r="X634" s="1334"/>
      <c r="Y634" s="1334"/>
      <c r="Z634" s="1334"/>
    </row>
    <row r="635" spans="4:26" ht="15.75" customHeight="1" x14ac:dyDescent="0.3">
      <c r="D635" s="1334"/>
      <c r="E635" s="1341"/>
      <c r="F635" s="1338"/>
      <c r="G635" s="1338"/>
      <c r="H635" s="1338"/>
      <c r="I635" s="1334"/>
      <c r="J635" s="1334"/>
      <c r="K635" s="1334"/>
      <c r="L635" s="1334"/>
      <c r="M635" s="1334"/>
      <c r="N635" s="1334"/>
      <c r="O635" s="1334"/>
      <c r="P635" s="1334"/>
      <c r="Q635" s="1334"/>
      <c r="R635" s="1334"/>
      <c r="S635" s="1334"/>
      <c r="T635" s="1334"/>
      <c r="U635" s="1334"/>
      <c r="V635" s="1334"/>
      <c r="W635" s="1334"/>
      <c r="X635" s="1334"/>
      <c r="Y635" s="1334"/>
      <c r="Z635" s="1334"/>
    </row>
    <row r="636" spans="4:26" ht="15.75" customHeight="1" x14ac:dyDescent="0.3">
      <c r="D636" s="1334"/>
      <c r="E636" s="1341"/>
      <c r="F636" s="1338"/>
      <c r="G636" s="1338"/>
      <c r="H636" s="1338"/>
      <c r="I636" s="1334"/>
      <c r="J636" s="1334"/>
      <c r="K636" s="1334"/>
      <c r="L636" s="1334"/>
      <c r="M636" s="1334"/>
      <c r="N636" s="1334"/>
      <c r="O636" s="1334"/>
      <c r="P636" s="1334"/>
      <c r="Q636" s="1334"/>
      <c r="R636" s="1334"/>
      <c r="S636" s="1334"/>
      <c r="T636" s="1334"/>
      <c r="U636" s="1334"/>
      <c r="V636" s="1334"/>
      <c r="W636" s="1334"/>
      <c r="X636" s="1334"/>
      <c r="Y636" s="1334"/>
      <c r="Z636" s="1334"/>
    </row>
    <row r="637" spans="4:26" ht="15.75" customHeight="1" x14ac:dyDescent="0.3">
      <c r="D637" s="1334"/>
      <c r="E637" s="1341"/>
      <c r="F637" s="1338"/>
      <c r="G637" s="1338"/>
      <c r="H637" s="1338"/>
      <c r="I637" s="1334"/>
      <c r="J637" s="1334"/>
      <c r="K637" s="1334"/>
      <c r="L637" s="1334"/>
      <c r="M637" s="1334"/>
      <c r="N637" s="1334"/>
      <c r="O637" s="1334"/>
      <c r="P637" s="1334"/>
      <c r="Q637" s="1334"/>
      <c r="R637" s="1334"/>
      <c r="S637" s="1334"/>
      <c r="T637" s="1334"/>
      <c r="U637" s="1334"/>
      <c r="V637" s="1334"/>
      <c r="W637" s="1334"/>
      <c r="X637" s="1334"/>
      <c r="Y637" s="1334"/>
      <c r="Z637" s="1334"/>
    </row>
    <row r="638" spans="4:26" ht="15.75" customHeight="1" x14ac:dyDescent="0.3">
      <c r="D638" s="1334"/>
      <c r="E638" s="1341"/>
      <c r="F638" s="1338"/>
      <c r="G638" s="1338"/>
      <c r="H638" s="1338"/>
      <c r="I638" s="1334"/>
      <c r="J638" s="1334"/>
      <c r="K638" s="1334"/>
      <c r="L638" s="1334"/>
      <c r="M638" s="1334"/>
      <c r="N638" s="1334"/>
      <c r="O638" s="1334"/>
      <c r="P638" s="1334"/>
      <c r="Q638" s="1334"/>
      <c r="R638" s="1334"/>
      <c r="S638" s="1334"/>
      <c r="T638" s="1334"/>
      <c r="U638" s="1334"/>
      <c r="V638" s="1334"/>
      <c r="W638" s="1334"/>
      <c r="X638" s="1334"/>
      <c r="Y638" s="1334"/>
      <c r="Z638" s="1334"/>
    </row>
    <row r="639" spans="4:26" ht="15.75" customHeight="1" x14ac:dyDescent="0.3">
      <c r="D639" s="1334"/>
      <c r="E639" s="1341"/>
      <c r="F639" s="1338"/>
      <c r="G639" s="1338"/>
      <c r="H639" s="1338"/>
      <c r="I639" s="1334"/>
      <c r="J639" s="1334"/>
      <c r="K639" s="1334"/>
      <c r="L639" s="1334"/>
      <c r="M639" s="1334"/>
      <c r="N639" s="1334"/>
      <c r="O639" s="1334"/>
      <c r="P639" s="1334"/>
      <c r="Q639" s="1334"/>
      <c r="R639" s="1334"/>
      <c r="S639" s="1334"/>
      <c r="T639" s="1334"/>
      <c r="U639" s="1334"/>
      <c r="V639" s="1334"/>
      <c r="W639" s="1334"/>
      <c r="X639" s="1334"/>
      <c r="Y639" s="1334"/>
      <c r="Z639" s="1334"/>
    </row>
    <row r="640" spans="4:26" ht="15.75" customHeight="1" x14ac:dyDescent="0.3">
      <c r="D640" s="1334"/>
      <c r="E640" s="1341"/>
      <c r="F640" s="1338"/>
      <c r="G640" s="1338"/>
      <c r="H640" s="1338"/>
      <c r="I640" s="1334"/>
      <c r="J640" s="1334"/>
      <c r="K640" s="1334"/>
      <c r="L640" s="1334"/>
      <c r="M640" s="1334"/>
      <c r="N640" s="1334"/>
      <c r="O640" s="1334"/>
      <c r="P640" s="1334"/>
      <c r="Q640" s="1334"/>
      <c r="R640" s="1334"/>
      <c r="S640" s="1334"/>
      <c r="T640" s="1334"/>
      <c r="U640" s="1334"/>
      <c r="V640" s="1334"/>
      <c r="W640" s="1334"/>
      <c r="X640" s="1334"/>
      <c r="Y640" s="1334"/>
      <c r="Z640" s="1334"/>
    </row>
    <row r="641" spans="4:26" ht="15.75" customHeight="1" x14ac:dyDescent="0.3">
      <c r="D641" s="1334"/>
      <c r="E641" s="1341"/>
      <c r="F641" s="1338"/>
      <c r="G641" s="1338"/>
      <c r="H641" s="1338"/>
      <c r="I641" s="1334"/>
      <c r="J641" s="1334"/>
      <c r="K641" s="1334"/>
      <c r="L641" s="1334"/>
      <c r="M641" s="1334"/>
      <c r="N641" s="1334"/>
      <c r="O641" s="1334"/>
      <c r="P641" s="1334"/>
      <c r="Q641" s="1334"/>
      <c r="R641" s="1334"/>
      <c r="S641" s="1334"/>
      <c r="T641" s="1334"/>
      <c r="U641" s="1334"/>
      <c r="V641" s="1334"/>
      <c r="W641" s="1334"/>
      <c r="X641" s="1334"/>
      <c r="Y641" s="1334"/>
      <c r="Z641" s="1334"/>
    </row>
    <row r="642" spans="4:26" ht="15.75" customHeight="1" x14ac:dyDescent="0.3">
      <c r="D642" s="1334"/>
      <c r="E642" s="1341"/>
      <c r="F642" s="1338"/>
      <c r="G642" s="1338"/>
      <c r="H642" s="1338"/>
      <c r="I642" s="1334"/>
      <c r="J642" s="1334"/>
      <c r="K642" s="1334"/>
      <c r="L642" s="1334"/>
      <c r="M642" s="1334"/>
      <c r="N642" s="1334"/>
      <c r="O642" s="1334"/>
      <c r="P642" s="1334"/>
      <c r="Q642" s="1334"/>
      <c r="R642" s="1334"/>
      <c r="S642" s="1334"/>
      <c r="T642" s="1334"/>
      <c r="U642" s="1334"/>
      <c r="V642" s="1334"/>
      <c r="W642" s="1334"/>
      <c r="X642" s="1334"/>
      <c r="Y642" s="1334"/>
      <c r="Z642" s="1334"/>
    </row>
    <row r="643" spans="4:26" ht="15.75" customHeight="1" x14ac:dyDescent="0.3">
      <c r="D643" s="1334"/>
      <c r="E643" s="1341"/>
      <c r="F643" s="1338"/>
      <c r="G643" s="1338"/>
      <c r="H643" s="1338"/>
      <c r="I643" s="1334"/>
      <c r="J643" s="1334"/>
      <c r="K643" s="1334"/>
      <c r="L643" s="1334"/>
      <c r="M643" s="1334"/>
      <c r="N643" s="1334"/>
      <c r="O643" s="1334"/>
      <c r="P643" s="1334"/>
      <c r="Q643" s="1334"/>
      <c r="R643" s="1334"/>
      <c r="S643" s="1334"/>
      <c r="T643" s="1334"/>
      <c r="U643" s="1334"/>
      <c r="V643" s="1334"/>
      <c r="W643" s="1334"/>
      <c r="X643" s="1334"/>
      <c r="Y643" s="1334"/>
      <c r="Z643" s="1334"/>
    </row>
    <row r="644" spans="4:26" ht="15.75" customHeight="1" x14ac:dyDescent="0.3">
      <c r="D644" s="1334"/>
      <c r="E644" s="1341"/>
      <c r="F644" s="1338"/>
      <c r="G644" s="1338"/>
      <c r="H644" s="1338"/>
      <c r="I644" s="1334"/>
      <c r="J644" s="1334"/>
      <c r="K644" s="1334"/>
      <c r="L644" s="1334"/>
      <c r="M644" s="1334"/>
      <c r="N644" s="1334"/>
      <c r="O644" s="1334"/>
      <c r="P644" s="1334"/>
      <c r="Q644" s="1334"/>
      <c r="R644" s="1334"/>
      <c r="S644" s="1334"/>
      <c r="T644" s="1334"/>
      <c r="U644" s="1334"/>
      <c r="V644" s="1334"/>
      <c r="W644" s="1334"/>
      <c r="X644" s="1334"/>
      <c r="Y644" s="1334"/>
      <c r="Z644" s="1334"/>
    </row>
    <row r="645" spans="4:26" ht="15.75" customHeight="1" x14ac:dyDescent="0.3">
      <c r="D645" s="1334"/>
      <c r="E645" s="1341"/>
      <c r="F645" s="1338"/>
      <c r="G645" s="1338"/>
      <c r="H645" s="1338"/>
      <c r="I645" s="1334"/>
      <c r="J645" s="1334"/>
      <c r="K645" s="1334"/>
      <c r="L645" s="1334"/>
      <c r="M645" s="1334"/>
      <c r="N645" s="1334"/>
      <c r="O645" s="1334"/>
      <c r="P645" s="1334"/>
      <c r="Q645" s="1334"/>
      <c r="R645" s="1334"/>
      <c r="S645" s="1334"/>
      <c r="T645" s="1334"/>
      <c r="U645" s="1334"/>
      <c r="V645" s="1334"/>
      <c r="W645" s="1334"/>
      <c r="X645" s="1334"/>
      <c r="Y645" s="1334"/>
      <c r="Z645" s="1334"/>
    </row>
    <row r="646" spans="4:26" ht="15.75" customHeight="1" x14ac:dyDescent="0.3">
      <c r="D646" s="1334"/>
      <c r="E646" s="1341"/>
      <c r="F646" s="1338"/>
      <c r="G646" s="1338"/>
      <c r="H646" s="1338"/>
      <c r="I646" s="1334"/>
      <c r="J646" s="1334"/>
      <c r="K646" s="1334"/>
      <c r="L646" s="1334"/>
      <c r="M646" s="1334"/>
      <c r="N646" s="1334"/>
      <c r="O646" s="1334"/>
      <c r="P646" s="1334"/>
      <c r="Q646" s="1334"/>
      <c r="R646" s="1334"/>
      <c r="S646" s="1334"/>
      <c r="T646" s="1334"/>
      <c r="U646" s="1334"/>
      <c r="V646" s="1334"/>
      <c r="W646" s="1334"/>
      <c r="X646" s="1334"/>
      <c r="Y646" s="1334"/>
      <c r="Z646" s="1334"/>
    </row>
    <row r="647" spans="4:26" ht="15.75" customHeight="1" x14ac:dyDescent="0.3">
      <c r="D647" s="1334"/>
      <c r="E647" s="1341"/>
      <c r="F647" s="1338"/>
      <c r="G647" s="1338"/>
      <c r="H647" s="1338"/>
      <c r="I647" s="1334"/>
      <c r="J647" s="1334"/>
      <c r="K647" s="1334"/>
      <c r="L647" s="1334"/>
      <c r="M647" s="1334"/>
      <c r="N647" s="1334"/>
      <c r="O647" s="1334"/>
      <c r="P647" s="1334"/>
      <c r="Q647" s="1334"/>
      <c r="R647" s="1334"/>
      <c r="S647" s="1334"/>
      <c r="T647" s="1334"/>
      <c r="U647" s="1334"/>
      <c r="V647" s="1334"/>
      <c r="W647" s="1334"/>
      <c r="X647" s="1334"/>
      <c r="Y647" s="1334"/>
      <c r="Z647" s="1334"/>
    </row>
    <row r="648" spans="4:26" ht="15.75" customHeight="1" x14ac:dyDescent="0.3">
      <c r="D648" s="1334"/>
      <c r="E648" s="1341"/>
      <c r="F648" s="1338"/>
      <c r="G648" s="1338"/>
      <c r="H648" s="1338"/>
      <c r="I648" s="1334"/>
      <c r="J648" s="1334"/>
      <c r="K648" s="1334"/>
      <c r="L648" s="1334"/>
      <c r="M648" s="1334"/>
      <c r="N648" s="1334"/>
      <c r="O648" s="1334"/>
      <c r="P648" s="1334"/>
      <c r="Q648" s="1334"/>
      <c r="R648" s="1334"/>
      <c r="S648" s="1334"/>
      <c r="T648" s="1334"/>
      <c r="U648" s="1334"/>
      <c r="V648" s="1334"/>
      <c r="W648" s="1334"/>
      <c r="X648" s="1334"/>
      <c r="Y648" s="1334"/>
      <c r="Z648" s="1334"/>
    </row>
    <row r="649" spans="4:26" ht="15.75" customHeight="1" x14ac:dyDescent="0.3">
      <c r="D649" s="1334"/>
      <c r="E649" s="1341"/>
      <c r="F649" s="1338"/>
      <c r="G649" s="1338"/>
      <c r="H649" s="1338"/>
      <c r="I649" s="1334"/>
      <c r="J649" s="1334"/>
      <c r="K649" s="1334"/>
      <c r="L649" s="1334"/>
      <c r="M649" s="1334"/>
      <c r="N649" s="1334"/>
      <c r="O649" s="1334"/>
      <c r="P649" s="1334"/>
      <c r="Q649" s="1334"/>
      <c r="R649" s="1334"/>
      <c r="S649" s="1334"/>
      <c r="T649" s="1334"/>
      <c r="U649" s="1334"/>
      <c r="V649" s="1334"/>
      <c r="W649" s="1334"/>
      <c r="X649" s="1334"/>
      <c r="Y649" s="1334"/>
      <c r="Z649" s="1334"/>
    </row>
    <row r="650" spans="4:26" ht="15.75" customHeight="1" x14ac:dyDescent="0.3">
      <c r="D650" s="1334"/>
      <c r="E650" s="1341"/>
      <c r="F650" s="1338"/>
      <c r="G650" s="1338"/>
      <c r="H650" s="1338"/>
      <c r="I650" s="1334"/>
      <c r="J650" s="1334"/>
      <c r="K650" s="1334"/>
      <c r="L650" s="1334"/>
      <c r="M650" s="1334"/>
      <c r="N650" s="1334"/>
      <c r="O650" s="1334"/>
      <c r="P650" s="1334"/>
      <c r="Q650" s="1334"/>
      <c r="R650" s="1334"/>
      <c r="S650" s="1334"/>
      <c r="T650" s="1334"/>
      <c r="U650" s="1334"/>
      <c r="V650" s="1334"/>
      <c r="W650" s="1334"/>
      <c r="X650" s="1334"/>
      <c r="Y650" s="1334"/>
      <c r="Z650" s="1334"/>
    </row>
    <row r="651" spans="4:26" ht="15.75" customHeight="1" x14ac:dyDescent="0.3">
      <c r="D651" s="1334"/>
      <c r="E651" s="1341"/>
      <c r="F651" s="1338"/>
      <c r="G651" s="1338"/>
      <c r="H651" s="1338"/>
      <c r="I651" s="1334"/>
      <c r="J651" s="1334"/>
      <c r="K651" s="1334"/>
      <c r="L651" s="1334"/>
      <c r="M651" s="1334"/>
      <c r="N651" s="1334"/>
      <c r="O651" s="1334"/>
      <c r="P651" s="1334"/>
      <c r="Q651" s="1334"/>
      <c r="R651" s="1334"/>
      <c r="S651" s="1334"/>
      <c r="T651" s="1334"/>
      <c r="U651" s="1334"/>
      <c r="V651" s="1334"/>
      <c r="W651" s="1334"/>
      <c r="X651" s="1334"/>
      <c r="Y651" s="1334"/>
      <c r="Z651" s="1334"/>
    </row>
    <row r="652" spans="4:26" ht="15.75" customHeight="1" x14ac:dyDescent="0.3">
      <c r="D652" s="1334"/>
      <c r="E652" s="1341"/>
      <c r="F652" s="1338"/>
      <c r="G652" s="1338"/>
      <c r="H652" s="1338"/>
      <c r="I652" s="1334"/>
      <c r="J652" s="1334"/>
      <c r="K652" s="1334"/>
      <c r="L652" s="1334"/>
      <c r="M652" s="1334"/>
      <c r="N652" s="1334"/>
      <c r="O652" s="1334"/>
      <c r="P652" s="1334"/>
      <c r="Q652" s="1334"/>
      <c r="R652" s="1334"/>
      <c r="S652" s="1334"/>
      <c r="T652" s="1334"/>
      <c r="U652" s="1334"/>
      <c r="V652" s="1334"/>
      <c r="W652" s="1334"/>
      <c r="X652" s="1334"/>
      <c r="Y652" s="1334"/>
      <c r="Z652" s="1334"/>
    </row>
    <row r="653" spans="4:26" ht="15.75" customHeight="1" x14ac:dyDescent="0.3">
      <c r="D653" s="1334"/>
      <c r="E653" s="1341"/>
      <c r="F653" s="1338"/>
      <c r="G653" s="1338"/>
      <c r="H653" s="1338"/>
      <c r="I653" s="1334"/>
      <c r="J653" s="1334"/>
      <c r="K653" s="1334"/>
      <c r="L653" s="1334"/>
      <c r="M653" s="1334"/>
      <c r="N653" s="1334"/>
      <c r="O653" s="1334"/>
      <c r="P653" s="1334"/>
      <c r="Q653" s="1334"/>
      <c r="R653" s="1334"/>
      <c r="S653" s="1334"/>
      <c r="T653" s="1334"/>
      <c r="U653" s="1334"/>
      <c r="V653" s="1334"/>
      <c r="W653" s="1334"/>
      <c r="X653" s="1334"/>
      <c r="Y653" s="1334"/>
      <c r="Z653" s="1334"/>
    </row>
    <row r="654" spans="4:26" ht="15.75" customHeight="1" x14ac:dyDescent="0.3">
      <c r="D654" s="1334"/>
      <c r="E654" s="1341"/>
      <c r="F654" s="1338"/>
      <c r="G654" s="1338"/>
      <c r="H654" s="1338"/>
      <c r="I654" s="1334"/>
      <c r="J654" s="1334"/>
      <c r="K654" s="1334"/>
      <c r="L654" s="1334"/>
      <c r="M654" s="1334"/>
      <c r="N654" s="1334"/>
      <c r="O654" s="1334"/>
      <c r="P654" s="1334"/>
      <c r="Q654" s="1334"/>
      <c r="R654" s="1334"/>
      <c r="S654" s="1334"/>
      <c r="T654" s="1334"/>
      <c r="U654" s="1334"/>
      <c r="V654" s="1334"/>
      <c r="W654" s="1334"/>
      <c r="X654" s="1334"/>
      <c r="Y654" s="1334"/>
      <c r="Z654" s="1334"/>
    </row>
    <row r="655" spans="4:26" ht="15.75" customHeight="1" x14ac:dyDescent="0.3">
      <c r="D655" s="1334"/>
      <c r="E655" s="1341"/>
      <c r="F655" s="1338"/>
      <c r="G655" s="1338"/>
      <c r="H655" s="1338"/>
      <c r="I655" s="1334"/>
      <c r="J655" s="1334"/>
      <c r="K655" s="1334"/>
      <c r="L655" s="1334"/>
      <c r="M655" s="1334"/>
      <c r="N655" s="1334"/>
      <c r="O655" s="1334"/>
      <c r="P655" s="1334"/>
      <c r="Q655" s="1334"/>
      <c r="R655" s="1334"/>
      <c r="S655" s="1334"/>
      <c r="T655" s="1334"/>
      <c r="U655" s="1334"/>
      <c r="V655" s="1334"/>
      <c r="W655" s="1334"/>
      <c r="X655" s="1334"/>
      <c r="Y655" s="1334"/>
      <c r="Z655" s="1334"/>
    </row>
    <row r="656" spans="4:26" ht="15.75" customHeight="1" x14ac:dyDescent="0.3">
      <c r="D656" s="1334"/>
      <c r="E656" s="1341"/>
      <c r="F656" s="1338"/>
      <c r="G656" s="1338"/>
      <c r="H656" s="1338"/>
      <c r="I656" s="1334"/>
      <c r="J656" s="1334"/>
      <c r="K656" s="1334"/>
      <c r="L656" s="1334"/>
      <c r="M656" s="1334"/>
      <c r="N656" s="1334"/>
      <c r="O656" s="1334"/>
      <c r="P656" s="1334"/>
      <c r="Q656" s="1334"/>
      <c r="R656" s="1334"/>
      <c r="S656" s="1334"/>
      <c r="T656" s="1334"/>
      <c r="U656" s="1334"/>
      <c r="V656" s="1334"/>
      <c r="W656" s="1334"/>
      <c r="X656" s="1334"/>
      <c r="Y656" s="1334"/>
      <c r="Z656" s="1334"/>
    </row>
    <row r="657" spans="4:26" ht="15.75" customHeight="1" x14ac:dyDescent="0.3">
      <c r="D657" s="1334"/>
      <c r="E657" s="1341"/>
      <c r="F657" s="1338"/>
      <c r="G657" s="1338"/>
      <c r="H657" s="1338"/>
      <c r="I657" s="1334"/>
      <c r="J657" s="1334"/>
      <c r="K657" s="1334"/>
      <c r="L657" s="1334"/>
      <c r="M657" s="1334"/>
      <c r="N657" s="1334"/>
      <c r="O657" s="1334"/>
      <c r="P657" s="1334"/>
      <c r="Q657" s="1334"/>
      <c r="R657" s="1334"/>
      <c r="S657" s="1334"/>
      <c r="T657" s="1334"/>
      <c r="U657" s="1334"/>
      <c r="V657" s="1334"/>
      <c r="W657" s="1334"/>
      <c r="X657" s="1334"/>
      <c r="Y657" s="1334"/>
      <c r="Z657" s="1334"/>
    </row>
    <row r="658" spans="4:26" ht="15.75" customHeight="1" x14ac:dyDescent="0.3">
      <c r="D658" s="1334"/>
      <c r="E658" s="1341"/>
      <c r="F658" s="1338"/>
      <c r="G658" s="1338"/>
      <c r="H658" s="1338"/>
      <c r="I658" s="1334"/>
      <c r="J658" s="1334"/>
      <c r="K658" s="1334"/>
      <c r="L658" s="1334"/>
      <c r="M658" s="1334"/>
      <c r="N658" s="1334"/>
      <c r="O658" s="1334"/>
      <c r="P658" s="1334"/>
      <c r="Q658" s="1334"/>
      <c r="R658" s="1334"/>
      <c r="S658" s="1334"/>
      <c r="T658" s="1334"/>
      <c r="U658" s="1334"/>
      <c r="V658" s="1334"/>
      <c r="W658" s="1334"/>
      <c r="X658" s="1334"/>
      <c r="Y658" s="1334"/>
      <c r="Z658" s="1334"/>
    </row>
    <row r="659" spans="4:26" ht="15.75" customHeight="1" x14ac:dyDescent="0.3">
      <c r="D659" s="1334"/>
      <c r="E659" s="1341"/>
      <c r="F659" s="1338"/>
      <c r="G659" s="1338"/>
      <c r="H659" s="1338"/>
      <c r="I659" s="1334"/>
      <c r="J659" s="1334"/>
      <c r="K659" s="1334"/>
      <c r="L659" s="1334"/>
      <c r="M659" s="1334"/>
      <c r="N659" s="1334"/>
      <c r="O659" s="1334"/>
      <c r="P659" s="1334"/>
      <c r="Q659" s="1334"/>
      <c r="R659" s="1334"/>
      <c r="S659" s="1334"/>
      <c r="T659" s="1334"/>
      <c r="U659" s="1334"/>
      <c r="V659" s="1334"/>
      <c r="W659" s="1334"/>
      <c r="X659" s="1334"/>
      <c r="Y659" s="1334"/>
      <c r="Z659" s="1334"/>
    </row>
    <row r="660" spans="4:26" ht="15.75" customHeight="1" x14ac:dyDescent="0.3">
      <c r="D660" s="1334"/>
      <c r="E660" s="1341"/>
      <c r="F660" s="1338"/>
      <c r="G660" s="1338"/>
      <c r="H660" s="1338"/>
      <c r="I660" s="1334"/>
      <c r="J660" s="1334"/>
      <c r="K660" s="1334"/>
      <c r="L660" s="1334"/>
      <c r="M660" s="1334"/>
      <c r="N660" s="1334"/>
      <c r="O660" s="1334"/>
      <c r="P660" s="1334"/>
      <c r="Q660" s="1334"/>
      <c r="R660" s="1334"/>
      <c r="S660" s="1334"/>
      <c r="T660" s="1334"/>
      <c r="U660" s="1334"/>
      <c r="V660" s="1334"/>
      <c r="W660" s="1334"/>
      <c r="X660" s="1334"/>
      <c r="Y660" s="1334"/>
      <c r="Z660" s="1334"/>
    </row>
    <row r="661" spans="4:26" ht="15.75" customHeight="1" x14ac:dyDescent="0.3">
      <c r="D661" s="1334"/>
      <c r="E661" s="1341"/>
      <c r="F661" s="1338"/>
      <c r="G661" s="1338"/>
      <c r="H661" s="1338"/>
      <c r="I661" s="1334"/>
      <c r="J661" s="1334"/>
      <c r="K661" s="1334"/>
      <c r="L661" s="1334"/>
      <c r="M661" s="1334"/>
      <c r="N661" s="1334"/>
      <c r="O661" s="1334"/>
      <c r="P661" s="1334"/>
      <c r="Q661" s="1334"/>
      <c r="R661" s="1334"/>
      <c r="S661" s="1334"/>
      <c r="T661" s="1334"/>
      <c r="U661" s="1334"/>
      <c r="V661" s="1334"/>
      <c r="W661" s="1334"/>
      <c r="X661" s="1334"/>
      <c r="Y661" s="1334"/>
      <c r="Z661" s="1334"/>
    </row>
    <row r="662" spans="4:26" ht="15.75" customHeight="1" x14ac:dyDescent="0.3">
      <c r="D662" s="1334"/>
      <c r="E662" s="1341"/>
      <c r="F662" s="1338"/>
      <c r="G662" s="1338"/>
      <c r="H662" s="1338"/>
      <c r="I662" s="1334"/>
      <c r="J662" s="1334"/>
      <c r="K662" s="1334"/>
      <c r="L662" s="1334"/>
      <c r="M662" s="1334"/>
      <c r="N662" s="1334"/>
      <c r="O662" s="1334"/>
      <c r="P662" s="1334"/>
      <c r="Q662" s="1334"/>
      <c r="R662" s="1334"/>
      <c r="S662" s="1334"/>
      <c r="T662" s="1334"/>
      <c r="U662" s="1334"/>
      <c r="V662" s="1334"/>
      <c r="W662" s="1334"/>
      <c r="X662" s="1334"/>
      <c r="Y662" s="1334"/>
      <c r="Z662" s="1334"/>
    </row>
    <row r="663" spans="4:26" ht="15.75" customHeight="1" x14ac:dyDescent="0.3">
      <c r="D663" s="1334"/>
      <c r="E663" s="1341"/>
      <c r="F663" s="1338"/>
      <c r="G663" s="1338"/>
      <c r="H663" s="1338"/>
      <c r="I663" s="1334"/>
      <c r="J663" s="1334"/>
      <c r="K663" s="1334"/>
      <c r="L663" s="1334"/>
      <c r="M663" s="1334"/>
      <c r="N663" s="1334"/>
      <c r="O663" s="1334"/>
      <c r="P663" s="1334"/>
      <c r="Q663" s="1334"/>
      <c r="R663" s="1334"/>
      <c r="S663" s="1334"/>
      <c r="T663" s="1334"/>
      <c r="U663" s="1334"/>
      <c r="V663" s="1334"/>
      <c r="W663" s="1334"/>
      <c r="X663" s="1334"/>
      <c r="Y663" s="1334"/>
      <c r="Z663" s="1334"/>
    </row>
    <row r="664" spans="4:26" ht="15.75" customHeight="1" x14ac:dyDescent="0.3">
      <c r="D664" s="1334"/>
      <c r="E664" s="1341"/>
      <c r="F664" s="1338"/>
      <c r="G664" s="1338"/>
      <c r="H664" s="1338"/>
      <c r="I664" s="1334"/>
      <c r="J664" s="1334"/>
      <c r="K664" s="1334"/>
      <c r="L664" s="1334"/>
      <c r="M664" s="1334"/>
      <c r="N664" s="1334"/>
      <c r="O664" s="1334"/>
      <c r="P664" s="1334"/>
      <c r="Q664" s="1334"/>
      <c r="R664" s="1334"/>
      <c r="S664" s="1334"/>
      <c r="T664" s="1334"/>
      <c r="U664" s="1334"/>
      <c r="V664" s="1334"/>
      <c r="W664" s="1334"/>
      <c r="X664" s="1334"/>
      <c r="Y664" s="1334"/>
      <c r="Z664" s="1334"/>
    </row>
    <row r="665" spans="4:26" ht="15.75" customHeight="1" x14ac:dyDescent="0.3">
      <c r="D665" s="1334"/>
      <c r="E665" s="1341"/>
      <c r="F665" s="1338"/>
      <c r="G665" s="1338"/>
      <c r="H665" s="1338"/>
      <c r="I665" s="1334"/>
      <c r="J665" s="1334"/>
      <c r="K665" s="1334"/>
      <c r="L665" s="1334"/>
      <c r="M665" s="1334"/>
      <c r="N665" s="1334"/>
      <c r="O665" s="1334"/>
      <c r="P665" s="1334"/>
      <c r="Q665" s="1334"/>
      <c r="R665" s="1334"/>
      <c r="S665" s="1334"/>
      <c r="T665" s="1334"/>
      <c r="U665" s="1334"/>
      <c r="V665" s="1334"/>
      <c r="W665" s="1334"/>
      <c r="X665" s="1334"/>
      <c r="Y665" s="1334"/>
      <c r="Z665" s="1334"/>
    </row>
    <row r="666" spans="4:26" ht="15.75" customHeight="1" x14ac:dyDescent="0.3">
      <c r="D666" s="1334"/>
      <c r="E666" s="1341"/>
      <c r="F666" s="1338"/>
      <c r="G666" s="1338"/>
      <c r="H666" s="1338"/>
      <c r="I666" s="1334"/>
      <c r="J666" s="1334"/>
      <c r="K666" s="1334"/>
      <c r="L666" s="1334"/>
      <c r="M666" s="1334"/>
      <c r="N666" s="1334"/>
      <c r="O666" s="1334"/>
      <c r="P666" s="1334"/>
      <c r="Q666" s="1334"/>
      <c r="R666" s="1334"/>
      <c r="S666" s="1334"/>
      <c r="T666" s="1334"/>
      <c r="U666" s="1334"/>
      <c r="V666" s="1334"/>
      <c r="W666" s="1334"/>
      <c r="X666" s="1334"/>
      <c r="Y666" s="1334"/>
      <c r="Z666" s="1334"/>
    </row>
    <row r="667" spans="4:26" ht="15.75" customHeight="1" x14ac:dyDescent="0.3">
      <c r="D667" s="1334"/>
      <c r="E667" s="1341"/>
      <c r="F667" s="1338"/>
      <c r="G667" s="1338"/>
      <c r="H667" s="1338"/>
      <c r="I667" s="1334"/>
      <c r="J667" s="1334"/>
      <c r="K667" s="1334"/>
      <c r="L667" s="1334"/>
      <c r="M667" s="1334"/>
      <c r="N667" s="1334"/>
      <c r="O667" s="1334"/>
      <c r="P667" s="1334"/>
      <c r="Q667" s="1334"/>
      <c r="R667" s="1334"/>
      <c r="S667" s="1334"/>
      <c r="T667" s="1334"/>
      <c r="U667" s="1334"/>
      <c r="V667" s="1334"/>
      <c r="W667" s="1334"/>
      <c r="X667" s="1334"/>
      <c r="Y667" s="1334"/>
      <c r="Z667" s="1334"/>
    </row>
    <row r="668" spans="4:26" ht="15.75" customHeight="1" x14ac:dyDescent="0.3">
      <c r="D668" s="1334"/>
      <c r="E668" s="1341"/>
      <c r="F668" s="1338"/>
      <c r="G668" s="1338"/>
      <c r="H668" s="1338"/>
      <c r="I668" s="1334"/>
      <c r="J668" s="1334"/>
      <c r="K668" s="1334"/>
      <c r="L668" s="1334"/>
      <c r="M668" s="1334"/>
      <c r="N668" s="1334"/>
      <c r="O668" s="1334"/>
      <c r="P668" s="1334"/>
      <c r="Q668" s="1334"/>
      <c r="R668" s="1334"/>
      <c r="S668" s="1334"/>
      <c r="T668" s="1334"/>
      <c r="U668" s="1334"/>
      <c r="V668" s="1334"/>
      <c r="W668" s="1334"/>
      <c r="X668" s="1334"/>
      <c r="Y668" s="1334"/>
      <c r="Z668" s="1334"/>
    </row>
    <row r="669" spans="4:26" ht="15.75" customHeight="1" x14ac:dyDescent="0.3">
      <c r="D669" s="1334"/>
      <c r="E669" s="1341"/>
      <c r="F669" s="1338"/>
      <c r="G669" s="1338"/>
      <c r="H669" s="1338"/>
      <c r="I669" s="1334"/>
      <c r="J669" s="1334"/>
      <c r="K669" s="1334"/>
      <c r="L669" s="1334"/>
      <c r="M669" s="1334"/>
      <c r="N669" s="1334"/>
      <c r="O669" s="1334"/>
      <c r="P669" s="1334"/>
      <c r="Q669" s="1334"/>
      <c r="R669" s="1334"/>
      <c r="S669" s="1334"/>
      <c r="T669" s="1334"/>
      <c r="U669" s="1334"/>
      <c r="V669" s="1334"/>
      <c r="W669" s="1334"/>
      <c r="X669" s="1334"/>
      <c r="Y669" s="1334"/>
      <c r="Z669" s="1334"/>
    </row>
    <row r="670" spans="4:26" ht="15.75" customHeight="1" x14ac:dyDescent="0.3">
      <c r="D670" s="1334"/>
      <c r="E670" s="1341"/>
      <c r="F670" s="1338"/>
      <c r="G670" s="1338"/>
      <c r="H670" s="1338"/>
      <c r="I670" s="1334"/>
      <c r="J670" s="1334"/>
      <c r="K670" s="1334"/>
      <c r="L670" s="1334"/>
      <c r="M670" s="1334"/>
      <c r="N670" s="1334"/>
      <c r="O670" s="1334"/>
      <c r="P670" s="1334"/>
      <c r="Q670" s="1334"/>
      <c r="R670" s="1334"/>
      <c r="S670" s="1334"/>
      <c r="T670" s="1334"/>
      <c r="U670" s="1334"/>
      <c r="V670" s="1334"/>
      <c r="W670" s="1334"/>
      <c r="X670" s="1334"/>
      <c r="Y670" s="1334"/>
      <c r="Z670" s="1334"/>
    </row>
    <row r="671" spans="4:26" ht="15.75" customHeight="1" x14ac:dyDescent="0.3">
      <c r="D671" s="1334"/>
      <c r="E671" s="1341"/>
      <c r="F671" s="1338"/>
      <c r="G671" s="1338"/>
      <c r="H671" s="1338"/>
      <c r="I671" s="1334"/>
      <c r="J671" s="1334"/>
      <c r="K671" s="1334"/>
      <c r="L671" s="1334"/>
      <c r="M671" s="1334"/>
      <c r="N671" s="1334"/>
      <c r="O671" s="1334"/>
      <c r="P671" s="1334"/>
      <c r="Q671" s="1334"/>
      <c r="R671" s="1334"/>
      <c r="S671" s="1334"/>
      <c r="T671" s="1334"/>
      <c r="U671" s="1334"/>
      <c r="V671" s="1334"/>
      <c r="W671" s="1334"/>
      <c r="X671" s="1334"/>
      <c r="Y671" s="1334"/>
      <c r="Z671" s="1334"/>
    </row>
    <row r="672" spans="4:26" ht="15.75" customHeight="1" x14ac:dyDescent="0.3">
      <c r="D672" s="1334"/>
      <c r="E672" s="1341"/>
      <c r="F672" s="1338"/>
      <c r="G672" s="1338"/>
      <c r="H672" s="1338"/>
      <c r="I672" s="1334"/>
      <c r="J672" s="1334"/>
      <c r="K672" s="1334"/>
      <c r="L672" s="1334"/>
      <c r="M672" s="1334"/>
      <c r="N672" s="1334"/>
      <c r="O672" s="1334"/>
      <c r="P672" s="1334"/>
      <c r="Q672" s="1334"/>
      <c r="R672" s="1334"/>
      <c r="S672" s="1334"/>
      <c r="T672" s="1334"/>
      <c r="U672" s="1334"/>
      <c r="V672" s="1334"/>
      <c r="W672" s="1334"/>
      <c r="X672" s="1334"/>
      <c r="Y672" s="1334"/>
      <c r="Z672" s="1334"/>
    </row>
    <row r="673" spans="4:26" ht="15.75" customHeight="1" x14ac:dyDescent="0.3">
      <c r="D673" s="1334"/>
      <c r="E673" s="1341"/>
      <c r="F673" s="1338"/>
      <c r="G673" s="1338"/>
      <c r="H673" s="1338"/>
      <c r="I673" s="1334"/>
      <c r="J673" s="1334"/>
      <c r="K673" s="1334"/>
      <c r="L673" s="1334"/>
      <c r="M673" s="1334"/>
      <c r="N673" s="1334"/>
      <c r="O673" s="1334"/>
      <c r="P673" s="1334"/>
      <c r="Q673" s="1334"/>
      <c r="R673" s="1334"/>
      <c r="S673" s="1334"/>
      <c r="T673" s="1334"/>
      <c r="U673" s="1334"/>
      <c r="V673" s="1334"/>
      <c r="W673" s="1334"/>
      <c r="X673" s="1334"/>
      <c r="Y673" s="1334"/>
      <c r="Z673" s="1334"/>
    </row>
    <row r="674" spans="4:26" ht="15.75" customHeight="1" x14ac:dyDescent="0.3">
      <c r="D674" s="1334"/>
      <c r="E674" s="1341"/>
      <c r="F674" s="1338"/>
      <c r="G674" s="1338"/>
      <c r="H674" s="1338"/>
      <c r="I674" s="1334"/>
      <c r="J674" s="1334"/>
      <c r="K674" s="1334"/>
      <c r="L674" s="1334"/>
      <c r="M674" s="1334"/>
      <c r="N674" s="1334"/>
      <c r="O674" s="1334"/>
      <c r="P674" s="1334"/>
      <c r="Q674" s="1334"/>
      <c r="R674" s="1334"/>
      <c r="S674" s="1334"/>
      <c r="T674" s="1334"/>
      <c r="U674" s="1334"/>
      <c r="V674" s="1334"/>
      <c r="W674" s="1334"/>
      <c r="X674" s="1334"/>
      <c r="Y674" s="1334"/>
      <c r="Z674" s="1334"/>
    </row>
    <row r="675" spans="4:26" ht="15.75" customHeight="1" x14ac:dyDescent="0.3">
      <c r="D675" s="1334"/>
      <c r="E675" s="1341"/>
      <c r="F675" s="1338"/>
      <c r="G675" s="1338"/>
      <c r="H675" s="1338"/>
      <c r="I675" s="1334"/>
      <c r="J675" s="1334"/>
      <c r="K675" s="1334"/>
      <c r="L675" s="1334"/>
      <c r="M675" s="1334"/>
      <c r="N675" s="1334"/>
      <c r="O675" s="1334"/>
      <c r="P675" s="1334"/>
      <c r="Q675" s="1334"/>
      <c r="R675" s="1334"/>
      <c r="S675" s="1334"/>
      <c r="T675" s="1334"/>
      <c r="U675" s="1334"/>
      <c r="V675" s="1334"/>
      <c r="W675" s="1334"/>
      <c r="X675" s="1334"/>
      <c r="Y675" s="1334"/>
      <c r="Z675" s="1334"/>
    </row>
    <row r="676" spans="4:26" ht="15.75" customHeight="1" x14ac:dyDescent="0.3">
      <c r="D676" s="1334"/>
      <c r="E676" s="1341"/>
      <c r="F676" s="1338"/>
      <c r="G676" s="1338"/>
      <c r="H676" s="1338"/>
      <c r="I676" s="1334"/>
      <c r="J676" s="1334"/>
      <c r="K676" s="1334"/>
      <c r="L676" s="1334"/>
      <c r="M676" s="1334"/>
      <c r="N676" s="1334"/>
      <c r="O676" s="1334"/>
      <c r="P676" s="1334"/>
      <c r="Q676" s="1334"/>
      <c r="R676" s="1334"/>
      <c r="S676" s="1334"/>
      <c r="T676" s="1334"/>
      <c r="U676" s="1334"/>
      <c r="V676" s="1334"/>
      <c r="W676" s="1334"/>
      <c r="X676" s="1334"/>
      <c r="Y676" s="1334"/>
      <c r="Z676" s="1334"/>
    </row>
    <row r="677" spans="4:26" ht="15.75" customHeight="1" x14ac:dyDescent="0.3">
      <c r="D677" s="1334"/>
      <c r="E677" s="1341"/>
      <c r="F677" s="1338"/>
      <c r="G677" s="1338"/>
      <c r="H677" s="1338"/>
      <c r="I677" s="1334"/>
      <c r="J677" s="1334"/>
      <c r="K677" s="1334"/>
      <c r="L677" s="1334"/>
      <c r="M677" s="1334"/>
      <c r="N677" s="1334"/>
      <c r="O677" s="1334"/>
      <c r="P677" s="1334"/>
      <c r="Q677" s="1334"/>
      <c r="R677" s="1334"/>
      <c r="S677" s="1334"/>
      <c r="T677" s="1334"/>
      <c r="U677" s="1334"/>
      <c r="V677" s="1334"/>
      <c r="W677" s="1334"/>
      <c r="X677" s="1334"/>
      <c r="Y677" s="1334"/>
      <c r="Z677" s="1334"/>
    </row>
    <row r="678" spans="4:26" ht="15.75" customHeight="1" x14ac:dyDescent="0.3">
      <c r="D678" s="1334"/>
      <c r="E678" s="1341"/>
      <c r="F678" s="1338"/>
      <c r="G678" s="1338"/>
      <c r="H678" s="1338"/>
      <c r="I678" s="1334"/>
      <c r="J678" s="1334"/>
      <c r="K678" s="1334"/>
      <c r="L678" s="1334"/>
      <c r="M678" s="1334"/>
      <c r="N678" s="1334"/>
      <c r="O678" s="1334"/>
      <c r="P678" s="1334"/>
      <c r="Q678" s="1334"/>
      <c r="R678" s="1334"/>
      <c r="S678" s="1334"/>
      <c r="T678" s="1334"/>
      <c r="U678" s="1334"/>
      <c r="V678" s="1334"/>
      <c r="W678" s="1334"/>
      <c r="X678" s="1334"/>
      <c r="Y678" s="1334"/>
      <c r="Z678" s="1334"/>
    </row>
    <row r="679" spans="4:26" ht="15.75" customHeight="1" x14ac:dyDescent="0.3">
      <c r="D679" s="1334"/>
      <c r="E679" s="1341"/>
      <c r="F679" s="1338"/>
      <c r="G679" s="1338"/>
      <c r="H679" s="1338"/>
      <c r="I679" s="1334"/>
      <c r="J679" s="1334"/>
      <c r="K679" s="1334"/>
      <c r="L679" s="1334"/>
      <c r="M679" s="1334"/>
      <c r="N679" s="1334"/>
      <c r="O679" s="1334"/>
      <c r="P679" s="1334"/>
      <c r="Q679" s="1334"/>
      <c r="R679" s="1334"/>
      <c r="S679" s="1334"/>
      <c r="T679" s="1334"/>
      <c r="U679" s="1334"/>
      <c r="V679" s="1334"/>
      <c r="W679" s="1334"/>
      <c r="X679" s="1334"/>
      <c r="Y679" s="1334"/>
      <c r="Z679" s="1334"/>
    </row>
    <row r="680" spans="4:26" ht="15.75" customHeight="1" x14ac:dyDescent="0.3">
      <c r="D680" s="1334"/>
      <c r="E680" s="1341"/>
      <c r="F680" s="1338"/>
      <c r="G680" s="1338"/>
      <c r="H680" s="1338"/>
      <c r="I680" s="1334"/>
      <c r="J680" s="1334"/>
      <c r="K680" s="1334"/>
      <c r="L680" s="1334"/>
      <c r="M680" s="1334"/>
      <c r="N680" s="1334"/>
      <c r="O680" s="1334"/>
      <c r="P680" s="1334"/>
      <c r="Q680" s="1334"/>
      <c r="R680" s="1334"/>
      <c r="S680" s="1334"/>
      <c r="T680" s="1334"/>
      <c r="U680" s="1334"/>
      <c r="V680" s="1334"/>
      <c r="W680" s="1334"/>
      <c r="X680" s="1334"/>
      <c r="Y680" s="1334"/>
      <c r="Z680" s="1334"/>
    </row>
    <row r="681" spans="4:26" ht="15.75" customHeight="1" x14ac:dyDescent="0.3">
      <c r="D681" s="1334"/>
      <c r="E681" s="1341"/>
      <c r="F681" s="1338"/>
      <c r="G681" s="1338"/>
      <c r="H681" s="1338"/>
      <c r="I681" s="1334"/>
      <c r="J681" s="1334"/>
      <c r="K681" s="1334"/>
      <c r="L681" s="1334"/>
      <c r="M681" s="1334"/>
      <c r="N681" s="1334"/>
      <c r="O681" s="1334"/>
      <c r="P681" s="1334"/>
      <c r="Q681" s="1334"/>
      <c r="R681" s="1334"/>
      <c r="S681" s="1334"/>
      <c r="T681" s="1334"/>
      <c r="U681" s="1334"/>
      <c r="V681" s="1334"/>
      <c r="W681" s="1334"/>
      <c r="X681" s="1334"/>
      <c r="Y681" s="1334"/>
      <c r="Z681" s="1334"/>
    </row>
    <row r="682" spans="4:26" ht="15.75" customHeight="1" x14ac:dyDescent="0.3">
      <c r="D682" s="1334"/>
      <c r="E682" s="1341"/>
      <c r="F682" s="1338"/>
      <c r="G682" s="1338"/>
      <c r="H682" s="1338"/>
      <c r="I682" s="1334"/>
      <c r="J682" s="1334"/>
      <c r="K682" s="1334"/>
      <c r="L682" s="1334"/>
      <c r="M682" s="1334"/>
      <c r="N682" s="1334"/>
      <c r="O682" s="1334"/>
      <c r="P682" s="1334"/>
      <c r="Q682" s="1334"/>
      <c r="R682" s="1334"/>
      <c r="S682" s="1334"/>
      <c r="T682" s="1334"/>
      <c r="U682" s="1334"/>
      <c r="V682" s="1334"/>
      <c r="W682" s="1334"/>
      <c r="X682" s="1334"/>
      <c r="Y682" s="1334"/>
      <c r="Z682" s="1334"/>
    </row>
    <row r="683" spans="4:26" ht="15.75" customHeight="1" x14ac:dyDescent="0.3">
      <c r="D683" s="1334"/>
      <c r="E683" s="1341"/>
      <c r="F683" s="1338"/>
      <c r="G683" s="1338"/>
      <c r="H683" s="1338"/>
      <c r="I683" s="1334"/>
      <c r="J683" s="1334"/>
      <c r="K683" s="1334"/>
      <c r="L683" s="1334"/>
      <c r="M683" s="1334"/>
      <c r="N683" s="1334"/>
      <c r="O683" s="1334"/>
      <c r="P683" s="1334"/>
      <c r="Q683" s="1334"/>
      <c r="R683" s="1334"/>
      <c r="S683" s="1334"/>
      <c r="T683" s="1334"/>
      <c r="U683" s="1334"/>
      <c r="V683" s="1334"/>
      <c r="W683" s="1334"/>
      <c r="X683" s="1334"/>
      <c r="Y683" s="1334"/>
      <c r="Z683" s="1334"/>
    </row>
    <row r="684" spans="4:26" ht="15.75" customHeight="1" x14ac:dyDescent="0.3">
      <c r="D684" s="1334"/>
      <c r="E684" s="1341"/>
      <c r="F684" s="1338"/>
      <c r="G684" s="1338"/>
      <c r="H684" s="1338"/>
      <c r="I684" s="1334"/>
      <c r="J684" s="1334"/>
      <c r="K684" s="1334"/>
      <c r="L684" s="1334"/>
      <c r="M684" s="1334"/>
      <c r="N684" s="1334"/>
      <c r="O684" s="1334"/>
      <c r="P684" s="1334"/>
      <c r="Q684" s="1334"/>
      <c r="R684" s="1334"/>
      <c r="S684" s="1334"/>
      <c r="T684" s="1334"/>
      <c r="U684" s="1334"/>
      <c r="V684" s="1334"/>
      <c r="W684" s="1334"/>
      <c r="X684" s="1334"/>
      <c r="Y684" s="1334"/>
      <c r="Z684" s="1334"/>
    </row>
    <row r="685" spans="4:26" ht="15.75" customHeight="1" x14ac:dyDescent="0.3">
      <c r="D685" s="1334"/>
      <c r="E685" s="1341"/>
      <c r="F685" s="1338"/>
      <c r="G685" s="1338"/>
      <c r="H685" s="1338"/>
      <c r="I685" s="1334"/>
      <c r="J685" s="1334"/>
      <c r="K685" s="1334"/>
      <c r="L685" s="1334"/>
      <c r="M685" s="1334"/>
      <c r="N685" s="1334"/>
      <c r="O685" s="1334"/>
      <c r="P685" s="1334"/>
      <c r="Q685" s="1334"/>
      <c r="R685" s="1334"/>
      <c r="S685" s="1334"/>
      <c r="T685" s="1334"/>
      <c r="U685" s="1334"/>
      <c r="V685" s="1334"/>
      <c r="W685" s="1334"/>
      <c r="X685" s="1334"/>
      <c r="Y685" s="1334"/>
      <c r="Z685" s="1334"/>
    </row>
    <row r="686" spans="4:26" ht="15.75" customHeight="1" x14ac:dyDescent="0.3">
      <c r="D686" s="1334"/>
      <c r="E686" s="1341"/>
      <c r="F686" s="1338"/>
      <c r="G686" s="1338"/>
      <c r="H686" s="1338"/>
      <c r="I686" s="1334"/>
      <c r="J686" s="1334"/>
      <c r="K686" s="1334"/>
      <c r="L686" s="1334"/>
      <c r="M686" s="1334"/>
      <c r="N686" s="1334"/>
      <c r="O686" s="1334"/>
      <c r="P686" s="1334"/>
      <c r="Q686" s="1334"/>
      <c r="R686" s="1334"/>
      <c r="S686" s="1334"/>
      <c r="T686" s="1334"/>
      <c r="U686" s="1334"/>
      <c r="V686" s="1334"/>
      <c r="W686" s="1334"/>
      <c r="X686" s="1334"/>
      <c r="Y686" s="1334"/>
      <c r="Z686" s="1334"/>
    </row>
    <row r="687" spans="4:26" ht="15.75" customHeight="1" x14ac:dyDescent="0.3">
      <c r="D687" s="1334"/>
      <c r="E687" s="1341"/>
      <c r="F687" s="1338"/>
      <c r="G687" s="1338"/>
      <c r="H687" s="1338"/>
      <c r="I687" s="1334"/>
      <c r="J687" s="1334"/>
      <c r="K687" s="1334"/>
      <c r="L687" s="1334"/>
      <c r="M687" s="1334"/>
      <c r="N687" s="1334"/>
      <c r="O687" s="1334"/>
      <c r="P687" s="1334"/>
      <c r="Q687" s="1334"/>
      <c r="R687" s="1334"/>
      <c r="S687" s="1334"/>
      <c r="T687" s="1334"/>
      <c r="U687" s="1334"/>
      <c r="V687" s="1334"/>
      <c r="W687" s="1334"/>
      <c r="X687" s="1334"/>
      <c r="Y687" s="1334"/>
      <c r="Z687" s="1334"/>
    </row>
    <row r="688" spans="4:26" ht="15.75" customHeight="1" x14ac:dyDescent="0.3">
      <c r="D688" s="1334"/>
      <c r="E688" s="1341"/>
      <c r="F688" s="1338"/>
      <c r="G688" s="1338"/>
      <c r="H688" s="1338"/>
      <c r="I688" s="1334"/>
      <c r="J688" s="1334"/>
      <c r="K688" s="1334"/>
      <c r="L688" s="1334"/>
      <c r="M688" s="1334"/>
      <c r="N688" s="1334"/>
      <c r="O688" s="1334"/>
      <c r="P688" s="1334"/>
      <c r="Q688" s="1334"/>
      <c r="R688" s="1334"/>
      <c r="S688" s="1334"/>
      <c r="T688" s="1334"/>
      <c r="U688" s="1334"/>
      <c r="V688" s="1334"/>
      <c r="W688" s="1334"/>
      <c r="X688" s="1334"/>
      <c r="Y688" s="1334"/>
      <c r="Z688" s="1334"/>
    </row>
    <row r="689" spans="4:26" ht="15.75" customHeight="1" x14ac:dyDescent="0.3">
      <c r="D689" s="1334"/>
      <c r="E689" s="1341"/>
      <c r="F689" s="1338"/>
      <c r="G689" s="1338"/>
      <c r="H689" s="1338"/>
      <c r="I689" s="1334"/>
      <c r="J689" s="1334"/>
      <c r="K689" s="1334"/>
      <c r="L689" s="1334"/>
      <c r="M689" s="1334"/>
      <c r="N689" s="1334"/>
      <c r="O689" s="1334"/>
      <c r="P689" s="1334"/>
      <c r="Q689" s="1334"/>
      <c r="R689" s="1334"/>
      <c r="S689" s="1334"/>
      <c r="T689" s="1334"/>
      <c r="U689" s="1334"/>
      <c r="V689" s="1334"/>
      <c r="W689" s="1334"/>
      <c r="X689" s="1334"/>
      <c r="Y689" s="1334"/>
      <c r="Z689" s="1334"/>
    </row>
    <row r="690" spans="4:26" ht="15.75" customHeight="1" x14ac:dyDescent="0.3">
      <c r="D690" s="1334"/>
      <c r="E690" s="1341"/>
      <c r="F690" s="1338"/>
      <c r="G690" s="1338"/>
      <c r="H690" s="1338"/>
      <c r="I690" s="1334"/>
      <c r="J690" s="1334"/>
      <c r="K690" s="1334"/>
      <c r="L690" s="1334"/>
      <c r="M690" s="1334"/>
      <c r="N690" s="1334"/>
      <c r="O690" s="1334"/>
      <c r="P690" s="1334"/>
      <c r="Q690" s="1334"/>
      <c r="R690" s="1334"/>
      <c r="S690" s="1334"/>
      <c r="T690" s="1334"/>
      <c r="U690" s="1334"/>
      <c r="V690" s="1334"/>
      <c r="W690" s="1334"/>
      <c r="X690" s="1334"/>
      <c r="Y690" s="1334"/>
      <c r="Z690" s="1334"/>
    </row>
    <row r="691" spans="4:26" ht="15.75" customHeight="1" x14ac:dyDescent="0.3">
      <c r="D691" s="1334"/>
      <c r="E691" s="1341"/>
      <c r="F691" s="1338"/>
      <c r="G691" s="1338"/>
      <c r="H691" s="1338"/>
      <c r="I691" s="1334"/>
      <c r="J691" s="1334"/>
      <c r="K691" s="1334"/>
      <c r="L691" s="1334"/>
      <c r="M691" s="1334"/>
      <c r="N691" s="1334"/>
      <c r="O691" s="1334"/>
      <c r="P691" s="1334"/>
      <c r="Q691" s="1334"/>
      <c r="R691" s="1334"/>
      <c r="S691" s="1334"/>
      <c r="T691" s="1334"/>
      <c r="U691" s="1334"/>
      <c r="V691" s="1334"/>
      <c r="W691" s="1334"/>
      <c r="X691" s="1334"/>
      <c r="Y691" s="1334"/>
      <c r="Z691" s="1334"/>
    </row>
    <row r="692" spans="4:26" ht="15.75" customHeight="1" x14ac:dyDescent="0.3">
      <c r="D692" s="1334"/>
      <c r="E692" s="1341"/>
      <c r="F692" s="1338"/>
      <c r="G692" s="1338"/>
      <c r="H692" s="1338"/>
      <c r="I692" s="1334"/>
      <c r="J692" s="1334"/>
      <c r="K692" s="1334"/>
      <c r="L692" s="1334"/>
      <c r="M692" s="1334"/>
      <c r="N692" s="1334"/>
      <c r="O692" s="1334"/>
      <c r="P692" s="1334"/>
      <c r="Q692" s="1334"/>
      <c r="R692" s="1334"/>
      <c r="S692" s="1334"/>
      <c r="T692" s="1334"/>
      <c r="U692" s="1334"/>
      <c r="V692" s="1334"/>
      <c r="W692" s="1334"/>
      <c r="X692" s="1334"/>
      <c r="Y692" s="1334"/>
      <c r="Z692" s="1334"/>
    </row>
    <row r="693" spans="4:26" ht="15.75" customHeight="1" x14ac:dyDescent="0.3">
      <c r="D693" s="1334"/>
      <c r="E693" s="1341"/>
      <c r="F693" s="1338"/>
      <c r="G693" s="1338"/>
      <c r="H693" s="1338"/>
      <c r="I693" s="1334"/>
      <c r="J693" s="1334"/>
      <c r="K693" s="1334"/>
      <c r="L693" s="1334"/>
      <c r="M693" s="1334"/>
      <c r="N693" s="1334"/>
      <c r="O693" s="1334"/>
      <c r="P693" s="1334"/>
      <c r="Q693" s="1334"/>
      <c r="R693" s="1334"/>
      <c r="S693" s="1334"/>
      <c r="T693" s="1334"/>
      <c r="U693" s="1334"/>
      <c r="V693" s="1334"/>
      <c r="W693" s="1334"/>
      <c r="X693" s="1334"/>
      <c r="Y693" s="1334"/>
      <c r="Z693" s="1334"/>
    </row>
    <row r="694" spans="4:26" ht="15.75" customHeight="1" x14ac:dyDescent="0.3">
      <c r="D694" s="1334"/>
      <c r="E694" s="1341"/>
      <c r="F694" s="1338"/>
      <c r="G694" s="1338"/>
      <c r="H694" s="1338"/>
      <c r="I694" s="1334"/>
      <c r="J694" s="1334"/>
      <c r="K694" s="1334"/>
      <c r="L694" s="1334"/>
      <c r="M694" s="1334"/>
      <c r="N694" s="1334"/>
      <c r="O694" s="1334"/>
      <c r="P694" s="1334"/>
      <c r="Q694" s="1334"/>
      <c r="R694" s="1334"/>
      <c r="S694" s="1334"/>
      <c r="T694" s="1334"/>
      <c r="U694" s="1334"/>
      <c r="V694" s="1334"/>
      <c r="W694" s="1334"/>
      <c r="X694" s="1334"/>
      <c r="Y694" s="1334"/>
      <c r="Z694" s="1334"/>
    </row>
    <row r="695" spans="4:26" ht="15.75" customHeight="1" x14ac:dyDescent="0.3">
      <c r="D695" s="1334"/>
      <c r="E695" s="1341"/>
      <c r="F695" s="1338"/>
      <c r="G695" s="1338"/>
      <c r="H695" s="1338"/>
      <c r="I695" s="1334"/>
      <c r="J695" s="1334"/>
      <c r="K695" s="1334"/>
      <c r="L695" s="1334"/>
      <c r="M695" s="1334"/>
      <c r="N695" s="1334"/>
      <c r="O695" s="1334"/>
      <c r="P695" s="1334"/>
      <c r="Q695" s="1334"/>
      <c r="R695" s="1334"/>
      <c r="S695" s="1334"/>
      <c r="T695" s="1334"/>
      <c r="U695" s="1334"/>
      <c r="V695" s="1334"/>
      <c r="W695" s="1334"/>
      <c r="X695" s="1334"/>
      <c r="Y695" s="1334"/>
      <c r="Z695" s="1334"/>
    </row>
    <row r="696" spans="4:26" ht="15.75" customHeight="1" x14ac:dyDescent="0.3">
      <c r="D696" s="1334"/>
      <c r="E696" s="1341"/>
      <c r="F696" s="1338"/>
      <c r="G696" s="1338"/>
      <c r="H696" s="1338"/>
      <c r="I696" s="1334"/>
      <c r="J696" s="1334"/>
      <c r="K696" s="1334"/>
      <c r="L696" s="1334"/>
      <c r="M696" s="1334"/>
      <c r="N696" s="1334"/>
      <c r="O696" s="1334"/>
      <c r="P696" s="1334"/>
      <c r="Q696" s="1334"/>
      <c r="R696" s="1334"/>
      <c r="S696" s="1334"/>
      <c r="T696" s="1334"/>
      <c r="U696" s="1334"/>
      <c r="V696" s="1334"/>
      <c r="W696" s="1334"/>
      <c r="X696" s="1334"/>
      <c r="Y696" s="1334"/>
      <c r="Z696" s="1334"/>
    </row>
    <row r="697" spans="4:26" ht="15.75" customHeight="1" x14ac:dyDescent="0.3">
      <c r="D697" s="1334"/>
      <c r="E697" s="1341"/>
      <c r="F697" s="1338"/>
      <c r="G697" s="1338"/>
      <c r="H697" s="1338"/>
      <c r="I697" s="1334"/>
      <c r="J697" s="1334"/>
      <c r="K697" s="1334"/>
      <c r="L697" s="1334"/>
      <c r="M697" s="1334"/>
      <c r="N697" s="1334"/>
      <c r="O697" s="1334"/>
      <c r="P697" s="1334"/>
      <c r="Q697" s="1334"/>
      <c r="R697" s="1334"/>
      <c r="S697" s="1334"/>
      <c r="T697" s="1334"/>
      <c r="U697" s="1334"/>
      <c r="V697" s="1334"/>
      <c r="W697" s="1334"/>
      <c r="X697" s="1334"/>
      <c r="Y697" s="1334"/>
      <c r="Z697" s="1334"/>
    </row>
    <row r="698" spans="4:26" ht="15.75" customHeight="1" x14ac:dyDescent="0.3">
      <c r="D698" s="1334"/>
      <c r="E698" s="1341"/>
      <c r="F698" s="1338"/>
      <c r="G698" s="1338"/>
      <c r="H698" s="1338"/>
      <c r="I698" s="1334"/>
      <c r="J698" s="1334"/>
      <c r="K698" s="1334"/>
      <c r="L698" s="1334"/>
      <c r="M698" s="1334"/>
      <c r="N698" s="1334"/>
      <c r="O698" s="1334"/>
      <c r="P698" s="1334"/>
      <c r="Q698" s="1334"/>
      <c r="R698" s="1334"/>
      <c r="S698" s="1334"/>
      <c r="T698" s="1334"/>
      <c r="U698" s="1334"/>
      <c r="V698" s="1334"/>
      <c r="W698" s="1334"/>
      <c r="X698" s="1334"/>
      <c r="Y698" s="1334"/>
      <c r="Z698" s="1334"/>
    </row>
    <row r="699" spans="4:26" ht="15.75" customHeight="1" x14ac:dyDescent="0.3">
      <c r="D699" s="1334"/>
      <c r="E699" s="1341"/>
      <c r="F699" s="1338"/>
      <c r="G699" s="1338"/>
      <c r="H699" s="1338"/>
      <c r="I699" s="1334"/>
      <c r="J699" s="1334"/>
      <c r="K699" s="1334"/>
      <c r="L699" s="1334"/>
      <c r="M699" s="1334"/>
      <c r="N699" s="1334"/>
      <c r="O699" s="1334"/>
      <c r="P699" s="1334"/>
      <c r="Q699" s="1334"/>
      <c r="R699" s="1334"/>
      <c r="S699" s="1334"/>
      <c r="T699" s="1334"/>
      <c r="U699" s="1334"/>
      <c r="V699" s="1334"/>
      <c r="W699" s="1334"/>
      <c r="X699" s="1334"/>
      <c r="Y699" s="1334"/>
      <c r="Z699" s="1334"/>
    </row>
    <row r="700" spans="4:26" ht="15.75" customHeight="1" x14ac:dyDescent="0.3">
      <c r="D700" s="1334"/>
      <c r="E700" s="1341"/>
      <c r="F700" s="1338"/>
      <c r="G700" s="1338"/>
      <c r="H700" s="1338"/>
      <c r="I700" s="1334"/>
      <c r="J700" s="1334"/>
      <c r="K700" s="1334"/>
      <c r="L700" s="1334"/>
      <c r="M700" s="1334"/>
      <c r="N700" s="1334"/>
      <c r="O700" s="1334"/>
      <c r="P700" s="1334"/>
      <c r="Q700" s="1334"/>
      <c r="R700" s="1334"/>
      <c r="S700" s="1334"/>
      <c r="T700" s="1334"/>
      <c r="U700" s="1334"/>
      <c r="V700" s="1334"/>
      <c r="W700" s="1334"/>
      <c r="X700" s="1334"/>
      <c r="Y700" s="1334"/>
      <c r="Z700" s="1334"/>
    </row>
    <row r="701" spans="4:26" ht="15.75" customHeight="1" x14ac:dyDescent="0.3">
      <c r="D701" s="1334"/>
      <c r="E701" s="1341"/>
      <c r="F701" s="1338"/>
      <c r="G701" s="1338"/>
      <c r="H701" s="1338"/>
      <c r="I701" s="1334"/>
      <c r="J701" s="1334"/>
      <c r="K701" s="1334"/>
      <c r="L701" s="1334"/>
      <c r="M701" s="1334"/>
      <c r="N701" s="1334"/>
      <c r="O701" s="1334"/>
      <c r="P701" s="1334"/>
      <c r="Q701" s="1334"/>
      <c r="R701" s="1334"/>
      <c r="S701" s="1334"/>
      <c r="T701" s="1334"/>
      <c r="U701" s="1334"/>
      <c r="V701" s="1334"/>
      <c r="W701" s="1334"/>
      <c r="X701" s="1334"/>
      <c r="Y701" s="1334"/>
      <c r="Z701" s="1334"/>
    </row>
    <row r="702" spans="4:26" ht="15.75" customHeight="1" x14ac:dyDescent="0.3">
      <c r="D702" s="1334"/>
      <c r="E702" s="1341"/>
      <c r="F702" s="1338"/>
      <c r="G702" s="1338"/>
      <c r="H702" s="1338"/>
      <c r="I702" s="1334"/>
      <c r="J702" s="1334"/>
      <c r="K702" s="1334"/>
      <c r="L702" s="1334"/>
      <c r="M702" s="1334"/>
      <c r="N702" s="1334"/>
      <c r="O702" s="1334"/>
      <c r="P702" s="1334"/>
      <c r="Q702" s="1334"/>
      <c r="R702" s="1334"/>
      <c r="S702" s="1334"/>
      <c r="T702" s="1334"/>
      <c r="U702" s="1334"/>
      <c r="V702" s="1334"/>
      <c r="W702" s="1334"/>
      <c r="X702" s="1334"/>
      <c r="Y702" s="1334"/>
      <c r="Z702" s="1334"/>
    </row>
    <row r="703" spans="4:26" ht="15.75" customHeight="1" x14ac:dyDescent="0.3">
      <c r="D703" s="1334"/>
      <c r="E703" s="1341"/>
      <c r="F703" s="1338"/>
      <c r="G703" s="1338"/>
      <c r="H703" s="1338"/>
      <c r="I703" s="1334"/>
      <c r="J703" s="1334"/>
      <c r="K703" s="1334"/>
      <c r="L703" s="1334"/>
      <c r="M703" s="1334"/>
      <c r="N703" s="1334"/>
      <c r="O703" s="1334"/>
      <c r="P703" s="1334"/>
      <c r="Q703" s="1334"/>
      <c r="R703" s="1334"/>
      <c r="S703" s="1334"/>
      <c r="T703" s="1334"/>
      <c r="U703" s="1334"/>
      <c r="V703" s="1334"/>
      <c r="W703" s="1334"/>
      <c r="X703" s="1334"/>
      <c r="Y703" s="1334"/>
      <c r="Z703" s="1334"/>
    </row>
    <row r="704" spans="4:26" ht="15.75" customHeight="1" x14ac:dyDescent="0.3">
      <c r="D704" s="1334"/>
      <c r="E704" s="1341"/>
      <c r="F704" s="1338"/>
      <c r="G704" s="1338"/>
      <c r="H704" s="1338"/>
      <c r="I704" s="1334"/>
      <c r="J704" s="1334"/>
      <c r="K704" s="1334"/>
      <c r="L704" s="1334"/>
      <c r="M704" s="1334"/>
      <c r="N704" s="1334"/>
      <c r="O704" s="1334"/>
      <c r="P704" s="1334"/>
      <c r="Q704" s="1334"/>
      <c r="R704" s="1334"/>
      <c r="S704" s="1334"/>
      <c r="T704" s="1334"/>
      <c r="U704" s="1334"/>
      <c r="V704" s="1334"/>
      <c r="W704" s="1334"/>
      <c r="X704" s="1334"/>
      <c r="Y704" s="1334"/>
      <c r="Z704" s="1334"/>
    </row>
    <row r="705" spans="4:26" ht="15.75" customHeight="1" x14ac:dyDescent="0.3">
      <c r="D705" s="1334"/>
      <c r="E705" s="1341"/>
      <c r="F705" s="1338"/>
      <c r="G705" s="1338"/>
      <c r="H705" s="1338"/>
      <c r="I705" s="1334"/>
      <c r="J705" s="1334"/>
      <c r="K705" s="1334"/>
      <c r="L705" s="1334"/>
      <c r="M705" s="1334"/>
      <c r="N705" s="1334"/>
      <c r="O705" s="1334"/>
      <c r="P705" s="1334"/>
      <c r="Q705" s="1334"/>
      <c r="R705" s="1334"/>
      <c r="S705" s="1334"/>
      <c r="T705" s="1334"/>
      <c r="U705" s="1334"/>
      <c r="V705" s="1334"/>
      <c r="W705" s="1334"/>
      <c r="X705" s="1334"/>
      <c r="Y705" s="1334"/>
      <c r="Z705" s="1334"/>
    </row>
    <row r="706" spans="4:26" ht="15.75" customHeight="1" x14ac:dyDescent="0.3">
      <c r="D706" s="1334"/>
      <c r="E706" s="1341"/>
      <c r="F706" s="1338"/>
      <c r="G706" s="1338"/>
      <c r="H706" s="1338"/>
      <c r="I706" s="1334"/>
      <c r="J706" s="1334"/>
      <c r="K706" s="1334"/>
      <c r="L706" s="1334"/>
      <c r="M706" s="1334"/>
      <c r="N706" s="1334"/>
      <c r="O706" s="1334"/>
      <c r="P706" s="1334"/>
      <c r="Q706" s="1334"/>
      <c r="R706" s="1334"/>
      <c r="S706" s="1334"/>
      <c r="T706" s="1334"/>
      <c r="U706" s="1334"/>
      <c r="V706" s="1334"/>
      <c r="W706" s="1334"/>
      <c r="X706" s="1334"/>
      <c r="Y706" s="1334"/>
      <c r="Z706" s="1334"/>
    </row>
    <row r="707" spans="4:26" ht="15.75" customHeight="1" x14ac:dyDescent="0.3">
      <c r="D707" s="1334"/>
      <c r="E707" s="1341"/>
      <c r="F707" s="1338"/>
      <c r="G707" s="1338"/>
      <c r="H707" s="1338"/>
      <c r="I707" s="1334"/>
      <c r="J707" s="1334"/>
      <c r="K707" s="1334"/>
      <c r="L707" s="1334"/>
      <c r="M707" s="1334"/>
      <c r="N707" s="1334"/>
      <c r="O707" s="1334"/>
      <c r="P707" s="1334"/>
      <c r="Q707" s="1334"/>
      <c r="R707" s="1334"/>
      <c r="S707" s="1334"/>
      <c r="T707" s="1334"/>
      <c r="U707" s="1334"/>
      <c r="V707" s="1334"/>
      <c r="W707" s="1334"/>
      <c r="X707" s="1334"/>
      <c r="Y707" s="1334"/>
      <c r="Z707" s="1334"/>
    </row>
    <row r="708" spans="4:26" ht="15.75" customHeight="1" x14ac:dyDescent="0.3">
      <c r="D708" s="1334"/>
      <c r="E708" s="1341"/>
      <c r="F708" s="1338"/>
      <c r="G708" s="1338"/>
      <c r="H708" s="1338"/>
      <c r="I708" s="1334"/>
      <c r="J708" s="1334"/>
      <c r="K708" s="1334"/>
      <c r="L708" s="1334"/>
      <c r="M708" s="1334"/>
      <c r="N708" s="1334"/>
      <c r="O708" s="1334"/>
      <c r="P708" s="1334"/>
      <c r="Q708" s="1334"/>
      <c r="R708" s="1334"/>
      <c r="S708" s="1334"/>
      <c r="T708" s="1334"/>
      <c r="U708" s="1334"/>
      <c r="V708" s="1334"/>
      <c r="W708" s="1334"/>
      <c r="X708" s="1334"/>
      <c r="Y708" s="1334"/>
      <c r="Z708" s="1334"/>
    </row>
    <row r="709" spans="4:26" ht="15.75" customHeight="1" x14ac:dyDescent="0.3">
      <c r="D709" s="1334"/>
      <c r="E709" s="1341"/>
      <c r="F709" s="1338"/>
      <c r="G709" s="1338"/>
      <c r="H709" s="1338"/>
      <c r="I709" s="1334"/>
      <c r="J709" s="1334"/>
      <c r="K709" s="1334"/>
      <c r="L709" s="1334"/>
      <c r="M709" s="1334"/>
      <c r="N709" s="1334"/>
      <c r="O709" s="1334"/>
      <c r="P709" s="1334"/>
      <c r="Q709" s="1334"/>
      <c r="R709" s="1334"/>
      <c r="S709" s="1334"/>
      <c r="T709" s="1334"/>
      <c r="U709" s="1334"/>
      <c r="V709" s="1334"/>
      <c r="W709" s="1334"/>
      <c r="X709" s="1334"/>
      <c r="Y709" s="1334"/>
      <c r="Z709" s="1334"/>
    </row>
    <row r="710" spans="4:26" ht="15.75" customHeight="1" x14ac:dyDescent="0.3">
      <c r="D710" s="1334"/>
      <c r="E710" s="1341"/>
      <c r="F710" s="1338"/>
      <c r="G710" s="1338"/>
      <c r="H710" s="1338"/>
      <c r="I710" s="1334"/>
      <c r="J710" s="1334"/>
      <c r="K710" s="1334"/>
      <c r="L710" s="1334"/>
      <c r="M710" s="1334"/>
      <c r="N710" s="1334"/>
      <c r="O710" s="1334"/>
      <c r="P710" s="1334"/>
      <c r="Q710" s="1334"/>
      <c r="R710" s="1334"/>
      <c r="S710" s="1334"/>
      <c r="T710" s="1334"/>
      <c r="U710" s="1334"/>
      <c r="V710" s="1334"/>
      <c r="W710" s="1334"/>
      <c r="X710" s="1334"/>
      <c r="Y710" s="1334"/>
      <c r="Z710" s="1334"/>
    </row>
    <row r="711" spans="4:26" ht="15.75" customHeight="1" x14ac:dyDescent="0.3">
      <c r="D711" s="1334"/>
      <c r="E711" s="1341"/>
      <c r="F711" s="1338"/>
      <c r="G711" s="1338"/>
      <c r="H711" s="1338"/>
      <c r="I711" s="1334"/>
      <c r="J711" s="1334"/>
      <c r="K711" s="1334"/>
      <c r="L711" s="1334"/>
      <c r="M711" s="1334"/>
      <c r="N711" s="1334"/>
      <c r="O711" s="1334"/>
      <c r="P711" s="1334"/>
      <c r="Q711" s="1334"/>
      <c r="R711" s="1334"/>
      <c r="S711" s="1334"/>
      <c r="T711" s="1334"/>
      <c r="U711" s="1334"/>
      <c r="V711" s="1334"/>
      <c r="W711" s="1334"/>
      <c r="X711" s="1334"/>
      <c r="Y711" s="1334"/>
      <c r="Z711" s="1334"/>
    </row>
    <row r="712" spans="4:26" ht="15.75" customHeight="1" x14ac:dyDescent="0.3">
      <c r="D712" s="1334"/>
      <c r="E712" s="1341"/>
      <c r="F712" s="1338"/>
      <c r="G712" s="1338"/>
      <c r="H712" s="1338"/>
      <c r="I712" s="1334"/>
      <c r="J712" s="1334"/>
      <c r="K712" s="1334"/>
      <c r="L712" s="1334"/>
      <c r="M712" s="1334"/>
      <c r="N712" s="1334"/>
      <c r="O712" s="1334"/>
      <c r="P712" s="1334"/>
      <c r="Q712" s="1334"/>
      <c r="R712" s="1334"/>
      <c r="S712" s="1334"/>
      <c r="T712" s="1334"/>
      <c r="U712" s="1334"/>
      <c r="V712" s="1334"/>
      <c r="W712" s="1334"/>
      <c r="X712" s="1334"/>
      <c r="Y712" s="1334"/>
      <c r="Z712" s="1334"/>
    </row>
    <row r="713" spans="4:26" ht="15.75" customHeight="1" x14ac:dyDescent="0.3">
      <c r="D713" s="1334"/>
      <c r="E713" s="1341"/>
      <c r="F713" s="1338"/>
      <c r="G713" s="1338"/>
      <c r="H713" s="1338"/>
      <c r="I713" s="1334"/>
      <c r="J713" s="1334"/>
      <c r="K713" s="1334"/>
      <c r="L713" s="1334"/>
      <c r="M713" s="1334"/>
      <c r="N713" s="1334"/>
      <c r="O713" s="1334"/>
      <c r="P713" s="1334"/>
      <c r="Q713" s="1334"/>
      <c r="R713" s="1334"/>
      <c r="S713" s="1334"/>
      <c r="T713" s="1334"/>
      <c r="U713" s="1334"/>
      <c r="V713" s="1334"/>
      <c r="W713" s="1334"/>
      <c r="X713" s="1334"/>
      <c r="Y713" s="1334"/>
      <c r="Z713" s="1334"/>
    </row>
    <row r="714" spans="4:26" ht="15.75" customHeight="1" x14ac:dyDescent="0.3">
      <c r="D714" s="1334"/>
      <c r="E714" s="1341"/>
      <c r="F714" s="1338"/>
      <c r="G714" s="1338"/>
      <c r="H714" s="1338"/>
      <c r="I714" s="1334"/>
      <c r="J714" s="1334"/>
      <c r="K714" s="1334"/>
      <c r="L714" s="1334"/>
      <c r="M714" s="1334"/>
      <c r="N714" s="1334"/>
      <c r="O714" s="1334"/>
      <c r="P714" s="1334"/>
      <c r="Q714" s="1334"/>
      <c r="R714" s="1334"/>
      <c r="S714" s="1334"/>
      <c r="T714" s="1334"/>
      <c r="U714" s="1334"/>
      <c r="V714" s="1334"/>
      <c r="W714" s="1334"/>
      <c r="X714" s="1334"/>
      <c r="Y714" s="1334"/>
      <c r="Z714" s="1334"/>
    </row>
    <row r="715" spans="4:26" ht="15.75" customHeight="1" x14ac:dyDescent="0.3">
      <c r="D715" s="1334"/>
      <c r="E715" s="1341"/>
      <c r="F715" s="1338"/>
      <c r="G715" s="1338"/>
      <c r="H715" s="1338"/>
      <c r="I715" s="1334"/>
      <c r="J715" s="1334"/>
      <c r="K715" s="1334"/>
      <c r="L715" s="1334"/>
      <c r="M715" s="1334"/>
      <c r="N715" s="1334"/>
      <c r="O715" s="1334"/>
      <c r="P715" s="1334"/>
      <c r="Q715" s="1334"/>
      <c r="R715" s="1334"/>
      <c r="S715" s="1334"/>
      <c r="T715" s="1334"/>
      <c r="U715" s="1334"/>
      <c r="V715" s="1334"/>
      <c r="W715" s="1334"/>
      <c r="X715" s="1334"/>
      <c r="Y715" s="1334"/>
      <c r="Z715" s="1334"/>
    </row>
    <row r="716" spans="4:26" ht="15.75" customHeight="1" x14ac:dyDescent="0.3">
      <c r="D716" s="1334"/>
      <c r="E716" s="1341"/>
      <c r="F716" s="1338"/>
      <c r="G716" s="1338"/>
      <c r="H716" s="1338"/>
      <c r="I716" s="1334"/>
      <c r="J716" s="1334"/>
      <c r="K716" s="1334"/>
      <c r="L716" s="1334"/>
      <c r="M716" s="1334"/>
      <c r="N716" s="1334"/>
      <c r="O716" s="1334"/>
      <c r="P716" s="1334"/>
      <c r="Q716" s="1334"/>
      <c r="R716" s="1334"/>
      <c r="S716" s="1334"/>
      <c r="T716" s="1334"/>
      <c r="U716" s="1334"/>
      <c r="V716" s="1334"/>
      <c r="W716" s="1334"/>
      <c r="X716" s="1334"/>
      <c r="Y716" s="1334"/>
      <c r="Z716" s="1334"/>
    </row>
    <row r="717" spans="4:26" ht="15.75" customHeight="1" x14ac:dyDescent="0.3">
      <c r="D717" s="1334"/>
      <c r="E717" s="1341"/>
      <c r="F717" s="1338"/>
      <c r="G717" s="1338"/>
      <c r="H717" s="1338"/>
      <c r="I717" s="1334"/>
      <c r="J717" s="1334"/>
      <c r="K717" s="1334"/>
      <c r="L717" s="1334"/>
      <c r="M717" s="1334"/>
      <c r="N717" s="1334"/>
      <c r="O717" s="1334"/>
      <c r="P717" s="1334"/>
      <c r="Q717" s="1334"/>
      <c r="R717" s="1334"/>
      <c r="S717" s="1334"/>
      <c r="T717" s="1334"/>
      <c r="U717" s="1334"/>
      <c r="V717" s="1334"/>
      <c r="W717" s="1334"/>
      <c r="X717" s="1334"/>
      <c r="Y717" s="1334"/>
      <c r="Z717" s="1334"/>
    </row>
    <row r="718" spans="4:26" ht="15.75" customHeight="1" x14ac:dyDescent="0.3">
      <c r="D718" s="1334"/>
      <c r="E718" s="1341"/>
      <c r="F718" s="1338"/>
      <c r="G718" s="1338"/>
      <c r="H718" s="1338"/>
      <c r="I718" s="1334"/>
      <c r="J718" s="1334"/>
      <c r="K718" s="1334"/>
      <c r="L718" s="1334"/>
      <c r="M718" s="1334"/>
      <c r="N718" s="1334"/>
      <c r="O718" s="1334"/>
      <c r="P718" s="1334"/>
      <c r="Q718" s="1334"/>
      <c r="R718" s="1334"/>
      <c r="S718" s="1334"/>
      <c r="T718" s="1334"/>
      <c r="U718" s="1334"/>
      <c r="V718" s="1334"/>
      <c r="W718" s="1334"/>
      <c r="X718" s="1334"/>
      <c r="Y718" s="1334"/>
      <c r="Z718" s="1334"/>
    </row>
    <row r="719" spans="4:26" ht="15.75" customHeight="1" x14ac:dyDescent="0.3">
      <c r="D719" s="1334"/>
      <c r="E719" s="1341"/>
      <c r="F719" s="1338"/>
      <c r="G719" s="1338"/>
      <c r="H719" s="1338"/>
      <c r="I719" s="1334"/>
      <c r="J719" s="1334"/>
      <c r="K719" s="1334"/>
      <c r="L719" s="1334"/>
      <c r="M719" s="1334"/>
      <c r="N719" s="1334"/>
      <c r="O719" s="1334"/>
      <c r="P719" s="1334"/>
      <c r="Q719" s="1334"/>
      <c r="R719" s="1334"/>
      <c r="S719" s="1334"/>
      <c r="T719" s="1334"/>
      <c r="U719" s="1334"/>
      <c r="V719" s="1334"/>
      <c r="W719" s="1334"/>
      <c r="X719" s="1334"/>
      <c r="Y719" s="1334"/>
      <c r="Z719" s="1334"/>
    </row>
    <row r="720" spans="4:26" ht="15.75" customHeight="1" x14ac:dyDescent="0.3">
      <c r="D720" s="1334"/>
      <c r="E720" s="1341"/>
      <c r="F720" s="1338"/>
      <c r="G720" s="1338"/>
      <c r="H720" s="1338"/>
      <c r="I720" s="1334"/>
      <c r="J720" s="1334"/>
      <c r="K720" s="1334"/>
      <c r="L720" s="1334"/>
      <c r="M720" s="1334"/>
      <c r="N720" s="1334"/>
      <c r="O720" s="1334"/>
      <c r="P720" s="1334"/>
      <c r="Q720" s="1334"/>
      <c r="R720" s="1334"/>
      <c r="S720" s="1334"/>
      <c r="T720" s="1334"/>
      <c r="U720" s="1334"/>
      <c r="V720" s="1334"/>
      <c r="W720" s="1334"/>
      <c r="X720" s="1334"/>
      <c r="Y720" s="1334"/>
      <c r="Z720" s="1334"/>
    </row>
    <row r="721" spans="4:26" ht="15.75" customHeight="1" x14ac:dyDescent="0.3">
      <c r="D721" s="1334"/>
      <c r="E721" s="1341"/>
      <c r="F721" s="1338"/>
      <c r="G721" s="1338"/>
      <c r="H721" s="1338"/>
      <c r="I721" s="1334"/>
      <c r="J721" s="1334"/>
      <c r="K721" s="1334"/>
      <c r="L721" s="1334"/>
      <c r="M721" s="1334"/>
      <c r="N721" s="1334"/>
      <c r="O721" s="1334"/>
      <c r="P721" s="1334"/>
      <c r="Q721" s="1334"/>
      <c r="R721" s="1334"/>
      <c r="S721" s="1334"/>
      <c r="T721" s="1334"/>
      <c r="U721" s="1334"/>
      <c r="V721" s="1334"/>
      <c r="W721" s="1334"/>
      <c r="X721" s="1334"/>
      <c r="Y721" s="1334"/>
      <c r="Z721" s="1334"/>
    </row>
    <row r="722" spans="4:26" ht="15.75" customHeight="1" x14ac:dyDescent="0.3">
      <c r="D722" s="1334"/>
      <c r="E722" s="1341"/>
      <c r="F722" s="1338"/>
      <c r="G722" s="1338"/>
      <c r="H722" s="1338"/>
      <c r="I722" s="1334"/>
      <c r="J722" s="1334"/>
      <c r="K722" s="1334"/>
      <c r="L722" s="1334"/>
      <c r="M722" s="1334"/>
      <c r="N722" s="1334"/>
      <c r="O722" s="1334"/>
      <c r="P722" s="1334"/>
      <c r="Q722" s="1334"/>
      <c r="R722" s="1334"/>
      <c r="S722" s="1334"/>
      <c r="T722" s="1334"/>
      <c r="U722" s="1334"/>
      <c r="V722" s="1334"/>
      <c r="W722" s="1334"/>
      <c r="X722" s="1334"/>
      <c r="Y722" s="1334"/>
      <c r="Z722" s="1334"/>
    </row>
    <row r="723" spans="4:26" ht="15.75" customHeight="1" x14ac:dyDescent="0.3">
      <c r="D723" s="1334"/>
      <c r="E723" s="1341"/>
      <c r="F723" s="1338"/>
      <c r="G723" s="1338"/>
      <c r="H723" s="1338"/>
      <c r="I723" s="1334"/>
      <c r="J723" s="1334"/>
      <c r="K723" s="1334"/>
      <c r="L723" s="1334"/>
      <c r="M723" s="1334"/>
      <c r="N723" s="1334"/>
      <c r="O723" s="1334"/>
      <c r="P723" s="1334"/>
      <c r="Q723" s="1334"/>
      <c r="R723" s="1334"/>
      <c r="S723" s="1334"/>
      <c r="T723" s="1334"/>
      <c r="U723" s="1334"/>
      <c r="V723" s="1334"/>
      <c r="W723" s="1334"/>
      <c r="X723" s="1334"/>
      <c r="Y723" s="1334"/>
      <c r="Z723" s="1334"/>
    </row>
    <row r="724" spans="4:26" ht="15.75" customHeight="1" x14ac:dyDescent="0.3">
      <c r="D724" s="1334"/>
      <c r="E724" s="1341"/>
      <c r="F724" s="1338"/>
      <c r="G724" s="1338"/>
      <c r="H724" s="1338"/>
      <c r="I724" s="1334"/>
      <c r="J724" s="1334"/>
      <c r="K724" s="1334"/>
      <c r="L724" s="1334"/>
      <c r="M724" s="1334"/>
      <c r="N724" s="1334"/>
      <c r="O724" s="1334"/>
      <c r="P724" s="1334"/>
      <c r="Q724" s="1334"/>
      <c r="R724" s="1334"/>
      <c r="S724" s="1334"/>
      <c r="T724" s="1334"/>
      <c r="U724" s="1334"/>
      <c r="V724" s="1334"/>
      <c r="W724" s="1334"/>
      <c r="X724" s="1334"/>
      <c r="Y724" s="1334"/>
      <c r="Z724" s="1334"/>
    </row>
    <row r="725" spans="4:26" ht="15.75" customHeight="1" x14ac:dyDescent="0.3">
      <c r="D725" s="1334"/>
      <c r="E725" s="1341"/>
      <c r="F725" s="1338"/>
      <c r="G725" s="1338"/>
      <c r="H725" s="1338"/>
      <c r="I725" s="1334"/>
      <c r="J725" s="1334"/>
      <c r="K725" s="1334"/>
      <c r="L725" s="1334"/>
      <c r="M725" s="1334"/>
      <c r="N725" s="1334"/>
      <c r="O725" s="1334"/>
      <c r="P725" s="1334"/>
      <c r="Q725" s="1334"/>
      <c r="R725" s="1334"/>
      <c r="S725" s="1334"/>
      <c r="T725" s="1334"/>
      <c r="U725" s="1334"/>
      <c r="V725" s="1334"/>
      <c r="W725" s="1334"/>
      <c r="X725" s="1334"/>
      <c r="Y725" s="1334"/>
      <c r="Z725" s="1334"/>
    </row>
    <row r="726" spans="4:26" ht="15.75" customHeight="1" x14ac:dyDescent="0.3">
      <c r="D726" s="1334"/>
      <c r="E726" s="1341"/>
      <c r="F726" s="1338"/>
      <c r="G726" s="1338"/>
      <c r="H726" s="1338"/>
      <c r="I726" s="1334"/>
      <c r="J726" s="1334"/>
      <c r="K726" s="1334"/>
      <c r="L726" s="1334"/>
      <c r="M726" s="1334"/>
      <c r="N726" s="1334"/>
      <c r="O726" s="1334"/>
      <c r="P726" s="1334"/>
      <c r="Q726" s="1334"/>
      <c r="R726" s="1334"/>
      <c r="S726" s="1334"/>
      <c r="T726" s="1334"/>
      <c r="U726" s="1334"/>
      <c r="V726" s="1334"/>
      <c r="W726" s="1334"/>
      <c r="X726" s="1334"/>
      <c r="Y726" s="1334"/>
      <c r="Z726" s="1334"/>
    </row>
    <row r="727" spans="4:26" ht="15.75" customHeight="1" x14ac:dyDescent="0.3">
      <c r="D727" s="1334"/>
      <c r="E727" s="1341"/>
      <c r="F727" s="1338"/>
      <c r="G727" s="1338"/>
      <c r="H727" s="1338"/>
      <c r="I727" s="1334"/>
      <c r="J727" s="1334"/>
      <c r="K727" s="1334"/>
      <c r="L727" s="1334"/>
      <c r="M727" s="1334"/>
      <c r="N727" s="1334"/>
      <c r="O727" s="1334"/>
      <c r="P727" s="1334"/>
      <c r="Q727" s="1334"/>
      <c r="R727" s="1334"/>
      <c r="S727" s="1334"/>
      <c r="T727" s="1334"/>
      <c r="U727" s="1334"/>
      <c r="V727" s="1334"/>
      <c r="W727" s="1334"/>
      <c r="X727" s="1334"/>
      <c r="Y727" s="1334"/>
      <c r="Z727" s="1334"/>
    </row>
    <row r="728" spans="4:26" ht="15.75" customHeight="1" x14ac:dyDescent="0.3">
      <c r="D728" s="1334"/>
      <c r="E728" s="1341"/>
      <c r="F728" s="1338"/>
      <c r="G728" s="1338"/>
      <c r="H728" s="1338"/>
      <c r="I728" s="1334"/>
      <c r="J728" s="1334"/>
      <c r="K728" s="1334"/>
      <c r="L728" s="1334"/>
      <c r="M728" s="1334"/>
      <c r="N728" s="1334"/>
      <c r="O728" s="1334"/>
      <c r="P728" s="1334"/>
      <c r="Q728" s="1334"/>
      <c r="R728" s="1334"/>
      <c r="S728" s="1334"/>
      <c r="T728" s="1334"/>
      <c r="U728" s="1334"/>
      <c r="V728" s="1334"/>
      <c r="W728" s="1334"/>
      <c r="X728" s="1334"/>
      <c r="Y728" s="1334"/>
      <c r="Z728" s="1334"/>
    </row>
    <row r="729" spans="4:26" ht="15.75" customHeight="1" x14ac:dyDescent="0.3">
      <c r="D729" s="1334"/>
      <c r="E729" s="1341"/>
      <c r="F729" s="1338"/>
      <c r="G729" s="1338"/>
      <c r="H729" s="1338"/>
      <c r="I729" s="1334"/>
      <c r="J729" s="1334"/>
      <c r="K729" s="1334"/>
      <c r="L729" s="1334"/>
      <c r="M729" s="1334"/>
      <c r="N729" s="1334"/>
      <c r="O729" s="1334"/>
      <c r="P729" s="1334"/>
      <c r="Q729" s="1334"/>
      <c r="R729" s="1334"/>
      <c r="S729" s="1334"/>
      <c r="T729" s="1334"/>
      <c r="U729" s="1334"/>
      <c r="V729" s="1334"/>
      <c r="W729" s="1334"/>
      <c r="X729" s="1334"/>
      <c r="Y729" s="1334"/>
      <c r="Z729" s="1334"/>
    </row>
    <row r="730" spans="4:26" ht="15.75" customHeight="1" x14ac:dyDescent="0.3">
      <c r="D730" s="1334"/>
      <c r="E730" s="1341"/>
      <c r="F730" s="1338"/>
      <c r="G730" s="1338"/>
      <c r="H730" s="1338"/>
      <c r="I730" s="1334"/>
      <c r="J730" s="1334"/>
      <c r="K730" s="1334"/>
      <c r="L730" s="1334"/>
      <c r="M730" s="1334"/>
      <c r="N730" s="1334"/>
      <c r="O730" s="1334"/>
      <c r="P730" s="1334"/>
      <c r="Q730" s="1334"/>
      <c r="R730" s="1334"/>
      <c r="S730" s="1334"/>
      <c r="T730" s="1334"/>
      <c r="U730" s="1334"/>
      <c r="V730" s="1334"/>
      <c r="W730" s="1334"/>
      <c r="X730" s="1334"/>
      <c r="Y730" s="1334"/>
      <c r="Z730" s="1334"/>
    </row>
    <row r="731" spans="4:26" ht="15.75" customHeight="1" x14ac:dyDescent="0.3">
      <c r="D731" s="1334"/>
      <c r="E731" s="1341"/>
      <c r="F731" s="1338"/>
      <c r="G731" s="1338"/>
      <c r="H731" s="1338"/>
      <c r="I731" s="1334"/>
      <c r="J731" s="1334"/>
      <c r="K731" s="1334"/>
      <c r="L731" s="1334"/>
      <c r="M731" s="1334"/>
      <c r="N731" s="1334"/>
      <c r="O731" s="1334"/>
      <c r="P731" s="1334"/>
      <c r="Q731" s="1334"/>
      <c r="R731" s="1334"/>
      <c r="S731" s="1334"/>
      <c r="T731" s="1334"/>
      <c r="U731" s="1334"/>
      <c r="V731" s="1334"/>
      <c r="W731" s="1334"/>
      <c r="X731" s="1334"/>
      <c r="Y731" s="1334"/>
      <c r="Z731" s="1334"/>
    </row>
    <row r="732" spans="4:26" ht="15.75" customHeight="1" x14ac:dyDescent="0.3">
      <c r="D732" s="1334"/>
      <c r="E732" s="1341"/>
      <c r="F732" s="1338"/>
      <c r="G732" s="1338"/>
      <c r="H732" s="1338"/>
      <c r="I732" s="1334"/>
      <c r="J732" s="1334"/>
      <c r="K732" s="1334"/>
      <c r="L732" s="1334"/>
      <c r="M732" s="1334"/>
      <c r="N732" s="1334"/>
      <c r="O732" s="1334"/>
      <c r="P732" s="1334"/>
      <c r="Q732" s="1334"/>
      <c r="R732" s="1334"/>
      <c r="S732" s="1334"/>
      <c r="T732" s="1334"/>
      <c r="U732" s="1334"/>
      <c r="V732" s="1334"/>
      <c r="W732" s="1334"/>
      <c r="X732" s="1334"/>
      <c r="Y732" s="1334"/>
      <c r="Z732" s="1334"/>
    </row>
    <row r="733" spans="4:26" ht="15.75" customHeight="1" x14ac:dyDescent="0.3">
      <c r="D733" s="1334"/>
      <c r="E733" s="1341"/>
      <c r="F733" s="1338"/>
      <c r="G733" s="1338"/>
      <c r="H733" s="1338"/>
      <c r="I733" s="1334"/>
      <c r="J733" s="1334"/>
      <c r="K733" s="1334"/>
      <c r="L733" s="1334"/>
      <c r="M733" s="1334"/>
      <c r="N733" s="1334"/>
      <c r="O733" s="1334"/>
      <c r="P733" s="1334"/>
      <c r="Q733" s="1334"/>
      <c r="R733" s="1334"/>
      <c r="S733" s="1334"/>
      <c r="T733" s="1334"/>
      <c r="U733" s="1334"/>
      <c r="V733" s="1334"/>
      <c r="W733" s="1334"/>
      <c r="X733" s="1334"/>
      <c r="Y733" s="1334"/>
      <c r="Z733" s="1334"/>
    </row>
    <row r="734" spans="4:26" ht="15.75" customHeight="1" x14ac:dyDescent="0.3">
      <c r="D734" s="1334"/>
      <c r="E734" s="1341"/>
      <c r="F734" s="1338"/>
      <c r="G734" s="1338"/>
      <c r="H734" s="1338"/>
      <c r="I734" s="1334"/>
      <c r="J734" s="1334"/>
      <c r="K734" s="1334"/>
      <c r="L734" s="1334"/>
      <c r="M734" s="1334"/>
      <c r="N734" s="1334"/>
      <c r="O734" s="1334"/>
      <c r="P734" s="1334"/>
      <c r="Q734" s="1334"/>
      <c r="R734" s="1334"/>
      <c r="S734" s="1334"/>
      <c r="T734" s="1334"/>
      <c r="U734" s="1334"/>
      <c r="V734" s="1334"/>
      <c r="W734" s="1334"/>
      <c r="X734" s="1334"/>
      <c r="Y734" s="1334"/>
      <c r="Z734" s="1334"/>
    </row>
    <row r="735" spans="4:26" ht="15.75" customHeight="1" x14ac:dyDescent="0.3">
      <c r="D735" s="1334"/>
      <c r="E735" s="1341"/>
      <c r="F735" s="1338"/>
      <c r="G735" s="1338"/>
      <c r="H735" s="1338"/>
      <c r="I735" s="1334"/>
      <c r="J735" s="1334"/>
      <c r="K735" s="1334"/>
      <c r="L735" s="1334"/>
      <c r="M735" s="1334"/>
      <c r="N735" s="1334"/>
      <c r="O735" s="1334"/>
      <c r="P735" s="1334"/>
      <c r="Q735" s="1334"/>
      <c r="R735" s="1334"/>
      <c r="S735" s="1334"/>
      <c r="T735" s="1334"/>
      <c r="U735" s="1334"/>
      <c r="V735" s="1334"/>
      <c r="W735" s="1334"/>
      <c r="X735" s="1334"/>
      <c r="Y735" s="1334"/>
      <c r="Z735" s="1334"/>
    </row>
    <row r="736" spans="4:26" ht="15.75" customHeight="1" x14ac:dyDescent="0.3">
      <c r="D736" s="1334"/>
      <c r="E736" s="1341"/>
      <c r="F736" s="1338"/>
      <c r="G736" s="1338"/>
      <c r="H736" s="1338"/>
      <c r="I736" s="1334"/>
      <c r="J736" s="1334"/>
      <c r="K736" s="1334"/>
      <c r="L736" s="1334"/>
      <c r="M736" s="1334"/>
      <c r="N736" s="1334"/>
      <c r="O736" s="1334"/>
      <c r="P736" s="1334"/>
      <c r="Q736" s="1334"/>
      <c r="R736" s="1334"/>
      <c r="S736" s="1334"/>
      <c r="T736" s="1334"/>
      <c r="U736" s="1334"/>
      <c r="V736" s="1334"/>
      <c r="W736" s="1334"/>
      <c r="X736" s="1334"/>
      <c r="Y736" s="1334"/>
      <c r="Z736" s="1334"/>
    </row>
    <row r="737" spans="4:26" ht="15.75" customHeight="1" x14ac:dyDescent="0.3">
      <c r="D737" s="1334"/>
      <c r="E737" s="1341"/>
      <c r="F737" s="1338"/>
      <c r="G737" s="1338"/>
      <c r="H737" s="1338"/>
      <c r="I737" s="1334"/>
      <c r="J737" s="1334"/>
      <c r="K737" s="1334"/>
      <c r="L737" s="1334"/>
      <c r="M737" s="1334"/>
      <c r="N737" s="1334"/>
      <c r="O737" s="1334"/>
      <c r="P737" s="1334"/>
      <c r="Q737" s="1334"/>
      <c r="R737" s="1334"/>
      <c r="S737" s="1334"/>
      <c r="T737" s="1334"/>
      <c r="U737" s="1334"/>
      <c r="V737" s="1334"/>
      <c r="W737" s="1334"/>
      <c r="X737" s="1334"/>
      <c r="Y737" s="1334"/>
      <c r="Z737" s="1334"/>
    </row>
    <row r="738" spans="4:26" ht="15.75" customHeight="1" x14ac:dyDescent="0.3">
      <c r="D738" s="1334"/>
      <c r="E738" s="1341"/>
      <c r="F738" s="1338"/>
      <c r="G738" s="1338"/>
      <c r="H738" s="1338"/>
      <c r="I738" s="1334"/>
      <c r="J738" s="1334"/>
      <c r="K738" s="1334"/>
      <c r="L738" s="1334"/>
      <c r="M738" s="1334"/>
      <c r="N738" s="1334"/>
      <c r="O738" s="1334"/>
      <c r="P738" s="1334"/>
      <c r="Q738" s="1334"/>
      <c r="R738" s="1334"/>
      <c r="S738" s="1334"/>
      <c r="T738" s="1334"/>
      <c r="U738" s="1334"/>
      <c r="V738" s="1334"/>
      <c r="W738" s="1334"/>
      <c r="X738" s="1334"/>
      <c r="Y738" s="1334"/>
      <c r="Z738" s="1334"/>
    </row>
    <row r="739" spans="4:26" ht="15.75" customHeight="1" x14ac:dyDescent="0.3">
      <c r="D739" s="1334"/>
      <c r="E739" s="1341"/>
      <c r="F739" s="1338"/>
      <c r="G739" s="1338"/>
      <c r="H739" s="1338"/>
      <c r="I739" s="1334"/>
      <c r="J739" s="1334"/>
      <c r="K739" s="1334"/>
      <c r="L739" s="1334"/>
      <c r="M739" s="1334"/>
      <c r="N739" s="1334"/>
      <c r="O739" s="1334"/>
      <c r="P739" s="1334"/>
      <c r="Q739" s="1334"/>
      <c r="R739" s="1334"/>
      <c r="S739" s="1334"/>
      <c r="T739" s="1334"/>
      <c r="U739" s="1334"/>
      <c r="V739" s="1334"/>
      <c r="W739" s="1334"/>
      <c r="X739" s="1334"/>
      <c r="Y739" s="1334"/>
      <c r="Z739" s="1334"/>
    </row>
    <row r="740" spans="4:26" ht="15.75" customHeight="1" x14ac:dyDescent="0.3">
      <c r="D740" s="1334"/>
      <c r="E740" s="1341"/>
      <c r="F740" s="1338"/>
      <c r="G740" s="1338"/>
      <c r="H740" s="1338"/>
      <c r="I740" s="1334"/>
      <c r="J740" s="1334"/>
      <c r="K740" s="1334"/>
      <c r="L740" s="1334"/>
      <c r="M740" s="1334"/>
      <c r="N740" s="1334"/>
      <c r="O740" s="1334"/>
      <c r="P740" s="1334"/>
      <c r="Q740" s="1334"/>
      <c r="R740" s="1334"/>
      <c r="S740" s="1334"/>
      <c r="T740" s="1334"/>
      <c r="U740" s="1334"/>
      <c r="V740" s="1334"/>
      <c r="W740" s="1334"/>
      <c r="X740" s="1334"/>
      <c r="Y740" s="1334"/>
      <c r="Z740" s="1334"/>
    </row>
    <row r="741" spans="4:26" ht="15.75" customHeight="1" x14ac:dyDescent="0.3">
      <c r="D741" s="1334"/>
      <c r="E741" s="1341"/>
      <c r="F741" s="1338"/>
      <c r="G741" s="1338"/>
      <c r="H741" s="1338"/>
      <c r="I741" s="1334"/>
      <c r="J741" s="1334"/>
      <c r="K741" s="1334"/>
      <c r="L741" s="1334"/>
      <c r="M741" s="1334"/>
      <c r="N741" s="1334"/>
      <c r="O741" s="1334"/>
      <c r="P741" s="1334"/>
      <c r="Q741" s="1334"/>
      <c r="R741" s="1334"/>
      <c r="S741" s="1334"/>
      <c r="T741" s="1334"/>
      <c r="U741" s="1334"/>
      <c r="V741" s="1334"/>
      <c r="W741" s="1334"/>
      <c r="X741" s="1334"/>
      <c r="Y741" s="1334"/>
      <c r="Z741" s="1334"/>
    </row>
    <row r="742" spans="4:26" ht="15.75" customHeight="1" x14ac:dyDescent="0.3">
      <c r="D742" s="1334"/>
      <c r="E742" s="1341"/>
      <c r="F742" s="1338"/>
      <c r="G742" s="1338"/>
      <c r="H742" s="1338"/>
      <c r="I742" s="1334"/>
      <c r="J742" s="1334"/>
      <c r="K742" s="1334"/>
      <c r="L742" s="1334"/>
      <c r="M742" s="1334"/>
      <c r="N742" s="1334"/>
      <c r="O742" s="1334"/>
      <c r="P742" s="1334"/>
      <c r="Q742" s="1334"/>
      <c r="R742" s="1334"/>
      <c r="S742" s="1334"/>
      <c r="T742" s="1334"/>
      <c r="U742" s="1334"/>
      <c r="V742" s="1334"/>
      <c r="W742" s="1334"/>
      <c r="X742" s="1334"/>
      <c r="Y742" s="1334"/>
      <c r="Z742" s="1334"/>
    </row>
    <row r="743" spans="4:26" ht="15.75" customHeight="1" x14ac:dyDescent="0.3">
      <c r="D743" s="1334"/>
      <c r="E743" s="1341"/>
      <c r="F743" s="1338"/>
      <c r="G743" s="1338"/>
      <c r="H743" s="1338"/>
      <c r="I743" s="1334"/>
      <c r="J743" s="1334"/>
      <c r="K743" s="1334"/>
      <c r="L743" s="1334"/>
      <c r="M743" s="1334"/>
      <c r="N743" s="1334"/>
      <c r="O743" s="1334"/>
      <c r="P743" s="1334"/>
      <c r="Q743" s="1334"/>
      <c r="R743" s="1334"/>
      <c r="S743" s="1334"/>
      <c r="T743" s="1334"/>
      <c r="U743" s="1334"/>
      <c r="V743" s="1334"/>
      <c r="W743" s="1334"/>
      <c r="X743" s="1334"/>
      <c r="Y743" s="1334"/>
      <c r="Z743" s="1334"/>
    </row>
    <row r="744" spans="4:26" ht="15.75" customHeight="1" x14ac:dyDescent="0.3">
      <c r="D744" s="1334"/>
      <c r="E744" s="1341"/>
      <c r="F744" s="1338"/>
      <c r="G744" s="1338"/>
      <c r="H744" s="1338"/>
      <c r="I744" s="1334"/>
      <c r="J744" s="1334"/>
      <c r="K744" s="1334"/>
      <c r="L744" s="1334"/>
      <c r="M744" s="1334"/>
      <c r="N744" s="1334"/>
      <c r="O744" s="1334"/>
      <c r="P744" s="1334"/>
      <c r="Q744" s="1334"/>
      <c r="R744" s="1334"/>
      <c r="S744" s="1334"/>
      <c r="T744" s="1334"/>
      <c r="U744" s="1334"/>
      <c r="V744" s="1334"/>
      <c r="W744" s="1334"/>
      <c r="X744" s="1334"/>
      <c r="Y744" s="1334"/>
      <c r="Z744" s="1334"/>
    </row>
    <row r="745" spans="4:26" ht="15.75" customHeight="1" x14ac:dyDescent="0.3">
      <c r="D745" s="1334"/>
      <c r="E745" s="1341"/>
      <c r="F745" s="1338"/>
      <c r="G745" s="1338"/>
      <c r="H745" s="1338"/>
      <c r="I745" s="1334"/>
      <c r="J745" s="1334"/>
      <c r="K745" s="1334"/>
      <c r="L745" s="1334"/>
      <c r="M745" s="1334"/>
      <c r="N745" s="1334"/>
      <c r="O745" s="1334"/>
      <c r="P745" s="1334"/>
      <c r="Q745" s="1334"/>
      <c r="R745" s="1334"/>
      <c r="S745" s="1334"/>
      <c r="T745" s="1334"/>
      <c r="U745" s="1334"/>
      <c r="V745" s="1334"/>
      <c r="W745" s="1334"/>
      <c r="X745" s="1334"/>
      <c r="Y745" s="1334"/>
      <c r="Z745" s="1334"/>
    </row>
    <row r="746" spans="4:26" ht="15.75" customHeight="1" x14ac:dyDescent="0.3">
      <c r="D746" s="1334"/>
      <c r="E746" s="1341"/>
      <c r="F746" s="1338"/>
      <c r="G746" s="1338"/>
      <c r="H746" s="1338"/>
      <c r="I746" s="1334"/>
      <c r="J746" s="1334"/>
      <c r="K746" s="1334"/>
      <c r="L746" s="1334"/>
      <c r="M746" s="1334"/>
      <c r="N746" s="1334"/>
      <c r="O746" s="1334"/>
      <c r="P746" s="1334"/>
      <c r="Q746" s="1334"/>
      <c r="R746" s="1334"/>
      <c r="S746" s="1334"/>
      <c r="T746" s="1334"/>
      <c r="U746" s="1334"/>
      <c r="V746" s="1334"/>
      <c r="W746" s="1334"/>
      <c r="X746" s="1334"/>
      <c r="Y746" s="1334"/>
      <c r="Z746" s="1334"/>
    </row>
    <row r="747" spans="4:26" ht="15.75" customHeight="1" x14ac:dyDescent="0.3">
      <c r="D747" s="1334"/>
      <c r="E747" s="1341"/>
      <c r="F747" s="1338"/>
      <c r="G747" s="1338"/>
      <c r="H747" s="1338"/>
      <c r="I747" s="1334"/>
      <c r="J747" s="1334"/>
      <c r="K747" s="1334"/>
      <c r="L747" s="1334"/>
      <c r="M747" s="1334"/>
      <c r="N747" s="1334"/>
      <c r="O747" s="1334"/>
      <c r="P747" s="1334"/>
      <c r="Q747" s="1334"/>
      <c r="R747" s="1334"/>
      <c r="S747" s="1334"/>
      <c r="T747" s="1334"/>
      <c r="U747" s="1334"/>
      <c r="V747" s="1334"/>
      <c r="W747" s="1334"/>
      <c r="X747" s="1334"/>
      <c r="Y747" s="1334"/>
      <c r="Z747" s="1334"/>
    </row>
    <row r="748" spans="4:26" ht="15.75" customHeight="1" x14ac:dyDescent="0.3">
      <c r="D748" s="1334"/>
      <c r="E748" s="1341"/>
      <c r="F748" s="1338"/>
      <c r="G748" s="1338"/>
      <c r="H748" s="1338"/>
      <c r="I748" s="1334"/>
      <c r="J748" s="1334"/>
      <c r="K748" s="1334"/>
      <c r="L748" s="1334"/>
      <c r="M748" s="1334"/>
      <c r="N748" s="1334"/>
      <c r="O748" s="1334"/>
      <c r="P748" s="1334"/>
      <c r="Q748" s="1334"/>
      <c r="R748" s="1334"/>
      <c r="S748" s="1334"/>
      <c r="T748" s="1334"/>
      <c r="U748" s="1334"/>
      <c r="V748" s="1334"/>
      <c r="W748" s="1334"/>
      <c r="X748" s="1334"/>
      <c r="Y748" s="1334"/>
      <c r="Z748" s="1334"/>
    </row>
    <row r="749" spans="4:26" ht="15.75" customHeight="1" x14ac:dyDescent="0.3">
      <c r="D749" s="1334"/>
      <c r="E749" s="1341"/>
      <c r="F749" s="1338"/>
      <c r="G749" s="1338"/>
      <c r="H749" s="1338"/>
      <c r="I749" s="1334"/>
      <c r="J749" s="1334"/>
      <c r="K749" s="1334"/>
      <c r="L749" s="1334"/>
      <c r="M749" s="1334"/>
      <c r="N749" s="1334"/>
      <c r="O749" s="1334"/>
      <c r="P749" s="1334"/>
      <c r="Q749" s="1334"/>
      <c r="R749" s="1334"/>
      <c r="S749" s="1334"/>
      <c r="T749" s="1334"/>
      <c r="U749" s="1334"/>
      <c r="V749" s="1334"/>
      <c r="W749" s="1334"/>
      <c r="X749" s="1334"/>
      <c r="Y749" s="1334"/>
      <c r="Z749" s="1334"/>
    </row>
    <row r="750" spans="4:26" ht="15.75" customHeight="1" x14ac:dyDescent="0.3">
      <c r="D750" s="1334"/>
      <c r="E750" s="1341"/>
      <c r="F750" s="1338"/>
      <c r="G750" s="1338"/>
      <c r="H750" s="1338"/>
      <c r="I750" s="1334"/>
      <c r="J750" s="1334"/>
      <c r="K750" s="1334"/>
      <c r="L750" s="1334"/>
      <c r="M750" s="1334"/>
      <c r="N750" s="1334"/>
      <c r="O750" s="1334"/>
      <c r="P750" s="1334"/>
      <c r="Q750" s="1334"/>
      <c r="R750" s="1334"/>
      <c r="S750" s="1334"/>
      <c r="T750" s="1334"/>
      <c r="U750" s="1334"/>
      <c r="V750" s="1334"/>
      <c r="W750" s="1334"/>
      <c r="X750" s="1334"/>
      <c r="Y750" s="1334"/>
      <c r="Z750" s="1334"/>
    </row>
    <row r="751" spans="4:26" ht="15.75" customHeight="1" x14ac:dyDescent="0.3">
      <c r="D751" s="1334"/>
      <c r="E751" s="1341"/>
      <c r="F751" s="1338"/>
      <c r="G751" s="1338"/>
      <c r="H751" s="1338"/>
      <c r="I751" s="1334"/>
      <c r="J751" s="1334"/>
      <c r="K751" s="1334"/>
      <c r="L751" s="1334"/>
      <c r="M751" s="1334"/>
      <c r="N751" s="1334"/>
      <c r="O751" s="1334"/>
      <c r="P751" s="1334"/>
      <c r="Q751" s="1334"/>
      <c r="R751" s="1334"/>
      <c r="S751" s="1334"/>
      <c r="T751" s="1334"/>
      <c r="U751" s="1334"/>
      <c r="V751" s="1334"/>
      <c r="W751" s="1334"/>
      <c r="X751" s="1334"/>
      <c r="Y751" s="1334"/>
      <c r="Z751" s="1334"/>
    </row>
    <row r="752" spans="4:26" ht="15.75" customHeight="1" x14ac:dyDescent="0.3">
      <c r="D752" s="1334"/>
      <c r="E752" s="1341"/>
      <c r="F752" s="1338"/>
      <c r="G752" s="1338"/>
      <c r="H752" s="1338"/>
      <c r="I752" s="1334"/>
      <c r="J752" s="1334"/>
      <c r="K752" s="1334"/>
      <c r="L752" s="1334"/>
      <c r="M752" s="1334"/>
      <c r="N752" s="1334"/>
      <c r="O752" s="1334"/>
      <c r="P752" s="1334"/>
      <c r="Q752" s="1334"/>
      <c r="R752" s="1334"/>
      <c r="S752" s="1334"/>
      <c r="T752" s="1334"/>
      <c r="U752" s="1334"/>
      <c r="V752" s="1334"/>
      <c r="W752" s="1334"/>
      <c r="X752" s="1334"/>
      <c r="Y752" s="1334"/>
      <c r="Z752" s="1334"/>
    </row>
    <row r="753" spans="4:26" ht="15.75" customHeight="1" x14ac:dyDescent="0.3">
      <c r="D753" s="1334"/>
      <c r="E753" s="1341"/>
      <c r="F753" s="1338"/>
      <c r="G753" s="1338"/>
      <c r="H753" s="1338"/>
      <c r="I753" s="1334"/>
      <c r="J753" s="1334"/>
      <c r="K753" s="1334"/>
      <c r="L753" s="1334"/>
      <c r="M753" s="1334"/>
      <c r="N753" s="1334"/>
      <c r="O753" s="1334"/>
      <c r="P753" s="1334"/>
      <c r="Q753" s="1334"/>
      <c r="R753" s="1334"/>
      <c r="S753" s="1334"/>
      <c r="T753" s="1334"/>
      <c r="U753" s="1334"/>
      <c r="V753" s="1334"/>
      <c r="W753" s="1334"/>
      <c r="X753" s="1334"/>
      <c r="Y753" s="1334"/>
      <c r="Z753" s="1334"/>
    </row>
    <row r="754" spans="4:26" ht="15.75" customHeight="1" x14ac:dyDescent="0.3">
      <c r="D754" s="1334"/>
      <c r="E754" s="1341"/>
      <c r="F754" s="1338"/>
      <c r="G754" s="1338"/>
      <c r="H754" s="1338"/>
      <c r="I754" s="1334"/>
      <c r="J754" s="1334"/>
      <c r="K754" s="1334"/>
      <c r="L754" s="1334"/>
      <c r="M754" s="1334"/>
      <c r="N754" s="1334"/>
      <c r="O754" s="1334"/>
      <c r="P754" s="1334"/>
      <c r="Q754" s="1334"/>
      <c r="R754" s="1334"/>
      <c r="S754" s="1334"/>
      <c r="T754" s="1334"/>
      <c r="U754" s="1334"/>
      <c r="V754" s="1334"/>
      <c r="W754" s="1334"/>
      <c r="X754" s="1334"/>
      <c r="Y754" s="1334"/>
      <c r="Z754" s="1334"/>
    </row>
    <row r="755" spans="4:26" ht="15.75" customHeight="1" x14ac:dyDescent="0.3">
      <c r="D755" s="1334"/>
      <c r="E755" s="1341"/>
      <c r="F755" s="1338"/>
      <c r="G755" s="1338"/>
      <c r="H755" s="1338"/>
      <c r="I755" s="1334"/>
      <c r="J755" s="1334"/>
      <c r="K755" s="1334"/>
      <c r="L755" s="1334"/>
      <c r="M755" s="1334"/>
      <c r="N755" s="1334"/>
      <c r="O755" s="1334"/>
      <c r="P755" s="1334"/>
      <c r="Q755" s="1334"/>
      <c r="R755" s="1334"/>
      <c r="S755" s="1334"/>
      <c r="T755" s="1334"/>
      <c r="U755" s="1334"/>
      <c r="V755" s="1334"/>
      <c r="W755" s="1334"/>
      <c r="X755" s="1334"/>
      <c r="Y755" s="1334"/>
      <c r="Z755" s="1334"/>
    </row>
    <row r="756" spans="4:26" ht="15.75" customHeight="1" x14ac:dyDescent="0.3">
      <c r="D756" s="1334"/>
      <c r="E756" s="1341"/>
      <c r="F756" s="1338"/>
      <c r="G756" s="1338"/>
      <c r="H756" s="1338"/>
      <c r="I756" s="1334"/>
      <c r="J756" s="1334"/>
      <c r="K756" s="1334"/>
      <c r="L756" s="1334"/>
      <c r="M756" s="1334"/>
      <c r="N756" s="1334"/>
      <c r="O756" s="1334"/>
      <c r="P756" s="1334"/>
      <c r="Q756" s="1334"/>
      <c r="R756" s="1334"/>
      <c r="S756" s="1334"/>
      <c r="T756" s="1334"/>
      <c r="U756" s="1334"/>
      <c r="V756" s="1334"/>
      <c r="W756" s="1334"/>
      <c r="X756" s="1334"/>
      <c r="Y756" s="1334"/>
      <c r="Z756" s="1334"/>
    </row>
    <row r="757" spans="4:26" ht="15.75" customHeight="1" x14ac:dyDescent="0.3">
      <c r="D757" s="1334"/>
      <c r="E757" s="1341"/>
      <c r="F757" s="1338"/>
      <c r="G757" s="1338"/>
      <c r="H757" s="1338"/>
      <c r="I757" s="1334"/>
      <c r="J757" s="1334"/>
      <c r="K757" s="1334"/>
      <c r="L757" s="1334"/>
      <c r="M757" s="1334"/>
      <c r="N757" s="1334"/>
      <c r="O757" s="1334"/>
      <c r="P757" s="1334"/>
      <c r="Q757" s="1334"/>
      <c r="R757" s="1334"/>
      <c r="S757" s="1334"/>
      <c r="T757" s="1334"/>
      <c r="U757" s="1334"/>
      <c r="V757" s="1334"/>
      <c r="W757" s="1334"/>
      <c r="X757" s="1334"/>
      <c r="Y757" s="1334"/>
      <c r="Z757" s="1334"/>
    </row>
    <row r="758" spans="4:26" ht="15.75" customHeight="1" x14ac:dyDescent="0.3">
      <c r="D758" s="1334"/>
      <c r="E758" s="1341"/>
      <c r="F758" s="1338"/>
      <c r="G758" s="1338"/>
      <c r="H758" s="1338"/>
      <c r="I758" s="1334"/>
      <c r="J758" s="1334"/>
      <c r="K758" s="1334"/>
      <c r="L758" s="1334"/>
      <c r="M758" s="1334"/>
      <c r="N758" s="1334"/>
      <c r="O758" s="1334"/>
      <c r="P758" s="1334"/>
      <c r="Q758" s="1334"/>
      <c r="R758" s="1334"/>
      <c r="S758" s="1334"/>
      <c r="T758" s="1334"/>
      <c r="U758" s="1334"/>
      <c r="V758" s="1334"/>
      <c r="W758" s="1334"/>
      <c r="X758" s="1334"/>
      <c r="Y758" s="1334"/>
      <c r="Z758" s="1334"/>
    </row>
    <row r="759" spans="4:26" ht="15.75" customHeight="1" x14ac:dyDescent="0.3">
      <c r="D759" s="1334"/>
      <c r="E759" s="1341"/>
      <c r="F759" s="1338"/>
      <c r="G759" s="1338"/>
      <c r="H759" s="1338"/>
      <c r="I759" s="1334"/>
      <c r="J759" s="1334"/>
      <c r="K759" s="1334"/>
      <c r="L759" s="1334"/>
      <c r="M759" s="1334"/>
      <c r="N759" s="1334"/>
      <c r="O759" s="1334"/>
      <c r="P759" s="1334"/>
      <c r="Q759" s="1334"/>
      <c r="R759" s="1334"/>
      <c r="S759" s="1334"/>
      <c r="T759" s="1334"/>
      <c r="U759" s="1334"/>
      <c r="V759" s="1334"/>
      <c r="W759" s="1334"/>
      <c r="X759" s="1334"/>
      <c r="Y759" s="1334"/>
      <c r="Z759" s="1334"/>
    </row>
    <row r="760" spans="4:26" ht="15.75" customHeight="1" x14ac:dyDescent="0.3">
      <c r="D760" s="1334"/>
      <c r="E760" s="1341"/>
      <c r="F760" s="1338"/>
      <c r="G760" s="1338"/>
      <c r="H760" s="1338"/>
      <c r="I760" s="1334"/>
      <c r="J760" s="1334"/>
      <c r="K760" s="1334"/>
      <c r="L760" s="1334"/>
      <c r="M760" s="1334"/>
      <c r="N760" s="1334"/>
      <c r="O760" s="1334"/>
      <c r="P760" s="1334"/>
      <c r="Q760" s="1334"/>
      <c r="R760" s="1334"/>
      <c r="S760" s="1334"/>
      <c r="T760" s="1334"/>
      <c r="U760" s="1334"/>
      <c r="V760" s="1334"/>
      <c r="W760" s="1334"/>
      <c r="X760" s="1334"/>
      <c r="Y760" s="1334"/>
      <c r="Z760" s="1334"/>
    </row>
    <row r="761" spans="4:26" ht="15.75" customHeight="1" x14ac:dyDescent="0.3">
      <c r="D761" s="1334"/>
      <c r="E761" s="1341"/>
      <c r="F761" s="1338"/>
      <c r="G761" s="1338"/>
      <c r="H761" s="1338"/>
      <c r="I761" s="1334"/>
      <c r="J761" s="1334"/>
      <c r="K761" s="1334"/>
      <c r="L761" s="1334"/>
      <c r="M761" s="1334"/>
      <c r="N761" s="1334"/>
      <c r="O761" s="1334"/>
      <c r="P761" s="1334"/>
      <c r="Q761" s="1334"/>
      <c r="R761" s="1334"/>
      <c r="S761" s="1334"/>
      <c r="T761" s="1334"/>
      <c r="U761" s="1334"/>
      <c r="V761" s="1334"/>
      <c r="W761" s="1334"/>
      <c r="X761" s="1334"/>
      <c r="Y761" s="1334"/>
      <c r="Z761" s="1334"/>
    </row>
    <row r="762" spans="4:26" ht="15.75" customHeight="1" x14ac:dyDescent="0.3">
      <c r="D762" s="1334"/>
      <c r="E762" s="1341"/>
      <c r="F762" s="1338"/>
      <c r="G762" s="1338"/>
      <c r="H762" s="1338"/>
      <c r="I762" s="1334"/>
      <c r="J762" s="1334"/>
      <c r="K762" s="1334"/>
      <c r="L762" s="1334"/>
      <c r="M762" s="1334"/>
      <c r="N762" s="1334"/>
      <c r="O762" s="1334"/>
      <c r="P762" s="1334"/>
      <c r="Q762" s="1334"/>
      <c r="R762" s="1334"/>
      <c r="S762" s="1334"/>
      <c r="T762" s="1334"/>
      <c r="U762" s="1334"/>
      <c r="V762" s="1334"/>
      <c r="W762" s="1334"/>
      <c r="X762" s="1334"/>
      <c r="Y762" s="1334"/>
      <c r="Z762" s="1334"/>
    </row>
    <row r="763" spans="4:26" ht="15.75" customHeight="1" x14ac:dyDescent="0.3">
      <c r="D763" s="1334"/>
      <c r="E763" s="1341"/>
      <c r="F763" s="1338"/>
      <c r="G763" s="1338"/>
      <c r="H763" s="1338"/>
      <c r="I763" s="1334"/>
      <c r="J763" s="1334"/>
      <c r="K763" s="1334"/>
      <c r="L763" s="1334"/>
      <c r="M763" s="1334"/>
      <c r="N763" s="1334"/>
      <c r="O763" s="1334"/>
      <c r="P763" s="1334"/>
      <c r="Q763" s="1334"/>
      <c r="R763" s="1334"/>
      <c r="S763" s="1334"/>
      <c r="T763" s="1334"/>
      <c r="U763" s="1334"/>
      <c r="V763" s="1334"/>
      <c r="W763" s="1334"/>
      <c r="X763" s="1334"/>
      <c r="Y763" s="1334"/>
      <c r="Z763" s="1334"/>
    </row>
    <row r="764" spans="4:26" ht="15.75" customHeight="1" x14ac:dyDescent="0.3">
      <c r="D764" s="1334"/>
      <c r="E764" s="1341"/>
      <c r="F764" s="1338"/>
      <c r="G764" s="1338"/>
      <c r="H764" s="1338"/>
      <c r="I764" s="1334"/>
      <c r="J764" s="1334"/>
      <c r="K764" s="1334"/>
      <c r="L764" s="1334"/>
      <c r="M764" s="1334"/>
      <c r="N764" s="1334"/>
      <c r="O764" s="1334"/>
      <c r="P764" s="1334"/>
      <c r="Q764" s="1334"/>
      <c r="R764" s="1334"/>
      <c r="S764" s="1334"/>
      <c r="T764" s="1334"/>
      <c r="U764" s="1334"/>
      <c r="V764" s="1334"/>
      <c r="W764" s="1334"/>
      <c r="X764" s="1334"/>
      <c r="Y764" s="1334"/>
      <c r="Z764" s="1334"/>
    </row>
    <row r="765" spans="4:26" ht="15.75" customHeight="1" x14ac:dyDescent="0.3">
      <c r="D765" s="1334"/>
      <c r="E765" s="1341"/>
      <c r="F765" s="1338"/>
      <c r="G765" s="1338"/>
      <c r="H765" s="1338"/>
      <c r="I765" s="1334"/>
      <c r="J765" s="1334"/>
      <c r="K765" s="1334"/>
      <c r="L765" s="1334"/>
      <c r="M765" s="1334"/>
      <c r="N765" s="1334"/>
      <c r="O765" s="1334"/>
      <c r="P765" s="1334"/>
      <c r="Q765" s="1334"/>
      <c r="R765" s="1334"/>
      <c r="S765" s="1334"/>
      <c r="T765" s="1334"/>
      <c r="U765" s="1334"/>
      <c r="V765" s="1334"/>
      <c r="W765" s="1334"/>
      <c r="X765" s="1334"/>
      <c r="Y765" s="1334"/>
      <c r="Z765" s="1334"/>
    </row>
    <row r="766" spans="4:26" ht="15.75" customHeight="1" x14ac:dyDescent="0.3">
      <c r="D766" s="1334"/>
      <c r="E766" s="1341"/>
      <c r="F766" s="1338"/>
      <c r="G766" s="1338"/>
      <c r="H766" s="1338"/>
      <c r="I766" s="1334"/>
      <c r="J766" s="1334"/>
      <c r="K766" s="1334"/>
      <c r="L766" s="1334"/>
      <c r="M766" s="1334"/>
      <c r="N766" s="1334"/>
      <c r="O766" s="1334"/>
      <c r="P766" s="1334"/>
      <c r="Q766" s="1334"/>
      <c r="R766" s="1334"/>
      <c r="S766" s="1334"/>
      <c r="T766" s="1334"/>
      <c r="U766" s="1334"/>
      <c r="V766" s="1334"/>
      <c r="W766" s="1334"/>
      <c r="X766" s="1334"/>
      <c r="Y766" s="1334"/>
      <c r="Z766" s="1334"/>
    </row>
    <row r="767" spans="4:26" ht="15.75" customHeight="1" x14ac:dyDescent="0.3">
      <c r="D767" s="1334"/>
      <c r="E767" s="1341"/>
      <c r="F767" s="1338"/>
      <c r="G767" s="1338"/>
      <c r="H767" s="1338"/>
      <c r="I767" s="1334"/>
      <c r="J767" s="1334"/>
      <c r="K767" s="1334"/>
      <c r="L767" s="1334"/>
      <c r="M767" s="1334"/>
      <c r="N767" s="1334"/>
      <c r="O767" s="1334"/>
      <c r="P767" s="1334"/>
      <c r="Q767" s="1334"/>
      <c r="R767" s="1334"/>
      <c r="S767" s="1334"/>
      <c r="T767" s="1334"/>
      <c r="U767" s="1334"/>
      <c r="V767" s="1334"/>
      <c r="W767" s="1334"/>
      <c r="X767" s="1334"/>
      <c r="Y767" s="1334"/>
      <c r="Z767" s="1334"/>
    </row>
    <row r="768" spans="4:26" ht="15.75" customHeight="1" x14ac:dyDescent="0.3">
      <c r="D768" s="1334"/>
      <c r="E768" s="1341"/>
      <c r="F768" s="1338"/>
      <c r="G768" s="1338"/>
      <c r="H768" s="1338"/>
      <c r="I768" s="1334"/>
      <c r="J768" s="1334"/>
      <c r="K768" s="1334"/>
      <c r="L768" s="1334"/>
      <c r="M768" s="1334"/>
      <c r="N768" s="1334"/>
      <c r="O768" s="1334"/>
      <c r="P768" s="1334"/>
      <c r="Q768" s="1334"/>
      <c r="R768" s="1334"/>
      <c r="S768" s="1334"/>
      <c r="T768" s="1334"/>
      <c r="U768" s="1334"/>
      <c r="V768" s="1334"/>
      <c r="W768" s="1334"/>
      <c r="X768" s="1334"/>
      <c r="Y768" s="1334"/>
      <c r="Z768" s="1334"/>
    </row>
    <row r="769" spans="4:26" ht="15.75" customHeight="1" x14ac:dyDescent="0.3">
      <c r="D769" s="1334"/>
      <c r="E769" s="1341"/>
      <c r="F769" s="1338"/>
      <c r="G769" s="1338"/>
      <c r="H769" s="1338"/>
      <c r="I769" s="1334"/>
      <c r="J769" s="1334"/>
      <c r="K769" s="1334"/>
      <c r="L769" s="1334"/>
      <c r="M769" s="1334"/>
      <c r="N769" s="1334"/>
      <c r="O769" s="1334"/>
      <c r="P769" s="1334"/>
      <c r="Q769" s="1334"/>
      <c r="R769" s="1334"/>
      <c r="S769" s="1334"/>
      <c r="T769" s="1334"/>
      <c r="U769" s="1334"/>
      <c r="V769" s="1334"/>
      <c r="W769" s="1334"/>
      <c r="X769" s="1334"/>
      <c r="Y769" s="1334"/>
      <c r="Z769" s="1334"/>
    </row>
    <row r="770" spans="4:26" ht="15.75" customHeight="1" x14ac:dyDescent="0.3">
      <c r="D770" s="1334"/>
      <c r="E770" s="1341"/>
      <c r="F770" s="1338"/>
      <c r="G770" s="1338"/>
      <c r="H770" s="1338"/>
      <c r="I770" s="1334"/>
      <c r="J770" s="1334"/>
      <c r="K770" s="1334"/>
      <c r="L770" s="1334"/>
      <c r="M770" s="1334"/>
      <c r="N770" s="1334"/>
      <c r="O770" s="1334"/>
      <c r="P770" s="1334"/>
      <c r="Q770" s="1334"/>
      <c r="R770" s="1334"/>
      <c r="S770" s="1334"/>
      <c r="T770" s="1334"/>
      <c r="U770" s="1334"/>
      <c r="V770" s="1334"/>
      <c r="W770" s="1334"/>
      <c r="X770" s="1334"/>
      <c r="Y770" s="1334"/>
      <c r="Z770" s="1334"/>
    </row>
    <row r="771" spans="4:26" ht="15.75" customHeight="1" x14ac:dyDescent="0.3">
      <c r="D771" s="1334"/>
      <c r="E771" s="1341"/>
      <c r="F771" s="1338"/>
      <c r="G771" s="1338"/>
      <c r="H771" s="1338"/>
      <c r="I771" s="1334"/>
      <c r="J771" s="1334"/>
      <c r="K771" s="1334"/>
      <c r="L771" s="1334"/>
      <c r="M771" s="1334"/>
      <c r="N771" s="1334"/>
      <c r="O771" s="1334"/>
      <c r="P771" s="1334"/>
      <c r="Q771" s="1334"/>
      <c r="R771" s="1334"/>
      <c r="S771" s="1334"/>
      <c r="T771" s="1334"/>
      <c r="U771" s="1334"/>
      <c r="V771" s="1334"/>
      <c r="W771" s="1334"/>
      <c r="X771" s="1334"/>
      <c r="Y771" s="1334"/>
      <c r="Z771" s="1334"/>
    </row>
    <row r="772" spans="4:26" ht="15.75" customHeight="1" x14ac:dyDescent="0.3">
      <c r="D772" s="1334"/>
      <c r="E772" s="1341"/>
      <c r="F772" s="1338"/>
      <c r="G772" s="1338"/>
      <c r="H772" s="1338"/>
      <c r="I772" s="1334"/>
      <c r="J772" s="1334"/>
      <c r="K772" s="1334"/>
      <c r="L772" s="1334"/>
      <c r="M772" s="1334"/>
      <c r="N772" s="1334"/>
      <c r="O772" s="1334"/>
      <c r="P772" s="1334"/>
      <c r="Q772" s="1334"/>
      <c r="R772" s="1334"/>
      <c r="S772" s="1334"/>
      <c r="T772" s="1334"/>
      <c r="U772" s="1334"/>
      <c r="V772" s="1334"/>
      <c r="W772" s="1334"/>
      <c r="X772" s="1334"/>
      <c r="Y772" s="1334"/>
      <c r="Z772" s="1334"/>
    </row>
    <row r="773" spans="4:26" ht="15.75" customHeight="1" x14ac:dyDescent="0.3">
      <c r="D773" s="1334"/>
      <c r="E773" s="1341"/>
      <c r="F773" s="1338"/>
      <c r="G773" s="1338"/>
      <c r="H773" s="1338"/>
      <c r="I773" s="1334"/>
      <c r="J773" s="1334"/>
      <c r="K773" s="1334"/>
      <c r="L773" s="1334"/>
      <c r="M773" s="1334"/>
      <c r="N773" s="1334"/>
      <c r="O773" s="1334"/>
      <c r="P773" s="1334"/>
      <c r="Q773" s="1334"/>
      <c r="R773" s="1334"/>
      <c r="S773" s="1334"/>
      <c r="T773" s="1334"/>
      <c r="U773" s="1334"/>
      <c r="V773" s="1334"/>
      <c r="W773" s="1334"/>
      <c r="X773" s="1334"/>
      <c r="Y773" s="1334"/>
      <c r="Z773" s="1334"/>
    </row>
    <row r="774" spans="4:26" ht="15.75" customHeight="1" x14ac:dyDescent="0.3">
      <c r="D774" s="1334"/>
      <c r="E774" s="1341"/>
      <c r="F774" s="1338"/>
      <c r="G774" s="1338"/>
      <c r="H774" s="1338"/>
      <c r="I774" s="1334"/>
      <c r="J774" s="1334"/>
      <c r="K774" s="1334"/>
      <c r="L774" s="1334"/>
      <c r="M774" s="1334"/>
      <c r="N774" s="1334"/>
      <c r="O774" s="1334"/>
      <c r="P774" s="1334"/>
      <c r="Q774" s="1334"/>
      <c r="R774" s="1334"/>
      <c r="S774" s="1334"/>
      <c r="T774" s="1334"/>
      <c r="U774" s="1334"/>
      <c r="V774" s="1334"/>
      <c r="W774" s="1334"/>
      <c r="X774" s="1334"/>
      <c r="Y774" s="1334"/>
      <c r="Z774" s="1334"/>
    </row>
    <row r="775" spans="4:26" ht="15.75" customHeight="1" x14ac:dyDescent="0.3">
      <c r="D775" s="1334"/>
      <c r="E775" s="1341"/>
      <c r="F775" s="1338"/>
      <c r="G775" s="1338"/>
      <c r="H775" s="1338"/>
      <c r="I775" s="1334"/>
      <c r="J775" s="1334"/>
      <c r="K775" s="1334"/>
      <c r="L775" s="1334"/>
      <c r="M775" s="1334"/>
      <c r="N775" s="1334"/>
      <c r="O775" s="1334"/>
      <c r="P775" s="1334"/>
      <c r="Q775" s="1334"/>
      <c r="R775" s="1334"/>
      <c r="S775" s="1334"/>
      <c r="T775" s="1334"/>
      <c r="U775" s="1334"/>
      <c r="V775" s="1334"/>
      <c r="W775" s="1334"/>
      <c r="X775" s="1334"/>
      <c r="Y775" s="1334"/>
      <c r="Z775" s="1334"/>
    </row>
    <row r="776" spans="4:26" ht="15.75" customHeight="1" x14ac:dyDescent="0.3">
      <c r="D776" s="1334"/>
      <c r="E776" s="1341"/>
      <c r="F776" s="1338"/>
      <c r="G776" s="1338"/>
      <c r="H776" s="1338"/>
      <c r="I776" s="1334"/>
      <c r="J776" s="1334"/>
      <c r="K776" s="1334"/>
      <c r="L776" s="1334"/>
      <c r="M776" s="1334"/>
      <c r="N776" s="1334"/>
      <c r="O776" s="1334"/>
      <c r="P776" s="1334"/>
      <c r="Q776" s="1334"/>
      <c r="R776" s="1334"/>
      <c r="S776" s="1334"/>
      <c r="T776" s="1334"/>
      <c r="U776" s="1334"/>
      <c r="V776" s="1334"/>
      <c r="W776" s="1334"/>
      <c r="X776" s="1334"/>
      <c r="Y776" s="1334"/>
      <c r="Z776" s="1334"/>
    </row>
    <row r="777" spans="4:26" ht="15.75" customHeight="1" x14ac:dyDescent="0.3">
      <c r="D777" s="1334"/>
      <c r="E777" s="1341"/>
      <c r="F777" s="1338"/>
      <c r="G777" s="1338"/>
      <c r="H777" s="1338"/>
      <c r="I777" s="1334"/>
      <c r="J777" s="1334"/>
      <c r="K777" s="1334"/>
      <c r="L777" s="1334"/>
      <c r="M777" s="1334"/>
      <c r="N777" s="1334"/>
      <c r="O777" s="1334"/>
      <c r="P777" s="1334"/>
      <c r="Q777" s="1334"/>
      <c r="R777" s="1334"/>
      <c r="S777" s="1334"/>
      <c r="T777" s="1334"/>
      <c r="U777" s="1334"/>
      <c r="V777" s="1334"/>
      <c r="W777" s="1334"/>
      <c r="X777" s="1334"/>
      <c r="Y777" s="1334"/>
      <c r="Z777" s="1334"/>
    </row>
    <row r="778" spans="4:26" ht="15.75" customHeight="1" x14ac:dyDescent="0.3">
      <c r="D778" s="1334"/>
      <c r="E778" s="1341"/>
      <c r="F778" s="1338"/>
      <c r="G778" s="1338"/>
      <c r="H778" s="1338"/>
      <c r="I778" s="1334"/>
      <c r="J778" s="1334"/>
      <c r="K778" s="1334"/>
      <c r="L778" s="1334"/>
      <c r="M778" s="1334"/>
      <c r="N778" s="1334"/>
      <c r="O778" s="1334"/>
      <c r="P778" s="1334"/>
      <c r="Q778" s="1334"/>
      <c r="R778" s="1334"/>
      <c r="S778" s="1334"/>
      <c r="T778" s="1334"/>
      <c r="U778" s="1334"/>
      <c r="V778" s="1334"/>
      <c r="W778" s="1334"/>
      <c r="X778" s="1334"/>
      <c r="Y778" s="1334"/>
      <c r="Z778" s="1334"/>
    </row>
    <row r="779" spans="4:26" ht="15.75" customHeight="1" x14ac:dyDescent="0.3">
      <c r="D779" s="1334"/>
      <c r="E779" s="1341"/>
      <c r="F779" s="1338"/>
      <c r="G779" s="1338"/>
      <c r="H779" s="1338"/>
      <c r="I779" s="1334"/>
      <c r="J779" s="1334"/>
      <c r="K779" s="1334"/>
      <c r="L779" s="1334"/>
      <c r="M779" s="1334"/>
      <c r="N779" s="1334"/>
      <c r="O779" s="1334"/>
      <c r="P779" s="1334"/>
      <c r="Q779" s="1334"/>
      <c r="R779" s="1334"/>
      <c r="S779" s="1334"/>
      <c r="T779" s="1334"/>
      <c r="U779" s="1334"/>
      <c r="V779" s="1334"/>
      <c r="W779" s="1334"/>
      <c r="X779" s="1334"/>
      <c r="Y779" s="1334"/>
      <c r="Z779" s="1334"/>
    </row>
    <row r="780" spans="4:26" ht="15.75" customHeight="1" x14ac:dyDescent="0.3">
      <c r="D780" s="1334"/>
      <c r="E780" s="1341"/>
      <c r="F780" s="1338"/>
      <c r="G780" s="1338"/>
      <c r="H780" s="1338"/>
      <c r="I780" s="1334"/>
      <c r="J780" s="1334"/>
      <c r="K780" s="1334"/>
      <c r="L780" s="1334"/>
      <c r="M780" s="1334"/>
      <c r="N780" s="1334"/>
      <c r="O780" s="1334"/>
      <c r="P780" s="1334"/>
      <c r="Q780" s="1334"/>
      <c r="R780" s="1334"/>
      <c r="S780" s="1334"/>
      <c r="T780" s="1334"/>
      <c r="U780" s="1334"/>
      <c r="V780" s="1334"/>
      <c r="W780" s="1334"/>
      <c r="X780" s="1334"/>
      <c r="Y780" s="1334"/>
      <c r="Z780" s="1334"/>
    </row>
    <row r="781" spans="4:26" ht="15.75" customHeight="1" x14ac:dyDescent="0.3">
      <c r="D781" s="1334"/>
      <c r="E781" s="1341"/>
      <c r="F781" s="1338"/>
      <c r="G781" s="1338"/>
      <c r="H781" s="1338"/>
      <c r="I781" s="1334"/>
      <c r="J781" s="1334"/>
      <c r="K781" s="1334"/>
      <c r="L781" s="1334"/>
      <c r="M781" s="1334"/>
      <c r="N781" s="1334"/>
      <c r="O781" s="1334"/>
      <c r="P781" s="1334"/>
      <c r="Q781" s="1334"/>
      <c r="R781" s="1334"/>
      <c r="S781" s="1334"/>
      <c r="T781" s="1334"/>
      <c r="U781" s="1334"/>
      <c r="V781" s="1334"/>
      <c r="W781" s="1334"/>
      <c r="X781" s="1334"/>
      <c r="Y781" s="1334"/>
      <c r="Z781" s="1334"/>
    </row>
    <row r="782" spans="4:26" ht="15.75" customHeight="1" x14ac:dyDescent="0.3">
      <c r="D782" s="1334"/>
      <c r="E782" s="1341"/>
      <c r="F782" s="1338"/>
      <c r="G782" s="1338"/>
      <c r="H782" s="1338"/>
      <c r="I782" s="1334"/>
      <c r="J782" s="1334"/>
      <c r="K782" s="1334"/>
      <c r="L782" s="1334"/>
      <c r="M782" s="1334"/>
      <c r="N782" s="1334"/>
      <c r="O782" s="1334"/>
      <c r="P782" s="1334"/>
      <c r="Q782" s="1334"/>
      <c r="R782" s="1334"/>
      <c r="S782" s="1334"/>
      <c r="T782" s="1334"/>
      <c r="U782" s="1334"/>
      <c r="V782" s="1334"/>
      <c r="W782" s="1334"/>
      <c r="X782" s="1334"/>
      <c r="Y782" s="1334"/>
      <c r="Z782" s="1334"/>
    </row>
    <row r="783" spans="4:26" ht="15.75" customHeight="1" x14ac:dyDescent="0.3">
      <c r="D783" s="1334"/>
      <c r="E783" s="1341"/>
      <c r="F783" s="1338"/>
      <c r="G783" s="1338"/>
      <c r="H783" s="1338"/>
      <c r="I783" s="1334"/>
      <c r="J783" s="1334"/>
      <c r="K783" s="1334"/>
      <c r="L783" s="1334"/>
      <c r="M783" s="1334"/>
      <c r="N783" s="1334"/>
      <c r="O783" s="1334"/>
      <c r="P783" s="1334"/>
      <c r="Q783" s="1334"/>
      <c r="R783" s="1334"/>
      <c r="S783" s="1334"/>
      <c r="T783" s="1334"/>
      <c r="U783" s="1334"/>
      <c r="V783" s="1334"/>
      <c r="W783" s="1334"/>
      <c r="X783" s="1334"/>
      <c r="Y783" s="1334"/>
      <c r="Z783" s="1334"/>
    </row>
    <row r="784" spans="4:26" ht="15.75" customHeight="1" x14ac:dyDescent="0.3">
      <c r="D784" s="1334"/>
      <c r="E784" s="1341"/>
      <c r="F784" s="1338"/>
      <c r="G784" s="1338"/>
      <c r="H784" s="1338"/>
      <c r="I784" s="1334"/>
      <c r="J784" s="1334"/>
      <c r="K784" s="1334"/>
      <c r="L784" s="1334"/>
      <c r="M784" s="1334"/>
      <c r="N784" s="1334"/>
      <c r="O784" s="1334"/>
      <c r="P784" s="1334"/>
      <c r="Q784" s="1334"/>
      <c r="R784" s="1334"/>
      <c r="S784" s="1334"/>
      <c r="T784" s="1334"/>
      <c r="U784" s="1334"/>
      <c r="V784" s="1334"/>
      <c r="W784" s="1334"/>
      <c r="X784" s="1334"/>
      <c r="Y784" s="1334"/>
      <c r="Z784" s="1334"/>
    </row>
    <row r="785" spans="4:26" ht="15.75" customHeight="1" x14ac:dyDescent="0.3">
      <c r="D785" s="1334"/>
      <c r="E785" s="1341"/>
      <c r="F785" s="1338"/>
      <c r="G785" s="1338"/>
      <c r="H785" s="1338"/>
      <c r="I785" s="1334"/>
      <c r="J785" s="1334"/>
      <c r="K785" s="1334"/>
      <c r="L785" s="1334"/>
      <c r="M785" s="1334"/>
      <c r="N785" s="1334"/>
      <c r="O785" s="1334"/>
      <c r="P785" s="1334"/>
      <c r="Q785" s="1334"/>
      <c r="R785" s="1334"/>
      <c r="S785" s="1334"/>
      <c r="T785" s="1334"/>
      <c r="U785" s="1334"/>
      <c r="V785" s="1334"/>
      <c r="W785" s="1334"/>
      <c r="X785" s="1334"/>
      <c r="Y785" s="1334"/>
      <c r="Z785" s="1334"/>
    </row>
    <row r="786" spans="4:26" ht="15.75" customHeight="1" x14ac:dyDescent="0.3">
      <c r="D786" s="1334"/>
      <c r="E786" s="1341"/>
      <c r="F786" s="1338"/>
      <c r="G786" s="1338"/>
      <c r="H786" s="1338"/>
      <c r="I786" s="1334"/>
      <c r="J786" s="1334"/>
      <c r="K786" s="1334"/>
      <c r="L786" s="1334"/>
      <c r="M786" s="1334"/>
      <c r="N786" s="1334"/>
      <c r="O786" s="1334"/>
      <c r="P786" s="1334"/>
      <c r="Q786" s="1334"/>
      <c r="R786" s="1334"/>
      <c r="S786" s="1334"/>
      <c r="T786" s="1334"/>
      <c r="U786" s="1334"/>
      <c r="V786" s="1334"/>
      <c r="W786" s="1334"/>
      <c r="X786" s="1334"/>
      <c r="Y786" s="1334"/>
      <c r="Z786" s="1334"/>
    </row>
    <row r="787" spans="4:26" ht="15.75" customHeight="1" x14ac:dyDescent="0.3">
      <c r="D787" s="1334"/>
      <c r="E787" s="1341"/>
      <c r="F787" s="1338"/>
      <c r="G787" s="1338"/>
      <c r="H787" s="1338"/>
      <c r="I787" s="1334"/>
      <c r="J787" s="1334"/>
      <c r="K787" s="1334"/>
      <c r="L787" s="1334"/>
      <c r="M787" s="1334"/>
      <c r="N787" s="1334"/>
      <c r="O787" s="1334"/>
      <c r="P787" s="1334"/>
      <c r="Q787" s="1334"/>
      <c r="R787" s="1334"/>
      <c r="S787" s="1334"/>
      <c r="T787" s="1334"/>
      <c r="U787" s="1334"/>
      <c r="V787" s="1334"/>
      <c r="W787" s="1334"/>
      <c r="X787" s="1334"/>
      <c r="Y787" s="1334"/>
      <c r="Z787" s="1334"/>
    </row>
    <row r="788" spans="4:26" ht="15.75" customHeight="1" x14ac:dyDescent="0.3">
      <c r="D788" s="1334"/>
      <c r="E788" s="1341"/>
      <c r="F788" s="1338"/>
      <c r="G788" s="1338"/>
      <c r="H788" s="1338"/>
      <c r="I788" s="1334"/>
      <c r="J788" s="1334"/>
      <c r="K788" s="1334"/>
      <c r="L788" s="1334"/>
      <c r="M788" s="1334"/>
      <c r="N788" s="1334"/>
      <c r="O788" s="1334"/>
      <c r="P788" s="1334"/>
      <c r="Q788" s="1334"/>
      <c r="R788" s="1334"/>
      <c r="S788" s="1334"/>
      <c r="T788" s="1334"/>
      <c r="U788" s="1334"/>
      <c r="V788" s="1334"/>
      <c r="W788" s="1334"/>
      <c r="X788" s="1334"/>
      <c r="Y788" s="1334"/>
      <c r="Z788" s="1334"/>
    </row>
    <row r="789" spans="4:26" ht="15.75" customHeight="1" x14ac:dyDescent="0.3">
      <c r="D789" s="1334"/>
      <c r="E789" s="1341"/>
      <c r="F789" s="1338"/>
      <c r="G789" s="1338"/>
      <c r="H789" s="1338"/>
      <c r="I789" s="1334"/>
      <c r="J789" s="1334"/>
      <c r="K789" s="1334"/>
      <c r="L789" s="1334"/>
      <c r="M789" s="1334"/>
      <c r="N789" s="1334"/>
      <c r="O789" s="1334"/>
      <c r="P789" s="1334"/>
      <c r="Q789" s="1334"/>
      <c r="R789" s="1334"/>
      <c r="S789" s="1334"/>
      <c r="T789" s="1334"/>
      <c r="U789" s="1334"/>
      <c r="V789" s="1334"/>
      <c r="W789" s="1334"/>
      <c r="X789" s="1334"/>
      <c r="Y789" s="1334"/>
      <c r="Z789" s="1334"/>
    </row>
    <row r="790" spans="4:26" ht="15.75" customHeight="1" x14ac:dyDescent="0.3">
      <c r="D790" s="1334"/>
      <c r="E790" s="1341"/>
      <c r="F790" s="1338"/>
      <c r="G790" s="1338"/>
      <c r="H790" s="1338"/>
      <c r="I790" s="1334"/>
      <c r="J790" s="1334"/>
      <c r="K790" s="1334"/>
      <c r="L790" s="1334"/>
      <c r="M790" s="1334"/>
      <c r="N790" s="1334"/>
      <c r="O790" s="1334"/>
      <c r="P790" s="1334"/>
      <c r="Q790" s="1334"/>
      <c r="R790" s="1334"/>
      <c r="S790" s="1334"/>
      <c r="T790" s="1334"/>
      <c r="U790" s="1334"/>
      <c r="V790" s="1334"/>
      <c r="W790" s="1334"/>
      <c r="X790" s="1334"/>
      <c r="Y790" s="1334"/>
      <c r="Z790" s="1334"/>
    </row>
    <row r="791" spans="4:26" ht="15.75" customHeight="1" x14ac:dyDescent="0.3">
      <c r="D791" s="1334"/>
      <c r="E791" s="1341"/>
      <c r="F791" s="1338"/>
      <c r="G791" s="1338"/>
      <c r="H791" s="1338"/>
      <c r="I791" s="1334"/>
      <c r="J791" s="1334"/>
      <c r="K791" s="1334"/>
      <c r="L791" s="1334"/>
      <c r="M791" s="1334"/>
      <c r="N791" s="1334"/>
      <c r="O791" s="1334"/>
      <c r="P791" s="1334"/>
      <c r="Q791" s="1334"/>
      <c r="R791" s="1334"/>
      <c r="S791" s="1334"/>
      <c r="T791" s="1334"/>
      <c r="U791" s="1334"/>
      <c r="V791" s="1334"/>
      <c r="W791" s="1334"/>
      <c r="X791" s="1334"/>
      <c r="Y791" s="1334"/>
      <c r="Z791" s="1334"/>
    </row>
    <row r="792" spans="4:26" ht="15.75" customHeight="1" x14ac:dyDescent="0.3">
      <c r="D792" s="1334"/>
      <c r="E792" s="1341"/>
      <c r="F792" s="1338"/>
      <c r="G792" s="1338"/>
      <c r="H792" s="1338"/>
      <c r="I792" s="1334"/>
      <c r="J792" s="1334"/>
      <c r="K792" s="1334"/>
      <c r="L792" s="1334"/>
      <c r="M792" s="1334"/>
      <c r="N792" s="1334"/>
      <c r="O792" s="1334"/>
      <c r="P792" s="1334"/>
      <c r="Q792" s="1334"/>
      <c r="R792" s="1334"/>
      <c r="S792" s="1334"/>
      <c r="T792" s="1334"/>
      <c r="U792" s="1334"/>
      <c r="V792" s="1334"/>
      <c r="W792" s="1334"/>
      <c r="X792" s="1334"/>
      <c r="Y792" s="1334"/>
      <c r="Z792" s="1334"/>
    </row>
    <row r="793" spans="4:26" ht="15.75" customHeight="1" x14ac:dyDescent="0.3">
      <c r="D793" s="1334"/>
      <c r="E793" s="1341"/>
      <c r="F793" s="1338"/>
      <c r="G793" s="1338"/>
      <c r="H793" s="1338"/>
      <c r="I793" s="1334"/>
      <c r="J793" s="1334"/>
      <c r="K793" s="1334"/>
      <c r="L793" s="1334"/>
      <c r="M793" s="1334"/>
      <c r="N793" s="1334"/>
      <c r="O793" s="1334"/>
      <c r="P793" s="1334"/>
      <c r="Q793" s="1334"/>
      <c r="R793" s="1334"/>
      <c r="S793" s="1334"/>
      <c r="T793" s="1334"/>
      <c r="U793" s="1334"/>
      <c r="V793" s="1334"/>
      <c r="W793" s="1334"/>
      <c r="X793" s="1334"/>
      <c r="Y793" s="1334"/>
      <c r="Z793" s="1334"/>
    </row>
    <row r="794" spans="4:26" ht="15.75" customHeight="1" x14ac:dyDescent="0.3">
      <c r="D794" s="1334"/>
      <c r="E794" s="1341"/>
      <c r="F794" s="1338"/>
      <c r="G794" s="1338"/>
      <c r="H794" s="1338"/>
      <c r="I794" s="1334"/>
      <c r="J794" s="1334"/>
      <c r="K794" s="1334"/>
      <c r="L794" s="1334"/>
      <c r="M794" s="1334"/>
      <c r="N794" s="1334"/>
      <c r="O794" s="1334"/>
      <c r="P794" s="1334"/>
      <c r="Q794" s="1334"/>
      <c r="R794" s="1334"/>
      <c r="S794" s="1334"/>
      <c r="T794" s="1334"/>
      <c r="U794" s="1334"/>
      <c r="V794" s="1334"/>
      <c r="W794" s="1334"/>
      <c r="X794" s="1334"/>
      <c r="Y794" s="1334"/>
      <c r="Z794" s="1334"/>
    </row>
    <row r="795" spans="4:26" ht="15.75" customHeight="1" x14ac:dyDescent="0.3">
      <c r="D795" s="1334"/>
      <c r="E795" s="1341"/>
      <c r="F795" s="1338"/>
      <c r="G795" s="1338"/>
      <c r="H795" s="1338"/>
      <c r="I795" s="1334"/>
      <c r="J795" s="1334"/>
      <c r="K795" s="1334"/>
      <c r="L795" s="1334"/>
      <c r="M795" s="1334"/>
      <c r="N795" s="1334"/>
      <c r="O795" s="1334"/>
      <c r="P795" s="1334"/>
      <c r="Q795" s="1334"/>
      <c r="R795" s="1334"/>
      <c r="S795" s="1334"/>
      <c r="T795" s="1334"/>
      <c r="U795" s="1334"/>
      <c r="V795" s="1334"/>
      <c r="W795" s="1334"/>
      <c r="X795" s="1334"/>
      <c r="Y795" s="1334"/>
      <c r="Z795" s="1334"/>
    </row>
    <row r="796" spans="4:26" ht="15.75" customHeight="1" x14ac:dyDescent="0.3">
      <c r="D796" s="1334"/>
      <c r="E796" s="1341"/>
      <c r="F796" s="1338"/>
      <c r="G796" s="1338"/>
      <c r="H796" s="1338"/>
      <c r="I796" s="1334"/>
      <c r="J796" s="1334"/>
      <c r="K796" s="1334"/>
      <c r="L796" s="1334"/>
      <c r="M796" s="1334"/>
      <c r="N796" s="1334"/>
      <c r="O796" s="1334"/>
      <c r="P796" s="1334"/>
      <c r="Q796" s="1334"/>
      <c r="R796" s="1334"/>
      <c r="S796" s="1334"/>
      <c r="T796" s="1334"/>
      <c r="U796" s="1334"/>
      <c r="V796" s="1334"/>
      <c r="W796" s="1334"/>
      <c r="X796" s="1334"/>
      <c r="Y796" s="1334"/>
      <c r="Z796" s="1334"/>
    </row>
    <row r="797" spans="4:26" ht="15.75" customHeight="1" x14ac:dyDescent="0.3">
      <c r="D797" s="1334"/>
      <c r="E797" s="1341"/>
      <c r="F797" s="1338"/>
      <c r="G797" s="1338"/>
      <c r="H797" s="1338"/>
      <c r="I797" s="1334"/>
      <c r="J797" s="1334"/>
      <c r="K797" s="1334"/>
      <c r="L797" s="1334"/>
      <c r="M797" s="1334"/>
      <c r="N797" s="1334"/>
      <c r="O797" s="1334"/>
      <c r="P797" s="1334"/>
      <c r="Q797" s="1334"/>
      <c r="R797" s="1334"/>
      <c r="S797" s="1334"/>
      <c r="T797" s="1334"/>
      <c r="U797" s="1334"/>
      <c r="V797" s="1334"/>
      <c r="W797" s="1334"/>
      <c r="X797" s="1334"/>
      <c r="Y797" s="1334"/>
      <c r="Z797" s="1334"/>
    </row>
    <row r="798" spans="4:26" ht="15.75" customHeight="1" x14ac:dyDescent="0.3">
      <c r="D798" s="1334"/>
      <c r="E798" s="1341"/>
      <c r="F798" s="1338"/>
      <c r="G798" s="1338"/>
      <c r="H798" s="1338"/>
      <c r="I798" s="1334"/>
      <c r="J798" s="1334"/>
      <c r="K798" s="1334"/>
      <c r="L798" s="1334"/>
      <c r="M798" s="1334"/>
      <c r="N798" s="1334"/>
      <c r="O798" s="1334"/>
      <c r="P798" s="1334"/>
      <c r="Q798" s="1334"/>
      <c r="R798" s="1334"/>
      <c r="S798" s="1334"/>
      <c r="T798" s="1334"/>
      <c r="U798" s="1334"/>
      <c r="V798" s="1334"/>
      <c r="W798" s="1334"/>
      <c r="X798" s="1334"/>
      <c r="Y798" s="1334"/>
      <c r="Z798" s="1334"/>
    </row>
    <row r="799" spans="4:26" ht="15.75" customHeight="1" x14ac:dyDescent="0.3">
      <c r="D799" s="1334"/>
      <c r="E799" s="1341"/>
      <c r="F799" s="1338"/>
      <c r="G799" s="1338"/>
      <c r="H799" s="1338"/>
      <c r="I799" s="1334"/>
      <c r="J799" s="1334"/>
      <c r="K799" s="1334"/>
      <c r="L799" s="1334"/>
      <c r="M799" s="1334"/>
      <c r="N799" s="1334"/>
      <c r="O799" s="1334"/>
      <c r="P799" s="1334"/>
      <c r="Q799" s="1334"/>
      <c r="R799" s="1334"/>
      <c r="S799" s="1334"/>
      <c r="T799" s="1334"/>
      <c r="U799" s="1334"/>
      <c r="V799" s="1334"/>
      <c r="W799" s="1334"/>
      <c r="X799" s="1334"/>
      <c r="Y799" s="1334"/>
      <c r="Z799" s="1334"/>
    </row>
    <row r="800" spans="4:26" ht="15.75" customHeight="1" x14ac:dyDescent="0.3">
      <c r="D800" s="1334"/>
      <c r="E800" s="1341"/>
      <c r="F800" s="1338"/>
      <c r="G800" s="1338"/>
      <c r="H800" s="1338"/>
      <c r="I800" s="1334"/>
      <c r="J800" s="1334"/>
      <c r="K800" s="1334"/>
      <c r="L800" s="1334"/>
      <c r="M800" s="1334"/>
      <c r="N800" s="1334"/>
      <c r="O800" s="1334"/>
      <c r="P800" s="1334"/>
      <c r="Q800" s="1334"/>
      <c r="R800" s="1334"/>
      <c r="S800" s="1334"/>
      <c r="T800" s="1334"/>
      <c r="U800" s="1334"/>
      <c r="V800" s="1334"/>
      <c r="W800" s="1334"/>
      <c r="X800" s="1334"/>
      <c r="Y800" s="1334"/>
      <c r="Z800" s="1334"/>
    </row>
    <row r="801" spans="4:26" ht="15.75" customHeight="1" x14ac:dyDescent="0.3">
      <c r="D801" s="1334"/>
      <c r="E801" s="1341"/>
      <c r="F801" s="1338"/>
      <c r="G801" s="1338"/>
      <c r="H801" s="1338"/>
      <c r="I801" s="1334"/>
      <c r="J801" s="1334"/>
      <c r="K801" s="1334"/>
      <c r="L801" s="1334"/>
      <c r="M801" s="1334"/>
      <c r="N801" s="1334"/>
      <c r="O801" s="1334"/>
      <c r="P801" s="1334"/>
      <c r="Q801" s="1334"/>
      <c r="R801" s="1334"/>
      <c r="S801" s="1334"/>
      <c r="T801" s="1334"/>
      <c r="U801" s="1334"/>
      <c r="V801" s="1334"/>
      <c r="W801" s="1334"/>
      <c r="X801" s="1334"/>
      <c r="Y801" s="1334"/>
      <c r="Z801" s="1334"/>
    </row>
    <row r="802" spans="4:26" ht="15.75" customHeight="1" x14ac:dyDescent="0.3">
      <c r="D802" s="1334"/>
      <c r="E802" s="1341"/>
      <c r="F802" s="1338"/>
      <c r="G802" s="1338"/>
      <c r="H802" s="1338"/>
      <c r="I802" s="1334"/>
      <c r="J802" s="1334"/>
      <c r="K802" s="1334"/>
      <c r="L802" s="1334"/>
      <c r="M802" s="1334"/>
      <c r="N802" s="1334"/>
      <c r="O802" s="1334"/>
      <c r="P802" s="1334"/>
      <c r="Q802" s="1334"/>
      <c r="R802" s="1334"/>
      <c r="S802" s="1334"/>
      <c r="T802" s="1334"/>
      <c r="U802" s="1334"/>
      <c r="V802" s="1334"/>
      <c r="W802" s="1334"/>
      <c r="X802" s="1334"/>
      <c r="Y802" s="1334"/>
      <c r="Z802" s="1334"/>
    </row>
    <row r="803" spans="4:26" ht="15.75" customHeight="1" x14ac:dyDescent="0.3">
      <c r="D803" s="1334"/>
      <c r="E803" s="1341"/>
      <c r="F803" s="1338"/>
      <c r="G803" s="1338"/>
      <c r="H803" s="1338"/>
      <c r="I803" s="1334"/>
      <c r="J803" s="1334"/>
      <c r="K803" s="1334"/>
      <c r="L803" s="1334"/>
      <c r="M803" s="1334"/>
      <c r="N803" s="1334"/>
      <c r="O803" s="1334"/>
      <c r="P803" s="1334"/>
      <c r="Q803" s="1334"/>
      <c r="R803" s="1334"/>
      <c r="S803" s="1334"/>
      <c r="T803" s="1334"/>
      <c r="U803" s="1334"/>
      <c r="V803" s="1334"/>
      <c r="W803" s="1334"/>
      <c r="X803" s="1334"/>
      <c r="Y803" s="1334"/>
      <c r="Z803" s="1334"/>
    </row>
    <row r="804" spans="4:26" ht="15.75" customHeight="1" x14ac:dyDescent="0.3">
      <c r="D804" s="1334"/>
      <c r="E804" s="1341"/>
      <c r="F804" s="1338"/>
      <c r="G804" s="1338"/>
      <c r="H804" s="1338"/>
      <c r="I804" s="1334"/>
      <c r="J804" s="1334"/>
      <c r="K804" s="1334"/>
      <c r="L804" s="1334"/>
      <c r="M804" s="1334"/>
      <c r="N804" s="1334"/>
      <c r="O804" s="1334"/>
      <c r="P804" s="1334"/>
      <c r="Q804" s="1334"/>
      <c r="R804" s="1334"/>
      <c r="S804" s="1334"/>
      <c r="T804" s="1334"/>
      <c r="U804" s="1334"/>
      <c r="V804" s="1334"/>
      <c r="W804" s="1334"/>
      <c r="X804" s="1334"/>
      <c r="Y804" s="1334"/>
      <c r="Z804" s="1334"/>
    </row>
    <row r="805" spans="4:26" ht="15.75" customHeight="1" x14ac:dyDescent="0.3">
      <c r="D805" s="1334"/>
      <c r="E805" s="1341"/>
      <c r="F805" s="1338"/>
      <c r="G805" s="1338"/>
      <c r="H805" s="1338"/>
      <c r="I805" s="1334"/>
      <c r="J805" s="1334"/>
      <c r="K805" s="1334"/>
      <c r="L805" s="1334"/>
      <c r="M805" s="1334"/>
      <c r="N805" s="1334"/>
      <c r="O805" s="1334"/>
      <c r="P805" s="1334"/>
      <c r="Q805" s="1334"/>
      <c r="R805" s="1334"/>
      <c r="S805" s="1334"/>
      <c r="T805" s="1334"/>
      <c r="U805" s="1334"/>
      <c r="V805" s="1334"/>
      <c r="W805" s="1334"/>
      <c r="X805" s="1334"/>
      <c r="Y805" s="1334"/>
      <c r="Z805" s="1334"/>
    </row>
    <row r="806" spans="4:26" ht="15.75" customHeight="1" x14ac:dyDescent="0.3">
      <c r="D806" s="1334"/>
      <c r="E806" s="1341"/>
      <c r="F806" s="1338"/>
      <c r="G806" s="1338"/>
      <c r="H806" s="1338"/>
      <c r="I806" s="1334"/>
      <c r="J806" s="1334"/>
      <c r="K806" s="1334"/>
      <c r="L806" s="1334"/>
      <c r="M806" s="1334"/>
      <c r="N806" s="1334"/>
      <c r="O806" s="1334"/>
      <c r="P806" s="1334"/>
      <c r="Q806" s="1334"/>
      <c r="R806" s="1334"/>
      <c r="S806" s="1334"/>
      <c r="T806" s="1334"/>
      <c r="U806" s="1334"/>
      <c r="V806" s="1334"/>
      <c r="W806" s="1334"/>
      <c r="X806" s="1334"/>
      <c r="Y806" s="1334"/>
      <c r="Z806" s="1334"/>
    </row>
    <row r="807" spans="4:26" ht="15.75" customHeight="1" x14ac:dyDescent="0.3">
      <c r="D807" s="1334"/>
      <c r="E807" s="1341"/>
      <c r="F807" s="1338"/>
      <c r="G807" s="1338"/>
      <c r="H807" s="1338"/>
      <c r="I807" s="1334"/>
      <c r="J807" s="1334"/>
      <c r="K807" s="1334"/>
      <c r="L807" s="1334"/>
      <c r="M807" s="1334"/>
      <c r="N807" s="1334"/>
      <c r="O807" s="1334"/>
      <c r="P807" s="1334"/>
      <c r="Q807" s="1334"/>
      <c r="R807" s="1334"/>
      <c r="S807" s="1334"/>
      <c r="T807" s="1334"/>
      <c r="U807" s="1334"/>
      <c r="V807" s="1334"/>
      <c r="W807" s="1334"/>
      <c r="X807" s="1334"/>
      <c r="Y807" s="1334"/>
      <c r="Z807" s="1334"/>
    </row>
    <row r="808" spans="4:26" ht="15.75" customHeight="1" x14ac:dyDescent="0.3">
      <c r="D808" s="1334"/>
      <c r="E808" s="1341"/>
      <c r="F808" s="1338"/>
      <c r="G808" s="1338"/>
      <c r="H808" s="1338"/>
      <c r="I808" s="1334"/>
      <c r="J808" s="1334"/>
      <c r="K808" s="1334"/>
      <c r="L808" s="1334"/>
      <c r="M808" s="1334"/>
      <c r="N808" s="1334"/>
      <c r="O808" s="1334"/>
      <c r="P808" s="1334"/>
      <c r="Q808" s="1334"/>
      <c r="R808" s="1334"/>
      <c r="S808" s="1334"/>
      <c r="T808" s="1334"/>
      <c r="U808" s="1334"/>
      <c r="V808" s="1334"/>
      <c r="W808" s="1334"/>
      <c r="X808" s="1334"/>
      <c r="Y808" s="1334"/>
      <c r="Z808" s="1334"/>
    </row>
    <row r="809" spans="4:26" ht="15.75" customHeight="1" x14ac:dyDescent="0.3">
      <c r="D809" s="1334"/>
      <c r="E809" s="1341"/>
      <c r="F809" s="1338"/>
      <c r="G809" s="1338"/>
      <c r="H809" s="1338"/>
      <c r="I809" s="1334"/>
      <c r="J809" s="1334"/>
      <c r="K809" s="1334"/>
      <c r="L809" s="1334"/>
      <c r="M809" s="1334"/>
      <c r="N809" s="1334"/>
      <c r="O809" s="1334"/>
      <c r="P809" s="1334"/>
      <c r="Q809" s="1334"/>
      <c r="R809" s="1334"/>
      <c r="S809" s="1334"/>
      <c r="T809" s="1334"/>
      <c r="U809" s="1334"/>
      <c r="V809" s="1334"/>
      <c r="W809" s="1334"/>
      <c r="X809" s="1334"/>
      <c r="Y809" s="1334"/>
      <c r="Z809" s="1334"/>
    </row>
    <row r="810" spans="4:26" ht="15.75" customHeight="1" x14ac:dyDescent="0.3">
      <c r="D810" s="1334"/>
      <c r="E810" s="1341"/>
      <c r="F810" s="1338"/>
      <c r="G810" s="1338"/>
      <c r="H810" s="1338"/>
      <c r="I810" s="1334"/>
      <c r="J810" s="1334"/>
      <c r="K810" s="1334"/>
      <c r="L810" s="1334"/>
      <c r="M810" s="1334"/>
      <c r="N810" s="1334"/>
      <c r="O810" s="1334"/>
      <c r="P810" s="1334"/>
      <c r="Q810" s="1334"/>
      <c r="R810" s="1334"/>
      <c r="S810" s="1334"/>
      <c r="T810" s="1334"/>
      <c r="U810" s="1334"/>
      <c r="V810" s="1334"/>
      <c r="W810" s="1334"/>
      <c r="X810" s="1334"/>
      <c r="Y810" s="1334"/>
      <c r="Z810" s="1334"/>
    </row>
    <row r="811" spans="4:26" ht="15.75" customHeight="1" x14ac:dyDescent="0.3">
      <c r="D811" s="1334"/>
      <c r="E811" s="1341"/>
      <c r="F811" s="1338"/>
      <c r="G811" s="1338"/>
      <c r="H811" s="1338"/>
      <c r="I811" s="1334"/>
      <c r="J811" s="1334"/>
      <c r="K811" s="1334"/>
      <c r="L811" s="1334"/>
      <c r="M811" s="1334"/>
      <c r="N811" s="1334"/>
      <c r="O811" s="1334"/>
      <c r="P811" s="1334"/>
      <c r="Q811" s="1334"/>
      <c r="R811" s="1334"/>
      <c r="S811" s="1334"/>
      <c r="T811" s="1334"/>
      <c r="U811" s="1334"/>
      <c r="V811" s="1334"/>
      <c r="W811" s="1334"/>
      <c r="X811" s="1334"/>
      <c r="Y811" s="1334"/>
      <c r="Z811" s="1334"/>
    </row>
    <row r="812" spans="4:26" ht="15.75" customHeight="1" x14ac:dyDescent="0.3">
      <c r="D812" s="1334"/>
      <c r="E812" s="1341"/>
      <c r="F812" s="1338"/>
      <c r="G812" s="1338"/>
      <c r="H812" s="1338"/>
      <c r="I812" s="1334"/>
      <c r="J812" s="1334"/>
      <c r="K812" s="1334"/>
      <c r="L812" s="1334"/>
      <c r="M812" s="1334"/>
      <c r="N812" s="1334"/>
      <c r="O812" s="1334"/>
      <c r="P812" s="1334"/>
      <c r="Q812" s="1334"/>
      <c r="R812" s="1334"/>
      <c r="S812" s="1334"/>
      <c r="T812" s="1334"/>
      <c r="U812" s="1334"/>
      <c r="V812" s="1334"/>
      <c r="W812" s="1334"/>
      <c r="X812" s="1334"/>
      <c r="Y812" s="1334"/>
      <c r="Z812" s="1334"/>
    </row>
    <row r="813" spans="4:26" ht="15.75" customHeight="1" x14ac:dyDescent="0.3">
      <c r="D813" s="1334"/>
      <c r="E813" s="1341"/>
      <c r="F813" s="1338"/>
      <c r="G813" s="1338"/>
      <c r="H813" s="1338"/>
      <c r="I813" s="1334"/>
      <c r="J813" s="1334"/>
      <c r="K813" s="1334"/>
      <c r="L813" s="1334"/>
      <c r="M813" s="1334"/>
      <c r="N813" s="1334"/>
      <c r="O813" s="1334"/>
      <c r="P813" s="1334"/>
      <c r="Q813" s="1334"/>
      <c r="R813" s="1334"/>
      <c r="S813" s="1334"/>
      <c r="T813" s="1334"/>
      <c r="U813" s="1334"/>
      <c r="V813" s="1334"/>
      <c r="W813" s="1334"/>
      <c r="X813" s="1334"/>
      <c r="Y813" s="1334"/>
      <c r="Z813" s="1334"/>
    </row>
    <row r="814" spans="4:26" ht="15.75" customHeight="1" x14ac:dyDescent="0.3">
      <c r="D814" s="1334"/>
      <c r="E814" s="1341"/>
      <c r="F814" s="1338"/>
      <c r="G814" s="1338"/>
      <c r="H814" s="1338"/>
      <c r="I814" s="1334"/>
      <c r="J814" s="1334"/>
      <c r="K814" s="1334"/>
      <c r="L814" s="1334"/>
      <c r="M814" s="1334"/>
      <c r="N814" s="1334"/>
      <c r="O814" s="1334"/>
      <c r="P814" s="1334"/>
      <c r="Q814" s="1334"/>
      <c r="R814" s="1334"/>
      <c r="S814" s="1334"/>
      <c r="T814" s="1334"/>
      <c r="U814" s="1334"/>
      <c r="V814" s="1334"/>
      <c r="W814" s="1334"/>
      <c r="X814" s="1334"/>
      <c r="Y814" s="1334"/>
      <c r="Z814" s="1334"/>
    </row>
    <row r="815" spans="4:26" ht="15.75" customHeight="1" x14ac:dyDescent="0.3">
      <c r="D815" s="1334"/>
      <c r="E815" s="1341"/>
      <c r="F815" s="1338"/>
      <c r="G815" s="1338"/>
      <c r="H815" s="1338"/>
      <c r="I815" s="1334"/>
      <c r="J815" s="1334"/>
      <c r="K815" s="1334"/>
      <c r="L815" s="1334"/>
      <c r="M815" s="1334"/>
      <c r="N815" s="1334"/>
      <c r="O815" s="1334"/>
      <c r="P815" s="1334"/>
      <c r="Q815" s="1334"/>
      <c r="R815" s="1334"/>
      <c r="S815" s="1334"/>
      <c r="T815" s="1334"/>
      <c r="U815" s="1334"/>
      <c r="V815" s="1334"/>
      <c r="W815" s="1334"/>
      <c r="X815" s="1334"/>
      <c r="Y815" s="1334"/>
      <c r="Z815" s="1334"/>
    </row>
    <row r="816" spans="4:26" ht="15.75" customHeight="1" x14ac:dyDescent="0.3">
      <c r="D816" s="1334"/>
      <c r="E816" s="1341"/>
      <c r="F816" s="1338"/>
      <c r="G816" s="1338"/>
      <c r="H816" s="1338"/>
      <c r="I816" s="1334"/>
      <c r="J816" s="1334"/>
      <c r="K816" s="1334"/>
      <c r="L816" s="1334"/>
      <c r="M816" s="1334"/>
      <c r="N816" s="1334"/>
      <c r="O816" s="1334"/>
      <c r="P816" s="1334"/>
      <c r="Q816" s="1334"/>
      <c r="R816" s="1334"/>
      <c r="S816" s="1334"/>
      <c r="T816" s="1334"/>
      <c r="U816" s="1334"/>
      <c r="V816" s="1334"/>
      <c r="W816" s="1334"/>
      <c r="X816" s="1334"/>
      <c r="Y816" s="1334"/>
      <c r="Z816" s="1334"/>
    </row>
    <row r="817" spans="4:26" ht="15.75" customHeight="1" x14ac:dyDescent="0.3">
      <c r="D817" s="1334"/>
      <c r="E817" s="1341"/>
      <c r="F817" s="1338"/>
      <c r="G817" s="1338"/>
      <c r="H817" s="1338"/>
      <c r="I817" s="1334"/>
      <c r="J817" s="1334"/>
      <c r="K817" s="1334"/>
      <c r="L817" s="1334"/>
      <c r="M817" s="1334"/>
      <c r="N817" s="1334"/>
      <c r="O817" s="1334"/>
      <c r="P817" s="1334"/>
      <c r="Q817" s="1334"/>
      <c r="R817" s="1334"/>
      <c r="S817" s="1334"/>
      <c r="T817" s="1334"/>
      <c r="U817" s="1334"/>
      <c r="V817" s="1334"/>
      <c r="W817" s="1334"/>
      <c r="X817" s="1334"/>
      <c r="Y817" s="1334"/>
      <c r="Z817" s="1334"/>
    </row>
    <row r="818" spans="4:26" ht="15.75" customHeight="1" x14ac:dyDescent="0.3">
      <c r="D818" s="1334"/>
      <c r="E818" s="1341"/>
      <c r="F818" s="1338"/>
      <c r="G818" s="1338"/>
      <c r="H818" s="1338"/>
      <c r="I818" s="1334"/>
      <c r="J818" s="1334"/>
      <c r="K818" s="1334"/>
      <c r="L818" s="1334"/>
      <c r="M818" s="1334"/>
      <c r="N818" s="1334"/>
      <c r="O818" s="1334"/>
      <c r="P818" s="1334"/>
      <c r="Q818" s="1334"/>
      <c r="R818" s="1334"/>
      <c r="S818" s="1334"/>
      <c r="T818" s="1334"/>
      <c r="U818" s="1334"/>
      <c r="V818" s="1334"/>
      <c r="W818" s="1334"/>
      <c r="X818" s="1334"/>
      <c r="Y818" s="1334"/>
      <c r="Z818" s="1334"/>
    </row>
    <row r="819" spans="4:26" ht="15.75" customHeight="1" x14ac:dyDescent="0.3">
      <c r="D819" s="1334"/>
      <c r="E819" s="1341"/>
      <c r="F819" s="1338"/>
      <c r="G819" s="1338"/>
      <c r="H819" s="1338"/>
      <c r="I819" s="1334"/>
      <c r="J819" s="1334"/>
      <c r="K819" s="1334"/>
      <c r="L819" s="1334"/>
      <c r="M819" s="1334"/>
      <c r="N819" s="1334"/>
      <c r="O819" s="1334"/>
      <c r="P819" s="1334"/>
      <c r="Q819" s="1334"/>
      <c r="R819" s="1334"/>
      <c r="S819" s="1334"/>
      <c r="T819" s="1334"/>
      <c r="U819" s="1334"/>
      <c r="V819" s="1334"/>
      <c r="W819" s="1334"/>
      <c r="X819" s="1334"/>
      <c r="Y819" s="1334"/>
      <c r="Z819" s="1334"/>
    </row>
    <row r="820" spans="4:26" ht="15.75" customHeight="1" x14ac:dyDescent="0.3">
      <c r="D820" s="1334"/>
      <c r="E820" s="1341"/>
      <c r="F820" s="1338"/>
      <c r="G820" s="1338"/>
      <c r="H820" s="1338"/>
      <c r="I820" s="1334"/>
      <c r="J820" s="1334"/>
      <c r="K820" s="1334"/>
      <c r="L820" s="1334"/>
      <c r="M820" s="1334"/>
      <c r="N820" s="1334"/>
      <c r="O820" s="1334"/>
      <c r="P820" s="1334"/>
      <c r="Q820" s="1334"/>
      <c r="R820" s="1334"/>
      <c r="S820" s="1334"/>
      <c r="T820" s="1334"/>
      <c r="U820" s="1334"/>
      <c r="V820" s="1334"/>
      <c r="W820" s="1334"/>
      <c r="X820" s="1334"/>
      <c r="Y820" s="1334"/>
      <c r="Z820" s="1334"/>
    </row>
    <row r="821" spans="4:26" ht="15.75" customHeight="1" x14ac:dyDescent="0.3">
      <c r="D821" s="1334"/>
      <c r="E821" s="1341"/>
      <c r="F821" s="1338"/>
      <c r="G821" s="1338"/>
      <c r="H821" s="1338"/>
      <c r="I821" s="1334"/>
      <c r="J821" s="1334"/>
      <c r="K821" s="1334"/>
      <c r="L821" s="1334"/>
      <c r="M821" s="1334"/>
      <c r="N821" s="1334"/>
      <c r="O821" s="1334"/>
      <c r="P821" s="1334"/>
      <c r="Q821" s="1334"/>
      <c r="R821" s="1334"/>
      <c r="S821" s="1334"/>
      <c r="T821" s="1334"/>
      <c r="U821" s="1334"/>
      <c r="V821" s="1334"/>
      <c r="W821" s="1334"/>
      <c r="X821" s="1334"/>
      <c r="Y821" s="1334"/>
      <c r="Z821" s="1334"/>
    </row>
    <row r="822" spans="4:26" ht="15.75" customHeight="1" x14ac:dyDescent="0.3">
      <c r="D822" s="1334"/>
      <c r="E822" s="1341"/>
      <c r="F822" s="1338"/>
      <c r="G822" s="1338"/>
      <c r="H822" s="1338"/>
      <c r="I822" s="1334"/>
      <c r="J822" s="1334"/>
      <c r="K822" s="1334"/>
      <c r="L822" s="1334"/>
      <c r="M822" s="1334"/>
      <c r="N822" s="1334"/>
      <c r="O822" s="1334"/>
      <c r="P822" s="1334"/>
      <c r="Q822" s="1334"/>
      <c r="R822" s="1334"/>
      <c r="S822" s="1334"/>
      <c r="T822" s="1334"/>
      <c r="U822" s="1334"/>
      <c r="V822" s="1334"/>
      <c r="W822" s="1334"/>
      <c r="X822" s="1334"/>
      <c r="Y822" s="1334"/>
      <c r="Z822" s="1334"/>
    </row>
    <row r="823" spans="4:26" ht="15.75" customHeight="1" x14ac:dyDescent="0.3">
      <c r="D823" s="1334"/>
      <c r="E823" s="1341"/>
      <c r="F823" s="1338"/>
      <c r="G823" s="1338"/>
      <c r="H823" s="1338"/>
      <c r="I823" s="1334"/>
      <c r="J823" s="1334"/>
      <c r="K823" s="1334"/>
      <c r="L823" s="1334"/>
      <c r="M823" s="1334"/>
      <c r="N823" s="1334"/>
      <c r="O823" s="1334"/>
      <c r="P823" s="1334"/>
      <c r="Q823" s="1334"/>
      <c r="R823" s="1334"/>
      <c r="S823" s="1334"/>
      <c r="T823" s="1334"/>
      <c r="U823" s="1334"/>
      <c r="V823" s="1334"/>
      <c r="W823" s="1334"/>
      <c r="X823" s="1334"/>
      <c r="Y823" s="1334"/>
      <c r="Z823" s="1334"/>
    </row>
    <row r="824" spans="4:26" ht="15.75" customHeight="1" x14ac:dyDescent="0.3">
      <c r="D824" s="1334"/>
      <c r="E824" s="1341"/>
      <c r="F824" s="1338"/>
      <c r="G824" s="1338"/>
      <c r="H824" s="1338"/>
      <c r="I824" s="1334"/>
      <c r="J824" s="1334"/>
      <c r="K824" s="1334"/>
      <c r="L824" s="1334"/>
      <c r="M824" s="1334"/>
      <c r="N824" s="1334"/>
      <c r="O824" s="1334"/>
      <c r="P824" s="1334"/>
      <c r="Q824" s="1334"/>
      <c r="R824" s="1334"/>
      <c r="S824" s="1334"/>
      <c r="T824" s="1334"/>
      <c r="U824" s="1334"/>
      <c r="V824" s="1334"/>
      <c r="W824" s="1334"/>
      <c r="X824" s="1334"/>
      <c r="Y824" s="1334"/>
      <c r="Z824" s="1334"/>
    </row>
    <row r="825" spans="4:26" ht="15.75" customHeight="1" x14ac:dyDescent="0.3">
      <c r="D825" s="1334"/>
      <c r="E825" s="1341"/>
      <c r="F825" s="1338"/>
      <c r="G825" s="1338"/>
      <c r="H825" s="1338"/>
      <c r="I825" s="1334"/>
      <c r="J825" s="1334"/>
      <c r="K825" s="1334"/>
      <c r="L825" s="1334"/>
      <c r="M825" s="1334"/>
      <c r="N825" s="1334"/>
      <c r="O825" s="1334"/>
      <c r="P825" s="1334"/>
      <c r="Q825" s="1334"/>
      <c r="R825" s="1334"/>
      <c r="S825" s="1334"/>
      <c r="T825" s="1334"/>
      <c r="U825" s="1334"/>
      <c r="V825" s="1334"/>
      <c r="W825" s="1334"/>
      <c r="X825" s="1334"/>
      <c r="Y825" s="1334"/>
      <c r="Z825" s="1334"/>
    </row>
    <row r="826" spans="4:26" ht="15.75" customHeight="1" x14ac:dyDescent="0.3">
      <c r="D826" s="1334"/>
      <c r="E826" s="1341"/>
      <c r="F826" s="1338"/>
      <c r="G826" s="1338"/>
      <c r="H826" s="1338"/>
      <c r="I826" s="1334"/>
      <c r="J826" s="1334"/>
      <c r="K826" s="1334"/>
      <c r="L826" s="1334"/>
      <c r="M826" s="1334"/>
      <c r="N826" s="1334"/>
      <c r="O826" s="1334"/>
      <c r="P826" s="1334"/>
      <c r="Q826" s="1334"/>
      <c r="R826" s="1334"/>
      <c r="S826" s="1334"/>
      <c r="T826" s="1334"/>
      <c r="U826" s="1334"/>
      <c r="V826" s="1334"/>
      <c r="W826" s="1334"/>
      <c r="X826" s="1334"/>
      <c r="Y826" s="1334"/>
      <c r="Z826" s="1334"/>
    </row>
    <row r="827" spans="4:26" ht="15.75" customHeight="1" x14ac:dyDescent="0.3">
      <c r="D827" s="1334"/>
      <c r="E827" s="1341"/>
      <c r="F827" s="1338"/>
      <c r="G827" s="1338"/>
      <c r="H827" s="1338"/>
      <c r="I827" s="1334"/>
      <c r="J827" s="1334"/>
      <c r="K827" s="1334"/>
      <c r="L827" s="1334"/>
      <c r="M827" s="1334"/>
      <c r="N827" s="1334"/>
      <c r="O827" s="1334"/>
      <c r="P827" s="1334"/>
      <c r="Q827" s="1334"/>
      <c r="R827" s="1334"/>
      <c r="S827" s="1334"/>
      <c r="T827" s="1334"/>
      <c r="U827" s="1334"/>
      <c r="V827" s="1334"/>
      <c r="W827" s="1334"/>
      <c r="X827" s="1334"/>
      <c r="Y827" s="1334"/>
      <c r="Z827" s="1334"/>
    </row>
    <row r="828" spans="4:26" ht="15.75" customHeight="1" x14ac:dyDescent="0.3">
      <c r="D828" s="1334"/>
      <c r="E828" s="1341"/>
      <c r="F828" s="1338"/>
      <c r="G828" s="1338"/>
      <c r="H828" s="1338"/>
      <c r="I828" s="1334"/>
      <c r="J828" s="1334"/>
      <c r="K828" s="1334"/>
      <c r="L828" s="1334"/>
      <c r="M828" s="1334"/>
      <c r="N828" s="1334"/>
      <c r="O828" s="1334"/>
      <c r="P828" s="1334"/>
      <c r="Q828" s="1334"/>
      <c r="R828" s="1334"/>
      <c r="S828" s="1334"/>
      <c r="T828" s="1334"/>
      <c r="U828" s="1334"/>
      <c r="V828" s="1334"/>
      <c r="W828" s="1334"/>
      <c r="X828" s="1334"/>
      <c r="Y828" s="1334"/>
      <c r="Z828" s="1334"/>
    </row>
    <row r="829" spans="4:26" ht="15.75" customHeight="1" x14ac:dyDescent="0.3">
      <c r="D829" s="1334"/>
      <c r="E829" s="1341"/>
      <c r="F829" s="1338"/>
      <c r="G829" s="1338"/>
      <c r="H829" s="1338"/>
      <c r="I829" s="1334"/>
      <c r="J829" s="1334"/>
      <c r="K829" s="1334"/>
      <c r="L829" s="1334"/>
      <c r="M829" s="1334"/>
      <c r="N829" s="1334"/>
      <c r="O829" s="1334"/>
      <c r="P829" s="1334"/>
      <c r="Q829" s="1334"/>
      <c r="R829" s="1334"/>
      <c r="S829" s="1334"/>
      <c r="T829" s="1334"/>
      <c r="U829" s="1334"/>
      <c r="V829" s="1334"/>
      <c r="W829" s="1334"/>
      <c r="X829" s="1334"/>
      <c r="Y829" s="1334"/>
      <c r="Z829" s="1334"/>
    </row>
    <row r="830" spans="4:26" ht="15.75" customHeight="1" x14ac:dyDescent="0.3">
      <c r="D830" s="1334"/>
      <c r="E830" s="1341"/>
      <c r="F830" s="1338"/>
      <c r="G830" s="1338"/>
      <c r="H830" s="1338"/>
      <c r="I830" s="1334"/>
      <c r="J830" s="1334"/>
      <c r="K830" s="1334"/>
      <c r="L830" s="1334"/>
      <c r="M830" s="1334"/>
      <c r="N830" s="1334"/>
      <c r="O830" s="1334"/>
      <c r="P830" s="1334"/>
      <c r="Q830" s="1334"/>
      <c r="R830" s="1334"/>
      <c r="S830" s="1334"/>
      <c r="T830" s="1334"/>
      <c r="U830" s="1334"/>
      <c r="V830" s="1334"/>
      <c r="W830" s="1334"/>
      <c r="X830" s="1334"/>
      <c r="Y830" s="1334"/>
      <c r="Z830" s="1334"/>
    </row>
    <row r="831" spans="4:26" ht="15.75" customHeight="1" x14ac:dyDescent="0.3">
      <c r="D831" s="1334"/>
      <c r="E831" s="1341"/>
      <c r="F831" s="1338"/>
      <c r="G831" s="1338"/>
      <c r="H831" s="1338"/>
      <c r="I831" s="1334"/>
      <c r="J831" s="1334"/>
      <c r="K831" s="1334"/>
      <c r="L831" s="1334"/>
      <c r="M831" s="1334"/>
      <c r="N831" s="1334"/>
      <c r="O831" s="1334"/>
      <c r="P831" s="1334"/>
      <c r="Q831" s="1334"/>
      <c r="R831" s="1334"/>
      <c r="S831" s="1334"/>
      <c r="T831" s="1334"/>
      <c r="U831" s="1334"/>
      <c r="V831" s="1334"/>
      <c r="W831" s="1334"/>
      <c r="X831" s="1334"/>
      <c r="Y831" s="1334"/>
      <c r="Z831" s="1334"/>
    </row>
    <row r="832" spans="4:26" ht="15.75" customHeight="1" x14ac:dyDescent="0.3">
      <c r="D832" s="1334"/>
      <c r="E832" s="1341"/>
      <c r="F832" s="1338"/>
      <c r="G832" s="1338"/>
      <c r="H832" s="1338"/>
      <c r="I832" s="1334"/>
      <c r="J832" s="1334"/>
      <c r="K832" s="1334"/>
      <c r="L832" s="1334"/>
      <c r="M832" s="1334"/>
      <c r="N832" s="1334"/>
      <c r="O832" s="1334"/>
      <c r="P832" s="1334"/>
      <c r="Q832" s="1334"/>
      <c r="R832" s="1334"/>
      <c r="S832" s="1334"/>
      <c r="T832" s="1334"/>
      <c r="U832" s="1334"/>
      <c r="V832" s="1334"/>
      <c r="W832" s="1334"/>
      <c r="X832" s="1334"/>
      <c r="Y832" s="1334"/>
      <c r="Z832" s="1334"/>
    </row>
    <row r="833" spans="4:26" ht="15.75" customHeight="1" x14ac:dyDescent="0.3">
      <c r="D833" s="1334"/>
      <c r="E833" s="1341"/>
      <c r="F833" s="1338"/>
      <c r="G833" s="1338"/>
      <c r="H833" s="1338"/>
      <c r="I833" s="1334"/>
      <c r="J833" s="1334"/>
      <c r="K833" s="1334"/>
      <c r="L833" s="1334"/>
      <c r="M833" s="1334"/>
      <c r="N833" s="1334"/>
      <c r="O833" s="1334"/>
      <c r="P833" s="1334"/>
      <c r="Q833" s="1334"/>
      <c r="R833" s="1334"/>
      <c r="S833" s="1334"/>
      <c r="T833" s="1334"/>
      <c r="U833" s="1334"/>
      <c r="V833" s="1334"/>
      <c r="W833" s="1334"/>
      <c r="X833" s="1334"/>
      <c r="Y833" s="1334"/>
      <c r="Z833" s="1334"/>
    </row>
    <row r="834" spans="4:26" ht="15.75" customHeight="1" x14ac:dyDescent="0.3">
      <c r="D834" s="1334"/>
      <c r="E834" s="1341"/>
      <c r="F834" s="1338"/>
      <c r="G834" s="1338"/>
      <c r="H834" s="1338"/>
      <c r="I834" s="1334"/>
      <c r="J834" s="1334"/>
      <c r="K834" s="1334"/>
      <c r="L834" s="1334"/>
      <c r="M834" s="1334"/>
      <c r="N834" s="1334"/>
      <c r="O834" s="1334"/>
      <c r="P834" s="1334"/>
      <c r="Q834" s="1334"/>
      <c r="R834" s="1334"/>
      <c r="S834" s="1334"/>
      <c r="T834" s="1334"/>
      <c r="U834" s="1334"/>
      <c r="V834" s="1334"/>
      <c r="W834" s="1334"/>
      <c r="X834" s="1334"/>
      <c r="Y834" s="1334"/>
      <c r="Z834" s="1334"/>
    </row>
    <row r="835" spans="4:26" ht="15.75" customHeight="1" x14ac:dyDescent="0.3">
      <c r="D835" s="1334"/>
      <c r="E835" s="1341"/>
      <c r="F835" s="1338"/>
      <c r="G835" s="1338"/>
      <c r="H835" s="1338"/>
      <c r="I835" s="1334"/>
      <c r="J835" s="1334"/>
      <c r="K835" s="1334"/>
      <c r="L835" s="1334"/>
      <c r="M835" s="1334"/>
      <c r="N835" s="1334"/>
      <c r="O835" s="1334"/>
      <c r="P835" s="1334"/>
      <c r="Q835" s="1334"/>
      <c r="R835" s="1334"/>
      <c r="S835" s="1334"/>
      <c r="T835" s="1334"/>
      <c r="U835" s="1334"/>
      <c r="V835" s="1334"/>
      <c r="W835" s="1334"/>
      <c r="X835" s="1334"/>
      <c r="Y835" s="1334"/>
      <c r="Z835" s="1334"/>
    </row>
    <row r="836" spans="4:26" ht="15.75" customHeight="1" x14ac:dyDescent="0.3">
      <c r="D836" s="1334"/>
      <c r="E836" s="1341"/>
      <c r="F836" s="1338"/>
      <c r="G836" s="1338"/>
      <c r="H836" s="1338"/>
      <c r="I836" s="1334"/>
      <c r="J836" s="1334"/>
      <c r="K836" s="1334"/>
      <c r="L836" s="1334"/>
      <c r="M836" s="1334"/>
      <c r="N836" s="1334"/>
      <c r="O836" s="1334"/>
      <c r="P836" s="1334"/>
      <c r="Q836" s="1334"/>
      <c r="R836" s="1334"/>
      <c r="S836" s="1334"/>
      <c r="T836" s="1334"/>
      <c r="U836" s="1334"/>
      <c r="V836" s="1334"/>
      <c r="W836" s="1334"/>
      <c r="X836" s="1334"/>
      <c r="Y836" s="1334"/>
      <c r="Z836" s="1334"/>
    </row>
    <row r="837" spans="4:26" ht="15.75" customHeight="1" x14ac:dyDescent="0.3">
      <c r="D837" s="1334"/>
      <c r="E837" s="1341"/>
      <c r="F837" s="1338"/>
      <c r="G837" s="1338"/>
      <c r="H837" s="1338"/>
      <c r="I837" s="1334"/>
      <c r="J837" s="1334"/>
      <c r="K837" s="1334"/>
      <c r="L837" s="1334"/>
      <c r="M837" s="1334"/>
      <c r="N837" s="1334"/>
      <c r="O837" s="1334"/>
      <c r="P837" s="1334"/>
      <c r="Q837" s="1334"/>
      <c r="R837" s="1334"/>
      <c r="S837" s="1334"/>
      <c r="T837" s="1334"/>
      <c r="U837" s="1334"/>
      <c r="V837" s="1334"/>
      <c r="W837" s="1334"/>
      <c r="X837" s="1334"/>
      <c r="Y837" s="1334"/>
      <c r="Z837" s="1334"/>
    </row>
    <row r="838" spans="4:26" ht="15.75" customHeight="1" x14ac:dyDescent="0.3">
      <c r="D838" s="1334"/>
      <c r="E838" s="1341"/>
      <c r="F838" s="1338"/>
      <c r="G838" s="1338"/>
      <c r="H838" s="1338"/>
      <c r="I838" s="1334"/>
      <c r="J838" s="1334"/>
      <c r="K838" s="1334"/>
      <c r="L838" s="1334"/>
      <c r="M838" s="1334"/>
      <c r="N838" s="1334"/>
      <c r="O838" s="1334"/>
      <c r="P838" s="1334"/>
      <c r="Q838" s="1334"/>
      <c r="R838" s="1334"/>
      <c r="S838" s="1334"/>
      <c r="T838" s="1334"/>
      <c r="U838" s="1334"/>
      <c r="V838" s="1334"/>
      <c r="W838" s="1334"/>
      <c r="X838" s="1334"/>
      <c r="Y838" s="1334"/>
      <c r="Z838" s="1334"/>
    </row>
    <row r="839" spans="4:26" ht="15.75" customHeight="1" x14ac:dyDescent="0.3">
      <c r="D839" s="1334"/>
      <c r="E839" s="1341"/>
      <c r="F839" s="1338"/>
      <c r="G839" s="1338"/>
      <c r="H839" s="1338"/>
      <c r="I839" s="1334"/>
      <c r="J839" s="1334"/>
      <c r="K839" s="1334"/>
      <c r="L839" s="1334"/>
      <c r="M839" s="1334"/>
      <c r="N839" s="1334"/>
      <c r="O839" s="1334"/>
      <c r="P839" s="1334"/>
      <c r="Q839" s="1334"/>
      <c r="R839" s="1334"/>
      <c r="S839" s="1334"/>
      <c r="T839" s="1334"/>
      <c r="U839" s="1334"/>
      <c r="V839" s="1334"/>
      <c r="W839" s="1334"/>
      <c r="X839" s="1334"/>
      <c r="Y839" s="1334"/>
      <c r="Z839" s="1334"/>
    </row>
    <row r="840" spans="4:26" ht="15.75" customHeight="1" x14ac:dyDescent="0.3">
      <c r="D840" s="1334"/>
      <c r="E840" s="1341"/>
      <c r="F840" s="1338"/>
      <c r="G840" s="1338"/>
      <c r="H840" s="1338"/>
      <c r="I840" s="1334"/>
      <c r="J840" s="1334"/>
      <c r="K840" s="1334"/>
      <c r="L840" s="1334"/>
      <c r="M840" s="1334"/>
      <c r="N840" s="1334"/>
      <c r="O840" s="1334"/>
      <c r="P840" s="1334"/>
      <c r="Q840" s="1334"/>
      <c r="R840" s="1334"/>
      <c r="S840" s="1334"/>
      <c r="T840" s="1334"/>
      <c r="U840" s="1334"/>
      <c r="V840" s="1334"/>
      <c r="W840" s="1334"/>
      <c r="X840" s="1334"/>
      <c r="Y840" s="1334"/>
      <c r="Z840" s="1334"/>
    </row>
    <row r="841" spans="4:26" ht="15.75" customHeight="1" x14ac:dyDescent="0.3">
      <c r="D841" s="1334"/>
      <c r="E841" s="1341"/>
      <c r="F841" s="1338"/>
      <c r="G841" s="1338"/>
      <c r="H841" s="1338"/>
      <c r="I841" s="1334"/>
      <c r="J841" s="1334"/>
      <c r="K841" s="1334"/>
      <c r="L841" s="1334"/>
      <c r="M841" s="1334"/>
      <c r="N841" s="1334"/>
      <c r="O841" s="1334"/>
      <c r="P841" s="1334"/>
      <c r="Q841" s="1334"/>
      <c r="R841" s="1334"/>
      <c r="S841" s="1334"/>
      <c r="T841" s="1334"/>
      <c r="U841" s="1334"/>
      <c r="V841" s="1334"/>
      <c r="W841" s="1334"/>
      <c r="X841" s="1334"/>
      <c r="Y841" s="1334"/>
      <c r="Z841" s="1334"/>
    </row>
    <row r="842" spans="4:26" ht="15.75" customHeight="1" x14ac:dyDescent="0.3">
      <c r="D842" s="1334"/>
      <c r="E842" s="1341"/>
      <c r="F842" s="1338"/>
      <c r="G842" s="1338"/>
      <c r="H842" s="1338"/>
      <c r="I842" s="1334"/>
      <c r="J842" s="1334"/>
      <c r="K842" s="1334"/>
      <c r="L842" s="1334"/>
      <c r="M842" s="1334"/>
      <c r="N842" s="1334"/>
      <c r="O842" s="1334"/>
      <c r="P842" s="1334"/>
      <c r="Q842" s="1334"/>
      <c r="R842" s="1334"/>
      <c r="S842" s="1334"/>
      <c r="T842" s="1334"/>
      <c r="U842" s="1334"/>
      <c r="V842" s="1334"/>
      <c r="W842" s="1334"/>
      <c r="X842" s="1334"/>
      <c r="Y842" s="1334"/>
      <c r="Z842" s="1334"/>
    </row>
    <row r="843" spans="4:26" ht="15.75" customHeight="1" x14ac:dyDescent="0.3">
      <c r="D843" s="1334"/>
      <c r="E843" s="1341"/>
      <c r="F843" s="1338"/>
      <c r="G843" s="1338"/>
      <c r="H843" s="1338"/>
      <c r="I843" s="1334"/>
      <c r="J843" s="1334"/>
      <c r="K843" s="1334"/>
      <c r="L843" s="1334"/>
      <c r="M843" s="1334"/>
      <c r="N843" s="1334"/>
      <c r="O843" s="1334"/>
      <c r="P843" s="1334"/>
      <c r="Q843" s="1334"/>
      <c r="R843" s="1334"/>
      <c r="S843" s="1334"/>
      <c r="T843" s="1334"/>
      <c r="U843" s="1334"/>
      <c r="V843" s="1334"/>
      <c r="W843" s="1334"/>
      <c r="X843" s="1334"/>
      <c r="Y843" s="1334"/>
      <c r="Z843" s="1334"/>
    </row>
    <row r="844" spans="4:26" ht="15.75" customHeight="1" x14ac:dyDescent="0.3">
      <c r="D844" s="1334"/>
      <c r="E844" s="1341"/>
      <c r="F844" s="1338"/>
      <c r="G844" s="1338"/>
      <c r="H844" s="1338"/>
      <c r="I844" s="1334"/>
      <c r="J844" s="1334"/>
      <c r="K844" s="1334"/>
      <c r="L844" s="1334"/>
      <c r="M844" s="1334"/>
      <c r="N844" s="1334"/>
      <c r="O844" s="1334"/>
      <c r="P844" s="1334"/>
      <c r="Q844" s="1334"/>
      <c r="R844" s="1334"/>
      <c r="S844" s="1334"/>
      <c r="T844" s="1334"/>
      <c r="U844" s="1334"/>
      <c r="V844" s="1334"/>
      <c r="W844" s="1334"/>
      <c r="X844" s="1334"/>
      <c r="Y844" s="1334"/>
      <c r="Z844" s="1334"/>
    </row>
    <row r="845" spans="4:26" ht="15.75" customHeight="1" x14ac:dyDescent="0.3">
      <c r="D845" s="1334"/>
      <c r="E845" s="1341"/>
      <c r="F845" s="1338"/>
      <c r="G845" s="1338"/>
      <c r="H845" s="1338"/>
      <c r="I845" s="1334"/>
      <c r="J845" s="1334"/>
      <c r="K845" s="1334"/>
      <c r="L845" s="1334"/>
      <c r="M845" s="1334"/>
      <c r="N845" s="1334"/>
      <c r="O845" s="1334"/>
      <c r="P845" s="1334"/>
      <c r="Q845" s="1334"/>
      <c r="R845" s="1334"/>
      <c r="S845" s="1334"/>
      <c r="T845" s="1334"/>
      <c r="U845" s="1334"/>
      <c r="V845" s="1334"/>
      <c r="W845" s="1334"/>
      <c r="X845" s="1334"/>
      <c r="Y845" s="1334"/>
      <c r="Z845" s="1334"/>
    </row>
    <row r="846" spans="4:26" ht="15.75" customHeight="1" x14ac:dyDescent="0.3">
      <c r="D846" s="1334"/>
      <c r="E846" s="1341"/>
      <c r="F846" s="1338"/>
      <c r="G846" s="1338"/>
      <c r="H846" s="1338"/>
      <c r="I846" s="1334"/>
      <c r="J846" s="1334"/>
      <c r="K846" s="1334"/>
      <c r="L846" s="1334"/>
      <c r="M846" s="1334"/>
      <c r="N846" s="1334"/>
      <c r="O846" s="1334"/>
      <c r="P846" s="1334"/>
      <c r="Q846" s="1334"/>
      <c r="R846" s="1334"/>
      <c r="S846" s="1334"/>
      <c r="T846" s="1334"/>
      <c r="U846" s="1334"/>
      <c r="V846" s="1334"/>
      <c r="W846" s="1334"/>
      <c r="X846" s="1334"/>
      <c r="Y846" s="1334"/>
      <c r="Z846" s="1334"/>
    </row>
    <row r="847" spans="4:26" ht="15.75" customHeight="1" x14ac:dyDescent="0.3">
      <c r="D847" s="1334"/>
      <c r="E847" s="1341"/>
      <c r="F847" s="1338"/>
      <c r="G847" s="1338"/>
      <c r="H847" s="1338"/>
      <c r="I847" s="1334"/>
      <c r="J847" s="1334"/>
      <c r="K847" s="1334"/>
      <c r="L847" s="1334"/>
      <c r="M847" s="1334"/>
      <c r="N847" s="1334"/>
      <c r="O847" s="1334"/>
      <c r="P847" s="1334"/>
      <c r="Q847" s="1334"/>
      <c r="R847" s="1334"/>
      <c r="S847" s="1334"/>
      <c r="T847" s="1334"/>
      <c r="U847" s="1334"/>
      <c r="V847" s="1334"/>
      <c r="W847" s="1334"/>
      <c r="X847" s="1334"/>
      <c r="Y847" s="1334"/>
      <c r="Z847" s="1334"/>
    </row>
    <row r="848" spans="4:26" ht="15.75" customHeight="1" x14ac:dyDescent="0.3">
      <c r="D848" s="1334"/>
      <c r="E848" s="1341"/>
      <c r="F848" s="1338"/>
      <c r="G848" s="1338"/>
      <c r="H848" s="1338"/>
      <c r="I848" s="1334"/>
      <c r="J848" s="1334"/>
      <c r="K848" s="1334"/>
      <c r="L848" s="1334"/>
      <c r="M848" s="1334"/>
      <c r="N848" s="1334"/>
      <c r="O848" s="1334"/>
      <c r="P848" s="1334"/>
      <c r="Q848" s="1334"/>
      <c r="R848" s="1334"/>
      <c r="S848" s="1334"/>
      <c r="T848" s="1334"/>
      <c r="U848" s="1334"/>
      <c r="V848" s="1334"/>
      <c r="W848" s="1334"/>
      <c r="X848" s="1334"/>
      <c r="Y848" s="1334"/>
      <c r="Z848" s="1334"/>
    </row>
    <row r="849" spans="4:26" ht="15.75" customHeight="1" x14ac:dyDescent="0.3">
      <c r="D849" s="1334"/>
      <c r="E849" s="1341"/>
      <c r="F849" s="1338"/>
      <c r="G849" s="1338"/>
      <c r="H849" s="1338"/>
      <c r="I849" s="1334"/>
      <c r="J849" s="1334"/>
      <c r="K849" s="1334"/>
      <c r="L849" s="1334"/>
      <c r="M849" s="1334"/>
      <c r="N849" s="1334"/>
      <c r="O849" s="1334"/>
      <c r="P849" s="1334"/>
      <c r="Q849" s="1334"/>
      <c r="R849" s="1334"/>
      <c r="S849" s="1334"/>
      <c r="T849" s="1334"/>
      <c r="U849" s="1334"/>
      <c r="V849" s="1334"/>
      <c r="W849" s="1334"/>
      <c r="X849" s="1334"/>
      <c r="Y849" s="1334"/>
      <c r="Z849" s="1334"/>
    </row>
    <row r="850" spans="4:26" ht="15.75" customHeight="1" x14ac:dyDescent="0.3">
      <c r="D850" s="1334"/>
      <c r="E850" s="1341"/>
      <c r="F850" s="1338"/>
      <c r="G850" s="1338"/>
      <c r="H850" s="1338"/>
      <c r="I850" s="1334"/>
      <c r="J850" s="1334"/>
      <c r="K850" s="1334"/>
      <c r="L850" s="1334"/>
      <c r="M850" s="1334"/>
      <c r="N850" s="1334"/>
      <c r="O850" s="1334"/>
      <c r="P850" s="1334"/>
      <c r="Q850" s="1334"/>
      <c r="R850" s="1334"/>
      <c r="S850" s="1334"/>
      <c r="T850" s="1334"/>
      <c r="U850" s="1334"/>
      <c r="V850" s="1334"/>
      <c r="W850" s="1334"/>
      <c r="X850" s="1334"/>
      <c r="Y850" s="1334"/>
      <c r="Z850" s="1334"/>
    </row>
    <row r="851" spans="4:26" ht="15.75" customHeight="1" x14ac:dyDescent="0.3">
      <c r="D851" s="1334"/>
      <c r="E851" s="1341"/>
      <c r="F851" s="1338"/>
      <c r="G851" s="1338"/>
      <c r="H851" s="1338"/>
      <c r="I851" s="1334"/>
      <c r="J851" s="1334"/>
      <c r="K851" s="1334"/>
      <c r="L851" s="1334"/>
      <c r="M851" s="1334"/>
      <c r="N851" s="1334"/>
      <c r="O851" s="1334"/>
      <c r="P851" s="1334"/>
      <c r="Q851" s="1334"/>
      <c r="R851" s="1334"/>
      <c r="S851" s="1334"/>
      <c r="T851" s="1334"/>
      <c r="U851" s="1334"/>
      <c r="V851" s="1334"/>
      <c r="W851" s="1334"/>
      <c r="X851" s="1334"/>
      <c r="Y851" s="1334"/>
      <c r="Z851" s="1334"/>
    </row>
    <row r="852" spans="4:26" ht="15.75" customHeight="1" x14ac:dyDescent="0.3">
      <c r="D852" s="1334"/>
      <c r="E852" s="1341"/>
      <c r="F852" s="1338"/>
      <c r="G852" s="1338"/>
      <c r="H852" s="1338"/>
      <c r="I852" s="1334"/>
      <c r="J852" s="1334"/>
      <c r="K852" s="1334"/>
      <c r="L852" s="1334"/>
      <c r="M852" s="1334"/>
      <c r="N852" s="1334"/>
      <c r="O852" s="1334"/>
      <c r="P852" s="1334"/>
      <c r="Q852" s="1334"/>
      <c r="R852" s="1334"/>
      <c r="S852" s="1334"/>
      <c r="T852" s="1334"/>
      <c r="U852" s="1334"/>
      <c r="V852" s="1334"/>
      <c r="W852" s="1334"/>
      <c r="X852" s="1334"/>
      <c r="Y852" s="1334"/>
      <c r="Z852" s="1334"/>
    </row>
    <row r="853" spans="4:26" ht="15.75" customHeight="1" x14ac:dyDescent="0.3">
      <c r="D853" s="1334"/>
      <c r="E853" s="1341"/>
      <c r="F853" s="1338"/>
      <c r="G853" s="1338"/>
      <c r="H853" s="1338"/>
      <c r="I853" s="1334"/>
      <c r="J853" s="1334"/>
      <c r="K853" s="1334"/>
      <c r="L853" s="1334"/>
      <c r="M853" s="1334"/>
      <c r="N853" s="1334"/>
      <c r="O853" s="1334"/>
      <c r="P853" s="1334"/>
      <c r="Q853" s="1334"/>
      <c r="R853" s="1334"/>
      <c r="S853" s="1334"/>
      <c r="T853" s="1334"/>
      <c r="U853" s="1334"/>
      <c r="V853" s="1334"/>
      <c r="W853" s="1334"/>
      <c r="X853" s="1334"/>
      <c r="Y853" s="1334"/>
      <c r="Z853" s="1334"/>
    </row>
    <row r="854" spans="4:26" ht="15.75" customHeight="1" x14ac:dyDescent="0.3">
      <c r="D854" s="1334"/>
      <c r="E854" s="1341"/>
      <c r="F854" s="1338"/>
      <c r="G854" s="1338"/>
      <c r="H854" s="1338"/>
      <c r="I854" s="1334"/>
      <c r="J854" s="1334"/>
      <c r="K854" s="1334"/>
      <c r="L854" s="1334"/>
      <c r="M854" s="1334"/>
      <c r="N854" s="1334"/>
      <c r="O854" s="1334"/>
      <c r="P854" s="1334"/>
      <c r="Q854" s="1334"/>
      <c r="R854" s="1334"/>
      <c r="S854" s="1334"/>
      <c r="T854" s="1334"/>
      <c r="U854" s="1334"/>
      <c r="V854" s="1334"/>
      <c r="W854" s="1334"/>
      <c r="X854" s="1334"/>
      <c r="Y854" s="1334"/>
      <c r="Z854" s="1334"/>
    </row>
    <row r="855" spans="4:26" ht="15.75" customHeight="1" x14ac:dyDescent="0.3">
      <c r="D855" s="1334"/>
      <c r="E855" s="1341"/>
      <c r="F855" s="1338"/>
      <c r="G855" s="1338"/>
      <c r="H855" s="1338"/>
      <c r="I855" s="1334"/>
      <c r="J855" s="1334"/>
      <c r="K855" s="1334"/>
      <c r="L855" s="1334"/>
      <c r="M855" s="1334"/>
      <c r="N855" s="1334"/>
      <c r="O855" s="1334"/>
      <c r="P855" s="1334"/>
      <c r="Q855" s="1334"/>
      <c r="R855" s="1334"/>
      <c r="S855" s="1334"/>
      <c r="T855" s="1334"/>
      <c r="U855" s="1334"/>
      <c r="V855" s="1334"/>
      <c r="W855" s="1334"/>
      <c r="X855" s="1334"/>
      <c r="Y855" s="1334"/>
      <c r="Z855" s="1334"/>
    </row>
    <row r="856" spans="4:26" ht="15.75" customHeight="1" x14ac:dyDescent="0.3">
      <c r="D856" s="1334"/>
      <c r="E856" s="1341"/>
      <c r="F856" s="1338"/>
      <c r="G856" s="1338"/>
      <c r="H856" s="1338"/>
      <c r="I856" s="1334"/>
      <c r="J856" s="1334"/>
      <c r="K856" s="1334"/>
      <c r="L856" s="1334"/>
      <c r="M856" s="1334"/>
      <c r="N856" s="1334"/>
      <c r="O856" s="1334"/>
      <c r="P856" s="1334"/>
      <c r="Q856" s="1334"/>
      <c r="R856" s="1334"/>
      <c r="S856" s="1334"/>
      <c r="T856" s="1334"/>
      <c r="U856" s="1334"/>
      <c r="V856" s="1334"/>
      <c r="W856" s="1334"/>
      <c r="X856" s="1334"/>
      <c r="Y856" s="1334"/>
      <c r="Z856" s="1334"/>
    </row>
    <row r="857" spans="4:26" ht="15.75" customHeight="1" x14ac:dyDescent="0.3">
      <c r="D857" s="1334"/>
      <c r="E857" s="1341"/>
      <c r="F857" s="1338"/>
      <c r="G857" s="1338"/>
      <c r="H857" s="1338"/>
      <c r="I857" s="1334"/>
      <c r="J857" s="1334"/>
      <c r="K857" s="1334"/>
      <c r="L857" s="1334"/>
      <c r="M857" s="1334"/>
      <c r="N857" s="1334"/>
      <c r="O857" s="1334"/>
      <c r="P857" s="1334"/>
      <c r="Q857" s="1334"/>
      <c r="R857" s="1334"/>
      <c r="S857" s="1334"/>
      <c r="T857" s="1334"/>
      <c r="U857" s="1334"/>
      <c r="V857" s="1334"/>
      <c r="W857" s="1334"/>
      <c r="X857" s="1334"/>
      <c r="Y857" s="1334"/>
      <c r="Z857" s="1334"/>
    </row>
    <row r="858" spans="4:26" ht="15.75" customHeight="1" x14ac:dyDescent="0.3">
      <c r="D858" s="1334"/>
      <c r="E858" s="1341"/>
      <c r="F858" s="1338"/>
      <c r="G858" s="1338"/>
      <c r="H858" s="1338"/>
      <c r="I858" s="1334"/>
      <c r="J858" s="1334"/>
      <c r="K858" s="1334"/>
      <c r="L858" s="1334"/>
      <c r="M858" s="1334"/>
      <c r="N858" s="1334"/>
      <c r="O858" s="1334"/>
      <c r="P858" s="1334"/>
      <c r="Q858" s="1334"/>
      <c r="R858" s="1334"/>
      <c r="S858" s="1334"/>
      <c r="T858" s="1334"/>
      <c r="U858" s="1334"/>
      <c r="V858" s="1334"/>
      <c r="W858" s="1334"/>
      <c r="X858" s="1334"/>
      <c r="Y858" s="1334"/>
      <c r="Z858" s="1334"/>
    </row>
    <row r="859" spans="4:26" ht="15.75" customHeight="1" x14ac:dyDescent="0.3">
      <c r="D859" s="1334"/>
      <c r="E859" s="1341"/>
      <c r="F859" s="1338"/>
      <c r="G859" s="1338"/>
      <c r="H859" s="1338"/>
      <c r="I859" s="1334"/>
      <c r="J859" s="1334"/>
      <c r="K859" s="1334"/>
      <c r="L859" s="1334"/>
      <c r="M859" s="1334"/>
      <c r="N859" s="1334"/>
      <c r="O859" s="1334"/>
      <c r="P859" s="1334"/>
      <c r="Q859" s="1334"/>
      <c r="R859" s="1334"/>
      <c r="S859" s="1334"/>
      <c r="T859" s="1334"/>
      <c r="U859" s="1334"/>
      <c r="V859" s="1334"/>
      <c r="W859" s="1334"/>
      <c r="X859" s="1334"/>
      <c r="Y859" s="1334"/>
      <c r="Z859" s="1334"/>
    </row>
    <row r="860" spans="4:26" ht="15.75" customHeight="1" x14ac:dyDescent="0.3">
      <c r="D860" s="1334"/>
      <c r="E860" s="1341"/>
      <c r="F860" s="1338"/>
      <c r="G860" s="1338"/>
      <c r="H860" s="1338"/>
      <c r="I860" s="1334"/>
      <c r="J860" s="1334"/>
      <c r="K860" s="1334"/>
      <c r="L860" s="1334"/>
      <c r="M860" s="1334"/>
      <c r="N860" s="1334"/>
      <c r="O860" s="1334"/>
      <c r="P860" s="1334"/>
      <c r="Q860" s="1334"/>
      <c r="R860" s="1334"/>
      <c r="S860" s="1334"/>
      <c r="T860" s="1334"/>
      <c r="U860" s="1334"/>
      <c r="V860" s="1334"/>
      <c r="W860" s="1334"/>
      <c r="X860" s="1334"/>
      <c r="Y860" s="1334"/>
      <c r="Z860" s="1334"/>
    </row>
    <row r="861" spans="4:26" ht="15.75" customHeight="1" x14ac:dyDescent="0.3">
      <c r="D861" s="1334"/>
      <c r="E861" s="1341"/>
      <c r="F861" s="1338"/>
      <c r="G861" s="1338"/>
      <c r="H861" s="1338"/>
      <c r="I861" s="1334"/>
      <c r="J861" s="1334"/>
      <c r="K861" s="1334"/>
      <c r="L861" s="1334"/>
      <c r="M861" s="1334"/>
      <c r="N861" s="1334"/>
      <c r="O861" s="1334"/>
      <c r="P861" s="1334"/>
      <c r="Q861" s="1334"/>
      <c r="R861" s="1334"/>
      <c r="S861" s="1334"/>
      <c r="T861" s="1334"/>
      <c r="U861" s="1334"/>
      <c r="V861" s="1334"/>
      <c r="W861" s="1334"/>
      <c r="X861" s="1334"/>
      <c r="Y861" s="1334"/>
      <c r="Z861" s="1334"/>
    </row>
    <row r="862" spans="4:26" ht="15.75" customHeight="1" x14ac:dyDescent="0.3">
      <c r="D862" s="1334"/>
      <c r="E862" s="1341"/>
      <c r="F862" s="1338"/>
      <c r="G862" s="1338"/>
      <c r="H862" s="1338"/>
      <c r="I862" s="1334"/>
      <c r="J862" s="1334"/>
      <c r="K862" s="1334"/>
      <c r="L862" s="1334"/>
      <c r="M862" s="1334"/>
      <c r="N862" s="1334"/>
      <c r="O862" s="1334"/>
      <c r="P862" s="1334"/>
      <c r="Q862" s="1334"/>
      <c r="R862" s="1334"/>
      <c r="S862" s="1334"/>
      <c r="T862" s="1334"/>
      <c r="U862" s="1334"/>
      <c r="V862" s="1334"/>
      <c r="W862" s="1334"/>
      <c r="X862" s="1334"/>
      <c r="Y862" s="1334"/>
      <c r="Z862" s="1334"/>
    </row>
    <row r="863" spans="4:26" ht="15.75" customHeight="1" x14ac:dyDescent="0.3">
      <c r="D863" s="1334"/>
      <c r="E863" s="1341"/>
      <c r="F863" s="1338"/>
      <c r="G863" s="1338"/>
      <c r="H863" s="1338"/>
      <c r="I863" s="1334"/>
      <c r="J863" s="1334"/>
      <c r="K863" s="1334"/>
      <c r="L863" s="1334"/>
      <c r="M863" s="1334"/>
      <c r="N863" s="1334"/>
      <c r="O863" s="1334"/>
      <c r="P863" s="1334"/>
      <c r="Q863" s="1334"/>
      <c r="R863" s="1334"/>
      <c r="S863" s="1334"/>
      <c r="T863" s="1334"/>
      <c r="U863" s="1334"/>
      <c r="V863" s="1334"/>
      <c r="W863" s="1334"/>
      <c r="X863" s="1334"/>
      <c r="Y863" s="1334"/>
      <c r="Z863" s="1334"/>
    </row>
    <row r="864" spans="4:26" ht="15.75" customHeight="1" x14ac:dyDescent="0.3">
      <c r="D864" s="1334"/>
      <c r="E864" s="1341"/>
      <c r="F864" s="1338"/>
      <c r="G864" s="1338"/>
      <c r="H864" s="1338"/>
      <c r="I864" s="1334"/>
      <c r="J864" s="1334"/>
      <c r="K864" s="1334"/>
      <c r="L864" s="1334"/>
      <c r="M864" s="1334"/>
      <c r="N864" s="1334"/>
      <c r="O864" s="1334"/>
      <c r="P864" s="1334"/>
      <c r="Q864" s="1334"/>
      <c r="R864" s="1334"/>
      <c r="S864" s="1334"/>
      <c r="T864" s="1334"/>
      <c r="U864" s="1334"/>
      <c r="V864" s="1334"/>
      <c r="W864" s="1334"/>
      <c r="X864" s="1334"/>
      <c r="Y864" s="1334"/>
      <c r="Z864" s="1334"/>
    </row>
    <row r="865" spans="4:26" ht="15.75" customHeight="1" x14ac:dyDescent="0.3">
      <c r="D865" s="1334"/>
      <c r="E865" s="1341"/>
      <c r="F865" s="1338"/>
      <c r="G865" s="1338"/>
      <c r="H865" s="1338"/>
      <c r="I865" s="1334"/>
      <c r="J865" s="1334"/>
      <c r="K865" s="1334"/>
      <c r="L865" s="1334"/>
      <c r="M865" s="1334"/>
      <c r="N865" s="1334"/>
      <c r="O865" s="1334"/>
      <c r="P865" s="1334"/>
      <c r="Q865" s="1334"/>
      <c r="R865" s="1334"/>
      <c r="S865" s="1334"/>
      <c r="T865" s="1334"/>
      <c r="U865" s="1334"/>
      <c r="V865" s="1334"/>
      <c r="W865" s="1334"/>
      <c r="X865" s="1334"/>
      <c r="Y865" s="1334"/>
      <c r="Z865" s="1334"/>
    </row>
    <row r="866" spans="4:26" ht="15.75" customHeight="1" x14ac:dyDescent="0.3">
      <c r="D866" s="1334"/>
      <c r="E866" s="1341"/>
      <c r="F866" s="1338"/>
      <c r="G866" s="1338"/>
      <c r="H866" s="1338"/>
      <c r="I866" s="1334"/>
      <c r="J866" s="1334"/>
      <c r="K866" s="1334"/>
      <c r="L866" s="1334"/>
      <c r="M866" s="1334"/>
      <c r="N866" s="1334"/>
      <c r="O866" s="1334"/>
      <c r="P866" s="1334"/>
      <c r="Q866" s="1334"/>
      <c r="R866" s="1334"/>
      <c r="S866" s="1334"/>
      <c r="T866" s="1334"/>
      <c r="U866" s="1334"/>
      <c r="V866" s="1334"/>
      <c r="W866" s="1334"/>
      <c r="X866" s="1334"/>
      <c r="Y866" s="1334"/>
      <c r="Z866" s="1334"/>
    </row>
    <row r="867" spans="4:26" ht="15.75" customHeight="1" x14ac:dyDescent="0.3">
      <c r="D867" s="1334"/>
      <c r="E867" s="1341"/>
      <c r="F867" s="1338"/>
      <c r="G867" s="1338"/>
      <c r="H867" s="1338"/>
      <c r="I867" s="1334"/>
      <c r="J867" s="1334"/>
      <c r="K867" s="1334"/>
      <c r="L867" s="1334"/>
      <c r="M867" s="1334"/>
      <c r="N867" s="1334"/>
      <c r="O867" s="1334"/>
      <c r="P867" s="1334"/>
      <c r="Q867" s="1334"/>
      <c r="R867" s="1334"/>
      <c r="S867" s="1334"/>
      <c r="T867" s="1334"/>
      <c r="U867" s="1334"/>
      <c r="V867" s="1334"/>
      <c r="W867" s="1334"/>
      <c r="X867" s="1334"/>
      <c r="Y867" s="1334"/>
      <c r="Z867" s="1334"/>
    </row>
    <row r="868" spans="4:26" ht="15.75" customHeight="1" x14ac:dyDescent="0.3">
      <c r="D868" s="1334"/>
      <c r="E868" s="1341"/>
      <c r="F868" s="1338"/>
      <c r="G868" s="1338"/>
      <c r="H868" s="1338"/>
      <c r="I868" s="1334"/>
      <c r="J868" s="1334"/>
      <c r="K868" s="1334"/>
      <c r="L868" s="1334"/>
      <c r="M868" s="1334"/>
      <c r="N868" s="1334"/>
      <c r="O868" s="1334"/>
      <c r="P868" s="1334"/>
      <c r="Q868" s="1334"/>
      <c r="R868" s="1334"/>
      <c r="S868" s="1334"/>
      <c r="T868" s="1334"/>
      <c r="U868" s="1334"/>
      <c r="V868" s="1334"/>
      <c r="W868" s="1334"/>
      <c r="X868" s="1334"/>
      <c r="Y868" s="1334"/>
      <c r="Z868" s="1334"/>
    </row>
    <row r="869" spans="4:26" ht="15.75" customHeight="1" x14ac:dyDescent="0.3">
      <c r="D869" s="1334"/>
      <c r="E869" s="1341"/>
      <c r="F869" s="1338"/>
      <c r="G869" s="1338"/>
      <c r="H869" s="1338"/>
      <c r="I869" s="1334"/>
      <c r="J869" s="1334"/>
      <c r="K869" s="1334"/>
      <c r="L869" s="1334"/>
      <c r="M869" s="1334"/>
      <c r="N869" s="1334"/>
      <c r="O869" s="1334"/>
      <c r="P869" s="1334"/>
      <c r="Q869" s="1334"/>
      <c r="R869" s="1334"/>
      <c r="S869" s="1334"/>
      <c r="T869" s="1334"/>
      <c r="U869" s="1334"/>
      <c r="V869" s="1334"/>
      <c r="W869" s="1334"/>
      <c r="X869" s="1334"/>
      <c r="Y869" s="1334"/>
      <c r="Z869" s="1334"/>
    </row>
    <row r="870" spans="4:26" ht="15.75" customHeight="1" x14ac:dyDescent="0.3">
      <c r="D870" s="1334"/>
      <c r="E870" s="1341"/>
      <c r="F870" s="1338"/>
      <c r="G870" s="1338"/>
      <c r="H870" s="1338"/>
      <c r="I870" s="1334"/>
      <c r="J870" s="1334"/>
      <c r="K870" s="1334"/>
      <c r="L870" s="1334"/>
      <c r="M870" s="1334"/>
      <c r="N870" s="1334"/>
      <c r="O870" s="1334"/>
      <c r="P870" s="1334"/>
      <c r="Q870" s="1334"/>
      <c r="R870" s="1334"/>
      <c r="S870" s="1334"/>
      <c r="T870" s="1334"/>
      <c r="U870" s="1334"/>
      <c r="V870" s="1334"/>
      <c r="W870" s="1334"/>
      <c r="X870" s="1334"/>
      <c r="Y870" s="1334"/>
      <c r="Z870" s="1334"/>
    </row>
    <row r="871" spans="4:26" ht="15.75" customHeight="1" x14ac:dyDescent="0.3">
      <c r="D871" s="1334"/>
      <c r="E871" s="1341"/>
      <c r="F871" s="1338"/>
      <c r="G871" s="1338"/>
      <c r="H871" s="1338"/>
      <c r="I871" s="1334"/>
      <c r="J871" s="1334"/>
      <c r="K871" s="1334"/>
      <c r="L871" s="1334"/>
      <c r="M871" s="1334"/>
      <c r="N871" s="1334"/>
      <c r="O871" s="1334"/>
      <c r="P871" s="1334"/>
      <c r="Q871" s="1334"/>
      <c r="R871" s="1334"/>
      <c r="S871" s="1334"/>
      <c r="T871" s="1334"/>
      <c r="U871" s="1334"/>
      <c r="V871" s="1334"/>
      <c r="W871" s="1334"/>
      <c r="X871" s="1334"/>
      <c r="Y871" s="1334"/>
      <c r="Z871" s="1334"/>
    </row>
    <row r="872" spans="4:26" ht="15.75" customHeight="1" x14ac:dyDescent="0.3">
      <c r="D872" s="1334"/>
      <c r="E872" s="1341"/>
      <c r="F872" s="1338"/>
      <c r="G872" s="1338"/>
      <c r="H872" s="1338"/>
      <c r="I872" s="1334"/>
      <c r="J872" s="1334"/>
      <c r="K872" s="1334"/>
      <c r="L872" s="1334"/>
      <c r="M872" s="1334"/>
      <c r="N872" s="1334"/>
      <c r="O872" s="1334"/>
      <c r="P872" s="1334"/>
      <c r="Q872" s="1334"/>
      <c r="R872" s="1334"/>
      <c r="S872" s="1334"/>
      <c r="T872" s="1334"/>
      <c r="U872" s="1334"/>
      <c r="V872" s="1334"/>
      <c r="W872" s="1334"/>
      <c r="X872" s="1334"/>
      <c r="Y872" s="1334"/>
      <c r="Z872" s="1334"/>
    </row>
    <row r="873" spans="4:26" ht="15.75" customHeight="1" x14ac:dyDescent="0.3">
      <c r="D873" s="1334"/>
      <c r="E873" s="1341"/>
      <c r="F873" s="1338"/>
      <c r="G873" s="1338"/>
      <c r="H873" s="1338"/>
      <c r="I873" s="1334"/>
      <c r="J873" s="1334"/>
      <c r="K873" s="1334"/>
      <c r="L873" s="1334"/>
      <c r="M873" s="1334"/>
      <c r="N873" s="1334"/>
      <c r="O873" s="1334"/>
      <c r="P873" s="1334"/>
      <c r="Q873" s="1334"/>
      <c r="R873" s="1334"/>
      <c r="S873" s="1334"/>
      <c r="T873" s="1334"/>
      <c r="U873" s="1334"/>
      <c r="V873" s="1334"/>
      <c r="W873" s="1334"/>
      <c r="X873" s="1334"/>
      <c r="Y873" s="1334"/>
      <c r="Z873" s="1334"/>
    </row>
    <row r="874" spans="4:26" ht="15.75" customHeight="1" x14ac:dyDescent="0.3">
      <c r="D874" s="1334"/>
      <c r="E874" s="1341"/>
      <c r="F874" s="1338"/>
      <c r="G874" s="1338"/>
      <c r="H874" s="1338"/>
      <c r="I874" s="1334"/>
      <c r="J874" s="1334"/>
      <c r="K874" s="1334"/>
      <c r="L874" s="1334"/>
      <c r="M874" s="1334"/>
      <c r="N874" s="1334"/>
      <c r="O874" s="1334"/>
      <c r="P874" s="1334"/>
      <c r="Q874" s="1334"/>
      <c r="R874" s="1334"/>
      <c r="S874" s="1334"/>
      <c r="T874" s="1334"/>
      <c r="U874" s="1334"/>
      <c r="V874" s="1334"/>
      <c r="W874" s="1334"/>
      <c r="X874" s="1334"/>
      <c r="Y874" s="1334"/>
      <c r="Z874" s="1334"/>
    </row>
    <row r="875" spans="4:26" ht="15.75" customHeight="1" x14ac:dyDescent="0.3">
      <c r="D875" s="1334"/>
      <c r="E875" s="1341"/>
      <c r="F875" s="1338"/>
      <c r="G875" s="1338"/>
      <c r="H875" s="1338"/>
      <c r="I875" s="1334"/>
      <c r="J875" s="1334"/>
      <c r="K875" s="1334"/>
      <c r="L875" s="1334"/>
      <c r="M875" s="1334"/>
      <c r="N875" s="1334"/>
      <c r="O875" s="1334"/>
      <c r="P875" s="1334"/>
      <c r="Q875" s="1334"/>
      <c r="R875" s="1334"/>
      <c r="S875" s="1334"/>
      <c r="T875" s="1334"/>
      <c r="U875" s="1334"/>
      <c r="V875" s="1334"/>
      <c r="W875" s="1334"/>
      <c r="X875" s="1334"/>
      <c r="Y875" s="1334"/>
      <c r="Z875" s="1334"/>
    </row>
    <row r="876" spans="4:26" ht="15.75" customHeight="1" x14ac:dyDescent="0.3">
      <c r="D876" s="1334"/>
      <c r="E876" s="1341"/>
      <c r="F876" s="1338"/>
      <c r="G876" s="1338"/>
      <c r="H876" s="1338"/>
      <c r="I876" s="1334"/>
      <c r="J876" s="1334"/>
      <c r="K876" s="1334"/>
      <c r="L876" s="1334"/>
      <c r="M876" s="1334"/>
      <c r="N876" s="1334"/>
      <c r="O876" s="1334"/>
      <c r="P876" s="1334"/>
      <c r="Q876" s="1334"/>
      <c r="R876" s="1334"/>
      <c r="S876" s="1334"/>
      <c r="T876" s="1334"/>
      <c r="U876" s="1334"/>
      <c r="V876" s="1334"/>
      <c r="W876" s="1334"/>
      <c r="X876" s="1334"/>
      <c r="Y876" s="1334"/>
      <c r="Z876" s="1334"/>
    </row>
    <row r="877" spans="4:26" ht="15.75" customHeight="1" x14ac:dyDescent="0.3">
      <c r="D877" s="1334"/>
      <c r="E877" s="1341"/>
      <c r="F877" s="1338"/>
      <c r="G877" s="1338"/>
      <c r="H877" s="1338"/>
      <c r="I877" s="1334"/>
      <c r="J877" s="1334"/>
      <c r="K877" s="1334"/>
      <c r="L877" s="1334"/>
      <c r="M877" s="1334"/>
      <c r="N877" s="1334"/>
      <c r="O877" s="1334"/>
      <c r="P877" s="1334"/>
      <c r="Q877" s="1334"/>
      <c r="R877" s="1334"/>
      <c r="S877" s="1334"/>
      <c r="T877" s="1334"/>
      <c r="U877" s="1334"/>
      <c r="V877" s="1334"/>
      <c r="W877" s="1334"/>
      <c r="X877" s="1334"/>
      <c r="Y877" s="1334"/>
      <c r="Z877" s="1334"/>
    </row>
    <row r="878" spans="4:26" ht="15.75" customHeight="1" x14ac:dyDescent="0.3">
      <c r="D878" s="1334"/>
      <c r="E878" s="1341"/>
      <c r="F878" s="1338"/>
      <c r="G878" s="1338"/>
      <c r="H878" s="1338"/>
      <c r="I878" s="1334"/>
      <c r="J878" s="1334"/>
      <c r="K878" s="1334"/>
      <c r="L878" s="1334"/>
      <c r="M878" s="1334"/>
      <c r="N878" s="1334"/>
      <c r="O878" s="1334"/>
      <c r="P878" s="1334"/>
      <c r="Q878" s="1334"/>
      <c r="R878" s="1334"/>
      <c r="S878" s="1334"/>
      <c r="T878" s="1334"/>
      <c r="U878" s="1334"/>
      <c r="V878" s="1334"/>
      <c r="W878" s="1334"/>
      <c r="X878" s="1334"/>
      <c r="Y878" s="1334"/>
      <c r="Z878" s="1334"/>
    </row>
    <row r="879" spans="4:26" ht="15.75" customHeight="1" x14ac:dyDescent="0.3">
      <c r="D879" s="1334"/>
      <c r="E879" s="1341"/>
      <c r="F879" s="1338"/>
      <c r="G879" s="1338"/>
      <c r="H879" s="1338"/>
      <c r="I879" s="1334"/>
      <c r="J879" s="1334"/>
      <c r="K879" s="1334"/>
      <c r="L879" s="1334"/>
      <c r="M879" s="1334"/>
      <c r="N879" s="1334"/>
      <c r="O879" s="1334"/>
      <c r="P879" s="1334"/>
      <c r="Q879" s="1334"/>
      <c r="R879" s="1334"/>
      <c r="S879" s="1334"/>
      <c r="T879" s="1334"/>
      <c r="U879" s="1334"/>
      <c r="V879" s="1334"/>
      <c r="W879" s="1334"/>
      <c r="X879" s="1334"/>
      <c r="Y879" s="1334"/>
      <c r="Z879" s="1334"/>
    </row>
    <row r="880" spans="4:26" ht="15.75" customHeight="1" x14ac:dyDescent="0.3">
      <c r="D880" s="1334"/>
      <c r="E880" s="1341"/>
      <c r="F880" s="1338"/>
      <c r="G880" s="1338"/>
      <c r="H880" s="1338"/>
      <c r="I880" s="1334"/>
      <c r="J880" s="1334"/>
      <c r="K880" s="1334"/>
      <c r="L880" s="1334"/>
      <c r="M880" s="1334"/>
      <c r="N880" s="1334"/>
      <c r="O880" s="1334"/>
      <c r="P880" s="1334"/>
      <c r="Q880" s="1334"/>
      <c r="R880" s="1334"/>
      <c r="S880" s="1334"/>
      <c r="T880" s="1334"/>
      <c r="U880" s="1334"/>
      <c r="V880" s="1334"/>
      <c r="W880" s="1334"/>
      <c r="X880" s="1334"/>
      <c r="Y880" s="1334"/>
      <c r="Z880" s="1334"/>
    </row>
    <row r="881" spans="4:26" ht="15.75" customHeight="1" x14ac:dyDescent="0.3">
      <c r="D881" s="1334"/>
      <c r="E881" s="1341"/>
      <c r="F881" s="1338"/>
      <c r="G881" s="1338"/>
      <c r="H881" s="1338"/>
      <c r="I881" s="1334"/>
      <c r="J881" s="1334"/>
      <c r="K881" s="1334"/>
      <c r="L881" s="1334"/>
      <c r="M881" s="1334"/>
      <c r="N881" s="1334"/>
      <c r="O881" s="1334"/>
      <c r="P881" s="1334"/>
      <c r="Q881" s="1334"/>
      <c r="R881" s="1334"/>
      <c r="S881" s="1334"/>
      <c r="T881" s="1334"/>
      <c r="U881" s="1334"/>
      <c r="V881" s="1334"/>
      <c r="W881" s="1334"/>
      <c r="X881" s="1334"/>
      <c r="Y881" s="1334"/>
      <c r="Z881" s="1334"/>
    </row>
    <row r="882" spans="4:26" ht="15.75" customHeight="1" x14ac:dyDescent="0.3">
      <c r="D882" s="1334"/>
      <c r="E882" s="1341"/>
      <c r="F882" s="1338"/>
      <c r="G882" s="1338"/>
      <c r="H882" s="1338"/>
      <c r="I882" s="1334"/>
      <c r="J882" s="1334"/>
      <c r="K882" s="1334"/>
      <c r="L882" s="1334"/>
      <c r="M882" s="1334"/>
      <c r="N882" s="1334"/>
      <c r="O882" s="1334"/>
      <c r="P882" s="1334"/>
      <c r="Q882" s="1334"/>
      <c r="R882" s="1334"/>
      <c r="S882" s="1334"/>
      <c r="T882" s="1334"/>
      <c r="U882" s="1334"/>
      <c r="V882" s="1334"/>
      <c r="W882" s="1334"/>
      <c r="X882" s="1334"/>
      <c r="Y882" s="1334"/>
      <c r="Z882" s="1334"/>
    </row>
    <row r="883" spans="4:26" ht="15.75" customHeight="1" x14ac:dyDescent="0.3">
      <c r="D883" s="1334"/>
      <c r="E883" s="1341"/>
      <c r="F883" s="1338"/>
      <c r="G883" s="1338"/>
      <c r="H883" s="1338"/>
      <c r="I883" s="1334"/>
      <c r="J883" s="1334"/>
      <c r="K883" s="1334"/>
      <c r="L883" s="1334"/>
      <c r="M883" s="1334"/>
      <c r="N883" s="1334"/>
      <c r="O883" s="1334"/>
      <c r="P883" s="1334"/>
      <c r="Q883" s="1334"/>
      <c r="R883" s="1334"/>
      <c r="S883" s="1334"/>
      <c r="T883" s="1334"/>
      <c r="U883" s="1334"/>
      <c r="V883" s="1334"/>
      <c r="W883" s="1334"/>
      <c r="X883" s="1334"/>
      <c r="Y883" s="1334"/>
      <c r="Z883" s="1334"/>
    </row>
    <row r="884" spans="4:26" ht="15.75" customHeight="1" x14ac:dyDescent="0.3">
      <c r="D884" s="1334"/>
      <c r="E884" s="1341"/>
      <c r="F884" s="1338"/>
      <c r="G884" s="1338"/>
      <c r="H884" s="1338"/>
      <c r="I884" s="1334"/>
      <c r="J884" s="1334"/>
      <c r="K884" s="1334"/>
      <c r="L884" s="1334"/>
      <c r="M884" s="1334"/>
      <c r="N884" s="1334"/>
      <c r="O884" s="1334"/>
      <c r="P884" s="1334"/>
      <c r="Q884" s="1334"/>
      <c r="R884" s="1334"/>
      <c r="S884" s="1334"/>
      <c r="T884" s="1334"/>
      <c r="U884" s="1334"/>
      <c r="V884" s="1334"/>
      <c r="W884" s="1334"/>
      <c r="X884" s="1334"/>
      <c r="Y884" s="1334"/>
      <c r="Z884" s="1334"/>
    </row>
    <row r="885" spans="4:26" ht="15.75" customHeight="1" x14ac:dyDescent="0.3">
      <c r="D885" s="1334"/>
      <c r="E885" s="1341"/>
      <c r="F885" s="1338"/>
      <c r="G885" s="1338"/>
      <c r="H885" s="1338"/>
      <c r="I885" s="1334"/>
      <c r="J885" s="1334"/>
      <c r="K885" s="1334"/>
      <c r="L885" s="1334"/>
      <c r="M885" s="1334"/>
      <c r="N885" s="1334"/>
      <c r="O885" s="1334"/>
      <c r="P885" s="1334"/>
      <c r="Q885" s="1334"/>
      <c r="R885" s="1334"/>
      <c r="S885" s="1334"/>
      <c r="T885" s="1334"/>
      <c r="U885" s="1334"/>
      <c r="V885" s="1334"/>
      <c r="W885" s="1334"/>
      <c r="X885" s="1334"/>
      <c r="Y885" s="1334"/>
      <c r="Z885" s="1334"/>
    </row>
    <row r="886" spans="4:26" ht="15.75" customHeight="1" x14ac:dyDescent="0.3">
      <c r="D886" s="1334"/>
      <c r="E886" s="1341"/>
      <c r="F886" s="1338"/>
      <c r="G886" s="1338"/>
      <c r="H886" s="1338"/>
      <c r="I886" s="1334"/>
      <c r="J886" s="1334"/>
      <c r="K886" s="1334"/>
      <c r="L886" s="1334"/>
      <c r="M886" s="1334"/>
      <c r="N886" s="1334"/>
      <c r="O886" s="1334"/>
      <c r="P886" s="1334"/>
      <c r="Q886" s="1334"/>
      <c r="R886" s="1334"/>
      <c r="S886" s="1334"/>
      <c r="T886" s="1334"/>
      <c r="U886" s="1334"/>
      <c r="V886" s="1334"/>
      <c r="W886" s="1334"/>
      <c r="X886" s="1334"/>
      <c r="Y886" s="1334"/>
      <c r="Z886" s="1334"/>
    </row>
    <row r="887" spans="4:26" ht="15.75" customHeight="1" x14ac:dyDescent="0.3">
      <c r="D887" s="1334"/>
      <c r="E887" s="1341"/>
      <c r="F887" s="1338"/>
      <c r="G887" s="1338"/>
      <c r="H887" s="1338"/>
      <c r="I887" s="1334"/>
      <c r="J887" s="1334"/>
      <c r="K887" s="1334"/>
      <c r="L887" s="1334"/>
      <c r="M887" s="1334"/>
      <c r="N887" s="1334"/>
      <c r="O887" s="1334"/>
      <c r="P887" s="1334"/>
      <c r="Q887" s="1334"/>
      <c r="R887" s="1334"/>
      <c r="S887" s="1334"/>
      <c r="T887" s="1334"/>
      <c r="U887" s="1334"/>
      <c r="V887" s="1334"/>
      <c r="W887" s="1334"/>
      <c r="X887" s="1334"/>
      <c r="Y887" s="1334"/>
      <c r="Z887" s="1334"/>
    </row>
    <row r="888" spans="4:26" ht="15.75" customHeight="1" x14ac:dyDescent="0.3">
      <c r="D888" s="1334"/>
      <c r="E888" s="1341"/>
      <c r="F888" s="1338"/>
      <c r="G888" s="1338"/>
      <c r="H888" s="1338"/>
      <c r="I888" s="1334"/>
      <c r="J888" s="1334"/>
      <c r="K888" s="1334"/>
      <c r="L888" s="1334"/>
      <c r="M888" s="1334"/>
      <c r="N888" s="1334"/>
      <c r="O888" s="1334"/>
      <c r="P888" s="1334"/>
      <c r="Q888" s="1334"/>
      <c r="R888" s="1334"/>
      <c r="S888" s="1334"/>
      <c r="T888" s="1334"/>
      <c r="U888" s="1334"/>
      <c r="V888" s="1334"/>
      <c r="W888" s="1334"/>
      <c r="X888" s="1334"/>
      <c r="Y888" s="1334"/>
      <c r="Z888" s="1334"/>
    </row>
    <row r="889" spans="4:26" ht="15.75" customHeight="1" x14ac:dyDescent="0.3">
      <c r="D889" s="1334"/>
      <c r="E889" s="1341"/>
      <c r="F889" s="1338"/>
      <c r="G889" s="1338"/>
      <c r="H889" s="1338"/>
      <c r="I889" s="1334"/>
      <c r="J889" s="1334"/>
      <c r="K889" s="1334"/>
      <c r="L889" s="1334"/>
      <c r="M889" s="1334"/>
      <c r="N889" s="1334"/>
      <c r="O889" s="1334"/>
      <c r="P889" s="1334"/>
      <c r="Q889" s="1334"/>
      <c r="R889" s="1334"/>
      <c r="S889" s="1334"/>
      <c r="T889" s="1334"/>
      <c r="U889" s="1334"/>
      <c r="V889" s="1334"/>
      <c r="W889" s="1334"/>
      <c r="X889" s="1334"/>
      <c r="Y889" s="1334"/>
      <c r="Z889" s="1334"/>
    </row>
    <row r="890" spans="4:26" ht="15.75" customHeight="1" x14ac:dyDescent="0.3">
      <c r="D890" s="1334"/>
      <c r="E890" s="1341"/>
      <c r="F890" s="1338"/>
      <c r="G890" s="1338"/>
      <c r="H890" s="1338"/>
      <c r="I890" s="1334"/>
      <c r="J890" s="1334"/>
      <c r="K890" s="1334"/>
      <c r="L890" s="1334"/>
      <c r="M890" s="1334"/>
      <c r="N890" s="1334"/>
      <c r="O890" s="1334"/>
      <c r="P890" s="1334"/>
      <c r="Q890" s="1334"/>
      <c r="R890" s="1334"/>
      <c r="S890" s="1334"/>
      <c r="T890" s="1334"/>
      <c r="U890" s="1334"/>
      <c r="V890" s="1334"/>
      <c r="W890" s="1334"/>
      <c r="X890" s="1334"/>
      <c r="Y890" s="1334"/>
      <c r="Z890" s="1334"/>
    </row>
    <row r="891" spans="4:26" ht="15.75" customHeight="1" x14ac:dyDescent="0.3">
      <c r="D891" s="1334"/>
      <c r="E891" s="1341"/>
      <c r="F891" s="1338"/>
      <c r="G891" s="1338"/>
      <c r="H891" s="1338"/>
      <c r="I891" s="1334"/>
      <c r="J891" s="1334"/>
      <c r="K891" s="1334"/>
      <c r="L891" s="1334"/>
      <c r="M891" s="1334"/>
      <c r="N891" s="1334"/>
      <c r="O891" s="1334"/>
      <c r="P891" s="1334"/>
      <c r="Q891" s="1334"/>
      <c r="R891" s="1334"/>
      <c r="S891" s="1334"/>
      <c r="T891" s="1334"/>
      <c r="U891" s="1334"/>
      <c r="V891" s="1334"/>
      <c r="W891" s="1334"/>
      <c r="X891" s="1334"/>
      <c r="Y891" s="1334"/>
      <c r="Z891" s="1334"/>
    </row>
    <row r="892" spans="4:26" ht="15.75" customHeight="1" x14ac:dyDescent="0.3">
      <c r="D892" s="1334"/>
      <c r="E892" s="1341"/>
      <c r="F892" s="1338"/>
      <c r="G892" s="1338"/>
      <c r="H892" s="1338"/>
      <c r="I892" s="1334"/>
      <c r="J892" s="1334"/>
      <c r="K892" s="1334"/>
      <c r="L892" s="1334"/>
      <c r="M892" s="1334"/>
      <c r="N892" s="1334"/>
      <c r="O892" s="1334"/>
      <c r="P892" s="1334"/>
      <c r="Q892" s="1334"/>
      <c r="R892" s="1334"/>
      <c r="S892" s="1334"/>
      <c r="T892" s="1334"/>
      <c r="U892" s="1334"/>
      <c r="V892" s="1334"/>
      <c r="W892" s="1334"/>
      <c r="X892" s="1334"/>
      <c r="Y892" s="1334"/>
      <c r="Z892" s="1334"/>
    </row>
    <row r="893" spans="4:26" ht="15.75" customHeight="1" x14ac:dyDescent="0.3">
      <c r="D893" s="1334"/>
      <c r="E893" s="1341"/>
      <c r="F893" s="1338"/>
      <c r="G893" s="1338"/>
      <c r="H893" s="1338"/>
      <c r="I893" s="1334"/>
      <c r="J893" s="1334"/>
      <c r="K893" s="1334"/>
      <c r="L893" s="1334"/>
      <c r="M893" s="1334"/>
      <c r="N893" s="1334"/>
      <c r="O893" s="1334"/>
      <c r="P893" s="1334"/>
      <c r="Q893" s="1334"/>
      <c r="R893" s="1334"/>
      <c r="S893" s="1334"/>
      <c r="T893" s="1334"/>
      <c r="U893" s="1334"/>
      <c r="V893" s="1334"/>
      <c r="W893" s="1334"/>
      <c r="X893" s="1334"/>
      <c r="Y893" s="1334"/>
      <c r="Z893" s="1334"/>
    </row>
    <row r="894" spans="4:26" ht="15.75" customHeight="1" x14ac:dyDescent="0.3">
      <c r="D894" s="1334"/>
      <c r="E894" s="1341"/>
      <c r="F894" s="1338"/>
      <c r="G894" s="1338"/>
      <c r="H894" s="1338"/>
      <c r="I894" s="1334"/>
      <c r="J894" s="1334"/>
      <c r="K894" s="1334"/>
      <c r="L894" s="1334"/>
      <c r="M894" s="1334"/>
      <c r="N894" s="1334"/>
      <c r="O894" s="1334"/>
      <c r="P894" s="1334"/>
      <c r="Q894" s="1334"/>
      <c r="R894" s="1334"/>
      <c r="S894" s="1334"/>
      <c r="T894" s="1334"/>
      <c r="U894" s="1334"/>
      <c r="V894" s="1334"/>
      <c r="W894" s="1334"/>
      <c r="X894" s="1334"/>
      <c r="Y894" s="1334"/>
      <c r="Z894" s="1334"/>
    </row>
    <row r="895" spans="4:26" ht="15.75" customHeight="1" x14ac:dyDescent="0.3">
      <c r="D895" s="1334"/>
      <c r="E895" s="1341"/>
      <c r="F895" s="1338"/>
      <c r="G895" s="1338"/>
      <c r="H895" s="1338"/>
      <c r="I895" s="1334"/>
      <c r="J895" s="1334"/>
      <c r="K895" s="1334"/>
      <c r="L895" s="1334"/>
      <c r="M895" s="1334"/>
      <c r="N895" s="1334"/>
      <c r="O895" s="1334"/>
      <c r="P895" s="1334"/>
      <c r="Q895" s="1334"/>
      <c r="R895" s="1334"/>
      <c r="S895" s="1334"/>
      <c r="T895" s="1334"/>
      <c r="U895" s="1334"/>
      <c r="V895" s="1334"/>
      <c r="W895" s="1334"/>
      <c r="X895" s="1334"/>
      <c r="Y895" s="1334"/>
      <c r="Z895" s="1334"/>
    </row>
    <row r="896" spans="4:26" ht="15.75" customHeight="1" x14ac:dyDescent="0.3">
      <c r="D896" s="1334"/>
      <c r="E896" s="1341"/>
      <c r="F896" s="1338"/>
      <c r="G896" s="1338"/>
      <c r="H896" s="1338"/>
      <c r="I896" s="1334"/>
      <c r="J896" s="1334"/>
      <c r="K896" s="1334"/>
      <c r="L896" s="1334"/>
      <c r="M896" s="1334"/>
      <c r="N896" s="1334"/>
      <c r="O896" s="1334"/>
      <c r="P896" s="1334"/>
      <c r="Q896" s="1334"/>
      <c r="R896" s="1334"/>
      <c r="S896" s="1334"/>
      <c r="T896" s="1334"/>
      <c r="U896" s="1334"/>
      <c r="V896" s="1334"/>
      <c r="W896" s="1334"/>
      <c r="X896" s="1334"/>
      <c r="Y896" s="1334"/>
      <c r="Z896" s="1334"/>
    </row>
    <row r="897" spans="4:26" ht="15.75" customHeight="1" x14ac:dyDescent="0.3">
      <c r="D897" s="1334"/>
      <c r="E897" s="1341"/>
      <c r="F897" s="1338"/>
      <c r="G897" s="1338"/>
      <c r="H897" s="1338"/>
      <c r="I897" s="1334"/>
      <c r="J897" s="1334"/>
      <c r="K897" s="1334"/>
      <c r="L897" s="1334"/>
      <c r="M897" s="1334"/>
      <c r="N897" s="1334"/>
      <c r="O897" s="1334"/>
      <c r="P897" s="1334"/>
      <c r="Q897" s="1334"/>
      <c r="R897" s="1334"/>
      <c r="S897" s="1334"/>
      <c r="T897" s="1334"/>
      <c r="U897" s="1334"/>
      <c r="V897" s="1334"/>
      <c r="W897" s="1334"/>
      <c r="X897" s="1334"/>
      <c r="Y897" s="1334"/>
      <c r="Z897" s="1334"/>
    </row>
    <row r="898" spans="4:26" ht="15.75" customHeight="1" x14ac:dyDescent="0.3">
      <c r="D898" s="1334"/>
      <c r="E898" s="1341"/>
      <c r="F898" s="1338"/>
      <c r="G898" s="1338"/>
      <c r="H898" s="1338"/>
      <c r="I898" s="1334"/>
      <c r="J898" s="1334"/>
      <c r="K898" s="1334"/>
      <c r="L898" s="1334"/>
      <c r="M898" s="1334"/>
      <c r="N898" s="1334"/>
      <c r="O898" s="1334"/>
      <c r="P898" s="1334"/>
      <c r="Q898" s="1334"/>
      <c r="R898" s="1334"/>
      <c r="S898" s="1334"/>
      <c r="T898" s="1334"/>
      <c r="U898" s="1334"/>
      <c r="V898" s="1334"/>
      <c r="W898" s="1334"/>
      <c r="X898" s="1334"/>
      <c r="Y898" s="1334"/>
      <c r="Z898" s="1334"/>
    </row>
    <row r="899" spans="4:26" ht="15.75" customHeight="1" x14ac:dyDescent="0.3">
      <c r="D899" s="1334"/>
      <c r="E899" s="1341"/>
      <c r="F899" s="1338"/>
      <c r="G899" s="1338"/>
      <c r="H899" s="1338"/>
      <c r="I899" s="1334"/>
      <c r="J899" s="1334"/>
      <c r="K899" s="1334"/>
      <c r="L899" s="1334"/>
      <c r="M899" s="1334"/>
      <c r="N899" s="1334"/>
      <c r="O899" s="1334"/>
      <c r="P899" s="1334"/>
      <c r="Q899" s="1334"/>
      <c r="R899" s="1334"/>
      <c r="S899" s="1334"/>
      <c r="T899" s="1334"/>
      <c r="U899" s="1334"/>
      <c r="V899" s="1334"/>
      <c r="W899" s="1334"/>
      <c r="X899" s="1334"/>
      <c r="Y899" s="1334"/>
      <c r="Z899" s="1334"/>
    </row>
    <row r="900" spans="4:26" ht="15.75" customHeight="1" x14ac:dyDescent="0.3">
      <c r="D900" s="1334"/>
      <c r="E900" s="1341"/>
      <c r="F900" s="1338"/>
      <c r="G900" s="1338"/>
      <c r="H900" s="1338"/>
      <c r="I900" s="1334"/>
      <c r="J900" s="1334"/>
      <c r="K900" s="1334"/>
      <c r="L900" s="1334"/>
      <c r="M900" s="1334"/>
      <c r="N900" s="1334"/>
      <c r="O900" s="1334"/>
      <c r="P900" s="1334"/>
      <c r="Q900" s="1334"/>
      <c r="R900" s="1334"/>
      <c r="S900" s="1334"/>
      <c r="T900" s="1334"/>
      <c r="U900" s="1334"/>
      <c r="V900" s="1334"/>
      <c r="W900" s="1334"/>
      <c r="X900" s="1334"/>
      <c r="Y900" s="1334"/>
      <c r="Z900" s="1334"/>
    </row>
    <row r="901" spans="4:26" ht="15.75" customHeight="1" x14ac:dyDescent="0.3">
      <c r="D901" s="1334"/>
      <c r="E901" s="1341"/>
      <c r="F901" s="1338"/>
      <c r="G901" s="1338"/>
      <c r="H901" s="1338"/>
      <c r="I901" s="1334"/>
      <c r="J901" s="1334"/>
      <c r="K901" s="1334"/>
      <c r="L901" s="1334"/>
      <c r="M901" s="1334"/>
      <c r="N901" s="1334"/>
      <c r="O901" s="1334"/>
      <c r="P901" s="1334"/>
      <c r="Q901" s="1334"/>
      <c r="R901" s="1334"/>
      <c r="S901" s="1334"/>
      <c r="T901" s="1334"/>
      <c r="U901" s="1334"/>
      <c r="V901" s="1334"/>
      <c r="W901" s="1334"/>
      <c r="X901" s="1334"/>
      <c r="Y901" s="1334"/>
      <c r="Z901" s="1334"/>
    </row>
    <row r="902" spans="4:26" ht="15.75" customHeight="1" x14ac:dyDescent="0.3">
      <c r="D902" s="1334"/>
      <c r="E902" s="1341"/>
      <c r="F902" s="1338"/>
      <c r="G902" s="1338"/>
      <c r="H902" s="1338"/>
      <c r="I902" s="1334"/>
      <c r="J902" s="1334"/>
      <c r="K902" s="1334"/>
      <c r="L902" s="1334"/>
      <c r="M902" s="1334"/>
      <c r="N902" s="1334"/>
      <c r="O902" s="1334"/>
      <c r="P902" s="1334"/>
      <c r="Q902" s="1334"/>
      <c r="R902" s="1334"/>
      <c r="S902" s="1334"/>
      <c r="T902" s="1334"/>
      <c r="U902" s="1334"/>
      <c r="V902" s="1334"/>
      <c r="W902" s="1334"/>
      <c r="X902" s="1334"/>
      <c r="Y902" s="1334"/>
      <c r="Z902" s="1334"/>
    </row>
    <row r="903" spans="4:26" ht="15.75" customHeight="1" x14ac:dyDescent="0.3">
      <c r="D903" s="1334"/>
      <c r="E903" s="1341"/>
      <c r="F903" s="1338"/>
      <c r="G903" s="1338"/>
      <c r="H903" s="1338"/>
      <c r="I903" s="1334"/>
      <c r="J903" s="1334"/>
      <c r="K903" s="1334"/>
      <c r="L903" s="1334"/>
      <c r="M903" s="1334"/>
      <c r="N903" s="1334"/>
      <c r="O903" s="1334"/>
      <c r="P903" s="1334"/>
      <c r="Q903" s="1334"/>
      <c r="R903" s="1334"/>
      <c r="S903" s="1334"/>
      <c r="T903" s="1334"/>
      <c r="U903" s="1334"/>
      <c r="V903" s="1334"/>
      <c r="W903" s="1334"/>
      <c r="X903" s="1334"/>
      <c r="Y903" s="1334"/>
      <c r="Z903" s="1334"/>
    </row>
    <row r="904" spans="4:26" ht="15.75" customHeight="1" x14ac:dyDescent="0.3">
      <c r="D904" s="1334"/>
      <c r="E904" s="1341"/>
      <c r="F904" s="1338"/>
      <c r="G904" s="1338"/>
      <c r="H904" s="1338"/>
      <c r="I904" s="1334"/>
      <c r="J904" s="1334"/>
      <c r="K904" s="1334"/>
      <c r="L904" s="1334"/>
      <c r="M904" s="1334"/>
      <c r="N904" s="1334"/>
      <c r="O904" s="1334"/>
      <c r="P904" s="1334"/>
      <c r="Q904" s="1334"/>
      <c r="R904" s="1334"/>
      <c r="S904" s="1334"/>
      <c r="T904" s="1334"/>
      <c r="U904" s="1334"/>
      <c r="V904" s="1334"/>
      <c r="W904" s="1334"/>
      <c r="X904" s="1334"/>
      <c r="Y904" s="1334"/>
      <c r="Z904" s="1334"/>
    </row>
    <row r="905" spans="4:26" ht="15.75" customHeight="1" x14ac:dyDescent="0.3">
      <c r="D905" s="1334"/>
      <c r="E905" s="1341"/>
      <c r="F905" s="1338"/>
      <c r="G905" s="1338"/>
      <c r="H905" s="1338"/>
      <c r="I905" s="1334"/>
      <c r="J905" s="1334"/>
      <c r="K905" s="1334"/>
      <c r="L905" s="1334"/>
      <c r="M905" s="1334"/>
      <c r="N905" s="1334"/>
      <c r="O905" s="1334"/>
      <c r="P905" s="1334"/>
      <c r="Q905" s="1334"/>
      <c r="R905" s="1334"/>
      <c r="S905" s="1334"/>
      <c r="T905" s="1334"/>
      <c r="U905" s="1334"/>
      <c r="V905" s="1334"/>
      <c r="W905" s="1334"/>
      <c r="X905" s="1334"/>
      <c r="Y905" s="1334"/>
      <c r="Z905" s="1334"/>
    </row>
    <row r="906" spans="4:26" ht="15.75" customHeight="1" x14ac:dyDescent="0.3">
      <c r="D906" s="1334"/>
      <c r="E906" s="1341"/>
      <c r="F906" s="1338"/>
      <c r="G906" s="1338"/>
      <c r="H906" s="1338"/>
      <c r="I906" s="1334"/>
      <c r="J906" s="1334"/>
      <c r="K906" s="1334"/>
      <c r="L906" s="1334"/>
      <c r="M906" s="1334"/>
      <c r="N906" s="1334"/>
      <c r="O906" s="1334"/>
      <c r="P906" s="1334"/>
      <c r="Q906" s="1334"/>
      <c r="R906" s="1334"/>
      <c r="S906" s="1334"/>
      <c r="T906" s="1334"/>
      <c r="U906" s="1334"/>
      <c r="V906" s="1334"/>
      <c r="W906" s="1334"/>
      <c r="X906" s="1334"/>
      <c r="Y906" s="1334"/>
      <c r="Z906" s="1334"/>
    </row>
    <row r="907" spans="4:26" ht="15.75" customHeight="1" x14ac:dyDescent="0.3">
      <c r="D907" s="1334"/>
      <c r="E907" s="1341"/>
      <c r="F907" s="1338"/>
      <c r="G907" s="1338"/>
      <c r="H907" s="1338"/>
      <c r="I907" s="1334"/>
      <c r="J907" s="1334"/>
      <c r="K907" s="1334"/>
      <c r="L907" s="1334"/>
      <c r="M907" s="1334"/>
      <c r="N907" s="1334"/>
      <c r="O907" s="1334"/>
      <c r="P907" s="1334"/>
      <c r="Q907" s="1334"/>
      <c r="R907" s="1334"/>
      <c r="S907" s="1334"/>
      <c r="T907" s="1334"/>
      <c r="U907" s="1334"/>
      <c r="V907" s="1334"/>
      <c r="W907" s="1334"/>
      <c r="X907" s="1334"/>
      <c r="Y907" s="1334"/>
      <c r="Z907" s="1334"/>
    </row>
    <row r="908" spans="4:26" ht="15.75" customHeight="1" x14ac:dyDescent="0.3">
      <c r="D908" s="1334"/>
      <c r="E908" s="1341"/>
      <c r="F908" s="1338"/>
      <c r="G908" s="1338"/>
      <c r="H908" s="1338"/>
      <c r="I908" s="1334"/>
      <c r="J908" s="1334"/>
      <c r="K908" s="1334"/>
      <c r="L908" s="1334"/>
      <c r="M908" s="1334"/>
      <c r="N908" s="1334"/>
      <c r="O908" s="1334"/>
      <c r="P908" s="1334"/>
      <c r="Q908" s="1334"/>
      <c r="R908" s="1334"/>
      <c r="S908" s="1334"/>
      <c r="T908" s="1334"/>
      <c r="U908" s="1334"/>
      <c r="V908" s="1334"/>
      <c r="W908" s="1334"/>
      <c r="X908" s="1334"/>
      <c r="Y908" s="1334"/>
      <c r="Z908" s="1334"/>
    </row>
    <row r="909" spans="4:26" ht="15.75" customHeight="1" x14ac:dyDescent="0.3">
      <c r="D909" s="1334"/>
      <c r="E909" s="1341"/>
      <c r="F909" s="1338"/>
      <c r="G909" s="1338"/>
      <c r="H909" s="1338"/>
      <c r="I909" s="1334"/>
      <c r="J909" s="1334"/>
      <c r="K909" s="1334"/>
      <c r="L909" s="1334"/>
      <c r="M909" s="1334"/>
      <c r="N909" s="1334"/>
      <c r="O909" s="1334"/>
      <c r="P909" s="1334"/>
      <c r="Q909" s="1334"/>
      <c r="R909" s="1334"/>
      <c r="S909" s="1334"/>
      <c r="T909" s="1334"/>
      <c r="U909" s="1334"/>
      <c r="V909" s="1334"/>
      <c r="W909" s="1334"/>
      <c r="X909" s="1334"/>
      <c r="Y909" s="1334"/>
      <c r="Z909" s="1334"/>
    </row>
    <row r="910" spans="4:26" ht="15.75" customHeight="1" x14ac:dyDescent="0.3">
      <c r="D910" s="1334"/>
      <c r="E910" s="1341"/>
      <c r="F910" s="1338"/>
      <c r="G910" s="1338"/>
      <c r="H910" s="1338"/>
      <c r="I910" s="1334"/>
      <c r="J910" s="1334"/>
      <c r="K910" s="1334"/>
      <c r="L910" s="1334"/>
      <c r="M910" s="1334"/>
      <c r="N910" s="1334"/>
      <c r="O910" s="1334"/>
      <c r="P910" s="1334"/>
      <c r="Q910" s="1334"/>
      <c r="R910" s="1334"/>
      <c r="S910" s="1334"/>
      <c r="T910" s="1334"/>
      <c r="U910" s="1334"/>
      <c r="V910" s="1334"/>
      <c r="W910" s="1334"/>
      <c r="X910" s="1334"/>
      <c r="Y910" s="1334"/>
      <c r="Z910" s="1334"/>
    </row>
    <row r="911" spans="4:26" ht="15.75" customHeight="1" x14ac:dyDescent="0.3">
      <c r="D911" s="1334"/>
      <c r="E911" s="1341"/>
      <c r="F911" s="1338"/>
      <c r="G911" s="1338"/>
      <c r="H911" s="1338"/>
      <c r="I911" s="1334"/>
      <c r="J911" s="1334"/>
      <c r="K911" s="1334"/>
      <c r="L911" s="1334"/>
      <c r="M911" s="1334"/>
      <c r="N911" s="1334"/>
      <c r="O911" s="1334"/>
      <c r="P911" s="1334"/>
      <c r="Q911" s="1334"/>
      <c r="R911" s="1334"/>
      <c r="S911" s="1334"/>
      <c r="T911" s="1334"/>
      <c r="U911" s="1334"/>
      <c r="V911" s="1334"/>
      <c r="W911" s="1334"/>
      <c r="X911" s="1334"/>
      <c r="Y911" s="1334"/>
      <c r="Z911" s="1334"/>
    </row>
    <row r="912" spans="4:26" ht="15.75" customHeight="1" x14ac:dyDescent="0.3">
      <c r="D912" s="1334"/>
      <c r="E912" s="1341"/>
      <c r="F912" s="1338"/>
      <c r="G912" s="1338"/>
      <c r="H912" s="1338"/>
      <c r="I912" s="1334"/>
      <c r="J912" s="1334"/>
      <c r="K912" s="1334"/>
      <c r="L912" s="1334"/>
      <c r="M912" s="1334"/>
      <c r="N912" s="1334"/>
      <c r="O912" s="1334"/>
      <c r="P912" s="1334"/>
      <c r="Q912" s="1334"/>
      <c r="R912" s="1334"/>
      <c r="S912" s="1334"/>
      <c r="T912" s="1334"/>
      <c r="U912" s="1334"/>
      <c r="V912" s="1334"/>
      <c r="W912" s="1334"/>
      <c r="X912" s="1334"/>
      <c r="Y912" s="1334"/>
      <c r="Z912" s="1334"/>
    </row>
    <row r="913" spans="4:26" ht="15.75" customHeight="1" x14ac:dyDescent="0.3">
      <c r="D913" s="1334"/>
      <c r="E913" s="1341"/>
      <c r="F913" s="1338"/>
      <c r="G913" s="1338"/>
      <c r="H913" s="1338"/>
      <c r="I913" s="1334"/>
      <c r="J913" s="1334"/>
      <c r="K913" s="1334"/>
      <c r="L913" s="1334"/>
      <c r="M913" s="1334"/>
      <c r="N913" s="1334"/>
      <c r="O913" s="1334"/>
      <c r="P913" s="1334"/>
      <c r="Q913" s="1334"/>
      <c r="R913" s="1334"/>
      <c r="S913" s="1334"/>
      <c r="T913" s="1334"/>
      <c r="U913" s="1334"/>
      <c r="V913" s="1334"/>
      <c r="W913" s="1334"/>
      <c r="X913" s="1334"/>
      <c r="Y913" s="1334"/>
      <c r="Z913" s="1334"/>
    </row>
    <row r="914" spans="4:26" ht="15.75" customHeight="1" x14ac:dyDescent="0.3">
      <c r="D914" s="1334"/>
      <c r="E914" s="1341"/>
      <c r="F914" s="1338"/>
      <c r="G914" s="1338"/>
      <c r="H914" s="1338"/>
      <c r="I914" s="1334"/>
      <c r="J914" s="1334"/>
      <c r="K914" s="1334"/>
      <c r="L914" s="1334"/>
      <c r="M914" s="1334"/>
      <c r="N914" s="1334"/>
      <c r="O914" s="1334"/>
      <c r="P914" s="1334"/>
      <c r="Q914" s="1334"/>
      <c r="R914" s="1334"/>
      <c r="S914" s="1334"/>
      <c r="T914" s="1334"/>
      <c r="U914" s="1334"/>
      <c r="V914" s="1334"/>
      <c r="W914" s="1334"/>
      <c r="X914" s="1334"/>
      <c r="Y914" s="1334"/>
      <c r="Z914" s="1334"/>
    </row>
    <row r="915" spans="4:26" ht="15.75" customHeight="1" x14ac:dyDescent="0.3">
      <c r="D915" s="1334"/>
      <c r="E915" s="1341"/>
      <c r="F915" s="1338"/>
      <c r="G915" s="1338"/>
      <c r="H915" s="1338"/>
      <c r="I915" s="1334"/>
      <c r="J915" s="1334"/>
      <c r="K915" s="1334"/>
      <c r="L915" s="1334"/>
      <c r="M915" s="1334"/>
      <c r="N915" s="1334"/>
      <c r="O915" s="1334"/>
      <c r="P915" s="1334"/>
      <c r="Q915" s="1334"/>
      <c r="R915" s="1334"/>
      <c r="S915" s="1334"/>
      <c r="T915" s="1334"/>
      <c r="U915" s="1334"/>
      <c r="V915" s="1334"/>
      <c r="W915" s="1334"/>
      <c r="X915" s="1334"/>
      <c r="Y915" s="1334"/>
      <c r="Z915" s="1334"/>
    </row>
    <row r="916" spans="4:26" ht="15.75" customHeight="1" x14ac:dyDescent="0.3">
      <c r="D916" s="1334"/>
      <c r="E916" s="1341"/>
      <c r="F916" s="1338"/>
      <c r="G916" s="1338"/>
      <c r="H916" s="1338"/>
      <c r="I916" s="1334"/>
      <c r="J916" s="1334"/>
      <c r="K916" s="1334"/>
      <c r="L916" s="1334"/>
      <c r="M916" s="1334"/>
      <c r="N916" s="1334"/>
      <c r="O916" s="1334"/>
      <c r="P916" s="1334"/>
      <c r="Q916" s="1334"/>
      <c r="R916" s="1334"/>
      <c r="S916" s="1334"/>
      <c r="T916" s="1334"/>
      <c r="U916" s="1334"/>
      <c r="V916" s="1334"/>
      <c r="W916" s="1334"/>
      <c r="X916" s="1334"/>
      <c r="Y916" s="1334"/>
      <c r="Z916" s="1334"/>
    </row>
    <row r="917" spans="4:26" ht="15.75" customHeight="1" x14ac:dyDescent="0.3">
      <c r="D917" s="1334"/>
      <c r="E917" s="1341"/>
      <c r="F917" s="1338"/>
      <c r="G917" s="1338"/>
      <c r="H917" s="1338"/>
      <c r="I917" s="1334"/>
      <c r="J917" s="1334"/>
      <c r="K917" s="1334"/>
      <c r="L917" s="1334"/>
      <c r="M917" s="1334"/>
      <c r="N917" s="1334"/>
      <c r="O917" s="1334"/>
      <c r="P917" s="1334"/>
      <c r="Q917" s="1334"/>
      <c r="R917" s="1334"/>
      <c r="S917" s="1334"/>
      <c r="T917" s="1334"/>
      <c r="U917" s="1334"/>
      <c r="V917" s="1334"/>
      <c r="W917" s="1334"/>
      <c r="X917" s="1334"/>
      <c r="Y917" s="1334"/>
      <c r="Z917" s="1334"/>
    </row>
    <row r="918" spans="4:26" ht="15.75" customHeight="1" x14ac:dyDescent="0.3">
      <c r="D918" s="1334"/>
      <c r="E918" s="1341"/>
      <c r="F918" s="1338"/>
      <c r="G918" s="1338"/>
      <c r="H918" s="1338"/>
      <c r="I918" s="1334"/>
      <c r="J918" s="1334"/>
      <c r="K918" s="1334"/>
      <c r="L918" s="1334"/>
      <c r="M918" s="1334"/>
      <c r="N918" s="1334"/>
      <c r="O918" s="1334"/>
      <c r="P918" s="1334"/>
      <c r="Q918" s="1334"/>
      <c r="R918" s="1334"/>
      <c r="S918" s="1334"/>
      <c r="T918" s="1334"/>
      <c r="U918" s="1334"/>
      <c r="V918" s="1334"/>
      <c r="W918" s="1334"/>
      <c r="X918" s="1334"/>
      <c r="Y918" s="1334"/>
      <c r="Z918" s="1334"/>
    </row>
    <row r="919" spans="4:26" ht="15.75" customHeight="1" x14ac:dyDescent="0.3">
      <c r="D919" s="1334"/>
      <c r="E919" s="1341"/>
      <c r="F919" s="1338"/>
      <c r="G919" s="1338"/>
      <c r="H919" s="1338"/>
      <c r="I919" s="1334"/>
      <c r="J919" s="1334"/>
      <c r="K919" s="1334"/>
      <c r="L919" s="1334"/>
      <c r="M919" s="1334"/>
      <c r="N919" s="1334"/>
      <c r="O919" s="1334"/>
      <c r="P919" s="1334"/>
      <c r="Q919" s="1334"/>
      <c r="R919" s="1334"/>
      <c r="S919" s="1334"/>
      <c r="T919" s="1334"/>
      <c r="U919" s="1334"/>
      <c r="V919" s="1334"/>
      <c r="W919" s="1334"/>
      <c r="X919" s="1334"/>
      <c r="Y919" s="1334"/>
      <c r="Z919" s="1334"/>
    </row>
    <row r="920" spans="4:26" ht="15.75" customHeight="1" x14ac:dyDescent="0.3">
      <c r="D920" s="1334"/>
      <c r="E920" s="1341"/>
      <c r="F920" s="1338"/>
      <c r="G920" s="1338"/>
      <c r="H920" s="1338"/>
      <c r="I920" s="1334"/>
      <c r="J920" s="1334"/>
      <c r="K920" s="1334"/>
      <c r="L920" s="1334"/>
      <c r="M920" s="1334"/>
      <c r="N920" s="1334"/>
      <c r="O920" s="1334"/>
      <c r="P920" s="1334"/>
      <c r="Q920" s="1334"/>
      <c r="R920" s="1334"/>
      <c r="S920" s="1334"/>
      <c r="T920" s="1334"/>
      <c r="U920" s="1334"/>
      <c r="V920" s="1334"/>
      <c r="W920" s="1334"/>
      <c r="X920" s="1334"/>
      <c r="Y920" s="1334"/>
      <c r="Z920" s="1334"/>
    </row>
    <row r="921" spans="4:26" ht="15.75" customHeight="1" x14ac:dyDescent="0.3">
      <c r="D921" s="1334"/>
      <c r="E921" s="1341"/>
      <c r="F921" s="1338"/>
      <c r="G921" s="1338"/>
      <c r="H921" s="1338"/>
      <c r="I921" s="1334"/>
      <c r="J921" s="1334"/>
      <c r="K921" s="1334"/>
      <c r="L921" s="1334"/>
      <c r="M921" s="1334"/>
      <c r="N921" s="1334"/>
      <c r="O921" s="1334"/>
      <c r="P921" s="1334"/>
      <c r="Q921" s="1334"/>
      <c r="R921" s="1334"/>
      <c r="S921" s="1334"/>
      <c r="T921" s="1334"/>
      <c r="U921" s="1334"/>
      <c r="V921" s="1334"/>
      <c r="W921" s="1334"/>
      <c r="X921" s="1334"/>
      <c r="Y921" s="1334"/>
      <c r="Z921" s="1334"/>
    </row>
    <row r="922" spans="4:26" ht="15.75" customHeight="1" x14ac:dyDescent="0.3">
      <c r="D922" s="1334"/>
      <c r="E922" s="1341"/>
      <c r="F922" s="1338"/>
      <c r="G922" s="1338"/>
      <c r="H922" s="1338"/>
      <c r="I922" s="1334"/>
      <c r="J922" s="1334"/>
      <c r="K922" s="1334"/>
      <c r="L922" s="1334"/>
      <c r="M922" s="1334"/>
      <c r="N922" s="1334"/>
      <c r="O922" s="1334"/>
      <c r="P922" s="1334"/>
      <c r="Q922" s="1334"/>
      <c r="R922" s="1334"/>
      <c r="S922" s="1334"/>
      <c r="T922" s="1334"/>
      <c r="U922" s="1334"/>
      <c r="V922" s="1334"/>
      <c r="W922" s="1334"/>
      <c r="X922" s="1334"/>
      <c r="Y922" s="1334"/>
      <c r="Z922" s="1334"/>
    </row>
    <row r="923" spans="4:26" ht="15.75" customHeight="1" x14ac:dyDescent="0.3">
      <c r="D923" s="1334"/>
      <c r="E923" s="1341"/>
      <c r="F923" s="1338"/>
      <c r="G923" s="1338"/>
      <c r="H923" s="1338"/>
      <c r="I923" s="1334"/>
      <c r="J923" s="1334"/>
      <c r="K923" s="1334"/>
      <c r="L923" s="1334"/>
      <c r="M923" s="1334"/>
      <c r="N923" s="1334"/>
      <c r="O923" s="1334"/>
      <c r="P923" s="1334"/>
      <c r="Q923" s="1334"/>
      <c r="R923" s="1334"/>
      <c r="S923" s="1334"/>
      <c r="T923" s="1334"/>
      <c r="U923" s="1334"/>
      <c r="V923" s="1334"/>
      <c r="W923" s="1334"/>
      <c r="X923" s="1334"/>
      <c r="Y923" s="1334"/>
      <c r="Z923" s="1334"/>
    </row>
    <row r="924" spans="4:26" ht="15.75" customHeight="1" x14ac:dyDescent="0.3">
      <c r="D924" s="1334"/>
      <c r="E924" s="1341"/>
      <c r="F924" s="1338"/>
      <c r="G924" s="1338"/>
      <c r="H924" s="1338"/>
      <c r="I924" s="1334"/>
      <c r="J924" s="1334"/>
      <c r="K924" s="1334"/>
      <c r="L924" s="1334"/>
      <c r="M924" s="1334"/>
      <c r="N924" s="1334"/>
      <c r="O924" s="1334"/>
      <c r="P924" s="1334"/>
      <c r="Q924" s="1334"/>
      <c r="R924" s="1334"/>
      <c r="S924" s="1334"/>
      <c r="T924" s="1334"/>
      <c r="U924" s="1334"/>
      <c r="V924" s="1334"/>
      <c r="W924" s="1334"/>
      <c r="X924" s="1334"/>
      <c r="Y924" s="1334"/>
      <c r="Z924" s="1334"/>
    </row>
    <row r="925" spans="4:26" ht="15.75" customHeight="1" x14ac:dyDescent="0.3">
      <c r="D925" s="1334"/>
      <c r="E925" s="1341"/>
      <c r="F925" s="1338"/>
      <c r="G925" s="1338"/>
      <c r="H925" s="1338"/>
      <c r="I925" s="1334"/>
      <c r="J925" s="1334"/>
      <c r="K925" s="1334"/>
      <c r="L925" s="1334"/>
      <c r="M925" s="1334"/>
      <c r="N925" s="1334"/>
      <c r="O925" s="1334"/>
      <c r="P925" s="1334"/>
      <c r="Q925" s="1334"/>
      <c r="R925" s="1334"/>
      <c r="S925" s="1334"/>
      <c r="T925" s="1334"/>
      <c r="U925" s="1334"/>
      <c r="V925" s="1334"/>
      <c r="W925" s="1334"/>
      <c r="X925" s="1334"/>
      <c r="Y925" s="1334"/>
      <c r="Z925" s="1334"/>
    </row>
    <row r="926" spans="4:26" ht="15.75" customHeight="1" x14ac:dyDescent="0.3">
      <c r="D926" s="1334"/>
      <c r="E926" s="1341"/>
      <c r="F926" s="1338"/>
      <c r="G926" s="1338"/>
      <c r="H926" s="1338"/>
      <c r="I926" s="1334"/>
      <c r="J926" s="1334"/>
      <c r="K926" s="1334"/>
      <c r="L926" s="1334"/>
      <c r="M926" s="1334"/>
      <c r="N926" s="1334"/>
      <c r="O926" s="1334"/>
      <c r="P926" s="1334"/>
      <c r="Q926" s="1334"/>
      <c r="R926" s="1334"/>
      <c r="S926" s="1334"/>
      <c r="T926" s="1334"/>
      <c r="U926" s="1334"/>
      <c r="V926" s="1334"/>
      <c r="W926" s="1334"/>
      <c r="X926" s="1334"/>
      <c r="Y926" s="1334"/>
      <c r="Z926" s="1334"/>
    </row>
    <row r="927" spans="4:26" ht="15.75" customHeight="1" x14ac:dyDescent="0.3">
      <c r="D927" s="1334"/>
      <c r="E927" s="1341"/>
      <c r="F927" s="1338"/>
      <c r="G927" s="1338"/>
      <c r="H927" s="1338"/>
      <c r="I927" s="1334"/>
      <c r="J927" s="1334"/>
      <c r="K927" s="1334"/>
      <c r="L927" s="1334"/>
      <c r="M927" s="1334"/>
      <c r="N927" s="1334"/>
      <c r="O927" s="1334"/>
      <c r="P927" s="1334"/>
      <c r="Q927" s="1334"/>
      <c r="R927" s="1334"/>
      <c r="S927" s="1334"/>
      <c r="T927" s="1334"/>
      <c r="U927" s="1334"/>
      <c r="V927" s="1334"/>
      <c r="W927" s="1334"/>
      <c r="X927" s="1334"/>
      <c r="Y927" s="1334"/>
      <c r="Z927" s="1334"/>
    </row>
    <row r="928" spans="4:26" ht="15.75" customHeight="1" x14ac:dyDescent="0.3">
      <c r="D928" s="1334"/>
      <c r="E928" s="1341"/>
      <c r="F928" s="1338"/>
      <c r="G928" s="1338"/>
      <c r="H928" s="1338"/>
      <c r="I928" s="1334"/>
      <c r="J928" s="1334"/>
      <c r="K928" s="1334"/>
      <c r="L928" s="1334"/>
      <c r="M928" s="1334"/>
      <c r="N928" s="1334"/>
      <c r="O928" s="1334"/>
      <c r="P928" s="1334"/>
      <c r="Q928" s="1334"/>
      <c r="R928" s="1334"/>
      <c r="S928" s="1334"/>
      <c r="T928" s="1334"/>
      <c r="U928" s="1334"/>
      <c r="V928" s="1334"/>
      <c r="W928" s="1334"/>
      <c r="X928" s="1334"/>
      <c r="Y928" s="1334"/>
      <c r="Z928" s="1334"/>
    </row>
    <row r="929" spans="4:26" ht="15.75" customHeight="1" x14ac:dyDescent="0.3">
      <c r="D929" s="1334"/>
      <c r="E929" s="1341"/>
      <c r="F929" s="1338"/>
      <c r="G929" s="1338"/>
      <c r="H929" s="1338"/>
      <c r="I929" s="1334"/>
      <c r="J929" s="1334"/>
      <c r="K929" s="1334"/>
      <c r="L929" s="1334"/>
      <c r="M929" s="1334"/>
      <c r="N929" s="1334"/>
      <c r="O929" s="1334"/>
      <c r="P929" s="1334"/>
      <c r="Q929" s="1334"/>
      <c r="R929" s="1334"/>
      <c r="S929" s="1334"/>
      <c r="T929" s="1334"/>
      <c r="U929" s="1334"/>
      <c r="V929" s="1334"/>
      <c r="W929" s="1334"/>
      <c r="X929" s="1334"/>
      <c r="Y929" s="1334"/>
      <c r="Z929" s="1334"/>
    </row>
    <row r="930" spans="4:26" ht="15.75" customHeight="1" x14ac:dyDescent="0.3">
      <c r="D930" s="1334"/>
      <c r="E930" s="1341"/>
      <c r="F930" s="1338"/>
      <c r="G930" s="1338"/>
      <c r="H930" s="1338"/>
      <c r="I930" s="1334"/>
      <c r="J930" s="1334"/>
      <c r="K930" s="1334"/>
      <c r="L930" s="1334"/>
      <c r="M930" s="1334"/>
      <c r="N930" s="1334"/>
      <c r="O930" s="1334"/>
      <c r="P930" s="1334"/>
      <c r="Q930" s="1334"/>
      <c r="R930" s="1334"/>
      <c r="S930" s="1334"/>
      <c r="T930" s="1334"/>
      <c r="U930" s="1334"/>
      <c r="V930" s="1334"/>
      <c r="W930" s="1334"/>
      <c r="X930" s="1334"/>
      <c r="Y930" s="1334"/>
      <c r="Z930" s="1334"/>
    </row>
    <row r="931" spans="4:26" ht="15.75" customHeight="1" x14ac:dyDescent="0.3">
      <c r="D931" s="1334"/>
      <c r="E931" s="1341"/>
      <c r="F931" s="1338"/>
      <c r="G931" s="1338"/>
      <c r="H931" s="1338"/>
      <c r="I931" s="1334"/>
      <c r="J931" s="1334"/>
      <c r="K931" s="1334"/>
      <c r="L931" s="1334"/>
      <c r="M931" s="1334"/>
      <c r="N931" s="1334"/>
      <c r="O931" s="1334"/>
      <c r="P931" s="1334"/>
      <c r="Q931" s="1334"/>
      <c r="R931" s="1334"/>
      <c r="S931" s="1334"/>
      <c r="T931" s="1334"/>
      <c r="U931" s="1334"/>
      <c r="V931" s="1334"/>
      <c r="W931" s="1334"/>
      <c r="X931" s="1334"/>
      <c r="Y931" s="1334"/>
      <c r="Z931" s="1334"/>
    </row>
    <row r="932" spans="4:26" ht="15.75" customHeight="1" x14ac:dyDescent="0.3">
      <c r="D932" s="1334"/>
      <c r="E932" s="1341"/>
      <c r="F932" s="1338"/>
      <c r="G932" s="1338"/>
      <c r="H932" s="1338"/>
      <c r="I932" s="1334"/>
      <c r="J932" s="1334"/>
      <c r="K932" s="1334"/>
      <c r="L932" s="1334"/>
      <c r="M932" s="1334"/>
      <c r="N932" s="1334"/>
      <c r="O932" s="1334"/>
      <c r="P932" s="1334"/>
      <c r="Q932" s="1334"/>
      <c r="R932" s="1334"/>
      <c r="S932" s="1334"/>
      <c r="T932" s="1334"/>
      <c r="U932" s="1334"/>
      <c r="V932" s="1334"/>
      <c r="W932" s="1334"/>
      <c r="X932" s="1334"/>
      <c r="Y932" s="1334"/>
      <c r="Z932" s="1334"/>
    </row>
    <row r="933" spans="4:26" ht="15.75" customHeight="1" x14ac:dyDescent="0.3">
      <c r="D933" s="1334"/>
      <c r="E933" s="1341"/>
      <c r="F933" s="1338"/>
      <c r="G933" s="1338"/>
      <c r="H933" s="1338"/>
      <c r="I933" s="1334"/>
      <c r="J933" s="1334"/>
      <c r="K933" s="1334"/>
      <c r="L933" s="1334"/>
      <c r="M933" s="1334"/>
      <c r="N933" s="1334"/>
      <c r="O933" s="1334"/>
      <c r="P933" s="1334"/>
      <c r="Q933" s="1334"/>
      <c r="R933" s="1334"/>
      <c r="S933" s="1334"/>
      <c r="T933" s="1334"/>
      <c r="U933" s="1334"/>
      <c r="V933" s="1334"/>
      <c r="W933" s="1334"/>
      <c r="X933" s="1334"/>
      <c r="Y933" s="1334"/>
      <c r="Z933" s="1334"/>
    </row>
    <row r="934" spans="4:26" ht="15.75" customHeight="1" x14ac:dyDescent="0.3">
      <c r="D934" s="1334"/>
      <c r="E934" s="1341"/>
      <c r="F934" s="1338"/>
      <c r="G934" s="1338"/>
      <c r="H934" s="1338"/>
      <c r="I934" s="1334"/>
      <c r="J934" s="1334"/>
      <c r="K934" s="1334"/>
      <c r="L934" s="1334"/>
      <c r="M934" s="1334"/>
      <c r="N934" s="1334"/>
      <c r="O934" s="1334"/>
      <c r="P934" s="1334"/>
      <c r="Q934" s="1334"/>
      <c r="R934" s="1334"/>
      <c r="S934" s="1334"/>
      <c r="T934" s="1334"/>
      <c r="U934" s="1334"/>
      <c r="V934" s="1334"/>
      <c r="W934" s="1334"/>
      <c r="X934" s="1334"/>
      <c r="Y934" s="1334"/>
      <c r="Z934" s="1334"/>
    </row>
    <row r="935" spans="4:26" ht="15.75" customHeight="1" x14ac:dyDescent="0.3">
      <c r="D935" s="1334"/>
      <c r="E935" s="1341"/>
      <c r="F935" s="1338"/>
      <c r="G935" s="1338"/>
      <c r="H935" s="1338"/>
      <c r="I935" s="1334"/>
      <c r="J935" s="1334"/>
      <c r="K935" s="1334"/>
      <c r="L935" s="1334"/>
      <c r="M935" s="1334"/>
      <c r="N935" s="1334"/>
      <c r="O935" s="1334"/>
      <c r="P935" s="1334"/>
      <c r="Q935" s="1334"/>
      <c r="R935" s="1334"/>
      <c r="S935" s="1334"/>
      <c r="T935" s="1334"/>
      <c r="U935" s="1334"/>
      <c r="V935" s="1334"/>
      <c r="W935" s="1334"/>
      <c r="X935" s="1334"/>
      <c r="Y935" s="1334"/>
      <c r="Z935" s="1334"/>
    </row>
    <row r="936" spans="4:26" ht="15.75" customHeight="1" x14ac:dyDescent="0.3">
      <c r="D936" s="1334"/>
      <c r="E936" s="1341"/>
      <c r="F936" s="1338"/>
      <c r="G936" s="1338"/>
      <c r="H936" s="1338"/>
      <c r="I936" s="1334"/>
      <c r="J936" s="1334"/>
      <c r="K936" s="1334"/>
      <c r="L936" s="1334"/>
      <c r="M936" s="1334"/>
      <c r="N936" s="1334"/>
      <c r="O936" s="1334"/>
      <c r="P936" s="1334"/>
      <c r="Q936" s="1334"/>
      <c r="R936" s="1334"/>
      <c r="S936" s="1334"/>
      <c r="T936" s="1334"/>
      <c r="U936" s="1334"/>
      <c r="V936" s="1334"/>
      <c r="W936" s="1334"/>
      <c r="X936" s="1334"/>
      <c r="Y936" s="1334"/>
      <c r="Z936" s="1334"/>
    </row>
    <row r="937" spans="4:26" ht="15.75" customHeight="1" x14ac:dyDescent="0.3">
      <c r="D937" s="1334"/>
      <c r="E937" s="1341"/>
      <c r="F937" s="1338"/>
      <c r="G937" s="1338"/>
      <c r="H937" s="1338"/>
      <c r="I937" s="1334"/>
      <c r="J937" s="1334"/>
      <c r="K937" s="1334"/>
      <c r="L937" s="1334"/>
      <c r="M937" s="1334"/>
      <c r="N937" s="1334"/>
      <c r="O937" s="1334"/>
      <c r="P937" s="1334"/>
      <c r="Q937" s="1334"/>
      <c r="R937" s="1334"/>
      <c r="S937" s="1334"/>
      <c r="T937" s="1334"/>
      <c r="U937" s="1334"/>
      <c r="V937" s="1334"/>
      <c r="W937" s="1334"/>
      <c r="X937" s="1334"/>
      <c r="Y937" s="1334"/>
      <c r="Z937" s="1334"/>
    </row>
    <row r="938" spans="4:26" ht="15.75" customHeight="1" x14ac:dyDescent="0.3">
      <c r="D938" s="1334"/>
      <c r="E938" s="1341"/>
      <c r="F938" s="1338"/>
      <c r="G938" s="1338"/>
      <c r="H938" s="1338"/>
      <c r="I938" s="1334"/>
      <c r="J938" s="1334"/>
      <c r="K938" s="1334"/>
      <c r="L938" s="1334"/>
      <c r="M938" s="1334"/>
      <c r="N938" s="1334"/>
      <c r="O938" s="1334"/>
      <c r="P938" s="1334"/>
      <c r="Q938" s="1334"/>
      <c r="R938" s="1334"/>
      <c r="S938" s="1334"/>
      <c r="T938" s="1334"/>
      <c r="U938" s="1334"/>
      <c r="V938" s="1334"/>
      <c r="W938" s="1334"/>
      <c r="X938" s="1334"/>
      <c r="Y938" s="1334"/>
      <c r="Z938" s="1334"/>
    </row>
    <row r="939" spans="4:26" ht="15.75" customHeight="1" x14ac:dyDescent="0.3">
      <c r="D939" s="1334"/>
      <c r="E939" s="1341"/>
      <c r="F939" s="1338"/>
      <c r="G939" s="1338"/>
      <c r="H939" s="1338"/>
      <c r="I939" s="1334"/>
      <c r="J939" s="1334"/>
      <c r="K939" s="1334"/>
      <c r="L939" s="1334"/>
      <c r="M939" s="1334"/>
      <c r="N939" s="1334"/>
      <c r="O939" s="1334"/>
      <c r="P939" s="1334"/>
      <c r="Q939" s="1334"/>
      <c r="R939" s="1334"/>
      <c r="S939" s="1334"/>
      <c r="T939" s="1334"/>
      <c r="U939" s="1334"/>
      <c r="V939" s="1334"/>
      <c r="W939" s="1334"/>
      <c r="X939" s="1334"/>
      <c r="Y939" s="1334"/>
      <c r="Z939" s="1334"/>
    </row>
    <row r="940" spans="4:26" ht="15.75" customHeight="1" x14ac:dyDescent="0.3">
      <c r="D940" s="1334"/>
      <c r="E940" s="1341"/>
      <c r="F940" s="1338"/>
      <c r="G940" s="1338"/>
      <c r="H940" s="1338"/>
      <c r="I940" s="1334"/>
      <c r="J940" s="1334"/>
      <c r="K940" s="1334"/>
      <c r="L940" s="1334"/>
      <c r="M940" s="1334"/>
      <c r="N940" s="1334"/>
      <c r="O940" s="1334"/>
      <c r="P940" s="1334"/>
      <c r="Q940" s="1334"/>
      <c r="R940" s="1334"/>
      <c r="S940" s="1334"/>
      <c r="T940" s="1334"/>
      <c r="U940" s="1334"/>
      <c r="V940" s="1334"/>
      <c r="W940" s="1334"/>
      <c r="X940" s="1334"/>
      <c r="Y940" s="1334"/>
      <c r="Z940" s="1334"/>
    </row>
    <row r="941" spans="4:26" ht="15.75" customHeight="1" x14ac:dyDescent="0.3">
      <c r="D941" s="1334"/>
      <c r="E941" s="1341"/>
      <c r="F941" s="1338"/>
      <c r="G941" s="1338"/>
      <c r="H941" s="1338"/>
      <c r="I941" s="1334"/>
      <c r="J941" s="1334"/>
      <c r="K941" s="1334"/>
      <c r="L941" s="1334"/>
      <c r="M941" s="1334"/>
      <c r="N941" s="1334"/>
      <c r="O941" s="1334"/>
      <c r="P941" s="1334"/>
      <c r="Q941" s="1334"/>
      <c r="R941" s="1334"/>
      <c r="S941" s="1334"/>
      <c r="T941" s="1334"/>
      <c r="U941" s="1334"/>
      <c r="V941" s="1334"/>
      <c r="W941" s="1334"/>
      <c r="X941" s="1334"/>
      <c r="Y941" s="1334"/>
      <c r="Z941" s="1334"/>
    </row>
    <row r="942" spans="4:26" ht="15.75" customHeight="1" x14ac:dyDescent="0.3">
      <c r="D942" s="1334"/>
      <c r="E942" s="1341"/>
      <c r="F942" s="1338"/>
      <c r="G942" s="1338"/>
      <c r="H942" s="1338"/>
      <c r="I942" s="1334"/>
      <c r="J942" s="1334"/>
      <c r="K942" s="1334"/>
      <c r="L942" s="1334"/>
      <c r="M942" s="1334"/>
      <c r="N942" s="1334"/>
      <c r="O942" s="1334"/>
      <c r="P942" s="1334"/>
      <c r="Q942" s="1334"/>
      <c r="R942" s="1334"/>
      <c r="S942" s="1334"/>
      <c r="T942" s="1334"/>
      <c r="U942" s="1334"/>
      <c r="V942" s="1334"/>
      <c r="W942" s="1334"/>
      <c r="X942" s="1334"/>
      <c r="Y942" s="1334"/>
      <c r="Z942" s="1334"/>
    </row>
    <row r="943" spans="4:26" ht="15.75" customHeight="1" x14ac:dyDescent="0.3">
      <c r="D943" s="1334"/>
      <c r="E943" s="1341"/>
      <c r="F943" s="1338"/>
      <c r="G943" s="1338"/>
      <c r="H943" s="1338"/>
      <c r="I943" s="1334"/>
      <c r="J943" s="1334"/>
      <c r="K943" s="1334"/>
      <c r="L943" s="1334"/>
      <c r="M943" s="1334"/>
      <c r="N943" s="1334"/>
      <c r="O943" s="1334"/>
      <c r="P943" s="1334"/>
      <c r="Q943" s="1334"/>
      <c r="R943" s="1334"/>
      <c r="S943" s="1334"/>
      <c r="T943" s="1334"/>
      <c r="U943" s="1334"/>
      <c r="V943" s="1334"/>
      <c r="W943" s="1334"/>
      <c r="X943" s="1334"/>
      <c r="Y943" s="1334"/>
      <c r="Z943" s="1334"/>
    </row>
    <row r="944" spans="4:26" ht="15.75" customHeight="1" x14ac:dyDescent="0.3">
      <c r="D944" s="1334"/>
      <c r="E944" s="1341"/>
      <c r="F944" s="1338"/>
      <c r="G944" s="1338"/>
      <c r="H944" s="1338"/>
      <c r="I944" s="1334"/>
      <c r="J944" s="1334"/>
      <c r="K944" s="1334"/>
      <c r="L944" s="1334"/>
      <c r="M944" s="1334"/>
      <c r="N944" s="1334"/>
      <c r="O944" s="1334"/>
      <c r="P944" s="1334"/>
      <c r="Q944" s="1334"/>
      <c r="R944" s="1334"/>
      <c r="S944" s="1334"/>
      <c r="T944" s="1334"/>
      <c r="U944" s="1334"/>
      <c r="V944" s="1334"/>
      <c r="W944" s="1334"/>
      <c r="X944" s="1334"/>
      <c r="Y944" s="1334"/>
      <c r="Z944" s="1334"/>
    </row>
    <row r="945" spans="4:26" ht="15.75" customHeight="1" x14ac:dyDescent="0.3">
      <c r="D945" s="1334"/>
      <c r="E945" s="1341"/>
      <c r="F945" s="1338"/>
      <c r="G945" s="1338"/>
      <c r="H945" s="1338"/>
      <c r="I945" s="1334"/>
      <c r="J945" s="1334"/>
      <c r="K945" s="1334"/>
      <c r="L945" s="1334"/>
      <c r="M945" s="1334"/>
      <c r="N945" s="1334"/>
      <c r="O945" s="1334"/>
      <c r="P945" s="1334"/>
      <c r="Q945" s="1334"/>
      <c r="R945" s="1334"/>
      <c r="S945" s="1334"/>
      <c r="T945" s="1334"/>
      <c r="U945" s="1334"/>
      <c r="V945" s="1334"/>
      <c r="W945" s="1334"/>
      <c r="X945" s="1334"/>
      <c r="Y945" s="1334"/>
      <c r="Z945" s="1334"/>
    </row>
    <row r="946" spans="4:26" ht="15.75" customHeight="1" x14ac:dyDescent="0.3">
      <c r="D946" s="1334"/>
      <c r="E946" s="1341"/>
      <c r="F946" s="1338"/>
      <c r="G946" s="1338"/>
      <c r="H946" s="1338"/>
      <c r="I946" s="1334"/>
      <c r="J946" s="1334"/>
      <c r="K946" s="1334"/>
      <c r="L946" s="1334"/>
      <c r="M946" s="1334"/>
      <c r="N946" s="1334"/>
      <c r="O946" s="1334"/>
      <c r="P946" s="1334"/>
      <c r="Q946" s="1334"/>
      <c r="R946" s="1334"/>
      <c r="S946" s="1334"/>
      <c r="T946" s="1334"/>
      <c r="U946" s="1334"/>
      <c r="V946" s="1334"/>
      <c r="W946" s="1334"/>
      <c r="X946" s="1334"/>
      <c r="Y946" s="1334"/>
      <c r="Z946" s="1334"/>
    </row>
    <row r="947" spans="4:26" ht="15.75" customHeight="1" x14ac:dyDescent="0.3">
      <c r="D947" s="1334"/>
      <c r="E947" s="1341"/>
      <c r="F947" s="1338"/>
      <c r="G947" s="1338"/>
      <c r="H947" s="1338"/>
      <c r="I947" s="1334"/>
      <c r="J947" s="1334"/>
      <c r="K947" s="1334"/>
      <c r="L947" s="1334"/>
      <c r="M947" s="1334"/>
      <c r="N947" s="1334"/>
      <c r="O947" s="1334"/>
      <c r="P947" s="1334"/>
      <c r="Q947" s="1334"/>
      <c r="R947" s="1334"/>
      <c r="S947" s="1334"/>
      <c r="T947" s="1334"/>
      <c r="U947" s="1334"/>
      <c r="V947" s="1334"/>
      <c r="W947" s="1334"/>
      <c r="X947" s="1334"/>
      <c r="Y947" s="1334"/>
      <c r="Z947" s="1334"/>
    </row>
    <row r="948" spans="4:26" ht="15.75" customHeight="1" x14ac:dyDescent="0.3">
      <c r="D948" s="1334"/>
      <c r="E948" s="1341"/>
      <c r="F948" s="1338"/>
      <c r="G948" s="1338"/>
      <c r="H948" s="1338"/>
      <c r="I948" s="1334"/>
      <c r="J948" s="1334"/>
      <c r="K948" s="1334"/>
      <c r="L948" s="1334"/>
      <c r="M948" s="1334"/>
      <c r="N948" s="1334"/>
      <c r="O948" s="1334"/>
      <c r="P948" s="1334"/>
      <c r="Q948" s="1334"/>
      <c r="R948" s="1334"/>
      <c r="S948" s="1334"/>
      <c r="T948" s="1334"/>
      <c r="U948" s="1334"/>
      <c r="V948" s="1334"/>
      <c r="W948" s="1334"/>
      <c r="X948" s="1334"/>
      <c r="Y948" s="1334"/>
      <c r="Z948" s="1334"/>
    </row>
    <row r="949" spans="4:26" ht="15.75" customHeight="1" x14ac:dyDescent="0.3">
      <c r="D949" s="1334"/>
      <c r="E949" s="1341"/>
      <c r="F949" s="1338"/>
      <c r="G949" s="1338"/>
      <c r="H949" s="1338"/>
      <c r="I949" s="1334"/>
      <c r="J949" s="1334"/>
      <c r="K949" s="1334"/>
      <c r="L949" s="1334"/>
      <c r="M949" s="1334"/>
      <c r="N949" s="1334"/>
      <c r="O949" s="1334"/>
      <c r="P949" s="1334"/>
      <c r="Q949" s="1334"/>
      <c r="R949" s="1334"/>
      <c r="S949" s="1334"/>
      <c r="T949" s="1334"/>
      <c r="U949" s="1334"/>
      <c r="V949" s="1334"/>
      <c r="W949" s="1334"/>
      <c r="X949" s="1334"/>
      <c r="Y949" s="1334"/>
      <c r="Z949" s="1334"/>
    </row>
    <row r="950" spans="4:26" ht="15.75" customHeight="1" x14ac:dyDescent="0.3">
      <c r="D950" s="1334"/>
      <c r="E950" s="1341"/>
      <c r="F950" s="1338"/>
      <c r="G950" s="1338"/>
      <c r="H950" s="1338"/>
      <c r="I950" s="1334"/>
      <c r="J950" s="1334"/>
      <c r="K950" s="1334"/>
      <c r="L950" s="1334"/>
      <c r="M950" s="1334"/>
      <c r="N950" s="1334"/>
      <c r="O950" s="1334"/>
      <c r="P950" s="1334"/>
      <c r="Q950" s="1334"/>
      <c r="R950" s="1334"/>
      <c r="S950" s="1334"/>
      <c r="T950" s="1334"/>
      <c r="U950" s="1334"/>
      <c r="V950" s="1334"/>
      <c r="W950" s="1334"/>
      <c r="X950" s="1334"/>
      <c r="Y950" s="1334"/>
      <c r="Z950" s="1334"/>
    </row>
    <row r="951" spans="4:26" ht="15.75" customHeight="1" x14ac:dyDescent="0.3">
      <c r="D951" s="1334"/>
      <c r="E951" s="1341"/>
      <c r="F951" s="1338"/>
      <c r="G951" s="1338"/>
      <c r="H951" s="1338"/>
      <c r="I951" s="1334"/>
      <c r="J951" s="1334"/>
      <c r="K951" s="1334"/>
      <c r="L951" s="1334"/>
      <c r="M951" s="1334"/>
      <c r="N951" s="1334"/>
      <c r="O951" s="1334"/>
      <c r="P951" s="1334"/>
      <c r="Q951" s="1334"/>
      <c r="R951" s="1334"/>
      <c r="S951" s="1334"/>
      <c r="T951" s="1334"/>
      <c r="U951" s="1334"/>
      <c r="V951" s="1334"/>
      <c r="W951" s="1334"/>
      <c r="X951" s="1334"/>
      <c r="Y951" s="1334"/>
      <c r="Z951" s="1334"/>
    </row>
    <row r="952" spans="4:26" ht="15.75" customHeight="1" x14ac:dyDescent="0.3">
      <c r="D952" s="1334"/>
      <c r="E952" s="1341"/>
      <c r="F952" s="1338"/>
      <c r="G952" s="1338"/>
      <c r="H952" s="1338"/>
      <c r="I952" s="1334"/>
      <c r="J952" s="1334"/>
      <c r="K952" s="1334"/>
      <c r="L952" s="1334"/>
      <c r="M952" s="1334"/>
      <c r="N952" s="1334"/>
      <c r="O952" s="1334"/>
      <c r="P952" s="1334"/>
      <c r="Q952" s="1334"/>
      <c r="R952" s="1334"/>
      <c r="S952" s="1334"/>
      <c r="T952" s="1334"/>
      <c r="U952" s="1334"/>
      <c r="V952" s="1334"/>
      <c r="W952" s="1334"/>
      <c r="X952" s="1334"/>
      <c r="Y952" s="1334"/>
      <c r="Z952" s="1334"/>
    </row>
    <row r="953" spans="4:26" ht="15.75" customHeight="1" x14ac:dyDescent="0.3">
      <c r="D953" s="1334"/>
      <c r="E953" s="1341"/>
      <c r="F953" s="1338"/>
      <c r="G953" s="1338"/>
      <c r="H953" s="1338"/>
      <c r="I953" s="1334"/>
      <c r="J953" s="1334"/>
      <c r="K953" s="1334"/>
      <c r="L953" s="1334"/>
      <c r="M953" s="1334"/>
      <c r="N953" s="1334"/>
      <c r="O953" s="1334"/>
      <c r="P953" s="1334"/>
      <c r="Q953" s="1334"/>
      <c r="R953" s="1334"/>
      <c r="S953" s="1334"/>
      <c r="T953" s="1334"/>
      <c r="U953" s="1334"/>
      <c r="V953" s="1334"/>
      <c r="W953" s="1334"/>
      <c r="X953" s="1334"/>
      <c r="Y953" s="1334"/>
      <c r="Z953" s="1334"/>
    </row>
    <row r="954" spans="4:26" ht="15.75" customHeight="1" x14ac:dyDescent="0.3">
      <c r="D954" s="1334"/>
      <c r="E954" s="1341"/>
      <c r="F954" s="1338"/>
      <c r="G954" s="1338"/>
      <c r="H954" s="1338"/>
      <c r="I954" s="1334"/>
      <c r="J954" s="1334"/>
      <c r="K954" s="1334"/>
      <c r="L954" s="1334"/>
      <c r="M954" s="1334"/>
      <c r="N954" s="1334"/>
      <c r="O954" s="1334"/>
      <c r="P954" s="1334"/>
      <c r="Q954" s="1334"/>
      <c r="R954" s="1334"/>
      <c r="S954" s="1334"/>
      <c r="T954" s="1334"/>
      <c r="U954" s="1334"/>
      <c r="V954" s="1334"/>
      <c r="W954" s="1334"/>
      <c r="X954" s="1334"/>
      <c r="Y954" s="1334"/>
      <c r="Z954" s="1334"/>
    </row>
    <row r="955" spans="4:26" ht="15.75" customHeight="1" x14ac:dyDescent="0.3">
      <c r="D955" s="1334"/>
      <c r="E955" s="1341"/>
      <c r="F955" s="1338"/>
      <c r="G955" s="1338"/>
      <c r="H955" s="1338"/>
      <c r="I955" s="1334"/>
      <c r="J955" s="1334"/>
      <c r="K955" s="1334"/>
      <c r="L955" s="1334"/>
      <c r="M955" s="1334"/>
      <c r="N955" s="1334"/>
      <c r="O955" s="1334"/>
      <c r="P955" s="1334"/>
      <c r="Q955" s="1334"/>
      <c r="R955" s="1334"/>
      <c r="S955" s="1334"/>
      <c r="T955" s="1334"/>
      <c r="U955" s="1334"/>
      <c r="V955" s="1334"/>
      <c r="W955" s="1334"/>
      <c r="X955" s="1334"/>
      <c r="Y955" s="1334"/>
      <c r="Z955" s="1334"/>
    </row>
    <row r="956" spans="4:26" ht="15.75" customHeight="1" x14ac:dyDescent="0.3">
      <c r="D956" s="1334"/>
      <c r="E956" s="1341"/>
      <c r="F956" s="1338"/>
      <c r="G956" s="1338"/>
      <c r="H956" s="1338"/>
      <c r="I956" s="1334"/>
      <c r="J956" s="1334"/>
      <c r="K956" s="1334"/>
      <c r="L956" s="1334"/>
      <c r="M956" s="1334"/>
      <c r="N956" s="1334"/>
      <c r="O956" s="1334"/>
      <c r="P956" s="1334"/>
      <c r="Q956" s="1334"/>
      <c r="R956" s="1334"/>
      <c r="S956" s="1334"/>
      <c r="T956" s="1334"/>
      <c r="U956" s="1334"/>
      <c r="V956" s="1334"/>
      <c r="W956" s="1334"/>
      <c r="X956" s="1334"/>
      <c r="Y956" s="1334"/>
      <c r="Z956" s="1334"/>
    </row>
    <row r="957" spans="4:26" ht="15.75" customHeight="1" x14ac:dyDescent="0.3">
      <c r="D957" s="1334"/>
      <c r="E957" s="1341"/>
      <c r="F957" s="1338"/>
      <c r="G957" s="1338"/>
      <c r="H957" s="1338"/>
      <c r="I957" s="1334"/>
      <c r="J957" s="1334"/>
      <c r="K957" s="1334"/>
      <c r="L957" s="1334"/>
      <c r="M957" s="1334"/>
      <c r="N957" s="1334"/>
      <c r="O957" s="1334"/>
      <c r="P957" s="1334"/>
      <c r="Q957" s="1334"/>
      <c r="R957" s="1334"/>
      <c r="S957" s="1334"/>
      <c r="T957" s="1334"/>
      <c r="U957" s="1334"/>
      <c r="V957" s="1334"/>
      <c r="W957" s="1334"/>
      <c r="X957" s="1334"/>
      <c r="Y957" s="1334"/>
      <c r="Z957" s="1334"/>
    </row>
    <row r="958" spans="4:26" ht="15.75" customHeight="1" x14ac:dyDescent="0.3">
      <c r="D958" s="1334"/>
      <c r="E958" s="1341"/>
      <c r="F958" s="1338"/>
      <c r="G958" s="1338"/>
      <c r="H958" s="1338"/>
      <c r="I958" s="1334"/>
      <c r="J958" s="1334"/>
      <c r="K958" s="1334"/>
      <c r="L958" s="1334"/>
      <c r="M958" s="1334"/>
      <c r="N958" s="1334"/>
      <c r="O958" s="1334"/>
      <c r="P958" s="1334"/>
      <c r="Q958" s="1334"/>
      <c r="R958" s="1334"/>
      <c r="S958" s="1334"/>
      <c r="T958" s="1334"/>
      <c r="U958" s="1334"/>
      <c r="V958" s="1334"/>
      <c r="W958" s="1334"/>
      <c r="X958" s="1334"/>
      <c r="Y958" s="1334"/>
      <c r="Z958" s="1334"/>
    </row>
    <row r="959" spans="4:26" ht="15.75" customHeight="1" x14ac:dyDescent="0.3">
      <c r="D959" s="1334"/>
      <c r="E959" s="1341"/>
      <c r="F959" s="1338"/>
      <c r="G959" s="1338"/>
      <c r="H959" s="1338"/>
      <c r="I959" s="1334"/>
      <c r="J959" s="1334"/>
      <c r="K959" s="1334"/>
      <c r="L959" s="1334"/>
      <c r="M959" s="1334"/>
      <c r="N959" s="1334"/>
      <c r="O959" s="1334"/>
      <c r="P959" s="1334"/>
      <c r="Q959" s="1334"/>
      <c r="R959" s="1334"/>
      <c r="S959" s="1334"/>
      <c r="T959" s="1334"/>
      <c r="U959" s="1334"/>
      <c r="V959" s="1334"/>
      <c r="W959" s="1334"/>
      <c r="X959" s="1334"/>
      <c r="Y959" s="1334"/>
      <c r="Z959" s="1334"/>
    </row>
    <row r="960" spans="4:26" ht="15.75" customHeight="1" x14ac:dyDescent="0.3">
      <c r="D960" s="1334"/>
      <c r="E960" s="1341"/>
      <c r="F960" s="1338"/>
      <c r="G960" s="1338"/>
      <c r="H960" s="1338"/>
      <c r="I960" s="1334"/>
      <c r="J960" s="1334"/>
      <c r="K960" s="1334"/>
      <c r="L960" s="1334"/>
      <c r="M960" s="1334"/>
      <c r="N960" s="1334"/>
      <c r="O960" s="1334"/>
      <c r="P960" s="1334"/>
      <c r="Q960" s="1334"/>
      <c r="R960" s="1334"/>
      <c r="S960" s="1334"/>
      <c r="T960" s="1334"/>
      <c r="U960" s="1334"/>
      <c r="V960" s="1334"/>
      <c r="W960" s="1334"/>
      <c r="X960" s="1334"/>
      <c r="Y960" s="1334"/>
      <c r="Z960" s="1334"/>
    </row>
    <row r="961" spans="4:26" ht="15.75" customHeight="1" x14ac:dyDescent="0.3">
      <c r="D961" s="1334"/>
      <c r="E961" s="1341"/>
      <c r="F961" s="1338"/>
      <c r="G961" s="1338"/>
      <c r="H961" s="1338"/>
      <c r="I961" s="1334"/>
      <c r="J961" s="1334"/>
      <c r="K961" s="1334"/>
      <c r="L961" s="1334"/>
      <c r="M961" s="1334"/>
      <c r="N961" s="1334"/>
      <c r="O961" s="1334"/>
      <c r="P961" s="1334"/>
      <c r="Q961" s="1334"/>
      <c r="R961" s="1334"/>
      <c r="S961" s="1334"/>
      <c r="T961" s="1334"/>
      <c r="U961" s="1334"/>
      <c r="V961" s="1334"/>
      <c r="W961" s="1334"/>
      <c r="X961" s="1334"/>
      <c r="Y961" s="1334"/>
      <c r="Z961" s="1334"/>
    </row>
    <row r="962" spans="4:26" ht="15.75" customHeight="1" x14ac:dyDescent="0.3">
      <c r="D962" s="1334"/>
      <c r="E962" s="1341"/>
      <c r="F962" s="1338"/>
      <c r="G962" s="1338"/>
      <c r="H962" s="1338"/>
      <c r="I962" s="1334"/>
      <c r="J962" s="1334"/>
      <c r="K962" s="1334"/>
      <c r="L962" s="1334"/>
      <c r="M962" s="1334"/>
      <c r="N962" s="1334"/>
      <c r="O962" s="1334"/>
      <c r="P962" s="1334"/>
      <c r="Q962" s="1334"/>
      <c r="R962" s="1334"/>
      <c r="S962" s="1334"/>
      <c r="T962" s="1334"/>
      <c r="U962" s="1334"/>
      <c r="V962" s="1334"/>
      <c r="W962" s="1334"/>
      <c r="X962" s="1334"/>
      <c r="Y962" s="1334"/>
      <c r="Z962" s="1334"/>
    </row>
    <row r="963" spans="4:26" ht="15.75" customHeight="1" x14ac:dyDescent="0.3">
      <c r="D963" s="1334"/>
      <c r="E963" s="1341"/>
      <c r="F963" s="1338"/>
      <c r="G963" s="1338"/>
      <c r="H963" s="1338"/>
      <c r="I963" s="1334"/>
      <c r="J963" s="1334"/>
      <c r="K963" s="1334"/>
      <c r="L963" s="1334"/>
      <c r="M963" s="1334"/>
      <c r="N963" s="1334"/>
      <c r="O963" s="1334"/>
      <c r="P963" s="1334"/>
      <c r="Q963" s="1334"/>
      <c r="R963" s="1334"/>
      <c r="S963" s="1334"/>
      <c r="T963" s="1334"/>
      <c r="U963" s="1334"/>
      <c r="V963" s="1334"/>
      <c r="W963" s="1334"/>
      <c r="X963" s="1334"/>
      <c r="Y963" s="1334"/>
      <c r="Z963" s="1334"/>
    </row>
    <row r="964" spans="4:26" ht="15.75" customHeight="1" x14ac:dyDescent="0.3">
      <c r="D964" s="1334"/>
      <c r="E964" s="1341"/>
      <c r="F964" s="1338"/>
      <c r="G964" s="1338"/>
      <c r="H964" s="1338"/>
      <c r="I964" s="1334"/>
      <c r="J964" s="1334"/>
      <c r="K964" s="1334"/>
      <c r="L964" s="1334"/>
      <c r="M964" s="1334"/>
      <c r="N964" s="1334"/>
      <c r="O964" s="1334"/>
      <c r="P964" s="1334"/>
      <c r="Q964" s="1334"/>
      <c r="R964" s="1334"/>
      <c r="S964" s="1334"/>
      <c r="T964" s="1334"/>
      <c r="U964" s="1334"/>
      <c r="V964" s="1334"/>
      <c r="W964" s="1334"/>
      <c r="X964" s="1334"/>
      <c r="Y964" s="1334"/>
      <c r="Z964" s="1334"/>
    </row>
    <row r="965" spans="4:26" ht="15.75" customHeight="1" x14ac:dyDescent="0.3">
      <c r="D965" s="1334"/>
      <c r="E965" s="1341"/>
      <c r="F965" s="1338"/>
      <c r="G965" s="1338"/>
      <c r="H965" s="1338"/>
      <c r="I965" s="1334"/>
      <c r="J965" s="1334"/>
      <c r="K965" s="1334"/>
      <c r="L965" s="1334"/>
      <c r="M965" s="1334"/>
      <c r="N965" s="1334"/>
      <c r="O965" s="1334"/>
      <c r="P965" s="1334"/>
      <c r="Q965" s="1334"/>
      <c r="R965" s="1334"/>
      <c r="S965" s="1334"/>
      <c r="T965" s="1334"/>
      <c r="U965" s="1334"/>
      <c r="V965" s="1334"/>
      <c r="W965" s="1334"/>
      <c r="X965" s="1334"/>
      <c r="Y965" s="1334"/>
      <c r="Z965" s="1334"/>
    </row>
    <row r="966" spans="4:26" ht="15.75" customHeight="1" x14ac:dyDescent="0.3">
      <c r="D966" s="1334"/>
      <c r="E966" s="1341"/>
      <c r="F966" s="1338"/>
      <c r="G966" s="1338"/>
      <c r="H966" s="1338"/>
      <c r="I966" s="1334"/>
      <c r="J966" s="1334"/>
      <c r="K966" s="1334"/>
      <c r="L966" s="1334"/>
      <c r="M966" s="1334"/>
      <c r="N966" s="1334"/>
      <c r="O966" s="1334"/>
      <c r="P966" s="1334"/>
      <c r="Q966" s="1334"/>
      <c r="R966" s="1334"/>
      <c r="S966" s="1334"/>
      <c r="T966" s="1334"/>
      <c r="U966" s="1334"/>
      <c r="V966" s="1334"/>
      <c r="W966" s="1334"/>
      <c r="X966" s="1334"/>
      <c r="Y966" s="1334"/>
      <c r="Z966" s="1334"/>
    </row>
    <row r="967" spans="4:26" ht="15.75" customHeight="1" x14ac:dyDescent="0.3">
      <c r="D967" s="1334"/>
      <c r="E967" s="1341"/>
      <c r="F967" s="1338"/>
      <c r="G967" s="1338"/>
      <c r="H967" s="1338"/>
      <c r="I967" s="1334"/>
      <c r="J967" s="1334"/>
      <c r="K967" s="1334"/>
      <c r="L967" s="1334"/>
      <c r="M967" s="1334"/>
      <c r="N967" s="1334"/>
      <c r="O967" s="1334"/>
      <c r="P967" s="1334"/>
      <c r="Q967" s="1334"/>
      <c r="R967" s="1334"/>
      <c r="S967" s="1334"/>
      <c r="T967" s="1334"/>
      <c r="U967" s="1334"/>
      <c r="V967" s="1334"/>
      <c r="W967" s="1334"/>
      <c r="X967" s="1334"/>
      <c r="Y967" s="1334"/>
      <c r="Z967" s="1334"/>
    </row>
    <row r="968" spans="4:26" ht="15.75" customHeight="1" x14ac:dyDescent="0.3">
      <c r="D968" s="1334"/>
      <c r="E968" s="1341"/>
      <c r="F968" s="1338"/>
      <c r="G968" s="1338"/>
      <c r="H968" s="1338"/>
      <c r="I968" s="1334"/>
      <c r="J968" s="1334"/>
      <c r="K968" s="1334"/>
      <c r="L968" s="1334"/>
      <c r="M968" s="1334"/>
      <c r="N968" s="1334"/>
      <c r="O968" s="1334"/>
      <c r="P968" s="1334"/>
      <c r="Q968" s="1334"/>
      <c r="R968" s="1334"/>
      <c r="S968" s="1334"/>
      <c r="T968" s="1334"/>
      <c r="U968" s="1334"/>
      <c r="V968" s="1334"/>
      <c r="W968" s="1334"/>
      <c r="X968" s="1334"/>
      <c r="Y968" s="1334"/>
      <c r="Z968" s="1334"/>
    </row>
    <row r="969" spans="4:26" ht="15.75" customHeight="1" x14ac:dyDescent="0.3">
      <c r="D969" s="1334"/>
      <c r="E969" s="1341"/>
      <c r="F969" s="1338"/>
      <c r="G969" s="1338"/>
      <c r="H969" s="1338"/>
      <c r="I969" s="1334"/>
      <c r="J969" s="1334"/>
      <c r="K969" s="1334"/>
      <c r="L969" s="1334"/>
      <c r="M969" s="1334"/>
      <c r="N969" s="1334"/>
      <c r="O969" s="1334"/>
      <c r="P969" s="1334"/>
      <c r="Q969" s="1334"/>
      <c r="R969" s="1334"/>
      <c r="S969" s="1334"/>
      <c r="T969" s="1334"/>
      <c r="U969" s="1334"/>
      <c r="V969" s="1334"/>
      <c r="W969" s="1334"/>
      <c r="X969" s="1334"/>
      <c r="Y969" s="1334"/>
      <c r="Z969" s="1334"/>
    </row>
    <row r="970" spans="4:26" ht="15.75" customHeight="1" x14ac:dyDescent="0.3">
      <c r="D970" s="1334"/>
      <c r="E970" s="1341"/>
      <c r="F970" s="1338"/>
      <c r="G970" s="1338"/>
      <c r="H970" s="1338"/>
      <c r="I970" s="1334"/>
      <c r="J970" s="1334"/>
      <c r="K970" s="1334"/>
      <c r="L970" s="1334"/>
      <c r="M970" s="1334"/>
      <c r="N970" s="1334"/>
      <c r="O970" s="1334"/>
      <c r="P970" s="1334"/>
      <c r="Q970" s="1334"/>
      <c r="R970" s="1334"/>
      <c r="S970" s="1334"/>
      <c r="T970" s="1334"/>
      <c r="U970" s="1334"/>
      <c r="V970" s="1334"/>
      <c r="W970" s="1334"/>
      <c r="X970" s="1334"/>
      <c r="Y970" s="1334"/>
      <c r="Z970" s="1334"/>
    </row>
    <row r="971" spans="4:26" ht="15.75" customHeight="1" x14ac:dyDescent="0.3">
      <c r="D971" s="1334"/>
      <c r="E971" s="1341"/>
      <c r="F971" s="1338"/>
      <c r="G971" s="1338"/>
      <c r="H971" s="1338"/>
      <c r="I971" s="1334"/>
      <c r="J971" s="1334"/>
      <c r="K971" s="1334"/>
      <c r="L971" s="1334"/>
      <c r="M971" s="1334"/>
      <c r="N971" s="1334"/>
      <c r="O971" s="1334"/>
      <c r="P971" s="1334"/>
      <c r="Q971" s="1334"/>
      <c r="R971" s="1334"/>
      <c r="S971" s="1334"/>
      <c r="T971" s="1334"/>
      <c r="U971" s="1334"/>
      <c r="V971" s="1334"/>
      <c r="W971" s="1334"/>
      <c r="X971" s="1334"/>
      <c r="Y971" s="1334"/>
      <c r="Z971" s="1334"/>
    </row>
    <row r="972" spans="4:26" ht="15.75" customHeight="1" x14ac:dyDescent="0.3">
      <c r="D972" s="1334"/>
      <c r="E972" s="1341"/>
      <c r="F972" s="1338"/>
      <c r="G972" s="1338"/>
      <c r="H972" s="1338"/>
      <c r="I972" s="1334"/>
      <c r="J972" s="1334"/>
      <c r="K972" s="1334"/>
      <c r="L972" s="1334"/>
      <c r="M972" s="1334"/>
      <c r="N972" s="1334"/>
      <c r="O972" s="1334"/>
      <c r="P972" s="1334"/>
      <c r="Q972" s="1334"/>
      <c r="R972" s="1334"/>
      <c r="S972" s="1334"/>
      <c r="T972" s="1334"/>
      <c r="U972" s="1334"/>
      <c r="V972" s="1334"/>
      <c r="W972" s="1334"/>
      <c r="X972" s="1334"/>
      <c r="Y972" s="1334"/>
      <c r="Z972" s="1334"/>
    </row>
    <row r="973" spans="4:26" ht="15.75" customHeight="1" x14ac:dyDescent="0.3">
      <c r="D973" s="1334"/>
      <c r="E973" s="1341"/>
      <c r="F973" s="1338"/>
      <c r="G973" s="1338"/>
      <c r="H973" s="1338"/>
      <c r="I973" s="1334"/>
      <c r="J973" s="1334"/>
      <c r="K973" s="1334"/>
      <c r="L973" s="1334"/>
      <c r="M973" s="1334"/>
      <c r="N973" s="1334"/>
      <c r="O973" s="1334"/>
      <c r="P973" s="1334"/>
      <c r="Q973" s="1334"/>
      <c r="R973" s="1334"/>
      <c r="S973" s="1334"/>
      <c r="T973" s="1334"/>
      <c r="U973" s="1334"/>
      <c r="V973" s="1334"/>
      <c r="W973" s="1334"/>
      <c r="X973" s="1334"/>
      <c r="Y973" s="1334"/>
      <c r="Z973" s="1334"/>
    </row>
    <row r="974" spans="4:26" ht="15.75" customHeight="1" x14ac:dyDescent="0.3">
      <c r="D974" s="1334"/>
      <c r="E974" s="1341"/>
      <c r="F974" s="1338"/>
      <c r="G974" s="1338"/>
      <c r="H974" s="1338"/>
      <c r="I974" s="1334"/>
      <c r="J974" s="1334"/>
      <c r="K974" s="1334"/>
      <c r="L974" s="1334"/>
      <c r="M974" s="1334"/>
      <c r="N974" s="1334"/>
      <c r="O974" s="1334"/>
      <c r="P974" s="1334"/>
      <c r="Q974" s="1334"/>
      <c r="R974" s="1334"/>
      <c r="S974" s="1334"/>
      <c r="T974" s="1334"/>
      <c r="U974" s="1334"/>
      <c r="V974" s="1334"/>
      <c r="W974" s="1334"/>
      <c r="X974" s="1334"/>
      <c r="Y974" s="1334"/>
      <c r="Z974" s="1334"/>
    </row>
    <row r="975" spans="4:26" ht="15.75" customHeight="1" x14ac:dyDescent="0.3">
      <c r="D975" s="1334"/>
      <c r="E975" s="1341"/>
      <c r="F975" s="1338"/>
      <c r="G975" s="1338"/>
      <c r="H975" s="1338"/>
      <c r="I975" s="1334"/>
      <c r="J975" s="1334"/>
      <c r="K975" s="1334"/>
      <c r="L975" s="1334"/>
      <c r="M975" s="1334"/>
      <c r="N975" s="1334"/>
      <c r="O975" s="1334"/>
      <c r="P975" s="1334"/>
      <c r="Q975" s="1334"/>
      <c r="R975" s="1334"/>
      <c r="S975" s="1334"/>
      <c r="T975" s="1334"/>
      <c r="U975" s="1334"/>
      <c r="V975" s="1334"/>
      <c r="W975" s="1334"/>
      <c r="X975" s="1334"/>
      <c r="Y975" s="1334"/>
      <c r="Z975" s="1334"/>
    </row>
    <row r="976" spans="4:26" ht="15.75" customHeight="1" x14ac:dyDescent="0.3">
      <c r="D976" s="1334"/>
      <c r="E976" s="1341"/>
      <c r="F976" s="1338"/>
      <c r="G976" s="1338"/>
      <c r="H976" s="1338"/>
      <c r="I976" s="1334"/>
      <c r="J976" s="1334"/>
      <c r="K976" s="1334"/>
      <c r="L976" s="1334"/>
      <c r="M976" s="1334"/>
      <c r="N976" s="1334"/>
      <c r="O976" s="1334"/>
      <c r="P976" s="1334"/>
      <c r="Q976" s="1334"/>
      <c r="R976" s="1334"/>
      <c r="S976" s="1334"/>
      <c r="T976" s="1334"/>
      <c r="U976" s="1334"/>
      <c r="V976" s="1334"/>
      <c r="W976" s="1334"/>
      <c r="X976" s="1334"/>
      <c r="Y976" s="1334"/>
      <c r="Z976" s="1334"/>
    </row>
    <row r="977" spans="4:26" ht="15.75" customHeight="1" x14ac:dyDescent="0.3">
      <c r="D977" s="1334"/>
      <c r="E977" s="1341"/>
      <c r="F977" s="1338"/>
      <c r="G977" s="1338"/>
      <c r="H977" s="1338"/>
      <c r="I977" s="1334"/>
      <c r="J977" s="1334"/>
      <c r="K977" s="1334"/>
      <c r="L977" s="1334"/>
      <c r="M977" s="1334"/>
      <c r="N977" s="1334"/>
      <c r="O977" s="1334"/>
      <c r="P977" s="1334"/>
      <c r="Q977" s="1334"/>
      <c r="R977" s="1334"/>
      <c r="S977" s="1334"/>
      <c r="T977" s="1334"/>
      <c r="U977" s="1334"/>
      <c r="V977" s="1334"/>
      <c r="W977" s="1334"/>
      <c r="X977" s="1334"/>
      <c r="Y977" s="1334"/>
      <c r="Z977" s="1334"/>
    </row>
    <row r="978" spans="4:26" ht="15.75" customHeight="1" x14ac:dyDescent="0.3">
      <c r="D978" s="1334"/>
      <c r="E978" s="1341"/>
      <c r="F978" s="1338"/>
      <c r="G978" s="1338"/>
      <c r="H978" s="1338"/>
      <c r="I978" s="1334"/>
      <c r="J978" s="1334"/>
      <c r="K978" s="1334"/>
      <c r="L978" s="1334"/>
      <c r="M978" s="1334"/>
      <c r="N978" s="1334"/>
      <c r="O978" s="1334"/>
      <c r="P978" s="1334"/>
      <c r="Q978" s="1334"/>
      <c r="R978" s="1334"/>
      <c r="S978" s="1334"/>
      <c r="T978" s="1334"/>
      <c r="U978" s="1334"/>
      <c r="V978" s="1334"/>
      <c r="W978" s="1334"/>
      <c r="X978" s="1334"/>
      <c r="Y978" s="1334"/>
      <c r="Z978" s="1334"/>
    </row>
    <row r="979" spans="4:26" ht="15.75" customHeight="1" x14ac:dyDescent="0.3">
      <c r="D979" s="1334"/>
      <c r="E979" s="1341"/>
      <c r="F979" s="1338"/>
      <c r="G979" s="1338"/>
      <c r="H979" s="1338"/>
      <c r="I979" s="1334"/>
      <c r="J979" s="1334"/>
      <c r="K979" s="1334"/>
      <c r="L979" s="1334"/>
      <c r="M979" s="1334"/>
      <c r="N979" s="1334"/>
      <c r="O979" s="1334"/>
      <c r="P979" s="1334"/>
      <c r="Q979" s="1334"/>
      <c r="R979" s="1334"/>
      <c r="S979" s="1334"/>
      <c r="T979" s="1334"/>
      <c r="U979" s="1334"/>
      <c r="V979" s="1334"/>
      <c r="W979" s="1334"/>
      <c r="X979" s="1334"/>
      <c r="Y979" s="1334"/>
      <c r="Z979" s="1334"/>
    </row>
    <row r="980" spans="4:26" ht="15.75" customHeight="1" x14ac:dyDescent="0.3">
      <c r="D980" s="1334"/>
      <c r="E980" s="1341"/>
      <c r="F980" s="1338"/>
      <c r="G980" s="1338"/>
      <c r="H980" s="1338"/>
      <c r="I980" s="1334"/>
      <c r="J980" s="1334"/>
      <c r="K980" s="1334"/>
      <c r="L980" s="1334"/>
      <c r="M980" s="1334"/>
      <c r="N980" s="1334"/>
      <c r="O980" s="1334"/>
      <c r="P980" s="1334"/>
      <c r="Q980" s="1334"/>
      <c r="R980" s="1334"/>
      <c r="S980" s="1334"/>
      <c r="T980" s="1334"/>
      <c r="U980" s="1334"/>
      <c r="V980" s="1334"/>
      <c r="W980" s="1334"/>
      <c r="X980" s="1334"/>
      <c r="Y980" s="1334"/>
      <c r="Z980" s="1334"/>
    </row>
    <row r="981" spans="4:26" ht="15.75" customHeight="1" x14ac:dyDescent="0.3">
      <c r="D981" s="1334"/>
      <c r="E981" s="1341"/>
      <c r="F981" s="1338"/>
      <c r="G981" s="1338"/>
      <c r="H981" s="1338"/>
      <c r="I981" s="1334"/>
      <c r="J981" s="1334"/>
      <c r="K981" s="1334"/>
      <c r="L981" s="1334"/>
      <c r="M981" s="1334"/>
      <c r="N981" s="1334"/>
      <c r="O981" s="1334"/>
      <c r="P981" s="1334"/>
      <c r="Q981" s="1334"/>
      <c r="R981" s="1334"/>
      <c r="S981" s="1334"/>
      <c r="T981" s="1334"/>
      <c r="U981" s="1334"/>
      <c r="V981" s="1334"/>
      <c r="W981" s="1334"/>
      <c r="X981" s="1334"/>
      <c r="Y981" s="1334"/>
      <c r="Z981" s="1334"/>
    </row>
    <row r="982" spans="4:26" ht="15.75" customHeight="1" x14ac:dyDescent="0.3">
      <c r="D982" s="1334"/>
      <c r="E982" s="1341"/>
      <c r="F982" s="1338"/>
      <c r="G982" s="1338"/>
      <c r="H982" s="1338"/>
      <c r="I982" s="1334"/>
      <c r="J982" s="1334"/>
      <c r="K982" s="1334"/>
      <c r="L982" s="1334"/>
      <c r="M982" s="1334"/>
      <c r="N982" s="1334"/>
      <c r="O982" s="1334"/>
      <c r="P982" s="1334"/>
      <c r="Q982" s="1334"/>
      <c r="R982" s="1334"/>
      <c r="S982" s="1334"/>
      <c r="T982" s="1334"/>
      <c r="U982" s="1334"/>
      <c r="V982" s="1334"/>
      <c r="W982" s="1334"/>
      <c r="X982" s="1334"/>
      <c r="Y982" s="1334"/>
      <c r="Z982" s="1334"/>
    </row>
    <row r="983" spans="4:26" ht="15.75" customHeight="1" x14ac:dyDescent="0.3">
      <c r="D983" s="1334"/>
      <c r="E983" s="1341"/>
      <c r="F983" s="1338"/>
      <c r="G983" s="1338"/>
      <c r="H983" s="1338"/>
      <c r="I983" s="1334"/>
      <c r="J983" s="1334"/>
      <c r="K983" s="1334"/>
      <c r="L983" s="1334"/>
      <c r="M983" s="1334"/>
      <c r="N983" s="1334"/>
      <c r="O983" s="1334"/>
      <c r="P983" s="1334"/>
      <c r="Q983" s="1334"/>
      <c r="R983" s="1334"/>
      <c r="S983" s="1334"/>
      <c r="T983" s="1334"/>
      <c r="U983" s="1334"/>
      <c r="V983" s="1334"/>
      <c r="W983" s="1334"/>
      <c r="X983" s="1334"/>
      <c r="Y983" s="1334"/>
      <c r="Z983" s="1334"/>
    </row>
    <row r="984" spans="4:26" ht="15.75" customHeight="1" x14ac:dyDescent="0.3">
      <c r="D984" s="1334"/>
      <c r="E984" s="1341"/>
      <c r="F984" s="1338"/>
      <c r="G984" s="1338"/>
      <c r="H984" s="1338"/>
      <c r="I984" s="1334"/>
      <c r="J984" s="1334"/>
      <c r="K984" s="1334"/>
      <c r="L984" s="1334"/>
      <c r="M984" s="1334"/>
      <c r="N984" s="1334"/>
      <c r="O984" s="1334"/>
      <c r="P984" s="1334"/>
      <c r="Q984" s="1334"/>
      <c r="R984" s="1334"/>
      <c r="S984" s="1334"/>
      <c r="T984" s="1334"/>
      <c r="U984" s="1334"/>
      <c r="V984" s="1334"/>
      <c r="W984" s="1334"/>
      <c r="X984" s="1334"/>
      <c r="Y984" s="1334"/>
      <c r="Z984" s="1334"/>
    </row>
    <row r="985" spans="4:26" ht="15.75" customHeight="1" x14ac:dyDescent="0.3">
      <c r="D985" s="1334"/>
      <c r="E985" s="1341"/>
      <c r="F985" s="1338"/>
      <c r="G985" s="1338"/>
      <c r="H985" s="1338"/>
      <c r="I985" s="1334"/>
      <c r="J985" s="1334"/>
      <c r="K985" s="1334"/>
      <c r="L985" s="1334"/>
      <c r="M985" s="1334"/>
      <c r="N985" s="1334"/>
      <c r="O985" s="1334"/>
      <c r="P985" s="1334"/>
      <c r="Q985" s="1334"/>
      <c r="R985" s="1334"/>
      <c r="S985" s="1334"/>
      <c r="T985" s="1334"/>
      <c r="U985" s="1334"/>
      <c r="V985" s="1334"/>
      <c r="W985" s="1334"/>
      <c r="X985" s="1334"/>
      <c r="Y985" s="1334"/>
      <c r="Z985" s="1334"/>
    </row>
    <row r="986" spans="4:26" ht="15.75" customHeight="1" x14ac:dyDescent="0.3">
      <c r="D986" s="1334"/>
      <c r="E986" s="1341"/>
      <c r="F986" s="1338"/>
      <c r="G986" s="1338"/>
      <c r="H986" s="1338"/>
      <c r="I986" s="1334"/>
      <c r="J986" s="1334"/>
      <c r="K986" s="1334"/>
      <c r="L986" s="1334"/>
      <c r="M986" s="1334"/>
      <c r="N986" s="1334"/>
      <c r="O986" s="1334"/>
      <c r="P986" s="1334"/>
      <c r="Q986" s="1334"/>
      <c r="R986" s="1334"/>
      <c r="S986" s="1334"/>
      <c r="T986" s="1334"/>
      <c r="U986" s="1334"/>
      <c r="V986" s="1334"/>
      <c r="W986" s="1334"/>
      <c r="X986" s="1334"/>
      <c r="Y986" s="1334"/>
      <c r="Z986" s="1334"/>
    </row>
    <row r="987" spans="4:26" ht="15.75" customHeight="1" x14ac:dyDescent="0.3">
      <c r="D987" s="1334"/>
      <c r="E987" s="1341"/>
      <c r="F987" s="1338"/>
      <c r="G987" s="1338"/>
      <c r="I987" s="1334"/>
      <c r="J987" s="1334"/>
      <c r="K987" s="1334"/>
      <c r="L987" s="1334"/>
      <c r="M987" s="1334"/>
      <c r="N987" s="1334"/>
      <c r="O987" s="1334"/>
      <c r="P987" s="1334"/>
      <c r="Q987" s="1334"/>
      <c r="R987" s="1334"/>
      <c r="S987" s="1334"/>
      <c r="T987" s="1334"/>
      <c r="U987" s="1334"/>
      <c r="V987" s="1334"/>
      <c r="W987" s="1334"/>
      <c r="X987" s="1334"/>
      <c r="Y987" s="1334"/>
      <c r="Z987" s="1334"/>
    </row>
    <row r="988" spans="4:26" ht="15.75" customHeight="1" x14ac:dyDescent="0.3">
      <c r="D988" s="1334"/>
      <c r="E988" s="1341"/>
      <c r="F988" s="1338"/>
      <c r="G988" s="1338"/>
      <c r="I988" s="1334"/>
      <c r="J988" s="1334"/>
      <c r="K988" s="1334"/>
      <c r="L988" s="1334"/>
      <c r="M988" s="1334"/>
      <c r="N988" s="1334"/>
      <c r="O988" s="1334"/>
      <c r="P988" s="1334"/>
      <c r="Q988" s="1334"/>
      <c r="R988" s="1334"/>
      <c r="S988" s="1334"/>
      <c r="T988" s="1334"/>
      <c r="U988" s="1334"/>
      <c r="V988" s="1334"/>
      <c r="W988" s="1334"/>
      <c r="X988" s="1334"/>
      <c r="Y988" s="1334"/>
      <c r="Z988" s="1334"/>
    </row>
    <row r="989" spans="4:26" ht="15.75" customHeight="1" x14ac:dyDescent="0.3">
      <c r="D989" s="1334"/>
      <c r="E989" s="1341"/>
      <c r="G989" s="1338"/>
      <c r="I989" s="1334"/>
      <c r="J989" s="1334"/>
      <c r="K989" s="1334"/>
      <c r="L989" s="1334"/>
      <c r="M989" s="1334"/>
      <c r="N989" s="1334"/>
      <c r="O989" s="1334"/>
      <c r="P989" s="1334"/>
      <c r="Q989" s="1334"/>
      <c r="R989" s="1334"/>
      <c r="S989" s="1334"/>
      <c r="T989" s="1334"/>
      <c r="U989" s="1334"/>
      <c r="V989" s="1334"/>
      <c r="W989" s="1334"/>
      <c r="X989" s="1334"/>
      <c r="Y989" s="1334"/>
      <c r="Z989" s="1334"/>
    </row>
    <row r="990" spans="4:26" ht="15.75" customHeight="1" x14ac:dyDescent="0.3">
      <c r="D990" s="1334"/>
      <c r="E990" s="1341"/>
      <c r="G990" s="1338"/>
      <c r="I990" s="1334"/>
      <c r="J990" s="1334"/>
      <c r="K990" s="1334"/>
      <c r="L990" s="1334"/>
      <c r="M990" s="1334"/>
      <c r="N990" s="1334"/>
      <c r="O990" s="1334"/>
      <c r="P990" s="1334"/>
      <c r="Q990" s="1334"/>
      <c r="R990" s="1334"/>
      <c r="S990" s="1334"/>
      <c r="T990" s="1334"/>
      <c r="U990" s="1334"/>
      <c r="V990" s="1334"/>
      <c r="W990" s="1334"/>
      <c r="X990" s="1334"/>
      <c r="Y990" s="1334"/>
      <c r="Z990" s="1334"/>
    </row>
    <row r="991" spans="4:26" ht="15.75" customHeight="1" x14ac:dyDescent="0.3">
      <c r="D991" s="1334"/>
      <c r="E991" s="1341"/>
      <c r="G991" s="1338"/>
      <c r="I991" s="1334"/>
      <c r="J991" s="1334"/>
      <c r="K991" s="1334"/>
      <c r="L991" s="1334"/>
      <c r="M991" s="1334"/>
      <c r="N991" s="1334"/>
      <c r="O991" s="1334"/>
      <c r="P991" s="1334"/>
      <c r="Q991" s="1334"/>
      <c r="R991" s="1334"/>
      <c r="S991" s="1334"/>
      <c r="T991" s="1334"/>
      <c r="U991" s="1334"/>
      <c r="V991" s="1334"/>
      <c r="W991" s="1334"/>
      <c r="X991" s="1334"/>
      <c r="Y991" s="1334"/>
      <c r="Z991" s="1334"/>
    </row>
    <row r="992" spans="4:26" ht="15.75" customHeight="1" x14ac:dyDescent="0.3">
      <c r="D992" s="1334"/>
      <c r="E992" s="1341"/>
      <c r="G992" s="1338"/>
      <c r="I992" s="1334"/>
      <c r="J992" s="1334"/>
      <c r="K992" s="1334"/>
      <c r="L992" s="1334"/>
      <c r="M992" s="1334"/>
      <c r="N992" s="1334"/>
      <c r="O992" s="1334"/>
      <c r="P992" s="1334"/>
      <c r="Q992" s="1334"/>
      <c r="R992" s="1334"/>
      <c r="S992" s="1334"/>
      <c r="T992" s="1334"/>
      <c r="U992" s="1334"/>
      <c r="V992" s="1334"/>
      <c r="W992" s="1334"/>
      <c r="X992" s="1334"/>
      <c r="Y992" s="1334"/>
      <c r="Z992" s="1334"/>
    </row>
    <row r="993" spans="4:26" ht="15.75" customHeight="1" x14ac:dyDescent="0.3">
      <c r="D993" s="1334"/>
      <c r="E993" s="1341"/>
      <c r="G993" s="1338"/>
      <c r="I993" s="1334"/>
      <c r="J993" s="1334"/>
      <c r="K993" s="1334"/>
      <c r="L993" s="1334"/>
      <c r="M993" s="1334"/>
      <c r="N993" s="1334"/>
      <c r="O993" s="1334"/>
      <c r="P993" s="1334"/>
      <c r="Q993" s="1334"/>
      <c r="R993" s="1334"/>
      <c r="S993" s="1334"/>
      <c r="T993" s="1334"/>
      <c r="U993" s="1334"/>
      <c r="V993" s="1334"/>
      <c r="W993" s="1334"/>
      <c r="X993" s="1334"/>
      <c r="Y993" s="1334"/>
      <c r="Z993" s="1334"/>
    </row>
    <row r="994" spans="4:26" ht="15.75" customHeight="1" x14ac:dyDescent="0.3">
      <c r="D994" s="1334"/>
      <c r="E994" s="1341"/>
      <c r="G994" s="1338"/>
      <c r="I994" s="1334"/>
      <c r="J994" s="1334"/>
      <c r="K994" s="1334"/>
      <c r="L994" s="1334"/>
      <c r="M994" s="1334"/>
      <c r="N994" s="1334"/>
      <c r="O994" s="1334"/>
      <c r="P994" s="1334"/>
      <c r="Q994" s="1334"/>
      <c r="R994" s="1334"/>
      <c r="S994" s="1334"/>
      <c r="T994" s="1334"/>
      <c r="U994" s="1334"/>
      <c r="V994" s="1334"/>
      <c r="W994" s="1334"/>
      <c r="X994" s="1334"/>
      <c r="Y994" s="1334"/>
      <c r="Z994" s="1334"/>
    </row>
    <row r="995" spans="4:26" ht="15.75" customHeight="1" x14ac:dyDescent="0.3">
      <c r="D995" s="1334"/>
      <c r="E995" s="1341"/>
      <c r="G995" s="1338"/>
      <c r="I995" s="1334"/>
      <c r="J995" s="1334"/>
      <c r="K995" s="1334"/>
      <c r="L995" s="1334"/>
      <c r="M995" s="1334"/>
      <c r="N995" s="1334"/>
      <c r="O995" s="1334"/>
      <c r="P995" s="1334"/>
      <c r="Q995" s="1334"/>
      <c r="R995" s="1334"/>
      <c r="S995" s="1334"/>
      <c r="T995" s="1334"/>
      <c r="U995" s="1334"/>
      <c r="V995" s="1334"/>
      <c r="W995" s="1334"/>
      <c r="X995" s="1334"/>
      <c r="Y995" s="1334"/>
      <c r="Z995" s="1334"/>
    </row>
    <row r="996" spans="4:26" ht="15.75" customHeight="1" x14ac:dyDescent="0.3">
      <c r="D996" s="1334"/>
      <c r="E996" s="1341"/>
      <c r="G996" s="1338"/>
      <c r="I996" s="1334"/>
      <c r="J996" s="1334"/>
      <c r="K996" s="1334"/>
      <c r="L996" s="1334"/>
      <c r="M996" s="1334"/>
      <c r="N996" s="1334"/>
      <c r="O996" s="1334"/>
      <c r="P996" s="1334"/>
      <c r="Q996" s="1334"/>
      <c r="R996" s="1334"/>
      <c r="S996" s="1334"/>
      <c r="T996" s="1334"/>
      <c r="U996" s="1334"/>
      <c r="V996" s="1334"/>
      <c r="W996" s="1334"/>
      <c r="X996" s="1334"/>
      <c r="Y996" s="1334"/>
      <c r="Z996" s="1334"/>
    </row>
    <row r="997" spans="4:26" ht="15.75" customHeight="1" x14ac:dyDescent="0.3">
      <c r="D997" s="1334"/>
      <c r="E997" s="1341"/>
      <c r="G997" s="1338"/>
      <c r="I997" s="1334"/>
      <c r="J997" s="1334"/>
      <c r="K997" s="1334"/>
      <c r="L997" s="1334"/>
      <c r="M997" s="1334"/>
      <c r="N997" s="1334"/>
      <c r="O997" s="1334"/>
      <c r="P997" s="1334"/>
      <c r="Q997" s="1334"/>
      <c r="R997" s="1334"/>
      <c r="S997" s="1334"/>
      <c r="T997" s="1334"/>
      <c r="U997" s="1334"/>
      <c r="V997" s="1334"/>
      <c r="W997" s="1334"/>
      <c r="X997" s="1334"/>
      <c r="Y997" s="1334"/>
      <c r="Z997" s="1334"/>
    </row>
    <row r="998" spans="4:26" ht="15.75" customHeight="1" x14ac:dyDescent="0.3">
      <c r="D998" s="1334"/>
      <c r="E998" s="1341"/>
      <c r="G998" s="1338"/>
      <c r="I998" s="1334"/>
      <c r="J998" s="1334"/>
      <c r="K998" s="1334"/>
      <c r="L998" s="1334"/>
      <c r="M998" s="1334"/>
      <c r="N998" s="1334"/>
      <c r="O998" s="1334"/>
      <c r="P998" s="1334"/>
      <c r="Q998" s="1334"/>
      <c r="R998" s="1334"/>
      <c r="S998" s="1334"/>
      <c r="T998" s="1334"/>
      <c r="U998" s="1334"/>
      <c r="V998" s="1334"/>
      <c r="W998" s="1334"/>
      <c r="X998" s="1334"/>
      <c r="Y998" s="1334"/>
      <c r="Z998" s="1334"/>
    </row>
    <row r="999" spans="4:26" ht="15.75" customHeight="1" x14ac:dyDescent="0.3">
      <c r="D999" s="1334"/>
      <c r="E999" s="1341"/>
      <c r="G999" s="1338"/>
      <c r="I999" s="1334"/>
      <c r="J999" s="1334"/>
      <c r="K999" s="1334"/>
      <c r="L999" s="1334"/>
      <c r="M999" s="1334"/>
      <c r="N999" s="1334"/>
      <c r="O999" s="1334"/>
      <c r="P999" s="1334"/>
      <c r="Q999" s="1334"/>
      <c r="R999" s="1334"/>
      <c r="S999" s="1334"/>
      <c r="T999" s="1334"/>
      <c r="U999" s="1334"/>
      <c r="V999" s="1334"/>
      <c r="W999" s="1334"/>
      <c r="X999" s="1334"/>
      <c r="Y999" s="1334"/>
      <c r="Z999" s="1334"/>
    </row>
    <row r="1000" spans="4:26" ht="15.75" customHeight="1" x14ac:dyDescent="0.3">
      <c r="D1000" s="1334"/>
      <c r="E1000" s="1341"/>
      <c r="G1000" s="1338"/>
      <c r="I1000" s="1334"/>
      <c r="J1000" s="1334"/>
      <c r="K1000" s="1334"/>
      <c r="L1000" s="1334"/>
      <c r="M1000" s="1334"/>
      <c r="N1000" s="1334"/>
      <c r="O1000" s="1334"/>
      <c r="P1000" s="1334"/>
      <c r="Q1000" s="1334"/>
      <c r="R1000" s="1334"/>
      <c r="S1000" s="1334"/>
      <c r="T1000" s="1334"/>
      <c r="U1000" s="1334"/>
      <c r="V1000" s="1334"/>
      <c r="W1000" s="1334"/>
      <c r="X1000" s="1334"/>
      <c r="Y1000" s="1334"/>
      <c r="Z1000" s="1334"/>
    </row>
    <row r="1001" spans="4:26" ht="15" customHeight="1" x14ac:dyDescent="0.3">
      <c r="E1001" s="1341"/>
      <c r="G1001" s="1338"/>
    </row>
    <row r="1002" spans="4:26" ht="15" customHeight="1" x14ac:dyDescent="0.3">
      <c r="E1002" s="1341"/>
      <c r="G1002" s="1338"/>
    </row>
    <row r="1003" spans="4:26" ht="15" customHeight="1" x14ac:dyDescent="0.3">
      <c r="E1003" s="1341"/>
      <c r="G1003" s="1338"/>
    </row>
    <row r="1004" spans="4:26" ht="15" customHeight="1" x14ac:dyDescent="0.3">
      <c r="E1004" s="1341"/>
      <c r="G1004" s="1338"/>
    </row>
    <row r="1005" spans="4:26" ht="15" customHeight="1" x14ac:dyDescent="0.3">
      <c r="E1005" s="1341"/>
      <c r="G1005" s="1338"/>
    </row>
    <row r="1006" spans="4:26" ht="15" customHeight="1" x14ac:dyDescent="0.3">
      <c r="E1006" s="1341"/>
      <c r="G1006" s="1338"/>
    </row>
    <row r="1007" spans="4:26" ht="15" customHeight="1" x14ac:dyDescent="0.3">
      <c r="G1007" s="1338"/>
    </row>
    <row r="1008" spans="4:26" ht="15" customHeight="1" x14ac:dyDescent="0.3">
      <c r="G1008" s="1338"/>
    </row>
    <row r="1009" spans="7:7" ht="15" customHeight="1" x14ac:dyDescent="0.3">
      <c r="G1009" s="1338"/>
    </row>
    <row r="1010" spans="7:7" ht="15" customHeight="1" x14ac:dyDescent="0.3">
      <c r="G1010" s="1338"/>
    </row>
  </sheetData>
  <sheetProtection algorithmName="SHA-512" hashValue="FSp9r81vE0MwvF9miBDhn7cDwuZ3rDH/YpvAUbhOrSo7Edo89fH0W25DBprc7hHxn7GrraNw07riqoWi57EoXQ==" saltValue="cSjOjSd+CFWvQ8DhYL7a5Q==" spinCount="100000" sheet="1" objects="1" scenarios="1"/>
  <sortState xmlns:xlrd2="http://schemas.microsoft.com/office/spreadsheetml/2017/richdata2" ref="F2:F988">
    <sortCondition ref="F1:F988"/>
  </sortState>
  <pageMargins left="0.7" right="0.7" top="0.75" bottom="0.75" header="0" footer="0"/>
  <pageSetup orientation="landscape" r:id="rId1"/>
  <headerFooter>
    <oddHeader>&amp;R&amp;"Aptos"&amp;12&amp;K000000 UNCLASSIFIED - NON CLASSIFIÉ&amp;1#_x000D_</oddHeader>
  </headerFooter>
  <drawing r:id="rId2"/>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9"/>
  <dimension ref="A1:P37"/>
  <sheetViews>
    <sheetView topLeftCell="A2" workbookViewId="0">
      <selection activeCell="G7" sqref="G7"/>
    </sheetView>
  </sheetViews>
  <sheetFormatPr defaultColWidth="8.90625" defaultRowHeight="15" x14ac:dyDescent="0.25"/>
  <cols>
    <col min="1" max="1" width="17.81640625" customWidth="1"/>
    <col min="5" max="5" width="23.453125" style="1349" bestFit="1" customWidth="1"/>
    <col min="6" max="6" width="23.453125" style="1350" customWidth="1"/>
    <col min="7" max="7" width="23.453125" style="1270" bestFit="1" customWidth="1"/>
    <col min="8" max="8" width="21.54296875" style="1307" customWidth="1"/>
  </cols>
  <sheetData>
    <row r="1" spans="1:16" x14ac:dyDescent="0.25">
      <c r="A1" s="1867" t="s">
        <v>1773</v>
      </c>
      <c r="B1" s="1868"/>
      <c r="C1" s="1868"/>
      <c r="D1" s="1868"/>
      <c r="E1" s="1868"/>
      <c r="F1" s="1868"/>
      <c r="G1" s="1868"/>
      <c r="H1" s="1868"/>
      <c r="I1" s="1868"/>
      <c r="J1" s="1868"/>
      <c r="K1" s="1868"/>
      <c r="L1" s="1868"/>
      <c r="M1" s="1868"/>
      <c r="N1" s="1868"/>
      <c r="O1" s="1868"/>
      <c r="P1" s="1869"/>
    </row>
    <row r="2" spans="1:16" x14ac:dyDescent="0.25">
      <c r="E2" s="1876" t="s">
        <v>1774</v>
      </c>
      <c r="F2" s="1877"/>
      <c r="G2" s="1877"/>
      <c r="H2" s="1878"/>
    </row>
    <row r="3" spans="1:16" x14ac:dyDescent="0.25">
      <c r="E3" s="1879"/>
      <c r="F3" s="1880"/>
      <c r="G3" s="1880"/>
      <c r="H3" s="1881"/>
    </row>
    <row r="4" spans="1:16" x14ac:dyDescent="0.25">
      <c r="E4" s="1870" t="s">
        <v>1775</v>
      </c>
      <c r="F4" s="1874" t="s">
        <v>1946</v>
      </c>
      <c r="G4" s="1872" t="s">
        <v>1947</v>
      </c>
      <c r="H4" s="1882" t="s">
        <v>3311</v>
      </c>
    </row>
    <row r="5" spans="1:16" x14ac:dyDescent="0.25">
      <c r="E5" s="1871"/>
      <c r="F5" s="1875"/>
      <c r="G5" s="1873"/>
      <c r="H5" s="1883"/>
    </row>
    <row r="6" spans="1:16" x14ac:dyDescent="0.25">
      <c r="A6" s="1344" t="s">
        <v>1902</v>
      </c>
      <c r="B6" s="344" t="s">
        <v>1971</v>
      </c>
      <c r="E6" s="1346" t="s">
        <v>1948</v>
      </c>
      <c r="F6" s="1347" t="s">
        <v>1948</v>
      </c>
      <c r="G6" s="1348" t="s">
        <v>1948</v>
      </c>
      <c r="H6" s="1307" t="str">
        <f t="shared" ref="H6:H32" si="0">IF(LOWER(rng_language)="english",F6,G6)</f>
        <v>License</v>
      </c>
    </row>
    <row r="7" spans="1:16" x14ac:dyDescent="0.25">
      <c r="E7" s="1346" t="s">
        <v>1949</v>
      </c>
      <c r="F7" s="1347" t="s">
        <v>1949</v>
      </c>
      <c r="G7" s="1348" t="s">
        <v>7612</v>
      </c>
      <c r="H7" s="1307" t="str">
        <f t="shared" si="0"/>
        <v>USER INPUT SHEET</v>
      </c>
    </row>
    <row r="8" spans="1:16" x14ac:dyDescent="0.25">
      <c r="A8" s="1344" t="s">
        <v>4047</v>
      </c>
      <c r="B8" s="374">
        <v>0</v>
      </c>
      <c r="E8" s="1346" t="s">
        <v>1022</v>
      </c>
      <c r="F8" s="1347" t="s">
        <v>1022</v>
      </c>
      <c r="G8" s="1348" t="s">
        <v>1955</v>
      </c>
      <c r="H8" s="1307" t="str">
        <f t="shared" si="0"/>
        <v>Footings &amp; Slabs</v>
      </c>
    </row>
    <row r="9" spans="1:16" x14ac:dyDescent="0.25">
      <c r="E9" s="1349" t="s">
        <v>1096</v>
      </c>
      <c r="F9" s="1350" t="s">
        <v>1096</v>
      </c>
      <c r="G9" s="1270" t="s">
        <v>1956</v>
      </c>
      <c r="H9" s="1307" t="str">
        <f t="shared" si="0"/>
        <v>Foundation Walls</v>
      </c>
    </row>
    <row r="10" spans="1:16" x14ac:dyDescent="0.25">
      <c r="A10" s="1344" t="s">
        <v>4944</v>
      </c>
      <c r="B10" s="1345" t="str">
        <f>IF(LOWER(rng_language)="english",B11,B12)</f>
        <v>April 2026</v>
      </c>
      <c r="E10" s="1349" t="s">
        <v>1095</v>
      </c>
      <c r="F10" s="1350" t="s">
        <v>1095</v>
      </c>
      <c r="G10" s="1270" t="s">
        <v>1957</v>
      </c>
      <c r="H10" s="1307" t="str">
        <f t="shared" si="0"/>
        <v>Structural Elements</v>
      </c>
    </row>
    <row r="11" spans="1:16" x14ac:dyDescent="0.25">
      <c r="A11" s="1344" t="s">
        <v>4947</v>
      </c>
      <c r="B11" s="1351" t="s">
        <v>7290</v>
      </c>
      <c r="E11" s="1349" t="s">
        <v>1094</v>
      </c>
      <c r="F11" s="1350" t="s">
        <v>1094</v>
      </c>
      <c r="G11" s="1270" t="s">
        <v>1958</v>
      </c>
      <c r="H11" s="1307" t="str">
        <f t="shared" si="0"/>
        <v>Ext. Walls</v>
      </c>
    </row>
    <row r="12" spans="1:16" x14ac:dyDescent="0.25">
      <c r="A12" s="1344" t="s">
        <v>4946</v>
      </c>
      <c r="B12" s="1351" t="s">
        <v>7291</v>
      </c>
      <c r="E12" s="1349" t="s">
        <v>1097</v>
      </c>
      <c r="F12" s="1350" t="s">
        <v>1097</v>
      </c>
      <c r="G12" s="1270" t="s">
        <v>1959</v>
      </c>
      <c r="H12" s="1307" t="str">
        <f t="shared" si="0"/>
        <v>Ext. Wall Systems</v>
      </c>
    </row>
    <row r="13" spans="1:16" x14ac:dyDescent="0.25">
      <c r="E13" s="1349" t="s">
        <v>1696</v>
      </c>
      <c r="F13" s="1350" t="s">
        <v>1696</v>
      </c>
      <c r="G13" s="1270" t="s">
        <v>1960</v>
      </c>
      <c r="H13" s="1307" t="str">
        <f t="shared" si="0"/>
        <v>Party Walls</v>
      </c>
    </row>
    <row r="14" spans="1:16" x14ac:dyDescent="0.25">
      <c r="E14" s="1349" t="s">
        <v>1098</v>
      </c>
      <c r="F14" s="1350" t="s">
        <v>1098</v>
      </c>
      <c r="G14" s="1270" t="s">
        <v>1961</v>
      </c>
      <c r="H14" s="1307" t="str">
        <f t="shared" si="0"/>
        <v>Cladding</v>
      </c>
    </row>
    <row r="15" spans="1:16" x14ac:dyDescent="0.25">
      <c r="E15" s="1349" t="s">
        <v>9</v>
      </c>
      <c r="F15" s="1350" t="s">
        <v>9</v>
      </c>
      <c r="G15" s="1270" t="s">
        <v>1962</v>
      </c>
      <c r="H15" s="1307" t="str">
        <f t="shared" si="0"/>
        <v>Windows</v>
      </c>
    </row>
    <row r="16" spans="1:16" x14ac:dyDescent="0.25">
      <c r="E16" s="1349" t="s">
        <v>1099</v>
      </c>
      <c r="F16" s="1350" t="s">
        <v>1099</v>
      </c>
      <c r="G16" s="1270" t="s">
        <v>1963</v>
      </c>
      <c r="H16" s="1307" t="str">
        <f t="shared" si="0"/>
        <v>Int. Walls</v>
      </c>
    </row>
    <row r="17" spans="5:8" x14ac:dyDescent="0.25">
      <c r="E17" s="1349" t="s">
        <v>1100</v>
      </c>
      <c r="F17" s="1350" t="s">
        <v>1100</v>
      </c>
      <c r="G17" s="1270" t="s">
        <v>1964</v>
      </c>
      <c r="H17" s="1307" t="str">
        <f t="shared" si="0"/>
        <v>Floors</v>
      </c>
    </row>
    <row r="18" spans="5:8" x14ac:dyDescent="0.25">
      <c r="E18" s="1349" t="s">
        <v>1101</v>
      </c>
      <c r="F18" s="1350" t="s">
        <v>1101</v>
      </c>
      <c r="G18" s="1270" t="s">
        <v>1965</v>
      </c>
      <c r="H18" s="1307" t="str">
        <f t="shared" si="0"/>
        <v>Ceilings</v>
      </c>
    </row>
    <row r="19" spans="5:8" x14ac:dyDescent="0.25">
      <c r="E19" s="1349" t="s">
        <v>1102</v>
      </c>
      <c r="F19" s="1350" t="s">
        <v>1102</v>
      </c>
      <c r="G19" s="1270" t="s">
        <v>1966</v>
      </c>
      <c r="H19" s="1307" t="str">
        <f t="shared" si="0"/>
        <v>Roof</v>
      </c>
    </row>
    <row r="20" spans="5:8" x14ac:dyDescent="0.25">
      <c r="E20" s="1349" t="s">
        <v>1580</v>
      </c>
      <c r="F20" s="1350" t="s">
        <v>1580</v>
      </c>
      <c r="G20" s="1270" t="s">
        <v>1580</v>
      </c>
      <c r="H20" s="1307" t="str">
        <f t="shared" si="0"/>
        <v>Garage</v>
      </c>
    </row>
    <row r="21" spans="5:8" x14ac:dyDescent="0.25">
      <c r="E21" s="1349" t="s">
        <v>1429</v>
      </c>
      <c r="F21" s="1350" t="s">
        <v>1429</v>
      </c>
      <c r="G21" s="1270" t="s">
        <v>1967</v>
      </c>
      <c r="H21" s="1307" t="str">
        <f t="shared" si="0"/>
        <v>User-Defined</v>
      </c>
    </row>
    <row r="22" spans="5:8" x14ac:dyDescent="0.25">
      <c r="E22" s="1349" t="s">
        <v>1950</v>
      </c>
      <c r="F22" s="1350" t="s">
        <v>1950</v>
      </c>
      <c r="G22" s="1270" t="s">
        <v>1968</v>
      </c>
      <c r="H22" s="1307" t="str">
        <f t="shared" si="0"/>
        <v>REVIEW</v>
      </c>
    </row>
    <row r="23" spans="5:8" x14ac:dyDescent="0.25">
      <c r="E23" s="1349" t="s">
        <v>1951</v>
      </c>
      <c r="F23" s="1350" t="s">
        <v>1951</v>
      </c>
      <c r="G23" s="1270" t="s">
        <v>1969</v>
      </c>
      <c r="H23" s="1307" t="str">
        <f t="shared" si="0"/>
        <v>RESULTS</v>
      </c>
    </row>
    <row r="24" spans="5:8" x14ac:dyDescent="0.25">
      <c r="E24" s="1349" t="s">
        <v>1952</v>
      </c>
      <c r="F24" s="1350" t="s">
        <v>1952</v>
      </c>
      <c r="G24" s="1270" t="s">
        <v>1970</v>
      </c>
      <c r="H24" s="1307" t="str">
        <f t="shared" si="0"/>
        <v>SCENARIOS</v>
      </c>
    </row>
    <row r="25" spans="5:8" x14ac:dyDescent="0.25">
      <c r="E25" s="1349" t="s">
        <v>1953</v>
      </c>
      <c r="F25" s="1350" t="s">
        <v>1953</v>
      </c>
      <c r="G25" s="1270" t="s">
        <v>1973</v>
      </c>
      <c r="H25" s="1307" t="str">
        <f t="shared" si="0"/>
        <v>Energy GHG</v>
      </c>
    </row>
    <row r="26" spans="5:8" x14ac:dyDescent="0.25">
      <c r="E26" s="1349" t="s">
        <v>1954</v>
      </c>
      <c r="F26" s="1350" t="s">
        <v>1954</v>
      </c>
      <c r="G26" s="1270" t="s">
        <v>1974</v>
      </c>
      <c r="H26" s="1307" t="str">
        <f t="shared" si="0"/>
        <v>Master sheet</v>
      </c>
    </row>
    <row r="27" spans="5:8" x14ac:dyDescent="0.25">
      <c r="E27" s="1349" t="s">
        <v>1975</v>
      </c>
      <c r="F27" s="1350" t="s">
        <v>1975</v>
      </c>
      <c r="G27" s="1270" t="s">
        <v>1976</v>
      </c>
      <c r="H27" s="1307" t="str">
        <f t="shared" si="0"/>
        <v>Composite Master Sheet</v>
      </c>
    </row>
    <row r="28" spans="5:8" x14ac:dyDescent="0.25">
      <c r="E28" s="1349" t="s">
        <v>1977</v>
      </c>
      <c r="F28" s="1350" t="s">
        <v>1977</v>
      </c>
      <c r="G28" s="1270" t="s">
        <v>1978</v>
      </c>
      <c r="H28" s="1307" t="str">
        <f t="shared" si="0"/>
        <v>Data</v>
      </c>
    </row>
    <row r="29" spans="5:8" x14ac:dyDescent="0.25">
      <c r="E29" s="1349" t="s">
        <v>1979</v>
      </c>
      <c r="F29" s="1350" t="s">
        <v>1979</v>
      </c>
      <c r="G29" s="1270" t="s">
        <v>1980</v>
      </c>
      <c r="H29" s="1307" t="str">
        <f t="shared" si="0"/>
        <v>Windows Methodology</v>
      </c>
    </row>
    <row r="30" spans="5:8" x14ac:dyDescent="0.25">
      <c r="E30" s="1349" t="s">
        <v>1981</v>
      </c>
      <c r="F30" s="1350" t="s">
        <v>1981</v>
      </c>
      <c r="G30" s="1270" t="s">
        <v>1982</v>
      </c>
      <c r="H30" s="1307" t="str">
        <f t="shared" si="0"/>
        <v>Dropdown Lists</v>
      </c>
    </row>
    <row r="31" spans="5:8" x14ac:dyDescent="0.25">
      <c r="E31" s="1349" t="s">
        <v>4949</v>
      </c>
      <c r="F31" s="1349" t="s">
        <v>4949</v>
      </c>
      <c r="G31" s="1350" t="s">
        <v>4951</v>
      </c>
      <c r="H31" s="1307" t="str">
        <f t="shared" si="0"/>
        <v>NBC Emissions Factors</v>
      </c>
    </row>
    <row r="32" spans="5:8" x14ac:dyDescent="0.25">
      <c r="E32" s="1349" t="s">
        <v>4950</v>
      </c>
      <c r="F32" s="1349" t="s">
        <v>4950</v>
      </c>
      <c r="G32" s="1350" t="s">
        <v>4952</v>
      </c>
      <c r="H32" s="1307" t="str">
        <f t="shared" si="0"/>
        <v>H2K Emissions Factors</v>
      </c>
    </row>
    <row r="33" spans="1:5" x14ac:dyDescent="0.25">
      <c r="E33" s="1346" t="s">
        <v>1983</v>
      </c>
    </row>
    <row r="36" spans="1:5" x14ac:dyDescent="0.25">
      <c r="A36" s="771" t="s">
        <v>4899</v>
      </c>
    </row>
    <row r="37" spans="1:5" x14ac:dyDescent="0.25">
      <c r="A37" s="771" t="s">
        <v>4900</v>
      </c>
    </row>
  </sheetData>
  <sheetProtection algorithmName="SHA-512" hashValue="RSHCkPNvXWXwrtcubKazm7EoTVgmo3QMXqOWuMI1LVpsmsqgVBOpAceFnttMw3wqWy0yU9fbPpS/eFXjd0eOWw==" saltValue="F9MwITFftRNk8AJhwVzyTw==" spinCount="100000" sheet="1" objects="1" scenarios="1"/>
  <mergeCells count="6">
    <mergeCell ref="A1:P1"/>
    <mergeCell ref="E4:E5"/>
    <mergeCell ref="G4:G5"/>
    <mergeCell ref="F4:F5"/>
    <mergeCell ref="E2:H3"/>
    <mergeCell ref="H4:H5"/>
  </mergeCells>
  <dataValidations count="1">
    <dataValidation type="list" allowBlank="1" showInputMessage="1" showErrorMessage="1" sqref="B6" xr:uid="{C9B34A06-5740-4249-B2A2-A4CFBB88DB1C}">
      <formula1>"English,French"</formula1>
    </dataValidation>
  </dataValidations>
  <pageMargins left="0.7" right="0.7" top="0.75" bottom="0.75" header="0.3" footer="0.3"/>
  <headerFooter>
    <oddHeader>&amp;R&amp;"Aptos"&amp;12&amp;K000000 UNCLASSIFIED - NON CLASSIFIÉ&amp;1#_x000D_</oddHeader>
  </headerFooter>
  <legacy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89570-DBFD-4ACA-B969-1735E0EC450D}">
  <sheetPr codeName="Sheet35"/>
  <dimension ref="A1:AD101"/>
  <sheetViews>
    <sheetView workbookViewId="0"/>
  </sheetViews>
  <sheetFormatPr defaultColWidth="8.81640625" defaultRowHeight="15.6" x14ac:dyDescent="0.3"/>
  <cols>
    <col min="1" max="1" width="29" customWidth="1"/>
    <col min="2" max="2" width="7.6328125" bestFit="1" customWidth="1"/>
    <col min="3" max="28" width="6.08984375" customWidth="1"/>
    <col min="29" max="29" width="10.1796875" style="1352" customWidth="1"/>
  </cols>
  <sheetData>
    <row r="1" spans="1:30" x14ac:dyDescent="0.3">
      <c r="B1" s="376"/>
    </row>
    <row r="2" spans="1:30" x14ac:dyDescent="0.3">
      <c r="A2" s="1353" t="s">
        <v>1196</v>
      </c>
      <c r="B2" s="1353">
        <v>2024</v>
      </c>
      <c r="C2" s="1353">
        <v>2025</v>
      </c>
      <c r="D2" s="1353">
        <v>2026</v>
      </c>
      <c r="E2" s="1353">
        <v>2027</v>
      </c>
      <c r="F2" s="1353">
        <v>2028</v>
      </c>
      <c r="G2" s="1353">
        <v>2029</v>
      </c>
      <c r="H2" s="1353">
        <v>2030</v>
      </c>
      <c r="I2" s="1353">
        <v>2031</v>
      </c>
      <c r="J2" s="1353">
        <v>2032</v>
      </c>
      <c r="K2" s="1353">
        <v>2033</v>
      </c>
      <c r="L2" s="1353">
        <v>2034</v>
      </c>
      <c r="M2" s="1353">
        <v>2035</v>
      </c>
      <c r="N2" s="1353">
        <v>2036</v>
      </c>
      <c r="O2" s="1353">
        <v>2037</v>
      </c>
      <c r="P2" s="1353">
        <v>2038</v>
      </c>
      <c r="Q2" s="1353">
        <v>2039</v>
      </c>
      <c r="R2" s="1353">
        <v>2040</v>
      </c>
      <c r="S2" s="1353">
        <v>2041</v>
      </c>
      <c r="T2" s="1353">
        <v>2042</v>
      </c>
      <c r="U2" s="1353">
        <v>2043</v>
      </c>
      <c r="V2" s="1353">
        <v>2044</v>
      </c>
      <c r="W2" s="1353">
        <v>2045</v>
      </c>
      <c r="X2" s="1353">
        <v>2046</v>
      </c>
      <c r="Y2" s="1353">
        <v>2047</v>
      </c>
      <c r="Z2" s="1353">
        <v>2048</v>
      </c>
      <c r="AA2" s="1353">
        <v>2049</v>
      </c>
      <c r="AB2" s="1353">
        <v>2050</v>
      </c>
      <c r="AC2" s="1354" t="s">
        <v>4050</v>
      </c>
    </row>
    <row r="3" spans="1:30" x14ac:dyDescent="0.3">
      <c r="A3" s="1355" t="s">
        <v>4051</v>
      </c>
      <c r="B3" s="1356">
        <f>'Energy GHG'!$B$28</f>
        <v>0</v>
      </c>
      <c r="C3" s="1356">
        <f>'Energy GHG'!$B$28</f>
        <v>0</v>
      </c>
      <c r="D3" s="1356">
        <f>'Energy GHG'!$B$28</f>
        <v>0</v>
      </c>
      <c r="E3" s="1356">
        <f>'Energy GHG'!$B$28</f>
        <v>0</v>
      </c>
      <c r="F3" s="1356">
        <f>'Energy GHG'!$B$28</f>
        <v>0</v>
      </c>
      <c r="G3" s="1356">
        <f>'Energy GHG'!$B$28</f>
        <v>0</v>
      </c>
      <c r="H3" s="1356">
        <f>'Energy GHG'!$B$28</f>
        <v>0</v>
      </c>
      <c r="I3" s="1356">
        <f>'Energy GHG'!$B$28</f>
        <v>0</v>
      </c>
      <c r="J3" s="1356">
        <f>'Energy GHG'!$B$28</f>
        <v>0</v>
      </c>
      <c r="K3" s="1356">
        <f>'Energy GHG'!$B$28</f>
        <v>0</v>
      </c>
      <c r="L3" s="1356">
        <f>'Energy GHG'!$B$28</f>
        <v>0</v>
      </c>
      <c r="M3" s="1356">
        <f>'Energy GHG'!$B$28</f>
        <v>0</v>
      </c>
      <c r="N3" s="1356">
        <f>'Energy GHG'!$B$28</f>
        <v>0</v>
      </c>
      <c r="O3" s="1356">
        <f>'Energy GHG'!$B$28</f>
        <v>0</v>
      </c>
      <c r="P3" s="1356">
        <f>'Energy GHG'!$B$28</f>
        <v>0</v>
      </c>
      <c r="Q3" s="1356">
        <f>'Energy GHG'!$B$28</f>
        <v>0</v>
      </c>
      <c r="R3" s="1356">
        <f>'Energy GHG'!$B$28</f>
        <v>0</v>
      </c>
      <c r="S3" s="1356">
        <f>'Energy GHG'!$B$28</f>
        <v>0</v>
      </c>
      <c r="T3" s="1356">
        <f>'Energy GHG'!$B$28</f>
        <v>0</v>
      </c>
      <c r="U3" s="1356">
        <f>'Energy GHG'!$B$28</f>
        <v>0</v>
      </c>
      <c r="V3" s="1356">
        <f>'Energy GHG'!$B$28</f>
        <v>0</v>
      </c>
      <c r="W3" s="1356">
        <f>'Energy GHG'!$B$28</f>
        <v>0</v>
      </c>
      <c r="X3" s="1356">
        <f>'Energy GHG'!$B$28</f>
        <v>0</v>
      </c>
      <c r="Y3" s="1356">
        <f>'Energy GHG'!$B$28</f>
        <v>0</v>
      </c>
      <c r="Z3" s="1356">
        <f>'Energy GHG'!$B$28</f>
        <v>0</v>
      </c>
      <c r="AA3" s="1356">
        <f>'Energy GHG'!$B$28</f>
        <v>0</v>
      </c>
      <c r="AB3" s="1356">
        <f>'Energy GHG'!$B$28</f>
        <v>0</v>
      </c>
      <c r="AC3" s="1357">
        <f>AB3</f>
        <v>0</v>
      </c>
    </row>
    <row r="4" spans="1:30" x14ac:dyDescent="0.3">
      <c r="A4" s="1358" t="s">
        <v>4052</v>
      </c>
      <c r="B4" s="1358">
        <v>189.6</v>
      </c>
      <c r="C4" s="1358">
        <v>179.8</v>
      </c>
      <c r="D4" s="1358">
        <v>190.1</v>
      </c>
      <c r="E4" s="1358">
        <v>155.5</v>
      </c>
      <c r="F4" s="1358">
        <v>143.5</v>
      </c>
      <c r="G4" s="1358">
        <v>148.6</v>
      </c>
      <c r="H4" s="1358">
        <v>148.5</v>
      </c>
      <c r="I4" s="1358">
        <v>109.2</v>
      </c>
      <c r="J4" s="1358">
        <v>103.4</v>
      </c>
      <c r="K4" s="1358">
        <v>97.1</v>
      </c>
      <c r="L4" s="1358">
        <v>88.9</v>
      </c>
      <c r="M4" s="1358">
        <v>59.1</v>
      </c>
      <c r="N4" s="1358">
        <v>56.5</v>
      </c>
      <c r="O4" s="1358">
        <v>53.3</v>
      </c>
      <c r="P4" s="1358">
        <v>49.3</v>
      </c>
      <c r="Q4" s="1358">
        <v>47.1</v>
      </c>
      <c r="R4" s="1358">
        <v>45.4</v>
      </c>
      <c r="S4" s="1358">
        <v>42.7</v>
      </c>
      <c r="T4" s="1358">
        <v>39.799999999999997</v>
      </c>
      <c r="U4" s="1358">
        <v>34.700000000000003</v>
      </c>
      <c r="V4" s="1358">
        <v>27.4</v>
      </c>
      <c r="W4" s="1358">
        <v>26.4</v>
      </c>
      <c r="X4" s="1358">
        <v>25.7</v>
      </c>
      <c r="Y4" s="1358">
        <v>25</v>
      </c>
      <c r="Z4" s="1358">
        <v>24.5</v>
      </c>
      <c r="AA4" s="1358">
        <v>24</v>
      </c>
      <c r="AB4" s="1358">
        <v>23.4</v>
      </c>
      <c r="AD4" s="1352"/>
    </row>
    <row r="5" spans="1:30" x14ac:dyDescent="0.3">
      <c r="A5" t="s">
        <v>4053</v>
      </c>
      <c r="B5" s="1359">
        <f>(B4*0.000001)*'Energy GHG'!B21</f>
        <v>0</v>
      </c>
      <c r="C5" s="1359">
        <f>B5+(C4*0.000001)*'Energy GHG'!B21</f>
        <v>0</v>
      </c>
      <c r="D5" s="1359">
        <f>C5+(D4*0.000001)*'Energy GHG'!B21</f>
        <v>0</v>
      </c>
      <c r="E5" s="1359">
        <f>D5+(E4*0.000001)*'Energy GHG'!B21</f>
        <v>0</v>
      </c>
      <c r="F5" s="1359">
        <f>E5+(F4*0.000001)*'Energy GHG'!B21</f>
        <v>0</v>
      </c>
      <c r="G5" s="1359">
        <f>F5+(G4*0.000001)*'Energy GHG'!B21</f>
        <v>0</v>
      </c>
      <c r="H5" s="1359">
        <f>G5+(H4*0.000001)*'Energy GHG'!B21</f>
        <v>0</v>
      </c>
      <c r="I5" s="1359">
        <f>H5+(I4*0.000001)*'Energy GHG'!B21</f>
        <v>0</v>
      </c>
      <c r="J5" s="1359">
        <f>I5+(J4*0.000001)*'Energy GHG'!B21</f>
        <v>0</v>
      </c>
      <c r="K5" s="1359">
        <f>J5+(K4*0.000001)*'Energy GHG'!B21</f>
        <v>0</v>
      </c>
      <c r="L5" s="1359">
        <f>K5+(L4*0.000001)*'Energy GHG'!B21</f>
        <v>0</v>
      </c>
      <c r="M5" s="1359">
        <f>L5+(M4*0.000001)*'Energy GHG'!B21</f>
        <v>0</v>
      </c>
      <c r="N5" s="1359">
        <f>M5+(N4*0.000001)*'Energy GHG'!B21</f>
        <v>0</v>
      </c>
      <c r="O5" s="1359">
        <f>N5+(O4*0.000001)*'Energy GHG'!B21</f>
        <v>0</v>
      </c>
      <c r="P5" s="1359">
        <f>O5+(P4*0.000001)*'Energy GHG'!B21</f>
        <v>0</v>
      </c>
      <c r="Q5" s="1359">
        <f>P5+(Q4*0.000001)*'Energy GHG'!B21</f>
        <v>0</v>
      </c>
      <c r="R5" s="1359">
        <f>Q5+(R4*0.000001)*'Energy GHG'!B21</f>
        <v>0</v>
      </c>
      <c r="S5" s="1359">
        <f>R5+(S4*0.000001)*'Energy GHG'!B21</f>
        <v>0</v>
      </c>
      <c r="T5" s="1359">
        <f>S5+(T4*0.000001)*'Energy GHG'!B21</f>
        <v>0</v>
      </c>
      <c r="U5" s="1359">
        <f>T5+(U4*0.000001)*'Energy GHG'!B21</f>
        <v>0</v>
      </c>
      <c r="V5" s="1359">
        <f>U5+(V4*0.000001)*'Energy GHG'!B21</f>
        <v>0</v>
      </c>
      <c r="W5" s="1359">
        <f>V5+(W4*0.000001)*'Energy GHG'!B21</f>
        <v>0</v>
      </c>
      <c r="X5" s="1359">
        <f>W5+(X4*0.000001)*'Energy GHG'!B21</f>
        <v>0</v>
      </c>
      <c r="Y5" s="1359">
        <f>X5+(Y4*0.000001)*'Energy GHG'!B21</f>
        <v>0</v>
      </c>
      <c r="Z5" s="1359">
        <f>Y5+(Z4*0.000001)*'Energy GHG'!B21</f>
        <v>0</v>
      </c>
      <c r="AA5" s="1359">
        <f>Z5+(AA4*0.000001)*'Energy GHG'!B21</f>
        <v>0</v>
      </c>
      <c r="AB5" s="1359">
        <f>AA5+(AB4*0.000001)*'Energy GHG'!B21</f>
        <v>0</v>
      </c>
      <c r="AC5" s="1360">
        <f>AB5</f>
        <v>0</v>
      </c>
      <c r="AD5" s="1884">
        <f>SUM(AC5:AC9)</f>
        <v>0</v>
      </c>
    </row>
    <row r="6" spans="1:30" x14ac:dyDescent="0.3">
      <c r="A6" t="s">
        <v>4054</v>
      </c>
      <c r="B6" s="1359">
        <f>'Energy GHG'!B22*'Energy GHG'!E10</f>
        <v>0</v>
      </c>
      <c r="C6" s="1359">
        <f>B6*2</f>
        <v>0</v>
      </c>
      <c r="D6" s="1359">
        <f>B6*3</f>
        <v>0</v>
      </c>
      <c r="E6" s="1359">
        <f>B6*4</f>
        <v>0</v>
      </c>
      <c r="F6" s="1359">
        <f>B6*5</f>
        <v>0</v>
      </c>
      <c r="G6" s="1359">
        <f>B6*6</f>
        <v>0</v>
      </c>
      <c r="H6" s="1359">
        <f>B6*7</f>
        <v>0</v>
      </c>
      <c r="I6" s="1359">
        <f>B6*8</f>
        <v>0</v>
      </c>
      <c r="J6" s="1359">
        <f>B6*9</f>
        <v>0</v>
      </c>
      <c r="K6" s="1359">
        <f>B6*10</f>
        <v>0</v>
      </c>
      <c r="L6" s="1359">
        <f>B6*11</f>
        <v>0</v>
      </c>
      <c r="M6" s="1359">
        <f>B6*12</f>
        <v>0</v>
      </c>
      <c r="N6" s="1359">
        <f>B6*13</f>
        <v>0</v>
      </c>
      <c r="O6" s="1359">
        <f>B6*14</f>
        <v>0</v>
      </c>
      <c r="P6" s="1359">
        <f>B6*15</f>
        <v>0</v>
      </c>
      <c r="Q6" s="1359">
        <f>B6*16</f>
        <v>0</v>
      </c>
      <c r="R6" s="1359">
        <f>B6*17</f>
        <v>0</v>
      </c>
      <c r="S6" s="1359">
        <f>B6*18</f>
        <v>0</v>
      </c>
      <c r="T6" s="1359">
        <f>B6*19</f>
        <v>0</v>
      </c>
      <c r="U6" s="1359">
        <f>B6*20</f>
        <v>0</v>
      </c>
      <c r="V6" s="1359">
        <f>B6*21</f>
        <v>0</v>
      </c>
      <c r="W6" s="1359">
        <f>B6*22</f>
        <v>0</v>
      </c>
      <c r="X6" s="1359">
        <f>B6*23</f>
        <v>0</v>
      </c>
      <c r="Y6" s="1359">
        <f>B6*24</f>
        <v>0</v>
      </c>
      <c r="Z6" s="1359">
        <f>B6*25</f>
        <v>0</v>
      </c>
      <c r="AA6" s="1359">
        <f>B6*26</f>
        <v>0</v>
      </c>
      <c r="AB6" s="1359">
        <f>B6*27</f>
        <v>0</v>
      </c>
      <c r="AC6" s="1360">
        <f>AB6</f>
        <v>0</v>
      </c>
      <c r="AD6" s="1885"/>
    </row>
    <row r="7" spans="1:30" x14ac:dyDescent="0.3">
      <c r="A7" t="s">
        <v>4055</v>
      </c>
      <c r="B7" s="1359">
        <f>'Energy GHG'!B23*'Energy GHG'!F10</f>
        <v>0</v>
      </c>
      <c r="C7" s="1359">
        <f t="shared" ref="C7:C9" si="0">B7+B7</f>
        <v>0</v>
      </c>
      <c r="D7" s="1359">
        <f t="shared" ref="D7:D9" si="1">C7+B7</f>
        <v>0</v>
      </c>
      <c r="E7" s="1359">
        <f t="shared" ref="E7:E9" si="2">D7+B7</f>
        <v>0</v>
      </c>
      <c r="F7" s="1359">
        <f t="shared" ref="F7:F9" si="3">E7+B7</f>
        <v>0</v>
      </c>
      <c r="G7" s="1359">
        <f t="shared" ref="G7:G9" si="4">F7+B7</f>
        <v>0</v>
      </c>
      <c r="H7" s="1359">
        <f t="shared" ref="H7:H9" si="5">G7+B7</f>
        <v>0</v>
      </c>
      <c r="I7" s="1359">
        <f t="shared" ref="I7:I9" si="6">H7+B7</f>
        <v>0</v>
      </c>
      <c r="J7" s="1359">
        <f t="shared" ref="J7:J9" si="7">I7+B7</f>
        <v>0</v>
      </c>
      <c r="K7" s="1359">
        <f t="shared" ref="K7:K9" si="8">J7+B7</f>
        <v>0</v>
      </c>
      <c r="L7" s="1359">
        <f t="shared" ref="L7:L9" si="9">K7+B7</f>
        <v>0</v>
      </c>
      <c r="M7" s="1359">
        <f t="shared" ref="M7:M9" si="10">L7+B7</f>
        <v>0</v>
      </c>
      <c r="N7" s="1359">
        <f t="shared" ref="N7:N9" si="11">M7+B7</f>
        <v>0</v>
      </c>
      <c r="O7" s="1359">
        <f t="shared" ref="O7:O9" si="12">N7+B7</f>
        <v>0</v>
      </c>
      <c r="P7" s="1359">
        <f t="shared" ref="P7:P9" si="13">O7+B7</f>
        <v>0</v>
      </c>
      <c r="Q7" s="1359">
        <f t="shared" ref="Q7:Q9" si="14">P7+B7</f>
        <v>0</v>
      </c>
      <c r="R7" s="1359">
        <f t="shared" ref="R7:R9" si="15">Q7+B7</f>
        <v>0</v>
      </c>
      <c r="S7" s="1359">
        <f t="shared" ref="S7:S9" si="16">R7+B7</f>
        <v>0</v>
      </c>
      <c r="T7" s="1359">
        <f t="shared" ref="T7:T9" si="17">S7+B7</f>
        <v>0</v>
      </c>
      <c r="U7" s="1359">
        <f t="shared" ref="U7:U9" si="18">T7+B7</f>
        <v>0</v>
      </c>
      <c r="V7" s="1359">
        <f t="shared" ref="V7:V9" si="19">U7+B7</f>
        <v>0</v>
      </c>
      <c r="W7" s="1359">
        <f t="shared" ref="W7:W9" si="20">V7+B7</f>
        <v>0</v>
      </c>
      <c r="X7" s="1359">
        <f t="shared" ref="X7:X9" si="21">W7+B7</f>
        <v>0</v>
      </c>
      <c r="Y7" s="1359">
        <f t="shared" ref="Y7:Y9" si="22">X7+B7</f>
        <v>0</v>
      </c>
      <c r="Z7" s="1359">
        <f t="shared" ref="Z7:Z9" si="23">Y7+B7</f>
        <v>0</v>
      </c>
      <c r="AA7" s="1359">
        <f t="shared" ref="AA7:AA9" si="24">Z7+B7</f>
        <v>0</v>
      </c>
      <c r="AB7" s="1359">
        <f t="shared" ref="AB7:AB9" si="25">AA7+B7</f>
        <v>0</v>
      </c>
      <c r="AC7" s="1360">
        <f>AB7</f>
        <v>0</v>
      </c>
      <c r="AD7" s="1885"/>
    </row>
    <row r="8" spans="1:30" x14ac:dyDescent="0.3">
      <c r="A8" t="s">
        <v>4056</v>
      </c>
      <c r="B8" s="1359">
        <f>'Energy GHG'!B24*'Energy GHG'!G10</f>
        <v>0</v>
      </c>
      <c r="C8" s="1359">
        <f t="shared" si="0"/>
        <v>0</v>
      </c>
      <c r="D8" s="1359">
        <f t="shared" si="1"/>
        <v>0</v>
      </c>
      <c r="E8" s="1359">
        <f t="shared" si="2"/>
        <v>0</v>
      </c>
      <c r="F8" s="1359">
        <f t="shared" si="3"/>
        <v>0</v>
      </c>
      <c r="G8" s="1359">
        <f t="shared" si="4"/>
        <v>0</v>
      </c>
      <c r="H8" s="1359">
        <f t="shared" si="5"/>
        <v>0</v>
      </c>
      <c r="I8" s="1359">
        <f t="shared" si="6"/>
        <v>0</v>
      </c>
      <c r="J8" s="1359">
        <f t="shared" si="7"/>
        <v>0</v>
      </c>
      <c r="K8" s="1359">
        <f t="shared" si="8"/>
        <v>0</v>
      </c>
      <c r="L8" s="1359">
        <f t="shared" si="9"/>
        <v>0</v>
      </c>
      <c r="M8" s="1359">
        <f t="shared" si="10"/>
        <v>0</v>
      </c>
      <c r="N8" s="1359">
        <f t="shared" si="11"/>
        <v>0</v>
      </c>
      <c r="O8" s="1359">
        <f t="shared" si="12"/>
        <v>0</v>
      </c>
      <c r="P8" s="1359">
        <f t="shared" si="13"/>
        <v>0</v>
      </c>
      <c r="Q8" s="1359">
        <f t="shared" si="14"/>
        <v>0</v>
      </c>
      <c r="R8" s="1359">
        <f t="shared" si="15"/>
        <v>0</v>
      </c>
      <c r="S8" s="1359">
        <f t="shared" si="16"/>
        <v>0</v>
      </c>
      <c r="T8" s="1359">
        <f t="shared" si="17"/>
        <v>0</v>
      </c>
      <c r="U8" s="1359">
        <f t="shared" si="18"/>
        <v>0</v>
      </c>
      <c r="V8" s="1359">
        <f t="shared" si="19"/>
        <v>0</v>
      </c>
      <c r="W8" s="1359">
        <f t="shared" si="20"/>
        <v>0</v>
      </c>
      <c r="X8" s="1359">
        <f t="shared" si="21"/>
        <v>0</v>
      </c>
      <c r="Y8" s="1359">
        <f t="shared" si="22"/>
        <v>0</v>
      </c>
      <c r="Z8" s="1359">
        <f t="shared" si="23"/>
        <v>0</v>
      </c>
      <c r="AA8" s="1359">
        <f t="shared" si="24"/>
        <v>0</v>
      </c>
      <c r="AB8" s="1359">
        <f t="shared" si="25"/>
        <v>0</v>
      </c>
      <c r="AC8" s="1360">
        <f>AB8</f>
        <v>0</v>
      </c>
      <c r="AD8" s="1885"/>
    </row>
    <row r="9" spans="1:30" x14ac:dyDescent="0.3">
      <c r="A9" t="s">
        <v>4057</v>
      </c>
      <c r="B9" s="1359">
        <f>'Energy GHG'!B25*'Energy GHG'!H10</f>
        <v>0</v>
      </c>
      <c r="C9" s="1359">
        <f t="shared" si="0"/>
        <v>0</v>
      </c>
      <c r="D9" s="1359">
        <f t="shared" si="1"/>
        <v>0</v>
      </c>
      <c r="E9" s="1359">
        <f t="shared" si="2"/>
        <v>0</v>
      </c>
      <c r="F9" s="1359">
        <f t="shared" si="3"/>
        <v>0</v>
      </c>
      <c r="G9" s="1359">
        <f t="shared" si="4"/>
        <v>0</v>
      </c>
      <c r="H9" s="1359">
        <f t="shared" si="5"/>
        <v>0</v>
      </c>
      <c r="I9" s="1359">
        <f t="shared" si="6"/>
        <v>0</v>
      </c>
      <c r="J9" s="1359">
        <f t="shared" si="7"/>
        <v>0</v>
      </c>
      <c r="K9" s="1359">
        <f t="shared" si="8"/>
        <v>0</v>
      </c>
      <c r="L9" s="1359">
        <f t="shared" si="9"/>
        <v>0</v>
      </c>
      <c r="M9" s="1359">
        <f t="shared" si="10"/>
        <v>0</v>
      </c>
      <c r="N9" s="1359">
        <f t="shared" si="11"/>
        <v>0</v>
      </c>
      <c r="O9" s="1359">
        <f t="shared" si="12"/>
        <v>0</v>
      </c>
      <c r="P9" s="1359">
        <f t="shared" si="13"/>
        <v>0</v>
      </c>
      <c r="Q9" s="1359">
        <f t="shared" si="14"/>
        <v>0</v>
      </c>
      <c r="R9" s="1359">
        <f t="shared" si="15"/>
        <v>0</v>
      </c>
      <c r="S9" s="1359">
        <f t="shared" si="16"/>
        <v>0</v>
      </c>
      <c r="T9" s="1359">
        <f t="shared" si="17"/>
        <v>0</v>
      </c>
      <c r="U9" s="1359">
        <f t="shared" si="18"/>
        <v>0</v>
      </c>
      <c r="V9" s="1359">
        <f t="shared" si="19"/>
        <v>0</v>
      </c>
      <c r="W9" s="1359">
        <f t="shared" si="20"/>
        <v>0</v>
      </c>
      <c r="X9" s="1359">
        <f t="shared" si="21"/>
        <v>0</v>
      </c>
      <c r="Y9" s="1359">
        <f t="shared" si="22"/>
        <v>0</v>
      </c>
      <c r="Z9" s="1359">
        <f t="shared" si="23"/>
        <v>0</v>
      </c>
      <c r="AA9" s="1359">
        <f t="shared" si="24"/>
        <v>0</v>
      </c>
      <c r="AB9" s="1359">
        <f t="shared" si="25"/>
        <v>0</v>
      </c>
      <c r="AC9" s="1360">
        <f>AB9</f>
        <v>0</v>
      </c>
      <c r="AD9" s="1885"/>
    </row>
    <row r="10" spans="1:30" x14ac:dyDescent="0.3">
      <c r="A10" s="1358" t="s">
        <v>1206</v>
      </c>
      <c r="B10" s="1358">
        <v>2</v>
      </c>
      <c r="C10" s="1358">
        <v>1.2</v>
      </c>
      <c r="D10" s="1358">
        <v>1.5</v>
      </c>
      <c r="E10" s="1358">
        <v>0.9</v>
      </c>
      <c r="F10" s="1358">
        <v>0.9</v>
      </c>
      <c r="G10" s="1358">
        <v>0.8</v>
      </c>
      <c r="H10" s="1358">
        <v>0.3</v>
      </c>
      <c r="I10" s="1358">
        <v>0.2</v>
      </c>
      <c r="J10" s="1358">
        <v>0.2</v>
      </c>
      <c r="K10" s="1358">
        <v>0.2</v>
      </c>
      <c r="L10" s="1358">
        <v>0.2</v>
      </c>
      <c r="M10" s="1358">
        <v>0</v>
      </c>
      <c r="N10" s="1358">
        <v>0</v>
      </c>
      <c r="O10" s="1358">
        <v>0</v>
      </c>
      <c r="P10" s="1358">
        <v>0</v>
      </c>
      <c r="Q10" s="1358">
        <v>0</v>
      </c>
      <c r="R10" s="1358">
        <v>0</v>
      </c>
      <c r="S10" s="1358">
        <v>0</v>
      </c>
      <c r="T10" s="1358">
        <v>0</v>
      </c>
      <c r="U10" s="1358">
        <v>0</v>
      </c>
      <c r="V10" s="1358">
        <v>0</v>
      </c>
      <c r="W10" s="1358">
        <v>0</v>
      </c>
      <c r="X10" s="1358">
        <v>0</v>
      </c>
      <c r="Y10" s="1358">
        <v>0</v>
      </c>
      <c r="Z10" s="1358">
        <v>0</v>
      </c>
      <c r="AA10" s="1358">
        <v>0</v>
      </c>
      <c r="AB10" s="1358">
        <v>0</v>
      </c>
      <c r="AC10" s="1360"/>
      <c r="AD10" s="1352"/>
    </row>
    <row r="11" spans="1:30" x14ac:dyDescent="0.3">
      <c r="A11" t="s">
        <v>4058</v>
      </c>
      <c r="B11" s="1359">
        <f>(B10*0.000001)*'Energy GHG'!B21</f>
        <v>0</v>
      </c>
      <c r="C11" s="1359">
        <f>B11+(C10*0.000001)*'Energy GHG'!B21</f>
        <v>0</v>
      </c>
      <c r="D11" s="1359">
        <f>C11+(D10*0.000001)*'Energy GHG'!B21</f>
        <v>0</v>
      </c>
      <c r="E11" s="1359">
        <f>D11+(E10*0.000001)*'Energy GHG'!B21</f>
        <v>0</v>
      </c>
      <c r="F11" s="1359">
        <f>E11+(F10*0.000001)*'Energy GHG'!B21</f>
        <v>0</v>
      </c>
      <c r="G11" s="1359">
        <f>F11+(G10*0.000001)*'Energy GHG'!B21</f>
        <v>0</v>
      </c>
      <c r="H11" s="1359">
        <f>G11+(H10*0.000001)*'Energy GHG'!B21</f>
        <v>0</v>
      </c>
      <c r="I11" s="1359">
        <f>H11+(I10*0.000001)*'Energy GHG'!B21</f>
        <v>0</v>
      </c>
      <c r="J11" s="1359">
        <f>I11+(J10*0.000001)*'Energy GHG'!B21</f>
        <v>0</v>
      </c>
      <c r="K11" s="1359">
        <f>J11+(K10*0.000001)*'Energy GHG'!B21</f>
        <v>0</v>
      </c>
      <c r="L11" s="1359">
        <f>K11+(L10*0.000001)*'Energy GHG'!B21</f>
        <v>0</v>
      </c>
      <c r="M11" s="1359">
        <f>L11+(M10*0.000001)*'Energy GHG'!B21</f>
        <v>0</v>
      </c>
      <c r="N11" s="1359">
        <f>M11+(N10*0.000001)*'Energy GHG'!B21</f>
        <v>0</v>
      </c>
      <c r="O11" s="1359">
        <f>N11+(O10*0.000001)*'Energy GHG'!B21</f>
        <v>0</v>
      </c>
      <c r="P11" s="1359">
        <f>O11+(P10*0.000001)*'Energy GHG'!B21</f>
        <v>0</v>
      </c>
      <c r="Q11" s="1359">
        <f>P11+(Q10*0.000001)*'Energy GHG'!B21</f>
        <v>0</v>
      </c>
      <c r="R11" s="1359">
        <f>Q11+(R10*0.000001)*'Energy GHG'!B21</f>
        <v>0</v>
      </c>
      <c r="S11" s="1359">
        <f>R11+(S10*0.000001)*'Energy GHG'!B21</f>
        <v>0</v>
      </c>
      <c r="T11" s="1359">
        <f>S11+(T10*0.000001)*'Energy GHG'!B21</f>
        <v>0</v>
      </c>
      <c r="U11" s="1359">
        <f>T11+(U10*0.000001)*'Energy GHG'!B21</f>
        <v>0</v>
      </c>
      <c r="V11" s="1359">
        <f>U11+(V10*0.000001)*'Energy GHG'!B21</f>
        <v>0</v>
      </c>
      <c r="W11" s="1359">
        <f>V11+(W10*0.000001)*'Energy GHG'!B21</f>
        <v>0</v>
      </c>
      <c r="X11" s="1359">
        <f>W11+(X10*0.000001)*'Energy GHG'!B21</f>
        <v>0</v>
      </c>
      <c r="Y11" s="1359">
        <f>X11+(Y10*0.000001)*'Energy GHG'!B21</f>
        <v>0</v>
      </c>
      <c r="Z11" s="1359">
        <f>Y11+(Z10*0.000001)*'Energy GHG'!B21</f>
        <v>0</v>
      </c>
      <c r="AA11" s="1359">
        <f>Z11+(AA10*0.000001)*'Energy GHG'!B21</f>
        <v>0</v>
      </c>
      <c r="AB11" s="1359">
        <f>AA11+(AB10*0.000001)*'Energy GHG'!B21</f>
        <v>0</v>
      </c>
      <c r="AC11" s="1360">
        <f>AB11</f>
        <v>0</v>
      </c>
      <c r="AD11" s="1884">
        <f>SUM(AC11:AC15)</f>
        <v>0</v>
      </c>
    </row>
    <row r="12" spans="1:30" x14ac:dyDescent="0.3">
      <c r="A12" t="s">
        <v>4054</v>
      </c>
      <c r="B12" s="1359">
        <f>'Energy GHG'!B22*'Energy GHG'!E11</f>
        <v>0</v>
      </c>
      <c r="C12" s="1359">
        <f>B12+B12</f>
        <v>0</v>
      </c>
      <c r="D12" s="1359">
        <f>C12+B12</f>
        <v>0</v>
      </c>
      <c r="E12" s="1359">
        <f>D12+B12</f>
        <v>0</v>
      </c>
      <c r="F12" s="1359">
        <f>E12+B12</f>
        <v>0</v>
      </c>
      <c r="G12" s="1359">
        <f>F12+B12</f>
        <v>0</v>
      </c>
      <c r="H12" s="1359">
        <f>G12+B12</f>
        <v>0</v>
      </c>
      <c r="I12" s="1359">
        <f>H12+B12</f>
        <v>0</v>
      </c>
      <c r="J12" s="1359">
        <f>I12+B12</f>
        <v>0</v>
      </c>
      <c r="K12" s="1359">
        <f>J12+B12</f>
        <v>0</v>
      </c>
      <c r="L12" s="1359">
        <f>K12+B12</f>
        <v>0</v>
      </c>
      <c r="M12" s="1359">
        <f>L12+B12</f>
        <v>0</v>
      </c>
      <c r="N12" s="1359">
        <f>M12+B12</f>
        <v>0</v>
      </c>
      <c r="O12" s="1359">
        <f>N12+B12</f>
        <v>0</v>
      </c>
      <c r="P12" s="1359">
        <f>O12+B12</f>
        <v>0</v>
      </c>
      <c r="Q12" s="1359">
        <f>P12+B12</f>
        <v>0</v>
      </c>
      <c r="R12" s="1359">
        <f>Q12+B12</f>
        <v>0</v>
      </c>
      <c r="S12" s="1359">
        <f>R12+B12</f>
        <v>0</v>
      </c>
      <c r="T12" s="1359">
        <f>S12+B12</f>
        <v>0</v>
      </c>
      <c r="U12" s="1359">
        <f>T12+B12</f>
        <v>0</v>
      </c>
      <c r="V12" s="1359">
        <f>U12+B12</f>
        <v>0</v>
      </c>
      <c r="W12" s="1359">
        <f>V12+B12</f>
        <v>0</v>
      </c>
      <c r="X12" s="1359">
        <f>W12+B12</f>
        <v>0</v>
      </c>
      <c r="Y12" s="1359">
        <f>X12+B12</f>
        <v>0</v>
      </c>
      <c r="Z12" s="1359">
        <f>Y12+B12</f>
        <v>0</v>
      </c>
      <c r="AA12" s="1359">
        <f>Z12+B12</f>
        <v>0</v>
      </c>
      <c r="AB12" s="1359">
        <f>AA12+B12</f>
        <v>0</v>
      </c>
      <c r="AC12" s="1360">
        <f>AB12</f>
        <v>0</v>
      </c>
      <c r="AD12" s="1885"/>
    </row>
    <row r="13" spans="1:30" x14ac:dyDescent="0.3">
      <c r="A13" t="s">
        <v>4055</v>
      </c>
      <c r="B13" s="1359">
        <f>'Energy GHG'!B23*'Energy GHG'!F11</f>
        <v>0</v>
      </c>
      <c r="C13" s="1359">
        <f t="shared" ref="C13:C15" si="26">B13+B13</f>
        <v>0</v>
      </c>
      <c r="D13" s="1359">
        <f t="shared" ref="D13:D15" si="27">C13+B13</f>
        <v>0</v>
      </c>
      <c r="E13" s="1359">
        <f t="shared" ref="E13:E15" si="28">D13+B13</f>
        <v>0</v>
      </c>
      <c r="F13" s="1359">
        <f t="shared" ref="F13:F15" si="29">E13+B13</f>
        <v>0</v>
      </c>
      <c r="G13" s="1359">
        <f t="shared" ref="G13:G15" si="30">F13+B13</f>
        <v>0</v>
      </c>
      <c r="H13" s="1359">
        <f t="shared" ref="H13:H15" si="31">G13+B13</f>
        <v>0</v>
      </c>
      <c r="I13" s="1359">
        <f t="shared" ref="I13:I15" si="32">H13+B13</f>
        <v>0</v>
      </c>
      <c r="J13" s="1359">
        <f t="shared" ref="J13:J15" si="33">I13+B13</f>
        <v>0</v>
      </c>
      <c r="K13" s="1359">
        <f t="shared" ref="K13:K15" si="34">J13+B13</f>
        <v>0</v>
      </c>
      <c r="L13" s="1359">
        <f t="shared" ref="L13:L15" si="35">K13+B13</f>
        <v>0</v>
      </c>
      <c r="M13" s="1359">
        <f t="shared" ref="M13:M15" si="36">L13+B13</f>
        <v>0</v>
      </c>
      <c r="N13" s="1359">
        <f t="shared" ref="N13:N15" si="37">M13+B13</f>
        <v>0</v>
      </c>
      <c r="O13" s="1359">
        <f t="shared" ref="O13:O15" si="38">N13+B13</f>
        <v>0</v>
      </c>
      <c r="P13" s="1359">
        <f t="shared" ref="P13:P15" si="39">O13+B13</f>
        <v>0</v>
      </c>
      <c r="Q13" s="1359">
        <f t="shared" ref="Q13:Q15" si="40">P13+B13</f>
        <v>0</v>
      </c>
      <c r="R13" s="1359">
        <f t="shared" ref="R13:R15" si="41">Q13+B13</f>
        <v>0</v>
      </c>
      <c r="S13" s="1359">
        <f t="shared" ref="S13:S15" si="42">R13+B13</f>
        <v>0</v>
      </c>
      <c r="T13" s="1359">
        <f t="shared" ref="T13:T15" si="43">S13+B13</f>
        <v>0</v>
      </c>
      <c r="U13" s="1359">
        <f t="shared" ref="U13:U15" si="44">T13+B13</f>
        <v>0</v>
      </c>
      <c r="V13" s="1359">
        <f t="shared" ref="V13:V15" si="45">U13+B13</f>
        <v>0</v>
      </c>
      <c r="W13" s="1359">
        <f t="shared" ref="W13:W15" si="46">V13+B13</f>
        <v>0</v>
      </c>
      <c r="X13" s="1359">
        <f t="shared" ref="X13:X15" si="47">W13+B13</f>
        <v>0</v>
      </c>
      <c r="Y13" s="1359">
        <f t="shared" ref="Y13:Y15" si="48">X13+B13</f>
        <v>0</v>
      </c>
      <c r="Z13" s="1359">
        <f t="shared" ref="Z13:Z15" si="49">Y13+B13</f>
        <v>0</v>
      </c>
      <c r="AA13" s="1359">
        <f t="shared" ref="AA13:AA15" si="50">Z13+B13</f>
        <v>0</v>
      </c>
      <c r="AB13" s="1359">
        <f t="shared" ref="AB13:AB15" si="51">AA13+B13</f>
        <v>0</v>
      </c>
      <c r="AC13" s="1360">
        <f>AB13</f>
        <v>0</v>
      </c>
      <c r="AD13" s="1885"/>
    </row>
    <row r="14" spans="1:30" x14ac:dyDescent="0.3">
      <c r="A14" t="s">
        <v>4056</v>
      </c>
      <c r="B14" s="1359">
        <f>'Energy GHG'!B24*'Energy GHG'!G11</f>
        <v>0</v>
      </c>
      <c r="C14" s="1359">
        <f t="shared" si="26"/>
        <v>0</v>
      </c>
      <c r="D14" s="1359">
        <f t="shared" si="27"/>
        <v>0</v>
      </c>
      <c r="E14" s="1359">
        <f t="shared" si="28"/>
        <v>0</v>
      </c>
      <c r="F14" s="1359">
        <f t="shared" si="29"/>
        <v>0</v>
      </c>
      <c r="G14" s="1359">
        <f t="shared" si="30"/>
        <v>0</v>
      </c>
      <c r="H14" s="1359">
        <f t="shared" si="31"/>
        <v>0</v>
      </c>
      <c r="I14" s="1359">
        <f t="shared" si="32"/>
        <v>0</v>
      </c>
      <c r="J14" s="1359">
        <f t="shared" si="33"/>
        <v>0</v>
      </c>
      <c r="K14" s="1359">
        <f t="shared" si="34"/>
        <v>0</v>
      </c>
      <c r="L14" s="1359">
        <f t="shared" si="35"/>
        <v>0</v>
      </c>
      <c r="M14" s="1359">
        <f t="shared" si="36"/>
        <v>0</v>
      </c>
      <c r="N14" s="1359">
        <f t="shared" si="37"/>
        <v>0</v>
      </c>
      <c r="O14" s="1359">
        <f t="shared" si="38"/>
        <v>0</v>
      </c>
      <c r="P14" s="1359">
        <f t="shared" si="39"/>
        <v>0</v>
      </c>
      <c r="Q14" s="1359">
        <f t="shared" si="40"/>
        <v>0</v>
      </c>
      <c r="R14" s="1359">
        <f t="shared" si="41"/>
        <v>0</v>
      </c>
      <c r="S14" s="1359">
        <f t="shared" si="42"/>
        <v>0</v>
      </c>
      <c r="T14" s="1359">
        <f t="shared" si="43"/>
        <v>0</v>
      </c>
      <c r="U14" s="1359">
        <f t="shared" si="44"/>
        <v>0</v>
      </c>
      <c r="V14" s="1359">
        <f t="shared" si="45"/>
        <v>0</v>
      </c>
      <c r="W14" s="1359">
        <f t="shared" si="46"/>
        <v>0</v>
      </c>
      <c r="X14" s="1359">
        <f t="shared" si="47"/>
        <v>0</v>
      </c>
      <c r="Y14" s="1359">
        <f t="shared" si="48"/>
        <v>0</v>
      </c>
      <c r="Z14" s="1359">
        <f t="shared" si="49"/>
        <v>0</v>
      </c>
      <c r="AA14" s="1359">
        <f t="shared" si="50"/>
        <v>0</v>
      </c>
      <c r="AB14" s="1359">
        <f t="shared" si="51"/>
        <v>0</v>
      </c>
      <c r="AC14" s="1360">
        <f>AB14</f>
        <v>0</v>
      </c>
      <c r="AD14" s="1885"/>
    </row>
    <row r="15" spans="1:30" x14ac:dyDescent="0.3">
      <c r="A15" t="s">
        <v>4057</v>
      </c>
      <c r="B15" s="1359">
        <f>'Energy GHG'!B25*'Energy GHG'!H11</f>
        <v>0</v>
      </c>
      <c r="C15" s="1359">
        <f t="shared" si="26"/>
        <v>0</v>
      </c>
      <c r="D15" s="1359">
        <f t="shared" si="27"/>
        <v>0</v>
      </c>
      <c r="E15" s="1359">
        <f t="shared" si="28"/>
        <v>0</v>
      </c>
      <c r="F15" s="1359">
        <f t="shared" si="29"/>
        <v>0</v>
      </c>
      <c r="G15" s="1359">
        <f t="shared" si="30"/>
        <v>0</v>
      </c>
      <c r="H15" s="1359">
        <f t="shared" si="31"/>
        <v>0</v>
      </c>
      <c r="I15" s="1359">
        <f t="shared" si="32"/>
        <v>0</v>
      </c>
      <c r="J15" s="1359">
        <f t="shared" si="33"/>
        <v>0</v>
      </c>
      <c r="K15" s="1359">
        <f t="shared" si="34"/>
        <v>0</v>
      </c>
      <c r="L15" s="1359">
        <f t="shared" si="35"/>
        <v>0</v>
      </c>
      <c r="M15" s="1359">
        <f t="shared" si="36"/>
        <v>0</v>
      </c>
      <c r="N15" s="1359">
        <f t="shared" si="37"/>
        <v>0</v>
      </c>
      <c r="O15" s="1359">
        <f t="shared" si="38"/>
        <v>0</v>
      </c>
      <c r="P15" s="1359">
        <f t="shared" si="39"/>
        <v>0</v>
      </c>
      <c r="Q15" s="1359">
        <f t="shared" si="40"/>
        <v>0</v>
      </c>
      <c r="R15" s="1359">
        <f t="shared" si="41"/>
        <v>0</v>
      </c>
      <c r="S15" s="1359">
        <f t="shared" si="42"/>
        <v>0</v>
      </c>
      <c r="T15" s="1359">
        <f t="shared" si="43"/>
        <v>0</v>
      </c>
      <c r="U15" s="1359">
        <f t="shared" si="44"/>
        <v>0</v>
      </c>
      <c r="V15" s="1359">
        <f t="shared" si="45"/>
        <v>0</v>
      </c>
      <c r="W15" s="1359">
        <f t="shared" si="46"/>
        <v>0</v>
      </c>
      <c r="X15" s="1359">
        <f t="shared" si="47"/>
        <v>0</v>
      </c>
      <c r="Y15" s="1359">
        <f t="shared" si="48"/>
        <v>0</v>
      </c>
      <c r="Z15" s="1359">
        <f t="shared" si="49"/>
        <v>0</v>
      </c>
      <c r="AA15" s="1359">
        <f t="shared" si="50"/>
        <v>0</v>
      </c>
      <c r="AB15" s="1359">
        <f t="shared" si="51"/>
        <v>0</v>
      </c>
      <c r="AC15" s="1360">
        <f>AB15</f>
        <v>0</v>
      </c>
      <c r="AD15" s="1885"/>
    </row>
    <row r="16" spans="1:30" x14ac:dyDescent="0.3">
      <c r="A16" s="1358" t="s">
        <v>1209</v>
      </c>
      <c r="B16" s="1358">
        <v>0</v>
      </c>
      <c r="C16" s="1358">
        <v>0</v>
      </c>
      <c r="D16" s="1358">
        <v>0</v>
      </c>
      <c r="E16" s="1358">
        <v>0</v>
      </c>
      <c r="F16" s="1358">
        <v>0</v>
      </c>
      <c r="G16" s="1358">
        <v>0</v>
      </c>
      <c r="H16" s="1358">
        <v>0</v>
      </c>
      <c r="I16" s="1358">
        <v>0</v>
      </c>
      <c r="J16" s="1358">
        <v>0</v>
      </c>
      <c r="K16" s="1358">
        <v>0</v>
      </c>
      <c r="L16" s="1358">
        <v>0</v>
      </c>
      <c r="M16" s="1358">
        <v>0</v>
      </c>
      <c r="N16" s="1358">
        <v>0</v>
      </c>
      <c r="O16" s="1358">
        <v>0</v>
      </c>
      <c r="P16" s="1358">
        <v>0</v>
      </c>
      <c r="Q16" s="1358">
        <v>0</v>
      </c>
      <c r="R16" s="1358">
        <v>0</v>
      </c>
      <c r="S16" s="1358">
        <v>0</v>
      </c>
      <c r="T16" s="1358">
        <v>0</v>
      </c>
      <c r="U16" s="1358">
        <v>0</v>
      </c>
      <c r="V16" s="1358">
        <v>0</v>
      </c>
      <c r="W16" s="1358">
        <v>0</v>
      </c>
      <c r="X16" s="1358">
        <v>0</v>
      </c>
      <c r="Y16" s="1358">
        <v>0</v>
      </c>
      <c r="Z16" s="1358">
        <v>0</v>
      </c>
      <c r="AA16" s="1358">
        <v>0</v>
      </c>
      <c r="AB16" s="1358">
        <v>0</v>
      </c>
      <c r="AC16" s="1360"/>
    </row>
    <row r="17" spans="1:30" x14ac:dyDescent="0.3">
      <c r="A17" t="s">
        <v>4058</v>
      </c>
      <c r="B17">
        <f>(B16*0.000001)*'Energy GHG'!B21</f>
        <v>0</v>
      </c>
      <c r="C17">
        <f>B17+(C16*0.000001)*'Energy GHG'!B21</f>
        <v>0</v>
      </c>
      <c r="D17">
        <f>C17+(D16*0.000001)*'Energy GHG'!B21</f>
        <v>0</v>
      </c>
      <c r="E17">
        <f>D17+(E16*0.000001)*'Energy GHG'!B21</f>
        <v>0</v>
      </c>
      <c r="F17">
        <f>E17+(F16*0.000001)*'Energy GHG'!B21</f>
        <v>0</v>
      </c>
      <c r="G17">
        <f>F17+(G16*0.000001)*'Energy GHG'!B21</f>
        <v>0</v>
      </c>
      <c r="H17">
        <f>G17+(H16*0.000001)*'Energy GHG'!B21</f>
        <v>0</v>
      </c>
      <c r="I17">
        <f>H17+(I16*0.000001)*'Energy GHG'!B21</f>
        <v>0</v>
      </c>
      <c r="J17">
        <f>I17+(J16*0.000001)*'Energy GHG'!B21</f>
        <v>0</v>
      </c>
      <c r="K17">
        <f>J17+(K16*0.000001)*'Energy GHG'!B21</f>
        <v>0</v>
      </c>
      <c r="L17">
        <f>K17+(L16*0.000001)*'Energy GHG'!B21</f>
        <v>0</v>
      </c>
      <c r="M17">
        <f>L17+(M16*0.000001)*'Energy GHG'!B21</f>
        <v>0</v>
      </c>
      <c r="N17">
        <f>M17+(N16*0.000001)*'Energy GHG'!B21</f>
        <v>0</v>
      </c>
      <c r="O17">
        <f>N17+(O16*0.000001)*'Energy GHG'!B21</f>
        <v>0</v>
      </c>
      <c r="P17">
        <f>O17+(P16*0.000001)*'Energy GHG'!B21</f>
        <v>0</v>
      </c>
      <c r="Q17">
        <f>P17+(Q16*0.000001)*'Energy GHG'!B21</f>
        <v>0</v>
      </c>
      <c r="R17">
        <f>Q17+(R16*0.000001)*'Energy GHG'!B21</f>
        <v>0</v>
      </c>
      <c r="S17">
        <f>R17+(S16*0.000001)*'Energy GHG'!B21</f>
        <v>0</v>
      </c>
      <c r="T17">
        <f>S17+(T16*0.000001)*'Energy GHG'!B21</f>
        <v>0</v>
      </c>
      <c r="U17">
        <f>T17+(U16*0.000001)*'Energy GHG'!B21</f>
        <v>0</v>
      </c>
      <c r="V17">
        <f>U17+(V16*0.000001)*'Energy GHG'!B21</f>
        <v>0</v>
      </c>
      <c r="W17">
        <f>V17+(W16*0.000001)*'Energy GHG'!B21</f>
        <v>0</v>
      </c>
      <c r="X17">
        <f>W17+(X16*0.000001)*'Energy GHG'!B21</f>
        <v>0</v>
      </c>
      <c r="Y17">
        <f>X17+(Y16*0.000001)*'Energy GHG'!B21</f>
        <v>0</v>
      </c>
      <c r="Z17">
        <f>Y17+(Z16*0.000001)*'Energy GHG'!B21</f>
        <v>0</v>
      </c>
      <c r="AA17">
        <f>Z17+(AA16*0.000001)*'Energy GHG'!B21</f>
        <v>0</v>
      </c>
      <c r="AB17">
        <f>AA17+(AB16*0.000001)*'Energy GHG'!B21</f>
        <v>0</v>
      </c>
      <c r="AC17" s="1360">
        <f>AB17</f>
        <v>0</v>
      </c>
      <c r="AD17" s="1884">
        <f>SUM(AC17:AC21)</f>
        <v>0</v>
      </c>
    </row>
    <row r="18" spans="1:30" x14ac:dyDescent="0.3">
      <c r="A18" t="s">
        <v>4054</v>
      </c>
      <c r="B18" s="1359">
        <f>'Energy GHG'!B22*'Energy GHG'!E8</f>
        <v>0</v>
      </c>
      <c r="C18" s="1359">
        <f>B18+B18</f>
        <v>0</v>
      </c>
      <c r="D18" s="1359">
        <f>C18+B18</f>
        <v>0</v>
      </c>
      <c r="E18" s="1359">
        <f>D18+B18</f>
        <v>0</v>
      </c>
      <c r="F18" s="1359">
        <f>E18+B18</f>
        <v>0</v>
      </c>
      <c r="G18" s="1359">
        <f>F18+B18</f>
        <v>0</v>
      </c>
      <c r="H18" s="1359">
        <f>G18+B18</f>
        <v>0</v>
      </c>
      <c r="I18" s="1359">
        <f>H18+B18</f>
        <v>0</v>
      </c>
      <c r="J18" s="1359">
        <f>I18+B18</f>
        <v>0</v>
      </c>
      <c r="K18" s="1359">
        <f>J18+B18</f>
        <v>0</v>
      </c>
      <c r="L18" s="1359">
        <f>K18+B18</f>
        <v>0</v>
      </c>
      <c r="M18" s="1359">
        <f>L18+B18</f>
        <v>0</v>
      </c>
      <c r="N18" s="1359">
        <f>M18+B18</f>
        <v>0</v>
      </c>
      <c r="O18" s="1359">
        <f>N18+B18</f>
        <v>0</v>
      </c>
      <c r="P18" s="1359">
        <f>O18+B18</f>
        <v>0</v>
      </c>
      <c r="Q18" s="1359">
        <f>P18+B18</f>
        <v>0</v>
      </c>
      <c r="R18" s="1359">
        <f>Q18+B18</f>
        <v>0</v>
      </c>
      <c r="S18" s="1359">
        <f>R18+B18</f>
        <v>0</v>
      </c>
      <c r="T18" s="1359">
        <f>S18+B18</f>
        <v>0</v>
      </c>
      <c r="U18" s="1359">
        <f>T18+B18</f>
        <v>0</v>
      </c>
      <c r="V18" s="1359">
        <f>U18+B18</f>
        <v>0</v>
      </c>
      <c r="W18" s="1359">
        <f>V18+B18</f>
        <v>0</v>
      </c>
      <c r="X18" s="1359">
        <f>W18+B18</f>
        <v>0</v>
      </c>
      <c r="Y18" s="1359">
        <f>X18+B18</f>
        <v>0</v>
      </c>
      <c r="Z18" s="1359">
        <f>Y18+B18</f>
        <v>0</v>
      </c>
      <c r="AA18" s="1359">
        <f>Z18+B18</f>
        <v>0</v>
      </c>
      <c r="AB18" s="1359">
        <f>AA18+B18</f>
        <v>0</v>
      </c>
      <c r="AC18" s="1360">
        <f>AB18</f>
        <v>0</v>
      </c>
      <c r="AD18" s="1885"/>
    </row>
    <row r="19" spans="1:30" x14ac:dyDescent="0.3">
      <c r="A19" t="s">
        <v>4055</v>
      </c>
      <c r="B19" s="1359">
        <f>'Energy GHG'!B23*'Energy GHG'!F8</f>
        <v>0</v>
      </c>
      <c r="C19" s="1359">
        <f t="shared" ref="C19:C21" si="52">B19+B19</f>
        <v>0</v>
      </c>
      <c r="D19" s="1359">
        <f t="shared" ref="D19:D21" si="53">C19+B19</f>
        <v>0</v>
      </c>
      <c r="E19" s="1359">
        <f t="shared" ref="E19:E21" si="54">D19+B19</f>
        <v>0</v>
      </c>
      <c r="F19" s="1359">
        <f t="shared" ref="F19:F21" si="55">E19+B19</f>
        <v>0</v>
      </c>
      <c r="G19" s="1359">
        <f t="shared" ref="G19:G21" si="56">F19+B19</f>
        <v>0</v>
      </c>
      <c r="H19" s="1359">
        <f t="shared" ref="H19:H21" si="57">G19+B19</f>
        <v>0</v>
      </c>
      <c r="I19" s="1359">
        <f t="shared" ref="I19:I21" si="58">H19+B19</f>
        <v>0</v>
      </c>
      <c r="J19" s="1359">
        <f t="shared" ref="J19:J21" si="59">I19+B19</f>
        <v>0</v>
      </c>
      <c r="K19" s="1359">
        <f t="shared" ref="K19:K21" si="60">J19+B19</f>
        <v>0</v>
      </c>
      <c r="L19" s="1359">
        <f t="shared" ref="L19:L21" si="61">K19+B19</f>
        <v>0</v>
      </c>
      <c r="M19" s="1359">
        <f t="shared" ref="M19:M21" si="62">L19+B19</f>
        <v>0</v>
      </c>
      <c r="N19" s="1359">
        <f t="shared" ref="N19:N21" si="63">M19+B19</f>
        <v>0</v>
      </c>
      <c r="O19" s="1359">
        <f t="shared" ref="O19:O21" si="64">N19+B19</f>
        <v>0</v>
      </c>
      <c r="P19" s="1359">
        <f t="shared" ref="P19:P21" si="65">O19+B19</f>
        <v>0</v>
      </c>
      <c r="Q19" s="1359">
        <f t="shared" ref="Q19:Q21" si="66">P19+B19</f>
        <v>0</v>
      </c>
      <c r="R19" s="1359">
        <f t="shared" ref="R19:R21" si="67">Q19+B19</f>
        <v>0</v>
      </c>
      <c r="S19" s="1359">
        <f t="shared" ref="S19:S21" si="68">R19+B19</f>
        <v>0</v>
      </c>
      <c r="T19" s="1359">
        <f t="shared" ref="T19:T21" si="69">S19+B19</f>
        <v>0</v>
      </c>
      <c r="U19" s="1359">
        <f t="shared" ref="U19:U21" si="70">T19+B19</f>
        <v>0</v>
      </c>
      <c r="V19" s="1359">
        <f t="shared" ref="V19:V21" si="71">U19+B19</f>
        <v>0</v>
      </c>
      <c r="W19" s="1359">
        <f t="shared" ref="W19:W21" si="72">V19+B19</f>
        <v>0</v>
      </c>
      <c r="X19" s="1359">
        <f t="shared" ref="X19:X21" si="73">W19+B19</f>
        <v>0</v>
      </c>
      <c r="Y19" s="1359">
        <f t="shared" ref="Y19:Y21" si="74">X19+B19</f>
        <v>0</v>
      </c>
      <c r="Z19" s="1359">
        <f t="shared" ref="Z19:Z21" si="75">Y19+B19</f>
        <v>0</v>
      </c>
      <c r="AA19" s="1359">
        <f t="shared" ref="AA19:AA21" si="76">Z19+B19</f>
        <v>0</v>
      </c>
      <c r="AB19" s="1359">
        <f t="shared" ref="AB19:AB21" si="77">AA19+B19</f>
        <v>0</v>
      </c>
      <c r="AC19" s="1360">
        <f>AB19</f>
        <v>0</v>
      </c>
      <c r="AD19" s="1885"/>
    </row>
    <row r="20" spans="1:30" x14ac:dyDescent="0.3">
      <c r="A20" t="s">
        <v>4056</v>
      </c>
      <c r="B20" s="1359">
        <f>'Energy GHG'!B24*'Energy GHG'!G8</f>
        <v>0</v>
      </c>
      <c r="C20" s="1359">
        <f t="shared" si="52"/>
        <v>0</v>
      </c>
      <c r="D20" s="1359">
        <f t="shared" si="53"/>
        <v>0</v>
      </c>
      <c r="E20" s="1359">
        <f t="shared" si="54"/>
        <v>0</v>
      </c>
      <c r="F20" s="1359">
        <f t="shared" si="55"/>
        <v>0</v>
      </c>
      <c r="G20" s="1359">
        <f t="shared" si="56"/>
        <v>0</v>
      </c>
      <c r="H20" s="1359">
        <f t="shared" si="57"/>
        <v>0</v>
      </c>
      <c r="I20" s="1359">
        <f t="shared" si="58"/>
        <v>0</v>
      </c>
      <c r="J20" s="1359">
        <f t="shared" si="59"/>
        <v>0</v>
      </c>
      <c r="K20" s="1359">
        <f t="shared" si="60"/>
        <v>0</v>
      </c>
      <c r="L20" s="1359">
        <f t="shared" si="61"/>
        <v>0</v>
      </c>
      <c r="M20" s="1359">
        <f t="shared" si="62"/>
        <v>0</v>
      </c>
      <c r="N20" s="1359">
        <f t="shared" si="63"/>
        <v>0</v>
      </c>
      <c r="O20" s="1359">
        <f t="shared" si="64"/>
        <v>0</v>
      </c>
      <c r="P20" s="1359">
        <f t="shared" si="65"/>
        <v>0</v>
      </c>
      <c r="Q20" s="1359">
        <f t="shared" si="66"/>
        <v>0</v>
      </c>
      <c r="R20" s="1359">
        <f t="shared" si="67"/>
        <v>0</v>
      </c>
      <c r="S20" s="1359">
        <f t="shared" si="68"/>
        <v>0</v>
      </c>
      <c r="T20" s="1359">
        <f t="shared" si="69"/>
        <v>0</v>
      </c>
      <c r="U20" s="1359">
        <f t="shared" si="70"/>
        <v>0</v>
      </c>
      <c r="V20" s="1359">
        <f t="shared" si="71"/>
        <v>0</v>
      </c>
      <c r="W20" s="1359">
        <f t="shared" si="72"/>
        <v>0</v>
      </c>
      <c r="X20" s="1359">
        <f t="shared" si="73"/>
        <v>0</v>
      </c>
      <c r="Y20" s="1359">
        <f t="shared" si="74"/>
        <v>0</v>
      </c>
      <c r="Z20" s="1359">
        <f t="shared" si="75"/>
        <v>0</v>
      </c>
      <c r="AA20" s="1359">
        <f t="shared" si="76"/>
        <v>0</v>
      </c>
      <c r="AB20" s="1359">
        <f t="shared" si="77"/>
        <v>0</v>
      </c>
      <c r="AC20" s="1360">
        <f>AB20</f>
        <v>0</v>
      </c>
      <c r="AD20" s="1885"/>
    </row>
    <row r="21" spans="1:30" x14ac:dyDescent="0.3">
      <c r="A21" t="s">
        <v>4057</v>
      </c>
      <c r="B21" s="1359">
        <f>'Energy GHG'!B25*'Energy GHG'!H8</f>
        <v>0</v>
      </c>
      <c r="C21" s="1359">
        <f t="shared" si="52"/>
        <v>0</v>
      </c>
      <c r="D21" s="1359">
        <f t="shared" si="53"/>
        <v>0</v>
      </c>
      <c r="E21" s="1359">
        <f t="shared" si="54"/>
        <v>0</v>
      </c>
      <c r="F21" s="1359">
        <f t="shared" si="55"/>
        <v>0</v>
      </c>
      <c r="G21" s="1359">
        <f t="shared" si="56"/>
        <v>0</v>
      </c>
      <c r="H21" s="1359">
        <f t="shared" si="57"/>
        <v>0</v>
      </c>
      <c r="I21" s="1359">
        <f t="shared" si="58"/>
        <v>0</v>
      </c>
      <c r="J21" s="1359">
        <f t="shared" si="59"/>
        <v>0</v>
      </c>
      <c r="K21" s="1359">
        <f t="shared" si="60"/>
        <v>0</v>
      </c>
      <c r="L21" s="1359">
        <f t="shared" si="61"/>
        <v>0</v>
      </c>
      <c r="M21" s="1359">
        <f t="shared" si="62"/>
        <v>0</v>
      </c>
      <c r="N21" s="1359">
        <f t="shared" si="63"/>
        <v>0</v>
      </c>
      <c r="O21" s="1359">
        <f t="shared" si="64"/>
        <v>0</v>
      </c>
      <c r="P21" s="1359">
        <f t="shared" si="65"/>
        <v>0</v>
      </c>
      <c r="Q21" s="1359">
        <f t="shared" si="66"/>
        <v>0</v>
      </c>
      <c r="R21" s="1359">
        <f t="shared" si="67"/>
        <v>0</v>
      </c>
      <c r="S21" s="1359">
        <f t="shared" si="68"/>
        <v>0</v>
      </c>
      <c r="T21" s="1359">
        <f t="shared" si="69"/>
        <v>0</v>
      </c>
      <c r="U21" s="1359">
        <f t="shared" si="70"/>
        <v>0</v>
      </c>
      <c r="V21" s="1359">
        <f t="shared" si="71"/>
        <v>0</v>
      </c>
      <c r="W21" s="1359">
        <f t="shared" si="72"/>
        <v>0</v>
      </c>
      <c r="X21" s="1359">
        <f t="shared" si="73"/>
        <v>0</v>
      </c>
      <c r="Y21" s="1359">
        <f t="shared" si="74"/>
        <v>0</v>
      </c>
      <c r="Z21" s="1359">
        <f t="shared" si="75"/>
        <v>0</v>
      </c>
      <c r="AA21" s="1359">
        <f t="shared" si="76"/>
        <v>0</v>
      </c>
      <c r="AB21" s="1359">
        <f t="shared" si="77"/>
        <v>0</v>
      </c>
      <c r="AC21" s="1360">
        <f>AB21</f>
        <v>0</v>
      </c>
      <c r="AD21" s="1885"/>
    </row>
    <row r="22" spans="1:30" x14ac:dyDescent="0.3">
      <c r="A22" s="1358" t="s">
        <v>1212</v>
      </c>
      <c r="B22" s="1358">
        <v>240</v>
      </c>
      <c r="C22" s="1358">
        <v>241.8</v>
      </c>
      <c r="D22" s="1358">
        <v>228.3</v>
      </c>
      <c r="E22" s="1358">
        <v>225.1</v>
      </c>
      <c r="F22" s="1358">
        <v>223.8</v>
      </c>
      <c r="G22" s="1358">
        <v>73.8</v>
      </c>
      <c r="H22" s="1358">
        <v>24.5</v>
      </c>
      <c r="I22" s="1358">
        <v>23.7</v>
      </c>
      <c r="J22" s="1358">
        <v>22.5</v>
      </c>
      <c r="K22" s="1358">
        <v>19.3</v>
      </c>
      <c r="L22" s="1358">
        <v>17.8</v>
      </c>
      <c r="M22" s="1358">
        <v>7.8</v>
      </c>
      <c r="N22" s="1358">
        <v>7.7</v>
      </c>
      <c r="O22" s="1358">
        <v>7.4</v>
      </c>
      <c r="P22" s="1358">
        <v>7.4</v>
      </c>
      <c r="Q22" s="1358">
        <v>7.3</v>
      </c>
      <c r="R22" s="1358">
        <v>7.3</v>
      </c>
      <c r="S22" s="1358">
        <v>7.3</v>
      </c>
      <c r="T22" s="1358">
        <v>0.1</v>
      </c>
      <c r="U22" s="1358">
        <v>0.1</v>
      </c>
      <c r="V22" s="1358">
        <v>0.1</v>
      </c>
      <c r="W22" s="1358">
        <v>0.1</v>
      </c>
      <c r="X22" s="1358">
        <v>0</v>
      </c>
      <c r="Y22" s="1358">
        <v>0</v>
      </c>
      <c r="Z22" s="1358">
        <v>0</v>
      </c>
      <c r="AA22" s="1358">
        <v>0</v>
      </c>
      <c r="AB22" s="1358">
        <v>0</v>
      </c>
      <c r="AC22" s="1360"/>
      <c r="AD22" s="1352"/>
    </row>
    <row r="23" spans="1:30" x14ac:dyDescent="0.3">
      <c r="A23" t="s">
        <v>4058</v>
      </c>
      <c r="B23" s="1359">
        <f>(B22*0.000001)*'Energy GHG'!B21</f>
        <v>0</v>
      </c>
      <c r="C23" s="1359">
        <f>B23+(C22*0.000001)*'Energy GHG'!B21</f>
        <v>0</v>
      </c>
      <c r="D23" s="1359">
        <f>C23+(D22*0.000001)*'Energy GHG'!B21</f>
        <v>0</v>
      </c>
      <c r="E23" s="1359">
        <f>D23+(E22*0.000001)*'Energy GHG'!B21</f>
        <v>0</v>
      </c>
      <c r="F23" s="1359">
        <f>E23+(F22*0.000001)*'Energy GHG'!B21</f>
        <v>0</v>
      </c>
      <c r="G23" s="1359">
        <f>F23+(G22*0.000001)*'Energy GHG'!B21</f>
        <v>0</v>
      </c>
      <c r="H23" s="1359">
        <f>G23+(H22*0.000001)*'Energy GHG'!B21</f>
        <v>0</v>
      </c>
      <c r="I23" s="1359">
        <f>H23+(I22*0.000001)*'Energy GHG'!B21</f>
        <v>0</v>
      </c>
      <c r="J23" s="1359">
        <f>I23+(J22*0.000001)*'Energy GHG'!B21</f>
        <v>0</v>
      </c>
      <c r="K23" s="1359">
        <f>J23+(K22*0.000001)*'Energy GHG'!B21</f>
        <v>0</v>
      </c>
      <c r="L23" s="1359">
        <f>K23+(L22*0.000001)*'Energy GHG'!B21</f>
        <v>0</v>
      </c>
      <c r="M23" s="1359">
        <f>L23+(M22*0.000001)*'Energy GHG'!B21</f>
        <v>0</v>
      </c>
      <c r="N23" s="1359">
        <f>M23+(N22*0.000001)*'Energy GHG'!B21</f>
        <v>0</v>
      </c>
      <c r="O23" s="1359">
        <f>N23+(O22*0.000001)*'Energy GHG'!B21</f>
        <v>0</v>
      </c>
      <c r="P23" s="1359">
        <f>O23+(P22*0.000001)*'Energy GHG'!B21</f>
        <v>0</v>
      </c>
      <c r="Q23" s="1359">
        <f>P23+(Q22*0.000001)*'Energy GHG'!B21</f>
        <v>0</v>
      </c>
      <c r="R23" s="1359">
        <f>Q23+(R22*0.000001)*'Energy GHG'!B21</f>
        <v>0</v>
      </c>
      <c r="S23" s="1359">
        <f>R23+(S22*0.000001)*'Energy GHG'!B21</f>
        <v>0</v>
      </c>
      <c r="T23" s="1359">
        <f>S23+(T22*0.000001)*'Energy GHG'!B21</f>
        <v>0</v>
      </c>
      <c r="U23" s="1359">
        <f>T23+(U22*0.000001)*'Energy GHG'!B21</f>
        <v>0</v>
      </c>
      <c r="V23" s="1359">
        <f>U23+(V22*0.000001)*'Energy GHG'!B21</f>
        <v>0</v>
      </c>
      <c r="W23" s="1359">
        <f>V23+(W22*0.000001)*'Energy GHG'!B21</f>
        <v>0</v>
      </c>
      <c r="X23" s="1359">
        <f>W23+(X22*0.000001)*'Energy GHG'!B21</f>
        <v>0</v>
      </c>
      <c r="Y23" s="1359">
        <f>X23+(Y22*0.000001)*'Energy GHG'!B21</f>
        <v>0</v>
      </c>
      <c r="Z23" s="1359">
        <f>Y23+(Z22*0.000001)*'Energy GHG'!B21</f>
        <v>0</v>
      </c>
      <c r="AA23" s="1359">
        <f>Z23+(AA22*0.000001)*'Energy GHG'!B21</f>
        <v>0</v>
      </c>
      <c r="AB23" s="1359">
        <f>AA23+(AB22*0.000001)*'Energy GHG'!B21</f>
        <v>0</v>
      </c>
      <c r="AC23" s="1360">
        <f>AB23</f>
        <v>0</v>
      </c>
      <c r="AD23" s="1884">
        <f>SUM(AC23:AC27)</f>
        <v>0</v>
      </c>
    </row>
    <row r="24" spans="1:30" x14ac:dyDescent="0.3">
      <c r="A24" t="s">
        <v>4054</v>
      </c>
      <c r="B24" s="1359">
        <f>'Energy GHG'!B22*'Energy GHG'!E5</f>
        <v>0</v>
      </c>
      <c r="C24" s="1359">
        <f>B24+B24</f>
        <v>0</v>
      </c>
      <c r="D24" s="1359">
        <f>C24+B24</f>
        <v>0</v>
      </c>
      <c r="E24" s="1359">
        <f>D24+B24</f>
        <v>0</v>
      </c>
      <c r="F24" s="1359">
        <f>E24+B24</f>
        <v>0</v>
      </c>
      <c r="G24" s="1359">
        <f>F24+B24</f>
        <v>0</v>
      </c>
      <c r="H24" s="1359">
        <f>G24+B24</f>
        <v>0</v>
      </c>
      <c r="I24" s="1359">
        <f>H24+B24</f>
        <v>0</v>
      </c>
      <c r="J24" s="1359">
        <f>I24+B24</f>
        <v>0</v>
      </c>
      <c r="K24" s="1359">
        <f>J24+B24</f>
        <v>0</v>
      </c>
      <c r="L24" s="1359">
        <f>K24+B24</f>
        <v>0</v>
      </c>
      <c r="M24" s="1359">
        <f>L24+B24</f>
        <v>0</v>
      </c>
      <c r="N24" s="1359">
        <f>M24+B24</f>
        <v>0</v>
      </c>
      <c r="O24" s="1359">
        <f>N24+B24</f>
        <v>0</v>
      </c>
      <c r="P24" s="1359">
        <f>O24+B24</f>
        <v>0</v>
      </c>
      <c r="Q24" s="1359">
        <f>P24+B24</f>
        <v>0</v>
      </c>
      <c r="R24" s="1359">
        <f>Q24+B24</f>
        <v>0</v>
      </c>
      <c r="S24" s="1359">
        <f>R24+B24</f>
        <v>0</v>
      </c>
      <c r="T24" s="1359">
        <f>S24+B24</f>
        <v>0</v>
      </c>
      <c r="U24" s="1359">
        <f>T24+B24</f>
        <v>0</v>
      </c>
      <c r="V24" s="1359">
        <f>U24+B24</f>
        <v>0</v>
      </c>
      <c r="W24" s="1359">
        <f>V24+B24</f>
        <v>0</v>
      </c>
      <c r="X24" s="1359">
        <f>W24+B24</f>
        <v>0</v>
      </c>
      <c r="Y24" s="1359">
        <f>X24+B24</f>
        <v>0</v>
      </c>
      <c r="Z24" s="1359">
        <f>Y24+B24</f>
        <v>0</v>
      </c>
      <c r="AA24" s="1359">
        <f>Z24+B24</f>
        <v>0</v>
      </c>
      <c r="AB24" s="1359">
        <f>AA24+B24</f>
        <v>0</v>
      </c>
      <c r="AC24" s="1360">
        <f>AB24</f>
        <v>0</v>
      </c>
      <c r="AD24" s="1885"/>
    </row>
    <row r="25" spans="1:30" x14ac:dyDescent="0.3">
      <c r="A25" t="s">
        <v>4055</v>
      </c>
      <c r="B25" s="1359">
        <f>'Energy GHG'!B23*'Energy GHG'!F5</f>
        <v>0</v>
      </c>
      <c r="C25" s="1359">
        <f t="shared" ref="C25:C27" si="78">B25+B25</f>
        <v>0</v>
      </c>
      <c r="D25" s="1359">
        <f t="shared" ref="D25:D27" si="79">C25+B25</f>
        <v>0</v>
      </c>
      <c r="E25" s="1359">
        <f t="shared" ref="E25:E27" si="80">D25+B25</f>
        <v>0</v>
      </c>
      <c r="F25" s="1359">
        <f t="shared" ref="F25:F27" si="81">E25+B25</f>
        <v>0</v>
      </c>
      <c r="G25" s="1359">
        <f t="shared" ref="G25:G27" si="82">F25+B25</f>
        <v>0</v>
      </c>
      <c r="H25" s="1359">
        <f t="shared" ref="H25:H27" si="83">G25+B25</f>
        <v>0</v>
      </c>
      <c r="I25" s="1359">
        <f t="shared" ref="I25:I27" si="84">H25+B25</f>
        <v>0</v>
      </c>
      <c r="J25" s="1359">
        <f t="shared" ref="J25:J27" si="85">I25+B25</f>
        <v>0</v>
      </c>
      <c r="K25" s="1359">
        <f t="shared" ref="K25:K27" si="86">J25+B25</f>
        <v>0</v>
      </c>
      <c r="L25" s="1359">
        <f t="shared" ref="L25:L27" si="87">K25+B25</f>
        <v>0</v>
      </c>
      <c r="M25" s="1359">
        <f t="shared" ref="M25:M27" si="88">L25+B25</f>
        <v>0</v>
      </c>
      <c r="N25" s="1359">
        <f t="shared" ref="N25:N27" si="89">M25+B25</f>
        <v>0</v>
      </c>
      <c r="O25" s="1359">
        <f t="shared" ref="O25:O27" si="90">N25+B25</f>
        <v>0</v>
      </c>
      <c r="P25" s="1359">
        <f t="shared" ref="P25:P27" si="91">O25+B25</f>
        <v>0</v>
      </c>
      <c r="Q25" s="1359">
        <f t="shared" ref="Q25:Q27" si="92">P25+B25</f>
        <v>0</v>
      </c>
      <c r="R25" s="1359">
        <f t="shared" ref="R25:R27" si="93">Q25+B25</f>
        <v>0</v>
      </c>
      <c r="S25" s="1359">
        <f t="shared" ref="S25:S27" si="94">R25+B25</f>
        <v>0</v>
      </c>
      <c r="T25" s="1359">
        <f t="shared" ref="T25:T27" si="95">S25+B25</f>
        <v>0</v>
      </c>
      <c r="U25" s="1359">
        <f t="shared" ref="U25:U27" si="96">T25+B25</f>
        <v>0</v>
      </c>
      <c r="V25" s="1359">
        <f t="shared" ref="V25:V27" si="97">U25+B25</f>
        <v>0</v>
      </c>
      <c r="W25" s="1359">
        <f t="shared" ref="W25:W27" si="98">V25+B25</f>
        <v>0</v>
      </c>
      <c r="X25" s="1359">
        <f t="shared" ref="X25:X27" si="99">W25+B25</f>
        <v>0</v>
      </c>
      <c r="Y25" s="1359">
        <f t="shared" ref="Y25:Y27" si="100">X25+B25</f>
        <v>0</v>
      </c>
      <c r="Z25" s="1359">
        <f t="shared" ref="Z25:Z27" si="101">Y25+B25</f>
        <v>0</v>
      </c>
      <c r="AA25" s="1359">
        <f t="shared" ref="AA25:AA27" si="102">Z25+B25</f>
        <v>0</v>
      </c>
      <c r="AB25" s="1359">
        <f t="shared" ref="AB25:AB27" si="103">AA25+B25</f>
        <v>0</v>
      </c>
      <c r="AC25" s="1360">
        <f>AB25</f>
        <v>0</v>
      </c>
      <c r="AD25" s="1885"/>
    </row>
    <row r="26" spans="1:30" x14ac:dyDescent="0.3">
      <c r="A26" t="s">
        <v>4056</v>
      </c>
      <c r="B26" s="1359">
        <f>'Energy GHG'!B24*'Energy GHG'!G5</f>
        <v>0</v>
      </c>
      <c r="C26" s="1359">
        <f t="shared" si="78"/>
        <v>0</v>
      </c>
      <c r="D26" s="1359">
        <f t="shared" si="79"/>
        <v>0</v>
      </c>
      <c r="E26" s="1359">
        <f t="shared" si="80"/>
        <v>0</v>
      </c>
      <c r="F26" s="1359">
        <f t="shared" si="81"/>
        <v>0</v>
      </c>
      <c r="G26" s="1359">
        <f t="shared" si="82"/>
        <v>0</v>
      </c>
      <c r="H26" s="1359">
        <f t="shared" si="83"/>
        <v>0</v>
      </c>
      <c r="I26" s="1359">
        <f t="shared" si="84"/>
        <v>0</v>
      </c>
      <c r="J26" s="1359">
        <f t="shared" si="85"/>
        <v>0</v>
      </c>
      <c r="K26" s="1359">
        <f t="shared" si="86"/>
        <v>0</v>
      </c>
      <c r="L26" s="1359">
        <f t="shared" si="87"/>
        <v>0</v>
      </c>
      <c r="M26" s="1359">
        <f t="shared" si="88"/>
        <v>0</v>
      </c>
      <c r="N26" s="1359">
        <f t="shared" si="89"/>
        <v>0</v>
      </c>
      <c r="O26" s="1359">
        <f t="shared" si="90"/>
        <v>0</v>
      </c>
      <c r="P26" s="1359">
        <f t="shared" si="91"/>
        <v>0</v>
      </c>
      <c r="Q26" s="1359">
        <f t="shared" si="92"/>
        <v>0</v>
      </c>
      <c r="R26" s="1359">
        <f t="shared" si="93"/>
        <v>0</v>
      </c>
      <c r="S26" s="1359">
        <f t="shared" si="94"/>
        <v>0</v>
      </c>
      <c r="T26" s="1359">
        <f t="shared" si="95"/>
        <v>0</v>
      </c>
      <c r="U26" s="1359">
        <f t="shared" si="96"/>
        <v>0</v>
      </c>
      <c r="V26" s="1359">
        <f t="shared" si="97"/>
        <v>0</v>
      </c>
      <c r="W26" s="1359">
        <f t="shared" si="98"/>
        <v>0</v>
      </c>
      <c r="X26" s="1359">
        <f t="shared" si="99"/>
        <v>0</v>
      </c>
      <c r="Y26" s="1359">
        <f t="shared" si="100"/>
        <v>0</v>
      </c>
      <c r="Z26" s="1359">
        <f t="shared" si="101"/>
        <v>0</v>
      </c>
      <c r="AA26" s="1359">
        <f t="shared" si="102"/>
        <v>0</v>
      </c>
      <c r="AB26" s="1359">
        <f t="shared" si="103"/>
        <v>0</v>
      </c>
      <c r="AC26" s="1360">
        <f>AB26</f>
        <v>0</v>
      </c>
      <c r="AD26" s="1885"/>
    </row>
    <row r="27" spans="1:30" x14ac:dyDescent="0.3">
      <c r="A27" t="s">
        <v>4057</v>
      </c>
      <c r="B27" s="1359">
        <f>'Energy GHG'!B25*'Energy GHG'!H5</f>
        <v>0</v>
      </c>
      <c r="C27" s="1359">
        <f t="shared" si="78"/>
        <v>0</v>
      </c>
      <c r="D27" s="1359">
        <f t="shared" si="79"/>
        <v>0</v>
      </c>
      <c r="E27" s="1359">
        <f t="shared" si="80"/>
        <v>0</v>
      </c>
      <c r="F27" s="1359">
        <f t="shared" si="81"/>
        <v>0</v>
      </c>
      <c r="G27" s="1359">
        <f t="shared" si="82"/>
        <v>0</v>
      </c>
      <c r="H27" s="1359">
        <f t="shared" si="83"/>
        <v>0</v>
      </c>
      <c r="I27" s="1359">
        <f t="shared" si="84"/>
        <v>0</v>
      </c>
      <c r="J27" s="1359">
        <f t="shared" si="85"/>
        <v>0</v>
      </c>
      <c r="K27" s="1359">
        <f t="shared" si="86"/>
        <v>0</v>
      </c>
      <c r="L27" s="1359">
        <f t="shared" si="87"/>
        <v>0</v>
      </c>
      <c r="M27" s="1359">
        <f t="shared" si="88"/>
        <v>0</v>
      </c>
      <c r="N27" s="1359">
        <f t="shared" si="89"/>
        <v>0</v>
      </c>
      <c r="O27" s="1359">
        <f t="shared" si="90"/>
        <v>0</v>
      </c>
      <c r="P27" s="1359">
        <f t="shared" si="91"/>
        <v>0</v>
      </c>
      <c r="Q27" s="1359">
        <f t="shared" si="92"/>
        <v>0</v>
      </c>
      <c r="R27" s="1359">
        <f t="shared" si="93"/>
        <v>0</v>
      </c>
      <c r="S27" s="1359">
        <f t="shared" si="94"/>
        <v>0</v>
      </c>
      <c r="T27" s="1359">
        <f t="shared" si="95"/>
        <v>0</v>
      </c>
      <c r="U27" s="1359">
        <f t="shared" si="96"/>
        <v>0</v>
      </c>
      <c r="V27" s="1359">
        <f t="shared" si="97"/>
        <v>0</v>
      </c>
      <c r="W27" s="1359">
        <f t="shared" si="98"/>
        <v>0</v>
      </c>
      <c r="X27" s="1359">
        <f t="shared" si="99"/>
        <v>0</v>
      </c>
      <c r="Y27" s="1359">
        <f t="shared" si="100"/>
        <v>0</v>
      </c>
      <c r="Z27" s="1359">
        <f t="shared" si="101"/>
        <v>0</v>
      </c>
      <c r="AA27" s="1359">
        <f t="shared" si="102"/>
        <v>0</v>
      </c>
      <c r="AB27" s="1359">
        <f t="shared" si="103"/>
        <v>0</v>
      </c>
      <c r="AC27" s="1360">
        <f>AB27</f>
        <v>0</v>
      </c>
      <c r="AD27" s="1885"/>
    </row>
    <row r="28" spans="1:30" x14ac:dyDescent="0.3">
      <c r="A28" s="1358" t="s">
        <v>1218</v>
      </c>
      <c r="B28" s="1358">
        <v>9.1999999999999993</v>
      </c>
      <c r="C28" s="1358">
        <v>9.1999999999999993</v>
      </c>
      <c r="D28" s="1358">
        <v>9.3000000000000007</v>
      </c>
      <c r="E28" s="1358">
        <v>9.1999999999999993</v>
      </c>
      <c r="F28" s="1358">
        <v>17.7</v>
      </c>
      <c r="G28" s="1358">
        <v>10.5</v>
      </c>
      <c r="H28" s="1358">
        <v>0</v>
      </c>
      <c r="I28" s="1358">
        <v>0</v>
      </c>
      <c r="J28" s="1358">
        <v>0</v>
      </c>
      <c r="K28" s="1358">
        <v>0</v>
      </c>
      <c r="L28" s="1358">
        <v>0</v>
      </c>
      <c r="M28" s="1358">
        <v>0</v>
      </c>
      <c r="N28" s="1358">
        <v>0</v>
      </c>
      <c r="O28" s="1358">
        <v>0</v>
      </c>
      <c r="P28" s="1358">
        <v>0</v>
      </c>
      <c r="Q28" s="1358">
        <v>0</v>
      </c>
      <c r="R28" s="1358">
        <v>0</v>
      </c>
      <c r="S28" s="1358">
        <v>0</v>
      </c>
      <c r="T28" s="1358">
        <v>0</v>
      </c>
      <c r="U28" s="1358">
        <v>0</v>
      </c>
      <c r="V28" s="1358">
        <v>0</v>
      </c>
      <c r="W28" s="1358">
        <v>0</v>
      </c>
      <c r="X28" s="1358">
        <v>0</v>
      </c>
      <c r="Y28" s="1358">
        <v>0</v>
      </c>
      <c r="Z28" s="1358">
        <v>0</v>
      </c>
      <c r="AA28" s="1358">
        <v>0</v>
      </c>
      <c r="AB28" s="1358">
        <v>0</v>
      </c>
      <c r="AC28" s="1360"/>
      <c r="AD28" s="1352"/>
    </row>
    <row r="29" spans="1:30" x14ac:dyDescent="0.3">
      <c r="A29" t="s">
        <v>4058</v>
      </c>
      <c r="B29" s="1362">
        <f>(B28*0.000001)*'Energy GHG'!B21</f>
        <v>0</v>
      </c>
      <c r="C29" s="1362">
        <f>B29+(C28*0.000001)*'Energy GHG'!B21</f>
        <v>0</v>
      </c>
      <c r="D29" s="1362">
        <f>C29+(D28*0.000001)*'Energy GHG'!B21</f>
        <v>0</v>
      </c>
      <c r="E29" s="1362">
        <f>D29+(E28*0.000001)*'Energy GHG'!B21</f>
        <v>0</v>
      </c>
      <c r="F29" s="1362">
        <f>E29+(F28*0.000001)*'Energy GHG'!B21</f>
        <v>0</v>
      </c>
      <c r="G29" s="1362">
        <f>F29+(G28*0.000001)*'Energy GHG'!B21</f>
        <v>0</v>
      </c>
      <c r="H29" s="1362">
        <f>G29+(H28*0.000001)*'Energy GHG'!B21</f>
        <v>0</v>
      </c>
      <c r="I29" s="1362">
        <f>H29+(I28*0.000001)*'Energy GHG'!B21</f>
        <v>0</v>
      </c>
      <c r="J29" s="1362">
        <f>I29+(J28*0.000001)*'Energy GHG'!B21</f>
        <v>0</v>
      </c>
      <c r="K29" s="1362">
        <f>J29+(K28*0.000001)*'Energy GHG'!B21</f>
        <v>0</v>
      </c>
      <c r="L29" s="1362">
        <f>K29+(L28*0.000001)*'Energy GHG'!B21</f>
        <v>0</v>
      </c>
      <c r="M29" s="1362">
        <f>L29+(M28*0.000001)*'Energy GHG'!B21</f>
        <v>0</v>
      </c>
      <c r="N29" s="1362">
        <f>M29+(N28*0.000001)*'Energy GHG'!B21</f>
        <v>0</v>
      </c>
      <c r="O29" s="1362">
        <f>N29+(O28*0.000001)*'Energy GHG'!B21</f>
        <v>0</v>
      </c>
      <c r="P29" s="1362">
        <f>O29+(P28*0.000001)*'Energy GHG'!B21</f>
        <v>0</v>
      </c>
      <c r="Q29" s="1362">
        <f>P29+(Q28*0.000001)*'Energy GHG'!B21</f>
        <v>0</v>
      </c>
      <c r="R29" s="1362">
        <f>Q29+(R28*0.000001)*'Energy GHG'!B21</f>
        <v>0</v>
      </c>
      <c r="S29" s="1362">
        <f>R29+(S28*0.000001)*'Energy GHG'!B21</f>
        <v>0</v>
      </c>
      <c r="T29" s="1362">
        <f>S29+(T28*0.000001)*'Energy GHG'!B21</f>
        <v>0</v>
      </c>
      <c r="U29" s="1362">
        <f>T29+(U28*0.000001)*'Energy GHG'!B21</f>
        <v>0</v>
      </c>
      <c r="V29" s="1362">
        <f>U29+(V28*0.000001)*'Energy GHG'!B21</f>
        <v>0</v>
      </c>
      <c r="W29" s="1362">
        <f>V29+(W28*0.000001)*'Energy GHG'!B21</f>
        <v>0</v>
      </c>
      <c r="X29" s="1362">
        <f>W29+(X28*0.000001)*'Energy GHG'!B21</f>
        <v>0</v>
      </c>
      <c r="Y29" s="1362">
        <f>X29+(Y28*0.000001)*'Energy GHG'!B21</f>
        <v>0</v>
      </c>
      <c r="Z29" s="1362">
        <f>Y29+(Z28*0.000001)*'Energy GHG'!B21</f>
        <v>0</v>
      </c>
      <c r="AA29" s="1362">
        <f>Z29+(AA28*0.000001)*'Energy GHG'!B21</f>
        <v>0</v>
      </c>
      <c r="AB29" s="1362">
        <f>AA29+(AB28*0.000001)*'Energy GHG'!B21</f>
        <v>0</v>
      </c>
      <c r="AC29" s="1360">
        <f>AB29</f>
        <v>0</v>
      </c>
      <c r="AD29" s="1884">
        <f>SUM(AC29:AC33)</f>
        <v>0</v>
      </c>
    </row>
    <row r="30" spans="1:30" x14ac:dyDescent="0.3">
      <c r="A30" t="s">
        <v>4054</v>
      </c>
      <c r="B30" s="1359">
        <f>'Energy GHG'!B22*'Energy GHG'!E2</f>
        <v>0</v>
      </c>
      <c r="C30" s="1359">
        <f>B30+B30</f>
        <v>0</v>
      </c>
      <c r="D30" s="1359">
        <f>C30+B30</f>
        <v>0</v>
      </c>
      <c r="E30" s="1359">
        <f>D30+B30</f>
        <v>0</v>
      </c>
      <c r="F30" s="1359">
        <f>E30+B30</f>
        <v>0</v>
      </c>
      <c r="G30" s="1359">
        <f>F30+B30</f>
        <v>0</v>
      </c>
      <c r="H30" s="1359">
        <f>G30+B30</f>
        <v>0</v>
      </c>
      <c r="I30" s="1359">
        <f>H30+B30</f>
        <v>0</v>
      </c>
      <c r="J30" s="1359">
        <f>I30+B30</f>
        <v>0</v>
      </c>
      <c r="K30" s="1359">
        <f>J30+B30</f>
        <v>0</v>
      </c>
      <c r="L30" s="1359">
        <f>K30+B30</f>
        <v>0</v>
      </c>
      <c r="M30" s="1359">
        <f>L30+B30</f>
        <v>0</v>
      </c>
      <c r="N30" s="1359">
        <f>M30+B30</f>
        <v>0</v>
      </c>
      <c r="O30" s="1359">
        <f>N30+B30</f>
        <v>0</v>
      </c>
      <c r="P30" s="1359">
        <f>O30+B30</f>
        <v>0</v>
      </c>
      <c r="Q30" s="1359">
        <f>P30+B30</f>
        <v>0</v>
      </c>
      <c r="R30" s="1359">
        <f>Q30+B30</f>
        <v>0</v>
      </c>
      <c r="S30" s="1359">
        <f>R30+B30</f>
        <v>0</v>
      </c>
      <c r="T30" s="1359">
        <f>S30+B30</f>
        <v>0</v>
      </c>
      <c r="U30" s="1359">
        <f>T30+B30</f>
        <v>0</v>
      </c>
      <c r="V30" s="1359">
        <f>U30+B30</f>
        <v>0</v>
      </c>
      <c r="W30" s="1359">
        <f>V30+B30</f>
        <v>0</v>
      </c>
      <c r="X30" s="1359">
        <f>W30+B30</f>
        <v>0</v>
      </c>
      <c r="Y30" s="1359">
        <f>X30+B30</f>
        <v>0</v>
      </c>
      <c r="Z30" s="1359">
        <f>Y30+B30</f>
        <v>0</v>
      </c>
      <c r="AA30" s="1359">
        <f>Z30+B30</f>
        <v>0</v>
      </c>
      <c r="AB30" s="1359">
        <f>AA30+B30</f>
        <v>0</v>
      </c>
      <c r="AC30" s="1360">
        <f>AB30</f>
        <v>0</v>
      </c>
      <c r="AD30" s="1885"/>
    </row>
    <row r="31" spans="1:30" x14ac:dyDescent="0.3">
      <c r="A31" t="s">
        <v>4055</v>
      </c>
      <c r="B31" s="1359">
        <f>'Energy GHG'!B23*'Energy GHG'!F2</f>
        <v>0</v>
      </c>
      <c r="C31" s="1359">
        <f t="shared" ref="C31:C33" si="104">B31+B31</f>
        <v>0</v>
      </c>
      <c r="D31" s="1359">
        <f t="shared" ref="D31:D33" si="105">C31+B31</f>
        <v>0</v>
      </c>
      <c r="E31" s="1359">
        <f t="shared" ref="E31:E33" si="106">D31+B31</f>
        <v>0</v>
      </c>
      <c r="F31" s="1359">
        <f t="shared" ref="F31:F33" si="107">E31+B31</f>
        <v>0</v>
      </c>
      <c r="G31" s="1359">
        <f t="shared" ref="G31:G33" si="108">F31+B31</f>
        <v>0</v>
      </c>
      <c r="H31" s="1359">
        <f t="shared" ref="H31:H33" si="109">G31+B31</f>
        <v>0</v>
      </c>
      <c r="I31" s="1359">
        <f t="shared" ref="I31:I33" si="110">H31+B31</f>
        <v>0</v>
      </c>
      <c r="J31" s="1359">
        <f t="shared" ref="J31:J33" si="111">I31+B31</f>
        <v>0</v>
      </c>
      <c r="K31" s="1359">
        <f t="shared" ref="K31:K33" si="112">J31+B31</f>
        <v>0</v>
      </c>
      <c r="L31" s="1359">
        <f t="shared" ref="L31:L33" si="113">K31+B31</f>
        <v>0</v>
      </c>
      <c r="M31" s="1359">
        <f t="shared" ref="M31:M33" si="114">L31+B31</f>
        <v>0</v>
      </c>
      <c r="N31" s="1359">
        <f t="shared" ref="N31:N33" si="115">M31+B31</f>
        <v>0</v>
      </c>
      <c r="O31" s="1359">
        <f t="shared" ref="O31:O33" si="116">N31+B31</f>
        <v>0</v>
      </c>
      <c r="P31" s="1359">
        <f t="shared" ref="P31:P33" si="117">O31+B31</f>
        <v>0</v>
      </c>
      <c r="Q31" s="1359">
        <f t="shared" ref="Q31:Q33" si="118">P31+B31</f>
        <v>0</v>
      </c>
      <c r="R31" s="1359">
        <f t="shared" ref="R31:R33" si="119">Q31+B31</f>
        <v>0</v>
      </c>
      <c r="S31" s="1359">
        <f t="shared" ref="S31:S33" si="120">R31+B31</f>
        <v>0</v>
      </c>
      <c r="T31" s="1359">
        <f t="shared" ref="T31:T33" si="121">S31+B31</f>
        <v>0</v>
      </c>
      <c r="U31" s="1359">
        <f t="shared" ref="U31:U33" si="122">T31+B31</f>
        <v>0</v>
      </c>
      <c r="V31" s="1359">
        <f t="shared" ref="V31:V33" si="123">U31+B31</f>
        <v>0</v>
      </c>
      <c r="W31" s="1359">
        <f t="shared" ref="W31:W33" si="124">V31+B31</f>
        <v>0</v>
      </c>
      <c r="X31" s="1359">
        <f t="shared" ref="X31:X33" si="125">W31+B31</f>
        <v>0</v>
      </c>
      <c r="Y31" s="1359">
        <f t="shared" ref="Y31:Y33" si="126">X31+B31</f>
        <v>0</v>
      </c>
      <c r="Z31" s="1359">
        <f t="shared" ref="Z31:Z33" si="127">Y31+B31</f>
        <v>0</v>
      </c>
      <c r="AA31" s="1359">
        <f t="shared" ref="AA31:AA33" si="128">Z31+B31</f>
        <v>0</v>
      </c>
      <c r="AB31" s="1359">
        <f t="shared" ref="AB31:AB33" si="129">AA31+B31</f>
        <v>0</v>
      </c>
      <c r="AC31" s="1360">
        <f>AB31</f>
        <v>0</v>
      </c>
      <c r="AD31" s="1885"/>
    </row>
    <row r="32" spans="1:30" x14ac:dyDescent="0.3">
      <c r="A32" t="s">
        <v>4056</v>
      </c>
      <c r="B32" s="1359">
        <f>'Energy GHG'!B24*'Energy GHG'!G2</f>
        <v>0</v>
      </c>
      <c r="C32" s="1359">
        <f t="shared" si="104"/>
        <v>0</v>
      </c>
      <c r="D32" s="1359">
        <f t="shared" si="105"/>
        <v>0</v>
      </c>
      <c r="E32" s="1359">
        <f t="shared" si="106"/>
        <v>0</v>
      </c>
      <c r="F32" s="1359">
        <f t="shared" si="107"/>
        <v>0</v>
      </c>
      <c r="G32" s="1359">
        <f t="shared" si="108"/>
        <v>0</v>
      </c>
      <c r="H32" s="1359">
        <f t="shared" si="109"/>
        <v>0</v>
      </c>
      <c r="I32" s="1359">
        <f t="shared" si="110"/>
        <v>0</v>
      </c>
      <c r="J32" s="1359">
        <f t="shared" si="111"/>
        <v>0</v>
      </c>
      <c r="K32" s="1359">
        <f t="shared" si="112"/>
        <v>0</v>
      </c>
      <c r="L32" s="1359">
        <f t="shared" si="113"/>
        <v>0</v>
      </c>
      <c r="M32" s="1359">
        <f t="shared" si="114"/>
        <v>0</v>
      </c>
      <c r="N32" s="1359">
        <f t="shared" si="115"/>
        <v>0</v>
      </c>
      <c r="O32" s="1359">
        <f t="shared" si="116"/>
        <v>0</v>
      </c>
      <c r="P32" s="1359">
        <f t="shared" si="117"/>
        <v>0</v>
      </c>
      <c r="Q32" s="1359">
        <f t="shared" si="118"/>
        <v>0</v>
      </c>
      <c r="R32" s="1359">
        <f t="shared" si="119"/>
        <v>0</v>
      </c>
      <c r="S32" s="1359">
        <f t="shared" si="120"/>
        <v>0</v>
      </c>
      <c r="T32" s="1359">
        <f t="shared" si="121"/>
        <v>0</v>
      </c>
      <c r="U32" s="1359">
        <f t="shared" si="122"/>
        <v>0</v>
      </c>
      <c r="V32" s="1359">
        <f t="shared" si="123"/>
        <v>0</v>
      </c>
      <c r="W32" s="1359">
        <f t="shared" si="124"/>
        <v>0</v>
      </c>
      <c r="X32" s="1359">
        <f t="shared" si="125"/>
        <v>0</v>
      </c>
      <c r="Y32" s="1359">
        <f t="shared" si="126"/>
        <v>0</v>
      </c>
      <c r="Z32" s="1359">
        <f t="shared" si="127"/>
        <v>0</v>
      </c>
      <c r="AA32" s="1359">
        <f t="shared" si="128"/>
        <v>0</v>
      </c>
      <c r="AB32" s="1359">
        <f t="shared" si="129"/>
        <v>0</v>
      </c>
      <c r="AC32" s="1360">
        <f>AB32</f>
        <v>0</v>
      </c>
      <c r="AD32" s="1885"/>
    </row>
    <row r="33" spans="1:30" x14ac:dyDescent="0.3">
      <c r="A33" t="s">
        <v>4057</v>
      </c>
      <c r="B33" s="1359">
        <f>'Energy GHG'!B25*'Energy GHG'!H2</f>
        <v>0</v>
      </c>
      <c r="C33" s="1359">
        <f t="shared" si="104"/>
        <v>0</v>
      </c>
      <c r="D33" s="1359">
        <f t="shared" si="105"/>
        <v>0</v>
      </c>
      <c r="E33" s="1359">
        <f t="shared" si="106"/>
        <v>0</v>
      </c>
      <c r="F33" s="1359">
        <f t="shared" si="107"/>
        <v>0</v>
      </c>
      <c r="G33" s="1359">
        <f t="shared" si="108"/>
        <v>0</v>
      </c>
      <c r="H33" s="1359">
        <f t="shared" si="109"/>
        <v>0</v>
      </c>
      <c r="I33" s="1359">
        <f t="shared" si="110"/>
        <v>0</v>
      </c>
      <c r="J33" s="1359">
        <f t="shared" si="111"/>
        <v>0</v>
      </c>
      <c r="K33" s="1359">
        <f t="shared" si="112"/>
        <v>0</v>
      </c>
      <c r="L33" s="1359">
        <f t="shared" si="113"/>
        <v>0</v>
      </c>
      <c r="M33" s="1359">
        <f t="shared" si="114"/>
        <v>0</v>
      </c>
      <c r="N33" s="1359">
        <f t="shared" si="115"/>
        <v>0</v>
      </c>
      <c r="O33" s="1359">
        <f t="shared" si="116"/>
        <v>0</v>
      </c>
      <c r="P33" s="1359">
        <f t="shared" si="117"/>
        <v>0</v>
      </c>
      <c r="Q33" s="1359">
        <f t="shared" si="118"/>
        <v>0</v>
      </c>
      <c r="R33" s="1359">
        <f t="shared" si="119"/>
        <v>0</v>
      </c>
      <c r="S33" s="1359">
        <f t="shared" si="120"/>
        <v>0</v>
      </c>
      <c r="T33" s="1359">
        <f t="shared" si="121"/>
        <v>0</v>
      </c>
      <c r="U33" s="1359">
        <f t="shared" si="122"/>
        <v>0</v>
      </c>
      <c r="V33" s="1359">
        <f t="shared" si="123"/>
        <v>0</v>
      </c>
      <c r="W33" s="1359">
        <f t="shared" si="124"/>
        <v>0</v>
      </c>
      <c r="X33" s="1359">
        <f t="shared" si="125"/>
        <v>0</v>
      </c>
      <c r="Y33" s="1359">
        <f t="shared" si="126"/>
        <v>0</v>
      </c>
      <c r="Z33" s="1359">
        <f t="shared" si="127"/>
        <v>0</v>
      </c>
      <c r="AA33" s="1359">
        <f t="shared" si="128"/>
        <v>0</v>
      </c>
      <c r="AB33" s="1359">
        <f t="shared" si="129"/>
        <v>0</v>
      </c>
      <c r="AC33" s="1360">
        <f>AB33</f>
        <v>0</v>
      </c>
      <c r="AD33" s="1885"/>
    </row>
    <row r="34" spans="1:30" x14ac:dyDescent="0.3">
      <c r="A34" s="1358" t="s">
        <v>4059</v>
      </c>
      <c r="B34" s="1358">
        <v>0.8</v>
      </c>
      <c r="C34" s="1358">
        <v>0</v>
      </c>
      <c r="D34" s="1358">
        <v>0</v>
      </c>
      <c r="E34" s="1358">
        <v>0</v>
      </c>
      <c r="F34" s="1358">
        <v>0</v>
      </c>
      <c r="G34" s="1358">
        <v>0</v>
      </c>
      <c r="H34" s="1358">
        <v>0</v>
      </c>
      <c r="I34" s="1358">
        <v>0</v>
      </c>
      <c r="J34" s="1358">
        <v>0</v>
      </c>
      <c r="K34" s="1358">
        <v>0</v>
      </c>
      <c r="L34" s="1358">
        <v>0</v>
      </c>
      <c r="M34" s="1358">
        <v>0</v>
      </c>
      <c r="N34" s="1358">
        <v>0</v>
      </c>
      <c r="O34" s="1358">
        <v>0</v>
      </c>
      <c r="P34" s="1358">
        <v>4.0999999999999996</v>
      </c>
      <c r="Q34" s="1358">
        <v>29.7</v>
      </c>
      <c r="R34" s="1358">
        <v>62.4</v>
      </c>
      <c r="S34" s="1358">
        <v>28.5</v>
      </c>
      <c r="T34" s="1358">
        <v>16.3</v>
      </c>
      <c r="U34" s="1358">
        <v>7.7</v>
      </c>
      <c r="V34" s="1358">
        <v>7.5</v>
      </c>
      <c r="W34" s="1358">
        <v>21</v>
      </c>
      <c r="X34" s="1358">
        <v>27</v>
      </c>
      <c r="Y34" s="1358">
        <v>26.1</v>
      </c>
      <c r="Z34" s="1358">
        <v>21.4</v>
      </c>
      <c r="AA34" s="1358">
        <v>20.2</v>
      </c>
      <c r="AB34" s="1358">
        <v>49.3</v>
      </c>
      <c r="AC34" s="1360"/>
      <c r="AD34" s="1352"/>
    </row>
    <row r="35" spans="1:30" x14ac:dyDescent="0.3">
      <c r="A35" t="s">
        <v>4058</v>
      </c>
      <c r="B35" s="1362">
        <f>(B34*0.000001)*'Energy GHG'!B21</f>
        <v>0</v>
      </c>
      <c r="C35" s="1362">
        <f>B35+(C34*0.000001)*'Energy GHG'!B21</f>
        <v>0</v>
      </c>
      <c r="D35" s="1362">
        <f>C35+(D34*0.000001)*'Energy GHG'!B21</f>
        <v>0</v>
      </c>
      <c r="E35" s="1362">
        <f>D35+(E34*0.000001)*'Energy GHG'!B21</f>
        <v>0</v>
      </c>
      <c r="F35" s="1362">
        <f>E35+(F34*0.000001)*'Energy GHG'!B21</f>
        <v>0</v>
      </c>
      <c r="G35" s="1362">
        <f>F35+(G34*0.000001)*'Energy GHG'!B21</f>
        <v>0</v>
      </c>
      <c r="H35" s="1362">
        <f>G35+(H34*0.000001)*'Energy GHG'!B21</f>
        <v>0</v>
      </c>
      <c r="I35" s="1362">
        <f>H35+(I34*0.000001)*'Energy GHG'!B21</f>
        <v>0</v>
      </c>
      <c r="J35" s="1362">
        <f>I35+(J34*0.000001)*'Energy GHG'!B21</f>
        <v>0</v>
      </c>
      <c r="K35" s="1362">
        <f>J35+(K34*0.000001)*'Energy GHG'!B21</f>
        <v>0</v>
      </c>
      <c r="L35" s="1362">
        <f>K35+(L34*0.000001)*'Energy GHG'!B21</f>
        <v>0</v>
      </c>
      <c r="M35" s="1362">
        <f>L35+(M34*0.000001)*'Energy GHG'!B21</f>
        <v>0</v>
      </c>
      <c r="N35" s="1362">
        <f>M35+(N34*0.000001)*'Energy GHG'!B21</f>
        <v>0</v>
      </c>
      <c r="O35" s="1362">
        <f>N35+(O34*0.000001)*'Energy GHG'!B21</f>
        <v>0</v>
      </c>
      <c r="P35" s="1362">
        <f>O35+(P34*0.000001)*'Energy GHG'!B21</f>
        <v>0</v>
      </c>
      <c r="Q35" s="1362">
        <f>P35+(Q34*0.000001)*'Energy GHG'!B21</f>
        <v>0</v>
      </c>
      <c r="R35" s="1362">
        <f>Q35+(R34*0.000001)*'Energy GHG'!B21</f>
        <v>0</v>
      </c>
      <c r="S35" s="1362">
        <f>R35+(S34*0.000001)*'Energy GHG'!B21</f>
        <v>0</v>
      </c>
      <c r="T35" s="1362">
        <f>S35+(T34*0.000001)*'Energy GHG'!B21</f>
        <v>0</v>
      </c>
      <c r="U35" s="1362">
        <f>T35+(U34*0.000001)*'Energy GHG'!B21</f>
        <v>0</v>
      </c>
      <c r="V35" s="1362">
        <f>U35+(V34*0.000001)*'Energy GHG'!B21</f>
        <v>0</v>
      </c>
      <c r="W35" s="1362">
        <f>V35+(W34*0.000001)*'Energy GHG'!B21</f>
        <v>0</v>
      </c>
      <c r="X35" s="1362">
        <f>W35+(X34*0.000001)*'Energy GHG'!B21</f>
        <v>0</v>
      </c>
      <c r="Y35" s="1362">
        <f>X35+(Y34*0.000001)*'Energy GHG'!B21</f>
        <v>0</v>
      </c>
      <c r="Z35" s="1362">
        <f>Y35+(Z34*0.000001)*'Energy GHG'!B21</f>
        <v>0</v>
      </c>
      <c r="AA35" s="1362">
        <f>Z35+(AA34*0.000001)*'Energy GHG'!B21</f>
        <v>0</v>
      </c>
      <c r="AB35" s="1362">
        <f>AA35+(AB34*0.000001)*'Energy GHG'!B21</f>
        <v>0</v>
      </c>
      <c r="AC35" s="1360">
        <f>AB35</f>
        <v>0</v>
      </c>
      <c r="AD35" s="1884">
        <f>SUM(AC35:AC39)</f>
        <v>0</v>
      </c>
    </row>
    <row r="36" spans="1:30" x14ac:dyDescent="0.3">
      <c r="A36" t="s">
        <v>4054</v>
      </c>
      <c r="B36" s="1362">
        <f>'Energy GHG'!B22*'Energy GHG'!E13</f>
        <v>0</v>
      </c>
      <c r="C36" s="1359">
        <f>B36+B36</f>
        <v>0</v>
      </c>
      <c r="D36" s="1359">
        <f>C36+B36</f>
        <v>0</v>
      </c>
      <c r="E36" s="1359">
        <f>D36+B36</f>
        <v>0</v>
      </c>
      <c r="F36" s="1359">
        <f>E36+B36</f>
        <v>0</v>
      </c>
      <c r="G36" s="1359">
        <f>F36+B36</f>
        <v>0</v>
      </c>
      <c r="H36" s="1359">
        <f>G36+B36</f>
        <v>0</v>
      </c>
      <c r="I36" s="1359">
        <f>H36+B36</f>
        <v>0</v>
      </c>
      <c r="J36" s="1359">
        <f>I36+B36</f>
        <v>0</v>
      </c>
      <c r="K36" s="1359">
        <f>J36+B36</f>
        <v>0</v>
      </c>
      <c r="L36" s="1359">
        <f>K36+B36</f>
        <v>0</v>
      </c>
      <c r="M36" s="1359">
        <f>L36+B36</f>
        <v>0</v>
      </c>
      <c r="N36" s="1359">
        <f>M36+B36</f>
        <v>0</v>
      </c>
      <c r="O36" s="1359">
        <f>N36+B36</f>
        <v>0</v>
      </c>
      <c r="P36" s="1359">
        <f>O36+B36</f>
        <v>0</v>
      </c>
      <c r="Q36" s="1359">
        <f>P36+B36</f>
        <v>0</v>
      </c>
      <c r="R36" s="1359">
        <f>Q36+B36</f>
        <v>0</v>
      </c>
      <c r="S36" s="1359">
        <f>R36+B36</f>
        <v>0</v>
      </c>
      <c r="T36" s="1359">
        <f>S36+B36</f>
        <v>0</v>
      </c>
      <c r="U36" s="1359">
        <f>T36+B36</f>
        <v>0</v>
      </c>
      <c r="V36" s="1359">
        <f>U36+B36</f>
        <v>0</v>
      </c>
      <c r="W36" s="1359">
        <f>V36+B36</f>
        <v>0</v>
      </c>
      <c r="X36" s="1359">
        <f>W36+B36</f>
        <v>0</v>
      </c>
      <c r="Y36" s="1359">
        <f>X36+B36</f>
        <v>0</v>
      </c>
      <c r="Z36" s="1359">
        <f>Y36+B36</f>
        <v>0</v>
      </c>
      <c r="AA36" s="1359">
        <f>Z36+B36</f>
        <v>0</v>
      </c>
      <c r="AB36" s="1359">
        <f>AA36+B36</f>
        <v>0</v>
      </c>
      <c r="AC36" s="1360">
        <f>AB36</f>
        <v>0</v>
      </c>
      <c r="AD36" s="1885"/>
    </row>
    <row r="37" spans="1:30" x14ac:dyDescent="0.3">
      <c r="A37" t="s">
        <v>4055</v>
      </c>
      <c r="B37" s="1362">
        <f>'Energy GHG'!B23*'Energy GHG'!F13</f>
        <v>0</v>
      </c>
      <c r="C37" s="1359">
        <f t="shared" ref="C37:C39" si="130">B37+B37</f>
        <v>0</v>
      </c>
      <c r="D37" s="1359">
        <f t="shared" ref="D37:D39" si="131">C37+B37</f>
        <v>0</v>
      </c>
      <c r="E37" s="1359">
        <f t="shared" ref="E37:E39" si="132">D37+B37</f>
        <v>0</v>
      </c>
      <c r="F37" s="1359">
        <f t="shared" ref="F37:F39" si="133">E37+B37</f>
        <v>0</v>
      </c>
      <c r="G37" s="1359">
        <f t="shared" ref="G37:G39" si="134">F37+B37</f>
        <v>0</v>
      </c>
      <c r="H37" s="1359">
        <f t="shared" ref="H37:H39" si="135">G37+B37</f>
        <v>0</v>
      </c>
      <c r="I37" s="1359">
        <f t="shared" ref="I37:I39" si="136">H37+B37</f>
        <v>0</v>
      </c>
      <c r="J37" s="1359">
        <f t="shared" ref="J37:J39" si="137">I37+B37</f>
        <v>0</v>
      </c>
      <c r="K37" s="1359">
        <f t="shared" ref="K37:K39" si="138">J37+B37</f>
        <v>0</v>
      </c>
      <c r="L37" s="1359">
        <f t="shared" ref="L37:L39" si="139">K37+B37</f>
        <v>0</v>
      </c>
      <c r="M37" s="1359">
        <f t="shared" ref="M37:M39" si="140">L37+B37</f>
        <v>0</v>
      </c>
      <c r="N37" s="1359">
        <f t="shared" ref="N37:N39" si="141">M37+B37</f>
        <v>0</v>
      </c>
      <c r="O37" s="1359">
        <f t="shared" ref="O37:O39" si="142">N37+B37</f>
        <v>0</v>
      </c>
      <c r="P37" s="1359">
        <f t="shared" ref="P37:P39" si="143">O37+B37</f>
        <v>0</v>
      </c>
      <c r="Q37" s="1359">
        <f t="shared" ref="Q37:Q39" si="144">P37+B37</f>
        <v>0</v>
      </c>
      <c r="R37" s="1359">
        <f t="shared" ref="R37:R39" si="145">Q37+B37</f>
        <v>0</v>
      </c>
      <c r="S37" s="1359">
        <f t="shared" ref="S37:S39" si="146">R37+B37</f>
        <v>0</v>
      </c>
      <c r="T37" s="1359">
        <f t="shared" ref="T37:T39" si="147">S37+B37</f>
        <v>0</v>
      </c>
      <c r="U37" s="1359">
        <f t="shared" ref="U37:U39" si="148">T37+B37</f>
        <v>0</v>
      </c>
      <c r="V37" s="1359">
        <f t="shared" ref="V37:V39" si="149">U37+B37</f>
        <v>0</v>
      </c>
      <c r="W37" s="1359">
        <f t="shared" ref="W37:W39" si="150">V37+B37</f>
        <v>0</v>
      </c>
      <c r="X37" s="1359">
        <f t="shared" ref="X37:X39" si="151">W37+B37</f>
        <v>0</v>
      </c>
      <c r="Y37" s="1359">
        <f t="shared" ref="Y37:Y39" si="152">X37+B37</f>
        <v>0</v>
      </c>
      <c r="Z37" s="1359">
        <f t="shared" ref="Z37:Z39" si="153">Y37+B37</f>
        <v>0</v>
      </c>
      <c r="AA37" s="1359">
        <f t="shared" ref="AA37:AA39" si="154">Z37+B37</f>
        <v>0</v>
      </c>
      <c r="AB37" s="1359">
        <f t="shared" ref="AB37:AB39" si="155">AA37+B37</f>
        <v>0</v>
      </c>
      <c r="AC37" s="1360">
        <f>AB37</f>
        <v>0</v>
      </c>
      <c r="AD37" s="1885"/>
    </row>
    <row r="38" spans="1:30" x14ac:dyDescent="0.3">
      <c r="A38" t="s">
        <v>4056</v>
      </c>
      <c r="B38" s="1362">
        <f>'Energy GHG'!B24*'Energy GHG'!G13</f>
        <v>0</v>
      </c>
      <c r="C38" s="1359">
        <f t="shared" si="130"/>
        <v>0</v>
      </c>
      <c r="D38" s="1359">
        <f t="shared" si="131"/>
        <v>0</v>
      </c>
      <c r="E38" s="1359">
        <f t="shared" si="132"/>
        <v>0</v>
      </c>
      <c r="F38" s="1359">
        <f t="shared" si="133"/>
        <v>0</v>
      </c>
      <c r="G38" s="1359">
        <f t="shared" si="134"/>
        <v>0</v>
      </c>
      <c r="H38" s="1359">
        <f t="shared" si="135"/>
        <v>0</v>
      </c>
      <c r="I38" s="1359">
        <f t="shared" si="136"/>
        <v>0</v>
      </c>
      <c r="J38" s="1359">
        <f t="shared" si="137"/>
        <v>0</v>
      </c>
      <c r="K38" s="1359">
        <f t="shared" si="138"/>
        <v>0</v>
      </c>
      <c r="L38" s="1359">
        <f t="shared" si="139"/>
        <v>0</v>
      </c>
      <c r="M38" s="1359">
        <f t="shared" si="140"/>
        <v>0</v>
      </c>
      <c r="N38" s="1359">
        <f t="shared" si="141"/>
        <v>0</v>
      </c>
      <c r="O38" s="1359">
        <f t="shared" si="142"/>
        <v>0</v>
      </c>
      <c r="P38" s="1359">
        <f t="shared" si="143"/>
        <v>0</v>
      </c>
      <c r="Q38" s="1359">
        <f t="shared" si="144"/>
        <v>0</v>
      </c>
      <c r="R38" s="1359">
        <f t="shared" si="145"/>
        <v>0</v>
      </c>
      <c r="S38" s="1359">
        <f t="shared" si="146"/>
        <v>0</v>
      </c>
      <c r="T38" s="1359">
        <f t="shared" si="147"/>
        <v>0</v>
      </c>
      <c r="U38" s="1359">
        <f t="shared" si="148"/>
        <v>0</v>
      </c>
      <c r="V38" s="1359">
        <f t="shared" si="149"/>
        <v>0</v>
      </c>
      <c r="W38" s="1359">
        <f t="shared" si="150"/>
        <v>0</v>
      </c>
      <c r="X38" s="1359">
        <f t="shared" si="151"/>
        <v>0</v>
      </c>
      <c r="Y38" s="1359">
        <f t="shared" si="152"/>
        <v>0</v>
      </c>
      <c r="Z38" s="1359">
        <f t="shared" si="153"/>
        <v>0</v>
      </c>
      <c r="AA38" s="1359">
        <f t="shared" si="154"/>
        <v>0</v>
      </c>
      <c r="AB38" s="1359">
        <f t="shared" si="155"/>
        <v>0</v>
      </c>
      <c r="AC38" s="1360">
        <f>AB38</f>
        <v>0</v>
      </c>
      <c r="AD38" s="1885"/>
    </row>
    <row r="39" spans="1:30" x14ac:dyDescent="0.3">
      <c r="A39" t="s">
        <v>4057</v>
      </c>
      <c r="B39" s="1362">
        <f>'Energy GHG'!B25*'Energy GHG'!H13</f>
        <v>0</v>
      </c>
      <c r="C39" s="1359">
        <f t="shared" si="130"/>
        <v>0</v>
      </c>
      <c r="D39" s="1359">
        <f t="shared" si="131"/>
        <v>0</v>
      </c>
      <c r="E39" s="1359">
        <f t="shared" si="132"/>
        <v>0</v>
      </c>
      <c r="F39" s="1359">
        <f t="shared" si="133"/>
        <v>0</v>
      </c>
      <c r="G39" s="1359">
        <f t="shared" si="134"/>
        <v>0</v>
      </c>
      <c r="H39" s="1359">
        <f t="shared" si="135"/>
        <v>0</v>
      </c>
      <c r="I39" s="1359">
        <f t="shared" si="136"/>
        <v>0</v>
      </c>
      <c r="J39" s="1359">
        <f t="shared" si="137"/>
        <v>0</v>
      </c>
      <c r="K39" s="1359">
        <f t="shared" si="138"/>
        <v>0</v>
      </c>
      <c r="L39" s="1359">
        <f t="shared" si="139"/>
        <v>0</v>
      </c>
      <c r="M39" s="1359">
        <f t="shared" si="140"/>
        <v>0</v>
      </c>
      <c r="N39" s="1359">
        <f t="shared" si="141"/>
        <v>0</v>
      </c>
      <c r="O39" s="1359">
        <f t="shared" si="142"/>
        <v>0</v>
      </c>
      <c r="P39" s="1359">
        <f t="shared" si="143"/>
        <v>0</v>
      </c>
      <c r="Q39" s="1359">
        <f t="shared" si="144"/>
        <v>0</v>
      </c>
      <c r="R39" s="1359">
        <f t="shared" si="145"/>
        <v>0</v>
      </c>
      <c r="S39" s="1359">
        <f t="shared" si="146"/>
        <v>0</v>
      </c>
      <c r="T39" s="1359">
        <f t="shared" si="147"/>
        <v>0</v>
      </c>
      <c r="U39" s="1359">
        <f t="shared" si="148"/>
        <v>0</v>
      </c>
      <c r="V39" s="1359">
        <f t="shared" si="149"/>
        <v>0</v>
      </c>
      <c r="W39" s="1359">
        <f t="shared" si="150"/>
        <v>0</v>
      </c>
      <c r="X39" s="1359">
        <f t="shared" si="151"/>
        <v>0</v>
      </c>
      <c r="Y39" s="1359">
        <f t="shared" si="152"/>
        <v>0</v>
      </c>
      <c r="Z39" s="1359">
        <f t="shared" si="153"/>
        <v>0</v>
      </c>
      <c r="AA39" s="1359">
        <f t="shared" si="154"/>
        <v>0</v>
      </c>
      <c r="AB39" s="1359">
        <f t="shared" si="155"/>
        <v>0</v>
      </c>
      <c r="AC39" s="1360">
        <f>AB39</f>
        <v>0</v>
      </c>
      <c r="AD39" s="1885"/>
    </row>
    <row r="40" spans="1:30" x14ac:dyDescent="0.3">
      <c r="A40" s="1358" t="s">
        <v>1214</v>
      </c>
      <c r="B40" s="1358">
        <v>546.79999999999995</v>
      </c>
      <c r="C40" s="1358">
        <v>479.1</v>
      </c>
      <c r="D40" s="1358">
        <v>453.5</v>
      </c>
      <c r="E40" s="1358">
        <v>419.5</v>
      </c>
      <c r="F40" s="1358">
        <v>394.5</v>
      </c>
      <c r="G40" s="1358">
        <v>165.3</v>
      </c>
      <c r="H40" s="1358">
        <v>115.5</v>
      </c>
      <c r="I40" s="1358">
        <v>91.6</v>
      </c>
      <c r="J40" s="1358">
        <v>93</v>
      </c>
      <c r="K40" s="1358">
        <v>76.5</v>
      </c>
      <c r="L40" s="1358">
        <v>65.400000000000006</v>
      </c>
      <c r="M40" s="1358">
        <v>1.2</v>
      </c>
      <c r="N40" s="1358">
        <v>-0.4</v>
      </c>
      <c r="O40" s="1358">
        <v>1.3</v>
      </c>
      <c r="P40" s="1358">
        <v>0</v>
      </c>
      <c r="Q40" s="1358">
        <v>0</v>
      </c>
      <c r="R40" s="1358">
        <v>0</v>
      </c>
      <c r="S40" s="1358">
        <v>0</v>
      </c>
      <c r="T40" s="1358">
        <v>0</v>
      </c>
      <c r="U40" s="1358">
        <v>0</v>
      </c>
      <c r="V40" s="1358">
        <v>0</v>
      </c>
      <c r="W40" s="1358">
        <v>0</v>
      </c>
      <c r="X40" s="1358">
        <v>0</v>
      </c>
      <c r="Y40" s="1358">
        <v>0</v>
      </c>
      <c r="Z40" s="1358">
        <v>0</v>
      </c>
      <c r="AA40" s="1358">
        <v>0</v>
      </c>
      <c r="AB40" s="1358">
        <v>0</v>
      </c>
      <c r="AC40" s="1360"/>
      <c r="AD40" s="1352"/>
    </row>
    <row r="41" spans="1:30" x14ac:dyDescent="0.3">
      <c r="A41" t="s">
        <v>4058</v>
      </c>
      <c r="B41" s="1363">
        <f>(B40*0.000001)*'Energy GHG'!B21</f>
        <v>0</v>
      </c>
      <c r="C41" s="1362">
        <f>B41+(C40*0.000001)*'Energy GHG'!B21</f>
        <v>0</v>
      </c>
      <c r="D41" s="1363">
        <f>C41+(D40*0.000001)*'Energy GHG'!B21</f>
        <v>0</v>
      </c>
      <c r="E41" s="1362">
        <f>D41+(E40*0.000001)*'Energy GHG'!B21</f>
        <v>0</v>
      </c>
      <c r="F41" s="1362">
        <f>E41+(F40*0.000001)*'Energy GHG'!B21</f>
        <v>0</v>
      </c>
      <c r="G41" s="1362">
        <f>F41+(G40*0.000001)*'Energy GHG'!B21</f>
        <v>0</v>
      </c>
      <c r="H41" s="1362">
        <f>G41+(H40*0.000001)*'Energy GHG'!B21</f>
        <v>0</v>
      </c>
      <c r="I41" s="1362">
        <f>H41+(I40*0.000001)*'Energy GHG'!B21</f>
        <v>0</v>
      </c>
      <c r="J41" s="1362">
        <f>I41+(J40*0.000001)*'Energy GHG'!B21</f>
        <v>0</v>
      </c>
      <c r="K41" s="1362">
        <f>J41+(K40*0.000001)*'Energy GHG'!B21</f>
        <v>0</v>
      </c>
      <c r="L41" s="1362">
        <f>K41+(L40*0.000001)*'Energy GHG'!B21</f>
        <v>0</v>
      </c>
      <c r="M41" s="1362">
        <f>L41+(M40*0.000001)*'Energy GHG'!B21</f>
        <v>0</v>
      </c>
      <c r="N41" s="1362">
        <f>M41+(N40*0.000001)*'Energy GHG'!B21</f>
        <v>0</v>
      </c>
      <c r="O41" s="1362">
        <f>N41+(O40*0.000001)*'Energy GHG'!B21</f>
        <v>0</v>
      </c>
      <c r="P41" s="1362">
        <f>O41+(P40*0.000001)*'Energy GHG'!B21</f>
        <v>0</v>
      </c>
      <c r="Q41" s="1362">
        <f>P41+(Q40*0.000001)*'Energy GHG'!B21</f>
        <v>0</v>
      </c>
      <c r="R41" s="1362">
        <f>Q41+(R40*0.000001)*'Energy GHG'!B21</f>
        <v>0</v>
      </c>
      <c r="S41" s="1362">
        <f>R41+(S40*0.000001)*'Energy GHG'!B21</f>
        <v>0</v>
      </c>
      <c r="T41" s="1362">
        <f>S41+(T40*0.000001)*'Energy GHG'!B21</f>
        <v>0</v>
      </c>
      <c r="U41" s="1362">
        <f>T41+(U40*0.000001)*'Energy GHG'!B21</f>
        <v>0</v>
      </c>
      <c r="V41" s="1362">
        <f>U41+(V40*0.000001)*'Energy GHG'!B21</f>
        <v>0</v>
      </c>
      <c r="W41" s="1362">
        <f>V41+(W40*0.000001)*'Energy GHG'!B21</f>
        <v>0</v>
      </c>
      <c r="X41" s="1362">
        <f>W41+(X40*0.000001)*'Energy GHG'!B21</f>
        <v>0</v>
      </c>
      <c r="Y41" s="1362">
        <f>X41+(Y40*0.000001)*'Energy GHG'!B21</f>
        <v>0</v>
      </c>
      <c r="Z41" s="1362">
        <f>Y41+(Z40*0.000001)*'Energy GHG'!B21</f>
        <v>0</v>
      </c>
      <c r="AA41" s="1362">
        <f>Z41+(AA40*0.000001)*'Energy GHG'!B21</f>
        <v>0</v>
      </c>
      <c r="AB41" s="1362">
        <f>AA41+(AB40*0.000001)*'Energy GHG'!B21</f>
        <v>0</v>
      </c>
      <c r="AC41" s="1360">
        <f>AB41</f>
        <v>0</v>
      </c>
      <c r="AD41" s="1884">
        <f>SUM(AC41:AC45)</f>
        <v>0</v>
      </c>
    </row>
    <row r="42" spans="1:30" x14ac:dyDescent="0.3">
      <c r="A42" t="s">
        <v>4054</v>
      </c>
      <c r="B42" s="1362">
        <f>'Energy GHG'!B22*'Energy GHG'!E4</f>
        <v>0</v>
      </c>
      <c r="C42" s="1359">
        <f>B42+B42</f>
        <v>0</v>
      </c>
      <c r="D42" s="1359">
        <f>C42+B42</f>
        <v>0</v>
      </c>
      <c r="E42" s="1359">
        <f>D42+B42</f>
        <v>0</v>
      </c>
      <c r="F42" s="1359">
        <f>E42+B42</f>
        <v>0</v>
      </c>
      <c r="G42" s="1359">
        <f>F42+B42</f>
        <v>0</v>
      </c>
      <c r="H42" s="1359">
        <f>G42+B42</f>
        <v>0</v>
      </c>
      <c r="I42" s="1359">
        <f>H42+B42</f>
        <v>0</v>
      </c>
      <c r="J42" s="1359">
        <f>I42+B42</f>
        <v>0</v>
      </c>
      <c r="K42" s="1359">
        <f>J42+B42</f>
        <v>0</v>
      </c>
      <c r="L42" s="1359">
        <f>K42+B42</f>
        <v>0</v>
      </c>
      <c r="M42" s="1359">
        <f>L42+B42</f>
        <v>0</v>
      </c>
      <c r="N42" s="1359">
        <f>M42+B42</f>
        <v>0</v>
      </c>
      <c r="O42" s="1359">
        <f>N42+B42</f>
        <v>0</v>
      </c>
      <c r="P42" s="1359">
        <f>O42+B42</f>
        <v>0</v>
      </c>
      <c r="Q42" s="1359">
        <f>P42+B42</f>
        <v>0</v>
      </c>
      <c r="R42" s="1359">
        <f>Q42+B42</f>
        <v>0</v>
      </c>
      <c r="S42" s="1359">
        <f>R42+B42</f>
        <v>0</v>
      </c>
      <c r="T42" s="1359">
        <f>S42+B42</f>
        <v>0</v>
      </c>
      <c r="U42" s="1359">
        <f>T42+B42</f>
        <v>0</v>
      </c>
      <c r="V42" s="1359">
        <f>U42+B42</f>
        <v>0</v>
      </c>
      <c r="W42" s="1359">
        <f>V42+B42</f>
        <v>0</v>
      </c>
      <c r="X42" s="1359">
        <f>W42+B42</f>
        <v>0</v>
      </c>
      <c r="Y42" s="1359">
        <f>X42+B42</f>
        <v>0</v>
      </c>
      <c r="Z42" s="1359">
        <f>Y42+B42</f>
        <v>0</v>
      </c>
      <c r="AA42" s="1359">
        <f>Z42+B42</f>
        <v>0</v>
      </c>
      <c r="AB42" s="1359">
        <f>AA42+B42</f>
        <v>0</v>
      </c>
      <c r="AC42" s="1360">
        <f>AB42</f>
        <v>0</v>
      </c>
      <c r="AD42" s="1885"/>
    </row>
    <row r="43" spans="1:30" x14ac:dyDescent="0.3">
      <c r="A43" t="s">
        <v>4055</v>
      </c>
      <c r="B43" s="1362">
        <f>'Energy GHG'!B23*'Energy GHG'!F4</f>
        <v>0</v>
      </c>
      <c r="C43" s="1359">
        <f t="shared" ref="C43:C45" si="156">B43+B43</f>
        <v>0</v>
      </c>
      <c r="D43" s="1359">
        <f t="shared" ref="D43:D45" si="157">C43+B43</f>
        <v>0</v>
      </c>
      <c r="E43" s="1359">
        <f t="shared" ref="E43:E45" si="158">D43+B43</f>
        <v>0</v>
      </c>
      <c r="F43" s="1359">
        <f t="shared" ref="F43:F45" si="159">E43+B43</f>
        <v>0</v>
      </c>
      <c r="G43" s="1359">
        <f t="shared" ref="G43:G45" si="160">F43+B43</f>
        <v>0</v>
      </c>
      <c r="H43" s="1359">
        <f t="shared" ref="H43:H45" si="161">G43+B43</f>
        <v>0</v>
      </c>
      <c r="I43" s="1359">
        <f t="shared" ref="I43:I45" si="162">H43+B43</f>
        <v>0</v>
      </c>
      <c r="J43" s="1359">
        <f t="shared" ref="J43:J45" si="163">I43+B43</f>
        <v>0</v>
      </c>
      <c r="K43" s="1359">
        <f t="shared" ref="K43:K45" si="164">J43+B43</f>
        <v>0</v>
      </c>
      <c r="L43" s="1359">
        <f t="shared" ref="L43:L45" si="165">K43+B43</f>
        <v>0</v>
      </c>
      <c r="M43" s="1359">
        <f t="shared" ref="M43:M45" si="166">L43+B43</f>
        <v>0</v>
      </c>
      <c r="N43" s="1359">
        <f t="shared" ref="N43:N45" si="167">M43+B43</f>
        <v>0</v>
      </c>
      <c r="O43" s="1359">
        <f t="shared" ref="O43:O45" si="168">N43+B43</f>
        <v>0</v>
      </c>
      <c r="P43" s="1359">
        <f t="shared" ref="P43:P45" si="169">O43+B43</f>
        <v>0</v>
      </c>
      <c r="Q43" s="1359">
        <f t="shared" ref="Q43:Q45" si="170">P43+B43</f>
        <v>0</v>
      </c>
      <c r="R43" s="1359">
        <f t="shared" ref="R43:R45" si="171">Q43+B43</f>
        <v>0</v>
      </c>
      <c r="S43" s="1359">
        <f t="shared" ref="S43:S45" si="172">R43+B43</f>
        <v>0</v>
      </c>
      <c r="T43" s="1359">
        <f t="shared" ref="T43:T45" si="173">S43+B43</f>
        <v>0</v>
      </c>
      <c r="U43" s="1359">
        <f t="shared" ref="U43:U45" si="174">T43+B43</f>
        <v>0</v>
      </c>
      <c r="V43" s="1359">
        <f t="shared" ref="V43:V45" si="175">U43+B43</f>
        <v>0</v>
      </c>
      <c r="W43" s="1359">
        <f t="shared" ref="W43:W45" si="176">V43+B43</f>
        <v>0</v>
      </c>
      <c r="X43" s="1359">
        <f t="shared" ref="X43:X45" si="177">W43+B43</f>
        <v>0</v>
      </c>
      <c r="Y43" s="1359">
        <f t="shared" ref="Y43:Y45" si="178">X43+B43</f>
        <v>0</v>
      </c>
      <c r="Z43" s="1359">
        <f t="shared" ref="Z43:Z45" si="179">Y43+B43</f>
        <v>0</v>
      </c>
      <c r="AA43" s="1359">
        <f t="shared" ref="AA43:AA45" si="180">Z43+B43</f>
        <v>0</v>
      </c>
      <c r="AB43" s="1359">
        <f t="shared" ref="AB43:AB45" si="181">AA43+B43</f>
        <v>0</v>
      </c>
      <c r="AC43" s="1360">
        <f>AB43</f>
        <v>0</v>
      </c>
      <c r="AD43" s="1885"/>
    </row>
    <row r="44" spans="1:30" x14ac:dyDescent="0.3">
      <c r="A44" t="s">
        <v>4056</v>
      </c>
      <c r="B44" s="1362">
        <f>'Energy GHG'!B24*'Energy GHG'!G4</f>
        <v>0</v>
      </c>
      <c r="C44" s="1359">
        <f t="shared" si="156"/>
        <v>0</v>
      </c>
      <c r="D44" s="1359">
        <f t="shared" si="157"/>
        <v>0</v>
      </c>
      <c r="E44" s="1359">
        <f t="shared" si="158"/>
        <v>0</v>
      </c>
      <c r="F44" s="1359">
        <f t="shared" si="159"/>
        <v>0</v>
      </c>
      <c r="G44" s="1359">
        <f t="shared" si="160"/>
        <v>0</v>
      </c>
      <c r="H44" s="1359">
        <f t="shared" si="161"/>
        <v>0</v>
      </c>
      <c r="I44" s="1359">
        <f t="shared" si="162"/>
        <v>0</v>
      </c>
      <c r="J44" s="1359">
        <f t="shared" si="163"/>
        <v>0</v>
      </c>
      <c r="K44" s="1359">
        <f t="shared" si="164"/>
        <v>0</v>
      </c>
      <c r="L44" s="1359">
        <f t="shared" si="165"/>
        <v>0</v>
      </c>
      <c r="M44" s="1359">
        <f t="shared" si="166"/>
        <v>0</v>
      </c>
      <c r="N44" s="1359">
        <f t="shared" si="167"/>
        <v>0</v>
      </c>
      <c r="O44" s="1359">
        <f t="shared" si="168"/>
        <v>0</v>
      </c>
      <c r="P44" s="1359">
        <f t="shared" si="169"/>
        <v>0</v>
      </c>
      <c r="Q44" s="1359">
        <f t="shared" si="170"/>
        <v>0</v>
      </c>
      <c r="R44" s="1359">
        <f t="shared" si="171"/>
        <v>0</v>
      </c>
      <c r="S44" s="1359">
        <f t="shared" si="172"/>
        <v>0</v>
      </c>
      <c r="T44" s="1359">
        <f t="shared" si="173"/>
        <v>0</v>
      </c>
      <c r="U44" s="1359">
        <f t="shared" si="174"/>
        <v>0</v>
      </c>
      <c r="V44" s="1359">
        <f t="shared" si="175"/>
        <v>0</v>
      </c>
      <c r="W44" s="1359">
        <f t="shared" si="176"/>
        <v>0</v>
      </c>
      <c r="X44" s="1359">
        <f t="shared" si="177"/>
        <v>0</v>
      </c>
      <c r="Y44" s="1359">
        <f t="shared" si="178"/>
        <v>0</v>
      </c>
      <c r="Z44" s="1359">
        <f t="shared" si="179"/>
        <v>0</v>
      </c>
      <c r="AA44" s="1359">
        <f t="shared" si="180"/>
        <v>0</v>
      </c>
      <c r="AB44" s="1359">
        <f t="shared" si="181"/>
        <v>0</v>
      </c>
      <c r="AC44" s="1360">
        <f>AB44</f>
        <v>0</v>
      </c>
      <c r="AD44" s="1885"/>
    </row>
    <row r="45" spans="1:30" x14ac:dyDescent="0.3">
      <c r="A45" t="s">
        <v>4057</v>
      </c>
      <c r="B45" s="1362">
        <f>'Energy GHG'!B25*'Energy GHG'!H4</f>
        <v>0</v>
      </c>
      <c r="C45" s="1359">
        <f t="shared" si="156"/>
        <v>0</v>
      </c>
      <c r="D45" s="1359">
        <f t="shared" si="157"/>
        <v>0</v>
      </c>
      <c r="E45" s="1359">
        <f t="shared" si="158"/>
        <v>0</v>
      </c>
      <c r="F45" s="1359">
        <f t="shared" si="159"/>
        <v>0</v>
      </c>
      <c r="G45" s="1359">
        <f t="shared" si="160"/>
        <v>0</v>
      </c>
      <c r="H45" s="1359">
        <f t="shared" si="161"/>
        <v>0</v>
      </c>
      <c r="I45" s="1359">
        <f t="shared" si="162"/>
        <v>0</v>
      </c>
      <c r="J45" s="1359">
        <f t="shared" si="163"/>
        <v>0</v>
      </c>
      <c r="K45" s="1359">
        <f t="shared" si="164"/>
        <v>0</v>
      </c>
      <c r="L45" s="1359">
        <f t="shared" si="165"/>
        <v>0</v>
      </c>
      <c r="M45" s="1359">
        <f t="shared" si="166"/>
        <v>0</v>
      </c>
      <c r="N45" s="1359">
        <f t="shared" si="167"/>
        <v>0</v>
      </c>
      <c r="O45" s="1359">
        <f t="shared" si="168"/>
        <v>0</v>
      </c>
      <c r="P45" s="1359">
        <f t="shared" si="169"/>
        <v>0</v>
      </c>
      <c r="Q45" s="1359">
        <f t="shared" si="170"/>
        <v>0</v>
      </c>
      <c r="R45" s="1359">
        <f t="shared" si="171"/>
        <v>0</v>
      </c>
      <c r="S45" s="1359">
        <f t="shared" si="172"/>
        <v>0</v>
      </c>
      <c r="T45" s="1359">
        <f t="shared" si="173"/>
        <v>0</v>
      </c>
      <c r="U45" s="1359">
        <f t="shared" si="174"/>
        <v>0</v>
      </c>
      <c r="V45" s="1359">
        <f t="shared" si="175"/>
        <v>0</v>
      </c>
      <c r="W45" s="1359">
        <f t="shared" si="176"/>
        <v>0</v>
      </c>
      <c r="X45" s="1359">
        <f t="shared" si="177"/>
        <v>0</v>
      </c>
      <c r="Y45" s="1359">
        <f t="shared" si="178"/>
        <v>0</v>
      </c>
      <c r="Z45" s="1359">
        <f t="shared" si="179"/>
        <v>0</v>
      </c>
      <c r="AA45" s="1359">
        <f t="shared" si="180"/>
        <v>0</v>
      </c>
      <c r="AB45" s="1359">
        <f t="shared" si="181"/>
        <v>0</v>
      </c>
      <c r="AC45" s="1360">
        <f>AB45</f>
        <v>0</v>
      </c>
      <c r="AD45" s="1885"/>
    </row>
    <row r="46" spans="1:30" x14ac:dyDescent="0.3">
      <c r="A46" s="1358" t="s">
        <v>1202</v>
      </c>
      <c r="B46" s="1358">
        <v>703</v>
      </c>
      <c r="C46" s="1358">
        <v>511.4</v>
      </c>
      <c r="D46" s="1358">
        <v>523.5</v>
      </c>
      <c r="E46" s="1358">
        <v>533.70000000000005</v>
      </c>
      <c r="F46" s="1358">
        <v>543.70000000000005</v>
      </c>
      <c r="G46" s="1358">
        <v>538.6</v>
      </c>
      <c r="H46" s="1358">
        <v>538.70000000000005</v>
      </c>
      <c r="I46" s="1358">
        <v>529.6</v>
      </c>
      <c r="J46" s="1358">
        <v>537.70000000000005</v>
      </c>
      <c r="K46" s="1358">
        <v>538.6</v>
      </c>
      <c r="L46" s="1358">
        <v>552.70000000000005</v>
      </c>
      <c r="M46" s="1358">
        <v>561</v>
      </c>
      <c r="N46" s="1358">
        <v>564.5</v>
      </c>
      <c r="O46" s="1358">
        <v>561.20000000000005</v>
      </c>
      <c r="P46" s="1358">
        <v>539.20000000000005</v>
      </c>
      <c r="Q46" s="1358">
        <v>540.9</v>
      </c>
      <c r="R46" s="1358">
        <v>509.6</v>
      </c>
      <c r="S46" s="1358">
        <v>478.1</v>
      </c>
      <c r="T46" s="1358">
        <v>447.7</v>
      </c>
      <c r="U46" s="1358">
        <v>440.5</v>
      </c>
      <c r="V46" s="1358">
        <v>423.3</v>
      </c>
      <c r="W46" s="1358">
        <v>416.3</v>
      </c>
      <c r="X46" s="1358">
        <v>407.4</v>
      </c>
      <c r="Y46" s="1358">
        <v>398.5</v>
      </c>
      <c r="Z46" s="1358">
        <v>388.7</v>
      </c>
      <c r="AA46" s="1358">
        <v>387.3</v>
      </c>
      <c r="AB46" s="1358">
        <v>379.6</v>
      </c>
      <c r="AC46" s="1360"/>
      <c r="AD46" s="1352"/>
    </row>
    <row r="47" spans="1:30" x14ac:dyDescent="0.3">
      <c r="A47" t="s">
        <v>4058</v>
      </c>
      <c r="B47" s="1359">
        <f>(B46*0.000001)*'Energy GHG'!B21</f>
        <v>0</v>
      </c>
      <c r="C47" s="1359">
        <f>B47+(C46*0.000001)*'Energy GHG'!B21</f>
        <v>0</v>
      </c>
      <c r="D47" s="1359">
        <f>C47+(D46*0.000001)*'Energy GHG'!B21</f>
        <v>0</v>
      </c>
      <c r="E47" s="1359">
        <f>D47+(E46*0.000001)*'Energy GHG'!B21</f>
        <v>0</v>
      </c>
      <c r="F47" s="1359">
        <f>E47+(F46*0.000001)*'Energy GHG'!B21</f>
        <v>0</v>
      </c>
      <c r="G47" s="1359">
        <f>F47+(G46*0.000001)*'Energy GHG'!B21</f>
        <v>0</v>
      </c>
      <c r="H47" s="1359">
        <f>G47+(H46*0.000001)*'Energy GHG'!B21</f>
        <v>0</v>
      </c>
      <c r="I47" s="1359">
        <f>H47+(I46*0.000001)*'Energy GHG'!B21</f>
        <v>0</v>
      </c>
      <c r="J47" s="1359">
        <f>I47+(J46*0.000001)*'Energy GHG'!B21</f>
        <v>0</v>
      </c>
      <c r="K47" s="1359">
        <f>J47+(K46*0.000001)*'Energy GHG'!B21</f>
        <v>0</v>
      </c>
      <c r="L47" s="1359">
        <f>K47+(L46*0.000001)*'Energy GHG'!B21</f>
        <v>0</v>
      </c>
      <c r="M47" s="1359">
        <f>L47+(M46*0.000001)*'Energy GHG'!B21</f>
        <v>0</v>
      </c>
      <c r="N47" s="1359">
        <f>M47+(N46*0.000001)*'Energy GHG'!B21</f>
        <v>0</v>
      </c>
      <c r="O47" s="1359">
        <f>N47+(O46*0.000001)*'Energy GHG'!B21</f>
        <v>0</v>
      </c>
      <c r="P47" s="1359">
        <f>O47+(P46*0.000001)*'Energy GHG'!B21</f>
        <v>0</v>
      </c>
      <c r="Q47" s="1359">
        <f>P47+(Q46*0.000001)*'Energy GHG'!B21</f>
        <v>0</v>
      </c>
      <c r="R47" s="1359">
        <f>Q47+(R46*0.000001)*'Energy GHG'!B21</f>
        <v>0</v>
      </c>
      <c r="S47" s="1359">
        <f>R47+(S46*0.000001)*'Energy GHG'!B21</f>
        <v>0</v>
      </c>
      <c r="T47" s="1359">
        <f>S47+(T46*0.000001)*'Energy GHG'!B21</f>
        <v>0</v>
      </c>
      <c r="U47" s="1359">
        <f>T47+(U46*0.000001)*'Energy GHG'!B21</f>
        <v>0</v>
      </c>
      <c r="V47" s="1359">
        <f>U47+(V46*0.000001)*'Energy GHG'!B21</f>
        <v>0</v>
      </c>
      <c r="W47" s="1359">
        <f>V47+(W46*0.000001)*'Energy GHG'!B21</f>
        <v>0</v>
      </c>
      <c r="X47" s="1359">
        <f>W47+(X46*0.000001)*'Energy GHG'!B21</f>
        <v>0</v>
      </c>
      <c r="Y47" s="1359">
        <f>X47+(Y46*0.000001)*'Energy GHG'!B21</f>
        <v>0</v>
      </c>
      <c r="Z47" s="1359">
        <f>Y47+(Z46*0.000001)*'Energy GHG'!B21</f>
        <v>0</v>
      </c>
      <c r="AA47" s="1359">
        <f>Z47+(AA46*0.000001)*'Energy GHG'!B21</f>
        <v>0</v>
      </c>
      <c r="AB47" s="1359">
        <f>AA47+(AB46*0.000001)*'Energy GHG'!B21</f>
        <v>0</v>
      </c>
      <c r="AC47" s="1360">
        <f>AB47</f>
        <v>0</v>
      </c>
      <c r="AD47" s="1884">
        <f>SUM(AC47:AC51)</f>
        <v>0</v>
      </c>
    </row>
    <row r="48" spans="1:30" x14ac:dyDescent="0.3">
      <c r="A48" t="s">
        <v>4054</v>
      </c>
      <c r="B48" s="1359">
        <f>'Energy GHG'!B22*'Energy GHG'!E14</f>
        <v>0</v>
      </c>
      <c r="C48" s="1359">
        <f>B48+B48</f>
        <v>0</v>
      </c>
      <c r="D48" s="1359">
        <f>C48+B48</f>
        <v>0</v>
      </c>
      <c r="E48" s="1359">
        <f>D48+B48</f>
        <v>0</v>
      </c>
      <c r="F48" s="1359">
        <f>E48+B48</f>
        <v>0</v>
      </c>
      <c r="G48" s="1359">
        <f>F48+B48</f>
        <v>0</v>
      </c>
      <c r="H48" s="1359">
        <f>G48+B48</f>
        <v>0</v>
      </c>
      <c r="I48" s="1359">
        <f>H48+B48</f>
        <v>0</v>
      </c>
      <c r="J48" s="1359">
        <f>I48+B48</f>
        <v>0</v>
      </c>
      <c r="K48" s="1359">
        <f>J48+B48</f>
        <v>0</v>
      </c>
      <c r="L48" s="1359">
        <f>K48+B48</f>
        <v>0</v>
      </c>
      <c r="M48" s="1359">
        <f>L48+B48</f>
        <v>0</v>
      </c>
      <c r="N48" s="1359">
        <f>M48+B48</f>
        <v>0</v>
      </c>
      <c r="O48" s="1359">
        <f>N48+B48</f>
        <v>0</v>
      </c>
      <c r="P48" s="1359">
        <f>O48+B48</f>
        <v>0</v>
      </c>
      <c r="Q48" s="1359">
        <f>P48+B48</f>
        <v>0</v>
      </c>
      <c r="R48" s="1359">
        <f>Q48+B48</f>
        <v>0</v>
      </c>
      <c r="S48" s="1359">
        <f>R48+B48</f>
        <v>0</v>
      </c>
      <c r="T48" s="1359">
        <f>S48+B48</f>
        <v>0</v>
      </c>
      <c r="U48" s="1359">
        <f>T48+B48</f>
        <v>0</v>
      </c>
      <c r="V48" s="1359">
        <f>U48+B48</f>
        <v>0</v>
      </c>
      <c r="W48" s="1359">
        <f>V48+B48</f>
        <v>0</v>
      </c>
      <c r="X48" s="1359">
        <f>W48+B48</f>
        <v>0</v>
      </c>
      <c r="Y48" s="1359">
        <f>X48+B48</f>
        <v>0</v>
      </c>
      <c r="Z48" s="1359">
        <f>Y48+B48</f>
        <v>0</v>
      </c>
      <c r="AA48" s="1359">
        <f>Z48+B48</f>
        <v>0</v>
      </c>
      <c r="AB48" s="1359">
        <f>AA48+B48</f>
        <v>0</v>
      </c>
      <c r="AC48" s="1360">
        <f>AB48</f>
        <v>0</v>
      </c>
      <c r="AD48" s="1885"/>
    </row>
    <row r="49" spans="1:30" x14ac:dyDescent="0.3">
      <c r="A49" t="s">
        <v>4055</v>
      </c>
      <c r="B49" s="1359">
        <f>'Energy GHG'!B23*'Energy GHG'!F14</f>
        <v>0</v>
      </c>
      <c r="C49" s="1359">
        <f t="shared" ref="C49:C51" si="182">B49+B49</f>
        <v>0</v>
      </c>
      <c r="D49" s="1359">
        <f t="shared" ref="D49:D51" si="183">C49+B49</f>
        <v>0</v>
      </c>
      <c r="E49" s="1359">
        <f t="shared" ref="E49:E51" si="184">D49+B49</f>
        <v>0</v>
      </c>
      <c r="F49" s="1359">
        <f t="shared" ref="F49:F51" si="185">E49+B49</f>
        <v>0</v>
      </c>
      <c r="G49" s="1359">
        <f t="shared" ref="G49:G51" si="186">F49+B49</f>
        <v>0</v>
      </c>
      <c r="H49" s="1359">
        <f t="shared" ref="H49:H51" si="187">G49+B49</f>
        <v>0</v>
      </c>
      <c r="I49" s="1359">
        <f t="shared" ref="I49:I51" si="188">H49+B49</f>
        <v>0</v>
      </c>
      <c r="J49" s="1359">
        <f t="shared" ref="J49:J51" si="189">I49+B49</f>
        <v>0</v>
      </c>
      <c r="K49" s="1359">
        <f t="shared" ref="K49:K51" si="190">J49+B49</f>
        <v>0</v>
      </c>
      <c r="L49" s="1359">
        <f t="shared" ref="L49:L51" si="191">K49+B49</f>
        <v>0</v>
      </c>
      <c r="M49" s="1359">
        <f t="shared" ref="M49:M51" si="192">L49+B49</f>
        <v>0</v>
      </c>
      <c r="N49" s="1359">
        <f t="shared" ref="N49:N51" si="193">M49+B49</f>
        <v>0</v>
      </c>
      <c r="O49" s="1359">
        <f t="shared" ref="O49:O51" si="194">N49+B49</f>
        <v>0</v>
      </c>
      <c r="P49" s="1359">
        <f t="shared" ref="P49:P51" si="195">O49+B49</f>
        <v>0</v>
      </c>
      <c r="Q49" s="1359">
        <f t="shared" ref="Q49:Q51" si="196">P49+B49</f>
        <v>0</v>
      </c>
      <c r="R49" s="1359">
        <f t="shared" ref="R49:R51" si="197">Q49+B49</f>
        <v>0</v>
      </c>
      <c r="S49" s="1359">
        <f t="shared" ref="S49:S51" si="198">R49+B49</f>
        <v>0</v>
      </c>
      <c r="T49" s="1359">
        <f t="shared" ref="T49:T51" si="199">S49+B49</f>
        <v>0</v>
      </c>
      <c r="U49" s="1359">
        <f t="shared" ref="U49:U51" si="200">T49+B49</f>
        <v>0</v>
      </c>
      <c r="V49" s="1359">
        <f t="shared" ref="V49:V51" si="201">U49+B49</f>
        <v>0</v>
      </c>
      <c r="W49" s="1359">
        <f t="shared" ref="W49:W51" si="202">V49+B49</f>
        <v>0</v>
      </c>
      <c r="X49" s="1359">
        <f t="shared" ref="X49:X51" si="203">W49+B49</f>
        <v>0</v>
      </c>
      <c r="Y49" s="1359">
        <f t="shared" ref="Y49:Y51" si="204">X49+B49</f>
        <v>0</v>
      </c>
      <c r="Z49" s="1359">
        <f t="shared" ref="Z49:Z51" si="205">Y49+B49</f>
        <v>0</v>
      </c>
      <c r="AA49" s="1359">
        <f t="shared" ref="AA49:AA51" si="206">Z49+B49</f>
        <v>0</v>
      </c>
      <c r="AB49" s="1359">
        <f t="shared" ref="AB49:AB51" si="207">AA49+B49</f>
        <v>0</v>
      </c>
      <c r="AC49" s="1360">
        <f>AB49</f>
        <v>0</v>
      </c>
      <c r="AD49" s="1885"/>
    </row>
    <row r="50" spans="1:30" x14ac:dyDescent="0.3">
      <c r="A50" t="s">
        <v>4056</v>
      </c>
      <c r="B50" s="1359">
        <f>'Energy GHG'!B24*'Energy GHG'!G14</f>
        <v>0</v>
      </c>
      <c r="C50" s="1359">
        <f t="shared" si="182"/>
        <v>0</v>
      </c>
      <c r="D50" s="1359">
        <f t="shared" si="183"/>
        <v>0</v>
      </c>
      <c r="E50" s="1359">
        <f t="shared" si="184"/>
        <v>0</v>
      </c>
      <c r="F50" s="1359">
        <f t="shared" si="185"/>
        <v>0</v>
      </c>
      <c r="G50" s="1359">
        <f t="shared" si="186"/>
        <v>0</v>
      </c>
      <c r="H50" s="1359">
        <f t="shared" si="187"/>
        <v>0</v>
      </c>
      <c r="I50" s="1359">
        <f t="shared" si="188"/>
        <v>0</v>
      </c>
      <c r="J50" s="1359">
        <f t="shared" si="189"/>
        <v>0</v>
      </c>
      <c r="K50" s="1359">
        <f t="shared" si="190"/>
        <v>0</v>
      </c>
      <c r="L50" s="1359">
        <f t="shared" si="191"/>
        <v>0</v>
      </c>
      <c r="M50" s="1359">
        <f t="shared" si="192"/>
        <v>0</v>
      </c>
      <c r="N50" s="1359">
        <f t="shared" si="193"/>
        <v>0</v>
      </c>
      <c r="O50" s="1359">
        <f t="shared" si="194"/>
        <v>0</v>
      </c>
      <c r="P50" s="1359">
        <f t="shared" si="195"/>
        <v>0</v>
      </c>
      <c r="Q50" s="1359">
        <f t="shared" si="196"/>
        <v>0</v>
      </c>
      <c r="R50" s="1359">
        <f t="shared" si="197"/>
        <v>0</v>
      </c>
      <c r="S50" s="1359">
        <f t="shared" si="198"/>
        <v>0</v>
      </c>
      <c r="T50" s="1359">
        <f t="shared" si="199"/>
        <v>0</v>
      </c>
      <c r="U50" s="1359">
        <f t="shared" si="200"/>
        <v>0</v>
      </c>
      <c r="V50" s="1359">
        <f t="shared" si="201"/>
        <v>0</v>
      </c>
      <c r="W50" s="1359">
        <f t="shared" si="202"/>
        <v>0</v>
      </c>
      <c r="X50" s="1359">
        <f t="shared" si="203"/>
        <v>0</v>
      </c>
      <c r="Y50" s="1359">
        <f t="shared" si="204"/>
        <v>0</v>
      </c>
      <c r="Z50" s="1359">
        <f t="shared" si="205"/>
        <v>0</v>
      </c>
      <c r="AA50" s="1359">
        <f t="shared" si="206"/>
        <v>0</v>
      </c>
      <c r="AB50" s="1359">
        <f t="shared" si="207"/>
        <v>0</v>
      </c>
      <c r="AC50" s="1360">
        <f>AB50</f>
        <v>0</v>
      </c>
      <c r="AD50" s="1885"/>
    </row>
    <row r="51" spans="1:30" x14ac:dyDescent="0.3">
      <c r="A51" t="s">
        <v>4057</v>
      </c>
      <c r="B51" s="1359">
        <f>'Energy GHG'!B25*'Energy GHG'!H14</f>
        <v>0</v>
      </c>
      <c r="C51" s="1359">
        <f t="shared" si="182"/>
        <v>0</v>
      </c>
      <c r="D51" s="1359">
        <f t="shared" si="183"/>
        <v>0</v>
      </c>
      <c r="E51" s="1359">
        <f t="shared" si="184"/>
        <v>0</v>
      </c>
      <c r="F51" s="1359">
        <f t="shared" si="185"/>
        <v>0</v>
      </c>
      <c r="G51" s="1359">
        <f t="shared" si="186"/>
        <v>0</v>
      </c>
      <c r="H51" s="1359">
        <f t="shared" si="187"/>
        <v>0</v>
      </c>
      <c r="I51" s="1359">
        <f t="shared" si="188"/>
        <v>0</v>
      </c>
      <c r="J51" s="1359">
        <f t="shared" si="189"/>
        <v>0</v>
      </c>
      <c r="K51" s="1359">
        <f t="shared" si="190"/>
        <v>0</v>
      </c>
      <c r="L51" s="1359">
        <f t="shared" si="191"/>
        <v>0</v>
      </c>
      <c r="M51" s="1359">
        <f t="shared" si="192"/>
        <v>0</v>
      </c>
      <c r="N51" s="1359">
        <f t="shared" si="193"/>
        <v>0</v>
      </c>
      <c r="O51" s="1359">
        <f t="shared" si="194"/>
        <v>0</v>
      </c>
      <c r="P51" s="1359">
        <f t="shared" si="195"/>
        <v>0</v>
      </c>
      <c r="Q51" s="1359">
        <f t="shared" si="196"/>
        <v>0</v>
      </c>
      <c r="R51" s="1359">
        <f t="shared" si="197"/>
        <v>0</v>
      </c>
      <c r="S51" s="1359">
        <f t="shared" si="198"/>
        <v>0</v>
      </c>
      <c r="T51" s="1359">
        <f t="shared" si="199"/>
        <v>0</v>
      </c>
      <c r="U51" s="1359">
        <f t="shared" si="200"/>
        <v>0</v>
      </c>
      <c r="V51" s="1359">
        <f t="shared" si="201"/>
        <v>0</v>
      </c>
      <c r="W51" s="1359">
        <f t="shared" si="202"/>
        <v>0</v>
      </c>
      <c r="X51" s="1359">
        <f t="shared" si="203"/>
        <v>0</v>
      </c>
      <c r="Y51" s="1359">
        <f t="shared" si="204"/>
        <v>0</v>
      </c>
      <c r="Z51" s="1359">
        <f t="shared" si="205"/>
        <v>0</v>
      </c>
      <c r="AA51" s="1359">
        <f t="shared" si="206"/>
        <v>0</v>
      </c>
      <c r="AB51" s="1359">
        <f t="shared" si="207"/>
        <v>0</v>
      </c>
      <c r="AC51" s="1360">
        <f>AB51</f>
        <v>0</v>
      </c>
      <c r="AD51" s="1885"/>
    </row>
    <row r="52" spans="1:30" x14ac:dyDescent="0.3">
      <c r="A52" s="1358" t="s">
        <v>1110</v>
      </c>
      <c r="B52" s="1358">
        <v>65.5</v>
      </c>
      <c r="C52" s="1358">
        <v>87.8</v>
      </c>
      <c r="D52" s="1358">
        <v>76.7</v>
      </c>
      <c r="E52" s="1358">
        <v>87.1</v>
      </c>
      <c r="F52" s="1358">
        <v>75.400000000000006</v>
      </c>
      <c r="G52" s="1358">
        <v>69.3</v>
      </c>
      <c r="H52" s="1358">
        <v>48.1</v>
      </c>
      <c r="I52" s="1358">
        <v>24.7</v>
      </c>
      <c r="J52" s="1358">
        <v>20.7</v>
      </c>
      <c r="K52" s="1358">
        <v>13.9</v>
      </c>
      <c r="L52" s="1358">
        <v>6.6</v>
      </c>
      <c r="M52" s="1358">
        <v>0.9</v>
      </c>
      <c r="N52" s="1358">
        <v>0.5</v>
      </c>
      <c r="O52" s="1358">
        <v>0.2</v>
      </c>
      <c r="P52" s="1358">
        <v>0.2</v>
      </c>
      <c r="Q52" s="1358">
        <v>0.2</v>
      </c>
      <c r="R52" s="1358">
        <v>0.2</v>
      </c>
      <c r="S52" s="1358">
        <v>0.2</v>
      </c>
      <c r="T52" s="1358">
        <v>0.2</v>
      </c>
      <c r="U52" s="1358">
        <v>0.2</v>
      </c>
      <c r="V52" s="1358">
        <v>0.2</v>
      </c>
      <c r="W52" s="1358">
        <v>0.2</v>
      </c>
      <c r="X52" s="1358">
        <v>0.2</v>
      </c>
      <c r="Y52" s="1358">
        <v>0.2</v>
      </c>
      <c r="Z52" s="1358">
        <v>0.2</v>
      </c>
      <c r="AA52" s="1358">
        <v>0.2</v>
      </c>
      <c r="AB52" s="1358">
        <v>0.3</v>
      </c>
      <c r="AC52" s="1360"/>
      <c r="AD52" s="1352"/>
    </row>
    <row r="53" spans="1:30" x14ac:dyDescent="0.3">
      <c r="A53" t="s">
        <v>4058</v>
      </c>
      <c r="B53" s="1359">
        <f>(B52*0.000001)*'Energy GHG'!B21</f>
        <v>0</v>
      </c>
      <c r="C53" s="1359">
        <f>B53+(C52*0.000001)*'Energy GHG'!B21</f>
        <v>0</v>
      </c>
      <c r="D53" s="1359">
        <f>C53+(D52*0.000001)*'Energy GHG'!B21</f>
        <v>0</v>
      </c>
      <c r="E53" s="1359">
        <f>D53+(E52*0.000001)*'Energy GHG'!B21</f>
        <v>0</v>
      </c>
      <c r="F53" s="1359">
        <f>E53+(F52*0.000001)*'Energy GHG'!B21</f>
        <v>0</v>
      </c>
      <c r="G53" s="1359">
        <f>F53+(G52*0.000001)*'Energy GHG'!B21</f>
        <v>0</v>
      </c>
      <c r="H53" s="1359">
        <f>G53+(H52*0.000001)*'Energy GHG'!B21</f>
        <v>0</v>
      </c>
      <c r="I53" s="1359">
        <f>H53+(I52*0.000001)*'Energy GHG'!B21</f>
        <v>0</v>
      </c>
      <c r="J53" s="1359">
        <f>I53+(J52*0.000001)*'Energy GHG'!B21</f>
        <v>0</v>
      </c>
      <c r="K53" s="1359">
        <f>J53+(K52*0.000001)*'Energy GHG'!B21</f>
        <v>0</v>
      </c>
      <c r="L53" s="1359">
        <f>K53+(L52*0.000001)*'Energy GHG'!B21</f>
        <v>0</v>
      </c>
      <c r="M53" s="1359">
        <f>L53+(M52*0.000001)*'Energy GHG'!B21</f>
        <v>0</v>
      </c>
      <c r="N53" s="1359">
        <f>M53+(N52*0.000001)*'Energy GHG'!B21</f>
        <v>0</v>
      </c>
      <c r="O53" s="1359">
        <f>N53+(O52*0.000001)*'Energy GHG'!B21</f>
        <v>0</v>
      </c>
      <c r="P53" s="1359">
        <f>O53+(P52*0.000001)*'Energy GHG'!B21</f>
        <v>0</v>
      </c>
      <c r="Q53" s="1359">
        <f>P53+(Q52*0.000001)*'Energy GHG'!B21</f>
        <v>0</v>
      </c>
      <c r="R53" s="1359">
        <f>Q53+(R52*0.000001)*'Energy GHG'!B21</f>
        <v>0</v>
      </c>
      <c r="S53" s="1359">
        <f>R53+(S52*0.000001)*'Energy GHG'!B21</f>
        <v>0</v>
      </c>
      <c r="T53" s="1359">
        <f>S53+(T52*0.000001)*'Energy GHG'!B21</f>
        <v>0</v>
      </c>
      <c r="U53" s="1359">
        <f>T53+(U52*0.000001)*'Energy GHG'!B21</f>
        <v>0</v>
      </c>
      <c r="V53" s="1359">
        <f>U53+(V52*0.000001)*'Energy GHG'!B21</f>
        <v>0</v>
      </c>
      <c r="W53" s="1359">
        <f>V53+(W52*0.000001)*'Energy GHG'!B21</f>
        <v>0</v>
      </c>
      <c r="X53" s="1359">
        <f>W53+(X52*0.000001)*'Energy GHG'!B21</f>
        <v>0</v>
      </c>
      <c r="Y53" s="1359">
        <f>X53+(Y52*0.000001)*'Energy GHG'!B21</f>
        <v>0</v>
      </c>
      <c r="Z53" s="1359">
        <f>Y53+(Z52*0.000001)*'Energy GHG'!B21</f>
        <v>0</v>
      </c>
      <c r="AA53" s="1359">
        <f>Z53+(AA52*0.000001)*'Energy GHG'!B21</f>
        <v>0</v>
      </c>
      <c r="AB53" s="1359">
        <f>AA53+(AB52*0.000001)*'Energy GHG'!B21</f>
        <v>0</v>
      </c>
      <c r="AC53" s="1360">
        <f>AB53</f>
        <v>0</v>
      </c>
      <c r="AD53" s="1884">
        <f>SUM(AC53:AC57)</f>
        <v>0</v>
      </c>
    </row>
    <row r="54" spans="1:30" x14ac:dyDescent="0.3">
      <c r="A54" t="s">
        <v>4054</v>
      </c>
      <c r="B54" s="1359">
        <f>'Energy GHG'!B22*'Energy GHG'!E7</f>
        <v>0</v>
      </c>
      <c r="C54" s="1359">
        <f>B54+B54</f>
        <v>0</v>
      </c>
      <c r="D54" s="1359">
        <f>C54+B54</f>
        <v>0</v>
      </c>
      <c r="E54" s="1359">
        <f>D54+B54</f>
        <v>0</v>
      </c>
      <c r="F54" s="1359">
        <f>E54+B54</f>
        <v>0</v>
      </c>
      <c r="G54" s="1359">
        <f>F54+B54</f>
        <v>0</v>
      </c>
      <c r="H54" s="1359">
        <f>G54+B54</f>
        <v>0</v>
      </c>
      <c r="I54" s="1359">
        <f>H54+B54</f>
        <v>0</v>
      </c>
      <c r="J54" s="1359">
        <f>I54+B54</f>
        <v>0</v>
      </c>
      <c r="K54" s="1359">
        <f>J54+B54</f>
        <v>0</v>
      </c>
      <c r="L54" s="1359">
        <f>K54+B54</f>
        <v>0</v>
      </c>
      <c r="M54" s="1359">
        <f>L54+B54</f>
        <v>0</v>
      </c>
      <c r="N54" s="1359">
        <f>M54+B54</f>
        <v>0</v>
      </c>
      <c r="O54" s="1359">
        <f>N54+B54</f>
        <v>0</v>
      </c>
      <c r="P54" s="1359">
        <f>O54+B54</f>
        <v>0</v>
      </c>
      <c r="Q54" s="1359">
        <f>P54+B54</f>
        <v>0</v>
      </c>
      <c r="R54" s="1359">
        <f>Q54+B54</f>
        <v>0</v>
      </c>
      <c r="S54" s="1359">
        <f>R54+B54</f>
        <v>0</v>
      </c>
      <c r="T54" s="1359">
        <f>S54+B54</f>
        <v>0</v>
      </c>
      <c r="U54" s="1359">
        <f>T54+B54</f>
        <v>0</v>
      </c>
      <c r="V54" s="1359">
        <f>U54+B54</f>
        <v>0</v>
      </c>
      <c r="W54" s="1359">
        <f>V54+B54</f>
        <v>0</v>
      </c>
      <c r="X54" s="1359">
        <f>W54+B54</f>
        <v>0</v>
      </c>
      <c r="Y54" s="1359">
        <f>X54+B54</f>
        <v>0</v>
      </c>
      <c r="Z54" s="1359">
        <f>Y54+B54</f>
        <v>0</v>
      </c>
      <c r="AA54" s="1359">
        <f>Z54+B54</f>
        <v>0</v>
      </c>
      <c r="AB54" s="1359">
        <f>AA54+B54</f>
        <v>0</v>
      </c>
      <c r="AC54" s="1360">
        <f>AB54</f>
        <v>0</v>
      </c>
      <c r="AD54" s="1885"/>
    </row>
    <row r="55" spans="1:30" x14ac:dyDescent="0.3">
      <c r="A55" t="s">
        <v>4055</v>
      </c>
      <c r="B55" s="1359">
        <f>'Energy GHG'!B23*'Energy GHG'!F7</f>
        <v>0</v>
      </c>
      <c r="C55" s="1359">
        <f t="shared" ref="C55:C57" si="208">B55+B55</f>
        <v>0</v>
      </c>
      <c r="D55" s="1359">
        <f t="shared" ref="D55:D57" si="209">C55+B55</f>
        <v>0</v>
      </c>
      <c r="E55" s="1359">
        <f t="shared" ref="E55:E57" si="210">D55+B55</f>
        <v>0</v>
      </c>
      <c r="F55" s="1359">
        <f t="shared" ref="F55:F57" si="211">E55+B55</f>
        <v>0</v>
      </c>
      <c r="G55" s="1359">
        <f t="shared" ref="G55:G57" si="212">F55+B55</f>
        <v>0</v>
      </c>
      <c r="H55" s="1359">
        <f t="shared" ref="H55:H57" si="213">G55+B55</f>
        <v>0</v>
      </c>
      <c r="I55" s="1359">
        <f t="shared" ref="I55:I57" si="214">H55+B55</f>
        <v>0</v>
      </c>
      <c r="J55" s="1359">
        <f t="shared" ref="J55:J57" si="215">I55+B55</f>
        <v>0</v>
      </c>
      <c r="K55" s="1359">
        <f t="shared" ref="K55:K57" si="216">J55+B55</f>
        <v>0</v>
      </c>
      <c r="L55" s="1359">
        <f t="shared" ref="L55:L57" si="217">K55+B55</f>
        <v>0</v>
      </c>
      <c r="M55" s="1359">
        <f t="shared" ref="M55:M57" si="218">L55+B55</f>
        <v>0</v>
      </c>
      <c r="N55" s="1359">
        <f t="shared" ref="N55:N57" si="219">M55+B55</f>
        <v>0</v>
      </c>
      <c r="O55" s="1359">
        <f t="shared" ref="O55:O57" si="220">N55+B55</f>
        <v>0</v>
      </c>
      <c r="P55" s="1359">
        <f t="shared" ref="P55:P57" si="221">O55+B55</f>
        <v>0</v>
      </c>
      <c r="Q55" s="1359">
        <f t="shared" ref="Q55:Q57" si="222">P55+B55</f>
        <v>0</v>
      </c>
      <c r="R55" s="1359">
        <f t="shared" ref="R55:R57" si="223">Q55+B55</f>
        <v>0</v>
      </c>
      <c r="S55" s="1359">
        <f t="shared" ref="S55:S57" si="224">R55+B55</f>
        <v>0</v>
      </c>
      <c r="T55" s="1359">
        <f t="shared" ref="T55:T57" si="225">S55+B55</f>
        <v>0</v>
      </c>
      <c r="U55" s="1359">
        <f t="shared" ref="U55:U57" si="226">T55+B55</f>
        <v>0</v>
      </c>
      <c r="V55" s="1359">
        <f t="shared" ref="V55:V57" si="227">U55+B55</f>
        <v>0</v>
      </c>
      <c r="W55" s="1359">
        <f t="shared" ref="W55:W57" si="228">V55+B55</f>
        <v>0</v>
      </c>
      <c r="X55" s="1359">
        <f t="shared" ref="X55:X57" si="229">W55+B55</f>
        <v>0</v>
      </c>
      <c r="Y55" s="1359">
        <f t="shared" ref="Y55:Y57" si="230">X55+B55</f>
        <v>0</v>
      </c>
      <c r="Z55" s="1359">
        <f t="shared" ref="Z55:Z57" si="231">Y55+B55</f>
        <v>0</v>
      </c>
      <c r="AA55" s="1359">
        <f t="shared" ref="AA55:AA57" si="232">Z55+B55</f>
        <v>0</v>
      </c>
      <c r="AB55" s="1359">
        <f t="shared" ref="AB55:AB57" si="233">AA55+B55</f>
        <v>0</v>
      </c>
      <c r="AC55" s="1360">
        <f>AB55</f>
        <v>0</v>
      </c>
      <c r="AD55" s="1885"/>
    </row>
    <row r="56" spans="1:30" x14ac:dyDescent="0.3">
      <c r="A56" t="s">
        <v>4056</v>
      </c>
      <c r="B56" s="1359">
        <f>'Energy GHG'!B24*'Energy GHG'!G7</f>
        <v>0</v>
      </c>
      <c r="C56" s="1359">
        <f t="shared" si="208"/>
        <v>0</v>
      </c>
      <c r="D56" s="1359">
        <f t="shared" si="209"/>
        <v>0</v>
      </c>
      <c r="E56" s="1359">
        <f t="shared" si="210"/>
        <v>0</v>
      </c>
      <c r="F56" s="1359">
        <f t="shared" si="211"/>
        <v>0</v>
      </c>
      <c r="G56" s="1359">
        <f t="shared" si="212"/>
        <v>0</v>
      </c>
      <c r="H56" s="1359">
        <f t="shared" si="213"/>
        <v>0</v>
      </c>
      <c r="I56" s="1359">
        <f t="shared" si="214"/>
        <v>0</v>
      </c>
      <c r="J56" s="1359">
        <f t="shared" si="215"/>
        <v>0</v>
      </c>
      <c r="K56" s="1359">
        <f t="shared" si="216"/>
        <v>0</v>
      </c>
      <c r="L56" s="1359">
        <f t="shared" si="217"/>
        <v>0</v>
      </c>
      <c r="M56" s="1359">
        <f t="shared" si="218"/>
        <v>0</v>
      </c>
      <c r="N56" s="1359">
        <f t="shared" si="219"/>
        <v>0</v>
      </c>
      <c r="O56" s="1359">
        <f t="shared" si="220"/>
        <v>0</v>
      </c>
      <c r="P56" s="1359">
        <f t="shared" si="221"/>
        <v>0</v>
      </c>
      <c r="Q56" s="1359">
        <f t="shared" si="222"/>
        <v>0</v>
      </c>
      <c r="R56" s="1359">
        <f t="shared" si="223"/>
        <v>0</v>
      </c>
      <c r="S56" s="1359">
        <f t="shared" si="224"/>
        <v>0</v>
      </c>
      <c r="T56" s="1359">
        <f t="shared" si="225"/>
        <v>0</v>
      </c>
      <c r="U56" s="1359">
        <f t="shared" si="226"/>
        <v>0</v>
      </c>
      <c r="V56" s="1359">
        <f t="shared" si="227"/>
        <v>0</v>
      </c>
      <c r="W56" s="1359">
        <f t="shared" si="228"/>
        <v>0</v>
      </c>
      <c r="X56" s="1359">
        <f t="shared" si="229"/>
        <v>0</v>
      </c>
      <c r="Y56" s="1359">
        <f t="shared" si="230"/>
        <v>0</v>
      </c>
      <c r="Z56" s="1359">
        <f t="shared" si="231"/>
        <v>0</v>
      </c>
      <c r="AA56" s="1359">
        <f t="shared" si="232"/>
        <v>0</v>
      </c>
      <c r="AB56" s="1359">
        <f t="shared" si="233"/>
        <v>0</v>
      </c>
      <c r="AC56" s="1360">
        <f>AB56</f>
        <v>0</v>
      </c>
      <c r="AD56" s="1885"/>
    </row>
    <row r="57" spans="1:30" x14ac:dyDescent="0.3">
      <c r="A57" t="s">
        <v>4057</v>
      </c>
      <c r="B57" s="1359">
        <f>'Energy GHG'!B25*'Energy GHG'!H7</f>
        <v>0</v>
      </c>
      <c r="C57" s="1359">
        <f t="shared" si="208"/>
        <v>0</v>
      </c>
      <c r="D57" s="1359">
        <f t="shared" si="209"/>
        <v>0</v>
      </c>
      <c r="E57" s="1359">
        <f t="shared" si="210"/>
        <v>0</v>
      </c>
      <c r="F57" s="1359">
        <f t="shared" si="211"/>
        <v>0</v>
      </c>
      <c r="G57" s="1359">
        <f t="shared" si="212"/>
        <v>0</v>
      </c>
      <c r="H57" s="1359">
        <f t="shared" si="213"/>
        <v>0</v>
      </c>
      <c r="I57" s="1359">
        <f t="shared" si="214"/>
        <v>0</v>
      </c>
      <c r="J57" s="1359">
        <f t="shared" si="215"/>
        <v>0</v>
      </c>
      <c r="K57" s="1359">
        <f t="shared" si="216"/>
        <v>0</v>
      </c>
      <c r="L57" s="1359">
        <f t="shared" si="217"/>
        <v>0</v>
      </c>
      <c r="M57" s="1359">
        <f t="shared" si="218"/>
        <v>0</v>
      </c>
      <c r="N57" s="1359">
        <f t="shared" si="219"/>
        <v>0</v>
      </c>
      <c r="O57" s="1359">
        <f t="shared" si="220"/>
        <v>0</v>
      </c>
      <c r="P57" s="1359">
        <f t="shared" si="221"/>
        <v>0</v>
      </c>
      <c r="Q57" s="1359">
        <f t="shared" si="222"/>
        <v>0</v>
      </c>
      <c r="R57" s="1359">
        <f t="shared" si="223"/>
        <v>0</v>
      </c>
      <c r="S57" s="1359">
        <f t="shared" si="224"/>
        <v>0</v>
      </c>
      <c r="T57" s="1359">
        <f t="shared" si="225"/>
        <v>0</v>
      </c>
      <c r="U57" s="1359">
        <f t="shared" si="226"/>
        <v>0</v>
      </c>
      <c r="V57" s="1359">
        <f t="shared" si="227"/>
        <v>0</v>
      </c>
      <c r="W57" s="1359">
        <f t="shared" si="228"/>
        <v>0</v>
      </c>
      <c r="X57" s="1359">
        <f t="shared" si="229"/>
        <v>0</v>
      </c>
      <c r="Y57" s="1359">
        <f t="shared" si="230"/>
        <v>0</v>
      </c>
      <c r="Z57" s="1359">
        <f t="shared" si="231"/>
        <v>0</v>
      </c>
      <c r="AA57" s="1359">
        <f t="shared" si="232"/>
        <v>0</v>
      </c>
      <c r="AB57" s="1359">
        <f t="shared" si="233"/>
        <v>0</v>
      </c>
      <c r="AC57" s="1360">
        <f>AB57</f>
        <v>0</v>
      </c>
      <c r="AD57" s="1885"/>
    </row>
    <row r="58" spans="1:30" x14ac:dyDescent="0.3">
      <c r="A58" s="1358" t="s">
        <v>1216</v>
      </c>
      <c r="B58" s="1358">
        <v>0</v>
      </c>
      <c r="C58" s="1358">
        <v>0</v>
      </c>
      <c r="D58" s="1358">
        <v>0</v>
      </c>
      <c r="E58" s="1358">
        <v>0</v>
      </c>
      <c r="F58" s="1358">
        <v>0.1</v>
      </c>
      <c r="G58" s="1358">
        <v>0</v>
      </c>
      <c r="H58" s="1358">
        <v>0</v>
      </c>
      <c r="I58" s="1358">
        <v>0</v>
      </c>
      <c r="J58" s="1358">
        <v>0</v>
      </c>
      <c r="K58" s="1358">
        <v>0</v>
      </c>
      <c r="L58" s="1358">
        <v>0</v>
      </c>
      <c r="M58" s="1358">
        <v>0</v>
      </c>
      <c r="N58" s="1358">
        <v>0</v>
      </c>
      <c r="O58" s="1358">
        <v>0</v>
      </c>
      <c r="P58" s="1358">
        <v>0</v>
      </c>
      <c r="Q58" s="1358">
        <v>0</v>
      </c>
      <c r="R58" s="1358">
        <v>0</v>
      </c>
      <c r="S58" s="1358">
        <v>0</v>
      </c>
      <c r="T58" s="1358">
        <v>0</v>
      </c>
      <c r="U58" s="1358">
        <v>0</v>
      </c>
      <c r="V58" s="1358">
        <v>0</v>
      </c>
      <c r="W58" s="1358">
        <v>0</v>
      </c>
      <c r="X58" s="1358">
        <v>0</v>
      </c>
      <c r="Y58" s="1358">
        <v>0</v>
      </c>
      <c r="Z58" s="1358">
        <v>0</v>
      </c>
      <c r="AA58" s="1358">
        <v>0</v>
      </c>
      <c r="AB58" s="1358">
        <v>0</v>
      </c>
      <c r="AC58" s="1360"/>
      <c r="AD58" s="1352"/>
    </row>
    <row r="59" spans="1:30" x14ac:dyDescent="0.3">
      <c r="A59" t="s">
        <v>4058</v>
      </c>
      <c r="B59" s="1359">
        <f>(B58*0.000001)*'Energy GHG'!B21</f>
        <v>0</v>
      </c>
      <c r="C59" s="1359">
        <f>B59+(C58*0.000001)*'Energy GHG'!B21</f>
        <v>0</v>
      </c>
      <c r="D59" s="1359">
        <f>C59+(D58*0.000001)*'Energy GHG'!B21</f>
        <v>0</v>
      </c>
      <c r="E59" s="1359">
        <f>D59+(E58*0.000001)*'Energy GHG'!B21</f>
        <v>0</v>
      </c>
      <c r="F59" s="1359">
        <f>E59+(F58*0.000001)*'Energy GHG'!B21</f>
        <v>0</v>
      </c>
      <c r="G59" s="1359">
        <f>F59+(G58*0.000001)*'Energy GHG'!B21</f>
        <v>0</v>
      </c>
      <c r="H59" s="1359">
        <f>G59+(H58*0.000001)*'Energy GHG'!B21</f>
        <v>0</v>
      </c>
      <c r="I59" s="1359">
        <f>H59+(I58*0.000001)*'Energy GHG'!B21</f>
        <v>0</v>
      </c>
      <c r="J59" s="1359">
        <f>I59+(J58*0.000001)*'Energy GHG'!B21</f>
        <v>0</v>
      </c>
      <c r="K59" s="1359">
        <f>J59+(K58*0.000001)*'Energy GHG'!B21</f>
        <v>0</v>
      </c>
      <c r="L59" s="1359">
        <f>K59+(L58*0.000001)*'Energy GHG'!B21</f>
        <v>0</v>
      </c>
      <c r="M59" s="1359">
        <f>L59+(M58*0.000001)*'Energy GHG'!B21</f>
        <v>0</v>
      </c>
      <c r="N59" s="1359">
        <f>M59+(N58*0.000001)*'Energy GHG'!B21</f>
        <v>0</v>
      </c>
      <c r="O59" s="1359">
        <f>N59+(O58*0.000001)*'Energy GHG'!B21</f>
        <v>0</v>
      </c>
      <c r="P59" s="1359">
        <f>O59+(P58*0.000001)*'Energy GHG'!B21</f>
        <v>0</v>
      </c>
      <c r="Q59" s="1359">
        <f>P59+(Q58*0.000001)*'Energy GHG'!B21</f>
        <v>0</v>
      </c>
      <c r="R59" s="1359">
        <f>Q59+(R58*0.000001)*'Energy GHG'!B21</f>
        <v>0</v>
      </c>
      <c r="S59" s="1359">
        <f>R59+(S58*0.000001)*'Energy GHG'!B21</f>
        <v>0</v>
      </c>
      <c r="T59" s="1359">
        <f>S59+(T58*0.000001)*'Energy GHG'!B21</f>
        <v>0</v>
      </c>
      <c r="U59" s="1359">
        <f>T59+(U58*0.000001)*'Energy GHG'!B21</f>
        <v>0</v>
      </c>
      <c r="V59" s="1359">
        <f>U59+(V58*0.000001)*'Energy GHG'!B21</f>
        <v>0</v>
      </c>
      <c r="W59" s="1359">
        <f>V59+(W58*0.000001)*'Energy GHG'!B21</f>
        <v>0</v>
      </c>
      <c r="X59" s="1359">
        <f>W59+(X58*0.000001)*'Energy GHG'!B21</f>
        <v>0</v>
      </c>
      <c r="Y59" s="1359">
        <f>X59+(Y58*0.000001)*'Energy GHG'!B21</f>
        <v>0</v>
      </c>
      <c r="Z59" s="1359">
        <f>Y59+(Z58*0.000001)*'Energy GHG'!B21</f>
        <v>0</v>
      </c>
      <c r="AA59" s="1359">
        <f>Z59+(AA58*0.000001)*'Energy GHG'!B21</f>
        <v>0</v>
      </c>
      <c r="AB59" s="1359">
        <f>AA59+(AB58*0.000001)*'Energy GHG'!B21</f>
        <v>0</v>
      </c>
      <c r="AC59" s="1360">
        <f>AB59</f>
        <v>0</v>
      </c>
      <c r="AD59" s="1884">
        <f>SUM(AC59:AC63)</f>
        <v>0</v>
      </c>
    </row>
    <row r="60" spans="1:30" x14ac:dyDescent="0.3">
      <c r="A60" t="s">
        <v>4054</v>
      </c>
      <c r="B60" s="1359">
        <f>'Energy GHG'!B22*'Energy GHG'!E3</f>
        <v>0</v>
      </c>
      <c r="C60" s="1359">
        <f>B60+B60</f>
        <v>0</v>
      </c>
      <c r="D60" s="1359">
        <f>C60+B60</f>
        <v>0</v>
      </c>
      <c r="E60" s="1359">
        <f>D60+B60</f>
        <v>0</v>
      </c>
      <c r="F60" s="1359">
        <f>E60+B60</f>
        <v>0</v>
      </c>
      <c r="G60" s="1359">
        <f>F60+B60</f>
        <v>0</v>
      </c>
      <c r="H60" s="1359">
        <f>G60+B60</f>
        <v>0</v>
      </c>
      <c r="I60" s="1359">
        <f>H60+B60</f>
        <v>0</v>
      </c>
      <c r="J60" s="1359">
        <f>I60+B60</f>
        <v>0</v>
      </c>
      <c r="K60" s="1359">
        <f>J60+B60</f>
        <v>0</v>
      </c>
      <c r="L60" s="1359">
        <f>K60+B60</f>
        <v>0</v>
      </c>
      <c r="M60" s="1359">
        <f>L60+B60</f>
        <v>0</v>
      </c>
      <c r="N60" s="1359">
        <f>M60+B60</f>
        <v>0</v>
      </c>
      <c r="O60" s="1359">
        <f>N60+B60</f>
        <v>0</v>
      </c>
      <c r="P60" s="1359">
        <f>O60+B60</f>
        <v>0</v>
      </c>
      <c r="Q60" s="1359">
        <f>P60+B60</f>
        <v>0</v>
      </c>
      <c r="R60" s="1359">
        <f>Q60+B60</f>
        <v>0</v>
      </c>
      <c r="S60" s="1359">
        <f>R60+B60</f>
        <v>0</v>
      </c>
      <c r="T60" s="1359">
        <f>S60+B60</f>
        <v>0</v>
      </c>
      <c r="U60" s="1359">
        <f>T60+B60</f>
        <v>0</v>
      </c>
      <c r="V60" s="1359">
        <f>U60+B60</f>
        <v>0</v>
      </c>
      <c r="W60" s="1359">
        <f>V60+B60</f>
        <v>0</v>
      </c>
      <c r="X60" s="1359">
        <f>W60+B60</f>
        <v>0</v>
      </c>
      <c r="Y60" s="1359">
        <f>X60+B60</f>
        <v>0</v>
      </c>
      <c r="Z60" s="1359">
        <f>Y60+B60</f>
        <v>0</v>
      </c>
      <c r="AA60" s="1359">
        <f>Z60+B60</f>
        <v>0</v>
      </c>
      <c r="AB60" s="1359">
        <f>AA60+B60</f>
        <v>0</v>
      </c>
      <c r="AC60" s="1360">
        <f>AB60</f>
        <v>0</v>
      </c>
      <c r="AD60" s="1885"/>
    </row>
    <row r="61" spans="1:30" x14ac:dyDescent="0.3">
      <c r="A61" t="s">
        <v>4055</v>
      </c>
      <c r="B61" s="1359">
        <f>'Energy GHG'!B23*'Energy GHG'!F3</f>
        <v>0</v>
      </c>
      <c r="C61" s="1359">
        <f t="shared" ref="C61:C63" si="234">B61+B61</f>
        <v>0</v>
      </c>
      <c r="D61" s="1359">
        <f t="shared" ref="D61:D63" si="235">C61+B61</f>
        <v>0</v>
      </c>
      <c r="E61" s="1359">
        <f t="shared" ref="E61:E63" si="236">D61+B61</f>
        <v>0</v>
      </c>
      <c r="F61" s="1359">
        <f t="shared" ref="F61:F63" si="237">E61+B61</f>
        <v>0</v>
      </c>
      <c r="G61" s="1359">
        <f t="shared" ref="G61:G63" si="238">F61+B61</f>
        <v>0</v>
      </c>
      <c r="H61" s="1359">
        <f t="shared" ref="H61:H63" si="239">G61+B61</f>
        <v>0</v>
      </c>
      <c r="I61" s="1359">
        <f t="shared" ref="I61:I63" si="240">H61+B61</f>
        <v>0</v>
      </c>
      <c r="J61" s="1359">
        <f t="shared" ref="J61:J63" si="241">I61+B61</f>
        <v>0</v>
      </c>
      <c r="K61" s="1359">
        <f t="shared" ref="K61:K63" si="242">J61+B61</f>
        <v>0</v>
      </c>
      <c r="L61" s="1359">
        <f t="shared" ref="L61:L63" si="243">K61+B61</f>
        <v>0</v>
      </c>
      <c r="M61" s="1359">
        <f t="shared" ref="M61:M63" si="244">L61+B61</f>
        <v>0</v>
      </c>
      <c r="N61" s="1359">
        <f t="shared" ref="N61:N63" si="245">M61+B61</f>
        <v>0</v>
      </c>
      <c r="O61" s="1359">
        <f t="shared" ref="O61:O63" si="246">N61+B61</f>
        <v>0</v>
      </c>
      <c r="P61" s="1359">
        <f t="shared" ref="P61:P63" si="247">O61+B61</f>
        <v>0</v>
      </c>
      <c r="Q61" s="1359">
        <f t="shared" ref="Q61:Q63" si="248">P61+B61</f>
        <v>0</v>
      </c>
      <c r="R61" s="1359">
        <f t="shared" ref="R61:R63" si="249">Q61+B61</f>
        <v>0</v>
      </c>
      <c r="S61" s="1359">
        <f t="shared" ref="S61:S63" si="250">R61+B61</f>
        <v>0</v>
      </c>
      <c r="T61" s="1359">
        <f t="shared" ref="T61:T63" si="251">S61+B61</f>
        <v>0</v>
      </c>
      <c r="U61" s="1359">
        <f t="shared" ref="U61:U63" si="252">T61+B61</f>
        <v>0</v>
      </c>
      <c r="V61" s="1359">
        <f t="shared" ref="V61:V63" si="253">U61+B61</f>
        <v>0</v>
      </c>
      <c r="W61" s="1359">
        <f t="shared" ref="W61:W63" si="254">V61+B61</f>
        <v>0</v>
      </c>
      <c r="X61" s="1359">
        <f t="shared" ref="X61:X63" si="255">W61+B61</f>
        <v>0</v>
      </c>
      <c r="Y61" s="1359">
        <f t="shared" ref="Y61:Y63" si="256">X61+B61</f>
        <v>0</v>
      </c>
      <c r="Z61" s="1359">
        <f t="shared" ref="Z61:Z63" si="257">Y61+B61</f>
        <v>0</v>
      </c>
      <c r="AA61" s="1359">
        <f t="shared" ref="AA61:AA63" si="258">Z61+B61</f>
        <v>0</v>
      </c>
      <c r="AB61" s="1359">
        <f t="shared" ref="AB61:AB63" si="259">AA61+B61</f>
        <v>0</v>
      </c>
      <c r="AC61" s="1360">
        <f>AB61</f>
        <v>0</v>
      </c>
      <c r="AD61" s="1885"/>
    </row>
    <row r="62" spans="1:30" x14ac:dyDescent="0.3">
      <c r="A62" t="s">
        <v>4056</v>
      </c>
      <c r="B62" s="1359">
        <f>'Energy GHG'!B24*'Energy GHG'!G3</f>
        <v>0</v>
      </c>
      <c r="C62" s="1359">
        <f t="shared" si="234"/>
        <v>0</v>
      </c>
      <c r="D62" s="1359">
        <f t="shared" si="235"/>
        <v>0</v>
      </c>
      <c r="E62" s="1359">
        <f t="shared" si="236"/>
        <v>0</v>
      </c>
      <c r="F62" s="1359">
        <f t="shared" si="237"/>
        <v>0</v>
      </c>
      <c r="G62" s="1359">
        <f t="shared" si="238"/>
        <v>0</v>
      </c>
      <c r="H62" s="1359">
        <f t="shared" si="239"/>
        <v>0</v>
      </c>
      <c r="I62" s="1359">
        <f t="shared" si="240"/>
        <v>0</v>
      </c>
      <c r="J62" s="1359">
        <f t="shared" si="241"/>
        <v>0</v>
      </c>
      <c r="K62" s="1359">
        <f t="shared" si="242"/>
        <v>0</v>
      </c>
      <c r="L62" s="1359">
        <f t="shared" si="243"/>
        <v>0</v>
      </c>
      <c r="M62" s="1359">
        <f t="shared" si="244"/>
        <v>0</v>
      </c>
      <c r="N62" s="1359">
        <f t="shared" si="245"/>
        <v>0</v>
      </c>
      <c r="O62" s="1359">
        <f t="shared" si="246"/>
        <v>0</v>
      </c>
      <c r="P62" s="1359">
        <f t="shared" si="247"/>
        <v>0</v>
      </c>
      <c r="Q62" s="1359">
        <f t="shared" si="248"/>
        <v>0</v>
      </c>
      <c r="R62" s="1359">
        <f t="shared" si="249"/>
        <v>0</v>
      </c>
      <c r="S62" s="1359">
        <f t="shared" si="250"/>
        <v>0</v>
      </c>
      <c r="T62" s="1359">
        <f t="shared" si="251"/>
        <v>0</v>
      </c>
      <c r="U62" s="1359">
        <f t="shared" si="252"/>
        <v>0</v>
      </c>
      <c r="V62" s="1359">
        <f t="shared" si="253"/>
        <v>0</v>
      </c>
      <c r="W62" s="1359">
        <f t="shared" si="254"/>
        <v>0</v>
      </c>
      <c r="X62" s="1359">
        <f t="shared" si="255"/>
        <v>0</v>
      </c>
      <c r="Y62" s="1359">
        <f t="shared" si="256"/>
        <v>0</v>
      </c>
      <c r="Z62" s="1359">
        <f t="shared" si="257"/>
        <v>0</v>
      </c>
      <c r="AA62" s="1359">
        <f t="shared" si="258"/>
        <v>0</v>
      </c>
      <c r="AB62" s="1359">
        <f t="shared" si="259"/>
        <v>0</v>
      </c>
      <c r="AC62" s="1360">
        <f>AB62</f>
        <v>0</v>
      </c>
      <c r="AD62" s="1885"/>
    </row>
    <row r="63" spans="1:30" x14ac:dyDescent="0.3">
      <c r="A63" t="s">
        <v>4057</v>
      </c>
      <c r="B63" s="1359">
        <f>'Energy GHG'!B25*'Energy GHG'!H3</f>
        <v>0</v>
      </c>
      <c r="C63" s="1359">
        <f t="shared" si="234"/>
        <v>0</v>
      </c>
      <c r="D63" s="1359">
        <f t="shared" si="235"/>
        <v>0</v>
      </c>
      <c r="E63" s="1359">
        <f t="shared" si="236"/>
        <v>0</v>
      </c>
      <c r="F63" s="1359">
        <f t="shared" si="237"/>
        <v>0</v>
      </c>
      <c r="G63" s="1359">
        <f t="shared" si="238"/>
        <v>0</v>
      </c>
      <c r="H63" s="1359">
        <f t="shared" si="239"/>
        <v>0</v>
      </c>
      <c r="I63" s="1359">
        <f t="shared" si="240"/>
        <v>0</v>
      </c>
      <c r="J63" s="1359">
        <f t="shared" si="241"/>
        <v>0</v>
      </c>
      <c r="K63" s="1359">
        <f t="shared" si="242"/>
        <v>0</v>
      </c>
      <c r="L63" s="1359">
        <f t="shared" si="243"/>
        <v>0</v>
      </c>
      <c r="M63" s="1359">
        <f t="shared" si="244"/>
        <v>0</v>
      </c>
      <c r="N63" s="1359">
        <f t="shared" si="245"/>
        <v>0</v>
      </c>
      <c r="O63" s="1359">
        <f t="shared" si="246"/>
        <v>0</v>
      </c>
      <c r="P63" s="1359">
        <f t="shared" si="247"/>
        <v>0</v>
      </c>
      <c r="Q63" s="1359">
        <f t="shared" si="248"/>
        <v>0</v>
      </c>
      <c r="R63" s="1359">
        <f t="shared" si="249"/>
        <v>0</v>
      </c>
      <c r="S63" s="1359">
        <f t="shared" si="250"/>
        <v>0</v>
      </c>
      <c r="T63" s="1359">
        <f t="shared" si="251"/>
        <v>0</v>
      </c>
      <c r="U63" s="1359">
        <f t="shared" si="252"/>
        <v>0</v>
      </c>
      <c r="V63" s="1359">
        <f t="shared" si="253"/>
        <v>0</v>
      </c>
      <c r="W63" s="1359">
        <f t="shared" si="254"/>
        <v>0</v>
      </c>
      <c r="X63" s="1359">
        <f t="shared" si="255"/>
        <v>0</v>
      </c>
      <c r="Y63" s="1359">
        <f t="shared" si="256"/>
        <v>0</v>
      </c>
      <c r="Z63" s="1359">
        <f t="shared" si="257"/>
        <v>0</v>
      </c>
      <c r="AA63" s="1359">
        <f t="shared" si="258"/>
        <v>0</v>
      </c>
      <c r="AB63" s="1359">
        <f t="shared" si="259"/>
        <v>0</v>
      </c>
      <c r="AC63" s="1360">
        <f>AB63</f>
        <v>0</v>
      </c>
      <c r="AD63" s="1885"/>
    </row>
    <row r="64" spans="1:30" x14ac:dyDescent="0.3">
      <c r="A64" s="1358" t="s">
        <v>1210</v>
      </c>
      <c r="B64" s="1358">
        <v>0.9</v>
      </c>
      <c r="C64" s="1358">
        <v>0.4</v>
      </c>
      <c r="D64" s="1358">
        <v>0.1</v>
      </c>
      <c r="E64" s="1358">
        <v>0.1</v>
      </c>
      <c r="F64" s="1358">
        <v>0.1</v>
      </c>
      <c r="G64" s="1358">
        <v>0.1</v>
      </c>
      <c r="H64" s="1358">
        <v>0.2</v>
      </c>
      <c r="I64" s="1358">
        <v>0.2</v>
      </c>
      <c r="J64" s="1358">
        <v>0.2</v>
      </c>
      <c r="K64" s="1358">
        <v>0.2</v>
      </c>
      <c r="L64" s="1358">
        <v>0.2</v>
      </c>
      <c r="M64" s="1358">
        <v>0.2</v>
      </c>
      <c r="N64" s="1358">
        <v>0.2</v>
      </c>
      <c r="O64" s="1358">
        <v>0.2</v>
      </c>
      <c r="P64" s="1358">
        <v>0.2</v>
      </c>
      <c r="Q64" s="1358">
        <v>0.2</v>
      </c>
      <c r="R64" s="1358">
        <v>0.2</v>
      </c>
      <c r="S64" s="1358">
        <v>0.2</v>
      </c>
      <c r="T64" s="1358">
        <v>0.2</v>
      </c>
      <c r="U64" s="1358">
        <v>0.1</v>
      </c>
      <c r="V64" s="1358">
        <v>0.1</v>
      </c>
      <c r="W64" s="1358">
        <v>0.1</v>
      </c>
      <c r="X64" s="1358">
        <v>0.1</v>
      </c>
      <c r="Y64" s="1358">
        <v>0.1</v>
      </c>
      <c r="Z64" s="1358">
        <v>0.1</v>
      </c>
      <c r="AA64" s="1358">
        <v>0.1</v>
      </c>
      <c r="AB64" s="1358">
        <v>0.1</v>
      </c>
      <c r="AC64" s="1360"/>
    </row>
    <row r="65" spans="1:30" x14ac:dyDescent="0.3">
      <c r="A65" t="s">
        <v>4058</v>
      </c>
      <c r="B65" s="1359">
        <f>(B64*0.000001)*'Energy GHG'!B21</f>
        <v>0</v>
      </c>
      <c r="C65" s="1359">
        <f>B65+(C64*0.000001)*'Energy GHG'!B21</f>
        <v>0</v>
      </c>
      <c r="D65" s="1359">
        <f>C65+(D64*0.000001)*'Energy GHG'!B21</f>
        <v>0</v>
      </c>
      <c r="E65" s="1359">
        <f>D65+(E64*0.000001)*'Energy GHG'!B21</f>
        <v>0</v>
      </c>
      <c r="F65" s="1359">
        <f>E65+(F64*0.000001)*'Energy GHG'!B21</f>
        <v>0</v>
      </c>
      <c r="G65" s="1359">
        <f>F65+(G64*0.000001)*'Energy GHG'!B21</f>
        <v>0</v>
      </c>
      <c r="H65" s="1359">
        <f>G65+(H64*0.000001)*'Energy GHG'!B21</f>
        <v>0</v>
      </c>
      <c r="I65" s="1359">
        <f>H65+(I64*0.000001)*'Energy GHG'!B21</f>
        <v>0</v>
      </c>
      <c r="J65" s="1359">
        <f>I65+(J64*0.000001)*'Energy GHG'!B21</f>
        <v>0</v>
      </c>
      <c r="K65" s="1359">
        <f>J65+(K64*0.000001)*'Energy GHG'!B21</f>
        <v>0</v>
      </c>
      <c r="L65" s="1359">
        <f>K65+(L64*0.000001)*'Energy GHG'!B21</f>
        <v>0</v>
      </c>
      <c r="M65" s="1359">
        <f>L65+(M64*0.000001)*'Energy GHG'!B21</f>
        <v>0</v>
      </c>
      <c r="N65" s="1359">
        <f>M65+(N64*0.000001)*'Energy GHG'!B21</f>
        <v>0</v>
      </c>
      <c r="O65" s="1359">
        <f>N65+(O64*0.000001)*'Energy GHG'!B21</f>
        <v>0</v>
      </c>
      <c r="P65" s="1359">
        <f>O65+(P64*0.000001)*'Energy GHG'!B21</f>
        <v>0</v>
      </c>
      <c r="Q65" s="1359">
        <f>P65+(Q64*0.000001)*'Energy GHG'!B21</f>
        <v>0</v>
      </c>
      <c r="R65" s="1359">
        <f>Q65+(R64*0.000001)*'Energy GHG'!B21</f>
        <v>0</v>
      </c>
      <c r="S65" s="1359">
        <f>R65+(S64*0.000001)*'Energy GHG'!B21</f>
        <v>0</v>
      </c>
      <c r="T65" s="1359">
        <f>S65+(T64*0.000001)*'Energy GHG'!B21</f>
        <v>0</v>
      </c>
      <c r="U65" s="1359">
        <f>T65+(U64*0.000001)*'Energy GHG'!B21</f>
        <v>0</v>
      </c>
      <c r="V65" s="1359">
        <f>U65+(V64*0.000001)*'Energy GHG'!B21</f>
        <v>0</v>
      </c>
      <c r="W65" s="1359">
        <f>V65+(W64*0.000001)*'Energy GHG'!B21</f>
        <v>0</v>
      </c>
      <c r="X65" s="1359">
        <f>W65+(X64*0.000001)*'Energy GHG'!B21</f>
        <v>0</v>
      </c>
      <c r="Y65" s="1359">
        <f>X65+(Y64*0.000001)*'Energy GHG'!B21</f>
        <v>0</v>
      </c>
      <c r="Z65" s="1359">
        <f>Y65+(Z64*0.000001)*'Energy GHG'!B21</f>
        <v>0</v>
      </c>
      <c r="AA65" s="1359">
        <f>Z65+(AA64*0.000001)*'Energy GHG'!B21</f>
        <v>0</v>
      </c>
      <c r="AB65" s="1359">
        <f>AA65+(AB64*0.000001)*'Energy GHG'!B21</f>
        <v>0</v>
      </c>
      <c r="AC65" s="1360">
        <f>AB65</f>
        <v>0</v>
      </c>
      <c r="AD65" s="1884">
        <f>SUM(AC65:AC69)</f>
        <v>0</v>
      </c>
    </row>
    <row r="66" spans="1:30" x14ac:dyDescent="0.3">
      <c r="A66" t="s">
        <v>4054</v>
      </c>
      <c r="B66" s="1359">
        <f>'Energy GHG'!B22*'Energy GHG'!E6</f>
        <v>0</v>
      </c>
      <c r="C66" s="1359">
        <f>B66+B66</f>
        <v>0</v>
      </c>
      <c r="D66" s="1359">
        <f>C66+B66</f>
        <v>0</v>
      </c>
      <c r="E66" s="1359">
        <f>D66+B66</f>
        <v>0</v>
      </c>
      <c r="F66" s="1359">
        <f>E66+B66</f>
        <v>0</v>
      </c>
      <c r="G66" s="1359">
        <f>F66+B66</f>
        <v>0</v>
      </c>
      <c r="H66" s="1359">
        <f>G66+B66</f>
        <v>0</v>
      </c>
      <c r="I66" s="1359">
        <f>H66+B66</f>
        <v>0</v>
      </c>
      <c r="J66" s="1359">
        <f>I66+B66</f>
        <v>0</v>
      </c>
      <c r="K66" s="1359">
        <f>J66+B66</f>
        <v>0</v>
      </c>
      <c r="L66" s="1359">
        <f>K66+B66</f>
        <v>0</v>
      </c>
      <c r="M66" s="1359">
        <f>L66+B66</f>
        <v>0</v>
      </c>
      <c r="N66" s="1359">
        <f>M66+B66</f>
        <v>0</v>
      </c>
      <c r="O66" s="1359">
        <f>N66+B66</f>
        <v>0</v>
      </c>
      <c r="P66" s="1359">
        <f>O66+B66</f>
        <v>0</v>
      </c>
      <c r="Q66" s="1359">
        <f>P66+B66</f>
        <v>0</v>
      </c>
      <c r="R66" s="1359">
        <f>Q66+B66</f>
        <v>0</v>
      </c>
      <c r="S66" s="1359">
        <f>R66+B66</f>
        <v>0</v>
      </c>
      <c r="T66" s="1359">
        <f>S66+B66</f>
        <v>0</v>
      </c>
      <c r="U66" s="1359">
        <f>T66+B66</f>
        <v>0</v>
      </c>
      <c r="V66" s="1359">
        <f>U66+B66</f>
        <v>0</v>
      </c>
      <c r="W66" s="1359">
        <f>V66+B66</f>
        <v>0</v>
      </c>
      <c r="X66" s="1359">
        <f>W66+B66</f>
        <v>0</v>
      </c>
      <c r="Y66" s="1359">
        <f>X66+B66</f>
        <v>0</v>
      </c>
      <c r="Z66" s="1359">
        <f>Y66+B66</f>
        <v>0</v>
      </c>
      <c r="AA66" s="1359">
        <f>Z66+B66</f>
        <v>0</v>
      </c>
      <c r="AB66" s="1359">
        <f>AA66+B66</f>
        <v>0</v>
      </c>
      <c r="AC66" s="1360">
        <f>AB66</f>
        <v>0</v>
      </c>
      <c r="AD66" s="1885"/>
    </row>
    <row r="67" spans="1:30" x14ac:dyDescent="0.3">
      <c r="A67" t="s">
        <v>4055</v>
      </c>
      <c r="B67" s="1359">
        <f>'Energy GHG'!B23*'Energy GHG'!F6</f>
        <v>0</v>
      </c>
      <c r="C67" s="1359">
        <f t="shared" ref="C67:C69" si="260">B67+B67</f>
        <v>0</v>
      </c>
      <c r="D67" s="1359">
        <f t="shared" ref="D67:D69" si="261">C67+B67</f>
        <v>0</v>
      </c>
      <c r="E67" s="1359">
        <f t="shared" ref="E67:E69" si="262">D67+B67</f>
        <v>0</v>
      </c>
      <c r="F67" s="1359">
        <f t="shared" ref="F67:F69" si="263">E67+B67</f>
        <v>0</v>
      </c>
      <c r="G67" s="1359">
        <f t="shared" ref="G67:G69" si="264">F67+B67</f>
        <v>0</v>
      </c>
      <c r="H67" s="1359">
        <f t="shared" ref="H67:H69" si="265">G67+B67</f>
        <v>0</v>
      </c>
      <c r="I67" s="1359">
        <f t="shared" ref="I67:I69" si="266">H67+B67</f>
        <v>0</v>
      </c>
      <c r="J67" s="1359">
        <f t="shared" ref="J67:J69" si="267">I67+B67</f>
        <v>0</v>
      </c>
      <c r="K67" s="1359">
        <f t="shared" ref="K67:K69" si="268">J67+B67</f>
        <v>0</v>
      </c>
      <c r="L67" s="1359">
        <f t="shared" ref="L67:L69" si="269">K67+B67</f>
        <v>0</v>
      </c>
      <c r="M67" s="1359">
        <f t="shared" ref="M67:M69" si="270">L67+B67</f>
        <v>0</v>
      </c>
      <c r="N67" s="1359">
        <f t="shared" ref="N67:N69" si="271">M67+B67</f>
        <v>0</v>
      </c>
      <c r="O67" s="1359">
        <f t="shared" ref="O67:O69" si="272">N67+B67</f>
        <v>0</v>
      </c>
      <c r="P67" s="1359">
        <f t="shared" ref="P67:P69" si="273">O67+B67</f>
        <v>0</v>
      </c>
      <c r="Q67" s="1359">
        <f t="shared" ref="Q67:Q69" si="274">P67+B67</f>
        <v>0</v>
      </c>
      <c r="R67" s="1359">
        <f t="shared" ref="R67:R69" si="275">Q67+B67</f>
        <v>0</v>
      </c>
      <c r="S67" s="1359">
        <f t="shared" ref="S67:S69" si="276">R67+B67</f>
        <v>0</v>
      </c>
      <c r="T67" s="1359">
        <f t="shared" ref="T67:T69" si="277">S67+B67</f>
        <v>0</v>
      </c>
      <c r="U67" s="1359">
        <f t="shared" ref="U67:U69" si="278">T67+B67</f>
        <v>0</v>
      </c>
      <c r="V67" s="1359">
        <f t="shared" ref="V67:V69" si="279">U67+B67</f>
        <v>0</v>
      </c>
      <c r="W67" s="1359">
        <f t="shared" ref="W67:W69" si="280">V67+B67</f>
        <v>0</v>
      </c>
      <c r="X67" s="1359">
        <f t="shared" ref="X67:X69" si="281">W67+B67</f>
        <v>0</v>
      </c>
      <c r="Y67" s="1359">
        <f t="shared" ref="Y67:Y69" si="282">X67+B67</f>
        <v>0</v>
      </c>
      <c r="Z67" s="1359">
        <f t="shared" ref="Z67:Z69" si="283">Y67+B67</f>
        <v>0</v>
      </c>
      <c r="AA67" s="1359">
        <f t="shared" ref="AA67:AA69" si="284">Z67+B67</f>
        <v>0</v>
      </c>
      <c r="AB67" s="1359">
        <f t="shared" ref="AB67:AB69" si="285">AA67+B67</f>
        <v>0</v>
      </c>
      <c r="AC67" s="1360">
        <f>AB67</f>
        <v>0</v>
      </c>
      <c r="AD67" s="1885"/>
    </row>
    <row r="68" spans="1:30" x14ac:dyDescent="0.3">
      <c r="A68" t="s">
        <v>4056</v>
      </c>
      <c r="B68" s="1359">
        <f>'Energy GHG'!B24*'Energy GHG'!G6</f>
        <v>0</v>
      </c>
      <c r="C68" s="1359">
        <f t="shared" si="260"/>
        <v>0</v>
      </c>
      <c r="D68" s="1359">
        <f t="shared" si="261"/>
        <v>0</v>
      </c>
      <c r="E68" s="1359">
        <f t="shared" si="262"/>
        <v>0</v>
      </c>
      <c r="F68" s="1359">
        <f t="shared" si="263"/>
        <v>0</v>
      </c>
      <c r="G68" s="1359">
        <f t="shared" si="264"/>
        <v>0</v>
      </c>
      <c r="H68" s="1359">
        <f t="shared" si="265"/>
        <v>0</v>
      </c>
      <c r="I68" s="1359">
        <f t="shared" si="266"/>
        <v>0</v>
      </c>
      <c r="J68" s="1359">
        <f t="shared" si="267"/>
        <v>0</v>
      </c>
      <c r="K68" s="1359">
        <f t="shared" si="268"/>
        <v>0</v>
      </c>
      <c r="L68" s="1359">
        <f t="shared" si="269"/>
        <v>0</v>
      </c>
      <c r="M68" s="1359">
        <f t="shared" si="270"/>
        <v>0</v>
      </c>
      <c r="N68" s="1359">
        <f t="shared" si="271"/>
        <v>0</v>
      </c>
      <c r="O68" s="1359">
        <f t="shared" si="272"/>
        <v>0</v>
      </c>
      <c r="P68" s="1359">
        <f t="shared" si="273"/>
        <v>0</v>
      </c>
      <c r="Q68" s="1359">
        <f t="shared" si="274"/>
        <v>0</v>
      </c>
      <c r="R68" s="1359">
        <f t="shared" si="275"/>
        <v>0</v>
      </c>
      <c r="S68" s="1359">
        <f t="shared" si="276"/>
        <v>0</v>
      </c>
      <c r="T68" s="1359">
        <f t="shared" si="277"/>
        <v>0</v>
      </c>
      <c r="U68" s="1359">
        <f t="shared" si="278"/>
        <v>0</v>
      </c>
      <c r="V68" s="1359">
        <f t="shared" si="279"/>
        <v>0</v>
      </c>
      <c r="W68" s="1359">
        <f t="shared" si="280"/>
        <v>0</v>
      </c>
      <c r="X68" s="1359">
        <f t="shared" si="281"/>
        <v>0</v>
      </c>
      <c r="Y68" s="1359">
        <f t="shared" si="282"/>
        <v>0</v>
      </c>
      <c r="Z68" s="1359">
        <f t="shared" si="283"/>
        <v>0</v>
      </c>
      <c r="AA68" s="1359">
        <f t="shared" si="284"/>
        <v>0</v>
      </c>
      <c r="AB68" s="1359">
        <f t="shared" si="285"/>
        <v>0</v>
      </c>
      <c r="AC68" s="1360">
        <f>AB68</f>
        <v>0</v>
      </c>
      <c r="AD68" s="1885"/>
    </row>
    <row r="69" spans="1:30" x14ac:dyDescent="0.3">
      <c r="A69" t="s">
        <v>4057</v>
      </c>
      <c r="B69" s="1359">
        <f>'Energy GHG'!B25*'Energy GHG'!H6</f>
        <v>0</v>
      </c>
      <c r="C69" s="1359">
        <f t="shared" si="260"/>
        <v>0</v>
      </c>
      <c r="D69" s="1359">
        <f t="shared" si="261"/>
        <v>0</v>
      </c>
      <c r="E69" s="1359">
        <f t="shared" si="262"/>
        <v>0</v>
      </c>
      <c r="F69" s="1359">
        <f t="shared" si="263"/>
        <v>0</v>
      </c>
      <c r="G69" s="1359">
        <f t="shared" si="264"/>
        <v>0</v>
      </c>
      <c r="H69" s="1359">
        <f t="shared" si="265"/>
        <v>0</v>
      </c>
      <c r="I69" s="1359">
        <f t="shared" si="266"/>
        <v>0</v>
      </c>
      <c r="J69" s="1359">
        <f t="shared" si="267"/>
        <v>0</v>
      </c>
      <c r="K69" s="1359">
        <f t="shared" si="268"/>
        <v>0</v>
      </c>
      <c r="L69" s="1359">
        <f t="shared" si="269"/>
        <v>0</v>
      </c>
      <c r="M69" s="1359">
        <f t="shared" si="270"/>
        <v>0</v>
      </c>
      <c r="N69" s="1359">
        <f t="shared" si="271"/>
        <v>0</v>
      </c>
      <c r="O69" s="1359">
        <f t="shared" si="272"/>
        <v>0</v>
      </c>
      <c r="P69" s="1359">
        <f t="shared" si="273"/>
        <v>0</v>
      </c>
      <c r="Q69" s="1359">
        <f t="shared" si="274"/>
        <v>0</v>
      </c>
      <c r="R69" s="1359">
        <f t="shared" si="275"/>
        <v>0</v>
      </c>
      <c r="S69" s="1359">
        <f t="shared" si="276"/>
        <v>0</v>
      </c>
      <c r="T69" s="1359">
        <f t="shared" si="277"/>
        <v>0</v>
      </c>
      <c r="U69" s="1359">
        <f t="shared" si="278"/>
        <v>0</v>
      </c>
      <c r="V69" s="1359">
        <f t="shared" si="279"/>
        <v>0</v>
      </c>
      <c r="W69" s="1359">
        <f t="shared" si="280"/>
        <v>0</v>
      </c>
      <c r="X69" s="1359">
        <f t="shared" si="281"/>
        <v>0</v>
      </c>
      <c r="Y69" s="1359">
        <f t="shared" si="282"/>
        <v>0</v>
      </c>
      <c r="Z69" s="1359">
        <f t="shared" si="283"/>
        <v>0</v>
      </c>
      <c r="AA69" s="1359">
        <f t="shared" si="284"/>
        <v>0</v>
      </c>
      <c r="AB69" s="1359">
        <f t="shared" si="285"/>
        <v>0</v>
      </c>
      <c r="AC69" s="1360">
        <f>AB69</f>
        <v>0</v>
      </c>
      <c r="AD69" s="1885"/>
    </row>
    <row r="70" spans="1:30" x14ac:dyDescent="0.3">
      <c r="A70" s="1358" t="s">
        <v>1208</v>
      </c>
      <c r="B70" s="1358">
        <v>582.70000000000005</v>
      </c>
      <c r="C70" s="1358">
        <v>522.79999999999995</v>
      </c>
      <c r="D70" s="1358">
        <v>521.5</v>
      </c>
      <c r="E70" s="1358">
        <v>508</v>
      </c>
      <c r="F70" s="1358">
        <v>397.8</v>
      </c>
      <c r="G70" s="1358">
        <v>371.3</v>
      </c>
      <c r="H70" s="1358">
        <v>160.30000000000001</v>
      </c>
      <c r="I70" s="1358">
        <v>149.80000000000001</v>
      </c>
      <c r="J70" s="1358">
        <v>118.2</v>
      </c>
      <c r="K70" s="1358">
        <v>106.4</v>
      </c>
      <c r="L70" s="1358">
        <v>95</v>
      </c>
      <c r="M70" s="1358">
        <v>50.8</v>
      </c>
      <c r="N70" s="1358">
        <v>48.2</v>
      </c>
      <c r="O70" s="1358">
        <v>45.5</v>
      </c>
      <c r="P70" s="1358">
        <v>42.2</v>
      </c>
      <c r="Q70" s="1358">
        <v>38.299999999999997</v>
      </c>
      <c r="R70" s="1358">
        <v>22.1</v>
      </c>
      <c r="S70" s="1358">
        <v>18</v>
      </c>
      <c r="T70" s="1358">
        <v>15.2</v>
      </c>
      <c r="U70" s="1358">
        <v>15.1</v>
      </c>
      <c r="V70" s="1358">
        <v>2.2000000000000002</v>
      </c>
      <c r="W70" s="1358">
        <v>0.5</v>
      </c>
      <c r="X70" s="1358">
        <v>0.4</v>
      </c>
      <c r="Y70" s="1358">
        <v>0</v>
      </c>
      <c r="Z70" s="1358">
        <v>0.4</v>
      </c>
      <c r="AA70" s="1358">
        <v>1.7</v>
      </c>
      <c r="AB70" s="1358">
        <v>0.2</v>
      </c>
      <c r="AC70" s="1360"/>
      <c r="AD70" s="1352"/>
    </row>
    <row r="71" spans="1:30" x14ac:dyDescent="0.3">
      <c r="A71" t="s">
        <v>4058</v>
      </c>
      <c r="B71" s="1359">
        <f>(B70*0.000001)*'Energy GHG'!B21</f>
        <v>0</v>
      </c>
      <c r="C71" s="1359">
        <f>B71+(C70*0.000001)*'Energy GHG'!B21</f>
        <v>0</v>
      </c>
      <c r="D71" s="1359">
        <f>C71+(D70*0.000001)*'Energy GHG'!B21</f>
        <v>0</v>
      </c>
      <c r="E71" s="1359">
        <f>D71+(E70*0.000001)*'Energy GHG'!B21</f>
        <v>0</v>
      </c>
      <c r="F71" s="1359">
        <f>E71+(F70*0.000001)*'Energy GHG'!B21</f>
        <v>0</v>
      </c>
      <c r="G71" s="1359">
        <f>F71+(G70*0.000001)*'Energy GHG'!B21</f>
        <v>0</v>
      </c>
      <c r="H71" s="1359">
        <f>G71+(H70*0.000001)*'Energy GHG'!B21</f>
        <v>0</v>
      </c>
      <c r="I71" s="1359">
        <f>H71+(I70*0.000001)*'Energy GHG'!B21</f>
        <v>0</v>
      </c>
      <c r="J71" s="1359">
        <f>I71+(J70*0.000001)*'Energy GHG'!B21</f>
        <v>0</v>
      </c>
      <c r="K71" s="1359">
        <f>J71+(K70*0.000001)*'Energy GHG'!B21</f>
        <v>0</v>
      </c>
      <c r="L71" s="1359">
        <f>K71+(L70*0.000001)*'Energy GHG'!B21</f>
        <v>0</v>
      </c>
      <c r="M71" s="1359">
        <f>L71+(M70*0.000001)*'Energy GHG'!B21</f>
        <v>0</v>
      </c>
      <c r="N71" s="1359">
        <f>M71+(N70*0.000001)*'Energy GHG'!B21</f>
        <v>0</v>
      </c>
      <c r="O71" s="1359">
        <f>N71+(O70*0.000001)*'Energy GHG'!B21</f>
        <v>0</v>
      </c>
      <c r="P71" s="1359">
        <f>O71+(P70*0.000001)*'Energy GHG'!B21</f>
        <v>0</v>
      </c>
      <c r="Q71" s="1359">
        <f>P71+(Q70*0.000001)*'Energy GHG'!B21</f>
        <v>0</v>
      </c>
      <c r="R71" s="1359">
        <f>Q71+(R70*0.000001)*'Energy GHG'!B21</f>
        <v>0</v>
      </c>
      <c r="S71" s="1359">
        <f>R71+(S70*0.000001)*'Energy GHG'!B21</f>
        <v>0</v>
      </c>
      <c r="T71" s="1359">
        <f>S71+(T70*0.000001)*'Energy GHG'!B21</f>
        <v>0</v>
      </c>
      <c r="U71" s="1359">
        <f>T71+(U70*0.000001)*'Energy GHG'!B21</f>
        <v>0</v>
      </c>
      <c r="V71" s="1359">
        <f>U71+(V70*0.000001)*'Energy GHG'!B21</f>
        <v>0</v>
      </c>
      <c r="W71" s="1359">
        <f>V71+(W70*0.000001)*'Energy GHG'!B21</f>
        <v>0</v>
      </c>
      <c r="X71" s="1359">
        <f>W71+(X70*0.000001)*'Energy GHG'!B21</f>
        <v>0</v>
      </c>
      <c r="Y71" s="1359">
        <f>X71+(Y70*0.000001)*'Energy GHG'!B21</f>
        <v>0</v>
      </c>
      <c r="Z71" s="1359">
        <f>Y71+(Z70*0.000001)*'Energy GHG'!B21</f>
        <v>0</v>
      </c>
      <c r="AA71" s="1359">
        <f>Z71+(AA70*0.000001)*'Energy GHG'!B21</f>
        <v>0</v>
      </c>
      <c r="AB71" s="1359">
        <f>AA71+(AB70*0.000001)*'Energy GHG'!B21</f>
        <v>0</v>
      </c>
      <c r="AC71" s="1360">
        <f>AB71</f>
        <v>0</v>
      </c>
      <c r="AD71" s="1884">
        <f>SUM(AC71:AC75)</f>
        <v>0</v>
      </c>
    </row>
    <row r="72" spans="1:30" x14ac:dyDescent="0.3">
      <c r="A72" t="s">
        <v>4054</v>
      </c>
      <c r="B72" s="1364">
        <f>'Energy GHG'!B22*'Energy GHG'!E9</f>
        <v>0</v>
      </c>
      <c r="C72" s="1359">
        <f>B72+B72</f>
        <v>0</v>
      </c>
      <c r="D72" s="1359">
        <f>C72+B72</f>
        <v>0</v>
      </c>
      <c r="E72" s="1359">
        <f>D72+B72</f>
        <v>0</v>
      </c>
      <c r="F72" s="1359">
        <f>E72+B72</f>
        <v>0</v>
      </c>
      <c r="G72" s="1359">
        <f>F72+B72</f>
        <v>0</v>
      </c>
      <c r="H72" s="1359">
        <f>G72+B72</f>
        <v>0</v>
      </c>
      <c r="I72" s="1359">
        <f>H72+B72</f>
        <v>0</v>
      </c>
      <c r="J72" s="1359">
        <f>I72+B72</f>
        <v>0</v>
      </c>
      <c r="K72" s="1359">
        <f>J72+B72</f>
        <v>0</v>
      </c>
      <c r="L72" s="1359">
        <f>K72+B72</f>
        <v>0</v>
      </c>
      <c r="M72" s="1359">
        <f>L72+B72</f>
        <v>0</v>
      </c>
      <c r="N72" s="1359">
        <f>M72+B72</f>
        <v>0</v>
      </c>
      <c r="O72" s="1359">
        <f>N72+B72</f>
        <v>0</v>
      </c>
      <c r="P72" s="1359">
        <f>O72+B72</f>
        <v>0</v>
      </c>
      <c r="Q72" s="1359">
        <f>P72+B72</f>
        <v>0</v>
      </c>
      <c r="R72" s="1359">
        <f>Q72+B72</f>
        <v>0</v>
      </c>
      <c r="S72" s="1359">
        <f>R72+B72</f>
        <v>0</v>
      </c>
      <c r="T72" s="1359">
        <f>S72+B72</f>
        <v>0</v>
      </c>
      <c r="U72" s="1359">
        <f>T72+B72</f>
        <v>0</v>
      </c>
      <c r="V72" s="1359">
        <f>U72+B72</f>
        <v>0</v>
      </c>
      <c r="W72" s="1359">
        <f>V72+B72</f>
        <v>0</v>
      </c>
      <c r="X72" s="1359">
        <f>W72+B72</f>
        <v>0</v>
      </c>
      <c r="Y72" s="1359">
        <f>X72+B72</f>
        <v>0</v>
      </c>
      <c r="Z72" s="1359">
        <f>Y72+B72</f>
        <v>0</v>
      </c>
      <c r="AA72" s="1359">
        <f>Z72+B72</f>
        <v>0</v>
      </c>
      <c r="AB72" s="1359">
        <f>AA72+B72</f>
        <v>0</v>
      </c>
      <c r="AC72" s="1360">
        <f>AB72</f>
        <v>0</v>
      </c>
      <c r="AD72" s="1885"/>
    </row>
    <row r="73" spans="1:30" x14ac:dyDescent="0.3">
      <c r="A73" t="s">
        <v>4055</v>
      </c>
      <c r="B73" s="1364">
        <f>'Energy GHG'!B23*'Energy GHG'!F9</f>
        <v>0</v>
      </c>
      <c r="C73" s="1359">
        <f t="shared" ref="C73:C75" si="286">B73+B73</f>
        <v>0</v>
      </c>
      <c r="D73" s="1359">
        <f t="shared" ref="D73:D75" si="287">C73+B73</f>
        <v>0</v>
      </c>
      <c r="E73" s="1359">
        <f t="shared" ref="E73:E75" si="288">D73+B73</f>
        <v>0</v>
      </c>
      <c r="F73" s="1359">
        <f t="shared" ref="F73:F75" si="289">E73+B73</f>
        <v>0</v>
      </c>
      <c r="G73" s="1359">
        <f t="shared" ref="G73:G75" si="290">F73+B73</f>
        <v>0</v>
      </c>
      <c r="H73" s="1359">
        <f t="shared" ref="H73:H75" si="291">G73+B73</f>
        <v>0</v>
      </c>
      <c r="I73" s="1359">
        <f t="shared" ref="I73:I75" si="292">H73+B73</f>
        <v>0</v>
      </c>
      <c r="J73" s="1359">
        <f t="shared" ref="J73:J75" si="293">I73+B73</f>
        <v>0</v>
      </c>
      <c r="K73" s="1359">
        <f t="shared" ref="K73:K75" si="294">J73+B73</f>
        <v>0</v>
      </c>
      <c r="L73" s="1359">
        <f t="shared" ref="L73:L75" si="295">K73+B73</f>
        <v>0</v>
      </c>
      <c r="M73" s="1359">
        <f t="shared" ref="M73:M75" si="296">L73+B73</f>
        <v>0</v>
      </c>
      <c r="N73" s="1359">
        <f t="shared" ref="N73:N75" si="297">M73+B73</f>
        <v>0</v>
      </c>
      <c r="O73" s="1359">
        <f t="shared" ref="O73:O75" si="298">N73+B73</f>
        <v>0</v>
      </c>
      <c r="P73" s="1359">
        <f t="shared" ref="P73:P75" si="299">O73+B73</f>
        <v>0</v>
      </c>
      <c r="Q73" s="1359">
        <f t="shared" ref="Q73:Q75" si="300">P73+B73</f>
        <v>0</v>
      </c>
      <c r="R73" s="1359">
        <f t="shared" ref="R73:R75" si="301">Q73+B73</f>
        <v>0</v>
      </c>
      <c r="S73" s="1359">
        <f t="shared" ref="S73:S75" si="302">R73+B73</f>
        <v>0</v>
      </c>
      <c r="T73" s="1359">
        <f t="shared" ref="T73:T75" si="303">S73+B73</f>
        <v>0</v>
      </c>
      <c r="U73" s="1359">
        <f t="shared" ref="U73:U75" si="304">T73+B73</f>
        <v>0</v>
      </c>
      <c r="V73" s="1359">
        <f t="shared" ref="V73:V75" si="305">U73+B73</f>
        <v>0</v>
      </c>
      <c r="W73" s="1359">
        <f t="shared" ref="W73:W75" si="306">V73+B73</f>
        <v>0</v>
      </c>
      <c r="X73" s="1359">
        <f t="shared" ref="X73:X75" si="307">W73+B73</f>
        <v>0</v>
      </c>
      <c r="Y73" s="1359">
        <f t="shared" ref="Y73:Y75" si="308">X73+B73</f>
        <v>0</v>
      </c>
      <c r="Z73" s="1359">
        <f t="shared" ref="Z73:Z75" si="309">Y73+B73</f>
        <v>0</v>
      </c>
      <c r="AA73" s="1359">
        <f t="shared" ref="AA73:AA75" si="310">Z73+B73</f>
        <v>0</v>
      </c>
      <c r="AB73" s="1359">
        <f t="shared" ref="AB73:AB75" si="311">AA73+B73</f>
        <v>0</v>
      </c>
      <c r="AC73" s="1360">
        <f>AB73</f>
        <v>0</v>
      </c>
      <c r="AD73" s="1885"/>
    </row>
    <row r="74" spans="1:30" x14ac:dyDescent="0.3">
      <c r="A74" t="s">
        <v>4056</v>
      </c>
      <c r="B74" s="1364">
        <f>'Energy GHG'!B24*'Energy GHG'!G9</f>
        <v>0</v>
      </c>
      <c r="C74" s="1359">
        <f t="shared" si="286"/>
        <v>0</v>
      </c>
      <c r="D74" s="1359">
        <f t="shared" si="287"/>
        <v>0</v>
      </c>
      <c r="E74" s="1359">
        <f t="shared" si="288"/>
        <v>0</v>
      </c>
      <c r="F74" s="1359">
        <f t="shared" si="289"/>
        <v>0</v>
      </c>
      <c r="G74" s="1359">
        <f t="shared" si="290"/>
        <v>0</v>
      </c>
      <c r="H74" s="1359">
        <f t="shared" si="291"/>
        <v>0</v>
      </c>
      <c r="I74" s="1359">
        <f t="shared" si="292"/>
        <v>0</v>
      </c>
      <c r="J74" s="1359">
        <f t="shared" si="293"/>
        <v>0</v>
      </c>
      <c r="K74" s="1359">
        <f t="shared" si="294"/>
        <v>0</v>
      </c>
      <c r="L74" s="1359">
        <f t="shared" si="295"/>
        <v>0</v>
      </c>
      <c r="M74" s="1359">
        <f t="shared" si="296"/>
        <v>0</v>
      </c>
      <c r="N74" s="1359">
        <f t="shared" si="297"/>
        <v>0</v>
      </c>
      <c r="O74" s="1359">
        <f t="shared" si="298"/>
        <v>0</v>
      </c>
      <c r="P74" s="1359">
        <f t="shared" si="299"/>
        <v>0</v>
      </c>
      <c r="Q74" s="1359">
        <f t="shared" si="300"/>
        <v>0</v>
      </c>
      <c r="R74" s="1359">
        <f t="shared" si="301"/>
        <v>0</v>
      </c>
      <c r="S74" s="1359">
        <f t="shared" si="302"/>
        <v>0</v>
      </c>
      <c r="T74" s="1359">
        <f t="shared" si="303"/>
        <v>0</v>
      </c>
      <c r="U74" s="1359">
        <f t="shared" si="304"/>
        <v>0</v>
      </c>
      <c r="V74" s="1359">
        <f t="shared" si="305"/>
        <v>0</v>
      </c>
      <c r="W74" s="1359">
        <f t="shared" si="306"/>
        <v>0</v>
      </c>
      <c r="X74" s="1359">
        <f t="shared" si="307"/>
        <v>0</v>
      </c>
      <c r="Y74" s="1359">
        <f t="shared" si="308"/>
        <v>0</v>
      </c>
      <c r="Z74" s="1359">
        <f t="shared" si="309"/>
        <v>0</v>
      </c>
      <c r="AA74" s="1359">
        <f t="shared" si="310"/>
        <v>0</v>
      </c>
      <c r="AB74" s="1359">
        <f t="shared" si="311"/>
        <v>0</v>
      </c>
      <c r="AC74" s="1360">
        <f>AB74</f>
        <v>0</v>
      </c>
      <c r="AD74" s="1885"/>
    </row>
    <row r="75" spans="1:30" x14ac:dyDescent="0.3">
      <c r="A75" t="s">
        <v>4057</v>
      </c>
      <c r="B75" s="1364">
        <f>'Energy GHG'!B25*'Energy GHG'!H9</f>
        <v>0</v>
      </c>
      <c r="C75" s="1359">
        <f t="shared" si="286"/>
        <v>0</v>
      </c>
      <c r="D75" s="1359">
        <f t="shared" si="287"/>
        <v>0</v>
      </c>
      <c r="E75" s="1359">
        <f t="shared" si="288"/>
        <v>0</v>
      </c>
      <c r="F75" s="1359">
        <f t="shared" si="289"/>
        <v>0</v>
      </c>
      <c r="G75" s="1359">
        <f t="shared" si="290"/>
        <v>0</v>
      </c>
      <c r="H75" s="1359">
        <f t="shared" si="291"/>
        <v>0</v>
      </c>
      <c r="I75" s="1359">
        <f t="shared" si="292"/>
        <v>0</v>
      </c>
      <c r="J75" s="1359">
        <f t="shared" si="293"/>
        <v>0</v>
      </c>
      <c r="K75" s="1359">
        <f t="shared" si="294"/>
        <v>0</v>
      </c>
      <c r="L75" s="1359">
        <f t="shared" si="295"/>
        <v>0</v>
      </c>
      <c r="M75" s="1359">
        <f t="shared" si="296"/>
        <v>0</v>
      </c>
      <c r="N75" s="1359">
        <f t="shared" si="297"/>
        <v>0</v>
      </c>
      <c r="O75" s="1359">
        <f t="shared" si="298"/>
        <v>0</v>
      </c>
      <c r="P75" s="1359">
        <f t="shared" si="299"/>
        <v>0</v>
      </c>
      <c r="Q75" s="1359">
        <f t="shared" si="300"/>
        <v>0</v>
      </c>
      <c r="R75" s="1359">
        <f t="shared" si="301"/>
        <v>0</v>
      </c>
      <c r="S75" s="1359">
        <f t="shared" si="302"/>
        <v>0</v>
      </c>
      <c r="T75" s="1359">
        <f t="shared" si="303"/>
        <v>0</v>
      </c>
      <c r="U75" s="1359">
        <f t="shared" si="304"/>
        <v>0</v>
      </c>
      <c r="V75" s="1359">
        <f t="shared" si="305"/>
        <v>0</v>
      </c>
      <c r="W75" s="1359">
        <f t="shared" si="306"/>
        <v>0</v>
      </c>
      <c r="X75" s="1359">
        <f t="shared" si="307"/>
        <v>0</v>
      </c>
      <c r="Y75" s="1359">
        <f t="shared" si="308"/>
        <v>0</v>
      </c>
      <c r="Z75" s="1359">
        <f t="shared" si="309"/>
        <v>0</v>
      </c>
      <c r="AA75" s="1359">
        <f t="shared" si="310"/>
        <v>0</v>
      </c>
      <c r="AB75" s="1359">
        <f t="shared" si="311"/>
        <v>0</v>
      </c>
      <c r="AC75" s="1360">
        <f>AB75</f>
        <v>0</v>
      </c>
      <c r="AD75" s="1885"/>
    </row>
    <row r="76" spans="1:30" x14ac:dyDescent="0.3">
      <c r="A76" s="1358" t="s">
        <v>4060</v>
      </c>
      <c r="B76" s="1358">
        <v>141.80000000000001</v>
      </c>
      <c r="C76" s="1358">
        <v>44.6</v>
      </c>
      <c r="D76" s="1358">
        <v>77.599999999999994</v>
      </c>
      <c r="E76" s="1358">
        <v>113.2</v>
      </c>
      <c r="F76" s="1358">
        <v>133.9</v>
      </c>
      <c r="G76" s="1358">
        <v>132.4</v>
      </c>
      <c r="H76" s="1358">
        <v>125.7</v>
      </c>
      <c r="I76" s="1358">
        <v>92.2</v>
      </c>
      <c r="J76" s="1358">
        <v>62.3</v>
      </c>
      <c r="K76" s="1358">
        <v>61.6</v>
      </c>
      <c r="L76" s="1358">
        <v>61.9</v>
      </c>
      <c r="M76" s="1358">
        <v>63</v>
      </c>
      <c r="N76" s="1358">
        <v>61.2</v>
      </c>
      <c r="O76" s="1358">
        <v>64.2</v>
      </c>
      <c r="P76" s="1358">
        <v>64.8</v>
      </c>
      <c r="Q76" s="1358">
        <v>64.900000000000006</v>
      </c>
      <c r="R76" s="1358">
        <v>62.6</v>
      </c>
      <c r="S76" s="1358">
        <v>54.1</v>
      </c>
      <c r="T76" s="1358">
        <v>47</v>
      </c>
      <c r="U76" s="1358">
        <v>45.1</v>
      </c>
      <c r="V76" s="1358">
        <v>41.7</v>
      </c>
      <c r="W76" s="1358">
        <v>37.799999999999997</v>
      </c>
      <c r="X76" s="1358">
        <v>35.6</v>
      </c>
      <c r="Y76" s="1358">
        <v>33</v>
      </c>
      <c r="Z76" s="1358">
        <v>32.200000000000003</v>
      </c>
      <c r="AA76" s="1358">
        <v>30.6</v>
      </c>
      <c r="AB76" s="1358">
        <v>30</v>
      </c>
      <c r="AC76" s="1360"/>
      <c r="AD76" s="1352"/>
    </row>
    <row r="77" spans="1:30" x14ac:dyDescent="0.3">
      <c r="A77" t="s">
        <v>4058</v>
      </c>
      <c r="B77" s="1359">
        <f>(B76*0.000001)*'Energy GHG'!B21</f>
        <v>0</v>
      </c>
      <c r="C77" s="1359">
        <f>B77+(C76*0.000001)*'Energy GHG'!B21</f>
        <v>0</v>
      </c>
      <c r="D77" s="1359">
        <f>C77+(D76*0.000001)*'Energy GHG'!B21</f>
        <v>0</v>
      </c>
      <c r="E77" s="1359">
        <f>D77+(E76*0.000001)*'Energy GHG'!B21</f>
        <v>0</v>
      </c>
      <c r="F77" s="1359">
        <f>E77+(F76*0.000001)*'Energy GHG'!B21</f>
        <v>0</v>
      </c>
      <c r="G77" s="1359">
        <f>F77+(G76*0.000001)*'Energy GHG'!B21</f>
        <v>0</v>
      </c>
      <c r="H77" s="1359">
        <f>G77+(H76*0.000001)*'Energy GHG'!B21</f>
        <v>0</v>
      </c>
      <c r="I77" s="1359">
        <f>H77+(I76*0.000001)*'Energy GHG'!B21</f>
        <v>0</v>
      </c>
      <c r="J77" s="1359">
        <f>I77+(J76*0.000001)*'Energy GHG'!B21</f>
        <v>0</v>
      </c>
      <c r="K77" s="1359">
        <f>J77+(K76*0.000001)*'Energy GHG'!B21</f>
        <v>0</v>
      </c>
      <c r="L77" s="1359">
        <f>K77+(L76*0.000001)*'Energy GHG'!B21</f>
        <v>0</v>
      </c>
      <c r="M77" s="1359">
        <f>L77+(M76*0.000001)*'Energy GHG'!B21</f>
        <v>0</v>
      </c>
      <c r="N77" s="1359">
        <f>M77+(N76*0.000001)*'Energy GHG'!B21</f>
        <v>0</v>
      </c>
      <c r="O77" s="1359">
        <f>N77+(O76*0.000001)*'Energy GHG'!B21</f>
        <v>0</v>
      </c>
      <c r="P77" s="1359">
        <f>O77+(P76*0.000001)*'Energy GHG'!B21</f>
        <v>0</v>
      </c>
      <c r="Q77" s="1359">
        <f>P77+(Q76*0.000001)*'Energy GHG'!B21</f>
        <v>0</v>
      </c>
      <c r="R77" s="1359">
        <f>Q77+(R76*0.000001)*'Energy GHG'!B21</f>
        <v>0</v>
      </c>
      <c r="S77" s="1359">
        <f>R77+(S76*0.000001)*'Energy GHG'!B21</f>
        <v>0</v>
      </c>
      <c r="T77" s="1359">
        <f>S77+(T76*0.000001)*'Energy GHG'!B21</f>
        <v>0</v>
      </c>
      <c r="U77" s="1359">
        <f>T77+(U76*0.000001)*'Energy GHG'!B21</f>
        <v>0</v>
      </c>
      <c r="V77" s="1359">
        <f>U77+(V76*0.000001)*'Energy GHG'!B21</f>
        <v>0</v>
      </c>
      <c r="W77" s="1359">
        <f>V77+(W76*0.000001)*'Energy GHG'!B21</f>
        <v>0</v>
      </c>
      <c r="X77" s="1359">
        <f>W77+(X76*0.000001)*'Energy GHG'!B21</f>
        <v>0</v>
      </c>
      <c r="Y77" s="1359">
        <f>X77+(Y76*0.000001)*'Energy GHG'!B21</f>
        <v>0</v>
      </c>
      <c r="Z77" s="1359">
        <f>Y77+(Z76*0.000001)*'Energy GHG'!B21</f>
        <v>0</v>
      </c>
      <c r="AA77" s="1359">
        <f>Z77+(AA76*0.000001)*'Energy GHG'!B21</f>
        <v>0</v>
      </c>
      <c r="AB77" s="1359">
        <f>AA77+(AB76*0.000001)*'Energy GHG'!B21</f>
        <v>0</v>
      </c>
      <c r="AC77" s="1360">
        <f>AB77</f>
        <v>0</v>
      </c>
      <c r="AD77" s="1884">
        <f>SUM(AC77:AC81)</f>
        <v>0</v>
      </c>
    </row>
    <row r="78" spans="1:30" x14ac:dyDescent="0.3">
      <c r="A78" t="s">
        <v>4054</v>
      </c>
      <c r="B78" s="1365">
        <f>'Energy GHG'!B22*'Energy GHG'!E12</f>
        <v>0</v>
      </c>
      <c r="C78" s="1359">
        <f>B78+B78</f>
        <v>0</v>
      </c>
      <c r="D78" s="1359">
        <f>C78+B78</f>
        <v>0</v>
      </c>
      <c r="E78" s="1359">
        <f>D78+B78</f>
        <v>0</v>
      </c>
      <c r="F78" s="1359">
        <f>E78+B78</f>
        <v>0</v>
      </c>
      <c r="G78" s="1359">
        <f>F78+B78</f>
        <v>0</v>
      </c>
      <c r="H78" s="1359">
        <f>G78+B78</f>
        <v>0</v>
      </c>
      <c r="I78" s="1359">
        <f>H78+B78</f>
        <v>0</v>
      </c>
      <c r="J78" s="1359">
        <f>I78+B78</f>
        <v>0</v>
      </c>
      <c r="K78" s="1359">
        <f>J78+B78</f>
        <v>0</v>
      </c>
      <c r="L78" s="1359">
        <f>K78+B78</f>
        <v>0</v>
      </c>
      <c r="M78" s="1359">
        <f>L78+B78</f>
        <v>0</v>
      </c>
      <c r="N78" s="1359">
        <f>M78+B78</f>
        <v>0</v>
      </c>
      <c r="O78" s="1359">
        <f>N78+B78</f>
        <v>0</v>
      </c>
      <c r="P78" s="1359">
        <f>O78+B78</f>
        <v>0</v>
      </c>
      <c r="Q78" s="1359">
        <f>P78+B78</f>
        <v>0</v>
      </c>
      <c r="R78" s="1359">
        <f>Q78+B78</f>
        <v>0</v>
      </c>
      <c r="S78" s="1359">
        <f>R78+B78</f>
        <v>0</v>
      </c>
      <c r="T78" s="1359">
        <f>S78+B78</f>
        <v>0</v>
      </c>
      <c r="U78" s="1359">
        <f>T78+B78</f>
        <v>0</v>
      </c>
      <c r="V78" s="1359">
        <f>U78+B78</f>
        <v>0</v>
      </c>
      <c r="W78" s="1359">
        <f>V78+B78</f>
        <v>0</v>
      </c>
      <c r="X78" s="1359">
        <f>W78+B78</f>
        <v>0</v>
      </c>
      <c r="Y78" s="1359">
        <f>X78+B78</f>
        <v>0</v>
      </c>
      <c r="Z78" s="1359">
        <f>Y78+B78</f>
        <v>0</v>
      </c>
      <c r="AA78" s="1359">
        <f>Z78+B78</f>
        <v>0</v>
      </c>
      <c r="AB78" s="1359">
        <f>AA78+B78</f>
        <v>0</v>
      </c>
      <c r="AC78" s="1360">
        <f>AB78</f>
        <v>0</v>
      </c>
      <c r="AD78" s="1885"/>
    </row>
    <row r="79" spans="1:30" x14ac:dyDescent="0.3">
      <c r="A79" t="s">
        <v>4055</v>
      </c>
      <c r="B79" s="1365">
        <f>'Energy GHG'!B23*'Energy GHG'!F12</f>
        <v>0</v>
      </c>
      <c r="C79" s="1359">
        <f t="shared" ref="C79:C81" si="312">B79+B79</f>
        <v>0</v>
      </c>
      <c r="D79" s="1359">
        <f t="shared" ref="D79:D81" si="313">C79+B79</f>
        <v>0</v>
      </c>
      <c r="E79" s="1359">
        <f t="shared" ref="E79:E81" si="314">D79+B79</f>
        <v>0</v>
      </c>
      <c r="F79" s="1359">
        <f t="shared" ref="F79:F81" si="315">E79+B79</f>
        <v>0</v>
      </c>
      <c r="G79" s="1359">
        <f t="shared" ref="G79:G81" si="316">F79+B79</f>
        <v>0</v>
      </c>
      <c r="H79" s="1359">
        <f t="shared" ref="H79:H81" si="317">G79+B79</f>
        <v>0</v>
      </c>
      <c r="I79" s="1359">
        <f t="shared" ref="I79:I81" si="318">H79+B79</f>
        <v>0</v>
      </c>
      <c r="J79" s="1359">
        <f t="shared" ref="J79:J81" si="319">I79+B79</f>
        <v>0</v>
      </c>
      <c r="K79" s="1359">
        <f t="shared" ref="K79:K81" si="320">J79+B79</f>
        <v>0</v>
      </c>
      <c r="L79" s="1359">
        <f t="shared" ref="L79:L81" si="321">K79+B79</f>
        <v>0</v>
      </c>
      <c r="M79" s="1359">
        <f t="shared" ref="M79:M81" si="322">L79+B79</f>
        <v>0</v>
      </c>
      <c r="N79" s="1359">
        <f t="shared" ref="N79:N81" si="323">M79+B79</f>
        <v>0</v>
      </c>
      <c r="O79" s="1359">
        <f t="shared" ref="O79:O81" si="324">N79+B79</f>
        <v>0</v>
      </c>
      <c r="P79" s="1359">
        <f t="shared" ref="P79:P81" si="325">O79+B79</f>
        <v>0</v>
      </c>
      <c r="Q79" s="1359">
        <f t="shared" ref="Q79:Q81" si="326">P79+B79</f>
        <v>0</v>
      </c>
      <c r="R79" s="1359">
        <f t="shared" ref="R79:R81" si="327">Q79+B79</f>
        <v>0</v>
      </c>
      <c r="S79" s="1359">
        <f t="shared" ref="S79:S81" si="328">R79+B79</f>
        <v>0</v>
      </c>
      <c r="T79" s="1359">
        <f t="shared" ref="T79:T81" si="329">S79+B79</f>
        <v>0</v>
      </c>
      <c r="U79" s="1359">
        <f t="shared" ref="U79:U81" si="330">T79+B79</f>
        <v>0</v>
      </c>
      <c r="V79" s="1359">
        <f t="shared" ref="V79:V81" si="331">U79+B79</f>
        <v>0</v>
      </c>
      <c r="W79" s="1359">
        <f t="shared" ref="W79:W81" si="332">V79+B79</f>
        <v>0</v>
      </c>
      <c r="X79" s="1359">
        <f t="shared" ref="X79:X81" si="333">W79+B79</f>
        <v>0</v>
      </c>
      <c r="Y79" s="1359">
        <f t="shared" ref="Y79:Y81" si="334">X79+B79</f>
        <v>0</v>
      </c>
      <c r="Z79" s="1359">
        <f t="shared" ref="Z79:Z81" si="335">Y79+B79</f>
        <v>0</v>
      </c>
      <c r="AA79" s="1359">
        <f t="shared" ref="AA79:AA81" si="336">Z79+B79</f>
        <v>0</v>
      </c>
      <c r="AB79" s="1359">
        <f t="shared" ref="AB79:AB81" si="337">AA79+B79</f>
        <v>0</v>
      </c>
      <c r="AC79" s="1360">
        <f>AB79</f>
        <v>0</v>
      </c>
      <c r="AD79" s="1885"/>
    </row>
    <row r="80" spans="1:30" x14ac:dyDescent="0.3">
      <c r="A80" t="s">
        <v>4056</v>
      </c>
      <c r="B80" s="1365">
        <f>'Energy GHG'!B24*'Energy GHG'!G12</f>
        <v>0</v>
      </c>
      <c r="C80" s="1359">
        <f t="shared" si="312"/>
        <v>0</v>
      </c>
      <c r="D80" s="1359">
        <f t="shared" si="313"/>
        <v>0</v>
      </c>
      <c r="E80" s="1359">
        <f t="shared" si="314"/>
        <v>0</v>
      </c>
      <c r="F80" s="1359">
        <f t="shared" si="315"/>
        <v>0</v>
      </c>
      <c r="G80" s="1359">
        <f t="shared" si="316"/>
        <v>0</v>
      </c>
      <c r="H80" s="1359">
        <f t="shared" si="317"/>
        <v>0</v>
      </c>
      <c r="I80" s="1359">
        <f t="shared" si="318"/>
        <v>0</v>
      </c>
      <c r="J80" s="1359">
        <f t="shared" si="319"/>
        <v>0</v>
      </c>
      <c r="K80" s="1359">
        <f t="shared" si="320"/>
        <v>0</v>
      </c>
      <c r="L80" s="1359">
        <f t="shared" si="321"/>
        <v>0</v>
      </c>
      <c r="M80" s="1359">
        <f t="shared" si="322"/>
        <v>0</v>
      </c>
      <c r="N80" s="1359">
        <f t="shared" si="323"/>
        <v>0</v>
      </c>
      <c r="O80" s="1359">
        <f t="shared" si="324"/>
        <v>0</v>
      </c>
      <c r="P80" s="1359">
        <f t="shared" si="325"/>
        <v>0</v>
      </c>
      <c r="Q80" s="1359">
        <f t="shared" si="326"/>
        <v>0</v>
      </c>
      <c r="R80" s="1359">
        <f t="shared" si="327"/>
        <v>0</v>
      </c>
      <c r="S80" s="1359">
        <f t="shared" si="328"/>
        <v>0</v>
      </c>
      <c r="T80" s="1359">
        <f t="shared" si="329"/>
        <v>0</v>
      </c>
      <c r="U80" s="1359">
        <f t="shared" si="330"/>
        <v>0</v>
      </c>
      <c r="V80" s="1359">
        <f t="shared" si="331"/>
        <v>0</v>
      </c>
      <c r="W80" s="1359">
        <f t="shared" si="332"/>
        <v>0</v>
      </c>
      <c r="X80" s="1359">
        <f t="shared" si="333"/>
        <v>0</v>
      </c>
      <c r="Y80" s="1359">
        <f t="shared" si="334"/>
        <v>0</v>
      </c>
      <c r="Z80" s="1359">
        <f t="shared" si="335"/>
        <v>0</v>
      </c>
      <c r="AA80" s="1359">
        <f t="shared" si="336"/>
        <v>0</v>
      </c>
      <c r="AB80" s="1359">
        <f t="shared" si="337"/>
        <v>0</v>
      </c>
      <c r="AC80" s="1360">
        <f>AB80</f>
        <v>0</v>
      </c>
      <c r="AD80" s="1885"/>
    </row>
    <row r="81" spans="1:30" x14ac:dyDescent="0.3">
      <c r="A81" t="s">
        <v>4057</v>
      </c>
      <c r="B81" s="1365">
        <f>'Energy GHG'!B25*'Energy GHG'!H12</f>
        <v>0</v>
      </c>
      <c r="C81" s="1359">
        <f t="shared" si="312"/>
        <v>0</v>
      </c>
      <c r="D81" s="1359">
        <f t="shared" si="313"/>
        <v>0</v>
      </c>
      <c r="E81" s="1359">
        <f t="shared" si="314"/>
        <v>0</v>
      </c>
      <c r="F81" s="1359">
        <f t="shared" si="315"/>
        <v>0</v>
      </c>
      <c r="G81" s="1359">
        <f t="shared" si="316"/>
        <v>0</v>
      </c>
      <c r="H81" s="1359">
        <f t="shared" si="317"/>
        <v>0</v>
      </c>
      <c r="I81" s="1359">
        <f t="shared" si="318"/>
        <v>0</v>
      </c>
      <c r="J81" s="1359">
        <f t="shared" si="319"/>
        <v>0</v>
      </c>
      <c r="K81" s="1359">
        <f t="shared" si="320"/>
        <v>0</v>
      </c>
      <c r="L81" s="1359">
        <f t="shared" si="321"/>
        <v>0</v>
      </c>
      <c r="M81" s="1359">
        <f t="shared" si="322"/>
        <v>0</v>
      </c>
      <c r="N81" s="1359">
        <f t="shared" si="323"/>
        <v>0</v>
      </c>
      <c r="O81" s="1359">
        <f t="shared" si="324"/>
        <v>0</v>
      </c>
      <c r="P81" s="1359">
        <f t="shared" si="325"/>
        <v>0</v>
      </c>
      <c r="Q81" s="1359">
        <f t="shared" si="326"/>
        <v>0</v>
      </c>
      <c r="R81" s="1359">
        <f t="shared" si="327"/>
        <v>0</v>
      </c>
      <c r="S81" s="1359">
        <f t="shared" si="328"/>
        <v>0</v>
      </c>
      <c r="T81" s="1359">
        <f t="shared" si="329"/>
        <v>0</v>
      </c>
      <c r="U81" s="1359">
        <f t="shared" si="330"/>
        <v>0</v>
      </c>
      <c r="V81" s="1359">
        <f t="shared" si="331"/>
        <v>0</v>
      </c>
      <c r="W81" s="1359">
        <f t="shared" si="332"/>
        <v>0</v>
      </c>
      <c r="X81" s="1359">
        <f t="shared" si="333"/>
        <v>0</v>
      </c>
      <c r="Y81" s="1359">
        <f t="shared" si="334"/>
        <v>0</v>
      </c>
      <c r="Z81" s="1359">
        <f t="shared" si="335"/>
        <v>0</v>
      </c>
      <c r="AA81" s="1359">
        <f t="shared" si="336"/>
        <v>0</v>
      </c>
      <c r="AB81" s="1359">
        <f t="shared" si="337"/>
        <v>0</v>
      </c>
      <c r="AC81" s="1360">
        <f>AB81</f>
        <v>0</v>
      </c>
      <c r="AD81" s="1885"/>
    </row>
    <row r="82" spans="1:30" x14ac:dyDescent="0.3">
      <c r="A82" s="1358" t="s">
        <v>4068</v>
      </c>
      <c r="B82" s="1358" cm="1">
        <f t="array" aca="1" ref="B82" ca="1">INDIRECT(ADDRESS($B$90+0,COLUMN()))</f>
        <v>141.80000000000001</v>
      </c>
      <c r="C82" s="1358" cm="1">
        <f t="array" aca="1" ref="C82" ca="1">INDIRECT(ADDRESS($B$90+0,COLUMN()))</f>
        <v>44.6</v>
      </c>
      <c r="D82" s="1358" cm="1">
        <f t="array" aca="1" ref="D82" ca="1">INDIRECT(ADDRESS($B$90+0,COLUMN()))</f>
        <v>77.599999999999994</v>
      </c>
      <c r="E82" s="1358" cm="1">
        <f t="array" aca="1" ref="E82" ca="1">INDIRECT(ADDRESS($B$90+0,COLUMN()))</f>
        <v>113.2</v>
      </c>
      <c r="F82" s="1358" cm="1">
        <f t="array" aca="1" ref="F82" ca="1">INDIRECT(ADDRESS($B$90+0,COLUMN()))</f>
        <v>133.9</v>
      </c>
      <c r="G82" s="1358" cm="1">
        <f t="array" aca="1" ref="G82" ca="1">INDIRECT(ADDRESS($B$90+0,COLUMN()))</f>
        <v>132.4</v>
      </c>
      <c r="H82" s="1358" cm="1">
        <f t="array" aca="1" ref="H82" ca="1">INDIRECT(ADDRESS($B$90+0,COLUMN()))</f>
        <v>125.7</v>
      </c>
      <c r="I82" s="1358" cm="1">
        <f t="array" aca="1" ref="I82" ca="1">INDIRECT(ADDRESS($B$90+0,COLUMN()))</f>
        <v>92.2</v>
      </c>
      <c r="J82" s="1358" cm="1">
        <f t="array" aca="1" ref="J82" ca="1">INDIRECT(ADDRESS($B$90+0,COLUMN()))</f>
        <v>62.3</v>
      </c>
      <c r="K82" s="1358" cm="1">
        <f t="array" aca="1" ref="K82" ca="1">INDIRECT(ADDRESS($B$90+0,COLUMN()))</f>
        <v>61.6</v>
      </c>
      <c r="L82" s="1358" cm="1">
        <f t="array" aca="1" ref="L82" ca="1">INDIRECT(ADDRESS($B$90+0,COLUMN()))</f>
        <v>61.9</v>
      </c>
      <c r="M82" s="1358" cm="1">
        <f t="array" aca="1" ref="M82" ca="1">INDIRECT(ADDRESS($B$90+0,COLUMN()))</f>
        <v>63</v>
      </c>
      <c r="N82" s="1358" cm="1">
        <f t="array" aca="1" ref="N82" ca="1">INDIRECT(ADDRESS($B$90+0,COLUMN()))</f>
        <v>61.2</v>
      </c>
      <c r="O82" s="1358" cm="1">
        <f t="array" aca="1" ref="O82" ca="1">INDIRECT(ADDRESS($B$90+0,COLUMN()))</f>
        <v>64.2</v>
      </c>
      <c r="P82" s="1358" cm="1">
        <f t="array" aca="1" ref="P82" ca="1">INDIRECT(ADDRESS($B$90+0,COLUMN()))</f>
        <v>64.8</v>
      </c>
      <c r="Q82" s="1358" cm="1">
        <f t="array" aca="1" ref="Q82" ca="1">INDIRECT(ADDRESS($B$90+0,COLUMN()))</f>
        <v>64.900000000000006</v>
      </c>
      <c r="R82" s="1358" cm="1">
        <f t="array" aca="1" ref="R82" ca="1">INDIRECT(ADDRESS($B$90+0,COLUMN()))</f>
        <v>62.6</v>
      </c>
      <c r="S82" s="1358" cm="1">
        <f t="array" aca="1" ref="S82" ca="1">INDIRECT(ADDRESS($B$90+0,COLUMN()))</f>
        <v>54.1</v>
      </c>
      <c r="T82" s="1358" cm="1">
        <f t="array" aca="1" ref="T82" ca="1">INDIRECT(ADDRESS($B$90+0,COLUMN()))</f>
        <v>47</v>
      </c>
      <c r="U82" s="1358" cm="1">
        <f t="array" aca="1" ref="U82" ca="1">INDIRECT(ADDRESS($B$90+0,COLUMN()))</f>
        <v>45.1</v>
      </c>
      <c r="V82" s="1358" cm="1">
        <f t="array" aca="1" ref="V82" ca="1">INDIRECT(ADDRESS($B$90+0,COLUMN()))</f>
        <v>41.7</v>
      </c>
      <c r="W82" s="1358" cm="1">
        <f t="array" aca="1" ref="W82" ca="1">INDIRECT(ADDRESS($B$90+0,COLUMN()))</f>
        <v>37.799999999999997</v>
      </c>
      <c r="X82" s="1358" cm="1">
        <f t="array" aca="1" ref="X82" ca="1">INDIRECT(ADDRESS($B$90+0,COLUMN()))</f>
        <v>35.6</v>
      </c>
      <c r="Y82" s="1358" cm="1">
        <f t="array" aca="1" ref="Y82" ca="1">INDIRECT(ADDRESS($B$90+0,COLUMN()))</f>
        <v>33</v>
      </c>
      <c r="Z82" s="1358" cm="1">
        <f t="array" aca="1" ref="Z82" ca="1">INDIRECT(ADDRESS($B$90+0,COLUMN()))</f>
        <v>32.200000000000003</v>
      </c>
      <c r="AA82" s="1358" cm="1">
        <f t="array" aca="1" ref="AA82" ca="1">INDIRECT(ADDRESS($B$90+0,COLUMN()))</f>
        <v>30.6</v>
      </c>
      <c r="AB82" s="1358" cm="1">
        <f t="array" aca="1" ref="AB82" ca="1">INDIRECT(ADDRESS($B$90+0,COLUMN()))</f>
        <v>30</v>
      </c>
      <c r="AC82" s="1360"/>
      <c r="AD82" s="1352"/>
    </row>
    <row r="83" spans="1:30" x14ac:dyDescent="0.3">
      <c r="A83" t="s">
        <v>4058</v>
      </c>
      <c r="B83" s="1359" cm="1">
        <f t="array" aca="1" ref="B83" ca="1">INDIRECT(ADDRESS($B$90+1,COLUMN()))</f>
        <v>0</v>
      </c>
      <c r="C83" s="1359" cm="1">
        <f t="array" aca="1" ref="C83" ca="1">INDIRECT(ADDRESS($B$90+1,COLUMN()))</f>
        <v>0</v>
      </c>
      <c r="D83" s="1359" cm="1">
        <f t="array" aca="1" ref="D83" ca="1">INDIRECT(ADDRESS($B$90+1,COLUMN()))</f>
        <v>0</v>
      </c>
      <c r="E83" s="1359" cm="1">
        <f t="array" aca="1" ref="E83" ca="1">INDIRECT(ADDRESS($B$90+1,COLUMN()))</f>
        <v>0</v>
      </c>
      <c r="F83" s="1359" cm="1">
        <f t="array" aca="1" ref="F83" ca="1">INDIRECT(ADDRESS($B$90+1,COLUMN()))</f>
        <v>0</v>
      </c>
      <c r="G83" s="1359" cm="1">
        <f t="array" aca="1" ref="G83" ca="1">INDIRECT(ADDRESS($B$90+1,COLUMN()))</f>
        <v>0</v>
      </c>
      <c r="H83" s="1359" cm="1">
        <f t="array" aca="1" ref="H83" ca="1">INDIRECT(ADDRESS($B$90+1,COLUMN()))</f>
        <v>0</v>
      </c>
      <c r="I83" s="1359" cm="1">
        <f t="array" aca="1" ref="I83" ca="1">INDIRECT(ADDRESS($B$90+1,COLUMN()))</f>
        <v>0</v>
      </c>
      <c r="J83" s="1359" cm="1">
        <f t="array" aca="1" ref="J83" ca="1">INDIRECT(ADDRESS($B$90+1,COLUMN()))</f>
        <v>0</v>
      </c>
      <c r="K83" s="1359" cm="1">
        <f t="array" aca="1" ref="K83" ca="1">INDIRECT(ADDRESS($B$90+1,COLUMN()))</f>
        <v>0</v>
      </c>
      <c r="L83" s="1359" cm="1">
        <f t="array" aca="1" ref="L83" ca="1">INDIRECT(ADDRESS($B$90+1,COLUMN()))</f>
        <v>0</v>
      </c>
      <c r="M83" s="1359" cm="1">
        <f t="array" aca="1" ref="M83" ca="1">INDIRECT(ADDRESS($B$90+1,COLUMN()))</f>
        <v>0</v>
      </c>
      <c r="N83" s="1359" cm="1">
        <f t="array" aca="1" ref="N83" ca="1">INDIRECT(ADDRESS($B$90+1,COLUMN()))</f>
        <v>0</v>
      </c>
      <c r="O83" s="1359" cm="1">
        <f t="array" aca="1" ref="O83" ca="1">INDIRECT(ADDRESS($B$90+1,COLUMN()))</f>
        <v>0</v>
      </c>
      <c r="P83" s="1359" cm="1">
        <f t="array" aca="1" ref="P83" ca="1">INDIRECT(ADDRESS($B$90+1,COLUMN()))</f>
        <v>0</v>
      </c>
      <c r="Q83" s="1359" cm="1">
        <f t="array" aca="1" ref="Q83" ca="1">INDIRECT(ADDRESS($B$90+1,COLUMN()))</f>
        <v>0</v>
      </c>
      <c r="R83" s="1359" cm="1">
        <f t="array" aca="1" ref="R83" ca="1">INDIRECT(ADDRESS($B$90+1,COLUMN()))</f>
        <v>0</v>
      </c>
      <c r="S83" s="1359" cm="1">
        <f t="array" aca="1" ref="S83" ca="1">INDIRECT(ADDRESS($B$90+1,COLUMN()))</f>
        <v>0</v>
      </c>
      <c r="T83" s="1359" cm="1">
        <f t="array" aca="1" ref="T83" ca="1">INDIRECT(ADDRESS($B$90+1,COLUMN()))</f>
        <v>0</v>
      </c>
      <c r="U83" s="1359" cm="1">
        <f t="array" aca="1" ref="U83" ca="1">INDIRECT(ADDRESS($B$90+1,COLUMN()))</f>
        <v>0</v>
      </c>
      <c r="V83" s="1359" cm="1">
        <f t="array" aca="1" ref="V83" ca="1">INDIRECT(ADDRESS($B$90+1,COLUMN()))</f>
        <v>0</v>
      </c>
      <c r="W83" s="1359" cm="1">
        <f t="array" aca="1" ref="W83" ca="1">INDIRECT(ADDRESS($B$90+1,COLUMN()))</f>
        <v>0</v>
      </c>
      <c r="X83" s="1359" cm="1">
        <f t="array" aca="1" ref="X83" ca="1">INDIRECT(ADDRESS($B$90+1,COLUMN()))</f>
        <v>0</v>
      </c>
      <c r="Y83" s="1359" cm="1">
        <f t="array" aca="1" ref="Y83" ca="1">INDIRECT(ADDRESS($B$90+1,COLUMN()))</f>
        <v>0</v>
      </c>
      <c r="Z83" s="1359" cm="1">
        <f t="array" aca="1" ref="Z83" ca="1">INDIRECT(ADDRESS($B$90+1,COLUMN()))</f>
        <v>0</v>
      </c>
      <c r="AA83" s="1359" cm="1">
        <f t="array" aca="1" ref="AA83" ca="1">INDIRECT(ADDRESS($B$90+1,COLUMN()))</f>
        <v>0</v>
      </c>
      <c r="AB83" s="1359" cm="1">
        <f t="array" aca="1" ref="AB83" ca="1">INDIRECT(ADDRESS($B$90+1,COLUMN()))</f>
        <v>0</v>
      </c>
      <c r="AC83" s="1360">
        <f ca="1">AB83</f>
        <v>0</v>
      </c>
      <c r="AD83" s="1884">
        <f ca="1">SUM(AC83:AC87)</f>
        <v>0</v>
      </c>
    </row>
    <row r="84" spans="1:30" x14ac:dyDescent="0.3">
      <c r="A84" t="s">
        <v>4054</v>
      </c>
      <c r="B84" s="1365" cm="1">
        <f t="array" aca="1" ref="B84" ca="1">INDIRECT(ADDRESS($B$90+2,COLUMN()))</f>
        <v>0</v>
      </c>
      <c r="C84" s="1359" cm="1">
        <f t="array" aca="1" ref="C84" ca="1">INDIRECT(ADDRESS($B$90+2,COLUMN()))</f>
        <v>0</v>
      </c>
      <c r="D84" s="1359" cm="1">
        <f t="array" aca="1" ref="D84" ca="1">INDIRECT(ADDRESS($B$90+2,COLUMN()))</f>
        <v>0</v>
      </c>
      <c r="E84" s="1359" cm="1">
        <f t="array" aca="1" ref="E84" ca="1">INDIRECT(ADDRESS($B$90+2,COLUMN()))</f>
        <v>0</v>
      </c>
      <c r="F84" s="1359" cm="1">
        <f t="array" aca="1" ref="F84" ca="1">INDIRECT(ADDRESS($B$90+2,COLUMN()))</f>
        <v>0</v>
      </c>
      <c r="G84" s="1359" cm="1">
        <f t="array" aca="1" ref="G84" ca="1">INDIRECT(ADDRESS($B$90+2,COLUMN()))</f>
        <v>0</v>
      </c>
      <c r="H84" s="1359" cm="1">
        <f t="array" aca="1" ref="H84" ca="1">INDIRECT(ADDRESS($B$90+2,COLUMN()))</f>
        <v>0</v>
      </c>
      <c r="I84" s="1359" cm="1">
        <f t="array" aca="1" ref="I84" ca="1">INDIRECT(ADDRESS($B$90+2,COLUMN()))</f>
        <v>0</v>
      </c>
      <c r="J84" s="1359" cm="1">
        <f t="array" aca="1" ref="J84" ca="1">INDIRECT(ADDRESS($B$90+2,COLUMN()))</f>
        <v>0</v>
      </c>
      <c r="K84" s="1359" cm="1">
        <f t="array" aca="1" ref="K84" ca="1">INDIRECT(ADDRESS($B$90+2,COLUMN()))</f>
        <v>0</v>
      </c>
      <c r="L84" s="1359" cm="1">
        <f t="array" aca="1" ref="L84" ca="1">INDIRECT(ADDRESS($B$90+2,COLUMN()))</f>
        <v>0</v>
      </c>
      <c r="M84" s="1359" cm="1">
        <f t="array" aca="1" ref="M84" ca="1">INDIRECT(ADDRESS($B$90+2,COLUMN()))</f>
        <v>0</v>
      </c>
      <c r="N84" s="1359" cm="1">
        <f t="array" aca="1" ref="N84" ca="1">INDIRECT(ADDRESS($B$90+2,COLUMN()))</f>
        <v>0</v>
      </c>
      <c r="O84" s="1359" cm="1">
        <f t="array" aca="1" ref="O84" ca="1">INDIRECT(ADDRESS($B$90+2,COLUMN()))</f>
        <v>0</v>
      </c>
      <c r="P84" s="1359" cm="1">
        <f t="array" aca="1" ref="P84" ca="1">INDIRECT(ADDRESS($B$90+2,COLUMN()))</f>
        <v>0</v>
      </c>
      <c r="Q84" s="1359" cm="1">
        <f t="array" aca="1" ref="Q84" ca="1">INDIRECT(ADDRESS($B$90+2,COLUMN()))</f>
        <v>0</v>
      </c>
      <c r="R84" s="1359" cm="1">
        <f t="array" aca="1" ref="R84" ca="1">INDIRECT(ADDRESS($B$90+2,COLUMN()))</f>
        <v>0</v>
      </c>
      <c r="S84" s="1359" cm="1">
        <f t="array" aca="1" ref="S84" ca="1">INDIRECT(ADDRESS($B$90+2,COLUMN()))</f>
        <v>0</v>
      </c>
      <c r="T84" s="1359" cm="1">
        <f t="array" aca="1" ref="T84" ca="1">INDIRECT(ADDRESS($B$90+2,COLUMN()))</f>
        <v>0</v>
      </c>
      <c r="U84" s="1359" cm="1">
        <f t="array" aca="1" ref="U84" ca="1">INDIRECT(ADDRESS($B$90+2,COLUMN()))</f>
        <v>0</v>
      </c>
      <c r="V84" s="1359" cm="1">
        <f t="array" aca="1" ref="V84" ca="1">INDIRECT(ADDRESS($B$90+2,COLUMN()))</f>
        <v>0</v>
      </c>
      <c r="W84" s="1359" cm="1">
        <f t="array" aca="1" ref="W84" ca="1">INDIRECT(ADDRESS($B$90+2,COLUMN()))</f>
        <v>0</v>
      </c>
      <c r="X84" s="1359" cm="1">
        <f t="array" aca="1" ref="X84" ca="1">INDIRECT(ADDRESS($B$90+2,COLUMN()))</f>
        <v>0</v>
      </c>
      <c r="Y84" s="1359" cm="1">
        <f t="array" aca="1" ref="Y84" ca="1">INDIRECT(ADDRESS($B$90+2,COLUMN()))</f>
        <v>0</v>
      </c>
      <c r="Z84" s="1359" cm="1">
        <f t="array" aca="1" ref="Z84" ca="1">INDIRECT(ADDRESS($B$90+2,COLUMN()))</f>
        <v>0</v>
      </c>
      <c r="AA84" s="1359" cm="1">
        <f t="array" aca="1" ref="AA84" ca="1">INDIRECT(ADDRESS($B$90+2,COLUMN()))</f>
        <v>0</v>
      </c>
      <c r="AB84" s="1359" cm="1">
        <f t="array" aca="1" ref="AB84" ca="1">INDIRECT(ADDRESS($B$90+2,COLUMN()))</f>
        <v>0</v>
      </c>
      <c r="AC84" s="1360">
        <f ca="1">AB84</f>
        <v>0</v>
      </c>
      <c r="AD84" s="1885"/>
    </row>
    <row r="85" spans="1:30" x14ac:dyDescent="0.3">
      <c r="A85" t="s">
        <v>4055</v>
      </c>
      <c r="B85" s="1365" cm="1">
        <f t="array" aca="1" ref="B85" ca="1">INDIRECT(ADDRESS($B$90+3,COLUMN()))</f>
        <v>0</v>
      </c>
      <c r="C85" s="1359" cm="1">
        <f t="array" aca="1" ref="C85" ca="1">INDIRECT(ADDRESS($B$90+3,COLUMN()))</f>
        <v>0</v>
      </c>
      <c r="D85" s="1359" cm="1">
        <f t="array" aca="1" ref="D85" ca="1">INDIRECT(ADDRESS($B$90+3,COLUMN()))</f>
        <v>0</v>
      </c>
      <c r="E85" s="1359" cm="1">
        <f t="array" aca="1" ref="E85" ca="1">INDIRECT(ADDRESS($B$90+3,COLUMN()))</f>
        <v>0</v>
      </c>
      <c r="F85" s="1359" cm="1">
        <f t="array" aca="1" ref="F85" ca="1">INDIRECT(ADDRESS($B$90+3,COLUMN()))</f>
        <v>0</v>
      </c>
      <c r="G85" s="1359" cm="1">
        <f t="array" aca="1" ref="G85" ca="1">INDIRECT(ADDRESS($B$90+3,COLUMN()))</f>
        <v>0</v>
      </c>
      <c r="H85" s="1359" cm="1">
        <f t="array" aca="1" ref="H85" ca="1">INDIRECT(ADDRESS($B$90+3,COLUMN()))</f>
        <v>0</v>
      </c>
      <c r="I85" s="1359" cm="1">
        <f t="array" aca="1" ref="I85" ca="1">INDIRECT(ADDRESS($B$90+3,COLUMN()))</f>
        <v>0</v>
      </c>
      <c r="J85" s="1359" cm="1">
        <f t="array" aca="1" ref="J85" ca="1">INDIRECT(ADDRESS($B$90+3,COLUMN()))</f>
        <v>0</v>
      </c>
      <c r="K85" s="1359" cm="1">
        <f t="array" aca="1" ref="K85" ca="1">INDIRECT(ADDRESS($B$90+3,COLUMN()))</f>
        <v>0</v>
      </c>
      <c r="L85" s="1359" cm="1">
        <f t="array" aca="1" ref="L85" ca="1">INDIRECT(ADDRESS($B$90+3,COLUMN()))</f>
        <v>0</v>
      </c>
      <c r="M85" s="1359" cm="1">
        <f t="array" aca="1" ref="M85" ca="1">INDIRECT(ADDRESS($B$90+3,COLUMN()))</f>
        <v>0</v>
      </c>
      <c r="N85" s="1359" cm="1">
        <f t="array" aca="1" ref="N85" ca="1">INDIRECT(ADDRESS($B$90+3,COLUMN()))</f>
        <v>0</v>
      </c>
      <c r="O85" s="1359" cm="1">
        <f t="array" aca="1" ref="O85" ca="1">INDIRECT(ADDRESS($B$90+3,COLUMN()))</f>
        <v>0</v>
      </c>
      <c r="P85" s="1359" cm="1">
        <f t="array" aca="1" ref="P85" ca="1">INDIRECT(ADDRESS($B$90+3,COLUMN()))</f>
        <v>0</v>
      </c>
      <c r="Q85" s="1359" cm="1">
        <f t="array" aca="1" ref="Q85" ca="1">INDIRECT(ADDRESS($B$90+3,COLUMN()))</f>
        <v>0</v>
      </c>
      <c r="R85" s="1359" cm="1">
        <f t="array" aca="1" ref="R85" ca="1">INDIRECT(ADDRESS($B$90+3,COLUMN()))</f>
        <v>0</v>
      </c>
      <c r="S85" s="1359" cm="1">
        <f t="array" aca="1" ref="S85" ca="1">INDIRECT(ADDRESS($B$90+3,COLUMN()))</f>
        <v>0</v>
      </c>
      <c r="T85" s="1359" cm="1">
        <f t="array" aca="1" ref="T85" ca="1">INDIRECT(ADDRESS($B$90+3,COLUMN()))</f>
        <v>0</v>
      </c>
      <c r="U85" s="1359" cm="1">
        <f t="array" aca="1" ref="U85" ca="1">INDIRECT(ADDRESS($B$90+3,COLUMN()))</f>
        <v>0</v>
      </c>
      <c r="V85" s="1359" cm="1">
        <f t="array" aca="1" ref="V85" ca="1">INDIRECT(ADDRESS($B$90+3,COLUMN()))</f>
        <v>0</v>
      </c>
      <c r="W85" s="1359" cm="1">
        <f t="array" aca="1" ref="W85" ca="1">INDIRECT(ADDRESS($B$90+3,COLUMN()))</f>
        <v>0</v>
      </c>
      <c r="X85" s="1359" cm="1">
        <f t="array" aca="1" ref="X85" ca="1">INDIRECT(ADDRESS($B$90+3,COLUMN()))</f>
        <v>0</v>
      </c>
      <c r="Y85" s="1359" cm="1">
        <f t="array" aca="1" ref="Y85" ca="1">INDIRECT(ADDRESS($B$90+3,COLUMN()))</f>
        <v>0</v>
      </c>
      <c r="Z85" s="1359" cm="1">
        <f t="array" aca="1" ref="Z85" ca="1">INDIRECT(ADDRESS($B$90+3,COLUMN()))</f>
        <v>0</v>
      </c>
      <c r="AA85" s="1359" cm="1">
        <f t="array" aca="1" ref="AA85" ca="1">INDIRECT(ADDRESS($B$90+3,COLUMN()))</f>
        <v>0</v>
      </c>
      <c r="AB85" s="1359" cm="1">
        <f t="array" aca="1" ref="AB85" ca="1">INDIRECT(ADDRESS($B$90+3,COLUMN()))</f>
        <v>0</v>
      </c>
      <c r="AC85" s="1360">
        <f ca="1">AB85</f>
        <v>0</v>
      </c>
      <c r="AD85" s="1885"/>
    </row>
    <row r="86" spans="1:30" x14ac:dyDescent="0.3">
      <c r="A86" t="s">
        <v>4056</v>
      </c>
      <c r="B86" s="1365" cm="1">
        <f t="array" aca="1" ref="B86" ca="1">INDIRECT(ADDRESS($B$90+4,COLUMN()))</f>
        <v>0</v>
      </c>
      <c r="C86" s="1359" cm="1">
        <f t="array" aca="1" ref="C86" ca="1">INDIRECT(ADDRESS($B$90+4,COLUMN()))</f>
        <v>0</v>
      </c>
      <c r="D86" s="1359" cm="1">
        <f t="array" aca="1" ref="D86" ca="1">INDIRECT(ADDRESS($B$90+4,COLUMN()))</f>
        <v>0</v>
      </c>
      <c r="E86" s="1359" cm="1">
        <f t="array" aca="1" ref="E86" ca="1">INDIRECT(ADDRESS($B$90+4,COLUMN()))</f>
        <v>0</v>
      </c>
      <c r="F86" s="1359" cm="1">
        <f t="array" aca="1" ref="F86" ca="1">INDIRECT(ADDRESS($B$90+4,COLUMN()))</f>
        <v>0</v>
      </c>
      <c r="G86" s="1359" cm="1">
        <f t="array" aca="1" ref="G86" ca="1">INDIRECT(ADDRESS($B$90+4,COLUMN()))</f>
        <v>0</v>
      </c>
      <c r="H86" s="1359" cm="1">
        <f t="array" aca="1" ref="H86" ca="1">INDIRECT(ADDRESS($B$90+4,COLUMN()))</f>
        <v>0</v>
      </c>
      <c r="I86" s="1359" cm="1">
        <f t="array" aca="1" ref="I86" ca="1">INDIRECT(ADDRESS($B$90+4,COLUMN()))</f>
        <v>0</v>
      </c>
      <c r="J86" s="1359" cm="1">
        <f t="array" aca="1" ref="J86" ca="1">INDIRECT(ADDRESS($B$90+4,COLUMN()))</f>
        <v>0</v>
      </c>
      <c r="K86" s="1359" cm="1">
        <f t="array" aca="1" ref="K86" ca="1">INDIRECT(ADDRESS($B$90+4,COLUMN()))</f>
        <v>0</v>
      </c>
      <c r="L86" s="1359" cm="1">
        <f t="array" aca="1" ref="L86" ca="1">INDIRECT(ADDRESS($B$90+4,COLUMN()))</f>
        <v>0</v>
      </c>
      <c r="M86" s="1359" cm="1">
        <f t="array" aca="1" ref="M86" ca="1">INDIRECT(ADDRESS($B$90+4,COLUMN()))</f>
        <v>0</v>
      </c>
      <c r="N86" s="1359" cm="1">
        <f t="array" aca="1" ref="N86" ca="1">INDIRECT(ADDRESS($B$90+4,COLUMN()))</f>
        <v>0</v>
      </c>
      <c r="O86" s="1359" cm="1">
        <f t="array" aca="1" ref="O86" ca="1">INDIRECT(ADDRESS($B$90+4,COLUMN()))</f>
        <v>0</v>
      </c>
      <c r="P86" s="1359" cm="1">
        <f t="array" aca="1" ref="P86" ca="1">INDIRECT(ADDRESS($B$90+4,COLUMN()))</f>
        <v>0</v>
      </c>
      <c r="Q86" s="1359" cm="1">
        <f t="array" aca="1" ref="Q86" ca="1">INDIRECT(ADDRESS($B$90+4,COLUMN()))</f>
        <v>0</v>
      </c>
      <c r="R86" s="1359" cm="1">
        <f t="array" aca="1" ref="R86" ca="1">INDIRECT(ADDRESS($B$90+4,COLUMN()))</f>
        <v>0</v>
      </c>
      <c r="S86" s="1359" cm="1">
        <f t="array" aca="1" ref="S86" ca="1">INDIRECT(ADDRESS($B$90+4,COLUMN()))</f>
        <v>0</v>
      </c>
      <c r="T86" s="1359" cm="1">
        <f t="array" aca="1" ref="T86" ca="1">INDIRECT(ADDRESS($B$90+4,COLUMN()))</f>
        <v>0</v>
      </c>
      <c r="U86" s="1359" cm="1">
        <f t="array" aca="1" ref="U86" ca="1">INDIRECT(ADDRESS($B$90+4,COLUMN()))</f>
        <v>0</v>
      </c>
      <c r="V86" s="1359" cm="1">
        <f t="array" aca="1" ref="V86" ca="1">INDIRECT(ADDRESS($B$90+4,COLUMN()))</f>
        <v>0</v>
      </c>
      <c r="W86" s="1359" cm="1">
        <f t="array" aca="1" ref="W86" ca="1">INDIRECT(ADDRESS($B$90+4,COLUMN()))</f>
        <v>0</v>
      </c>
      <c r="X86" s="1359" cm="1">
        <f t="array" aca="1" ref="X86" ca="1">INDIRECT(ADDRESS($B$90+4,COLUMN()))</f>
        <v>0</v>
      </c>
      <c r="Y86" s="1359" cm="1">
        <f t="array" aca="1" ref="Y86" ca="1">INDIRECT(ADDRESS($B$90+4,COLUMN()))</f>
        <v>0</v>
      </c>
      <c r="Z86" s="1359" cm="1">
        <f t="array" aca="1" ref="Z86" ca="1">INDIRECT(ADDRESS($B$90+4,COLUMN()))</f>
        <v>0</v>
      </c>
      <c r="AA86" s="1359" cm="1">
        <f t="array" aca="1" ref="AA86" ca="1">INDIRECT(ADDRESS($B$90+4,COLUMN()))</f>
        <v>0</v>
      </c>
      <c r="AB86" s="1359" cm="1">
        <f t="array" aca="1" ref="AB86" ca="1">INDIRECT(ADDRESS($B$90+4,COLUMN()))</f>
        <v>0</v>
      </c>
      <c r="AC86" s="1360">
        <f ca="1">AB86</f>
        <v>0</v>
      </c>
      <c r="AD86" s="1885"/>
    </row>
    <row r="87" spans="1:30" x14ac:dyDescent="0.3">
      <c r="A87" t="s">
        <v>4057</v>
      </c>
      <c r="B87" s="1365" cm="1">
        <f t="array" aca="1" ref="B87" ca="1">INDIRECT(ADDRESS($B$90+5,COLUMN()))</f>
        <v>0</v>
      </c>
      <c r="C87" s="1359" cm="1">
        <f t="array" aca="1" ref="C87" ca="1">INDIRECT(ADDRESS($B$90+5,COLUMN()))</f>
        <v>0</v>
      </c>
      <c r="D87" s="1359" cm="1">
        <f t="array" aca="1" ref="D87" ca="1">INDIRECT(ADDRESS($B$90+5,COLUMN()))</f>
        <v>0</v>
      </c>
      <c r="E87" s="1359" cm="1">
        <f t="array" aca="1" ref="E87" ca="1">INDIRECT(ADDRESS($B$90+5,COLUMN()))</f>
        <v>0</v>
      </c>
      <c r="F87" s="1359" cm="1">
        <f t="array" aca="1" ref="F87" ca="1">INDIRECT(ADDRESS($B$90+5,COLUMN()))</f>
        <v>0</v>
      </c>
      <c r="G87" s="1359" cm="1">
        <f t="array" aca="1" ref="G87" ca="1">INDIRECT(ADDRESS($B$90+5,COLUMN()))</f>
        <v>0</v>
      </c>
      <c r="H87" s="1359" cm="1">
        <f t="array" aca="1" ref="H87" ca="1">INDIRECT(ADDRESS($B$90+5,COLUMN()))</f>
        <v>0</v>
      </c>
      <c r="I87" s="1359" cm="1">
        <f t="array" aca="1" ref="I87" ca="1">INDIRECT(ADDRESS($B$90+5,COLUMN()))</f>
        <v>0</v>
      </c>
      <c r="J87" s="1359" cm="1">
        <f t="array" aca="1" ref="J87" ca="1">INDIRECT(ADDRESS($B$90+5,COLUMN()))</f>
        <v>0</v>
      </c>
      <c r="K87" s="1359" cm="1">
        <f t="array" aca="1" ref="K87" ca="1">INDIRECT(ADDRESS($B$90+5,COLUMN()))</f>
        <v>0</v>
      </c>
      <c r="L87" s="1359" cm="1">
        <f t="array" aca="1" ref="L87" ca="1">INDIRECT(ADDRESS($B$90+5,COLUMN()))</f>
        <v>0</v>
      </c>
      <c r="M87" s="1359" cm="1">
        <f t="array" aca="1" ref="M87" ca="1">INDIRECT(ADDRESS($B$90+5,COLUMN()))</f>
        <v>0</v>
      </c>
      <c r="N87" s="1359" cm="1">
        <f t="array" aca="1" ref="N87" ca="1">INDIRECT(ADDRESS($B$90+5,COLUMN()))</f>
        <v>0</v>
      </c>
      <c r="O87" s="1359" cm="1">
        <f t="array" aca="1" ref="O87" ca="1">INDIRECT(ADDRESS($B$90+5,COLUMN()))</f>
        <v>0</v>
      </c>
      <c r="P87" s="1359" cm="1">
        <f t="array" aca="1" ref="P87" ca="1">INDIRECT(ADDRESS($B$90+5,COLUMN()))</f>
        <v>0</v>
      </c>
      <c r="Q87" s="1359" cm="1">
        <f t="array" aca="1" ref="Q87" ca="1">INDIRECT(ADDRESS($B$90+5,COLUMN()))</f>
        <v>0</v>
      </c>
      <c r="R87" s="1359" cm="1">
        <f t="array" aca="1" ref="R87" ca="1">INDIRECT(ADDRESS($B$90+5,COLUMN()))</f>
        <v>0</v>
      </c>
      <c r="S87" s="1359" cm="1">
        <f t="array" aca="1" ref="S87" ca="1">INDIRECT(ADDRESS($B$90+5,COLUMN()))</f>
        <v>0</v>
      </c>
      <c r="T87" s="1359" cm="1">
        <f t="array" aca="1" ref="T87" ca="1">INDIRECT(ADDRESS($B$90+5,COLUMN()))</f>
        <v>0</v>
      </c>
      <c r="U87" s="1359" cm="1">
        <f t="array" aca="1" ref="U87" ca="1">INDIRECT(ADDRESS($B$90+5,COLUMN()))</f>
        <v>0</v>
      </c>
      <c r="V87" s="1359" cm="1">
        <f t="array" aca="1" ref="V87" ca="1">INDIRECT(ADDRESS($B$90+5,COLUMN()))</f>
        <v>0</v>
      </c>
      <c r="W87" s="1359" cm="1">
        <f t="array" aca="1" ref="W87" ca="1">INDIRECT(ADDRESS($B$90+5,COLUMN()))</f>
        <v>0</v>
      </c>
      <c r="X87" s="1359" cm="1">
        <f t="array" aca="1" ref="X87" ca="1">INDIRECT(ADDRESS($B$90+5,COLUMN()))</f>
        <v>0</v>
      </c>
      <c r="Y87" s="1359" cm="1">
        <f t="array" aca="1" ref="Y87" ca="1">INDIRECT(ADDRESS($B$90+5,COLUMN()))</f>
        <v>0</v>
      </c>
      <c r="Z87" s="1359" cm="1">
        <f t="array" aca="1" ref="Z87" ca="1">INDIRECT(ADDRESS($B$90+5,COLUMN()))</f>
        <v>0</v>
      </c>
      <c r="AA87" s="1359" cm="1">
        <f t="array" aca="1" ref="AA87" ca="1">INDIRECT(ADDRESS($B$90+5,COLUMN()))</f>
        <v>0</v>
      </c>
      <c r="AB87" s="1359" cm="1">
        <f t="array" aca="1" ref="AB87" ca="1">INDIRECT(ADDRESS($B$90+5,COLUMN()))</f>
        <v>0</v>
      </c>
      <c r="AC87" s="1360">
        <f ca="1">AB87</f>
        <v>0</v>
      </c>
      <c r="AD87" s="1885"/>
    </row>
    <row r="88" spans="1:30" x14ac:dyDescent="0.3">
      <c r="B88" s="1365"/>
      <c r="C88" s="1359"/>
      <c r="D88" s="1359"/>
      <c r="E88" s="1359"/>
      <c r="F88" s="1359"/>
      <c r="G88" s="1359"/>
      <c r="H88" s="1359"/>
      <c r="I88" s="1359"/>
      <c r="J88" s="1359"/>
      <c r="K88" s="1359"/>
      <c r="L88" s="1359"/>
      <c r="M88" s="1359"/>
      <c r="N88" s="1359"/>
      <c r="O88" s="1359"/>
      <c r="P88" s="1359"/>
      <c r="Q88" s="1359"/>
      <c r="R88" s="1359"/>
      <c r="S88" s="1359"/>
      <c r="T88" s="1359"/>
      <c r="U88" s="1359"/>
      <c r="V88" s="1359"/>
      <c r="W88" s="1359"/>
      <c r="X88" s="1359"/>
      <c r="Y88" s="1359"/>
      <c r="Z88" s="1359"/>
      <c r="AA88" s="1359"/>
      <c r="AB88" s="1359"/>
      <c r="AC88" s="1360"/>
      <c r="AD88" s="1361"/>
    </row>
    <row r="89" spans="1:30" x14ac:dyDescent="0.3">
      <c r="B89" s="1365"/>
      <c r="C89" s="1359"/>
      <c r="D89" s="1359"/>
      <c r="E89" s="1359"/>
      <c r="F89" s="1359"/>
      <c r="G89" s="1359"/>
      <c r="H89" s="1359"/>
      <c r="I89" s="1359"/>
      <c r="J89" s="1359"/>
      <c r="K89" s="1359"/>
      <c r="L89" s="1359"/>
      <c r="M89" s="1359"/>
      <c r="N89" s="1359"/>
      <c r="O89" s="1359"/>
      <c r="P89" s="1359"/>
      <c r="Q89" s="1359"/>
      <c r="R89" s="1359"/>
      <c r="S89" s="1359"/>
      <c r="T89" s="1359"/>
      <c r="U89" s="1359"/>
      <c r="V89" s="1359"/>
      <c r="W89" s="1359"/>
      <c r="X89" s="1359"/>
      <c r="Y89" s="1359"/>
      <c r="Z89" s="1359"/>
      <c r="AA89" s="1359"/>
      <c r="AB89" s="1359"/>
      <c r="AC89" s="1360"/>
      <c r="AD89" s="1361"/>
    </row>
    <row r="90" spans="1:30" x14ac:dyDescent="0.3">
      <c r="A90" s="771" t="s">
        <v>4069</v>
      </c>
      <c r="B90" s="1366">
        <v>76</v>
      </c>
      <c r="C90" s="1359"/>
      <c r="D90" s="1367"/>
      <c r="E90" s="1359"/>
      <c r="F90" s="1359"/>
      <c r="G90" s="1359"/>
      <c r="H90" s="1359"/>
      <c r="I90" s="1359"/>
      <c r="J90" s="1359"/>
      <c r="K90" s="1359"/>
      <c r="L90" s="1359"/>
      <c r="M90" s="1359"/>
      <c r="N90" s="1359"/>
      <c r="O90" s="1359"/>
      <c r="P90" s="1359"/>
      <c r="Q90" s="1359"/>
      <c r="R90" s="1359"/>
      <c r="S90" s="1359"/>
      <c r="T90" s="1359"/>
      <c r="U90" s="1359"/>
      <c r="V90" s="1359"/>
      <c r="W90" s="1359"/>
      <c r="X90" s="1359"/>
      <c r="Y90" s="1359"/>
      <c r="Z90" s="1359"/>
      <c r="AA90" s="1359"/>
      <c r="AB90" s="1359"/>
      <c r="AC90" s="1360"/>
      <c r="AD90" s="1361"/>
    </row>
    <row r="92" spans="1:30" x14ac:dyDescent="0.3">
      <c r="A92" t="s">
        <v>4061</v>
      </c>
    </row>
    <row r="93" spans="1:30" x14ac:dyDescent="0.3">
      <c r="A93" t="s">
        <v>4062</v>
      </c>
    </row>
    <row r="94" spans="1:30" x14ac:dyDescent="0.3">
      <c r="A94" t="s">
        <v>4063</v>
      </c>
    </row>
    <row r="95" spans="1:30" x14ac:dyDescent="0.3">
      <c r="A95" t="s">
        <v>4064</v>
      </c>
    </row>
    <row r="96" spans="1:30" x14ac:dyDescent="0.3">
      <c r="A96" t="s">
        <v>4065</v>
      </c>
    </row>
    <row r="97" spans="1:2" x14ac:dyDescent="0.3">
      <c r="A97" t="s">
        <v>4066</v>
      </c>
    </row>
    <row r="98" spans="1:2" x14ac:dyDescent="0.3">
      <c r="A98" t="s">
        <v>4067</v>
      </c>
    </row>
    <row r="100" spans="1:2" x14ac:dyDescent="0.3">
      <c r="B100" s="706" t="s">
        <v>4899</v>
      </c>
    </row>
    <row r="101" spans="1:2" x14ac:dyDescent="0.3">
      <c r="B101" s="706" t="s">
        <v>4900</v>
      </c>
    </row>
  </sheetData>
  <sheetProtection algorithmName="SHA-512" hashValue="+q2dRXmCRWBNZFSp/FMZhxkKnjTJAn7dpiibvl3c/ZgX8QOoLPewbf9zkTRjq+YIR3RYOSk9J3rFU4mowSzixw==" saltValue="ap7lgduyAfNjR3JQxb2G7g==" spinCount="100000" sheet="1" objects="1" scenarios="1"/>
  <mergeCells count="14">
    <mergeCell ref="AD35:AD39"/>
    <mergeCell ref="AD83:AD87"/>
    <mergeCell ref="AD5:AD9"/>
    <mergeCell ref="AD11:AD15"/>
    <mergeCell ref="AD17:AD21"/>
    <mergeCell ref="AD23:AD27"/>
    <mergeCell ref="AD29:AD33"/>
    <mergeCell ref="AD77:AD81"/>
    <mergeCell ref="AD41:AD45"/>
    <mergeCell ref="AD47:AD51"/>
    <mergeCell ref="AD53:AD57"/>
    <mergeCell ref="AD59:AD63"/>
    <mergeCell ref="AD65:AD69"/>
    <mergeCell ref="AD71:AD75"/>
  </mergeCells>
  <pageMargins left="0.7" right="0.7" top="0.75" bottom="0.75" header="0.3" footer="0.3"/>
  <headerFooter>
    <oddHeader>&amp;R&amp;"Aptos"&amp;12&amp;K000000 UNCLASSIFIED - NON CLASSIFIÉ&amp;1#_x000D_</oddHead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17">
    <tabColor theme="2" tint="-0.499984740745262"/>
  </sheetPr>
  <dimension ref="A1:Z1000"/>
  <sheetViews>
    <sheetView workbookViewId="0">
      <selection sqref="A1:B1"/>
    </sheetView>
  </sheetViews>
  <sheetFormatPr defaultColWidth="11.36328125" defaultRowHeight="15" customHeight="1" x14ac:dyDescent="0.25"/>
  <cols>
    <col min="1" max="1" width="2.36328125" customWidth="1"/>
    <col min="2" max="2" width="21.1796875" customWidth="1"/>
    <col min="3" max="3" width="7" customWidth="1"/>
    <col min="4" max="4" width="21.6328125" customWidth="1"/>
    <col min="5" max="5" width="17.36328125" customWidth="1"/>
    <col min="6" max="6" width="8.36328125" customWidth="1"/>
    <col min="7" max="7" width="23.453125" customWidth="1"/>
    <col min="8" max="8" width="32.54296875" customWidth="1"/>
    <col min="9" max="26" width="8.6328125" customWidth="1"/>
  </cols>
  <sheetData>
    <row r="1" spans="1:26" ht="15.6" x14ac:dyDescent="0.3">
      <c r="A1" s="1886" t="s">
        <v>758</v>
      </c>
      <c r="B1" s="1564"/>
      <c r="C1" s="1368"/>
      <c r="D1" s="1368" t="s">
        <v>759</v>
      </c>
      <c r="E1" s="1368"/>
      <c r="F1" s="1368"/>
      <c r="G1" s="1887" t="s">
        <v>760</v>
      </c>
      <c r="H1" s="1564"/>
      <c r="I1" s="1369"/>
      <c r="J1" s="1369"/>
      <c r="K1" s="1369"/>
      <c r="L1" s="1369"/>
      <c r="M1" s="1369"/>
      <c r="N1" s="1369"/>
      <c r="O1" s="1369"/>
      <c r="P1" s="1369"/>
      <c r="Q1" s="1369"/>
      <c r="R1" s="1369"/>
      <c r="S1" s="1369"/>
      <c r="T1" s="1369"/>
      <c r="U1" s="1369"/>
      <c r="V1" s="1369"/>
      <c r="W1" s="1369"/>
      <c r="X1" s="1369"/>
      <c r="Y1" s="1369"/>
      <c r="Z1" s="1369"/>
    </row>
    <row r="2" spans="1:26" ht="50.4" x14ac:dyDescent="0.25">
      <c r="A2" s="1370" t="s">
        <v>761</v>
      </c>
      <c r="B2" s="1370" t="s">
        <v>762</v>
      </c>
      <c r="C2" s="1371"/>
      <c r="D2" s="1371"/>
      <c r="E2" s="1371"/>
      <c r="F2" s="1371"/>
      <c r="G2" s="1371"/>
      <c r="H2" s="1371"/>
      <c r="I2" s="1372"/>
      <c r="J2" s="1372"/>
      <c r="K2" s="1372"/>
      <c r="L2" s="1372"/>
      <c r="M2" s="1372"/>
      <c r="N2" s="1372"/>
      <c r="O2" s="1372"/>
      <c r="P2" s="1372"/>
      <c r="Q2" s="1372"/>
      <c r="R2" s="1372"/>
      <c r="S2" s="1372"/>
      <c r="T2" s="1372"/>
      <c r="U2" s="1372"/>
      <c r="V2" s="1372"/>
      <c r="W2" s="1372"/>
      <c r="X2" s="1372"/>
      <c r="Y2" s="1372"/>
      <c r="Z2" s="1372"/>
    </row>
    <row r="3" spans="1:26" ht="46.8" x14ac:dyDescent="0.25">
      <c r="A3" s="1373" t="s">
        <v>761</v>
      </c>
      <c r="B3" s="1373" t="s">
        <v>763</v>
      </c>
      <c r="C3" s="1371"/>
      <c r="D3" s="1371" t="s">
        <v>764</v>
      </c>
      <c r="E3" s="1374" t="s">
        <v>765</v>
      </c>
      <c r="F3" s="1371"/>
      <c r="G3" s="1371" t="s">
        <v>766</v>
      </c>
      <c r="H3" s="1375" t="s">
        <v>767</v>
      </c>
      <c r="I3" s="1372"/>
      <c r="J3" s="1372"/>
      <c r="K3" s="1372"/>
      <c r="L3" s="1372"/>
      <c r="M3" s="1372"/>
      <c r="N3" s="1372"/>
      <c r="O3" s="1372"/>
      <c r="P3" s="1372"/>
      <c r="Q3" s="1372"/>
      <c r="R3" s="1372"/>
      <c r="S3" s="1372"/>
      <c r="T3" s="1372"/>
      <c r="U3" s="1372"/>
      <c r="V3" s="1372"/>
      <c r="W3" s="1372"/>
      <c r="X3" s="1372"/>
      <c r="Y3" s="1372"/>
      <c r="Z3" s="1372"/>
    </row>
    <row r="4" spans="1:26" ht="46.8" x14ac:dyDescent="0.25">
      <c r="A4" s="1376" t="s">
        <v>761</v>
      </c>
      <c r="B4" s="1376" t="s">
        <v>768</v>
      </c>
      <c r="C4" s="1371"/>
      <c r="D4" s="1371" t="s">
        <v>769</v>
      </c>
      <c r="E4" s="1377" t="s">
        <v>765</v>
      </c>
      <c r="F4" s="1371"/>
      <c r="G4" s="1378" t="s">
        <v>814</v>
      </c>
      <c r="H4" s="1375" t="s">
        <v>770</v>
      </c>
      <c r="I4" s="1372"/>
      <c r="J4" s="1372"/>
      <c r="K4" s="1372"/>
      <c r="L4" s="1372"/>
      <c r="M4" s="1372"/>
      <c r="N4" s="1372"/>
      <c r="O4" s="1372"/>
      <c r="P4" s="1372"/>
      <c r="Q4" s="1372"/>
      <c r="R4" s="1372"/>
      <c r="S4" s="1372"/>
      <c r="T4" s="1372"/>
      <c r="U4" s="1372"/>
      <c r="V4" s="1372"/>
      <c r="W4" s="1372"/>
      <c r="X4" s="1372"/>
      <c r="Y4" s="1372"/>
      <c r="Z4" s="1372"/>
    </row>
    <row r="5" spans="1:26" ht="34.799999999999997" x14ac:dyDescent="0.25">
      <c r="A5" s="1379" t="s">
        <v>761</v>
      </c>
      <c r="B5" s="1379" t="s">
        <v>771</v>
      </c>
      <c r="C5" s="1371"/>
      <c r="D5" s="1371" t="s">
        <v>772</v>
      </c>
      <c r="E5" s="1380" t="s">
        <v>773</v>
      </c>
      <c r="F5" s="1371"/>
      <c r="G5" s="1371" t="s">
        <v>769</v>
      </c>
      <c r="H5" s="1375" t="s">
        <v>774</v>
      </c>
      <c r="I5" s="1372"/>
      <c r="J5" s="1372"/>
      <c r="K5" s="1372"/>
      <c r="L5" s="1372"/>
      <c r="M5" s="1372"/>
      <c r="N5" s="1372"/>
      <c r="O5" s="1372"/>
      <c r="P5" s="1372"/>
      <c r="Q5" s="1372"/>
      <c r="R5" s="1372"/>
      <c r="S5" s="1372"/>
      <c r="T5" s="1372"/>
      <c r="U5" s="1372"/>
      <c r="V5" s="1372"/>
      <c r="W5" s="1372"/>
      <c r="X5" s="1372"/>
      <c r="Y5" s="1372"/>
      <c r="Z5" s="1372"/>
    </row>
    <row r="6" spans="1:26" ht="42" x14ac:dyDescent="0.25">
      <c r="A6" s="1381" t="s">
        <v>761</v>
      </c>
      <c r="B6" s="1381" t="s">
        <v>775</v>
      </c>
      <c r="C6" s="1371"/>
      <c r="D6" s="1371"/>
      <c r="E6" s="1371"/>
      <c r="F6" s="1371"/>
      <c r="G6" s="1371" t="s">
        <v>772</v>
      </c>
      <c r="H6" s="1382" t="s">
        <v>776</v>
      </c>
      <c r="I6" s="1372"/>
      <c r="J6" s="1372"/>
      <c r="K6" s="1372"/>
      <c r="L6" s="1372"/>
      <c r="M6" s="1372"/>
      <c r="N6" s="1372"/>
      <c r="O6" s="1372"/>
      <c r="P6" s="1372"/>
      <c r="Q6" s="1372"/>
      <c r="R6" s="1372"/>
      <c r="S6" s="1372"/>
      <c r="T6" s="1372"/>
      <c r="U6" s="1372"/>
      <c r="V6" s="1372"/>
      <c r="W6" s="1372"/>
      <c r="X6" s="1372"/>
      <c r="Y6" s="1372"/>
      <c r="Z6" s="1372"/>
    </row>
    <row r="7" spans="1:26" ht="31.2" x14ac:dyDescent="0.25">
      <c r="A7" s="1383" t="s">
        <v>761</v>
      </c>
      <c r="B7" s="1383" t="s">
        <v>777</v>
      </c>
      <c r="C7" s="1371"/>
      <c r="D7" s="1371"/>
      <c r="E7" s="1371"/>
      <c r="F7" s="1371"/>
      <c r="G7" s="1378" t="s">
        <v>815</v>
      </c>
      <c r="H7" s="1375" t="s">
        <v>778</v>
      </c>
      <c r="I7" s="1372"/>
      <c r="J7" s="1372"/>
      <c r="K7" s="1372"/>
      <c r="L7" s="1372"/>
      <c r="M7" s="1372"/>
      <c r="N7" s="1372"/>
      <c r="O7" s="1372"/>
      <c r="P7" s="1372"/>
      <c r="Q7" s="1372"/>
      <c r="R7" s="1372"/>
      <c r="S7" s="1372"/>
      <c r="T7" s="1372"/>
      <c r="U7" s="1372"/>
      <c r="V7" s="1372"/>
      <c r="W7" s="1372"/>
      <c r="X7" s="1372"/>
      <c r="Y7" s="1372"/>
      <c r="Z7" s="1372"/>
    </row>
    <row r="8" spans="1:26" ht="31.2" x14ac:dyDescent="0.25">
      <c r="A8" s="1384" t="s">
        <v>761</v>
      </c>
      <c r="B8" s="1384" t="s">
        <v>779</v>
      </c>
      <c r="C8" s="1371"/>
      <c r="D8" s="1371"/>
      <c r="E8" s="1371"/>
      <c r="F8" s="1371"/>
      <c r="G8" s="1371" t="s">
        <v>780</v>
      </c>
      <c r="H8" s="1375" t="s">
        <v>781</v>
      </c>
      <c r="I8" s="1372"/>
      <c r="J8" s="1372"/>
      <c r="K8" s="1372"/>
      <c r="L8" s="1372"/>
      <c r="M8" s="1372"/>
      <c r="N8" s="1372"/>
      <c r="O8" s="1372"/>
      <c r="P8" s="1372"/>
      <c r="Q8" s="1372"/>
      <c r="R8" s="1372"/>
      <c r="S8" s="1372"/>
      <c r="T8" s="1372"/>
      <c r="U8" s="1372"/>
      <c r="V8" s="1372"/>
      <c r="W8" s="1372"/>
      <c r="X8" s="1372"/>
      <c r="Y8" s="1372"/>
      <c r="Z8" s="1372"/>
    </row>
    <row r="9" spans="1:26" ht="46.8" x14ac:dyDescent="0.25">
      <c r="A9" s="1385"/>
      <c r="B9" s="1385" t="s">
        <v>782</v>
      </c>
      <c r="C9" s="1371"/>
      <c r="D9" s="1371"/>
      <c r="E9" s="1371"/>
      <c r="F9" s="1371"/>
      <c r="G9" s="1371"/>
      <c r="H9" s="1375" t="s">
        <v>783</v>
      </c>
      <c r="I9" s="1372"/>
      <c r="J9" s="1372"/>
      <c r="K9" s="1372"/>
      <c r="L9" s="1372"/>
      <c r="M9" s="1372"/>
      <c r="N9" s="1372"/>
      <c r="O9" s="1372"/>
      <c r="P9" s="1372"/>
      <c r="Q9" s="1372"/>
      <c r="R9" s="1372"/>
      <c r="S9" s="1372"/>
      <c r="T9" s="1372"/>
      <c r="U9" s="1372"/>
      <c r="V9" s="1372"/>
      <c r="W9" s="1372"/>
      <c r="X9" s="1372"/>
      <c r="Y9" s="1372"/>
      <c r="Z9" s="1372"/>
    </row>
    <row r="10" spans="1:26" x14ac:dyDescent="0.25">
      <c r="A10" s="1371"/>
      <c r="B10" s="1371"/>
      <c r="C10" s="1371"/>
      <c r="D10" s="1371"/>
      <c r="E10" s="1371"/>
      <c r="F10" s="1371"/>
      <c r="G10" s="1371"/>
      <c r="H10" s="1371"/>
      <c r="I10" s="1372"/>
      <c r="J10" s="1372"/>
      <c r="K10" s="1372"/>
      <c r="L10" s="1372"/>
      <c r="M10" s="1372"/>
      <c r="N10" s="1372"/>
      <c r="O10" s="1372"/>
      <c r="P10" s="1372"/>
      <c r="Q10" s="1372"/>
      <c r="R10" s="1372"/>
      <c r="S10" s="1372"/>
      <c r="T10" s="1372"/>
      <c r="U10" s="1372"/>
      <c r="V10" s="1372"/>
      <c r="W10" s="1372"/>
      <c r="X10" s="1372"/>
      <c r="Y10" s="1372"/>
      <c r="Z10" s="1372"/>
    </row>
    <row r="11" spans="1:26" s="1390" customFormat="1" ht="26.4" customHeight="1" x14ac:dyDescent="0.25">
      <c r="A11" s="1386"/>
      <c r="B11" s="1386"/>
      <c r="C11" s="1387"/>
      <c r="D11" s="1387"/>
      <c r="E11" s="1386"/>
      <c r="F11" s="1386"/>
      <c r="G11" s="1386"/>
      <c r="H11" s="1388" t="s">
        <v>901</v>
      </c>
      <c r="I11" s="1389"/>
      <c r="J11" s="1389"/>
      <c r="K11" s="1389"/>
      <c r="L11" s="1389"/>
      <c r="M11" s="1389"/>
      <c r="N11" s="1389"/>
      <c r="O11" s="1389"/>
      <c r="P11" s="1389"/>
      <c r="Q11" s="1389"/>
      <c r="R11" s="1389"/>
      <c r="S11" s="1389"/>
      <c r="T11" s="1389"/>
      <c r="U11" s="1389"/>
      <c r="V11" s="1389"/>
      <c r="W11" s="1389"/>
      <c r="X11" s="1389"/>
      <c r="Y11" s="1389"/>
      <c r="Z11" s="1389"/>
    </row>
    <row r="12" spans="1:26" x14ac:dyDescent="0.25">
      <c r="A12" s="1371"/>
      <c r="B12" s="1371"/>
      <c r="C12" s="1371"/>
      <c r="D12" s="1371"/>
      <c r="E12" s="1371"/>
      <c r="F12" s="1371"/>
      <c r="G12" s="1371"/>
      <c r="H12" s="1371"/>
      <c r="I12" s="1372"/>
      <c r="J12" s="1372"/>
      <c r="K12" s="1372"/>
      <c r="L12" s="1372"/>
      <c r="M12" s="1372"/>
      <c r="N12" s="1372"/>
      <c r="O12" s="1372"/>
      <c r="P12" s="1372"/>
      <c r="Q12" s="1372"/>
      <c r="R12" s="1372"/>
      <c r="S12" s="1372"/>
      <c r="T12" s="1372"/>
      <c r="U12" s="1372"/>
      <c r="V12" s="1372"/>
      <c r="W12" s="1372"/>
      <c r="X12" s="1372"/>
      <c r="Y12" s="1372"/>
      <c r="Z12" s="1372"/>
    </row>
    <row r="13" spans="1:26" ht="15.6" x14ac:dyDescent="0.25">
      <c r="A13" s="1371"/>
      <c r="B13" s="1391" t="s">
        <v>809</v>
      </c>
      <c r="C13" s="1392" t="s">
        <v>754</v>
      </c>
      <c r="D13" s="1392"/>
      <c r="E13" s="756"/>
      <c r="G13" s="1393" t="s">
        <v>908</v>
      </c>
      <c r="H13" s="1394" t="s">
        <v>902</v>
      </c>
      <c r="I13" s="1372"/>
      <c r="J13" s="1372"/>
      <c r="K13" s="1372"/>
      <c r="L13" s="1372"/>
      <c r="M13" s="1372"/>
      <c r="N13" s="1372"/>
      <c r="O13" s="1372"/>
      <c r="P13" s="1372"/>
      <c r="Q13" s="1372"/>
      <c r="R13" s="1372"/>
      <c r="S13" s="1372"/>
      <c r="T13" s="1372"/>
      <c r="U13" s="1372"/>
      <c r="V13" s="1372"/>
      <c r="W13" s="1372"/>
      <c r="X13" s="1372"/>
      <c r="Y13" s="1372"/>
      <c r="Z13" s="1372"/>
    </row>
    <row r="14" spans="1:26" ht="15.6" x14ac:dyDescent="0.3">
      <c r="A14" s="1371"/>
      <c r="B14" s="1395" t="s">
        <v>751</v>
      </c>
      <c r="C14" s="1396" t="s">
        <v>40</v>
      </c>
      <c r="D14" s="1396">
        <v>8.8900000000000007E-2</v>
      </c>
      <c r="E14" s="1396" t="s">
        <v>22</v>
      </c>
      <c r="F14" s="1397" t="s">
        <v>906</v>
      </c>
      <c r="G14" s="1398">
        <v>3.794</v>
      </c>
      <c r="H14" s="1399" t="s">
        <v>904</v>
      </c>
      <c r="I14" s="1372"/>
      <c r="J14" s="1372"/>
      <c r="K14" s="1372"/>
      <c r="L14" s="1372"/>
      <c r="M14" s="1372"/>
      <c r="N14" s="1372"/>
      <c r="O14" s="1372"/>
      <c r="P14" s="1372"/>
      <c r="Q14" s="1372"/>
      <c r="R14" s="1372"/>
      <c r="S14" s="1372"/>
      <c r="T14" s="1372"/>
      <c r="U14" s="1372"/>
      <c r="V14" s="1372"/>
      <c r="W14" s="1372"/>
      <c r="X14" s="1372"/>
      <c r="Y14" s="1372"/>
      <c r="Z14" s="1372"/>
    </row>
    <row r="15" spans="1:26" ht="15.6" x14ac:dyDescent="0.3">
      <c r="A15" s="1371"/>
      <c r="B15" s="1400" t="s">
        <v>753</v>
      </c>
      <c r="C15" s="1401" t="s">
        <v>41</v>
      </c>
      <c r="D15" s="1396">
        <v>0.13969999999999999</v>
      </c>
      <c r="E15" s="1396" t="s">
        <v>22</v>
      </c>
      <c r="F15" s="1397" t="s">
        <v>907</v>
      </c>
      <c r="G15" s="1402">
        <v>2.9738000000000002</v>
      </c>
      <c r="H15" s="1399" t="s">
        <v>904</v>
      </c>
      <c r="I15" s="1372"/>
      <c r="J15" s="1372"/>
      <c r="K15" s="1372"/>
      <c r="L15" s="1372"/>
      <c r="M15" s="1372"/>
      <c r="N15" s="1372"/>
      <c r="O15" s="1372"/>
      <c r="P15" s="1372"/>
      <c r="Q15" s="1372"/>
      <c r="R15" s="1372"/>
      <c r="S15" s="1372"/>
      <c r="T15" s="1372"/>
      <c r="U15" s="1372"/>
      <c r="V15" s="1372"/>
      <c r="W15" s="1372"/>
      <c r="X15" s="1372"/>
      <c r="Y15" s="1372"/>
      <c r="Z15" s="1372"/>
    </row>
    <row r="16" spans="1:26" ht="15.6" x14ac:dyDescent="0.25">
      <c r="A16" s="1371"/>
      <c r="B16" s="1401"/>
      <c r="C16" s="1401" t="s">
        <v>42</v>
      </c>
      <c r="D16" s="1396">
        <v>0.18415000000000001</v>
      </c>
      <c r="E16" s="1396" t="s">
        <v>22</v>
      </c>
      <c r="G16" s="1403"/>
      <c r="H16" s="1403"/>
      <c r="I16" s="1372"/>
      <c r="J16" s="1372"/>
      <c r="K16" s="1372"/>
      <c r="L16" s="1372"/>
      <c r="M16" s="1372"/>
      <c r="N16" s="1372"/>
      <c r="O16" s="1372"/>
      <c r="P16" s="1372"/>
      <c r="Q16" s="1372"/>
      <c r="R16" s="1372"/>
      <c r="S16" s="1372"/>
      <c r="T16" s="1372"/>
      <c r="U16" s="1372"/>
      <c r="V16" s="1372"/>
      <c r="W16" s="1372"/>
      <c r="X16" s="1372"/>
      <c r="Y16" s="1372"/>
      <c r="Z16" s="1372"/>
    </row>
    <row r="17" spans="1:26" ht="15.6" x14ac:dyDescent="0.25">
      <c r="A17" s="1371"/>
      <c r="B17" s="1396"/>
      <c r="C17" s="1401" t="s">
        <v>88</v>
      </c>
      <c r="D17" s="1396">
        <v>0.23494999999999999</v>
      </c>
      <c r="E17" s="1396" t="s">
        <v>22</v>
      </c>
      <c r="G17" s="1393" t="s">
        <v>908</v>
      </c>
      <c r="H17" s="1404" t="s">
        <v>905</v>
      </c>
      <c r="I17" s="1372"/>
      <c r="J17" s="1372"/>
      <c r="K17" s="1372"/>
      <c r="L17" s="1372"/>
      <c r="M17" s="1372"/>
      <c r="N17" s="1372"/>
      <c r="O17" s="1372"/>
      <c r="P17" s="1372"/>
      <c r="Q17" s="1372"/>
      <c r="R17" s="1372"/>
      <c r="S17" s="1372"/>
      <c r="T17" s="1372"/>
      <c r="U17" s="1372"/>
      <c r="V17" s="1372"/>
      <c r="W17" s="1372"/>
      <c r="X17" s="1372"/>
      <c r="Y17" s="1372"/>
      <c r="Z17" s="1372"/>
    </row>
    <row r="18" spans="1:26" ht="15.6" x14ac:dyDescent="0.3">
      <c r="A18" s="1371"/>
      <c r="B18" s="1405"/>
      <c r="C18" s="1401" t="s">
        <v>89</v>
      </c>
      <c r="D18" s="1396">
        <v>0.28575</v>
      </c>
      <c r="E18" s="1405" t="s">
        <v>22</v>
      </c>
      <c r="F18" s="1397" t="s">
        <v>906</v>
      </c>
      <c r="G18" s="1402">
        <v>3.1273</v>
      </c>
      <c r="H18" s="1399" t="s">
        <v>904</v>
      </c>
      <c r="I18" s="1372"/>
      <c r="J18" s="1372"/>
      <c r="K18" s="1372"/>
      <c r="L18" s="1372"/>
      <c r="M18" s="1372"/>
      <c r="N18" s="1372"/>
      <c r="O18" s="1372"/>
      <c r="P18" s="1372"/>
      <c r="Q18" s="1372"/>
      <c r="R18" s="1372"/>
      <c r="S18" s="1372"/>
      <c r="T18" s="1372"/>
      <c r="U18" s="1372"/>
      <c r="V18" s="1372"/>
      <c r="W18" s="1372"/>
      <c r="X18" s="1372"/>
      <c r="Y18" s="1372"/>
      <c r="Z18" s="1372"/>
    </row>
    <row r="19" spans="1:26" ht="15.6" x14ac:dyDescent="0.3">
      <c r="A19" s="1371"/>
      <c r="B19" s="1371"/>
      <c r="C19" s="1371"/>
      <c r="D19" s="1371"/>
      <c r="E19" s="1371"/>
      <c r="F19" s="1397" t="s">
        <v>907</v>
      </c>
      <c r="G19" s="1402">
        <v>2.3071000000000002</v>
      </c>
      <c r="H19" s="1399" t="s">
        <v>904</v>
      </c>
      <c r="I19" s="1372"/>
      <c r="J19" s="1372"/>
      <c r="K19" s="1372"/>
      <c r="L19" s="1372"/>
      <c r="M19" s="1372"/>
      <c r="N19" s="1372"/>
      <c r="O19" s="1372"/>
      <c r="P19" s="1372"/>
      <c r="Q19" s="1372"/>
      <c r="R19" s="1372"/>
      <c r="S19" s="1372"/>
      <c r="T19" s="1372"/>
      <c r="U19" s="1372"/>
      <c r="V19" s="1372"/>
      <c r="W19" s="1372"/>
      <c r="X19" s="1372"/>
      <c r="Y19" s="1372"/>
      <c r="Z19" s="1372"/>
    </row>
    <row r="20" spans="1:26" ht="15.6" x14ac:dyDescent="0.25">
      <c r="A20" s="1371"/>
      <c r="B20" s="1394" t="s">
        <v>750</v>
      </c>
      <c r="C20" s="1404" t="s">
        <v>973</v>
      </c>
      <c r="G20" s="1371"/>
      <c r="H20" s="1371"/>
      <c r="I20" s="1372"/>
      <c r="J20" s="1372"/>
      <c r="K20" s="1372"/>
      <c r="L20" s="1372"/>
      <c r="M20" s="1372"/>
      <c r="N20" s="1372"/>
      <c r="O20" s="1372"/>
      <c r="P20" s="1372"/>
      <c r="Q20" s="1372"/>
      <c r="R20" s="1372"/>
      <c r="S20" s="1372"/>
      <c r="T20" s="1372"/>
      <c r="U20" s="1372"/>
      <c r="V20" s="1372"/>
      <c r="W20" s="1372"/>
      <c r="X20" s="1372"/>
      <c r="Y20" s="1372"/>
      <c r="Z20" s="1372"/>
    </row>
    <row r="21" spans="1:26" ht="15.75" customHeight="1" x14ac:dyDescent="0.25">
      <c r="A21" s="1371"/>
      <c r="B21" s="1406" t="s">
        <v>80</v>
      </c>
      <c r="C21" s="1407">
        <f>1/(0.0254*16)</f>
        <v>2.4606299212598426</v>
      </c>
      <c r="G21" s="1393" t="s">
        <v>908</v>
      </c>
      <c r="H21" s="1404" t="s">
        <v>909</v>
      </c>
      <c r="I21" s="1372"/>
      <c r="J21" s="1372"/>
      <c r="K21" s="1372"/>
      <c r="L21" s="1372"/>
      <c r="M21" s="1372"/>
      <c r="N21" s="1372"/>
      <c r="O21" s="1372"/>
      <c r="P21" s="1372"/>
      <c r="Q21" s="1372"/>
      <c r="R21" s="1372"/>
      <c r="S21" s="1372"/>
      <c r="T21" s="1372"/>
      <c r="U21" s="1372"/>
      <c r="V21" s="1372"/>
      <c r="W21" s="1372"/>
      <c r="X21" s="1372"/>
      <c r="Y21" s="1372"/>
      <c r="Z21" s="1372"/>
    </row>
    <row r="22" spans="1:26" ht="15.75" customHeight="1" x14ac:dyDescent="0.3">
      <c r="A22" s="1371"/>
      <c r="B22" s="1406" t="s">
        <v>971</v>
      </c>
      <c r="C22" s="1407">
        <f>1/(0.0254*24)</f>
        <v>1.6404199475065619</v>
      </c>
      <c r="F22" s="1397" t="s">
        <v>906</v>
      </c>
      <c r="G22" s="1408">
        <f>1/(0.0254*16)</f>
        <v>2.4606299212598426</v>
      </c>
      <c r="H22" s="1399" t="s">
        <v>910</v>
      </c>
      <c r="I22" s="1372"/>
      <c r="J22" s="1372"/>
      <c r="K22" s="1372"/>
      <c r="L22" s="1372"/>
      <c r="M22" s="1372"/>
      <c r="N22" s="1372"/>
      <c r="O22" s="1372"/>
      <c r="P22" s="1372"/>
      <c r="Q22" s="1372"/>
      <c r="R22" s="1372"/>
      <c r="S22" s="1372"/>
      <c r="T22" s="1372"/>
      <c r="U22" s="1372"/>
      <c r="V22" s="1372"/>
      <c r="W22" s="1372"/>
      <c r="X22" s="1372"/>
      <c r="Y22" s="1372"/>
      <c r="Z22" s="1372"/>
    </row>
    <row r="23" spans="1:26" ht="15.75" customHeight="1" x14ac:dyDescent="0.3">
      <c r="A23" s="1371"/>
      <c r="B23" s="1406" t="s">
        <v>972</v>
      </c>
      <c r="C23" s="1407">
        <f>1/(0.0254*36)</f>
        <v>1.0936132983377078</v>
      </c>
      <c r="D23" s="1371"/>
      <c r="F23" s="1397" t="s">
        <v>907</v>
      </c>
      <c r="G23" s="1408">
        <f>1/(0.0254*24)</f>
        <v>1.6404199475065619</v>
      </c>
      <c r="H23" s="1399" t="s">
        <v>910</v>
      </c>
      <c r="I23" s="1372"/>
      <c r="J23" s="1372"/>
      <c r="K23" s="1372"/>
      <c r="L23" s="1372"/>
      <c r="M23" s="1372"/>
      <c r="N23" s="1372"/>
      <c r="O23" s="1372"/>
      <c r="P23" s="1372"/>
      <c r="Q23" s="1372"/>
      <c r="R23" s="1372"/>
      <c r="S23" s="1372"/>
      <c r="T23" s="1372"/>
      <c r="U23" s="1372"/>
      <c r="V23" s="1372"/>
      <c r="W23" s="1372"/>
      <c r="X23" s="1372"/>
      <c r="Y23" s="1372"/>
      <c r="Z23" s="1372"/>
    </row>
    <row r="24" spans="1:26" ht="15.75" customHeight="1" x14ac:dyDescent="0.25">
      <c r="A24" s="1371"/>
      <c r="D24" s="1371"/>
      <c r="G24" s="1371"/>
      <c r="H24" s="1371"/>
      <c r="I24" s="1372"/>
      <c r="J24" s="1372"/>
      <c r="K24" s="1372"/>
      <c r="L24" s="1372"/>
      <c r="M24" s="1372"/>
      <c r="N24" s="1372"/>
      <c r="O24" s="1372"/>
      <c r="P24" s="1372"/>
      <c r="Q24" s="1372"/>
      <c r="R24" s="1372"/>
      <c r="S24" s="1372"/>
      <c r="T24" s="1372"/>
      <c r="U24" s="1372"/>
      <c r="V24" s="1372"/>
      <c r="W24" s="1372"/>
      <c r="X24" s="1372"/>
      <c r="Y24" s="1372"/>
      <c r="Z24" s="1372"/>
    </row>
    <row r="25" spans="1:26" ht="15.75" customHeight="1" x14ac:dyDescent="0.25">
      <c r="A25" s="1371"/>
      <c r="B25" s="1404" t="s">
        <v>877</v>
      </c>
      <c r="C25" s="1404" t="s">
        <v>879</v>
      </c>
      <c r="D25" s="1404"/>
      <c r="G25" s="1371"/>
      <c r="H25" s="1371"/>
      <c r="I25" s="1372"/>
      <c r="J25" s="1372"/>
      <c r="K25" s="1372"/>
      <c r="L25" s="1372"/>
      <c r="M25" s="1372"/>
      <c r="N25" s="1372"/>
      <c r="O25" s="1372"/>
      <c r="P25" s="1372"/>
      <c r="Q25" s="1372"/>
      <c r="R25" s="1372"/>
      <c r="S25" s="1372"/>
      <c r="T25" s="1372"/>
      <c r="U25" s="1372"/>
      <c r="V25" s="1372"/>
      <c r="W25" s="1372"/>
      <c r="X25" s="1372"/>
      <c r="Y25" s="1372"/>
      <c r="Z25" s="1372"/>
    </row>
    <row r="26" spans="1:26" ht="15.75" customHeight="1" x14ac:dyDescent="0.3">
      <c r="A26" s="1371"/>
      <c r="B26" s="1409" t="s">
        <v>816</v>
      </c>
      <c r="C26" s="1410">
        <v>0.92600000000000005</v>
      </c>
      <c r="D26" s="1371"/>
      <c r="G26" s="1335"/>
      <c r="H26" s="1334"/>
      <c r="I26" s="1372"/>
      <c r="J26" s="1372"/>
      <c r="K26" s="1372"/>
      <c r="L26" s="1372"/>
      <c r="M26" s="1372"/>
      <c r="N26" s="1372"/>
      <c r="O26" s="1372"/>
      <c r="P26" s="1372"/>
      <c r="Q26" s="1372"/>
      <c r="R26" s="1372"/>
      <c r="S26" s="1372"/>
      <c r="T26" s="1372"/>
      <c r="U26" s="1372"/>
      <c r="V26" s="1372"/>
      <c r="W26" s="1372"/>
      <c r="X26" s="1372"/>
      <c r="Y26" s="1372"/>
      <c r="Z26" s="1372"/>
    </row>
    <row r="27" spans="1:26" ht="15.75" customHeight="1" x14ac:dyDescent="0.3">
      <c r="A27" s="1371"/>
      <c r="B27" s="1409" t="s">
        <v>878</v>
      </c>
      <c r="C27" s="1410">
        <v>1</v>
      </c>
      <c r="D27" s="1371"/>
      <c r="G27" s="1411"/>
      <c r="H27" s="1334"/>
      <c r="I27" s="1372"/>
      <c r="J27" s="1372"/>
      <c r="K27" s="1372"/>
      <c r="L27" s="1372"/>
      <c r="M27" s="1372"/>
      <c r="N27" s="1372"/>
      <c r="O27" s="1372"/>
      <c r="P27" s="1372"/>
      <c r="Q27" s="1372"/>
      <c r="R27" s="1372"/>
      <c r="S27" s="1372"/>
      <c r="T27" s="1372"/>
      <c r="U27" s="1372"/>
      <c r="V27" s="1372"/>
      <c r="W27" s="1372"/>
      <c r="X27" s="1372"/>
      <c r="Y27" s="1372"/>
      <c r="Z27" s="1372"/>
    </row>
    <row r="28" spans="1:26" ht="15.75" customHeight="1" x14ac:dyDescent="0.25">
      <c r="A28" s="1371"/>
      <c r="B28" s="1409" t="s">
        <v>77</v>
      </c>
      <c r="C28" s="1410">
        <v>1.0289999999999999</v>
      </c>
      <c r="D28" s="1371"/>
      <c r="H28" s="1371"/>
      <c r="I28" s="1372"/>
      <c r="J28" s="1372"/>
      <c r="K28" s="1372"/>
      <c r="L28" s="1372"/>
      <c r="M28" s="1372"/>
      <c r="N28" s="1372"/>
      <c r="O28" s="1372"/>
      <c r="P28" s="1372"/>
      <c r="Q28" s="1372"/>
      <c r="R28" s="1372"/>
      <c r="S28" s="1372"/>
      <c r="T28" s="1372"/>
      <c r="U28" s="1372"/>
      <c r="V28" s="1372"/>
      <c r="W28" s="1372"/>
      <c r="X28" s="1372"/>
      <c r="Y28" s="1372"/>
      <c r="Z28" s="1372"/>
    </row>
    <row r="29" spans="1:26" ht="15.75" customHeight="1" x14ac:dyDescent="0.25">
      <c r="A29" s="1371"/>
      <c r="B29" s="1409" t="s">
        <v>78</v>
      </c>
      <c r="C29" s="1410">
        <v>1.1319999999999999</v>
      </c>
      <c r="D29" s="1371"/>
      <c r="I29" s="1372"/>
      <c r="J29" s="1372"/>
      <c r="K29" s="1372"/>
      <c r="L29" s="1372"/>
      <c r="M29" s="1372"/>
      <c r="N29" s="1372"/>
      <c r="O29" s="1372"/>
      <c r="P29" s="1372"/>
      <c r="Q29" s="1372"/>
      <c r="R29" s="1372"/>
      <c r="S29" s="1372"/>
      <c r="T29" s="1372"/>
      <c r="U29" s="1372"/>
      <c r="V29" s="1372"/>
      <c r="W29" s="1372"/>
      <c r="X29" s="1372"/>
      <c r="Y29" s="1372"/>
      <c r="Z29" s="1372"/>
    </row>
    <row r="30" spans="1:26" ht="15.75" customHeight="1" x14ac:dyDescent="0.25">
      <c r="A30" s="1371"/>
      <c r="B30" s="1409" t="s">
        <v>80</v>
      </c>
      <c r="C30" s="1410">
        <v>1.2</v>
      </c>
      <c r="D30" s="1371"/>
      <c r="I30" s="1372"/>
      <c r="J30" s="1372"/>
      <c r="K30" s="1372"/>
      <c r="L30" s="1372"/>
      <c r="M30" s="1372"/>
      <c r="N30" s="1372"/>
      <c r="O30" s="1372"/>
      <c r="P30" s="1372"/>
      <c r="Q30" s="1372"/>
      <c r="R30" s="1372"/>
      <c r="S30" s="1372"/>
      <c r="T30" s="1372"/>
      <c r="U30" s="1372"/>
      <c r="V30" s="1372"/>
      <c r="W30" s="1372"/>
      <c r="X30" s="1372"/>
      <c r="Y30" s="1372"/>
      <c r="Z30" s="1372"/>
    </row>
    <row r="31" spans="1:26" ht="15.75" customHeight="1" x14ac:dyDescent="0.25">
      <c r="A31" s="1371"/>
      <c r="B31" s="1371"/>
      <c r="C31" s="1371"/>
      <c r="D31" s="1371"/>
      <c r="E31" s="1371"/>
      <c r="H31" s="1371"/>
      <c r="I31" s="1372"/>
      <c r="J31" s="1372"/>
      <c r="K31" s="1372"/>
      <c r="L31" s="1372"/>
      <c r="M31" s="1372"/>
      <c r="N31" s="1372"/>
      <c r="O31" s="1372"/>
      <c r="P31" s="1372"/>
      <c r="Q31" s="1372"/>
      <c r="R31" s="1372"/>
      <c r="S31" s="1372"/>
      <c r="T31" s="1372"/>
      <c r="U31" s="1372"/>
      <c r="V31" s="1372"/>
      <c r="W31" s="1372"/>
      <c r="X31" s="1372"/>
      <c r="Y31" s="1372"/>
      <c r="Z31" s="1372"/>
    </row>
    <row r="32" spans="1:26" ht="15.75" customHeight="1" x14ac:dyDescent="0.25">
      <c r="A32" s="1371"/>
      <c r="B32" s="1404" t="s">
        <v>982</v>
      </c>
      <c r="C32" s="1404" t="s">
        <v>981</v>
      </c>
      <c r="D32" s="1371"/>
      <c r="E32" s="1371"/>
      <c r="H32" s="1371"/>
      <c r="I32" s="1372"/>
      <c r="J32" s="1372"/>
      <c r="K32" s="1372"/>
      <c r="L32" s="1372"/>
      <c r="M32" s="1372"/>
      <c r="N32" s="1372"/>
      <c r="O32" s="1372"/>
      <c r="P32" s="1372"/>
      <c r="Q32" s="1372"/>
      <c r="R32" s="1372"/>
      <c r="S32" s="1372"/>
      <c r="T32" s="1372"/>
      <c r="U32" s="1372"/>
      <c r="V32" s="1372"/>
      <c r="W32" s="1372"/>
      <c r="X32" s="1372"/>
      <c r="Y32" s="1372"/>
      <c r="Z32" s="1372"/>
    </row>
    <row r="33" spans="1:26" ht="15.75" customHeight="1" x14ac:dyDescent="0.3">
      <c r="A33" s="1371"/>
      <c r="B33" s="1334" t="s">
        <v>983</v>
      </c>
      <c r="C33" s="1410">
        <f>5.5*4/5.678</f>
        <v>3.8746037337090526</v>
      </c>
      <c r="D33" s="1371"/>
      <c r="E33" s="1371"/>
      <c r="H33" s="1371"/>
      <c r="I33" s="1372"/>
      <c r="J33" s="1372"/>
      <c r="K33" s="1372"/>
      <c r="L33" s="1372"/>
      <c r="M33" s="1372"/>
      <c r="N33" s="1372"/>
      <c r="O33" s="1372"/>
      <c r="P33" s="1372"/>
      <c r="Q33" s="1372"/>
      <c r="R33" s="1372"/>
      <c r="S33" s="1372"/>
      <c r="T33" s="1372"/>
      <c r="U33" s="1372"/>
      <c r="V33" s="1372"/>
      <c r="W33" s="1372"/>
      <c r="X33" s="1372"/>
      <c r="Y33" s="1372"/>
      <c r="Z33" s="1372"/>
    </row>
    <row r="34" spans="1:26" ht="15.75" customHeight="1" x14ac:dyDescent="0.3">
      <c r="A34" s="1371"/>
      <c r="B34" s="1334" t="s">
        <v>755</v>
      </c>
      <c r="C34" s="1410">
        <f>7.25*4/5.678</f>
        <v>5.1074321944346606</v>
      </c>
      <c r="D34" s="1371"/>
      <c r="E34" s="1371"/>
      <c r="H34" s="1371"/>
      <c r="I34" s="1372"/>
      <c r="J34" s="1372"/>
      <c r="K34" s="1372"/>
      <c r="L34" s="1372"/>
      <c r="M34" s="1372"/>
      <c r="N34" s="1372"/>
      <c r="O34" s="1372"/>
      <c r="P34" s="1372"/>
      <c r="Q34" s="1372"/>
      <c r="R34" s="1372"/>
      <c r="S34" s="1372"/>
      <c r="T34" s="1372"/>
      <c r="U34" s="1372"/>
      <c r="V34" s="1372"/>
      <c r="W34" s="1372"/>
      <c r="X34" s="1372"/>
      <c r="Y34" s="1372"/>
      <c r="Z34" s="1372"/>
    </row>
    <row r="35" spans="1:26" ht="15.75" customHeight="1" x14ac:dyDescent="0.3">
      <c r="A35" s="1371"/>
      <c r="B35" s="1334" t="s">
        <v>756</v>
      </c>
      <c r="C35" s="1410">
        <f>9.5*4/5.678</f>
        <v>6.6924973582247267</v>
      </c>
      <c r="D35" s="1371"/>
      <c r="E35" s="1371"/>
      <c r="F35" s="1371"/>
      <c r="G35" s="1371"/>
      <c r="H35" s="1371"/>
      <c r="I35" s="1372"/>
      <c r="J35" s="1372"/>
      <c r="K35" s="1372"/>
      <c r="L35" s="1372"/>
      <c r="M35" s="1372"/>
      <c r="N35" s="1372"/>
      <c r="O35" s="1372"/>
      <c r="P35" s="1372"/>
      <c r="Q35" s="1372"/>
      <c r="R35" s="1372"/>
      <c r="S35" s="1372"/>
      <c r="T35" s="1372"/>
      <c r="U35" s="1372"/>
      <c r="V35" s="1372"/>
      <c r="W35" s="1372"/>
      <c r="X35" s="1372"/>
      <c r="Y35" s="1372"/>
      <c r="Z35" s="1372"/>
    </row>
    <row r="36" spans="1:26" ht="15.75" customHeight="1" x14ac:dyDescent="0.3">
      <c r="A36" s="1371"/>
      <c r="B36" s="1334" t="s">
        <v>757</v>
      </c>
      <c r="C36" s="1410">
        <f>11.875*4/5.678</f>
        <v>8.3656216977809095</v>
      </c>
      <c r="D36" s="1371"/>
      <c r="E36" s="1371"/>
      <c r="F36" s="1371"/>
      <c r="G36" s="1371"/>
      <c r="H36" s="1371"/>
      <c r="I36" s="1372"/>
      <c r="J36" s="1372"/>
      <c r="K36" s="1372"/>
      <c r="L36" s="1372"/>
      <c r="M36" s="1372"/>
      <c r="N36" s="1372"/>
      <c r="O36" s="1372"/>
      <c r="P36" s="1372"/>
      <c r="Q36" s="1372"/>
      <c r="R36" s="1372"/>
      <c r="S36" s="1372"/>
      <c r="T36" s="1372"/>
      <c r="U36" s="1372"/>
      <c r="V36" s="1372"/>
      <c r="W36" s="1372"/>
      <c r="X36" s="1372"/>
      <c r="Y36" s="1372"/>
      <c r="Z36" s="1372"/>
    </row>
    <row r="37" spans="1:26" ht="15.75" customHeight="1" x14ac:dyDescent="0.25">
      <c r="A37" s="1371"/>
      <c r="B37" s="1412"/>
      <c r="C37" s="1371"/>
      <c r="D37" s="1371"/>
      <c r="E37" s="1371"/>
      <c r="F37" s="1371"/>
      <c r="G37" s="1371"/>
      <c r="H37" s="1371"/>
      <c r="I37" s="1372"/>
      <c r="J37" s="1372"/>
      <c r="K37" s="1372"/>
      <c r="L37" s="1372"/>
      <c r="M37" s="1372"/>
      <c r="N37" s="1372"/>
      <c r="O37" s="1372"/>
      <c r="P37" s="1372"/>
      <c r="Q37" s="1372"/>
      <c r="R37" s="1372"/>
      <c r="S37" s="1372"/>
      <c r="T37" s="1372"/>
      <c r="U37" s="1372"/>
      <c r="V37" s="1372"/>
      <c r="W37" s="1372"/>
      <c r="X37" s="1372"/>
      <c r="Y37" s="1372"/>
      <c r="Z37" s="1372"/>
    </row>
    <row r="38" spans="1:26" ht="15.75" customHeight="1" x14ac:dyDescent="0.25">
      <c r="A38" s="1371"/>
      <c r="B38" s="1412"/>
      <c r="C38" s="1371"/>
      <c r="D38" s="1371"/>
      <c r="E38" s="1371"/>
      <c r="F38" s="1371"/>
      <c r="G38" s="1371"/>
      <c r="H38" s="1371"/>
      <c r="I38" s="1372"/>
      <c r="J38" s="1372"/>
      <c r="K38" s="1372"/>
      <c r="L38" s="1372"/>
      <c r="M38" s="1372"/>
      <c r="N38" s="1372"/>
      <c r="O38" s="1372"/>
      <c r="P38" s="1372"/>
      <c r="Q38" s="1372"/>
      <c r="R38" s="1372"/>
      <c r="S38" s="1372"/>
      <c r="T38" s="1372"/>
      <c r="U38" s="1372"/>
      <c r="V38" s="1372"/>
      <c r="W38" s="1372"/>
      <c r="X38" s="1372"/>
      <c r="Y38" s="1372"/>
      <c r="Z38" s="1372"/>
    </row>
    <row r="39" spans="1:26" ht="15.75" customHeight="1" x14ac:dyDescent="0.25">
      <c r="A39" s="1371"/>
      <c r="B39" s="1413" t="s">
        <v>4899</v>
      </c>
      <c r="C39" s="1371"/>
      <c r="D39" s="1371"/>
      <c r="E39" s="1371"/>
      <c r="F39" s="1371"/>
      <c r="G39" s="1371"/>
      <c r="H39" s="1371"/>
      <c r="I39" s="1372"/>
      <c r="J39" s="1372"/>
      <c r="K39" s="1372"/>
      <c r="L39" s="1372"/>
      <c r="M39" s="1372"/>
      <c r="N39" s="1372"/>
      <c r="O39" s="1372"/>
      <c r="P39" s="1372"/>
      <c r="Q39" s="1372"/>
      <c r="R39" s="1372"/>
      <c r="S39" s="1372"/>
      <c r="T39" s="1372"/>
      <c r="U39" s="1372"/>
      <c r="V39" s="1372"/>
      <c r="W39" s="1372"/>
      <c r="X39" s="1372"/>
      <c r="Y39" s="1372"/>
      <c r="Z39" s="1372"/>
    </row>
    <row r="40" spans="1:26" ht="15.75" customHeight="1" x14ac:dyDescent="0.25">
      <c r="A40" s="1371"/>
      <c r="B40" s="1413" t="s">
        <v>4900</v>
      </c>
      <c r="C40" s="1371"/>
      <c r="D40" s="1371"/>
      <c r="E40" s="1371"/>
      <c r="F40" s="1371"/>
      <c r="G40" s="1371"/>
      <c r="H40" s="1371"/>
      <c r="I40" s="1372"/>
      <c r="J40" s="1372"/>
      <c r="K40" s="1372"/>
      <c r="L40" s="1372"/>
      <c r="M40" s="1372"/>
      <c r="N40" s="1372"/>
      <c r="O40" s="1372"/>
      <c r="P40" s="1372"/>
      <c r="Q40" s="1372"/>
      <c r="R40" s="1372"/>
      <c r="S40" s="1372"/>
      <c r="T40" s="1372"/>
      <c r="U40" s="1372"/>
      <c r="V40" s="1372"/>
      <c r="W40" s="1372"/>
      <c r="X40" s="1372"/>
      <c r="Y40" s="1372"/>
      <c r="Z40" s="1372"/>
    </row>
    <row r="41" spans="1:26" ht="15.75" customHeight="1" x14ac:dyDescent="0.3">
      <c r="A41" s="1371"/>
      <c r="B41" s="1335"/>
      <c r="C41" s="1371"/>
      <c r="D41" s="1371"/>
      <c r="E41" s="1371"/>
      <c r="F41" s="1371"/>
      <c r="G41" s="1371"/>
      <c r="H41" s="1371"/>
      <c r="I41" s="1372"/>
      <c r="J41" s="1372"/>
      <c r="K41" s="1372"/>
      <c r="L41" s="1372"/>
      <c r="M41" s="1372"/>
      <c r="N41" s="1372"/>
      <c r="O41" s="1372"/>
      <c r="P41" s="1372"/>
      <c r="Q41" s="1372"/>
      <c r="R41" s="1372"/>
      <c r="S41" s="1372"/>
      <c r="T41" s="1372"/>
      <c r="U41" s="1372"/>
      <c r="V41" s="1372"/>
      <c r="W41" s="1372"/>
      <c r="X41" s="1372"/>
      <c r="Y41" s="1372"/>
      <c r="Z41" s="1372"/>
    </row>
    <row r="42" spans="1:26" ht="15.75" customHeight="1" x14ac:dyDescent="0.25">
      <c r="A42" s="1371"/>
      <c r="B42" s="1414"/>
      <c r="C42" s="1371"/>
      <c r="D42" s="1371"/>
      <c r="E42" s="1371"/>
      <c r="F42" s="1371"/>
      <c r="G42" s="1371"/>
      <c r="H42" s="1371"/>
      <c r="I42" s="1372"/>
      <c r="J42" s="1372"/>
      <c r="K42" s="1372"/>
      <c r="L42" s="1372"/>
      <c r="M42" s="1372"/>
      <c r="N42" s="1372"/>
      <c r="O42" s="1372"/>
      <c r="P42" s="1372"/>
      <c r="Q42" s="1372"/>
      <c r="R42" s="1372"/>
      <c r="S42" s="1372"/>
      <c r="T42" s="1372"/>
      <c r="U42" s="1372"/>
      <c r="V42" s="1372"/>
      <c r="W42" s="1372"/>
      <c r="X42" s="1372"/>
      <c r="Y42" s="1372"/>
      <c r="Z42" s="1372"/>
    </row>
    <row r="43" spans="1:26" ht="15.75" customHeight="1" x14ac:dyDescent="0.3">
      <c r="A43" s="1371"/>
      <c r="B43" s="1334"/>
      <c r="C43" s="1371"/>
      <c r="D43" s="1371"/>
      <c r="E43" s="1371"/>
      <c r="F43" s="1371"/>
      <c r="G43" s="1371"/>
      <c r="H43" s="1371"/>
      <c r="I43" s="1372"/>
      <c r="J43" s="1372"/>
      <c r="K43" s="1372"/>
      <c r="L43" s="1372"/>
      <c r="M43" s="1372"/>
      <c r="N43" s="1372"/>
      <c r="O43" s="1372"/>
      <c r="P43" s="1372"/>
      <c r="Q43" s="1372"/>
      <c r="R43" s="1372"/>
      <c r="S43" s="1372"/>
      <c r="T43" s="1372"/>
      <c r="U43" s="1372"/>
      <c r="V43" s="1372"/>
      <c r="W43" s="1372"/>
      <c r="X43" s="1372"/>
      <c r="Y43" s="1372"/>
      <c r="Z43" s="1372"/>
    </row>
    <row r="44" spans="1:26" ht="15.75" customHeight="1" x14ac:dyDescent="0.25">
      <c r="A44" s="1371"/>
      <c r="C44" s="1371"/>
      <c r="D44" s="1371"/>
      <c r="E44" s="1371"/>
      <c r="F44" s="1371"/>
      <c r="G44" s="1371"/>
      <c r="H44" s="1371"/>
      <c r="I44" s="1372"/>
      <c r="J44" s="1372"/>
      <c r="K44" s="1372"/>
      <c r="L44" s="1372"/>
      <c r="M44" s="1372"/>
      <c r="N44" s="1372"/>
      <c r="O44" s="1372"/>
      <c r="P44" s="1372"/>
      <c r="Q44" s="1372"/>
      <c r="R44" s="1372"/>
      <c r="S44" s="1372"/>
      <c r="T44" s="1372"/>
      <c r="U44" s="1372"/>
      <c r="V44" s="1372"/>
      <c r="W44" s="1372"/>
      <c r="X44" s="1372"/>
      <c r="Y44" s="1372"/>
      <c r="Z44" s="1372"/>
    </row>
    <row r="45" spans="1:26" ht="15.75" customHeight="1" x14ac:dyDescent="0.25">
      <c r="A45" s="1371"/>
      <c r="C45" s="1371"/>
      <c r="D45" s="1371"/>
      <c r="E45" s="1371"/>
      <c r="F45" s="1371"/>
      <c r="G45" s="1371"/>
      <c r="H45" s="1371"/>
      <c r="I45" s="1372"/>
      <c r="J45" s="1372"/>
      <c r="K45" s="1372"/>
      <c r="L45" s="1372"/>
      <c r="M45" s="1372"/>
      <c r="N45" s="1372"/>
      <c r="O45" s="1372"/>
      <c r="P45" s="1372"/>
      <c r="Q45" s="1372"/>
      <c r="R45" s="1372"/>
      <c r="S45" s="1372"/>
      <c r="T45" s="1372"/>
      <c r="U45" s="1372"/>
      <c r="V45" s="1372"/>
      <c r="W45" s="1372"/>
      <c r="X45" s="1372"/>
      <c r="Y45" s="1372"/>
      <c r="Z45" s="1372"/>
    </row>
    <row r="46" spans="1:26" ht="15.75" customHeight="1" x14ac:dyDescent="0.25">
      <c r="A46" s="1371"/>
      <c r="C46" s="1371"/>
      <c r="D46" s="1371"/>
      <c r="E46" s="1371"/>
      <c r="F46" s="1371"/>
      <c r="G46" s="1371"/>
      <c r="H46" s="1371"/>
      <c r="I46" s="1372"/>
      <c r="J46" s="1372"/>
      <c r="K46" s="1372"/>
      <c r="L46" s="1372"/>
      <c r="M46" s="1372"/>
      <c r="N46" s="1372"/>
      <c r="O46" s="1372"/>
      <c r="P46" s="1372"/>
      <c r="Q46" s="1372"/>
      <c r="R46" s="1372"/>
      <c r="S46" s="1372"/>
      <c r="T46" s="1372"/>
      <c r="U46" s="1372"/>
      <c r="V46" s="1372"/>
      <c r="W46" s="1372"/>
      <c r="X46" s="1372"/>
      <c r="Y46" s="1372"/>
      <c r="Z46" s="1372"/>
    </row>
    <row r="47" spans="1:26" ht="15.75" customHeight="1" x14ac:dyDescent="0.25">
      <c r="A47" s="1371"/>
      <c r="C47" s="1371"/>
      <c r="D47" s="1371"/>
      <c r="E47" s="1371"/>
      <c r="F47" s="1371"/>
      <c r="G47" s="1371"/>
      <c r="H47" s="1371"/>
      <c r="I47" s="1372"/>
      <c r="J47" s="1372"/>
      <c r="K47" s="1372"/>
      <c r="L47" s="1372"/>
      <c r="M47" s="1372"/>
      <c r="N47" s="1372"/>
      <c r="O47" s="1372"/>
      <c r="P47" s="1372"/>
      <c r="Q47" s="1372"/>
      <c r="R47" s="1372"/>
      <c r="S47" s="1372"/>
      <c r="T47" s="1372"/>
      <c r="U47" s="1372"/>
      <c r="V47" s="1372"/>
      <c r="W47" s="1372"/>
      <c r="X47" s="1372"/>
      <c r="Y47" s="1372"/>
      <c r="Z47" s="1372"/>
    </row>
    <row r="48" spans="1:26" ht="15.75" customHeight="1" x14ac:dyDescent="0.25">
      <c r="A48" s="1371"/>
      <c r="C48" s="1371"/>
      <c r="D48" s="1371"/>
      <c r="E48" s="1371"/>
      <c r="F48" s="1371"/>
      <c r="G48" s="1371"/>
      <c r="H48" s="1371"/>
      <c r="I48" s="1372"/>
      <c r="J48" s="1372"/>
      <c r="K48" s="1372"/>
      <c r="L48" s="1372"/>
      <c r="M48" s="1372"/>
      <c r="N48" s="1372"/>
      <c r="O48" s="1372"/>
      <c r="P48" s="1372"/>
      <c r="Q48" s="1372"/>
      <c r="R48" s="1372"/>
      <c r="S48" s="1372"/>
      <c r="T48" s="1372"/>
      <c r="U48" s="1372"/>
      <c r="V48" s="1372"/>
      <c r="W48" s="1372"/>
      <c r="X48" s="1372"/>
      <c r="Y48" s="1372"/>
      <c r="Z48" s="1372"/>
    </row>
    <row r="49" spans="1:26" ht="15.75" customHeight="1" x14ac:dyDescent="0.25">
      <c r="A49" s="1371"/>
      <c r="B49" s="1371"/>
      <c r="C49" s="1371"/>
      <c r="D49" s="1371"/>
      <c r="E49" s="1371"/>
      <c r="F49" s="1371"/>
      <c r="G49" s="1371"/>
      <c r="H49" s="1371"/>
      <c r="I49" s="1372"/>
      <c r="J49" s="1372"/>
      <c r="K49" s="1372"/>
      <c r="L49" s="1372"/>
      <c r="M49" s="1372"/>
      <c r="N49" s="1372"/>
      <c r="O49" s="1372"/>
      <c r="P49" s="1372"/>
      <c r="Q49" s="1372"/>
      <c r="R49" s="1372"/>
      <c r="S49" s="1372"/>
      <c r="T49" s="1372"/>
      <c r="U49" s="1372"/>
      <c r="V49" s="1372"/>
      <c r="W49" s="1372"/>
      <c r="X49" s="1372"/>
      <c r="Y49" s="1372"/>
      <c r="Z49" s="1372"/>
    </row>
    <row r="50" spans="1:26" ht="15.75" customHeight="1" x14ac:dyDescent="0.25">
      <c r="A50" s="1371"/>
      <c r="B50" s="1371"/>
      <c r="C50" s="1371"/>
      <c r="D50" s="1371"/>
      <c r="E50" s="1371"/>
      <c r="F50" s="1371"/>
      <c r="G50" s="1371"/>
      <c r="H50" s="1371"/>
      <c r="I50" s="1372"/>
      <c r="J50" s="1372"/>
      <c r="K50" s="1372"/>
      <c r="L50" s="1372"/>
      <c r="M50" s="1372"/>
      <c r="N50" s="1372"/>
      <c r="O50" s="1372"/>
      <c r="P50" s="1372"/>
      <c r="Q50" s="1372"/>
      <c r="R50" s="1372"/>
      <c r="S50" s="1372"/>
      <c r="T50" s="1372"/>
      <c r="U50" s="1372"/>
      <c r="V50" s="1372"/>
      <c r="W50" s="1372"/>
      <c r="X50" s="1372"/>
      <c r="Y50" s="1372"/>
      <c r="Z50" s="1372"/>
    </row>
    <row r="51" spans="1:26" ht="15.75" customHeight="1" x14ac:dyDescent="0.25">
      <c r="A51" s="1371"/>
      <c r="B51" s="1371"/>
      <c r="C51" s="1371"/>
      <c r="D51" s="1371"/>
      <c r="E51" s="1371"/>
      <c r="F51" s="1371"/>
      <c r="G51" s="1371"/>
      <c r="H51" s="1371"/>
      <c r="I51" s="1372"/>
      <c r="J51" s="1372"/>
      <c r="K51" s="1372"/>
      <c r="L51" s="1372"/>
      <c r="M51" s="1372"/>
      <c r="N51" s="1372"/>
      <c r="O51" s="1372"/>
      <c r="P51" s="1372"/>
      <c r="Q51" s="1372"/>
      <c r="R51" s="1372"/>
      <c r="S51" s="1372"/>
      <c r="T51" s="1372"/>
      <c r="U51" s="1372"/>
      <c r="V51" s="1372"/>
      <c r="W51" s="1372"/>
      <c r="X51" s="1372"/>
      <c r="Y51" s="1372"/>
      <c r="Z51" s="1372"/>
    </row>
    <row r="52" spans="1:26" ht="15.75" customHeight="1" x14ac:dyDescent="0.25">
      <c r="A52" s="1371"/>
      <c r="B52" s="1371"/>
      <c r="C52" s="1371"/>
      <c r="D52" s="1371"/>
      <c r="E52" s="1371"/>
      <c r="F52" s="1371"/>
      <c r="G52" s="1371"/>
      <c r="H52" s="1371"/>
      <c r="I52" s="1372"/>
      <c r="J52" s="1372"/>
      <c r="K52" s="1372"/>
      <c r="L52" s="1372"/>
      <c r="M52" s="1372"/>
      <c r="N52" s="1372"/>
      <c r="O52" s="1372"/>
      <c r="P52" s="1372"/>
      <c r="Q52" s="1372"/>
      <c r="R52" s="1372"/>
      <c r="S52" s="1372"/>
      <c r="T52" s="1372"/>
      <c r="U52" s="1372"/>
      <c r="V52" s="1372"/>
      <c r="W52" s="1372"/>
      <c r="X52" s="1372"/>
      <c r="Y52" s="1372"/>
      <c r="Z52" s="1372"/>
    </row>
    <row r="53" spans="1:26" ht="15.75" customHeight="1" x14ac:dyDescent="0.25">
      <c r="A53" s="1371"/>
      <c r="B53" s="1371"/>
      <c r="C53" s="1371"/>
      <c r="D53" s="1371"/>
      <c r="E53" s="1371"/>
      <c r="F53" s="1371"/>
      <c r="G53" s="1371"/>
      <c r="H53" s="1371"/>
      <c r="I53" s="1372"/>
      <c r="J53" s="1372"/>
      <c r="K53" s="1372"/>
      <c r="L53" s="1372"/>
      <c r="M53" s="1372"/>
      <c r="N53" s="1372"/>
      <c r="O53" s="1372"/>
      <c r="P53" s="1372"/>
      <c r="Q53" s="1372"/>
      <c r="R53" s="1372"/>
      <c r="S53" s="1372"/>
      <c r="T53" s="1372"/>
      <c r="U53" s="1372"/>
      <c r="V53" s="1372"/>
      <c r="W53" s="1372"/>
      <c r="X53" s="1372"/>
      <c r="Y53" s="1372"/>
      <c r="Z53" s="1372"/>
    </row>
    <row r="54" spans="1:26" ht="15.75" customHeight="1" x14ac:dyDescent="0.25">
      <c r="A54" s="1371"/>
      <c r="B54" s="1371"/>
      <c r="C54" s="1371"/>
      <c r="D54" s="1371"/>
      <c r="E54" s="1371"/>
      <c r="F54" s="1371"/>
      <c r="G54" s="1371"/>
      <c r="H54" s="1371"/>
      <c r="I54" s="1372"/>
      <c r="J54" s="1372"/>
      <c r="K54" s="1372"/>
      <c r="L54" s="1372"/>
      <c r="M54" s="1372"/>
      <c r="N54" s="1372"/>
      <c r="O54" s="1372"/>
      <c r="P54" s="1372"/>
      <c r="Q54" s="1372"/>
      <c r="R54" s="1372"/>
      <c r="S54" s="1372"/>
      <c r="T54" s="1372"/>
      <c r="U54" s="1372"/>
      <c r="V54" s="1372"/>
      <c r="W54" s="1372"/>
      <c r="X54" s="1372"/>
      <c r="Y54" s="1372"/>
      <c r="Z54" s="1372"/>
    </row>
    <row r="55" spans="1:26" ht="15.75" customHeight="1" x14ac:dyDescent="0.25">
      <c r="A55" s="1371"/>
      <c r="B55" s="1371"/>
      <c r="C55" s="1371"/>
      <c r="D55" s="1371"/>
      <c r="E55" s="1371"/>
      <c r="F55" s="1371"/>
      <c r="G55" s="1371"/>
      <c r="H55" s="1371"/>
      <c r="I55" s="1372"/>
      <c r="J55" s="1372"/>
      <c r="K55" s="1372"/>
      <c r="L55" s="1372"/>
      <c r="M55" s="1372"/>
      <c r="N55" s="1372"/>
      <c r="O55" s="1372"/>
      <c r="P55" s="1372"/>
      <c r="Q55" s="1372"/>
      <c r="R55" s="1372"/>
      <c r="S55" s="1372"/>
      <c r="T55" s="1372"/>
      <c r="U55" s="1372"/>
      <c r="V55" s="1372"/>
      <c r="W55" s="1372"/>
      <c r="X55" s="1372"/>
      <c r="Y55" s="1372"/>
      <c r="Z55" s="1372"/>
    </row>
    <row r="56" spans="1:26" ht="15.75" customHeight="1" x14ac:dyDescent="0.25">
      <c r="A56" s="1371"/>
      <c r="B56" s="1371"/>
      <c r="C56" s="1371"/>
      <c r="D56" s="1371"/>
      <c r="E56" s="1371"/>
      <c r="F56" s="1371"/>
      <c r="G56" s="1371"/>
      <c r="H56" s="1371"/>
      <c r="I56" s="1372"/>
      <c r="J56" s="1372"/>
      <c r="K56" s="1372"/>
      <c r="L56" s="1372"/>
      <c r="M56" s="1372"/>
      <c r="N56" s="1372"/>
      <c r="O56" s="1372"/>
      <c r="P56" s="1372"/>
      <c r="Q56" s="1372"/>
      <c r="R56" s="1372"/>
      <c r="S56" s="1372"/>
      <c r="T56" s="1372"/>
      <c r="U56" s="1372"/>
      <c r="V56" s="1372"/>
      <c r="W56" s="1372"/>
      <c r="X56" s="1372"/>
      <c r="Y56" s="1372"/>
      <c r="Z56" s="1372"/>
    </row>
    <row r="57" spans="1:26" ht="15.75" customHeight="1" x14ac:dyDescent="0.25">
      <c r="A57" s="1371"/>
      <c r="B57" s="1371"/>
      <c r="C57" s="1371"/>
      <c r="D57" s="1371"/>
      <c r="E57" s="1371"/>
      <c r="F57" s="1371"/>
      <c r="G57" s="1371"/>
      <c r="H57" s="1371"/>
      <c r="I57" s="1372"/>
      <c r="J57" s="1372"/>
      <c r="K57" s="1372"/>
      <c r="L57" s="1372"/>
      <c r="M57" s="1372"/>
      <c r="N57" s="1372"/>
      <c r="O57" s="1372"/>
      <c r="P57" s="1372"/>
      <c r="Q57" s="1372"/>
      <c r="R57" s="1372"/>
      <c r="S57" s="1372"/>
      <c r="T57" s="1372"/>
      <c r="U57" s="1372"/>
      <c r="V57" s="1372"/>
      <c r="W57" s="1372"/>
      <c r="X57" s="1372"/>
      <c r="Y57" s="1372"/>
      <c r="Z57" s="1372"/>
    </row>
    <row r="58" spans="1:26" ht="15.75" customHeight="1" x14ac:dyDescent="0.25">
      <c r="A58" s="1371"/>
      <c r="B58" s="1371"/>
      <c r="C58" s="1371"/>
      <c r="D58" s="1371"/>
      <c r="E58" s="1371"/>
      <c r="F58" s="1371"/>
      <c r="G58" s="1371"/>
      <c r="H58" s="1371"/>
      <c r="I58" s="1372"/>
      <c r="J58" s="1372"/>
      <c r="K58" s="1372"/>
      <c r="L58" s="1372"/>
      <c r="M58" s="1372"/>
      <c r="N58" s="1372"/>
      <c r="O58" s="1372"/>
      <c r="P58" s="1372"/>
      <c r="Q58" s="1372"/>
      <c r="R58" s="1372"/>
      <c r="S58" s="1372"/>
      <c r="T58" s="1372"/>
      <c r="U58" s="1372"/>
      <c r="V58" s="1372"/>
      <c r="W58" s="1372"/>
      <c r="X58" s="1372"/>
      <c r="Y58" s="1372"/>
      <c r="Z58" s="1372"/>
    </row>
    <row r="59" spans="1:26" ht="15.75" customHeight="1" x14ac:dyDescent="0.25">
      <c r="A59" s="1371"/>
      <c r="B59" s="1371"/>
      <c r="C59" s="1371"/>
      <c r="D59" s="1371"/>
      <c r="E59" s="1371"/>
      <c r="F59" s="1371"/>
      <c r="G59" s="1371"/>
      <c r="H59" s="1371"/>
      <c r="I59" s="1372"/>
      <c r="J59" s="1372"/>
      <c r="K59" s="1372"/>
      <c r="L59" s="1372"/>
      <c r="M59" s="1372"/>
      <c r="N59" s="1372"/>
      <c r="O59" s="1372"/>
      <c r="P59" s="1372"/>
      <c r="Q59" s="1372"/>
      <c r="R59" s="1372"/>
      <c r="S59" s="1372"/>
      <c r="T59" s="1372"/>
      <c r="U59" s="1372"/>
      <c r="V59" s="1372"/>
      <c r="W59" s="1372"/>
      <c r="X59" s="1372"/>
      <c r="Y59" s="1372"/>
      <c r="Z59" s="1372"/>
    </row>
    <row r="60" spans="1:26" ht="15.75" customHeight="1" x14ac:dyDescent="0.25">
      <c r="A60" s="1371"/>
      <c r="B60" s="1371"/>
      <c r="C60" s="1371"/>
      <c r="D60" s="1371"/>
      <c r="E60" s="1371"/>
      <c r="F60" s="1371"/>
      <c r="G60" s="1371"/>
      <c r="H60" s="1371"/>
      <c r="I60" s="1372"/>
      <c r="J60" s="1372"/>
      <c r="K60" s="1372"/>
      <c r="L60" s="1372"/>
      <c r="M60" s="1372"/>
      <c r="N60" s="1372"/>
      <c r="O60" s="1372"/>
      <c r="P60" s="1372"/>
      <c r="Q60" s="1372"/>
      <c r="R60" s="1372"/>
      <c r="S60" s="1372"/>
      <c r="T60" s="1372"/>
      <c r="U60" s="1372"/>
      <c r="V60" s="1372"/>
      <c r="W60" s="1372"/>
      <c r="X60" s="1372"/>
      <c r="Y60" s="1372"/>
      <c r="Z60" s="1372"/>
    </row>
    <row r="61" spans="1:26" ht="15.75" customHeight="1" x14ac:dyDescent="0.25">
      <c r="A61" s="1371"/>
      <c r="B61" s="1371"/>
      <c r="C61" s="1371"/>
      <c r="D61" s="1371"/>
      <c r="E61" s="1371"/>
      <c r="F61" s="1371"/>
      <c r="G61" s="1371"/>
      <c r="H61" s="1371"/>
      <c r="I61" s="1372"/>
      <c r="J61" s="1372"/>
      <c r="K61" s="1372"/>
      <c r="L61" s="1372"/>
      <c r="M61" s="1372"/>
      <c r="N61" s="1372"/>
      <c r="O61" s="1372"/>
      <c r="P61" s="1372"/>
      <c r="Q61" s="1372"/>
      <c r="R61" s="1372"/>
      <c r="S61" s="1372"/>
      <c r="T61" s="1372"/>
      <c r="U61" s="1372"/>
      <c r="V61" s="1372"/>
      <c r="W61" s="1372"/>
      <c r="X61" s="1372"/>
      <c r="Y61" s="1372"/>
      <c r="Z61" s="1372"/>
    </row>
    <row r="62" spans="1:26" ht="15.75" customHeight="1" x14ac:dyDescent="0.25">
      <c r="A62" s="1371"/>
      <c r="B62" s="1371"/>
      <c r="C62" s="1371"/>
      <c r="D62" s="1371"/>
      <c r="E62" s="1371"/>
      <c r="F62" s="1371"/>
      <c r="G62" s="1371"/>
      <c r="H62" s="1371"/>
      <c r="I62" s="1372"/>
      <c r="J62" s="1372"/>
      <c r="K62" s="1372"/>
      <c r="L62" s="1372"/>
      <c r="M62" s="1372"/>
      <c r="N62" s="1372"/>
      <c r="O62" s="1372"/>
      <c r="P62" s="1372"/>
      <c r="Q62" s="1372"/>
      <c r="R62" s="1372"/>
      <c r="S62" s="1372"/>
      <c r="T62" s="1372"/>
      <c r="U62" s="1372"/>
      <c r="V62" s="1372"/>
      <c r="W62" s="1372"/>
      <c r="X62" s="1372"/>
      <c r="Y62" s="1372"/>
      <c r="Z62" s="1372"/>
    </row>
    <row r="63" spans="1:26" ht="15.75" customHeight="1" x14ac:dyDescent="0.25">
      <c r="A63" s="1371"/>
      <c r="B63" s="1371"/>
      <c r="C63" s="1371"/>
      <c r="D63" s="1371"/>
      <c r="E63" s="1371"/>
      <c r="F63" s="1371"/>
      <c r="G63" s="1371"/>
      <c r="H63" s="1371"/>
      <c r="I63" s="1372"/>
      <c r="J63" s="1372"/>
      <c r="K63" s="1372"/>
      <c r="L63" s="1372"/>
      <c r="M63" s="1372"/>
      <c r="N63" s="1372"/>
      <c r="O63" s="1372"/>
      <c r="P63" s="1372"/>
      <c r="Q63" s="1372"/>
      <c r="R63" s="1372"/>
      <c r="S63" s="1372"/>
      <c r="T63" s="1372"/>
      <c r="U63" s="1372"/>
      <c r="V63" s="1372"/>
      <c r="W63" s="1372"/>
      <c r="X63" s="1372"/>
      <c r="Y63" s="1372"/>
      <c r="Z63" s="1372"/>
    </row>
    <row r="64" spans="1:26" ht="15.75" customHeight="1" x14ac:dyDescent="0.25">
      <c r="A64" s="1371"/>
      <c r="B64" s="1371"/>
      <c r="C64" s="1371"/>
      <c r="D64" s="1371"/>
      <c r="E64" s="1371"/>
      <c r="F64" s="1371"/>
      <c r="G64" s="1371"/>
      <c r="H64" s="1371"/>
      <c r="I64" s="1372"/>
      <c r="J64" s="1372"/>
      <c r="K64" s="1372"/>
      <c r="L64" s="1372"/>
      <c r="M64" s="1372"/>
      <c r="N64" s="1372"/>
      <c r="O64" s="1372"/>
      <c r="P64" s="1372"/>
      <c r="Q64" s="1372"/>
      <c r="R64" s="1372"/>
      <c r="S64" s="1372"/>
      <c r="T64" s="1372"/>
      <c r="U64" s="1372"/>
      <c r="V64" s="1372"/>
      <c r="W64" s="1372"/>
      <c r="X64" s="1372"/>
      <c r="Y64" s="1372"/>
      <c r="Z64" s="1372"/>
    </row>
    <row r="65" spans="1:26" ht="15.75" customHeight="1" x14ac:dyDescent="0.25">
      <c r="A65" s="1371"/>
      <c r="B65" s="1371"/>
      <c r="C65" s="1371"/>
      <c r="D65" s="1371"/>
      <c r="E65" s="1371"/>
      <c r="F65" s="1371"/>
      <c r="G65" s="1371"/>
      <c r="H65" s="1371"/>
      <c r="I65" s="1372"/>
      <c r="J65" s="1372"/>
      <c r="K65" s="1372"/>
      <c r="L65" s="1372"/>
      <c r="M65" s="1372"/>
      <c r="N65" s="1372"/>
      <c r="O65" s="1372"/>
      <c r="P65" s="1372"/>
      <c r="Q65" s="1372"/>
      <c r="R65" s="1372"/>
      <c r="S65" s="1372"/>
      <c r="T65" s="1372"/>
      <c r="U65" s="1372"/>
      <c r="V65" s="1372"/>
      <c r="W65" s="1372"/>
      <c r="X65" s="1372"/>
      <c r="Y65" s="1372"/>
      <c r="Z65" s="1372"/>
    </row>
    <row r="66" spans="1:26" ht="15.75" customHeight="1" x14ac:dyDescent="0.25">
      <c r="A66" s="1371"/>
      <c r="B66" s="1371"/>
      <c r="C66" s="1371"/>
      <c r="D66" s="1371"/>
      <c r="E66" s="1371"/>
      <c r="F66" s="1371"/>
      <c r="G66" s="1371"/>
      <c r="H66" s="1371"/>
      <c r="I66" s="1372"/>
      <c r="J66" s="1372"/>
      <c r="K66" s="1372"/>
      <c r="L66" s="1372"/>
      <c r="M66" s="1372"/>
      <c r="N66" s="1372"/>
      <c r="O66" s="1372"/>
      <c r="P66" s="1372"/>
      <c r="Q66" s="1372"/>
      <c r="R66" s="1372"/>
      <c r="S66" s="1372"/>
      <c r="T66" s="1372"/>
      <c r="U66" s="1372"/>
      <c r="V66" s="1372"/>
      <c r="W66" s="1372"/>
      <c r="X66" s="1372"/>
      <c r="Y66" s="1372"/>
      <c r="Z66" s="1372"/>
    </row>
    <row r="67" spans="1:26" ht="15.75" customHeight="1" x14ac:dyDescent="0.25">
      <c r="A67" s="1371"/>
      <c r="B67" s="1371"/>
      <c r="C67" s="1371"/>
      <c r="D67" s="1371"/>
      <c r="E67" s="1371"/>
      <c r="F67" s="1371"/>
      <c r="G67" s="1371"/>
      <c r="H67" s="1371"/>
      <c r="I67" s="1372"/>
      <c r="J67" s="1372"/>
      <c r="K67" s="1372"/>
      <c r="L67" s="1372"/>
      <c r="M67" s="1372"/>
      <c r="N67" s="1372"/>
      <c r="O67" s="1372"/>
      <c r="P67" s="1372"/>
      <c r="Q67" s="1372"/>
      <c r="R67" s="1372"/>
      <c r="S67" s="1372"/>
      <c r="T67" s="1372"/>
      <c r="U67" s="1372"/>
      <c r="V67" s="1372"/>
      <c r="W67" s="1372"/>
      <c r="X67" s="1372"/>
      <c r="Y67" s="1372"/>
      <c r="Z67" s="1372"/>
    </row>
    <row r="68" spans="1:26" ht="15.75" customHeight="1" x14ac:dyDescent="0.25">
      <c r="A68" s="1371"/>
      <c r="B68" s="1371"/>
      <c r="C68" s="1371"/>
      <c r="D68" s="1371"/>
      <c r="E68" s="1371"/>
      <c r="F68" s="1371"/>
      <c r="G68" s="1371"/>
      <c r="H68" s="1371"/>
      <c r="I68" s="1372"/>
      <c r="J68" s="1372"/>
      <c r="K68" s="1372"/>
      <c r="L68" s="1372"/>
      <c r="M68" s="1372"/>
      <c r="N68" s="1372"/>
      <c r="O68" s="1372"/>
      <c r="P68" s="1372"/>
      <c r="Q68" s="1372"/>
      <c r="R68" s="1372"/>
      <c r="S68" s="1372"/>
      <c r="T68" s="1372"/>
      <c r="U68" s="1372"/>
      <c r="V68" s="1372"/>
      <c r="W68" s="1372"/>
      <c r="X68" s="1372"/>
      <c r="Y68" s="1372"/>
      <c r="Z68" s="1372"/>
    </row>
    <row r="69" spans="1:26" ht="15.75" customHeight="1" x14ac:dyDescent="0.25">
      <c r="A69" s="1371"/>
      <c r="B69" s="1371"/>
      <c r="C69" s="1371"/>
      <c r="D69" s="1371"/>
      <c r="E69" s="1371"/>
      <c r="F69" s="1371"/>
      <c r="G69" s="1371"/>
      <c r="H69" s="1371"/>
      <c r="I69" s="1372"/>
      <c r="J69" s="1372"/>
      <c r="K69" s="1372"/>
      <c r="L69" s="1372"/>
      <c r="M69" s="1372"/>
      <c r="N69" s="1372"/>
      <c r="O69" s="1372"/>
      <c r="P69" s="1372"/>
      <c r="Q69" s="1372"/>
      <c r="R69" s="1372"/>
      <c r="S69" s="1372"/>
      <c r="T69" s="1372"/>
      <c r="U69" s="1372"/>
      <c r="V69" s="1372"/>
      <c r="W69" s="1372"/>
      <c r="X69" s="1372"/>
      <c r="Y69" s="1372"/>
      <c r="Z69" s="1372"/>
    </row>
    <row r="70" spans="1:26" ht="15.75" customHeight="1" x14ac:dyDescent="0.25">
      <c r="A70" s="1371"/>
      <c r="B70" s="1371"/>
      <c r="C70" s="1371"/>
      <c r="D70" s="1371"/>
      <c r="E70" s="1371"/>
      <c r="F70" s="1371"/>
      <c r="G70" s="1371"/>
      <c r="H70" s="1371"/>
      <c r="I70" s="1372"/>
      <c r="J70" s="1372"/>
      <c r="K70" s="1372"/>
      <c r="L70" s="1372"/>
      <c r="M70" s="1372"/>
      <c r="N70" s="1372"/>
      <c r="O70" s="1372"/>
      <c r="P70" s="1372"/>
      <c r="Q70" s="1372"/>
      <c r="R70" s="1372"/>
      <c r="S70" s="1372"/>
      <c r="T70" s="1372"/>
      <c r="U70" s="1372"/>
      <c r="V70" s="1372"/>
      <c r="W70" s="1372"/>
      <c r="X70" s="1372"/>
      <c r="Y70" s="1372"/>
      <c r="Z70" s="1372"/>
    </row>
    <row r="71" spans="1:26" ht="15.75" customHeight="1" x14ac:dyDescent="0.25">
      <c r="A71" s="1371"/>
      <c r="B71" s="1371"/>
      <c r="C71" s="1371"/>
      <c r="D71" s="1371"/>
      <c r="E71" s="1371"/>
      <c r="F71" s="1371"/>
      <c r="G71" s="1371"/>
      <c r="H71" s="1371"/>
      <c r="I71" s="1372"/>
      <c r="J71" s="1372"/>
      <c r="K71" s="1372"/>
      <c r="L71" s="1372"/>
      <c r="M71" s="1372"/>
      <c r="N71" s="1372"/>
      <c r="O71" s="1372"/>
      <c r="P71" s="1372"/>
      <c r="Q71" s="1372"/>
      <c r="R71" s="1372"/>
      <c r="S71" s="1372"/>
      <c r="T71" s="1372"/>
      <c r="U71" s="1372"/>
      <c r="V71" s="1372"/>
      <c r="W71" s="1372"/>
      <c r="X71" s="1372"/>
      <c r="Y71" s="1372"/>
      <c r="Z71" s="1372"/>
    </row>
    <row r="72" spans="1:26" ht="15.75" customHeight="1" x14ac:dyDescent="0.25">
      <c r="A72" s="1371"/>
      <c r="B72" s="1371"/>
      <c r="C72" s="1371"/>
      <c r="D72" s="1371"/>
      <c r="E72" s="1371"/>
      <c r="F72" s="1371"/>
      <c r="G72" s="1371"/>
      <c r="H72" s="1371"/>
      <c r="I72" s="1372"/>
      <c r="J72" s="1372"/>
      <c r="K72" s="1372"/>
      <c r="L72" s="1372"/>
      <c r="M72" s="1372"/>
      <c r="N72" s="1372"/>
      <c r="O72" s="1372"/>
      <c r="P72" s="1372"/>
      <c r="Q72" s="1372"/>
      <c r="R72" s="1372"/>
      <c r="S72" s="1372"/>
      <c r="T72" s="1372"/>
      <c r="U72" s="1372"/>
      <c r="V72" s="1372"/>
      <c r="W72" s="1372"/>
      <c r="X72" s="1372"/>
      <c r="Y72" s="1372"/>
      <c r="Z72" s="1372"/>
    </row>
    <row r="73" spans="1:26" ht="15.75" customHeight="1" x14ac:dyDescent="0.25">
      <c r="A73" s="1371"/>
      <c r="B73" s="1371"/>
      <c r="C73" s="1371"/>
      <c r="D73" s="1371"/>
      <c r="E73" s="1371"/>
      <c r="F73" s="1371"/>
      <c r="G73" s="1371"/>
      <c r="H73" s="1371"/>
      <c r="I73" s="1372"/>
      <c r="J73" s="1372"/>
      <c r="K73" s="1372"/>
      <c r="L73" s="1372"/>
      <c r="M73" s="1372"/>
      <c r="N73" s="1372"/>
      <c r="O73" s="1372"/>
      <c r="P73" s="1372"/>
      <c r="Q73" s="1372"/>
      <c r="R73" s="1372"/>
      <c r="S73" s="1372"/>
      <c r="T73" s="1372"/>
      <c r="U73" s="1372"/>
      <c r="V73" s="1372"/>
      <c r="W73" s="1372"/>
      <c r="X73" s="1372"/>
      <c r="Y73" s="1372"/>
      <c r="Z73" s="1372"/>
    </row>
    <row r="74" spans="1:26" ht="15.75" customHeight="1" x14ac:dyDescent="0.25">
      <c r="A74" s="1371"/>
      <c r="B74" s="1371"/>
      <c r="C74" s="1371"/>
      <c r="D74" s="1371"/>
      <c r="E74" s="1371"/>
      <c r="F74" s="1371"/>
      <c r="G74" s="1371"/>
      <c r="H74" s="1371"/>
      <c r="I74" s="1372"/>
      <c r="J74" s="1372"/>
      <c r="K74" s="1372"/>
      <c r="L74" s="1372"/>
      <c r="M74" s="1372"/>
      <c r="N74" s="1372"/>
      <c r="O74" s="1372"/>
      <c r="P74" s="1372"/>
      <c r="Q74" s="1372"/>
      <c r="R74" s="1372"/>
      <c r="S74" s="1372"/>
      <c r="T74" s="1372"/>
      <c r="U74" s="1372"/>
      <c r="V74" s="1372"/>
      <c r="W74" s="1372"/>
      <c r="X74" s="1372"/>
      <c r="Y74" s="1372"/>
      <c r="Z74" s="1372"/>
    </row>
    <row r="75" spans="1:26" ht="15.75" customHeight="1" x14ac:dyDescent="0.25">
      <c r="A75" s="1371"/>
      <c r="B75" s="1371"/>
      <c r="C75" s="1371"/>
      <c r="D75" s="1371"/>
      <c r="E75" s="1371"/>
      <c r="F75" s="1371"/>
      <c r="G75" s="1371"/>
      <c r="H75" s="1371"/>
      <c r="I75" s="1372"/>
      <c r="J75" s="1372"/>
      <c r="K75" s="1372"/>
      <c r="L75" s="1372"/>
      <c r="M75" s="1372"/>
      <c r="N75" s="1372"/>
      <c r="O75" s="1372"/>
      <c r="P75" s="1372"/>
      <c r="Q75" s="1372"/>
      <c r="R75" s="1372"/>
      <c r="S75" s="1372"/>
      <c r="T75" s="1372"/>
      <c r="U75" s="1372"/>
      <c r="V75" s="1372"/>
      <c r="W75" s="1372"/>
      <c r="X75" s="1372"/>
      <c r="Y75" s="1372"/>
      <c r="Z75" s="1372"/>
    </row>
    <row r="76" spans="1:26" ht="15.75" customHeight="1" x14ac:dyDescent="0.25">
      <c r="A76" s="1371"/>
      <c r="B76" s="1371"/>
      <c r="C76" s="1371"/>
      <c r="D76" s="1371"/>
      <c r="E76" s="1371"/>
      <c r="F76" s="1371"/>
      <c r="G76" s="1371"/>
      <c r="H76" s="1371"/>
      <c r="I76" s="1372"/>
      <c r="J76" s="1372"/>
      <c r="K76" s="1372"/>
      <c r="L76" s="1372"/>
      <c r="M76" s="1372"/>
      <c r="N76" s="1372"/>
      <c r="O76" s="1372"/>
      <c r="P76" s="1372"/>
      <c r="Q76" s="1372"/>
      <c r="R76" s="1372"/>
      <c r="S76" s="1372"/>
      <c r="T76" s="1372"/>
      <c r="U76" s="1372"/>
      <c r="V76" s="1372"/>
      <c r="W76" s="1372"/>
      <c r="X76" s="1372"/>
      <c r="Y76" s="1372"/>
      <c r="Z76" s="1372"/>
    </row>
    <row r="77" spans="1:26" ht="15.75" customHeight="1" x14ac:dyDescent="0.25">
      <c r="A77" s="1371"/>
      <c r="B77" s="1371"/>
      <c r="C77" s="1371"/>
      <c r="D77" s="1371"/>
      <c r="E77" s="1371"/>
      <c r="F77" s="1371"/>
      <c r="G77" s="1371"/>
      <c r="H77" s="1371"/>
      <c r="I77" s="1372"/>
      <c r="J77" s="1372"/>
      <c r="K77" s="1372"/>
      <c r="L77" s="1372"/>
      <c r="M77" s="1372"/>
      <c r="N77" s="1372"/>
      <c r="O77" s="1372"/>
      <c r="P77" s="1372"/>
      <c r="Q77" s="1372"/>
      <c r="R77" s="1372"/>
      <c r="S77" s="1372"/>
      <c r="T77" s="1372"/>
      <c r="U77" s="1372"/>
      <c r="V77" s="1372"/>
      <c r="W77" s="1372"/>
      <c r="X77" s="1372"/>
      <c r="Y77" s="1372"/>
      <c r="Z77" s="1372"/>
    </row>
    <row r="78" spans="1:26" ht="15.75" customHeight="1" x14ac:dyDescent="0.25">
      <c r="A78" s="1371"/>
      <c r="B78" s="1371"/>
      <c r="C78" s="1371"/>
      <c r="D78" s="1371"/>
      <c r="E78" s="1371"/>
      <c r="F78" s="1371"/>
      <c r="G78" s="1371"/>
      <c r="H78" s="1371"/>
      <c r="I78" s="1372"/>
      <c r="J78" s="1372"/>
      <c r="K78" s="1372"/>
      <c r="L78" s="1372"/>
      <c r="M78" s="1372"/>
      <c r="N78" s="1372"/>
      <c r="O78" s="1372"/>
      <c r="P78" s="1372"/>
      <c r="Q78" s="1372"/>
      <c r="R78" s="1372"/>
      <c r="S78" s="1372"/>
      <c r="T78" s="1372"/>
      <c r="U78" s="1372"/>
      <c r="V78" s="1372"/>
      <c r="W78" s="1372"/>
      <c r="X78" s="1372"/>
      <c r="Y78" s="1372"/>
      <c r="Z78" s="1372"/>
    </row>
    <row r="79" spans="1:26" ht="15.75" customHeight="1" x14ac:dyDescent="0.25">
      <c r="A79" s="1371"/>
      <c r="B79" s="1371"/>
      <c r="C79" s="1371"/>
      <c r="D79" s="1371"/>
      <c r="E79" s="1371"/>
      <c r="F79" s="1371"/>
      <c r="G79" s="1371"/>
      <c r="H79" s="1371"/>
      <c r="I79" s="1372"/>
      <c r="J79" s="1372"/>
      <c r="K79" s="1372"/>
      <c r="L79" s="1372"/>
      <c r="M79" s="1372"/>
      <c r="N79" s="1372"/>
      <c r="O79" s="1372"/>
      <c r="P79" s="1372"/>
      <c r="Q79" s="1372"/>
      <c r="R79" s="1372"/>
      <c r="S79" s="1372"/>
      <c r="T79" s="1372"/>
      <c r="U79" s="1372"/>
      <c r="V79" s="1372"/>
      <c r="W79" s="1372"/>
      <c r="X79" s="1372"/>
      <c r="Y79" s="1372"/>
      <c r="Z79" s="1372"/>
    </row>
    <row r="80" spans="1:26" ht="15.75" customHeight="1" x14ac:dyDescent="0.25">
      <c r="A80" s="1371"/>
      <c r="B80" s="1371"/>
      <c r="C80" s="1371"/>
      <c r="D80" s="1371"/>
      <c r="E80" s="1371"/>
      <c r="F80" s="1371"/>
      <c r="G80" s="1371"/>
      <c r="H80" s="1371"/>
      <c r="I80" s="1372"/>
      <c r="J80" s="1372"/>
      <c r="K80" s="1372"/>
      <c r="L80" s="1372"/>
      <c r="M80" s="1372"/>
      <c r="N80" s="1372"/>
      <c r="O80" s="1372"/>
      <c r="P80" s="1372"/>
      <c r="Q80" s="1372"/>
      <c r="R80" s="1372"/>
      <c r="S80" s="1372"/>
      <c r="T80" s="1372"/>
      <c r="U80" s="1372"/>
      <c r="V80" s="1372"/>
      <c r="W80" s="1372"/>
      <c r="X80" s="1372"/>
      <c r="Y80" s="1372"/>
      <c r="Z80" s="1372"/>
    </row>
    <row r="81" spans="1:26" ht="15.75" customHeight="1" x14ac:dyDescent="0.25">
      <c r="A81" s="1371"/>
      <c r="B81" s="1371"/>
      <c r="C81" s="1371"/>
      <c r="D81" s="1371"/>
      <c r="E81" s="1371"/>
      <c r="F81" s="1371"/>
      <c r="G81" s="1371"/>
      <c r="H81" s="1371"/>
      <c r="I81" s="1372"/>
      <c r="J81" s="1372"/>
      <c r="K81" s="1372"/>
      <c r="L81" s="1372"/>
      <c r="M81" s="1372"/>
      <c r="N81" s="1372"/>
      <c r="O81" s="1372"/>
      <c r="P81" s="1372"/>
      <c r="Q81" s="1372"/>
      <c r="R81" s="1372"/>
      <c r="S81" s="1372"/>
      <c r="T81" s="1372"/>
      <c r="U81" s="1372"/>
      <c r="V81" s="1372"/>
      <c r="W81" s="1372"/>
      <c r="X81" s="1372"/>
      <c r="Y81" s="1372"/>
      <c r="Z81" s="1372"/>
    </row>
    <row r="82" spans="1:26" ht="15.75" customHeight="1" x14ac:dyDescent="0.25">
      <c r="A82" s="1371"/>
      <c r="B82" s="1371"/>
      <c r="C82" s="1371"/>
      <c r="D82" s="1371"/>
      <c r="E82" s="1371"/>
      <c r="F82" s="1371"/>
      <c r="G82" s="1371"/>
      <c r="H82" s="1371"/>
      <c r="I82" s="1372"/>
      <c r="J82" s="1372"/>
      <c r="K82" s="1372"/>
      <c r="L82" s="1372"/>
      <c r="M82" s="1372"/>
      <c r="N82" s="1372"/>
      <c r="O82" s="1372"/>
      <c r="P82" s="1372"/>
      <c r="Q82" s="1372"/>
      <c r="R82" s="1372"/>
      <c r="S82" s="1372"/>
      <c r="T82" s="1372"/>
      <c r="U82" s="1372"/>
      <c r="V82" s="1372"/>
      <c r="W82" s="1372"/>
      <c r="X82" s="1372"/>
      <c r="Y82" s="1372"/>
      <c r="Z82" s="1372"/>
    </row>
    <row r="83" spans="1:26" ht="15.75" customHeight="1" x14ac:dyDescent="0.25">
      <c r="A83" s="1371"/>
      <c r="B83" s="1371"/>
      <c r="C83" s="1371"/>
      <c r="D83" s="1371"/>
      <c r="E83" s="1371"/>
      <c r="F83" s="1371"/>
      <c r="G83" s="1371"/>
      <c r="H83" s="1371"/>
      <c r="I83" s="1372"/>
      <c r="J83" s="1372"/>
      <c r="K83" s="1372"/>
      <c r="L83" s="1372"/>
      <c r="M83" s="1372"/>
      <c r="N83" s="1372"/>
      <c r="O83" s="1372"/>
      <c r="P83" s="1372"/>
      <c r="Q83" s="1372"/>
      <c r="R83" s="1372"/>
      <c r="S83" s="1372"/>
      <c r="T83" s="1372"/>
      <c r="U83" s="1372"/>
      <c r="V83" s="1372"/>
      <c r="W83" s="1372"/>
      <c r="X83" s="1372"/>
      <c r="Y83" s="1372"/>
      <c r="Z83" s="1372"/>
    </row>
    <row r="84" spans="1:26" ht="15.75" customHeight="1" x14ac:dyDescent="0.25">
      <c r="A84" s="1371"/>
      <c r="B84" s="1371"/>
      <c r="C84" s="1371"/>
      <c r="D84" s="1371"/>
      <c r="E84" s="1371"/>
      <c r="F84" s="1371"/>
      <c r="G84" s="1371"/>
      <c r="H84" s="1371"/>
      <c r="I84" s="1372"/>
      <c r="J84" s="1372"/>
      <c r="K84" s="1372"/>
      <c r="L84" s="1372"/>
      <c r="M84" s="1372"/>
      <c r="N84" s="1372"/>
      <c r="O84" s="1372"/>
      <c r="P84" s="1372"/>
      <c r="Q84" s="1372"/>
      <c r="R84" s="1372"/>
      <c r="S84" s="1372"/>
      <c r="T84" s="1372"/>
      <c r="U84" s="1372"/>
      <c r="V84" s="1372"/>
      <c r="W84" s="1372"/>
      <c r="X84" s="1372"/>
      <c r="Y84" s="1372"/>
      <c r="Z84" s="1372"/>
    </row>
    <row r="85" spans="1:26" ht="15.75" customHeight="1" x14ac:dyDescent="0.25">
      <c r="A85" s="1371"/>
      <c r="B85" s="1371"/>
      <c r="C85" s="1371"/>
      <c r="D85" s="1371"/>
      <c r="E85" s="1371"/>
      <c r="F85" s="1371"/>
      <c r="G85" s="1371"/>
      <c r="H85" s="1371"/>
      <c r="I85" s="1372"/>
      <c r="J85" s="1372"/>
      <c r="K85" s="1372"/>
      <c r="L85" s="1372"/>
      <c r="M85" s="1372"/>
      <c r="N85" s="1372"/>
      <c r="O85" s="1372"/>
      <c r="P85" s="1372"/>
      <c r="Q85" s="1372"/>
      <c r="R85" s="1372"/>
      <c r="S85" s="1372"/>
      <c r="T85" s="1372"/>
      <c r="U85" s="1372"/>
      <c r="V85" s="1372"/>
      <c r="W85" s="1372"/>
      <c r="X85" s="1372"/>
      <c r="Y85" s="1372"/>
      <c r="Z85" s="1372"/>
    </row>
    <row r="86" spans="1:26" ht="15.75" customHeight="1" x14ac:dyDescent="0.25">
      <c r="A86" s="1371"/>
      <c r="B86" s="1371"/>
      <c r="C86" s="1371"/>
      <c r="D86" s="1371"/>
      <c r="E86" s="1371"/>
      <c r="F86" s="1371"/>
      <c r="G86" s="1371"/>
      <c r="H86" s="1371"/>
      <c r="I86" s="1372"/>
      <c r="J86" s="1372"/>
      <c r="K86" s="1372"/>
      <c r="L86" s="1372"/>
      <c r="M86" s="1372"/>
      <c r="N86" s="1372"/>
      <c r="O86" s="1372"/>
      <c r="P86" s="1372"/>
      <c r="Q86" s="1372"/>
      <c r="R86" s="1372"/>
      <c r="S86" s="1372"/>
      <c r="T86" s="1372"/>
      <c r="U86" s="1372"/>
      <c r="V86" s="1372"/>
      <c r="W86" s="1372"/>
      <c r="X86" s="1372"/>
      <c r="Y86" s="1372"/>
      <c r="Z86" s="1372"/>
    </row>
    <row r="87" spans="1:26" ht="15.75" customHeight="1" x14ac:dyDescent="0.25">
      <c r="A87" s="1371"/>
      <c r="B87" s="1371"/>
      <c r="C87" s="1371"/>
      <c r="D87" s="1371"/>
      <c r="E87" s="1371"/>
      <c r="F87" s="1371"/>
      <c r="G87" s="1371"/>
      <c r="H87" s="1371"/>
      <c r="I87" s="1372"/>
      <c r="J87" s="1372"/>
      <c r="K87" s="1372"/>
      <c r="L87" s="1372"/>
      <c r="M87" s="1372"/>
      <c r="N87" s="1372"/>
      <c r="O87" s="1372"/>
      <c r="P87" s="1372"/>
      <c r="Q87" s="1372"/>
      <c r="R87" s="1372"/>
      <c r="S87" s="1372"/>
      <c r="T87" s="1372"/>
      <c r="U87" s="1372"/>
      <c r="V87" s="1372"/>
      <c r="W87" s="1372"/>
      <c r="X87" s="1372"/>
      <c r="Y87" s="1372"/>
      <c r="Z87" s="1372"/>
    </row>
    <row r="88" spans="1:26" ht="15.75" customHeight="1" x14ac:dyDescent="0.25">
      <c r="A88" s="1371"/>
      <c r="B88" s="1371"/>
      <c r="C88" s="1371"/>
      <c r="D88" s="1371"/>
      <c r="E88" s="1371"/>
      <c r="F88" s="1371"/>
      <c r="G88" s="1371"/>
      <c r="H88" s="1371"/>
      <c r="I88" s="1372"/>
      <c r="J88" s="1372"/>
      <c r="K88" s="1372"/>
      <c r="L88" s="1372"/>
      <c r="M88" s="1372"/>
      <c r="N88" s="1372"/>
      <c r="O88" s="1372"/>
      <c r="P88" s="1372"/>
      <c r="Q88" s="1372"/>
      <c r="R88" s="1372"/>
      <c r="S88" s="1372"/>
      <c r="T88" s="1372"/>
      <c r="U88" s="1372"/>
      <c r="V88" s="1372"/>
      <c r="W88" s="1372"/>
      <c r="X88" s="1372"/>
      <c r="Y88" s="1372"/>
      <c r="Z88" s="1372"/>
    </row>
    <row r="89" spans="1:26" ht="15.75" customHeight="1" x14ac:dyDescent="0.25">
      <c r="A89" s="1371"/>
      <c r="B89" s="1371"/>
      <c r="C89" s="1371"/>
      <c r="D89" s="1371"/>
      <c r="E89" s="1371"/>
      <c r="F89" s="1371"/>
      <c r="G89" s="1371"/>
      <c r="H89" s="1371"/>
      <c r="I89" s="1372"/>
      <c r="J89" s="1372"/>
      <c r="K89" s="1372"/>
      <c r="L89" s="1372"/>
      <c r="M89" s="1372"/>
      <c r="N89" s="1372"/>
      <c r="O89" s="1372"/>
      <c r="P89" s="1372"/>
      <c r="Q89" s="1372"/>
      <c r="R89" s="1372"/>
      <c r="S89" s="1372"/>
      <c r="T89" s="1372"/>
      <c r="U89" s="1372"/>
      <c r="V89" s="1372"/>
      <c r="W89" s="1372"/>
      <c r="X89" s="1372"/>
      <c r="Y89" s="1372"/>
      <c r="Z89" s="1372"/>
    </row>
    <row r="90" spans="1:26" ht="15.75" customHeight="1" x14ac:dyDescent="0.25">
      <c r="A90" s="1371"/>
      <c r="B90" s="1371"/>
      <c r="C90" s="1371"/>
      <c r="D90" s="1371"/>
      <c r="E90" s="1371"/>
      <c r="F90" s="1371"/>
      <c r="G90" s="1371"/>
      <c r="H90" s="1371"/>
      <c r="I90" s="1372"/>
      <c r="J90" s="1372"/>
      <c r="K90" s="1372"/>
      <c r="L90" s="1372"/>
      <c r="M90" s="1372"/>
      <c r="N90" s="1372"/>
      <c r="O90" s="1372"/>
      <c r="P90" s="1372"/>
      <c r="Q90" s="1372"/>
      <c r="R90" s="1372"/>
      <c r="S90" s="1372"/>
      <c r="T90" s="1372"/>
      <c r="U90" s="1372"/>
      <c r="V90" s="1372"/>
      <c r="W90" s="1372"/>
      <c r="X90" s="1372"/>
      <c r="Y90" s="1372"/>
      <c r="Z90" s="1372"/>
    </row>
    <row r="91" spans="1:26" ht="15.75" customHeight="1" x14ac:dyDescent="0.25">
      <c r="A91" s="1371"/>
      <c r="B91" s="1371"/>
      <c r="C91" s="1371"/>
      <c r="D91" s="1371"/>
      <c r="E91" s="1371"/>
      <c r="F91" s="1371"/>
      <c r="G91" s="1371"/>
      <c r="H91" s="1371"/>
      <c r="I91" s="1372"/>
      <c r="J91" s="1372"/>
      <c r="K91" s="1372"/>
      <c r="L91" s="1372"/>
      <c r="M91" s="1372"/>
      <c r="N91" s="1372"/>
      <c r="O91" s="1372"/>
      <c r="P91" s="1372"/>
      <c r="Q91" s="1372"/>
      <c r="R91" s="1372"/>
      <c r="S91" s="1372"/>
      <c r="T91" s="1372"/>
      <c r="U91" s="1372"/>
      <c r="V91" s="1372"/>
      <c r="W91" s="1372"/>
      <c r="X91" s="1372"/>
      <c r="Y91" s="1372"/>
      <c r="Z91" s="1372"/>
    </row>
    <row r="92" spans="1:26" ht="15.75" customHeight="1" x14ac:dyDescent="0.25">
      <c r="A92" s="1371"/>
      <c r="B92" s="1371"/>
      <c r="C92" s="1371"/>
      <c r="D92" s="1371"/>
      <c r="E92" s="1371"/>
      <c r="F92" s="1371"/>
      <c r="G92" s="1371"/>
      <c r="H92" s="1371"/>
      <c r="I92" s="1372"/>
      <c r="J92" s="1372"/>
      <c r="K92" s="1372"/>
      <c r="L92" s="1372"/>
      <c r="M92" s="1372"/>
      <c r="N92" s="1372"/>
      <c r="O92" s="1372"/>
      <c r="P92" s="1372"/>
      <c r="Q92" s="1372"/>
      <c r="R92" s="1372"/>
      <c r="S92" s="1372"/>
      <c r="T92" s="1372"/>
      <c r="U92" s="1372"/>
      <c r="V92" s="1372"/>
      <c r="W92" s="1372"/>
      <c r="X92" s="1372"/>
      <c r="Y92" s="1372"/>
      <c r="Z92" s="1372"/>
    </row>
    <row r="93" spans="1:26" ht="15.75" customHeight="1" x14ac:dyDescent="0.25">
      <c r="A93" s="1371"/>
      <c r="B93" s="1371"/>
      <c r="C93" s="1371"/>
      <c r="D93" s="1371"/>
      <c r="E93" s="1371"/>
      <c r="F93" s="1371"/>
      <c r="G93" s="1371"/>
      <c r="H93" s="1371"/>
      <c r="I93" s="1372"/>
      <c r="J93" s="1372"/>
      <c r="K93" s="1372"/>
      <c r="L93" s="1372"/>
      <c r="M93" s="1372"/>
      <c r="N93" s="1372"/>
      <c r="O93" s="1372"/>
      <c r="P93" s="1372"/>
      <c r="Q93" s="1372"/>
      <c r="R93" s="1372"/>
      <c r="S93" s="1372"/>
      <c r="T93" s="1372"/>
      <c r="U93" s="1372"/>
      <c r="V93" s="1372"/>
      <c r="W93" s="1372"/>
      <c r="X93" s="1372"/>
      <c r="Y93" s="1372"/>
      <c r="Z93" s="1372"/>
    </row>
    <row r="94" spans="1:26" ht="15.75" customHeight="1" x14ac:dyDescent="0.25">
      <c r="A94" s="1371"/>
      <c r="B94" s="1371"/>
      <c r="C94" s="1371"/>
      <c r="D94" s="1371"/>
      <c r="E94" s="1371"/>
      <c r="F94" s="1371"/>
      <c r="G94" s="1371"/>
      <c r="H94" s="1371"/>
      <c r="I94" s="1372"/>
      <c r="J94" s="1372"/>
      <c r="K94" s="1372"/>
      <c r="L94" s="1372"/>
      <c r="M94" s="1372"/>
      <c r="N94" s="1372"/>
      <c r="O94" s="1372"/>
      <c r="P94" s="1372"/>
      <c r="Q94" s="1372"/>
      <c r="R94" s="1372"/>
      <c r="S94" s="1372"/>
      <c r="T94" s="1372"/>
      <c r="U94" s="1372"/>
      <c r="V94" s="1372"/>
      <c r="W94" s="1372"/>
      <c r="X94" s="1372"/>
      <c r="Y94" s="1372"/>
      <c r="Z94" s="1372"/>
    </row>
    <row r="95" spans="1:26" ht="15.75" customHeight="1" x14ac:dyDescent="0.25">
      <c r="A95" s="1371"/>
      <c r="B95" s="1371"/>
      <c r="C95" s="1371"/>
      <c r="D95" s="1371"/>
      <c r="E95" s="1371"/>
      <c r="F95" s="1371"/>
      <c r="G95" s="1371"/>
      <c r="H95" s="1371"/>
      <c r="I95" s="1372"/>
      <c r="J95" s="1372"/>
      <c r="K95" s="1372"/>
      <c r="L95" s="1372"/>
      <c r="M95" s="1372"/>
      <c r="N95" s="1372"/>
      <c r="O95" s="1372"/>
      <c r="P95" s="1372"/>
      <c r="Q95" s="1372"/>
      <c r="R95" s="1372"/>
      <c r="S95" s="1372"/>
      <c r="T95" s="1372"/>
      <c r="U95" s="1372"/>
      <c r="V95" s="1372"/>
      <c r="W95" s="1372"/>
      <c r="X95" s="1372"/>
      <c r="Y95" s="1372"/>
      <c r="Z95" s="1372"/>
    </row>
    <row r="96" spans="1:26" ht="15.75" customHeight="1" x14ac:dyDescent="0.25">
      <c r="A96" s="1371"/>
      <c r="B96" s="1371"/>
      <c r="C96" s="1371"/>
      <c r="D96" s="1371"/>
      <c r="E96" s="1371"/>
      <c r="F96" s="1371"/>
      <c r="G96" s="1371"/>
      <c r="H96" s="1371"/>
      <c r="I96" s="1372"/>
      <c r="J96" s="1372"/>
      <c r="K96" s="1372"/>
      <c r="L96" s="1372"/>
      <c r="M96" s="1372"/>
      <c r="N96" s="1372"/>
      <c r="O96" s="1372"/>
      <c r="P96" s="1372"/>
      <c r="Q96" s="1372"/>
      <c r="R96" s="1372"/>
      <c r="S96" s="1372"/>
      <c r="T96" s="1372"/>
      <c r="U96" s="1372"/>
      <c r="V96" s="1372"/>
      <c r="W96" s="1372"/>
      <c r="X96" s="1372"/>
      <c r="Y96" s="1372"/>
      <c r="Z96" s="1372"/>
    </row>
    <row r="97" spans="1:26" ht="15.75" customHeight="1" x14ac:dyDescent="0.25">
      <c r="A97" s="1371"/>
      <c r="B97" s="1371"/>
      <c r="C97" s="1371"/>
      <c r="D97" s="1371"/>
      <c r="E97" s="1371"/>
      <c r="F97" s="1371"/>
      <c r="G97" s="1371"/>
      <c r="H97" s="1371"/>
      <c r="I97" s="1372"/>
      <c r="J97" s="1372"/>
      <c r="K97" s="1372"/>
      <c r="L97" s="1372"/>
      <c r="M97" s="1372"/>
      <c r="N97" s="1372"/>
      <c r="O97" s="1372"/>
      <c r="P97" s="1372"/>
      <c r="Q97" s="1372"/>
      <c r="R97" s="1372"/>
      <c r="S97" s="1372"/>
      <c r="T97" s="1372"/>
      <c r="U97" s="1372"/>
      <c r="V97" s="1372"/>
      <c r="W97" s="1372"/>
      <c r="X97" s="1372"/>
      <c r="Y97" s="1372"/>
      <c r="Z97" s="1372"/>
    </row>
    <row r="98" spans="1:26" ht="15.75" customHeight="1" x14ac:dyDescent="0.25">
      <c r="A98" s="1371"/>
      <c r="B98" s="1371"/>
      <c r="C98" s="1371"/>
      <c r="D98" s="1371"/>
      <c r="E98" s="1371"/>
      <c r="F98" s="1371"/>
      <c r="G98" s="1371"/>
      <c r="H98" s="1371"/>
      <c r="I98" s="1372"/>
      <c r="J98" s="1372"/>
      <c r="K98" s="1372"/>
      <c r="L98" s="1372"/>
      <c r="M98" s="1372"/>
      <c r="N98" s="1372"/>
      <c r="O98" s="1372"/>
      <c r="P98" s="1372"/>
      <c r="Q98" s="1372"/>
      <c r="R98" s="1372"/>
      <c r="S98" s="1372"/>
      <c r="T98" s="1372"/>
      <c r="U98" s="1372"/>
      <c r="V98" s="1372"/>
      <c r="W98" s="1372"/>
      <c r="X98" s="1372"/>
      <c r="Y98" s="1372"/>
      <c r="Z98" s="1372"/>
    </row>
    <row r="99" spans="1:26" ht="15.75" customHeight="1" x14ac:dyDescent="0.25">
      <c r="A99" s="1371"/>
      <c r="B99" s="1371"/>
      <c r="C99" s="1371"/>
      <c r="D99" s="1371"/>
      <c r="E99" s="1371"/>
      <c r="F99" s="1371"/>
      <c r="G99" s="1371"/>
      <c r="H99" s="1371"/>
      <c r="I99" s="1372"/>
      <c r="J99" s="1372"/>
      <c r="K99" s="1372"/>
      <c r="L99" s="1372"/>
      <c r="M99" s="1372"/>
      <c r="N99" s="1372"/>
      <c r="O99" s="1372"/>
      <c r="P99" s="1372"/>
      <c r="Q99" s="1372"/>
      <c r="R99" s="1372"/>
      <c r="S99" s="1372"/>
      <c r="T99" s="1372"/>
      <c r="U99" s="1372"/>
      <c r="V99" s="1372"/>
      <c r="W99" s="1372"/>
      <c r="X99" s="1372"/>
      <c r="Y99" s="1372"/>
      <c r="Z99" s="1372"/>
    </row>
    <row r="100" spans="1:26" ht="15.75" customHeight="1" x14ac:dyDescent="0.25">
      <c r="A100" s="1371"/>
      <c r="B100" s="1371"/>
      <c r="C100" s="1371"/>
      <c r="D100" s="1371"/>
      <c r="E100" s="1371"/>
      <c r="F100" s="1371"/>
      <c r="G100" s="1371"/>
      <c r="H100" s="1371"/>
      <c r="I100" s="1372"/>
      <c r="J100" s="1372"/>
      <c r="K100" s="1372"/>
      <c r="L100" s="1372"/>
      <c r="M100" s="1372"/>
      <c r="N100" s="1372"/>
      <c r="O100" s="1372"/>
      <c r="P100" s="1372"/>
      <c r="Q100" s="1372"/>
      <c r="R100" s="1372"/>
      <c r="S100" s="1372"/>
      <c r="T100" s="1372"/>
      <c r="U100" s="1372"/>
      <c r="V100" s="1372"/>
      <c r="W100" s="1372"/>
      <c r="X100" s="1372"/>
      <c r="Y100" s="1372"/>
      <c r="Z100" s="1372"/>
    </row>
    <row r="101" spans="1:26" ht="15.75" customHeight="1" x14ac:dyDescent="0.25">
      <c r="A101" s="1371"/>
      <c r="B101" s="1371"/>
      <c r="C101" s="1371"/>
      <c r="D101" s="1371"/>
      <c r="E101" s="1371"/>
      <c r="F101" s="1371"/>
      <c r="G101" s="1371"/>
      <c r="H101" s="1371"/>
      <c r="I101" s="1372"/>
      <c r="J101" s="1372"/>
      <c r="K101" s="1372"/>
      <c r="L101" s="1372"/>
      <c r="M101" s="1372"/>
      <c r="N101" s="1372"/>
      <c r="O101" s="1372"/>
      <c r="P101" s="1372"/>
      <c r="Q101" s="1372"/>
      <c r="R101" s="1372"/>
      <c r="S101" s="1372"/>
      <c r="T101" s="1372"/>
      <c r="U101" s="1372"/>
      <c r="V101" s="1372"/>
      <c r="W101" s="1372"/>
      <c r="X101" s="1372"/>
      <c r="Y101" s="1372"/>
      <c r="Z101" s="1372"/>
    </row>
    <row r="102" spans="1:26" ht="15.75" customHeight="1" x14ac:dyDescent="0.25">
      <c r="A102" s="1371"/>
      <c r="B102" s="1371"/>
      <c r="C102" s="1371"/>
      <c r="D102" s="1371"/>
      <c r="E102" s="1371"/>
      <c r="F102" s="1371"/>
      <c r="G102" s="1371"/>
      <c r="H102" s="1371"/>
      <c r="I102" s="1372"/>
      <c r="J102" s="1372"/>
      <c r="K102" s="1372"/>
      <c r="L102" s="1372"/>
      <c r="M102" s="1372"/>
      <c r="N102" s="1372"/>
      <c r="O102" s="1372"/>
      <c r="P102" s="1372"/>
      <c r="Q102" s="1372"/>
      <c r="R102" s="1372"/>
      <c r="S102" s="1372"/>
      <c r="T102" s="1372"/>
      <c r="U102" s="1372"/>
      <c r="V102" s="1372"/>
      <c r="W102" s="1372"/>
      <c r="X102" s="1372"/>
      <c r="Y102" s="1372"/>
      <c r="Z102" s="1372"/>
    </row>
    <row r="103" spans="1:26" ht="15.75" customHeight="1" x14ac:dyDescent="0.25">
      <c r="A103" s="1371"/>
      <c r="B103" s="1371"/>
      <c r="C103" s="1371"/>
      <c r="D103" s="1371"/>
      <c r="E103" s="1371"/>
      <c r="F103" s="1371"/>
      <c r="G103" s="1371"/>
      <c r="H103" s="1371"/>
      <c r="I103" s="1372"/>
      <c r="J103" s="1372"/>
      <c r="K103" s="1372"/>
      <c r="L103" s="1372"/>
      <c r="M103" s="1372"/>
      <c r="N103" s="1372"/>
      <c r="O103" s="1372"/>
      <c r="P103" s="1372"/>
      <c r="Q103" s="1372"/>
      <c r="R103" s="1372"/>
      <c r="S103" s="1372"/>
      <c r="T103" s="1372"/>
      <c r="U103" s="1372"/>
      <c r="V103" s="1372"/>
      <c r="W103" s="1372"/>
      <c r="X103" s="1372"/>
      <c r="Y103" s="1372"/>
      <c r="Z103" s="1372"/>
    </row>
    <row r="104" spans="1:26" ht="15.75" customHeight="1" x14ac:dyDescent="0.25">
      <c r="A104" s="1371"/>
      <c r="B104" s="1371"/>
      <c r="C104" s="1371"/>
      <c r="D104" s="1371"/>
      <c r="E104" s="1371"/>
      <c r="F104" s="1371"/>
      <c r="G104" s="1371"/>
      <c r="H104" s="1371"/>
      <c r="I104" s="1372"/>
      <c r="J104" s="1372"/>
      <c r="K104" s="1372"/>
      <c r="L104" s="1372"/>
      <c r="M104" s="1372"/>
      <c r="N104" s="1372"/>
      <c r="O104" s="1372"/>
      <c r="P104" s="1372"/>
      <c r="Q104" s="1372"/>
      <c r="R104" s="1372"/>
      <c r="S104" s="1372"/>
      <c r="T104" s="1372"/>
      <c r="U104" s="1372"/>
      <c r="V104" s="1372"/>
      <c r="W104" s="1372"/>
      <c r="X104" s="1372"/>
      <c r="Y104" s="1372"/>
      <c r="Z104" s="1372"/>
    </row>
    <row r="105" spans="1:26" ht="15.75" customHeight="1" x14ac:dyDescent="0.25">
      <c r="A105" s="1371"/>
      <c r="B105" s="1371"/>
      <c r="C105" s="1371"/>
      <c r="D105" s="1371"/>
      <c r="E105" s="1371"/>
      <c r="F105" s="1371"/>
      <c r="G105" s="1371"/>
      <c r="H105" s="1371"/>
      <c r="I105" s="1372"/>
      <c r="J105" s="1372"/>
      <c r="K105" s="1372"/>
      <c r="L105" s="1372"/>
      <c r="M105" s="1372"/>
      <c r="N105" s="1372"/>
      <c r="O105" s="1372"/>
      <c r="P105" s="1372"/>
      <c r="Q105" s="1372"/>
      <c r="R105" s="1372"/>
      <c r="S105" s="1372"/>
      <c r="T105" s="1372"/>
      <c r="U105" s="1372"/>
      <c r="V105" s="1372"/>
      <c r="W105" s="1372"/>
      <c r="X105" s="1372"/>
      <c r="Y105" s="1372"/>
      <c r="Z105" s="1372"/>
    </row>
    <row r="106" spans="1:26" ht="15.75" customHeight="1" x14ac:dyDescent="0.25">
      <c r="A106" s="1371"/>
      <c r="B106" s="1371"/>
      <c r="C106" s="1371"/>
      <c r="D106" s="1371"/>
      <c r="E106" s="1371"/>
      <c r="F106" s="1371"/>
      <c r="G106" s="1371"/>
      <c r="H106" s="1371"/>
      <c r="I106" s="1372"/>
      <c r="J106" s="1372"/>
      <c r="K106" s="1372"/>
      <c r="L106" s="1372"/>
      <c r="M106" s="1372"/>
      <c r="N106" s="1372"/>
      <c r="O106" s="1372"/>
      <c r="P106" s="1372"/>
      <c r="Q106" s="1372"/>
      <c r="R106" s="1372"/>
      <c r="S106" s="1372"/>
      <c r="T106" s="1372"/>
      <c r="U106" s="1372"/>
      <c r="V106" s="1372"/>
      <c r="W106" s="1372"/>
      <c r="X106" s="1372"/>
      <c r="Y106" s="1372"/>
      <c r="Z106" s="1372"/>
    </row>
    <row r="107" spans="1:26" ht="15.75" customHeight="1" x14ac:dyDescent="0.25">
      <c r="A107" s="1371"/>
      <c r="B107" s="1371"/>
      <c r="C107" s="1371"/>
      <c r="D107" s="1371"/>
      <c r="E107" s="1371"/>
      <c r="F107" s="1371"/>
      <c r="G107" s="1371"/>
      <c r="H107" s="1371"/>
      <c r="I107" s="1372"/>
      <c r="J107" s="1372"/>
      <c r="K107" s="1372"/>
      <c r="L107" s="1372"/>
      <c r="M107" s="1372"/>
      <c r="N107" s="1372"/>
      <c r="O107" s="1372"/>
      <c r="P107" s="1372"/>
      <c r="Q107" s="1372"/>
      <c r="R107" s="1372"/>
      <c r="S107" s="1372"/>
      <c r="T107" s="1372"/>
      <c r="U107" s="1372"/>
      <c r="V107" s="1372"/>
      <c r="W107" s="1372"/>
      <c r="X107" s="1372"/>
      <c r="Y107" s="1372"/>
      <c r="Z107" s="1372"/>
    </row>
    <row r="108" spans="1:26" ht="15.75" customHeight="1" x14ac:dyDescent="0.25">
      <c r="A108" s="1371"/>
      <c r="B108" s="1371"/>
      <c r="C108" s="1371"/>
      <c r="D108" s="1371"/>
      <c r="E108" s="1371"/>
      <c r="F108" s="1371"/>
      <c r="G108" s="1371"/>
      <c r="H108" s="1371"/>
      <c r="I108" s="1372"/>
      <c r="J108" s="1372"/>
      <c r="K108" s="1372"/>
      <c r="L108" s="1372"/>
      <c r="M108" s="1372"/>
      <c r="N108" s="1372"/>
      <c r="O108" s="1372"/>
      <c r="P108" s="1372"/>
      <c r="Q108" s="1372"/>
      <c r="R108" s="1372"/>
      <c r="S108" s="1372"/>
      <c r="T108" s="1372"/>
      <c r="U108" s="1372"/>
      <c r="V108" s="1372"/>
      <c r="W108" s="1372"/>
      <c r="X108" s="1372"/>
      <c r="Y108" s="1372"/>
      <c r="Z108" s="1372"/>
    </row>
    <row r="109" spans="1:26" ht="15.75" customHeight="1" x14ac:dyDescent="0.25">
      <c r="A109" s="1371"/>
      <c r="B109" s="1371"/>
      <c r="C109" s="1371"/>
      <c r="D109" s="1371"/>
      <c r="E109" s="1371"/>
      <c r="F109" s="1371"/>
      <c r="G109" s="1371"/>
      <c r="H109" s="1371"/>
      <c r="I109" s="1372"/>
      <c r="J109" s="1372"/>
      <c r="K109" s="1372"/>
      <c r="L109" s="1372"/>
      <c r="M109" s="1372"/>
      <c r="N109" s="1372"/>
      <c r="O109" s="1372"/>
      <c r="P109" s="1372"/>
      <c r="Q109" s="1372"/>
      <c r="R109" s="1372"/>
      <c r="S109" s="1372"/>
      <c r="T109" s="1372"/>
      <c r="U109" s="1372"/>
      <c r="V109" s="1372"/>
      <c r="W109" s="1372"/>
      <c r="X109" s="1372"/>
      <c r="Y109" s="1372"/>
      <c r="Z109" s="1372"/>
    </row>
    <row r="110" spans="1:26" ht="15.75" customHeight="1" x14ac:dyDescent="0.25">
      <c r="A110" s="1371"/>
      <c r="B110" s="1371"/>
      <c r="C110" s="1371"/>
      <c r="D110" s="1371"/>
      <c r="E110" s="1371"/>
      <c r="F110" s="1371"/>
      <c r="G110" s="1371"/>
      <c r="H110" s="1371"/>
      <c r="I110" s="1372"/>
      <c r="J110" s="1372"/>
      <c r="K110" s="1372"/>
      <c r="L110" s="1372"/>
      <c r="M110" s="1372"/>
      <c r="N110" s="1372"/>
      <c r="O110" s="1372"/>
      <c r="P110" s="1372"/>
      <c r="Q110" s="1372"/>
      <c r="R110" s="1372"/>
      <c r="S110" s="1372"/>
      <c r="T110" s="1372"/>
      <c r="U110" s="1372"/>
      <c r="V110" s="1372"/>
      <c r="W110" s="1372"/>
      <c r="X110" s="1372"/>
      <c r="Y110" s="1372"/>
      <c r="Z110" s="1372"/>
    </row>
    <row r="111" spans="1:26" ht="15.75" customHeight="1" x14ac:dyDescent="0.25">
      <c r="A111" s="1371"/>
      <c r="B111" s="1371"/>
      <c r="C111" s="1371"/>
      <c r="D111" s="1371"/>
      <c r="E111" s="1371"/>
      <c r="F111" s="1371"/>
      <c r="G111" s="1371"/>
      <c r="H111" s="1371"/>
      <c r="I111" s="1372"/>
      <c r="J111" s="1372"/>
      <c r="K111" s="1372"/>
      <c r="L111" s="1372"/>
      <c r="M111" s="1372"/>
      <c r="N111" s="1372"/>
      <c r="O111" s="1372"/>
      <c r="P111" s="1372"/>
      <c r="Q111" s="1372"/>
      <c r="R111" s="1372"/>
      <c r="S111" s="1372"/>
      <c r="T111" s="1372"/>
      <c r="U111" s="1372"/>
      <c r="V111" s="1372"/>
      <c r="W111" s="1372"/>
      <c r="X111" s="1372"/>
      <c r="Y111" s="1372"/>
      <c r="Z111" s="1372"/>
    </row>
    <row r="112" spans="1:26" ht="15.75" customHeight="1" x14ac:dyDescent="0.25">
      <c r="A112" s="1371"/>
      <c r="B112" s="1371"/>
      <c r="C112" s="1371"/>
      <c r="D112" s="1371"/>
      <c r="E112" s="1371"/>
      <c r="F112" s="1371"/>
      <c r="G112" s="1371"/>
      <c r="H112" s="1371"/>
      <c r="I112" s="1372"/>
      <c r="J112" s="1372"/>
      <c r="K112" s="1372"/>
      <c r="L112" s="1372"/>
      <c r="M112" s="1372"/>
      <c r="N112" s="1372"/>
      <c r="O112" s="1372"/>
      <c r="P112" s="1372"/>
      <c r="Q112" s="1372"/>
      <c r="R112" s="1372"/>
      <c r="S112" s="1372"/>
      <c r="T112" s="1372"/>
      <c r="U112" s="1372"/>
      <c r="V112" s="1372"/>
      <c r="W112" s="1372"/>
      <c r="X112" s="1372"/>
      <c r="Y112" s="1372"/>
      <c r="Z112" s="1372"/>
    </row>
    <row r="113" spans="1:26" ht="15.75" customHeight="1" x14ac:dyDescent="0.25">
      <c r="A113" s="1371"/>
      <c r="B113" s="1371"/>
      <c r="C113" s="1371"/>
      <c r="D113" s="1371"/>
      <c r="E113" s="1371"/>
      <c r="F113" s="1371"/>
      <c r="G113" s="1371"/>
      <c r="H113" s="1371"/>
      <c r="I113" s="1372"/>
      <c r="J113" s="1372"/>
      <c r="K113" s="1372"/>
      <c r="L113" s="1372"/>
      <c r="M113" s="1372"/>
      <c r="N113" s="1372"/>
      <c r="O113" s="1372"/>
      <c r="P113" s="1372"/>
      <c r="Q113" s="1372"/>
      <c r="R113" s="1372"/>
      <c r="S113" s="1372"/>
      <c r="T113" s="1372"/>
      <c r="U113" s="1372"/>
      <c r="V113" s="1372"/>
      <c r="W113" s="1372"/>
      <c r="X113" s="1372"/>
      <c r="Y113" s="1372"/>
      <c r="Z113" s="1372"/>
    </row>
    <row r="114" spans="1:26" ht="15.75" customHeight="1" x14ac:dyDescent="0.25">
      <c r="A114" s="1371"/>
      <c r="B114" s="1371"/>
      <c r="C114" s="1371"/>
      <c r="D114" s="1371"/>
      <c r="E114" s="1371"/>
      <c r="F114" s="1371"/>
      <c r="G114" s="1371"/>
      <c r="H114" s="1371"/>
      <c r="I114" s="1372"/>
      <c r="J114" s="1372"/>
      <c r="K114" s="1372"/>
      <c r="L114" s="1372"/>
      <c r="M114" s="1372"/>
      <c r="N114" s="1372"/>
      <c r="O114" s="1372"/>
      <c r="P114" s="1372"/>
      <c r="Q114" s="1372"/>
      <c r="R114" s="1372"/>
      <c r="S114" s="1372"/>
      <c r="T114" s="1372"/>
      <c r="U114" s="1372"/>
      <c r="V114" s="1372"/>
      <c r="W114" s="1372"/>
      <c r="X114" s="1372"/>
      <c r="Y114" s="1372"/>
      <c r="Z114" s="1372"/>
    </row>
    <row r="115" spans="1:26" ht="15.75" customHeight="1" x14ac:dyDescent="0.25">
      <c r="A115" s="1371"/>
      <c r="B115" s="1371"/>
      <c r="C115" s="1371"/>
      <c r="D115" s="1371"/>
      <c r="E115" s="1371"/>
      <c r="F115" s="1371"/>
      <c r="G115" s="1371"/>
      <c r="H115" s="1371"/>
      <c r="I115" s="1372"/>
      <c r="J115" s="1372"/>
      <c r="K115" s="1372"/>
      <c r="L115" s="1372"/>
      <c r="M115" s="1372"/>
      <c r="N115" s="1372"/>
      <c r="O115" s="1372"/>
      <c r="P115" s="1372"/>
      <c r="Q115" s="1372"/>
      <c r="R115" s="1372"/>
      <c r="S115" s="1372"/>
      <c r="T115" s="1372"/>
      <c r="U115" s="1372"/>
      <c r="V115" s="1372"/>
      <c r="W115" s="1372"/>
      <c r="X115" s="1372"/>
      <c r="Y115" s="1372"/>
      <c r="Z115" s="1372"/>
    </row>
    <row r="116" spans="1:26" ht="15.75" customHeight="1" x14ac:dyDescent="0.25">
      <c r="A116" s="1371"/>
      <c r="B116" s="1371"/>
      <c r="C116" s="1371"/>
      <c r="D116" s="1371"/>
      <c r="E116" s="1371"/>
      <c r="F116" s="1371"/>
      <c r="G116" s="1371"/>
      <c r="H116" s="1371"/>
      <c r="I116" s="1372"/>
      <c r="J116" s="1372"/>
      <c r="K116" s="1372"/>
      <c r="L116" s="1372"/>
      <c r="M116" s="1372"/>
      <c r="N116" s="1372"/>
      <c r="O116" s="1372"/>
      <c r="P116" s="1372"/>
      <c r="Q116" s="1372"/>
      <c r="R116" s="1372"/>
      <c r="S116" s="1372"/>
      <c r="T116" s="1372"/>
      <c r="U116" s="1372"/>
      <c r="V116" s="1372"/>
      <c r="W116" s="1372"/>
      <c r="X116" s="1372"/>
      <c r="Y116" s="1372"/>
      <c r="Z116" s="1372"/>
    </row>
    <row r="117" spans="1:26" ht="15.75" customHeight="1" x14ac:dyDescent="0.25">
      <c r="A117" s="1371"/>
      <c r="B117" s="1371"/>
      <c r="C117" s="1371"/>
      <c r="D117" s="1371"/>
      <c r="E117" s="1371"/>
      <c r="F117" s="1371"/>
      <c r="G117" s="1371"/>
      <c r="H117" s="1371"/>
      <c r="I117" s="1372"/>
      <c r="J117" s="1372"/>
      <c r="K117" s="1372"/>
      <c r="L117" s="1372"/>
      <c r="M117" s="1372"/>
      <c r="N117" s="1372"/>
      <c r="O117" s="1372"/>
      <c r="P117" s="1372"/>
      <c r="Q117" s="1372"/>
      <c r="R117" s="1372"/>
      <c r="S117" s="1372"/>
      <c r="T117" s="1372"/>
      <c r="U117" s="1372"/>
      <c r="V117" s="1372"/>
      <c r="W117" s="1372"/>
      <c r="X117" s="1372"/>
      <c r="Y117" s="1372"/>
      <c r="Z117" s="1372"/>
    </row>
    <row r="118" spans="1:26" ht="15.75" customHeight="1" x14ac:dyDescent="0.25">
      <c r="A118" s="1371"/>
      <c r="B118" s="1371"/>
      <c r="C118" s="1371"/>
      <c r="D118" s="1371"/>
      <c r="E118" s="1371"/>
      <c r="F118" s="1371"/>
      <c r="G118" s="1371"/>
      <c r="H118" s="1371"/>
      <c r="I118" s="1372"/>
      <c r="J118" s="1372"/>
      <c r="K118" s="1372"/>
      <c r="L118" s="1372"/>
      <c r="M118" s="1372"/>
      <c r="N118" s="1372"/>
      <c r="O118" s="1372"/>
      <c r="P118" s="1372"/>
      <c r="Q118" s="1372"/>
      <c r="R118" s="1372"/>
      <c r="S118" s="1372"/>
      <c r="T118" s="1372"/>
      <c r="U118" s="1372"/>
      <c r="V118" s="1372"/>
      <c r="W118" s="1372"/>
      <c r="X118" s="1372"/>
      <c r="Y118" s="1372"/>
      <c r="Z118" s="1372"/>
    </row>
    <row r="119" spans="1:26" ht="15.75" customHeight="1" x14ac:dyDescent="0.25">
      <c r="A119" s="1371"/>
      <c r="B119" s="1371"/>
      <c r="C119" s="1371"/>
      <c r="D119" s="1371"/>
      <c r="E119" s="1371"/>
      <c r="F119" s="1371"/>
      <c r="G119" s="1371"/>
      <c r="H119" s="1371"/>
      <c r="I119" s="1372"/>
      <c r="J119" s="1372"/>
      <c r="K119" s="1372"/>
      <c r="L119" s="1372"/>
      <c r="M119" s="1372"/>
      <c r="N119" s="1372"/>
      <c r="O119" s="1372"/>
      <c r="P119" s="1372"/>
      <c r="Q119" s="1372"/>
      <c r="R119" s="1372"/>
      <c r="S119" s="1372"/>
      <c r="T119" s="1372"/>
      <c r="U119" s="1372"/>
      <c r="V119" s="1372"/>
      <c r="W119" s="1372"/>
      <c r="X119" s="1372"/>
      <c r="Y119" s="1372"/>
      <c r="Z119" s="1372"/>
    </row>
    <row r="120" spans="1:26" ht="15.75" customHeight="1" x14ac:dyDescent="0.25">
      <c r="A120" s="1371"/>
      <c r="B120" s="1371"/>
      <c r="C120" s="1371"/>
      <c r="D120" s="1371"/>
      <c r="E120" s="1371"/>
      <c r="F120" s="1371"/>
      <c r="G120" s="1371"/>
      <c r="H120" s="1371"/>
      <c r="I120" s="1372"/>
      <c r="J120" s="1372"/>
      <c r="K120" s="1372"/>
      <c r="L120" s="1372"/>
      <c r="M120" s="1372"/>
      <c r="N120" s="1372"/>
      <c r="O120" s="1372"/>
      <c r="P120" s="1372"/>
      <c r="Q120" s="1372"/>
      <c r="R120" s="1372"/>
      <c r="S120" s="1372"/>
      <c r="T120" s="1372"/>
      <c r="U120" s="1372"/>
      <c r="V120" s="1372"/>
      <c r="W120" s="1372"/>
      <c r="X120" s="1372"/>
      <c r="Y120" s="1372"/>
      <c r="Z120" s="1372"/>
    </row>
    <row r="121" spans="1:26" ht="15.75" customHeight="1" x14ac:dyDescent="0.25">
      <c r="A121" s="1371"/>
      <c r="B121" s="1371"/>
      <c r="C121" s="1371"/>
      <c r="D121" s="1371"/>
      <c r="E121" s="1371"/>
      <c r="F121" s="1371"/>
      <c r="G121" s="1371"/>
      <c r="H121" s="1371"/>
      <c r="I121" s="1372"/>
      <c r="J121" s="1372"/>
      <c r="K121" s="1372"/>
      <c r="L121" s="1372"/>
      <c r="M121" s="1372"/>
      <c r="N121" s="1372"/>
      <c r="O121" s="1372"/>
      <c r="P121" s="1372"/>
      <c r="Q121" s="1372"/>
      <c r="R121" s="1372"/>
      <c r="S121" s="1372"/>
      <c r="T121" s="1372"/>
      <c r="U121" s="1372"/>
      <c r="V121" s="1372"/>
      <c r="W121" s="1372"/>
      <c r="X121" s="1372"/>
      <c r="Y121" s="1372"/>
      <c r="Z121" s="1372"/>
    </row>
    <row r="122" spans="1:26" ht="15.75" customHeight="1" x14ac:dyDescent="0.25">
      <c r="A122" s="1371"/>
      <c r="B122" s="1371"/>
      <c r="C122" s="1371"/>
      <c r="D122" s="1371"/>
      <c r="E122" s="1371"/>
      <c r="F122" s="1371"/>
      <c r="G122" s="1371"/>
      <c r="H122" s="1371"/>
      <c r="I122" s="1372"/>
      <c r="J122" s="1372"/>
      <c r="K122" s="1372"/>
      <c r="L122" s="1372"/>
      <c r="M122" s="1372"/>
      <c r="N122" s="1372"/>
      <c r="O122" s="1372"/>
      <c r="P122" s="1372"/>
      <c r="Q122" s="1372"/>
      <c r="R122" s="1372"/>
      <c r="S122" s="1372"/>
      <c r="T122" s="1372"/>
      <c r="U122" s="1372"/>
      <c r="V122" s="1372"/>
      <c r="W122" s="1372"/>
      <c r="X122" s="1372"/>
      <c r="Y122" s="1372"/>
      <c r="Z122" s="1372"/>
    </row>
    <row r="123" spans="1:26" ht="15.75" customHeight="1" x14ac:dyDescent="0.25">
      <c r="A123" s="1371"/>
      <c r="B123" s="1371"/>
      <c r="C123" s="1371"/>
      <c r="D123" s="1371"/>
      <c r="E123" s="1371"/>
      <c r="F123" s="1371"/>
      <c r="G123" s="1371"/>
      <c r="H123" s="1371"/>
      <c r="I123" s="1372"/>
      <c r="J123" s="1372"/>
      <c r="K123" s="1372"/>
      <c r="L123" s="1372"/>
      <c r="M123" s="1372"/>
      <c r="N123" s="1372"/>
      <c r="O123" s="1372"/>
      <c r="P123" s="1372"/>
      <c r="Q123" s="1372"/>
      <c r="R123" s="1372"/>
      <c r="S123" s="1372"/>
      <c r="T123" s="1372"/>
      <c r="U123" s="1372"/>
      <c r="V123" s="1372"/>
      <c r="W123" s="1372"/>
      <c r="X123" s="1372"/>
      <c r="Y123" s="1372"/>
      <c r="Z123" s="1372"/>
    </row>
    <row r="124" spans="1:26" ht="15.75" customHeight="1" x14ac:dyDescent="0.25">
      <c r="A124" s="1371"/>
      <c r="B124" s="1371"/>
      <c r="C124" s="1371"/>
      <c r="D124" s="1371"/>
      <c r="E124" s="1371"/>
      <c r="F124" s="1371"/>
      <c r="G124" s="1371"/>
      <c r="H124" s="1371"/>
      <c r="I124" s="1372"/>
      <c r="J124" s="1372"/>
      <c r="K124" s="1372"/>
      <c r="L124" s="1372"/>
      <c r="M124" s="1372"/>
      <c r="N124" s="1372"/>
      <c r="O124" s="1372"/>
      <c r="P124" s="1372"/>
      <c r="Q124" s="1372"/>
      <c r="R124" s="1372"/>
      <c r="S124" s="1372"/>
      <c r="T124" s="1372"/>
      <c r="U124" s="1372"/>
      <c r="V124" s="1372"/>
      <c r="W124" s="1372"/>
      <c r="X124" s="1372"/>
      <c r="Y124" s="1372"/>
      <c r="Z124" s="1372"/>
    </row>
    <row r="125" spans="1:26" ht="15.75" customHeight="1" x14ac:dyDescent="0.25">
      <c r="A125" s="1371"/>
      <c r="B125" s="1371"/>
      <c r="C125" s="1371"/>
      <c r="D125" s="1371"/>
      <c r="E125" s="1371"/>
      <c r="F125" s="1371"/>
      <c r="G125" s="1371"/>
      <c r="H125" s="1371"/>
      <c r="I125" s="1372"/>
      <c r="J125" s="1372"/>
      <c r="K125" s="1372"/>
      <c r="L125" s="1372"/>
      <c r="M125" s="1372"/>
      <c r="N125" s="1372"/>
      <c r="O125" s="1372"/>
      <c r="P125" s="1372"/>
      <c r="Q125" s="1372"/>
      <c r="R125" s="1372"/>
      <c r="S125" s="1372"/>
      <c r="T125" s="1372"/>
      <c r="U125" s="1372"/>
      <c r="V125" s="1372"/>
      <c r="W125" s="1372"/>
      <c r="X125" s="1372"/>
      <c r="Y125" s="1372"/>
      <c r="Z125" s="1372"/>
    </row>
    <row r="126" spans="1:26" ht="15.75" customHeight="1" x14ac:dyDescent="0.25">
      <c r="A126" s="1371"/>
      <c r="B126" s="1371"/>
      <c r="C126" s="1371"/>
      <c r="D126" s="1371"/>
      <c r="E126" s="1371"/>
      <c r="F126" s="1371"/>
      <c r="G126" s="1371"/>
      <c r="H126" s="1371"/>
      <c r="I126" s="1372"/>
      <c r="J126" s="1372"/>
      <c r="K126" s="1372"/>
      <c r="L126" s="1372"/>
      <c r="M126" s="1372"/>
      <c r="N126" s="1372"/>
      <c r="O126" s="1372"/>
      <c r="P126" s="1372"/>
      <c r="Q126" s="1372"/>
      <c r="R126" s="1372"/>
      <c r="S126" s="1372"/>
      <c r="T126" s="1372"/>
      <c r="U126" s="1372"/>
      <c r="V126" s="1372"/>
      <c r="W126" s="1372"/>
      <c r="X126" s="1372"/>
      <c r="Y126" s="1372"/>
      <c r="Z126" s="1372"/>
    </row>
    <row r="127" spans="1:26" ht="15.75" customHeight="1" x14ac:dyDescent="0.25">
      <c r="A127" s="1371"/>
      <c r="B127" s="1371"/>
      <c r="C127" s="1371"/>
      <c r="D127" s="1371"/>
      <c r="E127" s="1371"/>
      <c r="F127" s="1371"/>
      <c r="G127" s="1371"/>
      <c r="H127" s="1371"/>
      <c r="I127" s="1372"/>
      <c r="J127" s="1372"/>
      <c r="K127" s="1372"/>
      <c r="L127" s="1372"/>
      <c r="M127" s="1372"/>
      <c r="N127" s="1372"/>
      <c r="O127" s="1372"/>
      <c r="P127" s="1372"/>
      <c r="Q127" s="1372"/>
      <c r="R127" s="1372"/>
      <c r="S127" s="1372"/>
      <c r="T127" s="1372"/>
      <c r="U127" s="1372"/>
      <c r="V127" s="1372"/>
      <c r="W127" s="1372"/>
      <c r="X127" s="1372"/>
      <c r="Y127" s="1372"/>
      <c r="Z127" s="1372"/>
    </row>
    <row r="128" spans="1:26" ht="15.75" customHeight="1" x14ac:dyDescent="0.25">
      <c r="A128" s="1371"/>
      <c r="B128" s="1371"/>
      <c r="C128" s="1371"/>
      <c r="D128" s="1371"/>
      <c r="E128" s="1371"/>
      <c r="F128" s="1371"/>
      <c r="G128" s="1371"/>
      <c r="H128" s="1371"/>
      <c r="I128" s="1372"/>
      <c r="J128" s="1372"/>
      <c r="K128" s="1372"/>
      <c r="L128" s="1372"/>
      <c r="M128" s="1372"/>
      <c r="N128" s="1372"/>
      <c r="O128" s="1372"/>
      <c r="P128" s="1372"/>
      <c r="Q128" s="1372"/>
      <c r="R128" s="1372"/>
      <c r="S128" s="1372"/>
      <c r="T128" s="1372"/>
      <c r="U128" s="1372"/>
      <c r="V128" s="1372"/>
      <c r="W128" s="1372"/>
      <c r="X128" s="1372"/>
      <c r="Y128" s="1372"/>
      <c r="Z128" s="1372"/>
    </row>
    <row r="129" spans="1:26" ht="15.75" customHeight="1" x14ac:dyDescent="0.25">
      <c r="A129" s="1371"/>
      <c r="B129" s="1371"/>
      <c r="C129" s="1371"/>
      <c r="D129" s="1371"/>
      <c r="E129" s="1371"/>
      <c r="F129" s="1371"/>
      <c r="G129" s="1371"/>
      <c r="H129" s="1371"/>
      <c r="I129" s="1372"/>
      <c r="J129" s="1372"/>
      <c r="K129" s="1372"/>
      <c r="L129" s="1372"/>
      <c r="M129" s="1372"/>
      <c r="N129" s="1372"/>
      <c r="O129" s="1372"/>
      <c r="P129" s="1372"/>
      <c r="Q129" s="1372"/>
      <c r="R129" s="1372"/>
      <c r="S129" s="1372"/>
      <c r="T129" s="1372"/>
      <c r="U129" s="1372"/>
      <c r="V129" s="1372"/>
      <c r="W129" s="1372"/>
      <c r="X129" s="1372"/>
      <c r="Y129" s="1372"/>
      <c r="Z129" s="1372"/>
    </row>
    <row r="130" spans="1:26" ht="15.75" customHeight="1" x14ac:dyDescent="0.25">
      <c r="A130" s="1371"/>
      <c r="B130" s="1371"/>
      <c r="C130" s="1371"/>
      <c r="D130" s="1371"/>
      <c r="E130" s="1371"/>
      <c r="F130" s="1371"/>
      <c r="G130" s="1371"/>
      <c r="H130" s="1371"/>
      <c r="I130" s="1372"/>
      <c r="J130" s="1372"/>
      <c r="K130" s="1372"/>
      <c r="L130" s="1372"/>
      <c r="M130" s="1372"/>
      <c r="N130" s="1372"/>
      <c r="O130" s="1372"/>
      <c r="P130" s="1372"/>
      <c r="Q130" s="1372"/>
      <c r="R130" s="1372"/>
      <c r="S130" s="1372"/>
      <c r="T130" s="1372"/>
      <c r="U130" s="1372"/>
      <c r="V130" s="1372"/>
      <c r="W130" s="1372"/>
      <c r="X130" s="1372"/>
      <c r="Y130" s="1372"/>
      <c r="Z130" s="1372"/>
    </row>
    <row r="131" spans="1:26" ht="15.75" customHeight="1" x14ac:dyDescent="0.25">
      <c r="A131" s="1371"/>
      <c r="B131" s="1371"/>
      <c r="C131" s="1371"/>
      <c r="D131" s="1371"/>
      <c r="E131" s="1371"/>
      <c r="F131" s="1371"/>
      <c r="G131" s="1371"/>
      <c r="H131" s="1371"/>
      <c r="I131" s="1372"/>
      <c r="J131" s="1372"/>
      <c r="K131" s="1372"/>
      <c r="L131" s="1372"/>
      <c r="M131" s="1372"/>
      <c r="N131" s="1372"/>
      <c r="O131" s="1372"/>
      <c r="P131" s="1372"/>
      <c r="Q131" s="1372"/>
      <c r="R131" s="1372"/>
      <c r="S131" s="1372"/>
      <c r="T131" s="1372"/>
      <c r="U131" s="1372"/>
      <c r="V131" s="1372"/>
      <c r="W131" s="1372"/>
      <c r="X131" s="1372"/>
      <c r="Y131" s="1372"/>
      <c r="Z131" s="1372"/>
    </row>
    <row r="132" spans="1:26" ht="15.75" customHeight="1" x14ac:dyDescent="0.25">
      <c r="A132" s="1371"/>
      <c r="B132" s="1371"/>
      <c r="C132" s="1371"/>
      <c r="D132" s="1371"/>
      <c r="E132" s="1371"/>
      <c r="F132" s="1371"/>
      <c r="G132" s="1371"/>
      <c r="H132" s="1371"/>
      <c r="I132" s="1372"/>
      <c r="J132" s="1372"/>
      <c r="K132" s="1372"/>
      <c r="L132" s="1372"/>
      <c r="M132" s="1372"/>
      <c r="N132" s="1372"/>
      <c r="O132" s="1372"/>
      <c r="P132" s="1372"/>
      <c r="Q132" s="1372"/>
      <c r="R132" s="1372"/>
      <c r="S132" s="1372"/>
      <c r="T132" s="1372"/>
      <c r="U132" s="1372"/>
      <c r="V132" s="1372"/>
      <c r="W132" s="1372"/>
      <c r="X132" s="1372"/>
      <c r="Y132" s="1372"/>
      <c r="Z132" s="1372"/>
    </row>
    <row r="133" spans="1:26" ht="15.75" customHeight="1" x14ac:dyDescent="0.25">
      <c r="A133" s="1371"/>
      <c r="B133" s="1371"/>
      <c r="C133" s="1371"/>
      <c r="D133" s="1371"/>
      <c r="E133" s="1371"/>
      <c r="F133" s="1371"/>
      <c r="G133" s="1371"/>
      <c r="H133" s="1371"/>
      <c r="I133" s="1372"/>
      <c r="J133" s="1372"/>
      <c r="K133" s="1372"/>
      <c r="L133" s="1372"/>
      <c r="M133" s="1372"/>
      <c r="N133" s="1372"/>
      <c r="O133" s="1372"/>
      <c r="P133" s="1372"/>
      <c r="Q133" s="1372"/>
      <c r="R133" s="1372"/>
      <c r="S133" s="1372"/>
      <c r="T133" s="1372"/>
      <c r="U133" s="1372"/>
      <c r="V133" s="1372"/>
      <c r="W133" s="1372"/>
      <c r="X133" s="1372"/>
      <c r="Y133" s="1372"/>
      <c r="Z133" s="1372"/>
    </row>
    <row r="134" spans="1:26" ht="15.75" customHeight="1" x14ac:dyDescent="0.25">
      <c r="A134" s="1371"/>
      <c r="B134" s="1371"/>
      <c r="C134" s="1371"/>
      <c r="D134" s="1371"/>
      <c r="E134" s="1371"/>
      <c r="F134" s="1371"/>
      <c r="G134" s="1371"/>
      <c r="H134" s="1371"/>
      <c r="I134" s="1372"/>
      <c r="J134" s="1372"/>
      <c r="K134" s="1372"/>
      <c r="L134" s="1372"/>
      <c r="M134" s="1372"/>
      <c r="N134" s="1372"/>
      <c r="O134" s="1372"/>
      <c r="P134" s="1372"/>
      <c r="Q134" s="1372"/>
      <c r="R134" s="1372"/>
      <c r="S134" s="1372"/>
      <c r="T134" s="1372"/>
      <c r="U134" s="1372"/>
      <c r="V134" s="1372"/>
      <c r="W134" s="1372"/>
      <c r="X134" s="1372"/>
      <c r="Y134" s="1372"/>
      <c r="Z134" s="1372"/>
    </row>
    <row r="135" spans="1:26" ht="15.75" customHeight="1" x14ac:dyDescent="0.25">
      <c r="A135" s="1371"/>
      <c r="B135" s="1371"/>
      <c r="C135" s="1371"/>
      <c r="D135" s="1371"/>
      <c r="E135" s="1371"/>
      <c r="F135" s="1371"/>
      <c r="G135" s="1371"/>
      <c r="H135" s="1371"/>
      <c r="I135" s="1372"/>
      <c r="J135" s="1372"/>
      <c r="K135" s="1372"/>
      <c r="L135" s="1372"/>
      <c r="M135" s="1372"/>
      <c r="N135" s="1372"/>
      <c r="O135" s="1372"/>
      <c r="P135" s="1372"/>
      <c r="Q135" s="1372"/>
      <c r="R135" s="1372"/>
      <c r="S135" s="1372"/>
      <c r="T135" s="1372"/>
      <c r="U135" s="1372"/>
      <c r="V135" s="1372"/>
      <c r="W135" s="1372"/>
      <c r="X135" s="1372"/>
      <c r="Y135" s="1372"/>
      <c r="Z135" s="1372"/>
    </row>
    <row r="136" spans="1:26" ht="15.75" customHeight="1" x14ac:dyDescent="0.25">
      <c r="A136" s="1371"/>
      <c r="B136" s="1371"/>
      <c r="C136" s="1371"/>
      <c r="D136" s="1371"/>
      <c r="E136" s="1371"/>
      <c r="F136" s="1371"/>
      <c r="G136" s="1371"/>
      <c r="H136" s="1371"/>
      <c r="I136" s="1372"/>
      <c r="J136" s="1372"/>
      <c r="K136" s="1372"/>
      <c r="L136" s="1372"/>
      <c r="M136" s="1372"/>
      <c r="N136" s="1372"/>
      <c r="O136" s="1372"/>
      <c r="P136" s="1372"/>
      <c r="Q136" s="1372"/>
      <c r="R136" s="1372"/>
      <c r="S136" s="1372"/>
      <c r="T136" s="1372"/>
      <c r="U136" s="1372"/>
      <c r="V136" s="1372"/>
      <c r="W136" s="1372"/>
      <c r="X136" s="1372"/>
      <c r="Y136" s="1372"/>
      <c r="Z136" s="1372"/>
    </row>
    <row r="137" spans="1:26" ht="15.75" customHeight="1" x14ac:dyDescent="0.25">
      <c r="A137" s="1371"/>
      <c r="B137" s="1371"/>
      <c r="C137" s="1371"/>
      <c r="D137" s="1371"/>
      <c r="E137" s="1371"/>
      <c r="F137" s="1371"/>
      <c r="G137" s="1371"/>
      <c r="H137" s="1371"/>
      <c r="I137" s="1372"/>
      <c r="J137" s="1372"/>
      <c r="K137" s="1372"/>
      <c r="L137" s="1372"/>
      <c r="M137" s="1372"/>
      <c r="N137" s="1372"/>
      <c r="O137" s="1372"/>
      <c r="P137" s="1372"/>
      <c r="Q137" s="1372"/>
      <c r="R137" s="1372"/>
      <c r="S137" s="1372"/>
      <c r="T137" s="1372"/>
      <c r="U137" s="1372"/>
      <c r="V137" s="1372"/>
      <c r="W137" s="1372"/>
      <c r="X137" s="1372"/>
      <c r="Y137" s="1372"/>
      <c r="Z137" s="1372"/>
    </row>
    <row r="138" spans="1:26" ht="15.75" customHeight="1" x14ac:dyDescent="0.25">
      <c r="A138" s="1371"/>
      <c r="B138" s="1371"/>
      <c r="C138" s="1371"/>
      <c r="D138" s="1371"/>
      <c r="E138" s="1371"/>
      <c r="F138" s="1371"/>
      <c r="G138" s="1371"/>
      <c r="H138" s="1371"/>
      <c r="I138" s="1372"/>
      <c r="J138" s="1372"/>
      <c r="K138" s="1372"/>
      <c r="L138" s="1372"/>
      <c r="M138" s="1372"/>
      <c r="N138" s="1372"/>
      <c r="O138" s="1372"/>
      <c r="P138" s="1372"/>
      <c r="Q138" s="1372"/>
      <c r="R138" s="1372"/>
      <c r="S138" s="1372"/>
      <c r="T138" s="1372"/>
      <c r="U138" s="1372"/>
      <c r="V138" s="1372"/>
      <c r="W138" s="1372"/>
      <c r="X138" s="1372"/>
      <c r="Y138" s="1372"/>
      <c r="Z138" s="1372"/>
    </row>
    <row r="139" spans="1:26" ht="15.75" customHeight="1" x14ac:dyDescent="0.25">
      <c r="A139" s="1371"/>
      <c r="B139" s="1371"/>
      <c r="C139" s="1371"/>
      <c r="D139" s="1371"/>
      <c r="E139" s="1371"/>
      <c r="F139" s="1371"/>
      <c r="G139" s="1371"/>
      <c r="H139" s="1371"/>
      <c r="I139" s="1372"/>
      <c r="J139" s="1372"/>
      <c r="K139" s="1372"/>
      <c r="L139" s="1372"/>
      <c r="M139" s="1372"/>
      <c r="N139" s="1372"/>
      <c r="O139" s="1372"/>
      <c r="P139" s="1372"/>
      <c r="Q139" s="1372"/>
      <c r="R139" s="1372"/>
      <c r="S139" s="1372"/>
      <c r="T139" s="1372"/>
      <c r="U139" s="1372"/>
      <c r="V139" s="1372"/>
      <c r="W139" s="1372"/>
      <c r="X139" s="1372"/>
      <c r="Y139" s="1372"/>
      <c r="Z139" s="1372"/>
    </row>
    <row r="140" spans="1:26" ht="15.75" customHeight="1" x14ac:dyDescent="0.25">
      <c r="A140" s="1371"/>
      <c r="B140" s="1371"/>
      <c r="C140" s="1371"/>
      <c r="D140" s="1371"/>
      <c r="E140" s="1371"/>
      <c r="F140" s="1371"/>
      <c r="G140" s="1371"/>
      <c r="H140" s="1371"/>
      <c r="I140" s="1372"/>
      <c r="J140" s="1372"/>
      <c r="K140" s="1372"/>
      <c r="L140" s="1372"/>
      <c r="M140" s="1372"/>
      <c r="N140" s="1372"/>
      <c r="O140" s="1372"/>
      <c r="P140" s="1372"/>
      <c r="Q140" s="1372"/>
      <c r="R140" s="1372"/>
      <c r="S140" s="1372"/>
      <c r="T140" s="1372"/>
      <c r="U140" s="1372"/>
      <c r="V140" s="1372"/>
      <c r="W140" s="1372"/>
      <c r="X140" s="1372"/>
      <c r="Y140" s="1372"/>
      <c r="Z140" s="1372"/>
    </row>
    <row r="141" spans="1:26" ht="15.75" customHeight="1" x14ac:dyDescent="0.25">
      <c r="A141" s="1371"/>
      <c r="B141" s="1371"/>
      <c r="C141" s="1371"/>
      <c r="D141" s="1371"/>
      <c r="E141" s="1371"/>
      <c r="F141" s="1371"/>
      <c r="G141" s="1371"/>
      <c r="H141" s="1371"/>
      <c r="I141" s="1372"/>
      <c r="J141" s="1372"/>
      <c r="K141" s="1372"/>
      <c r="L141" s="1372"/>
      <c r="M141" s="1372"/>
      <c r="N141" s="1372"/>
      <c r="O141" s="1372"/>
      <c r="P141" s="1372"/>
      <c r="Q141" s="1372"/>
      <c r="R141" s="1372"/>
      <c r="S141" s="1372"/>
      <c r="T141" s="1372"/>
      <c r="U141" s="1372"/>
      <c r="V141" s="1372"/>
      <c r="W141" s="1372"/>
      <c r="X141" s="1372"/>
      <c r="Y141" s="1372"/>
      <c r="Z141" s="1372"/>
    </row>
    <row r="142" spans="1:26" ht="15.75" customHeight="1" x14ac:dyDescent="0.25">
      <c r="A142" s="1371"/>
      <c r="B142" s="1371"/>
      <c r="C142" s="1371"/>
      <c r="D142" s="1371"/>
      <c r="E142" s="1371"/>
      <c r="F142" s="1371"/>
      <c r="G142" s="1371"/>
      <c r="H142" s="1371"/>
      <c r="I142" s="1372"/>
      <c r="J142" s="1372"/>
      <c r="K142" s="1372"/>
      <c r="L142" s="1372"/>
      <c r="M142" s="1372"/>
      <c r="N142" s="1372"/>
      <c r="O142" s="1372"/>
      <c r="P142" s="1372"/>
      <c r="Q142" s="1372"/>
      <c r="R142" s="1372"/>
      <c r="S142" s="1372"/>
      <c r="T142" s="1372"/>
      <c r="U142" s="1372"/>
      <c r="V142" s="1372"/>
      <c r="W142" s="1372"/>
      <c r="X142" s="1372"/>
      <c r="Y142" s="1372"/>
      <c r="Z142" s="1372"/>
    </row>
    <row r="143" spans="1:26" ht="15.75" customHeight="1" x14ac:dyDescent="0.25">
      <c r="A143" s="1371"/>
      <c r="B143" s="1371"/>
      <c r="C143" s="1371"/>
      <c r="D143" s="1371"/>
      <c r="E143" s="1371"/>
      <c r="F143" s="1371"/>
      <c r="G143" s="1371"/>
      <c r="H143" s="1371"/>
      <c r="I143" s="1372"/>
      <c r="J143" s="1372"/>
      <c r="K143" s="1372"/>
      <c r="L143" s="1372"/>
      <c r="M143" s="1372"/>
      <c r="N143" s="1372"/>
      <c r="O143" s="1372"/>
      <c r="P143" s="1372"/>
      <c r="Q143" s="1372"/>
      <c r="R143" s="1372"/>
      <c r="S143" s="1372"/>
      <c r="T143" s="1372"/>
      <c r="U143" s="1372"/>
      <c r="V143" s="1372"/>
      <c r="W143" s="1372"/>
      <c r="X143" s="1372"/>
      <c r="Y143" s="1372"/>
      <c r="Z143" s="1372"/>
    </row>
    <row r="144" spans="1:26" ht="15.75" customHeight="1" x14ac:dyDescent="0.25">
      <c r="A144" s="1371"/>
      <c r="B144" s="1371"/>
      <c r="C144" s="1371"/>
      <c r="D144" s="1371"/>
      <c r="E144" s="1371"/>
      <c r="F144" s="1371"/>
      <c r="G144" s="1371"/>
      <c r="H144" s="1371"/>
      <c r="I144" s="1372"/>
      <c r="J144" s="1372"/>
      <c r="K144" s="1372"/>
      <c r="L144" s="1372"/>
      <c r="M144" s="1372"/>
      <c r="N144" s="1372"/>
      <c r="O144" s="1372"/>
      <c r="P144" s="1372"/>
      <c r="Q144" s="1372"/>
      <c r="R144" s="1372"/>
      <c r="S144" s="1372"/>
      <c r="T144" s="1372"/>
      <c r="U144" s="1372"/>
      <c r="V144" s="1372"/>
      <c r="W144" s="1372"/>
      <c r="X144" s="1372"/>
      <c r="Y144" s="1372"/>
      <c r="Z144" s="1372"/>
    </row>
    <row r="145" spans="1:26" ht="15.75" customHeight="1" x14ac:dyDescent="0.25">
      <c r="A145" s="1371"/>
      <c r="B145" s="1371"/>
      <c r="C145" s="1371"/>
      <c r="D145" s="1371"/>
      <c r="E145" s="1371"/>
      <c r="F145" s="1371"/>
      <c r="G145" s="1371"/>
      <c r="H145" s="1371"/>
      <c r="I145" s="1372"/>
      <c r="J145" s="1372"/>
      <c r="K145" s="1372"/>
      <c r="L145" s="1372"/>
      <c r="M145" s="1372"/>
      <c r="N145" s="1372"/>
      <c r="O145" s="1372"/>
      <c r="P145" s="1372"/>
      <c r="Q145" s="1372"/>
      <c r="R145" s="1372"/>
      <c r="S145" s="1372"/>
      <c r="T145" s="1372"/>
      <c r="U145" s="1372"/>
      <c r="V145" s="1372"/>
      <c r="W145" s="1372"/>
      <c r="X145" s="1372"/>
      <c r="Y145" s="1372"/>
      <c r="Z145" s="1372"/>
    </row>
    <row r="146" spans="1:26" ht="15.75" customHeight="1" x14ac:dyDescent="0.25">
      <c r="A146" s="1371"/>
      <c r="B146" s="1371"/>
      <c r="C146" s="1371"/>
      <c r="D146" s="1371"/>
      <c r="E146" s="1371"/>
      <c r="F146" s="1371"/>
      <c r="G146" s="1371"/>
      <c r="H146" s="1371"/>
      <c r="I146" s="1372"/>
      <c r="J146" s="1372"/>
      <c r="K146" s="1372"/>
      <c r="L146" s="1372"/>
      <c r="M146" s="1372"/>
      <c r="N146" s="1372"/>
      <c r="O146" s="1372"/>
      <c r="P146" s="1372"/>
      <c r="Q146" s="1372"/>
      <c r="R146" s="1372"/>
      <c r="S146" s="1372"/>
      <c r="T146" s="1372"/>
      <c r="U146" s="1372"/>
      <c r="V146" s="1372"/>
      <c r="W146" s="1372"/>
      <c r="X146" s="1372"/>
      <c r="Y146" s="1372"/>
      <c r="Z146" s="1372"/>
    </row>
    <row r="147" spans="1:26" ht="15.75" customHeight="1" x14ac:dyDescent="0.25">
      <c r="A147" s="1371"/>
      <c r="B147" s="1371"/>
      <c r="C147" s="1371"/>
      <c r="D147" s="1371"/>
      <c r="E147" s="1371"/>
      <c r="F147" s="1371"/>
      <c r="G147" s="1371"/>
      <c r="H147" s="1371"/>
      <c r="I147" s="1372"/>
      <c r="J147" s="1372"/>
      <c r="K147" s="1372"/>
      <c r="L147" s="1372"/>
      <c r="M147" s="1372"/>
      <c r="N147" s="1372"/>
      <c r="O147" s="1372"/>
      <c r="P147" s="1372"/>
      <c r="Q147" s="1372"/>
      <c r="R147" s="1372"/>
      <c r="S147" s="1372"/>
      <c r="T147" s="1372"/>
      <c r="U147" s="1372"/>
      <c r="V147" s="1372"/>
      <c r="W147" s="1372"/>
      <c r="X147" s="1372"/>
      <c r="Y147" s="1372"/>
      <c r="Z147" s="1372"/>
    </row>
    <row r="148" spans="1:26" ht="15.75" customHeight="1" x14ac:dyDescent="0.25">
      <c r="A148" s="1371"/>
      <c r="B148" s="1371"/>
      <c r="C148" s="1371"/>
      <c r="D148" s="1371"/>
      <c r="E148" s="1371"/>
      <c r="F148" s="1371"/>
      <c r="G148" s="1371"/>
      <c r="H148" s="1371"/>
      <c r="I148" s="1372"/>
      <c r="J148" s="1372"/>
      <c r="K148" s="1372"/>
      <c r="L148" s="1372"/>
      <c r="M148" s="1372"/>
      <c r="N148" s="1372"/>
      <c r="O148" s="1372"/>
      <c r="P148" s="1372"/>
      <c r="Q148" s="1372"/>
      <c r="R148" s="1372"/>
      <c r="S148" s="1372"/>
      <c r="T148" s="1372"/>
      <c r="U148" s="1372"/>
      <c r="V148" s="1372"/>
      <c r="W148" s="1372"/>
      <c r="X148" s="1372"/>
      <c r="Y148" s="1372"/>
      <c r="Z148" s="1372"/>
    </row>
    <row r="149" spans="1:26" ht="15.75" customHeight="1" x14ac:dyDescent="0.25">
      <c r="A149" s="1371"/>
      <c r="B149" s="1371"/>
      <c r="C149" s="1371"/>
      <c r="D149" s="1371"/>
      <c r="E149" s="1371"/>
      <c r="F149" s="1371"/>
      <c r="G149" s="1371"/>
      <c r="H149" s="1371"/>
      <c r="I149" s="1372"/>
      <c r="J149" s="1372"/>
      <c r="K149" s="1372"/>
      <c r="L149" s="1372"/>
      <c r="M149" s="1372"/>
      <c r="N149" s="1372"/>
      <c r="O149" s="1372"/>
      <c r="P149" s="1372"/>
      <c r="Q149" s="1372"/>
      <c r="R149" s="1372"/>
      <c r="S149" s="1372"/>
      <c r="T149" s="1372"/>
      <c r="U149" s="1372"/>
      <c r="V149" s="1372"/>
      <c r="W149" s="1372"/>
      <c r="X149" s="1372"/>
      <c r="Y149" s="1372"/>
      <c r="Z149" s="1372"/>
    </row>
    <row r="150" spans="1:26" ht="15.75" customHeight="1" x14ac:dyDescent="0.25">
      <c r="A150" s="1371"/>
      <c r="B150" s="1371"/>
      <c r="C150" s="1371"/>
      <c r="D150" s="1371"/>
      <c r="E150" s="1371"/>
      <c r="F150" s="1371"/>
      <c r="G150" s="1371"/>
      <c r="H150" s="1371"/>
      <c r="I150" s="1372"/>
      <c r="J150" s="1372"/>
      <c r="K150" s="1372"/>
      <c r="L150" s="1372"/>
      <c r="M150" s="1372"/>
      <c r="N150" s="1372"/>
      <c r="O150" s="1372"/>
      <c r="P150" s="1372"/>
      <c r="Q150" s="1372"/>
      <c r="R150" s="1372"/>
      <c r="S150" s="1372"/>
      <c r="T150" s="1372"/>
      <c r="U150" s="1372"/>
      <c r="V150" s="1372"/>
      <c r="W150" s="1372"/>
      <c r="X150" s="1372"/>
      <c r="Y150" s="1372"/>
      <c r="Z150" s="1372"/>
    </row>
    <row r="151" spans="1:26" ht="15.75" customHeight="1" x14ac:dyDescent="0.25">
      <c r="A151" s="1371"/>
      <c r="B151" s="1371"/>
      <c r="C151" s="1371"/>
      <c r="D151" s="1371"/>
      <c r="E151" s="1371"/>
      <c r="F151" s="1371"/>
      <c r="G151" s="1371"/>
      <c r="H151" s="1371"/>
      <c r="I151" s="1372"/>
      <c r="J151" s="1372"/>
      <c r="K151" s="1372"/>
      <c r="L151" s="1372"/>
      <c r="M151" s="1372"/>
      <c r="N151" s="1372"/>
      <c r="O151" s="1372"/>
      <c r="P151" s="1372"/>
      <c r="Q151" s="1372"/>
      <c r="R151" s="1372"/>
      <c r="S151" s="1372"/>
      <c r="T151" s="1372"/>
      <c r="U151" s="1372"/>
      <c r="V151" s="1372"/>
      <c r="W151" s="1372"/>
      <c r="X151" s="1372"/>
      <c r="Y151" s="1372"/>
      <c r="Z151" s="1372"/>
    </row>
    <row r="152" spans="1:26" ht="15.75" customHeight="1" x14ac:dyDescent="0.25">
      <c r="A152" s="1371"/>
      <c r="B152" s="1371"/>
      <c r="C152" s="1371"/>
      <c r="D152" s="1371"/>
      <c r="E152" s="1371"/>
      <c r="F152" s="1371"/>
      <c r="G152" s="1371"/>
      <c r="H152" s="1371"/>
      <c r="I152" s="1372"/>
      <c r="J152" s="1372"/>
      <c r="K152" s="1372"/>
      <c r="L152" s="1372"/>
      <c r="M152" s="1372"/>
      <c r="N152" s="1372"/>
      <c r="O152" s="1372"/>
      <c r="P152" s="1372"/>
      <c r="Q152" s="1372"/>
      <c r="R152" s="1372"/>
      <c r="S152" s="1372"/>
      <c r="T152" s="1372"/>
      <c r="U152" s="1372"/>
      <c r="V152" s="1372"/>
      <c r="W152" s="1372"/>
      <c r="X152" s="1372"/>
      <c r="Y152" s="1372"/>
      <c r="Z152" s="1372"/>
    </row>
    <row r="153" spans="1:26" ht="15.75" customHeight="1" x14ac:dyDescent="0.25">
      <c r="A153" s="1371"/>
      <c r="B153" s="1371"/>
      <c r="C153" s="1371"/>
      <c r="D153" s="1371"/>
      <c r="E153" s="1371"/>
      <c r="F153" s="1371"/>
      <c r="G153" s="1371"/>
      <c r="H153" s="1371"/>
      <c r="I153" s="1372"/>
      <c r="J153" s="1372"/>
      <c r="K153" s="1372"/>
      <c r="L153" s="1372"/>
      <c r="M153" s="1372"/>
      <c r="N153" s="1372"/>
      <c r="O153" s="1372"/>
      <c r="P153" s="1372"/>
      <c r="Q153" s="1372"/>
      <c r="R153" s="1372"/>
      <c r="S153" s="1372"/>
      <c r="T153" s="1372"/>
      <c r="U153" s="1372"/>
      <c r="V153" s="1372"/>
      <c r="W153" s="1372"/>
      <c r="X153" s="1372"/>
      <c r="Y153" s="1372"/>
      <c r="Z153" s="1372"/>
    </row>
    <row r="154" spans="1:26" ht="15.75" customHeight="1" x14ac:dyDescent="0.25">
      <c r="A154" s="1371"/>
      <c r="B154" s="1371"/>
      <c r="C154" s="1371"/>
      <c r="D154" s="1371"/>
      <c r="E154" s="1371"/>
      <c r="F154" s="1371"/>
      <c r="G154" s="1371"/>
      <c r="H154" s="1371"/>
      <c r="I154" s="1372"/>
      <c r="J154" s="1372"/>
      <c r="K154" s="1372"/>
      <c r="L154" s="1372"/>
      <c r="M154" s="1372"/>
      <c r="N154" s="1372"/>
      <c r="O154" s="1372"/>
      <c r="P154" s="1372"/>
      <c r="Q154" s="1372"/>
      <c r="R154" s="1372"/>
      <c r="S154" s="1372"/>
      <c r="T154" s="1372"/>
      <c r="U154" s="1372"/>
      <c r="V154" s="1372"/>
      <c r="W154" s="1372"/>
      <c r="X154" s="1372"/>
      <c r="Y154" s="1372"/>
      <c r="Z154" s="1372"/>
    </row>
    <row r="155" spans="1:26" ht="15.75" customHeight="1" x14ac:dyDescent="0.25">
      <c r="A155" s="1371"/>
      <c r="B155" s="1371"/>
      <c r="C155" s="1371"/>
      <c r="D155" s="1371"/>
      <c r="E155" s="1371"/>
      <c r="F155" s="1371"/>
      <c r="G155" s="1371"/>
      <c r="H155" s="1371"/>
      <c r="I155" s="1372"/>
      <c r="J155" s="1372"/>
      <c r="K155" s="1372"/>
      <c r="L155" s="1372"/>
      <c r="M155" s="1372"/>
      <c r="N155" s="1372"/>
      <c r="O155" s="1372"/>
      <c r="P155" s="1372"/>
      <c r="Q155" s="1372"/>
      <c r="R155" s="1372"/>
      <c r="S155" s="1372"/>
      <c r="T155" s="1372"/>
      <c r="U155" s="1372"/>
      <c r="V155" s="1372"/>
      <c r="W155" s="1372"/>
      <c r="X155" s="1372"/>
      <c r="Y155" s="1372"/>
      <c r="Z155" s="1372"/>
    </row>
    <row r="156" spans="1:26" ht="15.75" customHeight="1" x14ac:dyDescent="0.25">
      <c r="A156" s="1371"/>
      <c r="B156" s="1371"/>
      <c r="C156" s="1371"/>
      <c r="D156" s="1371"/>
      <c r="E156" s="1371"/>
      <c r="F156" s="1371"/>
      <c r="G156" s="1371"/>
      <c r="H156" s="1371"/>
      <c r="I156" s="1372"/>
      <c r="J156" s="1372"/>
      <c r="K156" s="1372"/>
      <c r="L156" s="1372"/>
      <c r="M156" s="1372"/>
      <c r="N156" s="1372"/>
      <c r="O156" s="1372"/>
      <c r="P156" s="1372"/>
      <c r="Q156" s="1372"/>
      <c r="R156" s="1372"/>
      <c r="S156" s="1372"/>
      <c r="T156" s="1372"/>
      <c r="U156" s="1372"/>
      <c r="V156" s="1372"/>
      <c r="W156" s="1372"/>
      <c r="X156" s="1372"/>
      <c r="Y156" s="1372"/>
      <c r="Z156" s="1372"/>
    </row>
    <row r="157" spans="1:26" ht="15.75" customHeight="1" x14ac:dyDescent="0.25">
      <c r="A157" s="1371"/>
      <c r="B157" s="1371"/>
      <c r="C157" s="1371"/>
      <c r="D157" s="1371"/>
      <c r="E157" s="1371"/>
      <c r="F157" s="1371"/>
      <c r="G157" s="1371"/>
      <c r="H157" s="1371"/>
      <c r="I157" s="1372"/>
      <c r="J157" s="1372"/>
      <c r="K157" s="1372"/>
      <c r="L157" s="1372"/>
      <c r="M157" s="1372"/>
      <c r="N157" s="1372"/>
      <c r="O157" s="1372"/>
      <c r="P157" s="1372"/>
      <c r="Q157" s="1372"/>
      <c r="R157" s="1372"/>
      <c r="S157" s="1372"/>
      <c r="T157" s="1372"/>
      <c r="U157" s="1372"/>
      <c r="V157" s="1372"/>
      <c r="W157" s="1372"/>
      <c r="X157" s="1372"/>
      <c r="Y157" s="1372"/>
      <c r="Z157" s="1372"/>
    </row>
    <row r="158" spans="1:26" ht="15.75" customHeight="1" x14ac:dyDescent="0.25">
      <c r="A158" s="1371"/>
      <c r="B158" s="1371"/>
      <c r="C158" s="1371"/>
      <c r="D158" s="1371"/>
      <c r="E158" s="1371"/>
      <c r="F158" s="1371"/>
      <c r="G158" s="1371"/>
      <c r="H158" s="1371"/>
      <c r="I158" s="1372"/>
      <c r="J158" s="1372"/>
      <c r="K158" s="1372"/>
      <c r="L158" s="1372"/>
      <c r="M158" s="1372"/>
      <c r="N158" s="1372"/>
      <c r="O158" s="1372"/>
      <c r="P158" s="1372"/>
      <c r="Q158" s="1372"/>
      <c r="R158" s="1372"/>
      <c r="S158" s="1372"/>
      <c r="T158" s="1372"/>
      <c r="U158" s="1372"/>
      <c r="V158" s="1372"/>
      <c r="W158" s="1372"/>
      <c r="X158" s="1372"/>
      <c r="Y158" s="1372"/>
      <c r="Z158" s="1372"/>
    </row>
    <row r="159" spans="1:26" ht="15.75" customHeight="1" x14ac:dyDescent="0.25">
      <c r="A159" s="1371"/>
      <c r="B159" s="1371"/>
      <c r="C159" s="1371"/>
      <c r="D159" s="1371"/>
      <c r="E159" s="1371"/>
      <c r="F159" s="1371"/>
      <c r="G159" s="1371"/>
      <c r="H159" s="1371"/>
      <c r="I159" s="1372"/>
      <c r="J159" s="1372"/>
      <c r="K159" s="1372"/>
      <c r="L159" s="1372"/>
      <c r="M159" s="1372"/>
      <c r="N159" s="1372"/>
      <c r="O159" s="1372"/>
      <c r="P159" s="1372"/>
      <c r="Q159" s="1372"/>
      <c r="R159" s="1372"/>
      <c r="S159" s="1372"/>
      <c r="T159" s="1372"/>
      <c r="U159" s="1372"/>
      <c r="V159" s="1372"/>
      <c r="W159" s="1372"/>
      <c r="X159" s="1372"/>
      <c r="Y159" s="1372"/>
      <c r="Z159" s="1372"/>
    </row>
    <row r="160" spans="1:26" ht="15.75" customHeight="1" x14ac:dyDescent="0.25">
      <c r="A160" s="1371"/>
      <c r="B160" s="1371"/>
      <c r="C160" s="1371"/>
      <c r="D160" s="1371"/>
      <c r="E160" s="1371"/>
      <c r="F160" s="1371"/>
      <c r="G160" s="1371"/>
      <c r="H160" s="1371"/>
      <c r="I160" s="1372"/>
      <c r="J160" s="1372"/>
      <c r="K160" s="1372"/>
      <c r="L160" s="1372"/>
      <c r="M160" s="1372"/>
      <c r="N160" s="1372"/>
      <c r="O160" s="1372"/>
      <c r="P160" s="1372"/>
      <c r="Q160" s="1372"/>
      <c r="R160" s="1372"/>
      <c r="S160" s="1372"/>
      <c r="T160" s="1372"/>
      <c r="U160" s="1372"/>
      <c r="V160" s="1372"/>
      <c r="W160" s="1372"/>
      <c r="X160" s="1372"/>
      <c r="Y160" s="1372"/>
      <c r="Z160" s="1372"/>
    </row>
    <row r="161" spans="1:26" ht="15.75" customHeight="1" x14ac:dyDescent="0.25">
      <c r="A161" s="1371"/>
      <c r="B161" s="1371"/>
      <c r="C161" s="1371"/>
      <c r="D161" s="1371"/>
      <c r="E161" s="1371"/>
      <c r="F161" s="1371"/>
      <c r="G161" s="1371"/>
      <c r="H161" s="1371"/>
      <c r="I161" s="1372"/>
      <c r="J161" s="1372"/>
      <c r="K161" s="1372"/>
      <c r="L161" s="1372"/>
      <c r="M161" s="1372"/>
      <c r="N161" s="1372"/>
      <c r="O161" s="1372"/>
      <c r="P161" s="1372"/>
      <c r="Q161" s="1372"/>
      <c r="R161" s="1372"/>
      <c r="S161" s="1372"/>
      <c r="T161" s="1372"/>
      <c r="U161" s="1372"/>
      <c r="V161" s="1372"/>
      <c r="W161" s="1372"/>
      <c r="X161" s="1372"/>
      <c r="Y161" s="1372"/>
      <c r="Z161" s="1372"/>
    </row>
    <row r="162" spans="1:26" ht="15.75" customHeight="1" x14ac:dyDescent="0.25">
      <c r="A162" s="1371"/>
      <c r="B162" s="1371"/>
      <c r="C162" s="1371"/>
      <c r="D162" s="1371"/>
      <c r="E162" s="1371"/>
      <c r="F162" s="1371"/>
      <c r="G162" s="1371"/>
      <c r="H162" s="1371"/>
      <c r="I162" s="1372"/>
      <c r="J162" s="1372"/>
      <c r="K162" s="1372"/>
      <c r="L162" s="1372"/>
      <c r="M162" s="1372"/>
      <c r="N162" s="1372"/>
      <c r="O162" s="1372"/>
      <c r="P162" s="1372"/>
      <c r="Q162" s="1372"/>
      <c r="R162" s="1372"/>
      <c r="S162" s="1372"/>
      <c r="T162" s="1372"/>
      <c r="U162" s="1372"/>
      <c r="V162" s="1372"/>
      <c r="W162" s="1372"/>
      <c r="X162" s="1372"/>
      <c r="Y162" s="1372"/>
      <c r="Z162" s="1372"/>
    </row>
    <row r="163" spans="1:26" ht="15.75" customHeight="1" x14ac:dyDescent="0.25">
      <c r="A163" s="1371"/>
      <c r="B163" s="1371"/>
      <c r="C163" s="1371"/>
      <c r="D163" s="1371"/>
      <c r="E163" s="1371"/>
      <c r="F163" s="1371"/>
      <c r="G163" s="1371"/>
      <c r="H163" s="1371"/>
      <c r="I163" s="1372"/>
      <c r="J163" s="1372"/>
      <c r="K163" s="1372"/>
      <c r="L163" s="1372"/>
      <c r="M163" s="1372"/>
      <c r="N163" s="1372"/>
      <c r="O163" s="1372"/>
      <c r="P163" s="1372"/>
      <c r="Q163" s="1372"/>
      <c r="R163" s="1372"/>
      <c r="S163" s="1372"/>
      <c r="T163" s="1372"/>
      <c r="U163" s="1372"/>
      <c r="V163" s="1372"/>
      <c r="W163" s="1372"/>
      <c r="X163" s="1372"/>
      <c r="Y163" s="1372"/>
      <c r="Z163" s="1372"/>
    </row>
    <row r="164" spans="1:26" ht="15.75" customHeight="1" x14ac:dyDescent="0.25">
      <c r="A164" s="1371"/>
      <c r="B164" s="1371"/>
      <c r="C164" s="1371"/>
      <c r="D164" s="1371"/>
      <c r="E164" s="1371"/>
      <c r="F164" s="1371"/>
      <c r="G164" s="1371"/>
      <c r="H164" s="1371"/>
      <c r="I164" s="1372"/>
      <c r="J164" s="1372"/>
      <c r="K164" s="1372"/>
      <c r="L164" s="1372"/>
      <c r="M164" s="1372"/>
      <c r="N164" s="1372"/>
      <c r="O164" s="1372"/>
      <c r="P164" s="1372"/>
      <c r="Q164" s="1372"/>
      <c r="R164" s="1372"/>
      <c r="S164" s="1372"/>
      <c r="T164" s="1372"/>
      <c r="U164" s="1372"/>
      <c r="V164" s="1372"/>
      <c r="W164" s="1372"/>
      <c r="X164" s="1372"/>
      <c r="Y164" s="1372"/>
      <c r="Z164" s="1372"/>
    </row>
    <row r="165" spans="1:26" ht="15.75" customHeight="1" x14ac:dyDescent="0.25">
      <c r="A165" s="1371"/>
      <c r="B165" s="1371"/>
      <c r="C165" s="1371"/>
      <c r="D165" s="1371"/>
      <c r="E165" s="1371"/>
      <c r="F165" s="1371"/>
      <c r="G165" s="1371"/>
      <c r="H165" s="1371"/>
      <c r="I165" s="1372"/>
      <c r="J165" s="1372"/>
      <c r="K165" s="1372"/>
      <c r="L165" s="1372"/>
      <c r="M165" s="1372"/>
      <c r="N165" s="1372"/>
      <c r="O165" s="1372"/>
      <c r="P165" s="1372"/>
      <c r="Q165" s="1372"/>
      <c r="R165" s="1372"/>
      <c r="S165" s="1372"/>
      <c r="T165" s="1372"/>
      <c r="U165" s="1372"/>
      <c r="V165" s="1372"/>
      <c r="W165" s="1372"/>
      <c r="X165" s="1372"/>
      <c r="Y165" s="1372"/>
      <c r="Z165" s="1372"/>
    </row>
    <row r="166" spans="1:26" ht="15.75" customHeight="1" x14ac:dyDescent="0.25">
      <c r="A166" s="1371"/>
      <c r="B166" s="1371"/>
      <c r="C166" s="1371"/>
      <c r="D166" s="1371"/>
      <c r="E166" s="1371"/>
      <c r="F166" s="1371"/>
      <c r="G166" s="1371"/>
      <c r="H166" s="1371"/>
      <c r="I166" s="1372"/>
      <c r="J166" s="1372"/>
      <c r="K166" s="1372"/>
      <c r="L166" s="1372"/>
      <c r="M166" s="1372"/>
      <c r="N166" s="1372"/>
      <c r="O166" s="1372"/>
      <c r="P166" s="1372"/>
      <c r="Q166" s="1372"/>
      <c r="R166" s="1372"/>
      <c r="S166" s="1372"/>
      <c r="T166" s="1372"/>
      <c r="U166" s="1372"/>
      <c r="V166" s="1372"/>
      <c r="W166" s="1372"/>
      <c r="X166" s="1372"/>
      <c r="Y166" s="1372"/>
      <c r="Z166" s="1372"/>
    </row>
    <row r="167" spans="1:26" ht="15.75" customHeight="1" x14ac:dyDescent="0.25">
      <c r="A167" s="1371"/>
      <c r="B167" s="1371"/>
      <c r="C167" s="1371"/>
      <c r="D167" s="1371"/>
      <c r="E167" s="1371"/>
      <c r="F167" s="1371"/>
      <c r="G167" s="1371"/>
      <c r="H167" s="1371"/>
      <c r="I167" s="1372"/>
      <c r="J167" s="1372"/>
      <c r="K167" s="1372"/>
      <c r="L167" s="1372"/>
      <c r="M167" s="1372"/>
      <c r="N167" s="1372"/>
      <c r="O167" s="1372"/>
      <c r="P167" s="1372"/>
      <c r="Q167" s="1372"/>
      <c r="R167" s="1372"/>
      <c r="S167" s="1372"/>
      <c r="T167" s="1372"/>
      <c r="U167" s="1372"/>
      <c r="V167" s="1372"/>
      <c r="W167" s="1372"/>
      <c r="X167" s="1372"/>
      <c r="Y167" s="1372"/>
      <c r="Z167" s="1372"/>
    </row>
    <row r="168" spans="1:26" ht="15.75" customHeight="1" x14ac:dyDescent="0.25">
      <c r="A168" s="1371"/>
      <c r="B168" s="1371"/>
      <c r="C168" s="1371"/>
      <c r="D168" s="1371"/>
      <c r="E168" s="1371"/>
      <c r="F168" s="1371"/>
      <c r="G168" s="1371"/>
      <c r="H168" s="1371"/>
      <c r="I168" s="1372"/>
      <c r="J168" s="1372"/>
      <c r="K168" s="1372"/>
      <c r="L168" s="1372"/>
      <c r="M168" s="1372"/>
      <c r="N168" s="1372"/>
      <c r="O168" s="1372"/>
      <c r="P168" s="1372"/>
      <c r="Q168" s="1372"/>
      <c r="R168" s="1372"/>
      <c r="S168" s="1372"/>
      <c r="T168" s="1372"/>
      <c r="U168" s="1372"/>
      <c r="V168" s="1372"/>
      <c r="W168" s="1372"/>
      <c r="X168" s="1372"/>
      <c r="Y168" s="1372"/>
      <c r="Z168" s="1372"/>
    </row>
    <row r="169" spans="1:26" ht="15.75" customHeight="1" x14ac:dyDescent="0.25">
      <c r="A169" s="1371"/>
      <c r="B169" s="1371"/>
      <c r="C169" s="1371"/>
      <c r="D169" s="1371"/>
      <c r="E169" s="1371"/>
      <c r="F169" s="1371"/>
      <c r="G169" s="1371"/>
      <c r="H169" s="1371"/>
      <c r="I169" s="1372"/>
      <c r="J169" s="1372"/>
      <c r="K169" s="1372"/>
      <c r="L169" s="1372"/>
      <c r="M169" s="1372"/>
      <c r="N169" s="1372"/>
      <c r="O169" s="1372"/>
      <c r="P169" s="1372"/>
      <c r="Q169" s="1372"/>
      <c r="R169" s="1372"/>
      <c r="S169" s="1372"/>
      <c r="T169" s="1372"/>
      <c r="U169" s="1372"/>
      <c r="V169" s="1372"/>
      <c r="W169" s="1372"/>
      <c r="X169" s="1372"/>
      <c r="Y169" s="1372"/>
      <c r="Z169" s="1372"/>
    </row>
    <row r="170" spans="1:26" ht="15.75" customHeight="1" x14ac:dyDescent="0.25">
      <c r="A170" s="1371"/>
      <c r="B170" s="1371"/>
      <c r="C170" s="1371"/>
      <c r="D170" s="1371"/>
      <c r="E170" s="1371"/>
      <c r="F170" s="1371"/>
      <c r="G170" s="1371"/>
      <c r="H170" s="1371"/>
      <c r="I170" s="1372"/>
      <c r="J170" s="1372"/>
      <c r="K170" s="1372"/>
      <c r="L170" s="1372"/>
      <c r="M170" s="1372"/>
      <c r="N170" s="1372"/>
      <c r="O170" s="1372"/>
      <c r="P170" s="1372"/>
      <c r="Q170" s="1372"/>
      <c r="R170" s="1372"/>
      <c r="S170" s="1372"/>
      <c r="T170" s="1372"/>
      <c r="U170" s="1372"/>
      <c r="V170" s="1372"/>
      <c r="W170" s="1372"/>
      <c r="X170" s="1372"/>
      <c r="Y170" s="1372"/>
      <c r="Z170" s="1372"/>
    </row>
    <row r="171" spans="1:26" ht="15.75" customHeight="1" x14ac:dyDescent="0.25">
      <c r="A171" s="1371"/>
      <c r="B171" s="1371"/>
      <c r="C171" s="1371"/>
      <c r="D171" s="1371"/>
      <c r="E171" s="1371"/>
      <c r="F171" s="1371"/>
      <c r="G171" s="1371"/>
      <c r="H171" s="1371"/>
      <c r="I171" s="1372"/>
      <c r="J171" s="1372"/>
      <c r="K171" s="1372"/>
      <c r="L171" s="1372"/>
      <c r="M171" s="1372"/>
      <c r="N171" s="1372"/>
      <c r="O171" s="1372"/>
      <c r="P171" s="1372"/>
      <c r="Q171" s="1372"/>
      <c r="R171" s="1372"/>
      <c r="S171" s="1372"/>
      <c r="T171" s="1372"/>
      <c r="U171" s="1372"/>
      <c r="V171" s="1372"/>
      <c r="W171" s="1372"/>
      <c r="X171" s="1372"/>
      <c r="Y171" s="1372"/>
      <c r="Z171" s="1372"/>
    </row>
    <row r="172" spans="1:26" ht="15.75" customHeight="1" x14ac:dyDescent="0.25">
      <c r="A172" s="1371"/>
      <c r="B172" s="1371"/>
      <c r="C172" s="1371"/>
      <c r="D172" s="1371"/>
      <c r="E172" s="1371"/>
      <c r="F172" s="1371"/>
      <c r="G172" s="1371"/>
      <c r="H172" s="1371"/>
      <c r="I172" s="1372"/>
      <c r="J172" s="1372"/>
      <c r="K172" s="1372"/>
      <c r="L172" s="1372"/>
      <c r="M172" s="1372"/>
      <c r="N172" s="1372"/>
      <c r="O172" s="1372"/>
      <c r="P172" s="1372"/>
      <c r="Q172" s="1372"/>
      <c r="R172" s="1372"/>
      <c r="S172" s="1372"/>
      <c r="T172" s="1372"/>
      <c r="U172" s="1372"/>
      <c r="V172" s="1372"/>
      <c r="W172" s="1372"/>
      <c r="X172" s="1372"/>
      <c r="Y172" s="1372"/>
      <c r="Z172" s="1372"/>
    </row>
    <row r="173" spans="1:26" ht="15.75" customHeight="1" x14ac:dyDescent="0.25">
      <c r="A173" s="1371"/>
      <c r="B173" s="1371"/>
      <c r="C173" s="1371"/>
      <c r="D173" s="1371"/>
      <c r="E173" s="1371"/>
      <c r="F173" s="1371"/>
      <c r="G173" s="1371"/>
      <c r="H173" s="1371"/>
      <c r="I173" s="1372"/>
      <c r="J173" s="1372"/>
      <c r="K173" s="1372"/>
      <c r="L173" s="1372"/>
      <c r="M173" s="1372"/>
      <c r="N173" s="1372"/>
      <c r="O173" s="1372"/>
      <c r="P173" s="1372"/>
      <c r="Q173" s="1372"/>
      <c r="R173" s="1372"/>
      <c r="S173" s="1372"/>
      <c r="T173" s="1372"/>
      <c r="U173" s="1372"/>
      <c r="V173" s="1372"/>
      <c r="W173" s="1372"/>
      <c r="X173" s="1372"/>
      <c r="Y173" s="1372"/>
      <c r="Z173" s="1372"/>
    </row>
    <row r="174" spans="1:26" ht="15.75" customHeight="1" x14ac:dyDescent="0.25">
      <c r="A174" s="1371"/>
      <c r="B174" s="1371"/>
      <c r="C174" s="1371"/>
      <c r="D174" s="1371"/>
      <c r="E174" s="1371"/>
      <c r="F174" s="1371"/>
      <c r="G174" s="1371"/>
      <c r="H174" s="1371"/>
      <c r="I174" s="1372"/>
      <c r="J174" s="1372"/>
      <c r="K174" s="1372"/>
      <c r="L174" s="1372"/>
      <c r="M174" s="1372"/>
      <c r="N174" s="1372"/>
      <c r="O174" s="1372"/>
      <c r="P174" s="1372"/>
      <c r="Q174" s="1372"/>
      <c r="R174" s="1372"/>
      <c r="S174" s="1372"/>
      <c r="T174" s="1372"/>
      <c r="U174" s="1372"/>
      <c r="V174" s="1372"/>
      <c r="W174" s="1372"/>
      <c r="X174" s="1372"/>
      <c r="Y174" s="1372"/>
      <c r="Z174" s="1372"/>
    </row>
    <row r="175" spans="1:26" ht="15.75" customHeight="1" x14ac:dyDescent="0.25">
      <c r="A175" s="1371"/>
      <c r="B175" s="1371"/>
      <c r="C175" s="1371"/>
      <c r="D175" s="1371"/>
      <c r="E175" s="1371"/>
      <c r="F175" s="1371"/>
      <c r="G175" s="1371"/>
      <c r="H175" s="1371"/>
      <c r="I175" s="1372"/>
      <c r="J175" s="1372"/>
      <c r="K175" s="1372"/>
      <c r="L175" s="1372"/>
      <c r="M175" s="1372"/>
      <c r="N175" s="1372"/>
      <c r="O175" s="1372"/>
      <c r="P175" s="1372"/>
      <c r="Q175" s="1372"/>
      <c r="R175" s="1372"/>
      <c r="S175" s="1372"/>
      <c r="T175" s="1372"/>
      <c r="U175" s="1372"/>
      <c r="V175" s="1372"/>
      <c r="W175" s="1372"/>
      <c r="X175" s="1372"/>
      <c r="Y175" s="1372"/>
      <c r="Z175" s="1372"/>
    </row>
    <row r="176" spans="1:26" ht="15.75" customHeight="1" x14ac:dyDescent="0.25">
      <c r="A176" s="1371"/>
      <c r="B176" s="1371"/>
      <c r="C176" s="1371"/>
      <c r="D176" s="1371"/>
      <c r="E176" s="1371"/>
      <c r="F176" s="1371"/>
      <c r="G176" s="1371"/>
      <c r="H176" s="1371"/>
      <c r="I176" s="1372"/>
      <c r="J176" s="1372"/>
      <c r="K176" s="1372"/>
      <c r="L176" s="1372"/>
      <c r="M176" s="1372"/>
      <c r="N176" s="1372"/>
      <c r="O176" s="1372"/>
      <c r="P176" s="1372"/>
      <c r="Q176" s="1372"/>
      <c r="R176" s="1372"/>
      <c r="S176" s="1372"/>
      <c r="T176" s="1372"/>
      <c r="U176" s="1372"/>
      <c r="V176" s="1372"/>
      <c r="W176" s="1372"/>
      <c r="X176" s="1372"/>
      <c r="Y176" s="1372"/>
      <c r="Z176" s="1372"/>
    </row>
    <row r="177" spans="1:26" ht="15.75" customHeight="1" x14ac:dyDescent="0.25">
      <c r="A177" s="1371"/>
      <c r="B177" s="1371"/>
      <c r="C177" s="1371"/>
      <c r="D177" s="1371"/>
      <c r="E177" s="1371"/>
      <c r="F177" s="1371"/>
      <c r="G177" s="1371"/>
      <c r="H177" s="1371"/>
      <c r="I177" s="1372"/>
      <c r="J177" s="1372"/>
      <c r="K177" s="1372"/>
      <c r="L177" s="1372"/>
      <c r="M177" s="1372"/>
      <c r="N177" s="1372"/>
      <c r="O177" s="1372"/>
      <c r="P177" s="1372"/>
      <c r="Q177" s="1372"/>
      <c r="R177" s="1372"/>
      <c r="S177" s="1372"/>
      <c r="T177" s="1372"/>
      <c r="U177" s="1372"/>
      <c r="V177" s="1372"/>
      <c r="W177" s="1372"/>
      <c r="X177" s="1372"/>
      <c r="Y177" s="1372"/>
      <c r="Z177" s="1372"/>
    </row>
    <row r="178" spans="1:26" ht="15.75" customHeight="1" x14ac:dyDescent="0.25">
      <c r="A178" s="1371"/>
      <c r="B178" s="1371"/>
      <c r="C178" s="1371"/>
      <c r="D178" s="1371"/>
      <c r="E178" s="1371"/>
      <c r="F178" s="1371"/>
      <c r="G178" s="1371"/>
      <c r="H178" s="1371"/>
      <c r="I178" s="1372"/>
      <c r="J178" s="1372"/>
      <c r="K178" s="1372"/>
      <c r="L178" s="1372"/>
      <c r="M178" s="1372"/>
      <c r="N178" s="1372"/>
      <c r="O178" s="1372"/>
      <c r="P178" s="1372"/>
      <c r="Q178" s="1372"/>
      <c r="R178" s="1372"/>
      <c r="S178" s="1372"/>
      <c r="T178" s="1372"/>
      <c r="U178" s="1372"/>
      <c r="V178" s="1372"/>
      <c r="W178" s="1372"/>
      <c r="X178" s="1372"/>
      <c r="Y178" s="1372"/>
      <c r="Z178" s="1372"/>
    </row>
    <row r="179" spans="1:26" ht="15.75" customHeight="1" x14ac:dyDescent="0.25">
      <c r="A179" s="1371"/>
      <c r="B179" s="1371"/>
      <c r="C179" s="1371"/>
      <c r="D179" s="1371"/>
      <c r="E179" s="1371"/>
      <c r="F179" s="1371"/>
      <c r="G179" s="1371"/>
      <c r="H179" s="1371"/>
      <c r="I179" s="1372"/>
      <c r="J179" s="1372"/>
      <c r="K179" s="1372"/>
      <c r="L179" s="1372"/>
      <c r="M179" s="1372"/>
      <c r="N179" s="1372"/>
      <c r="O179" s="1372"/>
      <c r="P179" s="1372"/>
      <c r="Q179" s="1372"/>
      <c r="R179" s="1372"/>
      <c r="S179" s="1372"/>
      <c r="T179" s="1372"/>
      <c r="U179" s="1372"/>
      <c r="V179" s="1372"/>
      <c r="W179" s="1372"/>
      <c r="X179" s="1372"/>
      <c r="Y179" s="1372"/>
      <c r="Z179" s="1372"/>
    </row>
    <row r="180" spans="1:26" ht="15.75" customHeight="1" x14ac:dyDescent="0.25">
      <c r="A180" s="1371"/>
      <c r="B180" s="1371"/>
      <c r="C180" s="1371"/>
      <c r="D180" s="1371"/>
      <c r="E180" s="1371"/>
      <c r="F180" s="1371"/>
      <c r="G180" s="1371"/>
      <c r="H180" s="1371"/>
      <c r="I180" s="1372"/>
      <c r="J180" s="1372"/>
      <c r="K180" s="1372"/>
      <c r="L180" s="1372"/>
      <c r="M180" s="1372"/>
      <c r="N180" s="1372"/>
      <c r="O180" s="1372"/>
      <c r="P180" s="1372"/>
      <c r="Q180" s="1372"/>
      <c r="R180" s="1372"/>
      <c r="S180" s="1372"/>
      <c r="T180" s="1372"/>
      <c r="U180" s="1372"/>
      <c r="V180" s="1372"/>
      <c r="W180" s="1372"/>
      <c r="X180" s="1372"/>
      <c r="Y180" s="1372"/>
      <c r="Z180" s="1372"/>
    </row>
    <row r="181" spans="1:26" ht="15.75" customHeight="1" x14ac:dyDescent="0.25">
      <c r="A181" s="1371"/>
      <c r="B181" s="1371"/>
      <c r="C181" s="1371"/>
      <c r="D181" s="1371"/>
      <c r="E181" s="1371"/>
      <c r="F181" s="1371"/>
      <c r="G181" s="1371"/>
      <c r="H181" s="1371"/>
      <c r="I181" s="1372"/>
      <c r="J181" s="1372"/>
      <c r="K181" s="1372"/>
      <c r="L181" s="1372"/>
      <c r="M181" s="1372"/>
      <c r="N181" s="1372"/>
      <c r="O181" s="1372"/>
      <c r="P181" s="1372"/>
      <c r="Q181" s="1372"/>
      <c r="R181" s="1372"/>
      <c r="S181" s="1372"/>
      <c r="T181" s="1372"/>
      <c r="U181" s="1372"/>
      <c r="V181" s="1372"/>
      <c r="W181" s="1372"/>
      <c r="X181" s="1372"/>
      <c r="Y181" s="1372"/>
      <c r="Z181" s="1372"/>
    </row>
    <row r="182" spans="1:26" ht="15.75" customHeight="1" x14ac:dyDescent="0.25">
      <c r="A182" s="1371"/>
      <c r="B182" s="1371"/>
      <c r="C182" s="1371"/>
      <c r="D182" s="1371"/>
      <c r="E182" s="1371"/>
      <c r="F182" s="1371"/>
      <c r="G182" s="1371"/>
      <c r="H182" s="1371"/>
      <c r="I182" s="1372"/>
      <c r="J182" s="1372"/>
      <c r="K182" s="1372"/>
      <c r="L182" s="1372"/>
      <c r="M182" s="1372"/>
      <c r="N182" s="1372"/>
      <c r="O182" s="1372"/>
      <c r="P182" s="1372"/>
      <c r="Q182" s="1372"/>
      <c r="R182" s="1372"/>
      <c r="S182" s="1372"/>
      <c r="T182" s="1372"/>
      <c r="U182" s="1372"/>
      <c r="V182" s="1372"/>
      <c r="W182" s="1372"/>
      <c r="X182" s="1372"/>
      <c r="Y182" s="1372"/>
      <c r="Z182" s="1372"/>
    </row>
    <row r="183" spans="1:26" ht="15.75" customHeight="1" x14ac:dyDescent="0.25">
      <c r="A183" s="1371"/>
      <c r="B183" s="1371"/>
      <c r="C183" s="1371"/>
      <c r="D183" s="1371"/>
      <c r="E183" s="1371"/>
      <c r="F183" s="1371"/>
      <c r="G183" s="1371"/>
      <c r="H183" s="1371"/>
      <c r="I183" s="1372"/>
      <c r="J183" s="1372"/>
      <c r="K183" s="1372"/>
      <c r="L183" s="1372"/>
      <c r="M183" s="1372"/>
      <c r="N183" s="1372"/>
      <c r="O183" s="1372"/>
      <c r="P183" s="1372"/>
      <c r="Q183" s="1372"/>
      <c r="R183" s="1372"/>
      <c r="S183" s="1372"/>
      <c r="T183" s="1372"/>
      <c r="U183" s="1372"/>
      <c r="V183" s="1372"/>
      <c r="W183" s="1372"/>
      <c r="X183" s="1372"/>
      <c r="Y183" s="1372"/>
      <c r="Z183" s="1372"/>
    </row>
    <row r="184" spans="1:26" ht="15.75" customHeight="1" x14ac:dyDescent="0.25">
      <c r="A184" s="1371"/>
      <c r="B184" s="1371"/>
      <c r="C184" s="1371"/>
      <c r="D184" s="1371"/>
      <c r="E184" s="1371"/>
      <c r="F184" s="1371"/>
      <c r="G184" s="1371"/>
      <c r="H184" s="1371"/>
      <c r="I184" s="1372"/>
      <c r="J184" s="1372"/>
      <c r="K184" s="1372"/>
      <c r="L184" s="1372"/>
      <c r="M184" s="1372"/>
      <c r="N184" s="1372"/>
      <c r="O184" s="1372"/>
      <c r="P184" s="1372"/>
      <c r="Q184" s="1372"/>
      <c r="R184" s="1372"/>
      <c r="S184" s="1372"/>
      <c r="T184" s="1372"/>
      <c r="U184" s="1372"/>
      <c r="V184" s="1372"/>
      <c r="W184" s="1372"/>
      <c r="X184" s="1372"/>
      <c r="Y184" s="1372"/>
      <c r="Z184" s="1372"/>
    </row>
    <row r="185" spans="1:26" ht="15.75" customHeight="1" x14ac:dyDescent="0.25">
      <c r="A185" s="1371"/>
      <c r="B185" s="1371"/>
      <c r="C185" s="1371"/>
      <c r="D185" s="1371"/>
      <c r="E185" s="1371"/>
      <c r="F185" s="1371"/>
      <c r="G185" s="1371"/>
      <c r="H185" s="1371"/>
      <c r="I185" s="1372"/>
      <c r="J185" s="1372"/>
      <c r="K185" s="1372"/>
      <c r="L185" s="1372"/>
      <c r="M185" s="1372"/>
      <c r="N185" s="1372"/>
      <c r="O185" s="1372"/>
      <c r="P185" s="1372"/>
      <c r="Q185" s="1372"/>
      <c r="R185" s="1372"/>
      <c r="S185" s="1372"/>
      <c r="T185" s="1372"/>
      <c r="U185" s="1372"/>
      <c r="V185" s="1372"/>
      <c r="W185" s="1372"/>
      <c r="X185" s="1372"/>
      <c r="Y185" s="1372"/>
      <c r="Z185" s="1372"/>
    </row>
    <row r="186" spans="1:26" ht="15.75" customHeight="1" x14ac:dyDescent="0.25">
      <c r="A186" s="1371"/>
      <c r="B186" s="1371"/>
      <c r="C186" s="1371"/>
      <c r="D186" s="1371"/>
      <c r="E186" s="1371"/>
      <c r="F186" s="1371"/>
      <c r="G186" s="1371"/>
      <c r="H186" s="1371"/>
      <c r="I186" s="1372"/>
      <c r="J186" s="1372"/>
      <c r="K186" s="1372"/>
      <c r="L186" s="1372"/>
      <c r="M186" s="1372"/>
      <c r="N186" s="1372"/>
      <c r="O186" s="1372"/>
      <c r="P186" s="1372"/>
      <c r="Q186" s="1372"/>
      <c r="R186" s="1372"/>
      <c r="S186" s="1372"/>
      <c r="T186" s="1372"/>
      <c r="U186" s="1372"/>
      <c r="V186" s="1372"/>
      <c r="W186" s="1372"/>
      <c r="X186" s="1372"/>
      <c r="Y186" s="1372"/>
      <c r="Z186" s="1372"/>
    </row>
    <row r="187" spans="1:26" ht="15.75" customHeight="1" x14ac:dyDescent="0.25">
      <c r="A187" s="1371"/>
      <c r="B187" s="1371"/>
      <c r="C187" s="1371"/>
      <c r="D187" s="1371"/>
      <c r="E187" s="1371"/>
      <c r="F187" s="1371"/>
      <c r="G187" s="1371"/>
      <c r="H187" s="1371"/>
      <c r="I187" s="1372"/>
      <c r="J187" s="1372"/>
      <c r="K187" s="1372"/>
      <c r="L187" s="1372"/>
      <c r="M187" s="1372"/>
      <c r="N187" s="1372"/>
      <c r="O187" s="1372"/>
      <c r="P187" s="1372"/>
      <c r="Q187" s="1372"/>
      <c r="R187" s="1372"/>
      <c r="S187" s="1372"/>
      <c r="T187" s="1372"/>
      <c r="U187" s="1372"/>
      <c r="V187" s="1372"/>
      <c r="W187" s="1372"/>
      <c r="X187" s="1372"/>
      <c r="Y187" s="1372"/>
      <c r="Z187" s="1372"/>
    </row>
    <row r="188" spans="1:26" ht="15.75" customHeight="1" x14ac:dyDescent="0.25">
      <c r="A188" s="1371"/>
      <c r="B188" s="1371"/>
      <c r="C188" s="1371"/>
      <c r="D188" s="1371"/>
      <c r="E188" s="1371"/>
      <c r="F188" s="1371"/>
      <c r="G188" s="1371"/>
      <c r="H188" s="1371"/>
      <c r="I188" s="1372"/>
      <c r="J188" s="1372"/>
      <c r="K188" s="1372"/>
      <c r="L188" s="1372"/>
      <c r="M188" s="1372"/>
      <c r="N188" s="1372"/>
      <c r="O188" s="1372"/>
      <c r="P188" s="1372"/>
      <c r="Q188" s="1372"/>
      <c r="R188" s="1372"/>
      <c r="S188" s="1372"/>
      <c r="T188" s="1372"/>
      <c r="U188" s="1372"/>
      <c r="V188" s="1372"/>
      <c r="W188" s="1372"/>
      <c r="X188" s="1372"/>
      <c r="Y188" s="1372"/>
      <c r="Z188" s="1372"/>
    </row>
    <row r="189" spans="1:26" ht="15.75" customHeight="1" x14ac:dyDescent="0.25">
      <c r="A189" s="1371"/>
      <c r="B189" s="1371"/>
      <c r="C189" s="1371"/>
      <c r="D189" s="1371"/>
      <c r="E189" s="1371"/>
      <c r="F189" s="1371"/>
      <c r="G189" s="1371"/>
      <c r="H189" s="1371"/>
      <c r="I189" s="1372"/>
      <c r="J189" s="1372"/>
      <c r="K189" s="1372"/>
      <c r="L189" s="1372"/>
      <c r="M189" s="1372"/>
      <c r="N189" s="1372"/>
      <c r="O189" s="1372"/>
      <c r="P189" s="1372"/>
      <c r="Q189" s="1372"/>
      <c r="R189" s="1372"/>
      <c r="S189" s="1372"/>
      <c r="T189" s="1372"/>
      <c r="U189" s="1372"/>
      <c r="V189" s="1372"/>
      <c r="W189" s="1372"/>
      <c r="X189" s="1372"/>
      <c r="Y189" s="1372"/>
      <c r="Z189" s="1372"/>
    </row>
    <row r="190" spans="1:26" ht="15.75" customHeight="1" x14ac:dyDescent="0.25">
      <c r="A190" s="1371"/>
      <c r="B190" s="1371"/>
      <c r="C190" s="1371"/>
      <c r="D190" s="1371"/>
      <c r="E190" s="1371"/>
      <c r="F190" s="1371"/>
      <c r="G190" s="1371"/>
      <c r="H190" s="1371"/>
      <c r="I190" s="1372"/>
      <c r="J190" s="1372"/>
      <c r="K190" s="1372"/>
      <c r="L190" s="1372"/>
      <c r="M190" s="1372"/>
      <c r="N190" s="1372"/>
      <c r="O190" s="1372"/>
      <c r="P190" s="1372"/>
      <c r="Q190" s="1372"/>
      <c r="R190" s="1372"/>
      <c r="S190" s="1372"/>
      <c r="T190" s="1372"/>
      <c r="U190" s="1372"/>
      <c r="V190" s="1372"/>
      <c r="W190" s="1372"/>
      <c r="X190" s="1372"/>
      <c r="Y190" s="1372"/>
      <c r="Z190" s="1372"/>
    </row>
    <row r="191" spans="1:26" ht="15.75" customHeight="1" x14ac:dyDescent="0.25">
      <c r="A191" s="1371"/>
      <c r="B191" s="1371"/>
      <c r="C191" s="1371"/>
      <c r="D191" s="1371"/>
      <c r="E191" s="1371"/>
      <c r="F191" s="1371"/>
      <c r="G191" s="1371"/>
      <c r="H191" s="1371"/>
      <c r="I191" s="1372"/>
      <c r="J191" s="1372"/>
      <c r="K191" s="1372"/>
      <c r="L191" s="1372"/>
      <c r="M191" s="1372"/>
      <c r="N191" s="1372"/>
      <c r="O191" s="1372"/>
      <c r="P191" s="1372"/>
      <c r="Q191" s="1372"/>
      <c r="R191" s="1372"/>
      <c r="S191" s="1372"/>
      <c r="T191" s="1372"/>
      <c r="U191" s="1372"/>
      <c r="V191" s="1372"/>
      <c r="W191" s="1372"/>
      <c r="X191" s="1372"/>
      <c r="Y191" s="1372"/>
      <c r="Z191" s="1372"/>
    </row>
    <row r="192" spans="1:26" ht="15.75" customHeight="1" x14ac:dyDescent="0.25">
      <c r="A192" s="1371"/>
      <c r="B192" s="1371"/>
      <c r="C192" s="1371"/>
      <c r="D192" s="1371"/>
      <c r="E192" s="1371"/>
      <c r="F192" s="1371"/>
      <c r="G192" s="1371"/>
      <c r="H192" s="1371"/>
      <c r="I192" s="1372"/>
      <c r="J192" s="1372"/>
      <c r="K192" s="1372"/>
      <c r="L192" s="1372"/>
      <c r="M192" s="1372"/>
      <c r="N192" s="1372"/>
      <c r="O192" s="1372"/>
      <c r="P192" s="1372"/>
      <c r="Q192" s="1372"/>
      <c r="R192" s="1372"/>
      <c r="S192" s="1372"/>
      <c r="T192" s="1372"/>
      <c r="U192" s="1372"/>
      <c r="V192" s="1372"/>
      <c r="W192" s="1372"/>
      <c r="X192" s="1372"/>
      <c r="Y192" s="1372"/>
      <c r="Z192" s="1372"/>
    </row>
    <row r="193" spans="1:26" ht="15.75" customHeight="1" x14ac:dyDescent="0.25">
      <c r="A193" s="1371"/>
      <c r="B193" s="1371"/>
      <c r="C193" s="1371"/>
      <c r="D193" s="1371"/>
      <c r="E193" s="1371"/>
      <c r="F193" s="1371"/>
      <c r="G193" s="1371"/>
      <c r="H193" s="1371"/>
      <c r="I193" s="1372"/>
      <c r="J193" s="1372"/>
      <c r="K193" s="1372"/>
      <c r="L193" s="1372"/>
      <c r="M193" s="1372"/>
      <c r="N193" s="1372"/>
      <c r="O193" s="1372"/>
      <c r="P193" s="1372"/>
      <c r="Q193" s="1372"/>
      <c r="R193" s="1372"/>
      <c r="S193" s="1372"/>
      <c r="T193" s="1372"/>
      <c r="U193" s="1372"/>
      <c r="V193" s="1372"/>
      <c r="W193" s="1372"/>
      <c r="X193" s="1372"/>
      <c r="Y193" s="1372"/>
      <c r="Z193" s="1372"/>
    </row>
    <row r="194" spans="1:26" ht="15.75" customHeight="1" x14ac:dyDescent="0.25">
      <c r="A194" s="1371"/>
      <c r="B194" s="1371"/>
      <c r="C194" s="1371"/>
      <c r="D194" s="1371"/>
      <c r="E194" s="1371"/>
      <c r="F194" s="1371"/>
      <c r="G194" s="1371"/>
      <c r="H194" s="1371"/>
      <c r="I194" s="1372"/>
      <c r="J194" s="1372"/>
      <c r="K194" s="1372"/>
      <c r="L194" s="1372"/>
      <c r="M194" s="1372"/>
      <c r="N194" s="1372"/>
      <c r="O194" s="1372"/>
      <c r="P194" s="1372"/>
      <c r="Q194" s="1372"/>
      <c r="R194" s="1372"/>
      <c r="S194" s="1372"/>
      <c r="T194" s="1372"/>
      <c r="U194" s="1372"/>
      <c r="V194" s="1372"/>
      <c r="W194" s="1372"/>
      <c r="X194" s="1372"/>
      <c r="Y194" s="1372"/>
      <c r="Z194" s="1372"/>
    </row>
    <row r="195" spans="1:26" ht="15.75" customHeight="1" x14ac:dyDescent="0.25">
      <c r="A195" s="1371"/>
      <c r="B195" s="1371"/>
      <c r="C195" s="1371"/>
      <c r="D195" s="1371"/>
      <c r="E195" s="1371"/>
      <c r="F195" s="1371"/>
      <c r="G195" s="1371"/>
      <c r="H195" s="1371"/>
      <c r="I195" s="1372"/>
      <c r="J195" s="1372"/>
      <c r="K195" s="1372"/>
      <c r="L195" s="1372"/>
      <c r="M195" s="1372"/>
      <c r="N195" s="1372"/>
      <c r="O195" s="1372"/>
      <c r="P195" s="1372"/>
      <c r="Q195" s="1372"/>
      <c r="R195" s="1372"/>
      <c r="S195" s="1372"/>
      <c r="T195" s="1372"/>
      <c r="U195" s="1372"/>
      <c r="V195" s="1372"/>
      <c r="W195" s="1372"/>
      <c r="X195" s="1372"/>
      <c r="Y195" s="1372"/>
      <c r="Z195" s="1372"/>
    </row>
    <row r="196" spans="1:26" ht="15.75" customHeight="1" x14ac:dyDescent="0.25">
      <c r="A196" s="1371"/>
      <c r="B196" s="1371"/>
      <c r="C196" s="1371"/>
      <c r="D196" s="1371"/>
      <c r="E196" s="1371"/>
      <c r="F196" s="1371"/>
      <c r="G196" s="1371"/>
      <c r="H196" s="1371"/>
      <c r="I196" s="1372"/>
      <c r="J196" s="1372"/>
      <c r="K196" s="1372"/>
      <c r="L196" s="1372"/>
      <c r="M196" s="1372"/>
      <c r="N196" s="1372"/>
      <c r="O196" s="1372"/>
      <c r="P196" s="1372"/>
      <c r="Q196" s="1372"/>
      <c r="R196" s="1372"/>
      <c r="S196" s="1372"/>
      <c r="T196" s="1372"/>
      <c r="U196" s="1372"/>
      <c r="V196" s="1372"/>
      <c r="W196" s="1372"/>
      <c r="X196" s="1372"/>
      <c r="Y196" s="1372"/>
      <c r="Z196" s="1372"/>
    </row>
    <row r="197" spans="1:26" ht="15.75" customHeight="1" x14ac:dyDescent="0.25">
      <c r="A197" s="1371"/>
      <c r="B197" s="1371"/>
      <c r="C197" s="1371"/>
      <c r="D197" s="1371"/>
      <c r="E197" s="1371"/>
      <c r="F197" s="1371"/>
      <c r="G197" s="1371"/>
      <c r="H197" s="1371"/>
      <c r="I197" s="1372"/>
      <c r="J197" s="1372"/>
      <c r="K197" s="1372"/>
      <c r="L197" s="1372"/>
      <c r="M197" s="1372"/>
      <c r="N197" s="1372"/>
      <c r="O197" s="1372"/>
      <c r="P197" s="1372"/>
      <c r="Q197" s="1372"/>
      <c r="R197" s="1372"/>
      <c r="S197" s="1372"/>
      <c r="T197" s="1372"/>
      <c r="U197" s="1372"/>
      <c r="V197" s="1372"/>
      <c r="W197" s="1372"/>
      <c r="X197" s="1372"/>
      <c r="Y197" s="1372"/>
      <c r="Z197" s="1372"/>
    </row>
    <row r="198" spans="1:26" ht="15.75" customHeight="1" x14ac:dyDescent="0.25">
      <c r="A198" s="1371"/>
      <c r="B198" s="1371"/>
      <c r="C198" s="1371"/>
      <c r="D198" s="1371"/>
      <c r="E198" s="1371"/>
      <c r="F198" s="1371"/>
      <c r="G198" s="1371"/>
      <c r="H198" s="1371"/>
      <c r="I198" s="1372"/>
      <c r="J198" s="1372"/>
      <c r="K198" s="1372"/>
      <c r="L198" s="1372"/>
      <c r="M198" s="1372"/>
      <c r="N198" s="1372"/>
      <c r="O198" s="1372"/>
      <c r="P198" s="1372"/>
      <c r="Q198" s="1372"/>
      <c r="R198" s="1372"/>
      <c r="S198" s="1372"/>
      <c r="T198" s="1372"/>
      <c r="U198" s="1372"/>
      <c r="V198" s="1372"/>
      <c r="W198" s="1372"/>
      <c r="X198" s="1372"/>
      <c r="Y198" s="1372"/>
      <c r="Z198" s="1372"/>
    </row>
    <row r="199" spans="1:26" ht="15.75" customHeight="1" x14ac:dyDescent="0.25">
      <c r="A199" s="1371"/>
      <c r="B199" s="1371"/>
      <c r="C199" s="1371"/>
      <c r="D199" s="1371"/>
      <c r="E199" s="1371"/>
      <c r="F199" s="1371"/>
      <c r="G199" s="1371"/>
      <c r="H199" s="1371"/>
      <c r="I199" s="1372"/>
      <c r="J199" s="1372"/>
      <c r="K199" s="1372"/>
      <c r="L199" s="1372"/>
      <c r="M199" s="1372"/>
      <c r="N199" s="1372"/>
      <c r="O199" s="1372"/>
      <c r="P199" s="1372"/>
      <c r="Q199" s="1372"/>
      <c r="R199" s="1372"/>
      <c r="S199" s="1372"/>
      <c r="T199" s="1372"/>
      <c r="U199" s="1372"/>
      <c r="V199" s="1372"/>
      <c r="W199" s="1372"/>
      <c r="X199" s="1372"/>
      <c r="Y199" s="1372"/>
      <c r="Z199" s="1372"/>
    </row>
    <row r="200" spans="1:26" ht="15.75" customHeight="1" x14ac:dyDescent="0.25">
      <c r="A200" s="1371"/>
      <c r="B200" s="1371"/>
      <c r="C200" s="1371"/>
      <c r="D200" s="1371"/>
      <c r="E200" s="1371"/>
      <c r="F200" s="1371"/>
      <c r="G200" s="1371"/>
      <c r="H200" s="1371"/>
      <c r="I200" s="1372"/>
      <c r="J200" s="1372"/>
      <c r="K200" s="1372"/>
      <c r="L200" s="1372"/>
      <c r="M200" s="1372"/>
      <c r="N200" s="1372"/>
      <c r="O200" s="1372"/>
      <c r="P200" s="1372"/>
      <c r="Q200" s="1372"/>
      <c r="R200" s="1372"/>
      <c r="S200" s="1372"/>
      <c r="T200" s="1372"/>
      <c r="U200" s="1372"/>
      <c r="V200" s="1372"/>
      <c r="W200" s="1372"/>
      <c r="X200" s="1372"/>
      <c r="Y200" s="1372"/>
      <c r="Z200" s="1372"/>
    </row>
    <row r="201" spans="1:26" ht="15.75" customHeight="1" x14ac:dyDescent="0.25">
      <c r="A201" s="1371"/>
      <c r="B201" s="1371"/>
      <c r="C201" s="1371"/>
      <c r="D201" s="1371"/>
      <c r="E201" s="1371"/>
      <c r="F201" s="1371"/>
      <c r="G201" s="1371"/>
      <c r="H201" s="1371"/>
      <c r="I201" s="1372"/>
      <c r="J201" s="1372"/>
      <c r="K201" s="1372"/>
      <c r="L201" s="1372"/>
      <c r="M201" s="1372"/>
      <c r="N201" s="1372"/>
      <c r="O201" s="1372"/>
      <c r="P201" s="1372"/>
      <c r="Q201" s="1372"/>
      <c r="R201" s="1372"/>
      <c r="S201" s="1372"/>
      <c r="T201" s="1372"/>
      <c r="U201" s="1372"/>
      <c r="V201" s="1372"/>
      <c r="W201" s="1372"/>
      <c r="X201" s="1372"/>
      <c r="Y201" s="1372"/>
      <c r="Z201" s="1372"/>
    </row>
    <row r="202" spans="1:26" ht="15.75" customHeight="1" x14ac:dyDescent="0.25">
      <c r="A202" s="1371"/>
      <c r="B202" s="1371"/>
      <c r="C202" s="1371"/>
      <c r="D202" s="1371"/>
      <c r="E202" s="1371"/>
      <c r="F202" s="1371"/>
      <c r="G202" s="1371"/>
      <c r="H202" s="1371"/>
      <c r="I202" s="1372"/>
      <c r="J202" s="1372"/>
      <c r="K202" s="1372"/>
      <c r="L202" s="1372"/>
      <c r="M202" s="1372"/>
      <c r="N202" s="1372"/>
      <c r="O202" s="1372"/>
      <c r="P202" s="1372"/>
      <c r="Q202" s="1372"/>
      <c r="R202" s="1372"/>
      <c r="S202" s="1372"/>
      <c r="T202" s="1372"/>
      <c r="U202" s="1372"/>
      <c r="V202" s="1372"/>
      <c r="W202" s="1372"/>
      <c r="X202" s="1372"/>
      <c r="Y202" s="1372"/>
      <c r="Z202" s="1372"/>
    </row>
    <row r="203" spans="1:26" ht="15.75" customHeight="1" x14ac:dyDescent="0.25">
      <c r="A203" s="1371"/>
      <c r="B203" s="1371"/>
      <c r="C203" s="1371"/>
      <c r="D203" s="1371"/>
      <c r="E203" s="1371"/>
      <c r="F203" s="1371"/>
      <c r="G203" s="1371"/>
      <c r="H203" s="1371"/>
      <c r="I203" s="1372"/>
      <c r="J203" s="1372"/>
      <c r="K203" s="1372"/>
      <c r="L203" s="1372"/>
      <c r="M203" s="1372"/>
      <c r="N203" s="1372"/>
      <c r="O203" s="1372"/>
      <c r="P203" s="1372"/>
      <c r="Q203" s="1372"/>
      <c r="R203" s="1372"/>
      <c r="S203" s="1372"/>
      <c r="T203" s="1372"/>
      <c r="U203" s="1372"/>
      <c r="V203" s="1372"/>
      <c r="W203" s="1372"/>
      <c r="X203" s="1372"/>
      <c r="Y203" s="1372"/>
      <c r="Z203" s="1372"/>
    </row>
    <row r="204" spans="1:26" ht="15.75" customHeight="1" x14ac:dyDescent="0.25">
      <c r="A204" s="1371"/>
      <c r="B204" s="1371"/>
      <c r="C204" s="1371"/>
      <c r="D204" s="1371"/>
      <c r="E204" s="1371"/>
      <c r="F204" s="1371"/>
      <c r="G204" s="1371"/>
      <c r="H204" s="1371"/>
      <c r="I204" s="1372"/>
      <c r="J204" s="1372"/>
      <c r="K204" s="1372"/>
      <c r="L204" s="1372"/>
      <c r="M204" s="1372"/>
      <c r="N204" s="1372"/>
      <c r="O204" s="1372"/>
      <c r="P204" s="1372"/>
      <c r="Q204" s="1372"/>
      <c r="R204" s="1372"/>
      <c r="S204" s="1372"/>
      <c r="T204" s="1372"/>
      <c r="U204" s="1372"/>
      <c r="V204" s="1372"/>
      <c r="W204" s="1372"/>
      <c r="X204" s="1372"/>
      <c r="Y204" s="1372"/>
      <c r="Z204" s="1372"/>
    </row>
    <row r="205" spans="1:26" ht="15.75" customHeight="1" x14ac:dyDescent="0.25">
      <c r="A205" s="1371"/>
      <c r="B205" s="1371"/>
      <c r="C205" s="1371"/>
      <c r="D205" s="1371"/>
      <c r="E205" s="1371"/>
      <c r="F205" s="1371"/>
      <c r="G205" s="1371"/>
      <c r="H205" s="1371"/>
      <c r="I205" s="1372"/>
      <c r="J205" s="1372"/>
      <c r="K205" s="1372"/>
      <c r="L205" s="1372"/>
      <c r="M205" s="1372"/>
      <c r="N205" s="1372"/>
      <c r="O205" s="1372"/>
      <c r="P205" s="1372"/>
      <c r="Q205" s="1372"/>
      <c r="R205" s="1372"/>
      <c r="S205" s="1372"/>
      <c r="T205" s="1372"/>
      <c r="U205" s="1372"/>
      <c r="V205" s="1372"/>
      <c r="W205" s="1372"/>
      <c r="X205" s="1372"/>
      <c r="Y205" s="1372"/>
      <c r="Z205" s="1372"/>
    </row>
    <row r="206" spans="1:26" ht="15.75" customHeight="1" x14ac:dyDescent="0.25">
      <c r="A206" s="1371"/>
      <c r="B206" s="1371"/>
      <c r="C206" s="1371"/>
      <c r="D206" s="1371"/>
      <c r="E206" s="1371"/>
      <c r="F206" s="1371"/>
      <c r="G206" s="1371"/>
      <c r="H206" s="1371"/>
      <c r="I206" s="1372"/>
      <c r="J206" s="1372"/>
      <c r="K206" s="1372"/>
      <c r="L206" s="1372"/>
      <c r="M206" s="1372"/>
      <c r="N206" s="1372"/>
      <c r="O206" s="1372"/>
      <c r="P206" s="1372"/>
      <c r="Q206" s="1372"/>
      <c r="R206" s="1372"/>
      <c r="S206" s="1372"/>
      <c r="T206" s="1372"/>
      <c r="U206" s="1372"/>
      <c r="V206" s="1372"/>
      <c r="W206" s="1372"/>
      <c r="X206" s="1372"/>
      <c r="Y206" s="1372"/>
      <c r="Z206" s="1372"/>
    </row>
    <row r="207" spans="1:26" ht="15.75" customHeight="1" x14ac:dyDescent="0.25">
      <c r="A207" s="1371"/>
      <c r="B207" s="1371"/>
      <c r="C207" s="1371"/>
      <c r="D207" s="1371"/>
      <c r="E207" s="1371"/>
      <c r="F207" s="1371"/>
      <c r="G207" s="1371"/>
      <c r="H207" s="1371"/>
      <c r="I207" s="1372"/>
      <c r="J207" s="1372"/>
      <c r="K207" s="1372"/>
      <c r="L207" s="1372"/>
      <c r="M207" s="1372"/>
      <c r="N207" s="1372"/>
      <c r="O207" s="1372"/>
      <c r="P207" s="1372"/>
      <c r="Q207" s="1372"/>
      <c r="R207" s="1372"/>
      <c r="S207" s="1372"/>
      <c r="T207" s="1372"/>
      <c r="U207" s="1372"/>
      <c r="V207" s="1372"/>
      <c r="W207" s="1372"/>
      <c r="X207" s="1372"/>
      <c r="Y207" s="1372"/>
      <c r="Z207" s="1372"/>
    </row>
    <row r="208" spans="1:26" ht="15.75" customHeight="1" x14ac:dyDescent="0.25">
      <c r="A208" s="1371"/>
      <c r="B208" s="1371"/>
      <c r="C208" s="1371"/>
      <c r="D208" s="1371"/>
      <c r="E208" s="1371"/>
      <c r="F208" s="1371"/>
      <c r="G208" s="1371"/>
      <c r="H208" s="1371"/>
      <c r="I208" s="1372"/>
      <c r="J208" s="1372"/>
      <c r="K208" s="1372"/>
      <c r="L208" s="1372"/>
      <c r="M208" s="1372"/>
      <c r="N208" s="1372"/>
      <c r="O208" s="1372"/>
      <c r="P208" s="1372"/>
      <c r="Q208" s="1372"/>
      <c r="R208" s="1372"/>
      <c r="S208" s="1372"/>
      <c r="T208" s="1372"/>
      <c r="U208" s="1372"/>
      <c r="V208" s="1372"/>
      <c r="W208" s="1372"/>
      <c r="X208" s="1372"/>
      <c r="Y208" s="1372"/>
      <c r="Z208" s="1372"/>
    </row>
    <row r="209" spans="1:26" ht="15.75" customHeight="1" x14ac:dyDescent="0.25">
      <c r="A209" s="1371"/>
      <c r="B209" s="1371"/>
      <c r="C209" s="1371"/>
      <c r="D209" s="1371"/>
      <c r="E209" s="1371"/>
      <c r="F209" s="1371"/>
      <c r="G209" s="1371"/>
      <c r="H209" s="1371"/>
      <c r="I209" s="1372"/>
      <c r="J209" s="1372"/>
      <c r="K209" s="1372"/>
      <c r="L209" s="1372"/>
      <c r="M209" s="1372"/>
      <c r="N209" s="1372"/>
      <c r="O209" s="1372"/>
      <c r="P209" s="1372"/>
      <c r="Q209" s="1372"/>
      <c r="R209" s="1372"/>
      <c r="S209" s="1372"/>
      <c r="T209" s="1372"/>
      <c r="U209" s="1372"/>
      <c r="V209" s="1372"/>
      <c r="W209" s="1372"/>
      <c r="X209" s="1372"/>
      <c r="Y209" s="1372"/>
      <c r="Z209" s="1372"/>
    </row>
    <row r="210" spans="1:26" ht="15.75" customHeight="1" x14ac:dyDescent="0.25">
      <c r="A210" s="1371"/>
      <c r="B210" s="1371"/>
      <c r="C210" s="1371"/>
      <c r="D210" s="1371"/>
      <c r="E210" s="1371"/>
      <c r="F210" s="1371"/>
      <c r="G210" s="1371"/>
      <c r="H210" s="1371"/>
      <c r="I210" s="1372"/>
      <c r="J210" s="1372"/>
      <c r="K210" s="1372"/>
      <c r="L210" s="1372"/>
      <c r="M210" s="1372"/>
      <c r="N210" s="1372"/>
      <c r="O210" s="1372"/>
      <c r="P210" s="1372"/>
      <c r="Q210" s="1372"/>
      <c r="R210" s="1372"/>
      <c r="S210" s="1372"/>
      <c r="T210" s="1372"/>
      <c r="U210" s="1372"/>
      <c r="V210" s="1372"/>
      <c r="W210" s="1372"/>
      <c r="X210" s="1372"/>
      <c r="Y210" s="1372"/>
      <c r="Z210" s="1372"/>
    </row>
    <row r="211" spans="1:26" ht="15.75" customHeight="1" x14ac:dyDescent="0.25">
      <c r="A211" s="1371"/>
      <c r="B211" s="1371"/>
      <c r="C211" s="1371"/>
      <c r="D211" s="1371"/>
      <c r="E211" s="1371"/>
      <c r="F211" s="1371"/>
      <c r="G211" s="1371"/>
      <c r="H211" s="1371"/>
      <c r="I211" s="1372"/>
      <c r="J211" s="1372"/>
      <c r="K211" s="1372"/>
      <c r="L211" s="1372"/>
      <c r="M211" s="1372"/>
      <c r="N211" s="1372"/>
      <c r="O211" s="1372"/>
      <c r="P211" s="1372"/>
      <c r="Q211" s="1372"/>
      <c r="R211" s="1372"/>
      <c r="S211" s="1372"/>
      <c r="T211" s="1372"/>
      <c r="U211" s="1372"/>
      <c r="V211" s="1372"/>
      <c r="W211" s="1372"/>
      <c r="X211" s="1372"/>
      <c r="Y211" s="1372"/>
      <c r="Z211" s="1372"/>
    </row>
    <row r="212" spans="1:26" ht="15.75" customHeight="1" x14ac:dyDescent="0.25">
      <c r="A212" s="1371"/>
      <c r="B212" s="1371"/>
      <c r="C212" s="1371"/>
      <c r="D212" s="1371"/>
      <c r="E212" s="1371"/>
      <c r="F212" s="1371"/>
      <c r="G212" s="1371"/>
      <c r="H212" s="1371"/>
      <c r="I212" s="1372"/>
      <c r="J212" s="1372"/>
      <c r="K212" s="1372"/>
      <c r="L212" s="1372"/>
      <c r="M212" s="1372"/>
      <c r="N212" s="1372"/>
      <c r="O212" s="1372"/>
      <c r="P212" s="1372"/>
      <c r="Q212" s="1372"/>
      <c r="R212" s="1372"/>
      <c r="S212" s="1372"/>
      <c r="T212" s="1372"/>
      <c r="U212" s="1372"/>
      <c r="V212" s="1372"/>
      <c r="W212" s="1372"/>
      <c r="X212" s="1372"/>
      <c r="Y212" s="1372"/>
      <c r="Z212" s="1372"/>
    </row>
    <row r="213" spans="1:26" ht="15.75" customHeight="1" x14ac:dyDescent="0.25">
      <c r="A213" s="1371"/>
      <c r="B213" s="1371"/>
      <c r="C213" s="1371"/>
      <c r="D213" s="1371"/>
      <c r="E213" s="1371"/>
      <c r="F213" s="1371"/>
      <c r="G213" s="1371"/>
      <c r="H213" s="1371"/>
      <c r="I213" s="1372"/>
      <c r="J213" s="1372"/>
      <c r="K213" s="1372"/>
      <c r="L213" s="1372"/>
      <c r="M213" s="1372"/>
      <c r="N213" s="1372"/>
      <c r="O213" s="1372"/>
      <c r="P213" s="1372"/>
      <c r="Q213" s="1372"/>
      <c r="R213" s="1372"/>
      <c r="S213" s="1372"/>
      <c r="T213" s="1372"/>
      <c r="U213" s="1372"/>
      <c r="V213" s="1372"/>
      <c r="W213" s="1372"/>
      <c r="X213" s="1372"/>
      <c r="Y213" s="1372"/>
      <c r="Z213" s="1372"/>
    </row>
    <row r="214" spans="1:26" ht="15.75" customHeight="1" x14ac:dyDescent="0.25">
      <c r="A214" s="1371"/>
      <c r="B214" s="1371"/>
      <c r="C214" s="1371"/>
      <c r="D214" s="1371"/>
      <c r="E214" s="1371"/>
      <c r="F214" s="1371"/>
      <c r="G214" s="1371"/>
      <c r="H214" s="1371"/>
      <c r="I214" s="1372"/>
      <c r="J214" s="1372"/>
      <c r="K214" s="1372"/>
      <c r="L214" s="1372"/>
      <c r="M214" s="1372"/>
      <c r="N214" s="1372"/>
      <c r="O214" s="1372"/>
      <c r="P214" s="1372"/>
      <c r="Q214" s="1372"/>
      <c r="R214" s="1372"/>
      <c r="S214" s="1372"/>
      <c r="T214" s="1372"/>
      <c r="U214" s="1372"/>
      <c r="V214" s="1372"/>
      <c r="W214" s="1372"/>
      <c r="X214" s="1372"/>
      <c r="Y214" s="1372"/>
      <c r="Z214" s="1372"/>
    </row>
    <row r="215" spans="1:26" ht="15.75" customHeight="1" x14ac:dyDescent="0.25">
      <c r="A215" s="1371"/>
      <c r="B215" s="1371"/>
      <c r="C215" s="1371"/>
      <c r="D215" s="1371"/>
      <c r="E215" s="1371"/>
      <c r="F215" s="1371"/>
      <c r="G215" s="1371"/>
      <c r="H215" s="1371"/>
      <c r="I215" s="1372"/>
      <c r="J215" s="1372"/>
      <c r="K215" s="1372"/>
      <c r="L215" s="1372"/>
      <c r="M215" s="1372"/>
      <c r="N215" s="1372"/>
      <c r="O215" s="1372"/>
      <c r="P215" s="1372"/>
      <c r="Q215" s="1372"/>
      <c r="R215" s="1372"/>
      <c r="S215" s="1372"/>
      <c r="T215" s="1372"/>
      <c r="U215" s="1372"/>
      <c r="V215" s="1372"/>
      <c r="W215" s="1372"/>
      <c r="X215" s="1372"/>
      <c r="Y215" s="1372"/>
      <c r="Z215" s="1372"/>
    </row>
    <row r="216" spans="1:26" ht="15.75" customHeight="1" x14ac:dyDescent="0.25">
      <c r="A216" s="1371"/>
      <c r="B216" s="1371"/>
      <c r="C216" s="1371"/>
      <c r="D216" s="1371"/>
      <c r="E216" s="1371"/>
      <c r="F216" s="1371"/>
      <c r="G216" s="1371"/>
      <c r="H216" s="1371"/>
      <c r="I216" s="1372"/>
      <c r="J216" s="1372"/>
      <c r="K216" s="1372"/>
      <c r="L216" s="1372"/>
      <c r="M216" s="1372"/>
      <c r="N216" s="1372"/>
      <c r="O216" s="1372"/>
      <c r="P216" s="1372"/>
      <c r="Q216" s="1372"/>
      <c r="R216" s="1372"/>
      <c r="S216" s="1372"/>
      <c r="T216" s="1372"/>
      <c r="U216" s="1372"/>
      <c r="V216" s="1372"/>
      <c r="W216" s="1372"/>
      <c r="X216" s="1372"/>
      <c r="Y216" s="1372"/>
      <c r="Z216" s="1372"/>
    </row>
    <row r="217" spans="1:26" ht="15.75" customHeight="1" x14ac:dyDescent="0.25">
      <c r="A217" s="1371"/>
      <c r="B217" s="1371"/>
      <c r="C217" s="1371"/>
      <c r="D217" s="1371"/>
      <c r="E217" s="1371"/>
      <c r="F217" s="1371"/>
      <c r="G217" s="1371"/>
      <c r="H217" s="1371"/>
      <c r="I217" s="1372"/>
      <c r="J217" s="1372"/>
      <c r="K217" s="1372"/>
      <c r="L217" s="1372"/>
      <c r="M217" s="1372"/>
      <c r="N217" s="1372"/>
      <c r="O217" s="1372"/>
      <c r="P217" s="1372"/>
      <c r="Q217" s="1372"/>
      <c r="R217" s="1372"/>
      <c r="S217" s="1372"/>
      <c r="T217" s="1372"/>
      <c r="U217" s="1372"/>
      <c r="V217" s="1372"/>
      <c r="W217" s="1372"/>
      <c r="X217" s="1372"/>
      <c r="Y217" s="1372"/>
      <c r="Z217" s="1372"/>
    </row>
    <row r="218" spans="1:26" ht="15.75" customHeight="1" x14ac:dyDescent="0.25">
      <c r="A218" s="1371"/>
      <c r="B218" s="1371"/>
      <c r="C218" s="1371"/>
      <c r="D218" s="1371"/>
      <c r="E218" s="1371"/>
      <c r="F218" s="1371"/>
      <c r="G218" s="1371"/>
      <c r="H218" s="1371"/>
      <c r="I218" s="1372"/>
      <c r="J218" s="1372"/>
      <c r="K218" s="1372"/>
      <c r="L218" s="1372"/>
      <c r="M218" s="1372"/>
      <c r="N218" s="1372"/>
      <c r="O218" s="1372"/>
      <c r="P218" s="1372"/>
      <c r="Q218" s="1372"/>
      <c r="R218" s="1372"/>
      <c r="S218" s="1372"/>
      <c r="T218" s="1372"/>
      <c r="U218" s="1372"/>
      <c r="V218" s="1372"/>
      <c r="W218" s="1372"/>
      <c r="X218" s="1372"/>
      <c r="Y218" s="1372"/>
      <c r="Z218" s="1372"/>
    </row>
    <row r="219" spans="1:26" ht="15.75" customHeight="1" x14ac:dyDescent="0.25">
      <c r="A219" s="1371"/>
      <c r="B219" s="1371"/>
      <c r="C219" s="1371"/>
      <c r="D219" s="1371"/>
      <c r="E219" s="1371"/>
      <c r="F219" s="1371"/>
      <c r="G219" s="1371"/>
      <c r="H219" s="1371"/>
      <c r="I219" s="1372"/>
      <c r="J219" s="1372"/>
      <c r="K219" s="1372"/>
      <c r="L219" s="1372"/>
      <c r="M219" s="1372"/>
      <c r="N219" s="1372"/>
      <c r="O219" s="1372"/>
      <c r="P219" s="1372"/>
      <c r="Q219" s="1372"/>
      <c r="R219" s="1372"/>
      <c r="S219" s="1372"/>
      <c r="T219" s="1372"/>
      <c r="U219" s="1372"/>
      <c r="V219" s="1372"/>
      <c r="W219" s="1372"/>
      <c r="X219" s="1372"/>
      <c r="Y219" s="1372"/>
      <c r="Z219" s="1372"/>
    </row>
    <row r="220" spans="1:26" ht="15.75" customHeight="1" x14ac:dyDescent="0.25">
      <c r="A220" s="1371"/>
      <c r="B220" s="1371"/>
      <c r="C220" s="1371"/>
      <c r="D220" s="1371"/>
      <c r="E220" s="1371"/>
      <c r="F220" s="1371"/>
      <c r="G220" s="1371"/>
      <c r="H220" s="1371"/>
      <c r="I220" s="1372"/>
      <c r="J220" s="1372"/>
      <c r="K220" s="1372"/>
      <c r="L220" s="1372"/>
      <c r="M220" s="1372"/>
      <c r="N220" s="1372"/>
      <c r="O220" s="1372"/>
      <c r="P220" s="1372"/>
      <c r="Q220" s="1372"/>
      <c r="R220" s="1372"/>
      <c r="S220" s="1372"/>
      <c r="T220" s="1372"/>
      <c r="U220" s="1372"/>
      <c r="V220" s="1372"/>
      <c r="W220" s="1372"/>
      <c r="X220" s="1372"/>
      <c r="Y220" s="1372"/>
      <c r="Z220" s="1372"/>
    </row>
    <row r="221" spans="1:26" ht="15.75" customHeight="1" x14ac:dyDescent="0.25">
      <c r="A221" s="1371"/>
      <c r="B221" s="1371"/>
      <c r="C221" s="1371"/>
      <c r="D221" s="1371"/>
      <c r="E221" s="1371"/>
      <c r="F221" s="1371"/>
      <c r="G221" s="1371"/>
      <c r="H221" s="1371"/>
      <c r="I221" s="1372"/>
      <c r="J221" s="1372"/>
      <c r="K221" s="1372"/>
      <c r="L221" s="1372"/>
      <c r="M221" s="1372"/>
      <c r="N221" s="1372"/>
      <c r="O221" s="1372"/>
      <c r="P221" s="1372"/>
      <c r="Q221" s="1372"/>
      <c r="R221" s="1372"/>
      <c r="S221" s="1372"/>
      <c r="T221" s="1372"/>
      <c r="U221" s="1372"/>
      <c r="V221" s="1372"/>
      <c r="W221" s="1372"/>
      <c r="X221" s="1372"/>
      <c r="Y221" s="1372"/>
      <c r="Z221" s="1372"/>
    </row>
    <row r="222" spans="1:26" ht="15.75" customHeight="1" x14ac:dyDescent="0.25">
      <c r="A222" s="1371"/>
      <c r="B222" s="1371"/>
      <c r="C222" s="1371"/>
      <c r="D222" s="1371"/>
      <c r="E222" s="1371"/>
      <c r="F222" s="1371"/>
      <c r="G222" s="1371"/>
      <c r="H222" s="1371"/>
      <c r="I222" s="1372"/>
      <c r="J222" s="1372"/>
      <c r="K222" s="1372"/>
      <c r="L222" s="1372"/>
      <c r="M222" s="1372"/>
      <c r="N222" s="1372"/>
      <c r="O222" s="1372"/>
      <c r="P222" s="1372"/>
      <c r="Q222" s="1372"/>
      <c r="R222" s="1372"/>
      <c r="S222" s="1372"/>
      <c r="T222" s="1372"/>
      <c r="U222" s="1372"/>
      <c r="V222" s="1372"/>
      <c r="W222" s="1372"/>
      <c r="X222" s="1372"/>
      <c r="Y222" s="1372"/>
      <c r="Z222" s="1372"/>
    </row>
    <row r="223" spans="1:26" ht="15.75" customHeight="1" x14ac:dyDescent="0.25">
      <c r="A223" s="1371"/>
      <c r="B223" s="1371"/>
      <c r="C223" s="1371"/>
      <c r="D223" s="1371"/>
      <c r="E223" s="1371"/>
      <c r="F223" s="1371"/>
      <c r="G223" s="1371"/>
      <c r="H223" s="1371"/>
      <c r="I223" s="1372"/>
      <c r="J223" s="1372"/>
      <c r="K223" s="1372"/>
      <c r="L223" s="1372"/>
      <c r="M223" s="1372"/>
      <c r="N223" s="1372"/>
      <c r="O223" s="1372"/>
      <c r="P223" s="1372"/>
      <c r="Q223" s="1372"/>
      <c r="R223" s="1372"/>
      <c r="S223" s="1372"/>
      <c r="T223" s="1372"/>
      <c r="U223" s="1372"/>
      <c r="V223" s="1372"/>
      <c r="W223" s="1372"/>
      <c r="X223" s="1372"/>
      <c r="Y223" s="1372"/>
      <c r="Z223" s="1372"/>
    </row>
    <row r="224" spans="1:26" ht="15.75" customHeight="1" x14ac:dyDescent="0.25">
      <c r="A224" s="1371"/>
      <c r="B224" s="1371"/>
      <c r="C224" s="1371"/>
      <c r="D224" s="1371"/>
      <c r="E224" s="1371"/>
      <c r="F224" s="1371"/>
      <c r="G224" s="1371"/>
      <c r="H224" s="1371"/>
      <c r="I224" s="1372"/>
      <c r="J224" s="1372"/>
      <c r="K224" s="1372"/>
      <c r="L224" s="1372"/>
      <c r="M224" s="1372"/>
      <c r="N224" s="1372"/>
      <c r="O224" s="1372"/>
      <c r="P224" s="1372"/>
      <c r="Q224" s="1372"/>
      <c r="R224" s="1372"/>
      <c r="S224" s="1372"/>
      <c r="T224" s="1372"/>
      <c r="U224" s="1372"/>
      <c r="V224" s="1372"/>
      <c r="W224" s="1372"/>
      <c r="X224" s="1372"/>
      <c r="Y224" s="1372"/>
      <c r="Z224" s="1372"/>
    </row>
    <row r="225" spans="1:26" ht="15.75" customHeight="1" x14ac:dyDescent="0.25">
      <c r="A225" s="1371"/>
      <c r="B225" s="1371"/>
      <c r="C225" s="1371"/>
      <c r="D225" s="1371"/>
      <c r="E225" s="1371"/>
      <c r="F225" s="1371"/>
      <c r="G225" s="1371"/>
      <c r="H225" s="1371"/>
      <c r="I225" s="1372"/>
      <c r="J225" s="1372"/>
      <c r="K225" s="1372"/>
      <c r="L225" s="1372"/>
      <c r="M225" s="1372"/>
      <c r="N225" s="1372"/>
      <c r="O225" s="1372"/>
      <c r="P225" s="1372"/>
      <c r="Q225" s="1372"/>
      <c r="R225" s="1372"/>
      <c r="S225" s="1372"/>
      <c r="T225" s="1372"/>
      <c r="U225" s="1372"/>
      <c r="V225" s="1372"/>
      <c r="W225" s="1372"/>
      <c r="X225" s="1372"/>
      <c r="Y225" s="1372"/>
      <c r="Z225" s="1372"/>
    </row>
    <row r="226" spans="1:26" ht="15.75" customHeight="1" x14ac:dyDescent="0.25">
      <c r="A226" s="1371"/>
      <c r="B226" s="1371"/>
      <c r="C226" s="1371"/>
      <c r="D226" s="1371"/>
      <c r="E226" s="1371"/>
      <c r="F226" s="1371"/>
      <c r="G226" s="1371"/>
      <c r="H226" s="1371"/>
      <c r="I226" s="1372"/>
      <c r="J226" s="1372"/>
      <c r="K226" s="1372"/>
      <c r="L226" s="1372"/>
      <c r="M226" s="1372"/>
      <c r="N226" s="1372"/>
      <c r="O226" s="1372"/>
      <c r="P226" s="1372"/>
      <c r="Q226" s="1372"/>
      <c r="R226" s="1372"/>
      <c r="S226" s="1372"/>
      <c r="T226" s="1372"/>
      <c r="U226" s="1372"/>
      <c r="V226" s="1372"/>
      <c r="W226" s="1372"/>
      <c r="X226" s="1372"/>
      <c r="Y226" s="1372"/>
      <c r="Z226" s="1372"/>
    </row>
    <row r="227" spans="1:26" ht="15.75" customHeight="1" x14ac:dyDescent="0.25">
      <c r="A227" s="1371"/>
      <c r="B227" s="1371"/>
      <c r="C227" s="1371"/>
      <c r="D227" s="1371"/>
      <c r="E227" s="1371"/>
      <c r="F227" s="1371"/>
      <c r="G227" s="1371"/>
      <c r="H227" s="1371"/>
      <c r="I227" s="1372"/>
      <c r="J227" s="1372"/>
      <c r="K227" s="1372"/>
      <c r="L227" s="1372"/>
      <c r="M227" s="1372"/>
      <c r="N227" s="1372"/>
      <c r="O227" s="1372"/>
      <c r="P227" s="1372"/>
      <c r="Q227" s="1372"/>
      <c r="R227" s="1372"/>
      <c r="S227" s="1372"/>
      <c r="T227" s="1372"/>
      <c r="U227" s="1372"/>
      <c r="V227" s="1372"/>
      <c r="W227" s="1372"/>
      <c r="X227" s="1372"/>
      <c r="Y227" s="1372"/>
      <c r="Z227" s="1372"/>
    </row>
    <row r="228" spans="1:26" ht="15.75" customHeight="1" x14ac:dyDescent="0.25">
      <c r="A228" s="1371"/>
      <c r="B228" s="1371"/>
      <c r="C228" s="1371"/>
      <c r="D228" s="1371"/>
      <c r="E228" s="1371"/>
      <c r="F228" s="1371"/>
      <c r="G228" s="1371"/>
      <c r="H228" s="1371"/>
      <c r="I228" s="1372"/>
      <c r="J228" s="1372"/>
      <c r="K228" s="1372"/>
      <c r="L228" s="1372"/>
      <c r="M228" s="1372"/>
      <c r="N228" s="1372"/>
      <c r="O228" s="1372"/>
      <c r="P228" s="1372"/>
      <c r="Q228" s="1372"/>
      <c r="R228" s="1372"/>
      <c r="S228" s="1372"/>
      <c r="T228" s="1372"/>
      <c r="U228" s="1372"/>
      <c r="V228" s="1372"/>
      <c r="W228" s="1372"/>
      <c r="X228" s="1372"/>
      <c r="Y228" s="1372"/>
      <c r="Z228" s="1372"/>
    </row>
    <row r="229" spans="1:26" ht="15.75" customHeight="1" x14ac:dyDescent="0.25">
      <c r="A229" s="1371"/>
      <c r="B229" s="1371"/>
      <c r="C229" s="1371"/>
      <c r="D229" s="1371"/>
      <c r="E229" s="1371"/>
      <c r="F229" s="1371"/>
      <c r="G229" s="1371"/>
      <c r="H229" s="1371"/>
      <c r="I229" s="1372"/>
      <c r="J229" s="1372"/>
      <c r="K229" s="1372"/>
      <c r="L229" s="1372"/>
      <c r="M229" s="1372"/>
      <c r="N229" s="1372"/>
      <c r="O229" s="1372"/>
      <c r="P229" s="1372"/>
      <c r="Q229" s="1372"/>
      <c r="R229" s="1372"/>
      <c r="S229" s="1372"/>
      <c r="T229" s="1372"/>
      <c r="U229" s="1372"/>
      <c r="V229" s="1372"/>
      <c r="W229" s="1372"/>
      <c r="X229" s="1372"/>
      <c r="Y229" s="1372"/>
      <c r="Z229" s="1372"/>
    </row>
    <row r="230" spans="1:26" ht="15.75" customHeight="1" x14ac:dyDescent="0.25">
      <c r="A230" s="1371"/>
      <c r="B230" s="1371"/>
      <c r="C230" s="1371"/>
      <c r="D230" s="1371"/>
      <c r="E230" s="1371"/>
      <c r="F230" s="1371"/>
      <c r="G230" s="1371"/>
      <c r="H230" s="1371"/>
      <c r="I230" s="1372"/>
      <c r="J230" s="1372"/>
      <c r="K230" s="1372"/>
      <c r="L230" s="1372"/>
      <c r="M230" s="1372"/>
      <c r="N230" s="1372"/>
      <c r="O230" s="1372"/>
      <c r="P230" s="1372"/>
      <c r="Q230" s="1372"/>
      <c r="R230" s="1372"/>
      <c r="S230" s="1372"/>
      <c r="T230" s="1372"/>
      <c r="U230" s="1372"/>
      <c r="V230" s="1372"/>
      <c r="W230" s="1372"/>
      <c r="X230" s="1372"/>
      <c r="Y230" s="1372"/>
      <c r="Z230" s="1372"/>
    </row>
    <row r="231" spans="1:26" ht="15.75" customHeight="1" x14ac:dyDescent="0.25">
      <c r="A231" s="1371"/>
      <c r="B231" s="1371"/>
      <c r="C231" s="1371"/>
      <c r="D231" s="1371"/>
      <c r="E231" s="1371"/>
      <c r="F231" s="1371"/>
      <c r="G231" s="1371"/>
      <c r="H231" s="1371"/>
      <c r="I231" s="1372"/>
      <c r="J231" s="1372"/>
      <c r="K231" s="1372"/>
      <c r="L231" s="1372"/>
      <c r="M231" s="1372"/>
      <c r="N231" s="1372"/>
      <c r="O231" s="1372"/>
      <c r="P231" s="1372"/>
      <c r="Q231" s="1372"/>
      <c r="R231" s="1372"/>
      <c r="S231" s="1372"/>
      <c r="T231" s="1372"/>
      <c r="U231" s="1372"/>
      <c r="V231" s="1372"/>
      <c r="W231" s="1372"/>
      <c r="X231" s="1372"/>
      <c r="Y231" s="1372"/>
      <c r="Z231" s="1372"/>
    </row>
    <row r="232" spans="1:26" ht="15.75" customHeight="1" x14ac:dyDescent="0.25">
      <c r="A232" s="1371"/>
      <c r="B232" s="1371"/>
      <c r="C232" s="1371"/>
      <c r="D232" s="1371"/>
      <c r="E232" s="1371"/>
      <c r="F232" s="1371"/>
      <c r="G232" s="1371"/>
      <c r="H232" s="1371"/>
      <c r="I232" s="1372"/>
      <c r="J232" s="1372"/>
      <c r="K232" s="1372"/>
      <c r="L232" s="1372"/>
      <c r="M232" s="1372"/>
      <c r="N232" s="1372"/>
      <c r="O232" s="1372"/>
      <c r="P232" s="1372"/>
      <c r="Q232" s="1372"/>
      <c r="R232" s="1372"/>
      <c r="S232" s="1372"/>
      <c r="T232" s="1372"/>
      <c r="U232" s="1372"/>
      <c r="V232" s="1372"/>
      <c r="W232" s="1372"/>
      <c r="X232" s="1372"/>
      <c r="Y232" s="1372"/>
      <c r="Z232" s="1372"/>
    </row>
    <row r="233" spans="1:26" ht="15.75" customHeight="1" x14ac:dyDescent="0.25">
      <c r="A233" s="1371"/>
      <c r="B233" s="1371"/>
      <c r="C233" s="1371"/>
      <c r="D233" s="1371"/>
      <c r="E233" s="1371"/>
      <c r="F233" s="1371"/>
      <c r="G233" s="1371"/>
      <c r="H233" s="1371"/>
      <c r="I233" s="1372"/>
      <c r="J233" s="1372"/>
      <c r="K233" s="1372"/>
      <c r="L233" s="1372"/>
      <c r="M233" s="1372"/>
      <c r="N233" s="1372"/>
      <c r="O233" s="1372"/>
      <c r="P233" s="1372"/>
      <c r="Q233" s="1372"/>
      <c r="R233" s="1372"/>
      <c r="S233" s="1372"/>
      <c r="T233" s="1372"/>
      <c r="U233" s="1372"/>
      <c r="V233" s="1372"/>
      <c r="W233" s="1372"/>
      <c r="X233" s="1372"/>
      <c r="Y233" s="1372"/>
      <c r="Z233" s="1372"/>
    </row>
    <row r="234" spans="1:26" ht="15.75" customHeight="1" x14ac:dyDescent="0.25">
      <c r="A234" s="1371"/>
      <c r="B234" s="1371"/>
      <c r="C234" s="1371"/>
      <c r="D234" s="1371"/>
      <c r="E234" s="1371"/>
      <c r="F234" s="1371"/>
      <c r="G234" s="1371"/>
      <c r="H234" s="1371"/>
      <c r="I234" s="1372"/>
      <c r="J234" s="1372"/>
      <c r="K234" s="1372"/>
      <c r="L234" s="1372"/>
      <c r="M234" s="1372"/>
      <c r="N234" s="1372"/>
      <c r="O234" s="1372"/>
      <c r="P234" s="1372"/>
      <c r="Q234" s="1372"/>
      <c r="R234" s="1372"/>
      <c r="S234" s="1372"/>
      <c r="T234" s="1372"/>
      <c r="U234" s="1372"/>
      <c r="V234" s="1372"/>
      <c r="W234" s="1372"/>
      <c r="X234" s="1372"/>
      <c r="Y234" s="1372"/>
      <c r="Z234" s="1372"/>
    </row>
    <row r="235" spans="1:26" ht="15.75" customHeight="1" x14ac:dyDescent="0.25">
      <c r="A235" s="1371"/>
      <c r="B235" s="1371"/>
      <c r="C235" s="1371"/>
      <c r="D235" s="1371"/>
      <c r="E235" s="1371"/>
      <c r="F235" s="1371"/>
      <c r="G235" s="1371"/>
      <c r="H235" s="1371"/>
      <c r="I235" s="1372"/>
      <c r="J235" s="1372"/>
      <c r="K235" s="1372"/>
      <c r="L235" s="1372"/>
      <c r="M235" s="1372"/>
      <c r="N235" s="1372"/>
      <c r="O235" s="1372"/>
      <c r="P235" s="1372"/>
      <c r="Q235" s="1372"/>
      <c r="R235" s="1372"/>
      <c r="S235" s="1372"/>
      <c r="T235" s="1372"/>
      <c r="U235" s="1372"/>
      <c r="V235" s="1372"/>
      <c r="W235" s="1372"/>
      <c r="X235" s="1372"/>
      <c r="Y235" s="1372"/>
      <c r="Z235" s="1372"/>
    </row>
    <row r="236" spans="1:26" ht="15.75" customHeight="1" x14ac:dyDescent="0.25">
      <c r="A236" s="1371"/>
      <c r="B236" s="1371"/>
      <c r="C236" s="1371"/>
      <c r="D236" s="1371"/>
      <c r="E236" s="1371"/>
      <c r="F236" s="1371"/>
      <c r="G236" s="1371"/>
      <c r="H236" s="1371"/>
      <c r="I236" s="1372"/>
      <c r="J236" s="1372"/>
      <c r="K236" s="1372"/>
      <c r="L236" s="1372"/>
      <c r="M236" s="1372"/>
      <c r="N236" s="1372"/>
      <c r="O236" s="1372"/>
      <c r="P236" s="1372"/>
      <c r="Q236" s="1372"/>
      <c r="R236" s="1372"/>
      <c r="S236" s="1372"/>
      <c r="T236" s="1372"/>
      <c r="U236" s="1372"/>
      <c r="V236" s="1372"/>
      <c r="W236" s="1372"/>
      <c r="X236" s="1372"/>
      <c r="Y236" s="1372"/>
      <c r="Z236" s="1372"/>
    </row>
    <row r="237" spans="1:26" ht="15.75" customHeight="1" x14ac:dyDescent="0.25">
      <c r="A237" s="1371"/>
      <c r="B237" s="1371"/>
      <c r="C237" s="1371"/>
      <c r="D237" s="1371"/>
      <c r="E237" s="1371"/>
      <c r="F237" s="1371"/>
      <c r="G237" s="1371"/>
      <c r="H237" s="1371"/>
      <c r="I237" s="1372"/>
      <c r="J237" s="1372"/>
      <c r="K237" s="1372"/>
      <c r="L237" s="1372"/>
      <c r="M237" s="1372"/>
      <c r="N237" s="1372"/>
      <c r="O237" s="1372"/>
      <c r="P237" s="1372"/>
      <c r="Q237" s="1372"/>
      <c r="R237" s="1372"/>
      <c r="S237" s="1372"/>
      <c r="T237" s="1372"/>
      <c r="U237" s="1372"/>
      <c r="V237" s="1372"/>
      <c r="W237" s="1372"/>
      <c r="X237" s="1372"/>
      <c r="Y237" s="1372"/>
      <c r="Z237" s="1372"/>
    </row>
    <row r="238" spans="1:26" ht="15.75" customHeight="1" x14ac:dyDescent="0.25">
      <c r="A238" s="1371"/>
      <c r="B238" s="1371"/>
      <c r="C238" s="1371"/>
      <c r="D238" s="1371"/>
      <c r="E238" s="1371"/>
      <c r="F238" s="1371"/>
      <c r="G238" s="1371"/>
      <c r="H238" s="1371"/>
      <c r="I238" s="1372"/>
      <c r="J238" s="1372"/>
      <c r="K238" s="1372"/>
      <c r="L238" s="1372"/>
      <c r="M238" s="1372"/>
      <c r="N238" s="1372"/>
      <c r="O238" s="1372"/>
      <c r="P238" s="1372"/>
      <c r="Q238" s="1372"/>
      <c r="R238" s="1372"/>
      <c r="S238" s="1372"/>
      <c r="T238" s="1372"/>
      <c r="U238" s="1372"/>
      <c r="V238" s="1372"/>
      <c r="W238" s="1372"/>
      <c r="X238" s="1372"/>
      <c r="Y238" s="1372"/>
      <c r="Z238" s="1372"/>
    </row>
    <row r="239" spans="1:26" ht="15.75" customHeight="1" x14ac:dyDescent="0.25">
      <c r="A239" s="1371"/>
      <c r="B239" s="1371"/>
      <c r="C239" s="1371"/>
      <c r="D239" s="1371"/>
      <c r="E239" s="1371"/>
      <c r="F239" s="1371"/>
      <c r="G239" s="1371"/>
      <c r="H239" s="1371"/>
      <c r="I239" s="1372"/>
      <c r="J239" s="1372"/>
      <c r="K239" s="1372"/>
      <c r="L239" s="1372"/>
      <c r="M239" s="1372"/>
      <c r="N239" s="1372"/>
      <c r="O239" s="1372"/>
      <c r="P239" s="1372"/>
      <c r="Q239" s="1372"/>
      <c r="R239" s="1372"/>
      <c r="S239" s="1372"/>
      <c r="T239" s="1372"/>
      <c r="U239" s="1372"/>
      <c r="V239" s="1372"/>
      <c r="W239" s="1372"/>
      <c r="X239" s="1372"/>
      <c r="Y239" s="1372"/>
      <c r="Z239" s="1372"/>
    </row>
    <row r="240" spans="1:26" ht="15.75" customHeight="1" x14ac:dyDescent="0.25">
      <c r="A240" s="1371"/>
      <c r="B240" s="1371"/>
      <c r="C240" s="1371"/>
      <c r="D240" s="1371"/>
      <c r="E240" s="1371"/>
      <c r="F240" s="1371"/>
      <c r="G240" s="1371"/>
      <c r="H240" s="1371"/>
      <c r="I240" s="1372"/>
      <c r="J240" s="1372"/>
      <c r="K240" s="1372"/>
      <c r="L240" s="1372"/>
      <c r="M240" s="1372"/>
      <c r="N240" s="1372"/>
      <c r="O240" s="1372"/>
      <c r="P240" s="1372"/>
      <c r="Q240" s="1372"/>
      <c r="R240" s="1372"/>
      <c r="S240" s="1372"/>
      <c r="T240" s="1372"/>
      <c r="U240" s="1372"/>
      <c r="V240" s="1372"/>
      <c r="W240" s="1372"/>
      <c r="X240" s="1372"/>
      <c r="Y240" s="1372"/>
      <c r="Z240" s="1372"/>
    </row>
    <row r="241" spans="1:26" ht="15.75" customHeight="1" x14ac:dyDescent="0.25">
      <c r="A241" s="1371"/>
      <c r="B241" s="1371"/>
      <c r="C241" s="1371"/>
      <c r="D241" s="1371"/>
      <c r="E241" s="1371"/>
      <c r="F241" s="1371"/>
      <c r="G241" s="1371"/>
      <c r="H241" s="1371"/>
      <c r="I241" s="1372"/>
      <c r="J241" s="1372"/>
      <c r="K241" s="1372"/>
      <c r="L241" s="1372"/>
      <c r="M241" s="1372"/>
      <c r="N241" s="1372"/>
      <c r="O241" s="1372"/>
      <c r="P241" s="1372"/>
      <c r="Q241" s="1372"/>
      <c r="R241" s="1372"/>
      <c r="S241" s="1372"/>
      <c r="T241" s="1372"/>
      <c r="U241" s="1372"/>
      <c r="V241" s="1372"/>
      <c r="W241" s="1372"/>
      <c r="X241" s="1372"/>
      <c r="Y241" s="1372"/>
      <c r="Z241" s="1372"/>
    </row>
    <row r="242" spans="1:26" ht="15.75" customHeight="1" x14ac:dyDescent="0.25">
      <c r="A242" s="1371"/>
      <c r="B242" s="1371"/>
      <c r="C242" s="1371"/>
      <c r="D242" s="1371"/>
      <c r="E242" s="1371"/>
      <c r="F242" s="1371"/>
      <c r="G242" s="1371"/>
      <c r="H242" s="1371"/>
      <c r="I242" s="1372"/>
      <c r="J242" s="1372"/>
      <c r="K242" s="1372"/>
      <c r="L242" s="1372"/>
      <c r="M242" s="1372"/>
      <c r="N242" s="1372"/>
      <c r="O242" s="1372"/>
      <c r="P242" s="1372"/>
      <c r="Q242" s="1372"/>
      <c r="R242" s="1372"/>
      <c r="S242" s="1372"/>
      <c r="T242" s="1372"/>
      <c r="U242" s="1372"/>
      <c r="V242" s="1372"/>
      <c r="W242" s="1372"/>
      <c r="X242" s="1372"/>
      <c r="Y242" s="1372"/>
      <c r="Z242" s="1372"/>
    </row>
    <row r="243" spans="1:26" ht="15.75" customHeight="1" x14ac:dyDescent="0.25">
      <c r="A243" s="1371"/>
      <c r="B243" s="1371"/>
      <c r="C243" s="1371"/>
      <c r="D243" s="1371"/>
      <c r="E243" s="1371"/>
      <c r="F243" s="1371"/>
      <c r="G243" s="1371"/>
      <c r="H243" s="1371"/>
      <c r="I243" s="1372"/>
      <c r="J243" s="1372"/>
      <c r="K243" s="1372"/>
      <c r="L243" s="1372"/>
      <c r="M243" s="1372"/>
      <c r="N243" s="1372"/>
      <c r="O243" s="1372"/>
      <c r="P243" s="1372"/>
      <c r="Q243" s="1372"/>
      <c r="R243" s="1372"/>
      <c r="S243" s="1372"/>
      <c r="T243" s="1372"/>
      <c r="U243" s="1372"/>
      <c r="V243" s="1372"/>
      <c r="W243" s="1372"/>
      <c r="X243" s="1372"/>
      <c r="Y243" s="1372"/>
      <c r="Z243" s="1372"/>
    </row>
    <row r="244" spans="1:26" ht="15.75" customHeight="1" x14ac:dyDescent="0.25">
      <c r="A244" s="1371"/>
      <c r="B244" s="1371"/>
      <c r="C244" s="1371"/>
      <c r="D244" s="1371"/>
      <c r="E244" s="1371"/>
      <c r="F244" s="1371"/>
      <c r="G244" s="1371"/>
      <c r="H244" s="1371"/>
      <c r="I244" s="1372"/>
      <c r="J244" s="1372"/>
      <c r="K244" s="1372"/>
      <c r="L244" s="1372"/>
      <c r="M244" s="1372"/>
      <c r="N244" s="1372"/>
      <c r="O244" s="1372"/>
      <c r="P244" s="1372"/>
      <c r="Q244" s="1372"/>
      <c r="R244" s="1372"/>
      <c r="S244" s="1372"/>
      <c r="T244" s="1372"/>
      <c r="U244" s="1372"/>
      <c r="V244" s="1372"/>
      <c r="W244" s="1372"/>
      <c r="X244" s="1372"/>
      <c r="Y244" s="1372"/>
      <c r="Z244" s="1372"/>
    </row>
    <row r="245" spans="1:26" ht="15.75" customHeight="1" x14ac:dyDescent="0.25">
      <c r="A245" s="1371"/>
      <c r="B245" s="1371"/>
      <c r="C245" s="1371"/>
      <c r="D245" s="1371"/>
      <c r="E245" s="1371"/>
      <c r="F245" s="1371"/>
      <c r="G245" s="1371"/>
      <c r="H245" s="1371"/>
      <c r="I245" s="1372"/>
      <c r="J245" s="1372"/>
      <c r="K245" s="1372"/>
      <c r="L245" s="1372"/>
      <c r="M245" s="1372"/>
      <c r="N245" s="1372"/>
      <c r="O245" s="1372"/>
      <c r="P245" s="1372"/>
      <c r="Q245" s="1372"/>
      <c r="R245" s="1372"/>
      <c r="S245" s="1372"/>
      <c r="T245" s="1372"/>
      <c r="U245" s="1372"/>
      <c r="V245" s="1372"/>
      <c r="W245" s="1372"/>
      <c r="X245" s="1372"/>
      <c r="Y245" s="1372"/>
      <c r="Z245" s="1372"/>
    </row>
    <row r="246" spans="1:26" ht="15.75" customHeight="1" x14ac:dyDescent="0.25">
      <c r="A246" s="1371"/>
      <c r="B246" s="1371"/>
      <c r="C246" s="1371"/>
      <c r="D246" s="1371"/>
      <c r="E246" s="1371"/>
      <c r="F246" s="1371"/>
      <c r="G246" s="1371"/>
      <c r="H246" s="1371"/>
      <c r="I246" s="1372"/>
      <c r="J246" s="1372"/>
      <c r="K246" s="1372"/>
      <c r="L246" s="1372"/>
      <c r="M246" s="1372"/>
      <c r="N246" s="1372"/>
      <c r="O246" s="1372"/>
      <c r="P246" s="1372"/>
      <c r="Q246" s="1372"/>
      <c r="R246" s="1372"/>
      <c r="S246" s="1372"/>
      <c r="T246" s="1372"/>
      <c r="U246" s="1372"/>
      <c r="V246" s="1372"/>
      <c r="W246" s="1372"/>
      <c r="X246" s="1372"/>
      <c r="Y246" s="1372"/>
      <c r="Z246" s="1372"/>
    </row>
    <row r="247" spans="1:26" ht="15.75" customHeight="1" x14ac:dyDescent="0.25">
      <c r="A247" s="1371"/>
      <c r="B247" s="1371"/>
      <c r="C247" s="1371"/>
      <c r="D247" s="1371"/>
      <c r="E247" s="1371"/>
      <c r="F247" s="1371"/>
      <c r="G247" s="1371"/>
      <c r="H247" s="1371"/>
      <c r="I247" s="1372"/>
      <c r="J247" s="1372"/>
      <c r="K247" s="1372"/>
      <c r="L247" s="1372"/>
      <c r="M247" s="1372"/>
      <c r="N247" s="1372"/>
      <c r="O247" s="1372"/>
      <c r="P247" s="1372"/>
      <c r="Q247" s="1372"/>
      <c r="R247" s="1372"/>
      <c r="S247" s="1372"/>
      <c r="T247" s="1372"/>
      <c r="U247" s="1372"/>
      <c r="V247" s="1372"/>
      <c r="W247" s="1372"/>
      <c r="X247" s="1372"/>
      <c r="Y247" s="1372"/>
      <c r="Z247" s="1372"/>
    </row>
    <row r="248" spans="1:26" ht="15.75" customHeight="1" x14ac:dyDescent="0.25">
      <c r="A248" s="1371"/>
      <c r="B248" s="1371"/>
      <c r="C248" s="1371"/>
      <c r="D248" s="1371"/>
      <c r="E248" s="1371"/>
      <c r="F248" s="1371"/>
      <c r="G248" s="1371"/>
      <c r="H248" s="1371"/>
      <c r="I248" s="1372"/>
      <c r="J248" s="1372"/>
      <c r="K248" s="1372"/>
      <c r="L248" s="1372"/>
      <c r="M248" s="1372"/>
      <c r="N248" s="1372"/>
      <c r="O248" s="1372"/>
      <c r="P248" s="1372"/>
      <c r="Q248" s="1372"/>
      <c r="R248" s="1372"/>
      <c r="S248" s="1372"/>
      <c r="T248" s="1372"/>
      <c r="U248" s="1372"/>
      <c r="V248" s="1372"/>
      <c r="W248" s="1372"/>
      <c r="X248" s="1372"/>
      <c r="Y248" s="1372"/>
      <c r="Z248" s="1372"/>
    </row>
    <row r="249" spans="1:26" ht="15.75" customHeight="1" x14ac:dyDescent="0.25">
      <c r="A249" s="1371"/>
      <c r="B249" s="1371"/>
      <c r="C249" s="1371"/>
      <c r="D249" s="1371"/>
      <c r="E249" s="1371"/>
      <c r="F249" s="1371"/>
      <c r="G249" s="1371"/>
      <c r="H249" s="1371"/>
      <c r="I249" s="1372"/>
      <c r="J249" s="1372"/>
      <c r="K249" s="1372"/>
      <c r="L249" s="1372"/>
      <c r="M249" s="1372"/>
      <c r="N249" s="1372"/>
      <c r="O249" s="1372"/>
      <c r="P249" s="1372"/>
      <c r="Q249" s="1372"/>
      <c r="R249" s="1372"/>
      <c r="S249" s="1372"/>
      <c r="T249" s="1372"/>
      <c r="U249" s="1372"/>
      <c r="V249" s="1372"/>
      <c r="W249" s="1372"/>
      <c r="X249" s="1372"/>
      <c r="Y249" s="1372"/>
      <c r="Z249" s="1372"/>
    </row>
    <row r="250" spans="1:26" ht="15.75" customHeight="1" x14ac:dyDescent="0.25">
      <c r="A250" s="1371"/>
      <c r="B250" s="1371"/>
      <c r="C250" s="1371"/>
      <c r="D250" s="1371"/>
      <c r="E250" s="1371"/>
      <c r="F250" s="1371"/>
      <c r="G250" s="1371"/>
      <c r="H250" s="1371"/>
      <c r="I250" s="1372"/>
      <c r="J250" s="1372"/>
      <c r="K250" s="1372"/>
      <c r="L250" s="1372"/>
      <c r="M250" s="1372"/>
      <c r="N250" s="1372"/>
      <c r="O250" s="1372"/>
      <c r="P250" s="1372"/>
      <c r="Q250" s="1372"/>
      <c r="R250" s="1372"/>
      <c r="S250" s="1372"/>
      <c r="T250" s="1372"/>
      <c r="U250" s="1372"/>
      <c r="V250" s="1372"/>
      <c r="W250" s="1372"/>
      <c r="X250" s="1372"/>
      <c r="Y250" s="1372"/>
      <c r="Z250" s="1372"/>
    </row>
    <row r="251" spans="1:26" ht="15.75" customHeight="1" x14ac:dyDescent="0.25">
      <c r="A251" s="1371"/>
      <c r="B251" s="1371"/>
      <c r="C251" s="1371"/>
      <c r="D251" s="1371"/>
      <c r="E251" s="1371"/>
      <c r="F251" s="1371"/>
      <c r="G251" s="1371"/>
      <c r="H251" s="1371"/>
      <c r="I251" s="1372"/>
      <c r="J251" s="1372"/>
      <c r="K251" s="1372"/>
      <c r="L251" s="1372"/>
      <c r="M251" s="1372"/>
      <c r="N251" s="1372"/>
      <c r="O251" s="1372"/>
      <c r="P251" s="1372"/>
      <c r="Q251" s="1372"/>
      <c r="R251" s="1372"/>
      <c r="S251" s="1372"/>
      <c r="T251" s="1372"/>
      <c r="U251" s="1372"/>
      <c r="V251" s="1372"/>
      <c r="W251" s="1372"/>
      <c r="X251" s="1372"/>
      <c r="Y251" s="1372"/>
      <c r="Z251" s="1372"/>
    </row>
    <row r="252" spans="1:26" ht="15.75" customHeight="1" x14ac:dyDescent="0.25">
      <c r="A252" s="1371"/>
      <c r="B252" s="1371"/>
      <c r="C252" s="1371"/>
      <c r="D252" s="1371"/>
      <c r="E252" s="1371"/>
      <c r="F252" s="1371"/>
      <c r="G252" s="1371"/>
      <c r="H252" s="1371"/>
      <c r="I252" s="1372"/>
      <c r="J252" s="1372"/>
      <c r="K252" s="1372"/>
      <c r="L252" s="1372"/>
      <c r="M252" s="1372"/>
      <c r="N252" s="1372"/>
      <c r="O252" s="1372"/>
      <c r="P252" s="1372"/>
      <c r="Q252" s="1372"/>
      <c r="R252" s="1372"/>
      <c r="S252" s="1372"/>
      <c r="T252" s="1372"/>
      <c r="U252" s="1372"/>
      <c r="V252" s="1372"/>
      <c r="W252" s="1372"/>
      <c r="X252" s="1372"/>
      <c r="Y252" s="1372"/>
      <c r="Z252" s="1372"/>
    </row>
    <row r="253" spans="1:26" ht="15.75" customHeight="1" x14ac:dyDescent="0.25">
      <c r="A253" s="1371"/>
      <c r="B253" s="1371"/>
      <c r="C253" s="1371"/>
      <c r="D253" s="1371"/>
      <c r="E253" s="1371"/>
      <c r="F253" s="1371"/>
      <c r="G253" s="1371"/>
      <c r="H253" s="1371"/>
      <c r="I253" s="1372"/>
      <c r="J253" s="1372"/>
      <c r="K253" s="1372"/>
      <c r="L253" s="1372"/>
      <c r="M253" s="1372"/>
      <c r="N253" s="1372"/>
      <c r="O253" s="1372"/>
      <c r="P253" s="1372"/>
      <c r="Q253" s="1372"/>
      <c r="R253" s="1372"/>
      <c r="S253" s="1372"/>
      <c r="T253" s="1372"/>
      <c r="U253" s="1372"/>
      <c r="V253" s="1372"/>
      <c r="W253" s="1372"/>
      <c r="X253" s="1372"/>
      <c r="Y253" s="1372"/>
      <c r="Z253" s="1372"/>
    </row>
    <row r="254" spans="1:26" ht="15.75" customHeight="1" x14ac:dyDescent="0.25">
      <c r="A254" s="1371"/>
      <c r="B254" s="1371"/>
      <c r="C254" s="1371"/>
      <c r="D254" s="1371"/>
      <c r="E254" s="1371"/>
      <c r="F254" s="1371"/>
      <c r="G254" s="1371"/>
      <c r="H254" s="1371"/>
      <c r="I254" s="1372"/>
      <c r="J254" s="1372"/>
      <c r="K254" s="1372"/>
      <c r="L254" s="1372"/>
      <c r="M254" s="1372"/>
      <c r="N254" s="1372"/>
      <c r="O254" s="1372"/>
      <c r="P254" s="1372"/>
      <c r="Q254" s="1372"/>
      <c r="R254" s="1372"/>
      <c r="S254" s="1372"/>
      <c r="T254" s="1372"/>
      <c r="U254" s="1372"/>
      <c r="V254" s="1372"/>
      <c r="W254" s="1372"/>
      <c r="X254" s="1372"/>
      <c r="Y254" s="1372"/>
      <c r="Z254" s="1372"/>
    </row>
    <row r="255" spans="1:26" ht="15.75" customHeight="1" x14ac:dyDescent="0.25">
      <c r="A255" s="1371"/>
      <c r="B255" s="1371"/>
      <c r="C255" s="1371"/>
      <c r="D255" s="1371"/>
      <c r="E255" s="1371"/>
      <c r="F255" s="1371"/>
      <c r="G255" s="1371"/>
      <c r="H255" s="1371"/>
      <c r="I255" s="1372"/>
      <c r="J255" s="1372"/>
      <c r="K255" s="1372"/>
      <c r="L255" s="1372"/>
      <c r="M255" s="1372"/>
      <c r="N255" s="1372"/>
      <c r="O255" s="1372"/>
      <c r="P255" s="1372"/>
      <c r="Q255" s="1372"/>
      <c r="R255" s="1372"/>
      <c r="S255" s="1372"/>
      <c r="T255" s="1372"/>
      <c r="U255" s="1372"/>
      <c r="V255" s="1372"/>
      <c r="W255" s="1372"/>
      <c r="X255" s="1372"/>
      <c r="Y255" s="1372"/>
      <c r="Z255" s="1372"/>
    </row>
    <row r="256" spans="1:26" ht="15.75" customHeight="1" x14ac:dyDescent="0.25">
      <c r="A256" s="1371"/>
      <c r="B256" s="1371"/>
      <c r="C256" s="1371"/>
      <c r="D256" s="1371"/>
      <c r="E256" s="1371"/>
      <c r="F256" s="1371"/>
      <c r="G256" s="1371"/>
      <c r="H256" s="1371"/>
      <c r="I256" s="1372"/>
      <c r="J256" s="1372"/>
      <c r="K256" s="1372"/>
      <c r="L256" s="1372"/>
      <c r="M256" s="1372"/>
      <c r="N256" s="1372"/>
      <c r="O256" s="1372"/>
      <c r="P256" s="1372"/>
      <c r="Q256" s="1372"/>
      <c r="R256" s="1372"/>
      <c r="S256" s="1372"/>
      <c r="T256" s="1372"/>
      <c r="U256" s="1372"/>
      <c r="V256" s="1372"/>
      <c r="W256" s="1372"/>
      <c r="X256" s="1372"/>
      <c r="Y256" s="1372"/>
      <c r="Z256" s="1372"/>
    </row>
    <row r="257" spans="1:26" ht="15.75" customHeight="1" x14ac:dyDescent="0.25">
      <c r="A257" s="1371"/>
      <c r="B257" s="1371"/>
      <c r="C257" s="1371"/>
      <c r="D257" s="1371"/>
      <c r="E257" s="1371"/>
      <c r="F257" s="1371"/>
      <c r="G257" s="1371"/>
      <c r="H257" s="1371"/>
      <c r="I257" s="1372"/>
      <c r="J257" s="1372"/>
      <c r="K257" s="1372"/>
      <c r="L257" s="1372"/>
      <c r="M257" s="1372"/>
      <c r="N257" s="1372"/>
      <c r="O257" s="1372"/>
      <c r="P257" s="1372"/>
      <c r="Q257" s="1372"/>
      <c r="R257" s="1372"/>
      <c r="S257" s="1372"/>
      <c r="T257" s="1372"/>
      <c r="U257" s="1372"/>
      <c r="V257" s="1372"/>
      <c r="W257" s="1372"/>
      <c r="X257" s="1372"/>
      <c r="Y257" s="1372"/>
      <c r="Z257" s="1372"/>
    </row>
    <row r="258" spans="1:26" ht="15.75" customHeight="1" x14ac:dyDescent="0.25">
      <c r="A258" s="1371"/>
      <c r="B258" s="1371"/>
      <c r="C258" s="1371"/>
      <c r="D258" s="1371"/>
      <c r="E258" s="1371"/>
      <c r="F258" s="1371"/>
      <c r="G258" s="1371"/>
      <c r="H258" s="1371"/>
      <c r="I258" s="1372"/>
      <c r="J258" s="1372"/>
      <c r="K258" s="1372"/>
      <c r="L258" s="1372"/>
      <c r="M258" s="1372"/>
      <c r="N258" s="1372"/>
      <c r="O258" s="1372"/>
      <c r="P258" s="1372"/>
      <c r="Q258" s="1372"/>
      <c r="R258" s="1372"/>
      <c r="S258" s="1372"/>
      <c r="T258" s="1372"/>
      <c r="U258" s="1372"/>
      <c r="V258" s="1372"/>
      <c r="W258" s="1372"/>
      <c r="X258" s="1372"/>
      <c r="Y258" s="1372"/>
      <c r="Z258" s="1372"/>
    </row>
    <row r="259" spans="1:26" ht="15.75" customHeight="1" x14ac:dyDescent="0.25">
      <c r="A259" s="1371"/>
      <c r="B259" s="1371"/>
      <c r="C259" s="1371"/>
      <c r="D259" s="1371"/>
      <c r="E259" s="1371"/>
      <c r="F259" s="1371"/>
      <c r="G259" s="1371"/>
      <c r="H259" s="1371"/>
      <c r="I259" s="1372"/>
      <c r="J259" s="1372"/>
      <c r="K259" s="1372"/>
      <c r="L259" s="1372"/>
      <c r="M259" s="1372"/>
      <c r="N259" s="1372"/>
      <c r="O259" s="1372"/>
      <c r="P259" s="1372"/>
      <c r="Q259" s="1372"/>
      <c r="R259" s="1372"/>
      <c r="S259" s="1372"/>
      <c r="T259" s="1372"/>
      <c r="U259" s="1372"/>
      <c r="V259" s="1372"/>
      <c r="W259" s="1372"/>
      <c r="X259" s="1372"/>
      <c r="Y259" s="1372"/>
      <c r="Z259" s="1372"/>
    </row>
    <row r="260" spans="1:26" ht="15.75" customHeight="1" x14ac:dyDescent="0.25">
      <c r="A260" s="1371"/>
      <c r="B260" s="1371"/>
      <c r="C260" s="1371"/>
      <c r="D260" s="1371"/>
      <c r="E260" s="1371"/>
      <c r="F260" s="1371"/>
      <c r="G260" s="1371"/>
      <c r="H260" s="1371"/>
      <c r="I260" s="1372"/>
      <c r="J260" s="1372"/>
      <c r="K260" s="1372"/>
      <c r="L260" s="1372"/>
      <c r="M260" s="1372"/>
      <c r="N260" s="1372"/>
      <c r="O260" s="1372"/>
      <c r="P260" s="1372"/>
      <c r="Q260" s="1372"/>
      <c r="R260" s="1372"/>
      <c r="S260" s="1372"/>
      <c r="T260" s="1372"/>
      <c r="U260" s="1372"/>
      <c r="V260" s="1372"/>
      <c r="W260" s="1372"/>
      <c r="X260" s="1372"/>
      <c r="Y260" s="1372"/>
      <c r="Z260" s="1372"/>
    </row>
    <row r="261" spans="1:26" ht="15.75" customHeight="1" x14ac:dyDescent="0.25">
      <c r="A261" s="1371"/>
      <c r="B261" s="1371"/>
      <c r="C261" s="1371"/>
      <c r="D261" s="1371"/>
      <c r="E261" s="1371"/>
      <c r="F261" s="1371"/>
      <c r="G261" s="1371"/>
      <c r="H261" s="1371"/>
      <c r="I261" s="1372"/>
      <c r="J261" s="1372"/>
      <c r="K261" s="1372"/>
      <c r="L261" s="1372"/>
      <c r="M261" s="1372"/>
      <c r="N261" s="1372"/>
      <c r="O261" s="1372"/>
      <c r="P261" s="1372"/>
      <c r="Q261" s="1372"/>
      <c r="R261" s="1372"/>
      <c r="S261" s="1372"/>
      <c r="T261" s="1372"/>
      <c r="U261" s="1372"/>
      <c r="V261" s="1372"/>
      <c r="W261" s="1372"/>
      <c r="X261" s="1372"/>
      <c r="Y261" s="1372"/>
      <c r="Z261" s="1372"/>
    </row>
    <row r="262" spans="1:26" ht="15.75" customHeight="1" x14ac:dyDescent="0.25">
      <c r="A262" s="1371"/>
      <c r="B262" s="1371"/>
      <c r="C262" s="1371"/>
      <c r="D262" s="1371"/>
      <c r="E262" s="1371"/>
      <c r="F262" s="1371"/>
      <c r="G262" s="1371"/>
      <c r="H262" s="1371"/>
      <c r="I262" s="1372"/>
      <c r="J262" s="1372"/>
      <c r="K262" s="1372"/>
      <c r="L262" s="1372"/>
      <c r="M262" s="1372"/>
      <c r="N262" s="1372"/>
      <c r="O262" s="1372"/>
      <c r="P262" s="1372"/>
      <c r="Q262" s="1372"/>
      <c r="R262" s="1372"/>
      <c r="S262" s="1372"/>
      <c r="T262" s="1372"/>
      <c r="U262" s="1372"/>
      <c r="V262" s="1372"/>
      <c r="W262" s="1372"/>
      <c r="X262" s="1372"/>
      <c r="Y262" s="1372"/>
      <c r="Z262" s="1372"/>
    </row>
    <row r="263" spans="1:26" ht="15.75" customHeight="1" x14ac:dyDescent="0.25">
      <c r="A263" s="1371"/>
      <c r="B263" s="1371"/>
      <c r="C263" s="1371"/>
      <c r="D263" s="1371"/>
      <c r="E263" s="1371"/>
      <c r="F263" s="1371"/>
      <c r="G263" s="1371"/>
      <c r="H263" s="1371"/>
      <c r="I263" s="1372"/>
      <c r="J263" s="1372"/>
      <c r="K263" s="1372"/>
      <c r="L263" s="1372"/>
      <c r="M263" s="1372"/>
      <c r="N263" s="1372"/>
      <c r="O263" s="1372"/>
      <c r="P263" s="1372"/>
      <c r="Q263" s="1372"/>
      <c r="R263" s="1372"/>
      <c r="S263" s="1372"/>
      <c r="T263" s="1372"/>
      <c r="U263" s="1372"/>
      <c r="V263" s="1372"/>
      <c r="W263" s="1372"/>
      <c r="X263" s="1372"/>
      <c r="Y263" s="1372"/>
      <c r="Z263" s="1372"/>
    </row>
    <row r="264" spans="1:26" ht="15.75" customHeight="1" x14ac:dyDescent="0.25">
      <c r="A264" s="1371"/>
      <c r="B264" s="1371"/>
      <c r="C264" s="1371"/>
      <c r="D264" s="1371"/>
      <c r="E264" s="1371"/>
      <c r="F264" s="1371"/>
      <c r="G264" s="1371"/>
      <c r="H264" s="1371"/>
      <c r="I264" s="1372"/>
      <c r="J264" s="1372"/>
      <c r="K264" s="1372"/>
      <c r="L264" s="1372"/>
      <c r="M264" s="1372"/>
      <c r="N264" s="1372"/>
      <c r="O264" s="1372"/>
      <c r="P264" s="1372"/>
      <c r="Q264" s="1372"/>
      <c r="R264" s="1372"/>
      <c r="S264" s="1372"/>
      <c r="T264" s="1372"/>
      <c r="U264" s="1372"/>
      <c r="V264" s="1372"/>
      <c r="W264" s="1372"/>
      <c r="X264" s="1372"/>
      <c r="Y264" s="1372"/>
      <c r="Z264" s="1372"/>
    </row>
    <row r="265" spans="1:26" ht="15.75" customHeight="1" x14ac:dyDescent="0.25">
      <c r="A265" s="1371"/>
      <c r="B265" s="1371"/>
      <c r="C265" s="1371"/>
      <c r="D265" s="1371"/>
      <c r="E265" s="1371"/>
      <c r="F265" s="1371"/>
      <c r="G265" s="1371"/>
      <c r="H265" s="1371"/>
      <c r="I265" s="1372"/>
      <c r="J265" s="1372"/>
      <c r="K265" s="1372"/>
      <c r="L265" s="1372"/>
      <c r="M265" s="1372"/>
      <c r="N265" s="1372"/>
      <c r="O265" s="1372"/>
      <c r="P265" s="1372"/>
      <c r="Q265" s="1372"/>
      <c r="R265" s="1372"/>
      <c r="S265" s="1372"/>
      <c r="T265" s="1372"/>
      <c r="U265" s="1372"/>
      <c r="V265" s="1372"/>
      <c r="W265" s="1372"/>
      <c r="X265" s="1372"/>
      <c r="Y265" s="1372"/>
      <c r="Z265" s="1372"/>
    </row>
    <row r="266" spans="1:26" ht="15.75" customHeight="1" x14ac:dyDescent="0.25">
      <c r="A266" s="1371"/>
      <c r="B266" s="1371"/>
      <c r="C266" s="1371"/>
      <c r="D266" s="1371"/>
      <c r="E266" s="1371"/>
      <c r="F266" s="1371"/>
      <c r="G266" s="1371"/>
      <c r="H266" s="1371"/>
      <c r="I266" s="1372"/>
      <c r="J266" s="1372"/>
      <c r="K266" s="1372"/>
      <c r="L266" s="1372"/>
      <c r="M266" s="1372"/>
      <c r="N266" s="1372"/>
      <c r="O266" s="1372"/>
      <c r="P266" s="1372"/>
      <c r="Q266" s="1372"/>
      <c r="R266" s="1372"/>
      <c r="S266" s="1372"/>
      <c r="T266" s="1372"/>
      <c r="U266" s="1372"/>
      <c r="V266" s="1372"/>
      <c r="W266" s="1372"/>
      <c r="X266" s="1372"/>
      <c r="Y266" s="1372"/>
      <c r="Z266" s="1372"/>
    </row>
    <row r="267" spans="1:26" ht="15.75" customHeight="1" x14ac:dyDescent="0.25">
      <c r="A267" s="1371"/>
      <c r="B267" s="1371"/>
      <c r="C267" s="1371"/>
      <c r="D267" s="1371"/>
      <c r="E267" s="1371"/>
      <c r="F267" s="1371"/>
      <c r="G267" s="1371"/>
      <c r="H267" s="1371"/>
      <c r="I267" s="1372"/>
      <c r="J267" s="1372"/>
      <c r="K267" s="1372"/>
      <c r="L267" s="1372"/>
      <c r="M267" s="1372"/>
      <c r="N267" s="1372"/>
      <c r="O267" s="1372"/>
      <c r="P267" s="1372"/>
      <c r="Q267" s="1372"/>
      <c r="R267" s="1372"/>
      <c r="S267" s="1372"/>
      <c r="T267" s="1372"/>
      <c r="U267" s="1372"/>
      <c r="V267" s="1372"/>
      <c r="W267" s="1372"/>
      <c r="X267" s="1372"/>
      <c r="Y267" s="1372"/>
      <c r="Z267" s="1372"/>
    </row>
    <row r="268" spans="1:26" ht="15.75" customHeight="1" x14ac:dyDescent="0.25">
      <c r="A268" s="1371"/>
      <c r="B268" s="1371"/>
      <c r="C268" s="1371"/>
      <c r="D268" s="1371"/>
      <c r="E268" s="1371"/>
      <c r="F268" s="1371"/>
      <c r="G268" s="1371"/>
      <c r="H268" s="1371"/>
      <c r="I268" s="1372"/>
      <c r="J268" s="1372"/>
      <c r="K268" s="1372"/>
      <c r="L268" s="1372"/>
      <c r="M268" s="1372"/>
      <c r="N268" s="1372"/>
      <c r="O268" s="1372"/>
      <c r="P268" s="1372"/>
      <c r="Q268" s="1372"/>
      <c r="R268" s="1372"/>
      <c r="S268" s="1372"/>
      <c r="T268" s="1372"/>
      <c r="U268" s="1372"/>
      <c r="V268" s="1372"/>
      <c r="W268" s="1372"/>
      <c r="X268" s="1372"/>
      <c r="Y268" s="1372"/>
      <c r="Z268" s="1372"/>
    </row>
    <row r="269" spans="1:26" ht="15.75" customHeight="1" x14ac:dyDescent="0.25">
      <c r="A269" s="1371"/>
      <c r="B269" s="1371"/>
      <c r="C269" s="1371"/>
      <c r="D269" s="1371"/>
      <c r="E269" s="1371"/>
      <c r="F269" s="1371"/>
      <c r="G269" s="1371"/>
      <c r="H269" s="1371"/>
      <c r="I269" s="1372"/>
      <c r="J269" s="1372"/>
      <c r="K269" s="1372"/>
      <c r="L269" s="1372"/>
      <c r="M269" s="1372"/>
      <c r="N269" s="1372"/>
      <c r="O269" s="1372"/>
      <c r="P269" s="1372"/>
      <c r="Q269" s="1372"/>
      <c r="R269" s="1372"/>
      <c r="S269" s="1372"/>
      <c r="T269" s="1372"/>
      <c r="U269" s="1372"/>
      <c r="V269" s="1372"/>
      <c r="W269" s="1372"/>
      <c r="X269" s="1372"/>
      <c r="Y269" s="1372"/>
      <c r="Z269" s="1372"/>
    </row>
    <row r="270" spans="1:26" ht="15.75" customHeight="1" x14ac:dyDescent="0.25">
      <c r="A270" s="1371"/>
      <c r="B270" s="1371"/>
      <c r="C270" s="1371"/>
      <c r="D270" s="1371"/>
      <c r="E270" s="1371"/>
      <c r="F270" s="1371"/>
      <c r="G270" s="1371"/>
      <c r="H270" s="1371"/>
      <c r="I270" s="1372"/>
      <c r="J270" s="1372"/>
      <c r="K270" s="1372"/>
      <c r="L270" s="1372"/>
      <c r="M270" s="1372"/>
      <c r="N270" s="1372"/>
      <c r="O270" s="1372"/>
      <c r="P270" s="1372"/>
      <c r="Q270" s="1372"/>
      <c r="R270" s="1372"/>
      <c r="S270" s="1372"/>
      <c r="T270" s="1372"/>
      <c r="U270" s="1372"/>
      <c r="V270" s="1372"/>
      <c r="W270" s="1372"/>
      <c r="X270" s="1372"/>
      <c r="Y270" s="1372"/>
      <c r="Z270" s="1372"/>
    </row>
    <row r="271" spans="1:26" ht="15.75" customHeight="1" x14ac:dyDescent="0.25">
      <c r="A271" s="1371"/>
      <c r="B271" s="1371"/>
      <c r="C271" s="1371"/>
      <c r="D271" s="1371"/>
      <c r="E271" s="1371"/>
      <c r="F271" s="1371"/>
      <c r="G271" s="1371"/>
      <c r="H271" s="1371"/>
      <c r="I271" s="1372"/>
      <c r="J271" s="1372"/>
      <c r="K271" s="1372"/>
      <c r="L271" s="1372"/>
      <c r="M271" s="1372"/>
      <c r="N271" s="1372"/>
      <c r="O271" s="1372"/>
      <c r="P271" s="1372"/>
      <c r="Q271" s="1372"/>
      <c r="R271" s="1372"/>
      <c r="S271" s="1372"/>
      <c r="T271" s="1372"/>
      <c r="U271" s="1372"/>
      <c r="V271" s="1372"/>
      <c r="W271" s="1372"/>
      <c r="X271" s="1372"/>
      <c r="Y271" s="1372"/>
      <c r="Z271" s="1372"/>
    </row>
    <row r="272" spans="1:26" ht="15.75" customHeight="1" x14ac:dyDescent="0.25">
      <c r="A272" s="1371"/>
      <c r="B272" s="1371"/>
      <c r="C272" s="1371"/>
      <c r="D272" s="1371"/>
      <c r="E272" s="1371"/>
      <c r="F272" s="1371"/>
      <c r="G272" s="1371"/>
      <c r="H272" s="1371"/>
      <c r="I272" s="1372"/>
      <c r="J272" s="1372"/>
      <c r="K272" s="1372"/>
      <c r="L272" s="1372"/>
      <c r="M272" s="1372"/>
      <c r="N272" s="1372"/>
      <c r="O272" s="1372"/>
      <c r="P272" s="1372"/>
      <c r="Q272" s="1372"/>
      <c r="R272" s="1372"/>
      <c r="S272" s="1372"/>
      <c r="T272" s="1372"/>
      <c r="U272" s="1372"/>
      <c r="V272" s="1372"/>
      <c r="W272" s="1372"/>
      <c r="X272" s="1372"/>
      <c r="Y272" s="1372"/>
      <c r="Z272" s="1372"/>
    </row>
    <row r="273" spans="1:26" ht="15.75" customHeight="1" x14ac:dyDescent="0.25">
      <c r="A273" s="1371"/>
      <c r="B273" s="1371"/>
      <c r="C273" s="1371"/>
      <c r="D273" s="1371"/>
      <c r="E273" s="1371"/>
      <c r="F273" s="1371"/>
      <c r="G273" s="1371"/>
      <c r="H273" s="1371"/>
      <c r="I273" s="1372"/>
      <c r="J273" s="1372"/>
      <c r="K273" s="1372"/>
      <c r="L273" s="1372"/>
      <c r="M273" s="1372"/>
      <c r="N273" s="1372"/>
      <c r="O273" s="1372"/>
      <c r="P273" s="1372"/>
      <c r="Q273" s="1372"/>
      <c r="R273" s="1372"/>
      <c r="S273" s="1372"/>
      <c r="T273" s="1372"/>
      <c r="U273" s="1372"/>
      <c r="V273" s="1372"/>
      <c r="W273" s="1372"/>
      <c r="X273" s="1372"/>
      <c r="Y273" s="1372"/>
      <c r="Z273" s="1372"/>
    </row>
    <row r="274" spans="1:26" ht="15.75" customHeight="1" x14ac:dyDescent="0.25">
      <c r="A274" s="1371"/>
      <c r="B274" s="1371"/>
      <c r="C274" s="1371"/>
      <c r="D274" s="1371"/>
      <c r="E274" s="1371"/>
      <c r="F274" s="1371"/>
      <c r="G274" s="1371"/>
      <c r="H274" s="1371"/>
      <c r="I274" s="1372"/>
      <c r="J274" s="1372"/>
      <c r="K274" s="1372"/>
      <c r="L274" s="1372"/>
      <c r="M274" s="1372"/>
      <c r="N274" s="1372"/>
      <c r="O274" s="1372"/>
      <c r="P274" s="1372"/>
      <c r="Q274" s="1372"/>
      <c r="R274" s="1372"/>
      <c r="S274" s="1372"/>
      <c r="T274" s="1372"/>
      <c r="U274" s="1372"/>
      <c r="V274" s="1372"/>
      <c r="W274" s="1372"/>
      <c r="X274" s="1372"/>
      <c r="Y274" s="1372"/>
      <c r="Z274" s="1372"/>
    </row>
    <row r="275" spans="1:26" ht="15.75" customHeight="1" x14ac:dyDescent="0.25">
      <c r="A275" s="1371"/>
      <c r="B275" s="1371"/>
      <c r="C275" s="1371"/>
      <c r="D275" s="1371"/>
      <c r="E275" s="1371"/>
      <c r="F275" s="1371"/>
      <c r="G275" s="1371"/>
      <c r="H275" s="1371"/>
      <c r="I275" s="1372"/>
      <c r="J275" s="1372"/>
      <c r="K275" s="1372"/>
      <c r="L275" s="1372"/>
      <c r="M275" s="1372"/>
      <c r="N275" s="1372"/>
      <c r="O275" s="1372"/>
      <c r="P275" s="1372"/>
      <c r="Q275" s="1372"/>
      <c r="R275" s="1372"/>
      <c r="S275" s="1372"/>
      <c r="T275" s="1372"/>
      <c r="U275" s="1372"/>
      <c r="V275" s="1372"/>
      <c r="W275" s="1372"/>
      <c r="X275" s="1372"/>
      <c r="Y275" s="1372"/>
      <c r="Z275" s="1372"/>
    </row>
    <row r="276" spans="1:26" ht="15.75" customHeight="1" x14ac:dyDescent="0.25">
      <c r="A276" s="1371"/>
      <c r="B276" s="1371"/>
      <c r="C276" s="1371"/>
      <c r="D276" s="1371"/>
      <c r="E276" s="1371"/>
      <c r="F276" s="1371"/>
      <c r="G276" s="1371"/>
      <c r="H276" s="1371"/>
      <c r="I276" s="1372"/>
      <c r="J276" s="1372"/>
      <c r="K276" s="1372"/>
      <c r="L276" s="1372"/>
      <c r="M276" s="1372"/>
      <c r="N276" s="1372"/>
      <c r="O276" s="1372"/>
      <c r="P276" s="1372"/>
      <c r="Q276" s="1372"/>
      <c r="R276" s="1372"/>
      <c r="S276" s="1372"/>
      <c r="T276" s="1372"/>
      <c r="U276" s="1372"/>
      <c r="V276" s="1372"/>
      <c r="W276" s="1372"/>
      <c r="X276" s="1372"/>
      <c r="Y276" s="1372"/>
      <c r="Z276" s="1372"/>
    </row>
    <row r="277" spans="1:26" ht="15.75" customHeight="1" x14ac:dyDescent="0.25">
      <c r="A277" s="1371"/>
      <c r="B277" s="1371"/>
      <c r="C277" s="1371"/>
      <c r="D277" s="1371"/>
      <c r="E277" s="1371"/>
      <c r="F277" s="1371"/>
      <c r="G277" s="1371"/>
      <c r="H277" s="1371"/>
      <c r="I277" s="1372"/>
      <c r="J277" s="1372"/>
      <c r="K277" s="1372"/>
      <c r="L277" s="1372"/>
      <c r="M277" s="1372"/>
      <c r="N277" s="1372"/>
      <c r="O277" s="1372"/>
      <c r="P277" s="1372"/>
      <c r="Q277" s="1372"/>
      <c r="R277" s="1372"/>
      <c r="S277" s="1372"/>
      <c r="T277" s="1372"/>
      <c r="U277" s="1372"/>
      <c r="V277" s="1372"/>
      <c r="W277" s="1372"/>
      <c r="X277" s="1372"/>
      <c r="Y277" s="1372"/>
      <c r="Z277" s="1372"/>
    </row>
    <row r="278" spans="1:26" ht="15.75" customHeight="1" x14ac:dyDescent="0.25">
      <c r="A278" s="1371"/>
      <c r="B278" s="1371"/>
      <c r="C278" s="1371"/>
      <c r="D278" s="1371"/>
      <c r="E278" s="1371"/>
      <c r="F278" s="1371"/>
      <c r="G278" s="1371"/>
      <c r="H278" s="1371"/>
      <c r="I278" s="1372"/>
      <c r="J278" s="1372"/>
      <c r="K278" s="1372"/>
      <c r="L278" s="1372"/>
      <c r="M278" s="1372"/>
      <c r="N278" s="1372"/>
      <c r="O278" s="1372"/>
      <c r="P278" s="1372"/>
      <c r="Q278" s="1372"/>
      <c r="R278" s="1372"/>
      <c r="S278" s="1372"/>
      <c r="T278" s="1372"/>
      <c r="U278" s="1372"/>
      <c r="V278" s="1372"/>
      <c r="W278" s="1372"/>
      <c r="X278" s="1372"/>
      <c r="Y278" s="1372"/>
      <c r="Z278" s="1372"/>
    </row>
    <row r="279" spans="1:26" ht="15.75" customHeight="1" x14ac:dyDescent="0.25">
      <c r="A279" s="1371"/>
      <c r="B279" s="1371"/>
      <c r="C279" s="1371"/>
      <c r="D279" s="1371"/>
      <c r="E279" s="1371"/>
      <c r="F279" s="1371"/>
      <c r="G279" s="1371"/>
      <c r="H279" s="1371"/>
      <c r="I279" s="1372"/>
      <c r="J279" s="1372"/>
      <c r="K279" s="1372"/>
      <c r="L279" s="1372"/>
      <c r="M279" s="1372"/>
      <c r="N279" s="1372"/>
      <c r="O279" s="1372"/>
      <c r="P279" s="1372"/>
      <c r="Q279" s="1372"/>
      <c r="R279" s="1372"/>
      <c r="S279" s="1372"/>
      <c r="T279" s="1372"/>
      <c r="U279" s="1372"/>
      <c r="V279" s="1372"/>
      <c r="W279" s="1372"/>
      <c r="X279" s="1372"/>
      <c r="Y279" s="1372"/>
      <c r="Z279" s="1372"/>
    </row>
    <row r="280" spans="1:26" ht="15.75" customHeight="1" x14ac:dyDescent="0.25">
      <c r="A280" s="1371"/>
      <c r="B280" s="1371"/>
      <c r="C280" s="1371"/>
      <c r="D280" s="1371"/>
      <c r="E280" s="1371"/>
      <c r="F280" s="1371"/>
      <c r="G280" s="1371"/>
      <c r="H280" s="1371"/>
      <c r="I280" s="1372"/>
      <c r="J280" s="1372"/>
      <c r="K280" s="1372"/>
      <c r="L280" s="1372"/>
      <c r="M280" s="1372"/>
      <c r="N280" s="1372"/>
      <c r="O280" s="1372"/>
      <c r="P280" s="1372"/>
      <c r="Q280" s="1372"/>
      <c r="R280" s="1372"/>
      <c r="S280" s="1372"/>
      <c r="T280" s="1372"/>
      <c r="U280" s="1372"/>
      <c r="V280" s="1372"/>
      <c r="W280" s="1372"/>
      <c r="X280" s="1372"/>
      <c r="Y280" s="1372"/>
      <c r="Z280" s="1372"/>
    </row>
    <row r="281" spans="1:26" ht="15.75" customHeight="1" x14ac:dyDescent="0.25">
      <c r="A281" s="1371"/>
      <c r="B281" s="1371"/>
      <c r="C281" s="1371"/>
      <c r="D281" s="1371"/>
      <c r="E281" s="1371"/>
      <c r="F281" s="1371"/>
      <c r="G281" s="1371"/>
      <c r="H281" s="1371"/>
      <c r="I281" s="1372"/>
      <c r="J281" s="1372"/>
      <c r="K281" s="1372"/>
      <c r="L281" s="1372"/>
      <c r="M281" s="1372"/>
      <c r="N281" s="1372"/>
      <c r="O281" s="1372"/>
      <c r="P281" s="1372"/>
      <c r="Q281" s="1372"/>
      <c r="R281" s="1372"/>
      <c r="S281" s="1372"/>
      <c r="T281" s="1372"/>
      <c r="U281" s="1372"/>
      <c r="V281" s="1372"/>
      <c r="W281" s="1372"/>
      <c r="X281" s="1372"/>
      <c r="Y281" s="1372"/>
      <c r="Z281" s="1372"/>
    </row>
    <row r="282" spans="1:26" ht="15.75" customHeight="1" x14ac:dyDescent="0.25">
      <c r="A282" s="1371"/>
      <c r="B282" s="1371"/>
      <c r="C282" s="1371"/>
      <c r="D282" s="1371"/>
      <c r="E282" s="1371"/>
      <c r="F282" s="1371"/>
      <c r="G282" s="1371"/>
      <c r="H282" s="1371"/>
      <c r="I282" s="1372"/>
      <c r="J282" s="1372"/>
      <c r="K282" s="1372"/>
      <c r="L282" s="1372"/>
      <c r="M282" s="1372"/>
      <c r="N282" s="1372"/>
      <c r="O282" s="1372"/>
      <c r="P282" s="1372"/>
      <c r="Q282" s="1372"/>
      <c r="R282" s="1372"/>
      <c r="S282" s="1372"/>
      <c r="T282" s="1372"/>
      <c r="U282" s="1372"/>
      <c r="V282" s="1372"/>
      <c r="W282" s="1372"/>
      <c r="X282" s="1372"/>
      <c r="Y282" s="1372"/>
      <c r="Z282" s="1372"/>
    </row>
    <row r="283" spans="1:26" ht="15.75" customHeight="1" x14ac:dyDescent="0.25">
      <c r="A283" s="1371"/>
      <c r="B283" s="1371"/>
      <c r="C283" s="1371"/>
      <c r="D283" s="1371"/>
      <c r="E283" s="1371"/>
      <c r="F283" s="1371"/>
      <c r="G283" s="1371"/>
      <c r="H283" s="1371"/>
      <c r="I283" s="1372"/>
      <c r="J283" s="1372"/>
      <c r="K283" s="1372"/>
      <c r="L283" s="1372"/>
      <c r="M283" s="1372"/>
      <c r="N283" s="1372"/>
      <c r="O283" s="1372"/>
      <c r="P283" s="1372"/>
      <c r="Q283" s="1372"/>
      <c r="R283" s="1372"/>
      <c r="S283" s="1372"/>
      <c r="T283" s="1372"/>
      <c r="U283" s="1372"/>
      <c r="V283" s="1372"/>
      <c r="W283" s="1372"/>
      <c r="X283" s="1372"/>
      <c r="Y283" s="1372"/>
      <c r="Z283" s="1372"/>
    </row>
    <row r="284" spans="1:26" ht="15.75" customHeight="1" x14ac:dyDescent="0.25">
      <c r="A284" s="1371"/>
      <c r="B284" s="1371"/>
      <c r="C284" s="1371"/>
      <c r="D284" s="1371"/>
      <c r="E284" s="1371"/>
      <c r="F284" s="1371"/>
      <c r="G284" s="1371"/>
      <c r="H284" s="1371"/>
      <c r="I284" s="1372"/>
      <c r="J284" s="1372"/>
      <c r="K284" s="1372"/>
      <c r="L284" s="1372"/>
      <c r="M284" s="1372"/>
      <c r="N284" s="1372"/>
      <c r="O284" s="1372"/>
      <c r="P284" s="1372"/>
      <c r="Q284" s="1372"/>
      <c r="R284" s="1372"/>
      <c r="S284" s="1372"/>
      <c r="T284" s="1372"/>
      <c r="U284" s="1372"/>
      <c r="V284" s="1372"/>
      <c r="W284" s="1372"/>
      <c r="X284" s="1372"/>
      <c r="Y284" s="1372"/>
      <c r="Z284" s="1372"/>
    </row>
    <row r="285" spans="1:26" ht="15.75" customHeight="1" x14ac:dyDescent="0.25">
      <c r="A285" s="1371"/>
      <c r="B285" s="1371"/>
      <c r="C285" s="1371"/>
      <c r="D285" s="1371"/>
      <c r="E285" s="1371"/>
      <c r="F285" s="1371"/>
      <c r="G285" s="1371"/>
      <c r="H285" s="1371"/>
      <c r="I285" s="1372"/>
      <c r="J285" s="1372"/>
      <c r="K285" s="1372"/>
      <c r="L285" s="1372"/>
      <c r="M285" s="1372"/>
      <c r="N285" s="1372"/>
      <c r="O285" s="1372"/>
      <c r="P285" s="1372"/>
      <c r="Q285" s="1372"/>
      <c r="R285" s="1372"/>
      <c r="S285" s="1372"/>
      <c r="T285" s="1372"/>
      <c r="U285" s="1372"/>
      <c r="V285" s="1372"/>
      <c r="W285" s="1372"/>
      <c r="X285" s="1372"/>
      <c r="Y285" s="1372"/>
      <c r="Z285" s="1372"/>
    </row>
    <row r="286" spans="1:26" ht="15.75" customHeight="1" x14ac:dyDescent="0.25">
      <c r="A286" s="1371"/>
      <c r="B286" s="1371"/>
      <c r="C286" s="1371"/>
      <c r="D286" s="1371"/>
      <c r="E286" s="1371"/>
      <c r="F286" s="1371"/>
      <c r="G286" s="1371"/>
      <c r="H286" s="1371"/>
      <c r="I286" s="1372"/>
      <c r="J286" s="1372"/>
      <c r="K286" s="1372"/>
      <c r="L286" s="1372"/>
      <c r="M286" s="1372"/>
      <c r="N286" s="1372"/>
      <c r="O286" s="1372"/>
      <c r="P286" s="1372"/>
      <c r="Q286" s="1372"/>
      <c r="R286" s="1372"/>
      <c r="S286" s="1372"/>
      <c r="T286" s="1372"/>
      <c r="U286" s="1372"/>
      <c r="V286" s="1372"/>
      <c r="W286" s="1372"/>
      <c r="X286" s="1372"/>
      <c r="Y286" s="1372"/>
      <c r="Z286" s="1372"/>
    </row>
    <row r="287" spans="1:26" ht="15.75" customHeight="1" x14ac:dyDescent="0.25">
      <c r="A287" s="1371"/>
      <c r="B287" s="1371"/>
      <c r="C287" s="1371"/>
      <c r="D287" s="1371"/>
      <c r="E287" s="1371"/>
      <c r="F287" s="1371"/>
      <c r="G287" s="1371"/>
      <c r="H287" s="1371"/>
      <c r="I287" s="1372"/>
      <c r="J287" s="1372"/>
      <c r="K287" s="1372"/>
      <c r="L287" s="1372"/>
      <c r="M287" s="1372"/>
      <c r="N287" s="1372"/>
      <c r="O287" s="1372"/>
      <c r="P287" s="1372"/>
      <c r="Q287" s="1372"/>
      <c r="R287" s="1372"/>
      <c r="S287" s="1372"/>
      <c r="T287" s="1372"/>
      <c r="U287" s="1372"/>
      <c r="V287" s="1372"/>
      <c r="W287" s="1372"/>
      <c r="X287" s="1372"/>
      <c r="Y287" s="1372"/>
      <c r="Z287" s="1372"/>
    </row>
    <row r="288" spans="1:26" ht="15.75" customHeight="1" x14ac:dyDescent="0.25">
      <c r="A288" s="1371"/>
      <c r="B288" s="1371"/>
      <c r="C288" s="1371"/>
      <c r="D288" s="1371"/>
      <c r="E288" s="1371"/>
      <c r="F288" s="1371"/>
      <c r="G288" s="1371"/>
      <c r="H288" s="1371"/>
      <c r="I288" s="1372"/>
      <c r="J288" s="1372"/>
      <c r="K288" s="1372"/>
      <c r="L288" s="1372"/>
      <c r="M288" s="1372"/>
      <c r="N288" s="1372"/>
      <c r="O288" s="1372"/>
      <c r="P288" s="1372"/>
      <c r="Q288" s="1372"/>
      <c r="R288" s="1372"/>
      <c r="S288" s="1372"/>
      <c r="T288" s="1372"/>
      <c r="U288" s="1372"/>
      <c r="V288" s="1372"/>
      <c r="W288" s="1372"/>
      <c r="X288" s="1372"/>
      <c r="Y288" s="1372"/>
      <c r="Z288" s="1372"/>
    </row>
    <row r="289" spans="1:26" ht="15.75" customHeight="1" x14ac:dyDescent="0.25">
      <c r="A289" s="1371"/>
      <c r="B289" s="1371"/>
      <c r="C289" s="1371"/>
      <c r="D289" s="1371"/>
      <c r="E289" s="1371"/>
      <c r="F289" s="1371"/>
      <c r="G289" s="1371"/>
      <c r="H289" s="1371"/>
      <c r="I289" s="1372"/>
      <c r="J289" s="1372"/>
      <c r="K289" s="1372"/>
      <c r="L289" s="1372"/>
      <c r="M289" s="1372"/>
      <c r="N289" s="1372"/>
      <c r="O289" s="1372"/>
      <c r="P289" s="1372"/>
      <c r="Q289" s="1372"/>
      <c r="R289" s="1372"/>
      <c r="S289" s="1372"/>
      <c r="T289" s="1372"/>
      <c r="U289" s="1372"/>
      <c r="V289" s="1372"/>
      <c r="W289" s="1372"/>
      <c r="X289" s="1372"/>
      <c r="Y289" s="1372"/>
      <c r="Z289" s="1372"/>
    </row>
    <row r="290" spans="1:26" ht="15.75" customHeight="1" x14ac:dyDescent="0.25">
      <c r="A290" s="1371"/>
      <c r="B290" s="1371"/>
      <c r="C290" s="1371"/>
      <c r="D290" s="1371"/>
      <c r="E290" s="1371"/>
      <c r="F290" s="1371"/>
      <c r="G290" s="1371"/>
      <c r="H290" s="1371"/>
      <c r="I290" s="1372"/>
      <c r="J290" s="1372"/>
      <c r="K290" s="1372"/>
      <c r="L290" s="1372"/>
      <c r="M290" s="1372"/>
      <c r="N290" s="1372"/>
      <c r="O290" s="1372"/>
      <c r="P290" s="1372"/>
      <c r="Q290" s="1372"/>
      <c r="R290" s="1372"/>
      <c r="S290" s="1372"/>
      <c r="T290" s="1372"/>
      <c r="U290" s="1372"/>
      <c r="V290" s="1372"/>
      <c r="W290" s="1372"/>
      <c r="X290" s="1372"/>
      <c r="Y290" s="1372"/>
      <c r="Z290" s="1372"/>
    </row>
    <row r="291" spans="1:26" ht="15.75" customHeight="1" x14ac:dyDescent="0.25">
      <c r="A291" s="1371"/>
      <c r="B291" s="1371"/>
      <c r="C291" s="1371"/>
      <c r="D291" s="1371"/>
      <c r="E291" s="1371"/>
      <c r="F291" s="1371"/>
      <c r="G291" s="1371"/>
      <c r="H291" s="1371"/>
      <c r="I291" s="1372"/>
      <c r="J291" s="1372"/>
      <c r="K291" s="1372"/>
      <c r="L291" s="1372"/>
      <c r="M291" s="1372"/>
      <c r="N291" s="1372"/>
      <c r="O291" s="1372"/>
      <c r="P291" s="1372"/>
      <c r="Q291" s="1372"/>
      <c r="R291" s="1372"/>
      <c r="S291" s="1372"/>
      <c r="T291" s="1372"/>
      <c r="U291" s="1372"/>
      <c r="V291" s="1372"/>
      <c r="W291" s="1372"/>
      <c r="X291" s="1372"/>
      <c r="Y291" s="1372"/>
      <c r="Z291" s="1372"/>
    </row>
    <row r="292" spans="1:26" ht="15.75" customHeight="1" x14ac:dyDescent="0.25">
      <c r="A292" s="1371"/>
      <c r="B292" s="1371"/>
      <c r="C292" s="1371"/>
      <c r="D292" s="1371"/>
      <c r="E292" s="1371"/>
      <c r="F292" s="1371"/>
      <c r="G292" s="1371"/>
      <c r="H292" s="1371"/>
      <c r="I292" s="1372"/>
      <c r="J292" s="1372"/>
      <c r="K292" s="1372"/>
      <c r="L292" s="1372"/>
      <c r="M292" s="1372"/>
      <c r="N292" s="1372"/>
      <c r="O292" s="1372"/>
      <c r="P292" s="1372"/>
      <c r="Q292" s="1372"/>
      <c r="R292" s="1372"/>
      <c r="S292" s="1372"/>
      <c r="T292" s="1372"/>
      <c r="U292" s="1372"/>
      <c r="V292" s="1372"/>
      <c r="W292" s="1372"/>
      <c r="X292" s="1372"/>
      <c r="Y292" s="1372"/>
      <c r="Z292" s="1372"/>
    </row>
    <row r="293" spans="1:26" ht="15.75" customHeight="1" x14ac:dyDescent="0.25">
      <c r="A293" s="1371"/>
      <c r="B293" s="1371"/>
      <c r="C293" s="1371"/>
      <c r="D293" s="1371"/>
      <c r="E293" s="1371"/>
      <c r="F293" s="1371"/>
      <c r="G293" s="1371"/>
      <c r="H293" s="1371"/>
      <c r="I293" s="1372"/>
      <c r="J293" s="1372"/>
      <c r="K293" s="1372"/>
      <c r="L293" s="1372"/>
      <c r="M293" s="1372"/>
      <c r="N293" s="1372"/>
      <c r="O293" s="1372"/>
      <c r="P293" s="1372"/>
      <c r="Q293" s="1372"/>
      <c r="R293" s="1372"/>
      <c r="S293" s="1372"/>
      <c r="T293" s="1372"/>
      <c r="U293" s="1372"/>
      <c r="V293" s="1372"/>
      <c r="W293" s="1372"/>
      <c r="X293" s="1372"/>
      <c r="Y293" s="1372"/>
      <c r="Z293" s="1372"/>
    </row>
    <row r="294" spans="1:26" ht="15.75" customHeight="1" x14ac:dyDescent="0.25">
      <c r="A294" s="1371"/>
      <c r="B294" s="1371"/>
      <c r="C294" s="1371"/>
      <c r="D294" s="1371"/>
      <c r="E294" s="1371"/>
      <c r="F294" s="1371"/>
      <c r="G294" s="1371"/>
      <c r="H294" s="1371"/>
      <c r="I294" s="1372"/>
      <c r="J294" s="1372"/>
      <c r="K294" s="1372"/>
      <c r="L294" s="1372"/>
      <c r="M294" s="1372"/>
      <c r="N294" s="1372"/>
      <c r="O294" s="1372"/>
      <c r="P294" s="1372"/>
      <c r="Q294" s="1372"/>
      <c r="R294" s="1372"/>
      <c r="S294" s="1372"/>
      <c r="T294" s="1372"/>
      <c r="U294" s="1372"/>
      <c r="V294" s="1372"/>
      <c r="W294" s="1372"/>
      <c r="X294" s="1372"/>
      <c r="Y294" s="1372"/>
      <c r="Z294" s="1372"/>
    </row>
    <row r="295" spans="1:26" ht="15.75" customHeight="1" x14ac:dyDescent="0.25">
      <c r="A295" s="1371"/>
      <c r="B295" s="1371"/>
      <c r="C295" s="1371"/>
      <c r="D295" s="1371"/>
      <c r="E295" s="1371"/>
      <c r="F295" s="1371"/>
      <c r="G295" s="1371"/>
      <c r="H295" s="1371"/>
      <c r="I295" s="1372"/>
      <c r="J295" s="1372"/>
      <c r="K295" s="1372"/>
      <c r="L295" s="1372"/>
      <c r="M295" s="1372"/>
      <c r="N295" s="1372"/>
      <c r="O295" s="1372"/>
      <c r="P295" s="1372"/>
      <c r="Q295" s="1372"/>
      <c r="R295" s="1372"/>
      <c r="S295" s="1372"/>
      <c r="T295" s="1372"/>
      <c r="U295" s="1372"/>
      <c r="V295" s="1372"/>
      <c r="W295" s="1372"/>
      <c r="X295" s="1372"/>
      <c r="Y295" s="1372"/>
      <c r="Z295" s="1372"/>
    </row>
    <row r="296" spans="1:26" ht="15.75" customHeight="1" x14ac:dyDescent="0.25">
      <c r="A296" s="1371"/>
      <c r="B296" s="1371"/>
      <c r="C296" s="1371"/>
      <c r="D296" s="1371"/>
      <c r="E296" s="1371"/>
      <c r="F296" s="1371"/>
      <c r="G296" s="1371"/>
      <c r="H296" s="1371"/>
      <c r="I296" s="1372"/>
      <c r="J296" s="1372"/>
      <c r="K296" s="1372"/>
      <c r="L296" s="1372"/>
      <c r="M296" s="1372"/>
      <c r="N296" s="1372"/>
      <c r="O296" s="1372"/>
      <c r="P296" s="1372"/>
      <c r="Q296" s="1372"/>
      <c r="R296" s="1372"/>
      <c r="S296" s="1372"/>
      <c r="T296" s="1372"/>
      <c r="U296" s="1372"/>
      <c r="V296" s="1372"/>
      <c r="W296" s="1372"/>
      <c r="X296" s="1372"/>
      <c r="Y296" s="1372"/>
      <c r="Z296" s="1372"/>
    </row>
    <row r="297" spans="1:26" ht="15.75" customHeight="1" x14ac:dyDescent="0.25">
      <c r="A297" s="1371"/>
      <c r="B297" s="1371"/>
      <c r="C297" s="1371"/>
      <c r="D297" s="1371"/>
      <c r="E297" s="1371"/>
      <c r="F297" s="1371"/>
      <c r="G297" s="1371"/>
      <c r="H297" s="1371"/>
      <c r="I297" s="1372"/>
      <c r="J297" s="1372"/>
      <c r="K297" s="1372"/>
      <c r="L297" s="1372"/>
      <c r="M297" s="1372"/>
      <c r="N297" s="1372"/>
      <c r="O297" s="1372"/>
      <c r="P297" s="1372"/>
      <c r="Q297" s="1372"/>
      <c r="R297" s="1372"/>
      <c r="S297" s="1372"/>
      <c r="T297" s="1372"/>
      <c r="U297" s="1372"/>
      <c r="V297" s="1372"/>
      <c r="W297" s="1372"/>
      <c r="X297" s="1372"/>
      <c r="Y297" s="1372"/>
      <c r="Z297" s="1372"/>
    </row>
    <row r="298" spans="1:26" ht="15.75" customHeight="1" x14ac:dyDescent="0.25">
      <c r="A298" s="1371"/>
      <c r="B298" s="1371"/>
      <c r="C298" s="1371"/>
      <c r="D298" s="1371"/>
      <c r="E298" s="1371"/>
      <c r="F298" s="1371"/>
      <c r="G298" s="1371"/>
      <c r="H298" s="1371"/>
      <c r="I298" s="1372"/>
      <c r="J298" s="1372"/>
      <c r="K298" s="1372"/>
      <c r="L298" s="1372"/>
      <c r="M298" s="1372"/>
      <c r="N298" s="1372"/>
      <c r="O298" s="1372"/>
      <c r="P298" s="1372"/>
      <c r="Q298" s="1372"/>
      <c r="R298" s="1372"/>
      <c r="S298" s="1372"/>
      <c r="T298" s="1372"/>
      <c r="U298" s="1372"/>
      <c r="V298" s="1372"/>
      <c r="W298" s="1372"/>
      <c r="X298" s="1372"/>
      <c r="Y298" s="1372"/>
      <c r="Z298" s="1372"/>
    </row>
    <row r="299" spans="1:26" ht="15.75" customHeight="1" x14ac:dyDescent="0.25">
      <c r="A299" s="1371"/>
      <c r="B299" s="1371"/>
      <c r="C299" s="1371"/>
      <c r="D299" s="1371"/>
      <c r="E299" s="1371"/>
      <c r="F299" s="1371"/>
      <c r="G299" s="1371"/>
      <c r="H299" s="1371"/>
      <c r="I299" s="1372"/>
      <c r="J299" s="1372"/>
      <c r="K299" s="1372"/>
      <c r="L299" s="1372"/>
      <c r="M299" s="1372"/>
      <c r="N299" s="1372"/>
      <c r="O299" s="1372"/>
      <c r="P299" s="1372"/>
      <c r="Q299" s="1372"/>
      <c r="R299" s="1372"/>
      <c r="S299" s="1372"/>
      <c r="T299" s="1372"/>
      <c r="U299" s="1372"/>
      <c r="V299" s="1372"/>
      <c r="W299" s="1372"/>
      <c r="X299" s="1372"/>
      <c r="Y299" s="1372"/>
      <c r="Z299" s="1372"/>
    </row>
    <row r="300" spans="1:26" ht="15.75" customHeight="1" x14ac:dyDescent="0.25">
      <c r="A300" s="1371"/>
      <c r="B300" s="1371"/>
      <c r="C300" s="1371"/>
      <c r="D300" s="1371"/>
      <c r="E300" s="1371"/>
      <c r="F300" s="1371"/>
      <c r="G300" s="1371"/>
      <c r="H300" s="1371"/>
      <c r="I300" s="1372"/>
      <c r="J300" s="1372"/>
      <c r="K300" s="1372"/>
      <c r="L300" s="1372"/>
      <c r="M300" s="1372"/>
      <c r="N300" s="1372"/>
      <c r="O300" s="1372"/>
      <c r="P300" s="1372"/>
      <c r="Q300" s="1372"/>
      <c r="R300" s="1372"/>
      <c r="S300" s="1372"/>
      <c r="T300" s="1372"/>
      <c r="U300" s="1372"/>
      <c r="V300" s="1372"/>
      <c r="W300" s="1372"/>
      <c r="X300" s="1372"/>
      <c r="Y300" s="1372"/>
      <c r="Z300" s="1372"/>
    </row>
    <row r="301" spans="1:26" ht="15.75" customHeight="1" x14ac:dyDescent="0.25">
      <c r="A301" s="1371"/>
      <c r="B301" s="1371"/>
      <c r="C301" s="1371"/>
      <c r="D301" s="1371"/>
      <c r="E301" s="1371"/>
      <c r="F301" s="1371"/>
      <c r="G301" s="1371"/>
      <c r="H301" s="1371"/>
      <c r="I301" s="1372"/>
      <c r="J301" s="1372"/>
      <c r="K301" s="1372"/>
      <c r="L301" s="1372"/>
      <c r="M301" s="1372"/>
      <c r="N301" s="1372"/>
      <c r="O301" s="1372"/>
      <c r="P301" s="1372"/>
      <c r="Q301" s="1372"/>
      <c r="R301" s="1372"/>
      <c r="S301" s="1372"/>
      <c r="T301" s="1372"/>
      <c r="U301" s="1372"/>
      <c r="V301" s="1372"/>
      <c r="W301" s="1372"/>
      <c r="X301" s="1372"/>
      <c r="Y301" s="1372"/>
      <c r="Z301" s="1372"/>
    </row>
    <row r="302" spans="1:26" ht="15.75" customHeight="1" x14ac:dyDescent="0.25">
      <c r="A302" s="1371"/>
      <c r="B302" s="1371"/>
      <c r="C302" s="1371"/>
      <c r="D302" s="1371"/>
      <c r="E302" s="1371"/>
      <c r="F302" s="1371"/>
      <c r="G302" s="1371"/>
      <c r="H302" s="1371"/>
      <c r="I302" s="1372"/>
      <c r="J302" s="1372"/>
      <c r="K302" s="1372"/>
      <c r="L302" s="1372"/>
      <c r="M302" s="1372"/>
      <c r="N302" s="1372"/>
      <c r="O302" s="1372"/>
      <c r="P302" s="1372"/>
      <c r="Q302" s="1372"/>
      <c r="R302" s="1372"/>
      <c r="S302" s="1372"/>
      <c r="T302" s="1372"/>
      <c r="U302" s="1372"/>
      <c r="V302" s="1372"/>
      <c r="W302" s="1372"/>
      <c r="X302" s="1372"/>
      <c r="Y302" s="1372"/>
      <c r="Z302" s="1372"/>
    </row>
    <row r="303" spans="1:26" ht="15.75" customHeight="1" x14ac:dyDescent="0.25">
      <c r="A303" s="1371"/>
      <c r="B303" s="1371"/>
      <c r="C303" s="1371"/>
      <c r="D303" s="1371"/>
      <c r="E303" s="1371"/>
      <c r="F303" s="1371"/>
      <c r="G303" s="1371"/>
      <c r="H303" s="1371"/>
      <c r="I303" s="1372"/>
      <c r="J303" s="1372"/>
      <c r="K303" s="1372"/>
      <c r="L303" s="1372"/>
      <c r="M303" s="1372"/>
      <c r="N303" s="1372"/>
      <c r="O303" s="1372"/>
      <c r="P303" s="1372"/>
      <c r="Q303" s="1372"/>
      <c r="R303" s="1372"/>
      <c r="S303" s="1372"/>
      <c r="T303" s="1372"/>
      <c r="U303" s="1372"/>
      <c r="V303" s="1372"/>
      <c r="W303" s="1372"/>
      <c r="X303" s="1372"/>
      <c r="Y303" s="1372"/>
      <c r="Z303" s="1372"/>
    </row>
    <row r="304" spans="1:26" ht="15.75" customHeight="1" x14ac:dyDescent="0.25">
      <c r="A304" s="1371"/>
      <c r="B304" s="1371"/>
      <c r="C304" s="1371"/>
      <c r="D304" s="1371"/>
      <c r="E304" s="1371"/>
      <c r="F304" s="1371"/>
      <c r="G304" s="1371"/>
      <c r="H304" s="1371"/>
      <c r="I304" s="1372"/>
      <c r="J304" s="1372"/>
      <c r="K304" s="1372"/>
      <c r="L304" s="1372"/>
      <c r="M304" s="1372"/>
      <c r="N304" s="1372"/>
      <c r="O304" s="1372"/>
      <c r="P304" s="1372"/>
      <c r="Q304" s="1372"/>
      <c r="R304" s="1372"/>
      <c r="S304" s="1372"/>
      <c r="T304" s="1372"/>
      <c r="U304" s="1372"/>
      <c r="V304" s="1372"/>
      <c r="W304" s="1372"/>
      <c r="X304" s="1372"/>
      <c r="Y304" s="1372"/>
      <c r="Z304" s="1372"/>
    </row>
    <row r="305" spans="1:26" ht="15.75" customHeight="1" x14ac:dyDescent="0.25">
      <c r="A305" s="1371"/>
      <c r="B305" s="1371"/>
      <c r="C305" s="1371"/>
      <c r="D305" s="1371"/>
      <c r="E305" s="1371"/>
      <c r="F305" s="1371"/>
      <c r="G305" s="1371"/>
      <c r="H305" s="1371"/>
      <c r="I305" s="1372"/>
      <c r="J305" s="1372"/>
      <c r="K305" s="1372"/>
      <c r="L305" s="1372"/>
      <c r="M305" s="1372"/>
      <c r="N305" s="1372"/>
      <c r="O305" s="1372"/>
      <c r="P305" s="1372"/>
      <c r="Q305" s="1372"/>
      <c r="R305" s="1372"/>
      <c r="S305" s="1372"/>
      <c r="T305" s="1372"/>
      <c r="U305" s="1372"/>
      <c r="V305" s="1372"/>
      <c r="W305" s="1372"/>
      <c r="X305" s="1372"/>
      <c r="Y305" s="1372"/>
      <c r="Z305" s="1372"/>
    </row>
    <row r="306" spans="1:26" ht="15.75" customHeight="1" x14ac:dyDescent="0.25">
      <c r="A306" s="1371"/>
      <c r="B306" s="1371"/>
      <c r="C306" s="1371"/>
      <c r="D306" s="1371"/>
      <c r="E306" s="1371"/>
      <c r="F306" s="1371"/>
      <c r="G306" s="1371"/>
      <c r="H306" s="1371"/>
      <c r="I306" s="1372"/>
      <c r="J306" s="1372"/>
      <c r="K306" s="1372"/>
      <c r="L306" s="1372"/>
      <c r="M306" s="1372"/>
      <c r="N306" s="1372"/>
      <c r="O306" s="1372"/>
      <c r="P306" s="1372"/>
      <c r="Q306" s="1372"/>
      <c r="R306" s="1372"/>
      <c r="S306" s="1372"/>
      <c r="T306" s="1372"/>
      <c r="U306" s="1372"/>
      <c r="V306" s="1372"/>
      <c r="W306" s="1372"/>
      <c r="X306" s="1372"/>
      <c r="Y306" s="1372"/>
      <c r="Z306" s="1372"/>
    </row>
    <row r="307" spans="1:26" ht="15.75" customHeight="1" x14ac:dyDescent="0.25">
      <c r="A307" s="1371"/>
      <c r="B307" s="1371"/>
      <c r="C307" s="1371"/>
      <c r="D307" s="1371"/>
      <c r="E307" s="1371"/>
      <c r="F307" s="1371"/>
      <c r="G307" s="1371"/>
      <c r="H307" s="1371"/>
      <c r="I307" s="1372"/>
      <c r="J307" s="1372"/>
      <c r="K307" s="1372"/>
      <c r="L307" s="1372"/>
      <c r="M307" s="1372"/>
      <c r="N307" s="1372"/>
      <c r="O307" s="1372"/>
      <c r="P307" s="1372"/>
      <c r="Q307" s="1372"/>
      <c r="R307" s="1372"/>
      <c r="S307" s="1372"/>
      <c r="T307" s="1372"/>
      <c r="U307" s="1372"/>
      <c r="V307" s="1372"/>
      <c r="W307" s="1372"/>
      <c r="X307" s="1372"/>
      <c r="Y307" s="1372"/>
      <c r="Z307" s="1372"/>
    </row>
    <row r="308" spans="1:26" ht="15.75" customHeight="1" x14ac:dyDescent="0.25">
      <c r="A308" s="1371"/>
      <c r="B308" s="1371"/>
      <c r="C308" s="1371"/>
      <c r="D308" s="1371"/>
      <c r="E308" s="1371"/>
      <c r="F308" s="1371"/>
      <c r="G308" s="1371"/>
      <c r="H308" s="1371"/>
      <c r="I308" s="1372"/>
      <c r="J308" s="1372"/>
      <c r="K308" s="1372"/>
      <c r="L308" s="1372"/>
      <c r="M308" s="1372"/>
      <c r="N308" s="1372"/>
      <c r="O308" s="1372"/>
      <c r="P308" s="1372"/>
      <c r="Q308" s="1372"/>
      <c r="R308" s="1372"/>
      <c r="S308" s="1372"/>
      <c r="T308" s="1372"/>
      <c r="U308" s="1372"/>
      <c r="V308" s="1372"/>
      <c r="W308" s="1372"/>
      <c r="X308" s="1372"/>
      <c r="Y308" s="1372"/>
      <c r="Z308" s="1372"/>
    </row>
    <row r="309" spans="1:26" ht="15.75" customHeight="1" x14ac:dyDescent="0.25">
      <c r="A309" s="1371"/>
      <c r="B309" s="1371"/>
      <c r="C309" s="1371"/>
      <c r="D309" s="1371"/>
      <c r="E309" s="1371"/>
      <c r="F309" s="1371"/>
      <c r="G309" s="1371"/>
      <c r="H309" s="1371"/>
      <c r="I309" s="1372"/>
      <c r="J309" s="1372"/>
      <c r="K309" s="1372"/>
      <c r="L309" s="1372"/>
      <c r="M309" s="1372"/>
      <c r="N309" s="1372"/>
      <c r="O309" s="1372"/>
      <c r="P309" s="1372"/>
      <c r="Q309" s="1372"/>
      <c r="R309" s="1372"/>
      <c r="S309" s="1372"/>
      <c r="T309" s="1372"/>
      <c r="U309" s="1372"/>
      <c r="V309" s="1372"/>
      <c r="W309" s="1372"/>
      <c r="X309" s="1372"/>
      <c r="Y309" s="1372"/>
      <c r="Z309" s="1372"/>
    </row>
    <row r="310" spans="1:26" ht="15.75" customHeight="1" x14ac:dyDescent="0.25">
      <c r="A310" s="1371"/>
      <c r="B310" s="1371"/>
      <c r="C310" s="1371"/>
      <c r="D310" s="1371"/>
      <c r="E310" s="1371"/>
      <c r="F310" s="1371"/>
      <c r="G310" s="1371"/>
      <c r="H310" s="1371"/>
      <c r="I310" s="1372"/>
      <c r="J310" s="1372"/>
      <c r="K310" s="1372"/>
      <c r="L310" s="1372"/>
      <c r="M310" s="1372"/>
      <c r="N310" s="1372"/>
      <c r="O310" s="1372"/>
      <c r="P310" s="1372"/>
      <c r="Q310" s="1372"/>
      <c r="R310" s="1372"/>
      <c r="S310" s="1372"/>
      <c r="T310" s="1372"/>
      <c r="U310" s="1372"/>
      <c r="V310" s="1372"/>
      <c r="W310" s="1372"/>
      <c r="X310" s="1372"/>
      <c r="Y310" s="1372"/>
      <c r="Z310" s="1372"/>
    </row>
    <row r="311" spans="1:26" ht="15.75" customHeight="1" x14ac:dyDescent="0.25">
      <c r="A311" s="1371"/>
      <c r="B311" s="1371"/>
      <c r="C311" s="1371"/>
      <c r="D311" s="1371"/>
      <c r="E311" s="1371"/>
      <c r="F311" s="1371"/>
      <c r="G311" s="1371"/>
      <c r="H311" s="1371"/>
      <c r="I311" s="1372"/>
      <c r="J311" s="1372"/>
      <c r="K311" s="1372"/>
      <c r="L311" s="1372"/>
      <c r="M311" s="1372"/>
      <c r="N311" s="1372"/>
      <c r="O311" s="1372"/>
      <c r="P311" s="1372"/>
      <c r="Q311" s="1372"/>
      <c r="R311" s="1372"/>
      <c r="S311" s="1372"/>
      <c r="T311" s="1372"/>
      <c r="U311" s="1372"/>
      <c r="V311" s="1372"/>
      <c r="W311" s="1372"/>
      <c r="X311" s="1372"/>
      <c r="Y311" s="1372"/>
      <c r="Z311" s="1372"/>
    </row>
    <row r="312" spans="1:26" ht="15.75" customHeight="1" x14ac:dyDescent="0.25">
      <c r="A312" s="1371"/>
      <c r="B312" s="1371"/>
      <c r="C312" s="1371"/>
      <c r="D312" s="1371"/>
      <c r="E312" s="1371"/>
      <c r="F312" s="1371"/>
      <c r="G312" s="1371"/>
      <c r="H312" s="1371"/>
      <c r="I312" s="1372"/>
      <c r="J312" s="1372"/>
      <c r="K312" s="1372"/>
      <c r="L312" s="1372"/>
      <c r="M312" s="1372"/>
      <c r="N312" s="1372"/>
      <c r="O312" s="1372"/>
      <c r="P312" s="1372"/>
      <c r="Q312" s="1372"/>
      <c r="R312" s="1372"/>
      <c r="S312" s="1372"/>
      <c r="T312" s="1372"/>
      <c r="U312" s="1372"/>
      <c r="V312" s="1372"/>
      <c r="W312" s="1372"/>
      <c r="X312" s="1372"/>
      <c r="Y312" s="1372"/>
      <c r="Z312" s="1372"/>
    </row>
    <row r="313" spans="1:26" ht="15.75" customHeight="1" x14ac:dyDescent="0.25">
      <c r="A313" s="1371"/>
      <c r="B313" s="1371"/>
      <c r="C313" s="1371"/>
      <c r="D313" s="1371"/>
      <c r="E313" s="1371"/>
      <c r="F313" s="1371"/>
      <c r="G313" s="1371"/>
      <c r="H313" s="1371"/>
      <c r="I313" s="1372"/>
      <c r="J313" s="1372"/>
      <c r="K313" s="1372"/>
      <c r="L313" s="1372"/>
      <c r="M313" s="1372"/>
      <c r="N313" s="1372"/>
      <c r="O313" s="1372"/>
      <c r="P313" s="1372"/>
      <c r="Q313" s="1372"/>
      <c r="R313" s="1372"/>
      <c r="S313" s="1372"/>
      <c r="T313" s="1372"/>
      <c r="U313" s="1372"/>
      <c r="V313" s="1372"/>
      <c r="W313" s="1372"/>
      <c r="X313" s="1372"/>
      <c r="Y313" s="1372"/>
      <c r="Z313" s="1372"/>
    </row>
    <row r="314" spans="1:26" ht="15.75" customHeight="1" x14ac:dyDescent="0.25">
      <c r="A314" s="1371"/>
      <c r="B314" s="1371"/>
      <c r="C314" s="1371"/>
      <c r="D314" s="1371"/>
      <c r="E314" s="1371"/>
      <c r="F314" s="1371"/>
      <c r="G314" s="1371"/>
      <c r="H314" s="1371"/>
      <c r="I314" s="1372"/>
      <c r="J314" s="1372"/>
      <c r="K314" s="1372"/>
      <c r="L314" s="1372"/>
      <c r="M314" s="1372"/>
      <c r="N314" s="1372"/>
      <c r="O314" s="1372"/>
      <c r="P314" s="1372"/>
      <c r="Q314" s="1372"/>
      <c r="R314" s="1372"/>
      <c r="S314" s="1372"/>
      <c r="T314" s="1372"/>
      <c r="U314" s="1372"/>
      <c r="V314" s="1372"/>
      <c r="W314" s="1372"/>
      <c r="X314" s="1372"/>
      <c r="Y314" s="1372"/>
      <c r="Z314" s="1372"/>
    </row>
    <row r="315" spans="1:26" ht="15.75" customHeight="1" x14ac:dyDescent="0.25">
      <c r="A315" s="1371"/>
      <c r="B315" s="1371"/>
      <c r="C315" s="1371"/>
      <c r="D315" s="1371"/>
      <c r="E315" s="1371"/>
      <c r="F315" s="1371"/>
      <c r="G315" s="1371"/>
      <c r="H315" s="1371"/>
      <c r="I315" s="1372"/>
      <c r="J315" s="1372"/>
      <c r="K315" s="1372"/>
      <c r="L315" s="1372"/>
      <c r="M315" s="1372"/>
      <c r="N315" s="1372"/>
      <c r="O315" s="1372"/>
      <c r="P315" s="1372"/>
      <c r="Q315" s="1372"/>
      <c r="R315" s="1372"/>
      <c r="S315" s="1372"/>
      <c r="T315" s="1372"/>
      <c r="U315" s="1372"/>
      <c r="V315" s="1372"/>
      <c r="W315" s="1372"/>
      <c r="X315" s="1372"/>
      <c r="Y315" s="1372"/>
      <c r="Z315" s="1372"/>
    </row>
    <row r="316" spans="1:26" ht="15.75" customHeight="1" x14ac:dyDescent="0.25">
      <c r="A316" s="1371"/>
      <c r="B316" s="1371"/>
      <c r="C316" s="1371"/>
      <c r="D316" s="1371"/>
      <c r="E316" s="1371"/>
      <c r="F316" s="1371"/>
      <c r="G316" s="1371"/>
      <c r="H316" s="1371"/>
      <c r="I316" s="1372"/>
      <c r="J316" s="1372"/>
      <c r="K316" s="1372"/>
      <c r="L316" s="1372"/>
      <c r="M316" s="1372"/>
      <c r="N316" s="1372"/>
      <c r="O316" s="1372"/>
      <c r="P316" s="1372"/>
      <c r="Q316" s="1372"/>
      <c r="R316" s="1372"/>
      <c r="S316" s="1372"/>
      <c r="T316" s="1372"/>
      <c r="U316" s="1372"/>
      <c r="V316" s="1372"/>
      <c r="W316" s="1372"/>
      <c r="X316" s="1372"/>
      <c r="Y316" s="1372"/>
      <c r="Z316" s="1372"/>
    </row>
    <row r="317" spans="1:26" ht="15.75" customHeight="1" x14ac:dyDescent="0.25">
      <c r="A317" s="1371"/>
      <c r="B317" s="1371"/>
      <c r="C317" s="1371"/>
      <c r="D317" s="1371"/>
      <c r="E317" s="1371"/>
      <c r="F317" s="1371"/>
      <c r="G317" s="1371"/>
      <c r="H317" s="1371"/>
      <c r="I317" s="1372"/>
      <c r="J317" s="1372"/>
      <c r="K317" s="1372"/>
      <c r="L317" s="1372"/>
      <c r="M317" s="1372"/>
      <c r="N317" s="1372"/>
      <c r="O317" s="1372"/>
      <c r="P317" s="1372"/>
      <c r="Q317" s="1372"/>
      <c r="R317" s="1372"/>
      <c r="S317" s="1372"/>
      <c r="T317" s="1372"/>
      <c r="U317" s="1372"/>
      <c r="V317" s="1372"/>
      <c r="W317" s="1372"/>
      <c r="X317" s="1372"/>
      <c r="Y317" s="1372"/>
      <c r="Z317" s="1372"/>
    </row>
    <row r="318" spans="1:26" ht="15.75" customHeight="1" x14ac:dyDescent="0.25">
      <c r="A318" s="1371"/>
      <c r="B318" s="1371"/>
      <c r="C318" s="1371"/>
      <c r="D318" s="1371"/>
      <c r="E318" s="1371"/>
      <c r="F318" s="1371"/>
      <c r="G318" s="1371"/>
      <c r="H318" s="1371"/>
      <c r="I318" s="1372"/>
      <c r="J318" s="1372"/>
      <c r="K318" s="1372"/>
      <c r="L318" s="1372"/>
      <c r="M318" s="1372"/>
      <c r="N318" s="1372"/>
      <c r="O318" s="1372"/>
      <c r="P318" s="1372"/>
      <c r="Q318" s="1372"/>
      <c r="R318" s="1372"/>
      <c r="S318" s="1372"/>
      <c r="T318" s="1372"/>
      <c r="U318" s="1372"/>
      <c r="V318" s="1372"/>
      <c r="W318" s="1372"/>
      <c r="X318" s="1372"/>
      <c r="Y318" s="1372"/>
      <c r="Z318" s="1372"/>
    </row>
    <row r="319" spans="1:26" ht="15.75" customHeight="1" x14ac:dyDescent="0.25">
      <c r="A319" s="1371"/>
      <c r="B319" s="1371"/>
      <c r="C319" s="1371"/>
      <c r="D319" s="1371"/>
      <c r="E319" s="1371"/>
      <c r="F319" s="1371"/>
      <c r="G319" s="1371"/>
      <c r="H319" s="1371"/>
      <c r="I319" s="1372"/>
      <c r="J319" s="1372"/>
      <c r="K319" s="1372"/>
      <c r="L319" s="1372"/>
      <c r="M319" s="1372"/>
      <c r="N319" s="1372"/>
      <c r="O319" s="1372"/>
      <c r="P319" s="1372"/>
      <c r="Q319" s="1372"/>
      <c r="R319" s="1372"/>
      <c r="S319" s="1372"/>
      <c r="T319" s="1372"/>
      <c r="U319" s="1372"/>
      <c r="V319" s="1372"/>
      <c r="W319" s="1372"/>
      <c r="X319" s="1372"/>
      <c r="Y319" s="1372"/>
      <c r="Z319" s="1372"/>
    </row>
    <row r="320" spans="1:26" ht="15.75" customHeight="1" x14ac:dyDescent="0.25">
      <c r="A320" s="1371"/>
      <c r="B320" s="1371"/>
      <c r="C320" s="1371"/>
      <c r="D320" s="1371"/>
      <c r="E320" s="1371"/>
      <c r="F320" s="1371"/>
      <c r="G320" s="1371"/>
      <c r="H320" s="1371"/>
      <c r="I320" s="1372"/>
      <c r="J320" s="1372"/>
      <c r="K320" s="1372"/>
      <c r="L320" s="1372"/>
      <c r="M320" s="1372"/>
      <c r="N320" s="1372"/>
      <c r="O320" s="1372"/>
      <c r="P320" s="1372"/>
      <c r="Q320" s="1372"/>
      <c r="R320" s="1372"/>
      <c r="S320" s="1372"/>
      <c r="T320" s="1372"/>
      <c r="U320" s="1372"/>
      <c r="V320" s="1372"/>
      <c r="W320" s="1372"/>
      <c r="X320" s="1372"/>
      <c r="Y320" s="1372"/>
      <c r="Z320" s="1372"/>
    </row>
    <row r="321" spans="1:26" ht="15.75" customHeight="1" x14ac:dyDescent="0.25">
      <c r="A321" s="1371"/>
      <c r="B321" s="1371"/>
      <c r="C321" s="1371"/>
      <c r="D321" s="1371"/>
      <c r="E321" s="1371"/>
      <c r="F321" s="1371"/>
      <c r="G321" s="1371"/>
      <c r="H321" s="1371"/>
      <c r="I321" s="1372"/>
      <c r="J321" s="1372"/>
      <c r="K321" s="1372"/>
      <c r="L321" s="1372"/>
      <c r="M321" s="1372"/>
      <c r="N321" s="1372"/>
      <c r="O321" s="1372"/>
      <c r="P321" s="1372"/>
      <c r="Q321" s="1372"/>
      <c r="R321" s="1372"/>
      <c r="S321" s="1372"/>
      <c r="T321" s="1372"/>
      <c r="U321" s="1372"/>
      <c r="V321" s="1372"/>
      <c r="W321" s="1372"/>
      <c r="X321" s="1372"/>
      <c r="Y321" s="1372"/>
      <c r="Z321" s="1372"/>
    </row>
    <row r="322" spans="1:26" ht="15.75" customHeight="1" x14ac:dyDescent="0.25">
      <c r="A322" s="1371"/>
      <c r="B322" s="1371"/>
      <c r="C322" s="1371"/>
      <c r="D322" s="1371"/>
      <c r="E322" s="1371"/>
      <c r="F322" s="1371"/>
      <c r="G322" s="1371"/>
      <c r="H322" s="1371"/>
      <c r="I322" s="1372"/>
      <c r="J322" s="1372"/>
      <c r="K322" s="1372"/>
      <c r="L322" s="1372"/>
      <c r="M322" s="1372"/>
      <c r="N322" s="1372"/>
      <c r="O322" s="1372"/>
      <c r="P322" s="1372"/>
      <c r="Q322" s="1372"/>
      <c r="R322" s="1372"/>
      <c r="S322" s="1372"/>
      <c r="T322" s="1372"/>
      <c r="U322" s="1372"/>
      <c r="V322" s="1372"/>
      <c r="W322" s="1372"/>
      <c r="X322" s="1372"/>
      <c r="Y322" s="1372"/>
      <c r="Z322" s="1372"/>
    </row>
    <row r="323" spans="1:26" ht="15.75" customHeight="1" x14ac:dyDescent="0.25">
      <c r="A323" s="1371"/>
      <c r="B323" s="1371"/>
      <c r="C323" s="1371"/>
      <c r="D323" s="1371"/>
      <c r="E323" s="1371"/>
      <c r="F323" s="1371"/>
      <c r="G323" s="1371"/>
      <c r="H323" s="1371"/>
      <c r="I323" s="1372"/>
      <c r="J323" s="1372"/>
      <c r="K323" s="1372"/>
      <c r="L323" s="1372"/>
      <c r="M323" s="1372"/>
      <c r="N323" s="1372"/>
      <c r="O323" s="1372"/>
      <c r="P323" s="1372"/>
      <c r="Q323" s="1372"/>
      <c r="R323" s="1372"/>
      <c r="S323" s="1372"/>
      <c r="T323" s="1372"/>
      <c r="U323" s="1372"/>
      <c r="V323" s="1372"/>
      <c r="W323" s="1372"/>
      <c r="X323" s="1372"/>
      <c r="Y323" s="1372"/>
      <c r="Z323" s="1372"/>
    </row>
    <row r="324" spans="1:26" ht="15.75" customHeight="1" x14ac:dyDescent="0.25">
      <c r="A324" s="1371"/>
      <c r="B324" s="1371"/>
      <c r="C324" s="1371"/>
      <c r="D324" s="1371"/>
      <c r="E324" s="1371"/>
      <c r="F324" s="1371"/>
      <c r="G324" s="1371"/>
      <c r="H324" s="1371"/>
      <c r="I324" s="1372"/>
      <c r="J324" s="1372"/>
      <c r="K324" s="1372"/>
      <c r="L324" s="1372"/>
      <c r="M324" s="1372"/>
      <c r="N324" s="1372"/>
      <c r="O324" s="1372"/>
      <c r="P324" s="1372"/>
      <c r="Q324" s="1372"/>
      <c r="R324" s="1372"/>
      <c r="S324" s="1372"/>
      <c r="T324" s="1372"/>
      <c r="U324" s="1372"/>
      <c r="V324" s="1372"/>
      <c r="W324" s="1372"/>
      <c r="X324" s="1372"/>
      <c r="Y324" s="1372"/>
      <c r="Z324" s="1372"/>
    </row>
    <row r="325" spans="1:26" ht="15.75" customHeight="1" x14ac:dyDescent="0.25">
      <c r="A325" s="1371"/>
      <c r="B325" s="1371"/>
      <c r="C325" s="1371"/>
      <c r="D325" s="1371"/>
      <c r="E325" s="1371"/>
      <c r="F325" s="1371"/>
      <c r="G325" s="1371"/>
      <c r="H325" s="1371"/>
      <c r="I325" s="1372"/>
      <c r="J325" s="1372"/>
      <c r="K325" s="1372"/>
      <c r="L325" s="1372"/>
      <c r="M325" s="1372"/>
      <c r="N325" s="1372"/>
      <c r="O325" s="1372"/>
      <c r="P325" s="1372"/>
      <c r="Q325" s="1372"/>
      <c r="R325" s="1372"/>
      <c r="S325" s="1372"/>
      <c r="T325" s="1372"/>
      <c r="U325" s="1372"/>
      <c r="V325" s="1372"/>
      <c r="W325" s="1372"/>
      <c r="X325" s="1372"/>
      <c r="Y325" s="1372"/>
      <c r="Z325" s="1372"/>
    </row>
    <row r="326" spans="1:26" ht="15.75" customHeight="1" x14ac:dyDescent="0.25">
      <c r="A326" s="1371"/>
      <c r="B326" s="1371"/>
      <c r="C326" s="1371"/>
      <c r="D326" s="1371"/>
      <c r="E326" s="1371"/>
      <c r="F326" s="1371"/>
      <c r="G326" s="1371"/>
      <c r="H326" s="1371"/>
      <c r="I326" s="1372"/>
      <c r="J326" s="1372"/>
      <c r="K326" s="1372"/>
      <c r="L326" s="1372"/>
      <c r="M326" s="1372"/>
      <c r="N326" s="1372"/>
      <c r="O326" s="1372"/>
      <c r="P326" s="1372"/>
      <c r="Q326" s="1372"/>
      <c r="R326" s="1372"/>
      <c r="S326" s="1372"/>
      <c r="T326" s="1372"/>
      <c r="U326" s="1372"/>
      <c r="V326" s="1372"/>
      <c r="W326" s="1372"/>
      <c r="X326" s="1372"/>
      <c r="Y326" s="1372"/>
      <c r="Z326" s="1372"/>
    </row>
    <row r="327" spans="1:26" ht="15.75" customHeight="1" x14ac:dyDescent="0.25">
      <c r="A327" s="1371"/>
      <c r="B327" s="1371"/>
      <c r="C327" s="1371"/>
      <c r="D327" s="1371"/>
      <c r="E327" s="1371"/>
      <c r="F327" s="1371"/>
      <c r="G327" s="1371"/>
      <c r="H327" s="1371"/>
      <c r="I327" s="1372"/>
      <c r="J327" s="1372"/>
      <c r="K327" s="1372"/>
      <c r="L327" s="1372"/>
      <c r="M327" s="1372"/>
      <c r="N327" s="1372"/>
      <c r="O327" s="1372"/>
      <c r="P327" s="1372"/>
      <c r="Q327" s="1372"/>
      <c r="R327" s="1372"/>
      <c r="S327" s="1372"/>
      <c r="T327" s="1372"/>
      <c r="U327" s="1372"/>
      <c r="V327" s="1372"/>
      <c r="W327" s="1372"/>
      <c r="X327" s="1372"/>
      <c r="Y327" s="1372"/>
      <c r="Z327" s="1372"/>
    </row>
    <row r="328" spans="1:26" ht="15.75" customHeight="1" x14ac:dyDescent="0.25">
      <c r="A328" s="1371"/>
      <c r="B328" s="1371"/>
      <c r="C328" s="1371"/>
      <c r="D328" s="1371"/>
      <c r="E328" s="1371"/>
      <c r="F328" s="1371"/>
      <c r="G328" s="1371"/>
      <c r="H328" s="1371"/>
      <c r="I328" s="1372"/>
      <c r="J328" s="1372"/>
      <c r="K328" s="1372"/>
      <c r="L328" s="1372"/>
      <c r="M328" s="1372"/>
      <c r="N328" s="1372"/>
      <c r="O328" s="1372"/>
      <c r="P328" s="1372"/>
      <c r="Q328" s="1372"/>
      <c r="R328" s="1372"/>
      <c r="S328" s="1372"/>
      <c r="T328" s="1372"/>
      <c r="U328" s="1372"/>
      <c r="V328" s="1372"/>
      <c r="W328" s="1372"/>
      <c r="X328" s="1372"/>
      <c r="Y328" s="1372"/>
      <c r="Z328" s="1372"/>
    </row>
    <row r="329" spans="1:26" ht="15.75" customHeight="1" x14ac:dyDescent="0.25">
      <c r="A329" s="1371"/>
      <c r="B329" s="1371"/>
      <c r="C329" s="1371"/>
      <c r="D329" s="1371"/>
      <c r="E329" s="1371"/>
      <c r="F329" s="1371"/>
      <c r="G329" s="1371"/>
      <c r="H329" s="1371"/>
      <c r="I329" s="1372"/>
      <c r="J329" s="1372"/>
      <c r="K329" s="1372"/>
      <c r="L329" s="1372"/>
      <c r="M329" s="1372"/>
      <c r="N329" s="1372"/>
      <c r="O329" s="1372"/>
      <c r="P329" s="1372"/>
      <c r="Q329" s="1372"/>
      <c r="R329" s="1372"/>
      <c r="S329" s="1372"/>
      <c r="T329" s="1372"/>
      <c r="U329" s="1372"/>
      <c r="V329" s="1372"/>
      <c r="W329" s="1372"/>
      <c r="X329" s="1372"/>
      <c r="Y329" s="1372"/>
      <c r="Z329" s="1372"/>
    </row>
    <row r="330" spans="1:26" ht="15.75" customHeight="1" x14ac:dyDescent="0.25">
      <c r="A330" s="1371"/>
      <c r="B330" s="1371"/>
      <c r="C330" s="1371"/>
      <c r="D330" s="1371"/>
      <c r="E330" s="1371"/>
      <c r="F330" s="1371"/>
      <c r="G330" s="1371"/>
      <c r="H330" s="1371"/>
      <c r="I330" s="1372"/>
      <c r="J330" s="1372"/>
      <c r="K330" s="1372"/>
      <c r="L330" s="1372"/>
      <c r="M330" s="1372"/>
      <c r="N330" s="1372"/>
      <c r="O330" s="1372"/>
      <c r="P330" s="1372"/>
      <c r="Q330" s="1372"/>
      <c r="R330" s="1372"/>
      <c r="S330" s="1372"/>
      <c r="T330" s="1372"/>
      <c r="U330" s="1372"/>
      <c r="V330" s="1372"/>
      <c r="W330" s="1372"/>
      <c r="X330" s="1372"/>
      <c r="Y330" s="1372"/>
      <c r="Z330" s="1372"/>
    </row>
    <row r="331" spans="1:26" ht="15.75" customHeight="1" x14ac:dyDescent="0.25">
      <c r="A331" s="1371"/>
      <c r="B331" s="1371"/>
      <c r="C331" s="1371"/>
      <c r="D331" s="1371"/>
      <c r="E331" s="1371"/>
      <c r="F331" s="1371"/>
      <c r="G331" s="1371"/>
      <c r="H331" s="1371"/>
      <c r="I331" s="1372"/>
      <c r="J331" s="1372"/>
      <c r="K331" s="1372"/>
      <c r="L331" s="1372"/>
      <c r="M331" s="1372"/>
      <c r="N331" s="1372"/>
      <c r="O331" s="1372"/>
      <c r="P331" s="1372"/>
      <c r="Q331" s="1372"/>
      <c r="R331" s="1372"/>
      <c r="S331" s="1372"/>
      <c r="T331" s="1372"/>
      <c r="U331" s="1372"/>
      <c r="V331" s="1372"/>
      <c r="W331" s="1372"/>
      <c r="X331" s="1372"/>
      <c r="Y331" s="1372"/>
      <c r="Z331" s="1372"/>
    </row>
    <row r="332" spans="1:26" ht="15.75" customHeight="1" x14ac:dyDescent="0.25">
      <c r="A332" s="1371"/>
      <c r="B332" s="1371"/>
      <c r="C332" s="1371"/>
      <c r="D332" s="1371"/>
      <c r="E332" s="1371"/>
      <c r="F332" s="1371"/>
      <c r="G332" s="1371"/>
      <c r="H332" s="1371"/>
      <c r="I332" s="1372"/>
      <c r="J332" s="1372"/>
      <c r="K332" s="1372"/>
      <c r="L332" s="1372"/>
      <c r="M332" s="1372"/>
      <c r="N332" s="1372"/>
      <c r="O332" s="1372"/>
      <c r="P332" s="1372"/>
      <c r="Q332" s="1372"/>
      <c r="R332" s="1372"/>
      <c r="S332" s="1372"/>
      <c r="T332" s="1372"/>
      <c r="U332" s="1372"/>
      <c r="V332" s="1372"/>
      <c r="W332" s="1372"/>
      <c r="X332" s="1372"/>
      <c r="Y332" s="1372"/>
      <c r="Z332" s="1372"/>
    </row>
    <row r="333" spans="1:26" ht="15.75" customHeight="1" x14ac:dyDescent="0.25">
      <c r="A333" s="1371"/>
      <c r="B333" s="1371"/>
      <c r="C333" s="1371"/>
      <c r="D333" s="1371"/>
      <c r="E333" s="1371"/>
      <c r="F333" s="1371"/>
      <c r="G333" s="1371"/>
      <c r="H333" s="1371"/>
      <c r="I333" s="1372"/>
      <c r="J333" s="1372"/>
      <c r="K333" s="1372"/>
      <c r="L333" s="1372"/>
      <c r="M333" s="1372"/>
      <c r="N333" s="1372"/>
      <c r="O333" s="1372"/>
      <c r="P333" s="1372"/>
      <c r="Q333" s="1372"/>
      <c r="R333" s="1372"/>
      <c r="S333" s="1372"/>
      <c r="T333" s="1372"/>
      <c r="U333" s="1372"/>
      <c r="V333" s="1372"/>
      <c r="W333" s="1372"/>
      <c r="X333" s="1372"/>
      <c r="Y333" s="1372"/>
      <c r="Z333" s="1372"/>
    </row>
    <row r="334" spans="1:26" ht="15.75" customHeight="1" x14ac:dyDescent="0.25">
      <c r="A334" s="1371"/>
      <c r="B334" s="1371"/>
      <c r="C334" s="1371"/>
      <c r="D334" s="1371"/>
      <c r="E334" s="1371"/>
      <c r="F334" s="1371"/>
      <c r="G334" s="1371"/>
      <c r="H334" s="1371"/>
      <c r="I334" s="1372"/>
      <c r="J334" s="1372"/>
      <c r="K334" s="1372"/>
      <c r="L334" s="1372"/>
      <c r="M334" s="1372"/>
      <c r="N334" s="1372"/>
      <c r="O334" s="1372"/>
      <c r="P334" s="1372"/>
      <c r="Q334" s="1372"/>
      <c r="R334" s="1372"/>
      <c r="S334" s="1372"/>
      <c r="T334" s="1372"/>
      <c r="U334" s="1372"/>
      <c r="V334" s="1372"/>
      <c r="W334" s="1372"/>
      <c r="X334" s="1372"/>
      <c r="Y334" s="1372"/>
      <c r="Z334" s="1372"/>
    </row>
    <row r="335" spans="1:26" ht="15.75" customHeight="1" x14ac:dyDescent="0.25">
      <c r="A335" s="1371"/>
      <c r="B335" s="1371"/>
      <c r="C335" s="1371"/>
      <c r="D335" s="1371"/>
      <c r="E335" s="1371"/>
      <c r="F335" s="1371"/>
      <c r="G335" s="1371"/>
      <c r="H335" s="1371"/>
      <c r="I335" s="1372"/>
      <c r="J335" s="1372"/>
      <c r="K335" s="1372"/>
      <c r="L335" s="1372"/>
      <c r="M335" s="1372"/>
      <c r="N335" s="1372"/>
      <c r="O335" s="1372"/>
      <c r="P335" s="1372"/>
      <c r="Q335" s="1372"/>
      <c r="R335" s="1372"/>
      <c r="S335" s="1372"/>
      <c r="T335" s="1372"/>
      <c r="U335" s="1372"/>
      <c r="V335" s="1372"/>
      <c r="W335" s="1372"/>
      <c r="X335" s="1372"/>
      <c r="Y335" s="1372"/>
      <c r="Z335" s="1372"/>
    </row>
    <row r="336" spans="1:26" ht="15.75" customHeight="1" x14ac:dyDescent="0.25">
      <c r="A336" s="1371"/>
      <c r="B336" s="1371"/>
      <c r="C336" s="1371"/>
      <c r="D336" s="1371"/>
      <c r="E336" s="1371"/>
      <c r="F336" s="1371"/>
      <c r="G336" s="1371"/>
      <c r="H336" s="1371"/>
      <c r="I336" s="1372"/>
      <c r="J336" s="1372"/>
      <c r="K336" s="1372"/>
      <c r="L336" s="1372"/>
      <c r="M336" s="1372"/>
      <c r="N336" s="1372"/>
      <c r="O336" s="1372"/>
      <c r="P336" s="1372"/>
      <c r="Q336" s="1372"/>
      <c r="R336" s="1372"/>
      <c r="S336" s="1372"/>
      <c r="T336" s="1372"/>
      <c r="U336" s="1372"/>
      <c r="V336" s="1372"/>
      <c r="W336" s="1372"/>
      <c r="X336" s="1372"/>
      <c r="Y336" s="1372"/>
      <c r="Z336" s="1372"/>
    </row>
    <row r="337" spans="1:26" ht="15.75" customHeight="1" x14ac:dyDescent="0.25">
      <c r="A337" s="1371"/>
      <c r="B337" s="1371"/>
      <c r="C337" s="1371"/>
      <c r="D337" s="1371"/>
      <c r="E337" s="1371"/>
      <c r="F337" s="1371"/>
      <c r="G337" s="1371"/>
      <c r="H337" s="1371"/>
      <c r="I337" s="1372"/>
      <c r="J337" s="1372"/>
      <c r="K337" s="1372"/>
      <c r="L337" s="1372"/>
      <c r="M337" s="1372"/>
      <c r="N337" s="1372"/>
      <c r="O337" s="1372"/>
      <c r="P337" s="1372"/>
      <c r="Q337" s="1372"/>
      <c r="R337" s="1372"/>
      <c r="S337" s="1372"/>
      <c r="T337" s="1372"/>
      <c r="U337" s="1372"/>
      <c r="V337" s="1372"/>
      <c r="W337" s="1372"/>
      <c r="X337" s="1372"/>
      <c r="Y337" s="1372"/>
      <c r="Z337" s="1372"/>
    </row>
    <row r="338" spans="1:26" ht="15.75" customHeight="1" x14ac:dyDescent="0.25">
      <c r="A338" s="1371"/>
      <c r="B338" s="1371"/>
      <c r="C338" s="1371"/>
      <c r="D338" s="1371"/>
      <c r="E338" s="1371"/>
      <c r="F338" s="1371"/>
      <c r="G338" s="1371"/>
      <c r="H338" s="1371"/>
      <c r="I338" s="1372"/>
      <c r="J338" s="1372"/>
      <c r="K338" s="1372"/>
      <c r="L338" s="1372"/>
      <c r="M338" s="1372"/>
      <c r="N338" s="1372"/>
      <c r="O338" s="1372"/>
      <c r="P338" s="1372"/>
      <c r="Q338" s="1372"/>
      <c r="R338" s="1372"/>
      <c r="S338" s="1372"/>
      <c r="T338" s="1372"/>
      <c r="U338" s="1372"/>
      <c r="V338" s="1372"/>
      <c r="W338" s="1372"/>
      <c r="X338" s="1372"/>
      <c r="Y338" s="1372"/>
      <c r="Z338" s="1372"/>
    </row>
    <row r="339" spans="1:26" ht="15.75" customHeight="1" x14ac:dyDescent="0.25">
      <c r="A339" s="1371"/>
      <c r="B339" s="1371"/>
      <c r="C339" s="1371"/>
      <c r="D339" s="1371"/>
      <c r="E339" s="1371"/>
      <c r="F339" s="1371"/>
      <c r="G339" s="1371"/>
      <c r="H339" s="1371"/>
      <c r="I339" s="1372"/>
      <c r="J339" s="1372"/>
      <c r="K339" s="1372"/>
      <c r="L339" s="1372"/>
      <c r="M339" s="1372"/>
      <c r="N339" s="1372"/>
      <c r="O339" s="1372"/>
      <c r="P339" s="1372"/>
      <c r="Q339" s="1372"/>
      <c r="R339" s="1372"/>
      <c r="S339" s="1372"/>
      <c r="T339" s="1372"/>
      <c r="U339" s="1372"/>
      <c r="V339" s="1372"/>
      <c r="W339" s="1372"/>
      <c r="X339" s="1372"/>
      <c r="Y339" s="1372"/>
      <c r="Z339" s="1372"/>
    </row>
    <row r="340" spans="1:26" ht="15.75" customHeight="1" x14ac:dyDescent="0.25">
      <c r="A340" s="1371"/>
      <c r="B340" s="1371"/>
      <c r="C340" s="1371"/>
      <c r="D340" s="1371"/>
      <c r="E340" s="1371"/>
      <c r="F340" s="1371"/>
      <c r="G340" s="1371"/>
      <c r="H340" s="1371"/>
      <c r="I340" s="1372"/>
      <c r="J340" s="1372"/>
      <c r="K340" s="1372"/>
      <c r="L340" s="1372"/>
      <c r="M340" s="1372"/>
      <c r="N340" s="1372"/>
      <c r="O340" s="1372"/>
      <c r="P340" s="1372"/>
      <c r="Q340" s="1372"/>
      <c r="R340" s="1372"/>
      <c r="S340" s="1372"/>
      <c r="T340" s="1372"/>
      <c r="U340" s="1372"/>
      <c r="V340" s="1372"/>
      <c r="W340" s="1372"/>
      <c r="X340" s="1372"/>
      <c r="Y340" s="1372"/>
      <c r="Z340" s="1372"/>
    </row>
    <row r="341" spans="1:26" ht="15.75" customHeight="1" x14ac:dyDescent="0.25">
      <c r="A341" s="1371"/>
      <c r="B341" s="1371"/>
      <c r="C341" s="1371"/>
      <c r="D341" s="1371"/>
      <c r="E341" s="1371"/>
      <c r="F341" s="1371"/>
      <c r="G341" s="1371"/>
      <c r="H341" s="1371"/>
      <c r="I341" s="1372"/>
      <c r="J341" s="1372"/>
      <c r="K341" s="1372"/>
      <c r="L341" s="1372"/>
      <c r="M341" s="1372"/>
      <c r="N341" s="1372"/>
      <c r="O341" s="1372"/>
      <c r="P341" s="1372"/>
      <c r="Q341" s="1372"/>
      <c r="R341" s="1372"/>
      <c r="S341" s="1372"/>
      <c r="T341" s="1372"/>
      <c r="U341" s="1372"/>
      <c r="V341" s="1372"/>
      <c r="W341" s="1372"/>
      <c r="X341" s="1372"/>
      <c r="Y341" s="1372"/>
      <c r="Z341" s="1372"/>
    </row>
    <row r="342" spans="1:26" ht="15.75" customHeight="1" x14ac:dyDescent="0.25">
      <c r="A342" s="1371"/>
      <c r="B342" s="1371"/>
      <c r="C342" s="1371"/>
      <c r="D342" s="1371"/>
      <c r="E342" s="1371"/>
      <c r="F342" s="1371"/>
      <c r="G342" s="1371"/>
      <c r="H342" s="1371"/>
      <c r="I342" s="1372"/>
      <c r="J342" s="1372"/>
      <c r="K342" s="1372"/>
      <c r="L342" s="1372"/>
      <c r="M342" s="1372"/>
      <c r="N342" s="1372"/>
      <c r="O342" s="1372"/>
      <c r="P342" s="1372"/>
      <c r="Q342" s="1372"/>
      <c r="R342" s="1372"/>
      <c r="S342" s="1372"/>
      <c r="T342" s="1372"/>
      <c r="U342" s="1372"/>
      <c r="V342" s="1372"/>
      <c r="W342" s="1372"/>
      <c r="X342" s="1372"/>
      <c r="Y342" s="1372"/>
      <c r="Z342" s="1372"/>
    </row>
    <row r="343" spans="1:26" ht="15.75" customHeight="1" x14ac:dyDescent="0.25">
      <c r="A343" s="1371"/>
      <c r="B343" s="1371"/>
      <c r="C343" s="1371"/>
      <c r="D343" s="1371"/>
      <c r="E343" s="1371"/>
      <c r="F343" s="1371"/>
      <c r="G343" s="1371"/>
      <c r="H343" s="1371"/>
      <c r="I343" s="1372"/>
      <c r="J343" s="1372"/>
      <c r="K343" s="1372"/>
      <c r="L343" s="1372"/>
      <c r="M343" s="1372"/>
      <c r="N343" s="1372"/>
      <c r="O343" s="1372"/>
      <c r="P343" s="1372"/>
      <c r="Q343" s="1372"/>
      <c r="R343" s="1372"/>
      <c r="S343" s="1372"/>
      <c r="T343" s="1372"/>
      <c r="U343" s="1372"/>
      <c r="V343" s="1372"/>
      <c r="W343" s="1372"/>
      <c r="X343" s="1372"/>
      <c r="Y343" s="1372"/>
      <c r="Z343" s="1372"/>
    </row>
    <row r="344" spans="1:26" ht="15.75" customHeight="1" x14ac:dyDescent="0.25">
      <c r="A344" s="1371"/>
      <c r="B344" s="1371"/>
      <c r="C344" s="1371"/>
      <c r="D344" s="1371"/>
      <c r="E344" s="1371"/>
      <c r="F344" s="1371"/>
      <c r="G344" s="1371"/>
      <c r="H344" s="1371"/>
      <c r="I344" s="1372"/>
      <c r="J344" s="1372"/>
      <c r="K344" s="1372"/>
      <c r="L344" s="1372"/>
      <c r="M344" s="1372"/>
      <c r="N344" s="1372"/>
      <c r="O344" s="1372"/>
      <c r="P344" s="1372"/>
      <c r="Q344" s="1372"/>
      <c r="R344" s="1372"/>
      <c r="S344" s="1372"/>
      <c r="T344" s="1372"/>
      <c r="U344" s="1372"/>
      <c r="V344" s="1372"/>
      <c r="W344" s="1372"/>
      <c r="X344" s="1372"/>
      <c r="Y344" s="1372"/>
      <c r="Z344" s="1372"/>
    </row>
    <row r="345" spans="1:26" ht="15.75" customHeight="1" x14ac:dyDescent="0.25">
      <c r="A345" s="1371"/>
      <c r="B345" s="1371"/>
      <c r="C345" s="1371"/>
      <c r="D345" s="1371"/>
      <c r="E345" s="1371"/>
      <c r="F345" s="1371"/>
      <c r="G345" s="1371"/>
      <c r="H345" s="1371"/>
      <c r="I345" s="1372"/>
      <c r="J345" s="1372"/>
      <c r="K345" s="1372"/>
      <c r="L345" s="1372"/>
      <c r="M345" s="1372"/>
      <c r="N345" s="1372"/>
      <c r="O345" s="1372"/>
      <c r="P345" s="1372"/>
      <c r="Q345" s="1372"/>
      <c r="R345" s="1372"/>
      <c r="S345" s="1372"/>
      <c r="T345" s="1372"/>
      <c r="U345" s="1372"/>
      <c r="V345" s="1372"/>
      <c r="W345" s="1372"/>
      <c r="X345" s="1372"/>
      <c r="Y345" s="1372"/>
      <c r="Z345" s="1372"/>
    </row>
    <row r="346" spans="1:26" ht="15.75" customHeight="1" x14ac:dyDescent="0.25">
      <c r="A346" s="1371"/>
      <c r="B346" s="1371"/>
      <c r="C346" s="1371"/>
      <c r="D346" s="1371"/>
      <c r="E346" s="1371"/>
      <c r="F346" s="1371"/>
      <c r="G346" s="1371"/>
      <c r="H346" s="1371"/>
      <c r="I346" s="1372"/>
      <c r="J346" s="1372"/>
      <c r="K346" s="1372"/>
      <c r="L346" s="1372"/>
      <c r="M346" s="1372"/>
      <c r="N346" s="1372"/>
      <c r="O346" s="1372"/>
      <c r="P346" s="1372"/>
      <c r="Q346" s="1372"/>
      <c r="R346" s="1372"/>
      <c r="S346" s="1372"/>
      <c r="T346" s="1372"/>
      <c r="U346" s="1372"/>
      <c r="V346" s="1372"/>
      <c r="W346" s="1372"/>
      <c r="X346" s="1372"/>
      <c r="Y346" s="1372"/>
      <c r="Z346" s="1372"/>
    </row>
    <row r="347" spans="1:26" ht="15.75" customHeight="1" x14ac:dyDescent="0.25">
      <c r="A347" s="1371"/>
      <c r="B347" s="1371"/>
      <c r="C347" s="1371"/>
      <c r="D347" s="1371"/>
      <c r="E347" s="1371"/>
      <c r="F347" s="1371"/>
      <c r="G347" s="1371"/>
      <c r="H347" s="1371"/>
      <c r="I347" s="1372"/>
      <c r="J347" s="1372"/>
      <c r="K347" s="1372"/>
      <c r="L347" s="1372"/>
      <c r="M347" s="1372"/>
      <c r="N347" s="1372"/>
      <c r="O347" s="1372"/>
      <c r="P347" s="1372"/>
      <c r="Q347" s="1372"/>
      <c r="R347" s="1372"/>
      <c r="S347" s="1372"/>
      <c r="T347" s="1372"/>
      <c r="U347" s="1372"/>
      <c r="V347" s="1372"/>
      <c r="W347" s="1372"/>
      <c r="X347" s="1372"/>
      <c r="Y347" s="1372"/>
      <c r="Z347" s="1372"/>
    </row>
    <row r="348" spans="1:26" ht="15.75" customHeight="1" x14ac:dyDescent="0.25">
      <c r="A348" s="1371"/>
      <c r="B348" s="1371"/>
      <c r="C348" s="1371"/>
      <c r="D348" s="1371"/>
      <c r="E348" s="1371"/>
      <c r="F348" s="1371"/>
      <c r="G348" s="1371"/>
      <c r="H348" s="1371"/>
      <c r="I348" s="1372"/>
      <c r="J348" s="1372"/>
      <c r="K348" s="1372"/>
      <c r="L348" s="1372"/>
      <c r="M348" s="1372"/>
      <c r="N348" s="1372"/>
      <c r="O348" s="1372"/>
      <c r="P348" s="1372"/>
      <c r="Q348" s="1372"/>
      <c r="R348" s="1372"/>
      <c r="S348" s="1372"/>
      <c r="T348" s="1372"/>
      <c r="U348" s="1372"/>
      <c r="V348" s="1372"/>
      <c r="W348" s="1372"/>
      <c r="X348" s="1372"/>
      <c r="Y348" s="1372"/>
      <c r="Z348" s="1372"/>
    </row>
    <row r="349" spans="1:26" ht="15.75" customHeight="1" x14ac:dyDescent="0.25">
      <c r="A349" s="1371"/>
      <c r="B349" s="1371"/>
      <c r="C349" s="1371"/>
      <c r="D349" s="1371"/>
      <c r="E349" s="1371"/>
      <c r="F349" s="1371"/>
      <c r="G349" s="1371"/>
      <c r="H349" s="1371"/>
      <c r="I349" s="1372"/>
      <c r="J349" s="1372"/>
      <c r="K349" s="1372"/>
      <c r="L349" s="1372"/>
      <c r="M349" s="1372"/>
      <c r="N349" s="1372"/>
      <c r="O349" s="1372"/>
      <c r="P349" s="1372"/>
      <c r="Q349" s="1372"/>
      <c r="R349" s="1372"/>
      <c r="S349" s="1372"/>
      <c r="T349" s="1372"/>
      <c r="U349" s="1372"/>
      <c r="V349" s="1372"/>
      <c r="W349" s="1372"/>
      <c r="X349" s="1372"/>
      <c r="Y349" s="1372"/>
      <c r="Z349" s="1372"/>
    </row>
    <row r="350" spans="1:26" ht="15.75" customHeight="1" x14ac:dyDescent="0.25">
      <c r="A350" s="1371"/>
      <c r="B350" s="1371"/>
      <c r="C350" s="1371"/>
      <c r="D350" s="1371"/>
      <c r="E350" s="1371"/>
      <c r="F350" s="1371"/>
      <c r="G350" s="1371"/>
      <c r="H350" s="1371"/>
      <c r="I350" s="1372"/>
      <c r="J350" s="1372"/>
      <c r="K350" s="1372"/>
      <c r="L350" s="1372"/>
      <c r="M350" s="1372"/>
      <c r="N350" s="1372"/>
      <c r="O350" s="1372"/>
      <c r="P350" s="1372"/>
      <c r="Q350" s="1372"/>
      <c r="R350" s="1372"/>
      <c r="S350" s="1372"/>
      <c r="T350" s="1372"/>
      <c r="U350" s="1372"/>
      <c r="V350" s="1372"/>
      <c r="W350" s="1372"/>
      <c r="X350" s="1372"/>
      <c r="Y350" s="1372"/>
      <c r="Z350" s="1372"/>
    </row>
    <row r="351" spans="1:26" ht="15.75" customHeight="1" x14ac:dyDescent="0.25">
      <c r="A351" s="1371"/>
      <c r="B351" s="1371"/>
      <c r="C351" s="1371"/>
      <c r="D351" s="1371"/>
      <c r="E351" s="1371"/>
      <c r="F351" s="1371"/>
      <c r="G351" s="1371"/>
      <c r="H351" s="1371"/>
      <c r="I351" s="1372"/>
      <c r="J351" s="1372"/>
      <c r="K351" s="1372"/>
      <c r="L351" s="1372"/>
      <c r="M351" s="1372"/>
      <c r="N351" s="1372"/>
      <c r="O351" s="1372"/>
      <c r="P351" s="1372"/>
      <c r="Q351" s="1372"/>
      <c r="R351" s="1372"/>
      <c r="S351" s="1372"/>
      <c r="T351" s="1372"/>
      <c r="U351" s="1372"/>
      <c r="V351" s="1372"/>
      <c r="W351" s="1372"/>
      <c r="X351" s="1372"/>
      <c r="Y351" s="1372"/>
      <c r="Z351" s="1372"/>
    </row>
    <row r="352" spans="1:26" ht="15.75" customHeight="1" x14ac:dyDescent="0.25">
      <c r="A352" s="1371"/>
      <c r="B352" s="1371"/>
      <c r="C352" s="1371"/>
      <c r="D352" s="1371"/>
      <c r="E352" s="1371"/>
      <c r="F352" s="1371"/>
      <c r="G352" s="1371"/>
      <c r="H352" s="1371"/>
      <c r="I352" s="1372"/>
      <c r="J352" s="1372"/>
      <c r="K352" s="1372"/>
      <c r="L352" s="1372"/>
      <c r="M352" s="1372"/>
      <c r="N352" s="1372"/>
      <c r="O352" s="1372"/>
      <c r="P352" s="1372"/>
      <c r="Q352" s="1372"/>
      <c r="R352" s="1372"/>
      <c r="S352" s="1372"/>
      <c r="T352" s="1372"/>
      <c r="U352" s="1372"/>
      <c r="V352" s="1372"/>
      <c r="W352" s="1372"/>
      <c r="X352" s="1372"/>
      <c r="Y352" s="1372"/>
      <c r="Z352" s="1372"/>
    </row>
    <row r="353" spans="1:26" ht="15.75" customHeight="1" x14ac:dyDescent="0.25">
      <c r="A353" s="1371"/>
      <c r="B353" s="1371"/>
      <c r="C353" s="1371"/>
      <c r="D353" s="1371"/>
      <c r="E353" s="1371"/>
      <c r="F353" s="1371"/>
      <c r="G353" s="1371"/>
      <c r="H353" s="1371"/>
      <c r="I353" s="1372"/>
      <c r="J353" s="1372"/>
      <c r="K353" s="1372"/>
      <c r="L353" s="1372"/>
      <c r="M353" s="1372"/>
      <c r="N353" s="1372"/>
      <c r="O353" s="1372"/>
      <c r="P353" s="1372"/>
      <c r="Q353" s="1372"/>
      <c r="R353" s="1372"/>
      <c r="S353" s="1372"/>
      <c r="T353" s="1372"/>
      <c r="U353" s="1372"/>
      <c r="V353" s="1372"/>
      <c r="W353" s="1372"/>
      <c r="X353" s="1372"/>
      <c r="Y353" s="1372"/>
      <c r="Z353" s="1372"/>
    </row>
    <row r="354" spans="1:26" ht="15.75" customHeight="1" x14ac:dyDescent="0.25">
      <c r="A354" s="1371"/>
      <c r="B354" s="1371"/>
      <c r="C354" s="1371"/>
      <c r="D354" s="1371"/>
      <c r="E354" s="1371"/>
      <c r="F354" s="1371"/>
      <c r="G354" s="1371"/>
      <c r="H354" s="1371"/>
      <c r="I354" s="1372"/>
      <c r="J354" s="1372"/>
      <c r="K354" s="1372"/>
      <c r="L354" s="1372"/>
      <c r="M354" s="1372"/>
      <c r="N354" s="1372"/>
      <c r="O354" s="1372"/>
      <c r="P354" s="1372"/>
      <c r="Q354" s="1372"/>
      <c r="R354" s="1372"/>
      <c r="S354" s="1372"/>
      <c r="T354" s="1372"/>
      <c r="U354" s="1372"/>
      <c r="V354" s="1372"/>
      <c r="W354" s="1372"/>
      <c r="X354" s="1372"/>
      <c r="Y354" s="1372"/>
      <c r="Z354" s="1372"/>
    </row>
    <row r="355" spans="1:26" ht="15.75" customHeight="1" x14ac:dyDescent="0.25">
      <c r="A355" s="1371"/>
      <c r="B355" s="1371"/>
      <c r="C355" s="1371"/>
      <c r="D355" s="1371"/>
      <c r="E355" s="1371"/>
      <c r="F355" s="1371"/>
      <c r="G355" s="1371"/>
      <c r="H355" s="1371"/>
      <c r="I355" s="1372"/>
      <c r="J355" s="1372"/>
      <c r="K355" s="1372"/>
      <c r="L355" s="1372"/>
      <c r="M355" s="1372"/>
      <c r="N355" s="1372"/>
      <c r="O355" s="1372"/>
      <c r="P355" s="1372"/>
      <c r="Q355" s="1372"/>
      <c r="R355" s="1372"/>
      <c r="S355" s="1372"/>
      <c r="T355" s="1372"/>
      <c r="U355" s="1372"/>
      <c r="V355" s="1372"/>
      <c r="W355" s="1372"/>
      <c r="X355" s="1372"/>
      <c r="Y355" s="1372"/>
      <c r="Z355" s="1372"/>
    </row>
    <row r="356" spans="1:26" ht="15.75" customHeight="1" x14ac:dyDescent="0.25">
      <c r="A356" s="1371"/>
      <c r="B356" s="1371"/>
      <c r="C356" s="1371"/>
      <c r="D356" s="1371"/>
      <c r="E356" s="1371"/>
      <c r="F356" s="1371"/>
      <c r="G356" s="1371"/>
      <c r="H356" s="1371"/>
      <c r="I356" s="1372"/>
      <c r="J356" s="1372"/>
      <c r="K356" s="1372"/>
      <c r="L356" s="1372"/>
      <c r="M356" s="1372"/>
      <c r="N356" s="1372"/>
      <c r="O356" s="1372"/>
      <c r="P356" s="1372"/>
      <c r="Q356" s="1372"/>
      <c r="R356" s="1372"/>
      <c r="S356" s="1372"/>
      <c r="T356" s="1372"/>
      <c r="U356" s="1372"/>
      <c r="V356" s="1372"/>
      <c r="W356" s="1372"/>
      <c r="X356" s="1372"/>
      <c r="Y356" s="1372"/>
      <c r="Z356" s="1372"/>
    </row>
    <row r="357" spans="1:26" ht="15.75" customHeight="1" x14ac:dyDescent="0.25">
      <c r="A357" s="1371"/>
      <c r="B357" s="1371"/>
      <c r="C357" s="1371"/>
      <c r="D357" s="1371"/>
      <c r="E357" s="1371"/>
      <c r="F357" s="1371"/>
      <c r="G357" s="1371"/>
      <c r="H357" s="1371"/>
      <c r="I357" s="1372"/>
      <c r="J357" s="1372"/>
      <c r="K357" s="1372"/>
      <c r="L357" s="1372"/>
      <c r="M357" s="1372"/>
      <c r="N357" s="1372"/>
      <c r="O357" s="1372"/>
      <c r="P357" s="1372"/>
      <c r="Q357" s="1372"/>
      <c r="R357" s="1372"/>
      <c r="S357" s="1372"/>
      <c r="T357" s="1372"/>
      <c r="U357" s="1372"/>
      <c r="V357" s="1372"/>
      <c r="W357" s="1372"/>
      <c r="X357" s="1372"/>
      <c r="Y357" s="1372"/>
      <c r="Z357" s="1372"/>
    </row>
    <row r="358" spans="1:26" ht="15.75" customHeight="1" x14ac:dyDescent="0.25">
      <c r="A358" s="1371"/>
      <c r="B358" s="1371"/>
      <c r="C358" s="1371"/>
      <c r="D358" s="1371"/>
      <c r="E358" s="1371"/>
      <c r="F358" s="1371"/>
      <c r="G358" s="1371"/>
      <c r="H358" s="1371"/>
      <c r="I358" s="1372"/>
      <c r="J358" s="1372"/>
      <c r="K358" s="1372"/>
      <c r="L358" s="1372"/>
      <c r="M358" s="1372"/>
      <c r="N358" s="1372"/>
      <c r="O358" s="1372"/>
      <c r="P358" s="1372"/>
      <c r="Q358" s="1372"/>
      <c r="R358" s="1372"/>
      <c r="S358" s="1372"/>
      <c r="T358" s="1372"/>
      <c r="U358" s="1372"/>
      <c r="V358" s="1372"/>
      <c r="W358" s="1372"/>
      <c r="X358" s="1372"/>
      <c r="Y358" s="1372"/>
      <c r="Z358" s="1372"/>
    </row>
    <row r="359" spans="1:26" ht="15.75" customHeight="1" x14ac:dyDescent="0.25">
      <c r="A359" s="1371"/>
      <c r="B359" s="1371"/>
      <c r="C359" s="1371"/>
      <c r="D359" s="1371"/>
      <c r="E359" s="1371"/>
      <c r="F359" s="1371"/>
      <c r="G359" s="1371"/>
      <c r="H359" s="1371"/>
      <c r="I359" s="1372"/>
      <c r="J359" s="1372"/>
      <c r="K359" s="1372"/>
      <c r="L359" s="1372"/>
      <c r="M359" s="1372"/>
      <c r="N359" s="1372"/>
      <c r="O359" s="1372"/>
      <c r="P359" s="1372"/>
      <c r="Q359" s="1372"/>
      <c r="R359" s="1372"/>
      <c r="S359" s="1372"/>
      <c r="T359" s="1372"/>
      <c r="U359" s="1372"/>
      <c r="V359" s="1372"/>
      <c r="W359" s="1372"/>
      <c r="X359" s="1372"/>
      <c r="Y359" s="1372"/>
      <c r="Z359" s="1372"/>
    </row>
    <row r="360" spans="1:26" ht="15.75" customHeight="1" x14ac:dyDescent="0.25">
      <c r="A360" s="1371"/>
      <c r="B360" s="1371"/>
      <c r="C360" s="1371"/>
      <c r="D360" s="1371"/>
      <c r="E360" s="1371"/>
      <c r="F360" s="1371"/>
      <c r="G360" s="1371"/>
      <c r="H360" s="1371"/>
      <c r="I360" s="1372"/>
      <c r="J360" s="1372"/>
      <c r="K360" s="1372"/>
      <c r="L360" s="1372"/>
      <c r="M360" s="1372"/>
      <c r="N360" s="1372"/>
      <c r="O360" s="1372"/>
      <c r="P360" s="1372"/>
      <c r="Q360" s="1372"/>
      <c r="R360" s="1372"/>
      <c r="S360" s="1372"/>
      <c r="T360" s="1372"/>
      <c r="U360" s="1372"/>
      <c r="V360" s="1372"/>
      <c r="W360" s="1372"/>
      <c r="X360" s="1372"/>
      <c r="Y360" s="1372"/>
      <c r="Z360" s="1372"/>
    </row>
    <row r="361" spans="1:26" ht="15.75" customHeight="1" x14ac:dyDescent="0.25">
      <c r="A361" s="1371"/>
      <c r="B361" s="1371"/>
      <c r="C361" s="1371"/>
      <c r="D361" s="1371"/>
      <c r="E361" s="1371"/>
      <c r="F361" s="1371"/>
      <c r="G361" s="1371"/>
      <c r="H361" s="1371"/>
      <c r="I361" s="1372"/>
      <c r="J361" s="1372"/>
      <c r="K361" s="1372"/>
      <c r="L361" s="1372"/>
      <c r="M361" s="1372"/>
      <c r="N361" s="1372"/>
      <c r="O361" s="1372"/>
      <c r="P361" s="1372"/>
      <c r="Q361" s="1372"/>
      <c r="R361" s="1372"/>
      <c r="S361" s="1372"/>
      <c r="T361" s="1372"/>
      <c r="U361" s="1372"/>
      <c r="V361" s="1372"/>
      <c r="W361" s="1372"/>
      <c r="X361" s="1372"/>
      <c r="Y361" s="1372"/>
      <c r="Z361" s="1372"/>
    </row>
    <row r="362" spans="1:26" ht="15.75" customHeight="1" x14ac:dyDescent="0.25">
      <c r="A362" s="1371"/>
      <c r="B362" s="1371"/>
      <c r="C362" s="1371"/>
      <c r="D362" s="1371"/>
      <c r="E362" s="1371"/>
      <c r="F362" s="1371"/>
      <c r="G362" s="1371"/>
      <c r="H362" s="1371"/>
      <c r="I362" s="1372"/>
      <c r="J362" s="1372"/>
      <c r="K362" s="1372"/>
      <c r="L362" s="1372"/>
      <c r="M362" s="1372"/>
      <c r="N362" s="1372"/>
      <c r="O362" s="1372"/>
      <c r="P362" s="1372"/>
      <c r="Q362" s="1372"/>
      <c r="R362" s="1372"/>
      <c r="S362" s="1372"/>
      <c r="T362" s="1372"/>
      <c r="U362" s="1372"/>
      <c r="V362" s="1372"/>
      <c r="W362" s="1372"/>
      <c r="X362" s="1372"/>
      <c r="Y362" s="1372"/>
      <c r="Z362" s="1372"/>
    </row>
    <row r="363" spans="1:26" ht="15.75" customHeight="1" x14ac:dyDescent="0.25">
      <c r="A363" s="1371"/>
      <c r="B363" s="1371"/>
      <c r="C363" s="1371"/>
      <c r="D363" s="1371"/>
      <c r="E363" s="1371"/>
      <c r="F363" s="1371"/>
      <c r="G363" s="1371"/>
      <c r="H363" s="1371"/>
      <c r="I363" s="1372"/>
      <c r="J363" s="1372"/>
      <c r="K363" s="1372"/>
      <c r="L363" s="1372"/>
      <c r="M363" s="1372"/>
      <c r="N363" s="1372"/>
      <c r="O363" s="1372"/>
      <c r="P363" s="1372"/>
      <c r="Q363" s="1372"/>
      <c r="R363" s="1372"/>
      <c r="S363" s="1372"/>
      <c r="T363" s="1372"/>
      <c r="U363" s="1372"/>
      <c r="V363" s="1372"/>
      <c r="W363" s="1372"/>
      <c r="X363" s="1372"/>
      <c r="Y363" s="1372"/>
      <c r="Z363" s="1372"/>
    </row>
    <row r="364" spans="1:26" ht="15.75" customHeight="1" x14ac:dyDescent="0.25">
      <c r="A364" s="1371"/>
      <c r="B364" s="1371"/>
      <c r="C364" s="1371"/>
      <c r="D364" s="1371"/>
      <c r="E364" s="1371"/>
      <c r="F364" s="1371"/>
      <c r="G364" s="1371"/>
      <c r="H364" s="1371"/>
      <c r="I364" s="1372"/>
      <c r="J364" s="1372"/>
      <c r="K364" s="1372"/>
      <c r="L364" s="1372"/>
      <c r="M364" s="1372"/>
      <c r="N364" s="1372"/>
      <c r="O364" s="1372"/>
      <c r="P364" s="1372"/>
      <c r="Q364" s="1372"/>
      <c r="R364" s="1372"/>
      <c r="S364" s="1372"/>
      <c r="T364" s="1372"/>
      <c r="U364" s="1372"/>
      <c r="V364" s="1372"/>
      <c r="W364" s="1372"/>
      <c r="X364" s="1372"/>
      <c r="Y364" s="1372"/>
      <c r="Z364" s="1372"/>
    </row>
    <row r="365" spans="1:26" ht="15.75" customHeight="1" x14ac:dyDescent="0.25">
      <c r="A365" s="1371"/>
      <c r="B365" s="1371"/>
      <c r="C365" s="1371"/>
      <c r="D365" s="1371"/>
      <c r="E365" s="1371"/>
      <c r="F365" s="1371"/>
      <c r="G365" s="1371"/>
      <c r="H365" s="1371"/>
      <c r="I365" s="1372"/>
      <c r="J365" s="1372"/>
      <c r="K365" s="1372"/>
      <c r="L365" s="1372"/>
      <c r="M365" s="1372"/>
      <c r="N365" s="1372"/>
      <c r="O365" s="1372"/>
      <c r="P365" s="1372"/>
      <c r="Q365" s="1372"/>
      <c r="R365" s="1372"/>
      <c r="S365" s="1372"/>
      <c r="T365" s="1372"/>
      <c r="U365" s="1372"/>
      <c r="V365" s="1372"/>
      <c r="W365" s="1372"/>
      <c r="X365" s="1372"/>
      <c r="Y365" s="1372"/>
      <c r="Z365" s="1372"/>
    </row>
    <row r="366" spans="1:26" ht="15.75" customHeight="1" x14ac:dyDescent="0.25">
      <c r="A366" s="1371"/>
      <c r="B366" s="1371"/>
      <c r="C366" s="1371"/>
      <c r="D366" s="1371"/>
      <c r="E366" s="1371"/>
      <c r="F366" s="1371"/>
      <c r="G366" s="1371"/>
      <c r="H366" s="1371"/>
      <c r="I366" s="1372"/>
      <c r="J366" s="1372"/>
      <c r="K366" s="1372"/>
      <c r="L366" s="1372"/>
      <c r="M366" s="1372"/>
      <c r="N366" s="1372"/>
      <c r="O366" s="1372"/>
      <c r="P366" s="1372"/>
      <c r="Q366" s="1372"/>
      <c r="R366" s="1372"/>
      <c r="S366" s="1372"/>
      <c r="T366" s="1372"/>
      <c r="U366" s="1372"/>
      <c r="V366" s="1372"/>
      <c r="W366" s="1372"/>
      <c r="X366" s="1372"/>
      <c r="Y366" s="1372"/>
      <c r="Z366" s="1372"/>
    </row>
    <row r="367" spans="1:26" ht="15.75" customHeight="1" x14ac:dyDescent="0.25">
      <c r="A367" s="1371"/>
      <c r="B367" s="1371"/>
      <c r="C367" s="1371"/>
      <c r="D367" s="1371"/>
      <c r="E367" s="1371"/>
      <c r="F367" s="1371"/>
      <c r="G367" s="1371"/>
      <c r="H367" s="1371"/>
      <c r="I367" s="1372"/>
      <c r="J367" s="1372"/>
      <c r="K367" s="1372"/>
      <c r="L367" s="1372"/>
      <c r="M367" s="1372"/>
      <c r="N367" s="1372"/>
      <c r="O367" s="1372"/>
      <c r="P367" s="1372"/>
      <c r="Q367" s="1372"/>
      <c r="R367" s="1372"/>
      <c r="S367" s="1372"/>
      <c r="T367" s="1372"/>
      <c r="U367" s="1372"/>
      <c r="V367" s="1372"/>
      <c r="W367" s="1372"/>
      <c r="X367" s="1372"/>
      <c r="Y367" s="1372"/>
      <c r="Z367" s="1372"/>
    </row>
    <row r="368" spans="1:26" ht="15.75" customHeight="1" x14ac:dyDescent="0.25">
      <c r="A368" s="1371"/>
      <c r="B368" s="1371"/>
      <c r="C368" s="1371"/>
      <c r="D368" s="1371"/>
      <c r="E368" s="1371"/>
      <c r="F368" s="1371"/>
      <c r="G368" s="1371"/>
      <c r="H368" s="1371"/>
      <c r="I368" s="1372"/>
      <c r="J368" s="1372"/>
      <c r="K368" s="1372"/>
      <c r="L368" s="1372"/>
      <c r="M368" s="1372"/>
      <c r="N368" s="1372"/>
      <c r="O368" s="1372"/>
      <c r="P368" s="1372"/>
      <c r="Q368" s="1372"/>
      <c r="R368" s="1372"/>
      <c r="S368" s="1372"/>
      <c r="T368" s="1372"/>
      <c r="U368" s="1372"/>
      <c r="V368" s="1372"/>
      <c r="W368" s="1372"/>
      <c r="X368" s="1372"/>
      <c r="Y368" s="1372"/>
      <c r="Z368" s="1372"/>
    </row>
    <row r="369" spans="1:26" ht="15.75" customHeight="1" x14ac:dyDescent="0.25">
      <c r="A369" s="1371"/>
      <c r="B369" s="1371"/>
      <c r="C369" s="1371"/>
      <c r="D369" s="1371"/>
      <c r="E369" s="1371"/>
      <c r="F369" s="1371"/>
      <c r="G369" s="1371"/>
      <c r="H369" s="1371"/>
      <c r="I369" s="1372"/>
      <c r="J369" s="1372"/>
      <c r="K369" s="1372"/>
      <c r="L369" s="1372"/>
      <c r="M369" s="1372"/>
      <c r="N369" s="1372"/>
      <c r="O369" s="1372"/>
      <c r="P369" s="1372"/>
      <c r="Q369" s="1372"/>
      <c r="R369" s="1372"/>
      <c r="S369" s="1372"/>
      <c r="T369" s="1372"/>
      <c r="U369" s="1372"/>
      <c r="V369" s="1372"/>
      <c r="W369" s="1372"/>
      <c r="X369" s="1372"/>
      <c r="Y369" s="1372"/>
      <c r="Z369" s="1372"/>
    </row>
    <row r="370" spans="1:26" ht="15.75" customHeight="1" x14ac:dyDescent="0.25">
      <c r="A370" s="1371"/>
      <c r="B370" s="1371"/>
      <c r="C370" s="1371"/>
      <c r="D370" s="1371"/>
      <c r="E370" s="1371"/>
      <c r="F370" s="1371"/>
      <c r="G370" s="1371"/>
      <c r="H370" s="1371"/>
      <c r="I370" s="1372"/>
      <c r="J370" s="1372"/>
      <c r="K370" s="1372"/>
      <c r="L370" s="1372"/>
      <c r="M370" s="1372"/>
      <c r="N370" s="1372"/>
      <c r="O370" s="1372"/>
      <c r="P370" s="1372"/>
      <c r="Q370" s="1372"/>
      <c r="R370" s="1372"/>
      <c r="S370" s="1372"/>
      <c r="T370" s="1372"/>
      <c r="U370" s="1372"/>
      <c r="V370" s="1372"/>
      <c r="W370" s="1372"/>
      <c r="X370" s="1372"/>
      <c r="Y370" s="1372"/>
      <c r="Z370" s="1372"/>
    </row>
    <row r="371" spans="1:26" ht="15.75" customHeight="1" x14ac:dyDescent="0.25">
      <c r="A371" s="1371"/>
      <c r="B371" s="1371"/>
      <c r="C371" s="1371"/>
      <c r="D371" s="1371"/>
      <c r="E371" s="1371"/>
      <c r="F371" s="1371"/>
      <c r="G371" s="1371"/>
      <c r="H371" s="1371"/>
      <c r="I371" s="1372"/>
      <c r="J371" s="1372"/>
      <c r="K371" s="1372"/>
      <c r="L371" s="1372"/>
      <c r="M371" s="1372"/>
      <c r="N371" s="1372"/>
      <c r="O371" s="1372"/>
      <c r="P371" s="1372"/>
      <c r="Q371" s="1372"/>
      <c r="R371" s="1372"/>
      <c r="S371" s="1372"/>
      <c r="T371" s="1372"/>
      <c r="U371" s="1372"/>
      <c r="V371" s="1372"/>
      <c r="W371" s="1372"/>
      <c r="X371" s="1372"/>
      <c r="Y371" s="1372"/>
      <c r="Z371" s="1372"/>
    </row>
    <row r="372" spans="1:26" ht="15.75" customHeight="1" x14ac:dyDescent="0.25">
      <c r="A372" s="1371"/>
      <c r="B372" s="1371"/>
      <c r="C372" s="1371"/>
      <c r="D372" s="1371"/>
      <c r="E372" s="1371"/>
      <c r="F372" s="1371"/>
      <c r="G372" s="1371"/>
      <c r="H372" s="1371"/>
      <c r="I372" s="1372"/>
      <c r="J372" s="1372"/>
      <c r="K372" s="1372"/>
      <c r="L372" s="1372"/>
      <c r="M372" s="1372"/>
      <c r="N372" s="1372"/>
      <c r="O372" s="1372"/>
      <c r="P372" s="1372"/>
      <c r="Q372" s="1372"/>
      <c r="R372" s="1372"/>
      <c r="S372" s="1372"/>
      <c r="T372" s="1372"/>
      <c r="U372" s="1372"/>
      <c r="V372" s="1372"/>
      <c r="W372" s="1372"/>
      <c r="X372" s="1372"/>
      <c r="Y372" s="1372"/>
      <c r="Z372" s="1372"/>
    </row>
    <row r="373" spans="1:26" ht="15.75" customHeight="1" x14ac:dyDescent="0.25">
      <c r="A373" s="1371"/>
      <c r="B373" s="1371"/>
      <c r="C373" s="1371"/>
      <c r="D373" s="1371"/>
      <c r="E373" s="1371"/>
      <c r="F373" s="1371"/>
      <c r="G373" s="1371"/>
      <c r="H373" s="1371"/>
      <c r="I373" s="1372"/>
      <c r="J373" s="1372"/>
      <c r="K373" s="1372"/>
      <c r="L373" s="1372"/>
      <c r="M373" s="1372"/>
      <c r="N373" s="1372"/>
      <c r="O373" s="1372"/>
      <c r="P373" s="1372"/>
      <c r="Q373" s="1372"/>
      <c r="R373" s="1372"/>
      <c r="S373" s="1372"/>
      <c r="T373" s="1372"/>
      <c r="U373" s="1372"/>
      <c r="V373" s="1372"/>
      <c r="W373" s="1372"/>
      <c r="X373" s="1372"/>
      <c r="Y373" s="1372"/>
      <c r="Z373" s="1372"/>
    </row>
    <row r="374" spans="1:26" ht="15.75" customHeight="1" x14ac:dyDescent="0.25">
      <c r="A374" s="1371"/>
      <c r="B374" s="1371"/>
      <c r="C374" s="1371"/>
      <c r="D374" s="1371"/>
      <c r="E374" s="1371"/>
      <c r="F374" s="1371"/>
      <c r="G374" s="1371"/>
      <c r="H374" s="1371"/>
      <c r="I374" s="1372"/>
      <c r="J374" s="1372"/>
      <c r="K374" s="1372"/>
      <c r="L374" s="1372"/>
      <c r="M374" s="1372"/>
      <c r="N374" s="1372"/>
      <c r="O374" s="1372"/>
      <c r="P374" s="1372"/>
      <c r="Q374" s="1372"/>
      <c r="R374" s="1372"/>
      <c r="S374" s="1372"/>
      <c r="T374" s="1372"/>
      <c r="U374" s="1372"/>
      <c r="V374" s="1372"/>
      <c r="W374" s="1372"/>
      <c r="X374" s="1372"/>
      <c r="Y374" s="1372"/>
      <c r="Z374" s="1372"/>
    </row>
    <row r="375" spans="1:26" ht="15.75" customHeight="1" x14ac:dyDescent="0.25">
      <c r="A375" s="1371"/>
      <c r="B375" s="1371"/>
      <c r="C375" s="1371"/>
      <c r="D375" s="1371"/>
      <c r="E375" s="1371"/>
      <c r="F375" s="1371"/>
      <c r="G375" s="1371"/>
      <c r="H375" s="1371"/>
      <c r="I375" s="1372"/>
      <c r="J375" s="1372"/>
      <c r="K375" s="1372"/>
      <c r="L375" s="1372"/>
      <c r="M375" s="1372"/>
      <c r="N375" s="1372"/>
      <c r="O375" s="1372"/>
      <c r="P375" s="1372"/>
      <c r="Q375" s="1372"/>
      <c r="R375" s="1372"/>
      <c r="S375" s="1372"/>
      <c r="T375" s="1372"/>
      <c r="U375" s="1372"/>
      <c r="V375" s="1372"/>
      <c r="W375" s="1372"/>
      <c r="X375" s="1372"/>
      <c r="Y375" s="1372"/>
      <c r="Z375" s="1372"/>
    </row>
    <row r="376" spans="1:26" ht="15.75" customHeight="1" x14ac:dyDescent="0.25">
      <c r="A376" s="1371"/>
      <c r="B376" s="1371"/>
      <c r="C376" s="1371"/>
      <c r="D376" s="1371"/>
      <c r="E376" s="1371"/>
      <c r="F376" s="1371"/>
      <c r="G376" s="1371"/>
      <c r="H376" s="1371"/>
      <c r="I376" s="1372"/>
      <c r="J376" s="1372"/>
      <c r="K376" s="1372"/>
      <c r="L376" s="1372"/>
      <c r="M376" s="1372"/>
      <c r="N376" s="1372"/>
      <c r="O376" s="1372"/>
      <c r="P376" s="1372"/>
      <c r="Q376" s="1372"/>
      <c r="R376" s="1372"/>
      <c r="S376" s="1372"/>
      <c r="T376" s="1372"/>
      <c r="U376" s="1372"/>
      <c r="V376" s="1372"/>
      <c r="W376" s="1372"/>
      <c r="X376" s="1372"/>
      <c r="Y376" s="1372"/>
      <c r="Z376" s="1372"/>
    </row>
    <row r="377" spans="1:26" ht="15.75" customHeight="1" x14ac:dyDescent="0.25">
      <c r="A377" s="1371"/>
      <c r="B377" s="1371"/>
      <c r="C377" s="1371"/>
      <c r="D377" s="1371"/>
      <c r="E377" s="1371"/>
      <c r="F377" s="1371"/>
      <c r="G377" s="1371"/>
      <c r="H377" s="1371"/>
      <c r="I377" s="1372"/>
      <c r="J377" s="1372"/>
      <c r="K377" s="1372"/>
      <c r="L377" s="1372"/>
      <c r="M377" s="1372"/>
      <c r="N377" s="1372"/>
      <c r="O377" s="1372"/>
      <c r="P377" s="1372"/>
      <c r="Q377" s="1372"/>
      <c r="R377" s="1372"/>
      <c r="S377" s="1372"/>
      <c r="T377" s="1372"/>
      <c r="U377" s="1372"/>
      <c r="V377" s="1372"/>
      <c r="W377" s="1372"/>
      <c r="X377" s="1372"/>
      <c r="Y377" s="1372"/>
      <c r="Z377" s="1372"/>
    </row>
    <row r="378" spans="1:26" ht="15.75" customHeight="1" x14ac:dyDescent="0.25">
      <c r="A378" s="1371"/>
      <c r="B378" s="1371"/>
      <c r="C378" s="1371"/>
      <c r="D378" s="1371"/>
      <c r="E378" s="1371"/>
      <c r="F378" s="1371"/>
      <c r="G378" s="1371"/>
      <c r="H378" s="1371"/>
      <c r="I378" s="1372"/>
      <c r="J378" s="1372"/>
      <c r="K378" s="1372"/>
      <c r="L378" s="1372"/>
      <c r="M378" s="1372"/>
      <c r="N378" s="1372"/>
      <c r="O378" s="1372"/>
      <c r="P378" s="1372"/>
      <c r="Q378" s="1372"/>
      <c r="R378" s="1372"/>
      <c r="S378" s="1372"/>
      <c r="T378" s="1372"/>
      <c r="U378" s="1372"/>
      <c r="V378" s="1372"/>
      <c r="W378" s="1372"/>
      <c r="X378" s="1372"/>
      <c r="Y378" s="1372"/>
      <c r="Z378" s="1372"/>
    </row>
    <row r="379" spans="1:26" ht="15.75" customHeight="1" x14ac:dyDescent="0.25">
      <c r="A379" s="1371"/>
      <c r="B379" s="1371"/>
      <c r="C379" s="1371"/>
      <c r="D379" s="1371"/>
      <c r="E379" s="1371"/>
      <c r="F379" s="1371"/>
      <c r="G379" s="1371"/>
      <c r="H379" s="1371"/>
      <c r="I379" s="1372"/>
      <c r="J379" s="1372"/>
      <c r="K379" s="1372"/>
      <c r="L379" s="1372"/>
      <c r="M379" s="1372"/>
      <c r="N379" s="1372"/>
      <c r="O379" s="1372"/>
      <c r="P379" s="1372"/>
      <c r="Q379" s="1372"/>
      <c r="R379" s="1372"/>
      <c r="S379" s="1372"/>
      <c r="T379" s="1372"/>
      <c r="U379" s="1372"/>
      <c r="V379" s="1372"/>
      <c r="W379" s="1372"/>
      <c r="X379" s="1372"/>
      <c r="Y379" s="1372"/>
      <c r="Z379" s="1372"/>
    </row>
    <row r="380" spans="1:26" ht="15.75" customHeight="1" x14ac:dyDescent="0.25">
      <c r="A380" s="1371"/>
      <c r="B380" s="1371"/>
      <c r="C380" s="1371"/>
      <c r="D380" s="1371"/>
      <c r="E380" s="1371"/>
      <c r="F380" s="1371"/>
      <c r="G380" s="1371"/>
      <c r="H380" s="1371"/>
      <c r="I380" s="1372"/>
      <c r="J380" s="1372"/>
      <c r="K380" s="1372"/>
      <c r="L380" s="1372"/>
      <c r="M380" s="1372"/>
      <c r="N380" s="1372"/>
      <c r="O380" s="1372"/>
      <c r="P380" s="1372"/>
      <c r="Q380" s="1372"/>
      <c r="R380" s="1372"/>
      <c r="S380" s="1372"/>
      <c r="T380" s="1372"/>
      <c r="U380" s="1372"/>
      <c r="V380" s="1372"/>
      <c r="W380" s="1372"/>
      <c r="X380" s="1372"/>
      <c r="Y380" s="1372"/>
      <c r="Z380" s="1372"/>
    </row>
    <row r="381" spans="1:26" ht="15.75" customHeight="1" x14ac:dyDescent="0.25">
      <c r="A381" s="1371"/>
      <c r="B381" s="1371"/>
      <c r="C381" s="1371"/>
      <c r="D381" s="1371"/>
      <c r="E381" s="1371"/>
      <c r="F381" s="1371"/>
      <c r="G381" s="1371"/>
      <c r="H381" s="1371"/>
      <c r="I381" s="1372"/>
      <c r="J381" s="1372"/>
      <c r="K381" s="1372"/>
      <c r="L381" s="1372"/>
      <c r="M381" s="1372"/>
      <c r="N381" s="1372"/>
      <c r="O381" s="1372"/>
      <c r="P381" s="1372"/>
      <c r="Q381" s="1372"/>
      <c r="R381" s="1372"/>
      <c r="S381" s="1372"/>
      <c r="T381" s="1372"/>
      <c r="U381" s="1372"/>
      <c r="V381" s="1372"/>
      <c r="W381" s="1372"/>
      <c r="X381" s="1372"/>
      <c r="Y381" s="1372"/>
      <c r="Z381" s="1372"/>
    </row>
    <row r="382" spans="1:26" ht="15.75" customHeight="1" x14ac:dyDescent="0.25">
      <c r="A382" s="1371"/>
      <c r="B382" s="1371"/>
      <c r="C382" s="1371"/>
      <c r="D382" s="1371"/>
      <c r="E382" s="1371"/>
      <c r="F382" s="1371"/>
      <c r="G382" s="1371"/>
      <c r="H382" s="1371"/>
      <c r="I382" s="1372"/>
      <c r="J382" s="1372"/>
      <c r="K382" s="1372"/>
      <c r="L382" s="1372"/>
      <c r="M382" s="1372"/>
      <c r="N382" s="1372"/>
      <c r="O382" s="1372"/>
      <c r="P382" s="1372"/>
      <c r="Q382" s="1372"/>
      <c r="R382" s="1372"/>
      <c r="S382" s="1372"/>
      <c r="T382" s="1372"/>
      <c r="U382" s="1372"/>
      <c r="V382" s="1372"/>
      <c r="W382" s="1372"/>
      <c r="X382" s="1372"/>
      <c r="Y382" s="1372"/>
      <c r="Z382" s="1372"/>
    </row>
    <row r="383" spans="1:26" ht="15.75" customHeight="1" x14ac:dyDescent="0.25">
      <c r="A383" s="1371"/>
      <c r="B383" s="1371"/>
      <c r="C383" s="1371"/>
      <c r="D383" s="1371"/>
      <c r="E383" s="1371"/>
      <c r="F383" s="1371"/>
      <c r="G383" s="1371"/>
      <c r="H383" s="1371"/>
      <c r="I383" s="1372"/>
      <c r="J383" s="1372"/>
      <c r="K383" s="1372"/>
      <c r="L383" s="1372"/>
      <c r="M383" s="1372"/>
      <c r="N383" s="1372"/>
      <c r="O383" s="1372"/>
      <c r="P383" s="1372"/>
      <c r="Q383" s="1372"/>
      <c r="R383" s="1372"/>
      <c r="S383" s="1372"/>
      <c r="T383" s="1372"/>
      <c r="U383" s="1372"/>
      <c r="V383" s="1372"/>
      <c r="W383" s="1372"/>
      <c r="X383" s="1372"/>
      <c r="Y383" s="1372"/>
      <c r="Z383" s="1372"/>
    </row>
    <row r="384" spans="1:26" ht="15.75" customHeight="1" x14ac:dyDescent="0.25">
      <c r="A384" s="1371"/>
      <c r="B384" s="1371"/>
      <c r="C384" s="1371"/>
      <c r="D384" s="1371"/>
      <c r="E384" s="1371"/>
      <c r="F384" s="1371"/>
      <c r="G384" s="1371"/>
      <c r="H384" s="1371"/>
      <c r="I384" s="1372"/>
      <c r="J384" s="1372"/>
      <c r="K384" s="1372"/>
      <c r="L384" s="1372"/>
      <c r="M384" s="1372"/>
      <c r="N384" s="1372"/>
      <c r="O384" s="1372"/>
      <c r="P384" s="1372"/>
      <c r="Q384" s="1372"/>
      <c r="R384" s="1372"/>
      <c r="S384" s="1372"/>
      <c r="T384" s="1372"/>
      <c r="U384" s="1372"/>
      <c r="V384" s="1372"/>
      <c r="W384" s="1372"/>
      <c r="X384" s="1372"/>
      <c r="Y384" s="1372"/>
      <c r="Z384" s="1372"/>
    </row>
    <row r="385" spans="1:26" ht="15.75" customHeight="1" x14ac:dyDescent="0.25">
      <c r="A385" s="1371"/>
      <c r="B385" s="1371"/>
      <c r="C385" s="1371"/>
      <c r="D385" s="1371"/>
      <c r="E385" s="1371"/>
      <c r="F385" s="1371"/>
      <c r="G385" s="1371"/>
      <c r="H385" s="1371"/>
      <c r="I385" s="1372"/>
      <c r="J385" s="1372"/>
      <c r="K385" s="1372"/>
      <c r="L385" s="1372"/>
      <c r="M385" s="1372"/>
      <c r="N385" s="1372"/>
      <c r="O385" s="1372"/>
      <c r="P385" s="1372"/>
      <c r="Q385" s="1372"/>
      <c r="R385" s="1372"/>
      <c r="S385" s="1372"/>
      <c r="T385" s="1372"/>
      <c r="U385" s="1372"/>
      <c r="V385" s="1372"/>
      <c r="W385" s="1372"/>
      <c r="X385" s="1372"/>
      <c r="Y385" s="1372"/>
      <c r="Z385" s="1372"/>
    </row>
    <row r="386" spans="1:26" ht="15.75" customHeight="1" x14ac:dyDescent="0.25">
      <c r="A386" s="1371"/>
      <c r="B386" s="1371"/>
      <c r="C386" s="1371"/>
      <c r="D386" s="1371"/>
      <c r="E386" s="1371"/>
      <c r="F386" s="1371"/>
      <c r="G386" s="1371"/>
      <c r="H386" s="1371"/>
      <c r="I386" s="1372"/>
      <c r="J386" s="1372"/>
      <c r="K386" s="1372"/>
      <c r="L386" s="1372"/>
      <c r="M386" s="1372"/>
      <c r="N386" s="1372"/>
      <c r="O386" s="1372"/>
      <c r="P386" s="1372"/>
      <c r="Q386" s="1372"/>
      <c r="R386" s="1372"/>
      <c r="S386" s="1372"/>
      <c r="T386" s="1372"/>
      <c r="U386" s="1372"/>
      <c r="V386" s="1372"/>
      <c r="W386" s="1372"/>
      <c r="X386" s="1372"/>
      <c r="Y386" s="1372"/>
      <c r="Z386" s="1372"/>
    </row>
    <row r="387" spans="1:26" ht="15.75" customHeight="1" x14ac:dyDescent="0.25">
      <c r="A387" s="1371"/>
      <c r="B387" s="1371"/>
      <c r="C387" s="1371"/>
      <c r="D387" s="1371"/>
      <c r="E387" s="1371"/>
      <c r="F387" s="1371"/>
      <c r="G387" s="1371"/>
      <c r="H387" s="1371"/>
      <c r="I387" s="1372"/>
      <c r="J387" s="1372"/>
      <c r="K387" s="1372"/>
      <c r="L387" s="1372"/>
      <c r="M387" s="1372"/>
      <c r="N387" s="1372"/>
      <c r="O387" s="1372"/>
      <c r="P387" s="1372"/>
      <c r="Q387" s="1372"/>
      <c r="R387" s="1372"/>
      <c r="S387" s="1372"/>
      <c r="T387" s="1372"/>
      <c r="U387" s="1372"/>
      <c r="V387" s="1372"/>
      <c r="W387" s="1372"/>
      <c r="X387" s="1372"/>
      <c r="Y387" s="1372"/>
      <c r="Z387" s="1372"/>
    </row>
    <row r="388" spans="1:26" ht="15.75" customHeight="1" x14ac:dyDescent="0.25">
      <c r="A388" s="1371"/>
      <c r="B388" s="1371"/>
      <c r="C388" s="1371"/>
      <c r="D388" s="1371"/>
      <c r="E388" s="1371"/>
      <c r="F388" s="1371"/>
      <c r="G388" s="1371"/>
      <c r="H388" s="1371"/>
      <c r="I388" s="1372"/>
      <c r="J388" s="1372"/>
      <c r="K388" s="1372"/>
      <c r="L388" s="1372"/>
      <c r="M388" s="1372"/>
      <c r="N388" s="1372"/>
      <c r="O388" s="1372"/>
      <c r="P388" s="1372"/>
      <c r="Q388" s="1372"/>
      <c r="R388" s="1372"/>
      <c r="S388" s="1372"/>
      <c r="T388" s="1372"/>
      <c r="U388" s="1372"/>
      <c r="V388" s="1372"/>
      <c r="W388" s="1372"/>
      <c r="X388" s="1372"/>
      <c r="Y388" s="1372"/>
      <c r="Z388" s="1372"/>
    </row>
    <row r="389" spans="1:26" ht="15.75" customHeight="1" x14ac:dyDescent="0.25">
      <c r="A389" s="1371"/>
      <c r="B389" s="1371"/>
      <c r="C389" s="1371"/>
      <c r="D389" s="1371"/>
      <c r="E389" s="1371"/>
      <c r="F389" s="1371"/>
      <c r="G389" s="1371"/>
      <c r="H389" s="1371"/>
      <c r="I389" s="1372"/>
      <c r="J389" s="1372"/>
      <c r="K389" s="1372"/>
      <c r="L389" s="1372"/>
      <c r="M389" s="1372"/>
      <c r="N389" s="1372"/>
      <c r="O389" s="1372"/>
      <c r="P389" s="1372"/>
      <c r="Q389" s="1372"/>
      <c r="R389" s="1372"/>
      <c r="S389" s="1372"/>
      <c r="T389" s="1372"/>
      <c r="U389" s="1372"/>
      <c r="V389" s="1372"/>
      <c r="W389" s="1372"/>
      <c r="X389" s="1372"/>
      <c r="Y389" s="1372"/>
      <c r="Z389" s="1372"/>
    </row>
    <row r="390" spans="1:26" ht="15.75" customHeight="1" x14ac:dyDescent="0.25">
      <c r="A390" s="1371"/>
      <c r="B390" s="1371"/>
      <c r="C390" s="1371"/>
      <c r="D390" s="1371"/>
      <c r="E390" s="1371"/>
      <c r="F390" s="1371"/>
      <c r="G390" s="1371"/>
      <c r="H390" s="1371"/>
      <c r="I390" s="1372"/>
      <c r="J390" s="1372"/>
      <c r="K390" s="1372"/>
      <c r="L390" s="1372"/>
      <c r="M390" s="1372"/>
      <c r="N390" s="1372"/>
      <c r="O390" s="1372"/>
      <c r="P390" s="1372"/>
      <c r="Q390" s="1372"/>
      <c r="R390" s="1372"/>
      <c r="S390" s="1372"/>
      <c r="T390" s="1372"/>
      <c r="U390" s="1372"/>
      <c r="V390" s="1372"/>
      <c r="W390" s="1372"/>
      <c r="X390" s="1372"/>
      <c r="Y390" s="1372"/>
      <c r="Z390" s="1372"/>
    </row>
    <row r="391" spans="1:26" ht="15.75" customHeight="1" x14ac:dyDescent="0.25">
      <c r="A391" s="1371"/>
      <c r="B391" s="1371"/>
      <c r="C391" s="1371"/>
      <c r="D391" s="1371"/>
      <c r="E391" s="1371"/>
      <c r="F391" s="1371"/>
      <c r="G391" s="1371"/>
      <c r="H391" s="1371"/>
      <c r="I391" s="1372"/>
      <c r="J391" s="1372"/>
      <c r="K391" s="1372"/>
      <c r="L391" s="1372"/>
      <c r="M391" s="1372"/>
      <c r="N391" s="1372"/>
      <c r="O391" s="1372"/>
      <c r="P391" s="1372"/>
      <c r="Q391" s="1372"/>
      <c r="R391" s="1372"/>
      <c r="S391" s="1372"/>
      <c r="T391" s="1372"/>
      <c r="U391" s="1372"/>
      <c r="V391" s="1372"/>
      <c r="W391" s="1372"/>
      <c r="X391" s="1372"/>
      <c r="Y391" s="1372"/>
      <c r="Z391" s="1372"/>
    </row>
    <row r="392" spans="1:26" ht="15.75" customHeight="1" x14ac:dyDescent="0.25">
      <c r="A392" s="1371"/>
      <c r="B392" s="1371"/>
      <c r="C392" s="1371"/>
      <c r="D392" s="1371"/>
      <c r="E392" s="1371"/>
      <c r="F392" s="1371"/>
      <c r="G392" s="1371"/>
      <c r="H392" s="1371"/>
      <c r="I392" s="1372"/>
      <c r="J392" s="1372"/>
      <c r="K392" s="1372"/>
      <c r="L392" s="1372"/>
      <c r="M392" s="1372"/>
      <c r="N392" s="1372"/>
      <c r="O392" s="1372"/>
      <c r="P392" s="1372"/>
      <c r="Q392" s="1372"/>
      <c r="R392" s="1372"/>
      <c r="S392" s="1372"/>
      <c r="T392" s="1372"/>
      <c r="U392" s="1372"/>
      <c r="V392" s="1372"/>
      <c r="W392" s="1372"/>
      <c r="X392" s="1372"/>
      <c r="Y392" s="1372"/>
      <c r="Z392" s="1372"/>
    </row>
    <row r="393" spans="1:26" ht="15.75" customHeight="1" x14ac:dyDescent="0.25">
      <c r="A393" s="1371"/>
      <c r="B393" s="1371"/>
      <c r="C393" s="1371"/>
      <c r="D393" s="1371"/>
      <c r="E393" s="1371"/>
      <c r="F393" s="1371"/>
      <c r="G393" s="1371"/>
      <c r="H393" s="1371"/>
      <c r="I393" s="1372"/>
      <c r="J393" s="1372"/>
      <c r="K393" s="1372"/>
      <c r="L393" s="1372"/>
      <c r="M393" s="1372"/>
      <c r="N393" s="1372"/>
      <c r="O393" s="1372"/>
      <c r="P393" s="1372"/>
      <c r="Q393" s="1372"/>
      <c r="R393" s="1372"/>
      <c r="S393" s="1372"/>
      <c r="T393" s="1372"/>
      <c r="U393" s="1372"/>
      <c r="V393" s="1372"/>
      <c r="W393" s="1372"/>
      <c r="X393" s="1372"/>
      <c r="Y393" s="1372"/>
      <c r="Z393" s="1372"/>
    </row>
    <row r="394" spans="1:26" ht="15.75" customHeight="1" x14ac:dyDescent="0.25">
      <c r="A394" s="1371"/>
      <c r="B394" s="1371"/>
      <c r="C394" s="1371"/>
      <c r="D394" s="1371"/>
      <c r="E394" s="1371"/>
      <c r="F394" s="1371"/>
      <c r="G394" s="1371"/>
      <c r="H394" s="1371"/>
      <c r="I394" s="1372"/>
      <c r="J394" s="1372"/>
      <c r="K394" s="1372"/>
      <c r="L394" s="1372"/>
      <c r="M394" s="1372"/>
      <c r="N394" s="1372"/>
      <c r="O394" s="1372"/>
      <c r="P394" s="1372"/>
      <c r="Q394" s="1372"/>
      <c r="R394" s="1372"/>
      <c r="S394" s="1372"/>
      <c r="T394" s="1372"/>
      <c r="U394" s="1372"/>
      <c r="V394" s="1372"/>
      <c r="W394" s="1372"/>
      <c r="X394" s="1372"/>
      <c r="Y394" s="1372"/>
      <c r="Z394" s="1372"/>
    </row>
    <row r="395" spans="1:26" ht="15.75" customHeight="1" x14ac:dyDescent="0.25">
      <c r="A395" s="1371"/>
      <c r="B395" s="1371"/>
      <c r="C395" s="1371"/>
      <c r="D395" s="1371"/>
      <c r="E395" s="1371"/>
      <c r="F395" s="1371"/>
      <c r="G395" s="1371"/>
      <c r="H395" s="1371"/>
      <c r="I395" s="1372"/>
      <c r="J395" s="1372"/>
      <c r="K395" s="1372"/>
      <c r="L395" s="1372"/>
      <c r="M395" s="1372"/>
      <c r="N395" s="1372"/>
      <c r="O395" s="1372"/>
      <c r="P395" s="1372"/>
      <c r="Q395" s="1372"/>
      <c r="R395" s="1372"/>
      <c r="S395" s="1372"/>
      <c r="T395" s="1372"/>
      <c r="U395" s="1372"/>
      <c r="V395" s="1372"/>
      <c r="W395" s="1372"/>
      <c r="X395" s="1372"/>
      <c r="Y395" s="1372"/>
      <c r="Z395" s="1372"/>
    </row>
    <row r="396" spans="1:26" ht="15.75" customHeight="1" x14ac:dyDescent="0.25">
      <c r="A396" s="1371"/>
      <c r="B396" s="1371"/>
      <c r="C396" s="1371"/>
      <c r="D396" s="1371"/>
      <c r="E396" s="1371"/>
      <c r="F396" s="1371"/>
      <c r="G396" s="1371"/>
      <c r="H396" s="1371"/>
      <c r="I396" s="1372"/>
      <c r="J396" s="1372"/>
      <c r="K396" s="1372"/>
      <c r="L396" s="1372"/>
      <c r="M396" s="1372"/>
      <c r="N396" s="1372"/>
      <c r="O396" s="1372"/>
      <c r="P396" s="1372"/>
      <c r="Q396" s="1372"/>
      <c r="R396" s="1372"/>
      <c r="S396" s="1372"/>
      <c r="T396" s="1372"/>
      <c r="U396" s="1372"/>
      <c r="V396" s="1372"/>
      <c r="W396" s="1372"/>
      <c r="X396" s="1372"/>
      <c r="Y396" s="1372"/>
      <c r="Z396" s="1372"/>
    </row>
    <row r="397" spans="1:26" ht="15.75" customHeight="1" x14ac:dyDescent="0.25">
      <c r="A397" s="1371"/>
      <c r="B397" s="1371"/>
      <c r="C397" s="1371"/>
      <c r="D397" s="1371"/>
      <c r="E397" s="1371"/>
      <c r="F397" s="1371"/>
      <c r="G397" s="1371"/>
      <c r="H397" s="1371"/>
      <c r="I397" s="1372"/>
      <c r="J397" s="1372"/>
      <c r="K397" s="1372"/>
      <c r="L397" s="1372"/>
      <c r="M397" s="1372"/>
      <c r="N397" s="1372"/>
      <c r="O397" s="1372"/>
      <c r="P397" s="1372"/>
      <c r="Q397" s="1372"/>
      <c r="R397" s="1372"/>
      <c r="S397" s="1372"/>
      <c r="T397" s="1372"/>
      <c r="U397" s="1372"/>
      <c r="V397" s="1372"/>
      <c r="W397" s="1372"/>
      <c r="X397" s="1372"/>
      <c r="Y397" s="1372"/>
      <c r="Z397" s="1372"/>
    </row>
    <row r="398" spans="1:26" ht="15.75" customHeight="1" x14ac:dyDescent="0.25">
      <c r="A398" s="1371"/>
      <c r="B398" s="1371"/>
      <c r="C398" s="1371"/>
      <c r="D398" s="1371"/>
      <c r="E398" s="1371"/>
      <c r="F398" s="1371"/>
      <c r="G398" s="1371"/>
      <c r="H398" s="1371"/>
      <c r="I398" s="1372"/>
      <c r="J398" s="1372"/>
      <c r="K398" s="1372"/>
      <c r="L398" s="1372"/>
      <c r="M398" s="1372"/>
      <c r="N398" s="1372"/>
      <c r="O398" s="1372"/>
      <c r="P398" s="1372"/>
      <c r="Q398" s="1372"/>
      <c r="R398" s="1372"/>
      <c r="S398" s="1372"/>
      <c r="T398" s="1372"/>
      <c r="U398" s="1372"/>
      <c r="V398" s="1372"/>
      <c r="W398" s="1372"/>
      <c r="X398" s="1372"/>
      <c r="Y398" s="1372"/>
      <c r="Z398" s="1372"/>
    </row>
    <row r="399" spans="1:26" ht="15.75" customHeight="1" x14ac:dyDescent="0.25">
      <c r="A399" s="1371"/>
      <c r="B399" s="1371"/>
      <c r="C399" s="1371"/>
      <c r="D399" s="1371"/>
      <c r="E399" s="1371"/>
      <c r="F399" s="1371"/>
      <c r="G399" s="1371"/>
      <c r="H399" s="1371"/>
      <c r="I399" s="1372"/>
      <c r="J399" s="1372"/>
      <c r="K399" s="1372"/>
      <c r="L399" s="1372"/>
      <c r="M399" s="1372"/>
      <c r="N399" s="1372"/>
      <c r="O399" s="1372"/>
      <c r="P399" s="1372"/>
      <c r="Q399" s="1372"/>
      <c r="R399" s="1372"/>
      <c r="S399" s="1372"/>
      <c r="T399" s="1372"/>
      <c r="U399" s="1372"/>
      <c r="V399" s="1372"/>
      <c r="W399" s="1372"/>
      <c r="X399" s="1372"/>
      <c r="Y399" s="1372"/>
      <c r="Z399" s="1372"/>
    </row>
    <row r="400" spans="1:26" ht="15.75" customHeight="1" x14ac:dyDescent="0.25">
      <c r="A400" s="1371"/>
      <c r="B400" s="1371"/>
      <c r="C400" s="1371"/>
      <c r="D400" s="1371"/>
      <c r="E400" s="1371"/>
      <c r="F400" s="1371"/>
      <c r="G400" s="1371"/>
      <c r="H400" s="1371"/>
      <c r="I400" s="1372"/>
      <c r="J400" s="1372"/>
      <c r="K400" s="1372"/>
      <c r="L400" s="1372"/>
      <c r="M400" s="1372"/>
      <c r="N400" s="1372"/>
      <c r="O400" s="1372"/>
      <c r="P400" s="1372"/>
      <c r="Q400" s="1372"/>
      <c r="R400" s="1372"/>
      <c r="S400" s="1372"/>
      <c r="T400" s="1372"/>
      <c r="U400" s="1372"/>
      <c r="V400" s="1372"/>
      <c r="W400" s="1372"/>
      <c r="X400" s="1372"/>
      <c r="Y400" s="1372"/>
      <c r="Z400" s="1372"/>
    </row>
    <row r="401" spans="1:26" ht="15.75" customHeight="1" x14ac:dyDescent="0.25">
      <c r="A401" s="1371"/>
      <c r="B401" s="1371"/>
      <c r="C401" s="1371"/>
      <c r="D401" s="1371"/>
      <c r="E401" s="1371"/>
      <c r="F401" s="1371"/>
      <c r="G401" s="1371"/>
      <c r="H401" s="1371"/>
      <c r="I401" s="1372"/>
      <c r="J401" s="1372"/>
      <c r="K401" s="1372"/>
      <c r="L401" s="1372"/>
      <c r="M401" s="1372"/>
      <c r="N401" s="1372"/>
      <c r="O401" s="1372"/>
      <c r="P401" s="1372"/>
      <c r="Q401" s="1372"/>
      <c r="R401" s="1372"/>
      <c r="S401" s="1372"/>
      <c r="T401" s="1372"/>
      <c r="U401" s="1372"/>
      <c r="V401" s="1372"/>
      <c r="W401" s="1372"/>
      <c r="X401" s="1372"/>
      <c r="Y401" s="1372"/>
      <c r="Z401" s="1372"/>
    </row>
    <row r="402" spans="1:26" ht="15.75" customHeight="1" x14ac:dyDescent="0.25">
      <c r="A402" s="1371"/>
      <c r="B402" s="1371"/>
      <c r="C402" s="1371"/>
      <c r="D402" s="1371"/>
      <c r="E402" s="1371"/>
      <c r="F402" s="1371"/>
      <c r="G402" s="1371"/>
      <c r="H402" s="1371"/>
      <c r="I402" s="1372"/>
      <c r="J402" s="1372"/>
      <c r="K402" s="1372"/>
      <c r="L402" s="1372"/>
      <c r="M402" s="1372"/>
      <c r="N402" s="1372"/>
      <c r="O402" s="1372"/>
      <c r="P402" s="1372"/>
      <c r="Q402" s="1372"/>
      <c r="R402" s="1372"/>
      <c r="S402" s="1372"/>
      <c r="T402" s="1372"/>
      <c r="U402" s="1372"/>
      <c r="V402" s="1372"/>
      <c r="W402" s="1372"/>
      <c r="X402" s="1372"/>
      <c r="Y402" s="1372"/>
      <c r="Z402" s="1372"/>
    </row>
    <row r="403" spans="1:26" ht="15.75" customHeight="1" x14ac:dyDescent="0.25">
      <c r="A403" s="1371"/>
      <c r="B403" s="1371"/>
      <c r="C403" s="1371"/>
      <c r="D403" s="1371"/>
      <c r="E403" s="1371"/>
      <c r="F403" s="1371"/>
      <c r="G403" s="1371"/>
      <c r="H403" s="1371"/>
      <c r="I403" s="1372"/>
      <c r="J403" s="1372"/>
      <c r="K403" s="1372"/>
      <c r="L403" s="1372"/>
      <c r="M403" s="1372"/>
      <c r="N403" s="1372"/>
      <c r="O403" s="1372"/>
      <c r="P403" s="1372"/>
      <c r="Q403" s="1372"/>
      <c r="R403" s="1372"/>
      <c r="S403" s="1372"/>
      <c r="T403" s="1372"/>
      <c r="U403" s="1372"/>
      <c r="V403" s="1372"/>
      <c r="W403" s="1372"/>
      <c r="X403" s="1372"/>
      <c r="Y403" s="1372"/>
      <c r="Z403" s="1372"/>
    </row>
    <row r="404" spans="1:26" ht="15.75" customHeight="1" x14ac:dyDescent="0.25">
      <c r="A404" s="1371"/>
      <c r="B404" s="1371"/>
      <c r="C404" s="1371"/>
      <c r="D404" s="1371"/>
      <c r="E404" s="1371"/>
      <c r="F404" s="1371"/>
      <c r="G404" s="1371"/>
      <c r="H404" s="1371"/>
      <c r="I404" s="1372"/>
      <c r="J404" s="1372"/>
      <c r="K404" s="1372"/>
      <c r="L404" s="1372"/>
      <c r="M404" s="1372"/>
      <c r="N404" s="1372"/>
      <c r="O404" s="1372"/>
      <c r="P404" s="1372"/>
      <c r="Q404" s="1372"/>
      <c r="R404" s="1372"/>
      <c r="S404" s="1372"/>
      <c r="T404" s="1372"/>
      <c r="U404" s="1372"/>
      <c r="V404" s="1372"/>
      <c r="W404" s="1372"/>
      <c r="X404" s="1372"/>
      <c r="Y404" s="1372"/>
      <c r="Z404" s="1372"/>
    </row>
    <row r="405" spans="1:26" ht="15.75" customHeight="1" x14ac:dyDescent="0.25">
      <c r="A405" s="1371"/>
      <c r="B405" s="1371"/>
      <c r="C405" s="1371"/>
      <c r="D405" s="1371"/>
      <c r="E405" s="1371"/>
      <c r="F405" s="1371"/>
      <c r="G405" s="1371"/>
      <c r="H405" s="1371"/>
      <c r="I405" s="1372"/>
      <c r="J405" s="1372"/>
      <c r="K405" s="1372"/>
      <c r="L405" s="1372"/>
      <c r="M405" s="1372"/>
      <c r="N405" s="1372"/>
      <c r="O405" s="1372"/>
      <c r="P405" s="1372"/>
      <c r="Q405" s="1372"/>
      <c r="R405" s="1372"/>
      <c r="S405" s="1372"/>
      <c r="T405" s="1372"/>
      <c r="U405" s="1372"/>
      <c r="V405" s="1372"/>
      <c r="W405" s="1372"/>
      <c r="X405" s="1372"/>
      <c r="Y405" s="1372"/>
      <c r="Z405" s="1372"/>
    </row>
    <row r="406" spans="1:26" ht="15.75" customHeight="1" x14ac:dyDescent="0.25">
      <c r="A406" s="1371"/>
      <c r="B406" s="1371"/>
      <c r="C406" s="1371"/>
      <c r="D406" s="1371"/>
      <c r="E406" s="1371"/>
      <c r="F406" s="1371"/>
      <c r="G406" s="1371"/>
      <c r="H406" s="1371"/>
      <c r="I406" s="1372"/>
      <c r="J406" s="1372"/>
      <c r="K406" s="1372"/>
      <c r="L406" s="1372"/>
      <c r="M406" s="1372"/>
      <c r="N406" s="1372"/>
      <c r="O406" s="1372"/>
      <c r="P406" s="1372"/>
      <c r="Q406" s="1372"/>
      <c r="R406" s="1372"/>
      <c r="S406" s="1372"/>
      <c r="T406" s="1372"/>
      <c r="U406" s="1372"/>
      <c r="V406" s="1372"/>
      <c r="W406" s="1372"/>
      <c r="X406" s="1372"/>
      <c r="Y406" s="1372"/>
      <c r="Z406" s="1372"/>
    </row>
    <row r="407" spans="1:26" ht="15.75" customHeight="1" x14ac:dyDescent="0.25">
      <c r="A407" s="1371"/>
      <c r="B407" s="1371"/>
      <c r="C407" s="1371"/>
      <c r="D407" s="1371"/>
      <c r="E407" s="1371"/>
      <c r="F407" s="1371"/>
      <c r="G407" s="1371"/>
      <c r="H407" s="1371"/>
      <c r="I407" s="1372"/>
      <c r="J407" s="1372"/>
      <c r="K407" s="1372"/>
      <c r="L407" s="1372"/>
      <c r="M407" s="1372"/>
      <c r="N407" s="1372"/>
      <c r="O407" s="1372"/>
      <c r="P407" s="1372"/>
      <c r="Q407" s="1372"/>
      <c r="R407" s="1372"/>
      <c r="S407" s="1372"/>
      <c r="T407" s="1372"/>
      <c r="U407" s="1372"/>
      <c r="V407" s="1372"/>
      <c r="W407" s="1372"/>
      <c r="X407" s="1372"/>
      <c r="Y407" s="1372"/>
      <c r="Z407" s="1372"/>
    </row>
    <row r="408" spans="1:26" ht="15.75" customHeight="1" x14ac:dyDescent="0.25">
      <c r="A408" s="1371"/>
      <c r="B408" s="1371"/>
      <c r="C408" s="1371"/>
      <c r="D408" s="1371"/>
      <c r="E408" s="1371"/>
      <c r="F408" s="1371"/>
      <c r="G408" s="1371"/>
      <c r="H408" s="1371"/>
      <c r="I408" s="1372"/>
      <c r="J408" s="1372"/>
      <c r="K408" s="1372"/>
      <c r="L408" s="1372"/>
      <c r="M408" s="1372"/>
      <c r="N408" s="1372"/>
      <c r="O408" s="1372"/>
      <c r="P408" s="1372"/>
      <c r="Q408" s="1372"/>
      <c r="R408" s="1372"/>
      <c r="S408" s="1372"/>
      <c r="T408" s="1372"/>
      <c r="U408" s="1372"/>
      <c r="V408" s="1372"/>
      <c r="W408" s="1372"/>
      <c r="X408" s="1372"/>
      <c r="Y408" s="1372"/>
      <c r="Z408" s="1372"/>
    </row>
    <row r="409" spans="1:26" ht="15.75" customHeight="1" x14ac:dyDescent="0.25">
      <c r="A409" s="1371"/>
      <c r="B409" s="1371"/>
      <c r="C409" s="1371"/>
      <c r="D409" s="1371"/>
      <c r="E409" s="1371"/>
      <c r="F409" s="1371"/>
      <c r="G409" s="1371"/>
      <c r="H409" s="1371"/>
      <c r="I409" s="1372"/>
      <c r="J409" s="1372"/>
      <c r="K409" s="1372"/>
      <c r="L409" s="1372"/>
      <c r="M409" s="1372"/>
      <c r="N409" s="1372"/>
      <c r="O409" s="1372"/>
      <c r="P409" s="1372"/>
      <c r="Q409" s="1372"/>
      <c r="R409" s="1372"/>
      <c r="S409" s="1372"/>
      <c r="T409" s="1372"/>
      <c r="U409" s="1372"/>
      <c r="V409" s="1372"/>
      <c r="W409" s="1372"/>
      <c r="X409" s="1372"/>
      <c r="Y409" s="1372"/>
      <c r="Z409" s="1372"/>
    </row>
    <row r="410" spans="1:26" ht="15.75" customHeight="1" x14ac:dyDescent="0.25">
      <c r="A410" s="1371"/>
      <c r="B410" s="1371"/>
      <c r="C410" s="1371"/>
      <c r="D410" s="1371"/>
      <c r="E410" s="1371"/>
      <c r="F410" s="1371"/>
      <c r="G410" s="1371"/>
      <c r="H410" s="1371"/>
      <c r="I410" s="1372"/>
      <c r="J410" s="1372"/>
      <c r="K410" s="1372"/>
      <c r="L410" s="1372"/>
      <c r="M410" s="1372"/>
      <c r="N410" s="1372"/>
      <c r="O410" s="1372"/>
      <c r="P410" s="1372"/>
      <c r="Q410" s="1372"/>
      <c r="R410" s="1372"/>
      <c r="S410" s="1372"/>
      <c r="T410" s="1372"/>
      <c r="U410" s="1372"/>
      <c r="V410" s="1372"/>
      <c r="W410" s="1372"/>
      <c r="X410" s="1372"/>
      <c r="Y410" s="1372"/>
      <c r="Z410" s="1372"/>
    </row>
    <row r="411" spans="1:26" ht="15.75" customHeight="1" x14ac:dyDescent="0.25">
      <c r="A411" s="1371"/>
      <c r="B411" s="1371"/>
      <c r="C411" s="1371"/>
      <c r="D411" s="1371"/>
      <c r="E411" s="1371"/>
      <c r="F411" s="1371"/>
      <c r="G411" s="1371"/>
      <c r="H411" s="1371"/>
      <c r="I411" s="1372"/>
      <c r="J411" s="1372"/>
      <c r="K411" s="1372"/>
      <c r="L411" s="1372"/>
      <c r="M411" s="1372"/>
      <c r="N411" s="1372"/>
      <c r="O411" s="1372"/>
      <c r="P411" s="1372"/>
      <c r="Q411" s="1372"/>
      <c r="R411" s="1372"/>
      <c r="S411" s="1372"/>
      <c r="T411" s="1372"/>
      <c r="U411" s="1372"/>
      <c r="V411" s="1372"/>
      <c r="W411" s="1372"/>
      <c r="X411" s="1372"/>
      <c r="Y411" s="1372"/>
      <c r="Z411" s="1372"/>
    </row>
    <row r="412" spans="1:26" ht="15.75" customHeight="1" x14ac:dyDescent="0.25">
      <c r="A412" s="1371"/>
      <c r="B412" s="1371"/>
      <c r="C412" s="1371"/>
      <c r="D412" s="1371"/>
      <c r="E412" s="1371"/>
      <c r="F412" s="1371"/>
      <c r="G412" s="1371"/>
      <c r="H412" s="1371"/>
      <c r="I412" s="1372"/>
      <c r="J412" s="1372"/>
      <c r="K412" s="1372"/>
      <c r="L412" s="1372"/>
      <c r="M412" s="1372"/>
      <c r="N412" s="1372"/>
      <c r="O412" s="1372"/>
      <c r="P412" s="1372"/>
      <c r="Q412" s="1372"/>
      <c r="R412" s="1372"/>
      <c r="S412" s="1372"/>
      <c r="T412" s="1372"/>
      <c r="U412" s="1372"/>
      <c r="V412" s="1372"/>
      <c r="W412" s="1372"/>
      <c r="X412" s="1372"/>
      <c r="Y412" s="1372"/>
      <c r="Z412" s="1372"/>
    </row>
    <row r="413" spans="1:26" ht="15.75" customHeight="1" x14ac:dyDescent="0.25">
      <c r="A413" s="1371"/>
      <c r="B413" s="1371"/>
      <c r="C413" s="1371"/>
      <c r="D413" s="1371"/>
      <c r="E413" s="1371"/>
      <c r="F413" s="1371"/>
      <c r="G413" s="1371"/>
      <c r="H413" s="1371"/>
      <c r="I413" s="1372"/>
      <c r="J413" s="1372"/>
      <c r="K413" s="1372"/>
      <c r="L413" s="1372"/>
      <c r="M413" s="1372"/>
      <c r="N413" s="1372"/>
      <c r="O413" s="1372"/>
      <c r="P413" s="1372"/>
      <c r="Q413" s="1372"/>
      <c r="R413" s="1372"/>
      <c r="S413" s="1372"/>
      <c r="T413" s="1372"/>
      <c r="U413" s="1372"/>
      <c r="V413" s="1372"/>
      <c r="W413" s="1372"/>
      <c r="X413" s="1372"/>
      <c r="Y413" s="1372"/>
      <c r="Z413" s="1372"/>
    </row>
    <row r="414" spans="1:26" ht="15.75" customHeight="1" x14ac:dyDescent="0.25">
      <c r="A414" s="1371"/>
      <c r="B414" s="1371"/>
      <c r="C414" s="1371"/>
      <c r="D414" s="1371"/>
      <c r="E414" s="1371"/>
      <c r="F414" s="1371"/>
      <c r="G414" s="1371"/>
      <c r="H414" s="1371"/>
      <c r="I414" s="1372"/>
      <c r="J414" s="1372"/>
      <c r="K414" s="1372"/>
      <c r="L414" s="1372"/>
      <c r="M414" s="1372"/>
      <c r="N414" s="1372"/>
      <c r="O414" s="1372"/>
      <c r="P414" s="1372"/>
      <c r="Q414" s="1372"/>
      <c r="R414" s="1372"/>
      <c r="S414" s="1372"/>
      <c r="T414" s="1372"/>
      <c r="U414" s="1372"/>
      <c r="V414" s="1372"/>
      <c r="W414" s="1372"/>
      <c r="X414" s="1372"/>
      <c r="Y414" s="1372"/>
      <c r="Z414" s="1372"/>
    </row>
    <row r="415" spans="1:26" ht="15.75" customHeight="1" x14ac:dyDescent="0.25">
      <c r="A415" s="1371"/>
      <c r="B415" s="1371"/>
      <c r="C415" s="1371"/>
      <c r="D415" s="1371"/>
      <c r="E415" s="1371"/>
      <c r="F415" s="1371"/>
      <c r="G415" s="1371"/>
      <c r="H415" s="1371"/>
      <c r="I415" s="1372"/>
      <c r="J415" s="1372"/>
      <c r="K415" s="1372"/>
      <c r="L415" s="1372"/>
      <c r="M415" s="1372"/>
      <c r="N415" s="1372"/>
      <c r="O415" s="1372"/>
      <c r="P415" s="1372"/>
      <c r="Q415" s="1372"/>
      <c r="R415" s="1372"/>
      <c r="S415" s="1372"/>
      <c r="T415" s="1372"/>
      <c r="U415" s="1372"/>
      <c r="V415" s="1372"/>
      <c r="W415" s="1372"/>
      <c r="X415" s="1372"/>
      <c r="Y415" s="1372"/>
      <c r="Z415" s="1372"/>
    </row>
    <row r="416" spans="1:26" ht="15.75" customHeight="1" x14ac:dyDescent="0.25">
      <c r="A416" s="1371"/>
      <c r="B416" s="1371"/>
      <c r="C416" s="1371"/>
      <c r="D416" s="1371"/>
      <c r="E416" s="1371"/>
      <c r="F416" s="1371"/>
      <c r="G416" s="1371"/>
      <c r="H416" s="1371"/>
      <c r="I416" s="1372"/>
      <c r="J416" s="1372"/>
      <c r="K416" s="1372"/>
      <c r="L416" s="1372"/>
      <c r="M416" s="1372"/>
      <c r="N416" s="1372"/>
      <c r="O416" s="1372"/>
      <c r="P416" s="1372"/>
      <c r="Q416" s="1372"/>
      <c r="R416" s="1372"/>
      <c r="S416" s="1372"/>
      <c r="T416" s="1372"/>
      <c r="U416" s="1372"/>
      <c r="V416" s="1372"/>
      <c r="W416" s="1372"/>
      <c r="X416" s="1372"/>
      <c r="Y416" s="1372"/>
      <c r="Z416" s="1372"/>
    </row>
    <row r="417" spans="1:26" ht="15.75" customHeight="1" x14ac:dyDescent="0.25">
      <c r="A417" s="1371"/>
      <c r="B417" s="1371"/>
      <c r="C417" s="1371"/>
      <c r="D417" s="1371"/>
      <c r="E417" s="1371"/>
      <c r="F417" s="1371"/>
      <c r="G417" s="1371"/>
      <c r="H417" s="1371"/>
      <c r="I417" s="1372"/>
      <c r="J417" s="1372"/>
      <c r="K417" s="1372"/>
      <c r="L417" s="1372"/>
      <c r="M417" s="1372"/>
      <c r="N417" s="1372"/>
      <c r="O417" s="1372"/>
      <c r="P417" s="1372"/>
      <c r="Q417" s="1372"/>
      <c r="R417" s="1372"/>
      <c r="S417" s="1372"/>
      <c r="T417" s="1372"/>
      <c r="U417" s="1372"/>
      <c r="V417" s="1372"/>
      <c r="W417" s="1372"/>
      <c r="X417" s="1372"/>
      <c r="Y417" s="1372"/>
      <c r="Z417" s="1372"/>
    </row>
    <row r="418" spans="1:26" ht="15.75" customHeight="1" x14ac:dyDescent="0.25">
      <c r="A418" s="1371"/>
      <c r="B418" s="1371"/>
      <c r="C418" s="1371"/>
      <c r="D418" s="1371"/>
      <c r="E418" s="1371"/>
      <c r="F418" s="1371"/>
      <c r="G418" s="1371"/>
      <c r="H418" s="1371"/>
      <c r="I418" s="1372"/>
      <c r="J418" s="1372"/>
      <c r="K418" s="1372"/>
      <c r="L418" s="1372"/>
      <c r="M418" s="1372"/>
      <c r="N418" s="1372"/>
      <c r="O418" s="1372"/>
      <c r="P418" s="1372"/>
      <c r="Q418" s="1372"/>
      <c r="R418" s="1372"/>
      <c r="S418" s="1372"/>
      <c r="T418" s="1372"/>
      <c r="U418" s="1372"/>
      <c r="V418" s="1372"/>
      <c r="W418" s="1372"/>
      <c r="X418" s="1372"/>
      <c r="Y418" s="1372"/>
      <c r="Z418" s="1372"/>
    </row>
    <row r="419" spans="1:26" ht="15.75" customHeight="1" x14ac:dyDescent="0.25">
      <c r="A419" s="1371"/>
      <c r="B419" s="1371"/>
      <c r="C419" s="1371"/>
      <c r="D419" s="1371"/>
      <c r="E419" s="1371"/>
      <c r="F419" s="1371"/>
      <c r="G419" s="1371"/>
      <c r="H419" s="1371"/>
      <c r="I419" s="1372"/>
      <c r="J419" s="1372"/>
      <c r="K419" s="1372"/>
      <c r="L419" s="1372"/>
      <c r="M419" s="1372"/>
      <c r="N419" s="1372"/>
      <c r="O419" s="1372"/>
      <c r="P419" s="1372"/>
      <c r="Q419" s="1372"/>
      <c r="R419" s="1372"/>
      <c r="S419" s="1372"/>
      <c r="T419" s="1372"/>
      <c r="U419" s="1372"/>
      <c r="V419" s="1372"/>
      <c r="W419" s="1372"/>
      <c r="X419" s="1372"/>
      <c r="Y419" s="1372"/>
      <c r="Z419" s="1372"/>
    </row>
    <row r="420" spans="1:26" ht="15.75" customHeight="1" x14ac:dyDescent="0.25">
      <c r="A420" s="1371"/>
      <c r="B420" s="1371"/>
      <c r="C420" s="1371"/>
      <c r="D420" s="1371"/>
      <c r="E420" s="1371"/>
      <c r="F420" s="1371"/>
      <c r="G420" s="1371"/>
      <c r="H420" s="1371"/>
      <c r="I420" s="1372"/>
      <c r="J420" s="1372"/>
      <c r="K420" s="1372"/>
      <c r="L420" s="1372"/>
      <c r="M420" s="1372"/>
      <c r="N420" s="1372"/>
      <c r="O420" s="1372"/>
      <c r="P420" s="1372"/>
      <c r="Q420" s="1372"/>
      <c r="R420" s="1372"/>
      <c r="S420" s="1372"/>
      <c r="T420" s="1372"/>
      <c r="U420" s="1372"/>
      <c r="V420" s="1372"/>
      <c r="W420" s="1372"/>
      <c r="X420" s="1372"/>
      <c r="Y420" s="1372"/>
      <c r="Z420" s="1372"/>
    </row>
    <row r="421" spans="1:26" ht="15.75" customHeight="1" x14ac:dyDescent="0.25">
      <c r="A421" s="1371"/>
      <c r="B421" s="1371"/>
      <c r="C421" s="1371"/>
      <c r="D421" s="1371"/>
      <c r="E421" s="1371"/>
      <c r="F421" s="1371"/>
      <c r="G421" s="1371"/>
      <c r="H421" s="1371"/>
      <c r="I421" s="1372"/>
      <c r="J421" s="1372"/>
      <c r="K421" s="1372"/>
      <c r="L421" s="1372"/>
      <c r="M421" s="1372"/>
      <c r="N421" s="1372"/>
      <c r="O421" s="1372"/>
      <c r="P421" s="1372"/>
      <c r="Q421" s="1372"/>
      <c r="R421" s="1372"/>
      <c r="S421" s="1372"/>
      <c r="T421" s="1372"/>
      <c r="U421" s="1372"/>
      <c r="V421" s="1372"/>
      <c r="W421" s="1372"/>
      <c r="X421" s="1372"/>
      <c r="Y421" s="1372"/>
      <c r="Z421" s="1372"/>
    </row>
    <row r="422" spans="1:26" ht="15.75" customHeight="1" x14ac:dyDescent="0.25">
      <c r="A422" s="1371"/>
      <c r="B422" s="1371"/>
      <c r="C422" s="1371"/>
      <c r="D422" s="1371"/>
      <c r="E422" s="1371"/>
      <c r="F422" s="1371"/>
      <c r="G422" s="1371"/>
      <c r="H422" s="1371"/>
      <c r="I422" s="1372"/>
      <c r="J422" s="1372"/>
      <c r="K422" s="1372"/>
      <c r="L422" s="1372"/>
      <c r="M422" s="1372"/>
      <c r="N422" s="1372"/>
      <c r="O422" s="1372"/>
      <c r="P422" s="1372"/>
      <c r="Q422" s="1372"/>
      <c r="R422" s="1372"/>
      <c r="S422" s="1372"/>
      <c r="T422" s="1372"/>
      <c r="U422" s="1372"/>
      <c r="V422" s="1372"/>
      <c r="W422" s="1372"/>
      <c r="X422" s="1372"/>
      <c r="Y422" s="1372"/>
      <c r="Z422" s="1372"/>
    </row>
    <row r="423" spans="1:26" ht="15.75" customHeight="1" x14ac:dyDescent="0.25">
      <c r="A423" s="1371"/>
      <c r="B423" s="1371"/>
      <c r="C423" s="1371"/>
      <c r="D423" s="1371"/>
      <c r="E423" s="1371"/>
      <c r="F423" s="1371"/>
      <c r="G423" s="1371"/>
      <c r="H423" s="1371"/>
      <c r="I423" s="1372"/>
      <c r="J423" s="1372"/>
      <c r="K423" s="1372"/>
      <c r="L423" s="1372"/>
      <c r="M423" s="1372"/>
      <c r="N423" s="1372"/>
      <c r="O423" s="1372"/>
      <c r="P423" s="1372"/>
      <c r="Q423" s="1372"/>
      <c r="R423" s="1372"/>
      <c r="S423" s="1372"/>
      <c r="T423" s="1372"/>
      <c r="U423" s="1372"/>
      <c r="V423" s="1372"/>
      <c r="W423" s="1372"/>
      <c r="X423" s="1372"/>
      <c r="Y423" s="1372"/>
      <c r="Z423" s="1372"/>
    </row>
    <row r="424" spans="1:26" ht="15.75" customHeight="1" x14ac:dyDescent="0.25">
      <c r="A424" s="1371"/>
      <c r="B424" s="1371"/>
      <c r="C424" s="1371"/>
      <c r="D424" s="1371"/>
      <c r="E424" s="1371"/>
      <c r="F424" s="1371"/>
      <c r="G424" s="1371"/>
      <c r="H424" s="1371"/>
      <c r="I424" s="1372"/>
      <c r="J424" s="1372"/>
      <c r="K424" s="1372"/>
      <c r="L424" s="1372"/>
      <c r="M424" s="1372"/>
      <c r="N424" s="1372"/>
      <c r="O424" s="1372"/>
      <c r="P424" s="1372"/>
      <c r="Q424" s="1372"/>
      <c r="R424" s="1372"/>
      <c r="S424" s="1372"/>
      <c r="T424" s="1372"/>
      <c r="U424" s="1372"/>
      <c r="V424" s="1372"/>
      <c r="W424" s="1372"/>
      <c r="X424" s="1372"/>
      <c r="Y424" s="1372"/>
      <c r="Z424" s="1372"/>
    </row>
    <row r="425" spans="1:26" ht="15.75" customHeight="1" x14ac:dyDescent="0.25">
      <c r="A425" s="1371"/>
      <c r="B425" s="1371"/>
      <c r="C425" s="1371"/>
      <c r="D425" s="1371"/>
      <c r="E425" s="1371"/>
      <c r="F425" s="1371"/>
      <c r="G425" s="1371"/>
      <c r="H425" s="1371"/>
      <c r="I425" s="1372"/>
      <c r="J425" s="1372"/>
      <c r="K425" s="1372"/>
      <c r="L425" s="1372"/>
      <c r="M425" s="1372"/>
      <c r="N425" s="1372"/>
      <c r="O425" s="1372"/>
      <c r="P425" s="1372"/>
      <c r="Q425" s="1372"/>
      <c r="R425" s="1372"/>
      <c r="S425" s="1372"/>
      <c r="T425" s="1372"/>
      <c r="U425" s="1372"/>
      <c r="V425" s="1372"/>
      <c r="W425" s="1372"/>
      <c r="X425" s="1372"/>
      <c r="Y425" s="1372"/>
      <c r="Z425" s="1372"/>
    </row>
    <row r="426" spans="1:26" ht="15.75" customHeight="1" x14ac:dyDescent="0.25">
      <c r="A426" s="1371"/>
      <c r="B426" s="1371"/>
      <c r="C426" s="1371"/>
      <c r="D426" s="1371"/>
      <c r="E426" s="1371"/>
      <c r="F426" s="1371"/>
      <c r="G426" s="1371"/>
      <c r="H426" s="1371"/>
      <c r="I426" s="1372"/>
      <c r="J426" s="1372"/>
      <c r="K426" s="1372"/>
      <c r="L426" s="1372"/>
      <c r="M426" s="1372"/>
      <c r="N426" s="1372"/>
      <c r="O426" s="1372"/>
      <c r="P426" s="1372"/>
      <c r="Q426" s="1372"/>
      <c r="R426" s="1372"/>
      <c r="S426" s="1372"/>
      <c r="T426" s="1372"/>
      <c r="U426" s="1372"/>
      <c r="V426" s="1372"/>
      <c r="W426" s="1372"/>
      <c r="X426" s="1372"/>
      <c r="Y426" s="1372"/>
      <c r="Z426" s="1372"/>
    </row>
    <row r="427" spans="1:26" ht="15.75" customHeight="1" x14ac:dyDescent="0.25">
      <c r="A427" s="1371"/>
      <c r="B427" s="1371"/>
      <c r="C427" s="1371"/>
      <c r="D427" s="1371"/>
      <c r="E427" s="1371"/>
      <c r="F427" s="1371"/>
      <c r="G427" s="1371"/>
      <c r="H427" s="1371"/>
      <c r="I427" s="1372"/>
      <c r="J427" s="1372"/>
      <c r="K427" s="1372"/>
      <c r="L427" s="1372"/>
      <c r="M427" s="1372"/>
      <c r="N427" s="1372"/>
      <c r="O427" s="1372"/>
      <c r="P427" s="1372"/>
      <c r="Q427" s="1372"/>
      <c r="R427" s="1372"/>
      <c r="S427" s="1372"/>
      <c r="T427" s="1372"/>
      <c r="U427" s="1372"/>
      <c r="V427" s="1372"/>
      <c r="W427" s="1372"/>
      <c r="X427" s="1372"/>
      <c r="Y427" s="1372"/>
      <c r="Z427" s="1372"/>
    </row>
    <row r="428" spans="1:26" ht="15.75" customHeight="1" x14ac:dyDescent="0.25">
      <c r="A428" s="1371"/>
      <c r="B428" s="1371"/>
      <c r="C428" s="1371"/>
      <c r="D428" s="1371"/>
      <c r="E428" s="1371"/>
      <c r="F428" s="1371"/>
      <c r="G428" s="1371"/>
      <c r="H428" s="1371"/>
      <c r="I428" s="1372"/>
      <c r="J428" s="1372"/>
      <c r="K428" s="1372"/>
      <c r="L428" s="1372"/>
      <c r="M428" s="1372"/>
      <c r="N428" s="1372"/>
      <c r="O428" s="1372"/>
      <c r="P428" s="1372"/>
      <c r="Q428" s="1372"/>
      <c r="R428" s="1372"/>
      <c r="S428" s="1372"/>
      <c r="T428" s="1372"/>
      <c r="U428" s="1372"/>
      <c r="V428" s="1372"/>
      <c r="W428" s="1372"/>
      <c r="X428" s="1372"/>
      <c r="Y428" s="1372"/>
      <c r="Z428" s="1372"/>
    </row>
    <row r="429" spans="1:26" ht="15.75" customHeight="1" x14ac:dyDescent="0.25">
      <c r="A429" s="1371"/>
      <c r="B429" s="1371"/>
      <c r="C429" s="1371"/>
      <c r="D429" s="1371"/>
      <c r="E429" s="1371"/>
      <c r="F429" s="1371"/>
      <c r="G429" s="1371"/>
      <c r="H429" s="1371"/>
      <c r="I429" s="1372"/>
      <c r="J429" s="1372"/>
      <c r="K429" s="1372"/>
      <c r="L429" s="1372"/>
      <c r="M429" s="1372"/>
      <c r="N429" s="1372"/>
      <c r="O429" s="1372"/>
      <c r="P429" s="1372"/>
      <c r="Q429" s="1372"/>
      <c r="R429" s="1372"/>
      <c r="S429" s="1372"/>
      <c r="T429" s="1372"/>
      <c r="U429" s="1372"/>
      <c r="V429" s="1372"/>
      <c r="W429" s="1372"/>
      <c r="X429" s="1372"/>
      <c r="Y429" s="1372"/>
      <c r="Z429" s="1372"/>
    </row>
    <row r="430" spans="1:26" ht="15.75" customHeight="1" x14ac:dyDescent="0.25">
      <c r="A430" s="1371"/>
      <c r="B430" s="1371"/>
      <c r="C430" s="1371"/>
      <c r="D430" s="1371"/>
      <c r="E430" s="1371"/>
      <c r="F430" s="1371"/>
      <c r="G430" s="1371"/>
      <c r="H430" s="1371"/>
      <c r="I430" s="1372"/>
      <c r="J430" s="1372"/>
      <c r="K430" s="1372"/>
      <c r="L430" s="1372"/>
      <c r="M430" s="1372"/>
      <c r="N430" s="1372"/>
      <c r="O430" s="1372"/>
      <c r="P430" s="1372"/>
      <c r="Q430" s="1372"/>
      <c r="R430" s="1372"/>
      <c r="S430" s="1372"/>
      <c r="T430" s="1372"/>
      <c r="U430" s="1372"/>
      <c r="V430" s="1372"/>
      <c r="W430" s="1372"/>
      <c r="X430" s="1372"/>
      <c r="Y430" s="1372"/>
      <c r="Z430" s="1372"/>
    </row>
    <row r="431" spans="1:26" ht="15.75" customHeight="1" x14ac:dyDescent="0.25">
      <c r="A431" s="1371"/>
      <c r="B431" s="1371"/>
      <c r="C431" s="1371"/>
      <c r="D431" s="1371"/>
      <c r="E431" s="1371"/>
      <c r="F431" s="1371"/>
      <c r="G431" s="1371"/>
      <c r="H431" s="1371"/>
      <c r="I431" s="1372"/>
      <c r="J431" s="1372"/>
      <c r="K431" s="1372"/>
      <c r="L431" s="1372"/>
      <c r="M431" s="1372"/>
      <c r="N431" s="1372"/>
      <c r="O431" s="1372"/>
      <c r="P431" s="1372"/>
      <c r="Q431" s="1372"/>
      <c r="R431" s="1372"/>
      <c r="S431" s="1372"/>
      <c r="T431" s="1372"/>
      <c r="U431" s="1372"/>
      <c r="V431" s="1372"/>
      <c r="W431" s="1372"/>
      <c r="X431" s="1372"/>
      <c r="Y431" s="1372"/>
      <c r="Z431" s="1372"/>
    </row>
    <row r="432" spans="1:26" ht="15.75" customHeight="1" x14ac:dyDescent="0.25">
      <c r="A432" s="1371"/>
      <c r="B432" s="1371"/>
      <c r="C432" s="1371"/>
      <c r="D432" s="1371"/>
      <c r="E432" s="1371"/>
      <c r="F432" s="1371"/>
      <c r="G432" s="1371"/>
      <c r="H432" s="1371"/>
      <c r="I432" s="1372"/>
      <c r="J432" s="1372"/>
      <c r="K432" s="1372"/>
      <c r="L432" s="1372"/>
      <c r="M432" s="1372"/>
      <c r="N432" s="1372"/>
      <c r="O432" s="1372"/>
      <c r="P432" s="1372"/>
      <c r="Q432" s="1372"/>
      <c r="R432" s="1372"/>
      <c r="S432" s="1372"/>
      <c r="T432" s="1372"/>
      <c r="U432" s="1372"/>
      <c r="V432" s="1372"/>
      <c r="W432" s="1372"/>
      <c r="X432" s="1372"/>
      <c r="Y432" s="1372"/>
      <c r="Z432" s="1372"/>
    </row>
    <row r="433" spans="1:26" ht="15.75" customHeight="1" x14ac:dyDescent="0.25">
      <c r="A433" s="1371"/>
      <c r="B433" s="1371"/>
      <c r="C433" s="1371"/>
      <c r="D433" s="1371"/>
      <c r="E433" s="1371"/>
      <c r="F433" s="1371"/>
      <c r="G433" s="1371"/>
      <c r="H433" s="1371"/>
      <c r="I433" s="1372"/>
      <c r="J433" s="1372"/>
      <c r="K433" s="1372"/>
      <c r="L433" s="1372"/>
      <c r="M433" s="1372"/>
      <c r="N433" s="1372"/>
      <c r="O433" s="1372"/>
      <c r="P433" s="1372"/>
      <c r="Q433" s="1372"/>
      <c r="R433" s="1372"/>
      <c r="S433" s="1372"/>
      <c r="T433" s="1372"/>
      <c r="U433" s="1372"/>
      <c r="V433" s="1372"/>
      <c r="W433" s="1372"/>
      <c r="X433" s="1372"/>
      <c r="Y433" s="1372"/>
      <c r="Z433" s="1372"/>
    </row>
    <row r="434" spans="1:26" ht="15.75" customHeight="1" x14ac:dyDescent="0.25">
      <c r="A434" s="1371"/>
      <c r="B434" s="1371"/>
      <c r="C434" s="1371"/>
      <c r="D434" s="1371"/>
      <c r="E434" s="1371"/>
      <c r="F434" s="1371"/>
      <c r="G434" s="1371"/>
      <c r="H434" s="1371"/>
      <c r="I434" s="1372"/>
      <c r="J434" s="1372"/>
      <c r="K434" s="1372"/>
      <c r="L434" s="1372"/>
      <c r="M434" s="1372"/>
      <c r="N434" s="1372"/>
      <c r="O434" s="1372"/>
      <c r="P434" s="1372"/>
      <c r="Q434" s="1372"/>
      <c r="R434" s="1372"/>
      <c r="S434" s="1372"/>
      <c r="T434" s="1372"/>
      <c r="U434" s="1372"/>
      <c r="V434" s="1372"/>
      <c r="W434" s="1372"/>
      <c r="X434" s="1372"/>
      <c r="Y434" s="1372"/>
      <c r="Z434" s="1372"/>
    </row>
    <row r="435" spans="1:26" ht="15.75" customHeight="1" x14ac:dyDescent="0.25">
      <c r="A435" s="1371"/>
      <c r="B435" s="1371"/>
      <c r="C435" s="1371"/>
      <c r="D435" s="1371"/>
      <c r="E435" s="1371"/>
      <c r="F435" s="1371"/>
      <c r="G435" s="1371"/>
      <c r="H435" s="1371"/>
      <c r="I435" s="1372"/>
      <c r="J435" s="1372"/>
      <c r="K435" s="1372"/>
      <c r="L435" s="1372"/>
      <c r="M435" s="1372"/>
      <c r="N435" s="1372"/>
      <c r="O435" s="1372"/>
      <c r="P435" s="1372"/>
      <c r="Q435" s="1372"/>
      <c r="R435" s="1372"/>
      <c r="S435" s="1372"/>
      <c r="T435" s="1372"/>
      <c r="U435" s="1372"/>
      <c r="V435" s="1372"/>
      <c r="W435" s="1372"/>
      <c r="X435" s="1372"/>
      <c r="Y435" s="1372"/>
      <c r="Z435" s="1372"/>
    </row>
    <row r="436" spans="1:26" ht="15.75" customHeight="1" x14ac:dyDescent="0.25">
      <c r="A436" s="1371"/>
      <c r="B436" s="1371"/>
      <c r="C436" s="1371"/>
      <c r="D436" s="1371"/>
      <c r="E436" s="1371"/>
      <c r="F436" s="1371"/>
      <c r="G436" s="1371"/>
      <c r="H436" s="1371"/>
      <c r="I436" s="1372"/>
      <c r="J436" s="1372"/>
      <c r="K436" s="1372"/>
      <c r="L436" s="1372"/>
      <c r="M436" s="1372"/>
      <c r="N436" s="1372"/>
      <c r="O436" s="1372"/>
      <c r="P436" s="1372"/>
      <c r="Q436" s="1372"/>
      <c r="R436" s="1372"/>
      <c r="S436" s="1372"/>
      <c r="T436" s="1372"/>
      <c r="U436" s="1372"/>
      <c r="V436" s="1372"/>
      <c r="W436" s="1372"/>
      <c r="X436" s="1372"/>
      <c r="Y436" s="1372"/>
      <c r="Z436" s="1372"/>
    </row>
    <row r="437" spans="1:26" ht="15.75" customHeight="1" x14ac:dyDescent="0.25">
      <c r="A437" s="1371"/>
      <c r="B437" s="1371"/>
      <c r="C437" s="1371"/>
      <c r="D437" s="1371"/>
      <c r="E437" s="1371"/>
      <c r="F437" s="1371"/>
      <c r="G437" s="1371"/>
      <c r="H437" s="1371"/>
      <c r="I437" s="1372"/>
      <c r="J437" s="1372"/>
      <c r="K437" s="1372"/>
      <c r="L437" s="1372"/>
      <c r="M437" s="1372"/>
      <c r="N437" s="1372"/>
      <c r="O437" s="1372"/>
      <c r="P437" s="1372"/>
      <c r="Q437" s="1372"/>
      <c r="R437" s="1372"/>
      <c r="S437" s="1372"/>
      <c r="T437" s="1372"/>
      <c r="U437" s="1372"/>
      <c r="V437" s="1372"/>
      <c r="W437" s="1372"/>
      <c r="X437" s="1372"/>
      <c r="Y437" s="1372"/>
      <c r="Z437" s="1372"/>
    </row>
    <row r="438" spans="1:26" ht="15.75" customHeight="1" x14ac:dyDescent="0.25">
      <c r="A438" s="1371"/>
      <c r="B438" s="1371"/>
      <c r="C438" s="1371"/>
      <c r="D438" s="1371"/>
      <c r="E438" s="1371"/>
      <c r="F438" s="1371"/>
      <c r="G438" s="1371"/>
      <c r="H438" s="1371"/>
      <c r="I438" s="1372"/>
      <c r="J438" s="1372"/>
      <c r="K438" s="1372"/>
      <c r="L438" s="1372"/>
      <c r="M438" s="1372"/>
      <c r="N438" s="1372"/>
      <c r="O438" s="1372"/>
      <c r="P438" s="1372"/>
      <c r="Q438" s="1372"/>
      <c r="R438" s="1372"/>
      <c r="S438" s="1372"/>
      <c r="T438" s="1372"/>
      <c r="U438" s="1372"/>
      <c r="V438" s="1372"/>
      <c r="W438" s="1372"/>
      <c r="X438" s="1372"/>
      <c r="Y438" s="1372"/>
      <c r="Z438" s="1372"/>
    </row>
    <row r="439" spans="1:26" ht="15.75" customHeight="1" x14ac:dyDescent="0.25">
      <c r="A439" s="1371"/>
      <c r="B439" s="1371"/>
      <c r="C439" s="1371"/>
      <c r="D439" s="1371"/>
      <c r="E439" s="1371"/>
      <c r="F439" s="1371"/>
      <c r="G439" s="1371"/>
      <c r="H439" s="1371"/>
      <c r="I439" s="1372"/>
      <c r="J439" s="1372"/>
      <c r="K439" s="1372"/>
      <c r="L439" s="1372"/>
      <c r="M439" s="1372"/>
      <c r="N439" s="1372"/>
      <c r="O439" s="1372"/>
      <c r="P439" s="1372"/>
      <c r="Q439" s="1372"/>
      <c r="R439" s="1372"/>
      <c r="S439" s="1372"/>
      <c r="T439" s="1372"/>
      <c r="U439" s="1372"/>
      <c r="V439" s="1372"/>
      <c r="W439" s="1372"/>
      <c r="X439" s="1372"/>
      <c r="Y439" s="1372"/>
      <c r="Z439" s="1372"/>
    </row>
    <row r="440" spans="1:26" ht="15.75" customHeight="1" x14ac:dyDescent="0.25">
      <c r="A440" s="1371"/>
      <c r="B440" s="1371"/>
      <c r="C440" s="1371"/>
      <c r="D440" s="1371"/>
      <c r="E440" s="1371"/>
      <c r="F440" s="1371"/>
      <c r="G440" s="1371"/>
      <c r="H440" s="1371"/>
      <c r="I440" s="1372"/>
      <c r="J440" s="1372"/>
      <c r="K440" s="1372"/>
      <c r="L440" s="1372"/>
      <c r="M440" s="1372"/>
      <c r="N440" s="1372"/>
      <c r="O440" s="1372"/>
      <c r="P440" s="1372"/>
      <c r="Q440" s="1372"/>
      <c r="R440" s="1372"/>
      <c r="S440" s="1372"/>
      <c r="T440" s="1372"/>
      <c r="U440" s="1372"/>
      <c r="V440" s="1372"/>
      <c r="W440" s="1372"/>
      <c r="X440" s="1372"/>
      <c r="Y440" s="1372"/>
      <c r="Z440" s="1372"/>
    </row>
    <row r="441" spans="1:26" ht="15.75" customHeight="1" x14ac:dyDescent="0.25">
      <c r="A441" s="1371"/>
      <c r="B441" s="1371"/>
      <c r="C441" s="1371"/>
      <c r="D441" s="1371"/>
      <c r="E441" s="1371"/>
      <c r="F441" s="1371"/>
      <c r="G441" s="1371"/>
      <c r="H441" s="1371"/>
      <c r="I441" s="1372"/>
      <c r="J441" s="1372"/>
      <c r="K441" s="1372"/>
      <c r="L441" s="1372"/>
      <c r="M441" s="1372"/>
      <c r="N441" s="1372"/>
      <c r="O441" s="1372"/>
      <c r="P441" s="1372"/>
      <c r="Q441" s="1372"/>
      <c r="R441" s="1372"/>
      <c r="S441" s="1372"/>
      <c r="T441" s="1372"/>
      <c r="U441" s="1372"/>
      <c r="V441" s="1372"/>
      <c r="W441" s="1372"/>
      <c r="X441" s="1372"/>
      <c r="Y441" s="1372"/>
      <c r="Z441" s="1372"/>
    </row>
    <row r="442" spans="1:26" ht="15.75" customHeight="1" x14ac:dyDescent="0.25">
      <c r="A442" s="1371"/>
      <c r="B442" s="1371"/>
      <c r="C442" s="1371"/>
      <c r="D442" s="1371"/>
      <c r="E442" s="1371"/>
      <c r="F442" s="1371"/>
      <c r="G442" s="1371"/>
      <c r="H442" s="1371"/>
      <c r="I442" s="1372"/>
      <c r="J442" s="1372"/>
      <c r="K442" s="1372"/>
      <c r="L442" s="1372"/>
      <c r="M442" s="1372"/>
      <c r="N442" s="1372"/>
      <c r="O442" s="1372"/>
      <c r="P442" s="1372"/>
      <c r="Q442" s="1372"/>
      <c r="R442" s="1372"/>
      <c r="S442" s="1372"/>
      <c r="T442" s="1372"/>
      <c r="U442" s="1372"/>
      <c r="V442" s="1372"/>
      <c r="W442" s="1372"/>
      <c r="X442" s="1372"/>
      <c r="Y442" s="1372"/>
      <c r="Z442" s="1372"/>
    </row>
    <row r="443" spans="1:26" ht="15.75" customHeight="1" x14ac:dyDescent="0.25">
      <c r="A443" s="1371"/>
      <c r="B443" s="1371"/>
      <c r="C443" s="1371"/>
      <c r="D443" s="1371"/>
      <c r="E443" s="1371"/>
      <c r="F443" s="1371"/>
      <c r="G443" s="1371"/>
      <c r="H443" s="1371"/>
      <c r="I443" s="1372"/>
      <c r="J443" s="1372"/>
      <c r="K443" s="1372"/>
      <c r="L443" s="1372"/>
      <c r="M443" s="1372"/>
      <c r="N443" s="1372"/>
      <c r="O443" s="1372"/>
      <c r="P443" s="1372"/>
      <c r="Q443" s="1372"/>
      <c r="R443" s="1372"/>
      <c r="S443" s="1372"/>
      <c r="T443" s="1372"/>
      <c r="U443" s="1372"/>
      <c r="V443" s="1372"/>
      <c r="W443" s="1372"/>
      <c r="X443" s="1372"/>
      <c r="Y443" s="1372"/>
      <c r="Z443" s="1372"/>
    </row>
    <row r="444" spans="1:26" ht="15.75" customHeight="1" x14ac:dyDescent="0.25">
      <c r="A444" s="1371"/>
      <c r="B444" s="1371"/>
      <c r="C444" s="1371"/>
      <c r="D444" s="1371"/>
      <c r="E444" s="1371"/>
      <c r="F444" s="1371"/>
      <c r="G444" s="1371"/>
      <c r="H444" s="1371"/>
      <c r="I444" s="1372"/>
      <c r="J444" s="1372"/>
      <c r="K444" s="1372"/>
      <c r="L444" s="1372"/>
      <c r="M444" s="1372"/>
      <c r="N444" s="1372"/>
      <c r="O444" s="1372"/>
      <c r="P444" s="1372"/>
      <c r="Q444" s="1372"/>
      <c r="R444" s="1372"/>
      <c r="S444" s="1372"/>
      <c r="T444" s="1372"/>
      <c r="U444" s="1372"/>
      <c r="V444" s="1372"/>
      <c r="W444" s="1372"/>
      <c r="X444" s="1372"/>
      <c r="Y444" s="1372"/>
      <c r="Z444" s="1372"/>
    </row>
    <row r="445" spans="1:26" ht="15.75" customHeight="1" x14ac:dyDescent="0.25">
      <c r="A445" s="1371"/>
      <c r="B445" s="1371"/>
      <c r="C445" s="1371"/>
      <c r="D445" s="1371"/>
      <c r="E445" s="1371"/>
      <c r="F445" s="1371"/>
      <c r="G445" s="1371"/>
      <c r="H445" s="1371"/>
      <c r="I445" s="1372"/>
      <c r="J445" s="1372"/>
      <c r="K445" s="1372"/>
      <c r="L445" s="1372"/>
      <c r="M445" s="1372"/>
      <c r="N445" s="1372"/>
      <c r="O445" s="1372"/>
      <c r="P445" s="1372"/>
      <c r="Q445" s="1372"/>
      <c r="R445" s="1372"/>
      <c r="S445" s="1372"/>
      <c r="T445" s="1372"/>
      <c r="U445" s="1372"/>
      <c r="V445" s="1372"/>
      <c r="W445" s="1372"/>
      <c r="X445" s="1372"/>
      <c r="Y445" s="1372"/>
      <c r="Z445" s="1372"/>
    </row>
    <row r="446" spans="1:26" ht="15.75" customHeight="1" x14ac:dyDescent="0.25">
      <c r="A446" s="1371"/>
      <c r="B446" s="1371"/>
      <c r="C446" s="1371"/>
      <c r="D446" s="1371"/>
      <c r="E446" s="1371"/>
      <c r="F446" s="1371"/>
      <c r="G446" s="1371"/>
      <c r="H446" s="1371"/>
      <c r="I446" s="1372"/>
      <c r="J446" s="1372"/>
      <c r="K446" s="1372"/>
      <c r="L446" s="1372"/>
      <c r="M446" s="1372"/>
      <c r="N446" s="1372"/>
      <c r="O446" s="1372"/>
      <c r="P446" s="1372"/>
      <c r="Q446" s="1372"/>
      <c r="R446" s="1372"/>
      <c r="S446" s="1372"/>
      <c r="T446" s="1372"/>
      <c r="U446" s="1372"/>
      <c r="V446" s="1372"/>
      <c r="W446" s="1372"/>
      <c r="X446" s="1372"/>
      <c r="Y446" s="1372"/>
      <c r="Z446" s="1372"/>
    </row>
    <row r="447" spans="1:26" ht="15.75" customHeight="1" x14ac:dyDescent="0.25">
      <c r="A447" s="1371"/>
      <c r="B447" s="1371"/>
      <c r="C447" s="1371"/>
      <c r="D447" s="1371"/>
      <c r="E447" s="1371"/>
      <c r="F447" s="1371"/>
      <c r="G447" s="1371"/>
      <c r="H447" s="1371"/>
      <c r="I447" s="1372"/>
      <c r="J447" s="1372"/>
      <c r="K447" s="1372"/>
      <c r="L447" s="1372"/>
      <c r="M447" s="1372"/>
      <c r="N447" s="1372"/>
      <c r="O447" s="1372"/>
      <c r="P447" s="1372"/>
      <c r="Q447" s="1372"/>
      <c r="R447" s="1372"/>
      <c r="S447" s="1372"/>
      <c r="T447" s="1372"/>
      <c r="U447" s="1372"/>
      <c r="V447" s="1372"/>
      <c r="W447" s="1372"/>
      <c r="X447" s="1372"/>
      <c r="Y447" s="1372"/>
      <c r="Z447" s="1372"/>
    </row>
    <row r="448" spans="1:26" ht="15.75" customHeight="1" x14ac:dyDescent="0.25">
      <c r="A448" s="1371"/>
      <c r="B448" s="1371"/>
      <c r="C448" s="1371"/>
      <c r="D448" s="1371"/>
      <c r="E448" s="1371"/>
      <c r="F448" s="1371"/>
      <c r="G448" s="1371"/>
      <c r="H448" s="1371"/>
      <c r="I448" s="1372"/>
      <c r="J448" s="1372"/>
      <c r="K448" s="1372"/>
      <c r="L448" s="1372"/>
      <c r="M448" s="1372"/>
      <c r="N448" s="1372"/>
      <c r="O448" s="1372"/>
      <c r="P448" s="1372"/>
      <c r="Q448" s="1372"/>
      <c r="R448" s="1372"/>
      <c r="S448" s="1372"/>
      <c r="T448" s="1372"/>
      <c r="U448" s="1372"/>
      <c r="V448" s="1372"/>
      <c r="W448" s="1372"/>
      <c r="X448" s="1372"/>
      <c r="Y448" s="1372"/>
      <c r="Z448" s="1372"/>
    </row>
    <row r="449" spans="1:26" ht="15.75" customHeight="1" x14ac:dyDescent="0.25">
      <c r="A449" s="1371"/>
      <c r="B449" s="1371"/>
      <c r="C449" s="1371"/>
      <c r="D449" s="1371"/>
      <c r="E449" s="1371"/>
      <c r="F449" s="1371"/>
      <c r="G449" s="1371"/>
      <c r="H449" s="1371"/>
      <c r="I449" s="1372"/>
      <c r="J449" s="1372"/>
      <c r="K449" s="1372"/>
      <c r="L449" s="1372"/>
      <c r="M449" s="1372"/>
      <c r="N449" s="1372"/>
      <c r="O449" s="1372"/>
      <c r="P449" s="1372"/>
      <c r="Q449" s="1372"/>
      <c r="R449" s="1372"/>
      <c r="S449" s="1372"/>
      <c r="T449" s="1372"/>
      <c r="U449" s="1372"/>
      <c r="V449" s="1372"/>
      <c r="W449" s="1372"/>
      <c r="X449" s="1372"/>
      <c r="Y449" s="1372"/>
      <c r="Z449" s="1372"/>
    </row>
    <row r="450" spans="1:26" ht="15.75" customHeight="1" x14ac:dyDescent="0.25">
      <c r="A450" s="1371"/>
      <c r="B450" s="1371"/>
      <c r="C450" s="1371"/>
      <c r="D450" s="1371"/>
      <c r="E450" s="1371"/>
      <c r="F450" s="1371"/>
      <c r="G450" s="1371"/>
      <c r="H450" s="1371"/>
      <c r="I450" s="1372"/>
      <c r="J450" s="1372"/>
      <c r="K450" s="1372"/>
      <c r="L450" s="1372"/>
      <c r="M450" s="1372"/>
      <c r="N450" s="1372"/>
      <c r="O450" s="1372"/>
      <c r="P450" s="1372"/>
      <c r="Q450" s="1372"/>
      <c r="R450" s="1372"/>
      <c r="S450" s="1372"/>
      <c r="T450" s="1372"/>
      <c r="U450" s="1372"/>
      <c r="V450" s="1372"/>
      <c r="W450" s="1372"/>
      <c r="X450" s="1372"/>
      <c r="Y450" s="1372"/>
      <c r="Z450" s="1372"/>
    </row>
    <row r="451" spans="1:26" ht="15.75" customHeight="1" x14ac:dyDescent="0.25">
      <c r="A451" s="1371"/>
      <c r="B451" s="1371"/>
      <c r="C451" s="1371"/>
      <c r="D451" s="1371"/>
      <c r="E451" s="1371"/>
      <c r="F451" s="1371"/>
      <c r="G451" s="1371"/>
      <c r="H451" s="1371"/>
      <c r="I451" s="1372"/>
      <c r="J451" s="1372"/>
      <c r="K451" s="1372"/>
      <c r="L451" s="1372"/>
      <c r="M451" s="1372"/>
      <c r="N451" s="1372"/>
      <c r="O451" s="1372"/>
      <c r="P451" s="1372"/>
      <c r="Q451" s="1372"/>
      <c r="R451" s="1372"/>
      <c r="S451" s="1372"/>
      <c r="T451" s="1372"/>
      <c r="U451" s="1372"/>
      <c r="V451" s="1372"/>
      <c r="W451" s="1372"/>
      <c r="X451" s="1372"/>
      <c r="Y451" s="1372"/>
      <c r="Z451" s="1372"/>
    </row>
    <row r="452" spans="1:26" ht="15.75" customHeight="1" x14ac:dyDescent="0.25">
      <c r="A452" s="1371"/>
      <c r="B452" s="1371"/>
      <c r="C452" s="1371"/>
      <c r="D452" s="1371"/>
      <c r="E452" s="1371"/>
      <c r="F452" s="1371"/>
      <c r="G452" s="1371"/>
      <c r="H452" s="1371"/>
      <c r="I452" s="1372"/>
      <c r="J452" s="1372"/>
      <c r="K452" s="1372"/>
      <c r="L452" s="1372"/>
      <c r="M452" s="1372"/>
      <c r="N452" s="1372"/>
      <c r="O452" s="1372"/>
      <c r="P452" s="1372"/>
      <c r="Q452" s="1372"/>
      <c r="R452" s="1372"/>
      <c r="S452" s="1372"/>
      <c r="T452" s="1372"/>
      <c r="U452" s="1372"/>
      <c r="V452" s="1372"/>
      <c r="W452" s="1372"/>
      <c r="X452" s="1372"/>
      <c r="Y452" s="1372"/>
      <c r="Z452" s="1372"/>
    </row>
    <row r="453" spans="1:26" ht="15.75" customHeight="1" x14ac:dyDescent="0.25">
      <c r="A453" s="1371"/>
      <c r="B453" s="1371"/>
      <c r="C453" s="1371"/>
      <c r="D453" s="1371"/>
      <c r="E453" s="1371"/>
      <c r="F453" s="1371"/>
      <c r="G453" s="1371"/>
      <c r="H453" s="1371"/>
      <c r="I453" s="1372"/>
      <c r="J453" s="1372"/>
      <c r="K453" s="1372"/>
      <c r="L453" s="1372"/>
      <c r="M453" s="1372"/>
      <c r="N453" s="1372"/>
      <c r="O453" s="1372"/>
      <c r="P453" s="1372"/>
      <c r="Q453" s="1372"/>
      <c r="R453" s="1372"/>
      <c r="S453" s="1372"/>
      <c r="T453" s="1372"/>
      <c r="U453" s="1372"/>
      <c r="V453" s="1372"/>
      <c r="W453" s="1372"/>
      <c r="X453" s="1372"/>
      <c r="Y453" s="1372"/>
      <c r="Z453" s="1372"/>
    </row>
    <row r="454" spans="1:26" ht="15.75" customHeight="1" x14ac:dyDescent="0.25">
      <c r="A454" s="1371"/>
      <c r="B454" s="1371"/>
      <c r="C454" s="1371"/>
      <c r="D454" s="1371"/>
      <c r="E454" s="1371"/>
      <c r="F454" s="1371"/>
      <c r="G454" s="1371"/>
      <c r="H454" s="1371"/>
      <c r="I454" s="1372"/>
      <c r="J454" s="1372"/>
      <c r="K454" s="1372"/>
      <c r="L454" s="1372"/>
      <c r="M454" s="1372"/>
      <c r="N454" s="1372"/>
      <c r="O454" s="1372"/>
      <c r="P454" s="1372"/>
      <c r="Q454" s="1372"/>
      <c r="R454" s="1372"/>
      <c r="S454" s="1372"/>
      <c r="T454" s="1372"/>
      <c r="U454" s="1372"/>
      <c r="V454" s="1372"/>
      <c r="W454" s="1372"/>
      <c r="X454" s="1372"/>
      <c r="Y454" s="1372"/>
      <c r="Z454" s="1372"/>
    </row>
    <row r="455" spans="1:26" ht="15.75" customHeight="1" x14ac:dyDescent="0.25">
      <c r="A455" s="1371"/>
      <c r="B455" s="1371"/>
      <c r="C455" s="1371"/>
      <c r="D455" s="1371"/>
      <c r="E455" s="1371"/>
      <c r="F455" s="1371"/>
      <c r="G455" s="1371"/>
      <c r="H455" s="1371"/>
      <c r="I455" s="1372"/>
      <c r="J455" s="1372"/>
      <c r="K455" s="1372"/>
      <c r="L455" s="1372"/>
      <c r="M455" s="1372"/>
      <c r="N455" s="1372"/>
      <c r="O455" s="1372"/>
      <c r="P455" s="1372"/>
      <c r="Q455" s="1372"/>
      <c r="R455" s="1372"/>
      <c r="S455" s="1372"/>
      <c r="T455" s="1372"/>
      <c r="U455" s="1372"/>
      <c r="V455" s="1372"/>
      <c r="W455" s="1372"/>
      <c r="X455" s="1372"/>
      <c r="Y455" s="1372"/>
      <c r="Z455" s="1372"/>
    </row>
    <row r="456" spans="1:26" ht="15.75" customHeight="1" x14ac:dyDescent="0.25">
      <c r="A456" s="1371"/>
      <c r="B456" s="1371"/>
      <c r="C456" s="1371"/>
      <c r="D456" s="1371"/>
      <c r="E456" s="1371"/>
      <c r="F456" s="1371"/>
      <c r="G456" s="1371"/>
      <c r="H456" s="1371"/>
      <c r="I456" s="1372"/>
      <c r="J456" s="1372"/>
      <c r="K456" s="1372"/>
      <c r="L456" s="1372"/>
      <c r="M456" s="1372"/>
      <c r="N456" s="1372"/>
      <c r="O456" s="1372"/>
      <c r="P456" s="1372"/>
      <c r="Q456" s="1372"/>
      <c r="R456" s="1372"/>
      <c r="S456" s="1372"/>
      <c r="T456" s="1372"/>
      <c r="U456" s="1372"/>
      <c r="V456" s="1372"/>
      <c r="W456" s="1372"/>
      <c r="X456" s="1372"/>
      <c r="Y456" s="1372"/>
      <c r="Z456" s="1372"/>
    </row>
    <row r="457" spans="1:26" ht="15.75" customHeight="1" x14ac:dyDescent="0.25">
      <c r="A457" s="1371"/>
      <c r="B457" s="1371"/>
      <c r="C457" s="1371"/>
      <c r="D457" s="1371"/>
      <c r="E457" s="1371"/>
      <c r="F457" s="1371"/>
      <c r="G457" s="1371"/>
      <c r="H457" s="1371"/>
      <c r="I457" s="1372"/>
      <c r="J457" s="1372"/>
      <c r="K457" s="1372"/>
      <c r="L457" s="1372"/>
      <c r="M457" s="1372"/>
      <c r="N457" s="1372"/>
      <c r="O457" s="1372"/>
      <c r="P457" s="1372"/>
      <c r="Q457" s="1372"/>
      <c r="R457" s="1372"/>
      <c r="S457" s="1372"/>
      <c r="T457" s="1372"/>
      <c r="U457" s="1372"/>
      <c r="V457" s="1372"/>
      <c r="W457" s="1372"/>
      <c r="X457" s="1372"/>
      <c r="Y457" s="1372"/>
      <c r="Z457" s="1372"/>
    </row>
    <row r="458" spans="1:26" ht="15.75" customHeight="1" x14ac:dyDescent="0.25">
      <c r="A458" s="1371"/>
      <c r="B458" s="1371"/>
      <c r="C458" s="1371"/>
      <c r="D458" s="1371"/>
      <c r="E458" s="1371"/>
      <c r="F458" s="1371"/>
      <c r="G458" s="1371"/>
      <c r="H458" s="1371"/>
      <c r="I458" s="1372"/>
      <c r="J458" s="1372"/>
      <c r="K458" s="1372"/>
      <c r="L458" s="1372"/>
      <c r="M458" s="1372"/>
      <c r="N458" s="1372"/>
      <c r="O458" s="1372"/>
      <c r="P458" s="1372"/>
      <c r="Q458" s="1372"/>
      <c r="R458" s="1372"/>
      <c r="S458" s="1372"/>
      <c r="T458" s="1372"/>
      <c r="U458" s="1372"/>
      <c r="V458" s="1372"/>
      <c r="W458" s="1372"/>
      <c r="X458" s="1372"/>
      <c r="Y458" s="1372"/>
      <c r="Z458" s="1372"/>
    </row>
    <row r="459" spans="1:26" ht="15.75" customHeight="1" x14ac:dyDescent="0.25">
      <c r="A459" s="1371"/>
      <c r="B459" s="1371"/>
      <c r="C459" s="1371"/>
      <c r="D459" s="1371"/>
      <c r="E459" s="1371"/>
      <c r="F459" s="1371"/>
      <c r="G459" s="1371"/>
      <c r="H459" s="1371"/>
      <c r="I459" s="1372"/>
      <c r="J459" s="1372"/>
      <c r="K459" s="1372"/>
      <c r="L459" s="1372"/>
      <c r="M459" s="1372"/>
      <c r="N459" s="1372"/>
      <c r="O459" s="1372"/>
      <c r="P459" s="1372"/>
      <c r="Q459" s="1372"/>
      <c r="R459" s="1372"/>
      <c r="S459" s="1372"/>
      <c r="T459" s="1372"/>
      <c r="U459" s="1372"/>
      <c r="V459" s="1372"/>
      <c r="W459" s="1372"/>
      <c r="X459" s="1372"/>
      <c r="Y459" s="1372"/>
      <c r="Z459" s="1372"/>
    </row>
    <row r="460" spans="1:26" ht="15.75" customHeight="1" x14ac:dyDescent="0.25">
      <c r="A460" s="1371"/>
      <c r="B460" s="1371"/>
      <c r="C460" s="1371"/>
      <c r="D460" s="1371"/>
      <c r="E460" s="1371"/>
      <c r="F460" s="1371"/>
      <c r="G460" s="1371"/>
      <c r="H460" s="1371"/>
      <c r="I460" s="1372"/>
      <c r="J460" s="1372"/>
      <c r="K460" s="1372"/>
      <c r="L460" s="1372"/>
      <c r="M460" s="1372"/>
      <c r="N460" s="1372"/>
      <c r="O460" s="1372"/>
      <c r="P460" s="1372"/>
      <c r="Q460" s="1372"/>
      <c r="R460" s="1372"/>
      <c r="S460" s="1372"/>
      <c r="T460" s="1372"/>
      <c r="U460" s="1372"/>
      <c r="V460" s="1372"/>
      <c r="W460" s="1372"/>
      <c r="X460" s="1372"/>
      <c r="Y460" s="1372"/>
      <c r="Z460" s="1372"/>
    </row>
    <row r="461" spans="1:26" ht="15.75" customHeight="1" x14ac:dyDescent="0.25">
      <c r="A461" s="1371"/>
      <c r="B461" s="1371"/>
      <c r="C461" s="1371"/>
      <c r="D461" s="1371"/>
      <c r="E461" s="1371"/>
      <c r="F461" s="1371"/>
      <c r="G461" s="1371"/>
      <c r="H461" s="1371"/>
      <c r="I461" s="1372"/>
      <c r="J461" s="1372"/>
      <c r="K461" s="1372"/>
      <c r="L461" s="1372"/>
      <c r="M461" s="1372"/>
      <c r="N461" s="1372"/>
      <c r="O461" s="1372"/>
      <c r="P461" s="1372"/>
      <c r="Q461" s="1372"/>
      <c r="R461" s="1372"/>
      <c r="S461" s="1372"/>
      <c r="T461" s="1372"/>
      <c r="U461" s="1372"/>
      <c r="V461" s="1372"/>
      <c r="W461" s="1372"/>
      <c r="X461" s="1372"/>
      <c r="Y461" s="1372"/>
      <c r="Z461" s="1372"/>
    </row>
    <row r="462" spans="1:26" ht="15.75" customHeight="1" x14ac:dyDescent="0.25">
      <c r="A462" s="1371"/>
      <c r="B462" s="1371"/>
      <c r="C462" s="1371"/>
      <c r="D462" s="1371"/>
      <c r="E462" s="1371"/>
      <c r="F462" s="1371"/>
      <c r="G462" s="1371"/>
      <c r="H462" s="1371"/>
      <c r="I462" s="1372"/>
      <c r="J462" s="1372"/>
      <c r="K462" s="1372"/>
      <c r="L462" s="1372"/>
      <c r="M462" s="1372"/>
      <c r="N462" s="1372"/>
      <c r="O462" s="1372"/>
      <c r="P462" s="1372"/>
      <c r="Q462" s="1372"/>
      <c r="R462" s="1372"/>
      <c r="S462" s="1372"/>
      <c r="T462" s="1372"/>
      <c r="U462" s="1372"/>
      <c r="V462" s="1372"/>
      <c r="W462" s="1372"/>
      <c r="X462" s="1372"/>
      <c r="Y462" s="1372"/>
      <c r="Z462" s="1372"/>
    </row>
    <row r="463" spans="1:26" ht="15.75" customHeight="1" x14ac:dyDescent="0.25">
      <c r="A463" s="1371"/>
      <c r="B463" s="1371"/>
      <c r="C463" s="1371"/>
      <c r="D463" s="1371"/>
      <c r="E463" s="1371"/>
      <c r="F463" s="1371"/>
      <c r="G463" s="1371"/>
      <c r="H463" s="1371"/>
      <c r="I463" s="1372"/>
      <c r="J463" s="1372"/>
      <c r="K463" s="1372"/>
      <c r="L463" s="1372"/>
      <c r="M463" s="1372"/>
      <c r="N463" s="1372"/>
      <c r="O463" s="1372"/>
      <c r="P463" s="1372"/>
      <c r="Q463" s="1372"/>
      <c r="R463" s="1372"/>
      <c r="S463" s="1372"/>
      <c r="T463" s="1372"/>
      <c r="U463" s="1372"/>
      <c r="V463" s="1372"/>
      <c r="W463" s="1372"/>
      <c r="X463" s="1372"/>
      <c r="Y463" s="1372"/>
      <c r="Z463" s="1372"/>
    </row>
    <row r="464" spans="1:26" ht="15.75" customHeight="1" x14ac:dyDescent="0.25">
      <c r="A464" s="1371"/>
      <c r="B464" s="1371"/>
      <c r="C464" s="1371"/>
      <c r="D464" s="1371"/>
      <c r="E464" s="1371"/>
      <c r="F464" s="1371"/>
      <c r="G464" s="1371"/>
      <c r="H464" s="1371"/>
      <c r="I464" s="1372"/>
      <c r="J464" s="1372"/>
      <c r="K464" s="1372"/>
      <c r="L464" s="1372"/>
      <c r="M464" s="1372"/>
      <c r="N464" s="1372"/>
      <c r="O464" s="1372"/>
      <c r="P464" s="1372"/>
      <c r="Q464" s="1372"/>
      <c r="R464" s="1372"/>
      <c r="S464" s="1372"/>
      <c r="T464" s="1372"/>
      <c r="U464" s="1372"/>
      <c r="V464" s="1372"/>
      <c r="W464" s="1372"/>
      <c r="X464" s="1372"/>
      <c r="Y464" s="1372"/>
      <c r="Z464" s="1372"/>
    </row>
    <row r="465" spans="1:26" ht="15.75" customHeight="1" x14ac:dyDescent="0.25">
      <c r="A465" s="1371"/>
      <c r="B465" s="1371"/>
      <c r="C465" s="1371"/>
      <c r="D465" s="1371"/>
      <c r="E465" s="1371"/>
      <c r="F465" s="1371"/>
      <c r="G465" s="1371"/>
      <c r="H465" s="1371"/>
      <c r="I465" s="1372"/>
      <c r="J465" s="1372"/>
      <c r="K465" s="1372"/>
      <c r="L465" s="1372"/>
      <c r="M465" s="1372"/>
      <c r="N465" s="1372"/>
      <c r="O465" s="1372"/>
      <c r="P465" s="1372"/>
      <c r="Q465" s="1372"/>
      <c r="R465" s="1372"/>
      <c r="S465" s="1372"/>
      <c r="T465" s="1372"/>
      <c r="U465" s="1372"/>
      <c r="V465" s="1372"/>
      <c r="W465" s="1372"/>
      <c r="X465" s="1372"/>
      <c r="Y465" s="1372"/>
      <c r="Z465" s="1372"/>
    </row>
    <row r="466" spans="1:26" ht="15.75" customHeight="1" x14ac:dyDescent="0.25">
      <c r="A466" s="1371"/>
      <c r="B466" s="1371"/>
      <c r="C466" s="1371"/>
      <c r="D466" s="1371"/>
      <c r="E466" s="1371"/>
      <c r="F466" s="1371"/>
      <c r="G466" s="1371"/>
      <c r="H466" s="1371"/>
      <c r="I466" s="1372"/>
      <c r="J466" s="1372"/>
      <c r="K466" s="1372"/>
      <c r="L466" s="1372"/>
      <c r="M466" s="1372"/>
      <c r="N466" s="1372"/>
      <c r="O466" s="1372"/>
      <c r="P466" s="1372"/>
      <c r="Q466" s="1372"/>
      <c r="R466" s="1372"/>
      <c r="S466" s="1372"/>
      <c r="T466" s="1372"/>
      <c r="U466" s="1372"/>
      <c r="V466" s="1372"/>
      <c r="W466" s="1372"/>
      <c r="X466" s="1372"/>
      <c r="Y466" s="1372"/>
      <c r="Z466" s="1372"/>
    </row>
    <row r="467" spans="1:26" ht="15.75" customHeight="1" x14ac:dyDescent="0.25">
      <c r="A467" s="1371"/>
      <c r="B467" s="1371"/>
      <c r="C467" s="1371"/>
      <c r="D467" s="1371"/>
      <c r="E467" s="1371"/>
      <c r="F467" s="1371"/>
      <c r="G467" s="1371"/>
      <c r="H467" s="1371"/>
      <c r="I467" s="1372"/>
      <c r="J467" s="1372"/>
      <c r="K467" s="1372"/>
      <c r="L467" s="1372"/>
      <c r="M467" s="1372"/>
      <c r="N467" s="1372"/>
      <c r="O467" s="1372"/>
      <c r="P467" s="1372"/>
      <c r="Q467" s="1372"/>
      <c r="R467" s="1372"/>
      <c r="S467" s="1372"/>
      <c r="T467" s="1372"/>
      <c r="U467" s="1372"/>
      <c r="V467" s="1372"/>
      <c r="W467" s="1372"/>
      <c r="X467" s="1372"/>
      <c r="Y467" s="1372"/>
      <c r="Z467" s="1372"/>
    </row>
    <row r="468" spans="1:26" ht="15.75" customHeight="1" x14ac:dyDescent="0.25">
      <c r="A468" s="1371"/>
      <c r="B468" s="1371"/>
      <c r="C468" s="1371"/>
      <c r="D468" s="1371"/>
      <c r="E468" s="1371"/>
      <c r="F468" s="1371"/>
      <c r="G468" s="1371"/>
      <c r="H468" s="1371"/>
      <c r="I468" s="1372"/>
      <c r="J468" s="1372"/>
      <c r="K468" s="1372"/>
      <c r="L468" s="1372"/>
      <c r="M468" s="1372"/>
      <c r="N468" s="1372"/>
      <c r="O468" s="1372"/>
      <c r="P468" s="1372"/>
      <c r="Q468" s="1372"/>
      <c r="R468" s="1372"/>
      <c r="S468" s="1372"/>
      <c r="T468" s="1372"/>
      <c r="U468" s="1372"/>
      <c r="V468" s="1372"/>
      <c r="W468" s="1372"/>
      <c r="X468" s="1372"/>
      <c r="Y468" s="1372"/>
      <c r="Z468" s="1372"/>
    </row>
    <row r="469" spans="1:26" ht="15.75" customHeight="1" x14ac:dyDescent="0.25">
      <c r="A469" s="1371"/>
      <c r="B469" s="1371"/>
      <c r="C469" s="1371"/>
      <c r="D469" s="1371"/>
      <c r="E469" s="1371"/>
      <c r="F469" s="1371"/>
      <c r="G469" s="1371"/>
      <c r="H469" s="1371"/>
      <c r="I469" s="1372"/>
      <c r="J469" s="1372"/>
      <c r="K469" s="1372"/>
      <c r="L469" s="1372"/>
      <c r="M469" s="1372"/>
      <c r="N469" s="1372"/>
      <c r="O469" s="1372"/>
      <c r="P469" s="1372"/>
      <c r="Q469" s="1372"/>
      <c r="R469" s="1372"/>
      <c r="S469" s="1372"/>
      <c r="T469" s="1372"/>
      <c r="U469" s="1372"/>
      <c r="V469" s="1372"/>
      <c r="W469" s="1372"/>
      <c r="X469" s="1372"/>
      <c r="Y469" s="1372"/>
      <c r="Z469" s="1372"/>
    </row>
    <row r="470" spans="1:26" ht="15.75" customHeight="1" x14ac:dyDescent="0.25">
      <c r="A470" s="1371"/>
      <c r="B470" s="1371"/>
      <c r="C470" s="1371"/>
      <c r="D470" s="1371"/>
      <c r="E470" s="1371"/>
      <c r="F470" s="1371"/>
      <c r="G470" s="1371"/>
      <c r="H470" s="1371"/>
      <c r="I470" s="1372"/>
      <c r="J470" s="1372"/>
      <c r="K470" s="1372"/>
      <c r="L470" s="1372"/>
      <c r="M470" s="1372"/>
      <c r="N470" s="1372"/>
      <c r="O470" s="1372"/>
      <c r="P470" s="1372"/>
      <c r="Q470" s="1372"/>
      <c r="R470" s="1372"/>
      <c r="S470" s="1372"/>
      <c r="T470" s="1372"/>
      <c r="U470" s="1372"/>
      <c r="V470" s="1372"/>
      <c r="W470" s="1372"/>
      <c r="X470" s="1372"/>
      <c r="Y470" s="1372"/>
      <c r="Z470" s="1372"/>
    </row>
    <row r="471" spans="1:26" ht="15.75" customHeight="1" x14ac:dyDescent="0.25">
      <c r="A471" s="1371"/>
      <c r="B471" s="1371"/>
      <c r="C471" s="1371"/>
      <c r="D471" s="1371"/>
      <c r="E471" s="1371"/>
      <c r="F471" s="1371"/>
      <c r="G471" s="1371"/>
      <c r="H471" s="1371"/>
      <c r="I471" s="1372"/>
      <c r="J471" s="1372"/>
      <c r="K471" s="1372"/>
      <c r="L471" s="1372"/>
      <c r="M471" s="1372"/>
      <c r="N471" s="1372"/>
      <c r="O471" s="1372"/>
      <c r="P471" s="1372"/>
      <c r="Q471" s="1372"/>
      <c r="R471" s="1372"/>
      <c r="S471" s="1372"/>
      <c r="T471" s="1372"/>
      <c r="U471" s="1372"/>
      <c r="V471" s="1372"/>
      <c r="W471" s="1372"/>
      <c r="X471" s="1372"/>
      <c r="Y471" s="1372"/>
      <c r="Z471" s="1372"/>
    </row>
    <row r="472" spans="1:26" ht="15.75" customHeight="1" x14ac:dyDescent="0.25">
      <c r="A472" s="1371"/>
      <c r="B472" s="1371"/>
      <c r="C472" s="1371"/>
      <c r="D472" s="1371"/>
      <c r="E472" s="1371"/>
      <c r="F472" s="1371"/>
      <c r="G472" s="1371"/>
      <c r="H472" s="1371"/>
      <c r="I472" s="1372"/>
      <c r="J472" s="1372"/>
      <c r="K472" s="1372"/>
      <c r="L472" s="1372"/>
      <c r="M472" s="1372"/>
      <c r="N472" s="1372"/>
      <c r="O472" s="1372"/>
      <c r="P472" s="1372"/>
      <c r="Q472" s="1372"/>
      <c r="R472" s="1372"/>
      <c r="S472" s="1372"/>
      <c r="T472" s="1372"/>
      <c r="U472" s="1372"/>
      <c r="V472" s="1372"/>
      <c r="W472" s="1372"/>
      <c r="X472" s="1372"/>
      <c r="Y472" s="1372"/>
      <c r="Z472" s="1372"/>
    </row>
    <row r="473" spans="1:26" ht="15.75" customHeight="1" x14ac:dyDescent="0.25">
      <c r="A473" s="1371"/>
      <c r="B473" s="1371"/>
      <c r="C473" s="1371"/>
      <c r="D473" s="1371"/>
      <c r="E473" s="1371"/>
      <c r="F473" s="1371"/>
      <c r="G473" s="1371"/>
      <c r="H473" s="1371"/>
      <c r="I473" s="1372"/>
      <c r="J473" s="1372"/>
      <c r="K473" s="1372"/>
      <c r="L473" s="1372"/>
      <c r="M473" s="1372"/>
      <c r="N473" s="1372"/>
      <c r="O473" s="1372"/>
      <c r="P473" s="1372"/>
      <c r="Q473" s="1372"/>
      <c r="R473" s="1372"/>
      <c r="S473" s="1372"/>
      <c r="T473" s="1372"/>
      <c r="U473" s="1372"/>
      <c r="V473" s="1372"/>
      <c r="W473" s="1372"/>
      <c r="X473" s="1372"/>
      <c r="Y473" s="1372"/>
      <c r="Z473" s="1372"/>
    </row>
    <row r="474" spans="1:26" ht="15.75" customHeight="1" x14ac:dyDescent="0.25">
      <c r="A474" s="1371"/>
      <c r="B474" s="1371"/>
      <c r="C474" s="1371"/>
      <c r="D474" s="1371"/>
      <c r="E474" s="1371"/>
      <c r="F474" s="1371"/>
      <c r="G474" s="1371"/>
      <c r="H474" s="1371"/>
      <c r="I474" s="1372"/>
      <c r="J474" s="1372"/>
      <c r="K474" s="1372"/>
      <c r="L474" s="1372"/>
      <c r="M474" s="1372"/>
      <c r="N474" s="1372"/>
      <c r="O474" s="1372"/>
      <c r="P474" s="1372"/>
      <c r="Q474" s="1372"/>
      <c r="R474" s="1372"/>
      <c r="S474" s="1372"/>
      <c r="T474" s="1372"/>
      <c r="U474" s="1372"/>
      <c r="V474" s="1372"/>
      <c r="W474" s="1372"/>
      <c r="X474" s="1372"/>
      <c r="Y474" s="1372"/>
      <c r="Z474" s="1372"/>
    </row>
    <row r="475" spans="1:26" ht="15.75" customHeight="1" x14ac:dyDescent="0.25">
      <c r="A475" s="1371"/>
      <c r="B475" s="1371"/>
      <c r="C475" s="1371"/>
      <c r="D475" s="1371"/>
      <c r="E475" s="1371"/>
      <c r="F475" s="1371"/>
      <c r="G475" s="1371"/>
      <c r="H475" s="1371"/>
      <c r="I475" s="1372"/>
      <c r="J475" s="1372"/>
      <c r="K475" s="1372"/>
      <c r="L475" s="1372"/>
      <c r="M475" s="1372"/>
      <c r="N475" s="1372"/>
      <c r="O475" s="1372"/>
      <c r="P475" s="1372"/>
      <c r="Q475" s="1372"/>
      <c r="R475" s="1372"/>
      <c r="S475" s="1372"/>
      <c r="T475" s="1372"/>
      <c r="U475" s="1372"/>
      <c r="V475" s="1372"/>
      <c r="W475" s="1372"/>
      <c r="X475" s="1372"/>
      <c r="Y475" s="1372"/>
      <c r="Z475" s="1372"/>
    </row>
    <row r="476" spans="1:26" ht="15.75" customHeight="1" x14ac:dyDescent="0.25">
      <c r="A476" s="1371"/>
      <c r="B476" s="1371"/>
      <c r="C476" s="1371"/>
      <c r="D476" s="1371"/>
      <c r="E476" s="1371"/>
      <c r="F476" s="1371"/>
      <c r="G476" s="1371"/>
      <c r="H476" s="1371"/>
      <c r="I476" s="1372"/>
      <c r="J476" s="1372"/>
      <c r="K476" s="1372"/>
      <c r="L476" s="1372"/>
      <c r="M476" s="1372"/>
      <c r="N476" s="1372"/>
      <c r="O476" s="1372"/>
      <c r="P476" s="1372"/>
      <c r="Q476" s="1372"/>
      <c r="R476" s="1372"/>
      <c r="S476" s="1372"/>
      <c r="T476" s="1372"/>
      <c r="U476" s="1372"/>
      <c r="V476" s="1372"/>
      <c r="W476" s="1372"/>
      <c r="X476" s="1372"/>
      <c r="Y476" s="1372"/>
      <c r="Z476" s="1372"/>
    </row>
    <row r="477" spans="1:26" ht="15.75" customHeight="1" x14ac:dyDescent="0.25">
      <c r="A477" s="1371"/>
      <c r="B477" s="1371"/>
      <c r="C477" s="1371"/>
      <c r="D477" s="1371"/>
      <c r="E477" s="1371"/>
      <c r="F477" s="1371"/>
      <c r="G477" s="1371"/>
      <c r="H477" s="1371"/>
      <c r="I477" s="1372"/>
      <c r="J477" s="1372"/>
      <c r="K477" s="1372"/>
      <c r="L477" s="1372"/>
      <c r="M477" s="1372"/>
      <c r="N477" s="1372"/>
      <c r="O477" s="1372"/>
      <c r="P477" s="1372"/>
      <c r="Q477" s="1372"/>
      <c r="R477" s="1372"/>
      <c r="S477" s="1372"/>
      <c r="T477" s="1372"/>
      <c r="U477" s="1372"/>
      <c r="V477" s="1372"/>
      <c r="W477" s="1372"/>
      <c r="X477" s="1372"/>
      <c r="Y477" s="1372"/>
      <c r="Z477" s="1372"/>
    </row>
    <row r="478" spans="1:26" ht="15.75" customHeight="1" x14ac:dyDescent="0.25">
      <c r="A478" s="1371"/>
      <c r="B478" s="1371"/>
      <c r="C478" s="1371"/>
      <c r="D478" s="1371"/>
      <c r="E478" s="1371"/>
      <c r="F478" s="1371"/>
      <c r="G478" s="1371"/>
      <c r="H478" s="1371"/>
      <c r="I478" s="1372"/>
      <c r="J478" s="1372"/>
      <c r="K478" s="1372"/>
      <c r="L478" s="1372"/>
      <c r="M478" s="1372"/>
      <c r="N478" s="1372"/>
      <c r="O478" s="1372"/>
      <c r="P478" s="1372"/>
      <c r="Q478" s="1372"/>
      <c r="R478" s="1372"/>
      <c r="S478" s="1372"/>
      <c r="T478" s="1372"/>
      <c r="U478" s="1372"/>
      <c r="V478" s="1372"/>
      <c r="W478" s="1372"/>
      <c r="X478" s="1372"/>
      <c r="Y478" s="1372"/>
      <c r="Z478" s="1372"/>
    </row>
    <row r="479" spans="1:26" ht="15.75" customHeight="1" x14ac:dyDescent="0.25">
      <c r="A479" s="1371"/>
      <c r="B479" s="1371"/>
      <c r="C479" s="1371"/>
      <c r="D479" s="1371"/>
      <c r="E479" s="1371"/>
      <c r="F479" s="1371"/>
      <c r="G479" s="1371"/>
      <c r="H479" s="1371"/>
      <c r="I479" s="1372"/>
      <c r="J479" s="1372"/>
      <c r="K479" s="1372"/>
      <c r="L479" s="1372"/>
      <c r="M479" s="1372"/>
      <c r="N479" s="1372"/>
      <c r="O479" s="1372"/>
      <c r="P479" s="1372"/>
      <c r="Q479" s="1372"/>
      <c r="R479" s="1372"/>
      <c r="S479" s="1372"/>
      <c r="T479" s="1372"/>
      <c r="U479" s="1372"/>
      <c r="V479" s="1372"/>
      <c r="W479" s="1372"/>
      <c r="X479" s="1372"/>
      <c r="Y479" s="1372"/>
      <c r="Z479" s="1372"/>
    </row>
    <row r="480" spans="1:26" ht="15.75" customHeight="1" x14ac:dyDescent="0.25">
      <c r="A480" s="1371"/>
      <c r="B480" s="1371"/>
      <c r="C480" s="1371"/>
      <c r="D480" s="1371"/>
      <c r="E480" s="1371"/>
      <c r="F480" s="1371"/>
      <c r="G480" s="1371"/>
      <c r="H480" s="1371"/>
      <c r="I480" s="1372"/>
      <c r="J480" s="1372"/>
      <c r="K480" s="1372"/>
      <c r="L480" s="1372"/>
      <c r="M480" s="1372"/>
      <c r="N480" s="1372"/>
      <c r="O480" s="1372"/>
      <c r="P480" s="1372"/>
      <c r="Q480" s="1372"/>
      <c r="R480" s="1372"/>
      <c r="S480" s="1372"/>
      <c r="T480" s="1372"/>
      <c r="U480" s="1372"/>
      <c r="V480" s="1372"/>
      <c r="W480" s="1372"/>
      <c r="X480" s="1372"/>
      <c r="Y480" s="1372"/>
      <c r="Z480" s="1372"/>
    </row>
    <row r="481" spans="1:26" ht="15.75" customHeight="1" x14ac:dyDescent="0.25">
      <c r="A481" s="1371"/>
      <c r="B481" s="1371"/>
      <c r="C481" s="1371"/>
      <c r="D481" s="1371"/>
      <c r="E481" s="1371"/>
      <c r="F481" s="1371"/>
      <c r="G481" s="1371"/>
      <c r="H481" s="1371"/>
      <c r="I481" s="1372"/>
      <c r="J481" s="1372"/>
      <c r="K481" s="1372"/>
      <c r="L481" s="1372"/>
      <c r="M481" s="1372"/>
      <c r="N481" s="1372"/>
      <c r="O481" s="1372"/>
      <c r="P481" s="1372"/>
      <c r="Q481" s="1372"/>
      <c r="R481" s="1372"/>
      <c r="S481" s="1372"/>
      <c r="T481" s="1372"/>
      <c r="U481" s="1372"/>
      <c r="V481" s="1372"/>
      <c r="W481" s="1372"/>
      <c r="X481" s="1372"/>
      <c r="Y481" s="1372"/>
      <c r="Z481" s="1372"/>
    </row>
    <row r="482" spans="1:26" ht="15.75" customHeight="1" x14ac:dyDescent="0.25">
      <c r="A482" s="1371"/>
      <c r="B482" s="1371"/>
      <c r="C482" s="1371"/>
      <c r="D482" s="1371"/>
      <c r="E482" s="1371"/>
      <c r="F482" s="1371"/>
      <c r="G482" s="1371"/>
      <c r="H482" s="1371"/>
      <c r="I482" s="1372"/>
      <c r="J482" s="1372"/>
      <c r="K482" s="1372"/>
      <c r="L482" s="1372"/>
      <c r="M482" s="1372"/>
      <c r="N482" s="1372"/>
      <c r="O482" s="1372"/>
      <c r="P482" s="1372"/>
      <c r="Q482" s="1372"/>
      <c r="R482" s="1372"/>
      <c r="S482" s="1372"/>
      <c r="T482" s="1372"/>
      <c r="U482" s="1372"/>
      <c r="V482" s="1372"/>
      <c r="W482" s="1372"/>
      <c r="X482" s="1372"/>
      <c r="Y482" s="1372"/>
      <c r="Z482" s="1372"/>
    </row>
    <row r="483" spans="1:26" ht="15.75" customHeight="1" x14ac:dyDescent="0.25">
      <c r="A483" s="1371"/>
      <c r="B483" s="1371"/>
      <c r="C483" s="1371"/>
      <c r="D483" s="1371"/>
      <c r="E483" s="1371"/>
      <c r="F483" s="1371"/>
      <c r="G483" s="1371"/>
      <c r="H483" s="1371"/>
      <c r="I483" s="1372"/>
      <c r="J483" s="1372"/>
      <c r="K483" s="1372"/>
      <c r="L483" s="1372"/>
      <c r="M483" s="1372"/>
      <c r="N483" s="1372"/>
      <c r="O483" s="1372"/>
      <c r="P483" s="1372"/>
      <c r="Q483" s="1372"/>
      <c r="R483" s="1372"/>
      <c r="S483" s="1372"/>
      <c r="T483" s="1372"/>
      <c r="U483" s="1372"/>
      <c r="V483" s="1372"/>
      <c r="W483" s="1372"/>
      <c r="X483" s="1372"/>
      <c r="Y483" s="1372"/>
      <c r="Z483" s="1372"/>
    </row>
    <row r="484" spans="1:26" ht="15.75" customHeight="1" x14ac:dyDescent="0.25">
      <c r="A484" s="1371"/>
      <c r="B484" s="1371"/>
      <c r="C484" s="1371"/>
      <c r="D484" s="1371"/>
      <c r="E484" s="1371"/>
      <c r="F484" s="1371"/>
      <c r="G484" s="1371"/>
      <c r="H484" s="1371"/>
      <c r="I484" s="1372"/>
      <c r="J484" s="1372"/>
      <c r="K484" s="1372"/>
      <c r="L484" s="1372"/>
      <c r="M484" s="1372"/>
      <c r="N484" s="1372"/>
      <c r="O484" s="1372"/>
      <c r="P484" s="1372"/>
      <c r="Q484" s="1372"/>
      <c r="R484" s="1372"/>
      <c r="S484" s="1372"/>
      <c r="T484" s="1372"/>
      <c r="U484" s="1372"/>
      <c r="V484" s="1372"/>
      <c r="W484" s="1372"/>
      <c r="X484" s="1372"/>
      <c r="Y484" s="1372"/>
      <c r="Z484" s="1372"/>
    </row>
    <row r="485" spans="1:26" ht="15.75" customHeight="1" x14ac:dyDescent="0.25">
      <c r="A485" s="1371"/>
      <c r="B485" s="1371"/>
      <c r="C485" s="1371"/>
      <c r="D485" s="1371"/>
      <c r="E485" s="1371"/>
      <c r="F485" s="1371"/>
      <c r="G485" s="1371"/>
      <c r="H485" s="1371"/>
      <c r="I485" s="1372"/>
      <c r="J485" s="1372"/>
      <c r="K485" s="1372"/>
      <c r="L485" s="1372"/>
      <c r="M485" s="1372"/>
      <c r="N485" s="1372"/>
      <c r="O485" s="1372"/>
      <c r="P485" s="1372"/>
      <c r="Q485" s="1372"/>
      <c r="R485" s="1372"/>
      <c r="S485" s="1372"/>
      <c r="T485" s="1372"/>
      <c r="U485" s="1372"/>
      <c r="V485" s="1372"/>
      <c r="W485" s="1372"/>
      <c r="X485" s="1372"/>
      <c r="Y485" s="1372"/>
      <c r="Z485" s="1372"/>
    </row>
    <row r="486" spans="1:26" ht="15.75" customHeight="1" x14ac:dyDescent="0.25">
      <c r="A486" s="1371"/>
      <c r="B486" s="1371"/>
      <c r="C486" s="1371"/>
      <c r="D486" s="1371"/>
      <c r="E486" s="1371"/>
      <c r="F486" s="1371"/>
      <c r="G486" s="1371"/>
      <c r="H486" s="1371"/>
      <c r="I486" s="1372"/>
      <c r="J486" s="1372"/>
      <c r="K486" s="1372"/>
      <c r="L486" s="1372"/>
      <c r="M486" s="1372"/>
      <c r="N486" s="1372"/>
      <c r="O486" s="1372"/>
      <c r="P486" s="1372"/>
      <c r="Q486" s="1372"/>
      <c r="R486" s="1372"/>
      <c r="S486" s="1372"/>
      <c r="T486" s="1372"/>
      <c r="U486" s="1372"/>
      <c r="V486" s="1372"/>
      <c r="W486" s="1372"/>
      <c r="X486" s="1372"/>
      <c r="Y486" s="1372"/>
      <c r="Z486" s="1372"/>
    </row>
    <row r="487" spans="1:26" ht="15.75" customHeight="1" x14ac:dyDescent="0.25">
      <c r="A487" s="1371"/>
      <c r="B487" s="1371"/>
      <c r="C487" s="1371"/>
      <c r="D487" s="1371"/>
      <c r="E487" s="1371"/>
      <c r="F487" s="1371"/>
      <c r="G487" s="1371"/>
      <c r="H487" s="1371"/>
      <c r="I487" s="1372"/>
      <c r="J487" s="1372"/>
      <c r="K487" s="1372"/>
      <c r="L487" s="1372"/>
      <c r="M487" s="1372"/>
      <c r="N487" s="1372"/>
      <c r="O487" s="1372"/>
      <c r="P487" s="1372"/>
      <c r="Q487" s="1372"/>
      <c r="R487" s="1372"/>
      <c r="S487" s="1372"/>
      <c r="T487" s="1372"/>
      <c r="U487" s="1372"/>
      <c r="V487" s="1372"/>
      <c r="W487" s="1372"/>
      <c r="X487" s="1372"/>
      <c r="Y487" s="1372"/>
      <c r="Z487" s="1372"/>
    </row>
    <row r="488" spans="1:26" ht="15.75" customHeight="1" x14ac:dyDescent="0.25">
      <c r="A488" s="1371"/>
      <c r="B488" s="1371"/>
      <c r="C488" s="1371"/>
      <c r="D488" s="1371"/>
      <c r="E488" s="1371"/>
      <c r="F488" s="1371"/>
      <c r="G488" s="1371"/>
      <c r="H488" s="1371"/>
      <c r="I488" s="1372"/>
      <c r="J488" s="1372"/>
      <c r="K488" s="1372"/>
      <c r="L488" s="1372"/>
      <c r="M488" s="1372"/>
      <c r="N488" s="1372"/>
      <c r="O488" s="1372"/>
      <c r="P488" s="1372"/>
      <c r="Q488" s="1372"/>
      <c r="R488" s="1372"/>
      <c r="S488" s="1372"/>
      <c r="T488" s="1372"/>
      <c r="U488" s="1372"/>
      <c r="V488" s="1372"/>
      <c r="W488" s="1372"/>
      <c r="X488" s="1372"/>
      <c r="Y488" s="1372"/>
      <c r="Z488" s="1372"/>
    </row>
    <row r="489" spans="1:26" ht="15.75" customHeight="1" x14ac:dyDescent="0.25">
      <c r="A489" s="1371"/>
      <c r="B489" s="1371"/>
      <c r="C489" s="1371"/>
      <c r="D489" s="1371"/>
      <c r="E489" s="1371"/>
      <c r="F489" s="1371"/>
      <c r="G489" s="1371"/>
      <c r="H489" s="1371"/>
      <c r="I489" s="1372"/>
      <c r="J489" s="1372"/>
      <c r="K489" s="1372"/>
      <c r="L489" s="1372"/>
      <c r="M489" s="1372"/>
      <c r="N489" s="1372"/>
      <c r="O489" s="1372"/>
      <c r="P489" s="1372"/>
      <c r="Q489" s="1372"/>
      <c r="R489" s="1372"/>
      <c r="S489" s="1372"/>
      <c r="T489" s="1372"/>
      <c r="U489" s="1372"/>
      <c r="V489" s="1372"/>
      <c r="W489" s="1372"/>
      <c r="X489" s="1372"/>
      <c r="Y489" s="1372"/>
      <c r="Z489" s="1372"/>
    </row>
    <row r="490" spans="1:26" ht="15.75" customHeight="1" x14ac:dyDescent="0.25">
      <c r="A490" s="1371"/>
      <c r="B490" s="1371"/>
      <c r="C490" s="1371"/>
      <c r="D490" s="1371"/>
      <c r="E490" s="1371"/>
      <c r="F490" s="1371"/>
      <c r="G490" s="1371"/>
      <c r="H490" s="1371"/>
      <c r="I490" s="1372"/>
      <c r="J490" s="1372"/>
      <c r="K490" s="1372"/>
      <c r="L490" s="1372"/>
      <c r="M490" s="1372"/>
      <c r="N490" s="1372"/>
      <c r="O490" s="1372"/>
      <c r="P490" s="1372"/>
      <c r="Q490" s="1372"/>
      <c r="R490" s="1372"/>
      <c r="S490" s="1372"/>
      <c r="T490" s="1372"/>
      <c r="U490" s="1372"/>
      <c r="V490" s="1372"/>
      <c r="W490" s="1372"/>
      <c r="X490" s="1372"/>
      <c r="Y490" s="1372"/>
      <c r="Z490" s="1372"/>
    </row>
    <row r="491" spans="1:26" ht="15.75" customHeight="1" x14ac:dyDescent="0.25">
      <c r="A491" s="1371"/>
      <c r="B491" s="1371"/>
      <c r="C491" s="1371"/>
      <c r="D491" s="1371"/>
      <c r="E491" s="1371"/>
      <c r="F491" s="1371"/>
      <c r="G491" s="1371"/>
      <c r="H491" s="1371"/>
      <c r="I491" s="1372"/>
      <c r="J491" s="1372"/>
      <c r="K491" s="1372"/>
      <c r="L491" s="1372"/>
      <c r="M491" s="1372"/>
      <c r="N491" s="1372"/>
      <c r="O491" s="1372"/>
      <c r="P491" s="1372"/>
      <c r="Q491" s="1372"/>
      <c r="R491" s="1372"/>
      <c r="S491" s="1372"/>
      <c r="T491" s="1372"/>
      <c r="U491" s="1372"/>
      <c r="V491" s="1372"/>
      <c r="W491" s="1372"/>
      <c r="X491" s="1372"/>
      <c r="Y491" s="1372"/>
      <c r="Z491" s="1372"/>
    </row>
    <row r="492" spans="1:26" ht="15.75" customHeight="1" x14ac:dyDescent="0.25">
      <c r="A492" s="1371"/>
      <c r="B492" s="1371"/>
      <c r="C492" s="1371"/>
      <c r="D492" s="1371"/>
      <c r="E492" s="1371"/>
      <c r="F492" s="1371"/>
      <c r="G492" s="1371"/>
      <c r="H492" s="1371"/>
      <c r="I492" s="1372"/>
      <c r="J492" s="1372"/>
      <c r="K492" s="1372"/>
      <c r="L492" s="1372"/>
      <c r="M492" s="1372"/>
      <c r="N492" s="1372"/>
      <c r="O492" s="1372"/>
      <c r="P492" s="1372"/>
      <c r="Q492" s="1372"/>
      <c r="R492" s="1372"/>
      <c r="S492" s="1372"/>
      <c r="T492" s="1372"/>
      <c r="U492" s="1372"/>
      <c r="V492" s="1372"/>
      <c r="W492" s="1372"/>
      <c r="X492" s="1372"/>
      <c r="Y492" s="1372"/>
      <c r="Z492" s="1372"/>
    </row>
    <row r="493" spans="1:26" ht="15.75" customHeight="1" x14ac:dyDescent="0.25">
      <c r="A493" s="1371"/>
      <c r="B493" s="1371"/>
      <c r="C493" s="1371"/>
      <c r="D493" s="1371"/>
      <c r="E493" s="1371"/>
      <c r="F493" s="1371"/>
      <c r="G493" s="1371"/>
      <c r="H493" s="1371"/>
      <c r="I493" s="1372"/>
      <c r="J493" s="1372"/>
      <c r="K493" s="1372"/>
      <c r="L493" s="1372"/>
      <c r="M493" s="1372"/>
      <c r="N493" s="1372"/>
      <c r="O493" s="1372"/>
      <c r="P493" s="1372"/>
      <c r="Q493" s="1372"/>
      <c r="R493" s="1372"/>
      <c r="S493" s="1372"/>
      <c r="T493" s="1372"/>
      <c r="U493" s="1372"/>
      <c r="V493" s="1372"/>
      <c r="W493" s="1372"/>
      <c r="X493" s="1372"/>
      <c r="Y493" s="1372"/>
      <c r="Z493" s="1372"/>
    </row>
    <row r="494" spans="1:26" ht="15.75" customHeight="1" x14ac:dyDescent="0.25">
      <c r="A494" s="1371"/>
      <c r="B494" s="1371"/>
      <c r="C494" s="1371"/>
      <c r="D494" s="1371"/>
      <c r="E494" s="1371"/>
      <c r="F494" s="1371"/>
      <c r="G494" s="1371"/>
      <c r="H494" s="1371"/>
      <c r="I494" s="1372"/>
      <c r="J494" s="1372"/>
      <c r="K494" s="1372"/>
      <c r="L494" s="1372"/>
      <c r="M494" s="1372"/>
      <c r="N494" s="1372"/>
      <c r="O494" s="1372"/>
      <c r="P494" s="1372"/>
      <c r="Q494" s="1372"/>
      <c r="R494" s="1372"/>
      <c r="S494" s="1372"/>
      <c r="T494" s="1372"/>
      <c r="U494" s="1372"/>
      <c r="V494" s="1372"/>
      <c r="W494" s="1372"/>
      <c r="X494" s="1372"/>
      <c r="Y494" s="1372"/>
      <c r="Z494" s="1372"/>
    </row>
    <row r="495" spans="1:26" ht="15.75" customHeight="1" x14ac:dyDescent="0.25">
      <c r="A495" s="1371"/>
      <c r="B495" s="1371"/>
      <c r="C495" s="1371"/>
      <c r="D495" s="1371"/>
      <c r="E495" s="1371"/>
      <c r="F495" s="1371"/>
      <c r="G495" s="1371"/>
      <c r="H495" s="1371"/>
      <c r="I495" s="1372"/>
      <c r="J495" s="1372"/>
      <c r="K495" s="1372"/>
      <c r="L495" s="1372"/>
      <c r="M495" s="1372"/>
      <c r="N495" s="1372"/>
      <c r="O495" s="1372"/>
      <c r="P495" s="1372"/>
      <c r="Q495" s="1372"/>
      <c r="R495" s="1372"/>
      <c r="S495" s="1372"/>
      <c r="T495" s="1372"/>
      <c r="U495" s="1372"/>
      <c r="V495" s="1372"/>
      <c r="W495" s="1372"/>
      <c r="X495" s="1372"/>
      <c r="Y495" s="1372"/>
      <c r="Z495" s="1372"/>
    </row>
    <row r="496" spans="1:26" ht="15.75" customHeight="1" x14ac:dyDescent="0.25">
      <c r="A496" s="1371"/>
      <c r="B496" s="1371"/>
      <c r="C496" s="1371"/>
      <c r="D496" s="1371"/>
      <c r="E496" s="1371"/>
      <c r="F496" s="1371"/>
      <c r="G496" s="1371"/>
      <c r="H496" s="1371"/>
      <c r="I496" s="1372"/>
      <c r="J496" s="1372"/>
      <c r="K496" s="1372"/>
      <c r="L496" s="1372"/>
      <c r="M496" s="1372"/>
      <c r="N496" s="1372"/>
      <c r="O496" s="1372"/>
      <c r="P496" s="1372"/>
      <c r="Q496" s="1372"/>
      <c r="R496" s="1372"/>
      <c r="S496" s="1372"/>
      <c r="T496" s="1372"/>
      <c r="U496" s="1372"/>
      <c r="V496" s="1372"/>
      <c r="W496" s="1372"/>
      <c r="X496" s="1372"/>
      <c r="Y496" s="1372"/>
      <c r="Z496" s="1372"/>
    </row>
    <row r="497" spans="1:26" ht="15.75" customHeight="1" x14ac:dyDescent="0.25">
      <c r="A497" s="1371"/>
      <c r="B497" s="1371"/>
      <c r="C497" s="1371"/>
      <c r="D497" s="1371"/>
      <c r="E497" s="1371"/>
      <c r="F497" s="1371"/>
      <c r="G497" s="1371"/>
      <c r="H497" s="1371"/>
      <c r="I497" s="1372"/>
      <c r="J497" s="1372"/>
      <c r="K497" s="1372"/>
      <c r="L497" s="1372"/>
      <c r="M497" s="1372"/>
      <c r="N497" s="1372"/>
      <c r="O497" s="1372"/>
      <c r="P497" s="1372"/>
      <c r="Q497" s="1372"/>
      <c r="R497" s="1372"/>
      <c r="S497" s="1372"/>
      <c r="T497" s="1372"/>
      <c r="U497" s="1372"/>
      <c r="V497" s="1372"/>
      <c r="W497" s="1372"/>
      <c r="X497" s="1372"/>
      <c r="Y497" s="1372"/>
      <c r="Z497" s="1372"/>
    </row>
    <row r="498" spans="1:26" ht="15.75" customHeight="1" x14ac:dyDescent="0.25">
      <c r="A498" s="1371"/>
      <c r="B498" s="1371"/>
      <c r="C498" s="1371"/>
      <c r="D498" s="1371"/>
      <c r="E498" s="1371"/>
      <c r="F498" s="1371"/>
      <c r="G498" s="1371"/>
      <c r="H498" s="1371"/>
      <c r="I498" s="1372"/>
      <c r="J498" s="1372"/>
      <c r="K498" s="1372"/>
      <c r="L498" s="1372"/>
      <c r="M498" s="1372"/>
      <c r="N498" s="1372"/>
      <c r="O498" s="1372"/>
      <c r="P498" s="1372"/>
      <c r="Q498" s="1372"/>
      <c r="R498" s="1372"/>
      <c r="S498" s="1372"/>
      <c r="T498" s="1372"/>
      <c r="U498" s="1372"/>
      <c r="V498" s="1372"/>
      <c r="W498" s="1372"/>
      <c r="X498" s="1372"/>
      <c r="Y498" s="1372"/>
      <c r="Z498" s="1372"/>
    </row>
    <row r="499" spans="1:26" ht="15.75" customHeight="1" x14ac:dyDescent="0.25">
      <c r="A499" s="1371"/>
      <c r="B499" s="1371"/>
      <c r="C499" s="1371"/>
      <c r="D499" s="1371"/>
      <c r="E499" s="1371"/>
      <c r="F499" s="1371"/>
      <c r="G499" s="1371"/>
      <c r="H499" s="1371"/>
      <c r="I499" s="1372"/>
      <c r="J499" s="1372"/>
      <c r="K499" s="1372"/>
      <c r="L499" s="1372"/>
      <c r="M499" s="1372"/>
      <c r="N499" s="1372"/>
      <c r="O499" s="1372"/>
      <c r="P499" s="1372"/>
      <c r="Q499" s="1372"/>
      <c r="R499" s="1372"/>
      <c r="S499" s="1372"/>
      <c r="T499" s="1372"/>
      <c r="U499" s="1372"/>
      <c r="V499" s="1372"/>
      <c r="W499" s="1372"/>
      <c r="X499" s="1372"/>
      <c r="Y499" s="1372"/>
      <c r="Z499" s="1372"/>
    </row>
    <row r="500" spans="1:26" ht="15.75" customHeight="1" x14ac:dyDescent="0.25">
      <c r="A500" s="1371"/>
      <c r="B500" s="1371"/>
      <c r="C500" s="1371"/>
      <c r="D500" s="1371"/>
      <c r="E500" s="1371"/>
      <c r="F500" s="1371"/>
      <c r="G500" s="1371"/>
      <c r="H500" s="1371"/>
      <c r="I500" s="1372"/>
      <c r="J500" s="1372"/>
      <c r="K500" s="1372"/>
      <c r="L500" s="1372"/>
      <c r="M500" s="1372"/>
      <c r="N500" s="1372"/>
      <c r="O500" s="1372"/>
      <c r="P500" s="1372"/>
      <c r="Q500" s="1372"/>
      <c r="R500" s="1372"/>
      <c r="S500" s="1372"/>
      <c r="T500" s="1372"/>
      <c r="U500" s="1372"/>
      <c r="V500" s="1372"/>
      <c r="W500" s="1372"/>
      <c r="X500" s="1372"/>
      <c r="Y500" s="1372"/>
      <c r="Z500" s="1372"/>
    </row>
    <row r="501" spans="1:26" ht="15.75" customHeight="1" x14ac:dyDescent="0.25">
      <c r="A501" s="1371"/>
      <c r="B501" s="1371"/>
      <c r="C501" s="1371"/>
      <c r="D501" s="1371"/>
      <c r="E501" s="1371"/>
      <c r="F501" s="1371"/>
      <c r="G501" s="1371"/>
      <c r="H501" s="1371"/>
      <c r="I501" s="1372"/>
      <c r="J501" s="1372"/>
      <c r="K501" s="1372"/>
      <c r="L501" s="1372"/>
      <c r="M501" s="1372"/>
      <c r="N501" s="1372"/>
      <c r="O501" s="1372"/>
      <c r="P501" s="1372"/>
      <c r="Q501" s="1372"/>
      <c r="R501" s="1372"/>
      <c r="S501" s="1372"/>
      <c r="T501" s="1372"/>
      <c r="U501" s="1372"/>
      <c r="V501" s="1372"/>
      <c r="W501" s="1372"/>
      <c r="X501" s="1372"/>
      <c r="Y501" s="1372"/>
      <c r="Z501" s="1372"/>
    </row>
    <row r="502" spans="1:26" ht="15.75" customHeight="1" x14ac:dyDescent="0.25">
      <c r="A502" s="1371"/>
      <c r="B502" s="1371"/>
      <c r="C502" s="1371"/>
      <c r="D502" s="1371"/>
      <c r="E502" s="1371"/>
      <c r="F502" s="1371"/>
      <c r="G502" s="1371"/>
      <c r="H502" s="1371"/>
      <c r="I502" s="1372"/>
      <c r="J502" s="1372"/>
      <c r="K502" s="1372"/>
      <c r="L502" s="1372"/>
      <c r="M502" s="1372"/>
      <c r="N502" s="1372"/>
      <c r="O502" s="1372"/>
      <c r="P502" s="1372"/>
      <c r="Q502" s="1372"/>
      <c r="R502" s="1372"/>
      <c r="S502" s="1372"/>
      <c r="T502" s="1372"/>
      <c r="U502" s="1372"/>
      <c r="V502" s="1372"/>
      <c r="W502" s="1372"/>
      <c r="X502" s="1372"/>
      <c r="Y502" s="1372"/>
      <c r="Z502" s="1372"/>
    </row>
    <row r="503" spans="1:26" ht="15.75" customHeight="1" x14ac:dyDescent="0.25">
      <c r="A503" s="1371"/>
      <c r="B503" s="1371"/>
      <c r="C503" s="1371"/>
      <c r="D503" s="1371"/>
      <c r="E503" s="1371"/>
      <c r="F503" s="1371"/>
      <c r="G503" s="1371"/>
      <c r="H503" s="1371"/>
      <c r="I503" s="1372"/>
      <c r="J503" s="1372"/>
      <c r="K503" s="1372"/>
      <c r="L503" s="1372"/>
      <c r="M503" s="1372"/>
      <c r="N503" s="1372"/>
      <c r="O503" s="1372"/>
      <c r="P503" s="1372"/>
      <c r="Q503" s="1372"/>
      <c r="R503" s="1372"/>
      <c r="S503" s="1372"/>
      <c r="T503" s="1372"/>
      <c r="U503" s="1372"/>
      <c r="V503" s="1372"/>
      <c r="W503" s="1372"/>
      <c r="X503" s="1372"/>
      <c r="Y503" s="1372"/>
      <c r="Z503" s="1372"/>
    </row>
    <row r="504" spans="1:26" ht="15.75" customHeight="1" x14ac:dyDescent="0.25">
      <c r="A504" s="1371"/>
      <c r="B504" s="1371"/>
      <c r="C504" s="1371"/>
      <c r="D504" s="1371"/>
      <c r="E504" s="1371"/>
      <c r="F504" s="1371"/>
      <c r="G504" s="1371"/>
      <c r="H504" s="1371"/>
      <c r="I504" s="1372"/>
      <c r="J504" s="1372"/>
      <c r="K504" s="1372"/>
      <c r="L504" s="1372"/>
      <c r="M504" s="1372"/>
      <c r="N504" s="1372"/>
      <c r="O504" s="1372"/>
      <c r="P504" s="1372"/>
      <c r="Q504" s="1372"/>
      <c r="R504" s="1372"/>
      <c r="S504" s="1372"/>
      <c r="T504" s="1372"/>
      <c r="U504" s="1372"/>
      <c r="V504" s="1372"/>
      <c r="W504" s="1372"/>
      <c r="X504" s="1372"/>
      <c r="Y504" s="1372"/>
      <c r="Z504" s="1372"/>
    </row>
    <row r="505" spans="1:26" ht="15.75" customHeight="1" x14ac:dyDescent="0.25">
      <c r="A505" s="1371"/>
      <c r="B505" s="1371"/>
      <c r="C505" s="1371"/>
      <c r="D505" s="1371"/>
      <c r="E505" s="1371"/>
      <c r="F505" s="1371"/>
      <c r="G505" s="1371"/>
      <c r="H505" s="1371"/>
      <c r="I505" s="1372"/>
      <c r="J505" s="1372"/>
      <c r="K505" s="1372"/>
      <c r="L505" s="1372"/>
      <c r="M505" s="1372"/>
      <c r="N505" s="1372"/>
      <c r="O505" s="1372"/>
      <c r="P505" s="1372"/>
      <c r="Q505" s="1372"/>
      <c r="R505" s="1372"/>
      <c r="S505" s="1372"/>
      <c r="T505" s="1372"/>
      <c r="U505" s="1372"/>
      <c r="V505" s="1372"/>
      <c r="W505" s="1372"/>
      <c r="X505" s="1372"/>
      <c r="Y505" s="1372"/>
      <c r="Z505" s="1372"/>
    </row>
    <row r="506" spans="1:26" ht="15.75" customHeight="1" x14ac:dyDescent="0.25">
      <c r="A506" s="1371"/>
      <c r="B506" s="1371"/>
      <c r="C506" s="1371"/>
      <c r="D506" s="1371"/>
      <c r="E506" s="1371"/>
      <c r="F506" s="1371"/>
      <c r="G506" s="1371"/>
      <c r="H506" s="1371"/>
      <c r="I506" s="1372"/>
      <c r="J506" s="1372"/>
      <c r="K506" s="1372"/>
      <c r="L506" s="1372"/>
      <c r="M506" s="1372"/>
      <c r="N506" s="1372"/>
      <c r="O506" s="1372"/>
      <c r="P506" s="1372"/>
      <c r="Q506" s="1372"/>
      <c r="R506" s="1372"/>
      <c r="S506" s="1372"/>
      <c r="T506" s="1372"/>
      <c r="U506" s="1372"/>
      <c r="V506" s="1372"/>
      <c r="W506" s="1372"/>
      <c r="X506" s="1372"/>
      <c r="Y506" s="1372"/>
      <c r="Z506" s="1372"/>
    </row>
    <row r="507" spans="1:26" ht="15.75" customHeight="1" x14ac:dyDescent="0.25">
      <c r="A507" s="1371"/>
      <c r="B507" s="1371"/>
      <c r="C507" s="1371"/>
      <c r="D507" s="1371"/>
      <c r="E507" s="1371"/>
      <c r="F507" s="1371"/>
      <c r="G507" s="1371"/>
      <c r="H507" s="1371"/>
      <c r="I507" s="1372"/>
      <c r="J507" s="1372"/>
      <c r="K507" s="1372"/>
      <c r="L507" s="1372"/>
      <c r="M507" s="1372"/>
      <c r="N507" s="1372"/>
      <c r="O507" s="1372"/>
      <c r="P507" s="1372"/>
      <c r="Q507" s="1372"/>
      <c r="R507" s="1372"/>
      <c r="S507" s="1372"/>
      <c r="T507" s="1372"/>
      <c r="U507" s="1372"/>
      <c r="V507" s="1372"/>
      <c r="W507" s="1372"/>
      <c r="X507" s="1372"/>
      <c r="Y507" s="1372"/>
      <c r="Z507" s="1372"/>
    </row>
    <row r="508" spans="1:26" ht="15.75" customHeight="1" x14ac:dyDescent="0.25">
      <c r="A508" s="1371"/>
      <c r="B508" s="1371"/>
      <c r="C508" s="1371"/>
      <c r="D508" s="1371"/>
      <c r="E508" s="1371"/>
      <c r="F508" s="1371"/>
      <c r="G508" s="1371"/>
      <c r="H508" s="1371"/>
      <c r="I508" s="1372"/>
      <c r="J508" s="1372"/>
      <c r="K508" s="1372"/>
      <c r="L508" s="1372"/>
      <c r="M508" s="1372"/>
      <c r="N508" s="1372"/>
      <c r="O508" s="1372"/>
      <c r="P508" s="1372"/>
      <c r="Q508" s="1372"/>
      <c r="R508" s="1372"/>
      <c r="S508" s="1372"/>
      <c r="T508" s="1372"/>
      <c r="U508" s="1372"/>
      <c r="V508" s="1372"/>
      <c r="W508" s="1372"/>
      <c r="X508" s="1372"/>
      <c r="Y508" s="1372"/>
      <c r="Z508" s="1372"/>
    </row>
    <row r="509" spans="1:26" ht="15.75" customHeight="1" x14ac:dyDescent="0.25">
      <c r="A509" s="1371"/>
      <c r="B509" s="1371"/>
      <c r="C509" s="1371"/>
      <c r="D509" s="1371"/>
      <c r="E509" s="1371"/>
      <c r="F509" s="1371"/>
      <c r="G509" s="1371"/>
      <c r="H509" s="1371"/>
      <c r="I509" s="1372"/>
      <c r="J509" s="1372"/>
      <c r="K509" s="1372"/>
      <c r="L509" s="1372"/>
      <c r="M509" s="1372"/>
      <c r="N509" s="1372"/>
      <c r="O509" s="1372"/>
      <c r="P509" s="1372"/>
      <c r="Q509" s="1372"/>
      <c r="R509" s="1372"/>
      <c r="S509" s="1372"/>
      <c r="T509" s="1372"/>
      <c r="U509" s="1372"/>
      <c r="V509" s="1372"/>
      <c r="W509" s="1372"/>
      <c r="X509" s="1372"/>
      <c r="Y509" s="1372"/>
      <c r="Z509" s="1372"/>
    </row>
    <row r="510" spans="1:26" ht="15.75" customHeight="1" x14ac:dyDescent="0.25">
      <c r="A510" s="1371"/>
      <c r="B510" s="1371"/>
      <c r="C510" s="1371"/>
      <c r="D510" s="1371"/>
      <c r="E510" s="1371"/>
      <c r="F510" s="1371"/>
      <c r="G510" s="1371"/>
      <c r="H510" s="1371"/>
      <c r="I510" s="1372"/>
      <c r="J510" s="1372"/>
      <c r="K510" s="1372"/>
      <c r="L510" s="1372"/>
      <c r="M510" s="1372"/>
      <c r="N510" s="1372"/>
      <c r="O510" s="1372"/>
      <c r="P510" s="1372"/>
      <c r="Q510" s="1372"/>
      <c r="R510" s="1372"/>
      <c r="S510" s="1372"/>
      <c r="T510" s="1372"/>
      <c r="U510" s="1372"/>
      <c r="V510" s="1372"/>
      <c r="W510" s="1372"/>
      <c r="X510" s="1372"/>
      <c r="Y510" s="1372"/>
      <c r="Z510" s="1372"/>
    </row>
    <row r="511" spans="1:26" ht="15.75" customHeight="1" x14ac:dyDescent="0.25">
      <c r="A511" s="1371"/>
      <c r="B511" s="1371"/>
      <c r="C511" s="1371"/>
      <c r="D511" s="1371"/>
      <c r="E511" s="1371"/>
      <c r="F511" s="1371"/>
      <c r="G511" s="1371"/>
      <c r="H511" s="1371"/>
      <c r="I511" s="1372"/>
      <c r="J511" s="1372"/>
      <c r="K511" s="1372"/>
      <c r="L511" s="1372"/>
      <c r="M511" s="1372"/>
      <c r="N511" s="1372"/>
      <c r="O511" s="1372"/>
      <c r="P511" s="1372"/>
      <c r="Q511" s="1372"/>
      <c r="R511" s="1372"/>
      <c r="S511" s="1372"/>
      <c r="T511" s="1372"/>
      <c r="U511" s="1372"/>
      <c r="V511" s="1372"/>
      <c r="W511" s="1372"/>
      <c r="X511" s="1372"/>
      <c r="Y511" s="1372"/>
      <c r="Z511" s="1372"/>
    </row>
    <row r="512" spans="1:26" ht="15.75" customHeight="1" x14ac:dyDescent="0.25">
      <c r="A512" s="1371"/>
      <c r="B512" s="1371"/>
      <c r="C512" s="1371"/>
      <c r="D512" s="1371"/>
      <c r="E512" s="1371"/>
      <c r="F512" s="1371"/>
      <c r="G512" s="1371"/>
      <c r="H512" s="1371"/>
      <c r="I512" s="1372"/>
      <c r="J512" s="1372"/>
      <c r="K512" s="1372"/>
      <c r="L512" s="1372"/>
      <c r="M512" s="1372"/>
      <c r="N512" s="1372"/>
      <c r="O512" s="1372"/>
      <c r="P512" s="1372"/>
      <c r="Q512" s="1372"/>
      <c r="R512" s="1372"/>
      <c r="S512" s="1372"/>
      <c r="T512" s="1372"/>
      <c r="U512" s="1372"/>
      <c r="V512" s="1372"/>
      <c r="W512" s="1372"/>
      <c r="X512" s="1372"/>
      <c r="Y512" s="1372"/>
      <c r="Z512" s="1372"/>
    </row>
    <row r="513" spans="1:26" ht="15.75" customHeight="1" x14ac:dyDescent="0.25">
      <c r="A513" s="1371"/>
      <c r="B513" s="1371"/>
      <c r="C513" s="1371"/>
      <c r="D513" s="1371"/>
      <c r="E513" s="1371"/>
      <c r="F513" s="1371"/>
      <c r="G513" s="1371"/>
      <c r="H513" s="1371"/>
      <c r="I513" s="1372"/>
      <c r="J513" s="1372"/>
      <c r="K513" s="1372"/>
      <c r="L513" s="1372"/>
      <c r="M513" s="1372"/>
      <c r="N513" s="1372"/>
      <c r="O513" s="1372"/>
      <c r="P513" s="1372"/>
      <c r="Q513" s="1372"/>
      <c r="R513" s="1372"/>
      <c r="S513" s="1372"/>
      <c r="T513" s="1372"/>
      <c r="U513" s="1372"/>
      <c r="V513" s="1372"/>
      <c r="W513" s="1372"/>
      <c r="X513" s="1372"/>
      <c r="Y513" s="1372"/>
      <c r="Z513" s="1372"/>
    </row>
    <row r="514" spans="1:26" ht="15.75" customHeight="1" x14ac:dyDescent="0.25">
      <c r="A514" s="1371"/>
      <c r="B514" s="1371"/>
      <c r="C514" s="1371"/>
      <c r="D514" s="1371"/>
      <c r="E514" s="1371"/>
      <c r="F514" s="1371"/>
      <c r="G514" s="1371"/>
      <c r="H514" s="1371"/>
      <c r="I514" s="1372"/>
      <c r="J514" s="1372"/>
      <c r="K514" s="1372"/>
      <c r="L514" s="1372"/>
      <c r="M514" s="1372"/>
      <c r="N514" s="1372"/>
      <c r="O514" s="1372"/>
      <c r="P514" s="1372"/>
      <c r="Q514" s="1372"/>
      <c r="R514" s="1372"/>
      <c r="S514" s="1372"/>
      <c r="T514" s="1372"/>
      <c r="U514" s="1372"/>
      <c r="V514" s="1372"/>
      <c r="W514" s="1372"/>
      <c r="X514" s="1372"/>
      <c r="Y514" s="1372"/>
      <c r="Z514" s="1372"/>
    </row>
    <row r="515" spans="1:26" ht="15.75" customHeight="1" x14ac:dyDescent="0.25">
      <c r="A515" s="1371"/>
      <c r="B515" s="1371"/>
      <c r="C515" s="1371"/>
      <c r="D515" s="1371"/>
      <c r="E515" s="1371"/>
      <c r="F515" s="1371"/>
      <c r="G515" s="1371"/>
      <c r="H515" s="1371"/>
      <c r="I515" s="1372"/>
      <c r="J515" s="1372"/>
      <c r="K515" s="1372"/>
      <c r="L515" s="1372"/>
      <c r="M515" s="1372"/>
      <c r="N515" s="1372"/>
      <c r="O515" s="1372"/>
      <c r="P515" s="1372"/>
      <c r="Q515" s="1372"/>
      <c r="R515" s="1372"/>
      <c r="S515" s="1372"/>
      <c r="T515" s="1372"/>
      <c r="U515" s="1372"/>
      <c r="V515" s="1372"/>
      <c r="W515" s="1372"/>
      <c r="X515" s="1372"/>
      <c r="Y515" s="1372"/>
      <c r="Z515" s="1372"/>
    </row>
    <row r="516" spans="1:26" ht="15.75" customHeight="1" x14ac:dyDescent="0.25">
      <c r="A516" s="1371"/>
      <c r="B516" s="1371"/>
      <c r="C516" s="1371"/>
      <c r="D516" s="1371"/>
      <c r="E516" s="1371"/>
      <c r="F516" s="1371"/>
      <c r="G516" s="1371"/>
      <c r="H516" s="1371"/>
      <c r="I516" s="1372"/>
      <c r="J516" s="1372"/>
      <c r="K516" s="1372"/>
      <c r="L516" s="1372"/>
      <c r="M516" s="1372"/>
      <c r="N516" s="1372"/>
      <c r="O516" s="1372"/>
      <c r="P516" s="1372"/>
      <c r="Q516" s="1372"/>
      <c r="R516" s="1372"/>
      <c r="S516" s="1372"/>
      <c r="T516" s="1372"/>
      <c r="U516" s="1372"/>
      <c r="V516" s="1372"/>
      <c r="W516" s="1372"/>
      <c r="X516" s="1372"/>
      <c r="Y516" s="1372"/>
      <c r="Z516" s="1372"/>
    </row>
    <row r="517" spans="1:26" ht="15.75" customHeight="1" x14ac:dyDescent="0.25">
      <c r="A517" s="1371"/>
      <c r="B517" s="1371"/>
      <c r="C517" s="1371"/>
      <c r="D517" s="1371"/>
      <c r="E517" s="1371"/>
      <c r="F517" s="1371"/>
      <c r="G517" s="1371"/>
      <c r="H517" s="1371"/>
      <c r="I517" s="1372"/>
      <c r="J517" s="1372"/>
      <c r="K517" s="1372"/>
      <c r="L517" s="1372"/>
      <c r="M517" s="1372"/>
      <c r="N517" s="1372"/>
      <c r="O517" s="1372"/>
      <c r="P517" s="1372"/>
      <c r="Q517" s="1372"/>
      <c r="R517" s="1372"/>
      <c r="S517" s="1372"/>
      <c r="T517" s="1372"/>
      <c r="U517" s="1372"/>
      <c r="V517" s="1372"/>
      <c r="W517" s="1372"/>
      <c r="X517" s="1372"/>
      <c r="Y517" s="1372"/>
      <c r="Z517" s="1372"/>
    </row>
    <row r="518" spans="1:26" ht="15.75" customHeight="1" x14ac:dyDescent="0.25">
      <c r="A518" s="1371"/>
      <c r="B518" s="1371"/>
      <c r="C518" s="1371"/>
      <c r="D518" s="1371"/>
      <c r="E518" s="1371"/>
      <c r="F518" s="1371"/>
      <c r="G518" s="1371"/>
      <c r="H518" s="1371"/>
      <c r="I518" s="1372"/>
      <c r="J518" s="1372"/>
      <c r="K518" s="1372"/>
      <c r="L518" s="1372"/>
      <c r="M518" s="1372"/>
      <c r="N518" s="1372"/>
      <c r="O518" s="1372"/>
      <c r="P518" s="1372"/>
      <c r="Q518" s="1372"/>
      <c r="R518" s="1372"/>
      <c r="S518" s="1372"/>
      <c r="T518" s="1372"/>
      <c r="U518" s="1372"/>
      <c r="V518" s="1372"/>
      <c r="W518" s="1372"/>
      <c r="X518" s="1372"/>
      <c r="Y518" s="1372"/>
      <c r="Z518" s="1372"/>
    </row>
    <row r="519" spans="1:26" ht="15.75" customHeight="1" x14ac:dyDescent="0.25">
      <c r="A519" s="1371"/>
      <c r="B519" s="1371"/>
      <c r="C519" s="1371"/>
      <c r="D519" s="1371"/>
      <c r="E519" s="1371"/>
      <c r="F519" s="1371"/>
      <c r="G519" s="1371"/>
      <c r="H519" s="1371"/>
      <c r="I519" s="1372"/>
      <c r="J519" s="1372"/>
      <c r="K519" s="1372"/>
      <c r="L519" s="1372"/>
      <c r="M519" s="1372"/>
      <c r="N519" s="1372"/>
      <c r="O519" s="1372"/>
      <c r="P519" s="1372"/>
      <c r="Q519" s="1372"/>
      <c r="R519" s="1372"/>
      <c r="S519" s="1372"/>
      <c r="T519" s="1372"/>
      <c r="U519" s="1372"/>
      <c r="V519" s="1372"/>
      <c r="W519" s="1372"/>
      <c r="X519" s="1372"/>
      <c r="Y519" s="1372"/>
      <c r="Z519" s="1372"/>
    </row>
    <row r="520" spans="1:26" ht="15.75" customHeight="1" x14ac:dyDescent="0.25">
      <c r="A520" s="1371"/>
      <c r="B520" s="1371"/>
      <c r="C520" s="1371"/>
      <c r="D520" s="1371"/>
      <c r="E520" s="1371"/>
      <c r="F520" s="1371"/>
      <c r="G520" s="1371"/>
      <c r="H520" s="1371"/>
      <c r="I520" s="1372"/>
      <c r="J520" s="1372"/>
      <c r="K520" s="1372"/>
      <c r="L520" s="1372"/>
      <c r="M520" s="1372"/>
      <c r="N520" s="1372"/>
      <c r="O520" s="1372"/>
      <c r="P520" s="1372"/>
      <c r="Q520" s="1372"/>
      <c r="R520" s="1372"/>
      <c r="S520" s="1372"/>
      <c r="T520" s="1372"/>
      <c r="U520" s="1372"/>
      <c r="V520" s="1372"/>
      <c r="W520" s="1372"/>
      <c r="X520" s="1372"/>
      <c r="Y520" s="1372"/>
      <c r="Z520" s="1372"/>
    </row>
    <row r="521" spans="1:26" ht="15.75" customHeight="1" x14ac:dyDescent="0.25">
      <c r="A521" s="1371"/>
      <c r="B521" s="1371"/>
      <c r="C521" s="1371"/>
      <c r="D521" s="1371"/>
      <c r="E521" s="1371"/>
      <c r="F521" s="1371"/>
      <c r="G521" s="1371"/>
      <c r="H521" s="1371"/>
      <c r="I521" s="1372"/>
      <c r="J521" s="1372"/>
      <c r="K521" s="1372"/>
      <c r="L521" s="1372"/>
      <c r="M521" s="1372"/>
      <c r="N521" s="1372"/>
      <c r="O521" s="1372"/>
      <c r="P521" s="1372"/>
      <c r="Q521" s="1372"/>
      <c r="R521" s="1372"/>
      <c r="S521" s="1372"/>
      <c r="T521" s="1372"/>
      <c r="U521" s="1372"/>
      <c r="V521" s="1372"/>
      <c r="W521" s="1372"/>
      <c r="X521" s="1372"/>
      <c r="Y521" s="1372"/>
      <c r="Z521" s="1372"/>
    </row>
    <row r="522" spans="1:26" ht="15.75" customHeight="1" x14ac:dyDescent="0.25">
      <c r="A522" s="1371"/>
      <c r="B522" s="1371"/>
      <c r="C522" s="1371"/>
      <c r="D522" s="1371"/>
      <c r="E522" s="1371"/>
      <c r="F522" s="1371"/>
      <c r="G522" s="1371"/>
      <c r="H522" s="1371"/>
      <c r="I522" s="1372"/>
      <c r="J522" s="1372"/>
      <c r="K522" s="1372"/>
      <c r="L522" s="1372"/>
      <c r="M522" s="1372"/>
      <c r="N522" s="1372"/>
      <c r="O522" s="1372"/>
      <c r="P522" s="1372"/>
      <c r="Q522" s="1372"/>
      <c r="R522" s="1372"/>
      <c r="S522" s="1372"/>
      <c r="T522" s="1372"/>
      <c r="U522" s="1372"/>
      <c r="V522" s="1372"/>
      <c r="W522" s="1372"/>
      <c r="X522" s="1372"/>
      <c r="Y522" s="1372"/>
      <c r="Z522" s="1372"/>
    </row>
    <row r="523" spans="1:26" ht="15.75" customHeight="1" x14ac:dyDescent="0.25">
      <c r="A523" s="1371"/>
      <c r="B523" s="1371"/>
      <c r="C523" s="1371"/>
      <c r="D523" s="1371"/>
      <c r="E523" s="1371"/>
      <c r="F523" s="1371"/>
      <c r="G523" s="1371"/>
      <c r="H523" s="1371"/>
      <c r="I523" s="1372"/>
      <c r="J523" s="1372"/>
      <c r="K523" s="1372"/>
      <c r="L523" s="1372"/>
      <c r="M523" s="1372"/>
      <c r="N523" s="1372"/>
      <c r="O523" s="1372"/>
      <c r="P523" s="1372"/>
      <c r="Q523" s="1372"/>
      <c r="R523" s="1372"/>
      <c r="S523" s="1372"/>
      <c r="T523" s="1372"/>
      <c r="U523" s="1372"/>
      <c r="V523" s="1372"/>
      <c r="W523" s="1372"/>
      <c r="X523" s="1372"/>
      <c r="Y523" s="1372"/>
      <c r="Z523" s="1372"/>
    </row>
    <row r="524" spans="1:26" ht="15.75" customHeight="1" x14ac:dyDescent="0.25">
      <c r="A524" s="1371"/>
      <c r="B524" s="1371"/>
      <c r="C524" s="1371"/>
      <c r="D524" s="1371"/>
      <c r="E524" s="1371"/>
      <c r="F524" s="1371"/>
      <c r="G524" s="1371"/>
      <c r="H524" s="1371"/>
      <c r="I524" s="1372"/>
      <c r="J524" s="1372"/>
      <c r="K524" s="1372"/>
      <c r="L524" s="1372"/>
      <c r="M524" s="1372"/>
      <c r="N524" s="1372"/>
      <c r="O524" s="1372"/>
      <c r="P524" s="1372"/>
      <c r="Q524" s="1372"/>
      <c r="R524" s="1372"/>
      <c r="S524" s="1372"/>
      <c r="T524" s="1372"/>
      <c r="U524" s="1372"/>
      <c r="V524" s="1372"/>
      <c r="W524" s="1372"/>
      <c r="X524" s="1372"/>
      <c r="Y524" s="1372"/>
      <c r="Z524" s="1372"/>
    </row>
    <row r="525" spans="1:26" ht="15.75" customHeight="1" x14ac:dyDescent="0.25">
      <c r="A525" s="1371"/>
      <c r="B525" s="1371"/>
      <c r="C525" s="1371"/>
      <c r="D525" s="1371"/>
      <c r="E525" s="1371"/>
      <c r="F525" s="1371"/>
      <c r="G525" s="1371"/>
      <c r="H525" s="1371"/>
      <c r="I525" s="1372"/>
      <c r="J525" s="1372"/>
      <c r="K525" s="1372"/>
      <c r="L525" s="1372"/>
      <c r="M525" s="1372"/>
      <c r="N525" s="1372"/>
      <c r="O525" s="1372"/>
      <c r="P525" s="1372"/>
      <c r="Q525" s="1372"/>
      <c r="R525" s="1372"/>
      <c r="S525" s="1372"/>
      <c r="T525" s="1372"/>
      <c r="U525" s="1372"/>
      <c r="V525" s="1372"/>
      <c r="W525" s="1372"/>
      <c r="X525" s="1372"/>
      <c r="Y525" s="1372"/>
      <c r="Z525" s="1372"/>
    </row>
    <row r="526" spans="1:26" ht="15.75" customHeight="1" x14ac:dyDescent="0.25">
      <c r="A526" s="1371"/>
      <c r="B526" s="1371"/>
      <c r="C526" s="1371"/>
      <c r="D526" s="1371"/>
      <c r="E526" s="1371"/>
      <c r="F526" s="1371"/>
      <c r="G526" s="1371"/>
      <c r="H526" s="1371"/>
      <c r="I526" s="1372"/>
      <c r="J526" s="1372"/>
      <c r="K526" s="1372"/>
      <c r="L526" s="1372"/>
      <c r="M526" s="1372"/>
      <c r="N526" s="1372"/>
      <c r="O526" s="1372"/>
      <c r="P526" s="1372"/>
      <c r="Q526" s="1372"/>
      <c r="R526" s="1372"/>
      <c r="S526" s="1372"/>
      <c r="T526" s="1372"/>
      <c r="U526" s="1372"/>
      <c r="V526" s="1372"/>
      <c r="W526" s="1372"/>
      <c r="X526" s="1372"/>
      <c r="Y526" s="1372"/>
      <c r="Z526" s="1372"/>
    </row>
    <row r="527" spans="1:26" ht="15.75" customHeight="1" x14ac:dyDescent="0.25">
      <c r="A527" s="1371"/>
      <c r="B527" s="1371"/>
      <c r="C527" s="1371"/>
      <c r="D527" s="1371"/>
      <c r="E527" s="1371"/>
      <c r="F527" s="1371"/>
      <c r="G527" s="1371"/>
      <c r="H527" s="1371"/>
      <c r="I527" s="1372"/>
      <c r="J527" s="1372"/>
      <c r="K527" s="1372"/>
      <c r="L527" s="1372"/>
      <c r="M527" s="1372"/>
      <c r="N527" s="1372"/>
      <c r="O527" s="1372"/>
      <c r="P527" s="1372"/>
      <c r="Q527" s="1372"/>
      <c r="R527" s="1372"/>
      <c r="S527" s="1372"/>
      <c r="T527" s="1372"/>
      <c r="U527" s="1372"/>
      <c r="V527" s="1372"/>
      <c r="W527" s="1372"/>
      <c r="X527" s="1372"/>
      <c r="Y527" s="1372"/>
      <c r="Z527" s="1372"/>
    </row>
    <row r="528" spans="1:26" ht="15.75" customHeight="1" x14ac:dyDescent="0.25">
      <c r="A528" s="1371"/>
      <c r="B528" s="1371"/>
      <c r="C528" s="1371"/>
      <c r="D528" s="1371"/>
      <c r="E528" s="1371"/>
      <c r="F528" s="1371"/>
      <c r="G528" s="1371"/>
      <c r="H528" s="1371"/>
      <c r="I528" s="1372"/>
      <c r="J528" s="1372"/>
      <c r="K528" s="1372"/>
      <c r="L528" s="1372"/>
      <c r="M528" s="1372"/>
      <c r="N528" s="1372"/>
      <c r="O528" s="1372"/>
      <c r="P528" s="1372"/>
      <c r="Q528" s="1372"/>
      <c r="R528" s="1372"/>
      <c r="S528" s="1372"/>
      <c r="T528" s="1372"/>
      <c r="U528" s="1372"/>
      <c r="V528" s="1372"/>
      <c r="W528" s="1372"/>
      <c r="X528" s="1372"/>
      <c r="Y528" s="1372"/>
      <c r="Z528" s="1372"/>
    </row>
    <row r="529" spans="1:26" ht="15.75" customHeight="1" x14ac:dyDescent="0.25">
      <c r="A529" s="1371"/>
      <c r="B529" s="1371"/>
      <c r="C529" s="1371"/>
      <c r="D529" s="1371"/>
      <c r="E529" s="1371"/>
      <c r="F529" s="1371"/>
      <c r="G529" s="1371"/>
      <c r="H529" s="1371"/>
      <c r="I529" s="1372"/>
      <c r="J529" s="1372"/>
      <c r="K529" s="1372"/>
      <c r="L529" s="1372"/>
      <c r="M529" s="1372"/>
      <c r="N529" s="1372"/>
      <c r="O529" s="1372"/>
      <c r="P529" s="1372"/>
      <c r="Q529" s="1372"/>
      <c r="R529" s="1372"/>
      <c r="S529" s="1372"/>
      <c r="T529" s="1372"/>
      <c r="U529" s="1372"/>
      <c r="V529" s="1372"/>
      <c r="W529" s="1372"/>
      <c r="X529" s="1372"/>
      <c r="Y529" s="1372"/>
      <c r="Z529" s="1372"/>
    </row>
    <row r="530" spans="1:26" ht="15.75" customHeight="1" x14ac:dyDescent="0.25">
      <c r="A530" s="1371"/>
      <c r="B530" s="1371"/>
      <c r="C530" s="1371"/>
      <c r="D530" s="1371"/>
      <c r="E530" s="1371"/>
      <c r="F530" s="1371"/>
      <c r="G530" s="1371"/>
      <c r="H530" s="1371"/>
      <c r="I530" s="1372"/>
      <c r="J530" s="1372"/>
      <c r="K530" s="1372"/>
      <c r="L530" s="1372"/>
      <c r="M530" s="1372"/>
      <c r="N530" s="1372"/>
      <c r="O530" s="1372"/>
      <c r="P530" s="1372"/>
      <c r="Q530" s="1372"/>
      <c r="R530" s="1372"/>
      <c r="S530" s="1372"/>
      <c r="T530" s="1372"/>
      <c r="U530" s="1372"/>
      <c r="V530" s="1372"/>
      <c r="W530" s="1372"/>
      <c r="X530" s="1372"/>
      <c r="Y530" s="1372"/>
      <c r="Z530" s="1372"/>
    </row>
    <row r="531" spans="1:26" ht="15.75" customHeight="1" x14ac:dyDescent="0.25">
      <c r="A531" s="1371"/>
      <c r="B531" s="1371"/>
      <c r="C531" s="1371"/>
      <c r="D531" s="1371"/>
      <c r="E531" s="1371"/>
      <c r="F531" s="1371"/>
      <c r="G531" s="1371"/>
      <c r="H531" s="1371"/>
      <c r="I531" s="1372"/>
      <c r="J531" s="1372"/>
      <c r="K531" s="1372"/>
      <c r="L531" s="1372"/>
      <c r="M531" s="1372"/>
      <c r="N531" s="1372"/>
      <c r="O531" s="1372"/>
      <c r="P531" s="1372"/>
      <c r="Q531" s="1372"/>
      <c r="R531" s="1372"/>
      <c r="S531" s="1372"/>
      <c r="T531" s="1372"/>
      <c r="U531" s="1372"/>
      <c r="V531" s="1372"/>
      <c r="W531" s="1372"/>
      <c r="X531" s="1372"/>
      <c r="Y531" s="1372"/>
      <c r="Z531" s="1372"/>
    </row>
    <row r="532" spans="1:26" ht="15.75" customHeight="1" x14ac:dyDescent="0.25">
      <c r="A532" s="1371"/>
      <c r="B532" s="1371"/>
      <c r="C532" s="1371"/>
      <c r="D532" s="1371"/>
      <c r="E532" s="1371"/>
      <c r="F532" s="1371"/>
      <c r="G532" s="1371"/>
      <c r="H532" s="1371"/>
      <c r="I532" s="1372"/>
      <c r="J532" s="1372"/>
      <c r="K532" s="1372"/>
      <c r="L532" s="1372"/>
      <c r="M532" s="1372"/>
      <c r="N532" s="1372"/>
      <c r="O532" s="1372"/>
      <c r="P532" s="1372"/>
      <c r="Q532" s="1372"/>
      <c r="R532" s="1372"/>
      <c r="S532" s="1372"/>
      <c r="T532" s="1372"/>
      <c r="U532" s="1372"/>
      <c r="V532" s="1372"/>
      <c r="W532" s="1372"/>
      <c r="X532" s="1372"/>
      <c r="Y532" s="1372"/>
      <c r="Z532" s="1372"/>
    </row>
    <row r="533" spans="1:26" ht="15.75" customHeight="1" x14ac:dyDescent="0.25">
      <c r="A533" s="1371"/>
      <c r="B533" s="1371"/>
      <c r="C533" s="1371"/>
      <c r="D533" s="1371"/>
      <c r="E533" s="1371"/>
      <c r="F533" s="1371"/>
      <c r="G533" s="1371"/>
      <c r="H533" s="1371"/>
      <c r="I533" s="1372"/>
      <c r="J533" s="1372"/>
      <c r="K533" s="1372"/>
      <c r="L533" s="1372"/>
      <c r="M533" s="1372"/>
      <c r="N533" s="1372"/>
      <c r="O533" s="1372"/>
      <c r="P533" s="1372"/>
      <c r="Q533" s="1372"/>
      <c r="R533" s="1372"/>
      <c r="S533" s="1372"/>
      <c r="T533" s="1372"/>
      <c r="U533" s="1372"/>
      <c r="V533" s="1372"/>
      <c r="W533" s="1372"/>
      <c r="X533" s="1372"/>
      <c r="Y533" s="1372"/>
      <c r="Z533" s="1372"/>
    </row>
    <row r="534" spans="1:26" ht="15.75" customHeight="1" x14ac:dyDescent="0.25">
      <c r="A534" s="1371"/>
      <c r="B534" s="1371"/>
      <c r="C534" s="1371"/>
      <c r="D534" s="1371"/>
      <c r="E534" s="1371"/>
      <c r="F534" s="1371"/>
      <c r="G534" s="1371"/>
      <c r="H534" s="1371"/>
      <c r="I534" s="1372"/>
      <c r="J534" s="1372"/>
      <c r="K534" s="1372"/>
      <c r="L534" s="1372"/>
      <c r="M534" s="1372"/>
      <c r="N534" s="1372"/>
      <c r="O534" s="1372"/>
      <c r="P534" s="1372"/>
      <c r="Q534" s="1372"/>
      <c r="R534" s="1372"/>
      <c r="S534" s="1372"/>
      <c r="T534" s="1372"/>
      <c r="U534" s="1372"/>
      <c r="V534" s="1372"/>
      <c r="W534" s="1372"/>
      <c r="X534" s="1372"/>
      <c r="Y534" s="1372"/>
      <c r="Z534" s="1372"/>
    </row>
    <row r="535" spans="1:26" ht="15.75" customHeight="1" x14ac:dyDescent="0.25">
      <c r="A535" s="1371"/>
      <c r="B535" s="1371"/>
      <c r="C535" s="1371"/>
      <c r="D535" s="1371"/>
      <c r="E535" s="1371"/>
      <c r="F535" s="1371"/>
      <c r="G535" s="1371"/>
      <c r="H535" s="1371"/>
      <c r="I535" s="1372"/>
      <c r="J535" s="1372"/>
      <c r="K535" s="1372"/>
      <c r="L535" s="1372"/>
      <c r="M535" s="1372"/>
      <c r="N535" s="1372"/>
      <c r="O535" s="1372"/>
      <c r="P535" s="1372"/>
      <c r="Q535" s="1372"/>
      <c r="R535" s="1372"/>
      <c r="S535" s="1372"/>
      <c r="T535" s="1372"/>
      <c r="U535" s="1372"/>
      <c r="V535" s="1372"/>
      <c r="W535" s="1372"/>
      <c r="X535" s="1372"/>
      <c r="Y535" s="1372"/>
      <c r="Z535" s="1372"/>
    </row>
    <row r="536" spans="1:26" ht="15.75" customHeight="1" x14ac:dyDescent="0.25">
      <c r="A536" s="1371"/>
      <c r="B536" s="1371"/>
      <c r="C536" s="1371"/>
      <c r="D536" s="1371"/>
      <c r="E536" s="1371"/>
      <c r="F536" s="1371"/>
      <c r="G536" s="1371"/>
      <c r="H536" s="1371"/>
      <c r="I536" s="1372"/>
      <c r="J536" s="1372"/>
      <c r="K536" s="1372"/>
      <c r="L536" s="1372"/>
      <c r="M536" s="1372"/>
      <c r="N536" s="1372"/>
      <c r="O536" s="1372"/>
      <c r="P536" s="1372"/>
      <c r="Q536" s="1372"/>
      <c r="R536" s="1372"/>
      <c r="S536" s="1372"/>
      <c r="T536" s="1372"/>
      <c r="U536" s="1372"/>
      <c r="V536" s="1372"/>
      <c r="W536" s="1372"/>
      <c r="X536" s="1372"/>
      <c r="Y536" s="1372"/>
      <c r="Z536" s="1372"/>
    </row>
    <row r="537" spans="1:26" ht="15.75" customHeight="1" x14ac:dyDescent="0.25">
      <c r="A537" s="1371"/>
      <c r="B537" s="1371"/>
      <c r="C537" s="1371"/>
      <c r="D537" s="1371"/>
      <c r="E537" s="1371"/>
      <c r="F537" s="1371"/>
      <c r="G537" s="1371"/>
      <c r="H537" s="1371"/>
      <c r="I537" s="1372"/>
      <c r="J537" s="1372"/>
      <c r="K537" s="1372"/>
      <c r="L537" s="1372"/>
      <c r="M537" s="1372"/>
      <c r="N537" s="1372"/>
      <c r="O537" s="1372"/>
      <c r="P537" s="1372"/>
      <c r="Q537" s="1372"/>
      <c r="R537" s="1372"/>
      <c r="S537" s="1372"/>
      <c r="T537" s="1372"/>
      <c r="U537" s="1372"/>
      <c r="V537" s="1372"/>
      <c r="W537" s="1372"/>
      <c r="X537" s="1372"/>
      <c r="Y537" s="1372"/>
      <c r="Z537" s="1372"/>
    </row>
    <row r="538" spans="1:26" ht="15.75" customHeight="1" x14ac:dyDescent="0.25">
      <c r="A538" s="1371"/>
      <c r="B538" s="1371"/>
      <c r="C538" s="1371"/>
      <c r="D538" s="1371"/>
      <c r="E538" s="1371"/>
      <c r="F538" s="1371"/>
      <c r="G538" s="1371"/>
      <c r="H538" s="1371"/>
      <c r="I538" s="1372"/>
      <c r="J538" s="1372"/>
      <c r="K538" s="1372"/>
      <c r="L538" s="1372"/>
      <c r="M538" s="1372"/>
      <c r="N538" s="1372"/>
      <c r="O538" s="1372"/>
      <c r="P538" s="1372"/>
      <c r="Q538" s="1372"/>
      <c r="R538" s="1372"/>
      <c r="S538" s="1372"/>
      <c r="T538" s="1372"/>
      <c r="U538" s="1372"/>
      <c r="V538" s="1372"/>
      <c r="W538" s="1372"/>
      <c r="X538" s="1372"/>
      <c r="Y538" s="1372"/>
      <c r="Z538" s="1372"/>
    </row>
    <row r="539" spans="1:26" ht="15.75" customHeight="1" x14ac:dyDescent="0.25">
      <c r="A539" s="1371"/>
      <c r="B539" s="1371"/>
      <c r="C539" s="1371"/>
      <c r="D539" s="1371"/>
      <c r="E539" s="1371"/>
      <c r="F539" s="1371"/>
      <c r="G539" s="1371"/>
      <c r="H539" s="1371"/>
      <c r="I539" s="1372"/>
      <c r="J539" s="1372"/>
      <c r="K539" s="1372"/>
      <c r="L539" s="1372"/>
      <c r="M539" s="1372"/>
      <c r="N539" s="1372"/>
      <c r="O539" s="1372"/>
      <c r="P539" s="1372"/>
      <c r="Q539" s="1372"/>
      <c r="R539" s="1372"/>
      <c r="S539" s="1372"/>
      <c r="T539" s="1372"/>
      <c r="U539" s="1372"/>
      <c r="V539" s="1372"/>
      <c r="W539" s="1372"/>
      <c r="X539" s="1372"/>
      <c r="Y539" s="1372"/>
      <c r="Z539" s="1372"/>
    </row>
    <row r="540" spans="1:26" ht="15.75" customHeight="1" x14ac:dyDescent="0.25">
      <c r="A540" s="1371"/>
      <c r="B540" s="1371"/>
      <c r="C540" s="1371"/>
      <c r="D540" s="1371"/>
      <c r="E540" s="1371"/>
      <c r="F540" s="1371"/>
      <c r="G540" s="1371"/>
      <c r="H540" s="1371"/>
      <c r="I540" s="1372"/>
      <c r="J540" s="1372"/>
      <c r="K540" s="1372"/>
      <c r="L540" s="1372"/>
      <c r="M540" s="1372"/>
      <c r="N540" s="1372"/>
      <c r="O540" s="1372"/>
      <c r="P540" s="1372"/>
      <c r="Q540" s="1372"/>
      <c r="R540" s="1372"/>
      <c r="S540" s="1372"/>
      <c r="T540" s="1372"/>
      <c r="U540" s="1372"/>
      <c r="V540" s="1372"/>
      <c r="W540" s="1372"/>
      <c r="X540" s="1372"/>
      <c r="Y540" s="1372"/>
      <c r="Z540" s="1372"/>
    </row>
    <row r="541" spans="1:26" ht="15.75" customHeight="1" x14ac:dyDescent="0.25">
      <c r="A541" s="1371"/>
      <c r="B541" s="1371"/>
      <c r="C541" s="1371"/>
      <c r="D541" s="1371"/>
      <c r="E541" s="1371"/>
      <c r="F541" s="1371"/>
      <c r="G541" s="1371"/>
      <c r="H541" s="1371"/>
      <c r="I541" s="1372"/>
      <c r="J541" s="1372"/>
      <c r="K541" s="1372"/>
      <c r="L541" s="1372"/>
      <c r="M541" s="1372"/>
      <c r="N541" s="1372"/>
      <c r="O541" s="1372"/>
      <c r="P541" s="1372"/>
      <c r="Q541" s="1372"/>
      <c r="R541" s="1372"/>
      <c r="S541" s="1372"/>
      <c r="T541" s="1372"/>
      <c r="U541" s="1372"/>
      <c r="V541" s="1372"/>
      <c r="W541" s="1372"/>
      <c r="X541" s="1372"/>
      <c r="Y541" s="1372"/>
      <c r="Z541" s="1372"/>
    </row>
    <row r="542" spans="1:26" ht="15.75" customHeight="1" x14ac:dyDescent="0.25">
      <c r="A542" s="1371"/>
      <c r="B542" s="1371"/>
      <c r="C542" s="1371"/>
      <c r="D542" s="1371"/>
      <c r="E542" s="1371"/>
      <c r="F542" s="1371"/>
      <c r="G542" s="1371"/>
      <c r="H542" s="1371"/>
      <c r="I542" s="1372"/>
      <c r="J542" s="1372"/>
      <c r="K542" s="1372"/>
      <c r="L542" s="1372"/>
      <c r="M542" s="1372"/>
      <c r="N542" s="1372"/>
      <c r="O542" s="1372"/>
      <c r="P542" s="1372"/>
      <c r="Q542" s="1372"/>
      <c r="R542" s="1372"/>
      <c r="S542" s="1372"/>
      <c r="T542" s="1372"/>
      <c r="U542" s="1372"/>
      <c r="V542" s="1372"/>
      <c r="W542" s="1372"/>
      <c r="X542" s="1372"/>
      <c r="Y542" s="1372"/>
      <c r="Z542" s="1372"/>
    </row>
    <row r="543" spans="1:26" ht="15.75" customHeight="1" x14ac:dyDescent="0.25">
      <c r="A543" s="1371"/>
      <c r="B543" s="1371"/>
      <c r="C543" s="1371"/>
      <c r="D543" s="1371"/>
      <c r="E543" s="1371"/>
      <c r="F543" s="1371"/>
      <c r="G543" s="1371"/>
      <c r="H543" s="1371"/>
      <c r="I543" s="1372"/>
      <c r="J543" s="1372"/>
      <c r="K543" s="1372"/>
      <c r="L543" s="1372"/>
      <c r="M543" s="1372"/>
      <c r="N543" s="1372"/>
      <c r="O543" s="1372"/>
      <c r="P543" s="1372"/>
      <c r="Q543" s="1372"/>
      <c r="R543" s="1372"/>
      <c r="S543" s="1372"/>
      <c r="T543" s="1372"/>
      <c r="U543" s="1372"/>
      <c r="V543" s="1372"/>
      <c r="W543" s="1372"/>
      <c r="X543" s="1372"/>
      <c r="Y543" s="1372"/>
      <c r="Z543" s="1372"/>
    </row>
    <row r="544" spans="1:26" ht="15.75" customHeight="1" x14ac:dyDescent="0.25">
      <c r="A544" s="1371"/>
      <c r="B544" s="1371"/>
      <c r="C544" s="1371"/>
      <c r="D544" s="1371"/>
      <c r="E544" s="1371"/>
      <c r="F544" s="1371"/>
      <c r="G544" s="1371"/>
      <c r="H544" s="1371"/>
      <c r="I544" s="1372"/>
      <c r="J544" s="1372"/>
      <c r="K544" s="1372"/>
      <c r="L544" s="1372"/>
      <c r="M544" s="1372"/>
      <c r="N544" s="1372"/>
      <c r="O544" s="1372"/>
      <c r="P544" s="1372"/>
      <c r="Q544" s="1372"/>
      <c r="R544" s="1372"/>
      <c r="S544" s="1372"/>
      <c r="T544" s="1372"/>
      <c r="U544" s="1372"/>
      <c r="V544" s="1372"/>
      <c r="W544" s="1372"/>
      <c r="X544" s="1372"/>
      <c r="Y544" s="1372"/>
      <c r="Z544" s="1372"/>
    </row>
    <row r="545" spans="1:26" ht="15.75" customHeight="1" x14ac:dyDescent="0.25">
      <c r="A545" s="1371"/>
      <c r="B545" s="1371"/>
      <c r="C545" s="1371"/>
      <c r="D545" s="1371"/>
      <c r="E545" s="1371"/>
      <c r="F545" s="1371"/>
      <c r="G545" s="1371"/>
      <c r="H545" s="1371"/>
      <c r="I545" s="1372"/>
      <c r="J545" s="1372"/>
      <c r="K545" s="1372"/>
      <c r="L545" s="1372"/>
      <c r="M545" s="1372"/>
      <c r="N545" s="1372"/>
      <c r="O545" s="1372"/>
      <c r="P545" s="1372"/>
      <c r="Q545" s="1372"/>
      <c r="R545" s="1372"/>
      <c r="S545" s="1372"/>
      <c r="T545" s="1372"/>
      <c r="U545" s="1372"/>
      <c r="V545" s="1372"/>
      <c r="W545" s="1372"/>
      <c r="X545" s="1372"/>
      <c r="Y545" s="1372"/>
      <c r="Z545" s="1372"/>
    </row>
    <row r="546" spans="1:26" ht="15.75" customHeight="1" x14ac:dyDescent="0.25">
      <c r="A546" s="1371"/>
      <c r="B546" s="1371"/>
      <c r="C546" s="1371"/>
      <c r="D546" s="1371"/>
      <c r="E546" s="1371"/>
      <c r="F546" s="1371"/>
      <c r="G546" s="1371"/>
      <c r="H546" s="1371"/>
      <c r="I546" s="1372"/>
      <c r="J546" s="1372"/>
      <c r="K546" s="1372"/>
      <c r="L546" s="1372"/>
      <c r="M546" s="1372"/>
      <c r="N546" s="1372"/>
      <c r="O546" s="1372"/>
      <c r="P546" s="1372"/>
      <c r="Q546" s="1372"/>
      <c r="R546" s="1372"/>
      <c r="S546" s="1372"/>
      <c r="T546" s="1372"/>
      <c r="U546" s="1372"/>
      <c r="V546" s="1372"/>
      <c r="W546" s="1372"/>
      <c r="X546" s="1372"/>
      <c r="Y546" s="1372"/>
      <c r="Z546" s="1372"/>
    </row>
    <row r="547" spans="1:26" ht="15.75" customHeight="1" x14ac:dyDescent="0.25">
      <c r="A547" s="1371"/>
      <c r="B547" s="1371"/>
      <c r="C547" s="1371"/>
      <c r="D547" s="1371"/>
      <c r="E547" s="1371"/>
      <c r="F547" s="1371"/>
      <c r="G547" s="1371"/>
      <c r="H547" s="1371"/>
      <c r="I547" s="1372"/>
      <c r="J547" s="1372"/>
      <c r="K547" s="1372"/>
      <c r="L547" s="1372"/>
      <c r="M547" s="1372"/>
      <c r="N547" s="1372"/>
      <c r="O547" s="1372"/>
      <c r="P547" s="1372"/>
      <c r="Q547" s="1372"/>
      <c r="R547" s="1372"/>
      <c r="S547" s="1372"/>
      <c r="T547" s="1372"/>
      <c r="U547" s="1372"/>
      <c r="V547" s="1372"/>
      <c r="W547" s="1372"/>
      <c r="X547" s="1372"/>
      <c r="Y547" s="1372"/>
      <c r="Z547" s="1372"/>
    </row>
    <row r="548" spans="1:26" ht="15.75" customHeight="1" x14ac:dyDescent="0.25">
      <c r="A548" s="1371"/>
      <c r="B548" s="1371"/>
      <c r="C548" s="1371"/>
      <c r="D548" s="1371"/>
      <c r="E548" s="1371"/>
      <c r="F548" s="1371"/>
      <c r="G548" s="1371"/>
      <c r="H548" s="1371"/>
      <c r="I548" s="1372"/>
      <c r="J548" s="1372"/>
      <c r="K548" s="1372"/>
      <c r="L548" s="1372"/>
      <c r="M548" s="1372"/>
      <c r="N548" s="1372"/>
      <c r="O548" s="1372"/>
      <c r="P548" s="1372"/>
      <c r="Q548" s="1372"/>
      <c r="R548" s="1372"/>
      <c r="S548" s="1372"/>
      <c r="T548" s="1372"/>
      <c r="U548" s="1372"/>
      <c r="V548" s="1372"/>
      <c r="W548" s="1372"/>
      <c r="X548" s="1372"/>
      <c r="Y548" s="1372"/>
      <c r="Z548" s="1372"/>
    </row>
    <row r="549" spans="1:26" ht="15.75" customHeight="1" x14ac:dyDescent="0.25">
      <c r="A549" s="1371"/>
      <c r="B549" s="1371"/>
      <c r="C549" s="1371"/>
      <c r="D549" s="1371"/>
      <c r="E549" s="1371"/>
      <c r="F549" s="1371"/>
      <c r="G549" s="1371"/>
      <c r="H549" s="1371"/>
      <c r="I549" s="1372"/>
      <c r="J549" s="1372"/>
      <c r="K549" s="1372"/>
      <c r="L549" s="1372"/>
      <c r="M549" s="1372"/>
      <c r="N549" s="1372"/>
      <c r="O549" s="1372"/>
      <c r="P549" s="1372"/>
      <c r="Q549" s="1372"/>
      <c r="R549" s="1372"/>
      <c r="S549" s="1372"/>
      <c r="T549" s="1372"/>
      <c r="U549" s="1372"/>
      <c r="V549" s="1372"/>
      <c r="W549" s="1372"/>
      <c r="X549" s="1372"/>
      <c r="Y549" s="1372"/>
      <c r="Z549" s="1372"/>
    </row>
    <row r="550" spans="1:26" ht="15.75" customHeight="1" x14ac:dyDescent="0.25">
      <c r="A550" s="1371"/>
      <c r="B550" s="1371"/>
      <c r="C550" s="1371"/>
      <c r="D550" s="1371"/>
      <c r="E550" s="1371"/>
      <c r="F550" s="1371"/>
      <c r="G550" s="1371"/>
      <c r="H550" s="1371"/>
      <c r="I550" s="1372"/>
      <c r="J550" s="1372"/>
      <c r="K550" s="1372"/>
      <c r="L550" s="1372"/>
      <c r="M550" s="1372"/>
      <c r="N550" s="1372"/>
      <c r="O550" s="1372"/>
      <c r="P550" s="1372"/>
      <c r="Q550" s="1372"/>
      <c r="R550" s="1372"/>
      <c r="S550" s="1372"/>
      <c r="T550" s="1372"/>
      <c r="U550" s="1372"/>
      <c r="V550" s="1372"/>
      <c r="W550" s="1372"/>
      <c r="X550" s="1372"/>
      <c r="Y550" s="1372"/>
      <c r="Z550" s="1372"/>
    </row>
    <row r="551" spans="1:26" ht="15.75" customHeight="1" x14ac:dyDescent="0.25">
      <c r="A551" s="1371"/>
      <c r="B551" s="1371"/>
      <c r="C551" s="1371"/>
      <c r="D551" s="1371"/>
      <c r="E551" s="1371"/>
      <c r="F551" s="1371"/>
      <c r="G551" s="1371"/>
      <c r="H551" s="1371"/>
      <c r="I551" s="1372"/>
      <c r="J551" s="1372"/>
      <c r="K551" s="1372"/>
      <c r="L551" s="1372"/>
      <c r="M551" s="1372"/>
      <c r="N551" s="1372"/>
      <c r="O551" s="1372"/>
      <c r="P551" s="1372"/>
      <c r="Q551" s="1372"/>
      <c r="R551" s="1372"/>
      <c r="S551" s="1372"/>
      <c r="T551" s="1372"/>
      <c r="U551" s="1372"/>
      <c r="V551" s="1372"/>
      <c r="W551" s="1372"/>
      <c r="X551" s="1372"/>
      <c r="Y551" s="1372"/>
      <c r="Z551" s="1372"/>
    </row>
    <row r="552" spans="1:26" ht="15.75" customHeight="1" x14ac:dyDescent="0.25">
      <c r="A552" s="1371"/>
      <c r="B552" s="1371"/>
      <c r="C552" s="1371"/>
      <c r="D552" s="1371"/>
      <c r="E552" s="1371"/>
      <c r="F552" s="1371"/>
      <c r="G552" s="1371"/>
      <c r="H552" s="1371"/>
      <c r="I552" s="1372"/>
      <c r="J552" s="1372"/>
      <c r="K552" s="1372"/>
      <c r="L552" s="1372"/>
      <c r="M552" s="1372"/>
      <c r="N552" s="1372"/>
      <c r="O552" s="1372"/>
      <c r="P552" s="1372"/>
      <c r="Q552" s="1372"/>
      <c r="R552" s="1372"/>
      <c r="S552" s="1372"/>
      <c r="T552" s="1372"/>
      <c r="U552" s="1372"/>
      <c r="V552" s="1372"/>
      <c r="W552" s="1372"/>
      <c r="X552" s="1372"/>
      <c r="Y552" s="1372"/>
      <c r="Z552" s="1372"/>
    </row>
    <row r="553" spans="1:26" ht="15.75" customHeight="1" x14ac:dyDescent="0.25">
      <c r="A553" s="1371"/>
      <c r="B553" s="1371"/>
      <c r="C553" s="1371"/>
      <c r="D553" s="1371"/>
      <c r="E553" s="1371"/>
      <c r="F553" s="1371"/>
      <c r="G553" s="1371"/>
      <c r="H553" s="1371"/>
      <c r="I553" s="1372"/>
      <c r="J553" s="1372"/>
      <c r="K553" s="1372"/>
      <c r="L553" s="1372"/>
      <c r="M553" s="1372"/>
      <c r="N553" s="1372"/>
      <c r="O553" s="1372"/>
      <c r="P553" s="1372"/>
      <c r="Q553" s="1372"/>
      <c r="R553" s="1372"/>
      <c r="S553" s="1372"/>
      <c r="T553" s="1372"/>
      <c r="U553" s="1372"/>
      <c r="V553" s="1372"/>
      <c r="W553" s="1372"/>
      <c r="X553" s="1372"/>
      <c r="Y553" s="1372"/>
      <c r="Z553" s="1372"/>
    </row>
    <row r="554" spans="1:26" ht="15.75" customHeight="1" x14ac:dyDescent="0.25">
      <c r="A554" s="1371"/>
      <c r="B554" s="1371"/>
      <c r="C554" s="1371"/>
      <c r="D554" s="1371"/>
      <c r="E554" s="1371"/>
      <c r="F554" s="1371"/>
      <c r="G554" s="1371"/>
      <c r="H554" s="1371"/>
      <c r="I554" s="1372"/>
      <c r="J554" s="1372"/>
      <c r="K554" s="1372"/>
      <c r="L554" s="1372"/>
      <c r="M554" s="1372"/>
      <c r="N554" s="1372"/>
      <c r="O554" s="1372"/>
      <c r="P554" s="1372"/>
      <c r="Q554" s="1372"/>
      <c r="R554" s="1372"/>
      <c r="S554" s="1372"/>
      <c r="T554" s="1372"/>
      <c r="U554" s="1372"/>
      <c r="V554" s="1372"/>
      <c r="W554" s="1372"/>
      <c r="X554" s="1372"/>
      <c r="Y554" s="1372"/>
      <c r="Z554" s="1372"/>
    </row>
    <row r="555" spans="1:26" ht="15.75" customHeight="1" x14ac:dyDescent="0.25">
      <c r="A555" s="1371"/>
      <c r="B555" s="1371"/>
      <c r="C555" s="1371"/>
      <c r="D555" s="1371"/>
      <c r="E555" s="1371"/>
      <c r="F555" s="1371"/>
      <c r="G555" s="1371"/>
      <c r="H555" s="1371"/>
      <c r="I555" s="1372"/>
      <c r="J555" s="1372"/>
      <c r="K555" s="1372"/>
      <c r="L555" s="1372"/>
      <c r="M555" s="1372"/>
      <c r="N555" s="1372"/>
      <c r="O555" s="1372"/>
      <c r="P555" s="1372"/>
      <c r="Q555" s="1372"/>
      <c r="R555" s="1372"/>
      <c r="S555" s="1372"/>
      <c r="T555" s="1372"/>
      <c r="U555" s="1372"/>
      <c r="V555" s="1372"/>
      <c r="W555" s="1372"/>
      <c r="X555" s="1372"/>
      <c r="Y555" s="1372"/>
      <c r="Z555" s="1372"/>
    </row>
    <row r="556" spans="1:26" ht="15.75" customHeight="1" x14ac:dyDescent="0.25">
      <c r="A556" s="1371"/>
      <c r="B556" s="1371"/>
      <c r="C556" s="1371"/>
      <c r="D556" s="1371"/>
      <c r="E556" s="1371"/>
      <c r="F556" s="1371"/>
      <c r="G556" s="1371"/>
      <c r="H556" s="1371"/>
      <c r="I556" s="1372"/>
      <c r="J556" s="1372"/>
      <c r="K556" s="1372"/>
      <c r="L556" s="1372"/>
      <c r="M556" s="1372"/>
      <c r="N556" s="1372"/>
      <c r="O556" s="1372"/>
      <c r="P556" s="1372"/>
      <c r="Q556" s="1372"/>
      <c r="R556" s="1372"/>
      <c r="S556" s="1372"/>
      <c r="T556" s="1372"/>
      <c r="U556" s="1372"/>
      <c r="V556" s="1372"/>
      <c r="W556" s="1372"/>
      <c r="X556" s="1372"/>
      <c r="Y556" s="1372"/>
      <c r="Z556" s="1372"/>
    </row>
    <row r="557" spans="1:26" ht="15.75" customHeight="1" x14ac:dyDescent="0.25">
      <c r="A557" s="1371"/>
      <c r="B557" s="1371"/>
      <c r="C557" s="1371"/>
      <c r="D557" s="1371"/>
      <c r="E557" s="1371"/>
      <c r="F557" s="1371"/>
      <c r="G557" s="1371"/>
      <c r="H557" s="1371"/>
      <c r="I557" s="1372"/>
      <c r="J557" s="1372"/>
      <c r="K557" s="1372"/>
      <c r="L557" s="1372"/>
      <c r="M557" s="1372"/>
      <c r="N557" s="1372"/>
      <c r="O557" s="1372"/>
      <c r="P557" s="1372"/>
      <c r="Q557" s="1372"/>
      <c r="R557" s="1372"/>
      <c r="S557" s="1372"/>
      <c r="T557" s="1372"/>
      <c r="U557" s="1372"/>
      <c r="V557" s="1372"/>
      <c r="W557" s="1372"/>
      <c r="X557" s="1372"/>
      <c r="Y557" s="1372"/>
      <c r="Z557" s="1372"/>
    </row>
    <row r="558" spans="1:26" ht="15.75" customHeight="1" x14ac:dyDescent="0.25">
      <c r="A558" s="1371"/>
      <c r="B558" s="1371"/>
      <c r="C558" s="1371"/>
      <c r="D558" s="1371"/>
      <c r="E558" s="1371"/>
      <c r="F558" s="1371"/>
      <c r="G558" s="1371"/>
      <c r="H558" s="1371"/>
      <c r="I558" s="1372"/>
      <c r="J558" s="1372"/>
      <c r="K558" s="1372"/>
      <c r="L558" s="1372"/>
      <c r="M558" s="1372"/>
      <c r="N558" s="1372"/>
      <c r="O558" s="1372"/>
      <c r="P558" s="1372"/>
      <c r="Q558" s="1372"/>
      <c r="R558" s="1372"/>
      <c r="S558" s="1372"/>
      <c r="T558" s="1372"/>
      <c r="U558" s="1372"/>
      <c r="V558" s="1372"/>
      <c r="W558" s="1372"/>
      <c r="X558" s="1372"/>
      <c r="Y558" s="1372"/>
      <c r="Z558" s="1372"/>
    </row>
    <row r="559" spans="1:26" ht="15.75" customHeight="1" x14ac:dyDescent="0.25">
      <c r="A559" s="1371"/>
      <c r="B559" s="1371"/>
      <c r="C559" s="1371"/>
      <c r="D559" s="1371"/>
      <c r="E559" s="1371"/>
      <c r="F559" s="1371"/>
      <c r="G559" s="1371"/>
      <c r="H559" s="1371"/>
      <c r="I559" s="1372"/>
      <c r="J559" s="1372"/>
      <c r="K559" s="1372"/>
      <c r="L559" s="1372"/>
      <c r="M559" s="1372"/>
      <c r="N559" s="1372"/>
      <c r="O559" s="1372"/>
      <c r="P559" s="1372"/>
      <c r="Q559" s="1372"/>
      <c r="R559" s="1372"/>
      <c r="S559" s="1372"/>
      <c r="T559" s="1372"/>
      <c r="U559" s="1372"/>
      <c r="V559" s="1372"/>
      <c r="W559" s="1372"/>
      <c r="X559" s="1372"/>
      <c r="Y559" s="1372"/>
      <c r="Z559" s="1372"/>
    </row>
    <row r="560" spans="1:26" ht="15.75" customHeight="1" x14ac:dyDescent="0.25">
      <c r="A560" s="1371"/>
      <c r="B560" s="1371"/>
      <c r="C560" s="1371"/>
      <c r="D560" s="1371"/>
      <c r="E560" s="1371"/>
      <c r="F560" s="1371"/>
      <c r="G560" s="1371"/>
      <c r="H560" s="1371"/>
      <c r="I560" s="1372"/>
      <c r="J560" s="1372"/>
      <c r="K560" s="1372"/>
      <c r="L560" s="1372"/>
      <c r="M560" s="1372"/>
      <c r="N560" s="1372"/>
      <c r="O560" s="1372"/>
      <c r="P560" s="1372"/>
      <c r="Q560" s="1372"/>
      <c r="R560" s="1372"/>
      <c r="S560" s="1372"/>
      <c r="T560" s="1372"/>
      <c r="U560" s="1372"/>
      <c r="V560" s="1372"/>
      <c r="W560" s="1372"/>
      <c r="X560" s="1372"/>
      <c r="Y560" s="1372"/>
      <c r="Z560" s="1372"/>
    </row>
    <row r="561" spans="1:26" ht="15.75" customHeight="1" x14ac:dyDescent="0.25">
      <c r="A561" s="1371"/>
      <c r="B561" s="1371"/>
      <c r="C561" s="1371"/>
      <c r="D561" s="1371"/>
      <c r="E561" s="1371"/>
      <c r="F561" s="1371"/>
      <c r="G561" s="1371"/>
      <c r="H561" s="1371"/>
      <c r="I561" s="1372"/>
      <c r="J561" s="1372"/>
      <c r="K561" s="1372"/>
      <c r="L561" s="1372"/>
      <c r="M561" s="1372"/>
      <c r="N561" s="1372"/>
      <c r="O561" s="1372"/>
      <c r="P561" s="1372"/>
      <c r="Q561" s="1372"/>
      <c r="R561" s="1372"/>
      <c r="S561" s="1372"/>
      <c r="T561" s="1372"/>
      <c r="U561" s="1372"/>
      <c r="V561" s="1372"/>
      <c r="W561" s="1372"/>
      <c r="X561" s="1372"/>
      <c r="Y561" s="1372"/>
      <c r="Z561" s="1372"/>
    </row>
    <row r="562" spans="1:26" ht="15.75" customHeight="1" x14ac:dyDescent="0.25">
      <c r="A562" s="1371"/>
      <c r="B562" s="1371"/>
      <c r="C562" s="1371"/>
      <c r="D562" s="1371"/>
      <c r="E562" s="1371"/>
      <c r="F562" s="1371"/>
      <c r="G562" s="1371"/>
      <c r="H562" s="1371"/>
      <c r="I562" s="1372"/>
      <c r="J562" s="1372"/>
      <c r="K562" s="1372"/>
      <c r="L562" s="1372"/>
      <c r="M562" s="1372"/>
      <c r="N562" s="1372"/>
      <c r="O562" s="1372"/>
      <c r="P562" s="1372"/>
      <c r="Q562" s="1372"/>
      <c r="R562" s="1372"/>
      <c r="S562" s="1372"/>
      <c r="T562" s="1372"/>
      <c r="U562" s="1372"/>
      <c r="V562" s="1372"/>
      <c r="W562" s="1372"/>
      <c r="X562" s="1372"/>
      <c r="Y562" s="1372"/>
      <c r="Z562" s="1372"/>
    </row>
    <row r="563" spans="1:26" ht="15.75" customHeight="1" x14ac:dyDescent="0.25">
      <c r="A563" s="1371"/>
      <c r="B563" s="1371"/>
      <c r="C563" s="1371"/>
      <c r="D563" s="1371"/>
      <c r="E563" s="1371"/>
      <c r="F563" s="1371"/>
      <c r="G563" s="1371"/>
      <c r="H563" s="1371"/>
      <c r="I563" s="1372"/>
      <c r="J563" s="1372"/>
      <c r="K563" s="1372"/>
      <c r="L563" s="1372"/>
      <c r="M563" s="1372"/>
      <c r="N563" s="1372"/>
      <c r="O563" s="1372"/>
      <c r="P563" s="1372"/>
      <c r="Q563" s="1372"/>
      <c r="R563" s="1372"/>
      <c r="S563" s="1372"/>
      <c r="T563" s="1372"/>
      <c r="U563" s="1372"/>
      <c r="V563" s="1372"/>
      <c r="W563" s="1372"/>
      <c r="X563" s="1372"/>
      <c r="Y563" s="1372"/>
      <c r="Z563" s="1372"/>
    </row>
    <row r="564" spans="1:26" ht="15.75" customHeight="1" x14ac:dyDescent="0.25">
      <c r="A564" s="1371"/>
      <c r="B564" s="1371"/>
      <c r="C564" s="1371"/>
      <c r="D564" s="1371"/>
      <c r="E564" s="1371"/>
      <c r="F564" s="1371"/>
      <c r="G564" s="1371"/>
      <c r="H564" s="1371"/>
      <c r="I564" s="1372"/>
      <c r="J564" s="1372"/>
      <c r="K564" s="1372"/>
      <c r="L564" s="1372"/>
      <c r="M564" s="1372"/>
      <c r="N564" s="1372"/>
      <c r="O564" s="1372"/>
      <c r="P564" s="1372"/>
      <c r="Q564" s="1372"/>
      <c r="R564" s="1372"/>
      <c r="S564" s="1372"/>
      <c r="T564" s="1372"/>
      <c r="U564" s="1372"/>
      <c r="V564" s="1372"/>
      <c r="W564" s="1372"/>
      <c r="X564" s="1372"/>
      <c r="Y564" s="1372"/>
      <c r="Z564" s="1372"/>
    </row>
    <row r="565" spans="1:26" ht="15.75" customHeight="1" x14ac:dyDescent="0.25">
      <c r="A565" s="1371"/>
      <c r="B565" s="1371"/>
      <c r="C565" s="1371"/>
      <c r="D565" s="1371"/>
      <c r="E565" s="1371"/>
      <c r="F565" s="1371"/>
      <c r="G565" s="1371"/>
      <c r="H565" s="1371"/>
      <c r="I565" s="1372"/>
      <c r="J565" s="1372"/>
      <c r="K565" s="1372"/>
      <c r="L565" s="1372"/>
      <c r="M565" s="1372"/>
      <c r="N565" s="1372"/>
      <c r="O565" s="1372"/>
      <c r="P565" s="1372"/>
      <c r="Q565" s="1372"/>
      <c r="R565" s="1372"/>
      <c r="S565" s="1372"/>
      <c r="T565" s="1372"/>
      <c r="U565" s="1372"/>
      <c r="V565" s="1372"/>
      <c r="W565" s="1372"/>
      <c r="X565" s="1372"/>
      <c r="Y565" s="1372"/>
      <c r="Z565" s="1372"/>
    </row>
    <row r="566" spans="1:26" ht="15.75" customHeight="1" x14ac:dyDescent="0.25">
      <c r="A566" s="1371"/>
      <c r="B566" s="1371"/>
      <c r="C566" s="1371"/>
      <c r="D566" s="1371"/>
      <c r="E566" s="1371"/>
      <c r="F566" s="1371"/>
      <c r="G566" s="1371"/>
      <c r="H566" s="1371"/>
      <c r="I566" s="1372"/>
      <c r="J566" s="1372"/>
      <c r="K566" s="1372"/>
      <c r="L566" s="1372"/>
      <c r="M566" s="1372"/>
      <c r="N566" s="1372"/>
      <c r="O566" s="1372"/>
      <c r="P566" s="1372"/>
      <c r="Q566" s="1372"/>
      <c r="R566" s="1372"/>
      <c r="S566" s="1372"/>
      <c r="T566" s="1372"/>
      <c r="U566" s="1372"/>
      <c r="V566" s="1372"/>
      <c r="W566" s="1372"/>
      <c r="X566" s="1372"/>
      <c r="Y566" s="1372"/>
      <c r="Z566" s="1372"/>
    </row>
    <row r="567" spans="1:26" ht="15.75" customHeight="1" x14ac:dyDescent="0.25">
      <c r="A567" s="1371"/>
      <c r="B567" s="1371"/>
      <c r="C567" s="1371"/>
      <c r="D567" s="1371"/>
      <c r="E567" s="1371"/>
      <c r="F567" s="1371"/>
      <c r="G567" s="1371"/>
      <c r="H567" s="1371"/>
      <c r="I567" s="1372"/>
      <c r="J567" s="1372"/>
      <c r="K567" s="1372"/>
      <c r="L567" s="1372"/>
      <c r="M567" s="1372"/>
      <c r="N567" s="1372"/>
      <c r="O567" s="1372"/>
      <c r="P567" s="1372"/>
      <c r="Q567" s="1372"/>
      <c r="R567" s="1372"/>
      <c r="S567" s="1372"/>
      <c r="T567" s="1372"/>
      <c r="U567" s="1372"/>
      <c r="V567" s="1372"/>
      <c r="W567" s="1372"/>
      <c r="X567" s="1372"/>
      <c r="Y567" s="1372"/>
      <c r="Z567" s="1372"/>
    </row>
    <row r="568" spans="1:26" ht="15.75" customHeight="1" x14ac:dyDescent="0.25">
      <c r="A568" s="1371"/>
      <c r="B568" s="1371"/>
      <c r="C568" s="1371"/>
      <c r="D568" s="1371"/>
      <c r="E568" s="1371"/>
      <c r="F568" s="1371"/>
      <c r="G568" s="1371"/>
      <c r="H568" s="1371"/>
      <c r="I568" s="1372"/>
      <c r="J568" s="1372"/>
      <c r="K568" s="1372"/>
      <c r="L568" s="1372"/>
      <c r="M568" s="1372"/>
      <c r="N568" s="1372"/>
      <c r="O568" s="1372"/>
      <c r="P568" s="1372"/>
      <c r="Q568" s="1372"/>
      <c r="R568" s="1372"/>
      <c r="S568" s="1372"/>
      <c r="T568" s="1372"/>
      <c r="U568" s="1372"/>
      <c r="V568" s="1372"/>
      <c r="W568" s="1372"/>
      <c r="X568" s="1372"/>
      <c r="Y568" s="1372"/>
      <c r="Z568" s="1372"/>
    </row>
    <row r="569" spans="1:26" ht="15.75" customHeight="1" x14ac:dyDescent="0.25">
      <c r="A569" s="1371"/>
      <c r="B569" s="1371"/>
      <c r="C569" s="1371"/>
      <c r="D569" s="1371"/>
      <c r="E569" s="1371"/>
      <c r="F569" s="1371"/>
      <c r="G569" s="1371"/>
      <c r="H569" s="1371"/>
      <c r="I569" s="1372"/>
      <c r="J569" s="1372"/>
      <c r="K569" s="1372"/>
      <c r="L569" s="1372"/>
      <c r="M569" s="1372"/>
      <c r="N569" s="1372"/>
      <c r="O569" s="1372"/>
      <c r="P569" s="1372"/>
      <c r="Q569" s="1372"/>
      <c r="R569" s="1372"/>
      <c r="S569" s="1372"/>
      <c r="T569" s="1372"/>
      <c r="U569" s="1372"/>
      <c r="V569" s="1372"/>
      <c r="W569" s="1372"/>
      <c r="X569" s="1372"/>
      <c r="Y569" s="1372"/>
      <c r="Z569" s="1372"/>
    </row>
    <row r="570" spans="1:26" ht="15.75" customHeight="1" x14ac:dyDescent="0.25">
      <c r="A570" s="1371"/>
      <c r="B570" s="1371"/>
      <c r="C570" s="1371"/>
      <c r="D570" s="1371"/>
      <c r="E570" s="1371"/>
      <c r="F570" s="1371"/>
      <c r="G570" s="1371"/>
      <c r="H570" s="1371"/>
      <c r="I570" s="1372"/>
      <c r="J570" s="1372"/>
      <c r="K570" s="1372"/>
      <c r="L570" s="1372"/>
      <c r="M570" s="1372"/>
      <c r="N570" s="1372"/>
      <c r="O570" s="1372"/>
      <c r="P570" s="1372"/>
      <c r="Q570" s="1372"/>
      <c r="R570" s="1372"/>
      <c r="S570" s="1372"/>
      <c r="T570" s="1372"/>
      <c r="U570" s="1372"/>
      <c r="V570" s="1372"/>
      <c r="W570" s="1372"/>
      <c r="X570" s="1372"/>
      <c r="Y570" s="1372"/>
      <c r="Z570" s="1372"/>
    </row>
    <row r="571" spans="1:26" ht="15.75" customHeight="1" x14ac:dyDescent="0.25">
      <c r="A571" s="1371"/>
      <c r="B571" s="1371"/>
      <c r="C571" s="1371"/>
      <c r="D571" s="1371"/>
      <c r="E571" s="1371"/>
      <c r="F571" s="1371"/>
      <c r="G571" s="1371"/>
      <c r="H571" s="1371"/>
      <c r="I571" s="1372"/>
      <c r="J571" s="1372"/>
      <c r="K571" s="1372"/>
      <c r="L571" s="1372"/>
      <c r="M571" s="1372"/>
      <c r="N571" s="1372"/>
      <c r="O571" s="1372"/>
      <c r="P571" s="1372"/>
      <c r="Q571" s="1372"/>
      <c r="R571" s="1372"/>
      <c r="S571" s="1372"/>
      <c r="T571" s="1372"/>
      <c r="U571" s="1372"/>
      <c r="V571" s="1372"/>
      <c r="W571" s="1372"/>
      <c r="X571" s="1372"/>
      <c r="Y571" s="1372"/>
      <c r="Z571" s="1372"/>
    </row>
    <row r="572" spans="1:26" ht="15.75" customHeight="1" x14ac:dyDescent="0.25">
      <c r="A572" s="1371"/>
      <c r="B572" s="1371"/>
      <c r="C572" s="1371"/>
      <c r="D572" s="1371"/>
      <c r="E572" s="1371"/>
      <c r="F572" s="1371"/>
      <c r="G572" s="1371"/>
      <c r="H572" s="1371"/>
      <c r="I572" s="1372"/>
      <c r="J572" s="1372"/>
      <c r="K572" s="1372"/>
      <c r="L572" s="1372"/>
      <c r="M572" s="1372"/>
      <c r="N572" s="1372"/>
      <c r="O572" s="1372"/>
      <c r="P572" s="1372"/>
      <c r="Q572" s="1372"/>
      <c r="R572" s="1372"/>
      <c r="S572" s="1372"/>
      <c r="T572" s="1372"/>
      <c r="U572" s="1372"/>
      <c r="V572" s="1372"/>
      <c r="W572" s="1372"/>
      <c r="X572" s="1372"/>
      <c r="Y572" s="1372"/>
      <c r="Z572" s="1372"/>
    </row>
    <row r="573" spans="1:26" ht="15.75" customHeight="1" x14ac:dyDescent="0.25">
      <c r="A573" s="1371"/>
      <c r="B573" s="1371"/>
      <c r="C573" s="1371"/>
      <c r="D573" s="1371"/>
      <c r="E573" s="1371"/>
      <c r="F573" s="1371"/>
      <c r="G573" s="1371"/>
      <c r="H573" s="1371"/>
      <c r="I573" s="1372"/>
      <c r="J573" s="1372"/>
      <c r="K573" s="1372"/>
      <c r="L573" s="1372"/>
      <c r="M573" s="1372"/>
      <c r="N573" s="1372"/>
      <c r="O573" s="1372"/>
      <c r="P573" s="1372"/>
      <c r="Q573" s="1372"/>
      <c r="R573" s="1372"/>
      <c r="S573" s="1372"/>
      <c r="T573" s="1372"/>
      <c r="U573" s="1372"/>
      <c r="V573" s="1372"/>
      <c r="W573" s="1372"/>
      <c r="X573" s="1372"/>
      <c r="Y573" s="1372"/>
      <c r="Z573" s="1372"/>
    </row>
    <row r="574" spans="1:26" ht="15.75" customHeight="1" x14ac:dyDescent="0.25">
      <c r="A574" s="1371"/>
      <c r="B574" s="1371"/>
      <c r="C574" s="1371"/>
      <c r="D574" s="1371"/>
      <c r="E574" s="1371"/>
      <c r="F574" s="1371"/>
      <c r="G574" s="1371"/>
      <c r="H574" s="1371"/>
      <c r="I574" s="1372"/>
      <c r="J574" s="1372"/>
      <c r="K574" s="1372"/>
      <c r="L574" s="1372"/>
      <c r="M574" s="1372"/>
      <c r="N574" s="1372"/>
      <c r="O574" s="1372"/>
      <c r="P574" s="1372"/>
      <c r="Q574" s="1372"/>
      <c r="R574" s="1372"/>
      <c r="S574" s="1372"/>
      <c r="T574" s="1372"/>
      <c r="U574" s="1372"/>
      <c r="V574" s="1372"/>
      <c r="W574" s="1372"/>
      <c r="X574" s="1372"/>
      <c r="Y574" s="1372"/>
      <c r="Z574" s="1372"/>
    </row>
    <row r="575" spans="1:26" ht="15.75" customHeight="1" x14ac:dyDescent="0.25">
      <c r="A575" s="1371"/>
      <c r="B575" s="1371"/>
      <c r="C575" s="1371"/>
      <c r="D575" s="1371"/>
      <c r="E575" s="1371"/>
      <c r="F575" s="1371"/>
      <c r="G575" s="1371"/>
      <c r="H575" s="1371"/>
      <c r="I575" s="1372"/>
      <c r="J575" s="1372"/>
      <c r="K575" s="1372"/>
      <c r="L575" s="1372"/>
      <c r="M575" s="1372"/>
      <c r="N575" s="1372"/>
      <c r="O575" s="1372"/>
      <c r="P575" s="1372"/>
      <c r="Q575" s="1372"/>
      <c r="R575" s="1372"/>
      <c r="S575" s="1372"/>
      <c r="T575" s="1372"/>
      <c r="U575" s="1372"/>
      <c r="V575" s="1372"/>
      <c r="W575" s="1372"/>
      <c r="X575" s="1372"/>
      <c r="Y575" s="1372"/>
      <c r="Z575" s="1372"/>
    </row>
    <row r="576" spans="1:26" ht="15.75" customHeight="1" x14ac:dyDescent="0.25">
      <c r="A576" s="1371"/>
      <c r="B576" s="1371"/>
      <c r="C576" s="1371"/>
      <c r="D576" s="1371"/>
      <c r="E576" s="1371"/>
      <c r="F576" s="1371"/>
      <c r="G576" s="1371"/>
      <c r="H576" s="1371"/>
      <c r="I576" s="1372"/>
      <c r="J576" s="1372"/>
      <c r="K576" s="1372"/>
      <c r="L576" s="1372"/>
      <c r="M576" s="1372"/>
      <c r="N576" s="1372"/>
      <c r="O576" s="1372"/>
      <c r="P576" s="1372"/>
      <c r="Q576" s="1372"/>
      <c r="R576" s="1372"/>
      <c r="S576" s="1372"/>
      <c r="T576" s="1372"/>
      <c r="U576" s="1372"/>
      <c r="V576" s="1372"/>
      <c r="W576" s="1372"/>
      <c r="X576" s="1372"/>
      <c r="Y576" s="1372"/>
      <c r="Z576" s="1372"/>
    </row>
    <row r="577" spans="1:26" ht="15.75" customHeight="1" x14ac:dyDescent="0.25">
      <c r="A577" s="1371"/>
      <c r="B577" s="1371"/>
      <c r="C577" s="1371"/>
      <c r="D577" s="1371"/>
      <c r="E577" s="1371"/>
      <c r="F577" s="1371"/>
      <c r="G577" s="1371"/>
      <c r="H577" s="1371"/>
      <c r="I577" s="1372"/>
      <c r="J577" s="1372"/>
      <c r="K577" s="1372"/>
      <c r="L577" s="1372"/>
      <c r="M577" s="1372"/>
      <c r="N577" s="1372"/>
      <c r="O577" s="1372"/>
      <c r="P577" s="1372"/>
      <c r="Q577" s="1372"/>
      <c r="R577" s="1372"/>
      <c r="S577" s="1372"/>
      <c r="T577" s="1372"/>
      <c r="U577" s="1372"/>
      <c r="V577" s="1372"/>
      <c r="W577" s="1372"/>
      <c r="X577" s="1372"/>
      <c r="Y577" s="1372"/>
      <c r="Z577" s="1372"/>
    </row>
    <row r="578" spans="1:26" ht="15.75" customHeight="1" x14ac:dyDescent="0.25">
      <c r="A578" s="1371"/>
      <c r="B578" s="1371"/>
      <c r="C578" s="1371"/>
      <c r="D578" s="1371"/>
      <c r="E578" s="1371"/>
      <c r="F578" s="1371"/>
      <c r="G578" s="1371"/>
      <c r="H578" s="1371"/>
      <c r="I578" s="1372"/>
      <c r="J578" s="1372"/>
      <c r="K578" s="1372"/>
      <c r="L578" s="1372"/>
      <c r="M578" s="1372"/>
      <c r="N578" s="1372"/>
      <c r="O578" s="1372"/>
      <c r="P578" s="1372"/>
      <c r="Q578" s="1372"/>
      <c r="R578" s="1372"/>
      <c r="S578" s="1372"/>
      <c r="T578" s="1372"/>
      <c r="U578" s="1372"/>
      <c r="V578" s="1372"/>
      <c r="W578" s="1372"/>
      <c r="X578" s="1372"/>
      <c r="Y578" s="1372"/>
      <c r="Z578" s="1372"/>
    </row>
    <row r="579" spans="1:26" ht="15.75" customHeight="1" x14ac:dyDescent="0.25">
      <c r="A579" s="1371"/>
      <c r="B579" s="1371"/>
      <c r="C579" s="1371"/>
      <c r="D579" s="1371"/>
      <c r="E579" s="1371"/>
      <c r="F579" s="1371"/>
      <c r="G579" s="1371"/>
      <c r="H579" s="1371"/>
      <c r="I579" s="1372"/>
      <c r="J579" s="1372"/>
      <c r="K579" s="1372"/>
      <c r="L579" s="1372"/>
      <c r="M579" s="1372"/>
      <c r="N579" s="1372"/>
      <c r="O579" s="1372"/>
      <c r="P579" s="1372"/>
      <c r="Q579" s="1372"/>
      <c r="R579" s="1372"/>
      <c r="S579" s="1372"/>
      <c r="T579" s="1372"/>
      <c r="U579" s="1372"/>
      <c r="V579" s="1372"/>
      <c r="W579" s="1372"/>
      <c r="X579" s="1372"/>
      <c r="Y579" s="1372"/>
      <c r="Z579" s="1372"/>
    </row>
    <row r="580" spans="1:26" ht="15.75" customHeight="1" x14ac:dyDescent="0.25">
      <c r="A580" s="1371"/>
      <c r="B580" s="1371"/>
      <c r="C580" s="1371"/>
      <c r="D580" s="1371"/>
      <c r="E580" s="1371"/>
      <c r="F580" s="1371"/>
      <c r="G580" s="1371"/>
      <c r="H580" s="1371"/>
      <c r="I580" s="1372"/>
      <c r="J580" s="1372"/>
      <c r="K580" s="1372"/>
      <c r="L580" s="1372"/>
      <c r="M580" s="1372"/>
      <c r="N580" s="1372"/>
      <c r="O580" s="1372"/>
      <c r="P580" s="1372"/>
      <c r="Q580" s="1372"/>
      <c r="R580" s="1372"/>
      <c r="S580" s="1372"/>
      <c r="T580" s="1372"/>
      <c r="U580" s="1372"/>
      <c r="V580" s="1372"/>
      <c r="W580" s="1372"/>
      <c r="X580" s="1372"/>
      <c r="Y580" s="1372"/>
      <c r="Z580" s="1372"/>
    </row>
    <row r="581" spans="1:26" ht="15.75" customHeight="1" x14ac:dyDescent="0.25">
      <c r="A581" s="1371"/>
      <c r="B581" s="1371"/>
      <c r="C581" s="1371"/>
      <c r="D581" s="1371"/>
      <c r="E581" s="1371"/>
      <c r="F581" s="1371"/>
      <c r="G581" s="1371"/>
      <c r="H581" s="1371"/>
      <c r="I581" s="1372"/>
      <c r="J581" s="1372"/>
      <c r="K581" s="1372"/>
      <c r="L581" s="1372"/>
      <c r="M581" s="1372"/>
      <c r="N581" s="1372"/>
      <c r="O581" s="1372"/>
      <c r="P581" s="1372"/>
      <c r="Q581" s="1372"/>
      <c r="R581" s="1372"/>
      <c r="S581" s="1372"/>
      <c r="T581" s="1372"/>
      <c r="U581" s="1372"/>
      <c r="V581" s="1372"/>
      <c r="W581" s="1372"/>
      <c r="X581" s="1372"/>
      <c r="Y581" s="1372"/>
      <c r="Z581" s="1372"/>
    </row>
    <row r="582" spans="1:26" ht="15.75" customHeight="1" x14ac:dyDescent="0.25">
      <c r="A582" s="1371"/>
      <c r="B582" s="1371"/>
      <c r="C582" s="1371"/>
      <c r="D582" s="1371"/>
      <c r="E582" s="1371"/>
      <c r="F582" s="1371"/>
      <c r="G582" s="1371"/>
      <c r="H582" s="1371"/>
      <c r="I582" s="1372"/>
      <c r="J582" s="1372"/>
      <c r="K582" s="1372"/>
      <c r="L582" s="1372"/>
      <c r="M582" s="1372"/>
      <c r="N582" s="1372"/>
      <c r="O582" s="1372"/>
      <c r="P582" s="1372"/>
      <c r="Q582" s="1372"/>
      <c r="R582" s="1372"/>
      <c r="S582" s="1372"/>
      <c r="T582" s="1372"/>
      <c r="U582" s="1372"/>
      <c r="V582" s="1372"/>
      <c r="W582" s="1372"/>
      <c r="X582" s="1372"/>
      <c r="Y582" s="1372"/>
      <c r="Z582" s="1372"/>
    </row>
    <row r="583" spans="1:26" ht="15.75" customHeight="1" x14ac:dyDescent="0.25">
      <c r="A583" s="1371"/>
      <c r="B583" s="1371"/>
      <c r="C583" s="1371"/>
      <c r="D583" s="1371"/>
      <c r="E583" s="1371"/>
      <c r="F583" s="1371"/>
      <c r="G583" s="1371"/>
      <c r="H583" s="1371"/>
      <c r="I583" s="1372"/>
      <c r="J583" s="1372"/>
      <c r="K583" s="1372"/>
      <c r="L583" s="1372"/>
      <c r="M583" s="1372"/>
      <c r="N583" s="1372"/>
      <c r="O583" s="1372"/>
      <c r="P583" s="1372"/>
      <c r="Q583" s="1372"/>
      <c r="R583" s="1372"/>
      <c r="S583" s="1372"/>
      <c r="T583" s="1372"/>
      <c r="U583" s="1372"/>
      <c r="V583" s="1372"/>
      <c r="W583" s="1372"/>
      <c r="X583" s="1372"/>
      <c r="Y583" s="1372"/>
      <c r="Z583" s="1372"/>
    </row>
    <row r="584" spans="1:26" ht="15.75" customHeight="1" x14ac:dyDescent="0.25">
      <c r="A584" s="1371"/>
      <c r="B584" s="1371"/>
      <c r="C584" s="1371"/>
      <c r="D584" s="1371"/>
      <c r="E584" s="1371"/>
      <c r="F584" s="1371"/>
      <c r="G584" s="1371"/>
      <c r="H584" s="1371"/>
      <c r="I584" s="1372"/>
      <c r="J584" s="1372"/>
      <c r="K584" s="1372"/>
      <c r="L584" s="1372"/>
      <c r="M584" s="1372"/>
      <c r="N584" s="1372"/>
      <c r="O584" s="1372"/>
      <c r="P584" s="1372"/>
      <c r="Q584" s="1372"/>
      <c r="R584" s="1372"/>
      <c r="S584" s="1372"/>
      <c r="T584" s="1372"/>
      <c r="U584" s="1372"/>
      <c r="V584" s="1372"/>
      <c r="W584" s="1372"/>
      <c r="X584" s="1372"/>
      <c r="Y584" s="1372"/>
      <c r="Z584" s="1372"/>
    </row>
    <row r="585" spans="1:26" ht="15.75" customHeight="1" x14ac:dyDescent="0.25">
      <c r="A585" s="1371"/>
      <c r="B585" s="1371"/>
      <c r="C585" s="1371"/>
      <c r="D585" s="1371"/>
      <c r="E585" s="1371"/>
      <c r="F585" s="1371"/>
      <c r="G585" s="1371"/>
      <c r="H585" s="1371"/>
      <c r="I585" s="1372"/>
      <c r="J585" s="1372"/>
      <c r="K585" s="1372"/>
      <c r="L585" s="1372"/>
      <c r="M585" s="1372"/>
      <c r="N585" s="1372"/>
      <c r="O585" s="1372"/>
      <c r="P585" s="1372"/>
      <c r="Q585" s="1372"/>
      <c r="R585" s="1372"/>
      <c r="S585" s="1372"/>
      <c r="T585" s="1372"/>
      <c r="U585" s="1372"/>
      <c r="V585" s="1372"/>
      <c r="W585" s="1372"/>
      <c r="X585" s="1372"/>
      <c r="Y585" s="1372"/>
      <c r="Z585" s="1372"/>
    </row>
    <row r="586" spans="1:26" ht="15.75" customHeight="1" x14ac:dyDescent="0.25">
      <c r="A586" s="1371"/>
      <c r="B586" s="1371"/>
      <c r="C586" s="1371"/>
      <c r="D586" s="1371"/>
      <c r="E586" s="1371"/>
      <c r="F586" s="1371"/>
      <c r="G586" s="1371"/>
      <c r="H586" s="1371"/>
      <c r="I586" s="1372"/>
      <c r="J586" s="1372"/>
      <c r="K586" s="1372"/>
      <c r="L586" s="1372"/>
      <c r="M586" s="1372"/>
      <c r="N586" s="1372"/>
      <c r="O586" s="1372"/>
      <c r="P586" s="1372"/>
      <c r="Q586" s="1372"/>
      <c r="R586" s="1372"/>
      <c r="S586" s="1372"/>
      <c r="T586" s="1372"/>
      <c r="U586" s="1372"/>
      <c r="V586" s="1372"/>
      <c r="W586" s="1372"/>
      <c r="X586" s="1372"/>
      <c r="Y586" s="1372"/>
      <c r="Z586" s="1372"/>
    </row>
    <row r="587" spans="1:26" ht="15.75" customHeight="1" x14ac:dyDescent="0.25">
      <c r="A587" s="1371"/>
      <c r="B587" s="1371"/>
      <c r="C587" s="1371"/>
      <c r="D587" s="1371"/>
      <c r="E587" s="1371"/>
      <c r="F587" s="1371"/>
      <c r="G587" s="1371"/>
      <c r="H587" s="1371"/>
      <c r="I587" s="1372"/>
      <c r="J587" s="1372"/>
      <c r="K587" s="1372"/>
      <c r="L587" s="1372"/>
      <c r="M587" s="1372"/>
      <c r="N587" s="1372"/>
      <c r="O587" s="1372"/>
      <c r="P587" s="1372"/>
      <c r="Q587" s="1372"/>
      <c r="R587" s="1372"/>
      <c r="S587" s="1372"/>
      <c r="T587" s="1372"/>
      <c r="U587" s="1372"/>
      <c r="V587" s="1372"/>
      <c r="W587" s="1372"/>
      <c r="X587" s="1372"/>
      <c r="Y587" s="1372"/>
      <c r="Z587" s="1372"/>
    </row>
    <row r="588" spans="1:26" ht="15.75" customHeight="1" x14ac:dyDescent="0.25">
      <c r="A588" s="1371"/>
      <c r="B588" s="1371"/>
      <c r="C588" s="1371"/>
      <c r="D588" s="1371"/>
      <c r="E588" s="1371"/>
      <c r="F588" s="1371"/>
      <c r="G588" s="1371"/>
      <c r="H588" s="1371"/>
      <c r="I588" s="1372"/>
      <c r="J588" s="1372"/>
      <c r="K588" s="1372"/>
      <c r="L588" s="1372"/>
      <c r="M588" s="1372"/>
      <c r="N588" s="1372"/>
      <c r="O588" s="1372"/>
      <c r="P588" s="1372"/>
      <c r="Q588" s="1372"/>
      <c r="R588" s="1372"/>
      <c r="S588" s="1372"/>
      <c r="T588" s="1372"/>
      <c r="U588" s="1372"/>
      <c r="V588" s="1372"/>
      <c r="W588" s="1372"/>
      <c r="X588" s="1372"/>
      <c r="Y588" s="1372"/>
      <c r="Z588" s="1372"/>
    </row>
    <row r="589" spans="1:26" ht="15.75" customHeight="1" x14ac:dyDescent="0.25">
      <c r="A589" s="1371"/>
      <c r="B589" s="1371"/>
      <c r="C589" s="1371"/>
      <c r="D589" s="1371"/>
      <c r="E589" s="1371"/>
      <c r="F589" s="1371"/>
      <c r="G589" s="1371"/>
      <c r="H589" s="1371"/>
      <c r="I589" s="1372"/>
      <c r="J589" s="1372"/>
      <c r="K589" s="1372"/>
      <c r="L589" s="1372"/>
      <c r="M589" s="1372"/>
      <c r="N589" s="1372"/>
      <c r="O589" s="1372"/>
      <c r="P589" s="1372"/>
      <c r="Q589" s="1372"/>
      <c r="R589" s="1372"/>
      <c r="S589" s="1372"/>
      <c r="T589" s="1372"/>
      <c r="U589" s="1372"/>
      <c r="V589" s="1372"/>
      <c r="W589" s="1372"/>
      <c r="X589" s="1372"/>
      <c r="Y589" s="1372"/>
      <c r="Z589" s="1372"/>
    </row>
    <row r="590" spans="1:26" ht="15.75" customHeight="1" x14ac:dyDescent="0.25">
      <c r="A590" s="1371"/>
      <c r="B590" s="1371"/>
      <c r="C590" s="1371"/>
      <c r="D590" s="1371"/>
      <c r="E590" s="1371"/>
      <c r="F590" s="1371"/>
      <c r="G590" s="1371"/>
      <c r="H590" s="1371"/>
      <c r="I590" s="1372"/>
      <c r="J590" s="1372"/>
      <c r="K590" s="1372"/>
      <c r="L590" s="1372"/>
      <c r="M590" s="1372"/>
      <c r="N590" s="1372"/>
      <c r="O590" s="1372"/>
      <c r="P590" s="1372"/>
      <c r="Q590" s="1372"/>
      <c r="R590" s="1372"/>
      <c r="S590" s="1372"/>
      <c r="T590" s="1372"/>
      <c r="U590" s="1372"/>
      <c r="V590" s="1372"/>
      <c r="W590" s="1372"/>
      <c r="X590" s="1372"/>
      <c r="Y590" s="1372"/>
      <c r="Z590" s="1372"/>
    </row>
    <row r="591" spans="1:26" ht="15.75" customHeight="1" x14ac:dyDescent="0.25">
      <c r="A591" s="1371"/>
      <c r="B591" s="1371"/>
      <c r="C591" s="1371"/>
      <c r="D591" s="1371"/>
      <c r="E591" s="1371"/>
      <c r="F591" s="1371"/>
      <c r="G591" s="1371"/>
      <c r="H591" s="1371"/>
      <c r="I591" s="1372"/>
      <c r="J591" s="1372"/>
      <c r="K591" s="1372"/>
      <c r="L591" s="1372"/>
      <c r="M591" s="1372"/>
      <c r="N591" s="1372"/>
      <c r="O591" s="1372"/>
      <c r="P591" s="1372"/>
      <c r="Q591" s="1372"/>
      <c r="R591" s="1372"/>
      <c r="S591" s="1372"/>
      <c r="T591" s="1372"/>
      <c r="U591" s="1372"/>
      <c r="V591" s="1372"/>
      <c r="W591" s="1372"/>
      <c r="X591" s="1372"/>
      <c r="Y591" s="1372"/>
      <c r="Z591" s="1372"/>
    </row>
    <row r="592" spans="1:26" ht="15.75" customHeight="1" x14ac:dyDescent="0.25">
      <c r="A592" s="1371"/>
      <c r="B592" s="1371"/>
      <c r="C592" s="1371"/>
      <c r="D592" s="1371"/>
      <c r="E592" s="1371"/>
      <c r="F592" s="1371"/>
      <c r="G592" s="1371"/>
      <c r="H592" s="1371"/>
      <c r="I592" s="1372"/>
      <c r="J592" s="1372"/>
      <c r="K592" s="1372"/>
      <c r="L592" s="1372"/>
      <c r="M592" s="1372"/>
      <c r="N592" s="1372"/>
      <c r="O592" s="1372"/>
      <c r="P592" s="1372"/>
      <c r="Q592" s="1372"/>
      <c r="R592" s="1372"/>
      <c r="S592" s="1372"/>
      <c r="T592" s="1372"/>
      <c r="U592" s="1372"/>
      <c r="V592" s="1372"/>
      <c r="W592" s="1372"/>
      <c r="X592" s="1372"/>
      <c r="Y592" s="1372"/>
      <c r="Z592" s="1372"/>
    </row>
    <row r="593" spans="1:26" ht="15.75" customHeight="1" x14ac:dyDescent="0.25">
      <c r="A593" s="1371"/>
      <c r="B593" s="1371"/>
      <c r="C593" s="1371"/>
      <c r="D593" s="1371"/>
      <c r="E593" s="1371"/>
      <c r="F593" s="1371"/>
      <c r="G593" s="1371"/>
      <c r="H593" s="1371"/>
      <c r="I593" s="1372"/>
      <c r="J593" s="1372"/>
      <c r="K593" s="1372"/>
      <c r="L593" s="1372"/>
      <c r="M593" s="1372"/>
      <c r="N593" s="1372"/>
      <c r="O593" s="1372"/>
      <c r="P593" s="1372"/>
      <c r="Q593" s="1372"/>
      <c r="R593" s="1372"/>
      <c r="S593" s="1372"/>
      <c r="T593" s="1372"/>
      <c r="U593" s="1372"/>
      <c r="V593" s="1372"/>
      <c r="W593" s="1372"/>
      <c r="X593" s="1372"/>
      <c r="Y593" s="1372"/>
      <c r="Z593" s="1372"/>
    </row>
    <row r="594" spans="1:26" ht="15.75" customHeight="1" x14ac:dyDescent="0.25">
      <c r="A594" s="1371"/>
      <c r="B594" s="1371"/>
      <c r="C594" s="1371"/>
      <c r="D594" s="1371"/>
      <c r="E594" s="1371"/>
      <c r="F594" s="1371"/>
      <c r="G594" s="1371"/>
      <c r="H594" s="1371"/>
      <c r="I594" s="1372"/>
      <c r="J594" s="1372"/>
      <c r="K594" s="1372"/>
      <c r="L594" s="1372"/>
      <c r="M594" s="1372"/>
      <c r="N594" s="1372"/>
      <c r="O594" s="1372"/>
      <c r="P594" s="1372"/>
      <c r="Q594" s="1372"/>
      <c r="R594" s="1372"/>
      <c r="S594" s="1372"/>
      <c r="T594" s="1372"/>
      <c r="U594" s="1372"/>
      <c r="V594" s="1372"/>
      <c r="W594" s="1372"/>
      <c r="X594" s="1372"/>
      <c r="Y594" s="1372"/>
      <c r="Z594" s="1372"/>
    </row>
    <row r="595" spans="1:26" ht="15.75" customHeight="1" x14ac:dyDescent="0.25">
      <c r="A595" s="1371"/>
      <c r="B595" s="1371"/>
      <c r="C595" s="1371"/>
      <c r="D595" s="1371"/>
      <c r="E595" s="1371"/>
      <c r="F595" s="1371"/>
      <c r="G595" s="1371"/>
      <c r="H595" s="1371"/>
      <c r="I595" s="1372"/>
      <c r="J595" s="1372"/>
      <c r="K595" s="1372"/>
      <c r="L595" s="1372"/>
      <c r="M595" s="1372"/>
      <c r="N595" s="1372"/>
      <c r="O595" s="1372"/>
      <c r="P595" s="1372"/>
      <c r="Q595" s="1372"/>
      <c r="R595" s="1372"/>
      <c r="S595" s="1372"/>
      <c r="T595" s="1372"/>
      <c r="U595" s="1372"/>
      <c r="V595" s="1372"/>
      <c r="W595" s="1372"/>
      <c r="X595" s="1372"/>
      <c r="Y595" s="1372"/>
      <c r="Z595" s="1372"/>
    </row>
    <row r="596" spans="1:26" ht="15.75" customHeight="1" x14ac:dyDescent="0.25">
      <c r="A596" s="1371"/>
      <c r="B596" s="1371"/>
      <c r="C596" s="1371"/>
      <c r="D596" s="1371"/>
      <c r="E596" s="1371"/>
      <c r="F596" s="1371"/>
      <c r="G596" s="1371"/>
      <c r="H596" s="1371"/>
      <c r="I596" s="1372"/>
      <c r="J596" s="1372"/>
      <c r="K596" s="1372"/>
      <c r="L596" s="1372"/>
      <c r="M596" s="1372"/>
      <c r="N596" s="1372"/>
      <c r="O596" s="1372"/>
      <c r="P596" s="1372"/>
      <c r="Q596" s="1372"/>
      <c r="R596" s="1372"/>
      <c r="S596" s="1372"/>
      <c r="T596" s="1372"/>
      <c r="U596" s="1372"/>
      <c r="V596" s="1372"/>
      <c r="W596" s="1372"/>
      <c r="X596" s="1372"/>
      <c r="Y596" s="1372"/>
      <c r="Z596" s="1372"/>
    </row>
    <row r="597" spans="1:26" ht="15.75" customHeight="1" x14ac:dyDescent="0.25">
      <c r="A597" s="1371"/>
      <c r="B597" s="1371"/>
      <c r="C597" s="1371"/>
      <c r="D597" s="1371"/>
      <c r="E597" s="1371"/>
      <c r="F597" s="1371"/>
      <c r="G597" s="1371"/>
      <c r="H597" s="1371"/>
      <c r="I597" s="1372"/>
      <c r="J597" s="1372"/>
      <c r="K597" s="1372"/>
      <c r="L597" s="1372"/>
      <c r="M597" s="1372"/>
      <c r="N597" s="1372"/>
      <c r="O597" s="1372"/>
      <c r="P597" s="1372"/>
      <c r="Q597" s="1372"/>
      <c r="R597" s="1372"/>
      <c r="S597" s="1372"/>
      <c r="T597" s="1372"/>
      <c r="U597" s="1372"/>
      <c r="V597" s="1372"/>
      <c r="W597" s="1372"/>
      <c r="X597" s="1372"/>
      <c r="Y597" s="1372"/>
      <c r="Z597" s="1372"/>
    </row>
    <row r="598" spans="1:26" ht="15.75" customHeight="1" x14ac:dyDescent="0.25">
      <c r="A598" s="1371"/>
      <c r="B598" s="1371"/>
      <c r="C598" s="1371"/>
      <c r="D598" s="1371"/>
      <c r="E598" s="1371"/>
      <c r="F598" s="1371"/>
      <c r="G598" s="1371"/>
      <c r="H598" s="1371"/>
      <c r="I598" s="1372"/>
      <c r="J598" s="1372"/>
      <c r="K598" s="1372"/>
      <c r="L598" s="1372"/>
      <c r="M598" s="1372"/>
      <c r="N598" s="1372"/>
      <c r="O598" s="1372"/>
      <c r="P598" s="1372"/>
      <c r="Q598" s="1372"/>
      <c r="R598" s="1372"/>
      <c r="S598" s="1372"/>
      <c r="T598" s="1372"/>
      <c r="U598" s="1372"/>
      <c r="V598" s="1372"/>
      <c r="W598" s="1372"/>
      <c r="X598" s="1372"/>
      <c r="Y598" s="1372"/>
      <c r="Z598" s="1372"/>
    </row>
    <row r="599" spans="1:26" ht="15.75" customHeight="1" x14ac:dyDescent="0.25">
      <c r="A599" s="1371"/>
      <c r="B599" s="1371"/>
      <c r="C599" s="1371"/>
      <c r="D599" s="1371"/>
      <c r="E599" s="1371"/>
      <c r="F599" s="1371"/>
      <c r="G599" s="1371"/>
      <c r="H599" s="1371"/>
      <c r="I599" s="1372"/>
      <c r="J599" s="1372"/>
      <c r="K599" s="1372"/>
      <c r="L599" s="1372"/>
      <c r="M599" s="1372"/>
      <c r="N599" s="1372"/>
      <c r="O599" s="1372"/>
      <c r="P599" s="1372"/>
      <c r="Q599" s="1372"/>
      <c r="R599" s="1372"/>
      <c r="S599" s="1372"/>
      <c r="T599" s="1372"/>
      <c r="U599" s="1372"/>
      <c r="V599" s="1372"/>
      <c r="W599" s="1372"/>
      <c r="X599" s="1372"/>
      <c r="Y599" s="1372"/>
      <c r="Z599" s="1372"/>
    </row>
    <row r="600" spans="1:26" ht="15.75" customHeight="1" x14ac:dyDescent="0.25">
      <c r="A600" s="1371"/>
      <c r="B600" s="1371"/>
      <c r="C600" s="1371"/>
      <c r="D600" s="1371"/>
      <c r="E600" s="1371"/>
      <c r="F600" s="1371"/>
      <c r="G600" s="1371"/>
      <c r="H600" s="1371"/>
      <c r="I600" s="1372"/>
      <c r="J600" s="1372"/>
      <c r="K600" s="1372"/>
      <c r="L600" s="1372"/>
      <c r="M600" s="1372"/>
      <c r="N600" s="1372"/>
      <c r="O600" s="1372"/>
      <c r="P600" s="1372"/>
      <c r="Q600" s="1372"/>
      <c r="R600" s="1372"/>
      <c r="S600" s="1372"/>
      <c r="T600" s="1372"/>
      <c r="U600" s="1372"/>
      <c r="V600" s="1372"/>
      <c r="W600" s="1372"/>
      <c r="X600" s="1372"/>
      <c r="Y600" s="1372"/>
      <c r="Z600" s="1372"/>
    </row>
    <row r="601" spans="1:26" ht="15.75" customHeight="1" x14ac:dyDescent="0.25">
      <c r="A601" s="1371"/>
      <c r="B601" s="1371"/>
      <c r="C601" s="1371"/>
      <c r="D601" s="1371"/>
      <c r="E601" s="1371"/>
      <c r="F601" s="1371"/>
      <c r="G601" s="1371"/>
      <c r="H601" s="1371"/>
      <c r="I601" s="1372"/>
      <c r="J601" s="1372"/>
      <c r="K601" s="1372"/>
      <c r="L601" s="1372"/>
      <c r="M601" s="1372"/>
      <c r="N601" s="1372"/>
      <c r="O601" s="1372"/>
      <c r="P601" s="1372"/>
      <c r="Q601" s="1372"/>
      <c r="R601" s="1372"/>
      <c r="S601" s="1372"/>
      <c r="T601" s="1372"/>
      <c r="U601" s="1372"/>
      <c r="V601" s="1372"/>
      <c r="W601" s="1372"/>
      <c r="X601" s="1372"/>
      <c r="Y601" s="1372"/>
      <c r="Z601" s="1372"/>
    </row>
    <row r="602" spans="1:26" ht="15.75" customHeight="1" x14ac:dyDescent="0.25">
      <c r="A602" s="1371"/>
      <c r="B602" s="1371"/>
      <c r="C602" s="1371"/>
      <c r="D602" s="1371"/>
      <c r="E602" s="1371"/>
      <c r="F602" s="1371"/>
      <c r="G602" s="1371"/>
      <c r="H602" s="1371"/>
      <c r="I602" s="1372"/>
      <c r="J602" s="1372"/>
      <c r="K602" s="1372"/>
      <c r="L602" s="1372"/>
      <c r="M602" s="1372"/>
      <c r="N602" s="1372"/>
      <c r="O602" s="1372"/>
      <c r="P602" s="1372"/>
      <c r="Q602" s="1372"/>
      <c r="R602" s="1372"/>
      <c r="S602" s="1372"/>
      <c r="T602" s="1372"/>
      <c r="U602" s="1372"/>
      <c r="V602" s="1372"/>
      <c r="W602" s="1372"/>
      <c r="X602" s="1372"/>
      <c r="Y602" s="1372"/>
      <c r="Z602" s="1372"/>
    </row>
    <row r="603" spans="1:26" ht="15.75" customHeight="1" x14ac:dyDescent="0.25">
      <c r="A603" s="1371"/>
      <c r="B603" s="1371"/>
      <c r="C603" s="1371"/>
      <c r="D603" s="1371"/>
      <c r="E603" s="1371"/>
      <c r="F603" s="1371"/>
      <c r="G603" s="1371"/>
      <c r="H603" s="1371"/>
      <c r="I603" s="1372"/>
      <c r="J603" s="1372"/>
      <c r="K603" s="1372"/>
      <c r="L603" s="1372"/>
      <c r="M603" s="1372"/>
      <c r="N603" s="1372"/>
      <c r="O603" s="1372"/>
      <c r="P603" s="1372"/>
      <c r="Q603" s="1372"/>
      <c r="R603" s="1372"/>
      <c r="S603" s="1372"/>
      <c r="T603" s="1372"/>
      <c r="U603" s="1372"/>
      <c r="V603" s="1372"/>
      <c r="W603" s="1372"/>
      <c r="X603" s="1372"/>
      <c r="Y603" s="1372"/>
      <c r="Z603" s="1372"/>
    </row>
    <row r="604" spans="1:26" ht="15.75" customHeight="1" x14ac:dyDescent="0.25">
      <c r="A604" s="1371"/>
      <c r="B604" s="1371"/>
      <c r="C604" s="1371"/>
      <c r="D604" s="1371"/>
      <c r="E604" s="1371"/>
      <c r="F604" s="1371"/>
      <c r="G604" s="1371"/>
      <c r="H604" s="1371"/>
      <c r="I604" s="1372"/>
      <c r="J604" s="1372"/>
      <c r="K604" s="1372"/>
      <c r="L604" s="1372"/>
      <c r="M604" s="1372"/>
      <c r="N604" s="1372"/>
      <c r="O604" s="1372"/>
      <c r="P604" s="1372"/>
      <c r="Q604" s="1372"/>
      <c r="R604" s="1372"/>
      <c r="S604" s="1372"/>
      <c r="T604" s="1372"/>
      <c r="U604" s="1372"/>
      <c r="V604" s="1372"/>
      <c r="W604" s="1372"/>
      <c r="X604" s="1372"/>
      <c r="Y604" s="1372"/>
      <c r="Z604" s="1372"/>
    </row>
    <row r="605" spans="1:26" ht="15.75" customHeight="1" x14ac:dyDescent="0.25">
      <c r="A605" s="1371"/>
      <c r="B605" s="1371"/>
      <c r="C605" s="1371"/>
      <c r="D605" s="1371"/>
      <c r="E605" s="1371"/>
      <c r="F605" s="1371"/>
      <c r="G605" s="1371"/>
      <c r="H605" s="1371"/>
      <c r="I605" s="1372"/>
      <c r="J605" s="1372"/>
      <c r="K605" s="1372"/>
      <c r="L605" s="1372"/>
      <c r="M605" s="1372"/>
      <c r="N605" s="1372"/>
      <c r="O605" s="1372"/>
      <c r="P605" s="1372"/>
      <c r="Q605" s="1372"/>
      <c r="R605" s="1372"/>
      <c r="S605" s="1372"/>
      <c r="T605" s="1372"/>
      <c r="U605" s="1372"/>
      <c r="V605" s="1372"/>
      <c r="W605" s="1372"/>
      <c r="X605" s="1372"/>
      <c r="Y605" s="1372"/>
      <c r="Z605" s="1372"/>
    </row>
    <row r="606" spans="1:26" ht="15.75" customHeight="1" x14ac:dyDescent="0.25">
      <c r="A606" s="1371"/>
      <c r="B606" s="1371"/>
      <c r="C606" s="1371"/>
      <c r="D606" s="1371"/>
      <c r="E606" s="1371"/>
      <c r="F606" s="1371"/>
      <c r="G606" s="1371"/>
      <c r="H606" s="1371"/>
      <c r="I606" s="1372"/>
      <c r="J606" s="1372"/>
      <c r="K606" s="1372"/>
      <c r="L606" s="1372"/>
      <c r="M606" s="1372"/>
      <c r="N606" s="1372"/>
      <c r="O606" s="1372"/>
      <c r="P606" s="1372"/>
      <c r="Q606" s="1372"/>
      <c r="R606" s="1372"/>
      <c r="S606" s="1372"/>
      <c r="T606" s="1372"/>
      <c r="U606" s="1372"/>
      <c r="V606" s="1372"/>
      <c r="W606" s="1372"/>
      <c r="X606" s="1372"/>
      <c r="Y606" s="1372"/>
      <c r="Z606" s="1372"/>
    </row>
    <row r="607" spans="1:26" ht="15.75" customHeight="1" x14ac:dyDescent="0.25">
      <c r="A607" s="1371"/>
      <c r="B607" s="1371"/>
      <c r="C607" s="1371"/>
      <c r="D607" s="1371"/>
      <c r="E607" s="1371"/>
      <c r="F607" s="1371"/>
      <c r="G607" s="1371"/>
      <c r="H607" s="1371"/>
      <c r="I607" s="1372"/>
      <c r="J607" s="1372"/>
      <c r="K607" s="1372"/>
      <c r="L607" s="1372"/>
      <c r="M607" s="1372"/>
      <c r="N607" s="1372"/>
      <c r="O607" s="1372"/>
      <c r="P607" s="1372"/>
      <c r="Q607" s="1372"/>
      <c r="R607" s="1372"/>
      <c r="S607" s="1372"/>
      <c r="T607" s="1372"/>
      <c r="U607" s="1372"/>
      <c r="V607" s="1372"/>
      <c r="W607" s="1372"/>
      <c r="X607" s="1372"/>
      <c r="Y607" s="1372"/>
      <c r="Z607" s="1372"/>
    </row>
    <row r="608" spans="1:26" ht="15.75" customHeight="1" x14ac:dyDescent="0.25">
      <c r="A608" s="1371"/>
      <c r="B608" s="1371"/>
      <c r="C608" s="1371"/>
      <c r="D608" s="1371"/>
      <c r="E608" s="1371"/>
      <c r="F608" s="1371"/>
      <c r="G608" s="1371"/>
      <c r="H608" s="1371"/>
      <c r="I608" s="1372"/>
      <c r="J608" s="1372"/>
      <c r="K608" s="1372"/>
      <c r="L608" s="1372"/>
      <c r="M608" s="1372"/>
      <c r="N608" s="1372"/>
      <c r="O608" s="1372"/>
      <c r="P608" s="1372"/>
      <c r="Q608" s="1372"/>
      <c r="R608" s="1372"/>
      <c r="S608" s="1372"/>
      <c r="T608" s="1372"/>
      <c r="U608" s="1372"/>
      <c r="V608" s="1372"/>
      <c r="W608" s="1372"/>
      <c r="X608" s="1372"/>
      <c r="Y608" s="1372"/>
      <c r="Z608" s="1372"/>
    </row>
    <row r="609" spans="1:26" ht="15.75" customHeight="1" x14ac:dyDescent="0.25">
      <c r="A609" s="1371"/>
      <c r="B609" s="1371"/>
      <c r="C609" s="1371"/>
      <c r="D609" s="1371"/>
      <c r="E609" s="1371"/>
      <c r="F609" s="1371"/>
      <c r="G609" s="1371"/>
      <c r="H609" s="1371"/>
      <c r="I609" s="1372"/>
      <c r="J609" s="1372"/>
      <c r="K609" s="1372"/>
      <c r="L609" s="1372"/>
      <c r="M609" s="1372"/>
      <c r="N609" s="1372"/>
      <c r="O609" s="1372"/>
      <c r="P609" s="1372"/>
      <c r="Q609" s="1372"/>
      <c r="R609" s="1372"/>
      <c r="S609" s="1372"/>
      <c r="T609" s="1372"/>
      <c r="U609" s="1372"/>
      <c r="V609" s="1372"/>
      <c r="W609" s="1372"/>
      <c r="X609" s="1372"/>
      <c r="Y609" s="1372"/>
      <c r="Z609" s="1372"/>
    </row>
    <row r="610" spans="1:26" ht="15.75" customHeight="1" x14ac:dyDescent="0.25">
      <c r="A610" s="1371"/>
      <c r="B610" s="1371"/>
      <c r="C610" s="1371"/>
      <c r="D610" s="1371"/>
      <c r="E610" s="1371"/>
      <c r="F610" s="1371"/>
      <c r="G610" s="1371"/>
      <c r="H610" s="1371"/>
      <c r="I610" s="1372"/>
      <c r="J610" s="1372"/>
      <c r="K610" s="1372"/>
      <c r="L610" s="1372"/>
      <c r="M610" s="1372"/>
      <c r="N610" s="1372"/>
      <c r="O610" s="1372"/>
      <c r="P610" s="1372"/>
      <c r="Q610" s="1372"/>
      <c r="R610" s="1372"/>
      <c r="S610" s="1372"/>
      <c r="T610" s="1372"/>
      <c r="U610" s="1372"/>
      <c r="V610" s="1372"/>
      <c r="W610" s="1372"/>
      <c r="X610" s="1372"/>
      <c r="Y610" s="1372"/>
      <c r="Z610" s="1372"/>
    </row>
    <row r="611" spans="1:26" ht="15.75" customHeight="1" x14ac:dyDescent="0.25">
      <c r="A611" s="1371"/>
      <c r="B611" s="1371"/>
      <c r="C611" s="1371"/>
      <c r="D611" s="1371"/>
      <c r="E611" s="1371"/>
      <c r="F611" s="1371"/>
      <c r="G611" s="1371"/>
      <c r="H611" s="1371"/>
      <c r="I611" s="1372"/>
      <c r="J611" s="1372"/>
      <c r="K611" s="1372"/>
      <c r="L611" s="1372"/>
      <c r="M611" s="1372"/>
      <c r="N611" s="1372"/>
      <c r="O611" s="1372"/>
      <c r="P611" s="1372"/>
      <c r="Q611" s="1372"/>
      <c r="R611" s="1372"/>
      <c r="S611" s="1372"/>
      <c r="T611" s="1372"/>
      <c r="U611" s="1372"/>
      <c r="V611" s="1372"/>
      <c r="W611" s="1372"/>
      <c r="X611" s="1372"/>
      <c r="Y611" s="1372"/>
      <c r="Z611" s="1372"/>
    </row>
    <row r="612" spans="1:26" ht="15.75" customHeight="1" x14ac:dyDescent="0.25">
      <c r="A612" s="1371"/>
      <c r="B612" s="1371"/>
      <c r="C612" s="1371"/>
      <c r="D612" s="1371"/>
      <c r="E612" s="1371"/>
      <c r="F612" s="1371"/>
      <c r="G612" s="1371"/>
      <c r="H612" s="1371"/>
      <c r="I612" s="1372"/>
      <c r="J612" s="1372"/>
      <c r="K612" s="1372"/>
      <c r="L612" s="1372"/>
      <c r="M612" s="1372"/>
      <c r="N612" s="1372"/>
      <c r="O612" s="1372"/>
      <c r="P612" s="1372"/>
      <c r="Q612" s="1372"/>
      <c r="R612" s="1372"/>
      <c r="S612" s="1372"/>
      <c r="T612" s="1372"/>
      <c r="U612" s="1372"/>
      <c r="V612" s="1372"/>
      <c r="W612" s="1372"/>
      <c r="X612" s="1372"/>
      <c r="Y612" s="1372"/>
      <c r="Z612" s="1372"/>
    </row>
    <row r="613" spans="1:26" ht="15.75" customHeight="1" x14ac:dyDescent="0.25">
      <c r="A613" s="1371"/>
      <c r="B613" s="1371"/>
      <c r="C613" s="1371"/>
      <c r="D613" s="1371"/>
      <c r="E613" s="1371"/>
      <c r="F613" s="1371"/>
      <c r="G613" s="1371"/>
      <c r="H613" s="1371"/>
      <c r="I613" s="1372"/>
      <c r="J613" s="1372"/>
      <c r="K613" s="1372"/>
      <c r="L613" s="1372"/>
      <c r="M613" s="1372"/>
      <c r="N613" s="1372"/>
      <c r="O613" s="1372"/>
      <c r="P613" s="1372"/>
      <c r="Q613" s="1372"/>
      <c r="R613" s="1372"/>
      <c r="S613" s="1372"/>
      <c r="T613" s="1372"/>
      <c r="U613" s="1372"/>
      <c r="V613" s="1372"/>
      <c r="W613" s="1372"/>
      <c r="X613" s="1372"/>
      <c r="Y613" s="1372"/>
      <c r="Z613" s="1372"/>
    </row>
    <row r="614" spans="1:26" ht="15.75" customHeight="1" x14ac:dyDescent="0.25">
      <c r="A614" s="1371"/>
      <c r="B614" s="1371"/>
      <c r="C614" s="1371"/>
      <c r="D614" s="1371"/>
      <c r="E614" s="1371"/>
      <c r="F614" s="1371"/>
      <c r="G614" s="1371"/>
      <c r="H614" s="1371"/>
      <c r="I614" s="1372"/>
      <c r="J614" s="1372"/>
      <c r="K614" s="1372"/>
      <c r="L614" s="1372"/>
      <c r="M614" s="1372"/>
      <c r="N614" s="1372"/>
      <c r="O614" s="1372"/>
      <c r="P614" s="1372"/>
      <c r="Q614" s="1372"/>
      <c r="R614" s="1372"/>
      <c r="S614" s="1372"/>
      <c r="T614" s="1372"/>
      <c r="U614" s="1372"/>
      <c r="V614" s="1372"/>
      <c r="W614" s="1372"/>
      <c r="X614" s="1372"/>
      <c r="Y614" s="1372"/>
      <c r="Z614" s="1372"/>
    </row>
    <row r="615" spans="1:26" ht="15.75" customHeight="1" x14ac:dyDescent="0.25">
      <c r="A615" s="1371"/>
      <c r="B615" s="1371"/>
      <c r="C615" s="1371"/>
      <c r="D615" s="1371"/>
      <c r="E615" s="1371"/>
      <c r="F615" s="1371"/>
      <c r="G615" s="1371"/>
      <c r="H615" s="1371"/>
      <c r="I615" s="1372"/>
      <c r="J615" s="1372"/>
      <c r="K615" s="1372"/>
      <c r="L615" s="1372"/>
      <c r="M615" s="1372"/>
      <c r="N615" s="1372"/>
      <c r="O615" s="1372"/>
      <c r="P615" s="1372"/>
      <c r="Q615" s="1372"/>
      <c r="R615" s="1372"/>
      <c r="S615" s="1372"/>
      <c r="T615" s="1372"/>
      <c r="U615" s="1372"/>
      <c r="V615" s="1372"/>
      <c r="W615" s="1372"/>
      <c r="X615" s="1372"/>
      <c r="Y615" s="1372"/>
      <c r="Z615" s="1372"/>
    </row>
    <row r="616" spans="1:26" ht="15.75" customHeight="1" x14ac:dyDescent="0.25">
      <c r="A616" s="1371"/>
      <c r="B616" s="1371"/>
      <c r="C616" s="1371"/>
      <c r="D616" s="1371"/>
      <c r="E616" s="1371"/>
      <c r="F616" s="1371"/>
      <c r="G616" s="1371"/>
      <c r="H616" s="1371"/>
      <c r="I616" s="1372"/>
      <c r="J616" s="1372"/>
      <c r="K616" s="1372"/>
      <c r="L616" s="1372"/>
      <c r="M616" s="1372"/>
      <c r="N616" s="1372"/>
      <c r="O616" s="1372"/>
      <c r="P616" s="1372"/>
      <c r="Q616" s="1372"/>
      <c r="R616" s="1372"/>
      <c r="S616" s="1372"/>
      <c r="T616" s="1372"/>
      <c r="U616" s="1372"/>
      <c r="V616" s="1372"/>
      <c r="W616" s="1372"/>
      <c r="X616" s="1372"/>
      <c r="Y616" s="1372"/>
      <c r="Z616" s="1372"/>
    </row>
    <row r="617" spans="1:26" ht="15.75" customHeight="1" x14ac:dyDescent="0.25">
      <c r="A617" s="1371"/>
      <c r="B617" s="1371"/>
      <c r="C617" s="1371"/>
      <c r="D617" s="1371"/>
      <c r="E617" s="1371"/>
      <c r="F617" s="1371"/>
      <c r="G617" s="1371"/>
      <c r="H617" s="1371"/>
      <c r="I617" s="1372"/>
      <c r="J617" s="1372"/>
      <c r="K617" s="1372"/>
      <c r="L617" s="1372"/>
      <c r="M617" s="1372"/>
      <c r="N617" s="1372"/>
      <c r="O617" s="1372"/>
      <c r="P617" s="1372"/>
      <c r="Q617" s="1372"/>
      <c r="R617" s="1372"/>
      <c r="S617" s="1372"/>
      <c r="T617" s="1372"/>
      <c r="U617" s="1372"/>
      <c r="V617" s="1372"/>
      <c r="W617" s="1372"/>
      <c r="X617" s="1372"/>
      <c r="Y617" s="1372"/>
      <c r="Z617" s="1372"/>
    </row>
    <row r="618" spans="1:26" ht="15.75" customHeight="1" x14ac:dyDescent="0.25">
      <c r="A618" s="1371"/>
      <c r="B618" s="1371"/>
      <c r="C618" s="1371"/>
      <c r="D618" s="1371"/>
      <c r="E618" s="1371"/>
      <c r="F618" s="1371"/>
      <c r="G618" s="1371"/>
      <c r="H618" s="1371"/>
      <c r="I618" s="1372"/>
      <c r="J618" s="1372"/>
      <c r="K618" s="1372"/>
      <c r="L618" s="1372"/>
      <c r="M618" s="1372"/>
      <c r="N618" s="1372"/>
      <c r="O618" s="1372"/>
      <c r="P618" s="1372"/>
      <c r="Q618" s="1372"/>
      <c r="R618" s="1372"/>
      <c r="S618" s="1372"/>
      <c r="T618" s="1372"/>
      <c r="U618" s="1372"/>
      <c r="V618" s="1372"/>
      <c r="W618" s="1372"/>
      <c r="X618" s="1372"/>
      <c r="Y618" s="1372"/>
      <c r="Z618" s="1372"/>
    </row>
    <row r="619" spans="1:26" ht="15.75" customHeight="1" x14ac:dyDescent="0.25">
      <c r="A619" s="1371"/>
      <c r="B619" s="1371"/>
      <c r="C619" s="1371"/>
      <c r="D619" s="1371"/>
      <c r="E619" s="1371"/>
      <c r="F619" s="1371"/>
      <c r="G619" s="1371"/>
      <c r="H619" s="1371"/>
      <c r="I619" s="1372"/>
      <c r="J619" s="1372"/>
      <c r="K619" s="1372"/>
      <c r="L619" s="1372"/>
      <c r="M619" s="1372"/>
      <c r="N619" s="1372"/>
      <c r="O619" s="1372"/>
      <c r="P619" s="1372"/>
      <c r="Q619" s="1372"/>
      <c r="R619" s="1372"/>
      <c r="S619" s="1372"/>
      <c r="T619" s="1372"/>
      <c r="U619" s="1372"/>
      <c r="V619" s="1372"/>
      <c r="W619" s="1372"/>
      <c r="X619" s="1372"/>
      <c r="Y619" s="1372"/>
      <c r="Z619" s="1372"/>
    </row>
    <row r="620" spans="1:26" ht="15.75" customHeight="1" x14ac:dyDescent="0.25">
      <c r="A620" s="1371"/>
      <c r="B620" s="1371"/>
      <c r="C620" s="1371"/>
      <c r="D620" s="1371"/>
      <c r="E620" s="1371"/>
      <c r="F620" s="1371"/>
      <c r="G620" s="1371"/>
      <c r="H620" s="1371"/>
      <c r="I620" s="1372"/>
      <c r="J620" s="1372"/>
      <c r="K620" s="1372"/>
      <c r="L620" s="1372"/>
      <c r="M620" s="1372"/>
      <c r="N620" s="1372"/>
      <c r="O620" s="1372"/>
      <c r="P620" s="1372"/>
      <c r="Q620" s="1372"/>
      <c r="R620" s="1372"/>
      <c r="S620" s="1372"/>
      <c r="T620" s="1372"/>
      <c r="U620" s="1372"/>
      <c r="V620" s="1372"/>
      <c r="W620" s="1372"/>
      <c r="X620" s="1372"/>
      <c r="Y620" s="1372"/>
      <c r="Z620" s="1372"/>
    </row>
    <row r="621" spans="1:26" ht="15.75" customHeight="1" x14ac:dyDescent="0.25">
      <c r="A621" s="1371"/>
      <c r="B621" s="1371"/>
      <c r="C621" s="1371"/>
      <c r="D621" s="1371"/>
      <c r="E621" s="1371"/>
      <c r="F621" s="1371"/>
      <c r="G621" s="1371"/>
      <c r="H621" s="1371"/>
      <c r="I621" s="1372"/>
      <c r="J621" s="1372"/>
      <c r="K621" s="1372"/>
      <c r="L621" s="1372"/>
      <c r="M621" s="1372"/>
      <c r="N621" s="1372"/>
      <c r="O621" s="1372"/>
      <c r="P621" s="1372"/>
      <c r="Q621" s="1372"/>
      <c r="R621" s="1372"/>
      <c r="S621" s="1372"/>
      <c r="T621" s="1372"/>
      <c r="U621" s="1372"/>
      <c r="V621" s="1372"/>
      <c r="W621" s="1372"/>
      <c r="X621" s="1372"/>
      <c r="Y621" s="1372"/>
      <c r="Z621" s="1372"/>
    </row>
    <row r="622" spans="1:26" ht="15.75" customHeight="1" x14ac:dyDescent="0.25">
      <c r="A622" s="1371"/>
      <c r="B622" s="1371"/>
      <c r="C622" s="1371"/>
      <c r="D622" s="1371"/>
      <c r="E622" s="1371"/>
      <c r="F622" s="1371"/>
      <c r="G622" s="1371"/>
      <c r="H622" s="1371"/>
      <c r="I622" s="1372"/>
      <c r="J622" s="1372"/>
      <c r="K622" s="1372"/>
      <c r="L622" s="1372"/>
      <c r="M622" s="1372"/>
      <c r="N622" s="1372"/>
      <c r="O622" s="1372"/>
      <c r="P622" s="1372"/>
      <c r="Q622" s="1372"/>
      <c r="R622" s="1372"/>
      <c r="S622" s="1372"/>
      <c r="T622" s="1372"/>
      <c r="U622" s="1372"/>
      <c r="V622" s="1372"/>
      <c r="W622" s="1372"/>
      <c r="X622" s="1372"/>
      <c r="Y622" s="1372"/>
      <c r="Z622" s="1372"/>
    </row>
    <row r="623" spans="1:26" ht="15.75" customHeight="1" x14ac:dyDescent="0.25">
      <c r="A623" s="1371"/>
      <c r="B623" s="1371"/>
      <c r="C623" s="1371"/>
      <c r="D623" s="1371"/>
      <c r="E623" s="1371"/>
      <c r="F623" s="1371"/>
      <c r="G623" s="1371"/>
      <c r="H623" s="1371"/>
      <c r="I623" s="1372"/>
      <c r="J623" s="1372"/>
      <c r="K623" s="1372"/>
      <c r="L623" s="1372"/>
      <c r="M623" s="1372"/>
      <c r="N623" s="1372"/>
      <c r="O623" s="1372"/>
      <c r="P623" s="1372"/>
      <c r="Q623" s="1372"/>
      <c r="R623" s="1372"/>
      <c r="S623" s="1372"/>
      <c r="T623" s="1372"/>
      <c r="U623" s="1372"/>
      <c r="V623" s="1372"/>
      <c r="W623" s="1372"/>
      <c r="X623" s="1372"/>
      <c r="Y623" s="1372"/>
      <c r="Z623" s="1372"/>
    </row>
    <row r="624" spans="1:26" ht="15.75" customHeight="1" x14ac:dyDescent="0.25">
      <c r="A624" s="1371"/>
      <c r="B624" s="1371"/>
      <c r="C624" s="1371"/>
      <c r="D624" s="1371"/>
      <c r="E624" s="1371"/>
      <c r="F624" s="1371"/>
      <c r="G624" s="1371"/>
      <c r="H624" s="1371"/>
      <c r="I624" s="1372"/>
      <c r="J624" s="1372"/>
      <c r="K624" s="1372"/>
      <c r="L624" s="1372"/>
      <c r="M624" s="1372"/>
      <c r="N624" s="1372"/>
      <c r="O624" s="1372"/>
      <c r="P624" s="1372"/>
      <c r="Q624" s="1372"/>
      <c r="R624" s="1372"/>
      <c r="S624" s="1372"/>
      <c r="T624" s="1372"/>
      <c r="U624" s="1372"/>
      <c r="V624" s="1372"/>
      <c r="W624" s="1372"/>
      <c r="X624" s="1372"/>
      <c r="Y624" s="1372"/>
      <c r="Z624" s="1372"/>
    </row>
    <row r="625" spans="1:26" ht="15.75" customHeight="1" x14ac:dyDescent="0.25">
      <c r="A625" s="1371"/>
      <c r="B625" s="1371"/>
      <c r="C625" s="1371"/>
      <c r="D625" s="1371"/>
      <c r="E625" s="1371"/>
      <c r="F625" s="1371"/>
      <c r="G625" s="1371"/>
      <c r="H625" s="1371"/>
      <c r="I625" s="1372"/>
      <c r="J625" s="1372"/>
      <c r="K625" s="1372"/>
      <c r="L625" s="1372"/>
      <c r="M625" s="1372"/>
      <c r="N625" s="1372"/>
      <c r="O625" s="1372"/>
      <c r="P625" s="1372"/>
      <c r="Q625" s="1372"/>
      <c r="R625" s="1372"/>
      <c r="S625" s="1372"/>
      <c r="T625" s="1372"/>
      <c r="U625" s="1372"/>
      <c r="V625" s="1372"/>
      <c r="W625" s="1372"/>
      <c r="X625" s="1372"/>
      <c r="Y625" s="1372"/>
      <c r="Z625" s="1372"/>
    </row>
    <row r="626" spans="1:26" ht="15.75" customHeight="1" x14ac:dyDescent="0.25">
      <c r="A626" s="1371"/>
      <c r="B626" s="1371"/>
      <c r="C626" s="1371"/>
      <c r="D626" s="1371"/>
      <c r="E626" s="1371"/>
      <c r="F626" s="1371"/>
      <c r="G626" s="1371"/>
      <c r="H626" s="1371"/>
      <c r="I626" s="1372"/>
      <c r="J626" s="1372"/>
      <c r="K626" s="1372"/>
      <c r="L626" s="1372"/>
      <c r="M626" s="1372"/>
      <c r="N626" s="1372"/>
      <c r="O626" s="1372"/>
      <c r="P626" s="1372"/>
      <c r="Q626" s="1372"/>
      <c r="R626" s="1372"/>
      <c r="S626" s="1372"/>
      <c r="T626" s="1372"/>
      <c r="U626" s="1372"/>
      <c r="V626" s="1372"/>
      <c r="W626" s="1372"/>
      <c r="X626" s="1372"/>
      <c r="Y626" s="1372"/>
      <c r="Z626" s="1372"/>
    </row>
    <row r="627" spans="1:26" ht="15.75" customHeight="1" x14ac:dyDescent="0.25">
      <c r="A627" s="1371"/>
      <c r="B627" s="1371"/>
      <c r="C627" s="1371"/>
      <c r="D627" s="1371"/>
      <c r="E627" s="1371"/>
      <c r="F627" s="1371"/>
      <c r="G627" s="1371"/>
      <c r="H627" s="1371"/>
      <c r="I627" s="1372"/>
      <c r="J627" s="1372"/>
      <c r="K627" s="1372"/>
      <c r="L627" s="1372"/>
      <c r="M627" s="1372"/>
      <c r="N627" s="1372"/>
      <c r="O627" s="1372"/>
      <c r="P627" s="1372"/>
      <c r="Q627" s="1372"/>
      <c r="R627" s="1372"/>
      <c r="S627" s="1372"/>
      <c r="T627" s="1372"/>
      <c r="U627" s="1372"/>
      <c r="V627" s="1372"/>
      <c r="W627" s="1372"/>
      <c r="X627" s="1372"/>
      <c r="Y627" s="1372"/>
      <c r="Z627" s="1372"/>
    </row>
    <row r="628" spans="1:26" ht="15.75" customHeight="1" x14ac:dyDescent="0.25">
      <c r="A628" s="1371"/>
      <c r="B628" s="1371"/>
      <c r="C628" s="1371"/>
      <c r="D628" s="1371"/>
      <c r="E628" s="1371"/>
      <c r="F628" s="1371"/>
      <c r="G628" s="1371"/>
      <c r="H628" s="1371"/>
      <c r="I628" s="1372"/>
      <c r="J628" s="1372"/>
      <c r="K628" s="1372"/>
      <c r="L628" s="1372"/>
      <c r="M628" s="1372"/>
      <c r="N628" s="1372"/>
      <c r="O628" s="1372"/>
      <c r="P628" s="1372"/>
      <c r="Q628" s="1372"/>
      <c r="R628" s="1372"/>
      <c r="S628" s="1372"/>
      <c r="T628" s="1372"/>
      <c r="U628" s="1372"/>
      <c r="V628" s="1372"/>
      <c r="W628" s="1372"/>
      <c r="X628" s="1372"/>
      <c r="Y628" s="1372"/>
      <c r="Z628" s="1372"/>
    </row>
    <row r="629" spans="1:26" ht="15.75" customHeight="1" x14ac:dyDescent="0.25">
      <c r="A629" s="1371"/>
      <c r="B629" s="1371"/>
      <c r="C629" s="1371"/>
      <c r="D629" s="1371"/>
      <c r="E629" s="1371"/>
      <c r="F629" s="1371"/>
      <c r="G629" s="1371"/>
      <c r="H629" s="1371"/>
      <c r="I629" s="1372"/>
      <c r="J629" s="1372"/>
      <c r="K629" s="1372"/>
      <c r="L629" s="1372"/>
      <c r="M629" s="1372"/>
      <c r="N629" s="1372"/>
      <c r="O629" s="1372"/>
      <c r="P629" s="1372"/>
      <c r="Q629" s="1372"/>
      <c r="R629" s="1372"/>
      <c r="S629" s="1372"/>
      <c r="T629" s="1372"/>
      <c r="U629" s="1372"/>
      <c r="V629" s="1372"/>
      <c r="W629" s="1372"/>
      <c r="X629" s="1372"/>
      <c r="Y629" s="1372"/>
      <c r="Z629" s="1372"/>
    </row>
    <row r="630" spans="1:26" ht="15.75" customHeight="1" x14ac:dyDescent="0.25">
      <c r="A630" s="1371"/>
      <c r="B630" s="1371"/>
      <c r="C630" s="1371"/>
      <c r="D630" s="1371"/>
      <c r="E630" s="1371"/>
      <c r="F630" s="1371"/>
      <c r="G630" s="1371"/>
      <c r="H630" s="1371"/>
      <c r="I630" s="1372"/>
      <c r="J630" s="1372"/>
      <c r="K630" s="1372"/>
      <c r="L630" s="1372"/>
      <c r="M630" s="1372"/>
      <c r="N630" s="1372"/>
      <c r="O630" s="1372"/>
      <c r="P630" s="1372"/>
      <c r="Q630" s="1372"/>
      <c r="R630" s="1372"/>
      <c r="S630" s="1372"/>
      <c r="T630" s="1372"/>
      <c r="U630" s="1372"/>
      <c r="V630" s="1372"/>
      <c r="W630" s="1372"/>
      <c r="X630" s="1372"/>
      <c r="Y630" s="1372"/>
      <c r="Z630" s="1372"/>
    </row>
    <row r="631" spans="1:26" ht="15.75" customHeight="1" x14ac:dyDescent="0.25">
      <c r="A631" s="1371"/>
      <c r="B631" s="1371"/>
      <c r="C631" s="1371"/>
      <c r="D631" s="1371"/>
      <c r="E631" s="1371"/>
      <c r="F631" s="1371"/>
      <c r="G631" s="1371"/>
      <c r="H631" s="1371"/>
      <c r="I631" s="1372"/>
      <c r="J631" s="1372"/>
      <c r="K631" s="1372"/>
      <c r="L631" s="1372"/>
      <c r="M631" s="1372"/>
      <c r="N631" s="1372"/>
      <c r="O631" s="1372"/>
      <c r="P631" s="1372"/>
      <c r="Q631" s="1372"/>
      <c r="R631" s="1372"/>
      <c r="S631" s="1372"/>
      <c r="T631" s="1372"/>
      <c r="U631" s="1372"/>
      <c r="V631" s="1372"/>
      <c r="W631" s="1372"/>
      <c r="X631" s="1372"/>
      <c r="Y631" s="1372"/>
      <c r="Z631" s="1372"/>
    </row>
    <row r="632" spans="1:26" ht="15.75" customHeight="1" x14ac:dyDescent="0.25">
      <c r="A632" s="1371"/>
      <c r="B632" s="1371"/>
      <c r="C632" s="1371"/>
      <c r="D632" s="1371"/>
      <c r="E632" s="1371"/>
      <c r="F632" s="1371"/>
      <c r="G632" s="1371"/>
      <c r="H632" s="1371"/>
      <c r="I632" s="1372"/>
      <c r="J632" s="1372"/>
      <c r="K632" s="1372"/>
      <c r="L632" s="1372"/>
      <c r="M632" s="1372"/>
      <c r="N632" s="1372"/>
      <c r="O632" s="1372"/>
      <c r="P632" s="1372"/>
      <c r="Q632" s="1372"/>
      <c r="R632" s="1372"/>
      <c r="S632" s="1372"/>
      <c r="T632" s="1372"/>
      <c r="U632" s="1372"/>
      <c r="V632" s="1372"/>
      <c r="W632" s="1372"/>
      <c r="X632" s="1372"/>
      <c r="Y632" s="1372"/>
      <c r="Z632" s="1372"/>
    </row>
    <row r="633" spans="1:26" ht="15.75" customHeight="1" x14ac:dyDescent="0.25">
      <c r="A633" s="1371"/>
      <c r="B633" s="1371"/>
      <c r="C633" s="1371"/>
      <c r="D633" s="1371"/>
      <c r="E633" s="1371"/>
      <c r="F633" s="1371"/>
      <c r="G633" s="1371"/>
      <c r="H633" s="1371"/>
      <c r="I633" s="1372"/>
      <c r="J633" s="1372"/>
      <c r="K633" s="1372"/>
      <c r="L633" s="1372"/>
      <c r="M633" s="1372"/>
      <c r="N633" s="1372"/>
      <c r="O633" s="1372"/>
      <c r="P633" s="1372"/>
      <c r="Q633" s="1372"/>
      <c r="R633" s="1372"/>
      <c r="S633" s="1372"/>
      <c r="T633" s="1372"/>
      <c r="U633" s="1372"/>
      <c r="V633" s="1372"/>
      <c r="W633" s="1372"/>
      <c r="X633" s="1372"/>
      <c r="Y633" s="1372"/>
      <c r="Z633" s="1372"/>
    </row>
    <row r="634" spans="1:26" ht="15.75" customHeight="1" x14ac:dyDescent="0.25">
      <c r="A634" s="1371"/>
      <c r="B634" s="1371"/>
      <c r="C634" s="1371"/>
      <c r="D634" s="1371"/>
      <c r="E634" s="1371"/>
      <c r="F634" s="1371"/>
      <c r="G634" s="1371"/>
      <c r="H634" s="1371"/>
      <c r="I634" s="1372"/>
      <c r="J634" s="1372"/>
      <c r="K634" s="1372"/>
      <c r="L634" s="1372"/>
      <c r="M634" s="1372"/>
      <c r="N634" s="1372"/>
      <c r="O634" s="1372"/>
      <c r="P634" s="1372"/>
      <c r="Q634" s="1372"/>
      <c r="R634" s="1372"/>
      <c r="S634" s="1372"/>
      <c r="T634" s="1372"/>
      <c r="U634" s="1372"/>
      <c r="V634" s="1372"/>
      <c r="W634" s="1372"/>
      <c r="X634" s="1372"/>
      <c r="Y634" s="1372"/>
      <c r="Z634" s="1372"/>
    </row>
    <row r="635" spans="1:26" ht="15.75" customHeight="1" x14ac:dyDescent="0.25">
      <c r="A635" s="1371"/>
      <c r="B635" s="1371"/>
      <c r="C635" s="1371"/>
      <c r="D635" s="1371"/>
      <c r="E635" s="1371"/>
      <c r="F635" s="1371"/>
      <c r="G635" s="1371"/>
      <c r="H635" s="1371"/>
      <c r="I635" s="1372"/>
      <c r="J635" s="1372"/>
      <c r="K635" s="1372"/>
      <c r="L635" s="1372"/>
      <c r="M635" s="1372"/>
      <c r="N635" s="1372"/>
      <c r="O635" s="1372"/>
      <c r="P635" s="1372"/>
      <c r="Q635" s="1372"/>
      <c r="R635" s="1372"/>
      <c r="S635" s="1372"/>
      <c r="T635" s="1372"/>
      <c r="U635" s="1372"/>
      <c r="V635" s="1372"/>
      <c r="W635" s="1372"/>
      <c r="X635" s="1372"/>
      <c r="Y635" s="1372"/>
      <c r="Z635" s="1372"/>
    </row>
    <row r="636" spans="1:26" ht="15.75" customHeight="1" x14ac:dyDescent="0.25">
      <c r="A636" s="1371"/>
      <c r="B636" s="1371"/>
      <c r="C636" s="1371"/>
      <c r="D636" s="1371"/>
      <c r="E636" s="1371"/>
      <c r="F636" s="1371"/>
      <c r="G636" s="1371"/>
      <c r="H636" s="1371"/>
      <c r="I636" s="1372"/>
      <c r="J636" s="1372"/>
      <c r="K636" s="1372"/>
      <c r="L636" s="1372"/>
      <c r="M636" s="1372"/>
      <c r="N636" s="1372"/>
      <c r="O636" s="1372"/>
      <c r="P636" s="1372"/>
      <c r="Q636" s="1372"/>
      <c r="R636" s="1372"/>
      <c r="S636" s="1372"/>
      <c r="T636" s="1372"/>
      <c r="U636" s="1372"/>
      <c r="V636" s="1372"/>
      <c r="W636" s="1372"/>
      <c r="X636" s="1372"/>
      <c r="Y636" s="1372"/>
      <c r="Z636" s="1372"/>
    </row>
    <row r="637" spans="1:26" ht="15.75" customHeight="1" x14ac:dyDescent="0.25">
      <c r="A637" s="1371"/>
      <c r="B637" s="1371"/>
      <c r="C637" s="1371"/>
      <c r="D637" s="1371"/>
      <c r="E637" s="1371"/>
      <c r="F637" s="1371"/>
      <c r="G637" s="1371"/>
      <c r="H637" s="1371"/>
      <c r="I637" s="1372"/>
      <c r="J637" s="1372"/>
      <c r="K637" s="1372"/>
      <c r="L637" s="1372"/>
      <c r="M637" s="1372"/>
      <c r="N637" s="1372"/>
      <c r="O637" s="1372"/>
      <c r="P637" s="1372"/>
      <c r="Q637" s="1372"/>
      <c r="R637" s="1372"/>
      <c r="S637" s="1372"/>
      <c r="T637" s="1372"/>
      <c r="U637" s="1372"/>
      <c r="V637" s="1372"/>
      <c r="W637" s="1372"/>
      <c r="X637" s="1372"/>
      <c r="Y637" s="1372"/>
      <c r="Z637" s="1372"/>
    </row>
    <row r="638" spans="1:26" ht="15.75" customHeight="1" x14ac:dyDescent="0.25">
      <c r="A638" s="1371"/>
      <c r="B638" s="1371"/>
      <c r="C638" s="1371"/>
      <c r="D638" s="1371"/>
      <c r="E638" s="1371"/>
      <c r="F638" s="1371"/>
      <c r="G638" s="1371"/>
      <c r="H638" s="1371"/>
      <c r="I638" s="1372"/>
      <c r="J638" s="1372"/>
      <c r="K638" s="1372"/>
      <c r="L638" s="1372"/>
      <c r="M638" s="1372"/>
      <c r="N638" s="1372"/>
      <c r="O638" s="1372"/>
      <c r="P638" s="1372"/>
      <c r="Q638" s="1372"/>
      <c r="R638" s="1372"/>
      <c r="S638" s="1372"/>
      <c r="T638" s="1372"/>
      <c r="U638" s="1372"/>
      <c r="V638" s="1372"/>
      <c r="W638" s="1372"/>
      <c r="X638" s="1372"/>
      <c r="Y638" s="1372"/>
      <c r="Z638" s="1372"/>
    </row>
    <row r="639" spans="1:26" ht="15.75" customHeight="1" x14ac:dyDescent="0.25">
      <c r="A639" s="1371"/>
      <c r="B639" s="1371"/>
      <c r="C639" s="1371"/>
      <c r="D639" s="1371"/>
      <c r="E639" s="1371"/>
      <c r="F639" s="1371"/>
      <c r="G639" s="1371"/>
      <c r="H639" s="1371"/>
      <c r="I639" s="1372"/>
      <c r="J639" s="1372"/>
      <c r="K639" s="1372"/>
      <c r="L639" s="1372"/>
      <c r="M639" s="1372"/>
      <c r="N639" s="1372"/>
      <c r="O639" s="1372"/>
      <c r="P639" s="1372"/>
      <c r="Q639" s="1372"/>
      <c r="R639" s="1372"/>
      <c r="S639" s="1372"/>
      <c r="T639" s="1372"/>
      <c r="U639" s="1372"/>
      <c r="V639" s="1372"/>
      <c r="W639" s="1372"/>
      <c r="X639" s="1372"/>
      <c r="Y639" s="1372"/>
      <c r="Z639" s="1372"/>
    </row>
    <row r="640" spans="1:26" ht="15.75" customHeight="1" x14ac:dyDescent="0.25">
      <c r="A640" s="1371"/>
      <c r="B640" s="1371"/>
      <c r="C640" s="1371"/>
      <c r="D640" s="1371"/>
      <c r="E640" s="1371"/>
      <c r="F640" s="1371"/>
      <c r="G640" s="1371"/>
      <c r="H640" s="1371"/>
      <c r="I640" s="1372"/>
      <c r="J640" s="1372"/>
      <c r="K640" s="1372"/>
      <c r="L640" s="1372"/>
      <c r="M640" s="1372"/>
      <c r="N640" s="1372"/>
      <c r="O640" s="1372"/>
      <c r="P640" s="1372"/>
      <c r="Q640" s="1372"/>
      <c r="R640" s="1372"/>
      <c r="S640" s="1372"/>
      <c r="T640" s="1372"/>
      <c r="U640" s="1372"/>
      <c r="V640" s="1372"/>
      <c r="W640" s="1372"/>
      <c r="X640" s="1372"/>
      <c r="Y640" s="1372"/>
      <c r="Z640" s="1372"/>
    </row>
    <row r="641" spans="1:26" ht="15.75" customHeight="1" x14ac:dyDescent="0.25">
      <c r="A641" s="1371"/>
      <c r="B641" s="1371"/>
      <c r="C641" s="1371"/>
      <c r="D641" s="1371"/>
      <c r="E641" s="1371"/>
      <c r="F641" s="1371"/>
      <c r="G641" s="1371"/>
      <c r="H641" s="1371"/>
      <c r="I641" s="1372"/>
      <c r="J641" s="1372"/>
      <c r="K641" s="1372"/>
      <c r="L641" s="1372"/>
      <c r="M641" s="1372"/>
      <c r="N641" s="1372"/>
      <c r="O641" s="1372"/>
      <c r="P641" s="1372"/>
      <c r="Q641" s="1372"/>
      <c r="R641" s="1372"/>
      <c r="S641" s="1372"/>
      <c r="T641" s="1372"/>
      <c r="U641" s="1372"/>
      <c r="V641" s="1372"/>
      <c r="W641" s="1372"/>
      <c r="X641" s="1372"/>
      <c r="Y641" s="1372"/>
      <c r="Z641" s="1372"/>
    </row>
    <row r="642" spans="1:26" ht="15.75" customHeight="1" x14ac:dyDescent="0.25">
      <c r="A642" s="1371"/>
      <c r="B642" s="1371"/>
      <c r="C642" s="1371"/>
      <c r="D642" s="1371"/>
      <c r="E642" s="1371"/>
      <c r="F642" s="1371"/>
      <c r="G642" s="1371"/>
      <c r="H642" s="1371"/>
      <c r="I642" s="1372"/>
      <c r="J642" s="1372"/>
      <c r="K642" s="1372"/>
      <c r="L642" s="1372"/>
      <c r="M642" s="1372"/>
      <c r="N642" s="1372"/>
      <c r="O642" s="1372"/>
      <c r="P642" s="1372"/>
      <c r="Q642" s="1372"/>
      <c r="R642" s="1372"/>
      <c r="S642" s="1372"/>
      <c r="T642" s="1372"/>
      <c r="U642" s="1372"/>
      <c r="V642" s="1372"/>
      <c r="W642" s="1372"/>
      <c r="X642" s="1372"/>
      <c r="Y642" s="1372"/>
      <c r="Z642" s="1372"/>
    </row>
    <row r="643" spans="1:26" ht="15.75" customHeight="1" x14ac:dyDescent="0.25">
      <c r="A643" s="1371"/>
      <c r="B643" s="1371"/>
      <c r="C643" s="1371"/>
      <c r="D643" s="1371"/>
      <c r="E643" s="1371"/>
      <c r="F643" s="1371"/>
      <c r="G643" s="1371"/>
      <c r="H643" s="1371"/>
      <c r="I643" s="1372"/>
      <c r="J643" s="1372"/>
      <c r="K643" s="1372"/>
      <c r="L643" s="1372"/>
      <c r="M643" s="1372"/>
      <c r="N643" s="1372"/>
      <c r="O643" s="1372"/>
      <c r="P643" s="1372"/>
      <c r="Q643" s="1372"/>
      <c r="R643" s="1372"/>
      <c r="S643" s="1372"/>
      <c r="T643" s="1372"/>
      <c r="U643" s="1372"/>
      <c r="V643" s="1372"/>
      <c r="W643" s="1372"/>
      <c r="X643" s="1372"/>
      <c r="Y643" s="1372"/>
      <c r="Z643" s="1372"/>
    </row>
    <row r="644" spans="1:26" ht="15.75" customHeight="1" x14ac:dyDescent="0.25">
      <c r="A644" s="1371"/>
      <c r="B644" s="1371"/>
      <c r="C644" s="1371"/>
      <c r="D644" s="1371"/>
      <c r="E644" s="1371"/>
      <c r="F644" s="1371"/>
      <c r="G644" s="1371"/>
      <c r="H644" s="1371"/>
      <c r="I644" s="1372"/>
      <c r="J644" s="1372"/>
      <c r="K644" s="1372"/>
      <c r="L644" s="1372"/>
      <c r="M644" s="1372"/>
      <c r="N644" s="1372"/>
      <c r="O644" s="1372"/>
      <c r="P644" s="1372"/>
      <c r="Q644" s="1372"/>
      <c r="R644" s="1372"/>
      <c r="S644" s="1372"/>
      <c r="T644" s="1372"/>
      <c r="U644" s="1372"/>
      <c r="V644" s="1372"/>
      <c r="W644" s="1372"/>
      <c r="X644" s="1372"/>
      <c r="Y644" s="1372"/>
      <c r="Z644" s="1372"/>
    </row>
    <row r="645" spans="1:26" ht="15.75" customHeight="1" x14ac:dyDescent="0.25">
      <c r="A645" s="1371"/>
      <c r="B645" s="1371"/>
      <c r="C645" s="1371"/>
      <c r="D645" s="1371"/>
      <c r="E645" s="1371"/>
      <c r="F645" s="1371"/>
      <c r="G645" s="1371"/>
      <c r="H645" s="1371"/>
      <c r="I645" s="1372"/>
      <c r="J645" s="1372"/>
      <c r="K645" s="1372"/>
      <c r="L645" s="1372"/>
      <c r="M645" s="1372"/>
      <c r="N645" s="1372"/>
      <c r="O645" s="1372"/>
      <c r="P645" s="1372"/>
      <c r="Q645" s="1372"/>
      <c r="R645" s="1372"/>
      <c r="S645" s="1372"/>
      <c r="T645" s="1372"/>
      <c r="U645" s="1372"/>
      <c r="V645" s="1372"/>
      <c r="W645" s="1372"/>
      <c r="X645" s="1372"/>
      <c r="Y645" s="1372"/>
      <c r="Z645" s="1372"/>
    </row>
    <row r="646" spans="1:26" ht="15.75" customHeight="1" x14ac:dyDescent="0.25">
      <c r="A646" s="1371"/>
      <c r="B646" s="1371"/>
      <c r="C646" s="1371"/>
      <c r="D646" s="1371"/>
      <c r="E646" s="1371"/>
      <c r="F646" s="1371"/>
      <c r="G646" s="1371"/>
      <c r="H646" s="1371"/>
      <c r="I646" s="1372"/>
      <c r="J646" s="1372"/>
      <c r="K646" s="1372"/>
      <c r="L646" s="1372"/>
      <c r="M646" s="1372"/>
      <c r="N646" s="1372"/>
      <c r="O646" s="1372"/>
      <c r="P646" s="1372"/>
      <c r="Q646" s="1372"/>
      <c r="R646" s="1372"/>
      <c r="S646" s="1372"/>
      <c r="T646" s="1372"/>
      <c r="U646" s="1372"/>
      <c r="V646" s="1372"/>
      <c r="W646" s="1372"/>
      <c r="X646" s="1372"/>
      <c r="Y646" s="1372"/>
      <c r="Z646" s="1372"/>
    </row>
    <row r="647" spans="1:26" ht="15.75" customHeight="1" x14ac:dyDescent="0.25">
      <c r="A647" s="1371"/>
      <c r="B647" s="1371"/>
      <c r="C647" s="1371"/>
      <c r="D647" s="1371"/>
      <c r="E647" s="1371"/>
      <c r="F647" s="1371"/>
      <c r="G647" s="1371"/>
      <c r="H647" s="1371"/>
      <c r="I647" s="1372"/>
      <c r="J647" s="1372"/>
      <c r="K647" s="1372"/>
      <c r="L647" s="1372"/>
      <c r="M647" s="1372"/>
      <c r="N647" s="1372"/>
      <c r="O647" s="1372"/>
      <c r="P647" s="1372"/>
      <c r="Q647" s="1372"/>
      <c r="R647" s="1372"/>
      <c r="S647" s="1372"/>
      <c r="T647" s="1372"/>
      <c r="U647" s="1372"/>
      <c r="V647" s="1372"/>
      <c r="W647" s="1372"/>
      <c r="X647" s="1372"/>
      <c r="Y647" s="1372"/>
      <c r="Z647" s="1372"/>
    </row>
    <row r="648" spans="1:26" ht="15.75" customHeight="1" x14ac:dyDescent="0.25">
      <c r="A648" s="1371"/>
      <c r="B648" s="1371"/>
      <c r="C648" s="1371"/>
      <c r="D648" s="1371"/>
      <c r="E648" s="1371"/>
      <c r="F648" s="1371"/>
      <c r="G648" s="1371"/>
      <c r="H648" s="1371"/>
      <c r="I648" s="1372"/>
      <c r="J648" s="1372"/>
      <c r="K648" s="1372"/>
      <c r="L648" s="1372"/>
      <c r="M648" s="1372"/>
      <c r="N648" s="1372"/>
      <c r="O648" s="1372"/>
      <c r="P648" s="1372"/>
      <c r="Q648" s="1372"/>
      <c r="R648" s="1372"/>
      <c r="S648" s="1372"/>
      <c r="T648" s="1372"/>
      <c r="U648" s="1372"/>
      <c r="V648" s="1372"/>
      <c r="W648" s="1372"/>
      <c r="X648" s="1372"/>
      <c r="Y648" s="1372"/>
      <c r="Z648" s="1372"/>
    </row>
    <row r="649" spans="1:26" ht="15.75" customHeight="1" x14ac:dyDescent="0.25">
      <c r="A649" s="1371"/>
      <c r="B649" s="1371"/>
      <c r="C649" s="1371"/>
      <c r="D649" s="1371"/>
      <c r="E649" s="1371"/>
      <c r="F649" s="1371"/>
      <c r="G649" s="1371"/>
      <c r="H649" s="1371"/>
      <c r="I649" s="1372"/>
      <c r="J649" s="1372"/>
      <c r="K649" s="1372"/>
      <c r="L649" s="1372"/>
      <c r="M649" s="1372"/>
      <c r="N649" s="1372"/>
      <c r="O649" s="1372"/>
      <c r="P649" s="1372"/>
      <c r="Q649" s="1372"/>
      <c r="R649" s="1372"/>
      <c r="S649" s="1372"/>
      <c r="T649" s="1372"/>
      <c r="U649" s="1372"/>
      <c r="V649" s="1372"/>
      <c r="W649" s="1372"/>
      <c r="X649" s="1372"/>
      <c r="Y649" s="1372"/>
      <c r="Z649" s="1372"/>
    </row>
    <row r="650" spans="1:26" ht="15.75" customHeight="1" x14ac:dyDescent="0.25">
      <c r="A650" s="1371"/>
      <c r="B650" s="1371"/>
      <c r="C650" s="1371"/>
      <c r="D650" s="1371"/>
      <c r="E650" s="1371"/>
      <c r="F650" s="1371"/>
      <c r="G650" s="1371"/>
      <c r="H650" s="1371"/>
      <c r="I650" s="1372"/>
      <c r="J650" s="1372"/>
      <c r="K650" s="1372"/>
      <c r="L650" s="1372"/>
      <c r="M650" s="1372"/>
      <c r="N650" s="1372"/>
      <c r="O650" s="1372"/>
      <c r="P650" s="1372"/>
      <c r="Q650" s="1372"/>
      <c r="R650" s="1372"/>
      <c r="S650" s="1372"/>
      <c r="T650" s="1372"/>
      <c r="U650" s="1372"/>
      <c r="V650" s="1372"/>
      <c r="W650" s="1372"/>
      <c r="X650" s="1372"/>
      <c r="Y650" s="1372"/>
      <c r="Z650" s="1372"/>
    </row>
    <row r="651" spans="1:26" ht="15.75" customHeight="1" x14ac:dyDescent="0.25">
      <c r="A651" s="1371"/>
      <c r="B651" s="1371"/>
      <c r="C651" s="1371"/>
      <c r="D651" s="1371"/>
      <c r="E651" s="1371"/>
      <c r="F651" s="1371"/>
      <c r="G651" s="1371"/>
      <c r="H651" s="1371"/>
      <c r="I651" s="1372"/>
      <c r="J651" s="1372"/>
      <c r="K651" s="1372"/>
      <c r="L651" s="1372"/>
      <c r="M651" s="1372"/>
      <c r="N651" s="1372"/>
      <c r="O651" s="1372"/>
      <c r="P651" s="1372"/>
      <c r="Q651" s="1372"/>
      <c r="R651" s="1372"/>
      <c r="S651" s="1372"/>
      <c r="T651" s="1372"/>
      <c r="U651" s="1372"/>
      <c r="V651" s="1372"/>
      <c r="W651" s="1372"/>
      <c r="X651" s="1372"/>
      <c r="Y651" s="1372"/>
      <c r="Z651" s="1372"/>
    </row>
    <row r="652" spans="1:26" ht="15.75" customHeight="1" x14ac:dyDescent="0.25">
      <c r="A652" s="1371"/>
      <c r="B652" s="1371"/>
      <c r="C652" s="1371"/>
      <c r="D652" s="1371"/>
      <c r="E652" s="1371"/>
      <c r="F652" s="1371"/>
      <c r="G652" s="1371"/>
      <c r="H652" s="1371"/>
      <c r="I652" s="1372"/>
      <c r="J652" s="1372"/>
      <c r="K652" s="1372"/>
      <c r="L652" s="1372"/>
      <c r="M652" s="1372"/>
      <c r="N652" s="1372"/>
      <c r="O652" s="1372"/>
      <c r="P652" s="1372"/>
      <c r="Q652" s="1372"/>
      <c r="R652" s="1372"/>
      <c r="S652" s="1372"/>
      <c r="T652" s="1372"/>
      <c r="U652" s="1372"/>
      <c r="V652" s="1372"/>
      <c r="W652" s="1372"/>
      <c r="X652" s="1372"/>
      <c r="Y652" s="1372"/>
      <c r="Z652" s="1372"/>
    </row>
    <row r="653" spans="1:26" ht="15.75" customHeight="1" x14ac:dyDescent="0.25">
      <c r="A653" s="1371"/>
      <c r="B653" s="1371"/>
      <c r="C653" s="1371"/>
      <c r="D653" s="1371"/>
      <c r="E653" s="1371"/>
      <c r="F653" s="1371"/>
      <c r="G653" s="1371"/>
      <c r="H653" s="1371"/>
      <c r="I653" s="1372"/>
      <c r="J653" s="1372"/>
      <c r="K653" s="1372"/>
      <c r="L653" s="1372"/>
      <c r="M653" s="1372"/>
      <c r="N653" s="1372"/>
      <c r="O653" s="1372"/>
      <c r="P653" s="1372"/>
      <c r="Q653" s="1372"/>
      <c r="R653" s="1372"/>
      <c r="S653" s="1372"/>
      <c r="T653" s="1372"/>
      <c r="U653" s="1372"/>
      <c r="V653" s="1372"/>
      <c r="W653" s="1372"/>
      <c r="X653" s="1372"/>
      <c r="Y653" s="1372"/>
      <c r="Z653" s="1372"/>
    </row>
    <row r="654" spans="1:26" ht="15.75" customHeight="1" x14ac:dyDescent="0.25">
      <c r="A654" s="1371"/>
      <c r="B654" s="1371"/>
      <c r="C654" s="1371"/>
      <c r="D654" s="1371"/>
      <c r="E654" s="1371"/>
      <c r="F654" s="1371"/>
      <c r="G654" s="1371"/>
      <c r="H654" s="1371"/>
      <c r="I654" s="1372"/>
      <c r="J654" s="1372"/>
      <c r="K654" s="1372"/>
      <c r="L654" s="1372"/>
      <c r="M654" s="1372"/>
      <c r="N654" s="1372"/>
      <c r="O654" s="1372"/>
      <c r="P654" s="1372"/>
      <c r="Q654" s="1372"/>
      <c r="R654" s="1372"/>
      <c r="S654" s="1372"/>
      <c r="T654" s="1372"/>
      <c r="U654" s="1372"/>
      <c r="V654" s="1372"/>
      <c r="W654" s="1372"/>
      <c r="X654" s="1372"/>
      <c r="Y654" s="1372"/>
      <c r="Z654" s="1372"/>
    </row>
    <row r="655" spans="1:26" ht="15.75" customHeight="1" x14ac:dyDescent="0.25">
      <c r="A655" s="1371"/>
      <c r="B655" s="1371"/>
      <c r="C655" s="1371"/>
      <c r="D655" s="1371"/>
      <c r="E655" s="1371"/>
      <c r="F655" s="1371"/>
      <c r="G655" s="1371"/>
      <c r="H655" s="1371"/>
      <c r="I655" s="1372"/>
      <c r="J655" s="1372"/>
      <c r="K655" s="1372"/>
      <c r="L655" s="1372"/>
      <c r="M655" s="1372"/>
      <c r="N655" s="1372"/>
      <c r="O655" s="1372"/>
      <c r="P655" s="1372"/>
      <c r="Q655" s="1372"/>
      <c r="R655" s="1372"/>
      <c r="S655" s="1372"/>
      <c r="T655" s="1372"/>
      <c r="U655" s="1372"/>
      <c r="V655" s="1372"/>
      <c r="W655" s="1372"/>
      <c r="X655" s="1372"/>
      <c r="Y655" s="1372"/>
      <c r="Z655" s="1372"/>
    </row>
    <row r="656" spans="1:26" ht="15.75" customHeight="1" x14ac:dyDescent="0.25">
      <c r="A656" s="1371"/>
      <c r="B656" s="1371"/>
      <c r="C656" s="1371"/>
      <c r="D656" s="1371"/>
      <c r="E656" s="1371"/>
      <c r="F656" s="1371"/>
      <c r="G656" s="1371"/>
      <c r="H656" s="1371"/>
      <c r="I656" s="1372"/>
      <c r="J656" s="1372"/>
      <c r="K656" s="1372"/>
      <c r="L656" s="1372"/>
      <c r="M656" s="1372"/>
      <c r="N656" s="1372"/>
      <c r="O656" s="1372"/>
      <c r="P656" s="1372"/>
      <c r="Q656" s="1372"/>
      <c r="R656" s="1372"/>
      <c r="S656" s="1372"/>
      <c r="T656" s="1372"/>
      <c r="U656" s="1372"/>
      <c r="V656" s="1372"/>
      <c r="W656" s="1372"/>
      <c r="X656" s="1372"/>
      <c r="Y656" s="1372"/>
      <c r="Z656" s="1372"/>
    </row>
    <row r="657" spans="1:26" ht="15.75" customHeight="1" x14ac:dyDescent="0.25">
      <c r="A657" s="1371"/>
      <c r="B657" s="1371"/>
      <c r="C657" s="1371"/>
      <c r="D657" s="1371"/>
      <c r="E657" s="1371"/>
      <c r="F657" s="1371"/>
      <c r="G657" s="1371"/>
      <c r="H657" s="1371"/>
      <c r="I657" s="1372"/>
      <c r="J657" s="1372"/>
      <c r="K657" s="1372"/>
      <c r="L657" s="1372"/>
      <c r="M657" s="1372"/>
      <c r="N657" s="1372"/>
      <c r="O657" s="1372"/>
      <c r="P657" s="1372"/>
      <c r="Q657" s="1372"/>
      <c r="R657" s="1372"/>
      <c r="S657" s="1372"/>
      <c r="T657" s="1372"/>
      <c r="U657" s="1372"/>
      <c r="V657" s="1372"/>
      <c r="W657" s="1372"/>
      <c r="X657" s="1372"/>
      <c r="Y657" s="1372"/>
      <c r="Z657" s="1372"/>
    </row>
    <row r="658" spans="1:26" ht="15.75" customHeight="1" x14ac:dyDescent="0.25">
      <c r="A658" s="1371"/>
      <c r="B658" s="1371"/>
      <c r="C658" s="1371"/>
      <c r="D658" s="1371"/>
      <c r="E658" s="1371"/>
      <c r="F658" s="1371"/>
      <c r="G658" s="1371"/>
      <c r="H658" s="1371"/>
      <c r="I658" s="1372"/>
      <c r="J658" s="1372"/>
      <c r="K658" s="1372"/>
      <c r="L658" s="1372"/>
      <c r="M658" s="1372"/>
      <c r="N658" s="1372"/>
      <c r="O658" s="1372"/>
      <c r="P658" s="1372"/>
      <c r="Q658" s="1372"/>
      <c r="R658" s="1372"/>
      <c r="S658" s="1372"/>
      <c r="T658" s="1372"/>
      <c r="U658" s="1372"/>
      <c r="V658" s="1372"/>
      <c r="W658" s="1372"/>
      <c r="X658" s="1372"/>
      <c r="Y658" s="1372"/>
      <c r="Z658" s="1372"/>
    </row>
    <row r="659" spans="1:26" ht="15.75" customHeight="1" x14ac:dyDescent="0.25">
      <c r="A659" s="1371"/>
      <c r="B659" s="1371"/>
      <c r="C659" s="1371"/>
      <c r="D659" s="1371"/>
      <c r="E659" s="1371"/>
      <c r="F659" s="1371"/>
      <c r="G659" s="1371"/>
      <c r="H659" s="1371"/>
      <c r="I659" s="1372"/>
      <c r="J659" s="1372"/>
      <c r="K659" s="1372"/>
      <c r="L659" s="1372"/>
      <c r="M659" s="1372"/>
      <c r="N659" s="1372"/>
      <c r="O659" s="1372"/>
      <c r="P659" s="1372"/>
      <c r="Q659" s="1372"/>
      <c r="R659" s="1372"/>
      <c r="S659" s="1372"/>
      <c r="T659" s="1372"/>
      <c r="U659" s="1372"/>
      <c r="V659" s="1372"/>
      <c r="W659" s="1372"/>
      <c r="X659" s="1372"/>
      <c r="Y659" s="1372"/>
      <c r="Z659" s="1372"/>
    </row>
    <row r="660" spans="1:26" ht="15.75" customHeight="1" x14ac:dyDescent="0.25">
      <c r="A660" s="1371"/>
      <c r="B660" s="1371"/>
      <c r="C660" s="1371"/>
      <c r="D660" s="1371"/>
      <c r="E660" s="1371"/>
      <c r="F660" s="1371"/>
      <c r="G660" s="1371"/>
      <c r="H660" s="1371"/>
      <c r="I660" s="1372"/>
      <c r="J660" s="1372"/>
      <c r="K660" s="1372"/>
      <c r="L660" s="1372"/>
      <c r="M660" s="1372"/>
      <c r="N660" s="1372"/>
      <c r="O660" s="1372"/>
      <c r="P660" s="1372"/>
      <c r="Q660" s="1372"/>
      <c r="R660" s="1372"/>
      <c r="S660" s="1372"/>
      <c r="T660" s="1372"/>
      <c r="U660" s="1372"/>
      <c r="V660" s="1372"/>
      <c r="W660" s="1372"/>
      <c r="X660" s="1372"/>
      <c r="Y660" s="1372"/>
      <c r="Z660" s="1372"/>
    </row>
    <row r="661" spans="1:26" ht="15.75" customHeight="1" x14ac:dyDescent="0.25">
      <c r="A661" s="1371"/>
      <c r="B661" s="1371"/>
      <c r="C661" s="1371"/>
      <c r="D661" s="1371"/>
      <c r="E661" s="1371"/>
      <c r="F661" s="1371"/>
      <c r="G661" s="1371"/>
      <c r="H661" s="1371"/>
      <c r="I661" s="1372"/>
      <c r="J661" s="1372"/>
      <c r="K661" s="1372"/>
      <c r="L661" s="1372"/>
      <c r="M661" s="1372"/>
      <c r="N661" s="1372"/>
      <c r="O661" s="1372"/>
      <c r="P661" s="1372"/>
      <c r="Q661" s="1372"/>
      <c r="R661" s="1372"/>
      <c r="S661" s="1372"/>
      <c r="T661" s="1372"/>
      <c r="U661" s="1372"/>
      <c r="V661" s="1372"/>
      <c r="W661" s="1372"/>
      <c r="X661" s="1372"/>
      <c r="Y661" s="1372"/>
      <c r="Z661" s="1372"/>
    </row>
    <row r="662" spans="1:26" ht="15.75" customHeight="1" x14ac:dyDescent="0.25">
      <c r="A662" s="1371"/>
      <c r="B662" s="1371"/>
      <c r="C662" s="1371"/>
      <c r="D662" s="1371"/>
      <c r="E662" s="1371"/>
      <c r="F662" s="1371"/>
      <c r="G662" s="1371"/>
      <c r="H662" s="1371"/>
      <c r="I662" s="1372"/>
      <c r="J662" s="1372"/>
      <c r="K662" s="1372"/>
      <c r="L662" s="1372"/>
      <c r="M662" s="1372"/>
      <c r="N662" s="1372"/>
      <c r="O662" s="1372"/>
      <c r="P662" s="1372"/>
      <c r="Q662" s="1372"/>
      <c r="R662" s="1372"/>
      <c r="S662" s="1372"/>
      <c r="T662" s="1372"/>
      <c r="U662" s="1372"/>
      <c r="V662" s="1372"/>
      <c r="W662" s="1372"/>
      <c r="X662" s="1372"/>
      <c r="Y662" s="1372"/>
      <c r="Z662" s="1372"/>
    </row>
    <row r="663" spans="1:26" ht="15.75" customHeight="1" x14ac:dyDescent="0.25">
      <c r="A663" s="1371"/>
      <c r="B663" s="1371"/>
      <c r="C663" s="1371"/>
      <c r="D663" s="1371"/>
      <c r="E663" s="1371"/>
      <c r="F663" s="1371"/>
      <c r="G663" s="1371"/>
      <c r="H663" s="1371"/>
      <c r="I663" s="1372"/>
      <c r="J663" s="1372"/>
      <c r="K663" s="1372"/>
      <c r="L663" s="1372"/>
      <c r="M663" s="1372"/>
      <c r="N663" s="1372"/>
      <c r="O663" s="1372"/>
      <c r="P663" s="1372"/>
      <c r="Q663" s="1372"/>
      <c r="R663" s="1372"/>
      <c r="S663" s="1372"/>
      <c r="T663" s="1372"/>
      <c r="U663" s="1372"/>
      <c r="V663" s="1372"/>
      <c r="W663" s="1372"/>
      <c r="X663" s="1372"/>
      <c r="Y663" s="1372"/>
      <c r="Z663" s="1372"/>
    </row>
    <row r="664" spans="1:26" ht="15.75" customHeight="1" x14ac:dyDescent="0.25">
      <c r="A664" s="1371"/>
      <c r="B664" s="1371"/>
      <c r="C664" s="1371"/>
      <c r="D664" s="1371"/>
      <c r="E664" s="1371"/>
      <c r="F664" s="1371"/>
      <c r="G664" s="1371"/>
      <c r="H664" s="1371"/>
      <c r="I664" s="1372"/>
      <c r="J664" s="1372"/>
      <c r="K664" s="1372"/>
      <c r="L664" s="1372"/>
      <c r="M664" s="1372"/>
      <c r="N664" s="1372"/>
      <c r="O664" s="1372"/>
      <c r="P664" s="1372"/>
      <c r="Q664" s="1372"/>
      <c r="R664" s="1372"/>
      <c r="S664" s="1372"/>
      <c r="T664" s="1372"/>
      <c r="U664" s="1372"/>
      <c r="V664" s="1372"/>
      <c r="W664" s="1372"/>
      <c r="X664" s="1372"/>
      <c r="Y664" s="1372"/>
      <c r="Z664" s="1372"/>
    </row>
    <row r="665" spans="1:26" ht="15.75" customHeight="1" x14ac:dyDescent="0.25">
      <c r="A665" s="1371"/>
      <c r="B665" s="1371"/>
      <c r="C665" s="1371"/>
      <c r="D665" s="1371"/>
      <c r="E665" s="1371"/>
      <c r="F665" s="1371"/>
      <c r="G665" s="1371"/>
      <c r="H665" s="1371"/>
      <c r="I665" s="1372"/>
      <c r="J665" s="1372"/>
      <c r="K665" s="1372"/>
      <c r="L665" s="1372"/>
      <c r="M665" s="1372"/>
      <c r="N665" s="1372"/>
      <c r="O665" s="1372"/>
      <c r="P665" s="1372"/>
      <c r="Q665" s="1372"/>
      <c r="R665" s="1372"/>
      <c r="S665" s="1372"/>
      <c r="T665" s="1372"/>
      <c r="U665" s="1372"/>
      <c r="V665" s="1372"/>
      <c r="W665" s="1372"/>
      <c r="X665" s="1372"/>
      <c r="Y665" s="1372"/>
      <c r="Z665" s="1372"/>
    </row>
    <row r="666" spans="1:26" ht="15.75" customHeight="1" x14ac:dyDescent="0.25">
      <c r="A666" s="1371"/>
      <c r="B666" s="1371"/>
      <c r="C666" s="1371"/>
      <c r="D666" s="1371"/>
      <c r="E666" s="1371"/>
      <c r="F666" s="1371"/>
      <c r="G666" s="1371"/>
      <c r="H666" s="1371"/>
      <c r="I666" s="1372"/>
      <c r="J666" s="1372"/>
      <c r="K666" s="1372"/>
      <c r="L666" s="1372"/>
      <c r="M666" s="1372"/>
      <c r="N666" s="1372"/>
      <c r="O666" s="1372"/>
      <c r="P666" s="1372"/>
      <c r="Q666" s="1372"/>
      <c r="R666" s="1372"/>
      <c r="S666" s="1372"/>
      <c r="T666" s="1372"/>
      <c r="U666" s="1372"/>
      <c r="V666" s="1372"/>
      <c r="W666" s="1372"/>
      <c r="X666" s="1372"/>
      <c r="Y666" s="1372"/>
      <c r="Z666" s="1372"/>
    </row>
    <row r="667" spans="1:26" ht="15.75" customHeight="1" x14ac:dyDescent="0.25">
      <c r="A667" s="1371"/>
      <c r="B667" s="1371"/>
      <c r="C667" s="1371"/>
      <c r="D667" s="1371"/>
      <c r="E667" s="1371"/>
      <c r="F667" s="1371"/>
      <c r="G667" s="1371"/>
      <c r="H667" s="1371"/>
      <c r="I667" s="1372"/>
      <c r="J667" s="1372"/>
      <c r="K667" s="1372"/>
      <c r="L667" s="1372"/>
      <c r="M667" s="1372"/>
      <c r="N667" s="1372"/>
      <c r="O667" s="1372"/>
      <c r="P667" s="1372"/>
      <c r="Q667" s="1372"/>
      <c r="R667" s="1372"/>
      <c r="S667" s="1372"/>
      <c r="T667" s="1372"/>
      <c r="U667" s="1372"/>
      <c r="V667" s="1372"/>
      <c r="W667" s="1372"/>
      <c r="X667" s="1372"/>
      <c r="Y667" s="1372"/>
      <c r="Z667" s="1372"/>
    </row>
    <row r="668" spans="1:26" ht="15.75" customHeight="1" x14ac:dyDescent="0.25">
      <c r="A668" s="1371"/>
      <c r="B668" s="1371"/>
      <c r="C668" s="1371"/>
      <c r="D668" s="1371"/>
      <c r="E668" s="1371"/>
      <c r="F668" s="1371"/>
      <c r="G668" s="1371"/>
      <c r="H668" s="1371"/>
      <c r="I668" s="1372"/>
      <c r="J668" s="1372"/>
      <c r="K668" s="1372"/>
      <c r="L668" s="1372"/>
      <c r="M668" s="1372"/>
      <c r="N668" s="1372"/>
      <c r="O668" s="1372"/>
      <c r="P668" s="1372"/>
      <c r="Q668" s="1372"/>
      <c r="R668" s="1372"/>
      <c r="S668" s="1372"/>
      <c r="T668" s="1372"/>
      <c r="U668" s="1372"/>
      <c r="V668" s="1372"/>
      <c r="W668" s="1372"/>
      <c r="X668" s="1372"/>
      <c r="Y668" s="1372"/>
      <c r="Z668" s="1372"/>
    </row>
    <row r="669" spans="1:26" ht="15.75" customHeight="1" x14ac:dyDescent="0.25">
      <c r="A669" s="1371"/>
      <c r="B669" s="1371"/>
      <c r="C669" s="1371"/>
      <c r="D669" s="1371"/>
      <c r="E669" s="1371"/>
      <c r="F669" s="1371"/>
      <c r="G669" s="1371"/>
      <c r="H669" s="1371"/>
      <c r="I669" s="1372"/>
      <c r="J669" s="1372"/>
      <c r="K669" s="1372"/>
      <c r="L669" s="1372"/>
      <c r="M669" s="1372"/>
      <c r="N669" s="1372"/>
      <c r="O669" s="1372"/>
      <c r="P669" s="1372"/>
      <c r="Q669" s="1372"/>
      <c r="R669" s="1372"/>
      <c r="S669" s="1372"/>
      <c r="T669" s="1372"/>
      <c r="U669" s="1372"/>
      <c r="V669" s="1372"/>
      <c r="W669" s="1372"/>
      <c r="X669" s="1372"/>
      <c r="Y669" s="1372"/>
      <c r="Z669" s="1372"/>
    </row>
    <row r="670" spans="1:26" ht="15.75" customHeight="1" x14ac:dyDescent="0.25">
      <c r="A670" s="1371"/>
      <c r="B670" s="1371"/>
      <c r="C670" s="1371"/>
      <c r="D670" s="1371"/>
      <c r="E670" s="1371"/>
      <c r="F670" s="1371"/>
      <c r="G670" s="1371"/>
      <c r="H670" s="1371"/>
      <c r="I670" s="1372"/>
      <c r="J670" s="1372"/>
      <c r="K670" s="1372"/>
      <c r="L670" s="1372"/>
      <c r="M670" s="1372"/>
      <c r="N670" s="1372"/>
      <c r="O670" s="1372"/>
      <c r="P670" s="1372"/>
      <c r="Q670" s="1372"/>
      <c r="R670" s="1372"/>
      <c r="S670" s="1372"/>
      <c r="T670" s="1372"/>
      <c r="U670" s="1372"/>
      <c r="V670" s="1372"/>
      <c r="W670" s="1372"/>
      <c r="X670" s="1372"/>
      <c r="Y670" s="1372"/>
      <c r="Z670" s="1372"/>
    </row>
    <row r="671" spans="1:26" ht="15.75" customHeight="1" x14ac:dyDescent="0.25">
      <c r="A671" s="1371"/>
      <c r="B671" s="1371"/>
      <c r="C671" s="1371"/>
      <c r="D671" s="1371"/>
      <c r="E671" s="1371"/>
      <c r="F671" s="1371"/>
      <c r="G671" s="1371"/>
      <c r="H671" s="1371"/>
      <c r="I671" s="1372"/>
      <c r="J671" s="1372"/>
      <c r="K671" s="1372"/>
      <c r="L671" s="1372"/>
      <c r="M671" s="1372"/>
      <c r="N671" s="1372"/>
      <c r="O671" s="1372"/>
      <c r="P671" s="1372"/>
      <c r="Q671" s="1372"/>
      <c r="R671" s="1372"/>
      <c r="S671" s="1372"/>
      <c r="T671" s="1372"/>
      <c r="U671" s="1372"/>
      <c r="V671" s="1372"/>
      <c r="W671" s="1372"/>
      <c r="X671" s="1372"/>
      <c r="Y671" s="1372"/>
      <c r="Z671" s="1372"/>
    </row>
    <row r="672" spans="1:26" ht="15.75" customHeight="1" x14ac:dyDescent="0.25">
      <c r="A672" s="1371"/>
      <c r="B672" s="1371"/>
      <c r="C672" s="1371"/>
      <c r="D672" s="1371"/>
      <c r="E672" s="1371"/>
      <c r="F672" s="1371"/>
      <c r="G672" s="1371"/>
      <c r="H672" s="1371"/>
      <c r="I672" s="1372"/>
      <c r="J672" s="1372"/>
      <c r="K672" s="1372"/>
      <c r="L672" s="1372"/>
      <c r="M672" s="1372"/>
      <c r="N672" s="1372"/>
      <c r="O672" s="1372"/>
      <c r="P672" s="1372"/>
      <c r="Q672" s="1372"/>
      <c r="R672" s="1372"/>
      <c r="S672" s="1372"/>
      <c r="T672" s="1372"/>
      <c r="U672" s="1372"/>
      <c r="V672" s="1372"/>
      <c r="W672" s="1372"/>
      <c r="X672" s="1372"/>
      <c r="Y672" s="1372"/>
      <c r="Z672" s="1372"/>
    </row>
    <row r="673" spans="1:26" ht="15.75" customHeight="1" x14ac:dyDescent="0.25">
      <c r="A673" s="1371"/>
      <c r="B673" s="1371"/>
      <c r="C673" s="1371"/>
      <c r="D673" s="1371"/>
      <c r="E673" s="1371"/>
      <c r="F673" s="1371"/>
      <c r="G673" s="1371"/>
      <c r="H673" s="1371"/>
      <c r="I673" s="1372"/>
      <c r="J673" s="1372"/>
      <c r="K673" s="1372"/>
      <c r="L673" s="1372"/>
      <c r="M673" s="1372"/>
      <c r="N673" s="1372"/>
      <c r="O673" s="1372"/>
      <c r="P673" s="1372"/>
      <c r="Q673" s="1372"/>
      <c r="R673" s="1372"/>
      <c r="S673" s="1372"/>
      <c r="T673" s="1372"/>
      <c r="U673" s="1372"/>
      <c r="V673" s="1372"/>
      <c r="W673" s="1372"/>
      <c r="X673" s="1372"/>
      <c r="Y673" s="1372"/>
      <c r="Z673" s="1372"/>
    </row>
    <row r="674" spans="1:26" ht="15.75" customHeight="1" x14ac:dyDescent="0.25">
      <c r="A674" s="1371"/>
      <c r="B674" s="1371"/>
      <c r="C674" s="1371"/>
      <c r="D674" s="1371"/>
      <c r="E674" s="1371"/>
      <c r="F674" s="1371"/>
      <c r="G674" s="1371"/>
      <c r="H674" s="1371"/>
      <c r="I674" s="1372"/>
      <c r="J674" s="1372"/>
      <c r="K674" s="1372"/>
      <c r="L674" s="1372"/>
      <c r="M674" s="1372"/>
      <c r="N674" s="1372"/>
      <c r="O674" s="1372"/>
      <c r="P674" s="1372"/>
      <c r="Q674" s="1372"/>
      <c r="R674" s="1372"/>
      <c r="S674" s="1372"/>
      <c r="T674" s="1372"/>
      <c r="U674" s="1372"/>
      <c r="V674" s="1372"/>
      <c r="W674" s="1372"/>
      <c r="X674" s="1372"/>
      <c r="Y674" s="1372"/>
      <c r="Z674" s="1372"/>
    </row>
    <row r="675" spans="1:26" ht="15.75" customHeight="1" x14ac:dyDescent="0.25">
      <c r="A675" s="1371"/>
      <c r="B675" s="1371"/>
      <c r="C675" s="1371"/>
      <c r="D675" s="1371"/>
      <c r="E675" s="1371"/>
      <c r="F675" s="1371"/>
      <c r="G675" s="1371"/>
      <c r="H675" s="1371"/>
      <c r="I675" s="1372"/>
      <c r="J675" s="1372"/>
      <c r="K675" s="1372"/>
      <c r="L675" s="1372"/>
      <c r="M675" s="1372"/>
      <c r="N675" s="1372"/>
      <c r="O675" s="1372"/>
      <c r="P675" s="1372"/>
      <c r="Q675" s="1372"/>
      <c r="R675" s="1372"/>
      <c r="S675" s="1372"/>
      <c r="T675" s="1372"/>
      <c r="U675" s="1372"/>
      <c r="V675" s="1372"/>
      <c r="W675" s="1372"/>
      <c r="X675" s="1372"/>
      <c r="Y675" s="1372"/>
      <c r="Z675" s="1372"/>
    </row>
    <row r="676" spans="1:26" ht="15.75" customHeight="1" x14ac:dyDescent="0.25">
      <c r="A676" s="1371"/>
      <c r="B676" s="1371"/>
      <c r="C676" s="1371"/>
      <c r="D676" s="1371"/>
      <c r="E676" s="1371"/>
      <c r="F676" s="1371"/>
      <c r="G676" s="1371"/>
      <c r="H676" s="1371"/>
      <c r="I676" s="1372"/>
      <c r="J676" s="1372"/>
      <c r="K676" s="1372"/>
      <c r="L676" s="1372"/>
      <c r="M676" s="1372"/>
      <c r="N676" s="1372"/>
      <c r="O676" s="1372"/>
      <c r="P676" s="1372"/>
      <c r="Q676" s="1372"/>
      <c r="R676" s="1372"/>
      <c r="S676" s="1372"/>
      <c r="T676" s="1372"/>
      <c r="U676" s="1372"/>
      <c r="V676" s="1372"/>
      <c r="W676" s="1372"/>
      <c r="X676" s="1372"/>
      <c r="Y676" s="1372"/>
      <c r="Z676" s="1372"/>
    </row>
    <row r="677" spans="1:26" ht="15.75" customHeight="1" x14ac:dyDescent="0.25">
      <c r="A677" s="1371"/>
      <c r="B677" s="1371"/>
      <c r="C677" s="1371"/>
      <c r="D677" s="1371"/>
      <c r="E677" s="1371"/>
      <c r="F677" s="1371"/>
      <c r="G677" s="1371"/>
      <c r="H677" s="1371"/>
      <c r="I677" s="1372"/>
      <c r="J677" s="1372"/>
      <c r="K677" s="1372"/>
      <c r="L677" s="1372"/>
      <c r="M677" s="1372"/>
      <c r="N677" s="1372"/>
      <c r="O677" s="1372"/>
      <c r="P677" s="1372"/>
      <c r="Q677" s="1372"/>
      <c r="R677" s="1372"/>
      <c r="S677" s="1372"/>
      <c r="T677" s="1372"/>
      <c r="U677" s="1372"/>
      <c r="V677" s="1372"/>
      <c r="W677" s="1372"/>
      <c r="X677" s="1372"/>
      <c r="Y677" s="1372"/>
      <c r="Z677" s="1372"/>
    </row>
    <row r="678" spans="1:26" ht="15.75" customHeight="1" x14ac:dyDescent="0.25">
      <c r="A678" s="1371"/>
      <c r="B678" s="1371"/>
      <c r="C678" s="1371"/>
      <c r="D678" s="1371"/>
      <c r="E678" s="1371"/>
      <c r="F678" s="1371"/>
      <c r="G678" s="1371"/>
      <c r="H678" s="1371"/>
      <c r="I678" s="1372"/>
      <c r="J678" s="1372"/>
      <c r="K678" s="1372"/>
      <c r="L678" s="1372"/>
      <c r="M678" s="1372"/>
      <c r="N678" s="1372"/>
      <c r="O678" s="1372"/>
      <c r="P678" s="1372"/>
      <c r="Q678" s="1372"/>
      <c r="R678" s="1372"/>
      <c r="S678" s="1372"/>
      <c r="T678" s="1372"/>
      <c r="U678" s="1372"/>
      <c r="V678" s="1372"/>
      <c r="W678" s="1372"/>
      <c r="X678" s="1372"/>
      <c r="Y678" s="1372"/>
      <c r="Z678" s="1372"/>
    </row>
    <row r="679" spans="1:26" ht="15.75" customHeight="1" x14ac:dyDescent="0.25">
      <c r="A679" s="1371"/>
      <c r="B679" s="1371"/>
      <c r="C679" s="1371"/>
      <c r="D679" s="1371"/>
      <c r="E679" s="1371"/>
      <c r="F679" s="1371"/>
      <c r="G679" s="1371"/>
      <c r="H679" s="1371"/>
      <c r="I679" s="1372"/>
      <c r="J679" s="1372"/>
      <c r="K679" s="1372"/>
      <c r="L679" s="1372"/>
      <c r="M679" s="1372"/>
      <c r="N679" s="1372"/>
      <c r="O679" s="1372"/>
      <c r="P679" s="1372"/>
      <c r="Q679" s="1372"/>
      <c r="R679" s="1372"/>
      <c r="S679" s="1372"/>
      <c r="T679" s="1372"/>
      <c r="U679" s="1372"/>
      <c r="V679" s="1372"/>
      <c r="W679" s="1372"/>
      <c r="X679" s="1372"/>
      <c r="Y679" s="1372"/>
      <c r="Z679" s="1372"/>
    </row>
    <row r="680" spans="1:26" ht="15.75" customHeight="1" x14ac:dyDescent="0.25">
      <c r="A680" s="1371"/>
      <c r="B680" s="1371"/>
      <c r="C680" s="1371"/>
      <c r="D680" s="1371"/>
      <c r="E680" s="1371"/>
      <c r="F680" s="1371"/>
      <c r="G680" s="1371"/>
      <c r="H680" s="1371"/>
      <c r="I680" s="1372"/>
      <c r="J680" s="1372"/>
      <c r="K680" s="1372"/>
      <c r="L680" s="1372"/>
      <c r="M680" s="1372"/>
      <c r="N680" s="1372"/>
      <c r="O680" s="1372"/>
      <c r="P680" s="1372"/>
      <c r="Q680" s="1372"/>
      <c r="R680" s="1372"/>
      <c r="S680" s="1372"/>
      <c r="T680" s="1372"/>
      <c r="U680" s="1372"/>
      <c r="V680" s="1372"/>
      <c r="W680" s="1372"/>
      <c r="X680" s="1372"/>
      <c r="Y680" s="1372"/>
      <c r="Z680" s="1372"/>
    </row>
    <row r="681" spans="1:26" ht="15.75" customHeight="1" x14ac:dyDescent="0.25">
      <c r="A681" s="1371"/>
      <c r="B681" s="1371"/>
      <c r="C681" s="1371"/>
      <c r="D681" s="1371"/>
      <c r="E681" s="1371"/>
      <c r="F681" s="1371"/>
      <c r="G681" s="1371"/>
      <c r="H681" s="1371"/>
      <c r="I681" s="1372"/>
      <c r="J681" s="1372"/>
      <c r="K681" s="1372"/>
      <c r="L681" s="1372"/>
      <c r="M681" s="1372"/>
      <c r="N681" s="1372"/>
      <c r="O681" s="1372"/>
      <c r="P681" s="1372"/>
      <c r="Q681" s="1372"/>
      <c r="R681" s="1372"/>
      <c r="S681" s="1372"/>
      <c r="T681" s="1372"/>
      <c r="U681" s="1372"/>
      <c r="V681" s="1372"/>
      <c r="W681" s="1372"/>
      <c r="X681" s="1372"/>
      <c r="Y681" s="1372"/>
      <c r="Z681" s="1372"/>
    </row>
    <row r="682" spans="1:26" ht="15.75" customHeight="1" x14ac:dyDescent="0.25">
      <c r="A682" s="1371"/>
      <c r="B682" s="1371"/>
      <c r="C682" s="1371"/>
      <c r="D682" s="1371"/>
      <c r="E682" s="1371"/>
      <c r="F682" s="1371"/>
      <c r="G682" s="1371"/>
      <c r="H682" s="1371"/>
      <c r="I682" s="1372"/>
      <c r="J682" s="1372"/>
      <c r="K682" s="1372"/>
      <c r="L682" s="1372"/>
      <c r="M682" s="1372"/>
      <c r="N682" s="1372"/>
      <c r="O682" s="1372"/>
      <c r="P682" s="1372"/>
      <c r="Q682" s="1372"/>
      <c r="R682" s="1372"/>
      <c r="S682" s="1372"/>
      <c r="T682" s="1372"/>
      <c r="U682" s="1372"/>
      <c r="V682" s="1372"/>
      <c r="W682" s="1372"/>
      <c r="X682" s="1372"/>
      <c r="Y682" s="1372"/>
      <c r="Z682" s="1372"/>
    </row>
    <row r="683" spans="1:26" ht="15.75" customHeight="1" x14ac:dyDescent="0.25">
      <c r="A683" s="1371"/>
      <c r="B683" s="1371"/>
      <c r="C683" s="1371"/>
      <c r="D683" s="1371"/>
      <c r="E683" s="1371"/>
      <c r="F683" s="1371"/>
      <c r="G683" s="1371"/>
      <c r="H683" s="1371"/>
      <c r="I683" s="1372"/>
      <c r="J683" s="1372"/>
      <c r="K683" s="1372"/>
      <c r="L683" s="1372"/>
      <c r="M683" s="1372"/>
      <c r="N683" s="1372"/>
      <c r="O683" s="1372"/>
      <c r="P683" s="1372"/>
      <c r="Q683" s="1372"/>
      <c r="R683" s="1372"/>
      <c r="S683" s="1372"/>
      <c r="T683" s="1372"/>
      <c r="U683" s="1372"/>
      <c r="V683" s="1372"/>
      <c r="W683" s="1372"/>
      <c r="X683" s="1372"/>
      <c r="Y683" s="1372"/>
      <c r="Z683" s="1372"/>
    </row>
    <row r="684" spans="1:26" ht="15.75" customHeight="1" x14ac:dyDescent="0.25">
      <c r="A684" s="1371"/>
      <c r="B684" s="1371"/>
      <c r="C684" s="1371"/>
      <c r="D684" s="1371"/>
      <c r="E684" s="1371"/>
      <c r="F684" s="1371"/>
      <c r="G684" s="1371"/>
      <c r="H684" s="1371"/>
      <c r="I684" s="1372"/>
      <c r="J684" s="1372"/>
      <c r="K684" s="1372"/>
      <c r="L684" s="1372"/>
      <c r="M684" s="1372"/>
      <c r="N684" s="1372"/>
      <c r="O684" s="1372"/>
      <c r="P684" s="1372"/>
      <c r="Q684" s="1372"/>
      <c r="R684" s="1372"/>
      <c r="S684" s="1372"/>
      <c r="T684" s="1372"/>
      <c r="U684" s="1372"/>
      <c r="V684" s="1372"/>
      <c r="W684" s="1372"/>
      <c r="X684" s="1372"/>
      <c r="Y684" s="1372"/>
      <c r="Z684" s="1372"/>
    </row>
    <row r="685" spans="1:26" ht="15.75" customHeight="1" x14ac:dyDescent="0.25">
      <c r="A685" s="1371"/>
      <c r="B685" s="1371"/>
      <c r="C685" s="1371"/>
      <c r="D685" s="1371"/>
      <c r="E685" s="1371"/>
      <c r="F685" s="1371"/>
      <c r="G685" s="1371"/>
      <c r="H685" s="1371"/>
      <c r="I685" s="1372"/>
      <c r="J685" s="1372"/>
      <c r="K685" s="1372"/>
      <c r="L685" s="1372"/>
      <c r="M685" s="1372"/>
      <c r="N685" s="1372"/>
      <c r="O685" s="1372"/>
      <c r="P685" s="1372"/>
      <c r="Q685" s="1372"/>
      <c r="R685" s="1372"/>
      <c r="S685" s="1372"/>
      <c r="T685" s="1372"/>
      <c r="U685" s="1372"/>
      <c r="V685" s="1372"/>
      <c r="W685" s="1372"/>
      <c r="X685" s="1372"/>
      <c r="Y685" s="1372"/>
      <c r="Z685" s="1372"/>
    </row>
    <row r="686" spans="1:26" ht="15.75" customHeight="1" x14ac:dyDescent="0.25">
      <c r="A686" s="1371"/>
      <c r="B686" s="1371"/>
      <c r="C686" s="1371"/>
      <c r="D686" s="1371"/>
      <c r="E686" s="1371"/>
      <c r="F686" s="1371"/>
      <c r="G686" s="1371"/>
      <c r="H686" s="1371"/>
      <c r="I686" s="1372"/>
      <c r="J686" s="1372"/>
      <c r="K686" s="1372"/>
      <c r="L686" s="1372"/>
      <c r="M686" s="1372"/>
      <c r="N686" s="1372"/>
      <c r="O686" s="1372"/>
      <c r="P686" s="1372"/>
      <c r="Q686" s="1372"/>
      <c r="R686" s="1372"/>
      <c r="S686" s="1372"/>
      <c r="T686" s="1372"/>
      <c r="U686" s="1372"/>
      <c r="V686" s="1372"/>
      <c r="W686" s="1372"/>
      <c r="X686" s="1372"/>
      <c r="Y686" s="1372"/>
      <c r="Z686" s="1372"/>
    </row>
    <row r="687" spans="1:26" ht="15.75" customHeight="1" x14ac:dyDescent="0.25">
      <c r="A687" s="1371"/>
      <c r="B687" s="1371"/>
      <c r="C687" s="1371"/>
      <c r="D687" s="1371"/>
      <c r="E687" s="1371"/>
      <c r="F687" s="1371"/>
      <c r="G687" s="1371"/>
      <c r="H687" s="1371"/>
      <c r="I687" s="1372"/>
      <c r="J687" s="1372"/>
      <c r="K687" s="1372"/>
      <c r="L687" s="1372"/>
      <c r="M687" s="1372"/>
      <c r="N687" s="1372"/>
      <c r="O687" s="1372"/>
      <c r="P687" s="1372"/>
      <c r="Q687" s="1372"/>
      <c r="R687" s="1372"/>
      <c r="S687" s="1372"/>
      <c r="T687" s="1372"/>
      <c r="U687" s="1372"/>
      <c r="V687" s="1372"/>
      <c r="W687" s="1372"/>
      <c r="X687" s="1372"/>
      <c r="Y687" s="1372"/>
      <c r="Z687" s="1372"/>
    </row>
    <row r="688" spans="1:26" ht="15.75" customHeight="1" x14ac:dyDescent="0.25">
      <c r="A688" s="1371"/>
      <c r="B688" s="1371"/>
      <c r="C688" s="1371"/>
      <c r="D688" s="1371"/>
      <c r="E688" s="1371"/>
      <c r="F688" s="1371"/>
      <c r="G688" s="1371"/>
      <c r="H688" s="1371"/>
      <c r="I688" s="1372"/>
      <c r="J688" s="1372"/>
      <c r="K688" s="1372"/>
      <c r="L688" s="1372"/>
      <c r="M688" s="1372"/>
      <c r="N688" s="1372"/>
      <c r="O688" s="1372"/>
      <c r="P688" s="1372"/>
      <c r="Q688" s="1372"/>
      <c r="R688" s="1372"/>
      <c r="S688" s="1372"/>
      <c r="T688" s="1372"/>
      <c r="U688" s="1372"/>
      <c r="V688" s="1372"/>
      <c r="W688" s="1372"/>
      <c r="X688" s="1372"/>
      <c r="Y688" s="1372"/>
      <c r="Z688" s="1372"/>
    </row>
    <row r="689" spans="1:26" ht="15.75" customHeight="1" x14ac:dyDescent="0.25">
      <c r="A689" s="1371"/>
      <c r="B689" s="1371"/>
      <c r="C689" s="1371"/>
      <c r="D689" s="1371"/>
      <c r="E689" s="1371"/>
      <c r="F689" s="1371"/>
      <c r="G689" s="1371"/>
      <c r="H689" s="1371"/>
      <c r="I689" s="1372"/>
      <c r="J689" s="1372"/>
      <c r="K689" s="1372"/>
      <c r="L689" s="1372"/>
      <c r="M689" s="1372"/>
      <c r="N689" s="1372"/>
      <c r="O689" s="1372"/>
      <c r="P689" s="1372"/>
      <c r="Q689" s="1372"/>
      <c r="R689" s="1372"/>
      <c r="S689" s="1372"/>
      <c r="T689" s="1372"/>
      <c r="U689" s="1372"/>
      <c r="V689" s="1372"/>
      <c r="W689" s="1372"/>
      <c r="X689" s="1372"/>
      <c r="Y689" s="1372"/>
      <c r="Z689" s="1372"/>
    </row>
    <row r="690" spans="1:26" ht="15.75" customHeight="1" x14ac:dyDescent="0.25">
      <c r="A690" s="1371"/>
      <c r="B690" s="1371"/>
      <c r="C690" s="1371"/>
      <c r="D690" s="1371"/>
      <c r="E690" s="1371"/>
      <c r="F690" s="1371"/>
      <c r="G690" s="1371"/>
      <c r="H690" s="1371"/>
      <c r="I690" s="1372"/>
      <c r="J690" s="1372"/>
      <c r="K690" s="1372"/>
      <c r="L690" s="1372"/>
      <c r="M690" s="1372"/>
      <c r="N690" s="1372"/>
      <c r="O690" s="1372"/>
      <c r="P690" s="1372"/>
      <c r="Q690" s="1372"/>
      <c r="R690" s="1372"/>
      <c r="S690" s="1372"/>
      <c r="T690" s="1372"/>
      <c r="U690" s="1372"/>
      <c r="V690" s="1372"/>
      <c r="W690" s="1372"/>
      <c r="X690" s="1372"/>
      <c r="Y690" s="1372"/>
      <c r="Z690" s="1372"/>
    </row>
    <row r="691" spans="1:26" ht="15.75" customHeight="1" x14ac:dyDescent="0.25">
      <c r="A691" s="1371"/>
      <c r="B691" s="1371"/>
      <c r="C691" s="1371"/>
      <c r="D691" s="1371"/>
      <c r="E691" s="1371"/>
      <c r="F691" s="1371"/>
      <c r="G691" s="1371"/>
      <c r="H691" s="1371"/>
      <c r="I691" s="1372"/>
      <c r="J691" s="1372"/>
      <c r="K691" s="1372"/>
      <c r="L691" s="1372"/>
      <c r="M691" s="1372"/>
      <c r="N691" s="1372"/>
      <c r="O691" s="1372"/>
      <c r="P691" s="1372"/>
      <c r="Q691" s="1372"/>
      <c r="R691" s="1372"/>
      <c r="S691" s="1372"/>
      <c r="T691" s="1372"/>
      <c r="U691" s="1372"/>
      <c r="V691" s="1372"/>
      <c r="W691" s="1372"/>
      <c r="X691" s="1372"/>
      <c r="Y691" s="1372"/>
      <c r="Z691" s="1372"/>
    </row>
    <row r="692" spans="1:26" ht="15.75" customHeight="1" x14ac:dyDescent="0.25">
      <c r="A692" s="1371"/>
      <c r="B692" s="1371"/>
      <c r="C692" s="1371"/>
      <c r="D692" s="1371"/>
      <c r="E692" s="1371"/>
      <c r="F692" s="1371"/>
      <c r="G692" s="1371"/>
      <c r="H692" s="1371"/>
      <c r="I692" s="1372"/>
      <c r="J692" s="1372"/>
      <c r="K692" s="1372"/>
      <c r="L692" s="1372"/>
      <c r="M692" s="1372"/>
      <c r="N692" s="1372"/>
      <c r="O692" s="1372"/>
      <c r="P692" s="1372"/>
      <c r="Q692" s="1372"/>
      <c r="R692" s="1372"/>
      <c r="S692" s="1372"/>
      <c r="T692" s="1372"/>
      <c r="U692" s="1372"/>
      <c r="V692" s="1372"/>
      <c r="W692" s="1372"/>
      <c r="X692" s="1372"/>
      <c r="Y692" s="1372"/>
      <c r="Z692" s="1372"/>
    </row>
    <row r="693" spans="1:26" ht="15.75" customHeight="1" x14ac:dyDescent="0.25">
      <c r="A693" s="1371"/>
      <c r="B693" s="1371"/>
      <c r="C693" s="1371"/>
      <c r="D693" s="1371"/>
      <c r="E693" s="1371"/>
      <c r="F693" s="1371"/>
      <c r="G693" s="1371"/>
      <c r="H693" s="1371"/>
      <c r="I693" s="1372"/>
      <c r="J693" s="1372"/>
      <c r="K693" s="1372"/>
      <c r="L693" s="1372"/>
      <c r="M693" s="1372"/>
      <c r="N693" s="1372"/>
      <c r="O693" s="1372"/>
      <c r="P693" s="1372"/>
      <c r="Q693" s="1372"/>
      <c r="R693" s="1372"/>
      <c r="S693" s="1372"/>
      <c r="T693" s="1372"/>
      <c r="U693" s="1372"/>
      <c r="V693" s="1372"/>
      <c r="W693" s="1372"/>
      <c r="X693" s="1372"/>
      <c r="Y693" s="1372"/>
      <c r="Z693" s="1372"/>
    </row>
    <row r="694" spans="1:26" ht="15.75" customHeight="1" x14ac:dyDescent="0.25">
      <c r="A694" s="1371"/>
      <c r="B694" s="1371"/>
      <c r="C694" s="1371"/>
      <c r="D694" s="1371"/>
      <c r="E694" s="1371"/>
      <c r="F694" s="1371"/>
      <c r="G694" s="1371"/>
      <c r="H694" s="1371"/>
      <c r="I694" s="1372"/>
      <c r="J694" s="1372"/>
      <c r="K694" s="1372"/>
      <c r="L694" s="1372"/>
      <c r="M694" s="1372"/>
      <c r="N694" s="1372"/>
      <c r="O694" s="1372"/>
      <c r="P694" s="1372"/>
      <c r="Q694" s="1372"/>
      <c r="R694" s="1372"/>
      <c r="S694" s="1372"/>
      <c r="T694" s="1372"/>
      <c r="U694" s="1372"/>
      <c r="V694" s="1372"/>
      <c r="W694" s="1372"/>
      <c r="X694" s="1372"/>
      <c r="Y694" s="1372"/>
      <c r="Z694" s="1372"/>
    </row>
    <row r="695" spans="1:26" ht="15.75" customHeight="1" x14ac:dyDescent="0.25">
      <c r="A695" s="1371"/>
      <c r="B695" s="1371"/>
      <c r="C695" s="1371"/>
      <c r="D695" s="1371"/>
      <c r="E695" s="1371"/>
      <c r="F695" s="1371"/>
      <c r="G695" s="1371"/>
      <c r="H695" s="1371"/>
      <c r="I695" s="1372"/>
      <c r="J695" s="1372"/>
      <c r="K695" s="1372"/>
      <c r="L695" s="1372"/>
      <c r="M695" s="1372"/>
      <c r="N695" s="1372"/>
      <c r="O695" s="1372"/>
      <c r="P695" s="1372"/>
      <c r="Q695" s="1372"/>
      <c r="R695" s="1372"/>
      <c r="S695" s="1372"/>
      <c r="T695" s="1372"/>
      <c r="U695" s="1372"/>
      <c r="V695" s="1372"/>
      <c r="W695" s="1372"/>
      <c r="X695" s="1372"/>
      <c r="Y695" s="1372"/>
      <c r="Z695" s="1372"/>
    </row>
    <row r="696" spans="1:26" ht="15.75" customHeight="1" x14ac:dyDescent="0.25">
      <c r="A696" s="1371"/>
      <c r="B696" s="1371"/>
      <c r="C696" s="1371"/>
      <c r="D696" s="1371"/>
      <c r="E696" s="1371"/>
      <c r="F696" s="1371"/>
      <c r="G696" s="1371"/>
      <c r="H696" s="1371"/>
      <c r="I696" s="1372"/>
      <c r="J696" s="1372"/>
      <c r="K696" s="1372"/>
      <c r="L696" s="1372"/>
      <c r="M696" s="1372"/>
      <c r="N696" s="1372"/>
      <c r="O696" s="1372"/>
      <c r="P696" s="1372"/>
      <c r="Q696" s="1372"/>
      <c r="R696" s="1372"/>
      <c r="S696" s="1372"/>
      <c r="T696" s="1372"/>
      <c r="U696" s="1372"/>
      <c r="V696" s="1372"/>
      <c r="W696" s="1372"/>
      <c r="X696" s="1372"/>
      <c r="Y696" s="1372"/>
      <c r="Z696" s="1372"/>
    </row>
    <row r="697" spans="1:26" ht="15.75" customHeight="1" x14ac:dyDescent="0.25">
      <c r="A697" s="1371"/>
      <c r="B697" s="1371"/>
      <c r="C697" s="1371"/>
      <c r="D697" s="1371"/>
      <c r="E697" s="1371"/>
      <c r="F697" s="1371"/>
      <c r="G697" s="1371"/>
      <c r="H697" s="1371"/>
      <c r="I697" s="1372"/>
      <c r="J697" s="1372"/>
      <c r="K697" s="1372"/>
      <c r="L697" s="1372"/>
      <c r="M697" s="1372"/>
      <c r="N697" s="1372"/>
      <c r="O697" s="1372"/>
      <c r="P697" s="1372"/>
      <c r="Q697" s="1372"/>
      <c r="R697" s="1372"/>
      <c r="S697" s="1372"/>
      <c r="T697" s="1372"/>
      <c r="U697" s="1372"/>
      <c r="V697" s="1372"/>
      <c r="W697" s="1372"/>
      <c r="X697" s="1372"/>
      <c r="Y697" s="1372"/>
      <c r="Z697" s="1372"/>
    </row>
    <row r="698" spans="1:26" ht="15.75" customHeight="1" x14ac:dyDescent="0.25">
      <c r="A698" s="1371"/>
      <c r="B698" s="1371"/>
      <c r="C698" s="1371"/>
      <c r="D698" s="1371"/>
      <c r="E698" s="1371"/>
      <c r="F698" s="1371"/>
      <c r="G698" s="1371"/>
      <c r="H698" s="1371"/>
      <c r="I698" s="1372"/>
      <c r="J698" s="1372"/>
      <c r="K698" s="1372"/>
      <c r="L698" s="1372"/>
      <c r="M698" s="1372"/>
      <c r="N698" s="1372"/>
      <c r="O698" s="1372"/>
      <c r="P698" s="1372"/>
      <c r="Q698" s="1372"/>
      <c r="R698" s="1372"/>
      <c r="S698" s="1372"/>
      <c r="T698" s="1372"/>
      <c r="U698" s="1372"/>
      <c r="V698" s="1372"/>
      <c r="W698" s="1372"/>
      <c r="X698" s="1372"/>
      <c r="Y698" s="1372"/>
      <c r="Z698" s="1372"/>
    </row>
    <row r="699" spans="1:26" ht="15.75" customHeight="1" x14ac:dyDescent="0.25">
      <c r="A699" s="1371"/>
      <c r="B699" s="1371"/>
      <c r="C699" s="1371"/>
      <c r="D699" s="1371"/>
      <c r="E699" s="1371"/>
      <c r="F699" s="1371"/>
      <c r="G699" s="1371"/>
      <c r="H699" s="1371"/>
      <c r="I699" s="1372"/>
      <c r="J699" s="1372"/>
      <c r="K699" s="1372"/>
      <c r="L699" s="1372"/>
      <c r="M699" s="1372"/>
      <c r="N699" s="1372"/>
      <c r="O699" s="1372"/>
      <c r="P699" s="1372"/>
      <c r="Q699" s="1372"/>
      <c r="R699" s="1372"/>
      <c r="S699" s="1372"/>
      <c r="T699" s="1372"/>
      <c r="U699" s="1372"/>
      <c r="V699" s="1372"/>
      <c r="W699" s="1372"/>
      <c r="X699" s="1372"/>
      <c r="Y699" s="1372"/>
      <c r="Z699" s="1372"/>
    </row>
    <row r="700" spans="1:26" ht="15.75" customHeight="1" x14ac:dyDescent="0.25">
      <c r="A700" s="1371"/>
      <c r="B700" s="1371"/>
      <c r="C700" s="1371"/>
      <c r="D700" s="1371"/>
      <c r="E700" s="1371"/>
      <c r="F700" s="1371"/>
      <c r="G700" s="1371"/>
      <c r="H700" s="1371"/>
      <c r="I700" s="1372"/>
      <c r="J700" s="1372"/>
      <c r="K700" s="1372"/>
      <c r="L700" s="1372"/>
      <c r="M700" s="1372"/>
      <c r="N700" s="1372"/>
      <c r="O700" s="1372"/>
      <c r="P700" s="1372"/>
      <c r="Q700" s="1372"/>
      <c r="R700" s="1372"/>
      <c r="S700" s="1372"/>
      <c r="T700" s="1372"/>
      <c r="U700" s="1372"/>
      <c r="V700" s="1372"/>
      <c r="W700" s="1372"/>
      <c r="X700" s="1372"/>
      <c r="Y700" s="1372"/>
      <c r="Z700" s="1372"/>
    </row>
    <row r="701" spans="1:26" ht="15.75" customHeight="1" x14ac:dyDescent="0.25">
      <c r="A701" s="1371"/>
      <c r="B701" s="1371"/>
      <c r="C701" s="1371"/>
      <c r="D701" s="1371"/>
      <c r="E701" s="1371"/>
      <c r="F701" s="1371"/>
      <c r="G701" s="1371"/>
      <c r="H701" s="1371"/>
      <c r="I701" s="1372"/>
      <c r="J701" s="1372"/>
      <c r="K701" s="1372"/>
      <c r="L701" s="1372"/>
      <c r="M701" s="1372"/>
      <c r="N701" s="1372"/>
      <c r="O701" s="1372"/>
      <c r="P701" s="1372"/>
      <c r="Q701" s="1372"/>
      <c r="R701" s="1372"/>
      <c r="S701" s="1372"/>
      <c r="T701" s="1372"/>
      <c r="U701" s="1372"/>
      <c r="V701" s="1372"/>
      <c r="W701" s="1372"/>
      <c r="X701" s="1372"/>
      <c r="Y701" s="1372"/>
      <c r="Z701" s="1372"/>
    </row>
    <row r="702" spans="1:26" ht="15.75" customHeight="1" x14ac:dyDescent="0.25">
      <c r="A702" s="1371"/>
      <c r="B702" s="1371"/>
      <c r="C702" s="1371"/>
      <c r="D702" s="1371"/>
      <c r="E702" s="1371"/>
      <c r="F702" s="1371"/>
      <c r="G702" s="1371"/>
      <c r="H702" s="1371"/>
      <c r="I702" s="1372"/>
      <c r="J702" s="1372"/>
      <c r="K702" s="1372"/>
      <c r="L702" s="1372"/>
      <c r="M702" s="1372"/>
      <c r="N702" s="1372"/>
      <c r="O702" s="1372"/>
      <c r="P702" s="1372"/>
      <c r="Q702" s="1372"/>
      <c r="R702" s="1372"/>
      <c r="S702" s="1372"/>
      <c r="T702" s="1372"/>
      <c r="U702" s="1372"/>
      <c r="V702" s="1372"/>
      <c r="W702" s="1372"/>
      <c r="X702" s="1372"/>
      <c r="Y702" s="1372"/>
      <c r="Z702" s="1372"/>
    </row>
    <row r="703" spans="1:26" ht="15.75" customHeight="1" x14ac:dyDescent="0.25">
      <c r="A703" s="1371"/>
      <c r="B703" s="1371"/>
      <c r="C703" s="1371"/>
      <c r="D703" s="1371"/>
      <c r="E703" s="1371"/>
      <c r="F703" s="1371"/>
      <c r="G703" s="1371"/>
      <c r="H703" s="1371"/>
      <c r="I703" s="1372"/>
      <c r="J703" s="1372"/>
      <c r="K703" s="1372"/>
      <c r="L703" s="1372"/>
      <c r="M703" s="1372"/>
      <c r="N703" s="1372"/>
      <c r="O703" s="1372"/>
      <c r="P703" s="1372"/>
      <c r="Q703" s="1372"/>
      <c r="R703" s="1372"/>
      <c r="S703" s="1372"/>
      <c r="T703" s="1372"/>
      <c r="U703" s="1372"/>
      <c r="V703" s="1372"/>
      <c r="W703" s="1372"/>
      <c r="X703" s="1372"/>
      <c r="Y703" s="1372"/>
      <c r="Z703" s="1372"/>
    </row>
    <row r="704" spans="1:26" ht="15.75" customHeight="1" x14ac:dyDescent="0.25">
      <c r="A704" s="1371"/>
      <c r="B704" s="1371"/>
      <c r="C704" s="1371"/>
      <c r="D704" s="1371"/>
      <c r="E704" s="1371"/>
      <c r="F704" s="1371"/>
      <c r="G704" s="1371"/>
      <c r="H704" s="1371"/>
      <c r="I704" s="1372"/>
      <c r="J704" s="1372"/>
      <c r="K704" s="1372"/>
      <c r="L704" s="1372"/>
      <c r="M704" s="1372"/>
      <c r="N704" s="1372"/>
      <c r="O704" s="1372"/>
      <c r="P704" s="1372"/>
      <c r="Q704" s="1372"/>
      <c r="R704" s="1372"/>
      <c r="S704" s="1372"/>
      <c r="T704" s="1372"/>
      <c r="U704" s="1372"/>
      <c r="V704" s="1372"/>
      <c r="W704" s="1372"/>
      <c r="X704" s="1372"/>
      <c r="Y704" s="1372"/>
      <c r="Z704" s="1372"/>
    </row>
    <row r="705" spans="1:26" ht="15.75" customHeight="1" x14ac:dyDescent="0.25">
      <c r="A705" s="1371"/>
      <c r="B705" s="1371"/>
      <c r="C705" s="1371"/>
      <c r="D705" s="1371"/>
      <c r="E705" s="1371"/>
      <c r="F705" s="1371"/>
      <c r="G705" s="1371"/>
      <c r="H705" s="1371"/>
      <c r="I705" s="1372"/>
      <c r="J705" s="1372"/>
      <c r="K705" s="1372"/>
      <c r="L705" s="1372"/>
      <c r="M705" s="1372"/>
      <c r="N705" s="1372"/>
      <c r="O705" s="1372"/>
      <c r="P705" s="1372"/>
      <c r="Q705" s="1372"/>
      <c r="R705" s="1372"/>
      <c r="S705" s="1372"/>
      <c r="T705" s="1372"/>
      <c r="U705" s="1372"/>
      <c r="V705" s="1372"/>
      <c r="W705" s="1372"/>
      <c r="X705" s="1372"/>
      <c r="Y705" s="1372"/>
      <c r="Z705" s="1372"/>
    </row>
    <row r="706" spans="1:26" ht="15.75" customHeight="1" x14ac:dyDescent="0.25">
      <c r="A706" s="1371"/>
      <c r="B706" s="1371"/>
      <c r="C706" s="1371"/>
      <c r="D706" s="1371"/>
      <c r="E706" s="1371"/>
      <c r="F706" s="1371"/>
      <c r="G706" s="1371"/>
      <c r="H706" s="1371"/>
      <c r="I706" s="1372"/>
      <c r="J706" s="1372"/>
      <c r="K706" s="1372"/>
      <c r="L706" s="1372"/>
      <c r="M706" s="1372"/>
      <c r="N706" s="1372"/>
      <c r="O706" s="1372"/>
      <c r="P706" s="1372"/>
      <c r="Q706" s="1372"/>
      <c r="R706" s="1372"/>
      <c r="S706" s="1372"/>
      <c r="T706" s="1372"/>
      <c r="U706" s="1372"/>
      <c r="V706" s="1372"/>
      <c r="W706" s="1372"/>
      <c r="X706" s="1372"/>
      <c r="Y706" s="1372"/>
      <c r="Z706" s="1372"/>
    </row>
    <row r="707" spans="1:26" ht="15.75" customHeight="1" x14ac:dyDescent="0.25">
      <c r="A707" s="1371"/>
      <c r="B707" s="1371"/>
      <c r="C707" s="1371"/>
      <c r="D707" s="1371"/>
      <c r="E707" s="1371"/>
      <c r="F707" s="1371"/>
      <c r="G707" s="1371"/>
      <c r="H707" s="1371"/>
      <c r="I707" s="1372"/>
      <c r="J707" s="1372"/>
      <c r="K707" s="1372"/>
      <c r="L707" s="1372"/>
      <c r="M707" s="1372"/>
      <c r="N707" s="1372"/>
      <c r="O707" s="1372"/>
      <c r="P707" s="1372"/>
      <c r="Q707" s="1372"/>
      <c r="R707" s="1372"/>
      <c r="S707" s="1372"/>
      <c r="T707" s="1372"/>
      <c r="U707" s="1372"/>
      <c r="V707" s="1372"/>
      <c r="W707" s="1372"/>
      <c r="X707" s="1372"/>
      <c r="Y707" s="1372"/>
      <c r="Z707" s="1372"/>
    </row>
    <row r="708" spans="1:26" ht="15.75" customHeight="1" x14ac:dyDescent="0.25">
      <c r="A708" s="1371"/>
      <c r="B708" s="1371"/>
      <c r="C708" s="1371"/>
      <c r="D708" s="1371"/>
      <c r="E708" s="1371"/>
      <c r="F708" s="1371"/>
      <c r="G708" s="1371"/>
      <c r="H708" s="1371"/>
      <c r="I708" s="1372"/>
      <c r="J708" s="1372"/>
      <c r="K708" s="1372"/>
      <c r="L708" s="1372"/>
      <c r="M708" s="1372"/>
      <c r="N708" s="1372"/>
      <c r="O708" s="1372"/>
      <c r="P708" s="1372"/>
      <c r="Q708" s="1372"/>
      <c r="R708" s="1372"/>
      <c r="S708" s="1372"/>
      <c r="T708" s="1372"/>
      <c r="U708" s="1372"/>
      <c r="V708" s="1372"/>
      <c r="W708" s="1372"/>
      <c r="X708" s="1372"/>
      <c r="Y708" s="1372"/>
      <c r="Z708" s="1372"/>
    </row>
    <row r="709" spans="1:26" ht="15.75" customHeight="1" x14ac:dyDescent="0.25">
      <c r="A709" s="1371"/>
      <c r="B709" s="1371"/>
      <c r="C709" s="1371"/>
      <c r="D709" s="1371"/>
      <c r="E709" s="1371"/>
      <c r="F709" s="1371"/>
      <c r="G709" s="1371"/>
      <c r="H709" s="1371"/>
      <c r="I709" s="1372"/>
      <c r="J709" s="1372"/>
      <c r="K709" s="1372"/>
      <c r="L709" s="1372"/>
      <c r="M709" s="1372"/>
      <c r="N709" s="1372"/>
      <c r="O709" s="1372"/>
      <c r="P709" s="1372"/>
      <c r="Q709" s="1372"/>
      <c r="R709" s="1372"/>
      <c r="S709" s="1372"/>
      <c r="T709" s="1372"/>
      <c r="U709" s="1372"/>
      <c r="V709" s="1372"/>
      <c r="W709" s="1372"/>
      <c r="X709" s="1372"/>
      <c r="Y709" s="1372"/>
      <c r="Z709" s="1372"/>
    </row>
    <row r="710" spans="1:26" ht="15.75" customHeight="1" x14ac:dyDescent="0.25">
      <c r="A710" s="1371"/>
      <c r="B710" s="1371"/>
      <c r="C710" s="1371"/>
      <c r="D710" s="1371"/>
      <c r="E710" s="1371"/>
      <c r="F710" s="1371"/>
      <c r="G710" s="1371"/>
      <c r="H710" s="1371"/>
      <c r="I710" s="1372"/>
      <c r="J710" s="1372"/>
      <c r="K710" s="1372"/>
      <c r="L710" s="1372"/>
      <c r="M710" s="1372"/>
      <c r="N710" s="1372"/>
      <c r="O710" s="1372"/>
      <c r="P710" s="1372"/>
      <c r="Q710" s="1372"/>
      <c r="R710" s="1372"/>
      <c r="S710" s="1372"/>
      <c r="T710" s="1372"/>
      <c r="U710" s="1372"/>
      <c r="V710" s="1372"/>
      <c r="W710" s="1372"/>
      <c r="X710" s="1372"/>
      <c r="Y710" s="1372"/>
      <c r="Z710" s="1372"/>
    </row>
    <row r="711" spans="1:26" ht="15.75" customHeight="1" x14ac:dyDescent="0.25">
      <c r="A711" s="1371"/>
      <c r="B711" s="1371"/>
      <c r="C711" s="1371"/>
      <c r="D711" s="1371"/>
      <c r="E711" s="1371"/>
      <c r="F711" s="1371"/>
      <c r="G711" s="1371"/>
      <c r="H711" s="1371"/>
      <c r="I711" s="1372"/>
      <c r="J711" s="1372"/>
      <c r="K711" s="1372"/>
      <c r="L711" s="1372"/>
      <c r="M711" s="1372"/>
      <c r="N711" s="1372"/>
      <c r="O711" s="1372"/>
      <c r="P711" s="1372"/>
      <c r="Q711" s="1372"/>
      <c r="R711" s="1372"/>
      <c r="S711" s="1372"/>
      <c r="T711" s="1372"/>
      <c r="U711" s="1372"/>
      <c r="V711" s="1372"/>
      <c r="W711" s="1372"/>
      <c r="X711" s="1372"/>
      <c r="Y711" s="1372"/>
      <c r="Z711" s="1372"/>
    </row>
    <row r="712" spans="1:26" ht="15.75" customHeight="1" x14ac:dyDescent="0.25">
      <c r="A712" s="1371"/>
      <c r="B712" s="1371"/>
      <c r="C712" s="1371"/>
      <c r="D712" s="1371"/>
      <c r="E712" s="1371"/>
      <c r="F712" s="1371"/>
      <c r="G712" s="1371"/>
      <c r="H712" s="1371"/>
      <c r="I712" s="1372"/>
      <c r="J712" s="1372"/>
      <c r="K712" s="1372"/>
      <c r="L712" s="1372"/>
      <c r="M712" s="1372"/>
      <c r="N712" s="1372"/>
      <c r="O712" s="1372"/>
      <c r="P712" s="1372"/>
      <c r="Q712" s="1372"/>
      <c r="R712" s="1372"/>
      <c r="S712" s="1372"/>
      <c r="T712" s="1372"/>
      <c r="U712" s="1372"/>
      <c r="V712" s="1372"/>
      <c r="W712" s="1372"/>
      <c r="X712" s="1372"/>
      <c r="Y712" s="1372"/>
      <c r="Z712" s="1372"/>
    </row>
    <row r="713" spans="1:26" ht="15.75" customHeight="1" x14ac:dyDescent="0.25">
      <c r="A713" s="1371"/>
      <c r="B713" s="1371"/>
      <c r="C713" s="1371"/>
      <c r="D713" s="1371"/>
      <c r="E713" s="1371"/>
      <c r="F713" s="1371"/>
      <c r="G713" s="1371"/>
      <c r="H713" s="1371"/>
      <c r="I713" s="1372"/>
      <c r="J713" s="1372"/>
      <c r="K713" s="1372"/>
      <c r="L713" s="1372"/>
      <c r="M713" s="1372"/>
      <c r="N713" s="1372"/>
      <c r="O713" s="1372"/>
      <c r="P713" s="1372"/>
      <c r="Q713" s="1372"/>
      <c r="R713" s="1372"/>
      <c r="S713" s="1372"/>
      <c r="T713" s="1372"/>
      <c r="U713" s="1372"/>
      <c r="V713" s="1372"/>
      <c r="W713" s="1372"/>
      <c r="X713" s="1372"/>
      <c r="Y713" s="1372"/>
      <c r="Z713" s="1372"/>
    </row>
    <row r="714" spans="1:26" ht="15.75" customHeight="1" x14ac:dyDescent="0.25">
      <c r="A714" s="1371"/>
      <c r="B714" s="1371"/>
      <c r="C714" s="1371"/>
      <c r="D714" s="1371"/>
      <c r="E714" s="1371"/>
      <c r="F714" s="1371"/>
      <c r="G714" s="1371"/>
      <c r="H714" s="1371"/>
      <c r="I714" s="1372"/>
      <c r="J714" s="1372"/>
      <c r="K714" s="1372"/>
      <c r="L714" s="1372"/>
      <c r="M714" s="1372"/>
      <c r="N714" s="1372"/>
      <c r="O714" s="1372"/>
      <c r="P714" s="1372"/>
      <c r="Q714" s="1372"/>
      <c r="R714" s="1372"/>
      <c r="S714" s="1372"/>
      <c r="T714" s="1372"/>
      <c r="U714" s="1372"/>
      <c r="V714" s="1372"/>
      <c r="W714" s="1372"/>
      <c r="X714" s="1372"/>
      <c r="Y714" s="1372"/>
      <c r="Z714" s="1372"/>
    </row>
    <row r="715" spans="1:26" ht="15.75" customHeight="1" x14ac:dyDescent="0.25">
      <c r="A715" s="1371"/>
      <c r="B715" s="1371"/>
      <c r="C715" s="1371"/>
      <c r="D715" s="1371"/>
      <c r="E715" s="1371"/>
      <c r="F715" s="1371"/>
      <c r="G715" s="1371"/>
      <c r="H715" s="1371"/>
      <c r="I715" s="1372"/>
      <c r="J715" s="1372"/>
      <c r="K715" s="1372"/>
      <c r="L715" s="1372"/>
      <c r="M715" s="1372"/>
      <c r="N715" s="1372"/>
      <c r="O715" s="1372"/>
      <c r="P715" s="1372"/>
      <c r="Q715" s="1372"/>
      <c r="R715" s="1372"/>
      <c r="S715" s="1372"/>
      <c r="T715" s="1372"/>
      <c r="U715" s="1372"/>
      <c r="V715" s="1372"/>
      <c r="W715" s="1372"/>
      <c r="X715" s="1372"/>
      <c r="Y715" s="1372"/>
      <c r="Z715" s="1372"/>
    </row>
    <row r="716" spans="1:26" ht="15.75" customHeight="1" x14ac:dyDescent="0.25">
      <c r="A716" s="1371"/>
      <c r="B716" s="1371"/>
      <c r="C716" s="1371"/>
      <c r="D716" s="1371"/>
      <c r="E716" s="1371"/>
      <c r="F716" s="1371"/>
      <c r="G716" s="1371"/>
      <c r="H716" s="1371"/>
      <c r="I716" s="1372"/>
      <c r="J716" s="1372"/>
      <c r="K716" s="1372"/>
      <c r="L716" s="1372"/>
      <c r="M716" s="1372"/>
      <c r="N716" s="1372"/>
      <c r="O716" s="1372"/>
      <c r="P716" s="1372"/>
      <c r="Q716" s="1372"/>
      <c r="R716" s="1372"/>
      <c r="S716" s="1372"/>
      <c r="T716" s="1372"/>
      <c r="U716" s="1372"/>
      <c r="V716" s="1372"/>
      <c r="W716" s="1372"/>
      <c r="X716" s="1372"/>
      <c r="Y716" s="1372"/>
      <c r="Z716" s="1372"/>
    </row>
    <row r="717" spans="1:26" ht="15.75" customHeight="1" x14ac:dyDescent="0.25">
      <c r="A717" s="1371"/>
      <c r="B717" s="1371"/>
      <c r="C717" s="1371"/>
      <c r="D717" s="1371"/>
      <c r="E717" s="1371"/>
      <c r="F717" s="1371"/>
      <c r="G717" s="1371"/>
      <c r="H717" s="1371"/>
      <c r="I717" s="1372"/>
      <c r="J717" s="1372"/>
      <c r="K717" s="1372"/>
      <c r="L717" s="1372"/>
      <c r="M717" s="1372"/>
      <c r="N717" s="1372"/>
      <c r="O717" s="1372"/>
      <c r="P717" s="1372"/>
      <c r="Q717" s="1372"/>
      <c r="R717" s="1372"/>
      <c r="S717" s="1372"/>
      <c r="T717" s="1372"/>
      <c r="U717" s="1372"/>
      <c r="V717" s="1372"/>
      <c r="W717" s="1372"/>
      <c r="X717" s="1372"/>
      <c r="Y717" s="1372"/>
      <c r="Z717" s="1372"/>
    </row>
    <row r="718" spans="1:26" ht="15.75" customHeight="1" x14ac:dyDescent="0.25">
      <c r="A718" s="1371"/>
      <c r="B718" s="1371"/>
      <c r="C718" s="1371"/>
      <c r="D718" s="1371"/>
      <c r="E718" s="1371"/>
      <c r="F718" s="1371"/>
      <c r="G718" s="1371"/>
      <c r="H718" s="1371"/>
      <c r="I718" s="1372"/>
      <c r="J718" s="1372"/>
      <c r="K718" s="1372"/>
      <c r="L718" s="1372"/>
      <c r="M718" s="1372"/>
      <c r="N718" s="1372"/>
      <c r="O718" s="1372"/>
      <c r="P718" s="1372"/>
      <c r="Q718" s="1372"/>
      <c r="R718" s="1372"/>
      <c r="S718" s="1372"/>
      <c r="T718" s="1372"/>
      <c r="U718" s="1372"/>
      <c r="V718" s="1372"/>
      <c r="W718" s="1372"/>
      <c r="X718" s="1372"/>
      <c r="Y718" s="1372"/>
      <c r="Z718" s="1372"/>
    </row>
    <row r="719" spans="1:26" ht="15.75" customHeight="1" x14ac:dyDescent="0.25">
      <c r="A719" s="1371"/>
      <c r="B719" s="1371"/>
      <c r="C719" s="1371"/>
      <c r="D719" s="1371"/>
      <c r="E719" s="1371"/>
      <c r="F719" s="1371"/>
      <c r="G719" s="1371"/>
      <c r="H719" s="1371"/>
      <c r="I719" s="1372"/>
      <c r="J719" s="1372"/>
      <c r="K719" s="1372"/>
      <c r="L719" s="1372"/>
      <c r="M719" s="1372"/>
      <c r="N719" s="1372"/>
      <c r="O719" s="1372"/>
      <c r="P719" s="1372"/>
      <c r="Q719" s="1372"/>
      <c r="R719" s="1372"/>
      <c r="S719" s="1372"/>
      <c r="T719" s="1372"/>
      <c r="U719" s="1372"/>
      <c r="V719" s="1372"/>
      <c r="W719" s="1372"/>
      <c r="X719" s="1372"/>
      <c r="Y719" s="1372"/>
      <c r="Z719" s="1372"/>
    </row>
    <row r="720" spans="1:26" ht="15.75" customHeight="1" x14ac:dyDescent="0.25">
      <c r="A720" s="1371"/>
      <c r="B720" s="1371"/>
      <c r="C720" s="1371"/>
      <c r="D720" s="1371"/>
      <c r="E720" s="1371"/>
      <c r="F720" s="1371"/>
      <c r="G720" s="1371"/>
      <c r="H720" s="1371"/>
      <c r="I720" s="1372"/>
      <c r="J720" s="1372"/>
      <c r="K720" s="1372"/>
      <c r="L720" s="1372"/>
      <c r="M720" s="1372"/>
      <c r="N720" s="1372"/>
      <c r="O720" s="1372"/>
      <c r="P720" s="1372"/>
      <c r="Q720" s="1372"/>
      <c r="R720" s="1372"/>
      <c r="S720" s="1372"/>
      <c r="T720" s="1372"/>
      <c r="U720" s="1372"/>
      <c r="V720" s="1372"/>
      <c r="W720" s="1372"/>
      <c r="X720" s="1372"/>
      <c r="Y720" s="1372"/>
      <c r="Z720" s="1372"/>
    </row>
    <row r="721" spans="1:26" ht="15.75" customHeight="1" x14ac:dyDescent="0.25">
      <c r="A721" s="1371"/>
      <c r="B721" s="1371"/>
      <c r="C721" s="1371"/>
      <c r="D721" s="1371"/>
      <c r="E721" s="1371"/>
      <c r="F721" s="1371"/>
      <c r="G721" s="1371"/>
      <c r="H721" s="1371"/>
      <c r="I721" s="1372"/>
      <c r="J721" s="1372"/>
      <c r="K721" s="1372"/>
      <c r="L721" s="1372"/>
      <c r="M721" s="1372"/>
      <c r="N721" s="1372"/>
      <c r="O721" s="1372"/>
      <c r="P721" s="1372"/>
      <c r="Q721" s="1372"/>
      <c r="R721" s="1372"/>
      <c r="S721" s="1372"/>
      <c r="T721" s="1372"/>
      <c r="U721" s="1372"/>
      <c r="V721" s="1372"/>
      <c r="W721" s="1372"/>
      <c r="X721" s="1372"/>
      <c r="Y721" s="1372"/>
      <c r="Z721" s="1372"/>
    </row>
    <row r="722" spans="1:26" ht="15.75" customHeight="1" x14ac:dyDescent="0.25">
      <c r="A722" s="1371"/>
      <c r="B722" s="1371"/>
      <c r="C722" s="1371"/>
      <c r="D722" s="1371"/>
      <c r="E722" s="1371"/>
      <c r="F722" s="1371"/>
      <c r="G722" s="1371"/>
      <c r="H722" s="1371"/>
      <c r="I722" s="1372"/>
      <c r="J722" s="1372"/>
      <c r="K722" s="1372"/>
      <c r="L722" s="1372"/>
      <c r="M722" s="1372"/>
      <c r="N722" s="1372"/>
      <c r="O722" s="1372"/>
      <c r="P722" s="1372"/>
      <c r="Q722" s="1372"/>
      <c r="R722" s="1372"/>
      <c r="S722" s="1372"/>
      <c r="T722" s="1372"/>
      <c r="U722" s="1372"/>
      <c r="V722" s="1372"/>
      <c r="W722" s="1372"/>
      <c r="X722" s="1372"/>
      <c r="Y722" s="1372"/>
      <c r="Z722" s="1372"/>
    </row>
    <row r="723" spans="1:26" ht="15.75" customHeight="1" x14ac:dyDescent="0.25">
      <c r="A723" s="1371"/>
      <c r="B723" s="1371"/>
      <c r="C723" s="1371"/>
      <c r="D723" s="1371"/>
      <c r="E723" s="1371"/>
      <c r="F723" s="1371"/>
      <c r="G723" s="1371"/>
      <c r="H723" s="1371"/>
      <c r="I723" s="1372"/>
      <c r="J723" s="1372"/>
      <c r="K723" s="1372"/>
      <c r="L723" s="1372"/>
      <c r="M723" s="1372"/>
      <c r="N723" s="1372"/>
      <c r="O723" s="1372"/>
      <c r="P723" s="1372"/>
      <c r="Q723" s="1372"/>
      <c r="R723" s="1372"/>
      <c r="S723" s="1372"/>
      <c r="T723" s="1372"/>
      <c r="U723" s="1372"/>
      <c r="V723" s="1372"/>
      <c r="W723" s="1372"/>
      <c r="X723" s="1372"/>
      <c r="Y723" s="1372"/>
      <c r="Z723" s="1372"/>
    </row>
    <row r="724" spans="1:26" ht="15.75" customHeight="1" x14ac:dyDescent="0.25">
      <c r="A724" s="1371"/>
      <c r="B724" s="1371"/>
      <c r="C724" s="1371"/>
      <c r="D724" s="1371"/>
      <c r="E724" s="1371"/>
      <c r="F724" s="1371"/>
      <c r="G724" s="1371"/>
      <c r="H724" s="1371"/>
      <c r="I724" s="1372"/>
      <c r="J724" s="1372"/>
      <c r="K724" s="1372"/>
      <c r="L724" s="1372"/>
      <c r="M724" s="1372"/>
      <c r="N724" s="1372"/>
      <c r="O724" s="1372"/>
      <c r="P724" s="1372"/>
      <c r="Q724" s="1372"/>
      <c r="R724" s="1372"/>
      <c r="S724" s="1372"/>
      <c r="T724" s="1372"/>
      <c r="U724" s="1372"/>
      <c r="V724" s="1372"/>
      <c r="W724" s="1372"/>
      <c r="X724" s="1372"/>
      <c r="Y724" s="1372"/>
      <c r="Z724" s="1372"/>
    </row>
    <row r="725" spans="1:26" ht="15.75" customHeight="1" x14ac:dyDescent="0.25">
      <c r="A725" s="1371"/>
      <c r="B725" s="1371"/>
      <c r="C725" s="1371"/>
      <c r="D725" s="1371"/>
      <c r="E725" s="1371"/>
      <c r="F725" s="1371"/>
      <c r="G725" s="1371"/>
      <c r="H725" s="1371"/>
      <c r="I725" s="1372"/>
      <c r="J725" s="1372"/>
      <c r="K725" s="1372"/>
      <c r="L725" s="1372"/>
      <c r="M725" s="1372"/>
      <c r="N725" s="1372"/>
      <c r="O725" s="1372"/>
      <c r="P725" s="1372"/>
      <c r="Q725" s="1372"/>
      <c r="R725" s="1372"/>
      <c r="S725" s="1372"/>
      <c r="T725" s="1372"/>
      <c r="U725" s="1372"/>
      <c r="V725" s="1372"/>
      <c r="W725" s="1372"/>
      <c r="X725" s="1372"/>
      <c r="Y725" s="1372"/>
      <c r="Z725" s="1372"/>
    </row>
    <row r="726" spans="1:26" ht="15.75" customHeight="1" x14ac:dyDescent="0.25">
      <c r="A726" s="1371"/>
      <c r="B726" s="1371"/>
      <c r="C726" s="1371"/>
      <c r="D726" s="1371"/>
      <c r="E726" s="1371"/>
      <c r="F726" s="1371"/>
      <c r="G726" s="1371"/>
      <c r="H726" s="1371"/>
      <c r="I726" s="1372"/>
      <c r="J726" s="1372"/>
      <c r="K726" s="1372"/>
      <c r="L726" s="1372"/>
      <c r="M726" s="1372"/>
      <c r="N726" s="1372"/>
      <c r="O726" s="1372"/>
      <c r="P726" s="1372"/>
      <c r="Q726" s="1372"/>
      <c r="R726" s="1372"/>
      <c r="S726" s="1372"/>
      <c r="T726" s="1372"/>
      <c r="U726" s="1372"/>
      <c r="V726" s="1372"/>
      <c r="W726" s="1372"/>
      <c r="X726" s="1372"/>
      <c r="Y726" s="1372"/>
      <c r="Z726" s="1372"/>
    </row>
    <row r="727" spans="1:26" ht="15.75" customHeight="1" x14ac:dyDescent="0.25">
      <c r="A727" s="1371"/>
      <c r="B727" s="1371"/>
      <c r="C727" s="1371"/>
      <c r="D727" s="1371"/>
      <c r="E727" s="1371"/>
      <c r="F727" s="1371"/>
      <c r="G727" s="1371"/>
      <c r="H727" s="1371"/>
      <c r="I727" s="1372"/>
      <c r="J727" s="1372"/>
      <c r="K727" s="1372"/>
      <c r="L727" s="1372"/>
      <c r="M727" s="1372"/>
      <c r="N727" s="1372"/>
      <c r="O727" s="1372"/>
      <c r="P727" s="1372"/>
      <c r="Q727" s="1372"/>
      <c r="R727" s="1372"/>
      <c r="S727" s="1372"/>
      <c r="T727" s="1372"/>
      <c r="U727" s="1372"/>
      <c r="V727" s="1372"/>
      <c r="W727" s="1372"/>
      <c r="X727" s="1372"/>
      <c r="Y727" s="1372"/>
      <c r="Z727" s="1372"/>
    </row>
    <row r="728" spans="1:26" ht="15.75" customHeight="1" x14ac:dyDescent="0.25">
      <c r="A728" s="1371"/>
      <c r="B728" s="1371"/>
      <c r="C728" s="1371"/>
      <c r="D728" s="1371"/>
      <c r="E728" s="1371"/>
      <c r="F728" s="1371"/>
      <c r="G728" s="1371"/>
      <c r="H728" s="1371"/>
      <c r="I728" s="1372"/>
      <c r="J728" s="1372"/>
      <c r="K728" s="1372"/>
      <c r="L728" s="1372"/>
      <c r="M728" s="1372"/>
      <c r="N728" s="1372"/>
      <c r="O728" s="1372"/>
      <c r="P728" s="1372"/>
      <c r="Q728" s="1372"/>
      <c r="R728" s="1372"/>
      <c r="S728" s="1372"/>
      <c r="T728" s="1372"/>
      <c r="U728" s="1372"/>
      <c r="V728" s="1372"/>
      <c r="W728" s="1372"/>
      <c r="X728" s="1372"/>
      <c r="Y728" s="1372"/>
      <c r="Z728" s="1372"/>
    </row>
    <row r="729" spans="1:26" ht="15.75" customHeight="1" x14ac:dyDescent="0.25">
      <c r="A729" s="1371"/>
      <c r="B729" s="1371"/>
      <c r="C729" s="1371"/>
      <c r="D729" s="1371"/>
      <c r="E729" s="1371"/>
      <c r="F729" s="1371"/>
      <c r="G729" s="1371"/>
      <c r="H729" s="1371"/>
      <c r="I729" s="1372"/>
      <c r="J729" s="1372"/>
      <c r="K729" s="1372"/>
      <c r="L729" s="1372"/>
      <c r="M729" s="1372"/>
      <c r="N729" s="1372"/>
      <c r="O729" s="1372"/>
      <c r="P729" s="1372"/>
      <c r="Q729" s="1372"/>
      <c r="R729" s="1372"/>
      <c r="S729" s="1372"/>
      <c r="T729" s="1372"/>
      <c r="U729" s="1372"/>
      <c r="V729" s="1372"/>
      <c r="W729" s="1372"/>
      <c r="X729" s="1372"/>
      <c r="Y729" s="1372"/>
      <c r="Z729" s="1372"/>
    </row>
    <row r="730" spans="1:26" ht="15.75" customHeight="1" x14ac:dyDescent="0.25">
      <c r="A730" s="1371"/>
      <c r="B730" s="1371"/>
      <c r="C730" s="1371"/>
      <c r="D730" s="1371"/>
      <c r="E730" s="1371"/>
      <c r="F730" s="1371"/>
      <c r="G730" s="1371"/>
      <c r="H730" s="1371"/>
      <c r="I730" s="1372"/>
      <c r="J730" s="1372"/>
      <c r="K730" s="1372"/>
      <c r="L730" s="1372"/>
      <c r="M730" s="1372"/>
      <c r="N730" s="1372"/>
      <c r="O730" s="1372"/>
      <c r="P730" s="1372"/>
      <c r="Q730" s="1372"/>
      <c r="R730" s="1372"/>
      <c r="S730" s="1372"/>
      <c r="T730" s="1372"/>
      <c r="U730" s="1372"/>
      <c r="V730" s="1372"/>
      <c r="W730" s="1372"/>
      <c r="X730" s="1372"/>
      <c r="Y730" s="1372"/>
      <c r="Z730" s="1372"/>
    </row>
    <row r="731" spans="1:26" ht="15.75" customHeight="1" x14ac:dyDescent="0.25">
      <c r="A731" s="1371"/>
      <c r="B731" s="1371"/>
      <c r="C731" s="1371"/>
      <c r="D731" s="1371"/>
      <c r="E731" s="1371"/>
      <c r="F731" s="1371"/>
      <c r="G731" s="1371"/>
      <c r="H731" s="1371"/>
      <c r="I731" s="1372"/>
      <c r="J731" s="1372"/>
      <c r="K731" s="1372"/>
      <c r="L731" s="1372"/>
      <c r="M731" s="1372"/>
      <c r="N731" s="1372"/>
      <c r="O731" s="1372"/>
      <c r="P731" s="1372"/>
      <c r="Q731" s="1372"/>
      <c r="R731" s="1372"/>
      <c r="S731" s="1372"/>
      <c r="T731" s="1372"/>
      <c r="U731" s="1372"/>
      <c r="V731" s="1372"/>
      <c r="W731" s="1372"/>
      <c r="X731" s="1372"/>
      <c r="Y731" s="1372"/>
      <c r="Z731" s="1372"/>
    </row>
    <row r="732" spans="1:26" ht="15.75" customHeight="1" x14ac:dyDescent="0.25">
      <c r="A732" s="1371"/>
      <c r="B732" s="1371"/>
      <c r="C732" s="1371"/>
      <c r="D732" s="1371"/>
      <c r="E732" s="1371"/>
      <c r="F732" s="1371"/>
      <c r="G732" s="1371"/>
      <c r="H732" s="1371"/>
      <c r="I732" s="1372"/>
      <c r="J732" s="1372"/>
      <c r="K732" s="1372"/>
      <c r="L732" s="1372"/>
      <c r="M732" s="1372"/>
      <c r="N732" s="1372"/>
      <c r="O732" s="1372"/>
      <c r="P732" s="1372"/>
      <c r="Q732" s="1372"/>
      <c r="R732" s="1372"/>
      <c r="S732" s="1372"/>
      <c r="T732" s="1372"/>
      <c r="U732" s="1372"/>
      <c r="V732" s="1372"/>
      <c r="W732" s="1372"/>
      <c r="X732" s="1372"/>
      <c r="Y732" s="1372"/>
      <c r="Z732" s="1372"/>
    </row>
    <row r="733" spans="1:26" ht="15.75" customHeight="1" x14ac:dyDescent="0.25">
      <c r="A733" s="1371"/>
      <c r="B733" s="1371"/>
      <c r="C733" s="1371"/>
      <c r="D733" s="1371"/>
      <c r="E733" s="1371"/>
      <c r="F733" s="1371"/>
      <c r="G733" s="1371"/>
      <c r="H733" s="1371"/>
      <c r="I733" s="1372"/>
      <c r="J733" s="1372"/>
      <c r="K733" s="1372"/>
      <c r="L733" s="1372"/>
      <c r="M733" s="1372"/>
      <c r="N733" s="1372"/>
      <c r="O733" s="1372"/>
      <c r="P733" s="1372"/>
      <c r="Q733" s="1372"/>
      <c r="R733" s="1372"/>
      <c r="S733" s="1372"/>
      <c r="T733" s="1372"/>
      <c r="U733" s="1372"/>
      <c r="V733" s="1372"/>
      <c r="W733" s="1372"/>
      <c r="X733" s="1372"/>
      <c r="Y733" s="1372"/>
      <c r="Z733" s="1372"/>
    </row>
    <row r="734" spans="1:26" ht="15.75" customHeight="1" x14ac:dyDescent="0.25">
      <c r="A734" s="1371"/>
      <c r="B734" s="1371"/>
      <c r="C734" s="1371"/>
      <c r="D734" s="1371"/>
      <c r="E734" s="1371"/>
      <c r="F734" s="1371"/>
      <c r="G734" s="1371"/>
      <c r="H734" s="1371"/>
      <c r="I734" s="1372"/>
      <c r="J734" s="1372"/>
      <c r="K734" s="1372"/>
      <c r="L734" s="1372"/>
      <c r="M734" s="1372"/>
      <c r="N734" s="1372"/>
      <c r="O734" s="1372"/>
      <c r="P734" s="1372"/>
      <c r="Q734" s="1372"/>
      <c r="R734" s="1372"/>
      <c r="S734" s="1372"/>
      <c r="T734" s="1372"/>
      <c r="U734" s="1372"/>
      <c r="V734" s="1372"/>
      <c r="W734" s="1372"/>
      <c r="X734" s="1372"/>
      <c r="Y734" s="1372"/>
      <c r="Z734" s="1372"/>
    </row>
    <row r="735" spans="1:26" ht="15.75" customHeight="1" x14ac:dyDescent="0.25">
      <c r="A735" s="1371"/>
      <c r="B735" s="1371"/>
      <c r="C735" s="1371"/>
      <c r="D735" s="1371"/>
      <c r="E735" s="1371"/>
      <c r="F735" s="1371"/>
      <c r="G735" s="1371"/>
      <c r="H735" s="1371"/>
      <c r="I735" s="1372"/>
      <c r="J735" s="1372"/>
      <c r="K735" s="1372"/>
      <c r="L735" s="1372"/>
      <c r="M735" s="1372"/>
      <c r="N735" s="1372"/>
      <c r="O735" s="1372"/>
      <c r="P735" s="1372"/>
      <c r="Q735" s="1372"/>
      <c r="R735" s="1372"/>
      <c r="S735" s="1372"/>
      <c r="T735" s="1372"/>
      <c r="U735" s="1372"/>
      <c r="V735" s="1372"/>
      <c r="W735" s="1372"/>
      <c r="X735" s="1372"/>
      <c r="Y735" s="1372"/>
      <c r="Z735" s="1372"/>
    </row>
    <row r="736" spans="1:26" ht="15.75" customHeight="1" x14ac:dyDescent="0.25">
      <c r="A736" s="1371"/>
      <c r="B736" s="1371"/>
      <c r="C736" s="1371"/>
      <c r="D736" s="1371"/>
      <c r="E736" s="1371"/>
      <c r="F736" s="1371"/>
      <c r="G736" s="1371"/>
      <c r="H736" s="1371"/>
      <c r="I736" s="1372"/>
      <c r="J736" s="1372"/>
      <c r="K736" s="1372"/>
      <c r="L736" s="1372"/>
      <c r="M736" s="1372"/>
      <c r="N736" s="1372"/>
      <c r="O736" s="1372"/>
      <c r="P736" s="1372"/>
      <c r="Q736" s="1372"/>
      <c r="R736" s="1372"/>
      <c r="S736" s="1372"/>
      <c r="T736" s="1372"/>
      <c r="U736" s="1372"/>
      <c r="V736" s="1372"/>
      <c r="W736" s="1372"/>
      <c r="X736" s="1372"/>
      <c r="Y736" s="1372"/>
      <c r="Z736" s="1372"/>
    </row>
    <row r="737" spans="1:26" ht="15.75" customHeight="1" x14ac:dyDescent="0.25">
      <c r="A737" s="1371"/>
      <c r="B737" s="1371"/>
      <c r="C737" s="1371"/>
      <c r="D737" s="1371"/>
      <c r="E737" s="1371"/>
      <c r="F737" s="1371"/>
      <c r="G737" s="1371"/>
      <c r="H737" s="1371"/>
      <c r="I737" s="1372"/>
      <c r="J737" s="1372"/>
      <c r="K737" s="1372"/>
      <c r="L737" s="1372"/>
      <c r="M737" s="1372"/>
      <c r="N737" s="1372"/>
      <c r="O737" s="1372"/>
      <c r="P737" s="1372"/>
      <c r="Q737" s="1372"/>
      <c r="R737" s="1372"/>
      <c r="S737" s="1372"/>
      <c r="T737" s="1372"/>
      <c r="U737" s="1372"/>
      <c r="V737" s="1372"/>
      <c r="W737" s="1372"/>
      <c r="X737" s="1372"/>
      <c r="Y737" s="1372"/>
      <c r="Z737" s="1372"/>
    </row>
    <row r="738" spans="1:26" ht="15.75" customHeight="1" x14ac:dyDescent="0.25">
      <c r="A738" s="1371"/>
      <c r="B738" s="1371"/>
      <c r="C738" s="1371"/>
      <c r="D738" s="1371"/>
      <c r="E738" s="1371"/>
      <c r="F738" s="1371"/>
      <c r="G738" s="1371"/>
      <c r="H738" s="1371"/>
      <c r="I738" s="1372"/>
      <c r="J738" s="1372"/>
      <c r="K738" s="1372"/>
      <c r="L738" s="1372"/>
      <c r="M738" s="1372"/>
      <c r="N738" s="1372"/>
      <c r="O738" s="1372"/>
      <c r="P738" s="1372"/>
      <c r="Q738" s="1372"/>
      <c r="R738" s="1372"/>
      <c r="S738" s="1372"/>
      <c r="T738" s="1372"/>
      <c r="U738" s="1372"/>
      <c r="V738" s="1372"/>
      <c r="W738" s="1372"/>
      <c r="X738" s="1372"/>
      <c r="Y738" s="1372"/>
      <c r="Z738" s="1372"/>
    </row>
    <row r="739" spans="1:26" ht="15.75" customHeight="1" x14ac:dyDescent="0.25">
      <c r="A739" s="1371"/>
      <c r="B739" s="1371"/>
      <c r="C739" s="1371"/>
      <c r="D739" s="1371"/>
      <c r="E739" s="1371"/>
      <c r="F739" s="1371"/>
      <c r="G739" s="1371"/>
      <c r="H739" s="1371"/>
      <c r="I739" s="1372"/>
      <c r="J739" s="1372"/>
      <c r="K739" s="1372"/>
      <c r="L739" s="1372"/>
      <c r="M739" s="1372"/>
      <c r="N739" s="1372"/>
      <c r="O739" s="1372"/>
      <c r="P739" s="1372"/>
      <c r="Q739" s="1372"/>
      <c r="R739" s="1372"/>
      <c r="S739" s="1372"/>
      <c r="T739" s="1372"/>
      <c r="U739" s="1372"/>
      <c r="V739" s="1372"/>
      <c r="W739" s="1372"/>
      <c r="X739" s="1372"/>
      <c r="Y739" s="1372"/>
      <c r="Z739" s="1372"/>
    </row>
    <row r="740" spans="1:26" ht="15.75" customHeight="1" x14ac:dyDescent="0.25">
      <c r="A740" s="1371"/>
      <c r="B740" s="1371"/>
      <c r="C740" s="1371"/>
      <c r="D740" s="1371"/>
      <c r="E740" s="1371"/>
      <c r="F740" s="1371"/>
      <c r="G740" s="1371"/>
      <c r="H740" s="1371"/>
      <c r="I740" s="1372"/>
      <c r="J740" s="1372"/>
      <c r="K740" s="1372"/>
      <c r="L740" s="1372"/>
      <c r="M740" s="1372"/>
      <c r="N740" s="1372"/>
      <c r="O740" s="1372"/>
      <c r="P740" s="1372"/>
      <c r="Q740" s="1372"/>
      <c r="R740" s="1372"/>
      <c r="S740" s="1372"/>
      <c r="T740" s="1372"/>
      <c r="U740" s="1372"/>
      <c r="V740" s="1372"/>
      <c r="W740" s="1372"/>
      <c r="X740" s="1372"/>
      <c r="Y740" s="1372"/>
      <c r="Z740" s="1372"/>
    </row>
    <row r="741" spans="1:26" ht="15.75" customHeight="1" x14ac:dyDescent="0.25">
      <c r="A741" s="1371"/>
      <c r="B741" s="1371"/>
      <c r="C741" s="1371"/>
      <c r="D741" s="1371"/>
      <c r="E741" s="1371"/>
      <c r="F741" s="1371"/>
      <c r="G741" s="1371"/>
      <c r="H741" s="1371"/>
      <c r="I741" s="1372"/>
      <c r="J741" s="1372"/>
      <c r="K741" s="1372"/>
      <c r="L741" s="1372"/>
      <c r="M741" s="1372"/>
      <c r="N741" s="1372"/>
      <c r="O741" s="1372"/>
      <c r="P741" s="1372"/>
      <c r="Q741" s="1372"/>
      <c r="R741" s="1372"/>
      <c r="S741" s="1372"/>
      <c r="T741" s="1372"/>
      <c r="U741" s="1372"/>
      <c r="V741" s="1372"/>
      <c r="W741" s="1372"/>
      <c r="X741" s="1372"/>
      <c r="Y741" s="1372"/>
      <c r="Z741" s="1372"/>
    </row>
    <row r="742" spans="1:26" ht="15.75" customHeight="1" x14ac:dyDescent="0.25">
      <c r="A742" s="1371"/>
      <c r="B742" s="1371"/>
      <c r="C742" s="1371"/>
      <c r="D742" s="1371"/>
      <c r="E742" s="1371"/>
      <c r="F742" s="1371"/>
      <c r="G742" s="1371"/>
      <c r="H742" s="1371"/>
      <c r="I742" s="1372"/>
      <c r="J742" s="1372"/>
      <c r="K742" s="1372"/>
      <c r="L742" s="1372"/>
      <c r="M742" s="1372"/>
      <c r="N742" s="1372"/>
      <c r="O742" s="1372"/>
      <c r="P742" s="1372"/>
      <c r="Q742" s="1372"/>
      <c r="R742" s="1372"/>
      <c r="S742" s="1372"/>
      <c r="T742" s="1372"/>
      <c r="U742" s="1372"/>
      <c r="V742" s="1372"/>
      <c r="W742" s="1372"/>
      <c r="X742" s="1372"/>
      <c r="Y742" s="1372"/>
      <c r="Z742" s="1372"/>
    </row>
    <row r="743" spans="1:26" ht="15.75" customHeight="1" x14ac:dyDescent="0.25">
      <c r="A743" s="1371"/>
      <c r="B743" s="1371"/>
      <c r="C743" s="1371"/>
      <c r="D743" s="1371"/>
      <c r="E743" s="1371"/>
      <c r="F743" s="1371"/>
      <c r="G743" s="1371"/>
      <c r="H743" s="1371"/>
      <c r="I743" s="1372"/>
      <c r="J743" s="1372"/>
      <c r="K743" s="1372"/>
      <c r="L743" s="1372"/>
      <c r="M743" s="1372"/>
      <c r="N743" s="1372"/>
      <c r="O743" s="1372"/>
      <c r="P743" s="1372"/>
      <c r="Q743" s="1372"/>
      <c r="R743" s="1372"/>
      <c r="S743" s="1372"/>
      <c r="T743" s="1372"/>
      <c r="U743" s="1372"/>
      <c r="V743" s="1372"/>
      <c r="W743" s="1372"/>
      <c r="X743" s="1372"/>
      <c r="Y743" s="1372"/>
      <c r="Z743" s="1372"/>
    </row>
    <row r="744" spans="1:26" ht="15.75" customHeight="1" x14ac:dyDescent="0.25">
      <c r="A744" s="1371"/>
      <c r="B744" s="1371"/>
      <c r="C744" s="1371"/>
      <c r="D744" s="1371"/>
      <c r="E744" s="1371"/>
      <c r="F744" s="1371"/>
      <c r="G744" s="1371"/>
      <c r="H744" s="1371"/>
      <c r="I744" s="1372"/>
      <c r="J744" s="1372"/>
      <c r="K744" s="1372"/>
      <c r="L744" s="1372"/>
      <c r="M744" s="1372"/>
      <c r="N744" s="1372"/>
      <c r="O744" s="1372"/>
      <c r="P744" s="1372"/>
      <c r="Q744" s="1372"/>
      <c r="R744" s="1372"/>
      <c r="S744" s="1372"/>
      <c r="T744" s="1372"/>
      <c r="U744" s="1372"/>
      <c r="V744" s="1372"/>
      <c r="W744" s="1372"/>
      <c r="X744" s="1372"/>
      <c r="Y744" s="1372"/>
      <c r="Z744" s="1372"/>
    </row>
    <row r="745" spans="1:26" ht="15.75" customHeight="1" x14ac:dyDescent="0.25">
      <c r="A745" s="1371"/>
      <c r="B745" s="1371"/>
      <c r="C745" s="1371"/>
      <c r="D745" s="1371"/>
      <c r="E745" s="1371"/>
      <c r="F745" s="1371"/>
      <c r="G745" s="1371"/>
      <c r="H745" s="1371"/>
      <c r="I745" s="1372"/>
      <c r="J745" s="1372"/>
      <c r="K745" s="1372"/>
      <c r="L745" s="1372"/>
      <c r="M745" s="1372"/>
      <c r="N745" s="1372"/>
      <c r="O745" s="1372"/>
      <c r="P745" s="1372"/>
      <c r="Q745" s="1372"/>
      <c r="R745" s="1372"/>
      <c r="S745" s="1372"/>
      <c r="T745" s="1372"/>
      <c r="U745" s="1372"/>
      <c r="V745" s="1372"/>
      <c r="W745" s="1372"/>
      <c r="X745" s="1372"/>
      <c r="Y745" s="1372"/>
      <c r="Z745" s="1372"/>
    </row>
    <row r="746" spans="1:26" ht="15.75" customHeight="1" x14ac:dyDescent="0.25">
      <c r="A746" s="1371"/>
      <c r="B746" s="1371"/>
      <c r="C746" s="1371"/>
      <c r="D746" s="1371"/>
      <c r="E746" s="1371"/>
      <c r="F746" s="1371"/>
      <c r="G746" s="1371"/>
      <c r="H746" s="1371"/>
      <c r="I746" s="1372"/>
      <c r="J746" s="1372"/>
      <c r="K746" s="1372"/>
      <c r="L746" s="1372"/>
      <c r="M746" s="1372"/>
      <c r="N746" s="1372"/>
      <c r="O746" s="1372"/>
      <c r="P746" s="1372"/>
      <c r="Q746" s="1372"/>
      <c r="R746" s="1372"/>
      <c r="S746" s="1372"/>
      <c r="T746" s="1372"/>
      <c r="U746" s="1372"/>
      <c r="V746" s="1372"/>
      <c r="W746" s="1372"/>
      <c r="X746" s="1372"/>
      <c r="Y746" s="1372"/>
      <c r="Z746" s="1372"/>
    </row>
    <row r="747" spans="1:26" ht="15.75" customHeight="1" x14ac:dyDescent="0.25">
      <c r="A747" s="1371"/>
      <c r="B747" s="1371"/>
      <c r="C747" s="1371"/>
      <c r="D747" s="1371"/>
      <c r="E747" s="1371"/>
      <c r="F747" s="1371"/>
      <c r="G747" s="1371"/>
      <c r="H747" s="1371"/>
      <c r="I747" s="1372"/>
      <c r="J747" s="1372"/>
      <c r="K747" s="1372"/>
      <c r="L747" s="1372"/>
      <c r="M747" s="1372"/>
      <c r="N747" s="1372"/>
      <c r="O747" s="1372"/>
      <c r="P747" s="1372"/>
      <c r="Q747" s="1372"/>
      <c r="R747" s="1372"/>
      <c r="S747" s="1372"/>
      <c r="T747" s="1372"/>
      <c r="U747" s="1372"/>
      <c r="V747" s="1372"/>
      <c r="W747" s="1372"/>
      <c r="X747" s="1372"/>
      <c r="Y747" s="1372"/>
      <c r="Z747" s="1372"/>
    </row>
    <row r="748" spans="1:26" ht="15.75" customHeight="1" x14ac:dyDescent="0.25">
      <c r="A748" s="1371"/>
      <c r="B748" s="1371"/>
      <c r="C748" s="1371"/>
      <c r="D748" s="1371"/>
      <c r="E748" s="1371"/>
      <c r="F748" s="1371"/>
      <c r="G748" s="1371"/>
      <c r="H748" s="1371"/>
      <c r="I748" s="1372"/>
      <c r="J748" s="1372"/>
      <c r="K748" s="1372"/>
      <c r="L748" s="1372"/>
      <c r="M748" s="1372"/>
      <c r="N748" s="1372"/>
      <c r="O748" s="1372"/>
      <c r="P748" s="1372"/>
      <c r="Q748" s="1372"/>
      <c r="R748" s="1372"/>
      <c r="S748" s="1372"/>
      <c r="T748" s="1372"/>
      <c r="U748" s="1372"/>
      <c r="V748" s="1372"/>
      <c r="W748" s="1372"/>
      <c r="X748" s="1372"/>
      <c r="Y748" s="1372"/>
      <c r="Z748" s="1372"/>
    </row>
    <row r="749" spans="1:26" ht="15.75" customHeight="1" x14ac:dyDescent="0.25">
      <c r="A749" s="1371"/>
      <c r="B749" s="1371"/>
      <c r="C749" s="1371"/>
      <c r="D749" s="1371"/>
      <c r="E749" s="1371"/>
      <c r="F749" s="1371"/>
      <c r="G749" s="1371"/>
      <c r="H749" s="1371"/>
      <c r="I749" s="1372"/>
      <c r="J749" s="1372"/>
      <c r="K749" s="1372"/>
      <c r="L749" s="1372"/>
      <c r="M749" s="1372"/>
      <c r="N749" s="1372"/>
      <c r="O749" s="1372"/>
      <c r="P749" s="1372"/>
      <c r="Q749" s="1372"/>
      <c r="R749" s="1372"/>
      <c r="S749" s="1372"/>
      <c r="T749" s="1372"/>
      <c r="U749" s="1372"/>
      <c r="V749" s="1372"/>
      <c r="W749" s="1372"/>
      <c r="X749" s="1372"/>
      <c r="Y749" s="1372"/>
      <c r="Z749" s="1372"/>
    </row>
    <row r="750" spans="1:26" ht="15.75" customHeight="1" x14ac:dyDescent="0.25">
      <c r="A750" s="1371"/>
      <c r="B750" s="1371"/>
      <c r="C750" s="1371"/>
      <c r="D750" s="1371"/>
      <c r="E750" s="1371"/>
      <c r="F750" s="1371"/>
      <c r="G750" s="1371"/>
      <c r="H750" s="1371"/>
      <c r="I750" s="1372"/>
      <c r="J750" s="1372"/>
      <c r="K750" s="1372"/>
      <c r="L750" s="1372"/>
      <c r="M750" s="1372"/>
      <c r="N750" s="1372"/>
      <c r="O750" s="1372"/>
      <c r="P750" s="1372"/>
      <c r="Q750" s="1372"/>
      <c r="R750" s="1372"/>
      <c r="S750" s="1372"/>
      <c r="T750" s="1372"/>
      <c r="U750" s="1372"/>
      <c r="V750" s="1372"/>
      <c r="W750" s="1372"/>
      <c r="X750" s="1372"/>
      <c r="Y750" s="1372"/>
      <c r="Z750" s="1372"/>
    </row>
    <row r="751" spans="1:26" ht="15.75" customHeight="1" x14ac:dyDescent="0.25">
      <c r="A751" s="1371"/>
      <c r="B751" s="1371"/>
      <c r="C751" s="1371"/>
      <c r="D751" s="1371"/>
      <c r="E751" s="1371"/>
      <c r="F751" s="1371"/>
      <c r="G751" s="1371"/>
      <c r="H751" s="1371"/>
      <c r="I751" s="1372"/>
      <c r="J751" s="1372"/>
      <c r="K751" s="1372"/>
      <c r="L751" s="1372"/>
      <c r="M751" s="1372"/>
      <c r="N751" s="1372"/>
      <c r="O751" s="1372"/>
      <c r="P751" s="1372"/>
      <c r="Q751" s="1372"/>
      <c r="R751" s="1372"/>
      <c r="S751" s="1372"/>
      <c r="T751" s="1372"/>
      <c r="U751" s="1372"/>
      <c r="V751" s="1372"/>
      <c r="W751" s="1372"/>
      <c r="X751" s="1372"/>
      <c r="Y751" s="1372"/>
      <c r="Z751" s="1372"/>
    </row>
    <row r="752" spans="1:26" ht="15.75" customHeight="1" x14ac:dyDescent="0.25">
      <c r="A752" s="1371"/>
      <c r="B752" s="1371"/>
      <c r="C752" s="1371"/>
      <c r="D752" s="1371"/>
      <c r="E752" s="1371"/>
      <c r="F752" s="1371"/>
      <c r="G752" s="1371"/>
      <c r="H752" s="1371"/>
      <c r="I752" s="1372"/>
      <c r="J752" s="1372"/>
      <c r="K752" s="1372"/>
      <c r="L752" s="1372"/>
      <c r="M752" s="1372"/>
      <c r="N752" s="1372"/>
      <c r="O752" s="1372"/>
      <c r="P752" s="1372"/>
      <c r="Q752" s="1372"/>
      <c r="R752" s="1372"/>
      <c r="S752" s="1372"/>
      <c r="T752" s="1372"/>
      <c r="U752" s="1372"/>
      <c r="V752" s="1372"/>
      <c r="W752" s="1372"/>
      <c r="X752" s="1372"/>
      <c r="Y752" s="1372"/>
      <c r="Z752" s="1372"/>
    </row>
    <row r="753" spans="1:26" ht="15.75" customHeight="1" x14ac:dyDescent="0.25">
      <c r="A753" s="1371"/>
      <c r="B753" s="1371"/>
      <c r="C753" s="1371"/>
      <c r="D753" s="1371"/>
      <c r="E753" s="1371"/>
      <c r="F753" s="1371"/>
      <c r="G753" s="1371"/>
      <c r="H753" s="1371"/>
      <c r="I753" s="1372"/>
      <c r="J753" s="1372"/>
      <c r="K753" s="1372"/>
      <c r="L753" s="1372"/>
      <c r="M753" s="1372"/>
      <c r="N753" s="1372"/>
      <c r="O753" s="1372"/>
      <c r="P753" s="1372"/>
      <c r="Q753" s="1372"/>
      <c r="R753" s="1372"/>
      <c r="S753" s="1372"/>
      <c r="T753" s="1372"/>
      <c r="U753" s="1372"/>
      <c r="V753" s="1372"/>
      <c r="W753" s="1372"/>
      <c r="X753" s="1372"/>
      <c r="Y753" s="1372"/>
      <c r="Z753" s="1372"/>
    </row>
    <row r="754" spans="1:26" ht="15.75" customHeight="1" x14ac:dyDescent="0.25">
      <c r="A754" s="1371"/>
      <c r="B754" s="1371"/>
      <c r="C754" s="1371"/>
      <c r="D754" s="1371"/>
      <c r="E754" s="1371"/>
      <c r="F754" s="1371"/>
      <c r="G754" s="1371"/>
      <c r="H754" s="1371"/>
      <c r="I754" s="1372"/>
      <c r="J754" s="1372"/>
      <c r="K754" s="1372"/>
      <c r="L754" s="1372"/>
      <c r="M754" s="1372"/>
      <c r="N754" s="1372"/>
      <c r="O754" s="1372"/>
      <c r="P754" s="1372"/>
      <c r="Q754" s="1372"/>
      <c r="R754" s="1372"/>
      <c r="S754" s="1372"/>
      <c r="T754" s="1372"/>
      <c r="U754" s="1372"/>
      <c r="V754" s="1372"/>
      <c r="W754" s="1372"/>
      <c r="X754" s="1372"/>
      <c r="Y754" s="1372"/>
      <c r="Z754" s="1372"/>
    </row>
    <row r="755" spans="1:26" ht="15.75" customHeight="1" x14ac:dyDescent="0.25">
      <c r="A755" s="1371"/>
      <c r="B755" s="1371"/>
      <c r="C755" s="1371"/>
      <c r="D755" s="1371"/>
      <c r="E755" s="1371"/>
      <c r="F755" s="1371"/>
      <c r="G755" s="1371"/>
      <c r="H755" s="1371"/>
      <c r="I755" s="1372"/>
      <c r="J755" s="1372"/>
      <c r="K755" s="1372"/>
      <c r="L755" s="1372"/>
      <c r="M755" s="1372"/>
      <c r="N755" s="1372"/>
      <c r="O755" s="1372"/>
      <c r="P755" s="1372"/>
      <c r="Q755" s="1372"/>
      <c r="R755" s="1372"/>
      <c r="S755" s="1372"/>
      <c r="T755" s="1372"/>
      <c r="U755" s="1372"/>
      <c r="V755" s="1372"/>
      <c r="W755" s="1372"/>
      <c r="X755" s="1372"/>
      <c r="Y755" s="1372"/>
      <c r="Z755" s="1372"/>
    </row>
    <row r="756" spans="1:26" ht="15.75" customHeight="1" x14ac:dyDescent="0.25">
      <c r="A756" s="1371"/>
      <c r="B756" s="1371"/>
      <c r="C756" s="1371"/>
      <c r="D756" s="1371"/>
      <c r="E756" s="1371"/>
      <c r="F756" s="1371"/>
      <c r="G756" s="1371"/>
      <c r="H756" s="1371"/>
      <c r="I756" s="1372"/>
      <c r="J756" s="1372"/>
      <c r="K756" s="1372"/>
      <c r="L756" s="1372"/>
      <c r="M756" s="1372"/>
      <c r="N756" s="1372"/>
      <c r="O756" s="1372"/>
      <c r="P756" s="1372"/>
      <c r="Q756" s="1372"/>
      <c r="R756" s="1372"/>
      <c r="S756" s="1372"/>
      <c r="T756" s="1372"/>
      <c r="U756" s="1372"/>
      <c r="V756" s="1372"/>
      <c r="W756" s="1372"/>
      <c r="X756" s="1372"/>
      <c r="Y756" s="1372"/>
      <c r="Z756" s="1372"/>
    </row>
    <row r="757" spans="1:26" ht="15.75" customHeight="1" x14ac:dyDescent="0.25">
      <c r="A757" s="1371"/>
      <c r="B757" s="1371"/>
      <c r="C757" s="1371"/>
      <c r="D757" s="1371"/>
      <c r="E757" s="1371"/>
      <c r="F757" s="1371"/>
      <c r="G757" s="1371"/>
      <c r="H757" s="1371"/>
      <c r="I757" s="1372"/>
      <c r="J757" s="1372"/>
      <c r="K757" s="1372"/>
      <c r="L757" s="1372"/>
      <c r="M757" s="1372"/>
      <c r="N757" s="1372"/>
      <c r="O757" s="1372"/>
      <c r="P757" s="1372"/>
      <c r="Q757" s="1372"/>
      <c r="R757" s="1372"/>
      <c r="S757" s="1372"/>
      <c r="T757" s="1372"/>
      <c r="U757" s="1372"/>
      <c r="V757" s="1372"/>
      <c r="W757" s="1372"/>
      <c r="X757" s="1372"/>
      <c r="Y757" s="1372"/>
      <c r="Z757" s="1372"/>
    </row>
    <row r="758" spans="1:26" ht="15.75" customHeight="1" x14ac:dyDescent="0.25">
      <c r="A758" s="1371"/>
      <c r="B758" s="1371"/>
      <c r="C758" s="1371"/>
      <c r="D758" s="1371"/>
      <c r="E758" s="1371"/>
      <c r="F758" s="1371"/>
      <c r="G758" s="1371"/>
      <c r="H758" s="1371"/>
      <c r="I758" s="1372"/>
      <c r="J758" s="1372"/>
      <c r="K758" s="1372"/>
      <c r="L758" s="1372"/>
      <c r="M758" s="1372"/>
      <c r="N758" s="1372"/>
      <c r="O758" s="1372"/>
      <c r="P758" s="1372"/>
      <c r="Q758" s="1372"/>
      <c r="R758" s="1372"/>
      <c r="S758" s="1372"/>
      <c r="T758" s="1372"/>
      <c r="U758" s="1372"/>
      <c r="V758" s="1372"/>
      <c r="W758" s="1372"/>
      <c r="X758" s="1372"/>
      <c r="Y758" s="1372"/>
      <c r="Z758" s="1372"/>
    </row>
    <row r="759" spans="1:26" ht="15.75" customHeight="1" x14ac:dyDescent="0.25">
      <c r="A759" s="1371"/>
      <c r="B759" s="1371"/>
      <c r="C759" s="1371"/>
      <c r="D759" s="1371"/>
      <c r="E759" s="1371"/>
      <c r="F759" s="1371"/>
      <c r="G759" s="1371"/>
      <c r="H759" s="1371"/>
      <c r="I759" s="1372"/>
      <c r="J759" s="1372"/>
      <c r="K759" s="1372"/>
      <c r="L759" s="1372"/>
      <c r="M759" s="1372"/>
      <c r="N759" s="1372"/>
      <c r="O759" s="1372"/>
      <c r="P759" s="1372"/>
      <c r="Q759" s="1372"/>
      <c r="R759" s="1372"/>
      <c r="S759" s="1372"/>
      <c r="T759" s="1372"/>
      <c r="U759" s="1372"/>
      <c r="V759" s="1372"/>
      <c r="W759" s="1372"/>
      <c r="X759" s="1372"/>
      <c r="Y759" s="1372"/>
      <c r="Z759" s="1372"/>
    </row>
    <row r="760" spans="1:26" ht="15.75" customHeight="1" x14ac:dyDescent="0.25">
      <c r="A760" s="1371"/>
      <c r="B760" s="1371"/>
      <c r="C760" s="1371"/>
      <c r="D760" s="1371"/>
      <c r="E760" s="1371"/>
      <c r="F760" s="1371"/>
      <c r="G760" s="1371"/>
      <c r="H760" s="1371"/>
      <c r="I760" s="1372"/>
      <c r="J760" s="1372"/>
      <c r="K760" s="1372"/>
      <c r="L760" s="1372"/>
      <c r="M760" s="1372"/>
      <c r="N760" s="1372"/>
      <c r="O760" s="1372"/>
      <c r="P760" s="1372"/>
      <c r="Q760" s="1372"/>
      <c r="R760" s="1372"/>
      <c r="S760" s="1372"/>
      <c r="T760" s="1372"/>
      <c r="U760" s="1372"/>
      <c r="V760" s="1372"/>
      <c r="W760" s="1372"/>
      <c r="X760" s="1372"/>
      <c r="Y760" s="1372"/>
      <c r="Z760" s="1372"/>
    </row>
    <row r="761" spans="1:26" ht="15.75" customHeight="1" x14ac:dyDescent="0.25">
      <c r="A761" s="1371"/>
      <c r="B761" s="1371"/>
      <c r="C761" s="1371"/>
      <c r="D761" s="1371"/>
      <c r="E761" s="1371"/>
      <c r="F761" s="1371"/>
      <c r="G761" s="1371"/>
      <c r="H761" s="1371"/>
      <c r="I761" s="1372"/>
      <c r="J761" s="1372"/>
      <c r="K761" s="1372"/>
      <c r="L761" s="1372"/>
      <c r="M761" s="1372"/>
      <c r="N761" s="1372"/>
      <c r="O761" s="1372"/>
      <c r="P761" s="1372"/>
      <c r="Q761" s="1372"/>
      <c r="R761" s="1372"/>
      <c r="S761" s="1372"/>
      <c r="T761" s="1372"/>
      <c r="U761" s="1372"/>
      <c r="V761" s="1372"/>
      <c r="W761" s="1372"/>
      <c r="X761" s="1372"/>
      <c r="Y761" s="1372"/>
      <c r="Z761" s="1372"/>
    </row>
    <row r="762" spans="1:26" ht="15.75" customHeight="1" x14ac:dyDescent="0.25">
      <c r="A762" s="1371"/>
      <c r="B762" s="1371"/>
      <c r="C762" s="1371"/>
      <c r="D762" s="1371"/>
      <c r="E762" s="1371"/>
      <c r="F762" s="1371"/>
      <c r="G762" s="1371"/>
      <c r="H762" s="1371"/>
      <c r="I762" s="1372"/>
      <c r="J762" s="1372"/>
      <c r="K762" s="1372"/>
      <c r="L762" s="1372"/>
      <c r="M762" s="1372"/>
      <c r="N762" s="1372"/>
      <c r="O762" s="1372"/>
      <c r="P762" s="1372"/>
      <c r="Q762" s="1372"/>
      <c r="R762" s="1372"/>
      <c r="S762" s="1372"/>
      <c r="T762" s="1372"/>
      <c r="U762" s="1372"/>
      <c r="V762" s="1372"/>
      <c r="W762" s="1372"/>
      <c r="X762" s="1372"/>
      <c r="Y762" s="1372"/>
      <c r="Z762" s="1372"/>
    </row>
    <row r="763" spans="1:26" ht="15.75" customHeight="1" x14ac:dyDescent="0.25">
      <c r="A763" s="1371"/>
      <c r="B763" s="1371"/>
      <c r="C763" s="1371"/>
      <c r="D763" s="1371"/>
      <c r="E763" s="1371"/>
      <c r="F763" s="1371"/>
      <c r="G763" s="1371"/>
      <c r="H763" s="1371"/>
      <c r="I763" s="1372"/>
      <c r="J763" s="1372"/>
      <c r="K763" s="1372"/>
      <c r="L763" s="1372"/>
      <c r="M763" s="1372"/>
      <c r="N763" s="1372"/>
      <c r="O763" s="1372"/>
      <c r="P763" s="1372"/>
      <c r="Q763" s="1372"/>
      <c r="R763" s="1372"/>
      <c r="S763" s="1372"/>
      <c r="T763" s="1372"/>
      <c r="U763" s="1372"/>
      <c r="V763" s="1372"/>
      <c r="W763" s="1372"/>
      <c r="X763" s="1372"/>
      <c r="Y763" s="1372"/>
      <c r="Z763" s="1372"/>
    </row>
    <row r="764" spans="1:26" ht="15.75" customHeight="1" x14ac:dyDescent="0.25">
      <c r="A764" s="1371"/>
      <c r="B764" s="1371"/>
      <c r="C764" s="1371"/>
      <c r="D764" s="1371"/>
      <c r="E764" s="1371"/>
      <c r="F764" s="1371"/>
      <c r="G764" s="1371"/>
      <c r="H764" s="1371"/>
      <c r="I764" s="1372"/>
      <c r="J764" s="1372"/>
      <c r="K764" s="1372"/>
      <c r="L764" s="1372"/>
      <c r="M764" s="1372"/>
      <c r="N764" s="1372"/>
      <c r="O764" s="1372"/>
      <c r="P764" s="1372"/>
      <c r="Q764" s="1372"/>
      <c r="R764" s="1372"/>
      <c r="S764" s="1372"/>
      <c r="T764" s="1372"/>
      <c r="U764" s="1372"/>
      <c r="V764" s="1372"/>
      <c r="W764" s="1372"/>
      <c r="X764" s="1372"/>
      <c r="Y764" s="1372"/>
      <c r="Z764" s="1372"/>
    </row>
    <row r="765" spans="1:26" ht="15.75" customHeight="1" x14ac:dyDescent="0.25">
      <c r="A765" s="1371"/>
      <c r="B765" s="1371"/>
      <c r="C765" s="1371"/>
      <c r="D765" s="1371"/>
      <c r="E765" s="1371"/>
      <c r="F765" s="1371"/>
      <c r="G765" s="1371"/>
      <c r="H765" s="1371"/>
      <c r="I765" s="1372"/>
      <c r="J765" s="1372"/>
      <c r="K765" s="1372"/>
      <c r="L765" s="1372"/>
      <c r="M765" s="1372"/>
      <c r="N765" s="1372"/>
      <c r="O765" s="1372"/>
      <c r="P765" s="1372"/>
      <c r="Q765" s="1372"/>
      <c r="R765" s="1372"/>
      <c r="S765" s="1372"/>
      <c r="T765" s="1372"/>
      <c r="U765" s="1372"/>
      <c r="V765" s="1372"/>
      <c r="W765" s="1372"/>
      <c r="X765" s="1372"/>
      <c r="Y765" s="1372"/>
      <c r="Z765" s="1372"/>
    </row>
    <row r="766" spans="1:26" ht="15.75" customHeight="1" x14ac:dyDescent="0.25">
      <c r="A766" s="1371"/>
      <c r="B766" s="1371"/>
      <c r="C766" s="1371"/>
      <c r="D766" s="1371"/>
      <c r="E766" s="1371"/>
      <c r="F766" s="1371"/>
      <c r="G766" s="1371"/>
      <c r="H766" s="1371"/>
      <c r="I766" s="1372"/>
      <c r="J766" s="1372"/>
      <c r="K766" s="1372"/>
      <c r="L766" s="1372"/>
      <c r="M766" s="1372"/>
      <c r="N766" s="1372"/>
      <c r="O766" s="1372"/>
      <c r="P766" s="1372"/>
      <c r="Q766" s="1372"/>
      <c r="R766" s="1372"/>
      <c r="S766" s="1372"/>
      <c r="T766" s="1372"/>
      <c r="U766" s="1372"/>
      <c r="V766" s="1372"/>
      <c r="W766" s="1372"/>
      <c r="X766" s="1372"/>
      <c r="Y766" s="1372"/>
      <c r="Z766" s="1372"/>
    </row>
    <row r="767" spans="1:26" ht="15.75" customHeight="1" x14ac:dyDescent="0.25">
      <c r="A767" s="1371"/>
      <c r="B767" s="1371"/>
      <c r="C767" s="1371"/>
      <c r="D767" s="1371"/>
      <c r="E767" s="1371"/>
      <c r="F767" s="1371"/>
      <c r="G767" s="1371"/>
      <c r="H767" s="1371"/>
      <c r="I767" s="1372"/>
      <c r="J767" s="1372"/>
      <c r="K767" s="1372"/>
      <c r="L767" s="1372"/>
      <c r="M767" s="1372"/>
      <c r="N767" s="1372"/>
      <c r="O767" s="1372"/>
      <c r="P767" s="1372"/>
      <c r="Q767" s="1372"/>
      <c r="R767" s="1372"/>
      <c r="S767" s="1372"/>
      <c r="T767" s="1372"/>
      <c r="U767" s="1372"/>
      <c r="V767" s="1372"/>
      <c r="W767" s="1372"/>
      <c r="X767" s="1372"/>
      <c r="Y767" s="1372"/>
      <c r="Z767" s="1372"/>
    </row>
    <row r="768" spans="1:26" ht="15.75" customHeight="1" x14ac:dyDescent="0.25">
      <c r="A768" s="1371"/>
      <c r="B768" s="1371"/>
      <c r="C768" s="1371"/>
      <c r="D768" s="1371"/>
      <c r="E768" s="1371"/>
      <c r="F768" s="1371"/>
      <c r="G768" s="1371"/>
      <c r="H768" s="1371"/>
      <c r="I768" s="1372"/>
      <c r="J768" s="1372"/>
      <c r="K768" s="1372"/>
      <c r="L768" s="1372"/>
      <c r="M768" s="1372"/>
      <c r="N768" s="1372"/>
      <c r="O768" s="1372"/>
      <c r="P768" s="1372"/>
      <c r="Q768" s="1372"/>
      <c r="R768" s="1372"/>
      <c r="S768" s="1372"/>
      <c r="T768" s="1372"/>
      <c r="U768" s="1372"/>
      <c r="V768" s="1372"/>
      <c r="W768" s="1372"/>
      <c r="X768" s="1372"/>
      <c r="Y768" s="1372"/>
      <c r="Z768" s="1372"/>
    </row>
    <row r="769" spans="1:26" ht="15.75" customHeight="1" x14ac:dyDescent="0.25">
      <c r="A769" s="1371"/>
      <c r="B769" s="1371"/>
      <c r="C769" s="1371"/>
      <c r="D769" s="1371"/>
      <c r="E769" s="1371"/>
      <c r="F769" s="1371"/>
      <c r="G769" s="1371"/>
      <c r="H769" s="1371"/>
      <c r="I769" s="1372"/>
      <c r="J769" s="1372"/>
      <c r="K769" s="1372"/>
      <c r="L769" s="1372"/>
      <c r="M769" s="1372"/>
      <c r="N769" s="1372"/>
      <c r="O769" s="1372"/>
      <c r="P769" s="1372"/>
      <c r="Q769" s="1372"/>
      <c r="R769" s="1372"/>
      <c r="S769" s="1372"/>
      <c r="T769" s="1372"/>
      <c r="U769" s="1372"/>
      <c r="V769" s="1372"/>
      <c r="W769" s="1372"/>
      <c r="X769" s="1372"/>
      <c r="Y769" s="1372"/>
      <c r="Z769" s="1372"/>
    </row>
    <row r="770" spans="1:26" ht="15.75" customHeight="1" x14ac:dyDescent="0.25">
      <c r="A770" s="1371"/>
      <c r="B770" s="1371"/>
      <c r="C770" s="1371"/>
      <c r="D770" s="1371"/>
      <c r="E770" s="1371"/>
      <c r="F770" s="1371"/>
      <c r="G770" s="1371"/>
      <c r="H770" s="1371"/>
      <c r="I770" s="1372"/>
      <c r="J770" s="1372"/>
      <c r="K770" s="1372"/>
      <c r="L770" s="1372"/>
      <c r="M770" s="1372"/>
      <c r="N770" s="1372"/>
      <c r="O770" s="1372"/>
      <c r="P770" s="1372"/>
      <c r="Q770" s="1372"/>
      <c r="R770" s="1372"/>
      <c r="S770" s="1372"/>
      <c r="T770" s="1372"/>
      <c r="U770" s="1372"/>
      <c r="V770" s="1372"/>
      <c r="W770" s="1372"/>
      <c r="X770" s="1372"/>
      <c r="Y770" s="1372"/>
      <c r="Z770" s="1372"/>
    </row>
    <row r="771" spans="1:26" ht="15.75" customHeight="1" x14ac:dyDescent="0.25">
      <c r="A771" s="1371"/>
      <c r="B771" s="1371"/>
      <c r="C771" s="1371"/>
      <c r="D771" s="1371"/>
      <c r="E771" s="1371"/>
      <c r="F771" s="1371"/>
      <c r="G771" s="1371"/>
      <c r="H771" s="1371"/>
      <c r="I771" s="1372"/>
      <c r="J771" s="1372"/>
      <c r="K771" s="1372"/>
      <c r="L771" s="1372"/>
      <c r="M771" s="1372"/>
      <c r="N771" s="1372"/>
      <c r="O771" s="1372"/>
      <c r="P771" s="1372"/>
      <c r="Q771" s="1372"/>
      <c r="R771" s="1372"/>
      <c r="S771" s="1372"/>
      <c r="T771" s="1372"/>
      <c r="U771" s="1372"/>
      <c r="V771" s="1372"/>
      <c r="W771" s="1372"/>
      <c r="X771" s="1372"/>
      <c r="Y771" s="1372"/>
      <c r="Z771" s="1372"/>
    </row>
    <row r="772" spans="1:26" ht="15.75" customHeight="1" x14ac:dyDescent="0.25">
      <c r="A772" s="1371"/>
      <c r="B772" s="1371"/>
      <c r="C772" s="1371"/>
      <c r="D772" s="1371"/>
      <c r="E772" s="1371"/>
      <c r="F772" s="1371"/>
      <c r="G772" s="1371"/>
      <c r="H772" s="1371"/>
      <c r="I772" s="1372"/>
      <c r="J772" s="1372"/>
      <c r="K772" s="1372"/>
      <c r="L772" s="1372"/>
      <c r="M772" s="1372"/>
      <c r="N772" s="1372"/>
      <c r="O772" s="1372"/>
      <c r="P772" s="1372"/>
      <c r="Q772" s="1372"/>
      <c r="R772" s="1372"/>
      <c r="S772" s="1372"/>
      <c r="T772" s="1372"/>
      <c r="U772" s="1372"/>
      <c r="V772" s="1372"/>
      <c r="W772" s="1372"/>
      <c r="X772" s="1372"/>
      <c r="Y772" s="1372"/>
      <c r="Z772" s="1372"/>
    </row>
    <row r="773" spans="1:26" ht="15.75" customHeight="1" x14ac:dyDescent="0.25">
      <c r="A773" s="1371"/>
      <c r="B773" s="1371"/>
      <c r="C773" s="1371"/>
      <c r="D773" s="1371"/>
      <c r="E773" s="1371"/>
      <c r="F773" s="1371"/>
      <c r="G773" s="1371"/>
      <c r="H773" s="1371"/>
      <c r="I773" s="1372"/>
      <c r="J773" s="1372"/>
      <c r="K773" s="1372"/>
      <c r="L773" s="1372"/>
      <c r="M773" s="1372"/>
      <c r="N773" s="1372"/>
      <c r="O773" s="1372"/>
      <c r="P773" s="1372"/>
      <c r="Q773" s="1372"/>
      <c r="R773" s="1372"/>
      <c r="S773" s="1372"/>
      <c r="T773" s="1372"/>
      <c r="U773" s="1372"/>
      <c r="V773" s="1372"/>
      <c r="W773" s="1372"/>
      <c r="X773" s="1372"/>
      <c r="Y773" s="1372"/>
      <c r="Z773" s="1372"/>
    </row>
    <row r="774" spans="1:26" ht="15.75" customHeight="1" x14ac:dyDescent="0.25">
      <c r="A774" s="1371"/>
      <c r="B774" s="1371"/>
      <c r="C774" s="1371"/>
      <c r="D774" s="1371"/>
      <c r="E774" s="1371"/>
      <c r="F774" s="1371"/>
      <c r="G774" s="1371"/>
      <c r="H774" s="1371"/>
      <c r="I774" s="1372"/>
      <c r="J774" s="1372"/>
      <c r="K774" s="1372"/>
      <c r="L774" s="1372"/>
      <c r="M774" s="1372"/>
      <c r="N774" s="1372"/>
      <c r="O774" s="1372"/>
      <c r="P774" s="1372"/>
      <c r="Q774" s="1372"/>
      <c r="R774" s="1372"/>
      <c r="S774" s="1372"/>
      <c r="T774" s="1372"/>
      <c r="U774" s="1372"/>
      <c r="V774" s="1372"/>
      <c r="W774" s="1372"/>
      <c r="X774" s="1372"/>
      <c r="Y774" s="1372"/>
      <c r="Z774" s="1372"/>
    </row>
    <row r="775" spans="1:26" ht="15.75" customHeight="1" x14ac:dyDescent="0.25">
      <c r="A775" s="1371"/>
      <c r="B775" s="1371"/>
      <c r="C775" s="1371"/>
      <c r="D775" s="1371"/>
      <c r="E775" s="1371"/>
      <c r="F775" s="1371"/>
      <c r="G775" s="1371"/>
      <c r="H775" s="1371"/>
      <c r="I775" s="1372"/>
      <c r="J775" s="1372"/>
      <c r="K775" s="1372"/>
      <c r="L775" s="1372"/>
      <c r="M775" s="1372"/>
      <c r="N775" s="1372"/>
      <c r="O775" s="1372"/>
      <c r="P775" s="1372"/>
      <c r="Q775" s="1372"/>
      <c r="R775" s="1372"/>
      <c r="S775" s="1372"/>
      <c r="T775" s="1372"/>
      <c r="U775" s="1372"/>
      <c r="V775" s="1372"/>
      <c r="W775" s="1372"/>
      <c r="X775" s="1372"/>
      <c r="Y775" s="1372"/>
      <c r="Z775" s="1372"/>
    </row>
    <row r="776" spans="1:26" ht="15.75" customHeight="1" x14ac:dyDescent="0.25">
      <c r="A776" s="1371"/>
      <c r="B776" s="1371"/>
      <c r="C776" s="1371"/>
      <c r="D776" s="1371"/>
      <c r="E776" s="1371"/>
      <c r="F776" s="1371"/>
      <c r="G776" s="1371"/>
      <c r="H776" s="1371"/>
      <c r="I776" s="1372"/>
      <c r="J776" s="1372"/>
      <c r="K776" s="1372"/>
      <c r="L776" s="1372"/>
      <c r="M776" s="1372"/>
      <c r="N776" s="1372"/>
      <c r="O776" s="1372"/>
      <c r="P776" s="1372"/>
      <c r="Q776" s="1372"/>
      <c r="R776" s="1372"/>
      <c r="S776" s="1372"/>
      <c r="T776" s="1372"/>
      <c r="U776" s="1372"/>
      <c r="V776" s="1372"/>
      <c r="W776" s="1372"/>
      <c r="X776" s="1372"/>
      <c r="Y776" s="1372"/>
      <c r="Z776" s="1372"/>
    </row>
    <row r="777" spans="1:26" ht="15.75" customHeight="1" x14ac:dyDescent="0.25">
      <c r="A777" s="1371"/>
      <c r="B777" s="1371"/>
      <c r="C777" s="1371"/>
      <c r="D777" s="1371"/>
      <c r="E777" s="1371"/>
      <c r="F777" s="1371"/>
      <c r="G777" s="1371"/>
      <c r="H777" s="1371"/>
      <c r="I777" s="1372"/>
      <c r="J777" s="1372"/>
      <c r="K777" s="1372"/>
      <c r="L777" s="1372"/>
      <c r="M777" s="1372"/>
      <c r="N777" s="1372"/>
      <c r="O777" s="1372"/>
      <c r="P777" s="1372"/>
      <c r="Q777" s="1372"/>
      <c r="R777" s="1372"/>
      <c r="S777" s="1372"/>
      <c r="T777" s="1372"/>
      <c r="U777" s="1372"/>
      <c r="V777" s="1372"/>
      <c r="W777" s="1372"/>
      <c r="X777" s="1372"/>
      <c r="Y777" s="1372"/>
      <c r="Z777" s="1372"/>
    </row>
    <row r="778" spans="1:26" ht="15.75" customHeight="1" x14ac:dyDescent="0.25">
      <c r="A778" s="1371"/>
      <c r="B778" s="1371"/>
      <c r="C778" s="1371"/>
      <c r="D778" s="1371"/>
      <c r="E778" s="1371"/>
      <c r="F778" s="1371"/>
      <c r="G778" s="1371"/>
      <c r="H778" s="1371"/>
      <c r="I778" s="1372"/>
      <c r="J778" s="1372"/>
      <c r="K778" s="1372"/>
      <c r="L778" s="1372"/>
      <c r="M778" s="1372"/>
      <c r="N778" s="1372"/>
      <c r="O778" s="1372"/>
      <c r="P778" s="1372"/>
      <c r="Q778" s="1372"/>
      <c r="R778" s="1372"/>
      <c r="S778" s="1372"/>
      <c r="T778" s="1372"/>
      <c r="U778" s="1372"/>
      <c r="V778" s="1372"/>
      <c r="W778" s="1372"/>
      <c r="X778" s="1372"/>
      <c r="Y778" s="1372"/>
      <c r="Z778" s="1372"/>
    </row>
    <row r="779" spans="1:26" ht="15.75" customHeight="1" x14ac:dyDescent="0.25">
      <c r="A779" s="1371"/>
      <c r="B779" s="1371"/>
      <c r="C779" s="1371"/>
      <c r="D779" s="1371"/>
      <c r="E779" s="1371"/>
      <c r="F779" s="1371"/>
      <c r="G779" s="1371"/>
      <c r="H779" s="1371"/>
      <c r="I779" s="1372"/>
      <c r="J779" s="1372"/>
      <c r="K779" s="1372"/>
      <c r="L779" s="1372"/>
      <c r="M779" s="1372"/>
      <c r="N779" s="1372"/>
      <c r="O779" s="1372"/>
      <c r="P779" s="1372"/>
      <c r="Q779" s="1372"/>
      <c r="R779" s="1372"/>
      <c r="S779" s="1372"/>
      <c r="T779" s="1372"/>
      <c r="U779" s="1372"/>
      <c r="V779" s="1372"/>
      <c r="W779" s="1372"/>
      <c r="X779" s="1372"/>
      <c r="Y779" s="1372"/>
      <c r="Z779" s="1372"/>
    </row>
    <row r="780" spans="1:26" ht="15.75" customHeight="1" x14ac:dyDescent="0.25">
      <c r="A780" s="1371"/>
      <c r="B780" s="1371"/>
      <c r="C780" s="1371"/>
      <c r="D780" s="1371"/>
      <c r="E780" s="1371"/>
      <c r="F780" s="1371"/>
      <c r="G780" s="1371"/>
      <c r="H780" s="1371"/>
      <c r="I780" s="1372"/>
      <c r="J780" s="1372"/>
      <c r="K780" s="1372"/>
      <c r="L780" s="1372"/>
      <c r="M780" s="1372"/>
      <c r="N780" s="1372"/>
      <c r="O780" s="1372"/>
      <c r="P780" s="1372"/>
      <c r="Q780" s="1372"/>
      <c r="R780" s="1372"/>
      <c r="S780" s="1372"/>
      <c r="T780" s="1372"/>
      <c r="U780" s="1372"/>
      <c r="V780" s="1372"/>
      <c r="W780" s="1372"/>
      <c r="X780" s="1372"/>
      <c r="Y780" s="1372"/>
      <c r="Z780" s="1372"/>
    </row>
    <row r="781" spans="1:26" ht="15.75" customHeight="1" x14ac:dyDescent="0.25">
      <c r="A781" s="1371"/>
      <c r="B781" s="1371"/>
      <c r="C781" s="1371"/>
      <c r="D781" s="1371"/>
      <c r="E781" s="1371"/>
      <c r="F781" s="1371"/>
      <c r="G781" s="1371"/>
      <c r="H781" s="1371"/>
      <c r="I781" s="1372"/>
      <c r="J781" s="1372"/>
      <c r="K781" s="1372"/>
      <c r="L781" s="1372"/>
      <c r="M781" s="1372"/>
      <c r="N781" s="1372"/>
      <c r="O781" s="1372"/>
      <c r="P781" s="1372"/>
      <c r="Q781" s="1372"/>
      <c r="R781" s="1372"/>
      <c r="S781" s="1372"/>
      <c r="T781" s="1372"/>
      <c r="U781" s="1372"/>
      <c r="V781" s="1372"/>
      <c r="W781" s="1372"/>
      <c r="X781" s="1372"/>
      <c r="Y781" s="1372"/>
      <c r="Z781" s="1372"/>
    </row>
    <row r="782" spans="1:26" ht="15.75" customHeight="1" x14ac:dyDescent="0.25">
      <c r="A782" s="1371"/>
      <c r="B782" s="1371"/>
      <c r="C782" s="1371"/>
      <c r="D782" s="1371"/>
      <c r="E782" s="1371"/>
      <c r="F782" s="1371"/>
      <c r="G782" s="1371"/>
      <c r="H782" s="1371"/>
      <c r="I782" s="1372"/>
      <c r="J782" s="1372"/>
      <c r="K782" s="1372"/>
      <c r="L782" s="1372"/>
      <c r="M782" s="1372"/>
      <c r="N782" s="1372"/>
      <c r="O782" s="1372"/>
      <c r="P782" s="1372"/>
      <c r="Q782" s="1372"/>
      <c r="R782" s="1372"/>
      <c r="S782" s="1372"/>
      <c r="T782" s="1372"/>
      <c r="U782" s="1372"/>
      <c r="V782" s="1372"/>
      <c r="W782" s="1372"/>
      <c r="X782" s="1372"/>
      <c r="Y782" s="1372"/>
      <c r="Z782" s="1372"/>
    </row>
    <row r="783" spans="1:26" ht="15.75" customHeight="1" x14ac:dyDescent="0.25">
      <c r="A783" s="1371"/>
      <c r="B783" s="1371"/>
      <c r="C783" s="1371"/>
      <c r="D783" s="1371"/>
      <c r="E783" s="1371"/>
      <c r="F783" s="1371"/>
      <c r="G783" s="1371"/>
      <c r="H783" s="1371"/>
      <c r="I783" s="1372"/>
      <c r="J783" s="1372"/>
      <c r="K783" s="1372"/>
      <c r="L783" s="1372"/>
      <c r="M783" s="1372"/>
      <c r="N783" s="1372"/>
      <c r="O783" s="1372"/>
      <c r="P783" s="1372"/>
      <c r="Q783" s="1372"/>
      <c r="R783" s="1372"/>
      <c r="S783" s="1372"/>
      <c r="T783" s="1372"/>
      <c r="U783" s="1372"/>
      <c r="V783" s="1372"/>
      <c r="W783" s="1372"/>
      <c r="X783" s="1372"/>
      <c r="Y783" s="1372"/>
      <c r="Z783" s="1372"/>
    </row>
    <row r="784" spans="1:26" ht="15.75" customHeight="1" x14ac:dyDescent="0.25">
      <c r="A784" s="1371"/>
      <c r="B784" s="1371"/>
      <c r="C784" s="1371"/>
      <c r="D784" s="1371"/>
      <c r="E784" s="1371"/>
      <c r="F784" s="1371"/>
      <c r="G784" s="1371"/>
      <c r="H784" s="1371"/>
      <c r="I784" s="1372"/>
      <c r="J784" s="1372"/>
      <c r="K784" s="1372"/>
      <c r="L784" s="1372"/>
      <c r="M784" s="1372"/>
      <c r="N784" s="1372"/>
      <c r="O784" s="1372"/>
      <c r="P784" s="1372"/>
      <c r="Q784" s="1372"/>
      <c r="R784" s="1372"/>
      <c r="S784" s="1372"/>
      <c r="T784" s="1372"/>
      <c r="U784" s="1372"/>
      <c r="V784" s="1372"/>
      <c r="W784" s="1372"/>
      <c r="X784" s="1372"/>
      <c r="Y784" s="1372"/>
      <c r="Z784" s="1372"/>
    </row>
    <row r="785" spans="1:26" ht="15.75" customHeight="1" x14ac:dyDescent="0.25">
      <c r="A785" s="1371"/>
      <c r="B785" s="1371"/>
      <c r="C785" s="1371"/>
      <c r="D785" s="1371"/>
      <c r="E785" s="1371"/>
      <c r="F785" s="1371"/>
      <c r="G785" s="1371"/>
      <c r="H785" s="1371"/>
      <c r="I785" s="1372"/>
      <c r="J785" s="1372"/>
      <c r="K785" s="1372"/>
      <c r="L785" s="1372"/>
      <c r="M785" s="1372"/>
      <c r="N785" s="1372"/>
      <c r="O785" s="1372"/>
      <c r="P785" s="1372"/>
      <c r="Q785" s="1372"/>
      <c r="R785" s="1372"/>
      <c r="S785" s="1372"/>
      <c r="T785" s="1372"/>
      <c r="U785" s="1372"/>
      <c r="V785" s="1372"/>
      <c r="W785" s="1372"/>
      <c r="X785" s="1372"/>
      <c r="Y785" s="1372"/>
      <c r="Z785" s="1372"/>
    </row>
    <row r="786" spans="1:26" ht="15.75" customHeight="1" x14ac:dyDescent="0.25">
      <c r="A786" s="1371"/>
      <c r="B786" s="1371"/>
      <c r="C786" s="1371"/>
      <c r="D786" s="1371"/>
      <c r="E786" s="1371"/>
      <c r="F786" s="1371"/>
      <c r="G786" s="1371"/>
      <c r="H786" s="1371"/>
      <c r="I786" s="1372"/>
      <c r="J786" s="1372"/>
      <c r="K786" s="1372"/>
      <c r="L786" s="1372"/>
      <c r="M786" s="1372"/>
      <c r="N786" s="1372"/>
      <c r="O786" s="1372"/>
      <c r="P786" s="1372"/>
      <c r="Q786" s="1372"/>
      <c r="R786" s="1372"/>
      <c r="S786" s="1372"/>
      <c r="T786" s="1372"/>
      <c r="U786" s="1372"/>
      <c r="V786" s="1372"/>
      <c r="W786" s="1372"/>
      <c r="X786" s="1372"/>
      <c r="Y786" s="1372"/>
      <c r="Z786" s="1372"/>
    </row>
    <row r="787" spans="1:26" ht="15.75" customHeight="1" x14ac:dyDescent="0.25">
      <c r="A787" s="1371"/>
      <c r="B787" s="1371"/>
      <c r="C787" s="1371"/>
      <c r="D787" s="1371"/>
      <c r="E787" s="1371"/>
      <c r="F787" s="1371"/>
      <c r="G787" s="1371"/>
      <c r="H787" s="1371"/>
      <c r="I787" s="1372"/>
      <c r="J787" s="1372"/>
      <c r="K787" s="1372"/>
      <c r="L787" s="1372"/>
      <c r="M787" s="1372"/>
      <c r="N787" s="1372"/>
      <c r="O787" s="1372"/>
      <c r="P787" s="1372"/>
      <c r="Q787" s="1372"/>
      <c r="R787" s="1372"/>
      <c r="S787" s="1372"/>
      <c r="T787" s="1372"/>
      <c r="U787" s="1372"/>
      <c r="V787" s="1372"/>
      <c r="W787" s="1372"/>
      <c r="X787" s="1372"/>
      <c r="Y787" s="1372"/>
      <c r="Z787" s="1372"/>
    </row>
    <row r="788" spans="1:26" ht="15.75" customHeight="1" x14ac:dyDescent="0.25">
      <c r="A788" s="1371"/>
      <c r="B788" s="1371"/>
      <c r="C788" s="1371"/>
      <c r="D788" s="1371"/>
      <c r="E788" s="1371"/>
      <c r="F788" s="1371"/>
      <c r="G788" s="1371"/>
      <c r="H788" s="1371"/>
      <c r="I788" s="1372"/>
      <c r="J788" s="1372"/>
      <c r="K788" s="1372"/>
      <c r="L788" s="1372"/>
      <c r="M788" s="1372"/>
      <c r="N788" s="1372"/>
      <c r="O788" s="1372"/>
      <c r="P788" s="1372"/>
      <c r="Q788" s="1372"/>
      <c r="R788" s="1372"/>
      <c r="S788" s="1372"/>
      <c r="T788" s="1372"/>
      <c r="U788" s="1372"/>
      <c r="V788" s="1372"/>
      <c r="W788" s="1372"/>
      <c r="X788" s="1372"/>
      <c r="Y788" s="1372"/>
      <c r="Z788" s="1372"/>
    </row>
    <row r="789" spans="1:26" ht="15.75" customHeight="1" x14ac:dyDescent="0.25">
      <c r="A789" s="1371"/>
      <c r="B789" s="1371"/>
      <c r="C789" s="1371"/>
      <c r="D789" s="1371"/>
      <c r="E789" s="1371"/>
      <c r="F789" s="1371"/>
      <c r="G789" s="1371"/>
      <c r="H789" s="1371"/>
      <c r="I789" s="1372"/>
      <c r="J789" s="1372"/>
      <c r="K789" s="1372"/>
      <c r="L789" s="1372"/>
      <c r="M789" s="1372"/>
      <c r="N789" s="1372"/>
      <c r="O789" s="1372"/>
      <c r="P789" s="1372"/>
      <c r="Q789" s="1372"/>
      <c r="R789" s="1372"/>
      <c r="S789" s="1372"/>
      <c r="T789" s="1372"/>
      <c r="U789" s="1372"/>
      <c r="V789" s="1372"/>
      <c r="W789" s="1372"/>
      <c r="X789" s="1372"/>
      <c r="Y789" s="1372"/>
      <c r="Z789" s="1372"/>
    </row>
    <row r="790" spans="1:26" ht="15.75" customHeight="1" x14ac:dyDescent="0.25">
      <c r="A790" s="1371"/>
      <c r="B790" s="1371"/>
      <c r="C790" s="1371"/>
      <c r="D790" s="1371"/>
      <c r="E790" s="1371"/>
      <c r="F790" s="1371"/>
      <c r="G790" s="1371"/>
      <c r="H790" s="1371"/>
      <c r="I790" s="1372"/>
      <c r="J790" s="1372"/>
      <c r="K790" s="1372"/>
      <c r="L790" s="1372"/>
      <c r="M790" s="1372"/>
      <c r="N790" s="1372"/>
      <c r="O790" s="1372"/>
      <c r="P790" s="1372"/>
      <c r="Q790" s="1372"/>
      <c r="R790" s="1372"/>
      <c r="S790" s="1372"/>
      <c r="T790" s="1372"/>
      <c r="U790" s="1372"/>
      <c r="V790" s="1372"/>
      <c r="W790" s="1372"/>
      <c r="X790" s="1372"/>
      <c r="Y790" s="1372"/>
      <c r="Z790" s="1372"/>
    </row>
    <row r="791" spans="1:26" ht="15.75" customHeight="1" x14ac:dyDescent="0.25">
      <c r="A791" s="1371"/>
      <c r="B791" s="1371"/>
      <c r="C791" s="1371"/>
      <c r="D791" s="1371"/>
      <c r="E791" s="1371"/>
      <c r="F791" s="1371"/>
      <c r="G791" s="1371"/>
      <c r="H791" s="1371"/>
      <c r="I791" s="1372"/>
      <c r="J791" s="1372"/>
      <c r="K791" s="1372"/>
      <c r="L791" s="1372"/>
      <c r="M791" s="1372"/>
      <c r="N791" s="1372"/>
      <c r="O791" s="1372"/>
      <c r="P791" s="1372"/>
      <c r="Q791" s="1372"/>
      <c r="R791" s="1372"/>
      <c r="S791" s="1372"/>
      <c r="T791" s="1372"/>
      <c r="U791" s="1372"/>
      <c r="V791" s="1372"/>
      <c r="W791" s="1372"/>
      <c r="X791" s="1372"/>
      <c r="Y791" s="1372"/>
      <c r="Z791" s="1372"/>
    </row>
    <row r="792" spans="1:26" ht="15.75" customHeight="1" x14ac:dyDescent="0.25">
      <c r="A792" s="1371"/>
      <c r="B792" s="1371"/>
      <c r="C792" s="1371"/>
      <c r="D792" s="1371"/>
      <c r="E792" s="1371"/>
      <c r="F792" s="1371"/>
      <c r="G792" s="1371"/>
      <c r="H792" s="1371"/>
      <c r="I792" s="1372"/>
      <c r="J792" s="1372"/>
      <c r="K792" s="1372"/>
      <c r="L792" s="1372"/>
      <c r="M792" s="1372"/>
      <c r="N792" s="1372"/>
      <c r="O792" s="1372"/>
      <c r="P792" s="1372"/>
      <c r="Q792" s="1372"/>
      <c r="R792" s="1372"/>
      <c r="S792" s="1372"/>
      <c r="T792" s="1372"/>
      <c r="U792" s="1372"/>
      <c r="V792" s="1372"/>
      <c r="W792" s="1372"/>
      <c r="X792" s="1372"/>
      <c r="Y792" s="1372"/>
      <c r="Z792" s="1372"/>
    </row>
    <row r="793" spans="1:26" ht="15.75" customHeight="1" x14ac:dyDescent="0.25">
      <c r="A793" s="1371"/>
      <c r="B793" s="1371"/>
      <c r="C793" s="1371"/>
      <c r="D793" s="1371"/>
      <c r="E793" s="1371"/>
      <c r="F793" s="1371"/>
      <c r="G793" s="1371"/>
      <c r="H793" s="1371"/>
      <c r="I793" s="1372"/>
      <c r="J793" s="1372"/>
      <c r="K793" s="1372"/>
      <c r="L793" s="1372"/>
      <c r="M793" s="1372"/>
      <c r="N793" s="1372"/>
      <c r="O793" s="1372"/>
      <c r="P793" s="1372"/>
      <c r="Q793" s="1372"/>
      <c r="R793" s="1372"/>
      <c r="S793" s="1372"/>
      <c r="T793" s="1372"/>
      <c r="U793" s="1372"/>
      <c r="V793" s="1372"/>
      <c r="W793" s="1372"/>
      <c r="X793" s="1372"/>
      <c r="Y793" s="1372"/>
      <c r="Z793" s="1372"/>
    </row>
    <row r="794" spans="1:26" ht="15.75" customHeight="1" x14ac:dyDescent="0.25">
      <c r="A794" s="1371"/>
      <c r="B794" s="1371"/>
      <c r="C794" s="1371"/>
      <c r="D794" s="1371"/>
      <c r="E794" s="1371"/>
      <c r="F794" s="1371"/>
      <c r="G794" s="1371"/>
      <c r="H794" s="1371"/>
      <c r="I794" s="1372"/>
      <c r="J794" s="1372"/>
      <c r="K794" s="1372"/>
      <c r="L794" s="1372"/>
      <c r="M794" s="1372"/>
      <c r="N794" s="1372"/>
      <c r="O794" s="1372"/>
      <c r="P794" s="1372"/>
      <c r="Q794" s="1372"/>
      <c r="R794" s="1372"/>
      <c r="S794" s="1372"/>
      <c r="T794" s="1372"/>
      <c r="U794" s="1372"/>
      <c r="V794" s="1372"/>
      <c r="W794" s="1372"/>
      <c r="X794" s="1372"/>
      <c r="Y794" s="1372"/>
      <c r="Z794" s="1372"/>
    </row>
    <row r="795" spans="1:26" ht="15.75" customHeight="1" x14ac:dyDescent="0.25">
      <c r="A795" s="1371"/>
      <c r="B795" s="1371"/>
      <c r="C795" s="1371"/>
      <c r="D795" s="1371"/>
      <c r="E795" s="1371"/>
      <c r="F795" s="1371"/>
      <c r="G795" s="1371"/>
      <c r="H795" s="1371"/>
      <c r="I795" s="1372"/>
      <c r="J795" s="1372"/>
      <c r="K795" s="1372"/>
      <c r="L795" s="1372"/>
      <c r="M795" s="1372"/>
      <c r="N795" s="1372"/>
      <c r="O795" s="1372"/>
      <c r="P795" s="1372"/>
      <c r="Q795" s="1372"/>
      <c r="R795" s="1372"/>
      <c r="S795" s="1372"/>
      <c r="T795" s="1372"/>
      <c r="U795" s="1372"/>
      <c r="V795" s="1372"/>
      <c r="W795" s="1372"/>
      <c r="X795" s="1372"/>
      <c r="Y795" s="1372"/>
      <c r="Z795" s="1372"/>
    </row>
    <row r="796" spans="1:26" ht="15.75" customHeight="1" x14ac:dyDescent="0.25">
      <c r="A796" s="1371"/>
      <c r="B796" s="1371"/>
      <c r="C796" s="1371"/>
      <c r="D796" s="1371"/>
      <c r="E796" s="1371"/>
      <c r="F796" s="1371"/>
      <c r="G796" s="1371"/>
      <c r="H796" s="1371"/>
      <c r="I796" s="1372"/>
      <c r="J796" s="1372"/>
      <c r="K796" s="1372"/>
      <c r="L796" s="1372"/>
      <c r="M796" s="1372"/>
      <c r="N796" s="1372"/>
      <c r="O796" s="1372"/>
      <c r="P796" s="1372"/>
      <c r="Q796" s="1372"/>
      <c r="R796" s="1372"/>
      <c r="S796" s="1372"/>
      <c r="T796" s="1372"/>
      <c r="U796" s="1372"/>
      <c r="V796" s="1372"/>
      <c r="W796" s="1372"/>
      <c r="X796" s="1372"/>
      <c r="Y796" s="1372"/>
      <c r="Z796" s="1372"/>
    </row>
    <row r="797" spans="1:26" ht="15.75" customHeight="1" x14ac:dyDescent="0.25">
      <c r="A797" s="1371"/>
      <c r="B797" s="1371"/>
      <c r="C797" s="1371"/>
      <c r="D797" s="1371"/>
      <c r="E797" s="1371"/>
      <c r="F797" s="1371"/>
      <c r="G797" s="1371"/>
      <c r="H797" s="1371"/>
      <c r="I797" s="1372"/>
      <c r="J797" s="1372"/>
      <c r="K797" s="1372"/>
      <c r="L797" s="1372"/>
      <c r="M797" s="1372"/>
      <c r="N797" s="1372"/>
      <c r="O797" s="1372"/>
      <c r="P797" s="1372"/>
      <c r="Q797" s="1372"/>
      <c r="R797" s="1372"/>
      <c r="S797" s="1372"/>
      <c r="T797" s="1372"/>
      <c r="U797" s="1372"/>
      <c r="V797" s="1372"/>
      <c r="W797" s="1372"/>
      <c r="X797" s="1372"/>
      <c r="Y797" s="1372"/>
      <c r="Z797" s="1372"/>
    </row>
    <row r="798" spans="1:26" ht="15.75" customHeight="1" x14ac:dyDescent="0.25">
      <c r="A798" s="1371"/>
      <c r="B798" s="1371"/>
      <c r="C798" s="1371"/>
      <c r="D798" s="1371"/>
      <c r="E798" s="1371"/>
      <c r="F798" s="1371"/>
      <c r="G798" s="1371"/>
      <c r="H798" s="1371"/>
      <c r="I798" s="1372"/>
      <c r="J798" s="1372"/>
      <c r="K798" s="1372"/>
      <c r="L798" s="1372"/>
      <c r="M798" s="1372"/>
      <c r="N798" s="1372"/>
      <c r="O798" s="1372"/>
      <c r="P798" s="1372"/>
      <c r="Q798" s="1372"/>
      <c r="R798" s="1372"/>
      <c r="S798" s="1372"/>
      <c r="T798" s="1372"/>
      <c r="U798" s="1372"/>
      <c r="V798" s="1372"/>
      <c r="W798" s="1372"/>
      <c r="X798" s="1372"/>
      <c r="Y798" s="1372"/>
      <c r="Z798" s="1372"/>
    </row>
    <row r="799" spans="1:26" ht="15.75" customHeight="1" x14ac:dyDescent="0.25">
      <c r="A799" s="1371"/>
      <c r="B799" s="1371"/>
      <c r="C799" s="1371"/>
      <c r="D799" s="1371"/>
      <c r="E799" s="1371"/>
      <c r="F799" s="1371"/>
      <c r="G799" s="1371"/>
      <c r="H799" s="1371"/>
      <c r="I799" s="1372"/>
      <c r="J799" s="1372"/>
      <c r="K799" s="1372"/>
      <c r="L799" s="1372"/>
      <c r="M799" s="1372"/>
      <c r="N799" s="1372"/>
      <c r="O799" s="1372"/>
      <c r="P799" s="1372"/>
      <c r="Q799" s="1372"/>
      <c r="R799" s="1372"/>
      <c r="S799" s="1372"/>
      <c r="T799" s="1372"/>
      <c r="U799" s="1372"/>
      <c r="V799" s="1372"/>
      <c r="W799" s="1372"/>
      <c r="X799" s="1372"/>
      <c r="Y799" s="1372"/>
      <c r="Z799" s="1372"/>
    </row>
    <row r="800" spans="1:26" ht="15.75" customHeight="1" x14ac:dyDescent="0.25">
      <c r="A800" s="1371"/>
      <c r="B800" s="1371"/>
      <c r="C800" s="1371"/>
      <c r="D800" s="1371"/>
      <c r="E800" s="1371"/>
      <c r="F800" s="1371"/>
      <c r="G800" s="1371"/>
      <c r="H800" s="1371"/>
      <c r="I800" s="1372"/>
      <c r="J800" s="1372"/>
      <c r="K800" s="1372"/>
      <c r="L800" s="1372"/>
      <c r="M800" s="1372"/>
      <c r="N800" s="1372"/>
      <c r="O800" s="1372"/>
      <c r="P800" s="1372"/>
      <c r="Q800" s="1372"/>
      <c r="R800" s="1372"/>
      <c r="S800" s="1372"/>
      <c r="T800" s="1372"/>
      <c r="U800" s="1372"/>
      <c r="V800" s="1372"/>
      <c r="W800" s="1372"/>
      <c r="X800" s="1372"/>
      <c r="Y800" s="1372"/>
      <c r="Z800" s="1372"/>
    </row>
    <row r="801" spans="1:26" ht="15.75" customHeight="1" x14ac:dyDescent="0.25">
      <c r="A801" s="1371"/>
      <c r="B801" s="1371"/>
      <c r="C801" s="1371"/>
      <c r="D801" s="1371"/>
      <c r="E801" s="1371"/>
      <c r="F801" s="1371"/>
      <c r="G801" s="1371"/>
      <c r="H801" s="1371"/>
      <c r="I801" s="1372"/>
      <c r="J801" s="1372"/>
      <c r="K801" s="1372"/>
      <c r="L801" s="1372"/>
      <c r="M801" s="1372"/>
      <c r="N801" s="1372"/>
      <c r="O801" s="1372"/>
      <c r="P801" s="1372"/>
      <c r="Q801" s="1372"/>
      <c r="R801" s="1372"/>
      <c r="S801" s="1372"/>
      <c r="T801" s="1372"/>
      <c r="U801" s="1372"/>
      <c r="V801" s="1372"/>
      <c r="W801" s="1372"/>
      <c r="X801" s="1372"/>
      <c r="Y801" s="1372"/>
      <c r="Z801" s="1372"/>
    </row>
    <row r="802" spans="1:26" ht="15.75" customHeight="1" x14ac:dyDescent="0.25">
      <c r="A802" s="1371"/>
      <c r="B802" s="1371"/>
      <c r="C802" s="1371"/>
      <c r="D802" s="1371"/>
      <c r="E802" s="1371"/>
      <c r="F802" s="1371"/>
      <c r="G802" s="1371"/>
      <c r="H802" s="1371"/>
      <c r="I802" s="1372"/>
      <c r="J802" s="1372"/>
      <c r="K802" s="1372"/>
      <c r="L802" s="1372"/>
      <c r="M802" s="1372"/>
      <c r="N802" s="1372"/>
      <c r="O802" s="1372"/>
      <c r="P802" s="1372"/>
      <c r="Q802" s="1372"/>
      <c r="R802" s="1372"/>
      <c r="S802" s="1372"/>
      <c r="T802" s="1372"/>
      <c r="U802" s="1372"/>
      <c r="V802" s="1372"/>
      <c r="W802" s="1372"/>
      <c r="X802" s="1372"/>
      <c r="Y802" s="1372"/>
      <c r="Z802" s="1372"/>
    </row>
    <row r="803" spans="1:26" ht="15.75" customHeight="1" x14ac:dyDescent="0.25">
      <c r="A803" s="1371"/>
      <c r="B803" s="1371"/>
      <c r="C803" s="1371"/>
      <c r="D803" s="1371"/>
      <c r="E803" s="1371"/>
      <c r="F803" s="1371"/>
      <c r="G803" s="1371"/>
      <c r="H803" s="1371"/>
      <c r="I803" s="1372"/>
      <c r="J803" s="1372"/>
      <c r="K803" s="1372"/>
      <c r="L803" s="1372"/>
      <c r="M803" s="1372"/>
      <c r="N803" s="1372"/>
      <c r="O803" s="1372"/>
      <c r="P803" s="1372"/>
      <c r="Q803" s="1372"/>
      <c r="R803" s="1372"/>
      <c r="S803" s="1372"/>
      <c r="T803" s="1372"/>
      <c r="U803" s="1372"/>
      <c r="V803" s="1372"/>
      <c r="W803" s="1372"/>
      <c r="X803" s="1372"/>
      <c r="Y803" s="1372"/>
      <c r="Z803" s="1372"/>
    </row>
    <row r="804" spans="1:26" ht="15.75" customHeight="1" x14ac:dyDescent="0.25">
      <c r="A804" s="1371"/>
      <c r="B804" s="1371"/>
      <c r="C804" s="1371"/>
      <c r="D804" s="1371"/>
      <c r="E804" s="1371"/>
      <c r="F804" s="1371"/>
      <c r="G804" s="1371"/>
      <c r="H804" s="1371"/>
      <c r="I804" s="1372"/>
      <c r="J804" s="1372"/>
      <c r="K804" s="1372"/>
      <c r="L804" s="1372"/>
      <c r="M804" s="1372"/>
      <c r="N804" s="1372"/>
      <c r="O804" s="1372"/>
      <c r="P804" s="1372"/>
      <c r="Q804" s="1372"/>
      <c r="R804" s="1372"/>
      <c r="S804" s="1372"/>
      <c r="T804" s="1372"/>
      <c r="U804" s="1372"/>
      <c r="V804" s="1372"/>
      <c r="W804" s="1372"/>
      <c r="X804" s="1372"/>
      <c r="Y804" s="1372"/>
      <c r="Z804" s="1372"/>
    </row>
    <row r="805" spans="1:26" ht="15.75" customHeight="1" x14ac:dyDescent="0.25">
      <c r="A805" s="1371"/>
      <c r="B805" s="1371"/>
      <c r="C805" s="1371"/>
      <c r="D805" s="1371"/>
      <c r="E805" s="1371"/>
      <c r="F805" s="1371"/>
      <c r="G805" s="1371"/>
      <c r="H805" s="1371"/>
      <c r="I805" s="1372"/>
      <c r="J805" s="1372"/>
      <c r="K805" s="1372"/>
      <c r="L805" s="1372"/>
      <c r="M805" s="1372"/>
      <c r="N805" s="1372"/>
      <c r="O805" s="1372"/>
      <c r="P805" s="1372"/>
      <c r="Q805" s="1372"/>
      <c r="R805" s="1372"/>
      <c r="S805" s="1372"/>
      <c r="T805" s="1372"/>
      <c r="U805" s="1372"/>
      <c r="V805" s="1372"/>
      <c r="W805" s="1372"/>
      <c r="X805" s="1372"/>
      <c r="Y805" s="1372"/>
      <c r="Z805" s="1372"/>
    </row>
    <row r="806" spans="1:26" ht="15.75" customHeight="1" x14ac:dyDescent="0.25">
      <c r="A806" s="1371"/>
      <c r="B806" s="1371"/>
      <c r="C806" s="1371"/>
      <c r="D806" s="1371"/>
      <c r="E806" s="1371"/>
      <c r="F806" s="1371"/>
      <c r="G806" s="1371"/>
      <c r="H806" s="1371"/>
      <c r="I806" s="1372"/>
      <c r="J806" s="1372"/>
      <c r="K806" s="1372"/>
      <c r="L806" s="1372"/>
      <c r="M806" s="1372"/>
      <c r="N806" s="1372"/>
      <c r="O806" s="1372"/>
      <c r="P806" s="1372"/>
      <c r="Q806" s="1372"/>
      <c r="R806" s="1372"/>
      <c r="S806" s="1372"/>
      <c r="T806" s="1372"/>
      <c r="U806" s="1372"/>
      <c r="V806" s="1372"/>
      <c r="W806" s="1372"/>
      <c r="X806" s="1372"/>
      <c r="Y806" s="1372"/>
      <c r="Z806" s="1372"/>
    </row>
    <row r="807" spans="1:26" ht="15.75" customHeight="1" x14ac:dyDescent="0.25">
      <c r="A807" s="1371"/>
      <c r="B807" s="1371"/>
      <c r="C807" s="1371"/>
      <c r="D807" s="1371"/>
      <c r="E807" s="1371"/>
      <c r="F807" s="1371"/>
      <c r="G807" s="1371"/>
      <c r="H807" s="1371"/>
      <c r="I807" s="1372"/>
      <c r="J807" s="1372"/>
      <c r="K807" s="1372"/>
      <c r="L807" s="1372"/>
      <c r="M807" s="1372"/>
      <c r="N807" s="1372"/>
      <c r="O807" s="1372"/>
      <c r="P807" s="1372"/>
      <c r="Q807" s="1372"/>
      <c r="R807" s="1372"/>
      <c r="S807" s="1372"/>
      <c r="T807" s="1372"/>
      <c r="U807" s="1372"/>
      <c r="V807" s="1372"/>
      <c r="W807" s="1372"/>
      <c r="X807" s="1372"/>
      <c r="Y807" s="1372"/>
      <c r="Z807" s="1372"/>
    </row>
    <row r="808" spans="1:26" ht="15.75" customHeight="1" x14ac:dyDescent="0.25">
      <c r="A808" s="1371"/>
      <c r="B808" s="1371"/>
      <c r="C808" s="1371"/>
      <c r="D808" s="1371"/>
      <c r="E808" s="1371"/>
      <c r="F808" s="1371"/>
      <c r="G808" s="1371"/>
      <c r="H808" s="1371"/>
      <c r="I808" s="1372"/>
      <c r="J808" s="1372"/>
      <c r="K808" s="1372"/>
      <c r="L808" s="1372"/>
      <c r="M808" s="1372"/>
      <c r="N808" s="1372"/>
      <c r="O808" s="1372"/>
      <c r="P808" s="1372"/>
      <c r="Q808" s="1372"/>
      <c r="R808" s="1372"/>
      <c r="S808" s="1372"/>
      <c r="T808" s="1372"/>
      <c r="U808" s="1372"/>
      <c r="V808" s="1372"/>
      <c r="W808" s="1372"/>
      <c r="X808" s="1372"/>
      <c r="Y808" s="1372"/>
      <c r="Z808" s="1372"/>
    </row>
    <row r="809" spans="1:26" ht="15.75" customHeight="1" x14ac:dyDescent="0.25">
      <c r="A809" s="1371"/>
      <c r="B809" s="1371"/>
      <c r="C809" s="1371"/>
      <c r="D809" s="1371"/>
      <c r="E809" s="1371"/>
      <c r="F809" s="1371"/>
      <c r="G809" s="1371"/>
      <c r="H809" s="1371"/>
      <c r="I809" s="1372"/>
      <c r="J809" s="1372"/>
      <c r="K809" s="1372"/>
      <c r="L809" s="1372"/>
      <c r="M809" s="1372"/>
      <c r="N809" s="1372"/>
      <c r="O809" s="1372"/>
      <c r="P809" s="1372"/>
      <c r="Q809" s="1372"/>
      <c r="R809" s="1372"/>
      <c r="S809" s="1372"/>
      <c r="T809" s="1372"/>
      <c r="U809" s="1372"/>
      <c r="V809" s="1372"/>
      <c r="W809" s="1372"/>
      <c r="X809" s="1372"/>
      <c r="Y809" s="1372"/>
      <c r="Z809" s="1372"/>
    </row>
    <row r="810" spans="1:26" ht="15.75" customHeight="1" x14ac:dyDescent="0.25">
      <c r="A810" s="1371"/>
      <c r="B810" s="1371"/>
      <c r="C810" s="1371"/>
      <c r="D810" s="1371"/>
      <c r="E810" s="1371"/>
      <c r="F810" s="1371"/>
      <c r="G810" s="1371"/>
      <c r="H810" s="1371"/>
      <c r="I810" s="1372"/>
      <c r="J810" s="1372"/>
      <c r="K810" s="1372"/>
      <c r="L810" s="1372"/>
      <c r="M810" s="1372"/>
      <c r="N810" s="1372"/>
      <c r="O810" s="1372"/>
      <c r="P810" s="1372"/>
      <c r="Q810" s="1372"/>
      <c r="R810" s="1372"/>
      <c r="S810" s="1372"/>
      <c r="T810" s="1372"/>
      <c r="U810" s="1372"/>
      <c r="V810" s="1372"/>
      <c r="W810" s="1372"/>
      <c r="X810" s="1372"/>
      <c r="Y810" s="1372"/>
      <c r="Z810" s="1372"/>
    </row>
    <row r="811" spans="1:26" ht="15.75" customHeight="1" x14ac:dyDescent="0.25">
      <c r="A811" s="1371"/>
      <c r="B811" s="1371"/>
      <c r="C811" s="1371"/>
      <c r="D811" s="1371"/>
      <c r="E811" s="1371"/>
      <c r="F811" s="1371"/>
      <c r="G811" s="1371"/>
      <c r="H811" s="1371"/>
      <c r="I811" s="1372"/>
      <c r="J811" s="1372"/>
      <c r="K811" s="1372"/>
      <c r="L811" s="1372"/>
      <c r="M811" s="1372"/>
      <c r="N811" s="1372"/>
      <c r="O811" s="1372"/>
      <c r="P811" s="1372"/>
      <c r="Q811" s="1372"/>
      <c r="R811" s="1372"/>
      <c r="S811" s="1372"/>
      <c r="T811" s="1372"/>
      <c r="U811" s="1372"/>
      <c r="V811" s="1372"/>
      <c r="W811" s="1372"/>
      <c r="X811" s="1372"/>
      <c r="Y811" s="1372"/>
      <c r="Z811" s="1372"/>
    </row>
    <row r="812" spans="1:26" ht="15.75" customHeight="1" x14ac:dyDescent="0.25">
      <c r="A812" s="1371"/>
      <c r="B812" s="1371"/>
      <c r="C812" s="1371"/>
      <c r="D812" s="1371"/>
      <c r="E812" s="1371"/>
      <c r="F812" s="1371"/>
      <c r="G812" s="1371"/>
      <c r="H812" s="1371"/>
      <c r="I812" s="1372"/>
      <c r="J812" s="1372"/>
      <c r="K812" s="1372"/>
      <c r="L812" s="1372"/>
      <c r="M812" s="1372"/>
      <c r="N812" s="1372"/>
      <c r="O812" s="1372"/>
      <c r="P812" s="1372"/>
      <c r="Q812" s="1372"/>
      <c r="R812" s="1372"/>
      <c r="S812" s="1372"/>
      <c r="T812" s="1372"/>
      <c r="U812" s="1372"/>
      <c r="V812" s="1372"/>
      <c r="W812" s="1372"/>
      <c r="X812" s="1372"/>
      <c r="Y812" s="1372"/>
      <c r="Z812" s="1372"/>
    </row>
    <row r="813" spans="1:26" ht="15.75" customHeight="1" x14ac:dyDescent="0.25">
      <c r="A813" s="1371"/>
      <c r="B813" s="1371"/>
      <c r="C813" s="1371"/>
      <c r="D813" s="1371"/>
      <c r="E813" s="1371"/>
      <c r="F813" s="1371"/>
      <c r="G813" s="1371"/>
      <c r="H813" s="1371"/>
      <c r="I813" s="1372"/>
      <c r="J813" s="1372"/>
      <c r="K813" s="1372"/>
      <c r="L813" s="1372"/>
      <c r="M813" s="1372"/>
      <c r="N813" s="1372"/>
      <c r="O813" s="1372"/>
      <c r="P813" s="1372"/>
      <c r="Q813" s="1372"/>
      <c r="R813" s="1372"/>
      <c r="S813" s="1372"/>
      <c r="T813" s="1372"/>
      <c r="U813" s="1372"/>
      <c r="V813" s="1372"/>
      <c r="W813" s="1372"/>
      <c r="X813" s="1372"/>
      <c r="Y813" s="1372"/>
      <c r="Z813" s="1372"/>
    </row>
    <row r="814" spans="1:26" ht="15.75" customHeight="1" x14ac:dyDescent="0.25">
      <c r="A814" s="1371"/>
      <c r="B814" s="1371"/>
      <c r="C814" s="1371"/>
      <c r="D814" s="1371"/>
      <c r="E814" s="1371"/>
      <c r="F814" s="1371"/>
      <c r="G814" s="1371"/>
      <c r="H814" s="1371"/>
      <c r="I814" s="1372"/>
      <c r="J814" s="1372"/>
      <c r="K814" s="1372"/>
      <c r="L814" s="1372"/>
      <c r="M814" s="1372"/>
      <c r="N814" s="1372"/>
      <c r="O814" s="1372"/>
      <c r="P814" s="1372"/>
      <c r="Q814" s="1372"/>
      <c r="R814" s="1372"/>
      <c r="S814" s="1372"/>
      <c r="T814" s="1372"/>
      <c r="U814" s="1372"/>
      <c r="V814" s="1372"/>
      <c r="W814" s="1372"/>
      <c r="X814" s="1372"/>
      <c r="Y814" s="1372"/>
      <c r="Z814" s="1372"/>
    </row>
    <row r="815" spans="1:26" ht="15.75" customHeight="1" x14ac:dyDescent="0.25">
      <c r="A815" s="1371"/>
      <c r="B815" s="1371"/>
      <c r="C815" s="1371"/>
      <c r="D815" s="1371"/>
      <c r="E815" s="1371"/>
      <c r="F815" s="1371"/>
      <c r="G815" s="1371"/>
      <c r="H815" s="1371"/>
      <c r="I815" s="1372"/>
      <c r="J815" s="1372"/>
      <c r="K815" s="1372"/>
      <c r="L815" s="1372"/>
      <c r="M815" s="1372"/>
      <c r="N815" s="1372"/>
      <c r="O815" s="1372"/>
      <c r="P815" s="1372"/>
      <c r="Q815" s="1372"/>
      <c r="R815" s="1372"/>
      <c r="S815" s="1372"/>
      <c r="T815" s="1372"/>
      <c r="U815" s="1372"/>
      <c r="V815" s="1372"/>
      <c r="W815" s="1372"/>
      <c r="X815" s="1372"/>
      <c r="Y815" s="1372"/>
      <c r="Z815" s="1372"/>
    </row>
    <row r="816" spans="1:26" ht="15.75" customHeight="1" x14ac:dyDescent="0.25">
      <c r="A816" s="1371"/>
      <c r="B816" s="1371"/>
      <c r="C816" s="1371"/>
      <c r="D816" s="1371"/>
      <c r="E816" s="1371"/>
      <c r="F816" s="1371"/>
      <c r="G816" s="1371"/>
      <c r="H816" s="1371"/>
      <c r="I816" s="1372"/>
      <c r="J816" s="1372"/>
      <c r="K816" s="1372"/>
      <c r="L816" s="1372"/>
      <c r="M816" s="1372"/>
      <c r="N816" s="1372"/>
      <c r="O816" s="1372"/>
      <c r="P816" s="1372"/>
      <c r="Q816" s="1372"/>
      <c r="R816" s="1372"/>
      <c r="S816" s="1372"/>
      <c r="T816" s="1372"/>
      <c r="U816" s="1372"/>
      <c r="V816" s="1372"/>
      <c r="W816" s="1372"/>
      <c r="X816" s="1372"/>
      <c r="Y816" s="1372"/>
      <c r="Z816" s="1372"/>
    </row>
    <row r="817" spans="1:26" ht="15.75" customHeight="1" x14ac:dyDescent="0.25">
      <c r="A817" s="1371"/>
      <c r="B817" s="1371"/>
      <c r="C817" s="1371"/>
      <c r="D817" s="1371"/>
      <c r="E817" s="1371"/>
      <c r="F817" s="1371"/>
      <c r="G817" s="1371"/>
      <c r="H817" s="1371"/>
      <c r="I817" s="1372"/>
      <c r="J817" s="1372"/>
      <c r="K817" s="1372"/>
      <c r="L817" s="1372"/>
      <c r="M817" s="1372"/>
      <c r="N817" s="1372"/>
      <c r="O817" s="1372"/>
      <c r="P817" s="1372"/>
      <c r="Q817" s="1372"/>
      <c r="R817" s="1372"/>
      <c r="S817" s="1372"/>
      <c r="T817" s="1372"/>
      <c r="U817" s="1372"/>
      <c r="V817" s="1372"/>
      <c r="W817" s="1372"/>
      <c r="X817" s="1372"/>
      <c r="Y817" s="1372"/>
      <c r="Z817" s="1372"/>
    </row>
    <row r="818" spans="1:26" ht="15.75" customHeight="1" x14ac:dyDescent="0.25">
      <c r="A818" s="1371"/>
      <c r="B818" s="1371"/>
      <c r="C818" s="1371"/>
      <c r="D818" s="1371"/>
      <c r="E818" s="1371"/>
      <c r="F818" s="1371"/>
      <c r="G818" s="1371"/>
      <c r="H818" s="1371"/>
      <c r="I818" s="1372"/>
      <c r="J818" s="1372"/>
      <c r="K818" s="1372"/>
      <c r="L818" s="1372"/>
      <c r="M818" s="1372"/>
      <c r="N818" s="1372"/>
      <c r="O818" s="1372"/>
      <c r="P818" s="1372"/>
      <c r="Q818" s="1372"/>
      <c r="R818" s="1372"/>
      <c r="S818" s="1372"/>
      <c r="T818" s="1372"/>
      <c r="U818" s="1372"/>
      <c r="V818" s="1372"/>
      <c r="W818" s="1372"/>
      <c r="X818" s="1372"/>
      <c r="Y818" s="1372"/>
      <c r="Z818" s="1372"/>
    </row>
    <row r="819" spans="1:26" ht="15.75" customHeight="1" x14ac:dyDescent="0.25">
      <c r="A819" s="1371"/>
      <c r="B819" s="1371"/>
      <c r="C819" s="1371"/>
      <c r="D819" s="1371"/>
      <c r="E819" s="1371"/>
      <c r="F819" s="1371"/>
      <c r="G819" s="1371"/>
      <c r="H819" s="1371"/>
      <c r="I819" s="1372"/>
      <c r="J819" s="1372"/>
      <c r="K819" s="1372"/>
      <c r="L819" s="1372"/>
      <c r="M819" s="1372"/>
      <c r="N819" s="1372"/>
      <c r="O819" s="1372"/>
      <c r="P819" s="1372"/>
      <c r="Q819" s="1372"/>
      <c r="R819" s="1372"/>
      <c r="S819" s="1372"/>
      <c r="T819" s="1372"/>
      <c r="U819" s="1372"/>
      <c r="V819" s="1372"/>
      <c r="W819" s="1372"/>
      <c r="X819" s="1372"/>
      <c r="Y819" s="1372"/>
      <c r="Z819" s="1372"/>
    </row>
    <row r="820" spans="1:26" ht="15.75" customHeight="1" x14ac:dyDescent="0.25">
      <c r="A820" s="1371"/>
      <c r="B820" s="1371"/>
      <c r="C820" s="1371"/>
      <c r="D820" s="1371"/>
      <c r="E820" s="1371"/>
      <c r="F820" s="1371"/>
      <c r="G820" s="1371"/>
      <c r="H820" s="1371"/>
      <c r="I820" s="1372"/>
      <c r="J820" s="1372"/>
      <c r="K820" s="1372"/>
      <c r="L820" s="1372"/>
      <c r="M820" s="1372"/>
      <c r="N820" s="1372"/>
      <c r="O820" s="1372"/>
      <c r="P820" s="1372"/>
      <c r="Q820" s="1372"/>
      <c r="R820" s="1372"/>
      <c r="S820" s="1372"/>
      <c r="T820" s="1372"/>
      <c r="U820" s="1372"/>
      <c r="V820" s="1372"/>
      <c r="W820" s="1372"/>
      <c r="X820" s="1372"/>
      <c r="Y820" s="1372"/>
      <c r="Z820" s="1372"/>
    </row>
    <row r="821" spans="1:26" ht="15.75" customHeight="1" x14ac:dyDescent="0.25">
      <c r="A821" s="1371"/>
      <c r="B821" s="1371"/>
      <c r="C821" s="1371"/>
      <c r="D821" s="1371"/>
      <c r="E821" s="1371"/>
      <c r="F821" s="1371"/>
      <c r="G821" s="1371"/>
      <c r="H821" s="1371"/>
      <c r="I821" s="1372"/>
      <c r="J821" s="1372"/>
      <c r="K821" s="1372"/>
      <c r="L821" s="1372"/>
      <c r="M821" s="1372"/>
      <c r="N821" s="1372"/>
      <c r="O821" s="1372"/>
      <c r="P821" s="1372"/>
      <c r="Q821" s="1372"/>
      <c r="R821" s="1372"/>
      <c r="S821" s="1372"/>
      <c r="T821" s="1372"/>
      <c r="U821" s="1372"/>
      <c r="V821" s="1372"/>
      <c r="W821" s="1372"/>
      <c r="X821" s="1372"/>
      <c r="Y821" s="1372"/>
      <c r="Z821" s="1372"/>
    </row>
    <row r="822" spans="1:26" ht="15.75" customHeight="1" x14ac:dyDescent="0.25">
      <c r="A822" s="1371"/>
      <c r="B822" s="1371"/>
      <c r="C822" s="1371"/>
      <c r="D822" s="1371"/>
      <c r="E822" s="1371"/>
      <c r="F822" s="1371"/>
      <c r="G822" s="1371"/>
      <c r="H822" s="1371"/>
      <c r="I822" s="1372"/>
      <c r="J822" s="1372"/>
      <c r="K822" s="1372"/>
      <c r="L822" s="1372"/>
      <c r="M822" s="1372"/>
      <c r="N822" s="1372"/>
      <c r="O822" s="1372"/>
      <c r="P822" s="1372"/>
      <c r="Q822" s="1372"/>
      <c r="R822" s="1372"/>
      <c r="S822" s="1372"/>
      <c r="T822" s="1372"/>
      <c r="U822" s="1372"/>
      <c r="V822" s="1372"/>
      <c r="W822" s="1372"/>
      <c r="X822" s="1372"/>
      <c r="Y822" s="1372"/>
      <c r="Z822" s="1372"/>
    </row>
    <row r="823" spans="1:26" ht="15.75" customHeight="1" x14ac:dyDescent="0.25">
      <c r="A823" s="1371"/>
      <c r="B823" s="1371"/>
      <c r="C823" s="1371"/>
      <c r="D823" s="1371"/>
      <c r="E823" s="1371"/>
      <c r="F823" s="1371"/>
      <c r="G823" s="1371"/>
      <c r="H823" s="1371"/>
      <c r="I823" s="1372"/>
      <c r="J823" s="1372"/>
      <c r="K823" s="1372"/>
      <c r="L823" s="1372"/>
      <c r="M823" s="1372"/>
      <c r="N823" s="1372"/>
      <c r="O823" s="1372"/>
      <c r="P823" s="1372"/>
      <c r="Q823" s="1372"/>
      <c r="R823" s="1372"/>
      <c r="S823" s="1372"/>
      <c r="T823" s="1372"/>
      <c r="U823" s="1372"/>
      <c r="V823" s="1372"/>
      <c r="W823" s="1372"/>
      <c r="X823" s="1372"/>
      <c r="Y823" s="1372"/>
      <c r="Z823" s="1372"/>
    </row>
    <row r="824" spans="1:26" ht="15.75" customHeight="1" x14ac:dyDescent="0.25">
      <c r="A824" s="1371"/>
      <c r="B824" s="1371"/>
      <c r="C824" s="1371"/>
      <c r="D824" s="1371"/>
      <c r="E824" s="1371"/>
      <c r="F824" s="1371"/>
      <c r="G824" s="1371"/>
      <c r="H824" s="1371"/>
      <c r="I824" s="1372"/>
      <c r="J824" s="1372"/>
      <c r="K824" s="1372"/>
      <c r="L824" s="1372"/>
      <c r="M824" s="1372"/>
      <c r="N824" s="1372"/>
      <c r="O824" s="1372"/>
      <c r="P824" s="1372"/>
      <c r="Q824" s="1372"/>
      <c r="R824" s="1372"/>
      <c r="S824" s="1372"/>
      <c r="T824" s="1372"/>
      <c r="U824" s="1372"/>
      <c r="V824" s="1372"/>
      <c r="W824" s="1372"/>
      <c r="X824" s="1372"/>
      <c r="Y824" s="1372"/>
      <c r="Z824" s="1372"/>
    </row>
    <row r="825" spans="1:26" ht="15.75" customHeight="1" x14ac:dyDescent="0.25">
      <c r="A825" s="1371"/>
      <c r="B825" s="1371"/>
      <c r="C825" s="1371"/>
      <c r="D825" s="1371"/>
      <c r="E825" s="1371"/>
      <c r="F825" s="1371"/>
      <c r="G825" s="1371"/>
      <c r="H825" s="1371"/>
      <c r="I825" s="1372"/>
      <c r="J825" s="1372"/>
      <c r="K825" s="1372"/>
      <c r="L825" s="1372"/>
      <c r="M825" s="1372"/>
      <c r="N825" s="1372"/>
      <c r="O825" s="1372"/>
      <c r="P825" s="1372"/>
      <c r="Q825" s="1372"/>
      <c r="R825" s="1372"/>
      <c r="S825" s="1372"/>
      <c r="T825" s="1372"/>
      <c r="U825" s="1372"/>
      <c r="V825" s="1372"/>
      <c r="W825" s="1372"/>
      <c r="X825" s="1372"/>
      <c r="Y825" s="1372"/>
      <c r="Z825" s="1372"/>
    </row>
    <row r="826" spans="1:26" ht="15.75" customHeight="1" x14ac:dyDescent="0.25">
      <c r="A826" s="1371"/>
      <c r="B826" s="1371"/>
      <c r="C826" s="1371"/>
      <c r="D826" s="1371"/>
      <c r="E826" s="1371"/>
      <c r="F826" s="1371"/>
      <c r="G826" s="1371"/>
      <c r="H826" s="1371"/>
      <c r="I826" s="1372"/>
      <c r="J826" s="1372"/>
      <c r="K826" s="1372"/>
      <c r="L826" s="1372"/>
      <c r="M826" s="1372"/>
      <c r="N826" s="1372"/>
      <c r="O826" s="1372"/>
      <c r="P826" s="1372"/>
      <c r="Q826" s="1372"/>
      <c r="R826" s="1372"/>
      <c r="S826" s="1372"/>
      <c r="T826" s="1372"/>
      <c r="U826" s="1372"/>
      <c r="V826" s="1372"/>
      <c r="W826" s="1372"/>
      <c r="X826" s="1372"/>
      <c r="Y826" s="1372"/>
      <c r="Z826" s="1372"/>
    </row>
    <row r="827" spans="1:26" ht="15.75" customHeight="1" x14ac:dyDescent="0.25">
      <c r="A827" s="1371"/>
      <c r="B827" s="1371"/>
      <c r="C827" s="1371"/>
      <c r="D827" s="1371"/>
      <c r="E827" s="1371"/>
      <c r="F827" s="1371"/>
      <c r="G827" s="1371"/>
      <c r="H827" s="1371"/>
      <c r="I827" s="1372"/>
      <c r="J827" s="1372"/>
      <c r="K827" s="1372"/>
      <c r="L827" s="1372"/>
      <c r="M827" s="1372"/>
      <c r="N827" s="1372"/>
      <c r="O827" s="1372"/>
      <c r="P827" s="1372"/>
      <c r="Q827" s="1372"/>
      <c r="R827" s="1372"/>
      <c r="S827" s="1372"/>
      <c r="T827" s="1372"/>
      <c r="U827" s="1372"/>
      <c r="V827" s="1372"/>
      <c r="W827" s="1372"/>
      <c r="X827" s="1372"/>
      <c r="Y827" s="1372"/>
      <c r="Z827" s="1372"/>
    </row>
    <row r="828" spans="1:26" ht="15.75" customHeight="1" x14ac:dyDescent="0.25">
      <c r="A828" s="1371"/>
      <c r="B828" s="1371"/>
      <c r="C828" s="1371"/>
      <c r="D828" s="1371"/>
      <c r="E828" s="1371"/>
      <c r="F828" s="1371"/>
      <c r="G828" s="1371"/>
      <c r="H828" s="1371"/>
      <c r="I828" s="1372"/>
      <c r="J828" s="1372"/>
      <c r="K828" s="1372"/>
      <c r="L828" s="1372"/>
      <c r="M828" s="1372"/>
      <c r="N828" s="1372"/>
      <c r="O828" s="1372"/>
      <c r="P828" s="1372"/>
      <c r="Q828" s="1372"/>
      <c r="R828" s="1372"/>
      <c r="S828" s="1372"/>
      <c r="T828" s="1372"/>
      <c r="U828" s="1372"/>
      <c r="V828" s="1372"/>
      <c r="W828" s="1372"/>
      <c r="X828" s="1372"/>
      <c r="Y828" s="1372"/>
      <c r="Z828" s="1372"/>
    </row>
    <row r="829" spans="1:26" ht="15.75" customHeight="1" x14ac:dyDescent="0.25">
      <c r="A829" s="1371"/>
      <c r="B829" s="1371"/>
      <c r="C829" s="1371"/>
      <c r="D829" s="1371"/>
      <c r="E829" s="1371"/>
      <c r="F829" s="1371"/>
      <c r="G829" s="1371"/>
      <c r="H829" s="1371"/>
      <c r="I829" s="1372"/>
      <c r="J829" s="1372"/>
      <c r="K829" s="1372"/>
      <c r="L829" s="1372"/>
      <c r="M829" s="1372"/>
      <c r="N829" s="1372"/>
      <c r="O829" s="1372"/>
      <c r="P829" s="1372"/>
      <c r="Q829" s="1372"/>
      <c r="R829" s="1372"/>
      <c r="S829" s="1372"/>
      <c r="T829" s="1372"/>
      <c r="U829" s="1372"/>
      <c r="V829" s="1372"/>
      <c r="W829" s="1372"/>
      <c r="X829" s="1372"/>
      <c r="Y829" s="1372"/>
      <c r="Z829" s="1372"/>
    </row>
    <row r="830" spans="1:26" ht="15.75" customHeight="1" x14ac:dyDescent="0.25">
      <c r="A830" s="1371"/>
      <c r="B830" s="1371"/>
      <c r="C830" s="1371"/>
      <c r="D830" s="1371"/>
      <c r="E830" s="1371"/>
      <c r="F830" s="1371"/>
      <c r="G830" s="1371"/>
      <c r="H830" s="1371"/>
      <c r="I830" s="1372"/>
      <c r="J830" s="1372"/>
      <c r="K830" s="1372"/>
      <c r="L830" s="1372"/>
      <c r="M830" s="1372"/>
      <c r="N830" s="1372"/>
      <c r="O830" s="1372"/>
      <c r="P830" s="1372"/>
      <c r="Q830" s="1372"/>
      <c r="R830" s="1372"/>
      <c r="S830" s="1372"/>
      <c r="T830" s="1372"/>
      <c r="U830" s="1372"/>
      <c r="V830" s="1372"/>
      <c r="W830" s="1372"/>
      <c r="X830" s="1372"/>
      <c r="Y830" s="1372"/>
      <c r="Z830" s="1372"/>
    </row>
    <row r="831" spans="1:26" ht="15.75" customHeight="1" x14ac:dyDescent="0.25">
      <c r="A831" s="1371"/>
      <c r="B831" s="1371"/>
      <c r="C831" s="1371"/>
      <c r="D831" s="1371"/>
      <c r="E831" s="1371"/>
      <c r="F831" s="1371"/>
      <c r="G831" s="1371"/>
      <c r="H831" s="1371"/>
      <c r="I831" s="1372"/>
      <c r="J831" s="1372"/>
      <c r="K831" s="1372"/>
      <c r="L831" s="1372"/>
      <c r="M831" s="1372"/>
      <c r="N831" s="1372"/>
      <c r="O831" s="1372"/>
      <c r="P831" s="1372"/>
      <c r="Q831" s="1372"/>
      <c r="R831" s="1372"/>
      <c r="S831" s="1372"/>
      <c r="T831" s="1372"/>
      <c r="U831" s="1372"/>
      <c r="V831" s="1372"/>
      <c r="W831" s="1372"/>
      <c r="X831" s="1372"/>
      <c r="Y831" s="1372"/>
      <c r="Z831" s="1372"/>
    </row>
    <row r="832" spans="1:26" ht="15.75" customHeight="1" x14ac:dyDescent="0.25">
      <c r="A832" s="1371"/>
      <c r="B832" s="1371"/>
      <c r="C832" s="1371"/>
      <c r="D832" s="1371"/>
      <c r="E832" s="1371"/>
      <c r="F832" s="1371"/>
      <c r="G832" s="1371"/>
      <c r="H832" s="1371"/>
      <c r="I832" s="1372"/>
      <c r="J832" s="1372"/>
      <c r="K832" s="1372"/>
      <c r="L832" s="1372"/>
      <c r="M832" s="1372"/>
      <c r="N832" s="1372"/>
      <c r="O832" s="1372"/>
      <c r="P832" s="1372"/>
      <c r="Q832" s="1372"/>
      <c r="R832" s="1372"/>
      <c r="S832" s="1372"/>
      <c r="T832" s="1372"/>
      <c r="U832" s="1372"/>
      <c r="V832" s="1372"/>
      <c r="W832" s="1372"/>
      <c r="X832" s="1372"/>
      <c r="Y832" s="1372"/>
      <c r="Z832" s="1372"/>
    </row>
    <row r="833" spans="1:26" ht="15.75" customHeight="1" x14ac:dyDescent="0.25">
      <c r="A833" s="1371"/>
      <c r="B833" s="1371"/>
      <c r="C833" s="1371"/>
      <c r="D833" s="1371"/>
      <c r="E833" s="1371"/>
      <c r="F833" s="1371"/>
      <c r="G833" s="1371"/>
      <c r="H833" s="1371"/>
      <c r="I833" s="1372"/>
      <c r="J833" s="1372"/>
      <c r="K833" s="1372"/>
      <c r="L833" s="1372"/>
      <c r="M833" s="1372"/>
      <c r="N833" s="1372"/>
      <c r="O833" s="1372"/>
      <c r="P833" s="1372"/>
      <c r="Q833" s="1372"/>
      <c r="R833" s="1372"/>
      <c r="S833" s="1372"/>
      <c r="T833" s="1372"/>
      <c r="U833" s="1372"/>
      <c r="V833" s="1372"/>
      <c r="W833" s="1372"/>
      <c r="X833" s="1372"/>
      <c r="Y833" s="1372"/>
      <c r="Z833" s="1372"/>
    </row>
    <row r="834" spans="1:26" ht="15.75" customHeight="1" x14ac:dyDescent="0.25">
      <c r="A834" s="1371"/>
      <c r="B834" s="1371"/>
      <c r="C834" s="1371"/>
      <c r="D834" s="1371"/>
      <c r="E834" s="1371"/>
      <c r="F834" s="1371"/>
      <c r="G834" s="1371"/>
      <c r="H834" s="1371"/>
      <c r="I834" s="1372"/>
      <c r="J834" s="1372"/>
      <c r="K834" s="1372"/>
      <c r="L834" s="1372"/>
      <c r="M834" s="1372"/>
      <c r="N834" s="1372"/>
      <c r="O834" s="1372"/>
      <c r="P834" s="1372"/>
      <c r="Q834" s="1372"/>
      <c r="R834" s="1372"/>
      <c r="S834" s="1372"/>
      <c r="T834" s="1372"/>
      <c r="U834" s="1372"/>
      <c r="V834" s="1372"/>
      <c r="W834" s="1372"/>
      <c r="X834" s="1372"/>
      <c r="Y834" s="1372"/>
      <c r="Z834" s="1372"/>
    </row>
    <row r="835" spans="1:26" ht="15.75" customHeight="1" x14ac:dyDescent="0.25">
      <c r="A835" s="1371"/>
      <c r="B835" s="1371"/>
      <c r="C835" s="1371"/>
      <c r="D835" s="1371"/>
      <c r="E835" s="1371"/>
      <c r="F835" s="1371"/>
      <c r="G835" s="1371"/>
      <c r="H835" s="1371"/>
      <c r="I835" s="1372"/>
      <c r="J835" s="1372"/>
      <c r="K835" s="1372"/>
      <c r="L835" s="1372"/>
      <c r="M835" s="1372"/>
      <c r="N835" s="1372"/>
      <c r="O835" s="1372"/>
      <c r="P835" s="1372"/>
      <c r="Q835" s="1372"/>
      <c r="R835" s="1372"/>
      <c r="S835" s="1372"/>
      <c r="T835" s="1372"/>
      <c r="U835" s="1372"/>
      <c r="V835" s="1372"/>
      <c r="W835" s="1372"/>
      <c r="X835" s="1372"/>
      <c r="Y835" s="1372"/>
      <c r="Z835" s="1372"/>
    </row>
    <row r="836" spans="1:26" ht="15.75" customHeight="1" x14ac:dyDescent="0.25">
      <c r="A836" s="1371"/>
      <c r="B836" s="1371"/>
      <c r="C836" s="1371"/>
      <c r="D836" s="1371"/>
      <c r="E836" s="1371"/>
      <c r="F836" s="1371"/>
      <c r="G836" s="1371"/>
      <c r="H836" s="1371"/>
      <c r="I836" s="1372"/>
      <c r="J836" s="1372"/>
      <c r="K836" s="1372"/>
      <c r="L836" s="1372"/>
      <c r="M836" s="1372"/>
      <c r="N836" s="1372"/>
      <c r="O836" s="1372"/>
      <c r="P836" s="1372"/>
      <c r="Q836" s="1372"/>
      <c r="R836" s="1372"/>
      <c r="S836" s="1372"/>
      <c r="T836" s="1372"/>
      <c r="U836" s="1372"/>
      <c r="V836" s="1372"/>
      <c r="W836" s="1372"/>
      <c r="X836" s="1372"/>
      <c r="Y836" s="1372"/>
      <c r="Z836" s="1372"/>
    </row>
    <row r="837" spans="1:26" ht="15.75" customHeight="1" x14ac:dyDescent="0.25">
      <c r="A837" s="1371"/>
      <c r="B837" s="1371"/>
      <c r="C837" s="1371"/>
      <c r="D837" s="1371"/>
      <c r="E837" s="1371"/>
      <c r="F837" s="1371"/>
      <c r="G837" s="1371"/>
      <c r="H837" s="1371"/>
      <c r="I837" s="1372"/>
      <c r="J837" s="1372"/>
      <c r="K837" s="1372"/>
      <c r="L837" s="1372"/>
      <c r="M837" s="1372"/>
      <c r="N837" s="1372"/>
      <c r="O837" s="1372"/>
      <c r="P837" s="1372"/>
      <c r="Q837" s="1372"/>
      <c r="R837" s="1372"/>
      <c r="S837" s="1372"/>
      <c r="T837" s="1372"/>
      <c r="U837" s="1372"/>
      <c r="V837" s="1372"/>
      <c r="W837" s="1372"/>
      <c r="X837" s="1372"/>
      <c r="Y837" s="1372"/>
      <c r="Z837" s="1372"/>
    </row>
    <row r="838" spans="1:26" ht="15.75" customHeight="1" x14ac:dyDescent="0.25">
      <c r="A838" s="1371"/>
      <c r="B838" s="1371"/>
      <c r="C838" s="1371"/>
      <c r="D838" s="1371"/>
      <c r="E838" s="1371"/>
      <c r="F838" s="1371"/>
      <c r="G838" s="1371"/>
      <c r="H838" s="1371"/>
      <c r="I838" s="1372"/>
      <c r="J838" s="1372"/>
      <c r="K838" s="1372"/>
      <c r="L838" s="1372"/>
      <c r="M838" s="1372"/>
      <c r="N838" s="1372"/>
      <c r="O838" s="1372"/>
      <c r="P838" s="1372"/>
      <c r="Q838" s="1372"/>
      <c r="R838" s="1372"/>
      <c r="S838" s="1372"/>
      <c r="T838" s="1372"/>
      <c r="U838" s="1372"/>
      <c r="V838" s="1372"/>
      <c r="W838" s="1372"/>
      <c r="X838" s="1372"/>
      <c r="Y838" s="1372"/>
      <c r="Z838" s="1372"/>
    </row>
    <row r="839" spans="1:26" ht="15.75" customHeight="1" x14ac:dyDescent="0.25">
      <c r="A839" s="1371"/>
      <c r="B839" s="1371"/>
      <c r="C839" s="1371"/>
      <c r="D839" s="1371"/>
      <c r="E839" s="1371"/>
      <c r="F839" s="1371"/>
      <c r="G839" s="1371"/>
      <c r="H839" s="1371"/>
      <c r="I839" s="1372"/>
      <c r="J839" s="1372"/>
      <c r="K839" s="1372"/>
      <c r="L839" s="1372"/>
      <c r="M839" s="1372"/>
      <c r="N839" s="1372"/>
      <c r="O839" s="1372"/>
      <c r="P839" s="1372"/>
      <c r="Q839" s="1372"/>
      <c r="R839" s="1372"/>
      <c r="S839" s="1372"/>
      <c r="T839" s="1372"/>
      <c r="U839" s="1372"/>
      <c r="V839" s="1372"/>
      <c r="W839" s="1372"/>
      <c r="X839" s="1372"/>
      <c r="Y839" s="1372"/>
      <c r="Z839" s="1372"/>
    </row>
    <row r="840" spans="1:26" ht="15.75" customHeight="1" x14ac:dyDescent="0.25">
      <c r="A840" s="1371"/>
      <c r="B840" s="1371"/>
      <c r="C840" s="1371"/>
      <c r="D840" s="1371"/>
      <c r="E840" s="1371"/>
      <c r="F840" s="1371"/>
      <c r="G840" s="1371"/>
      <c r="H840" s="1371"/>
      <c r="I840" s="1372"/>
      <c r="J840" s="1372"/>
      <c r="K840" s="1372"/>
      <c r="L840" s="1372"/>
      <c r="M840" s="1372"/>
      <c r="N840" s="1372"/>
      <c r="O840" s="1372"/>
      <c r="P840" s="1372"/>
      <c r="Q840" s="1372"/>
      <c r="R840" s="1372"/>
      <c r="S840" s="1372"/>
      <c r="T840" s="1372"/>
      <c r="U840" s="1372"/>
      <c r="V840" s="1372"/>
      <c r="W840" s="1372"/>
      <c r="X840" s="1372"/>
      <c r="Y840" s="1372"/>
      <c r="Z840" s="1372"/>
    </row>
    <row r="841" spans="1:26" ht="15.75" customHeight="1" x14ac:dyDescent="0.25">
      <c r="A841" s="1371"/>
      <c r="B841" s="1371"/>
      <c r="C841" s="1371"/>
      <c r="D841" s="1371"/>
      <c r="E841" s="1371"/>
      <c r="F841" s="1371"/>
      <c r="G841" s="1371"/>
      <c r="H841" s="1371"/>
      <c r="I841" s="1372"/>
      <c r="J841" s="1372"/>
      <c r="K841" s="1372"/>
      <c r="L841" s="1372"/>
      <c r="M841" s="1372"/>
      <c r="N841" s="1372"/>
      <c r="O841" s="1372"/>
      <c r="P841" s="1372"/>
      <c r="Q841" s="1372"/>
      <c r="R841" s="1372"/>
      <c r="S841" s="1372"/>
      <c r="T841" s="1372"/>
      <c r="U841" s="1372"/>
      <c r="V841" s="1372"/>
      <c r="W841" s="1372"/>
      <c r="X841" s="1372"/>
      <c r="Y841" s="1372"/>
      <c r="Z841" s="1372"/>
    </row>
    <row r="842" spans="1:26" ht="15.75" customHeight="1" x14ac:dyDescent="0.25">
      <c r="A842" s="1371"/>
      <c r="B842" s="1371"/>
      <c r="C842" s="1371"/>
      <c r="D842" s="1371"/>
      <c r="E842" s="1371"/>
      <c r="F842" s="1371"/>
      <c r="G842" s="1371"/>
      <c r="H842" s="1371"/>
      <c r="I842" s="1372"/>
      <c r="J842" s="1372"/>
      <c r="K842" s="1372"/>
      <c r="L842" s="1372"/>
      <c r="M842" s="1372"/>
      <c r="N842" s="1372"/>
      <c r="O842" s="1372"/>
      <c r="P842" s="1372"/>
      <c r="Q842" s="1372"/>
      <c r="R842" s="1372"/>
      <c r="S842" s="1372"/>
      <c r="T842" s="1372"/>
      <c r="U842" s="1372"/>
      <c r="V842" s="1372"/>
      <c r="W842" s="1372"/>
      <c r="X842" s="1372"/>
      <c r="Y842" s="1372"/>
      <c r="Z842" s="1372"/>
    </row>
    <row r="843" spans="1:26" ht="15.75" customHeight="1" x14ac:dyDescent="0.25">
      <c r="A843" s="1371"/>
      <c r="B843" s="1371"/>
      <c r="C843" s="1371"/>
      <c r="D843" s="1371"/>
      <c r="E843" s="1371"/>
      <c r="F843" s="1371"/>
      <c r="G843" s="1371"/>
      <c r="H843" s="1371"/>
      <c r="I843" s="1372"/>
      <c r="J843" s="1372"/>
      <c r="K843" s="1372"/>
      <c r="L843" s="1372"/>
      <c r="M843" s="1372"/>
      <c r="N843" s="1372"/>
      <c r="O843" s="1372"/>
      <c r="P843" s="1372"/>
      <c r="Q843" s="1372"/>
      <c r="R843" s="1372"/>
      <c r="S843" s="1372"/>
      <c r="T843" s="1372"/>
      <c r="U843" s="1372"/>
      <c r="V843" s="1372"/>
      <c r="W843" s="1372"/>
      <c r="X843" s="1372"/>
      <c r="Y843" s="1372"/>
      <c r="Z843" s="1372"/>
    </row>
    <row r="844" spans="1:26" ht="15.75" customHeight="1" x14ac:dyDescent="0.25">
      <c r="A844" s="1371"/>
      <c r="B844" s="1371"/>
      <c r="C844" s="1371"/>
      <c r="D844" s="1371"/>
      <c r="E844" s="1371"/>
      <c r="F844" s="1371"/>
      <c r="G844" s="1371"/>
      <c r="H844" s="1371"/>
      <c r="I844" s="1372"/>
      <c r="J844" s="1372"/>
      <c r="K844" s="1372"/>
      <c r="L844" s="1372"/>
      <c r="M844" s="1372"/>
      <c r="N844" s="1372"/>
      <c r="O844" s="1372"/>
      <c r="P844" s="1372"/>
      <c r="Q844" s="1372"/>
      <c r="R844" s="1372"/>
      <c r="S844" s="1372"/>
      <c r="T844" s="1372"/>
      <c r="U844" s="1372"/>
      <c r="V844" s="1372"/>
      <c r="W844" s="1372"/>
      <c r="X844" s="1372"/>
      <c r="Y844" s="1372"/>
      <c r="Z844" s="1372"/>
    </row>
    <row r="845" spans="1:26" ht="15.75" customHeight="1" x14ac:dyDescent="0.25">
      <c r="A845" s="1371"/>
      <c r="B845" s="1371"/>
      <c r="C845" s="1371"/>
      <c r="D845" s="1371"/>
      <c r="E845" s="1371"/>
      <c r="F845" s="1371"/>
      <c r="G845" s="1371"/>
      <c r="H845" s="1371"/>
      <c r="I845" s="1372"/>
      <c r="J845" s="1372"/>
      <c r="K845" s="1372"/>
      <c r="L845" s="1372"/>
      <c r="M845" s="1372"/>
      <c r="N845" s="1372"/>
      <c r="O845" s="1372"/>
      <c r="P845" s="1372"/>
      <c r="Q845" s="1372"/>
      <c r="R845" s="1372"/>
      <c r="S845" s="1372"/>
      <c r="T845" s="1372"/>
      <c r="U845" s="1372"/>
      <c r="V845" s="1372"/>
      <c r="W845" s="1372"/>
      <c r="X845" s="1372"/>
      <c r="Y845" s="1372"/>
      <c r="Z845" s="1372"/>
    </row>
    <row r="846" spans="1:26" ht="15.75" customHeight="1" x14ac:dyDescent="0.25">
      <c r="A846" s="1371"/>
      <c r="B846" s="1371"/>
      <c r="C846" s="1371"/>
      <c r="D846" s="1371"/>
      <c r="E846" s="1371"/>
      <c r="F846" s="1371"/>
      <c r="G846" s="1371"/>
      <c r="H846" s="1371"/>
      <c r="I846" s="1372"/>
      <c r="J846" s="1372"/>
      <c r="K846" s="1372"/>
      <c r="L846" s="1372"/>
      <c r="M846" s="1372"/>
      <c r="N846" s="1372"/>
      <c r="O846" s="1372"/>
      <c r="P846" s="1372"/>
      <c r="Q846" s="1372"/>
      <c r="R846" s="1372"/>
      <c r="S846" s="1372"/>
      <c r="T846" s="1372"/>
      <c r="U846" s="1372"/>
      <c r="V846" s="1372"/>
      <c r="W846" s="1372"/>
      <c r="X846" s="1372"/>
      <c r="Y846" s="1372"/>
      <c r="Z846" s="1372"/>
    </row>
    <row r="847" spans="1:26" ht="15.75" customHeight="1" x14ac:dyDescent="0.25">
      <c r="A847" s="1371"/>
      <c r="B847" s="1371"/>
      <c r="C847" s="1371"/>
      <c r="D847" s="1371"/>
      <c r="E847" s="1371"/>
      <c r="F847" s="1371"/>
      <c r="G847" s="1371"/>
      <c r="H847" s="1371"/>
      <c r="I847" s="1372"/>
      <c r="J847" s="1372"/>
      <c r="K847" s="1372"/>
      <c r="L847" s="1372"/>
      <c r="M847" s="1372"/>
      <c r="N847" s="1372"/>
      <c r="O847" s="1372"/>
      <c r="P847" s="1372"/>
      <c r="Q847" s="1372"/>
      <c r="R847" s="1372"/>
      <c r="S847" s="1372"/>
      <c r="T847" s="1372"/>
      <c r="U847" s="1372"/>
      <c r="V847" s="1372"/>
      <c r="W847" s="1372"/>
      <c r="X847" s="1372"/>
      <c r="Y847" s="1372"/>
      <c r="Z847" s="1372"/>
    </row>
    <row r="848" spans="1:26" ht="15.75" customHeight="1" x14ac:dyDescent="0.25">
      <c r="A848" s="1371"/>
      <c r="B848" s="1371"/>
      <c r="C848" s="1371"/>
      <c r="D848" s="1371"/>
      <c r="E848" s="1371"/>
      <c r="F848" s="1371"/>
      <c r="G848" s="1371"/>
      <c r="H848" s="1371"/>
      <c r="I848" s="1372"/>
      <c r="J848" s="1372"/>
      <c r="K848" s="1372"/>
      <c r="L848" s="1372"/>
      <c r="M848" s="1372"/>
      <c r="N848" s="1372"/>
      <c r="O848" s="1372"/>
      <c r="P848" s="1372"/>
      <c r="Q848" s="1372"/>
      <c r="R848" s="1372"/>
      <c r="S848" s="1372"/>
      <c r="T848" s="1372"/>
      <c r="U848" s="1372"/>
      <c r="V848" s="1372"/>
      <c r="W848" s="1372"/>
      <c r="X848" s="1372"/>
      <c r="Y848" s="1372"/>
      <c r="Z848" s="1372"/>
    </row>
    <row r="849" spans="1:26" ht="15.75" customHeight="1" x14ac:dyDescent="0.25">
      <c r="A849" s="1371"/>
      <c r="B849" s="1371"/>
      <c r="C849" s="1371"/>
      <c r="D849" s="1371"/>
      <c r="E849" s="1371"/>
      <c r="F849" s="1371"/>
      <c r="G849" s="1371"/>
      <c r="H849" s="1371"/>
      <c r="I849" s="1372"/>
      <c r="J849" s="1372"/>
      <c r="K849" s="1372"/>
      <c r="L849" s="1372"/>
      <c r="M849" s="1372"/>
      <c r="N849" s="1372"/>
      <c r="O849" s="1372"/>
      <c r="P849" s="1372"/>
      <c r="Q849" s="1372"/>
      <c r="R849" s="1372"/>
      <c r="S849" s="1372"/>
      <c r="T849" s="1372"/>
      <c r="U849" s="1372"/>
      <c r="V849" s="1372"/>
      <c r="W849" s="1372"/>
      <c r="X849" s="1372"/>
      <c r="Y849" s="1372"/>
      <c r="Z849" s="1372"/>
    </row>
    <row r="850" spans="1:26" ht="15.75" customHeight="1" x14ac:dyDescent="0.25">
      <c r="A850" s="1371"/>
      <c r="B850" s="1371"/>
      <c r="C850" s="1371"/>
      <c r="D850" s="1371"/>
      <c r="E850" s="1371"/>
      <c r="F850" s="1371"/>
      <c r="G850" s="1371"/>
      <c r="H850" s="1371"/>
      <c r="I850" s="1372"/>
      <c r="J850" s="1372"/>
      <c r="K850" s="1372"/>
      <c r="L850" s="1372"/>
      <c r="M850" s="1372"/>
      <c r="N850" s="1372"/>
      <c r="O850" s="1372"/>
      <c r="P850" s="1372"/>
      <c r="Q850" s="1372"/>
      <c r="R850" s="1372"/>
      <c r="S850" s="1372"/>
      <c r="T850" s="1372"/>
      <c r="U850" s="1372"/>
      <c r="V850" s="1372"/>
      <c r="W850" s="1372"/>
      <c r="X850" s="1372"/>
      <c r="Y850" s="1372"/>
      <c r="Z850" s="1372"/>
    </row>
    <row r="851" spans="1:26" ht="15.75" customHeight="1" x14ac:dyDescent="0.25">
      <c r="A851" s="1371"/>
      <c r="B851" s="1371"/>
      <c r="C851" s="1371"/>
      <c r="D851" s="1371"/>
      <c r="E851" s="1371"/>
      <c r="F851" s="1371"/>
      <c r="G851" s="1371"/>
      <c r="H851" s="1371"/>
      <c r="I851" s="1372"/>
      <c r="J851" s="1372"/>
      <c r="K851" s="1372"/>
      <c r="L851" s="1372"/>
      <c r="M851" s="1372"/>
      <c r="N851" s="1372"/>
      <c r="O851" s="1372"/>
      <c r="P851" s="1372"/>
      <c r="Q851" s="1372"/>
      <c r="R851" s="1372"/>
      <c r="S851" s="1372"/>
      <c r="T851" s="1372"/>
      <c r="U851" s="1372"/>
      <c r="V851" s="1372"/>
      <c r="W851" s="1372"/>
      <c r="X851" s="1372"/>
      <c r="Y851" s="1372"/>
      <c r="Z851" s="1372"/>
    </row>
    <row r="852" spans="1:26" ht="15.75" customHeight="1" x14ac:dyDescent="0.25">
      <c r="A852" s="1371"/>
      <c r="B852" s="1371"/>
      <c r="C852" s="1371"/>
      <c r="D852" s="1371"/>
      <c r="E852" s="1371"/>
      <c r="F852" s="1371"/>
      <c r="G852" s="1371"/>
      <c r="H852" s="1371"/>
      <c r="I852" s="1372"/>
      <c r="J852" s="1372"/>
      <c r="K852" s="1372"/>
      <c r="L852" s="1372"/>
      <c r="M852" s="1372"/>
      <c r="N852" s="1372"/>
      <c r="O852" s="1372"/>
      <c r="P852" s="1372"/>
      <c r="Q852" s="1372"/>
      <c r="R852" s="1372"/>
      <c r="S852" s="1372"/>
      <c r="T852" s="1372"/>
      <c r="U852" s="1372"/>
      <c r="V852" s="1372"/>
      <c r="W852" s="1372"/>
      <c r="X852" s="1372"/>
      <c r="Y852" s="1372"/>
      <c r="Z852" s="1372"/>
    </row>
    <row r="853" spans="1:26" ht="15.75" customHeight="1" x14ac:dyDescent="0.25">
      <c r="A853" s="1371"/>
      <c r="B853" s="1371"/>
      <c r="C853" s="1371"/>
      <c r="D853" s="1371"/>
      <c r="E853" s="1371"/>
      <c r="F853" s="1371"/>
      <c r="G853" s="1371"/>
      <c r="H853" s="1371"/>
      <c r="I853" s="1372"/>
      <c r="J853" s="1372"/>
      <c r="K853" s="1372"/>
      <c r="L853" s="1372"/>
      <c r="M853" s="1372"/>
      <c r="N853" s="1372"/>
      <c r="O853" s="1372"/>
      <c r="P853" s="1372"/>
      <c r="Q853" s="1372"/>
      <c r="R853" s="1372"/>
      <c r="S853" s="1372"/>
      <c r="T853" s="1372"/>
      <c r="U853" s="1372"/>
      <c r="V853" s="1372"/>
      <c r="W853" s="1372"/>
      <c r="X853" s="1372"/>
      <c r="Y853" s="1372"/>
      <c r="Z853" s="1372"/>
    </row>
    <row r="854" spans="1:26" ht="15.75" customHeight="1" x14ac:dyDescent="0.25">
      <c r="A854" s="1371"/>
      <c r="B854" s="1371"/>
      <c r="C854" s="1371"/>
      <c r="D854" s="1371"/>
      <c r="E854" s="1371"/>
      <c r="F854" s="1371"/>
      <c r="G854" s="1371"/>
      <c r="H854" s="1371"/>
      <c r="I854" s="1372"/>
      <c r="J854" s="1372"/>
      <c r="K854" s="1372"/>
      <c r="L854" s="1372"/>
      <c r="M854" s="1372"/>
      <c r="N854" s="1372"/>
      <c r="O854" s="1372"/>
      <c r="P854" s="1372"/>
      <c r="Q854" s="1372"/>
      <c r="R854" s="1372"/>
      <c r="S854" s="1372"/>
      <c r="T854" s="1372"/>
      <c r="U854" s="1372"/>
      <c r="V854" s="1372"/>
      <c r="W854" s="1372"/>
      <c r="X854" s="1372"/>
      <c r="Y854" s="1372"/>
      <c r="Z854" s="1372"/>
    </row>
    <row r="855" spans="1:26" ht="15.75" customHeight="1" x14ac:dyDescent="0.25">
      <c r="A855" s="1371"/>
      <c r="B855" s="1371"/>
      <c r="C855" s="1371"/>
      <c r="D855" s="1371"/>
      <c r="E855" s="1371"/>
      <c r="F855" s="1371"/>
      <c r="G855" s="1371"/>
      <c r="H855" s="1371"/>
      <c r="I855" s="1372"/>
      <c r="J855" s="1372"/>
      <c r="K855" s="1372"/>
      <c r="L855" s="1372"/>
      <c r="M855" s="1372"/>
      <c r="N855" s="1372"/>
      <c r="O855" s="1372"/>
      <c r="P855" s="1372"/>
      <c r="Q855" s="1372"/>
      <c r="R855" s="1372"/>
      <c r="S855" s="1372"/>
      <c r="T855" s="1372"/>
      <c r="U855" s="1372"/>
      <c r="V855" s="1372"/>
      <c r="W855" s="1372"/>
      <c r="X855" s="1372"/>
      <c r="Y855" s="1372"/>
      <c r="Z855" s="1372"/>
    </row>
    <row r="856" spans="1:26" ht="15.75" customHeight="1" x14ac:dyDescent="0.25">
      <c r="A856" s="1371"/>
      <c r="B856" s="1371"/>
      <c r="C856" s="1371"/>
      <c r="D856" s="1371"/>
      <c r="E856" s="1371"/>
      <c r="F856" s="1371"/>
      <c r="G856" s="1371"/>
      <c r="H856" s="1371"/>
      <c r="I856" s="1372"/>
      <c r="J856" s="1372"/>
      <c r="K856" s="1372"/>
      <c r="L856" s="1372"/>
      <c r="M856" s="1372"/>
      <c r="N856" s="1372"/>
      <c r="O856" s="1372"/>
      <c r="P856" s="1372"/>
      <c r="Q856" s="1372"/>
      <c r="R856" s="1372"/>
      <c r="S856" s="1372"/>
      <c r="T856" s="1372"/>
      <c r="U856" s="1372"/>
      <c r="V856" s="1372"/>
      <c r="W856" s="1372"/>
      <c r="X856" s="1372"/>
      <c r="Y856" s="1372"/>
      <c r="Z856" s="1372"/>
    </row>
    <row r="857" spans="1:26" ht="15.75" customHeight="1" x14ac:dyDescent="0.25">
      <c r="A857" s="1371"/>
      <c r="B857" s="1371"/>
      <c r="C857" s="1371"/>
      <c r="D857" s="1371"/>
      <c r="E857" s="1371"/>
      <c r="F857" s="1371"/>
      <c r="G857" s="1371"/>
      <c r="H857" s="1371"/>
      <c r="I857" s="1372"/>
      <c r="J857" s="1372"/>
      <c r="K857" s="1372"/>
      <c r="L857" s="1372"/>
      <c r="M857" s="1372"/>
      <c r="N857" s="1372"/>
      <c r="O857" s="1372"/>
      <c r="P857" s="1372"/>
      <c r="Q857" s="1372"/>
      <c r="R857" s="1372"/>
      <c r="S857" s="1372"/>
      <c r="T857" s="1372"/>
      <c r="U857" s="1372"/>
      <c r="V857" s="1372"/>
      <c r="W857" s="1372"/>
      <c r="X857" s="1372"/>
      <c r="Y857" s="1372"/>
      <c r="Z857" s="1372"/>
    </row>
    <row r="858" spans="1:26" ht="15.75" customHeight="1" x14ac:dyDescent="0.25">
      <c r="A858" s="1371"/>
      <c r="B858" s="1371"/>
      <c r="C858" s="1371"/>
      <c r="D858" s="1371"/>
      <c r="E858" s="1371"/>
      <c r="F858" s="1371"/>
      <c r="G858" s="1371"/>
      <c r="H858" s="1371"/>
      <c r="I858" s="1372"/>
      <c r="J858" s="1372"/>
      <c r="K858" s="1372"/>
      <c r="L858" s="1372"/>
      <c r="M858" s="1372"/>
      <c r="N858" s="1372"/>
      <c r="O858" s="1372"/>
      <c r="P858" s="1372"/>
      <c r="Q858" s="1372"/>
      <c r="R858" s="1372"/>
      <c r="S858" s="1372"/>
      <c r="T858" s="1372"/>
      <c r="U858" s="1372"/>
      <c r="V858" s="1372"/>
      <c r="W858" s="1372"/>
      <c r="X858" s="1372"/>
      <c r="Y858" s="1372"/>
      <c r="Z858" s="1372"/>
    </row>
    <row r="859" spans="1:26" ht="15.75" customHeight="1" x14ac:dyDescent="0.25">
      <c r="A859" s="1371"/>
      <c r="B859" s="1371"/>
      <c r="C859" s="1371"/>
      <c r="D859" s="1371"/>
      <c r="E859" s="1371"/>
      <c r="F859" s="1371"/>
      <c r="G859" s="1371"/>
      <c r="H859" s="1371"/>
      <c r="I859" s="1372"/>
      <c r="J859" s="1372"/>
      <c r="K859" s="1372"/>
      <c r="L859" s="1372"/>
      <c r="M859" s="1372"/>
      <c r="N859" s="1372"/>
      <c r="O859" s="1372"/>
      <c r="P859" s="1372"/>
      <c r="Q859" s="1372"/>
      <c r="R859" s="1372"/>
      <c r="S859" s="1372"/>
      <c r="T859" s="1372"/>
      <c r="U859" s="1372"/>
      <c r="V859" s="1372"/>
      <c r="W859" s="1372"/>
      <c r="X859" s="1372"/>
      <c r="Y859" s="1372"/>
      <c r="Z859" s="1372"/>
    </row>
    <row r="860" spans="1:26" ht="15.75" customHeight="1" x14ac:dyDescent="0.25">
      <c r="A860" s="1371"/>
      <c r="B860" s="1371"/>
      <c r="C860" s="1371"/>
      <c r="D860" s="1371"/>
      <c r="E860" s="1371"/>
      <c r="F860" s="1371"/>
      <c r="G860" s="1371"/>
      <c r="H860" s="1371"/>
      <c r="I860" s="1372"/>
      <c r="J860" s="1372"/>
      <c r="K860" s="1372"/>
      <c r="L860" s="1372"/>
      <c r="M860" s="1372"/>
      <c r="N860" s="1372"/>
      <c r="O860" s="1372"/>
      <c r="P860" s="1372"/>
      <c r="Q860" s="1372"/>
      <c r="R860" s="1372"/>
      <c r="S860" s="1372"/>
      <c r="T860" s="1372"/>
      <c r="U860" s="1372"/>
      <c r="V860" s="1372"/>
      <c r="W860" s="1372"/>
      <c r="X860" s="1372"/>
      <c r="Y860" s="1372"/>
      <c r="Z860" s="1372"/>
    </row>
    <row r="861" spans="1:26" ht="15.75" customHeight="1" x14ac:dyDescent="0.25">
      <c r="A861" s="1371"/>
      <c r="B861" s="1371"/>
      <c r="C861" s="1371"/>
      <c r="D861" s="1371"/>
      <c r="E861" s="1371"/>
      <c r="F861" s="1371"/>
      <c r="G861" s="1371"/>
      <c r="H861" s="1371"/>
      <c r="I861" s="1372"/>
      <c r="J861" s="1372"/>
      <c r="K861" s="1372"/>
      <c r="L861" s="1372"/>
      <c r="M861" s="1372"/>
      <c r="N861" s="1372"/>
      <c r="O861" s="1372"/>
      <c r="P861" s="1372"/>
      <c r="Q861" s="1372"/>
      <c r="R861" s="1372"/>
      <c r="S861" s="1372"/>
      <c r="T861" s="1372"/>
      <c r="U861" s="1372"/>
      <c r="V861" s="1372"/>
      <c r="W861" s="1372"/>
      <c r="X861" s="1372"/>
      <c r="Y861" s="1372"/>
      <c r="Z861" s="1372"/>
    </row>
    <row r="862" spans="1:26" ht="15.75" customHeight="1" x14ac:dyDescent="0.25">
      <c r="A862" s="1371"/>
      <c r="B862" s="1371"/>
      <c r="C862" s="1371"/>
      <c r="D862" s="1371"/>
      <c r="E862" s="1371"/>
      <c r="F862" s="1371"/>
      <c r="G862" s="1371"/>
      <c r="H862" s="1371"/>
      <c r="I862" s="1372"/>
      <c r="J862" s="1372"/>
      <c r="K862" s="1372"/>
      <c r="L862" s="1372"/>
      <c r="M862" s="1372"/>
      <c r="N862" s="1372"/>
      <c r="O862" s="1372"/>
      <c r="P862" s="1372"/>
      <c r="Q862" s="1372"/>
      <c r="R862" s="1372"/>
      <c r="S862" s="1372"/>
      <c r="T862" s="1372"/>
      <c r="U862" s="1372"/>
      <c r="V862" s="1372"/>
      <c r="W862" s="1372"/>
      <c r="X862" s="1372"/>
      <c r="Y862" s="1372"/>
      <c r="Z862" s="1372"/>
    </row>
    <row r="863" spans="1:26" ht="15.75" customHeight="1" x14ac:dyDescent="0.25">
      <c r="A863" s="1371"/>
      <c r="B863" s="1371"/>
      <c r="C863" s="1371"/>
      <c r="D863" s="1371"/>
      <c r="E863" s="1371"/>
      <c r="F863" s="1371"/>
      <c r="G863" s="1371"/>
      <c r="H863" s="1371"/>
      <c r="I863" s="1372"/>
      <c r="J863" s="1372"/>
      <c r="K863" s="1372"/>
      <c r="L863" s="1372"/>
      <c r="M863" s="1372"/>
      <c r="N863" s="1372"/>
      <c r="O863" s="1372"/>
      <c r="P863" s="1372"/>
      <c r="Q863" s="1372"/>
      <c r="R863" s="1372"/>
      <c r="S863" s="1372"/>
      <c r="T863" s="1372"/>
      <c r="U863" s="1372"/>
      <c r="V863" s="1372"/>
      <c r="W863" s="1372"/>
      <c r="X863" s="1372"/>
      <c r="Y863" s="1372"/>
      <c r="Z863" s="1372"/>
    </row>
    <row r="864" spans="1:26" ht="15.75" customHeight="1" x14ac:dyDescent="0.25">
      <c r="A864" s="1371"/>
      <c r="B864" s="1371"/>
      <c r="C864" s="1371"/>
      <c r="D864" s="1371"/>
      <c r="E864" s="1371"/>
      <c r="F864" s="1371"/>
      <c r="G864" s="1371"/>
      <c r="H864" s="1371"/>
      <c r="I864" s="1372"/>
      <c r="J864" s="1372"/>
      <c r="K864" s="1372"/>
      <c r="L864" s="1372"/>
      <c r="M864" s="1372"/>
      <c r="N864" s="1372"/>
      <c r="O864" s="1372"/>
      <c r="P864" s="1372"/>
      <c r="Q864" s="1372"/>
      <c r="R864" s="1372"/>
      <c r="S864" s="1372"/>
      <c r="T864" s="1372"/>
      <c r="U864" s="1372"/>
      <c r="V864" s="1372"/>
      <c r="W864" s="1372"/>
      <c r="X864" s="1372"/>
      <c r="Y864" s="1372"/>
      <c r="Z864" s="1372"/>
    </row>
    <row r="865" spans="1:26" ht="15.75" customHeight="1" x14ac:dyDescent="0.25">
      <c r="A865" s="1371"/>
      <c r="B865" s="1371"/>
      <c r="C865" s="1371"/>
      <c r="D865" s="1371"/>
      <c r="E865" s="1371"/>
      <c r="F865" s="1371"/>
      <c r="G865" s="1371"/>
      <c r="H865" s="1371"/>
      <c r="I865" s="1372"/>
      <c r="J865" s="1372"/>
      <c r="K865" s="1372"/>
      <c r="L865" s="1372"/>
      <c r="M865" s="1372"/>
      <c r="N865" s="1372"/>
      <c r="O865" s="1372"/>
      <c r="P865" s="1372"/>
      <c r="Q865" s="1372"/>
      <c r="R865" s="1372"/>
      <c r="S865" s="1372"/>
      <c r="T865" s="1372"/>
      <c r="U865" s="1372"/>
      <c r="V865" s="1372"/>
      <c r="W865" s="1372"/>
      <c r="X865" s="1372"/>
      <c r="Y865" s="1372"/>
      <c r="Z865" s="1372"/>
    </row>
    <row r="866" spans="1:26" ht="15.75" customHeight="1" x14ac:dyDescent="0.25">
      <c r="A866" s="1371"/>
      <c r="B866" s="1371"/>
      <c r="C866" s="1371"/>
      <c r="D866" s="1371"/>
      <c r="E866" s="1371"/>
      <c r="F866" s="1371"/>
      <c r="G866" s="1371"/>
      <c r="H866" s="1371"/>
      <c r="I866" s="1372"/>
      <c r="J866" s="1372"/>
      <c r="K866" s="1372"/>
      <c r="L866" s="1372"/>
      <c r="M866" s="1372"/>
      <c r="N866" s="1372"/>
      <c r="O866" s="1372"/>
      <c r="P866" s="1372"/>
      <c r="Q866" s="1372"/>
      <c r="R866" s="1372"/>
      <c r="S866" s="1372"/>
      <c r="T866" s="1372"/>
      <c r="U866" s="1372"/>
      <c r="V866" s="1372"/>
      <c r="W866" s="1372"/>
      <c r="X866" s="1372"/>
      <c r="Y866" s="1372"/>
      <c r="Z866" s="1372"/>
    </row>
    <row r="867" spans="1:26" ht="15.75" customHeight="1" x14ac:dyDescent="0.25">
      <c r="A867" s="1371"/>
      <c r="B867" s="1371"/>
      <c r="C867" s="1371"/>
      <c r="D867" s="1371"/>
      <c r="E867" s="1371"/>
      <c r="F867" s="1371"/>
      <c r="G867" s="1371"/>
      <c r="H867" s="1371"/>
      <c r="I867" s="1372"/>
      <c r="J867" s="1372"/>
      <c r="K867" s="1372"/>
      <c r="L867" s="1372"/>
      <c r="M867" s="1372"/>
      <c r="N867" s="1372"/>
      <c r="O867" s="1372"/>
      <c r="P867" s="1372"/>
      <c r="Q867" s="1372"/>
      <c r="R867" s="1372"/>
      <c r="S867" s="1372"/>
      <c r="T867" s="1372"/>
      <c r="U867" s="1372"/>
      <c r="V867" s="1372"/>
      <c r="W867" s="1372"/>
      <c r="X867" s="1372"/>
      <c r="Y867" s="1372"/>
      <c r="Z867" s="1372"/>
    </row>
    <row r="868" spans="1:26" ht="15.75" customHeight="1" x14ac:dyDescent="0.25">
      <c r="A868" s="1371"/>
      <c r="B868" s="1371"/>
      <c r="C868" s="1371"/>
      <c r="D868" s="1371"/>
      <c r="E868" s="1371"/>
      <c r="F868" s="1371"/>
      <c r="G868" s="1371"/>
      <c r="H868" s="1371"/>
      <c r="I868" s="1372"/>
      <c r="J868" s="1372"/>
      <c r="K868" s="1372"/>
      <c r="L868" s="1372"/>
      <c r="M868" s="1372"/>
      <c r="N868" s="1372"/>
      <c r="O868" s="1372"/>
      <c r="P868" s="1372"/>
      <c r="Q868" s="1372"/>
      <c r="R868" s="1372"/>
      <c r="S868" s="1372"/>
      <c r="T868" s="1372"/>
      <c r="U868" s="1372"/>
      <c r="V868" s="1372"/>
      <c r="W868" s="1372"/>
      <c r="X868" s="1372"/>
      <c r="Y868" s="1372"/>
      <c r="Z868" s="1372"/>
    </row>
    <row r="869" spans="1:26" ht="15.75" customHeight="1" x14ac:dyDescent="0.25">
      <c r="A869" s="1371"/>
      <c r="B869" s="1371"/>
      <c r="C869" s="1371"/>
      <c r="D869" s="1371"/>
      <c r="E869" s="1371"/>
      <c r="F869" s="1371"/>
      <c r="G869" s="1371"/>
      <c r="H869" s="1371"/>
      <c r="I869" s="1372"/>
      <c r="J869" s="1372"/>
      <c r="K869" s="1372"/>
      <c r="L869" s="1372"/>
      <c r="M869" s="1372"/>
      <c r="N869" s="1372"/>
      <c r="O869" s="1372"/>
      <c r="P869" s="1372"/>
      <c r="Q869" s="1372"/>
      <c r="R869" s="1372"/>
      <c r="S869" s="1372"/>
      <c r="T869" s="1372"/>
      <c r="U869" s="1372"/>
      <c r="V869" s="1372"/>
      <c r="W869" s="1372"/>
      <c r="X869" s="1372"/>
      <c r="Y869" s="1372"/>
      <c r="Z869" s="1372"/>
    </row>
    <row r="870" spans="1:26" ht="15.75" customHeight="1" x14ac:dyDescent="0.25">
      <c r="A870" s="1371"/>
      <c r="B870" s="1371"/>
      <c r="C870" s="1371"/>
      <c r="D870" s="1371"/>
      <c r="E870" s="1371"/>
      <c r="F870" s="1371"/>
      <c r="G870" s="1371"/>
      <c r="H870" s="1371"/>
      <c r="I870" s="1372"/>
      <c r="J870" s="1372"/>
      <c r="K870" s="1372"/>
      <c r="L870" s="1372"/>
      <c r="M870" s="1372"/>
      <c r="N870" s="1372"/>
      <c r="O870" s="1372"/>
      <c r="P870" s="1372"/>
      <c r="Q870" s="1372"/>
      <c r="R870" s="1372"/>
      <c r="S870" s="1372"/>
      <c r="T870" s="1372"/>
      <c r="U870" s="1372"/>
      <c r="V870" s="1372"/>
      <c r="W870" s="1372"/>
      <c r="X870" s="1372"/>
      <c r="Y870" s="1372"/>
      <c r="Z870" s="1372"/>
    </row>
    <row r="871" spans="1:26" ht="15.75" customHeight="1" x14ac:dyDescent="0.25">
      <c r="A871" s="1371"/>
      <c r="B871" s="1371"/>
      <c r="C871" s="1371"/>
      <c r="D871" s="1371"/>
      <c r="E871" s="1371"/>
      <c r="F871" s="1371"/>
      <c r="G871" s="1371"/>
      <c r="H871" s="1371"/>
      <c r="I871" s="1372"/>
      <c r="J871" s="1372"/>
      <c r="K871" s="1372"/>
      <c r="L871" s="1372"/>
      <c r="M871" s="1372"/>
      <c r="N871" s="1372"/>
      <c r="O871" s="1372"/>
      <c r="P871" s="1372"/>
      <c r="Q871" s="1372"/>
      <c r="R871" s="1372"/>
      <c r="S871" s="1372"/>
      <c r="T871" s="1372"/>
      <c r="U871" s="1372"/>
      <c r="V871" s="1372"/>
      <c r="W871" s="1372"/>
      <c r="X871" s="1372"/>
      <c r="Y871" s="1372"/>
      <c r="Z871" s="1372"/>
    </row>
    <row r="872" spans="1:26" ht="15.75" customHeight="1" x14ac:dyDescent="0.25">
      <c r="A872" s="1371"/>
      <c r="B872" s="1371"/>
      <c r="C872" s="1371"/>
      <c r="D872" s="1371"/>
      <c r="E872" s="1371"/>
      <c r="F872" s="1371"/>
      <c r="G872" s="1371"/>
      <c r="H872" s="1371"/>
      <c r="I872" s="1372"/>
      <c r="J872" s="1372"/>
      <c r="K872" s="1372"/>
      <c r="L872" s="1372"/>
      <c r="M872" s="1372"/>
      <c r="N872" s="1372"/>
      <c r="O872" s="1372"/>
      <c r="P872" s="1372"/>
      <c r="Q872" s="1372"/>
      <c r="R872" s="1372"/>
      <c r="S872" s="1372"/>
      <c r="T872" s="1372"/>
      <c r="U872" s="1372"/>
      <c r="V872" s="1372"/>
      <c r="W872" s="1372"/>
      <c r="X872" s="1372"/>
      <c r="Y872" s="1372"/>
      <c r="Z872" s="1372"/>
    </row>
    <row r="873" spans="1:26" ht="15.75" customHeight="1" x14ac:dyDescent="0.25">
      <c r="A873" s="1371"/>
      <c r="B873" s="1371"/>
      <c r="C873" s="1371"/>
      <c r="D873" s="1371"/>
      <c r="E873" s="1371"/>
      <c r="F873" s="1371"/>
      <c r="G873" s="1371"/>
      <c r="H873" s="1371"/>
      <c r="I873" s="1372"/>
      <c r="J873" s="1372"/>
      <c r="K873" s="1372"/>
      <c r="L873" s="1372"/>
      <c r="M873" s="1372"/>
      <c r="N873" s="1372"/>
      <c r="O873" s="1372"/>
      <c r="P873" s="1372"/>
      <c r="Q873" s="1372"/>
      <c r="R873" s="1372"/>
      <c r="S873" s="1372"/>
      <c r="T873" s="1372"/>
      <c r="U873" s="1372"/>
      <c r="V873" s="1372"/>
      <c r="W873" s="1372"/>
      <c r="X873" s="1372"/>
      <c r="Y873" s="1372"/>
      <c r="Z873" s="1372"/>
    </row>
    <row r="874" spans="1:26" ht="15.75" customHeight="1" x14ac:dyDescent="0.25">
      <c r="A874" s="1371"/>
      <c r="B874" s="1371"/>
      <c r="C874" s="1371"/>
      <c r="D874" s="1371"/>
      <c r="E874" s="1371"/>
      <c r="F874" s="1371"/>
      <c r="G874" s="1371"/>
      <c r="H874" s="1371"/>
      <c r="I874" s="1372"/>
      <c r="J874" s="1372"/>
      <c r="K874" s="1372"/>
      <c r="L874" s="1372"/>
      <c r="M874" s="1372"/>
      <c r="N874" s="1372"/>
      <c r="O874" s="1372"/>
      <c r="P874" s="1372"/>
      <c r="Q874" s="1372"/>
      <c r="R874" s="1372"/>
      <c r="S874" s="1372"/>
      <c r="T874" s="1372"/>
      <c r="U874" s="1372"/>
      <c r="V874" s="1372"/>
      <c r="W874" s="1372"/>
      <c r="X874" s="1372"/>
      <c r="Y874" s="1372"/>
      <c r="Z874" s="1372"/>
    </row>
    <row r="875" spans="1:26" ht="15.75" customHeight="1" x14ac:dyDescent="0.25">
      <c r="A875" s="1371"/>
      <c r="B875" s="1371"/>
      <c r="C875" s="1371"/>
      <c r="D875" s="1371"/>
      <c r="E875" s="1371"/>
      <c r="F875" s="1371"/>
      <c r="G875" s="1371"/>
      <c r="H875" s="1371"/>
      <c r="I875" s="1372"/>
      <c r="J875" s="1372"/>
      <c r="K875" s="1372"/>
      <c r="L875" s="1372"/>
      <c r="M875" s="1372"/>
      <c r="N875" s="1372"/>
      <c r="O875" s="1372"/>
      <c r="P875" s="1372"/>
      <c r="Q875" s="1372"/>
      <c r="R875" s="1372"/>
      <c r="S875" s="1372"/>
      <c r="T875" s="1372"/>
      <c r="U875" s="1372"/>
      <c r="V875" s="1372"/>
      <c r="W875" s="1372"/>
      <c r="X875" s="1372"/>
      <c r="Y875" s="1372"/>
      <c r="Z875" s="1372"/>
    </row>
    <row r="876" spans="1:26" ht="15.75" customHeight="1" x14ac:dyDescent="0.25">
      <c r="A876" s="1371"/>
      <c r="B876" s="1371"/>
      <c r="C876" s="1371"/>
      <c r="D876" s="1371"/>
      <c r="E876" s="1371"/>
      <c r="F876" s="1371"/>
      <c r="G876" s="1371"/>
      <c r="H876" s="1371"/>
      <c r="I876" s="1372"/>
      <c r="J876" s="1372"/>
      <c r="K876" s="1372"/>
      <c r="L876" s="1372"/>
      <c r="M876" s="1372"/>
      <c r="N876" s="1372"/>
      <c r="O876" s="1372"/>
      <c r="P876" s="1372"/>
      <c r="Q876" s="1372"/>
      <c r="R876" s="1372"/>
      <c r="S876" s="1372"/>
      <c r="T876" s="1372"/>
      <c r="U876" s="1372"/>
      <c r="V876" s="1372"/>
      <c r="W876" s="1372"/>
      <c r="X876" s="1372"/>
      <c r="Y876" s="1372"/>
      <c r="Z876" s="1372"/>
    </row>
    <row r="877" spans="1:26" ht="15.75" customHeight="1" x14ac:dyDescent="0.25">
      <c r="A877" s="1371"/>
      <c r="B877" s="1371"/>
      <c r="C877" s="1371"/>
      <c r="D877" s="1371"/>
      <c r="E877" s="1371"/>
      <c r="F877" s="1371"/>
      <c r="G877" s="1371"/>
      <c r="H877" s="1371"/>
      <c r="I877" s="1372"/>
      <c r="J877" s="1372"/>
      <c r="K877" s="1372"/>
      <c r="L877" s="1372"/>
      <c r="M877" s="1372"/>
      <c r="N877" s="1372"/>
      <c r="O877" s="1372"/>
      <c r="P877" s="1372"/>
      <c r="Q877" s="1372"/>
      <c r="R877" s="1372"/>
      <c r="S877" s="1372"/>
      <c r="T877" s="1372"/>
      <c r="U877" s="1372"/>
      <c r="V877" s="1372"/>
      <c r="W877" s="1372"/>
      <c r="X877" s="1372"/>
      <c r="Y877" s="1372"/>
      <c r="Z877" s="1372"/>
    </row>
    <row r="878" spans="1:26" ht="15.75" customHeight="1" x14ac:dyDescent="0.25">
      <c r="A878" s="1371"/>
      <c r="B878" s="1371"/>
      <c r="C878" s="1371"/>
      <c r="D878" s="1371"/>
      <c r="E878" s="1371"/>
      <c r="F878" s="1371"/>
      <c r="G878" s="1371"/>
      <c r="H878" s="1371"/>
      <c r="I878" s="1372"/>
      <c r="J878" s="1372"/>
      <c r="K878" s="1372"/>
      <c r="L878" s="1372"/>
      <c r="M878" s="1372"/>
      <c r="N878" s="1372"/>
      <c r="O878" s="1372"/>
      <c r="P878" s="1372"/>
      <c r="Q878" s="1372"/>
      <c r="R878" s="1372"/>
      <c r="S878" s="1372"/>
      <c r="T878" s="1372"/>
      <c r="U878" s="1372"/>
      <c r="V878" s="1372"/>
      <c r="W878" s="1372"/>
      <c r="X878" s="1372"/>
      <c r="Y878" s="1372"/>
      <c r="Z878" s="1372"/>
    </row>
    <row r="879" spans="1:26" ht="15.75" customHeight="1" x14ac:dyDescent="0.25">
      <c r="A879" s="1371"/>
      <c r="B879" s="1371"/>
      <c r="C879" s="1371"/>
      <c r="D879" s="1371"/>
      <c r="E879" s="1371"/>
      <c r="F879" s="1371"/>
      <c r="G879" s="1371"/>
      <c r="H879" s="1371"/>
      <c r="I879" s="1372"/>
      <c r="J879" s="1372"/>
      <c r="K879" s="1372"/>
      <c r="L879" s="1372"/>
      <c r="M879" s="1372"/>
      <c r="N879" s="1372"/>
      <c r="O879" s="1372"/>
      <c r="P879" s="1372"/>
      <c r="Q879" s="1372"/>
      <c r="R879" s="1372"/>
      <c r="S879" s="1372"/>
      <c r="T879" s="1372"/>
      <c r="U879" s="1372"/>
      <c r="V879" s="1372"/>
      <c r="W879" s="1372"/>
      <c r="X879" s="1372"/>
      <c r="Y879" s="1372"/>
      <c r="Z879" s="1372"/>
    </row>
    <row r="880" spans="1:26" ht="15.75" customHeight="1" x14ac:dyDescent="0.25">
      <c r="A880" s="1371"/>
      <c r="B880" s="1371"/>
      <c r="C880" s="1371"/>
      <c r="D880" s="1371"/>
      <c r="E880" s="1371"/>
      <c r="F880" s="1371"/>
      <c r="G880" s="1371"/>
      <c r="H880" s="1371"/>
      <c r="I880" s="1372"/>
      <c r="J880" s="1372"/>
      <c r="K880" s="1372"/>
      <c r="L880" s="1372"/>
      <c r="M880" s="1372"/>
      <c r="N880" s="1372"/>
      <c r="O880" s="1372"/>
      <c r="P880" s="1372"/>
      <c r="Q880" s="1372"/>
      <c r="R880" s="1372"/>
      <c r="S880" s="1372"/>
      <c r="T880" s="1372"/>
      <c r="U880" s="1372"/>
      <c r="V880" s="1372"/>
      <c r="W880" s="1372"/>
      <c r="X880" s="1372"/>
      <c r="Y880" s="1372"/>
      <c r="Z880" s="1372"/>
    </row>
    <row r="881" spans="1:26" ht="15.75" customHeight="1" x14ac:dyDescent="0.25">
      <c r="A881" s="1371"/>
      <c r="B881" s="1371"/>
      <c r="C881" s="1371"/>
      <c r="D881" s="1371"/>
      <c r="E881" s="1371"/>
      <c r="F881" s="1371"/>
      <c r="G881" s="1371"/>
      <c r="H881" s="1371"/>
      <c r="I881" s="1372"/>
      <c r="J881" s="1372"/>
      <c r="K881" s="1372"/>
      <c r="L881" s="1372"/>
      <c r="M881" s="1372"/>
      <c r="N881" s="1372"/>
      <c r="O881" s="1372"/>
      <c r="P881" s="1372"/>
      <c r="Q881" s="1372"/>
      <c r="R881" s="1372"/>
      <c r="S881" s="1372"/>
      <c r="T881" s="1372"/>
      <c r="U881" s="1372"/>
      <c r="V881" s="1372"/>
      <c r="W881" s="1372"/>
      <c r="X881" s="1372"/>
      <c r="Y881" s="1372"/>
      <c r="Z881" s="1372"/>
    </row>
    <row r="882" spans="1:26" ht="15.75" customHeight="1" x14ac:dyDescent="0.25">
      <c r="A882" s="1371"/>
      <c r="B882" s="1371"/>
      <c r="C882" s="1371"/>
      <c r="D882" s="1371"/>
      <c r="E882" s="1371"/>
      <c r="F882" s="1371"/>
      <c r="G882" s="1371"/>
      <c r="H882" s="1371"/>
      <c r="I882" s="1372"/>
      <c r="J882" s="1372"/>
      <c r="K882" s="1372"/>
      <c r="L882" s="1372"/>
      <c r="M882" s="1372"/>
      <c r="N882" s="1372"/>
      <c r="O882" s="1372"/>
      <c r="P882" s="1372"/>
      <c r="Q882" s="1372"/>
      <c r="R882" s="1372"/>
      <c r="S882" s="1372"/>
      <c r="T882" s="1372"/>
      <c r="U882" s="1372"/>
      <c r="V882" s="1372"/>
      <c r="W882" s="1372"/>
      <c r="X882" s="1372"/>
      <c r="Y882" s="1372"/>
      <c r="Z882" s="1372"/>
    </row>
    <row r="883" spans="1:26" ht="15.75" customHeight="1" x14ac:dyDescent="0.25">
      <c r="A883" s="1371"/>
      <c r="B883" s="1371"/>
      <c r="C883" s="1371"/>
      <c r="D883" s="1371"/>
      <c r="E883" s="1371"/>
      <c r="F883" s="1371"/>
      <c r="G883" s="1371"/>
      <c r="H883" s="1371"/>
      <c r="I883" s="1372"/>
      <c r="J883" s="1372"/>
      <c r="K883" s="1372"/>
      <c r="L883" s="1372"/>
      <c r="M883" s="1372"/>
      <c r="N883" s="1372"/>
      <c r="O883" s="1372"/>
      <c r="P883" s="1372"/>
      <c r="Q883" s="1372"/>
      <c r="R883" s="1372"/>
      <c r="S883" s="1372"/>
      <c r="T883" s="1372"/>
      <c r="U883" s="1372"/>
      <c r="V883" s="1372"/>
      <c r="W883" s="1372"/>
      <c r="X883" s="1372"/>
      <c r="Y883" s="1372"/>
      <c r="Z883" s="1372"/>
    </row>
    <row r="884" spans="1:26" ht="15.75" customHeight="1" x14ac:dyDescent="0.25">
      <c r="A884" s="1371"/>
      <c r="B884" s="1371"/>
      <c r="C884" s="1371"/>
      <c r="D884" s="1371"/>
      <c r="E884" s="1371"/>
      <c r="F884" s="1371"/>
      <c r="G884" s="1371"/>
      <c r="H884" s="1371"/>
      <c r="I884" s="1372"/>
      <c r="J884" s="1372"/>
      <c r="K884" s="1372"/>
      <c r="L884" s="1372"/>
      <c r="M884" s="1372"/>
      <c r="N884" s="1372"/>
      <c r="O884" s="1372"/>
      <c r="P884" s="1372"/>
      <c r="Q884" s="1372"/>
      <c r="R884" s="1372"/>
      <c r="S884" s="1372"/>
      <c r="T884" s="1372"/>
      <c r="U884" s="1372"/>
      <c r="V884" s="1372"/>
      <c r="W884" s="1372"/>
      <c r="X884" s="1372"/>
      <c r="Y884" s="1372"/>
      <c r="Z884" s="1372"/>
    </row>
    <row r="885" spans="1:26" ht="15.75" customHeight="1" x14ac:dyDescent="0.25">
      <c r="A885" s="1371"/>
      <c r="B885" s="1371"/>
      <c r="C885" s="1371"/>
      <c r="D885" s="1371"/>
      <c r="E885" s="1371"/>
      <c r="F885" s="1371"/>
      <c r="G885" s="1371"/>
      <c r="H885" s="1371"/>
      <c r="I885" s="1372"/>
      <c r="J885" s="1372"/>
      <c r="K885" s="1372"/>
      <c r="L885" s="1372"/>
      <c r="M885" s="1372"/>
      <c r="N885" s="1372"/>
      <c r="O885" s="1372"/>
      <c r="P885" s="1372"/>
      <c r="Q885" s="1372"/>
      <c r="R885" s="1372"/>
      <c r="S885" s="1372"/>
      <c r="T885" s="1372"/>
      <c r="U885" s="1372"/>
      <c r="V885" s="1372"/>
      <c r="W885" s="1372"/>
      <c r="X885" s="1372"/>
      <c r="Y885" s="1372"/>
      <c r="Z885" s="1372"/>
    </row>
    <row r="886" spans="1:26" ht="15.75" customHeight="1" x14ac:dyDescent="0.25">
      <c r="A886" s="1371"/>
      <c r="B886" s="1371"/>
      <c r="C886" s="1371"/>
      <c r="D886" s="1371"/>
      <c r="E886" s="1371"/>
      <c r="F886" s="1371"/>
      <c r="G886" s="1371"/>
      <c r="H886" s="1371"/>
      <c r="I886" s="1372"/>
      <c r="J886" s="1372"/>
      <c r="K886" s="1372"/>
      <c r="L886" s="1372"/>
      <c r="M886" s="1372"/>
      <c r="N886" s="1372"/>
      <c r="O886" s="1372"/>
      <c r="P886" s="1372"/>
      <c r="Q886" s="1372"/>
      <c r="R886" s="1372"/>
      <c r="S886" s="1372"/>
      <c r="T886" s="1372"/>
      <c r="U886" s="1372"/>
      <c r="V886" s="1372"/>
      <c r="W886" s="1372"/>
      <c r="X886" s="1372"/>
      <c r="Y886" s="1372"/>
      <c r="Z886" s="1372"/>
    </row>
    <row r="887" spans="1:26" ht="15.75" customHeight="1" x14ac:dyDescent="0.25">
      <c r="A887" s="1371"/>
      <c r="B887" s="1371"/>
      <c r="C887" s="1371"/>
      <c r="D887" s="1371"/>
      <c r="E887" s="1371"/>
      <c r="F887" s="1371"/>
      <c r="G887" s="1371"/>
      <c r="H887" s="1371"/>
      <c r="I887" s="1372"/>
      <c r="J887" s="1372"/>
      <c r="K887" s="1372"/>
      <c r="L887" s="1372"/>
      <c r="M887" s="1372"/>
      <c r="N887" s="1372"/>
      <c r="O887" s="1372"/>
      <c r="P887" s="1372"/>
      <c r="Q887" s="1372"/>
      <c r="R887" s="1372"/>
      <c r="S887" s="1372"/>
      <c r="T887" s="1372"/>
      <c r="U887" s="1372"/>
      <c r="V887" s="1372"/>
      <c r="W887" s="1372"/>
      <c r="X887" s="1372"/>
      <c r="Y887" s="1372"/>
      <c r="Z887" s="1372"/>
    </row>
    <row r="888" spans="1:26" ht="15.75" customHeight="1" x14ac:dyDescent="0.25">
      <c r="A888" s="1371"/>
      <c r="B888" s="1371"/>
      <c r="C888" s="1371"/>
      <c r="D888" s="1371"/>
      <c r="E888" s="1371"/>
      <c r="F888" s="1371"/>
      <c r="G888" s="1371"/>
      <c r="H888" s="1371"/>
      <c r="I888" s="1372"/>
      <c r="J888" s="1372"/>
      <c r="K888" s="1372"/>
      <c r="L888" s="1372"/>
      <c r="M888" s="1372"/>
      <c r="N888" s="1372"/>
      <c r="O888" s="1372"/>
      <c r="P888" s="1372"/>
      <c r="Q888" s="1372"/>
      <c r="R888" s="1372"/>
      <c r="S888" s="1372"/>
      <c r="T888" s="1372"/>
      <c r="U888" s="1372"/>
      <c r="V888" s="1372"/>
      <c r="W888" s="1372"/>
      <c r="X888" s="1372"/>
      <c r="Y888" s="1372"/>
      <c r="Z888" s="1372"/>
    </row>
    <row r="889" spans="1:26" ht="15.75" customHeight="1" x14ac:dyDescent="0.25">
      <c r="A889" s="1371"/>
      <c r="B889" s="1371"/>
      <c r="C889" s="1371"/>
      <c r="D889" s="1371"/>
      <c r="E889" s="1371"/>
      <c r="F889" s="1371"/>
      <c r="G889" s="1371"/>
      <c r="H889" s="1371"/>
      <c r="I889" s="1372"/>
      <c r="J889" s="1372"/>
      <c r="K889" s="1372"/>
      <c r="L889" s="1372"/>
      <c r="M889" s="1372"/>
      <c r="N889" s="1372"/>
      <c r="O889" s="1372"/>
      <c r="P889" s="1372"/>
      <c r="Q889" s="1372"/>
      <c r="R889" s="1372"/>
      <c r="S889" s="1372"/>
      <c r="T889" s="1372"/>
      <c r="U889" s="1372"/>
      <c r="V889" s="1372"/>
      <c r="W889" s="1372"/>
      <c r="X889" s="1372"/>
      <c r="Y889" s="1372"/>
      <c r="Z889" s="1372"/>
    </row>
    <row r="890" spans="1:26" ht="15.75" customHeight="1" x14ac:dyDescent="0.25">
      <c r="A890" s="1371"/>
      <c r="B890" s="1371"/>
      <c r="C890" s="1371"/>
      <c r="D890" s="1371"/>
      <c r="E890" s="1371"/>
      <c r="F890" s="1371"/>
      <c r="G890" s="1371"/>
      <c r="H890" s="1371"/>
      <c r="I890" s="1372"/>
      <c r="J890" s="1372"/>
      <c r="K890" s="1372"/>
      <c r="L890" s="1372"/>
      <c r="M890" s="1372"/>
      <c r="N890" s="1372"/>
      <c r="O890" s="1372"/>
      <c r="P890" s="1372"/>
      <c r="Q890" s="1372"/>
      <c r="R890" s="1372"/>
      <c r="S890" s="1372"/>
      <c r="T890" s="1372"/>
      <c r="U890" s="1372"/>
      <c r="V890" s="1372"/>
      <c r="W890" s="1372"/>
      <c r="X890" s="1372"/>
      <c r="Y890" s="1372"/>
      <c r="Z890" s="1372"/>
    </row>
    <row r="891" spans="1:26" ht="15.75" customHeight="1" x14ac:dyDescent="0.25">
      <c r="A891" s="1371"/>
      <c r="B891" s="1371"/>
      <c r="C891" s="1371"/>
      <c r="D891" s="1371"/>
      <c r="E891" s="1371"/>
      <c r="F891" s="1371"/>
      <c r="G891" s="1371"/>
      <c r="H891" s="1371"/>
      <c r="I891" s="1372"/>
      <c r="J891" s="1372"/>
      <c r="K891" s="1372"/>
      <c r="L891" s="1372"/>
      <c r="M891" s="1372"/>
      <c r="N891" s="1372"/>
      <c r="O891" s="1372"/>
      <c r="P891" s="1372"/>
      <c r="Q891" s="1372"/>
      <c r="R891" s="1372"/>
      <c r="S891" s="1372"/>
      <c r="T891" s="1372"/>
      <c r="U891" s="1372"/>
      <c r="V891" s="1372"/>
      <c r="W891" s="1372"/>
      <c r="X891" s="1372"/>
      <c r="Y891" s="1372"/>
      <c r="Z891" s="1372"/>
    </row>
    <row r="892" spans="1:26" ht="15.75" customHeight="1" x14ac:dyDescent="0.25">
      <c r="A892" s="1371"/>
      <c r="B892" s="1371"/>
      <c r="C892" s="1371"/>
      <c r="D892" s="1371"/>
      <c r="E892" s="1371"/>
      <c r="F892" s="1371"/>
      <c r="G892" s="1371"/>
      <c r="H892" s="1371"/>
      <c r="I892" s="1372"/>
      <c r="J892" s="1372"/>
      <c r="K892" s="1372"/>
      <c r="L892" s="1372"/>
      <c r="M892" s="1372"/>
      <c r="N892" s="1372"/>
      <c r="O892" s="1372"/>
      <c r="P892" s="1372"/>
      <c r="Q892" s="1372"/>
      <c r="R892" s="1372"/>
      <c r="S892" s="1372"/>
      <c r="T892" s="1372"/>
      <c r="U892" s="1372"/>
      <c r="V892" s="1372"/>
      <c r="W892" s="1372"/>
      <c r="X892" s="1372"/>
      <c r="Y892" s="1372"/>
      <c r="Z892" s="1372"/>
    </row>
    <row r="893" spans="1:26" ht="15.75" customHeight="1" x14ac:dyDescent="0.25">
      <c r="A893" s="1371"/>
      <c r="B893" s="1371"/>
      <c r="C893" s="1371"/>
      <c r="D893" s="1371"/>
      <c r="E893" s="1371"/>
      <c r="F893" s="1371"/>
      <c r="G893" s="1371"/>
      <c r="H893" s="1371"/>
      <c r="I893" s="1372"/>
      <c r="J893" s="1372"/>
      <c r="K893" s="1372"/>
      <c r="L893" s="1372"/>
      <c r="M893" s="1372"/>
      <c r="N893" s="1372"/>
      <c r="O893" s="1372"/>
      <c r="P893" s="1372"/>
      <c r="Q893" s="1372"/>
      <c r="R893" s="1372"/>
      <c r="S893" s="1372"/>
      <c r="T893" s="1372"/>
      <c r="U893" s="1372"/>
      <c r="V893" s="1372"/>
      <c r="W893" s="1372"/>
      <c r="X893" s="1372"/>
      <c r="Y893" s="1372"/>
      <c r="Z893" s="1372"/>
    </row>
    <row r="894" spans="1:26" ht="15.75" customHeight="1" x14ac:dyDescent="0.25">
      <c r="A894" s="1371"/>
      <c r="B894" s="1371"/>
      <c r="C894" s="1371"/>
      <c r="D894" s="1371"/>
      <c r="E894" s="1371"/>
      <c r="F894" s="1371"/>
      <c r="G894" s="1371"/>
      <c r="H894" s="1371"/>
      <c r="I894" s="1372"/>
      <c r="J894" s="1372"/>
      <c r="K894" s="1372"/>
      <c r="L894" s="1372"/>
      <c r="M894" s="1372"/>
      <c r="N894" s="1372"/>
      <c r="O894" s="1372"/>
      <c r="P894" s="1372"/>
      <c r="Q894" s="1372"/>
      <c r="R894" s="1372"/>
      <c r="S894" s="1372"/>
      <c r="T894" s="1372"/>
      <c r="U894" s="1372"/>
      <c r="V894" s="1372"/>
      <c r="W894" s="1372"/>
      <c r="X894" s="1372"/>
      <c r="Y894" s="1372"/>
      <c r="Z894" s="1372"/>
    </row>
    <row r="895" spans="1:26" ht="15.75" customHeight="1" x14ac:dyDescent="0.25">
      <c r="A895" s="1371"/>
      <c r="B895" s="1371"/>
      <c r="C895" s="1371"/>
      <c r="D895" s="1371"/>
      <c r="E895" s="1371"/>
      <c r="F895" s="1371"/>
      <c r="G895" s="1371"/>
      <c r="H895" s="1371"/>
      <c r="I895" s="1372"/>
      <c r="J895" s="1372"/>
      <c r="K895" s="1372"/>
      <c r="L895" s="1372"/>
      <c r="M895" s="1372"/>
      <c r="N895" s="1372"/>
      <c r="O895" s="1372"/>
      <c r="P895" s="1372"/>
      <c r="Q895" s="1372"/>
      <c r="R895" s="1372"/>
      <c r="S895" s="1372"/>
      <c r="T895" s="1372"/>
      <c r="U895" s="1372"/>
      <c r="V895" s="1372"/>
      <c r="W895" s="1372"/>
      <c r="X895" s="1372"/>
      <c r="Y895" s="1372"/>
      <c r="Z895" s="1372"/>
    </row>
    <row r="896" spans="1:26" ht="15.75" customHeight="1" x14ac:dyDescent="0.25">
      <c r="A896" s="1371"/>
      <c r="B896" s="1371"/>
      <c r="C896" s="1371"/>
      <c r="D896" s="1371"/>
      <c r="E896" s="1371"/>
      <c r="F896" s="1371"/>
      <c r="G896" s="1371"/>
      <c r="H896" s="1371"/>
      <c r="I896" s="1372"/>
      <c r="J896" s="1372"/>
      <c r="K896" s="1372"/>
      <c r="L896" s="1372"/>
      <c r="M896" s="1372"/>
      <c r="N896" s="1372"/>
      <c r="O896" s="1372"/>
      <c r="P896" s="1372"/>
      <c r="Q896" s="1372"/>
      <c r="R896" s="1372"/>
      <c r="S896" s="1372"/>
      <c r="T896" s="1372"/>
      <c r="U896" s="1372"/>
      <c r="V896" s="1372"/>
      <c r="W896" s="1372"/>
      <c r="X896" s="1372"/>
      <c r="Y896" s="1372"/>
      <c r="Z896" s="1372"/>
    </row>
    <row r="897" spans="1:26" ht="15.75" customHeight="1" x14ac:dyDescent="0.25">
      <c r="A897" s="1371"/>
      <c r="B897" s="1371"/>
      <c r="C897" s="1371"/>
      <c r="D897" s="1371"/>
      <c r="E897" s="1371"/>
      <c r="F897" s="1371"/>
      <c r="G897" s="1371"/>
      <c r="H897" s="1371"/>
      <c r="I897" s="1372"/>
      <c r="J897" s="1372"/>
      <c r="K897" s="1372"/>
      <c r="L897" s="1372"/>
      <c r="M897" s="1372"/>
      <c r="N897" s="1372"/>
      <c r="O897" s="1372"/>
      <c r="P897" s="1372"/>
      <c r="Q897" s="1372"/>
      <c r="R897" s="1372"/>
      <c r="S897" s="1372"/>
      <c r="T897" s="1372"/>
      <c r="U897" s="1372"/>
      <c r="V897" s="1372"/>
      <c r="W897" s="1372"/>
      <c r="X897" s="1372"/>
      <c r="Y897" s="1372"/>
      <c r="Z897" s="1372"/>
    </row>
    <row r="898" spans="1:26" ht="15.75" customHeight="1" x14ac:dyDescent="0.25">
      <c r="A898" s="1371"/>
      <c r="B898" s="1371"/>
      <c r="C898" s="1371"/>
      <c r="D898" s="1371"/>
      <c r="E898" s="1371"/>
      <c r="F898" s="1371"/>
      <c r="G898" s="1371"/>
      <c r="H898" s="1371"/>
      <c r="I898" s="1372"/>
      <c r="J898" s="1372"/>
      <c r="K898" s="1372"/>
      <c r="L898" s="1372"/>
      <c r="M898" s="1372"/>
      <c r="N898" s="1372"/>
      <c r="O898" s="1372"/>
      <c r="P898" s="1372"/>
      <c r="Q898" s="1372"/>
      <c r="R898" s="1372"/>
      <c r="S898" s="1372"/>
      <c r="T898" s="1372"/>
      <c r="U898" s="1372"/>
      <c r="V898" s="1372"/>
      <c r="W898" s="1372"/>
      <c r="X898" s="1372"/>
      <c r="Y898" s="1372"/>
      <c r="Z898" s="1372"/>
    </row>
    <row r="899" spans="1:26" ht="15.75" customHeight="1" x14ac:dyDescent="0.25">
      <c r="A899" s="1371"/>
      <c r="B899" s="1371"/>
      <c r="C899" s="1371"/>
      <c r="D899" s="1371"/>
      <c r="E899" s="1371"/>
      <c r="F899" s="1371"/>
      <c r="G899" s="1371"/>
      <c r="H899" s="1371"/>
      <c r="I899" s="1372"/>
      <c r="J899" s="1372"/>
      <c r="K899" s="1372"/>
      <c r="L899" s="1372"/>
      <c r="M899" s="1372"/>
      <c r="N899" s="1372"/>
      <c r="O899" s="1372"/>
      <c r="P899" s="1372"/>
      <c r="Q899" s="1372"/>
      <c r="R899" s="1372"/>
      <c r="S899" s="1372"/>
      <c r="T899" s="1372"/>
      <c r="U899" s="1372"/>
      <c r="V899" s="1372"/>
      <c r="W899" s="1372"/>
      <c r="X899" s="1372"/>
      <c r="Y899" s="1372"/>
      <c r="Z899" s="1372"/>
    </row>
    <row r="900" spans="1:26" ht="15.75" customHeight="1" x14ac:dyDescent="0.25">
      <c r="A900" s="1371"/>
      <c r="B900" s="1371"/>
      <c r="C900" s="1371"/>
      <c r="D900" s="1371"/>
      <c r="E900" s="1371"/>
      <c r="F900" s="1371"/>
      <c r="G900" s="1371"/>
      <c r="H900" s="1371"/>
      <c r="I900" s="1372"/>
      <c r="J900" s="1372"/>
      <c r="K900" s="1372"/>
      <c r="L900" s="1372"/>
      <c r="M900" s="1372"/>
      <c r="N900" s="1372"/>
      <c r="O900" s="1372"/>
      <c r="P900" s="1372"/>
      <c r="Q900" s="1372"/>
      <c r="R900" s="1372"/>
      <c r="S900" s="1372"/>
      <c r="T900" s="1372"/>
      <c r="U900" s="1372"/>
      <c r="V900" s="1372"/>
      <c r="W900" s="1372"/>
      <c r="X900" s="1372"/>
      <c r="Y900" s="1372"/>
      <c r="Z900" s="1372"/>
    </row>
    <row r="901" spans="1:26" ht="15.75" customHeight="1" x14ac:dyDescent="0.25">
      <c r="A901" s="1371"/>
      <c r="B901" s="1371"/>
      <c r="C901" s="1371"/>
      <c r="D901" s="1371"/>
      <c r="E901" s="1371"/>
      <c r="F901" s="1371"/>
      <c r="G901" s="1371"/>
      <c r="H901" s="1371"/>
      <c r="I901" s="1372"/>
      <c r="J901" s="1372"/>
      <c r="K901" s="1372"/>
      <c r="L901" s="1372"/>
      <c r="M901" s="1372"/>
      <c r="N901" s="1372"/>
      <c r="O901" s="1372"/>
      <c r="P901" s="1372"/>
      <c r="Q901" s="1372"/>
      <c r="R901" s="1372"/>
      <c r="S901" s="1372"/>
      <c r="T901" s="1372"/>
      <c r="U901" s="1372"/>
      <c r="V901" s="1372"/>
      <c r="W901" s="1372"/>
      <c r="X901" s="1372"/>
      <c r="Y901" s="1372"/>
      <c r="Z901" s="1372"/>
    </row>
    <row r="902" spans="1:26" ht="15.75" customHeight="1" x14ac:dyDescent="0.25">
      <c r="A902" s="1371"/>
      <c r="B902" s="1371"/>
      <c r="C902" s="1371"/>
      <c r="D902" s="1371"/>
      <c r="E902" s="1371"/>
      <c r="F902" s="1371"/>
      <c r="G902" s="1371"/>
      <c r="H902" s="1371"/>
      <c r="I902" s="1372"/>
      <c r="J902" s="1372"/>
      <c r="K902" s="1372"/>
      <c r="L902" s="1372"/>
      <c r="M902" s="1372"/>
      <c r="N902" s="1372"/>
      <c r="O902" s="1372"/>
      <c r="P902" s="1372"/>
      <c r="Q902" s="1372"/>
      <c r="R902" s="1372"/>
      <c r="S902" s="1372"/>
      <c r="T902" s="1372"/>
      <c r="U902" s="1372"/>
      <c r="V902" s="1372"/>
      <c r="W902" s="1372"/>
      <c r="X902" s="1372"/>
      <c r="Y902" s="1372"/>
      <c r="Z902" s="1372"/>
    </row>
    <row r="903" spans="1:26" ht="15.75" customHeight="1" x14ac:dyDescent="0.25">
      <c r="A903" s="1371"/>
      <c r="B903" s="1371"/>
      <c r="C903" s="1371"/>
      <c r="D903" s="1371"/>
      <c r="E903" s="1371"/>
      <c r="F903" s="1371"/>
      <c r="G903" s="1371"/>
      <c r="H903" s="1371"/>
      <c r="I903" s="1372"/>
      <c r="J903" s="1372"/>
      <c r="K903" s="1372"/>
      <c r="L903" s="1372"/>
      <c r="M903" s="1372"/>
      <c r="N903" s="1372"/>
      <c r="O903" s="1372"/>
      <c r="P903" s="1372"/>
      <c r="Q903" s="1372"/>
      <c r="R903" s="1372"/>
      <c r="S903" s="1372"/>
      <c r="T903" s="1372"/>
      <c r="U903" s="1372"/>
      <c r="V903" s="1372"/>
      <c r="W903" s="1372"/>
      <c r="X903" s="1372"/>
      <c r="Y903" s="1372"/>
      <c r="Z903" s="1372"/>
    </row>
    <row r="904" spans="1:26" ht="15.75" customHeight="1" x14ac:dyDescent="0.25">
      <c r="A904" s="1371"/>
      <c r="B904" s="1371"/>
      <c r="C904" s="1371"/>
      <c r="D904" s="1371"/>
      <c r="E904" s="1371"/>
      <c r="F904" s="1371"/>
      <c r="G904" s="1371"/>
      <c r="H904" s="1371"/>
      <c r="I904" s="1372"/>
      <c r="J904" s="1372"/>
      <c r="K904" s="1372"/>
      <c r="L904" s="1372"/>
      <c r="M904" s="1372"/>
      <c r="N904" s="1372"/>
      <c r="O904" s="1372"/>
      <c r="P904" s="1372"/>
      <c r="Q904" s="1372"/>
      <c r="R904" s="1372"/>
      <c r="S904" s="1372"/>
      <c r="T904" s="1372"/>
      <c r="U904" s="1372"/>
      <c r="V904" s="1372"/>
      <c r="W904" s="1372"/>
      <c r="X904" s="1372"/>
      <c r="Y904" s="1372"/>
      <c r="Z904" s="1372"/>
    </row>
    <row r="905" spans="1:26" ht="15.75" customHeight="1" x14ac:dyDescent="0.25">
      <c r="A905" s="1371"/>
      <c r="B905" s="1371"/>
      <c r="C905" s="1371"/>
      <c r="D905" s="1371"/>
      <c r="E905" s="1371"/>
      <c r="F905" s="1371"/>
      <c r="G905" s="1371"/>
      <c r="H905" s="1371"/>
      <c r="I905" s="1372"/>
      <c r="J905" s="1372"/>
      <c r="K905" s="1372"/>
      <c r="L905" s="1372"/>
      <c r="M905" s="1372"/>
      <c r="N905" s="1372"/>
      <c r="O905" s="1372"/>
      <c r="P905" s="1372"/>
      <c r="Q905" s="1372"/>
      <c r="R905" s="1372"/>
      <c r="S905" s="1372"/>
      <c r="T905" s="1372"/>
      <c r="U905" s="1372"/>
      <c r="V905" s="1372"/>
      <c r="W905" s="1372"/>
      <c r="X905" s="1372"/>
      <c r="Y905" s="1372"/>
      <c r="Z905" s="1372"/>
    </row>
    <row r="906" spans="1:26" ht="15.75" customHeight="1" x14ac:dyDescent="0.25">
      <c r="A906" s="1371"/>
      <c r="B906" s="1371"/>
      <c r="C906" s="1371"/>
      <c r="D906" s="1371"/>
      <c r="E906" s="1371"/>
      <c r="F906" s="1371"/>
      <c r="G906" s="1371"/>
      <c r="H906" s="1371"/>
      <c r="I906" s="1372"/>
      <c r="J906" s="1372"/>
      <c r="K906" s="1372"/>
      <c r="L906" s="1372"/>
      <c r="M906" s="1372"/>
      <c r="N906" s="1372"/>
      <c r="O906" s="1372"/>
      <c r="P906" s="1372"/>
      <c r="Q906" s="1372"/>
      <c r="R906" s="1372"/>
      <c r="S906" s="1372"/>
      <c r="T906" s="1372"/>
      <c r="U906" s="1372"/>
      <c r="V906" s="1372"/>
      <c r="W906" s="1372"/>
      <c r="X906" s="1372"/>
      <c r="Y906" s="1372"/>
      <c r="Z906" s="1372"/>
    </row>
    <row r="907" spans="1:26" ht="15.75" customHeight="1" x14ac:dyDescent="0.25">
      <c r="A907" s="1371"/>
      <c r="B907" s="1371"/>
      <c r="C907" s="1371"/>
      <c r="D907" s="1371"/>
      <c r="E907" s="1371"/>
      <c r="F907" s="1371"/>
      <c r="G907" s="1371"/>
      <c r="H907" s="1371"/>
      <c r="I907" s="1372"/>
      <c r="J907" s="1372"/>
      <c r="K907" s="1372"/>
      <c r="L907" s="1372"/>
      <c r="M907" s="1372"/>
      <c r="N907" s="1372"/>
      <c r="O907" s="1372"/>
      <c r="P907" s="1372"/>
      <c r="Q907" s="1372"/>
      <c r="R907" s="1372"/>
      <c r="S907" s="1372"/>
      <c r="T907" s="1372"/>
      <c r="U907" s="1372"/>
      <c r="V907" s="1372"/>
      <c r="W907" s="1372"/>
      <c r="X907" s="1372"/>
      <c r="Y907" s="1372"/>
      <c r="Z907" s="1372"/>
    </row>
    <row r="908" spans="1:26" ht="15.75" customHeight="1" x14ac:dyDescent="0.25">
      <c r="A908" s="1371"/>
      <c r="B908" s="1371"/>
      <c r="C908" s="1371"/>
      <c r="D908" s="1371"/>
      <c r="E908" s="1371"/>
      <c r="F908" s="1371"/>
      <c r="G908" s="1371"/>
      <c r="H908" s="1371"/>
      <c r="I908" s="1372"/>
      <c r="J908" s="1372"/>
      <c r="K908" s="1372"/>
      <c r="L908" s="1372"/>
      <c r="M908" s="1372"/>
      <c r="N908" s="1372"/>
      <c r="O908" s="1372"/>
      <c r="P908" s="1372"/>
      <c r="Q908" s="1372"/>
      <c r="R908" s="1372"/>
      <c r="S908" s="1372"/>
      <c r="T908" s="1372"/>
      <c r="U908" s="1372"/>
      <c r="V908" s="1372"/>
      <c r="W908" s="1372"/>
      <c r="X908" s="1372"/>
      <c r="Y908" s="1372"/>
      <c r="Z908" s="1372"/>
    </row>
    <row r="909" spans="1:26" ht="15.75" customHeight="1" x14ac:dyDescent="0.25">
      <c r="A909" s="1371"/>
      <c r="B909" s="1371"/>
      <c r="C909" s="1371"/>
      <c r="D909" s="1371"/>
      <c r="E909" s="1371"/>
      <c r="F909" s="1371"/>
      <c r="G909" s="1371"/>
      <c r="H909" s="1371"/>
      <c r="I909" s="1372"/>
      <c r="J909" s="1372"/>
      <c r="K909" s="1372"/>
      <c r="L909" s="1372"/>
      <c r="M909" s="1372"/>
      <c r="N909" s="1372"/>
      <c r="O909" s="1372"/>
      <c r="P909" s="1372"/>
      <c r="Q909" s="1372"/>
      <c r="R909" s="1372"/>
      <c r="S909" s="1372"/>
      <c r="T909" s="1372"/>
      <c r="U909" s="1372"/>
      <c r="V909" s="1372"/>
      <c r="W909" s="1372"/>
      <c r="X909" s="1372"/>
      <c r="Y909" s="1372"/>
      <c r="Z909" s="1372"/>
    </row>
    <row r="910" spans="1:26" ht="15.75" customHeight="1" x14ac:dyDescent="0.25">
      <c r="A910" s="1371"/>
      <c r="B910" s="1371"/>
      <c r="C910" s="1371"/>
      <c r="D910" s="1371"/>
      <c r="E910" s="1371"/>
      <c r="F910" s="1371"/>
      <c r="G910" s="1371"/>
      <c r="H910" s="1371"/>
      <c r="I910" s="1372"/>
      <c r="J910" s="1372"/>
      <c r="K910" s="1372"/>
      <c r="L910" s="1372"/>
      <c r="M910" s="1372"/>
      <c r="N910" s="1372"/>
      <c r="O910" s="1372"/>
      <c r="P910" s="1372"/>
      <c r="Q910" s="1372"/>
      <c r="R910" s="1372"/>
      <c r="S910" s="1372"/>
      <c r="T910" s="1372"/>
      <c r="U910" s="1372"/>
      <c r="V910" s="1372"/>
      <c r="W910" s="1372"/>
      <c r="X910" s="1372"/>
      <c r="Y910" s="1372"/>
      <c r="Z910" s="1372"/>
    </row>
    <row r="911" spans="1:26" ht="15.75" customHeight="1" x14ac:dyDescent="0.25">
      <c r="A911" s="1371"/>
      <c r="B911" s="1371"/>
      <c r="C911" s="1371"/>
      <c r="D911" s="1371"/>
      <c r="E911" s="1371"/>
      <c r="F911" s="1371"/>
      <c r="G911" s="1371"/>
      <c r="H911" s="1371"/>
      <c r="I911" s="1372"/>
      <c r="J911" s="1372"/>
      <c r="K911" s="1372"/>
      <c r="L911" s="1372"/>
      <c r="M911" s="1372"/>
      <c r="N911" s="1372"/>
      <c r="O911" s="1372"/>
      <c r="P911" s="1372"/>
      <c r="Q911" s="1372"/>
      <c r="R911" s="1372"/>
      <c r="S911" s="1372"/>
      <c r="T911" s="1372"/>
      <c r="U911" s="1372"/>
      <c r="V911" s="1372"/>
      <c r="W911" s="1372"/>
      <c r="X911" s="1372"/>
      <c r="Y911" s="1372"/>
      <c r="Z911" s="1372"/>
    </row>
    <row r="912" spans="1:26" ht="15.75" customHeight="1" x14ac:dyDescent="0.25">
      <c r="A912" s="1371"/>
      <c r="B912" s="1371"/>
      <c r="C912" s="1371"/>
      <c r="D912" s="1371"/>
      <c r="E912" s="1371"/>
      <c r="F912" s="1371"/>
      <c r="G912" s="1371"/>
      <c r="H912" s="1371"/>
      <c r="I912" s="1372"/>
      <c r="J912" s="1372"/>
      <c r="K912" s="1372"/>
      <c r="L912" s="1372"/>
      <c r="M912" s="1372"/>
      <c r="N912" s="1372"/>
      <c r="O912" s="1372"/>
      <c r="P912" s="1372"/>
      <c r="Q912" s="1372"/>
      <c r="R912" s="1372"/>
      <c r="S912" s="1372"/>
      <c r="T912" s="1372"/>
      <c r="U912" s="1372"/>
      <c r="V912" s="1372"/>
      <c r="W912" s="1372"/>
      <c r="X912" s="1372"/>
      <c r="Y912" s="1372"/>
      <c r="Z912" s="1372"/>
    </row>
    <row r="913" spans="1:26" ht="15.75" customHeight="1" x14ac:dyDescent="0.25">
      <c r="A913" s="1371"/>
      <c r="B913" s="1371"/>
      <c r="C913" s="1371"/>
      <c r="D913" s="1371"/>
      <c r="E913" s="1371"/>
      <c r="F913" s="1371"/>
      <c r="G913" s="1371"/>
      <c r="H913" s="1371"/>
      <c r="I913" s="1372"/>
      <c r="J913" s="1372"/>
      <c r="K913" s="1372"/>
      <c r="L913" s="1372"/>
      <c r="M913" s="1372"/>
      <c r="N913" s="1372"/>
      <c r="O913" s="1372"/>
      <c r="P913" s="1372"/>
      <c r="Q913" s="1372"/>
      <c r="R913" s="1372"/>
      <c r="S913" s="1372"/>
      <c r="T913" s="1372"/>
      <c r="U913" s="1372"/>
      <c r="V913" s="1372"/>
      <c r="W913" s="1372"/>
      <c r="X913" s="1372"/>
      <c r="Y913" s="1372"/>
      <c r="Z913" s="1372"/>
    </row>
    <row r="914" spans="1:26" ht="15.75" customHeight="1" x14ac:dyDescent="0.25">
      <c r="A914" s="1371"/>
      <c r="B914" s="1371"/>
      <c r="C914" s="1371"/>
      <c r="D914" s="1371"/>
      <c r="E914" s="1371"/>
      <c r="F914" s="1371"/>
      <c r="G914" s="1371"/>
      <c r="H914" s="1371"/>
      <c r="I914" s="1372"/>
      <c r="J914" s="1372"/>
      <c r="K914" s="1372"/>
      <c r="L914" s="1372"/>
      <c r="M914" s="1372"/>
      <c r="N914" s="1372"/>
      <c r="O914" s="1372"/>
      <c r="P914" s="1372"/>
      <c r="Q914" s="1372"/>
      <c r="R914" s="1372"/>
      <c r="S914" s="1372"/>
      <c r="T914" s="1372"/>
      <c r="U914" s="1372"/>
      <c r="V914" s="1372"/>
      <c r="W914" s="1372"/>
      <c r="X914" s="1372"/>
      <c r="Y914" s="1372"/>
      <c r="Z914" s="1372"/>
    </row>
    <row r="915" spans="1:26" ht="15.75" customHeight="1" x14ac:dyDescent="0.25">
      <c r="A915" s="1371"/>
      <c r="B915" s="1371"/>
      <c r="C915" s="1371"/>
      <c r="D915" s="1371"/>
      <c r="E915" s="1371"/>
      <c r="F915" s="1371"/>
      <c r="G915" s="1371"/>
      <c r="H915" s="1371"/>
      <c r="I915" s="1372"/>
      <c r="J915" s="1372"/>
      <c r="K915" s="1372"/>
      <c r="L915" s="1372"/>
      <c r="M915" s="1372"/>
      <c r="N915" s="1372"/>
      <c r="O915" s="1372"/>
      <c r="P915" s="1372"/>
      <c r="Q915" s="1372"/>
      <c r="R915" s="1372"/>
      <c r="S915" s="1372"/>
      <c r="T915" s="1372"/>
      <c r="U915" s="1372"/>
      <c r="V915" s="1372"/>
      <c r="W915" s="1372"/>
      <c r="X915" s="1372"/>
      <c r="Y915" s="1372"/>
      <c r="Z915" s="1372"/>
    </row>
    <row r="916" spans="1:26" ht="15.75" customHeight="1" x14ac:dyDescent="0.25">
      <c r="A916" s="1371"/>
      <c r="B916" s="1371"/>
      <c r="C916" s="1371"/>
      <c r="D916" s="1371"/>
      <c r="E916" s="1371"/>
      <c r="F916" s="1371"/>
      <c r="G916" s="1371"/>
      <c r="H916" s="1371"/>
      <c r="I916" s="1372"/>
      <c r="J916" s="1372"/>
      <c r="K916" s="1372"/>
      <c r="L916" s="1372"/>
      <c r="M916" s="1372"/>
      <c r="N916" s="1372"/>
      <c r="O916" s="1372"/>
      <c r="P916" s="1372"/>
      <c r="Q916" s="1372"/>
      <c r="R916" s="1372"/>
      <c r="S916" s="1372"/>
      <c r="T916" s="1372"/>
      <c r="U916" s="1372"/>
      <c r="V916" s="1372"/>
      <c r="W916" s="1372"/>
      <c r="X916" s="1372"/>
      <c r="Y916" s="1372"/>
      <c r="Z916" s="1372"/>
    </row>
    <row r="917" spans="1:26" ht="15.75" customHeight="1" x14ac:dyDescent="0.25">
      <c r="A917" s="1371"/>
      <c r="B917" s="1371"/>
      <c r="C917" s="1371"/>
      <c r="D917" s="1371"/>
      <c r="E917" s="1371"/>
      <c r="F917" s="1371"/>
      <c r="G917" s="1371"/>
      <c r="H917" s="1371"/>
      <c r="I917" s="1372"/>
      <c r="J917" s="1372"/>
      <c r="K917" s="1372"/>
      <c r="L917" s="1372"/>
      <c r="M917" s="1372"/>
      <c r="N917" s="1372"/>
      <c r="O917" s="1372"/>
      <c r="P917" s="1372"/>
      <c r="Q917" s="1372"/>
      <c r="R917" s="1372"/>
      <c r="S917" s="1372"/>
      <c r="T917" s="1372"/>
      <c r="U917" s="1372"/>
      <c r="V917" s="1372"/>
      <c r="W917" s="1372"/>
      <c r="X917" s="1372"/>
      <c r="Y917" s="1372"/>
      <c r="Z917" s="1372"/>
    </row>
    <row r="918" spans="1:26" ht="15.75" customHeight="1" x14ac:dyDescent="0.25">
      <c r="A918" s="1371"/>
      <c r="B918" s="1371"/>
      <c r="C918" s="1371"/>
      <c r="D918" s="1371"/>
      <c r="E918" s="1371"/>
      <c r="F918" s="1371"/>
      <c r="G918" s="1371"/>
      <c r="H918" s="1371"/>
      <c r="I918" s="1372"/>
      <c r="J918" s="1372"/>
      <c r="K918" s="1372"/>
      <c r="L918" s="1372"/>
      <c r="M918" s="1372"/>
      <c r="N918" s="1372"/>
      <c r="O918" s="1372"/>
      <c r="P918" s="1372"/>
      <c r="Q918" s="1372"/>
      <c r="R918" s="1372"/>
      <c r="S918" s="1372"/>
      <c r="T918" s="1372"/>
      <c r="U918" s="1372"/>
      <c r="V918" s="1372"/>
      <c r="W918" s="1372"/>
      <c r="X918" s="1372"/>
      <c r="Y918" s="1372"/>
      <c r="Z918" s="1372"/>
    </row>
    <row r="919" spans="1:26" ht="15.75" customHeight="1" x14ac:dyDescent="0.25">
      <c r="A919" s="1371"/>
      <c r="B919" s="1371"/>
      <c r="C919" s="1371"/>
      <c r="D919" s="1371"/>
      <c r="E919" s="1371"/>
      <c r="F919" s="1371"/>
      <c r="G919" s="1371"/>
      <c r="H919" s="1371"/>
      <c r="I919" s="1372"/>
      <c r="J919" s="1372"/>
      <c r="K919" s="1372"/>
      <c r="L919" s="1372"/>
      <c r="M919" s="1372"/>
      <c r="N919" s="1372"/>
      <c r="O919" s="1372"/>
      <c r="P919" s="1372"/>
      <c r="Q919" s="1372"/>
      <c r="R919" s="1372"/>
      <c r="S919" s="1372"/>
      <c r="T919" s="1372"/>
      <c r="U919" s="1372"/>
      <c r="V919" s="1372"/>
      <c r="W919" s="1372"/>
      <c r="X919" s="1372"/>
      <c r="Y919" s="1372"/>
      <c r="Z919" s="1372"/>
    </row>
    <row r="920" spans="1:26" ht="15.75" customHeight="1" x14ac:dyDescent="0.25">
      <c r="A920" s="1371"/>
      <c r="B920" s="1371"/>
      <c r="C920" s="1371"/>
      <c r="D920" s="1371"/>
      <c r="E920" s="1371"/>
      <c r="F920" s="1371"/>
      <c r="G920" s="1371"/>
      <c r="H920" s="1371"/>
      <c r="I920" s="1372"/>
      <c r="J920" s="1372"/>
      <c r="K920" s="1372"/>
      <c r="L920" s="1372"/>
      <c r="M920" s="1372"/>
      <c r="N920" s="1372"/>
      <c r="O920" s="1372"/>
      <c r="P920" s="1372"/>
      <c r="Q920" s="1372"/>
      <c r="R920" s="1372"/>
      <c r="S920" s="1372"/>
      <c r="T920" s="1372"/>
      <c r="U920" s="1372"/>
      <c r="V920" s="1372"/>
      <c r="W920" s="1372"/>
      <c r="X920" s="1372"/>
      <c r="Y920" s="1372"/>
      <c r="Z920" s="1372"/>
    </row>
    <row r="921" spans="1:26" ht="15.75" customHeight="1" x14ac:dyDescent="0.25">
      <c r="A921" s="1371"/>
      <c r="B921" s="1371"/>
      <c r="C921" s="1371"/>
      <c r="D921" s="1371"/>
      <c r="E921" s="1371"/>
      <c r="F921" s="1371"/>
      <c r="G921" s="1371"/>
      <c r="H921" s="1371"/>
      <c r="I921" s="1372"/>
      <c r="J921" s="1372"/>
      <c r="K921" s="1372"/>
      <c r="L921" s="1372"/>
      <c r="M921" s="1372"/>
      <c r="N921" s="1372"/>
      <c r="O921" s="1372"/>
      <c r="P921" s="1372"/>
      <c r="Q921" s="1372"/>
      <c r="R921" s="1372"/>
      <c r="S921" s="1372"/>
      <c r="T921" s="1372"/>
      <c r="U921" s="1372"/>
      <c r="V921" s="1372"/>
      <c r="W921" s="1372"/>
      <c r="X921" s="1372"/>
      <c r="Y921" s="1372"/>
      <c r="Z921" s="1372"/>
    </row>
    <row r="922" spans="1:26" ht="15.75" customHeight="1" x14ac:dyDescent="0.25">
      <c r="A922" s="1371"/>
      <c r="B922" s="1371"/>
      <c r="C922" s="1371"/>
      <c r="D922" s="1371"/>
      <c r="E922" s="1371"/>
      <c r="F922" s="1371"/>
      <c r="G922" s="1371"/>
      <c r="H922" s="1371"/>
      <c r="I922" s="1372"/>
      <c r="J922" s="1372"/>
      <c r="K922" s="1372"/>
      <c r="L922" s="1372"/>
      <c r="M922" s="1372"/>
      <c r="N922" s="1372"/>
      <c r="O922" s="1372"/>
      <c r="P922" s="1372"/>
      <c r="Q922" s="1372"/>
      <c r="R922" s="1372"/>
      <c r="S922" s="1372"/>
      <c r="T922" s="1372"/>
      <c r="U922" s="1372"/>
      <c r="V922" s="1372"/>
      <c r="W922" s="1372"/>
      <c r="X922" s="1372"/>
      <c r="Y922" s="1372"/>
      <c r="Z922" s="1372"/>
    </row>
    <row r="923" spans="1:26" ht="15.75" customHeight="1" x14ac:dyDescent="0.25">
      <c r="A923" s="1371"/>
      <c r="B923" s="1371"/>
      <c r="C923" s="1371"/>
      <c r="D923" s="1371"/>
      <c r="E923" s="1371"/>
      <c r="F923" s="1371"/>
      <c r="G923" s="1371"/>
      <c r="H923" s="1371"/>
      <c r="I923" s="1372"/>
      <c r="J923" s="1372"/>
      <c r="K923" s="1372"/>
      <c r="L923" s="1372"/>
      <c r="M923" s="1372"/>
      <c r="N923" s="1372"/>
      <c r="O923" s="1372"/>
      <c r="P923" s="1372"/>
      <c r="Q923" s="1372"/>
      <c r="R923" s="1372"/>
      <c r="S923" s="1372"/>
      <c r="T923" s="1372"/>
      <c r="U923" s="1372"/>
      <c r="V923" s="1372"/>
      <c r="W923" s="1372"/>
      <c r="X923" s="1372"/>
      <c r="Y923" s="1372"/>
      <c r="Z923" s="1372"/>
    </row>
    <row r="924" spans="1:26" ht="15.75" customHeight="1" x14ac:dyDescent="0.25">
      <c r="A924" s="1371"/>
      <c r="B924" s="1371"/>
      <c r="C924" s="1371"/>
      <c r="D924" s="1371"/>
      <c r="E924" s="1371"/>
      <c r="F924" s="1371"/>
      <c r="G924" s="1371"/>
      <c r="H924" s="1371"/>
      <c r="I924" s="1372"/>
      <c r="J924" s="1372"/>
      <c r="K924" s="1372"/>
      <c r="L924" s="1372"/>
      <c r="M924" s="1372"/>
      <c r="N924" s="1372"/>
      <c r="O924" s="1372"/>
      <c r="P924" s="1372"/>
      <c r="Q924" s="1372"/>
      <c r="R924" s="1372"/>
      <c r="S924" s="1372"/>
      <c r="T924" s="1372"/>
      <c r="U924" s="1372"/>
      <c r="V924" s="1372"/>
      <c r="W924" s="1372"/>
      <c r="X924" s="1372"/>
      <c r="Y924" s="1372"/>
      <c r="Z924" s="1372"/>
    </row>
    <row r="925" spans="1:26" ht="15.75" customHeight="1" x14ac:dyDescent="0.25">
      <c r="A925" s="1371"/>
      <c r="B925" s="1371"/>
      <c r="C925" s="1371"/>
      <c r="D925" s="1371"/>
      <c r="E925" s="1371"/>
      <c r="F925" s="1371"/>
      <c r="G925" s="1371"/>
      <c r="H925" s="1371"/>
      <c r="I925" s="1372"/>
      <c r="J925" s="1372"/>
      <c r="K925" s="1372"/>
      <c r="L925" s="1372"/>
      <c r="M925" s="1372"/>
      <c r="N925" s="1372"/>
      <c r="O925" s="1372"/>
      <c r="P925" s="1372"/>
      <c r="Q925" s="1372"/>
      <c r="R925" s="1372"/>
      <c r="S925" s="1372"/>
      <c r="T925" s="1372"/>
      <c r="U925" s="1372"/>
      <c r="V925" s="1372"/>
      <c r="W925" s="1372"/>
      <c r="X925" s="1372"/>
      <c r="Y925" s="1372"/>
      <c r="Z925" s="1372"/>
    </row>
    <row r="926" spans="1:26" ht="15.75" customHeight="1" x14ac:dyDescent="0.25">
      <c r="A926" s="1371"/>
      <c r="B926" s="1371"/>
      <c r="C926" s="1371"/>
      <c r="D926" s="1371"/>
      <c r="E926" s="1371"/>
      <c r="F926" s="1371"/>
      <c r="G926" s="1371"/>
      <c r="H926" s="1371"/>
      <c r="I926" s="1372"/>
      <c r="J926" s="1372"/>
      <c r="K926" s="1372"/>
      <c r="L926" s="1372"/>
      <c r="M926" s="1372"/>
      <c r="N926" s="1372"/>
      <c r="O926" s="1372"/>
      <c r="P926" s="1372"/>
      <c r="Q926" s="1372"/>
      <c r="R926" s="1372"/>
      <c r="S926" s="1372"/>
      <c r="T926" s="1372"/>
      <c r="U926" s="1372"/>
      <c r="V926" s="1372"/>
      <c r="W926" s="1372"/>
      <c r="X926" s="1372"/>
      <c r="Y926" s="1372"/>
      <c r="Z926" s="1372"/>
    </row>
    <row r="927" spans="1:26" ht="15.75" customHeight="1" x14ac:dyDescent="0.25">
      <c r="A927" s="1371"/>
      <c r="B927" s="1371"/>
      <c r="C927" s="1371"/>
      <c r="D927" s="1371"/>
      <c r="E927" s="1371"/>
      <c r="F927" s="1371"/>
      <c r="G927" s="1371"/>
      <c r="H927" s="1371"/>
      <c r="I927" s="1372"/>
      <c r="J927" s="1372"/>
      <c r="K927" s="1372"/>
      <c r="L927" s="1372"/>
      <c r="M927" s="1372"/>
      <c r="N927" s="1372"/>
      <c r="O927" s="1372"/>
      <c r="P927" s="1372"/>
      <c r="Q927" s="1372"/>
      <c r="R927" s="1372"/>
      <c r="S927" s="1372"/>
      <c r="T927" s="1372"/>
      <c r="U927" s="1372"/>
      <c r="V927" s="1372"/>
      <c r="W927" s="1372"/>
      <c r="X927" s="1372"/>
      <c r="Y927" s="1372"/>
      <c r="Z927" s="1372"/>
    </row>
    <row r="928" spans="1:26" ht="15.75" customHeight="1" x14ac:dyDescent="0.25">
      <c r="A928" s="1371"/>
      <c r="B928" s="1371"/>
      <c r="C928" s="1371"/>
      <c r="D928" s="1371"/>
      <c r="E928" s="1371"/>
      <c r="F928" s="1371"/>
      <c r="G928" s="1371"/>
      <c r="H928" s="1371"/>
      <c r="I928" s="1372"/>
      <c r="J928" s="1372"/>
      <c r="K928" s="1372"/>
      <c r="L928" s="1372"/>
      <c r="M928" s="1372"/>
      <c r="N928" s="1372"/>
      <c r="O928" s="1372"/>
      <c r="P928" s="1372"/>
      <c r="Q928" s="1372"/>
      <c r="R928" s="1372"/>
      <c r="S928" s="1372"/>
      <c r="T928" s="1372"/>
      <c r="U928" s="1372"/>
      <c r="V928" s="1372"/>
      <c r="W928" s="1372"/>
      <c r="X928" s="1372"/>
      <c r="Y928" s="1372"/>
      <c r="Z928" s="1372"/>
    </row>
    <row r="929" spans="1:26" ht="15.75" customHeight="1" x14ac:dyDescent="0.25">
      <c r="A929" s="1371"/>
      <c r="B929" s="1371"/>
      <c r="C929" s="1371"/>
      <c r="D929" s="1371"/>
      <c r="E929" s="1371"/>
      <c r="F929" s="1371"/>
      <c r="G929" s="1371"/>
      <c r="H929" s="1371"/>
      <c r="I929" s="1372"/>
      <c r="J929" s="1372"/>
      <c r="K929" s="1372"/>
      <c r="L929" s="1372"/>
      <c r="M929" s="1372"/>
      <c r="N929" s="1372"/>
      <c r="O929" s="1372"/>
      <c r="P929" s="1372"/>
      <c r="Q929" s="1372"/>
      <c r="R929" s="1372"/>
      <c r="S929" s="1372"/>
      <c r="T929" s="1372"/>
      <c r="U929" s="1372"/>
      <c r="V929" s="1372"/>
      <c r="W929" s="1372"/>
      <c r="X929" s="1372"/>
      <c r="Y929" s="1372"/>
      <c r="Z929" s="1372"/>
    </row>
    <row r="930" spans="1:26" ht="15.75" customHeight="1" x14ac:dyDescent="0.25">
      <c r="A930" s="1371"/>
      <c r="B930" s="1371"/>
      <c r="C930" s="1371"/>
      <c r="D930" s="1371"/>
      <c r="E930" s="1371"/>
      <c r="F930" s="1371"/>
      <c r="G930" s="1371"/>
      <c r="H930" s="1371"/>
      <c r="I930" s="1372"/>
      <c r="J930" s="1372"/>
      <c r="K930" s="1372"/>
      <c r="L930" s="1372"/>
      <c r="M930" s="1372"/>
      <c r="N930" s="1372"/>
      <c r="O930" s="1372"/>
      <c r="P930" s="1372"/>
      <c r="Q930" s="1372"/>
      <c r="R930" s="1372"/>
      <c r="S930" s="1372"/>
      <c r="T930" s="1372"/>
      <c r="U930" s="1372"/>
      <c r="V930" s="1372"/>
      <c r="W930" s="1372"/>
      <c r="X930" s="1372"/>
      <c r="Y930" s="1372"/>
      <c r="Z930" s="1372"/>
    </row>
    <row r="931" spans="1:26" ht="15.75" customHeight="1" x14ac:dyDescent="0.25">
      <c r="A931" s="1371"/>
      <c r="B931" s="1371"/>
      <c r="C931" s="1371"/>
      <c r="D931" s="1371"/>
      <c r="E931" s="1371"/>
      <c r="F931" s="1371"/>
      <c r="G931" s="1371"/>
      <c r="H931" s="1371"/>
      <c r="I931" s="1372"/>
      <c r="J931" s="1372"/>
      <c r="K931" s="1372"/>
      <c r="L931" s="1372"/>
      <c r="M931" s="1372"/>
      <c r="N931" s="1372"/>
      <c r="O931" s="1372"/>
      <c r="P931" s="1372"/>
      <c r="Q931" s="1372"/>
      <c r="R931" s="1372"/>
      <c r="S931" s="1372"/>
      <c r="T931" s="1372"/>
      <c r="U931" s="1372"/>
      <c r="V931" s="1372"/>
      <c r="W931" s="1372"/>
      <c r="X931" s="1372"/>
      <c r="Y931" s="1372"/>
      <c r="Z931" s="1372"/>
    </row>
    <row r="932" spans="1:26" ht="15.75" customHeight="1" x14ac:dyDescent="0.25">
      <c r="A932" s="1371"/>
      <c r="B932" s="1371"/>
      <c r="C932" s="1371"/>
      <c r="D932" s="1371"/>
      <c r="E932" s="1371"/>
      <c r="F932" s="1371"/>
      <c r="G932" s="1371"/>
      <c r="H932" s="1371"/>
      <c r="I932" s="1372"/>
      <c r="J932" s="1372"/>
      <c r="K932" s="1372"/>
      <c r="L932" s="1372"/>
      <c r="M932" s="1372"/>
      <c r="N932" s="1372"/>
      <c r="O932" s="1372"/>
      <c r="P932" s="1372"/>
      <c r="Q932" s="1372"/>
      <c r="R932" s="1372"/>
      <c r="S932" s="1372"/>
      <c r="T932" s="1372"/>
      <c r="U932" s="1372"/>
      <c r="V932" s="1372"/>
      <c r="W932" s="1372"/>
      <c r="X932" s="1372"/>
      <c r="Y932" s="1372"/>
      <c r="Z932" s="1372"/>
    </row>
    <row r="933" spans="1:26" ht="15.75" customHeight="1" x14ac:dyDescent="0.25">
      <c r="A933" s="1371"/>
      <c r="B933" s="1371"/>
      <c r="C933" s="1371"/>
      <c r="D933" s="1371"/>
      <c r="E933" s="1371"/>
      <c r="F933" s="1371"/>
      <c r="G933" s="1371"/>
      <c r="H933" s="1371"/>
      <c r="I933" s="1372"/>
      <c r="J933" s="1372"/>
      <c r="K933" s="1372"/>
      <c r="L933" s="1372"/>
      <c r="M933" s="1372"/>
      <c r="N933" s="1372"/>
      <c r="O933" s="1372"/>
      <c r="P933" s="1372"/>
      <c r="Q933" s="1372"/>
      <c r="R933" s="1372"/>
      <c r="S933" s="1372"/>
      <c r="T933" s="1372"/>
      <c r="U933" s="1372"/>
      <c r="V933" s="1372"/>
      <c r="W933" s="1372"/>
      <c r="X933" s="1372"/>
      <c r="Y933" s="1372"/>
      <c r="Z933" s="1372"/>
    </row>
    <row r="934" spans="1:26" ht="15.75" customHeight="1" x14ac:dyDescent="0.25">
      <c r="A934" s="1371"/>
      <c r="B934" s="1371"/>
      <c r="C934" s="1371"/>
      <c r="D934" s="1371"/>
      <c r="E934" s="1371"/>
      <c r="F934" s="1371"/>
      <c r="G934" s="1371"/>
      <c r="H934" s="1371"/>
      <c r="I934" s="1372"/>
      <c r="J934" s="1372"/>
      <c r="K934" s="1372"/>
      <c r="L934" s="1372"/>
      <c r="M934" s="1372"/>
      <c r="N934" s="1372"/>
      <c r="O934" s="1372"/>
      <c r="P934" s="1372"/>
      <c r="Q934" s="1372"/>
      <c r="R934" s="1372"/>
      <c r="S934" s="1372"/>
      <c r="T934" s="1372"/>
      <c r="U934" s="1372"/>
      <c r="V934" s="1372"/>
      <c r="W934" s="1372"/>
      <c r="X934" s="1372"/>
      <c r="Y934" s="1372"/>
      <c r="Z934" s="1372"/>
    </row>
    <row r="935" spans="1:26" ht="15.75" customHeight="1" x14ac:dyDescent="0.25">
      <c r="A935" s="1371"/>
      <c r="B935" s="1371"/>
      <c r="C935" s="1371"/>
      <c r="D935" s="1371"/>
      <c r="E935" s="1371"/>
      <c r="F935" s="1371"/>
      <c r="G935" s="1371"/>
      <c r="H935" s="1371"/>
      <c r="I935" s="1372"/>
      <c r="J935" s="1372"/>
      <c r="K935" s="1372"/>
      <c r="L935" s="1372"/>
      <c r="M935" s="1372"/>
      <c r="N935" s="1372"/>
      <c r="O935" s="1372"/>
      <c r="P935" s="1372"/>
      <c r="Q935" s="1372"/>
      <c r="R935" s="1372"/>
      <c r="S935" s="1372"/>
      <c r="T935" s="1372"/>
      <c r="U935" s="1372"/>
      <c r="V935" s="1372"/>
      <c r="W935" s="1372"/>
      <c r="X935" s="1372"/>
      <c r="Y935" s="1372"/>
      <c r="Z935" s="1372"/>
    </row>
    <row r="936" spans="1:26" ht="15.75" customHeight="1" x14ac:dyDescent="0.25">
      <c r="A936" s="1371"/>
      <c r="B936" s="1371"/>
      <c r="C936" s="1371"/>
      <c r="D936" s="1371"/>
      <c r="E936" s="1371"/>
      <c r="F936" s="1371"/>
      <c r="G936" s="1371"/>
      <c r="H936" s="1371"/>
      <c r="I936" s="1372"/>
      <c r="J936" s="1372"/>
      <c r="K936" s="1372"/>
      <c r="L936" s="1372"/>
      <c r="M936" s="1372"/>
      <c r="N936" s="1372"/>
      <c r="O936" s="1372"/>
      <c r="P936" s="1372"/>
      <c r="Q936" s="1372"/>
      <c r="R936" s="1372"/>
      <c r="S936" s="1372"/>
      <c r="T936" s="1372"/>
      <c r="U936" s="1372"/>
      <c r="V936" s="1372"/>
      <c r="W936" s="1372"/>
      <c r="X936" s="1372"/>
      <c r="Y936" s="1372"/>
      <c r="Z936" s="1372"/>
    </row>
    <row r="937" spans="1:26" ht="15.75" customHeight="1" x14ac:dyDescent="0.25">
      <c r="A937" s="1371"/>
      <c r="B937" s="1371"/>
      <c r="C937" s="1371"/>
      <c r="D937" s="1371"/>
      <c r="E937" s="1371"/>
      <c r="F937" s="1371"/>
      <c r="G937" s="1371"/>
      <c r="H937" s="1371"/>
      <c r="I937" s="1372"/>
      <c r="J937" s="1372"/>
      <c r="K937" s="1372"/>
      <c r="L937" s="1372"/>
      <c r="M937" s="1372"/>
      <c r="N937" s="1372"/>
      <c r="O937" s="1372"/>
      <c r="P937" s="1372"/>
      <c r="Q937" s="1372"/>
      <c r="R937" s="1372"/>
      <c r="S937" s="1372"/>
      <c r="T937" s="1372"/>
      <c r="U937" s="1372"/>
      <c r="V937" s="1372"/>
      <c r="W937" s="1372"/>
      <c r="X937" s="1372"/>
      <c r="Y937" s="1372"/>
      <c r="Z937" s="1372"/>
    </row>
    <row r="938" spans="1:26" ht="15.75" customHeight="1" x14ac:dyDescent="0.25">
      <c r="A938" s="1371"/>
      <c r="B938" s="1371"/>
      <c r="C938" s="1371"/>
      <c r="D938" s="1371"/>
      <c r="E938" s="1371"/>
      <c r="F938" s="1371"/>
      <c r="G938" s="1371"/>
      <c r="H938" s="1371"/>
      <c r="I938" s="1372"/>
      <c r="J938" s="1372"/>
      <c r="K938" s="1372"/>
      <c r="L938" s="1372"/>
      <c r="M938" s="1372"/>
      <c r="N938" s="1372"/>
      <c r="O938" s="1372"/>
      <c r="P938" s="1372"/>
      <c r="Q938" s="1372"/>
      <c r="R938" s="1372"/>
      <c r="S938" s="1372"/>
      <c r="T938" s="1372"/>
      <c r="U938" s="1372"/>
      <c r="V938" s="1372"/>
      <c r="W938" s="1372"/>
      <c r="X938" s="1372"/>
      <c r="Y938" s="1372"/>
      <c r="Z938" s="1372"/>
    </row>
    <row r="939" spans="1:26" ht="15.75" customHeight="1" x14ac:dyDescent="0.25">
      <c r="A939" s="1371"/>
      <c r="B939" s="1371"/>
      <c r="C939" s="1371"/>
      <c r="D939" s="1371"/>
      <c r="E939" s="1371"/>
      <c r="F939" s="1371"/>
      <c r="G939" s="1371"/>
      <c r="H939" s="1371"/>
      <c r="I939" s="1372"/>
      <c r="J939" s="1372"/>
      <c r="K939" s="1372"/>
      <c r="L939" s="1372"/>
      <c r="M939" s="1372"/>
      <c r="N939" s="1372"/>
      <c r="O939" s="1372"/>
      <c r="P939" s="1372"/>
      <c r="Q939" s="1372"/>
      <c r="R939" s="1372"/>
      <c r="S939" s="1372"/>
      <c r="T939" s="1372"/>
      <c r="U939" s="1372"/>
      <c r="V939" s="1372"/>
      <c r="W939" s="1372"/>
      <c r="X939" s="1372"/>
      <c r="Y939" s="1372"/>
      <c r="Z939" s="1372"/>
    </row>
    <row r="940" spans="1:26" ht="15.75" customHeight="1" x14ac:dyDescent="0.25">
      <c r="A940" s="1371"/>
      <c r="B940" s="1371"/>
      <c r="C940" s="1371"/>
      <c r="D940" s="1371"/>
      <c r="E940" s="1371"/>
      <c r="F940" s="1371"/>
      <c r="G940" s="1371"/>
      <c r="H940" s="1371"/>
      <c r="I940" s="1372"/>
      <c r="J940" s="1372"/>
      <c r="K940" s="1372"/>
      <c r="L940" s="1372"/>
      <c r="M940" s="1372"/>
      <c r="N940" s="1372"/>
      <c r="O940" s="1372"/>
      <c r="P940" s="1372"/>
      <c r="Q940" s="1372"/>
      <c r="R940" s="1372"/>
      <c r="S940" s="1372"/>
      <c r="T940" s="1372"/>
      <c r="U940" s="1372"/>
      <c r="V940" s="1372"/>
      <c r="W940" s="1372"/>
      <c r="X940" s="1372"/>
      <c r="Y940" s="1372"/>
      <c r="Z940" s="1372"/>
    </row>
    <row r="941" spans="1:26" ht="15.75" customHeight="1" x14ac:dyDescent="0.25">
      <c r="A941" s="1371"/>
      <c r="B941" s="1371"/>
      <c r="C941" s="1371"/>
      <c r="D941" s="1371"/>
      <c r="E941" s="1371"/>
      <c r="F941" s="1371"/>
      <c r="G941" s="1371"/>
      <c r="H941" s="1371"/>
      <c r="I941" s="1372"/>
      <c r="J941" s="1372"/>
      <c r="K941" s="1372"/>
      <c r="L941" s="1372"/>
      <c r="M941" s="1372"/>
      <c r="N941" s="1372"/>
      <c r="O941" s="1372"/>
      <c r="P941" s="1372"/>
      <c r="Q941" s="1372"/>
      <c r="R941" s="1372"/>
      <c r="S941" s="1372"/>
      <c r="T941" s="1372"/>
      <c r="U941" s="1372"/>
      <c r="V941" s="1372"/>
      <c r="W941" s="1372"/>
      <c r="X941" s="1372"/>
      <c r="Y941" s="1372"/>
      <c r="Z941" s="1372"/>
    </row>
    <row r="942" spans="1:26" ht="15.75" customHeight="1" x14ac:dyDescent="0.25">
      <c r="A942" s="1371"/>
      <c r="B942" s="1371"/>
      <c r="C942" s="1371"/>
      <c r="D942" s="1371"/>
      <c r="E942" s="1371"/>
      <c r="F942" s="1371"/>
      <c r="G942" s="1371"/>
      <c r="H942" s="1371"/>
      <c r="I942" s="1372"/>
      <c r="J942" s="1372"/>
      <c r="K942" s="1372"/>
      <c r="L942" s="1372"/>
      <c r="M942" s="1372"/>
      <c r="N942" s="1372"/>
      <c r="O942" s="1372"/>
      <c r="P942" s="1372"/>
      <c r="Q942" s="1372"/>
      <c r="R942" s="1372"/>
      <c r="S942" s="1372"/>
      <c r="T942" s="1372"/>
      <c r="U942" s="1372"/>
      <c r="V942" s="1372"/>
      <c r="W942" s="1372"/>
      <c r="X942" s="1372"/>
      <c r="Y942" s="1372"/>
      <c r="Z942" s="1372"/>
    </row>
    <row r="943" spans="1:26" ht="15.75" customHeight="1" x14ac:dyDescent="0.25">
      <c r="A943" s="1371"/>
      <c r="B943" s="1371"/>
      <c r="C943" s="1371"/>
      <c r="D943" s="1371"/>
      <c r="E943" s="1371"/>
      <c r="F943" s="1371"/>
      <c r="G943" s="1371"/>
      <c r="H943" s="1371"/>
      <c r="I943" s="1372"/>
      <c r="J943" s="1372"/>
      <c r="K943" s="1372"/>
      <c r="L943" s="1372"/>
      <c r="M943" s="1372"/>
      <c r="N943" s="1372"/>
      <c r="O943" s="1372"/>
      <c r="P943" s="1372"/>
      <c r="Q943" s="1372"/>
      <c r="R943" s="1372"/>
      <c r="S943" s="1372"/>
      <c r="T943" s="1372"/>
      <c r="U943" s="1372"/>
      <c r="V943" s="1372"/>
      <c r="W943" s="1372"/>
      <c r="X943" s="1372"/>
      <c r="Y943" s="1372"/>
      <c r="Z943" s="1372"/>
    </row>
    <row r="944" spans="1:26" ht="15.75" customHeight="1" x14ac:dyDescent="0.25">
      <c r="A944" s="1371"/>
      <c r="B944" s="1371"/>
      <c r="C944" s="1371"/>
      <c r="D944" s="1371"/>
      <c r="E944" s="1371"/>
      <c r="F944" s="1371"/>
      <c r="G944" s="1371"/>
      <c r="H944" s="1371"/>
      <c r="I944" s="1372"/>
      <c r="J944" s="1372"/>
      <c r="K944" s="1372"/>
      <c r="L944" s="1372"/>
      <c r="M944" s="1372"/>
      <c r="N944" s="1372"/>
      <c r="O944" s="1372"/>
      <c r="P944" s="1372"/>
      <c r="Q944" s="1372"/>
      <c r="R944" s="1372"/>
      <c r="S944" s="1372"/>
      <c r="T944" s="1372"/>
      <c r="U944" s="1372"/>
      <c r="V944" s="1372"/>
      <c r="W944" s="1372"/>
      <c r="X944" s="1372"/>
      <c r="Y944" s="1372"/>
      <c r="Z944" s="1372"/>
    </row>
    <row r="945" spans="1:26" ht="15.75" customHeight="1" x14ac:dyDescent="0.25">
      <c r="A945" s="1371"/>
      <c r="B945" s="1371"/>
      <c r="C945" s="1371"/>
      <c r="D945" s="1371"/>
      <c r="E945" s="1371"/>
      <c r="F945" s="1371"/>
      <c r="G945" s="1371"/>
      <c r="H945" s="1371"/>
      <c r="I945" s="1372"/>
      <c r="J945" s="1372"/>
      <c r="K945" s="1372"/>
      <c r="L945" s="1372"/>
      <c r="M945" s="1372"/>
      <c r="N945" s="1372"/>
      <c r="O945" s="1372"/>
      <c r="P945" s="1372"/>
      <c r="Q945" s="1372"/>
      <c r="R945" s="1372"/>
      <c r="S945" s="1372"/>
      <c r="T945" s="1372"/>
      <c r="U945" s="1372"/>
      <c r="V945" s="1372"/>
      <c r="W945" s="1372"/>
      <c r="X945" s="1372"/>
      <c r="Y945" s="1372"/>
      <c r="Z945" s="1372"/>
    </row>
    <row r="946" spans="1:26" ht="15.75" customHeight="1" x14ac:dyDescent="0.25">
      <c r="A946" s="1371"/>
      <c r="B946" s="1371"/>
      <c r="C946" s="1371"/>
      <c r="D946" s="1371"/>
      <c r="E946" s="1371"/>
      <c r="F946" s="1371"/>
      <c r="G946" s="1371"/>
      <c r="H946" s="1371"/>
      <c r="I946" s="1372"/>
      <c r="J946" s="1372"/>
      <c r="K946" s="1372"/>
      <c r="L946" s="1372"/>
      <c r="M946" s="1372"/>
      <c r="N946" s="1372"/>
      <c r="O946" s="1372"/>
      <c r="P946" s="1372"/>
      <c r="Q946" s="1372"/>
      <c r="R946" s="1372"/>
      <c r="S946" s="1372"/>
      <c r="T946" s="1372"/>
      <c r="U946" s="1372"/>
      <c r="V946" s="1372"/>
      <c r="W946" s="1372"/>
      <c r="X946" s="1372"/>
      <c r="Y946" s="1372"/>
      <c r="Z946" s="1372"/>
    </row>
    <row r="947" spans="1:26" ht="15.75" customHeight="1" x14ac:dyDescent="0.25">
      <c r="A947" s="1371"/>
      <c r="B947" s="1371"/>
      <c r="C947" s="1371"/>
      <c r="D947" s="1371"/>
      <c r="E947" s="1371"/>
      <c r="F947" s="1371"/>
      <c r="G947" s="1371"/>
      <c r="H947" s="1371"/>
      <c r="I947" s="1372"/>
      <c r="J947" s="1372"/>
      <c r="K947" s="1372"/>
      <c r="L947" s="1372"/>
      <c r="M947" s="1372"/>
      <c r="N947" s="1372"/>
      <c r="O947" s="1372"/>
      <c r="P947" s="1372"/>
      <c r="Q947" s="1372"/>
      <c r="R947" s="1372"/>
      <c r="S947" s="1372"/>
      <c r="T947" s="1372"/>
      <c r="U947" s="1372"/>
      <c r="V947" s="1372"/>
      <c r="W947" s="1372"/>
      <c r="X947" s="1372"/>
      <c r="Y947" s="1372"/>
      <c r="Z947" s="1372"/>
    </row>
    <row r="948" spans="1:26" ht="15.75" customHeight="1" x14ac:dyDescent="0.25">
      <c r="A948" s="1371"/>
      <c r="B948" s="1371"/>
      <c r="C948" s="1371"/>
      <c r="D948" s="1371"/>
      <c r="E948" s="1371"/>
      <c r="F948" s="1371"/>
      <c r="G948" s="1371"/>
      <c r="H948" s="1371"/>
      <c r="I948" s="1372"/>
      <c r="J948" s="1372"/>
      <c r="K948" s="1372"/>
      <c r="L948" s="1372"/>
      <c r="M948" s="1372"/>
      <c r="N948" s="1372"/>
      <c r="O948" s="1372"/>
      <c r="P948" s="1372"/>
      <c r="Q948" s="1372"/>
      <c r="R948" s="1372"/>
      <c r="S948" s="1372"/>
      <c r="T948" s="1372"/>
      <c r="U948" s="1372"/>
      <c r="V948" s="1372"/>
      <c r="W948" s="1372"/>
      <c r="X948" s="1372"/>
      <c r="Y948" s="1372"/>
      <c r="Z948" s="1372"/>
    </row>
    <row r="949" spans="1:26" ht="15.75" customHeight="1" x14ac:dyDescent="0.25">
      <c r="A949" s="1371"/>
      <c r="B949" s="1371"/>
      <c r="C949" s="1371"/>
      <c r="D949" s="1371"/>
      <c r="E949" s="1371"/>
      <c r="F949" s="1371"/>
      <c r="G949" s="1371"/>
      <c r="H949" s="1371"/>
      <c r="I949" s="1372"/>
      <c r="J949" s="1372"/>
      <c r="K949" s="1372"/>
      <c r="L949" s="1372"/>
      <c r="M949" s="1372"/>
      <c r="N949" s="1372"/>
      <c r="O949" s="1372"/>
      <c r="P949" s="1372"/>
      <c r="Q949" s="1372"/>
      <c r="R949" s="1372"/>
      <c r="S949" s="1372"/>
      <c r="T949" s="1372"/>
      <c r="U949" s="1372"/>
      <c r="V949" s="1372"/>
      <c r="W949" s="1372"/>
      <c r="X949" s="1372"/>
      <c r="Y949" s="1372"/>
      <c r="Z949" s="1372"/>
    </row>
    <row r="950" spans="1:26" ht="15.75" customHeight="1" x14ac:dyDescent="0.25">
      <c r="A950" s="1371"/>
      <c r="B950" s="1371"/>
      <c r="C950" s="1371"/>
      <c r="D950" s="1371"/>
      <c r="E950" s="1371"/>
      <c r="F950" s="1371"/>
      <c r="G950" s="1371"/>
      <c r="H950" s="1371"/>
      <c r="I950" s="1372"/>
      <c r="J950" s="1372"/>
      <c r="K950" s="1372"/>
      <c r="L950" s="1372"/>
      <c r="M950" s="1372"/>
      <c r="N950" s="1372"/>
      <c r="O950" s="1372"/>
      <c r="P950" s="1372"/>
      <c r="Q950" s="1372"/>
      <c r="R950" s="1372"/>
      <c r="S950" s="1372"/>
      <c r="T950" s="1372"/>
      <c r="U950" s="1372"/>
      <c r="V950" s="1372"/>
      <c r="W950" s="1372"/>
      <c r="X950" s="1372"/>
      <c r="Y950" s="1372"/>
      <c r="Z950" s="1372"/>
    </row>
    <row r="951" spans="1:26" ht="15.75" customHeight="1" x14ac:dyDescent="0.25">
      <c r="A951" s="1371"/>
      <c r="B951" s="1371"/>
      <c r="C951" s="1371"/>
      <c r="D951" s="1371"/>
      <c r="E951" s="1371"/>
      <c r="F951" s="1371"/>
      <c r="G951" s="1371"/>
      <c r="H951" s="1371"/>
      <c r="I951" s="1372"/>
      <c r="J951" s="1372"/>
      <c r="K951" s="1372"/>
      <c r="L951" s="1372"/>
      <c r="M951" s="1372"/>
      <c r="N951" s="1372"/>
      <c r="O951" s="1372"/>
      <c r="P951" s="1372"/>
      <c r="Q951" s="1372"/>
      <c r="R951" s="1372"/>
      <c r="S951" s="1372"/>
      <c r="T951" s="1372"/>
      <c r="U951" s="1372"/>
      <c r="V951" s="1372"/>
      <c r="W951" s="1372"/>
      <c r="X951" s="1372"/>
      <c r="Y951" s="1372"/>
      <c r="Z951" s="1372"/>
    </row>
    <row r="952" spans="1:26" ht="15.75" customHeight="1" x14ac:dyDescent="0.25">
      <c r="A952" s="1371"/>
      <c r="B952" s="1371"/>
      <c r="C952" s="1371"/>
      <c r="D952" s="1371"/>
      <c r="E952" s="1371"/>
      <c r="F952" s="1371"/>
      <c r="G952" s="1371"/>
      <c r="H952" s="1371"/>
      <c r="I952" s="1372"/>
      <c r="J952" s="1372"/>
      <c r="K952" s="1372"/>
      <c r="L952" s="1372"/>
      <c r="M952" s="1372"/>
      <c r="N952" s="1372"/>
      <c r="O952" s="1372"/>
      <c r="P952" s="1372"/>
      <c r="Q952" s="1372"/>
      <c r="R952" s="1372"/>
      <c r="S952" s="1372"/>
      <c r="T952" s="1372"/>
      <c r="U952" s="1372"/>
      <c r="V952" s="1372"/>
      <c r="W952" s="1372"/>
      <c r="X952" s="1372"/>
      <c r="Y952" s="1372"/>
      <c r="Z952" s="1372"/>
    </row>
    <row r="953" spans="1:26" ht="15.75" customHeight="1" x14ac:dyDescent="0.25">
      <c r="A953" s="1371"/>
      <c r="B953" s="1371"/>
      <c r="C953" s="1371"/>
      <c r="D953" s="1371"/>
      <c r="E953" s="1371"/>
      <c r="F953" s="1371"/>
      <c r="G953" s="1371"/>
      <c r="H953" s="1371"/>
      <c r="I953" s="1372"/>
      <c r="J953" s="1372"/>
      <c r="K953" s="1372"/>
      <c r="L953" s="1372"/>
      <c r="M953" s="1372"/>
      <c r="N953" s="1372"/>
      <c r="O953" s="1372"/>
      <c r="P953" s="1372"/>
      <c r="Q953" s="1372"/>
      <c r="R953" s="1372"/>
      <c r="S953" s="1372"/>
      <c r="T953" s="1372"/>
      <c r="U953" s="1372"/>
      <c r="V953" s="1372"/>
      <c r="W953" s="1372"/>
      <c r="X953" s="1372"/>
      <c r="Y953" s="1372"/>
      <c r="Z953" s="1372"/>
    </row>
    <row r="954" spans="1:26" ht="15.75" customHeight="1" x14ac:dyDescent="0.25">
      <c r="A954" s="1371"/>
      <c r="B954" s="1371"/>
      <c r="C954" s="1371"/>
      <c r="D954" s="1371"/>
      <c r="E954" s="1371"/>
      <c r="F954" s="1371"/>
      <c r="G954" s="1371"/>
      <c r="H954" s="1371"/>
      <c r="I954" s="1372"/>
      <c r="J954" s="1372"/>
      <c r="K954" s="1372"/>
      <c r="L954" s="1372"/>
      <c r="M954" s="1372"/>
      <c r="N954" s="1372"/>
      <c r="O954" s="1372"/>
      <c r="P954" s="1372"/>
      <c r="Q954" s="1372"/>
      <c r="R954" s="1372"/>
      <c r="S954" s="1372"/>
      <c r="T954" s="1372"/>
      <c r="U954" s="1372"/>
      <c r="V954" s="1372"/>
      <c r="W954" s="1372"/>
      <c r="X954" s="1372"/>
      <c r="Y954" s="1372"/>
      <c r="Z954" s="1372"/>
    </row>
    <row r="955" spans="1:26" ht="15.75" customHeight="1" x14ac:dyDescent="0.25">
      <c r="A955" s="1371"/>
      <c r="B955" s="1371"/>
      <c r="C955" s="1371"/>
      <c r="D955" s="1371"/>
      <c r="E955" s="1371"/>
      <c r="F955" s="1371"/>
      <c r="G955" s="1371"/>
      <c r="H955" s="1371"/>
      <c r="I955" s="1372"/>
      <c r="J955" s="1372"/>
      <c r="K955" s="1372"/>
      <c r="L955" s="1372"/>
      <c r="M955" s="1372"/>
      <c r="N955" s="1372"/>
      <c r="O955" s="1372"/>
      <c r="P955" s="1372"/>
      <c r="Q955" s="1372"/>
      <c r="R955" s="1372"/>
      <c r="S955" s="1372"/>
      <c r="T955" s="1372"/>
      <c r="U955" s="1372"/>
      <c r="V955" s="1372"/>
      <c r="W955" s="1372"/>
      <c r="X955" s="1372"/>
      <c r="Y955" s="1372"/>
      <c r="Z955" s="1372"/>
    </row>
    <row r="956" spans="1:26" ht="15.75" customHeight="1" x14ac:dyDescent="0.25">
      <c r="A956" s="1371"/>
      <c r="B956" s="1371"/>
      <c r="C956" s="1371"/>
      <c r="D956" s="1371"/>
      <c r="E956" s="1371"/>
      <c r="F956" s="1371"/>
      <c r="G956" s="1371"/>
      <c r="H956" s="1371"/>
      <c r="I956" s="1372"/>
      <c r="J956" s="1372"/>
      <c r="K956" s="1372"/>
      <c r="L956" s="1372"/>
      <c r="M956" s="1372"/>
      <c r="N956" s="1372"/>
      <c r="O956" s="1372"/>
      <c r="P956" s="1372"/>
      <c r="Q956" s="1372"/>
      <c r="R956" s="1372"/>
      <c r="S956" s="1372"/>
      <c r="T956" s="1372"/>
      <c r="U956" s="1372"/>
      <c r="V956" s="1372"/>
      <c r="W956" s="1372"/>
      <c r="X956" s="1372"/>
      <c r="Y956" s="1372"/>
      <c r="Z956" s="1372"/>
    </row>
    <row r="957" spans="1:26" ht="15.75" customHeight="1" x14ac:dyDescent="0.25">
      <c r="A957" s="1371"/>
      <c r="B957" s="1371"/>
      <c r="C957" s="1371"/>
      <c r="D957" s="1371"/>
      <c r="E957" s="1371"/>
      <c r="F957" s="1371"/>
      <c r="G957" s="1371"/>
      <c r="H957" s="1371"/>
      <c r="I957" s="1372"/>
      <c r="J957" s="1372"/>
      <c r="K957" s="1372"/>
      <c r="L957" s="1372"/>
      <c r="M957" s="1372"/>
      <c r="N957" s="1372"/>
      <c r="O957" s="1372"/>
      <c r="P957" s="1372"/>
      <c r="Q957" s="1372"/>
      <c r="R957" s="1372"/>
      <c r="S957" s="1372"/>
      <c r="T957" s="1372"/>
      <c r="U957" s="1372"/>
      <c r="V957" s="1372"/>
      <c r="W957" s="1372"/>
      <c r="X957" s="1372"/>
      <c r="Y957" s="1372"/>
      <c r="Z957" s="1372"/>
    </row>
    <row r="958" spans="1:26" ht="15.75" customHeight="1" x14ac:dyDescent="0.25">
      <c r="A958" s="1371"/>
      <c r="B958" s="1371"/>
      <c r="C958" s="1371"/>
      <c r="D958" s="1371"/>
      <c r="E958" s="1371"/>
      <c r="F958" s="1371"/>
      <c r="G958" s="1371"/>
      <c r="H958" s="1371"/>
      <c r="I958" s="1372"/>
      <c r="J958" s="1372"/>
      <c r="K958" s="1372"/>
      <c r="L958" s="1372"/>
      <c r="M958" s="1372"/>
      <c r="N958" s="1372"/>
      <c r="O958" s="1372"/>
      <c r="P958" s="1372"/>
      <c r="Q958" s="1372"/>
      <c r="R958" s="1372"/>
      <c r="S958" s="1372"/>
      <c r="T958" s="1372"/>
      <c r="U958" s="1372"/>
      <c r="V958" s="1372"/>
      <c r="W958" s="1372"/>
      <c r="X958" s="1372"/>
      <c r="Y958" s="1372"/>
      <c r="Z958" s="1372"/>
    </row>
    <row r="959" spans="1:26" ht="15.75" customHeight="1" x14ac:dyDescent="0.25">
      <c r="A959" s="1371"/>
      <c r="B959" s="1371"/>
      <c r="C959" s="1371"/>
      <c r="D959" s="1371"/>
      <c r="E959" s="1371"/>
      <c r="F959" s="1371"/>
      <c r="G959" s="1371"/>
      <c r="H959" s="1371"/>
      <c r="I959" s="1372"/>
      <c r="J959" s="1372"/>
      <c r="K959" s="1372"/>
      <c r="L959" s="1372"/>
      <c r="M959" s="1372"/>
      <c r="N959" s="1372"/>
      <c r="O959" s="1372"/>
      <c r="P959" s="1372"/>
      <c r="Q959" s="1372"/>
      <c r="R959" s="1372"/>
      <c r="S959" s="1372"/>
      <c r="T959" s="1372"/>
      <c r="U959" s="1372"/>
      <c r="V959" s="1372"/>
      <c r="W959" s="1372"/>
      <c r="X959" s="1372"/>
      <c r="Y959" s="1372"/>
      <c r="Z959" s="1372"/>
    </row>
    <row r="960" spans="1:26" ht="15.75" customHeight="1" x14ac:dyDescent="0.25">
      <c r="A960" s="1371"/>
      <c r="B960" s="1371"/>
      <c r="C960" s="1371"/>
      <c r="D960" s="1371"/>
      <c r="E960" s="1371"/>
      <c r="F960" s="1371"/>
      <c r="G960" s="1371"/>
      <c r="H960" s="1371"/>
      <c r="I960" s="1372"/>
      <c r="J960" s="1372"/>
      <c r="K960" s="1372"/>
      <c r="L960" s="1372"/>
      <c r="M960" s="1372"/>
      <c r="N960" s="1372"/>
      <c r="O960" s="1372"/>
      <c r="P960" s="1372"/>
      <c r="Q960" s="1372"/>
      <c r="R960" s="1372"/>
      <c r="S960" s="1372"/>
      <c r="T960" s="1372"/>
      <c r="U960" s="1372"/>
      <c r="V960" s="1372"/>
      <c r="W960" s="1372"/>
      <c r="X960" s="1372"/>
      <c r="Y960" s="1372"/>
      <c r="Z960" s="1372"/>
    </row>
    <row r="961" spans="1:26" ht="15.75" customHeight="1" x14ac:dyDescent="0.25">
      <c r="A961" s="1371"/>
      <c r="B961" s="1371"/>
      <c r="C961" s="1371"/>
      <c r="D961" s="1371"/>
      <c r="E961" s="1371"/>
      <c r="F961" s="1371"/>
      <c r="G961" s="1371"/>
      <c r="H961" s="1371"/>
      <c r="I961" s="1372"/>
      <c r="J961" s="1372"/>
      <c r="K961" s="1372"/>
      <c r="L961" s="1372"/>
      <c r="M961" s="1372"/>
      <c r="N961" s="1372"/>
      <c r="O961" s="1372"/>
      <c r="P961" s="1372"/>
      <c r="Q961" s="1372"/>
      <c r="R961" s="1372"/>
      <c r="S961" s="1372"/>
      <c r="T961" s="1372"/>
      <c r="U961" s="1372"/>
      <c r="V961" s="1372"/>
      <c r="W961" s="1372"/>
      <c r="X961" s="1372"/>
      <c r="Y961" s="1372"/>
      <c r="Z961" s="1372"/>
    </row>
    <row r="962" spans="1:26" ht="15.75" customHeight="1" x14ac:dyDescent="0.25">
      <c r="A962" s="1371"/>
      <c r="B962" s="1371"/>
      <c r="C962" s="1371"/>
      <c r="D962" s="1371"/>
      <c r="E962" s="1371"/>
      <c r="F962" s="1371"/>
      <c r="G962" s="1371"/>
      <c r="H962" s="1371"/>
      <c r="I962" s="1372"/>
      <c r="J962" s="1372"/>
      <c r="K962" s="1372"/>
      <c r="L962" s="1372"/>
      <c r="M962" s="1372"/>
      <c r="N962" s="1372"/>
      <c r="O962" s="1372"/>
      <c r="P962" s="1372"/>
      <c r="Q962" s="1372"/>
      <c r="R962" s="1372"/>
      <c r="S962" s="1372"/>
      <c r="T962" s="1372"/>
      <c r="U962" s="1372"/>
      <c r="V962" s="1372"/>
      <c r="W962" s="1372"/>
      <c r="X962" s="1372"/>
      <c r="Y962" s="1372"/>
      <c r="Z962" s="1372"/>
    </row>
    <row r="963" spans="1:26" ht="15.75" customHeight="1" x14ac:dyDescent="0.25">
      <c r="A963" s="1371"/>
      <c r="B963" s="1371"/>
      <c r="C963" s="1371"/>
      <c r="D963" s="1371"/>
      <c r="E963" s="1371"/>
      <c r="F963" s="1371"/>
      <c r="G963" s="1371"/>
      <c r="H963" s="1371"/>
      <c r="I963" s="1372"/>
      <c r="J963" s="1372"/>
      <c r="K963" s="1372"/>
      <c r="L963" s="1372"/>
      <c r="M963" s="1372"/>
      <c r="N963" s="1372"/>
      <c r="O963" s="1372"/>
      <c r="P963" s="1372"/>
      <c r="Q963" s="1372"/>
      <c r="R963" s="1372"/>
      <c r="S963" s="1372"/>
      <c r="T963" s="1372"/>
      <c r="U963" s="1372"/>
      <c r="V963" s="1372"/>
      <c r="W963" s="1372"/>
      <c r="X963" s="1372"/>
      <c r="Y963" s="1372"/>
      <c r="Z963" s="1372"/>
    </row>
    <row r="964" spans="1:26" ht="15.75" customHeight="1" x14ac:dyDescent="0.25">
      <c r="A964" s="1371"/>
      <c r="B964" s="1371"/>
      <c r="C964" s="1371"/>
      <c r="D964" s="1371"/>
      <c r="E964" s="1371"/>
      <c r="F964" s="1371"/>
      <c r="G964" s="1371"/>
      <c r="H964" s="1371"/>
      <c r="I964" s="1372"/>
      <c r="J964" s="1372"/>
      <c r="K964" s="1372"/>
      <c r="L964" s="1372"/>
      <c r="M964" s="1372"/>
      <c r="N964" s="1372"/>
      <c r="O964" s="1372"/>
      <c r="P964" s="1372"/>
      <c r="Q964" s="1372"/>
      <c r="R964" s="1372"/>
      <c r="S964" s="1372"/>
      <c r="T964" s="1372"/>
      <c r="U964" s="1372"/>
      <c r="V964" s="1372"/>
      <c r="W964" s="1372"/>
      <c r="X964" s="1372"/>
      <c r="Y964" s="1372"/>
      <c r="Z964" s="1372"/>
    </row>
    <row r="965" spans="1:26" ht="15.75" customHeight="1" x14ac:dyDescent="0.25">
      <c r="A965" s="1371"/>
      <c r="B965" s="1371"/>
      <c r="C965" s="1371"/>
      <c r="D965" s="1371"/>
      <c r="E965" s="1371"/>
      <c r="F965" s="1371"/>
      <c r="G965" s="1371"/>
      <c r="H965" s="1371"/>
      <c r="I965" s="1372"/>
      <c r="J965" s="1372"/>
      <c r="K965" s="1372"/>
      <c r="L965" s="1372"/>
      <c r="M965" s="1372"/>
      <c r="N965" s="1372"/>
      <c r="O965" s="1372"/>
      <c r="P965" s="1372"/>
      <c r="Q965" s="1372"/>
      <c r="R965" s="1372"/>
      <c r="S965" s="1372"/>
      <c r="T965" s="1372"/>
      <c r="U965" s="1372"/>
      <c r="V965" s="1372"/>
      <c r="W965" s="1372"/>
      <c r="X965" s="1372"/>
      <c r="Y965" s="1372"/>
      <c r="Z965" s="1372"/>
    </row>
    <row r="966" spans="1:26" ht="15.75" customHeight="1" x14ac:dyDescent="0.25">
      <c r="A966" s="1371"/>
      <c r="B966" s="1371"/>
      <c r="C966" s="1371"/>
      <c r="D966" s="1371"/>
      <c r="E966" s="1371"/>
      <c r="F966" s="1371"/>
      <c r="G966" s="1371"/>
      <c r="H966" s="1371"/>
      <c r="I966" s="1372"/>
      <c r="J966" s="1372"/>
      <c r="K966" s="1372"/>
      <c r="L966" s="1372"/>
      <c r="M966" s="1372"/>
      <c r="N966" s="1372"/>
      <c r="O966" s="1372"/>
      <c r="P966" s="1372"/>
      <c r="Q966" s="1372"/>
      <c r="R966" s="1372"/>
      <c r="S966" s="1372"/>
      <c r="T966" s="1372"/>
      <c r="U966" s="1372"/>
      <c r="V966" s="1372"/>
      <c r="W966" s="1372"/>
      <c r="X966" s="1372"/>
      <c r="Y966" s="1372"/>
      <c r="Z966" s="1372"/>
    </row>
    <row r="967" spans="1:26" ht="15.75" customHeight="1" x14ac:dyDescent="0.25">
      <c r="A967" s="1371"/>
      <c r="B967" s="1371"/>
      <c r="C967" s="1371"/>
      <c r="D967" s="1371"/>
      <c r="E967" s="1371"/>
      <c r="F967" s="1371"/>
      <c r="G967" s="1371"/>
      <c r="H967" s="1371"/>
      <c r="I967" s="1372"/>
      <c r="J967" s="1372"/>
      <c r="K967" s="1372"/>
      <c r="L967" s="1372"/>
      <c r="M967" s="1372"/>
      <c r="N967" s="1372"/>
      <c r="O967" s="1372"/>
      <c r="P967" s="1372"/>
      <c r="Q967" s="1372"/>
      <c r="R967" s="1372"/>
      <c r="S967" s="1372"/>
      <c r="T967" s="1372"/>
      <c r="U967" s="1372"/>
      <c r="V967" s="1372"/>
      <c r="W967" s="1372"/>
      <c r="X967" s="1372"/>
      <c r="Y967" s="1372"/>
      <c r="Z967" s="1372"/>
    </row>
    <row r="968" spans="1:26" ht="15.75" customHeight="1" x14ac:dyDescent="0.25">
      <c r="A968" s="1371"/>
      <c r="B968" s="1371"/>
      <c r="C968" s="1371"/>
      <c r="D968" s="1371"/>
      <c r="E968" s="1371"/>
      <c r="F968" s="1371"/>
      <c r="G968" s="1371"/>
      <c r="H968" s="1371"/>
      <c r="I968" s="1372"/>
      <c r="J968" s="1372"/>
      <c r="K968" s="1372"/>
      <c r="L968" s="1372"/>
      <c r="M968" s="1372"/>
      <c r="N968" s="1372"/>
      <c r="O968" s="1372"/>
      <c r="P968" s="1372"/>
      <c r="Q968" s="1372"/>
      <c r="R968" s="1372"/>
      <c r="S968" s="1372"/>
      <c r="T968" s="1372"/>
      <c r="U968" s="1372"/>
      <c r="V968" s="1372"/>
      <c r="W968" s="1372"/>
      <c r="X968" s="1372"/>
      <c r="Y968" s="1372"/>
      <c r="Z968" s="1372"/>
    </row>
    <row r="969" spans="1:26" ht="15.75" customHeight="1" x14ac:dyDescent="0.25">
      <c r="A969" s="1371"/>
      <c r="B969" s="1371"/>
      <c r="C969" s="1371"/>
      <c r="D969" s="1371"/>
      <c r="E969" s="1371"/>
      <c r="F969" s="1371"/>
      <c r="G969" s="1371"/>
      <c r="H969" s="1371"/>
      <c r="I969" s="1372"/>
      <c r="J969" s="1372"/>
      <c r="K969" s="1372"/>
      <c r="L969" s="1372"/>
      <c r="M969" s="1372"/>
      <c r="N969" s="1372"/>
      <c r="O969" s="1372"/>
      <c r="P969" s="1372"/>
      <c r="Q969" s="1372"/>
      <c r="R969" s="1372"/>
      <c r="S969" s="1372"/>
      <c r="T969" s="1372"/>
      <c r="U969" s="1372"/>
      <c r="V969" s="1372"/>
      <c r="W969" s="1372"/>
      <c r="X969" s="1372"/>
      <c r="Y969" s="1372"/>
      <c r="Z969" s="1372"/>
    </row>
    <row r="970" spans="1:26" ht="15.75" customHeight="1" x14ac:dyDescent="0.25">
      <c r="A970" s="1371"/>
      <c r="B970" s="1371"/>
      <c r="C970" s="1371"/>
      <c r="D970" s="1371"/>
      <c r="E970" s="1371"/>
      <c r="F970" s="1371"/>
      <c r="G970" s="1371"/>
      <c r="H970" s="1371"/>
      <c r="I970" s="1372"/>
      <c r="J970" s="1372"/>
      <c r="K970" s="1372"/>
      <c r="L970" s="1372"/>
      <c r="M970" s="1372"/>
      <c r="N970" s="1372"/>
      <c r="O970" s="1372"/>
      <c r="P970" s="1372"/>
      <c r="Q970" s="1372"/>
      <c r="R970" s="1372"/>
      <c r="S970" s="1372"/>
      <c r="T970" s="1372"/>
      <c r="U970" s="1372"/>
      <c r="V970" s="1372"/>
      <c r="W970" s="1372"/>
      <c r="X970" s="1372"/>
      <c r="Y970" s="1372"/>
      <c r="Z970" s="1372"/>
    </row>
    <row r="971" spans="1:26" ht="15.75" customHeight="1" x14ac:dyDescent="0.25">
      <c r="A971" s="1371"/>
      <c r="B971" s="1371"/>
      <c r="C971" s="1371"/>
      <c r="D971" s="1371"/>
      <c r="E971" s="1371"/>
      <c r="F971" s="1371"/>
      <c r="G971" s="1371"/>
      <c r="H971" s="1371"/>
      <c r="I971" s="1372"/>
      <c r="J971" s="1372"/>
      <c r="K971" s="1372"/>
      <c r="L971" s="1372"/>
      <c r="M971" s="1372"/>
      <c r="N971" s="1372"/>
      <c r="O971" s="1372"/>
      <c r="P971" s="1372"/>
      <c r="Q971" s="1372"/>
      <c r="R971" s="1372"/>
      <c r="S971" s="1372"/>
      <c r="T971" s="1372"/>
      <c r="U971" s="1372"/>
      <c r="V971" s="1372"/>
      <c r="W971" s="1372"/>
      <c r="X971" s="1372"/>
      <c r="Y971" s="1372"/>
      <c r="Z971" s="1372"/>
    </row>
    <row r="972" spans="1:26" ht="15.75" customHeight="1" x14ac:dyDescent="0.25">
      <c r="A972" s="1371"/>
      <c r="B972" s="1371"/>
      <c r="C972" s="1371"/>
      <c r="D972" s="1371"/>
      <c r="E972" s="1371"/>
      <c r="F972" s="1371"/>
      <c r="G972" s="1371"/>
      <c r="H972" s="1371"/>
      <c r="I972" s="1372"/>
      <c r="J972" s="1372"/>
      <c r="K972" s="1372"/>
      <c r="L972" s="1372"/>
      <c r="M972" s="1372"/>
      <c r="N972" s="1372"/>
      <c r="O972" s="1372"/>
      <c r="P972" s="1372"/>
      <c r="Q972" s="1372"/>
      <c r="R972" s="1372"/>
      <c r="S972" s="1372"/>
      <c r="T972" s="1372"/>
      <c r="U972" s="1372"/>
      <c r="V972" s="1372"/>
      <c r="W972" s="1372"/>
      <c r="X972" s="1372"/>
      <c r="Y972" s="1372"/>
      <c r="Z972" s="1372"/>
    </row>
    <row r="973" spans="1:26" ht="15.75" customHeight="1" x14ac:dyDescent="0.25">
      <c r="A973" s="1371"/>
      <c r="B973" s="1371"/>
      <c r="C973" s="1371"/>
      <c r="D973" s="1371"/>
      <c r="E973" s="1371"/>
      <c r="F973" s="1371"/>
      <c r="G973" s="1371"/>
      <c r="H973" s="1371"/>
      <c r="I973" s="1372"/>
      <c r="J973" s="1372"/>
      <c r="K973" s="1372"/>
      <c r="L973" s="1372"/>
      <c r="M973" s="1372"/>
      <c r="N973" s="1372"/>
      <c r="O973" s="1372"/>
      <c r="P973" s="1372"/>
      <c r="Q973" s="1372"/>
      <c r="R973" s="1372"/>
      <c r="S973" s="1372"/>
      <c r="T973" s="1372"/>
      <c r="U973" s="1372"/>
      <c r="V973" s="1372"/>
      <c r="W973" s="1372"/>
      <c r="X973" s="1372"/>
      <c r="Y973" s="1372"/>
      <c r="Z973" s="1372"/>
    </row>
    <row r="974" spans="1:26" ht="15.75" customHeight="1" x14ac:dyDescent="0.25">
      <c r="A974" s="1371"/>
      <c r="B974" s="1371"/>
      <c r="C974" s="1371"/>
      <c r="D974" s="1371"/>
      <c r="E974" s="1371"/>
      <c r="F974" s="1371"/>
      <c r="G974" s="1371"/>
      <c r="H974" s="1371"/>
      <c r="I974" s="1372"/>
      <c r="J974" s="1372"/>
      <c r="K974" s="1372"/>
      <c r="L974" s="1372"/>
      <c r="M974" s="1372"/>
      <c r="N974" s="1372"/>
      <c r="O974" s="1372"/>
      <c r="P974" s="1372"/>
      <c r="Q974" s="1372"/>
      <c r="R974" s="1372"/>
      <c r="S974" s="1372"/>
      <c r="T974" s="1372"/>
      <c r="U974" s="1372"/>
      <c r="V974" s="1372"/>
      <c r="W974" s="1372"/>
      <c r="X974" s="1372"/>
      <c r="Y974" s="1372"/>
      <c r="Z974" s="1372"/>
    </row>
    <row r="975" spans="1:26" ht="15.75" customHeight="1" x14ac:dyDescent="0.25">
      <c r="A975" s="1371"/>
      <c r="B975" s="1371"/>
      <c r="C975" s="1371"/>
      <c r="D975" s="1371"/>
      <c r="E975" s="1371"/>
      <c r="F975" s="1371"/>
      <c r="G975" s="1371"/>
      <c r="H975" s="1371"/>
      <c r="I975" s="1372"/>
      <c r="J975" s="1372"/>
      <c r="K975" s="1372"/>
      <c r="L975" s="1372"/>
      <c r="M975" s="1372"/>
      <c r="N975" s="1372"/>
      <c r="O975" s="1372"/>
      <c r="P975" s="1372"/>
      <c r="Q975" s="1372"/>
      <c r="R975" s="1372"/>
      <c r="S975" s="1372"/>
      <c r="T975" s="1372"/>
      <c r="U975" s="1372"/>
      <c r="V975" s="1372"/>
      <c r="W975" s="1372"/>
      <c r="X975" s="1372"/>
      <c r="Y975" s="1372"/>
      <c r="Z975" s="1372"/>
    </row>
    <row r="976" spans="1:26" ht="15.75" customHeight="1" x14ac:dyDescent="0.25">
      <c r="A976" s="1371"/>
      <c r="B976" s="1371"/>
      <c r="C976" s="1371"/>
      <c r="D976" s="1371"/>
      <c r="E976" s="1371"/>
      <c r="F976" s="1371"/>
      <c r="G976" s="1371"/>
      <c r="H976" s="1371"/>
      <c r="I976" s="1372"/>
      <c r="J976" s="1372"/>
      <c r="K976" s="1372"/>
      <c r="L976" s="1372"/>
      <c r="M976" s="1372"/>
      <c r="N976" s="1372"/>
      <c r="O976" s="1372"/>
      <c r="P976" s="1372"/>
      <c r="Q976" s="1372"/>
      <c r="R976" s="1372"/>
      <c r="S976" s="1372"/>
      <c r="T976" s="1372"/>
      <c r="U976" s="1372"/>
      <c r="V976" s="1372"/>
      <c r="W976" s="1372"/>
      <c r="X976" s="1372"/>
      <c r="Y976" s="1372"/>
      <c r="Z976" s="1372"/>
    </row>
    <row r="977" spans="1:26" ht="15.75" customHeight="1" x14ac:dyDescent="0.25">
      <c r="A977" s="1371"/>
      <c r="B977" s="1371"/>
      <c r="C977" s="1371"/>
      <c r="D977" s="1371"/>
      <c r="E977" s="1371"/>
      <c r="F977" s="1371"/>
      <c r="G977" s="1371"/>
      <c r="H977" s="1371"/>
      <c r="I977" s="1372"/>
      <c r="J977" s="1372"/>
      <c r="K977" s="1372"/>
      <c r="L977" s="1372"/>
      <c r="M977" s="1372"/>
      <c r="N977" s="1372"/>
      <c r="O977" s="1372"/>
      <c r="P977" s="1372"/>
      <c r="Q977" s="1372"/>
      <c r="R977" s="1372"/>
      <c r="S977" s="1372"/>
      <c r="T977" s="1372"/>
      <c r="U977" s="1372"/>
      <c r="V977" s="1372"/>
      <c r="W977" s="1372"/>
      <c r="X977" s="1372"/>
      <c r="Y977" s="1372"/>
      <c r="Z977" s="1372"/>
    </row>
    <row r="978" spans="1:26" ht="15.75" customHeight="1" x14ac:dyDescent="0.25">
      <c r="A978" s="1371"/>
      <c r="B978" s="1371"/>
      <c r="C978" s="1371"/>
      <c r="D978" s="1371"/>
      <c r="E978" s="1371"/>
      <c r="F978" s="1371"/>
      <c r="G978" s="1371"/>
      <c r="H978" s="1371"/>
      <c r="I978" s="1372"/>
      <c r="J978" s="1372"/>
      <c r="K978" s="1372"/>
      <c r="L978" s="1372"/>
      <c r="M978" s="1372"/>
      <c r="N978" s="1372"/>
      <c r="O978" s="1372"/>
      <c r="P978" s="1372"/>
      <c r="Q978" s="1372"/>
      <c r="R978" s="1372"/>
      <c r="S978" s="1372"/>
      <c r="T978" s="1372"/>
      <c r="U978" s="1372"/>
      <c r="V978" s="1372"/>
      <c r="W978" s="1372"/>
      <c r="X978" s="1372"/>
      <c r="Y978" s="1372"/>
      <c r="Z978" s="1372"/>
    </row>
    <row r="979" spans="1:26" ht="15.75" customHeight="1" x14ac:dyDescent="0.25">
      <c r="A979" s="1371"/>
      <c r="B979" s="1371"/>
      <c r="C979" s="1371"/>
      <c r="D979" s="1371"/>
      <c r="E979" s="1371"/>
      <c r="F979" s="1371"/>
      <c r="G979" s="1371"/>
      <c r="H979" s="1371"/>
      <c r="I979" s="1372"/>
      <c r="J979" s="1372"/>
      <c r="K979" s="1372"/>
      <c r="L979" s="1372"/>
      <c r="M979" s="1372"/>
      <c r="N979" s="1372"/>
      <c r="O979" s="1372"/>
      <c r="P979" s="1372"/>
      <c r="Q979" s="1372"/>
      <c r="R979" s="1372"/>
      <c r="S979" s="1372"/>
      <c r="T979" s="1372"/>
      <c r="U979" s="1372"/>
      <c r="V979" s="1372"/>
      <c r="W979" s="1372"/>
      <c r="X979" s="1372"/>
      <c r="Y979" s="1372"/>
      <c r="Z979" s="1372"/>
    </row>
    <row r="980" spans="1:26" ht="15.75" customHeight="1" x14ac:dyDescent="0.25">
      <c r="A980" s="1371"/>
      <c r="B980" s="1371"/>
      <c r="C980" s="1371"/>
      <c r="D980" s="1371"/>
      <c r="E980" s="1371"/>
      <c r="F980" s="1371"/>
      <c r="G980" s="1371"/>
      <c r="H980" s="1371"/>
      <c r="I980" s="1372"/>
      <c r="J980" s="1372"/>
      <c r="K980" s="1372"/>
      <c r="L980" s="1372"/>
      <c r="M980" s="1372"/>
      <c r="N980" s="1372"/>
      <c r="O980" s="1372"/>
      <c r="P980" s="1372"/>
      <c r="Q980" s="1372"/>
      <c r="R980" s="1372"/>
      <c r="S980" s="1372"/>
      <c r="T980" s="1372"/>
      <c r="U980" s="1372"/>
      <c r="V980" s="1372"/>
      <c r="W980" s="1372"/>
      <c r="X980" s="1372"/>
      <c r="Y980" s="1372"/>
      <c r="Z980" s="1372"/>
    </row>
    <row r="981" spans="1:26" ht="15.75" customHeight="1" x14ac:dyDescent="0.25">
      <c r="A981" s="1371"/>
      <c r="B981" s="1371"/>
      <c r="C981" s="1371"/>
      <c r="D981" s="1371"/>
      <c r="E981" s="1371"/>
      <c r="F981" s="1371"/>
      <c r="G981" s="1371"/>
      <c r="H981" s="1371"/>
      <c r="I981" s="1372"/>
      <c r="J981" s="1372"/>
      <c r="K981" s="1372"/>
      <c r="L981" s="1372"/>
      <c r="M981" s="1372"/>
      <c r="N981" s="1372"/>
      <c r="O981" s="1372"/>
      <c r="P981" s="1372"/>
      <c r="Q981" s="1372"/>
      <c r="R981" s="1372"/>
      <c r="S981" s="1372"/>
      <c r="T981" s="1372"/>
      <c r="U981" s="1372"/>
      <c r="V981" s="1372"/>
      <c r="W981" s="1372"/>
      <c r="X981" s="1372"/>
      <c r="Y981" s="1372"/>
      <c r="Z981" s="1372"/>
    </row>
    <row r="982" spans="1:26" ht="15.75" customHeight="1" x14ac:dyDescent="0.25">
      <c r="A982" s="1371"/>
      <c r="B982" s="1371"/>
      <c r="C982" s="1371"/>
      <c r="D982" s="1371"/>
      <c r="E982" s="1371"/>
      <c r="F982" s="1371"/>
      <c r="G982" s="1371"/>
      <c r="H982" s="1371"/>
      <c r="I982" s="1372"/>
      <c r="J982" s="1372"/>
      <c r="K982" s="1372"/>
      <c r="L982" s="1372"/>
      <c r="M982" s="1372"/>
      <c r="N982" s="1372"/>
      <c r="O982" s="1372"/>
      <c r="P982" s="1372"/>
      <c r="Q982" s="1372"/>
      <c r="R982" s="1372"/>
      <c r="S982" s="1372"/>
      <c r="T982" s="1372"/>
      <c r="U982" s="1372"/>
      <c r="V982" s="1372"/>
      <c r="W982" s="1372"/>
      <c r="X982" s="1372"/>
      <c r="Y982" s="1372"/>
      <c r="Z982" s="1372"/>
    </row>
    <row r="983" spans="1:26" ht="15.75" customHeight="1" x14ac:dyDescent="0.25">
      <c r="A983" s="1371"/>
      <c r="B983" s="1371"/>
      <c r="C983" s="1371"/>
      <c r="D983" s="1371"/>
      <c r="E983" s="1371"/>
      <c r="F983" s="1371"/>
      <c r="G983" s="1371"/>
      <c r="H983" s="1371"/>
      <c r="I983" s="1372"/>
      <c r="J983" s="1372"/>
      <c r="K983" s="1372"/>
      <c r="L983" s="1372"/>
      <c r="M983" s="1372"/>
      <c r="N983" s="1372"/>
      <c r="O983" s="1372"/>
      <c r="P983" s="1372"/>
      <c r="Q983" s="1372"/>
      <c r="R983" s="1372"/>
      <c r="S983" s="1372"/>
      <c r="T983" s="1372"/>
      <c r="U983" s="1372"/>
      <c r="V983" s="1372"/>
      <c r="W983" s="1372"/>
      <c r="X983" s="1372"/>
      <c r="Y983" s="1372"/>
      <c r="Z983" s="1372"/>
    </row>
    <row r="984" spans="1:26" ht="15.75" customHeight="1" x14ac:dyDescent="0.25">
      <c r="A984" s="1371"/>
      <c r="B984" s="1371"/>
      <c r="C984" s="1371"/>
      <c r="D984" s="1371"/>
      <c r="E984" s="1371"/>
      <c r="F984" s="1371"/>
      <c r="G984" s="1371"/>
      <c r="H984" s="1371"/>
      <c r="I984" s="1372"/>
      <c r="J984" s="1372"/>
      <c r="K984" s="1372"/>
      <c r="L984" s="1372"/>
      <c r="M984" s="1372"/>
      <c r="N984" s="1372"/>
      <c r="O984" s="1372"/>
      <c r="P984" s="1372"/>
      <c r="Q984" s="1372"/>
      <c r="R984" s="1372"/>
      <c r="S984" s="1372"/>
      <c r="T984" s="1372"/>
      <c r="U984" s="1372"/>
      <c r="V984" s="1372"/>
      <c r="W984" s="1372"/>
      <c r="X984" s="1372"/>
      <c r="Y984" s="1372"/>
      <c r="Z984" s="1372"/>
    </row>
    <row r="985" spans="1:26" ht="15.75" customHeight="1" x14ac:dyDescent="0.25">
      <c r="A985" s="1371"/>
      <c r="B985" s="1371"/>
      <c r="C985" s="1371"/>
      <c r="D985" s="1371"/>
      <c r="E985" s="1371"/>
      <c r="F985" s="1371"/>
      <c r="G985" s="1371"/>
      <c r="H985" s="1371"/>
      <c r="I985" s="1372"/>
      <c r="J985" s="1372"/>
      <c r="K985" s="1372"/>
      <c r="L985" s="1372"/>
      <c r="M985" s="1372"/>
      <c r="N985" s="1372"/>
      <c r="O985" s="1372"/>
      <c r="P985" s="1372"/>
      <c r="Q985" s="1372"/>
      <c r="R985" s="1372"/>
      <c r="S985" s="1372"/>
      <c r="T985" s="1372"/>
      <c r="U985" s="1372"/>
      <c r="V985" s="1372"/>
      <c r="W985" s="1372"/>
      <c r="X985" s="1372"/>
      <c r="Y985" s="1372"/>
      <c r="Z985" s="1372"/>
    </row>
    <row r="986" spans="1:26" ht="15.75" customHeight="1" x14ac:dyDescent="0.25">
      <c r="A986" s="1371"/>
      <c r="B986" s="1371"/>
      <c r="C986" s="1371"/>
      <c r="D986" s="1371"/>
      <c r="E986" s="1371"/>
      <c r="F986" s="1371"/>
      <c r="G986" s="1371"/>
      <c r="H986" s="1371"/>
      <c r="I986" s="1372"/>
      <c r="J986" s="1372"/>
      <c r="K986" s="1372"/>
      <c r="L986" s="1372"/>
      <c r="M986" s="1372"/>
      <c r="N986" s="1372"/>
      <c r="O986" s="1372"/>
      <c r="P986" s="1372"/>
      <c r="Q986" s="1372"/>
      <c r="R986" s="1372"/>
      <c r="S986" s="1372"/>
      <c r="T986" s="1372"/>
      <c r="U986" s="1372"/>
      <c r="V986" s="1372"/>
      <c r="W986" s="1372"/>
      <c r="X986" s="1372"/>
      <c r="Y986" s="1372"/>
      <c r="Z986" s="1372"/>
    </row>
    <row r="987" spans="1:26" ht="15.75" customHeight="1" x14ac:dyDescent="0.25">
      <c r="A987" s="1371"/>
      <c r="B987" s="1371"/>
      <c r="C987" s="1371"/>
      <c r="D987" s="1371"/>
      <c r="E987" s="1371"/>
      <c r="F987" s="1371"/>
      <c r="G987" s="1371"/>
      <c r="H987" s="1371"/>
      <c r="I987" s="1372"/>
      <c r="J987" s="1372"/>
      <c r="K987" s="1372"/>
      <c r="L987" s="1372"/>
      <c r="M987" s="1372"/>
      <c r="N987" s="1372"/>
      <c r="O987" s="1372"/>
      <c r="P987" s="1372"/>
      <c r="Q987" s="1372"/>
      <c r="R987" s="1372"/>
      <c r="S987" s="1372"/>
      <c r="T987" s="1372"/>
      <c r="U987" s="1372"/>
      <c r="V987" s="1372"/>
      <c r="W987" s="1372"/>
      <c r="X987" s="1372"/>
      <c r="Y987" s="1372"/>
      <c r="Z987" s="1372"/>
    </row>
    <row r="988" spans="1:26" ht="15.75" customHeight="1" x14ac:dyDescent="0.25">
      <c r="A988" s="1371"/>
      <c r="B988" s="1371"/>
      <c r="C988" s="1371"/>
      <c r="D988" s="1371"/>
      <c r="E988" s="1371"/>
      <c r="F988" s="1371"/>
      <c r="G988" s="1371"/>
      <c r="H988" s="1371"/>
      <c r="I988" s="1372"/>
      <c r="J988" s="1372"/>
      <c r="K988" s="1372"/>
      <c r="L988" s="1372"/>
      <c r="M988" s="1372"/>
      <c r="N988" s="1372"/>
      <c r="O988" s="1372"/>
      <c r="P988" s="1372"/>
      <c r="Q988" s="1372"/>
      <c r="R988" s="1372"/>
      <c r="S988" s="1372"/>
      <c r="T988" s="1372"/>
      <c r="U988" s="1372"/>
      <c r="V988" s="1372"/>
      <c r="W988" s="1372"/>
      <c r="X988" s="1372"/>
      <c r="Y988" s="1372"/>
      <c r="Z988" s="1372"/>
    </row>
    <row r="989" spans="1:26" ht="15.75" customHeight="1" x14ac:dyDescent="0.25">
      <c r="A989" s="1371"/>
      <c r="B989" s="1371"/>
      <c r="C989" s="1371"/>
      <c r="D989" s="1371"/>
      <c r="E989" s="1371"/>
      <c r="F989" s="1371"/>
      <c r="G989" s="1371"/>
      <c r="H989" s="1371"/>
      <c r="I989" s="1372"/>
      <c r="J989" s="1372"/>
      <c r="K989" s="1372"/>
      <c r="L989" s="1372"/>
      <c r="M989" s="1372"/>
      <c r="N989" s="1372"/>
      <c r="O989" s="1372"/>
      <c r="P989" s="1372"/>
      <c r="Q989" s="1372"/>
      <c r="R989" s="1372"/>
      <c r="S989" s="1372"/>
      <c r="T989" s="1372"/>
      <c r="U989" s="1372"/>
      <c r="V989" s="1372"/>
      <c r="W989" s="1372"/>
      <c r="X989" s="1372"/>
      <c r="Y989" s="1372"/>
      <c r="Z989" s="1372"/>
    </row>
    <row r="990" spans="1:26" ht="15.75" customHeight="1" x14ac:dyDescent="0.25">
      <c r="A990" s="1371"/>
      <c r="B990" s="1371"/>
      <c r="C990" s="1371"/>
      <c r="D990" s="1371"/>
      <c r="E990" s="1371"/>
      <c r="F990" s="1371"/>
      <c r="G990" s="1371"/>
      <c r="H990" s="1371"/>
      <c r="I990" s="1372"/>
      <c r="J990" s="1372"/>
      <c r="K990" s="1372"/>
      <c r="L990" s="1372"/>
      <c r="M990" s="1372"/>
      <c r="N990" s="1372"/>
      <c r="O990" s="1372"/>
      <c r="P990" s="1372"/>
      <c r="Q990" s="1372"/>
      <c r="R990" s="1372"/>
      <c r="S990" s="1372"/>
      <c r="T990" s="1372"/>
      <c r="U990" s="1372"/>
      <c r="V990" s="1372"/>
      <c r="W990" s="1372"/>
      <c r="X990" s="1372"/>
      <c r="Y990" s="1372"/>
      <c r="Z990" s="1372"/>
    </row>
    <row r="991" spans="1:26" ht="15.75" customHeight="1" x14ac:dyDescent="0.25">
      <c r="A991" s="1371"/>
      <c r="B991" s="1371"/>
      <c r="C991" s="1371"/>
      <c r="D991" s="1371"/>
      <c r="E991" s="1371"/>
      <c r="F991" s="1371"/>
      <c r="G991" s="1371"/>
      <c r="H991" s="1371"/>
      <c r="I991" s="1372"/>
      <c r="J991" s="1372"/>
      <c r="K991" s="1372"/>
      <c r="L991" s="1372"/>
      <c r="M991" s="1372"/>
      <c r="N991" s="1372"/>
      <c r="O991" s="1372"/>
      <c r="P991" s="1372"/>
      <c r="Q991" s="1372"/>
      <c r="R991" s="1372"/>
      <c r="S991" s="1372"/>
      <c r="T991" s="1372"/>
      <c r="U991" s="1372"/>
      <c r="V991" s="1372"/>
      <c r="W991" s="1372"/>
      <c r="X991" s="1372"/>
      <c r="Y991" s="1372"/>
      <c r="Z991" s="1372"/>
    </row>
    <row r="992" spans="1:26" ht="15.75" customHeight="1" x14ac:dyDescent="0.25">
      <c r="A992" s="1371"/>
      <c r="B992" s="1371"/>
      <c r="C992" s="1371"/>
      <c r="D992" s="1371"/>
      <c r="E992" s="1371"/>
      <c r="F992" s="1371"/>
      <c r="G992" s="1371"/>
      <c r="H992" s="1371"/>
      <c r="I992" s="1372"/>
      <c r="J992" s="1372"/>
      <c r="K992" s="1372"/>
      <c r="L992" s="1372"/>
      <c r="M992" s="1372"/>
      <c r="N992" s="1372"/>
      <c r="O992" s="1372"/>
      <c r="P992" s="1372"/>
      <c r="Q992" s="1372"/>
      <c r="R992" s="1372"/>
      <c r="S992" s="1372"/>
      <c r="T992" s="1372"/>
      <c r="U992" s="1372"/>
      <c r="V992" s="1372"/>
      <c r="W992" s="1372"/>
      <c r="X992" s="1372"/>
      <c r="Y992" s="1372"/>
      <c r="Z992" s="1372"/>
    </row>
    <row r="993" spans="1:26" ht="15.75" customHeight="1" x14ac:dyDescent="0.25">
      <c r="A993" s="1371"/>
      <c r="B993" s="1371"/>
      <c r="C993" s="1371"/>
      <c r="D993" s="1371"/>
      <c r="E993" s="1371"/>
      <c r="F993" s="1371"/>
      <c r="G993" s="1371"/>
      <c r="H993" s="1371"/>
      <c r="I993" s="1372"/>
      <c r="J993" s="1372"/>
      <c r="K993" s="1372"/>
      <c r="L993" s="1372"/>
      <c r="M993" s="1372"/>
      <c r="N993" s="1372"/>
      <c r="O993" s="1372"/>
      <c r="P993" s="1372"/>
      <c r="Q993" s="1372"/>
      <c r="R993" s="1372"/>
      <c r="S993" s="1372"/>
      <c r="T993" s="1372"/>
      <c r="U993" s="1372"/>
      <c r="V993" s="1372"/>
      <c r="W993" s="1372"/>
      <c r="X993" s="1372"/>
      <c r="Y993" s="1372"/>
      <c r="Z993" s="1372"/>
    </row>
    <row r="994" spans="1:26" ht="15.75" customHeight="1" x14ac:dyDescent="0.25">
      <c r="A994" s="1371"/>
      <c r="B994" s="1371"/>
      <c r="C994" s="1371"/>
      <c r="D994" s="1371"/>
      <c r="E994" s="1371"/>
      <c r="F994" s="1371"/>
      <c r="G994" s="1371"/>
      <c r="H994" s="1371"/>
      <c r="I994" s="1372"/>
      <c r="J994" s="1372"/>
      <c r="K994" s="1372"/>
      <c r="L994" s="1372"/>
      <c r="M994" s="1372"/>
      <c r="N994" s="1372"/>
      <c r="O994" s="1372"/>
      <c r="P994" s="1372"/>
      <c r="Q994" s="1372"/>
      <c r="R994" s="1372"/>
      <c r="S994" s="1372"/>
      <c r="T994" s="1372"/>
      <c r="U994" s="1372"/>
      <c r="V994" s="1372"/>
      <c r="W994" s="1372"/>
      <c r="X994" s="1372"/>
      <c r="Y994" s="1372"/>
      <c r="Z994" s="1372"/>
    </row>
    <row r="995" spans="1:26" ht="15.75" customHeight="1" x14ac:dyDescent="0.25">
      <c r="A995" s="1371"/>
      <c r="B995" s="1371"/>
      <c r="C995" s="1371"/>
      <c r="D995" s="1371"/>
      <c r="E995" s="1371"/>
      <c r="F995" s="1371"/>
      <c r="G995" s="1371"/>
      <c r="H995" s="1371"/>
      <c r="I995" s="1372"/>
      <c r="J995" s="1372"/>
      <c r="K995" s="1372"/>
      <c r="L995" s="1372"/>
      <c r="M995" s="1372"/>
      <c r="N995" s="1372"/>
      <c r="O995" s="1372"/>
      <c r="P995" s="1372"/>
      <c r="Q995" s="1372"/>
      <c r="R995" s="1372"/>
      <c r="S995" s="1372"/>
      <c r="T995" s="1372"/>
      <c r="U995" s="1372"/>
      <c r="V995" s="1372"/>
      <c r="W995" s="1372"/>
      <c r="X995" s="1372"/>
      <c r="Y995" s="1372"/>
      <c r="Z995" s="1372"/>
    </row>
    <row r="996" spans="1:26" ht="15.75" customHeight="1" x14ac:dyDescent="0.25">
      <c r="A996" s="1371"/>
      <c r="B996" s="1371"/>
      <c r="C996" s="1371"/>
      <c r="D996" s="1371"/>
      <c r="E996" s="1371"/>
      <c r="F996" s="1371"/>
      <c r="G996" s="1371"/>
      <c r="H996" s="1371"/>
      <c r="I996" s="1372"/>
      <c r="J996" s="1372"/>
      <c r="K996" s="1372"/>
      <c r="L996" s="1372"/>
      <c r="M996" s="1372"/>
      <c r="N996" s="1372"/>
      <c r="O996" s="1372"/>
      <c r="P996" s="1372"/>
      <c r="Q996" s="1372"/>
      <c r="R996" s="1372"/>
      <c r="S996" s="1372"/>
      <c r="T996" s="1372"/>
      <c r="U996" s="1372"/>
      <c r="V996" s="1372"/>
      <c r="W996" s="1372"/>
      <c r="X996" s="1372"/>
      <c r="Y996" s="1372"/>
      <c r="Z996" s="1372"/>
    </row>
    <row r="997" spans="1:26" ht="15.75" customHeight="1" x14ac:dyDescent="0.25">
      <c r="A997" s="1371"/>
      <c r="B997" s="1371"/>
      <c r="C997" s="1371"/>
      <c r="D997" s="1371"/>
      <c r="E997" s="1371"/>
      <c r="F997" s="1371"/>
      <c r="G997" s="1371"/>
      <c r="H997" s="1371"/>
      <c r="I997" s="1372"/>
      <c r="J997" s="1372"/>
      <c r="K997" s="1372"/>
      <c r="L997" s="1372"/>
      <c r="M997" s="1372"/>
      <c r="N997" s="1372"/>
      <c r="O997" s="1372"/>
      <c r="P997" s="1372"/>
      <c r="Q997" s="1372"/>
      <c r="R997" s="1372"/>
      <c r="S997" s="1372"/>
      <c r="T997" s="1372"/>
      <c r="U997" s="1372"/>
      <c r="V997" s="1372"/>
      <c r="W997" s="1372"/>
      <c r="X997" s="1372"/>
      <c r="Y997" s="1372"/>
      <c r="Z997" s="1372"/>
    </row>
    <row r="998" spans="1:26" ht="15.75" customHeight="1" x14ac:dyDescent="0.25">
      <c r="A998" s="1371"/>
      <c r="B998" s="1371"/>
      <c r="C998" s="1371"/>
      <c r="D998" s="1371"/>
      <c r="E998" s="1371"/>
      <c r="F998" s="1371"/>
      <c r="G998" s="1371"/>
      <c r="H998" s="1371"/>
      <c r="I998" s="1372"/>
      <c r="J998" s="1372"/>
      <c r="K998" s="1372"/>
      <c r="L998" s="1372"/>
      <c r="M998" s="1372"/>
      <c r="N998" s="1372"/>
      <c r="O998" s="1372"/>
      <c r="P998" s="1372"/>
      <c r="Q998" s="1372"/>
      <c r="R998" s="1372"/>
      <c r="S998" s="1372"/>
      <c r="T998" s="1372"/>
      <c r="U998" s="1372"/>
      <c r="V998" s="1372"/>
      <c r="W998" s="1372"/>
      <c r="X998" s="1372"/>
      <c r="Y998" s="1372"/>
      <c r="Z998" s="1372"/>
    </row>
    <row r="999" spans="1:26" ht="15.75" customHeight="1" x14ac:dyDescent="0.25">
      <c r="A999" s="1371"/>
      <c r="B999" s="1371"/>
      <c r="C999" s="1371"/>
      <c r="D999" s="1371"/>
      <c r="E999" s="1371"/>
      <c r="F999" s="1371"/>
      <c r="G999" s="1371"/>
      <c r="H999" s="1371"/>
      <c r="I999" s="1372"/>
      <c r="J999" s="1372"/>
      <c r="K999" s="1372"/>
      <c r="L999" s="1372"/>
      <c r="M999" s="1372"/>
      <c r="N999" s="1372"/>
      <c r="O999" s="1372"/>
      <c r="P999" s="1372"/>
      <c r="Q999" s="1372"/>
      <c r="R999" s="1372"/>
      <c r="S999" s="1372"/>
      <c r="T999" s="1372"/>
      <c r="U999" s="1372"/>
      <c r="V999" s="1372"/>
      <c r="W999" s="1372"/>
      <c r="X999" s="1372"/>
      <c r="Y999" s="1372"/>
      <c r="Z999" s="1372"/>
    </row>
    <row r="1000" spans="1:26" ht="15.75" customHeight="1" x14ac:dyDescent="0.25">
      <c r="A1000" s="1371"/>
      <c r="B1000" s="1371"/>
      <c r="C1000" s="1371"/>
      <c r="D1000" s="1371"/>
      <c r="E1000" s="1371"/>
      <c r="F1000" s="1371"/>
      <c r="G1000" s="1371"/>
      <c r="H1000" s="1371"/>
      <c r="I1000" s="1372"/>
      <c r="J1000" s="1372"/>
      <c r="K1000" s="1372"/>
      <c r="L1000" s="1372"/>
      <c r="M1000" s="1372"/>
      <c r="N1000" s="1372"/>
      <c r="O1000" s="1372"/>
      <c r="P1000" s="1372"/>
      <c r="Q1000" s="1372"/>
      <c r="R1000" s="1372"/>
      <c r="S1000" s="1372"/>
      <c r="T1000" s="1372"/>
      <c r="U1000" s="1372"/>
      <c r="V1000" s="1372"/>
      <c r="W1000" s="1372"/>
      <c r="X1000" s="1372"/>
      <c r="Y1000" s="1372"/>
      <c r="Z1000" s="1372"/>
    </row>
  </sheetData>
  <sheetProtection algorithmName="SHA-512" hashValue="xLke98trz8Npq+A8DnehOiAQUBk4nMGszFKsv9VvCAOac8QkwURkUbW83GwSjQygnNWaP0yUXw0Off5k/JanYg==" saltValue="dLFVsVbKhl49BF5rPcH/Mw==" spinCount="100000" sheet="1" objects="1" scenarios="1"/>
  <mergeCells count="2">
    <mergeCell ref="A1:B1"/>
    <mergeCell ref="G1:H1"/>
  </mergeCells>
  <pageMargins left="0.7" right="0.7" top="0.75" bottom="0.75" header="0" footer="0"/>
  <pageSetup orientation="landscape" r:id="rId1"/>
  <headerFooter>
    <oddHeader>&amp;R&amp;"Aptos"&amp;12&amp;K000000 UNCLASSIFIED - NON CLASSIFIÉ&amp;1#_x000D_</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26D0B2B-7096-4704-9A3C-EC972F3A7290}">
  <ds:schemaRefs>
    <ds:schemaRef ds:uri="http://schemas.microsoft.com/DataMashup"/>
  </ds:schemaRefs>
</ds:datastoreItem>
</file>

<file path=docMetadata/LabelInfo.xml><?xml version="1.0" encoding="utf-8"?>
<clbl:labelList xmlns:clbl="http://schemas.microsoft.com/office/2020/mipLabelMetadata">
  <clbl:label id="{219619fd-75dc-48cb-820d-8f683a95dd8b}" enabled="1" method="Privileged" siteId="{05c95b33-90ca-49d5-b644-288b930b912b}"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42</vt:i4>
      </vt:variant>
      <vt:variant>
        <vt:lpstr>Named Ranges</vt:lpstr>
      </vt:variant>
      <vt:variant>
        <vt:i4>187</vt:i4>
      </vt:variant>
    </vt:vector>
  </HeadingPairs>
  <TitlesOfParts>
    <vt:vector size="229" baseType="lpstr">
      <vt:lpstr>Cover_Couverture</vt:lpstr>
      <vt:lpstr>License</vt:lpstr>
      <vt:lpstr>Introduction</vt:lpstr>
      <vt:lpstr>Introduction-FR</vt:lpstr>
      <vt:lpstr>USER INPUT SHEET</vt:lpstr>
      <vt:lpstr>Conctete Selections</vt:lpstr>
      <vt:lpstr>Footings &amp; Slabs</vt:lpstr>
      <vt:lpstr>Foundation Walls</vt:lpstr>
      <vt:lpstr>Structural Elements</vt:lpstr>
      <vt:lpstr>Ext. Walls</vt:lpstr>
      <vt:lpstr>Ext. Wall Systems</vt:lpstr>
      <vt:lpstr>Party Walls</vt:lpstr>
      <vt:lpstr>Cladding</vt:lpstr>
      <vt:lpstr>Windows</vt:lpstr>
      <vt:lpstr>Int. Walls</vt:lpstr>
      <vt:lpstr>Floors</vt:lpstr>
      <vt:lpstr>Ceilings</vt:lpstr>
      <vt:lpstr>Roof</vt:lpstr>
      <vt:lpstr>Garage</vt:lpstr>
      <vt:lpstr>User-Defined</vt:lpstr>
      <vt:lpstr>REVIEW</vt:lpstr>
      <vt:lpstr>Translation-EN</vt:lpstr>
      <vt:lpstr>Translation-FR</vt:lpstr>
      <vt:lpstr>RESULTS</vt:lpstr>
      <vt:lpstr>RESULTS OLD</vt:lpstr>
      <vt:lpstr>SCENARIOS</vt:lpstr>
      <vt:lpstr>Scenarios-DB</vt:lpstr>
      <vt:lpstr>Glossary</vt:lpstr>
      <vt:lpstr>Glossaire</vt:lpstr>
      <vt:lpstr>Energy GHG</vt:lpstr>
      <vt:lpstr>NBC Emissions Factors</vt:lpstr>
      <vt:lpstr>H2K Emissions Factors</vt:lpstr>
      <vt:lpstr>Cell Sizes</vt:lpstr>
      <vt:lpstr>Element Properties</vt:lpstr>
      <vt:lpstr>Data</vt:lpstr>
      <vt:lpstr>Master sheet</vt:lpstr>
      <vt:lpstr>Composite Master Sheet</vt:lpstr>
      <vt:lpstr>Windows Methodology</vt:lpstr>
      <vt:lpstr>Dropdown Lists</vt:lpstr>
      <vt:lpstr>Setting</vt:lpstr>
      <vt:lpstr>MCE2_operational_carbon_2050</vt:lpstr>
      <vt:lpstr>Formulas &amp; Formats</vt:lpstr>
      <vt:lpstr>SCENARIOS!DataRowA_1</vt:lpstr>
      <vt:lpstr>SCENARIOS!DataRowA_10</vt:lpstr>
      <vt:lpstr>SCENARIOS!DataRowA_11</vt:lpstr>
      <vt:lpstr>SCENARIOS!DataRowA_12</vt:lpstr>
      <vt:lpstr>SCENARIOS!DataRowA_13</vt:lpstr>
      <vt:lpstr>SCENARIOS!DataRowA_14</vt:lpstr>
      <vt:lpstr>SCENARIOS!DataRowA_2</vt:lpstr>
      <vt:lpstr>SCENARIOS!DataRowA_3</vt:lpstr>
      <vt:lpstr>SCENARIOS!DataRowA_4</vt:lpstr>
      <vt:lpstr>SCENARIOS!DataRowA_5</vt:lpstr>
      <vt:lpstr>SCENARIOS!DataRowA_6</vt:lpstr>
      <vt:lpstr>SCENARIOS!DataRowA_7</vt:lpstr>
      <vt:lpstr>SCENARIOS!DataRowA_8</vt:lpstr>
      <vt:lpstr>SCENARIOS!DataRowA_9</vt:lpstr>
      <vt:lpstr>RESULTS!Print_Area</vt:lpstr>
      <vt:lpstr>rng_bio_carbon_storg</vt:lpstr>
      <vt:lpstr>'Master sheet'!rng_biogenic_storage</vt:lpstr>
      <vt:lpstr>rng_component_sheets</vt:lpstr>
      <vt:lpstr>rng_date_on_file</vt:lpstr>
      <vt:lpstr>'USER INPUT SHEET'!rng_exclude_base_load_for_nbc</vt:lpstr>
      <vt:lpstr>Setting!rng_language</vt:lpstr>
      <vt:lpstr>'User-Defined'!rng_material_index_col</vt:lpstr>
      <vt:lpstr>RESULTS!rng_prev_emission_selection</vt:lpstr>
      <vt:lpstr>rng_previous_province</vt:lpstr>
      <vt:lpstr>'USER INPUT SHEET'!rng_province</vt:lpstr>
      <vt:lpstr>'Ext. Walls'!rng_rvalue_e1</vt:lpstr>
      <vt:lpstr>'Ext. Walls'!rng_rvalue_e1_1</vt:lpstr>
      <vt:lpstr>'Ext. Walls'!rng_rvalue_e1_2</vt:lpstr>
      <vt:lpstr>'Ext. Walls'!rng_rvalue_e1_3</vt:lpstr>
      <vt:lpstr>'Ext. Walls'!rng_rvalue_e1_4</vt:lpstr>
      <vt:lpstr>'Ext. Walls'!rng_rvalue_e1_5</vt:lpstr>
      <vt:lpstr>'Ext. Walls'!rng_rvalue_e1_6</vt:lpstr>
      <vt:lpstr>'Ext. Walls'!rng_rvalue_e1_7</vt:lpstr>
      <vt:lpstr>'Ext. Walls'!rng_rvalue_e1_8</vt:lpstr>
      <vt:lpstr>'Ext. Walls'!rng_rvalue_e1_9</vt:lpstr>
      <vt:lpstr>'Ext. Walls'!rng_rvalue_e1_a1</vt:lpstr>
      <vt:lpstr>'Ext. Walls'!rng_rvalue_e2</vt:lpstr>
      <vt:lpstr>'Ext. Walls'!rng_rvalue_e2_1</vt:lpstr>
      <vt:lpstr>'Ext. Walls'!rng_rvalue_e2_2</vt:lpstr>
      <vt:lpstr>'Ext. Walls'!rng_rvalue_e2_3</vt:lpstr>
      <vt:lpstr>'Ext. Walls'!rng_rvalue_e2_4</vt:lpstr>
      <vt:lpstr>'Ext. Walls'!rng_rvalue_e2_5</vt:lpstr>
      <vt:lpstr>'Ext. Walls'!rng_rvalue_e2_6</vt:lpstr>
      <vt:lpstr>'Ext. Walls'!rng_rvalue_e2_7</vt:lpstr>
      <vt:lpstr>'Footings &amp; Slabs'!rng_rvalue_f1</vt:lpstr>
      <vt:lpstr>'Footings &amp; Slabs'!rng_rvalue_f1_1</vt:lpstr>
      <vt:lpstr>'Footings &amp; Slabs'!rng_rvalue_f1_2</vt:lpstr>
      <vt:lpstr>'Footings &amp; Slabs'!rng_rvalue_f1_3</vt:lpstr>
      <vt:lpstr>'Footings &amp; Slabs'!rng_rvalue_f1_4</vt:lpstr>
      <vt:lpstr>'Footings &amp; Slabs'!rng_rvalue_f1_5</vt:lpstr>
      <vt:lpstr>'Footings &amp; Slabs'!rng_rvalue_f1_6</vt:lpstr>
      <vt:lpstr>Garage!rng_rvalue_g1</vt:lpstr>
      <vt:lpstr>Garage!rng_rvalue_g1_1</vt:lpstr>
      <vt:lpstr>Garage!rng_rvalue_g1_2</vt:lpstr>
      <vt:lpstr>Garage!rng_rvalue_g1_3</vt:lpstr>
      <vt:lpstr>Garage!rng_rvalue_g1_4</vt:lpstr>
      <vt:lpstr>Garage!rng_rvalue_g1_5</vt:lpstr>
      <vt:lpstr>Garage!rng_rvalue_g1_6</vt:lpstr>
      <vt:lpstr>Garage!rng_rvalue_g1_7</vt:lpstr>
      <vt:lpstr>Garage!rng_rvalue_g1_8</vt:lpstr>
      <vt:lpstr>Garage!rng_rvalue_g1_9</vt:lpstr>
      <vt:lpstr>Garage!rng_rvalue_g1_a1</vt:lpstr>
      <vt:lpstr>Garage!rng_rvalue_g2</vt:lpstr>
      <vt:lpstr>Garage!rng_rvalue_g2_1</vt:lpstr>
      <vt:lpstr>Garage!rng_rvalue_g2_2</vt:lpstr>
      <vt:lpstr>Garage!rng_rvalue_g2_3</vt:lpstr>
      <vt:lpstr>Garage!rng_rvalue_g2_4</vt:lpstr>
      <vt:lpstr>Garage!rng_rvalue_g2_5</vt:lpstr>
      <vt:lpstr>Garage!rng_rvalue_g2_6</vt:lpstr>
      <vt:lpstr>Garage!rng_rvalue_g2_7</vt:lpstr>
      <vt:lpstr>Garage!rng_rvalue_g3</vt:lpstr>
      <vt:lpstr>Garage!rng_rvalue_g3_1</vt:lpstr>
      <vt:lpstr>Garage!rng_rvalue_g3_2</vt:lpstr>
      <vt:lpstr>Garage!rng_rvalue_g3_3</vt:lpstr>
      <vt:lpstr>Garage!rng_rvalue_g3_4</vt:lpstr>
      <vt:lpstr>Garage!rng_rvalue_g3_5</vt:lpstr>
      <vt:lpstr>Garage!rng_rvalue_g3_6</vt:lpstr>
      <vt:lpstr>Garage!rng_rvalue_g3_7</vt:lpstr>
      <vt:lpstr>Garage!rng_rvalue_g3_8</vt:lpstr>
      <vt:lpstr>Garage!rng_rvalue_g3_9</vt:lpstr>
      <vt:lpstr>'Int. Walls'!rng_rvalue_i1</vt:lpstr>
      <vt:lpstr>'Int. Walls'!rng_rvalue_i1_1</vt:lpstr>
      <vt:lpstr>'Int. Walls'!rng_rvalue_i1_2</vt:lpstr>
      <vt:lpstr>'Int. Walls'!rng_rvalue_i1_3</vt:lpstr>
      <vt:lpstr>'Int. Walls'!rng_rvalue_i1_4</vt:lpstr>
      <vt:lpstr>'Int. Walls'!rng_rvalue_i1_5</vt:lpstr>
      <vt:lpstr>'Int. Walls'!rng_rvalue_i1_6</vt:lpstr>
      <vt:lpstr>'Int. Walls'!rng_rvalue_i1_7</vt:lpstr>
      <vt:lpstr>'Int. Walls'!rng_rvalue_i1_8</vt:lpstr>
      <vt:lpstr>'Int. Walls'!rng_rvalue_i1_9</vt:lpstr>
      <vt:lpstr>Floors!rng_rvalue_l1</vt:lpstr>
      <vt:lpstr>Floors!rng_rvalue_l1_1</vt:lpstr>
      <vt:lpstr>Floors!rng_rvalue_l1_10</vt:lpstr>
      <vt:lpstr>Floors!rng_rvalue_l1_2</vt:lpstr>
      <vt:lpstr>Floors!rng_rvalue_l1_3</vt:lpstr>
      <vt:lpstr>Floors!rng_rvalue_l1_4</vt:lpstr>
      <vt:lpstr>Floors!rng_rvalue_l1_5</vt:lpstr>
      <vt:lpstr>Floors!rng_rvalue_l1_6</vt:lpstr>
      <vt:lpstr>Floors!rng_rvalue_l1_7</vt:lpstr>
      <vt:lpstr>Floors!rng_rvalue_l1_8</vt:lpstr>
      <vt:lpstr>Floors!rng_rvalue_l1_9</vt:lpstr>
      <vt:lpstr>'Party Walls'!rng_rvalue_p1</vt:lpstr>
      <vt:lpstr>'Party Walls'!rng_rvalue_p1_1</vt:lpstr>
      <vt:lpstr>'Party Walls'!rng_rvalue_p1_2</vt:lpstr>
      <vt:lpstr>'Party Walls'!rng_rvalue_p1_3</vt:lpstr>
      <vt:lpstr>'Party Walls'!rng_rvalue_p1_4</vt:lpstr>
      <vt:lpstr>'Party Walls'!rng_rvalue_p1_5</vt:lpstr>
      <vt:lpstr>'Party Walls'!rng_rvalue_p1_6</vt:lpstr>
      <vt:lpstr>'Party Walls'!rng_rvalue_p1_7</vt:lpstr>
      <vt:lpstr>'Party Walls'!rng_rvalue_p1_8</vt:lpstr>
      <vt:lpstr>'Party Walls'!rng_rvalue_p1_9</vt:lpstr>
      <vt:lpstr>'Party Walls'!rng_rvalue_p1_p1</vt:lpstr>
      <vt:lpstr>'Party Walls'!rng_rvalue_p2</vt:lpstr>
      <vt:lpstr>'Party Walls'!rng_rvalue_p2_1</vt:lpstr>
      <vt:lpstr>'Party Walls'!rng_rvalue_p2_2</vt:lpstr>
      <vt:lpstr>'Party Walls'!rng_rvalue_p2_3</vt:lpstr>
      <vt:lpstr>'Party Walls'!rng_rvalue_p2_4</vt:lpstr>
      <vt:lpstr>'Party Walls'!rng_rvalue_p2_5</vt:lpstr>
      <vt:lpstr>'Party Walls'!rng_rvalue_p2_6</vt:lpstr>
      <vt:lpstr>Roof!rng_rvalue_r1</vt:lpstr>
      <vt:lpstr>Roof!rng_rvalue_r1_1</vt:lpstr>
      <vt:lpstr>Roof!rng_rvalue_r1_10</vt:lpstr>
      <vt:lpstr>Roof!rng_rvalue_r1_2</vt:lpstr>
      <vt:lpstr>Roof!rng_rvalue_r1_3</vt:lpstr>
      <vt:lpstr>Roof!rng_rvalue_r1_4</vt:lpstr>
      <vt:lpstr>Roof!rng_rvalue_r1_5</vt:lpstr>
      <vt:lpstr>Roof!rng_rvalue_r1_6</vt:lpstr>
      <vt:lpstr>Roof!rng_rvalue_r1_7</vt:lpstr>
      <vt:lpstr>Roof!rng_rvalue_r1_8</vt:lpstr>
      <vt:lpstr>Roof!rng_rvalue_r1_9</vt:lpstr>
      <vt:lpstr>Roof!rng_rvalue_r2</vt:lpstr>
      <vt:lpstr>Roof!rng_rvalue_r2_1</vt:lpstr>
      <vt:lpstr>Roof!rng_rvalue_r2_2</vt:lpstr>
      <vt:lpstr>Roof!rng_rvalue_r2_3</vt:lpstr>
      <vt:lpstr>Roof!rng_rvalue_r2_4</vt:lpstr>
      <vt:lpstr>Roof!rng_rvalue_r2_5</vt:lpstr>
      <vt:lpstr>Roof!rng_rvalue_r2_6</vt:lpstr>
      <vt:lpstr>'Foundation Walls'!rng_rvalue_w1</vt:lpstr>
      <vt:lpstr>'Foundation Walls'!rng_rvalue_w1_1</vt:lpstr>
      <vt:lpstr>'Foundation Walls'!rng_rvalue_w1_2</vt:lpstr>
      <vt:lpstr>'Foundation Walls'!rng_rvalue_w1_3</vt:lpstr>
      <vt:lpstr>'Foundation Walls'!rng_rvalue_w1_4</vt:lpstr>
      <vt:lpstr>'Foundation Walls'!rng_rvalue_w1_5</vt:lpstr>
      <vt:lpstr>'Foundation Walls'!rng_rvalue_w1_6</vt:lpstr>
      <vt:lpstr>'Foundation Walls'!rng_rvalue_w1_7</vt:lpstr>
      <vt:lpstr>'Foundation Walls'!rng_rvalue_w1_a1</vt:lpstr>
      <vt:lpstr>'Foundation Walls'!rng_rvalue_w2</vt:lpstr>
      <vt:lpstr>'Foundation Walls'!rng_rvalue_w2_1</vt:lpstr>
      <vt:lpstr>'Foundation Walls'!rng_rvalue_w2_2</vt:lpstr>
      <vt:lpstr>'Foundation Walls'!rng_rvalue_w2_3</vt:lpstr>
      <vt:lpstr>'Foundation Walls'!rng_rvalue_w2_4</vt:lpstr>
      <vt:lpstr>'Foundation Walls'!rng_rvalue_w2_5</vt:lpstr>
      <vt:lpstr>'Foundation Walls'!rng_rvalue_w2_6</vt:lpstr>
      <vt:lpstr>'Foundation Walls'!rng_rvalue_w2_7</vt:lpstr>
      <vt:lpstr>'Foundation Walls'!rng_rvalue_w2_a1</vt:lpstr>
      <vt:lpstr>Cladding!rng_tk_cl1</vt:lpstr>
      <vt:lpstr>Garage!rng_tk_concrete_foundation2</vt:lpstr>
      <vt:lpstr>'Footings &amp; Slabs'!rng_tk_concrete_slab_floors</vt:lpstr>
      <vt:lpstr>Garage!rng_tk_concrete_slab_floors2</vt:lpstr>
      <vt:lpstr>'Foundation Walls'!rng_tk_concrete_walls</vt:lpstr>
      <vt:lpstr>'Footings &amp; Slabs'!rng_tk_crushed_stone_base</vt:lpstr>
      <vt:lpstr>Garage!rng_tk_crushed_stone_base2</vt:lpstr>
      <vt:lpstr>'Ext. Walls'!rng_tk_ew1</vt:lpstr>
      <vt:lpstr>'Ext. Walls'!rng_tk_ew2</vt:lpstr>
      <vt:lpstr>'Ext. Walls'!rng_tk_ew3</vt:lpstr>
      <vt:lpstr>Floors!rng_tk_fl1</vt:lpstr>
      <vt:lpstr>Floors!rng_tk_fl2</vt:lpstr>
      <vt:lpstr>'Foundation Walls'!rng_tk_fw1</vt:lpstr>
      <vt:lpstr>'Foundation Walls'!rng_tk_fw2</vt:lpstr>
      <vt:lpstr>rng_tk_gr0</vt:lpstr>
      <vt:lpstr>Garage!rng_tk_gr1</vt:lpstr>
      <vt:lpstr>Garage!rng_tk_gr5</vt:lpstr>
      <vt:lpstr>Garage!rng_tk_gr6</vt:lpstr>
      <vt:lpstr>Garage!rng_tk_gr7</vt:lpstr>
      <vt:lpstr>'Int. Walls'!rng_tk_iw1</vt:lpstr>
      <vt:lpstr>'Int. Walls'!rng_tk_iw2</vt:lpstr>
      <vt:lpstr>'Party Walls'!rng_tk_pw1</vt:lpstr>
      <vt:lpstr>'Party Walls'!rng_tk_pw3</vt:lpstr>
      <vt:lpstr>Roof!rng_tk_rf1</vt:lpstr>
      <vt:lpstr>Roof!rng_tk_rf2</vt:lpstr>
      <vt:lpstr>Roof!rng_tk_rf3</vt:lpstr>
      <vt:lpstr>Roof!rng_tk_rf4</vt:lpstr>
      <vt:lpstr>Setting!sheet_codes_and_names</vt:lpstr>
      <vt:lpstr>sheet_codes_and_names</vt:lpstr>
      <vt:lpstr>spacing</vt:lpstr>
      <vt:lpstr>thickness</vt:lpstr>
      <vt:lpstr>SCENARIOS!X_Axis3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Builders for Climate Action</dc:creator>
  <cp:lastModifiedBy>Langevin, Patric (he, him | il, lui)</cp:lastModifiedBy>
  <cp:lastPrinted>2023-03-15T03:19:24Z</cp:lastPrinted>
  <dcterms:created xsi:type="dcterms:W3CDTF">2020-02-25T17:35:59Z</dcterms:created>
  <dcterms:modified xsi:type="dcterms:W3CDTF">2026-05-12T18:40:40Z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2025-05-30T12:35:50Z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dc0e1277-c579-49da-941c-0fc752225093</vt:lpwstr>
  </property>
  <property fmtid="{D5CDD505-2E9C-101B-9397-08002B2CF9AE}" pid="7" name="MSIP_Label_defa4170-0d19-0005-0004-bc88714345d2_ActionId">
    <vt:lpwstr>ef474b3e-41b9-4e47-8f01-3a93b8a42be5</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